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C82B" lockStructure="1"/>
  <bookViews>
    <workbookView xWindow="0" yWindow="0" windowWidth="20370" windowHeight="11145" tabRatio="839" firstSheet="11" activeTab="11"/>
  </bookViews>
  <sheets>
    <sheet name="Index" sheetId="14" state="hidden" r:id="rId1"/>
    <sheet name="Columns" sheetId="67" state="hidden" r:id="rId2"/>
    <sheet name="Field Tables" sheetId="71" state="hidden" r:id="rId3"/>
    <sheet name="FGNonRailSegment-Basics (A20)" sheetId="68" state="hidden" r:id="rId4"/>
    <sheet name="SumRef" sheetId="70" state="hidden" r:id="rId5"/>
    <sheet name="summaryref2" sheetId="75" state="hidden" r:id="rId6"/>
    <sheet name="NSValidation" sheetId="73" state="hidden" r:id="rId7"/>
    <sheet name="Valid" sheetId="58" state="hidden" r:id="rId8"/>
    <sheet name="Error" sheetId="12" state="hidden" r:id="rId9"/>
    <sheet name="Codes" sheetId="10" state="hidden" r:id="rId10"/>
    <sheet name="Summary" sheetId="15" state="hidden" r:id="rId11"/>
    <sheet name="A-00 ID" sheetId="11" r:id="rId12"/>
    <sheet name="A-10 M&amp;A FacInv" sheetId="65" r:id="rId13"/>
    <sheet name="A-20 PassFacInv" sheetId="79" r:id="rId14"/>
    <sheet name="A-50 FGRailInv" sheetId="54" r:id="rId15"/>
    <sheet name="A-55 TrackInv" sheetId="76" r:id="rId16"/>
    <sheet name="A-60 SvcVehInv" sheetId="20" r:id="rId17"/>
    <sheet name="A-70 RevVehInv" sheetId="57" r:id="rId18"/>
    <sheet name="A-80 DirEntInv" sheetId="74" r:id="rId19"/>
    <sheet name="A-90 Targets" sheetId="77" r:id="rId20"/>
    <sheet name="Rural Vehicle Inventory" sheetId="80" r:id="rId21"/>
  </sheets>
  <definedNames>
    <definedName name="_xlnm._FilterDatabase" localSheetId="12" hidden="1">'A-10 M&amp;A FacInv'!$A$11:$BM$211</definedName>
    <definedName name="_xlnm._FilterDatabase" localSheetId="13" hidden="1">'A-20 PassFacInv'!$A$11:$CA$212</definedName>
    <definedName name="_xlnm._FilterDatabase" localSheetId="14" hidden="1">'A-50 FGRailInv'!$A$11:$BP$561</definedName>
    <definedName name="_xlnm._FilterDatabase" localSheetId="15" hidden="1">'A-55 TrackInv'!$A$11:$AJ$318</definedName>
    <definedName name="_xlnm._FilterDatabase" localSheetId="16" hidden="1">'A-60 SvcVehInv'!$A$11:$BO$211</definedName>
    <definedName name="_xlnm._FilterDatabase" localSheetId="17" hidden="1">'A-70 RevVehInv'!$A$11:$DG$211</definedName>
    <definedName name="_xlnm._FilterDatabase" localSheetId="9" hidden="1">Codes!$B$6:$C$11</definedName>
    <definedName name="_xlnm._FilterDatabase" localSheetId="7" hidden="1">Valid!$W$1:$AA$138</definedName>
    <definedName name="Admin_Maint_Fac_Types">Codes!$G$7:$G$17</definedName>
    <definedName name="AM_fac_type">Codes!$G$7:$G$15</definedName>
    <definedName name="BaseYear">Valid!$D$3</definedName>
    <definedName name="BaseYrDollar">Valid!$D$4</definedName>
    <definedName name="Columns">Columns!$A$2:$B$105</definedName>
    <definedName name="Condition">Codes!$F$31:$F$36</definedName>
    <definedName name="consolidatedmanufacturers">Codes!$K$47:$K$130</definedName>
    <definedName name="Default">Valid!$G$3:$G$4</definedName>
    <definedName name="fac_units">Codes!$L$31:$L$32</definedName>
    <definedName name="FirstYear">Index!$C$9:$BA$9</definedName>
    <definedName name="FuelCodes">Codes!$C$74:$C$90</definedName>
    <definedName name="FundingSource">Codes!$G$20:$G$23</definedName>
    <definedName name="guidewayunit">Codes!$K$368:$K$370</definedName>
    <definedName name="guidewayunits">Codes!$K$368:$K$370</definedName>
    <definedName name="Inflate">Index!$B$11:$BA$115</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nufacturer">Codes!$K$47:$K$155</definedName>
    <definedName name="manufacturer_codes">Codes!$K$47:$K$207</definedName>
    <definedName name="newpassfac">Codes!$L$20:$L$28</definedName>
    <definedName name="NonRail">Codes!$C$151:$C$153</definedName>
    <definedName name="parts_warranties">Codes!$K$34</definedName>
    <definedName name="PassParkFac">Codes!$L$20:$L$29</definedName>
    <definedName name="Pax_fac_type">Codes!$L$20:$L$28</definedName>
    <definedName name="PrimaryModes">Codes!$C$20:$C$43</definedName>
    <definedName name="RailAg">Codes!$S$7:$S$179</definedName>
    <definedName name="RailModes">Codes!$C$156:$C$173</definedName>
    <definedName name="Railmodes1">Codes!$C$156:$C$174</definedName>
    <definedName name="RevVehRenewals">Codes!$G$47:$G$49</definedName>
    <definedName name="Segment_Basics_data" localSheetId="3">'FGNonRailSegment-Basics (A20)'!$A$17:$AN$209</definedName>
    <definedName name="ServiceVehicleTypes">Codes!$K$134:$K$136</definedName>
    <definedName name="StateCodes">Codes!$C$93:$C$148</definedName>
    <definedName name="substationunit">Codes!$K$372:$K$373</definedName>
    <definedName name="uza">Codes!$F$66:$F$522</definedName>
    <definedName name="val_equip_assets">Valid!$B$87:$O$96</definedName>
    <definedName name="val_facilities">Valid!$B$7:$O$24</definedName>
    <definedName name="val_fg_assets">Valid!$B$65:$O$91</definedName>
    <definedName name="val_maint_admin_fac_components">Valid!$B$53:$K$62</definedName>
    <definedName name="val_pax_park_fac_components">Valid!$B$41:$K$50</definedName>
    <definedName name="val_paxfac_components">Valid!$B$27:$K$38</definedName>
    <definedName name="val_rev_vehicles">Valid!$B$99:$K$120</definedName>
    <definedName name="val_revveh_renewals">Valid!$B$123:$I$137</definedName>
    <definedName name="vehicle_type">Codes!$C$47:$C$71</definedName>
  </definedNames>
  <calcPr calcId="145621"/>
</workbook>
</file>

<file path=xl/calcChain.xml><?xml version="1.0" encoding="utf-8"?>
<calcChain xmlns="http://schemas.openxmlformats.org/spreadsheetml/2006/main">
  <c r="AP15" i="80" l="1"/>
  <c r="AR15" i="80"/>
  <c r="AS15" i="80"/>
  <c r="AP17" i="80"/>
  <c r="AR17" i="80"/>
  <c r="AS17" i="80"/>
  <c r="AP19" i="80"/>
  <c r="AR19" i="80"/>
  <c r="AS19" i="80"/>
  <c r="AP21" i="80"/>
  <c r="AR21" i="80"/>
  <c r="AS21" i="80"/>
  <c r="AP23" i="80"/>
  <c r="AR23" i="80"/>
  <c r="AS23" i="80"/>
  <c r="AP25" i="80"/>
  <c r="AR25" i="80"/>
  <c r="AS25" i="80"/>
  <c r="AP27" i="80"/>
  <c r="AR27" i="80"/>
  <c r="AS27" i="80"/>
  <c r="AP29" i="80"/>
  <c r="AR29" i="80"/>
  <c r="AS29" i="80"/>
  <c r="AP31" i="80"/>
  <c r="AR31" i="80"/>
  <c r="AS31" i="80"/>
  <c r="AP33" i="80"/>
  <c r="AR33" i="80"/>
  <c r="AS33" i="80"/>
  <c r="AP35" i="80"/>
  <c r="AR35" i="80"/>
  <c r="AS35" i="80"/>
  <c r="AP37" i="80"/>
  <c r="AR37" i="80"/>
  <c r="AS37" i="80"/>
  <c r="AP39" i="80"/>
  <c r="AR39" i="80"/>
  <c r="AS39" i="80"/>
  <c r="AP41" i="80"/>
  <c r="AR41" i="80"/>
  <c r="AS41" i="80"/>
  <c r="AP43" i="80"/>
  <c r="AR43" i="80"/>
  <c r="AS43" i="80"/>
  <c r="AP45" i="80"/>
  <c r="AR45" i="80"/>
  <c r="AS45" i="80"/>
  <c r="AP47" i="80"/>
  <c r="AR47" i="80"/>
  <c r="AS47" i="80"/>
  <c r="AP49" i="80"/>
  <c r="AR49" i="80"/>
  <c r="AS49" i="80"/>
  <c r="AP51" i="80"/>
  <c r="AR51" i="80"/>
  <c r="AS51" i="80"/>
  <c r="AP53" i="80"/>
  <c r="AR53" i="80"/>
  <c r="AS53" i="80"/>
  <c r="AP55" i="80"/>
  <c r="AR55" i="80"/>
  <c r="AS55" i="80"/>
  <c r="AP57" i="80"/>
  <c r="AR57" i="80"/>
  <c r="AS57" i="80"/>
  <c r="AP59" i="80"/>
  <c r="AR59" i="80"/>
  <c r="AS59" i="80"/>
  <c r="AP61" i="80"/>
  <c r="AR61" i="80"/>
  <c r="AS61" i="80"/>
  <c r="AP63" i="80"/>
  <c r="AR63" i="80"/>
  <c r="AS63" i="80"/>
  <c r="AP65" i="80"/>
  <c r="AR65" i="80"/>
  <c r="AS65" i="80"/>
  <c r="AP67" i="80"/>
  <c r="AR67" i="80"/>
  <c r="AS67" i="80"/>
  <c r="AP69" i="80"/>
  <c r="AR69" i="80"/>
  <c r="AS69" i="80"/>
  <c r="AP71" i="80"/>
  <c r="AR71" i="80"/>
  <c r="AS71" i="80"/>
  <c r="AP73" i="80"/>
  <c r="AR73" i="80"/>
  <c r="AS73" i="80"/>
  <c r="AP75" i="80"/>
  <c r="AR75" i="80"/>
  <c r="AS75" i="80"/>
  <c r="AP77" i="80"/>
  <c r="AR77" i="80"/>
  <c r="AS77" i="80"/>
  <c r="AP79" i="80"/>
  <c r="AR79" i="80"/>
  <c r="AS79" i="80"/>
  <c r="AP81" i="80"/>
  <c r="AR81" i="80"/>
  <c r="AS81" i="80"/>
  <c r="AP83" i="80"/>
  <c r="AR83" i="80"/>
  <c r="AS83" i="80"/>
  <c r="AP85" i="80"/>
  <c r="AR85" i="80"/>
  <c r="AS85" i="80"/>
  <c r="AP87" i="80"/>
  <c r="AR87" i="80"/>
  <c r="AS87" i="80"/>
  <c r="AP89" i="80"/>
  <c r="AR89" i="80"/>
  <c r="AS89" i="80"/>
  <c r="AP91" i="80"/>
  <c r="AR91" i="80"/>
  <c r="AS91" i="80"/>
  <c r="AP93" i="80"/>
  <c r="AR93" i="80"/>
  <c r="AS93" i="80"/>
  <c r="AP95" i="80"/>
  <c r="AR95" i="80"/>
  <c r="AS95" i="80"/>
  <c r="AP97" i="80"/>
  <c r="AR97" i="80"/>
  <c r="AS97" i="80"/>
  <c r="AP99" i="80"/>
  <c r="AR99" i="80"/>
  <c r="AS99" i="80"/>
  <c r="AP101" i="80"/>
  <c r="AR101" i="80"/>
  <c r="AS101" i="80"/>
  <c r="AP103" i="80"/>
  <c r="AR103" i="80"/>
  <c r="AS103" i="80"/>
  <c r="AP105" i="80"/>
  <c r="AR105" i="80"/>
  <c r="AS105" i="80"/>
  <c r="AP107" i="80"/>
  <c r="AR107" i="80"/>
  <c r="AS107" i="80"/>
  <c r="AP109" i="80"/>
  <c r="AR109" i="80"/>
  <c r="AS109" i="80"/>
  <c r="AP111" i="80"/>
  <c r="AR111" i="80"/>
  <c r="AS111" i="80"/>
  <c r="AP113" i="80"/>
  <c r="AR113" i="80"/>
  <c r="AS113" i="80"/>
  <c r="AP115" i="80"/>
  <c r="AR115" i="80"/>
  <c r="AS115" i="80"/>
  <c r="AP117" i="80"/>
  <c r="AR117" i="80"/>
  <c r="AS117" i="80"/>
  <c r="AP119" i="80"/>
  <c r="AR119" i="80"/>
  <c r="AS119" i="80"/>
  <c r="AP121" i="80"/>
  <c r="AR121" i="80"/>
  <c r="AS121" i="80"/>
  <c r="AP123" i="80"/>
  <c r="AR123" i="80"/>
  <c r="AS123" i="80"/>
  <c r="AP125" i="80"/>
  <c r="AR125" i="80"/>
  <c r="AS125" i="80"/>
  <c r="AP127" i="80"/>
  <c r="AR127" i="80"/>
  <c r="AS127" i="80"/>
  <c r="AP129" i="80"/>
  <c r="AR129" i="80"/>
  <c r="AS129" i="80"/>
  <c r="AP131" i="80"/>
  <c r="AR131" i="80"/>
  <c r="AS131" i="80"/>
  <c r="AP133" i="80"/>
  <c r="AR133" i="80"/>
  <c r="AS133" i="80"/>
  <c r="AP135" i="80"/>
  <c r="AR135" i="80"/>
  <c r="AS135" i="80"/>
  <c r="AP137" i="80"/>
  <c r="AR137" i="80"/>
  <c r="AS137" i="80"/>
  <c r="AP139" i="80"/>
  <c r="AR139" i="80"/>
  <c r="AS139" i="80"/>
  <c r="AP141" i="80"/>
  <c r="AR141" i="80"/>
  <c r="AS141" i="80"/>
  <c r="AP143" i="80"/>
  <c r="AR143" i="80"/>
  <c r="AS143" i="80"/>
  <c r="AP145" i="80"/>
  <c r="AR145" i="80"/>
  <c r="AS145" i="80"/>
  <c r="AP147" i="80"/>
  <c r="AR147" i="80"/>
  <c r="AS147" i="80"/>
  <c r="AP149" i="80"/>
  <c r="AR149" i="80"/>
  <c r="AS149" i="80"/>
  <c r="AP151" i="80"/>
  <c r="AR151" i="80"/>
  <c r="AS151" i="80"/>
  <c r="AP153" i="80"/>
  <c r="AR153" i="80"/>
  <c r="AS153" i="80"/>
  <c r="AP155" i="80"/>
  <c r="AR155" i="80"/>
  <c r="AS155" i="80"/>
  <c r="AP157" i="80"/>
  <c r="AR157" i="80"/>
  <c r="AS157" i="80"/>
  <c r="AP159" i="80"/>
  <c r="AR159" i="80"/>
  <c r="AS159" i="80"/>
  <c r="AP161" i="80"/>
  <c r="AR161" i="80"/>
  <c r="AS161" i="80"/>
  <c r="AP163" i="80"/>
  <c r="AR163" i="80"/>
  <c r="AS163" i="80"/>
  <c r="AP165" i="80"/>
  <c r="AR165" i="80"/>
  <c r="AS165" i="80"/>
  <c r="AP167" i="80"/>
  <c r="AR167" i="80"/>
  <c r="AS167" i="80"/>
  <c r="AP169" i="80"/>
  <c r="AR169" i="80"/>
  <c r="AS169" i="80"/>
  <c r="AP171" i="80"/>
  <c r="AR171" i="80"/>
  <c r="AS171" i="80"/>
  <c r="AP173" i="80"/>
  <c r="AR173" i="80"/>
  <c r="AS173" i="80"/>
  <c r="AP175" i="80"/>
  <c r="AR175" i="80"/>
  <c r="AS175" i="80"/>
  <c r="AP177" i="80"/>
  <c r="AR177" i="80"/>
  <c r="AS177" i="80"/>
  <c r="AP179" i="80"/>
  <c r="AR179" i="80"/>
  <c r="AS179" i="80"/>
  <c r="AP181" i="80"/>
  <c r="AR181" i="80"/>
  <c r="AS181" i="80"/>
  <c r="AP183" i="80"/>
  <c r="AR183" i="80"/>
  <c r="AS183" i="80"/>
  <c r="AP185" i="80"/>
  <c r="AR185" i="80"/>
  <c r="AS185" i="80"/>
  <c r="AP187" i="80"/>
  <c r="AR187" i="80"/>
  <c r="AS187" i="80"/>
  <c r="AP189" i="80"/>
  <c r="AR189" i="80"/>
  <c r="AS189" i="80"/>
  <c r="AP191" i="80"/>
  <c r="AR191" i="80"/>
  <c r="AS191" i="80"/>
  <c r="AP193" i="80"/>
  <c r="AR193" i="80"/>
  <c r="AS193" i="80"/>
  <c r="AP195" i="80"/>
  <c r="AR195" i="80"/>
  <c r="AS195" i="80"/>
  <c r="AP197" i="80"/>
  <c r="AR197" i="80"/>
  <c r="AS197" i="80"/>
  <c r="AP199" i="80"/>
  <c r="AR199" i="80"/>
  <c r="AS199" i="80"/>
  <c r="AP201" i="80"/>
  <c r="AR201" i="80"/>
  <c r="AS201" i="80"/>
  <c r="AP203" i="80"/>
  <c r="AR203" i="80"/>
  <c r="AS203" i="80"/>
  <c r="AP205" i="80"/>
  <c r="AR205" i="80"/>
  <c r="AS205" i="80"/>
  <c r="AP207" i="80"/>
  <c r="AR207" i="80"/>
  <c r="AS207" i="80"/>
  <c r="AP209" i="80"/>
  <c r="AR209" i="80"/>
  <c r="AS209" i="80"/>
  <c r="AP211" i="80"/>
  <c r="E211" i="80" s="1"/>
  <c r="AR211" i="80"/>
  <c r="AS211" i="80"/>
  <c r="AY15" i="80"/>
  <c r="AY17" i="80"/>
  <c r="AY19" i="80"/>
  <c r="AY21" i="80"/>
  <c r="AY23" i="80"/>
  <c r="AY25" i="80"/>
  <c r="AY27" i="80"/>
  <c r="AY29" i="80"/>
  <c r="AY31" i="80"/>
  <c r="AY33" i="80"/>
  <c r="AY35" i="80"/>
  <c r="AY37" i="80"/>
  <c r="AY39" i="80"/>
  <c r="AY41" i="80"/>
  <c r="AY43" i="80"/>
  <c r="AY45" i="80"/>
  <c r="AY47" i="80"/>
  <c r="AY49" i="80"/>
  <c r="AY51" i="80"/>
  <c r="AY53" i="80"/>
  <c r="AY55" i="80"/>
  <c r="AY57" i="80"/>
  <c r="AY59" i="80"/>
  <c r="AY61" i="80"/>
  <c r="AY63" i="80"/>
  <c r="AY65" i="80"/>
  <c r="AY67" i="80"/>
  <c r="AY69" i="80"/>
  <c r="AY71" i="80"/>
  <c r="AY73" i="80"/>
  <c r="AY75" i="80"/>
  <c r="AY77" i="80"/>
  <c r="AY79" i="80"/>
  <c r="AY81" i="80"/>
  <c r="AY83" i="80"/>
  <c r="AY85" i="80"/>
  <c r="AY87" i="80"/>
  <c r="AY89" i="80"/>
  <c r="AY91" i="80"/>
  <c r="AY93" i="80"/>
  <c r="AY95" i="80"/>
  <c r="AY97" i="80"/>
  <c r="AY99" i="80"/>
  <c r="AY101" i="80"/>
  <c r="AY103" i="80"/>
  <c r="AY105" i="80"/>
  <c r="AY107" i="80"/>
  <c r="AY109" i="80"/>
  <c r="AY111" i="80"/>
  <c r="AY113" i="80"/>
  <c r="AY115" i="80"/>
  <c r="AY117" i="80"/>
  <c r="AY119" i="80"/>
  <c r="AY121" i="80"/>
  <c r="AY123" i="80"/>
  <c r="AY125" i="80"/>
  <c r="AY127" i="80"/>
  <c r="AY129" i="80"/>
  <c r="AY131" i="80"/>
  <c r="AY133" i="80"/>
  <c r="AY135" i="80"/>
  <c r="AY137" i="80"/>
  <c r="AY139" i="80"/>
  <c r="AY141" i="80"/>
  <c r="AY143" i="80"/>
  <c r="AY145" i="80"/>
  <c r="AY147" i="80"/>
  <c r="AY149" i="80"/>
  <c r="AY151" i="80"/>
  <c r="AY153" i="80"/>
  <c r="AY155" i="80"/>
  <c r="AY157" i="80"/>
  <c r="AY159" i="80"/>
  <c r="AY161" i="80"/>
  <c r="AY163" i="80"/>
  <c r="AY165" i="80"/>
  <c r="AY167" i="80"/>
  <c r="AY169" i="80"/>
  <c r="AY171" i="80"/>
  <c r="AY173" i="80"/>
  <c r="AY175" i="80"/>
  <c r="AY177" i="80"/>
  <c r="AY179" i="80"/>
  <c r="AY181" i="80"/>
  <c r="AY183" i="80"/>
  <c r="AY185" i="80"/>
  <c r="AY187" i="80"/>
  <c r="AY189" i="80"/>
  <c r="AY191" i="80"/>
  <c r="AY193" i="80"/>
  <c r="AY195" i="80"/>
  <c r="AY197" i="80"/>
  <c r="AY199" i="80"/>
  <c r="AY201" i="80"/>
  <c r="AY203" i="80"/>
  <c r="AY205" i="80"/>
  <c r="AY207" i="80"/>
  <c r="AY209" i="80"/>
  <c r="AY211" i="80"/>
  <c r="AY13" i="80"/>
  <c r="AS13" i="80"/>
  <c r="AR13" i="80"/>
  <c r="AP13" i="80"/>
  <c r="BX211" i="80"/>
  <c r="BW211" i="80"/>
  <c r="BV211" i="80"/>
  <c r="BU211" i="80"/>
  <c r="BT211" i="80"/>
  <c r="BS211" i="80"/>
  <c r="BP211" i="80"/>
  <c r="BO211" i="80"/>
  <c r="BN211" i="80"/>
  <c r="BL211" i="80"/>
  <c r="BJ211" i="80"/>
  <c r="BH211" i="80"/>
  <c r="BF211" i="80"/>
  <c r="BD211" i="80"/>
  <c r="BC211" i="80" s="1"/>
  <c r="BB211" i="80"/>
  <c r="AZ211" i="80"/>
  <c r="AX211" i="80"/>
  <c r="AV211" i="80"/>
  <c r="AU211" i="80" s="1"/>
  <c r="AT211" i="80"/>
  <c r="AO211" i="80"/>
  <c r="AA211" i="80"/>
  <c r="Y211" i="80"/>
  <c r="S211" i="80"/>
  <c r="D211" i="80"/>
  <c r="BX210" i="80"/>
  <c r="BW210" i="80"/>
  <c r="BV210" i="80"/>
  <c r="BU210" i="80"/>
  <c r="BT210" i="80"/>
  <c r="BS210" i="80"/>
  <c r="BP210" i="80"/>
  <c r="BO210" i="80"/>
  <c r="BN210" i="80"/>
  <c r="AA210" i="80"/>
  <c r="Y210" i="80"/>
  <c r="V210" i="80"/>
  <c r="S210" i="80"/>
  <c r="BX209" i="80"/>
  <c r="BW209" i="80"/>
  <c r="BV209" i="80"/>
  <c r="BU209" i="80"/>
  <c r="BT209" i="80"/>
  <c r="BS209" i="80"/>
  <c r="BP209" i="80"/>
  <c r="BO209" i="80"/>
  <c r="BN209" i="80"/>
  <c r="BL209" i="80"/>
  <c r="BJ209" i="80"/>
  <c r="BH209" i="80"/>
  <c r="BF209" i="80"/>
  <c r="BD209" i="80"/>
  <c r="BC209" i="80"/>
  <c r="BB209" i="80"/>
  <c r="AZ209" i="80"/>
  <c r="AX209" i="80"/>
  <c r="AV209" i="80"/>
  <c r="AU209" i="80" s="1"/>
  <c r="AT209" i="80"/>
  <c r="AO209" i="80"/>
  <c r="AA209" i="80"/>
  <c r="Y209" i="80"/>
  <c r="S209" i="80"/>
  <c r="E209" i="80"/>
  <c r="AJ209" i="80" s="1"/>
  <c r="D209" i="80"/>
  <c r="BX208" i="80"/>
  <c r="BW208" i="80"/>
  <c r="BV208" i="80"/>
  <c r="BU208" i="80"/>
  <c r="BT208" i="80"/>
  <c r="BS208" i="80"/>
  <c r="BP208" i="80"/>
  <c r="BO208" i="80"/>
  <c r="BN208" i="80"/>
  <c r="AA208" i="80"/>
  <c r="Y208" i="80"/>
  <c r="V208" i="80"/>
  <c r="S208" i="80"/>
  <c r="BX207" i="80"/>
  <c r="BW207" i="80"/>
  <c r="BV207" i="80"/>
  <c r="BU207" i="80"/>
  <c r="BT207" i="80"/>
  <c r="BS207" i="80"/>
  <c r="BP207" i="80"/>
  <c r="BO207" i="80"/>
  <c r="BN207" i="80"/>
  <c r="BL207" i="80"/>
  <c r="BJ207" i="80"/>
  <c r="BH207" i="80"/>
  <c r="BF207" i="80"/>
  <c r="BD207" i="80"/>
  <c r="BC207" i="80" s="1"/>
  <c r="BB207" i="80"/>
  <c r="AZ207" i="80"/>
  <c r="AX207" i="80"/>
  <c r="AV207" i="80"/>
  <c r="AU207" i="80" s="1"/>
  <c r="AT207" i="80"/>
  <c r="AO207" i="80"/>
  <c r="AA207" i="80"/>
  <c r="Y207" i="80"/>
  <c r="S207" i="80"/>
  <c r="E207" i="80"/>
  <c r="AH207" i="80" s="1"/>
  <c r="D207" i="80"/>
  <c r="BX206" i="80"/>
  <c r="BW206" i="80"/>
  <c r="BV206" i="80"/>
  <c r="BU206" i="80"/>
  <c r="BT206" i="80"/>
  <c r="BS206" i="80"/>
  <c r="BP206" i="80"/>
  <c r="BO206" i="80"/>
  <c r="BN206" i="80"/>
  <c r="AA206" i="80"/>
  <c r="Y206" i="80"/>
  <c r="V206" i="80"/>
  <c r="S206" i="80"/>
  <c r="BX205" i="80"/>
  <c r="BW205" i="80"/>
  <c r="BV205" i="80"/>
  <c r="BU205" i="80"/>
  <c r="BT205" i="80"/>
  <c r="BS205" i="80"/>
  <c r="BP205" i="80"/>
  <c r="BO205" i="80"/>
  <c r="BN205" i="80"/>
  <c r="BL205" i="80"/>
  <c r="BJ205" i="80"/>
  <c r="BH205" i="80"/>
  <c r="BF205" i="80"/>
  <c r="BD205" i="80"/>
  <c r="BC205" i="80" s="1"/>
  <c r="BB205" i="80"/>
  <c r="AZ205" i="80"/>
  <c r="AX205" i="80"/>
  <c r="AV205" i="80"/>
  <c r="AU205" i="80" s="1"/>
  <c r="AT205" i="80"/>
  <c r="AO205" i="80"/>
  <c r="AA205" i="80"/>
  <c r="Y205" i="80"/>
  <c r="S205" i="80"/>
  <c r="E205" i="80"/>
  <c r="AJ205" i="80" s="1"/>
  <c r="D205" i="80"/>
  <c r="BX204" i="80"/>
  <c r="BW204" i="80"/>
  <c r="BV204" i="80"/>
  <c r="BU204" i="80"/>
  <c r="BT204" i="80"/>
  <c r="BS204" i="80"/>
  <c r="BP204" i="80"/>
  <c r="BO204" i="80"/>
  <c r="BN204" i="80"/>
  <c r="AA204" i="80"/>
  <c r="Y204" i="80"/>
  <c r="V204" i="80"/>
  <c r="S204" i="80"/>
  <c r="BX203" i="80"/>
  <c r="BW203" i="80"/>
  <c r="BV203" i="80"/>
  <c r="BU203" i="80"/>
  <c r="BT203" i="80"/>
  <c r="BS203" i="80"/>
  <c r="BP203" i="80"/>
  <c r="BO203" i="80"/>
  <c r="BN203" i="80"/>
  <c r="BL203" i="80"/>
  <c r="BJ203" i="80"/>
  <c r="BH203" i="80"/>
  <c r="BF203" i="80"/>
  <c r="BD203" i="80"/>
  <c r="BC203" i="80" s="1"/>
  <c r="BB203" i="80"/>
  <c r="AZ203" i="80"/>
  <c r="AX203" i="80"/>
  <c r="AV203" i="80"/>
  <c r="AU203" i="80" s="1"/>
  <c r="AT203" i="80"/>
  <c r="E203" i="80"/>
  <c r="AO203" i="80"/>
  <c r="AA203" i="80"/>
  <c r="Y203" i="80"/>
  <c r="S203" i="80"/>
  <c r="D203" i="80"/>
  <c r="BX202" i="80"/>
  <c r="BW202" i="80"/>
  <c r="BV202" i="80"/>
  <c r="BU202" i="80"/>
  <c r="BT202" i="80"/>
  <c r="BS202" i="80"/>
  <c r="BP202" i="80"/>
  <c r="BO202" i="80"/>
  <c r="BN202" i="80"/>
  <c r="AA202" i="80"/>
  <c r="Y202" i="80"/>
  <c r="V202" i="80"/>
  <c r="S202" i="80"/>
  <c r="BX201" i="80"/>
  <c r="BW201" i="80"/>
  <c r="BV201" i="80"/>
  <c r="BU201" i="80"/>
  <c r="BT201" i="80"/>
  <c r="BS201" i="80"/>
  <c r="BP201" i="80"/>
  <c r="BO201" i="80"/>
  <c r="BN201" i="80"/>
  <c r="BL201" i="80"/>
  <c r="BJ201" i="80"/>
  <c r="BH201" i="80"/>
  <c r="BF201" i="80"/>
  <c r="BD201" i="80"/>
  <c r="BC201" i="80" s="1"/>
  <c r="BB201" i="80"/>
  <c r="AZ201" i="80"/>
  <c r="AX201" i="80"/>
  <c r="AV201" i="80"/>
  <c r="AU201" i="80" s="1"/>
  <c r="AT201" i="80"/>
  <c r="E201" i="80"/>
  <c r="AO201" i="80"/>
  <c r="AA201" i="80"/>
  <c r="Y201" i="80"/>
  <c r="S201" i="80"/>
  <c r="D201" i="80"/>
  <c r="BX200" i="80"/>
  <c r="BW200" i="80"/>
  <c r="BV200" i="80"/>
  <c r="BU200" i="80"/>
  <c r="BT200" i="80"/>
  <c r="BS200" i="80"/>
  <c r="BP200" i="80"/>
  <c r="BO200" i="80"/>
  <c r="BN200" i="80"/>
  <c r="AA200" i="80"/>
  <c r="Y200" i="80"/>
  <c r="V200" i="80"/>
  <c r="S200" i="80"/>
  <c r="BX199" i="80"/>
  <c r="BW199" i="80"/>
  <c r="BV199" i="80"/>
  <c r="BU199" i="80"/>
  <c r="BT199" i="80"/>
  <c r="BS199" i="80"/>
  <c r="BP199" i="80"/>
  <c r="BO199" i="80"/>
  <c r="BN199" i="80"/>
  <c r="BL199" i="80"/>
  <c r="BJ199" i="80"/>
  <c r="BH199" i="80"/>
  <c r="BF199" i="80"/>
  <c r="BD199" i="80"/>
  <c r="BC199" i="80" s="1"/>
  <c r="BB199" i="80"/>
  <c r="AZ199" i="80"/>
  <c r="AX199" i="80"/>
  <c r="AV199" i="80"/>
  <c r="AU199" i="80" s="1"/>
  <c r="AT199" i="80"/>
  <c r="AO199" i="80"/>
  <c r="AA199" i="80"/>
  <c r="Y199" i="80"/>
  <c r="S199" i="80"/>
  <c r="E199" i="80"/>
  <c r="AH199" i="80" s="1"/>
  <c r="D199" i="80"/>
  <c r="BX198" i="80"/>
  <c r="BW198" i="80"/>
  <c r="BV198" i="80"/>
  <c r="BU198" i="80"/>
  <c r="BT198" i="80"/>
  <c r="BS198" i="80"/>
  <c r="BP198" i="80"/>
  <c r="BO198" i="80"/>
  <c r="BN198" i="80"/>
  <c r="AA198" i="80"/>
  <c r="Y198" i="80"/>
  <c r="V198" i="80"/>
  <c r="S198" i="80"/>
  <c r="BX197" i="80"/>
  <c r="BW197" i="80"/>
  <c r="BV197" i="80"/>
  <c r="BU197" i="80"/>
  <c r="BT197" i="80"/>
  <c r="BS197" i="80"/>
  <c r="BP197" i="80"/>
  <c r="BO197" i="80"/>
  <c r="BN197" i="80"/>
  <c r="BL197" i="80"/>
  <c r="BJ197" i="80"/>
  <c r="BH197" i="80"/>
  <c r="BF197" i="80"/>
  <c r="BD197" i="80"/>
  <c r="BC197" i="80" s="1"/>
  <c r="BB197" i="80"/>
  <c r="AZ197" i="80"/>
  <c r="AX197" i="80"/>
  <c r="AV197" i="80"/>
  <c r="AU197" i="80" s="1"/>
  <c r="AT197" i="80"/>
  <c r="AO197" i="80"/>
  <c r="AA197" i="80"/>
  <c r="Y197" i="80"/>
  <c r="S197" i="80"/>
  <c r="E197" i="80"/>
  <c r="D197" i="80"/>
  <c r="BX196" i="80"/>
  <c r="BW196" i="80"/>
  <c r="BV196" i="80"/>
  <c r="BU196" i="80"/>
  <c r="BT196" i="80"/>
  <c r="BS196" i="80"/>
  <c r="BP196" i="80"/>
  <c r="BO196" i="80"/>
  <c r="BN196" i="80"/>
  <c r="AA196" i="80"/>
  <c r="Y196" i="80"/>
  <c r="V196" i="80"/>
  <c r="S196" i="80"/>
  <c r="BX195" i="80"/>
  <c r="BW195" i="80"/>
  <c r="BV195" i="80"/>
  <c r="BU195" i="80"/>
  <c r="BT195" i="80"/>
  <c r="BS195" i="80"/>
  <c r="BP195" i="80"/>
  <c r="BO195" i="80"/>
  <c r="BN195" i="80"/>
  <c r="BL195" i="80"/>
  <c r="BJ195" i="80"/>
  <c r="BH195" i="80"/>
  <c r="BF195" i="80"/>
  <c r="BD195" i="80"/>
  <c r="BC195" i="80" s="1"/>
  <c r="BB195" i="80"/>
  <c r="AZ195" i="80"/>
  <c r="AX195" i="80"/>
  <c r="AV195" i="80"/>
  <c r="AU195" i="80" s="1"/>
  <c r="AT195" i="80"/>
  <c r="E195" i="80"/>
  <c r="AO195" i="80"/>
  <c r="AA195" i="80"/>
  <c r="Y195" i="80"/>
  <c r="S195" i="80"/>
  <c r="D195" i="80"/>
  <c r="BX194" i="80"/>
  <c r="BW194" i="80"/>
  <c r="BV194" i="80"/>
  <c r="BU194" i="80"/>
  <c r="BT194" i="80"/>
  <c r="BS194" i="80"/>
  <c r="BP194" i="80"/>
  <c r="BO194" i="80"/>
  <c r="BN194" i="80"/>
  <c r="AA194" i="80"/>
  <c r="Y194" i="80"/>
  <c r="V194" i="80"/>
  <c r="S194" i="80"/>
  <c r="BX193" i="80"/>
  <c r="BW193" i="80"/>
  <c r="BV193" i="80"/>
  <c r="BU193" i="80"/>
  <c r="BT193" i="80"/>
  <c r="BS193" i="80"/>
  <c r="BP193" i="80"/>
  <c r="BO193" i="80"/>
  <c r="BN193" i="80"/>
  <c r="BL193" i="80"/>
  <c r="BJ193" i="80"/>
  <c r="BH193" i="80"/>
  <c r="BF193" i="80"/>
  <c r="BD193" i="80"/>
  <c r="BC193" i="80" s="1"/>
  <c r="BB193" i="80"/>
  <c r="AZ193" i="80"/>
  <c r="AX193" i="80"/>
  <c r="AV193" i="80"/>
  <c r="AU193" i="80" s="1"/>
  <c r="AT193" i="80"/>
  <c r="AO193" i="80"/>
  <c r="AA193" i="80"/>
  <c r="Y193" i="80"/>
  <c r="S193" i="80"/>
  <c r="E193" i="80"/>
  <c r="AJ193" i="80" s="1"/>
  <c r="D193" i="80"/>
  <c r="BX192" i="80"/>
  <c r="BW192" i="80"/>
  <c r="BV192" i="80"/>
  <c r="BU192" i="80"/>
  <c r="BT192" i="80"/>
  <c r="BS192" i="80"/>
  <c r="BP192" i="80"/>
  <c r="BO192" i="80"/>
  <c r="BN192" i="80"/>
  <c r="AA192" i="80"/>
  <c r="Y192" i="80"/>
  <c r="V192" i="80"/>
  <c r="S192" i="80"/>
  <c r="BX191" i="80"/>
  <c r="BW191" i="80"/>
  <c r="BV191" i="80"/>
  <c r="BU191" i="80"/>
  <c r="BT191" i="80"/>
  <c r="BS191" i="80"/>
  <c r="BP191" i="80"/>
  <c r="BO191" i="80"/>
  <c r="BN191" i="80"/>
  <c r="BL191" i="80"/>
  <c r="BJ191" i="80"/>
  <c r="BH191" i="80"/>
  <c r="BF191" i="80"/>
  <c r="BD191" i="80"/>
  <c r="BC191" i="80" s="1"/>
  <c r="BB191" i="80"/>
  <c r="AZ191" i="80"/>
  <c r="AX191" i="80"/>
  <c r="AV191" i="80"/>
  <c r="AU191" i="80" s="1"/>
  <c r="AT191" i="80"/>
  <c r="E191" i="80"/>
  <c r="AO191" i="80"/>
  <c r="AA191" i="80"/>
  <c r="Y191" i="80"/>
  <c r="S191" i="80"/>
  <c r="D191" i="80"/>
  <c r="BX190" i="80"/>
  <c r="BW190" i="80"/>
  <c r="BV190" i="80"/>
  <c r="BU190" i="80"/>
  <c r="BT190" i="80"/>
  <c r="BS190" i="80"/>
  <c r="BP190" i="80"/>
  <c r="BO190" i="80"/>
  <c r="BN190" i="80"/>
  <c r="AA190" i="80"/>
  <c r="Y190" i="80"/>
  <c r="V190" i="80"/>
  <c r="S190" i="80"/>
  <c r="BX189" i="80"/>
  <c r="BW189" i="80"/>
  <c r="BV189" i="80"/>
  <c r="BU189" i="80"/>
  <c r="BT189" i="80"/>
  <c r="BS189" i="80"/>
  <c r="BP189" i="80"/>
  <c r="BO189" i="80"/>
  <c r="BN189" i="80"/>
  <c r="BL189" i="80"/>
  <c r="BJ189" i="80"/>
  <c r="BH189" i="80"/>
  <c r="BF189" i="80"/>
  <c r="BD189" i="80"/>
  <c r="BC189" i="80" s="1"/>
  <c r="BB189" i="80"/>
  <c r="AZ189" i="80"/>
  <c r="AX189" i="80"/>
  <c r="AV189" i="80"/>
  <c r="AU189" i="80" s="1"/>
  <c r="AT189" i="80"/>
  <c r="AO189" i="80"/>
  <c r="AA189" i="80"/>
  <c r="Y189" i="80"/>
  <c r="S189" i="80"/>
  <c r="E189" i="80"/>
  <c r="AJ189" i="80" s="1"/>
  <c r="D189" i="80"/>
  <c r="BX188" i="80"/>
  <c r="BW188" i="80"/>
  <c r="BV188" i="80"/>
  <c r="BU188" i="80"/>
  <c r="BT188" i="80"/>
  <c r="BS188" i="80"/>
  <c r="BP188" i="80"/>
  <c r="BO188" i="80"/>
  <c r="BN188" i="80"/>
  <c r="AA188" i="80"/>
  <c r="Y188" i="80"/>
  <c r="V188" i="80"/>
  <c r="S188" i="80"/>
  <c r="BX187" i="80"/>
  <c r="BW187" i="80"/>
  <c r="BV187" i="80"/>
  <c r="BU187" i="80"/>
  <c r="BT187" i="80"/>
  <c r="BS187" i="80"/>
  <c r="BP187" i="80"/>
  <c r="BO187" i="80"/>
  <c r="BN187" i="80"/>
  <c r="BL187" i="80"/>
  <c r="BJ187" i="80"/>
  <c r="BH187" i="80"/>
  <c r="BF187" i="80"/>
  <c r="BD187" i="80"/>
  <c r="BC187" i="80" s="1"/>
  <c r="BB187" i="80"/>
  <c r="AZ187" i="80"/>
  <c r="AX187" i="80"/>
  <c r="AV187" i="80"/>
  <c r="AU187" i="80" s="1"/>
  <c r="AT187" i="80"/>
  <c r="E187" i="80"/>
  <c r="AO187" i="80"/>
  <c r="AA187" i="80"/>
  <c r="Y187" i="80"/>
  <c r="S187" i="80"/>
  <c r="D187" i="80"/>
  <c r="BX186" i="80"/>
  <c r="BW186" i="80"/>
  <c r="BV186" i="80"/>
  <c r="BU186" i="80"/>
  <c r="BT186" i="80"/>
  <c r="BS186" i="80"/>
  <c r="BP186" i="80"/>
  <c r="BO186" i="80"/>
  <c r="BN186" i="80"/>
  <c r="AA186" i="80"/>
  <c r="Y186" i="80"/>
  <c r="V186" i="80"/>
  <c r="S186" i="80"/>
  <c r="BX185" i="80"/>
  <c r="BW185" i="80"/>
  <c r="BV185" i="80"/>
  <c r="BU185" i="80"/>
  <c r="BT185" i="80"/>
  <c r="BS185" i="80"/>
  <c r="BP185" i="80"/>
  <c r="BO185" i="80"/>
  <c r="BN185" i="80"/>
  <c r="BL185" i="80"/>
  <c r="BJ185" i="80"/>
  <c r="BH185" i="80"/>
  <c r="BF185" i="80"/>
  <c r="BD185" i="80"/>
  <c r="BC185" i="80" s="1"/>
  <c r="BB185" i="80"/>
  <c r="AZ185" i="80"/>
  <c r="AX185" i="80"/>
  <c r="AV185" i="80"/>
  <c r="AU185" i="80" s="1"/>
  <c r="AT185" i="80"/>
  <c r="AO185" i="80"/>
  <c r="AA185" i="80"/>
  <c r="Y185" i="80"/>
  <c r="S185" i="80"/>
  <c r="E185" i="80"/>
  <c r="AJ185" i="80" s="1"/>
  <c r="D185" i="80"/>
  <c r="BX184" i="80"/>
  <c r="BW184" i="80"/>
  <c r="BV184" i="80"/>
  <c r="BU184" i="80"/>
  <c r="BT184" i="80"/>
  <c r="BS184" i="80"/>
  <c r="BP184" i="80"/>
  <c r="BO184" i="80"/>
  <c r="BN184" i="80"/>
  <c r="AA184" i="80"/>
  <c r="Y184" i="80"/>
  <c r="V184" i="80"/>
  <c r="S184" i="80"/>
  <c r="BX183" i="80"/>
  <c r="BW183" i="80"/>
  <c r="BV183" i="80"/>
  <c r="BU183" i="80"/>
  <c r="BT183" i="80"/>
  <c r="BS183" i="80"/>
  <c r="BP183" i="80"/>
  <c r="BO183" i="80"/>
  <c r="BN183" i="80"/>
  <c r="BL183" i="80"/>
  <c r="BJ183" i="80"/>
  <c r="BH183" i="80"/>
  <c r="BF183" i="80"/>
  <c r="BD183" i="80"/>
  <c r="BC183" i="80" s="1"/>
  <c r="BB183" i="80"/>
  <c r="AZ183" i="80"/>
  <c r="AX183" i="80"/>
  <c r="AV183" i="80"/>
  <c r="AU183" i="80" s="1"/>
  <c r="AT183" i="80"/>
  <c r="E183" i="80"/>
  <c r="AO183" i="80"/>
  <c r="AA183" i="80"/>
  <c r="Y183" i="80"/>
  <c r="S183" i="80"/>
  <c r="D183" i="80"/>
  <c r="BX182" i="80"/>
  <c r="BW182" i="80"/>
  <c r="BV182" i="80"/>
  <c r="BU182" i="80"/>
  <c r="BT182" i="80"/>
  <c r="BS182" i="80"/>
  <c r="BP182" i="80"/>
  <c r="BO182" i="80"/>
  <c r="BN182" i="80"/>
  <c r="AA182" i="80"/>
  <c r="Y182" i="80"/>
  <c r="V182" i="80"/>
  <c r="S182" i="80"/>
  <c r="BX181" i="80"/>
  <c r="BW181" i="80"/>
  <c r="BV181" i="80"/>
  <c r="BU181" i="80"/>
  <c r="BT181" i="80"/>
  <c r="BS181" i="80"/>
  <c r="BP181" i="80"/>
  <c r="BO181" i="80"/>
  <c r="BN181" i="80"/>
  <c r="BL181" i="80"/>
  <c r="BJ181" i="80"/>
  <c r="BH181" i="80"/>
  <c r="BF181" i="80"/>
  <c r="BD181" i="80"/>
  <c r="BC181" i="80" s="1"/>
  <c r="BB181" i="80"/>
  <c r="AZ181" i="80"/>
  <c r="AX181" i="80"/>
  <c r="AV181" i="80"/>
  <c r="AU181" i="80" s="1"/>
  <c r="AT181" i="80"/>
  <c r="AO181" i="80"/>
  <c r="AA181" i="80"/>
  <c r="Y181" i="80"/>
  <c r="S181" i="80"/>
  <c r="E181" i="80"/>
  <c r="AH181" i="80" s="1"/>
  <c r="D181" i="80"/>
  <c r="BX180" i="80"/>
  <c r="BW180" i="80"/>
  <c r="BV180" i="80"/>
  <c r="BU180" i="80"/>
  <c r="BT180" i="80"/>
  <c r="BS180" i="80"/>
  <c r="BP180" i="80"/>
  <c r="BO180" i="80"/>
  <c r="BN180" i="80"/>
  <c r="AA180" i="80"/>
  <c r="Y180" i="80"/>
  <c r="V180" i="80"/>
  <c r="S180" i="80"/>
  <c r="BX179" i="80"/>
  <c r="BW179" i="80"/>
  <c r="BV179" i="80"/>
  <c r="BU179" i="80"/>
  <c r="BT179" i="80"/>
  <c r="BS179" i="80"/>
  <c r="BP179" i="80"/>
  <c r="BO179" i="80"/>
  <c r="BN179" i="80"/>
  <c r="BL179" i="80"/>
  <c r="BJ179" i="80"/>
  <c r="BH179" i="80"/>
  <c r="BF179" i="80"/>
  <c r="BD179" i="80"/>
  <c r="BC179" i="80" s="1"/>
  <c r="BB179" i="80"/>
  <c r="AZ179" i="80"/>
  <c r="AX179" i="80"/>
  <c r="AV179" i="80"/>
  <c r="AU179" i="80" s="1"/>
  <c r="AT179" i="80"/>
  <c r="E179" i="80"/>
  <c r="AO179" i="80"/>
  <c r="AA179" i="80"/>
  <c r="Y179" i="80"/>
  <c r="S179" i="80"/>
  <c r="D179" i="80"/>
  <c r="BX178" i="80"/>
  <c r="BW178" i="80"/>
  <c r="BV178" i="80"/>
  <c r="BU178" i="80"/>
  <c r="BT178" i="80"/>
  <c r="BS178" i="80"/>
  <c r="BP178" i="80"/>
  <c r="BO178" i="80"/>
  <c r="BN178" i="80"/>
  <c r="AA178" i="80"/>
  <c r="Y178" i="80"/>
  <c r="V178" i="80"/>
  <c r="S178" i="80"/>
  <c r="BX177" i="80"/>
  <c r="BW177" i="80"/>
  <c r="BV177" i="80"/>
  <c r="BU177" i="80"/>
  <c r="BT177" i="80"/>
  <c r="BS177" i="80"/>
  <c r="BP177" i="80"/>
  <c r="BO177" i="80"/>
  <c r="BN177" i="80"/>
  <c r="BL177" i="80"/>
  <c r="BJ177" i="80"/>
  <c r="BH177" i="80"/>
  <c r="BF177" i="80"/>
  <c r="BD177" i="80"/>
  <c r="BC177" i="80" s="1"/>
  <c r="BB177" i="80"/>
  <c r="AZ177" i="80"/>
  <c r="AX177" i="80"/>
  <c r="AV177" i="80"/>
  <c r="AU177" i="80" s="1"/>
  <c r="AT177" i="80"/>
  <c r="AO177" i="80"/>
  <c r="AA177" i="80"/>
  <c r="Y177" i="80"/>
  <c r="S177" i="80"/>
  <c r="E177" i="80"/>
  <c r="AH177" i="80" s="1"/>
  <c r="D177" i="80"/>
  <c r="BX176" i="80"/>
  <c r="BW176" i="80"/>
  <c r="BV176" i="80"/>
  <c r="BU176" i="80"/>
  <c r="BT176" i="80"/>
  <c r="BS176" i="80"/>
  <c r="BP176" i="80"/>
  <c r="BO176" i="80"/>
  <c r="BN176" i="80"/>
  <c r="AA176" i="80"/>
  <c r="Y176" i="80"/>
  <c r="V176" i="80"/>
  <c r="S176" i="80"/>
  <c r="BX175" i="80"/>
  <c r="BW175" i="80"/>
  <c r="BV175" i="80"/>
  <c r="BU175" i="80"/>
  <c r="BT175" i="80"/>
  <c r="BS175" i="80"/>
  <c r="BP175" i="80"/>
  <c r="BO175" i="80"/>
  <c r="BN175" i="80"/>
  <c r="BL175" i="80"/>
  <c r="BJ175" i="80"/>
  <c r="BH175" i="80"/>
  <c r="BF175" i="80"/>
  <c r="BD175" i="80"/>
  <c r="BC175" i="80" s="1"/>
  <c r="BB175" i="80"/>
  <c r="AZ175" i="80"/>
  <c r="AX175" i="80"/>
  <c r="AV175" i="80"/>
  <c r="AU175" i="80" s="1"/>
  <c r="AT175" i="80"/>
  <c r="E175" i="80"/>
  <c r="AO175" i="80"/>
  <c r="AA175" i="80"/>
  <c r="Y175" i="80"/>
  <c r="S175" i="80"/>
  <c r="D175" i="80"/>
  <c r="BX174" i="80"/>
  <c r="BW174" i="80"/>
  <c r="BV174" i="80"/>
  <c r="BU174" i="80"/>
  <c r="BT174" i="80"/>
  <c r="BS174" i="80"/>
  <c r="BP174" i="80"/>
  <c r="BO174" i="80"/>
  <c r="BN174" i="80"/>
  <c r="AA174" i="80"/>
  <c r="Y174" i="80"/>
  <c r="V174" i="80"/>
  <c r="S174" i="80"/>
  <c r="BX173" i="80"/>
  <c r="BW173" i="80"/>
  <c r="BV173" i="80"/>
  <c r="BU173" i="80"/>
  <c r="BT173" i="80"/>
  <c r="BS173" i="80"/>
  <c r="BP173" i="80"/>
  <c r="BO173" i="80"/>
  <c r="BN173" i="80"/>
  <c r="BL173" i="80"/>
  <c r="BJ173" i="80"/>
  <c r="BH173" i="80"/>
  <c r="BF173" i="80"/>
  <c r="BD173" i="80"/>
  <c r="BC173" i="80" s="1"/>
  <c r="BB173" i="80"/>
  <c r="AZ173" i="80"/>
  <c r="AX173" i="80"/>
  <c r="AV173" i="80"/>
  <c r="AU173" i="80" s="1"/>
  <c r="AT173" i="80"/>
  <c r="AO173" i="80"/>
  <c r="AA173" i="80"/>
  <c r="Y173" i="80"/>
  <c r="S173" i="80"/>
  <c r="E173" i="80"/>
  <c r="AH173" i="80" s="1"/>
  <c r="D173" i="80"/>
  <c r="BX172" i="80"/>
  <c r="BW172" i="80"/>
  <c r="BV172" i="80"/>
  <c r="BU172" i="80"/>
  <c r="BT172" i="80"/>
  <c r="BS172" i="80"/>
  <c r="BP172" i="80"/>
  <c r="BO172" i="80"/>
  <c r="BN172" i="80"/>
  <c r="AA172" i="80"/>
  <c r="Y172" i="80"/>
  <c r="V172" i="80"/>
  <c r="S172" i="80"/>
  <c r="BX171" i="80"/>
  <c r="BW171" i="80"/>
  <c r="BV171" i="80"/>
  <c r="BU171" i="80"/>
  <c r="BT171" i="80"/>
  <c r="BS171" i="80"/>
  <c r="BP171" i="80"/>
  <c r="BO171" i="80"/>
  <c r="BN171" i="80"/>
  <c r="BL171" i="80"/>
  <c r="BJ171" i="80"/>
  <c r="BH171" i="80"/>
  <c r="BF171" i="80"/>
  <c r="BD171" i="80"/>
  <c r="BC171" i="80" s="1"/>
  <c r="BB171" i="80"/>
  <c r="AZ171" i="80"/>
  <c r="AX171" i="80"/>
  <c r="AV171" i="80"/>
  <c r="AU171" i="80" s="1"/>
  <c r="AT171" i="80"/>
  <c r="E171" i="80"/>
  <c r="AO171" i="80"/>
  <c r="AA171" i="80"/>
  <c r="Y171" i="80"/>
  <c r="S171" i="80"/>
  <c r="D171" i="80"/>
  <c r="BX170" i="80"/>
  <c r="BW170" i="80"/>
  <c r="BV170" i="80"/>
  <c r="BU170" i="80"/>
  <c r="BT170" i="80"/>
  <c r="BS170" i="80"/>
  <c r="BP170" i="80"/>
  <c r="BO170" i="80"/>
  <c r="BN170" i="80"/>
  <c r="AA170" i="80"/>
  <c r="Y170" i="80"/>
  <c r="V170" i="80"/>
  <c r="S170" i="80"/>
  <c r="BX169" i="80"/>
  <c r="BW169" i="80"/>
  <c r="BV169" i="80"/>
  <c r="BU169" i="80"/>
  <c r="BT169" i="80"/>
  <c r="BS169" i="80"/>
  <c r="BP169" i="80"/>
  <c r="BO169" i="80"/>
  <c r="BN169" i="80"/>
  <c r="BL169" i="80"/>
  <c r="BJ169" i="80"/>
  <c r="BH169" i="80"/>
  <c r="BF169" i="80"/>
  <c r="BD169" i="80"/>
  <c r="BC169" i="80" s="1"/>
  <c r="BB169" i="80"/>
  <c r="AZ169" i="80"/>
  <c r="AX169" i="80"/>
  <c r="AV169" i="80"/>
  <c r="AU169" i="80" s="1"/>
  <c r="AT169" i="80"/>
  <c r="AO169" i="80"/>
  <c r="AA169" i="80"/>
  <c r="Y169" i="80"/>
  <c r="S169" i="80"/>
  <c r="E169" i="80"/>
  <c r="AH169" i="80" s="1"/>
  <c r="D169" i="80"/>
  <c r="BX168" i="80"/>
  <c r="BW168" i="80"/>
  <c r="BV168" i="80"/>
  <c r="BU168" i="80"/>
  <c r="BT168" i="80"/>
  <c r="BS168" i="80"/>
  <c r="BP168" i="80"/>
  <c r="BO168" i="80"/>
  <c r="BN168" i="80"/>
  <c r="AA168" i="80"/>
  <c r="Y168" i="80"/>
  <c r="V168" i="80"/>
  <c r="S168" i="80"/>
  <c r="BX167" i="80"/>
  <c r="BW167" i="80"/>
  <c r="BV167" i="80"/>
  <c r="BU167" i="80"/>
  <c r="BT167" i="80"/>
  <c r="BS167" i="80"/>
  <c r="BP167" i="80"/>
  <c r="BO167" i="80"/>
  <c r="BN167" i="80"/>
  <c r="BL167" i="80"/>
  <c r="BJ167" i="80"/>
  <c r="BH167" i="80"/>
  <c r="BF167" i="80"/>
  <c r="BD167" i="80"/>
  <c r="BC167" i="80" s="1"/>
  <c r="BB167" i="80"/>
  <c r="AZ167" i="80"/>
  <c r="AX167" i="80"/>
  <c r="AV167" i="80"/>
  <c r="AU167" i="80" s="1"/>
  <c r="AT167" i="80"/>
  <c r="E167" i="80"/>
  <c r="AO167" i="80"/>
  <c r="AA167" i="80"/>
  <c r="Y167" i="80"/>
  <c r="S167" i="80"/>
  <c r="D167" i="80"/>
  <c r="BX166" i="80"/>
  <c r="BW166" i="80"/>
  <c r="BV166" i="80"/>
  <c r="BU166" i="80"/>
  <c r="BT166" i="80"/>
  <c r="BS166" i="80"/>
  <c r="BP166" i="80"/>
  <c r="BO166" i="80"/>
  <c r="BN166" i="80"/>
  <c r="AA166" i="80"/>
  <c r="Y166" i="80"/>
  <c r="V166" i="80"/>
  <c r="S166" i="80"/>
  <c r="BX165" i="80"/>
  <c r="BW165" i="80"/>
  <c r="BV165" i="80"/>
  <c r="BU165" i="80"/>
  <c r="BT165" i="80"/>
  <c r="BS165" i="80"/>
  <c r="BP165" i="80"/>
  <c r="BO165" i="80"/>
  <c r="BN165" i="80"/>
  <c r="BL165" i="80"/>
  <c r="BJ165" i="80"/>
  <c r="BH165" i="80"/>
  <c r="BF165" i="80"/>
  <c r="BD165" i="80"/>
  <c r="BC165" i="80" s="1"/>
  <c r="BB165" i="80"/>
  <c r="AZ165" i="80"/>
  <c r="AX165" i="80"/>
  <c r="AV165" i="80"/>
  <c r="AU165" i="80" s="1"/>
  <c r="AT165" i="80"/>
  <c r="AO165" i="80"/>
  <c r="AA165" i="80"/>
  <c r="Y165" i="80"/>
  <c r="S165" i="80"/>
  <c r="E165" i="80"/>
  <c r="AH165" i="80" s="1"/>
  <c r="D165" i="80"/>
  <c r="BX164" i="80"/>
  <c r="BW164" i="80"/>
  <c r="BV164" i="80"/>
  <c r="BU164" i="80"/>
  <c r="BT164" i="80"/>
  <c r="BS164" i="80"/>
  <c r="BP164" i="80"/>
  <c r="BO164" i="80"/>
  <c r="BN164" i="80"/>
  <c r="AA164" i="80"/>
  <c r="Y164" i="80"/>
  <c r="V164" i="80"/>
  <c r="S164" i="80"/>
  <c r="BX163" i="80"/>
  <c r="BW163" i="80"/>
  <c r="BV163" i="80"/>
  <c r="BU163" i="80"/>
  <c r="BT163" i="80"/>
  <c r="BS163" i="80"/>
  <c r="BP163" i="80"/>
  <c r="BO163" i="80"/>
  <c r="BN163" i="80"/>
  <c r="BL163" i="80"/>
  <c r="BJ163" i="80"/>
  <c r="BH163" i="80"/>
  <c r="BF163" i="80"/>
  <c r="BD163" i="80"/>
  <c r="BC163" i="80" s="1"/>
  <c r="BB163" i="80"/>
  <c r="AZ163" i="80"/>
  <c r="AX163" i="80"/>
  <c r="AV163" i="80"/>
  <c r="AU163" i="80" s="1"/>
  <c r="AT163" i="80"/>
  <c r="E163" i="80"/>
  <c r="AO163" i="80"/>
  <c r="AA163" i="80"/>
  <c r="Y163" i="80"/>
  <c r="S163" i="80"/>
  <c r="D163" i="80"/>
  <c r="BX162" i="80"/>
  <c r="BW162" i="80"/>
  <c r="BV162" i="80"/>
  <c r="BU162" i="80"/>
  <c r="BT162" i="80"/>
  <c r="BS162" i="80"/>
  <c r="BP162" i="80"/>
  <c r="BO162" i="80"/>
  <c r="BN162" i="80"/>
  <c r="AA162" i="80"/>
  <c r="Y162" i="80"/>
  <c r="V162" i="80"/>
  <c r="S162" i="80"/>
  <c r="BX161" i="80"/>
  <c r="BW161" i="80"/>
  <c r="BV161" i="80"/>
  <c r="BU161" i="80"/>
  <c r="BT161" i="80"/>
  <c r="BS161" i="80"/>
  <c r="BP161" i="80"/>
  <c r="BO161" i="80"/>
  <c r="BN161" i="80"/>
  <c r="BL161" i="80"/>
  <c r="BJ161" i="80"/>
  <c r="BH161" i="80"/>
  <c r="BF161" i="80"/>
  <c r="BD161" i="80"/>
  <c r="BC161" i="80" s="1"/>
  <c r="BB161" i="80"/>
  <c r="AZ161" i="80"/>
  <c r="AX161" i="80"/>
  <c r="AV161" i="80"/>
  <c r="AU161" i="80" s="1"/>
  <c r="AT161" i="80"/>
  <c r="AO161" i="80"/>
  <c r="AA161" i="80"/>
  <c r="Y161" i="80"/>
  <c r="S161" i="80"/>
  <c r="E161" i="80"/>
  <c r="AH161" i="80" s="1"/>
  <c r="D161" i="80"/>
  <c r="BX160" i="80"/>
  <c r="BW160" i="80"/>
  <c r="BV160" i="80"/>
  <c r="BU160" i="80"/>
  <c r="BT160" i="80"/>
  <c r="BS160" i="80"/>
  <c r="BP160" i="80"/>
  <c r="BO160" i="80"/>
  <c r="BN160" i="80"/>
  <c r="AA160" i="80"/>
  <c r="Y160" i="80"/>
  <c r="V160" i="80"/>
  <c r="S160" i="80"/>
  <c r="BX159" i="80"/>
  <c r="BW159" i="80"/>
  <c r="BV159" i="80"/>
  <c r="BU159" i="80"/>
  <c r="BT159" i="80"/>
  <c r="BS159" i="80"/>
  <c r="BP159" i="80"/>
  <c r="BO159" i="80"/>
  <c r="BN159" i="80"/>
  <c r="BL159" i="80"/>
  <c r="BJ159" i="80"/>
  <c r="BH159" i="80"/>
  <c r="BF159" i="80"/>
  <c r="BD159" i="80"/>
  <c r="BC159" i="80" s="1"/>
  <c r="BB159" i="80"/>
  <c r="AZ159" i="80"/>
  <c r="AX159" i="80"/>
  <c r="AV159" i="80"/>
  <c r="AU159" i="80" s="1"/>
  <c r="AT159" i="80"/>
  <c r="E159" i="80"/>
  <c r="AO159" i="80"/>
  <c r="AA159" i="80"/>
  <c r="Y159" i="80"/>
  <c r="S159" i="80"/>
  <c r="D159" i="80"/>
  <c r="BX158" i="80"/>
  <c r="BW158" i="80"/>
  <c r="BV158" i="80"/>
  <c r="BU158" i="80"/>
  <c r="BT158" i="80"/>
  <c r="BS158" i="80"/>
  <c r="BP158" i="80"/>
  <c r="BO158" i="80"/>
  <c r="BN158" i="80"/>
  <c r="AA158" i="80"/>
  <c r="Y158" i="80"/>
  <c r="V158" i="80"/>
  <c r="S158" i="80"/>
  <c r="BX157" i="80"/>
  <c r="BW157" i="80"/>
  <c r="BV157" i="80"/>
  <c r="BU157" i="80"/>
  <c r="BT157" i="80"/>
  <c r="BS157" i="80"/>
  <c r="BP157" i="80"/>
  <c r="BO157" i="80"/>
  <c r="BN157" i="80"/>
  <c r="BL157" i="80"/>
  <c r="BJ157" i="80"/>
  <c r="BH157" i="80"/>
  <c r="BF157" i="80"/>
  <c r="BD157" i="80"/>
  <c r="BC157" i="80" s="1"/>
  <c r="BB157" i="80"/>
  <c r="AZ157" i="80"/>
  <c r="AX157" i="80"/>
  <c r="AV157" i="80"/>
  <c r="AU157" i="80" s="1"/>
  <c r="AT157" i="80"/>
  <c r="E157" i="80"/>
  <c r="AO157" i="80"/>
  <c r="AA157" i="80"/>
  <c r="Y157" i="80"/>
  <c r="S157" i="80"/>
  <c r="D157" i="80"/>
  <c r="BX156" i="80"/>
  <c r="BW156" i="80"/>
  <c r="BV156" i="80"/>
  <c r="BU156" i="80"/>
  <c r="BT156" i="80"/>
  <c r="BS156" i="80"/>
  <c r="BP156" i="80"/>
  <c r="BO156" i="80"/>
  <c r="BN156" i="80"/>
  <c r="AA156" i="80"/>
  <c r="Y156" i="80"/>
  <c r="V156" i="80"/>
  <c r="S156" i="80"/>
  <c r="BX155" i="80"/>
  <c r="BW155" i="80"/>
  <c r="BV155" i="80"/>
  <c r="BU155" i="80"/>
  <c r="BT155" i="80"/>
  <c r="BS155" i="80"/>
  <c r="BP155" i="80"/>
  <c r="BO155" i="80"/>
  <c r="BN155" i="80"/>
  <c r="BL155" i="80"/>
  <c r="BJ155" i="80"/>
  <c r="BH155" i="80"/>
  <c r="BF155" i="80"/>
  <c r="BD155" i="80"/>
  <c r="BC155" i="80" s="1"/>
  <c r="BB155" i="80"/>
  <c r="AZ155" i="80"/>
  <c r="AX155" i="80"/>
  <c r="AV155" i="80"/>
  <c r="AU155" i="80" s="1"/>
  <c r="AT155" i="80"/>
  <c r="AO155" i="80"/>
  <c r="AA155" i="80"/>
  <c r="Y155" i="80"/>
  <c r="S155" i="80"/>
  <c r="E155" i="80"/>
  <c r="AJ155" i="80" s="1"/>
  <c r="D155" i="80"/>
  <c r="BX154" i="80"/>
  <c r="BW154" i="80"/>
  <c r="BV154" i="80"/>
  <c r="BU154" i="80"/>
  <c r="BT154" i="80"/>
  <c r="BS154" i="80"/>
  <c r="BP154" i="80"/>
  <c r="BO154" i="80"/>
  <c r="BN154" i="80"/>
  <c r="AA154" i="80"/>
  <c r="Y154" i="80"/>
  <c r="V154" i="80"/>
  <c r="S154" i="80"/>
  <c r="BX153" i="80"/>
  <c r="BW153" i="80"/>
  <c r="BV153" i="80"/>
  <c r="BU153" i="80"/>
  <c r="BT153" i="80"/>
  <c r="BS153" i="80"/>
  <c r="BP153" i="80"/>
  <c r="BO153" i="80"/>
  <c r="BN153" i="80"/>
  <c r="BL153" i="80"/>
  <c r="BJ153" i="80"/>
  <c r="BH153" i="80"/>
  <c r="BF153" i="80"/>
  <c r="BD153" i="80"/>
  <c r="BC153" i="80" s="1"/>
  <c r="BB153" i="80"/>
  <c r="AZ153" i="80"/>
  <c r="AX153" i="80"/>
  <c r="AV153" i="80"/>
  <c r="AU153" i="80" s="1"/>
  <c r="AT153" i="80"/>
  <c r="E153" i="80"/>
  <c r="AO153" i="80"/>
  <c r="AA153" i="80"/>
  <c r="Y153" i="80"/>
  <c r="S153" i="80"/>
  <c r="D153" i="80"/>
  <c r="BX152" i="80"/>
  <c r="BW152" i="80"/>
  <c r="BV152" i="80"/>
  <c r="BU152" i="80"/>
  <c r="BT152" i="80"/>
  <c r="BS152" i="80"/>
  <c r="BP152" i="80"/>
  <c r="BO152" i="80"/>
  <c r="BN152" i="80"/>
  <c r="AA152" i="80"/>
  <c r="Y152" i="80"/>
  <c r="V152" i="80"/>
  <c r="S152" i="80"/>
  <c r="BX151" i="80"/>
  <c r="BW151" i="80"/>
  <c r="BV151" i="80"/>
  <c r="BU151" i="80"/>
  <c r="BT151" i="80"/>
  <c r="BS151" i="80"/>
  <c r="BP151" i="80"/>
  <c r="BO151" i="80"/>
  <c r="BN151" i="80"/>
  <c r="BL151" i="80"/>
  <c r="BJ151" i="80"/>
  <c r="BH151" i="80"/>
  <c r="BF151" i="80"/>
  <c r="BD151" i="80"/>
  <c r="BC151" i="80" s="1"/>
  <c r="BB151" i="80"/>
  <c r="AZ151" i="80"/>
  <c r="AX151" i="80"/>
  <c r="AV151" i="80"/>
  <c r="AU151" i="80" s="1"/>
  <c r="AT151" i="80"/>
  <c r="AO151" i="80"/>
  <c r="AA151" i="80"/>
  <c r="Y151" i="80"/>
  <c r="S151" i="80"/>
  <c r="E151" i="80"/>
  <c r="AJ151" i="80" s="1"/>
  <c r="D151" i="80"/>
  <c r="BX150" i="80"/>
  <c r="BW150" i="80"/>
  <c r="BV150" i="80"/>
  <c r="BU150" i="80"/>
  <c r="BT150" i="80"/>
  <c r="BS150" i="80"/>
  <c r="BP150" i="80"/>
  <c r="BO150" i="80"/>
  <c r="BN150" i="80"/>
  <c r="AA150" i="80"/>
  <c r="Y150" i="80"/>
  <c r="V150" i="80"/>
  <c r="S150" i="80"/>
  <c r="BX149" i="80"/>
  <c r="BW149" i="80"/>
  <c r="BV149" i="80"/>
  <c r="BU149" i="80"/>
  <c r="BT149" i="80"/>
  <c r="BS149" i="80"/>
  <c r="BP149" i="80"/>
  <c r="BO149" i="80"/>
  <c r="BN149" i="80"/>
  <c r="BL149" i="80"/>
  <c r="BJ149" i="80"/>
  <c r="BH149" i="80"/>
  <c r="BF149" i="80"/>
  <c r="BD149" i="80"/>
  <c r="BC149" i="80" s="1"/>
  <c r="BB149" i="80"/>
  <c r="AZ149" i="80"/>
  <c r="AX149" i="80"/>
  <c r="AV149" i="80"/>
  <c r="AU149" i="80" s="1"/>
  <c r="AT149" i="80"/>
  <c r="E149" i="80"/>
  <c r="AO149" i="80"/>
  <c r="AA149" i="80"/>
  <c r="Y149" i="80"/>
  <c r="S149" i="80"/>
  <c r="D149" i="80"/>
  <c r="BX148" i="80"/>
  <c r="BW148" i="80"/>
  <c r="BV148" i="80"/>
  <c r="BU148" i="80"/>
  <c r="BT148" i="80"/>
  <c r="BS148" i="80"/>
  <c r="BP148" i="80"/>
  <c r="BO148" i="80"/>
  <c r="BN148" i="80"/>
  <c r="AA148" i="80"/>
  <c r="Y148" i="80"/>
  <c r="V148" i="80"/>
  <c r="S148" i="80"/>
  <c r="BX147" i="80"/>
  <c r="BW147" i="80"/>
  <c r="BV147" i="80"/>
  <c r="BU147" i="80"/>
  <c r="BT147" i="80"/>
  <c r="BS147" i="80"/>
  <c r="BP147" i="80"/>
  <c r="BO147" i="80"/>
  <c r="BN147" i="80"/>
  <c r="BL147" i="80"/>
  <c r="BJ147" i="80"/>
  <c r="BH147" i="80"/>
  <c r="BF147" i="80"/>
  <c r="BD147" i="80"/>
  <c r="BC147" i="80" s="1"/>
  <c r="BB147" i="80"/>
  <c r="AZ147" i="80"/>
  <c r="AX147" i="80"/>
  <c r="AV147" i="80"/>
  <c r="AU147" i="80" s="1"/>
  <c r="AT147" i="80"/>
  <c r="AO147" i="80"/>
  <c r="AA147" i="80"/>
  <c r="Y147" i="80"/>
  <c r="S147" i="80"/>
  <c r="E147" i="80"/>
  <c r="AJ147" i="80" s="1"/>
  <c r="D147" i="80"/>
  <c r="BX146" i="80"/>
  <c r="BW146" i="80"/>
  <c r="BV146" i="80"/>
  <c r="BU146" i="80"/>
  <c r="BT146" i="80"/>
  <c r="BS146" i="80"/>
  <c r="BP146" i="80"/>
  <c r="BO146" i="80"/>
  <c r="BN146" i="80"/>
  <c r="AA146" i="80"/>
  <c r="Y146" i="80"/>
  <c r="V146" i="80"/>
  <c r="S146" i="80"/>
  <c r="BX145" i="80"/>
  <c r="BW145" i="80"/>
  <c r="BV145" i="80"/>
  <c r="BU145" i="80"/>
  <c r="BT145" i="80"/>
  <c r="BS145" i="80"/>
  <c r="BP145" i="80"/>
  <c r="BO145" i="80"/>
  <c r="BN145" i="80"/>
  <c r="BL145" i="80"/>
  <c r="BJ145" i="80"/>
  <c r="BH145" i="80"/>
  <c r="BF145" i="80"/>
  <c r="BD145" i="80"/>
  <c r="BC145" i="80" s="1"/>
  <c r="BB145" i="80"/>
  <c r="AZ145" i="80"/>
  <c r="AX145" i="80"/>
  <c r="AV145" i="80"/>
  <c r="AU145" i="80" s="1"/>
  <c r="AT145" i="80"/>
  <c r="E145" i="80"/>
  <c r="AO145" i="80"/>
  <c r="AA145" i="80"/>
  <c r="Y145" i="80"/>
  <c r="S145" i="80"/>
  <c r="D145" i="80"/>
  <c r="BX144" i="80"/>
  <c r="BW144" i="80"/>
  <c r="BV144" i="80"/>
  <c r="BU144" i="80"/>
  <c r="BT144" i="80"/>
  <c r="BS144" i="80"/>
  <c r="BP144" i="80"/>
  <c r="BO144" i="80"/>
  <c r="BN144" i="80"/>
  <c r="AA144" i="80"/>
  <c r="Y144" i="80"/>
  <c r="V144" i="80"/>
  <c r="S144" i="80"/>
  <c r="BX143" i="80"/>
  <c r="BW143" i="80"/>
  <c r="BV143" i="80"/>
  <c r="BU143" i="80"/>
  <c r="BT143" i="80"/>
  <c r="BS143" i="80"/>
  <c r="BP143" i="80"/>
  <c r="BO143" i="80"/>
  <c r="BN143" i="80"/>
  <c r="BL143" i="80"/>
  <c r="BJ143" i="80"/>
  <c r="BH143" i="80"/>
  <c r="BF143" i="80"/>
  <c r="BD143" i="80"/>
  <c r="BC143" i="80" s="1"/>
  <c r="BB143" i="80"/>
  <c r="AZ143" i="80"/>
  <c r="AX143" i="80"/>
  <c r="AV143" i="80"/>
  <c r="AU143" i="80" s="1"/>
  <c r="AT143" i="80"/>
  <c r="AO143" i="80"/>
  <c r="AA143" i="80"/>
  <c r="Y143" i="80"/>
  <c r="S143" i="80"/>
  <c r="E143" i="80"/>
  <c r="AJ143" i="80" s="1"/>
  <c r="D143" i="80"/>
  <c r="BX142" i="80"/>
  <c r="BW142" i="80"/>
  <c r="BV142" i="80"/>
  <c r="BU142" i="80"/>
  <c r="BT142" i="80"/>
  <c r="BS142" i="80"/>
  <c r="BP142" i="80"/>
  <c r="BO142" i="80"/>
  <c r="BN142" i="80"/>
  <c r="AA142" i="80"/>
  <c r="Y142" i="80"/>
  <c r="V142" i="80"/>
  <c r="S142" i="80"/>
  <c r="BX141" i="80"/>
  <c r="BW141" i="80"/>
  <c r="BV141" i="80"/>
  <c r="BU141" i="80"/>
  <c r="BT141" i="80"/>
  <c r="BS141" i="80"/>
  <c r="BP141" i="80"/>
  <c r="BO141" i="80"/>
  <c r="BN141" i="80"/>
  <c r="BL141" i="80"/>
  <c r="BJ141" i="80"/>
  <c r="BH141" i="80"/>
  <c r="BF141" i="80"/>
  <c r="BD141" i="80"/>
  <c r="BC141" i="80" s="1"/>
  <c r="BB141" i="80"/>
  <c r="AZ141" i="80"/>
  <c r="AX141" i="80"/>
  <c r="AV141" i="80"/>
  <c r="AU141" i="80" s="1"/>
  <c r="AT141" i="80"/>
  <c r="E141" i="80"/>
  <c r="AO141" i="80"/>
  <c r="AA141" i="80"/>
  <c r="Y141" i="80"/>
  <c r="S141" i="80"/>
  <c r="D141" i="80"/>
  <c r="BX140" i="80"/>
  <c r="BW140" i="80"/>
  <c r="BV140" i="80"/>
  <c r="BU140" i="80"/>
  <c r="BT140" i="80"/>
  <c r="BS140" i="80"/>
  <c r="BP140" i="80"/>
  <c r="BO140" i="80"/>
  <c r="BN140" i="80"/>
  <c r="AA140" i="80"/>
  <c r="Y140" i="80"/>
  <c r="V140" i="80"/>
  <c r="S140" i="80"/>
  <c r="BX139" i="80"/>
  <c r="BW139" i="80"/>
  <c r="BV139" i="80"/>
  <c r="BU139" i="80"/>
  <c r="BT139" i="80"/>
  <c r="BS139" i="80"/>
  <c r="BP139" i="80"/>
  <c r="BO139" i="80"/>
  <c r="BN139" i="80"/>
  <c r="BL139" i="80"/>
  <c r="BJ139" i="80"/>
  <c r="BH139" i="80"/>
  <c r="BF139" i="80"/>
  <c r="BD139" i="80"/>
  <c r="BC139" i="80" s="1"/>
  <c r="BB139" i="80"/>
  <c r="AZ139" i="80"/>
  <c r="AX139" i="80"/>
  <c r="AV139" i="80"/>
  <c r="AU139" i="80" s="1"/>
  <c r="AT139" i="80"/>
  <c r="AO139" i="80"/>
  <c r="AA139" i="80"/>
  <c r="Y139" i="80"/>
  <c r="S139" i="80"/>
  <c r="E139" i="80"/>
  <c r="AJ139" i="80" s="1"/>
  <c r="D139" i="80"/>
  <c r="BX138" i="80"/>
  <c r="BW138" i="80"/>
  <c r="BV138" i="80"/>
  <c r="BU138" i="80"/>
  <c r="BT138" i="80"/>
  <c r="BS138" i="80"/>
  <c r="BP138" i="80"/>
  <c r="BO138" i="80"/>
  <c r="BN138" i="80"/>
  <c r="AA138" i="80"/>
  <c r="Y138" i="80"/>
  <c r="V138" i="80"/>
  <c r="S138" i="80"/>
  <c r="BX137" i="80"/>
  <c r="BW137" i="80"/>
  <c r="BV137" i="80"/>
  <c r="BU137" i="80"/>
  <c r="BT137" i="80"/>
  <c r="BS137" i="80"/>
  <c r="BP137" i="80"/>
  <c r="BO137" i="80"/>
  <c r="BN137" i="80"/>
  <c r="BL137" i="80"/>
  <c r="BJ137" i="80"/>
  <c r="BH137" i="80"/>
  <c r="BF137" i="80"/>
  <c r="BD137" i="80"/>
  <c r="BC137" i="80" s="1"/>
  <c r="BB137" i="80"/>
  <c r="AZ137" i="80"/>
  <c r="AX137" i="80"/>
  <c r="AV137" i="80"/>
  <c r="AU137" i="80" s="1"/>
  <c r="AT137" i="80"/>
  <c r="E137" i="80"/>
  <c r="AO137" i="80"/>
  <c r="AA137" i="80"/>
  <c r="Y137" i="80"/>
  <c r="S137" i="80"/>
  <c r="D137" i="80"/>
  <c r="BX136" i="80"/>
  <c r="BW136" i="80"/>
  <c r="BV136" i="80"/>
  <c r="BU136" i="80"/>
  <c r="BT136" i="80"/>
  <c r="BS136" i="80"/>
  <c r="BP136" i="80"/>
  <c r="BO136" i="80"/>
  <c r="BN136" i="80"/>
  <c r="AA136" i="80"/>
  <c r="Y136" i="80"/>
  <c r="V136" i="80"/>
  <c r="S136" i="80"/>
  <c r="BX135" i="80"/>
  <c r="BW135" i="80"/>
  <c r="BV135" i="80"/>
  <c r="BU135" i="80"/>
  <c r="BT135" i="80"/>
  <c r="BS135" i="80"/>
  <c r="BP135" i="80"/>
  <c r="BO135" i="80"/>
  <c r="BN135" i="80"/>
  <c r="BL135" i="80"/>
  <c r="BJ135" i="80"/>
  <c r="BH135" i="80"/>
  <c r="BF135" i="80"/>
  <c r="BD135" i="80"/>
  <c r="BC135" i="80" s="1"/>
  <c r="BB135" i="80"/>
  <c r="AZ135" i="80"/>
  <c r="AX135" i="80"/>
  <c r="AV135" i="80"/>
  <c r="AU135" i="80" s="1"/>
  <c r="AT135" i="80"/>
  <c r="AO135" i="80"/>
  <c r="AA135" i="80"/>
  <c r="Y135" i="80"/>
  <c r="S135" i="80"/>
  <c r="E135" i="80"/>
  <c r="AJ135" i="80" s="1"/>
  <c r="D135" i="80"/>
  <c r="BX134" i="80"/>
  <c r="BW134" i="80"/>
  <c r="BV134" i="80"/>
  <c r="BU134" i="80"/>
  <c r="BT134" i="80"/>
  <c r="BS134" i="80"/>
  <c r="BP134" i="80"/>
  <c r="BO134" i="80"/>
  <c r="BN134" i="80"/>
  <c r="AA134" i="80"/>
  <c r="Y134" i="80"/>
  <c r="V134" i="80"/>
  <c r="S134" i="80"/>
  <c r="BX133" i="80"/>
  <c r="BW133" i="80"/>
  <c r="BV133" i="80"/>
  <c r="BU133" i="80"/>
  <c r="BT133" i="80"/>
  <c r="BS133" i="80"/>
  <c r="BP133" i="80"/>
  <c r="BO133" i="80"/>
  <c r="BN133" i="80"/>
  <c r="BL133" i="80"/>
  <c r="BJ133" i="80"/>
  <c r="BH133" i="80"/>
  <c r="BF133" i="80"/>
  <c r="BD133" i="80"/>
  <c r="BC133" i="80" s="1"/>
  <c r="BB133" i="80"/>
  <c r="AZ133" i="80"/>
  <c r="AX133" i="80"/>
  <c r="AV133" i="80"/>
  <c r="AU133" i="80" s="1"/>
  <c r="AT133" i="80"/>
  <c r="E133" i="80"/>
  <c r="AO133" i="80"/>
  <c r="AA133" i="80"/>
  <c r="Y133" i="80"/>
  <c r="S133" i="80"/>
  <c r="D133" i="80"/>
  <c r="BX132" i="80"/>
  <c r="BW132" i="80"/>
  <c r="BV132" i="80"/>
  <c r="BU132" i="80"/>
  <c r="BT132" i="80"/>
  <c r="BS132" i="80"/>
  <c r="BP132" i="80"/>
  <c r="BO132" i="80"/>
  <c r="BN132" i="80"/>
  <c r="AA132" i="80"/>
  <c r="Y132" i="80"/>
  <c r="V132" i="80"/>
  <c r="S132" i="80"/>
  <c r="BX131" i="80"/>
  <c r="BW131" i="80"/>
  <c r="BV131" i="80"/>
  <c r="BU131" i="80"/>
  <c r="BT131" i="80"/>
  <c r="BS131" i="80"/>
  <c r="BP131" i="80"/>
  <c r="BO131" i="80"/>
  <c r="BN131" i="80"/>
  <c r="BL131" i="80"/>
  <c r="BJ131" i="80"/>
  <c r="BH131" i="80"/>
  <c r="BF131" i="80"/>
  <c r="BD131" i="80"/>
  <c r="BC131" i="80" s="1"/>
  <c r="BB131" i="80"/>
  <c r="AZ131" i="80"/>
  <c r="AX131" i="80"/>
  <c r="AV131" i="80"/>
  <c r="AU131" i="80" s="1"/>
  <c r="AT131" i="80"/>
  <c r="E131" i="80"/>
  <c r="AO131" i="80"/>
  <c r="AA131" i="80"/>
  <c r="Y131" i="80"/>
  <c r="S131" i="80"/>
  <c r="D131" i="80"/>
  <c r="BX130" i="80"/>
  <c r="BW130" i="80"/>
  <c r="BV130" i="80"/>
  <c r="BU130" i="80"/>
  <c r="BT130" i="80"/>
  <c r="BS130" i="80"/>
  <c r="BP130" i="80"/>
  <c r="BO130" i="80"/>
  <c r="BN130" i="80"/>
  <c r="AA130" i="80"/>
  <c r="Y130" i="80"/>
  <c r="V130" i="80"/>
  <c r="S130" i="80"/>
  <c r="BX129" i="80"/>
  <c r="BW129" i="80"/>
  <c r="BV129" i="80"/>
  <c r="BU129" i="80"/>
  <c r="BT129" i="80"/>
  <c r="BS129" i="80"/>
  <c r="BP129" i="80"/>
  <c r="BO129" i="80"/>
  <c r="BN129" i="80"/>
  <c r="BL129" i="80"/>
  <c r="BJ129" i="80"/>
  <c r="BH129" i="80"/>
  <c r="BF129" i="80"/>
  <c r="BD129" i="80"/>
  <c r="BC129" i="80" s="1"/>
  <c r="BB129" i="80"/>
  <c r="AZ129" i="80"/>
  <c r="AX129" i="80"/>
  <c r="AV129" i="80"/>
  <c r="AU129" i="80" s="1"/>
  <c r="AT129" i="80"/>
  <c r="AO129" i="80"/>
  <c r="AA129" i="80"/>
  <c r="Y129" i="80"/>
  <c r="S129" i="80"/>
  <c r="E129" i="80"/>
  <c r="AJ129" i="80" s="1"/>
  <c r="D129" i="80"/>
  <c r="BX128" i="80"/>
  <c r="BW128" i="80"/>
  <c r="BV128" i="80"/>
  <c r="BU128" i="80"/>
  <c r="BT128" i="80"/>
  <c r="BS128" i="80"/>
  <c r="BP128" i="80"/>
  <c r="BO128" i="80"/>
  <c r="BN128" i="80"/>
  <c r="AA128" i="80"/>
  <c r="Y128" i="80"/>
  <c r="V128" i="80"/>
  <c r="S128" i="80"/>
  <c r="BX127" i="80"/>
  <c r="BW127" i="80"/>
  <c r="BV127" i="80"/>
  <c r="BU127" i="80"/>
  <c r="BT127" i="80"/>
  <c r="BS127" i="80"/>
  <c r="BP127" i="80"/>
  <c r="BO127" i="80"/>
  <c r="BN127" i="80"/>
  <c r="BL127" i="80"/>
  <c r="BJ127" i="80"/>
  <c r="BH127" i="80"/>
  <c r="BF127" i="80"/>
  <c r="BD127" i="80"/>
  <c r="BC127" i="80" s="1"/>
  <c r="BB127" i="80"/>
  <c r="AZ127" i="80"/>
  <c r="AX127" i="80"/>
  <c r="AV127" i="80"/>
  <c r="AU127" i="80" s="1"/>
  <c r="AT127" i="80"/>
  <c r="E127" i="80"/>
  <c r="AO127" i="80"/>
  <c r="AA127" i="80"/>
  <c r="Y127" i="80"/>
  <c r="S127" i="80"/>
  <c r="D127" i="80"/>
  <c r="BX126" i="80"/>
  <c r="BW126" i="80"/>
  <c r="BV126" i="80"/>
  <c r="BU126" i="80"/>
  <c r="BT126" i="80"/>
  <c r="BS126" i="80"/>
  <c r="BP126" i="80"/>
  <c r="BO126" i="80"/>
  <c r="BN126" i="80"/>
  <c r="AA126" i="80"/>
  <c r="Y126" i="80"/>
  <c r="V126" i="80"/>
  <c r="S126" i="80"/>
  <c r="BX125" i="80"/>
  <c r="BW125" i="80"/>
  <c r="BV125" i="80"/>
  <c r="BU125" i="80"/>
  <c r="BT125" i="80"/>
  <c r="BS125" i="80"/>
  <c r="BP125" i="80"/>
  <c r="BO125" i="80"/>
  <c r="BN125" i="80"/>
  <c r="BL125" i="80"/>
  <c r="BJ125" i="80"/>
  <c r="BH125" i="80"/>
  <c r="BF125" i="80"/>
  <c r="BD125" i="80"/>
  <c r="BC125" i="80" s="1"/>
  <c r="BB125" i="80"/>
  <c r="AZ125" i="80"/>
  <c r="AX125" i="80"/>
  <c r="AV125" i="80"/>
  <c r="AU125" i="80" s="1"/>
  <c r="AT125" i="80"/>
  <c r="AO125" i="80"/>
  <c r="AA125" i="80"/>
  <c r="Y125" i="80"/>
  <c r="S125" i="80"/>
  <c r="E125" i="80"/>
  <c r="AJ125" i="80" s="1"/>
  <c r="D125" i="80"/>
  <c r="BX124" i="80"/>
  <c r="BW124" i="80"/>
  <c r="BV124" i="80"/>
  <c r="BU124" i="80"/>
  <c r="BT124" i="80"/>
  <c r="BS124" i="80"/>
  <c r="BP124" i="80"/>
  <c r="BO124" i="80"/>
  <c r="BN124" i="80"/>
  <c r="AA124" i="80"/>
  <c r="Y124" i="80"/>
  <c r="V124" i="80"/>
  <c r="S124" i="80"/>
  <c r="BX123" i="80"/>
  <c r="BW123" i="80"/>
  <c r="BV123" i="80"/>
  <c r="BU123" i="80"/>
  <c r="BT123" i="80"/>
  <c r="BS123" i="80"/>
  <c r="BP123" i="80"/>
  <c r="BO123" i="80"/>
  <c r="BN123" i="80"/>
  <c r="BL123" i="80"/>
  <c r="BJ123" i="80"/>
  <c r="BH123" i="80"/>
  <c r="BF123" i="80"/>
  <c r="BD123" i="80"/>
  <c r="BC123" i="80" s="1"/>
  <c r="BB123" i="80"/>
  <c r="AZ123" i="80"/>
  <c r="AX123" i="80"/>
  <c r="AV123" i="80"/>
  <c r="AU123" i="80" s="1"/>
  <c r="AT123" i="80"/>
  <c r="E123" i="80"/>
  <c r="AO123" i="80"/>
  <c r="AA123" i="80"/>
  <c r="Y123" i="80"/>
  <c r="S123" i="80"/>
  <c r="D123" i="80"/>
  <c r="BX122" i="80"/>
  <c r="BW122" i="80"/>
  <c r="BV122" i="80"/>
  <c r="BU122" i="80"/>
  <c r="BT122" i="80"/>
  <c r="BS122" i="80"/>
  <c r="BP122" i="80"/>
  <c r="BO122" i="80"/>
  <c r="BN122" i="80"/>
  <c r="AA122" i="80"/>
  <c r="Y122" i="80"/>
  <c r="V122" i="80"/>
  <c r="S122" i="80"/>
  <c r="BX121" i="80"/>
  <c r="BW121" i="80"/>
  <c r="BV121" i="80"/>
  <c r="BU121" i="80"/>
  <c r="BT121" i="80"/>
  <c r="BS121" i="80"/>
  <c r="BP121" i="80"/>
  <c r="BO121" i="80"/>
  <c r="BN121" i="80"/>
  <c r="BL121" i="80"/>
  <c r="BJ121" i="80"/>
  <c r="BH121" i="80"/>
  <c r="BF121" i="80"/>
  <c r="BD121" i="80"/>
  <c r="BC121" i="80"/>
  <c r="BB121" i="80"/>
  <c r="AZ121" i="80"/>
  <c r="AX121" i="80"/>
  <c r="AV121" i="80"/>
  <c r="AU121" i="80" s="1"/>
  <c r="AT121" i="80"/>
  <c r="AO121" i="80"/>
  <c r="AA121" i="80"/>
  <c r="Y121" i="80"/>
  <c r="S121" i="80"/>
  <c r="E121" i="80"/>
  <c r="AJ121" i="80" s="1"/>
  <c r="D121" i="80"/>
  <c r="BX120" i="80"/>
  <c r="BW120" i="80"/>
  <c r="BV120" i="80"/>
  <c r="BU120" i="80"/>
  <c r="BT120" i="80"/>
  <c r="BS120" i="80"/>
  <c r="BP120" i="80"/>
  <c r="BO120" i="80"/>
  <c r="BN120" i="80"/>
  <c r="AA120" i="80"/>
  <c r="Y120" i="80"/>
  <c r="V120" i="80"/>
  <c r="S120" i="80"/>
  <c r="BX119" i="80"/>
  <c r="BW119" i="80"/>
  <c r="BV119" i="80"/>
  <c r="BU119" i="80"/>
  <c r="BT119" i="80"/>
  <c r="BS119" i="80"/>
  <c r="BP119" i="80"/>
  <c r="BO119" i="80"/>
  <c r="BN119" i="80"/>
  <c r="BL119" i="80"/>
  <c r="BJ119" i="80"/>
  <c r="BH119" i="80"/>
  <c r="BF119" i="80"/>
  <c r="BD119" i="80"/>
  <c r="BC119" i="80" s="1"/>
  <c r="BB119" i="80"/>
  <c r="AZ119" i="80"/>
  <c r="AX119" i="80"/>
  <c r="AV119" i="80"/>
  <c r="AU119" i="80" s="1"/>
  <c r="AT119" i="80"/>
  <c r="E119" i="80"/>
  <c r="AO119" i="80"/>
  <c r="AA119" i="80"/>
  <c r="Y119" i="80"/>
  <c r="S119" i="80"/>
  <c r="D119" i="80"/>
  <c r="BX118" i="80"/>
  <c r="BW118" i="80"/>
  <c r="BV118" i="80"/>
  <c r="BU118" i="80"/>
  <c r="BT118" i="80"/>
  <c r="BS118" i="80"/>
  <c r="BP118" i="80"/>
  <c r="BO118" i="80"/>
  <c r="BN118" i="80"/>
  <c r="AA118" i="80"/>
  <c r="Y118" i="80"/>
  <c r="V118" i="80"/>
  <c r="S118" i="80"/>
  <c r="BX117" i="80"/>
  <c r="BW117" i="80"/>
  <c r="BV117" i="80"/>
  <c r="BU117" i="80"/>
  <c r="BT117" i="80"/>
  <c r="BS117" i="80"/>
  <c r="BP117" i="80"/>
  <c r="BO117" i="80"/>
  <c r="BN117" i="80"/>
  <c r="BL117" i="80"/>
  <c r="BJ117" i="80"/>
  <c r="BH117" i="80"/>
  <c r="BF117" i="80"/>
  <c r="BD117" i="80"/>
  <c r="BC117" i="80" s="1"/>
  <c r="BB117" i="80"/>
  <c r="AZ117" i="80"/>
  <c r="AX117" i="80"/>
  <c r="AV117" i="80"/>
  <c r="AU117" i="80" s="1"/>
  <c r="AT117" i="80"/>
  <c r="AO117" i="80"/>
  <c r="AA117" i="80"/>
  <c r="Y117" i="80"/>
  <c r="S117" i="80"/>
  <c r="E117" i="80"/>
  <c r="AJ117" i="80" s="1"/>
  <c r="D117" i="80"/>
  <c r="BX116" i="80"/>
  <c r="BW116" i="80"/>
  <c r="BV116" i="80"/>
  <c r="BU116" i="80"/>
  <c r="BT116" i="80"/>
  <c r="BS116" i="80"/>
  <c r="BP116" i="80"/>
  <c r="BO116" i="80"/>
  <c r="BN116" i="80"/>
  <c r="AA116" i="80"/>
  <c r="Y116" i="80"/>
  <c r="V116" i="80"/>
  <c r="S116" i="80"/>
  <c r="BX115" i="80"/>
  <c r="BW115" i="80"/>
  <c r="BV115" i="80"/>
  <c r="BU115" i="80"/>
  <c r="BT115" i="80"/>
  <c r="BS115" i="80"/>
  <c r="BP115" i="80"/>
  <c r="BO115" i="80"/>
  <c r="BN115" i="80"/>
  <c r="BL115" i="80"/>
  <c r="BJ115" i="80"/>
  <c r="BH115" i="80"/>
  <c r="BF115" i="80"/>
  <c r="BD115" i="80"/>
  <c r="BC115" i="80" s="1"/>
  <c r="BB115" i="80"/>
  <c r="AZ115" i="80"/>
  <c r="AX115" i="80"/>
  <c r="AV115" i="80"/>
  <c r="AU115" i="80" s="1"/>
  <c r="AT115" i="80"/>
  <c r="E115" i="80"/>
  <c r="AO115" i="80"/>
  <c r="AA115" i="80"/>
  <c r="Y115" i="80"/>
  <c r="S115" i="80"/>
  <c r="D115" i="80"/>
  <c r="BX114" i="80"/>
  <c r="BW114" i="80"/>
  <c r="BV114" i="80"/>
  <c r="BU114" i="80"/>
  <c r="BT114" i="80"/>
  <c r="BS114" i="80"/>
  <c r="BP114" i="80"/>
  <c r="BO114" i="80"/>
  <c r="BN114" i="80"/>
  <c r="AA114" i="80"/>
  <c r="Y114" i="80"/>
  <c r="V114" i="80"/>
  <c r="S114" i="80"/>
  <c r="BX113" i="80"/>
  <c r="BW113" i="80"/>
  <c r="BV113" i="80"/>
  <c r="BU113" i="80"/>
  <c r="BT113" i="80"/>
  <c r="BS113" i="80"/>
  <c r="BP113" i="80"/>
  <c r="BO113" i="80"/>
  <c r="BN113" i="80"/>
  <c r="BL113" i="80"/>
  <c r="BJ113" i="80"/>
  <c r="BH113" i="80"/>
  <c r="BF113" i="80"/>
  <c r="BD113" i="80"/>
  <c r="BC113" i="80" s="1"/>
  <c r="BB113" i="80"/>
  <c r="AZ113" i="80"/>
  <c r="AX113" i="80"/>
  <c r="AV113" i="80"/>
  <c r="AU113" i="80" s="1"/>
  <c r="AT113" i="80"/>
  <c r="AO113" i="80"/>
  <c r="AA113" i="80"/>
  <c r="Y113" i="80"/>
  <c r="S113" i="80"/>
  <c r="E113" i="80"/>
  <c r="AJ113" i="80" s="1"/>
  <c r="D113" i="80"/>
  <c r="BX112" i="80"/>
  <c r="BW112" i="80"/>
  <c r="BV112" i="80"/>
  <c r="BU112" i="80"/>
  <c r="BT112" i="80"/>
  <c r="BS112" i="80"/>
  <c r="BP112" i="80"/>
  <c r="BO112" i="80"/>
  <c r="BN112" i="80"/>
  <c r="AA112" i="80"/>
  <c r="Y112" i="80"/>
  <c r="V112" i="80"/>
  <c r="S112" i="80"/>
  <c r="BX111" i="80"/>
  <c r="BW111" i="80"/>
  <c r="BV111" i="80"/>
  <c r="BU111" i="80"/>
  <c r="BT111" i="80"/>
  <c r="BS111" i="80"/>
  <c r="BP111" i="80"/>
  <c r="BO111" i="80"/>
  <c r="BN111" i="80"/>
  <c r="BL111" i="80"/>
  <c r="BJ111" i="80"/>
  <c r="BH111" i="80"/>
  <c r="BF111" i="80"/>
  <c r="BD111" i="80"/>
  <c r="BC111" i="80" s="1"/>
  <c r="BB111" i="80"/>
  <c r="AZ111" i="80"/>
  <c r="AX111" i="80"/>
  <c r="AV111" i="80"/>
  <c r="AU111" i="80" s="1"/>
  <c r="AT111" i="80"/>
  <c r="E111" i="80"/>
  <c r="AO111" i="80"/>
  <c r="AA111" i="80"/>
  <c r="Y111" i="80"/>
  <c r="S111" i="80"/>
  <c r="D111" i="80"/>
  <c r="BX110" i="80"/>
  <c r="BW110" i="80"/>
  <c r="BV110" i="80"/>
  <c r="BU110" i="80"/>
  <c r="BT110" i="80"/>
  <c r="BS110" i="80"/>
  <c r="BP110" i="80"/>
  <c r="BO110" i="80"/>
  <c r="BN110" i="80"/>
  <c r="AA110" i="80"/>
  <c r="Y110" i="80"/>
  <c r="V110" i="80"/>
  <c r="S110" i="80"/>
  <c r="BX109" i="80"/>
  <c r="BW109" i="80"/>
  <c r="BV109" i="80"/>
  <c r="BU109" i="80"/>
  <c r="BT109" i="80"/>
  <c r="BS109" i="80"/>
  <c r="BP109" i="80"/>
  <c r="BO109" i="80"/>
  <c r="BN109" i="80"/>
  <c r="BL109" i="80"/>
  <c r="BJ109" i="80"/>
  <c r="BH109" i="80"/>
  <c r="BF109" i="80"/>
  <c r="BD109" i="80"/>
  <c r="BC109" i="80" s="1"/>
  <c r="BB109" i="80"/>
  <c r="AZ109" i="80"/>
  <c r="AX109" i="80"/>
  <c r="AV109" i="80"/>
  <c r="AU109" i="80" s="1"/>
  <c r="AT109" i="80"/>
  <c r="AO109" i="80"/>
  <c r="AA109" i="80"/>
  <c r="Y109" i="80"/>
  <c r="S109" i="80"/>
  <c r="E109" i="80"/>
  <c r="AJ109" i="80" s="1"/>
  <c r="D109" i="80"/>
  <c r="BX108" i="80"/>
  <c r="BW108" i="80"/>
  <c r="BV108" i="80"/>
  <c r="BU108" i="80"/>
  <c r="BT108" i="80"/>
  <c r="BS108" i="80"/>
  <c r="BP108" i="80"/>
  <c r="BO108" i="80"/>
  <c r="BN108" i="80"/>
  <c r="AA108" i="80"/>
  <c r="Y108" i="80"/>
  <c r="V108" i="80"/>
  <c r="S108" i="80"/>
  <c r="BX107" i="80"/>
  <c r="BW107" i="80"/>
  <c r="BV107" i="80"/>
  <c r="BU107" i="80"/>
  <c r="BT107" i="80"/>
  <c r="BS107" i="80"/>
  <c r="BP107" i="80"/>
  <c r="BO107" i="80"/>
  <c r="BN107" i="80"/>
  <c r="BL107" i="80"/>
  <c r="BJ107" i="80"/>
  <c r="BH107" i="80"/>
  <c r="BF107" i="80"/>
  <c r="BD107" i="80"/>
  <c r="BC107" i="80" s="1"/>
  <c r="BB107" i="80"/>
  <c r="AZ107" i="80"/>
  <c r="AX107" i="80"/>
  <c r="AV107" i="80"/>
  <c r="AU107" i="80" s="1"/>
  <c r="AT107" i="80"/>
  <c r="E107" i="80"/>
  <c r="AO107" i="80"/>
  <c r="AA107" i="80"/>
  <c r="Y107" i="80"/>
  <c r="S107" i="80"/>
  <c r="D107" i="80"/>
  <c r="BX106" i="80"/>
  <c r="BW106" i="80"/>
  <c r="BV106" i="80"/>
  <c r="BU106" i="80"/>
  <c r="BT106" i="80"/>
  <c r="BS106" i="80"/>
  <c r="BP106" i="80"/>
  <c r="BO106" i="80"/>
  <c r="BN106" i="80"/>
  <c r="AA106" i="80"/>
  <c r="Y106" i="80"/>
  <c r="V106" i="80"/>
  <c r="S106" i="80"/>
  <c r="BX105" i="80"/>
  <c r="BW105" i="80"/>
  <c r="BV105" i="80"/>
  <c r="BU105" i="80"/>
  <c r="BT105" i="80"/>
  <c r="BS105" i="80"/>
  <c r="BP105" i="80"/>
  <c r="BO105" i="80"/>
  <c r="BN105" i="80"/>
  <c r="BL105" i="80"/>
  <c r="BJ105" i="80"/>
  <c r="BH105" i="80"/>
  <c r="BF105" i="80"/>
  <c r="BD105" i="80"/>
  <c r="BC105" i="80" s="1"/>
  <c r="BB105" i="80"/>
  <c r="AZ105" i="80"/>
  <c r="AX105" i="80"/>
  <c r="AV105" i="80"/>
  <c r="AU105" i="80" s="1"/>
  <c r="AT105" i="80"/>
  <c r="AO105" i="80"/>
  <c r="AA105" i="80"/>
  <c r="Y105" i="80"/>
  <c r="S105" i="80"/>
  <c r="E105" i="80"/>
  <c r="AJ105" i="80" s="1"/>
  <c r="D105" i="80"/>
  <c r="BX104" i="80"/>
  <c r="BW104" i="80"/>
  <c r="BV104" i="80"/>
  <c r="BU104" i="80"/>
  <c r="BT104" i="80"/>
  <c r="BS104" i="80"/>
  <c r="BP104" i="80"/>
  <c r="BO104" i="80"/>
  <c r="BN104" i="80"/>
  <c r="AA104" i="80"/>
  <c r="Y104" i="80"/>
  <c r="V104" i="80"/>
  <c r="S104" i="80"/>
  <c r="BX103" i="80"/>
  <c r="BW103" i="80"/>
  <c r="BV103" i="80"/>
  <c r="BU103" i="80"/>
  <c r="BT103" i="80"/>
  <c r="BS103" i="80"/>
  <c r="BP103" i="80"/>
  <c r="BO103" i="80"/>
  <c r="BN103" i="80"/>
  <c r="BL103" i="80"/>
  <c r="BJ103" i="80"/>
  <c r="BH103" i="80"/>
  <c r="BF103" i="80"/>
  <c r="BD103" i="80"/>
  <c r="BC103" i="80" s="1"/>
  <c r="BB103" i="80"/>
  <c r="AZ103" i="80"/>
  <c r="AX103" i="80"/>
  <c r="AV103" i="80"/>
  <c r="AU103" i="80" s="1"/>
  <c r="AT103" i="80"/>
  <c r="AO103" i="80"/>
  <c r="AA103" i="80"/>
  <c r="Y103" i="80"/>
  <c r="S103" i="80"/>
  <c r="E103" i="80"/>
  <c r="D103" i="80"/>
  <c r="BX102" i="80"/>
  <c r="BW102" i="80"/>
  <c r="BV102" i="80"/>
  <c r="BU102" i="80"/>
  <c r="BT102" i="80"/>
  <c r="BS102" i="80"/>
  <c r="BP102" i="80"/>
  <c r="BO102" i="80"/>
  <c r="BN102" i="80"/>
  <c r="AA102" i="80"/>
  <c r="Y102" i="80"/>
  <c r="V102" i="80"/>
  <c r="S102" i="80"/>
  <c r="BX101" i="80"/>
  <c r="BW101" i="80"/>
  <c r="BV101" i="80"/>
  <c r="BU101" i="80"/>
  <c r="BT101" i="80"/>
  <c r="BS101" i="80"/>
  <c r="BP101" i="80"/>
  <c r="BO101" i="80"/>
  <c r="BN101" i="80"/>
  <c r="BL101" i="80"/>
  <c r="BJ101" i="80"/>
  <c r="BH101" i="80"/>
  <c r="BF101" i="80"/>
  <c r="BD101" i="80"/>
  <c r="BC101" i="80" s="1"/>
  <c r="BB101" i="80"/>
  <c r="AZ101" i="80"/>
  <c r="AX101" i="80"/>
  <c r="AV101" i="80"/>
  <c r="AU101" i="80" s="1"/>
  <c r="AT101" i="80"/>
  <c r="AO101" i="80"/>
  <c r="AA101" i="80"/>
  <c r="Y101" i="80"/>
  <c r="S101" i="80"/>
  <c r="E101" i="80"/>
  <c r="AJ101" i="80" s="1"/>
  <c r="D101" i="80"/>
  <c r="BX100" i="80"/>
  <c r="BW100" i="80"/>
  <c r="BV100" i="80"/>
  <c r="BU100" i="80"/>
  <c r="BT100" i="80"/>
  <c r="BS100" i="80"/>
  <c r="BP100" i="80"/>
  <c r="BO100" i="80"/>
  <c r="BN100" i="80"/>
  <c r="AA100" i="80"/>
  <c r="Y100" i="80"/>
  <c r="V100" i="80"/>
  <c r="S100" i="80"/>
  <c r="BX99" i="80"/>
  <c r="BW99" i="80"/>
  <c r="BV99" i="80"/>
  <c r="BU99" i="80"/>
  <c r="BT99" i="80"/>
  <c r="BS99" i="80"/>
  <c r="BP99" i="80"/>
  <c r="BO99" i="80"/>
  <c r="BN99" i="80"/>
  <c r="BL99" i="80"/>
  <c r="BJ99" i="80"/>
  <c r="BH99" i="80"/>
  <c r="BF99" i="80"/>
  <c r="BD99" i="80"/>
  <c r="BC99" i="80" s="1"/>
  <c r="BB99" i="80"/>
  <c r="AZ99" i="80"/>
  <c r="AX99" i="80"/>
  <c r="AV99" i="80"/>
  <c r="AU99" i="80" s="1"/>
  <c r="AT99" i="80"/>
  <c r="E99" i="80"/>
  <c r="AO99" i="80"/>
  <c r="AA99" i="80"/>
  <c r="Y99" i="80"/>
  <c r="S99" i="80"/>
  <c r="D99" i="80"/>
  <c r="BX98" i="80"/>
  <c r="BW98" i="80"/>
  <c r="BV98" i="80"/>
  <c r="BU98" i="80"/>
  <c r="BT98" i="80"/>
  <c r="BS98" i="80"/>
  <c r="BP98" i="80"/>
  <c r="BO98" i="80"/>
  <c r="BN98" i="80"/>
  <c r="AA98" i="80"/>
  <c r="Y98" i="80"/>
  <c r="V98" i="80"/>
  <c r="S98" i="80"/>
  <c r="BX97" i="80"/>
  <c r="BW97" i="80"/>
  <c r="BV97" i="80"/>
  <c r="BU97" i="80"/>
  <c r="BT97" i="80"/>
  <c r="BS97" i="80"/>
  <c r="BP97" i="80"/>
  <c r="BO97" i="80"/>
  <c r="BN97" i="80"/>
  <c r="BL97" i="80"/>
  <c r="BJ97" i="80"/>
  <c r="BH97" i="80"/>
  <c r="BF97" i="80"/>
  <c r="BD97" i="80"/>
  <c r="BC97" i="80" s="1"/>
  <c r="BB97" i="80"/>
  <c r="AZ97" i="80"/>
  <c r="AX97" i="80"/>
  <c r="AV97" i="80"/>
  <c r="AU97" i="80" s="1"/>
  <c r="AT97" i="80"/>
  <c r="AO97" i="80"/>
  <c r="AA97" i="80"/>
  <c r="Y97" i="80"/>
  <c r="S97" i="80"/>
  <c r="E97" i="80"/>
  <c r="AJ97" i="80" s="1"/>
  <c r="D97" i="80"/>
  <c r="BX96" i="80"/>
  <c r="BW96" i="80"/>
  <c r="BV96" i="80"/>
  <c r="BU96" i="80"/>
  <c r="BT96" i="80"/>
  <c r="BS96" i="80"/>
  <c r="BP96" i="80"/>
  <c r="BO96" i="80"/>
  <c r="BN96" i="80"/>
  <c r="AA96" i="80"/>
  <c r="Y96" i="80"/>
  <c r="V96" i="80"/>
  <c r="S96" i="80"/>
  <c r="BX95" i="80"/>
  <c r="BW95" i="80"/>
  <c r="BV95" i="80"/>
  <c r="BU95" i="80"/>
  <c r="BT95" i="80"/>
  <c r="BS95" i="80"/>
  <c r="BP95" i="80"/>
  <c r="BO95" i="80"/>
  <c r="BN95" i="80"/>
  <c r="BL95" i="80"/>
  <c r="BJ95" i="80"/>
  <c r="BH95" i="80"/>
  <c r="BF95" i="80"/>
  <c r="BD95" i="80"/>
  <c r="BC95" i="80" s="1"/>
  <c r="BB95" i="80"/>
  <c r="AZ95" i="80"/>
  <c r="AX95" i="80"/>
  <c r="AV95" i="80"/>
  <c r="AU95" i="80" s="1"/>
  <c r="AT95" i="80"/>
  <c r="E95" i="80"/>
  <c r="AO95" i="80"/>
  <c r="AA95" i="80"/>
  <c r="Y95" i="80"/>
  <c r="S95" i="80"/>
  <c r="D95" i="80"/>
  <c r="BX94" i="80"/>
  <c r="BW94" i="80"/>
  <c r="BV94" i="80"/>
  <c r="BU94" i="80"/>
  <c r="BT94" i="80"/>
  <c r="BS94" i="80"/>
  <c r="BP94" i="80"/>
  <c r="BO94" i="80"/>
  <c r="BN94" i="80"/>
  <c r="AA94" i="80"/>
  <c r="Y94" i="80"/>
  <c r="V94" i="80"/>
  <c r="S94" i="80"/>
  <c r="BX93" i="80"/>
  <c r="BW93" i="80"/>
  <c r="BV93" i="80"/>
  <c r="BU93" i="80"/>
  <c r="BT93" i="80"/>
  <c r="BS93" i="80"/>
  <c r="BP93" i="80"/>
  <c r="BO93" i="80"/>
  <c r="BN93" i="80"/>
  <c r="BL93" i="80"/>
  <c r="BJ93" i="80"/>
  <c r="BH93" i="80"/>
  <c r="BF93" i="80"/>
  <c r="BD93" i="80"/>
  <c r="BC93" i="80" s="1"/>
  <c r="BB93" i="80"/>
  <c r="AZ93" i="80"/>
  <c r="AX93" i="80"/>
  <c r="AV93" i="80"/>
  <c r="AU93" i="80" s="1"/>
  <c r="AT93" i="80"/>
  <c r="AO93" i="80"/>
  <c r="AA93" i="80"/>
  <c r="Y93" i="80"/>
  <c r="S93" i="80"/>
  <c r="E93" i="80"/>
  <c r="AJ93" i="80" s="1"/>
  <c r="D93" i="80"/>
  <c r="BX92" i="80"/>
  <c r="BW92" i="80"/>
  <c r="BV92" i="80"/>
  <c r="BU92" i="80"/>
  <c r="BT92" i="80"/>
  <c r="BS92" i="80"/>
  <c r="BP92" i="80"/>
  <c r="BO92" i="80"/>
  <c r="BN92" i="80"/>
  <c r="AA92" i="80"/>
  <c r="Y92" i="80"/>
  <c r="V92" i="80"/>
  <c r="S92" i="80"/>
  <c r="BX91" i="80"/>
  <c r="BW91" i="80"/>
  <c r="BV91" i="80"/>
  <c r="BU91" i="80"/>
  <c r="BT91" i="80"/>
  <c r="BS91" i="80"/>
  <c r="BP91" i="80"/>
  <c r="BO91" i="80"/>
  <c r="BN91" i="80"/>
  <c r="BL91" i="80"/>
  <c r="BJ91" i="80"/>
  <c r="BH91" i="80"/>
  <c r="BF91" i="80"/>
  <c r="BD91" i="80"/>
  <c r="BC91" i="80" s="1"/>
  <c r="BB91" i="80"/>
  <c r="AZ91" i="80"/>
  <c r="AX91" i="80"/>
  <c r="AV91" i="80"/>
  <c r="AU91" i="80" s="1"/>
  <c r="AT91" i="80"/>
  <c r="E91" i="80"/>
  <c r="AO91" i="80"/>
  <c r="AA91" i="80"/>
  <c r="Y91" i="80"/>
  <c r="S91" i="80"/>
  <c r="D91" i="80"/>
  <c r="BX90" i="80"/>
  <c r="BW90" i="80"/>
  <c r="BV90" i="80"/>
  <c r="BU90" i="80"/>
  <c r="BT90" i="80"/>
  <c r="BS90" i="80"/>
  <c r="BP90" i="80"/>
  <c r="BO90" i="80"/>
  <c r="BN90" i="80"/>
  <c r="AA90" i="80"/>
  <c r="Y90" i="80"/>
  <c r="V90" i="80"/>
  <c r="S90" i="80"/>
  <c r="BX89" i="80"/>
  <c r="BW89" i="80"/>
  <c r="BV89" i="80"/>
  <c r="BU89" i="80"/>
  <c r="BT89" i="80"/>
  <c r="BS89" i="80"/>
  <c r="BP89" i="80"/>
  <c r="BO89" i="80"/>
  <c r="BN89" i="80"/>
  <c r="BL89" i="80"/>
  <c r="BJ89" i="80"/>
  <c r="BH89" i="80"/>
  <c r="BF89" i="80"/>
  <c r="BD89" i="80"/>
  <c r="BC89" i="80" s="1"/>
  <c r="BB89" i="80"/>
  <c r="AZ89" i="80"/>
  <c r="AX89" i="80"/>
  <c r="AV89" i="80"/>
  <c r="AU89" i="80" s="1"/>
  <c r="AT89" i="80"/>
  <c r="AO89" i="80"/>
  <c r="AA89" i="80"/>
  <c r="Y89" i="80"/>
  <c r="S89" i="80"/>
  <c r="E89" i="80"/>
  <c r="AJ89" i="80" s="1"/>
  <c r="D89" i="80"/>
  <c r="BX88" i="80"/>
  <c r="BW88" i="80"/>
  <c r="BV88" i="80"/>
  <c r="BU88" i="80"/>
  <c r="BT88" i="80"/>
  <c r="BS88" i="80"/>
  <c r="BP88" i="80"/>
  <c r="BO88" i="80"/>
  <c r="BN88" i="80"/>
  <c r="AA88" i="80"/>
  <c r="Y88" i="80"/>
  <c r="V88" i="80"/>
  <c r="S88" i="80"/>
  <c r="BX87" i="80"/>
  <c r="BW87" i="80"/>
  <c r="BV87" i="80"/>
  <c r="BU87" i="80"/>
  <c r="BT87" i="80"/>
  <c r="BS87" i="80"/>
  <c r="BP87" i="80"/>
  <c r="BO87" i="80"/>
  <c r="BN87" i="80"/>
  <c r="BL87" i="80"/>
  <c r="BJ87" i="80"/>
  <c r="BH87" i="80"/>
  <c r="BF87" i="80"/>
  <c r="BD87" i="80"/>
  <c r="BC87" i="80" s="1"/>
  <c r="BB87" i="80"/>
  <c r="AZ87" i="80"/>
  <c r="AX87" i="80"/>
  <c r="AV87" i="80"/>
  <c r="AU87" i="80" s="1"/>
  <c r="AT87" i="80"/>
  <c r="AO87" i="80"/>
  <c r="AA87" i="80"/>
  <c r="Y87" i="80"/>
  <c r="S87" i="80"/>
  <c r="E87" i="80"/>
  <c r="AH87" i="80" s="1"/>
  <c r="D87" i="80"/>
  <c r="BX86" i="80"/>
  <c r="BW86" i="80"/>
  <c r="BV86" i="80"/>
  <c r="BU86" i="80"/>
  <c r="BT86" i="80"/>
  <c r="BS86" i="80"/>
  <c r="BP86" i="80"/>
  <c r="BO86" i="80"/>
  <c r="BN86" i="80"/>
  <c r="AA86" i="80"/>
  <c r="Y86" i="80"/>
  <c r="V86" i="80"/>
  <c r="S86" i="80"/>
  <c r="BX85" i="80"/>
  <c r="BW85" i="80"/>
  <c r="BV85" i="80"/>
  <c r="BU85" i="80"/>
  <c r="BT85" i="80"/>
  <c r="BS85" i="80"/>
  <c r="BP85" i="80"/>
  <c r="BO85" i="80"/>
  <c r="BN85" i="80"/>
  <c r="BL85" i="80"/>
  <c r="BJ85" i="80"/>
  <c r="BH85" i="80"/>
  <c r="BF85" i="80"/>
  <c r="BD85" i="80"/>
  <c r="BC85" i="80" s="1"/>
  <c r="BB85" i="80"/>
  <c r="AZ85" i="80"/>
  <c r="AX85" i="80"/>
  <c r="AV85" i="80"/>
  <c r="AU85" i="80" s="1"/>
  <c r="AT85" i="80"/>
  <c r="AO85" i="80"/>
  <c r="AA85" i="80"/>
  <c r="Y85" i="80"/>
  <c r="S85" i="80"/>
  <c r="E85" i="80"/>
  <c r="AJ85" i="80" s="1"/>
  <c r="D85" i="80"/>
  <c r="BX84" i="80"/>
  <c r="BW84" i="80"/>
  <c r="BV84" i="80"/>
  <c r="BU84" i="80"/>
  <c r="BT84" i="80"/>
  <c r="BS84" i="80"/>
  <c r="BP84" i="80"/>
  <c r="BO84" i="80"/>
  <c r="BN84" i="80"/>
  <c r="AA84" i="80"/>
  <c r="Y84" i="80"/>
  <c r="V84" i="80"/>
  <c r="S84" i="80"/>
  <c r="BX83" i="80"/>
  <c r="BW83" i="80"/>
  <c r="BV83" i="80"/>
  <c r="BU83" i="80"/>
  <c r="BT83" i="80"/>
  <c r="BS83" i="80"/>
  <c r="BP83" i="80"/>
  <c r="BO83" i="80"/>
  <c r="BN83" i="80"/>
  <c r="BL83" i="80"/>
  <c r="BJ83" i="80"/>
  <c r="BH83" i="80"/>
  <c r="BF83" i="80"/>
  <c r="BD83" i="80"/>
  <c r="BC83" i="80" s="1"/>
  <c r="BB83" i="80"/>
  <c r="AZ83" i="80"/>
  <c r="AX83" i="80"/>
  <c r="AV83" i="80"/>
  <c r="AU83" i="80" s="1"/>
  <c r="AT83" i="80"/>
  <c r="E83" i="80"/>
  <c r="AO83" i="80"/>
  <c r="AA83" i="80"/>
  <c r="Y83" i="80"/>
  <c r="S83" i="80"/>
  <c r="D83" i="80"/>
  <c r="BX82" i="80"/>
  <c r="BW82" i="80"/>
  <c r="BV82" i="80"/>
  <c r="BU82" i="80"/>
  <c r="BT82" i="80"/>
  <c r="BS82" i="80"/>
  <c r="BP82" i="80"/>
  <c r="BO82" i="80"/>
  <c r="BN82" i="80"/>
  <c r="AA82" i="80"/>
  <c r="Y82" i="80"/>
  <c r="V82" i="80"/>
  <c r="S82" i="80"/>
  <c r="BX81" i="80"/>
  <c r="BW81" i="80"/>
  <c r="BV81" i="80"/>
  <c r="BU81" i="80"/>
  <c r="BT81" i="80"/>
  <c r="BS81" i="80"/>
  <c r="BP81" i="80"/>
  <c r="BO81" i="80"/>
  <c r="BN81" i="80"/>
  <c r="BL81" i="80"/>
  <c r="BJ81" i="80"/>
  <c r="BH81" i="80"/>
  <c r="BF81" i="80"/>
  <c r="BD81" i="80"/>
  <c r="BC81" i="80" s="1"/>
  <c r="BB81" i="80"/>
  <c r="AZ81" i="80"/>
  <c r="AX81" i="80"/>
  <c r="AV81" i="80"/>
  <c r="AU81" i="80" s="1"/>
  <c r="AT81" i="80"/>
  <c r="AO81" i="80"/>
  <c r="AA81" i="80"/>
  <c r="Y81" i="80"/>
  <c r="S81" i="80"/>
  <c r="E81" i="80"/>
  <c r="AJ81" i="80" s="1"/>
  <c r="D81" i="80"/>
  <c r="BX80" i="80"/>
  <c r="BW80" i="80"/>
  <c r="BV80" i="80"/>
  <c r="BU80" i="80"/>
  <c r="BT80" i="80"/>
  <c r="BS80" i="80"/>
  <c r="BP80" i="80"/>
  <c r="BO80" i="80"/>
  <c r="BN80" i="80"/>
  <c r="AA80" i="80"/>
  <c r="Y80" i="80"/>
  <c r="V80" i="80"/>
  <c r="S80" i="80"/>
  <c r="BX79" i="80"/>
  <c r="BW79" i="80"/>
  <c r="BV79" i="80"/>
  <c r="BU79" i="80"/>
  <c r="BT79" i="80"/>
  <c r="BS79" i="80"/>
  <c r="BP79" i="80"/>
  <c r="BO79" i="80"/>
  <c r="BN79" i="80"/>
  <c r="BL79" i="80"/>
  <c r="BJ79" i="80"/>
  <c r="BH79" i="80"/>
  <c r="BF79" i="80"/>
  <c r="BD79" i="80"/>
  <c r="BC79" i="80" s="1"/>
  <c r="BB79" i="80"/>
  <c r="AZ79" i="80"/>
  <c r="AX79" i="80"/>
  <c r="AV79" i="80"/>
  <c r="AU79" i="80" s="1"/>
  <c r="AT79" i="80"/>
  <c r="E79" i="80"/>
  <c r="AO79" i="80"/>
  <c r="AA79" i="80"/>
  <c r="Y79" i="80"/>
  <c r="S79" i="80"/>
  <c r="J79" i="80"/>
  <c r="D79" i="80"/>
  <c r="BX78" i="80"/>
  <c r="BW78" i="80"/>
  <c r="BV78" i="80"/>
  <c r="BU78" i="80"/>
  <c r="BT78" i="80"/>
  <c r="BS78" i="80"/>
  <c r="BP78" i="80"/>
  <c r="BO78" i="80"/>
  <c r="BN78" i="80"/>
  <c r="AA78" i="80"/>
  <c r="Y78" i="80"/>
  <c r="V78" i="80"/>
  <c r="S78" i="80"/>
  <c r="BX77" i="80"/>
  <c r="BW77" i="80"/>
  <c r="BV77" i="80"/>
  <c r="BU77" i="80"/>
  <c r="BT77" i="80"/>
  <c r="BS77" i="80"/>
  <c r="BP77" i="80"/>
  <c r="BO77" i="80"/>
  <c r="BN77" i="80"/>
  <c r="BL77" i="80"/>
  <c r="BJ77" i="80"/>
  <c r="BH77" i="80"/>
  <c r="BF77" i="80"/>
  <c r="BD77" i="80"/>
  <c r="BC77" i="80" s="1"/>
  <c r="BB77" i="80"/>
  <c r="AZ77" i="80"/>
  <c r="AX77" i="80"/>
  <c r="AV77" i="80"/>
  <c r="AU77" i="80" s="1"/>
  <c r="AT77" i="80"/>
  <c r="AO77" i="80"/>
  <c r="AA77" i="80"/>
  <c r="Y77" i="80"/>
  <c r="S77" i="80"/>
  <c r="E77" i="80"/>
  <c r="AJ77" i="80" s="1"/>
  <c r="D77" i="80"/>
  <c r="BX76" i="80"/>
  <c r="BW76" i="80"/>
  <c r="BV76" i="80"/>
  <c r="BU76" i="80"/>
  <c r="BT76" i="80"/>
  <c r="BS76" i="80"/>
  <c r="BP76" i="80"/>
  <c r="BO76" i="80"/>
  <c r="BN76" i="80"/>
  <c r="AA76" i="80"/>
  <c r="Y76" i="80"/>
  <c r="V76" i="80"/>
  <c r="S76" i="80"/>
  <c r="BX75" i="80"/>
  <c r="BW75" i="80"/>
  <c r="BV75" i="80"/>
  <c r="BU75" i="80"/>
  <c r="BT75" i="80"/>
  <c r="BS75" i="80"/>
  <c r="BP75" i="80"/>
  <c r="BO75" i="80"/>
  <c r="BN75" i="80"/>
  <c r="BL75" i="80"/>
  <c r="BJ75" i="80"/>
  <c r="BH75" i="80"/>
  <c r="BF75" i="80"/>
  <c r="BD75" i="80"/>
  <c r="BC75" i="80" s="1"/>
  <c r="BB75" i="80"/>
  <c r="AZ75" i="80"/>
  <c r="AX75" i="80"/>
  <c r="AV75" i="80"/>
  <c r="AU75" i="80" s="1"/>
  <c r="AT75" i="80"/>
  <c r="E75" i="80"/>
  <c r="AO75" i="80"/>
  <c r="AA75" i="80"/>
  <c r="Y75" i="80"/>
  <c r="S75" i="80"/>
  <c r="D75" i="80"/>
  <c r="BX74" i="80"/>
  <c r="BW74" i="80"/>
  <c r="BV74" i="80"/>
  <c r="BU74" i="80"/>
  <c r="BT74" i="80"/>
  <c r="BS74" i="80"/>
  <c r="BP74" i="80"/>
  <c r="BO74" i="80"/>
  <c r="BN74" i="80"/>
  <c r="AA74" i="80"/>
  <c r="Y74" i="80"/>
  <c r="V74" i="80"/>
  <c r="S74" i="80"/>
  <c r="BX73" i="80"/>
  <c r="BW73" i="80"/>
  <c r="BV73" i="80"/>
  <c r="BU73" i="80"/>
  <c r="BT73" i="80"/>
  <c r="BS73" i="80"/>
  <c r="BP73" i="80"/>
  <c r="BO73" i="80"/>
  <c r="BN73" i="80"/>
  <c r="BL73" i="80"/>
  <c r="BJ73" i="80"/>
  <c r="BH73" i="80"/>
  <c r="BF73" i="80"/>
  <c r="BD73" i="80"/>
  <c r="BC73" i="80" s="1"/>
  <c r="BB73" i="80"/>
  <c r="AZ73" i="80"/>
  <c r="AX73" i="80"/>
  <c r="AV73" i="80"/>
  <c r="AU73" i="80" s="1"/>
  <c r="AT73" i="80"/>
  <c r="AO73" i="80"/>
  <c r="AA73" i="80"/>
  <c r="Y73" i="80"/>
  <c r="S73" i="80"/>
  <c r="E73" i="80"/>
  <c r="AJ73" i="80" s="1"/>
  <c r="D73" i="80"/>
  <c r="BX72" i="80"/>
  <c r="BW72" i="80"/>
  <c r="BV72" i="80"/>
  <c r="BU72" i="80"/>
  <c r="BT72" i="80"/>
  <c r="BS72" i="80"/>
  <c r="BP72" i="80"/>
  <c r="BO72" i="80"/>
  <c r="BN72" i="80"/>
  <c r="AA72" i="80"/>
  <c r="Y72" i="80"/>
  <c r="V72" i="80"/>
  <c r="S72" i="80"/>
  <c r="BX71" i="80"/>
  <c r="BW71" i="80"/>
  <c r="BV71" i="80"/>
  <c r="BU71" i="80"/>
  <c r="BT71" i="80"/>
  <c r="BS71" i="80"/>
  <c r="BP71" i="80"/>
  <c r="BO71" i="80"/>
  <c r="BN71" i="80"/>
  <c r="BL71" i="80"/>
  <c r="BJ71" i="80"/>
  <c r="BH71" i="80"/>
  <c r="BF71" i="80"/>
  <c r="BD71" i="80"/>
  <c r="BC71" i="80" s="1"/>
  <c r="BB71" i="80"/>
  <c r="AZ71" i="80"/>
  <c r="AX71" i="80"/>
  <c r="AV71" i="80"/>
  <c r="AU71" i="80" s="1"/>
  <c r="AT71" i="80"/>
  <c r="E71" i="80"/>
  <c r="AO71" i="80"/>
  <c r="AA71" i="80"/>
  <c r="Y71" i="80"/>
  <c r="S71" i="80"/>
  <c r="D71" i="80"/>
  <c r="BX70" i="80"/>
  <c r="BW70" i="80"/>
  <c r="BV70" i="80"/>
  <c r="BU70" i="80"/>
  <c r="BT70" i="80"/>
  <c r="BS70" i="80"/>
  <c r="BP70" i="80"/>
  <c r="BO70" i="80"/>
  <c r="BN70" i="80"/>
  <c r="AA70" i="80"/>
  <c r="Y70" i="80"/>
  <c r="V70" i="80"/>
  <c r="S70" i="80"/>
  <c r="BX69" i="80"/>
  <c r="BW69" i="80"/>
  <c r="BV69" i="80"/>
  <c r="BU69" i="80"/>
  <c r="BT69" i="80"/>
  <c r="BS69" i="80"/>
  <c r="BP69" i="80"/>
  <c r="BO69" i="80"/>
  <c r="BN69" i="80"/>
  <c r="BL69" i="80"/>
  <c r="BJ69" i="80"/>
  <c r="BH69" i="80"/>
  <c r="BF69" i="80"/>
  <c r="BD69" i="80"/>
  <c r="BC69" i="80" s="1"/>
  <c r="BB69" i="80"/>
  <c r="AZ69" i="80"/>
  <c r="AX69" i="80"/>
  <c r="AV69" i="80"/>
  <c r="AU69" i="80" s="1"/>
  <c r="AT69" i="80"/>
  <c r="AO69" i="80"/>
  <c r="AA69" i="80"/>
  <c r="Y69" i="80"/>
  <c r="S69" i="80"/>
  <c r="E69" i="80"/>
  <c r="AJ69" i="80" s="1"/>
  <c r="D69" i="80"/>
  <c r="BX68" i="80"/>
  <c r="BW68" i="80"/>
  <c r="BV68" i="80"/>
  <c r="BU68" i="80"/>
  <c r="BT68" i="80"/>
  <c r="BS68" i="80"/>
  <c r="BP68" i="80"/>
  <c r="BO68" i="80"/>
  <c r="BN68" i="80"/>
  <c r="AA68" i="80"/>
  <c r="Y68" i="80"/>
  <c r="V68" i="80"/>
  <c r="S68" i="80"/>
  <c r="BX67" i="80"/>
  <c r="BW67" i="80"/>
  <c r="BV67" i="80"/>
  <c r="BU67" i="80"/>
  <c r="BT67" i="80"/>
  <c r="BS67" i="80"/>
  <c r="BP67" i="80"/>
  <c r="BO67" i="80"/>
  <c r="BN67" i="80"/>
  <c r="BL67" i="80"/>
  <c r="BJ67" i="80"/>
  <c r="BH67" i="80"/>
  <c r="BF67" i="80"/>
  <c r="BD67" i="80"/>
  <c r="BC67" i="80" s="1"/>
  <c r="BB67" i="80"/>
  <c r="AZ67" i="80"/>
  <c r="AX67" i="80"/>
  <c r="AV67" i="80"/>
  <c r="AU67" i="80" s="1"/>
  <c r="AT67" i="80"/>
  <c r="AO67" i="80"/>
  <c r="AA67" i="80"/>
  <c r="Y67" i="80"/>
  <c r="S67" i="80"/>
  <c r="E67" i="80"/>
  <c r="AH67" i="80" s="1"/>
  <c r="D67" i="80"/>
  <c r="BX66" i="80"/>
  <c r="BW66" i="80"/>
  <c r="BV66" i="80"/>
  <c r="BU66" i="80"/>
  <c r="BT66" i="80"/>
  <c r="BS66" i="80"/>
  <c r="BP66" i="80"/>
  <c r="BO66" i="80"/>
  <c r="BN66" i="80"/>
  <c r="AA66" i="80"/>
  <c r="Y66" i="80"/>
  <c r="V66" i="80"/>
  <c r="S66" i="80"/>
  <c r="BX65" i="80"/>
  <c r="BW65" i="80"/>
  <c r="BV65" i="80"/>
  <c r="BU65" i="80"/>
  <c r="BT65" i="80"/>
  <c r="BS65" i="80"/>
  <c r="BP65" i="80"/>
  <c r="BO65" i="80"/>
  <c r="BN65" i="80"/>
  <c r="BL65" i="80"/>
  <c r="BJ65" i="80"/>
  <c r="BH65" i="80"/>
  <c r="BF65" i="80"/>
  <c r="BD65" i="80"/>
  <c r="BC65" i="80" s="1"/>
  <c r="BB65" i="80"/>
  <c r="AZ65" i="80"/>
  <c r="AX65" i="80"/>
  <c r="AV65" i="80"/>
  <c r="AU65" i="80" s="1"/>
  <c r="AT65" i="80"/>
  <c r="E65" i="80"/>
  <c r="AO65" i="80"/>
  <c r="AA65" i="80"/>
  <c r="Y65" i="80"/>
  <c r="S65" i="80"/>
  <c r="D65" i="80"/>
  <c r="BX64" i="80"/>
  <c r="BW64" i="80"/>
  <c r="BV64" i="80"/>
  <c r="BU64" i="80"/>
  <c r="BT64" i="80"/>
  <c r="BS64" i="80"/>
  <c r="BP64" i="80"/>
  <c r="BO64" i="80"/>
  <c r="BN64" i="80"/>
  <c r="AA64" i="80"/>
  <c r="Y64" i="80"/>
  <c r="V64" i="80"/>
  <c r="S64" i="80"/>
  <c r="BX63" i="80"/>
  <c r="BW63" i="80"/>
  <c r="BV63" i="80"/>
  <c r="BU63" i="80"/>
  <c r="BT63" i="80"/>
  <c r="BS63" i="80"/>
  <c r="BP63" i="80"/>
  <c r="BO63" i="80"/>
  <c r="BN63" i="80"/>
  <c r="BL63" i="80"/>
  <c r="BJ63" i="80"/>
  <c r="BH63" i="80"/>
  <c r="BF63" i="80"/>
  <c r="BD63" i="80"/>
  <c r="BC63" i="80" s="1"/>
  <c r="BB63" i="80"/>
  <c r="AZ63" i="80"/>
  <c r="AX63" i="80"/>
  <c r="AV63" i="80"/>
  <c r="AU63" i="80" s="1"/>
  <c r="AT63" i="80"/>
  <c r="AO63" i="80"/>
  <c r="AA63" i="80"/>
  <c r="Y63" i="80"/>
  <c r="S63" i="80"/>
  <c r="E63" i="80"/>
  <c r="AH63" i="80" s="1"/>
  <c r="D63" i="80"/>
  <c r="BX62" i="80"/>
  <c r="BW62" i="80"/>
  <c r="BV62" i="80"/>
  <c r="BU62" i="80"/>
  <c r="BT62" i="80"/>
  <c r="BS62" i="80"/>
  <c r="BP62" i="80"/>
  <c r="BO62" i="80"/>
  <c r="BN62" i="80"/>
  <c r="AA62" i="80"/>
  <c r="Y62" i="80"/>
  <c r="V62" i="80"/>
  <c r="S62" i="80"/>
  <c r="BX61" i="80"/>
  <c r="BW61" i="80"/>
  <c r="BV61" i="80"/>
  <c r="BU61" i="80"/>
  <c r="BT61" i="80"/>
  <c r="BS61" i="80"/>
  <c r="BP61" i="80"/>
  <c r="BO61" i="80"/>
  <c r="BN61" i="80"/>
  <c r="BL61" i="80"/>
  <c r="BJ61" i="80"/>
  <c r="BH61" i="80"/>
  <c r="BF61" i="80"/>
  <c r="BD61" i="80"/>
  <c r="BC61" i="80" s="1"/>
  <c r="BB61" i="80"/>
  <c r="AZ61" i="80"/>
  <c r="AX61" i="80"/>
  <c r="AV61" i="80"/>
  <c r="AU61" i="80" s="1"/>
  <c r="AT61" i="80"/>
  <c r="E61" i="80"/>
  <c r="AO61" i="80"/>
  <c r="AA61" i="80"/>
  <c r="Y61" i="80"/>
  <c r="S61" i="80"/>
  <c r="D61" i="80"/>
  <c r="BX60" i="80"/>
  <c r="BW60" i="80"/>
  <c r="BV60" i="80"/>
  <c r="BU60" i="80"/>
  <c r="BT60" i="80"/>
  <c r="BS60" i="80"/>
  <c r="BP60" i="80"/>
  <c r="BO60" i="80"/>
  <c r="BN60" i="80"/>
  <c r="AA60" i="80"/>
  <c r="Y60" i="80"/>
  <c r="V60" i="80"/>
  <c r="S60" i="80"/>
  <c r="BX59" i="80"/>
  <c r="BW59" i="80"/>
  <c r="BV59" i="80"/>
  <c r="BU59" i="80"/>
  <c r="BT59" i="80"/>
  <c r="BS59" i="80"/>
  <c r="BP59" i="80"/>
  <c r="BO59" i="80"/>
  <c r="BN59" i="80"/>
  <c r="BL59" i="80"/>
  <c r="BJ59" i="80"/>
  <c r="BH59" i="80"/>
  <c r="BF59" i="80"/>
  <c r="BD59" i="80"/>
  <c r="BC59" i="80" s="1"/>
  <c r="BB59" i="80"/>
  <c r="AZ59" i="80"/>
  <c r="AX59" i="80"/>
  <c r="AV59" i="80"/>
  <c r="AU59" i="80" s="1"/>
  <c r="AT59" i="80"/>
  <c r="AO59" i="80"/>
  <c r="AA59" i="80"/>
  <c r="Y59" i="80"/>
  <c r="S59" i="80"/>
  <c r="E59" i="80"/>
  <c r="AH59" i="80" s="1"/>
  <c r="D59" i="80"/>
  <c r="BX58" i="80"/>
  <c r="BW58" i="80"/>
  <c r="BV58" i="80"/>
  <c r="BU58" i="80"/>
  <c r="BT58" i="80"/>
  <c r="BS58" i="80"/>
  <c r="BP58" i="80"/>
  <c r="BO58" i="80"/>
  <c r="BN58" i="80"/>
  <c r="AA58" i="80"/>
  <c r="Y58" i="80"/>
  <c r="V58" i="80"/>
  <c r="S58" i="80"/>
  <c r="BX57" i="80"/>
  <c r="BW57" i="80"/>
  <c r="BV57" i="80"/>
  <c r="BU57" i="80"/>
  <c r="BT57" i="80"/>
  <c r="BS57" i="80"/>
  <c r="BP57" i="80"/>
  <c r="BO57" i="80"/>
  <c r="BN57" i="80"/>
  <c r="BL57" i="80"/>
  <c r="BJ57" i="80"/>
  <c r="BH57" i="80"/>
  <c r="BF57" i="80"/>
  <c r="BD57" i="80"/>
  <c r="BC57" i="80" s="1"/>
  <c r="BB57" i="80"/>
  <c r="AZ57" i="80"/>
  <c r="AX57" i="80"/>
  <c r="AV57" i="80"/>
  <c r="AU57" i="80" s="1"/>
  <c r="AT57" i="80"/>
  <c r="E57" i="80"/>
  <c r="AO57" i="80"/>
  <c r="AA57" i="80"/>
  <c r="Y57" i="80"/>
  <c r="S57" i="80"/>
  <c r="D57" i="80"/>
  <c r="BX56" i="80"/>
  <c r="BW56" i="80"/>
  <c r="BV56" i="80"/>
  <c r="BU56" i="80"/>
  <c r="BT56" i="80"/>
  <c r="BS56" i="80"/>
  <c r="BP56" i="80"/>
  <c r="BO56" i="80"/>
  <c r="BN56" i="80"/>
  <c r="AA56" i="80"/>
  <c r="Y56" i="80"/>
  <c r="V56" i="80"/>
  <c r="S56" i="80"/>
  <c r="BX55" i="80"/>
  <c r="BW55" i="80"/>
  <c r="BV55" i="80"/>
  <c r="BU55" i="80"/>
  <c r="BT55" i="80"/>
  <c r="BS55" i="80"/>
  <c r="BP55" i="80"/>
  <c r="BO55" i="80"/>
  <c r="BN55" i="80"/>
  <c r="BL55" i="80"/>
  <c r="BJ55" i="80"/>
  <c r="BH55" i="80"/>
  <c r="BF55" i="80"/>
  <c r="BD55" i="80"/>
  <c r="BC55" i="80" s="1"/>
  <c r="BB55" i="80"/>
  <c r="AZ55" i="80"/>
  <c r="AX55" i="80"/>
  <c r="AV55" i="80"/>
  <c r="AU55" i="80" s="1"/>
  <c r="AT55" i="80"/>
  <c r="AO55" i="80"/>
  <c r="AA55" i="80"/>
  <c r="Y55" i="80"/>
  <c r="S55" i="80"/>
  <c r="E55" i="80"/>
  <c r="AH55" i="80" s="1"/>
  <c r="D55" i="80"/>
  <c r="BX54" i="80"/>
  <c r="BW54" i="80"/>
  <c r="BV54" i="80"/>
  <c r="BU54" i="80"/>
  <c r="BT54" i="80"/>
  <c r="BS54" i="80"/>
  <c r="BP54" i="80"/>
  <c r="BO54" i="80"/>
  <c r="BN54" i="80"/>
  <c r="AA54" i="80"/>
  <c r="Y54" i="80"/>
  <c r="V54" i="80"/>
  <c r="S54" i="80"/>
  <c r="BX53" i="80"/>
  <c r="BW53" i="80"/>
  <c r="BV53" i="80"/>
  <c r="BU53" i="80"/>
  <c r="BT53" i="80"/>
  <c r="BS53" i="80"/>
  <c r="BP53" i="80"/>
  <c r="BO53" i="80"/>
  <c r="BN53" i="80"/>
  <c r="BL53" i="80"/>
  <c r="BJ53" i="80"/>
  <c r="BH53" i="80"/>
  <c r="BF53" i="80"/>
  <c r="BD53" i="80"/>
  <c r="BC53" i="80" s="1"/>
  <c r="BB53" i="80"/>
  <c r="AZ53" i="80"/>
  <c r="AX53" i="80"/>
  <c r="AV53" i="80"/>
  <c r="AU53" i="80" s="1"/>
  <c r="AT53" i="80"/>
  <c r="E53" i="80"/>
  <c r="AO53" i="80"/>
  <c r="AA53" i="80"/>
  <c r="Y53" i="80"/>
  <c r="S53" i="80"/>
  <c r="D53" i="80"/>
  <c r="BX52" i="80"/>
  <c r="BW52" i="80"/>
  <c r="BV52" i="80"/>
  <c r="BU52" i="80"/>
  <c r="BT52" i="80"/>
  <c r="BS52" i="80"/>
  <c r="BP52" i="80"/>
  <c r="BO52" i="80"/>
  <c r="BN52" i="80"/>
  <c r="AA52" i="80"/>
  <c r="Y52" i="80"/>
  <c r="V52" i="80"/>
  <c r="S52" i="80"/>
  <c r="BX51" i="80"/>
  <c r="BW51" i="80"/>
  <c r="BV51" i="80"/>
  <c r="BU51" i="80"/>
  <c r="BT51" i="80"/>
  <c r="BS51" i="80"/>
  <c r="BP51" i="80"/>
  <c r="BO51" i="80"/>
  <c r="BN51" i="80"/>
  <c r="BL51" i="80"/>
  <c r="BJ51" i="80"/>
  <c r="BH51" i="80"/>
  <c r="BF51" i="80"/>
  <c r="BD51" i="80"/>
  <c r="BC51" i="80" s="1"/>
  <c r="BB51" i="80"/>
  <c r="AZ51" i="80"/>
  <c r="AX51" i="80"/>
  <c r="AV51" i="80"/>
  <c r="AU51" i="80" s="1"/>
  <c r="AT51" i="80"/>
  <c r="AO51" i="80"/>
  <c r="AA51" i="80"/>
  <c r="Y51" i="80"/>
  <c r="S51" i="80"/>
  <c r="E51" i="80"/>
  <c r="AH51" i="80" s="1"/>
  <c r="D51" i="80"/>
  <c r="BX50" i="80"/>
  <c r="BW50" i="80"/>
  <c r="BV50" i="80"/>
  <c r="BU50" i="80"/>
  <c r="BT50" i="80"/>
  <c r="BS50" i="80"/>
  <c r="BP50" i="80"/>
  <c r="BO50" i="80"/>
  <c r="BN50" i="80"/>
  <c r="AA50" i="80"/>
  <c r="Y50" i="80"/>
  <c r="V50" i="80"/>
  <c r="S50" i="80"/>
  <c r="BX49" i="80"/>
  <c r="BW49" i="80"/>
  <c r="BV49" i="80"/>
  <c r="BU49" i="80"/>
  <c r="BT49" i="80"/>
  <c r="BS49" i="80"/>
  <c r="BP49" i="80"/>
  <c r="BO49" i="80"/>
  <c r="BN49" i="80"/>
  <c r="BL49" i="80"/>
  <c r="BJ49" i="80"/>
  <c r="BH49" i="80"/>
  <c r="BF49" i="80"/>
  <c r="BD49" i="80"/>
  <c r="BC49" i="80" s="1"/>
  <c r="BB49" i="80"/>
  <c r="AZ49" i="80"/>
  <c r="AX49" i="80"/>
  <c r="AV49" i="80"/>
  <c r="AU49" i="80" s="1"/>
  <c r="AT49" i="80"/>
  <c r="E49" i="80"/>
  <c r="AO49" i="80"/>
  <c r="AA49" i="80"/>
  <c r="Y49" i="80"/>
  <c r="S49" i="80"/>
  <c r="D49" i="80"/>
  <c r="BX48" i="80"/>
  <c r="BW48" i="80"/>
  <c r="BV48" i="80"/>
  <c r="BU48" i="80"/>
  <c r="BT48" i="80"/>
  <c r="BS48" i="80"/>
  <c r="BP48" i="80"/>
  <c r="BO48" i="80"/>
  <c r="BN48" i="80"/>
  <c r="AA48" i="80"/>
  <c r="Y48" i="80"/>
  <c r="V48" i="80"/>
  <c r="S48" i="80"/>
  <c r="BX47" i="80"/>
  <c r="BW47" i="80"/>
  <c r="BV47" i="80"/>
  <c r="BU47" i="80"/>
  <c r="BT47" i="80"/>
  <c r="BS47" i="80"/>
  <c r="BP47" i="80"/>
  <c r="BO47" i="80"/>
  <c r="BN47" i="80"/>
  <c r="BL47" i="80"/>
  <c r="BJ47" i="80"/>
  <c r="BH47" i="80"/>
  <c r="BF47" i="80"/>
  <c r="BD47" i="80"/>
  <c r="BC47" i="80" s="1"/>
  <c r="BB47" i="80"/>
  <c r="AZ47" i="80"/>
  <c r="AX47" i="80"/>
  <c r="AV47" i="80"/>
  <c r="AU47" i="80" s="1"/>
  <c r="AT47" i="80"/>
  <c r="AO47" i="80"/>
  <c r="AA47" i="80"/>
  <c r="Y47" i="80"/>
  <c r="S47" i="80"/>
  <c r="E47" i="80"/>
  <c r="AH47" i="80" s="1"/>
  <c r="D47" i="80"/>
  <c r="BX46" i="80"/>
  <c r="BW46" i="80"/>
  <c r="BV46" i="80"/>
  <c r="BU46" i="80"/>
  <c r="BT46" i="80"/>
  <c r="BS46" i="80"/>
  <c r="BP46" i="80"/>
  <c r="BO46" i="80"/>
  <c r="BN46" i="80"/>
  <c r="AA46" i="80"/>
  <c r="Y46" i="80"/>
  <c r="V46" i="80"/>
  <c r="S46" i="80"/>
  <c r="BX45" i="80"/>
  <c r="BW45" i="80"/>
  <c r="BV45" i="80"/>
  <c r="BU45" i="80"/>
  <c r="BT45" i="80"/>
  <c r="BS45" i="80"/>
  <c r="BP45" i="80"/>
  <c r="BO45" i="80"/>
  <c r="BN45" i="80"/>
  <c r="BL45" i="80"/>
  <c r="BJ45" i="80"/>
  <c r="BH45" i="80"/>
  <c r="BF45" i="80"/>
  <c r="BD45" i="80"/>
  <c r="BC45" i="80" s="1"/>
  <c r="BB45" i="80"/>
  <c r="AZ45" i="80"/>
  <c r="AX45" i="80"/>
  <c r="AV45" i="80"/>
  <c r="AU45" i="80" s="1"/>
  <c r="AT45" i="80"/>
  <c r="E45" i="80"/>
  <c r="AO45" i="80"/>
  <c r="AA45" i="80"/>
  <c r="Y45" i="80"/>
  <c r="S45" i="80"/>
  <c r="D45" i="80"/>
  <c r="BX44" i="80"/>
  <c r="BW44" i="80"/>
  <c r="BV44" i="80"/>
  <c r="BU44" i="80"/>
  <c r="BT44" i="80"/>
  <c r="BS44" i="80"/>
  <c r="BP44" i="80"/>
  <c r="BO44" i="80"/>
  <c r="BN44" i="80"/>
  <c r="AA44" i="80"/>
  <c r="Y44" i="80"/>
  <c r="V44" i="80"/>
  <c r="S44" i="80"/>
  <c r="BX43" i="80"/>
  <c r="BW43" i="80"/>
  <c r="BV43" i="80"/>
  <c r="BU43" i="80"/>
  <c r="BT43" i="80"/>
  <c r="BS43" i="80"/>
  <c r="BP43" i="80"/>
  <c r="BO43" i="80"/>
  <c r="BN43" i="80"/>
  <c r="BL43" i="80"/>
  <c r="BJ43" i="80"/>
  <c r="BH43" i="80"/>
  <c r="BF43" i="80"/>
  <c r="BD43" i="80"/>
  <c r="BC43" i="80" s="1"/>
  <c r="BB43" i="80"/>
  <c r="AZ43" i="80"/>
  <c r="AX43" i="80"/>
  <c r="AV43" i="80"/>
  <c r="AU43" i="80" s="1"/>
  <c r="AT43" i="80"/>
  <c r="AO43" i="80"/>
  <c r="AA43" i="80"/>
  <c r="Y43" i="80"/>
  <c r="S43" i="80"/>
  <c r="E43" i="80"/>
  <c r="AH43" i="80" s="1"/>
  <c r="D43" i="80"/>
  <c r="BX42" i="80"/>
  <c r="BW42" i="80"/>
  <c r="BV42" i="80"/>
  <c r="BU42" i="80"/>
  <c r="BT42" i="80"/>
  <c r="BS42" i="80"/>
  <c r="BP42" i="80"/>
  <c r="BO42" i="80"/>
  <c r="BN42" i="80"/>
  <c r="AA42" i="80"/>
  <c r="Y42" i="80"/>
  <c r="V42" i="80"/>
  <c r="S42" i="80"/>
  <c r="BX41" i="80"/>
  <c r="BW41" i="80"/>
  <c r="BV41" i="80"/>
  <c r="BU41" i="80"/>
  <c r="BT41" i="80"/>
  <c r="BS41" i="80"/>
  <c r="BP41" i="80"/>
  <c r="BO41" i="80"/>
  <c r="BN41" i="80"/>
  <c r="BL41" i="80"/>
  <c r="BJ41" i="80"/>
  <c r="BH41" i="80"/>
  <c r="BF41" i="80"/>
  <c r="BD41" i="80"/>
  <c r="BC41" i="80" s="1"/>
  <c r="BB41" i="80"/>
  <c r="AZ41" i="80"/>
  <c r="AX41" i="80"/>
  <c r="AV41" i="80"/>
  <c r="AU41" i="80" s="1"/>
  <c r="AT41" i="80"/>
  <c r="E41" i="80"/>
  <c r="AO41" i="80"/>
  <c r="AA41" i="80"/>
  <c r="Y41" i="80"/>
  <c r="S41" i="80"/>
  <c r="D41" i="80"/>
  <c r="BX40" i="80"/>
  <c r="BW40" i="80"/>
  <c r="BV40" i="80"/>
  <c r="BU40" i="80"/>
  <c r="BT40" i="80"/>
  <c r="BS40" i="80"/>
  <c r="BP40" i="80"/>
  <c r="BO40" i="80"/>
  <c r="BN40" i="80"/>
  <c r="AA40" i="80"/>
  <c r="Y40" i="80"/>
  <c r="V40" i="80"/>
  <c r="S40" i="80"/>
  <c r="BX39" i="80"/>
  <c r="BW39" i="80"/>
  <c r="BV39" i="80"/>
  <c r="BU39" i="80"/>
  <c r="BT39" i="80"/>
  <c r="BS39" i="80"/>
  <c r="BP39" i="80"/>
  <c r="BO39" i="80"/>
  <c r="BN39" i="80"/>
  <c r="BL39" i="80"/>
  <c r="BJ39" i="80"/>
  <c r="BH39" i="80"/>
  <c r="BF39" i="80"/>
  <c r="BD39" i="80"/>
  <c r="BC39" i="80" s="1"/>
  <c r="BB39" i="80"/>
  <c r="AZ39" i="80"/>
  <c r="AX39" i="80"/>
  <c r="AV39" i="80"/>
  <c r="AU39" i="80" s="1"/>
  <c r="AT39" i="80"/>
  <c r="AO39" i="80"/>
  <c r="AA39" i="80"/>
  <c r="Y39" i="80"/>
  <c r="S39" i="80"/>
  <c r="E39" i="80"/>
  <c r="AH39" i="80" s="1"/>
  <c r="D39" i="80"/>
  <c r="BX38" i="80"/>
  <c r="BW38" i="80"/>
  <c r="BV38" i="80"/>
  <c r="BU38" i="80"/>
  <c r="BT38" i="80"/>
  <c r="BS38" i="80"/>
  <c r="BP38" i="80"/>
  <c r="BO38" i="80"/>
  <c r="BN38" i="80"/>
  <c r="AA38" i="80"/>
  <c r="Y38" i="80"/>
  <c r="V38" i="80"/>
  <c r="S38" i="80"/>
  <c r="BX37" i="80"/>
  <c r="BW37" i="80"/>
  <c r="BV37" i="80"/>
  <c r="BU37" i="80"/>
  <c r="BT37" i="80"/>
  <c r="BS37" i="80"/>
  <c r="BP37" i="80"/>
  <c r="BO37" i="80"/>
  <c r="BN37" i="80"/>
  <c r="BL37" i="80"/>
  <c r="BJ37" i="80"/>
  <c r="BH37" i="80"/>
  <c r="BF37" i="80"/>
  <c r="BD37" i="80"/>
  <c r="BC37" i="80" s="1"/>
  <c r="BB37" i="80"/>
  <c r="AZ37" i="80"/>
  <c r="AX37" i="80"/>
  <c r="AV37" i="80"/>
  <c r="AU37" i="80" s="1"/>
  <c r="AT37" i="80"/>
  <c r="E37" i="80"/>
  <c r="AO37" i="80"/>
  <c r="AA37" i="80"/>
  <c r="Y37" i="80"/>
  <c r="S37" i="80"/>
  <c r="D37" i="80"/>
  <c r="BX36" i="80"/>
  <c r="BW36" i="80"/>
  <c r="BV36" i="80"/>
  <c r="BU36" i="80"/>
  <c r="BT36" i="80"/>
  <c r="BS36" i="80"/>
  <c r="BP36" i="80"/>
  <c r="BO36" i="80"/>
  <c r="BN36" i="80"/>
  <c r="AA36" i="80"/>
  <c r="Y36" i="80"/>
  <c r="V36" i="80"/>
  <c r="S36" i="80"/>
  <c r="BX35" i="80"/>
  <c r="BW35" i="80"/>
  <c r="BV35" i="80"/>
  <c r="BU35" i="80"/>
  <c r="BT35" i="80"/>
  <c r="BS35" i="80"/>
  <c r="BP35" i="80"/>
  <c r="BO35" i="80"/>
  <c r="BN35" i="80"/>
  <c r="BL35" i="80"/>
  <c r="BJ35" i="80"/>
  <c r="BH35" i="80"/>
  <c r="BF35" i="80"/>
  <c r="BD35" i="80"/>
  <c r="BC35" i="80" s="1"/>
  <c r="BB35" i="80"/>
  <c r="AZ35" i="80"/>
  <c r="AX35" i="80"/>
  <c r="AV35" i="80"/>
  <c r="AU35" i="80" s="1"/>
  <c r="AT35" i="80"/>
  <c r="AO35" i="80"/>
  <c r="AA35" i="80"/>
  <c r="Y35" i="80"/>
  <c r="S35" i="80"/>
  <c r="E35" i="80"/>
  <c r="AH35" i="80" s="1"/>
  <c r="D35" i="80"/>
  <c r="BX34" i="80"/>
  <c r="BW34" i="80"/>
  <c r="BV34" i="80"/>
  <c r="BU34" i="80"/>
  <c r="BT34" i="80"/>
  <c r="BS34" i="80"/>
  <c r="BP34" i="80"/>
  <c r="BO34" i="80"/>
  <c r="BN34" i="80"/>
  <c r="AA34" i="80"/>
  <c r="Y34" i="80"/>
  <c r="V34" i="80"/>
  <c r="S34" i="80"/>
  <c r="BX33" i="80"/>
  <c r="BW33" i="80"/>
  <c r="BV33" i="80"/>
  <c r="BU33" i="80"/>
  <c r="BT33" i="80"/>
  <c r="BS33" i="80"/>
  <c r="BP33" i="80"/>
  <c r="BO33" i="80"/>
  <c r="BN33" i="80"/>
  <c r="BL33" i="80"/>
  <c r="BJ33" i="80"/>
  <c r="BH33" i="80"/>
  <c r="BF33" i="80"/>
  <c r="BD33" i="80"/>
  <c r="BC33" i="80" s="1"/>
  <c r="BB33" i="80"/>
  <c r="AZ33" i="80"/>
  <c r="AX33" i="80"/>
  <c r="AV33" i="80"/>
  <c r="AU33" i="80" s="1"/>
  <c r="AT33" i="80"/>
  <c r="AO33" i="80"/>
  <c r="AA33" i="80"/>
  <c r="Y33" i="80"/>
  <c r="S33" i="80"/>
  <c r="E33" i="80"/>
  <c r="AJ33" i="80" s="1"/>
  <c r="D33" i="80"/>
  <c r="BX32" i="80"/>
  <c r="BW32" i="80"/>
  <c r="BV32" i="80"/>
  <c r="BU32" i="80"/>
  <c r="BT32" i="80"/>
  <c r="BS32" i="80"/>
  <c r="BP32" i="80"/>
  <c r="BO32" i="80"/>
  <c r="BN32" i="80"/>
  <c r="AA32" i="80"/>
  <c r="Y32" i="80"/>
  <c r="V32" i="80"/>
  <c r="S32" i="80"/>
  <c r="BX31" i="80"/>
  <c r="BW31" i="80"/>
  <c r="BV31" i="80"/>
  <c r="BU31" i="80"/>
  <c r="BT31" i="80"/>
  <c r="BS31" i="80"/>
  <c r="BP31" i="80"/>
  <c r="BO31" i="80"/>
  <c r="BN31" i="80"/>
  <c r="BL31" i="80"/>
  <c r="BJ31" i="80"/>
  <c r="BH31" i="80"/>
  <c r="BF31" i="80"/>
  <c r="BD31" i="80"/>
  <c r="BC31" i="80" s="1"/>
  <c r="BB31" i="80"/>
  <c r="AZ31" i="80"/>
  <c r="AX31" i="80"/>
  <c r="AV31" i="80"/>
  <c r="AU31" i="80" s="1"/>
  <c r="AT31" i="80"/>
  <c r="AO31" i="80"/>
  <c r="AA31" i="80"/>
  <c r="Y31" i="80"/>
  <c r="S31" i="80"/>
  <c r="E31" i="80"/>
  <c r="AH31" i="80" s="1"/>
  <c r="D31" i="80"/>
  <c r="BX30" i="80"/>
  <c r="BW30" i="80"/>
  <c r="BV30" i="80"/>
  <c r="BU30" i="80"/>
  <c r="BT30" i="80"/>
  <c r="BS30" i="80"/>
  <c r="BP30" i="80"/>
  <c r="BO30" i="80"/>
  <c r="BN30" i="80"/>
  <c r="AA30" i="80"/>
  <c r="Y30" i="80"/>
  <c r="V30" i="80"/>
  <c r="S30" i="80"/>
  <c r="BX29" i="80"/>
  <c r="BW29" i="80"/>
  <c r="BV29" i="80"/>
  <c r="BU29" i="80"/>
  <c r="BT29" i="80"/>
  <c r="BS29" i="80"/>
  <c r="BP29" i="80"/>
  <c r="BO29" i="80"/>
  <c r="BN29" i="80"/>
  <c r="BL29" i="80"/>
  <c r="BJ29" i="80"/>
  <c r="BH29" i="80"/>
  <c r="BF29" i="80"/>
  <c r="BD29" i="80"/>
  <c r="BC29" i="80" s="1"/>
  <c r="BB29" i="80"/>
  <c r="AZ29" i="80"/>
  <c r="AX29" i="80"/>
  <c r="AV29" i="80"/>
  <c r="AU29" i="80" s="1"/>
  <c r="AT29" i="80"/>
  <c r="E29" i="80"/>
  <c r="AO29" i="80"/>
  <c r="AA29" i="80"/>
  <c r="Y29" i="80"/>
  <c r="S29" i="80"/>
  <c r="D29" i="80"/>
  <c r="BX28" i="80"/>
  <c r="BW28" i="80"/>
  <c r="BV28" i="80"/>
  <c r="BU28" i="80"/>
  <c r="BT28" i="80"/>
  <c r="BS28" i="80"/>
  <c r="BP28" i="80"/>
  <c r="BO28" i="80"/>
  <c r="BN28" i="80"/>
  <c r="AA28" i="80"/>
  <c r="Y28" i="80"/>
  <c r="V28" i="80"/>
  <c r="S28" i="80"/>
  <c r="BX27" i="80"/>
  <c r="BW27" i="80"/>
  <c r="BV27" i="80"/>
  <c r="BU27" i="80"/>
  <c r="BT27" i="80"/>
  <c r="BS27" i="80"/>
  <c r="BP27" i="80"/>
  <c r="BO27" i="80"/>
  <c r="BN27" i="80"/>
  <c r="BL27" i="80"/>
  <c r="BJ27" i="80"/>
  <c r="BH27" i="80"/>
  <c r="BF27" i="80"/>
  <c r="BD27" i="80"/>
  <c r="BC27" i="80" s="1"/>
  <c r="BB27" i="80"/>
  <c r="AZ27" i="80"/>
  <c r="AX27" i="80"/>
  <c r="AV27" i="80"/>
  <c r="AU27" i="80" s="1"/>
  <c r="AT27" i="80"/>
  <c r="AO27" i="80"/>
  <c r="AA27" i="80"/>
  <c r="Y27" i="80"/>
  <c r="S27" i="80"/>
  <c r="E27" i="80"/>
  <c r="AH27" i="80" s="1"/>
  <c r="D27" i="80"/>
  <c r="BX26" i="80"/>
  <c r="BW26" i="80"/>
  <c r="BV26" i="80"/>
  <c r="BU26" i="80"/>
  <c r="BT26" i="80"/>
  <c r="BS26" i="80"/>
  <c r="BP26" i="80"/>
  <c r="BO26" i="80"/>
  <c r="BN26" i="80"/>
  <c r="AA26" i="80"/>
  <c r="Y26" i="80"/>
  <c r="V26" i="80"/>
  <c r="S26" i="80"/>
  <c r="BX25" i="80"/>
  <c r="BW25" i="80"/>
  <c r="BV25" i="80"/>
  <c r="BU25" i="80"/>
  <c r="BT25" i="80"/>
  <c r="BS25" i="80"/>
  <c r="BP25" i="80"/>
  <c r="BO25" i="80"/>
  <c r="BN25" i="80"/>
  <c r="BL25" i="80"/>
  <c r="BJ25" i="80"/>
  <c r="BH25" i="80"/>
  <c r="BF25" i="80"/>
  <c r="BD25" i="80"/>
  <c r="BC25" i="80" s="1"/>
  <c r="BB25" i="80"/>
  <c r="AZ25" i="80"/>
  <c r="AX25" i="80"/>
  <c r="AV25" i="80"/>
  <c r="AU25" i="80" s="1"/>
  <c r="AT25" i="80"/>
  <c r="E25" i="80"/>
  <c r="AO25" i="80"/>
  <c r="AA25" i="80"/>
  <c r="Y25" i="80"/>
  <c r="S25" i="80"/>
  <c r="D25" i="80"/>
  <c r="BX24" i="80"/>
  <c r="BW24" i="80"/>
  <c r="BV24" i="80"/>
  <c r="BU24" i="80"/>
  <c r="BT24" i="80"/>
  <c r="BS24" i="80"/>
  <c r="BP24" i="80"/>
  <c r="BO24" i="80"/>
  <c r="BN24" i="80"/>
  <c r="AA24" i="80"/>
  <c r="Y24" i="80"/>
  <c r="V24" i="80"/>
  <c r="S24" i="80"/>
  <c r="BX23" i="80"/>
  <c r="BW23" i="80"/>
  <c r="BV23" i="80"/>
  <c r="BU23" i="80"/>
  <c r="BT23" i="80"/>
  <c r="BS23" i="80"/>
  <c r="BP23" i="80"/>
  <c r="BO23" i="80"/>
  <c r="BN23" i="80"/>
  <c r="BL23" i="80"/>
  <c r="BJ23" i="80"/>
  <c r="BH23" i="80"/>
  <c r="BF23" i="80"/>
  <c r="BD23" i="80"/>
  <c r="BC23" i="80" s="1"/>
  <c r="BB23" i="80"/>
  <c r="AZ23" i="80"/>
  <c r="AX23" i="80"/>
  <c r="AV23" i="80"/>
  <c r="AU23" i="80" s="1"/>
  <c r="AT23" i="80"/>
  <c r="AO23" i="80"/>
  <c r="AA23" i="80"/>
  <c r="Y23" i="80"/>
  <c r="S23" i="80"/>
  <c r="E23" i="80"/>
  <c r="AF23" i="80" s="1"/>
  <c r="D23" i="80"/>
  <c r="BX22" i="80"/>
  <c r="BW22" i="80"/>
  <c r="BV22" i="80"/>
  <c r="BU22" i="80"/>
  <c r="BT22" i="80"/>
  <c r="BS22" i="80"/>
  <c r="BP22" i="80"/>
  <c r="BO22" i="80"/>
  <c r="BN22" i="80"/>
  <c r="AA22" i="80"/>
  <c r="Y22" i="80"/>
  <c r="V22" i="80"/>
  <c r="S22" i="80"/>
  <c r="BX21" i="80"/>
  <c r="BW21" i="80"/>
  <c r="BV21" i="80"/>
  <c r="BU21" i="80"/>
  <c r="BT21" i="80"/>
  <c r="BS21" i="80"/>
  <c r="BP21" i="80"/>
  <c r="BO21" i="80"/>
  <c r="BN21" i="80"/>
  <c r="BL21" i="80"/>
  <c r="BJ21" i="80"/>
  <c r="BH21" i="80"/>
  <c r="BF21" i="80"/>
  <c r="BD21" i="80"/>
  <c r="BC21" i="80" s="1"/>
  <c r="BB21" i="80"/>
  <c r="AZ21" i="80"/>
  <c r="AX21" i="80"/>
  <c r="AV21" i="80"/>
  <c r="AU21" i="80" s="1"/>
  <c r="AT21" i="80"/>
  <c r="E21" i="80"/>
  <c r="AO21" i="80"/>
  <c r="AA21" i="80"/>
  <c r="Y21" i="80"/>
  <c r="S21" i="80"/>
  <c r="D21" i="80"/>
  <c r="BX20" i="80"/>
  <c r="BW20" i="80"/>
  <c r="BV20" i="80"/>
  <c r="BU20" i="80"/>
  <c r="BT20" i="80"/>
  <c r="BS20" i="80"/>
  <c r="BP20" i="80"/>
  <c r="BO20" i="80"/>
  <c r="BN20" i="80"/>
  <c r="AA20" i="80"/>
  <c r="Y20" i="80"/>
  <c r="V20" i="80"/>
  <c r="S20" i="80"/>
  <c r="BX19" i="80"/>
  <c r="BW19" i="80"/>
  <c r="BV19" i="80"/>
  <c r="BU19" i="80"/>
  <c r="BT19" i="80"/>
  <c r="BS19" i="80"/>
  <c r="BP19" i="80"/>
  <c r="BO19" i="80"/>
  <c r="BN19" i="80"/>
  <c r="BL19" i="80"/>
  <c r="BJ19" i="80"/>
  <c r="BH19" i="80"/>
  <c r="BF19" i="80"/>
  <c r="BD19" i="80"/>
  <c r="BC19" i="80" s="1"/>
  <c r="BB19" i="80"/>
  <c r="AZ19" i="80"/>
  <c r="AX19" i="80"/>
  <c r="AV19" i="80"/>
  <c r="AU19" i="80" s="1"/>
  <c r="AT19" i="80"/>
  <c r="AO19" i="80"/>
  <c r="AA19" i="80"/>
  <c r="Y19" i="80"/>
  <c r="S19" i="80"/>
  <c r="E19" i="80"/>
  <c r="AJ19" i="80" s="1"/>
  <c r="D19" i="80"/>
  <c r="BX18" i="80"/>
  <c r="BW18" i="80"/>
  <c r="BV18" i="80"/>
  <c r="BU18" i="80"/>
  <c r="BT18" i="80"/>
  <c r="BS18" i="80"/>
  <c r="BP18" i="80"/>
  <c r="BO18" i="80"/>
  <c r="BN18" i="80"/>
  <c r="AA18" i="80"/>
  <c r="Y18" i="80"/>
  <c r="V18" i="80"/>
  <c r="S18" i="80"/>
  <c r="BX17" i="80"/>
  <c r="BW17" i="80"/>
  <c r="BV17" i="80"/>
  <c r="BU17" i="80"/>
  <c r="BT17" i="80"/>
  <c r="BS17" i="80"/>
  <c r="BP17" i="80"/>
  <c r="BO17" i="80"/>
  <c r="BN17" i="80"/>
  <c r="BL17" i="80"/>
  <c r="BJ17" i="80"/>
  <c r="BH17" i="80"/>
  <c r="BF17" i="80"/>
  <c r="BD17" i="80"/>
  <c r="BC17" i="80" s="1"/>
  <c r="BB17" i="80"/>
  <c r="AZ17" i="80"/>
  <c r="AX17" i="80"/>
  <c r="AV17" i="80"/>
  <c r="AU17" i="80" s="1"/>
  <c r="AT17" i="80"/>
  <c r="E17" i="80"/>
  <c r="AO17" i="80"/>
  <c r="AA17" i="80"/>
  <c r="Y17" i="80"/>
  <c r="S17" i="80"/>
  <c r="D17" i="80"/>
  <c r="BX16" i="80"/>
  <c r="BW16" i="80"/>
  <c r="BV16" i="80"/>
  <c r="BU16" i="80"/>
  <c r="BT16" i="80"/>
  <c r="BS16" i="80"/>
  <c r="BP16" i="80"/>
  <c r="BO16" i="80"/>
  <c r="BN16" i="80"/>
  <c r="AA16" i="80"/>
  <c r="Y16" i="80"/>
  <c r="V16" i="80"/>
  <c r="S16" i="80"/>
  <c r="BX15" i="80"/>
  <c r="BW15" i="80"/>
  <c r="BV15" i="80"/>
  <c r="BU15" i="80"/>
  <c r="BT15" i="80"/>
  <c r="BS15" i="80"/>
  <c r="BP15" i="80"/>
  <c r="BO15" i="80"/>
  <c r="BN15" i="80"/>
  <c r="BL15" i="80"/>
  <c r="BJ15" i="80"/>
  <c r="BH15" i="80"/>
  <c r="BF15" i="80"/>
  <c r="BD15" i="80"/>
  <c r="BC15" i="80" s="1"/>
  <c r="BB15" i="80"/>
  <c r="AZ15" i="80"/>
  <c r="AY7" i="80"/>
  <c r="AY9" i="80" s="1"/>
  <c r="AX15" i="80"/>
  <c r="AV15" i="80"/>
  <c r="AU15" i="80" s="1"/>
  <c r="AT15" i="80"/>
  <c r="AO15" i="80"/>
  <c r="AA15" i="80"/>
  <c r="Y15" i="80"/>
  <c r="S15" i="80"/>
  <c r="E15" i="80"/>
  <c r="AJ15" i="80" s="1"/>
  <c r="D15" i="80"/>
  <c r="BX14" i="80"/>
  <c r="BW14" i="80"/>
  <c r="BV14" i="80"/>
  <c r="BU14" i="80"/>
  <c r="BT14" i="80"/>
  <c r="BS14" i="80"/>
  <c r="BP14" i="80"/>
  <c r="BO14" i="80"/>
  <c r="BN14" i="80"/>
  <c r="AA14" i="80"/>
  <c r="Y14" i="80"/>
  <c r="V14" i="80"/>
  <c r="S14" i="80"/>
  <c r="BX13" i="80"/>
  <c r="BW13" i="80"/>
  <c r="BV13" i="80"/>
  <c r="BU13" i="80"/>
  <c r="BT13" i="80"/>
  <c r="BS13" i="80"/>
  <c r="BP13" i="80"/>
  <c r="BQ13" i="80" s="1"/>
  <c r="BO13" i="80"/>
  <c r="BN13" i="80"/>
  <c r="BL13" i="80"/>
  <c r="BL8" i="80" s="1"/>
  <c r="BL10" i="80" s="1"/>
  <c r="BJ13" i="80"/>
  <c r="BH13" i="80"/>
  <c r="BH8" i="80" s="1"/>
  <c r="BF13" i="80"/>
  <c r="BD13" i="80"/>
  <c r="BC13" i="80" s="1"/>
  <c r="BB13" i="80"/>
  <c r="AZ13" i="80"/>
  <c r="AZ8" i="80" s="1"/>
  <c r="AX13" i="80"/>
  <c r="AV13" i="80"/>
  <c r="AU13" i="80" s="1"/>
  <c r="AT13" i="80"/>
  <c r="E13" i="80"/>
  <c r="AO13" i="80"/>
  <c r="S13" i="80"/>
  <c r="BA9" i="80"/>
  <c r="BJ8" i="80"/>
  <c r="BJ10" i="80" s="1"/>
  <c r="BF8" i="80"/>
  <c r="BF10" i="80" s="1"/>
  <c r="BB8" i="80"/>
  <c r="BB10" i="80" s="1"/>
  <c r="AX8" i="80"/>
  <c r="AX10" i="80" s="1"/>
  <c r="AV8" i="80"/>
  <c r="AV10" i="80" s="1"/>
  <c r="AT8" i="80"/>
  <c r="AT10" i="80" s="1"/>
  <c r="AR8" i="80"/>
  <c r="AR10" i="80" s="1"/>
  <c r="Q4" i="80"/>
  <c r="K4" i="80"/>
  <c r="BX3" i="80"/>
  <c r="BW3" i="80"/>
  <c r="BV3" i="80"/>
  <c r="BU3" i="80"/>
  <c r="BT3" i="80"/>
  <c r="BS3" i="80"/>
  <c r="BN3" i="80"/>
  <c r="AG3" i="80"/>
  <c r="AE3" i="80"/>
  <c r="AC3" i="80"/>
  <c r="U3" i="80"/>
  <c r="S3" i="80"/>
  <c r="Q3" i="80"/>
  <c r="M3" i="80"/>
  <c r="AK2" i="80"/>
  <c r="AI2" i="80"/>
  <c r="BK11" i="80" s="1"/>
  <c r="BL11" i="80" s="1"/>
  <c r="AG2" i="80"/>
  <c r="BI11" i="80" s="1"/>
  <c r="BJ11" i="80" s="1"/>
  <c r="AE2" i="80"/>
  <c r="BG11" i="80" s="1"/>
  <c r="BH11" i="80" s="1"/>
  <c r="AC2" i="80"/>
  <c r="BE11" i="80" s="1"/>
  <c r="BF11" i="80" s="1"/>
  <c r="AA2" i="80"/>
  <c r="Y2" i="80"/>
  <c r="W2" i="80"/>
  <c r="BC11" i="80" s="1"/>
  <c r="BD11" i="80" s="1"/>
  <c r="U2" i="80"/>
  <c r="S2" i="80"/>
  <c r="Q2" i="80"/>
  <c r="BA11" i="80" s="1"/>
  <c r="BB11" i="80" s="1"/>
  <c r="O2" i="80"/>
  <c r="AY11" i="80" s="1"/>
  <c r="AZ11" i="80" s="1"/>
  <c r="M2" i="80"/>
  <c r="AW11" i="80" s="1"/>
  <c r="AX11" i="80" s="1"/>
  <c r="K2" i="80"/>
  <c r="AU11" i="80" s="1"/>
  <c r="AV11" i="80" s="1"/>
  <c r="I2" i="80"/>
  <c r="D13" i="80" s="1"/>
  <c r="C2" i="80"/>
  <c r="AQ11" i="80" s="1"/>
  <c r="AR11" i="80" s="1"/>
  <c r="BQ143" i="80" l="1"/>
  <c r="BR143" i="80" s="1"/>
  <c r="BQ89" i="80"/>
  <c r="BR89" i="80" s="1"/>
  <c r="BQ38" i="80"/>
  <c r="BQ46" i="80"/>
  <c r="BQ124" i="80"/>
  <c r="BQ128" i="80"/>
  <c r="BQ160" i="80"/>
  <c r="BQ164" i="80"/>
  <c r="BQ172" i="80"/>
  <c r="BQ176" i="80"/>
  <c r="BQ180" i="80"/>
  <c r="BQ192" i="80"/>
  <c r="BQ85" i="80"/>
  <c r="BR85" i="80" s="1"/>
  <c r="BQ68" i="80"/>
  <c r="BQ138" i="80"/>
  <c r="BQ92" i="80"/>
  <c r="BQ100" i="80"/>
  <c r="BQ104" i="80"/>
  <c r="BQ108" i="80"/>
  <c r="BQ112" i="80"/>
  <c r="BQ120" i="80"/>
  <c r="BQ79" i="80"/>
  <c r="BR79" i="80" s="1"/>
  <c r="BQ33" i="80"/>
  <c r="BR33" i="80" s="1"/>
  <c r="BQ157" i="80"/>
  <c r="BR157" i="80" s="1"/>
  <c r="BQ201" i="80"/>
  <c r="BR201" i="80" s="1"/>
  <c r="BQ207" i="80"/>
  <c r="BR207" i="80" s="1"/>
  <c r="BQ77" i="80"/>
  <c r="BR77" i="80" s="1"/>
  <c r="BQ87" i="80"/>
  <c r="BR87" i="80" s="1"/>
  <c r="AZ10" i="80"/>
  <c r="O4" i="80"/>
  <c r="BH10" i="80"/>
  <c r="AE4" i="80"/>
  <c r="I4" i="80"/>
  <c r="M4" i="80"/>
  <c r="AC4" i="80"/>
  <c r="AG4" i="80"/>
  <c r="BD8" i="80"/>
  <c r="AJ201" i="80"/>
  <c r="X201" i="80"/>
  <c r="P201" i="80"/>
  <c r="J201" i="80"/>
  <c r="BQ21" i="80"/>
  <c r="BR21" i="80" s="1"/>
  <c r="AJ95" i="80"/>
  <c r="X95" i="80"/>
  <c r="P95" i="80"/>
  <c r="J95" i="80"/>
  <c r="AH95" i="80"/>
  <c r="AD95" i="80"/>
  <c r="AJ25" i="80"/>
  <c r="X25" i="80"/>
  <c r="P25" i="80"/>
  <c r="J25" i="80"/>
  <c r="AH25" i="80"/>
  <c r="AD25" i="80"/>
  <c r="BC7" i="80"/>
  <c r="AS7" i="80"/>
  <c r="BQ16" i="80"/>
  <c r="BQ20" i="80"/>
  <c r="BQ24" i="80"/>
  <c r="BQ25" i="80"/>
  <c r="BR25" i="80" s="1"/>
  <c r="BQ29" i="80"/>
  <c r="BR29" i="80" s="1"/>
  <c r="J33" i="80"/>
  <c r="P33" i="80"/>
  <c r="X33" i="80"/>
  <c r="BQ37" i="80"/>
  <c r="BR37" i="80" s="1"/>
  <c r="BQ41" i="80"/>
  <c r="BR41" i="80" s="1"/>
  <c r="BQ45" i="80"/>
  <c r="BR45" i="80" s="1"/>
  <c r="BQ50" i="80"/>
  <c r="BQ52" i="80"/>
  <c r="BQ54" i="80"/>
  <c r="BQ56" i="80"/>
  <c r="BQ60" i="80"/>
  <c r="BQ64" i="80"/>
  <c r="BQ66" i="80"/>
  <c r="BQ70" i="80"/>
  <c r="BQ72" i="80"/>
  <c r="BQ74" i="80"/>
  <c r="BQ76" i="80"/>
  <c r="BQ84" i="80"/>
  <c r="BQ86" i="80"/>
  <c r="BQ88" i="80"/>
  <c r="BQ90" i="80"/>
  <c r="BQ94" i="80"/>
  <c r="BQ95" i="80"/>
  <c r="BR95" i="80" s="1"/>
  <c r="BQ99" i="80"/>
  <c r="BR99" i="80" s="1"/>
  <c r="J103" i="80"/>
  <c r="P103" i="80"/>
  <c r="X103" i="80"/>
  <c r="AJ123" i="80"/>
  <c r="X123" i="80"/>
  <c r="P123" i="80"/>
  <c r="J123" i="80"/>
  <c r="AH123" i="80"/>
  <c r="AD123" i="80"/>
  <c r="AJ163" i="80"/>
  <c r="AH163" i="80"/>
  <c r="AD163" i="80"/>
  <c r="X163" i="80"/>
  <c r="P163" i="80"/>
  <c r="J163" i="80"/>
  <c r="AU7" i="80"/>
  <c r="K3" i="80" s="1"/>
  <c r="BQ17" i="80"/>
  <c r="BR17" i="80" s="1"/>
  <c r="BQ26" i="80"/>
  <c r="BQ28" i="80"/>
  <c r="BQ30" i="80"/>
  <c r="BQ32" i="80"/>
  <c r="AD33" i="80"/>
  <c r="BQ34" i="80"/>
  <c r="BQ36" i="80"/>
  <c r="BQ40" i="80"/>
  <c r="BQ42" i="80"/>
  <c r="BQ44" i="80"/>
  <c r="BQ48" i="80"/>
  <c r="BQ49" i="80"/>
  <c r="BR49" i="80" s="1"/>
  <c r="BQ53" i="80"/>
  <c r="BR53" i="80" s="1"/>
  <c r="BQ57" i="80"/>
  <c r="BR57" i="80" s="1"/>
  <c r="BQ61" i="80"/>
  <c r="BR61" i="80" s="1"/>
  <c r="BQ65" i="80"/>
  <c r="BR65" i="80" s="1"/>
  <c r="BQ71" i="80"/>
  <c r="BR71" i="80" s="1"/>
  <c r="BQ73" i="80"/>
  <c r="BR73" i="80" s="1"/>
  <c r="BQ75" i="80"/>
  <c r="BR75" i="80" s="1"/>
  <c r="BQ80" i="80"/>
  <c r="BQ82" i="80"/>
  <c r="J87" i="80"/>
  <c r="P87" i="80"/>
  <c r="X87" i="80"/>
  <c r="BQ91" i="80"/>
  <c r="BR91" i="80" s="1"/>
  <c r="BQ96" i="80"/>
  <c r="BQ98" i="80"/>
  <c r="BQ102" i="80"/>
  <c r="AJ103" i="80"/>
  <c r="AH103" i="80"/>
  <c r="AD103" i="80"/>
  <c r="AH203" i="80"/>
  <c r="P203" i="80"/>
  <c r="J203" i="80"/>
  <c r="BQ106" i="80"/>
  <c r="BQ110" i="80"/>
  <c r="BQ114" i="80"/>
  <c r="BQ116" i="80"/>
  <c r="BQ118" i="80"/>
  <c r="BQ122" i="80"/>
  <c r="BQ123" i="80"/>
  <c r="BR123" i="80" s="1"/>
  <c r="BQ127" i="80"/>
  <c r="BR127" i="80" s="1"/>
  <c r="BQ132" i="80"/>
  <c r="BQ133" i="80"/>
  <c r="BR133" i="80" s="1"/>
  <c r="BQ137" i="80"/>
  <c r="BR137" i="80" s="1"/>
  <c r="BQ141" i="80"/>
  <c r="BR141" i="80" s="1"/>
  <c r="BQ145" i="80"/>
  <c r="BR145" i="80" s="1"/>
  <c r="BQ149" i="80"/>
  <c r="BR149" i="80" s="1"/>
  <c r="BQ153" i="80"/>
  <c r="BR153" i="80" s="1"/>
  <c r="BQ155" i="80"/>
  <c r="BR155" i="80" s="1"/>
  <c r="BQ159" i="80"/>
  <c r="BR159" i="80" s="1"/>
  <c r="BQ166" i="80"/>
  <c r="BQ168" i="80"/>
  <c r="BQ170" i="80"/>
  <c r="BQ174" i="80"/>
  <c r="BQ178" i="80"/>
  <c r="BQ182" i="80"/>
  <c r="BQ184" i="80"/>
  <c r="BQ186" i="80"/>
  <c r="BQ188" i="80"/>
  <c r="BQ190" i="80"/>
  <c r="BQ194" i="80"/>
  <c r="BQ196" i="80"/>
  <c r="BQ204" i="80"/>
  <c r="BQ206" i="80"/>
  <c r="BQ208" i="80"/>
  <c r="BQ210" i="80"/>
  <c r="BQ103" i="80"/>
  <c r="BR103" i="80" s="1"/>
  <c r="BQ107" i="80"/>
  <c r="BR107" i="80" s="1"/>
  <c r="BQ111" i="80"/>
  <c r="BR111" i="80" s="1"/>
  <c r="BQ115" i="80"/>
  <c r="BR115" i="80" s="1"/>
  <c r="BQ119" i="80"/>
  <c r="BR119" i="80" s="1"/>
  <c r="BQ126" i="80"/>
  <c r="BQ130" i="80"/>
  <c r="BQ134" i="80"/>
  <c r="BQ136" i="80"/>
  <c r="BQ140" i="80"/>
  <c r="BQ142" i="80"/>
  <c r="BQ144" i="80"/>
  <c r="BQ146" i="80"/>
  <c r="BQ148" i="80"/>
  <c r="BQ150" i="80"/>
  <c r="BQ152" i="80"/>
  <c r="BQ154" i="80"/>
  <c r="BQ156" i="80"/>
  <c r="BQ158" i="80"/>
  <c r="BQ162" i="80"/>
  <c r="BQ163" i="80"/>
  <c r="BR163" i="80" s="1"/>
  <c r="BQ167" i="80"/>
  <c r="BR167" i="80" s="1"/>
  <c r="BQ171" i="80"/>
  <c r="BR171" i="80" s="1"/>
  <c r="BQ175" i="80"/>
  <c r="BR175" i="80" s="1"/>
  <c r="BQ179" i="80"/>
  <c r="BR179" i="80" s="1"/>
  <c r="BQ187" i="80"/>
  <c r="BR187" i="80" s="1"/>
  <c r="BQ191" i="80"/>
  <c r="BR191" i="80" s="1"/>
  <c r="BQ195" i="80"/>
  <c r="BR195" i="80" s="1"/>
  <c r="BQ198" i="80"/>
  <c r="BQ200" i="80"/>
  <c r="BQ202" i="80"/>
  <c r="J205" i="80"/>
  <c r="J207" i="80"/>
  <c r="P207" i="80"/>
  <c r="X207" i="80"/>
  <c r="BQ211" i="80"/>
  <c r="BR211" i="80" s="1"/>
  <c r="BQ27" i="80"/>
  <c r="BR27" i="80" s="1"/>
  <c r="BQ31" i="80"/>
  <c r="BR31" i="80" s="1"/>
  <c r="BQ35" i="80"/>
  <c r="BR35" i="80" s="1"/>
  <c r="BQ14" i="80"/>
  <c r="BQ18" i="80"/>
  <c r="BQ22" i="80"/>
  <c r="BQ58" i="80"/>
  <c r="BQ62" i="80"/>
  <c r="BQ51" i="80"/>
  <c r="BR51" i="80" s="1"/>
  <c r="BQ55" i="80"/>
  <c r="BR55" i="80" s="1"/>
  <c r="BQ59" i="80"/>
  <c r="BR59" i="80" s="1"/>
  <c r="BQ67" i="80"/>
  <c r="BR67" i="80" s="1"/>
  <c r="BQ165" i="80"/>
  <c r="BR165" i="80" s="1"/>
  <c r="BQ169" i="80"/>
  <c r="BR169" i="80" s="1"/>
  <c r="BQ173" i="80"/>
  <c r="BR173" i="80" s="1"/>
  <c r="BQ177" i="80"/>
  <c r="BR177" i="80" s="1"/>
  <c r="BQ181" i="80"/>
  <c r="BR181" i="80" s="1"/>
  <c r="BQ185" i="80"/>
  <c r="BR185" i="80" s="1"/>
  <c r="BQ189" i="80"/>
  <c r="BR189" i="80" s="1"/>
  <c r="BQ193" i="80"/>
  <c r="BR193" i="80" s="1"/>
  <c r="BQ199" i="80"/>
  <c r="BR199" i="80" s="1"/>
  <c r="BQ205" i="80"/>
  <c r="BR205" i="80" s="1"/>
  <c r="BQ209" i="80"/>
  <c r="BR209" i="80" s="1"/>
  <c r="BQ93" i="80"/>
  <c r="BR93" i="80" s="1"/>
  <c r="BQ105" i="80"/>
  <c r="BR105" i="80" s="1"/>
  <c r="BQ109" i="80"/>
  <c r="BR109" i="80" s="1"/>
  <c r="BQ113" i="80"/>
  <c r="BR113" i="80" s="1"/>
  <c r="BQ125" i="80"/>
  <c r="BR125" i="80" s="1"/>
  <c r="BQ129" i="80"/>
  <c r="BR129" i="80" s="1"/>
  <c r="BQ131" i="80"/>
  <c r="BR131" i="80" s="1"/>
  <c r="BQ151" i="80"/>
  <c r="BR151" i="80" s="1"/>
  <c r="BQ39" i="80"/>
  <c r="BR39" i="80" s="1"/>
  <c r="BQ43" i="80"/>
  <c r="BR43" i="80" s="1"/>
  <c r="BQ47" i="80"/>
  <c r="BR47" i="80" s="1"/>
  <c r="BQ203" i="80"/>
  <c r="BR203" i="80" s="1"/>
  <c r="BQ15" i="80"/>
  <c r="BR15" i="80" s="1"/>
  <c r="BQ19" i="80"/>
  <c r="BR19" i="80" s="1"/>
  <c r="BQ23" i="80"/>
  <c r="BR23" i="80" s="1"/>
  <c r="BQ63" i="80"/>
  <c r="BR63" i="80" s="1"/>
  <c r="BQ69" i="80"/>
  <c r="BR69" i="80" s="1"/>
  <c r="BQ81" i="80"/>
  <c r="BR81" i="80" s="1"/>
  <c r="BQ83" i="80"/>
  <c r="BR83" i="80" s="1"/>
  <c r="BQ97" i="80"/>
  <c r="BR97" i="80" s="1"/>
  <c r="BQ101" i="80"/>
  <c r="BR101" i="80" s="1"/>
  <c r="BQ117" i="80"/>
  <c r="BR117" i="80" s="1"/>
  <c r="BQ121" i="80"/>
  <c r="BR121" i="80" s="1"/>
  <c r="BQ135" i="80"/>
  <c r="BR135" i="80" s="1"/>
  <c r="BQ139" i="80"/>
  <c r="BR139" i="80" s="1"/>
  <c r="BQ147" i="80"/>
  <c r="BR147" i="80" s="1"/>
  <c r="BQ161" i="80"/>
  <c r="BR161" i="80" s="1"/>
  <c r="AH13" i="80"/>
  <c r="AD13" i="80"/>
  <c r="X13" i="80"/>
  <c r="P13" i="80"/>
  <c r="J13" i="80"/>
  <c r="AJ13" i="80"/>
  <c r="AF13" i="80"/>
  <c r="AB13" i="80"/>
  <c r="V13" i="80"/>
  <c r="R13" i="80"/>
  <c r="L13" i="80"/>
  <c r="AP7" i="80"/>
  <c r="C3" i="80" s="1"/>
  <c r="I3" i="80"/>
  <c r="BT1" i="80" s="1"/>
  <c r="AH17" i="80"/>
  <c r="AD17" i="80"/>
  <c r="X17" i="80"/>
  <c r="P17" i="80"/>
  <c r="J17" i="80"/>
  <c r="AJ17" i="80"/>
  <c r="AF17" i="80"/>
  <c r="AB17" i="80"/>
  <c r="V17" i="80"/>
  <c r="R17" i="80"/>
  <c r="L17" i="80"/>
  <c r="AH21" i="80"/>
  <c r="AD21" i="80"/>
  <c r="X21" i="80"/>
  <c r="P21" i="80"/>
  <c r="J21" i="80"/>
  <c r="AJ21" i="80"/>
  <c r="AF21" i="80"/>
  <c r="AB21" i="80"/>
  <c r="V21" i="80"/>
  <c r="R21" i="80"/>
  <c r="L21" i="80"/>
  <c r="W3" i="80"/>
  <c r="BC9" i="80"/>
  <c r="BR13" i="80"/>
  <c r="Y13" i="80"/>
  <c r="AP8" i="80"/>
  <c r="C4" i="80" s="1"/>
  <c r="AS11" i="80"/>
  <c r="AT11" i="80" s="1"/>
  <c r="J15" i="80"/>
  <c r="P15" i="80"/>
  <c r="X15" i="80"/>
  <c r="AD15" i="80"/>
  <c r="AH15" i="80"/>
  <c r="J19" i="80"/>
  <c r="P19" i="80"/>
  <c r="X19" i="80"/>
  <c r="AD19" i="80"/>
  <c r="AH19" i="80"/>
  <c r="J23" i="80"/>
  <c r="P23" i="80"/>
  <c r="X23" i="80"/>
  <c r="AD23" i="80"/>
  <c r="AJ53" i="80"/>
  <c r="AF53" i="80"/>
  <c r="AB53" i="80"/>
  <c r="V53" i="80"/>
  <c r="R53" i="80"/>
  <c r="L53" i="80"/>
  <c r="AH53" i="80"/>
  <c r="AD53" i="80"/>
  <c r="X53" i="80"/>
  <c r="P53" i="80"/>
  <c r="J53" i="80"/>
  <c r="AJ57" i="80"/>
  <c r="AF57" i="80"/>
  <c r="AB57" i="80"/>
  <c r="V57" i="80"/>
  <c r="R57" i="80"/>
  <c r="L57" i="80"/>
  <c r="AH57" i="80"/>
  <c r="AD57" i="80"/>
  <c r="X57" i="80"/>
  <c r="P57" i="80"/>
  <c r="J57" i="80"/>
  <c r="AJ61" i="80"/>
  <c r="AF61" i="80"/>
  <c r="AB61" i="80"/>
  <c r="V61" i="80"/>
  <c r="R61" i="80"/>
  <c r="L61" i="80"/>
  <c r="AH61" i="80"/>
  <c r="AD61" i="80"/>
  <c r="X61" i="80"/>
  <c r="P61" i="80"/>
  <c r="J61" i="80"/>
  <c r="AJ65" i="80"/>
  <c r="AF65" i="80"/>
  <c r="AB65" i="80"/>
  <c r="V65" i="80"/>
  <c r="R65" i="80"/>
  <c r="L65" i="80"/>
  <c r="AH65" i="80"/>
  <c r="AD65" i="80"/>
  <c r="X65" i="80"/>
  <c r="P65" i="80"/>
  <c r="J65" i="80"/>
  <c r="AH71" i="80"/>
  <c r="AD71" i="80"/>
  <c r="X71" i="80"/>
  <c r="P71" i="80"/>
  <c r="J71" i="80"/>
  <c r="AJ71" i="80"/>
  <c r="AF71" i="80"/>
  <c r="AB71" i="80"/>
  <c r="V71" i="80"/>
  <c r="R71" i="80"/>
  <c r="L71" i="80"/>
  <c r="AH75" i="80"/>
  <c r="AD75" i="80"/>
  <c r="X75" i="80"/>
  <c r="P75" i="80"/>
  <c r="J75" i="80"/>
  <c r="AJ75" i="80"/>
  <c r="AF75" i="80"/>
  <c r="AB75" i="80"/>
  <c r="V75" i="80"/>
  <c r="R75" i="80"/>
  <c r="L75" i="80"/>
  <c r="L15" i="80"/>
  <c r="R15" i="80"/>
  <c r="V15" i="80"/>
  <c r="AB15" i="80"/>
  <c r="AF15" i="80"/>
  <c r="L19" i="80"/>
  <c r="R19" i="80"/>
  <c r="V19" i="80"/>
  <c r="AB19" i="80"/>
  <c r="AF19" i="80"/>
  <c r="AH23" i="80"/>
  <c r="L23" i="80"/>
  <c r="R23" i="80"/>
  <c r="V23" i="80"/>
  <c r="AB23" i="80"/>
  <c r="AJ23" i="80"/>
  <c r="AJ29" i="80"/>
  <c r="AF29" i="80"/>
  <c r="AB29" i="80"/>
  <c r="V29" i="80"/>
  <c r="R29" i="80"/>
  <c r="L29" i="80"/>
  <c r="AH29" i="80"/>
  <c r="AD29" i="80"/>
  <c r="X29" i="80"/>
  <c r="P29" i="80"/>
  <c r="J29" i="80"/>
  <c r="AJ37" i="80"/>
  <c r="AF37" i="80"/>
  <c r="AB37" i="80"/>
  <c r="V37" i="80"/>
  <c r="R37" i="80"/>
  <c r="L37" i="80"/>
  <c r="AH37" i="80"/>
  <c r="AD37" i="80"/>
  <c r="X37" i="80"/>
  <c r="P37" i="80"/>
  <c r="J37" i="80"/>
  <c r="AJ41" i="80"/>
  <c r="AF41" i="80"/>
  <c r="AB41" i="80"/>
  <c r="V41" i="80"/>
  <c r="R41" i="80"/>
  <c r="L41" i="80"/>
  <c r="AH41" i="80"/>
  <c r="AD41" i="80"/>
  <c r="X41" i="80"/>
  <c r="P41" i="80"/>
  <c r="J41" i="80"/>
  <c r="AJ45" i="80"/>
  <c r="AF45" i="80"/>
  <c r="AB45" i="80"/>
  <c r="V45" i="80"/>
  <c r="R45" i="80"/>
  <c r="L45" i="80"/>
  <c r="AH45" i="80"/>
  <c r="AD45" i="80"/>
  <c r="X45" i="80"/>
  <c r="P45" i="80"/>
  <c r="J45" i="80"/>
  <c r="AJ49" i="80"/>
  <c r="AF49" i="80"/>
  <c r="AB49" i="80"/>
  <c r="V49" i="80"/>
  <c r="R49" i="80"/>
  <c r="L49" i="80"/>
  <c r="AH49" i="80"/>
  <c r="AD49" i="80"/>
  <c r="X49" i="80"/>
  <c r="P49" i="80"/>
  <c r="J49" i="80"/>
  <c r="L27" i="80"/>
  <c r="R27" i="80"/>
  <c r="V27" i="80"/>
  <c r="AB27" i="80"/>
  <c r="AF27" i="80"/>
  <c r="AJ27" i="80"/>
  <c r="L31" i="80"/>
  <c r="R31" i="80"/>
  <c r="V31" i="80"/>
  <c r="AB31" i="80"/>
  <c r="AF31" i="80"/>
  <c r="AJ31" i="80"/>
  <c r="AH33" i="80"/>
  <c r="L35" i="80"/>
  <c r="R35" i="80"/>
  <c r="V35" i="80"/>
  <c r="AB35" i="80"/>
  <c r="AF35" i="80"/>
  <c r="AJ35" i="80"/>
  <c r="L39" i="80"/>
  <c r="R39" i="80"/>
  <c r="V39" i="80"/>
  <c r="AB39" i="80"/>
  <c r="AF39" i="80"/>
  <c r="AJ39" i="80"/>
  <c r="L43" i="80"/>
  <c r="R43" i="80"/>
  <c r="V43" i="80"/>
  <c r="AB43" i="80"/>
  <c r="AF43" i="80"/>
  <c r="AJ43" i="80"/>
  <c r="L47" i="80"/>
  <c r="R47" i="80"/>
  <c r="V47" i="80"/>
  <c r="AB47" i="80"/>
  <c r="AF47" i="80"/>
  <c r="AJ47" i="80"/>
  <c r="L51" i="80"/>
  <c r="R51" i="80"/>
  <c r="V51" i="80"/>
  <c r="AB51" i="80"/>
  <c r="AF51" i="80"/>
  <c r="AJ51" i="80"/>
  <c r="L55" i="80"/>
  <c r="R55" i="80"/>
  <c r="V55" i="80"/>
  <c r="AB55" i="80"/>
  <c r="AF55" i="80"/>
  <c r="AJ55" i="80"/>
  <c r="L59" i="80"/>
  <c r="R59" i="80"/>
  <c r="V59" i="80"/>
  <c r="AB59" i="80"/>
  <c r="AF59" i="80"/>
  <c r="AJ59" i="80"/>
  <c r="L63" i="80"/>
  <c r="R63" i="80"/>
  <c r="V63" i="80"/>
  <c r="AB63" i="80"/>
  <c r="AF63" i="80"/>
  <c r="AJ63" i="80"/>
  <c r="L67" i="80"/>
  <c r="R67" i="80"/>
  <c r="V67" i="80"/>
  <c r="AB67" i="80"/>
  <c r="AF67" i="80"/>
  <c r="AJ67" i="80"/>
  <c r="J69" i="80"/>
  <c r="P69" i="80"/>
  <c r="X69" i="80"/>
  <c r="AD69" i="80"/>
  <c r="AH69" i="80"/>
  <c r="J73" i="80"/>
  <c r="P73" i="80"/>
  <c r="X73" i="80"/>
  <c r="AD73" i="80"/>
  <c r="AH73" i="80"/>
  <c r="J77" i="80"/>
  <c r="P77" i="80"/>
  <c r="X77" i="80"/>
  <c r="AD77" i="80"/>
  <c r="AH77" i="80"/>
  <c r="AH83" i="80"/>
  <c r="AD83" i="80"/>
  <c r="X83" i="80"/>
  <c r="P83" i="80"/>
  <c r="J83" i="80"/>
  <c r="AJ83" i="80"/>
  <c r="AF83" i="80"/>
  <c r="AB83" i="80"/>
  <c r="V83" i="80"/>
  <c r="R83" i="80"/>
  <c r="L83" i="80"/>
  <c r="AH99" i="80"/>
  <c r="AD99" i="80"/>
  <c r="X99" i="80"/>
  <c r="P99" i="80"/>
  <c r="J99" i="80"/>
  <c r="AJ99" i="80"/>
  <c r="AF99" i="80"/>
  <c r="AB99" i="80"/>
  <c r="V99" i="80"/>
  <c r="R99" i="80"/>
  <c r="L99" i="80"/>
  <c r="AH119" i="80"/>
  <c r="AD119" i="80"/>
  <c r="X119" i="80"/>
  <c r="P119" i="80"/>
  <c r="J119" i="80"/>
  <c r="AJ119" i="80"/>
  <c r="AF119" i="80"/>
  <c r="AB119" i="80"/>
  <c r="V119" i="80"/>
  <c r="R119" i="80"/>
  <c r="L119" i="80"/>
  <c r="L25" i="80"/>
  <c r="R25" i="80"/>
  <c r="V25" i="80"/>
  <c r="AB25" i="80"/>
  <c r="AF25" i="80"/>
  <c r="J27" i="80"/>
  <c r="P27" i="80"/>
  <c r="X27" i="80"/>
  <c r="AD27" i="80"/>
  <c r="J31" i="80"/>
  <c r="P31" i="80"/>
  <c r="X31" i="80"/>
  <c r="AD31" i="80"/>
  <c r="L33" i="80"/>
  <c r="R33" i="80"/>
  <c r="V33" i="80"/>
  <c r="AB33" i="80"/>
  <c r="AF33" i="80"/>
  <c r="J35" i="80"/>
  <c r="P35" i="80"/>
  <c r="X35" i="80"/>
  <c r="AD35" i="80"/>
  <c r="J39" i="80"/>
  <c r="P39" i="80"/>
  <c r="X39" i="80"/>
  <c r="AD39" i="80"/>
  <c r="J43" i="80"/>
  <c r="P43" i="80"/>
  <c r="X43" i="80"/>
  <c r="AD43" i="80"/>
  <c r="J47" i="80"/>
  <c r="P47" i="80"/>
  <c r="X47" i="80"/>
  <c r="AD47" i="80"/>
  <c r="J51" i="80"/>
  <c r="P51" i="80"/>
  <c r="X51" i="80"/>
  <c r="AD51" i="80"/>
  <c r="J55" i="80"/>
  <c r="P55" i="80"/>
  <c r="X55" i="80"/>
  <c r="AD55" i="80"/>
  <c r="J59" i="80"/>
  <c r="P59" i="80"/>
  <c r="X59" i="80"/>
  <c r="AD59" i="80"/>
  <c r="J63" i="80"/>
  <c r="P63" i="80"/>
  <c r="X63" i="80"/>
  <c r="AD63" i="80"/>
  <c r="J67" i="80"/>
  <c r="P67" i="80"/>
  <c r="X67" i="80"/>
  <c r="AD67" i="80"/>
  <c r="L69" i="80"/>
  <c r="R69" i="80"/>
  <c r="V69" i="80"/>
  <c r="AB69" i="80"/>
  <c r="AF69" i="80"/>
  <c r="L73" i="80"/>
  <c r="R73" i="80"/>
  <c r="V73" i="80"/>
  <c r="AB73" i="80"/>
  <c r="AF73" i="80"/>
  <c r="L77" i="80"/>
  <c r="R77" i="80"/>
  <c r="V77" i="80"/>
  <c r="AB77" i="80"/>
  <c r="AF77" i="80"/>
  <c r="BQ78" i="80"/>
  <c r="AH79" i="80"/>
  <c r="AD79" i="80"/>
  <c r="X79" i="80"/>
  <c r="P79" i="80"/>
  <c r="AJ79" i="80"/>
  <c r="AF79" i="80"/>
  <c r="AB79" i="80"/>
  <c r="V79" i="80"/>
  <c r="R79" i="80"/>
  <c r="L79" i="80"/>
  <c r="AH91" i="80"/>
  <c r="AD91" i="80"/>
  <c r="X91" i="80"/>
  <c r="P91" i="80"/>
  <c r="J91" i="80"/>
  <c r="AJ91" i="80"/>
  <c r="AF91" i="80"/>
  <c r="AB91" i="80"/>
  <c r="V91" i="80"/>
  <c r="R91" i="80"/>
  <c r="L91" i="80"/>
  <c r="AH107" i="80"/>
  <c r="AD107" i="80"/>
  <c r="X107" i="80"/>
  <c r="P107" i="80"/>
  <c r="J107" i="80"/>
  <c r="AJ107" i="80"/>
  <c r="AF107" i="80"/>
  <c r="AB107" i="80"/>
  <c r="V107" i="80"/>
  <c r="R107" i="80"/>
  <c r="L107" i="80"/>
  <c r="AH111" i="80"/>
  <c r="AD111" i="80"/>
  <c r="X111" i="80"/>
  <c r="P111" i="80"/>
  <c r="J111" i="80"/>
  <c r="AJ111" i="80"/>
  <c r="AF111" i="80"/>
  <c r="AB111" i="80"/>
  <c r="V111" i="80"/>
  <c r="R111" i="80"/>
  <c r="L111" i="80"/>
  <c r="AH115" i="80"/>
  <c r="AD115" i="80"/>
  <c r="X115" i="80"/>
  <c r="P115" i="80"/>
  <c r="J115" i="80"/>
  <c r="AJ115" i="80"/>
  <c r="AF115" i="80"/>
  <c r="AB115" i="80"/>
  <c r="V115" i="80"/>
  <c r="R115" i="80"/>
  <c r="L115" i="80"/>
  <c r="AH127" i="80"/>
  <c r="AD127" i="80"/>
  <c r="X127" i="80"/>
  <c r="P127" i="80"/>
  <c r="J127" i="80"/>
  <c r="AJ127" i="80"/>
  <c r="AF127" i="80"/>
  <c r="AB127" i="80"/>
  <c r="V127" i="80"/>
  <c r="R127" i="80"/>
  <c r="L127" i="80"/>
  <c r="AH131" i="80"/>
  <c r="AD131" i="80"/>
  <c r="X131" i="80"/>
  <c r="P131" i="80"/>
  <c r="J131" i="80"/>
  <c r="AJ131" i="80"/>
  <c r="AF131" i="80"/>
  <c r="AB131" i="80"/>
  <c r="V131" i="80"/>
  <c r="R131" i="80"/>
  <c r="L131" i="80"/>
  <c r="J81" i="80"/>
  <c r="P81" i="80"/>
  <c r="X81" i="80"/>
  <c r="AD81" i="80"/>
  <c r="AH81" i="80"/>
  <c r="J85" i="80"/>
  <c r="P85" i="80"/>
  <c r="X85" i="80"/>
  <c r="AD85" i="80"/>
  <c r="AH85" i="80"/>
  <c r="L87" i="80"/>
  <c r="R87" i="80"/>
  <c r="V87" i="80"/>
  <c r="AB87" i="80"/>
  <c r="AF87" i="80"/>
  <c r="AJ87" i="80"/>
  <c r="J89" i="80"/>
  <c r="P89" i="80"/>
  <c r="X89" i="80"/>
  <c r="AD89" i="80"/>
  <c r="AH89" i="80"/>
  <c r="J93" i="80"/>
  <c r="P93" i="80"/>
  <c r="X93" i="80"/>
  <c r="AD93" i="80"/>
  <c r="AH93" i="80"/>
  <c r="L95" i="80"/>
  <c r="R95" i="80"/>
  <c r="V95" i="80"/>
  <c r="AB95" i="80"/>
  <c r="AF95" i="80"/>
  <c r="J97" i="80"/>
  <c r="P97" i="80"/>
  <c r="X97" i="80"/>
  <c r="AD97" i="80"/>
  <c r="AH97" i="80"/>
  <c r="J101" i="80"/>
  <c r="P101" i="80"/>
  <c r="X101" i="80"/>
  <c r="AD101" i="80"/>
  <c r="AH101" i="80"/>
  <c r="L103" i="80"/>
  <c r="R103" i="80"/>
  <c r="V103" i="80"/>
  <c r="AB103" i="80"/>
  <c r="AF103" i="80"/>
  <c r="J105" i="80"/>
  <c r="P105" i="80"/>
  <c r="X105" i="80"/>
  <c r="AD105" i="80"/>
  <c r="AH105" i="80"/>
  <c r="J109" i="80"/>
  <c r="P109" i="80"/>
  <c r="X109" i="80"/>
  <c r="AD109" i="80"/>
  <c r="AH109" i="80"/>
  <c r="J113" i="80"/>
  <c r="P113" i="80"/>
  <c r="X113" i="80"/>
  <c r="AD113" i="80"/>
  <c r="AH113" i="80"/>
  <c r="J117" i="80"/>
  <c r="P117" i="80"/>
  <c r="X117" i="80"/>
  <c r="AD117" i="80"/>
  <c r="AH117" i="80"/>
  <c r="J121" i="80"/>
  <c r="P121" i="80"/>
  <c r="X121" i="80"/>
  <c r="AD121" i="80"/>
  <c r="AH121" i="80"/>
  <c r="L123" i="80"/>
  <c r="R123" i="80"/>
  <c r="V123" i="80"/>
  <c r="AB123" i="80"/>
  <c r="AF123" i="80"/>
  <c r="J125" i="80"/>
  <c r="P125" i="80"/>
  <c r="X125" i="80"/>
  <c r="AD125" i="80"/>
  <c r="AH125" i="80"/>
  <c r="J129" i="80"/>
  <c r="P129" i="80"/>
  <c r="X129" i="80"/>
  <c r="AD129" i="80"/>
  <c r="AH129" i="80"/>
  <c r="AH137" i="80"/>
  <c r="AD137" i="80"/>
  <c r="X137" i="80"/>
  <c r="P137" i="80"/>
  <c r="J137" i="80"/>
  <c r="AJ137" i="80"/>
  <c r="AF137" i="80"/>
  <c r="AB137" i="80"/>
  <c r="V137" i="80"/>
  <c r="R137" i="80"/>
  <c r="L137" i="80"/>
  <c r="AH141" i="80"/>
  <c r="AD141" i="80"/>
  <c r="X141" i="80"/>
  <c r="P141" i="80"/>
  <c r="J141" i="80"/>
  <c r="AJ141" i="80"/>
  <c r="AF141" i="80"/>
  <c r="AB141" i="80"/>
  <c r="V141" i="80"/>
  <c r="R141" i="80"/>
  <c r="L141" i="80"/>
  <c r="AH149" i="80"/>
  <c r="AD149" i="80"/>
  <c r="X149" i="80"/>
  <c r="P149" i="80"/>
  <c r="J149" i="80"/>
  <c r="AJ149" i="80"/>
  <c r="AF149" i="80"/>
  <c r="AB149" i="80"/>
  <c r="V149" i="80"/>
  <c r="R149" i="80"/>
  <c r="L149" i="80"/>
  <c r="L81" i="80"/>
  <c r="R81" i="80"/>
  <c r="V81" i="80"/>
  <c r="AB81" i="80"/>
  <c r="AF81" i="80"/>
  <c r="L85" i="80"/>
  <c r="R85" i="80"/>
  <c r="V85" i="80"/>
  <c r="AB85" i="80"/>
  <c r="AF85" i="80"/>
  <c r="AD87" i="80"/>
  <c r="L89" i="80"/>
  <c r="R89" i="80"/>
  <c r="V89" i="80"/>
  <c r="AB89" i="80"/>
  <c r="AF89" i="80"/>
  <c r="L93" i="80"/>
  <c r="R93" i="80"/>
  <c r="V93" i="80"/>
  <c r="AB93" i="80"/>
  <c r="AF93" i="80"/>
  <c r="L97" i="80"/>
  <c r="R97" i="80"/>
  <c r="V97" i="80"/>
  <c r="AB97" i="80"/>
  <c r="AF97" i="80"/>
  <c r="L101" i="80"/>
  <c r="R101" i="80"/>
  <c r="V101" i="80"/>
  <c r="AB101" i="80"/>
  <c r="AF101" i="80"/>
  <c r="L105" i="80"/>
  <c r="R105" i="80"/>
  <c r="V105" i="80"/>
  <c r="AB105" i="80"/>
  <c r="AF105" i="80"/>
  <c r="L109" i="80"/>
  <c r="R109" i="80"/>
  <c r="V109" i="80"/>
  <c r="AB109" i="80"/>
  <c r="AF109" i="80"/>
  <c r="L113" i="80"/>
  <c r="R113" i="80"/>
  <c r="V113" i="80"/>
  <c r="AB113" i="80"/>
  <c r="AF113" i="80"/>
  <c r="L117" i="80"/>
  <c r="R117" i="80"/>
  <c r="V117" i="80"/>
  <c r="AB117" i="80"/>
  <c r="AF117" i="80"/>
  <c r="L121" i="80"/>
  <c r="R121" i="80"/>
  <c r="V121" i="80"/>
  <c r="AB121" i="80"/>
  <c r="AF121" i="80"/>
  <c r="L125" i="80"/>
  <c r="R125" i="80"/>
  <c r="V125" i="80"/>
  <c r="AB125" i="80"/>
  <c r="AF125" i="80"/>
  <c r="L129" i="80"/>
  <c r="R129" i="80"/>
  <c r="V129" i="80"/>
  <c r="AB129" i="80"/>
  <c r="AF129" i="80"/>
  <c r="AH133" i="80"/>
  <c r="AD133" i="80"/>
  <c r="X133" i="80"/>
  <c r="P133" i="80"/>
  <c r="J133" i="80"/>
  <c r="AJ133" i="80"/>
  <c r="AF133" i="80"/>
  <c r="AB133" i="80"/>
  <c r="V133" i="80"/>
  <c r="R133" i="80"/>
  <c r="L133" i="80"/>
  <c r="AH145" i="80"/>
  <c r="AD145" i="80"/>
  <c r="X145" i="80"/>
  <c r="P145" i="80"/>
  <c r="J145" i="80"/>
  <c r="AJ145" i="80"/>
  <c r="AF145" i="80"/>
  <c r="AB145" i="80"/>
  <c r="V145" i="80"/>
  <c r="R145" i="80"/>
  <c r="L145" i="80"/>
  <c r="AH153" i="80"/>
  <c r="AD153" i="80"/>
  <c r="X153" i="80"/>
  <c r="P153" i="80"/>
  <c r="J153" i="80"/>
  <c r="AJ153" i="80"/>
  <c r="AF153" i="80"/>
  <c r="AB153" i="80"/>
  <c r="V153" i="80"/>
  <c r="R153" i="80"/>
  <c r="L153" i="80"/>
  <c r="AH157" i="80"/>
  <c r="AD157" i="80"/>
  <c r="X157" i="80"/>
  <c r="P157" i="80"/>
  <c r="J157" i="80"/>
  <c r="AJ157" i="80"/>
  <c r="AF157" i="80"/>
  <c r="AB157" i="80"/>
  <c r="V157" i="80"/>
  <c r="R157" i="80"/>
  <c r="L157" i="80"/>
  <c r="J135" i="80"/>
  <c r="P135" i="80"/>
  <c r="X135" i="80"/>
  <c r="AD135" i="80"/>
  <c r="AH135" i="80"/>
  <c r="J139" i="80"/>
  <c r="P139" i="80"/>
  <c r="X139" i="80"/>
  <c r="AD139" i="80"/>
  <c r="AH139" i="80"/>
  <c r="J143" i="80"/>
  <c r="P143" i="80"/>
  <c r="X143" i="80"/>
  <c r="AD143" i="80"/>
  <c r="AH143" i="80"/>
  <c r="J147" i="80"/>
  <c r="P147" i="80"/>
  <c r="X147" i="80"/>
  <c r="AD147" i="80"/>
  <c r="AH147" i="80"/>
  <c r="J151" i="80"/>
  <c r="P151" i="80"/>
  <c r="X151" i="80"/>
  <c r="AD151" i="80"/>
  <c r="AH151" i="80"/>
  <c r="J155" i="80"/>
  <c r="P155" i="80"/>
  <c r="X155" i="80"/>
  <c r="AD155" i="80"/>
  <c r="AH155" i="80"/>
  <c r="AJ159" i="80"/>
  <c r="AF159" i="80"/>
  <c r="AB159" i="80"/>
  <c r="V159" i="80"/>
  <c r="R159" i="80"/>
  <c r="L159" i="80"/>
  <c r="AH159" i="80"/>
  <c r="AD159" i="80"/>
  <c r="X159" i="80"/>
  <c r="P159" i="80"/>
  <c r="J159" i="80"/>
  <c r="L135" i="80"/>
  <c r="R135" i="80"/>
  <c r="V135" i="80"/>
  <c r="AB135" i="80"/>
  <c r="AF135" i="80"/>
  <c r="L139" i="80"/>
  <c r="R139" i="80"/>
  <c r="V139" i="80"/>
  <c r="AB139" i="80"/>
  <c r="AF139" i="80"/>
  <c r="L143" i="80"/>
  <c r="R143" i="80"/>
  <c r="V143" i="80"/>
  <c r="AB143" i="80"/>
  <c r="AF143" i="80"/>
  <c r="L147" i="80"/>
  <c r="R147" i="80"/>
  <c r="V147" i="80"/>
  <c r="AB147" i="80"/>
  <c r="AF147" i="80"/>
  <c r="L151" i="80"/>
  <c r="R151" i="80"/>
  <c r="V151" i="80"/>
  <c r="AB151" i="80"/>
  <c r="AF151" i="80"/>
  <c r="L155" i="80"/>
  <c r="R155" i="80"/>
  <c r="V155" i="80"/>
  <c r="AB155" i="80"/>
  <c r="AF155" i="80"/>
  <c r="AJ167" i="80"/>
  <c r="AF167" i="80"/>
  <c r="AB167" i="80"/>
  <c r="V167" i="80"/>
  <c r="R167" i="80"/>
  <c r="L167" i="80"/>
  <c r="AH167" i="80"/>
  <c r="AD167" i="80"/>
  <c r="X167" i="80"/>
  <c r="P167" i="80"/>
  <c r="J167" i="80"/>
  <c r="AJ171" i="80"/>
  <c r="AF171" i="80"/>
  <c r="AB171" i="80"/>
  <c r="V171" i="80"/>
  <c r="R171" i="80"/>
  <c r="L171" i="80"/>
  <c r="AH171" i="80"/>
  <c r="AD171" i="80"/>
  <c r="X171" i="80"/>
  <c r="P171" i="80"/>
  <c r="J171" i="80"/>
  <c r="AJ175" i="80"/>
  <c r="AF175" i="80"/>
  <c r="AB175" i="80"/>
  <c r="V175" i="80"/>
  <c r="R175" i="80"/>
  <c r="L175" i="80"/>
  <c r="AH175" i="80"/>
  <c r="AD175" i="80"/>
  <c r="X175" i="80"/>
  <c r="P175" i="80"/>
  <c r="J175" i="80"/>
  <c r="AJ179" i="80"/>
  <c r="AF179" i="80"/>
  <c r="AB179" i="80"/>
  <c r="V179" i="80"/>
  <c r="R179" i="80"/>
  <c r="L179" i="80"/>
  <c r="AH179" i="80"/>
  <c r="AD179" i="80"/>
  <c r="X179" i="80"/>
  <c r="P179" i="80"/>
  <c r="J179" i="80"/>
  <c r="AJ183" i="80"/>
  <c r="AF183" i="80"/>
  <c r="AB183" i="80"/>
  <c r="V183" i="80"/>
  <c r="R183" i="80"/>
  <c r="L183" i="80"/>
  <c r="AH183" i="80"/>
  <c r="AD183" i="80"/>
  <c r="X183" i="80"/>
  <c r="P183" i="80"/>
  <c r="J183" i="80"/>
  <c r="L161" i="80"/>
  <c r="R161" i="80"/>
  <c r="V161" i="80"/>
  <c r="AB161" i="80"/>
  <c r="AF161" i="80"/>
  <c r="AJ161" i="80"/>
  <c r="L165" i="80"/>
  <c r="R165" i="80"/>
  <c r="V165" i="80"/>
  <c r="AB165" i="80"/>
  <c r="AF165" i="80"/>
  <c r="AJ165" i="80"/>
  <c r="L169" i="80"/>
  <c r="R169" i="80"/>
  <c r="V169" i="80"/>
  <c r="AB169" i="80"/>
  <c r="AF169" i="80"/>
  <c r="AJ169" i="80"/>
  <c r="L173" i="80"/>
  <c r="R173" i="80"/>
  <c r="V173" i="80"/>
  <c r="AB173" i="80"/>
  <c r="AF173" i="80"/>
  <c r="AJ173" i="80"/>
  <c r="L177" i="80"/>
  <c r="R177" i="80"/>
  <c r="V177" i="80"/>
  <c r="AB177" i="80"/>
  <c r="AF177" i="80"/>
  <c r="AJ177" i="80"/>
  <c r="L181" i="80"/>
  <c r="R181" i="80"/>
  <c r="V181" i="80"/>
  <c r="AB181" i="80"/>
  <c r="AF181" i="80"/>
  <c r="AJ181" i="80"/>
  <c r="BQ183" i="80"/>
  <c r="BR183" i="80" s="1"/>
  <c r="J161" i="80"/>
  <c r="P161" i="80"/>
  <c r="X161" i="80"/>
  <c r="AD161" i="80"/>
  <c r="L163" i="80"/>
  <c r="R163" i="80"/>
  <c r="V163" i="80"/>
  <c r="AB163" i="80"/>
  <c r="AF163" i="80"/>
  <c r="J165" i="80"/>
  <c r="P165" i="80"/>
  <c r="X165" i="80"/>
  <c r="AD165" i="80"/>
  <c r="J169" i="80"/>
  <c r="P169" i="80"/>
  <c r="X169" i="80"/>
  <c r="AD169" i="80"/>
  <c r="J173" i="80"/>
  <c r="P173" i="80"/>
  <c r="X173" i="80"/>
  <c r="AD173" i="80"/>
  <c r="J177" i="80"/>
  <c r="P177" i="80"/>
  <c r="X177" i="80"/>
  <c r="AD177" i="80"/>
  <c r="J181" i="80"/>
  <c r="P181" i="80"/>
  <c r="X181" i="80"/>
  <c r="AD181" i="80"/>
  <c r="AH187" i="80"/>
  <c r="AD187" i="80"/>
  <c r="X187" i="80"/>
  <c r="P187" i="80"/>
  <c r="J187" i="80"/>
  <c r="AJ187" i="80"/>
  <c r="AF187" i="80"/>
  <c r="AB187" i="80"/>
  <c r="V187" i="80"/>
  <c r="R187" i="80"/>
  <c r="L187" i="80"/>
  <c r="AH191" i="80"/>
  <c r="AD191" i="80"/>
  <c r="X191" i="80"/>
  <c r="P191" i="80"/>
  <c r="J191" i="80"/>
  <c r="AJ191" i="80"/>
  <c r="AF191" i="80"/>
  <c r="AB191" i="80"/>
  <c r="V191" i="80"/>
  <c r="R191" i="80"/>
  <c r="L191" i="80"/>
  <c r="AH195" i="80"/>
  <c r="AD195" i="80"/>
  <c r="X195" i="80"/>
  <c r="P195" i="80"/>
  <c r="J195" i="80"/>
  <c r="AJ195" i="80"/>
  <c r="AF195" i="80"/>
  <c r="AB195" i="80"/>
  <c r="V195" i="80"/>
  <c r="R195" i="80"/>
  <c r="L195" i="80"/>
  <c r="J185" i="80"/>
  <c r="P185" i="80"/>
  <c r="X185" i="80"/>
  <c r="AD185" i="80"/>
  <c r="AH185" i="80"/>
  <c r="J189" i="80"/>
  <c r="P189" i="80"/>
  <c r="X189" i="80"/>
  <c r="AD189" i="80"/>
  <c r="AH189" i="80"/>
  <c r="J193" i="80"/>
  <c r="P193" i="80"/>
  <c r="X193" i="80"/>
  <c r="AD193" i="80"/>
  <c r="AH193" i="80"/>
  <c r="J197" i="80"/>
  <c r="P197" i="80"/>
  <c r="X197" i="80"/>
  <c r="AH211" i="80"/>
  <c r="AD211" i="80"/>
  <c r="X211" i="80"/>
  <c r="P211" i="80"/>
  <c r="J211" i="80"/>
  <c r="AJ211" i="80"/>
  <c r="AF211" i="80"/>
  <c r="AB211" i="80"/>
  <c r="V211" i="80"/>
  <c r="R211" i="80"/>
  <c r="L211" i="80"/>
  <c r="L185" i="80"/>
  <c r="R185" i="80"/>
  <c r="V185" i="80"/>
  <c r="AB185" i="80"/>
  <c r="AF185" i="80"/>
  <c r="L189" i="80"/>
  <c r="R189" i="80"/>
  <c r="V189" i="80"/>
  <c r="AB189" i="80"/>
  <c r="AF189" i="80"/>
  <c r="L193" i="80"/>
  <c r="R193" i="80"/>
  <c r="V193" i="80"/>
  <c r="AB193" i="80"/>
  <c r="AF193" i="80"/>
  <c r="AJ197" i="80"/>
  <c r="AF197" i="80"/>
  <c r="AB197" i="80"/>
  <c r="V197" i="80"/>
  <c r="R197" i="80"/>
  <c r="L197" i="80"/>
  <c r="AD197" i="80"/>
  <c r="AH197" i="80"/>
  <c r="BQ197" i="80"/>
  <c r="BR197" i="80" s="1"/>
  <c r="L199" i="80"/>
  <c r="R199" i="80"/>
  <c r="V199" i="80"/>
  <c r="AB199" i="80"/>
  <c r="AF199" i="80"/>
  <c r="AJ199" i="80"/>
  <c r="AD201" i="80"/>
  <c r="AH201" i="80"/>
  <c r="L203" i="80"/>
  <c r="R203" i="80"/>
  <c r="V203" i="80"/>
  <c r="AB203" i="80"/>
  <c r="AF203" i="80"/>
  <c r="AJ203" i="80"/>
  <c r="P205" i="80"/>
  <c r="X205" i="80"/>
  <c r="AD205" i="80"/>
  <c r="AH205" i="80"/>
  <c r="L207" i="80"/>
  <c r="R207" i="80"/>
  <c r="V207" i="80"/>
  <c r="AB207" i="80"/>
  <c r="AF207" i="80"/>
  <c r="AJ207" i="80"/>
  <c r="J209" i="80"/>
  <c r="P209" i="80"/>
  <c r="X209" i="80"/>
  <c r="AD209" i="80"/>
  <c r="AH209" i="80"/>
  <c r="J199" i="80"/>
  <c r="P199" i="80"/>
  <c r="X199" i="80"/>
  <c r="AD199" i="80"/>
  <c r="L201" i="80"/>
  <c r="R201" i="80"/>
  <c r="V201" i="80"/>
  <c r="AB201" i="80"/>
  <c r="AF201" i="80"/>
  <c r="X203" i="80"/>
  <c r="AD203" i="80"/>
  <c r="L205" i="80"/>
  <c r="R205" i="80"/>
  <c r="V205" i="80"/>
  <c r="AB205" i="80"/>
  <c r="AF205" i="80"/>
  <c r="AD207" i="80"/>
  <c r="L209" i="80"/>
  <c r="R209" i="80"/>
  <c r="V209" i="80"/>
  <c r="AB209" i="80"/>
  <c r="AF209" i="80"/>
  <c r="BO14" i="65"/>
  <c r="BO15" i="65"/>
  <c r="BO16" i="65"/>
  <c r="BO17" i="65"/>
  <c r="BO18" i="65"/>
  <c r="BO19" i="65"/>
  <c r="BO20" i="65"/>
  <c r="BO21" i="65"/>
  <c r="BO22" i="65"/>
  <c r="BO23" i="65"/>
  <c r="BO24" i="65"/>
  <c r="BO25" i="65"/>
  <c r="BO26" i="65"/>
  <c r="BO27" i="65"/>
  <c r="BO28" i="65"/>
  <c r="BO29" i="65"/>
  <c r="BO30" i="65"/>
  <c r="BO31" i="65"/>
  <c r="BO32" i="65"/>
  <c r="BO33" i="65"/>
  <c r="BO34" i="65"/>
  <c r="BO35" i="65"/>
  <c r="BO36" i="65"/>
  <c r="BO37" i="65"/>
  <c r="BO38" i="65"/>
  <c r="BO39" i="65"/>
  <c r="BO40" i="65"/>
  <c r="BO41" i="65"/>
  <c r="BO42" i="65"/>
  <c r="BO43" i="65"/>
  <c r="BO44" i="65"/>
  <c r="BO45" i="65"/>
  <c r="BO46" i="65"/>
  <c r="BO47" i="65"/>
  <c r="BO48" i="65"/>
  <c r="BO49" i="65"/>
  <c r="BO50" i="65"/>
  <c r="BO51" i="65"/>
  <c r="BO52" i="65"/>
  <c r="BO53" i="65"/>
  <c r="BO54" i="65"/>
  <c r="BO55" i="65"/>
  <c r="BO56" i="65"/>
  <c r="BO57" i="65"/>
  <c r="BO58" i="65"/>
  <c r="BO59" i="65"/>
  <c r="BO60" i="65"/>
  <c r="BO61" i="65"/>
  <c r="BO62" i="65"/>
  <c r="BO63" i="65"/>
  <c r="BO64" i="65"/>
  <c r="BO65" i="65"/>
  <c r="BO66" i="65"/>
  <c r="BO67" i="65"/>
  <c r="BO68" i="65"/>
  <c r="BO69" i="65"/>
  <c r="BO70" i="65"/>
  <c r="BO71" i="65"/>
  <c r="BO72" i="65"/>
  <c r="BO73" i="65"/>
  <c r="BO74" i="65"/>
  <c r="BO75" i="65"/>
  <c r="BO76" i="65"/>
  <c r="BO77" i="65"/>
  <c r="BO78" i="65"/>
  <c r="BO79" i="65"/>
  <c r="BO80" i="65"/>
  <c r="BO81" i="65"/>
  <c r="BO82" i="65"/>
  <c r="BO83" i="65"/>
  <c r="BO84" i="65"/>
  <c r="BO85" i="65"/>
  <c r="BO86" i="65"/>
  <c r="BO87" i="65"/>
  <c r="BO88" i="65"/>
  <c r="BO89" i="65"/>
  <c r="BO90" i="65"/>
  <c r="BO91" i="65"/>
  <c r="BO92" i="65"/>
  <c r="BO93" i="65"/>
  <c r="BO94" i="65"/>
  <c r="BO95" i="65"/>
  <c r="BO96" i="65"/>
  <c r="BO97" i="65"/>
  <c r="BO98" i="65"/>
  <c r="BO99" i="65"/>
  <c r="BO100" i="65"/>
  <c r="BO101" i="65"/>
  <c r="BO102" i="65"/>
  <c r="BO103" i="65"/>
  <c r="BO104" i="65"/>
  <c r="BO105" i="65"/>
  <c r="BO106" i="65"/>
  <c r="BO107" i="65"/>
  <c r="BO108" i="65"/>
  <c r="BO109" i="65"/>
  <c r="BO110" i="65"/>
  <c r="BO111" i="65"/>
  <c r="BO112" i="65"/>
  <c r="BO113" i="65"/>
  <c r="BO114" i="65"/>
  <c r="BO115" i="65"/>
  <c r="BO116" i="65"/>
  <c r="BO117" i="65"/>
  <c r="BO118" i="65"/>
  <c r="BO119" i="65"/>
  <c r="BO120" i="65"/>
  <c r="BO121" i="65"/>
  <c r="BO122" i="65"/>
  <c r="BO123" i="65"/>
  <c r="BO124" i="65"/>
  <c r="BO125" i="65"/>
  <c r="BO126" i="65"/>
  <c r="BO127" i="65"/>
  <c r="BO128" i="65"/>
  <c r="BO129" i="65"/>
  <c r="BO130" i="65"/>
  <c r="BO131" i="65"/>
  <c r="BO132" i="65"/>
  <c r="BO133" i="65"/>
  <c r="BO134" i="65"/>
  <c r="BO135" i="65"/>
  <c r="BO136" i="65"/>
  <c r="BO137" i="65"/>
  <c r="BO138" i="65"/>
  <c r="BO139" i="65"/>
  <c r="BO140" i="65"/>
  <c r="BO141" i="65"/>
  <c r="BO142" i="65"/>
  <c r="BO143" i="65"/>
  <c r="BO144" i="65"/>
  <c r="BO145" i="65"/>
  <c r="BO146" i="65"/>
  <c r="BO147" i="65"/>
  <c r="BO148" i="65"/>
  <c r="BO149" i="65"/>
  <c r="BO150" i="65"/>
  <c r="BO151" i="65"/>
  <c r="BO152" i="65"/>
  <c r="BO153" i="65"/>
  <c r="BO154" i="65"/>
  <c r="BO155" i="65"/>
  <c r="BO156" i="65"/>
  <c r="BO157" i="65"/>
  <c r="BO158" i="65"/>
  <c r="BO159" i="65"/>
  <c r="BO160" i="65"/>
  <c r="BO161" i="65"/>
  <c r="BO162" i="65"/>
  <c r="BO163" i="65"/>
  <c r="BO164" i="65"/>
  <c r="BO165" i="65"/>
  <c r="BO166" i="65"/>
  <c r="BO167" i="65"/>
  <c r="BO168" i="65"/>
  <c r="BO169" i="65"/>
  <c r="BO170" i="65"/>
  <c r="BO171" i="65"/>
  <c r="BO172" i="65"/>
  <c r="BO173" i="65"/>
  <c r="BO174" i="65"/>
  <c r="BO175" i="65"/>
  <c r="BO176" i="65"/>
  <c r="BO177" i="65"/>
  <c r="BO178" i="65"/>
  <c r="BO179" i="65"/>
  <c r="BO180" i="65"/>
  <c r="BO181" i="65"/>
  <c r="BO182" i="65"/>
  <c r="BO183" i="65"/>
  <c r="BO184" i="65"/>
  <c r="BO185" i="65"/>
  <c r="BO186" i="65"/>
  <c r="BO187" i="65"/>
  <c r="BO188" i="65"/>
  <c r="BO189" i="65"/>
  <c r="BO190" i="65"/>
  <c r="BO191" i="65"/>
  <c r="BO192" i="65"/>
  <c r="BO193" i="65"/>
  <c r="BO194" i="65"/>
  <c r="BO195" i="65"/>
  <c r="BO196" i="65"/>
  <c r="BO197" i="65"/>
  <c r="BO198" i="65"/>
  <c r="BO199" i="65"/>
  <c r="BO200" i="65"/>
  <c r="BO201" i="65"/>
  <c r="BO202" i="65"/>
  <c r="BO203" i="65"/>
  <c r="BO204" i="65"/>
  <c r="BO205" i="65"/>
  <c r="BO206" i="65"/>
  <c r="BO207" i="65"/>
  <c r="BO208" i="65"/>
  <c r="BO209" i="65"/>
  <c r="BO210" i="65"/>
  <c r="BO211" i="65"/>
  <c r="BO13" i="65"/>
  <c r="BP2" i="65"/>
  <c r="CA14" i="79"/>
  <c r="CA15" i="79"/>
  <c r="CA16" i="79"/>
  <c r="CA17" i="79"/>
  <c r="CA18" i="79"/>
  <c r="CA19" i="79"/>
  <c r="CA20" i="79"/>
  <c r="CA21" i="79"/>
  <c r="CA22" i="79"/>
  <c r="CA23" i="79"/>
  <c r="CA24" i="79"/>
  <c r="CA25" i="79"/>
  <c r="CA26" i="79"/>
  <c r="CA27" i="79"/>
  <c r="CA28" i="79"/>
  <c r="CA29" i="79"/>
  <c r="CA30" i="79"/>
  <c r="CA31" i="79"/>
  <c r="CA32" i="79"/>
  <c r="CA33" i="79"/>
  <c r="CA34" i="79"/>
  <c r="CA35" i="79"/>
  <c r="CA36" i="79"/>
  <c r="CA37" i="79"/>
  <c r="CA38" i="79"/>
  <c r="CA39" i="79"/>
  <c r="CA40" i="79"/>
  <c r="CA41" i="79"/>
  <c r="CA42" i="79"/>
  <c r="CA43" i="79"/>
  <c r="CA44" i="79"/>
  <c r="CA45" i="79"/>
  <c r="CA46" i="79"/>
  <c r="CA47" i="79"/>
  <c r="CA48" i="79"/>
  <c r="CA49" i="79"/>
  <c r="CA50" i="79"/>
  <c r="CA51" i="79"/>
  <c r="CA52" i="79"/>
  <c r="CA53" i="79"/>
  <c r="CA54" i="79"/>
  <c r="CA55" i="79"/>
  <c r="CA56" i="79"/>
  <c r="CA57" i="79"/>
  <c r="CA58" i="79"/>
  <c r="CA59" i="79"/>
  <c r="CA60" i="79"/>
  <c r="CA61" i="79"/>
  <c r="CA62" i="79"/>
  <c r="CA63" i="79"/>
  <c r="CA64" i="79"/>
  <c r="CA65" i="79"/>
  <c r="CA66" i="79"/>
  <c r="CA67" i="79"/>
  <c r="CA68" i="79"/>
  <c r="CA69" i="79"/>
  <c r="CA70" i="79"/>
  <c r="CA71" i="79"/>
  <c r="CA72" i="79"/>
  <c r="CA73" i="79"/>
  <c r="CA74" i="79"/>
  <c r="CA75" i="79"/>
  <c r="CA76" i="79"/>
  <c r="CA77" i="79"/>
  <c r="CA78" i="79"/>
  <c r="CA79" i="79"/>
  <c r="CA80" i="79"/>
  <c r="CA81" i="79"/>
  <c r="CA82" i="79"/>
  <c r="CA83" i="79"/>
  <c r="CA84" i="79"/>
  <c r="CA85" i="79"/>
  <c r="CA86" i="79"/>
  <c r="CA87" i="79"/>
  <c r="CA88" i="79"/>
  <c r="CA89" i="79"/>
  <c r="CA90" i="79"/>
  <c r="CA91" i="79"/>
  <c r="CA92" i="79"/>
  <c r="CA93" i="79"/>
  <c r="CA94" i="79"/>
  <c r="CA95" i="79"/>
  <c r="CA96" i="79"/>
  <c r="CA97" i="79"/>
  <c r="CA98" i="79"/>
  <c r="CA99" i="79"/>
  <c r="CA100" i="79"/>
  <c r="CA101" i="79"/>
  <c r="CA102" i="79"/>
  <c r="CA103" i="79"/>
  <c r="CA104" i="79"/>
  <c r="CA105" i="79"/>
  <c r="CA106" i="79"/>
  <c r="CA107" i="79"/>
  <c r="CA108" i="79"/>
  <c r="CA109" i="79"/>
  <c r="CA110" i="79"/>
  <c r="CA111" i="79"/>
  <c r="CA112" i="79"/>
  <c r="CA113" i="79"/>
  <c r="CA114" i="79"/>
  <c r="CA115" i="79"/>
  <c r="CA116" i="79"/>
  <c r="CA117" i="79"/>
  <c r="CA118" i="79"/>
  <c r="CA119" i="79"/>
  <c r="CA120" i="79"/>
  <c r="CA121" i="79"/>
  <c r="CA122" i="79"/>
  <c r="CA123" i="79"/>
  <c r="CA124" i="79"/>
  <c r="CA125" i="79"/>
  <c r="CA126" i="79"/>
  <c r="CA127" i="79"/>
  <c r="CA128" i="79"/>
  <c r="CA129" i="79"/>
  <c r="CA130" i="79"/>
  <c r="CA131" i="79"/>
  <c r="CA132" i="79"/>
  <c r="CA133" i="79"/>
  <c r="CA134" i="79"/>
  <c r="CA135" i="79"/>
  <c r="CA136" i="79"/>
  <c r="CA137" i="79"/>
  <c r="CA138" i="79"/>
  <c r="CA139" i="79"/>
  <c r="CA140" i="79"/>
  <c r="CA141" i="79"/>
  <c r="CA142" i="79"/>
  <c r="CA143" i="79"/>
  <c r="CA144" i="79"/>
  <c r="CA145" i="79"/>
  <c r="CA146" i="79"/>
  <c r="CA147" i="79"/>
  <c r="CA148" i="79"/>
  <c r="CA149" i="79"/>
  <c r="CA150" i="79"/>
  <c r="CA151" i="79"/>
  <c r="CA152" i="79"/>
  <c r="CA153" i="79"/>
  <c r="CA154" i="79"/>
  <c r="CA155" i="79"/>
  <c r="CA156" i="79"/>
  <c r="CA157" i="79"/>
  <c r="CA158" i="79"/>
  <c r="CA159" i="79"/>
  <c r="CA160" i="79"/>
  <c r="CA161" i="79"/>
  <c r="CA162" i="79"/>
  <c r="CA163" i="79"/>
  <c r="CA164" i="79"/>
  <c r="CA165" i="79"/>
  <c r="CA166" i="79"/>
  <c r="CA167" i="79"/>
  <c r="CA168" i="79"/>
  <c r="CA169" i="79"/>
  <c r="CA170" i="79"/>
  <c r="CA171" i="79"/>
  <c r="CA172" i="79"/>
  <c r="CA173" i="79"/>
  <c r="CA174" i="79"/>
  <c r="CA175" i="79"/>
  <c r="CA176" i="79"/>
  <c r="CA177" i="79"/>
  <c r="CA178" i="79"/>
  <c r="CA179" i="79"/>
  <c r="CA180" i="79"/>
  <c r="CA181" i="79"/>
  <c r="CA182" i="79"/>
  <c r="CA183" i="79"/>
  <c r="CA184" i="79"/>
  <c r="CA185" i="79"/>
  <c r="CA186" i="79"/>
  <c r="CA187" i="79"/>
  <c r="CA188" i="79"/>
  <c r="CA189" i="79"/>
  <c r="CA190" i="79"/>
  <c r="CA191" i="79"/>
  <c r="CA192" i="79"/>
  <c r="CA193" i="79"/>
  <c r="CA194" i="79"/>
  <c r="CA195" i="79"/>
  <c r="CA196" i="79"/>
  <c r="CA197" i="79"/>
  <c r="CA198" i="79"/>
  <c r="CA199" i="79"/>
  <c r="CA200" i="79"/>
  <c r="CA201" i="79"/>
  <c r="CA202" i="79"/>
  <c r="CA203" i="79"/>
  <c r="CA204" i="79"/>
  <c r="CA205" i="79"/>
  <c r="CA206" i="79"/>
  <c r="CA207" i="79"/>
  <c r="CA208" i="79"/>
  <c r="CA209" i="79"/>
  <c r="CA210" i="79"/>
  <c r="CA211" i="79"/>
  <c r="CA212" i="79"/>
  <c r="CA13" i="79"/>
  <c r="BD10" i="80" l="1"/>
  <c r="W4" i="80"/>
  <c r="AA13" i="80"/>
  <c r="BT2" i="80"/>
  <c r="BP4" i="65"/>
  <c r="CG211" i="57" l="1"/>
  <c r="CG209" i="57"/>
  <c r="CG207" i="57"/>
  <c r="CG205" i="57"/>
  <c r="CG203" i="57"/>
  <c r="CG201" i="57"/>
  <c r="CG199" i="57"/>
  <c r="CG197" i="57"/>
  <c r="CG195" i="57"/>
  <c r="CG193" i="57"/>
  <c r="CG191" i="57"/>
  <c r="CG189" i="57"/>
  <c r="CG187" i="57"/>
  <c r="CG185" i="57"/>
  <c r="CG183" i="57"/>
  <c r="CG181" i="57"/>
  <c r="CG179" i="57"/>
  <c r="CG177" i="57"/>
  <c r="CG175" i="57"/>
  <c r="CG173" i="57"/>
  <c r="CG171" i="57"/>
  <c r="CG169" i="57"/>
  <c r="CG167" i="57"/>
  <c r="CG165" i="57"/>
  <c r="CG163" i="57"/>
  <c r="CG161" i="57"/>
  <c r="CG159" i="57"/>
  <c r="CG157" i="57"/>
  <c r="CG155" i="57"/>
  <c r="CG153" i="57"/>
  <c r="CG151" i="57"/>
  <c r="CG149" i="57"/>
  <c r="CG147" i="57"/>
  <c r="CG145" i="57"/>
  <c r="CG143" i="57"/>
  <c r="CG141" i="57"/>
  <c r="CG139" i="57"/>
  <c r="CG137" i="57"/>
  <c r="CG135" i="57"/>
  <c r="CG133" i="57"/>
  <c r="CG131" i="57"/>
  <c r="CG129" i="57"/>
  <c r="CG127" i="57"/>
  <c r="CG125" i="57"/>
  <c r="CG123" i="57"/>
  <c r="CG121" i="57"/>
  <c r="CG119" i="57"/>
  <c r="CG117" i="57"/>
  <c r="CG115" i="57"/>
  <c r="CG113" i="57"/>
  <c r="CG111" i="57"/>
  <c r="CG109" i="57"/>
  <c r="CG107" i="57"/>
  <c r="CG105" i="57"/>
  <c r="CG103" i="57"/>
  <c r="CG101" i="57"/>
  <c r="CG99" i="57"/>
  <c r="CG97" i="57"/>
  <c r="CG95" i="57"/>
  <c r="CG93" i="57"/>
  <c r="CG91" i="57"/>
  <c r="CG89" i="57"/>
  <c r="CG87" i="57"/>
  <c r="CG85" i="57"/>
  <c r="CG83" i="57"/>
  <c r="CG81" i="57"/>
  <c r="CG79" i="57"/>
  <c r="CG77" i="57"/>
  <c r="CG75" i="57"/>
  <c r="CG73" i="57"/>
  <c r="CG71" i="57"/>
  <c r="CG69" i="57"/>
  <c r="CG67" i="57"/>
  <c r="CG65" i="57"/>
  <c r="CG63" i="57"/>
  <c r="CG61" i="57"/>
  <c r="CG59" i="57"/>
  <c r="CG57" i="57"/>
  <c r="CG55" i="57"/>
  <c r="CG53" i="57"/>
  <c r="CG51" i="57"/>
  <c r="CG49" i="57"/>
  <c r="CG47" i="57"/>
  <c r="CG45" i="57"/>
  <c r="CG43" i="57"/>
  <c r="CG41" i="57"/>
  <c r="CG39" i="57"/>
  <c r="CG37" i="57"/>
  <c r="CG35" i="57"/>
  <c r="CG33" i="57"/>
  <c r="CG31" i="57"/>
  <c r="CG29" i="57"/>
  <c r="CG27" i="57"/>
  <c r="CG25" i="57"/>
  <c r="CG23" i="57"/>
  <c r="CG21" i="57"/>
  <c r="CG19" i="57"/>
  <c r="CG17" i="57"/>
  <c r="CG15" i="57"/>
  <c r="CE211" i="57"/>
  <c r="CE209" i="57"/>
  <c r="CE207" i="57"/>
  <c r="CE205" i="57"/>
  <c r="CE203" i="57"/>
  <c r="CE201" i="57"/>
  <c r="CE199" i="57"/>
  <c r="CE197" i="57"/>
  <c r="CE195" i="57"/>
  <c r="CE193" i="57"/>
  <c r="CE191" i="57"/>
  <c r="CE189" i="57"/>
  <c r="CE187" i="57"/>
  <c r="CE185" i="57"/>
  <c r="CE183" i="57"/>
  <c r="CE181" i="57"/>
  <c r="CE179" i="57"/>
  <c r="CE177" i="57"/>
  <c r="CE175" i="57"/>
  <c r="CE173" i="57"/>
  <c r="CE171" i="57"/>
  <c r="CE169" i="57"/>
  <c r="CE167" i="57"/>
  <c r="CE165" i="57"/>
  <c r="CE163" i="57"/>
  <c r="CE161" i="57"/>
  <c r="CE159" i="57"/>
  <c r="CE157" i="57"/>
  <c r="CE155" i="57"/>
  <c r="CE153" i="57"/>
  <c r="CE151" i="57"/>
  <c r="CE149" i="57"/>
  <c r="CE147" i="57"/>
  <c r="CE145" i="57"/>
  <c r="CE143" i="57"/>
  <c r="CE141" i="57"/>
  <c r="CE139" i="57"/>
  <c r="CE137" i="57"/>
  <c r="CE135" i="57"/>
  <c r="CE133" i="57"/>
  <c r="CE131" i="57"/>
  <c r="CE129" i="57"/>
  <c r="CE127" i="57"/>
  <c r="CE125" i="57"/>
  <c r="CE123" i="57"/>
  <c r="CE121" i="57"/>
  <c r="CE119" i="57"/>
  <c r="CE117" i="57"/>
  <c r="CE115" i="57"/>
  <c r="CE113" i="57"/>
  <c r="CE111" i="57"/>
  <c r="CE109" i="57"/>
  <c r="CE107" i="57"/>
  <c r="CE105" i="57"/>
  <c r="CE103" i="57"/>
  <c r="CE101" i="57"/>
  <c r="CE99" i="57"/>
  <c r="CE97" i="57"/>
  <c r="CE95" i="57"/>
  <c r="CE93" i="57"/>
  <c r="CE91" i="57"/>
  <c r="CE89" i="57"/>
  <c r="CE87" i="57"/>
  <c r="CE85" i="57"/>
  <c r="CE83" i="57"/>
  <c r="CE81" i="57"/>
  <c r="CE79" i="57"/>
  <c r="CE77" i="57"/>
  <c r="CE75" i="57"/>
  <c r="CE73" i="57"/>
  <c r="CE71" i="57"/>
  <c r="CE69" i="57"/>
  <c r="CE67" i="57"/>
  <c r="CE65" i="57"/>
  <c r="CE63" i="57"/>
  <c r="CE61" i="57"/>
  <c r="CE59" i="57"/>
  <c r="CE57" i="57"/>
  <c r="CE55" i="57"/>
  <c r="CE53" i="57"/>
  <c r="CE51" i="57"/>
  <c r="CE49" i="57"/>
  <c r="CE47" i="57"/>
  <c r="CE45" i="57"/>
  <c r="CE43" i="57"/>
  <c r="CE41" i="57"/>
  <c r="CE39" i="57"/>
  <c r="CE37" i="57"/>
  <c r="CE35" i="57"/>
  <c r="CE33" i="57"/>
  <c r="CE31" i="57"/>
  <c r="CE29" i="57"/>
  <c r="CE27" i="57"/>
  <c r="CE25" i="57"/>
  <c r="CE23" i="57"/>
  <c r="CE21" i="57"/>
  <c r="CE19" i="57"/>
  <c r="CE17" i="57"/>
  <c r="CE15" i="57"/>
  <c r="CG13" i="57"/>
  <c r="CE13" i="57"/>
  <c r="CF9" i="57"/>
  <c r="BS211" i="57"/>
  <c r="BS209" i="57"/>
  <c r="BS207" i="57"/>
  <c r="BS205" i="57"/>
  <c r="BS203" i="57"/>
  <c r="BS201" i="57"/>
  <c r="BS199" i="57"/>
  <c r="BS197" i="57"/>
  <c r="BS195" i="57"/>
  <c r="BS193" i="57"/>
  <c r="BS191" i="57"/>
  <c r="BS189" i="57"/>
  <c r="BS187" i="57"/>
  <c r="BS185" i="57"/>
  <c r="BS183" i="57"/>
  <c r="BS181" i="57"/>
  <c r="BS179" i="57"/>
  <c r="BS177" i="57"/>
  <c r="BS175" i="57"/>
  <c r="BS173" i="57"/>
  <c r="BS171" i="57"/>
  <c r="BS169" i="57"/>
  <c r="BS167" i="57"/>
  <c r="BS165" i="57"/>
  <c r="BS163" i="57"/>
  <c r="BS161" i="57"/>
  <c r="BS159" i="57"/>
  <c r="BS157" i="57"/>
  <c r="BS155" i="57"/>
  <c r="BS153" i="57"/>
  <c r="BS151" i="57"/>
  <c r="BS149" i="57"/>
  <c r="BS147" i="57"/>
  <c r="BS145" i="57"/>
  <c r="BS143" i="57"/>
  <c r="BS141" i="57"/>
  <c r="BS139" i="57"/>
  <c r="BS137" i="57"/>
  <c r="BS135" i="57"/>
  <c r="BS133" i="57"/>
  <c r="BS131" i="57"/>
  <c r="BS129" i="57"/>
  <c r="BS127" i="57"/>
  <c r="BS125" i="57"/>
  <c r="BS123" i="57"/>
  <c r="BS121" i="57"/>
  <c r="BS119" i="57"/>
  <c r="BS117" i="57"/>
  <c r="BS115" i="57"/>
  <c r="BS113" i="57"/>
  <c r="BS111" i="57"/>
  <c r="BS109" i="57"/>
  <c r="BS107" i="57"/>
  <c r="BS105" i="57"/>
  <c r="BS103" i="57"/>
  <c r="BS101" i="57"/>
  <c r="BS99" i="57"/>
  <c r="BS97" i="57"/>
  <c r="BS95" i="57"/>
  <c r="BS93" i="57"/>
  <c r="BS91" i="57"/>
  <c r="BS89" i="57"/>
  <c r="BS87" i="57"/>
  <c r="BS85" i="57"/>
  <c r="BS83" i="57"/>
  <c r="BS81" i="57"/>
  <c r="BS79" i="57"/>
  <c r="BS77" i="57"/>
  <c r="BS75" i="57"/>
  <c r="BS73" i="57"/>
  <c r="BS71" i="57"/>
  <c r="BS69" i="57"/>
  <c r="BS67" i="57"/>
  <c r="BS65" i="57"/>
  <c r="BS63" i="57"/>
  <c r="BS61" i="57"/>
  <c r="BS59" i="57"/>
  <c r="BS57" i="57"/>
  <c r="BS55" i="57"/>
  <c r="BS53" i="57"/>
  <c r="BS51" i="57"/>
  <c r="BS49" i="57"/>
  <c r="BS47" i="57"/>
  <c r="BS45" i="57"/>
  <c r="BS43" i="57"/>
  <c r="BS41" i="57"/>
  <c r="BS39" i="57"/>
  <c r="BS37" i="57"/>
  <c r="BS35" i="57"/>
  <c r="BS33" i="57"/>
  <c r="BS31" i="57"/>
  <c r="BS29" i="57"/>
  <c r="BS27" i="57"/>
  <c r="BS25" i="57"/>
  <c r="BS23" i="57"/>
  <c r="BS21" i="57"/>
  <c r="BS19" i="57"/>
  <c r="BS17" i="57"/>
  <c r="BS15" i="57"/>
  <c r="BS13" i="57"/>
  <c r="BJ13" i="57"/>
  <c r="BJ211" i="57"/>
  <c r="BJ209" i="57"/>
  <c r="BJ207" i="57"/>
  <c r="BJ205" i="57"/>
  <c r="BJ203" i="57"/>
  <c r="BJ201" i="57"/>
  <c r="BJ199" i="57"/>
  <c r="BJ197" i="57"/>
  <c r="BJ195" i="57"/>
  <c r="BJ193" i="57"/>
  <c r="BJ191" i="57"/>
  <c r="BJ189" i="57"/>
  <c r="BJ187" i="57"/>
  <c r="BJ185" i="57"/>
  <c r="BJ183" i="57"/>
  <c r="BJ181" i="57"/>
  <c r="BJ179" i="57"/>
  <c r="BJ177" i="57"/>
  <c r="BJ175" i="57"/>
  <c r="BJ173" i="57"/>
  <c r="BJ171" i="57"/>
  <c r="BJ169" i="57"/>
  <c r="BJ167" i="57"/>
  <c r="BJ165" i="57"/>
  <c r="BJ163" i="57"/>
  <c r="BJ161" i="57"/>
  <c r="BJ159" i="57"/>
  <c r="BJ157" i="57"/>
  <c r="BJ155" i="57"/>
  <c r="BJ153" i="57"/>
  <c r="BJ151" i="57"/>
  <c r="BJ149" i="57"/>
  <c r="BJ147" i="57"/>
  <c r="BJ145" i="57"/>
  <c r="BJ143" i="57"/>
  <c r="BJ141" i="57"/>
  <c r="BJ139" i="57"/>
  <c r="BJ137" i="57"/>
  <c r="BJ135" i="57"/>
  <c r="BJ133" i="57"/>
  <c r="BJ131" i="57"/>
  <c r="BJ129" i="57"/>
  <c r="BJ127" i="57"/>
  <c r="BJ125" i="57"/>
  <c r="BJ123" i="57"/>
  <c r="BJ121" i="57"/>
  <c r="BJ119" i="57"/>
  <c r="BJ117" i="57"/>
  <c r="BJ115" i="57"/>
  <c r="BJ113" i="57"/>
  <c r="BJ111" i="57"/>
  <c r="BJ109" i="57"/>
  <c r="BJ107" i="57"/>
  <c r="BJ105" i="57"/>
  <c r="BJ103" i="57"/>
  <c r="BJ101" i="57"/>
  <c r="BJ99" i="57"/>
  <c r="BJ97" i="57"/>
  <c r="BJ95" i="57"/>
  <c r="BJ93" i="57"/>
  <c r="BJ91" i="57"/>
  <c r="BJ89" i="57"/>
  <c r="BJ87" i="57"/>
  <c r="BJ85" i="57"/>
  <c r="BJ83" i="57"/>
  <c r="BJ81" i="57"/>
  <c r="BJ79" i="57"/>
  <c r="BJ77" i="57"/>
  <c r="BJ75" i="57"/>
  <c r="BJ73" i="57"/>
  <c r="BJ71" i="57"/>
  <c r="BJ69" i="57"/>
  <c r="BJ67" i="57"/>
  <c r="BJ65" i="57"/>
  <c r="BJ63" i="57"/>
  <c r="BJ61" i="57"/>
  <c r="BJ59" i="57"/>
  <c r="BJ57" i="57"/>
  <c r="BJ55" i="57"/>
  <c r="BJ53" i="57"/>
  <c r="BJ51" i="57"/>
  <c r="BJ49" i="57"/>
  <c r="BJ47" i="57"/>
  <c r="BJ45" i="57"/>
  <c r="BJ43" i="57"/>
  <c r="BJ41" i="57"/>
  <c r="BJ39" i="57"/>
  <c r="BJ37" i="57"/>
  <c r="BJ35" i="57"/>
  <c r="BJ33" i="57"/>
  <c r="BJ31" i="57"/>
  <c r="BJ29" i="57"/>
  <c r="BJ27" i="57"/>
  <c r="BJ25" i="57"/>
  <c r="BJ23" i="57"/>
  <c r="BJ21" i="57"/>
  <c r="BJ19" i="57"/>
  <c r="BJ17" i="57"/>
  <c r="BJ15" i="57"/>
  <c r="BG211" i="57"/>
  <c r="BH211" i="57"/>
  <c r="BH209" i="57"/>
  <c r="BH207" i="57"/>
  <c r="BH205" i="57"/>
  <c r="BH203" i="57"/>
  <c r="BH201" i="57"/>
  <c r="BH199" i="57"/>
  <c r="BH197" i="57"/>
  <c r="BH195" i="57"/>
  <c r="BH193" i="57"/>
  <c r="BH191" i="57"/>
  <c r="BH189" i="57"/>
  <c r="BH187" i="57"/>
  <c r="BH185" i="57"/>
  <c r="BH183" i="57"/>
  <c r="BH181" i="57"/>
  <c r="BH179" i="57"/>
  <c r="BH177" i="57"/>
  <c r="BH175" i="57"/>
  <c r="BH173" i="57"/>
  <c r="BH171" i="57"/>
  <c r="BH169" i="57"/>
  <c r="BH167" i="57"/>
  <c r="BH165" i="57"/>
  <c r="BH163" i="57"/>
  <c r="BH161" i="57"/>
  <c r="BH159" i="57"/>
  <c r="BH157" i="57"/>
  <c r="BH155" i="57"/>
  <c r="BH153" i="57"/>
  <c r="BH151" i="57"/>
  <c r="BH149" i="57"/>
  <c r="BH147" i="57"/>
  <c r="BH145" i="57"/>
  <c r="BH143" i="57"/>
  <c r="BH141" i="57"/>
  <c r="BH139" i="57"/>
  <c r="BH137" i="57"/>
  <c r="BH135" i="57"/>
  <c r="BH133" i="57"/>
  <c r="BH131" i="57"/>
  <c r="BH129" i="57"/>
  <c r="BH127" i="57"/>
  <c r="BH125" i="57"/>
  <c r="BH123" i="57"/>
  <c r="BH121" i="57"/>
  <c r="BH119" i="57"/>
  <c r="BH117" i="57"/>
  <c r="BH115" i="57"/>
  <c r="BH113" i="57"/>
  <c r="BH111" i="57"/>
  <c r="BH109" i="57"/>
  <c r="BH107" i="57"/>
  <c r="BH105" i="57"/>
  <c r="BH103" i="57"/>
  <c r="BH101" i="57"/>
  <c r="BH99" i="57"/>
  <c r="BH97" i="57"/>
  <c r="BH95" i="57"/>
  <c r="BH93" i="57"/>
  <c r="BH91" i="57"/>
  <c r="BH89" i="57"/>
  <c r="BH87" i="57"/>
  <c r="BH85" i="57"/>
  <c r="BH83" i="57"/>
  <c r="BH81" i="57"/>
  <c r="BH79" i="57"/>
  <c r="BH77" i="57"/>
  <c r="BH75" i="57"/>
  <c r="BH73" i="57"/>
  <c r="BH71" i="57"/>
  <c r="BH69" i="57"/>
  <c r="BH67" i="57"/>
  <c r="BH65" i="57"/>
  <c r="BH63" i="57"/>
  <c r="BH61" i="57"/>
  <c r="BH59" i="57"/>
  <c r="BH57" i="57"/>
  <c r="BH55" i="57"/>
  <c r="BH53" i="57"/>
  <c r="BH51" i="57"/>
  <c r="BH49" i="57"/>
  <c r="BH47" i="57"/>
  <c r="BH45" i="57"/>
  <c r="BH43" i="57"/>
  <c r="BH41" i="57"/>
  <c r="BH39" i="57"/>
  <c r="BH37" i="57"/>
  <c r="BH35" i="57"/>
  <c r="BH33" i="57"/>
  <c r="BH31" i="57"/>
  <c r="BH29" i="57"/>
  <c r="BH27" i="57"/>
  <c r="BH25" i="57"/>
  <c r="BH23" i="57"/>
  <c r="BH21" i="57"/>
  <c r="BH19" i="57"/>
  <c r="BH17" i="57"/>
  <c r="BH15" i="57"/>
  <c r="BH13" i="57"/>
  <c r="CG8" i="57" l="1"/>
  <c r="CG10" i="57" s="1"/>
  <c r="U3" i="10"/>
  <c r="U2" i="10"/>
  <c r="U4" i="10"/>
  <c r="U5" i="10"/>
  <c r="U6"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W5" i="10"/>
  <c r="W6" i="10"/>
  <c r="W3" i="10"/>
  <c r="AT114" i="54"/>
  <c r="AT111" i="54"/>
  <c r="AT108" i="54"/>
  <c r="AT105" i="54"/>
  <c r="BC105" i="54" s="1"/>
  <c r="AW102" i="54"/>
  <c r="AT102" i="54"/>
  <c r="BC102" i="54" s="1"/>
  <c r="AW97" i="54"/>
  <c r="AT97" i="54"/>
  <c r="BC97" i="54" s="1"/>
  <c r="AW94" i="54"/>
  <c r="AT94" i="54"/>
  <c r="BC94" i="54" s="1"/>
  <c r="AW91" i="54"/>
  <c r="AT91" i="54"/>
  <c r="BC91" i="54" s="1"/>
  <c r="AW88" i="54"/>
  <c r="AT88" i="54"/>
  <c r="BC88" i="54" s="1"/>
  <c r="AW85" i="54"/>
  <c r="AT85" i="54"/>
  <c r="BC85" i="54" s="1"/>
  <c r="AW82" i="54"/>
  <c r="AT82" i="54"/>
  <c r="BC82" i="54" s="1"/>
  <c r="AW79" i="54"/>
  <c r="AT79" i="54"/>
  <c r="AW76" i="54"/>
  <c r="AT76" i="54"/>
  <c r="AW73" i="54"/>
  <c r="AT73" i="54"/>
  <c r="BC73" i="54" s="1"/>
  <c r="AT169" i="54"/>
  <c r="AT166" i="54"/>
  <c r="AT163" i="54"/>
  <c r="AT160" i="54"/>
  <c r="BC160" i="54" s="1"/>
  <c r="AW157" i="54"/>
  <c r="AT157" i="54"/>
  <c r="BC157" i="54" s="1"/>
  <c r="AW152" i="54"/>
  <c r="AT152" i="54"/>
  <c r="BC152" i="54" s="1"/>
  <c r="AW149" i="54"/>
  <c r="AT149" i="54"/>
  <c r="BC149" i="54" s="1"/>
  <c r="AW146" i="54"/>
  <c r="AT146" i="54"/>
  <c r="AW143" i="54"/>
  <c r="AT143" i="54"/>
  <c r="BC143" i="54" s="1"/>
  <c r="AW140" i="54"/>
  <c r="AT140" i="54"/>
  <c r="BC140" i="54" s="1"/>
  <c r="AW137" i="54"/>
  <c r="AT137" i="54"/>
  <c r="BC137" i="54" s="1"/>
  <c r="AW134" i="54"/>
  <c r="AT134" i="54"/>
  <c r="BC134" i="54" s="1"/>
  <c r="AW131" i="54"/>
  <c r="AT131" i="54"/>
  <c r="BC131" i="54" s="1"/>
  <c r="AW128" i="54"/>
  <c r="AT128" i="54"/>
  <c r="BC128" i="54" s="1"/>
  <c r="AT224" i="54"/>
  <c r="AT221" i="54"/>
  <c r="AT218" i="54"/>
  <c r="AT215" i="54"/>
  <c r="BC215" i="54" s="1"/>
  <c r="AW212" i="54"/>
  <c r="AT212" i="54"/>
  <c r="BC212" i="54" s="1"/>
  <c r="AW207" i="54"/>
  <c r="AT207" i="54"/>
  <c r="BC207" i="54" s="1"/>
  <c r="AW204" i="54"/>
  <c r="AT204" i="54"/>
  <c r="AW201" i="54"/>
  <c r="AT201" i="54"/>
  <c r="AW198" i="54"/>
  <c r="AT198" i="54"/>
  <c r="BC198" i="54" s="1"/>
  <c r="AW195" i="54"/>
  <c r="AT195" i="54"/>
  <c r="BC195" i="54" s="1"/>
  <c r="AW192" i="54"/>
  <c r="AT192" i="54"/>
  <c r="AW189" i="54"/>
  <c r="AT189" i="54"/>
  <c r="BC189" i="54" s="1"/>
  <c r="AW186" i="54"/>
  <c r="AT186" i="54"/>
  <c r="BC186" i="54" s="1"/>
  <c r="AW183" i="54"/>
  <c r="AT183" i="54"/>
  <c r="BC183" i="54" s="1"/>
  <c r="AT279" i="54"/>
  <c r="BC279" i="54" s="1"/>
  <c r="AT276" i="54"/>
  <c r="AT273" i="54"/>
  <c r="AT270" i="54"/>
  <c r="BC270" i="54" s="1"/>
  <c r="AW267" i="54"/>
  <c r="AT267" i="54"/>
  <c r="BC267" i="54" s="1"/>
  <c r="AW262" i="54"/>
  <c r="AT262" i="54"/>
  <c r="BC262" i="54" s="1"/>
  <c r="AW259" i="54"/>
  <c r="AT259" i="54"/>
  <c r="AW256" i="54"/>
  <c r="AT256" i="54"/>
  <c r="BC256" i="54" s="1"/>
  <c r="AW253" i="54"/>
  <c r="AT253" i="54"/>
  <c r="BC253" i="54" s="1"/>
  <c r="AW250" i="54"/>
  <c r="AT250" i="54"/>
  <c r="BC250" i="54" s="1"/>
  <c r="AW247" i="54"/>
  <c r="AT247" i="54"/>
  <c r="BC247" i="54" s="1"/>
  <c r="AW244" i="54"/>
  <c r="AT244" i="54"/>
  <c r="BC244" i="54" s="1"/>
  <c r="AW241" i="54"/>
  <c r="AT241" i="54"/>
  <c r="BC241" i="54" s="1"/>
  <c r="AW238" i="54"/>
  <c r="AT238" i="54"/>
  <c r="BC238" i="54" s="1"/>
  <c r="AT335" i="54"/>
  <c r="BC335" i="54" s="1"/>
  <c r="AT332" i="54"/>
  <c r="AT329" i="54"/>
  <c r="AT326" i="54"/>
  <c r="BC326" i="54" s="1"/>
  <c r="AW323" i="54"/>
  <c r="AT323" i="54"/>
  <c r="AW318" i="54"/>
  <c r="AT318" i="54"/>
  <c r="BC318" i="54" s="1"/>
  <c r="AW315" i="54"/>
  <c r="AT315" i="54"/>
  <c r="AW312" i="54"/>
  <c r="AT312" i="54"/>
  <c r="BC312" i="54" s="1"/>
  <c r="AW309" i="54"/>
  <c r="AT309" i="54"/>
  <c r="BC309" i="54" s="1"/>
  <c r="AW306" i="54"/>
  <c r="AT306" i="54"/>
  <c r="BC306" i="54" s="1"/>
  <c r="AW303" i="54"/>
  <c r="AT303" i="54"/>
  <c r="BC303" i="54" s="1"/>
  <c r="AW300" i="54"/>
  <c r="AT300" i="54"/>
  <c r="BC300" i="54" s="1"/>
  <c r="AW297" i="54"/>
  <c r="AT297" i="54"/>
  <c r="BC297" i="54" s="1"/>
  <c r="AW294" i="54"/>
  <c r="AT294" i="54"/>
  <c r="BC294" i="54" s="1"/>
  <c r="AT391" i="54"/>
  <c r="AT388" i="54"/>
  <c r="BC388" i="54" s="1"/>
  <c r="AT385" i="54"/>
  <c r="AT382" i="54"/>
  <c r="BC382" i="54" s="1"/>
  <c r="AW379" i="54"/>
  <c r="AT379" i="54"/>
  <c r="BC379" i="54" s="1"/>
  <c r="AW374" i="54"/>
  <c r="AT374" i="54"/>
  <c r="BC374" i="54" s="1"/>
  <c r="AW371" i="54"/>
  <c r="AT371" i="54"/>
  <c r="AW368" i="54"/>
  <c r="AT368" i="54"/>
  <c r="BC368" i="54" s="1"/>
  <c r="AW365" i="54"/>
  <c r="AT365" i="54"/>
  <c r="BC365" i="54" s="1"/>
  <c r="AW362" i="54"/>
  <c r="AT362" i="54"/>
  <c r="BC362" i="54" s="1"/>
  <c r="AW359" i="54"/>
  <c r="AT359" i="54"/>
  <c r="BC359" i="54" s="1"/>
  <c r="AW356" i="54"/>
  <c r="AT356" i="54"/>
  <c r="AW353" i="54"/>
  <c r="AT353" i="54"/>
  <c r="BC353" i="54" s="1"/>
  <c r="AW350" i="54"/>
  <c r="AT350" i="54"/>
  <c r="BC350" i="54" s="1"/>
  <c r="AT447" i="54"/>
  <c r="BC447" i="54" s="1"/>
  <c r="AT444" i="54"/>
  <c r="AT441" i="54"/>
  <c r="AT438" i="54"/>
  <c r="BC438" i="54" s="1"/>
  <c r="AW435" i="54"/>
  <c r="AT435" i="54"/>
  <c r="BC435" i="54" s="1"/>
  <c r="AW430" i="54"/>
  <c r="AT430" i="54"/>
  <c r="BC430" i="54" s="1"/>
  <c r="AW427" i="54"/>
  <c r="AT427" i="54"/>
  <c r="BC427" i="54" s="1"/>
  <c r="AW424" i="54"/>
  <c r="AT424" i="54"/>
  <c r="BC424" i="54" s="1"/>
  <c r="AW421" i="54"/>
  <c r="AT421" i="54"/>
  <c r="BC421" i="54" s="1"/>
  <c r="AW418" i="54"/>
  <c r="AT418" i="54"/>
  <c r="BC418" i="54" s="1"/>
  <c r="AW415" i="54"/>
  <c r="AT415" i="54"/>
  <c r="BC415" i="54" s="1"/>
  <c r="AW412" i="54"/>
  <c r="AT412" i="54"/>
  <c r="AW409" i="54"/>
  <c r="AT409" i="54"/>
  <c r="BC409" i="54" s="1"/>
  <c r="AW406" i="54"/>
  <c r="AT406" i="54"/>
  <c r="AT503" i="54"/>
  <c r="AT500" i="54"/>
  <c r="BC500" i="54" s="1"/>
  <c r="AT497" i="54"/>
  <c r="AT494" i="54"/>
  <c r="BC494" i="54" s="1"/>
  <c r="AW491" i="54"/>
  <c r="AT491" i="54"/>
  <c r="AW486" i="54"/>
  <c r="AT486" i="54"/>
  <c r="BC486" i="54" s="1"/>
  <c r="AW483" i="54"/>
  <c r="AT483" i="54"/>
  <c r="BC483" i="54" s="1"/>
  <c r="AW480" i="54"/>
  <c r="AT480" i="54"/>
  <c r="BC480" i="54" s="1"/>
  <c r="AW477" i="54"/>
  <c r="AT477" i="54"/>
  <c r="BC477" i="54" s="1"/>
  <c r="AW474" i="54"/>
  <c r="AT474" i="54"/>
  <c r="BC474" i="54" s="1"/>
  <c r="AW471" i="54"/>
  <c r="AT471" i="54"/>
  <c r="BC471" i="54" s="1"/>
  <c r="AW468" i="54"/>
  <c r="AT468" i="54"/>
  <c r="BC468" i="54" s="1"/>
  <c r="AW465" i="54"/>
  <c r="AT465" i="54"/>
  <c r="AW462" i="54"/>
  <c r="AT462" i="54"/>
  <c r="BC462" i="54" s="1"/>
  <c r="AT559" i="54"/>
  <c r="BC559" i="54" s="1"/>
  <c r="AT556" i="54"/>
  <c r="BC556" i="54" s="1"/>
  <c r="AT553" i="54"/>
  <c r="AT550" i="54"/>
  <c r="BC550" i="54" s="1"/>
  <c r="AW547" i="54"/>
  <c r="AT547" i="54"/>
  <c r="BC547" i="54" s="1"/>
  <c r="AW542" i="54"/>
  <c r="AT542" i="54"/>
  <c r="BC542" i="54" s="1"/>
  <c r="AW539" i="54"/>
  <c r="AT539" i="54"/>
  <c r="AW536" i="54"/>
  <c r="AT536" i="54"/>
  <c r="AW533" i="54"/>
  <c r="AT533" i="54"/>
  <c r="BC533" i="54" s="1"/>
  <c r="AW530" i="54"/>
  <c r="AT530" i="54"/>
  <c r="BC530" i="54" s="1"/>
  <c r="AW527" i="54"/>
  <c r="AT527" i="54"/>
  <c r="BC527" i="54" s="1"/>
  <c r="AW524" i="54"/>
  <c r="AT524" i="54"/>
  <c r="BC524" i="54" s="1"/>
  <c r="AW521" i="54"/>
  <c r="AT521" i="54"/>
  <c r="BC521" i="54" s="1"/>
  <c r="AW518" i="54"/>
  <c r="AT518" i="54"/>
  <c r="BC518" i="54" s="1"/>
  <c r="AZ559" i="54"/>
  <c r="AY559" i="54"/>
  <c r="AJ559" i="54"/>
  <c r="BB559" i="54" s="1"/>
  <c r="AI559" i="54"/>
  <c r="AG559" i="54"/>
  <c r="AE559" i="54"/>
  <c r="AC559" i="54"/>
  <c r="AA559" i="54"/>
  <c r="Y559" i="54"/>
  <c r="W559" i="54"/>
  <c r="U559" i="54"/>
  <c r="S559" i="54"/>
  <c r="Q559" i="54"/>
  <c r="M559" i="54"/>
  <c r="AZ556" i="54"/>
  <c r="AY556" i="54"/>
  <c r="AJ556" i="54"/>
  <c r="BB556" i="54" s="1"/>
  <c r="AI556" i="54"/>
  <c r="AG556" i="54"/>
  <c r="AE556" i="54"/>
  <c r="AC556" i="54"/>
  <c r="AA556" i="54"/>
  <c r="Y556" i="54"/>
  <c r="W556" i="54"/>
  <c r="U556" i="54"/>
  <c r="S556" i="54"/>
  <c r="Q556" i="54"/>
  <c r="M556" i="54"/>
  <c r="AZ553" i="54"/>
  <c r="AY553" i="54"/>
  <c r="BC553" i="54"/>
  <c r="AJ553" i="54"/>
  <c r="BB553" i="54" s="1"/>
  <c r="AI553" i="54"/>
  <c r="AG553" i="54"/>
  <c r="AE553" i="54"/>
  <c r="AC553" i="54"/>
  <c r="AA553" i="54"/>
  <c r="Y553" i="54"/>
  <c r="W553" i="54"/>
  <c r="U553" i="54"/>
  <c r="S553" i="54"/>
  <c r="Q553" i="54"/>
  <c r="M553" i="54"/>
  <c r="AZ550" i="54"/>
  <c r="AY550" i="54"/>
  <c r="AJ550" i="54"/>
  <c r="BB550" i="54" s="1"/>
  <c r="AI550" i="54"/>
  <c r="AG550" i="54"/>
  <c r="AE550" i="54"/>
  <c r="AC550" i="54"/>
  <c r="AA550" i="54"/>
  <c r="Y550" i="54"/>
  <c r="W550" i="54"/>
  <c r="U550" i="54"/>
  <c r="S550" i="54"/>
  <c r="Q550" i="54"/>
  <c r="M550" i="54"/>
  <c r="BE547" i="54"/>
  <c r="BD547" i="54" s="1"/>
  <c r="BA547" i="54"/>
  <c r="AZ547" i="54"/>
  <c r="AY547" i="54"/>
  <c r="AV547" i="54"/>
  <c r="AU547" i="54"/>
  <c r="AJ547" i="54"/>
  <c r="BB547" i="54" s="1"/>
  <c r="AI547" i="54"/>
  <c r="AG547" i="54"/>
  <c r="AE547" i="54"/>
  <c r="AC547" i="54"/>
  <c r="AA547" i="54"/>
  <c r="Y547" i="54"/>
  <c r="W547" i="54"/>
  <c r="U547" i="54"/>
  <c r="S547" i="54"/>
  <c r="Q547" i="54"/>
  <c r="M547" i="54"/>
  <c r="I547" i="54"/>
  <c r="AH546" i="54"/>
  <c r="AF546" i="54"/>
  <c r="AD546" i="54"/>
  <c r="AB546" i="54"/>
  <c r="Z546" i="54"/>
  <c r="X546" i="54"/>
  <c r="V546" i="54"/>
  <c r="T546" i="54"/>
  <c r="R546" i="54"/>
  <c r="P546" i="54"/>
  <c r="L544" i="54"/>
  <c r="J544" i="54"/>
  <c r="H544" i="54"/>
  <c r="BF542" i="54"/>
  <c r="BE542" i="54"/>
  <c r="BD542" i="54" s="1"/>
  <c r="BA542" i="54"/>
  <c r="AZ542" i="54"/>
  <c r="AY542" i="54"/>
  <c r="AV542" i="54"/>
  <c r="AU542" i="54"/>
  <c r="AJ542" i="54"/>
  <c r="AI542" i="54"/>
  <c r="AG542" i="54"/>
  <c r="AE542" i="54"/>
  <c r="AC542" i="54"/>
  <c r="AA542" i="54"/>
  <c r="Y542" i="54"/>
  <c r="W542" i="54"/>
  <c r="U542" i="54"/>
  <c r="S542" i="54"/>
  <c r="Q542" i="54"/>
  <c r="M542" i="54"/>
  <c r="I542" i="54"/>
  <c r="BF539" i="54"/>
  <c r="BE539" i="54"/>
  <c r="BD539" i="54" s="1"/>
  <c r="BC539" i="54"/>
  <c r="BA539" i="54"/>
  <c r="AZ539" i="54"/>
  <c r="AY539" i="54"/>
  <c r="AV539" i="54"/>
  <c r="AU539" i="54"/>
  <c r="AJ539" i="54"/>
  <c r="AI539" i="54"/>
  <c r="AG539" i="54"/>
  <c r="AE539" i="54"/>
  <c r="AC539" i="54"/>
  <c r="AA539" i="54"/>
  <c r="Y539" i="54"/>
  <c r="W539" i="54"/>
  <c r="U539" i="54"/>
  <c r="S539" i="54"/>
  <c r="Q539" i="54"/>
  <c r="M539" i="54"/>
  <c r="I539" i="54"/>
  <c r="BF536" i="54"/>
  <c r="BE536" i="54"/>
  <c r="BD536" i="54" s="1"/>
  <c r="BA536" i="54"/>
  <c r="AZ536" i="54"/>
  <c r="AY536" i="54"/>
  <c r="AV536" i="54"/>
  <c r="AU536" i="54"/>
  <c r="BC536" i="54"/>
  <c r="AJ536" i="54"/>
  <c r="AI536" i="54"/>
  <c r="AG536" i="54"/>
  <c r="AE536" i="54"/>
  <c r="AC536" i="54"/>
  <c r="AA536" i="54"/>
  <c r="Y536" i="54"/>
  <c r="W536" i="54"/>
  <c r="U536" i="54"/>
  <c r="S536" i="54"/>
  <c r="Q536" i="54"/>
  <c r="M536" i="54"/>
  <c r="I536" i="54"/>
  <c r="BF533" i="54"/>
  <c r="BE533" i="54"/>
  <c r="BD533" i="54" s="1"/>
  <c r="BA533" i="54"/>
  <c r="AZ533" i="54"/>
  <c r="AY533" i="54"/>
  <c r="AV533" i="54"/>
  <c r="AU533" i="54"/>
  <c r="AJ533" i="54"/>
  <c r="AI533" i="54"/>
  <c r="AG533" i="54"/>
  <c r="AE533" i="54"/>
  <c r="AC533" i="54"/>
  <c r="AA533" i="54"/>
  <c r="Y533" i="54"/>
  <c r="W533" i="54"/>
  <c r="U533" i="54"/>
  <c r="S533" i="54"/>
  <c r="Q533" i="54"/>
  <c r="M533" i="54"/>
  <c r="I533" i="54"/>
  <c r="BF530" i="54"/>
  <c r="BE530" i="54"/>
  <c r="BD530" i="54" s="1"/>
  <c r="BA530" i="54"/>
  <c r="AZ530" i="54"/>
  <c r="AY530" i="54"/>
  <c r="AV530" i="54"/>
  <c r="AU530" i="54"/>
  <c r="AJ530" i="54"/>
  <c r="AI530" i="54"/>
  <c r="AG530" i="54"/>
  <c r="AE530" i="54"/>
  <c r="AC530" i="54"/>
  <c r="AA530" i="54"/>
  <c r="Y530" i="54"/>
  <c r="W530" i="54"/>
  <c r="U530" i="54"/>
  <c r="S530" i="54"/>
  <c r="Q530" i="54"/>
  <c r="M530" i="54"/>
  <c r="I530" i="54"/>
  <c r="BF527" i="54"/>
  <c r="BE527" i="54"/>
  <c r="BD527" i="54" s="1"/>
  <c r="BA527" i="54"/>
  <c r="AZ527" i="54"/>
  <c r="AY527" i="54"/>
  <c r="AV527" i="54"/>
  <c r="AU527" i="54"/>
  <c r="AJ527" i="54"/>
  <c r="AI527" i="54"/>
  <c r="AG527" i="54"/>
  <c r="AE527" i="54"/>
  <c r="AC527" i="54"/>
  <c r="AA527" i="54"/>
  <c r="Y527" i="54"/>
  <c r="W527" i="54"/>
  <c r="U527" i="54"/>
  <c r="S527" i="54"/>
  <c r="Q527" i="54"/>
  <c r="M527" i="54"/>
  <c r="I527" i="54"/>
  <c r="BF524" i="54"/>
  <c r="BE524" i="54"/>
  <c r="BD524" i="54" s="1"/>
  <c r="BA524" i="54"/>
  <c r="AZ524" i="54"/>
  <c r="AY524" i="54"/>
  <c r="AV524" i="54"/>
  <c r="AU524" i="54"/>
  <c r="AJ524" i="54"/>
  <c r="AI524" i="54"/>
  <c r="AG524" i="54"/>
  <c r="AE524" i="54"/>
  <c r="AC524" i="54"/>
  <c r="AA524" i="54"/>
  <c r="Y524" i="54"/>
  <c r="W524" i="54"/>
  <c r="U524" i="54"/>
  <c r="S524" i="54"/>
  <c r="Q524" i="54"/>
  <c r="M524" i="54"/>
  <c r="I524" i="54"/>
  <c r="BF521" i="54"/>
  <c r="BE521" i="54"/>
  <c r="BD521" i="54" s="1"/>
  <c r="BA521" i="54"/>
  <c r="AZ521" i="54"/>
  <c r="AY521" i="54"/>
  <c r="AV521" i="54"/>
  <c r="AU521" i="54"/>
  <c r="AJ521" i="54"/>
  <c r="AI521" i="54"/>
  <c r="AG521" i="54"/>
  <c r="AE521" i="54"/>
  <c r="AC521" i="54"/>
  <c r="AA521" i="54"/>
  <c r="Y521" i="54"/>
  <c r="W521" i="54"/>
  <c r="U521" i="54"/>
  <c r="S521" i="54"/>
  <c r="Q521" i="54"/>
  <c r="M521" i="54"/>
  <c r="I521" i="54"/>
  <c r="BF518" i="54"/>
  <c r="BE518" i="54"/>
  <c r="BD518" i="54" s="1"/>
  <c r="BA518" i="54"/>
  <c r="AZ518" i="54"/>
  <c r="AY518" i="54"/>
  <c r="AV518" i="54"/>
  <c r="AU518" i="54"/>
  <c r="AJ518" i="54"/>
  <c r="AI518" i="54"/>
  <c r="AG518" i="54"/>
  <c r="AE518" i="54"/>
  <c r="AC518" i="54"/>
  <c r="AA518" i="54"/>
  <c r="Y518" i="54"/>
  <c r="W518" i="54"/>
  <c r="U518" i="54"/>
  <c r="S518" i="54"/>
  <c r="Q518" i="54"/>
  <c r="M518" i="54"/>
  <c r="I518" i="54"/>
  <c r="AZ503" i="54"/>
  <c r="AY503" i="54"/>
  <c r="BC503" i="54"/>
  <c r="AJ503" i="54"/>
  <c r="BB503" i="54" s="1"/>
  <c r="AI503" i="54"/>
  <c r="AG503" i="54"/>
  <c r="AE503" i="54"/>
  <c r="AC503" i="54"/>
  <c r="AA503" i="54"/>
  <c r="Y503" i="54"/>
  <c r="W503" i="54"/>
  <c r="U503" i="54"/>
  <c r="S503" i="54"/>
  <c r="Q503" i="54"/>
  <c r="M503" i="54"/>
  <c r="AZ500" i="54"/>
  <c r="AY500" i="54"/>
  <c r="AJ500" i="54"/>
  <c r="BB500" i="54" s="1"/>
  <c r="AI500" i="54"/>
  <c r="AG500" i="54"/>
  <c r="AE500" i="54"/>
  <c r="AC500" i="54"/>
  <c r="AA500" i="54"/>
  <c r="Y500" i="54"/>
  <c r="W500" i="54"/>
  <c r="U500" i="54"/>
  <c r="S500" i="54"/>
  <c r="Q500" i="54"/>
  <c r="M500" i="54"/>
  <c r="AZ497" i="54"/>
  <c r="AY497" i="54"/>
  <c r="BC497" i="54"/>
  <c r="AJ497" i="54"/>
  <c r="BB497" i="54" s="1"/>
  <c r="AI497" i="54"/>
  <c r="AG497" i="54"/>
  <c r="AE497" i="54"/>
  <c r="AC497" i="54"/>
  <c r="AA497" i="54"/>
  <c r="Y497" i="54"/>
  <c r="W497" i="54"/>
  <c r="U497" i="54"/>
  <c r="S497" i="54"/>
  <c r="Q497" i="54"/>
  <c r="M497" i="54"/>
  <c r="AZ494" i="54"/>
  <c r="AY494" i="54"/>
  <c r="AJ494" i="54"/>
  <c r="BB494" i="54" s="1"/>
  <c r="AI494" i="54"/>
  <c r="AG494" i="54"/>
  <c r="AE494" i="54"/>
  <c r="AC494" i="54"/>
  <c r="AA494" i="54"/>
  <c r="Y494" i="54"/>
  <c r="W494" i="54"/>
  <c r="U494" i="54"/>
  <c r="S494" i="54"/>
  <c r="Q494" i="54"/>
  <c r="M494" i="54"/>
  <c r="BE491" i="54"/>
  <c r="BD491" i="54" s="1"/>
  <c r="BA491" i="54"/>
  <c r="AZ491" i="54"/>
  <c r="AY491" i="54"/>
  <c r="AV491" i="54"/>
  <c r="AU491" i="54"/>
  <c r="BC491" i="54"/>
  <c r="AJ491" i="54"/>
  <c r="BB491" i="54" s="1"/>
  <c r="AI491" i="54"/>
  <c r="AG491" i="54"/>
  <c r="AE491" i="54"/>
  <c r="AC491" i="54"/>
  <c r="AA491" i="54"/>
  <c r="Y491" i="54"/>
  <c r="W491" i="54"/>
  <c r="U491" i="54"/>
  <c r="S491" i="54"/>
  <c r="Q491" i="54"/>
  <c r="M491" i="54"/>
  <c r="I491" i="54"/>
  <c r="AH490" i="54"/>
  <c r="AF490" i="54"/>
  <c r="AD490" i="54"/>
  <c r="AB490" i="54"/>
  <c r="Z490" i="54"/>
  <c r="X490" i="54"/>
  <c r="V490" i="54"/>
  <c r="T490" i="54"/>
  <c r="R490" i="54"/>
  <c r="P490" i="54"/>
  <c r="L488" i="54"/>
  <c r="J488" i="54"/>
  <c r="H488" i="54"/>
  <c r="BF486" i="54"/>
  <c r="BE486" i="54"/>
  <c r="BD486" i="54" s="1"/>
  <c r="BA486" i="54"/>
  <c r="AZ486" i="54"/>
  <c r="AY486" i="54"/>
  <c r="AV486" i="54"/>
  <c r="AU486" i="54"/>
  <c r="AJ486" i="54"/>
  <c r="AI486" i="54"/>
  <c r="AG486" i="54"/>
  <c r="AE486" i="54"/>
  <c r="AC486" i="54"/>
  <c r="AA486" i="54"/>
  <c r="Y486" i="54"/>
  <c r="W486" i="54"/>
  <c r="U486" i="54"/>
  <c r="S486" i="54"/>
  <c r="Q486" i="54"/>
  <c r="M486" i="54"/>
  <c r="I486" i="54"/>
  <c r="BF483" i="54"/>
  <c r="BE483" i="54"/>
  <c r="BD483" i="54" s="1"/>
  <c r="BA483" i="54"/>
  <c r="AZ483" i="54"/>
  <c r="AY483" i="54"/>
  <c r="AV483" i="54"/>
  <c r="AU483" i="54"/>
  <c r="AJ483" i="54"/>
  <c r="AI483" i="54"/>
  <c r="AG483" i="54"/>
  <c r="AE483" i="54"/>
  <c r="AC483" i="54"/>
  <c r="AA483" i="54"/>
  <c r="Y483" i="54"/>
  <c r="W483" i="54"/>
  <c r="U483" i="54"/>
  <c r="S483" i="54"/>
  <c r="Q483" i="54"/>
  <c r="M483" i="54"/>
  <c r="I483" i="54"/>
  <c r="BF480" i="54"/>
  <c r="BE480" i="54"/>
  <c r="BD480" i="54" s="1"/>
  <c r="BA480" i="54"/>
  <c r="AZ480" i="54"/>
  <c r="AY480" i="54"/>
  <c r="AV480" i="54"/>
  <c r="AU480" i="54"/>
  <c r="AJ480" i="54"/>
  <c r="AI480" i="54"/>
  <c r="AG480" i="54"/>
  <c r="AE480" i="54"/>
  <c r="AC480" i="54"/>
  <c r="AA480" i="54"/>
  <c r="Y480" i="54"/>
  <c r="W480" i="54"/>
  <c r="U480" i="54"/>
  <c r="S480" i="54"/>
  <c r="Q480" i="54"/>
  <c r="M480" i="54"/>
  <c r="I480" i="54"/>
  <c r="BF477" i="54"/>
  <c r="BE477" i="54"/>
  <c r="BD477" i="54" s="1"/>
  <c r="BA477" i="54"/>
  <c r="AZ477" i="54"/>
  <c r="AY477" i="54"/>
  <c r="AV477" i="54"/>
  <c r="AU477" i="54"/>
  <c r="AJ477" i="54"/>
  <c r="AI477" i="54"/>
  <c r="AG477" i="54"/>
  <c r="AE477" i="54"/>
  <c r="AC477" i="54"/>
  <c r="AA477" i="54"/>
  <c r="Y477" i="54"/>
  <c r="W477" i="54"/>
  <c r="U477" i="54"/>
  <c r="S477" i="54"/>
  <c r="Q477" i="54"/>
  <c r="M477" i="54"/>
  <c r="I477" i="54"/>
  <c r="BF474" i="54"/>
  <c r="BE474" i="54"/>
  <c r="BD474" i="54" s="1"/>
  <c r="BA474" i="54"/>
  <c r="AZ474" i="54"/>
  <c r="AY474" i="54"/>
  <c r="AV474" i="54"/>
  <c r="AU474" i="54"/>
  <c r="AJ474" i="54"/>
  <c r="AI474" i="54"/>
  <c r="AG474" i="54"/>
  <c r="AE474" i="54"/>
  <c r="AC474" i="54"/>
  <c r="AA474" i="54"/>
  <c r="Y474" i="54"/>
  <c r="W474" i="54"/>
  <c r="U474" i="54"/>
  <c r="S474" i="54"/>
  <c r="Q474" i="54"/>
  <c r="M474" i="54"/>
  <c r="I474" i="54"/>
  <c r="BF471" i="54"/>
  <c r="BE471" i="54"/>
  <c r="BD471" i="54" s="1"/>
  <c r="BA471" i="54"/>
  <c r="AZ471" i="54"/>
  <c r="AY471" i="54"/>
  <c r="AV471" i="54"/>
  <c r="AU471" i="54"/>
  <c r="AJ471" i="54"/>
  <c r="AI471" i="54"/>
  <c r="AG471" i="54"/>
  <c r="AE471" i="54"/>
  <c r="AC471" i="54"/>
  <c r="AA471" i="54"/>
  <c r="Y471" i="54"/>
  <c r="W471" i="54"/>
  <c r="U471" i="54"/>
  <c r="S471" i="54"/>
  <c r="Q471" i="54"/>
  <c r="M471" i="54"/>
  <c r="I471" i="54"/>
  <c r="BF468" i="54"/>
  <c r="BE468" i="54"/>
  <c r="BD468" i="54" s="1"/>
  <c r="BA468" i="54"/>
  <c r="AZ468" i="54"/>
  <c r="AY468" i="54"/>
  <c r="AV468" i="54"/>
  <c r="AU468" i="54"/>
  <c r="AJ468" i="54"/>
  <c r="AI468" i="54"/>
  <c r="AG468" i="54"/>
  <c r="AE468" i="54"/>
  <c r="AC468" i="54"/>
  <c r="AA468" i="54"/>
  <c r="Y468" i="54"/>
  <c r="W468" i="54"/>
  <c r="U468" i="54"/>
  <c r="S468" i="54"/>
  <c r="Q468" i="54"/>
  <c r="M468" i="54"/>
  <c r="I468" i="54"/>
  <c r="BF465" i="54"/>
  <c r="BE465" i="54"/>
  <c r="BD465" i="54" s="1"/>
  <c r="BA465" i="54"/>
  <c r="AZ465" i="54"/>
  <c r="AY465" i="54"/>
  <c r="AV465" i="54"/>
  <c r="AU465" i="54"/>
  <c r="BC465" i="54"/>
  <c r="AJ465" i="54"/>
  <c r="AI465" i="54"/>
  <c r="AG465" i="54"/>
  <c r="AE465" i="54"/>
  <c r="AC465" i="54"/>
  <c r="AA465" i="54"/>
  <c r="Y465" i="54"/>
  <c r="W465" i="54"/>
  <c r="U465" i="54"/>
  <c r="S465" i="54"/>
  <c r="Q465" i="54"/>
  <c r="M465" i="54"/>
  <c r="I465" i="54"/>
  <c r="BF462" i="54"/>
  <c r="BE462" i="54"/>
  <c r="BD462" i="54" s="1"/>
  <c r="BA462" i="54"/>
  <c r="AZ462" i="54"/>
  <c r="AY462" i="54"/>
  <c r="AV462" i="54"/>
  <c r="AU462" i="54"/>
  <c r="AJ462" i="54"/>
  <c r="AI462" i="54"/>
  <c r="AG462" i="54"/>
  <c r="AE462" i="54"/>
  <c r="AC462" i="54"/>
  <c r="AA462" i="54"/>
  <c r="Y462" i="54"/>
  <c r="W462" i="54"/>
  <c r="U462" i="54"/>
  <c r="S462" i="54"/>
  <c r="Q462" i="54"/>
  <c r="M462" i="54"/>
  <c r="I462" i="54"/>
  <c r="AZ447" i="54"/>
  <c r="AY447" i="54"/>
  <c r="AJ447" i="54"/>
  <c r="BB447" i="54" s="1"/>
  <c r="AI447" i="54"/>
  <c r="AG447" i="54"/>
  <c r="AE447" i="54"/>
  <c r="AC447" i="54"/>
  <c r="AA447" i="54"/>
  <c r="Y447" i="54"/>
  <c r="W447" i="54"/>
  <c r="U447" i="54"/>
  <c r="S447" i="54"/>
  <c r="Q447" i="54"/>
  <c r="M447" i="54"/>
  <c r="BC444" i="54"/>
  <c r="AZ444" i="54"/>
  <c r="AY444" i="54"/>
  <c r="AJ444" i="54"/>
  <c r="BB444" i="54" s="1"/>
  <c r="AI444" i="54"/>
  <c r="AG444" i="54"/>
  <c r="AE444" i="54"/>
  <c r="AC444" i="54"/>
  <c r="AA444" i="54"/>
  <c r="Y444" i="54"/>
  <c r="W444" i="54"/>
  <c r="U444" i="54"/>
  <c r="S444" i="54"/>
  <c r="Q444" i="54"/>
  <c r="M444" i="54"/>
  <c r="AZ441" i="54"/>
  <c r="AY441" i="54"/>
  <c r="BC441" i="54"/>
  <c r="AJ441" i="54"/>
  <c r="BB441" i="54" s="1"/>
  <c r="AI441" i="54"/>
  <c r="AG441" i="54"/>
  <c r="AE441" i="54"/>
  <c r="AC441" i="54"/>
  <c r="AA441" i="54"/>
  <c r="Y441" i="54"/>
  <c r="W441" i="54"/>
  <c r="U441" i="54"/>
  <c r="S441" i="54"/>
  <c r="Q441" i="54"/>
  <c r="M441" i="54"/>
  <c r="AZ438" i="54"/>
  <c r="AY438" i="54"/>
  <c r="AJ438" i="54"/>
  <c r="BB438" i="54" s="1"/>
  <c r="AI438" i="54"/>
  <c r="AG438" i="54"/>
  <c r="AE438" i="54"/>
  <c r="AC438" i="54"/>
  <c r="AA438" i="54"/>
  <c r="Y438" i="54"/>
  <c r="W438" i="54"/>
  <c r="U438" i="54"/>
  <c r="S438" i="54"/>
  <c r="Q438" i="54"/>
  <c r="M438" i="54"/>
  <c r="BE435" i="54"/>
  <c r="BD435" i="54" s="1"/>
  <c r="BA435" i="54"/>
  <c r="AZ435" i="54"/>
  <c r="AY435" i="54"/>
  <c r="AV435" i="54"/>
  <c r="AU435" i="54"/>
  <c r="AJ435" i="54"/>
  <c r="BB435" i="54" s="1"/>
  <c r="AI435" i="54"/>
  <c r="AG435" i="54"/>
  <c r="AE435" i="54"/>
  <c r="AC435" i="54"/>
  <c r="AA435" i="54"/>
  <c r="Y435" i="54"/>
  <c r="W435" i="54"/>
  <c r="U435" i="54"/>
  <c r="S435" i="54"/>
  <c r="Q435" i="54"/>
  <c r="M435" i="54"/>
  <c r="I435" i="54"/>
  <c r="AH434" i="54"/>
  <c r="AF434" i="54"/>
  <c r="AD434" i="54"/>
  <c r="AB434" i="54"/>
  <c r="Z434" i="54"/>
  <c r="X434" i="54"/>
  <c r="V434" i="54"/>
  <c r="T434" i="54"/>
  <c r="R434" i="54"/>
  <c r="P434" i="54"/>
  <c r="L432" i="54"/>
  <c r="J432" i="54"/>
  <c r="H432" i="54"/>
  <c r="BF430" i="54"/>
  <c r="BE430" i="54"/>
  <c r="BD430" i="54" s="1"/>
  <c r="BA430" i="54"/>
  <c r="AZ430" i="54"/>
  <c r="AY430" i="54"/>
  <c r="AV430" i="54"/>
  <c r="AU430" i="54"/>
  <c r="AJ430" i="54"/>
  <c r="AI430" i="54"/>
  <c r="AG430" i="54"/>
  <c r="AE430" i="54"/>
  <c r="AC430" i="54"/>
  <c r="AA430" i="54"/>
  <c r="Y430" i="54"/>
  <c r="W430" i="54"/>
  <c r="U430" i="54"/>
  <c r="S430" i="54"/>
  <c r="Q430" i="54"/>
  <c r="M430" i="54"/>
  <c r="I430" i="54"/>
  <c r="BF427" i="54"/>
  <c r="BE427" i="54"/>
  <c r="BD427" i="54" s="1"/>
  <c r="BA427" i="54"/>
  <c r="AZ427" i="54"/>
  <c r="AY427" i="54"/>
  <c r="AV427" i="54"/>
  <c r="AU427" i="54"/>
  <c r="AJ427" i="54"/>
  <c r="AI427" i="54"/>
  <c r="AG427" i="54"/>
  <c r="AE427" i="54"/>
  <c r="AC427" i="54"/>
  <c r="AA427" i="54"/>
  <c r="Y427" i="54"/>
  <c r="W427" i="54"/>
  <c r="U427" i="54"/>
  <c r="S427" i="54"/>
  <c r="Q427" i="54"/>
  <c r="M427" i="54"/>
  <c r="I427" i="54"/>
  <c r="BF424" i="54"/>
  <c r="BE424" i="54"/>
  <c r="BD424" i="54" s="1"/>
  <c r="BA424" i="54"/>
  <c r="AZ424" i="54"/>
  <c r="AY424" i="54"/>
  <c r="AV424" i="54"/>
  <c r="AU424" i="54"/>
  <c r="AJ424" i="54"/>
  <c r="AI424" i="54"/>
  <c r="AG424" i="54"/>
  <c r="AE424" i="54"/>
  <c r="AC424" i="54"/>
  <c r="AA424" i="54"/>
  <c r="Y424" i="54"/>
  <c r="W424" i="54"/>
  <c r="U424" i="54"/>
  <c r="S424" i="54"/>
  <c r="Q424" i="54"/>
  <c r="M424" i="54"/>
  <c r="I424" i="54"/>
  <c r="BF421" i="54"/>
  <c r="BE421" i="54"/>
  <c r="BD421" i="54" s="1"/>
  <c r="BA421" i="54"/>
  <c r="AZ421" i="54"/>
  <c r="AY421" i="54"/>
  <c r="AV421" i="54"/>
  <c r="AU421" i="54"/>
  <c r="AJ421" i="54"/>
  <c r="AI421" i="54"/>
  <c r="AG421" i="54"/>
  <c r="AE421" i="54"/>
  <c r="AC421" i="54"/>
  <c r="AA421" i="54"/>
  <c r="Y421" i="54"/>
  <c r="W421" i="54"/>
  <c r="U421" i="54"/>
  <c r="S421" i="54"/>
  <c r="Q421" i="54"/>
  <c r="M421" i="54"/>
  <c r="I421" i="54"/>
  <c r="BF418" i="54"/>
  <c r="BE418" i="54"/>
  <c r="BD418" i="54" s="1"/>
  <c r="BA418" i="54"/>
  <c r="AZ418" i="54"/>
  <c r="AY418" i="54"/>
  <c r="AV418" i="54"/>
  <c r="AU418" i="54"/>
  <c r="AJ418" i="54"/>
  <c r="AI418" i="54"/>
  <c r="AG418" i="54"/>
  <c r="AE418" i="54"/>
  <c r="AC418" i="54"/>
  <c r="AA418" i="54"/>
  <c r="Y418" i="54"/>
  <c r="W418" i="54"/>
  <c r="U418" i="54"/>
  <c r="S418" i="54"/>
  <c r="Q418" i="54"/>
  <c r="M418" i="54"/>
  <c r="I418" i="54"/>
  <c r="BF415" i="54"/>
  <c r="BE415" i="54"/>
  <c r="BD415" i="54" s="1"/>
  <c r="BA415" i="54"/>
  <c r="AZ415" i="54"/>
  <c r="AY415" i="54"/>
  <c r="AV415" i="54"/>
  <c r="AU415" i="54"/>
  <c r="AJ415" i="54"/>
  <c r="AI415" i="54"/>
  <c r="AG415" i="54"/>
  <c r="AE415" i="54"/>
  <c r="AC415" i="54"/>
  <c r="AA415" i="54"/>
  <c r="Y415" i="54"/>
  <c r="W415" i="54"/>
  <c r="U415" i="54"/>
  <c r="S415" i="54"/>
  <c r="Q415" i="54"/>
  <c r="M415" i="54"/>
  <c r="I415" i="54"/>
  <c r="BF412" i="54"/>
  <c r="BE412" i="54"/>
  <c r="BD412" i="54" s="1"/>
  <c r="BA412" i="54"/>
  <c r="AZ412" i="54"/>
  <c r="AY412" i="54"/>
  <c r="AV412" i="54"/>
  <c r="AU412" i="54"/>
  <c r="BC412" i="54"/>
  <c r="AJ412" i="54"/>
  <c r="AI412" i="54"/>
  <c r="AG412" i="54"/>
  <c r="AE412" i="54"/>
  <c r="AC412" i="54"/>
  <c r="AA412" i="54"/>
  <c r="Y412" i="54"/>
  <c r="W412" i="54"/>
  <c r="U412" i="54"/>
  <c r="S412" i="54"/>
  <c r="Q412" i="54"/>
  <c r="M412" i="54"/>
  <c r="I412" i="54"/>
  <c r="BF409" i="54"/>
  <c r="BE409" i="54"/>
  <c r="BD409" i="54" s="1"/>
  <c r="BA409" i="54"/>
  <c r="AZ409" i="54"/>
  <c r="AY409" i="54"/>
  <c r="AV409" i="54"/>
  <c r="AU409" i="54"/>
  <c r="AJ409" i="54"/>
  <c r="AI409" i="54"/>
  <c r="AG409" i="54"/>
  <c r="AE409" i="54"/>
  <c r="AC409" i="54"/>
  <c r="AA409" i="54"/>
  <c r="Y409" i="54"/>
  <c r="W409" i="54"/>
  <c r="U409" i="54"/>
  <c r="S409" i="54"/>
  <c r="Q409" i="54"/>
  <c r="M409" i="54"/>
  <c r="I409" i="54"/>
  <c r="BF406" i="54"/>
  <c r="BE406" i="54"/>
  <c r="BD406" i="54" s="1"/>
  <c r="BA406" i="54"/>
  <c r="AZ406" i="54"/>
  <c r="AY406" i="54"/>
  <c r="AV406" i="54"/>
  <c r="AU406" i="54"/>
  <c r="BC406" i="54"/>
  <c r="AJ406" i="54"/>
  <c r="AI406" i="54"/>
  <c r="AG406" i="54"/>
  <c r="AE406" i="54"/>
  <c r="AC406" i="54"/>
  <c r="AA406" i="54"/>
  <c r="Y406" i="54"/>
  <c r="W406" i="54"/>
  <c r="U406" i="54"/>
  <c r="S406" i="54"/>
  <c r="Q406" i="54"/>
  <c r="M406" i="54"/>
  <c r="I406" i="54"/>
  <c r="AZ391" i="54"/>
  <c r="AY391" i="54"/>
  <c r="BC391" i="54"/>
  <c r="AJ391" i="54"/>
  <c r="BB391" i="54" s="1"/>
  <c r="AI391" i="54"/>
  <c r="AG391" i="54"/>
  <c r="AE391" i="54"/>
  <c r="AC391" i="54"/>
  <c r="AA391" i="54"/>
  <c r="Y391" i="54"/>
  <c r="W391" i="54"/>
  <c r="U391" i="54"/>
  <c r="S391" i="54"/>
  <c r="Q391" i="54"/>
  <c r="M391" i="54"/>
  <c r="AZ388" i="54"/>
  <c r="AY388" i="54"/>
  <c r="AJ388" i="54"/>
  <c r="BB388" i="54" s="1"/>
  <c r="AI388" i="54"/>
  <c r="AG388" i="54"/>
  <c r="AE388" i="54"/>
  <c r="AC388" i="54"/>
  <c r="AA388" i="54"/>
  <c r="Y388" i="54"/>
  <c r="W388" i="54"/>
  <c r="U388" i="54"/>
  <c r="S388" i="54"/>
  <c r="Q388" i="54"/>
  <c r="M388" i="54"/>
  <c r="AZ385" i="54"/>
  <c r="AY385" i="54"/>
  <c r="BC385" i="54"/>
  <c r="AJ385" i="54"/>
  <c r="BB385" i="54" s="1"/>
  <c r="AI385" i="54"/>
  <c r="AG385" i="54"/>
  <c r="AE385" i="54"/>
  <c r="AC385" i="54"/>
  <c r="AA385" i="54"/>
  <c r="Y385" i="54"/>
  <c r="W385" i="54"/>
  <c r="U385" i="54"/>
  <c r="S385" i="54"/>
  <c r="Q385" i="54"/>
  <c r="M385" i="54"/>
  <c r="AZ382" i="54"/>
  <c r="AY382" i="54"/>
  <c r="AJ382" i="54"/>
  <c r="BB382" i="54" s="1"/>
  <c r="AI382" i="54"/>
  <c r="AG382" i="54"/>
  <c r="AE382" i="54"/>
  <c r="AC382" i="54"/>
  <c r="AA382" i="54"/>
  <c r="Y382" i="54"/>
  <c r="W382" i="54"/>
  <c r="U382" i="54"/>
  <c r="S382" i="54"/>
  <c r="Q382" i="54"/>
  <c r="M382" i="54"/>
  <c r="BE379" i="54"/>
  <c r="BD379" i="54" s="1"/>
  <c r="BA379" i="54"/>
  <c r="AZ379" i="54"/>
  <c r="AY379" i="54"/>
  <c r="AV379" i="54"/>
  <c r="AU379" i="54"/>
  <c r="AJ379" i="54"/>
  <c r="BB379" i="54" s="1"/>
  <c r="AI379" i="54"/>
  <c r="AG379" i="54"/>
  <c r="AE379" i="54"/>
  <c r="AC379" i="54"/>
  <c r="AA379" i="54"/>
  <c r="Y379" i="54"/>
  <c r="W379" i="54"/>
  <c r="U379" i="54"/>
  <c r="S379" i="54"/>
  <c r="Q379" i="54"/>
  <c r="M379" i="54"/>
  <c r="I379" i="54"/>
  <c r="AH378" i="54"/>
  <c r="AF378" i="54"/>
  <c r="AD378" i="54"/>
  <c r="AB378" i="54"/>
  <c r="Z378" i="54"/>
  <c r="X378" i="54"/>
  <c r="V378" i="54"/>
  <c r="T378" i="54"/>
  <c r="R378" i="54"/>
  <c r="P378" i="54"/>
  <c r="L376" i="54"/>
  <c r="J376" i="54"/>
  <c r="H376" i="54"/>
  <c r="BF374" i="54"/>
  <c r="BE374" i="54"/>
  <c r="BD374" i="54" s="1"/>
  <c r="BA374" i="54"/>
  <c r="AZ374" i="54"/>
  <c r="AY374" i="54"/>
  <c r="AV374" i="54"/>
  <c r="AU374" i="54"/>
  <c r="AJ374" i="54"/>
  <c r="AI374" i="54"/>
  <c r="AG374" i="54"/>
  <c r="AE374" i="54"/>
  <c r="AC374" i="54"/>
  <c r="AA374" i="54"/>
  <c r="Y374" i="54"/>
  <c r="W374" i="54"/>
  <c r="U374" i="54"/>
  <c r="S374" i="54"/>
  <c r="Q374" i="54"/>
  <c r="M374" i="54"/>
  <c r="I374" i="54"/>
  <c r="BF371" i="54"/>
  <c r="BE371" i="54"/>
  <c r="BD371" i="54" s="1"/>
  <c r="BC371" i="54"/>
  <c r="BA371" i="54"/>
  <c r="AZ371" i="54"/>
  <c r="AY371" i="54"/>
  <c r="AV371" i="54"/>
  <c r="AU371" i="54"/>
  <c r="AJ371" i="54"/>
  <c r="AI371" i="54"/>
  <c r="AG371" i="54"/>
  <c r="AE371" i="54"/>
  <c r="AC371" i="54"/>
  <c r="AA371" i="54"/>
  <c r="Y371" i="54"/>
  <c r="W371" i="54"/>
  <c r="U371" i="54"/>
  <c r="S371" i="54"/>
  <c r="Q371" i="54"/>
  <c r="M371" i="54"/>
  <c r="I371" i="54"/>
  <c r="BF368" i="54"/>
  <c r="BE368" i="54"/>
  <c r="BD368" i="54"/>
  <c r="BA368" i="54"/>
  <c r="AZ368" i="54"/>
  <c r="AY368" i="54"/>
  <c r="AV368" i="54"/>
  <c r="AU368" i="54"/>
  <c r="AJ368" i="54"/>
  <c r="AI368" i="54"/>
  <c r="AG368" i="54"/>
  <c r="AE368" i="54"/>
  <c r="AC368" i="54"/>
  <c r="AA368" i="54"/>
  <c r="Y368" i="54"/>
  <c r="W368" i="54"/>
  <c r="U368" i="54"/>
  <c r="S368" i="54"/>
  <c r="Q368" i="54"/>
  <c r="M368" i="54"/>
  <c r="I368" i="54"/>
  <c r="BF365" i="54"/>
  <c r="BE365" i="54"/>
  <c r="BD365" i="54" s="1"/>
  <c r="BA365" i="54"/>
  <c r="AZ365" i="54"/>
  <c r="AY365" i="54"/>
  <c r="AV365" i="54"/>
  <c r="AU365" i="54"/>
  <c r="AJ365" i="54"/>
  <c r="AI365" i="54"/>
  <c r="AG365" i="54"/>
  <c r="AE365" i="54"/>
  <c r="AC365" i="54"/>
  <c r="AA365" i="54"/>
  <c r="Y365" i="54"/>
  <c r="W365" i="54"/>
  <c r="U365" i="54"/>
  <c r="S365" i="54"/>
  <c r="Q365" i="54"/>
  <c r="M365" i="54"/>
  <c r="I365" i="54"/>
  <c r="BF362" i="54"/>
  <c r="BE362" i="54"/>
  <c r="BD362" i="54" s="1"/>
  <c r="BA362" i="54"/>
  <c r="AZ362" i="54"/>
  <c r="AY362" i="54"/>
  <c r="AV362" i="54"/>
  <c r="AU362" i="54"/>
  <c r="AJ362" i="54"/>
  <c r="AI362" i="54"/>
  <c r="AG362" i="54"/>
  <c r="AE362" i="54"/>
  <c r="AC362" i="54"/>
  <c r="AA362" i="54"/>
  <c r="Y362" i="54"/>
  <c r="W362" i="54"/>
  <c r="U362" i="54"/>
  <c r="S362" i="54"/>
  <c r="Q362" i="54"/>
  <c r="M362" i="54"/>
  <c r="I362" i="54"/>
  <c r="BF359" i="54"/>
  <c r="BE359" i="54"/>
  <c r="BD359" i="54" s="1"/>
  <c r="BA359" i="54"/>
  <c r="AZ359" i="54"/>
  <c r="AY359" i="54"/>
  <c r="AV359" i="54"/>
  <c r="AU359" i="54"/>
  <c r="AJ359" i="54"/>
  <c r="AI359" i="54"/>
  <c r="AG359" i="54"/>
  <c r="AE359" i="54"/>
  <c r="AC359" i="54"/>
  <c r="AA359" i="54"/>
  <c r="Y359" i="54"/>
  <c r="W359" i="54"/>
  <c r="U359" i="54"/>
  <c r="S359" i="54"/>
  <c r="Q359" i="54"/>
  <c r="M359" i="54"/>
  <c r="I359" i="54"/>
  <c r="BF356" i="54"/>
  <c r="BE356" i="54"/>
  <c r="BD356" i="54" s="1"/>
  <c r="BA356" i="54"/>
  <c r="AZ356" i="54"/>
  <c r="AY356" i="54"/>
  <c r="AV356" i="54"/>
  <c r="AU356" i="54"/>
  <c r="BC356" i="54"/>
  <c r="AJ356" i="54"/>
  <c r="AI356" i="54"/>
  <c r="AG356" i="54"/>
  <c r="AE356" i="54"/>
  <c r="AC356" i="54"/>
  <c r="AA356" i="54"/>
  <c r="Y356" i="54"/>
  <c r="W356" i="54"/>
  <c r="U356" i="54"/>
  <c r="S356" i="54"/>
  <c r="Q356" i="54"/>
  <c r="M356" i="54"/>
  <c r="I356" i="54"/>
  <c r="BF353" i="54"/>
  <c r="BE353" i="54"/>
  <c r="BD353" i="54" s="1"/>
  <c r="BA353" i="54"/>
  <c r="AZ353" i="54"/>
  <c r="AY353" i="54"/>
  <c r="AV353" i="54"/>
  <c r="AU353" i="54"/>
  <c r="AJ353" i="54"/>
  <c r="AI353" i="54"/>
  <c r="AG353" i="54"/>
  <c r="AE353" i="54"/>
  <c r="AC353" i="54"/>
  <c r="AA353" i="54"/>
  <c r="Y353" i="54"/>
  <c r="W353" i="54"/>
  <c r="U353" i="54"/>
  <c r="S353" i="54"/>
  <c r="Q353" i="54"/>
  <c r="M353" i="54"/>
  <c r="I353" i="54"/>
  <c r="BF350" i="54"/>
  <c r="BE350" i="54"/>
  <c r="BD350" i="54" s="1"/>
  <c r="BA350" i="54"/>
  <c r="AZ350" i="54"/>
  <c r="AY350" i="54"/>
  <c r="AV350" i="54"/>
  <c r="AU350" i="54"/>
  <c r="AJ350" i="54"/>
  <c r="AI350" i="54"/>
  <c r="AG350" i="54"/>
  <c r="AE350" i="54"/>
  <c r="AC350" i="54"/>
  <c r="AA350" i="54"/>
  <c r="Y350" i="54"/>
  <c r="W350" i="54"/>
  <c r="U350" i="54"/>
  <c r="S350" i="54"/>
  <c r="Q350" i="54"/>
  <c r="M350" i="54"/>
  <c r="I350" i="54"/>
  <c r="AZ335" i="54"/>
  <c r="AY335" i="54"/>
  <c r="AJ335" i="54"/>
  <c r="BB335" i="54" s="1"/>
  <c r="AI335" i="54"/>
  <c r="AG335" i="54"/>
  <c r="AE335" i="54"/>
  <c r="AC335" i="54"/>
  <c r="AA335" i="54"/>
  <c r="Y335" i="54"/>
  <c r="W335" i="54"/>
  <c r="U335" i="54"/>
  <c r="S335" i="54"/>
  <c r="Q335" i="54"/>
  <c r="M335" i="54"/>
  <c r="BC332" i="54"/>
  <c r="AZ332" i="54"/>
  <c r="AY332" i="54"/>
  <c r="AJ332" i="54"/>
  <c r="BB332" i="54" s="1"/>
  <c r="AI332" i="54"/>
  <c r="AG332" i="54"/>
  <c r="AE332" i="54"/>
  <c r="AC332" i="54"/>
  <c r="AA332" i="54"/>
  <c r="Y332" i="54"/>
  <c r="W332" i="54"/>
  <c r="U332" i="54"/>
  <c r="S332" i="54"/>
  <c r="Q332" i="54"/>
  <c r="M332" i="54"/>
  <c r="AZ329" i="54"/>
  <c r="AY329" i="54"/>
  <c r="BC329" i="54"/>
  <c r="AJ329" i="54"/>
  <c r="BB329" i="54" s="1"/>
  <c r="AI329" i="54"/>
  <c r="AG329" i="54"/>
  <c r="AE329" i="54"/>
  <c r="AC329" i="54"/>
  <c r="AA329" i="54"/>
  <c r="Y329" i="54"/>
  <c r="W329" i="54"/>
  <c r="U329" i="54"/>
  <c r="S329" i="54"/>
  <c r="Q329" i="54"/>
  <c r="M329" i="54"/>
  <c r="AZ326" i="54"/>
  <c r="AY326" i="54"/>
  <c r="AJ326" i="54"/>
  <c r="BB326" i="54" s="1"/>
  <c r="AI326" i="54"/>
  <c r="AG326" i="54"/>
  <c r="AE326" i="54"/>
  <c r="AC326" i="54"/>
  <c r="AA326" i="54"/>
  <c r="Y326" i="54"/>
  <c r="W326" i="54"/>
  <c r="U326" i="54"/>
  <c r="S326" i="54"/>
  <c r="Q326" i="54"/>
  <c r="M326" i="54"/>
  <c r="BE323" i="54"/>
  <c r="BD323" i="54" s="1"/>
  <c r="BA323" i="54"/>
  <c r="AZ323" i="54"/>
  <c r="AY323" i="54"/>
  <c r="AV323" i="54"/>
  <c r="AU323" i="54"/>
  <c r="BC323" i="54"/>
  <c r="AJ323" i="54"/>
  <c r="BB323" i="54" s="1"/>
  <c r="AI323" i="54"/>
  <c r="AG323" i="54"/>
  <c r="AE323" i="54"/>
  <c r="AC323" i="54"/>
  <c r="AA323" i="54"/>
  <c r="Y323" i="54"/>
  <c r="W323" i="54"/>
  <c r="U323" i="54"/>
  <c r="S323" i="54"/>
  <c r="Q323" i="54"/>
  <c r="M323" i="54"/>
  <c r="I323" i="54"/>
  <c r="AH322" i="54"/>
  <c r="AF322" i="54"/>
  <c r="AD322" i="54"/>
  <c r="AB322" i="54"/>
  <c r="Z322" i="54"/>
  <c r="X322" i="54"/>
  <c r="V322" i="54"/>
  <c r="T322" i="54"/>
  <c r="R322" i="54"/>
  <c r="P322" i="54"/>
  <c r="L320" i="54"/>
  <c r="J320" i="54"/>
  <c r="H320" i="54"/>
  <c r="BF318" i="54"/>
  <c r="BE318" i="54"/>
  <c r="BD318" i="54"/>
  <c r="BA318" i="54"/>
  <c r="AZ318" i="54"/>
  <c r="AY318" i="54"/>
  <c r="AV318" i="54"/>
  <c r="AU318" i="54"/>
  <c r="AJ318" i="54"/>
  <c r="AI318" i="54"/>
  <c r="AG318" i="54"/>
  <c r="AE318" i="54"/>
  <c r="AC318" i="54"/>
  <c r="AA318" i="54"/>
  <c r="Y318" i="54"/>
  <c r="W318" i="54"/>
  <c r="U318" i="54"/>
  <c r="S318" i="54"/>
  <c r="Q318" i="54"/>
  <c r="M318" i="54"/>
  <c r="I318" i="54"/>
  <c r="BF315" i="54"/>
  <c r="BE315" i="54"/>
  <c r="BD315" i="54" s="1"/>
  <c r="BA315" i="54"/>
  <c r="AZ315" i="54"/>
  <c r="AY315" i="54"/>
  <c r="AV315" i="54"/>
  <c r="AU315" i="54"/>
  <c r="BC315" i="54"/>
  <c r="AJ315" i="54"/>
  <c r="AI315" i="54"/>
  <c r="AG315" i="54"/>
  <c r="AE315" i="54"/>
  <c r="AC315" i="54"/>
  <c r="AA315" i="54"/>
  <c r="Y315" i="54"/>
  <c r="W315" i="54"/>
  <c r="U315" i="54"/>
  <c r="S315" i="54"/>
  <c r="Q315" i="54"/>
  <c r="M315" i="54"/>
  <c r="I315" i="54"/>
  <c r="BF312" i="54"/>
  <c r="BE312" i="54"/>
  <c r="BD312" i="54" s="1"/>
  <c r="BA312" i="54"/>
  <c r="AZ312" i="54"/>
  <c r="AY312" i="54"/>
  <c r="AV312" i="54"/>
  <c r="AU312" i="54"/>
  <c r="AJ312" i="54"/>
  <c r="AI312" i="54"/>
  <c r="AG312" i="54"/>
  <c r="AE312" i="54"/>
  <c r="AC312" i="54"/>
  <c r="AA312" i="54"/>
  <c r="Y312" i="54"/>
  <c r="W312" i="54"/>
  <c r="U312" i="54"/>
  <c r="S312" i="54"/>
  <c r="Q312" i="54"/>
  <c r="M312" i="54"/>
  <c r="I312" i="54"/>
  <c r="BF309" i="54"/>
  <c r="BE309" i="54"/>
  <c r="BD309" i="54" s="1"/>
  <c r="BA309" i="54"/>
  <c r="AZ309" i="54"/>
  <c r="AY309" i="54"/>
  <c r="AV309" i="54"/>
  <c r="AU309" i="54"/>
  <c r="AJ309" i="54"/>
  <c r="AI309" i="54"/>
  <c r="AG309" i="54"/>
  <c r="AE309" i="54"/>
  <c r="AC309" i="54"/>
  <c r="AA309" i="54"/>
  <c r="Y309" i="54"/>
  <c r="W309" i="54"/>
  <c r="U309" i="54"/>
  <c r="S309" i="54"/>
  <c r="Q309" i="54"/>
  <c r="M309" i="54"/>
  <c r="I309" i="54"/>
  <c r="BF306" i="54"/>
  <c r="BE306" i="54"/>
  <c r="BD306" i="54" s="1"/>
  <c r="BA306" i="54"/>
  <c r="AZ306" i="54"/>
  <c r="AY306" i="54"/>
  <c r="AV306" i="54"/>
  <c r="AU306" i="54"/>
  <c r="AJ306" i="54"/>
  <c r="AI306" i="54"/>
  <c r="AG306" i="54"/>
  <c r="AE306" i="54"/>
  <c r="AC306" i="54"/>
  <c r="AA306" i="54"/>
  <c r="Y306" i="54"/>
  <c r="W306" i="54"/>
  <c r="U306" i="54"/>
  <c r="S306" i="54"/>
  <c r="Q306" i="54"/>
  <c r="M306" i="54"/>
  <c r="I306" i="54"/>
  <c r="BF303" i="54"/>
  <c r="BE303" i="54"/>
  <c r="BD303" i="54" s="1"/>
  <c r="BA303" i="54"/>
  <c r="AZ303" i="54"/>
  <c r="AY303" i="54"/>
  <c r="AV303" i="54"/>
  <c r="AU303" i="54"/>
  <c r="AJ303" i="54"/>
  <c r="AI303" i="54"/>
  <c r="AG303" i="54"/>
  <c r="AE303" i="54"/>
  <c r="AC303" i="54"/>
  <c r="AA303" i="54"/>
  <c r="Y303" i="54"/>
  <c r="W303" i="54"/>
  <c r="U303" i="54"/>
  <c r="S303" i="54"/>
  <c r="Q303" i="54"/>
  <c r="M303" i="54"/>
  <c r="I303" i="54"/>
  <c r="BF300" i="54"/>
  <c r="BE300" i="54"/>
  <c r="BD300" i="54" s="1"/>
  <c r="BA300" i="54"/>
  <c r="AZ300" i="54"/>
  <c r="AY300" i="54"/>
  <c r="AV300" i="54"/>
  <c r="AU300" i="54"/>
  <c r="AJ300" i="54"/>
  <c r="AI300" i="54"/>
  <c r="AG300" i="54"/>
  <c r="AE300" i="54"/>
  <c r="AC300" i="54"/>
  <c r="AA300" i="54"/>
  <c r="Y300" i="54"/>
  <c r="W300" i="54"/>
  <c r="U300" i="54"/>
  <c r="S300" i="54"/>
  <c r="Q300" i="54"/>
  <c r="M300" i="54"/>
  <c r="I300" i="54"/>
  <c r="BF297" i="54"/>
  <c r="BE297" i="54"/>
  <c r="BD297" i="54" s="1"/>
  <c r="BA297" i="54"/>
  <c r="AZ297" i="54"/>
  <c r="AY297" i="54"/>
  <c r="AV297" i="54"/>
  <c r="AU297" i="54"/>
  <c r="AJ297" i="54"/>
  <c r="AI297" i="54"/>
  <c r="AG297" i="54"/>
  <c r="AE297" i="54"/>
  <c r="AC297" i="54"/>
  <c r="AA297" i="54"/>
  <c r="Y297" i="54"/>
  <c r="W297" i="54"/>
  <c r="U297" i="54"/>
  <c r="S297" i="54"/>
  <c r="Q297" i="54"/>
  <c r="M297" i="54"/>
  <c r="I297" i="54"/>
  <c r="BF294" i="54"/>
  <c r="BE294" i="54"/>
  <c r="BD294" i="54" s="1"/>
  <c r="BA294" i="54"/>
  <c r="AZ294" i="54"/>
  <c r="AY294" i="54"/>
  <c r="AV294" i="54"/>
  <c r="AU294" i="54"/>
  <c r="AJ294" i="54"/>
  <c r="AI294" i="54"/>
  <c r="AG294" i="54"/>
  <c r="AE294" i="54"/>
  <c r="AC294" i="54"/>
  <c r="AA294" i="54"/>
  <c r="Y294" i="54"/>
  <c r="W294" i="54"/>
  <c r="U294" i="54"/>
  <c r="S294" i="54"/>
  <c r="Q294" i="54"/>
  <c r="M294" i="54"/>
  <c r="I294" i="54"/>
  <c r="AZ279" i="54"/>
  <c r="AY279" i="54"/>
  <c r="AJ279" i="54"/>
  <c r="BB279" i="54" s="1"/>
  <c r="AI279" i="54"/>
  <c r="AG279" i="54"/>
  <c r="AE279" i="54"/>
  <c r="AC279" i="54"/>
  <c r="AA279" i="54"/>
  <c r="Y279" i="54"/>
  <c r="W279" i="54"/>
  <c r="U279" i="54"/>
  <c r="S279" i="54"/>
  <c r="Q279" i="54"/>
  <c r="M279" i="54"/>
  <c r="BC276" i="54"/>
  <c r="AZ276" i="54"/>
  <c r="AY276" i="54"/>
  <c r="AJ276" i="54"/>
  <c r="BB276" i="54" s="1"/>
  <c r="AI276" i="54"/>
  <c r="AG276" i="54"/>
  <c r="AE276" i="54"/>
  <c r="AC276" i="54"/>
  <c r="AA276" i="54"/>
  <c r="Y276" i="54"/>
  <c r="W276" i="54"/>
  <c r="U276" i="54"/>
  <c r="S276" i="54"/>
  <c r="Q276" i="54"/>
  <c r="M276" i="54"/>
  <c r="AZ273" i="54"/>
  <c r="AY273" i="54"/>
  <c r="BC273" i="54"/>
  <c r="AJ273" i="54"/>
  <c r="BB273" i="54" s="1"/>
  <c r="AI273" i="54"/>
  <c r="AG273" i="54"/>
  <c r="AE273" i="54"/>
  <c r="AC273" i="54"/>
  <c r="AA273" i="54"/>
  <c r="Y273" i="54"/>
  <c r="W273" i="54"/>
  <c r="U273" i="54"/>
  <c r="S273" i="54"/>
  <c r="Q273" i="54"/>
  <c r="M273" i="54"/>
  <c r="AZ270" i="54"/>
  <c r="AY270" i="54"/>
  <c r="AJ270" i="54"/>
  <c r="BB270" i="54" s="1"/>
  <c r="AI270" i="54"/>
  <c r="AG270" i="54"/>
  <c r="AE270" i="54"/>
  <c r="AC270" i="54"/>
  <c r="AA270" i="54"/>
  <c r="Y270" i="54"/>
  <c r="W270" i="54"/>
  <c r="U270" i="54"/>
  <c r="S270" i="54"/>
  <c r="Q270" i="54"/>
  <c r="M270" i="54"/>
  <c r="BE267" i="54"/>
  <c r="BD267" i="54" s="1"/>
  <c r="BA267" i="54"/>
  <c r="AZ267" i="54"/>
  <c r="AY267" i="54"/>
  <c r="AV267" i="54"/>
  <c r="AU267" i="54"/>
  <c r="AJ267" i="54"/>
  <c r="BB267" i="54" s="1"/>
  <c r="AI267" i="54"/>
  <c r="AG267" i="54"/>
  <c r="AE267" i="54"/>
  <c r="AC267" i="54"/>
  <c r="AA267" i="54"/>
  <c r="Y267" i="54"/>
  <c r="W267" i="54"/>
  <c r="U267" i="54"/>
  <c r="S267" i="54"/>
  <c r="Q267" i="54"/>
  <c r="M267" i="54"/>
  <c r="I267" i="54"/>
  <c r="AH266" i="54"/>
  <c r="AF266" i="54"/>
  <c r="AD266" i="54"/>
  <c r="AB266" i="54"/>
  <c r="Z266" i="54"/>
  <c r="X266" i="54"/>
  <c r="V266" i="54"/>
  <c r="T266" i="54"/>
  <c r="R266" i="54"/>
  <c r="P266" i="54"/>
  <c r="L264" i="54"/>
  <c r="J264" i="54"/>
  <c r="H264" i="54"/>
  <c r="BF262" i="54"/>
  <c r="BE262" i="54"/>
  <c r="BD262" i="54"/>
  <c r="BA262" i="54"/>
  <c r="AZ262" i="54"/>
  <c r="AY262" i="54"/>
  <c r="AV262" i="54"/>
  <c r="AU262" i="54"/>
  <c r="AJ262" i="54"/>
  <c r="AI262" i="54"/>
  <c r="AG262" i="54"/>
  <c r="AE262" i="54"/>
  <c r="AC262" i="54"/>
  <c r="AA262" i="54"/>
  <c r="Y262" i="54"/>
  <c r="W262" i="54"/>
  <c r="U262" i="54"/>
  <c r="S262" i="54"/>
  <c r="Q262" i="54"/>
  <c r="M262" i="54"/>
  <c r="I262" i="54"/>
  <c r="BF259" i="54"/>
  <c r="BE259" i="54"/>
  <c r="BD259" i="54" s="1"/>
  <c r="BC259" i="54"/>
  <c r="BA259" i="54"/>
  <c r="AZ259" i="54"/>
  <c r="AY259" i="54"/>
  <c r="AV259" i="54"/>
  <c r="AU259" i="54"/>
  <c r="AJ259" i="54"/>
  <c r="AI259" i="54"/>
  <c r="AG259" i="54"/>
  <c r="AE259" i="54"/>
  <c r="AC259" i="54"/>
  <c r="AA259" i="54"/>
  <c r="Y259" i="54"/>
  <c r="W259" i="54"/>
  <c r="U259" i="54"/>
  <c r="S259" i="54"/>
  <c r="Q259" i="54"/>
  <c r="M259" i="54"/>
  <c r="I259" i="54"/>
  <c r="BF256" i="54"/>
  <c r="BE256" i="54"/>
  <c r="BD256" i="54" s="1"/>
  <c r="BA256" i="54"/>
  <c r="AZ256" i="54"/>
  <c r="AY256" i="54"/>
  <c r="AV256" i="54"/>
  <c r="AU256" i="54"/>
  <c r="AJ256" i="54"/>
  <c r="AI256" i="54"/>
  <c r="AG256" i="54"/>
  <c r="AE256" i="54"/>
  <c r="AC256" i="54"/>
  <c r="AA256" i="54"/>
  <c r="Y256" i="54"/>
  <c r="W256" i="54"/>
  <c r="U256" i="54"/>
  <c r="S256" i="54"/>
  <c r="Q256" i="54"/>
  <c r="M256" i="54"/>
  <c r="I256" i="54"/>
  <c r="BF253" i="54"/>
  <c r="BE253" i="54"/>
  <c r="BD253" i="54" s="1"/>
  <c r="BA253" i="54"/>
  <c r="AZ253" i="54"/>
  <c r="AY253" i="54"/>
  <c r="AV253" i="54"/>
  <c r="AU253" i="54"/>
  <c r="AJ253" i="54"/>
  <c r="AI253" i="54"/>
  <c r="AG253" i="54"/>
  <c r="AE253" i="54"/>
  <c r="AC253" i="54"/>
  <c r="AA253" i="54"/>
  <c r="Y253" i="54"/>
  <c r="W253" i="54"/>
  <c r="U253" i="54"/>
  <c r="S253" i="54"/>
  <c r="Q253" i="54"/>
  <c r="M253" i="54"/>
  <c r="I253" i="54"/>
  <c r="BF250" i="54"/>
  <c r="BE250" i="54"/>
  <c r="BD250" i="54" s="1"/>
  <c r="BA250" i="54"/>
  <c r="AZ250" i="54"/>
  <c r="AY250" i="54"/>
  <c r="AV250" i="54"/>
  <c r="AU250" i="54"/>
  <c r="AJ250" i="54"/>
  <c r="AI250" i="54"/>
  <c r="AG250" i="54"/>
  <c r="AE250" i="54"/>
  <c r="AC250" i="54"/>
  <c r="AA250" i="54"/>
  <c r="Y250" i="54"/>
  <c r="W250" i="54"/>
  <c r="U250" i="54"/>
  <c r="S250" i="54"/>
  <c r="Q250" i="54"/>
  <c r="M250" i="54"/>
  <c r="I250" i="54"/>
  <c r="BF247" i="54"/>
  <c r="BE247" i="54"/>
  <c r="BD247" i="54" s="1"/>
  <c r="BA247" i="54"/>
  <c r="AZ247" i="54"/>
  <c r="AY247" i="54"/>
  <c r="AV247" i="54"/>
  <c r="AU247" i="54"/>
  <c r="AJ247" i="54"/>
  <c r="AI247" i="54"/>
  <c r="AG247" i="54"/>
  <c r="AE247" i="54"/>
  <c r="AC247" i="54"/>
  <c r="AA247" i="54"/>
  <c r="Y247" i="54"/>
  <c r="W247" i="54"/>
  <c r="U247" i="54"/>
  <c r="S247" i="54"/>
  <c r="Q247" i="54"/>
  <c r="M247" i="54"/>
  <c r="I247" i="54"/>
  <c r="BF244" i="54"/>
  <c r="BE244" i="54"/>
  <c r="BD244" i="54" s="1"/>
  <c r="BA244" i="54"/>
  <c r="AZ244" i="54"/>
  <c r="AY244" i="54"/>
  <c r="AV244" i="54"/>
  <c r="AU244" i="54"/>
  <c r="AJ244" i="54"/>
  <c r="AI244" i="54"/>
  <c r="AG244" i="54"/>
  <c r="AE244" i="54"/>
  <c r="AC244" i="54"/>
  <c r="AA244" i="54"/>
  <c r="Y244" i="54"/>
  <c r="W244" i="54"/>
  <c r="U244" i="54"/>
  <c r="S244" i="54"/>
  <c r="Q244" i="54"/>
  <c r="M244" i="54"/>
  <c r="I244" i="54"/>
  <c r="BF241" i="54"/>
  <c r="BE241" i="54"/>
  <c r="BD241" i="54" s="1"/>
  <c r="BA241" i="54"/>
  <c r="AZ241" i="54"/>
  <c r="AY241" i="54"/>
  <c r="AV241" i="54"/>
  <c r="AU241" i="54"/>
  <c r="AJ241" i="54"/>
  <c r="AI241" i="54"/>
  <c r="AG241" i="54"/>
  <c r="AE241" i="54"/>
  <c r="AC241" i="54"/>
  <c r="AA241" i="54"/>
  <c r="Y241" i="54"/>
  <c r="W241" i="54"/>
  <c r="U241" i="54"/>
  <c r="S241" i="54"/>
  <c r="Q241" i="54"/>
  <c r="M241" i="54"/>
  <c r="I241" i="54"/>
  <c r="BF238" i="54"/>
  <c r="BE238" i="54"/>
  <c r="BD238" i="54" s="1"/>
  <c r="BA238" i="54"/>
  <c r="AZ238" i="54"/>
  <c r="AY238" i="54"/>
  <c r="AV238" i="54"/>
  <c r="AU238" i="54"/>
  <c r="AJ238" i="54"/>
  <c r="AI238" i="54"/>
  <c r="AG238" i="54"/>
  <c r="AE238" i="54"/>
  <c r="AC238" i="54"/>
  <c r="AA238" i="54"/>
  <c r="Y238" i="54"/>
  <c r="W238" i="54"/>
  <c r="U238" i="54"/>
  <c r="S238" i="54"/>
  <c r="Q238" i="54"/>
  <c r="M238" i="54"/>
  <c r="I238" i="54"/>
  <c r="AZ224" i="54"/>
  <c r="AY224" i="54"/>
  <c r="BC224" i="54"/>
  <c r="AJ224" i="54"/>
  <c r="BB224" i="54" s="1"/>
  <c r="AI224" i="54"/>
  <c r="AG224" i="54"/>
  <c r="AE224" i="54"/>
  <c r="AC224" i="54"/>
  <c r="AA224" i="54"/>
  <c r="Y224" i="54"/>
  <c r="W224" i="54"/>
  <c r="U224" i="54"/>
  <c r="S224" i="54"/>
  <c r="Q224" i="54"/>
  <c r="M224" i="54"/>
  <c r="BC221" i="54"/>
  <c r="AZ221" i="54"/>
  <c r="AY221" i="54"/>
  <c r="AJ221" i="54"/>
  <c r="BB221" i="54" s="1"/>
  <c r="AI221" i="54"/>
  <c r="AG221" i="54"/>
  <c r="AE221" i="54"/>
  <c r="AC221" i="54"/>
  <c r="AA221" i="54"/>
  <c r="Y221" i="54"/>
  <c r="W221" i="54"/>
  <c r="U221" i="54"/>
  <c r="S221" i="54"/>
  <c r="Q221" i="54"/>
  <c r="M221" i="54"/>
  <c r="AZ218" i="54"/>
  <c r="AY218" i="54"/>
  <c r="BC218" i="54"/>
  <c r="AJ218" i="54"/>
  <c r="BB218" i="54" s="1"/>
  <c r="AI218" i="54"/>
  <c r="AG218" i="54"/>
  <c r="AE218" i="54"/>
  <c r="AC218" i="54"/>
  <c r="AA218" i="54"/>
  <c r="Y218" i="54"/>
  <c r="W218" i="54"/>
  <c r="U218" i="54"/>
  <c r="S218" i="54"/>
  <c r="Q218" i="54"/>
  <c r="M218" i="54"/>
  <c r="AZ215" i="54"/>
  <c r="AY215" i="54"/>
  <c r="AJ215" i="54"/>
  <c r="BB215" i="54" s="1"/>
  <c r="AI215" i="54"/>
  <c r="AG215" i="54"/>
  <c r="AE215" i="54"/>
  <c r="AC215" i="54"/>
  <c r="AA215" i="54"/>
  <c r="Y215" i="54"/>
  <c r="W215" i="54"/>
  <c r="U215" i="54"/>
  <c r="S215" i="54"/>
  <c r="Q215" i="54"/>
  <c r="M215" i="54"/>
  <c r="BE212" i="54"/>
  <c r="BD212" i="54" s="1"/>
  <c r="BA212" i="54"/>
  <c r="AZ212" i="54"/>
  <c r="AY212" i="54"/>
  <c r="AV212" i="54"/>
  <c r="AU212" i="54"/>
  <c r="AJ212" i="54"/>
  <c r="BB212" i="54" s="1"/>
  <c r="AI212" i="54"/>
  <c r="AG212" i="54"/>
  <c r="AE212" i="54"/>
  <c r="AC212" i="54"/>
  <c r="AA212" i="54"/>
  <c r="Y212" i="54"/>
  <c r="W212" i="54"/>
  <c r="U212" i="54"/>
  <c r="S212" i="54"/>
  <c r="Q212" i="54"/>
  <c r="M212" i="54"/>
  <c r="I212" i="54"/>
  <c r="AH211" i="54"/>
  <c r="AF211" i="54"/>
  <c r="AD211" i="54"/>
  <c r="AB211" i="54"/>
  <c r="Z211" i="54"/>
  <c r="X211" i="54"/>
  <c r="V211" i="54"/>
  <c r="T211" i="54"/>
  <c r="R211" i="54"/>
  <c r="P211" i="54"/>
  <c r="L209" i="54"/>
  <c r="J209" i="54"/>
  <c r="H209" i="54"/>
  <c r="BF207" i="54"/>
  <c r="BE207" i="54"/>
  <c r="BD207" i="54" s="1"/>
  <c r="BA207" i="54"/>
  <c r="AZ207" i="54"/>
  <c r="AY207" i="54"/>
  <c r="AV207" i="54"/>
  <c r="AU207" i="54"/>
  <c r="AJ207" i="54"/>
  <c r="AI207" i="54"/>
  <c r="AG207" i="54"/>
  <c r="AE207" i="54"/>
  <c r="AC207" i="54"/>
  <c r="AA207" i="54"/>
  <c r="Y207" i="54"/>
  <c r="W207" i="54"/>
  <c r="U207" i="54"/>
  <c r="S207" i="54"/>
  <c r="Q207" i="54"/>
  <c r="M207" i="54"/>
  <c r="I207" i="54"/>
  <c r="BF204" i="54"/>
  <c r="BE204" i="54"/>
  <c r="BD204" i="54"/>
  <c r="BA204" i="54"/>
  <c r="AZ204" i="54"/>
  <c r="AY204" i="54"/>
  <c r="AV204" i="54"/>
  <c r="AU204" i="54"/>
  <c r="BC204" i="54"/>
  <c r="AJ204" i="54"/>
  <c r="AI204" i="54"/>
  <c r="AG204" i="54"/>
  <c r="AE204" i="54"/>
  <c r="AC204" i="54"/>
  <c r="AA204" i="54"/>
  <c r="Y204" i="54"/>
  <c r="W204" i="54"/>
  <c r="U204" i="54"/>
  <c r="S204" i="54"/>
  <c r="Q204" i="54"/>
  <c r="M204" i="54"/>
  <c r="I204" i="54"/>
  <c r="BF201" i="54"/>
  <c r="BE201" i="54"/>
  <c r="BD201" i="54" s="1"/>
  <c r="BA201" i="54"/>
  <c r="AZ201" i="54"/>
  <c r="AY201" i="54"/>
  <c r="AV201" i="54"/>
  <c r="AU201" i="54"/>
  <c r="BC201" i="54"/>
  <c r="AJ201" i="54"/>
  <c r="AI201" i="54"/>
  <c r="AG201" i="54"/>
  <c r="AE201" i="54"/>
  <c r="AC201" i="54"/>
  <c r="AA201" i="54"/>
  <c r="Y201" i="54"/>
  <c r="W201" i="54"/>
  <c r="U201" i="54"/>
  <c r="S201" i="54"/>
  <c r="Q201" i="54"/>
  <c r="M201" i="54"/>
  <c r="I201" i="54"/>
  <c r="BF198" i="54"/>
  <c r="BE198" i="54"/>
  <c r="BD198" i="54" s="1"/>
  <c r="BA198" i="54"/>
  <c r="AZ198" i="54"/>
  <c r="AY198" i="54"/>
  <c r="AV198" i="54"/>
  <c r="AU198" i="54"/>
  <c r="AJ198" i="54"/>
  <c r="AI198" i="54"/>
  <c r="AG198" i="54"/>
  <c r="AE198" i="54"/>
  <c r="AC198" i="54"/>
  <c r="AA198" i="54"/>
  <c r="Y198" i="54"/>
  <c r="W198" i="54"/>
  <c r="U198" i="54"/>
  <c r="S198" i="54"/>
  <c r="Q198" i="54"/>
  <c r="M198" i="54"/>
  <c r="I198" i="54"/>
  <c r="BF195" i="54"/>
  <c r="BE195" i="54"/>
  <c r="BD195" i="54" s="1"/>
  <c r="BA195" i="54"/>
  <c r="AZ195" i="54"/>
  <c r="AY195" i="54"/>
  <c r="AV195" i="54"/>
  <c r="AU195" i="54"/>
  <c r="AJ195" i="54"/>
  <c r="AI195" i="54"/>
  <c r="AG195" i="54"/>
  <c r="AE195" i="54"/>
  <c r="AC195" i="54"/>
  <c r="AA195" i="54"/>
  <c r="Y195" i="54"/>
  <c r="W195" i="54"/>
  <c r="U195" i="54"/>
  <c r="S195" i="54"/>
  <c r="Q195" i="54"/>
  <c r="M195" i="54"/>
  <c r="I195" i="54"/>
  <c r="BF192" i="54"/>
  <c r="BE192" i="54"/>
  <c r="BD192" i="54" s="1"/>
  <c r="BC192" i="54"/>
  <c r="BA192" i="54"/>
  <c r="AZ192" i="54"/>
  <c r="AY192" i="54"/>
  <c r="AV192" i="54"/>
  <c r="AU192" i="54"/>
  <c r="AJ192" i="54"/>
  <c r="AI192" i="54"/>
  <c r="AG192" i="54"/>
  <c r="AE192" i="54"/>
  <c r="AC192" i="54"/>
  <c r="AA192" i="54"/>
  <c r="Y192" i="54"/>
  <c r="W192" i="54"/>
  <c r="U192" i="54"/>
  <c r="S192" i="54"/>
  <c r="Q192" i="54"/>
  <c r="M192" i="54"/>
  <c r="I192" i="54"/>
  <c r="BF189" i="54"/>
  <c r="BE189" i="54"/>
  <c r="BD189" i="54" s="1"/>
  <c r="BA189" i="54"/>
  <c r="AZ189" i="54"/>
  <c r="AY189" i="54"/>
  <c r="AV189" i="54"/>
  <c r="AU189" i="54"/>
  <c r="AJ189" i="54"/>
  <c r="AI189" i="54"/>
  <c r="AG189" i="54"/>
  <c r="AE189" i="54"/>
  <c r="AC189" i="54"/>
  <c r="AA189" i="54"/>
  <c r="Y189" i="54"/>
  <c r="W189" i="54"/>
  <c r="U189" i="54"/>
  <c r="S189" i="54"/>
  <c r="Q189" i="54"/>
  <c r="M189" i="54"/>
  <c r="I189" i="54"/>
  <c r="BF186" i="54"/>
  <c r="BE186" i="54"/>
  <c r="BD186" i="54" s="1"/>
  <c r="BA186" i="54"/>
  <c r="AZ186" i="54"/>
  <c r="AY186" i="54"/>
  <c r="AV186" i="54"/>
  <c r="AU186" i="54"/>
  <c r="AJ186" i="54"/>
  <c r="AI186" i="54"/>
  <c r="AG186" i="54"/>
  <c r="AE186" i="54"/>
  <c r="AC186" i="54"/>
  <c r="AA186" i="54"/>
  <c r="Y186" i="54"/>
  <c r="W186" i="54"/>
  <c r="U186" i="54"/>
  <c r="S186" i="54"/>
  <c r="Q186" i="54"/>
  <c r="M186" i="54"/>
  <c r="I186" i="54"/>
  <c r="BF183" i="54"/>
  <c r="BE183" i="54"/>
  <c r="BD183" i="54" s="1"/>
  <c r="BA183" i="54"/>
  <c r="AZ183" i="54"/>
  <c r="AY183" i="54"/>
  <c r="AV183" i="54"/>
  <c r="AU183" i="54"/>
  <c r="AJ183" i="54"/>
  <c r="AI183" i="54"/>
  <c r="AG183" i="54"/>
  <c r="AE183" i="54"/>
  <c r="AC183" i="54"/>
  <c r="AA183" i="54"/>
  <c r="Y183" i="54"/>
  <c r="W183" i="54"/>
  <c r="U183" i="54"/>
  <c r="S183" i="54"/>
  <c r="Q183" i="54"/>
  <c r="M183" i="54"/>
  <c r="I183" i="54"/>
  <c r="AZ169" i="54"/>
  <c r="AY169" i="54"/>
  <c r="BC169" i="54"/>
  <c r="AJ169" i="54"/>
  <c r="BB169" i="54" s="1"/>
  <c r="AI169" i="54"/>
  <c r="AG169" i="54"/>
  <c r="AE169" i="54"/>
  <c r="AC169" i="54"/>
  <c r="AA169" i="54"/>
  <c r="Y169" i="54"/>
  <c r="W169" i="54"/>
  <c r="U169" i="54"/>
  <c r="S169" i="54"/>
  <c r="Q169" i="54"/>
  <c r="M169" i="54"/>
  <c r="BC166" i="54"/>
  <c r="AZ166" i="54"/>
  <c r="AY166" i="54"/>
  <c r="AJ166" i="54"/>
  <c r="BB166" i="54" s="1"/>
  <c r="AI166" i="54"/>
  <c r="AG166" i="54"/>
  <c r="AE166" i="54"/>
  <c r="AC166" i="54"/>
  <c r="AA166" i="54"/>
  <c r="Y166" i="54"/>
  <c r="W166" i="54"/>
  <c r="U166" i="54"/>
  <c r="S166" i="54"/>
  <c r="Q166" i="54"/>
  <c r="M166" i="54"/>
  <c r="AZ163" i="54"/>
  <c r="AY163" i="54"/>
  <c r="BC163" i="54"/>
  <c r="AJ163" i="54"/>
  <c r="BB163" i="54" s="1"/>
  <c r="AI163" i="54"/>
  <c r="AG163" i="54"/>
  <c r="AE163" i="54"/>
  <c r="AC163" i="54"/>
  <c r="AA163" i="54"/>
  <c r="Y163" i="54"/>
  <c r="W163" i="54"/>
  <c r="U163" i="54"/>
  <c r="S163" i="54"/>
  <c r="Q163" i="54"/>
  <c r="M163" i="54"/>
  <c r="BB160" i="54"/>
  <c r="AZ160" i="54"/>
  <c r="AY160" i="54"/>
  <c r="AJ160" i="54"/>
  <c r="AI160" i="54"/>
  <c r="AG160" i="54"/>
  <c r="AE160" i="54"/>
  <c r="AC160" i="54"/>
  <c r="AA160" i="54"/>
  <c r="Y160" i="54"/>
  <c r="W160" i="54"/>
  <c r="U160" i="54"/>
  <c r="S160" i="54"/>
  <c r="Q160" i="54"/>
  <c r="M160" i="54"/>
  <c r="BE157" i="54"/>
  <c r="BD157" i="54" s="1"/>
  <c r="BA157" i="54"/>
  <c r="AZ157" i="54"/>
  <c r="AY157" i="54"/>
  <c r="AV157" i="54"/>
  <c r="AU157" i="54"/>
  <c r="AJ157" i="54"/>
  <c r="BB157" i="54" s="1"/>
  <c r="AI157" i="54"/>
  <c r="AG157" i="54"/>
  <c r="AE157" i="54"/>
  <c r="AC157" i="54"/>
  <c r="AA157" i="54"/>
  <c r="Y157" i="54"/>
  <c r="W157" i="54"/>
  <c r="U157" i="54"/>
  <c r="S157" i="54"/>
  <c r="Q157" i="54"/>
  <c r="M157" i="54"/>
  <c r="I157" i="54"/>
  <c r="AH156" i="54"/>
  <c r="AF156" i="54"/>
  <c r="AD156" i="54"/>
  <c r="AB156" i="54"/>
  <c r="Z156" i="54"/>
  <c r="X156" i="54"/>
  <c r="V156" i="54"/>
  <c r="T156" i="54"/>
  <c r="R156" i="54"/>
  <c r="P156" i="54"/>
  <c r="L154" i="54"/>
  <c r="J154" i="54"/>
  <c r="H154" i="54"/>
  <c r="BF152" i="54"/>
  <c r="BE152" i="54"/>
  <c r="BD152" i="54" s="1"/>
  <c r="BA152" i="54"/>
  <c r="AZ152" i="54"/>
  <c r="AY152" i="54"/>
  <c r="AV152" i="54"/>
  <c r="AU152" i="54"/>
  <c r="AJ152" i="54"/>
  <c r="AI152" i="54"/>
  <c r="AG152" i="54"/>
  <c r="AE152" i="54"/>
  <c r="AC152" i="54"/>
  <c r="AA152" i="54"/>
  <c r="Y152" i="54"/>
  <c r="W152" i="54"/>
  <c r="U152" i="54"/>
  <c r="S152" i="54"/>
  <c r="Q152" i="54"/>
  <c r="M152" i="54"/>
  <c r="I152" i="54"/>
  <c r="BF149" i="54"/>
  <c r="BE149" i="54"/>
  <c r="BD149" i="54" s="1"/>
  <c r="BA149" i="54"/>
  <c r="AZ149" i="54"/>
  <c r="AY149" i="54"/>
  <c r="AV149" i="54"/>
  <c r="AU149" i="54"/>
  <c r="AJ149" i="54"/>
  <c r="AI149" i="54"/>
  <c r="AG149" i="54"/>
  <c r="AE149" i="54"/>
  <c r="AC149" i="54"/>
  <c r="AA149" i="54"/>
  <c r="Y149" i="54"/>
  <c r="W149" i="54"/>
  <c r="U149" i="54"/>
  <c r="S149" i="54"/>
  <c r="Q149" i="54"/>
  <c r="M149" i="54"/>
  <c r="I149" i="54"/>
  <c r="BF146" i="54"/>
  <c r="BE146" i="54"/>
  <c r="BD146" i="54" s="1"/>
  <c r="BA146" i="54"/>
  <c r="AZ146" i="54"/>
  <c r="AY146" i="54"/>
  <c r="AV146" i="54"/>
  <c r="AU146" i="54"/>
  <c r="BC146" i="54"/>
  <c r="AJ146" i="54"/>
  <c r="BB146" i="54" s="1"/>
  <c r="AI146" i="54"/>
  <c r="AG146" i="54"/>
  <c r="AE146" i="54"/>
  <c r="AC146" i="54"/>
  <c r="AA146" i="54"/>
  <c r="Y146" i="54"/>
  <c r="W146" i="54"/>
  <c r="U146" i="54"/>
  <c r="S146" i="54"/>
  <c r="Q146" i="54"/>
  <c r="M146" i="54"/>
  <c r="I146" i="54"/>
  <c r="BF143" i="54"/>
  <c r="BE143" i="54"/>
  <c r="BD143" i="54" s="1"/>
  <c r="BA143" i="54"/>
  <c r="AZ143" i="54"/>
  <c r="AY143" i="54"/>
  <c r="AV143" i="54"/>
  <c r="AU143" i="54"/>
  <c r="AJ143" i="54"/>
  <c r="AI143" i="54"/>
  <c r="AG143" i="54"/>
  <c r="AE143" i="54"/>
  <c r="AC143" i="54"/>
  <c r="AA143" i="54"/>
  <c r="Y143" i="54"/>
  <c r="W143" i="54"/>
  <c r="U143" i="54"/>
  <c r="S143" i="54"/>
  <c r="Q143" i="54"/>
  <c r="M143" i="54"/>
  <c r="I143" i="54"/>
  <c r="BF140" i="54"/>
  <c r="BE140" i="54"/>
  <c r="BD140" i="54" s="1"/>
  <c r="BA140" i="54"/>
  <c r="AZ140" i="54"/>
  <c r="AY140" i="54"/>
  <c r="AV140" i="54"/>
  <c r="AU140" i="54"/>
  <c r="AJ140" i="54"/>
  <c r="AI140" i="54"/>
  <c r="AG140" i="54"/>
  <c r="AE140" i="54"/>
  <c r="AC140" i="54"/>
  <c r="AA140" i="54"/>
  <c r="Y140" i="54"/>
  <c r="W140" i="54"/>
  <c r="U140" i="54"/>
  <c r="S140" i="54"/>
  <c r="Q140" i="54"/>
  <c r="M140" i="54"/>
  <c r="I140" i="54"/>
  <c r="BF137" i="54"/>
  <c r="BE137" i="54"/>
  <c r="BD137" i="54" s="1"/>
  <c r="BA137" i="54"/>
  <c r="AZ137" i="54"/>
  <c r="AY137" i="54"/>
  <c r="AV137" i="54"/>
  <c r="AU137" i="54"/>
  <c r="AJ137" i="54"/>
  <c r="AI137" i="54"/>
  <c r="AG137" i="54"/>
  <c r="AE137" i="54"/>
  <c r="AC137" i="54"/>
  <c r="AA137" i="54"/>
  <c r="Y137" i="54"/>
  <c r="W137" i="54"/>
  <c r="U137" i="54"/>
  <c r="S137" i="54"/>
  <c r="Q137" i="54"/>
  <c r="M137" i="54"/>
  <c r="I137" i="54"/>
  <c r="BF134" i="54"/>
  <c r="BE134" i="54"/>
  <c r="BD134" i="54" s="1"/>
  <c r="BA134" i="54"/>
  <c r="AZ134" i="54"/>
  <c r="AY134" i="54"/>
  <c r="AV134" i="54"/>
  <c r="AU134" i="54"/>
  <c r="AJ134" i="54"/>
  <c r="AI134" i="54"/>
  <c r="AG134" i="54"/>
  <c r="AE134" i="54"/>
  <c r="AC134" i="54"/>
  <c r="AA134" i="54"/>
  <c r="Y134" i="54"/>
  <c r="W134" i="54"/>
  <c r="U134" i="54"/>
  <c r="S134" i="54"/>
  <c r="Q134" i="54"/>
  <c r="M134" i="54"/>
  <c r="I134" i="54"/>
  <c r="BF131" i="54"/>
  <c r="BE131" i="54"/>
  <c r="BD131" i="54" s="1"/>
  <c r="BA131" i="54"/>
  <c r="AZ131" i="54"/>
  <c r="AY131" i="54"/>
  <c r="AV131" i="54"/>
  <c r="AU131" i="54"/>
  <c r="AJ131" i="54"/>
  <c r="AI131" i="54"/>
  <c r="AG131" i="54"/>
  <c r="AE131" i="54"/>
  <c r="AC131" i="54"/>
  <c r="AA131" i="54"/>
  <c r="Y131" i="54"/>
  <c r="W131" i="54"/>
  <c r="U131" i="54"/>
  <c r="S131" i="54"/>
  <c r="Q131" i="54"/>
  <c r="M131" i="54"/>
  <c r="I131" i="54"/>
  <c r="BF128" i="54"/>
  <c r="BE128" i="54"/>
  <c r="BD128" i="54" s="1"/>
  <c r="BA128" i="54"/>
  <c r="AZ128" i="54"/>
  <c r="AY128" i="54"/>
  <c r="AV128" i="54"/>
  <c r="AU128" i="54"/>
  <c r="AJ128" i="54"/>
  <c r="AI128" i="54"/>
  <c r="AG128" i="54"/>
  <c r="AE128" i="54"/>
  <c r="AC128" i="54"/>
  <c r="AA128" i="54"/>
  <c r="Y128" i="54"/>
  <c r="W128" i="54"/>
  <c r="U128" i="54"/>
  <c r="S128" i="54"/>
  <c r="Q128" i="54"/>
  <c r="M128" i="54"/>
  <c r="I128" i="54"/>
  <c r="AZ114" i="54"/>
  <c r="AY114" i="54"/>
  <c r="BC114" i="54"/>
  <c r="AJ114" i="54"/>
  <c r="BB114" i="54" s="1"/>
  <c r="AI114" i="54"/>
  <c r="AG114" i="54"/>
  <c r="AE114" i="54"/>
  <c r="AC114" i="54"/>
  <c r="AA114" i="54"/>
  <c r="Y114" i="54"/>
  <c r="W114" i="54"/>
  <c r="U114" i="54"/>
  <c r="S114" i="54"/>
  <c r="Q114" i="54"/>
  <c r="M114" i="54"/>
  <c r="BC111" i="54"/>
  <c r="AZ111" i="54"/>
  <c r="AY111" i="54"/>
  <c r="AJ111" i="54"/>
  <c r="BB111" i="54" s="1"/>
  <c r="AI111" i="54"/>
  <c r="AG111" i="54"/>
  <c r="AE111" i="54"/>
  <c r="AC111" i="54"/>
  <c r="AA111" i="54"/>
  <c r="Y111" i="54"/>
  <c r="W111" i="54"/>
  <c r="U111" i="54"/>
  <c r="S111" i="54"/>
  <c r="Q111" i="54"/>
  <c r="M111" i="54"/>
  <c r="AZ108" i="54"/>
  <c r="AY108" i="54"/>
  <c r="BC108" i="54"/>
  <c r="AJ108" i="54"/>
  <c r="BB108" i="54" s="1"/>
  <c r="AI108" i="54"/>
  <c r="AG108" i="54"/>
  <c r="AE108" i="54"/>
  <c r="AC108" i="54"/>
  <c r="AA108" i="54"/>
  <c r="Y108" i="54"/>
  <c r="W108" i="54"/>
  <c r="U108" i="54"/>
  <c r="S108" i="54"/>
  <c r="Q108" i="54"/>
  <c r="M108" i="54"/>
  <c r="AZ105" i="54"/>
  <c r="AY105" i="54"/>
  <c r="AJ105" i="54"/>
  <c r="BB105" i="54" s="1"/>
  <c r="AI105" i="54"/>
  <c r="AG105" i="54"/>
  <c r="AE105" i="54"/>
  <c r="AC105" i="54"/>
  <c r="AA105" i="54"/>
  <c r="Y105" i="54"/>
  <c r="W105" i="54"/>
  <c r="U105" i="54"/>
  <c r="S105" i="54"/>
  <c r="Q105" i="54"/>
  <c r="M105" i="54"/>
  <c r="BE102" i="54"/>
  <c r="BD102" i="54" s="1"/>
  <c r="BA102" i="54"/>
  <c r="AZ102" i="54"/>
  <c r="AY102" i="54"/>
  <c r="AV102" i="54"/>
  <c r="AU102" i="54"/>
  <c r="AJ102" i="54"/>
  <c r="BB102" i="54" s="1"/>
  <c r="AI102" i="54"/>
  <c r="AG102" i="54"/>
  <c r="AE102" i="54"/>
  <c r="AC102" i="54"/>
  <c r="AA102" i="54"/>
  <c r="Y102" i="54"/>
  <c r="W102" i="54"/>
  <c r="U102" i="54"/>
  <c r="S102" i="54"/>
  <c r="Q102" i="54"/>
  <c r="M102" i="54"/>
  <c r="I102" i="54"/>
  <c r="AH101" i="54"/>
  <c r="AF101" i="54"/>
  <c r="AD101" i="54"/>
  <c r="AB101" i="54"/>
  <c r="Z101" i="54"/>
  <c r="X101" i="54"/>
  <c r="V101" i="54"/>
  <c r="T101" i="54"/>
  <c r="R101" i="54"/>
  <c r="P101" i="54"/>
  <c r="L99" i="54"/>
  <c r="J99" i="54"/>
  <c r="H99" i="54"/>
  <c r="BF97" i="54"/>
  <c r="BE97" i="54"/>
  <c r="BD97" i="54" s="1"/>
  <c r="BA97" i="54"/>
  <c r="AZ97" i="54"/>
  <c r="AY97" i="54"/>
  <c r="AV97" i="54"/>
  <c r="AU97" i="54"/>
  <c r="AJ97" i="54"/>
  <c r="AI97" i="54"/>
  <c r="AG97" i="54"/>
  <c r="AE97" i="54"/>
  <c r="AC97" i="54"/>
  <c r="AA97" i="54"/>
  <c r="Y97" i="54"/>
  <c r="W97" i="54"/>
  <c r="U97" i="54"/>
  <c r="S97" i="54"/>
  <c r="Q97" i="54"/>
  <c r="M97" i="54"/>
  <c r="I97" i="54"/>
  <c r="BF94" i="54"/>
  <c r="BE94" i="54"/>
  <c r="BD94" i="54" s="1"/>
  <c r="BA94" i="54"/>
  <c r="AZ94" i="54"/>
  <c r="AY94" i="54"/>
  <c r="AV94" i="54"/>
  <c r="AU94" i="54"/>
  <c r="AJ94" i="54"/>
  <c r="AI94" i="54"/>
  <c r="AG94" i="54"/>
  <c r="AE94" i="54"/>
  <c r="AC94" i="54"/>
  <c r="AA94" i="54"/>
  <c r="Y94" i="54"/>
  <c r="W94" i="54"/>
  <c r="U94" i="54"/>
  <c r="S94" i="54"/>
  <c r="Q94" i="54"/>
  <c r="M94" i="54"/>
  <c r="I94" i="54"/>
  <c r="BF91" i="54"/>
  <c r="BE91" i="54"/>
  <c r="BD91" i="54" s="1"/>
  <c r="BA91" i="54"/>
  <c r="AZ91" i="54"/>
  <c r="AY91" i="54"/>
  <c r="AV91" i="54"/>
  <c r="AU91" i="54"/>
  <c r="AJ91" i="54"/>
  <c r="AI91" i="54"/>
  <c r="AG91" i="54"/>
  <c r="AE91" i="54"/>
  <c r="AC91" i="54"/>
  <c r="AA91" i="54"/>
  <c r="Y91" i="54"/>
  <c r="W91" i="54"/>
  <c r="U91" i="54"/>
  <c r="S91" i="54"/>
  <c r="Q91" i="54"/>
  <c r="M91" i="54"/>
  <c r="I91" i="54"/>
  <c r="BF88" i="54"/>
  <c r="BE88" i="54"/>
  <c r="BD88" i="54" s="1"/>
  <c r="BA88" i="54"/>
  <c r="AZ88" i="54"/>
  <c r="AY88" i="54"/>
  <c r="AV88" i="54"/>
  <c r="AU88" i="54"/>
  <c r="AJ88" i="54"/>
  <c r="AI88" i="54"/>
  <c r="AG88" i="54"/>
  <c r="AE88" i="54"/>
  <c r="AC88" i="54"/>
  <c r="AA88" i="54"/>
  <c r="Y88" i="54"/>
  <c r="W88" i="54"/>
  <c r="U88" i="54"/>
  <c r="S88" i="54"/>
  <c r="Q88" i="54"/>
  <c r="M88" i="54"/>
  <c r="I88" i="54"/>
  <c r="BF85" i="54"/>
  <c r="BE85" i="54"/>
  <c r="BD85" i="54" s="1"/>
  <c r="BA85" i="54"/>
  <c r="AZ85" i="54"/>
  <c r="AY85" i="54"/>
  <c r="AV85" i="54"/>
  <c r="AU85" i="54"/>
  <c r="AJ85" i="54"/>
  <c r="AI85" i="54"/>
  <c r="AG85" i="54"/>
  <c r="AE85" i="54"/>
  <c r="AC85" i="54"/>
  <c r="AA85" i="54"/>
  <c r="Y85" i="54"/>
  <c r="W85" i="54"/>
  <c r="U85" i="54"/>
  <c r="S85" i="54"/>
  <c r="Q85" i="54"/>
  <c r="M85" i="54"/>
  <c r="I85" i="54"/>
  <c r="BF82" i="54"/>
  <c r="BE82" i="54"/>
  <c r="BD82" i="54" s="1"/>
  <c r="BA82" i="54"/>
  <c r="AZ82" i="54"/>
  <c r="AY82" i="54"/>
  <c r="AV82" i="54"/>
  <c r="AU82" i="54"/>
  <c r="AJ82" i="54"/>
  <c r="AI82" i="54"/>
  <c r="AG82" i="54"/>
  <c r="AE82" i="54"/>
  <c r="AC82" i="54"/>
  <c r="AA82" i="54"/>
  <c r="Y82" i="54"/>
  <c r="W82" i="54"/>
  <c r="U82" i="54"/>
  <c r="S82" i="54"/>
  <c r="Q82" i="54"/>
  <c r="M82" i="54"/>
  <c r="I82" i="54"/>
  <c r="BF79" i="54"/>
  <c r="BE79" i="54"/>
  <c r="BD79" i="54" s="1"/>
  <c r="BC79" i="54"/>
  <c r="BA79" i="54"/>
  <c r="AZ79" i="54"/>
  <c r="AY79" i="54"/>
  <c r="AV79" i="54"/>
  <c r="AU79" i="54"/>
  <c r="AJ79" i="54"/>
  <c r="AI79" i="54"/>
  <c r="AG79" i="54"/>
  <c r="AE79" i="54"/>
  <c r="AC79" i="54"/>
  <c r="AA79" i="54"/>
  <c r="Y79" i="54"/>
  <c r="W79" i="54"/>
  <c r="U79" i="54"/>
  <c r="S79" i="54"/>
  <c r="Q79" i="54"/>
  <c r="M79" i="54"/>
  <c r="I79" i="54"/>
  <c r="BF76" i="54"/>
  <c r="BE76" i="54"/>
  <c r="BD76" i="54" s="1"/>
  <c r="BA76" i="54"/>
  <c r="AZ76" i="54"/>
  <c r="AY76" i="54"/>
  <c r="AV76" i="54"/>
  <c r="AU76" i="54"/>
  <c r="BC76" i="54"/>
  <c r="AJ76" i="54"/>
  <c r="AI76" i="54"/>
  <c r="AG76" i="54"/>
  <c r="AE76" i="54"/>
  <c r="AC76" i="54"/>
  <c r="AA76" i="54"/>
  <c r="Y76" i="54"/>
  <c r="W76" i="54"/>
  <c r="U76" i="54"/>
  <c r="S76" i="54"/>
  <c r="Q76" i="54"/>
  <c r="M76" i="54"/>
  <c r="I76" i="54"/>
  <c r="BF73" i="54"/>
  <c r="BE73" i="54"/>
  <c r="BD73" i="54" s="1"/>
  <c r="BA73" i="54"/>
  <c r="AZ73" i="54"/>
  <c r="AY73" i="54"/>
  <c r="AV73" i="54"/>
  <c r="AU73" i="54"/>
  <c r="AJ73" i="54"/>
  <c r="BB73" i="54" s="1"/>
  <c r="AI73" i="54"/>
  <c r="AG73" i="54"/>
  <c r="AE73" i="54"/>
  <c r="AC73" i="54"/>
  <c r="AA73" i="54"/>
  <c r="Y73" i="54"/>
  <c r="W73" i="54"/>
  <c r="U73" i="54"/>
  <c r="S73" i="54"/>
  <c r="Q73" i="54"/>
  <c r="M73" i="54"/>
  <c r="I73" i="54"/>
  <c r="BJ559" i="54"/>
  <c r="BI559" i="54"/>
  <c r="BK559" i="54" s="1"/>
  <c r="BJ556" i="54"/>
  <c r="BI556" i="54"/>
  <c r="BK556" i="54" s="1"/>
  <c r="BJ553" i="54"/>
  <c r="BI553" i="54"/>
  <c r="BK553" i="54" s="1"/>
  <c r="BJ550" i="54"/>
  <c r="BI550" i="54"/>
  <c r="BK550" i="54" s="1"/>
  <c r="BJ547" i="54"/>
  <c r="BI547" i="54"/>
  <c r="BK547" i="54" s="1"/>
  <c r="BJ542" i="54"/>
  <c r="BI542" i="54"/>
  <c r="BK542" i="54" s="1"/>
  <c r="BJ539" i="54"/>
  <c r="BI539" i="54"/>
  <c r="BK539" i="54" s="1"/>
  <c r="BJ536" i="54"/>
  <c r="BB536" i="54" s="1"/>
  <c r="BI536" i="54"/>
  <c r="BK536" i="54" s="1"/>
  <c r="BJ533" i="54"/>
  <c r="BI533" i="54"/>
  <c r="BK533" i="54" s="1"/>
  <c r="BJ530" i="54"/>
  <c r="BI530" i="54"/>
  <c r="BK530" i="54" s="1"/>
  <c r="BJ527" i="54"/>
  <c r="BI527" i="54"/>
  <c r="BK527" i="54" s="1"/>
  <c r="BJ524" i="54"/>
  <c r="BB524" i="54" s="1"/>
  <c r="BI524" i="54"/>
  <c r="BK524" i="54" s="1"/>
  <c r="BJ521" i="54"/>
  <c r="BI521" i="54"/>
  <c r="BK521" i="54" s="1"/>
  <c r="BJ518" i="54"/>
  <c r="BI518" i="54"/>
  <c r="BK518" i="54" s="1"/>
  <c r="BJ503" i="54"/>
  <c r="BI503" i="54"/>
  <c r="BK503" i="54" s="1"/>
  <c r="BJ500" i="54"/>
  <c r="BI500" i="54"/>
  <c r="BK500" i="54" s="1"/>
  <c r="BJ497" i="54"/>
  <c r="BI497" i="54"/>
  <c r="BK497" i="54" s="1"/>
  <c r="BJ494" i="54"/>
  <c r="BI494" i="54"/>
  <c r="BK494" i="54" s="1"/>
  <c r="BJ491" i="54"/>
  <c r="BI491" i="54"/>
  <c r="BK491" i="54" s="1"/>
  <c r="BJ486" i="54"/>
  <c r="BI486" i="54"/>
  <c r="BK486" i="54" s="1"/>
  <c r="BJ483" i="54"/>
  <c r="BI483" i="54"/>
  <c r="BK483" i="54" s="1"/>
  <c r="BJ480" i="54"/>
  <c r="BI480" i="54"/>
  <c r="BK480" i="54" s="1"/>
  <c r="BJ477" i="54"/>
  <c r="BI477" i="54"/>
  <c r="BK477" i="54" s="1"/>
  <c r="BJ474" i="54"/>
  <c r="BI474" i="54"/>
  <c r="BK474" i="54" s="1"/>
  <c r="BJ471" i="54"/>
  <c r="BI471" i="54"/>
  <c r="BK471" i="54" s="1"/>
  <c r="BJ468" i="54"/>
  <c r="BI468" i="54"/>
  <c r="BK468" i="54" s="1"/>
  <c r="BJ465" i="54"/>
  <c r="BI465" i="54"/>
  <c r="BK465" i="54" s="1"/>
  <c r="BJ462" i="54"/>
  <c r="BI462" i="54"/>
  <c r="BK462" i="54" s="1"/>
  <c r="BJ447" i="54"/>
  <c r="BI447" i="54"/>
  <c r="BK447" i="54" s="1"/>
  <c r="BJ444" i="54"/>
  <c r="BI444" i="54"/>
  <c r="BK444" i="54" s="1"/>
  <c r="BJ441" i="54"/>
  <c r="BI441" i="54"/>
  <c r="BK441" i="54" s="1"/>
  <c r="BJ438" i="54"/>
  <c r="BI438" i="54"/>
  <c r="BK438" i="54" s="1"/>
  <c r="BJ435" i="54"/>
  <c r="BI435" i="54"/>
  <c r="BK435" i="54" s="1"/>
  <c r="BJ430" i="54"/>
  <c r="BI430" i="54"/>
  <c r="BK430" i="54" s="1"/>
  <c r="BJ427" i="54"/>
  <c r="BI427" i="54"/>
  <c r="BK427" i="54" s="1"/>
  <c r="BJ424" i="54"/>
  <c r="BI424" i="54"/>
  <c r="BK424" i="54" s="1"/>
  <c r="BJ421" i="54"/>
  <c r="BI421" i="54"/>
  <c r="BK421" i="54" s="1"/>
  <c r="BJ418" i="54"/>
  <c r="BI418" i="54"/>
  <c r="BK418" i="54" s="1"/>
  <c r="BJ415" i="54"/>
  <c r="BI415" i="54"/>
  <c r="BK415" i="54" s="1"/>
  <c r="BJ412" i="54"/>
  <c r="BI412" i="54"/>
  <c r="BK412" i="54" s="1"/>
  <c r="BJ409" i="54"/>
  <c r="BI409" i="54"/>
  <c r="BK409" i="54" s="1"/>
  <c r="BJ406" i="54"/>
  <c r="BI406" i="54"/>
  <c r="BK406" i="54" s="1"/>
  <c r="BJ391" i="54"/>
  <c r="BI391" i="54"/>
  <c r="BK391" i="54" s="1"/>
  <c r="BJ388" i="54"/>
  <c r="BI388" i="54"/>
  <c r="BK388" i="54" s="1"/>
  <c r="BJ385" i="54"/>
  <c r="BI385" i="54"/>
  <c r="BK385" i="54" s="1"/>
  <c r="BJ382" i="54"/>
  <c r="BI382" i="54"/>
  <c r="BK382" i="54" s="1"/>
  <c r="BJ379" i="54"/>
  <c r="BI379" i="54"/>
  <c r="BK379" i="54" s="1"/>
  <c r="BJ374" i="54"/>
  <c r="BI374" i="54"/>
  <c r="BK374" i="54" s="1"/>
  <c r="BJ371" i="54"/>
  <c r="BI371" i="54"/>
  <c r="BK371" i="54" s="1"/>
  <c r="BJ368" i="54"/>
  <c r="BB368" i="54" s="1"/>
  <c r="BI368" i="54"/>
  <c r="BK368" i="54" s="1"/>
  <c r="BJ365" i="54"/>
  <c r="BI365" i="54"/>
  <c r="BK365" i="54" s="1"/>
  <c r="BJ362" i="54"/>
  <c r="BI362" i="54"/>
  <c r="BK362" i="54" s="1"/>
  <c r="BJ359" i="54"/>
  <c r="BI359" i="54"/>
  <c r="BK359" i="54" s="1"/>
  <c r="BJ356" i="54"/>
  <c r="BB356" i="54" s="1"/>
  <c r="BI356" i="54"/>
  <c r="BK356" i="54" s="1"/>
  <c r="BJ353" i="54"/>
  <c r="BI353" i="54"/>
  <c r="BK353" i="54" s="1"/>
  <c r="BJ350" i="54"/>
  <c r="BI350" i="54"/>
  <c r="BK350" i="54" s="1"/>
  <c r="BJ335" i="54"/>
  <c r="BI335" i="54"/>
  <c r="BK335" i="54" s="1"/>
  <c r="BJ332" i="54"/>
  <c r="BI332" i="54"/>
  <c r="BK332" i="54" s="1"/>
  <c r="BJ329" i="54"/>
  <c r="BI329" i="54"/>
  <c r="BK329" i="54" s="1"/>
  <c r="BJ326" i="54"/>
  <c r="BI326" i="54"/>
  <c r="BK326" i="54" s="1"/>
  <c r="BJ323" i="54"/>
  <c r="BI323" i="54"/>
  <c r="BK323" i="54" s="1"/>
  <c r="BJ318" i="54"/>
  <c r="BI318" i="54"/>
  <c r="BK318" i="54" s="1"/>
  <c r="BJ315" i="54"/>
  <c r="BI315" i="54"/>
  <c r="BK315" i="54" s="1"/>
  <c r="BJ312" i="54"/>
  <c r="BB312" i="54" s="1"/>
  <c r="BI312" i="54"/>
  <c r="BK312" i="54" s="1"/>
  <c r="BJ309" i="54"/>
  <c r="BI309" i="54"/>
  <c r="BK309" i="54" s="1"/>
  <c r="BJ306" i="54"/>
  <c r="BI306" i="54"/>
  <c r="BK306" i="54" s="1"/>
  <c r="BJ303" i="54"/>
  <c r="BI303" i="54"/>
  <c r="BK303" i="54" s="1"/>
  <c r="BJ300" i="54"/>
  <c r="BI300" i="54"/>
  <c r="BK300" i="54" s="1"/>
  <c r="BJ297" i="54"/>
  <c r="BI297" i="54"/>
  <c r="BK297" i="54" s="1"/>
  <c r="BJ294" i="54"/>
  <c r="BI294" i="54"/>
  <c r="BK294" i="54" s="1"/>
  <c r="BJ279" i="54"/>
  <c r="BI279" i="54"/>
  <c r="BK279" i="54" s="1"/>
  <c r="BJ276" i="54"/>
  <c r="BI276" i="54"/>
  <c r="BK276" i="54" s="1"/>
  <c r="BJ273" i="54"/>
  <c r="BI273" i="54"/>
  <c r="BK273" i="54" s="1"/>
  <c r="BJ270" i="54"/>
  <c r="BI270" i="54"/>
  <c r="BK270" i="54" s="1"/>
  <c r="BJ267" i="54"/>
  <c r="BI267" i="54"/>
  <c r="BK267" i="54" s="1"/>
  <c r="BJ262" i="54"/>
  <c r="BI262" i="54"/>
  <c r="BK262" i="54" s="1"/>
  <c r="BJ259" i="54"/>
  <c r="BI259" i="54"/>
  <c r="BK259" i="54" s="1"/>
  <c r="BJ256" i="54"/>
  <c r="BI256" i="54"/>
  <c r="BK256" i="54" s="1"/>
  <c r="BJ253" i="54"/>
  <c r="BI253" i="54"/>
  <c r="BK253" i="54" s="1"/>
  <c r="BJ250" i="54"/>
  <c r="BI250" i="54"/>
  <c r="BK250" i="54" s="1"/>
  <c r="BJ247" i="54"/>
  <c r="BI247" i="54"/>
  <c r="BK247" i="54" s="1"/>
  <c r="BJ244" i="54"/>
  <c r="BI244" i="54"/>
  <c r="BK244" i="54" s="1"/>
  <c r="BJ241" i="54"/>
  <c r="BI241" i="54"/>
  <c r="BK241" i="54" s="1"/>
  <c r="BJ238" i="54"/>
  <c r="BI238" i="54"/>
  <c r="BK238" i="54" s="1"/>
  <c r="BJ224" i="54"/>
  <c r="BI224" i="54"/>
  <c r="BK224" i="54" s="1"/>
  <c r="BJ221" i="54"/>
  <c r="BI221" i="54"/>
  <c r="BK221" i="54" s="1"/>
  <c r="BJ218" i="54"/>
  <c r="BI218" i="54"/>
  <c r="BK218" i="54" s="1"/>
  <c r="BJ215" i="54"/>
  <c r="BI215" i="54"/>
  <c r="BK215" i="54" s="1"/>
  <c r="BJ212" i="54"/>
  <c r="BI212" i="54"/>
  <c r="BK212" i="54" s="1"/>
  <c r="BJ207" i="54"/>
  <c r="BI207" i="54"/>
  <c r="BK207" i="54" s="1"/>
  <c r="BJ204" i="54"/>
  <c r="BI204" i="54"/>
  <c r="BK204" i="54" s="1"/>
  <c r="BJ201" i="54"/>
  <c r="BI201" i="54"/>
  <c r="BK201" i="54" s="1"/>
  <c r="BJ198" i="54"/>
  <c r="BI198" i="54"/>
  <c r="BK198" i="54" s="1"/>
  <c r="BJ195" i="54"/>
  <c r="BI195" i="54"/>
  <c r="BK195" i="54" s="1"/>
  <c r="BJ192" i="54"/>
  <c r="BI192" i="54"/>
  <c r="BK192" i="54" s="1"/>
  <c r="BJ189" i="54"/>
  <c r="BI189" i="54"/>
  <c r="BK189" i="54" s="1"/>
  <c r="BJ186" i="54"/>
  <c r="BI186" i="54"/>
  <c r="BK186" i="54" s="1"/>
  <c r="BJ183" i="54"/>
  <c r="BI183" i="54"/>
  <c r="BK183" i="54" s="1"/>
  <c r="BJ169" i="54"/>
  <c r="BI169" i="54"/>
  <c r="BK169" i="54" s="1"/>
  <c r="BJ166" i="54"/>
  <c r="BI166" i="54"/>
  <c r="BK166" i="54" s="1"/>
  <c r="BJ163" i="54"/>
  <c r="BI163" i="54"/>
  <c r="BK163" i="54" s="1"/>
  <c r="BJ160" i="54"/>
  <c r="BI160" i="54"/>
  <c r="BK160" i="54" s="1"/>
  <c r="BJ157" i="54"/>
  <c r="BI157" i="54"/>
  <c r="BK157" i="54" s="1"/>
  <c r="BJ152" i="54"/>
  <c r="BI152" i="54"/>
  <c r="BK152" i="54" s="1"/>
  <c r="BJ149" i="54"/>
  <c r="BI149" i="54"/>
  <c r="BK149" i="54" s="1"/>
  <c r="BJ146" i="54"/>
  <c r="BI146" i="54"/>
  <c r="BK146" i="54" s="1"/>
  <c r="BJ143" i="54"/>
  <c r="BI143" i="54"/>
  <c r="BK143" i="54" s="1"/>
  <c r="BJ140" i="54"/>
  <c r="BI140" i="54"/>
  <c r="BK140" i="54" s="1"/>
  <c r="BJ137" i="54"/>
  <c r="BI137" i="54"/>
  <c r="BK137" i="54" s="1"/>
  <c r="BJ134" i="54"/>
  <c r="BI134" i="54"/>
  <c r="BK134" i="54" s="1"/>
  <c r="BJ131" i="54"/>
  <c r="BI131" i="54"/>
  <c r="BK131" i="54" s="1"/>
  <c r="BJ128" i="54"/>
  <c r="BI128" i="54"/>
  <c r="BK128" i="54" s="1"/>
  <c r="BJ114" i="54"/>
  <c r="BI114" i="54"/>
  <c r="BK114" i="54" s="1"/>
  <c r="BJ111" i="54"/>
  <c r="BI111" i="54"/>
  <c r="BK111" i="54" s="1"/>
  <c r="BJ108" i="54"/>
  <c r="BI108" i="54"/>
  <c r="BK108" i="54" s="1"/>
  <c r="BJ105" i="54"/>
  <c r="BI105" i="54"/>
  <c r="BK105" i="54" s="1"/>
  <c r="BJ102" i="54"/>
  <c r="BI102" i="54"/>
  <c r="BK102" i="54" s="1"/>
  <c r="BJ97" i="54"/>
  <c r="BI97" i="54"/>
  <c r="BK97" i="54" s="1"/>
  <c r="BJ94" i="54"/>
  <c r="BI94" i="54"/>
  <c r="BK94" i="54" s="1"/>
  <c r="BJ91" i="54"/>
  <c r="BI91" i="54"/>
  <c r="BK91" i="54" s="1"/>
  <c r="BJ88" i="54"/>
  <c r="BI88" i="54"/>
  <c r="BK88" i="54" s="1"/>
  <c r="BJ85" i="54"/>
  <c r="BI85" i="54"/>
  <c r="BK85" i="54" s="1"/>
  <c r="BJ82" i="54"/>
  <c r="BI82" i="54"/>
  <c r="BK82" i="54" s="1"/>
  <c r="BJ79" i="54"/>
  <c r="BI79" i="54"/>
  <c r="BK79" i="54" s="1"/>
  <c r="BJ76" i="54"/>
  <c r="BI76" i="54"/>
  <c r="BK76" i="54" s="1"/>
  <c r="BJ73" i="54"/>
  <c r="BI73" i="54"/>
  <c r="BK73" i="54" s="1"/>
  <c r="BJ58" i="54"/>
  <c r="BJ55" i="54"/>
  <c r="BI55" i="54"/>
  <c r="BJ52" i="54"/>
  <c r="BI52" i="54"/>
  <c r="BJ49" i="54"/>
  <c r="BI49" i="54"/>
  <c r="BI46" i="54"/>
  <c r="BJ46" i="54"/>
  <c r="BJ41" i="54"/>
  <c r="BI41" i="54"/>
  <c r="BK41" i="54" s="1"/>
  <c r="BJ38" i="54"/>
  <c r="BI38" i="54"/>
  <c r="BK38" i="54" s="1"/>
  <c r="BJ35" i="54"/>
  <c r="BI35" i="54"/>
  <c r="BK35" i="54" s="1"/>
  <c r="BJ32" i="54"/>
  <c r="BI32" i="54"/>
  <c r="BK32" i="54" s="1"/>
  <c r="BJ29" i="54"/>
  <c r="BI29" i="54"/>
  <c r="BK29" i="54" s="1"/>
  <c r="BJ26" i="54"/>
  <c r="BI26" i="54"/>
  <c r="BK26" i="54" s="1"/>
  <c r="BJ23" i="54"/>
  <c r="BI23" i="54"/>
  <c r="BK23" i="54" s="1"/>
  <c r="BJ20" i="54"/>
  <c r="BI20" i="54"/>
  <c r="BK20" i="54" s="1"/>
  <c r="BJ17" i="54"/>
  <c r="BI17" i="54"/>
  <c r="I17" i="54"/>
  <c r="H16" i="54"/>
  <c r="M17" i="54"/>
  <c r="I20" i="54"/>
  <c r="I41" i="54"/>
  <c r="I38" i="54"/>
  <c r="I35" i="54"/>
  <c r="I32" i="54"/>
  <c r="I29" i="54"/>
  <c r="I26" i="54"/>
  <c r="I23" i="54"/>
  <c r="AJ17" i="54"/>
  <c r="AT17" i="54" s="1"/>
  <c r="E17" i="54" s="1"/>
  <c r="AJ41" i="54"/>
  <c r="AI41" i="54"/>
  <c r="AG41" i="54"/>
  <c r="AE41" i="54"/>
  <c r="AC41" i="54"/>
  <c r="AA41" i="54"/>
  <c r="Y41" i="54"/>
  <c r="W41" i="54"/>
  <c r="U41" i="54"/>
  <c r="S41" i="54"/>
  <c r="Q41" i="54"/>
  <c r="AJ38" i="54"/>
  <c r="AI38" i="54"/>
  <c r="AG38" i="54"/>
  <c r="AE38" i="54"/>
  <c r="AC38" i="54"/>
  <c r="AA38" i="54"/>
  <c r="Y38" i="54"/>
  <c r="W38" i="54"/>
  <c r="U38" i="54"/>
  <c r="S38" i="54"/>
  <c r="Q38" i="54"/>
  <c r="AJ35" i="54"/>
  <c r="AT35" i="54" s="1"/>
  <c r="BC35" i="54" s="1"/>
  <c r="AI35" i="54"/>
  <c r="AG35" i="54"/>
  <c r="AE35" i="54"/>
  <c r="AC35" i="54"/>
  <c r="AA35" i="54"/>
  <c r="Y35" i="54"/>
  <c r="W35" i="54"/>
  <c r="U35" i="54"/>
  <c r="S35" i="54"/>
  <c r="Q35" i="54"/>
  <c r="AJ32" i="54"/>
  <c r="AI32" i="54"/>
  <c r="AG32" i="54"/>
  <c r="AE32" i="54"/>
  <c r="AC32" i="54"/>
  <c r="AA32" i="54"/>
  <c r="Y32" i="54"/>
  <c r="W32" i="54"/>
  <c r="U32" i="54"/>
  <c r="S32" i="54"/>
  <c r="Q32" i="54"/>
  <c r="AJ29" i="54"/>
  <c r="AT29" i="54" s="1"/>
  <c r="E29" i="54" s="1"/>
  <c r="AI29" i="54"/>
  <c r="AG29" i="54"/>
  <c r="AE29" i="54"/>
  <c r="AC29" i="54"/>
  <c r="AA29" i="54"/>
  <c r="Y29" i="54"/>
  <c r="W29" i="54"/>
  <c r="U29" i="54"/>
  <c r="S29" i="54"/>
  <c r="Q29" i="54"/>
  <c r="AJ26" i="54"/>
  <c r="AI26" i="54"/>
  <c r="AG26" i="54"/>
  <c r="AE26" i="54"/>
  <c r="AC26" i="54"/>
  <c r="AA26" i="54"/>
  <c r="Y26" i="54"/>
  <c r="W26" i="54"/>
  <c r="U26" i="54"/>
  <c r="S26" i="54"/>
  <c r="Q26" i="54"/>
  <c r="AJ23" i="54"/>
  <c r="AI23" i="54"/>
  <c r="AG23" i="54"/>
  <c r="AE23" i="54"/>
  <c r="AC23" i="54"/>
  <c r="AA23" i="54"/>
  <c r="Y23" i="54"/>
  <c r="W23" i="54"/>
  <c r="U23" i="54"/>
  <c r="S23" i="54"/>
  <c r="Q23" i="54"/>
  <c r="BE20" i="54"/>
  <c r="AJ58" i="54"/>
  <c r="AI58" i="54" s="1"/>
  <c r="AJ49" i="54"/>
  <c r="AI49" i="54" s="1"/>
  <c r="I46" i="54"/>
  <c r="M58" i="54"/>
  <c r="M55" i="54"/>
  <c r="M52" i="54"/>
  <c r="M49" i="54"/>
  <c r="AJ55" i="54"/>
  <c r="AI55" i="54" s="1"/>
  <c r="BB140" i="54" l="1"/>
  <c r="BB134" i="54"/>
  <c r="BB244" i="54"/>
  <c r="BB477" i="54"/>
  <c r="BB256" i="54"/>
  <c r="BB131" i="54"/>
  <c r="BB26" i="54"/>
  <c r="BB85" i="54"/>
  <c r="BB91" i="54"/>
  <c r="BB149" i="54"/>
  <c r="BB195" i="54"/>
  <c r="BB207" i="54"/>
  <c r="BB241" i="54"/>
  <c r="BB250" i="54"/>
  <c r="BB415" i="54"/>
  <c r="BB424" i="54"/>
  <c r="BB465" i="54"/>
  <c r="BB521" i="54"/>
  <c r="BB530" i="54"/>
  <c r="BB539" i="54"/>
  <c r="BB189" i="54"/>
  <c r="BB201" i="54"/>
  <c r="BB259" i="54"/>
  <c r="BB297" i="54"/>
  <c r="BB306" i="54"/>
  <c r="BB365" i="54"/>
  <c r="BB371" i="54"/>
  <c r="BB430" i="54"/>
  <c r="BB462" i="54"/>
  <c r="BB474" i="54"/>
  <c r="BB527" i="54"/>
  <c r="BB315" i="54"/>
  <c r="BB128" i="54"/>
  <c r="BB198" i="54"/>
  <c r="BB374" i="54"/>
  <c r="BB238" i="54"/>
  <c r="BB294" i="54"/>
  <c r="BB471" i="54"/>
  <c r="BB421" i="54"/>
  <c r="BB79" i="54"/>
  <c r="BB183" i="54"/>
  <c r="BB253" i="54"/>
  <c r="BB300" i="54"/>
  <c r="BB309" i="54"/>
  <c r="BB350" i="54"/>
  <c r="BB359" i="54"/>
  <c r="BB409" i="54"/>
  <c r="BB533" i="54"/>
  <c r="BB362" i="54"/>
  <c r="BB82" i="54"/>
  <c r="BB247" i="54"/>
  <c r="BB353" i="54"/>
  <c r="BB88" i="54"/>
  <c r="BB137" i="54"/>
  <c r="BB143" i="54"/>
  <c r="BB192" i="54"/>
  <c r="BB204" i="54"/>
  <c r="BB262" i="54"/>
  <c r="BB418" i="54"/>
  <c r="BB468" i="54"/>
  <c r="BB486" i="54"/>
  <c r="BB483" i="54"/>
  <c r="BB412" i="54"/>
  <c r="BB186" i="54"/>
  <c r="BB303" i="54"/>
  <c r="BB518" i="54"/>
  <c r="BB97" i="54"/>
  <c r="BB480" i="54"/>
  <c r="BB76" i="54"/>
  <c r="BB94" i="54"/>
  <c r="BB152" i="54"/>
  <c r="BB318" i="54"/>
  <c r="BB406" i="54"/>
  <c r="BB427" i="54"/>
  <c r="BB542" i="54"/>
  <c r="BK46" i="54"/>
  <c r="BK49" i="54"/>
  <c r="BB41" i="54"/>
  <c r="U55" i="54"/>
  <c r="BK55" i="54"/>
  <c r="BK52" i="54"/>
  <c r="BI58" i="54"/>
  <c r="BK58" i="54" s="1"/>
  <c r="AT58" i="54"/>
  <c r="AT55" i="54"/>
  <c r="AT49" i="54"/>
  <c r="BC49" i="54" s="1"/>
  <c r="BK17" i="54"/>
  <c r="AG17" i="54" s="1"/>
  <c r="AT26" i="54"/>
  <c r="BC29" i="54"/>
  <c r="BB17" i="54"/>
  <c r="BC17" i="54"/>
  <c r="AT41" i="54"/>
  <c r="BC41" i="54" s="1"/>
  <c r="AT38" i="54"/>
  <c r="BC38" i="54" s="1"/>
  <c r="AT32" i="54"/>
  <c r="BC32" i="54" s="1"/>
  <c r="AT23" i="54"/>
  <c r="BB29" i="54"/>
  <c r="BB35" i="54"/>
  <c r="E35" i="54"/>
  <c r="K35" i="54" s="1"/>
  <c r="BB38" i="54"/>
  <c r="BB32" i="54"/>
  <c r="BB23" i="54"/>
  <c r="AI17" i="54"/>
  <c r="AE17" i="54"/>
  <c r="AA17" i="54"/>
  <c r="AC17" i="54"/>
  <c r="Y17" i="54"/>
  <c r="W17" i="54"/>
  <c r="U17" i="54"/>
  <c r="Q17" i="54"/>
  <c r="S17" i="54"/>
  <c r="E556" i="54"/>
  <c r="E497" i="54"/>
  <c r="S121" i="75"/>
  <c r="S108" i="75"/>
  <c r="E385" i="54"/>
  <c r="E276" i="54"/>
  <c r="S51" i="75"/>
  <c r="S38" i="75"/>
  <c r="S37" i="75"/>
  <c r="U58" i="54"/>
  <c r="W58" i="54"/>
  <c r="Y58" i="54"/>
  <c r="AA58" i="54"/>
  <c r="AJ52" i="54"/>
  <c r="W52" i="54" s="1"/>
  <c r="AC58" i="54"/>
  <c r="AE58" i="54"/>
  <c r="Q58" i="54"/>
  <c r="AG58" i="54"/>
  <c r="S58" i="54"/>
  <c r="W55" i="54"/>
  <c r="Y55" i="54"/>
  <c r="AA55" i="54"/>
  <c r="AE55" i="54"/>
  <c r="Q55" i="54"/>
  <c r="AG55" i="54"/>
  <c r="AC55" i="54"/>
  <c r="S55" i="54"/>
  <c r="U49" i="54"/>
  <c r="W49" i="54"/>
  <c r="Y49" i="54"/>
  <c r="AA49" i="54"/>
  <c r="AC49" i="54"/>
  <c r="AE49" i="54"/>
  <c r="Q49" i="54"/>
  <c r="AG49" i="54"/>
  <c r="S49" i="54"/>
  <c r="I11" i="77"/>
  <c r="BK109" i="74"/>
  <c r="BM109" i="74" s="1"/>
  <c r="BJ109" i="74"/>
  <c r="BR109" i="74" s="1"/>
  <c r="BC109" i="74"/>
  <c r="AN109" i="74"/>
  <c r="AL109" i="74"/>
  <c r="BK108" i="74"/>
  <c r="BM108" i="74" s="1"/>
  <c r="BJ108" i="74"/>
  <c r="BR108" i="74" s="1"/>
  <c r="BC108" i="74"/>
  <c r="AN108" i="74"/>
  <c r="AL108" i="74"/>
  <c r="BK107" i="74"/>
  <c r="BM107" i="74" s="1"/>
  <c r="BC107" i="74"/>
  <c r="AL107" i="74"/>
  <c r="AK107" i="74"/>
  <c r="BG107" i="74" s="1"/>
  <c r="BK106" i="74"/>
  <c r="BM106" i="74" s="1"/>
  <c r="BC106" i="74"/>
  <c r="AL106" i="74"/>
  <c r="AK106" i="74"/>
  <c r="BG106" i="74" s="1"/>
  <c r="BK105" i="74"/>
  <c r="BM105" i="74" s="1"/>
  <c r="BG105" i="74"/>
  <c r="AJ100" i="74" s="1"/>
  <c r="BC105" i="74"/>
  <c r="AL105" i="74"/>
  <c r="AK105" i="74"/>
  <c r="BK104" i="74"/>
  <c r="BM104" i="74" s="1"/>
  <c r="BC104" i="74"/>
  <c r="AL104" i="74"/>
  <c r="AK104" i="74"/>
  <c r="BG104" i="74" s="1"/>
  <c r="BK103" i="74"/>
  <c r="BM103" i="74" s="1"/>
  <c r="BC103" i="74"/>
  <c r="AN103" i="74"/>
  <c r="AL103" i="74"/>
  <c r="AK103" i="74"/>
  <c r="BG103" i="74" s="1"/>
  <c r="BK102" i="74"/>
  <c r="BM102" i="74" s="1"/>
  <c r="BC102" i="74"/>
  <c r="AN102" i="74"/>
  <c r="AL102" i="74"/>
  <c r="AK102" i="74"/>
  <c r="BG102" i="74" s="1"/>
  <c r="BK101" i="74"/>
  <c r="BM101" i="74" s="1"/>
  <c r="BC101" i="74"/>
  <c r="AN101" i="74"/>
  <c r="AL101" i="74"/>
  <c r="AK101" i="74"/>
  <c r="BG101" i="74" s="1"/>
  <c r="BK100" i="74"/>
  <c r="BM100" i="74" s="1"/>
  <c r="BJ100" i="74"/>
  <c r="BR100" i="74" s="1"/>
  <c r="BC100" i="74"/>
  <c r="AN100" i="74"/>
  <c r="AL100" i="74"/>
  <c r="AK100" i="74"/>
  <c r="BG100" i="74" s="1"/>
  <c r="BK99" i="74"/>
  <c r="BM99" i="74" s="1"/>
  <c r="BJ99" i="74"/>
  <c r="BR99" i="74" s="1"/>
  <c r="BC99" i="74"/>
  <c r="AN99" i="74"/>
  <c r="AL99" i="74"/>
  <c r="AK99" i="74"/>
  <c r="BG99" i="74" s="1"/>
  <c r="BK98" i="74"/>
  <c r="BM98" i="74" s="1"/>
  <c r="BJ98" i="74"/>
  <c r="BR98" i="74" s="1"/>
  <c r="BC98" i="74"/>
  <c r="AN98" i="74"/>
  <c r="AL98" i="74"/>
  <c r="AK98" i="74"/>
  <c r="BG98" i="74" s="1"/>
  <c r="BK97" i="74"/>
  <c r="BM97" i="74" s="1"/>
  <c r="BJ97" i="74"/>
  <c r="BR97" i="74" s="1"/>
  <c r="BC97" i="74"/>
  <c r="AN97" i="74"/>
  <c r="AL97" i="74"/>
  <c r="AK97" i="74"/>
  <c r="BG97" i="74" s="1"/>
  <c r="BK96" i="74"/>
  <c r="BM96" i="74" s="1"/>
  <c r="BJ96" i="74"/>
  <c r="BR96" i="74" s="1"/>
  <c r="BC96" i="74"/>
  <c r="AN96" i="74"/>
  <c r="AL96" i="74"/>
  <c r="AK96" i="74"/>
  <c r="BG96" i="74" s="1"/>
  <c r="BK95" i="74"/>
  <c r="BM95" i="74" s="1"/>
  <c r="BJ95" i="74"/>
  <c r="BR95" i="74" s="1"/>
  <c r="BC95" i="74"/>
  <c r="AN95" i="74"/>
  <c r="AL95" i="74"/>
  <c r="AK95" i="74"/>
  <c r="BG95" i="74" s="1"/>
  <c r="BK94" i="74"/>
  <c r="BM94" i="74" s="1"/>
  <c r="BJ94" i="74"/>
  <c r="BR94" i="74" s="1"/>
  <c r="BC94" i="74"/>
  <c r="AN94" i="74"/>
  <c r="AL94" i="74"/>
  <c r="AK94" i="74"/>
  <c r="BG94" i="74" s="1"/>
  <c r="BK93" i="74"/>
  <c r="BM93" i="74" s="1"/>
  <c r="BC93" i="74"/>
  <c r="AL93" i="74"/>
  <c r="BK92" i="74"/>
  <c r="BM92" i="74" s="1"/>
  <c r="BC92" i="74"/>
  <c r="AL92" i="74"/>
  <c r="BK91" i="74"/>
  <c r="BM91" i="74" s="1"/>
  <c r="BC91" i="74"/>
  <c r="AL91" i="74"/>
  <c r="BK90" i="74"/>
  <c r="BM90" i="74" s="1"/>
  <c r="BC90" i="74"/>
  <c r="AL90" i="74"/>
  <c r="BK89" i="74"/>
  <c r="BM89" i="74" s="1"/>
  <c r="BC89" i="74"/>
  <c r="AN89" i="74"/>
  <c r="AL89" i="74"/>
  <c r="BK88" i="74"/>
  <c r="BM88" i="74" s="1"/>
  <c r="BC88" i="74"/>
  <c r="AN88" i="74"/>
  <c r="AL88" i="74"/>
  <c r="BK87" i="74"/>
  <c r="BM87" i="74" s="1"/>
  <c r="BC87" i="74"/>
  <c r="AN87" i="74"/>
  <c r="AL87" i="74"/>
  <c r="BK86" i="74"/>
  <c r="BM86" i="74" s="1"/>
  <c r="BJ86" i="74"/>
  <c r="BR86" i="74" s="1"/>
  <c r="BC86" i="74"/>
  <c r="AN86" i="74"/>
  <c r="AL86" i="74"/>
  <c r="BK85" i="74"/>
  <c r="BM85" i="74" s="1"/>
  <c r="BJ85" i="74"/>
  <c r="BR85" i="74" s="1"/>
  <c r="BC85" i="74"/>
  <c r="AN85" i="74"/>
  <c r="AL85" i="74"/>
  <c r="BK84" i="74"/>
  <c r="BM84" i="74" s="1"/>
  <c r="BJ84" i="74"/>
  <c r="BR84" i="74" s="1"/>
  <c r="BC84" i="74"/>
  <c r="AN84" i="74"/>
  <c r="AL84" i="74"/>
  <c r="BK83" i="74"/>
  <c r="BM83" i="74" s="1"/>
  <c r="BJ83" i="74"/>
  <c r="BR83" i="74" s="1"/>
  <c r="BC83" i="74"/>
  <c r="AN83" i="74"/>
  <c r="AL83" i="74"/>
  <c r="BK82" i="74"/>
  <c r="BM82" i="74" s="1"/>
  <c r="BJ82" i="74"/>
  <c r="BR82" i="74" s="1"/>
  <c r="BC82" i="74"/>
  <c r="AN82" i="74"/>
  <c r="AL82" i="74"/>
  <c r="BK81" i="74"/>
  <c r="BM81" i="74" s="1"/>
  <c r="BJ81" i="74"/>
  <c r="BR81" i="74" s="1"/>
  <c r="BC81" i="74"/>
  <c r="AN81" i="74"/>
  <c r="AL81" i="74"/>
  <c r="BK80" i="74"/>
  <c r="BM80" i="74" s="1"/>
  <c r="BJ80" i="74"/>
  <c r="BR80" i="74" s="1"/>
  <c r="BC80" i="74"/>
  <c r="AN80" i="74"/>
  <c r="AL80" i="74"/>
  <c r="BK79" i="74"/>
  <c r="BM79" i="74" s="1"/>
  <c r="BC79" i="74"/>
  <c r="AL79" i="74"/>
  <c r="AK79" i="74"/>
  <c r="BG79" i="74" s="1"/>
  <c r="BK78" i="74"/>
  <c r="BM78" i="74" s="1"/>
  <c r="BC78" i="74"/>
  <c r="AL78" i="74"/>
  <c r="AK78" i="74"/>
  <c r="BG78" i="74" s="1"/>
  <c r="BK77" i="74"/>
  <c r="BM77" i="74" s="1"/>
  <c r="BC77" i="74"/>
  <c r="AL77" i="74"/>
  <c r="AK77" i="74"/>
  <c r="BG77" i="74" s="1"/>
  <c r="BK76" i="74"/>
  <c r="BM76" i="74" s="1"/>
  <c r="BC76" i="74"/>
  <c r="AL76" i="74"/>
  <c r="AK76" i="74"/>
  <c r="BG76" i="74" s="1"/>
  <c r="BK75" i="74"/>
  <c r="BM75" i="74" s="1"/>
  <c r="BC75" i="74"/>
  <c r="AN75" i="74"/>
  <c r="AL75" i="74"/>
  <c r="AK75" i="74"/>
  <c r="BG75" i="74" s="1"/>
  <c r="BK74" i="74"/>
  <c r="BM74" i="74" s="1"/>
  <c r="BC74" i="74"/>
  <c r="AN74" i="74"/>
  <c r="AL74" i="74"/>
  <c r="AK74" i="74"/>
  <c r="BG74" i="74" s="1"/>
  <c r="BK73" i="74"/>
  <c r="BM73" i="74" s="1"/>
  <c r="BC73" i="74"/>
  <c r="AN73" i="74"/>
  <c r="AL73" i="74"/>
  <c r="AK73" i="74"/>
  <c r="BG73" i="74" s="1"/>
  <c r="BK72" i="74"/>
  <c r="BM72" i="74" s="1"/>
  <c r="BJ72" i="74"/>
  <c r="BR72" i="74" s="1"/>
  <c r="BC72" i="74"/>
  <c r="AN72" i="74"/>
  <c r="AL72" i="74"/>
  <c r="AK72" i="74"/>
  <c r="BG72" i="74" s="1"/>
  <c r="BK71" i="74"/>
  <c r="BM71" i="74" s="1"/>
  <c r="BJ71" i="74"/>
  <c r="BR71" i="74" s="1"/>
  <c r="BC71" i="74"/>
  <c r="AN71" i="74"/>
  <c r="AL71" i="74"/>
  <c r="AK71" i="74"/>
  <c r="BG71" i="74" s="1"/>
  <c r="BK70" i="74"/>
  <c r="BM70" i="74" s="1"/>
  <c r="BJ70" i="74"/>
  <c r="BR70" i="74" s="1"/>
  <c r="BC70" i="74"/>
  <c r="AN70" i="74"/>
  <c r="AL70" i="74"/>
  <c r="AK70" i="74"/>
  <c r="BG70" i="74" s="1"/>
  <c r="BK69" i="74"/>
  <c r="BM69" i="74" s="1"/>
  <c r="BJ69" i="74"/>
  <c r="BR69" i="74" s="1"/>
  <c r="BC69" i="74"/>
  <c r="AN69" i="74"/>
  <c r="AL69" i="74"/>
  <c r="AK69" i="74"/>
  <c r="BG69" i="74" s="1"/>
  <c r="BK68" i="74"/>
  <c r="BM68" i="74" s="1"/>
  <c r="BJ68" i="74"/>
  <c r="BR68" i="74" s="1"/>
  <c r="BC68" i="74"/>
  <c r="AN68" i="74"/>
  <c r="AL68" i="74"/>
  <c r="AK68" i="74"/>
  <c r="BG68" i="74" s="1"/>
  <c r="BK67" i="74"/>
  <c r="BM67" i="74" s="1"/>
  <c r="BJ67" i="74"/>
  <c r="BR67" i="74" s="1"/>
  <c r="BC67" i="74"/>
  <c r="AN67" i="74"/>
  <c r="AL67" i="74"/>
  <c r="AK67" i="74"/>
  <c r="BG67" i="74" s="1"/>
  <c r="AJ70" i="74" s="1"/>
  <c r="BK66" i="74"/>
  <c r="BM66" i="74" s="1"/>
  <c r="BJ66" i="74"/>
  <c r="BR66" i="74" s="1"/>
  <c r="BC66" i="74"/>
  <c r="AN66" i="74"/>
  <c r="AL66" i="74"/>
  <c r="AK66" i="74"/>
  <c r="BG66" i="74" s="1"/>
  <c r="BK65" i="74"/>
  <c r="BM65" i="74" s="1"/>
  <c r="BC65" i="74"/>
  <c r="AL65" i="74"/>
  <c r="BK64" i="74"/>
  <c r="BM64" i="74" s="1"/>
  <c r="BC64" i="74"/>
  <c r="AL64" i="74"/>
  <c r="BK63" i="74"/>
  <c r="BM63" i="74" s="1"/>
  <c r="BC63" i="74"/>
  <c r="AL63" i="74"/>
  <c r="BK62" i="74"/>
  <c r="BM62" i="74" s="1"/>
  <c r="BC62" i="74"/>
  <c r="AL62" i="74"/>
  <c r="BK61" i="74"/>
  <c r="BM61" i="74" s="1"/>
  <c r="BC61" i="74"/>
  <c r="AN61" i="74"/>
  <c r="AL61" i="74"/>
  <c r="BK60" i="74"/>
  <c r="BM60" i="74" s="1"/>
  <c r="BC60" i="74"/>
  <c r="AN60" i="74"/>
  <c r="AL60" i="74"/>
  <c r="BK59" i="74"/>
  <c r="BM59" i="74" s="1"/>
  <c r="BC59" i="74"/>
  <c r="AN59" i="74"/>
  <c r="AL59" i="74"/>
  <c r="BK58" i="74"/>
  <c r="BM58" i="74" s="1"/>
  <c r="BJ58" i="74"/>
  <c r="BR58" i="74" s="1"/>
  <c r="BC58" i="74"/>
  <c r="AN58" i="74"/>
  <c r="AL58" i="74"/>
  <c r="BK57" i="74"/>
  <c r="BM57" i="74" s="1"/>
  <c r="BJ57" i="74"/>
  <c r="BR57" i="74" s="1"/>
  <c r="BC57" i="74"/>
  <c r="AN57" i="74"/>
  <c r="AL57" i="74"/>
  <c r="BK56" i="74"/>
  <c r="BM56" i="74" s="1"/>
  <c r="BJ56" i="74"/>
  <c r="BR56" i="74" s="1"/>
  <c r="BC56" i="74"/>
  <c r="AN56" i="74"/>
  <c r="AL56" i="74"/>
  <c r="BK55" i="74"/>
  <c r="BM55" i="74" s="1"/>
  <c r="BJ55" i="74"/>
  <c r="BR55" i="74" s="1"/>
  <c r="BC55" i="74"/>
  <c r="AN55" i="74"/>
  <c r="AL55" i="74"/>
  <c r="BK54" i="74"/>
  <c r="BM54" i="74" s="1"/>
  <c r="BJ54" i="74"/>
  <c r="BR54" i="74" s="1"/>
  <c r="BC54" i="74"/>
  <c r="AN54" i="74"/>
  <c r="AL54" i="74"/>
  <c r="BK53" i="74"/>
  <c r="BM53" i="74" s="1"/>
  <c r="BJ53" i="74"/>
  <c r="BR53" i="74" s="1"/>
  <c r="BC53" i="74"/>
  <c r="AN53" i="74"/>
  <c r="AL53" i="74"/>
  <c r="BK52" i="74"/>
  <c r="BM52" i="74" s="1"/>
  <c r="BJ52" i="74"/>
  <c r="BR52" i="74" s="1"/>
  <c r="BC52" i="74"/>
  <c r="AN52" i="74"/>
  <c r="AL52" i="74"/>
  <c r="BK51" i="74"/>
  <c r="BM51" i="74" s="1"/>
  <c r="BC51" i="74"/>
  <c r="AL51" i="74"/>
  <c r="BK50" i="74"/>
  <c r="BM50" i="74" s="1"/>
  <c r="BC50" i="74"/>
  <c r="AL50" i="74"/>
  <c r="BK49" i="74"/>
  <c r="BM49" i="74" s="1"/>
  <c r="BC49" i="74"/>
  <c r="AL49" i="74"/>
  <c r="BK48" i="74"/>
  <c r="BM48" i="74" s="1"/>
  <c r="BC48" i="74"/>
  <c r="AL48" i="74"/>
  <c r="BK47" i="74"/>
  <c r="BM47" i="74" s="1"/>
  <c r="BC47" i="74"/>
  <c r="AN47" i="74"/>
  <c r="AL47" i="74"/>
  <c r="BK46" i="74"/>
  <c r="BM46" i="74" s="1"/>
  <c r="BC46" i="74"/>
  <c r="AN46" i="74"/>
  <c r="AL46" i="74"/>
  <c r="BK45" i="74"/>
  <c r="BM45" i="74" s="1"/>
  <c r="BC45" i="74"/>
  <c r="AN45" i="74"/>
  <c r="AL45" i="74"/>
  <c r="BK44" i="74"/>
  <c r="BM44" i="74" s="1"/>
  <c r="BJ44" i="74"/>
  <c r="BR44" i="74" s="1"/>
  <c r="BC44" i="74"/>
  <c r="AN44" i="74"/>
  <c r="AL44" i="74"/>
  <c r="BK43" i="74"/>
  <c r="BM43" i="74" s="1"/>
  <c r="BJ43" i="74"/>
  <c r="BR43" i="74" s="1"/>
  <c r="BC43" i="74"/>
  <c r="AN43" i="74"/>
  <c r="AL43" i="74"/>
  <c r="BK42" i="74"/>
  <c r="BM42" i="74" s="1"/>
  <c r="BJ42" i="74"/>
  <c r="BR42" i="74" s="1"/>
  <c r="BC42" i="74"/>
  <c r="AN42" i="74"/>
  <c r="AL42" i="74"/>
  <c r="BK41" i="74"/>
  <c r="BM41" i="74" s="1"/>
  <c r="BJ41" i="74"/>
  <c r="BR41" i="74" s="1"/>
  <c r="BC41" i="74"/>
  <c r="AN41" i="74"/>
  <c r="AL41" i="74"/>
  <c r="BK40" i="74"/>
  <c r="BM40" i="74" s="1"/>
  <c r="BJ40" i="74"/>
  <c r="BR40" i="74" s="1"/>
  <c r="BC40" i="74"/>
  <c r="AN40" i="74"/>
  <c r="AL40" i="74"/>
  <c r="BK39" i="74"/>
  <c r="BM39" i="74" s="1"/>
  <c r="BJ39" i="74"/>
  <c r="BR39" i="74" s="1"/>
  <c r="BC39" i="74"/>
  <c r="AN39" i="74"/>
  <c r="AL39" i="74"/>
  <c r="BK38" i="74"/>
  <c r="BM38" i="74" s="1"/>
  <c r="BJ38" i="74"/>
  <c r="BR38" i="74" s="1"/>
  <c r="BC38" i="74"/>
  <c r="AN38" i="74"/>
  <c r="AL38" i="74"/>
  <c r="BK37" i="74"/>
  <c r="BM37" i="74" s="1"/>
  <c r="BC37" i="74"/>
  <c r="AL37" i="74"/>
  <c r="AK37" i="74"/>
  <c r="BG37" i="74" s="1"/>
  <c r="BK36" i="74"/>
  <c r="BM36" i="74" s="1"/>
  <c r="BC36" i="74"/>
  <c r="AL36" i="74"/>
  <c r="AK36" i="74"/>
  <c r="BG36" i="74" s="1"/>
  <c r="BK35" i="74"/>
  <c r="BM35" i="74" s="1"/>
  <c r="BC35" i="74"/>
  <c r="AL35" i="74"/>
  <c r="AK35" i="74"/>
  <c r="BG35" i="74" s="1"/>
  <c r="BK34" i="74"/>
  <c r="BM34" i="74" s="1"/>
  <c r="BC34" i="74"/>
  <c r="AL34" i="74"/>
  <c r="AK34" i="74"/>
  <c r="BG34" i="74" s="1"/>
  <c r="BK33" i="74"/>
  <c r="BM33" i="74" s="1"/>
  <c r="BC33" i="74"/>
  <c r="AN33" i="74"/>
  <c r="AL33" i="74"/>
  <c r="AK33" i="74"/>
  <c r="BG33" i="74" s="1"/>
  <c r="BK32" i="74"/>
  <c r="BM32" i="74" s="1"/>
  <c r="BC32" i="74"/>
  <c r="AN32" i="74"/>
  <c r="AL32" i="74"/>
  <c r="AK32" i="74"/>
  <c r="BG32" i="74" s="1"/>
  <c r="BK31" i="74"/>
  <c r="BM31" i="74" s="1"/>
  <c r="BC31" i="74"/>
  <c r="AN31" i="74"/>
  <c r="AL31" i="74"/>
  <c r="AK31" i="74"/>
  <c r="BG31" i="74" s="1"/>
  <c r="BK30" i="74"/>
  <c r="BM30" i="74" s="1"/>
  <c r="BC30" i="74"/>
  <c r="AN30" i="74"/>
  <c r="AL30" i="74"/>
  <c r="AK30" i="74"/>
  <c r="BG30" i="74" s="1"/>
  <c r="BK29" i="74"/>
  <c r="BM29" i="74" s="1"/>
  <c r="BC29" i="74"/>
  <c r="AN29" i="74"/>
  <c r="AL29" i="74"/>
  <c r="AK29" i="74"/>
  <c r="BG29" i="74" s="1"/>
  <c r="BK28" i="74"/>
  <c r="BM28" i="74" s="1"/>
  <c r="BC28" i="74"/>
  <c r="AN28" i="74"/>
  <c r="AL28" i="74"/>
  <c r="AK28" i="74"/>
  <c r="BG28" i="74" s="1"/>
  <c r="BK27" i="74"/>
  <c r="BM27" i="74" s="1"/>
  <c r="BC27" i="74"/>
  <c r="AN27" i="74"/>
  <c r="AL27" i="74"/>
  <c r="AK27" i="74"/>
  <c r="BG27" i="74" s="1"/>
  <c r="BK26" i="74"/>
  <c r="BM26" i="74" s="1"/>
  <c r="BC26" i="74"/>
  <c r="AN26" i="74"/>
  <c r="AL26" i="74"/>
  <c r="AK26" i="74"/>
  <c r="BG26" i="74" s="1"/>
  <c r="BK25" i="74"/>
  <c r="BM25" i="74" s="1"/>
  <c r="BC25" i="74"/>
  <c r="AN25" i="74"/>
  <c r="AL25" i="74"/>
  <c r="AK25" i="74"/>
  <c r="BG25" i="74" s="1"/>
  <c r="BK24" i="74"/>
  <c r="BM24" i="74" s="1"/>
  <c r="BC24" i="74"/>
  <c r="AN24" i="74"/>
  <c r="AL24" i="74"/>
  <c r="AK24" i="74"/>
  <c r="BG24" i="74" s="1"/>
  <c r="BK23" i="74"/>
  <c r="BM23" i="74" s="1"/>
  <c r="BJ23" i="74"/>
  <c r="BR23" i="74" s="1"/>
  <c r="BC23" i="74"/>
  <c r="AL23" i="74"/>
  <c r="BK22" i="74"/>
  <c r="BM22" i="74" s="1"/>
  <c r="BJ22" i="74"/>
  <c r="BR22" i="74" s="1"/>
  <c r="BC22" i="74"/>
  <c r="AL22" i="74"/>
  <c r="BK21" i="74"/>
  <c r="BM21" i="74" s="1"/>
  <c r="BJ21" i="74"/>
  <c r="BR21" i="74" s="1"/>
  <c r="BC21" i="74"/>
  <c r="AL21" i="74"/>
  <c r="BK20" i="74"/>
  <c r="BM20" i="74" s="1"/>
  <c r="BJ20" i="74"/>
  <c r="BR20" i="74" s="1"/>
  <c r="BC20" i="74"/>
  <c r="AL20" i="74"/>
  <c r="BK19" i="74"/>
  <c r="BM19" i="74" s="1"/>
  <c r="BJ19" i="74"/>
  <c r="BR19" i="74" s="1"/>
  <c r="BC19" i="74"/>
  <c r="AN19" i="74"/>
  <c r="AL19" i="74"/>
  <c r="BK18" i="74"/>
  <c r="BM18" i="74" s="1"/>
  <c r="BJ18" i="74"/>
  <c r="BR18" i="74" s="1"/>
  <c r="BC18" i="74"/>
  <c r="AN18" i="74"/>
  <c r="AL18" i="74"/>
  <c r="BK17" i="74"/>
  <c r="BM17" i="74" s="1"/>
  <c r="BJ17" i="74"/>
  <c r="BR17" i="74" s="1"/>
  <c r="BC17" i="74"/>
  <c r="AN17" i="74"/>
  <c r="AL17" i="74"/>
  <c r="BK16" i="74"/>
  <c r="BM16" i="74" s="1"/>
  <c r="BC16" i="74"/>
  <c r="AN16" i="74"/>
  <c r="AL16" i="74"/>
  <c r="BK15" i="74"/>
  <c r="BM15" i="74" s="1"/>
  <c r="BC15" i="74"/>
  <c r="AN15" i="74"/>
  <c r="AL15" i="74"/>
  <c r="BK14" i="74"/>
  <c r="BM14" i="74" s="1"/>
  <c r="BC14" i="74"/>
  <c r="AN14" i="74"/>
  <c r="AL14" i="74"/>
  <c r="BK13" i="74"/>
  <c r="BM13" i="74" s="1"/>
  <c r="BC13" i="74"/>
  <c r="AN13" i="74"/>
  <c r="AL13" i="74"/>
  <c r="BK12" i="74"/>
  <c r="BM12" i="74" s="1"/>
  <c r="BC12" i="74"/>
  <c r="AN12" i="74"/>
  <c r="AL12" i="74"/>
  <c r="BK11" i="74"/>
  <c r="BM11" i="74" s="1"/>
  <c r="BC11" i="74"/>
  <c r="AN11" i="74"/>
  <c r="AL11" i="74"/>
  <c r="A11" i="74"/>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BK10" i="74"/>
  <c r="BM10" i="74" s="1"/>
  <c r="BC10" i="74"/>
  <c r="AN10" i="74"/>
  <c r="AL10" i="74"/>
  <c r="CY211" i="57"/>
  <c r="CU211" i="57"/>
  <c r="CS211" i="57"/>
  <c r="CQ211" i="57"/>
  <c r="CO211" i="57"/>
  <c r="CM211" i="57"/>
  <c r="CK211" i="57"/>
  <c r="CI211" i="57"/>
  <c r="CD211" i="57"/>
  <c r="CC211" i="57"/>
  <c r="CB211" i="57"/>
  <c r="BZ211" i="57"/>
  <c r="BX211" i="57"/>
  <c r="BW211" i="57" s="1"/>
  <c r="BV211" i="57"/>
  <c r="BT211" i="57"/>
  <c r="BR211" i="57"/>
  <c r="BP211" i="57"/>
  <c r="BN211" i="57"/>
  <c r="BM211" i="57" s="1"/>
  <c r="BL211" i="57"/>
  <c r="BK211" i="57" s="1"/>
  <c r="E211" i="57"/>
  <c r="AT211" i="57" s="1"/>
  <c r="BD211" i="57"/>
  <c r="D211" i="57"/>
  <c r="CY210" i="57"/>
  <c r="Z210" i="57"/>
  <c r="CY209" i="57"/>
  <c r="CU209" i="57"/>
  <c r="CS209" i="57"/>
  <c r="CQ209" i="57"/>
  <c r="CO209" i="57"/>
  <c r="CM209" i="57"/>
  <c r="CK209" i="57"/>
  <c r="CI209" i="57"/>
  <c r="CD209" i="57"/>
  <c r="CC209" i="57"/>
  <c r="CB209" i="57"/>
  <c r="BZ209" i="57"/>
  <c r="BX209" i="57"/>
  <c r="BW209" i="57" s="1"/>
  <c r="BV209" i="57"/>
  <c r="BT209" i="57"/>
  <c r="BR209" i="57"/>
  <c r="BP209" i="57"/>
  <c r="BN209" i="57"/>
  <c r="BM209" i="57" s="1"/>
  <c r="BL209" i="57"/>
  <c r="BK209" i="57" s="1"/>
  <c r="E209" i="57"/>
  <c r="AB209" i="57" s="1"/>
  <c r="BG209" i="57"/>
  <c r="BD209" i="57"/>
  <c r="D209" i="57"/>
  <c r="CY208" i="57"/>
  <c r="Z208" i="57"/>
  <c r="CY207" i="57"/>
  <c r="CU207" i="57"/>
  <c r="CS207" i="57"/>
  <c r="CQ207" i="57"/>
  <c r="CO207" i="57"/>
  <c r="CM207" i="57"/>
  <c r="CK207" i="57"/>
  <c r="CI207" i="57"/>
  <c r="CD207" i="57"/>
  <c r="CC207" i="57"/>
  <c r="CB207" i="57"/>
  <c r="BZ207" i="57"/>
  <c r="BX207" i="57"/>
  <c r="BW207" i="57" s="1"/>
  <c r="BV207" i="57"/>
  <c r="BT207" i="57"/>
  <c r="BR207" i="57"/>
  <c r="BP207" i="57"/>
  <c r="BN207" i="57"/>
  <c r="BM207" i="57" s="1"/>
  <c r="BL207" i="57"/>
  <c r="BK207" i="57" s="1"/>
  <c r="E207" i="57"/>
  <c r="L207" i="57" s="1"/>
  <c r="BG207" i="57"/>
  <c r="BD207" i="57"/>
  <c r="D207" i="57"/>
  <c r="CY206" i="57"/>
  <c r="Z206" i="57"/>
  <c r="CY205" i="57"/>
  <c r="CU205" i="57"/>
  <c r="CS205" i="57"/>
  <c r="CQ205" i="57"/>
  <c r="CO205" i="57"/>
  <c r="CM205" i="57"/>
  <c r="CK205" i="57"/>
  <c r="CI205" i="57"/>
  <c r="CD205" i="57"/>
  <c r="CC205" i="57"/>
  <c r="CB205" i="57"/>
  <c r="BZ205" i="57"/>
  <c r="BX205" i="57"/>
  <c r="BW205" i="57" s="1"/>
  <c r="BV205" i="57"/>
  <c r="BT205" i="57"/>
  <c r="BR205" i="57"/>
  <c r="BP205" i="57"/>
  <c r="BN205" i="57"/>
  <c r="BM205" i="57" s="1"/>
  <c r="BL205" i="57"/>
  <c r="BK205" i="57" s="1"/>
  <c r="E205" i="57"/>
  <c r="BG205" i="57"/>
  <c r="BD205" i="57"/>
  <c r="D205" i="57"/>
  <c r="CY204" i="57"/>
  <c r="Z204" i="57"/>
  <c r="CY203" i="57"/>
  <c r="CU203" i="57"/>
  <c r="CS203" i="57"/>
  <c r="CQ203" i="57"/>
  <c r="CO203" i="57"/>
  <c r="CM203" i="57"/>
  <c r="CK203" i="57"/>
  <c r="CI203" i="57"/>
  <c r="CD203" i="57"/>
  <c r="CC203" i="57"/>
  <c r="CB203" i="57"/>
  <c r="BZ203" i="57"/>
  <c r="BX203" i="57"/>
  <c r="BW203" i="57" s="1"/>
  <c r="BV203" i="57"/>
  <c r="BT203" i="57"/>
  <c r="BR203" i="57"/>
  <c r="BP203" i="57"/>
  <c r="BN203" i="57"/>
  <c r="BM203" i="57" s="1"/>
  <c r="BL203" i="57"/>
  <c r="BK203" i="57" s="1"/>
  <c r="E203" i="57"/>
  <c r="AB203" i="57" s="1"/>
  <c r="BG203" i="57"/>
  <c r="BD203" i="57"/>
  <c r="D203" i="57"/>
  <c r="CY202" i="57"/>
  <c r="Z202" i="57"/>
  <c r="CY201" i="57"/>
  <c r="CU201" i="57"/>
  <c r="CS201" i="57"/>
  <c r="CQ201" i="57"/>
  <c r="CO201" i="57"/>
  <c r="CM201" i="57"/>
  <c r="CK201" i="57"/>
  <c r="CI201" i="57"/>
  <c r="CD201" i="57"/>
  <c r="CC201" i="57"/>
  <c r="CB201" i="57"/>
  <c r="BZ201" i="57"/>
  <c r="BX201" i="57"/>
  <c r="BW201" i="57" s="1"/>
  <c r="BV201" i="57"/>
  <c r="BT201" i="57"/>
  <c r="BR201" i="57"/>
  <c r="BP201" i="57"/>
  <c r="BN201" i="57"/>
  <c r="BM201" i="57" s="1"/>
  <c r="BL201" i="57"/>
  <c r="BK201" i="57" s="1"/>
  <c r="E201" i="57"/>
  <c r="N201" i="57" s="1"/>
  <c r="BG201" i="57"/>
  <c r="BD201" i="57"/>
  <c r="D201" i="57"/>
  <c r="CY200" i="57"/>
  <c r="Z200" i="57"/>
  <c r="CY199" i="57"/>
  <c r="CU199" i="57"/>
  <c r="CS199" i="57"/>
  <c r="CQ199" i="57"/>
  <c r="CO199" i="57"/>
  <c r="CM199" i="57"/>
  <c r="CK199" i="57"/>
  <c r="CI199" i="57"/>
  <c r="CD199" i="57"/>
  <c r="CC199" i="57"/>
  <c r="CB199" i="57"/>
  <c r="BZ199" i="57"/>
  <c r="BX199" i="57"/>
  <c r="BW199" i="57" s="1"/>
  <c r="BV199" i="57"/>
  <c r="BT199" i="57"/>
  <c r="BR199" i="57"/>
  <c r="BP199" i="57"/>
  <c r="BN199" i="57"/>
  <c r="BM199" i="57" s="1"/>
  <c r="BL199" i="57"/>
  <c r="BK199" i="57" s="1"/>
  <c r="E199" i="57"/>
  <c r="AJ199" i="57" s="1"/>
  <c r="BG199" i="57"/>
  <c r="BD199" i="57"/>
  <c r="D199" i="57"/>
  <c r="CY198" i="57"/>
  <c r="Z198" i="57"/>
  <c r="CY197" i="57"/>
  <c r="CU197" i="57"/>
  <c r="CS197" i="57"/>
  <c r="CQ197" i="57"/>
  <c r="CO197" i="57"/>
  <c r="CM197" i="57"/>
  <c r="CK197" i="57"/>
  <c r="CI197" i="57"/>
  <c r="CD197" i="57"/>
  <c r="CC197" i="57"/>
  <c r="CB197" i="57"/>
  <c r="BZ197" i="57"/>
  <c r="BX197" i="57"/>
  <c r="BW197" i="57" s="1"/>
  <c r="BV197" i="57"/>
  <c r="BT197" i="57"/>
  <c r="BR197" i="57"/>
  <c r="BP197" i="57"/>
  <c r="BN197" i="57"/>
  <c r="BM197" i="57" s="1"/>
  <c r="BL197" i="57"/>
  <c r="BK197" i="57" s="1"/>
  <c r="E197" i="57"/>
  <c r="BG197" i="57"/>
  <c r="BD197" i="57"/>
  <c r="D197" i="57"/>
  <c r="CY196" i="57"/>
  <c r="Z196" i="57"/>
  <c r="CY195" i="57"/>
  <c r="CU195" i="57"/>
  <c r="CS195" i="57"/>
  <c r="CQ195" i="57"/>
  <c r="CO195" i="57"/>
  <c r="CM195" i="57"/>
  <c r="CK195" i="57"/>
  <c r="CI195" i="57"/>
  <c r="CD195" i="57"/>
  <c r="CC195" i="57"/>
  <c r="CB195" i="57"/>
  <c r="BZ195" i="57"/>
  <c r="BX195" i="57"/>
  <c r="BW195" i="57" s="1"/>
  <c r="BV195" i="57"/>
  <c r="BT195" i="57"/>
  <c r="BR195" i="57"/>
  <c r="BP195" i="57"/>
  <c r="BN195" i="57"/>
  <c r="BM195" i="57" s="1"/>
  <c r="BL195" i="57"/>
  <c r="BK195" i="57" s="1"/>
  <c r="E195" i="57"/>
  <c r="BG195" i="57"/>
  <c r="BD195" i="57"/>
  <c r="D195" i="57"/>
  <c r="CY194" i="57"/>
  <c r="Z194" i="57"/>
  <c r="CY193" i="57"/>
  <c r="CU193" i="57"/>
  <c r="CS193" i="57"/>
  <c r="CQ193" i="57"/>
  <c r="CO193" i="57"/>
  <c r="CM193" i="57"/>
  <c r="CK193" i="57"/>
  <c r="CI193" i="57"/>
  <c r="CD193" i="57"/>
  <c r="CC193" i="57"/>
  <c r="CB193" i="57"/>
  <c r="BZ193" i="57"/>
  <c r="BX193" i="57"/>
  <c r="BW193" i="57" s="1"/>
  <c r="BV193" i="57"/>
  <c r="BT193" i="57"/>
  <c r="BR193" i="57"/>
  <c r="BP193" i="57"/>
  <c r="BN193" i="57"/>
  <c r="BM193" i="57" s="1"/>
  <c r="BL193" i="57"/>
  <c r="BK193" i="57" s="1"/>
  <c r="E193" i="57"/>
  <c r="BG193" i="57"/>
  <c r="BD193" i="57"/>
  <c r="D193" i="57"/>
  <c r="CY192" i="57"/>
  <c r="Z192" i="57"/>
  <c r="CY191" i="57"/>
  <c r="CU191" i="57"/>
  <c r="CS191" i="57"/>
  <c r="CQ191" i="57"/>
  <c r="CO191" i="57"/>
  <c r="CM191" i="57"/>
  <c r="CK191" i="57"/>
  <c r="CI191" i="57"/>
  <c r="CD191" i="57"/>
  <c r="CC191" i="57"/>
  <c r="CB191" i="57"/>
  <c r="BZ191" i="57"/>
  <c r="BX191" i="57"/>
  <c r="BW191" i="57" s="1"/>
  <c r="BV191" i="57"/>
  <c r="BT191" i="57"/>
  <c r="BR191" i="57"/>
  <c r="BP191" i="57"/>
  <c r="BN191" i="57"/>
  <c r="BM191" i="57" s="1"/>
  <c r="BL191" i="57"/>
  <c r="BK191" i="57" s="1"/>
  <c r="E191" i="57"/>
  <c r="T191" i="57" s="1"/>
  <c r="BG191" i="57"/>
  <c r="BD191" i="57"/>
  <c r="D191" i="57"/>
  <c r="CY190" i="57"/>
  <c r="Z190" i="57"/>
  <c r="CY189" i="57"/>
  <c r="CU189" i="57"/>
  <c r="CS189" i="57"/>
  <c r="CQ189" i="57"/>
  <c r="CO189" i="57"/>
  <c r="CM189" i="57"/>
  <c r="CK189" i="57"/>
  <c r="CI189" i="57"/>
  <c r="CD189" i="57"/>
  <c r="CC189" i="57"/>
  <c r="CB189" i="57"/>
  <c r="BZ189" i="57"/>
  <c r="BX189" i="57"/>
  <c r="BW189" i="57" s="1"/>
  <c r="BV189" i="57"/>
  <c r="BT189" i="57"/>
  <c r="BR189" i="57"/>
  <c r="BP189" i="57"/>
  <c r="BN189" i="57"/>
  <c r="BM189" i="57" s="1"/>
  <c r="BL189" i="57"/>
  <c r="BK189" i="57" s="1"/>
  <c r="E189" i="57"/>
  <c r="BG189" i="57"/>
  <c r="BD189" i="57"/>
  <c r="D189" i="57"/>
  <c r="CY188" i="57"/>
  <c r="Z188" i="57"/>
  <c r="CY187" i="57"/>
  <c r="CU187" i="57"/>
  <c r="CS187" i="57"/>
  <c r="CQ187" i="57"/>
  <c r="CO187" i="57"/>
  <c r="CM187" i="57"/>
  <c r="CK187" i="57"/>
  <c r="CI187" i="57"/>
  <c r="CD187" i="57"/>
  <c r="CC187" i="57"/>
  <c r="CB187" i="57"/>
  <c r="BZ187" i="57"/>
  <c r="BX187" i="57"/>
  <c r="BW187" i="57" s="1"/>
  <c r="BV187" i="57"/>
  <c r="BT187" i="57"/>
  <c r="BR187" i="57"/>
  <c r="BP187" i="57"/>
  <c r="BN187" i="57"/>
  <c r="BM187" i="57" s="1"/>
  <c r="BL187" i="57"/>
  <c r="BK187" i="57" s="1"/>
  <c r="E187" i="57"/>
  <c r="BG187" i="57"/>
  <c r="BD187" i="57"/>
  <c r="D187" i="57"/>
  <c r="CY186" i="57"/>
  <c r="Z186" i="57"/>
  <c r="CY185" i="57"/>
  <c r="CU185" i="57"/>
  <c r="CS185" i="57"/>
  <c r="CQ185" i="57"/>
  <c r="CO185" i="57"/>
  <c r="CM185" i="57"/>
  <c r="CK185" i="57"/>
  <c r="CI185" i="57"/>
  <c r="CD185" i="57"/>
  <c r="CC185" i="57"/>
  <c r="CB185" i="57"/>
  <c r="BZ185" i="57"/>
  <c r="BX185" i="57"/>
  <c r="BW185" i="57" s="1"/>
  <c r="BV185" i="57"/>
  <c r="BT185" i="57"/>
  <c r="BR185" i="57"/>
  <c r="BP185" i="57"/>
  <c r="BN185" i="57"/>
  <c r="BM185" i="57" s="1"/>
  <c r="BL185" i="57"/>
  <c r="BK185" i="57" s="1"/>
  <c r="E185" i="57"/>
  <c r="BG185" i="57"/>
  <c r="BD185" i="57"/>
  <c r="D185" i="57"/>
  <c r="CY184" i="57"/>
  <c r="Z184" i="57"/>
  <c r="CY183" i="57"/>
  <c r="CU183" i="57"/>
  <c r="CS183" i="57"/>
  <c r="CQ183" i="57"/>
  <c r="CO183" i="57"/>
  <c r="CM183" i="57"/>
  <c r="CK183" i="57"/>
  <c r="CI183" i="57"/>
  <c r="CD183" i="57"/>
  <c r="CC183" i="57"/>
  <c r="CB183" i="57"/>
  <c r="BZ183" i="57"/>
  <c r="BX183" i="57"/>
  <c r="BW183" i="57" s="1"/>
  <c r="BV183" i="57"/>
  <c r="BT183" i="57"/>
  <c r="BR183" i="57"/>
  <c r="BP183" i="57"/>
  <c r="BN183" i="57"/>
  <c r="BM183" i="57" s="1"/>
  <c r="BL183" i="57"/>
  <c r="BK183" i="57" s="1"/>
  <c r="E183" i="57"/>
  <c r="AR183" i="57" s="1"/>
  <c r="BG183" i="57"/>
  <c r="BD183" i="57"/>
  <c r="D183" i="57"/>
  <c r="CY182" i="57"/>
  <c r="Z182" i="57"/>
  <c r="CY181" i="57"/>
  <c r="CU181" i="57"/>
  <c r="CS181" i="57"/>
  <c r="CQ181" i="57"/>
  <c r="CO181" i="57"/>
  <c r="CM181" i="57"/>
  <c r="CK181" i="57"/>
  <c r="CI181" i="57"/>
  <c r="CD181" i="57"/>
  <c r="CC181" i="57"/>
  <c r="CB181" i="57"/>
  <c r="BZ181" i="57"/>
  <c r="BX181" i="57"/>
  <c r="BW181" i="57" s="1"/>
  <c r="BV181" i="57"/>
  <c r="BT181" i="57"/>
  <c r="BR181" i="57"/>
  <c r="BP181" i="57"/>
  <c r="BN181" i="57"/>
  <c r="BM181" i="57" s="1"/>
  <c r="BL181" i="57"/>
  <c r="BK181" i="57" s="1"/>
  <c r="E181" i="57"/>
  <c r="BG181" i="57"/>
  <c r="BD181" i="57"/>
  <c r="D181" i="57"/>
  <c r="CY180" i="57"/>
  <c r="Z180" i="57"/>
  <c r="CY179" i="57"/>
  <c r="CU179" i="57"/>
  <c r="CS179" i="57"/>
  <c r="CQ179" i="57"/>
  <c r="CO179" i="57"/>
  <c r="CM179" i="57"/>
  <c r="CK179" i="57"/>
  <c r="CI179" i="57"/>
  <c r="CD179" i="57"/>
  <c r="CC179" i="57"/>
  <c r="CB179" i="57"/>
  <c r="BZ179" i="57"/>
  <c r="BX179" i="57"/>
  <c r="BW179" i="57" s="1"/>
  <c r="BV179" i="57"/>
  <c r="BT179" i="57"/>
  <c r="BR179" i="57"/>
  <c r="BP179" i="57"/>
  <c r="BN179" i="57"/>
  <c r="BM179" i="57" s="1"/>
  <c r="BL179" i="57"/>
  <c r="BK179" i="57" s="1"/>
  <c r="E179" i="57"/>
  <c r="BG179" i="57"/>
  <c r="BD179" i="57"/>
  <c r="D179" i="57"/>
  <c r="CY178" i="57"/>
  <c r="Z178" i="57"/>
  <c r="CY177" i="57"/>
  <c r="CU177" i="57"/>
  <c r="CS177" i="57"/>
  <c r="CQ177" i="57"/>
  <c r="CO177" i="57"/>
  <c r="CM177" i="57"/>
  <c r="CK177" i="57"/>
  <c r="CI177" i="57"/>
  <c r="CD177" i="57"/>
  <c r="CC177" i="57"/>
  <c r="CB177" i="57"/>
  <c r="BZ177" i="57"/>
  <c r="BX177" i="57"/>
  <c r="BW177" i="57" s="1"/>
  <c r="BV177" i="57"/>
  <c r="BT177" i="57"/>
  <c r="BR177" i="57"/>
  <c r="BP177" i="57"/>
  <c r="BN177" i="57"/>
  <c r="BM177" i="57" s="1"/>
  <c r="BL177" i="57"/>
  <c r="BK177" i="57" s="1"/>
  <c r="E177" i="57"/>
  <c r="AL177" i="57" s="1"/>
  <c r="BG177" i="57"/>
  <c r="BD177" i="57"/>
  <c r="D177" i="57"/>
  <c r="CY176" i="57"/>
  <c r="Z176" i="57"/>
  <c r="CY175" i="57"/>
  <c r="CU175" i="57"/>
  <c r="CS175" i="57"/>
  <c r="CQ175" i="57"/>
  <c r="CO175" i="57"/>
  <c r="CM175" i="57"/>
  <c r="CK175" i="57"/>
  <c r="CI175" i="57"/>
  <c r="CD175" i="57"/>
  <c r="CC175" i="57"/>
  <c r="CB175" i="57"/>
  <c r="BZ175" i="57"/>
  <c r="BX175" i="57"/>
  <c r="BW175" i="57" s="1"/>
  <c r="BV175" i="57"/>
  <c r="BT175" i="57"/>
  <c r="BR175" i="57"/>
  <c r="BP175" i="57"/>
  <c r="BN175" i="57"/>
  <c r="BM175" i="57" s="1"/>
  <c r="BL175" i="57"/>
  <c r="BK175" i="57" s="1"/>
  <c r="E175" i="57"/>
  <c r="BG175" i="57"/>
  <c r="BD175" i="57"/>
  <c r="D175" i="57"/>
  <c r="CY174" i="57"/>
  <c r="Z174" i="57"/>
  <c r="CY173" i="57"/>
  <c r="CU173" i="57"/>
  <c r="CS173" i="57"/>
  <c r="CQ173" i="57"/>
  <c r="CO173" i="57"/>
  <c r="CM173" i="57"/>
  <c r="CK173" i="57"/>
  <c r="CI173" i="57"/>
  <c r="CD173" i="57"/>
  <c r="CC173" i="57"/>
  <c r="CB173" i="57"/>
  <c r="BZ173" i="57"/>
  <c r="BX173" i="57"/>
  <c r="BW173" i="57" s="1"/>
  <c r="BV173" i="57"/>
  <c r="BT173" i="57"/>
  <c r="BR173" i="57"/>
  <c r="BP173" i="57"/>
  <c r="BN173" i="57"/>
  <c r="BM173" i="57" s="1"/>
  <c r="BL173" i="57"/>
  <c r="BK173" i="57" s="1"/>
  <c r="E173" i="57"/>
  <c r="AJ173" i="57" s="1"/>
  <c r="BG173" i="57"/>
  <c r="BD173" i="57"/>
  <c r="D173" i="57"/>
  <c r="CY172" i="57"/>
  <c r="Z172" i="57"/>
  <c r="CY171" i="57"/>
  <c r="CU171" i="57"/>
  <c r="CS171" i="57"/>
  <c r="CQ171" i="57"/>
  <c r="CO171" i="57"/>
  <c r="CM171" i="57"/>
  <c r="CK171" i="57"/>
  <c r="CI171" i="57"/>
  <c r="CD171" i="57"/>
  <c r="CC171" i="57"/>
  <c r="CB171" i="57"/>
  <c r="BZ171" i="57"/>
  <c r="BX171" i="57"/>
  <c r="BW171" i="57" s="1"/>
  <c r="BV171" i="57"/>
  <c r="BT171" i="57"/>
  <c r="BR171" i="57"/>
  <c r="BP171" i="57"/>
  <c r="BN171" i="57"/>
  <c r="BM171" i="57" s="1"/>
  <c r="BL171" i="57"/>
  <c r="BK171" i="57" s="1"/>
  <c r="E171" i="57"/>
  <c r="BG171" i="57"/>
  <c r="BD171" i="57"/>
  <c r="D171" i="57"/>
  <c r="CY170" i="57"/>
  <c r="Z170" i="57"/>
  <c r="CY169" i="57"/>
  <c r="CU169" i="57"/>
  <c r="CS169" i="57"/>
  <c r="CQ169" i="57"/>
  <c r="CO169" i="57"/>
  <c r="CM169" i="57"/>
  <c r="CK169" i="57"/>
  <c r="CI169" i="57"/>
  <c r="CD169" i="57"/>
  <c r="CC169" i="57"/>
  <c r="CB169" i="57"/>
  <c r="BZ169" i="57"/>
  <c r="BX169" i="57"/>
  <c r="BW169" i="57" s="1"/>
  <c r="BV169" i="57"/>
  <c r="BT169" i="57"/>
  <c r="BR169" i="57"/>
  <c r="BP169" i="57"/>
  <c r="BN169" i="57"/>
  <c r="BM169" i="57" s="1"/>
  <c r="BL169" i="57"/>
  <c r="BK169" i="57" s="1"/>
  <c r="E169" i="57"/>
  <c r="BG169" i="57"/>
  <c r="BD169" i="57"/>
  <c r="D169" i="57"/>
  <c r="CY168" i="57"/>
  <c r="Z168" i="57"/>
  <c r="CY167" i="57"/>
  <c r="CU167" i="57"/>
  <c r="CS167" i="57"/>
  <c r="CQ167" i="57"/>
  <c r="CO167" i="57"/>
  <c r="CM167" i="57"/>
  <c r="CK167" i="57"/>
  <c r="CI167" i="57"/>
  <c r="CD167" i="57"/>
  <c r="CC167" i="57"/>
  <c r="CB167" i="57"/>
  <c r="BZ167" i="57"/>
  <c r="BX167" i="57"/>
  <c r="BW167" i="57" s="1"/>
  <c r="BV167" i="57"/>
  <c r="BT167" i="57"/>
  <c r="BR167" i="57"/>
  <c r="BP167" i="57"/>
  <c r="BN167" i="57"/>
  <c r="BM167" i="57" s="1"/>
  <c r="BL167" i="57"/>
  <c r="BK167" i="57" s="1"/>
  <c r="E167" i="57"/>
  <c r="AN167" i="57" s="1"/>
  <c r="BG167" i="57"/>
  <c r="BD167" i="57"/>
  <c r="D167" i="57"/>
  <c r="CY166" i="57"/>
  <c r="Z166" i="57"/>
  <c r="CY165" i="57"/>
  <c r="CU165" i="57"/>
  <c r="CS165" i="57"/>
  <c r="CQ165" i="57"/>
  <c r="CO165" i="57"/>
  <c r="CM165" i="57"/>
  <c r="CK165" i="57"/>
  <c r="CI165" i="57"/>
  <c r="CD165" i="57"/>
  <c r="CC165" i="57"/>
  <c r="CB165" i="57"/>
  <c r="BZ165" i="57"/>
  <c r="BX165" i="57"/>
  <c r="BW165" i="57" s="1"/>
  <c r="BV165" i="57"/>
  <c r="BT165" i="57"/>
  <c r="BR165" i="57"/>
  <c r="BP165" i="57"/>
  <c r="BN165" i="57"/>
  <c r="BM165" i="57" s="1"/>
  <c r="BL165" i="57"/>
  <c r="BK165" i="57" s="1"/>
  <c r="E165" i="57"/>
  <c r="BG165" i="57"/>
  <c r="BD165" i="57"/>
  <c r="D165" i="57"/>
  <c r="CY164" i="57"/>
  <c r="Z164" i="57"/>
  <c r="CY163" i="57"/>
  <c r="CU163" i="57"/>
  <c r="CS163" i="57"/>
  <c r="CQ163" i="57"/>
  <c r="CO163" i="57"/>
  <c r="CM163" i="57"/>
  <c r="CK163" i="57"/>
  <c r="CI163" i="57"/>
  <c r="CD163" i="57"/>
  <c r="CC163" i="57"/>
  <c r="CB163" i="57"/>
  <c r="BZ163" i="57"/>
  <c r="BX163" i="57"/>
  <c r="BW163" i="57" s="1"/>
  <c r="BV163" i="57"/>
  <c r="BT163" i="57"/>
  <c r="BR163" i="57"/>
  <c r="BP163" i="57"/>
  <c r="BN163" i="57"/>
  <c r="BM163" i="57" s="1"/>
  <c r="BL163" i="57"/>
  <c r="BK163" i="57" s="1"/>
  <c r="E163" i="57"/>
  <c r="AH163" i="57" s="1"/>
  <c r="BG163" i="57"/>
  <c r="BD163" i="57"/>
  <c r="D163" i="57"/>
  <c r="CY162" i="57"/>
  <c r="Z162" i="57"/>
  <c r="CY161" i="57"/>
  <c r="CU161" i="57"/>
  <c r="CS161" i="57"/>
  <c r="CQ161" i="57"/>
  <c r="CO161" i="57"/>
  <c r="CM161" i="57"/>
  <c r="CK161" i="57"/>
  <c r="CI161" i="57"/>
  <c r="CD161" i="57"/>
  <c r="CC161" i="57"/>
  <c r="CB161" i="57"/>
  <c r="BZ161" i="57"/>
  <c r="BX161" i="57"/>
  <c r="BW161" i="57" s="1"/>
  <c r="BV161" i="57"/>
  <c r="BT161" i="57"/>
  <c r="BR161" i="57"/>
  <c r="BP161" i="57"/>
  <c r="BN161" i="57"/>
  <c r="BM161" i="57" s="1"/>
  <c r="BL161" i="57"/>
  <c r="BK161" i="57" s="1"/>
  <c r="E161" i="57"/>
  <c r="BG161" i="57"/>
  <c r="BD161" i="57"/>
  <c r="D161" i="57"/>
  <c r="CY160" i="57"/>
  <c r="Z160" i="57"/>
  <c r="CY159" i="57"/>
  <c r="CU159" i="57"/>
  <c r="CS159" i="57"/>
  <c r="CQ159" i="57"/>
  <c r="CO159" i="57"/>
  <c r="CM159" i="57"/>
  <c r="CK159" i="57"/>
  <c r="CI159" i="57"/>
  <c r="CD159" i="57"/>
  <c r="CC159" i="57"/>
  <c r="CB159" i="57"/>
  <c r="BZ159" i="57"/>
  <c r="BX159" i="57"/>
  <c r="BW159" i="57" s="1"/>
  <c r="BV159" i="57"/>
  <c r="BT159" i="57"/>
  <c r="BR159" i="57"/>
  <c r="BP159" i="57"/>
  <c r="BN159" i="57"/>
  <c r="BM159" i="57" s="1"/>
  <c r="BL159" i="57"/>
  <c r="BK159" i="57" s="1"/>
  <c r="E159" i="57"/>
  <c r="BG159" i="57"/>
  <c r="BD159" i="57"/>
  <c r="D159" i="57"/>
  <c r="CY158" i="57"/>
  <c r="Z158" i="57"/>
  <c r="CY157" i="57"/>
  <c r="CU157" i="57"/>
  <c r="CS157" i="57"/>
  <c r="CQ157" i="57"/>
  <c r="CO157" i="57"/>
  <c r="CM157" i="57"/>
  <c r="CK157" i="57"/>
  <c r="CI157" i="57"/>
  <c r="CD157" i="57"/>
  <c r="CC157" i="57"/>
  <c r="CB157" i="57"/>
  <c r="BZ157" i="57"/>
  <c r="BX157" i="57"/>
  <c r="BW157" i="57" s="1"/>
  <c r="BV157" i="57"/>
  <c r="BT157" i="57"/>
  <c r="BR157" i="57"/>
  <c r="BP157" i="57"/>
  <c r="BN157" i="57"/>
  <c r="BM157" i="57" s="1"/>
  <c r="BL157" i="57"/>
  <c r="BK157" i="57" s="1"/>
  <c r="E157" i="57"/>
  <c r="V157" i="57" s="1"/>
  <c r="BG157" i="57"/>
  <c r="BD157" i="57"/>
  <c r="D157" i="57"/>
  <c r="CY156" i="57"/>
  <c r="Z156" i="57"/>
  <c r="CY155" i="57"/>
  <c r="CU155" i="57"/>
  <c r="CS155" i="57"/>
  <c r="CQ155" i="57"/>
  <c r="CO155" i="57"/>
  <c r="CM155" i="57"/>
  <c r="CK155" i="57"/>
  <c r="CI155" i="57"/>
  <c r="CD155" i="57"/>
  <c r="CC155" i="57"/>
  <c r="CB155" i="57"/>
  <c r="BZ155" i="57"/>
  <c r="BX155" i="57"/>
  <c r="BW155" i="57" s="1"/>
  <c r="BV155" i="57"/>
  <c r="BT155" i="57"/>
  <c r="BR155" i="57"/>
  <c r="BP155" i="57"/>
  <c r="BN155" i="57"/>
  <c r="BM155" i="57" s="1"/>
  <c r="BL155" i="57"/>
  <c r="BK155" i="57" s="1"/>
  <c r="E155" i="57"/>
  <c r="BG155" i="57"/>
  <c r="BD155" i="57"/>
  <c r="D155" i="57"/>
  <c r="CY154" i="57"/>
  <c r="Z154" i="57"/>
  <c r="CY153" i="57"/>
  <c r="CU153" i="57"/>
  <c r="CS153" i="57"/>
  <c r="CQ153" i="57"/>
  <c r="CO153" i="57"/>
  <c r="CM153" i="57"/>
  <c r="CK153" i="57"/>
  <c r="CI153" i="57"/>
  <c r="CD153" i="57"/>
  <c r="CC153" i="57"/>
  <c r="CB153" i="57"/>
  <c r="BZ153" i="57"/>
  <c r="BX153" i="57"/>
  <c r="BW153" i="57" s="1"/>
  <c r="BV153" i="57"/>
  <c r="BT153" i="57"/>
  <c r="BR153" i="57"/>
  <c r="BP153" i="57"/>
  <c r="BN153" i="57"/>
  <c r="BM153" i="57" s="1"/>
  <c r="BL153" i="57"/>
  <c r="BK153" i="57" s="1"/>
  <c r="E153" i="57"/>
  <c r="BG153" i="57"/>
  <c r="BD153" i="57"/>
  <c r="D153" i="57"/>
  <c r="CY152" i="57"/>
  <c r="Z152" i="57"/>
  <c r="CY151" i="57"/>
  <c r="CU151" i="57"/>
  <c r="CS151" i="57"/>
  <c r="CQ151" i="57"/>
  <c r="CO151" i="57"/>
  <c r="CM151" i="57"/>
  <c r="CK151" i="57"/>
  <c r="CI151" i="57"/>
  <c r="CD151" i="57"/>
  <c r="CC151" i="57"/>
  <c r="CB151" i="57"/>
  <c r="BZ151" i="57"/>
  <c r="BX151" i="57"/>
  <c r="BW151" i="57" s="1"/>
  <c r="BV151" i="57"/>
  <c r="BT151" i="57"/>
  <c r="BR151" i="57"/>
  <c r="BP151" i="57"/>
  <c r="BN151" i="57"/>
  <c r="BM151" i="57" s="1"/>
  <c r="BL151" i="57"/>
  <c r="BK151" i="57" s="1"/>
  <c r="E151" i="57"/>
  <c r="AZ151" i="57" s="1"/>
  <c r="BG151" i="57"/>
  <c r="BD151" i="57"/>
  <c r="D151" i="57"/>
  <c r="CY150" i="57"/>
  <c r="Z150" i="57"/>
  <c r="CY149" i="57"/>
  <c r="CU149" i="57"/>
  <c r="CS149" i="57"/>
  <c r="CQ149" i="57"/>
  <c r="CO149" i="57"/>
  <c r="CM149" i="57"/>
  <c r="CK149" i="57"/>
  <c r="CI149" i="57"/>
  <c r="CD149" i="57"/>
  <c r="CC149" i="57"/>
  <c r="CB149" i="57"/>
  <c r="BZ149" i="57"/>
  <c r="BX149" i="57"/>
  <c r="BW149" i="57" s="1"/>
  <c r="BV149" i="57"/>
  <c r="BT149" i="57"/>
  <c r="BR149" i="57"/>
  <c r="BP149" i="57"/>
  <c r="BN149" i="57"/>
  <c r="BM149" i="57" s="1"/>
  <c r="BL149" i="57"/>
  <c r="BK149" i="57" s="1"/>
  <c r="E149" i="57"/>
  <c r="AJ149" i="57" s="1"/>
  <c r="BG149" i="57"/>
  <c r="BD149" i="57"/>
  <c r="D149" i="57"/>
  <c r="CY148" i="57"/>
  <c r="Z148" i="57"/>
  <c r="CY147" i="57"/>
  <c r="CU147" i="57"/>
  <c r="CS147" i="57"/>
  <c r="CQ147" i="57"/>
  <c r="CO147" i="57"/>
  <c r="CM147" i="57"/>
  <c r="CK147" i="57"/>
  <c r="CI147" i="57"/>
  <c r="CD147" i="57"/>
  <c r="CC147" i="57"/>
  <c r="CB147" i="57"/>
  <c r="BZ147" i="57"/>
  <c r="BX147" i="57"/>
  <c r="BW147" i="57" s="1"/>
  <c r="BV147" i="57"/>
  <c r="BT147" i="57"/>
  <c r="BR147" i="57"/>
  <c r="BP147" i="57"/>
  <c r="BN147" i="57"/>
  <c r="BM147" i="57" s="1"/>
  <c r="BL147" i="57"/>
  <c r="BK147" i="57" s="1"/>
  <c r="E147" i="57"/>
  <c r="J147" i="57" s="1"/>
  <c r="BG147" i="57"/>
  <c r="BD147" i="57"/>
  <c r="D147" i="57"/>
  <c r="CY146" i="57"/>
  <c r="Z146" i="57"/>
  <c r="CY145" i="57"/>
  <c r="CU145" i="57"/>
  <c r="CS145" i="57"/>
  <c r="CQ145" i="57"/>
  <c r="CO145" i="57"/>
  <c r="CM145" i="57"/>
  <c r="CK145" i="57"/>
  <c r="CI145" i="57"/>
  <c r="CD145" i="57"/>
  <c r="CC145" i="57"/>
  <c r="CB145" i="57"/>
  <c r="BZ145" i="57"/>
  <c r="BX145" i="57"/>
  <c r="BW145" i="57" s="1"/>
  <c r="BV145" i="57"/>
  <c r="BT145" i="57"/>
  <c r="BR145" i="57"/>
  <c r="BP145" i="57"/>
  <c r="BN145" i="57"/>
  <c r="BM145" i="57" s="1"/>
  <c r="BL145" i="57"/>
  <c r="BK145" i="57" s="1"/>
  <c r="E145" i="57"/>
  <c r="V145" i="57" s="1"/>
  <c r="BG145" i="57"/>
  <c r="BD145" i="57"/>
  <c r="D145" i="57"/>
  <c r="CY144" i="57"/>
  <c r="Z144" i="57"/>
  <c r="CY143" i="57"/>
  <c r="CU143" i="57"/>
  <c r="CS143" i="57"/>
  <c r="CQ143" i="57"/>
  <c r="CO143" i="57"/>
  <c r="CM143" i="57"/>
  <c r="CK143" i="57"/>
  <c r="CI143" i="57"/>
  <c r="CD143" i="57"/>
  <c r="CC143" i="57"/>
  <c r="CB143" i="57"/>
  <c r="BZ143" i="57"/>
  <c r="BX143" i="57"/>
  <c r="BW143" i="57" s="1"/>
  <c r="BV143" i="57"/>
  <c r="BT143" i="57"/>
  <c r="BR143" i="57"/>
  <c r="BP143" i="57"/>
  <c r="BN143" i="57"/>
  <c r="BM143" i="57" s="1"/>
  <c r="BL143" i="57"/>
  <c r="BK143" i="57" s="1"/>
  <c r="E143" i="57"/>
  <c r="AB143" i="57" s="1"/>
  <c r="BG143" i="57"/>
  <c r="BD143" i="57"/>
  <c r="D143" i="57"/>
  <c r="CY142" i="57"/>
  <c r="Z142" i="57"/>
  <c r="CY141" i="57"/>
  <c r="CU141" i="57"/>
  <c r="CS141" i="57"/>
  <c r="CQ141" i="57"/>
  <c r="CO141" i="57"/>
  <c r="CM141" i="57"/>
  <c r="CK141" i="57"/>
  <c r="CI141" i="57"/>
  <c r="CD141" i="57"/>
  <c r="CC141" i="57"/>
  <c r="CB141" i="57"/>
  <c r="BZ141" i="57"/>
  <c r="BX141" i="57"/>
  <c r="BW141" i="57" s="1"/>
  <c r="BV141" i="57"/>
  <c r="BT141" i="57"/>
  <c r="BR141" i="57"/>
  <c r="BP141" i="57"/>
  <c r="BN141" i="57"/>
  <c r="BM141" i="57" s="1"/>
  <c r="BL141" i="57"/>
  <c r="BK141" i="57" s="1"/>
  <c r="E141" i="57"/>
  <c r="AL141" i="57" s="1"/>
  <c r="BG141" i="57"/>
  <c r="BD141" i="57"/>
  <c r="D141" i="57"/>
  <c r="CY140" i="57"/>
  <c r="Z140" i="57"/>
  <c r="CY139" i="57"/>
  <c r="CU139" i="57"/>
  <c r="CS139" i="57"/>
  <c r="CQ139" i="57"/>
  <c r="CO139" i="57"/>
  <c r="CM139" i="57"/>
  <c r="CK139" i="57"/>
  <c r="CI139" i="57"/>
  <c r="CD139" i="57"/>
  <c r="CC139" i="57"/>
  <c r="CB139" i="57"/>
  <c r="BZ139" i="57"/>
  <c r="BX139" i="57"/>
  <c r="BW139" i="57" s="1"/>
  <c r="BV139" i="57"/>
  <c r="BT139" i="57"/>
  <c r="BR139" i="57"/>
  <c r="BP139" i="57"/>
  <c r="BN139" i="57"/>
  <c r="BM139" i="57" s="1"/>
  <c r="BL139" i="57"/>
  <c r="BK139" i="57" s="1"/>
  <c r="E139" i="57"/>
  <c r="AT139" i="57" s="1"/>
  <c r="BG139" i="57"/>
  <c r="BD139" i="57"/>
  <c r="D139" i="57"/>
  <c r="CY138" i="57"/>
  <c r="Z138" i="57"/>
  <c r="CY137" i="57"/>
  <c r="CU137" i="57"/>
  <c r="CS137" i="57"/>
  <c r="CQ137" i="57"/>
  <c r="CO137" i="57"/>
  <c r="CM137" i="57"/>
  <c r="CK137" i="57"/>
  <c r="CI137" i="57"/>
  <c r="CD137" i="57"/>
  <c r="CC137" i="57"/>
  <c r="CB137" i="57"/>
  <c r="BZ137" i="57"/>
  <c r="BX137" i="57"/>
  <c r="BW137" i="57" s="1"/>
  <c r="BV137" i="57"/>
  <c r="BT137" i="57"/>
  <c r="BR137" i="57"/>
  <c r="BP137" i="57"/>
  <c r="BN137" i="57"/>
  <c r="BM137" i="57" s="1"/>
  <c r="BL137" i="57"/>
  <c r="BK137" i="57" s="1"/>
  <c r="E137" i="57"/>
  <c r="N137" i="57" s="1"/>
  <c r="BG137" i="57"/>
  <c r="BD137" i="57"/>
  <c r="D137" i="57"/>
  <c r="CY136" i="57"/>
  <c r="Z136" i="57"/>
  <c r="CY135" i="57"/>
  <c r="CU135" i="57"/>
  <c r="CS135" i="57"/>
  <c r="CQ135" i="57"/>
  <c r="CO135" i="57"/>
  <c r="CM135" i="57"/>
  <c r="CK135" i="57"/>
  <c r="CI135" i="57"/>
  <c r="CD135" i="57"/>
  <c r="CC135" i="57"/>
  <c r="CB135" i="57"/>
  <c r="BZ135" i="57"/>
  <c r="BX135" i="57"/>
  <c r="BW135" i="57" s="1"/>
  <c r="BV135" i="57"/>
  <c r="BT135" i="57"/>
  <c r="BR135" i="57"/>
  <c r="BP135" i="57"/>
  <c r="BN135" i="57"/>
  <c r="BM135" i="57" s="1"/>
  <c r="BL135" i="57"/>
  <c r="BK135" i="57" s="1"/>
  <c r="E135" i="57"/>
  <c r="Z135" i="57" s="1"/>
  <c r="BG135" i="57"/>
  <c r="BD135" i="57"/>
  <c r="D135" i="57"/>
  <c r="CY134" i="57"/>
  <c r="Z134" i="57"/>
  <c r="CY133" i="57"/>
  <c r="CU133" i="57"/>
  <c r="CS133" i="57"/>
  <c r="CQ133" i="57"/>
  <c r="CO133" i="57"/>
  <c r="CM133" i="57"/>
  <c r="CK133" i="57"/>
  <c r="CI133" i="57"/>
  <c r="CD133" i="57"/>
  <c r="CC133" i="57"/>
  <c r="CB133" i="57"/>
  <c r="BZ133" i="57"/>
  <c r="BX133" i="57"/>
  <c r="BW133" i="57" s="1"/>
  <c r="BV133" i="57"/>
  <c r="BT133" i="57"/>
  <c r="BR133" i="57"/>
  <c r="BP133" i="57"/>
  <c r="BN133" i="57"/>
  <c r="BM133" i="57" s="1"/>
  <c r="BL133" i="57"/>
  <c r="BK133" i="57" s="1"/>
  <c r="E133" i="57"/>
  <c r="P133" i="57" s="1"/>
  <c r="BG133" i="57"/>
  <c r="BD133" i="57"/>
  <c r="D133" i="57"/>
  <c r="CY132" i="57"/>
  <c r="Z132" i="57"/>
  <c r="CY131" i="57"/>
  <c r="CU131" i="57"/>
  <c r="CS131" i="57"/>
  <c r="CQ131" i="57"/>
  <c r="CO131" i="57"/>
  <c r="CM131" i="57"/>
  <c r="CK131" i="57"/>
  <c r="CI131" i="57"/>
  <c r="CD131" i="57"/>
  <c r="CC131" i="57"/>
  <c r="CB131" i="57"/>
  <c r="BZ131" i="57"/>
  <c r="BX131" i="57"/>
  <c r="BW131" i="57" s="1"/>
  <c r="BV131" i="57"/>
  <c r="BT131" i="57"/>
  <c r="BR131" i="57"/>
  <c r="BP131" i="57"/>
  <c r="BN131" i="57"/>
  <c r="BM131" i="57" s="1"/>
  <c r="BL131" i="57"/>
  <c r="BK131" i="57" s="1"/>
  <c r="E131" i="57"/>
  <c r="AL131" i="57" s="1"/>
  <c r="BG131" i="57"/>
  <c r="BD131" i="57"/>
  <c r="D131" i="57"/>
  <c r="CY130" i="57"/>
  <c r="Z130" i="57"/>
  <c r="CY129" i="57"/>
  <c r="CU129" i="57"/>
  <c r="CS129" i="57"/>
  <c r="CQ129" i="57"/>
  <c r="CO129" i="57"/>
  <c r="CM129" i="57"/>
  <c r="CK129" i="57"/>
  <c r="CI129" i="57"/>
  <c r="CD129" i="57"/>
  <c r="CC129" i="57"/>
  <c r="CB129" i="57"/>
  <c r="BZ129" i="57"/>
  <c r="BX129" i="57"/>
  <c r="BW129" i="57" s="1"/>
  <c r="BV129" i="57"/>
  <c r="BT129" i="57"/>
  <c r="BR129" i="57"/>
  <c r="BP129" i="57"/>
  <c r="BN129" i="57"/>
  <c r="BM129" i="57" s="1"/>
  <c r="BL129" i="57"/>
  <c r="BK129" i="57" s="1"/>
  <c r="E129" i="57"/>
  <c r="AL129" i="57" s="1"/>
  <c r="BG129" i="57"/>
  <c r="BD129" i="57"/>
  <c r="D129" i="57"/>
  <c r="CY128" i="57"/>
  <c r="Z128" i="57"/>
  <c r="CY127" i="57"/>
  <c r="CU127" i="57"/>
  <c r="CS127" i="57"/>
  <c r="CQ127" i="57"/>
  <c r="CO127" i="57"/>
  <c r="CM127" i="57"/>
  <c r="CK127" i="57"/>
  <c r="CI127" i="57"/>
  <c r="CD127" i="57"/>
  <c r="CC127" i="57"/>
  <c r="CB127" i="57"/>
  <c r="BZ127" i="57"/>
  <c r="BX127" i="57"/>
  <c r="BW127" i="57" s="1"/>
  <c r="BV127" i="57"/>
  <c r="BT127" i="57"/>
  <c r="BR127" i="57"/>
  <c r="BP127" i="57"/>
  <c r="BN127" i="57"/>
  <c r="BM127" i="57" s="1"/>
  <c r="BL127" i="57"/>
  <c r="BK127" i="57" s="1"/>
  <c r="E127" i="57"/>
  <c r="BG127" i="57"/>
  <c r="BD127" i="57"/>
  <c r="D127" i="57"/>
  <c r="CY126" i="57"/>
  <c r="Z126" i="57"/>
  <c r="CY125" i="57"/>
  <c r="CU125" i="57"/>
  <c r="CS125" i="57"/>
  <c r="CQ125" i="57"/>
  <c r="CO125" i="57"/>
  <c r="CM125" i="57"/>
  <c r="CK125" i="57"/>
  <c r="CI125" i="57"/>
  <c r="CD125" i="57"/>
  <c r="CC125" i="57"/>
  <c r="CB125" i="57"/>
  <c r="BZ125" i="57"/>
  <c r="BX125" i="57"/>
  <c r="BW125" i="57" s="1"/>
  <c r="BV125" i="57"/>
  <c r="BT125" i="57"/>
  <c r="BR125" i="57"/>
  <c r="BP125" i="57"/>
  <c r="BN125" i="57"/>
  <c r="BM125" i="57" s="1"/>
  <c r="BL125" i="57"/>
  <c r="BK125" i="57" s="1"/>
  <c r="E125" i="57"/>
  <c r="N125" i="57" s="1"/>
  <c r="BG125" i="57"/>
  <c r="BD125" i="57"/>
  <c r="D125" i="57"/>
  <c r="CY124" i="57"/>
  <c r="Z124" i="57"/>
  <c r="CY123" i="57"/>
  <c r="CU123" i="57"/>
  <c r="CS123" i="57"/>
  <c r="CQ123" i="57"/>
  <c r="CO123" i="57"/>
  <c r="CM123" i="57"/>
  <c r="CK123" i="57"/>
  <c r="CI123" i="57"/>
  <c r="CD123" i="57"/>
  <c r="CC123" i="57"/>
  <c r="CB123" i="57"/>
  <c r="BZ123" i="57"/>
  <c r="BX123" i="57"/>
  <c r="BW123" i="57" s="1"/>
  <c r="BV123" i="57"/>
  <c r="BT123" i="57"/>
  <c r="BR123" i="57"/>
  <c r="BP123" i="57"/>
  <c r="BN123" i="57"/>
  <c r="BM123" i="57" s="1"/>
  <c r="BL123" i="57"/>
  <c r="BK123" i="57" s="1"/>
  <c r="E123" i="57"/>
  <c r="BG123" i="57"/>
  <c r="BD123" i="57"/>
  <c r="D123" i="57"/>
  <c r="CY122" i="57"/>
  <c r="Z122" i="57"/>
  <c r="CY121" i="57"/>
  <c r="CU121" i="57"/>
  <c r="CS121" i="57"/>
  <c r="CQ121" i="57"/>
  <c r="CO121" i="57"/>
  <c r="CM121" i="57"/>
  <c r="CK121" i="57"/>
  <c r="CI121" i="57"/>
  <c r="CD121" i="57"/>
  <c r="CC121" i="57"/>
  <c r="CB121" i="57"/>
  <c r="BZ121" i="57"/>
  <c r="BX121" i="57"/>
  <c r="BW121" i="57" s="1"/>
  <c r="BV121" i="57"/>
  <c r="BT121" i="57"/>
  <c r="BR121" i="57"/>
  <c r="BP121" i="57"/>
  <c r="BN121" i="57"/>
  <c r="BM121" i="57" s="1"/>
  <c r="BL121" i="57"/>
  <c r="BK121" i="57" s="1"/>
  <c r="E121" i="57"/>
  <c r="BG121" i="57"/>
  <c r="BD121" i="57"/>
  <c r="D121" i="57"/>
  <c r="CY120" i="57"/>
  <c r="Z120" i="57"/>
  <c r="CY119" i="57"/>
  <c r="CU119" i="57"/>
  <c r="CS119" i="57"/>
  <c r="CQ119" i="57"/>
  <c r="CO119" i="57"/>
  <c r="CM119" i="57"/>
  <c r="CK119" i="57"/>
  <c r="CI119" i="57"/>
  <c r="CD119" i="57"/>
  <c r="CC119" i="57"/>
  <c r="CB119" i="57"/>
  <c r="BZ119" i="57"/>
  <c r="BX119" i="57"/>
  <c r="BW119" i="57" s="1"/>
  <c r="BV119" i="57"/>
  <c r="BT119" i="57"/>
  <c r="BR119" i="57"/>
  <c r="BP119" i="57"/>
  <c r="BN119" i="57"/>
  <c r="BM119" i="57" s="1"/>
  <c r="BL119" i="57"/>
  <c r="BK119" i="57" s="1"/>
  <c r="E119" i="57"/>
  <c r="BG119" i="57"/>
  <c r="BD119" i="57"/>
  <c r="D119" i="57"/>
  <c r="CY118" i="57"/>
  <c r="Z118" i="57"/>
  <c r="CY117" i="57"/>
  <c r="CU117" i="57"/>
  <c r="CS117" i="57"/>
  <c r="CQ117" i="57"/>
  <c r="CO117" i="57"/>
  <c r="CM117" i="57"/>
  <c r="CK117" i="57"/>
  <c r="CI117" i="57"/>
  <c r="CD117" i="57"/>
  <c r="CC117" i="57"/>
  <c r="CB117" i="57"/>
  <c r="BZ117" i="57"/>
  <c r="BX117" i="57"/>
  <c r="BW117" i="57" s="1"/>
  <c r="BV117" i="57"/>
  <c r="BT117" i="57"/>
  <c r="BR117" i="57"/>
  <c r="BP117" i="57"/>
  <c r="BN117" i="57"/>
  <c r="BM117" i="57" s="1"/>
  <c r="BL117" i="57"/>
  <c r="BK117" i="57" s="1"/>
  <c r="E117" i="57"/>
  <c r="AP117" i="57" s="1"/>
  <c r="BG117" i="57"/>
  <c r="BD117" i="57"/>
  <c r="D117" i="57"/>
  <c r="CY116" i="57"/>
  <c r="Z116" i="57"/>
  <c r="CY115" i="57"/>
  <c r="CU115" i="57"/>
  <c r="CS115" i="57"/>
  <c r="CQ115" i="57"/>
  <c r="CO115" i="57"/>
  <c r="CM115" i="57"/>
  <c r="CK115" i="57"/>
  <c r="CI115" i="57"/>
  <c r="CD115" i="57"/>
  <c r="CC115" i="57"/>
  <c r="CB115" i="57"/>
  <c r="BZ115" i="57"/>
  <c r="BX115" i="57"/>
  <c r="BW115" i="57" s="1"/>
  <c r="BV115" i="57"/>
  <c r="BT115" i="57"/>
  <c r="BR115" i="57"/>
  <c r="BP115" i="57"/>
  <c r="BN115" i="57"/>
  <c r="BM115" i="57" s="1"/>
  <c r="BL115" i="57"/>
  <c r="BK115" i="57" s="1"/>
  <c r="E115" i="57"/>
  <c r="BG115" i="57"/>
  <c r="BD115" i="57"/>
  <c r="D115" i="57"/>
  <c r="CY114" i="57"/>
  <c r="Z114" i="57"/>
  <c r="CY113" i="57"/>
  <c r="CU113" i="57"/>
  <c r="CS113" i="57"/>
  <c r="CQ113" i="57"/>
  <c r="CO113" i="57"/>
  <c r="CM113" i="57"/>
  <c r="CK113" i="57"/>
  <c r="CI113" i="57"/>
  <c r="CD113" i="57"/>
  <c r="CC113" i="57"/>
  <c r="CB113" i="57"/>
  <c r="BZ113" i="57"/>
  <c r="BX113" i="57"/>
  <c r="BW113" i="57" s="1"/>
  <c r="BV113" i="57"/>
  <c r="BT113" i="57"/>
  <c r="BR113" i="57"/>
  <c r="BP113" i="57"/>
  <c r="BN113" i="57"/>
  <c r="BM113" i="57" s="1"/>
  <c r="BL113" i="57"/>
  <c r="BK113" i="57" s="1"/>
  <c r="E113" i="57"/>
  <c r="BG113" i="57"/>
  <c r="BD113" i="57"/>
  <c r="D113" i="57"/>
  <c r="CY112" i="57"/>
  <c r="Z112" i="57"/>
  <c r="CY111" i="57"/>
  <c r="CU111" i="57"/>
  <c r="CS111" i="57"/>
  <c r="CQ111" i="57"/>
  <c r="CO111" i="57"/>
  <c r="CM111" i="57"/>
  <c r="CK111" i="57"/>
  <c r="CI111" i="57"/>
  <c r="CD111" i="57"/>
  <c r="CC111" i="57"/>
  <c r="CB111" i="57"/>
  <c r="BZ111" i="57"/>
  <c r="BX111" i="57"/>
  <c r="BW111" i="57" s="1"/>
  <c r="BV111" i="57"/>
  <c r="BT111" i="57"/>
  <c r="BR111" i="57"/>
  <c r="BP111" i="57"/>
  <c r="BN111" i="57"/>
  <c r="BM111" i="57" s="1"/>
  <c r="BL111" i="57"/>
  <c r="BK111" i="57" s="1"/>
  <c r="E111" i="57"/>
  <c r="AR111" i="57" s="1"/>
  <c r="BG111" i="57"/>
  <c r="BD111" i="57"/>
  <c r="D111" i="57"/>
  <c r="CY110" i="57"/>
  <c r="Z110" i="57"/>
  <c r="CY109" i="57"/>
  <c r="CU109" i="57"/>
  <c r="CS109" i="57"/>
  <c r="CQ109" i="57"/>
  <c r="CO109" i="57"/>
  <c r="CM109" i="57"/>
  <c r="CK109" i="57"/>
  <c r="CI109" i="57"/>
  <c r="CD109" i="57"/>
  <c r="CC109" i="57"/>
  <c r="CB109" i="57"/>
  <c r="BZ109" i="57"/>
  <c r="BX109" i="57"/>
  <c r="BW109" i="57" s="1"/>
  <c r="BV109" i="57"/>
  <c r="BT109" i="57"/>
  <c r="BR109" i="57"/>
  <c r="BP109" i="57"/>
  <c r="BN109" i="57"/>
  <c r="BM109" i="57" s="1"/>
  <c r="BL109" i="57"/>
  <c r="BK109" i="57" s="1"/>
  <c r="E109" i="57"/>
  <c r="AJ109" i="57" s="1"/>
  <c r="BG109" i="57"/>
  <c r="BD109" i="57"/>
  <c r="D109" i="57"/>
  <c r="CY108" i="57"/>
  <c r="Z108" i="57"/>
  <c r="CY107" i="57"/>
  <c r="CU107" i="57"/>
  <c r="CS107" i="57"/>
  <c r="CQ107" i="57"/>
  <c r="CO107" i="57"/>
  <c r="CM107" i="57"/>
  <c r="CK107" i="57"/>
  <c r="CI107" i="57"/>
  <c r="CD107" i="57"/>
  <c r="CC107" i="57"/>
  <c r="CB107" i="57"/>
  <c r="BZ107" i="57"/>
  <c r="BX107" i="57"/>
  <c r="BW107" i="57" s="1"/>
  <c r="BV107" i="57"/>
  <c r="BT107" i="57"/>
  <c r="BR107" i="57"/>
  <c r="BP107" i="57"/>
  <c r="BN107" i="57"/>
  <c r="BM107" i="57" s="1"/>
  <c r="BL107" i="57"/>
  <c r="BK107" i="57" s="1"/>
  <c r="E107" i="57"/>
  <c r="BG107" i="57"/>
  <c r="BD107" i="57"/>
  <c r="D107" i="57"/>
  <c r="CY106" i="57"/>
  <c r="Z106" i="57"/>
  <c r="CY105" i="57"/>
  <c r="CU105" i="57"/>
  <c r="CS105" i="57"/>
  <c r="CQ105" i="57"/>
  <c r="CO105" i="57"/>
  <c r="CM105" i="57"/>
  <c r="CK105" i="57"/>
  <c r="CI105" i="57"/>
  <c r="CD105" i="57"/>
  <c r="CC105" i="57"/>
  <c r="CB105" i="57"/>
  <c r="BZ105" i="57"/>
  <c r="BX105" i="57"/>
  <c r="BW105" i="57" s="1"/>
  <c r="BV105" i="57"/>
  <c r="BT105" i="57"/>
  <c r="BR105" i="57"/>
  <c r="BP105" i="57"/>
  <c r="BN105" i="57"/>
  <c r="BM105" i="57" s="1"/>
  <c r="BL105" i="57"/>
  <c r="BK105" i="57" s="1"/>
  <c r="E105" i="57"/>
  <c r="BG105" i="57"/>
  <c r="BD105" i="57"/>
  <c r="D105" i="57"/>
  <c r="CY104" i="57"/>
  <c r="Z104" i="57"/>
  <c r="CY103" i="57"/>
  <c r="CU103" i="57"/>
  <c r="CS103" i="57"/>
  <c r="CQ103" i="57"/>
  <c r="CO103" i="57"/>
  <c r="CM103" i="57"/>
  <c r="CK103" i="57"/>
  <c r="CI103" i="57"/>
  <c r="CD103" i="57"/>
  <c r="CC103" i="57"/>
  <c r="CB103" i="57"/>
  <c r="BZ103" i="57"/>
  <c r="BX103" i="57"/>
  <c r="BW103" i="57" s="1"/>
  <c r="BV103" i="57"/>
  <c r="BT103" i="57"/>
  <c r="BR103" i="57"/>
  <c r="BP103" i="57"/>
  <c r="BN103" i="57"/>
  <c r="BM103" i="57" s="1"/>
  <c r="BL103" i="57"/>
  <c r="BK103" i="57" s="1"/>
  <c r="E103" i="57"/>
  <c r="BG103" i="57"/>
  <c r="BD103" i="57"/>
  <c r="D103" i="57"/>
  <c r="CY102" i="57"/>
  <c r="Z102" i="57"/>
  <c r="CY101" i="57"/>
  <c r="CU101" i="57"/>
  <c r="CS101" i="57"/>
  <c r="CQ101" i="57"/>
  <c r="CO101" i="57"/>
  <c r="CM101" i="57"/>
  <c r="CK101" i="57"/>
  <c r="CI101" i="57"/>
  <c r="CD101" i="57"/>
  <c r="CC101" i="57"/>
  <c r="CB101" i="57"/>
  <c r="BZ101" i="57"/>
  <c r="BX101" i="57"/>
  <c r="BW101" i="57" s="1"/>
  <c r="BV101" i="57"/>
  <c r="BT101" i="57"/>
  <c r="BR101" i="57"/>
  <c r="BP101" i="57"/>
  <c r="BN101" i="57"/>
  <c r="BM101" i="57" s="1"/>
  <c r="BL101" i="57"/>
  <c r="BK101" i="57" s="1"/>
  <c r="E101" i="57"/>
  <c r="AL101" i="57" s="1"/>
  <c r="BG101" i="57"/>
  <c r="BD101" i="57"/>
  <c r="D101" i="57"/>
  <c r="CY100" i="57"/>
  <c r="Z100" i="57"/>
  <c r="CY99" i="57"/>
  <c r="CU99" i="57"/>
  <c r="CS99" i="57"/>
  <c r="CQ99" i="57"/>
  <c r="CO99" i="57"/>
  <c r="CM99" i="57"/>
  <c r="CK99" i="57"/>
  <c r="CI99" i="57"/>
  <c r="CD99" i="57"/>
  <c r="CC99" i="57"/>
  <c r="CB99" i="57"/>
  <c r="BZ99" i="57"/>
  <c r="BX99" i="57"/>
  <c r="BW99" i="57" s="1"/>
  <c r="BV99" i="57"/>
  <c r="BT99" i="57"/>
  <c r="BR99" i="57"/>
  <c r="BP99" i="57"/>
  <c r="BN99" i="57"/>
  <c r="BM99" i="57" s="1"/>
  <c r="BL99" i="57"/>
  <c r="BK99" i="57" s="1"/>
  <c r="E99" i="57"/>
  <c r="BG99" i="57"/>
  <c r="BD99" i="57"/>
  <c r="D99" i="57"/>
  <c r="CY98" i="57"/>
  <c r="Z98" i="57"/>
  <c r="CY97" i="57"/>
  <c r="CU97" i="57"/>
  <c r="CS97" i="57"/>
  <c r="CQ97" i="57"/>
  <c r="CO97" i="57"/>
  <c r="CM97" i="57"/>
  <c r="CK97" i="57"/>
  <c r="CI97" i="57"/>
  <c r="CD97" i="57"/>
  <c r="CC97" i="57"/>
  <c r="CB97" i="57"/>
  <c r="BZ97" i="57"/>
  <c r="BX97" i="57"/>
  <c r="BW97" i="57" s="1"/>
  <c r="BV97" i="57"/>
  <c r="BT97" i="57"/>
  <c r="BR97" i="57"/>
  <c r="BP97" i="57"/>
  <c r="BN97" i="57"/>
  <c r="BM97" i="57" s="1"/>
  <c r="BL97" i="57"/>
  <c r="BK97" i="57" s="1"/>
  <c r="E97" i="57"/>
  <c r="BB97" i="57" s="1"/>
  <c r="BG97" i="57"/>
  <c r="BD97" i="57"/>
  <c r="D97" i="57"/>
  <c r="CY96" i="57"/>
  <c r="Z96" i="57"/>
  <c r="CY95" i="57"/>
  <c r="CU95" i="57"/>
  <c r="CS95" i="57"/>
  <c r="CQ95" i="57"/>
  <c r="CO95" i="57"/>
  <c r="CM95" i="57"/>
  <c r="CK95" i="57"/>
  <c r="CI95" i="57"/>
  <c r="CD95" i="57"/>
  <c r="CC95" i="57"/>
  <c r="CB95" i="57"/>
  <c r="BZ95" i="57"/>
  <c r="BX95" i="57"/>
  <c r="BW95" i="57" s="1"/>
  <c r="BV95" i="57"/>
  <c r="BT95" i="57"/>
  <c r="BR95" i="57"/>
  <c r="BP95" i="57"/>
  <c r="BN95" i="57"/>
  <c r="BM95" i="57" s="1"/>
  <c r="BL95" i="57"/>
  <c r="BK95" i="57" s="1"/>
  <c r="E95" i="57"/>
  <c r="BG95" i="57"/>
  <c r="BD95" i="57"/>
  <c r="D95" i="57"/>
  <c r="CY94" i="57"/>
  <c r="Z94" i="57"/>
  <c r="CY93" i="57"/>
  <c r="CU93" i="57"/>
  <c r="CS93" i="57"/>
  <c r="CQ93" i="57"/>
  <c r="CO93" i="57"/>
  <c r="CM93" i="57"/>
  <c r="CK93" i="57"/>
  <c r="CI93" i="57"/>
  <c r="CD93" i="57"/>
  <c r="CC93" i="57"/>
  <c r="CB93" i="57"/>
  <c r="BZ93" i="57"/>
  <c r="BX93" i="57"/>
  <c r="BW93" i="57" s="1"/>
  <c r="BV93" i="57"/>
  <c r="BT93" i="57"/>
  <c r="BR93" i="57"/>
  <c r="BP93" i="57"/>
  <c r="BN93" i="57"/>
  <c r="BM93" i="57" s="1"/>
  <c r="BL93" i="57"/>
  <c r="BK93" i="57" s="1"/>
  <c r="E93" i="57"/>
  <c r="BG93" i="57"/>
  <c r="BD93" i="57"/>
  <c r="D93" i="57"/>
  <c r="CY92" i="57"/>
  <c r="Z92" i="57"/>
  <c r="CY91" i="57"/>
  <c r="CU91" i="57"/>
  <c r="CS91" i="57"/>
  <c r="CQ91" i="57"/>
  <c r="CO91" i="57"/>
  <c r="CM91" i="57"/>
  <c r="CK91" i="57"/>
  <c r="CI91" i="57"/>
  <c r="CD91" i="57"/>
  <c r="CC91" i="57"/>
  <c r="CB91" i="57"/>
  <c r="BZ91" i="57"/>
  <c r="BX91" i="57"/>
  <c r="BW91" i="57" s="1"/>
  <c r="BV91" i="57"/>
  <c r="BT91" i="57"/>
  <c r="BR91" i="57"/>
  <c r="BP91" i="57"/>
  <c r="BN91" i="57"/>
  <c r="BM91" i="57" s="1"/>
  <c r="BL91" i="57"/>
  <c r="BK91" i="57" s="1"/>
  <c r="E91" i="57"/>
  <c r="AR91" i="57" s="1"/>
  <c r="BG91" i="57"/>
  <c r="BD91" i="57"/>
  <c r="D91" i="57"/>
  <c r="CY90" i="57"/>
  <c r="Z90" i="57"/>
  <c r="CY89" i="57"/>
  <c r="CU89" i="57"/>
  <c r="CS89" i="57"/>
  <c r="CQ89" i="57"/>
  <c r="CO89" i="57"/>
  <c r="CM89" i="57"/>
  <c r="CK89" i="57"/>
  <c r="CI89" i="57"/>
  <c r="CD89" i="57"/>
  <c r="CC89" i="57"/>
  <c r="CB89" i="57"/>
  <c r="BZ89" i="57"/>
  <c r="BX89" i="57"/>
  <c r="BW89" i="57" s="1"/>
  <c r="BV89" i="57"/>
  <c r="BT89" i="57"/>
  <c r="BR89" i="57"/>
  <c r="BP89" i="57"/>
  <c r="BN89" i="57"/>
  <c r="BM89" i="57" s="1"/>
  <c r="BL89" i="57"/>
  <c r="BK89" i="57" s="1"/>
  <c r="E89" i="57"/>
  <c r="BG89" i="57"/>
  <c r="BD89" i="57"/>
  <c r="D89" i="57"/>
  <c r="CY88" i="57"/>
  <c r="Z88" i="57"/>
  <c r="CY87" i="57"/>
  <c r="CU87" i="57"/>
  <c r="CS87" i="57"/>
  <c r="CQ87" i="57"/>
  <c r="CO87" i="57"/>
  <c r="CM87" i="57"/>
  <c r="CK87" i="57"/>
  <c r="CI87" i="57"/>
  <c r="CD87" i="57"/>
  <c r="CC87" i="57"/>
  <c r="CB87" i="57"/>
  <c r="BZ87" i="57"/>
  <c r="BX87" i="57"/>
  <c r="BW87" i="57" s="1"/>
  <c r="BV87" i="57"/>
  <c r="BT87" i="57"/>
  <c r="BR87" i="57"/>
  <c r="BP87" i="57"/>
  <c r="BN87" i="57"/>
  <c r="BM87" i="57" s="1"/>
  <c r="BL87" i="57"/>
  <c r="BK87" i="57" s="1"/>
  <c r="E87" i="57"/>
  <c r="Z87" i="57" s="1"/>
  <c r="BG87" i="57"/>
  <c r="BD87" i="57"/>
  <c r="D87" i="57"/>
  <c r="CY86" i="57"/>
  <c r="Z86" i="57"/>
  <c r="CY85" i="57"/>
  <c r="CU85" i="57"/>
  <c r="CS85" i="57"/>
  <c r="CQ85" i="57"/>
  <c r="CO85" i="57"/>
  <c r="CM85" i="57"/>
  <c r="CK85" i="57"/>
  <c r="CI85" i="57"/>
  <c r="CD85" i="57"/>
  <c r="CC85" i="57"/>
  <c r="CB85" i="57"/>
  <c r="BZ85" i="57"/>
  <c r="BX85" i="57"/>
  <c r="BW85" i="57" s="1"/>
  <c r="BV85" i="57"/>
  <c r="BT85" i="57"/>
  <c r="BR85" i="57"/>
  <c r="BP85" i="57"/>
  <c r="BN85" i="57"/>
  <c r="BM85" i="57" s="1"/>
  <c r="BL85" i="57"/>
  <c r="BK85" i="57" s="1"/>
  <c r="E85" i="57"/>
  <c r="BG85" i="57"/>
  <c r="BD85" i="57"/>
  <c r="D85" i="57"/>
  <c r="CY84" i="57"/>
  <c r="Z84" i="57"/>
  <c r="CY83" i="57"/>
  <c r="CU83" i="57"/>
  <c r="CS83" i="57"/>
  <c r="CQ83" i="57"/>
  <c r="CO83" i="57"/>
  <c r="CM83" i="57"/>
  <c r="CK83" i="57"/>
  <c r="CI83" i="57"/>
  <c r="CD83" i="57"/>
  <c r="CC83" i="57"/>
  <c r="CB83" i="57"/>
  <c r="BZ83" i="57"/>
  <c r="BX83" i="57"/>
  <c r="BW83" i="57" s="1"/>
  <c r="BV83" i="57"/>
  <c r="BT83" i="57"/>
  <c r="BR83" i="57"/>
  <c r="BP83" i="57"/>
  <c r="BN83" i="57"/>
  <c r="BM83" i="57" s="1"/>
  <c r="BL83" i="57"/>
  <c r="BK83" i="57" s="1"/>
  <c r="E83" i="57"/>
  <c r="BG83" i="57"/>
  <c r="BD83" i="57"/>
  <c r="D83" i="57"/>
  <c r="CY82" i="57"/>
  <c r="Z82" i="57"/>
  <c r="CY81" i="57"/>
  <c r="CU81" i="57"/>
  <c r="CS81" i="57"/>
  <c r="CQ81" i="57"/>
  <c r="CO81" i="57"/>
  <c r="CM81" i="57"/>
  <c r="CK81" i="57"/>
  <c r="CI81" i="57"/>
  <c r="CD81" i="57"/>
  <c r="CC81" i="57"/>
  <c r="CB81" i="57"/>
  <c r="BZ81" i="57"/>
  <c r="BX81" i="57"/>
  <c r="BW81" i="57" s="1"/>
  <c r="BV81" i="57"/>
  <c r="BT81" i="57"/>
  <c r="BR81" i="57"/>
  <c r="BP81" i="57"/>
  <c r="BN81" i="57"/>
  <c r="BM81" i="57" s="1"/>
  <c r="BL81" i="57"/>
  <c r="BK81" i="57" s="1"/>
  <c r="E81" i="57"/>
  <c r="BG81" i="57"/>
  <c r="BD81" i="57"/>
  <c r="D81" i="57"/>
  <c r="CY80" i="57"/>
  <c r="Z80" i="57"/>
  <c r="CY79" i="57"/>
  <c r="CU79" i="57"/>
  <c r="CS79" i="57"/>
  <c r="CQ79" i="57"/>
  <c r="CO79" i="57"/>
  <c r="CM79" i="57"/>
  <c r="CK79" i="57"/>
  <c r="CI79" i="57"/>
  <c r="CD79" i="57"/>
  <c r="CC79" i="57"/>
  <c r="CB79" i="57"/>
  <c r="BZ79" i="57"/>
  <c r="BX79" i="57"/>
  <c r="BW79" i="57" s="1"/>
  <c r="BV79" i="57"/>
  <c r="BT79" i="57"/>
  <c r="BR79" i="57"/>
  <c r="BP79" i="57"/>
  <c r="BN79" i="57"/>
  <c r="BM79" i="57" s="1"/>
  <c r="BL79" i="57"/>
  <c r="BK79" i="57" s="1"/>
  <c r="E79" i="57"/>
  <c r="BG79" i="57"/>
  <c r="BD79" i="57"/>
  <c r="D79" i="57"/>
  <c r="CY78" i="57"/>
  <c r="Z78" i="57"/>
  <c r="CY77" i="57"/>
  <c r="CU77" i="57"/>
  <c r="CS77" i="57"/>
  <c r="CQ77" i="57"/>
  <c r="CO77" i="57"/>
  <c r="CM77" i="57"/>
  <c r="CK77" i="57"/>
  <c r="CI77" i="57"/>
  <c r="CD77" i="57"/>
  <c r="CC77" i="57"/>
  <c r="CB77" i="57"/>
  <c r="BZ77" i="57"/>
  <c r="BX77" i="57"/>
  <c r="BW77" i="57" s="1"/>
  <c r="BV77" i="57"/>
  <c r="BT77" i="57"/>
  <c r="BR77" i="57"/>
  <c r="BP77" i="57"/>
  <c r="BN77" i="57"/>
  <c r="BM77" i="57" s="1"/>
  <c r="BL77" i="57"/>
  <c r="BK77" i="57" s="1"/>
  <c r="E77" i="57"/>
  <c r="BG77" i="57"/>
  <c r="BD77" i="57"/>
  <c r="D77" i="57"/>
  <c r="CY76" i="57"/>
  <c r="Z76" i="57"/>
  <c r="CY75" i="57"/>
  <c r="CU75" i="57"/>
  <c r="CS75" i="57"/>
  <c r="CQ75" i="57"/>
  <c r="CO75" i="57"/>
  <c r="CM75" i="57"/>
  <c r="CK75" i="57"/>
  <c r="CI75" i="57"/>
  <c r="CD75" i="57"/>
  <c r="CC75" i="57"/>
  <c r="CB75" i="57"/>
  <c r="BZ75" i="57"/>
  <c r="BX75" i="57"/>
  <c r="BW75" i="57" s="1"/>
  <c r="BV75" i="57"/>
  <c r="BT75" i="57"/>
  <c r="BR75" i="57"/>
  <c r="BP75" i="57"/>
  <c r="BN75" i="57"/>
  <c r="BM75" i="57" s="1"/>
  <c r="BL75" i="57"/>
  <c r="BK75" i="57" s="1"/>
  <c r="E75" i="57"/>
  <c r="AV75" i="57" s="1"/>
  <c r="BG75" i="57"/>
  <c r="BD75" i="57"/>
  <c r="D75" i="57"/>
  <c r="CY74" i="57"/>
  <c r="Z74" i="57"/>
  <c r="CY73" i="57"/>
  <c r="CU73" i="57"/>
  <c r="CS73" i="57"/>
  <c r="CQ73" i="57"/>
  <c r="CO73" i="57"/>
  <c r="CM73" i="57"/>
  <c r="CK73" i="57"/>
  <c r="CI73" i="57"/>
  <c r="CD73" i="57"/>
  <c r="CC73" i="57"/>
  <c r="CB73" i="57"/>
  <c r="BZ73" i="57"/>
  <c r="BX73" i="57"/>
  <c r="BW73" i="57" s="1"/>
  <c r="BV73" i="57"/>
  <c r="BT73" i="57"/>
  <c r="BR73" i="57"/>
  <c r="BP73" i="57"/>
  <c r="BN73" i="57"/>
  <c r="BM73" i="57" s="1"/>
  <c r="BL73" i="57"/>
  <c r="BK73" i="57" s="1"/>
  <c r="E73" i="57"/>
  <c r="BG73" i="57"/>
  <c r="BD73" i="57"/>
  <c r="D73" i="57"/>
  <c r="CY72" i="57"/>
  <c r="Z72" i="57"/>
  <c r="CY71" i="57"/>
  <c r="CU71" i="57"/>
  <c r="CS71" i="57"/>
  <c r="CQ71" i="57"/>
  <c r="CO71" i="57"/>
  <c r="CM71" i="57"/>
  <c r="CK71" i="57"/>
  <c r="CI71" i="57"/>
  <c r="CD71" i="57"/>
  <c r="CC71" i="57"/>
  <c r="CB71" i="57"/>
  <c r="BZ71" i="57"/>
  <c r="BX71" i="57"/>
  <c r="BW71" i="57" s="1"/>
  <c r="BV71" i="57"/>
  <c r="BT71" i="57"/>
  <c r="BR71" i="57"/>
  <c r="BP71" i="57"/>
  <c r="BN71" i="57"/>
  <c r="BM71" i="57" s="1"/>
  <c r="BL71" i="57"/>
  <c r="BK71" i="57" s="1"/>
  <c r="E71" i="57"/>
  <c r="BG71" i="57"/>
  <c r="BD71" i="57"/>
  <c r="D71" i="57"/>
  <c r="CY70" i="57"/>
  <c r="Z70" i="57"/>
  <c r="CY69" i="57"/>
  <c r="CU69" i="57"/>
  <c r="CS69" i="57"/>
  <c r="CQ69" i="57"/>
  <c r="CO69" i="57"/>
  <c r="CM69" i="57"/>
  <c r="CK69" i="57"/>
  <c r="CI69" i="57"/>
  <c r="CD69" i="57"/>
  <c r="CC69" i="57"/>
  <c r="CB69" i="57"/>
  <c r="BZ69" i="57"/>
  <c r="BX69" i="57"/>
  <c r="BW69" i="57" s="1"/>
  <c r="BV69" i="57"/>
  <c r="BT69" i="57"/>
  <c r="BR69" i="57"/>
  <c r="BP69" i="57"/>
  <c r="BN69" i="57"/>
  <c r="BM69" i="57" s="1"/>
  <c r="BL69" i="57"/>
  <c r="BK69" i="57" s="1"/>
  <c r="E69" i="57"/>
  <c r="BG69" i="57"/>
  <c r="BD69" i="57"/>
  <c r="D69" i="57"/>
  <c r="CY68" i="57"/>
  <c r="Z68" i="57"/>
  <c r="CY67" i="57"/>
  <c r="CU67" i="57"/>
  <c r="CS67" i="57"/>
  <c r="CQ67" i="57"/>
  <c r="CO67" i="57"/>
  <c r="CM67" i="57"/>
  <c r="CK67" i="57"/>
  <c r="CI67" i="57"/>
  <c r="CD67" i="57"/>
  <c r="CC67" i="57"/>
  <c r="CB67" i="57"/>
  <c r="BZ67" i="57"/>
  <c r="BX67" i="57"/>
  <c r="BW67" i="57" s="1"/>
  <c r="BV67" i="57"/>
  <c r="BT67" i="57"/>
  <c r="BR67" i="57"/>
  <c r="BP67" i="57"/>
  <c r="BN67" i="57"/>
  <c r="BM67" i="57" s="1"/>
  <c r="BL67" i="57"/>
  <c r="BK67" i="57" s="1"/>
  <c r="E67" i="57"/>
  <c r="BG67" i="57"/>
  <c r="BD67" i="57"/>
  <c r="D67" i="57"/>
  <c r="CY66" i="57"/>
  <c r="Z66" i="57"/>
  <c r="CY65" i="57"/>
  <c r="CU65" i="57"/>
  <c r="CS65" i="57"/>
  <c r="CQ65" i="57"/>
  <c r="CO65" i="57"/>
  <c r="CM65" i="57"/>
  <c r="CK65" i="57"/>
  <c r="CI65" i="57"/>
  <c r="CD65" i="57"/>
  <c r="CC65" i="57"/>
  <c r="CB65" i="57"/>
  <c r="BZ65" i="57"/>
  <c r="BX65" i="57"/>
  <c r="BW65" i="57" s="1"/>
  <c r="BV65" i="57"/>
  <c r="BT65" i="57"/>
  <c r="BR65" i="57"/>
  <c r="BP65" i="57"/>
  <c r="BN65" i="57"/>
  <c r="BM65" i="57" s="1"/>
  <c r="BL65" i="57"/>
  <c r="BK65" i="57" s="1"/>
  <c r="E65" i="57"/>
  <c r="AJ65" i="57" s="1"/>
  <c r="BG65" i="57"/>
  <c r="BD65" i="57"/>
  <c r="D65" i="57"/>
  <c r="CY64" i="57"/>
  <c r="Z64" i="57"/>
  <c r="CY63" i="57"/>
  <c r="CU63" i="57"/>
  <c r="CS63" i="57"/>
  <c r="CQ63" i="57"/>
  <c r="CO63" i="57"/>
  <c r="CM63" i="57"/>
  <c r="CK63" i="57"/>
  <c r="CI63" i="57"/>
  <c r="CD63" i="57"/>
  <c r="CC63" i="57"/>
  <c r="CB63" i="57"/>
  <c r="BZ63" i="57"/>
  <c r="BX63" i="57"/>
  <c r="BW63" i="57" s="1"/>
  <c r="BV63" i="57"/>
  <c r="BT63" i="57"/>
  <c r="BR63" i="57"/>
  <c r="BP63" i="57"/>
  <c r="BN63" i="57"/>
  <c r="BM63" i="57" s="1"/>
  <c r="BL63" i="57"/>
  <c r="BK63" i="57" s="1"/>
  <c r="E63" i="57"/>
  <c r="BG63" i="57"/>
  <c r="BD63" i="57"/>
  <c r="D63" i="57"/>
  <c r="CY62" i="57"/>
  <c r="Z62" i="57"/>
  <c r="CY61" i="57"/>
  <c r="CU61" i="57"/>
  <c r="CS61" i="57"/>
  <c r="CQ61" i="57"/>
  <c r="CO61" i="57"/>
  <c r="CM61" i="57"/>
  <c r="CK61" i="57"/>
  <c r="CI61" i="57"/>
  <c r="CD61" i="57"/>
  <c r="CC61" i="57"/>
  <c r="CB61" i="57"/>
  <c r="BZ61" i="57"/>
  <c r="BX61" i="57"/>
  <c r="BW61" i="57" s="1"/>
  <c r="BV61" i="57"/>
  <c r="BT61" i="57"/>
  <c r="BR61" i="57"/>
  <c r="BP61" i="57"/>
  <c r="BN61" i="57"/>
  <c r="BM61" i="57" s="1"/>
  <c r="BL61" i="57"/>
  <c r="BK61" i="57" s="1"/>
  <c r="E61" i="57"/>
  <c r="BG61" i="57"/>
  <c r="BD61" i="57"/>
  <c r="D61" i="57"/>
  <c r="CY60" i="57"/>
  <c r="Z60" i="57"/>
  <c r="CY59" i="57"/>
  <c r="CU59" i="57"/>
  <c r="CS59" i="57"/>
  <c r="CQ59" i="57"/>
  <c r="CO59" i="57"/>
  <c r="CM59" i="57"/>
  <c r="CK59" i="57"/>
  <c r="CI59" i="57"/>
  <c r="CD59" i="57"/>
  <c r="CC59" i="57"/>
  <c r="CB59" i="57"/>
  <c r="BZ59" i="57"/>
  <c r="BX59" i="57"/>
  <c r="BW59" i="57" s="1"/>
  <c r="BV59" i="57"/>
  <c r="BT59" i="57"/>
  <c r="BR59" i="57"/>
  <c r="BP59" i="57"/>
  <c r="BN59" i="57"/>
  <c r="BM59" i="57" s="1"/>
  <c r="BL59" i="57"/>
  <c r="BK59" i="57" s="1"/>
  <c r="E59" i="57"/>
  <c r="V59" i="57" s="1"/>
  <c r="BG59" i="57"/>
  <c r="BD59" i="57"/>
  <c r="D59" i="57"/>
  <c r="CY58" i="57"/>
  <c r="Z58" i="57"/>
  <c r="CY57" i="57"/>
  <c r="CU57" i="57"/>
  <c r="CS57" i="57"/>
  <c r="CQ57" i="57"/>
  <c r="CO57" i="57"/>
  <c r="CM57" i="57"/>
  <c r="CK57" i="57"/>
  <c r="CI57" i="57"/>
  <c r="CD57" i="57"/>
  <c r="CC57" i="57"/>
  <c r="CB57" i="57"/>
  <c r="BZ57" i="57"/>
  <c r="BX57" i="57"/>
  <c r="BW57" i="57" s="1"/>
  <c r="BV57" i="57"/>
  <c r="BT57" i="57"/>
  <c r="BR57" i="57"/>
  <c r="BP57" i="57"/>
  <c r="BN57" i="57"/>
  <c r="BM57" i="57" s="1"/>
  <c r="BL57" i="57"/>
  <c r="BK57" i="57" s="1"/>
  <c r="E57" i="57"/>
  <c r="BG57" i="57"/>
  <c r="BD57" i="57"/>
  <c r="D57" i="57"/>
  <c r="CY56" i="57"/>
  <c r="Z56" i="57"/>
  <c r="CY55" i="57"/>
  <c r="CU55" i="57"/>
  <c r="CS55" i="57"/>
  <c r="CQ55" i="57"/>
  <c r="CO55" i="57"/>
  <c r="CM55" i="57"/>
  <c r="CK55" i="57"/>
  <c r="CI55" i="57"/>
  <c r="CD55" i="57"/>
  <c r="CC55" i="57"/>
  <c r="CB55" i="57"/>
  <c r="BZ55" i="57"/>
  <c r="BX55" i="57"/>
  <c r="BW55" i="57" s="1"/>
  <c r="BV55" i="57"/>
  <c r="BT55" i="57"/>
  <c r="BR55" i="57"/>
  <c r="BP55" i="57"/>
  <c r="BN55" i="57"/>
  <c r="BM55" i="57" s="1"/>
  <c r="BL55" i="57"/>
  <c r="BK55" i="57" s="1"/>
  <c r="E55" i="57"/>
  <c r="BG55" i="57"/>
  <c r="BD55" i="57"/>
  <c r="D55" i="57"/>
  <c r="CY54" i="57"/>
  <c r="Z54" i="57"/>
  <c r="CY53" i="57"/>
  <c r="CU53" i="57"/>
  <c r="CS53" i="57"/>
  <c r="CQ53" i="57"/>
  <c r="CO53" i="57"/>
  <c r="CM53" i="57"/>
  <c r="CK53" i="57"/>
  <c r="CI53" i="57"/>
  <c r="CD53" i="57"/>
  <c r="CC53" i="57"/>
  <c r="CB53" i="57"/>
  <c r="BZ53" i="57"/>
  <c r="BX53" i="57"/>
  <c r="BW53" i="57" s="1"/>
  <c r="BV53" i="57"/>
  <c r="BT53" i="57"/>
  <c r="BR53" i="57"/>
  <c r="BP53" i="57"/>
  <c r="BN53" i="57"/>
  <c r="BM53" i="57" s="1"/>
  <c r="BL53" i="57"/>
  <c r="BK53" i="57" s="1"/>
  <c r="E53" i="57"/>
  <c r="AR53" i="57" s="1"/>
  <c r="BG53" i="57"/>
  <c r="BD53" i="57"/>
  <c r="D53" i="57"/>
  <c r="CY52" i="57"/>
  <c r="Z52" i="57"/>
  <c r="CY51" i="57"/>
  <c r="CU51" i="57"/>
  <c r="CS51" i="57"/>
  <c r="CQ51" i="57"/>
  <c r="CO51" i="57"/>
  <c r="CM51" i="57"/>
  <c r="CK51" i="57"/>
  <c r="CI51" i="57"/>
  <c r="CD51" i="57"/>
  <c r="CC51" i="57"/>
  <c r="CB51" i="57"/>
  <c r="BZ51" i="57"/>
  <c r="BX51" i="57"/>
  <c r="BW51" i="57" s="1"/>
  <c r="BV51" i="57"/>
  <c r="BT51" i="57"/>
  <c r="BR51" i="57"/>
  <c r="BP51" i="57"/>
  <c r="BN51" i="57"/>
  <c r="BM51" i="57" s="1"/>
  <c r="BL51" i="57"/>
  <c r="BK51" i="57" s="1"/>
  <c r="E51" i="57"/>
  <c r="BG51" i="57"/>
  <c r="BD51" i="57"/>
  <c r="D51" i="57"/>
  <c r="CY50" i="57"/>
  <c r="Z50" i="57"/>
  <c r="CY49" i="57"/>
  <c r="CU49" i="57"/>
  <c r="CS49" i="57"/>
  <c r="CQ49" i="57"/>
  <c r="CO49" i="57"/>
  <c r="CM49" i="57"/>
  <c r="CK49" i="57"/>
  <c r="CI49" i="57"/>
  <c r="CD49" i="57"/>
  <c r="CC49" i="57"/>
  <c r="CB49" i="57"/>
  <c r="BZ49" i="57"/>
  <c r="BX49" i="57"/>
  <c r="BW49" i="57" s="1"/>
  <c r="BV49" i="57"/>
  <c r="BT49" i="57"/>
  <c r="BR49" i="57"/>
  <c r="BP49" i="57"/>
  <c r="BN49" i="57"/>
  <c r="BM49" i="57" s="1"/>
  <c r="BL49" i="57"/>
  <c r="BK49" i="57" s="1"/>
  <c r="E49" i="57"/>
  <c r="AT49" i="57" s="1"/>
  <c r="BG49" i="57"/>
  <c r="BD49" i="57"/>
  <c r="D49" i="57"/>
  <c r="CY48" i="57"/>
  <c r="Z48" i="57"/>
  <c r="CY47" i="57"/>
  <c r="CU47" i="57"/>
  <c r="CS47" i="57"/>
  <c r="CQ47" i="57"/>
  <c r="CO47" i="57"/>
  <c r="CM47" i="57"/>
  <c r="CK47" i="57"/>
  <c r="CI47" i="57"/>
  <c r="CD47" i="57"/>
  <c r="CC47" i="57"/>
  <c r="CB47" i="57"/>
  <c r="BZ47" i="57"/>
  <c r="BX47" i="57"/>
  <c r="BW47" i="57" s="1"/>
  <c r="BV47" i="57"/>
  <c r="BT47" i="57"/>
  <c r="BR47" i="57"/>
  <c r="BP47" i="57"/>
  <c r="BN47" i="57"/>
  <c r="BM47" i="57" s="1"/>
  <c r="BL47" i="57"/>
  <c r="BK47" i="57" s="1"/>
  <c r="E47" i="57"/>
  <c r="BG47" i="57"/>
  <c r="BD47" i="57"/>
  <c r="D47" i="57"/>
  <c r="CY46" i="57"/>
  <c r="Z46" i="57"/>
  <c r="CY45" i="57"/>
  <c r="CU45" i="57"/>
  <c r="CS45" i="57"/>
  <c r="CQ45" i="57"/>
  <c r="CO45" i="57"/>
  <c r="CM45" i="57"/>
  <c r="CK45" i="57"/>
  <c r="CI45" i="57"/>
  <c r="CD45" i="57"/>
  <c r="CC45" i="57"/>
  <c r="CB45" i="57"/>
  <c r="BZ45" i="57"/>
  <c r="BX45" i="57"/>
  <c r="BW45" i="57" s="1"/>
  <c r="BV45" i="57"/>
  <c r="BT45" i="57"/>
  <c r="BR45" i="57"/>
  <c r="BP45" i="57"/>
  <c r="BN45" i="57"/>
  <c r="BM45" i="57" s="1"/>
  <c r="BL45" i="57"/>
  <c r="BK45" i="57" s="1"/>
  <c r="E45" i="57"/>
  <c r="BG45" i="57"/>
  <c r="BD45" i="57"/>
  <c r="D45" i="57"/>
  <c r="CY44" i="57"/>
  <c r="Z44" i="57"/>
  <c r="CY43" i="57"/>
  <c r="CU43" i="57"/>
  <c r="CS43" i="57"/>
  <c r="CQ43" i="57"/>
  <c r="CO43" i="57"/>
  <c r="CM43" i="57"/>
  <c r="CK43" i="57"/>
  <c r="CI43" i="57"/>
  <c r="CD43" i="57"/>
  <c r="CC43" i="57"/>
  <c r="CB43" i="57"/>
  <c r="BZ43" i="57"/>
  <c r="BX43" i="57"/>
  <c r="BW43" i="57" s="1"/>
  <c r="BV43" i="57"/>
  <c r="BT43" i="57"/>
  <c r="BR43" i="57"/>
  <c r="BP43" i="57"/>
  <c r="BN43" i="57"/>
  <c r="BM43" i="57" s="1"/>
  <c r="BL43" i="57"/>
  <c r="BK43" i="57" s="1"/>
  <c r="E43" i="57"/>
  <c r="BB43" i="57" s="1"/>
  <c r="BG43" i="57"/>
  <c r="BD43" i="57"/>
  <c r="D43" i="57"/>
  <c r="CY42" i="57"/>
  <c r="Z42" i="57"/>
  <c r="CY41" i="57"/>
  <c r="CU41" i="57"/>
  <c r="CS41" i="57"/>
  <c r="CQ41" i="57"/>
  <c r="CO41" i="57"/>
  <c r="CM41" i="57"/>
  <c r="CK41" i="57"/>
  <c r="CI41" i="57"/>
  <c r="CD41" i="57"/>
  <c r="CC41" i="57"/>
  <c r="CB41" i="57"/>
  <c r="BZ41" i="57"/>
  <c r="BX41" i="57"/>
  <c r="BW41" i="57" s="1"/>
  <c r="BV41" i="57"/>
  <c r="BT41" i="57"/>
  <c r="BR41" i="57"/>
  <c r="BP41" i="57"/>
  <c r="BN41" i="57"/>
  <c r="BM41" i="57" s="1"/>
  <c r="BL41" i="57"/>
  <c r="BK41" i="57" s="1"/>
  <c r="E41" i="57"/>
  <c r="BG41" i="57"/>
  <c r="BD41" i="57"/>
  <c r="D41" i="57"/>
  <c r="CY40" i="57"/>
  <c r="Z40" i="57"/>
  <c r="CY39" i="57"/>
  <c r="CU39" i="57"/>
  <c r="CS39" i="57"/>
  <c r="CQ39" i="57"/>
  <c r="CO39" i="57"/>
  <c r="CM39" i="57"/>
  <c r="CK39" i="57"/>
  <c r="CI39" i="57"/>
  <c r="CD39" i="57"/>
  <c r="CC39" i="57"/>
  <c r="CB39" i="57"/>
  <c r="BZ39" i="57"/>
  <c r="BX39" i="57"/>
  <c r="BW39" i="57" s="1"/>
  <c r="BV39" i="57"/>
  <c r="BT39" i="57"/>
  <c r="BR39" i="57"/>
  <c r="BP39" i="57"/>
  <c r="BN39" i="57"/>
  <c r="BM39" i="57" s="1"/>
  <c r="BL39" i="57"/>
  <c r="BK39" i="57" s="1"/>
  <c r="E39" i="57"/>
  <c r="BG39" i="57"/>
  <c r="BD39" i="57"/>
  <c r="D39" i="57"/>
  <c r="CY38" i="57"/>
  <c r="Z38" i="57"/>
  <c r="CY37" i="57"/>
  <c r="CU37" i="57"/>
  <c r="CS37" i="57"/>
  <c r="CQ37" i="57"/>
  <c r="CO37" i="57"/>
  <c r="CM37" i="57"/>
  <c r="CK37" i="57"/>
  <c r="CI37" i="57"/>
  <c r="CD37" i="57"/>
  <c r="CC37" i="57"/>
  <c r="CB37" i="57"/>
  <c r="BZ37" i="57"/>
  <c r="BX37" i="57"/>
  <c r="BW37" i="57" s="1"/>
  <c r="BV37" i="57"/>
  <c r="BT37" i="57"/>
  <c r="BR37" i="57"/>
  <c r="BP37" i="57"/>
  <c r="BN37" i="57"/>
  <c r="BM37" i="57" s="1"/>
  <c r="BL37" i="57"/>
  <c r="BK37" i="57" s="1"/>
  <c r="E37" i="57"/>
  <c r="AX37" i="57" s="1"/>
  <c r="BG37" i="57"/>
  <c r="BD37" i="57"/>
  <c r="D37" i="57"/>
  <c r="CY36" i="57"/>
  <c r="Z36" i="57"/>
  <c r="CY35" i="57"/>
  <c r="CU35" i="57"/>
  <c r="CS35" i="57"/>
  <c r="CQ35" i="57"/>
  <c r="CO35" i="57"/>
  <c r="CM35" i="57"/>
  <c r="CK35" i="57"/>
  <c r="CI35" i="57"/>
  <c r="CD35" i="57"/>
  <c r="CC35" i="57"/>
  <c r="CB35" i="57"/>
  <c r="BZ35" i="57"/>
  <c r="BX35" i="57"/>
  <c r="BW35" i="57" s="1"/>
  <c r="BV35" i="57"/>
  <c r="BT35" i="57"/>
  <c r="BR35" i="57"/>
  <c r="BP35" i="57"/>
  <c r="BN35" i="57"/>
  <c r="BM35" i="57" s="1"/>
  <c r="BL35" i="57"/>
  <c r="BK35" i="57" s="1"/>
  <c r="E35" i="57"/>
  <c r="BG35" i="57"/>
  <c r="BD35" i="57"/>
  <c r="D35" i="57"/>
  <c r="CY34" i="57"/>
  <c r="Z34" i="57"/>
  <c r="CY33" i="57"/>
  <c r="CU33" i="57"/>
  <c r="CS33" i="57"/>
  <c r="CQ33" i="57"/>
  <c r="CO33" i="57"/>
  <c r="CM33" i="57"/>
  <c r="CK33" i="57"/>
  <c r="CI33" i="57"/>
  <c r="CD33" i="57"/>
  <c r="CC33" i="57"/>
  <c r="CB33" i="57"/>
  <c r="BZ33" i="57"/>
  <c r="BX33" i="57"/>
  <c r="BW33" i="57" s="1"/>
  <c r="BV33" i="57"/>
  <c r="BT33" i="57"/>
  <c r="BR33" i="57"/>
  <c r="BP33" i="57"/>
  <c r="BN33" i="57"/>
  <c r="BM33" i="57" s="1"/>
  <c r="BL33" i="57"/>
  <c r="BK33" i="57" s="1"/>
  <c r="E33" i="57"/>
  <c r="BG33" i="57"/>
  <c r="BD33" i="57"/>
  <c r="D33" i="57"/>
  <c r="CY32" i="57"/>
  <c r="Z32" i="57"/>
  <c r="CY31" i="57"/>
  <c r="CU31" i="57"/>
  <c r="CS31" i="57"/>
  <c r="CQ31" i="57"/>
  <c r="CO31" i="57"/>
  <c r="CM31" i="57"/>
  <c r="CK31" i="57"/>
  <c r="CI31" i="57"/>
  <c r="CD31" i="57"/>
  <c r="CC31" i="57"/>
  <c r="CB31" i="57"/>
  <c r="BZ31" i="57"/>
  <c r="BX31" i="57"/>
  <c r="BW31" i="57" s="1"/>
  <c r="BV31" i="57"/>
  <c r="BT31" i="57"/>
  <c r="BR31" i="57"/>
  <c r="BP31" i="57"/>
  <c r="BN31" i="57"/>
  <c r="BM31" i="57" s="1"/>
  <c r="BL31" i="57"/>
  <c r="BK31" i="57" s="1"/>
  <c r="E31" i="57"/>
  <c r="BG31" i="57"/>
  <c r="BD31" i="57"/>
  <c r="D31" i="57"/>
  <c r="CY30" i="57"/>
  <c r="Z30" i="57"/>
  <c r="CY29" i="57"/>
  <c r="CU29" i="57"/>
  <c r="CS29" i="57"/>
  <c r="CQ29" i="57"/>
  <c r="CO29" i="57"/>
  <c r="CM29" i="57"/>
  <c r="CK29" i="57"/>
  <c r="CI29" i="57"/>
  <c r="CD29" i="57"/>
  <c r="CC29" i="57"/>
  <c r="CB29" i="57"/>
  <c r="BZ29" i="57"/>
  <c r="BX29" i="57"/>
  <c r="BW29" i="57" s="1"/>
  <c r="BV29" i="57"/>
  <c r="BT29" i="57"/>
  <c r="BR29" i="57"/>
  <c r="BP29" i="57"/>
  <c r="BN29" i="57"/>
  <c r="BM29" i="57" s="1"/>
  <c r="BL29" i="57"/>
  <c r="BK29" i="57" s="1"/>
  <c r="E29" i="57"/>
  <c r="BG29" i="57"/>
  <c r="BD29" i="57"/>
  <c r="D29" i="57"/>
  <c r="CY28" i="57"/>
  <c r="Z28" i="57"/>
  <c r="CY27" i="57"/>
  <c r="CU27" i="57"/>
  <c r="CS27" i="57"/>
  <c r="CQ27" i="57"/>
  <c r="CO27" i="57"/>
  <c r="CM27" i="57"/>
  <c r="CK27" i="57"/>
  <c r="CI27" i="57"/>
  <c r="CD27" i="57"/>
  <c r="CC27" i="57"/>
  <c r="CB27" i="57"/>
  <c r="BZ27" i="57"/>
  <c r="BX27" i="57"/>
  <c r="BW27" i="57" s="1"/>
  <c r="BV27" i="57"/>
  <c r="BT27" i="57"/>
  <c r="BR27" i="57"/>
  <c r="BP27" i="57"/>
  <c r="BN27" i="57"/>
  <c r="BM27" i="57" s="1"/>
  <c r="BL27" i="57"/>
  <c r="BK27" i="57" s="1"/>
  <c r="E27" i="57"/>
  <c r="AJ27" i="57" s="1"/>
  <c r="BG27" i="57"/>
  <c r="BD27" i="57"/>
  <c r="D27" i="57"/>
  <c r="CY26" i="57"/>
  <c r="Z26" i="57"/>
  <c r="CY25" i="57"/>
  <c r="CU25" i="57"/>
  <c r="CS25" i="57"/>
  <c r="CQ25" i="57"/>
  <c r="CO25" i="57"/>
  <c r="CM25" i="57"/>
  <c r="CK25" i="57"/>
  <c r="CI25" i="57"/>
  <c r="CD25" i="57"/>
  <c r="CC25" i="57"/>
  <c r="CB25" i="57"/>
  <c r="BZ25" i="57"/>
  <c r="BX25" i="57"/>
  <c r="BW25" i="57" s="1"/>
  <c r="BV25" i="57"/>
  <c r="BT25" i="57"/>
  <c r="BR25" i="57"/>
  <c r="BP25" i="57"/>
  <c r="BN25" i="57"/>
  <c r="BM25" i="57" s="1"/>
  <c r="BL25" i="57"/>
  <c r="BK25" i="57" s="1"/>
  <c r="E25" i="57"/>
  <c r="BG25" i="57"/>
  <c r="BD25" i="57"/>
  <c r="D25" i="57"/>
  <c r="CY24" i="57"/>
  <c r="Z24" i="57"/>
  <c r="CY23" i="57"/>
  <c r="CU23" i="57"/>
  <c r="CS23" i="57"/>
  <c r="CQ23" i="57"/>
  <c r="CO23" i="57"/>
  <c r="CM23" i="57"/>
  <c r="CK23" i="57"/>
  <c r="CI23" i="57"/>
  <c r="CD23" i="57"/>
  <c r="CC23" i="57"/>
  <c r="CB23" i="57"/>
  <c r="BZ23" i="57"/>
  <c r="BX23" i="57"/>
  <c r="BW23" i="57" s="1"/>
  <c r="BV23" i="57"/>
  <c r="BT23" i="57"/>
  <c r="BR23" i="57"/>
  <c r="BP23" i="57"/>
  <c r="BN23" i="57"/>
  <c r="BM23" i="57" s="1"/>
  <c r="BL23" i="57"/>
  <c r="BK23" i="57" s="1"/>
  <c r="E23" i="57"/>
  <c r="BG23" i="57"/>
  <c r="BD23" i="57"/>
  <c r="D23" i="57"/>
  <c r="CY22" i="57"/>
  <c r="Z22" i="57"/>
  <c r="CY21" i="57"/>
  <c r="CU21" i="57"/>
  <c r="CS21" i="57"/>
  <c r="CQ21" i="57"/>
  <c r="CO21" i="57"/>
  <c r="CM21" i="57"/>
  <c r="CK21" i="57"/>
  <c r="CI21" i="57"/>
  <c r="CD21" i="57"/>
  <c r="CC21" i="57"/>
  <c r="CB21" i="57"/>
  <c r="BZ21" i="57"/>
  <c r="BX21" i="57"/>
  <c r="BW21" i="57" s="1"/>
  <c r="BV21" i="57"/>
  <c r="BT21" i="57"/>
  <c r="BR21" i="57"/>
  <c r="BP21" i="57"/>
  <c r="BN21" i="57"/>
  <c r="BM21" i="57" s="1"/>
  <c r="BL21" i="57"/>
  <c r="BK21" i="57" s="1"/>
  <c r="E21" i="57"/>
  <c r="BG21" i="57"/>
  <c r="BD21" i="57"/>
  <c r="D21" i="57"/>
  <c r="CY20" i="57"/>
  <c r="Z20" i="57"/>
  <c r="CY19" i="57"/>
  <c r="CU19" i="57"/>
  <c r="CS19" i="57"/>
  <c r="CQ19" i="57"/>
  <c r="CO19" i="57"/>
  <c r="CM19" i="57"/>
  <c r="CK19" i="57"/>
  <c r="CI19" i="57"/>
  <c r="CD19" i="57"/>
  <c r="CC19" i="57"/>
  <c r="CB19" i="57"/>
  <c r="BZ19" i="57"/>
  <c r="BX19" i="57"/>
  <c r="BW19" i="57" s="1"/>
  <c r="BV19" i="57"/>
  <c r="BT19" i="57"/>
  <c r="BR19" i="57"/>
  <c r="BP19" i="57"/>
  <c r="BN19" i="57"/>
  <c r="BM19" i="57" s="1"/>
  <c r="BL19" i="57"/>
  <c r="BK19" i="57" s="1"/>
  <c r="E19" i="57"/>
  <c r="BG19" i="57"/>
  <c r="BD19" i="57"/>
  <c r="D19" i="57"/>
  <c r="CY18" i="57"/>
  <c r="Z18" i="57"/>
  <c r="CY17" i="57"/>
  <c r="CU17" i="57"/>
  <c r="CS17" i="57"/>
  <c r="CQ17" i="57"/>
  <c r="CO17" i="57"/>
  <c r="CM17" i="57"/>
  <c r="CK17" i="57"/>
  <c r="CI17" i="57"/>
  <c r="CD17" i="57"/>
  <c r="CC17" i="57"/>
  <c r="CB17" i="57"/>
  <c r="BZ17" i="57"/>
  <c r="BX17" i="57"/>
  <c r="BW17" i="57" s="1"/>
  <c r="BV17" i="57"/>
  <c r="BT17" i="57"/>
  <c r="BR17" i="57"/>
  <c r="BP17" i="57"/>
  <c r="BN17" i="57"/>
  <c r="BM17" i="57" s="1"/>
  <c r="BL17" i="57"/>
  <c r="BK17" i="57" s="1"/>
  <c r="E17" i="57"/>
  <c r="AZ17" i="57" s="1"/>
  <c r="BG17" i="57"/>
  <c r="BD17" i="57"/>
  <c r="D17" i="57"/>
  <c r="CY16" i="57"/>
  <c r="Z16" i="57"/>
  <c r="CY15" i="57"/>
  <c r="CU15" i="57"/>
  <c r="CS15" i="57"/>
  <c r="CQ15" i="57"/>
  <c r="CO15" i="57"/>
  <c r="CM15" i="57"/>
  <c r="CK15" i="57"/>
  <c r="CI15" i="57"/>
  <c r="CD15" i="57"/>
  <c r="CC15" i="57"/>
  <c r="CB15" i="57"/>
  <c r="BZ15" i="57"/>
  <c r="BX15" i="57"/>
  <c r="BW15" i="57" s="1"/>
  <c r="BV15" i="57"/>
  <c r="BT15" i="57"/>
  <c r="BR15" i="57"/>
  <c r="BP15" i="57"/>
  <c r="BN15" i="57"/>
  <c r="BL15" i="57"/>
  <c r="BK15" i="57" s="1"/>
  <c r="E15" i="57"/>
  <c r="BG15" i="57"/>
  <c r="BD15" i="57"/>
  <c r="D15" i="57"/>
  <c r="CY14" i="57"/>
  <c r="Z14" i="57"/>
  <c r="CY13" i="57"/>
  <c r="CZ13" i="57" s="1"/>
  <c r="CU13" i="57"/>
  <c r="CS13" i="57"/>
  <c r="CQ13" i="57"/>
  <c r="CO13" i="57"/>
  <c r="CM13" i="57"/>
  <c r="CK13" i="57"/>
  <c r="CI13" i="57"/>
  <c r="CD13" i="57"/>
  <c r="CC13" i="57"/>
  <c r="CB13" i="57"/>
  <c r="BZ13" i="57"/>
  <c r="BX13" i="57"/>
  <c r="BV13" i="57"/>
  <c r="BT13" i="57"/>
  <c r="BR13" i="57"/>
  <c r="BP13" i="57"/>
  <c r="BN13" i="57"/>
  <c r="BM13" i="57" s="1"/>
  <c r="BL13" i="57"/>
  <c r="E13" i="57"/>
  <c r="BG13" i="57"/>
  <c r="BD13" i="57"/>
  <c r="CO11" i="57"/>
  <c r="CH9" i="57"/>
  <c r="BY9" i="57"/>
  <c r="BU9" i="57"/>
  <c r="AY3" i="57"/>
  <c r="AW3" i="57"/>
  <c r="AS3" i="57"/>
  <c r="AQ3" i="57"/>
  <c r="AO3" i="57"/>
  <c r="AM3" i="57"/>
  <c r="AI3" i="57"/>
  <c r="AG3" i="57"/>
  <c r="U3" i="57"/>
  <c r="O3" i="57"/>
  <c r="M3" i="57"/>
  <c r="BO211" i="20"/>
  <c r="BN211" i="20"/>
  <c r="BM211" i="20"/>
  <c r="BL211" i="20"/>
  <c r="BK211" i="20"/>
  <c r="BH211" i="20"/>
  <c r="BG211" i="20"/>
  <c r="BF211" i="20"/>
  <c r="BE211" i="20"/>
  <c r="BD211" i="20"/>
  <c r="BC211" i="20"/>
  <c r="AX211" i="20"/>
  <c r="AW211" i="20"/>
  <c r="AV211" i="20"/>
  <c r="AT211" i="20"/>
  <c r="AS211" i="20"/>
  <c r="AP211" i="20"/>
  <c r="AO211" i="20"/>
  <c r="AK211" i="20"/>
  <c r="AJ211" i="20"/>
  <c r="AI211" i="20"/>
  <c r="O211" i="20"/>
  <c r="L211" i="20"/>
  <c r="K211" i="20"/>
  <c r="E211" i="20"/>
  <c r="AN211" i="20" s="1"/>
  <c r="D211" i="20"/>
  <c r="BO210" i="20"/>
  <c r="BN210" i="20"/>
  <c r="BM210" i="20"/>
  <c r="BL210" i="20"/>
  <c r="BK210" i="20"/>
  <c r="BH210" i="20"/>
  <c r="BG210" i="20"/>
  <c r="BF210" i="20"/>
  <c r="BE210" i="20"/>
  <c r="BD210" i="20"/>
  <c r="AA210" i="20"/>
  <c r="BO209" i="20"/>
  <c r="BN209" i="20"/>
  <c r="BM209" i="20"/>
  <c r="BL209" i="20"/>
  <c r="BK209" i="20"/>
  <c r="BH209" i="20"/>
  <c r="BG209" i="20"/>
  <c r="BF209" i="20"/>
  <c r="BE209" i="20"/>
  <c r="BD209" i="20"/>
  <c r="BC209" i="20"/>
  <c r="AX209" i="20"/>
  <c r="AW209" i="20"/>
  <c r="AV209" i="20"/>
  <c r="AT209" i="20"/>
  <c r="AS209" i="20"/>
  <c r="AP209" i="20"/>
  <c r="AO209" i="20"/>
  <c r="AK209" i="20"/>
  <c r="E209" i="20" s="1"/>
  <c r="AL209" i="20" s="1"/>
  <c r="AJ209" i="20"/>
  <c r="AI209" i="20"/>
  <c r="O209" i="20"/>
  <c r="L209" i="20"/>
  <c r="K209" i="20"/>
  <c r="D209" i="20"/>
  <c r="BO208" i="20"/>
  <c r="BN208" i="20"/>
  <c r="BM208" i="20"/>
  <c r="BL208" i="20"/>
  <c r="BK208" i="20"/>
  <c r="BH208" i="20"/>
  <c r="BG208" i="20"/>
  <c r="BF208" i="20"/>
  <c r="BE208" i="20"/>
  <c r="BD208" i="20"/>
  <c r="AA208" i="20"/>
  <c r="BO207" i="20"/>
  <c r="BN207" i="20"/>
  <c r="BM207" i="20"/>
  <c r="BL207" i="20"/>
  <c r="BK207" i="20"/>
  <c r="BH207" i="20"/>
  <c r="BG207" i="20"/>
  <c r="BF207" i="20"/>
  <c r="BE207" i="20"/>
  <c r="BD207" i="20"/>
  <c r="BC207" i="20"/>
  <c r="AX207" i="20"/>
  <c r="AW207" i="20"/>
  <c r="AV207" i="20"/>
  <c r="AT207" i="20"/>
  <c r="AS207" i="20"/>
  <c r="AP207" i="20"/>
  <c r="AO207" i="20"/>
  <c r="AK207" i="20"/>
  <c r="E207" i="20" s="1"/>
  <c r="AJ207" i="20"/>
  <c r="AI207" i="20"/>
  <c r="O207" i="20"/>
  <c r="L207" i="20"/>
  <c r="K207" i="20"/>
  <c r="D207" i="20"/>
  <c r="BO206" i="20"/>
  <c r="BN206" i="20"/>
  <c r="BM206" i="20"/>
  <c r="BL206" i="20"/>
  <c r="BK206" i="20"/>
  <c r="BH206" i="20"/>
  <c r="BG206" i="20"/>
  <c r="BF206" i="20"/>
  <c r="BE206" i="20"/>
  <c r="BD206" i="20"/>
  <c r="AA206" i="20"/>
  <c r="BO205" i="20"/>
  <c r="BN205" i="20"/>
  <c r="BM205" i="20"/>
  <c r="BL205" i="20"/>
  <c r="BK205" i="20"/>
  <c r="BH205" i="20"/>
  <c r="BG205" i="20"/>
  <c r="BF205" i="20"/>
  <c r="BE205" i="20"/>
  <c r="BD205" i="20"/>
  <c r="BC205" i="20"/>
  <c r="AX205" i="20"/>
  <c r="AW205" i="20"/>
  <c r="AV205" i="20"/>
  <c r="AT205" i="20"/>
  <c r="AS205" i="20"/>
  <c r="AP205" i="20"/>
  <c r="AO205" i="20"/>
  <c r="AK205" i="20"/>
  <c r="E205" i="20" s="1"/>
  <c r="AJ205" i="20"/>
  <c r="AI205" i="20"/>
  <c r="O205" i="20"/>
  <c r="L205" i="20"/>
  <c r="K205" i="20"/>
  <c r="D205" i="20"/>
  <c r="BO204" i="20"/>
  <c r="BN204" i="20"/>
  <c r="BM204" i="20"/>
  <c r="BL204" i="20"/>
  <c r="BK204" i="20"/>
  <c r="BH204" i="20"/>
  <c r="BG204" i="20"/>
  <c r="BF204" i="20"/>
  <c r="BE204" i="20"/>
  <c r="BD204" i="20"/>
  <c r="AA204" i="20"/>
  <c r="BO203" i="20"/>
  <c r="BN203" i="20"/>
  <c r="BM203" i="20"/>
  <c r="BL203" i="20"/>
  <c r="BK203" i="20"/>
  <c r="BH203" i="20"/>
  <c r="BG203" i="20"/>
  <c r="BF203" i="20"/>
  <c r="BE203" i="20"/>
  <c r="BD203" i="20"/>
  <c r="BC203" i="20"/>
  <c r="AX203" i="20"/>
  <c r="AW203" i="20"/>
  <c r="AV203" i="20"/>
  <c r="AT203" i="20"/>
  <c r="AS203" i="20"/>
  <c r="AP203" i="20"/>
  <c r="AO203" i="20"/>
  <c r="AK203" i="20"/>
  <c r="E203" i="20" s="1"/>
  <c r="AJ203" i="20"/>
  <c r="AI203" i="20"/>
  <c r="O203" i="20"/>
  <c r="L203" i="20"/>
  <c r="K203" i="20"/>
  <c r="D203" i="20"/>
  <c r="BO202" i="20"/>
  <c r="BN202" i="20"/>
  <c r="BM202" i="20"/>
  <c r="BL202" i="20"/>
  <c r="BK202" i="20"/>
  <c r="BH202" i="20"/>
  <c r="BG202" i="20"/>
  <c r="BF202" i="20"/>
  <c r="BE202" i="20"/>
  <c r="BD202" i="20"/>
  <c r="AA202" i="20"/>
  <c r="BO201" i="20"/>
  <c r="BN201" i="20"/>
  <c r="BM201" i="20"/>
  <c r="BL201" i="20"/>
  <c r="BK201" i="20"/>
  <c r="BH201" i="20"/>
  <c r="BG201" i="20"/>
  <c r="BF201" i="20"/>
  <c r="BE201" i="20"/>
  <c r="BD201" i="20"/>
  <c r="BC201" i="20"/>
  <c r="AX201" i="20"/>
  <c r="AW201" i="20"/>
  <c r="AV201" i="20"/>
  <c r="AT201" i="20"/>
  <c r="AS201" i="20"/>
  <c r="AP201" i="20"/>
  <c r="AO201" i="20"/>
  <c r="AK201" i="20"/>
  <c r="E201" i="20" s="1"/>
  <c r="AY201" i="20" s="1"/>
  <c r="AJ201" i="20"/>
  <c r="AI201" i="20"/>
  <c r="O201" i="20"/>
  <c r="L201" i="20"/>
  <c r="K201" i="20"/>
  <c r="D201" i="20"/>
  <c r="BO200" i="20"/>
  <c r="BN200" i="20"/>
  <c r="BM200" i="20"/>
  <c r="BL200" i="20"/>
  <c r="BK200" i="20"/>
  <c r="BH200" i="20"/>
  <c r="BG200" i="20"/>
  <c r="BF200" i="20"/>
  <c r="BE200" i="20"/>
  <c r="BD200" i="20"/>
  <c r="AA200" i="20"/>
  <c r="BO199" i="20"/>
  <c r="BN199" i="20"/>
  <c r="BM199" i="20"/>
  <c r="BL199" i="20"/>
  <c r="BK199" i="20"/>
  <c r="BH199" i="20"/>
  <c r="BG199" i="20"/>
  <c r="BF199" i="20"/>
  <c r="BE199" i="20"/>
  <c r="BD199" i="20"/>
  <c r="BC199" i="20"/>
  <c r="AX199" i="20"/>
  <c r="AW199" i="20"/>
  <c r="AV199" i="20"/>
  <c r="AT199" i="20"/>
  <c r="AS199" i="20"/>
  <c r="AP199" i="20"/>
  <c r="AO199" i="20"/>
  <c r="AK199" i="20"/>
  <c r="E199" i="20" s="1"/>
  <c r="AJ199" i="20"/>
  <c r="AI199" i="20"/>
  <c r="O199" i="20"/>
  <c r="L199" i="20"/>
  <c r="K199" i="20"/>
  <c r="D199" i="20"/>
  <c r="BO198" i="20"/>
  <c r="BN198" i="20"/>
  <c r="BM198" i="20"/>
  <c r="BL198" i="20"/>
  <c r="BK198" i="20"/>
  <c r="BH198" i="20"/>
  <c r="BG198" i="20"/>
  <c r="BF198" i="20"/>
  <c r="BE198" i="20"/>
  <c r="BD198" i="20"/>
  <c r="AA198" i="20"/>
  <c r="BO197" i="20"/>
  <c r="BN197" i="20"/>
  <c r="BM197" i="20"/>
  <c r="BL197" i="20"/>
  <c r="BK197" i="20"/>
  <c r="BH197" i="20"/>
  <c r="BG197" i="20"/>
  <c r="BF197" i="20"/>
  <c r="BE197" i="20"/>
  <c r="BD197" i="20"/>
  <c r="BC197" i="20"/>
  <c r="AX197" i="20"/>
  <c r="AW197" i="20"/>
  <c r="AV197" i="20"/>
  <c r="AT197" i="20"/>
  <c r="AS197" i="20"/>
  <c r="AP197" i="20"/>
  <c r="AO197" i="20"/>
  <c r="AK197" i="20"/>
  <c r="E197" i="20" s="1"/>
  <c r="AJ197" i="20"/>
  <c r="AI197" i="20"/>
  <c r="O197" i="20"/>
  <c r="L197" i="20"/>
  <c r="K197" i="20"/>
  <c r="D197" i="20"/>
  <c r="BO196" i="20"/>
  <c r="BN196" i="20"/>
  <c r="BM196" i="20"/>
  <c r="BL196" i="20"/>
  <c r="BK196" i="20"/>
  <c r="BH196" i="20"/>
  <c r="BG196" i="20"/>
  <c r="BF196" i="20"/>
  <c r="BE196" i="20"/>
  <c r="BD196" i="20"/>
  <c r="AA196" i="20"/>
  <c r="BO195" i="20"/>
  <c r="BN195" i="20"/>
  <c r="BM195" i="20"/>
  <c r="BL195" i="20"/>
  <c r="BK195" i="20"/>
  <c r="BH195" i="20"/>
  <c r="BG195" i="20"/>
  <c r="BF195" i="20"/>
  <c r="BE195" i="20"/>
  <c r="BD195" i="20"/>
  <c r="BC195" i="20"/>
  <c r="AX195" i="20"/>
  <c r="AW195" i="20"/>
  <c r="AV195" i="20"/>
  <c r="AT195" i="20"/>
  <c r="AS195" i="20"/>
  <c r="AP195" i="20"/>
  <c r="AO195" i="20"/>
  <c r="AK195" i="20"/>
  <c r="E195" i="20" s="1"/>
  <c r="AN195" i="20" s="1"/>
  <c r="AJ195" i="20"/>
  <c r="AI195" i="20"/>
  <c r="O195" i="20"/>
  <c r="L195" i="20"/>
  <c r="K195" i="20"/>
  <c r="D195" i="20"/>
  <c r="BO194" i="20"/>
  <c r="BN194" i="20"/>
  <c r="BM194" i="20"/>
  <c r="BL194" i="20"/>
  <c r="BK194" i="20"/>
  <c r="BH194" i="20"/>
  <c r="BG194" i="20"/>
  <c r="BF194" i="20"/>
  <c r="BE194" i="20"/>
  <c r="BD194" i="20"/>
  <c r="AA194" i="20"/>
  <c r="BO193" i="20"/>
  <c r="BN193" i="20"/>
  <c r="BM193" i="20"/>
  <c r="BL193" i="20"/>
  <c r="BK193" i="20"/>
  <c r="BH193" i="20"/>
  <c r="BG193" i="20"/>
  <c r="BF193" i="20"/>
  <c r="BE193" i="20"/>
  <c r="BD193" i="20"/>
  <c r="BC193" i="20"/>
  <c r="AX193" i="20"/>
  <c r="AW193" i="20"/>
  <c r="AV193" i="20"/>
  <c r="AT193" i="20"/>
  <c r="AS193" i="20"/>
  <c r="AP193" i="20"/>
  <c r="AO193" i="20"/>
  <c r="AK193" i="20"/>
  <c r="E193" i="20" s="1"/>
  <c r="AD193" i="20" s="1"/>
  <c r="BA193" i="20" s="1"/>
  <c r="AJ193" i="20"/>
  <c r="AI193" i="20"/>
  <c r="O193" i="20"/>
  <c r="L193" i="20"/>
  <c r="K193" i="20"/>
  <c r="D193" i="20"/>
  <c r="BO192" i="20"/>
  <c r="BN192" i="20"/>
  <c r="BM192" i="20"/>
  <c r="BL192" i="20"/>
  <c r="BK192" i="20"/>
  <c r="BH192" i="20"/>
  <c r="BG192" i="20"/>
  <c r="BF192" i="20"/>
  <c r="BE192" i="20"/>
  <c r="BD192" i="20"/>
  <c r="AA192" i="20"/>
  <c r="BO191" i="20"/>
  <c r="BN191" i="20"/>
  <c r="BM191" i="20"/>
  <c r="BL191" i="20"/>
  <c r="BK191" i="20"/>
  <c r="BH191" i="20"/>
  <c r="BG191" i="20"/>
  <c r="BF191" i="20"/>
  <c r="BE191" i="20"/>
  <c r="BD191" i="20"/>
  <c r="BC191" i="20"/>
  <c r="AX191" i="20"/>
  <c r="AW191" i="20"/>
  <c r="AV191" i="20"/>
  <c r="AT191" i="20"/>
  <c r="AS191" i="20"/>
  <c r="AP191" i="20"/>
  <c r="AO191" i="20"/>
  <c r="AK191" i="20"/>
  <c r="E191" i="20" s="1"/>
  <c r="AN191" i="20" s="1"/>
  <c r="AJ191" i="20"/>
  <c r="AI191" i="20"/>
  <c r="O191" i="20"/>
  <c r="L191" i="20"/>
  <c r="K191" i="20"/>
  <c r="D191" i="20"/>
  <c r="BO190" i="20"/>
  <c r="BN190" i="20"/>
  <c r="BM190" i="20"/>
  <c r="BL190" i="20"/>
  <c r="BK190" i="20"/>
  <c r="BH190" i="20"/>
  <c r="BG190" i="20"/>
  <c r="BF190" i="20"/>
  <c r="BE190" i="20"/>
  <c r="BD190" i="20"/>
  <c r="AA190" i="20"/>
  <c r="BO189" i="20"/>
  <c r="BN189" i="20"/>
  <c r="BM189" i="20"/>
  <c r="BL189" i="20"/>
  <c r="BK189" i="20"/>
  <c r="BH189" i="20"/>
  <c r="BG189" i="20"/>
  <c r="BF189" i="20"/>
  <c r="BE189" i="20"/>
  <c r="BD189" i="20"/>
  <c r="BC189" i="20"/>
  <c r="AX189" i="20"/>
  <c r="AW189" i="20"/>
  <c r="AV189" i="20"/>
  <c r="AT189" i="20"/>
  <c r="AS189" i="20"/>
  <c r="AP189" i="20"/>
  <c r="AO189" i="20"/>
  <c r="AK189" i="20"/>
  <c r="E189" i="20" s="1"/>
  <c r="AJ189" i="20"/>
  <c r="AI189" i="20"/>
  <c r="O189" i="20"/>
  <c r="L189" i="20"/>
  <c r="K189" i="20"/>
  <c r="D189" i="20"/>
  <c r="BO188" i="20"/>
  <c r="BN188" i="20"/>
  <c r="BM188" i="20"/>
  <c r="BL188" i="20"/>
  <c r="BK188" i="20"/>
  <c r="BH188" i="20"/>
  <c r="BG188" i="20"/>
  <c r="BF188" i="20"/>
  <c r="BE188" i="20"/>
  <c r="BD188" i="20"/>
  <c r="AA188" i="20"/>
  <c r="BO187" i="20"/>
  <c r="BN187" i="20"/>
  <c r="BM187" i="20"/>
  <c r="BL187" i="20"/>
  <c r="BK187" i="20"/>
  <c r="BH187" i="20"/>
  <c r="BG187" i="20"/>
  <c r="BF187" i="20"/>
  <c r="BE187" i="20"/>
  <c r="BD187" i="20"/>
  <c r="BC187" i="20"/>
  <c r="AX187" i="20"/>
  <c r="AW187" i="20"/>
  <c r="AV187" i="20"/>
  <c r="AT187" i="20"/>
  <c r="AS187" i="20"/>
  <c r="AP187" i="20"/>
  <c r="AO187" i="20"/>
  <c r="AK187" i="20"/>
  <c r="E187" i="20" s="1"/>
  <c r="AB187" i="20" s="1"/>
  <c r="AJ187" i="20"/>
  <c r="AI187" i="20"/>
  <c r="O187" i="20"/>
  <c r="L187" i="20"/>
  <c r="K187" i="20"/>
  <c r="D187" i="20"/>
  <c r="BO186" i="20"/>
  <c r="BN186" i="20"/>
  <c r="BM186" i="20"/>
  <c r="BL186" i="20"/>
  <c r="BK186" i="20"/>
  <c r="BH186" i="20"/>
  <c r="BG186" i="20"/>
  <c r="BF186" i="20"/>
  <c r="BE186" i="20"/>
  <c r="BD186" i="20"/>
  <c r="AA186" i="20"/>
  <c r="BO185" i="20"/>
  <c r="BN185" i="20"/>
  <c r="BM185" i="20"/>
  <c r="BL185" i="20"/>
  <c r="BK185" i="20"/>
  <c r="BH185" i="20"/>
  <c r="BG185" i="20"/>
  <c r="BF185" i="20"/>
  <c r="BE185" i="20"/>
  <c r="BD185" i="20"/>
  <c r="BC185" i="20"/>
  <c r="AX185" i="20"/>
  <c r="AW185" i="20"/>
  <c r="AV185" i="20"/>
  <c r="AT185" i="20"/>
  <c r="AS185" i="20"/>
  <c r="AP185" i="20"/>
  <c r="AO185" i="20"/>
  <c r="AK185" i="20"/>
  <c r="E185" i="20" s="1"/>
  <c r="AJ185" i="20"/>
  <c r="AI185" i="20"/>
  <c r="O185" i="20"/>
  <c r="L185" i="20"/>
  <c r="K185" i="20"/>
  <c r="D185" i="20"/>
  <c r="BO184" i="20"/>
  <c r="BN184" i="20"/>
  <c r="BM184" i="20"/>
  <c r="BL184" i="20"/>
  <c r="BK184" i="20"/>
  <c r="BH184" i="20"/>
  <c r="BG184" i="20"/>
  <c r="BF184" i="20"/>
  <c r="BE184" i="20"/>
  <c r="BD184" i="20"/>
  <c r="AA184" i="20"/>
  <c r="BO183" i="20"/>
  <c r="BN183" i="20"/>
  <c r="BM183" i="20"/>
  <c r="BL183" i="20"/>
  <c r="BK183" i="20"/>
  <c r="BH183" i="20"/>
  <c r="BG183" i="20"/>
  <c r="BF183" i="20"/>
  <c r="BE183" i="20"/>
  <c r="BD183" i="20"/>
  <c r="BC183" i="20"/>
  <c r="AX183" i="20"/>
  <c r="AW183" i="20"/>
  <c r="AV183" i="20"/>
  <c r="AT183" i="20"/>
  <c r="AS183" i="20"/>
  <c r="AP183" i="20"/>
  <c r="AO183" i="20"/>
  <c r="AK183" i="20"/>
  <c r="E183" i="20" s="1"/>
  <c r="AB183" i="20" s="1"/>
  <c r="AJ183" i="20"/>
  <c r="AI183" i="20"/>
  <c r="O183" i="20"/>
  <c r="L183" i="20"/>
  <c r="K183" i="20"/>
  <c r="D183" i="20"/>
  <c r="BO182" i="20"/>
  <c r="BN182" i="20"/>
  <c r="BM182" i="20"/>
  <c r="BL182" i="20"/>
  <c r="BK182" i="20"/>
  <c r="BH182" i="20"/>
  <c r="BG182" i="20"/>
  <c r="BF182" i="20"/>
  <c r="BE182" i="20"/>
  <c r="BD182" i="20"/>
  <c r="AA182" i="20"/>
  <c r="BO181" i="20"/>
  <c r="BN181" i="20"/>
  <c r="BM181" i="20"/>
  <c r="BL181" i="20"/>
  <c r="BK181" i="20"/>
  <c r="BH181" i="20"/>
  <c r="BG181" i="20"/>
  <c r="BF181" i="20"/>
  <c r="BE181" i="20"/>
  <c r="BD181" i="20"/>
  <c r="BC181" i="20"/>
  <c r="AX181" i="20"/>
  <c r="AW181" i="20"/>
  <c r="AV181" i="20"/>
  <c r="AT181" i="20"/>
  <c r="AS181" i="20"/>
  <c r="AP181" i="20"/>
  <c r="AO181" i="20"/>
  <c r="AK181" i="20"/>
  <c r="E181" i="20" s="1"/>
  <c r="AJ181" i="20"/>
  <c r="AI181" i="20"/>
  <c r="O181" i="20"/>
  <c r="L181" i="20"/>
  <c r="K181" i="20"/>
  <c r="D181" i="20"/>
  <c r="BO180" i="20"/>
  <c r="BN180" i="20"/>
  <c r="BM180" i="20"/>
  <c r="BL180" i="20"/>
  <c r="BK180" i="20"/>
  <c r="BH180" i="20"/>
  <c r="BG180" i="20"/>
  <c r="BF180" i="20"/>
  <c r="BE180" i="20"/>
  <c r="BD180" i="20"/>
  <c r="AA180" i="20"/>
  <c r="BO179" i="20"/>
  <c r="BN179" i="20"/>
  <c r="BM179" i="20"/>
  <c r="BL179" i="20"/>
  <c r="BK179" i="20"/>
  <c r="BH179" i="20"/>
  <c r="BG179" i="20"/>
  <c r="BF179" i="20"/>
  <c r="BE179" i="20"/>
  <c r="BD179" i="20"/>
  <c r="BC179" i="20"/>
  <c r="AX179" i="20"/>
  <c r="AW179" i="20"/>
  <c r="AV179" i="20"/>
  <c r="AT179" i="20"/>
  <c r="AS179" i="20"/>
  <c r="AP179" i="20"/>
  <c r="AO179" i="20"/>
  <c r="AK179" i="20"/>
  <c r="E179" i="20" s="1"/>
  <c r="AD179" i="20" s="1"/>
  <c r="AJ179" i="20"/>
  <c r="AI179" i="20"/>
  <c r="O179" i="20"/>
  <c r="L179" i="20"/>
  <c r="K179" i="20"/>
  <c r="D179" i="20"/>
  <c r="BO178" i="20"/>
  <c r="BN178" i="20"/>
  <c r="BM178" i="20"/>
  <c r="BL178" i="20"/>
  <c r="BK178" i="20"/>
  <c r="BH178" i="20"/>
  <c r="BG178" i="20"/>
  <c r="BF178" i="20"/>
  <c r="BE178" i="20"/>
  <c r="BD178" i="20"/>
  <c r="AA178" i="20"/>
  <c r="BO177" i="20"/>
  <c r="BN177" i="20"/>
  <c r="BM177" i="20"/>
  <c r="BL177" i="20"/>
  <c r="BK177" i="20"/>
  <c r="BH177" i="20"/>
  <c r="BG177" i="20"/>
  <c r="BF177" i="20"/>
  <c r="BE177" i="20"/>
  <c r="BD177" i="20"/>
  <c r="BC177" i="20"/>
  <c r="AX177" i="20"/>
  <c r="AW177" i="20"/>
  <c r="AV177" i="20"/>
  <c r="AT177" i="20"/>
  <c r="AS177" i="20"/>
  <c r="AP177" i="20"/>
  <c r="AO177" i="20"/>
  <c r="AK177" i="20"/>
  <c r="E177" i="20" s="1"/>
  <c r="AJ177" i="20"/>
  <c r="AI177" i="20"/>
  <c r="O177" i="20"/>
  <c r="L177" i="20"/>
  <c r="K177" i="20"/>
  <c r="D177" i="20"/>
  <c r="BO176" i="20"/>
  <c r="BN176" i="20"/>
  <c r="BM176" i="20"/>
  <c r="BL176" i="20"/>
  <c r="BK176" i="20"/>
  <c r="BH176" i="20"/>
  <c r="BG176" i="20"/>
  <c r="BF176" i="20"/>
  <c r="BE176" i="20"/>
  <c r="BD176" i="20"/>
  <c r="AA176" i="20"/>
  <c r="BO175" i="20"/>
  <c r="BN175" i="20"/>
  <c r="BM175" i="20"/>
  <c r="BL175" i="20"/>
  <c r="BK175" i="20"/>
  <c r="BH175" i="20"/>
  <c r="BG175" i="20"/>
  <c r="BF175" i="20"/>
  <c r="BE175" i="20"/>
  <c r="BD175" i="20"/>
  <c r="BC175" i="20"/>
  <c r="AX175" i="20"/>
  <c r="AW175" i="20"/>
  <c r="AV175" i="20"/>
  <c r="AT175" i="20"/>
  <c r="AS175" i="20"/>
  <c r="AP175" i="20"/>
  <c r="AO175" i="20"/>
  <c r="AK175" i="20"/>
  <c r="E175" i="20" s="1"/>
  <c r="AD175" i="20" s="1"/>
  <c r="AJ175" i="20"/>
  <c r="AI175" i="20"/>
  <c r="O175" i="20"/>
  <c r="L175" i="20"/>
  <c r="K175" i="20"/>
  <c r="D175" i="20"/>
  <c r="BO174" i="20"/>
  <c r="BN174" i="20"/>
  <c r="BM174" i="20"/>
  <c r="BL174" i="20"/>
  <c r="BK174" i="20"/>
  <c r="BH174" i="20"/>
  <c r="BG174" i="20"/>
  <c r="BF174" i="20"/>
  <c r="BE174" i="20"/>
  <c r="BD174" i="20"/>
  <c r="AA174" i="20"/>
  <c r="BO173" i="20"/>
  <c r="BN173" i="20"/>
  <c r="BM173" i="20"/>
  <c r="BL173" i="20"/>
  <c r="BK173" i="20"/>
  <c r="BH173" i="20"/>
  <c r="BG173" i="20"/>
  <c r="BF173" i="20"/>
  <c r="BE173" i="20"/>
  <c r="BD173" i="20"/>
  <c r="BC173" i="20"/>
  <c r="AX173" i="20"/>
  <c r="AW173" i="20"/>
  <c r="AV173" i="20"/>
  <c r="AT173" i="20"/>
  <c r="AS173" i="20"/>
  <c r="AP173" i="20"/>
  <c r="AO173" i="20"/>
  <c r="AK173" i="20"/>
  <c r="E173" i="20" s="1"/>
  <c r="AA173" i="20" s="1"/>
  <c r="AJ173" i="20"/>
  <c r="AI173" i="20"/>
  <c r="O173" i="20"/>
  <c r="L173" i="20"/>
  <c r="K173" i="20"/>
  <c r="D173" i="20"/>
  <c r="BO172" i="20"/>
  <c r="BN172" i="20"/>
  <c r="BM172" i="20"/>
  <c r="BL172" i="20"/>
  <c r="BK172" i="20"/>
  <c r="BH172" i="20"/>
  <c r="BG172" i="20"/>
  <c r="BF172" i="20"/>
  <c r="BE172" i="20"/>
  <c r="BD172" i="20"/>
  <c r="AA172" i="20"/>
  <c r="BO171" i="20"/>
  <c r="BN171" i="20"/>
  <c r="BM171" i="20"/>
  <c r="BL171" i="20"/>
  <c r="BK171" i="20"/>
  <c r="BH171" i="20"/>
  <c r="BG171" i="20"/>
  <c r="BF171" i="20"/>
  <c r="BE171" i="20"/>
  <c r="BD171" i="20"/>
  <c r="BC171" i="20"/>
  <c r="AX171" i="20"/>
  <c r="AW171" i="20"/>
  <c r="AV171" i="20"/>
  <c r="AT171" i="20"/>
  <c r="AS171" i="20"/>
  <c r="AP171" i="20"/>
  <c r="AO171" i="20"/>
  <c r="AK171" i="20"/>
  <c r="E171" i="20" s="1"/>
  <c r="AB171" i="20" s="1"/>
  <c r="AJ171" i="20"/>
  <c r="AI171" i="20"/>
  <c r="AD171" i="20"/>
  <c r="AZ171" i="20" s="1"/>
  <c r="O171" i="20"/>
  <c r="L171" i="20"/>
  <c r="K171" i="20"/>
  <c r="D171" i="20"/>
  <c r="BO170" i="20"/>
  <c r="BN170" i="20"/>
  <c r="BM170" i="20"/>
  <c r="BL170" i="20"/>
  <c r="BK170" i="20"/>
  <c r="BH170" i="20"/>
  <c r="BG170" i="20"/>
  <c r="BF170" i="20"/>
  <c r="BE170" i="20"/>
  <c r="BD170" i="20"/>
  <c r="AA170" i="20"/>
  <c r="BO169" i="20"/>
  <c r="BN169" i="20"/>
  <c r="BM169" i="20"/>
  <c r="BL169" i="20"/>
  <c r="BK169" i="20"/>
  <c r="BH169" i="20"/>
  <c r="BG169" i="20"/>
  <c r="BF169" i="20"/>
  <c r="BE169" i="20"/>
  <c r="BD169" i="20"/>
  <c r="BC169" i="20"/>
  <c r="AX169" i="20"/>
  <c r="AW169" i="20"/>
  <c r="AV169" i="20"/>
  <c r="AT169" i="20"/>
  <c r="AS169" i="20"/>
  <c r="AP169" i="20"/>
  <c r="AO169" i="20"/>
  <c r="AK169" i="20"/>
  <c r="E169" i="20" s="1"/>
  <c r="AB169" i="20" s="1"/>
  <c r="AJ169" i="20"/>
  <c r="AI169" i="20"/>
  <c r="O169" i="20"/>
  <c r="L169" i="20"/>
  <c r="K169" i="20"/>
  <c r="D169" i="20"/>
  <c r="BO168" i="20"/>
  <c r="BN168" i="20"/>
  <c r="BM168" i="20"/>
  <c r="BL168" i="20"/>
  <c r="BK168" i="20"/>
  <c r="BH168" i="20"/>
  <c r="BG168" i="20"/>
  <c r="BF168" i="20"/>
  <c r="BE168" i="20"/>
  <c r="BD168" i="20"/>
  <c r="AA168" i="20"/>
  <c r="BO167" i="20"/>
  <c r="BN167" i="20"/>
  <c r="BM167" i="20"/>
  <c r="BL167" i="20"/>
  <c r="BK167" i="20"/>
  <c r="BH167" i="20"/>
  <c r="BG167" i="20"/>
  <c r="BF167" i="20"/>
  <c r="BE167" i="20"/>
  <c r="BD167" i="20"/>
  <c r="BC167" i="20"/>
  <c r="AX167" i="20"/>
  <c r="AW167" i="20"/>
  <c r="AV167" i="20"/>
  <c r="AT167" i="20"/>
  <c r="AS167" i="20"/>
  <c r="AP167" i="20"/>
  <c r="AO167" i="20"/>
  <c r="AK167" i="20"/>
  <c r="E167" i="20" s="1"/>
  <c r="AR167" i="20" s="1"/>
  <c r="AJ167" i="20"/>
  <c r="AI167" i="20"/>
  <c r="O167" i="20"/>
  <c r="L167" i="20"/>
  <c r="K167" i="20"/>
  <c r="D167" i="20"/>
  <c r="BO166" i="20"/>
  <c r="BN166" i="20"/>
  <c r="BM166" i="20"/>
  <c r="BL166" i="20"/>
  <c r="BK166" i="20"/>
  <c r="BH166" i="20"/>
  <c r="BG166" i="20"/>
  <c r="BF166" i="20"/>
  <c r="BE166" i="20"/>
  <c r="BD166" i="20"/>
  <c r="AA166" i="20"/>
  <c r="BO165" i="20"/>
  <c r="BN165" i="20"/>
  <c r="BM165" i="20"/>
  <c r="BL165" i="20"/>
  <c r="BK165" i="20"/>
  <c r="BH165" i="20"/>
  <c r="BG165" i="20"/>
  <c r="BF165" i="20"/>
  <c r="BE165" i="20"/>
  <c r="BD165" i="20"/>
  <c r="BC165" i="20"/>
  <c r="AX165" i="20"/>
  <c r="AW165" i="20"/>
  <c r="AV165" i="20"/>
  <c r="AT165" i="20"/>
  <c r="AS165" i="20"/>
  <c r="AP165" i="20"/>
  <c r="AO165" i="20"/>
  <c r="AK165" i="20"/>
  <c r="E165" i="20" s="1"/>
  <c r="AD165" i="20" s="1"/>
  <c r="AJ165" i="20"/>
  <c r="AI165" i="20"/>
  <c r="O165" i="20"/>
  <c r="L165" i="20"/>
  <c r="K165" i="20"/>
  <c r="D165" i="20"/>
  <c r="BO164" i="20"/>
  <c r="BN164" i="20"/>
  <c r="BM164" i="20"/>
  <c r="BL164" i="20"/>
  <c r="BK164" i="20"/>
  <c r="BH164" i="20"/>
  <c r="BG164" i="20"/>
  <c r="BF164" i="20"/>
  <c r="BE164" i="20"/>
  <c r="BD164" i="20"/>
  <c r="AA164" i="20"/>
  <c r="BO163" i="20"/>
  <c r="BN163" i="20"/>
  <c r="BM163" i="20"/>
  <c r="BL163" i="20"/>
  <c r="BK163" i="20"/>
  <c r="BH163" i="20"/>
  <c r="BG163" i="20"/>
  <c r="BF163" i="20"/>
  <c r="BE163" i="20"/>
  <c r="BD163" i="20"/>
  <c r="BC163" i="20"/>
  <c r="AX163" i="20"/>
  <c r="AW163" i="20"/>
  <c r="AV163" i="20"/>
  <c r="AT163" i="20"/>
  <c r="AS163" i="20"/>
  <c r="AP163" i="20"/>
  <c r="AO163" i="20"/>
  <c r="AK163" i="20"/>
  <c r="E163" i="20" s="1"/>
  <c r="AY163" i="20" s="1"/>
  <c r="AJ163" i="20"/>
  <c r="AI163" i="20"/>
  <c r="O163" i="20"/>
  <c r="L163" i="20"/>
  <c r="K163" i="20"/>
  <c r="D163" i="20"/>
  <c r="BO162" i="20"/>
  <c r="BN162" i="20"/>
  <c r="BM162" i="20"/>
  <c r="BL162" i="20"/>
  <c r="BK162" i="20"/>
  <c r="BH162" i="20"/>
  <c r="BG162" i="20"/>
  <c r="BF162" i="20"/>
  <c r="BE162" i="20"/>
  <c r="BD162" i="20"/>
  <c r="AA162" i="20"/>
  <c r="BO161" i="20"/>
  <c r="BN161" i="20"/>
  <c r="BM161" i="20"/>
  <c r="BL161" i="20"/>
  <c r="BK161" i="20"/>
  <c r="BH161" i="20"/>
  <c r="BG161" i="20"/>
  <c r="BF161" i="20"/>
  <c r="BE161" i="20"/>
  <c r="BD161" i="20"/>
  <c r="BC161" i="20"/>
  <c r="AX161" i="20"/>
  <c r="AW161" i="20"/>
  <c r="AV161" i="20"/>
  <c r="AT161" i="20"/>
  <c r="AS161" i="20"/>
  <c r="AP161" i="20"/>
  <c r="AO161" i="20"/>
  <c r="AK161" i="20"/>
  <c r="E161" i="20" s="1"/>
  <c r="Y161" i="20" s="1"/>
  <c r="AJ161" i="20"/>
  <c r="AI161" i="20"/>
  <c r="O161" i="20"/>
  <c r="L161" i="20"/>
  <c r="K161" i="20"/>
  <c r="D161" i="20"/>
  <c r="BO160" i="20"/>
  <c r="BN160" i="20"/>
  <c r="BM160" i="20"/>
  <c r="BL160" i="20"/>
  <c r="BK160" i="20"/>
  <c r="BH160" i="20"/>
  <c r="BG160" i="20"/>
  <c r="BF160" i="20"/>
  <c r="BE160" i="20"/>
  <c r="BD160" i="20"/>
  <c r="AA160" i="20"/>
  <c r="BO159" i="20"/>
  <c r="BN159" i="20"/>
  <c r="BM159" i="20"/>
  <c r="BL159" i="20"/>
  <c r="BK159" i="20"/>
  <c r="BH159" i="20"/>
  <c r="BG159" i="20"/>
  <c r="BF159" i="20"/>
  <c r="BE159" i="20"/>
  <c r="BD159" i="20"/>
  <c r="BC159" i="20"/>
  <c r="AX159" i="20"/>
  <c r="AW159" i="20"/>
  <c r="AV159" i="20"/>
  <c r="AT159" i="20"/>
  <c r="AS159" i="20"/>
  <c r="AP159" i="20"/>
  <c r="AO159" i="20"/>
  <c r="AK159" i="20"/>
  <c r="E159" i="20" s="1"/>
  <c r="AJ159" i="20"/>
  <c r="AI159" i="20"/>
  <c r="O159" i="20"/>
  <c r="L159" i="20"/>
  <c r="K159" i="20"/>
  <c r="D159" i="20"/>
  <c r="BO158" i="20"/>
  <c r="BN158" i="20"/>
  <c r="BM158" i="20"/>
  <c r="BL158" i="20"/>
  <c r="BK158" i="20"/>
  <c r="BH158" i="20"/>
  <c r="BG158" i="20"/>
  <c r="BF158" i="20"/>
  <c r="BE158" i="20"/>
  <c r="BD158" i="20"/>
  <c r="AA158" i="20"/>
  <c r="BO157" i="20"/>
  <c r="BN157" i="20"/>
  <c r="BM157" i="20"/>
  <c r="BL157" i="20"/>
  <c r="BK157" i="20"/>
  <c r="BH157" i="20"/>
  <c r="BG157" i="20"/>
  <c r="BF157" i="20"/>
  <c r="BE157" i="20"/>
  <c r="BD157" i="20"/>
  <c r="BC157" i="20"/>
  <c r="AX157" i="20"/>
  <c r="AW157" i="20"/>
  <c r="AV157" i="20"/>
  <c r="AT157" i="20"/>
  <c r="AS157" i="20"/>
  <c r="AP157" i="20"/>
  <c r="AO157" i="20"/>
  <c r="AK157" i="20"/>
  <c r="E157" i="20" s="1"/>
  <c r="AJ157" i="20"/>
  <c r="AI157" i="20"/>
  <c r="O157" i="20"/>
  <c r="L157" i="20"/>
  <c r="K157" i="20"/>
  <c r="D157" i="20"/>
  <c r="BO156" i="20"/>
  <c r="BN156" i="20"/>
  <c r="BM156" i="20"/>
  <c r="BL156" i="20"/>
  <c r="BK156" i="20"/>
  <c r="BH156" i="20"/>
  <c r="BG156" i="20"/>
  <c r="BF156" i="20"/>
  <c r="BE156" i="20"/>
  <c r="BD156" i="20"/>
  <c r="AA156" i="20"/>
  <c r="BO155" i="20"/>
  <c r="BN155" i="20"/>
  <c r="BM155" i="20"/>
  <c r="BL155" i="20"/>
  <c r="BK155" i="20"/>
  <c r="BH155" i="20"/>
  <c r="BG155" i="20"/>
  <c r="BF155" i="20"/>
  <c r="BE155" i="20"/>
  <c r="BD155" i="20"/>
  <c r="BC155" i="20"/>
  <c r="AX155" i="20"/>
  <c r="AW155" i="20"/>
  <c r="AV155" i="20"/>
  <c r="AT155" i="20"/>
  <c r="AS155" i="20"/>
  <c r="AP155" i="20"/>
  <c r="AO155" i="20"/>
  <c r="AK155" i="20"/>
  <c r="E155" i="20" s="1"/>
  <c r="AY155" i="20" s="1"/>
  <c r="AJ155" i="20"/>
  <c r="AI155" i="20"/>
  <c r="W155" i="20"/>
  <c r="O155" i="20"/>
  <c r="L155" i="20"/>
  <c r="K155" i="20"/>
  <c r="D155" i="20"/>
  <c r="BO154" i="20"/>
  <c r="BN154" i="20"/>
  <c r="BM154" i="20"/>
  <c r="BL154" i="20"/>
  <c r="BK154" i="20"/>
  <c r="BH154" i="20"/>
  <c r="BG154" i="20"/>
  <c r="BF154" i="20"/>
  <c r="BE154" i="20"/>
  <c r="BD154" i="20"/>
  <c r="AA154" i="20"/>
  <c r="BO153" i="20"/>
  <c r="BN153" i="20"/>
  <c r="BM153" i="20"/>
  <c r="BL153" i="20"/>
  <c r="BK153" i="20"/>
  <c r="BH153" i="20"/>
  <c r="BG153" i="20"/>
  <c r="BF153" i="20"/>
  <c r="BE153" i="20"/>
  <c r="BD153" i="20"/>
  <c r="BC153" i="20"/>
  <c r="AX153" i="20"/>
  <c r="AW153" i="20"/>
  <c r="AV153" i="20"/>
  <c r="AT153" i="20"/>
  <c r="AS153" i="20"/>
  <c r="AP153" i="20"/>
  <c r="AO153" i="20"/>
  <c r="AK153" i="20"/>
  <c r="E153" i="20" s="1"/>
  <c r="AJ153" i="20"/>
  <c r="AI153" i="20"/>
  <c r="O153" i="20"/>
  <c r="L153" i="20"/>
  <c r="K153" i="20"/>
  <c r="D153" i="20"/>
  <c r="BO152" i="20"/>
  <c r="BN152" i="20"/>
  <c r="BM152" i="20"/>
  <c r="BL152" i="20"/>
  <c r="BK152" i="20"/>
  <c r="BH152" i="20"/>
  <c r="BG152" i="20"/>
  <c r="BF152" i="20"/>
  <c r="BE152" i="20"/>
  <c r="BD152" i="20"/>
  <c r="AA152" i="20"/>
  <c r="BO151" i="20"/>
  <c r="BN151" i="20"/>
  <c r="BM151" i="20"/>
  <c r="BL151" i="20"/>
  <c r="BK151" i="20"/>
  <c r="BH151" i="20"/>
  <c r="BG151" i="20"/>
  <c r="BF151" i="20"/>
  <c r="BE151" i="20"/>
  <c r="BD151" i="20"/>
  <c r="BC151" i="20"/>
  <c r="AX151" i="20"/>
  <c r="AW151" i="20"/>
  <c r="AV151" i="20"/>
  <c r="AT151" i="20"/>
  <c r="AS151" i="20"/>
  <c r="AP151" i="20"/>
  <c r="AO151" i="20"/>
  <c r="AK151" i="20"/>
  <c r="E151" i="20" s="1"/>
  <c r="AQ151" i="20" s="1"/>
  <c r="AJ151" i="20"/>
  <c r="AI151" i="20"/>
  <c r="O151" i="20"/>
  <c r="L151" i="20"/>
  <c r="K151" i="20"/>
  <c r="D151" i="20"/>
  <c r="BO150" i="20"/>
  <c r="BN150" i="20"/>
  <c r="BM150" i="20"/>
  <c r="BL150" i="20"/>
  <c r="BK150" i="20"/>
  <c r="BH150" i="20"/>
  <c r="BG150" i="20"/>
  <c r="BF150" i="20"/>
  <c r="BE150" i="20"/>
  <c r="BD150" i="20"/>
  <c r="AA150" i="20"/>
  <c r="BO149" i="20"/>
  <c r="BN149" i="20"/>
  <c r="BM149" i="20"/>
  <c r="BL149" i="20"/>
  <c r="BK149" i="20"/>
  <c r="BH149" i="20"/>
  <c r="BG149" i="20"/>
  <c r="BF149" i="20"/>
  <c r="BE149" i="20"/>
  <c r="BD149" i="20"/>
  <c r="BC149" i="20"/>
  <c r="AX149" i="20"/>
  <c r="AW149" i="20"/>
  <c r="AV149" i="20"/>
  <c r="AT149" i="20"/>
  <c r="AS149" i="20"/>
  <c r="AP149" i="20"/>
  <c r="AO149" i="20"/>
  <c r="AK149" i="20"/>
  <c r="E149" i="20" s="1"/>
  <c r="I149" i="20" s="1"/>
  <c r="AJ149" i="20"/>
  <c r="AI149" i="20"/>
  <c r="O149" i="20"/>
  <c r="L149" i="20"/>
  <c r="K149" i="20"/>
  <c r="D149" i="20"/>
  <c r="BO148" i="20"/>
  <c r="BN148" i="20"/>
  <c r="BM148" i="20"/>
  <c r="BL148" i="20"/>
  <c r="BK148" i="20"/>
  <c r="BH148" i="20"/>
  <c r="BG148" i="20"/>
  <c r="BF148" i="20"/>
  <c r="BE148" i="20"/>
  <c r="BD148" i="20"/>
  <c r="AA148" i="20"/>
  <c r="BO147" i="20"/>
  <c r="BN147" i="20"/>
  <c r="BM147" i="20"/>
  <c r="BL147" i="20"/>
  <c r="BK147" i="20"/>
  <c r="BH147" i="20"/>
  <c r="BG147" i="20"/>
  <c r="BF147" i="20"/>
  <c r="BE147" i="20"/>
  <c r="BD147" i="20"/>
  <c r="BC147" i="20"/>
  <c r="AX147" i="20"/>
  <c r="AW147" i="20"/>
  <c r="AV147" i="20"/>
  <c r="AT147" i="20"/>
  <c r="AS147" i="20"/>
  <c r="AP147" i="20"/>
  <c r="AO147" i="20"/>
  <c r="AK147" i="20"/>
  <c r="E147" i="20" s="1"/>
  <c r="W147" i="20" s="1"/>
  <c r="AJ147" i="20"/>
  <c r="AI147" i="20"/>
  <c r="O147" i="20"/>
  <c r="L147" i="20"/>
  <c r="K147" i="20"/>
  <c r="D147" i="20"/>
  <c r="BO146" i="20"/>
  <c r="BN146" i="20"/>
  <c r="BM146" i="20"/>
  <c r="BL146" i="20"/>
  <c r="BK146" i="20"/>
  <c r="BH146" i="20"/>
  <c r="BG146" i="20"/>
  <c r="BF146" i="20"/>
  <c r="BE146" i="20"/>
  <c r="BD146" i="20"/>
  <c r="AA146" i="20"/>
  <c r="BO145" i="20"/>
  <c r="BN145" i="20"/>
  <c r="BM145" i="20"/>
  <c r="BL145" i="20"/>
  <c r="BK145" i="20"/>
  <c r="BH145" i="20"/>
  <c r="BG145" i="20"/>
  <c r="BF145" i="20"/>
  <c r="BE145" i="20"/>
  <c r="BD145" i="20"/>
  <c r="BC145" i="20"/>
  <c r="AX145" i="20"/>
  <c r="AW145" i="20"/>
  <c r="AV145" i="20"/>
  <c r="AT145" i="20"/>
  <c r="AS145" i="20"/>
  <c r="AP145" i="20"/>
  <c r="AO145" i="20"/>
  <c r="AK145" i="20"/>
  <c r="E145" i="20" s="1"/>
  <c r="AJ145" i="20"/>
  <c r="AI145" i="20"/>
  <c r="O145" i="20"/>
  <c r="L145" i="20"/>
  <c r="K145" i="20"/>
  <c r="D145" i="20"/>
  <c r="BO144" i="20"/>
  <c r="BN144" i="20"/>
  <c r="BM144" i="20"/>
  <c r="BL144" i="20"/>
  <c r="BK144" i="20"/>
  <c r="BH144" i="20"/>
  <c r="BG144" i="20"/>
  <c r="BF144" i="20"/>
  <c r="BE144" i="20"/>
  <c r="BD144" i="20"/>
  <c r="AA144" i="20"/>
  <c r="BO143" i="20"/>
  <c r="BN143" i="20"/>
  <c r="BM143" i="20"/>
  <c r="BL143" i="20"/>
  <c r="BK143" i="20"/>
  <c r="BH143" i="20"/>
  <c r="BG143" i="20"/>
  <c r="BF143" i="20"/>
  <c r="BE143" i="20"/>
  <c r="BD143" i="20"/>
  <c r="BC143" i="20"/>
  <c r="AX143" i="20"/>
  <c r="AW143" i="20"/>
  <c r="AV143" i="20"/>
  <c r="AT143" i="20"/>
  <c r="AS143" i="20"/>
  <c r="AP143" i="20"/>
  <c r="AO143" i="20"/>
  <c r="AK143" i="20"/>
  <c r="E143" i="20" s="1"/>
  <c r="AJ143" i="20"/>
  <c r="AI143" i="20"/>
  <c r="O143" i="20"/>
  <c r="L143" i="20"/>
  <c r="K143" i="20"/>
  <c r="D143" i="20"/>
  <c r="BO142" i="20"/>
  <c r="BN142" i="20"/>
  <c r="BM142" i="20"/>
  <c r="BL142" i="20"/>
  <c r="BK142" i="20"/>
  <c r="BH142" i="20"/>
  <c r="BG142" i="20"/>
  <c r="BF142" i="20"/>
  <c r="BE142" i="20"/>
  <c r="BD142" i="20"/>
  <c r="AA142" i="20"/>
  <c r="BO141" i="20"/>
  <c r="BN141" i="20"/>
  <c r="BM141" i="20"/>
  <c r="BL141" i="20"/>
  <c r="BK141" i="20"/>
  <c r="BH141" i="20"/>
  <c r="BG141" i="20"/>
  <c r="BF141" i="20"/>
  <c r="BE141" i="20"/>
  <c r="BD141" i="20"/>
  <c r="BC141" i="20"/>
  <c r="AX141" i="20"/>
  <c r="AW141" i="20"/>
  <c r="AV141" i="20"/>
  <c r="AT141" i="20"/>
  <c r="AS141" i="20"/>
  <c r="AP141" i="20"/>
  <c r="AO141" i="20"/>
  <c r="AK141" i="20"/>
  <c r="E141" i="20" s="1"/>
  <c r="AJ141" i="20"/>
  <c r="AI141" i="20"/>
  <c r="O141" i="20"/>
  <c r="L141" i="20"/>
  <c r="K141" i="20"/>
  <c r="D141" i="20"/>
  <c r="BO140" i="20"/>
  <c r="BN140" i="20"/>
  <c r="BM140" i="20"/>
  <c r="BL140" i="20"/>
  <c r="BK140" i="20"/>
  <c r="BH140" i="20"/>
  <c r="BG140" i="20"/>
  <c r="BF140" i="20"/>
  <c r="BE140" i="20"/>
  <c r="BD140" i="20"/>
  <c r="AA140" i="20"/>
  <c r="BO139" i="20"/>
  <c r="BN139" i="20"/>
  <c r="BM139" i="20"/>
  <c r="BL139" i="20"/>
  <c r="BK139" i="20"/>
  <c r="BH139" i="20"/>
  <c r="BG139" i="20"/>
  <c r="BF139" i="20"/>
  <c r="BE139" i="20"/>
  <c r="BD139" i="20"/>
  <c r="BC139" i="20"/>
  <c r="AX139" i="20"/>
  <c r="AW139" i="20"/>
  <c r="AV139" i="20"/>
  <c r="AT139" i="20"/>
  <c r="AS139" i="20"/>
  <c r="AP139" i="20"/>
  <c r="AO139" i="20"/>
  <c r="AK139" i="20"/>
  <c r="E139" i="20" s="1"/>
  <c r="AJ139" i="20"/>
  <c r="AI139" i="20"/>
  <c r="O139" i="20"/>
  <c r="L139" i="20"/>
  <c r="K139" i="20"/>
  <c r="D139" i="20"/>
  <c r="BO138" i="20"/>
  <c r="BN138" i="20"/>
  <c r="BM138" i="20"/>
  <c r="BL138" i="20"/>
  <c r="BK138" i="20"/>
  <c r="BH138" i="20"/>
  <c r="BG138" i="20"/>
  <c r="BF138" i="20"/>
  <c r="BE138" i="20"/>
  <c r="BD138" i="20"/>
  <c r="AA138" i="20"/>
  <c r="BO137" i="20"/>
  <c r="BN137" i="20"/>
  <c r="BM137" i="20"/>
  <c r="BL137" i="20"/>
  <c r="BK137" i="20"/>
  <c r="BH137" i="20"/>
  <c r="BG137" i="20"/>
  <c r="BF137" i="20"/>
  <c r="BE137" i="20"/>
  <c r="BD137" i="20"/>
  <c r="BC137" i="20"/>
  <c r="AX137" i="20"/>
  <c r="AW137" i="20"/>
  <c r="AV137" i="20"/>
  <c r="AT137" i="20"/>
  <c r="AS137" i="20"/>
  <c r="AP137" i="20"/>
  <c r="AO137" i="20"/>
  <c r="AK137" i="20"/>
  <c r="E137" i="20" s="1"/>
  <c r="AD137" i="20" s="1"/>
  <c r="BA137" i="20" s="1"/>
  <c r="AJ137" i="20"/>
  <c r="AI137" i="20"/>
  <c r="O137" i="20"/>
  <c r="L137" i="20"/>
  <c r="K137" i="20"/>
  <c r="D137" i="20"/>
  <c r="BO136" i="20"/>
  <c r="BN136" i="20"/>
  <c r="BM136" i="20"/>
  <c r="BL136" i="20"/>
  <c r="BK136" i="20"/>
  <c r="BH136" i="20"/>
  <c r="BG136" i="20"/>
  <c r="BF136" i="20"/>
  <c r="BE136" i="20"/>
  <c r="BD136" i="20"/>
  <c r="AA136" i="20"/>
  <c r="BO135" i="20"/>
  <c r="BN135" i="20"/>
  <c r="BM135" i="20"/>
  <c r="BL135" i="20"/>
  <c r="BK135" i="20"/>
  <c r="BH135" i="20"/>
  <c r="BG135" i="20"/>
  <c r="BF135" i="20"/>
  <c r="BE135" i="20"/>
  <c r="BD135" i="20"/>
  <c r="BC135" i="20"/>
  <c r="AX135" i="20"/>
  <c r="AW135" i="20"/>
  <c r="AV135" i="20"/>
  <c r="AT135" i="20"/>
  <c r="AS135" i="20"/>
  <c r="AP135" i="20"/>
  <c r="AO135" i="20"/>
  <c r="AK135" i="20"/>
  <c r="E135" i="20" s="1"/>
  <c r="AJ135" i="20"/>
  <c r="AI135" i="20"/>
  <c r="O135" i="20"/>
  <c r="L135" i="20"/>
  <c r="K135" i="20"/>
  <c r="D135" i="20"/>
  <c r="BO134" i="20"/>
  <c r="BN134" i="20"/>
  <c r="BM134" i="20"/>
  <c r="BL134" i="20"/>
  <c r="BK134" i="20"/>
  <c r="BH134" i="20"/>
  <c r="BG134" i="20"/>
  <c r="BF134" i="20"/>
  <c r="BE134" i="20"/>
  <c r="BD134" i="20"/>
  <c r="AA134" i="20"/>
  <c r="BO133" i="20"/>
  <c r="BN133" i="20"/>
  <c r="BM133" i="20"/>
  <c r="BL133" i="20"/>
  <c r="BK133" i="20"/>
  <c r="BH133" i="20"/>
  <c r="BG133" i="20"/>
  <c r="BF133" i="20"/>
  <c r="BE133" i="20"/>
  <c r="BD133" i="20"/>
  <c r="BC133" i="20"/>
  <c r="AX133" i="20"/>
  <c r="AW133" i="20"/>
  <c r="AV133" i="20"/>
  <c r="AT133" i="20"/>
  <c r="AS133" i="20"/>
  <c r="AP133" i="20"/>
  <c r="AO133" i="20"/>
  <c r="AK133" i="20"/>
  <c r="E133" i="20" s="1"/>
  <c r="AJ133" i="20"/>
  <c r="AI133" i="20"/>
  <c r="O133" i="20"/>
  <c r="L133" i="20"/>
  <c r="K133" i="20"/>
  <c r="D133" i="20"/>
  <c r="BO132" i="20"/>
  <c r="BN132" i="20"/>
  <c r="BM132" i="20"/>
  <c r="BL132" i="20"/>
  <c r="BK132" i="20"/>
  <c r="BH132" i="20"/>
  <c r="BG132" i="20"/>
  <c r="BF132" i="20"/>
  <c r="BE132" i="20"/>
  <c r="BD132" i="20"/>
  <c r="AA132" i="20"/>
  <c r="BO131" i="20"/>
  <c r="BN131" i="20"/>
  <c r="BM131" i="20"/>
  <c r="BL131" i="20"/>
  <c r="BK131" i="20"/>
  <c r="BH131" i="20"/>
  <c r="BG131" i="20"/>
  <c r="BF131" i="20"/>
  <c r="BE131" i="20"/>
  <c r="BD131" i="20"/>
  <c r="BC131" i="20"/>
  <c r="AX131" i="20"/>
  <c r="AW131" i="20"/>
  <c r="AV131" i="20"/>
  <c r="AT131" i="20"/>
  <c r="AS131" i="20"/>
  <c r="AP131" i="20"/>
  <c r="AO131" i="20"/>
  <c r="AK131" i="20"/>
  <c r="E131" i="20" s="1"/>
  <c r="AJ131" i="20"/>
  <c r="AI131" i="20"/>
  <c r="O131" i="20"/>
  <c r="L131" i="20"/>
  <c r="K131" i="20"/>
  <c r="D131" i="20"/>
  <c r="BO130" i="20"/>
  <c r="BN130" i="20"/>
  <c r="BM130" i="20"/>
  <c r="BL130" i="20"/>
  <c r="BK130" i="20"/>
  <c r="BH130" i="20"/>
  <c r="BG130" i="20"/>
  <c r="BF130" i="20"/>
  <c r="BE130" i="20"/>
  <c r="BD130" i="20"/>
  <c r="AA130" i="20"/>
  <c r="BO129" i="20"/>
  <c r="BN129" i="20"/>
  <c r="BM129" i="20"/>
  <c r="BL129" i="20"/>
  <c r="BK129" i="20"/>
  <c r="BH129" i="20"/>
  <c r="BG129" i="20"/>
  <c r="BF129" i="20"/>
  <c r="BE129" i="20"/>
  <c r="BD129" i="20"/>
  <c r="BC129" i="20"/>
  <c r="AX129" i="20"/>
  <c r="AW129" i="20"/>
  <c r="AV129" i="20"/>
  <c r="AT129" i="20"/>
  <c r="AS129" i="20"/>
  <c r="AP129" i="20"/>
  <c r="AO129" i="20"/>
  <c r="AK129" i="20"/>
  <c r="E129" i="20" s="1"/>
  <c r="AJ129" i="20"/>
  <c r="AI129" i="20"/>
  <c r="O129" i="20"/>
  <c r="L129" i="20"/>
  <c r="K129" i="20"/>
  <c r="D129" i="20"/>
  <c r="BO128" i="20"/>
  <c r="BN128" i="20"/>
  <c r="BM128" i="20"/>
  <c r="BL128" i="20"/>
  <c r="BK128" i="20"/>
  <c r="BH128" i="20"/>
  <c r="BG128" i="20"/>
  <c r="BF128" i="20"/>
  <c r="BE128" i="20"/>
  <c r="BD128" i="20"/>
  <c r="AA128" i="20"/>
  <c r="BO127" i="20"/>
  <c r="BN127" i="20"/>
  <c r="BM127" i="20"/>
  <c r="BL127" i="20"/>
  <c r="BK127" i="20"/>
  <c r="BH127" i="20"/>
  <c r="BG127" i="20"/>
  <c r="BF127" i="20"/>
  <c r="BE127" i="20"/>
  <c r="BD127" i="20"/>
  <c r="BC127" i="20"/>
  <c r="AX127" i="20"/>
  <c r="AW127" i="20"/>
  <c r="AV127" i="20"/>
  <c r="AT127" i="20"/>
  <c r="AS127" i="20"/>
  <c r="AP127" i="20"/>
  <c r="AO127" i="20"/>
  <c r="AK127" i="20"/>
  <c r="E127" i="20" s="1"/>
  <c r="AN127" i="20" s="1"/>
  <c r="AJ127" i="20"/>
  <c r="AI127" i="20"/>
  <c r="O127" i="20"/>
  <c r="L127" i="20"/>
  <c r="K127" i="20"/>
  <c r="D127" i="20"/>
  <c r="BO126" i="20"/>
  <c r="BN126" i="20"/>
  <c r="BM126" i="20"/>
  <c r="BL126" i="20"/>
  <c r="BK126" i="20"/>
  <c r="BH126" i="20"/>
  <c r="BG126" i="20"/>
  <c r="BF126" i="20"/>
  <c r="BE126" i="20"/>
  <c r="BD126" i="20"/>
  <c r="AA126" i="20"/>
  <c r="BO125" i="20"/>
  <c r="BN125" i="20"/>
  <c r="BM125" i="20"/>
  <c r="BL125" i="20"/>
  <c r="BK125" i="20"/>
  <c r="BH125" i="20"/>
  <c r="BG125" i="20"/>
  <c r="BF125" i="20"/>
  <c r="BE125" i="20"/>
  <c r="BD125" i="20"/>
  <c r="BC125" i="20"/>
  <c r="AX125" i="20"/>
  <c r="AW125" i="20"/>
  <c r="AV125" i="20"/>
  <c r="AT125" i="20"/>
  <c r="AS125" i="20"/>
  <c r="AP125" i="20"/>
  <c r="AO125" i="20"/>
  <c r="AK125" i="20"/>
  <c r="E125" i="20" s="1"/>
  <c r="AQ125" i="20" s="1"/>
  <c r="AJ125" i="20"/>
  <c r="AI125" i="20"/>
  <c r="O125" i="20"/>
  <c r="L125" i="20"/>
  <c r="K125" i="20"/>
  <c r="D125" i="20"/>
  <c r="BO124" i="20"/>
  <c r="BN124" i="20"/>
  <c r="BM124" i="20"/>
  <c r="BL124" i="20"/>
  <c r="BK124" i="20"/>
  <c r="BH124" i="20"/>
  <c r="BG124" i="20"/>
  <c r="BF124" i="20"/>
  <c r="BE124" i="20"/>
  <c r="BD124" i="20"/>
  <c r="AA124" i="20"/>
  <c r="BO123" i="20"/>
  <c r="BN123" i="20"/>
  <c r="BM123" i="20"/>
  <c r="BL123" i="20"/>
  <c r="BK123" i="20"/>
  <c r="BH123" i="20"/>
  <c r="BG123" i="20"/>
  <c r="BF123" i="20"/>
  <c r="BE123" i="20"/>
  <c r="BD123" i="20"/>
  <c r="BC123" i="20"/>
  <c r="AX123" i="20"/>
  <c r="AW123" i="20"/>
  <c r="AV123" i="20"/>
  <c r="AT123" i="20"/>
  <c r="AS123" i="20"/>
  <c r="AP123" i="20"/>
  <c r="AO123" i="20"/>
  <c r="AK123" i="20"/>
  <c r="E123" i="20" s="1"/>
  <c r="AJ123" i="20"/>
  <c r="AI123" i="20"/>
  <c r="O123" i="20"/>
  <c r="L123" i="20"/>
  <c r="K123" i="20"/>
  <c r="D123" i="20"/>
  <c r="BO122" i="20"/>
  <c r="BN122" i="20"/>
  <c r="BM122" i="20"/>
  <c r="BL122" i="20"/>
  <c r="BK122" i="20"/>
  <c r="BH122" i="20"/>
  <c r="BG122" i="20"/>
  <c r="BF122" i="20"/>
  <c r="BE122" i="20"/>
  <c r="BD122" i="20"/>
  <c r="AA122" i="20"/>
  <c r="BO121" i="20"/>
  <c r="BN121" i="20"/>
  <c r="BM121" i="20"/>
  <c r="BL121" i="20"/>
  <c r="BK121" i="20"/>
  <c r="BH121" i="20"/>
  <c r="BG121" i="20"/>
  <c r="BF121" i="20"/>
  <c r="BE121" i="20"/>
  <c r="BD121" i="20"/>
  <c r="BC121" i="20"/>
  <c r="AX121" i="20"/>
  <c r="AW121" i="20"/>
  <c r="AV121" i="20"/>
  <c r="AT121" i="20"/>
  <c r="AS121" i="20"/>
  <c r="AP121" i="20"/>
  <c r="AO121" i="20"/>
  <c r="AK121" i="20"/>
  <c r="E121" i="20" s="1"/>
  <c r="AJ121" i="20"/>
  <c r="AI121" i="20"/>
  <c r="O121" i="20"/>
  <c r="L121" i="20"/>
  <c r="K121" i="20"/>
  <c r="D121" i="20"/>
  <c r="BO120" i="20"/>
  <c r="BN120" i="20"/>
  <c r="BM120" i="20"/>
  <c r="BL120" i="20"/>
  <c r="BK120" i="20"/>
  <c r="BH120" i="20"/>
  <c r="BG120" i="20"/>
  <c r="BF120" i="20"/>
  <c r="BE120" i="20"/>
  <c r="BD120" i="20"/>
  <c r="AA120" i="20"/>
  <c r="BO119" i="20"/>
  <c r="BN119" i="20"/>
  <c r="BM119" i="20"/>
  <c r="BL119" i="20"/>
  <c r="BK119" i="20"/>
  <c r="BH119" i="20"/>
  <c r="BG119" i="20"/>
  <c r="BF119" i="20"/>
  <c r="BE119" i="20"/>
  <c r="BD119" i="20"/>
  <c r="BC119" i="20"/>
  <c r="AX119" i="20"/>
  <c r="AW119" i="20"/>
  <c r="AV119" i="20"/>
  <c r="AT119" i="20"/>
  <c r="AS119" i="20"/>
  <c r="AP119" i="20"/>
  <c r="AO119" i="20"/>
  <c r="AK119" i="20"/>
  <c r="E119" i="20" s="1"/>
  <c r="AJ119" i="20"/>
  <c r="AI119" i="20"/>
  <c r="O119" i="20"/>
  <c r="L119" i="20"/>
  <c r="K119" i="20"/>
  <c r="D119" i="20"/>
  <c r="BO118" i="20"/>
  <c r="BN118" i="20"/>
  <c r="BM118" i="20"/>
  <c r="BL118" i="20"/>
  <c r="BK118" i="20"/>
  <c r="BH118" i="20"/>
  <c r="BG118" i="20"/>
  <c r="BF118" i="20"/>
  <c r="BE118" i="20"/>
  <c r="BD118" i="20"/>
  <c r="AA118" i="20"/>
  <c r="BO117" i="20"/>
  <c r="BN117" i="20"/>
  <c r="BM117" i="20"/>
  <c r="BL117" i="20"/>
  <c r="BK117" i="20"/>
  <c r="BH117" i="20"/>
  <c r="BG117" i="20"/>
  <c r="BF117" i="20"/>
  <c r="BE117" i="20"/>
  <c r="BD117" i="20"/>
  <c r="BC117" i="20"/>
  <c r="AX117" i="20"/>
  <c r="AW117" i="20"/>
  <c r="AV117" i="20"/>
  <c r="AT117" i="20"/>
  <c r="AS117" i="20"/>
  <c r="AP117" i="20"/>
  <c r="AO117" i="20"/>
  <c r="AK117" i="20"/>
  <c r="E117" i="20" s="1"/>
  <c r="AM117" i="20" s="1"/>
  <c r="AJ117" i="20"/>
  <c r="AI117" i="20"/>
  <c r="O117" i="20"/>
  <c r="L117" i="20"/>
  <c r="K117" i="20"/>
  <c r="D117" i="20"/>
  <c r="BO116" i="20"/>
  <c r="BN116" i="20"/>
  <c r="BM116" i="20"/>
  <c r="BL116" i="20"/>
  <c r="BK116" i="20"/>
  <c r="BH116" i="20"/>
  <c r="BG116" i="20"/>
  <c r="BF116" i="20"/>
  <c r="BE116" i="20"/>
  <c r="BD116" i="20"/>
  <c r="AA116" i="20"/>
  <c r="BO115" i="20"/>
  <c r="BN115" i="20"/>
  <c r="BM115" i="20"/>
  <c r="BL115" i="20"/>
  <c r="BK115" i="20"/>
  <c r="BH115" i="20"/>
  <c r="BG115" i="20"/>
  <c r="BF115" i="20"/>
  <c r="BE115" i="20"/>
  <c r="BD115" i="20"/>
  <c r="BC115" i="20"/>
  <c r="AX115" i="20"/>
  <c r="AW115" i="20"/>
  <c r="AV115" i="20"/>
  <c r="AT115" i="20"/>
  <c r="AS115" i="20"/>
  <c r="AP115" i="20"/>
  <c r="AO115" i="20"/>
  <c r="AK115" i="20"/>
  <c r="E115" i="20" s="1"/>
  <c r="AU115" i="20" s="1"/>
  <c r="AJ115" i="20"/>
  <c r="AI115" i="20"/>
  <c r="O115" i="20"/>
  <c r="L115" i="20"/>
  <c r="K115" i="20"/>
  <c r="D115" i="20"/>
  <c r="BO114" i="20"/>
  <c r="BN114" i="20"/>
  <c r="BM114" i="20"/>
  <c r="BL114" i="20"/>
  <c r="BK114" i="20"/>
  <c r="BH114" i="20"/>
  <c r="BG114" i="20"/>
  <c r="BF114" i="20"/>
  <c r="BE114" i="20"/>
  <c r="BD114" i="20"/>
  <c r="AA114" i="20"/>
  <c r="BO113" i="20"/>
  <c r="BN113" i="20"/>
  <c r="BM113" i="20"/>
  <c r="BL113" i="20"/>
  <c r="BK113" i="20"/>
  <c r="BH113" i="20"/>
  <c r="BG113" i="20"/>
  <c r="BF113" i="20"/>
  <c r="BE113" i="20"/>
  <c r="BD113" i="20"/>
  <c r="BC113" i="20"/>
  <c r="AX113" i="20"/>
  <c r="AW113" i="20"/>
  <c r="AV113" i="20"/>
  <c r="AT113" i="20"/>
  <c r="AS113" i="20"/>
  <c r="AP113" i="20"/>
  <c r="AO113" i="20"/>
  <c r="AK113" i="20"/>
  <c r="E113" i="20" s="1"/>
  <c r="AJ113" i="20"/>
  <c r="AI113" i="20"/>
  <c r="O113" i="20"/>
  <c r="L113" i="20"/>
  <c r="K113" i="20"/>
  <c r="D113" i="20"/>
  <c r="BO112" i="20"/>
  <c r="BN112" i="20"/>
  <c r="BM112" i="20"/>
  <c r="BL112" i="20"/>
  <c r="BK112" i="20"/>
  <c r="BH112" i="20"/>
  <c r="BG112" i="20"/>
  <c r="BF112" i="20"/>
  <c r="BE112" i="20"/>
  <c r="BD112" i="20"/>
  <c r="AA112" i="20"/>
  <c r="BO111" i="20"/>
  <c r="BN111" i="20"/>
  <c r="BM111" i="20"/>
  <c r="BL111" i="20"/>
  <c r="BK111" i="20"/>
  <c r="BH111" i="20"/>
  <c r="BG111" i="20"/>
  <c r="BF111" i="20"/>
  <c r="BE111" i="20"/>
  <c r="BD111" i="20"/>
  <c r="BC111" i="20"/>
  <c r="AX111" i="20"/>
  <c r="AW111" i="20"/>
  <c r="AV111" i="20"/>
  <c r="AT111" i="20"/>
  <c r="AS111" i="20"/>
  <c r="AP111" i="20"/>
  <c r="AO111" i="20"/>
  <c r="AK111" i="20"/>
  <c r="E111" i="20" s="1"/>
  <c r="Y111" i="20" s="1"/>
  <c r="AJ111" i="20"/>
  <c r="AI111" i="20"/>
  <c r="O111" i="20"/>
  <c r="L111" i="20"/>
  <c r="K111" i="20"/>
  <c r="D111" i="20"/>
  <c r="BO110" i="20"/>
  <c r="BN110" i="20"/>
  <c r="BM110" i="20"/>
  <c r="BL110" i="20"/>
  <c r="BK110" i="20"/>
  <c r="BH110" i="20"/>
  <c r="BG110" i="20"/>
  <c r="BF110" i="20"/>
  <c r="BE110" i="20"/>
  <c r="BD110" i="20"/>
  <c r="AA110" i="20"/>
  <c r="BO109" i="20"/>
  <c r="BN109" i="20"/>
  <c r="BM109" i="20"/>
  <c r="BL109" i="20"/>
  <c r="BK109" i="20"/>
  <c r="BH109" i="20"/>
  <c r="BG109" i="20"/>
  <c r="BF109" i="20"/>
  <c r="BE109" i="20"/>
  <c r="BD109" i="20"/>
  <c r="BC109" i="20"/>
  <c r="AX109" i="20"/>
  <c r="AW109" i="20"/>
  <c r="AV109" i="20"/>
  <c r="AT109" i="20"/>
  <c r="AS109" i="20"/>
  <c r="AP109" i="20"/>
  <c r="AO109" i="20"/>
  <c r="AK109" i="20"/>
  <c r="E109" i="20" s="1"/>
  <c r="AN109" i="20" s="1"/>
  <c r="AJ109" i="20"/>
  <c r="AI109" i="20"/>
  <c r="O109" i="20"/>
  <c r="L109" i="20"/>
  <c r="K109" i="20"/>
  <c r="D109" i="20"/>
  <c r="BO108" i="20"/>
  <c r="BN108" i="20"/>
  <c r="BM108" i="20"/>
  <c r="BL108" i="20"/>
  <c r="BK108" i="20"/>
  <c r="BH108" i="20"/>
  <c r="BG108" i="20"/>
  <c r="BF108" i="20"/>
  <c r="BE108" i="20"/>
  <c r="BD108" i="20"/>
  <c r="AA108" i="20"/>
  <c r="BO107" i="20"/>
  <c r="BN107" i="20"/>
  <c r="BM107" i="20"/>
  <c r="BL107" i="20"/>
  <c r="BK107" i="20"/>
  <c r="BH107" i="20"/>
  <c r="BG107" i="20"/>
  <c r="BF107" i="20"/>
  <c r="BE107" i="20"/>
  <c r="BD107" i="20"/>
  <c r="BC107" i="20"/>
  <c r="AX107" i="20"/>
  <c r="AW107" i="20"/>
  <c r="AV107" i="20"/>
  <c r="AT107" i="20"/>
  <c r="AS107" i="20"/>
  <c r="AP107" i="20"/>
  <c r="AO107" i="20"/>
  <c r="AK107" i="20"/>
  <c r="E107" i="20" s="1"/>
  <c r="AM107" i="20" s="1"/>
  <c r="AJ107" i="20"/>
  <c r="AI107" i="20"/>
  <c r="O107" i="20"/>
  <c r="L107" i="20"/>
  <c r="K107" i="20"/>
  <c r="D107" i="20"/>
  <c r="BO106" i="20"/>
  <c r="BN106" i="20"/>
  <c r="BM106" i="20"/>
  <c r="BL106" i="20"/>
  <c r="BK106" i="20"/>
  <c r="BH106" i="20"/>
  <c r="BG106" i="20"/>
  <c r="BF106" i="20"/>
  <c r="BE106" i="20"/>
  <c r="BD106" i="20"/>
  <c r="AA106" i="20"/>
  <c r="BO105" i="20"/>
  <c r="BN105" i="20"/>
  <c r="BM105" i="20"/>
  <c r="BL105" i="20"/>
  <c r="BK105" i="20"/>
  <c r="BH105" i="20"/>
  <c r="BG105" i="20"/>
  <c r="BF105" i="20"/>
  <c r="BE105" i="20"/>
  <c r="BD105" i="20"/>
  <c r="BC105" i="20"/>
  <c r="AX105" i="20"/>
  <c r="AW105" i="20"/>
  <c r="AV105" i="20"/>
  <c r="AT105" i="20"/>
  <c r="AS105" i="20"/>
  <c r="AP105" i="20"/>
  <c r="AO105" i="20"/>
  <c r="AK105" i="20"/>
  <c r="E105" i="20" s="1"/>
  <c r="AJ105" i="20"/>
  <c r="AI105" i="20"/>
  <c r="O105" i="20"/>
  <c r="L105" i="20"/>
  <c r="K105" i="20"/>
  <c r="D105" i="20"/>
  <c r="BO104" i="20"/>
  <c r="BN104" i="20"/>
  <c r="BM104" i="20"/>
  <c r="BL104" i="20"/>
  <c r="BK104" i="20"/>
  <c r="BH104" i="20"/>
  <c r="BG104" i="20"/>
  <c r="BF104" i="20"/>
  <c r="BE104" i="20"/>
  <c r="BD104" i="20"/>
  <c r="AA104" i="20"/>
  <c r="BO103" i="20"/>
  <c r="BN103" i="20"/>
  <c r="BM103" i="20"/>
  <c r="BL103" i="20"/>
  <c r="BK103" i="20"/>
  <c r="BH103" i="20"/>
  <c r="BG103" i="20"/>
  <c r="BF103" i="20"/>
  <c r="BE103" i="20"/>
  <c r="BD103" i="20"/>
  <c r="BC103" i="20"/>
  <c r="AX103" i="20"/>
  <c r="AW103" i="20"/>
  <c r="AV103" i="20"/>
  <c r="AT103" i="20"/>
  <c r="AS103" i="20"/>
  <c r="AP103" i="20"/>
  <c r="AO103" i="20"/>
  <c r="AK103" i="20"/>
  <c r="E103" i="20" s="1"/>
  <c r="AJ103" i="20"/>
  <c r="AI103" i="20"/>
  <c r="O103" i="20"/>
  <c r="L103" i="20"/>
  <c r="K103" i="20"/>
  <c r="D103" i="20"/>
  <c r="BO102" i="20"/>
  <c r="BN102" i="20"/>
  <c r="BM102" i="20"/>
  <c r="BL102" i="20"/>
  <c r="BK102" i="20"/>
  <c r="BH102" i="20"/>
  <c r="BG102" i="20"/>
  <c r="BF102" i="20"/>
  <c r="BE102" i="20"/>
  <c r="BD102" i="20"/>
  <c r="AA102" i="20"/>
  <c r="BO101" i="20"/>
  <c r="BN101" i="20"/>
  <c r="BM101" i="20"/>
  <c r="BL101" i="20"/>
  <c r="BK101" i="20"/>
  <c r="BH101" i="20"/>
  <c r="BG101" i="20"/>
  <c r="BF101" i="20"/>
  <c r="BE101" i="20"/>
  <c r="BD101" i="20"/>
  <c r="BC101" i="20"/>
  <c r="AX101" i="20"/>
  <c r="AW101" i="20"/>
  <c r="AV101" i="20"/>
  <c r="AT101" i="20"/>
  <c r="AS101" i="20"/>
  <c r="AP101" i="20"/>
  <c r="AO101" i="20"/>
  <c r="AK101" i="20"/>
  <c r="E101" i="20" s="1"/>
  <c r="I101" i="20" s="1"/>
  <c r="AJ101" i="20"/>
  <c r="AI101" i="20"/>
  <c r="W101" i="20"/>
  <c r="O101" i="20"/>
  <c r="L101" i="20"/>
  <c r="K101" i="20"/>
  <c r="D101" i="20"/>
  <c r="BO100" i="20"/>
  <c r="BN100" i="20"/>
  <c r="BM100" i="20"/>
  <c r="BL100" i="20"/>
  <c r="BK100" i="20"/>
  <c r="BH100" i="20"/>
  <c r="BG100" i="20"/>
  <c r="BF100" i="20"/>
  <c r="BE100" i="20"/>
  <c r="BD100" i="20"/>
  <c r="AA100" i="20"/>
  <c r="BO99" i="20"/>
  <c r="BN99" i="20"/>
  <c r="BM99" i="20"/>
  <c r="BL99" i="20"/>
  <c r="BK99" i="20"/>
  <c r="BH99" i="20"/>
  <c r="BG99" i="20"/>
  <c r="BF99" i="20"/>
  <c r="BE99" i="20"/>
  <c r="BD99" i="20"/>
  <c r="BC99" i="20"/>
  <c r="AX99" i="20"/>
  <c r="AW99" i="20"/>
  <c r="AV99" i="20"/>
  <c r="AT99" i="20"/>
  <c r="AS99" i="20"/>
  <c r="AP99" i="20"/>
  <c r="AO99" i="20"/>
  <c r="AK99" i="20"/>
  <c r="E99" i="20" s="1"/>
  <c r="AJ99" i="20"/>
  <c r="AI99" i="20"/>
  <c r="O99" i="20"/>
  <c r="L99" i="20"/>
  <c r="K99" i="20"/>
  <c r="D99" i="20"/>
  <c r="BO98" i="20"/>
  <c r="BN98" i="20"/>
  <c r="BM98" i="20"/>
  <c r="BL98" i="20"/>
  <c r="BK98" i="20"/>
  <c r="BH98" i="20"/>
  <c r="BG98" i="20"/>
  <c r="BF98" i="20"/>
  <c r="BE98" i="20"/>
  <c r="BD98" i="20"/>
  <c r="AA98" i="20"/>
  <c r="BO97" i="20"/>
  <c r="BN97" i="20"/>
  <c r="BM97" i="20"/>
  <c r="BL97" i="20"/>
  <c r="BK97" i="20"/>
  <c r="BH97" i="20"/>
  <c r="BG97" i="20"/>
  <c r="BF97" i="20"/>
  <c r="BE97" i="20"/>
  <c r="BD97" i="20"/>
  <c r="BC97" i="20"/>
  <c r="AX97" i="20"/>
  <c r="AW97" i="20"/>
  <c r="AV97" i="20"/>
  <c r="AT97" i="20"/>
  <c r="AS97" i="20"/>
  <c r="AP97" i="20"/>
  <c r="AO97" i="20"/>
  <c r="AK97" i="20"/>
  <c r="E97" i="20" s="1"/>
  <c r="AY97" i="20" s="1"/>
  <c r="AJ97" i="20"/>
  <c r="AI97" i="20"/>
  <c r="O97" i="20"/>
  <c r="L97" i="20"/>
  <c r="K97" i="20"/>
  <c r="D97" i="20"/>
  <c r="BO96" i="20"/>
  <c r="BN96" i="20"/>
  <c r="BM96" i="20"/>
  <c r="BL96" i="20"/>
  <c r="BK96" i="20"/>
  <c r="BH96" i="20"/>
  <c r="BG96" i="20"/>
  <c r="BF96" i="20"/>
  <c r="BE96" i="20"/>
  <c r="BD96" i="20"/>
  <c r="AA96" i="20"/>
  <c r="BO95" i="20"/>
  <c r="BN95" i="20"/>
  <c r="BM95" i="20"/>
  <c r="BL95" i="20"/>
  <c r="BK95" i="20"/>
  <c r="BH95" i="20"/>
  <c r="BG95" i="20"/>
  <c r="BI95" i="20" s="1"/>
  <c r="BJ95" i="20" s="1"/>
  <c r="BF95" i="20"/>
  <c r="BE95" i="20"/>
  <c r="BD95" i="20"/>
  <c r="BC95" i="20"/>
  <c r="AX95" i="20"/>
  <c r="AW95" i="20"/>
  <c r="AV95" i="20"/>
  <c r="AT95" i="20"/>
  <c r="AS95" i="20"/>
  <c r="AP95" i="20"/>
  <c r="AO95" i="20"/>
  <c r="AK95" i="20"/>
  <c r="E95" i="20" s="1"/>
  <c r="BB95" i="20" s="1"/>
  <c r="AJ95" i="20"/>
  <c r="AI95" i="20"/>
  <c r="O95" i="20"/>
  <c r="L95" i="20"/>
  <c r="K95" i="20"/>
  <c r="D95" i="20"/>
  <c r="BO94" i="20"/>
  <c r="BN94" i="20"/>
  <c r="BM94" i="20"/>
  <c r="BL94" i="20"/>
  <c r="BK94" i="20"/>
  <c r="BH94" i="20"/>
  <c r="BG94" i="20"/>
  <c r="BF94" i="20"/>
  <c r="BE94" i="20"/>
  <c r="BD94" i="20"/>
  <c r="AA94" i="20"/>
  <c r="BO93" i="20"/>
  <c r="BN93" i="20"/>
  <c r="BM93" i="20"/>
  <c r="BL93" i="20"/>
  <c r="BK93" i="20"/>
  <c r="BH93" i="20"/>
  <c r="BG93" i="20"/>
  <c r="BF93" i="20"/>
  <c r="BE93" i="20"/>
  <c r="BD93" i="20"/>
  <c r="BC93" i="20"/>
  <c r="AX93" i="20"/>
  <c r="AW93" i="20"/>
  <c r="AV93" i="20"/>
  <c r="AT93" i="20"/>
  <c r="AS93" i="20"/>
  <c r="AP93" i="20"/>
  <c r="AO93" i="20"/>
  <c r="AK93" i="20"/>
  <c r="E93" i="20" s="1"/>
  <c r="Y93" i="20" s="1"/>
  <c r="AJ93" i="20"/>
  <c r="AI93" i="20"/>
  <c r="O93" i="20"/>
  <c r="L93" i="20"/>
  <c r="K93" i="20"/>
  <c r="D93" i="20"/>
  <c r="BO92" i="20"/>
  <c r="BN92" i="20"/>
  <c r="BM92" i="20"/>
  <c r="BL92" i="20"/>
  <c r="BK92" i="20"/>
  <c r="BH92" i="20"/>
  <c r="BG92" i="20"/>
  <c r="BF92" i="20"/>
  <c r="BE92" i="20"/>
  <c r="BD92" i="20"/>
  <c r="AA92" i="20"/>
  <c r="BO91" i="20"/>
  <c r="BN91" i="20"/>
  <c r="BM91" i="20"/>
  <c r="BL91" i="20"/>
  <c r="BK91" i="20"/>
  <c r="BH91" i="20"/>
  <c r="BG91" i="20"/>
  <c r="BF91" i="20"/>
  <c r="BE91" i="20"/>
  <c r="BD91" i="20"/>
  <c r="BC91" i="20"/>
  <c r="AX91" i="20"/>
  <c r="AW91" i="20"/>
  <c r="AV91" i="20"/>
  <c r="AT91" i="20"/>
  <c r="AS91" i="20"/>
  <c r="AP91" i="20"/>
  <c r="AO91" i="20"/>
  <c r="AK91" i="20"/>
  <c r="E91" i="20" s="1"/>
  <c r="Y91" i="20" s="1"/>
  <c r="AJ91" i="20"/>
  <c r="AI91" i="20"/>
  <c r="O91" i="20"/>
  <c r="L91" i="20"/>
  <c r="K91" i="20"/>
  <c r="D91" i="20"/>
  <c r="BO90" i="20"/>
  <c r="BN90" i="20"/>
  <c r="BM90" i="20"/>
  <c r="BL90" i="20"/>
  <c r="BK90" i="20"/>
  <c r="BH90" i="20"/>
  <c r="BG90" i="20"/>
  <c r="BF90" i="20"/>
  <c r="BE90" i="20"/>
  <c r="BD90" i="20"/>
  <c r="AA90" i="20"/>
  <c r="BO89" i="20"/>
  <c r="BN89" i="20"/>
  <c r="BM89" i="20"/>
  <c r="BL89" i="20"/>
  <c r="BK89" i="20"/>
  <c r="BH89" i="20"/>
  <c r="BG89" i="20"/>
  <c r="BF89" i="20"/>
  <c r="BE89" i="20"/>
  <c r="BD89" i="20"/>
  <c r="BC89" i="20"/>
  <c r="AX89" i="20"/>
  <c r="AW89" i="20"/>
  <c r="AV89" i="20"/>
  <c r="AT89" i="20"/>
  <c r="AS89" i="20"/>
  <c r="AP89" i="20"/>
  <c r="AO89" i="20"/>
  <c r="AK89" i="20"/>
  <c r="E89" i="20" s="1"/>
  <c r="AA89" i="20" s="1"/>
  <c r="AJ89" i="20"/>
  <c r="AI89" i="20"/>
  <c r="O89" i="20"/>
  <c r="L89" i="20"/>
  <c r="K89" i="20"/>
  <c r="D89" i="20"/>
  <c r="BO88" i="20"/>
  <c r="BN88" i="20"/>
  <c r="BM88" i="20"/>
  <c r="BL88" i="20"/>
  <c r="BK88" i="20"/>
  <c r="BH88" i="20"/>
  <c r="BG88" i="20"/>
  <c r="BF88" i="20"/>
  <c r="BE88" i="20"/>
  <c r="BD88" i="20"/>
  <c r="AA88" i="20"/>
  <c r="BO87" i="20"/>
  <c r="BN87" i="20"/>
  <c r="BM87" i="20"/>
  <c r="BL87" i="20"/>
  <c r="BK87" i="20"/>
  <c r="BH87" i="20"/>
  <c r="BG87" i="20"/>
  <c r="BF87" i="20"/>
  <c r="BE87" i="20"/>
  <c r="BD87" i="20"/>
  <c r="BC87" i="20"/>
  <c r="AX87" i="20"/>
  <c r="AW87" i="20"/>
  <c r="AV87" i="20"/>
  <c r="AT87" i="20"/>
  <c r="AS87" i="20"/>
  <c r="AP87" i="20"/>
  <c r="AO87" i="20"/>
  <c r="AK87" i="20"/>
  <c r="E87" i="20" s="1"/>
  <c r="W87" i="20" s="1"/>
  <c r="AJ87" i="20"/>
  <c r="AI87" i="20"/>
  <c r="O87" i="20"/>
  <c r="L87" i="20"/>
  <c r="K87" i="20"/>
  <c r="D87" i="20"/>
  <c r="BO86" i="20"/>
  <c r="BN86" i="20"/>
  <c r="BM86" i="20"/>
  <c r="BL86" i="20"/>
  <c r="BK86" i="20"/>
  <c r="BH86" i="20"/>
  <c r="BG86" i="20"/>
  <c r="BF86" i="20"/>
  <c r="BE86" i="20"/>
  <c r="BD86" i="20"/>
  <c r="AA86" i="20"/>
  <c r="BO85" i="20"/>
  <c r="BN85" i="20"/>
  <c r="BM85" i="20"/>
  <c r="BL85" i="20"/>
  <c r="BK85" i="20"/>
  <c r="BH85" i="20"/>
  <c r="BG85" i="20"/>
  <c r="BF85" i="20"/>
  <c r="BE85" i="20"/>
  <c r="BD85" i="20"/>
  <c r="BC85" i="20"/>
  <c r="AX85" i="20"/>
  <c r="AW85" i="20"/>
  <c r="AV85" i="20"/>
  <c r="AT85" i="20"/>
  <c r="AS85" i="20"/>
  <c r="AP85" i="20"/>
  <c r="AO85" i="20"/>
  <c r="AK85" i="20"/>
  <c r="E85" i="20" s="1"/>
  <c r="AJ85" i="20"/>
  <c r="AI85" i="20"/>
  <c r="O85" i="20"/>
  <c r="L85" i="20"/>
  <c r="K85" i="20"/>
  <c r="D85" i="20"/>
  <c r="BO84" i="20"/>
  <c r="BN84" i="20"/>
  <c r="BM84" i="20"/>
  <c r="BL84" i="20"/>
  <c r="BK84" i="20"/>
  <c r="BH84" i="20"/>
  <c r="BG84" i="20"/>
  <c r="BF84" i="20"/>
  <c r="BE84" i="20"/>
  <c r="BD84" i="20"/>
  <c r="AA84" i="20"/>
  <c r="BO83" i="20"/>
  <c r="BN83" i="20"/>
  <c r="BM83" i="20"/>
  <c r="BL83" i="20"/>
  <c r="BK83" i="20"/>
  <c r="BH83" i="20"/>
  <c r="BG83" i="20"/>
  <c r="BF83" i="20"/>
  <c r="BE83" i="20"/>
  <c r="BD83" i="20"/>
  <c r="BC83" i="20"/>
  <c r="AX83" i="20"/>
  <c r="AW83" i="20"/>
  <c r="AV83" i="20"/>
  <c r="AT83" i="20"/>
  <c r="AS83" i="20"/>
  <c r="AP83" i="20"/>
  <c r="AO83" i="20"/>
  <c r="AK83" i="20"/>
  <c r="E83" i="20" s="1"/>
  <c r="Q83" i="20" s="1"/>
  <c r="AJ83" i="20"/>
  <c r="AI83" i="20"/>
  <c r="AD83" i="20"/>
  <c r="AZ83" i="20" s="1"/>
  <c r="O83" i="20"/>
  <c r="L83" i="20"/>
  <c r="K83" i="20"/>
  <c r="D83" i="20"/>
  <c r="BO82" i="20"/>
  <c r="BN82" i="20"/>
  <c r="BM82" i="20"/>
  <c r="BL82" i="20"/>
  <c r="BK82" i="20"/>
  <c r="BH82" i="20"/>
  <c r="BG82" i="20"/>
  <c r="BF82" i="20"/>
  <c r="BE82" i="20"/>
  <c r="BD82" i="20"/>
  <c r="AA82" i="20"/>
  <c r="BO81" i="20"/>
  <c r="BN81" i="20"/>
  <c r="BM81" i="20"/>
  <c r="BL81" i="20"/>
  <c r="BK81" i="20"/>
  <c r="BH81" i="20"/>
  <c r="BG81" i="20"/>
  <c r="BF81" i="20"/>
  <c r="BE81" i="20"/>
  <c r="BD81" i="20"/>
  <c r="BC81" i="20"/>
  <c r="AX81" i="20"/>
  <c r="AW81" i="20"/>
  <c r="AV81" i="20"/>
  <c r="AT81" i="20"/>
  <c r="AS81" i="20"/>
  <c r="AP81" i="20"/>
  <c r="AO81" i="20"/>
  <c r="AK81" i="20"/>
  <c r="E81" i="20" s="1"/>
  <c r="AM81" i="20" s="1"/>
  <c r="AJ81" i="20"/>
  <c r="AI81" i="20"/>
  <c r="O81" i="20"/>
  <c r="L81" i="20"/>
  <c r="K81" i="20"/>
  <c r="D81" i="20"/>
  <c r="BO80" i="20"/>
  <c r="BN80" i="20"/>
  <c r="BM80" i="20"/>
  <c r="BL80" i="20"/>
  <c r="BK80" i="20"/>
  <c r="BH80" i="20"/>
  <c r="BG80" i="20"/>
  <c r="BF80" i="20"/>
  <c r="BE80" i="20"/>
  <c r="BD80" i="20"/>
  <c r="AA80" i="20"/>
  <c r="BO79" i="20"/>
  <c r="BN79" i="20"/>
  <c r="BM79" i="20"/>
  <c r="BL79" i="20"/>
  <c r="BK79" i="20"/>
  <c r="BH79" i="20"/>
  <c r="BG79" i="20"/>
  <c r="BF79" i="20"/>
  <c r="BE79" i="20"/>
  <c r="BD79" i="20"/>
  <c r="BC79" i="20"/>
  <c r="AX79" i="20"/>
  <c r="AW79" i="20"/>
  <c r="AV79" i="20"/>
  <c r="AT79" i="20"/>
  <c r="AS79" i="20"/>
  <c r="AP79" i="20"/>
  <c r="AO79" i="20"/>
  <c r="AK79" i="20"/>
  <c r="E79" i="20" s="1"/>
  <c r="AD79" i="20" s="1"/>
  <c r="AJ79" i="20"/>
  <c r="AI79" i="20"/>
  <c r="O79" i="20"/>
  <c r="L79" i="20"/>
  <c r="K79" i="20"/>
  <c r="D79" i="20"/>
  <c r="BO78" i="20"/>
  <c r="BN78" i="20"/>
  <c r="BM78" i="20"/>
  <c r="BL78" i="20"/>
  <c r="BK78" i="20"/>
  <c r="BH78" i="20"/>
  <c r="BG78" i="20"/>
  <c r="BF78" i="20"/>
  <c r="BE78" i="20"/>
  <c r="BD78" i="20"/>
  <c r="AA78" i="20"/>
  <c r="BO77" i="20"/>
  <c r="BN77" i="20"/>
  <c r="BM77" i="20"/>
  <c r="BL77" i="20"/>
  <c r="BK77" i="20"/>
  <c r="BH77" i="20"/>
  <c r="BG77" i="20"/>
  <c r="BF77" i="20"/>
  <c r="BE77" i="20"/>
  <c r="BD77" i="20"/>
  <c r="BC77" i="20"/>
  <c r="AX77" i="20"/>
  <c r="AW77" i="20"/>
  <c r="AV77" i="20"/>
  <c r="AT77" i="20"/>
  <c r="AS77" i="20"/>
  <c r="AP77" i="20"/>
  <c r="AO77" i="20"/>
  <c r="AK77" i="20"/>
  <c r="E77" i="20" s="1"/>
  <c r="AJ77" i="20"/>
  <c r="AI77" i="20"/>
  <c r="O77" i="20"/>
  <c r="L77" i="20"/>
  <c r="K77" i="20"/>
  <c r="D77" i="20"/>
  <c r="BO76" i="20"/>
  <c r="BN76" i="20"/>
  <c r="BM76" i="20"/>
  <c r="BL76" i="20"/>
  <c r="BK76" i="20"/>
  <c r="BH76" i="20"/>
  <c r="BG76" i="20"/>
  <c r="BF76" i="20"/>
  <c r="BE76" i="20"/>
  <c r="BD76" i="20"/>
  <c r="AA76" i="20"/>
  <c r="BO75" i="20"/>
  <c r="BN75" i="20"/>
  <c r="BM75" i="20"/>
  <c r="BL75" i="20"/>
  <c r="BK75" i="20"/>
  <c r="BH75" i="20"/>
  <c r="BG75" i="20"/>
  <c r="BF75" i="20"/>
  <c r="BE75" i="20"/>
  <c r="BD75" i="20"/>
  <c r="BC75" i="20"/>
  <c r="AX75" i="20"/>
  <c r="AW75" i="20"/>
  <c r="AV75" i="20"/>
  <c r="AT75" i="20"/>
  <c r="AS75" i="20"/>
  <c r="AP75" i="20"/>
  <c r="AO75" i="20"/>
  <c r="AK75" i="20"/>
  <c r="E75" i="20" s="1"/>
  <c r="AJ75" i="20"/>
  <c r="AI75" i="20"/>
  <c r="O75" i="20"/>
  <c r="L75" i="20"/>
  <c r="K75" i="20"/>
  <c r="D75" i="20"/>
  <c r="BO74" i="20"/>
  <c r="BN74" i="20"/>
  <c r="BM74" i="20"/>
  <c r="BL74" i="20"/>
  <c r="BK74" i="20"/>
  <c r="BH74" i="20"/>
  <c r="BG74" i="20"/>
  <c r="BF74" i="20"/>
  <c r="BE74" i="20"/>
  <c r="BD74" i="20"/>
  <c r="AA74" i="20"/>
  <c r="BO73" i="20"/>
  <c r="BN73" i="20"/>
  <c r="BM73" i="20"/>
  <c r="BL73" i="20"/>
  <c r="BK73" i="20"/>
  <c r="BH73" i="20"/>
  <c r="BG73" i="20"/>
  <c r="BF73" i="20"/>
  <c r="BE73" i="20"/>
  <c r="BD73" i="20"/>
  <c r="BC73" i="20"/>
  <c r="AX73" i="20"/>
  <c r="AW73" i="20"/>
  <c r="AV73" i="20"/>
  <c r="AT73" i="20"/>
  <c r="AS73" i="20"/>
  <c r="AP73" i="20"/>
  <c r="AO73" i="20"/>
  <c r="AK73" i="20"/>
  <c r="E73" i="20" s="1"/>
  <c r="AU73" i="20" s="1"/>
  <c r="AJ73" i="20"/>
  <c r="AI73" i="20"/>
  <c r="O73" i="20"/>
  <c r="L73" i="20"/>
  <c r="K73" i="20"/>
  <c r="D73" i="20"/>
  <c r="BO72" i="20"/>
  <c r="BN72" i="20"/>
  <c r="BM72" i="20"/>
  <c r="BL72" i="20"/>
  <c r="BK72" i="20"/>
  <c r="BH72" i="20"/>
  <c r="BG72" i="20"/>
  <c r="BF72" i="20"/>
  <c r="BE72" i="20"/>
  <c r="BD72" i="20"/>
  <c r="AA72" i="20"/>
  <c r="BO71" i="20"/>
  <c r="BN71" i="20"/>
  <c r="BM71" i="20"/>
  <c r="BL71" i="20"/>
  <c r="BK71" i="20"/>
  <c r="BH71" i="20"/>
  <c r="BG71" i="20"/>
  <c r="BF71" i="20"/>
  <c r="BE71" i="20"/>
  <c r="BD71" i="20"/>
  <c r="BC71" i="20"/>
  <c r="AX71" i="20"/>
  <c r="AW71" i="20"/>
  <c r="AV71" i="20"/>
  <c r="AT71" i="20"/>
  <c r="AS71" i="20"/>
  <c r="AP71" i="20"/>
  <c r="AO71" i="20"/>
  <c r="AK71" i="20"/>
  <c r="E71" i="20" s="1"/>
  <c r="AY71" i="20" s="1"/>
  <c r="AJ71" i="20"/>
  <c r="AI71" i="20"/>
  <c r="O71" i="20"/>
  <c r="L71" i="20"/>
  <c r="K71" i="20"/>
  <c r="D71" i="20"/>
  <c r="BO70" i="20"/>
  <c r="BN70" i="20"/>
  <c r="BM70" i="20"/>
  <c r="BL70" i="20"/>
  <c r="BK70" i="20"/>
  <c r="BH70" i="20"/>
  <c r="BG70" i="20"/>
  <c r="BF70" i="20"/>
  <c r="BE70" i="20"/>
  <c r="BD70" i="20"/>
  <c r="AA70" i="20"/>
  <c r="BO69" i="20"/>
  <c r="BN69" i="20"/>
  <c r="BM69" i="20"/>
  <c r="BL69" i="20"/>
  <c r="BK69" i="20"/>
  <c r="BH69" i="20"/>
  <c r="BG69" i="20"/>
  <c r="BF69" i="20"/>
  <c r="BE69" i="20"/>
  <c r="BD69" i="20"/>
  <c r="BC69" i="20"/>
  <c r="AX69" i="20"/>
  <c r="AW69" i="20"/>
  <c r="AV69" i="20"/>
  <c r="AT69" i="20"/>
  <c r="AS69" i="20"/>
  <c r="AP69" i="20"/>
  <c r="AO69" i="20"/>
  <c r="AK69" i="20"/>
  <c r="E69" i="20" s="1"/>
  <c r="AJ69" i="20"/>
  <c r="AI69" i="20"/>
  <c r="O69" i="20"/>
  <c r="L69" i="20"/>
  <c r="K69" i="20"/>
  <c r="D69" i="20"/>
  <c r="BO68" i="20"/>
  <c r="BN68" i="20"/>
  <c r="BM68" i="20"/>
  <c r="BL68" i="20"/>
  <c r="BK68" i="20"/>
  <c r="BH68" i="20"/>
  <c r="BG68" i="20"/>
  <c r="BF68" i="20"/>
  <c r="BE68" i="20"/>
  <c r="BD68" i="20"/>
  <c r="AA68" i="20"/>
  <c r="BO67" i="20"/>
  <c r="BN67" i="20"/>
  <c r="BM67" i="20"/>
  <c r="BL67" i="20"/>
  <c r="BK67" i="20"/>
  <c r="BH67" i="20"/>
  <c r="BG67" i="20"/>
  <c r="BF67" i="20"/>
  <c r="BE67" i="20"/>
  <c r="BD67" i="20"/>
  <c r="BC67" i="20"/>
  <c r="AX67" i="20"/>
  <c r="AW67" i="20"/>
  <c r="AV67" i="20"/>
  <c r="AT67" i="20"/>
  <c r="AS67" i="20"/>
  <c r="AP67" i="20"/>
  <c r="AO67" i="20"/>
  <c r="AK67" i="20"/>
  <c r="E67" i="20" s="1"/>
  <c r="AJ67" i="20"/>
  <c r="AI67" i="20"/>
  <c r="O67" i="20"/>
  <c r="L67" i="20"/>
  <c r="K67" i="20"/>
  <c r="D67" i="20"/>
  <c r="BO66" i="20"/>
  <c r="BN66" i="20"/>
  <c r="BM66" i="20"/>
  <c r="BL66" i="20"/>
  <c r="BK66" i="20"/>
  <c r="BH66" i="20"/>
  <c r="BG66" i="20"/>
  <c r="BF66" i="20"/>
  <c r="BE66" i="20"/>
  <c r="BD66" i="20"/>
  <c r="AA66" i="20"/>
  <c r="BO65" i="20"/>
  <c r="BN65" i="20"/>
  <c r="BM65" i="20"/>
  <c r="BL65" i="20"/>
  <c r="BK65" i="20"/>
  <c r="BH65" i="20"/>
  <c r="BG65" i="20"/>
  <c r="BF65" i="20"/>
  <c r="BE65" i="20"/>
  <c r="BD65" i="20"/>
  <c r="BC65" i="20"/>
  <c r="AX65" i="20"/>
  <c r="AW65" i="20"/>
  <c r="AV65" i="20"/>
  <c r="AT65" i="20"/>
  <c r="AS65" i="20"/>
  <c r="AP65" i="20"/>
  <c r="AO65" i="20"/>
  <c r="AK65" i="20"/>
  <c r="E65" i="20" s="1"/>
  <c r="AB65" i="20" s="1"/>
  <c r="AJ65" i="20"/>
  <c r="AI65" i="20"/>
  <c r="O65" i="20"/>
  <c r="L65" i="20"/>
  <c r="K65" i="20"/>
  <c r="D65" i="20"/>
  <c r="BO64" i="20"/>
  <c r="BN64" i="20"/>
  <c r="BM64" i="20"/>
  <c r="BL64" i="20"/>
  <c r="BK64" i="20"/>
  <c r="BH64" i="20"/>
  <c r="BG64" i="20"/>
  <c r="BF64" i="20"/>
  <c r="BE64" i="20"/>
  <c r="BD64" i="20"/>
  <c r="AA64" i="20"/>
  <c r="BO63" i="20"/>
  <c r="BN63" i="20"/>
  <c r="BM63" i="20"/>
  <c r="BL63" i="20"/>
  <c r="BK63" i="20"/>
  <c r="BH63" i="20"/>
  <c r="BG63" i="20"/>
  <c r="BF63" i="20"/>
  <c r="BE63" i="20"/>
  <c r="BD63" i="20"/>
  <c r="BC63" i="20"/>
  <c r="AX63" i="20"/>
  <c r="AW63" i="20"/>
  <c r="AV63" i="20"/>
  <c r="AT63" i="20"/>
  <c r="AS63" i="20"/>
  <c r="AP63" i="20"/>
  <c r="AO63" i="20"/>
  <c r="AK63" i="20"/>
  <c r="E63" i="20" s="1"/>
  <c r="AJ63" i="20"/>
  <c r="AI63" i="20"/>
  <c r="O63" i="20"/>
  <c r="L63" i="20"/>
  <c r="K63" i="20"/>
  <c r="D63" i="20"/>
  <c r="BO62" i="20"/>
  <c r="BN62" i="20"/>
  <c r="BM62" i="20"/>
  <c r="BL62" i="20"/>
  <c r="BK62" i="20"/>
  <c r="BH62" i="20"/>
  <c r="BG62" i="20"/>
  <c r="BF62" i="20"/>
  <c r="BE62" i="20"/>
  <c r="BD62" i="20"/>
  <c r="AA62" i="20"/>
  <c r="BO61" i="20"/>
  <c r="BN61" i="20"/>
  <c r="BM61" i="20"/>
  <c r="BL61" i="20"/>
  <c r="BK61" i="20"/>
  <c r="BH61" i="20"/>
  <c r="BG61" i="20"/>
  <c r="BF61" i="20"/>
  <c r="BE61" i="20"/>
  <c r="BD61" i="20"/>
  <c r="BC61" i="20"/>
  <c r="AX61" i="20"/>
  <c r="AW61" i="20"/>
  <c r="AV61" i="20"/>
  <c r="AT61" i="20"/>
  <c r="AS61" i="20"/>
  <c r="AP61" i="20"/>
  <c r="AO61" i="20"/>
  <c r="AK61" i="20"/>
  <c r="E61" i="20" s="1"/>
  <c r="AR61" i="20" s="1"/>
  <c r="AJ61" i="20"/>
  <c r="AI61" i="20"/>
  <c r="O61" i="20"/>
  <c r="L61" i="20"/>
  <c r="K61" i="20"/>
  <c r="D61" i="20"/>
  <c r="BO60" i="20"/>
  <c r="BN60" i="20"/>
  <c r="BM60" i="20"/>
  <c r="BL60" i="20"/>
  <c r="BK60" i="20"/>
  <c r="BH60" i="20"/>
  <c r="BG60" i="20"/>
  <c r="BF60" i="20"/>
  <c r="BE60" i="20"/>
  <c r="BD60" i="20"/>
  <c r="AA60" i="20"/>
  <c r="BO59" i="20"/>
  <c r="BN59" i="20"/>
  <c r="BM59" i="20"/>
  <c r="BL59" i="20"/>
  <c r="BK59" i="20"/>
  <c r="BH59" i="20"/>
  <c r="BG59" i="20"/>
  <c r="BF59" i="20"/>
  <c r="BE59" i="20"/>
  <c r="BD59" i="20"/>
  <c r="BC59" i="20"/>
  <c r="AX59" i="20"/>
  <c r="AW59" i="20"/>
  <c r="AV59" i="20"/>
  <c r="AT59" i="20"/>
  <c r="AS59" i="20"/>
  <c r="AP59" i="20"/>
  <c r="AO59" i="20"/>
  <c r="AK59" i="20"/>
  <c r="E59" i="20" s="1"/>
  <c r="AJ59" i="20"/>
  <c r="AI59" i="20"/>
  <c r="O59" i="20"/>
  <c r="L59" i="20"/>
  <c r="K59" i="20"/>
  <c r="D59" i="20"/>
  <c r="BO58" i="20"/>
  <c r="BN58" i="20"/>
  <c r="BM58" i="20"/>
  <c r="BL58" i="20"/>
  <c r="BK58" i="20"/>
  <c r="BH58" i="20"/>
  <c r="BG58" i="20"/>
  <c r="BF58" i="20"/>
  <c r="BE58" i="20"/>
  <c r="BD58" i="20"/>
  <c r="AA58" i="20"/>
  <c r="BO57" i="20"/>
  <c r="BN57" i="20"/>
  <c r="BM57" i="20"/>
  <c r="BL57" i="20"/>
  <c r="BK57" i="20"/>
  <c r="BH57" i="20"/>
  <c r="BG57" i="20"/>
  <c r="BF57" i="20"/>
  <c r="BE57" i="20"/>
  <c r="BD57" i="20"/>
  <c r="BC57" i="20"/>
  <c r="AX57" i="20"/>
  <c r="AW57" i="20"/>
  <c r="AV57" i="20"/>
  <c r="AT57" i="20"/>
  <c r="AS57" i="20"/>
  <c r="AP57" i="20"/>
  <c r="AO57" i="20"/>
  <c r="AK57" i="20"/>
  <c r="E57" i="20" s="1"/>
  <c r="AJ57" i="20"/>
  <c r="AI57" i="20"/>
  <c r="O57" i="20"/>
  <c r="L57" i="20"/>
  <c r="K57" i="20"/>
  <c r="D57" i="20"/>
  <c r="BO56" i="20"/>
  <c r="BN56" i="20"/>
  <c r="BM56" i="20"/>
  <c r="BL56" i="20"/>
  <c r="BK56" i="20"/>
  <c r="BH56" i="20"/>
  <c r="BG56" i="20"/>
  <c r="BF56" i="20"/>
  <c r="BE56" i="20"/>
  <c r="BD56" i="20"/>
  <c r="AA56" i="20"/>
  <c r="BO55" i="20"/>
  <c r="BN55" i="20"/>
  <c r="BM55" i="20"/>
  <c r="BL55" i="20"/>
  <c r="BK55" i="20"/>
  <c r="BH55" i="20"/>
  <c r="BG55" i="20"/>
  <c r="BF55" i="20"/>
  <c r="BE55" i="20"/>
  <c r="BD55" i="20"/>
  <c r="BC55" i="20"/>
  <c r="AX55" i="20"/>
  <c r="AW55" i="20"/>
  <c r="AV55" i="20"/>
  <c r="AT55" i="20"/>
  <c r="AS55" i="20"/>
  <c r="AP55" i="20"/>
  <c r="AO55" i="20"/>
  <c r="AK55" i="20"/>
  <c r="E55" i="20" s="1"/>
  <c r="AQ55" i="20" s="1"/>
  <c r="AJ55" i="20"/>
  <c r="AI55" i="20"/>
  <c r="O55" i="20"/>
  <c r="L55" i="20"/>
  <c r="K55" i="20"/>
  <c r="D55" i="20"/>
  <c r="BO54" i="20"/>
  <c r="BN54" i="20"/>
  <c r="BM54" i="20"/>
  <c r="BL54" i="20"/>
  <c r="BK54" i="20"/>
  <c r="BH54" i="20"/>
  <c r="BG54" i="20"/>
  <c r="BF54" i="20"/>
  <c r="BE54" i="20"/>
  <c r="BD54" i="20"/>
  <c r="AA54" i="20"/>
  <c r="BO53" i="20"/>
  <c r="BN53" i="20"/>
  <c r="BM53" i="20"/>
  <c r="BL53" i="20"/>
  <c r="BK53" i="20"/>
  <c r="BH53" i="20"/>
  <c r="BG53" i="20"/>
  <c r="BF53" i="20"/>
  <c r="BE53" i="20"/>
  <c r="BD53" i="20"/>
  <c r="BC53" i="20"/>
  <c r="AX53" i="20"/>
  <c r="AW53" i="20"/>
  <c r="AV53" i="20"/>
  <c r="AT53" i="20"/>
  <c r="AS53" i="20"/>
  <c r="AP53" i="20"/>
  <c r="AO53" i="20"/>
  <c r="AK53" i="20"/>
  <c r="E53" i="20" s="1"/>
  <c r="AJ53" i="20"/>
  <c r="AI53" i="20"/>
  <c r="O53" i="20"/>
  <c r="L53" i="20"/>
  <c r="K53" i="20"/>
  <c r="D53" i="20"/>
  <c r="BO52" i="20"/>
  <c r="BN52" i="20"/>
  <c r="BM52" i="20"/>
  <c r="BL52" i="20"/>
  <c r="BK52" i="20"/>
  <c r="BH52" i="20"/>
  <c r="BG52" i="20"/>
  <c r="BF52" i="20"/>
  <c r="BE52" i="20"/>
  <c r="BD52" i="20"/>
  <c r="AA52" i="20"/>
  <c r="BO51" i="20"/>
  <c r="BN51" i="20"/>
  <c r="BM51" i="20"/>
  <c r="BL51" i="20"/>
  <c r="BK51" i="20"/>
  <c r="BH51" i="20"/>
  <c r="BG51" i="20"/>
  <c r="BF51" i="20"/>
  <c r="BE51" i="20"/>
  <c r="BD51" i="20"/>
  <c r="BC51" i="20"/>
  <c r="AX51" i="20"/>
  <c r="AW51" i="20"/>
  <c r="AV51" i="20"/>
  <c r="AT51" i="20"/>
  <c r="AS51" i="20"/>
  <c r="AP51" i="20"/>
  <c r="AO51" i="20"/>
  <c r="AK51" i="20"/>
  <c r="E51" i="20" s="1"/>
  <c r="AA51" i="20" s="1"/>
  <c r="AJ51" i="20"/>
  <c r="AI51" i="20"/>
  <c r="O51" i="20"/>
  <c r="L51" i="20"/>
  <c r="K51" i="20"/>
  <c r="D51" i="20"/>
  <c r="BO50" i="20"/>
  <c r="BN50" i="20"/>
  <c r="BM50" i="20"/>
  <c r="BL50" i="20"/>
  <c r="BK50" i="20"/>
  <c r="BH50" i="20"/>
  <c r="BG50" i="20"/>
  <c r="BF50" i="20"/>
  <c r="BE50" i="20"/>
  <c r="BD50" i="20"/>
  <c r="AA50" i="20"/>
  <c r="BO49" i="20"/>
  <c r="BN49" i="20"/>
  <c r="BM49" i="20"/>
  <c r="BL49" i="20"/>
  <c r="BK49" i="20"/>
  <c r="BH49" i="20"/>
  <c r="BG49" i="20"/>
  <c r="BF49" i="20"/>
  <c r="BE49" i="20"/>
  <c r="BD49" i="20"/>
  <c r="BC49" i="20"/>
  <c r="AX49" i="20"/>
  <c r="AW49" i="20"/>
  <c r="AV49" i="20"/>
  <c r="AT49" i="20"/>
  <c r="AS49" i="20"/>
  <c r="AP49" i="20"/>
  <c r="AO49" i="20"/>
  <c r="AK49" i="20"/>
  <c r="E49" i="20" s="1"/>
  <c r="AJ49" i="20"/>
  <c r="AI49" i="20"/>
  <c r="O49" i="20"/>
  <c r="L49" i="20"/>
  <c r="K49" i="20"/>
  <c r="D49" i="20"/>
  <c r="BO48" i="20"/>
  <c r="BN48" i="20"/>
  <c r="BM48" i="20"/>
  <c r="BL48" i="20"/>
  <c r="BK48" i="20"/>
  <c r="BH48" i="20"/>
  <c r="BG48" i="20"/>
  <c r="BF48" i="20"/>
  <c r="BE48" i="20"/>
  <c r="BD48" i="20"/>
  <c r="AA48" i="20"/>
  <c r="BO47" i="20"/>
  <c r="BN47" i="20"/>
  <c r="BM47" i="20"/>
  <c r="BL47" i="20"/>
  <c r="BK47" i="20"/>
  <c r="BH47" i="20"/>
  <c r="BG47" i="20"/>
  <c r="BF47" i="20"/>
  <c r="BE47" i="20"/>
  <c r="BD47" i="20"/>
  <c r="BC47" i="20"/>
  <c r="AX47" i="20"/>
  <c r="AW47" i="20"/>
  <c r="AV47" i="20"/>
  <c r="AT47" i="20"/>
  <c r="AS47" i="20"/>
  <c r="AP47" i="20"/>
  <c r="AO47" i="20"/>
  <c r="AK47" i="20"/>
  <c r="E47" i="20" s="1"/>
  <c r="AJ47" i="20"/>
  <c r="AI47" i="20"/>
  <c r="O47" i="20"/>
  <c r="L47" i="20"/>
  <c r="K47" i="20"/>
  <c r="D47" i="20"/>
  <c r="BO46" i="20"/>
  <c r="BN46" i="20"/>
  <c r="BM46" i="20"/>
  <c r="BL46" i="20"/>
  <c r="BK46" i="20"/>
  <c r="BH46" i="20"/>
  <c r="BG46" i="20"/>
  <c r="BF46" i="20"/>
  <c r="BE46" i="20"/>
  <c r="BD46" i="20"/>
  <c r="AA46" i="20"/>
  <c r="BO45" i="20"/>
  <c r="BN45" i="20"/>
  <c r="BM45" i="20"/>
  <c r="BL45" i="20"/>
  <c r="BK45" i="20"/>
  <c r="BH45" i="20"/>
  <c r="BG45" i="20"/>
  <c r="BF45" i="20"/>
  <c r="BE45" i="20"/>
  <c r="BD45" i="20"/>
  <c r="BC45" i="20"/>
  <c r="AX45" i="20"/>
  <c r="AW45" i="20"/>
  <c r="AV45" i="20"/>
  <c r="AT45" i="20"/>
  <c r="AS45" i="20"/>
  <c r="AP45" i="20"/>
  <c r="AO45" i="20"/>
  <c r="AK45" i="20"/>
  <c r="E45" i="20" s="1"/>
  <c r="AD45" i="20" s="1"/>
  <c r="AJ45" i="20"/>
  <c r="AI45" i="20"/>
  <c r="O45" i="20"/>
  <c r="L45" i="20"/>
  <c r="K45" i="20"/>
  <c r="D45" i="20"/>
  <c r="BO44" i="20"/>
  <c r="BN44" i="20"/>
  <c r="BM44" i="20"/>
  <c r="BL44" i="20"/>
  <c r="BK44" i="20"/>
  <c r="BH44" i="20"/>
  <c r="BG44" i="20"/>
  <c r="BF44" i="20"/>
  <c r="BE44" i="20"/>
  <c r="BD44" i="20"/>
  <c r="AA44" i="20"/>
  <c r="BO43" i="20"/>
  <c r="BN43" i="20"/>
  <c r="BM43" i="20"/>
  <c r="BL43" i="20"/>
  <c r="BK43" i="20"/>
  <c r="BH43" i="20"/>
  <c r="BG43" i="20"/>
  <c r="BF43" i="20"/>
  <c r="BE43" i="20"/>
  <c r="BD43" i="20"/>
  <c r="BC43" i="20"/>
  <c r="AX43" i="20"/>
  <c r="AW43" i="20"/>
  <c r="AV43" i="20"/>
  <c r="AT43" i="20"/>
  <c r="AS43" i="20"/>
  <c r="AP43" i="20"/>
  <c r="AO43" i="20"/>
  <c r="AK43" i="20"/>
  <c r="E43" i="20" s="1"/>
  <c r="AR43" i="20" s="1"/>
  <c r="AJ43" i="20"/>
  <c r="AI43" i="20"/>
  <c r="O43" i="20"/>
  <c r="L43" i="20"/>
  <c r="K43" i="20"/>
  <c r="D43" i="20"/>
  <c r="BO42" i="20"/>
  <c r="BN42" i="20"/>
  <c r="BM42" i="20"/>
  <c r="BL42" i="20"/>
  <c r="BK42" i="20"/>
  <c r="BH42" i="20"/>
  <c r="BG42" i="20"/>
  <c r="BF42" i="20"/>
  <c r="BE42" i="20"/>
  <c r="BD42" i="20"/>
  <c r="AA42" i="20"/>
  <c r="BO41" i="20"/>
  <c r="BN41" i="20"/>
  <c r="BM41" i="20"/>
  <c r="BL41" i="20"/>
  <c r="BK41" i="20"/>
  <c r="BH41" i="20"/>
  <c r="BG41" i="20"/>
  <c r="BF41" i="20"/>
  <c r="BE41" i="20"/>
  <c r="BD41" i="20"/>
  <c r="BC41" i="20"/>
  <c r="AX41" i="20"/>
  <c r="AW41" i="20"/>
  <c r="AV41" i="20"/>
  <c r="AT41" i="20"/>
  <c r="AS41" i="20"/>
  <c r="AP41" i="20"/>
  <c r="AO41" i="20"/>
  <c r="AK41" i="20"/>
  <c r="E41" i="20" s="1"/>
  <c r="AJ41" i="20"/>
  <c r="AI41" i="20"/>
  <c r="O41" i="20"/>
  <c r="L41" i="20"/>
  <c r="K41" i="20"/>
  <c r="D41" i="20"/>
  <c r="BO40" i="20"/>
  <c r="BN40" i="20"/>
  <c r="BM40" i="20"/>
  <c r="BL40" i="20"/>
  <c r="BK40" i="20"/>
  <c r="BH40" i="20"/>
  <c r="BG40" i="20"/>
  <c r="BF40" i="20"/>
  <c r="BE40" i="20"/>
  <c r="BD40" i="20"/>
  <c r="AA40" i="20"/>
  <c r="BO39" i="20"/>
  <c r="BN39" i="20"/>
  <c r="BM39" i="20"/>
  <c r="BL39" i="20"/>
  <c r="BK39" i="20"/>
  <c r="BH39" i="20"/>
  <c r="BG39" i="20"/>
  <c r="BF39" i="20"/>
  <c r="BE39" i="20"/>
  <c r="BD39" i="20"/>
  <c r="BC39" i="20"/>
  <c r="AX39" i="20"/>
  <c r="AW39" i="20"/>
  <c r="AV39" i="20"/>
  <c r="AT39" i="20"/>
  <c r="AS39" i="20"/>
  <c r="AP39" i="20"/>
  <c r="AO39" i="20"/>
  <c r="AK39" i="20"/>
  <c r="E39" i="20" s="1"/>
  <c r="AD39" i="20" s="1"/>
  <c r="AJ39" i="20"/>
  <c r="AI39" i="20"/>
  <c r="O39" i="20"/>
  <c r="L39" i="20"/>
  <c r="K39" i="20"/>
  <c r="D39" i="20"/>
  <c r="BO38" i="20"/>
  <c r="BN38" i="20"/>
  <c r="BM38" i="20"/>
  <c r="BL38" i="20"/>
  <c r="BK38" i="20"/>
  <c r="BH38" i="20"/>
  <c r="BG38" i="20"/>
  <c r="BF38" i="20"/>
  <c r="BE38" i="20"/>
  <c r="BD38" i="20"/>
  <c r="AA38" i="20"/>
  <c r="BO37" i="20"/>
  <c r="BN37" i="20"/>
  <c r="BM37" i="20"/>
  <c r="BL37" i="20"/>
  <c r="BK37" i="20"/>
  <c r="BH37" i="20"/>
  <c r="BG37" i="20"/>
  <c r="BF37" i="20"/>
  <c r="BE37" i="20"/>
  <c r="BD37" i="20"/>
  <c r="BC37" i="20"/>
  <c r="AX37" i="20"/>
  <c r="AW37" i="20"/>
  <c r="AV37" i="20"/>
  <c r="AT37" i="20"/>
  <c r="AS37" i="20"/>
  <c r="AP37" i="20"/>
  <c r="AO37" i="20"/>
  <c r="AK37" i="20"/>
  <c r="E37" i="20" s="1"/>
  <c r="W37" i="20" s="1"/>
  <c r="AJ37" i="20"/>
  <c r="AI37" i="20"/>
  <c r="O37" i="20"/>
  <c r="L37" i="20"/>
  <c r="K37" i="20"/>
  <c r="D37" i="20"/>
  <c r="BO36" i="20"/>
  <c r="BN36" i="20"/>
  <c r="BM36" i="20"/>
  <c r="BL36" i="20"/>
  <c r="BK36" i="20"/>
  <c r="BH36" i="20"/>
  <c r="BG36" i="20"/>
  <c r="BF36" i="20"/>
  <c r="BE36" i="20"/>
  <c r="BD36" i="20"/>
  <c r="AA36" i="20"/>
  <c r="BO35" i="20"/>
  <c r="BN35" i="20"/>
  <c r="BM35" i="20"/>
  <c r="BL35" i="20"/>
  <c r="BK35" i="20"/>
  <c r="BH35" i="20"/>
  <c r="BG35" i="20"/>
  <c r="BF35" i="20"/>
  <c r="BE35" i="20"/>
  <c r="BD35" i="20"/>
  <c r="BC35" i="20"/>
  <c r="AX35" i="20"/>
  <c r="AW35" i="20"/>
  <c r="AV35" i="20"/>
  <c r="AT35" i="20"/>
  <c r="AS35" i="20"/>
  <c r="AP35" i="20"/>
  <c r="AO35" i="20"/>
  <c r="AK35" i="20"/>
  <c r="E35" i="20" s="1"/>
  <c r="I35" i="20" s="1"/>
  <c r="AJ35" i="20"/>
  <c r="AI35" i="20"/>
  <c r="O35" i="20"/>
  <c r="L35" i="20"/>
  <c r="K35" i="20"/>
  <c r="D35" i="20"/>
  <c r="BO34" i="20"/>
  <c r="BN34" i="20"/>
  <c r="BM34" i="20"/>
  <c r="BL34" i="20"/>
  <c r="BK34" i="20"/>
  <c r="BH34" i="20"/>
  <c r="BG34" i="20"/>
  <c r="BF34" i="20"/>
  <c r="BE34" i="20"/>
  <c r="BD34" i="20"/>
  <c r="AA34" i="20"/>
  <c r="BO33" i="20"/>
  <c r="BN33" i="20"/>
  <c r="BM33" i="20"/>
  <c r="BL33" i="20"/>
  <c r="BK33" i="20"/>
  <c r="BH33" i="20"/>
  <c r="BG33" i="20"/>
  <c r="BF33" i="20"/>
  <c r="BE33" i="20"/>
  <c r="BD33" i="20"/>
  <c r="BC33" i="20"/>
  <c r="AX33" i="20"/>
  <c r="AW33" i="20"/>
  <c r="AV33" i="20"/>
  <c r="AT33" i="20"/>
  <c r="AS33" i="20"/>
  <c r="AP33" i="20"/>
  <c r="AO33" i="20"/>
  <c r="AK33" i="20"/>
  <c r="E33" i="20" s="1"/>
  <c r="AB33" i="20" s="1"/>
  <c r="AJ33" i="20"/>
  <c r="AI33" i="20"/>
  <c r="O33" i="20"/>
  <c r="L33" i="20"/>
  <c r="K33" i="20"/>
  <c r="D33" i="20"/>
  <c r="BO32" i="20"/>
  <c r="BN32" i="20"/>
  <c r="BM32" i="20"/>
  <c r="BL32" i="20"/>
  <c r="BK32" i="20"/>
  <c r="BH32" i="20"/>
  <c r="BG32" i="20"/>
  <c r="BF32" i="20"/>
  <c r="BE32" i="20"/>
  <c r="BD32" i="20"/>
  <c r="AA32" i="20"/>
  <c r="BO31" i="20"/>
  <c r="BN31" i="20"/>
  <c r="BM31" i="20"/>
  <c r="BL31" i="20"/>
  <c r="BK31" i="20"/>
  <c r="BH31" i="20"/>
  <c r="BG31" i="20"/>
  <c r="BF31" i="20"/>
  <c r="BE31" i="20"/>
  <c r="BD31" i="20"/>
  <c r="BC31" i="20"/>
  <c r="AX31" i="20"/>
  <c r="AW31" i="20"/>
  <c r="AV31" i="20"/>
  <c r="AT31" i="20"/>
  <c r="AS31" i="20"/>
  <c r="AP31" i="20"/>
  <c r="AO31" i="20"/>
  <c r="AK31" i="20"/>
  <c r="E31" i="20" s="1"/>
  <c r="AJ31" i="20"/>
  <c r="AI31" i="20"/>
  <c r="O31" i="20"/>
  <c r="L31" i="20"/>
  <c r="K31" i="20"/>
  <c r="D31" i="20"/>
  <c r="BO30" i="20"/>
  <c r="BN30" i="20"/>
  <c r="BM30" i="20"/>
  <c r="BL30" i="20"/>
  <c r="BK30" i="20"/>
  <c r="BH30" i="20"/>
  <c r="BG30" i="20"/>
  <c r="BF30" i="20"/>
  <c r="BE30" i="20"/>
  <c r="BD30" i="20"/>
  <c r="AA30" i="20"/>
  <c r="BO29" i="20"/>
  <c r="BN29" i="20"/>
  <c r="BM29" i="20"/>
  <c r="BL29" i="20"/>
  <c r="BK29" i="20"/>
  <c r="BH29" i="20"/>
  <c r="BG29" i="20"/>
  <c r="BF29" i="20"/>
  <c r="BE29" i="20"/>
  <c r="BD29" i="20"/>
  <c r="BC29" i="20"/>
  <c r="AX29" i="20"/>
  <c r="AW29" i="20"/>
  <c r="AV29" i="20"/>
  <c r="AT29" i="20"/>
  <c r="AS29" i="20"/>
  <c r="AP29" i="20"/>
  <c r="AO29" i="20"/>
  <c r="AK29" i="20"/>
  <c r="E29" i="20" s="1"/>
  <c r="AJ29" i="20"/>
  <c r="AI29" i="20"/>
  <c r="O29" i="20"/>
  <c r="L29" i="20"/>
  <c r="K29" i="20"/>
  <c r="D29" i="20"/>
  <c r="BO28" i="20"/>
  <c r="BN28" i="20"/>
  <c r="BM28" i="20"/>
  <c r="BL28" i="20"/>
  <c r="BK28" i="20"/>
  <c r="BH28" i="20"/>
  <c r="BG28" i="20"/>
  <c r="BF28" i="20"/>
  <c r="BE28" i="20"/>
  <c r="BD28" i="20"/>
  <c r="AA28" i="20"/>
  <c r="BO27" i="20"/>
  <c r="BN27" i="20"/>
  <c r="BM27" i="20"/>
  <c r="BL27" i="20"/>
  <c r="BK27" i="20"/>
  <c r="BH27" i="20"/>
  <c r="BG27" i="20"/>
  <c r="BF27" i="20"/>
  <c r="BE27" i="20"/>
  <c r="BD27" i="20"/>
  <c r="BC27" i="20"/>
  <c r="AX27" i="20"/>
  <c r="AW27" i="20"/>
  <c r="AV27" i="20"/>
  <c r="AT27" i="20"/>
  <c r="AS27" i="20"/>
  <c r="AP27" i="20"/>
  <c r="AO27" i="20"/>
  <c r="AK27" i="20"/>
  <c r="E27" i="20" s="1"/>
  <c r="AJ27" i="20"/>
  <c r="AI27" i="20"/>
  <c r="O27" i="20"/>
  <c r="L27" i="20"/>
  <c r="K27" i="20"/>
  <c r="D27" i="20"/>
  <c r="BO26" i="20"/>
  <c r="BN26" i="20"/>
  <c r="BM26" i="20"/>
  <c r="BL26" i="20"/>
  <c r="BK26" i="20"/>
  <c r="BH26" i="20"/>
  <c r="BG26" i="20"/>
  <c r="BF26" i="20"/>
  <c r="BE26" i="20"/>
  <c r="BD26" i="20"/>
  <c r="AA26" i="20"/>
  <c r="BO25" i="20"/>
  <c r="BN25" i="20"/>
  <c r="BM25" i="20"/>
  <c r="BL25" i="20"/>
  <c r="BK25" i="20"/>
  <c r="BH25" i="20"/>
  <c r="BG25" i="20"/>
  <c r="BF25" i="20"/>
  <c r="BE25" i="20"/>
  <c r="BD25" i="20"/>
  <c r="BC25" i="20"/>
  <c r="AX25" i="20"/>
  <c r="AW25" i="20"/>
  <c r="AV25" i="20"/>
  <c r="AT25" i="20"/>
  <c r="AS25" i="20"/>
  <c r="AP25" i="20"/>
  <c r="AO25" i="20"/>
  <c r="AK25" i="20"/>
  <c r="E25" i="20" s="1"/>
  <c r="AJ25" i="20"/>
  <c r="AI25" i="20"/>
  <c r="O25" i="20"/>
  <c r="L25" i="20"/>
  <c r="K25" i="20"/>
  <c r="D25" i="20"/>
  <c r="BO24" i="20"/>
  <c r="BN24" i="20"/>
  <c r="BM24" i="20"/>
  <c r="BL24" i="20"/>
  <c r="BK24" i="20"/>
  <c r="BH24" i="20"/>
  <c r="BG24" i="20"/>
  <c r="BF24" i="20"/>
  <c r="BE24" i="20"/>
  <c r="BD24" i="20"/>
  <c r="AA24" i="20"/>
  <c r="BO23" i="20"/>
  <c r="BN23" i="20"/>
  <c r="BM23" i="20"/>
  <c r="BL23" i="20"/>
  <c r="BK23" i="20"/>
  <c r="BH23" i="20"/>
  <c r="BG23" i="20"/>
  <c r="BF23" i="20"/>
  <c r="BE23" i="20"/>
  <c r="BD23" i="20"/>
  <c r="BC23" i="20"/>
  <c r="AX23" i="20"/>
  <c r="AW23" i="20"/>
  <c r="AV23" i="20"/>
  <c r="AT23" i="20"/>
  <c r="AS23" i="20"/>
  <c r="AP23" i="20"/>
  <c r="AO23" i="20"/>
  <c r="AK23" i="20"/>
  <c r="E23" i="20" s="1"/>
  <c r="AN23" i="20" s="1"/>
  <c r="AJ23" i="20"/>
  <c r="AI23" i="20"/>
  <c r="O23" i="20"/>
  <c r="L23" i="20"/>
  <c r="K23" i="20"/>
  <c r="D23" i="20"/>
  <c r="BO22" i="20"/>
  <c r="BN22" i="20"/>
  <c r="BM22" i="20"/>
  <c r="BL22" i="20"/>
  <c r="BK22" i="20"/>
  <c r="BH22" i="20"/>
  <c r="BG22" i="20"/>
  <c r="BF22" i="20"/>
  <c r="BE22" i="20"/>
  <c r="BD22" i="20"/>
  <c r="AA22" i="20"/>
  <c r="BO21" i="20"/>
  <c r="BN21" i="20"/>
  <c r="BM21" i="20"/>
  <c r="BL21" i="20"/>
  <c r="BK21" i="20"/>
  <c r="BH21" i="20"/>
  <c r="BG21" i="20"/>
  <c r="BF21" i="20"/>
  <c r="BE21" i="20"/>
  <c r="BD21" i="20"/>
  <c r="BC21" i="20"/>
  <c r="AX21" i="20"/>
  <c r="AW21" i="20"/>
  <c r="AV21" i="20"/>
  <c r="AT21" i="20"/>
  <c r="AS21" i="20"/>
  <c r="AP21" i="20"/>
  <c r="AO21" i="20"/>
  <c r="AK21" i="20"/>
  <c r="E21" i="20" s="1"/>
  <c r="AD21" i="20" s="1"/>
  <c r="BA21" i="20" s="1"/>
  <c r="AJ21" i="20"/>
  <c r="AI21" i="20"/>
  <c r="O21" i="20"/>
  <c r="L21" i="20"/>
  <c r="K21" i="20"/>
  <c r="D21" i="20"/>
  <c r="BO20" i="20"/>
  <c r="BN20" i="20"/>
  <c r="BM20" i="20"/>
  <c r="BL20" i="20"/>
  <c r="BK20" i="20"/>
  <c r="BH20" i="20"/>
  <c r="BG20" i="20"/>
  <c r="BF20" i="20"/>
  <c r="BE20" i="20"/>
  <c r="BD20" i="20"/>
  <c r="AA20" i="20"/>
  <c r="BO19" i="20"/>
  <c r="BN19" i="20"/>
  <c r="BM19" i="20"/>
  <c r="BL19" i="20"/>
  <c r="BK19" i="20"/>
  <c r="BH19" i="20"/>
  <c r="BG19" i="20"/>
  <c r="BF19" i="20"/>
  <c r="BE19" i="20"/>
  <c r="BD19" i="20"/>
  <c r="BC19" i="20"/>
  <c r="AX19" i="20"/>
  <c r="AW19" i="20"/>
  <c r="AV19" i="20"/>
  <c r="AT19" i="20"/>
  <c r="AS19" i="20"/>
  <c r="AP19" i="20"/>
  <c r="AO19" i="20"/>
  <c r="AK19" i="20"/>
  <c r="E19" i="20" s="1"/>
  <c r="AJ19" i="20"/>
  <c r="AI19" i="20"/>
  <c r="O19" i="20"/>
  <c r="L19" i="20"/>
  <c r="K19" i="20"/>
  <c r="D19" i="20"/>
  <c r="BO18" i="20"/>
  <c r="BN18" i="20"/>
  <c r="BM18" i="20"/>
  <c r="BL18" i="20"/>
  <c r="BK18" i="20"/>
  <c r="BH18" i="20"/>
  <c r="BG18" i="20"/>
  <c r="BF18" i="20"/>
  <c r="BE18" i="20"/>
  <c r="BD18" i="20"/>
  <c r="BO17" i="20"/>
  <c r="BN17" i="20"/>
  <c r="BM17" i="20"/>
  <c r="BL17" i="20"/>
  <c r="BK17" i="20"/>
  <c r="BH17" i="20"/>
  <c r="BG17" i="20"/>
  <c r="BF17" i="20"/>
  <c r="BE17" i="20"/>
  <c r="BD17" i="20"/>
  <c r="BC17" i="20"/>
  <c r="AX17" i="20"/>
  <c r="AW17" i="20"/>
  <c r="AV17" i="20"/>
  <c r="AT17" i="20"/>
  <c r="AS17" i="20"/>
  <c r="AP17" i="20"/>
  <c r="AO17" i="20"/>
  <c r="AK17" i="20"/>
  <c r="E17" i="20" s="1"/>
  <c r="AY17" i="20" s="1"/>
  <c r="AJ17" i="20"/>
  <c r="AI17" i="20"/>
  <c r="O17" i="20"/>
  <c r="L17" i="20"/>
  <c r="K17" i="20"/>
  <c r="D17" i="20"/>
  <c r="BO16" i="20"/>
  <c r="BN16" i="20"/>
  <c r="BM16" i="20"/>
  <c r="BL16" i="20"/>
  <c r="BK16" i="20"/>
  <c r="BH16" i="20"/>
  <c r="BG16" i="20"/>
  <c r="BF16" i="20"/>
  <c r="BE16" i="20"/>
  <c r="BD16" i="20"/>
  <c r="BO15" i="20"/>
  <c r="BN15" i="20"/>
  <c r="BM15" i="20"/>
  <c r="BL15" i="20"/>
  <c r="BK15" i="20"/>
  <c r="BH15" i="20"/>
  <c r="BG15" i="20"/>
  <c r="BF15" i="20"/>
  <c r="BE15" i="20"/>
  <c r="BD15" i="20"/>
  <c r="BC15" i="20"/>
  <c r="AX15" i="20"/>
  <c r="AW15" i="20"/>
  <c r="AV15" i="20"/>
  <c r="AT15" i="20"/>
  <c r="AS15" i="20"/>
  <c r="AP15" i="20"/>
  <c r="AO15" i="20"/>
  <c r="AK15" i="20"/>
  <c r="E15" i="20" s="1"/>
  <c r="AJ15" i="20"/>
  <c r="AI15" i="20"/>
  <c r="O15" i="20"/>
  <c r="L15" i="20"/>
  <c r="K15" i="20"/>
  <c r="D15" i="20"/>
  <c r="BO14" i="20"/>
  <c r="BN14" i="20"/>
  <c r="BM14" i="20"/>
  <c r="BL14" i="20"/>
  <c r="BK14" i="20"/>
  <c r="BH14" i="20"/>
  <c r="BG14" i="20"/>
  <c r="BF14" i="20"/>
  <c r="BE14" i="20"/>
  <c r="BD14" i="20"/>
  <c r="BO13" i="20"/>
  <c r="BN13" i="20"/>
  <c r="BH13" i="20"/>
  <c r="BG13" i="20"/>
  <c r="BF13" i="20"/>
  <c r="BE13" i="20"/>
  <c r="AP13" i="20" s="1"/>
  <c r="BD13" i="20"/>
  <c r="AO13" i="20" s="1"/>
  <c r="BC13" i="20"/>
  <c r="AV13" i="20"/>
  <c r="AK13" i="20"/>
  <c r="E13" i="20" s="1"/>
  <c r="AJ13" i="20"/>
  <c r="AI13" i="20"/>
  <c r="K13" i="20"/>
  <c r="AP10" i="20"/>
  <c r="AO10" i="20"/>
  <c r="L4" i="20"/>
  <c r="H316" i="76"/>
  <c r="F316" i="76"/>
  <c r="AC314" i="76"/>
  <c r="AB314" i="76"/>
  <c r="Z314" i="76"/>
  <c r="Y314" i="76"/>
  <c r="W314" i="76"/>
  <c r="V314" i="76"/>
  <c r="U314" i="76"/>
  <c r="E314" i="76" s="1"/>
  <c r="AA314" i="76" s="1"/>
  <c r="Q314" i="76"/>
  <c r="O314" i="76"/>
  <c r="M314" i="76"/>
  <c r="I314" i="76"/>
  <c r="C314" i="76"/>
  <c r="J314" i="76" s="1"/>
  <c r="AC312" i="76"/>
  <c r="AB312" i="76" s="1"/>
  <c r="Z312" i="76"/>
  <c r="Y312" i="76"/>
  <c r="W312" i="76"/>
  <c r="V312" i="76"/>
  <c r="U312" i="76"/>
  <c r="Q312" i="76"/>
  <c r="O312" i="76"/>
  <c r="M312" i="76"/>
  <c r="I312" i="76"/>
  <c r="E312" i="76"/>
  <c r="AA312" i="76" s="1"/>
  <c r="C312" i="76"/>
  <c r="AC310" i="76"/>
  <c r="AB310" i="76" s="1"/>
  <c r="Z310" i="76"/>
  <c r="Y310" i="76"/>
  <c r="W310" i="76"/>
  <c r="V310" i="76"/>
  <c r="U310" i="76"/>
  <c r="E310" i="76" s="1"/>
  <c r="AA310" i="76" s="1"/>
  <c r="Q310" i="76"/>
  <c r="O310" i="76"/>
  <c r="M310" i="76"/>
  <c r="I310" i="76"/>
  <c r="C310" i="76"/>
  <c r="J310" i="76" s="1"/>
  <c r="AA79" i="75" s="1"/>
  <c r="AC308" i="76"/>
  <c r="AB308" i="76" s="1"/>
  <c r="Z308" i="76"/>
  <c r="Y308" i="76"/>
  <c r="W308" i="76"/>
  <c r="V308" i="76"/>
  <c r="U308" i="76"/>
  <c r="Q308" i="76"/>
  <c r="O308" i="76"/>
  <c r="M308" i="76"/>
  <c r="I308" i="76"/>
  <c r="E308" i="76"/>
  <c r="AA308" i="76" s="1"/>
  <c r="C308" i="76"/>
  <c r="AC306" i="76"/>
  <c r="AB306" i="76" s="1"/>
  <c r="Z306" i="76"/>
  <c r="Y306" i="76"/>
  <c r="W306" i="76"/>
  <c r="V306" i="76"/>
  <c r="U306" i="76"/>
  <c r="Q306" i="76"/>
  <c r="O306" i="76"/>
  <c r="M306" i="76"/>
  <c r="I306" i="76"/>
  <c r="E306" i="76"/>
  <c r="AA306" i="76" s="1"/>
  <c r="C306" i="76"/>
  <c r="C304" i="76"/>
  <c r="H302" i="76"/>
  <c r="F302" i="76"/>
  <c r="AC300" i="76"/>
  <c r="AB300" i="76"/>
  <c r="Z300" i="76"/>
  <c r="Y300" i="76"/>
  <c r="W300" i="76"/>
  <c r="V300" i="76"/>
  <c r="U300" i="76"/>
  <c r="E300" i="76" s="1"/>
  <c r="AA300" i="76" s="1"/>
  <c r="Q300" i="76"/>
  <c r="O300" i="76"/>
  <c r="M300" i="76"/>
  <c r="I300" i="76"/>
  <c r="C300" i="76"/>
  <c r="AC298" i="76"/>
  <c r="AB298" i="76"/>
  <c r="Z298" i="76"/>
  <c r="Y298" i="76"/>
  <c r="W298" i="76"/>
  <c r="V298" i="76"/>
  <c r="U298" i="76"/>
  <c r="E298" i="76" s="1"/>
  <c r="AA298" i="76" s="1"/>
  <c r="Q298" i="76"/>
  <c r="O298" i="76"/>
  <c r="M298" i="76"/>
  <c r="I298" i="76"/>
  <c r="C298" i="76"/>
  <c r="C296" i="76"/>
  <c r="U294" i="76"/>
  <c r="D294" i="76"/>
  <c r="U292" i="76"/>
  <c r="E292" i="76"/>
  <c r="D292" i="76"/>
  <c r="H285" i="76"/>
  <c r="F285" i="76"/>
  <c r="AC283" i="76"/>
  <c r="AB283" i="76"/>
  <c r="Z283" i="76"/>
  <c r="Y283" i="76"/>
  <c r="W283" i="76"/>
  <c r="V283" i="76"/>
  <c r="U283" i="76"/>
  <c r="E283" i="76" s="1"/>
  <c r="AA283" i="76" s="1"/>
  <c r="Q283" i="76"/>
  <c r="O283" i="76"/>
  <c r="M283" i="76"/>
  <c r="I283" i="76"/>
  <c r="C283" i="76"/>
  <c r="AC281" i="76"/>
  <c r="AB281" i="76"/>
  <c r="Z281" i="76"/>
  <c r="Y281" i="76"/>
  <c r="W281" i="76"/>
  <c r="V281" i="76"/>
  <c r="U281" i="76"/>
  <c r="E281" i="76" s="1"/>
  <c r="AA281" i="76" s="1"/>
  <c r="Q281" i="76"/>
  <c r="O281" i="76"/>
  <c r="M281" i="76"/>
  <c r="I281" i="76"/>
  <c r="C281" i="76"/>
  <c r="AC279" i="76"/>
  <c r="AB279" i="76"/>
  <c r="Z279" i="76"/>
  <c r="Y279" i="76"/>
  <c r="W279" i="76"/>
  <c r="V279" i="76"/>
  <c r="U279" i="76"/>
  <c r="Q279" i="76"/>
  <c r="O279" i="76"/>
  <c r="M279" i="76"/>
  <c r="I279" i="76"/>
  <c r="E279" i="76"/>
  <c r="AA279" i="76" s="1"/>
  <c r="C279" i="76"/>
  <c r="J279" i="76" s="1"/>
  <c r="AA72" i="75" s="1"/>
  <c r="AC277" i="76"/>
  <c r="AB277" i="76" s="1"/>
  <c r="Z277" i="76"/>
  <c r="Y277" i="76"/>
  <c r="W277" i="76"/>
  <c r="V277" i="76"/>
  <c r="U277" i="76"/>
  <c r="E277" i="76" s="1"/>
  <c r="AA277" i="76" s="1"/>
  <c r="Q277" i="76"/>
  <c r="O277" i="76"/>
  <c r="M277" i="76"/>
  <c r="I277" i="76"/>
  <c r="C277" i="76"/>
  <c r="AC275" i="76"/>
  <c r="AB275" i="76" s="1"/>
  <c r="Z275" i="76"/>
  <c r="Y275" i="76"/>
  <c r="W275" i="76"/>
  <c r="V275" i="76"/>
  <c r="U275" i="76"/>
  <c r="E275" i="76" s="1"/>
  <c r="AA275" i="76" s="1"/>
  <c r="Q275" i="76"/>
  <c r="O275" i="76"/>
  <c r="M275" i="76"/>
  <c r="I275" i="76"/>
  <c r="C275" i="76"/>
  <c r="C273" i="76"/>
  <c r="H271" i="76"/>
  <c r="F271" i="76"/>
  <c r="AC269" i="76"/>
  <c r="AB269" i="76" s="1"/>
  <c r="Z269" i="76"/>
  <c r="Y269" i="76"/>
  <c r="W269" i="76"/>
  <c r="V269" i="76"/>
  <c r="U269" i="76"/>
  <c r="Q269" i="76"/>
  <c r="O269" i="76"/>
  <c r="M269" i="76"/>
  <c r="I269" i="76"/>
  <c r="E269" i="76"/>
  <c r="AA269" i="76" s="1"/>
  <c r="C269" i="76"/>
  <c r="AC267" i="76"/>
  <c r="AB267" i="76" s="1"/>
  <c r="Z267" i="76"/>
  <c r="Y267" i="76"/>
  <c r="W267" i="76"/>
  <c r="V267" i="76"/>
  <c r="U267" i="76"/>
  <c r="E267" i="76" s="1"/>
  <c r="AA267" i="76" s="1"/>
  <c r="Q267" i="76"/>
  <c r="O267" i="76"/>
  <c r="M267" i="76"/>
  <c r="I267" i="76"/>
  <c r="C267" i="76"/>
  <c r="C265" i="76"/>
  <c r="U263" i="76"/>
  <c r="D263" i="76"/>
  <c r="E261" i="76"/>
  <c r="D261" i="76"/>
  <c r="H254" i="76"/>
  <c r="E230" i="76" s="1"/>
  <c r="F254" i="76"/>
  <c r="AC252" i="76"/>
  <c r="AB252" i="76" s="1"/>
  <c r="Z252" i="76"/>
  <c r="Y252" i="76"/>
  <c r="W252" i="76"/>
  <c r="V252" i="76"/>
  <c r="U252" i="76"/>
  <c r="Q252" i="76"/>
  <c r="O252" i="76"/>
  <c r="M252" i="76"/>
  <c r="I252" i="76"/>
  <c r="E252" i="76"/>
  <c r="AA252" i="76" s="1"/>
  <c r="C252" i="76"/>
  <c r="AC250" i="76"/>
  <c r="AB250" i="76" s="1"/>
  <c r="Z250" i="76"/>
  <c r="Y250" i="76"/>
  <c r="W250" i="76"/>
  <c r="V250" i="76"/>
  <c r="U250" i="76"/>
  <c r="E250" i="76" s="1"/>
  <c r="AA250" i="76" s="1"/>
  <c r="Q250" i="76"/>
  <c r="O250" i="76"/>
  <c r="M250" i="76"/>
  <c r="I250" i="76"/>
  <c r="C250" i="76"/>
  <c r="AC248" i="76"/>
  <c r="AB248" i="76" s="1"/>
  <c r="AA248" i="76"/>
  <c r="Z248" i="76"/>
  <c r="Y248" i="76"/>
  <c r="W248" i="76"/>
  <c r="V248" i="76"/>
  <c r="U248" i="76"/>
  <c r="Q248" i="76"/>
  <c r="O248" i="76"/>
  <c r="M248" i="76"/>
  <c r="I248" i="76"/>
  <c r="E248" i="76"/>
  <c r="C248" i="76"/>
  <c r="AC246" i="76"/>
  <c r="AB246" i="76" s="1"/>
  <c r="Z246" i="76"/>
  <c r="Y246" i="76"/>
  <c r="W246" i="76"/>
  <c r="V246" i="76"/>
  <c r="U246" i="76"/>
  <c r="E246" i="76" s="1"/>
  <c r="AA246" i="76" s="1"/>
  <c r="Q246" i="76"/>
  <c r="O246" i="76"/>
  <c r="M246" i="76"/>
  <c r="I246" i="76"/>
  <c r="C246" i="76"/>
  <c r="AC244" i="76"/>
  <c r="AB244" i="76"/>
  <c r="Z244" i="76"/>
  <c r="Y244" i="76"/>
  <c r="W244" i="76"/>
  <c r="V244" i="76"/>
  <c r="U244" i="76"/>
  <c r="E244" i="76" s="1"/>
  <c r="AA244" i="76" s="1"/>
  <c r="Q244" i="76"/>
  <c r="O244" i="76"/>
  <c r="M244" i="76"/>
  <c r="I244" i="76"/>
  <c r="C244" i="76"/>
  <c r="C242" i="76"/>
  <c r="H240" i="76"/>
  <c r="F240" i="76"/>
  <c r="AC238" i="76"/>
  <c r="AB238" i="76" s="1"/>
  <c r="Z238" i="76"/>
  <c r="Y238" i="76"/>
  <c r="W238" i="76"/>
  <c r="V238" i="76"/>
  <c r="U238" i="76"/>
  <c r="E238" i="76" s="1"/>
  <c r="AA238" i="76" s="1"/>
  <c r="Q238" i="76"/>
  <c r="O238" i="76"/>
  <c r="M238" i="76"/>
  <c r="I238" i="76"/>
  <c r="C238" i="76"/>
  <c r="AC236" i="76"/>
  <c r="AB236" i="76"/>
  <c r="Z236" i="76"/>
  <c r="Y236" i="76"/>
  <c r="W236" i="76"/>
  <c r="V236" i="76"/>
  <c r="U236" i="76"/>
  <c r="E236" i="76" s="1"/>
  <c r="AA236" i="76" s="1"/>
  <c r="Q236" i="76"/>
  <c r="O236" i="76"/>
  <c r="M236" i="76"/>
  <c r="I236" i="76"/>
  <c r="C236" i="76"/>
  <c r="C234" i="76"/>
  <c r="U232" i="76"/>
  <c r="D232" i="76"/>
  <c r="D230" i="76"/>
  <c r="H223" i="76"/>
  <c r="F223" i="76"/>
  <c r="AC221" i="76"/>
  <c r="AB221" i="76"/>
  <c r="Z221" i="76"/>
  <c r="Y221" i="76"/>
  <c r="W221" i="76"/>
  <c r="V221" i="76"/>
  <c r="U221" i="76"/>
  <c r="E221" i="76" s="1"/>
  <c r="AA221" i="76" s="1"/>
  <c r="Q221" i="76"/>
  <c r="O221" i="76"/>
  <c r="M221" i="76"/>
  <c r="I221" i="76"/>
  <c r="C221" i="76"/>
  <c r="AC219" i="76"/>
  <c r="AB219" i="76"/>
  <c r="Z219" i="76"/>
  <c r="Y219" i="76"/>
  <c r="W219" i="76"/>
  <c r="V219" i="76"/>
  <c r="U219" i="76"/>
  <c r="E219" i="76" s="1"/>
  <c r="AA219" i="76" s="1"/>
  <c r="Q219" i="76"/>
  <c r="O219" i="76"/>
  <c r="M219" i="76"/>
  <c r="I219" i="76"/>
  <c r="C219" i="76"/>
  <c r="AC217" i="76"/>
  <c r="AB217" i="76"/>
  <c r="Z217" i="76"/>
  <c r="Y217" i="76"/>
  <c r="W217" i="76"/>
  <c r="V217" i="76"/>
  <c r="U217" i="76"/>
  <c r="E217" i="76" s="1"/>
  <c r="AA217" i="76" s="1"/>
  <c r="Q217" i="76"/>
  <c r="O217" i="76"/>
  <c r="M217" i="76"/>
  <c r="I217" i="76"/>
  <c r="C217" i="76"/>
  <c r="AC215" i="76"/>
  <c r="AB215" i="76"/>
  <c r="Z215" i="76"/>
  <c r="Y215" i="76"/>
  <c r="W215" i="76"/>
  <c r="V215" i="76"/>
  <c r="U215" i="76"/>
  <c r="Q215" i="76"/>
  <c r="O215" i="76"/>
  <c r="M215" i="76"/>
  <c r="I215" i="76"/>
  <c r="E215" i="76"/>
  <c r="AA215" i="76" s="1"/>
  <c r="C215" i="76"/>
  <c r="J215" i="76" s="1"/>
  <c r="AC213" i="76"/>
  <c r="AB213" i="76"/>
  <c r="Z213" i="76"/>
  <c r="Y213" i="76"/>
  <c r="W213" i="76"/>
  <c r="V213" i="76"/>
  <c r="U213" i="76"/>
  <c r="Q213" i="76"/>
  <c r="O213" i="76"/>
  <c r="M213" i="76"/>
  <c r="I213" i="76"/>
  <c r="E213" i="76"/>
  <c r="AA213" i="76" s="1"/>
  <c r="C213" i="76"/>
  <c r="J213" i="76" s="1"/>
  <c r="C211" i="76"/>
  <c r="H209" i="76"/>
  <c r="F209" i="76"/>
  <c r="AC207" i="76"/>
  <c r="AB207" i="76" s="1"/>
  <c r="Z207" i="76"/>
  <c r="Y207" i="76"/>
  <c r="W207" i="76"/>
  <c r="V207" i="76"/>
  <c r="U207" i="76"/>
  <c r="E207" i="76" s="1"/>
  <c r="AA207" i="76" s="1"/>
  <c r="Q207" i="76"/>
  <c r="O207" i="76"/>
  <c r="M207" i="76"/>
  <c r="I207" i="76"/>
  <c r="C207" i="76"/>
  <c r="AC205" i="76"/>
  <c r="AB205" i="76" s="1"/>
  <c r="Z205" i="76"/>
  <c r="Y205" i="76"/>
  <c r="W205" i="76"/>
  <c r="V205" i="76"/>
  <c r="U205" i="76"/>
  <c r="E205" i="76" s="1"/>
  <c r="AA205" i="76" s="1"/>
  <c r="Q205" i="76"/>
  <c r="O205" i="76"/>
  <c r="M205" i="76"/>
  <c r="I205" i="76"/>
  <c r="C205" i="76"/>
  <c r="C203" i="76"/>
  <c r="U201" i="76"/>
  <c r="D201" i="76"/>
  <c r="E199" i="76"/>
  <c r="D199" i="76"/>
  <c r="H192" i="76"/>
  <c r="F192" i="76"/>
  <c r="AC190" i="76"/>
  <c r="AB190" i="76"/>
  <c r="Z190" i="76"/>
  <c r="Y190" i="76"/>
  <c r="W190" i="76"/>
  <c r="V190" i="76"/>
  <c r="U190" i="76"/>
  <c r="E190" i="76" s="1"/>
  <c r="AA190" i="76" s="1"/>
  <c r="Q190" i="76"/>
  <c r="O190" i="76"/>
  <c r="M190" i="76"/>
  <c r="I190" i="76"/>
  <c r="C190" i="76"/>
  <c r="AC188" i="76"/>
  <c r="AB188" i="76"/>
  <c r="Z188" i="76"/>
  <c r="Y188" i="76"/>
  <c r="W188" i="76"/>
  <c r="V188" i="76"/>
  <c r="U188" i="76"/>
  <c r="Q188" i="76"/>
  <c r="O188" i="76"/>
  <c r="M188" i="76"/>
  <c r="I188" i="76"/>
  <c r="E188" i="76"/>
  <c r="AA188" i="76" s="1"/>
  <c r="C188" i="76"/>
  <c r="J188" i="76" s="1"/>
  <c r="AC186" i="76"/>
  <c r="AB186" i="76"/>
  <c r="Z186" i="76"/>
  <c r="Y186" i="76"/>
  <c r="W186" i="76"/>
  <c r="V186" i="76"/>
  <c r="U186" i="76"/>
  <c r="Q186" i="76"/>
  <c r="O186" i="76"/>
  <c r="M186" i="76"/>
  <c r="I186" i="76"/>
  <c r="E186" i="76"/>
  <c r="AA186" i="76" s="1"/>
  <c r="C186" i="76"/>
  <c r="J186" i="76" s="1"/>
  <c r="AC184" i="76"/>
  <c r="AB184" i="76"/>
  <c r="Z184" i="76"/>
  <c r="Y184" i="76"/>
  <c r="W184" i="76"/>
  <c r="V184" i="76"/>
  <c r="U184" i="76"/>
  <c r="Q184" i="76"/>
  <c r="O184" i="76"/>
  <c r="M184" i="76"/>
  <c r="I184" i="76"/>
  <c r="E184" i="76"/>
  <c r="AA184" i="76" s="1"/>
  <c r="C184" i="76"/>
  <c r="J184" i="76" s="1"/>
  <c r="AC182" i="76"/>
  <c r="AB182" i="76" s="1"/>
  <c r="Z182" i="76"/>
  <c r="Y182" i="76"/>
  <c r="W182" i="76"/>
  <c r="V182" i="76"/>
  <c r="U182" i="76"/>
  <c r="Q182" i="76"/>
  <c r="O182" i="76"/>
  <c r="M182" i="76"/>
  <c r="I182" i="76"/>
  <c r="E182" i="76"/>
  <c r="AA182" i="76" s="1"/>
  <c r="C182" i="76"/>
  <c r="C180" i="76"/>
  <c r="H178" i="76"/>
  <c r="F178" i="76"/>
  <c r="AC176" i="76"/>
  <c r="AB176" i="76" s="1"/>
  <c r="Z176" i="76"/>
  <c r="Y176" i="76"/>
  <c r="W176" i="76"/>
  <c r="V176" i="76"/>
  <c r="U176" i="76"/>
  <c r="E176" i="76" s="1"/>
  <c r="AA176" i="76" s="1"/>
  <c r="Q176" i="76"/>
  <c r="O176" i="76"/>
  <c r="M176" i="76"/>
  <c r="I176" i="76"/>
  <c r="C176" i="76"/>
  <c r="AC174" i="76"/>
  <c r="AB174" i="76" s="1"/>
  <c r="Z174" i="76"/>
  <c r="Y174" i="76"/>
  <c r="W174" i="76"/>
  <c r="V174" i="76"/>
  <c r="U174" i="76"/>
  <c r="E174" i="76" s="1"/>
  <c r="AA174" i="76" s="1"/>
  <c r="Q174" i="76"/>
  <c r="O174" i="76"/>
  <c r="M174" i="76"/>
  <c r="I174" i="76"/>
  <c r="C174" i="76"/>
  <c r="C172" i="76"/>
  <c r="U170" i="76"/>
  <c r="D170" i="76"/>
  <c r="E168" i="76"/>
  <c r="U168" i="76" s="1"/>
  <c r="D168" i="76"/>
  <c r="H161" i="76"/>
  <c r="F161" i="76"/>
  <c r="AC159" i="76"/>
  <c r="AB159" i="76" s="1"/>
  <c r="Z159" i="76"/>
  <c r="Y159" i="76"/>
  <c r="W159" i="76"/>
  <c r="V159" i="76"/>
  <c r="U159" i="76"/>
  <c r="E159" i="76" s="1"/>
  <c r="AA159" i="76" s="1"/>
  <c r="Q159" i="76"/>
  <c r="O159" i="76"/>
  <c r="M159" i="76"/>
  <c r="I159" i="76"/>
  <c r="C159" i="76"/>
  <c r="AC157" i="76"/>
  <c r="AB157" i="76" s="1"/>
  <c r="Z157" i="76"/>
  <c r="Y157" i="76"/>
  <c r="W157" i="76"/>
  <c r="V157" i="76"/>
  <c r="U157" i="76"/>
  <c r="Q157" i="76"/>
  <c r="O157" i="76"/>
  <c r="M157" i="76"/>
  <c r="I157" i="76"/>
  <c r="E157" i="76"/>
  <c r="AA157" i="76" s="1"/>
  <c r="C157" i="76"/>
  <c r="AC155" i="76"/>
  <c r="AB155" i="76" s="1"/>
  <c r="Z155" i="76"/>
  <c r="Y155" i="76"/>
  <c r="W155" i="76"/>
  <c r="V155" i="76"/>
  <c r="U155" i="76"/>
  <c r="E155" i="76" s="1"/>
  <c r="AA155" i="76" s="1"/>
  <c r="Q155" i="76"/>
  <c r="O155" i="76"/>
  <c r="M155" i="76"/>
  <c r="I155" i="76"/>
  <c r="C155" i="76"/>
  <c r="AC153" i="76"/>
  <c r="AB153" i="76" s="1"/>
  <c r="Z153" i="76"/>
  <c r="Y153" i="76"/>
  <c r="W153" i="76"/>
  <c r="V153" i="76"/>
  <c r="U153" i="76"/>
  <c r="Q153" i="76"/>
  <c r="O153" i="76"/>
  <c r="M153" i="76"/>
  <c r="I153" i="76"/>
  <c r="E153" i="76"/>
  <c r="AA153" i="76" s="1"/>
  <c r="C153" i="76"/>
  <c r="AC151" i="76"/>
  <c r="AB151" i="76" s="1"/>
  <c r="Z151" i="76"/>
  <c r="Y151" i="76"/>
  <c r="W151" i="76"/>
  <c r="V151" i="76"/>
  <c r="U151" i="76"/>
  <c r="E151" i="76" s="1"/>
  <c r="AA151" i="76" s="1"/>
  <c r="Q151" i="76"/>
  <c r="O151" i="76"/>
  <c r="M151" i="76"/>
  <c r="I151" i="76"/>
  <c r="C151" i="76"/>
  <c r="C149" i="76"/>
  <c r="H147" i="76"/>
  <c r="F147" i="76"/>
  <c r="AC145" i="76"/>
  <c r="AB145" i="76" s="1"/>
  <c r="Z145" i="76"/>
  <c r="Y145" i="76"/>
  <c r="W145" i="76"/>
  <c r="V145" i="76"/>
  <c r="U145" i="76"/>
  <c r="E145" i="76" s="1"/>
  <c r="AA145" i="76" s="1"/>
  <c r="Q145" i="76"/>
  <c r="O145" i="76"/>
  <c r="M145" i="76"/>
  <c r="I145" i="76"/>
  <c r="C145" i="76"/>
  <c r="AC143" i="76"/>
  <c r="AB143" i="76" s="1"/>
  <c r="Z143" i="76"/>
  <c r="Y143" i="76"/>
  <c r="W143" i="76"/>
  <c r="V143" i="76"/>
  <c r="U143" i="76"/>
  <c r="E143" i="76" s="1"/>
  <c r="AA143" i="76" s="1"/>
  <c r="Q143" i="76"/>
  <c r="O143" i="76"/>
  <c r="M143" i="76"/>
  <c r="I143" i="76"/>
  <c r="C143" i="76"/>
  <c r="C141" i="76"/>
  <c r="U139" i="76"/>
  <c r="D139" i="76"/>
  <c r="E137" i="76"/>
  <c r="D137" i="76"/>
  <c r="H130" i="76"/>
  <c r="F130" i="76"/>
  <c r="AC128" i="76"/>
  <c r="AB128" i="76" s="1"/>
  <c r="Z128" i="76"/>
  <c r="Y128" i="76"/>
  <c r="W128" i="76"/>
  <c r="V128" i="76"/>
  <c r="U128" i="76"/>
  <c r="Q128" i="76"/>
  <c r="O128" i="76"/>
  <c r="M128" i="76"/>
  <c r="I128" i="76"/>
  <c r="E128" i="76"/>
  <c r="AA128" i="76" s="1"/>
  <c r="C128" i="76"/>
  <c r="AC126" i="76"/>
  <c r="AB126" i="76" s="1"/>
  <c r="Z126" i="76"/>
  <c r="Y126" i="76"/>
  <c r="W126" i="76"/>
  <c r="V126" i="76"/>
  <c r="U126" i="76"/>
  <c r="Q126" i="76"/>
  <c r="O126" i="76"/>
  <c r="M126" i="76"/>
  <c r="I126" i="76"/>
  <c r="E126" i="76"/>
  <c r="AA126" i="76" s="1"/>
  <c r="C126" i="76"/>
  <c r="AC124" i="76"/>
  <c r="AB124" i="76" s="1"/>
  <c r="Z124" i="76"/>
  <c r="Y124" i="76"/>
  <c r="W124" i="76"/>
  <c r="V124" i="76"/>
  <c r="U124" i="76"/>
  <c r="E124" i="76" s="1"/>
  <c r="AA124" i="76" s="1"/>
  <c r="Q124" i="76"/>
  <c r="O124" i="76"/>
  <c r="M124" i="76"/>
  <c r="I124" i="76"/>
  <c r="C124" i="76"/>
  <c r="AC122" i="76"/>
  <c r="AB122" i="76" s="1"/>
  <c r="Z122" i="76"/>
  <c r="Y122" i="76"/>
  <c r="W122" i="76"/>
  <c r="V122" i="76"/>
  <c r="U122" i="76"/>
  <c r="Q122" i="76"/>
  <c r="O122" i="76"/>
  <c r="M122" i="76"/>
  <c r="I122" i="76"/>
  <c r="E122" i="76"/>
  <c r="AA122" i="76" s="1"/>
  <c r="C122" i="76"/>
  <c r="AC120" i="76"/>
  <c r="AB120" i="76" s="1"/>
  <c r="Z120" i="76"/>
  <c r="Y120" i="76"/>
  <c r="W120" i="76"/>
  <c r="V120" i="76"/>
  <c r="U120" i="76"/>
  <c r="E120" i="76" s="1"/>
  <c r="AA120" i="76" s="1"/>
  <c r="Q120" i="76"/>
  <c r="O120" i="76"/>
  <c r="M120" i="76"/>
  <c r="I120" i="76"/>
  <c r="C120" i="76"/>
  <c r="C118" i="76"/>
  <c r="H116" i="76"/>
  <c r="F116" i="76"/>
  <c r="AC114" i="76"/>
  <c r="AB114" i="76" s="1"/>
  <c r="Z114" i="76"/>
  <c r="Y114" i="76"/>
  <c r="W114" i="76"/>
  <c r="V114" i="76"/>
  <c r="U114" i="76"/>
  <c r="E114" i="76" s="1"/>
  <c r="AA114" i="76" s="1"/>
  <c r="Q114" i="76"/>
  <c r="O114" i="76"/>
  <c r="M114" i="76"/>
  <c r="I114" i="76"/>
  <c r="C114" i="76"/>
  <c r="AC112" i="76"/>
  <c r="AB112" i="76" s="1"/>
  <c r="Z112" i="76"/>
  <c r="Y112" i="76"/>
  <c r="W112" i="76"/>
  <c r="V112" i="76"/>
  <c r="U112" i="76"/>
  <c r="Q112" i="76"/>
  <c r="O112" i="76"/>
  <c r="M112" i="76"/>
  <c r="I112" i="76"/>
  <c r="E112" i="76"/>
  <c r="AA112" i="76" s="1"/>
  <c r="C112" i="76"/>
  <c r="C110" i="76"/>
  <c r="U108" i="76"/>
  <c r="D108" i="76"/>
  <c r="E106" i="76"/>
  <c r="U106" i="76" s="1"/>
  <c r="D106" i="76"/>
  <c r="H99" i="76"/>
  <c r="E75" i="76" s="1"/>
  <c r="F99" i="76"/>
  <c r="AC97" i="76"/>
  <c r="AB97" i="76" s="1"/>
  <c r="Z97" i="76"/>
  <c r="Y97" i="76"/>
  <c r="W97" i="76"/>
  <c r="V97" i="76"/>
  <c r="U97" i="76"/>
  <c r="E97" i="76" s="1"/>
  <c r="AA97" i="76" s="1"/>
  <c r="Q97" i="76"/>
  <c r="O97" i="76"/>
  <c r="M97" i="76"/>
  <c r="I97" i="76"/>
  <c r="C97" i="76"/>
  <c r="AC95" i="76"/>
  <c r="AB95" i="76" s="1"/>
  <c r="Z95" i="76"/>
  <c r="Y95" i="76"/>
  <c r="W95" i="76"/>
  <c r="V95" i="76"/>
  <c r="U95" i="76"/>
  <c r="Q95" i="76"/>
  <c r="O95" i="76"/>
  <c r="M95" i="76"/>
  <c r="I95" i="76"/>
  <c r="E95" i="76"/>
  <c r="AA95" i="76" s="1"/>
  <c r="C95" i="76"/>
  <c r="AC93" i="76"/>
  <c r="AB93" i="76" s="1"/>
  <c r="Z93" i="76"/>
  <c r="Y93" i="76"/>
  <c r="W93" i="76"/>
  <c r="V93" i="76"/>
  <c r="U93" i="76"/>
  <c r="E93" i="76" s="1"/>
  <c r="AA93" i="76" s="1"/>
  <c r="Q93" i="76"/>
  <c r="O93" i="76"/>
  <c r="M93" i="76"/>
  <c r="I93" i="76"/>
  <c r="C93" i="76"/>
  <c r="AC91" i="76"/>
  <c r="AB91" i="76" s="1"/>
  <c r="AA91" i="76"/>
  <c r="Z91" i="76"/>
  <c r="Y91" i="76"/>
  <c r="W91" i="76"/>
  <c r="V91" i="76"/>
  <c r="U91" i="76"/>
  <c r="Q91" i="76"/>
  <c r="O91" i="76"/>
  <c r="M91" i="76"/>
  <c r="I91" i="76"/>
  <c r="E91" i="76"/>
  <c r="C91" i="76"/>
  <c r="AC89" i="76"/>
  <c r="AB89" i="76" s="1"/>
  <c r="Z89" i="76"/>
  <c r="Y89" i="76"/>
  <c r="W89" i="76"/>
  <c r="V89" i="76"/>
  <c r="U89" i="76"/>
  <c r="E89" i="76" s="1"/>
  <c r="AA89" i="76" s="1"/>
  <c r="Q89" i="76"/>
  <c r="O89" i="76"/>
  <c r="M89" i="76"/>
  <c r="I89" i="76"/>
  <c r="C89" i="76"/>
  <c r="C87" i="76"/>
  <c r="H85" i="76"/>
  <c r="F85" i="76"/>
  <c r="AC83" i="76"/>
  <c r="AB83" i="76" s="1"/>
  <c r="Z83" i="76"/>
  <c r="Y83" i="76"/>
  <c r="W83" i="76"/>
  <c r="V83" i="76"/>
  <c r="U83" i="76"/>
  <c r="Q83" i="76"/>
  <c r="O83" i="76"/>
  <c r="M83" i="76"/>
  <c r="I83" i="76"/>
  <c r="E83" i="76"/>
  <c r="AA83" i="76" s="1"/>
  <c r="C83" i="76"/>
  <c r="AC81" i="76"/>
  <c r="AB81" i="76" s="1"/>
  <c r="Z81" i="76"/>
  <c r="Y81" i="76"/>
  <c r="W81" i="76"/>
  <c r="V81" i="76"/>
  <c r="U81" i="76"/>
  <c r="E81" i="76" s="1"/>
  <c r="AA81" i="76" s="1"/>
  <c r="Q81" i="76"/>
  <c r="O81" i="76"/>
  <c r="M81" i="76"/>
  <c r="I81" i="76"/>
  <c r="C81" i="76"/>
  <c r="C79" i="76"/>
  <c r="U77" i="76"/>
  <c r="D77" i="76"/>
  <c r="D75" i="76"/>
  <c r="H68" i="76"/>
  <c r="F68" i="76"/>
  <c r="AC66" i="76"/>
  <c r="AB66" i="76" s="1"/>
  <c r="Z66" i="76"/>
  <c r="Y66" i="76"/>
  <c r="W66" i="76"/>
  <c r="V66" i="76"/>
  <c r="U66" i="76"/>
  <c r="Q66" i="76"/>
  <c r="O66" i="76"/>
  <c r="M66" i="76"/>
  <c r="I66" i="76"/>
  <c r="E66" i="76"/>
  <c r="AA66" i="76" s="1"/>
  <c r="C66" i="76"/>
  <c r="AC64" i="76"/>
  <c r="AB64" i="76" s="1"/>
  <c r="Z64" i="76"/>
  <c r="Y64" i="76"/>
  <c r="W64" i="76"/>
  <c r="V64" i="76"/>
  <c r="U64" i="76"/>
  <c r="E64" i="76" s="1"/>
  <c r="AA64" i="76" s="1"/>
  <c r="Q64" i="76"/>
  <c r="O64" i="76"/>
  <c r="M64" i="76"/>
  <c r="I64" i="76"/>
  <c r="C64" i="76"/>
  <c r="AC62" i="76"/>
  <c r="AB62" i="76" s="1"/>
  <c r="Z62" i="76"/>
  <c r="Y62" i="76"/>
  <c r="W62" i="76"/>
  <c r="V62" i="76"/>
  <c r="U62" i="76"/>
  <c r="Q62" i="76"/>
  <c r="O62" i="76"/>
  <c r="M62" i="76"/>
  <c r="I62" i="76"/>
  <c r="E62" i="76"/>
  <c r="AA62" i="76" s="1"/>
  <c r="C62" i="76"/>
  <c r="AC60" i="76"/>
  <c r="AB60" i="76" s="1"/>
  <c r="Z60" i="76"/>
  <c r="Y60" i="76"/>
  <c r="W60" i="76"/>
  <c r="V60" i="76"/>
  <c r="U60" i="76"/>
  <c r="E60" i="76" s="1"/>
  <c r="AA60" i="76" s="1"/>
  <c r="Q60" i="76"/>
  <c r="O60" i="76"/>
  <c r="M60" i="76"/>
  <c r="I60" i="76"/>
  <c r="C60" i="76"/>
  <c r="AC58" i="76"/>
  <c r="AB58" i="76" s="1"/>
  <c r="Z58" i="76"/>
  <c r="Y58" i="76"/>
  <c r="W58" i="76"/>
  <c r="V58" i="76"/>
  <c r="U58" i="76"/>
  <c r="E58" i="76" s="1"/>
  <c r="AA58" i="76" s="1"/>
  <c r="Q58" i="76"/>
  <c r="O58" i="76"/>
  <c r="M58" i="76"/>
  <c r="I58" i="76"/>
  <c r="C58" i="76"/>
  <c r="C56" i="76"/>
  <c r="H54" i="76"/>
  <c r="F54" i="76"/>
  <c r="AC52" i="76"/>
  <c r="AB52" i="76" s="1"/>
  <c r="Z52" i="76"/>
  <c r="Y52" i="76"/>
  <c r="W52" i="76"/>
  <c r="V52" i="76"/>
  <c r="U52" i="76"/>
  <c r="E52" i="76" s="1"/>
  <c r="AA52" i="76" s="1"/>
  <c r="Q52" i="76"/>
  <c r="O52" i="76"/>
  <c r="M52" i="76"/>
  <c r="I52" i="76"/>
  <c r="C52" i="76"/>
  <c r="Y20" i="75" s="1"/>
  <c r="AC50" i="76"/>
  <c r="AB50" i="76" s="1"/>
  <c r="Z50" i="76"/>
  <c r="Y50" i="76"/>
  <c r="W50" i="76"/>
  <c r="V50" i="76"/>
  <c r="U50" i="76"/>
  <c r="E50" i="76" s="1"/>
  <c r="AA50" i="76" s="1"/>
  <c r="Q50" i="76"/>
  <c r="O50" i="76"/>
  <c r="M50" i="76"/>
  <c r="I50" i="76"/>
  <c r="C50" i="76"/>
  <c r="C48" i="76"/>
  <c r="U46" i="76"/>
  <c r="D46" i="76"/>
  <c r="E44" i="76"/>
  <c r="U44" i="76" s="1"/>
  <c r="D44" i="76"/>
  <c r="H37" i="76"/>
  <c r="F37" i="76"/>
  <c r="AC35" i="76"/>
  <c r="AB35" i="76" s="1"/>
  <c r="Z35" i="76"/>
  <c r="Y35" i="76"/>
  <c r="W35" i="76"/>
  <c r="V35" i="76"/>
  <c r="U35" i="76"/>
  <c r="Q35" i="76"/>
  <c r="O35" i="76"/>
  <c r="M35" i="76"/>
  <c r="I35" i="76"/>
  <c r="E35" i="76"/>
  <c r="AA35" i="76" s="1"/>
  <c r="C35" i="76"/>
  <c r="AC33" i="76"/>
  <c r="AB33" i="76" s="1"/>
  <c r="Z33" i="76"/>
  <c r="Y33" i="76"/>
  <c r="W33" i="76"/>
  <c r="V33" i="76"/>
  <c r="U33" i="76"/>
  <c r="Q33" i="76"/>
  <c r="O33" i="76"/>
  <c r="M33" i="76"/>
  <c r="I33" i="76"/>
  <c r="E33" i="76"/>
  <c r="AA33" i="76" s="1"/>
  <c r="C33" i="76"/>
  <c r="AC31" i="76"/>
  <c r="AB31" i="76" s="1"/>
  <c r="Z31" i="76"/>
  <c r="Y31" i="76"/>
  <c r="W31" i="76"/>
  <c r="V31" i="76"/>
  <c r="U31" i="76"/>
  <c r="E31" i="76" s="1"/>
  <c r="AA31" i="76" s="1"/>
  <c r="Q31" i="76"/>
  <c r="O31" i="76"/>
  <c r="M31" i="76"/>
  <c r="I31" i="76"/>
  <c r="C31" i="76"/>
  <c r="AC29" i="76"/>
  <c r="AB29" i="76" s="1"/>
  <c r="AA29" i="76"/>
  <c r="Z29" i="76"/>
  <c r="Y29" i="76"/>
  <c r="W29" i="76"/>
  <c r="V29" i="76"/>
  <c r="U29" i="76"/>
  <c r="E29" i="76" s="1"/>
  <c r="Q29" i="76"/>
  <c r="O29" i="76"/>
  <c r="M29" i="76"/>
  <c r="I29" i="76"/>
  <c r="C29" i="76"/>
  <c r="AC27" i="76"/>
  <c r="AB27" i="76" s="1"/>
  <c r="Z27" i="76"/>
  <c r="Y27" i="76"/>
  <c r="W27" i="76"/>
  <c r="V27" i="76"/>
  <c r="U27" i="76"/>
  <c r="E27" i="76" s="1"/>
  <c r="AA27" i="76" s="1"/>
  <c r="Q27" i="76"/>
  <c r="O27" i="76"/>
  <c r="M27" i="76"/>
  <c r="I27" i="76"/>
  <c r="C27" i="76"/>
  <c r="C25" i="76"/>
  <c r="H23" i="76"/>
  <c r="F23" i="76"/>
  <c r="AC21" i="76"/>
  <c r="AB21" i="76" s="1"/>
  <c r="Z21" i="76"/>
  <c r="Y21" i="76"/>
  <c r="W21" i="76"/>
  <c r="V21" i="76"/>
  <c r="U21" i="76"/>
  <c r="Q21" i="76"/>
  <c r="O21" i="76"/>
  <c r="M21" i="76"/>
  <c r="I21" i="76"/>
  <c r="E21" i="76"/>
  <c r="AA21" i="76" s="1"/>
  <c r="C21" i="76"/>
  <c r="AC19" i="76"/>
  <c r="Z19" i="76"/>
  <c r="Y19" i="76"/>
  <c r="W19" i="76"/>
  <c r="V19" i="76"/>
  <c r="U19" i="76"/>
  <c r="E19" i="76" s="1"/>
  <c r="AA19" i="76" s="1"/>
  <c r="Q19" i="76"/>
  <c r="O19" i="76"/>
  <c r="M19" i="76"/>
  <c r="I19" i="76"/>
  <c r="C19" i="76"/>
  <c r="T17" i="76"/>
  <c r="C17" i="76"/>
  <c r="U15" i="76"/>
  <c r="D15" i="76"/>
  <c r="U13" i="76"/>
  <c r="E13" i="76"/>
  <c r="D13" i="76"/>
  <c r="C6" i="76"/>
  <c r="E559" i="54"/>
  <c r="C559" i="54"/>
  <c r="C556" i="54"/>
  <c r="E553" i="54"/>
  <c r="C553" i="54"/>
  <c r="E550" i="54"/>
  <c r="C550" i="54"/>
  <c r="E547" i="54"/>
  <c r="C547" i="54"/>
  <c r="C545" i="54"/>
  <c r="E542" i="54"/>
  <c r="AX542" i="54" s="1"/>
  <c r="C542" i="54"/>
  <c r="E539" i="54"/>
  <c r="AX539" i="54" s="1"/>
  <c r="C539" i="54"/>
  <c r="BN539" i="54" s="1"/>
  <c r="E536" i="54"/>
  <c r="AX536" i="54" s="1"/>
  <c r="C536" i="54"/>
  <c r="C144" i="75" s="1"/>
  <c r="E533" i="54"/>
  <c r="AX533" i="54" s="1"/>
  <c r="C533" i="54"/>
  <c r="BN533" i="54" s="1"/>
  <c r="E530" i="54"/>
  <c r="AX530" i="54" s="1"/>
  <c r="C530" i="54"/>
  <c r="E527" i="54"/>
  <c r="AX527" i="54" s="1"/>
  <c r="C527" i="54"/>
  <c r="BN527" i="54" s="1"/>
  <c r="E524" i="54"/>
  <c r="AX524" i="54" s="1"/>
  <c r="C524" i="54"/>
  <c r="BN524" i="54" s="1"/>
  <c r="E521" i="54"/>
  <c r="AX521" i="54" s="1"/>
  <c r="C521" i="54"/>
  <c r="BN521" i="54" s="1"/>
  <c r="E518" i="54"/>
  <c r="AX518" i="54" s="1"/>
  <c r="C518" i="54"/>
  <c r="C138" i="75" s="1"/>
  <c r="AH517" i="54"/>
  <c r="AF517" i="54"/>
  <c r="AD517" i="54"/>
  <c r="AB517" i="54"/>
  <c r="Z517" i="54"/>
  <c r="X517" i="54"/>
  <c r="V517" i="54"/>
  <c r="T517" i="54"/>
  <c r="R517" i="54"/>
  <c r="P517" i="54"/>
  <c r="J517" i="54"/>
  <c r="H517" i="54"/>
  <c r="C516" i="54"/>
  <c r="E514" i="54"/>
  <c r="D514" i="54"/>
  <c r="E503" i="54"/>
  <c r="C503" i="54"/>
  <c r="E500" i="54"/>
  <c r="C500" i="54"/>
  <c r="C136" i="75" s="1"/>
  <c r="C497" i="54"/>
  <c r="C135" i="75" s="1"/>
  <c r="E494" i="54"/>
  <c r="C494" i="54"/>
  <c r="C134" i="75" s="1"/>
  <c r="E491" i="54"/>
  <c r="C491" i="54"/>
  <c r="BN491" i="54" s="1"/>
  <c r="C489" i="54"/>
  <c r="E486" i="54"/>
  <c r="AX486" i="54" s="1"/>
  <c r="C486" i="54"/>
  <c r="BN486" i="54" s="1"/>
  <c r="E483" i="54"/>
  <c r="AX483" i="54" s="1"/>
  <c r="C483" i="54"/>
  <c r="E480" i="54"/>
  <c r="AX480" i="54" s="1"/>
  <c r="C480" i="54"/>
  <c r="BN480" i="54" s="1"/>
  <c r="E477" i="54"/>
  <c r="AX477" i="54" s="1"/>
  <c r="C477" i="54"/>
  <c r="BN477" i="54" s="1"/>
  <c r="E474" i="54"/>
  <c r="AX474" i="54" s="1"/>
  <c r="C474" i="54"/>
  <c r="BN474" i="54" s="1"/>
  <c r="E471" i="54"/>
  <c r="AX471" i="54" s="1"/>
  <c r="C471" i="54"/>
  <c r="E468" i="54"/>
  <c r="AX468" i="54" s="1"/>
  <c r="C468" i="54"/>
  <c r="BN468" i="54" s="1"/>
  <c r="E465" i="54"/>
  <c r="AX465" i="54" s="1"/>
  <c r="C465" i="54"/>
  <c r="E462" i="54"/>
  <c r="AX462" i="54" s="1"/>
  <c r="C462" i="54"/>
  <c r="BN462" i="54" s="1"/>
  <c r="AH461" i="54"/>
  <c r="AF461" i="54"/>
  <c r="AD461" i="54"/>
  <c r="AB461" i="54"/>
  <c r="Z461" i="54"/>
  <c r="X461" i="54"/>
  <c r="V461" i="54"/>
  <c r="T461" i="54"/>
  <c r="R461" i="54"/>
  <c r="P461" i="54"/>
  <c r="J461" i="54"/>
  <c r="H461" i="54"/>
  <c r="C460" i="54"/>
  <c r="E458" i="54"/>
  <c r="D458" i="54"/>
  <c r="E447" i="54"/>
  <c r="C447" i="54"/>
  <c r="BN447" i="54" s="1"/>
  <c r="E444" i="54"/>
  <c r="C444" i="54"/>
  <c r="BN444" i="54" s="1"/>
  <c r="E441" i="54"/>
  <c r="C441" i="54"/>
  <c r="BN441" i="54" s="1"/>
  <c r="E438" i="54"/>
  <c r="C438" i="54"/>
  <c r="E435" i="54"/>
  <c r="C435" i="54"/>
  <c r="BN435" i="54" s="1"/>
  <c r="C433" i="54"/>
  <c r="E430" i="54"/>
  <c r="AX430" i="54" s="1"/>
  <c r="C430" i="54"/>
  <c r="BN430" i="54" s="1"/>
  <c r="E427" i="54"/>
  <c r="AX427" i="54" s="1"/>
  <c r="C427" i="54"/>
  <c r="C117" i="75" s="1"/>
  <c r="E424" i="54"/>
  <c r="AX424" i="54" s="1"/>
  <c r="C424" i="54"/>
  <c r="BN424" i="54" s="1"/>
  <c r="E421" i="54"/>
  <c r="AX421" i="54" s="1"/>
  <c r="C421" i="54"/>
  <c r="E418" i="54"/>
  <c r="AX418" i="54" s="1"/>
  <c r="C418" i="54"/>
  <c r="BN418" i="54" s="1"/>
  <c r="E415" i="54"/>
  <c r="AX415" i="54" s="1"/>
  <c r="C415" i="54"/>
  <c r="C113" i="75" s="1"/>
  <c r="E412" i="54"/>
  <c r="AX412" i="54" s="1"/>
  <c r="C412" i="54"/>
  <c r="BN412" i="54" s="1"/>
  <c r="E409" i="54"/>
  <c r="AX409" i="54" s="1"/>
  <c r="C409" i="54"/>
  <c r="E406" i="54"/>
  <c r="AX406" i="54" s="1"/>
  <c r="C406" i="54"/>
  <c r="BN406" i="54" s="1"/>
  <c r="AH405" i="54"/>
  <c r="AF405" i="54"/>
  <c r="AD405" i="54"/>
  <c r="AB405" i="54"/>
  <c r="Z405" i="54"/>
  <c r="X405" i="54"/>
  <c r="V405" i="54"/>
  <c r="T405" i="54"/>
  <c r="R405" i="54"/>
  <c r="P405" i="54"/>
  <c r="J405" i="54"/>
  <c r="H405" i="54"/>
  <c r="C404" i="54"/>
  <c r="E402" i="54"/>
  <c r="D402" i="54"/>
  <c r="E391" i="54"/>
  <c r="C391" i="54"/>
  <c r="C109" i="75" s="1"/>
  <c r="E388" i="54"/>
  <c r="C388" i="54"/>
  <c r="C385" i="54"/>
  <c r="E382" i="54"/>
  <c r="C382" i="54"/>
  <c r="E379" i="54"/>
  <c r="C379" i="54"/>
  <c r="C377" i="54"/>
  <c r="E374" i="54"/>
  <c r="AX374" i="54" s="1"/>
  <c r="C374" i="54"/>
  <c r="E371" i="54"/>
  <c r="AX371" i="54" s="1"/>
  <c r="C371" i="54"/>
  <c r="BN371" i="54" s="1"/>
  <c r="E368" i="54"/>
  <c r="AX368" i="54" s="1"/>
  <c r="C368" i="54"/>
  <c r="E365" i="54"/>
  <c r="AX365" i="54" s="1"/>
  <c r="C365" i="54"/>
  <c r="E362" i="54"/>
  <c r="AX362" i="54" s="1"/>
  <c r="C362" i="54"/>
  <c r="E359" i="54"/>
  <c r="AX359" i="54" s="1"/>
  <c r="C359" i="54"/>
  <c r="E356" i="54"/>
  <c r="AX356" i="54" s="1"/>
  <c r="C356" i="54"/>
  <c r="E353" i="54"/>
  <c r="AX353" i="54" s="1"/>
  <c r="C353" i="54"/>
  <c r="BN353" i="54" s="1"/>
  <c r="E350" i="54"/>
  <c r="AX350" i="54" s="1"/>
  <c r="C350" i="54"/>
  <c r="AH349" i="54"/>
  <c r="AF349" i="54"/>
  <c r="AD349" i="54"/>
  <c r="AB349" i="54"/>
  <c r="Z349" i="54"/>
  <c r="X349" i="54"/>
  <c r="V349" i="54"/>
  <c r="T349" i="54"/>
  <c r="R349" i="54"/>
  <c r="P349" i="54"/>
  <c r="J349" i="54"/>
  <c r="H349" i="54"/>
  <c r="C348" i="54"/>
  <c r="E346" i="54"/>
  <c r="D346" i="54"/>
  <c r="E335" i="54"/>
  <c r="C335" i="54"/>
  <c r="E332" i="54"/>
  <c r="C332" i="54"/>
  <c r="E329" i="54"/>
  <c r="C329" i="54"/>
  <c r="E326" i="54"/>
  <c r="C326" i="54"/>
  <c r="BN326" i="54" s="1"/>
  <c r="E323" i="54"/>
  <c r="C323" i="54"/>
  <c r="C91" i="75" s="1"/>
  <c r="C321" i="54"/>
  <c r="E318" i="54"/>
  <c r="AX318" i="54" s="1"/>
  <c r="C318" i="54"/>
  <c r="E315" i="54"/>
  <c r="AX315" i="54" s="1"/>
  <c r="C315" i="54"/>
  <c r="E312" i="54"/>
  <c r="AX312" i="54" s="1"/>
  <c r="C312" i="54"/>
  <c r="E309" i="54"/>
  <c r="AX309" i="54" s="1"/>
  <c r="C309" i="54"/>
  <c r="E306" i="54"/>
  <c r="AX306" i="54" s="1"/>
  <c r="C306" i="54"/>
  <c r="E303" i="54"/>
  <c r="AX303" i="54" s="1"/>
  <c r="C303" i="54"/>
  <c r="E300" i="54"/>
  <c r="AX300" i="54" s="1"/>
  <c r="C300" i="54"/>
  <c r="E297" i="54"/>
  <c r="AX297" i="54" s="1"/>
  <c r="C297" i="54"/>
  <c r="E294" i="54"/>
  <c r="AX294" i="54" s="1"/>
  <c r="C294" i="54"/>
  <c r="AH293" i="54"/>
  <c r="AF293" i="54"/>
  <c r="AD293" i="54"/>
  <c r="AB293" i="54"/>
  <c r="Z293" i="54"/>
  <c r="X293" i="54"/>
  <c r="V293" i="54"/>
  <c r="T293" i="54"/>
  <c r="R293" i="54"/>
  <c r="P293" i="54"/>
  <c r="J293" i="54"/>
  <c r="H293" i="54"/>
  <c r="C292" i="54"/>
  <c r="E290" i="54"/>
  <c r="D290" i="54"/>
  <c r="E279" i="54"/>
  <c r="C279" i="54"/>
  <c r="C276" i="54"/>
  <c r="C80" i="75" s="1"/>
  <c r="E273" i="54"/>
  <c r="C273" i="54"/>
  <c r="E270" i="54"/>
  <c r="C270" i="54"/>
  <c r="E267" i="54"/>
  <c r="C267" i="54"/>
  <c r="BM267" i="54" s="1"/>
  <c r="C265" i="54"/>
  <c r="E262" i="54"/>
  <c r="AX262" i="54" s="1"/>
  <c r="C262" i="54"/>
  <c r="BN262" i="54" s="1"/>
  <c r="E259" i="54"/>
  <c r="AX259" i="54" s="1"/>
  <c r="C259" i="54"/>
  <c r="BN259" i="54" s="1"/>
  <c r="E256" i="54"/>
  <c r="AX256" i="54" s="1"/>
  <c r="C256" i="54"/>
  <c r="E253" i="54"/>
  <c r="AX253" i="54" s="1"/>
  <c r="C253" i="54"/>
  <c r="BN253" i="54" s="1"/>
  <c r="E250" i="54"/>
  <c r="AX250" i="54" s="1"/>
  <c r="C250" i="54"/>
  <c r="BN250" i="54" s="1"/>
  <c r="E247" i="54"/>
  <c r="AX247" i="54" s="1"/>
  <c r="C247" i="54"/>
  <c r="BN247" i="54" s="1"/>
  <c r="E244" i="54"/>
  <c r="AX244" i="54" s="1"/>
  <c r="C244" i="54"/>
  <c r="E241" i="54"/>
  <c r="AX241" i="54" s="1"/>
  <c r="C241" i="54"/>
  <c r="BN241" i="54" s="1"/>
  <c r="E238" i="54"/>
  <c r="AX238" i="54" s="1"/>
  <c r="C238" i="54"/>
  <c r="AH237" i="54"/>
  <c r="AF237" i="54"/>
  <c r="AD237" i="54"/>
  <c r="AB237" i="54"/>
  <c r="Z237" i="54"/>
  <c r="X237" i="54"/>
  <c r="V237" i="54"/>
  <c r="T237" i="54"/>
  <c r="R237" i="54"/>
  <c r="P237" i="54"/>
  <c r="J237" i="54"/>
  <c r="H237" i="54"/>
  <c r="C236" i="54"/>
  <c r="E234" i="54"/>
  <c r="D234" i="54"/>
  <c r="E224" i="54"/>
  <c r="C224" i="54"/>
  <c r="C67" i="75" s="1"/>
  <c r="E221" i="54"/>
  <c r="C221" i="54"/>
  <c r="BN221" i="54" s="1"/>
  <c r="E218" i="54"/>
  <c r="C218" i="54"/>
  <c r="BN218" i="54" s="1"/>
  <c r="E215" i="54"/>
  <c r="C215" i="54"/>
  <c r="E212" i="54"/>
  <c r="C212" i="54"/>
  <c r="BL212" i="54" s="1"/>
  <c r="C210" i="54"/>
  <c r="E207" i="54"/>
  <c r="AX207" i="54" s="1"/>
  <c r="C207" i="54"/>
  <c r="E204" i="54"/>
  <c r="AX204" i="54" s="1"/>
  <c r="C204" i="54"/>
  <c r="BN204" i="54" s="1"/>
  <c r="E201" i="54"/>
  <c r="AX201" i="54" s="1"/>
  <c r="C201" i="54"/>
  <c r="E198" i="54"/>
  <c r="AX198" i="54" s="1"/>
  <c r="C198" i="54"/>
  <c r="BN198" i="54" s="1"/>
  <c r="E195" i="54"/>
  <c r="AX195" i="54" s="1"/>
  <c r="C195" i="54"/>
  <c r="E192" i="54"/>
  <c r="AX192" i="54" s="1"/>
  <c r="C192" i="54"/>
  <c r="BN192" i="54" s="1"/>
  <c r="E189" i="54"/>
  <c r="AX189" i="54" s="1"/>
  <c r="C189" i="54"/>
  <c r="E186" i="54"/>
  <c r="AX186" i="54" s="1"/>
  <c r="C186" i="54"/>
  <c r="BN186" i="54" s="1"/>
  <c r="E183" i="54"/>
  <c r="AX183" i="54" s="1"/>
  <c r="C183" i="54"/>
  <c r="AH182" i="54"/>
  <c r="AF182" i="54"/>
  <c r="AD182" i="54"/>
  <c r="AB182" i="54"/>
  <c r="Z182" i="54"/>
  <c r="X182" i="54"/>
  <c r="V182" i="54"/>
  <c r="T182" i="54"/>
  <c r="R182" i="54"/>
  <c r="P182" i="54"/>
  <c r="J182" i="54"/>
  <c r="H182" i="54"/>
  <c r="C181" i="54"/>
  <c r="E179" i="54"/>
  <c r="D179" i="54"/>
  <c r="E169" i="54"/>
  <c r="C169" i="54"/>
  <c r="BN169" i="54" s="1"/>
  <c r="E166" i="54"/>
  <c r="C166" i="54"/>
  <c r="C52" i="75" s="1"/>
  <c r="E163" i="54"/>
  <c r="C163" i="54"/>
  <c r="E160" i="54"/>
  <c r="C160" i="54"/>
  <c r="E157" i="54"/>
  <c r="C157" i="54"/>
  <c r="C155" i="54"/>
  <c r="E152" i="54"/>
  <c r="AX152" i="54" s="1"/>
  <c r="C152" i="54"/>
  <c r="BN152" i="54" s="1"/>
  <c r="E149" i="54"/>
  <c r="AX149" i="54" s="1"/>
  <c r="C149" i="54"/>
  <c r="BN149" i="54" s="1"/>
  <c r="E146" i="54"/>
  <c r="AX146" i="54" s="1"/>
  <c r="C146" i="54"/>
  <c r="C46" i="75" s="1"/>
  <c r="E143" i="54"/>
  <c r="AX143" i="54" s="1"/>
  <c r="C143" i="54"/>
  <c r="BN143" i="54" s="1"/>
  <c r="E140" i="54"/>
  <c r="AX140" i="54" s="1"/>
  <c r="C140" i="54"/>
  <c r="E137" i="54"/>
  <c r="AX137" i="54" s="1"/>
  <c r="C137" i="54"/>
  <c r="E134" i="54"/>
  <c r="AX134" i="54" s="1"/>
  <c r="C134" i="54"/>
  <c r="BN134" i="54" s="1"/>
  <c r="E131" i="54"/>
  <c r="AX131" i="54" s="1"/>
  <c r="C131" i="54"/>
  <c r="E128" i="54"/>
  <c r="AX128" i="54" s="1"/>
  <c r="C128" i="54"/>
  <c r="AH127" i="54"/>
  <c r="AF127" i="54"/>
  <c r="AD127" i="54"/>
  <c r="AB127" i="54"/>
  <c r="Z127" i="54"/>
  <c r="X127" i="54"/>
  <c r="V127" i="54"/>
  <c r="T127" i="54"/>
  <c r="R127" i="54"/>
  <c r="P127" i="54"/>
  <c r="J127" i="54"/>
  <c r="H127" i="54"/>
  <c r="C126" i="54"/>
  <c r="E124" i="54"/>
  <c r="D124" i="54"/>
  <c r="E114" i="54"/>
  <c r="C114" i="54"/>
  <c r="BN114" i="54" s="1"/>
  <c r="E111" i="54"/>
  <c r="C111" i="54"/>
  <c r="C38" i="75" s="1"/>
  <c r="E108" i="54"/>
  <c r="C108" i="54"/>
  <c r="E105" i="54"/>
  <c r="C105" i="54"/>
  <c r="E102" i="54"/>
  <c r="C102" i="54"/>
  <c r="C35" i="75" s="1"/>
  <c r="C100" i="54"/>
  <c r="E97" i="54"/>
  <c r="AX97" i="54" s="1"/>
  <c r="C97" i="54"/>
  <c r="BN97" i="54" s="1"/>
  <c r="E94" i="54"/>
  <c r="AX94" i="54" s="1"/>
  <c r="C94" i="54"/>
  <c r="E91" i="54"/>
  <c r="AX91" i="54" s="1"/>
  <c r="C91" i="54"/>
  <c r="BN91" i="54" s="1"/>
  <c r="E88" i="54"/>
  <c r="AX88" i="54" s="1"/>
  <c r="C88" i="54"/>
  <c r="E85" i="54"/>
  <c r="AX85" i="54" s="1"/>
  <c r="C85" i="54"/>
  <c r="BN85" i="54" s="1"/>
  <c r="E82" i="54"/>
  <c r="AX82" i="54" s="1"/>
  <c r="C82" i="54"/>
  <c r="E79" i="54"/>
  <c r="AX79" i="54" s="1"/>
  <c r="C79" i="54"/>
  <c r="BN79" i="54" s="1"/>
  <c r="E76" i="54"/>
  <c r="AX76" i="54" s="1"/>
  <c r="C76" i="54"/>
  <c r="E73" i="54"/>
  <c r="AX73" i="54" s="1"/>
  <c r="C73" i="54"/>
  <c r="BN73" i="54" s="1"/>
  <c r="AH72" i="54"/>
  <c r="AF72" i="54"/>
  <c r="AD72" i="54"/>
  <c r="AB72" i="54"/>
  <c r="Z72" i="54"/>
  <c r="X72" i="54"/>
  <c r="V72" i="54"/>
  <c r="T72" i="54"/>
  <c r="R72" i="54"/>
  <c r="P72" i="54"/>
  <c r="J72" i="54"/>
  <c r="H72" i="54"/>
  <c r="C71" i="54"/>
  <c r="E69" i="54"/>
  <c r="D69" i="54"/>
  <c r="BB58" i="54"/>
  <c r="AZ58" i="54"/>
  <c r="AY58" i="54"/>
  <c r="C58" i="54"/>
  <c r="BB55" i="54"/>
  <c r="AZ55" i="54"/>
  <c r="AY55" i="54"/>
  <c r="C55" i="54"/>
  <c r="AZ52" i="54"/>
  <c r="AY52" i="54"/>
  <c r="C52" i="54"/>
  <c r="BN52" i="54" s="1"/>
  <c r="BB49" i="54"/>
  <c r="AZ49" i="54"/>
  <c r="AY49" i="54"/>
  <c r="C49" i="54"/>
  <c r="C22" i="75" s="1"/>
  <c r="BE46" i="54"/>
  <c r="BD46" i="54" s="1"/>
  <c r="AZ46" i="54"/>
  <c r="AY46" i="54"/>
  <c r="AW46" i="54"/>
  <c r="AV46" i="54"/>
  <c r="AU46" i="54"/>
  <c r="AJ46" i="54"/>
  <c r="AE46" i="54" s="1"/>
  <c r="M46" i="54"/>
  <c r="C46" i="54"/>
  <c r="AH45" i="54"/>
  <c r="AF45" i="54"/>
  <c r="AD45" i="54"/>
  <c r="AB45" i="54"/>
  <c r="Z45" i="54"/>
  <c r="X45" i="54"/>
  <c r="V45" i="54"/>
  <c r="T45" i="54"/>
  <c r="R45" i="54"/>
  <c r="P45" i="54"/>
  <c r="C44" i="54"/>
  <c r="L43" i="54"/>
  <c r="J43" i="54"/>
  <c r="H43" i="54"/>
  <c r="BF41" i="54"/>
  <c r="BE41" i="54"/>
  <c r="BD41" i="54" s="1"/>
  <c r="BA41" i="54"/>
  <c r="AZ41" i="54"/>
  <c r="AY41" i="54"/>
  <c r="AW41" i="54"/>
  <c r="AV41" i="54"/>
  <c r="AU41" i="54"/>
  <c r="M41" i="54"/>
  <c r="C41" i="54"/>
  <c r="BN41" i="54" s="1"/>
  <c r="BF38" i="54"/>
  <c r="BE38" i="54"/>
  <c r="BD38" i="54" s="1"/>
  <c r="BA38" i="54"/>
  <c r="AZ38" i="54"/>
  <c r="AY38" i="54"/>
  <c r="AW38" i="54"/>
  <c r="AV38" i="54"/>
  <c r="AU38" i="54"/>
  <c r="M38" i="54"/>
  <c r="C38" i="54"/>
  <c r="BF35" i="54"/>
  <c r="BE35" i="54"/>
  <c r="BD35" i="54" s="1"/>
  <c r="BA35" i="54"/>
  <c r="AZ35" i="54"/>
  <c r="AY35" i="54"/>
  <c r="AW35" i="54"/>
  <c r="AV35" i="54"/>
  <c r="AU35" i="54"/>
  <c r="M35" i="54"/>
  <c r="C35" i="54"/>
  <c r="BF32" i="54"/>
  <c r="BE32" i="54"/>
  <c r="BD32" i="54" s="1"/>
  <c r="BA32" i="54"/>
  <c r="AZ32" i="54"/>
  <c r="AY32" i="54"/>
  <c r="AW32" i="54"/>
  <c r="AV32" i="54"/>
  <c r="AU32" i="54"/>
  <c r="M32" i="54"/>
  <c r="C32" i="54"/>
  <c r="BF29" i="54"/>
  <c r="BE29" i="54"/>
  <c r="BD29" i="54" s="1"/>
  <c r="BA29" i="54"/>
  <c r="AZ29" i="54"/>
  <c r="AY29" i="54"/>
  <c r="AW29" i="54"/>
  <c r="AV29" i="54"/>
  <c r="AU29" i="54"/>
  <c r="M29" i="54"/>
  <c r="C29" i="54"/>
  <c r="BF26" i="54"/>
  <c r="BE26" i="54"/>
  <c r="BD26" i="54" s="1"/>
  <c r="BA26" i="54"/>
  <c r="AZ26" i="54"/>
  <c r="AY26" i="54"/>
  <c r="AW26" i="54"/>
  <c r="AV26" i="54"/>
  <c r="AU26" i="54"/>
  <c r="M26" i="54"/>
  <c r="C26" i="54"/>
  <c r="C15" i="75" s="1"/>
  <c r="BF23" i="54"/>
  <c r="BE23" i="54"/>
  <c r="BD23" i="54" s="1"/>
  <c r="BA23" i="54"/>
  <c r="AZ23" i="54"/>
  <c r="AY23" i="54"/>
  <c r="AW23" i="54"/>
  <c r="AV23" i="54"/>
  <c r="AU23" i="54"/>
  <c r="M23" i="54"/>
  <c r="C23" i="54"/>
  <c r="A23" i="54"/>
  <c r="A26" i="54" s="1"/>
  <c r="A29" i="54" s="1"/>
  <c r="A32" i="54" s="1"/>
  <c r="A35" i="54" s="1"/>
  <c r="A38" i="54" s="1"/>
  <c r="A41" i="54" s="1"/>
  <c r="A46" i="54" s="1"/>
  <c r="A49" i="54" s="1"/>
  <c r="A52" i="54" s="1"/>
  <c r="A55" i="54" s="1"/>
  <c r="A58" i="54" s="1"/>
  <c r="A73" i="54" s="1"/>
  <c r="A76" i="54" s="1"/>
  <c r="A79" i="54" s="1"/>
  <c r="A82" i="54" s="1"/>
  <c r="A85" i="54" s="1"/>
  <c r="A88" i="54" s="1"/>
  <c r="A91" i="54" s="1"/>
  <c r="A94" i="54" s="1"/>
  <c r="A97" i="54" s="1"/>
  <c r="A102" i="54" s="1"/>
  <c r="A105" i="54" s="1"/>
  <c r="A108" i="54" s="1"/>
  <c r="A111" i="54" s="1"/>
  <c r="A114" i="54" s="1"/>
  <c r="A128" i="54" s="1"/>
  <c r="A131" i="54" s="1"/>
  <c r="A134" i="54" s="1"/>
  <c r="A137" i="54" s="1"/>
  <c r="A140" i="54" s="1"/>
  <c r="A143" i="54" s="1"/>
  <c r="A146" i="54" s="1"/>
  <c r="A149" i="54" s="1"/>
  <c r="A152" i="54" s="1"/>
  <c r="A157" i="54" s="1"/>
  <c r="A160" i="54" s="1"/>
  <c r="A163" i="54" s="1"/>
  <c r="A166" i="54" s="1"/>
  <c r="A169" i="54" s="1"/>
  <c r="A183" i="54" s="1"/>
  <c r="A186" i="54" s="1"/>
  <c r="A189" i="54" s="1"/>
  <c r="A192" i="54" s="1"/>
  <c r="A195" i="54" s="1"/>
  <c r="A198" i="54" s="1"/>
  <c r="A201" i="54" s="1"/>
  <c r="A204" i="54" s="1"/>
  <c r="A207" i="54" s="1"/>
  <c r="A212" i="54" s="1"/>
  <c r="A215" i="54" s="1"/>
  <c r="A218" i="54" s="1"/>
  <c r="A221" i="54" s="1"/>
  <c r="A224" i="54" s="1"/>
  <c r="A238" i="54" s="1"/>
  <c r="A241" i="54" s="1"/>
  <c r="A244" i="54" s="1"/>
  <c r="A247" i="54" s="1"/>
  <c r="A250" i="54" s="1"/>
  <c r="A253" i="54" s="1"/>
  <c r="A256" i="54" s="1"/>
  <c r="A259" i="54" s="1"/>
  <c r="A262" i="54" s="1"/>
  <c r="A267" i="54" s="1"/>
  <c r="A270" i="54" s="1"/>
  <c r="A273" i="54" s="1"/>
  <c r="A276" i="54" s="1"/>
  <c r="A279" i="54" s="1"/>
  <c r="A294" i="54" s="1"/>
  <c r="A297" i="54" s="1"/>
  <c r="A300" i="54" s="1"/>
  <c r="A303" i="54" s="1"/>
  <c r="A306" i="54" s="1"/>
  <c r="A309" i="54" s="1"/>
  <c r="A312" i="54" s="1"/>
  <c r="A315" i="54" s="1"/>
  <c r="A318" i="54" s="1"/>
  <c r="A323" i="54" s="1"/>
  <c r="A326" i="54" s="1"/>
  <c r="A329" i="54" s="1"/>
  <c r="A332" i="54" s="1"/>
  <c r="A335" i="54" s="1"/>
  <c r="A350" i="54" s="1"/>
  <c r="A353" i="54" s="1"/>
  <c r="A356" i="54" s="1"/>
  <c r="A359" i="54" s="1"/>
  <c r="A362" i="54" s="1"/>
  <c r="A365" i="54" s="1"/>
  <c r="A368" i="54" s="1"/>
  <c r="A371" i="54" s="1"/>
  <c r="A374" i="54" s="1"/>
  <c r="A379" i="54" s="1"/>
  <c r="A382" i="54" s="1"/>
  <c r="A385" i="54" s="1"/>
  <c r="A388" i="54" s="1"/>
  <c r="A391" i="54" s="1"/>
  <c r="A406" i="54" s="1"/>
  <c r="A409" i="54" s="1"/>
  <c r="A412" i="54" s="1"/>
  <c r="A415" i="54" s="1"/>
  <c r="A418" i="54" s="1"/>
  <c r="A421" i="54" s="1"/>
  <c r="A424" i="54" s="1"/>
  <c r="A427" i="54" s="1"/>
  <c r="A430" i="54" s="1"/>
  <c r="A435" i="54" s="1"/>
  <c r="A438" i="54" s="1"/>
  <c r="A441" i="54" s="1"/>
  <c r="A444" i="54" s="1"/>
  <c r="A447" i="54" s="1"/>
  <c r="A462" i="54" s="1"/>
  <c r="A465" i="54" s="1"/>
  <c r="A468" i="54" s="1"/>
  <c r="A471" i="54" s="1"/>
  <c r="A474" i="54" s="1"/>
  <c r="A477" i="54" s="1"/>
  <c r="A480" i="54" s="1"/>
  <c r="A483" i="54" s="1"/>
  <c r="A486" i="54" s="1"/>
  <c r="A491" i="54" s="1"/>
  <c r="A494" i="54" s="1"/>
  <c r="A497" i="54" s="1"/>
  <c r="A500" i="54" s="1"/>
  <c r="A503" i="54" s="1"/>
  <c r="A518" i="54" s="1"/>
  <c r="A521" i="54" s="1"/>
  <c r="A524" i="54" s="1"/>
  <c r="A527" i="54" s="1"/>
  <c r="A530" i="54" s="1"/>
  <c r="A533" i="54" s="1"/>
  <c r="A536" i="54" s="1"/>
  <c r="A539" i="54" s="1"/>
  <c r="A542" i="54" s="1"/>
  <c r="A547" i="54" s="1"/>
  <c r="A550" i="54" s="1"/>
  <c r="A553" i="54" s="1"/>
  <c r="A556" i="54" s="1"/>
  <c r="A559" i="54" s="1"/>
  <c r="BF20" i="54"/>
  <c r="BD20" i="54"/>
  <c r="AZ20" i="54"/>
  <c r="AW20" i="54"/>
  <c r="AU20" i="54"/>
  <c r="AJ20" i="54"/>
  <c r="M20" i="54"/>
  <c r="C20" i="54"/>
  <c r="BN20" i="54" s="1"/>
  <c r="A20" i="54"/>
  <c r="BF17" i="54"/>
  <c r="BE17" i="54"/>
  <c r="BD17" i="54" s="1"/>
  <c r="AW17" i="54"/>
  <c r="AU17" i="54"/>
  <c r="K17" i="54"/>
  <c r="C17" i="54"/>
  <c r="C12" i="75" s="1"/>
  <c r="AH16" i="54"/>
  <c r="AF16" i="54"/>
  <c r="AD16" i="54"/>
  <c r="AB16" i="54"/>
  <c r="Z16" i="54"/>
  <c r="X16" i="54"/>
  <c r="V16" i="54"/>
  <c r="T16" i="54"/>
  <c r="R16" i="54"/>
  <c r="P16" i="54"/>
  <c r="J16" i="54"/>
  <c r="C16" i="54"/>
  <c r="D13" i="54"/>
  <c r="C6" i="54"/>
  <c r="AH3" i="54"/>
  <c r="AF3" i="54"/>
  <c r="AD3" i="54"/>
  <c r="AB3" i="54"/>
  <c r="Z3" i="54"/>
  <c r="X3" i="54"/>
  <c r="V3" i="54"/>
  <c r="T3" i="54"/>
  <c r="R3" i="54"/>
  <c r="P3" i="54"/>
  <c r="BY211" i="79"/>
  <c r="BX211" i="79"/>
  <c r="BW211" i="79"/>
  <c r="AH211" i="79" s="1"/>
  <c r="BV211" i="79"/>
  <c r="BU211" i="79"/>
  <c r="BT211" i="79"/>
  <c r="BR211" i="79"/>
  <c r="BP211" i="79"/>
  <c r="BO211" i="79"/>
  <c r="BL211" i="79"/>
  <c r="BK211" i="79" s="1"/>
  <c r="BJ211" i="79"/>
  <c r="BI211" i="79"/>
  <c r="BH211" i="79"/>
  <c r="BG211" i="79"/>
  <c r="BF211" i="79"/>
  <c r="BE211" i="79"/>
  <c r="BC211" i="79"/>
  <c r="BB211" i="79"/>
  <c r="AZ211" i="79"/>
  <c r="AX211" i="79"/>
  <c r="AW211" i="79"/>
  <c r="AV211" i="79"/>
  <c r="AU211" i="79"/>
  <c r="AR211" i="79"/>
  <c r="AQ211" i="79"/>
  <c r="AO211" i="79"/>
  <c r="D211" i="79"/>
  <c r="BY209" i="79"/>
  <c r="BX209" i="79"/>
  <c r="BW209" i="79"/>
  <c r="AH209" i="79" s="1"/>
  <c r="BV209" i="79"/>
  <c r="BU209" i="79"/>
  <c r="BT209" i="79"/>
  <c r="BR209" i="79"/>
  <c r="BP209" i="79"/>
  <c r="BO209" i="79"/>
  <c r="BL209" i="79"/>
  <c r="BK209" i="79" s="1"/>
  <c r="BJ209" i="79"/>
  <c r="BI209" i="79"/>
  <c r="BH209" i="79"/>
  <c r="BG209" i="79"/>
  <c r="BF209" i="79"/>
  <c r="BE209" i="79"/>
  <c r="BC209" i="79"/>
  <c r="BB209" i="79"/>
  <c r="AZ209" i="79"/>
  <c r="AX209" i="79"/>
  <c r="AW209" i="79"/>
  <c r="AV209" i="79"/>
  <c r="AU209" i="79"/>
  <c r="AR209" i="79"/>
  <c r="AQ209" i="79"/>
  <c r="AO209" i="79"/>
  <c r="D209" i="79"/>
  <c r="BY207" i="79"/>
  <c r="BX207" i="79"/>
  <c r="BW207" i="79"/>
  <c r="AH207" i="79" s="1"/>
  <c r="BV207" i="79"/>
  <c r="BU207" i="79"/>
  <c r="BT207" i="79"/>
  <c r="BR207" i="79"/>
  <c r="BP207" i="79"/>
  <c r="BO207" i="79"/>
  <c r="BL207" i="79"/>
  <c r="BK207" i="79" s="1"/>
  <c r="BJ207" i="79"/>
  <c r="BI207" i="79"/>
  <c r="BH207" i="79"/>
  <c r="BG207" i="79"/>
  <c r="BF207" i="79"/>
  <c r="BE207" i="79"/>
  <c r="BC207" i="79"/>
  <c r="BB207" i="79"/>
  <c r="AZ207" i="79"/>
  <c r="AX207" i="79"/>
  <c r="AW207" i="79"/>
  <c r="AV207" i="79"/>
  <c r="AU207" i="79"/>
  <c r="AR207" i="79"/>
  <c r="AQ207" i="79"/>
  <c r="AO207" i="79"/>
  <c r="D207" i="79"/>
  <c r="BY205" i="79"/>
  <c r="BX205" i="79"/>
  <c r="BW205" i="79"/>
  <c r="AH205" i="79" s="1"/>
  <c r="BV205" i="79"/>
  <c r="BU205" i="79"/>
  <c r="BT205" i="79"/>
  <c r="BR205" i="79"/>
  <c r="BP205" i="79"/>
  <c r="BO205" i="79"/>
  <c r="BL205" i="79"/>
  <c r="BK205" i="79" s="1"/>
  <c r="BJ205" i="79"/>
  <c r="BI205" i="79"/>
  <c r="BH205" i="79"/>
  <c r="BG205" i="79"/>
  <c r="BF205" i="79"/>
  <c r="BE205" i="79"/>
  <c r="BC205" i="79"/>
  <c r="BB205" i="79"/>
  <c r="AZ205" i="79"/>
  <c r="AX205" i="79"/>
  <c r="AW205" i="79"/>
  <c r="AV205" i="79"/>
  <c r="AU205" i="79"/>
  <c r="AR205" i="79"/>
  <c r="AQ205" i="79"/>
  <c r="AO205" i="79"/>
  <c r="D205" i="79"/>
  <c r="BY203" i="79"/>
  <c r="BX203" i="79"/>
  <c r="BW203" i="79"/>
  <c r="AH203" i="79" s="1"/>
  <c r="BV203" i="79"/>
  <c r="BU203" i="79"/>
  <c r="BT203" i="79"/>
  <c r="BR203" i="79"/>
  <c r="BP203" i="79"/>
  <c r="BO203" i="79"/>
  <c r="BL203" i="79"/>
  <c r="BK203" i="79" s="1"/>
  <c r="BJ203" i="79"/>
  <c r="BI203" i="79"/>
  <c r="BH203" i="79"/>
  <c r="BG203" i="79"/>
  <c r="BF203" i="79"/>
  <c r="BE203" i="79"/>
  <c r="BC203" i="79"/>
  <c r="BB203" i="79"/>
  <c r="AZ203" i="79"/>
  <c r="AX203" i="79"/>
  <c r="AW203" i="79"/>
  <c r="AV203" i="79"/>
  <c r="AU203" i="79"/>
  <c r="AR203" i="79"/>
  <c r="AQ203" i="79"/>
  <c r="AO203" i="79"/>
  <c r="D203" i="79"/>
  <c r="BY201" i="79"/>
  <c r="BX201" i="79"/>
  <c r="BW201" i="79"/>
  <c r="AH201" i="79" s="1"/>
  <c r="BV201" i="79"/>
  <c r="BU201" i="79"/>
  <c r="BT201" i="79"/>
  <c r="BR201" i="79"/>
  <c r="BP201" i="79"/>
  <c r="BO201" i="79"/>
  <c r="BL201" i="79"/>
  <c r="BK201" i="79" s="1"/>
  <c r="BJ201" i="79"/>
  <c r="BI201" i="79"/>
  <c r="BH201" i="79"/>
  <c r="BG201" i="79"/>
  <c r="BF201" i="79"/>
  <c r="BE201" i="79"/>
  <c r="BC201" i="79"/>
  <c r="BB201" i="79"/>
  <c r="AZ201" i="79"/>
  <c r="AX201" i="79"/>
  <c r="AW201" i="79"/>
  <c r="AV201" i="79"/>
  <c r="AU201" i="79"/>
  <c r="AR201" i="79"/>
  <c r="AQ201" i="79"/>
  <c r="AO201" i="79"/>
  <c r="D201" i="79"/>
  <c r="BY199" i="79"/>
  <c r="BX199" i="79"/>
  <c r="BW199" i="79"/>
  <c r="AH199" i="79" s="1"/>
  <c r="BV199" i="79"/>
  <c r="BU199" i="79"/>
  <c r="BT199" i="79"/>
  <c r="BR199" i="79"/>
  <c r="BP199" i="79"/>
  <c r="BO199" i="79"/>
  <c r="BL199" i="79"/>
  <c r="BK199" i="79" s="1"/>
  <c r="BJ199" i="79"/>
  <c r="BI199" i="79"/>
  <c r="BH199" i="79"/>
  <c r="BG199" i="79"/>
  <c r="BF199" i="79"/>
  <c r="BE199" i="79"/>
  <c r="BC199" i="79"/>
  <c r="BB199" i="79"/>
  <c r="AZ199" i="79"/>
  <c r="AX199" i="79"/>
  <c r="AW199" i="79"/>
  <c r="AV199" i="79"/>
  <c r="AU199" i="79"/>
  <c r="AR199" i="79"/>
  <c r="AQ199" i="79"/>
  <c r="AO199" i="79"/>
  <c r="D199" i="79"/>
  <c r="BY197" i="79"/>
  <c r="BX197" i="79"/>
  <c r="BW197" i="79"/>
  <c r="AH197" i="79" s="1"/>
  <c r="BV197" i="79"/>
  <c r="BU197" i="79"/>
  <c r="BT197" i="79"/>
  <c r="BR197" i="79"/>
  <c r="BP197" i="79"/>
  <c r="BO197" i="79"/>
  <c r="BL197" i="79"/>
  <c r="BK197" i="79" s="1"/>
  <c r="BJ197" i="79"/>
  <c r="BI197" i="79"/>
  <c r="BH197" i="79"/>
  <c r="BG197" i="79"/>
  <c r="BF197" i="79"/>
  <c r="BE197" i="79"/>
  <c r="BC197" i="79"/>
  <c r="BB197" i="79"/>
  <c r="AZ197" i="79"/>
  <c r="AX197" i="79"/>
  <c r="AW197" i="79"/>
  <c r="AV197" i="79"/>
  <c r="AU197" i="79"/>
  <c r="AR197" i="79"/>
  <c r="AQ197" i="79"/>
  <c r="AO197" i="79"/>
  <c r="D197" i="79"/>
  <c r="BY195" i="79"/>
  <c r="BX195" i="79"/>
  <c r="BW195" i="79"/>
  <c r="AH195" i="79" s="1"/>
  <c r="BV195" i="79"/>
  <c r="BU195" i="79"/>
  <c r="BT195" i="79"/>
  <c r="BR195" i="79"/>
  <c r="BP195" i="79"/>
  <c r="BO195" i="79"/>
  <c r="BL195" i="79"/>
  <c r="BK195" i="79" s="1"/>
  <c r="BJ195" i="79"/>
  <c r="BI195" i="79"/>
  <c r="BH195" i="79"/>
  <c r="BG195" i="79"/>
  <c r="BF195" i="79"/>
  <c r="BE195" i="79"/>
  <c r="BC195" i="79"/>
  <c r="BB195" i="79"/>
  <c r="AZ195" i="79"/>
  <c r="AX195" i="79"/>
  <c r="AW195" i="79"/>
  <c r="AV195" i="79"/>
  <c r="AU195" i="79"/>
  <c r="AR195" i="79"/>
  <c r="AQ195" i="79"/>
  <c r="AO195" i="79"/>
  <c r="D195" i="79"/>
  <c r="BY193" i="79"/>
  <c r="BX193" i="79"/>
  <c r="BW193" i="79"/>
  <c r="AH193" i="79" s="1"/>
  <c r="BV193" i="79"/>
  <c r="BU193" i="79"/>
  <c r="BT193" i="79"/>
  <c r="BR193" i="79"/>
  <c r="BP193" i="79"/>
  <c r="BO193" i="79"/>
  <c r="BL193" i="79"/>
  <c r="BK193" i="79" s="1"/>
  <c r="BJ193" i="79"/>
  <c r="BI193" i="79"/>
  <c r="BH193" i="79"/>
  <c r="BG193" i="79"/>
  <c r="BF193" i="79"/>
  <c r="BE193" i="79"/>
  <c r="BC193" i="79"/>
  <c r="BB193" i="79"/>
  <c r="AZ193" i="79"/>
  <c r="AX193" i="79"/>
  <c r="AW193" i="79"/>
  <c r="AV193" i="79"/>
  <c r="AU193" i="79"/>
  <c r="AR193" i="79"/>
  <c r="AQ193" i="79"/>
  <c r="AO193" i="79"/>
  <c r="D193" i="79"/>
  <c r="BY191" i="79"/>
  <c r="BX191" i="79"/>
  <c r="BW191" i="79"/>
  <c r="AH191" i="79" s="1"/>
  <c r="BV191" i="79"/>
  <c r="BU191" i="79"/>
  <c r="BT191" i="79"/>
  <c r="BR191" i="79"/>
  <c r="BP191" i="79"/>
  <c r="BO191" i="79"/>
  <c r="BL191" i="79"/>
  <c r="BK191" i="79" s="1"/>
  <c r="BJ191" i="79"/>
  <c r="BI191" i="79"/>
  <c r="BH191" i="79"/>
  <c r="BG191" i="79"/>
  <c r="BF191" i="79"/>
  <c r="BE191" i="79"/>
  <c r="BC191" i="79"/>
  <c r="BB191" i="79"/>
  <c r="AZ191" i="79"/>
  <c r="AX191" i="79"/>
  <c r="AW191" i="79"/>
  <c r="AV191" i="79"/>
  <c r="AU191" i="79"/>
  <c r="AR191" i="79"/>
  <c r="AQ191" i="79"/>
  <c r="AO191" i="79"/>
  <c r="D191" i="79"/>
  <c r="BY189" i="79"/>
  <c r="BX189" i="79"/>
  <c r="BW189" i="79"/>
  <c r="AH189" i="79" s="1"/>
  <c r="BV189" i="79"/>
  <c r="BU189" i="79"/>
  <c r="BT189" i="79"/>
  <c r="BR189" i="79"/>
  <c r="BP189" i="79"/>
  <c r="BO189" i="79"/>
  <c r="BL189" i="79"/>
  <c r="BK189" i="79" s="1"/>
  <c r="BJ189" i="79"/>
  <c r="BI189" i="79"/>
  <c r="BH189" i="79"/>
  <c r="BG189" i="79"/>
  <c r="BF189" i="79"/>
  <c r="BE189" i="79"/>
  <c r="BC189" i="79"/>
  <c r="BB189" i="79"/>
  <c r="AZ189" i="79"/>
  <c r="AX189" i="79"/>
  <c r="AW189" i="79"/>
  <c r="AV189" i="79"/>
  <c r="AU189" i="79"/>
  <c r="AR189" i="79"/>
  <c r="AQ189" i="79"/>
  <c r="AO189" i="79"/>
  <c r="D189" i="79"/>
  <c r="BY187" i="79"/>
  <c r="BX187" i="79"/>
  <c r="BW187" i="79"/>
  <c r="AH187" i="79" s="1"/>
  <c r="BV187" i="79"/>
  <c r="BU187" i="79"/>
  <c r="BT187" i="79"/>
  <c r="BR187" i="79"/>
  <c r="BP187" i="79"/>
  <c r="BO187" i="79"/>
  <c r="BL187" i="79"/>
  <c r="BK187" i="79" s="1"/>
  <c r="BJ187" i="79"/>
  <c r="BI187" i="79"/>
  <c r="BH187" i="79"/>
  <c r="BG187" i="79"/>
  <c r="BF187" i="79"/>
  <c r="BE187" i="79"/>
  <c r="BC187" i="79"/>
  <c r="BB187" i="79"/>
  <c r="AZ187" i="79"/>
  <c r="AX187" i="79"/>
  <c r="AW187" i="79"/>
  <c r="AV187" i="79"/>
  <c r="AU187" i="79"/>
  <c r="AR187" i="79"/>
  <c r="AQ187" i="79"/>
  <c r="AO187" i="79"/>
  <c r="D187" i="79"/>
  <c r="BY185" i="79"/>
  <c r="BX185" i="79"/>
  <c r="BW185" i="79"/>
  <c r="AH185" i="79" s="1"/>
  <c r="BV185" i="79"/>
  <c r="BU185" i="79"/>
  <c r="BT185" i="79"/>
  <c r="BR185" i="79"/>
  <c r="BP185" i="79"/>
  <c r="BO185" i="79"/>
  <c r="BL185" i="79"/>
  <c r="BK185" i="79" s="1"/>
  <c r="BJ185" i="79"/>
  <c r="BI185" i="79"/>
  <c r="BH185" i="79"/>
  <c r="BG185" i="79"/>
  <c r="BF185" i="79"/>
  <c r="BE185" i="79"/>
  <c r="BC185" i="79"/>
  <c r="BB185" i="79"/>
  <c r="AZ185" i="79"/>
  <c r="AX185" i="79"/>
  <c r="AW185" i="79"/>
  <c r="AV185" i="79"/>
  <c r="AU185" i="79"/>
  <c r="AR185" i="79"/>
  <c r="AQ185" i="79"/>
  <c r="AO185" i="79"/>
  <c r="D185" i="79"/>
  <c r="BY183" i="79"/>
  <c r="BX183" i="79"/>
  <c r="BW183" i="79"/>
  <c r="AH183" i="79" s="1"/>
  <c r="BV183" i="79"/>
  <c r="BU183" i="79"/>
  <c r="BT183" i="79"/>
  <c r="BR183" i="79"/>
  <c r="BP183" i="79"/>
  <c r="BO183" i="79"/>
  <c r="BL183" i="79"/>
  <c r="BK183" i="79" s="1"/>
  <c r="BJ183" i="79"/>
  <c r="BI183" i="79"/>
  <c r="BH183" i="79"/>
  <c r="BG183" i="79"/>
  <c r="BF183" i="79"/>
  <c r="BE183" i="79"/>
  <c r="BC183" i="79"/>
  <c r="BB183" i="79"/>
  <c r="AZ183" i="79"/>
  <c r="AX183" i="79"/>
  <c r="AW183" i="79"/>
  <c r="AV183" i="79"/>
  <c r="AU183" i="79"/>
  <c r="AR183" i="79"/>
  <c r="AQ183" i="79"/>
  <c r="AO183" i="79"/>
  <c r="D183" i="79"/>
  <c r="BY181" i="79"/>
  <c r="BX181" i="79"/>
  <c r="BW181" i="79"/>
  <c r="AH181" i="79" s="1"/>
  <c r="BV181" i="79"/>
  <c r="BU181" i="79"/>
  <c r="BT181" i="79"/>
  <c r="BR181" i="79"/>
  <c r="BP181" i="79"/>
  <c r="BO181" i="79"/>
  <c r="BL181" i="79"/>
  <c r="BK181" i="79" s="1"/>
  <c r="BJ181" i="79"/>
  <c r="BI181" i="79"/>
  <c r="BH181" i="79"/>
  <c r="BG181" i="79"/>
  <c r="BF181" i="79"/>
  <c r="BE181" i="79"/>
  <c r="BC181" i="79"/>
  <c r="BB181" i="79"/>
  <c r="AZ181" i="79"/>
  <c r="AX181" i="79"/>
  <c r="AW181" i="79"/>
  <c r="AV181" i="79"/>
  <c r="AU181" i="79"/>
  <c r="AR181" i="79"/>
  <c r="AQ181" i="79"/>
  <c r="AO181" i="79"/>
  <c r="D181" i="79"/>
  <c r="BY179" i="79"/>
  <c r="BX179" i="79"/>
  <c r="BW179" i="79"/>
  <c r="AH179" i="79" s="1"/>
  <c r="BV179" i="79"/>
  <c r="BU179" i="79"/>
  <c r="BT179" i="79"/>
  <c r="BR179" i="79"/>
  <c r="BP179" i="79"/>
  <c r="BO179" i="79"/>
  <c r="BL179" i="79"/>
  <c r="BK179" i="79" s="1"/>
  <c r="BJ179" i="79"/>
  <c r="BI179" i="79"/>
  <c r="BH179" i="79"/>
  <c r="BG179" i="79"/>
  <c r="BF179" i="79"/>
  <c r="BE179" i="79"/>
  <c r="BC179" i="79"/>
  <c r="BB179" i="79"/>
  <c r="AZ179" i="79"/>
  <c r="AX179" i="79"/>
  <c r="AW179" i="79"/>
  <c r="AV179" i="79"/>
  <c r="AU179" i="79"/>
  <c r="AR179" i="79"/>
  <c r="AQ179" i="79"/>
  <c r="AO179" i="79"/>
  <c r="D179" i="79"/>
  <c r="BY177" i="79"/>
  <c r="BX177" i="79"/>
  <c r="BW177" i="79"/>
  <c r="AH177" i="79" s="1"/>
  <c r="BV177" i="79"/>
  <c r="BU177" i="79"/>
  <c r="BT177" i="79"/>
  <c r="BR177" i="79"/>
  <c r="BP177" i="79"/>
  <c r="BO177" i="79"/>
  <c r="BL177" i="79"/>
  <c r="BK177" i="79" s="1"/>
  <c r="BJ177" i="79"/>
  <c r="BI177" i="79"/>
  <c r="BH177" i="79"/>
  <c r="BG177" i="79"/>
  <c r="BF177" i="79"/>
  <c r="BE177" i="79"/>
  <c r="BC177" i="79"/>
  <c r="BB177" i="79"/>
  <c r="AZ177" i="79"/>
  <c r="AX177" i="79"/>
  <c r="AW177" i="79"/>
  <c r="AV177" i="79"/>
  <c r="AU177" i="79"/>
  <c r="AR177" i="79"/>
  <c r="AQ177" i="79"/>
  <c r="AO177" i="79"/>
  <c r="D177" i="79"/>
  <c r="BY175" i="79"/>
  <c r="BX175" i="79"/>
  <c r="BW175" i="79"/>
  <c r="AH175" i="79" s="1"/>
  <c r="BV175" i="79"/>
  <c r="BU175" i="79"/>
  <c r="BT175" i="79"/>
  <c r="BR175" i="79"/>
  <c r="BP175" i="79"/>
  <c r="BO175" i="79"/>
  <c r="BL175" i="79"/>
  <c r="BK175" i="79" s="1"/>
  <c r="BJ175" i="79"/>
  <c r="BI175" i="79"/>
  <c r="BH175" i="79"/>
  <c r="BG175" i="79"/>
  <c r="BF175" i="79"/>
  <c r="BE175" i="79"/>
  <c r="BC175" i="79"/>
  <c r="BB175" i="79"/>
  <c r="AZ175" i="79"/>
  <c r="AX175" i="79"/>
  <c r="AW175" i="79"/>
  <c r="AV175" i="79"/>
  <c r="AU175" i="79"/>
  <c r="AR175" i="79"/>
  <c r="AQ175" i="79"/>
  <c r="AO175" i="79"/>
  <c r="D175" i="79"/>
  <c r="BY173" i="79"/>
  <c r="BX173" i="79"/>
  <c r="BW173" i="79"/>
  <c r="AH173" i="79" s="1"/>
  <c r="BU173" i="79"/>
  <c r="BT173" i="79"/>
  <c r="BR173" i="79"/>
  <c r="BP173" i="79"/>
  <c r="BL173" i="79"/>
  <c r="BK173" i="79" s="1"/>
  <c r="BJ173" i="79"/>
  <c r="BI173" i="79"/>
  <c r="BH173" i="79"/>
  <c r="BG173" i="79"/>
  <c r="BE173" i="79"/>
  <c r="BC173" i="79"/>
  <c r="BB173" i="79"/>
  <c r="AZ173" i="79"/>
  <c r="AX173" i="79"/>
  <c r="AW173" i="79"/>
  <c r="AV173" i="79"/>
  <c r="AU173" i="79"/>
  <c r="AR173" i="79"/>
  <c r="AQ173" i="79"/>
  <c r="AO173" i="79"/>
  <c r="D173" i="79"/>
  <c r="BY171" i="79"/>
  <c r="BX171" i="79"/>
  <c r="BW171" i="79"/>
  <c r="AH171" i="79" s="1"/>
  <c r="BV171" i="79"/>
  <c r="BU171" i="79"/>
  <c r="BT171" i="79"/>
  <c r="BR171" i="79"/>
  <c r="BP171" i="79"/>
  <c r="BO171" i="79"/>
  <c r="BL171" i="79"/>
  <c r="BK171" i="79" s="1"/>
  <c r="BJ171" i="79"/>
  <c r="BI171" i="79"/>
  <c r="BH171" i="79"/>
  <c r="BG171" i="79"/>
  <c r="BF171" i="79"/>
  <c r="BE171" i="79"/>
  <c r="BC171" i="79"/>
  <c r="BB171" i="79"/>
  <c r="AZ171" i="79"/>
  <c r="AX171" i="79"/>
  <c r="AW171" i="79"/>
  <c r="AV171" i="79"/>
  <c r="AU171" i="79"/>
  <c r="AR171" i="79"/>
  <c r="AQ171" i="79"/>
  <c r="AO171" i="79"/>
  <c r="D171" i="79"/>
  <c r="BY169" i="79"/>
  <c r="BX169" i="79"/>
  <c r="BW169" i="79"/>
  <c r="AH169" i="79" s="1"/>
  <c r="BV169" i="79"/>
  <c r="BU169" i="79"/>
  <c r="BT169" i="79"/>
  <c r="BR169" i="79"/>
  <c r="BP169" i="79"/>
  <c r="BO169" i="79"/>
  <c r="BL169" i="79"/>
  <c r="BK169" i="79" s="1"/>
  <c r="BJ169" i="79"/>
  <c r="BI169" i="79"/>
  <c r="BH169" i="79"/>
  <c r="BG169" i="79"/>
  <c r="BF169" i="79"/>
  <c r="BE169" i="79"/>
  <c r="BC169" i="79"/>
  <c r="BB169" i="79"/>
  <c r="AZ169" i="79"/>
  <c r="AX169" i="79"/>
  <c r="AW169" i="79"/>
  <c r="AV169" i="79"/>
  <c r="AU169" i="79"/>
  <c r="AR169" i="79"/>
  <c r="AQ169" i="79"/>
  <c r="AO169" i="79"/>
  <c r="D169" i="79"/>
  <c r="BY167" i="79"/>
  <c r="BX167" i="79"/>
  <c r="BW167" i="79"/>
  <c r="AH167" i="79" s="1"/>
  <c r="BV167" i="79"/>
  <c r="BU167" i="79"/>
  <c r="BT167" i="79"/>
  <c r="BR167" i="79"/>
  <c r="BP167" i="79"/>
  <c r="BO167" i="79"/>
  <c r="BL167" i="79"/>
  <c r="BK167" i="79" s="1"/>
  <c r="BJ167" i="79"/>
  <c r="BI167" i="79"/>
  <c r="BH167" i="79"/>
  <c r="BG167" i="79"/>
  <c r="BF167" i="79"/>
  <c r="BE167" i="79"/>
  <c r="BC167" i="79"/>
  <c r="BB167" i="79"/>
  <c r="AZ167" i="79"/>
  <c r="AX167" i="79"/>
  <c r="AW167" i="79"/>
  <c r="AV167" i="79"/>
  <c r="AU167" i="79"/>
  <c r="AR167" i="79"/>
  <c r="AQ167" i="79"/>
  <c r="AO167" i="79"/>
  <c r="D167" i="79"/>
  <c r="BY165" i="79"/>
  <c r="BX165" i="79"/>
  <c r="BW165" i="79"/>
  <c r="AH165" i="79" s="1"/>
  <c r="BV165" i="79"/>
  <c r="BU165" i="79"/>
  <c r="BT165" i="79"/>
  <c r="BR165" i="79"/>
  <c r="BP165" i="79"/>
  <c r="BO165" i="79"/>
  <c r="BL165" i="79"/>
  <c r="BK165" i="79" s="1"/>
  <c r="BJ165" i="79"/>
  <c r="BI165" i="79"/>
  <c r="BH165" i="79"/>
  <c r="BG165" i="79"/>
  <c r="BF165" i="79"/>
  <c r="BE165" i="79"/>
  <c r="BC165" i="79"/>
  <c r="BB165" i="79"/>
  <c r="AZ165" i="79"/>
  <c r="AX165" i="79"/>
  <c r="AW165" i="79"/>
  <c r="AV165" i="79"/>
  <c r="AU165" i="79"/>
  <c r="AR165" i="79"/>
  <c r="AQ165" i="79"/>
  <c r="AO165" i="79"/>
  <c r="D165" i="79"/>
  <c r="BY163" i="79"/>
  <c r="BX163" i="79"/>
  <c r="BW163" i="79"/>
  <c r="AH163" i="79" s="1"/>
  <c r="BV163" i="79"/>
  <c r="BU163" i="79"/>
  <c r="BT163" i="79"/>
  <c r="BR163" i="79"/>
  <c r="BP163" i="79"/>
  <c r="BO163" i="79"/>
  <c r="BL163" i="79"/>
  <c r="BK163" i="79" s="1"/>
  <c r="BJ163" i="79"/>
  <c r="BI163" i="79"/>
  <c r="BH163" i="79"/>
  <c r="BG163" i="79"/>
  <c r="BF163" i="79"/>
  <c r="BE163" i="79"/>
  <c r="BC163" i="79"/>
  <c r="BB163" i="79"/>
  <c r="AZ163" i="79"/>
  <c r="AX163" i="79"/>
  <c r="AW163" i="79"/>
  <c r="AV163" i="79"/>
  <c r="AU163" i="79"/>
  <c r="AR163" i="79"/>
  <c r="AQ163" i="79"/>
  <c r="AO163" i="79"/>
  <c r="D163" i="79"/>
  <c r="BY161" i="79"/>
  <c r="BX161" i="79"/>
  <c r="BW161" i="79"/>
  <c r="AH161" i="79" s="1"/>
  <c r="BV161" i="79"/>
  <c r="BU161" i="79"/>
  <c r="BT161" i="79"/>
  <c r="BR161" i="79"/>
  <c r="BP161" i="79"/>
  <c r="BO161" i="79"/>
  <c r="BL161" i="79"/>
  <c r="BK161" i="79" s="1"/>
  <c r="BJ161" i="79"/>
  <c r="BI161" i="79"/>
  <c r="BH161" i="79"/>
  <c r="BG161" i="79"/>
  <c r="BF161" i="79"/>
  <c r="BE161" i="79"/>
  <c r="BC161" i="79"/>
  <c r="BB161" i="79"/>
  <c r="AZ161" i="79"/>
  <c r="AX161" i="79"/>
  <c r="AW161" i="79"/>
  <c r="AV161" i="79"/>
  <c r="AU161" i="79"/>
  <c r="AR161" i="79"/>
  <c r="AQ161" i="79"/>
  <c r="AO161" i="79"/>
  <c r="D161" i="79"/>
  <c r="BY159" i="79"/>
  <c r="BX159" i="79"/>
  <c r="BW159" i="79"/>
  <c r="AH159" i="79" s="1"/>
  <c r="BV159" i="79"/>
  <c r="BU159" i="79"/>
  <c r="BT159" i="79"/>
  <c r="BR159" i="79"/>
  <c r="BP159" i="79"/>
  <c r="BO159" i="79"/>
  <c r="BL159" i="79"/>
  <c r="BK159" i="79" s="1"/>
  <c r="BJ159" i="79"/>
  <c r="BI159" i="79"/>
  <c r="BH159" i="79"/>
  <c r="BG159" i="79"/>
  <c r="BF159" i="79"/>
  <c r="BE159" i="79"/>
  <c r="BC159" i="79"/>
  <c r="BB159" i="79"/>
  <c r="AZ159" i="79"/>
  <c r="AX159" i="79"/>
  <c r="AW159" i="79"/>
  <c r="AV159" i="79"/>
  <c r="AU159" i="79"/>
  <c r="AR159" i="79"/>
  <c r="AQ159" i="79"/>
  <c r="AO159" i="79"/>
  <c r="D159" i="79"/>
  <c r="BY157" i="79"/>
  <c r="BX157" i="79"/>
  <c r="BW157" i="79"/>
  <c r="AH157" i="79" s="1"/>
  <c r="BV157" i="79"/>
  <c r="BU157" i="79"/>
  <c r="BT157" i="79"/>
  <c r="BR157" i="79"/>
  <c r="BP157" i="79"/>
  <c r="BO157" i="79"/>
  <c r="BL157" i="79"/>
  <c r="BK157" i="79" s="1"/>
  <c r="BJ157" i="79"/>
  <c r="BI157" i="79"/>
  <c r="BH157" i="79"/>
  <c r="BG157" i="79"/>
  <c r="BF157" i="79"/>
  <c r="BE157" i="79"/>
  <c r="BC157" i="79"/>
  <c r="BB157" i="79"/>
  <c r="AZ157" i="79"/>
  <c r="AX157" i="79"/>
  <c r="AW157" i="79"/>
  <c r="AV157" i="79"/>
  <c r="AU157" i="79"/>
  <c r="AR157" i="79"/>
  <c r="AQ157" i="79"/>
  <c r="AO157" i="79"/>
  <c r="D157" i="79"/>
  <c r="BY155" i="79"/>
  <c r="BX155" i="79"/>
  <c r="BW155" i="79"/>
  <c r="AH155" i="79" s="1"/>
  <c r="BV155" i="79"/>
  <c r="BU155" i="79"/>
  <c r="BT155" i="79"/>
  <c r="BR155" i="79"/>
  <c r="BP155" i="79"/>
  <c r="BO155" i="79"/>
  <c r="BL155" i="79"/>
  <c r="BK155" i="79" s="1"/>
  <c r="BJ155" i="79"/>
  <c r="BI155" i="79"/>
  <c r="BH155" i="79"/>
  <c r="BG155" i="79"/>
  <c r="BF155" i="79"/>
  <c r="BE155" i="79"/>
  <c r="BC155" i="79"/>
  <c r="BB155" i="79"/>
  <c r="AZ155" i="79"/>
  <c r="AX155" i="79"/>
  <c r="AW155" i="79"/>
  <c r="AV155" i="79"/>
  <c r="AU155" i="79"/>
  <c r="AR155" i="79"/>
  <c r="AQ155" i="79"/>
  <c r="AO155" i="79"/>
  <c r="D155" i="79"/>
  <c r="BY153" i="79"/>
  <c r="BX153" i="79"/>
  <c r="BW153" i="79"/>
  <c r="AH153" i="79" s="1"/>
  <c r="BV153" i="79"/>
  <c r="BU153" i="79"/>
  <c r="BT153" i="79"/>
  <c r="BR153" i="79"/>
  <c r="BP153" i="79"/>
  <c r="BO153" i="79"/>
  <c r="BL153" i="79"/>
  <c r="BK153" i="79" s="1"/>
  <c r="BJ153" i="79"/>
  <c r="BI153" i="79"/>
  <c r="BH153" i="79"/>
  <c r="BG153" i="79"/>
  <c r="BF153" i="79"/>
  <c r="BE153" i="79"/>
  <c r="BC153" i="79"/>
  <c r="BB153" i="79"/>
  <c r="AZ153" i="79"/>
  <c r="AX153" i="79"/>
  <c r="AW153" i="79"/>
  <c r="AV153" i="79"/>
  <c r="AU153" i="79"/>
  <c r="AR153" i="79"/>
  <c r="AQ153" i="79"/>
  <c r="AO153" i="79"/>
  <c r="D153" i="79"/>
  <c r="BY151" i="79"/>
  <c r="BX151" i="79"/>
  <c r="BW151" i="79"/>
  <c r="AH151" i="79" s="1"/>
  <c r="BV151" i="79"/>
  <c r="BU151" i="79"/>
  <c r="BT151" i="79"/>
  <c r="BR151" i="79"/>
  <c r="BP151" i="79"/>
  <c r="BO151" i="79"/>
  <c r="BL151" i="79"/>
  <c r="BK151" i="79" s="1"/>
  <c r="BJ151" i="79"/>
  <c r="BI151" i="79"/>
  <c r="BH151" i="79"/>
  <c r="BG151" i="79"/>
  <c r="BF151" i="79"/>
  <c r="BE151" i="79"/>
  <c r="BC151" i="79"/>
  <c r="BB151" i="79"/>
  <c r="AZ151" i="79"/>
  <c r="AX151" i="79"/>
  <c r="AW151" i="79"/>
  <c r="AV151" i="79"/>
  <c r="AU151" i="79"/>
  <c r="AR151" i="79"/>
  <c r="AQ151" i="79"/>
  <c r="AO151" i="79"/>
  <c r="D151" i="79"/>
  <c r="BY149" i="79"/>
  <c r="BX149" i="79"/>
  <c r="BW149" i="79"/>
  <c r="AH149" i="79" s="1"/>
  <c r="BV149" i="79"/>
  <c r="BU149" i="79"/>
  <c r="BT149" i="79"/>
  <c r="BR149" i="79"/>
  <c r="BP149" i="79"/>
  <c r="BO149" i="79"/>
  <c r="BL149" i="79"/>
  <c r="BK149" i="79" s="1"/>
  <c r="BJ149" i="79"/>
  <c r="BI149" i="79"/>
  <c r="BH149" i="79"/>
  <c r="BG149" i="79"/>
  <c r="BF149" i="79"/>
  <c r="BE149" i="79"/>
  <c r="BC149" i="79"/>
  <c r="BB149" i="79"/>
  <c r="AZ149" i="79"/>
  <c r="AX149" i="79"/>
  <c r="AW149" i="79"/>
  <c r="AV149" i="79"/>
  <c r="AU149" i="79"/>
  <c r="AR149" i="79"/>
  <c r="AQ149" i="79"/>
  <c r="AO149" i="79"/>
  <c r="D149" i="79"/>
  <c r="BY147" i="79"/>
  <c r="BX147" i="79"/>
  <c r="BW147" i="79"/>
  <c r="AH147" i="79" s="1"/>
  <c r="BV147" i="79"/>
  <c r="BU147" i="79"/>
  <c r="BT147" i="79"/>
  <c r="BR147" i="79"/>
  <c r="BP147" i="79"/>
  <c r="BO147" i="79"/>
  <c r="BL147" i="79"/>
  <c r="BK147" i="79" s="1"/>
  <c r="BJ147" i="79"/>
  <c r="BI147" i="79"/>
  <c r="BH147" i="79"/>
  <c r="BG147" i="79"/>
  <c r="BF147" i="79"/>
  <c r="BE147" i="79"/>
  <c r="BC147" i="79"/>
  <c r="BB147" i="79"/>
  <c r="AZ147" i="79"/>
  <c r="AX147" i="79"/>
  <c r="AW147" i="79"/>
  <c r="AV147" i="79"/>
  <c r="AU147" i="79"/>
  <c r="AR147" i="79"/>
  <c r="AQ147" i="79"/>
  <c r="AO147" i="79"/>
  <c r="D147" i="79"/>
  <c r="BY145" i="79"/>
  <c r="BX145" i="79"/>
  <c r="BW145" i="79"/>
  <c r="AH145" i="79" s="1"/>
  <c r="BV145" i="79"/>
  <c r="BU145" i="79"/>
  <c r="BT145" i="79"/>
  <c r="BR145" i="79"/>
  <c r="BP145" i="79"/>
  <c r="BO145" i="79"/>
  <c r="BL145" i="79"/>
  <c r="BK145" i="79" s="1"/>
  <c r="BJ145" i="79"/>
  <c r="BI145" i="79"/>
  <c r="BH145" i="79"/>
  <c r="BG145" i="79"/>
  <c r="BF145" i="79"/>
  <c r="BE145" i="79"/>
  <c r="BC145" i="79"/>
  <c r="BB145" i="79"/>
  <c r="AZ145" i="79"/>
  <c r="AX145" i="79"/>
  <c r="AW145" i="79"/>
  <c r="AV145" i="79"/>
  <c r="AU145" i="79"/>
  <c r="AR145" i="79"/>
  <c r="AQ145" i="79"/>
  <c r="AO145" i="79"/>
  <c r="D145" i="79"/>
  <c r="BY143" i="79"/>
  <c r="BX143" i="79"/>
  <c r="BW143" i="79"/>
  <c r="AH143" i="79" s="1"/>
  <c r="BV143" i="79"/>
  <c r="BU143" i="79"/>
  <c r="BT143" i="79"/>
  <c r="BR143" i="79"/>
  <c r="BP143" i="79"/>
  <c r="BO143" i="79"/>
  <c r="BL143" i="79"/>
  <c r="BK143" i="79" s="1"/>
  <c r="BJ143" i="79"/>
  <c r="BI143" i="79"/>
  <c r="BH143" i="79"/>
  <c r="BG143" i="79"/>
  <c r="BF143" i="79"/>
  <c r="BE143" i="79"/>
  <c r="BC143" i="79"/>
  <c r="BB143" i="79"/>
  <c r="AZ143" i="79"/>
  <c r="AX143" i="79"/>
  <c r="AW143" i="79"/>
  <c r="AV143" i="79"/>
  <c r="AU143" i="79"/>
  <c r="AR143" i="79"/>
  <c r="AQ143" i="79"/>
  <c r="AO143" i="79"/>
  <c r="D143" i="79"/>
  <c r="BY141" i="79"/>
  <c r="BX141" i="79"/>
  <c r="BW141" i="79"/>
  <c r="AH141" i="79" s="1"/>
  <c r="BV141" i="79"/>
  <c r="BU141" i="79"/>
  <c r="BT141" i="79"/>
  <c r="BR141" i="79"/>
  <c r="BP141" i="79"/>
  <c r="BO141" i="79"/>
  <c r="BL141" i="79"/>
  <c r="BK141" i="79" s="1"/>
  <c r="BJ141" i="79"/>
  <c r="BI141" i="79"/>
  <c r="BH141" i="79"/>
  <c r="BG141" i="79"/>
  <c r="BF141" i="79"/>
  <c r="BE141" i="79"/>
  <c r="BC141" i="79"/>
  <c r="BB141" i="79"/>
  <c r="AZ141" i="79"/>
  <c r="AX141" i="79"/>
  <c r="AW141" i="79"/>
  <c r="AV141" i="79"/>
  <c r="AU141" i="79"/>
  <c r="AR141" i="79"/>
  <c r="AQ141" i="79"/>
  <c r="AO141" i="79"/>
  <c r="D141" i="79"/>
  <c r="BY139" i="79"/>
  <c r="BX139" i="79"/>
  <c r="BW139" i="79"/>
  <c r="AH139" i="79" s="1"/>
  <c r="BV139" i="79"/>
  <c r="BU139" i="79"/>
  <c r="BT139" i="79"/>
  <c r="BR139" i="79"/>
  <c r="BP139" i="79"/>
  <c r="BO139" i="79"/>
  <c r="BL139" i="79"/>
  <c r="BK139" i="79" s="1"/>
  <c r="BJ139" i="79"/>
  <c r="BI139" i="79"/>
  <c r="BH139" i="79"/>
  <c r="BG139" i="79"/>
  <c r="BF139" i="79"/>
  <c r="BE139" i="79"/>
  <c r="BC139" i="79"/>
  <c r="BB139" i="79"/>
  <c r="AZ139" i="79"/>
  <c r="AX139" i="79"/>
  <c r="AW139" i="79"/>
  <c r="AV139" i="79"/>
  <c r="AU139" i="79"/>
  <c r="AR139" i="79"/>
  <c r="AQ139" i="79"/>
  <c r="AO139" i="79"/>
  <c r="D139" i="79"/>
  <c r="BY137" i="79"/>
  <c r="BX137" i="79"/>
  <c r="BW137" i="79"/>
  <c r="AH137" i="79" s="1"/>
  <c r="BV137" i="79"/>
  <c r="BU137" i="79"/>
  <c r="BT137" i="79"/>
  <c r="BR137" i="79"/>
  <c r="BP137" i="79"/>
  <c r="BO137" i="79"/>
  <c r="BL137" i="79"/>
  <c r="BK137" i="79" s="1"/>
  <c r="BJ137" i="79"/>
  <c r="BI137" i="79"/>
  <c r="BH137" i="79"/>
  <c r="BG137" i="79"/>
  <c r="BF137" i="79"/>
  <c r="BE137" i="79"/>
  <c r="BC137" i="79"/>
  <c r="BB137" i="79"/>
  <c r="AZ137" i="79"/>
  <c r="AX137" i="79"/>
  <c r="AW137" i="79"/>
  <c r="AV137" i="79"/>
  <c r="AU137" i="79"/>
  <c r="AR137" i="79"/>
  <c r="AQ137" i="79"/>
  <c r="AO137" i="79"/>
  <c r="D137" i="79"/>
  <c r="BY135" i="79"/>
  <c r="BX135" i="79"/>
  <c r="BW135" i="79"/>
  <c r="AH135" i="79" s="1"/>
  <c r="BV135" i="79"/>
  <c r="BU135" i="79"/>
  <c r="BT135" i="79"/>
  <c r="BR135" i="79"/>
  <c r="BP135" i="79"/>
  <c r="BO135" i="79"/>
  <c r="BL135" i="79"/>
  <c r="BK135" i="79" s="1"/>
  <c r="BJ135" i="79"/>
  <c r="BI135" i="79"/>
  <c r="BH135" i="79"/>
  <c r="BG135" i="79"/>
  <c r="BF135" i="79"/>
  <c r="BE135" i="79"/>
  <c r="BC135" i="79"/>
  <c r="BB135" i="79"/>
  <c r="AZ135" i="79"/>
  <c r="AX135" i="79"/>
  <c r="AW135" i="79"/>
  <c r="AV135" i="79"/>
  <c r="AU135" i="79"/>
  <c r="AR135" i="79"/>
  <c r="AQ135" i="79"/>
  <c r="AO135" i="79"/>
  <c r="D135" i="79"/>
  <c r="BY133" i="79"/>
  <c r="BX133" i="79"/>
  <c r="BW133" i="79"/>
  <c r="AH133" i="79" s="1"/>
  <c r="BV133" i="79"/>
  <c r="BU133" i="79"/>
  <c r="BT133" i="79"/>
  <c r="BR133" i="79"/>
  <c r="BP133" i="79"/>
  <c r="BO133" i="79"/>
  <c r="BL133" i="79"/>
  <c r="BK133" i="79" s="1"/>
  <c r="BJ133" i="79"/>
  <c r="BI133" i="79"/>
  <c r="BH133" i="79"/>
  <c r="BG133" i="79"/>
  <c r="BF133" i="79"/>
  <c r="BE133" i="79"/>
  <c r="BC133" i="79"/>
  <c r="BB133" i="79"/>
  <c r="AZ133" i="79"/>
  <c r="AX133" i="79"/>
  <c r="AW133" i="79"/>
  <c r="AV133" i="79"/>
  <c r="AU133" i="79"/>
  <c r="AR133" i="79"/>
  <c r="AQ133" i="79"/>
  <c r="AO133" i="79"/>
  <c r="D133" i="79"/>
  <c r="BY131" i="79"/>
  <c r="BX131" i="79"/>
  <c r="BW131" i="79"/>
  <c r="AH131" i="79" s="1"/>
  <c r="BV131" i="79"/>
  <c r="BU131" i="79"/>
  <c r="BT131" i="79"/>
  <c r="BR131" i="79"/>
  <c r="BP131" i="79"/>
  <c r="BO131" i="79"/>
  <c r="BL131" i="79"/>
  <c r="BK131" i="79" s="1"/>
  <c r="BJ131" i="79"/>
  <c r="BI131" i="79"/>
  <c r="BH131" i="79"/>
  <c r="BG131" i="79"/>
  <c r="BF131" i="79"/>
  <c r="BE131" i="79"/>
  <c r="BC131" i="79"/>
  <c r="BB131" i="79"/>
  <c r="AZ131" i="79"/>
  <c r="AX131" i="79"/>
  <c r="AW131" i="79"/>
  <c r="AV131" i="79"/>
  <c r="AU131" i="79"/>
  <c r="AR131" i="79"/>
  <c r="AQ131" i="79"/>
  <c r="AO131" i="79"/>
  <c r="D131" i="79"/>
  <c r="BY129" i="79"/>
  <c r="BX129" i="79"/>
  <c r="BW129" i="79"/>
  <c r="AH129" i="79" s="1"/>
  <c r="BV129" i="79"/>
  <c r="BU129" i="79"/>
  <c r="BT129" i="79"/>
  <c r="BR129" i="79"/>
  <c r="BP129" i="79"/>
  <c r="BO129" i="79"/>
  <c r="BL129" i="79"/>
  <c r="BK129" i="79" s="1"/>
  <c r="BJ129" i="79"/>
  <c r="BI129" i="79"/>
  <c r="BH129" i="79"/>
  <c r="BG129" i="79"/>
  <c r="BF129" i="79"/>
  <c r="BE129" i="79"/>
  <c r="BC129" i="79"/>
  <c r="BB129" i="79"/>
  <c r="AZ129" i="79"/>
  <c r="AX129" i="79"/>
  <c r="AW129" i="79"/>
  <c r="AV129" i="79"/>
  <c r="AU129" i="79"/>
  <c r="AR129" i="79"/>
  <c r="AQ129" i="79"/>
  <c r="AO129" i="79"/>
  <c r="D129" i="79"/>
  <c r="BY127" i="79"/>
  <c r="BX127" i="79"/>
  <c r="BW127" i="79"/>
  <c r="AH127" i="79" s="1"/>
  <c r="BV127" i="79"/>
  <c r="BU127" i="79"/>
  <c r="BT127" i="79"/>
  <c r="BR127" i="79"/>
  <c r="BP127" i="79"/>
  <c r="BO127" i="79"/>
  <c r="BL127" i="79"/>
  <c r="BK127" i="79" s="1"/>
  <c r="BJ127" i="79"/>
  <c r="BI127" i="79"/>
  <c r="BH127" i="79"/>
  <c r="BG127" i="79"/>
  <c r="BF127" i="79"/>
  <c r="BE127" i="79"/>
  <c r="BC127" i="79"/>
  <c r="BB127" i="79"/>
  <c r="AZ127" i="79"/>
  <c r="AX127" i="79"/>
  <c r="AW127" i="79"/>
  <c r="AV127" i="79"/>
  <c r="AU127" i="79"/>
  <c r="AR127" i="79"/>
  <c r="AQ127" i="79"/>
  <c r="AO127" i="79"/>
  <c r="D127" i="79"/>
  <c r="BY125" i="79"/>
  <c r="BX125" i="79"/>
  <c r="BW125" i="79"/>
  <c r="AH125" i="79" s="1"/>
  <c r="BV125" i="79"/>
  <c r="BU125" i="79"/>
  <c r="BT125" i="79"/>
  <c r="BR125" i="79"/>
  <c r="BP125" i="79"/>
  <c r="BO125" i="79"/>
  <c r="BL125" i="79"/>
  <c r="BK125" i="79" s="1"/>
  <c r="BJ125" i="79"/>
  <c r="BI125" i="79"/>
  <c r="BH125" i="79"/>
  <c r="BG125" i="79"/>
  <c r="BF125" i="79"/>
  <c r="BE125" i="79"/>
  <c r="BC125" i="79"/>
  <c r="BB125" i="79"/>
  <c r="AZ125" i="79"/>
  <c r="AX125" i="79"/>
  <c r="AW125" i="79"/>
  <c r="AV125" i="79"/>
  <c r="AU125" i="79"/>
  <c r="AR125" i="79"/>
  <c r="AQ125" i="79"/>
  <c r="AO125" i="79"/>
  <c r="D125" i="79"/>
  <c r="BY123" i="79"/>
  <c r="BX123" i="79"/>
  <c r="BW123" i="79"/>
  <c r="AH123" i="79" s="1"/>
  <c r="BV123" i="79"/>
  <c r="BU123" i="79"/>
  <c r="BT123" i="79"/>
  <c r="BR123" i="79"/>
  <c r="BP123" i="79"/>
  <c r="BO123" i="79"/>
  <c r="BL123" i="79"/>
  <c r="BK123" i="79" s="1"/>
  <c r="BJ123" i="79"/>
  <c r="BI123" i="79"/>
  <c r="BH123" i="79"/>
  <c r="BG123" i="79"/>
  <c r="BF123" i="79"/>
  <c r="BE123" i="79"/>
  <c r="BC123" i="79"/>
  <c r="BB123" i="79"/>
  <c r="AZ123" i="79"/>
  <c r="AX123" i="79"/>
  <c r="AW123" i="79"/>
  <c r="AV123" i="79"/>
  <c r="AU123" i="79"/>
  <c r="AR123" i="79"/>
  <c r="AQ123" i="79"/>
  <c r="AO123" i="79"/>
  <c r="D123" i="79"/>
  <c r="BY121" i="79"/>
  <c r="BX121" i="79"/>
  <c r="BW121" i="79"/>
  <c r="AH121" i="79" s="1"/>
  <c r="BV121" i="79"/>
  <c r="BU121" i="79"/>
  <c r="BT121" i="79"/>
  <c r="BR121" i="79"/>
  <c r="BP121" i="79"/>
  <c r="BO121" i="79"/>
  <c r="BL121" i="79"/>
  <c r="BK121" i="79" s="1"/>
  <c r="BJ121" i="79"/>
  <c r="BI121" i="79"/>
  <c r="BH121" i="79"/>
  <c r="BG121" i="79"/>
  <c r="BF121" i="79"/>
  <c r="BE121" i="79"/>
  <c r="BC121" i="79"/>
  <c r="BB121" i="79"/>
  <c r="AZ121" i="79"/>
  <c r="AX121" i="79"/>
  <c r="AW121" i="79"/>
  <c r="AV121" i="79"/>
  <c r="AU121" i="79"/>
  <c r="AR121" i="79"/>
  <c r="AQ121" i="79"/>
  <c r="AO121" i="79"/>
  <c r="D121" i="79"/>
  <c r="BY119" i="79"/>
  <c r="BX119" i="79"/>
  <c r="BW119" i="79"/>
  <c r="AH119" i="79" s="1"/>
  <c r="BV119" i="79"/>
  <c r="BU119" i="79"/>
  <c r="BT119" i="79"/>
  <c r="BR119" i="79"/>
  <c r="BP119" i="79"/>
  <c r="BO119" i="79"/>
  <c r="BL119" i="79"/>
  <c r="BK119" i="79" s="1"/>
  <c r="BJ119" i="79"/>
  <c r="BI119" i="79"/>
  <c r="BH119" i="79"/>
  <c r="BG119" i="79"/>
  <c r="BF119" i="79"/>
  <c r="BE119" i="79"/>
  <c r="BC119" i="79"/>
  <c r="BB119" i="79"/>
  <c r="AZ119" i="79"/>
  <c r="AX119" i="79"/>
  <c r="AW119" i="79"/>
  <c r="AV119" i="79"/>
  <c r="AU119" i="79"/>
  <c r="AR119" i="79"/>
  <c r="AQ119" i="79"/>
  <c r="AO119" i="79"/>
  <c r="D119" i="79"/>
  <c r="BY117" i="79"/>
  <c r="BX117" i="79"/>
  <c r="BW117" i="79"/>
  <c r="AH117" i="79" s="1"/>
  <c r="BV117" i="79"/>
  <c r="BU117" i="79"/>
  <c r="BT117" i="79"/>
  <c r="BR117" i="79"/>
  <c r="BP117" i="79"/>
  <c r="BO117" i="79"/>
  <c r="BL117" i="79"/>
  <c r="BK117" i="79" s="1"/>
  <c r="BJ117" i="79"/>
  <c r="BI117" i="79"/>
  <c r="BH117" i="79"/>
  <c r="BG117" i="79"/>
  <c r="BF117" i="79"/>
  <c r="BE117" i="79"/>
  <c r="BC117" i="79"/>
  <c r="BB117" i="79"/>
  <c r="AZ117" i="79"/>
  <c r="AX117" i="79"/>
  <c r="AW117" i="79"/>
  <c r="AV117" i="79"/>
  <c r="AU117" i="79"/>
  <c r="AR117" i="79"/>
  <c r="AQ117" i="79"/>
  <c r="AO117" i="79"/>
  <c r="D117" i="79"/>
  <c r="BY115" i="79"/>
  <c r="BX115" i="79"/>
  <c r="BW115" i="79"/>
  <c r="AH115" i="79" s="1"/>
  <c r="BV115" i="79"/>
  <c r="BU115" i="79"/>
  <c r="BT115" i="79"/>
  <c r="BR115" i="79"/>
  <c r="BP115" i="79"/>
  <c r="BO115" i="79"/>
  <c r="BL115" i="79"/>
  <c r="BK115" i="79" s="1"/>
  <c r="BJ115" i="79"/>
  <c r="BI115" i="79"/>
  <c r="BH115" i="79"/>
  <c r="BG115" i="79"/>
  <c r="BF115" i="79"/>
  <c r="BE115" i="79"/>
  <c r="BC115" i="79"/>
  <c r="BB115" i="79"/>
  <c r="AZ115" i="79"/>
  <c r="AX115" i="79"/>
  <c r="AW115" i="79"/>
  <c r="AV115" i="79"/>
  <c r="AU115" i="79"/>
  <c r="AR115" i="79"/>
  <c r="AQ115" i="79"/>
  <c r="AO115" i="79"/>
  <c r="D115" i="79"/>
  <c r="BY113" i="79"/>
  <c r="BX113" i="79"/>
  <c r="BW113" i="79"/>
  <c r="AH113" i="79" s="1"/>
  <c r="BV113" i="79"/>
  <c r="BU113" i="79"/>
  <c r="BT113" i="79"/>
  <c r="BR113" i="79"/>
  <c r="BP113" i="79"/>
  <c r="BO113" i="79"/>
  <c r="BL113" i="79"/>
  <c r="BK113" i="79" s="1"/>
  <c r="BJ113" i="79"/>
  <c r="BI113" i="79"/>
  <c r="BH113" i="79"/>
  <c r="BG113" i="79"/>
  <c r="BF113" i="79"/>
  <c r="BE113" i="79"/>
  <c r="BC113" i="79"/>
  <c r="BB113" i="79"/>
  <c r="AZ113" i="79"/>
  <c r="AX113" i="79"/>
  <c r="AW113" i="79"/>
  <c r="AV113" i="79"/>
  <c r="AU113" i="79"/>
  <c r="AR113" i="79"/>
  <c r="AQ113" i="79"/>
  <c r="AO113" i="79"/>
  <c r="D113" i="79"/>
  <c r="BY111" i="79"/>
  <c r="BX111" i="79"/>
  <c r="BW111" i="79"/>
  <c r="AH111" i="79" s="1"/>
  <c r="BV111" i="79"/>
  <c r="BU111" i="79"/>
  <c r="BT111" i="79"/>
  <c r="BR111" i="79"/>
  <c r="BP111" i="79"/>
  <c r="BO111" i="79"/>
  <c r="BL111" i="79"/>
  <c r="BK111" i="79" s="1"/>
  <c r="BJ111" i="79"/>
  <c r="BI111" i="79"/>
  <c r="BH111" i="79"/>
  <c r="BG111" i="79"/>
  <c r="BF111" i="79"/>
  <c r="BE111" i="79"/>
  <c r="BC111" i="79"/>
  <c r="BB111" i="79"/>
  <c r="AZ111" i="79"/>
  <c r="AX111" i="79"/>
  <c r="AW111" i="79"/>
  <c r="AV111" i="79"/>
  <c r="AU111" i="79"/>
  <c r="AR111" i="79"/>
  <c r="AQ111" i="79"/>
  <c r="AO111" i="79"/>
  <c r="D111" i="79"/>
  <c r="BY109" i="79"/>
  <c r="BX109" i="79"/>
  <c r="BW109" i="79"/>
  <c r="AH109" i="79" s="1"/>
  <c r="BV109" i="79"/>
  <c r="BU109" i="79"/>
  <c r="BT109" i="79"/>
  <c r="BR109" i="79"/>
  <c r="BP109" i="79"/>
  <c r="BO109" i="79"/>
  <c r="BL109" i="79"/>
  <c r="BK109" i="79" s="1"/>
  <c r="BJ109" i="79"/>
  <c r="BI109" i="79"/>
  <c r="BH109" i="79"/>
  <c r="BG109" i="79"/>
  <c r="BF109" i="79"/>
  <c r="BE109" i="79"/>
  <c r="BC109" i="79"/>
  <c r="BB109" i="79"/>
  <c r="AZ109" i="79"/>
  <c r="AX109" i="79"/>
  <c r="AW109" i="79"/>
  <c r="AV109" i="79"/>
  <c r="AU109" i="79"/>
  <c r="AR109" i="79"/>
  <c r="AQ109" i="79"/>
  <c r="AO109" i="79"/>
  <c r="D109" i="79"/>
  <c r="BY107" i="79"/>
  <c r="BX107" i="79"/>
  <c r="BW107" i="79"/>
  <c r="AH107" i="79" s="1"/>
  <c r="BV107" i="79"/>
  <c r="BU107" i="79"/>
  <c r="BT107" i="79"/>
  <c r="BR107" i="79"/>
  <c r="BP107" i="79"/>
  <c r="BO107" i="79"/>
  <c r="BL107" i="79"/>
  <c r="BK107" i="79"/>
  <c r="BJ107" i="79"/>
  <c r="BI107" i="79"/>
  <c r="BH107" i="79"/>
  <c r="BG107" i="79"/>
  <c r="BF107" i="79"/>
  <c r="BE107" i="79"/>
  <c r="BC107" i="79"/>
  <c r="BB107" i="79"/>
  <c r="AZ107" i="79"/>
  <c r="AX107" i="79"/>
  <c r="AW107" i="79"/>
  <c r="AV107" i="79"/>
  <c r="AU107" i="79"/>
  <c r="AR107" i="79"/>
  <c r="AQ107" i="79"/>
  <c r="AO107" i="79"/>
  <c r="D107" i="79"/>
  <c r="BY105" i="79"/>
  <c r="BX105" i="79"/>
  <c r="BW105" i="79"/>
  <c r="AH105" i="79" s="1"/>
  <c r="BV105" i="79"/>
  <c r="BU105" i="79"/>
  <c r="BT105" i="79"/>
  <c r="BR105" i="79"/>
  <c r="BP105" i="79"/>
  <c r="BO105" i="79"/>
  <c r="BL105" i="79"/>
  <c r="BK105" i="79" s="1"/>
  <c r="BJ105" i="79"/>
  <c r="BI105" i="79"/>
  <c r="BH105" i="79"/>
  <c r="BG105" i="79"/>
  <c r="BF105" i="79"/>
  <c r="BE105" i="79"/>
  <c r="BC105" i="79"/>
  <c r="BB105" i="79"/>
  <c r="AZ105" i="79"/>
  <c r="AX105" i="79"/>
  <c r="AW105" i="79"/>
  <c r="AV105" i="79"/>
  <c r="AU105" i="79"/>
  <c r="AR105" i="79"/>
  <c r="AQ105" i="79"/>
  <c r="AO105" i="79"/>
  <c r="D105" i="79"/>
  <c r="BY103" i="79"/>
  <c r="BX103" i="79"/>
  <c r="BW103" i="79"/>
  <c r="AH103" i="79" s="1"/>
  <c r="BV103" i="79"/>
  <c r="BU103" i="79"/>
  <c r="BT103" i="79"/>
  <c r="BR103" i="79"/>
  <c r="BP103" i="79"/>
  <c r="BO103" i="79"/>
  <c r="BL103" i="79"/>
  <c r="BK103" i="79"/>
  <c r="BJ103" i="79"/>
  <c r="BI103" i="79"/>
  <c r="BH103" i="79"/>
  <c r="BG103" i="79"/>
  <c r="BF103" i="79"/>
  <c r="BE103" i="79"/>
  <c r="BC103" i="79"/>
  <c r="BB103" i="79"/>
  <c r="AZ103" i="79"/>
  <c r="AX103" i="79"/>
  <c r="AW103" i="79"/>
  <c r="AV103" i="79"/>
  <c r="AU103" i="79"/>
  <c r="AR103" i="79"/>
  <c r="AQ103" i="79"/>
  <c r="AO103" i="79"/>
  <c r="D103" i="79"/>
  <c r="BY101" i="79"/>
  <c r="BX101" i="79"/>
  <c r="BW101" i="79"/>
  <c r="AH101" i="79" s="1"/>
  <c r="BV101" i="79"/>
  <c r="BU101" i="79"/>
  <c r="BT101" i="79"/>
  <c r="BR101" i="79"/>
  <c r="BP101" i="79"/>
  <c r="BO101" i="79"/>
  <c r="BL101" i="79"/>
  <c r="BK101" i="79" s="1"/>
  <c r="BJ101" i="79"/>
  <c r="BI101" i="79"/>
  <c r="BH101" i="79"/>
  <c r="BG101" i="79"/>
  <c r="BF101" i="79"/>
  <c r="BE101" i="79"/>
  <c r="BC101" i="79"/>
  <c r="BB101" i="79"/>
  <c r="AZ101" i="79"/>
  <c r="AX101" i="79"/>
  <c r="AW101" i="79"/>
  <c r="AV101" i="79"/>
  <c r="AU101" i="79"/>
  <c r="AR101" i="79"/>
  <c r="AQ101" i="79"/>
  <c r="AO101" i="79"/>
  <c r="D101" i="79"/>
  <c r="BY99" i="79"/>
  <c r="BX99" i="79"/>
  <c r="BW99" i="79"/>
  <c r="AH99" i="79" s="1"/>
  <c r="BV99" i="79"/>
  <c r="BU99" i="79"/>
  <c r="BT99" i="79"/>
  <c r="BR99" i="79"/>
  <c r="BP99" i="79"/>
  <c r="BO99" i="79"/>
  <c r="BL99" i="79"/>
  <c r="BK99" i="79" s="1"/>
  <c r="BJ99" i="79"/>
  <c r="BI99" i="79"/>
  <c r="BH99" i="79"/>
  <c r="BG99" i="79"/>
  <c r="BF99" i="79"/>
  <c r="BE99" i="79"/>
  <c r="BC99" i="79"/>
  <c r="BB99" i="79"/>
  <c r="AZ99" i="79"/>
  <c r="AX99" i="79"/>
  <c r="AW99" i="79"/>
  <c r="AV99" i="79"/>
  <c r="AU99" i="79"/>
  <c r="AR99" i="79"/>
  <c r="AQ99" i="79"/>
  <c r="AO99" i="79"/>
  <c r="D99" i="79"/>
  <c r="BY97" i="79"/>
  <c r="BX97" i="79"/>
  <c r="BW97" i="79"/>
  <c r="AH97" i="79" s="1"/>
  <c r="BV97" i="79"/>
  <c r="BU97" i="79"/>
  <c r="BT97" i="79"/>
  <c r="BR97" i="79"/>
  <c r="BP97" i="79"/>
  <c r="BO97" i="79"/>
  <c r="BL97" i="79"/>
  <c r="BK97" i="79" s="1"/>
  <c r="BJ97" i="79"/>
  <c r="BI97" i="79"/>
  <c r="BH97" i="79"/>
  <c r="BG97" i="79"/>
  <c r="BF97" i="79"/>
  <c r="BE97" i="79"/>
  <c r="BC97" i="79"/>
  <c r="BB97" i="79"/>
  <c r="AZ97" i="79"/>
  <c r="AX97" i="79"/>
  <c r="AW97" i="79"/>
  <c r="AV97" i="79"/>
  <c r="AU97" i="79"/>
  <c r="AR97" i="79"/>
  <c r="AQ97" i="79"/>
  <c r="AO97" i="79"/>
  <c r="D97" i="79"/>
  <c r="BY95" i="79"/>
  <c r="BX95" i="79"/>
  <c r="BW95" i="79"/>
  <c r="AH95" i="79" s="1"/>
  <c r="BV95" i="79"/>
  <c r="BU95" i="79"/>
  <c r="BT95" i="79"/>
  <c r="BR95" i="79"/>
  <c r="BP95" i="79"/>
  <c r="BO95" i="79"/>
  <c r="BL95" i="79"/>
  <c r="BK95" i="79" s="1"/>
  <c r="BJ95" i="79"/>
  <c r="BI95" i="79"/>
  <c r="BH95" i="79"/>
  <c r="BG95" i="79"/>
  <c r="BF95" i="79"/>
  <c r="BE95" i="79"/>
  <c r="BC95" i="79"/>
  <c r="BB95" i="79"/>
  <c r="AZ95" i="79"/>
  <c r="AX95" i="79"/>
  <c r="AW95" i="79"/>
  <c r="AV95" i="79"/>
  <c r="AU95" i="79"/>
  <c r="AR95" i="79"/>
  <c r="AQ95" i="79"/>
  <c r="AO95" i="79"/>
  <c r="D95" i="79"/>
  <c r="BY93" i="79"/>
  <c r="BX93" i="79"/>
  <c r="BW93" i="79"/>
  <c r="AH93" i="79" s="1"/>
  <c r="BV93" i="79"/>
  <c r="BU93" i="79"/>
  <c r="BT93" i="79"/>
  <c r="BR93" i="79"/>
  <c r="BP93" i="79"/>
  <c r="BO93" i="79"/>
  <c r="BL93" i="79"/>
  <c r="BK93" i="79" s="1"/>
  <c r="BJ93" i="79"/>
  <c r="BI93" i="79"/>
  <c r="BH93" i="79"/>
  <c r="BG93" i="79"/>
  <c r="BF93" i="79"/>
  <c r="BE93" i="79"/>
  <c r="BC93" i="79"/>
  <c r="BB93" i="79"/>
  <c r="AZ93" i="79"/>
  <c r="AX93" i="79"/>
  <c r="AW93" i="79"/>
  <c r="AV93" i="79"/>
  <c r="AU93" i="79"/>
  <c r="AR93" i="79"/>
  <c r="AQ93" i="79"/>
  <c r="AO93" i="79"/>
  <c r="D93" i="79"/>
  <c r="BY91" i="79"/>
  <c r="BX91" i="79"/>
  <c r="BW91" i="79"/>
  <c r="AH91" i="79" s="1"/>
  <c r="BV91" i="79"/>
  <c r="BU91" i="79"/>
  <c r="BT91" i="79"/>
  <c r="BR91" i="79"/>
  <c r="BP91" i="79"/>
  <c r="BO91" i="79"/>
  <c r="BL91" i="79"/>
  <c r="BK91" i="79"/>
  <c r="BJ91" i="79"/>
  <c r="BI91" i="79"/>
  <c r="BH91" i="79"/>
  <c r="BG91" i="79"/>
  <c r="BF91" i="79"/>
  <c r="BE91" i="79"/>
  <c r="BC91" i="79"/>
  <c r="BB91" i="79"/>
  <c r="AZ91" i="79"/>
  <c r="AX91" i="79"/>
  <c r="AW91" i="79"/>
  <c r="AV91" i="79"/>
  <c r="AU91" i="79"/>
  <c r="AR91" i="79"/>
  <c r="AQ91" i="79"/>
  <c r="AO91" i="79"/>
  <c r="D91" i="79"/>
  <c r="BY89" i="79"/>
  <c r="BX89" i="79"/>
  <c r="BW89" i="79"/>
  <c r="AH89" i="79" s="1"/>
  <c r="BV89" i="79"/>
  <c r="BU89" i="79"/>
  <c r="BT89" i="79"/>
  <c r="BR89" i="79"/>
  <c r="BP89" i="79"/>
  <c r="BO89" i="79"/>
  <c r="BL89" i="79"/>
  <c r="BK89" i="79" s="1"/>
  <c r="BJ89" i="79"/>
  <c r="BI89" i="79"/>
  <c r="BH89" i="79"/>
  <c r="BG89" i="79"/>
  <c r="BF89" i="79"/>
  <c r="BE89" i="79"/>
  <c r="BC89" i="79"/>
  <c r="BB89" i="79"/>
  <c r="AZ89" i="79"/>
  <c r="AX89" i="79"/>
  <c r="AW89" i="79"/>
  <c r="AV89" i="79"/>
  <c r="AU89" i="79"/>
  <c r="AR89" i="79"/>
  <c r="AQ89" i="79"/>
  <c r="AO89" i="79"/>
  <c r="D89" i="79"/>
  <c r="BY87" i="79"/>
  <c r="BX87" i="79"/>
  <c r="BW87" i="79"/>
  <c r="AH87" i="79" s="1"/>
  <c r="BV87" i="79"/>
  <c r="BU87" i="79"/>
  <c r="BT87" i="79"/>
  <c r="BR87" i="79"/>
  <c r="BP87" i="79"/>
  <c r="BO87" i="79"/>
  <c r="BL87" i="79"/>
  <c r="BK87" i="79" s="1"/>
  <c r="BJ87" i="79"/>
  <c r="BI87" i="79"/>
  <c r="BH87" i="79"/>
  <c r="BG87" i="79"/>
  <c r="BF87" i="79"/>
  <c r="BE87" i="79"/>
  <c r="BC87" i="79"/>
  <c r="BB87" i="79"/>
  <c r="AZ87" i="79"/>
  <c r="AX87" i="79"/>
  <c r="AW87" i="79"/>
  <c r="AV87" i="79"/>
  <c r="AU87" i="79"/>
  <c r="AR87" i="79"/>
  <c r="AQ87" i="79"/>
  <c r="AO87" i="79"/>
  <c r="D87" i="79"/>
  <c r="BY85" i="79"/>
  <c r="BX85" i="79"/>
  <c r="BW85" i="79"/>
  <c r="AH85" i="79" s="1"/>
  <c r="BV85" i="79"/>
  <c r="BU85" i="79"/>
  <c r="BT85" i="79"/>
  <c r="BR85" i="79"/>
  <c r="BP85" i="79"/>
  <c r="BO85" i="79"/>
  <c r="BL85" i="79"/>
  <c r="BK85" i="79" s="1"/>
  <c r="BJ85" i="79"/>
  <c r="BI85" i="79"/>
  <c r="BH85" i="79"/>
  <c r="BG85" i="79"/>
  <c r="BF85" i="79"/>
  <c r="BE85" i="79"/>
  <c r="BC85" i="79"/>
  <c r="BB85" i="79"/>
  <c r="AZ85" i="79"/>
  <c r="AX85" i="79"/>
  <c r="AW85" i="79"/>
  <c r="AV85" i="79"/>
  <c r="AU85" i="79"/>
  <c r="AR85" i="79"/>
  <c r="AQ85" i="79"/>
  <c r="AO85" i="79"/>
  <c r="D85" i="79"/>
  <c r="BY83" i="79"/>
  <c r="BX83" i="79"/>
  <c r="BW83" i="79"/>
  <c r="AH83" i="79" s="1"/>
  <c r="BV83" i="79"/>
  <c r="BU83" i="79"/>
  <c r="BT83" i="79"/>
  <c r="BR83" i="79"/>
  <c r="BP83" i="79"/>
  <c r="BO83" i="79"/>
  <c r="BL83" i="79"/>
  <c r="BK83" i="79"/>
  <c r="BJ83" i="79"/>
  <c r="BI83" i="79"/>
  <c r="BH83" i="79"/>
  <c r="BG83" i="79"/>
  <c r="BF83" i="79"/>
  <c r="BE83" i="79"/>
  <c r="BC83" i="79"/>
  <c r="BB83" i="79"/>
  <c r="AZ83" i="79"/>
  <c r="AX83" i="79"/>
  <c r="AW83" i="79"/>
  <c r="AV83" i="79"/>
  <c r="AU83" i="79"/>
  <c r="AR83" i="79"/>
  <c r="AQ83" i="79"/>
  <c r="AO83" i="79"/>
  <c r="D83" i="79"/>
  <c r="BY81" i="79"/>
  <c r="BX81" i="79"/>
  <c r="BW81" i="79"/>
  <c r="AH81" i="79" s="1"/>
  <c r="BV81" i="79"/>
  <c r="BU81" i="79"/>
  <c r="BT81" i="79"/>
  <c r="BR81" i="79"/>
  <c r="BP81" i="79"/>
  <c r="BO81" i="79"/>
  <c r="BL81" i="79"/>
  <c r="BK81" i="79" s="1"/>
  <c r="BJ81" i="79"/>
  <c r="BI81" i="79"/>
  <c r="BH81" i="79"/>
  <c r="BG81" i="79"/>
  <c r="BF81" i="79"/>
  <c r="BE81" i="79"/>
  <c r="BC81" i="79"/>
  <c r="BB81" i="79"/>
  <c r="AZ81" i="79"/>
  <c r="AX81" i="79"/>
  <c r="AW81" i="79"/>
  <c r="AV81" i="79"/>
  <c r="AU81" i="79"/>
  <c r="AR81" i="79"/>
  <c r="AQ81" i="79"/>
  <c r="AO81" i="79"/>
  <c r="D81" i="79"/>
  <c r="BY79" i="79"/>
  <c r="BX79" i="79"/>
  <c r="BW79" i="79"/>
  <c r="AH79" i="79" s="1"/>
  <c r="BV79" i="79"/>
  <c r="BU79" i="79"/>
  <c r="BT79" i="79"/>
  <c r="BR79" i="79"/>
  <c r="BP79" i="79"/>
  <c r="BO79" i="79"/>
  <c r="BL79" i="79"/>
  <c r="BK79" i="79" s="1"/>
  <c r="BJ79" i="79"/>
  <c r="BI79" i="79"/>
  <c r="BH79" i="79"/>
  <c r="BG79" i="79"/>
  <c r="BF79" i="79"/>
  <c r="BE79" i="79"/>
  <c r="BC79" i="79"/>
  <c r="BB79" i="79"/>
  <c r="AZ79" i="79"/>
  <c r="AX79" i="79"/>
  <c r="AW79" i="79"/>
  <c r="AV79" i="79"/>
  <c r="AU79" i="79"/>
  <c r="AR79" i="79"/>
  <c r="AQ79" i="79"/>
  <c r="AO79" i="79"/>
  <c r="D79" i="79"/>
  <c r="BY77" i="79"/>
  <c r="BX77" i="79"/>
  <c r="BW77" i="79"/>
  <c r="AH77" i="79" s="1"/>
  <c r="BV77" i="79"/>
  <c r="BU77" i="79"/>
  <c r="BT77" i="79"/>
  <c r="BR77" i="79"/>
  <c r="BP77" i="79"/>
  <c r="BO77" i="79"/>
  <c r="BL77" i="79"/>
  <c r="BK77" i="79" s="1"/>
  <c r="BJ77" i="79"/>
  <c r="BI77" i="79"/>
  <c r="BH77" i="79"/>
  <c r="BG77" i="79"/>
  <c r="BF77" i="79"/>
  <c r="BE77" i="79"/>
  <c r="BC77" i="79"/>
  <c r="BB77" i="79"/>
  <c r="AZ77" i="79"/>
  <c r="AX77" i="79"/>
  <c r="AW77" i="79"/>
  <c r="AV77" i="79"/>
  <c r="AU77" i="79"/>
  <c r="AR77" i="79"/>
  <c r="AQ77" i="79"/>
  <c r="AO77" i="79"/>
  <c r="D77" i="79"/>
  <c r="BY75" i="79"/>
  <c r="BX75" i="79"/>
  <c r="BW75" i="79"/>
  <c r="AH75" i="79" s="1"/>
  <c r="BV75" i="79"/>
  <c r="BU75" i="79"/>
  <c r="BT75" i="79"/>
  <c r="BR75" i="79"/>
  <c r="BP75" i="79"/>
  <c r="BO75" i="79"/>
  <c r="BL75" i="79"/>
  <c r="BK75" i="79"/>
  <c r="BJ75" i="79"/>
  <c r="BI75" i="79"/>
  <c r="BH75" i="79"/>
  <c r="BG75" i="79"/>
  <c r="BF75" i="79"/>
  <c r="BE75" i="79"/>
  <c r="BC75" i="79"/>
  <c r="BB75" i="79"/>
  <c r="AZ75" i="79"/>
  <c r="AX75" i="79"/>
  <c r="AW75" i="79"/>
  <c r="AV75" i="79"/>
  <c r="AU75" i="79"/>
  <c r="AR75" i="79"/>
  <c r="AQ75" i="79"/>
  <c r="AO75" i="79"/>
  <c r="D75" i="79"/>
  <c r="BY73" i="79"/>
  <c r="BX73" i="79"/>
  <c r="BW73" i="79"/>
  <c r="AH73" i="79" s="1"/>
  <c r="BV73" i="79"/>
  <c r="BU73" i="79"/>
  <c r="BT73" i="79"/>
  <c r="BR73" i="79"/>
  <c r="BP73" i="79"/>
  <c r="BO73" i="79"/>
  <c r="BL73" i="79"/>
  <c r="BK73" i="79" s="1"/>
  <c r="BJ73" i="79"/>
  <c r="BI73" i="79"/>
  <c r="BH73" i="79"/>
  <c r="BG73" i="79"/>
  <c r="BF73" i="79"/>
  <c r="BE73" i="79"/>
  <c r="BC73" i="79"/>
  <c r="BB73" i="79"/>
  <c r="AZ73" i="79"/>
  <c r="AX73" i="79"/>
  <c r="AW73" i="79"/>
  <c r="AV73" i="79"/>
  <c r="AU73" i="79"/>
  <c r="AR73" i="79"/>
  <c r="AQ73" i="79"/>
  <c r="AO73" i="79"/>
  <c r="D73" i="79"/>
  <c r="BY71" i="79"/>
  <c r="BX71" i="79"/>
  <c r="BW71" i="79"/>
  <c r="AH71" i="79" s="1"/>
  <c r="BV71" i="79"/>
  <c r="BU71" i="79"/>
  <c r="BT71" i="79"/>
  <c r="BR71" i="79"/>
  <c r="BP71" i="79"/>
  <c r="BO71" i="79"/>
  <c r="BL71" i="79"/>
  <c r="BK71" i="79"/>
  <c r="BJ71" i="79"/>
  <c r="BI71" i="79"/>
  <c r="BH71" i="79"/>
  <c r="BG71" i="79"/>
  <c r="BF71" i="79"/>
  <c r="BE71" i="79"/>
  <c r="BC71" i="79"/>
  <c r="BB71" i="79"/>
  <c r="AZ71" i="79"/>
  <c r="AX71" i="79"/>
  <c r="AW71" i="79"/>
  <c r="AV71" i="79"/>
  <c r="AU71" i="79"/>
  <c r="AR71" i="79"/>
  <c r="AQ71" i="79"/>
  <c r="AO71" i="79"/>
  <c r="D71" i="79"/>
  <c r="BY69" i="79"/>
  <c r="BX69" i="79"/>
  <c r="BW69" i="79"/>
  <c r="AH69" i="79" s="1"/>
  <c r="BV69" i="79"/>
  <c r="BU69" i="79"/>
  <c r="BT69" i="79"/>
  <c r="BR69" i="79"/>
  <c r="BP69" i="79"/>
  <c r="BO69" i="79"/>
  <c r="BL69" i="79"/>
  <c r="BK69" i="79" s="1"/>
  <c r="BJ69" i="79"/>
  <c r="BI69" i="79"/>
  <c r="BH69" i="79"/>
  <c r="BG69" i="79"/>
  <c r="BF69" i="79"/>
  <c r="BE69" i="79"/>
  <c r="BC69" i="79"/>
  <c r="BB69" i="79"/>
  <c r="AZ69" i="79"/>
  <c r="AX69" i="79"/>
  <c r="AW69" i="79"/>
  <c r="AV69" i="79"/>
  <c r="AU69" i="79"/>
  <c r="AR69" i="79"/>
  <c r="AQ69" i="79"/>
  <c r="AO69" i="79"/>
  <c r="D69" i="79"/>
  <c r="BY67" i="79"/>
  <c r="BX67" i="79"/>
  <c r="BW67" i="79"/>
  <c r="AH67" i="79" s="1"/>
  <c r="BV67" i="79"/>
  <c r="BU67" i="79"/>
  <c r="BT67" i="79"/>
  <c r="BR67" i="79"/>
  <c r="BP67" i="79"/>
  <c r="BO67" i="79"/>
  <c r="BL67" i="79"/>
  <c r="BK67" i="79" s="1"/>
  <c r="BJ67" i="79"/>
  <c r="BI67" i="79"/>
  <c r="BH67" i="79"/>
  <c r="BG67" i="79"/>
  <c r="BF67" i="79"/>
  <c r="BE67" i="79"/>
  <c r="BC67" i="79"/>
  <c r="BB67" i="79"/>
  <c r="AZ67" i="79"/>
  <c r="AX67" i="79"/>
  <c r="AW67" i="79"/>
  <c r="AV67" i="79"/>
  <c r="AU67" i="79"/>
  <c r="AR67" i="79"/>
  <c r="AQ67" i="79"/>
  <c r="AO67" i="79"/>
  <c r="D67" i="79"/>
  <c r="BY65" i="79"/>
  <c r="BX65" i="79"/>
  <c r="BW65" i="79"/>
  <c r="AH65" i="79" s="1"/>
  <c r="BV65" i="79"/>
  <c r="BU65" i="79"/>
  <c r="BT65" i="79"/>
  <c r="BR65" i="79"/>
  <c r="BP65" i="79"/>
  <c r="BO65" i="79"/>
  <c r="BL65" i="79"/>
  <c r="BK65" i="79" s="1"/>
  <c r="BJ65" i="79"/>
  <c r="BI65" i="79"/>
  <c r="BH65" i="79"/>
  <c r="BG65" i="79"/>
  <c r="BF65" i="79"/>
  <c r="BE65" i="79"/>
  <c r="BC65" i="79"/>
  <c r="BB65" i="79"/>
  <c r="AZ65" i="79"/>
  <c r="AX65" i="79"/>
  <c r="AW65" i="79"/>
  <c r="AV65" i="79"/>
  <c r="AU65" i="79"/>
  <c r="AR65" i="79"/>
  <c r="AQ65" i="79"/>
  <c r="AO65" i="79"/>
  <c r="D65" i="79"/>
  <c r="BY63" i="79"/>
  <c r="BX63" i="79"/>
  <c r="BW63" i="79"/>
  <c r="AH63" i="79" s="1"/>
  <c r="BV63" i="79"/>
  <c r="BU63" i="79"/>
  <c r="BT63" i="79"/>
  <c r="BR63" i="79"/>
  <c r="BP63" i="79"/>
  <c r="BO63" i="79"/>
  <c r="BL63" i="79"/>
  <c r="BK63" i="79" s="1"/>
  <c r="BJ63" i="79"/>
  <c r="BI63" i="79"/>
  <c r="BH63" i="79"/>
  <c r="BG63" i="79"/>
  <c r="BF63" i="79"/>
  <c r="BE63" i="79"/>
  <c r="BC63" i="79"/>
  <c r="BB63" i="79"/>
  <c r="AZ63" i="79"/>
  <c r="AX63" i="79"/>
  <c r="AW63" i="79"/>
  <c r="AV63" i="79"/>
  <c r="AU63" i="79"/>
  <c r="AR63" i="79"/>
  <c r="AQ63" i="79"/>
  <c r="AO63" i="79"/>
  <c r="D63" i="79"/>
  <c r="BY61" i="79"/>
  <c r="BX61" i="79"/>
  <c r="BW61" i="79"/>
  <c r="AH61" i="79" s="1"/>
  <c r="BV61" i="79"/>
  <c r="BU61" i="79"/>
  <c r="BT61" i="79"/>
  <c r="BR61" i="79"/>
  <c r="BP61" i="79"/>
  <c r="BO61" i="79"/>
  <c r="BL61" i="79"/>
  <c r="BK61" i="79" s="1"/>
  <c r="BJ61" i="79"/>
  <c r="BI61" i="79"/>
  <c r="BH61" i="79"/>
  <c r="BG61" i="79"/>
  <c r="BF61" i="79"/>
  <c r="BE61" i="79"/>
  <c r="BC61" i="79"/>
  <c r="BB61" i="79"/>
  <c r="AZ61" i="79"/>
  <c r="AX61" i="79"/>
  <c r="AW61" i="79"/>
  <c r="AV61" i="79"/>
  <c r="AU61" i="79"/>
  <c r="AR61" i="79"/>
  <c r="AQ61" i="79"/>
  <c r="AO61" i="79"/>
  <c r="D61" i="79"/>
  <c r="BY59" i="79"/>
  <c r="BX59" i="79"/>
  <c r="BW59" i="79"/>
  <c r="AH59" i="79" s="1"/>
  <c r="BV59" i="79"/>
  <c r="BU59" i="79"/>
  <c r="BT59" i="79"/>
  <c r="BR59" i="79"/>
  <c r="BP59" i="79"/>
  <c r="BO59" i="79"/>
  <c r="BL59" i="79"/>
  <c r="BK59" i="79"/>
  <c r="BJ59" i="79"/>
  <c r="BI59" i="79"/>
  <c r="BH59" i="79"/>
  <c r="BG59" i="79"/>
  <c r="BF59" i="79"/>
  <c r="BE59" i="79"/>
  <c r="BC59" i="79"/>
  <c r="BB59" i="79"/>
  <c r="AZ59" i="79"/>
  <c r="AX59" i="79"/>
  <c r="AW59" i="79"/>
  <c r="AV59" i="79"/>
  <c r="AU59" i="79"/>
  <c r="AR59" i="79"/>
  <c r="AQ59" i="79"/>
  <c r="AO59" i="79"/>
  <c r="D59" i="79"/>
  <c r="BY57" i="79"/>
  <c r="BX57" i="79"/>
  <c r="BW57" i="79"/>
  <c r="AH57" i="79" s="1"/>
  <c r="BV57" i="79"/>
  <c r="BU57" i="79"/>
  <c r="BT57" i="79"/>
  <c r="BR57" i="79"/>
  <c r="BP57" i="79"/>
  <c r="BO57" i="79"/>
  <c r="BL57" i="79"/>
  <c r="BK57" i="79" s="1"/>
  <c r="BJ57" i="79"/>
  <c r="BI57" i="79"/>
  <c r="BH57" i="79"/>
  <c r="BG57" i="79"/>
  <c r="BF57" i="79"/>
  <c r="BE57" i="79"/>
  <c r="BC57" i="79"/>
  <c r="BB57" i="79"/>
  <c r="AZ57" i="79"/>
  <c r="AX57" i="79"/>
  <c r="AW57" i="79"/>
  <c r="AV57" i="79"/>
  <c r="AU57" i="79"/>
  <c r="AR57" i="79"/>
  <c r="AQ57" i="79"/>
  <c r="AO57" i="79"/>
  <c r="D57" i="79"/>
  <c r="BY55" i="79"/>
  <c r="BX55" i="79"/>
  <c r="BW55" i="79"/>
  <c r="AH55" i="79" s="1"/>
  <c r="BV55" i="79"/>
  <c r="BU55" i="79"/>
  <c r="BT55" i="79"/>
  <c r="BR55" i="79"/>
  <c r="BP55" i="79"/>
  <c r="BO55" i="79"/>
  <c r="BL55" i="79"/>
  <c r="BK55" i="79" s="1"/>
  <c r="BJ55" i="79"/>
  <c r="BI55" i="79"/>
  <c r="BH55" i="79"/>
  <c r="BG55" i="79"/>
  <c r="BF55" i="79"/>
  <c r="BE55" i="79"/>
  <c r="BC55" i="79"/>
  <c r="BB55" i="79"/>
  <c r="AZ55" i="79"/>
  <c r="AX55" i="79"/>
  <c r="AW55" i="79"/>
  <c r="AV55" i="79"/>
  <c r="AU55" i="79"/>
  <c r="AR55" i="79"/>
  <c r="AQ55" i="79"/>
  <c r="AO55" i="79"/>
  <c r="D55" i="79"/>
  <c r="BY53" i="79"/>
  <c r="BX53" i="79"/>
  <c r="BW53" i="79"/>
  <c r="AH53" i="79" s="1"/>
  <c r="BV53" i="79"/>
  <c r="BU53" i="79"/>
  <c r="BT53" i="79"/>
  <c r="BR53" i="79"/>
  <c r="BP53" i="79"/>
  <c r="BO53" i="79"/>
  <c r="BL53" i="79"/>
  <c r="BK53" i="79" s="1"/>
  <c r="BJ53" i="79"/>
  <c r="BI53" i="79"/>
  <c r="BH53" i="79"/>
  <c r="BG53" i="79"/>
  <c r="BF53" i="79"/>
  <c r="BE53" i="79"/>
  <c r="BC53" i="79"/>
  <c r="BB53" i="79"/>
  <c r="AZ53" i="79"/>
  <c r="AX53" i="79"/>
  <c r="AW53" i="79"/>
  <c r="AV53" i="79"/>
  <c r="AU53" i="79"/>
  <c r="AR53" i="79"/>
  <c r="AQ53" i="79"/>
  <c r="AO53" i="79"/>
  <c r="D53" i="79"/>
  <c r="BY51" i="79"/>
  <c r="BX51" i="79"/>
  <c r="BW51" i="79"/>
  <c r="AH51" i="79" s="1"/>
  <c r="BV51" i="79"/>
  <c r="BU51" i="79"/>
  <c r="BT51" i="79"/>
  <c r="BR51" i="79"/>
  <c r="BP51" i="79"/>
  <c r="BO51" i="79"/>
  <c r="BL51" i="79"/>
  <c r="BK51" i="79"/>
  <c r="BJ51" i="79"/>
  <c r="BI51" i="79"/>
  <c r="BH51" i="79"/>
  <c r="BG51" i="79"/>
  <c r="BF51" i="79"/>
  <c r="BE51" i="79"/>
  <c r="BC51" i="79"/>
  <c r="BB51" i="79"/>
  <c r="AZ51" i="79"/>
  <c r="AX51" i="79"/>
  <c r="AW51" i="79"/>
  <c r="AV51" i="79"/>
  <c r="AU51" i="79"/>
  <c r="AR51" i="79"/>
  <c r="AQ51" i="79"/>
  <c r="AO51" i="79"/>
  <c r="D51" i="79"/>
  <c r="BY49" i="79"/>
  <c r="BX49" i="79"/>
  <c r="BW49" i="79"/>
  <c r="AH49" i="79" s="1"/>
  <c r="BV49" i="79"/>
  <c r="BU49" i="79"/>
  <c r="BT49" i="79"/>
  <c r="BR49" i="79"/>
  <c r="BP49" i="79"/>
  <c r="BO49" i="79"/>
  <c r="BL49" i="79"/>
  <c r="BK49" i="79" s="1"/>
  <c r="BJ49" i="79"/>
  <c r="BI49" i="79"/>
  <c r="BH49" i="79"/>
  <c r="BG49" i="79"/>
  <c r="BF49" i="79"/>
  <c r="BE49" i="79"/>
  <c r="BC49" i="79"/>
  <c r="BB49" i="79"/>
  <c r="AZ49" i="79"/>
  <c r="AX49" i="79"/>
  <c r="AW49" i="79"/>
  <c r="AV49" i="79"/>
  <c r="AU49" i="79"/>
  <c r="AR49" i="79"/>
  <c r="AQ49" i="79"/>
  <c r="AO49" i="79"/>
  <c r="D49" i="79"/>
  <c r="BY47" i="79"/>
  <c r="BX47" i="79"/>
  <c r="BW47" i="79"/>
  <c r="AH47" i="79" s="1"/>
  <c r="BV47" i="79"/>
  <c r="BU47" i="79"/>
  <c r="BT47" i="79"/>
  <c r="BR47" i="79"/>
  <c r="BP47" i="79"/>
  <c r="BO47" i="79"/>
  <c r="BL47" i="79"/>
  <c r="BK47" i="79" s="1"/>
  <c r="BJ47" i="79"/>
  <c r="BI47" i="79"/>
  <c r="BH47" i="79"/>
  <c r="BG47" i="79"/>
  <c r="BF47" i="79"/>
  <c r="BE47" i="79"/>
  <c r="BC47" i="79"/>
  <c r="BB47" i="79"/>
  <c r="AZ47" i="79"/>
  <c r="AX47" i="79"/>
  <c r="AW47" i="79"/>
  <c r="AV47" i="79"/>
  <c r="AU47" i="79"/>
  <c r="AR47" i="79"/>
  <c r="AQ47" i="79"/>
  <c r="AO47" i="79"/>
  <c r="D47" i="79"/>
  <c r="BY45" i="79"/>
  <c r="BX45" i="79"/>
  <c r="BW45" i="79"/>
  <c r="AH45" i="79" s="1"/>
  <c r="BV45" i="79"/>
  <c r="BU45" i="79"/>
  <c r="BT45" i="79"/>
  <c r="BR45" i="79"/>
  <c r="BP45" i="79"/>
  <c r="BO45" i="79"/>
  <c r="BL45" i="79"/>
  <c r="BK45" i="79" s="1"/>
  <c r="BJ45" i="79"/>
  <c r="BI45" i="79"/>
  <c r="BH45" i="79"/>
  <c r="BG45" i="79"/>
  <c r="BF45" i="79"/>
  <c r="BE45" i="79"/>
  <c r="BC45" i="79"/>
  <c r="BB45" i="79"/>
  <c r="AZ45" i="79"/>
  <c r="AX45" i="79"/>
  <c r="AW45" i="79"/>
  <c r="AV45" i="79"/>
  <c r="AU45" i="79"/>
  <c r="AR45" i="79"/>
  <c r="AQ45" i="79"/>
  <c r="AO45" i="79"/>
  <c r="D45" i="79"/>
  <c r="BY43" i="79"/>
  <c r="BX43" i="79"/>
  <c r="BW43" i="79"/>
  <c r="AH43" i="79" s="1"/>
  <c r="BV43" i="79"/>
  <c r="BU43" i="79"/>
  <c r="BT43" i="79"/>
  <c r="BR43" i="79"/>
  <c r="BP43" i="79"/>
  <c r="BO43" i="79"/>
  <c r="BL43" i="79"/>
  <c r="BK43" i="79"/>
  <c r="BJ43" i="79"/>
  <c r="BI43" i="79"/>
  <c r="BH43" i="79"/>
  <c r="BG43" i="79"/>
  <c r="BF43" i="79"/>
  <c r="BE43" i="79"/>
  <c r="BC43" i="79"/>
  <c r="BB43" i="79"/>
  <c r="AZ43" i="79"/>
  <c r="AX43" i="79"/>
  <c r="AW43" i="79"/>
  <c r="AV43" i="79"/>
  <c r="AU43" i="79"/>
  <c r="AR43" i="79"/>
  <c r="AQ43" i="79"/>
  <c r="AO43" i="79"/>
  <c r="D43" i="79"/>
  <c r="BY41" i="79"/>
  <c r="BX41" i="79"/>
  <c r="BW41" i="79"/>
  <c r="AH41" i="79" s="1"/>
  <c r="BV41" i="79"/>
  <c r="BU41" i="79"/>
  <c r="BT41" i="79"/>
  <c r="BR41" i="79"/>
  <c r="BP41" i="79"/>
  <c r="BO41" i="79"/>
  <c r="BL41" i="79"/>
  <c r="BK41" i="79" s="1"/>
  <c r="BJ41" i="79"/>
  <c r="BI41" i="79"/>
  <c r="BH41" i="79"/>
  <c r="BG41" i="79"/>
  <c r="BF41" i="79"/>
  <c r="BE41" i="79"/>
  <c r="BC41" i="79"/>
  <c r="BB41" i="79"/>
  <c r="AZ41" i="79"/>
  <c r="AX41" i="79"/>
  <c r="AW41" i="79"/>
  <c r="AV41" i="79"/>
  <c r="AU41" i="79"/>
  <c r="AR41" i="79"/>
  <c r="AQ41" i="79"/>
  <c r="AO41" i="79"/>
  <c r="D41" i="79"/>
  <c r="BY39" i="79"/>
  <c r="BX39" i="79"/>
  <c r="BW39" i="79"/>
  <c r="AH39" i="79" s="1"/>
  <c r="BV39" i="79"/>
  <c r="BU39" i="79"/>
  <c r="BT39" i="79"/>
  <c r="BR39" i="79"/>
  <c r="BP39" i="79"/>
  <c r="BO39" i="79"/>
  <c r="BL39" i="79"/>
  <c r="BK39" i="79"/>
  <c r="BJ39" i="79"/>
  <c r="BI39" i="79"/>
  <c r="BH39" i="79"/>
  <c r="BG39" i="79"/>
  <c r="BF39" i="79"/>
  <c r="BE39" i="79"/>
  <c r="BC39" i="79"/>
  <c r="BB39" i="79"/>
  <c r="AZ39" i="79"/>
  <c r="AX39" i="79"/>
  <c r="AW39" i="79"/>
  <c r="AV39" i="79"/>
  <c r="AU39" i="79"/>
  <c r="AR39" i="79"/>
  <c r="AQ39" i="79"/>
  <c r="AO39" i="79"/>
  <c r="D39" i="79"/>
  <c r="BY37" i="79"/>
  <c r="BX37" i="79"/>
  <c r="BW37" i="79"/>
  <c r="AH37" i="79" s="1"/>
  <c r="BV37" i="79"/>
  <c r="BU37" i="79"/>
  <c r="BT37" i="79"/>
  <c r="BR37" i="79"/>
  <c r="BP37" i="79"/>
  <c r="BO37" i="79"/>
  <c r="BL37" i="79"/>
  <c r="BK37" i="79" s="1"/>
  <c r="BJ37" i="79"/>
  <c r="BI37" i="79"/>
  <c r="BH37" i="79"/>
  <c r="BG37" i="79"/>
  <c r="BF37" i="79"/>
  <c r="BE37" i="79"/>
  <c r="BC37" i="79"/>
  <c r="BB37" i="79"/>
  <c r="AZ37" i="79"/>
  <c r="AX37" i="79"/>
  <c r="AW37" i="79"/>
  <c r="AV37" i="79"/>
  <c r="AU37" i="79"/>
  <c r="AR37" i="79"/>
  <c r="AQ37" i="79"/>
  <c r="AO37" i="79"/>
  <c r="D37" i="79"/>
  <c r="BY35" i="79"/>
  <c r="BX35" i="79"/>
  <c r="BW35" i="79"/>
  <c r="AH35" i="79" s="1"/>
  <c r="BV35" i="79"/>
  <c r="BU35" i="79"/>
  <c r="BT35" i="79"/>
  <c r="BR35" i="79"/>
  <c r="BP35" i="79"/>
  <c r="BO35" i="79"/>
  <c r="BL35" i="79"/>
  <c r="BK35" i="79"/>
  <c r="BJ35" i="79"/>
  <c r="BI35" i="79"/>
  <c r="BH35" i="79"/>
  <c r="BG35" i="79"/>
  <c r="BF35" i="79"/>
  <c r="BE35" i="79"/>
  <c r="BC35" i="79"/>
  <c r="BB35" i="79"/>
  <c r="AZ35" i="79"/>
  <c r="AX35" i="79"/>
  <c r="AW35" i="79"/>
  <c r="AV35" i="79"/>
  <c r="AU35" i="79"/>
  <c r="AR35" i="79"/>
  <c r="AQ35" i="79"/>
  <c r="AO35" i="79"/>
  <c r="D35" i="79"/>
  <c r="BY33" i="79"/>
  <c r="BX33" i="79"/>
  <c r="BW33" i="79"/>
  <c r="AH33" i="79" s="1"/>
  <c r="BV33" i="79"/>
  <c r="BU33" i="79"/>
  <c r="BT33" i="79"/>
  <c r="BR33" i="79"/>
  <c r="BP33" i="79"/>
  <c r="BO33" i="79"/>
  <c r="BL33" i="79"/>
  <c r="BK33" i="79" s="1"/>
  <c r="BJ33" i="79"/>
  <c r="BI33" i="79"/>
  <c r="BH33" i="79"/>
  <c r="BG33" i="79"/>
  <c r="BF33" i="79"/>
  <c r="BE33" i="79"/>
  <c r="BC33" i="79"/>
  <c r="BB33" i="79"/>
  <c r="AZ33" i="79"/>
  <c r="AX33" i="79"/>
  <c r="AW33" i="79"/>
  <c r="AV33" i="79"/>
  <c r="AU33" i="79"/>
  <c r="AR33" i="79"/>
  <c r="AQ33" i="79"/>
  <c r="AO33" i="79"/>
  <c r="D33" i="79"/>
  <c r="BY31" i="79"/>
  <c r="BX31" i="79"/>
  <c r="BW31" i="79"/>
  <c r="AH31" i="79" s="1"/>
  <c r="BV31" i="79"/>
  <c r="BU31" i="79"/>
  <c r="BT31" i="79"/>
  <c r="BR31" i="79"/>
  <c r="BP31" i="79"/>
  <c r="BO31" i="79"/>
  <c r="BL31" i="79"/>
  <c r="BK31" i="79" s="1"/>
  <c r="BJ31" i="79"/>
  <c r="BI31" i="79"/>
  <c r="BH31" i="79"/>
  <c r="BG31" i="79"/>
  <c r="BF31" i="79"/>
  <c r="BE31" i="79"/>
  <c r="BC31" i="79"/>
  <c r="BB31" i="79"/>
  <c r="AZ31" i="79"/>
  <c r="AX31" i="79"/>
  <c r="AW31" i="79"/>
  <c r="AV31" i="79"/>
  <c r="AU31" i="79"/>
  <c r="AR31" i="79"/>
  <c r="AQ31" i="79"/>
  <c r="AO31" i="79"/>
  <c r="D31" i="79"/>
  <c r="BY29" i="79"/>
  <c r="BX29" i="79"/>
  <c r="BW29" i="79"/>
  <c r="AH29" i="79" s="1"/>
  <c r="BU29" i="79"/>
  <c r="BT29" i="79"/>
  <c r="BR29" i="79"/>
  <c r="BP29" i="79"/>
  <c r="BL29" i="79"/>
  <c r="BK29" i="79" s="1"/>
  <c r="BJ29" i="79"/>
  <c r="BI29" i="79"/>
  <c r="BH29" i="79"/>
  <c r="BG29" i="79"/>
  <c r="BE29" i="79"/>
  <c r="BC29" i="79"/>
  <c r="BB29" i="79"/>
  <c r="AZ29" i="79"/>
  <c r="AX29" i="79"/>
  <c r="AW29" i="79"/>
  <c r="AV29" i="79"/>
  <c r="AU29" i="79"/>
  <c r="AR29" i="79"/>
  <c r="AQ29" i="79"/>
  <c r="AO29" i="79"/>
  <c r="D29" i="79"/>
  <c r="BY27" i="79"/>
  <c r="BX27" i="79"/>
  <c r="BW27" i="79"/>
  <c r="AH27" i="79" s="1"/>
  <c r="BU27" i="79"/>
  <c r="BT27" i="79"/>
  <c r="BR27" i="79"/>
  <c r="BP27" i="79"/>
  <c r="BL27" i="79"/>
  <c r="BK27" i="79"/>
  <c r="BJ27" i="79"/>
  <c r="BI27" i="79"/>
  <c r="BH27" i="79"/>
  <c r="BG27" i="79"/>
  <c r="BE27" i="79"/>
  <c r="BC27" i="79"/>
  <c r="BB27" i="79"/>
  <c r="AZ27" i="79"/>
  <c r="AX27" i="79"/>
  <c r="AW27" i="79"/>
  <c r="AV27" i="79"/>
  <c r="AU27" i="79"/>
  <c r="AR27" i="79"/>
  <c r="AQ27" i="79"/>
  <c r="AO27" i="79"/>
  <c r="D27" i="79"/>
  <c r="BY25" i="79"/>
  <c r="BX25" i="79"/>
  <c r="BW25" i="79"/>
  <c r="AH25" i="79" s="1"/>
  <c r="BU25" i="79"/>
  <c r="BT25" i="79"/>
  <c r="BR25" i="79"/>
  <c r="BP25" i="79"/>
  <c r="BL25" i="79"/>
  <c r="BK25" i="79" s="1"/>
  <c r="BJ25" i="79"/>
  <c r="BI25" i="79"/>
  <c r="BH25" i="79"/>
  <c r="BG25" i="79"/>
  <c r="BE25" i="79"/>
  <c r="BC25" i="79"/>
  <c r="BB25" i="79"/>
  <c r="AZ25" i="79"/>
  <c r="AX25" i="79"/>
  <c r="AW25" i="79"/>
  <c r="AV25" i="79"/>
  <c r="AU25" i="79"/>
  <c r="AR25" i="79"/>
  <c r="AQ25" i="79"/>
  <c r="AO25" i="79"/>
  <c r="D25" i="79"/>
  <c r="BY23" i="79"/>
  <c r="BX23" i="79"/>
  <c r="BW23" i="79"/>
  <c r="AH23" i="79" s="1"/>
  <c r="BU23" i="79"/>
  <c r="BT23" i="79"/>
  <c r="BR23" i="79"/>
  <c r="BP23" i="79"/>
  <c r="BL23" i="79"/>
  <c r="BK23" i="79" s="1"/>
  <c r="BJ23" i="79"/>
  <c r="BI23" i="79"/>
  <c r="BH23" i="79"/>
  <c r="BG23" i="79"/>
  <c r="BE23" i="79"/>
  <c r="BC23" i="79"/>
  <c r="BB23" i="79"/>
  <c r="AZ23" i="79"/>
  <c r="AX23" i="79"/>
  <c r="AW23" i="79"/>
  <c r="AV23" i="79"/>
  <c r="AU23" i="79"/>
  <c r="AR23" i="79"/>
  <c r="AQ23" i="79"/>
  <c r="AO23" i="79"/>
  <c r="D23" i="79"/>
  <c r="BY21" i="79"/>
  <c r="BX21" i="79"/>
  <c r="BW21" i="79"/>
  <c r="AH21" i="79" s="1"/>
  <c r="BU21" i="79"/>
  <c r="BT21" i="79"/>
  <c r="BR21" i="79"/>
  <c r="BP21" i="79"/>
  <c r="BL21" i="79"/>
  <c r="BK21" i="79" s="1"/>
  <c r="BJ21" i="79"/>
  <c r="BI21" i="79"/>
  <c r="BH21" i="79"/>
  <c r="BG21" i="79"/>
  <c r="BE21" i="79"/>
  <c r="BC21" i="79"/>
  <c r="BB21" i="79"/>
  <c r="AZ21" i="79"/>
  <c r="AX21" i="79"/>
  <c r="AW21" i="79"/>
  <c r="AV21" i="79"/>
  <c r="AU21" i="79"/>
  <c r="AR21" i="79"/>
  <c r="AQ21" i="79"/>
  <c r="AO21" i="79"/>
  <c r="D21" i="79"/>
  <c r="BY19" i="79"/>
  <c r="BX19" i="79"/>
  <c r="BW19" i="79"/>
  <c r="AH19" i="79" s="1"/>
  <c r="BU19" i="79"/>
  <c r="BT19" i="79"/>
  <c r="BR19" i="79"/>
  <c r="BP19" i="79"/>
  <c r="BL19" i="79"/>
  <c r="BK19" i="79" s="1"/>
  <c r="BJ19" i="79"/>
  <c r="BI19" i="79"/>
  <c r="BH19" i="79"/>
  <c r="BG19" i="79"/>
  <c r="BE19" i="79"/>
  <c r="BC19" i="79"/>
  <c r="BB19" i="79"/>
  <c r="AZ19" i="79"/>
  <c r="AX19" i="79"/>
  <c r="AW19" i="79"/>
  <c r="AV19" i="79"/>
  <c r="AU19" i="79"/>
  <c r="AR19" i="79"/>
  <c r="AQ19" i="79"/>
  <c r="AO19" i="79"/>
  <c r="D19" i="79"/>
  <c r="BY17" i="79"/>
  <c r="BX17" i="79"/>
  <c r="BH17" i="79" s="1"/>
  <c r="BW17" i="79"/>
  <c r="AH17" i="79" s="1"/>
  <c r="BU17" i="79"/>
  <c r="BT17" i="79"/>
  <c r="BR17" i="79"/>
  <c r="BP17" i="79"/>
  <c r="BL17" i="79"/>
  <c r="BK17" i="79" s="1"/>
  <c r="BJ17" i="79"/>
  <c r="BI17" i="79"/>
  <c r="BG17" i="79"/>
  <c r="BE17" i="79"/>
  <c r="BC17" i="79"/>
  <c r="BB17" i="79"/>
  <c r="AZ17" i="79"/>
  <c r="AX17" i="79"/>
  <c r="AW17" i="79"/>
  <c r="AV17" i="79"/>
  <c r="AU17" i="79"/>
  <c r="AR17" i="79"/>
  <c r="AQ17" i="79"/>
  <c r="AO17" i="79"/>
  <c r="D17" i="79"/>
  <c r="BY15" i="79"/>
  <c r="BI15" i="79" s="1"/>
  <c r="BX15" i="79"/>
  <c r="BW15" i="79"/>
  <c r="AH15" i="79" s="1"/>
  <c r="BU15" i="79"/>
  <c r="BT15" i="79"/>
  <c r="BR15" i="79"/>
  <c r="BP15" i="79"/>
  <c r="BL15" i="79"/>
  <c r="BK15" i="79" s="1"/>
  <c r="BJ15" i="79"/>
  <c r="BH15" i="79"/>
  <c r="BG15" i="79"/>
  <c r="BE15" i="79"/>
  <c r="BC15" i="79"/>
  <c r="BB15" i="79"/>
  <c r="AZ15" i="79"/>
  <c r="AX15" i="79"/>
  <c r="AW15" i="79"/>
  <c r="AV15" i="79"/>
  <c r="AU15" i="79"/>
  <c r="AR15" i="79"/>
  <c r="AQ15" i="79"/>
  <c r="AO15" i="79"/>
  <c r="D15" i="79"/>
  <c r="BY13" i="79"/>
  <c r="BX13" i="79"/>
  <c r="BW13" i="79"/>
  <c r="AH13" i="79" s="1"/>
  <c r="BU13" i="79"/>
  <c r="BT13" i="79"/>
  <c r="BR13" i="79"/>
  <c r="BP13" i="79"/>
  <c r="BL13" i="79"/>
  <c r="BK13" i="79" s="1"/>
  <c r="BJ13" i="79"/>
  <c r="BH13" i="79" s="1"/>
  <c r="BG13" i="79"/>
  <c r="BE13" i="79"/>
  <c r="BC13" i="79"/>
  <c r="BB13" i="79"/>
  <c r="AZ13" i="79"/>
  <c r="AX13" i="79"/>
  <c r="AW13" i="79"/>
  <c r="AV13" i="79"/>
  <c r="AU13" i="79"/>
  <c r="AR13" i="79"/>
  <c r="AQ13" i="79"/>
  <c r="AO13" i="79"/>
  <c r="CA12" i="79"/>
  <c r="BM9" i="79"/>
  <c r="BA7" i="79"/>
  <c r="AY7" i="79"/>
  <c r="BM211" i="65"/>
  <c r="BL211" i="65"/>
  <c r="BK211" i="65"/>
  <c r="AB211" i="65" s="1"/>
  <c r="BD211" i="65" s="1"/>
  <c r="BJ211" i="65"/>
  <c r="BI211" i="65"/>
  <c r="BH211" i="65"/>
  <c r="BF211" i="65"/>
  <c r="BE211" i="65"/>
  <c r="BB211" i="65"/>
  <c r="BA211" i="65" s="1"/>
  <c r="AZ211" i="65"/>
  <c r="AY211" i="65"/>
  <c r="AX211" i="65"/>
  <c r="AW211" i="65"/>
  <c r="AV211" i="65"/>
  <c r="AU211" i="65"/>
  <c r="AR211" i="65"/>
  <c r="AQ211" i="65"/>
  <c r="AP211" i="65"/>
  <c r="AO211" i="65"/>
  <c r="AN211" i="65"/>
  <c r="AL211" i="65"/>
  <c r="E211" i="65" s="1"/>
  <c r="AE211" i="65" s="1"/>
  <c r="AK211" i="65"/>
  <c r="AI211" i="65"/>
  <c r="U211" i="65"/>
  <c r="D211" i="65"/>
  <c r="BM209" i="65"/>
  <c r="BL209" i="65"/>
  <c r="BK209" i="65"/>
  <c r="AB209" i="65" s="1"/>
  <c r="BJ209" i="65"/>
  <c r="BI209" i="65"/>
  <c r="BH209" i="65"/>
  <c r="BF209" i="65"/>
  <c r="BE209" i="65"/>
  <c r="BB209" i="65"/>
  <c r="BA209" i="65" s="1"/>
  <c r="AZ209" i="65"/>
  <c r="AY209" i="65"/>
  <c r="AX209" i="65"/>
  <c r="AW209" i="65"/>
  <c r="AV209" i="65"/>
  <c r="AU209" i="65"/>
  <c r="AR209" i="65"/>
  <c r="AQ209" i="65"/>
  <c r="AP209" i="65"/>
  <c r="AO209" i="65"/>
  <c r="AN209" i="65"/>
  <c r="AL209" i="65"/>
  <c r="AK209" i="65"/>
  <c r="AI209" i="65"/>
  <c r="U209" i="65"/>
  <c r="E209" i="65"/>
  <c r="AG209" i="65" s="1"/>
  <c r="D209" i="65"/>
  <c r="BM207" i="65"/>
  <c r="BL207" i="65"/>
  <c r="BK207" i="65"/>
  <c r="AB207" i="65" s="1"/>
  <c r="BJ207" i="65"/>
  <c r="BI207" i="65"/>
  <c r="BH207" i="65"/>
  <c r="BF207" i="65"/>
  <c r="BE207" i="65"/>
  <c r="BB207" i="65"/>
  <c r="BA207" i="65" s="1"/>
  <c r="AZ207" i="65"/>
  <c r="AY207" i="65"/>
  <c r="AX207" i="65"/>
  <c r="AW207" i="65"/>
  <c r="AV207" i="65"/>
  <c r="AU207" i="65"/>
  <c r="AR207" i="65"/>
  <c r="AQ207" i="65"/>
  <c r="AP207" i="65"/>
  <c r="AO207" i="65"/>
  <c r="AN207" i="65"/>
  <c r="AL207" i="65"/>
  <c r="AK207" i="65"/>
  <c r="AI207" i="65"/>
  <c r="U207" i="65"/>
  <c r="E207" i="65"/>
  <c r="AE207" i="65" s="1"/>
  <c r="D207" i="65"/>
  <c r="BM205" i="65"/>
  <c r="BL205" i="65"/>
  <c r="BK205" i="65"/>
  <c r="AB205" i="65" s="1"/>
  <c r="BJ205" i="65"/>
  <c r="BI205" i="65"/>
  <c r="BH205" i="65"/>
  <c r="BF205" i="65"/>
  <c r="BE205" i="65"/>
  <c r="BB205" i="65"/>
  <c r="BA205" i="65" s="1"/>
  <c r="AZ205" i="65"/>
  <c r="AY205" i="65"/>
  <c r="AX205" i="65"/>
  <c r="AW205" i="65"/>
  <c r="AV205" i="65"/>
  <c r="AU205" i="65"/>
  <c r="AR205" i="65"/>
  <c r="AQ205" i="65"/>
  <c r="AP205" i="65"/>
  <c r="AO205" i="65"/>
  <c r="AN205" i="65"/>
  <c r="AL205" i="65"/>
  <c r="E205" i="65" s="1"/>
  <c r="AG205" i="65" s="1"/>
  <c r="AK205" i="65"/>
  <c r="AI205" i="65"/>
  <c r="U205" i="65"/>
  <c r="D205" i="65"/>
  <c r="BM203" i="65"/>
  <c r="BL203" i="65"/>
  <c r="BK203" i="65"/>
  <c r="AB203" i="65" s="1"/>
  <c r="AT203" i="65" s="1"/>
  <c r="BJ203" i="65"/>
  <c r="BI203" i="65"/>
  <c r="BH203" i="65"/>
  <c r="BF203" i="65"/>
  <c r="BE203" i="65"/>
  <c r="BB203" i="65"/>
  <c r="BA203" i="65" s="1"/>
  <c r="AZ203" i="65"/>
  <c r="AY203" i="65"/>
  <c r="AX203" i="65"/>
  <c r="AW203" i="65"/>
  <c r="AV203" i="65"/>
  <c r="AU203" i="65"/>
  <c r="AR203" i="65"/>
  <c r="AQ203" i="65"/>
  <c r="AP203" i="65"/>
  <c r="AO203" i="65"/>
  <c r="AN203" i="65"/>
  <c r="AL203" i="65"/>
  <c r="E203" i="65" s="1"/>
  <c r="AE203" i="65" s="1"/>
  <c r="AK203" i="65"/>
  <c r="AI203" i="65"/>
  <c r="U203" i="65"/>
  <c r="D203" i="65"/>
  <c r="BM201" i="65"/>
  <c r="BL201" i="65"/>
  <c r="BK201" i="65"/>
  <c r="AB201" i="65" s="1"/>
  <c r="AM201" i="65" s="1"/>
  <c r="BJ201" i="65"/>
  <c r="BI201" i="65"/>
  <c r="BH201" i="65"/>
  <c r="BF201" i="65"/>
  <c r="BE201" i="65"/>
  <c r="BB201" i="65"/>
  <c r="BA201" i="65" s="1"/>
  <c r="AZ201" i="65"/>
  <c r="AY201" i="65"/>
  <c r="AX201" i="65"/>
  <c r="AW201" i="65"/>
  <c r="AV201" i="65"/>
  <c r="AU201" i="65"/>
  <c r="AR201" i="65"/>
  <c r="AQ201" i="65"/>
  <c r="AP201" i="65"/>
  <c r="AO201" i="65"/>
  <c r="AN201" i="65"/>
  <c r="AL201" i="65"/>
  <c r="AK201" i="65"/>
  <c r="AI201" i="65"/>
  <c r="U201" i="65"/>
  <c r="E201" i="65"/>
  <c r="AG201" i="65" s="1"/>
  <c r="D201" i="65"/>
  <c r="BM199" i="65"/>
  <c r="BL199" i="65"/>
  <c r="BK199" i="65"/>
  <c r="AB199" i="65" s="1"/>
  <c r="BD199" i="65" s="1"/>
  <c r="BJ199" i="65"/>
  <c r="BI199" i="65"/>
  <c r="BH199" i="65"/>
  <c r="BF199" i="65"/>
  <c r="BE199" i="65"/>
  <c r="BB199" i="65"/>
  <c r="BA199" i="65" s="1"/>
  <c r="AZ199" i="65"/>
  <c r="AY199" i="65"/>
  <c r="AX199" i="65"/>
  <c r="AW199" i="65"/>
  <c r="AV199" i="65"/>
  <c r="AU199" i="65"/>
  <c r="AR199" i="65"/>
  <c r="AQ199" i="65"/>
  <c r="AP199" i="65"/>
  <c r="AO199" i="65"/>
  <c r="AN199" i="65"/>
  <c r="AL199" i="65"/>
  <c r="AK199" i="65"/>
  <c r="AI199" i="65"/>
  <c r="U199" i="65"/>
  <c r="E199" i="65"/>
  <c r="AE199" i="65" s="1"/>
  <c r="D199" i="65"/>
  <c r="BM197" i="65"/>
  <c r="BL197" i="65"/>
  <c r="BK197" i="65"/>
  <c r="AB197" i="65" s="1"/>
  <c r="BJ197" i="65"/>
  <c r="BI197" i="65"/>
  <c r="BH197" i="65"/>
  <c r="BF197" i="65"/>
  <c r="BE197" i="65"/>
  <c r="BB197" i="65"/>
  <c r="BA197" i="65" s="1"/>
  <c r="AZ197" i="65"/>
  <c r="AY197" i="65"/>
  <c r="AX197" i="65"/>
  <c r="AW197" i="65"/>
  <c r="AV197" i="65"/>
  <c r="AU197" i="65"/>
  <c r="AR197" i="65"/>
  <c r="AQ197" i="65"/>
  <c r="AP197" i="65"/>
  <c r="AO197" i="65"/>
  <c r="AN197" i="65"/>
  <c r="AL197" i="65"/>
  <c r="E197" i="65" s="1"/>
  <c r="AG197" i="65" s="1"/>
  <c r="AK197" i="65"/>
  <c r="AI197" i="65"/>
  <c r="U197" i="65"/>
  <c r="D197" i="65"/>
  <c r="BM195" i="65"/>
  <c r="BL195" i="65"/>
  <c r="BK195" i="65"/>
  <c r="AB195" i="65" s="1"/>
  <c r="BJ195" i="65"/>
  <c r="BI195" i="65"/>
  <c r="BH195" i="65"/>
  <c r="BF195" i="65"/>
  <c r="BE195" i="65"/>
  <c r="BB195" i="65"/>
  <c r="BA195" i="65" s="1"/>
  <c r="AZ195" i="65"/>
  <c r="AY195" i="65"/>
  <c r="AX195" i="65"/>
  <c r="AW195" i="65"/>
  <c r="AV195" i="65"/>
  <c r="AU195" i="65"/>
  <c r="AR195" i="65"/>
  <c r="AQ195" i="65"/>
  <c r="AP195" i="65"/>
  <c r="AO195" i="65"/>
  <c r="AN195" i="65"/>
  <c r="AL195" i="65"/>
  <c r="E195" i="65" s="1"/>
  <c r="AE195" i="65" s="1"/>
  <c r="AK195" i="65"/>
  <c r="AI195" i="65"/>
  <c r="U195" i="65"/>
  <c r="D195" i="65"/>
  <c r="BM193" i="65"/>
  <c r="BL193" i="65"/>
  <c r="BK193" i="65"/>
  <c r="AB193" i="65" s="1"/>
  <c r="BJ193" i="65"/>
  <c r="BI193" i="65"/>
  <c r="BH193" i="65"/>
  <c r="BF193" i="65"/>
  <c r="BE193" i="65"/>
  <c r="BB193" i="65"/>
  <c r="BA193" i="65" s="1"/>
  <c r="AZ193" i="65"/>
  <c r="AY193" i="65"/>
  <c r="AX193" i="65"/>
  <c r="AW193" i="65"/>
  <c r="AV193" i="65"/>
  <c r="AU193" i="65"/>
  <c r="AR193" i="65"/>
  <c r="AQ193" i="65"/>
  <c r="AP193" i="65"/>
  <c r="AO193" i="65"/>
  <c r="AN193" i="65"/>
  <c r="AL193" i="65"/>
  <c r="AK193" i="65"/>
  <c r="AI193" i="65"/>
  <c r="U193" i="65"/>
  <c r="E193" i="65"/>
  <c r="AG193" i="65" s="1"/>
  <c r="D193" i="65"/>
  <c r="BM191" i="65"/>
  <c r="BL191" i="65"/>
  <c r="BK191" i="65"/>
  <c r="AB191" i="65" s="1"/>
  <c r="BJ191" i="65"/>
  <c r="BI191" i="65"/>
  <c r="BH191" i="65"/>
  <c r="BF191" i="65"/>
  <c r="BE191" i="65"/>
  <c r="BB191" i="65"/>
  <c r="BA191" i="65" s="1"/>
  <c r="AZ191" i="65"/>
  <c r="AY191" i="65"/>
  <c r="AX191" i="65"/>
  <c r="AW191" i="65"/>
  <c r="AV191" i="65"/>
  <c r="AU191" i="65"/>
  <c r="AR191" i="65"/>
  <c r="AQ191" i="65"/>
  <c r="AP191" i="65"/>
  <c r="AO191" i="65"/>
  <c r="AN191" i="65"/>
  <c r="AL191" i="65"/>
  <c r="AK191" i="65"/>
  <c r="AI191" i="65"/>
  <c r="U191" i="65"/>
  <c r="E191" i="65"/>
  <c r="AE191" i="65" s="1"/>
  <c r="D191" i="65"/>
  <c r="BM189" i="65"/>
  <c r="BL189" i="65"/>
  <c r="BK189" i="65"/>
  <c r="AB189" i="65" s="1"/>
  <c r="BJ189" i="65"/>
  <c r="BI189" i="65"/>
  <c r="BH189" i="65"/>
  <c r="BF189" i="65"/>
  <c r="BE189" i="65"/>
  <c r="BB189" i="65"/>
  <c r="BA189" i="65" s="1"/>
  <c r="AZ189" i="65"/>
  <c r="AY189" i="65"/>
  <c r="AX189" i="65"/>
  <c r="AW189" i="65"/>
  <c r="AV189" i="65"/>
  <c r="AU189" i="65"/>
  <c r="AR189" i="65"/>
  <c r="AQ189" i="65"/>
  <c r="AP189" i="65"/>
  <c r="AO189" i="65"/>
  <c r="AN189" i="65"/>
  <c r="AL189" i="65"/>
  <c r="E189" i="65" s="1"/>
  <c r="AG189" i="65" s="1"/>
  <c r="AK189" i="65"/>
  <c r="AI189" i="65"/>
  <c r="U189" i="65"/>
  <c r="D189" i="65"/>
  <c r="BM187" i="65"/>
  <c r="BL187" i="65"/>
  <c r="BK187" i="65"/>
  <c r="AB187" i="65" s="1"/>
  <c r="BD187" i="65" s="1"/>
  <c r="BJ187" i="65"/>
  <c r="BI187" i="65"/>
  <c r="BH187" i="65"/>
  <c r="BF187" i="65"/>
  <c r="BE187" i="65"/>
  <c r="BB187" i="65"/>
  <c r="BA187" i="65" s="1"/>
  <c r="AZ187" i="65"/>
  <c r="AY187" i="65"/>
  <c r="AX187" i="65"/>
  <c r="AW187" i="65"/>
  <c r="AV187" i="65"/>
  <c r="AU187" i="65"/>
  <c r="AR187" i="65"/>
  <c r="AQ187" i="65"/>
  <c r="AP187" i="65"/>
  <c r="AO187" i="65"/>
  <c r="AN187" i="65"/>
  <c r="AL187" i="65"/>
  <c r="E187" i="65" s="1"/>
  <c r="AE187" i="65" s="1"/>
  <c r="AK187" i="65"/>
  <c r="AI187" i="65"/>
  <c r="U187" i="65"/>
  <c r="D187" i="65"/>
  <c r="BM185" i="65"/>
  <c r="BL185" i="65"/>
  <c r="BK185" i="65"/>
  <c r="AB185" i="65" s="1"/>
  <c r="BJ185" i="65"/>
  <c r="BI185" i="65"/>
  <c r="BH185" i="65"/>
  <c r="BF185" i="65"/>
  <c r="BE185" i="65"/>
  <c r="BB185" i="65"/>
  <c r="BA185" i="65" s="1"/>
  <c r="AZ185" i="65"/>
  <c r="AY185" i="65"/>
  <c r="AX185" i="65"/>
  <c r="AW185" i="65"/>
  <c r="AV185" i="65"/>
  <c r="AU185" i="65"/>
  <c r="AR185" i="65"/>
  <c r="AQ185" i="65"/>
  <c r="AP185" i="65"/>
  <c r="AO185" i="65"/>
  <c r="AN185" i="65"/>
  <c r="AL185" i="65"/>
  <c r="AK185" i="65"/>
  <c r="AI185" i="65"/>
  <c r="U185" i="65"/>
  <c r="E185" i="65"/>
  <c r="AG185" i="65" s="1"/>
  <c r="D185" i="65"/>
  <c r="BM183" i="65"/>
  <c r="BL183" i="65"/>
  <c r="BK183" i="65"/>
  <c r="AB183" i="65" s="1"/>
  <c r="BJ183" i="65"/>
  <c r="BI183" i="65"/>
  <c r="BH183" i="65"/>
  <c r="BF183" i="65"/>
  <c r="BE183" i="65"/>
  <c r="BB183" i="65"/>
  <c r="BA183" i="65" s="1"/>
  <c r="AZ183" i="65"/>
  <c r="AY183" i="65"/>
  <c r="AX183" i="65"/>
  <c r="AW183" i="65"/>
  <c r="AV183" i="65"/>
  <c r="AU183" i="65"/>
  <c r="AR183" i="65"/>
  <c r="AQ183" i="65"/>
  <c r="AP183" i="65"/>
  <c r="AO183" i="65"/>
  <c r="AN183" i="65"/>
  <c r="AL183" i="65"/>
  <c r="AK183" i="65"/>
  <c r="AI183" i="65"/>
  <c r="U183" i="65"/>
  <c r="E183" i="65"/>
  <c r="AE183" i="65" s="1"/>
  <c r="D183" i="65"/>
  <c r="BM181" i="65"/>
  <c r="BL181" i="65"/>
  <c r="BK181" i="65"/>
  <c r="AB181" i="65" s="1"/>
  <c r="BJ181" i="65"/>
  <c r="BI181" i="65"/>
  <c r="BH181" i="65"/>
  <c r="BF181" i="65"/>
  <c r="BE181" i="65"/>
  <c r="BB181" i="65"/>
  <c r="BA181" i="65" s="1"/>
  <c r="AZ181" i="65"/>
  <c r="AY181" i="65"/>
  <c r="AX181" i="65"/>
  <c r="AW181" i="65"/>
  <c r="AV181" i="65"/>
  <c r="AU181" i="65"/>
  <c r="AR181" i="65"/>
  <c r="AQ181" i="65"/>
  <c r="AP181" i="65"/>
  <c r="AO181" i="65"/>
  <c r="AN181" i="65"/>
  <c r="AL181" i="65"/>
  <c r="E181" i="65" s="1"/>
  <c r="AG181" i="65" s="1"/>
  <c r="AK181" i="65"/>
  <c r="AI181" i="65"/>
  <c r="U181" i="65"/>
  <c r="D181" i="65"/>
  <c r="BM179" i="65"/>
  <c r="BL179" i="65"/>
  <c r="BK179" i="65"/>
  <c r="AB179" i="65" s="1"/>
  <c r="BJ179" i="65"/>
  <c r="BI179" i="65"/>
  <c r="BH179" i="65"/>
  <c r="BF179" i="65"/>
  <c r="BE179" i="65"/>
  <c r="BB179" i="65"/>
  <c r="BA179" i="65" s="1"/>
  <c r="AZ179" i="65"/>
  <c r="AY179" i="65"/>
  <c r="AX179" i="65"/>
  <c r="AW179" i="65"/>
  <c r="AV179" i="65"/>
  <c r="AU179" i="65"/>
  <c r="AR179" i="65"/>
  <c r="AQ179" i="65"/>
  <c r="AP179" i="65"/>
  <c r="AO179" i="65"/>
  <c r="AN179" i="65"/>
  <c r="AL179" i="65"/>
  <c r="E179" i="65" s="1"/>
  <c r="AE179" i="65" s="1"/>
  <c r="AK179" i="65"/>
  <c r="AI179" i="65"/>
  <c r="U179" i="65"/>
  <c r="D179" i="65"/>
  <c r="BM177" i="65"/>
  <c r="BL177" i="65"/>
  <c r="BK177" i="65"/>
  <c r="AB177" i="65" s="1"/>
  <c r="AT177" i="65" s="1"/>
  <c r="BJ177" i="65"/>
  <c r="BI177" i="65"/>
  <c r="BH177" i="65"/>
  <c r="BF177" i="65"/>
  <c r="BE177" i="65"/>
  <c r="BB177" i="65"/>
  <c r="BA177" i="65" s="1"/>
  <c r="AZ177" i="65"/>
  <c r="AY177" i="65"/>
  <c r="AX177" i="65"/>
  <c r="AW177" i="65"/>
  <c r="AV177" i="65"/>
  <c r="AU177" i="65"/>
  <c r="AR177" i="65"/>
  <c r="AQ177" i="65"/>
  <c r="AP177" i="65"/>
  <c r="AO177" i="65"/>
  <c r="AN177" i="65"/>
  <c r="AL177" i="65"/>
  <c r="AK177" i="65"/>
  <c r="AI177" i="65"/>
  <c r="U177" i="65"/>
  <c r="E177" i="65"/>
  <c r="AG177" i="65" s="1"/>
  <c r="D177" i="65"/>
  <c r="BM175" i="65"/>
  <c r="BL175" i="65"/>
  <c r="BK175" i="65"/>
  <c r="AB175" i="65" s="1"/>
  <c r="BJ175" i="65"/>
  <c r="BI175" i="65"/>
  <c r="BH175" i="65"/>
  <c r="BF175" i="65"/>
  <c r="BE175" i="65"/>
  <c r="BB175" i="65"/>
  <c r="BA175" i="65" s="1"/>
  <c r="AZ175" i="65"/>
  <c r="AY175" i="65"/>
  <c r="AX175" i="65"/>
  <c r="AW175" i="65"/>
  <c r="AV175" i="65"/>
  <c r="AU175" i="65"/>
  <c r="AR175" i="65"/>
  <c r="AQ175" i="65"/>
  <c r="AP175" i="65"/>
  <c r="AO175" i="65"/>
  <c r="AN175" i="65"/>
  <c r="AL175" i="65"/>
  <c r="AK175" i="65"/>
  <c r="AI175" i="65"/>
  <c r="U175" i="65"/>
  <c r="E175" i="65"/>
  <c r="AE175" i="65" s="1"/>
  <c r="D175" i="65"/>
  <c r="BM173" i="65"/>
  <c r="BL173" i="65"/>
  <c r="BK173" i="65"/>
  <c r="AB173" i="65" s="1"/>
  <c r="AT173" i="65" s="1"/>
  <c r="BJ173" i="65"/>
  <c r="BI173" i="65"/>
  <c r="BH173" i="65"/>
  <c r="BF173" i="65"/>
  <c r="BE173" i="65"/>
  <c r="BB173" i="65"/>
  <c r="BA173" i="65" s="1"/>
  <c r="AZ173" i="65"/>
  <c r="AY173" i="65"/>
  <c r="AX173" i="65"/>
  <c r="AW173" i="65"/>
  <c r="AV173" i="65"/>
  <c r="AU173" i="65"/>
  <c r="AR173" i="65"/>
  <c r="AQ173" i="65"/>
  <c r="AP173" i="65"/>
  <c r="AO173" i="65"/>
  <c r="AN173" i="65"/>
  <c r="AL173" i="65"/>
  <c r="E173" i="65" s="1"/>
  <c r="AG173" i="65" s="1"/>
  <c r="AK173" i="65"/>
  <c r="AI173" i="65"/>
  <c r="U173" i="65"/>
  <c r="D173" i="65"/>
  <c r="BM171" i="65"/>
  <c r="BL171" i="65"/>
  <c r="BK171" i="65"/>
  <c r="AB171" i="65" s="1"/>
  <c r="BJ171" i="65"/>
  <c r="BI171" i="65"/>
  <c r="BH171" i="65"/>
  <c r="BF171" i="65"/>
  <c r="BE171" i="65"/>
  <c r="BB171" i="65"/>
  <c r="BA171" i="65" s="1"/>
  <c r="AZ171" i="65"/>
  <c r="AY171" i="65"/>
  <c r="AX171" i="65"/>
  <c r="AW171" i="65"/>
  <c r="AV171" i="65"/>
  <c r="AU171" i="65"/>
  <c r="AR171" i="65"/>
  <c r="AQ171" i="65"/>
  <c r="AP171" i="65"/>
  <c r="AO171" i="65"/>
  <c r="AN171" i="65"/>
  <c r="AL171" i="65"/>
  <c r="E171" i="65" s="1"/>
  <c r="AE171" i="65" s="1"/>
  <c r="AK171" i="65"/>
  <c r="AI171" i="65"/>
  <c r="U171" i="65"/>
  <c r="D171" i="65"/>
  <c r="BM169" i="65"/>
  <c r="BL169" i="65"/>
  <c r="BK169" i="65"/>
  <c r="AB169" i="65" s="1"/>
  <c r="BD169" i="65" s="1"/>
  <c r="BJ169" i="65"/>
  <c r="BI169" i="65"/>
  <c r="BH169" i="65"/>
  <c r="BF169" i="65"/>
  <c r="BE169" i="65"/>
  <c r="BB169" i="65"/>
  <c r="BA169" i="65" s="1"/>
  <c r="AZ169" i="65"/>
  <c r="AY169" i="65"/>
  <c r="AX169" i="65"/>
  <c r="AW169" i="65"/>
  <c r="AV169" i="65"/>
  <c r="AU169" i="65"/>
  <c r="AR169" i="65"/>
  <c r="AQ169" i="65"/>
  <c r="AP169" i="65"/>
  <c r="AO169" i="65"/>
  <c r="AN169" i="65"/>
  <c r="AL169" i="65"/>
  <c r="AK169" i="65"/>
  <c r="AI169" i="65"/>
  <c r="U169" i="65"/>
  <c r="E169" i="65"/>
  <c r="AG169" i="65" s="1"/>
  <c r="D169" i="65"/>
  <c r="BM167" i="65"/>
  <c r="BL167" i="65"/>
  <c r="BK167" i="65"/>
  <c r="AB167" i="65" s="1"/>
  <c r="BJ167" i="65"/>
  <c r="BI167" i="65"/>
  <c r="BH167" i="65"/>
  <c r="BF167" i="65"/>
  <c r="BE167" i="65"/>
  <c r="BB167" i="65"/>
  <c r="BA167" i="65" s="1"/>
  <c r="AZ167" i="65"/>
  <c r="AY167" i="65"/>
  <c r="AX167" i="65"/>
  <c r="AW167" i="65"/>
  <c r="AV167" i="65"/>
  <c r="AU167" i="65"/>
  <c r="AR167" i="65"/>
  <c r="AQ167" i="65"/>
  <c r="AP167" i="65"/>
  <c r="AO167" i="65"/>
  <c r="AN167" i="65"/>
  <c r="AL167" i="65"/>
  <c r="AK167" i="65"/>
  <c r="AI167" i="65"/>
  <c r="U167" i="65"/>
  <c r="E167" i="65"/>
  <c r="AE167" i="65" s="1"/>
  <c r="D167" i="65"/>
  <c r="BM165" i="65"/>
  <c r="BL165" i="65"/>
  <c r="BK165" i="65"/>
  <c r="AB165" i="65" s="1"/>
  <c r="BJ165" i="65"/>
  <c r="BI165" i="65"/>
  <c r="BH165" i="65"/>
  <c r="BF165" i="65"/>
  <c r="BE165" i="65"/>
  <c r="BB165" i="65"/>
  <c r="BA165" i="65" s="1"/>
  <c r="AZ165" i="65"/>
  <c r="AY165" i="65"/>
  <c r="AX165" i="65"/>
  <c r="AW165" i="65"/>
  <c r="AV165" i="65"/>
  <c r="AU165" i="65"/>
  <c r="AR165" i="65"/>
  <c r="AQ165" i="65"/>
  <c r="AP165" i="65"/>
  <c r="AO165" i="65"/>
  <c r="AN165" i="65"/>
  <c r="AL165" i="65"/>
  <c r="E165" i="65" s="1"/>
  <c r="AG165" i="65" s="1"/>
  <c r="AK165" i="65"/>
  <c r="AI165" i="65"/>
  <c r="U165" i="65"/>
  <c r="D165" i="65"/>
  <c r="BM163" i="65"/>
  <c r="BL163" i="65"/>
  <c r="BK163" i="65"/>
  <c r="AB163" i="65" s="1"/>
  <c r="BJ163" i="65"/>
  <c r="BI163" i="65"/>
  <c r="BH163" i="65"/>
  <c r="BF163" i="65"/>
  <c r="BE163" i="65"/>
  <c r="BB163" i="65"/>
  <c r="BA163" i="65" s="1"/>
  <c r="AZ163" i="65"/>
  <c r="AY163" i="65"/>
  <c r="AX163" i="65"/>
  <c r="AW163" i="65"/>
  <c r="AV163" i="65"/>
  <c r="AU163" i="65"/>
  <c r="AR163" i="65"/>
  <c r="AQ163" i="65"/>
  <c r="AP163" i="65"/>
  <c r="AO163" i="65"/>
  <c r="AN163" i="65"/>
  <c r="AL163" i="65"/>
  <c r="E163" i="65" s="1"/>
  <c r="AE163" i="65" s="1"/>
  <c r="AK163" i="65"/>
  <c r="AI163" i="65"/>
  <c r="U163" i="65"/>
  <c r="D163" i="65"/>
  <c r="BM161" i="65"/>
  <c r="BL161" i="65"/>
  <c r="BK161" i="65"/>
  <c r="AB161" i="65" s="1"/>
  <c r="AM161" i="65" s="1"/>
  <c r="BJ161" i="65"/>
  <c r="BI161" i="65"/>
  <c r="BH161" i="65"/>
  <c r="BF161" i="65"/>
  <c r="BE161" i="65"/>
  <c r="BB161" i="65"/>
  <c r="BA161" i="65" s="1"/>
  <c r="AZ161" i="65"/>
  <c r="AY161" i="65"/>
  <c r="AX161" i="65"/>
  <c r="AW161" i="65"/>
  <c r="AV161" i="65"/>
  <c r="AU161" i="65"/>
  <c r="AR161" i="65"/>
  <c r="AQ161" i="65"/>
  <c r="AP161" i="65"/>
  <c r="AO161" i="65"/>
  <c r="AN161" i="65"/>
  <c r="AL161" i="65"/>
  <c r="AK161" i="65"/>
  <c r="AI161" i="65"/>
  <c r="U161" i="65"/>
  <c r="E161" i="65"/>
  <c r="AG161" i="65" s="1"/>
  <c r="D161" i="65"/>
  <c r="BM159" i="65"/>
  <c r="BL159" i="65"/>
  <c r="BK159" i="65"/>
  <c r="AB159" i="65" s="1"/>
  <c r="BJ159" i="65"/>
  <c r="BI159" i="65"/>
  <c r="BH159" i="65"/>
  <c r="BF159" i="65"/>
  <c r="BE159" i="65"/>
  <c r="BB159" i="65"/>
  <c r="BA159" i="65" s="1"/>
  <c r="AZ159" i="65"/>
  <c r="AY159" i="65"/>
  <c r="AX159" i="65"/>
  <c r="AW159" i="65"/>
  <c r="AV159" i="65"/>
  <c r="AU159" i="65"/>
  <c r="AR159" i="65"/>
  <c r="AQ159" i="65"/>
  <c r="AP159" i="65"/>
  <c r="AO159" i="65"/>
  <c r="AN159" i="65"/>
  <c r="AL159" i="65"/>
  <c r="AK159" i="65"/>
  <c r="AI159" i="65"/>
  <c r="U159" i="65"/>
  <c r="E159" i="65"/>
  <c r="AE159" i="65" s="1"/>
  <c r="D159" i="65"/>
  <c r="BM157" i="65"/>
  <c r="BL157" i="65"/>
  <c r="BK157" i="65"/>
  <c r="AB157" i="65" s="1"/>
  <c r="BJ157" i="65"/>
  <c r="BI157" i="65"/>
  <c r="BH157" i="65"/>
  <c r="BF157" i="65"/>
  <c r="BE157" i="65"/>
  <c r="BB157" i="65"/>
  <c r="BA157" i="65" s="1"/>
  <c r="AZ157" i="65"/>
  <c r="AY157" i="65"/>
  <c r="AX157" i="65"/>
  <c r="AW157" i="65"/>
  <c r="AV157" i="65"/>
  <c r="AU157" i="65"/>
  <c r="AR157" i="65"/>
  <c r="AQ157" i="65"/>
  <c r="AP157" i="65"/>
  <c r="AO157" i="65"/>
  <c r="AN157" i="65"/>
  <c r="AL157" i="65"/>
  <c r="E157" i="65" s="1"/>
  <c r="AG157" i="65" s="1"/>
  <c r="AK157" i="65"/>
  <c r="AI157" i="65"/>
  <c r="U157" i="65"/>
  <c r="D157" i="65"/>
  <c r="BM155" i="65"/>
  <c r="BL155" i="65"/>
  <c r="BK155" i="65"/>
  <c r="AB155" i="65" s="1"/>
  <c r="BJ155" i="65"/>
  <c r="BI155" i="65"/>
  <c r="BH155" i="65"/>
  <c r="BF155" i="65"/>
  <c r="BE155" i="65"/>
  <c r="BB155" i="65"/>
  <c r="BA155" i="65" s="1"/>
  <c r="AZ155" i="65"/>
  <c r="AY155" i="65"/>
  <c r="AX155" i="65"/>
  <c r="AW155" i="65"/>
  <c r="AV155" i="65"/>
  <c r="AU155" i="65"/>
  <c r="AR155" i="65"/>
  <c r="AQ155" i="65"/>
  <c r="AP155" i="65"/>
  <c r="AO155" i="65"/>
  <c r="AN155" i="65"/>
  <c r="AL155" i="65"/>
  <c r="E155" i="65" s="1"/>
  <c r="AE155" i="65" s="1"/>
  <c r="AK155" i="65"/>
  <c r="AI155" i="65"/>
  <c r="U155" i="65"/>
  <c r="D155" i="65"/>
  <c r="BM153" i="65"/>
  <c r="BL153" i="65"/>
  <c r="BK153" i="65"/>
  <c r="AB153" i="65" s="1"/>
  <c r="BD153" i="65" s="1"/>
  <c r="BJ153" i="65"/>
  <c r="BI153" i="65"/>
  <c r="BH153" i="65"/>
  <c r="BF153" i="65"/>
  <c r="BE153" i="65"/>
  <c r="BB153" i="65"/>
  <c r="BA153" i="65" s="1"/>
  <c r="AZ153" i="65"/>
  <c r="AY153" i="65"/>
  <c r="AX153" i="65"/>
  <c r="AW153" i="65"/>
  <c r="AV153" i="65"/>
  <c r="AU153" i="65"/>
  <c r="AR153" i="65"/>
  <c r="AQ153" i="65"/>
  <c r="AP153" i="65"/>
  <c r="AO153" i="65"/>
  <c r="AN153" i="65"/>
  <c r="AL153" i="65"/>
  <c r="AK153" i="65"/>
  <c r="AI153" i="65"/>
  <c r="U153" i="65"/>
  <c r="E153" i="65"/>
  <c r="AG153" i="65" s="1"/>
  <c r="D153" i="65"/>
  <c r="BM151" i="65"/>
  <c r="BL151" i="65"/>
  <c r="BK151" i="65"/>
  <c r="AB151" i="65" s="1"/>
  <c r="BD151" i="65" s="1"/>
  <c r="BJ151" i="65"/>
  <c r="BI151" i="65"/>
  <c r="BH151" i="65"/>
  <c r="BF151" i="65"/>
  <c r="BE151" i="65"/>
  <c r="BB151" i="65"/>
  <c r="BA151" i="65" s="1"/>
  <c r="AZ151" i="65"/>
  <c r="AY151" i="65"/>
  <c r="AX151" i="65"/>
  <c r="AW151" i="65"/>
  <c r="AV151" i="65"/>
  <c r="AU151" i="65"/>
  <c r="AR151" i="65"/>
  <c r="AQ151" i="65"/>
  <c r="AP151" i="65"/>
  <c r="AO151" i="65"/>
  <c r="AN151" i="65"/>
  <c r="AL151" i="65"/>
  <c r="AK151" i="65"/>
  <c r="AI151" i="65"/>
  <c r="U151" i="65"/>
  <c r="E151" i="65"/>
  <c r="AE151" i="65" s="1"/>
  <c r="D151" i="65"/>
  <c r="BM149" i="65"/>
  <c r="BL149" i="65"/>
  <c r="BK149" i="65"/>
  <c r="AB149" i="65" s="1"/>
  <c r="AM149" i="65" s="1"/>
  <c r="BJ149" i="65"/>
  <c r="BI149" i="65"/>
  <c r="BH149" i="65"/>
  <c r="BF149" i="65"/>
  <c r="BE149" i="65"/>
  <c r="BB149" i="65"/>
  <c r="BA149" i="65" s="1"/>
  <c r="AZ149" i="65"/>
  <c r="AY149" i="65"/>
  <c r="AX149" i="65"/>
  <c r="AW149" i="65"/>
  <c r="AV149" i="65"/>
  <c r="AU149" i="65"/>
  <c r="AR149" i="65"/>
  <c r="AQ149" i="65"/>
  <c r="AP149" i="65"/>
  <c r="AO149" i="65"/>
  <c r="AN149" i="65"/>
  <c r="AL149" i="65"/>
  <c r="E149" i="65" s="1"/>
  <c r="AG149" i="65" s="1"/>
  <c r="AK149" i="65"/>
  <c r="AI149" i="65"/>
  <c r="U149" i="65"/>
  <c r="D149" i="65"/>
  <c r="BM147" i="65"/>
  <c r="BL147" i="65"/>
  <c r="BK147" i="65"/>
  <c r="AB147" i="65" s="1"/>
  <c r="BD147" i="65" s="1"/>
  <c r="BJ147" i="65"/>
  <c r="BI147" i="65"/>
  <c r="BH147" i="65"/>
  <c r="BF147" i="65"/>
  <c r="BE147" i="65"/>
  <c r="BB147" i="65"/>
  <c r="BA147" i="65" s="1"/>
  <c r="AZ147" i="65"/>
  <c r="AY147" i="65"/>
  <c r="AX147" i="65"/>
  <c r="AW147" i="65"/>
  <c r="AV147" i="65"/>
  <c r="AU147" i="65"/>
  <c r="AR147" i="65"/>
  <c r="AQ147" i="65"/>
  <c r="AP147" i="65"/>
  <c r="AO147" i="65"/>
  <c r="AN147" i="65"/>
  <c r="AL147" i="65"/>
  <c r="E147" i="65" s="1"/>
  <c r="AE147" i="65" s="1"/>
  <c r="AK147" i="65"/>
  <c r="AI147" i="65"/>
  <c r="U147" i="65"/>
  <c r="D147" i="65"/>
  <c r="BM145" i="65"/>
  <c r="BL145" i="65"/>
  <c r="BK145" i="65"/>
  <c r="AB145" i="65" s="1"/>
  <c r="BJ145" i="65"/>
  <c r="BI145" i="65"/>
  <c r="BH145" i="65"/>
  <c r="BF145" i="65"/>
  <c r="BE145" i="65"/>
  <c r="BB145" i="65"/>
  <c r="BA145" i="65" s="1"/>
  <c r="AZ145" i="65"/>
  <c r="AY145" i="65"/>
  <c r="AX145" i="65"/>
  <c r="AW145" i="65"/>
  <c r="AV145" i="65"/>
  <c r="AU145" i="65"/>
  <c r="AR145" i="65"/>
  <c r="AQ145" i="65"/>
  <c r="AP145" i="65"/>
  <c r="AO145" i="65"/>
  <c r="AN145" i="65"/>
  <c r="AL145" i="65"/>
  <c r="AK145" i="65"/>
  <c r="AI145" i="65"/>
  <c r="U145" i="65"/>
  <c r="E145" i="65"/>
  <c r="AG145" i="65" s="1"/>
  <c r="D145" i="65"/>
  <c r="BM143" i="65"/>
  <c r="BL143" i="65"/>
  <c r="BK143" i="65"/>
  <c r="AB143" i="65" s="1"/>
  <c r="BJ143" i="65"/>
  <c r="BI143" i="65"/>
  <c r="BH143" i="65"/>
  <c r="BF143" i="65"/>
  <c r="BE143" i="65"/>
  <c r="BB143" i="65"/>
  <c r="BA143" i="65" s="1"/>
  <c r="AZ143" i="65"/>
  <c r="AY143" i="65"/>
  <c r="AX143" i="65"/>
  <c r="AW143" i="65"/>
  <c r="AV143" i="65"/>
  <c r="AU143" i="65"/>
  <c r="AR143" i="65"/>
  <c r="AQ143" i="65"/>
  <c r="AP143" i="65"/>
  <c r="AO143" i="65"/>
  <c r="AN143" i="65"/>
  <c r="AL143" i="65"/>
  <c r="AK143" i="65"/>
  <c r="AI143" i="65"/>
  <c r="U143" i="65"/>
  <c r="E143" i="65"/>
  <c r="AE143" i="65" s="1"/>
  <c r="D143" i="65"/>
  <c r="BM141" i="65"/>
  <c r="BL141" i="65"/>
  <c r="BK141" i="65"/>
  <c r="AB141" i="65" s="1"/>
  <c r="AT141" i="65" s="1"/>
  <c r="BJ141" i="65"/>
  <c r="BI141" i="65"/>
  <c r="BH141" i="65"/>
  <c r="BF141" i="65"/>
  <c r="BE141" i="65"/>
  <c r="BB141" i="65"/>
  <c r="BA141" i="65" s="1"/>
  <c r="AZ141" i="65"/>
  <c r="AY141" i="65"/>
  <c r="AX141" i="65"/>
  <c r="AW141" i="65"/>
  <c r="AV141" i="65"/>
  <c r="AU141" i="65"/>
  <c r="AR141" i="65"/>
  <c r="AQ141" i="65"/>
  <c r="AP141" i="65"/>
  <c r="AO141" i="65"/>
  <c r="AN141" i="65"/>
  <c r="AL141" i="65"/>
  <c r="E141" i="65" s="1"/>
  <c r="AG141" i="65" s="1"/>
  <c r="AK141" i="65"/>
  <c r="AI141" i="65"/>
  <c r="U141" i="65"/>
  <c r="D141" i="65"/>
  <c r="BM139" i="65"/>
  <c r="BL139" i="65"/>
  <c r="BK139" i="65"/>
  <c r="AB139" i="65" s="1"/>
  <c r="BJ139" i="65"/>
  <c r="BI139" i="65"/>
  <c r="BH139" i="65"/>
  <c r="BF139" i="65"/>
  <c r="BE139" i="65"/>
  <c r="BB139" i="65"/>
  <c r="BA139" i="65" s="1"/>
  <c r="AZ139" i="65"/>
  <c r="AY139" i="65"/>
  <c r="AX139" i="65"/>
  <c r="AW139" i="65"/>
  <c r="AV139" i="65"/>
  <c r="AU139" i="65"/>
  <c r="AR139" i="65"/>
  <c r="AQ139" i="65"/>
  <c r="AP139" i="65"/>
  <c r="AO139" i="65"/>
  <c r="AN139" i="65"/>
  <c r="AL139" i="65"/>
  <c r="E139" i="65" s="1"/>
  <c r="AE139" i="65" s="1"/>
  <c r="AK139" i="65"/>
  <c r="AI139" i="65"/>
  <c r="U139" i="65"/>
  <c r="D139" i="65"/>
  <c r="BM137" i="65"/>
  <c r="BL137" i="65"/>
  <c r="BK137" i="65"/>
  <c r="AB137" i="65" s="1"/>
  <c r="BJ137" i="65"/>
  <c r="BI137" i="65"/>
  <c r="BH137" i="65"/>
  <c r="BF137" i="65"/>
  <c r="BE137" i="65"/>
  <c r="BB137" i="65"/>
  <c r="BA137" i="65" s="1"/>
  <c r="AZ137" i="65"/>
  <c r="AY137" i="65"/>
  <c r="AX137" i="65"/>
  <c r="AW137" i="65"/>
  <c r="AV137" i="65"/>
  <c r="AU137" i="65"/>
  <c r="AR137" i="65"/>
  <c r="AQ137" i="65"/>
  <c r="AP137" i="65"/>
  <c r="AO137" i="65"/>
  <c r="AN137" i="65"/>
  <c r="AL137" i="65"/>
  <c r="AK137" i="65"/>
  <c r="AI137" i="65"/>
  <c r="U137" i="65"/>
  <c r="E137" i="65"/>
  <c r="AG137" i="65" s="1"/>
  <c r="D137" i="65"/>
  <c r="BM135" i="65"/>
  <c r="BL135" i="65"/>
  <c r="BK135" i="65"/>
  <c r="AB135" i="65" s="1"/>
  <c r="BJ135" i="65"/>
  <c r="BI135" i="65"/>
  <c r="BH135" i="65"/>
  <c r="BF135" i="65"/>
  <c r="BE135" i="65"/>
  <c r="BB135" i="65"/>
  <c r="BA135" i="65" s="1"/>
  <c r="AZ135" i="65"/>
  <c r="AY135" i="65"/>
  <c r="AX135" i="65"/>
  <c r="AW135" i="65"/>
  <c r="AV135" i="65"/>
  <c r="AU135" i="65"/>
  <c r="AR135" i="65"/>
  <c r="AQ135" i="65"/>
  <c r="AP135" i="65"/>
  <c r="AO135" i="65"/>
  <c r="AN135" i="65"/>
  <c r="AL135" i="65"/>
  <c r="AK135" i="65"/>
  <c r="AI135" i="65"/>
  <c r="U135" i="65"/>
  <c r="E135" i="65"/>
  <c r="AE135" i="65" s="1"/>
  <c r="D135" i="65"/>
  <c r="BM133" i="65"/>
  <c r="BL133" i="65"/>
  <c r="BK133" i="65"/>
  <c r="AB133" i="65" s="1"/>
  <c r="AM133" i="65" s="1"/>
  <c r="BJ133" i="65"/>
  <c r="BI133" i="65"/>
  <c r="BH133" i="65"/>
  <c r="BF133" i="65"/>
  <c r="BE133" i="65"/>
  <c r="BB133" i="65"/>
  <c r="BA133" i="65" s="1"/>
  <c r="AZ133" i="65"/>
  <c r="AY133" i="65"/>
  <c r="AX133" i="65"/>
  <c r="AW133" i="65"/>
  <c r="AV133" i="65"/>
  <c r="AU133" i="65"/>
  <c r="AR133" i="65"/>
  <c r="AQ133" i="65"/>
  <c r="AP133" i="65"/>
  <c r="AO133" i="65"/>
  <c r="AN133" i="65"/>
  <c r="AL133" i="65"/>
  <c r="E133" i="65" s="1"/>
  <c r="AG133" i="65" s="1"/>
  <c r="AK133" i="65"/>
  <c r="AI133" i="65"/>
  <c r="U133" i="65"/>
  <c r="D133" i="65"/>
  <c r="BM131" i="65"/>
  <c r="BL131" i="65"/>
  <c r="BK131" i="65"/>
  <c r="AB131" i="65" s="1"/>
  <c r="BJ131" i="65"/>
  <c r="BI131" i="65"/>
  <c r="BH131" i="65"/>
  <c r="BF131" i="65"/>
  <c r="BE131" i="65"/>
  <c r="BB131" i="65"/>
  <c r="BA131" i="65" s="1"/>
  <c r="AZ131" i="65"/>
  <c r="AY131" i="65"/>
  <c r="AX131" i="65"/>
  <c r="AW131" i="65"/>
  <c r="AV131" i="65"/>
  <c r="AU131" i="65"/>
  <c r="AR131" i="65"/>
  <c r="AQ131" i="65"/>
  <c r="AP131" i="65"/>
  <c r="AO131" i="65"/>
  <c r="AN131" i="65"/>
  <c r="AL131" i="65"/>
  <c r="E131" i="65" s="1"/>
  <c r="AE131" i="65" s="1"/>
  <c r="AK131" i="65"/>
  <c r="AI131" i="65"/>
  <c r="U131" i="65"/>
  <c r="D131" i="65"/>
  <c r="BM129" i="65"/>
  <c r="BL129" i="65"/>
  <c r="BK129" i="65"/>
  <c r="AB129" i="65" s="1"/>
  <c r="BJ129" i="65"/>
  <c r="BI129" i="65"/>
  <c r="BH129" i="65"/>
  <c r="BF129" i="65"/>
  <c r="BE129" i="65"/>
  <c r="BB129" i="65"/>
  <c r="BA129" i="65" s="1"/>
  <c r="AZ129" i="65"/>
  <c r="AY129" i="65"/>
  <c r="AX129" i="65"/>
  <c r="AW129" i="65"/>
  <c r="AV129" i="65"/>
  <c r="AU129" i="65"/>
  <c r="AR129" i="65"/>
  <c r="AQ129" i="65"/>
  <c r="AP129" i="65"/>
  <c r="AO129" i="65"/>
  <c r="AN129" i="65"/>
  <c r="AL129" i="65"/>
  <c r="AK129" i="65"/>
  <c r="AI129" i="65"/>
  <c r="U129" i="65"/>
  <c r="E129" i="65"/>
  <c r="AG129" i="65" s="1"/>
  <c r="D129" i="65"/>
  <c r="BM127" i="65"/>
  <c r="BL127" i="65"/>
  <c r="BK127" i="65"/>
  <c r="AB127" i="65" s="1"/>
  <c r="BJ127" i="65"/>
  <c r="BI127" i="65"/>
  <c r="BH127" i="65"/>
  <c r="BF127" i="65"/>
  <c r="BE127" i="65"/>
  <c r="BB127" i="65"/>
  <c r="BA127" i="65" s="1"/>
  <c r="AZ127" i="65"/>
  <c r="AY127" i="65"/>
  <c r="AX127" i="65"/>
  <c r="AW127" i="65"/>
  <c r="AV127" i="65"/>
  <c r="AU127" i="65"/>
  <c r="AR127" i="65"/>
  <c r="AQ127" i="65"/>
  <c r="AP127" i="65"/>
  <c r="AO127" i="65"/>
  <c r="AN127" i="65"/>
  <c r="AL127" i="65"/>
  <c r="AK127" i="65"/>
  <c r="AI127" i="65"/>
  <c r="U127" i="65"/>
  <c r="E127" i="65"/>
  <c r="AE127" i="65" s="1"/>
  <c r="D127" i="65"/>
  <c r="BM125" i="65"/>
  <c r="BL125" i="65"/>
  <c r="BK125" i="65"/>
  <c r="AB125" i="65" s="1"/>
  <c r="AT125" i="65" s="1"/>
  <c r="BJ125" i="65"/>
  <c r="BI125" i="65"/>
  <c r="BH125" i="65"/>
  <c r="BF125" i="65"/>
  <c r="BE125" i="65"/>
  <c r="BB125" i="65"/>
  <c r="BA125" i="65" s="1"/>
  <c r="AZ125" i="65"/>
  <c r="AY125" i="65"/>
  <c r="AX125" i="65"/>
  <c r="AW125" i="65"/>
  <c r="AV125" i="65"/>
  <c r="AU125" i="65"/>
  <c r="AR125" i="65"/>
  <c r="AQ125" i="65"/>
  <c r="AP125" i="65"/>
  <c r="AO125" i="65"/>
  <c r="AN125" i="65"/>
  <c r="AL125" i="65"/>
  <c r="E125" i="65" s="1"/>
  <c r="AG125" i="65" s="1"/>
  <c r="AK125" i="65"/>
  <c r="AI125" i="65"/>
  <c r="U125" i="65"/>
  <c r="D125" i="65"/>
  <c r="BM123" i="65"/>
  <c r="BL123" i="65"/>
  <c r="BK123" i="65"/>
  <c r="AB123" i="65" s="1"/>
  <c r="AT123" i="65" s="1"/>
  <c r="BJ123" i="65"/>
  <c r="BI123" i="65"/>
  <c r="BH123" i="65"/>
  <c r="BF123" i="65"/>
  <c r="BE123" i="65"/>
  <c r="BB123" i="65"/>
  <c r="BA123" i="65" s="1"/>
  <c r="AZ123" i="65"/>
  <c r="AY123" i="65"/>
  <c r="AX123" i="65"/>
  <c r="AW123" i="65"/>
  <c r="AV123" i="65"/>
  <c r="AU123" i="65"/>
  <c r="AR123" i="65"/>
  <c r="AQ123" i="65"/>
  <c r="AP123" i="65"/>
  <c r="AO123" i="65"/>
  <c r="AN123" i="65"/>
  <c r="AL123" i="65"/>
  <c r="E123" i="65" s="1"/>
  <c r="AE123" i="65" s="1"/>
  <c r="AK123" i="65"/>
  <c r="AI123" i="65"/>
  <c r="U123" i="65"/>
  <c r="D123" i="65"/>
  <c r="BM121" i="65"/>
  <c r="BL121" i="65"/>
  <c r="BK121" i="65"/>
  <c r="AB121" i="65" s="1"/>
  <c r="BJ121" i="65"/>
  <c r="BI121" i="65"/>
  <c r="BH121" i="65"/>
  <c r="BF121" i="65"/>
  <c r="BE121" i="65"/>
  <c r="BB121" i="65"/>
  <c r="BA121" i="65" s="1"/>
  <c r="AZ121" i="65"/>
  <c r="AY121" i="65"/>
  <c r="AX121" i="65"/>
  <c r="AW121" i="65"/>
  <c r="AV121" i="65"/>
  <c r="AU121" i="65"/>
  <c r="AR121" i="65"/>
  <c r="AQ121" i="65"/>
  <c r="AP121" i="65"/>
  <c r="AO121" i="65"/>
  <c r="AN121" i="65"/>
  <c r="AL121" i="65"/>
  <c r="AK121" i="65"/>
  <c r="AI121" i="65"/>
  <c r="U121" i="65"/>
  <c r="E121" i="65"/>
  <c r="AG121" i="65" s="1"/>
  <c r="D121" i="65"/>
  <c r="BM119" i="65"/>
  <c r="BL119" i="65"/>
  <c r="BK119" i="65"/>
  <c r="AB119" i="65" s="1"/>
  <c r="AM119" i="65" s="1"/>
  <c r="BJ119" i="65"/>
  <c r="BI119" i="65"/>
  <c r="BH119" i="65"/>
  <c r="BF119" i="65"/>
  <c r="BE119" i="65"/>
  <c r="BB119" i="65"/>
  <c r="BA119" i="65" s="1"/>
  <c r="AZ119" i="65"/>
  <c r="AY119" i="65"/>
  <c r="AX119" i="65"/>
  <c r="AW119" i="65"/>
  <c r="AV119" i="65"/>
  <c r="AU119" i="65"/>
  <c r="AR119" i="65"/>
  <c r="AQ119" i="65"/>
  <c r="AP119" i="65"/>
  <c r="AO119" i="65"/>
  <c r="AN119" i="65"/>
  <c r="AL119" i="65"/>
  <c r="AK119" i="65"/>
  <c r="AI119" i="65"/>
  <c r="U119" i="65"/>
  <c r="E119" i="65"/>
  <c r="AE119" i="65" s="1"/>
  <c r="D119" i="65"/>
  <c r="BM117" i="65"/>
  <c r="BL117" i="65"/>
  <c r="BK117" i="65"/>
  <c r="AB117" i="65" s="1"/>
  <c r="AM117" i="65" s="1"/>
  <c r="BJ117" i="65"/>
  <c r="BI117" i="65"/>
  <c r="BH117" i="65"/>
  <c r="BF117" i="65"/>
  <c r="BE117" i="65"/>
  <c r="BB117" i="65"/>
  <c r="BA117" i="65" s="1"/>
  <c r="AZ117" i="65"/>
  <c r="AY117" i="65"/>
  <c r="AX117" i="65"/>
  <c r="AW117" i="65"/>
  <c r="AV117" i="65"/>
  <c r="AU117" i="65"/>
  <c r="AR117" i="65"/>
  <c r="AQ117" i="65"/>
  <c r="AP117" i="65"/>
  <c r="AO117" i="65"/>
  <c r="AN117" i="65"/>
  <c r="AL117" i="65"/>
  <c r="E117" i="65" s="1"/>
  <c r="AG117" i="65" s="1"/>
  <c r="AK117" i="65"/>
  <c r="AI117" i="65"/>
  <c r="U117" i="65"/>
  <c r="D117" i="65"/>
  <c r="BM115" i="65"/>
  <c r="BL115" i="65"/>
  <c r="BK115" i="65"/>
  <c r="AB115" i="65" s="1"/>
  <c r="BJ115" i="65"/>
  <c r="BI115" i="65"/>
  <c r="BH115" i="65"/>
  <c r="BF115" i="65"/>
  <c r="BE115" i="65"/>
  <c r="BB115" i="65"/>
  <c r="BA115" i="65" s="1"/>
  <c r="AZ115" i="65"/>
  <c r="AY115" i="65"/>
  <c r="AX115" i="65"/>
  <c r="AW115" i="65"/>
  <c r="AV115" i="65"/>
  <c r="AU115" i="65"/>
  <c r="AR115" i="65"/>
  <c r="AQ115" i="65"/>
  <c r="AP115" i="65"/>
  <c r="AO115" i="65"/>
  <c r="AN115" i="65"/>
  <c r="AL115" i="65"/>
  <c r="E115" i="65" s="1"/>
  <c r="AE115" i="65" s="1"/>
  <c r="AK115" i="65"/>
  <c r="AI115" i="65"/>
  <c r="U115" i="65"/>
  <c r="D115" i="65"/>
  <c r="BM113" i="65"/>
  <c r="BL113" i="65"/>
  <c r="BK113" i="65"/>
  <c r="AB113" i="65" s="1"/>
  <c r="AT113" i="65" s="1"/>
  <c r="BJ113" i="65"/>
  <c r="BI113" i="65"/>
  <c r="BH113" i="65"/>
  <c r="BF113" i="65"/>
  <c r="BE113" i="65"/>
  <c r="BB113" i="65"/>
  <c r="BA113" i="65" s="1"/>
  <c r="AZ113" i="65"/>
  <c r="AY113" i="65"/>
  <c r="AX113" i="65"/>
  <c r="AW113" i="65"/>
  <c r="AV113" i="65"/>
  <c r="AU113" i="65"/>
  <c r="AR113" i="65"/>
  <c r="AQ113" i="65"/>
  <c r="AP113" i="65"/>
  <c r="AO113" i="65"/>
  <c r="AN113" i="65"/>
  <c r="AL113" i="65"/>
  <c r="AK113" i="65"/>
  <c r="AI113" i="65"/>
  <c r="U113" i="65"/>
  <c r="E113" i="65"/>
  <c r="AG113" i="65" s="1"/>
  <c r="D113" i="65"/>
  <c r="BM111" i="65"/>
  <c r="BL111" i="65"/>
  <c r="BK111" i="65"/>
  <c r="AB111" i="65" s="1"/>
  <c r="AT111" i="65" s="1"/>
  <c r="BJ111" i="65"/>
  <c r="BI111" i="65"/>
  <c r="BH111" i="65"/>
  <c r="BF111" i="65"/>
  <c r="BE111" i="65"/>
  <c r="BB111" i="65"/>
  <c r="BA111" i="65" s="1"/>
  <c r="AZ111" i="65"/>
  <c r="AY111" i="65"/>
  <c r="AX111" i="65"/>
  <c r="AW111" i="65"/>
  <c r="AV111" i="65"/>
  <c r="AU111" i="65"/>
  <c r="AR111" i="65"/>
  <c r="AQ111" i="65"/>
  <c r="AP111" i="65"/>
  <c r="AO111" i="65"/>
  <c r="AN111" i="65"/>
  <c r="AL111" i="65"/>
  <c r="AK111" i="65"/>
  <c r="AI111" i="65"/>
  <c r="U111" i="65"/>
  <c r="E111" i="65"/>
  <c r="M111" i="65" s="1"/>
  <c r="D111" i="65"/>
  <c r="BM109" i="65"/>
  <c r="BL109" i="65"/>
  <c r="BK109" i="65"/>
  <c r="AB109" i="65" s="1"/>
  <c r="AT109" i="65" s="1"/>
  <c r="BJ109" i="65"/>
  <c r="BI109" i="65"/>
  <c r="BH109" i="65"/>
  <c r="BF109" i="65"/>
  <c r="BE109" i="65"/>
  <c r="BB109" i="65"/>
  <c r="BA109" i="65" s="1"/>
  <c r="AZ109" i="65"/>
  <c r="AY109" i="65"/>
  <c r="AX109" i="65"/>
  <c r="AW109" i="65"/>
  <c r="AV109" i="65"/>
  <c r="AU109" i="65"/>
  <c r="AR109" i="65"/>
  <c r="AQ109" i="65"/>
  <c r="AP109" i="65"/>
  <c r="AO109" i="65"/>
  <c r="AN109" i="65"/>
  <c r="AL109" i="65"/>
  <c r="AK109" i="65"/>
  <c r="AI109" i="65"/>
  <c r="U109" i="65"/>
  <c r="O109" i="65"/>
  <c r="E109" i="65"/>
  <c r="D109" i="65"/>
  <c r="BM107" i="65"/>
  <c r="BL107" i="65"/>
  <c r="BK107" i="65"/>
  <c r="AB107" i="65" s="1"/>
  <c r="AM107" i="65" s="1"/>
  <c r="BJ107" i="65"/>
  <c r="BI107" i="65"/>
  <c r="BH107" i="65"/>
  <c r="BF107" i="65"/>
  <c r="BE107" i="65"/>
  <c r="BB107" i="65"/>
  <c r="BA107" i="65" s="1"/>
  <c r="AZ107" i="65"/>
  <c r="AY107" i="65"/>
  <c r="AX107" i="65"/>
  <c r="AW107" i="65"/>
  <c r="AV107" i="65"/>
  <c r="AU107" i="65"/>
  <c r="AR107" i="65"/>
  <c r="AQ107" i="65"/>
  <c r="AP107" i="65"/>
  <c r="AO107" i="65"/>
  <c r="AN107" i="65"/>
  <c r="AL107" i="65"/>
  <c r="AK107" i="65"/>
  <c r="AI107" i="65"/>
  <c r="U107" i="65"/>
  <c r="E107" i="65"/>
  <c r="AE107" i="65" s="1"/>
  <c r="D107" i="65"/>
  <c r="BM105" i="65"/>
  <c r="BL105" i="65"/>
  <c r="BK105" i="65"/>
  <c r="AB105" i="65" s="1"/>
  <c r="AM105" i="65" s="1"/>
  <c r="BJ105" i="65"/>
  <c r="BI105" i="65"/>
  <c r="BH105" i="65"/>
  <c r="BF105" i="65"/>
  <c r="BE105" i="65"/>
  <c r="BB105" i="65"/>
  <c r="BA105" i="65" s="1"/>
  <c r="AZ105" i="65"/>
  <c r="AY105" i="65"/>
  <c r="AX105" i="65"/>
  <c r="AW105" i="65"/>
  <c r="AV105" i="65"/>
  <c r="AU105" i="65"/>
  <c r="AR105" i="65"/>
  <c r="AQ105" i="65"/>
  <c r="AP105" i="65"/>
  <c r="AO105" i="65"/>
  <c r="AN105" i="65"/>
  <c r="AL105" i="65"/>
  <c r="E105" i="65" s="1"/>
  <c r="AK105" i="65"/>
  <c r="AI105" i="65"/>
  <c r="AG105" i="65"/>
  <c r="U105" i="65"/>
  <c r="S105" i="65"/>
  <c r="K105" i="65"/>
  <c r="D105" i="65"/>
  <c r="BM103" i="65"/>
  <c r="BL103" i="65"/>
  <c r="BK103" i="65"/>
  <c r="AB103" i="65" s="1"/>
  <c r="BJ103" i="65"/>
  <c r="BI103" i="65"/>
  <c r="BH103" i="65"/>
  <c r="BF103" i="65"/>
  <c r="BE103" i="65"/>
  <c r="BB103" i="65"/>
  <c r="BA103" i="65"/>
  <c r="AZ103" i="65"/>
  <c r="AY103" i="65"/>
  <c r="AX103" i="65"/>
  <c r="AW103" i="65"/>
  <c r="AV103" i="65"/>
  <c r="AU103" i="65"/>
  <c r="AR103" i="65"/>
  <c r="AQ103" i="65"/>
  <c r="AP103" i="65"/>
  <c r="AO103" i="65"/>
  <c r="AN103" i="65"/>
  <c r="AL103" i="65"/>
  <c r="AK103" i="65"/>
  <c r="AI103" i="65"/>
  <c r="U103" i="65"/>
  <c r="E103" i="65"/>
  <c r="AE103" i="65" s="1"/>
  <c r="D103" i="65"/>
  <c r="BM101" i="65"/>
  <c r="BL101" i="65"/>
  <c r="BK101" i="65"/>
  <c r="AB101" i="65" s="1"/>
  <c r="BJ101" i="65"/>
  <c r="BI101" i="65"/>
  <c r="BH101" i="65"/>
  <c r="BF101" i="65"/>
  <c r="BE101" i="65"/>
  <c r="BB101" i="65"/>
  <c r="BA101" i="65" s="1"/>
  <c r="AZ101" i="65"/>
  <c r="AY101" i="65"/>
  <c r="AX101" i="65"/>
  <c r="AW101" i="65"/>
  <c r="AV101" i="65"/>
  <c r="AU101" i="65"/>
  <c r="AR101" i="65"/>
  <c r="AQ101" i="65"/>
  <c r="AP101" i="65"/>
  <c r="AO101" i="65"/>
  <c r="AN101" i="65"/>
  <c r="AL101" i="65"/>
  <c r="E101" i="65" s="1"/>
  <c r="AK101" i="65"/>
  <c r="AI101" i="65"/>
  <c r="U101" i="65"/>
  <c r="D101" i="65"/>
  <c r="BM99" i="65"/>
  <c r="BL99" i="65"/>
  <c r="BK99" i="65"/>
  <c r="AB99" i="65" s="1"/>
  <c r="AT99" i="65" s="1"/>
  <c r="BJ99" i="65"/>
  <c r="BI99" i="65"/>
  <c r="BH99" i="65"/>
  <c r="BF99" i="65"/>
  <c r="BE99" i="65"/>
  <c r="BB99" i="65"/>
  <c r="BA99" i="65"/>
  <c r="AZ99" i="65"/>
  <c r="AY99" i="65"/>
  <c r="AX99" i="65"/>
  <c r="AW99" i="65"/>
  <c r="AV99" i="65"/>
  <c r="AU99" i="65"/>
  <c r="AR99" i="65"/>
  <c r="AQ99" i="65"/>
  <c r="AP99" i="65"/>
  <c r="AO99" i="65"/>
  <c r="AN99" i="65"/>
  <c r="AL99" i="65"/>
  <c r="AK99" i="65"/>
  <c r="AI99" i="65"/>
  <c r="U99" i="65"/>
  <c r="E99" i="65"/>
  <c r="AE99" i="65" s="1"/>
  <c r="D99" i="65"/>
  <c r="BM97" i="65"/>
  <c r="BL97" i="65"/>
  <c r="BK97" i="65"/>
  <c r="AB97" i="65" s="1"/>
  <c r="BJ97" i="65"/>
  <c r="BI97" i="65"/>
  <c r="BH97" i="65"/>
  <c r="BF97" i="65"/>
  <c r="BE97" i="65"/>
  <c r="BB97" i="65"/>
  <c r="BA97" i="65" s="1"/>
  <c r="AZ97" i="65"/>
  <c r="AY97" i="65"/>
  <c r="AX97" i="65"/>
  <c r="AW97" i="65"/>
  <c r="AV97" i="65"/>
  <c r="AU97" i="65"/>
  <c r="AR97" i="65"/>
  <c r="AQ97" i="65"/>
  <c r="AP97" i="65"/>
  <c r="AO97" i="65"/>
  <c r="AN97" i="65"/>
  <c r="AL97" i="65"/>
  <c r="E97" i="65" s="1"/>
  <c r="AK97" i="65"/>
  <c r="AI97" i="65"/>
  <c r="AG97" i="65"/>
  <c r="W97" i="65"/>
  <c r="U97" i="65"/>
  <c r="O97" i="65"/>
  <c r="K97" i="65"/>
  <c r="D97" i="65"/>
  <c r="BM95" i="65"/>
  <c r="BL95" i="65"/>
  <c r="BK95" i="65"/>
  <c r="AB95" i="65" s="1"/>
  <c r="BJ95" i="65"/>
  <c r="BI95" i="65"/>
  <c r="BH95" i="65"/>
  <c r="BF95" i="65"/>
  <c r="BE95" i="65"/>
  <c r="BB95" i="65"/>
  <c r="BA95" i="65"/>
  <c r="AZ95" i="65"/>
  <c r="AY95" i="65"/>
  <c r="AX95" i="65"/>
  <c r="AW95" i="65"/>
  <c r="AV95" i="65"/>
  <c r="AU95" i="65"/>
  <c r="AR95" i="65"/>
  <c r="AQ95" i="65"/>
  <c r="AP95" i="65"/>
  <c r="AO95" i="65"/>
  <c r="AN95" i="65"/>
  <c r="AL95" i="65"/>
  <c r="E95" i="65" s="1"/>
  <c r="AE95" i="65" s="1"/>
  <c r="AK95" i="65"/>
  <c r="AI95" i="65"/>
  <c r="U95" i="65"/>
  <c r="D95" i="65"/>
  <c r="BM93" i="65"/>
  <c r="BL93" i="65"/>
  <c r="BK93" i="65"/>
  <c r="AB93" i="65" s="1"/>
  <c r="BJ93" i="65"/>
  <c r="BI93" i="65"/>
  <c r="BH93" i="65"/>
  <c r="BF93" i="65"/>
  <c r="BE93" i="65"/>
  <c r="BB93" i="65"/>
  <c r="BA93" i="65" s="1"/>
  <c r="AZ93" i="65"/>
  <c r="AY93" i="65"/>
  <c r="AX93" i="65"/>
  <c r="AW93" i="65"/>
  <c r="AV93" i="65"/>
  <c r="AU93" i="65"/>
  <c r="AR93" i="65"/>
  <c r="AQ93" i="65"/>
  <c r="AP93" i="65"/>
  <c r="AO93" i="65"/>
  <c r="AN93" i="65"/>
  <c r="AL93" i="65"/>
  <c r="AK93" i="65"/>
  <c r="AI93" i="65"/>
  <c r="AA93" i="65"/>
  <c r="U93" i="65"/>
  <c r="E93" i="65"/>
  <c r="D93" i="65"/>
  <c r="BM91" i="65"/>
  <c r="BL91" i="65"/>
  <c r="BK91" i="65"/>
  <c r="AB91" i="65" s="1"/>
  <c r="AM91" i="65" s="1"/>
  <c r="BJ91" i="65"/>
  <c r="BI91" i="65"/>
  <c r="BH91" i="65"/>
  <c r="BF91" i="65"/>
  <c r="BE91" i="65"/>
  <c r="BB91" i="65"/>
  <c r="BA91" i="65" s="1"/>
  <c r="AZ91" i="65"/>
  <c r="AY91" i="65"/>
  <c r="AX91" i="65"/>
  <c r="AW91" i="65"/>
  <c r="AV91" i="65"/>
  <c r="AU91" i="65"/>
  <c r="AR91" i="65"/>
  <c r="AQ91" i="65"/>
  <c r="AP91" i="65"/>
  <c r="AO91" i="65"/>
  <c r="AN91" i="65"/>
  <c r="AL91" i="65"/>
  <c r="E91" i="65" s="1"/>
  <c r="AE91" i="65" s="1"/>
  <c r="AK91" i="65"/>
  <c r="AI91" i="65"/>
  <c r="U91" i="65"/>
  <c r="D91" i="65"/>
  <c r="BM89" i="65"/>
  <c r="BL89" i="65"/>
  <c r="BK89" i="65"/>
  <c r="AB89" i="65" s="1"/>
  <c r="AM89" i="65" s="1"/>
  <c r="BJ89" i="65"/>
  <c r="BI89" i="65"/>
  <c r="BH89" i="65"/>
  <c r="BF89" i="65"/>
  <c r="BE89" i="65"/>
  <c r="BB89" i="65"/>
  <c r="BA89" i="65" s="1"/>
  <c r="AZ89" i="65"/>
  <c r="AY89" i="65"/>
  <c r="AX89" i="65"/>
  <c r="AW89" i="65"/>
  <c r="AV89" i="65"/>
  <c r="AU89" i="65"/>
  <c r="AR89" i="65"/>
  <c r="AQ89" i="65"/>
  <c r="AP89" i="65"/>
  <c r="AO89" i="65"/>
  <c r="AN89" i="65"/>
  <c r="AL89" i="65"/>
  <c r="AK89" i="65"/>
  <c r="AI89" i="65"/>
  <c r="U89" i="65"/>
  <c r="S89" i="65"/>
  <c r="E89" i="65"/>
  <c r="D89" i="65"/>
  <c r="BM87" i="65"/>
  <c r="BL87" i="65"/>
  <c r="BK87" i="65"/>
  <c r="AB87" i="65" s="1"/>
  <c r="BJ87" i="65"/>
  <c r="BI87" i="65"/>
  <c r="BH87" i="65"/>
  <c r="BF87" i="65"/>
  <c r="BE87" i="65"/>
  <c r="BB87" i="65"/>
  <c r="BA87" i="65"/>
  <c r="AZ87" i="65"/>
  <c r="AY87" i="65"/>
  <c r="AX87" i="65"/>
  <c r="AW87" i="65"/>
  <c r="AV87" i="65"/>
  <c r="AU87" i="65"/>
  <c r="AR87" i="65"/>
  <c r="AQ87" i="65"/>
  <c r="AP87" i="65"/>
  <c r="AO87" i="65"/>
  <c r="AN87" i="65"/>
  <c r="AL87" i="65"/>
  <c r="E87" i="65" s="1"/>
  <c r="AE87" i="65" s="1"/>
  <c r="AK87" i="65"/>
  <c r="AI87" i="65"/>
  <c r="U87" i="65"/>
  <c r="D87" i="65"/>
  <c r="BM85" i="65"/>
  <c r="BL85" i="65"/>
  <c r="BK85" i="65"/>
  <c r="AB85" i="65" s="1"/>
  <c r="BD85" i="65" s="1"/>
  <c r="BJ85" i="65"/>
  <c r="BI85" i="65"/>
  <c r="BH85" i="65"/>
  <c r="BF85" i="65"/>
  <c r="BE85" i="65"/>
  <c r="BB85" i="65"/>
  <c r="BA85" i="65" s="1"/>
  <c r="AZ85" i="65"/>
  <c r="AY85" i="65"/>
  <c r="AX85" i="65"/>
  <c r="AW85" i="65"/>
  <c r="AV85" i="65"/>
  <c r="AU85" i="65"/>
  <c r="AR85" i="65"/>
  <c r="AQ85" i="65"/>
  <c r="AP85" i="65"/>
  <c r="AO85" i="65"/>
  <c r="AN85" i="65"/>
  <c r="AL85" i="65"/>
  <c r="E85" i="65" s="1"/>
  <c r="AK85" i="65"/>
  <c r="AI85" i="65"/>
  <c r="AG85" i="65"/>
  <c r="AA85" i="65"/>
  <c r="U85" i="65"/>
  <c r="O85" i="65"/>
  <c r="D85" i="65"/>
  <c r="BM83" i="65"/>
  <c r="BL83" i="65"/>
  <c r="BK83" i="65"/>
  <c r="AB83" i="65" s="1"/>
  <c r="BJ83" i="65"/>
  <c r="BI83" i="65"/>
  <c r="BH83" i="65"/>
  <c r="BF83" i="65"/>
  <c r="BE83" i="65"/>
  <c r="BB83" i="65"/>
  <c r="BA83" i="65" s="1"/>
  <c r="AZ83" i="65"/>
  <c r="AY83" i="65"/>
  <c r="AX83" i="65"/>
  <c r="AW83" i="65"/>
  <c r="AV83" i="65"/>
  <c r="AU83" i="65"/>
  <c r="AR83" i="65"/>
  <c r="AQ83" i="65"/>
  <c r="AP83" i="65"/>
  <c r="AO83" i="65"/>
  <c r="AN83" i="65"/>
  <c r="AL83" i="65"/>
  <c r="E83" i="65" s="1"/>
  <c r="AE83" i="65" s="1"/>
  <c r="AK83" i="65"/>
  <c r="AI83" i="65"/>
  <c r="U83" i="65"/>
  <c r="D83" i="65"/>
  <c r="BM81" i="65"/>
  <c r="BL81" i="65"/>
  <c r="BK81" i="65"/>
  <c r="AB81" i="65" s="1"/>
  <c r="BJ81" i="65"/>
  <c r="BI81" i="65"/>
  <c r="BH81" i="65"/>
  <c r="BF81" i="65"/>
  <c r="BE81" i="65"/>
  <c r="BB81" i="65"/>
  <c r="BA81" i="65" s="1"/>
  <c r="AZ81" i="65"/>
  <c r="AY81" i="65"/>
  <c r="AX81" i="65"/>
  <c r="AW81" i="65"/>
  <c r="AV81" i="65"/>
  <c r="AU81" i="65"/>
  <c r="AR81" i="65"/>
  <c r="AQ81" i="65"/>
  <c r="AP81" i="65"/>
  <c r="AO81" i="65"/>
  <c r="AN81" i="65"/>
  <c r="AL81" i="65"/>
  <c r="E81" i="65" s="1"/>
  <c r="AK81" i="65"/>
  <c r="AI81" i="65"/>
  <c r="AA81" i="65"/>
  <c r="W81" i="65"/>
  <c r="U81" i="65"/>
  <c r="S81" i="65"/>
  <c r="D81" i="65"/>
  <c r="BM79" i="65"/>
  <c r="BL79" i="65"/>
  <c r="BK79" i="65"/>
  <c r="AB79" i="65" s="1"/>
  <c r="BJ79" i="65"/>
  <c r="BI79" i="65"/>
  <c r="BH79" i="65"/>
  <c r="BF79" i="65"/>
  <c r="BE79" i="65"/>
  <c r="BB79" i="65"/>
  <c r="BA79" i="65"/>
  <c r="AZ79" i="65"/>
  <c r="AY79" i="65"/>
  <c r="AX79" i="65"/>
  <c r="AW79" i="65"/>
  <c r="AV79" i="65"/>
  <c r="AU79" i="65"/>
  <c r="AR79" i="65"/>
  <c r="AQ79" i="65"/>
  <c r="AP79" i="65"/>
  <c r="AO79" i="65"/>
  <c r="AN79" i="65"/>
  <c r="AL79" i="65"/>
  <c r="AK79" i="65"/>
  <c r="AI79" i="65"/>
  <c r="U79" i="65"/>
  <c r="E79" i="65"/>
  <c r="AE79" i="65" s="1"/>
  <c r="D79" i="65"/>
  <c r="BM77" i="65"/>
  <c r="BL77" i="65"/>
  <c r="BK77" i="65"/>
  <c r="AB77" i="65" s="1"/>
  <c r="BJ77" i="65"/>
  <c r="BI77" i="65"/>
  <c r="BH77" i="65"/>
  <c r="BF77" i="65"/>
  <c r="BE77" i="65"/>
  <c r="BB77" i="65"/>
  <c r="BA77" i="65" s="1"/>
  <c r="AZ77" i="65"/>
  <c r="AY77" i="65"/>
  <c r="AX77" i="65"/>
  <c r="AW77" i="65"/>
  <c r="AV77" i="65"/>
  <c r="AU77" i="65"/>
  <c r="AR77" i="65"/>
  <c r="AQ77" i="65"/>
  <c r="AP77" i="65"/>
  <c r="AO77" i="65"/>
  <c r="AN77" i="65"/>
  <c r="AL77" i="65"/>
  <c r="E77" i="65" s="1"/>
  <c r="AK77" i="65"/>
  <c r="AI77" i="65"/>
  <c r="U77" i="65"/>
  <c r="D77" i="65"/>
  <c r="BM75" i="65"/>
  <c r="BL75" i="65"/>
  <c r="BK75" i="65"/>
  <c r="AB75" i="65" s="1"/>
  <c r="BJ75" i="65"/>
  <c r="BI75" i="65"/>
  <c r="BH75" i="65"/>
  <c r="BF75" i="65"/>
  <c r="BE75" i="65"/>
  <c r="BB75" i="65"/>
  <c r="BA75" i="65" s="1"/>
  <c r="AZ75" i="65"/>
  <c r="AY75" i="65"/>
  <c r="AX75" i="65"/>
  <c r="AW75" i="65"/>
  <c r="AV75" i="65"/>
  <c r="AU75" i="65"/>
  <c r="AR75" i="65"/>
  <c r="AQ75" i="65"/>
  <c r="AP75" i="65"/>
  <c r="AO75" i="65"/>
  <c r="AN75" i="65"/>
  <c r="AL75" i="65"/>
  <c r="AK75" i="65"/>
  <c r="AI75" i="65"/>
  <c r="U75" i="65"/>
  <c r="E75" i="65"/>
  <c r="AE75" i="65" s="1"/>
  <c r="D75" i="65"/>
  <c r="BM73" i="65"/>
  <c r="BL73" i="65"/>
  <c r="BK73" i="65"/>
  <c r="AB73" i="65" s="1"/>
  <c r="BJ73" i="65"/>
  <c r="BI73" i="65"/>
  <c r="BH73" i="65"/>
  <c r="BF73" i="65"/>
  <c r="BE73" i="65"/>
  <c r="BB73" i="65"/>
  <c r="BA73" i="65" s="1"/>
  <c r="AZ73" i="65"/>
  <c r="AY73" i="65"/>
  <c r="AX73" i="65"/>
  <c r="AW73" i="65"/>
  <c r="AV73" i="65"/>
  <c r="AU73" i="65"/>
  <c r="AR73" i="65"/>
  <c r="AQ73" i="65"/>
  <c r="AP73" i="65"/>
  <c r="AO73" i="65"/>
  <c r="AN73" i="65"/>
  <c r="AL73" i="65"/>
  <c r="E73" i="65" s="1"/>
  <c r="AK73" i="65"/>
  <c r="AI73" i="65"/>
  <c r="AG73" i="65"/>
  <c r="U73" i="65"/>
  <c r="S73" i="65"/>
  <c r="O73" i="65"/>
  <c r="K73" i="65"/>
  <c r="D73" i="65"/>
  <c r="BM71" i="65"/>
  <c r="BL71" i="65"/>
  <c r="BK71" i="65"/>
  <c r="AB71" i="65" s="1"/>
  <c r="BJ71" i="65"/>
  <c r="BI71" i="65"/>
  <c r="BH71" i="65"/>
  <c r="BF71" i="65"/>
  <c r="BE71" i="65"/>
  <c r="BB71" i="65"/>
  <c r="BA71" i="65" s="1"/>
  <c r="AZ71" i="65"/>
  <c r="AY71" i="65"/>
  <c r="AX71" i="65"/>
  <c r="AW71" i="65"/>
  <c r="AV71" i="65"/>
  <c r="AU71" i="65"/>
  <c r="AR71" i="65"/>
  <c r="AQ71" i="65"/>
  <c r="AP71" i="65"/>
  <c r="AO71" i="65"/>
  <c r="AN71" i="65"/>
  <c r="AL71" i="65"/>
  <c r="AK71" i="65"/>
  <c r="AI71" i="65"/>
  <c r="U71" i="65"/>
  <c r="E71" i="65"/>
  <c r="AE71" i="65" s="1"/>
  <c r="D71" i="65"/>
  <c r="BM69" i="65"/>
  <c r="BL69" i="65"/>
  <c r="BK69" i="65"/>
  <c r="AB69" i="65" s="1"/>
  <c r="BJ69" i="65"/>
  <c r="BI69" i="65"/>
  <c r="BH69" i="65"/>
  <c r="BF69" i="65"/>
  <c r="BE69" i="65"/>
  <c r="BB69" i="65"/>
  <c r="BA69" i="65" s="1"/>
  <c r="AZ69" i="65"/>
  <c r="AY69" i="65"/>
  <c r="AX69" i="65"/>
  <c r="AW69" i="65"/>
  <c r="AV69" i="65"/>
  <c r="AU69" i="65"/>
  <c r="AR69" i="65"/>
  <c r="AQ69" i="65"/>
  <c r="AP69" i="65"/>
  <c r="AO69" i="65"/>
  <c r="AN69" i="65"/>
  <c r="AL69" i="65"/>
  <c r="AK69" i="65"/>
  <c r="AI69" i="65"/>
  <c r="AG69" i="65"/>
  <c r="U69" i="65"/>
  <c r="E69" i="65"/>
  <c r="D69" i="65"/>
  <c r="BM67" i="65"/>
  <c r="BL67" i="65"/>
  <c r="BK67" i="65"/>
  <c r="AB67" i="65" s="1"/>
  <c r="AT67" i="65" s="1"/>
  <c r="BJ67" i="65"/>
  <c r="BI67" i="65"/>
  <c r="BH67" i="65"/>
  <c r="BF67" i="65"/>
  <c r="BE67" i="65"/>
  <c r="BB67" i="65"/>
  <c r="BA67" i="65"/>
  <c r="AZ67" i="65"/>
  <c r="AY67" i="65"/>
  <c r="AX67" i="65"/>
  <c r="AW67" i="65"/>
  <c r="AV67" i="65"/>
  <c r="AU67" i="65"/>
  <c r="AR67" i="65"/>
  <c r="AQ67" i="65"/>
  <c r="AP67" i="65"/>
  <c r="AO67" i="65"/>
  <c r="AN67" i="65"/>
  <c r="AL67" i="65"/>
  <c r="E67" i="65" s="1"/>
  <c r="AE67" i="65" s="1"/>
  <c r="AK67" i="65"/>
  <c r="AI67" i="65"/>
  <c r="U67" i="65"/>
  <c r="D67" i="65"/>
  <c r="BM65" i="65"/>
  <c r="BL65" i="65"/>
  <c r="BK65" i="65"/>
  <c r="AB65" i="65" s="1"/>
  <c r="BJ65" i="65"/>
  <c r="BI65" i="65"/>
  <c r="BH65" i="65"/>
  <c r="BF65" i="65"/>
  <c r="BE65" i="65"/>
  <c r="BB65" i="65"/>
  <c r="BA65" i="65" s="1"/>
  <c r="AZ65" i="65"/>
  <c r="AY65" i="65"/>
  <c r="AX65" i="65"/>
  <c r="AW65" i="65"/>
  <c r="AV65" i="65"/>
  <c r="AU65" i="65"/>
  <c r="AR65" i="65"/>
  <c r="AQ65" i="65"/>
  <c r="AP65" i="65"/>
  <c r="AO65" i="65"/>
  <c r="AN65" i="65"/>
  <c r="AL65" i="65"/>
  <c r="AK65" i="65"/>
  <c r="AI65" i="65"/>
  <c r="AG65" i="65"/>
  <c r="AA65" i="65"/>
  <c r="W65" i="65"/>
  <c r="U65" i="65"/>
  <c r="E65" i="65"/>
  <c r="D65" i="65"/>
  <c r="BM63" i="65"/>
  <c r="BL63" i="65"/>
  <c r="BK63" i="65"/>
  <c r="AB63" i="65" s="1"/>
  <c r="AM63" i="65" s="1"/>
  <c r="BJ63" i="65"/>
  <c r="BI63" i="65"/>
  <c r="BH63" i="65"/>
  <c r="BF63" i="65"/>
  <c r="BE63" i="65"/>
  <c r="BB63" i="65"/>
  <c r="BA63" i="65"/>
  <c r="AZ63" i="65"/>
  <c r="AY63" i="65"/>
  <c r="AX63" i="65"/>
  <c r="AW63" i="65"/>
  <c r="AV63" i="65"/>
  <c r="AU63" i="65"/>
  <c r="AR63" i="65"/>
  <c r="AQ63" i="65"/>
  <c r="AP63" i="65"/>
  <c r="AO63" i="65"/>
  <c r="AN63" i="65"/>
  <c r="AL63" i="65"/>
  <c r="E63" i="65" s="1"/>
  <c r="AE63" i="65" s="1"/>
  <c r="AK63" i="65"/>
  <c r="AI63" i="65"/>
  <c r="U63" i="65"/>
  <c r="D63" i="65"/>
  <c r="BM61" i="65"/>
  <c r="BL61" i="65"/>
  <c r="BK61" i="65"/>
  <c r="AB61" i="65" s="1"/>
  <c r="BJ61" i="65"/>
  <c r="BI61" i="65"/>
  <c r="BH61" i="65"/>
  <c r="BF61" i="65"/>
  <c r="BE61" i="65"/>
  <c r="BB61" i="65"/>
  <c r="BA61" i="65" s="1"/>
  <c r="AZ61" i="65"/>
  <c r="AY61" i="65"/>
  <c r="AX61" i="65"/>
  <c r="AW61" i="65"/>
  <c r="AV61" i="65"/>
  <c r="AU61" i="65"/>
  <c r="AR61" i="65"/>
  <c r="AQ61" i="65"/>
  <c r="AP61" i="65"/>
  <c r="AO61" i="65"/>
  <c r="AN61" i="65"/>
  <c r="AL61" i="65"/>
  <c r="AK61" i="65"/>
  <c r="AI61" i="65"/>
  <c r="U61" i="65"/>
  <c r="E61" i="65"/>
  <c r="D61" i="65"/>
  <c r="BM59" i="65"/>
  <c r="BL59" i="65"/>
  <c r="BK59" i="65"/>
  <c r="AB59" i="65" s="1"/>
  <c r="BJ59" i="65"/>
  <c r="BI59" i="65"/>
  <c r="BH59" i="65"/>
  <c r="BF59" i="65"/>
  <c r="BE59" i="65"/>
  <c r="BB59" i="65"/>
  <c r="BA59" i="65" s="1"/>
  <c r="AZ59" i="65"/>
  <c r="AY59" i="65"/>
  <c r="AX59" i="65"/>
  <c r="AW59" i="65"/>
  <c r="AV59" i="65"/>
  <c r="AU59" i="65"/>
  <c r="AR59" i="65"/>
  <c r="AQ59" i="65"/>
  <c r="AP59" i="65"/>
  <c r="AO59" i="65"/>
  <c r="AN59" i="65"/>
  <c r="AL59" i="65"/>
  <c r="E59" i="65" s="1"/>
  <c r="AE59" i="65" s="1"/>
  <c r="AK59" i="65"/>
  <c r="AI59" i="65"/>
  <c r="U59" i="65"/>
  <c r="D59" i="65"/>
  <c r="BM57" i="65"/>
  <c r="BL57" i="65"/>
  <c r="BK57" i="65"/>
  <c r="AB57" i="65" s="1"/>
  <c r="AT57" i="65" s="1"/>
  <c r="BJ57" i="65"/>
  <c r="BI57" i="65"/>
  <c r="BH57" i="65"/>
  <c r="BF57" i="65"/>
  <c r="BE57" i="65"/>
  <c r="BB57" i="65"/>
  <c r="BA57" i="65" s="1"/>
  <c r="AZ57" i="65"/>
  <c r="AY57" i="65"/>
  <c r="AX57" i="65"/>
  <c r="AW57" i="65"/>
  <c r="AV57" i="65"/>
  <c r="AU57" i="65"/>
  <c r="AR57" i="65"/>
  <c r="AQ57" i="65"/>
  <c r="AP57" i="65"/>
  <c r="AO57" i="65"/>
  <c r="AN57" i="65"/>
  <c r="AL57" i="65"/>
  <c r="AK57" i="65"/>
  <c r="AI57" i="65"/>
  <c r="AG57" i="65"/>
  <c r="AA57" i="65"/>
  <c r="W57" i="65"/>
  <c r="U57" i="65"/>
  <c r="E57" i="65"/>
  <c r="D57" i="65"/>
  <c r="BM55" i="65"/>
  <c r="BL55" i="65"/>
  <c r="BK55" i="65"/>
  <c r="AB55" i="65" s="1"/>
  <c r="BJ55" i="65"/>
  <c r="BI55" i="65"/>
  <c r="BH55" i="65"/>
  <c r="BF55" i="65"/>
  <c r="BE55" i="65"/>
  <c r="BB55" i="65"/>
  <c r="BA55" i="65"/>
  <c r="AZ55" i="65"/>
  <c r="AY55" i="65"/>
  <c r="AX55" i="65"/>
  <c r="AW55" i="65"/>
  <c r="AV55" i="65"/>
  <c r="AU55" i="65"/>
  <c r="AR55" i="65"/>
  <c r="AQ55" i="65"/>
  <c r="AP55" i="65"/>
  <c r="AO55" i="65"/>
  <c r="AN55" i="65"/>
  <c r="AL55" i="65"/>
  <c r="AK55" i="65"/>
  <c r="AI55" i="65"/>
  <c r="U55" i="65"/>
  <c r="E55" i="65"/>
  <c r="AE55" i="65" s="1"/>
  <c r="D55" i="65"/>
  <c r="BM53" i="65"/>
  <c r="BL53" i="65"/>
  <c r="BK53" i="65"/>
  <c r="AB53" i="65" s="1"/>
  <c r="BD53" i="65" s="1"/>
  <c r="BJ53" i="65"/>
  <c r="BI53" i="65"/>
  <c r="BH53" i="65"/>
  <c r="BF53" i="65"/>
  <c r="BE53" i="65"/>
  <c r="BB53" i="65"/>
  <c r="BA53" i="65" s="1"/>
  <c r="AZ53" i="65"/>
  <c r="AY53" i="65"/>
  <c r="AX53" i="65"/>
  <c r="AW53" i="65"/>
  <c r="AV53" i="65"/>
  <c r="AU53" i="65"/>
  <c r="AR53" i="65"/>
  <c r="AQ53" i="65"/>
  <c r="AP53" i="65"/>
  <c r="AO53" i="65"/>
  <c r="AN53" i="65"/>
  <c r="AL53" i="65"/>
  <c r="E53" i="65" s="1"/>
  <c r="AK53" i="65"/>
  <c r="AI53" i="65"/>
  <c r="U53" i="65"/>
  <c r="O53" i="65"/>
  <c r="D53" i="65"/>
  <c r="BM51" i="65"/>
  <c r="BL51" i="65"/>
  <c r="BK51" i="65"/>
  <c r="AB51" i="65" s="1"/>
  <c r="AT51" i="65" s="1"/>
  <c r="BJ51" i="65"/>
  <c r="BI51" i="65"/>
  <c r="BH51" i="65"/>
  <c r="BF51" i="65"/>
  <c r="BE51" i="65"/>
  <c r="BB51" i="65"/>
  <c r="BA51" i="65" s="1"/>
  <c r="AZ51" i="65"/>
  <c r="AY51" i="65"/>
  <c r="AX51" i="65"/>
  <c r="AW51" i="65"/>
  <c r="AV51" i="65"/>
  <c r="AU51" i="65"/>
  <c r="AR51" i="65"/>
  <c r="AQ51" i="65"/>
  <c r="AP51" i="65"/>
  <c r="AO51" i="65"/>
  <c r="AN51" i="65"/>
  <c r="AL51" i="65"/>
  <c r="AK51" i="65"/>
  <c r="AI51" i="65"/>
  <c r="U51" i="65"/>
  <c r="E51" i="65"/>
  <c r="AE51" i="65" s="1"/>
  <c r="D51" i="65"/>
  <c r="BM49" i="65"/>
  <c r="BL49" i="65"/>
  <c r="BK49" i="65"/>
  <c r="AB49" i="65" s="1"/>
  <c r="BJ49" i="65"/>
  <c r="BI49" i="65"/>
  <c r="BH49" i="65"/>
  <c r="BF49" i="65"/>
  <c r="BE49" i="65"/>
  <c r="BB49" i="65"/>
  <c r="BA49" i="65" s="1"/>
  <c r="AZ49" i="65"/>
  <c r="AY49" i="65"/>
  <c r="AX49" i="65"/>
  <c r="AW49" i="65"/>
  <c r="AV49" i="65"/>
  <c r="AU49" i="65"/>
  <c r="AR49" i="65"/>
  <c r="AQ49" i="65"/>
  <c r="AP49" i="65"/>
  <c r="AO49" i="65"/>
  <c r="AN49" i="65"/>
  <c r="AL49" i="65"/>
  <c r="E49" i="65" s="1"/>
  <c r="AE49" i="65" s="1"/>
  <c r="AK49" i="65"/>
  <c r="AI49" i="65"/>
  <c r="AG49" i="65"/>
  <c r="U49" i="65"/>
  <c r="S49" i="65"/>
  <c r="O49" i="65"/>
  <c r="K49" i="65"/>
  <c r="D49" i="65"/>
  <c r="BM47" i="65"/>
  <c r="BL47" i="65"/>
  <c r="BK47" i="65"/>
  <c r="AB47" i="65" s="1"/>
  <c r="AT47" i="65" s="1"/>
  <c r="BJ47" i="65"/>
  <c r="BI47" i="65"/>
  <c r="BH47" i="65"/>
  <c r="BF47" i="65"/>
  <c r="BE47" i="65"/>
  <c r="BB47" i="65"/>
  <c r="BA47" i="65"/>
  <c r="AZ47" i="65"/>
  <c r="AY47" i="65"/>
  <c r="AX47" i="65"/>
  <c r="AW47" i="65"/>
  <c r="AV47" i="65"/>
  <c r="AU47" i="65"/>
  <c r="AR47" i="65"/>
  <c r="AQ47" i="65"/>
  <c r="AP47" i="65"/>
  <c r="AO47" i="65"/>
  <c r="AN47" i="65"/>
  <c r="AL47" i="65"/>
  <c r="E47" i="65" s="1"/>
  <c r="AE47" i="65" s="1"/>
  <c r="AK47" i="65"/>
  <c r="AI47" i="65"/>
  <c r="U47" i="65"/>
  <c r="D47" i="65"/>
  <c r="BM45" i="65"/>
  <c r="BL45" i="65"/>
  <c r="BK45" i="65"/>
  <c r="AB45" i="65" s="1"/>
  <c r="AT45" i="65" s="1"/>
  <c r="BJ45" i="65"/>
  <c r="BI45" i="65"/>
  <c r="BH45" i="65"/>
  <c r="BF45" i="65"/>
  <c r="BE45" i="65"/>
  <c r="BB45" i="65"/>
  <c r="BA45" i="65" s="1"/>
  <c r="AZ45" i="65"/>
  <c r="AY45" i="65"/>
  <c r="AX45" i="65"/>
  <c r="AW45" i="65"/>
  <c r="AV45" i="65"/>
  <c r="AU45" i="65"/>
  <c r="AR45" i="65"/>
  <c r="AQ45" i="65"/>
  <c r="AP45" i="65"/>
  <c r="AO45" i="65"/>
  <c r="AN45" i="65"/>
  <c r="AL45" i="65"/>
  <c r="AK45" i="65"/>
  <c r="AI45" i="65"/>
  <c r="AA45" i="65"/>
  <c r="W45" i="65"/>
  <c r="U45" i="65"/>
  <c r="E45" i="65"/>
  <c r="D45" i="65"/>
  <c r="BM43" i="65"/>
  <c r="BL43" i="65"/>
  <c r="BK43" i="65"/>
  <c r="AB43" i="65" s="1"/>
  <c r="BJ43" i="65"/>
  <c r="BI43" i="65"/>
  <c r="BH43" i="65"/>
  <c r="BF43" i="65"/>
  <c r="BE43" i="65"/>
  <c r="BB43" i="65"/>
  <c r="BA43" i="65" s="1"/>
  <c r="AZ43" i="65"/>
  <c r="AY43" i="65"/>
  <c r="AX43" i="65"/>
  <c r="AW43" i="65"/>
  <c r="AV43" i="65"/>
  <c r="AU43" i="65"/>
  <c r="AR43" i="65"/>
  <c r="AQ43" i="65"/>
  <c r="AP43" i="65"/>
  <c r="AO43" i="65"/>
  <c r="AN43" i="65"/>
  <c r="AL43" i="65"/>
  <c r="AK43" i="65"/>
  <c r="AI43" i="65"/>
  <c r="U43" i="65"/>
  <c r="E43" i="65"/>
  <c r="AE43" i="65" s="1"/>
  <c r="D43" i="65"/>
  <c r="BM41" i="65"/>
  <c r="BL41" i="65"/>
  <c r="BK41" i="65"/>
  <c r="AB41" i="65" s="1"/>
  <c r="BJ41" i="65"/>
  <c r="BI41" i="65"/>
  <c r="BH41" i="65"/>
  <c r="BF41" i="65"/>
  <c r="BE41" i="65"/>
  <c r="BB41" i="65"/>
  <c r="BA41" i="65" s="1"/>
  <c r="AZ41" i="65"/>
  <c r="AY41" i="65"/>
  <c r="AX41" i="65"/>
  <c r="AW41" i="65"/>
  <c r="AV41" i="65"/>
  <c r="AU41" i="65"/>
  <c r="AR41" i="65"/>
  <c r="AQ41" i="65"/>
  <c r="AP41" i="65"/>
  <c r="AO41" i="65"/>
  <c r="AN41" i="65"/>
  <c r="AL41" i="65"/>
  <c r="E41" i="65" s="1"/>
  <c r="AK41" i="65"/>
  <c r="AI41" i="65"/>
  <c r="U41" i="65"/>
  <c r="D41" i="65"/>
  <c r="BM39" i="65"/>
  <c r="BL39" i="65"/>
  <c r="BK39" i="65"/>
  <c r="AB39" i="65" s="1"/>
  <c r="BJ39" i="65"/>
  <c r="BI39" i="65"/>
  <c r="BH39" i="65"/>
  <c r="BF39" i="65"/>
  <c r="BE39" i="65"/>
  <c r="BB39" i="65"/>
  <c r="BA39" i="65" s="1"/>
  <c r="AZ39" i="65"/>
  <c r="AY39" i="65"/>
  <c r="AX39" i="65"/>
  <c r="AW39" i="65"/>
  <c r="AV39" i="65"/>
  <c r="AU39" i="65"/>
  <c r="AR39" i="65"/>
  <c r="AQ39" i="65"/>
  <c r="AP39" i="65"/>
  <c r="AO39" i="65"/>
  <c r="AN39" i="65"/>
  <c r="AL39" i="65"/>
  <c r="AK39" i="65"/>
  <c r="AI39" i="65"/>
  <c r="U39" i="65"/>
  <c r="E39" i="65"/>
  <c r="AE39" i="65" s="1"/>
  <c r="D39" i="65"/>
  <c r="BM37" i="65"/>
  <c r="BL37" i="65"/>
  <c r="BK37" i="65"/>
  <c r="AB37" i="65" s="1"/>
  <c r="AT37" i="65" s="1"/>
  <c r="BJ37" i="65"/>
  <c r="BI37" i="65"/>
  <c r="BH37" i="65"/>
  <c r="BF37" i="65"/>
  <c r="BE37" i="65"/>
  <c r="BB37" i="65"/>
  <c r="BA37" i="65" s="1"/>
  <c r="AZ37" i="65"/>
  <c r="AY37" i="65"/>
  <c r="AX37" i="65"/>
  <c r="AW37" i="65"/>
  <c r="AV37" i="65"/>
  <c r="AU37" i="65"/>
  <c r="AR37" i="65"/>
  <c r="AQ37" i="65"/>
  <c r="AP37" i="65"/>
  <c r="AO37" i="65"/>
  <c r="AN37" i="65"/>
  <c r="AL37" i="65"/>
  <c r="AK37" i="65"/>
  <c r="AI37" i="65"/>
  <c r="U37" i="65"/>
  <c r="E37" i="65"/>
  <c r="D37" i="65"/>
  <c r="BM35" i="65"/>
  <c r="BL35" i="65"/>
  <c r="BK35" i="65"/>
  <c r="AB35" i="65" s="1"/>
  <c r="BJ35" i="65"/>
  <c r="BI35" i="65"/>
  <c r="BH35" i="65"/>
  <c r="BF35" i="65"/>
  <c r="BE35" i="65"/>
  <c r="BB35" i="65"/>
  <c r="BA35" i="65" s="1"/>
  <c r="AZ35" i="65"/>
  <c r="AY35" i="65"/>
  <c r="AX35" i="65"/>
  <c r="AW35" i="65"/>
  <c r="AV35" i="65"/>
  <c r="AU35" i="65"/>
  <c r="AR35" i="65"/>
  <c r="AQ35" i="65"/>
  <c r="AP35" i="65"/>
  <c r="AO35" i="65"/>
  <c r="AN35" i="65"/>
  <c r="AN8" i="65" s="1"/>
  <c r="AL35" i="65"/>
  <c r="AK35" i="65"/>
  <c r="AI35" i="65"/>
  <c r="U35" i="65"/>
  <c r="E35" i="65"/>
  <c r="AE35" i="65" s="1"/>
  <c r="D35" i="65"/>
  <c r="BM33" i="65"/>
  <c r="BL33" i="65"/>
  <c r="BK33" i="65"/>
  <c r="AB33" i="65" s="1"/>
  <c r="BJ33" i="65"/>
  <c r="BI33" i="65"/>
  <c r="BH33" i="65"/>
  <c r="BF33" i="65"/>
  <c r="BE33" i="65"/>
  <c r="BB33" i="65"/>
  <c r="BA33" i="65" s="1"/>
  <c r="AZ33" i="65"/>
  <c r="AY33" i="65"/>
  <c r="AX33" i="65"/>
  <c r="AW33" i="65"/>
  <c r="AV33" i="65"/>
  <c r="AU33" i="65"/>
  <c r="AR33" i="65"/>
  <c r="AQ33" i="65"/>
  <c r="AP33" i="65"/>
  <c r="AO33" i="65"/>
  <c r="AN33" i="65"/>
  <c r="AL33" i="65"/>
  <c r="AK33" i="65"/>
  <c r="AI33" i="65"/>
  <c r="AG33" i="65"/>
  <c r="U33" i="65"/>
  <c r="K33" i="65"/>
  <c r="E33" i="65"/>
  <c r="AE33" i="65" s="1"/>
  <c r="D33" i="65"/>
  <c r="BM31" i="65"/>
  <c r="BL31" i="65"/>
  <c r="BK31" i="65"/>
  <c r="AB31" i="65" s="1"/>
  <c r="BJ31" i="65"/>
  <c r="BI31" i="65"/>
  <c r="BH31" i="65"/>
  <c r="BF31" i="65"/>
  <c r="BE31" i="65"/>
  <c r="BB31" i="65"/>
  <c r="BA31" i="65"/>
  <c r="AZ31" i="65"/>
  <c r="AY31" i="65"/>
  <c r="AX31" i="65"/>
  <c r="AW31" i="65"/>
  <c r="AV31" i="65"/>
  <c r="AU31" i="65"/>
  <c r="AR31" i="65"/>
  <c r="AQ31" i="65"/>
  <c r="AP31" i="65"/>
  <c r="AO31" i="65"/>
  <c r="AN31" i="65"/>
  <c r="AL31" i="65"/>
  <c r="E31" i="65" s="1"/>
  <c r="AE31" i="65" s="1"/>
  <c r="AK31" i="65"/>
  <c r="AI31" i="65"/>
  <c r="U31" i="65"/>
  <c r="D31" i="65"/>
  <c r="BM29" i="65"/>
  <c r="BL29" i="65"/>
  <c r="BK29" i="65"/>
  <c r="AB29" i="65" s="1"/>
  <c r="AT29" i="65" s="1"/>
  <c r="BJ29" i="65"/>
  <c r="BI29" i="65"/>
  <c r="BH29" i="65"/>
  <c r="BF29" i="65"/>
  <c r="BE29" i="65"/>
  <c r="BB29" i="65"/>
  <c r="BA29" i="65" s="1"/>
  <c r="AZ29" i="65"/>
  <c r="AY29" i="65"/>
  <c r="AX29" i="65"/>
  <c r="AW29" i="65"/>
  <c r="AV29" i="65"/>
  <c r="AU29" i="65"/>
  <c r="AR29" i="65"/>
  <c r="AQ29" i="65"/>
  <c r="AP29" i="65"/>
  <c r="AO29" i="65"/>
  <c r="AN29" i="65"/>
  <c r="AL29" i="65"/>
  <c r="E29" i="65" s="1"/>
  <c r="AK29" i="65"/>
  <c r="AI29" i="65"/>
  <c r="U29" i="65"/>
  <c r="D29" i="65"/>
  <c r="BM27" i="65"/>
  <c r="BL27" i="65"/>
  <c r="BK27" i="65"/>
  <c r="AB27" i="65" s="1"/>
  <c r="BJ27" i="65"/>
  <c r="BI27" i="65"/>
  <c r="BH27" i="65"/>
  <c r="BF27" i="65"/>
  <c r="BE27" i="65"/>
  <c r="BB27" i="65"/>
  <c r="BA27" i="65" s="1"/>
  <c r="AZ27" i="65"/>
  <c r="AY27" i="65"/>
  <c r="AX27" i="65"/>
  <c r="AW27" i="65"/>
  <c r="AV27" i="65"/>
  <c r="AU27" i="65"/>
  <c r="AR27" i="65"/>
  <c r="AQ27" i="65"/>
  <c r="AP27" i="65"/>
  <c r="AO27" i="65"/>
  <c r="AN27" i="65"/>
  <c r="AL27" i="65"/>
  <c r="E27" i="65" s="1"/>
  <c r="AE27" i="65" s="1"/>
  <c r="AK27" i="65"/>
  <c r="AI27" i="65"/>
  <c r="U27" i="65"/>
  <c r="D27" i="65"/>
  <c r="BM25" i="65"/>
  <c r="BL25" i="65"/>
  <c r="BK25" i="65"/>
  <c r="AB25" i="65" s="1"/>
  <c r="BJ25" i="65"/>
  <c r="BI25" i="65"/>
  <c r="BH25" i="65"/>
  <c r="BF25" i="65"/>
  <c r="BE25" i="65"/>
  <c r="BB25" i="65"/>
  <c r="BA25" i="65" s="1"/>
  <c r="AZ25" i="65"/>
  <c r="AY25" i="65"/>
  <c r="AX25" i="65"/>
  <c r="AW25" i="65"/>
  <c r="AV25" i="65"/>
  <c r="AU25" i="65"/>
  <c r="AR25" i="65"/>
  <c r="AQ25" i="65"/>
  <c r="AP25" i="65"/>
  <c r="AO25" i="65"/>
  <c r="AN25" i="65"/>
  <c r="AL25" i="65"/>
  <c r="AK25" i="65"/>
  <c r="AI25" i="65"/>
  <c r="AA25" i="65"/>
  <c r="W25" i="65"/>
  <c r="U25" i="65"/>
  <c r="S25" i="65"/>
  <c r="K25" i="65"/>
  <c r="E25" i="65"/>
  <c r="AG25" i="65" s="1"/>
  <c r="D25" i="65"/>
  <c r="BM23" i="65"/>
  <c r="BL23" i="65"/>
  <c r="BK23" i="65"/>
  <c r="AB23" i="65" s="1"/>
  <c r="BD23" i="65" s="1"/>
  <c r="BJ23" i="65"/>
  <c r="BI23" i="65"/>
  <c r="BH23" i="65"/>
  <c r="BF23" i="65"/>
  <c r="BE23" i="65"/>
  <c r="BB23" i="65"/>
  <c r="BA23" i="65"/>
  <c r="AZ23" i="65"/>
  <c r="AY23" i="65"/>
  <c r="AX23" i="65"/>
  <c r="AW23" i="65"/>
  <c r="AV23" i="65"/>
  <c r="AU23" i="65"/>
  <c r="AR23" i="65"/>
  <c r="AQ23" i="65"/>
  <c r="AP23" i="65"/>
  <c r="AO23" i="65"/>
  <c r="AN23" i="65"/>
  <c r="AL23" i="65"/>
  <c r="AK23" i="65"/>
  <c r="AI23" i="65"/>
  <c r="U23" i="65"/>
  <c r="E23" i="65"/>
  <c r="AE23" i="65" s="1"/>
  <c r="D23" i="65"/>
  <c r="BM21" i="65"/>
  <c r="BL21" i="65"/>
  <c r="BK21" i="65"/>
  <c r="AB21" i="65" s="1"/>
  <c r="BJ21" i="65"/>
  <c r="BI21" i="65"/>
  <c r="BH21" i="65"/>
  <c r="BF21" i="65"/>
  <c r="BE21" i="65"/>
  <c r="BB21" i="65"/>
  <c r="BA21" i="65" s="1"/>
  <c r="AZ21" i="65"/>
  <c r="AY21" i="65"/>
  <c r="AX21" i="65"/>
  <c r="AW21" i="65"/>
  <c r="AV21" i="65"/>
  <c r="AU21" i="65"/>
  <c r="AR21" i="65"/>
  <c r="AQ21" i="65"/>
  <c r="AP21" i="65"/>
  <c r="AO21" i="65"/>
  <c r="AN21" i="65"/>
  <c r="AL21" i="65"/>
  <c r="E21" i="65" s="1"/>
  <c r="AK21" i="65"/>
  <c r="AI21" i="65"/>
  <c r="U21" i="65"/>
  <c r="D21" i="65"/>
  <c r="BM19" i="65"/>
  <c r="BL19" i="65"/>
  <c r="BK19" i="65"/>
  <c r="AB19" i="65" s="1"/>
  <c r="AM19" i="65" s="1"/>
  <c r="BJ19" i="65"/>
  <c r="BI19" i="65"/>
  <c r="BH19" i="65"/>
  <c r="BF19" i="65"/>
  <c r="BE19" i="65"/>
  <c r="BB19" i="65"/>
  <c r="BA19" i="65"/>
  <c r="AZ19" i="65"/>
  <c r="AY19" i="65"/>
  <c r="AX19" i="65"/>
  <c r="AW19" i="65"/>
  <c r="AV19" i="65"/>
  <c r="AU19" i="65"/>
  <c r="AR19" i="65"/>
  <c r="AQ19" i="65"/>
  <c r="AP19" i="65"/>
  <c r="AO19" i="65"/>
  <c r="AN19" i="65"/>
  <c r="AL19" i="65"/>
  <c r="E19" i="65" s="1"/>
  <c r="AE19" i="65" s="1"/>
  <c r="AK19" i="65"/>
  <c r="AI19" i="65"/>
  <c r="U19" i="65"/>
  <c r="D19" i="65"/>
  <c r="BM17" i="65"/>
  <c r="BL17" i="65"/>
  <c r="BK17" i="65"/>
  <c r="AB17" i="65" s="1"/>
  <c r="AT17" i="65" s="1"/>
  <c r="BJ17" i="65"/>
  <c r="BI17" i="65"/>
  <c r="BH17" i="65"/>
  <c r="BF17" i="65"/>
  <c r="BE17" i="65"/>
  <c r="BB17" i="65"/>
  <c r="BA17" i="65" s="1"/>
  <c r="AZ17" i="65"/>
  <c r="AY17" i="65"/>
  <c r="AX17" i="65"/>
  <c r="AW17" i="65"/>
  <c r="AV17" i="65"/>
  <c r="AU17" i="65"/>
  <c r="AU8" i="65" s="1"/>
  <c r="E13" i="12" s="1"/>
  <c r="AR17" i="65"/>
  <c r="AQ17" i="65"/>
  <c r="AP17" i="65"/>
  <c r="AO17" i="65"/>
  <c r="AN17" i="65"/>
  <c r="AL17" i="65"/>
  <c r="AK17" i="65"/>
  <c r="AI17" i="65"/>
  <c r="AA17" i="65"/>
  <c r="U17" i="65"/>
  <c r="E17" i="65"/>
  <c r="AE17" i="65" s="1"/>
  <c r="D17" i="65"/>
  <c r="BM15" i="65"/>
  <c r="BL15" i="65"/>
  <c r="BK15" i="65"/>
  <c r="AB15" i="65" s="1"/>
  <c r="BD15" i="65" s="1"/>
  <c r="BJ15" i="65"/>
  <c r="BI15" i="65"/>
  <c r="BH15" i="65"/>
  <c r="BF15" i="65"/>
  <c r="BE15" i="65"/>
  <c r="BB15" i="65"/>
  <c r="BA15" i="65"/>
  <c r="AZ15" i="65"/>
  <c r="AY15" i="65"/>
  <c r="AX15" i="65"/>
  <c r="AW15" i="65"/>
  <c r="AV15" i="65"/>
  <c r="AU15" i="65"/>
  <c r="AR15" i="65"/>
  <c r="AQ15" i="65"/>
  <c r="AP15" i="65"/>
  <c r="AO15" i="65"/>
  <c r="AN15" i="65"/>
  <c r="AL15" i="65"/>
  <c r="E15" i="65" s="1"/>
  <c r="AG15" i="65" s="1"/>
  <c r="AK15" i="65"/>
  <c r="AI15" i="65"/>
  <c r="U15" i="65"/>
  <c r="D15" i="65"/>
  <c r="BM13" i="65"/>
  <c r="BL13" i="65"/>
  <c r="BK13" i="65"/>
  <c r="AB13" i="65" s="1"/>
  <c r="BD13" i="65" s="1"/>
  <c r="BJ13" i="65"/>
  <c r="BI13" i="65"/>
  <c r="BH13" i="65"/>
  <c r="BF13" i="65"/>
  <c r="BE13" i="65"/>
  <c r="BB13" i="65"/>
  <c r="BA13" i="65" s="1"/>
  <c r="AZ13" i="65"/>
  <c r="AZ8" i="65" s="1"/>
  <c r="AY13" i="65"/>
  <c r="AX13" i="65"/>
  <c r="AW13" i="65"/>
  <c r="AV13" i="65"/>
  <c r="AU13" i="65"/>
  <c r="AR13" i="65"/>
  <c r="AQ13" i="65"/>
  <c r="AP13" i="65"/>
  <c r="AP8" i="65" s="1"/>
  <c r="AO13" i="65"/>
  <c r="AN13" i="65"/>
  <c r="AL13" i="65"/>
  <c r="E13" i="65" s="1"/>
  <c r="AG13" i="65" s="1"/>
  <c r="AK13" i="65"/>
  <c r="AI13" i="65"/>
  <c r="U13" i="65"/>
  <c r="D13" i="65"/>
  <c r="BO12" i="65"/>
  <c r="BC9" i="65"/>
  <c r="AS8" i="65"/>
  <c r="AD3" i="65"/>
  <c r="AB3" i="65"/>
  <c r="C54" i="11"/>
  <c r="C52" i="11"/>
  <c r="C50" i="11"/>
  <c r="C48" i="11"/>
  <c r="C46" i="11"/>
  <c r="C44" i="11"/>
  <c r="C42" i="11"/>
  <c r="C40" i="11"/>
  <c r="C38" i="11"/>
  <c r="C36" i="11"/>
  <c r="B13" i="11"/>
  <c r="B15" i="11" s="1"/>
  <c r="B17" i="11" s="1"/>
  <c r="B22" i="11" s="1"/>
  <c r="B24" i="11" s="1"/>
  <c r="B26" i="11" s="1"/>
  <c r="B28" i="11" s="1"/>
  <c r="B30" i="11" s="1"/>
  <c r="B36" i="11" s="1"/>
  <c r="B38" i="11" s="1"/>
  <c r="B40" i="11" s="1"/>
  <c r="B42" i="11" s="1"/>
  <c r="B44" i="11" s="1"/>
  <c r="B46" i="11" s="1"/>
  <c r="B48" i="11" s="1"/>
  <c r="B50" i="11" s="1"/>
  <c r="B52" i="11" s="1"/>
  <c r="B54" i="11" s="1"/>
  <c r="B7" i="11"/>
  <c r="S179" i="10"/>
  <c r="S178" i="10"/>
  <c r="S177" i="10"/>
  <c r="S176" i="10"/>
  <c r="S175" i="10"/>
  <c r="S174" i="10"/>
  <c r="S173" i="10"/>
  <c r="C173" i="10"/>
  <c r="B173" i="10"/>
  <c r="S172" i="10"/>
  <c r="S171" i="10"/>
  <c r="C171" i="10"/>
  <c r="B171" i="10"/>
  <c r="S170" i="10"/>
  <c r="S169" i="10"/>
  <c r="C169" i="10"/>
  <c r="B169" i="10"/>
  <c r="S168" i="10"/>
  <c r="S167" i="10"/>
  <c r="C167" i="10"/>
  <c r="B167" i="10"/>
  <c r="S166" i="10"/>
  <c r="S165" i="10"/>
  <c r="C165" i="10"/>
  <c r="B165" i="10"/>
  <c r="S164" i="10"/>
  <c r="S163" i="10"/>
  <c r="C163" i="10"/>
  <c r="B163" i="10"/>
  <c r="S162" i="10"/>
  <c r="S161" i="10"/>
  <c r="C161" i="10"/>
  <c r="B161" i="10"/>
  <c r="S160" i="10"/>
  <c r="S159" i="10"/>
  <c r="C159" i="10"/>
  <c r="B159" i="10"/>
  <c r="S158" i="10"/>
  <c r="C158" i="10"/>
  <c r="B158" i="10"/>
  <c r="S157" i="10"/>
  <c r="S156" i="10"/>
  <c r="C156" i="10"/>
  <c r="AK23" i="15" s="1"/>
  <c r="B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B94" i="10"/>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S8" i="10"/>
  <c r="S7" i="10"/>
  <c r="H50" i="12"/>
  <c r="H49" i="12"/>
  <c r="H48" i="12"/>
  <c r="H47" i="12"/>
  <c r="H46" i="12"/>
  <c r="H39" i="12"/>
  <c r="H37" i="12"/>
  <c r="E37" i="12"/>
  <c r="D37" i="12"/>
  <c r="H36" i="12"/>
  <c r="E36" i="12"/>
  <c r="D36" i="12"/>
  <c r="C36" i="12"/>
  <c r="E35" i="12"/>
  <c r="D35" i="12"/>
  <c r="C35" i="12"/>
  <c r="H34" i="12"/>
  <c r="E34" i="12"/>
  <c r="D34" i="12"/>
  <c r="C34" i="12"/>
  <c r="E33" i="12"/>
  <c r="D33" i="12"/>
  <c r="C33" i="12"/>
  <c r="E32" i="12"/>
  <c r="D32" i="12"/>
  <c r="C32" i="12"/>
  <c r="E31" i="12"/>
  <c r="D31" i="12"/>
  <c r="D30" i="12"/>
  <c r="C30" i="12"/>
  <c r="E29" i="12"/>
  <c r="E28" i="12"/>
  <c r="D28" i="12"/>
  <c r="H17" i="12"/>
  <c r="D17" i="12"/>
  <c r="M9" i="12"/>
  <c r="L9" i="12"/>
  <c r="K9" i="12"/>
  <c r="I137" i="58"/>
  <c r="H137" i="58"/>
  <c r="F137" i="58"/>
  <c r="E137" i="58"/>
  <c r="B137" i="58"/>
  <c r="I136" i="58"/>
  <c r="H136" i="58"/>
  <c r="F136" i="58"/>
  <c r="E136" i="58"/>
  <c r="B136" i="58"/>
  <c r="I135" i="58"/>
  <c r="H135" i="58"/>
  <c r="F135" i="58"/>
  <c r="E135" i="58"/>
  <c r="B135" i="58"/>
  <c r="I134" i="58"/>
  <c r="H134" i="58"/>
  <c r="F134" i="58"/>
  <c r="E134" i="58"/>
  <c r="B134" i="58"/>
  <c r="I133" i="58"/>
  <c r="H133" i="58"/>
  <c r="F133" i="58"/>
  <c r="E133" i="58"/>
  <c r="B133" i="58"/>
  <c r="I132" i="58"/>
  <c r="H132" i="58"/>
  <c r="F132" i="58"/>
  <c r="E132" i="58"/>
  <c r="B132" i="58"/>
  <c r="I131" i="58"/>
  <c r="H131" i="58"/>
  <c r="F131" i="58"/>
  <c r="E131" i="58"/>
  <c r="B131" i="58"/>
  <c r="I130" i="58"/>
  <c r="H130" i="58"/>
  <c r="F130" i="58"/>
  <c r="E130" i="58"/>
  <c r="B130" i="58"/>
  <c r="I129" i="58"/>
  <c r="H129" i="58"/>
  <c r="F129" i="58"/>
  <c r="E129" i="58"/>
  <c r="B129" i="58"/>
  <c r="I128" i="58"/>
  <c r="H128" i="58"/>
  <c r="F128" i="58"/>
  <c r="E128" i="58"/>
  <c r="B128" i="58"/>
  <c r="I127" i="58"/>
  <c r="H127" i="58"/>
  <c r="F127" i="58"/>
  <c r="E127" i="58"/>
  <c r="B127" i="58"/>
  <c r="I126" i="58"/>
  <c r="H126" i="58"/>
  <c r="F126" i="58"/>
  <c r="E126" i="58"/>
  <c r="B126" i="58"/>
  <c r="I125" i="58"/>
  <c r="H125" i="58"/>
  <c r="F125" i="58"/>
  <c r="E125" i="58"/>
  <c r="B125" i="58"/>
  <c r="I124" i="58"/>
  <c r="H124" i="58"/>
  <c r="F124" i="58"/>
  <c r="E124" i="58"/>
  <c r="B124" i="58"/>
  <c r="I123" i="58"/>
  <c r="H123" i="58"/>
  <c r="F123" i="58"/>
  <c r="E123" i="58"/>
  <c r="B123" i="58"/>
  <c r="M120" i="58"/>
  <c r="K120" i="58"/>
  <c r="J120" i="58"/>
  <c r="F120" i="58"/>
  <c r="E120" i="58"/>
  <c r="B120" i="58"/>
  <c r="M119" i="58"/>
  <c r="K119" i="58"/>
  <c r="J119" i="58"/>
  <c r="F119" i="58"/>
  <c r="E119" i="58"/>
  <c r="B119" i="58"/>
  <c r="K118" i="58"/>
  <c r="J118" i="58"/>
  <c r="F118" i="58"/>
  <c r="E118" i="58"/>
  <c r="B118" i="58"/>
  <c r="K117" i="58"/>
  <c r="J117" i="58"/>
  <c r="F117" i="58"/>
  <c r="E117" i="58"/>
  <c r="B117" i="58"/>
  <c r="B116" i="58"/>
  <c r="K115" i="58"/>
  <c r="J115" i="58"/>
  <c r="F115" i="58"/>
  <c r="E115" i="58"/>
  <c r="B115" i="58"/>
  <c r="K114" i="58"/>
  <c r="J114" i="58"/>
  <c r="F114" i="58"/>
  <c r="E114" i="58"/>
  <c r="B114" i="58"/>
  <c r="M113" i="58"/>
  <c r="K113" i="58"/>
  <c r="J113" i="58"/>
  <c r="F113" i="58"/>
  <c r="E113" i="58"/>
  <c r="B113" i="58"/>
  <c r="M112" i="58"/>
  <c r="K112" i="58"/>
  <c r="J112" i="58"/>
  <c r="F112" i="58"/>
  <c r="E112" i="58"/>
  <c r="B112" i="58"/>
  <c r="K111" i="58"/>
  <c r="J111" i="58"/>
  <c r="F111" i="58"/>
  <c r="E111" i="58"/>
  <c r="B111" i="58"/>
  <c r="M110" i="58"/>
  <c r="K110" i="58"/>
  <c r="J110" i="58"/>
  <c r="F110" i="58"/>
  <c r="E110" i="58"/>
  <c r="B110" i="58"/>
  <c r="K109" i="58"/>
  <c r="J109" i="58"/>
  <c r="F109" i="58"/>
  <c r="E109" i="58"/>
  <c r="B109" i="58"/>
  <c r="M108" i="58"/>
  <c r="K108" i="58"/>
  <c r="J108" i="58"/>
  <c r="F108" i="58"/>
  <c r="E108" i="58"/>
  <c r="B108" i="58"/>
  <c r="M107" i="58"/>
  <c r="K107" i="58"/>
  <c r="J107" i="58"/>
  <c r="I107" i="58"/>
  <c r="H107" i="58"/>
  <c r="F107" i="58"/>
  <c r="E107" i="58"/>
  <c r="B107" i="58"/>
  <c r="M106" i="58"/>
  <c r="K106" i="58"/>
  <c r="J106" i="58"/>
  <c r="F106" i="58"/>
  <c r="E106" i="58"/>
  <c r="B106" i="58"/>
  <c r="K105" i="58"/>
  <c r="J105" i="58"/>
  <c r="F105" i="58"/>
  <c r="E105" i="58"/>
  <c r="B105" i="58"/>
  <c r="K104" i="58"/>
  <c r="J104" i="58"/>
  <c r="F104" i="58"/>
  <c r="E104" i="58"/>
  <c r="B104" i="58"/>
  <c r="M103" i="58"/>
  <c r="K103" i="58"/>
  <c r="J103" i="58"/>
  <c r="F103" i="58"/>
  <c r="E103" i="58"/>
  <c r="B103" i="58"/>
  <c r="M102" i="58"/>
  <c r="K102" i="58"/>
  <c r="J102" i="58"/>
  <c r="F102" i="58"/>
  <c r="E102" i="58"/>
  <c r="B102" i="58"/>
  <c r="M101" i="58"/>
  <c r="K101" i="58"/>
  <c r="J101" i="58"/>
  <c r="F101" i="58"/>
  <c r="E101" i="58"/>
  <c r="B101" i="58"/>
  <c r="K100" i="58"/>
  <c r="J100" i="58"/>
  <c r="F100" i="58"/>
  <c r="E100" i="58"/>
  <c r="B100" i="58"/>
  <c r="M99" i="58"/>
  <c r="K99" i="58"/>
  <c r="J99" i="58"/>
  <c r="F99" i="58"/>
  <c r="E99" i="58"/>
  <c r="B99" i="58"/>
  <c r="K96" i="58"/>
  <c r="J96" i="58"/>
  <c r="H96" i="58"/>
  <c r="G96" i="58"/>
  <c r="K95" i="58"/>
  <c r="J95" i="58"/>
  <c r="H95" i="58"/>
  <c r="G95" i="58"/>
  <c r="K94" i="58"/>
  <c r="J94" i="58"/>
  <c r="H94" i="58"/>
  <c r="G94" i="58"/>
  <c r="K91" i="58"/>
  <c r="J91" i="58"/>
  <c r="H91" i="58"/>
  <c r="G91" i="58"/>
  <c r="K90" i="58"/>
  <c r="J90" i="58"/>
  <c r="H90" i="58"/>
  <c r="G90" i="58"/>
  <c r="K89" i="58"/>
  <c r="J89" i="58"/>
  <c r="H89" i="58"/>
  <c r="G89" i="58"/>
  <c r="K88" i="58"/>
  <c r="J88" i="58"/>
  <c r="H88" i="58"/>
  <c r="G88" i="58"/>
  <c r="K87" i="58"/>
  <c r="J87" i="58"/>
  <c r="H87" i="58"/>
  <c r="G87" i="58"/>
  <c r="K86" i="58"/>
  <c r="J86" i="58"/>
  <c r="H86" i="58"/>
  <c r="G86" i="58"/>
  <c r="K85" i="58"/>
  <c r="J85" i="58"/>
  <c r="H85" i="58"/>
  <c r="G85" i="58"/>
  <c r="K84" i="58"/>
  <c r="J84" i="58"/>
  <c r="H84" i="58"/>
  <c r="G84" i="58"/>
  <c r="K83" i="58"/>
  <c r="J83" i="58"/>
  <c r="H83" i="58"/>
  <c r="G83" i="58"/>
  <c r="K82" i="58"/>
  <c r="J82" i="58"/>
  <c r="H82" i="58"/>
  <c r="G82" i="58"/>
  <c r="Q81" i="58"/>
  <c r="K81" i="58"/>
  <c r="J81" i="58"/>
  <c r="H81" i="58"/>
  <c r="G81" i="58"/>
  <c r="D81" i="58"/>
  <c r="Q80" i="58"/>
  <c r="K80" i="58"/>
  <c r="J80" i="58"/>
  <c r="H80" i="58"/>
  <c r="G80" i="58"/>
  <c r="D80" i="58"/>
  <c r="Q79" i="58"/>
  <c r="M79" i="58"/>
  <c r="L79" i="58"/>
  <c r="K79" i="58"/>
  <c r="J79" i="58"/>
  <c r="H79" i="58"/>
  <c r="G79" i="58"/>
  <c r="E79" i="58"/>
  <c r="D79" i="58"/>
  <c r="Q78" i="58"/>
  <c r="K78" i="58"/>
  <c r="J78" i="58"/>
  <c r="H78" i="58"/>
  <c r="G78" i="58"/>
  <c r="E78" i="58"/>
  <c r="BM204" i="54" s="1"/>
  <c r="D78" i="58"/>
  <c r="Q77" i="58"/>
  <c r="K77" i="58"/>
  <c r="J77" i="58"/>
  <c r="H77" i="58"/>
  <c r="G77" i="58"/>
  <c r="E77" i="58"/>
  <c r="D77" i="58"/>
  <c r="Q76" i="58"/>
  <c r="K76" i="58"/>
  <c r="J76" i="58"/>
  <c r="H76" i="58"/>
  <c r="G76" i="58"/>
  <c r="E76" i="58"/>
  <c r="D76" i="58"/>
  <c r="Q75" i="58"/>
  <c r="K75" i="58"/>
  <c r="J75" i="58"/>
  <c r="H75" i="58"/>
  <c r="G75" i="58"/>
  <c r="E75" i="58"/>
  <c r="D75" i="58"/>
  <c r="Q74" i="58"/>
  <c r="K74" i="58"/>
  <c r="J74" i="58"/>
  <c r="H74" i="58"/>
  <c r="G74" i="58"/>
  <c r="E74" i="58"/>
  <c r="D74" i="58"/>
  <c r="Q73" i="58"/>
  <c r="K73" i="58"/>
  <c r="J73" i="58"/>
  <c r="H73" i="58"/>
  <c r="G73" i="58"/>
  <c r="E73" i="58"/>
  <c r="D73" i="58"/>
  <c r="Q72" i="58"/>
  <c r="K72" i="58"/>
  <c r="J72" i="58"/>
  <c r="H72" i="58"/>
  <c r="G72" i="58"/>
  <c r="E72" i="58"/>
  <c r="D72" i="58"/>
  <c r="Q71" i="58"/>
  <c r="K71" i="58"/>
  <c r="J71" i="58"/>
  <c r="H71" i="58"/>
  <c r="G71" i="58"/>
  <c r="E71" i="58"/>
  <c r="D71" i="58"/>
  <c r="K70" i="58"/>
  <c r="J70" i="58"/>
  <c r="H70" i="58"/>
  <c r="G70" i="58"/>
  <c r="K69" i="58"/>
  <c r="J69" i="58"/>
  <c r="H69" i="58"/>
  <c r="G69" i="58"/>
  <c r="K68" i="58"/>
  <c r="J68" i="58"/>
  <c r="H68" i="58"/>
  <c r="G68" i="58"/>
  <c r="K67" i="58"/>
  <c r="J67" i="58"/>
  <c r="H67" i="58"/>
  <c r="G67" i="58"/>
  <c r="K66" i="58"/>
  <c r="J66" i="58"/>
  <c r="H66" i="58"/>
  <c r="G66" i="58"/>
  <c r="K65" i="58"/>
  <c r="J65" i="58"/>
  <c r="H65" i="58"/>
  <c r="G65" i="58"/>
  <c r="J62" i="58"/>
  <c r="I62" i="58"/>
  <c r="F62" i="58"/>
  <c r="E62" i="58"/>
  <c r="J61" i="58"/>
  <c r="I61" i="58"/>
  <c r="F61" i="58"/>
  <c r="E61" i="58"/>
  <c r="J60" i="58"/>
  <c r="I60" i="58"/>
  <c r="F60" i="58"/>
  <c r="E60" i="58"/>
  <c r="J59" i="58"/>
  <c r="I59" i="58"/>
  <c r="F59" i="58"/>
  <c r="E59" i="58"/>
  <c r="J58" i="58"/>
  <c r="I58" i="58"/>
  <c r="F58" i="58"/>
  <c r="E58" i="58"/>
  <c r="J57" i="58"/>
  <c r="I57" i="58"/>
  <c r="F57" i="58"/>
  <c r="E57" i="58"/>
  <c r="J56" i="58"/>
  <c r="I56" i="58"/>
  <c r="F56" i="58"/>
  <c r="E56" i="58"/>
  <c r="J55" i="58"/>
  <c r="I55" i="58"/>
  <c r="F55" i="58"/>
  <c r="E55" i="58"/>
  <c r="J54" i="58"/>
  <c r="I54" i="58"/>
  <c r="F54" i="58"/>
  <c r="E54" i="58"/>
  <c r="J53" i="58"/>
  <c r="I53" i="58"/>
  <c r="F53" i="58"/>
  <c r="E53" i="58"/>
  <c r="J50" i="58"/>
  <c r="I50" i="58"/>
  <c r="F50" i="58"/>
  <c r="E50" i="58"/>
  <c r="J49" i="58"/>
  <c r="I49" i="58"/>
  <c r="F49" i="58"/>
  <c r="E49" i="58"/>
  <c r="J48" i="58"/>
  <c r="I48" i="58"/>
  <c r="F48" i="58"/>
  <c r="E48" i="58"/>
  <c r="J47" i="58"/>
  <c r="I47" i="58"/>
  <c r="F47" i="58"/>
  <c r="E47" i="58"/>
  <c r="J46" i="58"/>
  <c r="I46" i="58"/>
  <c r="F46" i="58"/>
  <c r="E46" i="58"/>
  <c r="J45" i="58"/>
  <c r="I45" i="58"/>
  <c r="F45" i="58"/>
  <c r="E45" i="58"/>
  <c r="J44" i="58"/>
  <c r="I44" i="58"/>
  <c r="F44" i="58"/>
  <c r="E44" i="58"/>
  <c r="J43" i="58"/>
  <c r="I43" i="58"/>
  <c r="F43" i="58"/>
  <c r="E43" i="58"/>
  <c r="J42" i="58"/>
  <c r="I42" i="58"/>
  <c r="F42" i="58"/>
  <c r="E42" i="58"/>
  <c r="J41" i="58"/>
  <c r="I41" i="58"/>
  <c r="F41" i="58"/>
  <c r="E41" i="58"/>
  <c r="J38" i="58"/>
  <c r="I38" i="58"/>
  <c r="F38" i="58"/>
  <c r="E38" i="58"/>
  <c r="J37" i="58"/>
  <c r="I37" i="58"/>
  <c r="F37" i="58"/>
  <c r="E37" i="58"/>
  <c r="J36" i="58"/>
  <c r="I36" i="58"/>
  <c r="F36" i="58"/>
  <c r="E36" i="58"/>
  <c r="J35" i="58"/>
  <c r="I35" i="58"/>
  <c r="F35" i="58"/>
  <c r="E35" i="58"/>
  <c r="J34" i="58"/>
  <c r="I34" i="58"/>
  <c r="F34" i="58"/>
  <c r="E34" i="58"/>
  <c r="J33" i="58"/>
  <c r="I33" i="58"/>
  <c r="F33" i="58"/>
  <c r="E33" i="58"/>
  <c r="J32" i="58"/>
  <c r="I32" i="58"/>
  <c r="F32" i="58"/>
  <c r="E32" i="58"/>
  <c r="J31" i="58"/>
  <c r="I31" i="58"/>
  <c r="F31" i="58"/>
  <c r="E31" i="58"/>
  <c r="J30" i="58"/>
  <c r="I30" i="58"/>
  <c r="F30" i="58"/>
  <c r="E30" i="58"/>
  <c r="J29" i="58"/>
  <c r="I29" i="58"/>
  <c r="F29" i="58"/>
  <c r="E29" i="58"/>
  <c r="J28" i="58"/>
  <c r="I28" i="58"/>
  <c r="F28" i="58"/>
  <c r="E28" i="58"/>
  <c r="J27" i="58"/>
  <c r="I27" i="58"/>
  <c r="F27" i="58"/>
  <c r="E27" i="58"/>
  <c r="R24" i="58"/>
  <c r="M24" i="58"/>
  <c r="G24" i="58"/>
  <c r="F24" i="58"/>
  <c r="B24" i="58"/>
  <c r="M23" i="58"/>
  <c r="L23" i="58"/>
  <c r="G23" i="58"/>
  <c r="F23" i="58"/>
  <c r="B23" i="58"/>
  <c r="R22" i="58"/>
  <c r="M22" i="58"/>
  <c r="L22" i="58"/>
  <c r="G22" i="58"/>
  <c r="F22" i="58"/>
  <c r="B22" i="58"/>
  <c r="G21" i="58"/>
  <c r="F21" i="58"/>
  <c r="B21" i="58"/>
  <c r="G20" i="58"/>
  <c r="F20" i="58"/>
  <c r="B20" i="58"/>
  <c r="G19" i="58"/>
  <c r="F19" i="58"/>
  <c r="B19" i="58"/>
  <c r="G18" i="58"/>
  <c r="F18" i="58"/>
  <c r="B18" i="58"/>
  <c r="G17" i="58"/>
  <c r="F17" i="58"/>
  <c r="B17" i="58"/>
  <c r="G16" i="58"/>
  <c r="F16" i="58"/>
  <c r="B16" i="58"/>
  <c r="G15" i="58"/>
  <c r="F15" i="58"/>
  <c r="B15" i="58"/>
  <c r="G14" i="58"/>
  <c r="F14" i="58"/>
  <c r="B14" i="58"/>
  <c r="G13" i="58"/>
  <c r="F13" i="58"/>
  <c r="G12" i="58"/>
  <c r="F12" i="58"/>
  <c r="G11" i="58"/>
  <c r="F11" i="58"/>
  <c r="G10" i="58"/>
  <c r="F10" i="58"/>
  <c r="G9" i="58"/>
  <c r="F9" i="58"/>
  <c r="B9" i="58"/>
  <c r="G8" i="58"/>
  <c r="F8" i="58"/>
  <c r="B8" i="58"/>
  <c r="G7" i="58"/>
  <c r="F7" i="58"/>
  <c r="B7" i="58"/>
  <c r="D3" i="58"/>
  <c r="E16" i="58" s="1"/>
  <c r="BV21" i="79" s="1"/>
  <c r="O1" i="58"/>
  <c r="N1" i="58"/>
  <c r="M1" i="58"/>
  <c r="L1" i="58"/>
  <c r="K1" i="58"/>
  <c r="J1" i="58"/>
  <c r="I1" i="58"/>
  <c r="DG3" i="57" s="1"/>
  <c r="H1" i="58"/>
  <c r="G1" i="58"/>
  <c r="F1" i="58"/>
  <c r="E1" i="58"/>
  <c r="D1" i="58"/>
  <c r="C1" i="58"/>
  <c r="B1" i="58"/>
  <c r="BE276" i="15"/>
  <c r="BD276" i="15"/>
  <c r="BC276" i="15"/>
  <c r="BB276" i="15"/>
  <c r="BA276" i="15"/>
  <c r="AZ276" i="15"/>
  <c r="AY276" i="15"/>
  <c r="AX276" i="15"/>
  <c r="AW276" i="15"/>
  <c r="AV276" i="15"/>
  <c r="AU276" i="15"/>
  <c r="AT276" i="15"/>
  <c r="AS276" i="15"/>
  <c r="AR276" i="15"/>
  <c r="AQ276" i="15"/>
  <c r="AL276" i="15"/>
  <c r="AK276" i="15"/>
  <c r="BE275" i="15"/>
  <c r="BD275" i="15"/>
  <c r="BC275" i="15"/>
  <c r="BB275" i="15"/>
  <c r="BA275" i="15"/>
  <c r="AZ275" i="15"/>
  <c r="AY275" i="15"/>
  <c r="AX275" i="15"/>
  <c r="AW275" i="15"/>
  <c r="AV275" i="15"/>
  <c r="AU275" i="15"/>
  <c r="AT275" i="15"/>
  <c r="AS275" i="15"/>
  <c r="AR275" i="15"/>
  <c r="AQ275" i="15"/>
  <c r="AL275" i="15"/>
  <c r="AK275" i="15"/>
  <c r="BE274" i="15"/>
  <c r="BD274" i="15"/>
  <c r="BC274" i="15"/>
  <c r="BB274" i="15"/>
  <c r="BA274" i="15"/>
  <c r="AZ274" i="15"/>
  <c r="AY274" i="15"/>
  <c r="AX274" i="15"/>
  <c r="AW274" i="15"/>
  <c r="AV274" i="15"/>
  <c r="AU274" i="15"/>
  <c r="AT274" i="15"/>
  <c r="AS274" i="15"/>
  <c r="AR274" i="15"/>
  <c r="AQ274" i="15"/>
  <c r="AL274" i="15"/>
  <c r="AK274" i="15"/>
  <c r="BE273" i="15"/>
  <c r="BD273" i="15"/>
  <c r="BC273" i="15"/>
  <c r="BB273" i="15"/>
  <c r="BA273" i="15"/>
  <c r="AZ273" i="15"/>
  <c r="AY273" i="15"/>
  <c r="AX273" i="15"/>
  <c r="AW273" i="15"/>
  <c r="AV273" i="15"/>
  <c r="AU273" i="15"/>
  <c r="AT273" i="15"/>
  <c r="AS273" i="15"/>
  <c r="AR273" i="15"/>
  <c r="AQ273" i="15"/>
  <c r="AL273" i="15"/>
  <c r="AK273" i="15"/>
  <c r="BE272" i="15"/>
  <c r="BD272" i="15"/>
  <c r="BC272" i="15"/>
  <c r="BB272" i="15"/>
  <c r="BA272" i="15"/>
  <c r="AZ272" i="15"/>
  <c r="AY272" i="15"/>
  <c r="AX272" i="15"/>
  <c r="AW272" i="15"/>
  <c r="AV272" i="15"/>
  <c r="AU272" i="15"/>
  <c r="AT272" i="15"/>
  <c r="AS272" i="15"/>
  <c r="AR272" i="15"/>
  <c r="AQ272" i="15"/>
  <c r="AM272" i="15"/>
  <c r="AL272" i="15"/>
  <c r="AK272" i="15"/>
  <c r="BE271" i="15"/>
  <c r="BD271" i="15"/>
  <c r="BC271" i="15"/>
  <c r="BB271" i="15"/>
  <c r="BA271" i="15"/>
  <c r="AZ271" i="15"/>
  <c r="AY271" i="15"/>
  <c r="AX271" i="15"/>
  <c r="AW271" i="15"/>
  <c r="AV271" i="15"/>
  <c r="AU271" i="15"/>
  <c r="AT271" i="15"/>
  <c r="AS271" i="15"/>
  <c r="AR271" i="15"/>
  <c r="AQ271" i="15"/>
  <c r="AP271" i="15"/>
  <c r="AO271" i="15"/>
  <c r="AN271" i="15"/>
  <c r="AM271" i="15"/>
  <c r="AL271" i="15"/>
  <c r="AK271" i="15"/>
  <c r="BE270" i="15"/>
  <c r="BD270" i="15"/>
  <c r="BC270" i="15"/>
  <c r="BB270" i="15"/>
  <c r="BA270" i="15"/>
  <c r="AZ270" i="15"/>
  <c r="AY270" i="15"/>
  <c r="AX270" i="15"/>
  <c r="AW270" i="15"/>
  <c r="AV270" i="15"/>
  <c r="AU270" i="15"/>
  <c r="AT270" i="15"/>
  <c r="AS270" i="15"/>
  <c r="AR270" i="15"/>
  <c r="AQ270" i="15"/>
  <c r="AP270" i="15"/>
  <c r="AO270" i="15"/>
  <c r="AN270" i="15"/>
  <c r="AM270" i="15"/>
  <c r="AL270" i="15"/>
  <c r="AK270" i="15"/>
  <c r="BE269" i="15"/>
  <c r="BD269" i="15"/>
  <c r="BC269" i="15"/>
  <c r="BB269" i="15"/>
  <c r="BA269" i="15"/>
  <c r="AZ269" i="15"/>
  <c r="AY269" i="15"/>
  <c r="AX269" i="15"/>
  <c r="AW269" i="15"/>
  <c r="AV269" i="15"/>
  <c r="AU269" i="15"/>
  <c r="AT269" i="15"/>
  <c r="AS269" i="15"/>
  <c r="AR269" i="15"/>
  <c r="AQ269" i="15"/>
  <c r="AP269" i="15"/>
  <c r="AO269" i="15"/>
  <c r="AN269" i="15"/>
  <c r="AM269" i="15"/>
  <c r="AL269" i="15"/>
  <c r="AK269" i="15"/>
  <c r="BE268" i="15"/>
  <c r="BD268" i="15"/>
  <c r="BC268" i="15"/>
  <c r="BB268" i="15"/>
  <c r="BA268" i="15"/>
  <c r="AZ268" i="15"/>
  <c r="AY268" i="15"/>
  <c r="AX268" i="15"/>
  <c r="AW268" i="15"/>
  <c r="AV268" i="15"/>
  <c r="AU268" i="15"/>
  <c r="AT268" i="15"/>
  <c r="AS268" i="15"/>
  <c r="AR268" i="15"/>
  <c r="AQ268" i="15"/>
  <c r="AP268" i="15"/>
  <c r="AO268" i="15"/>
  <c r="AN268" i="15"/>
  <c r="AM268" i="15"/>
  <c r="AL268" i="15"/>
  <c r="AK268"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BE266" i="15"/>
  <c r="BD266" i="15"/>
  <c r="BC266" i="15"/>
  <c r="BB266" i="15"/>
  <c r="BA266" i="15"/>
  <c r="AZ266" i="15"/>
  <c r="AY266" i="15"/>
  <c r="AX266" i="15"/>
  <c r="AW266" i="15"/>
  <c r="AV266" i="15"/>
  <c r="AU266" i="15"/>
  <c r="AT266" i="15"/>
  <c r="AS266" i="15"/>
  <c r="AR266" i="15"/>
  <c r="AQ266" i="15"/>
  <c r="AP266" i="15"/>
  <c r="AO266" i="15"/>
  <c r="AN266" i="15"/>
  <c r="AM266" i="15"/>
  <c r="AL266" i="15"/>
  <c r="AK266"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BE262" i="15"/>
  <c r="BD262" i="15"/>
  <c r="BC262" i="15"/>
  <c r="BB262" i="15"/>
  <c r="BA262" i="15"/>
  <c r="AZ262" i="15"/>
  <c r="AY262" i="15"/>
  <c r="AX262" i="15"/>
  <c r="AW262" i="15"/>
  <c r="AV262" i="15"/>
  <c r="AU262" i="15"/>
  <c r="AT262" i="15"/>
  <c r="AS262" i="15"/>
  <c r="AR262" i="15"/>
  <c r="AQ262" i="15"/>
  <c r="AL262" i="15"/>
  <c r="AK262" i="15"/>
  <c r="BE261" i="15"/>
  <c r="BD261" i="15"/>
  <c r="BC261" i="15"/>
  <c r="BB261" i="15"/>
  <c r="BA261" i="15"/>
  <c r="AZ261" i="15"/>
  <c r="AY261" i="15"/>
  <c r="AX261" i="15"/>
  <c r="AW261" i="15"/>
  <c r="AV261" i="15"/>
  <c r="AU261" i="15"/>
  <c r="AT261" i="15"/>
  <c r="AS261" i="15"/>
  <c r="AR261" i="15"/>
  <c r="AQ261" i="15"/>
  <c r="AL261" i="15"/>
  <c r="AK261" i="15"/>
  <c r="BE260" i="15"/>
  <c r="BD260" i="15"/>
  <c r="BC260" i="15"/>
  <c r="BB260" i="15"/>
  <c r="BA260" i="15"/>
  <c r="AZ260" i="15"/>
  <c r="AY260" i="15"/>
  <c r="AX260" i="15"/>
  <c r="AW260" i="15"/>
  <c r="AV260" i="15"/>
  <c r="AU260" i="15"/>
  <c r="AT260" i="15"/>
  <c r="AS260" i="15"/>
  <c r="AR260" i="15"/>
  <c r="AQ260" i="15"/>
  <c r="AL260" i="15"/>
  <c r="AK260" i="15"/>
  <c r="BE259" i="15"/>
  <c r="BD259" i="15"/>
  <c r="BC259" i="15"/>
  <c r="BB259" i="15"/>
  <c r="BA259" i="15"/>
  <c r="AZ259" i="15"/>
  <c r="AY259" i="15"/>
  <c r="AX259" i="15"/>
  <c r="AW259" i="15"/>
  <c r="AV259" i="15"/>
  <c r="AU259" i="15"/>
  <c r="AT259" i="15"/>
  <c r="AS259" i="15"/>
  <c r="AR259" i="15"/>
  <c r="AQ259" i="15"/>
  <c r="AL259" i="15"/>
  <c r="AK259" i="15"/>
  <c r="BE258" i="15"/>
  <c r="BD258" i="15"/>
  <c r="BC258" i="15"/>
  <c r="BB258" i="15"/>
  <c r="BA258" i="15"/>
  <c r="AZ258" i="15"/>
  <c r="AY258" i="15"/>
  <c r="AX258" i="15"/>
  <c r="AW258" i="15"/>
  <c r="AV258" i="15"/>
  <c r="AU258" i="15"/>
  <c r="AT258" i="15"/>
  <c r="AS258" i="15"/>
  <c r="AR258" i="15"/>
  <c r="AQ258" i="15"/>
  <c r="AM258" i="15"/>
  <c r="AL258" i="15"/>
  <c r="AK258" i="15"/>
  <c r="BE257" i="15"/>
  <c r="BD257" i="15"/>
  <c r="BC257" i="15"/>
  <c r="BB257" i="15"/>
  <c r="BA257" i="15"/>
  <c r="AZ257" i="15"/>
  <c r="AY257" i="15"/>
  <c r="AX257" i="15"/>
  <c r="AW257" i="15"/>
  <c r="AV257" i="15"/>
  <c r="AU257" i="15"/>
  <c r="AT257" i="15"/>
  <c r="AS257" i="15"/>
  <c r="AR257" i="15"/>
  <c r="AQ257" i="15"/>
  <c r="AP257" i="15"/>
  <c r="AO257" i="15"/>
  <c r="AN257" i="15"/>
  <c r="AM257" i="15"/>
  <c r="AL257" i="15"/>
  <c r="AK257" i="15"/>
  <c r="BE256" i="15"/>
  <c r="BD256" i="15"/>
  <c r="BC256" i="15"/>
  <c r="BB256" i="15"/>
  <c r="BA256" i="15"/>
  <c r="AZ256" i="15"/>
  <c r="AY256" i="15"/>
  <c r="AX256" i="15"/>
  <c r="AW256" i="15"/>
  <c r="AV256" i="15"/>
  <c r="AU256" i="15"/>
  <c r="AT256" i="15"/>
  <c r="AS256" i="15"/>
  <c r="AR256" i="15"/>
  <c r="AQ256" i="15"/>
  <c r="AP256" i="15"/>
  <c r="AO256" i="15"/>
  <c r="AN256" i="15"/>
  <c r="AM256" i="15"/>
  <c r="AL256" i="15"/>
  <c r="AK256" i="15"/>
  <c r="BE255" i="15"/>
  <c r="BD255" i="15"/>
  <c r="BC255" i="15"/>
  <c r="BB255" i="15"/>
  <c r="BA255" i="15"/>
  <c r="AZ255" i="15"/>
  <c r="AY255" i="15"/>
  <c r="AX255" i="15"/>
  <c r="AW255" i="15"/>
  <c r="AV255" i="15"/>
  <c r="AU255" i="15"/>
  <c r="AT255" i="15"/>
  <c r="AS255" i="15"/>
  <c r="AR255" i="15"/>
  <c r="AQ255" i="15"/>
  <c r="AP255" i="15"/>
  <c r="AO255" i="15"/>
  <c r="AN255" i="15"/>
  <c r="AM255" i="15"/>
  <c r="AL255" i="15"/>
  <c r="AK255" i="15"/>
  <c r="BE254" i="15"/>
  <c r="BD254" i="15"/>
  <c r="BC254" i="15"/>
  <c r="BB254" i="15"/>
  <c r="BA254" i="15"/>
  <c r="AZ254" i="15"/>
  <c r="AY254" i="15"/>
  <c r="AX254" i="15"/>
  <c r="AW254" i="15"/>
  <c r="AV254" i="15"/>
  <c r="AU254" i="15"/>
  <c r="AT254" i="15"/>
  <c r="AS254" i="15"/>
  <c r="AR254" i="15"/>
  <c r="AQ254" i="15"/>
  <c r="AP254" i="15"/>
  <c r="AO254" i="15"/>
  <c r="AN254" i="15"/>
  <c r="AM254" i="15"/>
  <c r="AL254" i="15"/>
  <c r="AK254" i="15"/>
  <c r="BE253" i="15"/>
  <c r="BD253" i="15"/>
  <c r="BC253" i="15"/>
  <c r="BB253" i="15"/>
  <c r="BA253" i="15"/>
  <c r="AZ253" i="15"/>
  <c r="AY253" i="15"/>
  <c r="AX253" i="15"/>
  <c r="AW253" i="15"/>
  <c r="AV253" i="15"/>
  <c r="AU253" i="15"/>
  <c r="AT253" i="15"/>
  <c r="AS253" i="15"/>
  <c r="AR253" i="15"/>
  <c r="AQ253" i="15"/>
  <c r="AP253" i="15"/>
  <c r="AO253" i="15"/>
  <c r="AN253" i="15"/>
  <c r="AM253" i="15"/>
  <c r="AL253" i="15"/>
  <c r="AK253" i="15"/>
  <c r="BE252" i="15"/>
  <c r="BD252" i="15"/>
  <c r="BC252" i="15"/>
  <c r="BB252" i="15"/>
  <c r="BA252" i="15"/>
  <c r="AZ252" i="15"/>
  <c r="AY252" i="15"/>
  <c r="AX252" i="15"/>
  <c r="AW252" i="15"/>
  <c r="AV252" i="15"/>
  <c r="AU252" i="15"/>
  <c r="AT252" i="15"/>
  <c r="AS252" i="15"/>
  <c r="AR252" i="15"/>
  <c r="AQ252" i="15"/>
  <c r="AP252" i="15"/>
  <c r="AO252" i="15"/>
  <c r="AN252" i="15"/>
  <c r="AM252" i="15"/>
  <c r="AL252" i="15"/>
  <c r="AK252" i="15"/>
  <c r="BE251" i="15"/>
  <c r="BD251" i="15"/>
  <c r="BC251" i="15"/>
  <c r="BB251" i="15"/>
  <c r="BA251" i="15"/>
  <c r="AZ251" i="15"/>
  <c r="AY251" i="15"/>
  <c r="AX251" i="15"/>
  <c r="AW251" i="15"/>
  <c r="AV251" i="15"/>
  <c r="AU251" i="15"/>
  <c r="AT251" i="15"/>
  <c r="AS251" i="15"/>
  <c r="AR251" i="15"/>
  <c r="AQ251" i="15"/>
  <c r="AP251" i="15"/>
  <c r="AO251" i="15"/>
  <c r="AN251" i="15"/>
  <c r="AM251" i="15"/>
  <c r="AL251" i="15"/>
  <c r="AK251" i="15"/>
  <c r="BE250" i="15"/>
  <c r="BD250" i="15"/>
  <c r="BC250" i="15"/>
  <c r="BB250" i="15"/>
  <c r="BA250" i="15"/>
  <c r="AZ250" i="15"/>
  <c r="AY250" i="15"/>
  <c r="AX250" i="15"/>
  <c r="AW250" i="15"/>
  <c r="AV250" i="15"/>
  <c r="AU250" i="15"/>
  <c r="AT250" i="15"/>
  <c r="AS250" i="15"/>
  <c r="AR250" i="15"/>
  <c r="AQ250" i="15"/>
  <c r="AP250" i="15"/>
  <c r="AO250" i="15"/>
  <c r="AN250" i="15"/>
  <c r="AM250" i="15"/>
  <c r="AL250" i="15"/>
  <c r="AK250" i="15"/>
  <c r="BE249" i="15"/>
  <c r="BD249" i="15"/>
  <c r="BC249" i="15"/>
  <c r="BB249" i="15"/>
  <c r="BA249" i="15"/>
  <c r="AZ249" i="15"/>
  <c r="AY249" i="15"/>
  <c r="AX249" i="15"/>
  <c r="AW249" i="15"/>
  <c r="AV249" i="15"/>
  <c r="AU249" i="15"/>
  <c r="AT249" i="15"/>
  <c r="AS249" i="15"/>
  <c r="AR249" i="15"/>
  <c r="AQ249" i="15"/>
  <c r="AP249" i="15"/>
  <c r="AO249" i="15"/>
  <c r="AN249" i="15"/>
  <c r="AM249" i="15"/>
  <c r="AL249" i="15"/>
  <c r="AK249" i="15"/>
  <c r="BE248" i="15"/>
  <c r="BD248" i="15"/>
  <c r="BC248" i="15"/>
  <c r="BB248" i="15"/>
  <c r="BA248" i="15"/>
  <c r="AZ248" i="15"/>
  <c r="AY248" i="15"/>
  <c r="AX248" i="15"/>
  <c r="AW248" i="15"/>
  <c r="AV248" i="15"/>
  <c r="AU248" i="15"/>
  <c r="AT248" i="15"/>
  <c r="AS248" i="15"/>
  <c r="AR248" i="15"/>
  <c r="AQ248" i="15"/>
  <c r="AL248" i="15"/>
  <c r="AK248" i="15"/>
  <c r="BE247" i="15"/>
  <c r="BD247" i="15"/>
  <c r="BC247" i="15"/>
  <c r="BB247" i="15"/>
  <c r="BA247" i="15"/>
  <c r="AZ247" i="15"/>
  <c r="AY247" i="15"/>
  <c r="AX247" i="15"/>
  <c r="AW247" i="15"/>
  <c r="AV247" i="15"/>
  <c r="AU247" i="15"/>
  <c r="AT247" i="15"/>
  <c r="AS247" i="15"/>
  <c r="AR247" i="15"/>
  <c r="AQ247" i="15"/>
  <c r="AL247" i="15"/>
  <c r="AK247" i="15"/>
  <c r="BE246" i="15"/>
  <c r="BD246" i="15"/>
  <c r="BC246" i="15"/>
  <c r="BB246" i="15"/>
  <c r="BA246" i="15"/>
  <c r="AZ246" i="15"/>
  <c r="AY246" i="15"/>
  <c r="AX246" i="15"/>
  <c r="AW246" i="15"/>
  <c r="AV246" i="15"/>
  <c r="AU246" i="15"/>
  <c r="AT246" i="15"/>
  <c r="AS246" i="15"/>
  <c r="AR246" i="15"/>
  <c r="AQ246" i="15"/>
  <c r="AL246" i="15"/>
  <c r="AK246" i="15"/>
  <c r="BE245" i="15"/>
  <c r="BD245" i="15"/>
  <c r="BC245" i="15"/>
  <c r="BB245" i="15"/>
  <c r="BA245" i="15"/>
  <c r="AZ245" i="15"/>
  <c r="AY245" i="15"/>
  <c r="AX245" i="15"/>
  <c r="AW245" i="15"/>
  <c r="AV245" i="15"/>
  <c r="AU245" i="15"/>
  <c r="AT245" i="15"/>
  <c r="AS245" i="15"/>
  <c r="AR245" i="15"/>
  <c r="AQ245" i="15"/>
  <c r="AL245" i="15"/>
  <c r="AK245" i="15"/>
  <c r="BE244" i="15"/>
  <c r="BD244" i="15"/>
  <c r="BC244" i="15"/>
  <c r="BB244" i="15"/>
  <c r="BA244" i="15"/>
  <c r="AZ244" i="15"/>
  <c r="AY244" i="15"/>
  <c r="AX244" i="15"/>
  <c r="AW244" i="15"/>
  <c r="AV244" i="15"/>
  <c r="AU244" i="15"/>
  <c r="AT244" i="15"/>
  <c r="AS244" i="15"/>
  <c r="AR244" i="15"/>
  <c r="AQ244" i="15"/>
  <c r="AM244" i="15"/>
  <c r="AL244" i="15"/>
  <c r="AK244"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BE242" i="15"/>
  <c r="BD242" i="15"/>
  <c r="BC242" i="15"/>
  <c r="BB242" i="15"/>
  <c r="BA242" i="15"/>
  <c r="AZ242" i="15"/>
  <c r="AY242" i="15"/>
  <c r="AX242" i="15"/>
  <c r="AW242" i="15"/>
  <c r="AV242" i="15"/>
  <c r="AU242" i="15"/>
  <c r="AT242" i="15"/>
  <c r="AS242" i="15"/>
  <c r="AR242" i="15"/>
  <c r="AQ242" i="15"/>
  <c r="AP242" i="15"/>
  <c r="AO242" i="15"/>
  <c r="AN242" i="15"/>
  <c r="AM242" i="15"/>
  <c r="AL242" i="15"/>
  <c r="AK242"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BE240" i="15"/>
  <c r="BD240" i="15"/>
  <c r="BC240" i="15"/>
  <c r="BB240" i="15"/>
  <c r="BA240" i="15"/>
  <c r="AZ240" i="15"/>
  <c r="AY240" i="15"/>
  <c r="AX240" i="15"/>
  <c r="AW240" i="15"/>
  <c r="AV240" i="15"/>
  <c r="AU240" i="15"/>
  <c r="AT240" i="15"/>
  <c r="AS240" i="15"/>
  <c r="AR240" i="15"/>
  <c r="AQ240" i="15"/>
  <c r="AP240" i="15"/>
  <c r="AO240" i="15"/>
  <c r="AN240" i="15"/>
  <c r="AM240" i="15"/>
  <c r="AL240" i="15"/>
  <c r="AK240"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BE238" i="15"/>
  <c r="BD238" i="15"/>
  <c r="BC238" i="15"/>
  <c r="BB238" i="15"/>
  <c r="BA238" i="15"/>
  <c r="AZ238" i="15"/>
  <c r="AY238" i="15"/>
  <c r="AX238" i="15"/>
  <c r="AW238" i="15"/>
  <c r="AV238" i="15"/>
  <c r="AU238" i="15"/>
  <c r="AT238" i="15"/>
  <c r="AS238" i="15"/>
  <c r="AR238" i="15"/>
  <c r="AQ238" i="15"/>
  <c r="AP238" i="15"/>
  <c r="AO238" i="15"/>
  <c r="AN238" i="15"/>
  <c r="AM238" i="15"/>
  <c r="AL238" i="15"/>
  <c r="AK238" i="15"/>
  <c r="BE237" i="15"/>
  <c r="BD237" i="15"/>
  <c r="BC237" i="15"/>
  <c r="BB237" i="15"/>
  <c r="BA237" i="15"/>
  <c r="AZ237" i="15"/>
  <c r="AY237" i="15"/>
  <c r="AX237" i="15"/>
  <c r="AW237" i="15"/>
  <c r="AV237" i="15"/>
  <c r="AU237" i="15"/>
  <c r="AT237" i="15"/>
  <c r="AS237" i="15"/>
  <c r="AR237" i="15"/>
  <c r="AQ237" i="15"/>
  <c r="AP237" i="15"/>
  <c r="AO237" i="15"/>
  <c r="AN237" i="15"/>
  <c r="AM237" i="15"/>
  <c r="AL237" i="15"/>
  <c r="AK237" i="15"/>
  <c r="BE236" i="15"/>
  <c r="BD236" i="15"/>
  <c r="BC236" i="15"/>
  <c r="BB236" i="15"/>
  <c r="BA236" i="15"/>
  <c r="AZ236" i="15"/>
  <c r="AY236" i="15"/>
  <c r="AX236" i="15"/>
  <c r="AW236" i="15"/>
  <c r="AV236" i="15"/>
  <c r="AU236" i="15"/>
  <c r="AT236" i="15"/>
  <c r="AS236" i="15"/>
  <c r="AR236" i="15"/>
  <c r="AQ236" i="15"/>
  <c r="AP236" i="15"/>
  <c r="AO236" i="15"/>
  <c r="AN236" i="15"/>
  <c r="AM236" i="15"/>
  <c r="AL236" i="15"/>
  <c r="AK236" i="15"/>
  <c r="BE235" i="15"/>
  <c r="BD235" i="15"/>
  <c r="BC235" i="15"/>
  <c r="BB235" i="15"/>
  <c r="BA235" i="15"/>
  <c r="AZ235" i="15"/>
  <c r="AY235" i="15"/>
  <c r="AX235" i="15"/>
  <c r="AW235" i="15"/>
  <c r="AV235" i="15"/>
  <c r="AU235" i="15"/>
  <c r="AT235" i="15"/>
  <c r="AS235" i="15"/>
  <c r="AR235" i="15"/>
  <c r="AQ235" i="15"/>
  <c r="AP235" i="15"/>
  <c r="AO235" i="15"/>
  <c r="AN235" i="15"/>
  <c r="AM235" i="15"/>
  <c r="AL235" i="15"/>
  <c r="AK235" i="15"/>
  <c r="BE234" i="15"/>
  <c r="BD234" i="15"/>
  <c r="BC234" i="15"/>
  <c r="BB234" i="15"/>
  <c r="BA234" i="15"/>
  <c r="AZ234" i="15"/>
  <c r="AY234" i="15"/>
  <c r="AX234" i="15"/>
  <c r="AW234" i="15"/>
  <c r="AV234" i="15"/>
  <c r="AU234" i="15"/>
  <c r="AT234" i="15"/>
  <c r="AS234" i="15"/>
  <c r="AR234" i="15"/>
  <c r="AQ234" i="15"/>
  <c r="AL234" i="15"/>
  <c r="AK234" i="15"/>
  <c r="BE233" i="15"/>
  <c r="BD233" i="15"/>
  <c r="BC233" i="15"/>
  <c r="BB233" i="15"/>
  <c r="BA233" i="15"/>
  <c r="AZ233" i="15"/>
  <c r="AY233" i="15"/>
  <c r="AX233" i="15"/>
  <c r="AW233" i="15"/>
  <c r="AV233" i="15"/>
  <c r="AU233" i="15"/>
  <c r="AT233" i="15"/>
  <c r="AS233" i="15"/>
  <c r="AR233" i="15"/>
  <c r="AQ233" i="15"/>
  <c r="AL233" i="15"/>
  <c r="AK233" i="15"/>
  <c r="BE232" i="15"/>
  <c r="BD232" i="15"/>
  <c r="BC232" i="15"/>
  <c r="BB232" i="15"/>
  <c r="BA232" i="15"/>
  <c r="AZ232" i="15"/>
  <c r="AY232" i="15"/>
  <c r="AX232" i="15"/>
  <c r="AW232" i="15"/>
  <c r="AV232" i="15"/>
  <c r="AU232" i="15"/>
  <c r="AT232" i="15"/>
  <c r="AS232" i="15"/>
  <c r="AR232" i="15"/>
  <c r="AQ232" i="15"/>
  <c r="AL232" i="15"/>
  <c r="AK232" i="15"/>
  <c r="BE231" i="15"/>
  <c r="BD231" i="15"/>
  <c r="BC231" i="15"/>
  <c r="BB231" i="15"/>
  <c r="BA231" i="15"/>
  <c r="AZ231" i="15"/>
  <c r="AY231" i="15"/>
  <c r="AX231" i="15"/>
  <c r="AW231" i="15"/>
  <c r="AV231" i="15"/>
  <c r="AU231" i="15"/>
  <c r="AT231" i="15"/>
  <c r="AS231" i="15"/>
  <c r="AR231" i="15"/>
  <c r="AQ231" i="15"/>
  <c r="AL231" i="15"/>
  <c r="AK231" i="15"/>
  <c r="BE230" i="15"/>
  <c r="BD230" i="15"/>
  <c r="BC230" i="15"/>
  <c r="BB230" i="15"/>
  <c r="BA230" i="15"/>
  <c r="AZ230" i="15"/>
  <c r="AY230" i="15"/>
  <c r="AX230" i="15"/>
  <c r="AW230" i="15"/>
  <c r="AV230" i="15"/>
  <c r="AU230" i="15"/>
  <c r="AT230" i="15"/>
  <c r="AS230" i="15"/>
  <c r="AR230" i="15"/>
  <c r="AQ230" i="15"/>
  <c r="AM230" i="15"/>
  <c r="AL230" i="15"/>
  <c r="AK230" i="15"/>
  <c r="BE229" i="15"/>
  <c r="BD229" i="15"/>
  <c r="BC229" i="15"/>
  <c r="BB229" i="15"/>
  <c r="BA229" i="15"/>
  <c r="AZ229" i="15"/>
  <c r="AY229" i="15"/>
  <c r="AX229" i="15"/>
  <c r="AW229" i="15"/>
  <c r="AV229" i="15"/>
  <c r="AU229" i="15"/>
  <c r="AT229" i="15"/>
  <c r="AS229" i="15"/>
  <c r="AR229" i="15"/>
  <c r="AQ229" i="15"/>
  <c r="AP229" i="15"/>
  <c r="AO229" i="15"/>
  <c r="AN229" i="15"/>
  <c r="AM229" i="15"/>
  <c r="AL229" i="15"/>
  <c r="AK229"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BE227" i="15"/>
  <c r="BD227" i="15"/>
  <c r="BC227" i="15"/>
  <c r="BB227" i="15"/>
  <c r="BA227" i="15"/>
  <c r="AZ227" i="15"/>
  <c r="AY227" i="15"/>
  <c r="AX227" i="15"/>
  <c r="AW227" i="15"/>
  <c r="AV227" i="15"/>
  <c r="AU227" i="15"/>
  <c r="AT227" i="15"/>
  <c r="AS227" i="15"/>
  <c r="AR227" i="15"/>
  <c r="AQ227" i="15"/>
  <c r="AP227" i="15"/>
  <c r="AO227" i="15"/>
  <c r="AN227" i="15"/>
  <c r="AM227" i="15"/>
  <c r="AL227" i="15"/>
  <c r="AK227"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BE225" i="15"/>
  <c r="BD225" i="15"/>
  <c r="BC225" i="15"/>
  <c r="BB225" i="15"/>
  <c r="BA225" i="15"/>
  <c r="AZ225" i="15"/>
  <c r="AY225" i="15"/>
  <c r="AX225" i="15"/>
  <c r="AW225" i="15"/>
  <c r="AV225" i="15"/>
  <c r="AU225" i="15"/>
  <c r="AT225" i="15"/>
  <c r="AS225" i="15"/>
  <c r="AR225" i="15"/>
  <c r="AQ225" i="15"/>
  <c r="AP225" i="15"/>
  <c r="AO225" i="15"/>
  <c r="AN225" i="15"/>
  <c r="AM225" i="15"/>
  <c r="AL225" i="15"/>
  <c r="AK225" i="15"/>
  <c r="BE224" i="15"/>
  <c r="BD224" i="15"/>
  <c r="BC224" i="15"/>
  <c r="BB224" i="15"/>
  <c r="BA224" i="15"/>
  <c r="AZ224" i="15"/>
  <c r="AY224" i="15"/>
  <c r="AX224" i="15"/>
  <c r="AW224" i="15"/>
  <c r="AV224" i="15"/>
  <c r="AU224" i="15"/>
  <c r="AT224" i="15"/>
  <c r="AS224" i="15"/>
  <c r="AR224" i="15"/>
  <c r="AQ224" i="15"/>
  <c r="AP224" i="15"/>
  <c r="AO224" i="15"/>
  <c r="AN224" i="15"/>
  <c r="AM224" i="15"/>
  <c r="AL224" i="15"/>
  <c r="AK224" i="15"/>
  <c r="BE223" i="15"/>
  <c r="BD223" i="15"/>
  <c r="BC223" i="15"/>
  <c r="BB223" i="15"/>
  <c r="BA223" i="15"/>
  <c r="AZ223" i="15"/>
  <c r="AY223" i="15"/>
  <c r="AX223" i="15"/>
  <c r="AW223" i="15"/>
  <c r="AV223" i="15"/>
  <c r="AU223" i="15"/>
  <c r="AT223" i="15"/>
  <c r="AS223" i="15"/>
  <c r="AR223" i="15"/>
  <c r="AQ223" i="15"/>
  <c r="AP223" i="15"/>
  <c r="AO223" i="15"/>
  <c r="AN223" i="15"/>
  <c r="AM223" i="15"/>
  <c r="AL223" i="15"/>
  <c r="AK223" i="15"/>
  <c r="BE222" i="15"/>
  <c r="BD222" i="15"/>
  <c r="BC222" i="15"/>
  <c r="BB222" i="15"/>
  <c r="BA222" i="15"/>
  <c r="AZ222" i="15"/>
  <c r="AY222" i="15"/>
  <c r="AX222" i="15"/>
  <c r="AW222" i="15"/>
  <c r="AV222" i="15"/>
  <c r="AU222" i="15"/>
  <c r="AT222" i="15"/>
  <c r="AS222" i="15"/>
  <c r="AR222" i="15"/>
  <c r="AQ222" i="15"/>
  <c r="AP222" i="15"/>
  <c r="AO222" i="15"/>
  <c r="AN222" i="15"/>
  <c r="AM222" i="15"/>
  <c r="AL222" i="15"/>
  <c r="AK222" i="15"/>
  <c r="BE221" i="15"/>
  <c r="BD221" i="15"/>
  <c r="BC221" i="15"/>
  <c r="BB221" i="15"/>
  <c r="BA221" i="15"/>
  <c r="AZ221" i="15"/>
  <c r="AY221" i="15"/>
  <c r="AX221" i="15"/>
  <c r="AW221" i="15"/>
  <c r="AV221" i="15"/>
  <c r="AU221" i="15"/>
  <c r="AT221" i="15"/>
  <c r="AS221" i="15"/>
  <c r="AR221" i="15"/>
  <c r="AQ221" i="15"/>
  <c r="AP221" i="15"/>
  <c r="AO221" i="15"/>
  <c r="AN221" i="15"/>
  <c r="AM221" i="15"/>
  <c r="AL221" i="15"/>
  <c r="AK221" i="15"/>
  <c r="BE220" i="15"/>
  <c r="BD220" i="15"/>
  <c r="BC220" i="15"/>
  <c r="BB220" i="15"/>
  <c r="BA220" i="15"/>
  <c r="AZ220" i="15"/>
  <c r="AY220" i="15"/>
  <c r="AX220" i="15"/>
  <c r="AW220" i="15"/>
  <c r="AV220" i="15"/>
  <c r="AU220" i="15"/>
  <c r="AT220" i="15"/>
  <c r="AS220" i="15"/>
  <c r="AR220" i="15"/>
  <c r="AQ220" i="15"/>
  <c r="AL220" i="15"/>
  <c r="AK220" i="15"/>
  <c r="BE219" i="15"/>
  <c r="BD219" i="15"/>
  <c r="BC219" i="15"/>
  <c r="BB219" i="15"/>
  <c r="BA219" i="15"/>
  <c r="AZ219" i="15"/>
  <c r="AY219" i="15"/>
  <c r="AX219" i="15"/>
  <c r="AW219" i="15"/>
  <c r="AV219" i="15"/>
  <c r="AU219" i="15"/>
  <c r="AT219" i="15"/>
  <c r="AS219" i="15"/>
  <c r="AR219" i="15"/>
  <c r="AQ219" i="15"/>
  <c r="AL219" i="15"/>
  <c r="AK219" i="15"/>
  <c r="BE218" i="15"/>
  <c r="BD218" i="15"/>
  <c r="BC218" i="15"/>
  <c r="BB218" i="15"/>
  <c r="BA218" i="15"/>
  <c r="AZ218" i="15"/>
  <c r="AY218" i="15"/>
  <c r="AX218" i="15"/>
  <c r="AW218" i="15"/>
  <c r="AV218" i="15"/>
  <c r="AU218" i="15"/>
  <c r="AT218" i="15"/>
  <c r="AS218" i="15"/>
  <c r="AR218" i="15"/>
  <c r="AQ218" i="15"/>
  <c r="AL218" i="15"/>
  <c r="AK218" i="15"/>
  <c r="BE217" i="15"/>
  <c r="BD217" i="15"/>
  <c r="BC217" i="15"/>
  <c r="BB217" i="15"/>
  <c r="BA217" i="15"/>
  <c r="AZ217" i="15"/>
  <c r="AY217" i="15"/>
  <c r="AX217" i="15"/>
  <c r="AW217" i="15"/>
  <c r="AV217" i="15"/>
  <c r="AU217" i="15"/>
  <c r="AT217" i="15"/>
  <c r="AS217" i="15"/>
  <c r="AR217" i="15"/>
  <c r="AQ217" i="15"/>
  <c r="AL217" i="15"/>
  <c r="AK217" i="15"/>
  <c r="BE216" i="15"/>
  <c r="BD216" i="15"/>
  <c r="BC216" i="15"/>
  <c r="BB216" i="15"/>
  <c r="BA216" i="15"/>
  <c r="AZ216" i="15"/>
  <c r="AY216" i="15"/>
  <c r="AX216" i="15"/>
  <c r="AW216" i="15"/>
  <c r="AV216" i="15"/>
  <c r="AU216" i="15"/>
  <c r="AT216" i="15"/>
  <c r="AS216" i="15"/>
  <c r="AR216" i="15"/>
  <c r="AQ216" i="15"/>
  <c r="AM216" i="15"/>
  <c r="AL216" i="15"/>
  <c r="AK216"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BE214" i="15"/>
  <c r="BD214" i="15"/>
  <c r="BC214" i="15"/>
  <c r="BB214" i="15"/>
  <c r="BA214" i="15"/>
  <c r="AZ214" i="15"/>
  <c r="AY214" i="15"/>
  <c r="AX214" i="15"/>
  <c r="AW214" i="15"/>
  <c r="AV214" i="15"/>
  <c r="AU214" i="15"/>
  <c r="AT214" i="15"/>
  <c r="AS214" i="15"/>
  <c r="AR214" i="15"/>
  <c r="AQ214" i="15"/>
  <c r="AP214" i="15"/>
  <c r="AO214" i="15"/>
  <c r="AN214" i="15"/>
  <c r="AM214" i="15"/>
  <c r="AL214" i="15"/>
  <c r="AK214"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BE212" i="15"/>
  <c r="BD212" i="15"/>
  <c r="BC212" i="15"/>
  <c r="BB212" i="15"/>
  <c r="BA212" i="15"/>
  <c r="AZ212" i="15"/>
  <c r="AY212" i="15"/>
  <c r="AX212" i="15"/>
  <c r="AW212" i="15"/>
  <c r="AV212" i="15"/>
  <c r="AU212" i="15"/>
  <c r="AT212" i="15"/>
  <c r="AS212" i="15"/>
  <c r="AR212" i="15"/>
  <c r="AQ212" i="15"/>
  <c r="AP212" i="15"/>
  <c r="AO212" i="15"/>
  <c r="AN212" i="15"/>
  <c r="AM212" i="15"/>
  <c r="AL212" i="15"/>
  <c r="AK212" i="15"/>
  <c r="BE211" i="15"/>
  <c r="BD211" i="15"/>
  <c r="BC211" i="15"/>
  <c r="BB211" i="15"/>
  <c r="BA211" i="15"/>
  <c r="AZ211" i="15"/>
  <c r="AY211" i="15"/>
  <c r="AX211" i="15"/>
  <c r="AW211" i="15"/>
  <c r="AV211" i="15"/>
  <c r="AU211" i="15"/>
  <c r="AT211" i="15"/>
  <c r="AS211" i="15"/>
  <c r="AR211" i="15"/>
  <c r="AQ211" i="15"/>
  <c r="AP211" i="15"/>
  <c r="AO211" i="15"/>
  <c r="AN211" i="15"/>
  <c r="AM211" i="15"/>
  <c r="AL211" i="15"/>
  <c r="AK211" i="15"/>
  <c r="BE210" i="15"/>
  <c r="BD210" i="15"/>
  <c r="BC210" i="15"/>
  <c r="BB210" i="15"/>
  <c r="BA210" i="15"/>
  <c r="AZ210" i="15"/>
  <c r="AY210" i="15"/>
  <c r="AX210" i="15"/>
  <c r="AW210" i="15"/>
  <c r="AV210" i="15"/>
  <c r="AU210" i="15"/>
  <c r="AT210" i="15"/>
  <c r="AS210" i="15"/>
  <c r="AR210" i="15"/>
  <c r="AQ210" i="15"/>
  <c r="AP210" i="15"/>
  <c r="AO210" i="15"/>
  <c r="AN210" i="15"/>
  <c r="AM210" i="15"/>
  <c r="AL210" i="15"/>
  <c r="AK210"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BE208" i="15"/>
  <c r="BD208" i="15"/>
  <c r="BC208" i="15"/>
  <c r="BB208" i="15"/>
  <c r="BA208" i="15"/>
  <c r="AZ208" i="15"/>
  <c r="AY208" i="15"/>
  <c r="AX208" i="15"/>
  <c r="AW208" i="15"/>
  <c r="AV208" i="15"/>
  <c r="AU208" i="15"/>
  <c r="AT208" i="15"/>
  <c r="AS208" i="15"/>
  <c r="AR208" i="15"/>
  <c r="AQ208" i="15"/>
  <c r="AP208" i="15"/>
  <c r="AO208" i="15"/>
  <c r="AN208" i="15"/>
  <c r="AM208" i="15"/>
  <c r="AL208" i="15"/>
  <c r="AK208" i="15"/>
  <c r="BE207" i="15"/>
  <c r="BD207" i="15"/>
  <c r="BC207" i="15"/>
  <c r="BB207" i="15"/>
  <c r="BA207" i="15"/>
  <c r="AZ207" i="15"/>
  <c r="AY207" i="15"/>
  <c r="AX207" i="15"/>
  <c r="AW207" i="15"/>
  <c r="AV207" i="15"/>
  <c r="AU207" i="15"/>
  <c r="AT207" i="15"/>
  <c r="AS207" i="15"/>
  <c r="AR207" i="15"/>
  <c r="AQ207" i="15"/>
  <c r="AP207" i="15"/>
  <c r="AO207" i="15"/>
  <c r="AN207" i="15"/>
  <c r="AM207" i="15"/>
  <c r="AL207" i="15"/>
  <c r="AK207" i="15"/>
  <c r="BE206" i="15"/>
  <c r="BD206" i="15"/>
  <c r="BC206" i="15"/>
  <c r="BB206" i="15"/>
  <c r="BA206" i="15"/>
  <c r="AZ206" i="15"/>
  <c r="AY206" i="15"/>
  <c r="AX206" i="15"/>
  <c r="AW206" i="15"/>
  <c r="AV206" i="15"/>
  <c r="AU206" i="15"/>
  <c r="AT206" i="15"/>
  <c r="AS206" i="15"/>
  <c r="AR206" i="15"/>
  <c r="AQ206" i="15"/>
  <c r="AL206" i="15"/>
  <c r="AK206" i="15"/>
  <c r="BE205" i="15"/>
  <c r="BD205" i="15"/>
  <c r="BC205" i="15"/>
  <c r="BB205" i="15"/>
  <c r="BA205" i="15"/>
  <c r="AZ205" i="15"/>
  <c r="AY205" i="15"/>
  <c r="AX205" i="15"/>
  <c r="AW205" i="15"/>
  <c r="AV205" i="15"/>
  <c r="AU205" i="15"/>
  <c r="AT205" i="15"/>
  <c r="AS205" i="15"/>
  <c r="AR205" i="15"/>
  <c r="AQ205" i="15"/>
  <c r="AL205" i="15"/>
  <c r="AK205" i="15"/>
  <c r="BE204" i="15"/>
  <c r="BD204" i="15"/>
  <c r="BC204" i="15"/>
  <c r="BB204" i="15"/>
  <c r="BA204" i="15"/>
  <c r="AZ204" i="15"/>
  <c r="AY204" i="15"/>
  <c r="AX204" i="15"/>
  <c r="AW204" i="15"/>
  <c r="AV204" i="15"/>
  <c r="AU204" i="15"/>
  <c r="AT204" i="15"/>
  <c r="AS204" i="15"/>
  <c r="AR204" i="15"/>
  <c r="AQ204" i="15"/>
  <c r="AL204" i="15"/>
  <c r="AK204" i="15"/>
  <c r="BE203" i="15"/>
  <c r="BD203" i="15"/>
  <c r="BC203" i="15"/>
  <c r="BB203" i="15"/>
  <c r="BA203" i="15"/>
  <c r="AZ203" i="15"/>
  <c r="AY203" i="15"/>
  <c r="AX203" i="15"/>
  <c r="AW203" i="15"/>
  <c r="AV203" i="15"/>
  <c r="AU203" i="15"/>
  <c r="AT203" i="15"/>
  <c r="AS203" i="15"/>
  <c r="AR203" i="15"/>
  <c r="AQ203" i="15"/>
  <c r="AL203" i="15"/>
  <c r="AK203" i="15"/>
  <c r="BE202" i="15"/>
  <c r="BD202" i="15"/>
  <c r="BC202" i="15"/>
  <c r="BB202" i="15"/>
  <c r="BA202" i="15"/>
  <c r="AZ202" i="15"/>
  <c r="AY202" i="15"/>
  <c r="AX202" i="15"/>
  <c r="AW202" i="15"/>
  <c r="AV202" i="15"/>
  <c r="AU202" i="15"/>
  <c r="AT202" i="15"/>
  <c r="AS202" i="15"/>
  <c r="AR202" i="15"/>
  <c r="AQ202" i="15"/>
  <c r="AM202" i="15"/>
  <c r="AL202" i="15"/>
  <c r="AK202" i="15"/>
  <c r="BE201" i="15"/>
  <c r="BD201" i="15"/>
  <c r="BC201" i="15"/>
  <c r="BB201" i="15"/>
  <c r="BA201" i="15"/>
  <c r="AZ201" i="15"/>
  <c r="AY201" i="15"/>
  <c r="AX201" i="15"/>
  <c r="AW201" i="15"/>
  <c r="AV201" i="15"/>
  <c r="AU201" i="15"/>
  <c r="AT201" i="15"/>
  <c r="AS201" i="15"/>
  <c r="AR201" i="15"/>
  <c r="AQ201" i="15"/>
  <c r="AP201" i="15"/>
  <c r="AO201" i="15"/>
  <c r="AN201" i="15"/>
  <c r="AM201" i="15"/>
  <c r="AL201" i="15"/>
  <c r="AK201"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BE198" i="15"/>
  <c r="BD198" i="15"/>
  <c r="BC198" i="15"/>
  <c r="BB198" i="15"/>
  <c r="BA198" i="15"/>
  <c r="AZ198" i="15"/>
  <c r="AY198" i="15"/>
  <c r="AX198" i="15"/>
  <c r="AW198" i="15"/>
  <c r="AV198" i="15"/>
  <c r="AU198" i="15"/>
  <c r="AT198" i="15"/>
  <c r="AS198" i="15"/>
  <c r="AR198" i="15"/>
  <c r="AQ198" i="15"/>
  <c r="AP198" i="15"/>
  <c r="AO198" i="15"/>
  <c r="AN198" i="15"/>
  <c r="AM198" i="15"/>
  <c r="AL198" i="15"/>
  <c r="AK198" i="15"/>
  <c r="BE197" i="15"/>
  <c r="BD197" i="15"/>
  <c r="BC197" i="15"/>
  <c r="BB197" i="15"/>
  <c r="BA197" i="15"/>
  <c r="AZ197" i="15"/>
  <c r="AY197" i="15"/>
  <c r="AX197" i="15"/>
  <c r="AW197" i="15"/>
  <c r="AV197" i="15"/>
  <c r="AU197" i="15"/>
  <c r="AT197" i="15"/>
  <c r="AS197" i="15"/>
  <c r="AR197" i="15"/>
  <c r="AQ197" i="15"/>
  <c r="AP197" i="15"/>
  <c r="AO197" i="15"/>
  <c r="AN197" i="15"/>
  <c r="AM197" i="15"/>
  <c r="AL197" i="15"/>
  <c r="AK197" i="15"/>
  <c r="BE196" i="15"/>
  <c r="BD196" i="15"/>
  <c r="BC196" i="15"/>
  <c r="BB196" i="15"/>
  <c r="BA196" i="15"/>
  <c r="AZ196" i="15"/>
  <c r="AY196" i="15"/>
  <c r="AX196" i="15"/>
  <c r="AW196" i="15"/>
  <c r="AV196" i="15"/>
  <c r="AU196" i="15"/>
  <c r="AT196" i="15"/>
  <c r="AS196" i="15"/>
  <c r="AR196" i="15"/>
  <c r="AQ196" i="15"/>
  <c r="AP196" i="15"/>
  <c r="AO196" i="15"/>
  <c r="AN196" i="15"/>
  <c r="AM196" i="15"/>
  <c r="AL196" i="15"/>
  <c r="AK196" i="15"/>
  <c r="BE195" i="15"/>
  <c r="BD195" i="15"/>
  <c r="BC195" i="15"/>
  <c r="BB195" i="15"/>
  <c r="BA195" i="15"/>
  <c r="AZ195" i="15"/>
  <c r="AY195" i="15"/>
  <c r="AX195" i="15"/>
  <c r="AW195" i="15"/>
  <c r="AV195" i="15"/>
  <c r="AU195" i="15"/>
  <c r="AT195" i="15"/>
  <c r="AS195" i="15"/>
  <c r="AR195" i="15"/>
  <c r="AQ195" i="15"/>
  <c r="AP195" i="15"/>
  <c r="AO195" i="15"/>
  <c r="AN195" i="15"/>
  <c r="AM195" i="15"/>
  <c r="AL195" i="15"/>
  <c r="AK195" i="15"/>
  <c r="BE194" i="15"/>
  <c r="BD194" i="15"/>
  <c r="BC194" i="15"/>
  <c r="BB194" i="15"/>
  <c r="BA194" i="15"/>
  <c r="AZ194" i="15"/>
  <c r="AY194" i="15"/>
  <c r="AX194" i="15"/>
  <c r="AW194" i="15"/>
  <c r="AV194" i="15"/>
  <c r="AU194" i="15"/>
  <c r="AT194" i="15"/>
  <c r="AS194" i="15"/>
  <c r="AR194" i="15"/>
  <c r="AQ194" i="15"/>
  <c r="AP194" i="15"/>
  <c r="AO194" i="15"/>
  <c r="AN194" i="15"/>
  <c r="AM194" i="15"/>
  <c r="AL194" i="15"/>
  <c r="AK194" i="15"/>
  <c r="BE193" i="15"/>
  <c r="BD193" i="15"/>
  <c r="BC193" i="15"/>
  <c r="BB193" i="15"/>
  <c r="BA193" i="15"/>
  <c r="AZ193" i="15"/>
  <c r="AY193" i="15"/>
  <c r="AX193" i="15"/>
  <c r="AW193" i="15"/>
  <c r="AV193" i="15"/>
  <c r="AU193" i="15"/>
  <c r="AT193" i="15"/>
  <c r="AS193" i="15"/>
  <c r="AR193" i="15"/>
  <c r="AQ193" i="15"/>
  <c r="AP193" i="15"/>
  <c r="AO193" i="15"/>
  <c r="AN193" i="15"/>
  <c r="AM193" i="15"/>
  <c r="AL193" i="15"/>
  <c r="AK193" i="15"/>
  <c r="BE192" i="15"/>
  <c r="BD192" i="15"/>
  <c r="BC192" i="15"/>
  <c r="BB192" i="15"/>
  <c r="BA192" i="15"/>
  <c r="AZ192" i="15"/>
  <c r="AY192" i="15"/>
  <c r="AX192" i="15"/>
  <c r="AW192" i="15"/>
  <c r="AV192" i="15"/>
  <c r="AU192" i="15"/>
  <c r="AT192" i="15"/>
  <c r="AS192" i="15"/>
  <c r="AR192" i="15"/>
  <c r="AQ192" i="15"/>
  <c r="AL192" i="15"/>
  <c r="AK192" i="15"/>
  <c r="BE191" i="15"/>
  <c r="BD191" i="15"/>
  <c r="BC191" i="15"/>
  <c r="BB191" i="15"/>
  <c r="BA191" i="15"/>
  <c r="AZ191" i="15"/>
  <c r="AY191" i="15"/>
  <c r="AX191" i="15"/>
  <c r="AW191" i="15"/>
  <c r="AV191" i="15"/>
  <c r="AU191" i="15"/>
  <c r="AT191" i="15"/>
  <c r="AS191" i="15"/>
  <c r="AR191" i="15"/>
  <c r="AQ191" i="15"/>
  <c r="AL191" i="15"/>
  <c r="AK191" i="15"/>
  <c r="BE190" i="15"/>
  <c r="BD190" i="15"/>
  <c r="BC190" i="15"/>
  <c r="BB190" i="15"/>
  <c r="BA190" i="15"/>
  <c r="AZ190" i="15"/>
  <c r="AY190" i="15"/>
  <c r="AX190" i="15"/>
  <c r="AW190" i="15"/>
  <c r="AV190" i="15"/>
  <c r="AU190" i="15"/>
  <c r="AT190" i="15"/>
  <c r="AS190" i="15"/>
  <c r="AR190" i="15"/>
  <c r="AQ190" i="15"/>
  <c r="AL190" i="15"/>
  <c r="AK190" i="15"/>
  <c r="BE189" i="15"/>
  <c r="BD189" i="15"/>
  <c r="BC189" i="15"/>
  <c r="BB189" i="15"/>
  <c r="BA189" i="15"/>
  <c r="AZ189" i="15"/>
  <c r="AY189" i="15"/>
  <c r="AX189" i="15"/>
  <c r="AW189" i="15"/>
  <c r="AV189" i="15"/>
  <c r="AU189" i="15"/>
  <c r="AT189" i="15"/>
  <c r="AS189" i="15"/>
  <c r="AR189" i="15"/>
  <c r="AQ189" i="15"/>
  <c r="AL189" i="15"/>
  <c r="AK189" i="15"/>
  <c r="BE188" i="15"/>
  <c r="BD188" i="15"/>
  <c r="BC188" i="15"/>
  <c r="BB188" i="15"/>
  <c r="BA188" i="15"/>
  <c r="AZ188" i="15"/>
  <c r="AY188" i="15"/>
  <c r="AX188" i="15"/>
  <c r="AW188" i="15"/>
  <c r="AV188" i="15"/>
  <c r="AU188" i="15"/>
  <c r="AT188" i="15"/>
  <c r="AS188" i="15"/>
  <c r="AR188" i="15"/>
  <c r="AQ188" i="15"/>
  <c r="AM188" i="15"/>
  <c r="AL188" i="15"/>
  <c r="AK188"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BE186" i="15"/>
  <c r="BD186" i="15"/>
  <c r="BC186" i="15"/>
  <c r="BB186" i="15"/>
  <c r="BA186" i="15"/>
  <c r="AZ186" i="15"/>
  <c r="AY186" i="15"/>
  <c r="AX186" i="15"/>
  <c r="AW186" i="15"/>
  <c r="AV186" i="15"/>
  <c r="AU186" i="15"/>
  <c r="AT186" i="15"/>
  <c r="AS186" i="15"/>
  <c r="AR186" i="15"/>
  <c r="AQ186" i="15"/>
  <c r="AP186" i="15"/>
  <c r="AO186" i="15"/>
  <c r="AN186" i="15"/>
  <c r="AM186" i="15"/>
  <c r="AL186" i="15"/>
  <c r="AK186" i="15"/>
  <c r="BE185" i="15"/>
  <c r="BD185" i="15"/>
  <c r="BC185" i="15"/>
  <c r="BB185" i="15"/>
  <c r="BA185" i="15"/>
  <c r="AZ185" i="15"/>
  <c r="AY185" i="15"/>
  <c r="AX185" i="15"/>
  <c r="AW185" i="15"/>
  <c r="AV185" i="15"/>
  <c r="AU185" i="15"/>
  <c r="AT185" i="15"/>
  <c r="AS185" i="15"/>
  <c r="AR185" i="15"/>
  <c r="AQ185" i="15"/>
  <c r="AP185" i="15"/>
  <c r="AO185" i="15"/>
  <c r="AN185" i="15"/>
  <c r="AM185" i="15"/>
  <c r="AL185" i="15"/>
  <c r="AK185" i="15"/>
  <c r="BE184" i="15"/>
  <c r="BD184" i="15"/>
  <c r="BC184" i="15"/>
  <c r="BB184" i="15"/>
  <c r="BA184" i="15"/>
  <c r="AZ184" i="15"/>
  <c r="AY184" i="15"/>
  <c r="AX184" i="15"/>
  <c r="AW184" i="15"/>
  <c r="AV184" i="15"/>
  <c r="AU184" i="15"/>
  <c r="AT184" i="15"/>
  <c r="AS184" i="15"/>
  <c r="AR184" i="15"/>
  <c r="AQ184" i="15"/>
  <c r="AP184" i="15"/>
  <c r="AO184" i="15"/>
  <c r="AN184" i="15"/>
  <c r="AM184" i="15"/>
  <c r="AL184" i="15"/>
  <c r="AK184" i="15"/>
  <c r="BE183" i="15"/>
  <c r="BD183" i="15"/>
  <c r="BC183" i="15"/>
  <c r="BB183" i="15"/>
  <c r="BA183" i="15"/>
  <c r="AZ183" i="15"/>
  <c r="AY183" i="15"/>
  <c r="AX183" i="15"/>
  <c r="AW183" i="15"/>
  <c r="AV183" i="15"/>
  <c r="AU183" i="15"/>
  <c r="AT183" i="15"/>
  <c r="AS183" i="15"/>
  <c r="AR183" i="15"/>
  <c r="AQ183" i="15"/>
  <c r="AP183" i="15"/>
  <c r="AO183" i="15"/>
  <c r="AN183" i="15"/>
  <c r="AM183" i="15"/>
  <c r="AL183" i="15"/>
  <c r="AK183" i="15"/>
  <c r="BE182" i="15"/>
  <c r="BD182" i="15"/>
  <c r="BC182" i="15"/>
  <c r="BB182" i="15"/>
  <c r="BA182" i="15"/>
  <c r="AZ182" i="15"/>
  <c r="AY182" i="15"/>
  <c r="AX182" i="15"/>
  <c r="AW182" i="15"/>
  <c r="AV182" i="15"/>
  <c r="AU182" i="15"/>
  <c r="AT182" i="15"/>
  <c r="AS182" i="15"/>
  <c r="AR182" i="15"/>
  <c r="AQ182" i="15"/>
  <c r="AP182" i="15"/>
  <c r="AO182" i="15"/>
  <c r="AN182" i="15"/>
  <c r="AM182" i="15"/>
  <c r="AL182" i="15"/>
  <c r="AK182"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BE180" i="15"/>
  <c r="BD180" i="15"/>
  <c r="BC180" i="15"/>
  <c r="BB180" i="15"/>
  <c r="BA180" i="15"/>
  <c r="AZ180" i="15"/>
  <c r="AY180" i="15"/>
  <c r="AX180" i="15"/>
  <c r="AW180" i="15"/>
  <c r="AV180" i="15"/>
  <c r="AU180" i="15"/>
  <c r="AT180" i="15"/>
  <c r="AS180" i="15"/>
  <c r="AR180" i="15"/>
  <c r="AQ180" i="15"/>
  <c r="AP180" i="15"/>
  <c r="AO180" i="15"/>
  <c r="AN180" i="15"/>
  <c r="AM180" i="15"/>
  <c r="AL180" i="15"/>
  <c r="AK180" i="15"/>
  <c r="BE179" i="15"/>
  <c r="BD179" i="15"/>
  <c r="BC179" i="15"/>
  <c r="BB179" i="15"/>
  <c r="BA179" i="15"/>
  <c r="AZ179" i="15"/>
  <c r="AY179" i="15"/>
  <c r="AX179" i="15"/>
  <c r="AW179" i="15"/>
  <c r="AV179" i="15"/>
  <c r="AU179" i="15"/>
  <c r="AT179" i="15"/>
  <c r="AS179" i="15"/>
  <c r="AR179" i="15"/>
  <c r="AQ179" i="15"/>
  <c r="AP179" i="15"/>
  <c r="AO179" i="15"/>
  <c r="AN179" i="15"/>
  <c r="AM179" i="15"/>
  <c r="AL179" i="15"/>
  <c r="AK179" i="15"/>
  <c r="BE178" i="15"/>
  <c r="BD178" i="15"/>
  <c r="BC178" i="15"/>
  <c r="BB178" i="15"/>
  <c r="BA178" i="15"/>
  <c r="AZ178" i="15"/>
  <c r="AY178" i="15"/>
  <c r="AX178" i="15"/>
  <c r="AW178" i="15"/>
  <c r="AV178" i="15"/>
  <c r="AU178" i="15"/>
  <c r="AT178" i="15"/>
  <c r="AS178" i="15"/>
  <c r="AR178" i="15"/>
  <c r="AQ178" i="15"/>
  <c r="AL178" i="15"/>
  <c r="AK178" i="15"/>
  <c r="BE177" i="15"/>
  <c r="BD177" i="15"/>
  <c r="BC177" i="15"/>
  <c r="BB177" i="15"/>
  <c r="BA177" i="15"/>
  <c r="AZ177" i="15"/>
  <c r="AY177" i="15"/>
  <c r="AX177" i="15"/>
  <c r="AW177" i="15"/>
  <c r="AV177" i="15"/>
  <c r="AU177" i="15"/>
  <c r="AT177" i="15"/>
  <c r="AS177" i="15"/>
  <c r="AR177" i="15"/>
  <c r="AQ177" i="15"/>
  <c r="AL177" i="15"/>
  <c r="AK177" i="15"/>
  <c r="BE176" i="15"/>
  <c r="BD176" i="15"/>
  <c r="BC176" i="15"/>
  <c r="BB176" i="15"/>
  <c r="BA176" i="15"/>
  <c r="AZ176" i="15"/>
  <c r="AY176" i="15"/>
  <c r="AX176" i="15"/>
  <c r="AW176" i="15"/>
  <c r="AV176" i="15"/>
  <c r="AU176" i="15"/>
  <c r="AT176" i="15"/>
  <c r="AS176" i="15"/>
  <c r="AR176" i="15"/>
  <c r="AQ176" i="15"/>
  <c r="AL176" i="15"/>
  <c r="AK176" i="15"/>
  <c r="BE175" i="15"/>
  <c r="BD175" i="15"/>
  <c r="BC175" i="15"/>
  <c r="BB175" i="15"/>
  <c r="BA175" i="15"/>
  <c r="AZ175" i="15"/>
  <c r="AY175" i="15"/>
  <c r="AX175" i="15"/>
  <c r="AW175" i="15"/>
  <c r="AV175" i="15"/>
  <c r="AU175" i="15"/>
  <c r="AT175" i="15"/>
  <c r="AS175" i="15"/>
  <c r="AR175" i="15"/>
  <c r="AQ175" i="15"/>
  <c r="AL175" i="15"/>
  <c r="AK175" i="15"/>
  <c r="BE174" i="15"/>
  <c r="BD174" i="15"/>
  <c r="BC174" i="15"/>
  <c r="BB174" i="15"/>
  <c r="BA174" i="15"/>
  <c r="AZ174" i="15"/>
  <c r="AY174" i="15"/>
  <c r="AX174" i="15"/>
  <c r="AW174" i="15"/>
  <c r="AV174" i="15"/>
  <c r="AU174" i="15"/>
  <c r="AT174" i="15"/>
  <c r="AS174" i="15"/>
  <c r="AR174" i="15"/>
  <c r="AQ174" i="15"/>
  <c r="AM174" i="15"/>
  <c r="AL174" i="15"/>
  <c r="AK174" i="15"/>
  <c r="BE173" i="15"/>
  <c r="BD173" i="15"/>
  <c r="BC173" i="15"/>
  <c r="BB173" i="15"/>
  <c r="BA173" i="15"/>
  <c r="AZ173" i="15"/>
  <c r="AY173" i="15"/>
  <c r="AX173" i="15"/>
  <c r="AW173" i="15"/>
  <c r="AV173" i="15"/>
  <c r="AU173" i="15"/>
  <c r="AT173" i="15"/>
  <c r="AS173" i="15"/>
  <c r="AR173" i="15"/>
  <c r="AQ173" i="15"/>
  <c r="AP173" i="15"/>
  <c r="AO173" i="15"/>
  <c r="AN173" i="15"/>
  <c r="AM173" i="15"/>
  <c r="AL173" i="15"/>
  <c r="AK173" i="15"/>
  <c r="BE172" i="15"/>
  <c r="BD172" i="15"/>
  <c r="BC172" i="15"/>
  <c r="BB172" i="15"/>
  <c r="BA172" i="15"/>
  <c r="AZ172" i="15"/>
  <c r="AY172" i="15"/>
  <c r="AX172" i="15"/>
  <c r="AW172" i="15"/>
  <c r="AV172" i="15"/>
  <c r="AU172" i="15"/>
  <c r="AT172" i="15"/>
  <c r="AS172" i="15"/>
  <c r="AR172" i="15"/>
  <c r="AQ172" i="15"/>
  <c r="AP172" i="15"/>
  <c r="AO172" i="15"/>
  <c r="AN172" i="15"/>
  <c r="AM172" i="15"/>
  <c r="AL172" i="15"/>
  <c r="AK172" i="15"/>
  <c r="BE171" i="15"/>
  <c r="BD171" i="15"/>
  <c r="BC171" i="15"/>
  <c r="BB171" i="15"/>
  <c r="BA171" i="15"/>
  <c r="AZ171" i="15"/>
  <c r="AY171" i="15"/>
  <c r="AX171" i="15"/>
  <c r="AW171" i="15"/>
  <c r="AV171" i="15"/>
  <c r="AU171" i="15"/>
  <c r="AT171" i="15"/>
  <c r="AS171" i="15"/>
  <c r="AR171" i="15"/>
  <c r="AQ171" i="15"/>
  <c r="AP171" i="15"/>
  <c r="AO171" i="15"/>
  <c r="AN171" i="15"/>
  <c r="AM171" i="15"/>
  <c r="AL171" i="15"/>
  <c r="AK171" i="15"/>
  <c r="BE170" i="15"/>
  <c r="BD170" i="15"/>
  <c r="BC170" i="15"/>
  <c r="BB170" i="15"/>
  <c r="BA170" i="15"/>
  <c r="AZ170" i="15"/>
  <c r="AY170" i="15"/>
  <c r="AX170" i="15"/>
  <c r="AW170" i="15"/>
  <c r="AV170" i="15"/>
  <c r="AU170" i="15"/>
  <c r="AT170" i="15"/>
  <c r="AS170" i="15"/>
  <c r="AR170" i="15"/>
  <c r="AQ170" i="15"/>
  <c r="AP170" i="15"/>
  <c r="AO170" i="15"/>
  <c r="AN170" i="15"/>
  <c r="AM170" i="15"/>
  <c r="AL170" i="15"/>
  <c r="AK170"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BE167" i="15"/>
  <c r="BD167" i="15"/>
  <c r="BC167" i="15"/>
  <c r="BB167" i="15"/>
  <c r="BA167" i="15"/>
  <c r="AZ167" i="15"/>
  <c r="AY167" i="15"/>
  <c r="AX167" i="15"/>
  <c r="AW167" i="15"/>
  <c r="AV167" i="15"/>
  <c r="AU167" i="15"/>
  <c r="AT167" i="15"/>
  <c r="AS167" i="15"/>
  <c r="AR167" i="15"/>
  <c r="AQ167" i="15"/>
  <c r="AP167" i="15"/>
  <c r="AO167" i="15"/>
  <c r="AN167" i="15"/>
  <c r="AM167" i="15"/>
  <c r="AL167" i="15"/>
  <c r="AK167" i="15"/>
  <c r="BK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BK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BK164" i="15"/>
  <c r="BE164" i="15"/>
  <c r="BD164" i="15"/>
  <c r="BC164" i="15"/>
  <c r="BB164" i="15"/>
  <c r="BA164" i="15"/>
  <c r="AZ164" i="15"/>
  <c r="AY164" i="15"/>
  <c r="AX164" i="15"/>
  <c r="AW164" i="15"/>
  <c r="AV164" i="15"/>
  <c r="AU164" i="15"/>
  <c r="AT164" i="15"/>
  <c r="AS164" i="15"/>
  <c r="AR164" i="15"/>
  <c r="AQ164" i="15"/>
  <c r="AL164" i="15"/>
  <c r="AK164" i="15"/>
  <c r="BK163" i="15"/>
  <c r="BE163" i="15"/>
  <c r="BD163" i="15"/>
  <c r="BC163" i="15"/>
  <c r="BB163" i="15"/>
  <c r="BA163" i="15"/>
  <c r="AZ163" i="15"/>
  <c r="AY163" i="15"/>
  <c r="AX163" i="15"/>
  <c r="AW163" i="15"/>
  <c r="AV163" i="15"/>
  <c r="AU163" i="15"/>
  <c r="AT163" i="15"/>
  <c r="AS163" i="15"/>
  <c r="AR163" i="15"/>
  <c r="AQ163" i="15"/>
  <c r="AL163" i="15"/>
  <c r="AK163" i="15"/>
  <c r="BK162" i="15"/>
  <c r="BE162" i="15"/>
  <c r="BD162" i="15"/>
  <c r="BC162" i="15"/>
  <c r="BB162" i="15"/>
  <c r="BA162" i="15"/>
  <c r="AZ162" i="15"/>
  <c r="AY162" i="15"/>
  <c r="AX162" i="15"/>
  <c r="AW162" i="15"/>
  <c r="AV162" i="15"/>
  <c r="AU162" i="15"/>
  <c r="AT162" i="15"/>
  <c r="AS162" i="15"/>
  <c r="AR162" i="15"/>
  <c r="AQ162" i="15"/>
  <c r="AL162" i="15"/>
  <c r="AK162" i="15"/>
  <c r="BK161" i="15"/>
  <c r="BE161" i="15"/>
  <c r="BD161" i="15"/>
  <c r="BC161" i="15"/>
  <c r="BB161" i="15"/>
  <c r="BA161" i="15"/>
  <c r="AZ161" i="15"/>
  <c r="AY161" i="15"/>
  <c r="AX161" i="15"/>
  <c r="AW161" i="15"/>
  <c r="AV161" i="15"/>
  <c r="AU161" i="15"/>
  <c r="AT161" i="15"/>
  <c r="AS161" i="15"/>
  <c r="AR161" i="15"/>
  <c r="AQ161" i="15"/>
  <c r="AL161" i="15"/>
  <c r="AK161" i="15"/>
  <c r="BK160" i="15"/>
  <c r="BE160" i="15"/>
  <c r="BD160" i="15"/>
  <c r="BC160" i="15"/>
  <c r="BB160" i="15"/>
  <c r="BA160" i="15"/>
  <c r="AZ160" i="15"/>
  <c r="AY160" i="15"/>
  <c r="AX160" i="15"/>
  <c r="AW160" i="15"/>
  <c r="AV160" i="15"/>
  <c r="AU160" i="15"/>
  <c r="AT160" i="15"/>
  <c r="AS160" i="15"/>
  <c r="AR160" i="15"/>
  <c r="AQ160" i="15"/>
  <c r="AM160" i="15"/>
  <c r="AL160" i="15"/>
  <c r="AK160" i="15"/>
  <c r="BK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BK158" i="15"/>
  <c r="BE158" i="15"/>
  <c r="BD158" i="15"/>
  <c r="BC158" i="15"/>
  <c r="BB158" i="15"/>
  <c r="BA158" i="15"/>
  <c r="AZ158" i="15"/>
  <c r="AY158" i="15"/>
  <c r="AX158" i="15"/>
  <c r="AW158" i="15"/>
  <c r="AV158" i="15"/>
  <c r="AU158" i="15"/>
  <c r="AT158" i="15"/>
  <c r="AS158" i="15"/>
  <c r="AR158" i="15"/>
  <c r="AQ158" i="15"/>
  <c r="AP158" i="15"/>
  <c r="AO158" i="15"/>
  <c r="AN158" i="15"/>
  <c r="AM158" i="15"/>
  <c r="AL158" i="15"/>
  <c r="AK158" i="15"/>
  <c r="BK157" i="15"/>
  <c r="BE157" i="15"/>
  <c r="BD157" i="15"/>
  <c r="BC157" i="15"/>
  <c r="BB157" i="15"/>
  <c r="BA157" i="15"/>
  <c r="AZ157" i="15"/>
  <c r="AY157" i="15"/>
  <c r="AX157" i="15"/>
  <c r="AW157" i="15"/>
  <c r="AV157" i="15"/>
  <c r="AU157" i="15"/>
  <c r="AT157" i="15"/>
  <c r="AS157" i="15"/>
  <c r="AR157" i="15"/>
  <c r="AQ157" i="15"/>
  <c r="AP157" i="15"/>
  <c r="AO157" i="15"/>
  <c r="AN157" i="15"/>
  <c r="AM157" i="15"/>
  <c r="AL157" i="15"/>
  <c r="AK157" i="15"/>
  <c r="BK156" i="15"/>
  <c r="BE156" i="15"/>
  <c r="BD156" i="15"/>
  <c r="BC156" i="15"/>
  <c r="BB156" i="15"/>
  <c r="BA156" i="15"/>
  <c r="AZ156" i="15"/>
  <c r="AY156" i="15"/>
  <c r="AX156" i="15"/>
  <c r="AW156" i="15"/>
  <c r="AV156" i="15"/>
  <c r="AU156" i="15"/>
  <c r="AT156" i="15"/>
  <c r="AS156" i="15"/>
  <c r="AR156" i="15"/>
  <c r="AQ156" i="15"/>
  <c r="AP156" i="15"/>
  <c r="AO156" i="15"/>
  <c r="AN156" i="15"/>
  <c r="AM156" i="15"/>
  <c r="AL156" i="15"/>
  <c r="AK156" i="15"/>
  <c r="BK155" i="15"/>
  <c r="BE155" i="15"/>
  <c r="BD155" i="15"/>
  <c r="BC155" i="15"/>
  <c r="BB155" i="15"/>
  <c r="BA155" i="15"/>
  <c r="AZ155" i="15"/>
  <c r="AY155" i="15"/>
  <c r="AX155" i="15"/>
  <c r="AW155" i="15"/>
  <c r="AV155" i="15"/>
  <c r="AU155" i="15"/>
  <c r="AT155" i="15"/>
  <c r="AS155" i="15"/>
  <c r="AR155" i="15"/>
  <c r="AQ155" i="15"/>
  <c r="AP155" i="15"/>
  <c r="AO155" i="15"/>
  <c r="AN155" i="15"/>
  <c r="AM155" i="15"/>
  <c r="AL155" i="15"/>
  <c r="AK155" i="15"/>
  <c r="BK154" i="15"/>
  <c r="BE154" i="15"/>
  <c r="BD154" i="15"/>
  <c r="BC154" i="15"/>
  <c r="BB154" i="15"/>
  <c r="BA154" i="15"/>
  <c r="AZ154" i="15"/>
  <c r="AY154" i="15"/>
  <c r="AX154" i="15"/>
  <c r="AW154" i="15"/>
  <c r="AV154" i="15"/>
  <c r="AU154" i="15"/>
  <c r="AT154" i="15"/>
  <c r="AS154" i="15"/>
  <c r="AR154" i="15"/>
  <c r="AQ154" i="15"/>
  <c r="AP154" i="15"/>
  <c r="AO154" i="15"/>
  <c r="AN154" i="15"/>
  <c r="AM154" i="15"/>
  <c r="AL154" i="15"/>
  <c r="AK154" i="15"/>
  <c r="BK153" i="15"/>
  <c r="BE153" i="15"/>
  <c r="BD153" i="15"/>
  <c r="BC153" i="15"/>
  <c r="BB153" i="15"/>
  <c r="BA153" i="15"/>
  <c r="AZ153" i="15"/>
  <c r="AY153" i="15"/>
  <c r="AX153" i="15"/>
  <c r="AW153" i="15"/>
  <c r="AV153" i="15"/>
  <c r="AU153" i="15"/>
  <c r="AT153" i="15"/>
  <c r="AS153" i="15"/>
  <c r="AR153" i="15"/>
  <c r="AQ153" i="15"/>
  <c r="AP153" i="15"/>
  <c r="AO153" i="15"/>
  <c r="AN153" i="15"/>
  <c r="AM153" i="15"/>
  <c r="AL153" i="15"/>
  <c r="AK153" i="15"/>
  <c r="BK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BK151" i="15"/>
  <c r="BE151" i="15"/>
  <c r="BD151" i="15"/>
  <c r="BC151" i="15"/>
  <c r="BB151" i="15"/>
  <c r="BA151" i="15"/>
  <c r="AZ151" i="15"/>
  <c r="AY151" i="15"/>
  <c r="AX151" i="15"/>
  <c r="AW151" i="15"/>
  <c r="AV151" i="15"/>
  <c r="AU151" i="15"/>
  <c r="AT151" i="15"/>
  <c r="AS151" i="15"/>
  <c r="AR151" i="15"/>
  <c r="AQ151" i="15"/>
  <c r="AP151" i="15"/>
  <c r="AO151" i="15"/>
  <c r="AN151" i="15"/>
  <c r="AM151" i="15"/>
  <c r="AL151" i="15"/>
  <c r="AK151" i="15"/>
  <c r="BK150" i="15"/>
  <c r="BE150" i="15"/>
  <c r="BD150" i="15"/>
  <c r="BC150" i="15"/>
  <c r="BB150" i="15"/>
  <c r="BA150" i="15"/>
  <c r="AZ150" i="15"/>
  <c r="AY150" i="15"/>
  <c r="AX150" i="15"/>
  <c r="AW150" i="15"/>
  <c r="AV150" i="15"/>
  <c r="AU150" i="15"/>
  <c r="AT150" i="15"/>
  <c r="AS150" i="15"/>
  <c r="AR150" i="15"/>
  <c r="AQ150" i="15"/>
  <c r="AL150" i="15"/>
  <c r="AK150" i="15"/>
  <c r="BK149" i="15"/>
  <c r="BE149" i="15"/>
  <c r="BD149" i="15"/>
  <c r="BC149" i="15"/>
  <c r="BB149" i="15"/>
  <c r="BA149" i="15"/>
  <c r="AZ149" i="15"/>
  <c r="AY149" i="15"/>
  <c r="AX149" i="15"/>
  <c r="AW149" i="15"/>
  <c r="AV149" i="15"/>
  <c r="AU149" i="15"/>
  <c r="AT149" i="15"/>
  <c r="AS149" i="15"/>
  <c r="AR149" i="15"/>
  <c r="AQ149" i="15"/>
  <c r="AL149" i="15"/>
  <c r="AK149" i="15"/>
  <c r="BK148" i="15"/>
  <c r="BE148" i="15"/>
  <c r="BD148" i="15"/>
  <c r="BC148" i="15"/>
  <c r="BB148" i="15"/>
  <c r="BA148" i="15"/>
  <c r="AZ148" i="15"/>
  <c r="AY148" i="15"/>
  <c r="AX148" i="15"/>
  <c r="AW148" i="15"/>
  <c r="AV148" i="15"/>
  <c r="AU148" i="15"/>
  <c r="AT148" i="15"/>
  <c r="AS148" i="15"/>
  <c r="AR148" i="15"/>
  <c r="AQ148" i="15"/>
  <c r="AL148" i="15"/>
  <c r="AK148" i="15"/>
  <c r="BE147" i="15"/>
  <c r="BD147" i="15"/>
  <c r="BC147" i="15"/>
  <c r="BB147" i="15"/>
  <c r="BA147" i="15"/>
  <c r="AZ147" i="15"/>
  <c r="AY147" i="15"/>
  <c r="AX147" i="15"/>
  <c r="AW147" i="15"/>
  <c r="AV147" i="15"/>
  <c r="AU147" i="15"/>
  <c r="AT147" i="15"/>
  <c r="AS147" i="15"/>
  <c r="AR147" i="15"/>
  <c r="AQ147" i="15"/>
  <c r="AL147" i="15"/>
  <c r="AK147" i="15"/>
  <c r="BE146" i="15"/>
  <c r="BD146" i="15"/>
  <c r="BC146" i="15"/>
  <c r="BB146" i="15"/>
  <c r="BA146" i="15"/>
  <c r="AZ146" i="15"/>
  <c r="AY146" i="15"/>
  <c r="AX146" i="15"/>
  <c r="AW146" i="15"/>
  <c r="AV146" i="15"/>
  <c r="AU146" i="15"/>
  <c r="AT146" i="15"/>
  <c r="AS146" i="15"/>
  <c r="AR146" i="15"/>
  <c r="AQ146" i="15"/>
  <c r="AM146" i="15"/>
  <c r="AL146" i="15"/>
  <c r="AK146" i="15"/>
  <c r="BE145" i="15"/>
  <c r="BD145" i="15"/>
  <c r="BC145" i="15"/>
  <c r="BB145" i="15"/>
  <c r="BA145" i="15"/>
  <c r="AZ145" i="15"/>
  <c r="AY145" i="15"/>
  <c r="AX145" i="15"/>
  <c r="AW145" i="15"/>
  <c r="AV145" i="15"/>
  <c r="AU145" i="15"/>
  <c r="AT145" i="15"/>
  <c r="AS145" i="15"/>
  <c r="AR145" i="15"/>
  <c r="AQ145" i="15"/>
  <c r="AP145" i="15"/>
  <c r="AO145" i="15"/>
  <c r="AN145" i="15"/>
  <c r="AM145" i="15"/>
  <c r="AL145" i="15"/>
  <c r="AK145" i="15"/>
  <c r="BE144" i="15"/>
  <c r="BD144" i="15"/>
  <c r="BC144" i="15"/>
  <c r="BB144" i="15"/>
  <c r="BA144" i="15"/>
  <c r="AZ144" i="15"/>
  <c r="AY144" i="15"/>
  <c r="AX144" i="15"/>
  <c r="AW144" i="15"/>
  <c r="AV144" i="15"/>
  <c r="AU144" i="15"/>
  <c r="AT144" i="15"/>
  <c r="AS144" i="15"/>
  <c r="AR144" i="15"/>
  <c r="AQ144" i="15"/>
  <c r="AP144" i="15"/>
  <c r="AO144" i="15"/>
  <c r="AN144" i="15"/>
  <c r="AM144" i="15"/>
  <c r="AL144" i="15"/>
  <c r="AK144" i="15"/>
  <c r="BP143" i="15"/>
  <c r="BO143" i="15"/>
  <c r="BN143" i="15"/>
  <c r="BL143" i="15"/>
  <c r="BK143" i="15"/>
  <c r="BM143" i="15" s="1"/>
  <c r="BJ143" i="15"/>
  <c r="BE143" i="15"/>
  <c r="BD143" i="15"/>
  <c r="BC143" i="15"/>
  <c r="BB143" i="15"/>
  <c r="BA143" i="15"/>
  <c r="AZ143" i="15"/>
  <c r="AY143" i="15"/>
  <c r="AX143" i="15"/>
  <c r="AW143" i="15"/>
  <c r="AV143" i="15"/>
  <c r="AU143" i="15"/>
  <c r="AT143" i="15"/>
  <c r="AS143" i="15"/>
  <c r="AR143" i="15"/>
  <c r="AQ143" i="15"/>
  <c r="AP143" i="15"/>
  <c r="AO143" i="15"/>
  <c r="AN143" i="15"/>
  <c r="AM143" i="15"/>
  <c r="AL143" i="15"/>
  <c r="AK143" i="15"/>
  <c r="BP142" i="15"/>
  <c r="BO142" i="15"/>
  <c r="BN142" i="15"/>
  <c r="BL142" i="15"/>
  <c r="BK142" i="15"/>
  <c r="BM142" i="15" s="1"/>
  <c r="BJ142" i="15"/>
  <c r="BE142" i="15"/>
  <c r="BD142" i="15"/>
  <c r="BC142" i="15"/>
  <c r="BB142" i="15"/>
  <c r="BA142" i="15"/>
  <c r="AZ142" i="15"/>
  <c r="AY142" i="15"/>
  <c r="AX142" i="15"/>
  <c r="AW142" i="15"/>
  <c r="AV142" i="15"/>
  <c r="AU142" i="15"/>
  <c r="AT142" i="15"/>
  <c r="AS142" i="15"/>
  <c r="AR142" i="15"/>
  <c r="AQ142" i="15"/>
  <c r="AP142" i="15"/>
  <c r="AO142" i="15"/>
  <c r="AN142" i="15"/>
  <c r="AM142" i="15"/>
  <c r="AL142" i="15"/>
  <c r="AK142" i="15"/>
  <c r="BP141" i="15"/>
  <c r="BO141" i="15"/>
  <c r="BN141" i="15"/>
  <c r="BL141" i="15"/>
  <c r="BK141" i="15"/>
  <c r="BM141" i="15" s="1"/>
  <c r="BJ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BP140" i="15"/>
  <c r="BO140" i="15"/>
  <c r="BN140" i="15"/>
  <c r="BL140" i="15"/>
  <c r="BK140" i="15"/>
  <c r="BM140" i="15" s="1"/>
  <c r="BJ140" i="15"/>
  <c r="BE140" i="15"/>
  <c r="BD140" i="15"/>
  <c r="BC140" i="15"/>
  <c r="BB140" i="15"/>
  <c r="BA140" i="15"/>
  <c r="AZ140" i="15"/>
  <c r="AY140" i="15"/>
  <c r="AX140" i="15"/>
  <c r="AW140" i="15"/>
  <c r="AV140" i="15"/>
  <c r="AU140" i="15"/>
  <c r="AT140" i="15"/>
  <c r="AS140" i="15"/>
  <c r="AR140" i="15"/>
  <c r="AQ140" i="15"/>
  <c r="AP140" i="15"/>
  <c r="AO140" i="15"/>
  <c r="AN140" i="15"/>
  <c r="AM140" i="15"/>
  <c r="AL140" i="15"/>
  <c r="AK140" i="15"/>
  <c r="BP139" i="15"/>
  <c r="BO139" i="15"/>
  <c r="BN139" i="15"/>
  <c r="BL139" i="15"/>
  <c r="BK139" i="15"/>
  <c r="BM139" i="15" s="1"/>
  <c r="BJ139" i="15"/>
  <c r="BE139" i="15"/>
  <c r="BD139" i="15"/>
  <c r="BC139" i="15"/>
  <c r="BB139" i="15"/>
  <c r="BA139" i="15"/>
  <c r="AZ139" i="15"/>
  <c r="AY139" i="15"/>
  <c r="AX139" i="15"/>
  <c r="AW139" i="15"/>
  <c r="AV139" i="15"/>
  <c r="AU139" i="15"/>
  <c r="AT139" i="15"/>
  <c r="AS139" i="15"/>
  <c r="AR139" i="15"/>
  <c r="AQ139" i="15"/>
  <c r="AP139" i="15"/>
  <c r="AO139" i="15"/>
  <c r="AN139" i="15"/>
  <c r="AM139" i="15"/>
  <c r="AL139" i="15"/>
  <c r="AK139" i="15"/>
  <c r="BP138" i="15"/>
  <c r="BO138" i="15"/>
  <c r="BN138" i="15"/>
  <c r="BL138" i="15"/>
  <c r="BK138" i="15"/>
  <c r="BM138" i="15" s="1"/>
  <c r="BJ138" i="15"/>
  <c r="BE138" i="15"/>
  <c r="BD138" i="15"/>
  <c r="BC138" i="15"/>
  <c r="BB138" i="15"/>
  <c r="BA138" i="15"/>
  <c r="AZ138" i="15"/>
  <c r="AY138" i="15"/>
  <c r="AX138" i="15"/>
  <c r="AW138" i="15"/>
  <c r="AV138" i="15"/>
  <c r="AU138" i="15"/>
  <c r="AT138" i="15"/>
  <c r="AS138" i="15"/>
  <c r="AR138" i="15"/>
  <c r="AQ138" i="15"/>
  <c r="AP138" i="15"/>
  <c r="AO138" i="15"/>
  <c r="AN138" i="15"/>
  <c r="AM138" i="15"/>
  <c r="AL138" i="15"/>
  <c r="AK138" i="15"/>
  <c r="BP137" i="15"/>
  <c r="BO137" i="15"/>
  <c r="BN137" i="15"/>
  <c r="BL137" i="15"/>
  <c r="BK137" i="15"/>
  <c r="BM137" i="15" s="1"/>
  <c r="BJ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BP136" i="15"/>
  <c r="BO136" i="15"/>
  <c r="BN136" i="15"/>
  <c r="BL136" i="15"/>
  <c r="BK136" i="15"/>
  <c r="BM136" i="15" s="1"/>
  <c r="BJ136" i="15"/>
  <c r="BE136" i="15"/>
  <c r="BD136" i="15"/>
  <c r="BC136" i="15"/>
  <c r="BB136" i="15"/>
  <c r="BA136" i="15"/>
  <c r="AZ136" i="15"/>
  <c r="AY136" i="15"/>
  <c r="AX136" i="15"/>
  <c r="AW136" i="15"/>
  <c r="AV136" i="15"/>
  <c r="AU136" i="15"/>
  <c r="AT136" i="15"/>
  <c r="AS136" i="15"/>
  <c r="AR136" i="15"/>
  <c r="AQ136" i="15"/>
  <c r="AL136" i="15"/>
  <c r="AK136" i="15"/>
  <c r="BP135" i="15"/>
  <c r="BO135" i="15"/>
  <c r="BN135" i="15"/>
  <c r="BL135" i="15"/>
  <c r="BK135" i="15"/>
  <c r="BM135" i="15" s="1"/>
  <c r="BJ135" i="15"/>
  <c r="BE135" i="15"/>
  <c r="BD135" i="15"/>
  <c r="BC135" i="15"/>
  <c r="BB135" i="15"/>
  <c r="BA135" i="15"/>
  <c r="AZ135" i="15"/>
  <c r="AY135" i="15"/>
  <c r="AX135" i="15"/>
  <c r="AW135" i="15"/>
  <c r="AV135" i="15"/>
  <c r="AU135" i="15"/>
  <c r="AT135" i="15"/>
  <c r="AS135" i="15"/>
  <c r="AR135" i="15"/>
  <c r="AQ135" i="15"/>
  <c r="AL135" i="15"/>
  <c r="AK135" i="15"/>
  <c r="BP134" i="15"/>
  <c r="BO134" i="15"/>
  <c r="BN134" i="15"/>
  <c r="BL134" i="15"/>
  <c r="BK134" i="15"/>
  <c r="BM134" i="15" s="1"/>
  <c r="BJ134" i="15"/>
  <c r="BE134" i="15"/>
  <c r="BD134" i="15"/>
  <c r="BC134" i="15"/>
  <c r="BB134" i="15"/>
  <c r="BA134" i="15"/>
  <c r="AZ134" i="15"/>
  <c r="AY134" i="15"/>
  <c r="AX134" i="15"/>
  <c r="AW134" i="15"/>
  <c r="AV134" i="15"/>
  <c r="AU134" i="15"/>
  <c r="AT134" i="15"/>
  <c r="AS134" i="15"/>
  <c r="AR134" i="15"/>
  <c r="AQ134" i="15"/>
  <c r="AL134" i="15"/>
  <c r="AK134" i="15"/>
  <c r="BP133" i="15"/>
  <c r="BO133" i="15"/>
  <c r="BN133" i="15"/>
  <c r="BL133" i="15"/>
  <c r="BK133" i="15"/>
  <c r="BM133" i="15" s="1"/>
  <c r="BJ133" i="15"/>
  <c r="BE133" i="15"/>
  <c r="BD133" i="15"/>
  <c r="BC133" i="15"/>
  <c r="BB133" i="15"/>
  <c r="BA133" i="15"/>
  <c r="AZ133" i="15"/>
  <c r="AY133" i="15"/>
  <c r="AX133" i="15"/>
  <c r="AW133" i="15"/>
  <c r="AV133" i="15"/>
  <c r="AU133" i="15"/>
  <c r="AT133" i="15"/>
  <c r="AS133" i="15"/>
  <c r="AR133" i="15"/>
  <c r="AQ133" i="15"/>
  <c r="AL133" i="15"/>
  <c r="AK133" i="15"/>
  <c r="BP132" i="15"/>
  <c r="BO132" i="15"/>
  <c r="BN132" i="15"/>
  <c r="BL132" i="15"/>
  <c r="BK132" i="15"/>
  <c r="BM132" i="15" s="1"/>
  <c r="BJ132" i="15"/>
  <c r="BE132" i="15"/>
  <c r="BD132" i="15"/>
  <c r="BC132" i="15"/>
  <c r="BB132" i="15"/>
  <c r="BA132" i="15"/>
  <c r="AZ132" i="15"/>
  <c r="AY132" i="15"/>
  <c r="AX132" i="15"/>
  <c r="AW132" i="15"/>
  <c r="AV132" i="15"/>
  <c r="AU132" i="15"/>
  <c r="AT132" i="15"/>
  <c r="AS132" i="15"/>
  <c r="AR132" i="15"/>
  <c r="AQ132" i="15"/>
  <c r="AN132" i="15"/>
  <c r="AM132" i="15"/>
  <c r="AL132" i="15"/>
  <c r="AK132" i="15"/>
  <c r="BP131" i="15"/>
  <c r="BO131" i="15"/>
  <c r="BN131" i="15"/>
  <c r="BL131" i="15"/>
  <c r="BK131" i="15"/>
  <c r="BM131" i="15" s="1"/>
  <c r="BJ131" i="15"/>
  <c r="BE131" i="15"/>
  <c r="BD131" i="15"/>
  <c r="BC131" i="15"/>
  <c r="BB131" i="15"/>
  <c r="BA131" i="15"/>
  <c r="AZ131" i="15"/>
  <c r="AY131" i="15"/>
  <c r="AX131" i="15"/>
  <c r="AW131" i="15"/>
  <c r="AV131" i="15"/>
  <c r="AU131" i="15"/>
  <c r="AT131" i="15"/>
  <c r="AS131" i="15"/>
  <c r="AR131" i="15"/>
  <c r="AQ131" i="15"/>
  <c r="AP131" i="15"/>
  <c r="AO131" i="15"/>
  <c r="AN131" i="15"/>
  <c r="AM131" i="15"/>
  <c r="AL131" i="15"/>
  <c r="AK131" i="15"/>
  <c r="BP130" i="15"/>
  <c r="BO130" i="15"/>
  <c r="BN130" i="15"/>
  <c r="BL130" i="15"/>
  <c r="BK130" i="15"/>
  <c r="BM130" i="15" s="1"/>
  <c r="BJ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BP129" i="15"/>
  <c r="BO129" i="15"/>
  <c r="BN129" i="15"/>
  <c r="BL129" i="15"/>
  <c r="BK129" i="15"/>
  <c r="BM129" i="15" s="1"/>
  <c r="BJ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BP128" i="15"/>
  <c r="BO128" i="15"/>
  <c r="BN128" i="15"/>
  <c r="BL128" i="15"/>
  <c r="BK128" i="15"/>
  <c r="BM128" i="15" s="1"/>
  <c r="BJ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BP127" i="15"/>
  <c r="BO127" i="15"/>
  <c r="BN127" i="15"/>
  <c r="BL127" i="15"/>
  <c r="BK127" i="15"/>
  <c r="BM127" i="15" s="1"/>
  <c r="BJ127" i="15"/>
  <c r="BE127" i="15"/>
  <c r="BD127" i="15"/>
  <c r="BC127" i="15"/>
  <c r="BB127" i="15"/>
  <c r="BA127" i="15"/>
  <c r="AZ127" i="15"/>
  <c r="AY127" i="15"/>
  <c r="AX127" i="15"/>
  <c r="AW127" i="15"/>
  <c r="AV127" i="15"/>
  <c r="AU127" i="15"/>
  <c r="AT127" i="15"/>
  <c r="AS127" i="15"/>
  <c r="AR127" i="15"/>
  <c r="AQ127" i="15"/>
  <c r="AP127" i="15"/>
  <c r="AO127" i="15"/>
  <c r="AN127" i="15"/>
  <c r="AM127" i="15"/>
  <c r="AL127" i="15"/>
  <c r="AK127" i="15"/>
  <c r="BP126" i="15"/>
  <c r="BO126" i="15"/>
  <c r="BN126" i="15"/>
  <c r="BL126" i="15"/>
  <c r="BK126" i="15"/>
  <c r="BM126" i="15" s="1"/>
  <c r="BJ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BP125" i="15"/>
  <c r="BO125" i="15"/>
  <c r="BN125" i="15"/>
  <c r="BL125" i="15"/>
  <c r="BK125" i="15"/>
  <c r="BM125" i="15" s="1"/>
  <c r="BJ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BP124" i="15"/>
  <c r="BO124" i="15"/>
  <c r="BN124" i="15"/>
  <c r="BL124" i="15"/>
  <c r="BK124" i="15"/>
  <c r="BM124" i="15" s="1"/>
  <c r="BJ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BP123" i="15"/>
  <c r="BO123" i="15"/>
  <c r="BN123" i="15"/>
  <c r="BL123" i="15"/>
  <c r="BK123" i="15"/>
  <c r="BM123" i="15" s="1"/>
  <c r="BJ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BP122" i="15"/>
  <c r="BO122" i="15"/>
  <c r="BN122" i="15"/>
  <c r="BL122" i="15"/>
  <c r="BK122" i="15"/>
  <c r="BM122" i="15" s="1"/>
  <c r="BJ122" i="15"/>
  <c r="BE122" i="15"/>
  <c r="BD122" i="15"/>
  <c r="BC122" i="15"/>
  <c r="BB122" i="15"/>
  <c r="BA122" i="15"/>
  <c r="AZ122" i="15"/>
  <c r="AY122" i="15"/>
  <c r="AX122" i="15"/>
  <c r="AW122" i="15"/>
  <c r="AV122" i="15"/>
  <c r="AU122" i="15"/>
  <c r="AT122" i="15"/>
  <c r="AS122" i="15"/>
  <c r="AR122" i="15"/>
  <c r="AQ122" i="15"/>
  <c r="AL122" i="15"/>
  <c r="AK122" i="15"/>
  <c r="BP121" i="15"/>
  <c r="BO121" i="15"/>
  <c r="BN121" i="15"/>
  <c r="BL121" i="15"/>
  <c r="BK121" i="15"/>
  <c r="BM121" i="15" s="1"/>
  <c r="BJ121" i="15"/>
  <c r="BE121" i="15"/>
  <c r="BD121" i="15"/>
  <c r="BC121" i="15"/>
  <c r="BB121" i="15"/>
  <c r="BA121" i="15"/>
  <c r="AZ121" i="15"/>
  <c r="AY121" i="15"/>
  <c r="AX121" i="15"/>
  <c r="AW121" i="15"/>
  <c r="AV121" i="15"/>
  <c r="AU121" i="15"/>
  <c r="AT121" i="15"/>
  <c r="AS121" i="15"/>
  <c r="AR121" i="15"/>
  <c r="AQ121" i="15"/>
  <c r="AL121" i="15"/>
  <c r="AK121" i="15"/>
  <c r="BP120" i="15"/>
  <c r="BO120" i="15"/>
  <c r="BN120" i="15"/>
  <c r="BL120" i="15"/>
  <c r="BK120" i="15"/>
  <c r="BM120" i="15" s="1"/>
  <c r="BJ120" i="15"/>
  <c r="BE120" i="15"/>
  <c r="BD120" i="15"/>
  <c r="BC120" i="15"/>
  <c r="BB120" i="15"/>
  <c r="BA120" i="15"/>
  <c r="AZ120" i="15"/>
  <c r="AY120" i="15"/>
  <c r="AX120" i="15"/>
  <c r="AW120" i="15"/>
  <c r="AV120" i="15"/>
  <c r="AU120" i="15"/>
  <c r="AT120" i="15"/>
  <c r="AS120" i="15"/>
  <c r="AR120" i="15"/>
  <c r="AQ120" i="15"/>
  <c r="AL120" i="15"/>
  <c r="AK120" i="15"/>
  <c r="BP119" i="15"/>
  <c r="BO119" i="15"/>
  <c r="BN119" i="15"/>
  <c r="BL119" i="15"/>
  <c r="BK119" i="15"/>
  <c r="BM119" i="15" s="1"/>
  <c r="BJ119" i="15"/>
  <c r="BE119" i="15"/>
  <c r="BD119" i="15"/>
  <c r="BC119" i="15"/>
  <c r="BB119" i="15"/>
  <c r="BA119" i="15"/>
  <c r="AZ119" i="15"/>
  <c r="AY119" i="15"/>
  <c r="AX119" i="15"/>
  <c r="AW119" i="15"/>
  <c r="AV119" i="15"/>
  <c r="AU119" i="15"/>
  <c r="AT119" i="15"/>
  <c r="AS119" i="15"/>
  <c r="AR119" i="15"/>
  <c r="AQ119" i="15"/>
  <c r="AL119" i="15"/>
  <c r="AK119" i="15"/>
  <c r="BP118" i="15"/>
  <c r="BO118" i="15"/>
  <c r="BN118" i="15"/>
  <c r="BL118" i="15"/>
  <c r="BK118" i="15"/>
  <c r="BM118" i="15" s="1"/>
  <c r="BJ118" i="15"/>
  <c r="BE118" i="15"/>
  <c r="BD118" i="15"/>
  <c r="BC118" i="15"/>
  <c r="BB118" i="15"/>
  <c r="BA118" i="15"/>
  <c r="AZ118" i="15"/>
  <c r="AY118" i="15"/>
  <c r="AX118" i="15"/>
  <c r="AW118" i="15"/>
  <c r="AV118" i="15"/>
  <c r="AU118" i="15"/>
  <c r="AT118" i="15"/>
  <c r="AS118" i="15"/>
  <c r="AR118" i="15"/>
  <c r="AQ118" i="15"/>
  <c r="AM118" i="15"/>
  <c r="AL118" i="15"/>
  <c r="AK118" i="15"/>
  <c r="BP117" i="15"/>
  <c r="BO117" i="15"/>
  <c r="BN117" i="15"/>
  <c r="BL117" i="15"/>
  <c r="BK117" i="15"/>
  <c r="BM117" i="15" s="1"/>
  <c r="BJ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BP116" i="15"/>
  <c r="BO116" i="15"/>
  <c r="BN116" i="15"/>
  <c r="BL116" i="15"/>
  <c r="BK116" i="15"/>
  <c r="BM116" i="15" s="1"/>
  <c r="BJ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BP115" i="15"/>
  <c r="BO115" i="15"/>
  <c r="BN115" i="15"/>
  <c r="BL115" i="15"/>
  <c r="BK115" i="15"/>
  <c r="BM115" i="15" s="1"/>
  <c r="BJ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BP114" i="15"/>
  <c r="BO114" i="15"/>
  <c r="BN114" i="15"/>
  <c r="BL114" i="15"/>
  <c r="BK114" i="15"/>
  <c r="BM114" i="15" s="1"/>
  <c r="BJ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BP113" i="15"/>
  <c r="BO113" i="15"/>
  <c r="BN113" i="15"/>
  <c r="BL113" i="15"/>
  <c r="BK113" i="15"/>
  <c r="BM113" i="15" s="1"/>
  <c r="BJ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BP112" i="15"/>
  <c r="BO112" i="15"/>
  <c r="BN112" i="15"/>
  <c r="BL112" i="15"/>
  <c r="BK112" i="15"/>
  <c r="BM112" i="15" s="1"/>
  <c r="BJ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BP111" i="15"/>
  <c r="BO111" i="15"/>
  <c r="BN111" i="15"/>
  <c r="BL111" i="15"/>
  <c r="BK111" i="15"/>
  <c r="BM111" i="15" s="1"/>
  <c r="BJ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BK110" i="15"/>
  <c r="BM110" i="15" s="1"/>
  <c r="BJ110" i="15"/>
  <c r="AP110" i="15"/>
  <c r="AN110" i="15"/>
  <c r="AL110" i="15"/>
  <c r="AK110" i="15"/>
  <c r="BK109" i="15"/>
  <c r="BM109" i="15" s="1"/>
  <c r="BJ109" i="15"/>
  <c r="AP109" i="15"/>
  <c r="AN109" i="15"/>
  <c r="AL109" i="15"/>
  <c r="AK109" i="15"/>
  <c r="BK108" i="15"/>
  <c r="BM108" i="15" s="1"/>
  <c r="BJ108" i="15"/>
  <c r="AL108" i="15"/>
  <c r="AK108" i="15"/>
  <c r="BK107" i="15"/>
  <c r="BM107" i="15" s="1"/>
  <c r="BJ107" i="15"/>
  <c r="AL107" i="15"/>
  <c r="AK107" i="15"/>
  <c r="BK106" i="15"/>
  <c r="BM106" i="15" s="1"/>
  <c r="BJ106" i="15"/>
  <c r="AL106" i="15"/>
  <c r="AK106" i="15"/>
  <c r="BK105" i="15"/>
  <c r="BM105" i="15" s="1"/>
  <c r="BJ105" i="15"/>
  <c r="AL105" i="15"/>
  <c r="AK105" i="15"/>
  <c r="BK104" i="15"/>
  <c r="BM104" i="15" s="1"/>
  <c r="BJ104" i="15"/>
  <c r="AL104" i="15"/>
  <c r="AK104" i="15"/>
  <c r="BK103" i="15"/>
  <c r="BM103" i="15" s="1"/>
  <c r="BJ103" i="15"/>
  <c r="AP103" i="15"/>
  <c r="AN103" i="15"/>
  <c r="AL103" i="15"/>
  <c r="AK103" i="15"/>
  <c r="BK102" i="15"/>
  <c r="BM102" i="15" s="1"/>
  <c r="BJ102" i="15"/>
  <c r="AP102" i="15"/>
  <c r="AN102" i="15"/>
  <c r="AL102" i="15"/>
  <c r="AK102" i="15"/>
  <c r="BK101" i="15"/>
  <c r="BM101" i="15" s="1"/>
  <c r="BJ101" i="15"/>
  <c r="AP101" i="15"/>
  <c r="AN101" i="15"/>
  <c r="AL101" i="15"/>
  <c r="AK101" i="15"/>
  <c r="BK100" i="15"/>
  <c r="BM100" i="15" s="1"/>
  <c r="BJ100" i="15"/>
  <c r="AP100" i="15"/>
  <c r="AN100" i="15"/>
  <c r="AL100" i="15"/>
  <c r="AK100" i="15"/>
  <c r="BK99" i="15"/>
  <c r="BM99" i="15" s="1"/>
  <c r="BJ99" i="15"/>
  <c r="AP99" i="15"/>
  <c r="AN99" i="15"/>
  <c r="AL99" i="15"/>
  <c r="AK99" i="15"/>
  <c r="BK98" i="15"/>
  <c r="BM98" i="15" s="1"/>
  <c r="BJ98" i="15"/>
  <c r="AP98" i="15"/>
  <c r="AN98" i="15"/>
  <c r="AL98" i="15"/>
  <c r="AK98" i="15"/>
  <c r="BK97" i="15"/>
  <c r="BM97" i="15" s="1"/>
  <c r="BJ97" i="15"/>
  <c r="AP97" i="15"/>
  <c r="AN97" i="15"/>
  <c r="AL97" i="15"/>
  <c r="AK97" i="15"/>
  <c r="BK96" i="15"/>
  <c r="BM96" i="15" s="1"/>
  <c r="BJ96" i="15"/>
  <c r="AP96" i="15"/>
  <c r="AN96" i="15"/>
  <c r="AL96" i="15"/>
  <c r="AK96" i="15"/>
  <c r="BK95" i="15"/>
  <c r="BM95" i="15" s="1"/>
  <c r="BJ95" i="15"/>
  <c r="AP95" i="15"/>
  <c r="AN95" i="15"/>
  <c r="AL95" i="15"/>
  <c r="AK95" i="15"/>
  <c r="BK94" i="15"/>
  <c r="BM94" i="15" s="1"/>
  <c r="BJ94" i="15"/>
  <c r="AL94" i="15"/>
  <c r="AK94" i="15"/>
  <c r="BK93" i="15"/>
  <c r="BM93" i="15" s="1"/>
  <c r="BJ93" i="15"/>
  <c r="AL93" i="15"/>
  <c r="AK93" i="15"/>
  <c r="BK92" i="15"/>
  <c r="BM92" i="15" s="1"/>
  <c r="BJ92" i="15"/>
  <c r="AL92" i="15"/>
  <c r="AK92" i="15"/>
  <c r="BK91" i="15"/>
  <c r="BM91" i="15" s="1"/>
  <c r="BJ91" i="15"/>
  <c r="AL91" i="15"/>
  <c r="AK91" i="15"/>
  <c r="BK90" i="15"/>
  <c r="BM90" i="15" s="1"/>
  <c r="BJ90" i="15"/>
  <c r="AL90" i="15"/>
  <c r="AK90" i="15"/>
  <c r="BK89" i="15"/>
  <c r="BM89" i="15" s="1"/>
  <c r="BJ89" i="15"/>
  <c r="AP89" i="15"/>
  <c r="AN89" i="15"/>
  <c r="AL89" i="15"/>
  <c r="AK89" i="15"/>
  <c r="BK88" i="15"/>
  <c r="BM88" i="15" s="1"/>
  <c r="BJ88" i="15"/>
  <c r="AP88" i="15"/>
  <c r="AN88" i="15"/>
  <c r="AL88" i="15"/>
  <c r="AK88" i="15"/>
  <c r="BK87" i="15"/>
  <c r="BM87" i="15" s="1"/>
  <c r="BJ87" i="15"/>
  <c r="AP87" i="15"/>
  <c r="AN87" i="15"/>
  <c r="AL87" i="15"/>
  <c r="AK87" i="15"/>
  <c r="BK86" i="15"/>
  <c r="BM86" i="15" s="1"/>
  <c r="BJ86" i="15"/>
  <c r="AP86" i="15"/>
  <c r="AN86" i="15"/>
  <c r="AL86" i="15"/>
  <c r="AK86" i="15"/>
  <c r="BK85" i="15"/>
  <c r="BM85" i="15" s="1"/>
  <c r="BJ85" i="15"/>
  <c r="AP85" i="15"/>
  <c r="AN85" i="15"/>
  <c r="AL85" i="15"/>
  <c r="AK85" i="15"/>
  <c r="BK84" i="15"/>
  <c r="BM84" i="15" s="1"/>
  <c r="BJ84" i="15"/>
  <c r="AP84" i="15"/>
  <c r="AN84" i="15"/>
  <c r="AL84" i="15"/>
  <c r="AK84" i="15"/>
  <c r="BK83" i="15"/>
  <c r="BM83" i="15" s="1"/>
  <c r="BJ83" i="15"/>
  <c r="AP83" i="15"/>
  <c r="AN83" i="15"/>
  <c r="AL83" i="15"/>
  <c r="AK83" i="15"/>
  <c r="BK82" i="15"/>
  <c r="BM82" i="15" s="1"/>
  <c r="BJ82" i="15"/>
  <c r="AP82" i="15"/>
  <c r="AN82" i="15"/>
  <c r="AL82" i="15"/>
  <c r="AK82" i="15"/>
  <c r="BK81" i="15"/>
  <c r="BM81" i="15" s="1"/>
  <c r="BJ81" i="15"/>
  <c r="AP81" i="15"/>
  <c r="AN81" i="15"/>
  <c r="AL81" i="15"/>
  <c r="AK81" i="15"/>
  <c r="BK80" i="15"/>
  <c r="BM80" i="15" s="1"/>
  <c r="BJ80" i="15"/>
  <c r="AL80" i="15"/>
  <c r="AK80" i="15"/>
  <c r="BK79" i="15"/>
  <c r="BM79" i="15" s="1"/>
  <c r="BJ79" i="15"/>
  <c r="AL79" i="15"/>
  <c r="AK79" i="15"/>
  <c r="BK78" i="15"/>
  <c r="BM78" i="15" s="1"/>
  <c r="BJ78" i="15"/>
  <c r="AL78" i="15"/>
  <c r="AK78" i="15"/>
  <c r="BK77" i="15"/>
  <c r="BM77" i="15" s="1"/>
  <c r="BJ77" i="15"/>
  <c r="AL77" i="15"/>
  <c r="AK77" i="15"/>
  <c r="BK76" i="15"/>
  <c r="BM76" i="15" s="1"/>
  <c r="BJ76" i="15"/>
  <c r="AL76" i="15"/>
  <c r="AK76" i="15"/>
  <c r="BK75" i="15"/>
  <c r="BM75" i="15" s="1"/>
  <c r="BJ75" i="15"/>
  <c r="AP75" i="15"/>
  <c r="AN75" i="15"/>
  <c r="AL75" i="15"/>
  <c r="AK75" i="15"/>
  <c r="BK74" i="15"/>
  <c r="BM74" i="15" s="1"/>
  <c r="BJ74" i="15"/>
  <c r="AP74" i="15"/>
  <c r="AN74" i="15"/>
  <c r="AL74" i="15"/>
  <c r="AK74" i="15"/>
  <c r="BK73" i="15"/>
  <c r="BM73" i="15" s="1"/>
  <c r="BJ73" i="15"/>
  <c r="AP73" i="15"/>
  <c r="AN73" i="15"/>
  <c r="AL73" i="15"/>
  <c r="AK73" i="15"/>
  <c r="BK72" i="15"/>
  <c r="BM72" i="15" s="1"/>
  <c r="BJ72" i="15"/>
  <c r="AP72" i="15"/>
  <c r="AN72" i="15"/>
  <c r="AL72" i="15"/>
  <c r="AK72" i="15"/>
  <c r="BK71" i="15"/>
  <c r="BM71" i="15" s="1"/>
  <c r="BJ71" i="15"/>
  <c r="AP71" i="15"/>
  <c r="AN71" i="15"/>
  <c r="AL71" i="15"/>
  <c r="AK71" i="15"/>
  <c r="BK70" i="15"/>
  <c r="BM70" i="15" s="1"/>
  <c r="BJ70" i="15"/>
  <c r="AP70" i="15"/>
  <c r="AN70" i="15"/>
  <c r="AL70" i="15"/>
  <c r="AK70" i="15"/>
  <c r="BK69" i="15"/>
  <c r="BM69" i="15" s="1"/>
  <c r="BJ69" i="15"/>
  <c r="AP69" i="15"/>
  <c r="AN69" i="15"/>
  <c r="AL69" i="15"/>
  <c r="AK69" i="15"/>
  <c r="BK68" i="15"/>
  <c r="BM68" i="15" s="1"/>
  <c r="BJ68" i="15"/>
  <c r="AP68" i="15"/>
  <c r="AN68" i="15"/>
  <c r="AL68" i="15"/>
  <c r="AK68" i="15"/>
  <c r="BK67" i="15"/>
  <c r="BM67" i="15" s="1"/>
  <c r="BJ67" i="15"/>
  <c r="AP67" i="15"/>
  <c r="AN67" i="15"/>
  <c r="AL67" i="15"/>
  <c r="AK67" i="15"/>
  <c r="BK66" i="15"/>
  <c r="BM66" i="15" s="1"/>
  <c r="BJ66" i="15"/>
  <c r="AL66" i="15"/>
  <c r="AK66" i="15"/>
  <c r="BK65" i="15"/>
  <c r="BM65" i="15" s="1"/>
  <c r="BJ65" i="15"/>
  <c r="AL65" i="15"/>
  <c r="AK65" i="15"/>
  <c r="BK64" i="15"/>
  <c r="BM64" i="15" s="1"/>
  <c r="BJ64" i="15"/>
  <c r="AL64" i="15"/>
  <c r="AK64" i="15"/>
  <c r="BK63" i="15"/>
  <c r="BM63" i="15" s="1"/>
  <c r="BJ63" i="15"/>
  <c r="AL63" i="15"/>
  <c r="AK63" i="15"/>
  <c r="BK62" i="15"/>
  <c r="BM62" i="15" s="1"/>
  <c r="BJ62" i="15"/>
  <c r="AL62" i="15"/>
  <c r="AK62" i="15"/>
  <c r="BK61" i="15"/>
  <c r="BM61" i="15" s="1"/>
  <c r="BJ61" i="15"/>
  <c r="AP61" i="15"/>
  <c r="AN61" i="15"/>
  <c r="AL61" i="15"/>
  <c r="AK61" i="15"/>
  <c r="BK60" i="15"/>
  <c r="BM60" i="15" s="1"/>
  <c r="BJ60" i="15"/>
  <c r="AP60" i="15"/>
  <c r="AN60" i="15"/>
  <c r="AL60" i="15"/>
  <c r="AK60" i="15"/>
  <c r="BK59" i="15"/>
  <c r="BM59" i="15" s="1"/>
  <c r="BJ59" i="15"/>
  <c r="AP59" i="15"/>
  <c r="AN59" i="15"/>
  <c r="AL59" i="15"/>
  <c r="AK59" i="15"/>
  <c r="BK58" i="15"/>
  <c r="BM58" i="15" s="1"/>
  <c r="BJ58" i="15"/>
  <c r="AP58" i="15"/>
  <c r="AN58" i="15"/>
  <c r="AL58" i="15"/>
  <c r="AK58" i="15"/>
  <c r="BK57" i="15"/>
  <c r="BM57" i="15" s="1"/>
  <c r="BJ57" i="15"/>
  <c r="AP57" i="15"/>
  <c r="AN57" i="15"/>
  <c r="AL57" i="15"/>
  <c r="AK57" i="15"/>
  <c r="BK56" i="15"/>
  <c r="BM56" i="15" s="1"/>
  <c r="BJ56" i="15"/>
  <c r="AP56" i="15"/>
  <c r="AN56" i="15"/>
  <c r="AL56" i="15"/>
  <c r="AK56" i="15"/>
  <c r="BK55" i="15"/>
  <c r="BM55" i="15" s="1"/>
  <c r="BJ55" i="15"/>
  <c r="AP55" i="15"/>
  <c r="AN55" i="15"/>
  <c r="AL55" i="15"/>
  <c r="AK55" i="15"/>
  <c r="BK54" i="15"/>
  <c r="BM54" i="15" s="1"/>
  <c r="BJ54" i="15"/>
  <c r="AP54" i="15"/>
  <c r="AN54" i="15"/>
  <c r="AL54" i="15"/>
  <c r="AK54" i="15"/>
  <c r="BK53" i="15"/>
  <c r="BM53" i="15" s="1"/>
  <c r="BJ53" i="15"/>
  <c r="AP53" i="15"/>
  <c r="AN53" i="15"/>
  <c r="AL53" i="15"/>
  <c r="AK53" i="15"/>
  <c r="BK52" i="15"/>
  <c r="BM52" i="15" s="1"/>
  <c r="BJ52" i="15"/>
  <c r="AL52" i="15"/>
  <c r="AK52" i="15"/>
  <c r="BK51" i="15"/>
  <c r="BM51" i="15" s="1"/>
  <c r="BJ51" i="15"/>
  <c r="AL51" i="15"/>
  <c r="AK51" i="15"/>
  <c r="BK50" i="15"/>
  <c r="BM50" i="15" s="1"/>
  <c r="BJ50" i="15"/>
  <c r="AL50" i="15"/>
  <c r="AK50" i="15"/>
  <c r="BK49" i="15"/>
  <c r="BM49" i="15" s="1"/>
  <c r="BJ49" i="15"/>
  <c r="AL49" i="15"/>
  <c r="AK49" i="15"/>
  <c r="BK48" i="15"/>
  <c r="BM48" i="15" s="1"/>
  <c r="BJ48" i="15"/>
  <c r="AN48" i="15"/>
  <c r="AL48" i="15"/>
  <c r="AK48" i="15"/>
  <c r="BK47" i="15"/>
  <c r="BM47" i="15" s="1"/>
  <c r="BJ47" i="15"/>
  <c r="AP47" i="15"/>
  <c r="AN47" i="15"/>
  <c r="AL47" i="15"/>
  <c r="AK47" i="15"/>
  <c r="BK46" i="15"/>
  <c r="BM46" i="15" s="1"/>
  <c r="BJ46" i="15"/>
  <c r="AP46" i="15"/>
  <c r="AN46" i="15"/>
  <c r="AL46" i="15"/>
  <c r="AK46" i="15"/>
  <c r="BK45" i="15"/>
  <c r="BM45" i="15" s="1"/>
  <c r="BJ45" i="15"/>
  <c r="AP45" i="15"/>
  <c r="AN45" i="15"/>
  <c r="AL45" i="15"/>
  <c r="AK45" i="15"/>
  <c r="BK44" i="15"/>
  <c r="BM44" i="15" s="1"/>
  <c r="BJ44" i="15"/>
  <c r="AP44" i="15"/>
  <c r="AN44" i="15"/>
  <c r="AL44" i="15"/>
  <c r="AK44" i="15"/>
  <c r="BK43" i="15"/>
  <c r="BM43" i="15" s="1"/>
  <c r="BJ43" i="15"/>
  <c r="AP43" i="15"/>
  <c r="AN43" i="15"/>
  <c r="AL43" i="15"/>
  <c r="AK43" i="15"/>
  <c r="BK42" i="15"/>
  <c r="BM42" i="15" s="1"/>
  <c r="BJ42" i="15"/>
  <c r="AP42" i="15"/>
  <c r="AN42" i="15"/>
  <c r="AL42" i="15"/>
  <c r="AK42" i="15"/>
  <c r="BK41" i="15"/>
  <c r="BM41" i="15" s="1"/>
  <c r="BJ41" i="15"/>
  <c r="AP41" i="15"/>
  <c r="AN41" i="15"/>
  <c r="AL41" i="15"/>
  <c r="AK41" i="15"/>
  <c r="BK40" i="15"/>
  <c r="BM40" i="15" s="1"/>
  <c r="BJ40" i="15"/>
  <c r="AP40" i="15"/>
  <c r="AN40" i="15"/>
  <c r="AL40" i="15"/>
  <c r="AK40" i="15"/>
  <c r="BK39" i="15"/>
  <c r="BM39" i="15" s="1"/>
  <c r="BJ39" i="15"/>
  <c r="AP39" i="15"/>
  <c r="AN39" i="15"/>
  <c r="AL39" i="15"/>
  <c r="AK39" i="15"/>
  <c r="BK38" i="15"/>
  <c r="BM38" i="15" s="1"/>
  <c r="BJ38" i="15"/>
  <c r="AL38" i="15"/>
  <c r="AK38" i="15"/>
  <c r="BK37" i="15"/>
  <c r="BM37" i="15" s="1"/>
  <c r="BJ37" i="15"/>
  <c r="AL37" i="15"/>
  <c r="AK37" i="15"/>
  <c r="BK36" i="15"/>
  <c r="BM36" i="15" s="1"/>
  <c r="BJ36" i="15"/>
  <c r="AL36" i="15"/>
  <c r="AK36" i="15"/>
  <c r="BK35" i="15"/>
  <c r="BM35" i="15" s="1"/>
  <c r="BJ35" i="15"/>
  <c r="AL35" i="15"/>
  <c r="AK35" i="15"/>
  <c r="BK34" i="15"/>
  <c r="BM34" i="15" s="1"/>
  <c r="BJ34" i="15"/>
  <c r="AN34" i="15"/>
  <c r="AL34" i="15"/>
  <c r="AK34" i="15"/>
  <c r="BK33" i="15"/>
  <c r="BM33" i="15" s="1"/>
  <c r="BJ33" i="15"/>
  <c r="AP33" i="15"/>
  <c r="AN33" i="15"/>
  <c r="AL33" i="15"/>
  <c r="AK33" i="15"/>
  <c r="BK32" i="15"/>
  <c r="BM32" i="15" s="1"/>
  <c r="BJ32" i="15"/>
  <c r="AP32" i="15"/>
  <c r="AN32" i="15"/>
  <c r="AL32" i="15"/>
  <c r="AK32" i="15"/>
  <c r="BK31" i="15"/>
  <c r="BM31" i="15" s="1"/>
  <c r="BJ31" i="15"/>
  <c r="AP31" i="15"/>
  <c r="AN31" i="15"/>
  <c r="AL31" i="15"/>
  <c r="AK31" i="15"/>
  <c r="BK30" i="15"/>
  <c r="BM30" i="15" s="1"/>
  <c r="BJ30" i="15"/>
  <c r="AP30" i="15"/>
  <c r="AN30" i="15"/>
  <c r="AL30" i="15"/>
  <c r="AK30" i="15"/>
  <c r="BK29" i="15"/>
  <c r="BM29" i="15" s="1"/>
  <c r="BJ29" i="15"/>
  <c r="AP29" i="15"/>
  <c r="AN29" i="15"/>
  <c r="AL29" i="15"/>
  <c r="AK29" i="15"/>
  <c r="BK28" i="15"/>
  <c r="BM28" i="15" s="1"/>
  <c r="BJ28" i="15"/>
  <c r="AP28" i="15"/>
  <c r="AN28" i="15"/>
  <c r="AL28" i="15"/>
  <c r="AK28" i="15"/>
  <c r="BK27" i="15"/>
  <c r="BM27" i="15" s="1"/>
  <c r="BJ27" i="15"/>
  <c r="AP27" i="15"/>
  <c r="AN27" i="15"/>
  <c r="AL27" i="15"/>
  <c r="AK27" i="15"/>
  <c r="BK26" i="15"/>
  <c r="BM26" i="15" s="1"/>
  <c r="BJ26" i="15"/>
  <c r="AP26" i="15"/>
  <c r="AN26" i="15"/>
  <c r="AL26" i="15"/>
  <c r="AK26" i="15"/>
  <c r="BK25" i="15"/>
  <c r="BM25" i="15" s="1"/>
  <c r="BJ25" i="15"/>
  <c r="AP25" i="15"/>
  <c r="AN25" i="15"/>
  <c r="AL25" i="15"/>
  <c r="AK25" i="15"/>
  <c r="BK24" i="15"/>
  <c r="BM24" i="15" s="1"/>
  <c r="BJ24" i="15"/>
  <c r="AL24" i="15"/>
  <c r="BK23" i="15"/>
  <c r="BM23" i="15" s="1"/>
  <c r="BJ23" i="15"/>
  <c r="AL23" i="15"/>
  <c r="BK22" i="15"/>
  <c r="BM22" i="15" s="1"/>
  <c r="BJ22" i="15"/>
  <c r="AL22" i="15"/>
  <c r="BK21" i="15"/>
  <c r="BM21" i="15" s="1"/>
  <c r="BJ21" i="15"/>
  <c r="AL21" i="15"/>
  <c r="BK20" i="15"/>
  <c r="BM20" i="15" s="1"/>
  <c r="BJ20" i="15"/>
  <c r="AN20" i="15"/>
  <c r="AL20" i="15"/>
  <c r="BK19" i="15"/>
  <c r="BM19" i="15" s="1"/>
  <c r="BJ19" i="15"/>
  <c r="AP19" i="15"/>
  <c r="AN19" i="15"/>
  <c r="AL19" i="15"/>
  <c r="BK18" i="15"/>
  <c r="BM18" i="15" s="1"/>
  <c r="BJ18" i="15"/>
  <c r="AP18" i="15"/>
  <c r="AN18" i="15"/>
  <c r="AL18" i="15"/>
  <c r="BK17" i="15"/>
  <c r="BM17" i="15" s="1"/>
  <c r="AP17" i="15"/>
  <c r="AN17" i="15"/>
  <c r="AL17" i="15"/>
  <c r="AK17" i="15"/>
  <c r="BK16" i="15"/>
  <c r="BM16" i="15" s="1"/>
  <c r="AP16" i="15"/>
  <c r="AN16" i="15"/>
  <c r="AL16" i="15"/>
  <c r="BK15" i="15"/>
  <c r="BM15" i="15" s="1"/>
  <c r="BJ15" i="15"/>
  <c r="AP15" i="15"/>
  <c r="AN15" i="15"/>
  <c r="AL15" i="15"/>
  <c r="BK14" i="15"/>
  <c r="BM14" i="15" s="1"/>
  <c r="AP14" i="15"/>
  <c r="AN14" i="15"/>
  <c r="AL14" i="15"/>
  <c r="BK13" i="15"/>
  <c r="BM13" i="15" s="1"/>
  <c r="AP13" i="15"/>
  <c r="AN13" i="15"/>
  <c r="AL13" i="15"/>
  <c r="AK13" i="15"/>
  <c r="BK12" i="15"/>
  <c r="BM12" i="15" s="1"/>
  <c r="AP12" i="15"/>
  <c r="AN12" i="15"/>
  <c r="AL12" i="15"/>
  <c r="A12" i="15"/>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BK11" i="15"/>
  <c r="BM11" i="15" s="1"/>
  <c r="AP11" i="15"/>
  <c r="AN11" i="15"/>
  <c r="AL11" i="15"/>
  <c r="CD4" i="15"/>
  <c r="BJ4" i="15"/>
  <c r="AK4" i="15"/>
  <c r="R4" i="15"/>
  <c r="B4" i="15"/>
  <c r="J244" i="73"/>
  <c r="M244" i="73" s="1"/>
  <c r="I120" i="58" s="1"/>
  <c r="I244" i="73"/>
  <c r="L244" i="73" s="1"/>
  <c r="H120" i="58" s="1"/>
  <c r="J243" i="73"/>
  <c r="M243" i="73" s="1"/>
  <c r="I101" i="58" s="1"/>
  <c r="I243" i="73"/>
  <c r="L243" i="73" s="1"/>
  <c r="H101" i="58" s="1"/>
  <c r="J241" i="73"/>
  <c r="M241" i="73" s="1"/>
  <c r="I241" i="73"/>
  <c r="L241" i="73" s="1"/>
  <c r="J240" i="73"/>
  <c r="M240" i="73" s="1"/>
  <c r="I113" i="58" s="1"/>
  <c r="I240" i="73"/>
  <c r="L240" i="73" s="1"/>
  <c r="H113" i="58" s="1"/>
  <c r="J239" i="73"/>
  <c r="M239" i="73" s="1"/>
  <c r="I112" i="58" s="1"/>
  <c r="I239" i="73"/>
  <c r="L239" i="73" s="1"/>
  <c r="H112" i="58" s="1"/>
  <c r="J238" i="73"/>
  <c r="M238" i="73" s="1"/>
  <c r="I110" i="58" s="1"/>
  <c r="I238" i="73"/>
  <c r="L238" i="73" s="1"/>
  <c r="H110" i="58" s="1"/>
  <c r="J237" i="73"/>
  <c r="M237" i="73" s="1"/>
  <c r="I108" i="58" s="1"/>
  <c r="I237" i="73"/>
  <c r="L237" i="73" s="1"/>
  <c r="H108" i="58" s="1"/>
  <c r="J235" i="73"/>
  <c r="M235" i="73" s="1"/>
  <c r="I106" i="58" s="1"/>
  <c r="I235" i="73"/>
  <c r="L235" i="73" s="1"/>
  <c r="H106" i="58" s="1"/>
  <c r="J234" i="73"/>
  <c r="M234" i="73" s="1"/>
  <c r="I103" i="58" s="1"/>
  <c r="I234" i="73"/>
  <c r="L234" i="73" s="1"/>
  <c r="H103" i="58" s="1"/>
  <c r="J233" i="73"/>
  <c r="M233" i="73" s="1"/>
  <c r="I233" i="73"/>
  <c r="L233" i="73" s="1"/>
  <c r="J232" i="73"/>
  <c r="M232" i="73" s="1"/>
  <c r="I119" i="58" s="1"/>
  <c r="I232" i="73"/>
  <c r="L232" i="73" s="1"/>
  <c r="H119" i="58" s="1"/>
  <c r="J231" i="73"/>
  <c r="M231" i="73" s="1"/>
  <c r="I99" i="58" s="1"/>
  <c r="I231" i="73"/>
  <c r="L231" i="73" s="1"/>
  <c r="H99" i="58" s="1"/>
  <c r="J71" i="73"/>
  <c r="M71" i="73" s="1"/>
  <c r="I71" i="73"/>
  <c r="L71" i="73" s="1"/>
  <c r="J70" i="73"/>
  <c r="M70" i="73" s="1"/>
  <c r="I70" i="73"/>
  <c r="L70" i="73" s="1"/>
  <c r="J67" i="73"/>
  <c r="M67" i="73" s="1"/>
  <c r="I67" i="73"/>
  <c r="L67" i="73" s="1"/>
  <c r="N23" i="58" s="1"/>
  <c r="N22" i="58" s="1"/>
  <c r="J60" i="73"/>
  <c r="M60" i="73" s="1"/>
  <c r="I60" i="73"/>
  <c r="L60" i="73" s="1"/>
  <c r="J59" i="73"/>
  <c r="M59" i="73" s="1"/>
  <c r="I59" i="73"/>
  <c r="L59" i="73" s="1"/>
  <c r="J56" i="73"/>
  <c r="M56" i="73" s="1"/>
  <c r="I56" i="73"/>
  <c r="L56" i="73" s="1"/>
  <c r="F44" i="73"/>
  <c r="E44" i="73"/>
  <c r="D44" i="73"/>
  <c r="C44" i="73"/>
  <c r="J42" i="73"/>
  <c r="I42" i="73"/>
  <c r="L42" i="73" s="1"/>
  <c r="P42" i="73" s="1"/>
  <c r="V42" i="73" s="1"/>
  <c r="F42" i="73"/>
  <c r="E42" i="73"/>
  <c r="D42" i="73"/>
  <c r="C42" i="73"/>
  <c r="J41" i="73"/>
  <c r="I41" i="73"/>
  <c r="L41" i="73" s="1"/>
  <c r="P41" i="73" s="1"/>
  <c r="V41" i="73" s="1"/>
  <c r="L81" i="58" s="1"/>
  <c r="F41" i="73"/>
  <c r="M41" i="73" s="1"/>
  <c r="Q41" i="73" s="1"/>
  <c r="W41" i="73" s="1"/>
  <c r="M81" i="58" s="1"/>
  <c r="E41" i="73"/>
  <c r="D41" i="73"/>
  <c r="C41" i="73"/>
  <c r="J40" i="73"/>
  <c r="I40" i="73"/>
  <c r="L40" i="73" s="1"/>
  <c r="P40" i="73" s="1"/>
  <c r="V40" i="73" s="1"/>
  <c r="F40" i="73"/>
  <c r="E40" i="73"/>
  <c r="D40" i="73"/>
  <c r="C40" i="73"/>
  <c r="J39" i="73"/>
  <c r="M39" i="73" s="1"/>
  <c r="Q39" i="73" s="1"/>
  <c r="W39" i="73" s="1"/>
  <c r="M80" i="58" s="1"/>
  <c r="I39" i="73"/>
  <c r="L39" i="73" s="1"/>
  <c r="P39" i="73" s="1"/>
  <c r="V39" i="73" s="1"/>
  <c r="L80" i="58" s="1"/>
  <c r="J38" i="73"/>
  <c r="I38" i="73"/>
  <c r="L38" i="73" s="1"/>
  <c r="P38" i="73" s="1"/>
  <c r="V38" i="73" s="1"/>
  <c r="F38" i="73"/>
  <c r="E38" i="73"/>
  <c r="D38" i="73"/>
  <c r="C38" i="73"/>
  <c r="J37" i="73"/>
  <c r="M37" i="73" s="1"/>
  <c r="Q37" i="73" s="1"/>
  <c r="W37" i="73" s="1"/>
  <c r="I37" i="73"/>
  <c r="L37" i="73" s="1"/>
  <c r="P37" i="73" s="1"/>
  <c r="V37" i="73" s="1"/>
  <c r="J36" i="73"/>
  <c r="I36" i="73"/>
  <c r="L36" i="73" s="1"/>
  <c r="P36" i="73" s="1"/>
  <c r="V36" i="73" s="1"/>
  <c r="F36" i="73"/>
  <c r="E36" i="73"/>
  <c r="D36" i="73"/>
  <c r="C36" i="73"/>
  <c r="J35" i="73"/>
  <c r="I35" i="73"/>
  <c r="L35" i="73" s="1"/>
  <c r="P35" i="73" s="1"/>
  <c r="V35" i="73" s="1"/>
  <c r="F35" i="73"/>
  <c r="M35" i="73" s="1"/>
  <c r="Q35" i="73" s="1"/>
  <c r="W35" i="73" s="1"/>
  <c r="E35" i="73"/>
  <c r="D35" i="73"/>
  <c r="C35" i="73"/>
  <c r="J34" i="73"/>
  <c r="I34" i="73"/>
  <c r="L34" i="73" s="1"/>
  <c r="P34" i="73" s="1"/>
  <c r="V34" i="73" s="1"/>
  <c r="F34" i="73"/>
  <c r="M34" i="73" s="1"/>
  <c r="Q34" i="73" s="1"/>
  <c r="W34" i="73" s="1"/>
  <c r="E34" i="73"/>
  <c r="D34" i="73"/>
  <c r="C34" i="73"/>
  <c r="J33" i="73"/>
  <c r="M33" i="73" s="1"/>
  <c r="Q33" i="73" s="1"/>
  <c r="W33" i="73" s="1"/>
  <c r="I33" i="73"/>
  <c r="L33" i="73" s="1"/>
  <c r="P33" i="73" s="1"/>
  <c r="V33" i="73" s="1"/>
  <c r="J32" i="73"/>
  <c r="M32" i="73" s="1"/>
  <c r="I32" i="73"/>
  <c r="L32" i="73" s="1"/>
  <c r="J31" i="73"/>
  <c r="M31" i="73" s="1"/>
  <c r="Q31" i="73" s="1"/>
  <c r="W31" i="73" s="1"/>
  <c r="I31" i="73"/>
  <c r="L31" i="73" s="1"/>
  <c r="P31" i="73" s="1"/>
  <c r="V31" i="73" s="1"/>
  <c r="J30" i="73"/>
  <c r="M30" i="73" s="1"/>
  <c r="Q30" i="73" s="1"/>
  <c r="I30" i="73"/>
  <c r="L30" i="73" s="1"/>
  <c r="P30" i="73" s="1"/>
  <c r="J29" i="73"/>
  <c r="M29" i="73" s="1"/>
  <c r="Q29" i="73" s="1"/>
  <c r="W29" i="73" s="1"/>
  <c r="I29" i="73"/>
  <c r="L29" i="73" s="1"/>
  <c r="J28" i="73"/>
  <c r="M28" i="73" s="1"/>
  <c r="I28" i="73"/>
  <c r="L28" i="73" s="1"/>
  <c r="P28" i="73" s="1"/>
  <c r="V28" i="73" s="1"/>
  <c r="J27" i="73"/>
  <c r="M27" i="73" s="1"/>
  <c r="Q27" i="73" s="1"/>
  <c r="W27" i="73" s="1"/>
  <c r="I27" i="73"/>
  <c r="L27" i="73" s="1"/>
  <c r="P27" i="73" s="1"/>
  <c r="V27" i="73" s="1"/>
  <c r="J26" i="73"/>
  <c r="M26" i="73" s="1"/>
  <c r="Q26" i="73" s="1"/>
  <c r="W26" i="73" s="1"/>
  <c r="I26" i="73"/>
  <c r="L26" i="73" s="1"/>
  <c r="P26" i="73" s="1"/>
  <c r="V26" i="73" s="1"/>
  <c r="J25" i="73"/>
  <c r="M25" i="73" s="1"/>
  <c r="Q25" i="73" s="1"/>
  <c r="W25" i="73" s="1"/>
  <c r="I25" i="73"/>
  <c r="L25" i="73" s="1"/>
  <c r="P25" i="73" s="1"/>
  <c r="V25" i="73" s="1"/>
  <c r="J24" i="73"/>
  <c r="M24" i="73" s="1"/>
  <c r="Q24" i="73" s="1"/>
  <c r="W24" i="73" s="1"/>
  <c r="I24" i="73"/>
  <c r="L24" i="73" s="1"/>
  <c r="P24" i="73" s="1"/>
  <c r="V24" i="73" s="1"/>
  <c r="J23" i="73"/>
  <c r="M23" i="73" s="1"/>
  <c r="Q23" i="73" s="1"/>
  <c r="W23" i="73" s="1"/>
  <c r="I23" i="73"/>
  <c r="L23" i="73" s="1"/>
  <c r="P23" i="73" s="1"/>
  <c r="V23" i="73" s="1"/>
  <c r="J22" i="73"/>
  <c r="M22" i="73" s="1"/>
  <c r="Q22" i="73" s="1"/>
  <c r="W22" i="73" s="1"/>
  <c r="I22" i="73"/>
  <c r="L22" i="73" s="1"/>
  <c r="P22" i="73" s="1"/>
  <c r="V22" i="73" s="1"/>
  <c r="J21" i="73"/>
  <c r="M21" i="73" s="1"/>
  <c r="Q21" i="73" s="1"/>
  <c r="W21" i="73" s="1"/>
  <c r="I21" i="73"/>
  <c r="L21" i="73" s="1"/>
  <c r="P21" i="73" s="1"/>
  <c r="V21" i="73" s="1"/>
  <c r="J20" i="73"/>
  <c r="M20" i="73" s="1"/>
  <c r="Q20" i="73" s="1"/>
  <c r="W20" i="73" s="1"/>
  <c r="I20" i="73"/>
  <c r="L20" i="73" s="1"/>
  <c r="P20" i="73" s="1"/>
  <c r="V20" i="73" s="1"/>
  <c r="J19" i="73"/>
  <c r="M19" i="73" s="1"/>
  <c r="Q19" i="73" s="1"/>
  <c r="W19" i="73" s="1"/>
  <c r="I19" i="73"/>
  <c r="L19" i="73" s="1"/>
  <c r="P19" i="73" s="1"/>
  <c r="V19" i="73" s="1"/>
  <c r="J18" i="73"/>
  <c r="M18" i="73" s="1"/>
  <c r="Q18" i="73" s="1"/>
  <c r="W18" i="73" s="1"/>
  <c r="I18" i="73"/>
  <c r="L18" i="73" s="1"/>
  <c r="P18" i="73" s="1"/>
  <c r="V18" i="73" s="1"/>
  <c r="J17" i="73"/>
  <c r="M17" i="73" s="1"/>
  <c r="I17" i="73"/>
  <c r="L17" i="73" s="1"/>
  <c r="J16" i="73"/>
  <c r="M16" i="73" s="1"/>
  <c r="I16" i="73"/>
  <c r="L16" i="73" s="1"/>
  <c r="J15" i="73"/>
  <c r="M15" i="73" s="1"/>
  <c r="I15" i="73"/>
  <c r="L15" i="73" s="1"/>
  <c r="J14" i="73"/>
  <c r="M14" i="73" s="1"/>
  <c r="Q14" i="73" s="1"/>
  <c r="W14" i="73" s="1"/>
  <c r="I14" i="73"/>
  <c r="L14" i="73" s="1"/>
  <c r="P14" i="73" s="1"/>
  <c r="V14" i="73" s="1"/>
  <c r="J13" i="73"/>
  <c r="M13" i="73" s="1"/>
  <c r="Q13" i="73" s="1"/>
  <c r="W13" i="73" s="1"/>
  <c r="I13" i="73"/>
  <c r="L13" i="73" s="1"/>
  <c r="J12" i="73"/>
  <c r="M12" i="73" s="1"/>
  <c r="I12" i="73"/>
  <c r="L12" i="73" s="1"/>
  <c r="P12" i="73" s="1"/>
  <c r="V12" i="73" s="1"/>
  <c r="J11" i="73"/>
  <c r="M11" i="73" s="1"/>
  <c r="Q11" i="73" s="1"/>
  <c r="W11" i="73" s="1"/>
  <c r="I11" i="73"/>
  <c r="L11" i="73" s="1"/>
  <c r="P11" i="73" s="1"/>
  <c r="V11" i="73" s="1"/>
  <c r="J10" i="73"/>
  <c r="M10" i="73" s="1"/>
  <c r="I10" i="73"/>
  <c r="L10" i="73" s="1"/>
  <c r="J9" i="73"/>
  <c r="M9" i="73" s="1"/>
  <c r="Q9" i="73" s="1"/>
  <c r="W9" i="73" s="1"/>
  <c r="I9" i="73"/>
  <c r="L9" i="73" s="1"/>
  <c r="P9" i="73" s="1"/>
  <c r="V9" i="73" s="1"/>
  <c r="J8" i="73"/>
  <c r="M8" i="73" s="1"/>
  <c r="I8" i="73"/>
  <c r="L8" i="73" s="1"/>
  <c r="J7" i="73"/>
  <c r="M7" i="73" s="1"/>
  <c r="Q7" i="73" s="1"/>
  <c r="W7" i="73" s="1"/>
  <c r="I7" i="73"/>
  <c r="L7" i="73" s="1"/>
  <c r="P7" i="73" s="1"/>
  <c r="V7" i="73" s="1"/>
  <c r="U151" i="75"/>
  <c r="T151" i="75"/>
  <c r="S151" i="75"/>
  <c r="R151" i="75"/>
  <c r="Q151" i="75"/>
  <c r="P151" i="75"/>
  <c r="O151" i="75"/>
  <c r="N151" i="75"/>
  <c r="M151" i="75"/>
  <c r="L151" i="75"/>
  <c r="K151" i="75"/>
  <c r="J151" i="75"/>
  <c r="I151" i="75"/>
  <c r="H151" i="75"/>
  <c r="G151" i="75"/>
  <c r="F151" i="75"/>
  <c r="D151" i="75"/>
  <c r="B151" i="75"/>
  <c r="U150" i="75"/>
  <c r="T150" i="75"/>
  <c r="S150" i="75"/>
  <c r="R150" i="75"/>
  <c r="Q150" i="75"/>
  <c r="P150" i="75"/>
  <c r="O150" i="75"/>
  <c r="N150" i="75"/>
  <c r="M150" i="75"/>
  <c r="L150" i="75"/>
  <c r="K150" i="75"/>
  <c r="J150" i="75"/>
  <c r="I150" i="75"/>
  <c r="H150" i="75"/>
  <c r="G150" i="75"/>
  <c r="F150" i="75"/>
  <c r="D150" i="75"/>
  <c r="B150" i="75"/>
  <c r="U149" i="75"/>
  <c r="T149" i="75"/>
  <c r="S149" i="75"/>
  <c r="R149" i="75"/>
  <c r="Q149" i="75"/>
  <c r="P149" i="75"/>
  <c r="O149" i="75"/>
  <c r="N149" i="75"/>
  <c r="M149" i="75"/>
  <c r="L149" i="75"/>
  <c r="K149" i="75"/>
  <c r="J149" i="75"/>
  <c r="I149" i="75"/>
  <c r="H149" i="75"/>
  <c r="G149" i="75"/>
  <c r="F149" i="75"/>
  <c r="D149" i="75"/>
  <c r="C149" i="75"/>
  <c r="B149" i="75"/>
  <c r="U148" i="75"/>
  <c r="T148" i="75"/>
  <c r="S148" i="75"/>
  <c r="R148" i="75"/>
  <c r="Q148" i="75"/>
  <c r="P148" i="75"/>
  <c r="O148" i="75"/>
  <c r="N148" i="75"/>
  <c r="M148" i="75"/>
  <c r="L148" i="75"/>
  <c r="K148" i="75"/>
  <c r="J148" i="75"/>
  <c r="I148" i="75"/>
  <c r="H148" i="75"/>
  <c r="G148" i="75"/>
  <c r="F148" i="75"/>
  <c r="D148" i="75"/>
  <c r="C148" i="75"/>
  <c r="B148" i="75"/>
  <c r="U147" i="75"/>
  <c r="T147" i="75"/>
  <c r="S147" i="75"/>
  <c r="R147" i="75"/>
  <c r="Q147" i="75"/>
  <c r="P147" i="75"/>
  <c r="O147" i="75"/>
  <c r="N147" i="75"/>
  <c r="M147" i="75"/>
  <c r="L147" i="75"/>
  <c r="K147" i="75"/>
  <c r="J147" i="75"/>
  <c r="I147" i="75"/>
  <c r="H147" i="75"/>
  <c r="G147" i="75"/>
  <c r="F147" i="75"/>
  <c r="D147" i="75"/>
  <c r="B147" i="75"/>
  <c r="U146" i="75"/>
  <c r="T146" i="75"/>
  <c r="S146" i="75"/>
  <c r="R146" i="75"/>
  <c r="Q146" i="75"/>
  <c r="P146" i="75"/>
  <c r="O146" i="75"/>
  <c r="N146" i="75"/>
  <c r="M146" i="75"/>
  <c r="L146" i="75"/>
  <c r="K146" i="75"/>
  <c r="J146" i="75"/>
  <c r="I146" i="75"/>
  <c r="H146" i="75"/>
  <c r="G146" i="75"/>
  <c r="F146" i="75"/>
  <c r="D146" i="75"/>
  <c r="B146" i="75"/>
  <c r="U145" i="75"/>
  <c r="T145" i="75"/>
  <c r="S145" i="75"/>
  <c r="R145" i="75"/>
  <c r="Q145" i="75"/>
  <c r="P145" i="75"/>
  <c r="O145" i="75"/>
  <c r="N145" i="75"/>
  <c r="M145" i="75"/>
  <c r="L145" i="75"/>
  <c r="K145" i="75"/>
  <c r="J145" i="75"/>
  <c r="I145" i="75"/>
  <c r="H145" i="75"/>
  <c r="G145" i="75"/>
  <c r="F145" i="75"/>
  <c r="D145" i="75"/>
  <c r="B145" i="75"/>
  <c r="U144" i="75"/>
  <c r="T144" i="75"/>
  <c r="S144" i="75"/>
  <c r="R144" i="75"/>
  <c r="Q144" i="75"/>
  <c r="P144" i="75"/>
  <c r="O144" i="75"/>
  <c r="N144" i="75"/>
  <c r="M144" i="75"/>
  <c r="L144" i="75"/>
  <c r="K144" i="75"/>
  <c r="J144" i="75"/>
  <c r="I144" i="75"/>
  <c r="H144" i="75"/>
  <c r="G144" i="75"/>
  <c r="F144" i="75"/>
  <c r="D144" i="75"/>
  <c r="B144" i="75"/>
  <c r="U143" i="75"/>
  <c r="T143" i="75"/>
  <c r="S143" i="75"/>
  <c r="R143" i="75"/>
  <c r="Q143" i="75"/>
  <c r="P143" i="75"/>
  <c r="O143" i="75"/>
  <c r="N143" i="75"/>
  <c r="M143" i="75"/>
  <c r="L143" i="75"/>
  <c r="K143" i="75"/>
  <c r="J143" i="75"/>
  <c r="I143" i="75"/>
  <c r="H143" i="75"/>
  <c r="G143" i="75"/>
  <c r="F143" i="75"/>
  <c r="D143" i="75"/>
  <c r="B143" i="75"/>
  <c r="U142" i="75"/>
  <c r="T142" i="75"/>
  <c r="S142" i="75"/>
  <c r="R142" i="75"/>
  <c r="Q142" i="75"/>
  <c r="P142" i="75"/>
  <c r="O142" i="75"/>
  <c r="N142" i="75"/>
  <c r="M142" i="75"/>
  <c r="L142" i="75"/>
  <c r="K142" i="75"/>
  <c r="J142" i="75"/>
  <c r="I142" i="75"/>
  <c r="H142" i="75"/>
  <c r="G142" i="75"/>
  <c r="F142" i="75"/>
  <c r="D142" i="75"/>
  <c r="B142" i="75"/>
  <c r="U141" i="75"/>
  <c r="T141" i="75"/>
  <c r="S141" i="75"/>
  <c r="R141" i="75"/>
  <c r="Q141" i="75"/>
  <c r="P141" i="75"/>
  <c r="O141" i="75"/>
  <c r="N141" i="75"/>
  <c r="M141" i="75"/>
  <c r="L141" i="75"/>
  <c r="K141" i="75"/>
  <c r="J141" i="75"/>
  <c r="I141" i="75"/>
  <c r="H141" i="75"/>
  <c r="G141" i="75"/>
  <c r="F141" i="75"/>
  <c r="D141" i="75"/>
  <c r="B141" i="75"/>
  <c r="U140" i="75"/>
  <c r="T140" i="75"/>
  <c r="S140" i="75"/>
  <c r="R140" i="75"/>
  <c r="Q140" i="75"/>
  <c r="P140" i="75"/>
  <c r="O140" i="75"/>
  <c r="N140" i="75"/>
  <c r="M140" i="75"/>
  <c r="L140" i="75"/>
  <c r="K140" i="75"/>
  <c r="J140" i="75"/>
  <c r="I140" i="75"/>
  <c r="H140" i="75"/>
  <c r="G140" i="75"/>
  <c r="F140" i="75"/>
  <c r="D140" i="75"/>
  <c r="B140" i="75"/>
  <c r="U139" i="75"/>
  <c r="T139" i="75"/>
  <c r="S139" i="75"/>
  <c r="R139" i="75"/>
  <c r="Q139" i="75"/>
  <c r="P139" i="75"/>
  <c r="O139" i="75"/>
  <c r="N139" i="75"/>
  <c r="M139" i="75"/>
  <c r="L139" i="75"/>
  <c r="K139" i="75"/>
  <c r="J139" i="75"/>
  <c r="I139" i="75"/>
  <c r="H139" i="75"/>
  <c r="G139" i="75"/>
  <c r="F139" i="75"/>
  <c r="D139" i="75"/>
  <c r="C139" i="75"/>
  <c r="B139" i="75"/>
  <c r="U138" i="75"/>
  <c r="T138" i="75"/>
  <c r="S138" i="75"/>
  <c r="R138" i="75"/>
  <c r="Q138" i="75"/>
  <c r="P138" i="75"/>
  <c r="O138" i="75"/>
  <c r="N138" i="75"/>
  <c r="M138" i="75"/>
  <c r="L138" i="75"/>
  <c r="K138" i="75"/>
  <c r="J138" i="75"/>
  <c r="I138" i="75"/>
  <c r="H138" i="75"/>
  <c r="G138" i="75"/>
  <c r="F138" i="75"/>
  <c r="D138" i="75"/>
  <c r="B138" i="75"/>
  <c r="U137" i="75"/>
  <c r="T137" i="75"/>
  <c r="S137" i="75"/>
  <c r="R137" i="75"/>
  <c r="Q137" i="75"/>
  <c r="P137" i="75"/>
  <c r="O137" i="75"/>
  <c r="N137" i="75"/>
  <c r="M137" i="75"/>
  <c r="L137" i="75"/>
  <c r="K137" i="75"/>
  <c r="J137" i="75"/>
  <c r="I137" i="75"/>
  <c r="H137" i="75"/>
  <c r="G137" i="75"/>
  <c r="F137" i="75"/>
  <c r="D137" i="75"/>
  <c r="B137" i="75"/>
  <c r="U136" i="75"/>
  <c r="T136" i="75"/>
  <c r="S136" i="75"/>
  <c r="R136" i="75"/>
  <c r="Q136" i="75"/>
  <c r="P136" i="75"/>
  <c r="O136" i="75"/>
  <c r="N136" i="75"/>
  <c r="M136" i="75"/>
  <c r="L136" i="75"/>
  <c r="K136" i="75"/>
  <c r="J136" i="75"/>
  <c r="I136" i="75"/>
  <c r="H136" i="75"/>
  <c r="G136" i="75"/>
  <c r="F136" i="75"/>
  <c r="D136" i="75"/>
  <c r="B136" i="75"/>
  <c r="U135" i="75"/>
  <c r="T135" i="75"/>
  <c r="S135" i="75"/>
  <c r="R135" i="75"/>
  <c r="Q135" i="75"/>
  <c r="P135" i="75"/>
  <c r="O135" i="75"/>
  <c r="N135" i="75"/>
  <c r="M135" i="75"/>
  <c r="L135" i="75"/>
  <c r="K135" i="75"/>
  <c r="J135" i="75"/>
  <c r="I135" i="75"/>
  <c r="H135" i="75"/>
  <c r="G135" i="75"/>
  <c r="F135" i="75"/>
  <c r="D135" i="75"/>
  <c r="B135" i="75"/>
  <c r="U134" i="75"/>
  <c r="T134" i="75"/>
  <c r="S134" i="75"/>
  <c r="R134" i="75"/>
  <c r="Q134" i="75"/>
  <c r="P134" i="75"/>
  <c r="O134" i="75"/>
  <c r="N134" i="75"/>
  <c r="M134" i="75"/>
  <c r="L134" i="75"/>
  <c r="K134" i="75"/>
  <c r="J134" i="75"/>
  <c r="I134" i="75"/>
  <c r="H134" i="75"/>
  <c r="G134" i="75"/>
  <c r="F134" i="75"/>
  <c r="D134" i="75"/>
  <c r="B134" i="75"/>
  <c r="U133" i="75"/>
  <c r="T133" i="75"/>
  <c r="S133" i="75"/>
  <c r="R133" i="75"/>
  <c r="Q133" i="75"/>
  <c r="P133" i="75"/>
  <c r="O133" i="75"/>
  <c r="N133" i="75"/>
  <c r="M133" i="75"/>
  <c r="L133" i="75"/>
  <c r="K133" i="75"/>
  <c r="J133" i="75"/>
  <c r="I133" i="75"/>
  <c r="H133" i="75"/>
  <c r="G133" i="75"/>
  <c r="F133" i="75"/>
  <c r="D133" i="75"/>
  <c r="B133" i="75"/>
  <c r="U132" i="75"/>
  <c r="T132" i="75"/>
  <c r="S132" i="75"/>
  <c r="R132" i="75"/>
  <c r="Q132" i="75"/>
  <c r="P132" i="75"/>
  <c r="O132" i="75"/>
  <c r="N132" i="75"/>
  <c r="M132" i="75"/>
  <c r="L132" i="75"/>
  <c r="K132" i="75"/>
  <c r="J132" i="75"/>
  <c r="I132" i="75"/>
  <c r="H132" i="75"/>
  <c r="G132" i="75"/>
  <c r="F132" i="75"/>
  <c r="D132" i="75"/>
  <c r="B132" i="75"/>
  <c r="U131" i="75"/>
  <c r="T131" i="75"/>
  <c r="S131" i="75"/>
  <c r="R131" i="75"/>
  <c r="Q131" i="75"/>
  <c r="P131" i="75"/>
  <c r="O131" i="75"/>
  <c r="N131" i="75"/>
  <c r="M131" i="75"/>
  <c r="L131" i="75"/>
  <c r="K131" i="75"/>
  <c r="J131" i="75"/>
  <c r="I131" i="75"/>
  <c r="H131" i="75"/>
  <c r="G131" i="75"/>
  <c r="F131" i="75"/>
  <c r="D131" i="75"/>
  <c r="B131" i="75"/>
  <c r="U130" i="75"/>
  <c r="T130" i="75"/>
  <c r="S130" i="75"/>
  <c r="R130" i="75"/>
  <c r="Q130" i="75"/>
  <c r="P130" i="75"/>
  <c r="O130" i="75"/>
  <c r="N130" i="75"/>
  <c r="M130" i="75"/>
  <c r="L130" i="75"/>
  <c r="K130" i="75"/>
  <c r="J130" i="75"/>
  <c r="I130" i="75"/>
  <c r="H130" i="75"/>
  <c r="G130" i="75"/>
  <c r="F130" i="75"/>
  <c r="D130" i="75"/>
  <c r="C130" i="75"/>
  <c r="B130" i="75"/>
  <c r="U129" i="75"/>
  <c r="T129" i="75"/>
  <c r="S129" i="75"/>
  <c r="R129" i="75"/>
  <c r="Q129" i="75"/>
  <c r="P129" i="75"/>
  <c r="O129" i="75"/>
  <c r="N129" i="75"/>
  <c r="M129" i="75"/>
  <c r="L129" i="75"/>
  <c r="K129" i="75"/>
  <c r="J129" i="75"/>
  <c r="I129" i="75"/>
  <c r="H129" i="75"/>
  <c r="G129" i="75"/>
  <c r="F129" i="75"/>
  <c r="D129" i="75"/>
  <c r="B129" i="75"/>
  <c r="U128" i="75"/>
  <c r="T128" i="75"/>
  <c r="S128" i="75"/>
  <c r="R128" i="75"/>
  <c r="Q128" i="75"/>
  <c r="P128" i="75"/>
  <c r="O128" i="75"/>
  <c r="N128" i="75"/>
  <c r="M128" i="75"/>
  <c r="L128" i="75"/>
  <c r="K128" i="75"/>
  <c r="J128" i="75"/>
  <c r="I128" i="75"/>
  <c r="H128" i="75"/>
  <c r="G128" i="75"/>
  <c r="F128" i="75"/>
  <c r="D128" i="75"/>
  <c r="B128" i="75"/>
  <c r="U127" i="75"/>
  <c r="T127" i="75"/>
  <c r="S127" i="75"/>
  <c r="R127" i="75"/>
  <c r="Q127" i="75"/>
  <c r="P127" i="75"/>
  <c r="O127" i="75"/>
  <c r="N127" i="75"/>
  <c r="M127" i="75"/>
  <c r="L127" i="75"/>
  <c r="K127" i="75"/>
  <c r="J127" i="75"/>
  <c r="I127" i="75"/>
  <c r="H127" i="75"/>
  <c r="G127" i="75"/>
  <c r="F127" i="75"/>
  <c r="D127" i="75"/>
  <c r="B127" i="75"/>
  <c r="U126" i="75"/>
  <c r="T126" i="75"/>
  <c r="S126" i="75"/>
  <c r="R126" i="75"/>
  <c r="Q126" i="75"/>
  <c r="P126" i="75"/>
  <c r="O126" i="75"/>
  <c r="N126" i="75"/>
  <c r="M126" i="75"/>
  <c r="L126" i="75"/>
  <c r="K126" i="75"/>
  <c r="J126" i="75"/>
  <c r="I126" i="75"/>
  <c r="H126" i="75"/>
  <c r="G126" i="75"/>
  <c r="F126" i="75"/>
  <c r="D126" i="75"/>
  <c r="B126" i="75"/>
  <c r="U125" i="75"/>
  <c r="T125" i="75"/>
  <c r="S125" i="75"/>
  <c r="R125" i="75"/>
  <c r="Q125" i="75"/>
  <c r="P125" i="75"/>
  <c r="O125" i="75"/>
  <c r="N125" i="75"/>
  <c r="M125" i="75"/>
  <c r="L125" i="75"/>
  <c r="K125" i="75"/>
  <c r="J125" i="75"/>
  <c r="I125" i="75"/>
  <c r="H125" i="75"/>
  <c r="G125" i="75"/>
  <c r="F125" i="75"/>
  <c r="D125" i="75"/>
  <c r="B125" i="75"/>
  <c r="U124" i="75"/>
  <c r="T124" i="75"/>
  <c r="S124" i="75"/>
  <c r="R124" i="75"/>
  <c r="Q124" i="75"/>
  <c r="P124" i="75"/>
  <c r="O124" i="75"/>
  <c r="N124" i="75"/>
  <c r="M124" i="75"/>
  <c r="L124" i="75"/>
  <c r="K124" i="75"/>
  <c r="J124" i="75"/>
  <c r="I124" i="75"/>
  <c r="H124" i="75"/>
  <c r="G124" i="75"/>
  <c r="F124" i="75"/>
  <c r="D124" i="75"/>
  <c r="B124" i="75"/>
  <c r="U123" i="75"/>
  <c r="T123" i="75"/>
  <c r="S123" i="75"/>
  <c r="R123" i="75"/>
  <c r="Q123" i="75"/>
  <c r="P123" i="75"/>
  <c r="O123" i="75"/>
  <c r="N123" i="75"/>
  <c r="M123" i="75"/>
  <c r="L123" i="75"/>
  <c r="K123" i="75"/>
  <c r="J123" i="75"/>
  <c r="I123" i="75"/>
  <c r="H123" i="75"/>
  <c r="G123" i="75"/>
  <c r="F123" i="75"/>
  <c r="D123" i="75"/>
  <c r="B123" i="75"/>
  <c r="U122" i="75"/>
  <c r="T122" i="75"/>
  <c r="S122" i="75"/>
  <c r="R122" i="75"/>
  <c r="Q122" i="75"/>
  <c r="P122" i="75"/>
  <c r="O122" i="75"/>
  <c r="N122" i="75"/>
  <c r="M122" i="75"/>
  <c r="L122" i="75"/>
  <c r="K122" i="75"/>
  <c r="J122" i="75"/>
  <c r="I122" i="75"/>
  <c r="H122" i="75"/>
  <c r="G122" i="75"/>
  <c r="F122" i="75"/>
  <c r="D122" i="75"/>
  <c r="B122" i="75"/>
  <c r="U121" i="75"/>
  <c r="T121" i="75"/>
  <c r="R121" i="75"/>
  <c r="Q121" i="75"/>
  <c r="P121" i="75"/>
  <c r="O121" i="75"/>
  <c r="N121" i="75"/>
  <c r="M121" i="75"/>
  <c r="L121" i="75"/>
  <c r="K121" i="75"/>
  <c r="J121" i="75"/>
  <c r="I121" i="75"/>
  <c r="H121" i="75"/>
  <c r="G121" i="75"/>
  <c r="F121" i="75"/>
  <c r="D121" i="75"/>
  <c r="B121" i="75"/>
  <c r="U120" i="75"/>
  <c r="T120" i="75"/>
  <c r="S120" i="75"/>
  <c r="R120" i="75"/>
  <c r="Q120" i="75"/>
  <c r="P120" i="75"/>
  <c r="O120" i="75"/>
  <c r="N120" i="75"/>
  <c r="M120" i="75"/>
  <c r="L120" i="75"/>
  <c r="K120" i="75"/>
  <c r="J120" i="75"/>
  <c r="I120" i="75"/>
  <c r="H120" i="75"/>
  <c r="G120" i="75"/>
  <c r="F120" i="75"/>
  <c r="D120" i="75"/>
  <c r="B120" i="75"/>
  <c r="U119" i="75"/>
  <c r="T119" i="75"/>
  <c r="S119" i="75"/>
  <c r="R119" i="75"/>
  <c r="Q119" i="75"/>
  <c r="P119" i="75"/>
  <c r="O119" i="75"/>
  <c r="N119" i="75"/>
  <c r="M119" i="75"/>
  <c r="L119" i="75"/>
  <c r="K119" i="75"/>
  <c r="J119" i="75"/>
  <c r="I119" i="75"/>
  <c r="H119" i="75"/>
  <c r="G119" i="75"/>
  <c r="F119" i="75"/>
  <c r="D119" i="75"/>
  <c r="B119" i="75"/>
  <c r="U118" i="75"/>
  <c r="T118" i="75"/>
  <c r="S118" i="75"/>
  <c r="R118" i="75"/>
  <c r="Q118" i="75"/>
  <c r="P118" i="75"/>
  <c r="O118" i="75"/>
  <c r="N118" i="75"/>
  <c r="M118" i="75"/>
  <c r="L118" i="75"/>
  <c r="K118" i="75"/>
  <c r="J118" i="75"/>
  <c r="I118" i="75"/>
  <c r="H118" i="75"/>
  <c r="G118" i="75"/>
  <c r="F118" i="75"/>
  <c r="D118" i="75"/>
  <c r="C118" i="75"/>
  <c r="B118" i="75"/>
  <c r="U117" i="75"/>
  <c r="T117" i="75"/>
  <c r="S117" i="75"/>
  <c r="R117" i="75"/>
  <c r="Q117" i="75"/>
  <c r="P117" i="75"/>
  <c r="O117" i="75"/>
  <c r="N117" i="75"/>
  <c r="M117" i="75"/>
  <c r="L117" i="75"/>
  <c r="K117" i="75"/>
  <c r="J117" i="75"/>
  <c r="I117" i="75"/>
  <c r="H117" i="75"/>
  <c r="G117" i="75"/>
  <c r="F117" i="75"/>
  <c r="D117" i="75"/>
  <c r="B117" i="75"/>
  <c r="U116" i="75"/>
  <c r="T116" i="75"/>
  <c r="S116" i="75"/>
  <c r="R116" i="75"/>
  <c r="Q116" i="75"/>
  <c r="P116" i="75"/>
  <c r="O116" i="75"/>
  <c r="N116" i="75"/>
  <c r="M116" i="75"/>
  <c r="L116" i="75"/>
  <c r="K116" i="75"/>
  <c r="J116" i="75"/>
  <c r="I116" i="75"/>
  <c r="H116" i="75"/>
  <c r="G116" i="75"/>
  <c r="F116" i="75"/>
  <c r="D116" i="75"/>
  <c r="B116" i="75"/>
  <c r="U115" i="75"/>
  <c r="T115" i="75"/>
  <c r="S115" i="75"/>
  <c r="R115" i="75"/>
  <c r="Q115" i="75"/>
  <c r="P115" i="75"/>
  <c r="O115" i="75"/>
  <c r="N115" i="75"/>
  <c r="M115" i="75"/>
  <c r="L115" i="75"/>
  <c r="K115" i="75"/>
  <c r="J115" i="75"/>
  <c r="I115" i="75"/>
  <c r="H115" i="75"/>
  <c r="G115" i="75"/>
  <c r="F115" i="75"/>
  <c r="D115" i="75"/>
  <c r="B115" i="75"/>
  <c r="U114" i="75"/>
  <c r="T114" i="75"/>
  <c r="S114" i="75"/>
  <c r="R114" i="75"/>
  <c r="Q114" i="75"/>
  <c r="P114" i="75"/>
  <c r="O114" i="75"/>
  <c r="N114" i="75"/>
  <c r="M114" i="75"/>
  <c r="L114" i="75"/>
  <c r="K114" i="75"/>
  <c r="J114" i="75"/>
  <c r="I114" i="75"/>
  <c r="H114" i="75"/>
  <c r="G114" i="75"/>
  <c r="F114" i="75"/>
  <c r="D114" i="75"/>
  <c r="B114" i="75"/>
  <c r="U113" i="75"/>
  <c r="T113" i="75"/>
  <c r="S113" i="75"/>
  <c r="R113" i="75"/>
  <c r="Q113" i="75"/>
  <c r="P113" i="75"/>
  <c r="O113" i="75"/>
  <c r="N113" i="75"/>
  <c r="M113" i="75"/>
  <c r="L113" i="75"/>
  <c r="K113" i="75"/>
  <c r="J113" i="75"/>
  <c r="I113" i="75"/>
  <c r="H113" i="75"/>
  <c r="G113" i="75"/>
  <c r="F113" i="75"/>
  <c r="D113" i="75"/>
  <c r="B113" i="75"/>
  <c r="U112" i="75"/>
  <c r="T112" i="75"/>
  <c r="S112" i="75"/>
  <c r="R112" i="75"/>
  <c r="Q112" i="75"/>
  <c r="P112" i="75"/>
  <c r="O112" i="75"/>
  <c r="N112" i="75"/>
  <c r="M112" i="75"/>
  <c r="L112" i="75"/>
  <c r="K112" i="75"/>
  <c r="J112" i="75"/>
  <c r="I112" i="75"/>
  <c r="H112" i="75"/>
  <c r="G112" i="75"/>
  <c r="F112" i="75"/>
  <c r="D112" i="75"/>
  <c r="B112" i="75"/>
  <c r="U111" i="75"/>
  <c r="T111" i="75"/>
  <c r="S111" i="75"/>
  <c r="R111" i="75"/>
  <c r="Q111" i="75"/>
  <c r="P111" i="75"/>
  <c r="O111" i="75"/>
  <c r="N111" i="75"/>
  <c r="M111" i="75"/>
  <c r="L111" i="75"/>
  <c r="K111" i="75"/>
  <c r="J111" i="75"/>
  <c r="I111" i="75"/>
  <c r="H111" i="75"/>
  <c r="G111" i="75"/>
  <c r="F111" i="75"/>
  <c r="D111" i="75"/>
  <c r="C111" i="75"/>
  <c r="B111" i="75"/>
  <c r="U110" i="75"/>
  <c r="T110" i="75"/>
  <c r="S110" i="75"/>
  <c r="R110" i="75"/>
  <c r="Q110" i="75"/>
  <c r="P110" i="75"/>
  <c r="O110" i="75"/>
  <c r="N110" i="75"/>
  <c r="M110" i="75"/>
  <c r="L110" i="75"/>
  <c r="K110" i="75"/>
  <c r="J110" i="75"/>
  <c r="I110" i="75"/>
  <c r="H110" i="75"/>
  <c r="G110" i="75"/>
  <c r="F110" i="75"/>
  <c r="D110" i="75"/>
  <c r="B110" i="75"/>
  <c r="U109" i="75"/>
  <c r="T109" i="75"/>
  <c r="S109" i="75"/>
  <c r="R109" i="75"/>
  <c r="Q109" i="75"/>
  <c r="P109" i="75"/>
  <c r="O109" i="75"/>
  <c r="N109" i="75"/>
  <c r="M109" i="75"/>
  <c r="L109" i="75"/>
  <c r="K109" i="75"/>
  <c r="J109" i="75"/>
  <c r="I109" i="75"/>
  <c r="H109" i="75"/>
  <c r="G109" i="75"/>
  <c r="F109" i="75"/>
  <c r="D109" i="75"/>
  <c r="B109" i="75"/>
  <c r="U108" i="75"/>
  <c r="T108" i="75"/>
  <c r="R108" i="75"/>
  <c r="Q108" i="75"/>
  <c r="P108" i="75"/>
  <c r="O108" i="75"/>
  <c r="N108" i="75"/>
  <c r="M108" i="75"/>
  <c r="L108" i="75"/>
  <c r="K108" i="75"/>
  <c r="J108" i="75"/>
  <c r="I108" i="75"/>
  <c r="H108" i="75"/>
  <c r="G108" i="75"/>
  <c r="F108" i="75"/>
  <c r="D108" i="75"/>
  <c r="B108" i="75"/>
  <c r="U107" i="75"/>
  <c r="T107" i="75"/>
  <c r="S107" i="75"/>
  <c r="R107" i="75"/>
  <c r="Q107" i="75"/>
  <c r="P107" i="75"/>
  <c r="O107" i="75"/>
  <c r="N107" i="75"/>
  <c r="M107" i="75"/>
  <c r="L107" i="75"/>
  <c r="K107" i="75"/>
  <c r="J107" i="75"/>
  <c r="I107" i="75"/>
  <c r="H107" i="75"/>
  <c r="G107" i="75"/>
  <c r="F107" i="75"/>
  <c r="D107" i="75"/>
  <c r="C107" i="75"/>
  <c r="B107" i="75"/>
  <c r="U106" i="75"/>
  <c r="T106" i="75"/>
  <c r="S106" i="75"/>
  <c r="R106" i="75"/>
  <c r="Q106" i="75"/>
  <c r="P106" i="75"/>
  <c r="O106" i="75"/>
  <c r="N106" i="75"/>
  <c r="M106" i="75"/>
  <c r="L106" i="75"/>
  <c r="K106" i="75"/>
  <c r="J106" i="75"/>
  <c r="I106" i="75"/>
  <c r="H106" i="75"/>
  <c r="G106" i="75"/>
  <c r="F106" i="75"/>
  <c r="D106" i="75"/>
  <c r="B106" i="75"/>
  <c r="U105" i="75"/>
  <c r="T105" i="75"/>
  <c r="S105" i="75"/>
  <c r="R105" i="75"/>
  <c r="Q105" i="75"/>
  <c r="P105" i="75"/>
  <c r="O105" i="75"/>
  <c r="N105" i="75"/>
  <c r="M105" i="75"/>
  <c r="L105" i="75"/>
  <c r="K105" i="75"/>
  <c r="J105" i="75"/>
  <c r="I105" i="75"/>
  <c r="H105" i="75"/>
  <c r="G105" i="75"/>
  <c r="F105" i="75"/>
  <c r="D105" i="75"/>
  <c r="B105" i="75"/>
  <c r="U104" i="75"/>
  <c r="T104" i="75"/>
  <c r="S104" i="75"/>
  <c r="R104" i="75"/>
  <c r="Q104" i="75"/>
  <c r="P104" i="75"/>
  <c r="O104" i="75"/>
  <c r="N104" i="75"/>
  <c r="M104" i="75"/>
  <c r="L104" i="75"/>
  <c r="K104" i="75"/>
  <c r="J104" i="75"/>
  <c r="I104" i="75"/>
  <c r="H104" i="75"/>
  <c r="G104" i="75"/>
  <c r="F104" i="75"/>
  <c r="D104" i="75"/>
  <c r="C104" i="75"/>
  <c r="B104" i="75"/>
  <c r="U103" i="75"/>
  <c r="T103" i="75"/>
  <c r="S103" i="75"/>
  <c r="R103" i="75"/>
  <c r="Q103" i="75"/>
  <c r="P103" i="75"/>
  <c r="O103" i="75"/>
  <c r="N103" i="75"/>
  <c r="M103" i="75"/>
  <c r="L103" i="75"/>
  <c r="K103" i="75"/>
  <c r="J103" i="75"/>
  <c r="I103" i="75"/>
  <c r="H103" i="75"/>
  <c r="G103" i="75"/>
  <c r="F103" i="75"/>
  <c r="D103" i="75"/>
  <c r="B103" i="75"/>
  <c r="U102" i="75"/>
  <c r="T102" i="75"/>
  <c r="S102" i="75"/>
  <c r="R102" i="75"/>
  <c r="Q102" i="75"/>
  <c r="P102" i="75"/>
  <c r="O102" i="75"/>
  <c r="N102" i="75"/>
  <c r="M102" i="75"/>
  <c r="L102" i="75"/>
  <c r="K102" i="75"/>
  <c r="J102" i="75"/>
  <c r="I102" i="75"/>
  <c r="H102" i="75"/>
  <c r="G102" i="75"/>
  <c r="F102" i="75"/>
  <c r="D102" i="75"/>
  <c r="B102" i="75"/>
  <c r="U101" i="75"/>
  <c r="T101" i="75"/>
  <c r="S101" i="75"/>
  <c r="R101" i="75"/>
  <c r="Q101" i="75"/>
  <c r="P101" i="75"/>
  <c r="O101" i="75"/>
  <c r="N101" i="75"/>
  <c r="M101" i="75"/>
  <c r="L101" i="75"/>
  <c r="K101" i="75"/>
  <c r="J101" i="75"/>
  <c r="I101" i="75"/>
  <c r="H101" i="75"/>
  <c r="G101" i="75"/>
  <c r="F101" i="75"/>
  <c r="D101" i="75"/>
  <c r="B101" i="75"/>
  <c r="U100" i="75"/>
  <c r="T100" i="75"/>
  <c r="S100" i="75"/>
  <c r="R100" i="75"/>
  <c r="Q100" i="75"/>
  <c r="P100" i="75"/>
  <c r="O100" i="75"/>
  <c r="N100" i="75"/>
  <c r="M100" i="75"/>
  <c r="L100" i="75"/>
  <c r="K100" i="75"/>
  <c r="J100" i="75"/>
  <c r="I100" i="75"/>
  <c r="H100" i="75"/>
  <c r="G100" i="75"/>
  <c r="F100" i="75"/>
  <c r="D100" i="75"/>
  <c r="C100" i="75"/>
  <c r="B100" i="75"/>
  <c r="U99" i="75"/>
  <c r="T99" i="75"/>
  <c r="S99" i="75"/>
  <c r="R99" i="75"/>
  <c r="Q99" i="75"/>
  <c r="P99" i="75"/>
  <c r="O99" i="75"/>
  <c r="N99" i="75"/>
  <c r="M99" i="75"/>
  <c r="L99" i="75"/>
  <c r="K99" i="75"/>
  <c r="J99" i="75"/>
  <c r="I99" i="75"/>
  <c r="H99" i="75"/>
  <c r="G99" i="75"/>
  <c r="F99" i="75"/>
  <c r="D99" i="75"/>
  <c r="B99" i="75"/>
  <c r="U98" i="75"/>
  <c r="T98" i="75"/>
  <c r="S98" i="75"/>
  <c r="R98" i="75"/>
  <c r="Q98" i="75"/>
  <c r="P98" i="75"/>
  <c r="O98" i="75"/>
  <c r="N98" i="75"/>
  <c r="M98" i="75"/>
  <c r="L98" i="75"/>
  <c r="K98" i="75"/>
  <c r="J98" i="75"/>
  <c r="I98" i="75"/>
  <c r="H98" i="75"/>
  <c r="G98" i="75"/>
  <c r="F98" i="75"/>
  <c r="D98" i="75"/>
  <c r="B98" i="75"/>
  <c r="U97" i="75"/>
  <c r="T97" i="75"/>
  <c r="S97" i="75"/>
  <c r="R97" i="75"/>
  <c r="Q97" i="75"/>
  <c r="P97" i="75"/>
  <c r="O97" i="75"/>
  <c r="N97" i="75"/>
  <c r="M97" i="75"/>
  <c r="L97" i="75"/>
  <c r="K97" i="75"/>
  <c r="J97" i="75"/>
  <c r="I97" i="75"/>
  <c r="H97" i="75"/>
  <c r="G97" i="75"/>
  <c r="F97" i="75"/>
  <c r="D97" i="75"/>
  <c r="C97" i="75"/>
  <c r="B97" i="75"/>
  <c r="U96" i="75"/>
  <c r="T96" i="75"/>
  <c r="S96" i="75"/>
  <c r="R96" i="75"/>
  <c r="Q96" i="75"/>
  <c r="P96" i="75"/>
  <c r="O96" i="75"/>
  <c r="N96" i="75"/>
  <c r="M96" i="75"/>
  <c r="L96" i="75"/>
  <c r="K96" i="75"/>
  <c r="J96" i="75"/>
  <c r="I96" i="75"/>
  <c r="H96" i="75"/>
  <c r="G96" i="75"/>
  <c r="F96" i="75"/>
  <c r="D96" i="75"/>
  <c r="B96" i="75"/>
  <c r="U95" i="75"/>
  <c r="T95" i="75"/>
  <c r="S95" i="75"/>
  <c r="R95" i="75"/>
  <c r="Q95" i="75"/>
  <c r="P95" i="75"/>
  <c r="O95" i="75"/>
  <c r="N95" i="75"/>
  <c r="M95" i="75"/>
  <c r="L95" i="75"/>
  <c r="K95" i="75"/>
  <c r="J95" i="75"/>
  <c r="I95" i="75"/>
  <c r="H95" i="75"/>
  <c r="G95" i="75"/>
  <c r="F95" i="75"/>
  <c r="D95" i="75"/>
  <c r="B95" i="75"/>
  <c r="U94" i="75"/>
  <c r="T94" i="75"/>
  <c r="S94" i="75"/>
  <c r="R94" i="75"/>
  <c r="Q94" i="75"/>
  <c r="P94" i="75"/>
  <c r="O94" i="75"/>
  <c r="N94" i="75"/>
  <c r="M94" i="75"/>
  <c r="L94" i="75"/>
  <c r="K94" i="75"/>
  <c r="J94" i="75"/>
  <c r="I94" i="75"/>
  <c r="H94" i="75"/>
  <c r="G94" i="75"/>
  <c r="F94" i="75"/>
  <c r="D94" i="75"/>
  <c r="C94" i="75"/>
  <c r="B94" i="75"/>
  <c r="U93" i="75"/>
  <c r="T93" i="75"/>
  <c r="S93" i="75"/>
  <c r="R93" i="75"/>
  <c r="Q93" i="75"/>
  <c r="P93" i="75"/>
  <c r="O93" i="75"/>
  <c r="N93" i="75"/>
  <c r="M93" i="75"/>
  <c r="L93" i="75"/>
  <c r="K93" i="75"/>
  <c r="J93" i="75"/>
  <c r="I93" i="75"/>
  <c r="H93" i="75"/>
  <c r="G93" i="75"/>
  <c r="F93" i="75"/>
  <c r="D93" i="75"/>
  <c r="B93" i="75"/>
  <c r="U92" i="75"/>
  <c r="T92" i="75"/>
  <c r="S92" i="75"/>
  <c r="R92" i="75"/>
  <c r="Q92" i="75"/>
  <c r="P92" i="75"/>
  <c r="O92" i="75"/>
  <c r="N92" i="75"/>
  <c r="M92" i="75"/>
  <c r="L92" i="75"/>
  <c r="K92" i="75"/>
  <c r="J92" i="75"/>
  <c r="I92" i="75"/>
  <c r="H92" i="75"/>
  <c r="G92" i="75"/>
  <c r="F92" i="75"/>
  <c r="D92" i="75"/>
  <c r="B92" i="75"/>
  <c r="U91" i="75"/>
  <c r="T91" i="75"/>
  <c r="S91" i="75"/>
  <c r="R91" i="75"/>
  <c r="Q91" i="75"/>
  <c r="P91" i="75"/>
  <c r="O91" i="75"/>
  <c r="N91" i="75"/>
  <c r="M91" i="75"/>
  <c r="L91" i="75"/>
  <c r="K91" i="75"/>
  <c r="J91" i="75"/>
  <c r="I91" i="75"/>
  <c r="H91" i="75"/>
  <c r="G91" i="75"/>
  <c r="F91" i="75"/>
  <c r="D91" i="75"/>
  <c r="B91" i="75"/>
  <c r="U90" i="75"/>
  <c r="T90" i="75"/>
  <c r="S90" i="75"/>
  <c r="R90" i="75"/>
  <c r="Q90" i="75"/>
  <c r="P90" i="75"/>
  <c r="O90" i="75"/>
  <c r="N90" i="75"/>
  <c r="M90" i="75"/>
  <c r="L90" i="75"/>
  <c r="K90" i="75"/>
  <c r="J90" i="75"/>
  <c r="I90" i="75"/>
  <c r="H90" i="75"/>
  <c r="G90" i="75"/>
  <c r="F90" i="75"/>
  <c r="D90" i="75"/>
  <c r="B90" i="75"/>
  <c r="U89" i="75"/>
  <c r="T89" i="75"/>
  <c r="S89" i="75"/>
  <c r="R89" i="75"/>
  <c r="Q89" i="75"/>
  <c r="P89" i="75"/>
  <c r="O89" i="75"/>
  <c r="N89" i="75"/>
  <c r="M89" i="75"/>
  <c r="L89" i="75"/>
  <c r="K89" i="75"/>
  <c r="J89" i="75"/>
  <c r="I89" i="75"/>
  <c r="H89" i="75"/>
  <c r="G89" i="75"/>
  <c r="F89" i="75"/>
  <c r="D89" i="75"/>
  <c r="B89" i="75"/>
  <c r="U88" i="75"/>
  <c r="T88" i="75"/>
  <c r="S88" i="75"/>
  <c r="R88" i="75"/>
  <c r="Q88" i="75"/>
  <c r="P88" i="75"/>
  <c r="O88" i="75"/>
  <c r="N88" i="75"/>
  <c r="M88" i="75"/>
  <c r="L88" i="75"/>
  <c r="K88" i="75"/>
  <c r="J88" i="75"/>
  <c r="I88" i="75"/>
  <c r="H88" i="75"/>
  <c r="G88" i="75"/>
  <c r="F88" i="75"/>
  <c r="D88" i="75"/>
  <c r="B88" i="75"/>
  <c r="U87" i="75"/>
  <c r="T87" i="75"/>
  <c r="S87" i="75"/>
  <c r="R87" i="75"/>
  <c r="Q87" i="75"/>
  <c r="P87" i="75"/>
  <c r="O87" i="75"/>
  <c r="N87" i="75"/>
  <c r="M87" i="75"/>
  <c r="L87" i="75"/>
  <c r="K87" i="75"/>
  <c r="J87" i="75"/>
  <c r="I87" i="75"/>
  <c r="H87" i="75"/>
  <c r="G87" i="75"/>
  <c r="F87" i="75"/>
  <c r="D87" i="75"/>
  <c r="C87" i="75"/>
  <c r="B87" i="75"/>
  <c r="U86" i="75"/>
  <c r="T86" i="75"/>
  <c r="S86" i="75"/>
  <c r="R86" i="75"/>
  <c r="Q86" i="75"/>
  <c r="P86" i="75"/>
  <c r="O86" i="75"/>
  <c r="N86" i="75"/>
  <c r="M86" i="75"/>
  <c r="L86" i="75"/>
  <c r="K86" i="75"/>
  <c r="J86" i="75"/>
  <c r="I86" i="75"/>
  <c r="H86" i="75"/>
  <c r="G86" i="75"/>
  <c r="F86" i="75"/>
  <c r="D86" i="75"/>
  <c r="C86" i="75"/>
  <c r="B86" i="75"/>
  <c r="U85" i="75"/>
  <c r="T85" i="75"/>
  <c r="S85" i="75"/>
  <c r="R85" i="75"/>
  <c r="Q85" i="75"/>
  <c r="P85" i="75"/>
  <c r="O85" i="75"/>
  <c r="N85" i="75"/>
  <c r="M85" i="75"/>
  <c r="L85" i="75"/>
  <c r="K85" i="75"/>
  <c r="J85" i="75"/>
  <c r="I85" i="75"/>
  <c r="H85" i="75"/>
  <c r="G85" i="75"/>
  <c r="F85" i="75"/>
  <c r="D85" i="75"/>
  <c r="B85" i="75"/>
  <c r="U84" i="75"/>
  <c r="T84" i="75"/>
  <c r="S84" i="75"/>
  <c r="R84" i="75"/>
  <c r="Q84" i="75"/>
  <c r="P84" i="75"/>
  <c r="O84" i="75"/>
  <c r="N84" i="75"/>
  <c r="M84" i="75"/>
  <c r="L84" i="75"/>
  <c r="K84" i="75"/>
  <c r="J84" i="75"/>
  <c r="I84" i="75"/>
  <c r="H84" i="75"/>
  <c r="G84" i="75"/>
  <c r="F84" i="75"/>
  <c r="D84" i="75"/>
  <c r="B84" i="75"/>
  <c r="U83" i="75"/>
  <c r="T83" i="75"/>
  <c r="S83" i="75"/>
  <c r="R83" i="75"/>
  <c r="Q83" i="75"/>
  <c r="P83" i="75"/>
  <c r="O83" i="75"/>
  <c r="N83" i="75"/>
  <c r="M83" i="75"/>
  <c r="L83" i="75"/>
  <c r="K83" i="75"/>
  <c r="J83" i="75"/>
  <c r="I83" i="75"/>
  <c r="H83" i="75"/>
  <c r="G83" i="75"/>
  <c r="F83" i="75"/>
  <c r="D83" i="75"/>
  <c r="C83" i="75"/>
  <c r="B83" i="75"/>
  <c r="U82" i="75"/>
  <c r="T82" i="75"/>
  <c r="S82" i="75"/>
  <c r="R82" i="75"/>
  <c r="Q82" i="75"/>
  <c r="P82" i="75"/>
  <c r="O82" i="75"/>
  <c r="N82" i="75"/>
  <c r="M82" i="75"/>
  <c r="L82" i="75"/>
  <c r="K82" i="75"/>
  <c r="J82" i="75"/>
  <c r="I82" i="75"/>
  <c r="H82" i="75"/>
  <c r="G82" i="75"/>
  <c r="F82" i="75"/>
  <c r="D82" i="75"/>
  <c r="C82" i="75"/>
  <c r="B82" i="75"/>
  <c r="AD81" i="75"/>
  <c r="AC81" i="75"/>
  <c r="AB81" i="75"/>
  <c r="AA81" i="75"/>
  <c r="Z81" i="75"/>
  <c r="Y81" i="75"/>
  <c r="X81" i="75"/>
  <c r="U81" i="75"/>
  <c r="T81" i="75"/>
  <c r="S81" i="75"/>
  <c r="R81" i="75"/>
  <c r="Q81" i="75"/>
  <c r="P81" i="75"/>
  <c r="O81" i="75"/>
  <c r="N81" i="75"/>
  <c r="M81" i="75"/>
  <c r="L81" i="75"/>
  <c r="K81" i="75"/>
  <c r="J81" i="75"/>
  <c r="I81" i="75"/>
  <c r="H81" i="75"/>
  <c r="G81" i="75"/>
  <c r="F81" i="75"/>
  <c r="D81" i="75"/>
  <c r="B81" i="75"/>
  <c r="AD80" i="75"/>
  <c r="AC80" i="75"/>
  <c r="AB80" i="75"/>
  <c r="Z80" i="75"/>
  <c r="Y80" i="75"/>
  <c r="X80" i="75"/>
  <c r="U80" i="75"/>
  <c r="T80" i="75"/>
  <c r="R80" i="75"/>
  <c r="Q80" i="75"/>
  <c r="P80" i="75"/>
  <c r="O80" i="75"/>
  <c r="N80" i="75"/>
  <c r="M80" i="75"/>
  <c r="L80" i="75"/>
  <c r="K80" i="75"/>
  <c r="J80" i="75"/>
  <c r="I80" i="75"/>
  <c r="H80" i="75"/>
  <c r="G80" i="75"/>
  <c r="F80" i="75"/>
  <c r="D80" i="75"/>
  <c r="B80" i="75"/>
  <c r="AD79" i="75"/>
  <c r="AC79" i="75"/>
  <c r="AB79" i="75"/>
  <c r="Z79" i="75"/>
  <c r="Y79" i="75"/>
  <c r="X79" i="75"/>
  <c r="U79" i="75"/>
  <c r="T79" i="75"/>
  <c r="S79" i="75"/>
  <c r="R79" i="75"/>
  <c r="Q79" i="75"/>
  <c r="P79" i="75"/>
  <c r="O79" i="75"/>
  <c r="N79" i="75"/>
  <c r="M79" i="75"/>
  <c r="L79" i="75"/>
  <c r="K79" i="75"/>
  <c r="J79" i="75"/>
  <c r="I79" i="75"/>
  <c r="H79" i="75"/>
  <c r="G79" i="75"/>
  <c r="F79" i="75"/>
  <c r="D79" i="75"/>
  <c r="B79" i="75"/>
  <c r="AD78" i="75"/>
  <c r="AC78" i="75"/>
  <c r="AB78" i="75"/>
  <c r="Z78" i="75"/>
  <c r="Y78" i="75"/>
  <c r="X78" i="75"/>
  <c r="U78" i="75"/>
  <c r="T78" i="75"/>
  <c r="S78" i="75"/>
  <c r="R78" i="75"/>
  <c r="Q78" i="75"/>
  <c r="P78" i="75"/>
  <c r="O78" i="75"/>
  <c r="N78" i="75"/>
  <c r="M78" i="75"/>
  <c r="L78" i="75"/>
  <c r="K78" i="75"/>
  <c r="J78" i="75"/>
  <c r="I78" i="75"/>
  <c r="H78" i="75"/>
  <c r="G78" i="75"/>
  <c r="F78" i="75"/>
  <c r="D78" i="75"/>
  <c r="B78" i="75"/>
  <c r="AD77" i="75"/>
  <c r="AC77" i="75"/>
  <c r="AB77" i="75"/>
  <c r="Z77" i="75"/>
  <c r="Y77" i="75"/>
  <c r="X77" i="75"/>
  <c r="U77" i="75"/>
  <c r="T77" i="75"/>
  <c r="S77" i="75"/>
  <c r="R77" i="75"/>
  <c r="Q77" i="75"/>
  <c r="P77" i="75"/>
  <c r="O77" i="75"/>
  <c r="N77" i="75"/>
  <c r="M77" i="75"/>
  <c r="L77" i="75"/>
  <c r="K77" i="75"/>
  <c r="J77" i="75"/>
  <c r="I77" i="75"/>
  <c r="H77" i="75"/>
  <c r="G77" i="75"/>
  <c r="F77" i="75"/>
  <c r="D77" i="75"/>
  <c r="B77" i="75"/>
  <c r="AD76" i="75"/>
  <c r="AC76" i="75"/>
  <c r="AB76" i="75"/>
  <c r="Z76" i="75"/>
  <c r="Y76" i="75"/>
  <c r="X76" i="75"/>
  <c r="U76" i="75"/>
  <c r="T76" i="75"/>
  <c r="S76" i="75"/>
  <c r="R76" i="75"/>
  <c r="Q76" i="75"/>
  <c r="P76" i="75"/>
  <c r="O76" i="75"/>
  <c r="N76" i="75"/>
  <c r="M76" i="75"/>
  <c r="L76" i="75"/>
  <c r="K76" i="75"/>
  <c r="J76" i="75"/>
  <c r="I76" i="75"/>
  <c r="H76" i="75"/>
  <c r="G76" i="75"/>
  <c r="F76" i="75"/>
  <c r="D76" i="75"/>
  <c r="B76" i="75"/>
  <c r="AD75" i="75"/>
  <c r="AC75" i="75"/>
  <c r="AB75" i="75"/>
  <c r="Z75" i="75"/>
  <c r="Y75" i="75"/>
  <c r="X75" i="75"/>
  <c r="U75" i="75"/>
  <c r="T75" i="75"/>
  <c r="S75" i="75"/>
  <c r="R75" i="75"/>
  <c r="Q75" i="75"/>
  <c r="P75" i="75"/>
  <c r="O75" i="75"/>
  <c r="N75" i="75"/>
  <c r="M75" i="75"/>
  <c r="L75" i="75"/>
  <c r="K75" i="75"/>
  <c r="J75" i="75"/>
  <c r="I75" i="75"/>
  <c r="H75" i="75"/>
  <c r="G75" i="75"/>
  <c r="F75" i="75"/>
  <c r="D75" i="75"/>
  <c r="B75" i="75"/>
  <c r="AD74" i="75"/>
  <c r="AC74" i="75"/>
  <c r="AB74" i="75"/>
  <c r="Z74" i="75"/>
  <c r="Y74" i="75"/>
  <c r="X74" i="75"/>
  <c r="U74" i="75"/>
  <c r="T74" i="75"/>
  <c r="S74" i="75"/>
  <c r="R74" i="75"/>
  <c r="Q74" i="75"/>
  <c r="P74" i="75"/>
  <c r="O74" i="75"/>
  <c r="N74" i="75"/>
  <c r="M74" i="75"/>
  <c r="L74" i="75"/>
  <c r="K74" i="75"/>
  <c r="J74" i="75"/>
  <c r="I74" i="75"/>
  <c r="H74" i="75"/>
  <c r="G74" i="75"/>
  <c r="F74" i="75"/>
  <c r="D74" i="75"/>
  <c r="B74" i="75"/>
  <c r="AD73" i="75"/>
  <c r="AC73" i="75"/>
  <c r="AB73" i="75"/>
  <c r="Z73" i="75"/>
  <c r="Y73" i="75"/>
  <c r="X73" i="75"/>
  <c r="U73" i="75"/>
  <c r="T73" i="75"/>
  <c r="S73" i="75"/>
  <c r="R73" i="75"/>
  <c r="Q73" i="75"/>
  <c r="P73" i="75"/>
  <c r="O73" i="75"/>
  <c r="N73" i="75"/>
  <c r="M73" i="75"/>
  <c r="L73" i="75"/>
  <c r="K73" i="75"/>
  <c r="J73" i="75"/>
  <c r="I73" i="75"/>
  <c r="H73" i="75"/>
  <c r="G73" i="75"/>
  <c r="F73" i="75"/>
  <c r="D73" i="75"/>
  <c r="B73" i="75"/>
  <c r="AD72" i="75"/>
  <c r="AC72" i="75"/>
  <c r="AB72" i="75"/>
  <c r="Z72" i="75"/>
  <c r="Y72" i="75"/>
  <c r="X72" i="75"/>
  <c r="U72" i="75"/>
  <c r="T72" i="75"/>
  <c r="S72" i="75"/>
  <c r="R72" i="75"/>
  <c r="Q72" i="75"/>
  <c r="P72" i="75"/>
  <c r="O72" i="75"/>
  <c r="N72" i="75"/>
  <c r="M72" i="75"/>
  <c r="L72" i="75"/>
  <c r="K72" i="75"/>
  <c r="J72" i="75"/>
  <c r="I72" i="75"/>
  <c r="H72" i="75"/>
  <c r="G72" i="75"/>
  <c r="F72" i="75"/>
  <c r="D72" i="75"/>
  <c r="B72" i="75"/>
  <c r="AD71" i="75"/>
  <c r="AC71" i="75"/>
  <c r="AB71" i="75"/>
  <c r="Z71" i="75"/>
  <c r="Y71" i="75"/>
  <c r="X71" i="75"/>
  <c r="U71" i="75"/>
  <c r="T71" i="75"/>
  <c r="S71" i="75"/>
  <c r="R71" i="75"/>
  <c r="Q71" i="75"/>
  <c r="P71" i="75"/>
  <c r="O71" i="75"/>
  <c r="N71" i="75"/>
  <c r="M71" i="75"/>
  <c r="L71" i="75"/>
  <c r="K71" i="75"/>
  <c r="J71" i="75"/>
  <c r="I71" i="75"/>
  <c r="H71" i="75"/>
  <c r="G71" i="75"/>
  <c r="F71" i="75"/>
  <c r="D71" i="75"/>
  <c r="B71" i="75"/>
  <c r="AD70" i="75"/>
  <c r="AC70" i="75"/>
  <c r="AB70" i="75"/>
  <c r="Z70" i="75"/>
  <c r="Y70" i="75"/>
  <c r="X70" i="75"/>
  <c r="U70" i="75"/>
  <c r="T70" i="75"/>
  <c r="S70" i="75"/>
  <c r="R70" i="75"/>
  <c r="Q70" i="75"/>
  <c r="P70" i="75"/>
  <c r="O70" i="75"/>
  <c r="N70" i="75"/>
  <c r="M70" i="75"/>
  <c r="L70" i="75"/>
  <c r="K70" i="75"/>
  <c r="J70" i="75"/>
  <c r="I70" i="75"/>
  <c r="H70" i="75"/>
  <c r="G70" i="75"/>
  <c r="F70" i="75"/>
  <c r="D70" i="75"/>
  <c r="B70" i="75"/>
  <c r="AD69" i="75"/>
  <c r="AC69" i="75"/>
  <c r="AB69" i="75"/>
  <c r="Z69" i="75"/>
  <c r="Y69" i="75"/>
  <c r="X69" i="75"/>
  <c r="U69" i="75"/>
  <c r="T69" i="75"/>
  <c r="S69" i="75"/>
  <c r="R69" i="75"/>
  <c r="Q69" i="75"/>
  <c r="P69" i="75"/>
  <c r="O69" i="75"/>
  <c r="N69" i="75"/>
  <c r="M69" i="75"/>
  <c r="L69" i="75"/>
  <c r="K69" i="75"/>
  <c r="J69" i="75"/>
  <c r="I69" i="75"/>
  <c r="H69" i="75"/>
  <c r="G69" i="75"/>
  <c r="F69" i="75"/>
  <c r="D69" i="75"/>
  <c r="B69" i="75"/>
  <c r="AD68" i="75"/>
  <c r="AC68" i="75"/>
  <c r="AB68" i="75"/>
  <c r="Z68" i="75"/>
  <c r="Y68" i="75"/>
  <c r="X68" i="75"/>
  <c r="U68" i="75"/>
  <c r="T68" i="75"/>
  <c r="S68" i="75"/>
  <c r="R68" i="75"/>
  <c r="Q68" i="75"/>
  <c r="P68" i="75"/>
  <c r="O68" i="75"/>
  <c r="N68" i="75"/>
  <c r="M68" i="75"/>
  <c r="L68" i="75"/>
  <c r="K68" i="75"/>
  <c r="J68" i="75"/>
  <c r="I68" i="75"/>
  <c r="H68" i="75"/>
  <c r="G68" i="75"/>
  <c r="F68" i="75"/>
  <c r="D68" i="75"/>
  <c r="B68" i="75"/>
  <c r="AD67" i="75"/>
  <c r="AC67" i="75"/>
  <c r="AB67" i="75"/>
  <c r="Z67" i="75"/>
  <c r="Y67" i="75"/>
  <c r="X67" i="75"/>
  <c r="U67" i="75"/>
  <c r="T67" i="75"/>
  <c r="S67" i="75"/>
  <c r="R67" i="75"/>
  <c r="Q67" i="75"/>
  <c r="P67" i="75"/>
  <c r="O67" i="75"/>
  <c r="N67" i="75"/>
  <c r="M67" i="75"/>
  <c r="L67" i="75"/>
  <c r="K67" i="75"/>
  <c r="J67" i="75"/>
  <c r="I67" i="75"/>
  <c r="H67" i="75"/>
  <c r="G67" i="75"/>
  <c r="F67" i="75"/>
  <c r="D67" i="75"/>
  <c r="B67" i="75"/>
  <c r="AD66" i="75"/>
  <c r="AC66" i="75"/>
  <c r="AB66" i="75"/>
  <c r="Z66" i="75"/>
  <c r="Y66" i="75"/>
  <c r="X66" i="75"/>
  <c r="U66" i="75"/>
  <c r="T66" i="75"/>
  <c r="S66" i="75"/>
  <c r="R66" i="75"/>
  <c r="Q66" i="75"/>
  <c r="P66" i="75"/>
  <c r="O66" i="75"/>
  <c r="N66" i="75"/>
  <c r="M66" i="75"/>
  <c r="L66" i="75"/>
  <c r="K66" i="75"/>
  <c r="J66" i="75"/>
  <c r="I66" i="75"/>
  <c r="H66" i="75"/>
  <c r="G66" i="75"/>
  <c r="F66" i="75"/>
  <c r="D66" i="75"/>
  <c r="C66" i="75"/>
  <c r="B66" i="75"/>
  <c r="AD65" i="75"/>
  <c r="AC65" i="75"/>
  <c r="AB65" i="75"/>
  <c r="Z65" i="75"/>
  <c r="Y65" i="75"/>
  <c r="X65" i="75"/>
  <c r="U65" i="75"/>
  <c r="T65" i="75"/>
  <c r="S65" i="75"/>
  <c r="R65" i="75"/>
  <c r="Q65" i="75"/>
  <c r="P65" i="75"/>
  <c r="O65" i="75"/>
  <c r="N65" i="75"/>
  <c r="M65" i="75"/>
  <c r="L65" i="75"/>
  <c r="K65" i="75"/>
  <c r="J65" i="75"/>
  <c r="I65" i="75"/>
  <c r="H65" i="75"/>
  <c r="G65" i="75"/>
  <c r="F65" i="75"/>
  <c r="D65" i="75"/>
  <c r="B65" i="75"/>
  <c r="AD64" i="75"/>
  <c r="AC64" i="75"/>
  <c r="AB64" i="75"/>
  <c r="Z64" i="75"/>
  <c r="Y64" i="75"/>
  <c r="X64" i="75"/>
  <c r="U64" i="75"/>
  <c r="T64" i="75"/>
  <c r="S64" i="75"/>
  <c r="R64" i="75"/>
  <c r="Q64" i="75"/>
  <c r="P64" i="75"/>
  <c r="O64" i="75"/>
  <c r="N64" i="75"/>
  <c r="M64" i="75"/>
  <c r="L64" i="75"/>
  <c r="K64" i="75"/>
  <c r="J64" i="75"/>
  <c r="I64" i="75"/>
  <c r="H64" i="75"/>
  <c r="G64" i="75"/>
  <c r="F64" i="75"/>
  <c r="D64" i="75"/>
  <c r="C64" i="75"/>
  <c r="B64" i="75"/>
  <c r="AD63" i="75"/>
  <c r="AC63" i="75"/>
  <c r="AB63" i="75"/>
  <c r="Z63" i="75"/>
  <c r="Y63" i="75"/>
  <c r="X63" i="75"/>
  <c r="U63" i="75"/>
  <c r="T63" i="75"/>
  <c r="S63" i="75"/>
  <c r="R63" i="75"/>
  <c r="Q63" i="75"/>
  <c r="P63" i="75"/>
  <c r="O63" i="75"/>
  <c r="N63" i="75"/>
  <c r="M63" i="75"/>
  <c r="L63" i="75"/>
  <c r="K63" i="75"/>
  <c r="J63" i="75"/>
  <c r="I63" i="75"/>
  <c r="H63" i="75"/>
  <c r="G63" i="75"/>
  <c r="F63" i="75"/>
  <c r="D63" i="75"/>
  <c r="B63" i="75"/>
  <c r="AD62" i="75"/>
  <c r="AC62" i="75"/>
  <c r="AB62" i="75"/>
  <c r="Z62" i="75"/>
  <c r="Y62" i="75"/>
  <c r="X62" i="75"/>
  <c r="U62" i="75"/>
  <c r="T62" i="75"/>
  <c r="S62" i="75"/>
  <c r="R62" i="75"/>
  <c r="Q62" i="75"/>
  <c r="P62" i="75"/>
  <c r="O62" i="75"/>
  <c r="N62" i="75"/>
  <c r="M62" i="75"/>
  <c r="L62" i="75"/>
  <c r="K62" i="75"/>
  <c r="J62" i="75"/>
  <c r="I62" i="75"/>
  <c r="H62" i="75"/>
  <c r="G62" i="75"/>
  <c r="F62" i="75"/>
  <c r="D62" i="75"/>
  <c r="C62" i="75"/>
  <c r="B62" i="75"/>
  <c r="AD61" i="75"/>
  <c r="AC61" i="75"/>
  <c r="AB61" i="75"/>
  <c r="Z61" i="75"/>
  <c r="Y61" i="75"/>
  <c r="X61" i="75"/>
  <c r="U61" i="75"/>
  <c r="T61" i="75"/>
  <c r="S61" i="75"/>
  <c r="R61" i="75"/>
  <c r="Q61" i="75"/>
  <c r="P61" i="75"/>
  <c r="O61" i="75"/>
  <c r="N61" i="75"/>
  <c r="M61" i="75"/>
  <c r="L61" i="75"/>
  <c r="K61" i="75"/>
  <c r="J61" i="75"/>
  <c r="I61" i="75"/>
  <c r="H61" i="75"/>
  <c r="G61" i="75"/>
  <c r="F61" i="75"/>
  <c r="D61" i="75"/>
  <c r="C61" i="75"/>
  <c r="B61" i="75"/>
  <c r="AD60" i="75"/>
  <c r="AC60" i="75"/>
  <c r="AB60" i="75"/>
  <c r="Z60" i="75"/>
  <c r="Y60" i="75"/>
  <c r="X60" i="75"/>
  <c r="U60" i="75"/>
  <c r="T60" i="75"/>
  <c r="S60" i="75"/>
  <c r="R60" i="75"/>
  <c r="Q60" i="75"/>
  <c r="P60" i="75"/>
  <c r="O60" i="75"/>
  <c r="N60" i="75"/>
  <c r="M60" i="75"/>
  <c r="L60" i="75"/>
  <c r="K60" i="75"/>
  <c r="J60" i="75"/>
  <c r="I60" i="75"/>
  <c r="H60" i="75"/>
  <c r="G60" i="75"/>
  <c r="F60" i="75"/>
  <c r="D60" i="75"/>
  <c r="C60" i="75"/>
  <c r="B60" i="75"/>
  <c r="AD59" i="75"/>
  <c r="AC59" i="75"/>
  <c r="AB59" i="75"/>
  <c r="Z59" i="75"/>
  <c r="Y59" i="75"/>
  <c r="X59" i="75"/>
  <c r="U59" i="75"/>
  <c r="T59" i="75"/>
  <c r="S59" i="75"/>
  <c r="R59" i="75"/>
  <c r="Q59" i="75"/>
  <c r="P59" i="75"/>
  <c r="O59" i="75"/>
  <c r="N59" i="75"/>
  <c r="M59" i="75"/>
  <c r="L59" i="75"/>
  <c r="K59" i="75"/>
  <c r="J59" i="75"/>
  <c r="I59" i="75"/>
  <c r="H59" i="75"/>
  <c r="G59" i="75"/>
  <c r="F59" i="75"/>
  <c r="D59" i="75"/>
  <c r="B59" i="75"/>
  <c r="AD58" i="75"/>
  <c r="AC58" i="75"/>
  <c r="AB58" i="75"/>
  <c r="Z58" i="75"/>
  <c r="Y58" i="75"/>
  <c r="X58" i="75"/>
  <c r="U58" i="75"/>
  <c r="T58" i="75"/>
  <c r="S58" i="75"/>
  <c r="R58" i="75"/>
  <c r="Q58" i="75"/>
  <c r="P58" i="75"/>
  <c r="O58" i="75"/>
  <c r="N58" i="75"/>
  <c r="M58" i="75"/>
  <c r="L58" i="75"/>
  <c r="K58" i="75"/>
  <c r="J58" i="75"/>
  <c r="I58" i="75"/>
  <c r="H58" i="75"/>
  <c r="G58" i="75"/>
  <c r="F58" i="75"/>
  <c r="D58" i="75"/>
  <c r="B58" i="75"/>
  <c r="AD57" i="75"/>
  <c r="AC57" i="75"/>
  <c r="AB57" i="75"/>
  <c r="AA57" i="75"/>
  <c r="Z57" i="75"/>
  <c r="Y57" i="75"/>
  <c r="X57" i="75"/>
  <c r="U57" i="75"/>
  <c r="T57" i="75"/>
  <c r="S57" i="75"/>
  <c r="R57" i="75"/>
  <c r="Q57" i="75"/>
  <c r="P57" i="75"/>
  <c r="O57" i="75"/>
  <c r="N57" i="75"/>
  <c r="M57" i="75"/>
  <c r="L57" i="75"/>
  <c r="K57" i="75"/>
  <c r="J57" i="75"/>
  <c r="I57" i="75"/>
  <c r="H57" i="75"/>
  <c r="G57" i="75"/>
  <c r="F57" i="75"/>
  <c r="D57" i="75"/>
  <c r="B57" i="75"/>
  <c r="AD56" i="75"/>
  <c r="AC56" i="75"/>
  <c r="AB56" i="75"/>
  <c r="AA56" i="75"/>
  <c r="Z56" i="75"/>
  <c r="Y56" i="75"/>
  <c r="X56" i="75"/>
  <c r="U56" i="75"/>
  <c r="T56" i="75"/>
  <c r="S56" i="75"/>
  <c r="R56" i="75"/>
  <c r="Q56" i="75"/>
  <c r="P56" i="75"/>
  <c r="O56" i="75"/>
  <c r="N56" i="75"/>
  <c r="M56" i="75"/>
  <c r="L56" i="75"/>
  <c r="K56" i="75"/>
  <c r="J56" i="75"/>
  <c r="I56" i="75"/>
  <c r="H56" i="75"/>
  <c r="G56" i="75"/>
  <c r="F56" i="75"/>
  <c r="D56" i="75"/>
  <c r="C56" i="75"/>
  <c r="B56" i="75"/>
  <c r="AD55" i="75"/>
  <c r="AC55" i="75"/>
  <c r="AB55" i="75"/>
  <c r="Z55" i="75"/>
  <c r="Y55" i="75"/>
  <c r="X55" i="75"/>
  <c r="U55" i="75"/>
  <c r="T55" i="75"/>
  <c r="S55" i="75"/>
  <c r="R55" i="75"/>
  <c r="Q55" i="75"/>
  <c r="P55" i="75"/>
  <c r="O55" i="75"/>
  <c r="N55" i="75"/>
  <c r="M55" i="75"/>
  <c r="L55" i="75"/>
  <c r="K55" i="75"/>
  <c r="J55" i="75"/>
  <c r="I55" i="75"/>
  <c r="H55" i="75"/>
  <c r="G55" i="75"/>
  <c r="F55" i="75"/>
  <c r="D55" i="75"/>
  <c r="B55" i="75"/>
  <c r="AD54" i="75"/>
  <c r="AC54" i="75"/>
  <c r="AB54" i="75"/>
  <c r="Z54" i="75"/>
  <c r="Y54" i="75"/>
  <c r="X54" i="75"/>
  <c r="U54" i="75"/>
  <c r="T54" i="75"/>
  <c r="S54" i="75"/>
  <c r="R54" i="75"/>
  <c r="Q54" i="75"/>
  <c r="P54" i="75"/>
  <c r="O54" i="75"/>
  <c r="N54" i="75"/>
  <c r="M54" i="75"/>
  <c r="L54" i="75"/>
  <c r="K54" i="75"/>
  <c r="J54" i="75"/>
  <c r="I54" i="75"/>
  <c r="H54" i="75"/>
  <c r="G54" i="75"/>
  <c r="F54" i="75"/>
  <c r="D54" i="75"/>
  <c r="B54" i="75"/>
  <c r="AD53" i="75"/>
  <c r="AC53" i="75"/>
  <c r="AB53" i="75"/>
  <c r="Z53" i="75"/>
  <c r="Y53" i="75"/>
  <c r="X53" i="75"/>
  <c r="U53" i="75"/>
  <c r="T53" i="75"/>
  <c r="S53" i="75"/>
  <c r="R53" i="75"/>
  <c r="Q53" i="75"/>
  <c r="P53" i="75"/>
  <c r="O53" i="75"/>
  <c r="N53" i="75"/>
  <c r="M53" i="75"/>
  <c r="L53" i="75"/>
  <c r="K53" i="75"/>
  <c r="J53" i="75"/>
  <c r="I53" i="75"/>
  <c r="H53" i="75"/>
  <c r="G53" i="75"/>
  <c r="F53" i="75"/>
  <c r="D53" i="75"/>
  <c r="B53" i="75"/>
  <c r="AD52" i="75"/>
  <c r="AC52" i="75"/>
  <c r="AB52" i="75"/>
  <c r="AA52" i="75"/>
  <c r="Z52" i="75"/>
  <c r="Y52" i="75"/>
  <c r="X52" i="75"/>
  <c r="U52" i="75"/>
  <c r="T52" i="75"/>
  <c r="S52" i="75"/>
  <c r="R52" i="75"/>
  <c r="Q52" i="75"/>
  <c r="P52" i="75"/>
  <c r="O52" i="75"/>
  <c r="N52" i="75"/>
  <c r="M52" i="75"/>
  <c r="L52" i="75"/>
  <c r="K52" i="75"/>
  <c r="J52" i="75"/>
  <c r="I52" i="75"/>
  <c r="H52" i="75"/>
  <c r="G52" i="75"/>
  <c r="F52" i="75"/>
  <c r="D52" i="75"/>
  <c r="B52" i="75"/>
  <c r="AD51" i="75"/>
  <c r="AC51" i="75"/>
  <c r="AB51" i="75"/>
  <c r="AA51" i="75"/>
  <c r="Z51" i="75"/>
  <c r="Y51" i="75"/>
  <c r="X51" i="75"/>
  <c r="U51" i="75"/>
  <c r="T51" i="75"/>
  <c r="R51" i="75"/>
  <c r="Q51" i="75"/>
  <c r="P51" i="75"/>
  <c r="O51" i="75"/>
  <c r="N51" i="75"/>
  <c r="M51" i="75"/>
  <c r="L51" i="75"/>
  <c r="K51" i="75"/>
  <c r="J51" i="75"/>
  <c r="I51" i="75"/>
  <c r="H51" i="75"/>
  <c r="G51" i="75"/>
  <c r="F51" i="75"/>
  <c r="D51" i="75"/>
  <c r="C51" i="75"/>
  <c r="B51" i="75"/>
  <c r="AD50" i="75"/>
  <c r="AC50" i="75"/>
  <c r="AB50" i="75"/>
  <c r="AA50" i="75"/>
  <c r="Z50" i="75"/>
  <c r="Y50" i="75"/>
  <c r="X50" i="75"/>
  <c r="U50" i="75"/>
  <c r="T50" i="75"/>
  <c r="S50" i="75"/>
  <c r="R50" i="75"/>
  <c r="Q50" i="75"/>
  <c r="P50" i="75"/>
  <c r="O50" i="75"/>
  <c r="N50" i="75"/>
  <c r="M50" i="75"/>
  <c r="L50" i="75"/>
  <c r="K50" i="75"/>
  <c r="J50" i="75"/>
  <c r="I50" i="75"/>
  <c r="H50" i="75"/>
  <c r="G50" i="75"/>
  <c r="F50" i="75"/>
  <c r="D50" i="75"/>
  <c r="C50" i="75"/>
  <c r="B50" i="75"/>
  <c r="AD49" i="75"/>
  <c r="AC49" i="75"/>
  <c r="AB49" i="75"/>
  <c r="Z49" i="75"/>
  <c r="Y49" i="75"/>
  <c r="X49" i="75"/>
  <c r="U49" i="75"/>
  <c r="T49" i="75"/>
  <c r="S49" i="75"/>
  <c r="R49" i="75"/>
  <c r="Q49" i="75"/>
  <c r="P49" i="75"/>
  <c r="O49" i="75"/>
  <c r="N49" i="75"/>
  <c r="M49" i="75"/>
  <c r="L49" i="75"/>
  <c r="K49" i="75"/>
  <c r="J49" i="75"/>
  <c r="I49" i="75"/>
  <c r="H49" i="75"/>
  <c r="G49" i="75"/>
  <c r="F49" i="75"/>
  <c r="D49" i="75"/>
  <c r="B49" i="75"/>
  <c r="AD48" i="75"/>
  <c r="AC48" i="75"/>
  <c r="AB48" i="75"/>
  <c r="Z48" i="75"/>
  <c r="Y48" i="75"/>
  <c r="X48" i="75"/>
  <c r="U48" i="75"/>
  <c r="T48" i="75"/>
  <c r="S48" i="75"/>
  <c r="R48" i="75"/>
  <c r="Q48" i="75"/>
  <c r="P48" i="75"/>
  <c r="O48" i="75"/>
  <c r="N48" i="75"/>
  <c r="M48" i="75"/>
  <c r="L48" i="75"/>
  <c r="K48" i="75"/>
  <c r="J48" i="75"/>
  <c r="I48" i="75"/>
  <c r="H48" i="75"/>
  <c r="G48" i="75"/>
  <c r="F48" i="75"/>
  <c r="D48" i="75"/>
  <c r="B48" i="75"/>
  <c r="AD47" i="75"/>
  <c r="AC47" i="75"/>
  <c r="AB47" i="75"/>
  <c r="Z47" i="75"/>
  <c r="Y47" i="75"/>
  <c r="X47" i="75"/>
  <c r="U47" i="75"/>
  <c r="T47" i="75"/>
  <c r="S47" i="75"/>
  <c r="R47" i="75"/>
  <c r="Q47" i="75"/>
  <c r="P47" i="75"/>
  <c r="O47" i="75"/>
  <c r="N47" i="75"/>
  <c r="M47" i="75"/>
  <c r="L47" i="75"/>
  <c r="K47" i="75"/>
  <c r="J47" i="75"/>
  <c r="I47" i="75"/>
  <c r="H47" i="75"/>
  <c r="G47" i="75"/>
  <c r="F47" i="75"/>
  <c r="D47" i="75"/>
  <c r="B47" i="75"/>
  <c r="AD46" i="75"/>
  <c r="AC46" i="75"/>
  <c r="AB46" i="75"/>
  <c r="Z46" i="75"/>
  <c r="Y46" i="75"/>
  <c r="X46" i="75"/>
  <c r="U46" i="75"/>
  <c r="T46" i="75"/>
  <c r="S46" i="75"/>
  <c r="R46" i="75"/>
  <c r="Q46" i="75"/>
  <c r="P46" i="75"/>
  <c r="O46" i="75"/>
  <c r="N46" i="75"/>
  <c r="M46" i="75"/>
  <c r="L46" i="75"/>
  <c r="K46" i="75"/>
  <c r="J46" i="75"/>
  <c r="I46" i="75"/>
  <c r="H46" i="75"/>
  <c r="G46" i="75"/>
  <c r="F46" i="75"/>
  <c r="D46" i="75"/>
  <c r="B46" i="75"/>
  <c r="AD45" i="75"/>
  <c r="AC45" i="75"/>
  <c r="AB45" i="75"/>
  <c r="Z45" i="75"/>
  <c r="Y45" i="75"/>
  <c r="X45" i="75"/>
  <c r="U45" i="75"/>
  <c r="T45" i="75"/>
  <c r="S45" i="75"/>
  <c r="R45" i="75"/>
  <c r="Q45" i="75"/>
  <c r="P45" i="75"/>
  <c r="O45" i="75"/>
  <c r="N45" i="75"/>
  <c r="M45" i="75"/>
  <c r="L45" i="75"/>
  <c r="K45" i="75"/>
  <c r="J45" i="75"/>
  <c r="I45" i="75"/>
  <c r="H45" i="75"/>
  <c r="G45" i="75"/>
  <c r="F45" i="75"/>
  <c r="D45" i="75"/>
  <c r="B45" i="75"/>
  <c r="AD44" i="75"/>
  <c r="AC44" i="75"/>
  <c r="AB44" i="75"/>
  <c r="Z44" i="75"/>
  <c r="Y44" i="75"/>
  <c r="X44" i="75"/>
  <c r="U44" i="75"/>
  <c r="T44" i="75"/>
  <c r="S44" i="75"/>
  <c r="R44" i="75"/>
  <c r="Q44" i="75"/>
  <c r="P44" i="75"/>
  <c r="O44" i="75"/>
  <c r="N44" i="75"/>
  <c r="M44" i="75"/>
  <c r="L44" i="75"/>
  <c r="K44" i="75"/>
  <c r="J44" i="75"/>
  <c r="I44" i="75"/>
  <c r="H44" i="75"/>
  <c r="G44" i="75"/>
  <c r="F44" i="75"/>
  <c r="D44" i="75"/>
  <c r="B44" i="75"/>
  <c r="AD43" i="75"/>
  <c r="AC43" i="75"/>
  <c r="AB43" i="75"/>
  <c r="Z43" i="75"/>
  <c r="Y43" i="75"/>
  <c r="X43" i="75"/>
  <c r="U43" i="75"/>
  <c r="T43" i="75"/>
  <c r="S43" i="75"/>
  <c r="R43" i="75"/>
  <c r="Q43" i="75"/>
  <c r="P43" i="75"/>
  <c r="O43" i="75"/>
  <c r="N43" i="75"/>
  <c r="M43" i="75"/>
  <c r="L43" i="75"/>
  <c r="K43" i="75"/>
  <c r="J43" i="75"/>
  <c r="I43" i="75"/>
  <c r="H43" i="75"/>
  <c r="G43" i="75"/>
  <c r="F43" i="75"/>
  <c r="D43" i="75"/>
  <c r="B43" i="75"/>
  <c r="AD42" i="75"/>
  <c r="AC42" i="75"/>
  <c r="AB42" i="75"/>
  <c r="Z42" i="75"/>
  <c r="Y42" i="75"/>
  <c r="X42" i="75"/>
  <c r="U42" i="75"/>
  <c r="T42" i="75"/>
  <c r="S42" i="75"/>
  <c r="R42" i="75"/>
  <c r="Q42" i="75"/>
  <c r="P42" i="75"/>
  <c r="O42" i="75"/>
  <c r="N42" i="75"/>
  <c r="M42" i="75"/>
  <c r="L42" i="75"/>
  <c r="K42" i="75"/>
  <c r="J42" i="75"/>
  <c r="I42" i="75"/>
  <c r="H42" i="75"/>
  <c r="G42" i="75"/>
  <c r="F42" i="75"/>
  <c r="D42" i="75"/>
  <c r="B42" i="75"/>
  <c r="AD41" i="75"/>
  <c r="AC41" i="75"/>
  <c r="AB41" i="75"/>
  <c r="Z41" i="75"/>
  <c r="Y41" i="75"/>
  <c r="X41" i="75"/>
  <c r="U41" i="75"/>
  <c r="T41" i="75"/>
  <c r="S41" i="75"/>
  <c r="R41" i="75"/>
  <c r="Q41" i="75"/>
  <c r="P41" i="75"/>
  <c r="O41" i="75"/>
  <c r="N41" i="75"/>
  <c r="M41" i="75"/>
  <c r="L41" i="75"/>
  <c r="K41" i="75"/>
  <c r="J41" i="75"/>
  <c r="I41" i="75"/>
  <c r="H41" i="75"/>
  <c r="G41" i="75"/>
  <c r="F41" i="75"/>
  <c r="D41" i="75"/>
  <c r="B41" i="75"/>
  <c r="AD40" i="75"/>
  <c r="AC40" i="75"/>
  <c r="AB40" i="75"/>
  <c r="Z40" i="75"/>
  <c r="Y40" i="75"/>
  <c r="X40" i="75"/>
  <c r="U40" i="75"/>
  <c r="T40" i="75"/>
  <c r="S40" i="75"/>
  <c r="R40" i="75"/>
  <c r="Q40" i="75"/>
  <c r="P40" i="75"/>
  <c r="O40" i="75"/>
  <c r="N40" i="75"/>
  <c r="M40" i="75"/>
  <c r="L40" i="75"/>
  <c r="K40" i="75"/>
  <c r="J40" i="75"/>
  <c r="I40" i="75"/>
  <c r="H40" i="75"/>
  <c r="G40" i="75"/>
  <c r="F40" i="75"/>
  <c r="D40" i="75"/>
  <c r="B40" i="75"/>
  <c r="AD39" i="75"/>
  <c r="AC39" i="75"/>
  <c r="AB39" i="75"/>
  <c r="Z39" i="75"/>
  <c r="Y39" i="75"/>
  <c r="X39" i="75"/>
  <c r="U39" i="75"/>
  <c r="T39" i="75"/>
  <c r="S39" i="75"/>
  <c r="R39" i="75"/>
  <c r="Q39" i="75"/>
  <c r="P39" i="75"/>
  <c r="O39" i="75"/>
  <c r="N39" i="75"/>
  <c r="M39" i="75"/>
  <c r="L39" i="75"/>
  <c r="K39" i="75"/>
  <c r="J39" i="75"/>
  <c r="I39" i="75"/>
  <c r="H39" i="75"/>
  <c r="G39" i="75"/>
  <c r="F39" i="75"/>
  <c r="D39" i="75"/>
  <c r="C39" i="75"/>
  <c r="B39" i="75"/>
  <c r="AD38" i="75"/>
  <c r="AC38" i="75"/>
  <c r="AB38" i="75"/>
  <c r="Z38" i="75"/>
  <c r="Y38" i="75"/>
  <c r="X38" i="75"/>
  <c r="U38" i="75"/>
  <c r="T38" i="75"/>
  <c r="R38" i="75"/>
  <c r="Q38" i="75"/>
  <c r="P38" i="75"/>
  <c r="O38" i="75"/>
  <c r="N38" i="75"/>
  <c r="M38" i="75"/>
  <c r="L38" i="75"/>
  <c r="K38" i="75"/>
  <c r="J38" i="75"/>
  <c r="I38" i="75"/>
  <c r="H38" i="75"/>
  <c r="G38" i="75"/>
  <c r="F38" i="75"/>
  <c r="D38" i="75"/>
  <c r="B38" i="75"/>
  <c r="AD37" i="75"/>
  <c r="AC37" i="75"/>
  <c r="AB37" i="75"/>
  <c r="Z37" i="75"/>
  <c r="Y37" i="75"/>
  <c r="X37" i="75"/>
  <c r="U37" i="75"/>
  <c r="T37" i="75"/>
  <c r="R37" i="75"/>
  <c r="Q37" i="75"/>
  <c r="P37" i="75"/>
  <c r="O37" i="75"/>
  <c r="N37" i="75"/>
  <c r="M37" i="75"/>
  <c r="L37" i="75"/>
  <c r="K37" i="75"/>
  <c r="J37" i="75"/>
  <c r="I37" i="75"/>
  <c r="H37" i="75"/>
  <c r="G37" i="75"/>
  <c r="F37" i="75"/>
  <c r="D37" i="75"/>
  <c r="B37" i="75"/>
  <c r="AD36" i="75"/>
  <c r="AC36" i="75"/>
  <c r="AB36" i="75"/>
  <c r="Z36" i="75"/>
  <c r="Y36" i="75"/>
  <c r="X36" i="75"/>
  <c r="U36" i="75"/>
  <c r="T36" i="75"/>
  <c r="S36" i="75"/>
  <c r="R36" i="75"/>
  <c r="Q36" i="75"/>
  <c r="P36" i="75"/>
  <c r="O36" i="75"/>
  <c r="N36" i="75"/>
  <c r="M36" i="75"/>
  <c r="L36" i="75"/>
  <c r="K36" i="75"/>
  <c r="J36" i="75"/>
  <c r="I36" i="75"/>
  <c r="H36" i="75"/>
  <c r="G36" i="75"/>
  <c r="F36" i="75"/>
  <c r="D36" i="75"/>
  <c r="B36" i="75"/>
  <c r="AD35" i="75"/>
  <c r="AC35" i="75"/>
  <c r="AB35" i="75"/>
  <c r="Z35" i="75"/>
  <c r="Y35" i="75"/>
  <c r="X35" i="75"/>
  <c r="U35" i="75"/>
  <c r="T35" i="75"/>
  <c r="S35" i="75"/>
  <c r="R35" i="75"/>
  <c r="Q35" i="75"/>
  <c r="P35" i="75"/>
  <c r="O35" i="75"/>
  <c r="N35" i="75"/>
  <c r="M35" i="75"/>
  <c r="L35" i="75"/>
  <c r="K35" i="75"/>
  <c r="J35" i="75"/>
  <c r="I35" i="75"/>
  <c r="H35" i="75"/>
  <c r="G35" i="75"/>
  <c r="F35" i="75"/>
  <c r="D35" i="75"/>
  <c r="B35" i="75"/>
  <c r="AD34" i="75"/>
  <c r="AC34" i="75"/>
  <c r="AB34" i="75"/>
  <c r="Z34" i="75"/>
  <c r="Y34" i="75"/>
  <c r="X34" i="75"/>
  <c r="U34" i="75"/>
  <c r="T34" i="75"/>
  <c r="S34" i="75"/>
  <c r="R34" i="75"/>
  <c r="Q34" i="75"/>
  <c r="P34" i="75"/>
  <c r="O34" i="75"/>
  <c r="N34" i="75"/>
  <c r="M34" i="75"/>
  <c r="L34" i="75"/>
  <c r="K34" i="75"/>
  <c r="J34" i="75"/>
  <c r="I34" i="75"/>
  <c r="H34" i="75"/>
  <c r="G34" i="75"/>
  <c r="F34" i="75"/>
  <c r="D34" i="75"/>
  <c r="B34" i="75"/>
  <c r="AD33" i="75"/>
  <c r="AC33" i="75"/>
  <c r="AB33" i="75"/>
  <c r="Z33" i="75"/>
  <c r="Y33" i="75"/>
  <c r="X33" i="75"/>
  <c r="U33" i="75"/>
  <c r="T33" i="75"/>
  <c r="S33" i="75"/>
  <c r="R33" i="75"/>
  <c r="Q33" i="75"/>
  <c r="P33" i="75"/>
  <c r="O33" i="75"/>
  <c r="N33" i="75"/>
  <c r="M33" i="75"/>
  <c r="L33" i="75"/>
  <c r="K33" i="75"/>
  <c r="J33" i="75"/>
  <c r="I33" i="75"/>
  <c r="H33" i="75"/>
  <c r="G33" i="75"/>
  <c r="F33" i="75"/>
  <c r="D33" i="75"/>
  <c r="B33" i="75"/>
  <c r="AD32" i="75"/>
  <c r="AC32" i="75"/>
  <c r="AB32" i="75"/>
  <c r="Z32" i="75"/>
  <c r="Y32" i="75"/>
  <c r="X32" i="75"/>
  <c r="U32" i="75"/>
  <c r="T32" i="75"/>
  <c r="S32" i="75"/>
  <c r="R32" i="75"/>
  <c r="Q32" i="75"/>
  <c r="P32" i="75"/>
  <c r="O32" i="75"/>
  <c r="N32" i="75"/>
  <c r="M32" i="75"/>
  <c r="L32" i="75"/>
  <c r="K32" i="75"/>
  <c r="J32" i="75"/>
  <c r="I32" i="75"/>
  <c r="H32" i="75"/>
  <c r="G32" i="75"/>
  <c r="F32" i="75"/>
  <c r="D32" i="75"/>
  <c r="B32" i="75"/>
  <c r="AD31" i="75"/>
  <c r="AC31" i="75"/>
  <c r="AB31" i="75"/>
  <c r="Z31" i="75"/>
  <c r="Y31" i="75"/>
  <c r="X31" i="75"/>
  <c r="U31" i="75"/>
  <c r="T31" i="75"/>
  <c r="S31" i="75"/>
  <c r="R31" i="75"/>
  <c r="Q31" i="75"/>
  <c r="P31" i="75"/>
  <c r="O31" i="75"/>
  <c r="N31" i="75"/>
  <c r="M31" i="75"/>
  <c r="L31" i="75"/>
  <c r="K31" i="75"/>
  <c r="J31" i="75"/>
  <c r="I31" i="75"/>
  <c r="H31" i="75"/>
  <c r="G31" i="75"/>
  <c r="F31" i="75"/>
  <c r="D31" i="75"/>
  <c r="B31" i="75"/>
  <c r="AD30" i="75"/>
  <c r="AC30" i="75"/>
  <c r="AB30" i="75"/>
  <c r="Z30" i="75"/>
  <c r="Y30" i="75"/>
  <c r="X30" i="75"/>
  <c r="U30" i="75"/>
  <c r="T30" i="75"/>
  <c r="S30" i="75"/>
  <c r="R30" i="75"/>
  <c r="Q30" i="75"/>
  <c r="P30" i="75"/>
  <c r="O30" i="75"/>
  <c r="N30" i="75"/>
  <c r="M30" i="75"/>
  <c r="L30" i="75"/>
  <c r="K30" i="75"/>
  <c r="J30" i="75"/>
  <c r="I30" i="75"/>
  <c r="H30" i="75"/>
  <c r="G30" i="75"/>
  <c r="F30" i="75"/>
  <c r="D30" i="75"/>
  <c r="B30" i="75"/>
  <c r="AD29" i="75"/>
  <c r="AC29" i="75"/>
  <c r="AB29" i="75"/>
  <c r="Z29" i="75"/>
  <c r="Y29" i="75"/>
  <c r="X29" i="75"/>
  <c r="U29" i="75"/>
  <c r="T29" i="75"/>
  <c r="S29" i="75"/>
  <c r="R29" i="75"/>
  <c r="Q29" i="75"/>
  <c r="P29" i="75"/>
  <c r="O29" i="75"/>
  <c r="N29" i="75"/>
  <c r="M29" i="75"/>
  <c r="L29" i="75"/>
  <c r="K29" i="75"/>
  <c r="J29" i="75"/>
  <c r="I29" i="75"/>
  <c r="H29" i="75"/>
  <c r="G29" i="75"/>
  <c r="F29" i="75"/>
  <c r="D29" i="75"/>
  <c r="B29" i="75"/>
  <c r="AD28" i="75"/>
  <c r="AC28" i="75"/>
  <c r="AB28" i="75"/>
  <c r="Z28" i="75"/>
  <c r="Y28" i="75"/>
  <c r="X28" i="75"/>
  <c r="U28" i="75"/>
  <c r="T28" i="75"/>
  <c r="S28" i="75"/>
  <c r="R28" i="75"/>
  <c r="Q28" i="75"/>
  <c r="P28" i="75"/>
  <c r="O28" i="75"/>
  <c r="N28" i="75"/>
  <c r="M28" i="75"/>
  <c r="L28" i="75"/>
  <c r="K28" i="75"/>
  <c r="J28" i="75"/>
  <c r="I28" i="75"/>
  <c r="H28" i="75"/>
  <c r="G28" i="75"/>
  <c r="F28" i="75"/>
  <c r="D28" i="75"/>
  <c r="B28" i="75"/>
  <c r="AD27" i="75"/>
  <c r="AC27" i="75"/>
  <c r="AB27" i="75"/>
  <c r="Z27" i="75"/>
  <c r="Y27" i="75"/>
  <c r="X27" i="75"/>
  <c r="U27" i="75"/>
  <c r="T27" i="75"/>
  <c r="S27" i="75"/>
  <c r="R27" i="75"/>
  <c r="Q27" i="75"/>
  <c r="P27" i="75"/>
  <c r="O27" i="75"/>
  <c r="N27" i="75"/>
  <c r="M27" i="75"/>
  <c r="L27" i="75"/>
  <c r="K27" i="75"/>
  <c r="J27" i="75"/>
  <c r="I27" i="75"/>
  <c r="H27" i="75"/>
  <c r="G27" i="75"/>
  <c r="F27" i="75"/>
  <c r="D27" i="75"/>
  <c r="B27" i="75"/>
  <c r="AD26" i="75"/>
  <c r="AC26" i="75"/>
  <c r="AB26" i="75"/>
  <c r="Z26" i="75"/>
  <c r="Y26" i="75"/>
  <c r="X26" i="75"/>
  <c r="U26" i="75"/>
  <c r="T26" i="75"/>
  <c r="S26" i="75"/>
  <c r="R26" i="75"/>
  <c r="Q26" i="75"/>
  <c r="P26" i="75"/>
  <c r="O26" i="75"/>
  <c r="N26" i="75"/>
  <c r="M26" i="75"/>
  <c r="L26" i="75"/>
  <c r="K26" i="75"/>
  <c r="J26" i="75"/>
  <c r="I26" i="75"/>
  <c r="H26" i="75"/>
  <c r="G26" i="75"/>
  <c r="F26" i="75"/>
  <c r="D26" i="75"/>
  <c r="C26" i="75"/>
  <c r="B26" i="75"/>
  <c r="AD25" i="75"/>
  <c r="AC25" i="75"/>
  <c r="AB25" i="75"/>
  <c r="Z25" i="75"/>
  <c r="Y25" i="75"/>
  <c r="X25" i="75"/>
  <c r="U25" i="75"/>
  <c r="T25" i="75"/>
  <c r="S25" i="75"/>
  <c r="R25" i="75"/>
  <c r="Q25" i="75"/>
  <c r="P25" i="75"/>
  <c r="O25" i="75"/>
  <c r="N25" i="75"/>
  <c r="M25" i="75"/>
  <c r="L25" i="75"/>
  <c r="K25" i="75"/>
  <c r="J25" i="75"/>
  <c r="I25" i="75"/>
  <c r="H25" i="75"/>
  <c r="G25" i="75"/>
  <c r="F25" i="75"/>
  <c r="D25" i="75"/>
  <c r="B25" i="75"/>
  <c r="AD24" i="75"/>
  <c r="AC24" i="75"/>
  <c r="AB24" i="75"/>
  <c r="Z24" i="75"/>
  <c r="Y24" i="75"/>
  <c r="X24" i="75"/>
  <c r="U24" i="75"/>
  <c r="T24" i="75"/>
  <c r="S24" i="75"/>
  <c r="R24" i="75"/>
  <c r="Q24" i="75"/>
  <c r="P24" i="75"/>
  <c r="O24" i="75"/>
  <c r="N24" i="75"/>
  <c r="M24" i="75"/>
  <c r="L24" i="75"/>
  <c r="K24" i="75"/>
  <c r="J24" i="75"/>
  <c r="I24" i="75"/>
  <c r="H24" i="75"/>
  <c r="G24" i="75"/>
  <c r="F24" i="75"/>
  <c r="D24" i="75"/>
  <c r="B24" i="75"/>
  <c r="AD23" i="75"/>
  <c r="AC23" i="75"/>
  <c r="AB23" i="75"/>
  <c r="Z23" i="75"/>
  <c r="Y23" i="75"/>
  <c r="X23" i="75"/>
  <c r="U23" i="75"/>
  <c r="T23" i="75"/>
  <c r="R23" i="75"/>
  <c r="Q23" i="75"/>
  <c r="P23" i="75"/>
  <c r="O23" i="75"/>
  <c r="N23" i="75"/>
  <c r="M23" i="75"/>
  <c r="L23" i="75"/>
  <c r="K23" i="75"/>
  <c r="J23" i="75"/>
  <c r="I23" i="75"/>
  <c r="H23" i="75"/>
  <c r="G23" i="75"/>
  <c r="F23" i="75"/>
  <c r="D23" i="75"/>
  <c r="B23" i="75"/>
  <c r="AD22" i="75"/>
  <c r="AC22" i="75"/>
  <c r="AB22" i="75"/>
  <c r="Z22" i="75"/>
  <c r="Y22" i="75"/>
  <c r="X22" i="75"/>
  <c r="U22" i="75"/>
  <c r="T22" i="75"/>
  <c r="S22" i="75"/>
  <c r="R22" i="75"/>
  <c r="Q22" i="75"/>
  <c r="P22" i="75"/>
  <c r="O22" i="75"/>
  <c r="N22" i="75"/>
  <c r="M22" i="75"/>
  <c r="L22" i="75"/>
  <c r="K22" i="75"/>
  <c r="J22" i="75"/>
  <c r="I22" i="75"/>
  <c r="H22" i="75"/>
  <c r="G22" i="75"/>
  <c r="F22" i="75"/>
  <c r="D22" i="75"/>
  <c r="B22" i="75"/>
  <c r="AD21" i="75"/>
  <c r="AC21" i="75"/>
  <c r="AB21" i="75"/>
  <c r="Z21" i="75"/>
  <c r="Y21" i="75"/>
  <c r="X21" i="75"/>
  <c r="U21" i="75"/>
  <c r="T21" i="75"/>
  <c r="R21" i="75"/>
  <c r="Q21" i="75"/>
  <c r="P21" i="75"/>
  <c r="O21" i="75"/>
  <c r="N21" i="75"/>
  <c r="M21" i="75"/>
  <c r="L21" i="75"/>
  <c r="K21" i="75"/>
  <c r="J21" i="75"/>
  <c r="I21" i="75"/>
  <c r="H21" i="75"/>
  <c r="G21" i="75"/>
  <c r="F21" i="75"/>
  <c r="D21" i="75"/>
  <c r="C21" i="75"/>
  <c r="B21" i="75"/>
  <c r="AD20" i="75"/>
  <c r="AC20" i="75"/>
  <c r="AB20" i="75"/>
  <c r="Z20" i="75"/>
  <c r="X20" i="75"/>
  <c r="U20" i="75"/>
  <c r="T20" i="75"/>
  <c r="S20" i="75"/>
  <c r="R20" i="75"/>
  <c r="Q20" i="75"/>
  <c r="P20" i="75"/>
  <c r="O20" i="75"/>
  <c r="N20" i="75"/>
  <c r="M20" i="75"/>
  <c r="L20" i="75"/>
  <c r="K20" i="75"/>
  <c r="J20" i="75"/>
  <c r="I20" i="75"/>
  <c r="H20" i="75"/>
  <c r="G20" i="75"/>
  <c r="F20" i="75"/>
  <c r="D20" i="75"/>
  <c r="B20" i="75"/>
  <c r="AD19" i="75"/>
  <c r="AC19" i="75"/>
  <c r="AB19" i="75"/>
  <c r="Z19" i="75"/>
  <c r="Y19" i="75"/>
  <c r="X19" i="75"/>
  <c r="U19" i="75"/>
  <c r="T19" i="75"/>
  <c r="S19" i="75"/>
  <c r="R19" i="75"/>
  <c r="Q19" i="75"/>
  <c r="P19" i="75"/>
  <c r="O19" i="75"/>
  <c r="N19" i="75"/>
  <c r="M19" i="75"/>
  <c r="L19" i="75"/>
  <c r="K19" i="75"/>
  <c r="J19" i="75"/>
  <c r="I19" i="75"/>
  <c r="H19" i="75"/>
  <c r="G19" i="75"/>
  <c r="F19" i="75"/>
  <c r="D19" i="75"/>
  <c r="B19" i="75"/>
  <c r="AD18" i="75"/>
  <c r="AC18" i="75"/>
  <c r="AB18" i="75"/>
  <c r="Z18" i="75"/>
  <c r="Y18" i="75"/>
  <c r="X18" i="75"/>
  <c r="U18" i="75"/>
  <c r="T18" i="75"/>
  <c r="S18" i="75"/>
  <c r="R18" i="75"/>
  <c r="Q18" i="75"/>
  <c r="P18" i="75"/>
  <c r="O18" i="75"/>
  <c r="N18" i="75"/>
  <c r="M18" i="75"/>
  <c r="L18" i="75"/>
  <c r="K18" i="75"/>
  <c r="J18" i="75"/>
  <c r="I18" i="75"/>
  <c r="H18" i="75"/>
  <c r="G18" i="75"/>
  <c r="F18" i="75"/>
  <c r="D18" i="75"/>
  <c r="C18" i="75"/>
  <c r="B18" i="75"/>
  <c r="AD17" i="75"/>
  <c r="AC17" i="75"/>
  <c r="AB17" i="75"/>
  <c r="Z17" i="75"/>
  <c r="Y17" i="75"/>
  <c r="X17" i="75"/>
  <c r="U17" i="75"/>
  <c r="T17" i="75"/>
  <c r="S17" i="75"/>
  <c r="R17" i="75"/>
  <c r="Q17" i="75"/>
  <c r="P17" i="75"/>
  <c r="O17" i="75"/>
  <c r="N17" i="75"/>
  <c r="M17" i="75"/>
  <c r="L17" i="75"/>
  <c r="K17" i="75"/>
  <c r="J17" i="75"/>
  <c r="I17" i="75"/>
  <c r="H17" i="75"/>
  <c r="G17" i="75"/>
  <c r="F17" i="75"/>
  <c r="D17" i="75"/>
  <c r="B17" i="75"/>
  <c r="AD16" i="75"/>
  <c r="AC16" i="75"/>
  <c r="AB16" i="75"/>
  <c r="Z16" i="75"/>
  <c r="Y16" i="75"/>
  <c r="X16" i="75"/>
  <c r="U16" i="75"/>
  <c r="T16" i="75"/>
  <c r="S16" i="75"/>
  <c r="R16" i="75"/>
  <c r="Q16" i="75"/>
  <c r="P16" i="75"/>
  <c r="O16" i="75"/>
  <c r="N16" i="75"/>
  <c r="M16" i="75"/>
  <c r="L16" i="75"/>
  <c r="K16" i="75"/>
  <c r="J16" i="75"/>
  <c r="I16" i="75"/>
  <c r="H16" i="75"/>
  <c r="G16" i="75"/>
  <c r="F16" i="75"/>
  <c r="D16" i="75"/>
  <c r="B16" i="75"/>
  <c r="AD15" i="75"/>
  <c r="AC15" i="75"/>
  <c r="AB15" i="75"/>
  <c r="Z15" i="75"/>
  <c r="Y15" i="75"/>
  <c r="X15" i="75"/>
  <c r="U15" i="75"/>
  <c r="T15" i="75"/>
  <c r="S15" i="75"/>
  <c r="R15" i="75"/>
  <c r="Q15" i="75"/>
  <c r="P15" i="75"/>
  <c r="O15" i="75"/>
  <c r="N15" i="75"/>
  <c r="M15" i="75"/>
  <c r="L15" i="75"/>
  <c r="K15" i="75"/>
  <c r="J15" i="75"/>
  <c r="I15" i="75"/>
  <c r="H15" i="75"/>
  <c r="G15" i="75"/>
  <c r="F15" i="75"/>
  <c r="D15" i="75"/>
  <c r="B15" i="75"/>
  <c r="AD14" i="75"/>
  <c r="AC14" i="75"/>
  <c r="AB14" i="75"/>
  <c r="Z14" i="75"/>
  <c r="Y14" i="75"/>
  <c r="X14" i="75"/>
  <c r="U14" i="75"/>
  <c r="T14" i="75"/>
  <c r="S14" i="75"/>
  <c r="R14" i="75"/>
  <c r="Q14" i="75"/>
  <c r="P14" i="75"/>
  <c r="O14" i="75"/>
  <c r="N14" i="75"/>
  <c r="M14" i="75"/>
  <c r="L14" i="75"/>
  <c r="K14" i="75"/>
  <c r="J14" i="75"/>
  <c r="I14" i="75"/>
  <c r="H14" i="75"/>
  <c r="G14" i="75"/>
  <c r="F14" i="75"/>
  <c r="D14" i="75"/>
  <c r="B14" i="75"/>
  <c r="AD13" i="75"/>
  <c r="AC13" i="75"/>
  <c r="AB13" i="75"/>
  <c r="Z13" i="75"/>
  <c r="Y13" i="75"/>
  <c r="X13" i="75"/>
  <c r="U13" i="75"/>
  <c r="T13" i="75"/>
  <c r="R13" i="75"/>
  <c r="Q13" i="75"/>
  <c r="P13" i="75"/>
  <c r="O13" i="75"/>
  <c r="N13" i="75"/>
  <c r="M13" i="75"/>
  <c r="L13" i="75"/>
  <c r="K13" i="75"/>
  <c r="J13" i="75"/>
  <c r="I13" i="75"/>
  <c r="H13" i="75"/>
  <c r="G13" i="75"/>
  <c r="F13" i="75"/>
  <c r="D13" i="75"/>
  <c r="B13" i="75"/>
  <c r="AD12" i="75"/>
  <c r="AC12" i="75"/>
  <c r="AB12" i="75"/>
  <c r="Z12" i="75"/>
  <c r="Y12" i="75"/>
  <c r="X12" i="75"/>
  <c r="U12" i="75"/>
  <c r="T12" i="75"/>
  <c r="S12" i="75"/>
  <c r="R12" i="75"/>
  <c r="Q12" i="75"/>
  <c r="P12" i="75"/>
  <c r="O12" i="75"/>
  <c r="N12" i="75"/>
  <c r="M12" i="75"/>
  <c r="L12" i="75"/>
  <c r="K12" i="75"/>
  <c r="J12" i="75"/>
  <c r="I12" i="75"/>
  <c r="H12" i="75"/>
  <c r="G12" i="75"/>
  <c r="F12" i="75"/>
  <c r="D12" i="75"/>
  <c r="B12" i="75"/>
  <c r="S10" i="75"/>
  <c r="CC156" i="70"/>
  <c r="CB156" i="70"/>
  <c r="CC155" i="70"/>
  <c r="CB155" i="70"/>
  <c r="CC154" i="70"/>
  <c r="CB154" i="70"/>
  <c r="CC153" i="70"/>
  <c r="CB153" i="70"/>
  <c r="CC152" i="70"/>
  <c r="CB152" i="70"/>
  <c r="CC151" i="70"/>
  <c r="CB151" i="70"/>
  <c r="CC150" i="70"/>
  <c r="CB150" i="70"/>
  <c r="CC149" i="70"/>
  <c r="CB149" i="70"/>
  <c r="CC148" i="70"/>
  <c r="CB148" i="70"/>
  <c r="CC147" i="70"/>
  <c r="CB147" i="70"/>
  <c r="CC146" i="70"/>
  <c r="CB146" i="70"/>
  <c r="CC145" i="70"/>
  <c r="CB145" i="70"/>
  <c r="CC144" i="70"/>
  <c r="CB144" i="70"/>
  <c r="CC143" i="70"/>
  <c r="CB143" i="70"/>
  <c r="CC142" i="70"/>
  <c r="CB142" i="70"/>
  <c r="CC141" i="70"/>
  <c r="CB141" i="70"/>
  <c r="CC140" i="70"/>
  <c r="CB140" i="70"/>
  <c r="CC139" i="70"/>
  <c r="CB139" i="70"/>
  <c r="CC138" i="70"/>
  <c r="CB138" i="70"/>
  <c r="CC137" i="70"/>
  <c r="CB137" i="70"/>
  <c r="CC136" i="70"/>
  <c r="CB136" i="70"/>
  <c r="CC135" i="70"/>
  <c r="CB135" i="70"/>
  <c r="CC134" i="70"/>
  <c r="CB134" i="70"/>
  <c r="CC133" i="70"/>
  <c r="CB133" i="70"/>
  <c r="CC132" i="70"/>
  <c r="CB132" i="70"/>
  <c r="CC131" i="70"/>
  <c r="CB131" i="70"/>
  <c r="CC130" i="70"/>
  <c r="CB130" i="70"/>
  <c r="CC129" i="70"/>
  <c r="CB129" i="70"/>
  <c r="CC128" i="70"/>
  <c r="CB128" i="70"/>
  <c r="CC127" i="70"/>
  <c r="CB127" i="70"/>
  <c r="CC126" i="70"/>
  <c r="CB126" i="70"/>
  <c r="CC125" i="70"/>
  <c r="CB125" i="70"/>
  <c r="CC124" i="70"/>
  <c r="CB124" i="70"/>
  <c r="CC123" i="70"/>
  <c r="CB123" i="70"/>
  <c r="CC122" i="70"/>
  <c r="CB122" i="70"/>
  <c r="CC121" i="70"/>
  <c r="CB121" i="70"/>
  <c r="CC120" i="70"/>
  <c r="CB120" i="70"/>
  <c r="CC119" i="70"/>
  <c r="CB119" i="70"/>
  <c r="CC118" i="70"/>
  <c r="CB118" i="70"/>
  <c r="CC117" i="70"/>
  <c r="CB117" i="70"/>
  <c r="CC116" i="70"/>
  <c r="CB116" i="70"/>
  <c r="CC115" i="70"/>
  <c r="CB115" i="70"/>
  <c r="CC114" i="70"/>
  <c r="CB114" i="70"/>
  <c r="CC113" i="70"/>
  <c r="CB113" i="70"/>
  <c r="CC112" i="70"/>
  <c r="CB112" i="70"/>
  <c r="CC111" i="70"/>
  <c r="CB111" i="70"/>
  <c r="CC110" i="70"/>
  <c r="CB110" i="70"/>
  <c r="CC109" i="70"/>
  <c r="CB109" i="70"/>
  <c r="CC108" i="70"/>
  <c r="CB108" i="70"/>
  <c r="CC107" i="70"/>
  <c r="CB107" i="70"/>
  <c r="CC106" i="70"/>
  <c r="CB106" i="70"/>
  <c r="CC105" i="70"/>
  <c r="CB105" i="70"/>
  <c r="CC104" i="70"/>
  <c r="CB104" i="70"/>
  <c r="CC103" i="70"/>
  <c r="CB103" i="70"/>
  <c r="CC102" i="70"/>
  <c r="CB102" i="70"/>
  <c r="CC101" i="70"/>
  <c r="CB101" i="70"/>
  <c r="CC100" i="70"/>
  <c r="CB100" i="70"/>
  <c r="CC99" i="70"/>
  <c r="CB99" i="70"/>
  <c r="CC98" i="70"/>
  <c r="CB98" i="70"/>
  <c r="CC97" i="70"/>
  <c r="CB97" i="70"/>
  <c r="CC96" i="70"/>
  <c r="CB96" i="70"/>
  <c r="CC95" i="70"/>
  <c r="CB95" i="70"/>
  <c r="CC94" i="70"/>
  <c r="CB94" i="70"/>
  <c r="CC93" i="70"/>
  <c r="CB93" i="70"/>
  <c r="CC92" i="70"/>
  <c r="CB92" i="70"/>
  <c r="CC91" i="70"/>
  <c r="CB91" i="70"/>
  <c r="CC90" i="70"/>
  <c r="CB90" i="70"/>
  <c r="CC89" i="70"/>
  <c r="CB89" i="70"/>
  <c r="CC88" i="70"/>
  <c r="CB88" i="70"/>
  <c r="CC87" i="70"/>
  <c r="CB87" i="70"/>
  <c r="CZ86" i="70"/>
  <c r="CY86" i="70"/>
  <c r="CC86" i="70"/>
  <c r="CB86" i="70"/>
  <c r="CZ85" i="70"/>
  <c r="CY85" i="70"/>
  <c r="CC85" i="70"/>
  <c r="CB85" i="70"/>
  <c r="CZ84" i="70"/>
  <c r="CY84" i="70"/>
  <c r="CC84" i="70"/>
  <c r="CB84" i="70"/>
  <c r="CZ83" i="70"/>
  <c r="CY83" i="70"/>
  <c r="CC83" i="70"/>
  <c r="CB83" i="70"/>
  <c r="CZ82" i="70"/>
  <c r="CY82" i="70"/>
  <c r="CC82" i="70"/>
  <c r="CB82" i="70"/>
  <c r="CZ81" i="70"/>
  <c r="CY81" i="70"/>
  <c r="CC81" i="70"/>
  <c r="CB81" i="70"/>
  <c r="CZ80" i="70"/>
  <c r="CY80" i="70"/>
  <c r="CC80" i="70"/>
  <c r="CB80" i="70"/>
  <c r="CZ79" i="70"/>
  <c r="CY79" i="70"/>
  <c r="CC79" i="70"/>
  <c r="CB79" i="70"/>
  <c r="CZ78" i="70"/>
  <c r="CY78" i="70"/>
  <c r="CC78" i="70"/>
  <c r="CB78" i="70"/>
  <c r="CZ77" i="70"/>
  <c r="CY77" i="70"/>
  <c r="CC77" i="70"/>
  <c r="CB77" i="70"/>
  <c r="CZ76" i="70"/>
  <c r="CY76" i="70"/>
  <c r="CC76" i="70"/>
  <c r="CB76" i="70"/>
  <c r="CZ75" i="70"/>
  <c r="CY75" i="70"/>
  <c r="CC75" i="70"/>
  <c r="CB75" i="70"/>
  <c r="CZ74" i="70"/>
  <c r="CY74" i="70"/>
  <c r="CC74" i="70"/>
  <c r="CB74" i="70"/>
  <c r="CZ73" i="70"/>
  <c r="CY73" i="70"/>
  <c r="CC73" i="70"/>
  <c r="CB73" i="70"/>
  <c r="CZ72" i="70"/>
  <c r="CY72" i="70"/>
  <c r="CC72" i="70"/>
  <c r="CB72" i="70"/>
  <c r="CZ71" i="70"/>
  <c r="CY71" i="70"/>
  <c r="CC71" i="70"/>
  <c r="CB71" i="70"/>
  <c r="CZ70" i="70"/>
  <c r="CY70" i="70"/>
  <c r="CC70" i="70"/>
  <c r="CB70" i="70"/>
  <c r="CZ69" i="70"/>
  <c r="CY69" i="70"/>
  <c r="CC69" i="70"/>
  <c r="CB69" i="70"/>
  <c r="CZ68" i="70"/>
  <c r="CY68" i="70"/>
  <c r="CC68" i="70"/>
  <c r="CB68" i="70"/>
  <c r="CZ67" i="70"/>
  <c r="CY67" i="70"/>
  <c r="CC67" i="70"/>
  <c r="CB67" i="70"/>
  <c r="CZ66" i="70"/>
  <c r="CY66" i="70"/>
  <c r="CC66" i="70"/>
  <c r="CB66" i="70"/>
  <c r="CZ65" i="70"/>
  <c r="CY65" i="70"/>
  <c r="CC65" i="70"/>
  <c r="CB65" i="70"/>
  <c r="CZ64" i="70"/>
  <c r="CY64" i="70"/>
  <c r="CC64" i="70"/>
  <c r="CB64" i="70"/>
  <c r="CZ63" i="70"/>
  <c r="CY63" i="70"/>
  <c r="CC63" i="70"/>
  <c r="CB63" i="70"/>
  <c r="CZ62" i="70"/>
  <c r="CY62" i="70"/>
  <c r="CC62" i="70"/>
  <c r="CB62" i="70"/>
  <c r="CZ61" i="70"/>
  <c r="CY61" i="70"/>
  <c r="CC61" i="70"/>
  <c r="CB61" i="70"/>
  <c r="CZ60" i="70"/>
  <c r="CY60" i="70"/>
  <c r="CC60" i="70"/>
  <c r="CB60" i="70"/>
  <c r="CZ59" i="70"/>
  <c r="CY59" i="70"/>
  <c r="CC59" i="70"/>
  <c r="CB59" i="70"/>
  <c r="CZ58" i="70"/>
  <c r="CY58" i="70"/>
  <c r="CC58" i="70"/>
  <c r="CB58" i="70"/>
  <c r="CZ57" i="70"/>
  <c r="CY57" i="70"/>
  <c r="CC57" i="70"/>
  <c r="CB57" i="70"/>
  <c r="CZ56" i="70"/>
  <c r="CY56" i="70"/>
  <c r="CC56" i="70"/>
  <c r="CB56" i="70"/>
  <c r="CZ55" i="70"/>
  <c r="CY55" i="70"/>
  <c r="CC55" i="70"/>
  <c r="CB55" i="70"/>
  <c r="CZ54" i="70"/>
  <c r="CY54" i="70"/>
  <c r="CC54" i="70"/>
  <c r="CB54" i="70"/>
  <c r="CZ53" i="70"/>
  <c r="CY53" i="70"/>
  <c r="CC53" i="70"/>
  <c r="CB53" i="70"/>
  <c r="CZ52" i="70"/>
  <c r="CY52" i="70"/>
  <c r="CC52" i="70"/>
  <c r="CB52" i="70"/>
  <c r="CZ51" i="70"/>
  <c r="CY51" i="70"/>
  <c r="CC51" i="70"/>
  <c r="CB51" i="70"/>
  <c r="CZ50" i="70"/>
  <c r="CY50" i="70"/>
  <c r="CC50" i="70"/>
  <c r="CB50" i="70"/>
  <c r="CZ49" i="70"/>
  <c r="CY49" i="70"/>
  <c r="CC49" i="70"/>
  <c r="CB49" i="70"/>
  <c r="CZ48" i="70"/>
  <c r="CY48" i="70"/>
  <c r="CC48" i="70"/>
  <c r="CB48" i="70"/>
  <c r="CZ47" i="70"/>
  <c r="CY47" i="70"/>
  <c r="CC47" i="70"/>
  <c r="CB47" i="70"/>
  <c r="CZ46" i="70"/>
  <c r="CY46" i="70"/>
  <c r="CC46" i="70"/>
  <c r="CB46" i="70"/>
  <c r="CZ45" i="70"/>
  <c r="CY45" i="70"/>
  <c r="CC45" i="70"/>
  <c r="CB45" i="70"/>
  <c r="CZ44" i="70"/>
  <c r="CY44" i="70"/>
  <c r="CC44" i="70"/>
  <c r="CB44" i="70"/>
  <c r="CZ43" i="70"/>
  <c r="CY43" i="70"/>
  <c r="CC43" i="70"/>
  <c r="CB43" i="70"/>
  <c r="CZ42" i="70"/>
  <c r="CY42" i="70"/>
  <c r="CC42" i="70"/>
  <c r="CB42" i="70"/>
  <c r="CZ41" i="70"/>
  <c r="CY41" i="70"/>
  <c r="CC41" i="70"/>
  <c r="CB41" i="70"/>
  <c r="CZ40" i="70"/>
  <c r="CY40" i="70"/>
  <c r="CC40" i="70"/>
  <c r="CB40" i="70"/>
  <c r="CZ39" i="70"/>
  <c r="CY39" i="70"/>
  <c r="CC39" i="70"/>
  <c r="CB39" i="70"/>
  <c r="CZ38" i="70"/>
  <c r="CY38" i="70"/>
  <c r="CC38" i="70"/>
  <c r="CB38" i="70"/>
  <c r="CZ37" i="70"/>
  <c r="CY37" i="70"/>
  <c r="CC37" i="70"/>
  <c r="CB37" i="70"/>
  <c r="CZ36" i="70"/>
  <c r="CY36" i="70"/>
  <c r="CC36" i="70"/>
  <c r="CB36" i="70"/>
  <c r="CA36" i="70"/>
  <c r="CA55" i="70" s="1"/>
  <c r="CA74" i="70" s="1"/>
  <c r="CA93" i="70" s="1"/>
  <c r="CA112" i="70" s="1"/>
  <c r="CA131" i="70" s="1"/>
  <c r="CA150" i="70" s="1"/>
  <c r="CA169" i="70" s="1"/>
  <c r="CA188" i="70" s="1"/>
  <c r="CZ35" i="70"/>
  <c r="CY35" i="70"/>
  <c r="CC35" i="70"/>
  <c r="CB35" i="70"/>
  <c r="CZ34" i="70"/>
  <c r="CY34" i="70"/>
  <c r="CC34" i="70"/>
  <c r="CB34" i="70"/>
  <c r="CZ33" i="70"/>
  <c r="CY33" i="70"/>
  <c r="CC33" i="70"/>
  <c r="CB33" i="70"/>
  <c r="CZ32" i="70"/>
  <c r="CY32" i="70"/>
  <c r="CC32" i="70"/>
  <c r="CB32" i="70"/>
  <c r="CZ31" i="70"/>
  <c r="CY31" i="70"/>
  <c r="CC31" i="70"/>
  <c r="CB31" i="70"/>
  <c r="CZ30" i="70"/>
  <c r="CY30" i="70"/>
  <c r="CC30" i="70"/>
  <c r="CB30" i="70"/>
  <c r="CZ29" i="70"/>
  <c r="CY29" i="70"/>
  <c r="CC29" i="70"/>
  <c r="CB29" i="70"/>
  <c r="CZ28" i="70"/>
  <c r="CY28" i="70"/>
  <c r="CC28" i="70"/>
  <c r="CB28" i="70"/>
  <c r="V28" i="70"/>
  <c r="B28" i="70"/>
  <c r="CZ27" i="70"/>
  <c r="CY27" i="70"/>
  <c r="CC27" i="70"/>
  <c r="CB27" i="70"/>
  <c r="V27" i="70"/>
  <c r="B27" i="70"/>
  <c r="CZ26" i="70"/>
  <c r="CY26" i="70"/>
  <c r="CC26" i="70"/>
  <c r="CB26" i="70"/>
  <c r="AK26" i="70"/>
  <c r="AD26" i="70"/>
  <c r="V26" i="70"/>
  <c r="Q26" i="70"/>
  <c r="J26" i="70"/>
  <c r="B26" i="70"/>
  <c r="CZ25" i="70"/>
  <c r="CY25" i="70"/>
  <c r="CC25" i="70"/>
  <c r="CB25" i="70"/>
  <c r="AK25" i="70"/>
  <c r="AD25" i="70"/>
  <c r="V25" i="70"/>
  <c r="Q25" i="70"/>
  <c r="J25" i="70"/>
  <c r="B25" i="70"/>
  <c r="CZ24" i="70"/>
  <c r="CY24" i="70"/>
  <c r="CX24" i="70"/>
  <c r="CX31" i="70" s="1"/>
  <c r="CX38" i="70" s="1"/>
  <c r="CX45" i="70" s="1"/>
  <c r="CX52" i="70" s="1"/>
  <c r="CX59" i="70" s="1"/>
  <c r="CX66" i="70" s="1"/>
  <c r="CX73" i="70" s="1"/>
  <c r="CX80" i="70" s="1"/>
  <c r="CC24" i="70"/>
  <c r="CB24" i="70"/>
  <c r="AK24" i="70"/>
  <c r="AD24" i="70"/>
  <c r="V24" i="70"/>
  <c r="Q24" i="70"/>
  <c r="J24" i="70"/>
  <c r="B24" i="70"/>
  <c r="DA23" i="70"/>
  <c r="CZ23" i="70"/>
  <c r="CY23" i="70"/>
  <c r="CC23" i="70"/>
  <c r="CB23" i="70"/>
  <c r="AK23" i="70"/>
  <c r="AD23" i="70"/>
  <c r="V23" i="70"/>
  <c r="Q23" i="70"/>
  <c r="J23" i="70"/>
  <c r="B23" i="70"/>
  <c r="DA22" i="70"/>
  <c r="CZ22" i="70"/>
  <c r="CY22" i="70"/>
  <c r="CC22" i="70"/>
  <c r="CB22" i="70"/>
  <c r="AK22" i="70"/>
  <c r="AD22" i="70"/>
  <c r="V22" i="70"/>
  <c r="Q22" i="70"/>
  <c r="J22" i="70"/>
  <c r="B22" i="70"/>
  <c r="DA21" i="70"/>
  <c r="CZ21" i="70"/>
  <c r="CY21" i="70"/>
  <c r="CC21" i="70"/>
  <c r="CB21" i="70"/>
  <c r="AK21" i="70"/>
  <c r="AD21" i="70"/>
  <c r="V21" i="70"/>
  <c r="Q21" i="70"/>
  <c r="J21" i="70"/>
  <c r="B21" i="70"/>
  <c r="DA20" i="70"/>
  <c r="CZ20" i="70"/>
  <c r="CY20" i="70"/>
  <c r="CC20" i="70"/>
  <c r="CB20" i="70"/>
  <c r="AK20" i="70"/>
  <c r="AD20" i="70"/>
  <c r="V20" i="70"/>
  <c r="Q20" i="70"/>
  <c r="J20" i="70"/>
  <c r="B20" i="70"/>
  <c r="DA19" i="70"/>
  <c r="CZ19" i="70"/>
  <c r="CY19" i="70"/>
  <c r="CC19" i="70"/>
  <c r="CB19" i="70"/>
  <c r="AK19" i="70"/>
  <c r="AD19" i="70"/>
  <c r="V19" i="70"/>
  <c r="Q19" i="70"/>
  <c r="J19" i="70"/>
  <c r="B19" i="70"/>
  <c r="DA18" i="70"/>
  <c r="CZ18" i="70"/>
  <c r="CY18" i="70"/>
  <c r="CC18" i="70"/>
  <c r="CB18" i="70"/>
  <c r="AK18" i="70"/>
  <c r="AD18" i="70"/>
  <c r="V18" i="70"/>
  <c r="Q18" i="70"/>
  <c r="J18" i="70"/>
  <c r="B18" i="70"/>
  <c r="EZ17" i="70"/>
  <c r="EZ18" i="70" s="1"/>
  <c r="EZ19" i="70" s="1"/>
  <c r="EZ20" i="70" s="1"/>
  <c r="EZ21" i="70" s="1"/>
  <c r="EZ22" i="70" s="1"/>
  <c r="EZ23" i="70" s="1"/>
  <c r="EZ24" i="70" s="1"/>
  <c r="EZ25" i="70" s="1"/>
  <c r="EZ26" i="70" s="1"/>
  <c r="EZ27" i="70" s="1"/>
  <c r="EZ28" i="70" s="1"/>
  <c r="EZ29" i="70" s="1"/>
  <c r="EZ30" i="70" s="1"/>
  <c r="EZ31" i="70" s="1"/>
  <c r="EZ32" i="70" s="1"/>
  <c r="EZ33" i="70" s="1"/>
  <c r="EZ34" i="70" s="1"/>
  <c r="EZ35" i="70" s="1"/>
  <c r="EZ36" i="70" s="1"/>
  <c r="EZ37" i="70" s="1"/>
  <c r="EZ38" i="70" s="1"/>
  <c r="EZ39" i="70" s="1"/>
  <c r="EZ40" i="70" s="1"/>
  <c r="EZ41" i="70" s="1"/>
  <c r="EZ42" i="70" s="1"/>
  <c r="EZ43" i="70" s="1"/>
  <c r="EZ44" i="70" s="1"/>
  <c r="EZ45" i="70" s="1"/>
  <c r="EZ46" i="70" s="1"/>
  <c r="EZ47" i="70" s="1"/>
  <c r="EZ48" i="70" s="1"/>
  <c r="EZ49" i="70" s="1"/>
  <c r="EZ50" i="70" s="1"/>
  <c r="EZ51" i="70" s="1"/>
  <c r="EZ52" i="70" s="1"/>
  <c r="EZ53" i="70" s="1"/>
  <c r="EZ54" i="70" s="1"/>
  <c r="EZ55" i="70" s="1"/>
  <c r="EZ56" i="70" s="1"/>
  <c r="EZ57" i="70" s="1"/>
  <c r="EZ58" i="70" s="1"/>
  <c r="EZ59" i="70" s="1"/>
  <c r="EZ60" i="70" s="1"/>
  <c r="EZ61" i="70" s="1"/>
  <c r="EZ62" i="70" s="1"/>
  <c r="EZ63" i="70" s="1"/>
  <c r="EZ64" i="70" s="1"/>
  <c r="EZ65" i="70" s="1"/>
  <c r="EZ66" i="70" s="1"/>
  <c r="EZ67" i="70" s="1"/>
  <c r="EZ68" i="70" s="1"/>
  <c r="EZ69" i="70" s="1"/>
  <c r="EZ70" i="70" s="1"/>
  <c r="EZ71" i="70" s="1"/>
  <c r="EZ72" i="70" s="1"/>
  <c r="EZ73" i="70" s="1"/>
  <c r="EZ74" i="70" s="1"/>
  <c r="EZ75" i="70" s="1"/>
  <c r="EZ76" i="70" s="1"/>
  <c r="EZ77" i="70" s="1"/>
  <c r="EZ78" i="70" s="1"/>
  <c r="EZ79" i="70" s="1"/>
  <c r="EZ80" i="70" s="1"/>
  <c r="EZ81" i="70" s="1"/>
  <c r="EZ82" i="70" s="1"/>
  <c r="EZ83" i="70" s="1"/>
  <c r="EZ84" i="70" s="1"/>
  <c r="EZ85" i="70" s="1"/>
  <c r="EZ86" i="70" s="1"/>
  <c r="EZ87" i="70" s="1"/>
  <c r="EZ88" i="70" s="1"/>
  <c r="EZ89" i="70" s="1"/>
  <c r="EZ90" i="70" s="1"/>
  <c r="EZ91" i="70" s="1"/>
  <c r="EZ92" i="70" s="1"/>
  <c r="EZ93" i="70" s="1"/>
  <c r="EZ94" i="70" s="1"/>
  <c r="EZ95" i="70" s="1"/>
  <c r="EZ96" i="70" s="1"/>
  <c r="EZ97" i="70" s="1"/>
  <c r="EZ98" i="70" s="1"/>
  <c r="EZ99" i="70" s="1"/>
  <c r="EZ100" i="70" s="1"/>
  <c r="EZ101" i="70" s="1"/>
  <c r="EZ102" i="70" s="1"/>
  <c r="EZ103" i="70" s="1"/>
  <c r="EZ104" i="70" s="1"/>
  <c r="EZ105" i="70" s="1"/>
  <c r="EZ106" i="70" s="1"/>
  <c r="EZ107" i="70" s="1"/>
  <c r="EZ108" i="70" s="1"/>
  <c r="EZ109" i="70" s="1"/>
  <c r="EZ110" i="70" s="1"/>
  <c r="EZ111" i="70" s="1"/>
  <c r="EZ112" i="70" s="1"/>
  <c r="EZ113" i="70" s="1"/>
  <c r="EZ114" i="70" s="1"/>
  <c r="EZ115" i="70" s="1"/>
  <c r="EZ116" i="70" s="1"/>
  <c r="EY17" i="70"/>
  <c r="EY18" i="70" s="1"/>
  <c r="EY19" i="70" s="1"/>
  <c r="EY20" i="70" s="1"/>
  <c r="EY21" i="70" s="1"/>
  <c r="EY22" i="70" s="1"/>
  <c r="EY23" i="70" s="1"/>
  <c r="EY24" i="70" s="1"/>
  <c r="EY25" i="70" s="1"/>
  <c r="EY26" i="70" s="1"/>
  <c r="EY27" i="70" s="1"/>
  <c r="EY28" i="70" s="1"/>
  <c r="EY29" i="70" s="1"/>
  <c r="EY30" i="70" s="1"/>
  <c r="EY31" i="70" s="1"/>
  <c r="EY32" i="70" s="1"/>
  <c r="EY33" i="70" s="1"/>
  <c r="EY34" i="70" s="1"/>
  <c r="EY35" i="70" s="1"/>
  <c r="EY36" i="70" s="1"/>
  <c r="EY37" i="70" s="1"/>
  <c r="EY38" i="70" s="1"/>
  <c r="EY39" i="70" s="1"/>
  <c r="EY40" i="70" s="1"/>
  <c r="EY41" i="70" s="1"/>
  <c r="EY42" i="70" s="1"/>
  <c r="EY43" i="70" s="1"/>
  <c r="EY44" i="70" s="1"/>
  <c r="EY45" i="70" s="1"/>
  <c r="EY46" i="70" s="1"/>
  <c r="EY47" i="70" s="1"/>
  <c r="EY48" i="70" s="1"/>
  <c r="EY49" i="70" s="1"/>
  <c r="EY50" i="70" s="1"/>
  <c r="EY51" i="70" s="1"/>
  <c r="EY52" i="70" s="1"/>
  <c r="EY53" i="70" s="1"/>
  <c r="EY54" i="70" s="1"/>
  <c r="EY55" i="70" s="1"/>
  <c r="EY56" i="70" s="1"/>
  <c r="EY57" i="70" s="1"/>
  <c r="EY58" i="70" s="1"/>
  <c r="EY59" i="70" s="1"/>
  <c r="EY60" i="70" s="1"/>
  <c r="EY61" i="70" s="1"/>
  <c r="EY62" i="70" s="1"/>
  <c r="EY63" i="70" s="1"/>
  <c r="EY64" i="70" s="1"/>
  <c r="EY65" i="70" s="1"/>
  <c r="EY66" i="70" s="1"/>
  <c r="EY67" i="70" s="1"/>
  <c r="EY68" i="70" s="1"/>
  <c r="EY69" i="70" s="1"/>
  <c r="EY70" i="70" s="1"/>
  <c r="EY71" i="70" s="1"/>
  <c r="EY72" i="70" s="1"/>
  <c r="EY73" i="70" s="1"/>
  <c r="EY74" i="70" s="1"/>
  <c r="EY75" i="70" s="1"/>
  <c r="EY76" i="70" s="1"/>
  <c r="EY77" i="70" s="1"/>
  <c r="EY78" i="70" s="1"/>
  <c r="EY79" i="70" s="1"/>
  <c r="EY80" i="70" s="1"/>
  <c r="EY81" i="70" s="1"/>
  <c r="EY82" i="70" s="1"/>
  <c r="EY83" i="70" s="1"/>
  <c r="EY84" i="70" s="1"/>
  <c r="EY85" i="70" s="1"/>
  <c r="EY86" i="70" s="1"/>
  <c r="EY87" i="70" s="1"/>
  <c r="EY88" i="70" s="1"/>
  <c r="EY89" i="70" s="1"/>
  <c r="EY90" i="70" s="1"/>
  <c r="EY91" i="70" s="1"/>
  <c r="EY92" i="70" s="1"/>
  <c r="EY93" i="70" s="1"/>
  <c r="EY94" i="70" s="1"/>
  <c r="EY95" i="70" s="1"/>
  <c r="EY96" i="70" s="1"/>
  <c r="EY97" i="70" s="1"/>
  <c r="EY98" i="70" s="1"/>
  <c r="EY99" i="70" s="1"/>
  <c r="EY100" i="70" s="1"/>
  <c r="EY101" i="70" s="1"/>
  <c r="EY102" i="70" s="1"/>
  <c r="EY103" i="70" s="1"/>
  <c r="EY104" i="70" s="1"/>
  <c r="EY105" i="70" s="1"/>
  <c r="EY106" i="70" s="1"/>
  <c r="EY107" i="70" s="1"/>
  <c r="EY108" i="70" s="1"/>
  <c r="EY109" i="70" s="1"/>
  <c r="EY110" i="70" s="1"/>
  <c r="EY111" i="70" s="1"/>
  <c r="EY112" i="70" s="1"/>
  <c r="EY113" i="70" s="1"/>
  <c r="EY114" i="70" s="1"/>
  <c r="EY115" i="70" s="1"/>
  <c r="EY116" i="70" s="1"/>
  <c r="EX17" i="70"/>
  <c r="EX18" i="70" s="1"/>
  <c r="EX19" i="70" s="1"/>
  <c r="EX20" i="70" s="1"/>
  <c r="EX21" i="70" s="1"/>
  <c r="EX22" i="70" s="1"/>
  <c r="EX23" i="70" s="1"/>
  <c r="EX24" i="70" s="1"/>
  <c r="EX25" i="70" s="1"/>
  <c r="EX26" i="70" s="1"/>
  <c r="EX27" i="70" s="1"/>
  <c r="EX28" i="70" s="1"/>
  <c r="EX29" i="70" s="1"/>
  <c r="EX30" i="70" s="1"/>
  <c r="EX31" i="70" s="1"/>
  <c r="EX32" i="70" s="1"/>
  <c r="EX33" i="70" s="1"/>
  <c r="EX34" i="70" s="1"/>
  <c r="EX35" i="70" s="1"/>
  <c r="EX36" i="70" s="1"/>
  <c r="EX37" i="70" s="1"/>
  <c r="EX38" i="70" s="1"/>
  <c r="EX39" i="70" s="1"/>
  <c r="EX40" i="70" s="1"/>
  <c r="EX41" i="70" s="1"/>
  <c r="EX42" i="70" s="1"/>
  <c r="EX43" i="70" s="1"/>
  <c r="EX44" i="70" s="1"/>
  <c r="EX45" i="70" s="1"/>
  <c r="EX46" i="70" s="1"/>
  <c r="EX47" i="70" s="1"/>
  <c r="EX48" i="70" s="1"/>
  <c r="EX49" i="70" s="1"/>
  <c r="EX50" i="70" s="1"/>
  <c r="EX51" i="70" s="1"/>
  <c r="EX52" i="70" s="1"/>
  <c r="EX53" i="70" s="1"/>
  <c r="EX54" i="70" s="1"/>
  <c r="EX55" i="70" s="1"/>
  <c r="EX56" i="70" s="1"/>
  <c r="EX57" i="70" s="1"/>
  <c r="EX58" i="70" s="1"/>
  <c r="EX59" i="70" s="1"/>
  <c r="EX60" i="70" s="1"/>
  <c r="EX61" i="70" s="1"/>
  <c r="EX62" i="70" s="1"/>
  <c r="EX63" i="70" s="1"/>
  <c r="EX64" i="70" s="1"/>
  <c r="EX65" i="70" s="1"/>
  <c r="EX66" i="70" s="1"/>
  <c r="EX67" i="70" s="1"/>
  <c r="EX68" i="70" s="1"/>
  <c r="EX69" i="70" s="1"/>
  <c r="EX70" i="70" s="1"/>
  <c r="EX71" i="70" s="1"/>
  <c r="EX72" i="70" s="1"/>
  <c r="EX73" i="70" s="1"/>
  <c r="EX74" i="70" s="1"/>
  <c r="EX75" i="70" s="1"/>
  <c r="EX76" i="70" s="1"/>
  <c r="EX77" i="70" s="1"/>
  <c r="EX78" i="70" s="1"/>
  <c r="EX79" i="70" s="1"/>
  <c r="EX80" i="70" s="1"/>
  <c r="EX81" i="70" s="1"/>
  <c r="EX82" i="70" s="1"/>
  <c r="EX83" i="70" s="1"/>
  <c r="EX84" i="70" s="1"/>
  <c r="EX85" i="70" s="1"/>
  <c r="EX86" i="70" s="1"/>
  <c r="EX87" i="70" s="1"/>
  <c r="EX88" i="70" s="1"/>
  <c r="EX89" i="70" s="1"/>
  <c r="EX90" i="70" s="1"/>
  <c r="EX91" i="70" s="1"/>
  <c r="EX92" i="70" s="1"/>
  <c r="EX93" i="70" s="1"/>
  <c r="EX94" i="70" s="1"/>
  <c r="EX95" i="70" s="1"/>
  <c r="EX96" i="70" s="1"/>
  <c r="EX97" i="70" s="1"/>
  <c r="EX98" i="70" s="1"/>
  <c r="EX99" i="70" s="1"/>
  <c r="EX100" i="70" s="1"/>
  <c r="EX101" i="70" s="1"/>
  <c r="EX102" i="70" s="1"/>
  <c r="EX103" i="70" s="1"/>
  <c r="EX104" i="70" s="1"/>
  <c r="EX105" i="70" s="1"/>
  <c r="EX106" i="70" s="1"/>
  <c r="EX107" i="70" s="1"/>
  <c r="EX108" i="70" s="1"/>
  <c r="EX109" i="70" s="1"/>
  <c r="EX110" i="70" s="1"/>
  <c r="EX111" i="70" s="1"/>
  <c r="EX112" i="70" s="1"/>
  <c r="EX113" i="70" s="1"/>
  <c r="EX114" i="70" s="1"/>
  <c r="EX115" i="70" s="1"/>
  <c r="EX116" i="70" s="1"/>
  <c r="EW17" i="70"/>
  <c r="EW18" i="70" s="1"/>
  <c r="EW19" i="70" s="1"/>
  <c r="EW20" i="70" s="1"/>
  <c r="EW21" i="70" s="1"/>
  <c r="EW22" i="70" s="1"/>
  <c r="EW23" i="70" s="1"/>
  <c r="EW24" i="70" s="1"/>
  <c r="EW25" i="70" s="1"/>
  <c r="EW26" i="70" s="1"/>
  <c r="EW27" i="70" s="1"/>
  <c r="EW28" i="70" s="1"/>
  <c r="EW29" i="70" s="1"/>
  <c r="EW30" i="70" s="1"/>
  <c r="EW31" i="70" s="1"/>
  <c r="EW32" i="70" s="1"/>
  <c r="EW33" i="70" s="1"/>
  <c r="EW34" i="70" s="1"/>
  <c r="EW35" i="70" s="1"/>
  <c r="EW36" i="70" s="1"/>
  <c r="EW37" i="70" s="1"/>
  <c r="EW38" i="70" s="1"/>
  <c r="EW39" i="70" s="1"/>
  <c r="EW40" i="70" s="1"/>
  <c r="EW41" i="70" s="1"/>
  <c r="EW42" i="70" s="1"/>
  <c r="EW43" i="70" s="1"/>
  <c r="EW44" i="70" s="1"/>
  <c r="EW45" i="70" s="1"/>
  <c r="EW46" i="70" s="1"/>
  <c r="EW47" i="70" s="1"/>
  <c r="EW48" i="70" s="1"/>
  <c r="EW49" i="70" s="1"/>
  <c r="EW50" i="70" s="1"/>
  <c r="EW51" i="70" s="1"/>
  <c r="EW52" i="70" s="1"/>
  <c r="EW53" i="70" s="1"/>
  <c r="EW54" i="70" s="1"/>
  <c r="EW55" i="70" s="1"/>
  <c r="EW56" i="70" s="1"/>
  <c r="EW57" i="70" s="1"/>
  <c r="EW58" i="70" s="1"/>
  <c r="EW59" i="70" s="1"/>
  <c r="EW60" i="70" s="1"/>
  <c r="EW61" i="70" s="1"/>
  <c r="EW62" i="70" s="1"/>
  <c r="EW63" i="70" s="1"/>
  <c r="EW64" i="70" s="1"/>
  <c r="EW65" i="70" s="1"/>
  <c r="EW66" i="70" s="1"/>
  <c r="EW67" i="70" s="1"/>
  <c r="EW68" i="70" s="1"/>
  <c r="EW69" i="70" s="1"/>
  <c r="EW70" i="70" s="1"/>
  <c r="EW71" i="70" s="1"/>
  <c r="EW72" i="70" s="1"/>
  <c r="EW73" i="70" s="1"/>
  <c r="EW74" i="70" s="1"/>
  <c r="EW75" i="70" s="1"/>
  <c r="EW76" i="70" s="1"/>
  <c r="EW77" i="70" s="1"/>
  <c r="EW78" i="70" s="1"/>
  <c r="EW79" i="70" s="1"/>
  <c r="EW80" i="70" s="1"/>
  <c r="EW81" i="70" s="1"/>
  <c r="EW82" i="70" s="1"/>
  <c r="EW83" i="70" s="1"/>
  <c r="EW84" i="70" s="1"/>
  <c r="EW85" i="70" s="1"/>
  <c r="EW86" i="70" s="1"/>
  <c r="EW87" i="70" s="1"/>
  <c r="EW88" i="70" s="1"/>
  <c r="EW89" i="70" s="1"/>
  <c r="EW90" i="70" s="1"/>
  <c r="EW91" i="70" s="1"/>
  <c r="EW92" i="70" s="1"/>
  <c r="EW93" i="70" s="1"/>
  <c r="EW94" i="70" s="1"/>
  <c r="EW95" i="70" s="1"/>
  <c r="EW96" i="70" s="1"/>
  <c r="EW97" i="70" s="1"/>
  <c r="EW98" i="70" s="1"/>
  <c r="EW99" i="70" s="1"/>
  <c r="EW100" i="70" s="1"/>
  <c r="EW101" i="70" s="1"/>
  <c r="EW102" i="70" s="1"/>
  <c r="EW103" i="70" s="1"/>
  <c r="EW104" i="70" s="1"/>
  <c r="EW105" i="70" s="1"/>
  <c r="EW106" i="70" s="1"/>
  <c r="EW107" i="70" s="1"/>
  <c r="EW108" i="70" s="1"/>
  <c r="EW109" i="70" s="1"/>
  <c r="EW110" i="70" s="1"/>
  <c r="EW111" i="70" s="1"/>
  <c r="EW112" i="70" s="1"/>
  <c r="EW113" i="70" s="1"/>
  <c r="EW114" i="70" s="1"/>
  <c r="EW115" i="70" s="1"/>
  <c r="EW116" i="70" s="1"/>
  <c r="EV17" i="70"/>
  <c r="EV18" i="70" s="1"/>
  <c r="EV19" i="70" s="1"/>
  <c r="EV20" i="70" s="1"/>
  <c r="EV21" i="70" s="1"/>
  <c r="EV22" i="70" s="1"/>
  <c r="EV23" i="70" s="1"/>
  <c r="EV24" i="70" s="1"/>
  <c r="EV25" i="70" s="1"/>
  <c r="EV26" i="70" s="1"/>
  <c r="EV27" i="70" s="1"/>
  <c r="EV28" i="70" s="1"/>
  <c r="EV29" i="70" s="1"/>
  <c r="EV30" i="70" s="1"/>
  <c r="EV31" i="70" s="1"/>
  <c r="EV32" i="70" s="1"/>
  <c r="EV33" i="70" s="1"/>
  <c r="EV34" i="70" s="1"/>
  <c r="EV35" i="70" s="1"/>
  <c r="EV36" i="70" s="1"/>
  <c r="EV37" i="70" s="1"/>
  <c r="EV38" i="70" s="1"/>
  <c r="EV39" i="70" s="1"/>
  <c r="EV40" i="70" s="1"/>
  <c r="EV41" i="70" s="1"/>
  <c r="EV42" i="70" s="1"/>
  <c r="EV43" i="70" s="1"/>
  <c r="EV44" i="70" s="1"/>
  <c r="EV45" i="70" s="1"/>
  <c r="EV46" i="70" s="1"/>
  <c r="EV47" i="70" s="1"/>
  <c r="EV48" i="70" s="1"/>
  <c r="EV49" i="70" s="1"/>
  <c r="EV50" i="70" s="1"/>
  <c r="EV51" i="70" s="1"/>
  <c r="EV52" i="70" s="1"/>
  <c r="EV53" i="70" s="1"/>
  <c r="EV54" i="70" s="1"/>
  <c r="EV55" i="70" s="1"/>
  <c r="EV56" i="70" s="1"/>
  <c r="EV57" i="70" s="1"/>
  <c r="EV58" i="70" s="1"/>
  <c r="EV59" i="70" s="1"/>
  <c r="EV60" i="70" s="1"/>
  <c r="EV61" i="70" s="1"/>
  <c r="EV62" i="70" s="1"/>
  <c r="EV63" i="70" s="1"/>
  <c r="EV64" i="70" s="1"/>
  <c r="EV65" i="70" s="1"/>
  <c r="EV66" i="70" s="1"/>
  <c r="EV67" i="70" s="1"/>
  <c r="EV68" i="70" s="1"/>
  <c r="EV69" i="70" s="1"/>
  <c r="EV70" i="70" s="1"/>
  <c r="EV71" i="70" s="1"/>
  <c r="EV72" i="70" s="1"/>
  <c r="EV73" i="70" s="1"/>
  <c r="EV74" i="70" s="1"/>
  <c r="EV75" i="70" s="1"/>
  <c r="EV76" i="70" s="1"/>
  <c r="EV77" i="70" s="1"/>
  <c r="EV78" i="70" s="1"/>
  <c r="EV79" i="70" s="1"/>
  <c r="EV80" i="70" s="1"/>
  <c r="EV81" i="70" s="1"/>
  <c r="EV82" i="70" s="1"/>
  <c r="EV83" i="70" s="1"/>
  <c r="EV84" i="70" s="1"/>
  <c r="EV85" i="70" s="1"/>
  <c r="EV86" i="70" s="1"/>
  <c r="EV87" i="70" s="1"/>
  <c r="EV88" i="70" s="1"/>
  <c r="EV89" i="70" s="1"/>
  <c r="EV90" i="70" s="1"/>
  <c r="EV91" i="70" s="1"/>
  <c r="EV92" i="70" s="1"/>
  <c r="EV93" i="70" s="1"/>
  <c r="EV94" i="70" s="1"/>
  <c r="EV95" i="70" s="1"/>
  <c r="EV96" i="70" s="1"/>
  <c r="EV97" i="70" s="1"/>
  <c r="EV98" i="70" s="1"/>
  <c r="EV99" i="70" s="1"/>
  <c r="EV100" i="70" s="1"/>
  <c r="EV101" i="70" s="1"/>
  <c r="EV102" i="70" s="1"/>
  <c r="EV103" i="70" s="1"/>
  <c r="EV104" i="70" s="1"/>
  <c r="EV105" i="70" s="1"/>
  <c r="EV106" i="70" s="1"/>
  <c r="EV107" i="70" s="1"/>
  <c r="EV108" i="70" s="1"/>
  <c r="EV109" i="70" s="1"/>
  <c r="EV110" i="70" s="1"/>
  <c r="EV111" i="70" s="1"/>
  <c r="EV112" i="70" s="1"/>
  <c r="EV113" i="70" s="1"/>
  <c r="EV114" i="70" s="1"/>
  <c r="EV115" i="70" s="1"/>
  <c r="EV116" i="70" s="1"/>
  <c r="EU17" i="70"/>
  <c r="EU18" i="70" s="1"/>
  <c r="EU19" i="70" s="1"/>
  <c r="EU20" i="70" s="1"/>
  <c r="EU21" i="70" s="1"/>
  <c r="EU22" i="70" s="1"/>
  <c r="EU23" i="70" s="1"/>
  <c r="EU24" i="70" s="1"/>
  <c r="EU25" i="70" s="1"/>
  <c r="EU26" i="70" s="1"/>
  <c r="EU27" i="70" s="1"/>
  <c r="EU28" i="70" s="1"/>
  <c r="EU29" i="70" s="1"/>
  <c r="EU30" i="70" s="1"/>
  <c r="EU31" i="70" s="1"/>
  <c r="EU32" i="70" s="1"/>
  <c r="EU33" i="70" s="1"/>
  <c r="EU34" i="70" s="1"/>
  <c r="EU35" i="70" s="1"/>
  <c r="EU36" i="70" s="1"/>
  <c r="EU37" i="70" s="1"/>
  <c r="EU38" i="70" s="1"/>
  <c r="EU39" i="70" s="1"/>
  <c r="EU40" i="70" s="1"/>
  <c r="EU41" i="70" s="1"/>
  <c r="EU42" i="70" s="1"/>
  <c r="EU43" i="70" s="1"/>
  <c r="EU44" i="70" s="1"/>
  <c r="EU45" i="70" s="1"/>
  <c r="EU46" i="70" s="1"/>
  <c r="EU47" i="70" s="1"/>
  <c r="EU48" i="70" s="1"/>
  <c r="EU49" i="70" s="1"/>
  <c r="EU50" i="70" s="1"/>
  <c r="EU51" i="70" s="1"/>
  <c r="EU52" i="70" s="1"/>
  <c r="EU53" i="70" s="1"/>
  <c r="EU54" i="70" s="1"/>
  <c r="EU55" i="70" s="1"/>
  <c r="EU56" i="70" s="1"/>
  <c r="EU57" i="70" s="1"/>
  <c r="EU58" i="70" s="1"/>
  <c r="EU59" i="70" s="1"/>
  <c r="EU60" i="70" s="1"/>
  <c r="EU61" i="70" s="1"/>
  <c r="EU62" i="70" s="1"/>
  <c r="EU63" i="70" s="1"/>
  <c r="EU64" i="70" s="1"/>
  <c r="EU65" i="70" s="1"/>
  <c r="EU66" i="70" s="1"/>
  <c r="EU67" i="70" s="1"/>
  <c r="EU68" i="70" s="1"/>
  <c r="EU69" i="70" s="1"/>
  <c r="EU70" i="70" s="1"/>
  <c r="EU71" i="70" s="1"/>
  <c r="EU72" i="70" s="1"/>
  <c r="EU73" i="70" s="1"/>
  <c r="EU74" i="70" s="1"/>
  <c r="EU75" i="70" s="1"/>
  <c r="EU76" i="70" s="1"/>
  <c r="EU77" i="70" s="1"/>
  <c r="EU78" i="70" s="1"/>
  <c r="EU79" i="70" s="1"/>
  <c r="EU80" i="70" s="1"/>
  <c r="EU81" i="70" s="1"/>
  <c r="EU82" i="70" s="1"/>
  <c r="EU83" i="70" s="1"/>
  <c r="EU84" i="70" s="1"/>
  <c r="EU85" i="70" s="1"/>
  <c r="EU86" i="70" s="1"/>
  <c r="EU87" i="70" s="1"/>
  <c r="EU88" i="70" s="1"/>
  <c r="EU89" i="70" s="1"/>
  <c r="EU90" i="70" s="1"/>
  <c r="EU91" i="70" s="1"/>
  <c r="EU92" i="70" s="1"/>
  <c r="EU93" i="70" s="1"/>
  <c r="EU94" i="70" s="1"/>
  <c r="EU95" i="70" s="1"/>
  <c r="EU96" i="70" s="1"/>
  <c r="EU97" i="70" s="1"/>
  <c r="EU98" i="70" s="1"/>
  <c r="EU99" i="70" s="1"/>
  <c r="EU100" i="70" s="1"/>
  <c r="EU101" i="70" s="1"/>
  <c r="EU102" i="70" s="1"/>
  <c r="EU103" i="70" s="1"/>
  <c r="EU104" i="70" s="1"/>
  <c r="EU105" i="70" s="1"/>
  <c r="EU106" i="70" s="1"/>
  <c r="EU107" i="70" s="1"/>
  <c r="EU108" i="70" s="1"/>
  <c r="EU109" i="70" s="1"/>
  <c r="EU110" i="70" s="1"/>
  <c r="EU111" i="70" s="1"/>
  <c r="EU112" i="70" s="1"/>
  <c r="EU113" i="70" s="1"/>
  <c r="EU114" i="70" s="1"/>
  <c r="EU115" i="70" s="1"/>
  <c r="EU116" i="70" s="1"/>
  <c r="ET17" i="70"/>
  <c r="ET18" i="70" s="1"/>
  <c r="ET19" i="70" s="1"/>
  <c r="ET20" i="70" s="1"/>
  <c r="ET21" i="70" s="1"/>
  <c r="ET22" i="70" s="1"/>
  <c r="ET23" i="70" s="1"/>
  <c r="ET24" i="70" s="1"/>
  <c r="ET25" i="70" s="1"/>
  <c r="ET26" i="70" s="1"/>
  <c r="ET27" i="70" s="1"/>
  <c r="ET28" i="70" s="1"/>
  <c r="ET29" i="70" s="1"/>
  <c r="ET30" i="70" s="1"/>
  <c r="ET31" i="70" s="1"/>
  <c r="ET32" i="70" s="1"/>
  <c r="ET33" i="70" s="1"/>
  <c r="ET34" i="70" s="1"/>
  <c r="ET35" i="70" s="1"/>
  <c r="ET36" i="70" s="1"/>
  <c r="ET37" i="70" s="1"/>
  <c r="ET38" i="70" s="1"/>
  <c r="ET39" i="70" s="1"/>
  <c r="ET40" i="70" s="1"/>
  <c r="ET41" i="70" s="1"/>
  <c r="ET42" i="70" s="1"/>
  <c r="ET43" i="70" s="1"/>
  <c r="ET44" i="70" s="1"/>
  <c r="ET45" i="70" s="1"/>
  <c r="ET46" i="70" s="1"/>
  <c r="ET47" i="70" s="1"/>
  <c r="ET48" i="70" s="1"/>
  <c r="ET49" i="70" s="1"/>
  <c r="ET50" i="70" s="1"/>
  <c r="ET51" i="70" s="1"/>
  <c r="ET52" i="70" s="1"/>
  <c r="ET53" i="70" s="1"/>
  <c r="ET54" i="70" s="1"/>
  <c r="ET55" i="70" s="1"/>
  <c r="ET56" i="70" s="1"/>
  <c r="ET57" i="70" s="1"/>
  <c r="ET58" i="70" s="1"/>
  <c r="ET59" i="70" s="1"/>
  <c r="ET60" i="70" s="1"/>
  <c r="ET61" i="70" s="1"/>
  <c r="ET62" i="70" s="1"/>
  <c r="ET63" i="70" s="1"/>
  <c r="ET64" i="70" s="1"/>
  <c r="ET65" i="70" s="1"/>
  <c r="ET66" i="70" s="1"/>
  <c r="ET67" i="70" s="1"/>
  <c r="ET68" i="70" s="1"/>
  <c r="ET69" i="70" s="1"/>
  <c r="ET70" i="70" s="1"/>
  <c r="ET71" i="70" s="1"/>
  <c r="ET72" i="70" s="1"/>
  <c r="ET73" i="70" s="1"/>
  <c r="ET74" i="70" s="1"/>
  <c r="ET75" i="70" s="1"/>
  <c r="ET76" i="70" s="1"/>
  <c r="ET77" i="70" s="1"/>
  <c r="ET78" i="70" s="1"/>
  <c r="ET79" i="70" s="1"/>
  <c r="ET80" i="70" s="1"/>
  <c r="ET81" i="70" s="1"/>
  <c r="ET82" i="70" s="1"/>
  <c r="ET83" i="70" s="1"/>
  <c r="ET84" i="70" s="1"/>
  <c r="ET85" i="70" s="1"/>
  <c r="ET86" i="70" s="1"/>
  <c r="ET87" i="70" s="1"/>
  <c r="ET88" i="70" s="1"/>
  <c r="ET89" i="70" s="1"/>
  <c r="ET90" i="70" s="1"/>
  <c r="ET91" i="70" s="1"/>
  <c r="ET92" i="70" s="1"/>
  <c r="ET93" i="70" s="1"/>
  <c r="ET94" i="70" s="1"/>
  <c r="ET95" i="70" s="1"/>
  <c r="ET96" i="70" s="1"/>
  <c r="ET97" i="70" s="1"/>
  <c r="ET98" i="70" s="1"/>
  <c r="ET99" i="70" s="1"/>
  <c r="ET100" i="70" s="1"/>
  <c r="ET101" i="70" s="1"/>
  <c r="ET102" i="70" s="1"/>
  <c r="ET103" i="70" s="1"/>
  <c r="ET104" i="70" s="1"/>
  <c r="ET105" i="70" s="1"/>
  <c r="ET106" i="70" s="1"/>
  <c r="ET107" i="70" s="1"/>
  <c r="ET108" i="70" s="1"/>
  <c r="ET109" i="70" s="1"/>
  <c r="ET110" i="70" s="1"/>
  <c r="ET111" i="70" s="1"/>
  <c r="ET112" i="70" s="1"/>
  <c r="ET113" i="70" s="1"/>
  <c r="ET114" i="70" s="1"/>
  <c r="ET115" i="70" s="1"/>
  <c r="ET116" i="70" s="1"/>
  <c r="ES17" i="70"/>
  <c r="ES18" i="70" s="1"/>
  <c r="ES19" i="70" s="1"/>
  <c r="ES20" i="70" s="1"/>
  <c r="ES21" i="70" s="1"/>
  <c r="ES22" i="70" s="1"/>
  <c r="ES23" i="70" s="1"/>
  <c r="ES24" i="70" s="1"/>
  <c r="ES25" i="70" s="1"/>
  <c r="ES26" i="70" s="1"/>
  <c r="ES27" i="70" s="1"/>
  <c r="ES28" i="70" s="1"/>
  <c r="ES29" i="70" s="1"/>
  <c r="ES30" i="70" s="1"/>
  <c r="ES31" i="70" s="1"/>
  <c r="ES32" i="70" s="1"/>
  <c r="ES33" i="70" s="1"/>
  <c r="ES34" i="70" s="1"/>
  <c r="ES35" i="70" s="1"/>
  <c r="ES36" i="70" s="1"/>
  <c r="ES37" i="70" s="1"/>
  <c r="ES38" i="70" s="1"/>
  <c r="ES39" i="70" s="1"/>
  <c r="ES40" i="70" s="1"/>
  <c r="ES41" i="70" s="1"/>
  <c r="ES42" i="70" s="1"/>
  <c r="ES43" i="70" s="1"/>
  <c r="ES44" i="70" s="1"/>
  <c r="ES45" i="70" s="1"/>
  <c r="ES46" i="70" s="1"/>
  <c r="ES47" i="70" s="1"/>
  <c r="ES48" i="70" s="1"/>
  <c r="ES49" i="70" s="1"/>
  <c r="ES50" i="70" s="1"/>
  <c r="ES51" i="70" s="1"/>
  <c r="ES52" i="70" s="1"/>
  <c r="ES53" i="70" s="1"/>
  <c r="ES54" i="70" s="1"/>
  <c r="ES55" i="70" s="1"/>
  <c r="ES56" i="70" s="1"/>
  <c r="ES57" i="70" s="1"/>
  <c r="ES58" i="70" s="1"/>
  <c r="ES59" i="70" s="1"/>
  <c r="ES60" i="70" s="1"/>
  <c r="ES61" i="70" s="1"/>
  <c r="ES62" i="70" s="1"/>
  <c r="ES63" i="70" s="1"/>
  <c r="ES64" i="70" s="1"/>
  <c r="ES65" i="70" s="1"/>
  <c r="ES66" i="70" s="1"/>
  <c r="ES67" i="70" s="1"/>
  <c r="ES68" i="70" s="1"/>
  <c r="ES69" i="70" s="1"/>
  <c r="ES70" i="70" s="1"/>
  <c r="ES71" i="70" s="1"/>
  <c r="ES72" i="70" s="1"/>
  <c r="ES73" i="70" s="1"/>
  <c r="ES74" i="70" s="1"/>
  <c r="ES75" i="70" s="1"/>
  <c r="ES76" i="70" s="1"/>
  <c r="ES77" i="70" s="1"/>
  <c r="ES78" i="70" s="1"/>
  <c r="ES79" i="70" s="1"/>
  <c r="ES80" i="70" s="1"/>
  <c r="ES81" i="70" s="1"/>
  <c r="ES82" i="70" s="1"/>
  <c r="ES83" i="70" s="1"/>
  <c r="ES84" i="70" s="1"/>
  <c r="ES85" i="70" s="1"/>
  <c r="ES86" i="70" s="1"/>
  <c r="ES87" i="70" s="1"/>
  <c r="ES88" i="70" s="1"/>
  <c r="ES89" i="70" s="1"/>
  <c r="ES90" i="70" s="1"/>
  <c r="ES91" i="70" s="1"/>
  <c r="ES92" i="70" s="1"/>
  <c r="ES93" i="70" s="1"/>
  <c r="ES94" i="70" s="1"/>
  <c r="ES95" i="70" s="1"/>
  <c r="ES96" i="70" s="1"/>
  <c r="ES97" i="70" s="1"/>
  <c r="ES98" i="70" s="1"/>
  <c r="ES99" i="70" s="1"/>
  <c r="ES100" i="70" s="1"/>
  <c r="ES101" i="70" s="1"/>
  <c r="ES102" i="70" s="1"/>
  <c r="ES103" i="70" s="1"/>
  <c r="ES104" i="70" s="1"/>
  <c r="ES105" i="70" s="1"/>
  <c r="ES106" i="70" s="1"/>
  <c r="ES107" i="70" s="1"/>
  <c r="ES108" i="70" s="1"/>
  <c r="ES109" i="70" s="1"/>
  <c r="ES110" i="70" s="1"/>
  <c r="ES111" i="70" s="1"/>
  <c r="ES112" i="70" s="1"/>
  <c r="ES113" i="70" s="1"/>
  <c r="ES114" i="70" s="1"/>
  <c r="ES115" i="70" s="1"/>
  <c r="ES116" i="70" s="1"/>
  <c r="ER17" i="70"/>
  <c r="ER18" i="70" s="1"/>
  <c r="ER19" i="70" s="1"/>
  <c r="ER20" i="70" s="1"/>
  <c r="ER21" i="70" s="1"/>
  <c r="ER22" i="70" s="1"/>
  <c r="ER23" i="70" s="1"/>
  <c r="ER24" i="70" s="1"/>
  <c r="ER25" i="70" s="1"/>
  <c r="ER26" i="70" s="1"/>
  <c r="ER27" i="70" s="1"/>
  <c r="ER28" i="70" s="1"/>
  <c r="ER29" i="70" s="1"/>
  <c r="ER30" i="70" s="1"/>
  <c r="ER31" i="70" s="1"/>
  <c r="ER32" i="70" s="1"/>
  <c r="ER33" i="70" s="1"/>
  <c r="ER34" i="70" s="1"/>
  <c r="ER35" i="70" s="1"/>
  <c r="ER36" i="70" s="1"/>
  <c r="ER37" i="70" s="1"/>
  <c r="ER38" i="70" s="1"/>
  <c r="ER39" i="70" s="1"/>
  <c r="ER40" i="70" s="1"/>
  <c r="ER41" i="70" s="1"/>
  <c r="ER42" i="70" s="1"/>
  <c r="ER43" i="70" s="1"/>
  <c r="ER44" i="70" s="1"/>
  <c r="ER45" i="70" s="1"/>
  <c r="ER46" i="70" s="1"/>
  <c r="ER47" i="70" s="1"/>
  <c r="ER48" i="70" s="1"/>
  <c r="ER49" i="70" s="1"/>
  <c r="ER50" i="70" s="1"/>
  <c r="ER51" i="70" s="1"/>
  <c r="ER52" i="70" s="1"/>
  <c r="ER53" i="70" s="1"/>
  <c r="ER54" i="70" s="1"/>
  <c r="ER55" i="70" s="1"/>
  <c r="ER56" i="70" s="1"/>
  <c r="ER57" i="70" s="1"/>
  <c r="ER58" i="70" s="1"/>
  <c r="ER59" i="70" s="1"/>
  <c r="ER60" i="70" s="1"/>
  <c r="ER61" i="70" s="1"/>
  <c r="ER62" i="70" s="1"/>
  <c r="ER63" i="70" s="1"/>
  <c r="ER64" i="70" s="1"/>
  <c r="ER65" i="70" s="1"/>
  <c r="ER66" i="70" s="1"/>
  <c r="ER67" i="70" s="1"/>
  <c r="ER68" i="70" s="1"/>
  <c r="ER69" i="70" s="1"/>
  <c r="ER70" i="70" s="1"/>
  <c r="ER71" i="70" s="1"/>
  <c r="ER72" i="70" s="1"/>
  <c r="ER73" i="70" s="1"/>
  <c r="ER74" i="70" s="1"/>
  <c r="ER75" i="70" s="1"/>
  <c r="ER76" i="70" s="1"/>
  <c r="ER77" i="70" s="1"/>
  <c r="ER78" i="70" s="1"/>
  <c r="ER79" i="70" s="1"/>
  <c r="ER80" i="70" s="1"/>
  <c r="ER81" i="70" s="1"/>
  <c r="ER82" i="70" s="1"/>
  <c r="ER83" i="70" s="1"/>
  <c r="ER84" i="70" s="1"/>
  <c r="ER85" i="70" s="1"/>
  <c r="ER86" i="70" s="1"/>
  <c r="ER87" i="70" s="1"/>
  <c r="ER88" i="70" s="1"/>
  <c r="ER89" i="70" s="1"/>
  <c r="ER90" i="70" s="1"/>
  <c r="ER91" i="70" s="1"/>
  <c r="ER92" i="70" s="1"/>
  <c r="ER93" i="70" s="1"/>
  <c r="ER94" i="70" s="1"/>
  <c r="ER95" i="70" s="1"/>
  <c r="ER96" i="70" s="1"/>
  <c r="ER97" i="70" s="1"/>
  <c r="ER98" i="70" s="1"/>
  <c r="ER99" i="70" s="1"/>
  <c r="ER100" i="70" s="1"/>
  <c r="ER101" i="70" s="1"/>
  <c r="ER102" i="70" s="1"/>
  <c r="ER103" i="70" s="1"/>
  <c r="ER104" i="70" s="1"/>
  <c r="ER105" i="70" s="1"/>
  <c r="ER106" i="70" s="1"/>
  <c r="ER107" i="70" s="1"/>
  <c r="ER108" i="70" s="1"/>
  <c r="ER109" i="70" s="1"/>
  <c r="ER110" i="70" s="1"/>
  <c r="ER111" i="70" s="1"/>
  <c r="ER112" i="70" s="1"/>
  <c r="ER113" i="70" s="1"/>
  <c r="ER114" i="70" s="1"/>
  <c r="ER115" i="70" s="1"/>
  <c r="ER116" i="70" s="1"/>
  <c r="EQ17" i="70"/>
  <c r="EQ18" i="70" s="1"/>
  <c r="EQ19" i="70" s="1"/>
  <c r="EQ20" i="70" s="1"/>
  <c r="EQ21" i="70" s="1"/>
  <c r="EQ22" i="70" s="1"/>
  <c r="EQ23" i="70" s="1"/>
  <c r="EQ24" i="70" s="1"/>
  <c r="EQ25" i="70" s="1"/>
  <c r="EQ26" i="70" s="1"/>
  <c r="EQ27" i="70" s="1"/>
  <c r="EQ28" i="70" s="1"/>
  <c r="EQ29" i="70" s="1"/>
  <c r="EQ30" i="70" s="1"/>
  <c r="EQ31" i="70" s="1"/>
  <c r="EQ32" i="70" s="1"/>
  <c r="EQ33" i="70" s="1"/>
  <c r="EQ34" i="70" s="1"/>
  <c r="EQ35" i="70" s="1"/>
  <c r="EQ36" i="70" s="1"/>
  <c r="EQ37" i="70" s="1"/>
  <c r="EQ38" i="70" s="1"/>
  <c r="EQ39" i="70" s="1"/>
  <c r="EQ40" i="70" s="1"/>
  <c r="EQ41" i="70" s="1"/>
  <c r="EQ42" i="70" s="1"/>
  <c r="EQ43" i="70" s="1"/>
  <c r="EQ44" i="70" s="1"/>
  <c r="EQ45" i="70" s="1"/>
  <c r="EQ46" i="70" s="1"/>
  <c r="EQ47" i="70" s="1"/>
  <c r="EQ48" i="70" s="1"/>
  <c r="EQ49" i="70" s="1"/>
  <c r="EQ50" i="70" s="1"/>
  <c r="EQ51" i="70" s="1"/>
  <c r="EQ52" i="70" s="1"/>
  <c r="EQ53" i="70" s="1"/>
  <c r="EQ54" i="70" s="1"/>
  <c r="EQ55" i="70" s="1"/>
  <c r="EQ56" i="70" s="1"/>
  <c r="EQ57" i="70" s="1"/>
  <c r="EQ58" i="70" s="1"/>
  <c r="EQ59" i="70" s="1"/>
  <c r="EQ60" i="70" s="1"/>
  <c r="EQ61" i="70" s="1"/>
  <c r="EQ62" i="70" s="1"/>
  <c r="EQ63" i="70" s="1"/>
  <c r="EQ64" i="70" s="1"/>
  <c r="EQ65" i="70" s="1"/>
  <c r="EQ66" i="70" s="1"/>
  <c r="EQ67" i="70" s="1"/>
  <c r="EQ68" i="70" s="1"/>
  <c r="EQ69" i="70" s="1"/>
  <c r="EQ70" i="70" s="1"/>
  <c r="EQ71" i="70" s="1"/>
  <c r="EQ72" i="70" s="1"/>
  <c r="EQ73" i="70" s="1"/>
  <c r="EQ74" i="70" s="1"/>
  <c r="EQ75" i="70" s="1"/>
  <c r="EQ76" i="70" s="1"/>
  <c r="EQ77" i="70" s="1"/>
  <c r="EQ78" i="70" s="1"/>
  <c r="EQ79" i="70" s="1"/>
  <c r="EQ80" i="70" s="1"/>
  <c r="EQ81" i="70" s="1"/>
  <c r="EQ82" i="70" s="1"/>
  <c r="EQ83" i="70" s="1"/>
  <c r="EQ84" i="70" s="1"/>
  <c r="EQ85" i="70" s="1"/>
  <c r="EQ86" i="70" s="1"/>
  <c r="EQ87" i="70" s="1"/>
  <c r="EQ88" i="70" s="1"/>
  <c r="EQ89" i="70" s="1"/>
  <c r="EQ90" i="70" s="1"/>
  <c r="EQ91" i="70" s="1"/>
  <c r="EQ92" i="70" s="1"/>
  <c r="EQ93" i="70" s="1"/>
  <c r="EQ94" i="70" s="1"/>
  <c r="EQ95" i="70" s="1"/>
  <c r="EQ96" i="70" s="1"/>
  <c r="EQ97" i="70" s="1"/>
  <c r="EQ98" i="70" s="1"/>
  <c r="EQ99" i="70" s="1"/>
  <c r="EQ100" i="70" s="1"/>
  <c r="EQ101" i="70" s="1"/>
  <c r="EQ102" i="70" s="1"/>
  <c r="EQ103" i="70" s="1"/>
  <c r="EQ104" i="70" s="1"/>
  <c r="EQ105" i="70" s="1"/>
  <c r="EQ106" i="70" s="1"/>
  <c r="EQ107" i="70" s="1"/>
  <c r="EQ108" i="70" s="1"/>
  <c r="EQ109" i="70" s="1"/>
  <c r="EQ110" i="70" s="1"/>
  <c r="EQ111" i="70" s="1"/>
  <c r="EQ112" i="70" s="1"/>
  <c r="EQ113" i="70" s="1"/>
  <c r="EQ114" i="70" s="1"/>
  <c r="EQ115" i="70" s="1"/>
  <c r="EQ116" i="70" s="1"/>
  <c r="EP17" i="70"/>
  <c r="EP18" i="70" s="1"/>
  <c r="EP19" i="70" s="1"/>
  <c r="EP20" i="70" s="1"/>
  <c r="EP21" i="70" s="1"/>
  <c r="EP22" i="70" s="1"/>
  <c r="EP23" i="70" s="1"/>
  <c r="EP24" i="70" s="1"/>
  <c r="EP25" i="70" s="1"/>
  <c r="EP26" i="70" s="1"/>
  <c r="EP27" i="70" s="1"/>
  <c r="EP28" i="70" s="1"/>
  <c r="EP29" i="70" s="1"/>
  <c r="EP30" i="70" s="1"/>
  <c r="EP31" i="70" s="1"/>
  <c r="EP32" i="70" s="1"/>
  <c r="EP33" i="70" s="1"/>
  <c r="EP34" i="70" s="1"/>
  <c r="EP35" i="70" s="1"/>
  <c r="EP36" i="70" s="1"/>
  <c r="EP37" i="70" s="1"/>
  <c r="EP38" i="70" s="1"/>
  <c r="EP39" i="70" s="1"/>
  <c r="EP40" i="70" s="1"/>
  <c r="EP41" i="70" s="1"/>
  <c r="EP42" i="70" s="1"/>
  <c r="EP43" i="70" s="1"/>
  <c r="EP44" i="70" s="1"/>
  <c r="EP45" i="70" s="1"/>
  <c r="EP46" i="70" s="1"/>
  <c r="EP47" i="70" s="1"/>
  <c r="EP48" i="70" s="1"/>
  <c r="EP49" i="70" s="1"/>
  <c r="EP50" i="70" s="1"/>
  <c r="EP51" i="70" s="1"/>
  <c r="EP52" i="70" s="1"/>
  <c r="EP53" i="70" s="1"/>
  <c r="EP54" i="70" s="1"/>
  <c r="EP55" i="70" s="1"/>
  <c r="EP56" i="70" s="1"/>
  <c r="EP57" i="70" s="1"/>
  <c r="EP58" i="70" s="1"/>
  <c r="EP59" i="70" s="1"/>
  <c r="EP60" i="70" s="1"/>
  <c r="EP61" i="70" s="1"/>
  <c r="EP62" i="70" s="1"/>
  <c r="EP63" i="70" s="1"/>
  <c r="EP64" i="70" s="1"/>
  <c r="EP65" i="70" s="1"/>
  <c r="EP66" i="70" s="1"/>
  <c r="EP67" i="70" s="1"/>
  <c r="EP68" i="70" s="1"/>
  <c r="EP69" i="70" s="1"/>
  <c r="EP70" i="70" s="1"/>
  <c r="EP71" i="70" s="1"/>
  <c r="EP72" i="70" s="1"/>
  <c r="EP73" i="70" s="1"/>
  <c r="EP74" i="70" s="1"/>
  <c r="EP75" i="70" s="1"/>
  <c r="EP76" i="70" s="1"/>
  <c r="EP77" i="70" s="1"/>
  <c r="EP78" i="70" s="1"/>
  <c r="EP79" i="70" s="1"/>
  <c r="EP80" i="70" s="1"/>
  <c r="EP81" i="70" s="1"/>
  <c r="EP82" i="70" s="1"/>
  <c r="EP83" i="70" s="1"/>
  <c r="EP84" i="70" s="1"/>
  <c r="EP85" i="70" s="1"/>
  <c r="EP86" i="70" s="1"/>
  <c r="EP87" i="70" s="1"/>
  <c r="EP88" i="70" s="1"/>
  <c r="EP89" i="70" s="1"/>
  <c r="EP90" i="70" s="1"/>
  <c r="EP91" i="70" s="1"/>
  <c r="EP92" i="70" s="1"/>
  <c r="EP93" i="70" s="1"/>
  <c r="EP94" i="70" s="1"/>
  <c r="EP95" i="70" s="1"/>
  <c r="EP96" i="70" s="1"/>
  <c r="EP97" i="70" s="1"/>
  <c r="EP98" i="70" s="1"/>
  <c r="EP99" i="70" s="1"/>
  <c r="EP100" i="70" s="1"/>
  <c r="EP101" i="70" s="1"/>
  <c r="EP102" i="70" s="1"/>
  <c r="EP103" i="70" s="1"/>
  <c r="EP104" i="70" s="1"/>
  <c r="EP105" i="70" s="1"/>
  <c r="EP106" i="70" s="1"/>
  <c r="EP107" i="70" s="1"/>
  <c r="EP108" i="70" s="1"/>
  <c r="EP109" i="70" s="1"/>
  <c r="EP110" i="70" s="1"/>
  <c r="EP111" i="70" s="1"/>
  <c r="EP112" i="70" s="1"/>
  <c r="EP113" i="70" s="1"/>
  <c r="EP114" i="70" s="1"/>
  <c r="EP115" i="70" s="1"/>
  <c r="EP116" i="70" s="1"/>
  <c r="EO17" i="70"/>
  <c r="EO18" i="70" s="1"/>
  <c r="EO19" i="70" s="1"/>
  <c r="EO20" i="70" s="1"/>
  <c r="EO21" i="70" s="1"/>
  <c r="EO22" i="70" s="1"/>
  <c r="EO23" i="70" s="1"/>
  <c r="EO24" i="70" s="1"/>
  <c r="EO25" i="70" s="1"/>
  <c r="EO26" i="70" s="1"/>
  <c r="EO27" i="70" s="1"/>
  <c r="EO28" i="70" s="1"/>
  <c r="EO29" i="70" s="1"/>
  <c r="EO30" i="70" s="1"/>
  <c r="EO31" i="70" s="1"/>
  <c r="EO32" i="70" s="1"/>
  <c r="EO33" i="70" s="1"/>
  <c r="EO34" i="70" s="1"/>
  <c r="EO35" i="70" s="1"/>
  <c r="EO36" i="70" s="1"/>
  <c r="EO37" i="70" s="1"/>
  <c r="EO38" i="70" s="1"/>
  <c r="EO39" i="70" s="1"/>
  <c r="EO40" i="70" s="1"/>
  <c r="EO41" i="70" s="1"/>
  <c r="EO42" i="70" s="1"/>
  <c r="EO43" i="70" s="1"/>
  <c r="EO44" i="70" s="1"/>
  <c r="EO45" i="70" s="1"/>
  <c r="EO46" i="70" s="1"/>
  <c r="EO47" i="70" s="1"/>
  <c r="EO48" i="70" s="1"/>
  <c r="EO49" i="70" s="1"/>
  <c r="EO50" i="70" s="1"/>
  <c r="EO51" i="70" s="1"/>
  <c r="EO52" i="70" s="1"/>
  <c r="EO53" i="70" s="1"/>
  <c r="EO54" i="70" s="1"/>
  <c r="EO55" i="70" s="1"/>
  <c r="EO56" i="70" s="1"/>
  <c r="EO57" i="70" s="1"/>
  <c r="EO58" i="70" s="1"/>
  <c r="EO59" i="70" s="1"/>
  <c r="EO60" i="70" s="1"/>
  <c r="EO61" i="70" s="1"/>
  <c r="EO62" i="70" s="1"/>
  <c r="EO63" i="70" s="1"/>
  <c r="EO64" i="70" s="1"/>
  <c r="EO65" i="70" s="1"/>
  <c r="EO66" i="70" s="1"/>
  <c r="EO67" i="70" s="1"/>
  <c r="EO68" i="70" s="1"/>
  <c r="EO69" i="70" s="1"/>
  <c r="EO70" i="70" s="1"/>
  <c r="EO71" i="70" s="1"/>
  <c r="EO72" i="70" s="1"/>
  <c r="EO73" i="70" s="1"/>
  <c r="EO74" i="70" s="1"/>
  <c r="EO75" i="70" s="1"/>
  <c r="EO76" i="70" s="1"/>
  <c r="EO77" i="70" s="1"/>
  <c r="EO78" i="70" s="1"/>
  <c r="EO79" i="70" s="1"/>
  <c r="EO80" i="70" s="1"/>
  <c r="EO81" i="70" s="1"/>
  <c r="EO82" i="70" s="1"/>
  <c r="EO83" i="70" s="1"/>
  <c r="EO84" i="70" s="1"/>
  <c r="EO85" i="70" s="1"/>
  <c r="EO86" i="70" s="1"/>
  <c r="EO87" i="70" s="1"/>
  <c r="EO88" i="70" s="1"/>
  <c r="EO89" i="70" s="1"/>
  <c r="EO90" i="70" s="1"/>
  <c r="EO91" i="70" s="1"/>
  <c r="EO92" i="70" s="1"/>
  <c r="EO93" i="70" s="1"/>
  <c r="EO94" i="70" s="1"/>
  <c r="EO95" i="70" s="1"/>
  <c r="EO96" i="70" s="1"/>
  <c r="EO97" i="70" s="1"/>
  <c r="EO98" i="70" s="1"/>
  <c r="EO99" i="70" s="1"/>
  <c r="EO100" i="70" s="1"/>
  <c r="EO101" i="70" s="1"/>
  <c r="EO102" i="70" s="1"/>
  <c r="EO103" i="70" s="1"/>
  <c r="EO104" i="70" s="1"/>
  <c r="EO105" i="70" s="1"/>
  <c r="EO106" i="70" s="1"/>
  <c r="EO107" i="70" s="1"/>
  <c r="EO108" i="70" s="1"/>
  <c r="EO109" i="70" s="1"/>
  <c r="EO110" i="70" s="1"/>
  <c r="EO111" i="70" s="1"/>
  <c r="EO112" i="70" s="1"/>
  <c r="EO113" i="70" s="1"/>
  <c r="EO114" i="70" s="1"/>
  <c r="EO115" i="70" s="1"/>
  <c r="EO116" i="70" s="1"/>
  <c r="EN17" i="70"/>
  <c r="EN18" i="70" s="1"/>
  <c r="EN19" i="70" s="1"/>
  <c r="EN20" i="70" s="1"/>
  <c r="EN21" i="70" s="1"/>
  <c r="EN22" i="70" s="1"/>
  <c r="EN23" i="70" s="1"/>
  <c r="EN24" i="70" s="1"/>
  <c r="EN25" i="70" s="1"/>
  <c r="EN26" i="70" s="1"/>
  <c r="EN27" i="70" s="1"/>
  <c r="EN28" i="70" s="1"/>
  <c r="EN29" i="70" s="1"/>
  <c r="EN30" i="70" s="1"/>
  <c r="EN31" i="70" s="1"/>
  <c r="EN32" i="70" s="1"/>
  <c r="EN33" i="70" s="1"/>
  <c r="EN34" i="70" s="1"/>
  <c r="EN35" i="70" s="1"/>
  <c r="EN36" i="70" s="1"/>
  <c r="EN37" i="70" s="1"/>
  <c r="EN38" i="70" s="1"/>
  <c r="EN39" i="70" s="1"/>
  <c r="EN40" i="70" s="1"/>
  <c r="EN41" i="70" s="1"/>
  <c r="EN42" i="70" s="1"/>
  <c r="EN43" i="70" s="1"/>
  <c r="EN44" i="70" s="1"/>
  <c r="EN45" i="70" s="1"/>
  <c r="EN46" i="70" s="1"/>
  <c r="EN47" i="70" s="1"/>
  <c r="EN48" i="70" s="1"/>
  <c r="EN49" i="70" s="1"/>
  <c r="EN50" i="70" s="1"/>
  <c r="EN51" i="70" s="1"/>
  <c r="EN52" i="70" s="1"/>
  <c r="EN53" i="70" s="1"/>
  <c r="EN54" i="70" s="1"/>
  <c r="EN55" i="70" s="1"/>
  <c r="EN56" i="70" s="1"/>
  <c r="EN57" i="70" s="1"/>
  <c r="EN58" i="70" s="1"/>
  <c r="EN59" i="70" s="1"/>
  <c r="EN60" i="70" s="1"/>
  <c r="EN61" i="70" s="1"/>
  <c r="EN62" i="70" s="1"/>
  <c r="EN63" i="70" s="1"/>
  <c r="EN64" i="70" s="1"/>
  <c r="EN65" i="70" s="1"/>
  <c r="EN66" i="70" s="1"/>
  <c r="EN67" i="70" s="1"/>
  <c r="EN68" i="70" s="1"/>
  <c r="EN69" i="70" s="1"/>
  <c r="EN70" i="70" s="1"/>
  <c r="EN71" i="70" s="1"/>
  <c r="EN72" i="70" s="1"/>
  <c r="EN73" i="70" s="1"/>
  <c r="EN74" i="70" s="1"/>
  <c r="EN75" i="70" s="1"/>
  <c r="EN76" i="70" s="1"/>
  <c r="EN77" i="70" s="1"/>
  <c r="EN78" i="70" s="1"/>
  <c r="EN79" i="70" s="1"/>
  <c r="EN80" i="70" s="1"/>
  <c r="EN81" i="70" s="1"/>
  <c r="EN82" i="70" s="1"/>
  <c r="EN83" i="70" s="1"/>
  <c r="EN84" i="70" s="1"/>
  <c r="EN85" i="70" s="1"/>
  <c r="EN86" i="70" s="1"/>
  <c r="EN87" i="70" s="1"/>
  <c r="EN88" i="70" s="1"/>
  <c r="EN89" i="70" s="1"/>
  <c r="EN90" i="70" s="1"/>
  <c r="EN91" i="70" s="1"/>
  <c r="EN92" i="70" s="1"/>
  <c r="EN93" i="70" s="1"/>
  <c r="EN94" i="70" s="1"/>
  <c r="EN95" i="70" s="1"/>
  <c r="EN96" i="70" s="1"/>
  <c r="EN97" i="70" s="1"/>
  <c r="EN98" i="70" s="1"/>
  <c r="EN99" i="70" s="1"/>
  <c r="EN100" i="70" s="1"/>
  <c r="EN101" i="70" s="1"/>
  <c r="EN102" i="70" s="1"/>
  <c r="EN103" i="70" s="1"/>
  <c r="EN104" i="70" s="1"/>
  <c r="EN105" i="70" s="1"/>
  <c r="EN106" i="70" s="1"/>
  <c r="EN107" i="70" s="1"/>
  <c r="EN108" i="70" s="1"/>
  <c r="EN109" i="70" s="1"/>
  <c r="EN110" i="70" s="1"/>
  <c r="EN111" i="70" s="1"/>
  <c r="EN112" i="70" s="1"/>
  <c r="EN113" i="70" s="1"/>
  <c r="EN114" i="70" s="1"/>
  <c r="EN115" i="70" s="1"/>
  <c r="EN116" i="70" s="1"/>
  <c r="EM17" i="70"/>
  <c r="EM18" i="70" s="1"/>
  <c r="EM19" i="70" s="1"/>
  <c r="EM20" i="70" s="1"/>
  <c r="EM21" i="70" s="1"/>
  <c r="EM22" i="70" s="1"/>
  <c r="EM23" i="70" s="1"/>
  <c r="EM24" i="70" s="1"/>
  <c r="EM25" i="70" s="1"/>
  <c r="EM26" i="70" s="1"/>
  <c r="EM27" i="70" s="1"/>
  <c r="EM28" i="70" s="1"/>
  <c r="EM29" i="70" s="1"/>
  <c r="EM30" i="70" s="1"/>
  <c r="EM31" i="70" s="1"/>
  <c r="EM32" i="70" s="1"/>
  <c r="EM33" i="70" s="1"/>
  <c r="EM34" i="70" s="1"/>
  <c r="EM35" i="70" s="1"/>
  <c r="EM36" i="70" s="1"/>
  <c r="EM37" i="70" s="1"/>
  <c r="EM38" i="70" s="1"/>
  <c r="EM39" i="70" s="1"/>
  <c r="EM40" i="70" s="1"/>
  <c r="EM41" i="70" s="1"/>
  <c r="EM42" i="70" s="1"/>
  <c r="EM43" i="70" s="1"/>
  <c r="EM44" i="70" s="1"/>
  <c r="EM45" i="70" s="1"/>
  <c r="EM46" i="70" s="1"/>
  <c r="EM47" i="70" s="1"/>
  <c r="EM48" i="70" s="1"/>
  <c r="EM49" i="70" s="1"/>
  <c r="EM50" i="70" s="1"/>
  <c r="EM51" i="70" s="1"/>
  <c r="EM52" i="70" s="1"/>
  <c r="EM53" i="70" s="1"/>
  <c r="EM54" i="70" s="1"/>
  <c r="EM55" i="70" s="1"/>
  <c r="EM56" i="70" s="1"/>
  <c r="EM57" i="70" s="1"/>
  <c r="EM58" i="70" s="1"/>
  <c r="EM59" i="70" s="1"/>
  <c r="EM60" i="70" s="1"/>
  <c r="EM61" i="70" s="1"/>
  <c r="EM62" i="70" s="1"/>
  <c r="EM63" i="70" s="1"/>
  <c r="EM64" i="70" s="1"/>
  <c r="EM65" i="70" s="1"/>
  <c r="EM66" i="70" s="1"/>
  <c r="EM67" i="70" s="1"/>
  <c r="EM68" i="70" s="1"/>
  <c r="EM69" i="70" s="1"/>
  <c r="EM70" i="70" s="1"/>
  <c r="EM71" i="70" s="1"/>
  <c r="EM72" i="70" s="1"/>
  <c r="EM73" i="70" s="1"/>
  <c r="EM74" i="70" s="1"/>
  <c r="EM75" i="70" s="1"/>
  <c r="EM76" i="70" s="1"/>
  <c r="EM77" i="70" s="1"/>
  <c r="EM78" i="70" s="1"/>
  <c r="EM79" i="70" s="1"/>
  <c r="EM80" i="70" s="1"/>
  <c r="EM81" i="70" s="1"/>
  <c r="EM82" i="70" s="1"/>
  <c r="EM83" i="70" s="1"/>
  <c r="EM84" i="70" s="1"/>
  <c r="EM85" i="70" s="1"/>
  <c r="EM86" i="70" s="1"/>
  <c r="EM87" i="70" s="1"/>
  <c r="EM88" i="70" s="1"/>
  <c r="EM89" i="70" s="1"/>
  <c r="EM90" i="70" s="1"/>
  <c r="EM91" i="70" s="1"/>
  <c r="EM92" i="70" s="1"/>
  <c r="EM93" i="70" s="1"/>
  <c r="EM94" i="70" s="1"/>
  <c r="EM95" i="70" s="1"/>
  <c r="EM96" i="70" s="1"/>
  <c r="EM97" i="70" s="1"/>
  <c r="EM98" i="70" s="1"/>
  <c r="EM99" i="70" s="1"/>
  <c r="EM100" i="70" s="1"/>
  <c r="EM101" i="70" s="1"/>
  <c r="EM102" i="70" s="1"/>
  <c r="EM103" i="70" s="1"/>
  <c r="EM104" i="70" s="1"/>
  <c r="EM105" i="70" s="1"/>
  <c r="EM106" i="70" s="1"/>
  <c r="EM107" i="70" s="1"/>
  <c r="EM108" i="70" s="1"/>
  <c r="EM109" i="70" s="1"/>
  <c r="EM110" i="70" s="1"/>
  <c r="EM111" i="70" s="1"/>
  <c r="EM112" i="70" s="1"/>
  <c r="EM113" i="70" s="1"/>
  <c r="EM114" i="70" s="1"/>
  <c r="EM115" i="70" s="1"/>
  <c r="EM116" i="70" s="1"/>
  <c r="EL17" i="70"/>
  <c r="EL18" i="70" s="1"/>
  <c r="EL19" i="70" s="1"/>
  <c r="EL20" i="70" s="1"/>
  <c r="EL21" i="70" s="1"/>
  <c r="EL22" i="70" s="1"/>
  <c r="EL23" i="70" s="1"/>
  <c r="EL24" i="70" s="1"/>
  <c r="EL25" i="70" s="1"/>
  <c r="EL26" i="70" s="1"/>
  <c r="EL27" i="70" s="1"/>
  <c r="EL28" i="70" s="1"/>
  <c r="EL29" i="70" s="1"/>
  <c r="EL30" i="70" s="1"/>
  <c r="EL31" i="70" s="1"/>
  <c r="EL32" i="70" s="1"/>
  <c r="EL33" i="70" s="1"/>
  <c r="EL34" i="70" s="1"/>
  <c r="EL35" i="70" s="1"/>
  <c r="EL36" i="70" s="1"/>
  <c r="EL37" i="70" s="1"/>
  <c r="EL38" i="70" s="1"/>
  <c r="EL39" i="70" s="1"/>
  <c r="EL40" i="70" s="1"/>
  <c r="EL41" i="70" s="1"/>
  <c r="EL42" i="70" s="1"/>
  <c r="EL43" i="70" s="1"/>
  <c r="EL44" i="70" s="1"/>
  <c r="EL45" i="70" s="1"/>
  <c r="EL46" i="70" s="1"/>
  <c r="EL47" i="70" s="1"/>
  <c r="EL48" i="70" s="1"/>
  <c r="EL49" i="70" s="1"/>
  <c r="EL50" i="70" s="1"/>
  <c r="EL51" i="70" s="1"/>
  <c r="EL52" i="70" s="1"/>
  <c r="EL53" i="70" s="1"/>
  <c r="EL54" i="70" s="1"/>
  <c r="EL55" i="70" s="1"/>
  <c r="EL56" i="70" s="1"/>
  <c r="EL57" i="70" s="1"/>
  <c r="EL58" i="70" s="1"/>
  <c r="EL59" i="70" s="1"/>
  <c r="EL60" i="70" s="1"/>
  <c r="EL61" i="70" s="1"/>
  <c r="EL62" i="70" s="1"/>
  <c r="EL63" i="70" s="1"/>
  <c r="EL64" i="70" s="1"/>
  <c r="EL65" i="70" s="1"/>
  <c r="EL66" i="70" s="1"/>
  <c r="EL67" i="70" s="1"/>
  <c r="EL68" i="70" s="1"/>
  <c r="EL69" i="70" s="1"/>
  <c r="EL70" i="70" s="1"/>
  <c r="EL71" i="70" s="1"/>
  <c r="EL72" i="70" s="1"/>
  <c r="EL73" i="70" s="1"/>
  <c r="EL74" i="70" s="1"/>
  <c r="EL75" i="70" s="1"/>
  <c r="EL76" i="70" s="1"/>
  <c r="EL77" i="70" s="1"/>
  <c r="EL78" i="70" s="1"/>
  <c r="EL79" i="70" s="1"/>
  <c r="EL80" i="70" s="1"/>
  <c r="EL81" i="70" s="1"/>
  <c r="EL82" i="70" s="1"/>
  <c r="EL83" i="70" s="1"/>
  <c r="EL84" i="70" s="1"/>
  <c r="EL85" i="70" s="1"/>
  <c r="EL86" i="70" s="1"/>
  <c r="EL87" i="70" s="1"/>
  <c r="EL88" i="70" s="1"/>
  <c r="EL89" i="70" s="1"/>
  <c r="EL90" i="70" s="1"/>
  <c r="EL91" i="70" s="1"/>
  <c r="EL92" i="70" s="1"/>
  <c r="EL93" i="70" s="1"/>
  <c r="EL94" i="70" s="1"/>
  <c r="EL95" i="70" s="1"/>
  <c r="EL96" i="70" s="1"/>
  <c r="EL97" i="70" s="1"/>
  <c r="EL98" i="70" s="1"/>
  <c r="EL99" i="70" s="1"/>
  <c r="EL100" i="70" s="1"/>
  <c r="EL101" i="70" s="1"/>
  <c r="EL102" i="70" s="1"/>
  <c r="EL103" i="70" s="1"/>
  <c r="EL104" i="70" s="1"/>
  <c r="EL105" i="70" s="1"/>
  <c r="EL106" i="70" s="1"/>
  <c r="EL107" i="70" s="1"/>
  <c r="EL108" i="70" s="1"/>
  <c r="EL109" i="70" s="1"/>
  <c r="EL110" i="70" s="1"/>
  <c r="EL111" i="70" s="1"/>
  <c r="EL112" i="70" s="1"/>
  <c r="EL113" i="70" s="1"/>
  <c r="EL114" i="70" s="1"/>
  <c r="EL115" i="70" s="1"/>
  <c r="EL116" i="70" s="1"/>
  <c r="EK17" i="70"/>
  <c r="EK18" i="70" s="1"/>
  <c r="EK19" i="70" s="1"/>
  <c r="EK20" i="70" s="1"/>
  <c r="EK21" i="70" s="1"/>
  <c r="EK22" i="70" s="1"/>
  <c r="EK23" i="70" s="1"/>
  <c r="EK24" i="70" s="1"/>
  <c r="EK25" i="70" s="1"/>
  <c r="EK26" i="70" s="1"/>
  <c r="EK27" i="70" s="1"/>
  <c r="EK28" i="70" s="1"/>
  <c r="EK29" i="70" s="1"/>
  <c r="EK30" i="70" s="1"/>
  <c r="EK31" i="70" s="1"/>
  <c r="EK32" i="70" s="1"/>
  <c r="EK33" i="70" s="1"/>
  <c r="EK34" i="70" s="1"/>
  <c r="EK35" i="70" s="1"/>
  <c r="EK36" i="70" s="1"/>
  <c r="EK37" i="70" s="1"/>
  <c r="EK38" i="70" s="1"/>
  <c r="EK39" i="70" s="1"/>
  <c r="EK40" i="70" s="1"/>
  <c r="EK41" i="70" s="1"/>
  <c r="EK42" i="70" s="1"/>
  <c r="EK43" i="70" s="1"/>
  <c r="EK44" i="70" s="1"/>
  <c r="EK45" i="70" s="1"/>
  <c r="EK46" i="70" s="1"/>
  <c r="EK47" i="70" s="1"/>
  <c r="EK48" i="70" s="1"/>
  <c r="EK49" i="70" s="1"/>
  <c r="EK50" i="70" s="1"/>
  <c r="EK51" i="70" s="1"/>
  <c r="EK52" i="70" s="1"/>
  <c r="EK53" i="70" s="1"/>
  <c r="EK54" i="70" s="1"/>
  <c r="EK55" i="70" s="1"/>
  <c r="EK56" i="70" s="1"/>
  <c r="EK57" i="70" s="1"/>
  <c r="EK58" i="70" s="1"/>
  <c r="EK59" i="70" s="1"/>
  <c r="EK60" i="70" s="1"/>
  <c r="EK61" i="70" s="1"/>
  <c r="EK62" i="70" s="1"/>
  <c r="EK63" i="70" s="1"/>
  <c r="EK64" i="70" s="1"/>
  <c r="EK65" i="70" s="1"/>
  <c r="EK66" i="70" s="1"/>
  <c r="EK67" i="70" s="1"/>
  <c r="EK68" i="70" s="1"/>
  <c r="EK69" i="70" s="1"/>
  <c r="EK70" i="70" s="1"/>
  <c r="EK71" i="70" s="1"/>
  <c r="EK72" i="70" s="1"/>
  <c r="EK73" i="70" s="1"/>
  <c r="EK74" i="70" s="1"/>
  <c r="EK75" i="70" s="1"/>
  <c r="EK76" i="70" s="1"/>
  <c r="EK77" i="70" s="1"/>
  <c r="EK78" i="70" s="1"/>
  <c r="EK79" i="70" s="1"/>
  <c r="EK80" i="70" s="1"/>
  <c r="EK81" i="70" s="1"/>
  <c r="EK82" i="70" s="1"/>
  <c r="EK83" i="70" s="1"/>
  <c r="EK84" i="70" s="1"/>
  <c r="EK85" i="70" s="1"/>
  <c r="EK86" i="70" s="1"/>
  <c r="EK87" i="70" s="1"/>
  <c r="EK88" i="70" s="1"/>
  <c r="EK89" i="70" s="1"/>
  <c r="EK90" i="70" s="1"/>
  <c r="EK91" i="70" s="1"/>
  <c r="EK92" i="70" s="1"/>
  <c r="EK93" i="70" s="1"/>
  <c r="EK94" i="70" s="1"/>
  <c r="EK95" i="70" s="1"/>
  <c r="EK96" i="70" s="1"/>
  <c r="EK97" i="70" s="1"/>
  <c r="EK98" i="70" s="1"/>
  <c r="EK99" i="70" s="1"/>
  <c r="EK100" i="70" s="1"/>
  <c r="EK101" i="70" s="1"/>
  <c r="EK102" i="70" s="1"/>
  <c r="EK103" i="70" s="1"/>
  <c r="EK104" i="70" s="1"/>
  <c r="EK105" i="70" s="1"/>
  <c r="EK106" i="70" s="1"/>
  <c r="EK107" i="70" s="1"/>
  <c r="EK108" i="70" s="1"/>
  <c r="EK109" i="70" s="1"/>
  <c r="EK110" i="70" s="1"/>
  <c r="EK111" i="70" s="1"/>
  <c r="EK112" i="70" s="1"/>
  <c r="EK113" i="70" s="1"/>
  <c r="EK114" i="70" s="1"/>
  <c r="EK115" i="70" s="1"/>
  <c r="EK116" i="70" s="1"/>
  <c r="EJ17" i="70"/>
  <c r="EJ18" i="70" s="1"/>
  <c r="EJ19" i="70" s="1"/>
  <c r="EJ20" i="70" s="1"/>
  <c r="EJ21" i="70" s="1"/>
  <c r="EJ22" i="70" s="1"/>
  <c r="EJ23" i="70" s="1"/>
  <c r="EJ24" i="70" s="1"/>
  <c r="EJ25" i="70" s="1"/>
  <c r="EJ26" i="70" s="1"/>
  <c r="EJ27" i="70" s="1"/>
  <c r="EJ28" i="70" s="1"/>
  <c r="EJ29" i="70" s="1"/>
  <c r="EJ30" i="70" s="1"/>
  <c r="EJ31" i="70" s="1"/>
  <c r="EJ32" i="70" s="1"/>
  <c r="EJ33" i="70" s="1"/>
  <c r="EJ34" i="70" s="1"/>
  <c r="EJ35" i="70" s="1"/>
  <c r="EJ36" i="70" s="1"/>
  <c r="EJ37" i="70" s="1"/>
  <c r="EJ38" i="70" s="1"/>
  <c r="EJ39" i="70" s="1"/>
  <c r="EJ40" i="70" s="1"/>
  <c r="EJ41" i="70" s="1"/>
  <c r="EJ42" i="70" s="1"/>
  <c r="EJ43" i="70" s="1"/>
  <c r="EJ44" i="70" s="1"/>
  <c r="EJ45" i="70" s="1"/>
  <c r="EJ46" i="70" s="1"/>
  <c r="EJ47" i="70" s="1"/>
  <c r="EJ48" i="70" s="1"/>
  <c r="EJ49" i="70" s="1"/>
  <c r="EJ50" i="70" s="1"/>
  <c r="EJ51" i="70" s="1"/>
  <c r="EJ52" i="70" s="1"/>
  <c r="EJ53" i="70" s="1"/>
  <c r="EJ54" i="70" s="1"/>
  <c r="EJ55" i="70" s="1"/>
  <c r="EJ56" i="70" s="1"/>
  <c r="EJ57" i="70" s="1"/>
  <c r="EJ58" i="70" s="1"/>
  <c r="EJ59" i="70" s="1"/>
  <c r="EJ60" i="70" s="1"/>
  <c r="EJ61" i="70" s="1"/>
  <c r="EJ62" i="70" s="1"/>
  <c r="EJ63" i="70" s="1"/>
  <c r="EJ64" i="70" s="1"/>
  <c r="EJ65" i="70" s="1"/>
  <c r="EJ66" i="70" s="1"/>
  <c r="EJ67" i="70" s="1"/>
  <c r="EJ68" i="70" s="1"/>
  <c r="EJ69" i="70" s="1"/>
  <c r="EJ70" i="70" s="1"/>
  <c r="EJ71" i="70" s="1"/>
  <c r="EJ72" i="70" s="1"/>
  <c r="EJ73" i="70" s="1"/>
  <c r="EJ74" i="70" s="1"/>
  <c r="EJ75" i="70" s="1"/>
  <c r="EJ76" i="70" s="1"/>
  <c r="EJ77" i="70" s="1"/>
  <c r="EJ78" i="70" s="1"/>
  <c r="EJ79" i="70" s="1"/>
  <c r="EJ80" i="70" s="1"/>
  <c r="EJ81" i="70" s="1"/>
  <c r="EJ82" i="70" s="1"/>
  <c r="EJ83" i="70" s="1"/>
  <c r="EJ84" i="70" s="1"/>
  <c r="EJ85" i="70" s="1"/>
  <c r="EJ86" i="70" s="1"/>
  <c r="EJ87" i="70" s="1"/>
  <c r="EJ88" i="70" s="1"/>
  <c r="EJ89" i="70" s="1"/>
  <c r="EJ90" i="70" s="1"/>
  <c r="EJ91" i="70" s="1"/>
  <c r="EJ92" i="70" s="1"/>
  <c r="EJ93" i="70" s="1"/>
  <c r="EJ94" i="70" s="1"/>
  <c r="EJ95" i="70" s="1"/>
  <c r="EJ96" i="70" s="1"/>
  <c r="EJ97" i="70" s="1"/>
  <c r="EJ98" i="70" s="1"/>
  <c r="EJ99" i="70" s="1"/>
  <c r="EJ100" i="70" s="1"/>
  <c r="EJ101" i="70" s="1"/>
  <c r="EJ102" i="70" s="1"/>
  <c r="EJ103" i="70" s="1"/>
  <c r="EJ104" i="70" s="1"/>
  <c r="EJ105" i="70" s="1"/>
  <c r="EJ106" i="70" s="1"/>
  <c r="EJ107" i="70" s="1"/>
  <c r="EJ108" i="70" s="1"/>
  <c r="EJ109" i="70" s="1"/>
  <c r="EJ110" i="70" s="1"/>
  <c r="EJ111" i="70" s="1"/>
  <c r="EJ112" i="70" s="1"/>
  <c r="EJ113" i="70" s="1"/>
  <c r="EJ114" i="70" s="1"/>
  <c r="EJ115" i="70" s="1"/>
  <c r="EJ116" i="70" s="1"/>
  <c r="EI17" i="70"/>
  <c r="EI18" i="70" s="1"/>
  <c r="EI19" i="70" s="1"/>
  <c r="EI20" i="70" s="1"/>
  <c r="EI21" i="70" s="1"/>
  <c r="EI22" i="70" s="1"/>
  <c r="EI23" i="70" s="1"/>
  <c r="EI24" i="70" s="1"/>
  <c r="EI25" i="70" s="1"/>
  <c r="EI26" i="70" s="1"/>
  <c r="EI27" i="70" s="1"/>
  <c r="EI28" i="70" s="1"/>
  <c r="EI29" i="70" s="1"/>
  <c r="EI30" i="70" s="1"/>
  <c r="EI31" i="70" s="1"/>
  <c r="EI32" i="70" s="1"/>
  <c r="EI33" i="70" s="1"/>
  <c r="EI34" i="70" s="1"/>
  <c r="EI35" i="70" s="1"/>
  <c r="EI36" i="70" s="1"/>
  <c r="EI37" i="70" s="1"/>
  <c r="EI38" i="70" s="1"/>
  <c r="EI39" i="70" s="1"/>
  <c r="EI40" i="70" s="1"/>
  <c r="EI41" i="70" s="1"/>
  <c r="EI42" i="70" s="1"/>
  <c r="EI43" i="70" s="1"/>
  <c r="EI44" i="70" s="1"/>
  <c r="EI45" i="70" s="1"/>
  <c r="EI46" i="70" s="1"/>
  <c r="EI47" i="70" s="1"/>
  <c r="EI48" i="70" s="1"/>
  <c r="EI49" i="70" s="1"/>
  <c r="EI50" i="70" s="1"/>
  <c r="EI51" i="70" s="1"/>
  <c r="EI52" i="70" s="1"/>
  <c r="EI53" i="70" s="1"/>
  <c r="EI54" i="70" s="1"/>
  <c r="EI55" i="70" s="1"/>
  <c r="EI56" i="70" s="1"/>
  <c r="EI57" i="70" s="1"/>
  <c r="EI58" i="70" s="1"/>
  <c r="EI59" i="70" s="1"/>
  <c r="EI60" i="70" s="1"/>
  <c r="EI61" i="70" s="1"/>
  <c r="EI62" i="70" s="1"/>
  <c r="EI63" i="70" s="1"/>
  <c r="EI64" i="70" s="1"/>
  <c r="EI65" i="70" s="1"/>
  <c r="EI66" i="70" s="1"/>
  <c r="EI67" i="70" s="1"/>
  <c r="EI68" i="70" s="1"/>
  <c r="EI69" i="70" s="1"/>
  <c r="EI70" i="70" s="1"/>
  <c r="EI71" i="70" s="1"/>
  <c r="EI72" i="70" s="1"/>
  <c r="EI73" i="70" s="1"/>
  <c r="EI74" i="70" s="1"/>
  <c r="EI75" i="70" s="1"/>
  <c r="EI76" i="70" s="1"/>
  <c r="EI77" i="70" s="1"/>
  <c r="EI78" i="70" s="1"/>
  <c r="EI79" i="70" s="1"/>
  <c r="EI80" i="70" s="1"/>
  <c r="EI81" i="70" s="1"/>
  <c r="EI82" i="70" s="1"/>
  <c r="EI83" i="70" s="1"/>
  <c r="EI84" i="70" s="1"/>
  <c r="EI85" i="70" s="1"/>
  <c r="EI86" i="70" s="1"/>
  <c r="EI87" i="70" s="1"/>
  <c r="EI88" i="70" s="1"/>
  <c r="EI89" i="70" s="1"/>
  <c r="EI90" i="70" s="1"/>
  <c r="EI91" i="70" s="1"/>
  <c r="EI92" i="70" s="1"/>
  <c r="EI93" i="70" s="1"/>
  <c r="EI94" i="70" s="1"/>
  <c r="EI95" i="70" s="1"/>
  <c r="EI96" i="70" s="1"/>
  <c r="EI97" i="70" s="1"/>
  <c r="EI98" i="70" s="1"/>
  <c r="EI99" i="70" s="1"/>
  <c r="EI100" i="70" s="1"/>
  <c r="EI101" i="70" s="1"/>
  <c r="EI102" i="70" s="1"/>
  <c r="EI103" i="70" s="1"/>
  <c r="EI104" i="70" s="1"/>
  <c r="EI105" i="70" s="1"/>
  <c r="EI106" i="70" s="1"/>
  <c r="EI107" i="70" s="1"/>
  <c r="EI108" i="70" s="1"/>
  <c r="EI109" i="70" s="1"/>
  <c r="EI110" i="70" s="1"/>
  <c r="EI111" i="70" s="1"/>
  <c r="EI112" i="70" s="1"/>
  <c r="EI113" i="70" s="1"/>
  <c r="EI114" i="70" s="1"/>
  <c r="EI115" i="70" s="1"/>
  <c r="EI116" i="70" s="1"/>
  <c r="EH17" i="70"/>
  <c r="EH18" i="70" s="1"/>
  <c r="EH19" i="70" s="1"/>
  <c r="EH20" i="70" s="1"/>
  <c r="EH21" i="70" s="1"/>
  <c r="EH22" i="70" s="1"/>
  <c r="EH23" i="70" s="1"/>
  <c r="EH24" i="70" s="1"/>
  <c r="EH25" i="70" s="1"/>
  <c r="EH26" i="70" s="1"/>
  <c r="EH27" i="70" s="1"/>
  <c r="EH28" i="70" s="1"/>
  <c r="EH29" i="70" s="1"/>
  <c r="EH30" i="70" s="1"/>
  <c r="EH31" i="70" s="1"/>
  <c r="EH32" i="70" s="1"/>
  <c r="EH33" i="70" s="1"/>
  <c r="EH34" i="70" s="1"/>
  <c r="EH35" i="70" s="1"/>
  <c r="EH36" i="70" s="1"/>
  <c r="EH37" i="70" s="1"/>
  <c r="EH38" i="70" s="1"/>
  <c r="EH39" i="70" s="1"/>
  <c r="EH40" i="70" s="1"/>
  <c r="EH41" i="70" s="1"/>
  <c r="EH42" i="70" s="1"/>
  <c r="EH43" i="70" s="1"/>
  <c r="EH44" i="70" s="1"/>
  <c r="EH45" i="70" s="1"/>
  <c r="EH46" i="70" s="1"/>
  <c r="EH47" i="70" s="1"/>
  <c r="EH48" i="70" s="1"/>
  <c r="EH49" i="70" s="1"/>
  <c r="EH50" i="70" s="1"/>
  <c r="EH51" i="70" s="1"/>
  <c r="EH52" i="70" s="1"/>
  <c r="EH53" i="70" s="1"/>
  <c r="EH54" i="70" s="1"/>
  <c r="EH55" i="70" s="1"/>
  <c r="EH56" i="70" s="1"/>
  <c r="EH57" i="70" s="1"/>
  <c r="EH58" i="70" s="1"/>
  <c r="EH59" i="70" s="1"/>
  <c r="EH60" i="70" s="1"/>
  <c r="EH61" i="70" s="1"/>
  <c r="EH62" i="70" s="1"/>
  <c r="EH63" i="70" s="1"/>
  <c r="EH64" i="70" s="1"/>
  <c r="EH65" i="70" s="1"/>
  <c r="EH66" i="70" s="1"/>
  <c r="EH67" i="70" s="1"/>
  <c r="EH68" i="70" s="1"/>
  <c r="EH69" i="70" s="1"/>
  <c r="EH70" i="70" s="1"/>
  <c r="EH71" i="70" s="1"/>
  <c r="EH72" i="70" s="1"/>
  <c r="EH73" i="70" s="1"/>
  <c r="EH74" i="70" s="1"/>
  <c r="EH75" i="70" s="1"/>
  <c r="EH76" i="70" s="1"/>
  <c r="EH77" i="70" s="1"/>
  <c r="EH78" i="70" s="1"/>
  <c r="EH79" i="70" s="1"/>
  <c r="EH80" i="70" s="1"/>
  <c r="EH81" i="70" s="1"/>
  <c r="EH82" i="70" s="1"/>
  <c r="EH83" i="70" s="1"/>
  <c r="EH84" i="70" s="1"/>
  <c r="EH85" i="70" s="1"/>
  <c r="EH86" i="70" s="1"/>
  <c r="EH87" i="70" s="1"/>
  <c r="EH88" i="70" s="1"/>
  <c r="EH89" i="70" s="1"/>
  <c r="EH90" i="70" s="1"/>
  <c r="EH91" i="70" s="1"/>
  <c r="EH92" i="70" s="1"/>
  <c r="EH93" i="70" s="1"/>
  <c r="EH94" i="70" s="1"/>
  <c r="EH95" i="70" s="1"/>
  <c r="EH96" i="70" s="1"/>
  <c r="EH97" i="70" s="1"/>
  <c r="EH98" i="70" s="1"/>
  <c r="EH99" i="70" s="1"/>
  <c r="EH100" i="70" s="1"/>
  <c r="EH101" i="70" s="1"/>
  <c r="EH102" i="70" s="1"/>
  <c r="EH103" i="70" s="1"/>
  <c r="EH104" i="70" s="1"/>
  <c r="EH105" i="70" s="1"/>
  <c r="EH106" i="70" s="1"/>
  <c r="EH107" i="70" s="1"/>
  <c r="EH108" i="70" s="1"/>
  <c r="EH109" i="70" s="1"/>
  <c r="EH110" i="70" s="1"/>
  <c r="EH111" i="70" s="1"/>
  <c r="EH112" i="70" s="1"/>
  <c r="EH113" i="70" s="1"/>
  <c r="EH114" i="70" s="1"/>
  <c r="EH115" i="70" s="1"/>
  <c r="EH116" i="70" s="1"/>
  <c r="EG17" i="70"/>
  <c r="EG18" i="70" s="1"/>
  <c r="EG19" i="70" s="1"/>
  <c r="EG20" i="70" s="1"/>
  <c r="EG21" i="70" s="1"/>
  <c r="EG22" i="70" s="1"/>
  <c r="EG23" i="70" s="1"/>
  <c r="EG24" i="70" s="1"/>
  <c r="EG25" i="70" s="1"/>
  <c r="EG26" i="70" s="1"/>
  <c r="EG27" i="70" s="1"/>
  <c r="EG28" i="70" s="1"/>
  <c r="EG29" i="70" s="1"/>
  <c r="EG30" i="70" s="1"/>
  <c r="EG31" i="70" s="1"/>
  <c r="EG32" i="70" s="1"/>
  <c r="EG33" i="70" s="1"/>
  <c r="EG34" i="70" s="1"/>
  <c r="EG35" i="70" s="1"/>
  <c r="EG36" i="70" s="1"/>
  <c r="EG37" i="70" s="1"/>
  <c r="EG38" i="70" s="1"/>
  <c r="EG39" i="70" s="1"/>
  <c r="EG40" i="70" s="1"/>
  <c r="EG41" i="70" s="1"/>
  <c r="EG42" i="70" s="1"/>
  <c r="EG43" i="70" s="1"/>
  <c r="EG44" i="70" s="1"/>
  <c r="EG45" i="70" s="1"/>
  <c r="EG46" i="70" s="1"/>
  <c r="EG47" i="70" s="1"/>
  <c r="EG48" i="70" s="1"/>
  <c r="EG49" i="70" s="1"/>
  <c r="EG50" i="70" s="1"/>
  <c r="EG51" i="70" s="1"/>
  <c r="EG52" i="70" s="1"/>
  <c r="EG53" i="70" s="1"/>
  <c r="EG54" i="70" s="1"/>
  <c r="EG55" i="70" s="1"/>
  <c r="EG56" i="70" s="1"/>
  <c r="EG57" i="70" s="1"/>
  <c r="EG58" i="70" s="1"/>
  <c r="EG59" i="70" s="1"/>
  <c r="EG60" i="70" s="1"/>
  <c r="EG61" i="70" s="1"/>
  <c r="EG62" i="70" s="1"/>
  <c r="EG63" i="70" s="1"/>
  <c r="EG64" i="70" s="1"/>
  <c r="EG65" i="70" s="1"/>
  <c r="EG66" i="70" s="1"/>
  <c r="EG67" i="70" s="1"/>
  <c r="EG68" i="70" s="1"/>
  <c r="EG69" i="70" s="1"/>
  <c r="EG70" i="70" s="1"/>
  <c r="EG71" i="70" s="1"/>
  <c r="EG72" i="70" s="1"/>
  <c r="EG73" i="70" s="1"/>
  <c r="EG74" i="70" s="1"/>
  <c r="EG75" i="70" s="1"/>
  <c r="EG76" i="70" s="1"/>
  <c r="EG77" i="70" s="1"/>
  <c r="EG78" i="70" s="1"/>
  <c r="EG79" i="70" s="1"/>
  <c r="EG80" i="70" s="1"/>
  <c r="EG81" i="70" s="1"/>
  <c r="EG82" i="70" s="1"/>
  <c r="EG83" i="70" s="1"/>
  <c r="EG84" i="70" s="1"/>
  <c r="EG85" i="70" s="1"/>
  <c r="EG86" i="70" s="1"/>
  <c r="EG87" i="70" s="1"/>
  <c r="EG88" i="70" s="1"/>
  <c r="EG89" i="70" s="1"/>
  <c r="EG90" i="70" s="1"/>
  <c r="EG91" i="70" s="1"/>
  <c r="EG92" i="70" s="1"/>
  <c r="EG93" i="70" s="1"/>
  <c r="EG94" i="70" s="1"/>
  <c r="EG95" i="70" s="1"/>
  <c r="EG96" i="70" s="1"/>
  <c r="EG97" i="70" s="1"/>
  <c r="EG98" i="70" s="1"/>
  <c r="EG99" i="70" s="1"/>
  <c r="EG100" i="70" s="1"/>
  <c r="EG101" i="70" s="1"/>
  <c r="EG102" i="70" s="1"/>
  <c r="EG103" i="70" s="1"/>
  <c r="EG104" i="70" s="1"/>
  <c r="EG105" i="70" s="1"/>
  <c r="EG106" i="70" s="1"/>
  <c r="EG107" i="70" s="1"/>
  <c r="EG108" i="70" s="1"/>
  <c r="EG109" i="70" s="1"/>
  <c r="EG110" i="70" s="1"/>
  <c r="EG111" i="70" s="1"/>
  <c r="EG112" i="70" s="1"/>
  <c r="EG113" i="70" s="1"/>
  <c r="EG114" i="70" s="1"/>
  <c r="EG115" i="70" s="1"/>
  <c r="EG116" i="70" s="1"/>
  <c r="EF17" i="70"/>
  <c r="EF18" i="70" s="1"/>
  <c r="EF19" i="70" s="1"/>
  <c r="EF20" i="70" s="1"/>
  <c r="EF21" i="70" s="1"/>
  <c r="EF22" i="70" s="1"/>
  <c r="EF23" i="70" s="1"/>
  <c r="EF24" i="70" s="1"/>
  <c r="EF25" i="70" s="1"/>
  <c r="EF26" i="70" s="1"/>
  <c r="EF27" i="70" s="1"/>
  <c r="EF28" i="70" s="1"/>
  <c r="EF29" i="70" s="1"/>
  <c r="EF30" i="70" s="1"/>
  <c r="EF31" i="70" s="1"/>
  <c r="EF32" i="70" s="1"/>
  <c r="EF33" i="70" s="1"/>
  <c r="EF34" i="70" s="1"/>
  <c r="EF35" i="70" s="1"/>
  <c r="EF36" i="70" s="1"/>
  <c r="EF37" i="70" s="1"/>
  <c r="EF38" i="70" s="1"/>
  <c r="EF39" i="70" s="1"/>
  <c r="EF40" i="70" s="1"/>
  <c r="EF41" i="70" s="1"/>
  <c r="EF42" i="70" s="1"/>
  <c r="EF43" i="70" s="1"/>
  <c r="EF44" i="70" s="1"/>
  <c r="EF45" i="70" s="1"/>
  <c r="EF46" i="70" s="1"/>
  <c r="EF47" i="70" s="1"/>
  <c r="EF48" i="70" s="1"/>
  <c r="EF49" i="70" s="1"/>
  <c r="EF50" i="70" s="1"/>
  <c r="EF51" i="70" s="1"/>
  <c r="EF52" i="70" s="1"/>
  <c r="EF53" i="70" s="1"/>
  <c r="EF54" i="70" s="1"/>
  <c r="EF55" i="70" s="1"/>
  <c r="EF56" i="70" s="1"/>
  <c r="EF57" i="70" s="1"/>
  <c r="EF58" i="70" s="1"/>
  <c r="EF59" i="70" s="1"/>
  <c r="EF60" i="70" s="1"/>
  <c r="EF61" i="70" s="1"/>
  <c r="EF62" i="70" s="1"/>
  <c r="EF63" i="70" s="1"/>
  <c r="EF64" i="70" s="1"/>
  <c r="EF65" i="70" s="1"/>
  <c r="EF66" i="70" s="1"/>
  <c r="EF67" i="70" s="1"/>
  <c r="EF68" i="70" s="1"/>
  <c r="EF69" i="70" s="1"/>
  <c r="EF70" i="70" s="1"/>
  <c r="EF71" i="70" s="1"/>
  <c r="EF72" i="70" s="1"/>
  <c r="EF73" i="70" s="1"/>
  <c r="EF74" i="70" s="1"/>
  <c r="EF75" i="70" s="1"/>
  <c r="EF76" i="70" s="1"/>
  <c r="EF77" i="70" s="1"/>
  <c r="EF78" i="70" s="1"/>
  <c r="EF79" i="70" s="1"/>
  <c r="EF80" i="70" s="1"/>
  <c r="EF81" i="70" s="1"/>
  <c r="EF82" i="70" s="1"/>
  <c r="EF83" i="70" s="1"/>
  <c r="EF84" i="70" s="1"/>
  <c r="EF85" i="70" s="1"/>
  <c r="EF86" i="70" s="1"/>
  <c r="EF87" i="70" s="1"/>
  <c r="EF88" i="70" s="1"/>
  <c r="EF89" i="70" s="1"/>
  <c r="EF90" i="70" s="1"/>
  <c r="EF91" i="70" s="1"/>
  <c r="EF92" i="70" s="1"/>
  <c r="EF93" i="70" s="1"/>
  <c r="EF94" i="70" s="1"/>
  <c r="EF95" i="70" s="1"/>
  <c r="EF96" i="70" s="1"/>
  <c r="EF97" i="70" s="1"/>
  <c r="EF98" i="70" s="1"/>
  <c r="EF99" i="70" s="1"/>
  <c r="EF100" i="70" s="1"/>
  <c r="EF101" i="70" s="1"/>
  <c r="EF102" i="70" s="1"/>
  <c r="EF103" i="70" s="1"/>
  <c r="EF104" i="70" s="1"/>
  <c r="EF105" i="70" s="1"/>
  <c r="EF106" i="70" s="1"/>
  <c r="EF107" i="70" s="1"/>
  <c r="EF108" i="70" s="1"/>
  <c r="EF109" i="70" s="1"/>
  <c r="EF110" i="70" s="1"/>
  <c r="EF111" i="70" s="1"/>
  <c r="EF112" i="70" s="1"/>
  <c r="EF113" i="70" s="1"/>
  <c r="EF114" i="70" s="1"/>
  <c r="EF115" i="70" s="1"/>
  <c r="EF116" i="70" s="1"/>
  <c r="EE17" i="70"/>
  <c r="EE18" i="70" s="1"/>
  <c r="EE19" i="70" s="1"/>
  <c r="EE20" i="70" s="1"/>
  <c r="EE21" i="70" s="1"/>
  <c r="EE22" i="70" s="1"/>
  <c r="EE23" i="70" s="1"/>
  <c r="EE24" i="70" s="1"/>
  <c r="EE25" i="70" s="1"/>
  <c r="EE26" i="70" s="1"/>
  <c r="EE27" i="70" s="1"/>
  <c r="EE28" i="70" s="1"/>
  <c r="EE29" i="70" s="1"/>
  <c r="EE30" i="70" s="1"/>
  <c r="EE31" i="70" s="1"/>
  <c r="EE32" i="70" s="1"/>
  <c r="EE33" i="70" s="1"/>
  <c r="EE34" i="70" s="1"/>
  <c r="EE35" i="70" s="1"/>
  <c r="EE36" i="70" s="1"/>
  <c r="EE37" i="70" s="1"/>
  <c r="EE38" i="70" s="1"/>
  <c r="EE39" i="70" s="1"/>
  <c r="EE40" i="70" s="1"/>
  <c r="EE41" i="70" s="1"/>
  <c r="EE42" i="70" s="1"/>
  <c r="EE43" i="70" s="1"/>
  <c r="EE44" i="70" s="1"/>
  <c r="EE45" i="70" s="1"/>
  <c r="EE46" i="70" s="1"/>
  <c r="EE47" i="70" s="1"/>
  <c r="EE48" i="70" s="1"/>
  <c r="EE49" i="70" s="1"/>
  <c r="EE50" i="70" s="1"/>
  <c r="EE51" i="70" s="1"/>
  <c r="EE52" i="70" s="1"/>
  <c r="EE53" i="70" s="1"/>
  <c r="EE54" i="70" s="1"/>
  <c r="EE55" i="70" s="1"/>
  <c r="EE56" i="70" s="1"/>
  <c r="EE57" i="70" s="1"/>
  <c r="EE58" i="70" s="1"/>
  <c r="EE59" i="70" s="1"/>
  <c r="EE60" i="70" s="1"/>
  <c r="EE61" i="70" s="1"/>
  <c r="EE62" i="70" s="1"/>
  <c r="EE63" i="70" s="1"/>
  <c r="EE64" i="70" s="1"/>
  <c r="EE65" i="70" s="1"/>
  <c r="EE66" i="70" s="1"/>
  <c r="EE67" i="70" s="1"/>
  <c r="EE68" i="70" s="1"/>
  <c r="EE69" i="70" s="1"/>
  <c r="EE70" i="70" s="1"/>
  <c r="EE71" i="70" s="1"/>
  <c r="EE72" i="70" s="1"/>
  <c r="EE73" i="70" s="1"/>
  <c r="EE74" i="70" s="1"/>
  <c r="EE75" i="70" s="1"/>
  <c r="EE76" i="70" s="1"/>
  <c r="EE77" i="70" s="1"/>
  <c r="EE78" i="70" s="1"/>
  <c r="EE79" i="70" s="1"/>
  <c r="EE80" i="70" s="1"/>
  <c r="EE81" i="70" s="1"/>
  <c r="EE82" i="70" s="1"/>
  <c r="EE83" i="70" s="1"/>
  <c r="EE84" i="70" s="1"/>
  <c r="EE85" i="70" s="1"/>
  <c r="EE86" i="70" s="1"/>
  <c r="EE87" i="70" s="1"/>
  <c r="EE88" i="70" s="1"/>
  <c r="EE89" i="70" s="1"/>
  <c r="EE90" i="70" s="1"/>
  <c r="EE91" i="70" s="1"/>
  <c r="EE92" i="70" s="1"/>
  <c r="EE93" i="70" s="1"/>
  <c r="EE94" i="70" s="1"/>
  <c r="EE95" i="70" s="1"/>
  <c r="EE96" i="70" s="1"/>
  <c r="EE97" i="70" s="1"/>
  <c r="EE98" i="70" s="1"/>
  <c r="EE99" i="70" s="1"/>
  <c r="EE100" i="70" s="1"/>
  <c r="EE101" i="70" s="1"/>
  <c r="EE102" i="70" s="1"/>
  <c r="EE103" i="70" s="1"/>
  <c r="EE104" i="70" s="1"/>
  <c r="EE105" i="70" s="1"/>
  <c r="EE106" i="70" s="1"/>
  <c r="EE107" i="70" s="1"/>
  <c r="EE108" i="70" s="1"/>
  <c r="EE109" i="70" s="1"/>
  <c r="EE110" i="70" s="1"/>
  <c r="EE111" i="70" s="1"/>
  <c r="EE112" i="70" s="1"/>
  <c r="EE113" i="70" s="1"/>
  <c r="EE114" i="70" s="1"/>
  <c r="EE115" i="70" s="1"/>
  <c r="EE116" i="70" s="1"/>
  <c r="ED17" i="70"/>
  <c r="ED18" i="70" s="1"/>
  <c r="ED19" i="70" s="1"/>
  <c r="ED20" i="70" s="1"/>
  <c r="ED21" i="70" s="1"/>
  <c r="ED22" i="70" s="1"/>
  <c r="ED23" i="70" s="1"/>
  <c r="ED24" i="70" s="1"/>
  <c r="ED25" i="70" s="1"/>
  <c r="ED26" i="70" s="1"/>
  <c r="ED27" i="70" s="1"/>
  <c r="ED28" i="70" s="1"/>
  <c r="ED29" i="70" s="1"/>
  <c r="ED30" i="70" s="1"/>
  <c r="ED31" i="70" s="1"/>
  <c r="ED32" i="70" s="1"/>
  <c r="ED33" i="70" s="1"/>
  <c r="ED34" i="70" s="1"/>
  <c r="ED35" i="70" s="1"/>
  <c r="ED36" i="70" s="1"/>
  <c r="ED37" i="70" s="1"/>
  <c r="ED38" i="70" s="1"/>
  <c r="ED39" i="70" s="1"/>
  <c r="ED40" i="70" s="1"/>
  <c r="ED41" i="70" s="1"/>
  <c r="ED42" i="70" s="1"/>
  <c r="ED43" i="70" s="1"/>
  <c r="ED44" i="70" s="1"/>
  <c r="ED45" i="70" s="1"/>
  <c r="ED46" i="70" s="1"/>
  <c r="ED47" i="70" s="1"/>
  <c r="ED48" i="70" s="1"/>
  <c r="ED49" i="70" s="1"/>
  <c r="ED50" i="70" s="1"/>
  <c r="ED51" i="70" s="1"/>
  <c r="ED52" i="70" s="1"/>
  <c r="ED53" i="70" s="1"/>
  <c r="ED54" i="70" s="1"/>
  <c r="ED55" i="70" s="1"/>
  <c r="ED56" i="70" s="1"/>
  <c r="ED57" i="70" s="1"/>
  <c r="ED58" i="70" s="1"/>
  <c r="ED59" i="70" s="1"/>
  <c r="ED60" i="70" s="1"/>
  <c r="ED61" i="70" s="1"/>
  <c r="ED62" i="70" s="1"/>
  <c r="ED63" i="70" s="1"/>
  <c r="ED64" i="70" s="1"/>
  <c r="ED65" i="70" s="1"/>
  <c r="ED66" i="70" s="1"/>
  <c r="ED67" i="70" s="1"/>
  <c r="ED68" i="70" s="1"/>
  <c r="ED69" i="70" s="1"/>
  <c r="ED70" i="70" s="1"/>
  <c r="ED71" i="70" s="1"/>
  <c r="ED72" i="70" s="1"/>
  <c r="ED73" i="70" s="1"/>
  <c r="ED74" i="70" s="1"/>
  <c r="ED75" i="70" s="1"/>
  <c r="ED76" i="70" s="1"/>
  <c r="ED77" i="70" s="1"/>
  <c r="ED78" i="70" s="1"/>
  <c r="ED79" i="70" s="1"/>
  <c r="ED80" i="70" s="1"/>
  <c r="ED81" i="70" s="1"/>
  <c r="ED82" i="70" s="1"/>
  <c r="ED83" i="70" s="1"/>
  <c r="ED84" i="70" s="1"/>
  <c r="ED85" i="70" s="1"/>
  <c r="ED86" i="70" s="1"/>
  <c r="ED87" i="70" s="1"/>
  <c r="ED88" i="70" s="1"/>
  <c r="ED89" i="70" s="1"/>
  <c r="ED90" i="70" s="1"/>
  <c r="ED91" i="70" s="1"/>
  <c r="ED92" i="70" s="1"/>
  <c r="ED93" i="70" s="1"/>
  <c r="ED94" i="70" s="1"/>
  <c r="ED95" i="70" s="1"/>
  <c r="ED96" i="70" s="1"/>
  <c r="ED97" i="70" s="1"/>
  <c r="ED98" i="70" s="1"/>
  <c r="ED99" i="70" s="1"/>
  <c r="ED100" i="70" s="1"/>
  <c r="ED101" i="70" s="1"/>
  <c r="ED102" i="70" s="1"/>
  <c r="ED103" i="70" s="1"/>
  <c r="ED104" i="70" s="1"/>
  <c r="ED105" i="70" s="1"/>
  <c r="ED106" i="70" s="1"/>
  <c r="ED107" i="70" s="1"/>
  <c r="ED108" i="70" s="1"/>
  <c r="ED109" i="70" s="1"/>
  <c r="ED110" i="70" s="1"/>
  <c r="ED111" i="70" s="1"/>
  <c r="ED112" i="70" s="1"/>
  <c r="ED113" i="70" s="1"/>
  <c r="ED114" i="70" s="1"/>
  <c r="ED115" i="70" s="1"/>
  <c r="ED116" i="70" s="1"/>
  <c r="EC17" i="70"/>
  <c r="EC18" i="70" s="1"/>
  <c r="EC19" i="70" s="1"/>
  <c r="EC20" i="70" s="1"/>
  <c r="EC21" i="70" s="1"/>
  <c r="EC22" i="70" s="1"/>
  <c r="EC23" i="70" s="1"/>
  <c r="EC24" i="70" s="1"/>
  <c r="EC25" i="70" s="1"/>
  <c r="EC26" i="70" s="1"/>
  <c r="EC27" i="70" s="1"/>
  <c r="EC28" i="70" s="1"/>
  <c r="EC29" i="70" s="1"/>
  <c r="EC30" i="70" s="1"/>
  <c r="EC31" i="70" s="1"/>
  <c r="EC32" i="70" s="1"/>
  <c r="EC33" i="70" s="1"/>
  <c r="EC34" i="70" s="1"/>
  <c r="EC35" i="70" s="1"/>
  <c r="EC36" i="70" s="1"/>
  <c r="EC37" i="70" s="1"/>
  <c r="EC38" i="70" s="1"/>
  <c r="EC39" i="70" s="1"/>
  <c r="EC40" i="70" s="1"/>
  <c r="EC41" i="70" s="1"/>
  <c r="EC42" i="70" s="1"/>
  <c r="EC43" i="70" s="1"/>
  <c r="EC44" i="70" s="1"/>
  <c r="EC45" i="70" s="1"/>
  <c r="EC46" i="70" s="1"/>
  <c r="EC47" i="70" s="1"/>
  <c r="EC48" i="70" s="1"/>
  <c r="EC49" i="70" s="1"/>
  <c r="EC50" i="70" s="1"/>
  <c r="EC51" i="70" s="1"/>
  <c r="EC52" i="70" s="1"/>
  <c r="EC53" i="70" s="1"/>
  <c r="EC54" i="70" s="1"/>
  <c r="EC55" i="70" s="1"/>
  <c r="EC56" i="70" s="1"/>
  <c r="EC57" i="70" s="1"/>
  <c r="EC58" i="70" s="1"/>
  <c r="EC59" i="70" s="1"/>
  <c r="EC60" i="70" s="1"/>
  <c r="EC61" i="70" s="1"/>
  <c r="EC62" i="70" s="1"/>
  <c r="EC63" i="70" s="1"/>
  <c r="EC64" i="70" s="1"/>
  <c r="EC65" i="70" s="1"/>
  <c r="EC66" i="70" s="1"/>
  <c r="EC67" i="70" s="1"/>
  <c r="EC68" i="70" s="1"/>
  <c r="EC69" i="70" s="1"/>
  <c r="EC70" i="70" s="1"/>
  <c r="EC71" i="70" s="1"/>
  <c r="EC72" i="70" s="1"/>
  <c r="EC73" i="70" s="1"/>
  <c r="EC74" i="70" s="1"/>
  <c r="EC75" i="70" s="1"/>
  <c r="EC76" i="70" s="1"/>
  <c r="EC77" i="70" s="1"/>
  <c r="EC78" i="70" s="1"/>
  <c r="EC79" i="70" s="1"/>
  <c r="EC80" i="70" s="1"/>
  <c r="EC81" i="70" s="1"/>
  <c r="EC82" i="70" s="1"/>
  <c r="EC83" i="70" s="1"/>
  <c r="EC84" i="70" s="1"/>
  <c r="EC85" i="70" s="1"/>
  <c r="EC86" i="70" s="1"/>
  <c r="EC87" i="70" s="1"/>
  <c r="EC88" i="70" s="1"/>
  <c r="EC89" i="70" s="1"/>
  <c r="EC90" i="70" s="1"/>
  <c r="EC91" i="70" s="1"/>
  <c r="EC92" i="70" s="1"/>
  <c r="EC93" i="70" s="1"/>
  <c r="EC94" i="70" s="1"/>
  <c r="EC95" i="70" s="1"/>
  <c r="EC96" i="70" s="1"/>
  <c r="EC97" i="70" s="1"/>
  <c r="EC98" i="70" s="1"/>
  <c r="EC99" i="70" s="1"/>
  <c r="EC100" i="70" s="1"/>
  <c r="EC101" i="70" s="1"/>
  <c r="EC102" i="70" s="1"/>
  <c r="EC103" i="70" s="1"/>
  <c r="EC104" i="70" s="1"/>
  <c r="EC105" i="70" s="1"/>
  <c r="EC106" i="70" s="1"/>
  <c r="EC107" i="70" s="1"/>
  <c r="EC108" i="70" s="1"/>
  <c r="EC109" i="70" s="1"/>
  <c r="EC110" i="70" s="1"/>
  <c r="EC111" i="70" s="1"/>
  <c r="EC112" i="70" s="1"/>
  <c r="EC113" i="70" s="1"/>
  <c r="EC114" i="70" s="1"/>
  <c r="EC115" i="70" s="1"/>
  <c r="EC116" i="70" s="1"/>
  <c r="EB17" i="70"/>
  <c r="EB18" i="70" s="1"/>
  <c r="EB19" i="70" s="1"/>
  <c r="EB20" i="70" s="1"/>
  <c r="EB21" i="70" s="1"/>
  <c r="EB22" i="70" s="1"/>
  <c r="EB23" i="70" s="1"/>
  <c r="EB24" i="70" s="1"/>
  <c r="EB25" i="70" s="1"/>
  <c r="EB26" i="70" s="1"/>
  <c r="EB27" i="70" s="1"/>
  <c r="EB28" i="70" s="1"/>
  <c r="EB29" i="70" s="1"/>
  <c r="EB30" i="70" s="1"/>
  <c r="EB31" i="70" s="1"/>
  <c r="EB32" i="70" s="1"/>
  <c r="EB33" i="70" s="1"/>
  <c r="EB34" i="70" s="1"/>
  <c r="EB35" i="70" s="1"/>
  <c r="EB36" i="70" s="1"/>
  <c r="EB37" i="70" s="1"/>
  <c r="EB38" i="70" s="1"/>
  <c r="EB39" i="70" s="1"/>
  <c r="EB40" i="70" s="1"/>
  <c r="EB41" i="70" s="1"/>
  <c r="EB42" i="70" s="1"/>
  <c r="EB43" i="70" s="1"/>
  <c r="EB44" i="70" s="1"/>
  <c r="EB45" i="70" s="1"/>
  <c r="EB46" i="70" s="1"/>
  <c r="EB47" i="70" s="1"/>
  <c r="EB48" i="70" s="1"/>
  <c r="EB49" i="70" s="1"/>
  <c r="EB50" i="70" s="1"/>
  <c r="EB51" i="70" s="1"/>
  <c r="EB52" i="70" s="1"/>
  <c r="EB53" i="70" s="1"/>
  <c r="EB54" i="70" s="1"/>
  <c r="EB55" i="70" s="1"/>
  <c r="EB56" i="70" s="1"/>
  <c r="EB57" i="70" s="1"/>
  <c r="EB58" i="70" s="1"/>
  <c r="EB59" i="70" s="1"/>
  <c r="EB60" i="70" s="1"/>
  <c r="EB61" i="70" s="1"/>
  <c r="EB62" i="70" s="1"/>
  <c r="EB63" i="70" s="1"/>
  <c r="EB64" i="70" s="1"/>
  <c r="EB65" i="70" s="1"/>
  <c r="EB66" i="70" s="1"/>
  <c r="EB67" i="70" s="1"/>
  <c r="EB68" i="70" s="1"/>
  <c r="EB69" i="70" s="1"/>
  <c r="EB70" i="70" s="1"/>
  <c r="EB71" i="70" s="1"/>
  <c r="EB72" i="70" s="1"/>
  <c r="EB73" i="70" s="1"/>
  <c r="EB74" i="70" s="1"/>
  <c r="EB75" i="70" s="1"/>
  <c r="EB76" i="70" s="1"/>
  <c r="EB77" i="70" s="1"/>
  <c r="EB78" i="70" s="1"/>
  <c r="EB79" i="70" s="1"/>
  <c r="EB80" i="70" s="1"/>
  <c r="EB81" i="70" s="1"/>
  <c r="EB82" i="70" s="1"/>
  <c r="EB83" i="70" s="1"/>
  <c r="EB84" i="70" s="1"/>
  <c r="EB85" i="70" s="1"/>
  <c r="EB86" i="70" s="1"/>
  <c r="EB87" i="70" s="1"/>
  <c r="EB88" i="70" s="1"/>
  <c r="EB89" i="70" s="1"/>
  <c r="EB90" i="70" s="1"/>
  <c r="EB91" i="70" s="1"/>
  <c r="EB92" i="70" s="1"/>
  <c r="EB93" i="70" s="1"/>
  <c r="EB94" i="70" s="1"/>
  <c r="EB95" i="70" s="1"/>
  <c r="EB96" i="70" s="1"/>
  <c r="EB97" i="70" s="1"/>
  <c r="EB98" i="70" s="1"/>
  <c r="EB99" i="70" s="1"/>
  <c r="EB100" i="70" s="1"/>
  <c r="EB101" i="70" s="1"/>
  <c r="EB102" i="70" s="1"/>
  <c r="EB103" i="70" s="1"/>
  <c r="EB104" i="70" s="1"/>
  <c r="EB105" i="70" s="1"/>
  <c r="EB106" i="70" s="1"/>
  <c r="EB107" i="70" s="1"/>
  <c r="EB108" i="70" s="1"/>
  <c r="EB109" i="70" s="1"/>
  <c r="EB110" i="70" s="1"/>
  <c r="EB111" i="70" s="1"/>
  <c r="EB112" i="70" s="1"/>
  <c r="EB113" i="70" s="1"/>
  <c r="EB114" i="70" s="1"/>
  <c r="EB115" i="70" s="1"/>
  <c r="EB116" i="70" s="1"/>
  <c r="EA17" i="70"/>
  <c r="EA18" i="70" s="1"/>
  <c r="EA19" i="70" s="1"/>
  <c r="EA20" i="70" s="1"/>
  <c r="EA21" i="70" s="1"/>
  <c r="EA22" i="70" s="1"/>
  <c r="EA23" i="70" s="1"/>
  <c r="EA24" i="70" s="1"/>
  <c r="EA25" i="70" s="1"/>
  <c r="EA26" i="70" s="1"/>
  <c r="EA27" i="70" s="1"/>
  <c r="EA28" i="70" s="1"/>
  <c r="EA29" i="70" s="1"/>
  <c r="EA30" i="70" s="1"/>
  <c r="EA31" i="70" s="1"/>
  <c r="EA32" i="70" s="1"/>
  <c r="EA33" i="70" s="1"/>
  <c r="EA34" i="70" s="1"/>
  <c r="EA35" i="70" s="1"/>
  <c r="EA36" i="70" s="1"/>
  <c r="EA37" i="70" s="1"/>
  <c r="EA38" i="70" s="1"/>
  <c r="EA39" i="70" s="1"/>
  <c r="EA40" i="70" s="1"/>
  <c r="EA41" i="70" s="1"/>
  <c r="EA42" i="70" s="1"/>
  <c r="EA43" i="70" s="1"/>
  <c r="EA44" i="70" s="1"/>
  <c r="EA45" i="70" s="1"/>
  <c r="EA46" i="70" s="1"/>
  <c r="EA47" i="70" s="1"/>
  <c r="EA48" i="70" s="1"/>
  <c r="EA49" i="70" s="1"/>
  <c r="EA50" i="70" s="1"/>
  <c r="EA51" i="70" s="1"/>
  <c r="EA52" i="70" s="1"/>
  <c r="EA53" i="70" s="1"/>
  <c r="EA54" i="70" s="1"/>
  <c r="EA55" i="70" s="1"/>
  <c r="EA56" i="70" s="1"/>
  <c r="EA57" i="70" s="1"/>
  <c r="EA58" i="70" s="1"/>
  <c r="EA59" i="70" s="1"/>
  <c r="EA60" i="70" s="1"/>
  <c r="EA61" i="70" s="1"/>
  <c r="EA62" i="70" s="1"/>
  <c r="EA63" i="70" s="1"/>
  <c r="EA64" i="70" s="1"/>
  <c r="EA65" i="70" s="1"/>
  <c r="EA66" i="70" s="1"/>
  <c r="EA67" i="70" s="1"/>
  <c r="EA68" i="70" s="1"/>
  <c r="EA69" i="70" s="1"/>
  <c r="EA70" i="70" s="1"/>
  <c r="EA71" i="70" s="1"/>
  <c r="EA72" i="70" s="1"/>
  <c r="EA73" i="70" s="1"/>
  <c r="EA74" i="70" s="1"/>
  <c r="EA75" i="70" s="1"/>
  <c r="EA76" i="70" s="1"/>
  <c r="EA77" i="70" s="1"/>
  <c r="EA78" i="70" s="1"/>
  <c r="EA79" i="70" s="1"/>
  <c r="EA80" i="70" s="1"/>
  <c r="EA81" i="70" s="1"/>
  <c r="EA82" i="70" s="1"/>
  <c r="EA83" i="70" s="1"/>
  <c r="EA84" i="70" s="1"/>
  <c r="EA85" i="70" s="1"/>
  <c r="EA86" i="70" s="1"/>
  <c r="EA87" i="70" s="1"/>
  <c r="EA88" i="70" s="1"/>
  <c r="EA89" i="70" s="1"/>
  <c r="EA90" i="70" s="1"/>
  <c r="EA91" i="70" s="1"/>
  <c r="EA92" i="70" s="1"/>
  <c r="EA93" i="70" s="1"/>
  <c r="EA94" i="70" s="1"/>
  <c r="EA95" i="70" s="1"/>
  <c r="EA96" i="70" s="1"/>
  <c r="EA97" i="70" s="1"/>
  <c r="EA98" i="70" s="1"/>
  <c r="EA99" i="70" s="1"/>
  <c r="EA100" i="70" s="1"/>
  <c r="EA101" i="70" s="1"/>
  <c r="EA102" i="70" s="1"/>
  <c r="EA103" i="70" s="1"/>
  <c r="EA104" i="70" s="1"/>
  <c r="EA105" i="70" s="1"/>
  <c r="EA106" i="70" s="1"/>
  <c r="EA107" i="70" s="1"/>
  <c r="EA108" i="70" s="1"/>
  <c r="EA109" i="70" s="1"/>
  <c r="EA110" i="70" s="1"/>
  <c r="EA111" i="70" s="1"/>
  <c r="EA112" i="70" s="1"/>
  <c r="EA113" i="70" s="1"/>
  <c r="EA114" i="70" s="1"/>
  <c r="EA115" i="70" s="1"/>
  <c r="EA116" i="70" s="1"/>
  <c r="DZ17" i="70"/>
  <c r="DZ18" i="70" s="1"/>
  <c r="DZ19" i="70" s="1"/>
  <c r="DZ20" i="70" s="1"/>
  <c r="DZ21" i="70" s="1"/>
  <c r="DZ22" i="70" s="1"/>
  <c r="DZ23" i="70" s="1"/>
  <c r="DZ24" i="70" s="1"/>
  <c r="DZ25" i="70" s="1"/>
  <c r="DZ26" i="70" s="1"/>
  <c r="DZ27" i="70" s="1"/>
  <c r="DZ28" i="70" s="1"/>
  <c r="DZ29" i="70" s="1"/>
  <c r="DZ30" i="70" s="1"/>
  <c r="DZ31" i="70" s="1"/>
  <c r="DZ32" i="70" s="1"/>
  <c r="DZ33" i="70" s="1"/>
  <c r="DZ34" i="70" s="1"/>
  <c r="DZ35" i="70" s="1"/>
  <c r="DZ36" i="70" s="1"/>
  <c r="DZ37" i="70" s="1"/>
  <c r="DZ38" i="70" s="1"/>
  <c r="DZ39" i="70" s="1"/>
  <c r="DZ40" i="70" s="1"/>
  <c r="DZ41" i="70" s="1"/>
  <c r="DZ42" i="70" s="1"/>
  <c r="DZ43" i="70" s="1"/>
  <c r="DZ44" i="70" s="1"/>
  <c r="DZ45" i="70" s="1"/>
  <c r="DZ46" i="70" s="1"/>
  <c r="DZ47" i="70" s="1"/>
  <c r="DZ48" i="70" s="1"/>
  <c r="DZ49" i="70" s="1"/>
  <c r="DZ50" i="70" s="1"/>
  <c r="DZ51" i="70" s="1"/>
  <c r="DZ52" i="70" s="1"/>
  <c r="DZ53" i="70" s="1"/>
  <c r="DZ54" i="70" s="1"/>
  <c r="DZ55" i="70" s="1"/>
  <c r="DZ56" i="70" s="1"/>
  <c r="DZ57" i="70" s="1"/>
  <c r="DZ58" i="70" s="1"/>
  <c r="DZ59" i="70" s="1"/>
  <c r="DZ60" i="70" s="1"/>
  <c r="DZ61" i="70" s="1"/>
  <c r="DZ62" i="70" s="1"/>
  <c r="DZ63" i="70" s="1"/>
  <c r="DZ64" i="70" s="1"/>
  <c r="DZ65" i="70" s="1"/>
  <c r="DZ66" i="70" s="1"/>
  <c r="DZ67" i="70" s="1"/>
  <c r="DZ68" i="70" s="1"/>
  <c r="DZ69" i="70" s="1"/>
  <c r="DZ70" i="70" s="1"/>
  <c r="DZ71" i="70" s="1"/>
  <c r="DZ72" i="70" s="1"/>
  <c r="DZ73" i="70" s="1"/>
  <c r="DZ74" i="70" s="1"/>
  <c r="DZ75" i="70" s="1"/>
  <c r="DZ76" i="70" s="1"/>
  <c r="DZ77" i="70" s="1"/>
  <c r="DZ78" i="70" s="1"/>
  <c r="DZ79" i="70" s="1"/>
  <c r="DZ80" i="70" s="1"/>
  <c r="DZ81" i="70" s="1"/>
  <c r="DZ82" i="70" s="1"/>
  <c r="DZ83" i="70" s="1"/>
  <c r="DZ84" i="70" s="1"/>
  <c r="DZ85" i="70" s="1"/>
  <c r="DZ86" i="70" s="1"/>
  <c r="DZ87" i="70" s="1"/>
  <c r="DZ88" i="70" s="1"/>
  <c r="DZ89" i="70" s="1"/>
  <c r="DZ90" i="70" s="1"/>
  <c r="DZ91" i="70" s="1"/>
  <c r="DZ92" i="70" s="1"/>
  <c r="DZ93" i="70" s="1"/>
  <c r="DZ94" i="70" s="1"/>
  <c r="DZ95" i="70" s="1"/>
  <c r="DZ96" i="70" s="1"/>
  <c r="DZ97" i="70" s="1"/>
  <c r="DZ98" i="70" s="1"/>
  <c r="DZ99" i="70" s="1"/>
  <c r="DZ100" i="70" s="1"/>
  <c r="DZ101" i="70" s="1"/>
  <c r="DZ102" i="70" s="1"/>
  <c r="DZ103" i="70" s="1"/>
  <c r="DZ104" i="70" s="1"/>
  <c r="DZ105" i="70" s="1"/>
  <c r="DZ106" i="70" s="1"/>
  <c r="DZ107" i="70" s="1"/>
  <c r="DZ108" i="70" s="1"/>
  <c r="DZ109" i="70" s="1"/>
  <c r="DZ110" i="70" s="1"/>
  <c r="DZ111" i="70" s="1"/>
  <c r="DZ112" i="70" s="1"/>
  <c r="DZ113" i="70" s="1"/>
  <c r="DZ114" i="70" s="1"/>
  <c r="DZ115" i="70" s="1"/>
  <c r="DZ116" i="70" s="1"/>
  <c r="DY17" i="70"/>
  <c r="DY18" i="70" s="1"/>
  <c r="DY19" i="70" s="1"/>
  <c r="DY20" i="70" s="1"/>
  <c r="DY21" i="70" s="1"/>
  <c r="DY22" i="70" s="1"/>
  <c r="DY23" i="70" s="1"/>
  <c r="DY24" i="70" s="1"/>
  <c r="DY25" i="70" s="1"/>
  <c r="DY26" i="70" s="1"/>
  <c r="DY27" i="70" s="1"/>
  <c r="DY28" i="70" s="1"/>
  <c r="DY29" i="70" s="1"/>
  <c r="DY30" i="70" s="1"/>
  <c r="DY31" i="70" s="1"/>
  <c r="DY32" i="70" s="1"/>
  <c r="DY33" i="70" s="1"/>
  <c r="DY34" i="70" s="1"/>
  <c r="DY35" i="70" s="1"/>
  <c r="DY36" i="70" s="1"/>
  <c r="DY37" i="70" s="1"/>
  <c r="DY38" i="70" s="1"/>
  <c r="DY39" i="70" s="1"/>
  <c r="DY40" i="70" s="1"/>
  <c r="DY41" i="70" s="1"/>
  <c r="DY42" i="70" s="1"/>
  <c r="DY43" i="70" s="1"/>
  <c r="DY44" i="70" s="1"/>
  <c r="DY45" i="70" s="1"/>
  <c r="DY46" i="70" s="1"/>
  <c r="DY47" i="70" s="1"/>
  <c r="DY48" i="70" s="1"/>
  <c r="DY49" i="70" s="1"/>
  <c r="DY50" i="70" s="1"/>
  <c r="DY51" i="70" s="1"/>
  <c r="DY52" i="70" s="1"/>
  <c r="DY53" i="70" s="1"/>
  <c r="DY54" i="70" s="1"/>
  <c r="DY55" i="70" s="1"/>
  <c r="DY56" i="70" s="1"/>
  <c r="DY57" i="70" s="1"/>
  <c r="DY58" i="70" s="1"/>
  <c r="DY59" i="70" s="1"/>
  <c r="DY60" i="70" s="1"/>
  <c r="DY61" i="70" s="1"/>
  <c r="DY62" i="70" s="1"/>
  <c r="DY63" i="70" s="1"/>
  <c r="DY64" i="70" s="1"/>
  <c r="DY65" i="70" s="1"/>
  <c r="DY66" i="70" s="1"/>
  <c r="DY67" i="70" s="1"/>
  <c r="DY68" i="70" s="1"/>
  <c r="DY69" i="70" s="1"/>
  <c r="DY70" i="70" s="1"/>
  <c r="DY71" i="70" s="1"/>
  <c r="DY72" i="70" s="1"/>
  <c r="DY73" i="70" s="1"/>
  <c r="DY74" i="70" s="1"/>
  <c r="DY75" i="70" s="1"/>
  <c r="DY76" i="70" s="1"/>
  <c r="DY77" i="70" s="1"/>
  <c r="DY78" i="70" s="1"/>
  <c r="DY79" i="70" s="1"/>
  <c r="DY80" i="70" s="1"/>
  <c r="DY81" i="70" s="1"/>
  <c r="DY82" i="70" s="1"/>
  <c r="DY83" i="70" s="1"/>
  <c r="DY84" i="70" s="1"/>
  <c r="DY85" i="70" s="1"/>
  <c r="DY86" i="70" s="1"/>
  <c r="DY87" i="70" s="1"/>
  <c r="DY88" i="70" s="1"/>
  <c r="DY89" i="70" s="1"/>
  <c r="DY90" i="70" s="1"/>
  <c r="DY91" i="70" s="1"/>
  <c r="DY92" i="70" s="1"/>
  <c r="DY93" i="70" s="1"/>
  <c r="DY94" i="70" s="1"/>
  <c r="DY95" i="70" s="1"/>
  <c r="DY96" i="70" s="1"/>
  <c r="DY97" i="70" s="1"/>
  <c r="DY98" i="70" s="1"/>
  <c r="DY99" i="70" s="1"/>
  <c r="DY100" i="70" s="1"/>
  <c r="DY101" i="70" s="1"/>
  <c r="DY102" i="70" s="1"/>
  <c r="DY103" i="70" s="1"/>
  <c r="DY104" i="70" s="1"/>
  <c r="DY105" i="70" s="1"/>
  <c r="DY106" i="70" s="1"/>
  <c r="DY107" i="70" s="1"/>
  <c r="DY108" i="70" s="1"/>
  <c r="DY109" i="70" s="1"/>
  <c r="DY110" i="70" s="1"/>
  <c r="DY111" i="70" s="1"/>
  <c r="DY112" i="70" s="1"/>
  <c r="DY113" i="70" s="1"/>
  <c r="DY114" i="70" s="1"/>
  <c r="DY115" i="70" s="1"/>
  <c r="DY116" i="70" s="1"/>
  <c r="DX17" i="70"/>
  <c r="DX18" i="70" s="1"/>
  <c r="DX19" i="70" s="1"/>
  <c r="DX20" i="70" s="1"/>
  <c r="DX21" i="70" s="1"/>
  <c r="DX22" i="70" s="1"/>
  <c r="DX23" i="70" s="1"/>
  <c r="DX24" i="70" s="1"/>
  <c r="DX25" i="70" s="1"/>
  <c r="DX26" i="70" s="1"/>
  <c r="DX27" i="70" s="1"/>
  <c r="DX28" i="70" s="1"/>
  <c r="DX29" i="70" s="1"/>
  <c r="DX30" i="70" s="1"/>
  <c r="DX31" i="70" s="1"/>
  <c r="DX32" i="70" s="1"/>
  <c r="DX33" i="70" s="1"/>
  <c r="DX34" i="70" s="1"/>
  <c r="DX35" i="70" s="1"/>
  <c r="DX36" i="70" s="1"/>
  <c r="DX37" i="70" s="1"/>
  <c r="DX38" i="70" s="1"/>
  <c r="DX39" i="70" s="1"/>
  <c r="DX40" i="70" s="1"/>
  <c r="DX41" i="70" s="1"/>
  <c r="DX42" i="70" s="1"/>
  <c r="DX43" i="70" s="1"/>
  <c r="DX44" i="70" s="1"/>
  <c r="DX45" i="70" s="1"/>
  <c r="DX46" i="70" s="1"/>
  <c r="DX47" i="70" s="1"/>
  <c r="DX48" i="70" s="1"/>
  <c r="DX49" i="70" s="1"/>
  <c r="DX50" i="70" s="1"/>
  <c r="DX51" i="70" s="1"/>
  <c r="DX52" i="70" s="1"/>
  <c r="DX53" i="70" s="1"/>
  <c r="DX54" i="70" s="1"/>
  <c r="DX55" i="70" s="1"/>
  <c r="DX56" i="70" s="1"/>
  <c r="DX57" i="70" s="1"/>
  <c r="DX58" i="70" s="1"/>
  <c r="DX59" i="70" s="1"/>
  <c r="DX60" i="70" s="1"/>
  <c r="DX61" i="70" s="1"/>
  <c r="DX62" i="70" s="1"/>
  <c r="DX63" i="70" s="1"/>
  <c r="DX64" i="70" s="1"/>
  <c r="DX65" i="70" s="1"/>
  <c r="DX66" i="70" s="1"/>
  <c r="DX67" i="70" s="1"/>
  <c r="DX68" i="70" s="1"/>
  <c r="DX69" i="70" s="1"/>
  <c r="DX70" i="70" s="1"/>
  <c r="DX71" i="70" s="1"/>
  <c r="DX72" i="70" s="1"/>
  <c r="DX73" i="70" s="1"/>
  <c r="DX74" i="70" s="1"/>
  <c r="DX75" i="70" s="1"/>
  <c r="DX76" i="70" s="1"/>
  <c r="DX77" i="70" s="1"/>
  <c r="DX78" i="70" s="1"/>
  <c r="DX79" i="70" s="1"/>
  <c r="DX80" i="70" s="1"/>
  <c r="DX81" i="70" s="1"/>
  <c r="DX82" i="70" s="1"/>
  <c r="DX83" i="70" s="1"/>
  <c r="DX84" i="70" s="1"/>
  <c r="DX85" i="70" s="1"/>
  <c r="DX86" i="70" s="1"/>
  <c r="DX87" i="70" s="1"/>
  <c r="DX88" i="70" s="1"/>
  <c r="DX89" i="70" s="1"/>
  <c r="DX90" i="70" s="1"/>
  <c r="DX91" i="70" s="1"/>
  <c r="DX92" i="70" s="1"/>
  <c r="DX93" i="70" s="1"/>
  <c r="DX94" i="70" s="1"/>
  <c r="DX95" i="70" s="1"/>
  <c r="DX96" i="70" s="1"/>
  <c r="DX97" i="70" s="1"/>
  <c r="DX98" i="70" s="1"/>
  <c r="DX99" i="70" s="1"/>
  <c r="DX100" i="70" s="1"/>
  <c r="DX101" i="70" s="1"/>
  <c r="DX102" i="70" s="1"/>
  <c r="DX103" i="70" s="1"/>
  <c r="DX104" i="70" s="1"/>
  <c r="DX105" i="70" s="1"/>
  <c r="DX106" i="70" s="1"/>
  <c r="DX107" i="70" s="1"/>
  <c r="DX108" i="70" s="1"/>
  <c r="DX109" i="70" s="1"/>
  <c r="DX110" i="70" s="1"/>
  <c r="DX111" i="70" s="1"/>
  <c r="DX112" i="70" s="1"/>
  <c r="DX113" i="70" s="1"/>
  <c r="DX114" i="70" s="1"/>
  <c r="DX115" i="70" s="1"/>
  <c r="DX116" i="70" s="1"/>
  <c r="DW17" i="70"/>
  <c r="DW18" i="70" s="1"/>
  <c r="DW19" i="70" s="1"/>
  <c r="DW20" i="70" s="1"/>
  <c r="DW21" i="70" s="1"/>
  <c r="DW22" i="70" s="1"/>
  <c r="DW23" i="70" s="1"/>
  <c r="DW24" i="70" s="1"/>
  <c r="DW25" i="70" s="1"/>
  <c r="DW26" i="70" s="1"/>
  <c r="DW27" i="70" s="1"/>
  <c r="DW28" i="70" s="1"/>
  <c r="DW29" i="70" s="1"/>
  <c r="DW30" i="70" s="1"/>
  <c r="DW31" i="70" s="1"/>
  <c r="DW32" i="70" s="1"/>
  <c r="DW33" i="70" s="1"/>
  <c r="DW34" i="70" s="1"/>
  <c r="DW35" i="70" s="1"/>
  <c r="DW36" i="70" s="1"/>
  <c r="DW37" i="70" s="1"/>
  <c r="DW38" i="70" s="1"/>
  <c r="DW39" i="70" s="1"/>
  <c r="DW40" i="70" s="1"/>
  <c r="DW41" i="70" s="1"/>
  <c r="DW42" i="70" s="1"/>
  <c r="DW43" i="70" s="1"/>
  <c r="DW44" i="70" s="1"/>
  <c r="DW45" i="70" s="1"/>
  <c r="DW46" i="70" s="1"/>
  <c r="DW47" i="70" s="1"/>
  <c r="DW48" i="70" s="1"/>
  <c r="DW49" i="70" s="1"/>
  <c r="DW50" i="70" s="1"/>
  <c r="DW51" i="70" s="1"/>
  <c r="DW52" i="70" s="1"/>
  <c r="DW53" i="70" s="1"/>
  <c r="DW54" i="70" s="1"/>
  <c r="DW55" i="70" s="1"/>
  <c r="DW56" i="70" s="1"/>
  <c r="DW57" i="70" s="1"/>
  <c r="DW58" i="70" s="1"/>
  <c r="DW59" i="70" s="1"/>
  <c r="DW60" i="70" s="1"/>
  <c r="DW61" i="70" s="1"/>
  <c r="DW62" i="70" s="1"/>
  <c r="DW63" i="70" s="1"/>
  <c r="DW64" i="70" s="1"/>
  <c r="DW65" i="70" s="1"/>
  <c r="DW66" i="70" s="1"/>
  <c r="DW67" i="70" s="1"/>
  <c r="DW68" i="70" s="1"/>
  <c r="DW69" i="70" s="1"/>
  <c r="DW70" i="70" s="1"/>
  <c r="DW71" i="70" s="1"/>
  <c r="DW72" i="70" s="1"/>
  <c r="DW73" i="70" s="1"/>
  <c r="DW74" i="70" s="1"/>
  <c r="DW75" i="70" s="1"/>
  <c r="DW76" i="70" s="1"/>
  <c r="DW77" i="70" s="1"/>
  <c r="DW78" i="70" s="1"/>
  <c r="DW79" i="70" s="1"/>
  <c r="DW80" i="70" s="1"/>
  <c r="DW81" i="70" s="1"/>
  <c r="DW82" i="70" s="1"/>
  <c r="DW83" i="70" s="1"/>
  <c r="DW84" i="70" s="1"/>
  <c r="DW85" i="70" s="1"/>
  <c r="DW86" i="70" s="1"/>
  <c r="DW87" i="70" s="1"/>
  <c r="DW88" i="70" s="1"/>
  <c r="DW89" i="70" s="1"/>
  <c r="DW90" i="70" s="1"/>
  <c r="DW91" i="70" s="1"/>
  <c r="DW92" i="70" s="1"/>
  <c r="DW93" i="70" s="1"/>
  <c r="DW94" i="70" s="1"/>
  <c r="DW95" i="70" s="1"/>
  <c r="DW96" i="70" s="1"/>
  <c r="DW97" i="70" s="1"/>
  <c r="DW98" i="70" s="1"/>
  <c r="DW99" i="70" s="1"/>
  <c r="DW100" i="70" s="1"/>
  <c r="DW101" i="70" s="1"/>
  <c r="DW102" i="70" s="1"/>
  <c r="DW103" i="70" s="1"/>
  <c r="DW104" i="70" s="1"/>
  <c r="DW105" i="70" s="1"/>
  <c r="DW106" i="70" s="1"/>
  <c r="DW107" i="70" s="1"/>
  <c r="DW108" i="70" s="1"/>
  <c r="DW109" i="70" s="1"/>
  <c r="DW110" i="70" s="1"/>
  <c r="DW111" i="70" s="1"/>
  <c r="DW112" i="70" s="1"/>
  <c r="DW113" i="70" s="1"/>
  <c r="DW114" i="70" s="1"/>
  <c r="DW115" i="70" s="1"/>
  <c r="DW116" i="70" s="1"/>
  <c r="DV17" i="70"/>
  <c r="DV18" i="70" s="1"/>
  <c r="DV19" i="70" s="1"/>
  <c r="DV20" i="70" s="1"/>
  <c r="DV21" i="70" s="1"/>
  <c r="DV22" i="70" s="1"/>
  <c r="DV23" i="70" s="1"/>
  <c r="DV24" i="70" s="1"/>
  <c r="DV25" i="70" s="1"/>
  <c r="DV26" i="70" s="1"/>
  <c r="DV27" i="70" s="1"/>
  <c r="DV28" i="70" s="1"/>
  <c r="DV29" i="70" s="1"/>
  <c r="DV30" i="70" s="1"/>
  <c r="DV31" i="70" s="1"/>
  <c r="DV32" i="70" s="1"/>
  <c r="DV33" i="70" s="1"/>
  <c r="DV34" i="70" s="1"/>
  <c r="DV35" i="70" s="1"/>
  <c r="DV36" i="70" s="1"/>
  <c r="DV37" i="70" s="1"/>
  <c r="DV38" i="70" s="1"/>
  <c r="DV39" i="70" s="1"/>
  <c r="DV40" i="70" s="1"/>
  <c r="DV41" i="70" s="1"/>
  <c r="DV42" i="70" s="1"/>
  <c r="DV43" i="70" s="1"/>
  <c r="DV44" i="70" s="1"/>
  <c r="DV45" i="70" s="1"/>
  <c r="DV46" i="70" s="1"/>
  <c r="DV47" i="70" s="1"/>
  <c r="DV48" i="70" s="1"/>
  <c r="DV49" i="70" s="1"/>
  <c r="DV50" i="70" s="1"/>
  <c r="DV51" i="70" s="1"/>
  <c r="DV52" i="70" s="1"/>
  <c r="DV53" i="70" s="1"/>
  <c r="DV54" i="70" s="1"/>
  <c r="DV55" i="70" s="1"/>
  <c r="DV56" i="70" s="1"/>
  <c r="DV57" i="70" s="1"/>
  <c r="DV58" i="70" s="1"/>
  <c r="DV59" i="70" s="1"/>
  <c r="DV60" i="70" s="1"/>
  <c r="DV61" i="70" s="1"/>
  <c r="DV62" i="70" s="1"/>
  <c r="DV63" i="70" s="1"/>
  <c r="DV64" i="70" s="1"/>
  <c r="DV65" i="70" s="1"/>
  <c r="DV66" i="70" s="1"/>
  <c r="DV67" i="70" s="1"/>
  <c r="DV68" i="70" s="1"/>
  <c r="DV69" i="70" s="1"/>
  <c r="DV70" i="70" s="1"/>
  <c r="DV71" i="70" s="1"/>
  <c r="DV72" i="70" s="1"/>
  <c r="DV73" i="70" s="1"/>
  <c r="DV74" i="70" s="1"/>
  <c r="DV75" i="70" s="1"/>
  <c r="DV76" i="70" s="1"/>
  <c r="DV77" i="70" s="1"/>
  <c r="DV78" i="70" s="1"/>
  <c r="DV79" i="70" s="1"/>
  <c r="DV80" i="70" s="1"/>
  <c r="DV81" i="70" s="1"/>
  <c r="DV82" i="70" s="1"/>
  <c r="DV83" i="70" s="1"/>
  <c r="DV84" i="70" s="1"/>
  <c r="DV85" i="70" s="1"/>
  <c r="DV86" i="70" s="1"/>
  <c r="DV87" i="70" s="1"/>
  <c r="DV88" i="70" s="1"/>
  <c r="DV89" i="70" s="1"/>
  <c r="DV90" i="70" s="1"/>
  <c r="DV91" i="70" s="1"/>
  <c r="DV92" i="70" s="1"/>
  <c r="DV93" i="70" s="1"/>
  <c r="DV94" i="70" s="1"/>
  <c r="DV95" i="70" s="1"/>
  <c r="DV96" i="70" s="1"/>
  <c r="DV97" i="70" s="1"/>
  <c r="DV98" i="70" s="1"/>
  <c r="DV99" i="70" s="1"/>
  <c r="DV100" i="70" s="1"/>
  <c r="DV101" i="70" s="1"/>
  <c r="DV102" i="70" s="1"/>
  <c r="DV103" i="70" s="1"/>
  <c r="DV104" i="70" s="1"/>
  <c r="DV105" i="70" s="1"/>
  <c r="DV106" i="70" s="1"/>
  <c r="DV107" i="70" s="1"/>
  <c r="DV108" i="70" s="1"/>
  <c r="DV109" i="70" s="1"/>
  <c r="DV110" i="70" s="1"/>
  <c r="DV111" i="70" s="1"/>
  <c r="DV112" i="70" s="1"/>
  <c r="DV113" i="70" s="1"/>
  <c r="DV114" i="70" s="1"/>
  <c r="DV115" i="70" s="1"/>
  <c r="DV116" i="70" s="1"/>
  <c r="DK17" i="70"/>
  <c r="DL17" i="70" s="1"/>
  <c r="DM17" i="70" s="1"/>
  <c r="DN17" i="70" s="1"/>
  <c r="DO17" i="70" s="1"/>
  <c r="DP17" i="70" s="1"/>
  <c r="DQ17" i="70" s="1"/>
  <c r="DR17" i="70" s="1"/>
  <c r="DS17" i="70" s="1"/>
  <c r="DB17" i="70"/>
  <c r="DF17" i="70" s="1"/>
  <c r="DA17" i="70"/>
  <c r="CZ17" i="70"/>
  <c r="CY17" i="70"/>
  <c r="CE17" i="70"/>
  <c r="CN17" i="70" s="1"/>
  <c r="CD17" i="70"/>
  <c r="CD26" i="70" s="1"/>
  <c r="CC17" i="70"/>
  <c r="CB17" i="70"/>
  <c r="BX17" i="70"/>
  <c r="BX18" i="70" s="1"/>
  <c r="BX19" i="70" s="1"/>
  <c r="BX20" i="70" s="1"/>
  <c r="BW17" i="70"/>
  <c r="BW18" i="70" s="1"/>
  <c r="BW19" i="70" s="1"/>
  <c r="BW20" i="70" s="1"/>
  <c r="BW21" i="70" s="1"/>
  <c r="BW22" i="70" s="1"/>
  <c r="BW23" i="70" s="1"/>
  <c r="BW24" i="70" s="1"/>
  <c r="BW25" i="70" s="1"/>
  <c r="BW26" i="70" s="1"/>
  <c r="BW27" i="70" s="1"/>
  <c r="BW28" i="70" s="1"/>
  <c r="BV17" i="70"/>
  <c r="BV18" i="70" s="1"/>
  <c r="BV19" i="70" s="1"/>
  <c r="BV20" i="70" s="1"/>
  <c r="BV21" i="70" s="1"/>
  <c r="BV22" i="70" s="1"/>
  <c r="BV23" i="70" s="1"/>
  <c r="BV24" i="70" s="1"/>
  <c r="BV25" i="70" s="1"/>
  <c r="BV26" i="70" s="1"/>
  <c r="BV27" i="70" s="1"/>
  <c r="BU17" i="70"/>
  <c r="BU18" i="70" s="1"/>
  <c r="BU19" i="70" s="1"/>
  <c r="BU20" i="70" s="1"/>
  <c r="BU21" i="70" s="1"/>
  <c r="BU22" i="70" s="1"/>
  <c r="BU23" i="70" s="1"/>
  <c r="BU24" i="70" s="1"/>
  <c r="BU25" i="70" s="1"/>
  <c r="BU26" i="70" s="1"/>
  <c r="BU27" i="70" s="1"/>
  <c r="BT17" i="70"/>
  <c r="BT18" i="70" s="1"/>
  <c r="BT19" i="70" s="1"/>
  <c r="BT20" i="70" s="1"/>
  <c r="BT21" i="70" s="1"/>
  <c r="BT22" i="70" s="1"/>
  <c r="BT23" i="70" s="1"/>
  <c r="BT24" i="70" s="1"/>
  <c r="BT25" i="70" s="1"/>
  <c r="BT26" i="70" s="1"/>
  <c r="BT27" i="70" s="1"/>
  <c r="BT28" i="70" s="1"/>
  <c r="BT29" i="70" s="1"/>
  <c r="BT30" i="70" s="1"/>
  <c r="BT31" i="70" s="1"/>
  <c r="BT32" i="70" s="1"/>
  <c r="BT33" i="70" s="1"/>
  <c r="BT34" i="70" s="1"/>
  <c r="BT35" i="70" s="1"/>
  <c r="BT36" i="70" s="1"/>
  <c r="BT37" i="70" s="1"/>
  <c r="BT38" i="70" s="1"/>
  <c r="BT39" i="70" s="1"/>
  <c r="BT40" i="70" s="1"/>
  <c r="BT41" i="70" s="1"/>
  <c r="BT42" i="70" s="1"/>
  <c r="BT43" i="70" s="1"/>
  <c r="BT44" i="70" s="1"/>
  <c r="BT45" i="70" s="1"/>
  <c r="BS17" i="70"/>
  <c r="BS18" i="70" s="1"/>
  <c r="BS19" i="70" s="1"/>
  <c r="BR17" i="70"/>
  <c r="BR18" i="70" s="1"/>
  <c r="BR19" i="70" s="1"/>
  <c r="BR20" i="70" s="1"/>
  <c r="BR21" i="70" s="1"/>
  <c r="BR22" i="70" s="1"/>
  <c r="BR23" i="70" s="1"/>
  <c r="BR24" i="70" s="1"/>
  <c r="BR25" i="70" s="1"/>
  <c r="BR26" i="70" s="1"/>
  <c r="BR27" i="70" s="1"/>
  <c r="BR28" i="70" s="1"/>
  <c r="BQ17" i="70"/>
  <c r="BQ18" i="70" s="1"/>
  <c r="BP17" i="70"/>
  <c r="BP18" i="70" s="1"/>
  <c r="BP19" i="70" s="1"/>
  <c r="BP20" i="70" s="1"/>
  <c r="BP21" i="70" s="1"/>
  <c r="BO17" i="70"/>
  <c r="BO18" i="70" s="1"/>
  <c r="BO19" i="70" s="1"/>
  <c r="BO20" i="70" s="1"/>
  <c r="BO21" i="70" s="1"/>
  <c r="BO22" i="70" s="1"/>
  <c r="BO23" i="70" s="1"/>
  <c r="BO24" i="70" s="1"/>
  <c r="BO25" i="70" s="1"/>
  <c r="BO26" i="70" s="1"/>
  <c r="BO27" i="70" s="1"/>
  <c r="BO28" i="70" s="1"/>
  <c r="BO29" i="70" s="1"/>
  <c r="BN17" i="70"/>
  <c r="BN18" i="70" s="1"/>
  <c r="BN19" i="70" s="1"/>
  <c r="BN20" i="70" s="1"/>
  <c r="BN21" i="70" s="1"/>
  <c r="BN22" i="70" s="1"/>
  <c r="BN23" i="70" s="1"/>
  <c r="BN24" i="70" s="1"/>
  <c r="BN25" i="70" s="1"/>
  <c r="BN26" i="70" s="1"/>
  <c r="BN27" i="70" s="1"/>
  <c r="BN28" i="70" s="1"/>
  <c r="BN29" i="70" s="1"/>
  <c r="BN30" i="70" s="1"/>
  <c r="BN31" i="70" s="1"/>
  <c r="BM17" i="70"/>
  <c r="BM18" i="70" s="1"/>
  <c r="BL17" i="70"/>
  <c r="BL18" i="70" s="1"/>
  <c r="BL19" i="70" s="1"/>
  <c r="BL20" i="70" s="1"/>
  <c r="BL21" i="70" s="1"/>
  <c r="BL22" i="70" s="1"/>
  <c r="BK17" i="70"/>
  <c r="BK18" i="70" s="1"/>
  <c r="BK19" i="70" s="1"/>
  <c r="BK20" i="70" s="1"/>
  <c r="BJ17" i="70"/>
  <c r="BJ18" i="70" s="1"/>
  <c r="BJ19" i="70" s="1"/>
  <c r="BJ20" i="70" s="1"/>
  <c r="BJ21" i="70" s="1"/>
  <c r="BJ22" i="70" s="1"/>
  <c r="BJ23" i="70" s="1"/>
  <c r="BJ24" i="70" s="1"/>
  <c r="BJ25" i="70" s="1"/>
  <c r="BJ26" i="70" s="1"/>
  <c r="BJ27" i="70" s="1"/>
  <c r="BJ28" i="70" s="1"/>
  <c r="BJ29" i="70" s="1"/>
  <c r="BJ30" i="70" s="1"/>
  <c r="BJ31" i="70" s="1"/>
  <c r="BJ32" i="70" s="1"/>
  <c r="BI17" i="70"/>
  <c r="BI18" i="70" s="1"/>
  <c r="BI19" i="70" s="1"/>
  <c r="BI20" i="70" s="1"/>
  <c r="BH17" i="70"/>
  <c r="BH18" i="70" s="1"/>
  <c r="BH19" i="70" s="1"/>
  <c r="BH20" i="70" s="1"/>
  <c r="BH21" i="70" s="1"/>
  <c r="BH22" i="70" s="1"/>
  <c r="BH23" i="70" s="1"/>
  <c r="BH24" i="70" s="1"/>
  <c r="BH25" i="70" s="1"/>
  <c r="BH26" i="70" s="1"/>
  <c r="BH27" i="70" s="1"/>
  <c r="BH28" i="70" s="1"/>
  <c r="BH29" i="70" s="1"/>
  <c r="BH30" i="70" s="1"/>
  <c r="BH31" i="70" s="1"/>
  <c r="BH32" i="70" s="1"/>
  <c r="BH33" i="70" s="1"/>
  <c r="BH34" i="70" s="1"/>
  <c r="BH35" i="70" s="1"/>
  <c r="BH36" i="70" s="1"/>
  <c r="BH37" i="70" s="1"/>
  <c r="BH38" i="70" s="1"/>
  <c r="BH39" i="70" s="1"/>
  <c r="BH40" i="70" s="1"/>
  <c r="BH41" i="70" s="1"/>
  <c r="BH42" i="70" s="1"/>
  <c r="BH43" i="70" s="1"/>
  <c r="BH44" i="70" s="1"/>
  <c r="BD17" i="70"/>
  <c r="BD18" i="70" s="1"/>
  <c r="BD19" i="70" s="1"/>
  <c r="BD20" i="70" s="1"/>
  <c r="BD21" i="70" s="1"/>
  <c r="BD22" i="70" s="1"/>
  <c r="BD23" i="70" s="1"/>
  <c r="BD24" i="70" s="1"/>
  <c r="BD25" i="70" s="1"/>
  <c r="BD26" i="70" s="1"/>
  <c r="BD27" i="70" s="1"/>
  <c r="BD28" i="70" s="1"/>
  <c r="BD29" i="70" s="1"/>
  <c r="BD30" i="70" s="1"/>
  <c r="BD31" i="70" s="1"/>
  <c r="BD32" i="70" s="1"/>
  <c r="BD33" i="70" s="1"/>
  <c r="BD34" i="70" s="1"/>
  <c r="BD35" i="70" s="1"/>
  <c r="BD36" i="70" s="1"/>
  <c r="BD37" i="70" s="1"/>
  <c r="BD38" i="70" s="1"/>
  <c r="BD39" i="70" s="1"/>
  <c r="BD40" i="70" s="1"/>
  <c r="BD41" i="70" s="1"/>
  <c r="BD42" i="70" s="1"/>
  <c r="BD43" i="70" s="1"/>
  <c r="BD44" i="70" s="1"/>
  <c r="BD45" i="70" s="1"/>
  <c r="BD46" i="70" s="1"/>
  <c r="BD47" i="70" s="1"/>
  <c r="BD48" i="70" s="1"/>
  <c r="BD49" i="70" s="1"/>
  <c r="BD50" i="70" s="1"/>
  <c r="BD51" i="70" s="1"/>
  <c r="BD52" i="70" s="1"/>
  <c r="BD53" i="70" s="1"/>
  <c r="BD54" i="70" s="1"/>
  <c r="BD55" i="70" s="1"/>
  <c r="BD56" i="70" s="1"/>
  <c r="BD57" i="70" s="1"/>
  <c r="BD58" i="70" s="1"/>
  <c r="BD59" i="70" s="1"/>
  <c r="BD60" i="70" s="1"/>
  <c r="BD61" i="70" s="1"/>
  <c r="BD62" i="70" s="1"/>
  <c r="BD63" i="70" s="1"/>
  <c r="BD64" i="70" s="1"/>
  <c r="BD65" i="70" s="1"/>
  <c r="BD66" i="70" s="1"/>
  <c r="BD67" i="70" s="1"/>
  <c r="BD68" i="70" s="1"/>
  <c r="BD69" i="70" s="1"/>
  <c r="BD70" i="70" s="1"/>
  <c r="BD71" i="70" s="1"/>
  <c r="BD72" i="70" s="1"/>
  <c r="BD73" i="70" s="1"/>
  <c r="BD74" i="70" s="1"/>
  <c r="BD75" i="70" s="1"/>
  <c r="BD76" i="70" s="1"/>
  <c r="BD77" i="70" s="1"/>
  <c r="BD78" i="70" s="1"/>
  <c r="BD79" i="70" s="1"/>
  <c r="BD80" i="70" s="1"/>
  <c r="BD81" i="70" s="1"/>
  <c r="BD82" i="70" s="1"/>
  <c r="BD83" i="70" s="1"/>
  <c r="BD84" i="70" s="1"/>
  <c r="BD85" i="70" s="1"/>
  <c r="BD86" i="70" s="1"/>
  <c r="BD87" i="70" s="1"/>
  <c r="BD88" i="70" s="1"/>
  <c r="BD89" i="70" s="1"/>
  <c r="BD90" i="70" s="1"/>
  <c r="BD91" i="70" s="1"/>
  <c r="BD92" i="70" s="1"/>
  <c r="BD93" i="70" s="1"/>
  <c r="BD94" i="70" s="1"/>
  <c r="BD95" i="70" s="1"/>
  <c r="BD96" i="70" s="1"/>
  <c r="BD97" i="70" s="1"/>
  <c r="BD98" i="70" s="1"/>
  <c r="BD99" i="70" s="1"/>
  <c r="BD100" i="70" s="1"/>
  <c r="BD101" i="70" s="1"/>
  <c r="BD102" i="70" s="1"/>
  <c r="BD103" i="70" s="1"/>
  <c r="BD104" i="70" s="1"/>
  <c r="BD105" i="70" s="1"/>
  <c r="BD106" i="70" s="1"/>
  <c r="BD107" i="70" s="1"/>
  <c r="BD108" i="70" s="1"/>
  <c r="BD109" i="70" s="1"/>
  <c r="BD110" i="70" s="1"/>
  <c r="BD111" i="70" s="1"/>
  <c r="BD112" i="70" s="1"/>
  <c r="BD113" i="70" s="1"/>
  <c r="BD114" i="70" s="1"/>
  <c r="BC17" i="70"/>
  <c r="BC18" i="70" s="1"/>
  <c r="BC19" i="70" s="1"/>
  <c r="BC20" i="70" s="1"/>
  <c r="BC21" i="70" s="1"/>
  <c r="BC22" i="70" s="1"/>
  <c r="BC23" i="70" s="1"/>
  <c r="BC24" i="70" s="1"/>
  <c r="BC25" i="70" s="1"/>
  <c r="BC26" i="70" s="1"/>
  <c r="BC27" i="70" s="1"/>
  <c r="BC28" i="70" s="1"/>
  <c r="BC29" i="70" s="1"/>
  <c r="BC30" i="70" s="1"/>
  <c r="BC31" i="70" s="1"/>
  <c r="BC32" i="70" s="1"/>
  <c r="BC33" i="70" s="1"/>
  <c r="BC34" i="70" s="1"/>
  <c r="BC35" i="70" s="1"/>
  <c r="BC36" i="70" s="1"/>
  <c r="BC37" i="70" s="1"/>
  <c r="BC38" i="70" s="1"/>
  <c r="BC39" i="70" s="1"/>
  <c r="BC40" i="70" s="1"/>
  <c r="BC41" i="70" s="1"/>
  <c r="BC42" i="70" s="1"/>
  <c r="BC43" i="70" s="1"/>
  <c r="BC44" i="70" s="1"/>
  <c r="BC45" i="70" s="1"/>
  <c r="BC46" i="70" s="1"/>
  <c r="BC47" i="70" s="1"/>
  <c r="BC48" i="70" s="1"/>
  <c r="BC49" i="70" s="1"/>
  <c r="BC50" i="70" s="1"/>
  <c r="BC51" i="70" s="1"/>
  <c r="BC52" i="70" s="1"/>
  <c r="BC53" i="70" s="1"/>
  <c r="BC54" i="70" s="1"/>
  <c r="BC55" i="70" s="1"/>
  <c r="BC56" i="70" s="1"/>
  <c r="BC57" i="70" s="1"/>
  <c r="BC58" i="70" s="1"/>
  <c r="BC59" i="70" s="1"/>
  <c r="BC60" i="70" s="1"/>
  <c r="BC61" i="70" s="1"/>
  <c r="BC62" i="70" s="1"/>
  <c r="BC63" i="70" s="1"/>
  <c r="BC64" i="70" s="1"/>
  <c r="BC65" i="70" s="1"/>
  <c r="BC66" i="70" s="1"/>
  <c r="BC67" i="70" s="1"/>
  <c r="BC68" i="70" s="1"/>
  <c r="BC69" i="70" s="1"/>
  <c r="BC70" i="70" s="1"/>
  <c r="BC71" i="70" s="1"/>
  <c r="BC72" i="70" s="1"/>
  <c r="BC73" i="70" s="1"/>
  <c r="BC74" i="70" s="1"/>
  <c r="BC75" i="70" s="1"/>
  <c r="BC76" i="70" s="1"/>
  <c r="BC77" i="70" s="1"/>
  <c r="BC78" i="70" s="1"/>
  <c r="BC79" i="70" s="1"/>
  <c r="BC80" i="70" s="1"/>
  <c r="BC81" i="70" s="1"/>
  <c r="BC82" i="70" s="1"/>
  <c r="BC83" i="70" s="1"/>
  <c r="BC84" i="70" s="1"/>
  <c r="BC85" i="70" s="1"/>
  <c r="BC86" i="70" s="1"/>
  <c r="BC87" i="70" s="1"/>
  <c r="BC88" i="70" s="1"/>
  <c r="BC89" i="70" s="1"/>
  <c r="BC90" i="70" s="1"/>
  <c r="BC91" i="70" s="1"/>
  <c r="BC92" i="70" s="1"/>
  <c r="BC93" i="70" s="1"/>
  <c r="BC94" i="70" s="1"/>
  <c r="BC95" i="70" s="1"/>
  <c r="BC96" i="70" s="1"/>
  <c r="BC97" i="70" s="1"/>
  <c r="BC98" i="70" s="1"/>
  <c r="BC99" i="70" s="1"/>
  <c r="BC100" i="70" s="1"/>
  <c r="BC101" i="70" s="1"/>
  <c r="BC102" i="70" s="1"/>
  <c r="BC103" i="70" s="1"/>
  <c r="BC104" i="70" s="1"/>
  <c r="BC105" i="70" s="1"/>
  <c r="BC106" i="70" s="1"/>
  <c r="BC107" i="70" s="1"/>
  <c r="BC108" i="70" s="1"/>
  <c r="BC109" i="70" s="1"/>
  <c r="BC110" i="70" s="1"/>
  <c r="BC111" i="70" s="1"/>
  <c r="BC112" i="70" s="1"/>
  <c r="BC113" i="70" s="1"/>
  <c r="BC114" i="70" s="1"/>
  <c r="BC115" i="70" s="1"/>
  <c r="BC116" i="70" s="1"/>
  <c r="BB17" i="70"/>
  <c r="BB18" i="70" s="1"/>
  <c r="BB19" i="70" s="1"/>
  <c r="BB20" i="70" s="1"/>
  <c r="BB21" i="70" s="1"/>
  <c r="BB22" i="70" s="1"/>
  <c r="BB23" i="70" s="1"/>
  <c r="BB24" i="70" s="1"/>
  <c r="BB25" i="70" s="1"/>
  <c r="BB26" i="70" s="1"/>
  <c r="BB27" i="70" s="1"/>
  <c r="BB28" i="70" s="1"/>
  <c r="BB29" i="70" s="1"/>
  <c r="BB30" i="70" s="1"/>
  <c r="BB31" i="70" s="1"/>
  <c r="BB32" i="70" s="1"/>
  <c r="BB33" i="70" s="1"/>
  <c r="BB34" i="70" s="1"/>
  <c r="BA17" i="70"/>
  <c r="BA18" i="70" s="1"/>
  <c r="BA19" i="70" s="1"/>
  <c r="BA20" i="70" s="1"/>
  <c r="AZ17" i="70"/>
  <c r="AZ18" i="70" s="1"/>
  <c r="AZ19" i="70" s="1"/>
  <c r="AZ20" i="70" s="1"/>
  <c r="AZ21" i="70" s="1"/>
  <c r="AZ22" i="70" s="1"/>
  <c r="AZ23" i="70" s="1"/>
  <c r="AZ24" i="70" s="1"/>
  <c r="AY17" i="70"/>
  <c r="AY18" i="70" s="1"/>
  <c r="AY19" i="70" s="1"/>
  <c r="AY20" i="70" s="1"/>
  <c r="AY21" i="70" s="1"/>
  <c r="AY22" i="70" s="1"/>
  <c r="AY23" i="70" s="1"/>
  <c r="AY24" i="70" s="1"/>
  <c r="AY25" i="70" s="1"/>
  <c r="AY26" i="70" s="1"/>
  <c r="AY27" i="70" s="1"/>
  <c r="AY28" i="70" s="1"/>
  <c r="AX17" i="70"/>
  <c r="AX18" i="70" s="1"/>
  <c r="AX19" i="70" s="1"/>
  <c r="AX20" i="70" s="1"/>
  <c r="AX21" i="70" s="1"/>
  <c r="AX22" i="70" s="1"/>
  <c r="AX23" i="70" s="1"/>
  <c r="AX24" i="70" s="1"/>
  <c r="AX25" i="70" s="1"/>
  <c r="AX26" i="70" s="1"/>
  <c r="AX27" i="70" s="1"/>
  <c r="AX28" i="70" s="1"/>
  <c r="AX29" i="70" s="1"/>
  <c r="AX30" i="70" s="1"/>
  <c r="AX31" i="70" s="1"/>
  <c r="AX32" i="70" s="1"/>
  <c r="AX33" i="70" s="1"/>
  <c r="AX34" i="70" s="1"/>
  <c r="AX35" i="70" s="1"/>
  <c r="AX36" i="70" s="1"/>
  <c r="AX37" i="70" s="1"/>
  <c r="AX38" i="70" s="1"/>
  <c r="AX39" i="70" s="1"/>
  <c r="AX40" i="70" s="1"/>
  <c r="AX41" i="70" s="1"/>
  <c r="AX42" i="70" s="1"/>
  <c r="AX43" i="70" s="1"/>
  <c r="AX44" i="70" s="1"/>
  <c r="AX45" i="70" s="1"/>
  <c r="AX46" i="70" s="1"/>
  <c r="AX47" i="70" s="1"/>
  <c r="AX48" i="70" s="1"/>
  <c r="AX49" i="70" s="1"/>
  <c r="AX50" i="70" s="1"/>
  <c r="AX51" i="70" s="1"/>
  <c r="AX52" i="70" s="1"/>
  <c r="AX53" i="70" s="1"/>
  <c r="AX54" i="70" s="1"/>
  <c r="AX55" i="70" s="1"/>
  <c r="AX56" i="70" s="1"/>
  <c r="AX57" i="70" s="1"/>
  <c r="AX58" i="70" s="1"/>
  <c r="AX59" i="70" s="1"/>
  <c r="AX60" i="70" s="1"/>
  <c r="AX61" i="70" s="1"/>
  <c r="AX62" i="70" s="1"/>
  <c r="AX63" i="70" s="1"/>
  <c r="AX64" i="70" s="1"/>
  <c r="AX65" i="70" s="1"/>
  <c r="AX66" i="70" s="1"/>
  <c r="AX67" i="70" s="1"/>
  <c r="AX68" i="70" s="1"/>
  <c r="AX69" i="70" s="1"/>
  <c r="AX70" i="70" s="1"/>
  <c r="AX71" i="70" s="1"/>
  <c r="AX72" i="70" s="1"/>
  <c r="AX73" i="70" s="1"/>
  <c r="AX74" i="70" s="1"/>
  <c r="AX75" i="70" s="1"/>
  <c r="AX76" i="70" s="1"/>
  <c r="AX77" i="70" s="1"/>
  <c r="AX78" i="70" s="1"/>
  <c r="AX79" i="70" s="1"/>
  <c r="AX80" i="70" s="1"/>
  <c r="AX81" i="70" s="1"/>
  <c r="AX82" i="70" s="1"/>
  <c r="AX83" i="70" s="1"/>
  <c r="AX84" i="70" s="1"/>
  <c r="AX85" i="70" s="1"/>
  <c r="AX86" i="70" s="1"/>
  <c r="AX87" i="70" s="1"/>
  <c r="AX88" i="70" s="1"/>
  <c r="AX89" i="70" s="1"/>
  <c r="AX90" i="70" s="1"/>
  <c r="AX91" i="70" s="1"/>
  <c r="AX92" i="70" s="1"/>
  <c r="AX93" i="70" s="1"/>
  <c r="AX94" i="70" s="1"/>
  <c r="AX95" i="70" s="1"/>
  <c r="AX96" i="70" s="1"/>
  <c r="AX97" i="70" s="1"/>
  <c r="AX98" i="70" s="1"/>
  <c r="AX99" i="70" s="1"/>
  <c r="AX100" i="70" s="1"/>
  <c r="AX101" i="70" s="1"/>
  <c r="AX102" i="70" s="1"/>
  <c r="AX103" i="70" s="1"/>
  <c r="AX104" i="70" s="1"/>
  <c r="AX105" i="70" s="1"/>
  <c r="AX106" i="70" s="1"/>
  <c r="AX107" i="70" s="1"/>
  <c r="AX108" i="70" s="1"/>
  <c r="AX109" i="70" s="1"/>
  <c r="AX110" i="70" s="1"/>
  <c r="AX111" i="70" s="1"/>
  <c r="AX112" i="70" s="1"/>
  <c r="AX113" i="70" s="1"/>
  <c r="AX114" i="70" s="1"/>
  <c r="AX115" i="70" s="1"/>
  <c r="AX116" i="70" s="1"/>
  <c r="AW17" i="70"/>
  <c r="AW18" i="70" s="1"/>
  <c r="AW19" i="70" s="1"/>
  <c r="AW20" i="70" s="1"/>
  <c r="AW21" i="70" s="1"/>
  <c r="AW22" i="70" s="1"/>
  <c r="AV17" i="70"/>
  <c r="AV18" i="70" s="1"/>
  <c r="AV19" i="70" s="1"/>
  <c r="AV20" i="70" s="1"/>
  <c r="AV21" i="70" s="1"/>
  <c r="AV22" i="70" s="1"/>
  <c r="AV23" i="70" s="1"/>
  <c r="AV24" i="70" s="1"/>
  <c r="AV25" i="70" s="1"/>
  <c r="AV26" i="70" s="1"/>
  <c r="AV27" i="70" s="1"/>
  <c r="AV28" i="70" s="1"/>
  <c r="AV29" i="70" s="1"/>
  <c r="AV30" i="70" s="1"/>
  <c r="AV31" i="70" s="1"/>
  <c r="AV32" i="70" s="1"/>
  <c r="AV33" i="70" s="1"/>
  <c r="AV34" i="70" s="1"/>
  <c r="AV35" i="70" s="1"/>
  <c r="AV36" i="70" s="1"/>
  <c r="AV37" i="70" s="1"/>
  <c r="AV38" i="70" s="1"/>
  <c r="AV39" i="70" s="1"/>
  <c r="AV40" i="70" s="1"/>
  <c r="AV41" i="70" s="1"/>
  <c r="AV42" i="70" s="1"/>
  <c r="AV43" i="70" s="1"/>
  <c r="AU17" i="70"/>
  <c r="AU18" i="70" s="1"/>
  <c r="AU19" i="70" s="1"/>
  <c r="AU20" i="70" s="1"/>
  <c r="AU21" i="70" s="1"/>
  <c r="AU22" i="70" s="1"/>
  <c r="AU23" i="70" s="1"/>
  <c r="AU24" i="70" s="1"/>
  <c r="AU25" i="70" s="1"/>
  <c r="AU26" i="70" s="1"/>
  <c r="AU27" i="70" s="1"/>
  <c r="AU28" i="70" s="1"/>
  <c r="AU29" i="70" s="1"/>
  <c r="AU30" i="70" s="1"/>
  <c r="AU31" i="70" s="1"/>
  <c r="AU32" i="70" s="1"/>
  <c r="AU33" i="70" s="1"/>
  <c r="AU34" i="70" s="1"/>
  <c r="AU35" i="70" s="1"/>
  <c r="AU36" i="70" s="1"/>
  <c r="AU37" i="70" s="1"/>
  <c r="AU38" i="70" s="1"/>
  <c r="AU39" i="70" s="1"/>
  <c r="AU40" i="70" s="1"/>
  <c r="AU41" i="70" s="1"/>
  <c r="AU42" i="70" s="1"/>
  <c r="AU43" i="70" s="1"/>
  <c r="AU44" i="70" s="1"/>
  <c r="AU45" i="70" s="1"/>
  <c r="AU46" i="70" s="1"/>
  <c r="AU47" i="70" s="1"/>
  <c r="AU48" i="70" s="1"/>
  <c r="AU49" i="70" s="1"/>
  <c r="AU50" i="70" s="1"/>
  <c r="AU51" i="70" s="1"/>
  <c r="AU52" i="70" s="1"/>
  <c r="AU53" i="70" s="1"/>
  <c r="AU54" i="70" s="1"/>
  <c r="AU55" i="70" s="1"/>
  <c r="AU56" i="70" s="1"/>
  <c r="AU57" i="70" s="1"/>
  <c r="AU58" i="70" s="1"/>
  <c r="AU59" i="70" s="1"/>
  <c r="AU60" i="70" s="1"/>
  <c r="AU61" i="70" s="1"/>
  <c r="AU62" i="70" s="1"/>
  <c r="AU63" i="70" s="1"/>
  <c r="AU64" i="70" s="1"/>
  <c r="AU65" i="70" s="1"/>
  <c r="AU66" i="70" s="1"/>
  <c r="AU67" i="70" s="1"/>
  <c r="AU68" i="70" s="1"/>
  <c r="AU69" i="70" s="1"/>
  <c r="AU70" i="70" s="1"/>
  <c r="AU71" i="70" s="1"/>
  <c r="AU72" i="70" s="1"/>
  <c r="AU73" i="70" s="1"/>
  <c r="AU74" i="70" s="1"/>
  <c r="AU75" i="70" s="1"/>
  <c r="AU76" i="70" s="1"/>
  <c r="AU77" i="70" s="1"/>
  <c r="AU78" i="70" s="1"/>
  <c r="AU79" i="70" s="1"/>
  <c r="AU80" i="70" s="1"/>
  <c r="AU81" i="70" s="1"/>
  <c r="AU82" i="70" s="1"/>
  <c r="AU83" i="70" s="1"/>
  <c r="AU84" i="70" s="1"/>
  <c r="AU85" i="70" s="1"/>
  <c r="AU86" i="70" s="1"/>
  <c r="AU87" i="70" s="1"/>
  <c r="AU88" i="70" s="1"/>
  <c r="AU89" i="70" s="1"/>
  <c r="AU90" i="70" s="1"/>
  <c r="AU91" i="70" s="1"/>
  <c r="AU92" i="70" s="1"/>
  <c r="AU93" i="70" s="1"/>
  <c r="AU94" i="70" s="1"/>
  <c r="AU95" i="70" s="1"/>
  <c r="AU96" i="70" s="1"/>
  <c r="AU97" i="70" s="1"/>
  <c r="AU98" i="70" s="1"/>
  <c r="AU99" i="70" s="1"/>
  <c r="AU100" i="70" s="1"/>
  <c r="AU101" i="70" s="1"/>
  <c r="AU102" i="70" s="1"/>
  <c r="AU103" i="70" s="1"/>
  <c r="AU104" i="70" s="1"/>
  <c r="AU105" i="70" s="1"/>
  <c r="AU106" i="70" s="1"/>
  <c r="AU107" i="70" s="1"/>
  <c r="AU108" i="70" s="1"/>
  <c r="AU109" i="70" s="1"/>
  <c r="AU110" i="70" s="1"/>
  <c r="AU111" i="70" s="1"/>
  <c r="AU112" i="70" s="1"/>
  <c r="AU113" i="70" s="1"/>
  <c r="AU114" i="70" s="1"/>
  <c r="AU115" i="70" s="1"/>
  <c r="AU116" i="70" s="1"/>
  <c r="AT17" i="70"/>
  <c r="AT18" i="70" s="1"/>
  <c r="AT19" i="70" s="1"/>
  <c r="AT20" i="70" s="1"/>
  <c r="AT21" i="70" s="1"/>
  <c r="AT22" i="70" s="1"/>
  <c r="AT23" i="70" s="1"/>
  <c r="AT24" i="70" s="1"/>
  <c r="AT25" i="70" s="1"/>
  <c r="AT26" i="70" s="1"/>
  <c r="AT27" i="70" s="1"/>
  <c r="AT28" i="70" s="1"/>
  <c r="AT29" i="70" s="1"/>
  <c r="AT30" i="70" s="1"/>
  <c r="AT31" i="70" s="1"/>
  <c r="AT32" i="70" s="1"/>
  <c r="AT33" i="70" s="1"/>
  <c r="AT34" i="70" s="1"/>
  <c r="AT35" i="70" s="1"/>
  <c r="AT36" i="70" s="1"/>
  <c r="AT37" i="70" s="1"/>
  <c r="AT38" i="70" s="1"/>
  <c r="AT39" i="70" s="1"/>
  <c r="AS17" i="70"/>
  <c r="AS18" i="70" s="1"/>
  <c r="AR17" i="70"/>
  <c r="AR18" i="70" s="1"/>
  <c r="AR19" i="70" s="1"/>
  <c r="AR20" i="70" s="1"/>
  <c r="AR21" i="70" s="1"/>
  <c r="AR22" i="70" s="1"/>
  <c r="AR23" i="70" s="1"/>
  <c r="AR24" i="70" s="1"/>
  <c r="AR25" i="70" s="1"/>
  <c r="AQ17" i="70"/>
  <c r="AQ18" i="70" s="1"/>
  <c r="AQ19" i="70" s="1"/>
  <c r="AQ20" i="70" s="1"/>
  <c r="AQ21" i="70" s="1"/>
  <c r="AQ22" i="70" s="1"/>
  <c r="AQ23" i="70" s="1"/>
  <c r="AQ24" i="70" s="1"/>
  <c r="AQ25" i="70" s="1"/>
  <c r="AQ26" i="70" s="1"/>
  <c r="AQ27" i="70" s="1"/>
  <c r="AQ28" i="70" s="1"/>
  <c r="AQ29" i="70" s="1"/>
  <c r="AQ30" i="70" s="1"/>
  <c r="AQ31" i="70" s="1"/>
  <c r="AQ32" i="70" s="1"/>
  <c r="AQ33" i="70" s="1"/>
  <c r="AQ34" i="70" s="1"/>
  <c r="AN17" i="70"/>
  <c r="AN18" i="70" s="1"/>
  <c r="AN19" i="70" s="1"/>
  <c r="AN20" i="70" s="1"/>
  <c r="AN21" i="70" s="1"/>
  <c r="AN22" i="70" s="1"/>
  <c r="AN23" i="70" s="1"/>
  <c r="AN24" i="70" s="1"/>
  <c r="AN25" i="70" s="1"/>
  <c r="AN26" i="70" s="1"/>
  <c r="AM17" i="70"/>
  <c r="AM18" i="70" s="1"/>
  <c r="AM19" i="70" s="1"/>
  <c r="AM20" i="70" s="1"/>
  <c r="AM21" i="70" s="1"/>
  <c r="AM22" i="70" s="1"/>
  <c r="AM23" i="70" s="1"/>
  <c r="AM24" i="70" s="1"/>
  <c r="AM25" i="70" s="1"/>
  <c r="AM26" i="70" s="1"/>
  <c r="AL17" i="70"/>
  <c r="AL18" i="70" s="1"/>
  <c r="AL19" i="70" s="1"/>
  <c r="AL20" i="70" s="1"/>
  <c r="AL21" i="70" s="1"/>
  <c r="AL22" i="70" s="1"/>
  <c r="AL23" i="70" s="1"/>
  <c r="AL24" i="70" s="1"/>
  <c r="AL25" i="70" s="1"/>
  <c r="AL26" i="70" s="1"/>
  <c r="AK17" i="70"/>
  <c r="AI17" i="70"/>
  <c r="AI18" i="70" s="1"/>
  <c r="AI19" i="70" s="1"/>
  <c r="AI20" i="70" s="1"/>
  <c r="AI21" i="70" s="1"/>
  <c r="AI22" i="70" s="1"/>
  <c r="AI23" i="70" s="1"/>
  <c r="AI24" i="70" s="1"/>
  <c r="AI25" i="70" s="1"/>
  <c r="AI26" i="70" s="1"/>
  <c r="AH17" i="70"/>
  <c r="AH18" i="70" s="1"/>
  <c r="AH19" i="70" s="1"/>
  <c r="AH20" i="70" s="1"/>
  <c r="AH21" i="70" s="1"/>
  <c r="AH22" i="70" s="1"/>
  <c r="AH23" i="70" s="1"/>
  <c r="AH24" i="70" s="1"/>
  <c r="AH25" i="70" s="1"/>
  <c r="AH26" i="70" s="1"/>
  <c r="AG17" i="70"/>
  <c r="AG18" i="70" s="1"/>
  <c r="AG19" i="70" s="1"/>
  <c r="AG20" i="70" s="1"/>
  <c r="AG21" i="70" s="1"/>
  <c r="AG22" i="70" s="1"/>
  <c r="AG23" i="70" s="1"/>
  <c r="AG24" i="70" s="1"/>
  <c r="AG25" i="70" s="1"/>
  <c r="AG26" i="70" s="1"/>
  <c r="AF17" i="70"/>
  <c r="AF18" i="70" s="1"/>
  <c r="AF19" i="70" s="1"/>
  <c r="AF20" i="70" s="1"/>
  <c r="AF21" i="70" s="1"/>
  <c r="AF22" i="70" s="1"/>
  <c r="AF23" i="70" s="1"/>
  <c r="AF24" i="70" s="1"/>
  <c r="AF25" i="70" s="1"/>
  <c r="AF26" i="70" s="1"/>
  <c r="AE17" i="70"/>
  <c r="AE18" i="70" s="1"/>
  <c r="AE19" i="70" s="1"/>
  <c r="AE20" i="70" s="1"/>
  <c r="AE21" i="70" s="1"/>
  <c r="AE22" i="70" s="1"/>
  <c r="AE23" i="70" s="1"/>
  <c r="AE24" i="70" s="1"/>
  <c r="AE25" i="70" s="1"/>
  <c r="AE26" i="70" s="1"/>
  <c r="AD17" i="70"/>
  <c r="AB17" i="70"/>
  <c r="AB18" i="70" s="1"/>
  <c r="AB19" i="70" s="1"/>
  <c r="AB20" i="70" s="1"/>
  <c r="AB21" i="70" s="1"/>
  <c r="AB22" i="70" s="1"/>
  <c r="AB23" i="70" s="1"/>
  <c r="AB24" i="70" s="1"/>
  <c r="AB25" i="70" s="1"/>
  <c r="AB26" i="70" s="1"/>
  <c r="AB27" i="70" s="1"/>
  <c r="AB28" i="70" s="1"/>
  <c r="AA17" i="70"/>
  <c r="AA18" i="70" s="1"/>
  <c r="AA19" i="70" s="1"/>
  <c r="AA20" i="70" s="1"/>
  <c r="AA21" i="70" s="1"/>
  <c r="AA22" i="70" s="1"/>
  <c r="AA23" i="70" s="1"/>
  <c r="AA24" i="70" s="1"/>
  <c r="AA25" i="70" s="1"/>
  <c r="AA26" i="70" s="1"/>
  <c r="AA27" i="70" s="1"/>
  <c r="AA28" i="70" s="1"/>
  <c r="Z17" i="70"/>
  <c r="Z18" i="70" s="1"/>
  <c r="Z19" i="70" s="1"/>
  <c r="Z20" i="70" s="1"/>
  <c r="Z21" i="70" s="1"/>
  <c r="Z22" i="70" s="1"/>
  <c r="Z23" i="70" s="1"/>
  <c r="Z24" i="70" s="1"/>
  <c r="Z25" i="70" s="1"/>
  <c r="Z26" i="70" s="1"/>
  <c r="Z27" i="70" s="1"/>
  <c r="Z28" i="70" s="1"/>
  <c r="Y17" i="70"/>
  <c r="Y18" i="70" s="1"/>
  <c r="Y19" i="70" s="1"/>
  <c r="Y20" i="70" s="1"/>
  <c r="Y21" i="70" s="1"/>
  <c r="Y22" i="70" s="1"/>
  <c r="Y23" i="70" s="1"/>
  <c r="Y24" i="70" s="1"/>
  <c r="Y25" i="70" s="1"/>
  <c r="Y26" i="70" s="1"/>
  <c r="Y27" i="70" s="1"/>
  <c r="Y28" i="70" s="1"/>
  <c r="X17" i="70"/>
  <c r="X18" i="70" s="1"/>
  <c r="X19" i="70" s="1"/>
  <c r="X20" i="70" s="1"/>
  <c r="X21" i="70" s="1"/>
  <c r="X22" i="70" s="1"/>
  <c r="X23" i="70" s="1"/>
  <c r="X24" i="70" s="1"/>
  <c r="X25" i="70" s="1"/>
  <c r="X26" i="70" s="1"/>
  <c r="X27" i="70" s="1"/>
  <c r="X28" i="70" s="1"/>
  <c r="W17" i="70"/>
  <c r="W18" i="70" s="1"/>
  <c r="W19" i="70" s="1"/>
  <c r="W20" i="70" s="1"/>
  <c r="W21" i="70" s="1"/>
  <c r="W22" i="70" s="1"/>
  <c r="W23" i="70" s="1"/>
  <c r="W24" i="70" s="1"/>
  <c r="W25" i="70" s="1"/>
  <c r="W26" i="70" s="1"/>
  <c r="W27" i="70" s="1"/>
  <c r="W28" i="70" s="1"/>
  <c r="V17" i="70"/>
  <c r="T17" i="70"/>
  <c r="T18" i="70" s="1"/>
  <c r="T19" i="70" s="1"/>
  <c r="T20" i="70" s="1"/>
  <c r="T21" i="70" s="1"/>
  <c r="T22" i="70" s="1"/>
  <c r="T23" i="70" s="1"/>
  <c r="T24" i="70" s="1"/>
  <c r="T25" i="70" s="1"/>
  <c r="T26" i="70" s="1"/>
  <c r="S17" i="70"/>
  <c r="S18" i="70" s="1"/>
  <c r="S19" i="70" s="1"/>
  <c r="S20" i="70" s="1"/>
  <c r="S21" i="70" s="1"/>
  <c r="S22" i="70" s="1"/>
  <c r="S23" i="70" s="1"/>
  <c r="S24" i="70" s="1"/>
  <c r="S25" i="70" s="1"/>
  <c r="S26" i="70" s="1"/>
  <c r="R17" i="70"/>
  <c r="R18" i="70" s="1"/>
  <c r="R19" i="70" s="1"/>
  <c r="R20" i="70" s="1"/>
  <c r="R21" i="70" s="1"/>
  <c r="R22" i="70" s="1"/>
  <c r="R23" i="70" s="1"/>
  <c r="R24" i="70" s="1"/>
  <c r="R25" i="70" s="1"/>
  <c r="R26" i="70" s="1"/>
  <c r="Q17" i="70"/>
  <c r="O17" i="70"/>
  <c r="O18" i="70" s="1"/>
  <c r="O19" i="70" s="1"/>
  <c r="O20" i="70" s="1"/>
  <c r="O21" i="70" s="1"/>
  <c r="O22" i="70" s="1"/>
  <c r="O23" i="70" s="1"/>
  <c r="O24" i="70" s="1"/>
  <c r="O25" i="70" s="1"/>
  <c r="O26" i="70" s="1"/>
  <c r="N17" i="70"/>
  <c r="N18" i="70" s="1"/>
  <c r="N19" i="70" s="1"/>
  <c r="N20" i="70" s="1"/>
  <c r="N21" i="70" s="1"/>
  <c r="N22" i="70" s="1"/>
  <c r="N23" i="70" s="1"/>
  <c r="N24" i="70" s="1"/>
  <c r="N25" i="70" s="1"/>
  <c r="N26" i="70" s="1"/>
  <c r="M17" i="70"/>
  <c r="M18" i="70" s="1"/>
  <c r="M19" i="70" s="1"/>
  <c r="M20" i="70" s="1"/>
  <c r="M21" i="70" s="1"/>
  <c r="M22" i="70" s="1"/>
  <c r="M23" i="70" s="1"/>
  <c r="M24" i="70" s="1"/>
  <c r="M25" i="70" s="1"/>
  <c r="M26" i="70" s="1"/>
  <c r="L17" i="70"/>
  <c r="L18" i="70" s="1"/>
  <c r="L19" i="70" s="1"/>
  <c r="L20" i="70" s="1"/>
  <c r="L21" i="70" s="1"/>
  <c r="L22" i="70" s="1"/>
  <c r="L23" i="70" s="1"/>
  <c r="L24" i="70" s="1"/>
  <c r="L25" i="70" s="1"/>
  <c r="L26" i="70" s="1"/>
  <c r="K17" i="70"/>
  <c r="K18" i="70" s="1"/>
  <c r="K19" i="70" s="1"/>
  <c r="K20" i="70" s="1"/>
  <c r="K21" i="70" s="1"/>
  <c r="K22" i="70" s="1"/>
  <c r="K23" i="70" s="1"/>
  <c r="K24" i="70" s="1"/>
  <c r="K25" i="70" s="1"/>
  <c r="K26" i="70" s="1"/>
  <c r="J17" i="70"/>
  <c r="H17" i="70"/>
  <c r="H18" i="70" s="1"/>
  <c r="H19" i="70" s="1"/>
  <c r="H20" i="70" s="1"/>
  <c r="H21" i="70" s="1"/>
  <c r="H22" i="70" s="1"/>
  <c r="H23" i="70" s="1"/>
  <c r="H24" i="70" s="1"/>
  <c r="H25" i="70" s="1"/>
  <c r="H26" i="70" s="1"/>
  <c r="H27" i="70" s="1"/>
  <c r="H28" i="70" s="1"/>
  <c r="G17" i="70"/>
  <c r="G18" i="70" s="1"/>
  <c r="G19" i="70" s="1"/>
  <c r="G20" i="70" s="1"/>
  <c r="G21" i="70" s="1"/>
  <c r="G22" i="70" s="1"/>
  <c r="G23" i="70" s="1"/>
  <c r="G24" i="70" s="1"/>
  <c r="G25" i="70" s="1"/>
  <c r="G26" i="70" s="1"/>
  <c r="G27" i="70" s="1"/>
  <c r="G28" i="70" s="1"/>
  <c r="F17" i="70"/>
  <c r="F18" i="70" s="1"/>
  <c r="F19" i="70" s="1"/>
  <c r="F20" i="70" s="1"/>
  <c r="F21" i="70" s="1"/>
  <c r="F22" i="70" s="1"/>
  <c r="F23" i="70" s="1"/>
  <c r="F24" i="70" s="1"/>
  <c r="F25" i="70" s="1"/>
  <c r="F26" i="70" s="1"/>
  <c r="F27" i="70" s="1"/>
  <c r="F28" i="70" s="1"/>
  <c r="E17" i="70"/>
  <c r="E18" i="70" s="1"/>
  <c r="E19" i="70" s="1"/>
  <c r="E20" i="70" s="1"/>
  <c r="E21" i="70" s="1"/>
  <c r="E22" i="70" s="1"/>
  <c r="E23" i="70" s="1"/>
  <c r="E24" i="70" s="1"/>
  <c r="E25" i="70" s="1"/>
  <c r="E26" i="70" s="1"/>
  <c r="E27" i="70" s="1"/>
  <c r="E28" i="70" s="1"/>
  <c r="D17" i="70"/>
  <c r="D18" i="70" s="1"/>
  <c r="D19" i="70" s="1"/>
  <c r="D20" i="70" s="1"/>
  <c r="D21" i="70" s="1"/>
  <c r="D22" i="70" s="1"/>
  <c r="D23" i="70" s="1"/>
  <c r="D24" i="70" s="1"/>
  <c r="D25" i="70" s="1"/>
  <c r="D26" i="70" s="1"/>
  <c r="D27" i="70" s="1"/>
  <c r="D28" i="70" s="1"/>
  <c r="C17" i="70"/>
  <c r="C18" i="70" s="1"/>
  <c r="C19" i="70" s="1"/>
  <c r="C20" i="70" s="1"/>
  <c r="C21" i="70" s="1"/>
  <c r="C22" i="70" s="1"/>
  <c r="C23" i="70" s="1"/>
  <c r="C24" i="70" s="1"/>
  <c r="C25" i="70" s="1"/>
  <c r="C26" i="70" s="1"/>
  <c r="C27" i="70" s="1"/>
  <c r="C28" i="70" s="1"/>
  <c r="B17" i="70"/>
  <c r="FA16" i="70"/>
  <c r="DX16" i="70"/>
  <c r="DY16" i="70" s="1"/>
  <c r="DZ16" i="70" s="1"/>
  <c r="EA16" i="70" s="1"/>
  <c r="EB16" i="70" s="1"/>
  <c r="EC16" i="70" s="1"/>
  <c r="ED16" i="70" s="1"/>
  <c r="EE16" i="70" s="1"/>
  <c r="EF16" i="70" s="1"/>
  <c r="EG16" i="70" s="1"/>
  <c r="EH16" i="70" s="1"/>
  <c r="EI16" i="70" s="1"/>
  <c r="EJ16" i="70" s="1"/>
  <c r="EK16" i="70" s="1"/>
  <c r="EL16" i="70" s="1"/>
  <c r="EM16" i="70" s="1"/>
  <c r="EN16" i="70" s="1"/>
  <c r="EO16" i="70" s="1"/>
  <c r="EP16" i="70" s="1"/>
  <c r="EQ16" i="70" s="1"/>
  <c r="ER16" i="70" s="1"/>
  <c r="ES16" i="70" s="1"/>
  <c r="ET16" i="70" s="1"/>
  <c r="EU16" i="70" s="1"/>
  <c r="EV16" i="70" s="1"/>
  <c r="EW16" i="70" s="1"/>
  <c r="EX16" i="70" s="1"/>
  <c r="EY16" i="70" s="1"/>
  <c r="EZ16" i="70" s="1"/>
  <c r="DW16" i="70"/>
  <c r="DV16" i="70"/>
  <c r="DS16" i="70"/>
  <c r="DL16" i="70"/>
  <c r="DM16" i="70" s="1"/>
  <c r="DN16" i="70" s="1"/>
  <c r="DO16" i="70" s="1"/>
  <c r="DP16" i="70" s="1"/>
  <c r="DQ16" i="70" s="1"/>
  <c r="DR16" i="70" s="1"/>
  <c r="DK16" i="70"/>
  <c r="DG16" i="70"/>
  <c r="DF16" i="70"/>
  <c r="DC16" i="70"/>
  <c r="DD16" i="70" s="1"/>
  <c r="DE16" i="70" s="1"/>
  <c r="DB16" i="70"/>
  <c r="DA16" i="70"/>
  <c r="CV16" i="70"/>
  <c r="CE16" i="70"/>
  <c r="CF16" i="70" s="1"/>
  <c r="CG16" i="70" s="1"/>
  <c r="CH16" i="70" s="1"/>
  <c r="CI16" i="70" s="1"/>
  <c r="CJ16" i="70" s="1"/>
  <c r="CK16" i="70" s="1"/>
  <c r="CL16" i="70" s="1"/>
  <c r="CM16" i="70" s="1"/>
  <c r="CN16" i="70" s="1"/>
  <c r="CO16" i="70" s="1"/>
  <c r="CP16" i="70" s="1"/>
  <c r="CQ16" i="70" s="1"/>
  <c r="CR16" i="70" s="1"/>
  <c r="CS16" i="70" s="1"/>
  <c r="CT16" i="70" s="1"/>
  <c r="CU16" i="70" s="1"/>
  <c r="CD16" i="70"/>
  <c r="BY16" i="70"/>
  <c r="BJ16" i="70"/>
  <c r="BK16" i="70" s="1"/>
  <c r="BL16" i="70" s="1"/>
  <c r="BM16" i="70" s="1"/>
  <c r="BN16" i="70" s="1"/>
  <c r="BO16" i="70" s="1"/>
  <c r="BP16" i="70" s="1"/>
  <c r="BQ16" i="70" s="1"/>
  <c r="BI16" i="70"/>
  <c r="BH16" i="70"/>
  <c r="BE16" i="70"/>
  <c r="AT16" i="70"/>
  <c r="AU16" i="70" s="1"/>
  <c r="AV16" i="70" s="1"/>
  <c r="AW16" i="70" s="1"/>
  <c r="AX16" i="70" s="1"/>
  <c r="AY16" i="70" s="1"/>
  <c r="AZ16" i="70" s="1"/>
  <c r="BA16" i="70" s="1"/>
  <c r="BB16" i="70" s="1"/>
  <c r="BC16" i="70" s="1"/>
  <c r="BD16" i="70" s="1"/>
  <c r="AS16" i="70"/>
  <c r="AR16" i="70"/>
  <c r="AQ16" i="70"/>
  <c r="AN16" i="70"/>
  <c r="AM16" i="70"/>
  <c r="AL16" i="70"/>
  <c r="AI16" i="70"/>
  <c r="AH16" i="70"/>
  <c r="AG16" i="70"/>
  <c r="AF16" i="70"/>
  <c r="AE16" i="70"/>
  <c r="AB16" i="70"/>
  <c r="AA16" i="70"/>
  <c r="Z16" i="70"/>
  <c r="Y16" i="70"/>
  <c r="X16" i="70"/>
  <c r="W16" i="70"/>
  <c r="T16" i="70"/>
  <c r="S16" i="70"/>
  <c r="R16" i="70"/>
  <c r="O16" i="70"/>
  <c r="N16" i="70"/>
  <c r="M16" i="70"/>
  <c r="L16" i="70"/>
  <c r="K16" i="70"/>
  <c r="H16" i="70"/>
  <c r="G16" i="70"/>
  <c r="F16" i="70"/>
  <c r="E16" i="70"/>
  <c r="D16" i="70"/>
  <c r="C16" i="70"/>
  <c r="AN15" i="70"/>
  <c r="AM15" i="70"/>
  <c r="AL15" i="70"/>
  <c r="AI15" i="70"/>
  <c r="AH15" i="70"/>
  <c r="AG15" i="70"/>
  <c r="AF15" i="70"/>
  <c r="AE15" i="70"/>
  <c r="AB15" i="70"/>
  <c r="AA15" i="70"/>
  <c r="Z15" i="70"/>
  <c r="Y15" i="70"/>
  <c r="X15" i="70"/>
  <c r="W15" i="70"/>
  <c r="T15" i="70"/>
  <c r="S15" i="70"/>
  <c r="R15" i="70"/>
  <c r="O15" i="70"/>
  <c r="N15" i="70"/>
  <c r="M15" i="70"/>
  <c r="L15" i="70"/>
  <c r="K15" i="70"/>
  <c r="H15" i="70"/>
  <c r="G15" i="70"/>
  <c r="F15" i="70"/>
  <c r="E15" i="70"/>
  <c r="D15" i="70"/>
  <c r="C15" i="70"/>
  <c r="DA11" i="70"/>
  <c r="DB9" i="70"/>
  <c r="CE9" i="70"/>
  <c r="DB8" i="70"/>
  <c r="CE8" i="70"/>
  <c r="C8" i="70"/>
  <c r="B8" i="70"/>
  <c r="DB7" i="70"/>
  <c r="DA7" i="70"/>
  <c r="CE7" i="70"/>
  <c r="CD7" i="70"/>
  <c r="E7" i="70"/>
  <c r="C7" i="70"/>
  <c r="J4" i="12" s="1"/>
  <c r="B7" i="70"/>
  <c r="E6" i="70"/>
  <c r="BG209" i="68"/>
  <c r="BF209" i="68"/>
  <c r="BE209" i="68"/>
  <c r="BC209" i="68"/>
  <c r="BB209" i="68"/>
  <c r="BA209" i="68"/>
  <c r="AZ209" i="68"/>
  <c r="AW209" i="68"/>
  <c r="AP209" i="68"/>
  <c r="U209" i="68"/>
  <c r="S209" i="68"/>
  <c r="Q209" i="68"/>
  <c r="O209" i="68"/>
  <c r="M209" i="68"/>
  <c r="I209" i="68"/>
  <c r="E209" i="68"/>
  <c r="BG207" i="68"/>
  <c r="BF207" i="68" s="1"/>
  <c r="BE207" i="68"/>
  <c r="BC207" i="68"/>
  <c r="BB207" i="68"/>
  <c r="BA207" i="68"/>
  <c r="AZ207" i="68"/>
  <c r="AW207" i="68"/>
  <c r="AP207" i="68"/>
  <c r="U207" i="68"/>
  <c r="S207" i="68"/>
  <c r="Q207" i="68"/>
  <c r="O207" i="68"/>
  <c r="M207" i="68"/>
  <c r="I207" i="68"/>
  <c r="E207" i="68"/>
  <c r="BG205" i="68"/>
  <c r="BF205" i="68" s="1"/>
  <c r="BE205" i="68"/>
  <c r="BC205" i="68"/>
  <c r="BB205" i="68"/>
  <c r="BA205" i="68"/>
  <c r="AZ205" i="68"/>
  <c r="AW205" i="68"/>
  <c r="AP205" i="68"/>
  <c r="U205" i="68"/>
  <c r="S205" i="68"/>
  <c r="Q205" i="68"/>
  <c r="O205" i="68"/>
  <c r="M205" i="68"/>
  <c r="I205" i="68"/>
  <c r="E205" i="68"/>
  <c r="BG203" i="68"/>
  <c r="BF203" i="68" s="1"/>
  <c r="BE203" i="68"/>
  <c r="BC203" i="68"/>
  <c r="BB203" i="68"/>
  <c r="BA203" i="68"/>
  <c r="AZ203" i="68"/>
  <c r="AW203" i="68"/>
  <c r="E203" i="68" s="1"/>
  <c r="AP203" i="68"/>
  <c r="U203" i="68"/>
  <c r="S203" i="68"/>
  <c r="Q203" i="68"/>
  <c r="O203" i="68"/>
  <c r="M203" i="68"/>
  <c r="I203" i="68"/>
  <c r="BG201" i="68"/>
  <c r="BF201" i="68"/>
  <c r="BE201" i="68"/>
  <c r="BC201" i="68"/>
  <c r="BB201" i="68"/>
  <c r="BA201" i="68"/>
  <c r="AZ201" i="68"/>
  <c r="AW201" i="68"/>
  <c r="E201" i="68" s="1"/>
  <c r="AP201" i="68"/>
  <c r="U201" i="68"/>
  <c r="S201" i="68"/>
  <c r="Q201" i="68"/>
  <c r="O201" i="68"/>
  <c r="M201" i="68"/>
  <c r="I201" i="68"/>
  <c r="BG199" i="68"/>
  <c r="BF199" i="68" s="1"/>
  <c r="BE199" i="68"/>
  <c r="BC199" i="68"/>
  <c r="BB199" i="68"/>
  <c r="BA199" i="68"/>
  <c r="AZ199" i="68"/>
  <c r="AW199" i="68"/>
  <c r="AP199" i="68"/>
  <c r="U199" i="68"/>
  <c r="S199" i="68"/>
  <c r="Q199" i="68"/>
  <c r="O199" i="68"/>
  <c r="M199" i="68"/>
  <c r="I199" i="68"/>
  <c r="E199" i="68"/>
  <c r="BG197" i="68"/>
  <c r="BF197" i="68" s="1"/>
  <c r="BE197" i="68"/>
  <c r="BC197" i="68"/>
  <c r="BB197" i="68"/>
  <c r="BA197" i="68"/>
  <c r="AZ197" i="68"/>
  <c r="AW197" i="68"/>
  <c r="AP197" i="68"/>
  <c r="U197" i="68"/>
  <c r="S197" i="68"/>
  <c r="Q197" i="68"/>
  <c r="O197" i="68"/>
  <c r="M197" i="68"/>
  <c r="I197" i="68"/>
  <c r="E197" i="68"/>
  <c r="BG195" i="68"/>
  <c r="BF195" i="68" s="1"/>
  <c r="BE195" i="68"/>
  <c r="BC195" i="68"/>
  <c r="BB195" i="68"/>
  <c r="BA195" i="68"/>
  <c r="AZ195" i="68"/>
  <c r="AW195" i="68"/>
  <c r="AP195" i="68"/>
  <c r="U195" i="68"/>
  <c r="S195" i="68"/>
  <c r="Q195" i="68"/>
  <c r="O195" i="68"/>
  <c r="M195" i="68"/>
  <c r="I195" i="68"/>
  <c r="E195" i="68"/>
  <c r="BG193" i="68"/>
  <c r="BF193" i="68"/>
  <c r="BE193" i="68"/>
  <c r="BC193" i="68"/>
  <c r="BB193" i="68"/>
  <c r="BA193" i="68"/>
  <c r="AZ193" i="68"/>
  <c r="AW193" i="68"/>
  <c r="AP193" i="68"/>
  <c r="U193" i="68"/>
  <c r="S193" i="68"/>
  <c r="Q193" i="68"/>
  <c r="O193" i="68"/>
  <c r="M193" i="68"/>
  <c r="I193" i="68"/>
  <c r="E193" i="68"/>
  <c r="BG191" i="68"/>
  <c r="BF191" i="68" s="1"/>
  <c r="BE191" i="68"/>
  <c r="BC191" i="68"/>
  <c r="BB191" i="68"/>
  <c r="BA191" i="68"/>
  <c r="AZ191" i="68"/>
  <c r="AW191" i="68"/>
  <c r="AP191" i="68"/>
  <c r="U191" i="68"/>
  <c r="S191" i="68"/>
  <c r="Q191" i="68"/>
  <c r="O191" i="68"/>
  <c r="M191" i="68"/>
  <c r="I191" i="68"/>
  <c r="E191" i="68"/>
  <c r="AR190" i="68"/>
  <c r="BG189" i="68"/>
  <c r="BF189" i="68" s="1"/>
  <c r="BE189" i="68"/>
  <c r="BC189" i="68"/>
  <c r="BB189" i="68"/>
  <c r="BA189" i="68"/>
  <c r="AZ189" i="68"/>
  <c r="AW189" i="68"/>
  <c r="AP189" i="68"/>
  <c r="U189" i="68"/>
  <c r="S189" i="68"/>
  <c r="Q189" i="68"/>
  <c r="O189" i="68"/>
  <c r="M189" i="68"/>
  <c r="I189" i="68"/>
  <c r="E189" i="68"/>
  <c r="BG187" i="68"/>
  <c r="BF187" i="68" s="1"/>
  <c r="BE187" i="68"/>
  <c r="BC187" i="68"/>
  <c r="BB187" i="68"/>
  <c r="BA187" i="68"/>
  <c r="AZ187" i="68"/>
  <c r="AW187" i="68"/>
  <c r="AP187" i="68"/>
  <c r="U187" i="68"/>
  <c r="S187" i="68"/>
  <c r="Q187" i="68"/>
  <c r="O187" i="68"/>
  <c r="M187" i="68"/>
  <c r="I187" i="68"/>
  <c r="E187" i="68"/>
  <c r="BG185" i="68"/>
  <c r="BF185" i="68" s="1"/>
  <c r="BE185" i="68"/>
  <c r="BC185" i="68"/>
  <c r="BB185" i="68"/>
  <c r="BA185" i="68"/>
  <c r="AZ185" i="68"/>
  <c r="AW185" i="68"/>
  <c r="AP185" i="68"/>
  <c r="U185" i="68"/>
  <c r="S185" i="68"/>
  <c r="Q185" i="68"/>
  <c r="O185" i="68"/>
  <c r="M185" i="68"/>
  <c r="I185" i="68"/>
  <c r="E185" i="68"/>
  <c r="BG183" i="68"/>
  <c r="BF183" i="68" s="1"/>
  <c r="BE183" i="68"/>
  <c r="BC183" i="68"/>
  <c r="BB183" i="68"/>
  <c r="BA183" i="68"/>
  <c r="AZ183" i="68"/>
  <c r="AW183" i="68"/>
  <c r="E183" i="68" s="1"/>
  <c r="AP183" i="68"/>
  <c r="U183" i="68"/>
  <c r="S183" i="68"/>
  <c r="Q183" i="68"/>
  <c r="O183" i="68"/>
  <c r="M183" i="68"/>
  <c r="I183" i="68"/>
  <c r="BG181" i="68"/>
  <c r="BF181" i="68" s="1"/>
  <c r="BE181" i="68"/>
  <c r="BC181" i="68"/>
  <c r="BB181" i="68"/>
  <c r="BA181" i="68"/>
  <c r="AZ181" i="68"/>
  <c r="AW181" i="68"/>
  <c r="AP181" i="68"/>
  <c r="U181" i="68"/>
  <c r="S181" i="68"/>
  <c r="Q181" i="68"/>
  <c r="O181" i="68"/>
  <c r="M181" i="68"/>
  <c r="I181" i="68"/>
  <c r="E181" i="68"/>
  <c r="BG179" i="68"/>
  <c r="BF179" i="68" s="1"/>
  <c r="BE179" i="68"/>
  <c r="BC179" i="68"/>
  <c r="BB179" i="68"/>
  <c r="BA179" i="68"/>
  <c r="AZ179" i="68"/>
  <c r="AW179" i="68"/>
  <c r="E179" i="68" s="1"/>
  <c r="AP179" i="68"/>
  <c r="U179" i="68"/>
  <c r="S179" i="68"/>
  <c r="Q179" i="68"/>
  <c r="O179" i="68"/>
  <c r="M179" i="68"/>
  <c r="I179" i="68"/>
  <c r="BG177" i="68"/>
  <c r="BF177" i="68" s="1"/>
  <c r="BE177" i="68"/>
  <c r="BC177" i="68"/>
  <c r="BB177" i="68"/>
  <c r="BA177" i="68"/>
  <c r="AZ177" i="68"/>
  <c r="AW177" i="68"/>
  <c r="AP177" i="68"/>
  <c r="U177" i="68"/>
  <c r="S177" i="68"/>
  <c r="Q177" i="68"/>
  <c r="O177" i="68"/>
  <c r="M177" i="68"/>
  <c r="I177" i="68"/>
  <c r="E177" i="68"/>
  <c r="BG175" i="68"/>
  <c r="BF175" i="68" s="1"/>
  <c r="BE175" i="68"/>
  <c r="BC175" i="68"/>
  <c r="BB175" i="68"/>
  <c r="BA175" i="68"/>
  <c r="AZ175" i="68"/>
  <c r="AW175" i="68"/>
  <c r="AP175" i="68"/>
  <c r="U175" i="68"/>
  <c r="S175" i="68"/>
  <c r="Q175" i="68"/>
  <c r="O175" i="68"/>
  <c r="M175" i="68"/>
  <c r="I175" i="68"/>
  <c r="E175" i="68"/>
  <c r="BG173" i="68"/>
  <c r="BF173" i="68" s="1"/>
  <c r="BE173" i="68"/>
  <c r="BC173" i="68"/>
  <c r="BB173" i="68"/>
  <c r="BA173" i="68"/>
  <c r="AZ173" i="68"/>
  <c r="AW173" i="68"/>
  <c r="AP173" i="68"/>
  <c r="U173" i="68"/>
  <c r="S173" i="68"/>
  <c r="Q173" i="68"/>
  <c r="O173" i="68"/>
  <c r="M173" i="68"/>
  <c r="I173" i="68"/>
  <c r="E173" i="68"/>
  <c r="BG171" i="68"/>
  <c r="BF171" i="68" s="1"/>
  <c r="BE171" i="68"/>
  <c r="BC171" i="68"/>
  <c r="BB171" i="68"/>
  <c r="BA171" i="68"/>
  <c r="AZ171" i="68"/>
  <c r="AW171" i="68"/>
  <c r="AP171" i="68"/>
  <c r="U171" i="68"/>
  <c r="S171" i="68"/>
  <c r="Q171" i="68"/>
  <c r="O171" i="68"/>
  <c r="M171" i="68"/>
  <c r="I171" i="68"/>
  <c r="E171" i="68"/>
  <c r="BG169" i="68"/>
  <c r="BF169" i="68" s="1"/>
  <c r="BE169" i="68"/>
  <c r="BC169" i="68"/>
  <c r="BB169" i="68"/>
  <c r="BA169" i="68"/>
  <c r="AZ169" i="68"/>
  <c r="AW169" i="68"/>
  <c r="AP169" i="68"/>
  <c r="U169" i="68"/>
  <c r="S169" i="68"/>
  <c r="Q169" i="68"/>
  <c r="O169" i="68"/>
  <c r="M169" i="68"/>
  <c r="I169" i="68"/>
  <c r="E169" i="68"/>
  <c r="AR168" i="68"/>
  <c r="BG167" i="68"/>
  <c r="BF167" i="68" s="1"/>
  <c r="BE167" i="68"/>
  <c r="BC167" i="68"/>
  <c r="BB167" i="68"/>
  <c r="BA167" i="68"/>
  <c r="AZ167" i="68"/>
  <c r="AW167" i="68"/>
  <c r="AP167" i="68"/>
  <c r="U167" i="68"/>
  <c r="S167" i="68"/>
  <c r="Q167" i="68"/>
  <c r="O167" i="68"/>
  <c r="M167" i="68"/>
  <c r="I167" i="68"/>
  <c r="E167" i="68"/>
  <c r="BG165" i="68"/>
  <c r="BF165" i="68" s="1"/>
  <c r="BE165" i="68"/>
  <c r="BC165" i="68"/>
  <c r="BB165" i="68"/>
  <c r="BA165" i="68"/>
  <c r="AZ165" i="68"/>
  <c r="AW165" i="68"/>
  <c r="AP165" i="68"/>
  <c r="U165" i="68"/>
  <c r="S165" i="68"/>
  <c r="Q165" i="68"/>
  <c r="O165" i="68"/>
  <c r="M165" i="68"/>
  <c r="I165" i="68"/>
  <c r="E165" i="68"/>
  <c r="BG163" i="68"/>
  <c r="BF163" i="68" s="1"/>
  <c r="BE163" i="68"/>
  <c r="BC163" i="68"/>
  <c r="BB163" i="68"/>
  <c r="BA163" i="68"/>
  <c r="AZ163" i="68"/>
  <c r="AW163" i="68"/>
  <c r="E163" i="68" s="1"/>
  <c r="AP163" i="68"/>
  <c r="U163" i="68"/>
  <c r="S163" i="68"/>
  <c r="Q163" i="68"/>
  <c r="O163" i="68"/>
  <c r="M163" i="68"/>
  <c r="I163" i="68"/>
  <c r="BG161" i="68"/>
  <c r="BF161" i="68" s="1"/>
  <c r="BE161" i="68"/>
  <c r="BC161" i="68"/>
  <c r="BB161" i="68"/>
  <c r="BA161" i="68"/>
  <c r="AZ161" i="68"/>
  <c r="AW161" i="68"/>
  <c r="AP161" i="68"/>
  <c r="U161" i="68"/>
  <c r="S161" i="68"/>
  <c r="Q161" i="68"/>
  <c r="O161" i="68"/>
  <c r="M161" i="68"/>
  <c r="I161" i="68"/>
  <c r="E161" i="68"/>
  <c r="BG159" i="68"/>
  <c r="BF159" i="68" s="1"/>
  <c r="BE159" i="68"/>
  <c r="BC159" i="68"/>
  <c r="BB159" i="68"/>
  <c r="BA159" i="68"/>
  <c r="AZ159" i="68"/>
  <c r="AW159" i="68"/>
  <c r="E159" i="68" s="1"/>
  <c r="AP159" i="68"/>
  <c r="U159" i="68"/>
  <c r="S159" i="68"/>
  <c r="Q159" i="68"/>
  <c r="O159" i="68"/>
  <c r="M159" i="68"/>
  <c r="I159" i="68"/>
  <c r="BG157" i="68"/>
  <c r="BF157" i="68" s="1"/>
  <c r="BE157" i="68"/>
  <c r="BC157" i="68"/>
  <c r="BB157" i="68"/>
  <c r="BA157" i="68"/>
  <c r="AZ157" i="68"/>
  <c r="AW157" i="68"/>
  <c r="AP157" i="68"/>
  <c r="U157" i="68"/>
  <c r="S157" i="68"/>
  <c r="Q157" i="68"/>
  <c r="O157" i="68"/>
  <c r="M157" i="68"/>
  <c r="I157" i="68"/>
  <c r="E157" i="68"/>
  <c r="BG155" i="68"/>
  <c r="BF155" i="68" s="1"/>
  <c r="BE155" i="68"/>
  <c r="BC155" i="68"/>
  <c r="BB155" i="68"/>
  <c r="BA155" i="68"/>
  <c r="AZ155" i="68"/>
  <c r="AW155" i="68"/>
  <c r="AP155" i="68"/>
  <c r="U155" i="68"/>
  <c r="S155" i="68"/>
  <c r="Q155" i="68"/>
  <c r="O155" i="68"/>
  <c r="M155" i="68"/>
  <c r="I155" i="68"/>
  <c r="E155" i="68"/>
  <c r="BG153" i="68"/>
  <c r="BF153" i="68" s="1"/>
  <c r="BE153" i="68"/>
  <c r="BC153" i="68"/>
  <c r="BB153" i="68"/>
  <c r="BA153" i="68"/>
  <c r="AZ153" i="68"/>
  <c r="AW153" i="68"/>
  <c r="AP153" i="68"/>
  <c r="U153" i="68"/>
  <c r="S153" i="68"/>
  <c r="Q153" i="68"/>
  <c r="O153" i="68"/>
  <c r="M153" i="68"/>
  <c r="I153" i="68"/>
  <c r="E153" i="68"/>
  <c r="BG151" i="68"/>
  <c r="BF151" i="68" s="1"/>
  <c r="BE151" i="68"/>
  <c r="BC151" i="68"/>
  <c r="BB151" i="68"/>
  <c r="BA151" i="68"/>
  <c r="AZ151" i="68"/>
  <c r="AW151" i="68"/>
  <c r="AP151" i="68"/>
  <c r="U151" i="68"/>
  <c r="S151" i="68"/>
  <c r="Q151" i="68"/>
  <c r="O151" i="68"/>
  <c r="M151" i="68"/>
  <c r="I151" i="68"/>
  <c r="E151" i="68"/>
  <c r="BG149" i="68"/>
  <c r="BF149" i="68" s="1"/>
  <c r="BE149" i="68"/>
  <c r="BC149" i="68"/>
  <c r="BB149" i="68"/>
  <c r="BA149" i="68"/>
  <c r="AZ149" i="68"/>
  <c r="AW149" i="68"/>
  <c r="AP149" i="68"/>
  <c r="U149" i="68"/>
  <c r="S149" i="68"/>
  <c r="Q149" i="68"/>
  <c r="O149" i="68"/>
  <c r="M149" i="68"/>
  <c r="I149" i="68"/>
  <c r="E149" i="68"/>
  <c r="BG147" i="68"/>
  <c r="BF147" i="68" s="1"/>
  <c r="BE147" i="68"/>
  <c r="BC147" i="68"/>
  <c r="BB147" i="68"/>
  <c r="BA147" i="68"/>
  <c r="AZ147" i="68"/>
  <c r="AW147" i="68"/>
  <c r="E147" i="68" s="1"/>
  <c r="AP147" i="68"/>
  <c r="U147" i="68"/>
  <c r="S147" i="68"/>
  <c r="Q147" i="68"/>
  <c r="O147" i="68"/>
  <c r="M147" i="68"/>
  <c r="I147" i="68"/>
  <c r="AR146" i="68"/>
  <c r="BG145" i="68"/>
  <c r="BF145" i="68" s="1"/>
  <c r="BE145" i="68"/>
  <c r="BC145" i="68"/>
  <c r="BB145" i="68"/>
  <c r="BA145" i="68"/>
  <c r="AZ145" i="68"/>
  <c r="AW145" i="68"/>
  <c r="AP145" i="68"/>
  <c r="U145" i="68"/>
  <c r="S145" i="68"/>
  <c r="Q145" i="68"/>
  <c r="O145" i="68"/>
  <c r="M145" i="68"/>
  <c r="I145" i="68"/>
  <c r="E145" i="68"/>
  <c r="BG143" i="68"/>
  <c r="BF143" i="68" s="1"/>
  <c r="BE143" i="68"/>
  <c r="BC143" i="68"/>
  <c r="BB143" i="68"/>
  <c r="BA143" i="68"/>
  <c r="AZ143" i="68"/>
  <c r="AW143" i="68"/>
  <c r="E143" i="68" s="1"/>
  <c r="AP143" i="68"/>
  <c r="U143" i="68"/>
  <c r="S143" i="68"/>
  <c r="Q143" i="68"/>
  <c r="O143" i="68"/>
  <c r="M143" i="68"/>
  <c r="I143" i="68"/>
  <c r="BG141" i="68"/>
  <c r="BF141" i="68" s="1"/>
  <c r="BE141" i="68"/>
  <c r="BC141" i="68"/>
  <c r="BB141" i="68"/>
  <c r="BA141" i="68"/>
  <c r="AZ141" i="68"/>
  <c r="AW141" i="68"/>
  <c r="AP141" i="68"/>
  <c r="U141" i="68"/>
  <c r="S141" i="68"/>
  <c r="Q141" i="68"/>
  <c r="O141" i="68"/>
  <c r="M141" i="68"/>
  <c r="I141" i="68"/>
  <c r="E141" i="68"/>
  <c r="BG139" i="68"/>
  <c r="BF139" i="68" s="1"/>
  <c r="BE139" i="68"/>
  <c r="BC139" i="68"/>
  <c r="BB139" i="68"/>
  <c r="BA139" i="68"/>
  <c r="AZ139" i="68"/>
  <c r="AW139" i="68"/>
  <c r="E139" i="68" s="1"/>
  <c r="AP139" i="68"/>
  <c r="U139" i="68"/>
  <c r="S139" i="68"/>
  <c r="Q139" i="68"/>
  <c r="O139" i="68"/>
  <c r="M139" i="68"/>
  <c r="I139" i="68"/>
  <c r="BG137" i="68"/>
  <c r="BF137" i="68" s="1"/>
  <c r="BE137" i="68"/>
  <c r="BC137" i="68"/>
  <c r="BB137" i="68"/>
  <c r="BA137" i="68"/>
  <c r="AZ137" i="68"/>
  <c r="AW137" i="68"/>
  <c r="AP137" i="68"/>
  <c r="U137" i="68"/>
  <c r="S137" i="68"/>
  <c r="Q137" i="68"/>
  <c r="O137" i="68"/>
  <c r="M137" i="68"/>
  <c r="I137" i="68"/>
  <c r="E137" i="68"/>
  <c r="BG135" i="68"/>
  <c r="BF135" i="68" s="1"/>
  <c r="BE135" i="68"/>
  <c r="BC135" i="68"/>
  <c r="BB135" i="68"/>
  <c r="BA135" i="68"/>
  <c r="AZ135" i="68"/>
  <c r="AW135" i="68"/>
  <c r="AP135" i="68"/>
  <c r="U135" i="68"/>
  <c r="S135" i="68"/>
  <c r="Q135" i="68"/>
  <c r="O135" i="68"/>
  <c r="M135" i="68"/>
  <c r="I135" i="68"/>
  <c r="E135" i="68"/>
  <c r="BG133" i="68"/>
  <c r="BF133" i="68" s="1"/>
  <c r="BE133" i="68"/>
  <c r="BC133" i="68"/>
  <c r="BB133" i="68"/>
  <c r="BA133" i="68"/>
  <c r="AZ133" i="68"/>
  <c r="AW133" i="68"/>
  <c r="AP133" i="68"/>
  <c r="U133" i="68"/>
  <c r="S133" i="68"/>
  <c r="Q133" i="68"/>
  <c r="O133" i="68"/>
  <c r="M133" i="68"/>
  <c r="I133" i="68"/>
  <c r="E133" i="68"/>
  <c r="BG131" i="68"/>
  <c r="BF131" i="68" s="1"/>
  <c r="BE131" i="68"/>
  <c r="BC131" i="68"/>
  <c r="BB131" i="68"/>
  <c r="BA131" i="68"/>
  <c r="AZ131" i="68"/>
  <c r="AW131" i="68"/>
  <c r="AP131" i="68"/>
  <c r="U131" i="68"/>
  <c r="S131" i="68"/>
  <c r="Q131" i="68"/>
  <c r="O131" i="68"/>
  <c r="M131" i="68"/>
  <c r="I131" i="68"/>
  <c r="E131" i="68"/>
  <c r="BG129" i="68"/>
  <c r="BF129" i="68" s="1"/>
  <c r="BE129" i="68"/>
  <c r="BC129" i="68"/>
  <c r="BB129" i="68"/>
  <c r="BA129" i="68"/>
  <c r="AZ129" i="68"/>
  <c r="AW129" i="68"/>
  <c r="AP129" i="68"/>
  <c r="U129" i="68"/>
  <c r="S129" i="68"/>
  <c r="Q129" i="68"/>
  <c r="O129" i="68"/>
  <c r="M129" i="68"/>
  <c r="I129" i="68"/>
  <c r="E129" i="68"/>
  <c r="BG127" i="68"/>
  <c r="BF127" i="68" s="1"/>
  <c r="BE127" i="68"/>
  <c r="BC127" i="68"/>
  <c r="BB127" i="68"/>
  <c r="BA127" i="68"/>
  <c r="AZ127" i="68"/>
  <c r="AW127" i="68"/>
  <c r="E127" i="68" s="1"/>
  <c r="AP127" i="68"/>
  <c r="U127" i="68"/>
  <c r="S127" i="68"/>
  <c r="Q127" i="68"/>
  <c r="O127" i="68"/>
  <c r="M127" i="68"/>
  <c r="I127" i="68"/>
  <c r="BG125" i="68"/>
  <c r="BF125" i="68" s="1"/>
  <c r="BE125" i="68"/>
  <c r="BC125" i="68"/>
  <c r="BB125" i="68"/>
  <c r="BA125" i="68"/>
  <c r="AZ125" i="68"/>
  <c r="AW125" i="68"/>
  <c r="AP125" i="68"/>
  <c r="U125" i="68"/>
  <c r="S125" i="68"/>
  <c r="Q125" i="68"/>
  <c r="O125" i="68"/>
  <c r="M125" i="68"/>
  <c r="I125" i="68"/>
  <c r="E125" i="68"/>
  <c r="AR124" i="68"/>
  <c r="BG123" i="68"/>
  <c r="BF123" i="68"/>
  <c r="BE123" i="68"/>
  <c r="BC123" i="68"/>
  <c r="BB123" i="68"/>
  <c r="BA123" i="68"/>
  <c r="AZ123" i="68"/>
  <c r="AW123" i="68"/>
  <c r="E123" i="68" s="1"/>
  <c r="AP123" i="68"/>
  <c r="U123" i="68"/>
  <c r="S123" i="68"/>
  <c r="Q123" i="68"/>
  <c r="O123" i="68"/>
  <c r="M123" i="68"/>
  <c r="I123" i="68"/>
  <c r="BG121" i="68"/>
  <c r="BF121" i="68" s="1"/>
  <c r="BE121" i="68"/>
  <c r="BC121" i="68"/>
  <c r="BB121" i="68"/>
  <c r="BA121" i="68"/>
  <c r="AZ121" i="68"/>
  <c r="AW121" i="68"/>
  <c r="AP121" i="68"/>
  <c r="U121" i="68"/>
  <c r="S121" i="68"/>
  <c r="Q121" i="68"/>
  <c r="O121" i="68"/>
  <c r="M121" i="68"/>
  <c r="I121" i="68"/>
  <c r="E121" i="68"/>
  <c r="BG119" i="68"/>
  <c r="BF119" i="68" s="1"/>
  <c r="BE119" i="68"/>
  <c r="BC119" i="68"/>
  <c r="BB119" i="68"/>
  <c r="BA119" i="68"/>
  <c r="AZ119" i="68"/>
  <c r="AW119" i="68"/>
  <c r="AP119" i="68"/>
  <c r="U119" i="68"/>
  <c r="S119" i="68"/>
  <c r="Q119" i="68"/>
  <c r="O119" i="68"/>
  <c r="M119" i="68"/>
  <c r="I119" i="68"/>
  <c r="E119" i="68"/>
  <c r="BG117" i="68"/>
  <c r="BF117" i="68" s="1"/>
  <c r="BE117" i="68"/>
  <c r="BC117" i="68"/>
  <c r="BB117" i="68"/>
  <c r="BA117" i="68"/>
  <c r="AZ117" i="68"/>
  <c r="AW117" i="68"/>
  <c r="E117" i="68" s="1"/>
  <c r="AP117" i="68"/>
  <c r="U117" i="68"/>
  <c r="S117" i="68"/>
  <c r="Q117" i="68"/>
  <c r="O117" i="68"/>
  <c r="M117" i="68"/>
  <c r="I117" i="68"/>
  <c r="BG115" i="68"/>
  <c r="BF115" i="68" s="1"/>
  <c r="BE115" i="68"/>
  <c r="BC115" i="68"/>
  <c r="BB115" i="68"/>
  <c r="BA115" i="68"/>
  <c r="AZ115" i="68"/>
  <c r="AW115" i="68"/>
  <c r="AP115" i="68"/>
  <c r="U115" i="68"/>
  <c r="S115" i="68"/>
  <c r="Q115" i="68"/>
  <c r="O115" i="68"/>
  <c r="M115" i="68"/>
  <c r="I115" i="68"/>
  <c r="E115" i="68"/>
  <c r="BG113" i="68"/>
  <c r="BF113" i="68" s="1"/>
  <c r="BE113" i="68"/>
  <c r="BC113" i="68"/>
  <c r="BB113" i="68"/>
  <c r="BA113" i="68"/>
  <c r="AZ113" i="68"/>
  <c r="AW113" i="68"/>
  <c r="AP113" i="68"/>
  <c r="U113" i="68"/>
  <c r="S113" i="68"/>
  <c r="Q113" i="68"/>
  <c r="O113" i="68"/>
  <c r="M113" i="68"/>
  <c r="I113" i="68"/>
  <c r="E113" i="68"/>
  <c r="BG111" i="68"/>
  <c r="BF111" i="68" s="1"/>
  <c r="BE111" i="68"/>
  <c r="BC111" i="68"/>
  <c r="BB111" i="68"/>
  <c r="BA111" i="68"/>
  <c r="AZ111" i="68"/>
  <c r="AW111" i="68"/>
  <c r="AP111" i="68"/>
  <c r="U111" i="68"/>
  <c r="S111" i="68"/>
  <c r="Q111" i="68"/>
  <c r="O111" i="68"/>
  <c r="M111" i="68"/>
  <c r="I111" i="68"/>
  <c r="E111" i="68"/>
  <c r="BG109" i="68"/>
  <c r="BF109" i="68" s="1"/>
  <c r="BE109" i="68"/>
  <c r="BC109" i="68"/>
  <c r="BB109" i="68"/>
  <c r="BA109" i="68"/>
  <c r="AZ109" i="68"/>
  <c r="AW109" i="68"/>
  <c r="AP109" i="68"/>
  <c r="U109" i="68"/>
  <c r="S109" i="68"/>
  <c r="Q109" i="68"/>
  <c r="O109" i="68"/>
  <c r="M109" i="68"/>
  <c r="I109" i="68"/>
  <c r="E109" i="68"/>
  <c r="BG107" i="68"/>
  <c r="BF107" i="68" s="1"/>
  <c r="BE107" i="68"/>
  <c r="BC107" i="68"/>
  <c r="BB107" i="68"/>
  <c r="BA107" i="68"/>
  <c r="AZ107" i="68"/>
  <c r="AW107" i="68"/>
  <c r="AP107" i="68"/>
  <c r="U107" i="68"/>
  <c r="S107" i="68"/>
  <c r="Q107" i="68"/>
  <c r="O107" i="68"/>
  <c r="M107" i="68"/>
  <c r="I107" i="68"/>
  <c r="E107" i="68"/>
  <c r="BG105" i="68"/>
  <c r="BF105" i="68" s="1"/>
  <c r="BE105" i="68"/>
  <c r="BC105" i="68"/>
  <c r="BB105" i="68"/>
  <c r="BA105" i="68"/>
  <c r="AZ105" i="68"/>
  <c r="AW105" i="68"/>
  <c r="E105" i="68" s="1"/>
  <c r="AP105" i="68"/>
  <c r="U105" i="68"/>
  <c r="S105" i="68"/>
  <c r="Q105" i="68"/>
  <c r="O105" i="68"/>
  <c r="M105" i="68"/>
  <c r="I105" i="68"/>
  <c r="BG103" i="68"/>
  <c r="BF103" i="68" s="1"/>
  <c r="BE103" i="68"/>
  <c r="BC103" i="68"/>
  <c r="BB103" i="68"/>
  <c r="BA103" i="68"/>
  <c r="AZ103" i="68"/>
  <c r="AW103" i="68"/>
  <c r="AP103" i="68"/>
  <c r="U103" i="68"/>
  <c r="S103" i="68"/>
  <c r="Q103" i="68"/>
  <c r="O103" i="68"/>
  <c r="M103" i="68"/>
  <c r="I103" i="68"/>
  <c r="E103" i="68"/>
  <c r="AR102" i="68"/>
  <c r="BG101" i="68"/>
  <c r="BF101" i="68"/>
  <c r="BE101" i="68"/>
  <c r="BC101" i="68"/>
  <c r="BB101" i="68"/>
  <c r="BA101" i="68"/>
  <c r="AZ101" i="68"/>
  <c r="AW101" i="68"/>
  <c r="E101" i="68" s="1"/>
  <c r="AP101" i="68"/>
  <c r="U101" i="68"/>
  <c r="S101" i="68"/>
  <c r="Q101" i="68"/>
  <c r="O101" i="68"/>
  <c r="M101" i="68"/>
  <c r="I101" i="68"/>
  <c r="BG99" i="68"/>
  <c r="BF99" i="68" s="1"/>
  <c r="BE99" i="68"/>
  <c r="BC99" i="68"/>
  <c r="BB99" i="68"/>
  <c r="BA99" i="68"/>
  <c r="AZ99" i="68"/>
  <c r="AW99" i="68"/>
  <c r="AP99" i="68"/>
  <c r="U99" i="68"/>
  <c r="S99" i="68"/>
  <c r="Q99" i="68"/>
  <c r="O99" i="68"/>
  <c r="M99" i="68"/>
  <c r="I99" i="68"/>
  <c r="E99" i="68"/>
  <c r="BG97" i="68"/>
  <c r="BF97" i="68" s="1"/>
  <c r="BE97" i="68"/>
  <c r="BC97" i="68"/>
  <c r="BB97" i="68"/>
  <c r="BA97" i="68"/>
  <c r="AZ97" i="68"/>
  <c r="AW97" i="68"/>
  <c r="E97" i="68" s="1"/>
  <c r="AP97" i="68"/>
  <c r="U97" i="68"/>
  <c r="S97" i="68"/>
  <c r="Q97" i="68"/>
  <c r="O97" i="68"/>
  <c r="M97" i="68"/>
  <c r="I97" i="68"/>
  <c r="BG95" i="68"/>
  <c r="BF95" i="68" s="1"/>
  <c r="BE95" i="68"/>
  <c r="BC95" i="68"/>
  <c r="BB95" i="68"/>
  <c r="BA95" i="68"/>
  <c r="AZ95" i="68"/>
  <c r="AW95" i="68"/>
  <c r="AP95" i="68"/>
  <c r="U95" i="68"/>
  <c r="S95" i="68"/>
  <c r="Q95" i="68"/>
  <c r="O95" i="68"/>
  <c r="M95" i="68"/>
  <c r="I95" i="68"/>
  <c r="E95" i="68"/>
  <c r="BG93" i="68"/>
  <c r="BF93" i="68" s="1"/>
  <c r="BE93" i="68"/>
  <c r="BC93" i="68"/>
  <c r="BB93" i="68"/>
  <c r="BA93" i="68"/>
  <c r="AZ93" i="68"/>
  <c r="AW93" i="68"/>
  <c r="AP93" i="68"/>
  <c r="U93" i="68"/>
  <c r="S93" i="68"/>
  <c r="Q93" i="68"/>
  <c r="O93" i="68"/>
  <c r="M93" i="68"/>
  <c r="I93" i="68"/>
  <c r="E93" i="68"/>
  <c r="BG91" i="68"/>
  <c r="BF91" i="68" s="1"/>
  <c r="BE91" i="68"/>
  <c r="BC91" i="68"/>
  <c r="BB91" i="68"/>
  <c r="BA91" i="68"/>
  <c r="AZ91" i="68"/>
  <c r="AW91" i="68"/>
  <c r="AP91" i="68"/>
  <c r="U91" i="68"/>
  <c r="S91" i="68"/>
  <c r="Q91" i="68"/>
  <c r="O91" i="68"/>
  <c r="M91" i="68"/>
  <c r="I91" i="68"/>
  <c r="E91" i="68"/>
  <c r="BG89" i="68"/>
  <c r="BF89" i="68" s="1"/>
  <c r="BE89" i="68"/>
  <c r="BC89" i="68"/>
  <c r="BB89" i="68"/>
  <c r="BA89" i="68"/>
  <c r="AZ89" i="68"/>
  <c r="AW89" i="68"/>
  <c r="AP89" i="68"/>
  <c r="U89" i="68"/>
  <c r="S89" i="68"/>
  <c r="Q89" i="68"/>
  <c r="O89" i="68"/>
  <c r="M89" i="68"/>
  <c r="I89" i="68"/>
  <c r="E89" i="68"/>
  <c r="BG87" i="68"/>
  <c r="BF87" i="68" s="1"/>
  <c r="BE87" i="68"/>
  <c r="BC87" i="68"/>
  <c r="BB87" i="68"/>
  <c r="BA87" i="68"/>
  <c r="AZ87" i="68"/>
  <c r="AW87" i="68"/>
  <c r="AP87" i="68"/>
  <c r="U87" i="68"/>
  <c r="S87" i="68"/>
  <c r="Q87" i="68"/>
  <c r="O87" i="68"/>
  <c r="M87" i="68"/>
  <c r="I87" i="68"/>
  <c r="E87" i="68"/>
  <c r="BG85" i="68"/>
  <c r="BF85" i="68" s="1"/>
  <c r="BE85" i="68"/>
  <c r="BC85" i="68"/>
  <c r="BB85" i="68"/>
  <c r="BA85" i="68"/>
  <c r="AZ85" i="68"/>
  <c r="AW85" i="68"/>
  <c r="E85" i="68" s="1"/>
  <c r="AP85" i="68"/>
  <c r="U85" i="68"/>
  <c r="S85" i="68"/>
  <c r="Q85" i="68"/>
  <c r="O85" i="68"/>
  <c r="M85" i="68"/>
  <c r="I85" i="68"/>
  <c r="BG83" i="68"/>
  <c r="BF83" i="68" s="1"/>
  <c r="BE83" i="68"/>
  <c r="BC83" i="68"/>
  <c r="BB83" i="68"/>
  <c r="BA83" i="68"/>
  <c r="AZ83" i="68"/>
  <c r="AW83" i="68"/>
  <c r="AP83" i="68"/>
  <c r="U83" i="68"/>
  <c r="S83" i="68"/>
  <c r="Q83" i="68"/>
  <c r="O83" i="68"/>
  <c r="M83" i="68"/>
  <c r="I83" i="68"/>
  <c r="E83" i="68"/>
  <c r="BG81" i="68"/>
  <c r="BF81" i="68" s="1"/>
  <c r="BE81" i="68"/>
  <c r="BC81" i="68"/>
  <c r="BB81" i="68"/>
  <c r="BA81" i="68"/>
  <c r="AZ81" i="68"/>
  <c r="AW81" i="68"/>
  <c r="E81" i="68" s="1"/>
  <c r="AP81" i="68"/>
  <c r="U81" i="68"/>
  <c r="S81" i="68"/>
  <c r="Q81" i="68"/>
  <c r="O81" i="68"/>
  <c r="M81" i="68"/>
  <c r="I81" i="68"/>
  <c r="AR80" i="68"/>
  <c r="BG79" i="68"/>
  <c r="BF79" i="68" s="1"/>
  <c r="BE79" i="68"/>
  <c r="BC79" i="68"/>
  <c r="BB79" i="68"/>
  <c r="BA79" i="68"/>
  <c r="AZ79" i="68"/>
  <c r="AW79" i="68"/>
  <c r="AP79" i="68"/>
  <c r="U79" i="68"/>
  <c r="S79" i="68"/>
  <c r="Q79" i="68"/>
  <c r="O79" i="68"/>
  <c r="M79" i="68"/>
  <c r="I79" i="68"/>
  <c r="E79" i="68"/>
  <c r="BG77" i="68"/>
  <c r="BF77" i="68" s="1"/>
  <c r="BE77" i="68"/>
  <c r="BC77" i="68"/>
  <c r="BB77" i="68"/>
  <c r="BA77" i="68"/>
  <c r="AZ77" i="68"/>
  <c r="AW77" i="68"/>
  <c r="E77" i="68" s="1"/>
  <c r="AP77" i="68"/>
  <c r="U77" i="68"/>
  <c r="S77" i="68"/>
  <c r="Q77" i="68"/>
  <c r="O77" i="68"/>
  <c r="M77" i="68"/>
  <c r="I77" i="68"/>
  <c r="BG75" i="68"/>
  <c r="BF75" i="68" s="1"/>
  <c r="BE75" i="68"/>
  <c r="BC75" i="68"/>
  <c r="BB75" i="68"/>
  <c r="BA75" i="68"/>
  <c r="AZ75" i="68"/>
  <c r="AW75" i="68"/>
  <c r="AP75" i="68"/>
  <c r="U75" i="68"/>
  <c r="S75" i="68"/>
  <c r="Q75" i="68"/>
  <c r="O75" i="68"/>
  <c r="M75" i="68"/>
  <c r="I75" i="68"/>
  <c r="E75" i="68"/>
  <c r="BG73" i="68"/>
  <c r="BF73" i="68" s="1"/>
  <c r="BE73" i="68"/>
  <c r="BC73" i="68"/>
  <c r="BB73" i="68"/>
  <c r="BA73" i="68"/>
  <c r="AZ73" i="68"/>
  <c r="AW73" i="68"/>
  <c r="AP73" i="68"/>
  <c r="U73" i="68"/>
  <c r="S73" i="68"/>
  <c r="Q73" i="68"/>
  <c r="O73" i="68"/>
  <c r="M73" i="68"/>
  <c r="I73" i="68"/>
  <c r="E73" i="68"/>
  <c r="BG71" i="68"/>
  <c r="BF71" i="68" s="1"/>
  <c r="BE71" i="68"/>
  <c r="BC71" i="68"/>
  <c r="BB71" i="68"/>
  <c r="BA71" i="68"/>
  <c r="AZ71" i="68"/>
  <c r="AW71" i="68"/>
  <c r="AP71" i="68"/>
  <c r="U71" i="68"/>
  <c r="S71" i="68"/>
  <c r="Q71" i="68"/>
  <c r="O71" i="68"/>
  <c r="M71" i="68"/>
  <c r="I71" i="68"/>
  <c r="E71" i="68"/>
  <c r="BG69" i="68"/>
  <c r="BF69" i="68" s="1"/>
  <c r="BE69" i="68"/>
  <c r="BC69" i="68"/>
  <c r="BB69" i="68"/>
  <c r="BA69" i="68"/>
  <c r="AZ69" i="68"/>
  <c r="AW69" i="68"/>
  <c r="AP69" i="68"/>
  <c r="U69" i="68"/>
  <c r="S69" i="68"/>
  <c r="Q69" i="68"/>
  <c r="O69" i="68"/>
  <c r="M69" i="68"/>
  <c r="I69" i="68"/>
  <c r="E69" i="68"/>
  <c r="BG67" i="68"/>
  <c r="BF67" i="68" s="1"/>
  <c r="BE67" i="68"/>
  <c r="BC67" i="68"/>
  <c r="BB67" i="68"/>
  <c r="BA67" i="68"/>
  <c r="AZ67" i="68"/>
  <c r="AW67" i="68"/>
  <c r="AP67" i="68"/>
  <c r="U67" i="68"/>
  <c r="S67" i="68"/>
  <c r="Q67" i="68"/>
  <c r="O67" i="68"/>
  <c r="M67" i="68"/>
  <c r="I67" i="68"/>
  <c r="E67" i="68"/>
  <c r="BG65" i="68"/>
  <c r="BF65" i="68" s="1"/>
  <c r="BE65" i="68"/>
  <c r="BC65" i="68"/>
  <c r="BB65" i="68"/>
  <c r="BA65" i="68"/>
  <c r="AZ65" i="68"/>
  <c r="AW65" i="68"/>
  <c r="E65" i="68" s="1"/>
  <c r="AP65" i="68"/>
  <c r="U65" i="68"/>
  <c r="S65" i="68"/>
  <c r="Q65" i="68"/>
  <c r="O65" i="68"/>
  <c r="M65" i="68"/>
  <c r="I65" i="68"/>
  <c r="BG63" i="68"/>
  <c r="BF63" i="68" s="1"/>
  <c r="BE63" i="68"/>
  <c r="BC63" i="68"/>
  <c r="BB63" i="68"/>
  <c r="BA63" i="68"/>
  <c r="AZ63" i="68"/>
  <c r="AW63" i="68"/>
  <c r="AP63" i="68"/>
  <c r="U63" i="68"/>
  <c r="S63" i="68"/>
  <c r="Q63" i="68"/>
  <c r="O63" i="68"/>
  <c r="M63" i="68"/>
  <c r="I63" i="68"/>
  <c r="E63" i="68"/>
  <c r="BG61" i="68"/>
  <c r="BF61" i="68" s="1"/>
  <c r="BE61" i="68"/>
  <c r="BC61" i="68"/>
  <c r="BB61" i="68"/>
  <c r="BA61" i="68"/>
  <c r="AZ61" i="68"/>
  <c r="AW61" i="68"/>
  <c r="E61" i="68" s="1"/>
  <c r="AP61" i="68"/>
  <c r="U61" i="68"/>
  <c r="S61" i="68"/>
  <c r="Q61" i="68"/>
  <c r="O61" i="68"/>
  <c r="M61" i="68"/>
  <c r="I61" i="68"/>
  <c r="BG59" i="68"/>
  <c r="BF59" i="68" s="1"/>
  <c r="BE59" i="68"/>
  <c r="BC59" i="68"/>
  <c r="BB59" i="68"/>
  <c r="BA59" i="68"/>
  <c r="AZ59" i="68"/>
  <c r="AW59" i="68"/>
  <c r="AP59" i="68"/>
  <c r="U59" i="68"/>
  <c r="S59" i="68"/>
  <c r="Q59" i="68"/>
  <c r="O59" i="68"/>
  <c r="M59" i="68"/>
  <c r="I59" i="68"/>
  <c r="E59" i="68"/>
  <c r="AR58" i="68"/>
  <c r="BG57" i="68"/>
  <c r="BF57" i="68" s="1"/>
  <c r="BE57" i="68"/>
  <c r="BC57" i="68"/>
  <c r="BB57" i="68"/>
  <c r="BA57" i="68"/>
  <c r="AZ57" i="68"/>
  <c r="AW57" i="68"/>
  <c r="AP57" i="68"/>
  <c r="U57" i="68"/>
  <c r="S57" i="68"/>
  <c r="Q57" i="68"/>
  <c r="O57" i="68"/>
  <c r="M57" i="68"/>
  <c r="I57" i="68"/>
  <c r="E57" i="68"/>
  <c r="BG55" i="68"/>
  <c r="BF55" i="68" s="1"/>
  <c r="BE55" i="68"/>
  <c r="BC55" i="68"/>
  <c r="BB55" i="68"/>
  <c r="BA55" i="68"/>
  <c r="AZ55" i="68"/>
  <c r="AW55" i="68"/>
  <c r="AP55" i="68"/>
  <c r="U55" i="68"/>
  <c r="S55" i="68"/>
  <c r="Q55" i="68"/>
  <c r="O55" i="68"/>
  <c r="M55" i="68"/>
  <c r="I55" i="68"/>
  <c r="E55" i="68"/>
  <c r="BG53" i="68"/>
  <c r="BF53" i="68" s="1"/>
  <c r="BE53" i="68"/>
  <c r="BC53" i="68"/>
  <c r="BB53" i="68"/>
  <c r="BA53" i="68"/>
  <c r="AZ53" i="68"/>
  <c r="AW53" i="68"/>
  <c r="AP53" i="68"/>
  <c r="U53" i="68"/>
  <c r="S53" i="68"/>
  <c r="Q53" i="68"/>
  <c r="O53" i="68"/>
  <c r="M53" i="68"/>
  <c r="I53" i="68"/>
  <c r="E53" i="68"/>
  <c r="BG51" i="68"/>
  <c r="BF51" i="68" s="1"/>
  <c r="BE51" i="68"/>
  <c r="BC51" i="68"/>
  <c r="BB51" i="68"/>
  <c r="BA51" i="68"/>
  <c r="AZ51" i="68"/>
  <c r="AW51" i="68"/>
  <c r="AP51" i="68"/>
  <c r="U51" i="68"/>
  <c r="S51" i="68"/>
  <c r="Q51" i="68"/>
  <c r="O51" i="68"/>
  <c r="M51" i="68"/>
  <c r="I51" i="68"/>
  <c r="E51" i="68"/>
  <c r="BG49" i="68"/>
  <c r="BF49" i="68" s="1"/>
  <c r="BE49" i="68"/>
  <c r="BC49" i="68"/>
  <c r="BB49" i="68"/>
  <c r="BA49" i="68"/>
  <c r="AZ49" i="68"/>
  <c r="AW49" i="68"/>
  <c r="AP49" i="68"/>
  <c r="U49" i="68"/>
  <c r="S49" i="68"/>
  <c r="Q49" i="68"/>
  <c r="O49" i="68"/>
  <c r="M49" i="68"/>
  <c r="I49" i="68"/>
  <c r="E49" i="68"/>
  <c r="BG47" i="68"/>
  <c r="BF47" i="68" s="1"/>
  <c r="BE47" i="68"/>
  <c r="BC47" i="68"/>
  <c r="BB47" i="68"/>
  <c r="BA47" i="68"/>
  <c r="AZ47" i="68"/>
  <c r="AW47" i="68"/>
  <c r="AP47" i="68"/>
  <c r="U47" i="68"/>
  <c r="S47" i="68"/>
  <c r="Q47" i="68"/>
  <c r="O47" i="68"/>
  <c r="M47" i="68"/>
  <c r="I47" i="68"/>
  <c r="E47" i="68"/>
  <c r="BG45" i="68"/>
  <c r="BF45" i="68" s="1"/>
  <c r="BE45" i="68"/>
  <c r="BC45" i="68"/>
  <c r="BB45" i="68"/>
  <c r="BA45" i="68"/>
  <c r="AZ45" i="68"/>
  <c r="AW45" i="68"/>
  <c r="AP45" i="68"/>
  <c r="U45" i="68"/>
  <c r="S45" i="68"/>
  <c r="Q45" i="68"/>
  <c r="O45" i="68"/>
  <c r="M45" i="68"/>
  <c r="I45" i="68"/>
  <c r="E45" i="68"/>
  <c r="BG43" i="68"/>
  <c r="BF43" i="68" s="1"/>
  <c r="BE43" i="68"/>
  <c r="BC43" i="68"/>
  <c r="BB43" i="68"/>
  <c r="BA43" i="68"/>
  <c r="AZ43" i="68"/>
  <c r="AW43" i="68"/>
  <c r="AP43" i="68"/>
  <c r="U43" i="68"/>
  <c r="S43" i="68"/>
  <c r="Q43" i="68"/>
  <c r="O43" i="68"/>
  <c r="M43" i="68"/>
  <c r="I43" i="68"/>
  <c r="E43" i="68"/>
  <c r="BG41" i="68"/>
  <c r="BF41" i="68" s="1"/>
  <c r="BE41" i="68"/>
  <c r="BC41" i="68"/>
  <c r="BB41" i="68"/>
  <c r="BA41" i="68"/>
  <c r="AZ41" i="68"/>
  <c r="AW41" i="68"/>
  <c r="AP41" i="68"/>
  <c r="U41" i="68"/>
  <c r="S41" i="68"/>
  <c r="Q41" i="68"/>
  <c r="O41" i="68"/>
  <c r="M41" i="68"/>
  <c r="I41" i="68"/>
  <c r="E41" i="68"/>
  <c r="I40" i="68"/>
  <c r="E40" i="68"/>
  <c r="BG39" i="68"/>
  <c r="BF39" i="68" s="1"/>
  <c r="BE39" i="68"/>
  <c r="BC39" i="68"/>
  <c r="BB39" i="68"/>
  <c r="BA39" i="68"/>
  <c r="AZ39" i="68"/>
  <c r="AW39" i="68"/>
  <c r="E39" i="68" s="1"/>
  <c r="AP39" i="68"/>
  <c r="U39" i="68"/>
  <c r="S39" i="68"/>
  <c r="Q39" i="68"/>
  <c r="O39" i="68"/>
  <c r="M39" i="68"/>
  <c r="I39" i="68"/>
  <c r="I38" i="68"/>
  <c r="E38" i="68"/>
  <c r="BG37" i="68"/>
  <c r="BF37" i="68" s="1"/>
  <c r="BE37" i="68"/>
  <c r="BC37" i="68"/>
  <c r="BB37" i="68"/>
  <c r="BA37" i="68"/>
  <c r="AZ37" i="68"/>
  <c r="AW37" i="68"/>
  <c r="AP37" i="68"/>
  <c r="U37" i="68"/>
  <c r="S37" i="68"/>
  <c r="Q37" i="68"/>
  <c r="O37" i="68"/>
  <c r="M37" i="68"/>
  <c r="I37" i="68"/>
  <c r="E37" i="68"/>
  <c r="BG35" i="68"/>
  <c r="BF35" i="68" s="1"/>
  <c r="BE35" i="68"/>
  <c r="BC35" i="68"/>
  <c r="BB35" i="68"/>
  <c r="BA35" i="68"/>
  <c r="AZ35" i="68"/>
  <c r="AW35" i="68"/>
  <c r="E35" i="68" s="1"/>
  <c r="AP35" i="68"/>
  <c r="U35" i="68"/>
  <c r="S35" i="68"/>
  <c r="Q35" i="68"/>
  <c r="O35" i="68"/>
  <c r="M35" i="68"/>
  <c r="I35" i="68"/>
  <c r="BG33" i="68"/>
  <c r="BF33" i="68" s="1"/>
  <c r="BE33" i="68"/>
  <c r="BC33" i="68"/>
  <c r="BB33" i="68"/>
  <c r="BA33" i="68"/>
  <c r="AZ33" i="68"/>
  <c r="AW33" i="68"/>
  <c r="AP33" i="68"/>
  <c r="U33" i="68"/>
  <c r="S33" i="68"/>
  <c r="Q33" i="68"/>
  <c r="O33" i="68"/>
  <c r="M33" i="68"/>
  <c r="I33" i="68"/>
  <c r="E33" i="68"/>
  <c r="BG31" i="68"/>
  <c r="BF31" i="68" s="1"/>
  <c r="BE31" i="68"/>
  <c r="BC31" i="68"/>
  <c r="BC11" i="68" s="1"/>
  <c r="BB31" i="68"/>
  <c r="BA31" i="68"/>
  <c r="AZ31" i="68"/>
  <c r="AW31" i="68"/>
  <c r="AP31" i="68"/>
  <c r="U31" i="68"/>
  <c r="S31" i="68"/>
  <c r="Q31" i="68"/>
  <c r="O31" i="68"/>
  <c r="M31" i="68"/>
  <c r="I31" i="68"/>
  <c r="E31" i="68"/>
  <c r="BG29" i="68"/>
  <c r="BF29" i="68" s="1"/>
  <c r="BE29" i="68"/>
  <c r="BC29" i="68"/>
  <c r="BB29" i="68"/>
  <c r="BA29" i="68"/>
  <c r="AZ29" i="68"/>
  <c r="AW29" i="68"/>
  <c r="AP29" i="68"/>
  <c r="U29" i="68"/>
  <c r="S29" i="68"/>
  <c r="Q29" i="68"/>
  <c r="O29" i="68"/>
  <c r="M29" i="68"/>
  <c r="I29" i="68"/>
  <c r="E29" i="68"/>
  <c r="BG27" i="68"/>
  <c r="BF27" i="68" s="1"/>
  <c r="BE27" i="68"/>
  <c r="BC27" i="68"/>
  <c r="BB27" i="68"/>
  <c r="BA27" i="68"/>
  <c r="AZ27" i="68"/>
  <c r="AW27" i="68"/>
  <c r="E27" i="68" s="1"/>
  <c r="AP27" i="68"/>
  <c r="U27" i="68"/>
  <c r="S27" i="68"/>
  <c r="Q27" i="68"/>
  <c r="O27" i="68"/>
  <c r="M27" i="68"/>
  <c r="I27" i="68"/>
  <c r="BG25" i="68"/>
  <c r="BF25" i="68" s="1"/>
  <c r="BE25" i="68"/>
  <c r="BC25" i="68"/>
  <c r="BB25" i="68"/>
  <c r="BA25" i="68"/>
  <c r="AZ25" i="68"/>
  <c r="AW25" i="68"/>
  <c r="E25" i="68" s="1"/>
  <c r="AP25" i="68"/>
  <c r="U25" i="68"/>
  <c r="S25" i="68"/>
  <c r="Q25" i="68"/>
  <c r="O25" i="68"/>
  <c r="M25" i="68"/>
  <c r="I25" i="68"/>
  <c r="BG23" i="68"/>
  <c r="BF23" i="68" s="1"/>
  <c r="BE23" i="68"/>
  <c r="BC23" i="68"/>
  <c r="BB23" i="68"/>
  <c r="BA23" i="68"/>
  <c r="AZ23" i="68"/>
  <c r="AW23" i="68"/>
  <c r="AP23" i="68"/>
  <c r="U23" i="68"/>
  <c r="S23" i="68"/>
  <c r="Q23" i="68"/>
  <c r="O23" i="68"/>
  <c r="M23" i="68"/>
  <c r="I23" i="68"/>
  <c r="E23" i="68"/>
  <c r="AR22" i="68"/>
  <c r="BG21" i="68"/>
  <c r="BF21" i="68" s="1"/>
  <c r="BE21" i="68"/>
  <c r="BC21" i="68"/>
  <c r="BB21" i="68"/>
  <c r="BA21" i="68"/>
  <c r="AZ21" i="68"/>
  <c r="AW21" i="68"/>
  <c r="E21" i="68" s="1"/>
  <c r="AP21" i="68"/>
  <c r="U21" i="68"/>
  <c r="S21" i="68"/>
  <c r="Q21" i="68"/>
  <c r="O21" i="68"/>
  <c r="M21" i="68"/>
  <c r="I21" i="68"/>
  <c r="BG19" i="68"/>
  <c r="BF19" i="68" s="1"/>
  <c r="BE19" i="68"/>
  <c r="BC19" i="68"/>
  <c r="BB19" i="68"/>
  <c r="BA19" i="68"/>
  <c r="AZ19" i="68"/>
  <c r="AW19" i="68"/>
  <c r="E19" i="68" s="1"/>
  <c r="AP19" i="68"/>
  <c r="U19" i="68"/>
  <c r="S19" i="68"/>
  <c r="Q19" i="68"/>
  <c r="O19" i="68"/>
  <c r="M19" i="68"/>
  <c r="I19" i="68"/>
  <c r="A19" i="68"/>
  <c r="A21" i="68" s="1"/>
  <c r="A23" i="68" s="1"/>
  <c r="A25" i="68" s="1"/>
  <c r="A27" i="68" s="1"/>
  <c r="A29" i="68" s="1"/>
  <c r="A31" i="68" s="1"/>
  <c r="A33" i="68" s="1"/>
  <c r="A35" i="68" s="1"/>
  <c r="A37" i="68" s="1"/>
  <c r="A39" i="68" s="1"/>
  <c r="A41" i="68" s="1"/>
  <c r="A43" i="68" s="1"/>
  <c r="A45" i="68" s="1"/>
  <c r="A47" i="68" s="1"/>
  <c r="A49" i="68" s="1"/>
  <c r="A51" i="68" s="1"/>
  <c r="A53" i="68" s="1"/>
  <c r="A55" i="68" s="1"/>
  <c r="A57" i="68" s="1"/>
  <c r="A59" i="68" s="1"/>
  <c r="A61" i="68" s="1"/>
  <c r="A63" i="68" s="1"/>
  <c r="A65" i="68" s="1"/>
  <c r="A67" i="68" s="1"/>
  <c r="A69" i="68" s="1"/>
  <c r="A71" i="68" s="1"/>
  <c r="A73" i="68" s="1"/>
  <c r="A75" i="68" s="1"/>
  <c r="A77" i="68" s="1"/>
  <c r="A79" i="68" s="1"/>
  <c r="A81" i="68" s="1"/>
  <c r="A83" i="68" s="1"/>
  <c r="A85" i="68" s="1"/>
  <c r="A87" i="68" s="1"/>
  <c r="A89" i="68" s="1"/>
  <c r="A91" i="68" s="1"/>
  <c r="A93" i="68" s="1"/>
  <c r="A95" i="68" s="1"/>
  <c r="A97" i="68" s="1"/>
  <c r="A99" i="68" s="1"/>
  <c r="A101" i="68" s="1"/>
  <c r="A103" i="68" s="1"/>
  <c r="A105" i="68" s="1"/>
  <c r="A107" i="68" s="1"/>
  <c r="A109" i="68" s="1"/>
  <c r="A111" i="68" s="1"/>
  <c r="A113" i="68" s="1"/>
  <c r="A115" i="68" s="1"/>
  <c r="A117" i="68" s="1"/>
  <c r="A119" i="68" s="1"/>
  <c r="A121" i="68" s="1"/>
  <c r="A123" i="68" s="1"/>
  <c r="A125" i="68" s="1"/>
  <c r="A127" i="68" s="1"/>
  <c r="A129" i="68" s="1"/>
  <c r="A131" i="68" s="1"/>
  <c r="A133" i="68" s="1"/>
  <c r="A135" i="68" s="1"/>
  <c r="A137" i="68" s="1"/>
  <c r="A139" i="68" s="1"/>
  <c r="A141" i="68" s="1"/>
  <c r="A143" i="68" s="1"/>
  <c r="A145" i="68" s="1"/>
  <c r="A147" i="68" s="1"/>
  <c r="A149" i="68" s="1"/>
  <c r="A151" i="68" s="1"/>
  <c r="A153" i="68" s="1"/>
  <c r="A155" i="68" s="1"/>
  <c r="A157" i="68" s="1"/>
  <c r="A159" i="68" s="1"/>
  <c r="A161" i="68" s="1"/>
  <c r="A163" i="68" s="1"/>
  <c r="A165" i="68" s="1"/>
  <c r="A167" i="68" s="1"/>
  <c r="A169" i="68" s="1"/>
  <c r="A171" i="68" s="1"/>
  <c r="A173" i="68" s="1"/>
  <c r="A175" i="68" s="1"/>
  <c r="A177" i="68" s="1"/>
  <c r="A179" i="68" s="1"/>
  <c r="A181" i="68" s="1"/>
  <c r="A183" i="68" s="1"/>
  <c r="A185" i="68" s="1"/>
  <c r="A187" i="68" s="1"/>
  <c r="A189" i="68" s="1"/>
  <c r="A191" i="68" s="1"/>
  <c r="A193" i="68" s="1"/>
  <c r="A195" i="68" s="1"/>
  <c r="A197" i="68" s="1"/>
  <c r="A199" i="68" s="1"/>
  <c r="A201" i="68" s="1"/>
  <c r="A203" i="68" s="1"/>
  <c r="A205" i="68" s="1"/>
  <c r="A207" i="68" s="1"/>
  <c r="A209" i="68" s="1"/>
  <c r="BG17" i="68"/>
  <c r="BF17" i="68"/>
  <c r="BE17" i="68"/>
  <c r="BD17" i="68" s="1"/>
  <c r="BC17" i="68"/>
  <c r="BB17" i="68"/>
  <c r="BB11" i="68" s="1"/>
  <c r="BA17" i="68"/>
  <c r="AZ17" i="68"/>
  <c r="AZ11" i="68" s="1"/>
  <c r="AW17" i="68"/>
  <c r="AP17" i="68"/>
  <c r="U17" i="68"/>
  <c r="S17" i="68"/>
  <c r="Q17" i="68"/>
  <c r="O17" i="68"/>
  <c r="M17" i="68"/>
  <c r="I17" i="68"/>
  <c r="D17" i="68"/>
  <c r="BA11" i="68"/>
  <c r="BA13" i="68" s="1"/>
  <c r="AN11" i="68"/>
  <c r="CA209" i="68" s="1"/>
  <c r="BZ209" i="68" s="1"/>
  <c r="AL11" i="68"/>
  <c r="BY209" i="68" s="1"/>
  <c r="BX209" i="68" s="1"/>
  <c r="AJ11" i="68"/>
  <c r="BW209" i="68" s="1"/>
  <c r="BV209" i="68" s="1"/>
  <c r="AH11" i="68"/>
  <c r="BU209" i="68" s="1"/>
  <c r="BT209" i="68" s="1"/>
  <c r="AF11" i="68"/>
  <c r="BS209" i="68" s="1"/>
  <c r="BR209" i="68" s="1"/>
  <c r="AD11" i="68"/>
  <c r="BQ209" i="68" s="1"/>
  <c r="BP209" i="68" s="1"/>
  <c r="AB11" i="68"/>
  <c r="BO209" i="68" s="1"/>
  <c r="BN209" i="68" s="1"/>
  <c r="Z11" i="68"/>
  <c r="BM209" i="68" s="1"/>
  <c r="BL209" i="68" s="1"/>
  <c r="X11" i="68"/>
  <c r="BK209" i="68" s="1"/>
  <c r="BJ209" i="68" s="1"/>
  <c r="V11" i="68"/>
  <c r="BI209" i="68" s="1"/>
  <c r="BH209" i="68" s="1"/>
  <c r="BE5" i="68"/>
  <c r="BD5" i="68"/>
  <c r="M14" i="71"/>
  <c r="M13" i="71"/>
  <c r="R11" i="71"/>
  <c r="R10" i="71"/>
  <c r="R9" i="71"/>
  <c r="R8" i="71"/>
  <c r="R7" i="71"/>
  <c r="R5" i="71"/>
  <c r="M5" i="71"/>
  <c r="R3" i="71"/>
  <c r="B105" i="67"/>
  <c r="B104" i="67"/>
  <c r="B103" i="67"/>
  <c r="B102" i="67"/>
  <c r="B101" i="67"/>
  <c r="B100" i="67"/>
  <c r="B99" i="67"/>
  <c r="B98" i="67"/>
  <c r="B97" i="67"/>
  <c r="B96" i="67"/>
  <c r="B95" i="67"/>
  <c r="B94" i="67"/>
  <c r="B93" i="67"/>
  <c r="B92" i="67"/>
  <c r="B91" i="67"/>
  <c r="B90" i="67"/>
  <c r="B89" i="67"/>
  <c r="B88" i="67"/>
  <c r="B87" i="67"/>
  <c r="B86" i="67"/>
  <c r="B85" i="67"/>
  <c r="B84" i="67"/>
  <c r="B83" i="67"/>
  <c r="B82" i="67"/>
  <c r="B81" i="67"/>
  <c r="B80" i="67"/>
  <c r="B79" i="67"/>
  <c r="B78" i="67"/>
  <c r="B77" i="67"/>
  <c r="B76" i="67"/>
  <c r="B75" i="67"/>
  <c r="B74" i="67"/>
  <c r="B73" i="67"/>
  <c r="B72" i="67"/>
  <c r="B71" i="67"/>
  <c r="B70" i="67"/>
  <c r="B69" i="67"/>
  <c r="B68" i="67"/>
  <c r="B67" i="67"/>
  <c r="B66" i="67"/>
  <c r="B65" i="67"/>
  <c r="B64" i="67"/>
  <c r="B63" i="67"/>
  <c r="B62" i="67"/>
  <c r="B61" i="67"/>
  <c r="B60" i="67"/>
  <c r="B59" i="67"/>
  <c r="B58" i="67"/>
  <c r="B57" i="67"/>
  <c r="B56" i="67"/>
  <c r="B55" i="67"/>
  <c r="B54" i="67"/>
  <c r="B53" i="67"/>
  <c r="B52" i="67"/>
  <c r="B51" i="67"/>
  <c r="B50" i="67"/>
  <c r="B49" i="67"/>
  <c r="B48" i="67"/>
  <c r="B47" i="67"/>
  <c r="B46" i="67"/>
  <c r="B45" i="67"/>
  <c r="B44" i="67"/>
  <c r="B43" i="67"/>
  <c r="B42" i="67"/>
  <c r="B41" i="67"/>
  <c r="B40" i="67"/>
  <c r="B39" i="67"/>
  <c r="B38" i="67"/>
  <c r="B37" i="67"/>
  <c r="B36" i="67"/>
  <c r="B35" i="67"/>
  <c r="B34" i="67"/>
  <c r="B33" i="67"/>
  <c r="B32" i="67"/>
  <c r="B31" i="67"/>
  <c r="B30" i="67"/>
  <c r="B29" i="67"/>
  <c r="B28" i="67"/>
  <c r="A3" i="67"/>
  <c r="F104" i="14"/>
  <c r="F103" i="14" s="1"/>
  <c r="F102" i="14" s="1"/>
  <c r="F101" i="14" s="1"/>
  <c r="F100" i="14" s="1"/>
  <c r="F99" i="14" s="1"/>
  <c r="F98" i="14" s="1"/>
  <c r="F97" i="14" s="1"/>
  <c r="F96" i="14" s="1"/>
  <c r="F95" i="14" s="1"/>
  <c r="F94" i="14" s="1"/>
  <c r="F93" i="14" s="1"/>
  <c r="F92" i="14" s="1"/>
  <c r="F91" i="14" s="1"/>
  <c r="F90" i="14" s="1"/>
  <c r="F89" i="14" s="1"/>
  <c r="F88" i="14" s="1"/>
  <c r="F87" i="14" s="1"/>
  <c r="F86" i="14" s="1"/>
  <c r="F85" i="14" s="1"/>
  <c r="F84" i="14" s="1"/>
  <c r="F83" i="14" s="1"/>
  <c r="F82" i="14" s="1"/>
  <c r="F81" i="14" s="1"/>
  <c r="F80" i="14" s="1"/>
  <c r="F79" i="14" s="1"/>
  <c r="F78" i="14" s="1"/>
  <c r="F77" i="14" s="1"/>
  <c r="F76" i="14" s="1"/>
  <c r="F75" i="14" s="1"/>
  <c r="F74" i="14" s="1"/>
  <c r="F73" i="14" s="1"/>
  <c r="F72" i="14" s="1"/>
  <c r="F71" i="14" s="1"/>
  <c r="F70" i="14" s="1"/>
  <c r="F69" i="14" s="1"/>
  <c r="F68" i="14" s="1"/>
  <c r="F67" i="14" s="1"/>
  <c r="F66" i="14" s="1"/>
  <c r="F65" i="14" s="1"/>
  <c r="F64" i="14" s="1"/>
  <c r="F63" i="14" s="1"/>
  <c r="F62" i="14" s="1"/>
  <c r="F61" i="14" s="1"/>
  <c r="F60" i="14" s="1"/>
  <c r="F59" i="14" s="1"/>
  <c r="F58" i="14" s="1"/>
  <c r="F57" i="14" s="1"/>
  <c r="F56" i="14" s="1"/>
  <c r="F55" i="14" s="1"/>
  <c r="F54" i="14" s="1"/>
  <c r="F53" i="14" s="1"/>
  <c r="F52" i="14" s="1"/>
  <c r="F51" i="14" s="1"/>
  <c r="F50" i="14" s="1"/>
  <c r="F49" i="14" s="1"/>
  <c r="F48" i="14" s="1"/>
  <c r="F47" i="14" s="1"/>
  <c r="F46" i="14" s="1"/>
  <c r="F45" i="14" s="1"/>
  <c r="F44" i="14" s="1"/>
  <c r="F43" i="14" s="1"/>
  <c r="F42" i="14" s="1"/>
  <c r="F41" i="14" s="1"/>
  <c r="F40" i="14" s="1"/>
  <c r="F39" i="14" s="1"/>
  <c r="F38" i="14" s="1"/>
  <c r="F37" i="14" s="1"/>
  <c r="F36" i="14" s="1"/>
  <c r="F35" i="14" s="1"/>
  <c r="F34" i="14" s="1"/>
  <c r="F33" i="14" s="1"/>
  <c r="F32" i="14" s="1"/>
  <c r="F31" i="14" s="1"/>
  <c r="F30" i="14" s="1"/>
  <c r="F29" i="14" s="1"/>
  <c r="F28" i="14" s="1"/>
  <c r="F27" i="14" s="1"/>
  <c r="F26" i="14" s="1"/>
  <c r="F25" i="14" s="1"/>
  <c r="F24" i="14" s="1"/>
  <c r="F23" i="14" s="1"/>
  <c r="F22" i="14" s="1"/>
  <c r="F21" i="14" s="1"/>
  <c r="F20" i="14" s="1"/>
  <c r="F19" i="14" s="1"/>
  <c r="F18" i="14" s="1"/>
  <c r="F17" i="14" s="1"/>
  <c r="F16" i="14" s="1"/>
  <c r="F15" i="14" s="1"/>
  <c r="F14" i="14" s="1"/>
  <c r="F13" i="14" s="1"/>
  <c r="F12" i="14" s="1"/>
  <c r="F11" i="14" s="1"/>
  <c r="E104" i="14"/>
  <c r="D104" i="14"/>
  <c r="D103" i="14" s="1"/>
  <c r="D102" i="14" s="1"/>
  <c r="D101" i="14" s="1"/>
  <c r="D100" i="14" s="1"/>
  <c r="D99" i="14" s="1"/>
  <c r="D98" i="14" s="1"/>
  <c r="D97" i="14" s="1"/>
  <c r="D96" i="14" s="1"/>
  <c r="D95" i="14" s="1"/>
  <c r="D94" i="14" s="1"/>
  <c r="D93" i="14" s="1"/>
  <c r="D92" i="14" s="1"/>
  <c r="D91" i="14" s="1"/>
  <c r="D90" i="14" s="1"/>
  <c r="D89" i="14" s="1"/>
  <c r="D88" i="14" s="1"/>
  <c r="D87" i="14" s="1"/>
  <c r="D86" i="14" s="1"/>
  <c r="D85" i="14" s="1"/>
  <c r="D84" i="14" s="1"/>
  <c r="D83" i="14" s="1"/>
  <c r="D82" i="14" s="1"/>
  <c r="D81" i="14" s="1"/>
  <c r="D80" i="14" s="1"/>
  <c r="D79" i="14" s="1"/>
  <c r="D78" i="14" s="1"/>
  <c r="D77" i="14" s="1"/>
  <c r="D76" i="14" s="1"/>
  <c r="D75" i="14" s="1"/>
  <c r="D74" i="14" s="1"/>
  <c r="D73" i="14" s="1"/>
  <c r="D72" i="14" s="1"/>
  <c r="D71" i="14" s="1"/>
  <c r="D70" i="14" s="1"/>
  <c r="D69" i="14" s="1"/>
  <c r="D68" i="14" s="1"/>
  <c r="D67" i="14" s="1"/>
  <c r="D66" i="14" s="1"/>
  <c r="D65" i="14" s="1"/>
  <c r="D64" i="14" s="1"/>
  <c r="D63" i="14" s="1"/>
  <c r="D62" i="14" s="1"/>
  <c r="D61" i="14" s="1"/>
  <c r="D60" i="14" s="1"/>
  <c r="D59" i="14" s="1"/>
  <c r="D58" i="14" s="1"/>
  <c r="D57" i="14" s="1"/>
  <c r="D56" i="14" s="1"/>
  <c r="D55" i="14" s="1"/>
  <c r="D54" i="14" s="1"/>
  <c r="D53" i="14" s="1"/>
  <c r="D52" i="14" s="1"/>
  <c r="D51" i="14" s="1"/>
  <c r="D50" i="14" s="1"/>
  <c r="D49" i="14" s="1"/>
  <c r="D48" i="14" s="1"/>
  <c r="D47" i="14" s="1"/>
  <c r="D46" i="14" s="1"/>
  <c r="D45" i="14" s="1"/>
  <c r="D44" i="14" s="1"/>
  <c r="D43" i="14" s="1"/>
  <c r="D42" i="14" s="1"/>
  <c r="D41" i="14" s="1"/>
  <c r="D40" i="14" s="1"/>
  <c r="D39" i="14" s="1"/>
  <c r="D38" i="14" s="1"/>
  <c r="D37" i="14" s="1"/>
  <c r="D36" i="14" s="1"/>
  <c r="D35" i="14" s="1"/>
  <c r="D34" i="14" s="1"/>
  <c r="D33" i="14" s="1"/>
  <c r="D32" i="14" s="1"/>
  <c r="D31" i="14" s="1"/>
  <c r="D30" i="14" s="1"/>
  <c r="D29" i="14" s="1"/>
  <c r="D28" i="14" s="1"/>
  <c r="D27" i="14" s="1"/>
  <c r="D26" i="14" s="1"/>
  <c r="D25" i="14" s="1"/>
  <c r="D24" i="14" s="1"/>
  <c r="D23" i="14" s="1"/>
  <c r="D22" i="14" s="1"/>
  <c r="D21" i="14" s="1"/>
  <c r="D20" i="14" s="1"/>
  <c r="D19" i="14" s="1"/>
  <c r="D18" i="14" s="1"/>
  <c r="D17" i="14" s="1"/>
  <c r="D16" i="14" s="1"/>
  <c r="D15" i="14" s="1"/>
  <c r="D14" i="14" s="1"/>
  <c r="D13" i="14" s="1"/>
  <c r="D12" i="14" s="1"/>
  <c r="D11" i="14" s="1"/>
  <c r="E103" i="14"/>
  <c r="B103" i="14"/>
  <c r="B104" i="14" s="1"/>
  <c r="B105" i="14" s="1"/>
  <c r="B106" i="14" s="1"/>
  <c r="B107" i="14" s="1"/>
  <c r="B108" i="14" s="1"/>
  <c r="B109" i="14" s="1"/>
  <c r="B110" i="14" s="1"/>
  <c r="B111" i="14" s="1"/>
  <c r="B112" i="14" s="1"/>
  <c r="B113" i="14" s="1"/>
  <c r="B114" i="14" s="1"/>
  <c r="B115" i="14" s="1"/>
  <c r="E102" i="14"/>
  <c r="E101" i="14"/>
  <c r="E100" i="14" s="1"/>
  <c r="E99" i="14" s="1"/>
  <c r="E98" i="14" s="1"/>
  <c r="E97" i="14" s="1"/>
  <c r="E96" i="14" s="1"/>
  <c r="E95" i="14" s="1"/>
  <c r="E94" i="14" s="1"/>
  <c r="E93" i="14" s="1"/>
  <c r="E92" i="14" s="1"/>
  <c r="E91" i="14" s="1"/>
  <c r="E90" i="14" s="1"/>
  <c r="E89" i="14" s="1"/>
  <c r="E88" i="14" s="1"/>
  <c r="E87" i="14" s="1"/>
  <c r="E86" i="14" s="1"/>
  <c r="E85" i="14" s="1"/>
  <c r="E84" i="14" s="1"/>
  <c r="E83" i="14" s="1"/>
  <c r="E82" i="14" s="1"/>
  <c r="E81" i="14" s="1"/>
  <c r="E80" i="14" s="1"/>
  <c r="E79" i="14" s="1"/>
  <c r="E78" i="14" s="1"/>
  <c r="E77" i="14" s="1"/>
  <c r="E76" i="14" s="1"/>
  <c r="E75" i="14" s="1"/>
  <c r="E74" i="14" s="1"/>
  <c r="E73" i="14" s="1"/>
  <c r="E72" i="14" s="1"/>
  <c r="E71" i="14" s="1"/>
  <c r="E70" i="14" s="1"/>
  <c r="E69" i="14" s="1"/>
  <c r="E68" i="14" s="1"/>
  <c r="E67" i="14" s="1"/>
  <c r="E66" i="14" s="1"/>
  <c r="E65" i="14" s="1"/>
  <c r="E64" i="14" s="1"/>
  <c r="E63" i="14" s="1"/>
  <c r="E62" i="14" s="1"/>
  <c r="E61" i="14" s="1"/>
  <c r="E60" i="14" s="1"/>
  <c r="E59" i="14" s="1"/>
  <c r="E58" i="14" s="1"/>
  <c r="E57" i="14" s="1"/>
  <c r="E56" i="14" s="1"/>
  <c r="E55" i="14" s="1"/>
  <c r="E54" i="14" s="1"/>
  <c r="E53" i="14" s="1"/>
  <c r="E52" i="14" s="1"/>
  <c r="E51" i="14" s="1"/>
  <c r="E50" i="14" s="1"/>
  <c r="E49" i="14" s="1"/>
  <c r="E48" i="14" s="1"/>
  <c r="E47" i="14" s="1"/>
  <c r="E46" i="14" s="1"/>
  <c r="E45" i="14" s="1"/>
  <c r="E44" i="14" s="1"/>
  <c r="E43" i="14" s="1"/>
  <c r="E42" i="14" s="1"/>
  <c r="E41" i="14" s="1"/>
  <c r="E40" i="14" s="1"/>
  <c r="E39" i="14" s="1"/>
  <c r="E38" i="14" s="1"/>
  <c r="E37" i="14" s="1"/>
  <c r="E36" i="14" s="1"/>
  <c r="E35" i="14" s="1"/>
  <c r="E34" i="14" s="1"/>
  <c r="E33" i="14" s="1"/>
  <c r="E32" i="14" s="1"/>
  <c r="E31" i="14" s="1"/>
  <c r="E30" i="14" s="1"/>
  <c r="E29" i="14" s="1"/>
  <c r="E28" i="14" s="1"/>
  <c r="E27" i="14" s="1"/>
  <c r="E26" i="14" s="1"/>
  <c r="E25" i="14" s="1"/>
  <c r="E24" i="14" s="1"/>
  <c r="E23" i="14" s="1"/>
  <c r="E22" i="14" s="1"/>
  <c r="E21" i="14" s="1"/>
  <c r="E20" i="14" s="1"/>
  <c r="E19" i="14" s="1"/>
  <c r="E18" i="14" s="1"/>
  <c r="E17" i="14" s="1"/>
  <c r="E16" i="14" s="1"/>
  <c r="E15" i="14" s="1"/>
  <c r="E14" i="14" s="1"/>
  <c r="E13" i="14" s="1"/>
  <c r="E12" i="14" s="1"/>
  <c r="E11" i="14" s="1"/>
  <c r="B31" i="14"/>
  <c r="B30" i="14" s="1"/>
  <c r="B29" i="14" s="1"/>
  <c r="B28" i="14" s="1"/>
  <c r="B27" i="14" s="1"/>
  <c r="B26" i="14" s="1"/>
  <c r="B25" i="14" s="1"/>
  <c r="B24" i="14" s="1"/>
  <c r="B23" i="14" s="1"/>
  <c r="B22" i="14" s="1"/>
  <c r="B21" i="14" s="1"/>
  <c r="B20" i="14" s="1"/>
  <c r="B19" i="14" s="1"/>
  <c r="B18" i="14" s="1"/>
  <c r="B17" i="14" s="1"/>
  <c r="B16" i="14" s="1"/>
  <c r="B15" i="14" s="1"/>
  <c r="B14" i="14" s="1"/>
  <c r="B13" i="14" s="1"/>
  <c r="B12" i="14" s="1"/>
  <c r="B11" i="14" s="1"/>
  <c r="D10" i="14"/>
  <c r="E10" i="14" s="1"/>
  <c r="F10" i="14" s="1"/>
  <c r="G10" i="14" s="1"/>
  <c r="H10" i="14" s="1"/>
  <c r="I10" i="14" s="1"/>
  <c r="J10" i="14" s="1"/>
  <c r="K10" i="14" s="1"/>
  <c r="L10" i="14" s="1"/>
  <c r="M10" i="14" s="1"/>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F8" i="14"/>
  <c r="E8" i="14"/>
  <c r="D8" i="14"/>
  <c r="BO173" i="79" l="1"/>
  <c r="BF173" i="79"/>
  <c r="BN17" i="79"/>
  <c r="BD21" i="79"/>
  <c r="BN29" i="79"/>
  <c r="BO13" i="79"/>
  <c r="CB4" i="79"/>
  <c r="BN65" i="79"/>
  <c r="BD69" i="79"/>
  <c r="BD81" i="79"/>
  <c r="BN121" i="79"/>
  <c r="BN137" i="79"/>
  <c r="BD141" i="79"/>
  <c r="BN149" i="79"/>
  <c r="BN157" i="79"/>
  <c r="BD173" i="79"/>
  <c r="BN189" i="79"/>
  <c r="BN193" i="79"/>
  <c r="BN201" i="79"/>
  <c r="BN209" i="79"/>
  <c r="BN63" i="79"/>
  <c r="BN73" i="79"/>
  <c r="BN79" i="79"/>
  <c r="BD85" i="79"/>
  <c r="BN105" i="79"/>
  <c r="BN119" i="79"/>
  <c r="BN123" i="79"/>
  <c r="AT127" i="79"/>
  <c r="BN135" i="79"/>
  <c r="BN139" i="79"/>
  <c r="BD143" i="79"/>
  <c r="BN151" i="79"/>
  <c r="BD155" i="79"/>
  <c r="BD159" i="79"/>
  <c r="BN163" i="79"/>
  <c r="BN187" i="79"/>
  <c r="BN195" i="79"/>
  <c r="BD199" i="79"/>
  <c r="AT203" i="79"/>
  <c r="BN207" i="79"/>
  <c r="BN59" i="79"/>
  <c r="BD57" i="79"/>
  <c r="BN55" i="79"/>
  <c r="BD53" i="79"/>
  <c r="BN51" i="79"/>
  <c r="BN43" i="79"/>
  <c r="BD41" i="79"/>
  <c r="BO29" i="79"/>
  <c r="BO27" i="79"/>
  <c r="BO23" i="79"/>
  <c r="BO25" i="79"/>
  <c r="BO21" i="79"/>
  <c r="BO17" i="79"/>
  <c r="BO19" i="79"/>
  <c r="BO15" i="79"/>
  <c r="BF29" i="79"/>
  <c r="BF25" i="79"/>
  <c r="BF27" i="79"/>
  <c r="BF21" i="79"/>
  <c r="BF23" i="79"/>
  <c r="BF19" i="79"/>
  <c r="BV23" i="79"/>
  <c r="BF17" i="79"/>
  <c r="BF15" i="79"/>
  <c r="AV8" i="79"/>
  <c r="I9" i="12" s="1"/>
  <c r="BL8" i="79"/>
  <c r="AF4" i="79" s="1"/>
  <c r="AW8" i="79"/>
  <c r="AW9" i="79" s="1"/>
  <c r="BJ8" i="79"/>
  <c r="I15" i="12" s="1"/>
  <c r="V147" i="57"/>
  <c r="P151" i="57"/>
  <c r="AJ131" i="57"/>
  <c r="BB13" i="68"/>
  <c r="L4" i="68"/>
  <c r="AN9" i="65"/>
  <c r="E8" i="12"/>
  <c r="AE77" i="65"/>
  <c r="AG77" i="65"/>
  <c r="AA77" i="65"/>
  <c r="S77" i="65"/>
  <c r="K77" i="65"/>
  <c r="W77" i="65"/>
  <c r="O77" i="65"/>
  <c r="AE101" i="65"/>
  <c r="W101" i="65"/>
  <c r="K101" i="65"/>
  <c r="AG101" i="65"/>
  <c r="AA101" i="65"/>
  <c r="S101" i="65"/>
  <c r="O101" i="65"/>
  <c r="AE29" i="65"/>
  <c r="S29" i="65"/>
  <c r="W29" i="65"/>
  <c r="AA29" i="65"/>
  <c r="O29" i="65"/>
  <c r="K29" i="65"/>
  <c r="AG29" i="65"/>
  <c r="AE41" i="65"/>
  <c r="AA41" i="65"/>
  <c r="K41" i="65"/>
  <c r="AG41" i="65"/>
  <c r="W41" i="65"/>
  <c r="S41" i="65"/>
  <c r="O41" i="65"/>
  <c r="BC13" i="68"/>
  <c r="N4" i="68"/>
  <c r="AZ13" i="68"/>
  <c r="H4" i="68"/>
  <c r="AE21" i="65"/>
  <c r="K21" i="65"/>
  <c r="AG21" i="65"/>
  <c r="AA21" i="65"/>
  <c r="O21" i="65"/>
  <c r="W21" i="65"/>
  <c r="S21" i="65"/>
  <c r="AE37" i="65"/>
  <c r="W37" i="65"/>
  <c r="AE53" i="65"/>
  <c r="K53" i="65"/>
  <c r="AE61" i="65"/>
  <c r="S61" i="65"/>
  <c r="O61" i="65"/>
  <c r="AG17" i="65"/>
  <c r="K37" i="65"/>
  <c r="S53" i="65"/>
  <c r="K61" i="65"/>
  <c r="AE109" i="65"/>
  <c r="AG109" i="65"/>
  <c r="AA109" i="65"/>
  <c r="S109" i="65"/>
  <c r="K109" i="65"/>
  <c r="AA7" i="76"/>
  <c r="Z195" i="57"/>
  <c r="AV195" i="57"/>
  <c r="AB195" i="57"/>
  <c r="BE7" i="65"/>
  <c r="O37" i="65"/>
  <c r="AE69" i="65"/>
  <c r="W69" i="65"/>
  <c r="BD189" i="68"/>
  <c r="BE11" i="68"/>
  <c r="P4" i="68" s="1"/>
  <c r="M42" i="73"/>
  <c r="Q42" i="73" s="1"/>
  <c r="W42" i="73" s="1"/>
  <c r="AK11" i="15"/>
  <c r="AV11" i="15" s="1"/>
  <c r="AK22" i="15"/>
  <c r="AK24" i="15"/>
  <c r="BF8" i="65"/>
  <c r="K17" i="65"/>
  <c r="O33" i="65"/>
  <c r="S37" i="65"/>
  <c r="W53" i="65"/>
  <c r="W61" i="65"/>
  <c r="K69" i="65"/>
  <c r="AE89" i="65"/>
  <c r="O89" i="65"/>
  <c r="K89" i="65"/>
  <c r="AA89" i="65"/>
  <c r="BB8" i="79"/>
  <c r="T4" i="79" s="1"/>
  <c r="BG11" i="68"/>
  <c r="BO61" i="15"/>
  <c r="BO62" i="15"/>
  <c r="BJ13" i="15"/>
  <c r="AK15" i="15"/>
  <c r="BJ17" i="15"/>
  <c r="AK19" i="15"/>
  <c r="BQ209" i="79"/>
  <c r="O17" i="65"/>
  <c r="S33" i="65"/>
  <c r="AE45" i="65"/>
  <c r="AG45" i="65"/>
  <c r="AA53" i="65"/>
  <c r="AA61" i="65"/>
  <c r="AE65" i="65"/>
  <c r="S65" i="65"/>
  <c r="O69" i="65"/>
  <c r="W109" i="65"/>
  <c r="AP113" i="57"/>
  <c r="J4" i="68"/>
  <c r="BF10" i="68"/>
  <c r="BO60" i="15"/>
  <c r="BO63" i="15"/>
  <c r="BO64" i="15"/>
  <c r="BO65" i="15"/>
  <c r="BB8" i="65"/>
  <c r="S17" i="65"/>
  <c r="AA37" i="65"/>
  <c r="K45" i="65"/>
  <c r="AG53" i="65"/>
  <c r="AE57" i="65"/>
  <c r="O57" i="65"/>
  <c r="K57" i="65"/>
  <c r="AG61" i="65"/>
  <c r="K65" i="65"/>
  <c r="S69" i="65"/>
  <c r="AE81" i="65"/>
  <c r="AG81" i="65"/>
  <c r="O81" i="65"/>
  <c r="AE93" i="65"/>
  <c r="S93" i="65"/>
  <c r="O93" i="65"/>
  <c r="AG93" i="65"/>
  <c r="W93" i="65"/>
  <c r="AE105" i="65"/>
  <c r="AA105" i="65"/>
  <c r="W105" i="65"/>
  <c r="O105" i="65"/>
  <c r="BE8" i="79"/>
  <c r="I13" i="12" s="1"/>
  <c r="W7" i="76"/>
  <c r="W9" i="76" s="1"/>
  <c r="Z155" i="57"/>
  <c r="AK12" i="15"/>
  <c r="BJ14" i="15"/>
  <c r="BP14" i="15" s="1"/>
  <c r="BP66" i="15"/>
  <c r="BJ12" i="15"/>
  <c r="AK14" i="15"/>
  <c r="BJ16" i="15"/>
  <c r="AK18" i="15"/>
  <c r="DB30" i="57"/>
  <c r="W33" i="65"/>
  <c r="AG37" i="65"/>
  <c r="O45" i="65"/>
  <c r="W49" i="65"/>
  <c r="S57" i="65"/>
  <c r="O65" i="65"/>
  <c r="K81" i="65"/>
  <c r="AE85" i="65"/>
  <c r="K85" i="65"/>
  <c r="W85" i="65"/>
  <c r="S85" i="65"/>
  <c r="W89" i="65"/>
  <c r="K93" i="65"/>
  <c r="AE97" i="65"/>
  <c r="S97" i="65"/>
  <c r="AA97" i="65"/>
  <c r="AB19" i="76"/>
  <c r="AB6" i="76" s="1"/>
  <c r="AC7" i="76"/>
  <c r="AC9" i="76" s="1"/>
  <c r="AK16" i="15"/>
  <c r="AK20" i="15"/>
  <c r="AR8" i="65"/>
  <c r="M36" i="73"/>
  <c r="Q36" i="73" s="1"/>
  <c r="W36" i="73" s="1"/>
  <c r="M38" i="73"/>
  <c r="Q38" i="73" s="1"/>
  <c r="W38" i="73" s="1"/>
  <c r="M40" i="73"/>
  <c r="Q40" i="73" s="1"/>
  <c r="W40" i="73" s="1"/>
  <c r="BJ11" i="15"/>
  <c r="AK21" i="15"/>
  <c r="AX21" i="15" s="1"/>
  <c r="W17" i="65"/>
  <c r="AE25" i="65"/>
  <c r="O25" i="65"/>
  <c r="AA33" i="65"/>
  <c r="S45" i="65"/>
  <c r="AA49" i="65"/>
  <c r="AA69" i="65"/>
  <c r="AE73" i="65"/>
  <c r="AA73" i="65"/>
  <c r="W73" i="65"/>
  <c r="AG89" i="65"/>
  <c r="BH7" i="79"/>
  <c r="BH9" i="79" s="1"/>
  <c r="AY53" i="20"/>
  <c r="AM53" i="20"/>
  <c r="BC8" i="79"/>
  <c r="V4" i="79" s="1"/>
  <c r="U261" i="76"/>
  <c r="Y73" i="20"/>
  <c r="I175" i="20"/>
  <c r="N117" i="57"/>
  <c r="AP147" i="57"/>
  <c r="AX117" i="57"/>
  <c r="N189" i="57"/>
  <c r="L197" i="57"/>
  <c r="AU8" i="79"/>
  <c r="J4" i="79" s="1"/>
  <c r="BG8" i="79"/>
  <c r="Z4" i="79" s="1"/>
  <c r="U75" i="76"/>
  <c r="T91" i="57"/>
  <c r="V189" i="57"/>
  <c r="N197" i="57"/>
  <c r="V6" i="76"/>
  <c r="P57" i="57"/>
  <c r="V91" i="57"/>
  <c r="Z161" i="57"/>
  <c r="AL197" i="57"/>
  <c r="AN91" i="57"/>
  <c r="T137" i="57"/>
  <c r="V143" i="57"/>
  <c r="AH161" i="57"/>
  <c r="AX189" i="57"/>
  <c r="BB197" i="57"/>
  <c r="AX8" i="79"/>
  <c r="AX9" i="79" s="1"/>
  <c r="BP8" i="79"/>
  <c r="BP9" i="79" s="1"/>
  <c r="U137" i="76"/>
  <c r="AP57" i="57"/>
  <c r="AZ8" i="79"/>
  <c r="R4" i="79" s="1"/>
  <c r="BR8" i="79"/>
  <c r="BR9" i="79" s="1"/>
  <c r="U230" i="76"/>
  <c r="BB57" i="57"/>
  <c r="P67" i="57"/>
  <c r="BB91" i="57"/>
  <c r="P209" i="57"/>
  <c r="BF12" i="68"/>
  <c r="R3" i="68"/>
  <c r="T3" i="68"/>
  <c r="M71" i="58"/>
  <c r="Q8" i="73"/>
  <c r="W8" i="73" s="1"/>
  <c r="M72" i="58"/>
  <c r="Q10" i="73"/>
  <c r="W10" i="73" s="1"/>
  <c r="M75" i="58"/>
  <c r="Q12" i="73"/>
  <c r="W12" i="73" s="1"/>
  <c r="M74" i="58"/>
  <c r="Q15" i="73"/>
  <c r="W15" i="73" s="1"/>
  <c r="M73" i="58"/>
  <c r="Q16" i="73"/>
  <c r="W16" i="73" s="1"/>
  <c r="M77" i="58"/>
  <c r="Q17" i="73"/>
  <c r="W17" i="73" s="1"/>
  <c r="M78" i="58"/>
  <c r="Q28" i="73"/>
  <c r="W28" i="73" s="1"/>
  <c r="M76" i="58"/>
  <c r="Q32" i="73"/>
  <c r="W32" i="73" s="1"/>
  <c r="O24" i="58"/>
  <c r="O23" i="58"/>
  <c r="O22" i="58" s="1"/>
  <c r="I104" i="58"/>
  <c r="I102" i="58"/>
  <c r="L71" i="58"/>
  <c r="P8" i="73"/>
  <c r="V8" i="73" s="1"/>
  <c r="L72" i="58"/>
  <c r="P10" i="73"/>
  <c r="V10" i="73" s="1"/>
  <c r="L75" i="58"/>
  <c r="P13" i="73"/>
  <c r="V13" i="73" s="1"/>
  <c r="L74" i="58"/>
  <c r="P15" i="73"/>
  <c r="V15" i="73" s="1"/>
  <c r="L73" i="58"/>
  <c r="P16" i="73"/>
  <c r="V16" i="73" s="1"/>
  <c r="L77" i="58"/>
  <c r="P17" i="73"/>
  <c r="V17" i="73" s="1"/>
  <c r="L78" i="58"/>
  <c r="P29" i="73"/>
  <c r="V29" i="73" s="1"/>
  <c r="L76" i="58"/>
  <c r="P32" i="73"/>
  <c r="V32" i="73" s="1"/>
  <c r="H104" i="58"/>
  <c r="H102" i="58"/>
  <c r="A4" i="67"/>
  <c r="A5" i="67" s="1"/>
  <c r="A6" i="67" s="1"/>
  <c r="A7" i="67" s="1"/>
  <c r="A8" i="67" s="1"/>
  <c r="A9" i="67" s="1"/>
  <c r="A10" i="67" s="1"/>
  <c r="A11" i="67" s="1"/>
  <c r="A12" i="67" s="1"/>
  <c r="A13" i="67" s="1"/>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A86" i="67" s="1"/>
  <c r="A87" i="67" s="1"/>
  <c r="A88" i="67" s="1"/>
  <c r="A89" i="67" s="1"/>
  <c r="A90" i="67" s="1"/>
  <c r="A91" i="67" s="1"/>
  <c r="A92" i="67" s="1"/>
  <c r="A93" i="67" s="1"/>
  <c r="A94" i="67" s="1"/>
  <c r="A95" i="67" s="1"/>
  <c r="A96" i="67" s="1"/>
  <c r="A97" i="67" s="1"/>
  <c r="A98" i="67" s="1"/>
  <c r="A99" i="67" s="1"/>
  <c r="A100" i="67" s="1"/>
  <c r="A101" i="67" s="1"/>
  <c r="A102" i="67" s="1"/>
  <c r="A103" i="67" s="1"/>
  <c r="A104" i="67" s="1"/>
  <c r="A105" i="67" s="1"/>
  <c r="P2" i="68"/>
  <c r="BD14" i="68" s="1"/>
  <c r="BE14" i="68" s="1"/>
  <c r="BE13" i="68" s="1"/>
  <c r="T2" i="68"/>
  <c r="X2" i="68"/>
  <c r="BJ14" i="68" s="1"/>
  <c r="BK14" i="68" s="1"/>
  <c r="AB2" i="68"/>
  <c r="BN14" i="68" s="1"/>
  <c r="BO14" i="68" s="1"/>
  <c r="AF2" i="68"/>
  <c r="BR14" i="68" s="1"/>
  <c r="BS14" i="68" s="1"/>
  <c r="AJ2" i="68"/>
  <c r="BV14" i="68" s="1"/>
  <c r="BW14" i="68" s="1"/>
  <c r="W17" i="68"/>
  <c r="AE17" i="68"/>
  <c r="AM17" i="68"/>
  <c r="AA19" i="68"/>
  <c r="AI19" i="68"/>
  <c r="AA21" i="68"/>
  <c r="AI21" i="68"/>
  <c r="BM23" i="68"/>
  <c r="BL23" i="68" s="1"/>
  <c r="BU23" i="68"/>
  <c r="BT23" i="68" s="1"/>
  <c r="BM25" i="68"/>
  <c r="BL25" i="68" s="1"/>
  <c r="BU25" i="68"/>
  <c r="BT25" i="68" s="1"/>
  <c r="BM27" i="68"/>
  <c r="BL27" i="68" s="1"/>
  <c r="BU27" i="68"/>
  <c r="BT27" i="68" s="1"/>
  <c r="BM29" i="68"/>
  <c r="BL29" i="68" s="1"/>
  <c r="BU29" i="68"/>
  <c r="BT29" i="68" s="1"/>
  <c r="BM31" i="68"/>
  <c r="BL31" i="68" s="1"/>
  <c r="BU31" i="68"/>
  <c r="BT31" i="68" s="1"/>
  <c r="BM33" i="68"/>
  <c r="BL33" i="68" s="1"/>
  <c r="BU33" i="68"/>
  <c r="BT33" i="68" s="1"/>
  <c r="BM35" i="68"/>
  <c r="BL35" i="68" s="1"/>
  <c r="BU35" i="68"/>
  <c r="BT35" i="68" s="1"/>
  <c r="BM37" i="68"/>
  <c r="BL37" i="68" s="1"/>
  <c r="BU37" i="68"/>
  <c r="BT37" i="68" s="1"/>
  <c r="BM39" i="68"/>
  <c r="BL39" i="68" s="1"/>
  <c r="BU39" i="68"/>
  <c r="BT39" i="68" s="1"/>
  <c r="BM41" i="68"/>
  <c r="BL41" i="68" s="1"/>
  <c r="BU41" i="68"/>
  <c r="BT41" i="68" s="1"/>
  <c r="BM43" i="68"/>
  <c r="BL43" i="68" s="1"/>
  <c r="BU43" i="68"/>
  <c r="BT43" i="68" s="1"/>
  <c r="BM45" i="68"/>
  <c r="BL45" i="68" s="1"/>
  <c r="BU45" i="68"/>
  <c r="BT45" i="68" s="1"/>
  <c r="BM47" i="68"/>
  <c r="BL47" i="68" s="1"/>
  <c r="BU47" i="68"/>
  <c r="BT47" i="68" s="1"/>
  <c r="BM49" i="68"/>
  <c r="BL49" i="68" s="1"/>
  <c r="BU49" i="68"/>
  <c r="BT49" i="68" s="1"/>
  <c r="BM51" i="68"/>
  <c r="BL51" i="68" s="1"/>
  <c r="BU51" i="68"/>
  <c r="BT51" i="68" s="1"/>
  <c r="BM53" i="68"/>
  <c r="BL53" i="68" s="1"/>
  <c r="BU53" i="68"/>
  <c r="BT53" i="68" s="1"/>
  <c r="BM55" i="68"/>
  <c r="BL55" i="68" s="1"/>
  <c r="BU55" i="68"/>
  <c r="BT55" i="68" s="1"/>
  <c r="BM57" i="68"/>
  <c r="BL57" i="68" s="1"/>
  <c r="BU57" i="68"/>
  <c r="BT57" i="68" s="1"/>
  <c r="AA59" i="68"/>
  <c r="AI59" i="68"/>
  <c r="AA61" i="68"/>
  <c r="AI61" i="68"/>
  <c r="AA63" i="68"/>
  <c r="AI63" i="68"/>
  <c r="AA65" i="68"/>
  <c r="AI65" i="68"/>
  <c r="AA67" i="68"/>
  <c r="AI67" i="68"/>
  <c r="AA69" i="68"/>
  <c r="AI69" i="68"/>
  <c r="AA71" i="68"/>
  <c r="AI71" i="68"/>
  <c r="AA73" i="68"/>
  <c r="AI73" i="68"/>
  <c r="AA75" i="68"/>
  <c r="AI75" i="68"/>
  <c r="AA77" i="68"/>
  <c r="AI77" i="68"/>
  <c r="AA79" i="68"/>
  <c r="AI79" i="68"/>
  <c r="DE17" i="70"/>
  <c r="AE2" i="57"/>
  <c r="T2" i="20"/>
  <c r="AC2" i="57"/>
  <c r="R2" i="20"/>
  <c r="BA2" i="57"/>
  <c r="CT11" i="57" s="1"/>
  <c r="CU11" i="57" s="1"/>
  <c r="AW2" i="57"/>
  <c r="W23" i="71" s="1"/>
  <c r="AS2" i="57"/>
  <c r="G48" i="12" s="1"/>
  <c r="AO2" i="57"/>
  <c r="W20" i="71" s="1"/>
  <c r="W18" i="71"/>
  <c r="W16" i="71"/>
  <c r="W14" i="71"/>
  <c r="AK2" i="57"/>
  <c r="CC11" i="57" s="1"/>
  <c r="CE11" i="57" s="1"/>
  <c r="AG2" i="57"/>
  <c r="W10" i="71" s="1"/>
  <c r="Y2" i="57"/>
  <c r="U2" i="57"/>
  <c r="BU11" i="57" s="1"/>
  <c r="BV11" i="57" s="1"/>
  <c r="Q2" i="57"/>
  <c r="M2" i="57"/>
  <c r="BO11" i="57" s="1"/>
  <c r="BP11" i="57" s="1"/>
  <c r="I2" i="57"/>
  <c r="G29" i="12" s="1"/>
  <c r="BC2" i="57"/>
  <c r="AY2" i="57"/>
  <c r="G50" i="12" s="1"/>
  <c r="AU2" i="57"/>
  <c r="AQ2" i="57"/>
  <c r="W21" i="71" s="1"/>
  <c r="W19" i="71"/>
  <c r="W17" i="71"/>
  <c r="W15" i="71"/>
  <c r="AM2" i="57"/>
  <c r="CF11" i="57" s="1"/>
  <c r="CG11" i="57" s="1"/>
  <c r="AI2" i="57"/>
  <c r="W11" i="71" s="1"/>
  <c r="AA2" i="57"/>
  <c r="W9" i="71" s="1"/>
  <c r="W2" i="57"/>
  <c r="S2" i="57"/>
  <c r="BS11" i="57" s="1"/>
  <c r="BT11" i="57" s="1"/>
  <c r="O2" i="57"/>
  <c r="W6" i="71" s="1"/>
  <c r="K2" i="57"/>
  <c r="W4" i="71" s="1"/>
  <c r="C2" i="57"/>
  <c r="W2" i="71" s="1"/>
  <c r="AF2" i="20"/>
  <c r="AB2" i="20"/>
  <c r="X2" i="20"/>
  <c r="R13" i="71" s="1"/>
  <c r="P2" i="20"/>
  <c r="L2" i="20"/>
  <c r="H2" i="20"/>
  <c r="AD2" i="20"/>
  <c r="V2" i="20"/>
  <c r="J2" i="20"/>
  <c r="C28" i="12" s="1"/>
  <c r="R2" i="76"/>
  <c r="L2" i="76"/>
  <c r="Y10" i="76" s="1"/>
  <c r="AA10" i="76" s="1"/>
  <c r="C2" i="76"/>
  <c r="AP2" i="54"/>
  <c r="AL2" i="54"/>
  <c r="BD10" i="54" s="1"/>
  <c r="BE10" i="54" s="1"/>
  <c r="AH2" i="54"/>
  <c r="Z2" i="20"/>
  <c r="R14" i="71" s="1"/>
  <c r="N2" i="20"/>
  <c r="C2" i="20"/>
  <c r="R2" i="71" s="1"/>
  <c r="N2" i="76"/>
  <c r="AB10" i="76" s="1"/>
  <c r="AC10" i="76" s="1"/>
  <c r="H2" i="76"/>
  <c r="V10" i="76" s="1"/>
  <c r="W10" i="76" s="1"/>
  <c r="AN2" i="54"/>
  <c r="AF2" i="54"/>
  <c r="AB2" i="54"/>
  <c r="X2" i="54"/>
  <c r="T2" i="54"/>
  <c r="P2" i="54"/>
  <c r="L2" i="54"/>
  <c r="K8" i="12" s="1"/>
  <c r="H2" i="54"/>
  <c r="AJ9" i="54" s="1"/>
  <c r="AL2" i="79"/>
  <c r="AH2" i="79"/>
  <c r="AD2" i="79"/>
  <c r="H14" i="71" s="1"/>
  <c r="Z2" i="79"/>
  <c r="H9" i="71" s="1"/>
  <c r="V2" i="79"/>
  <c r="R2" i="79"/>
  <c r="AZ10" i="79" s="1"/>
  <c r="N2" i="79"/>
  <c r="J2" i="79"/>
  <c r="C2" i="79"/>
  <c r="AJ2" i="54"/>
  <c r="AD2" i="54"/>
  <c r="Z2" i="54"/>
  <c r="V2" i="54"/>
  <c r="R2" i="54"/>
  <c r="K11" i="12" s="1"/>
  <c r="N2" i="54"/>
  <c r="J2" i="54"/>
  <c r="C2" i="54"/>
  <c r="M2" i="71" s="1"/>
  <c r="AN2" i="79"/>
  <c r="H15" i="71" s="1"/>
  <c r="AJ2" i="79"/>
  <c r="AF2" i="79"/>
  <c r="AB2" i="79"/>
  <c r="X2" i="79"/>
  <c r="H8" i="71" s="1"/>
  <c r="T2" i="79"/>
  <c r="P2" i="79"/>
  <c r="L2" i="79"/>
  <c r="H2" i="79"/>
  <c r="AF2" i="65"/>
  <c r="AB2" i="65"/>
  <c r="X2" i="65"/>
  <c r="T2" i="65"/>
  <c r="C8" i="71" s="1"/>
  <c r="P2" i="65"/>
  <c r="L2" i="65"/>
  <c r="C4" i="71" s="1"/>
  <c r="H2" i="65"/>
  <c r="AH2" i="65"/>
  <c r="C14" i="71" s="1"/>
  <c r="AD2" i="65"/>
  <c r="Z2" i="65"/>
  <c r="V2" i="65"/>
  <c r="R2" i="65"/>
  <c r="N2" i="65"/>
  <c r="J2" i="65"/>
  <c r="C2" i="65"/>
  <c r="C2" i="71" s="1"/>
  <c r="C2" i="68"/>
  <c r="AY14" i="68" s="1"/>
  <c r="J2" i="68"/>
  <c r="BA14" i="68" s="1"/>
  <c r="N2" i="68"/>
  <c r="BC14" i="68" s="1"/>
  <c r="R2" i="68"/>
  <c r="V2" i="68"/>
  <c r="BH14" i="68" s="1"/>
  <c r="BI14" i="68" s="1"/>
  <c r="Z2" i="68"/>
  <c r="BL14" i="68" s="1"/>
  <c r="BM14" i="68" s="1"/>
  <c r="AD2" i="68"/>
  <c r="BP14" i="68" s="1"/>
  <c r="BQ14" i="68" s="1"/>
  <c r="AH2" i="68"/>
  <c r="BT14" i="68" s="1"/>
  <c r="BU14" i="68" s="1"/>
  <c r="AL2" i="68"/>
  <c r="BX14" i="68" s="1"/>
  <c r="BY14" i="68" s="1"/>
  <c r="AP2" i="68"/>
  <c r="AA17" i="68"/>
  <c r="AI17" i="68"/>
  <c r="W19" i="68"/>
  <c r="AE19" i="68"/>
  <c r="AM19" i="68"/>
  <c r="W21" i="68"/>
  <c r="AE21" i="68"/>
  <c r="AM21" i="68"/>
  <c r="BI23" i="68"/>
  <c r="BH23" i="68" s="1"/>
  <c r="BQ23" i="68"/>
  <c r="BP23" i="68" s="1"/>
  <c r="BY23" i="68"/>
  <c r="BX23" i="68" s="1"/>
  <c r="BI25" i="68"/>
  <c r="BH25" i="68" s="1"/>
  <c r="BQ25" i="68"/>
  <c r="BP25" i="68" s="1"/>
  <c r="BY25" i="68"/>
  <c r="BX25" i="68" s="1"/>
  <c r="BI27" i="68"/>
  <c r="BH27" i="68" s="1"/>
  <c r="BQ27" i="68"/>
  <c r="BP27" i="68" s="1"/>
  <c r="BY27" i="68"/>
  <c r="BX27" i="68" s="1"/>
  <c r="BI29" i="68"/>
  <c r="BH29" i="68" s="1"/>
  <c r="BQ29" i="68"/>
  <c r="BP29" i="68" s="1"/>
  <c r="BY29" i="68"/>
  <c r="BX29" i="68" s="1"/>
  <c r="BI31" i="68"/>
  <c r="BH31" i="68" s="1"/>
  <c r="BQ31" i="68"/>
  <c r="BP31" i="68" s="1"/>
  <c r="BY31" i="68"/>
  <c r="BX31" i="68" s="1"/>
  <c r="BI33" i="68"/>
  <c r="BH33" i="68" s="1"/>
  <c r="BQ33" i="68"/>
  <c r="BP33" i="68" s="1"/>
  <c r="BY33" i="68"/>
  <c r="BX33" i="68" s="1"/>
  <c r="BI35" i="68"/>
  <c r="BH35" i="68" s="1"/>
  <c r="BQ35" i="68"/>
  <c r="BP35" i="68" s="1"/>
  <c r="BY35" i="68"/>
  <c r="BX35" i="68" s="1"/>
  <c r="BI37" i="68"/>
  <c r="BH37" i="68" s="1"/>
  <c r="BQ37" i="68"/>
  <c r="BP37" i="68" s="1"/>
  <c r="BY37" i="68"/>
  <c r="BX37" i="68" s="1"/>
  <c r="BI39" i="68"/>
  <c r="BH39" i="68" s="1"/>
  <c r="BQ39" i="68"/>
  <c r="BP39" i="68" s="1"/>
  <c r="BY39" i="68"/>
  <c r="BX39" i="68" s="1"/>
  <c r="BI41" i="68"/>
  <c r="BH41" i="68" s="1"/>
  <c r="BQ41" i="68"/>
  <c r="BP41" i="68" s="1"/>
  <c r="BY41" i="68"/>
  <c r="BX41" i="68" s="1"/>
  <c r="BI43" i="68"/>
  <c r="BH43" i="68" s="1"/>
  <c r="BQ43" i="68"/>
  <c r="BP43" i="68" s="1"/>
  <c r="BY43" i="68"/>
  <c r="BX43" i="68" s="1"/>
  <c r="BI45" i="68"/>
  <c r="BH45" i="68" s="1"/>
  <c r="BQ45" i="68"/>
  <c r="BP45" i="68" s="1"/>
  <c r="BY45" i="68"/>
  <c r="BX45" i="68" s="1"/>
  <c r="BI47" i="68"/>
  <c r="BH47" i="68" s="1"/>
  <c r="BQ47" i="68"/>
  <c r="BP47" i="68" s="1"/>
  <c r="BY47" i="68"/>
  <c r="BX47" i="68" s="1"/>
  <c r="BI49" i="68"/>
  <c r="BH49" i="68" s="1"/>
  <c r="BQ49" i="68"/>
  <c r="BP49" i="68" s="1"/>
  <c r="BY49" i="68"/>
  <c r="BX49" i="68" s="1"/>
  <c r="BI51" i="68"/>
  <c r="BH51" i="68" s="1"/>
  <c r="BQ51" i="68"/>
  <c r="BP51" i="68" s="1"/>
  <c r="BY51" i="68"/>
  <c r="BX51" i="68" s="1"/>
  <c r="BI53" i="68"/>
  <c r="BH53" i="68" s="1"/>
  <c r="BQ53" i="68"/>
  <c r="BP53" i="68" s="1"/>
  <c r="BY53" i="68"/>
  <c r="BX53" i="68" s="1"/>
  <c r="BI55" i="68"/>
  <c r="BH55" i="68" s="1"/>
  <c r="BQ55" i="68"/>
  <c r="BP55" i="68" s="1"/>
  <c r="BY55" i="68"/>
  <c r="BX55" i="68" s="1"/>
  <c r="BI57" i="68"/>
  <c r="BH57" i="68" s="1"/>
  <c r="BQ57" i="68"/>
  <c r="BP57" i="68" s="1"/>
  <c r="BY57" i="68"/>
  <c r="BX57" i="68" s="1"/>
  <c r="W59" i="68"/>
  <c r="AE59" i="68"/>
  <c r="AM59" i="68"/>
  <c r="W61" i="68"/>
  <c r="AE61" i="68"/>
  <c r="AM61" i="68"/>
  <c r="W63" i="68"/>
  <c r="AE63" i="68"/>
  <c r="AM63" i="68"/>
  <c r="W65" i="68"/>
  <c r="AE65" i="68"/>
  <c r="AM65" i="68"/>
  <c r="W67" i="68"/>
  <c r="AE67" i="68"/>
  <c r="AM67" i="68"/>
  <c r="W69" i="68"/>
  <c r="AE69" i="68"/>
  <c r="AM69" i="68"/>
  <c r="W71" i="68"/>
  <c r="AE71" i="68"/>
  <c r="AM71" i="68"/>
  <c r="W73" i="68"/>
  <c r="AE73" i="68"/>
  <c r="AM73" i="68"/>
  <c r="W75" i="68"/>
  <c r="AE75" i="68"/>
  <c r="AM75" i="68"/>
  <c r="W77" i="68"/>
  <c r="AE77" i="68"/>
  <c r="AM77" i="68"/>
  <c r="W79" i="68"/>
  <c r="AE79" i="68"/>
  <c r="AM79" i="68"/>
  <c r="DC17" i="70"/>
  <c r="DA25" i="70"/>
  <c r="DA27" i="70"/>
  <c r="DA34" i="70" s="1"/>
  <c r="DA41" i="70" s="1"/>
  <c r="DA48" i="70" s="1"/>
  <c r="DA55" i="70" s="1"/>
  <c r="DA62" i="70" s="1"/>
  <c r="DA69" i="70" s="1"/>
  <c r="DA76" i="70" s="1"/>
  <c r="DA83" i="70" s="1"/>
  <c r="DA29" i="70"/>
  <c r="DA36" i="70" s="1"/>
  <c r="DA43" i="70" s="1"/>
  <c r="DA50" i="70" s="1"/>
  <c r="DA57" i="70" s="1"/>
  <c r="DA64" i="70" s="1"/>
  <c r="DA71" i="70" s="1"/>
  <c r="DA78" i="70" s="1"/>
  <c r="DA85" i="70" s="1"/>
  <c r="AR9" i="65"/>
  <c r="E12" i="12"/>
  <c r="D18" i="12"/>
  <c r="BE9" i="65"/>
  <c r="BP12" i="15"/>
  <c r="BP16" i="15"/>
  <c r="BP18" i="15"/>
  <c r="BP21" i="15"/>
  <c r="BP23" i="15"/>
  <c r="BP25" i="15"/>
  <c r="BP27" i="15"/>
  <c r="BP29" i="15"/>
  <c r="BP31" i="15"/>
  <c r="BP33" i="15"/>
  <c r="BP34" i="15"/>
  <c r="BP36" i="15"/>
  <c r="BP38" i="15"/>
  <c r="BP40" i="15"/>
  <c r="BP42" i="15"/>
  <c r="BP44" i="15"/>
  <c r="BP46" i="15"/>
  <c r="BP49" i="15"/>
  <c r="BP51" i="15"/>
  <c r="BP53" i="15"/>
  <c r="BP55" i="15"/>
  <c r="BP57" i="15"/>
  <c r="BP59" i="15"/>
  <c r="BP61" i="15"/>
  <c r="BP63" i="15"/>
  <c r="BP65" i="15"/>
  <c r="BN67" i="15"/>
  <c r="BN69" i="15"/>
  <c r="BN71" i="15"/>
  <c r="BN73" i="15"/>
  <c r="BN75" i="15"/>
  <c r="BN77" i="15"/>
  <c r="BN79" i="15"/>
  <c r="BN81" i="15"/>
  <c r="BN83" i="15"/>
  <c r="BN85" i="15"/>
  <c r="BN87" i="15"/>
  <c r="BN89" i="15"/>
  <c r="BN91" i="15"/>
  <c r="BN93" i="15"/>
  <c r="BN95" i="15"/>
  <c r="BN97" i="15"/>
  <c r="BN99" i="15"/>
  <c r="BN101" i="15"/>
  <c r="BN103" i="15"/>
  <c r="BN105" i="15"/>
  <c r="BN107" i="15"/>
  <c r="BN109" i="15"/>
  <c r="Y3" i="57"/>
  <c r="W3" i="57"/>
  <c r="AF5" i="76"/>
  <c r="BU3" i="79"/>
  <c r="DE3" i="57"/>
  <c r="DC3" i="57"/>
  <c r="BH4" i="20"/>
  <c r="L13" i="20" s="1"/>
  <c r="AH5" i="76"/>
  <c r="DF3" i="57"/>
  <c r="BL4" i="20"/>
  <c r="BL13" i="20" s="1"/>
  <c r="AX13" i="20" s="1"/>
  <c r="AJ5" i="76"/>
  <c r="BF4" i="20"/>
  <c r="AE5" i="76"/>
  <c r="AE279" i="76" s="1"/>
  <c r="AF238" i="76"/>
  <c r="DD29" i="57"/>
  <c r="AK23" i="74"/>
  <c r="BG23" i="74" s="1"/>
  <c r="AK21" i="74"/>
  <c r="BG21" i="74" s="1"/>
  <c r="AK20" i="74"/>
  <c r="BG20" i="74" s="1"/>
  <c r="AK18" i="74"/>
  <c r="BG18" i="74" s="1"/>
  <c r="BJ16" i="74"/>
  <c r="BR16" i="74" s="1"/>
  <c r="AK16" i="74"/>
  <c r="BG16" i="74" s="1"/>
  <c r="BJ14" i="74"/>
  <c r="BR14" i="74" s="1"/>
  <c r="AK14" i="74"/>
  <c r="BG14" i="74" s="1"/>
  <c r="BJ12" i="74"/>
  <c r="BR12" i="74" s="1"/>
  <c r="AK12" i="74"/>
  <c r="BG12" i="74" s="1"/>
  <c r="BJ10" i="74"/>
  <c r="BR10" i="74" s="1"/>
  <c r="AK10" i="74"/>
  <c r="BG10" i="74" s="1"/>
  <c r="AK22" i="74"/>
  <c r="BG22" i="74" s="1"/>
  <c r="AK19" i="74"/>
  <c r="BG19" i="74" s="1"/>
  <c r="AK17" i="74"/>
  <c r="BG17" i="74" s="1"/>
  <c r="BJ15" i="74"/>
  <c r="BR15" i="74" s="1"/>
  <c r="AK15" i="74"/>
  <c r="BG15" i="74" s="1"/>
  <c r="BJ13" i="74"/>
  <c r="BR13" i="74" s="1"/>
  <c r="AK13" i="74"/>
  <c r="BG13" i="74" s="1"/>
  <c r="BJ11" i="74"/>
  <c r="BR11" i="74" s="1"/>
  <c r="AK11" i="74"/>
  <c r="BG11" i="74" s="1"/>
  <c r="AK51" i="74"/>
  <c r="BG51" i="74" s="1"/>
  <c r="AK49" i="74"/>
  <c r="BG49" i="74" s="1"/>
  <c r="AK48" i="74"/>
  <c r="BG48" i="74" s="1"/>
  <c r="AK46" i="74"/>
  <c r="BG46" i="74" s="1"/>
  <c r="AK44" i="74"/>
  <c r="BG44" i="74" s="1"/>
  <c r="AK42" i="74"/>
  <c r="BG42" i="74" s="1"/>
  <c r="AK40" i="74"/>
  <c r="BG40" i="74" s="1"/>
  <c r="AK38" i="74"/>
  <c r="BG38" i="74" s="1"/>
  <c r="BJ30" i="74"/>
  <c r="BR30" i="74" s="1"/>
  <c r="AK50" i="74"/>
  <c r="BG50" i="74" s="1"/>
  <c r="AK47" i="74"/>
  <c r="BG47" i="74" s="1"/>
  <c r="BJ28" i="74"/>
  <c r="BR28" i="74" s="1"/>
  <c r="BJ26" i="74"/>
  <c r="BR26" i="74" s="1"/>
  <c r="BJ24" i="74"/>
  <c r="BR24" i="74" s="1"/>
  <c r="AK45" i="74"/>
  <c r="BG45" i="74" s="1"/>
  <c r="AK43" i="74"/>
  <c r="BG43" i="74" s="1"/>
  <c r="AK41" i="74"/>
  <c r="BG41" i="74" s="1"/>
  <c r="AK39" i="74"/>
  <c r="BG39" i="74" s="1"/>
  <c r="BJ29" i="74"/>
  <c r="BR29" i="74" s="1"/>
  <c r="BJ27" i="74"/>
  <c r="BR27" i="74" s="1"/>
  <c r="BJ25" i="74"/>
  <c r="BR25" i="74" s="1"/>
  <c r="BI3" i="65"/>
  <c r="BL3" i="65"/>
  <c r="M17" i="65"/>
  <c r="Q17" i="65"/>
  <c r="Y17" i="65"/>
  <c r="K19" i="65"/>
  <c r="O19" i="65"/>
  <c r="S19" i="65"/>
  <c r="W19" i="65"/>
  <c r="AA19" i="65"/>
  <c r="AG19" i="65"/>
  <c r="M21" i="65"/>
  <c r="Q21" i="65"/>
  <c r="Y21" i="65"/>
  <c r="K23" i="65"/>
  <c r="O23" i="65"/>
  <c r="S23" i="65"/>
  <c r="W23" i="65"/>
  <c r="AA23" i="65"/>
  <c r="AG23" i="65"/>
  <c r="M25" i="65"/>
  <c r="Q25" i="65"/>
  <c r="Y25" i="65"/>
  <c r="K27" i="65"/>
  <c r="O27" i="65"/>
  <c r="S27" i="65"/>
  <c r="W27" i="65"/>
  <c r="AA27" i="65"/>
  <c r="AG27" i="65"/>
  <c r="M29" i="65"/>
  <c r="Q29" i="65"/>
  <c r="Y29" i="65"/>
  <c r="K31" i="65"/>
  <c r="O31" i="65"/>
  <c r="S31" i="65"/>
  <c r="W31" i="65"/>
  <c r="AA31" i="65"/>
  <c r="AG31" i="65"/>
  <c r="M33" i="65"/>
  <c r="Q33" i="65"/>
  <c r="Y33" i="65"/>
  <c r="K35" i="65"/>
  <c r="O35" i="65"/>
  <c r="S35" i="65"/>
  <c r="W35" i="65"/>
  <c r="AA35" i="65"/>
  <c r="AG35" i="65"/>
  <c r="M37" i="65"/>
  <c r="Q37" i="65"/>
  <c r="Y37" i="65"/>
  <c r="K39" i="65"/>
  <c r="O39" i="65"/>
  <c r="S39" i="65"/>
  <c r="W39" i="65"/>
  <c r="AA39" i="65"/>
  <c r="AG39" i="65"/>
  <c r="M41" i="65"/>
  <c r="Q41" i="65"/>
  <c r="Y41" i="65"/>
  <c r="K43" i="65"/>
  <c r="O43" i="65"/>
  <c r="S43" i="65"/>
  <c r="W43" i="65"/>
  <c r="AA43" i="65"/>
  <c r="AG43" i="65"/>
  <c r="M45" i="65"/>
  <c r="Q45" i="65"/>
  <c r="Y45" i="65"/>
  <c r="K47" i="65"/>
  <c r="O47" i="65"/>
  <c r="S47" i="65"/>
  <c r="W47" i="65"/>
  <c r="AA47" i="65"/>
  <c r="AG47" i="65"/>
  <c r="M49" i="65"/>
  <c r="Q49" i="65"/>
  <c r="Y49" i="65"/>
  <c r="K51" i="65"/>
  <c r="O51" i="65"/>
  <c r="S51" i="65"/>
  <c r="W51" i="65"/>
  <c r="AA51" i="65"/>
  <c r="AG51" i="65"/>
  <c r="M53" i="65"/>
  <c r="Q53" i="65"/>
  <c r="Y53" i="65"/>
  <c r="K55" i="65"/>
  <c r="O55" i="65"/>
  <c r="S55" i="65"/>
  <c r="W55" i="65"/>
  <c r="AA55" i="65"/>
  <c r="AG55" i="65"/>
  <c r="M57" i="65"/>
  <c r="Q57" i="65"/>
  <c r="Y57" i="65"/>
  <c r="K59" i="65"/>
  <c r="O59" i="65"/>
  <c r="S59" i="65"/>
  <c r="W59" i="65"/>
  <c r="AA59" i="65"/>
  <c r="AG59" i="65"/>
  <c r="M61" i="65"/>
  <c r="Q61" i="65"/>
  <c r="Y61" i="65"/>
  <c r="K63" i="65"/>
  <c r="O63" i="65"/>
  <c r="S63" i="65"/>
  <c r="W63" i="65"/>
  <c r="AA63" i="65"/>
  <c r="AG63" i="65"/>
  <c r="M65" i="65"/>
  <c r="Q65" i="65"/>
  <c r="Y65" i="65"/>
  <c r="K67" i="65"/>
  <c r="O67" i="65"/>
  <c r="S67" i="65"/>
  <c r="W67" i="65"/>
  <c r="AA67" i="65"/>
  <c r="AG67" i="65"/>
  <c r="M69" i="65"/>
  <c r="Q69" i="65"/>
  <c r="Y69" i="65"/>
  <c r="K71" i="65"/>
  <c r="O71" i="65"/>
  <c r="S71" i="65"/>
  <c r="W71" i="65"/>
  <c r="AA71" i="65"/>
  <c r="AG71" i="65"/>
  <c r="M73" i="65"/>
  <c r="Q73" i="65"/>
  <c r="Y73" i="65"/>
  <c r="K75" i="65"/>
  <c r="O75" i="65"/>
  <c r="S75" i="65"/>
  <c r="W75" i="65"/>
  <c r="AA75" i="65"/>
  <c r="AG75" i="65"/>
  <c r="M77" i="65"/>
  <c r="Q77" i="65"/>
  <c r="Y77" i="65"/>
  <c r="K79" i="65"/>
  <c r="O79" i="65"/>
  <c r="S79" i="65"/>
  <c r="W79" i="65"/>
  <c r="AA79" i="65"/>
  <c r="AG79" i="65"/>
  <c r="M81" i="65"/>
  <c r="Q81" i="65"/>
  <c r="Y81" i="65"/>
  <c r="K83" i="65"/>
  <c r="O83" i="65"/>
  <c r="S83" i="65"/>
  <c r="W83" i="65"/>
  <c r="AA83" i="65"/>
  <c r="AG83" i="65"/>
  <c r="M85" i="65"/>
  <c r="Q85" i="65"/>
  <c r="Y85" i="65"/>
  <c r="K87" i="65"/>
  <c r="O87" i="65"/>
  <c r="S87" i="65"/>
  <c r="W87" i="65"/>
  <c r="AA87" i="65"/>
  <c r="AG87" i="65"/>
  <c r="M89" i="65"/>
  <c r="Q89" i="65"/>
  <c r="Y89" i="65"/>
  <c r="K91" i="65"/>
  <c r="O91" i="65"/>
  <c r="S91" i="65"/>
  <c r="W91" i="65"/>
  <c r="AA91" i="65"/>
  <c r="AG91" i="65"/>
  <c r="M93" i="65"/>
  <c r="Q93" i="65"/>
  <c r="Y93" i="65"/>
  <c r="K95" i="65"/>
  <c r="O95" i="65"/>
  <c r="S95" i="65"/>
  <c r="W95" i="65"/>
  <c r="AA95" i="65"/>
  <c r="AG95" i="65"/>
  <c r="M97" i="65"/>
  <c r="Q97" i="65"/>
  <c r="Y97" i="65"/>
  <c r="K99" i="65"/>
  <c r="O99" i="65"/>
  <c r="S99" i="65"/>
  <c r="W99" i="65"/>
  <c r="AA99" i="65"/>
  <c r="AG99" i="65"/>
  <c r="M101" i="65"/>
  <c r="Q101" i="65"/>
  <c r="Y101" i="65"/>
  <c r="K103" i="65"/>
  <c r="O103" i="65"/>
  <c r="S103" i="65"/>
  <c r="W103" i="65"/>
  <c r="AA103" i="65"/>
  <c r="AG103" i="65"/>
  <c r="M105" i="65"/>
  <c r="Q105" i="65"/>
  <c r="Y105" i="65"/>
  <c r="K107" i="65"/>
  <c r="O107" i="65"/>
  <c r="S107" i="65"/>
  <c r="W107" i="65"/>
  <c r="AA107" i="65"/>
  <c r="AG107" i="65"/>
  <c r="M109" i="65"/>
  <c r="Q109" i="65"/>
  <c r="Y109" i="65"/>
  <c r="BP11" i="15"/>
  <c r="BP13" i="15"/>
  <c r="BP15" i="15"/>
  <c r="BP17" i="15"/>
  <c r="BP19" i="15"/>
  <c r="BP20" i="15"/>
  <c r="BP22" i="15"/>
  <c r="BP24" i="15"/>
  <c r="BP26" i="15"/>
  <c r="BP28" i="15"/>
  <c r="BP30" i="15"/>
  <c r="BP32" i="15"/>
  <c r="BP35" i="15"/>
  <c r="BP37" i="15"/>
  <c r="BP39" i="15"/>
  <c r="BP41" i="15"/>
  <c r="BP43" i="15"/>
  <c r="BP45" i="15"/>
  <c r="BP47" i="15"/>
  <c r="BP48" i="15"/>
  <c r="BP50" i="15"/>
  <c r="BP52" i="15"/>
  <c r="BP54" i="15"/>
  <c r="BP56" i="15"/>
  <c r="BP58" i="15"/>
  <c r="BP60" i="15"/>
  <c r="BP62" i="15"/>
  <c r="BP64" i="15"/>
  <c r="BN68" i="15"/>
  <c r="BN70" i="15"/>
  <c r="BN72" i="15"/>
  <c r="BN74" i="15"/>
  <c r="BN76" i="15"/>
  <c r="BN78" i="15"/>
  <c r="BN80" i="15"/>
  <c r="BN82" i="15"/>
  <c r="BN84" i="15"/>
  <c r="BN86" i="15"/>
  <c r="BN88" i="15"/>
  <c r="BN90" i="15"/>
  <c r="BN92" i="15"/>
  <c r="BN94" i="15"/>
  <c r="BN96" i="15"/>
  <c r="BN98" i="15"/>
  <c r="BN100" i="15"/>
  <c r="BN102" i="15"/>
  <c r="BN104" i="15"/>
  <c r="BN106" i="15"/>
  <c r="BN108" i="15"/>
  <c r="BN110" i="15"/>
  <c r="DD3" i="57"/>
  <c r="DB3" i="57"/>
  <c r="AG5" i="76"/>
  <c r="AG279" i="76" s="1"/>
  <c r="X279" i="76" s="1"/>
  <c r="BV3" i="79"/>
  <c r="BK4" i="20"/>
  <c r="BK13" i="20" s="1"/>
  <c r="AW13" i="20" s="1"/>
  <c r="AI5" i="76"/>
  <c r="AI279" i="76" s="1"/>
  <c r="BT3" i="79"/>
  <c r="CW3" i="57"/>
  <c r="BM4" i="20"/>
  <c r="BM13" i="20" s="1"/>
  <c r="AS13" i="20" s="1"/>
  <c r="AK65" i="74"/>
  <c r="BG65" i="74" s="1"/>
  <c r="AK63" i="74"/>
  <c r="BG63" i="74" s="1"/>
  <c r="AK62" i="74"/>
  <c r="BG62" i="74" s="1"/>
  <c r="AK60" i="74"/>
  <c r="BG60" i="74" s="1"/>
  <c r="AK58" i="74"/>
  <c r="BG58" i="74" s="1"/>
  <c r="AK56" i="74"/>
  <c r="BG56" i="74" s="1"/>
  <c r="AK54" i="74"/>
  <c r="BG54" i="74" s="1"/>
  <c r="AK52" i="74"/>
  <c r="BG52" i="74" s="1"/>
  <c r="BJ36" i="74"/>
  <c r="BR36" i="74" s="1"/>
  <c r="BJ35" i="74"/>
  <c r="BR35" i="74" s="1"/>
  <c r="BJ32" i="74"/>
  <c r="BR32" i="74" s="1"/>
  <c r="AK64" i="74"/>
  <c r="BG64" i="74" s="1"/>
  <c r="AK61" i="74"/>
  <c r="BG61" i="74" s="1"/>
  <c r="AK59" i="74"/>
  <c r="BG59" i="74" s="1"/>
  <c r="AK57" i="74"/>
  <c r="BG57" i="74" s="1"/>
  <c r="AK55" i="74"/>
  <c r="BG55" i="74" s="1"/>
  <c r="AK53" i="74"/>
  <c r="BG53" i="74" s="1"/>
  <c r="BJ37" i="74"/>
  <c r="BR37" i="74" s="1"/>
  <c r="BJ34" i="74"/>
  <c r="BR34" i="74" s="1"/>
  <c r="BJ33" i="74"/>
  <c r="BR33" i="74" s="1"/>
  <c r="BJ31" i="74"/>
  <c r="BR31" i="74" s="1"/>
  <c r="AK93" i="74"/>
  <c r="BG93" i="74" s="1"/>
  <c r="AK91" i="74"/>
  <c r="BG91" i="74" s="1"/>
  <c r="AK90" i="74"/>
  <c r="BG90" i="74" s="1"/>
  <c r="AK88" i="74"/>
  <c r="BG88" i="74" s="1"/>
  <c r="AK86" i="74"/>
  <c r="BG86" i="74" s="1"/>
  <c r="AK84" i="74"/>
  <c r="BG84" i="74" s="1"/>
  <c r="AK82" i="74"/>
  <c r="BG82" i="74" s="1"/>
  <c r="AK80" i="74"/>
  <c r="BG80" i="74" s="1"/>
  <c r="BJ50" i="74"/>
  <c r="BR50" i="74" s="1"/>
  <c r="BJ49" i="74"/>
  <c r="BR49" i="74" s="1"/>
  <c r="BJ46" i="74"/>
  <c r="BR46" i="74" s="1"/>
  <c r="AK92" i="74"/>
  <c r="BG92" i="74" s="1"/>
  <c r="AK89" i="74"/>
  <c r="BG89" i="74" s="1"/>
  <c r="BJ47" i="74"/>
  <c r="BR47" i="74" s="1"/>
  <c r="AK87" i="74"/>
  <c r="BG87" i="74" s="1"/>
  <c r="AK85" i="74"/>
  <c r="BG85" i="74" s="1"/>
  <c r="AK83" i="74"/>
  <c r="BG83" i="74" s="1"/>
  <c r="AK81" i="74"/>
  <c r="BG81" i="74" s="1"/>
  <c r="BJ51" i="74"/>
  <c r="BR51" i="74" s="1"/>
  <c r="BJ48" i="74"/>
  <c r="BR48" i="74" s="1"/>
  <c r="BJ45" i="74"/>
  <c r="BR45" i="74" s="1"/>
  <c r="AK108" i="74"/>
  <c r="BG108" i="74" s="1"/>
  <c r="BJ64" i="74"/>
  <c r="BR64" i="74" s="1"/>
  <c r="BJ63" i="74"/>
  <c r="BR63" i="74" s="1"/>
  <c r="BJ60" i="74"/>
  <c r="BR60" i="74" s="1"/>
  <c r="BJ61" i="74"/>
  <c r="BR61" i="74" s="1"/>
  <c r="AK109" i="74"/>
  <c r="BG109" i="74" s="1"/>
  <c r="BJ65" i="74"/>
  <c r="BR65" i="74" s="1"/>
  <c r="BJ62" i="74"/>
  <c r="BR62" i="74" s="1"/>
  <c r="BJ59" i="74"/>
  <c r="BR59" i="74" s="1"/>
  <c r="BJ78" i="74"/>
  <c r="BR78" i="74" s="1"/>
  <c r="BJ77" i="74"/>
  <c r="BR77" i="74" s="1"/>
  <c r="BJ74" i="74"/>
  <c r="BR74" i="74" s="1"/>
  <c r="BJ79" i="74"/>
  <c r="BR79" i="74" s="1"/>
  <c r="BJ76" i="74"/>
  <c r="BR76" i="74" s="1"/>
  <c r="BJ75" i="74"/>
  <c r="BR75" i="74" s="1"/>
  <c r="BJ73" i="74"/>
  <c r="BR73" i="74" s="1"/>
  <c r="BJ92" i="74"/>
  <c r="BR92" i="74" s="1"/>
  <c r="BJ91" i="74"/>
  <c r="BR91" i="74" s="1"/>
  <c r="BJ88" i="74"/>
  <c r="BR88" i="74" s="1"/>
  <c r="BJ89" i="74"/>
  <c r="BR89" i="74" s="1"/>
  <c r="BJ93" i="74"/>
  <c r="BR93" i="74" s="1"/>
  <c r="BJ90" i="74"/>
  <c r="BR90" i="74" s="1"/>
  <c r="BJ87" i="74"/>
  <c r="BR87" i="74" s="1"/>
  <c r="BJ106" i="74"/>
  <c r="BR106" i="74" s="1"/>
  <c r="BJ105" i="74"/>
  <c r="BR105" i="74" s="1"/>
  <c r="BJ102" i="74"/>
  <c r="BR102" i="74" s="1"/>
  <c r="BJ107" i="74"/>
  <c r="BR107" i="74" s="1"/>
  <c r="BJ104" i="74"/>
  <c r="BR104" i="74" s="1"/>
  <c r="BJ103" i="74"/>
  <c r="BR103" i="74" s="1"/>
  <c r="BJ101" i="74"/>
  <c r="BR101" i="74" s="1"/>
  <c r="BH3" i="65"/>
  <c r="BJ3" i="65"/>
  <c r="BM3" i="65"/>
  <c r="BA7" i="65"/>
  <c r="BA9" i="65" s="1"/>
  <c r="M19" i="65"/>
  <c r="Q19" i="65"/>
  <c r="Y19" i="65"/>
  <c r="M23" i="65"/>
  <c r="Q23" i="65"/>
  <c r="Y23" i="65"/>
  <c r="M27" i="65"/>
  <c r="Q27" i="65"/>
  <c r="Y27" i="65"/>
  <c r="M31" i="65"/>
  <c r="Q31" i="65"/>
  <c r="Y31" i="65"/>
  <c r="M35" i="65"/>
  <c r="Q35" i="65"/>
  <c r="Y35" i="65"/>
  <c r="M39" i="65"/>
  <c r="Q39" i="65"/>
  <c r="Y39" i="65"/>
  <c r="M43" i="65"/>
  <c r="Q43" i="65"/>
  <c r="Y43" i="65"/>
  <c r="M47" i="65"/>
  <c r="Q47" i="65"/>
  <c r="Y47" i="65"/>
  <c r="M51" i="65"/>
  <c r="Q51" i="65"/>
  <c r="Y51" i="65"/>
  <c r="M55" i="65"/>
  <c r="Q55" i="65"/>
  <c r="Y55" i="65"/>
  <c r="M59" i="65"/>
  <c r="Q59" i="65"/>
  <c r="Y59" i="65"/>
  <c r="M63" i="65"/>
  <c r="Q63" i="65"/>
  <c r="Y63" i="65"/>
  <c r="M67" i="65"/>
  <c r="Q67" i="65"/>
  <c r="Y67" i="65"/>
  <c r="M71" i="65"/>
  <c r="Q71" i="65"/>
  <c r="Y71" i="65"/>
  <c r="M75" i="65"/>
  <c r="Q75" i="65"/>
  <c r="Y75" i="65"/>
  <c r="M79" i="65"/>
  <c r="Q79" i="65"/>
  <c r="Y79" i="65"/>
  <c r="M83" i="65"/>
  <c r="Q83" i="65"/>
  <c r="Y83" i="65"/>
  <c r="M87" i="65"/>
  <c r="Q87" i="65"/>
  <c r="Y87" i="65"/>
  <c r="M91" i="65"/>
  <c r="Q91" i="65"/>
  <c r="Y91" i="65"/>
  <c r="M95" i="65"/>
  <c r="Q95" i="65"/>
  <c r="Y95" i="65"/>
  <c r="M99" i="65"/>
  <c r="Q99" i="65"/>
  <c r="Y99" i="65"/>
  <c r="M103" i="65"/>
  <c r="Q103" i="65"/>
  <c r="Y103" i="65"/>
  <c r="M107" i="65"/>
  <c r="Q107" i="65"/>
  <c r="Y107" i="65"/>
  <c r="AG111" i="65"/>
  <c r="AA111" i="65"/>
  <c r="W111" i="65"/>
  <c r="S111" i="65"/>
  <c r="O111" i="65"/>
  <c r="K111" i="65"/>
  <c r="AE111" i="65"/>
  <c r="Y111" i="65"/>
  <c r="Q111" i="65"/>
  <c r="M113" i="65"/>
  <c r="Q113" i="65"/>
  <c r="Y113" i="65"/>
  <c r="AE113" i="65"/>
  <c r="K115" i="65"/>
  <c r="O115" i="65"/>
  <c r="S115" i="65"/>
  <c r="W115" i="65"/>
  <c r="AA115" i="65"/>
  <c r="AG115" i="65"/>
  <c r="M117" i="65"/>
  <c r="Q117" i="65"/>
  <c r="Y117" i="65"/>
  <c r="AE117" i="65"/>
  <c r="K119" i="65"/>
  <c r="O119" i="65"/>
  <c r="S119" i="65"/>
  <c r="W119" i="65"/>
  <c r="AA119" i="65"/>
  <c r="AG119" i="65"/>
  <c r="M121" i="65"/>
  <c r="Q121" i="65"/>
  <c r="Y121" i="65"/>
  <c r="AE121" i="65"/>
  <c r="K123" i="65"/>
  <c r="O123" i="65"/>
  <c r="S123" i="65"/>
  <c r="W123" i="65"/>
  <c r="AA123" i="65"/>
  <c r="AG123" i="65"/>
  <c r="M125" i="65"/>
  <c r="Q125" i="65"/>
  <c r="Y125" i="65"/>
  <c r="AE125" i="65"/>
  <c r="K127" i="65"/>
  <c r="O127" i="65"/>
  <c r="S127" i="65"/>
  <c r="W127" i="65"/>
  <c r="AA127" i="65"/>
  <c r="AG127" i="65"/>
  <c r="M129" i="65"/>
  <c r="Q129" i="65"/>
  <c r="Y129" i="65"/>
  <c r="AE129" i="65"/>
  <c r="K131" i="65"/>
  <c r="O131" i="65"/>
  <c r="S131" i="65"/>
  <c r="W131" i="65"/>
  <c r="AA131" i="65"/>
  <c r="AG131" i="65"/>
  <c r="M133" i="65"/>
  <c r="Q133" i="65"/>
  <c r="Y133" i="65"/>
  <c r="AE133" i="65"/>
  <c r="K135" i="65"/>
  <c r="O135" i="65"/>
  <c r="S135" i="65"/>
  <c r="W135" i="65"/>
  <c r="AA135" i="65"/>
  <c r="AG135" i="65"/>
  <c r="M137" i="65"/>
  <c r="Q137" i="65"/>
  <c r="Y137" i="65"/>
  <c r="AE137" i="65"/>
  <c r="K139" i="65"/>
  <c r="O139" i="65"/>
  <c r="S139" i="65"/>
  <c r="W139" i="65"/>
  <c r="AA139" i="65"/>
  <c r="AG139" i="65"/>
  <c r="M141" i="65"/>
  <c r="Q141" i="65"/>
  <c r="Y141" i="65"/>
  <c r="AE141" i="65"/>
  <c r="K143" i="65"/>
  <c r="O143" i="65"/>
  <c r="S143" i="65"/>
  <c r="W143" i="65"/>
  <c r="AA143" i="65"/>
  <c r="AG143" i="65"/>
  <c r="M145" i="65"/>
  <c r="Q145" i="65"/>
  <c r="Y145" i="65"/>
  <c r="AE145" i="65"/>
  <c r="K147" i="65"/>
  <c r="O147" i="65"/>
  <c r="S147" i="65"/>
  <c r="W147" i="65"/>
  <c r="AA147" i="65"/>
  <c r="AG147" i="65"/>
  <c r="M149" i="65"/>
  <c r="Q149" i="65"/>
  <c r="Y149" i="65"/>
  <c r="AE149" i="65"/>
  <c r="K151" i="65"/>
  <c r="O151" i="65"/>
  <c r="S151" i="65"/>
  <c r="W151" i="65"/>
  <c r="AA151" i="65"/>
  <c r="AG151" i="65"/>
  <c r="M153" i="65"/>
  <c r="Q153" i="65"/>
  <c r="Y153" i="65"/>
  <c r="AE153" i="65"/>
  <c r="K155" i="65"/>
  <c r="O155" i="65"/>
  <c r="S155" i="65"/>
  <c r="W155" i="65"/>
  <c r="AA155" i="65"/>
  <c r="AG155" i="65"/>
  <c r="M157" i="65"/>
  <c r="Q157" i="65"/>
  <c r="Y157" i="65"/>
  <c r="AE157" i="65"/>
  <c r="K159" i="65"/>
  <c r="O159" i="65"/>
  <c r="S159" i="65"/>
  <c r="W159" i="65"/>
  <c r="AA159" i="65"/>
  <c r="AG159" i="65"/>
  <c r="M161" i="65"/>
  <c r="Q161" i="65"/>
  <c r="Y161" i="65"/>
  <c r="AE161" i="65"/>
  <c r="K163" i="65"/>
  <c r="O163" i="65"/>
  <c r="S163" i="65"/>
  <c r="W163" i="65"/>
  <c r="AA163" i="65"/>
  <c r="AG163" i="65"/>
  <c r="M165" i="65"/>
  <c r="Q165" i="65"/>
  <c r="Y165" i="65"/>
  <c r="AE165" i="65"/>
  <c r="K167" i="65"/>
  <c r="O167" i="65"/>
  <c r="S167" i="65"/>
  <c r="W167" i="65"/>
  <c r="AA167" i="65"/>
  <c r="AG167" i="65"/>
  <c r="M169" i="65"/>
  <c r="Q169" i="65"/>
  <c r="Y169" i="65"/>
  <c r="AE169" i="65"/>
  <c r="K171" i="65"/>
  <c r="O171" i="65"/>
  <c r="S171" i="65"/>
  <c r="W171" i="65"/>
  <c r="AA171" i="65"/>
  <c r="AG171" i="65"/>
  <c r="M173" i="65"/>
  <c r="Q173" i="65"/>
  <c r="Y173" i="65"/>
  <c r="AE173" i="65"/>
  <c r="K175" i="65"/>
  <c r="O175" i="65"/>
  <c r="S175" i="65"/>
  <c r="W175" i="65"/>
  <c r="AA175" i="65"/>
  <c r="AG175" i="65"/>
  <c r="M177" i="65"/>
  <c r="Q177" i="65"/>
  <c r="Y177" i="65"/>
  <c r="AE177" i="65"/>
  <c r="K179" i="65"/>
  <c r="O179" i="65"/>
  <c r="S179" i="65"/>
  <c r="W179" i="65"/>
  <c r="AA179" i="65"/>
  <c r="AG179" i="65"/>
  <c r="M181" i="65"/>
  <c r="Q181" i="65"/>
  <c r="Y181" i="65"/>
  <c r="AE181" i="65"/>
  <c r="K183" i="65"/>
  <c r="O183" i="65"/>
  <c r="S183" i="65"/>
  <c r="W183" i="65"/>
  <c r="AA183" i="65"/>
  <c r="AG183" i="65"/>
  <c r="M185" i="65"/>
  <c r="Q185" i="65"/>
  <c r="Y185" i="65"/>
  <c r="AE185" i="65"/>
  <c r="K187" i="65"/>
  <c r="O187" i="65"/>
  <c r="S187" i="65"/>
  <c r="W187" i="65"/>
  <c r="AA187" i="65"/>
  <c r="AG187" i="65"/>
  <c r="M189" i="65"/>
  <c r="Q189" i="65"/>
  <c r="Y189" i="65"/>
  <c r="AE189" i="65"/>
  <c r="K191" i="65"/>
  <c r="O191" i="65"/>
  <c r="S191" i="65"/>
  <c r="W191" i="65"/>
  <c r="AA191" i="65"/>
  <c r="AG191" i="65"/>
  <c r="M193" i="65"/>
  <c r="Q193" i="65"/>
  <c r="Y193" i="65"/>
  <c r="AE193" i="65"/>
  <c r="K195" i="65"/>
  <c r="O195" i="65"/>
  <c r="S195" i="65"/>
  <c r="W195" i="65"/>
  <c r="AA195" i="65"/>
  <c r="AG195" i="65"/>
  <c r="M197" i="65"/>
  <c r="Q197" i="65"/>
  <c r="Y197" i="65"/>
  <c r="AE197" i="65"/>
  <c r="K199" i="65"/>
  <c r="O199" i="65"/>
  <c r="S199" i="65"/>
  <c r="W199" i="65"/>
  <c r="AA199" i="65"/>
  <c r="AG199" i="65"/>
  <c r="M201" i="65"/>
  <c r="Q201" i="65"/>
  <c r="Y201" i="65"/>
  <c r="AE201" i="65"/>
  <c r="K203" i="65"/>
  <c r="O203" i="65"/>
  <c r="S203" i="65"/>
  <c r="W203" i="65"/>
  <c r="AA203" i="65"/>
  <c r="AG203" i="65"/>
  <c r="M205" i="65"/>
  <c r="Q205" i="65"/>
  <c r="Y205" i="65"/>
  <c r="AE205" i="65"/>
  <c r="K207" i="65"/>
  <c r="O207" i="65"/>
  <c r="S207" i="65"/>
  <c r="W207" i="65"/>
  <c r="AA207" i="65"/>
  <c r="AG207" i="65"/>
  <c r="M209" i="65"/>
  <c r="Q209" i="65"/>
  <c r="Y209" i="65"/>
  <c r="AE209" i="65"/>
  <c r="K211" i="65"/>
  <c r="O211" i="65"/>
  <c r="S211" i="65"/>
  <c r="W211" i="65"/>
  <c r="AA211" i="65"/>
  <c r="AG211" i="65"/>
  <c r="AS25" i="79"/>
  <c r="E25" i="79" s="1"/>
  <c r="AG25" i="79" s="1"/>
  <c r="AS37" i="79"/>
  <c r="E37" i="79" s="1"/>
  <c r="Y37" i="79" s="1"/>
  <c r="BP29" i="54"/>
  <c r="BO82" i="54"/>
  <c r="BP88" i="54"/>
  <c r="BP94" i="54"/>
  <c r="BP97" i="54"/>
  <c r="BP105" i="54"/>
  <c r="BO157" i="54"/>
  <c r="BP160" i="54"/>
  <c r="BO160" i="54"/>
  <c r="BO189" i="54"/>
  <c r="BO201" i="54"/>
  <c r="BM207" i="54"/>
  <c r="BP238" i="54"/>
  <c r="BP279" i="54"/>
  <c r="BO332" i="54"/>
  <c r="BP335" i="54"/>
  <c r="AA9" i="76"/>
  <c r="L4" i="76"/>
  <c r="V8" i="76"/>
  <c r="H3" i="76"/>
  <c r="N3" i="76"/>
  <c r="AB8" i="76"/>
  <c r="K113" i="65"/>
  <c r="O113" i="65"/>
  <c r="S113" i="65"/>
  <c r="W113" i="65"/>
  <c r="AA113" i="65"/>
  <c r="M115" i="65"/>
  <c r="Q115" i="65"/>
  <c r="Y115" i="65"/>
  <c r="K117" i="65"/>
  <c r="O117" i="65"/>
  <c r="S117" i="65"/>
  <c r="W117" i="65"/>
  <c r="AA117" i="65"/>
  <c r="M119" i="65"/>
  <c r="Q119" i="65"/>
  <c r="Y119" i="65"/>
  <c r="K121" i="65"/>
  <c r="O121" i="65"/>
  <c r="S121" i="65"/>
  <c r="W121" i="65"/>
  <c r="AA121" i="65"/>
  <c r="M123" i="65"/>
  <c r="Q123" i="65"/>
  <c r="Y123" i="65"/>
  <c r="K125" i="65"/>
  <c r="O125" i="65"/>
  <c r="S125" i="65"/>
  <c r="W125" i="65"/>
  <c r="AA125" i="65"/>
  <c r="M127" i="65"/>
  <c r="Q127" i="65"/>
  <c r="Y127" i="65"/>
  <c r="K129" i="65"/>
  <c r="O129" i="65"/>
  <c r="S129" i="65"/>
  <c r="W129" i="65"/>
  <c r="AA129" i="65"/>
  <c r="M131" i="65"/>
  <c r="Q131" i="65"/>
  <c r="Y131" i="65"/>
  <c r="K133" i="65"/>
  <c r="O133" i="65"/>
  <c r="S133" i="65"/>
  <c r="W133" i="65"/>
  <c r="AA133" i="65"/>
  <c r="M135" i="65"/>
  <c r="Q135" i="65"/>
  <c r="Y135" i="65"/>
  <c r="K137" i="65"/>
  <c r="O137" i="65"/>
  <c r="S137" i="65"/>
  <c r="W137" i="65"/>
  <c r="AA137" i="65"/>
  <c r="M139" i="65"/>
  <c r="Q139" i="65"/>
  <c r="Y139" i="65"/>
  <c r="K141" i="65"/>
  <c r="O141" i="65"/>
  <c r="S141" i="65"/>
  <c r="W141" i="65"/>
  <c r="AA141" i="65"/>
  <c r="M143" i="65"/>
  <c r="Q143" i="65"/>
  <c r="Y143" i="65"/>
  <c r="K145" i="65"/>
  <c r="O145" i="65"/>
  <c r="S145" i="65"/>
  <c r="W145" i="65"/>
  <c r="AA145" i="65"/>
  <c r="M147" i="65"/>
  <c r="Q147" i="65"/>
  <c r="Y147" i="65"/>
  <c r="K149" i="65"/>
  <c r="O149" i="65"/>
  <c r="S149" i="65"/>
  <c r="W149" i="65"/>
  <c r="AA149" i="65"/>
  <c r="M151" i="65"/>
  <c r="Q151" i="65"/>
  <c r="Y151" i="65"/>
  <c r="K153" i="65"/>
  <c r="O153" i="65"/>
  <c r="S153" i="65"/>
  <c r="W153" i="65"/>
  <c r="AA153" i="65"/>
  <c r="M155" i="65"/>
  <c r="Q155" i="65"/>
  <c r="Y155" i="65"/>
  <c r="K157" i="65"/>
  <c r="O157" i="65"/>
  <c r="S157" i="65"/>
  <c r="W157" i="65"/>
  <c r="AA157" i="65"/>
  <c r="M159" i="65"/>
  <c r="Q159" i="65"/>
  <c r="Y159" i="65"/>
  <c r="K161" i="65"/>
  <c r="O161" i="65"/>
  <c r="S161" i="65"/>
  <c r="W161" i="65"/>
  <c r="AA161" i="65"/>
  <c r="M163" i="65"/>
  <c r="Q163" i="65"/>
  <c r="Y163" i="65"/>
  <c r="K165" i="65"/>
  <c r="O165" i="65"/>
  <c r="S165" i="65"/>
  <c r="W165" i="65"/>
  <c r="AA165" i="65"/>
  <c r="M167" i="65"/>
  <c r="Q167" i="65"/>
  <c r="Y167" i="65"/>
  <c r="K169" i="65"/>
  <c r="O169" i="65"/>
  <c r="S169" i="65"/>
  <c r="W169" i="65"/>
  <c r="AA169" i="65"/>
  <c r="M171" i="65"/>
  <c r="Q171" i="65"/>
  <c r="Y171" i="65"/>
  <c r="K173" i="65"/>
  <c r="O173" i="65"/>
  <c r="S173" i="65"/>
  <c r="W173" i="65"/>
  <c r="AA173" i="65"/>
  <c r="M175" i="65"/>
  <c r="Q175" i="65"/>
  <c r="Y175" i="65"/>
  <c r="K177" i="65"/>
  <c r="O177" i="65"/>
  <c r="S177" i="65"/>
  <c r="W177" i="65"/>
  <c r="AA177" i="65"/>
  <c r="M179" i="65"/>
  <c r="Q179" i="65"/>
  <c r="Y179" i="65"/>
  <c r="K181" i="65"/>
  <c r="O181" i="65"/>
  <c r="S181" i="65"/>
  <c r="W181" i="65"/>
  <c r="AA181" i="65"/>
  <c r="M183" i="65"/>
  <c r="Q183" i="65"/>
  <c r="Y183" i="65"/>
  <c r="K185" i="65"/>
  <c r="O185" i="65"/>
  <c r="S185" i="65"/>
  <c r="W185" i="65"/>
  <c r="AA185" i="65"/>
  <c r="M187" i="65"/>
  <c r="Q187" i="65"/>
  <c r="Y187" i="65"/>
  <c r="K189" i="65"/>
  <c r="O189" i="65"/>
  <c r="S189" i="65"/>
  <c r="W189" i="65"/>
  <c r="AA189" i="65"/>
  <c r="M191" i="65"/>
  <c r="Q191" i="65"/>
  <c r="Y191" i="65"/>
  <c r="K193" i="65"/>
  <c r="O193" i="65"/>
  <c r="S193" i="65"/>
  <c r="W193" i="65"/>
  <c r="AA193" i="65"/>
  <c r="M195" i="65"/>
  <c r="Q195" i="65"/>
  <c r="Y195" i="65"/>
  <c r="K197" i="65"/>
  <c r="O197" i="65"/>
  <c r="S197" i="65"/>
  <c r="W197" i="65"/>
  <c r="AA197" i="65"/>
  <c r="M199" i="65"/>
  <c r="Q199" i="65"/>
  <c r="Y199" i="65"/>
  <c r="K201" i="65"/>
  <c r="O201" i="65"/>
  <c r="S201" i="65"/>
  <c r="W201" i="65"/>
  <c r="AA201" i="65"/>
  <c r="M203" i="65"/>
  <c r="Q203" i="65"/>
  <c r="Y203" i="65"/>
  <c r="K205" i="65"/>
  <c r="O205" i="65"/>
  <c r="S205" i="65"/>
  <c r="W205" i="65"/>
  <c r="AA205" i="65"/>
  <c r="M207" i="65"/>
  <c r="Q207" i="65"/>
  <c r="Y207" i="65"/>
  <c r="K209" i="65"/>
  <c r="O209" i="65"/>
  <c r="S209" i="65"/>
  <c r="W209" i="65"/>
  <c r="AA209" i="65"/>
  <c r="M211" i="65"/>
  <c r="Q211" i="65"/>
  <c r="Y211" i="65"/>
  <c r="BK7" i="79"/>
  <c r="BK9" i="79" s="1"/>
  <c r="AS39" i="79"/>
  <c r="E39" i="79" s="1"/>
  <c r="O39" i="79" s="1"/>
  <c r="AS95" i="79"/>
  <c r="E95" i="79" s="1"/>
  <c r="AI95" i="79" s="1"/>
  <c r="AS103" i="79"/>
  <c r="E103" i="79" s="1"/>
  <c r="Q103" i="79" s="1"/>
  <c r="AS113" i="79"/>
  <c r="E113" i="79" s="1"/>
  <c r="W113" i="79" s="1"/>
  <c r="AS153" i="79"/>
  <c r="E153" i="79" s="1"/>
  <c r="K153" i="79" s="1"/>
  <c r="AS171" i="79"/>
  <c r="E171" i="79" s="1"/>
  <c r="W171" i="79" s="1"/>
  <c r="AS197" i="79"/>
  <c r="E197" i="79" s="1"/>
  <c r="M197" i="79" s="1"/>
  <c r="AS211" i="79"/>
  <c r="E211" i="79" s="1"/>
  <c r="S211" i="79" s="1"/>
  <c r="BO382" i="54"/>
  <c r="BP385" i="54"/>
  <c r="BO409" i="54"/>
  <c r="BO421" i="54"/>
  <c r="BO471" i="54"/>
  <c r="BO483" i="54"/>
  <c r="BP503" i="54"/>
  <c r="BO547" i="54"/>
  <c r="BP550" i="54"/>
  <c r="BP553" i="54"/>
  <c r="BO556" i="54"/>
  <c r="AH27" i="76"/>
  <c r="AH29" i="76"/>
  <c r="AJ31" i="76"/>
  <c r="AJ58" i="76"/>
  <c r="AH62" i="76"/>
  <c r="AH64" i="76"/>
  <c r="AH66" i="76"/>
  <c r="AJ81" i="76"/>
  <c r="AH89" i="76"/>
  <c r="AH91" i="76"/>
  <c r="AH93" i="76"/>
  <c r="AJ95" i="76"/>
  <c r="AH120" i="76"/>
  <c r="AH122" i="76"/>
  <c r="AJ124" i="76"/>
  <c r="AH153" i="76"/>
  <c r="AH155" i="76"/>
  <c r="AH157" i="76"/>
  <c r="AJ159" i="76"/>
  <c r="AH182" i="76"/>
  <c r="AJ182" i="76"/>
  <c r="AJ217" i="76"/>
  <c r="AJ219" i="76"/>
  <c r="AJ221" i="76"/>
  <c r="AJ246" i="76"/>
  <c r="AF246" i="76"/>
  <c r="J246" i="76"/>
  <c r="AA64" i="75" s="1"/>
  <c r="AJ248" i="76"/>
  <c r="AF248" i="76"/>
  <c r="J248" i="76"/>
  <c r="AA65" i="75" s="1"/>
  <c r="AJ250" i="76"/>
  <c r="AF250" i="76"/>
  <c r="J250" i="76"/>
  <c r="AA66" i="75" s="1"/>
  <c r="AJ252" i="76"/>
  <c r="J252" i="76"/>
  <c r="AA67" i="75" s="1"/>
  <c r="AJ281" i="76"/>
  <c r="AJ283" i="76"/>
  <c r="AJ298" i="76"/>
  <c r="BB47" i="20"/>
  <c r="AY47" i="20"/>
  <c r="AQ47" i="20"/>
  <c r="AA47" i="20"/>
  <c r="Y47" i="20"/>
  <c r="AM77" i="20"/>
  <c r="AD77" i="20"/>
  <c r="AZ77" i="20" s="1"/>
  <c r="BO35" i="54"/>
  <c r="BP38" i="54"/>
  <c r="BO55" i="54"/>
  <c r="BP58" i="54"/>
  <c r="BO131" i="54"/>
  <c r="BO137" i="54"/>
  <c r="BP163" i="54"/>
  <c r="BO215" i="54"/>
  <c r="BO270" i="54"/>
  <c r="BO273" i="54"/>
  <c r="BP297" i="54"/>
  <c r="BP303" i="54"/>
  <c r="BP309" i="54"/>
  <c r="BP315" i="54"/>
  <c r="BP350" i="54"/>
  <c r="BP356" i="54"/>
  <c r="BP362" i="54"/>
  <c r="BP368" i="54"/>
  <c r="BP374" i="54"/>
  <c r="BO388" i="54"/>
  <c r="BO542" i="54"/>
  <c r="BO559" i="54"/>
  <c r="H4" i="76"/>
  <c r="AJ19" i="76"/>
  <c r="Z6" i="76"/>
  <c r="AJ21" i="76"/>
  <c r="J27" i="76"/>
  <c r="AA14" i="75" s="1"/>
  <c r="AF27" i="76"/>
  <c r="AJ27" i="76"/>
  <c r="J29" i="76"/>
  <c r="AA15" i="75" s="1"/>
  <c r="AF29" i="76"/>
  <c r="AJ29" i="76"/>
  <c r="J31" i="76"/>
  <c r="AA16" i="75" s="1"/>
  <c r="AJ33" i="76"/>
  <c r="AJ35" i="76"/>
  <c r="AJ50" i="76"/>
  <c r="J62" i="76"/>
  <c r="AA23" i="75" s="1"/>
  <c r="AF62" i="76"/>
  <c r="AJ62" i="76"/>
  <c r="J64" i="76"/>
  <c r="AA24" i="75" s="1"/>
  <c r="AF64" i="76"/>
  <c r="AJ64" i="76"/>
  <c r="J66" i="76"/>
  <c r="AA25" i="75" s="1"/>
  <c r="AF66" i="76"/>
  <c r="AJ66" i="76"/>
  <c r="J81" i="76"/>
  <c r="AA26" i="75" s="1"/>
  <c r="AJ83" i="76"/>
  <c r="J89" i="76"/>
  <c r="AA28" i="75" s="1"/>
  <c r="AF89" i="76"/>
  <c r="AJ89" i="76"/>
  <c r="J91" i="76"/>
  <c r="AA29" i="75" s="1"/>
  <c r="AF91" i="76"/>
  <c r="AJ91" i="76"/>
  <c r="J93" i="76"/>
  <c r="AA30" i="75" s="1"/>
  <c r="AF93" i="76"/>
  <c r="AJ93" i="76"/>
  <c r="J95" i="76"/>
  <c r="AA31" i="75" s="1"/>
  <c r="AJ97" i="76"/>
  <c r="AJ112" i="76"/>
  <c r="AJ114" i="76"/>
  <c r="J120" i="76"/>
  <c r="AA35" i="75" s="1"/>
  <c r="AF120" i="76"/>
  <c r="AJ120" i="76"/>
  <c r="J122" i="76"/>
  <c r="AA36" i="75" s="1"/>
  <c r="AF122" i="76"/>
  <c r="AJ122" i="76"/>
  <c r="J124" i="76"/>
  <c r="AA37" i="75" s="1"/>
  <c r="AJ126" i="76"/>
  <c r="AJ128" i="76"/>
  <c r="AJ143" i="76"/>
  <c r="J153" i="76"/>
  <c r="AA43" i="75" s="1"/>
  <c r="AF153" i="76"/>
  <c r="AJ153" i="76"/>
  <c r="J155" i="76"/>
  <c r="AA44" i="75" s="1"/>
  <c r="AF155" i="76"/>
  <c r="AJ155" i="76"/>
  <c r="J157" i="76"/>
  <c r="AA45" i="75" s="1"/>
  <c r="AF157" i="76"/>
  <c r="AJ157" i="76"/>
  <c r="J159" i="76"/>
  <c r="AA46" i="75" s="1"/>
  <c r="AJ174" i="76"/>
  <c r="AJ176" i="76"/>
  <c r="J182" i="76"/>
  <c r="AA49" i="75" s="1"/>
  <c r="AF182" i="76"/>
  <c r="AJ190" i="76"/>
  <c r="U199" i="76"/>
  <c r="AJ205" i="76"/>
  <c r="AJ207" i="76"/>
  <c r="AH238" i="76"/>
  <c r="J238" i="76"/>
  <c r="AA62" i="75" s="1"/>
  <c r="AH246" i="76"/>
  <c r="AH248" i="76"/>
  <c r="AH250" i="76"/>
  <c r="AJ275" i="76"/>
  <c r="AF275" i="76"/>
  <c r="J275" i="76"/>
  <c r="AA70" i="75" s="1"/>
  <c r="J277" i="76"/>
  <c r="AA71" i="75" s="1"/>
  <c r="J312" i="76"/>
  <c r="AA80" i="75" s="1"/>
  <c r="AH184" i="76"/>
  <c r="AH186" i="76"/>
  <c r="AJ188" i="76"/>
  <c r="AH213" i="76"/>
  <c r="AJ215" i="76"/>
  <c r="AJ267" i="76"/>
  <c r="AJ269" i="76"/>
  <c r="AJ279" i="76"/>
  <c r="AJ306" i="76"/>
  <c r="BI37" i="20"/>
  <c r="BJ37" i="20" s="1"/>
  <c r="T37" i="20" s="1"/>
  <c r="AN53" i="20"/>
  <c r="BI103" i="20"/>
  <c r="BJ103" i="20" s="1"/>
  <c r="T103" i="20" s="1"/>
  <c r="AB167" i="20"/>
  <c r="BI171" i="20"/>
  <c r="BJ171" i="20" s="1"/>
  <c r="T171" i="20" s="1"/>
  <c r="V31" i="57"/>
  <c r="AN43" i="57"/>
  <c r="T59" i="57"/>
  <c r="AH59" i="57"/>
  <c r="AX59" i="57"/>
  <c r="BB67" i="57"/>
  <c r="AT97" i="57"/>
  <c r="AT117" i="57"/>
  <c r="T119" i="57"/>
  <c r="T129" i="57"/>
  <c r="AN141" i="57"/>
  <c r="AP141" i="57"/>
  <c r="AN155" i="57"/>
  <c r="AL165" i="57"/>
  <c r="BB167" i="57"/>
  <c r="AT183" i="57"/>
  <c r="P189" i="57"/>
  <c r="AP189" i="57"/>
  <c r="AZ189" i="57"/>
  <c r="AJ195" i="57"/>
  <c r="AZ97" i="57"/>
  <c r="BC26" i="54"/>
  <c r="E26" i="54"/>
  <c r="K26" i="54" s="1"/>
  <c r="BF9" i="65"/>
  <c r="AF4" i="65"/>
  <c r="AP9" i="65"/>
  <c r="E10" i="12"/>
  <c r="E15" i="12"/>
  <c r="X4" i="65"/>
  <c r="BB9" i="65"/>
  <c r="M15" i="65"/>
  <c r="Q15" i="65"/>
  <c r="Y15" i="65"/>
  <c r="AE15" i="65"/>
  <c r="T4" i="65"/>
  <c r="AO8" i="65"/>
  <c r="AO9" i="65" s="1"/>
  <c r="AQ8" i="65"/>
  <c r="E11" i="12" s="1"/>
  <c r="AW8" i="65"/>
  <c r="AW9" i="65" s="1"/>
  <c r="K15" i="65"/>
  <c r="O15" i="65"/>
  <c r="S15" i="65"/>
  <c r="W15" i="65"/>
  <c r="AA15" i="65"/>
  <c r="AX7" i="65"/>
  <c r="L4" i="65"/>
  <c r="P4" i="65"/>
  <c r="AU9" i="65"/>
  <c r="AZ9" i="65"/>
  <c r="M13" i="65"/>
  <c r="Q13" i="65"/>
  <c r="Y13" i="65"/>
  <c r="AE13" i="65"/>
  <c r="E18" i="12"/>
  <c r="Z3" i="65"/>
  <c r="J4" i="65"/>
  <c r="N4" i="65"/>
  <c r="R4" i="65"/>
  <c r="K13" i="65"/>
  <c r="O13" i="65"/>
  <c r="S13" i="65"/>
  <c r="W13" i="65"/>
  <c r="AA13" i="65"/>
  <c r="AQ35" i="70"/>
  <c r="AQ36" i="70" s="1"/>
  <c r="AQ37" i="70" s="1"/>
  <c r="AQ38" i="70" s="1"/>
  <c r="AS19" i="70"/>
  <c r="AW23" i="70"/>
  <c r="AW24" i="70" s="1"/>
  <c r="AY29" i="70"/>
  <c r="AY30" i="70" s="1"/>
  <c r="BA21" i="70"/>
  <c r="BH45" i="70"/>
  <c r="BJ33" i="70"/>
  <c r="BL23" i="70"/>
  <c r="BN32" i="70"/>
  <c r="BN33" i="70" s="1"/>
  <c r="BP22" i="70"/>
  <c r="BR29" i="70"/>
  <c r="BR30" i="70" s="1"/>
  <c r="BT46" i="70"/>
  <c r="BV28" i="70"/>
  <c r="BV29" i="70" s="1"/>
  <c r="BV30" i="70" s="1"/>
  <c r="BX21" i="70"/>
  <c r="BR16" i="70"/>
  <c r="BS16" i="70" s="1"/>
  <c r="AR26" i="70"/>
  <c r="AT40" i="70"/>
  <c r="AT41" i="70" s="1"/>
  <c r="AT42" i="70" s="1"/>
  <c r="AT43" i="70" s="1"/>
  <c r="AT44" i="70" s="1"/>
  <c r="AT45" i="70" s="1"/>
  <c r="AV44" i="70"/>
  <c r="AV45" i="70" s="1"/>
  <c r="AV46" i="70" s="1"/>
  <c r="AV47" i="70" s="1"/>
  <c r="AV48" i="70" s="1"/>
  <c r="AV49" i="70" s="1"/>
  <c r="AV50" i="70" s="1"/>
  <c r="AV51" i="70" s="1"/>
  <c r="AV52" i="70" s="1"/>
  <c r="AV53" i="70" s="1"/>
  <c r="AV54" i="70" s="1"/>
  <c r="AV55" i="70" s="1"/>
  <c r="AV56" i="70" s="1"/>
  <c r="AV57" i="70" s="1"/>
  <c r="AV58" i="70" s="1"/>
  <c r="AV59" i="70" s="1"/>
  <c r="AV60" i="70" s="1"/>
  <c r="AV61" i="70" s="1"/>
  <c r="AV62" i="70" s="1"/>
  <c r="AV63" i="70" s="1"/>
  <c r="AV64" i="70" s="1"/>
  <c r="AV65" i="70" s="1"/>
  <c r="AV66" i="70" s="1"/>
  <c r="AV67" i="70" s="1"/>
  <c r="AV68" i="70" s="1"/>
  <c r="AV69" i="70" s="1"/>
  <c r="AV70" i="70" s="1"/>
  <c r="AV71" i="70" s="1"/>
  <c r="AV72" i="70" s="1"/>
  <c r="AV73" i="70" s="1"/>
  <c r="AV74" i="70" s="1"/>
  <c r="AV75" i="70" s="1"/>
  <c r="AV76" i="70" s="1"/>
  <c r="AV77" i="70" s="1"/>
  <c r="AV78" i="70" s="1"/>
  <c r="AV79" i="70" s="1"/>
  <c r="AV80" i="70" s="1"/>
  <c r="AV81" i="70" s="1"/>
  <c r="AV82" i="70" s="1"/>
  <c r="AV83" i="70" s="1"/>
  <c r="AV84" i="70" s="1"/>
  <c r="AV85" i="70" s="1"/>
  <c r="AV86" i="70" s="1"/>
  <c r="AV87" i="70" s="1"/>
  <c r="AV88" i="70" s="1"/>
  <c r="AV89" i="70" s="1"/>
  <c r="AV90" i="70" s="1"/>
  <c r="AV91" i="70" s="1"/>
  <c r="AV92" i="70" s="1"/>
  <c r="AV93" i="70" s="1"/>
  <c r="AV94" i="70" s="1"/>
  <c r="AV95" i="70" s="1"/>
  <c r="AV96" i="70" s="1"/>
  <c r="AV97" i="70" s="1"/>
  <c r="AV98" i="70" s="1"/>
  <c r="AV99" i="70" s="1"/>
  <c r="AV100" i="70" s="1"/>
  <c r="AV101" i="70" s="1"/>
  <c r="AV102" i="70" s="1"/>
  <c r="AV103" i="70" s="1"/>
  <c r="AV104" i="70" s="1"/>
  <c r="AV105" i="70" s="1"/>
  <c r="AV106" i="70" s="1"/>
  <c r="AV107" i="70" s="1"/>
  <c r="AV108" i="70" s="1"/>
  <c r="AV109" i="70" s="1"/>
  <c r="AV110" i="70" s="1"/>
  <c r="AV111" i="70" s="1"/>
  <c r="AV112" i="70" s="1"/>
  <c r="AV113" i="70" s="1"/>
  <c r="AV114" i="70" s="1"/>
  <c r="AV115" i="70" s="1"/>
  <c r="AV116" i="70" s="1"/>
  <c r="AZ25" i="70"/>
  <c r="AZ26" i="70" s="1"/>
  <c r="AZ27" i="70" s="1"/>
  <c r="AZ28" i="70" s="1"/>
  <c r="AZ29" i="70" s="1"/>
  <c r="AZ30" i="70" s="1"/>
  <c r="AZ31" i="70" s="1"/>
  <c r="AZ32" i="70" s="1"/>
  <c r="AZ33" i="70" s="1"/>
  <c r="AZ34" i="70" s="1"/>
  <c r="AZ35" i="70" s="1"/>
  <c r="AZ36" i="70" s="1"/>
  <c r="AZ37" i="70" s="1"/>
  <c r="AZ38" i="70" s="1"/>
  <c r="AZ39" i="70" s="1"/>
  <c r="AZ40" i="70" s="1"/>
  <c r="AZ41" i="70" s="1"/>
  <c r="AZ42" i="70" s="1"/>
  <c r="BB35" i="70"/>
  <c r="BB36" i="70" s="1"/>
  <c r="BB37" i="70" s="1"/>
  <c r="BB38" i="70" s="1"/>
  <c r="BB39" i="70" s="1"/>
  <c r="BB40" i="70" s="1"/>
  <c r="BB41" i="70" s="1"/>
  <c r="BB42" i="70" s="1"/>
  <c r="BB43" i="70" s="1"/>
  <c r="BB44" i="70" s="1"/>
  <c r="BB45" i="70" s="1"/>
  <c r="BB46" i="70" s="1"/>
  <c r="BB47" i="70" s="1"/>
  <c r="BB48" i="70" s="1"/>
  <c r="BB49" i="70" s="1"/>
  <c r="BB50" i="70" s="1"/>
  <c r="BB51" i="70" s="1"/>
  <c r="BB52" i="70" s="1"/>
  <c r="BB53" i="70" s="1"/>
  <c r="BB54" i="70" s="1"/>
  <c r="BB55" i="70" s="1"/>
  <c r="BB56" i="70" s="1"/>
  <c r="BB57" i="70" s="1"/>
  <c r="BB58" i="70" s="1"/>
  <c r="BB59" i="70" s="1"/>
  <c r="BB60" i="70" s="1"/>
  <c r="BB61" i="70" s="1"/>
  <c r="BB62" i="70" s="1"/>
  <c r="BB63" i="70" s="1"/>
  <c r="BB64" i="70" s="1"/>
  <c r="BB65" i="70" s="1"/>
  <c r="BB66" i="70" s="1"/>
  <c r="BB67" i="70" s="1"/>
  <c r="BB68" i="70" s="1"/>
  <c r="BB69" i="70" s="1"/>
  <c r="BB70" i="70" s="1"/>
  <c r="BB71" i="70" s="1"/>
  <c r="BB72" i="70" s="1"/>
  <c r="BB73" i="70" s="1"/>
  <c r="BB74" i="70" s="1"/>
  <c r="BB75" i="70" s="1"/>
  <c r="BB76" i="70" s="1"/>
  <c r="BB77" i="70" s="1"/>
  <c r="BB78" i="70" s="1"/>
  <c r="BB79" i="70" s="1"/>
  <c r="BB80" i="70" s="1"/>
  <c r="BB81" i="70" s="1"/>
  <c r="BB82" i="70" s="1"/>
  <c r="BB83" i="70" s="1"/>
  <c r="BB84" i="70" s="1"/>
  <c r="BB85" i="70" s="1"/>
  <c r="BB86" i="70" s="1"/>
  <c r="BB87" i="70" s="1"/>
  <c r="BB88" i="70" s="1"/>
  <c r="BB89" i="70" s="1"/>
  <c r="BB90" i="70" s="1"/>
  <c r="BB91" i="70" s="1"/>
  <c r="BB92" i="70" s="1"/>
  <c r="BB93" i="70" s="1"/>
  <c r="BB94" i="70" s="1"/>
  <c r="BB95" i="70" s="1"/>
  <c r="BB96" i="70" s="1"/>
  <c r="BB97" i="70" s="1"/>
  <c r="BB98" i="70" s="1"/>
  <c r="BB99" i="70" s="1"/>
  <c r="BB100" i="70" s="1"/>
  <c r="BB101" i="70" s="1"/>
  <c r="BB102" i="70" s="1"/>
  <c r="BB103" i="70" s="1"/>
  <c r="BB104" i="70" s="1"/>
  <c r="BB105" i="70" s="1"/>
  <c r="BB106" i="70" s="1"/>
  <c r="BB107" i="70" s="1"/>
  <c r="BB108" i="70" s="1"/>
  <c r="BB109" i="70" s="1"/>
  <c r="BB110" i="70" s="1"/>
  <c r="BB111" i="70" s="1"/>
  <c r="BB112" i="70" s="1"/>
  <c r="BB113" i="70" s="1"/>
  <c r="BB114" i="70" s="1"/>
  <c r="BB115" i="70" s="1"/>
  <c r="BB116" i="70" s="1"/>
  <c r="BD115" i="70"/>
  <c r="BD116" i="70" s="1"/>
  <c r="BI21" i="70"/>
  <c r="BI22" i="70" s="1"/>
  <c r="BK21" i="70"/>
  <c r="BK22" i="70" s="1"/>
  <c r="BM19" i="70"/>
  <c r="BO30" i="70"/>
  <c r="BQ19" i="70"/>
  <c r="BQ20" i="70" s="1"/>
  <c r="BS20" i="70"/>
  <c r="BU28" i="70"/>
  <c r="BU29" i="70" s="1"/>
  <c r="BW29" i="70"/>
  <c r="DA31" i="70"/>
  <c r="DA32" i="70"/>
  <c r="AX17" i="68"/>
  <c r="E17" i="68" s="1"/>
  <c r="AX19" i="68"/>
  <c r="BD19" i="68"/>
  <c r="AX21" i="68"/>
  <c r="BD21" i="68"/>
  <c r="Y23" i="68"/>
  <c r="AC23" i="68"/>
  <c r="AG23" i="68"/>
  <c r="AK23" i="68"/>
  <c r="AO23" i="68"/>
  <c r="AY23" i="68"/>
  <c r="BK23" i="68"/>
  <c r="BJ23" i="68" s="1"/>
  <c r="BO23" i="68"/>
  <c r="BN23" i="68" s="1"/>
  <c r="BS23" i="68"/>
  <c r="BR23" i="68" s="1"/>
  <c r="BW23" i="68"/>
  <c r="BV23" i="68" s="1"/>
  <c r="CA23" i="68"/>
  <c r="BZ23" i="68" s="1"/>
  <c r="Y25" i="68"/>
  <c r="AC25" i="68"/>
  <c r="AG25" i="68"/>
  <c r="AK25" i="68"/>
  <c r="AO25" i="68"/>
  <c r="AY25" i="68"/>
  <c r="BK25" i="68"/>
  <c r="BJ25" i="68" s="1"/>
  <c r="BO25" i="68"/>
  <c r="BN25" i="68" s="1"/>
  <c r="BS25" i="68"/>
  <c r="BR25" i="68" s="1"/>
  <c r="BW25" i="68"/>
  <c r="BV25" i="68" s="1"/>
  <c r="CA25" i="68"/>
  <c r="BZ25" i="68" s="1"/>
  <c r="Y27" i="68"/>
  <c r="AC27" i="68"/>
  <c r="AG27" i="68"/>
  <c r="AK27" i="68"/>
  <c r="AO27" i="68"/>
  <c r="AY27" i="68"/>
  <c r="BK27" i="68"/>
  <c r="BJ27" i="68" s="1"/>
  <c r="BO27" i="68"/>
  <c r="BN27" i="68" s="1"/>
  <c r="BS27" i="68"/>
  <c r="BR27" i="68" s="1"/>
  <c r="BW27" i="68"/>
  <c r="BV27" i="68" s="1"/>
  <c r="CA27" i="68"/>
  <c r="BZ27" i="68" s="1"/>
  <c r="Y29" i="68"/>
  <c r="AC29" i="68"/>
  <c r="AG29" i="68"/>
  <c r="AK29" i="68"/>
  <c r="AO29" i="68"/>
  <c r="AY29" i="68"/>
  <c r="BK29" i="68"/>
  <c r="BJ29" i="68" s="1"/>
  <c r="BO29" i="68"/>
  <c r="BN29" i="68" s="1"/>
  <c r="BS29" i="68"/>
  <c r="BR29" i="68" s="1"/>
  <c r="BW29" i="68"/>
  <c r="BV29" i="68" s="1"/>
  <c r="CA29" i="68"/>
  <c r="BZ29" i="68" s="1"/>
  <c r="Y31" i="68"/>
  <c r="AC31" i="68"/>
  <c r="AG31" i="68"/>
  <c r="AK31" i="68"/>
  <c r="AO31" i="68"/>
  <c r="AY31" i="68"/>
  <c r="BK31" i="68"/>
  <c r="BJ31" i="68" s="1"/>
  <c r="BO31" i="68"/>
  <c r="BN31" i="68" s="1"/>
  <c r="BS31" i="68"/>
  <c r="BR31" i="68" s="1"/>
  <c r="BW31" i="68"/>
  <c r="BV31" i="68" s="1"/>
  <c r="CA31" i="68"/>
  <c r="BZ31" i="68" s="1"/>
  <c r="Y33" i="68"/>
  <c r="AC33" i="68"/>
  <c r="AG33" i="68"/>
  <c r="AK33" i="68"/>
  <c r="AO33" i="68"/>
  <c r="AY33" i="68"/>
  <c r="BK33" i="68"/>
  <c r="BJ33" i="68" s="1"/>
  <c r="BO33" i="68"/>
  <c r="BN33" i="68" s="1"/>
  <c r="BS33" i="68"/>
  <c r="BR33" i="68" s="1"/>
  <c r="BW33" i="68"/>
  <c r="BV33" i="68" s="1"/>
  <c r="CA33" i="68"/>
  <c r="BZ33" i="68" s="1"/>
  <c r="Y35" i="68"/>
  <c r="AC35" i="68"/>
  <c r="AG35" i="68"/>
  <c r="AK35" i="68"/>
  <c r="AO35" i="68"/>
  <c r="AY35" i="68"/>
  <c r="BK35" i="68"/>
  <c r="BJ35" i="68" s="1"/>
  <c r="BO35" i="68"/>
  <c r="BN35" i="68" s="1"/>
  <c r="BS35" i="68"/>
  <c r="BR35" i="68" s="1"/>
  <c r="BW35" i="68"/>
  <c r="BV35" i="68" s="1"/>
  <c r="CA35" i="68"/>
  <c r="BZ35" i="68" s="1"/>
  <c r="Y37" i="68"/>
  <c r="AC37" i="68"/>
  <c r="AG37" i="68"/>
  <c r="AK37" i="68"/>
  <c r="AO37" i="68"/>
  <c r="AY37" i="68"/>
  <c r="BK37" i="68"/>
  <c r="BJ37" i="68" s="1"/>
  <c r="BO37" i="68"/>
  <c r="BN37" i="68" s="1"/>
  <c r="BS37" i="68"/>
  <c r="BR37" i="68" s="1"/>
  <c r="BW37" i="68"/>
  <c r="BV37" i="68" s="1"/>
  <c r="CA37" i="68"/>
  <c r="BZ37" i="68" s="1"/>
  <c r="Y39" i="68"/>
  <c r="AC39" i="68"/>
  <c r="AG39" i="68"/>
  <c r="AK39" i="68"/>
  <c r="AO39" i="68"/>
  <c r="AY39" i="68"/>
  <c r="BK39" i="68"/>
  <c r="BJ39" i="68" s="1"/>
  <c r="BO39" i="68"/>
  <c r="BN39" i="68" s="1"/>
  <c r="BS39" i="68"/>
  <c r="BR39" i="68" s="1"/>
  <c r="BW39" i="68"/>
  <c r="BV39" i="68" s="1"/>
  <c r="CA39" i="68"/>
  <c r="BZ39" i="68" s="1"/>
  <c r="Y41" i="68"/>
  <c r="AC41" i="68"/>
  <c r="AG41" i="68"/>
  <c r="AK41" i="68"/>
  <c r="AO41" i="68"/>
  <c r="AY41" i="68"/>
  <c r="BK41" i="68"/>
  <c r="BJ41" i="68" s="1"/>
  <c r="BO41" i="68"/>
  <c r="BN41" i="68" s="1"/>
  <c r="BS41" i="68"/>
  <c r="BR41" i="68" s="1"/>
  <c r="BW41" i="68"/>
  <c r="BV41" i="68" s="1"/>
  <c r="CA41" i="68"/>
  <c r="BZ41" i="68" s="1"/>
  <c r="Y43" i="68"/>
  <c r="AC43" i="68"/>
  <c r="AG43" i="68"/>
  <c r="AK43" i="68"/>
  <c r="AO43" i="68"/>
  <c r="AY43" i="68"/>
  <c r="BK43" i="68"/>
  <c r="BJ43" i="68" s="1"/>
  <c r="BO43" i="68"/>
  <c r="BN43" i="68" s="1"/>
  <c r="BS43" i="68"/>
  <c r="BR43" i="68" s="1"/>
  <c r="BW43" i="68"/>
  <c r="BV43" i="68" s="1"/>
  <c r="CA43" i="68"/>
  <c r="BZ43" i="68" s="1"/>
  <c r="Y45" i="68"/>
  <c r="AC45" i="68"/>
  <c r="AG45" i="68"/>
  <c r="AK45" i="68"/>
  <c r="AO45" i="68"/>
  <c r="AY45" i="68"/>
  <c r="BK45" i="68"/>
  <c r="BJ45" i="68" s="1"/>
  <c r="BO45" i="68"/>
  <c r="BN45" i="68" s="1"/>
  <c r="BS45" i="68"/>
  <c r="BR45" i="68" s="1"/>
  <c r="BW45" i="68"/>
  <c r="BV45" i="68" s="1"/>
  <c r="CA45" i="68"/>
  <c r="BZ45" i="68" s="1"/>
  <c r="Y47" i="68"/>
  <c r="AC47" i="68"/>
  <c r="AG47" i="68"/>
  <c r="AK47" i="68"/>
  <c r="AO47" i="68"/>
  <c r="AY47" i="68"/>
  <c r="BK47" i="68"/>
  <c r="BJ47" i="68" s="1"/>
  <c r="BO47" i="68"/>
  <c r="BN47" i="68" s="1"/>
  <c r="BS47" i="68"/>
  <c r="BR47" i="68" s="1"/>
  <c r="BW47" i="68"/>
  <c r="BV47" i="68" s="1"/>
  <c r="CA47" i="68"/>
  <c r="BZ47" i="68" s="1"/>
  <c r="Y49" i="68"/>
  <c r="AC49" i="68"/>
  <c r="AG49" i="68"/>
  <c r="AK49" i="68"/>
  <c r="AO49" i="68"/>
  <c r="AY49" i="68"/>
  <c r="BK49" i="68"/>
  <c r="BJ49" i="68" s="1"/>
  <c r="BO49" i="68"/>
  <c r="BN49" i="68" s="1"/>
  <c r="BS49" i="68"/>
  <c r="BR49" i="68" s="1"/>
  <c r="BW49" i="68"/>
  <c r="BV49" i="68" s="1"/>
  <c r="CA49" i="68"/>
  <c r="BZ49" i="68" s="1"/>
  <c r="Y51" i="68"/>
  <c r="AC51" i="68"/>
  <c r="AG51" i="68"/>
  <c r="AK51" i="68"/>
  <c r="AO51" i="68"/>
  <c r="AY51" i="68"/>
  <c r="BK51" i="68"/>
  <c r="BJ51" i="68" s="1"/>
  <c r="BO51" i="68"/>
  <c r="BN51" i="68" s="1"/>
  <c r="BS51" i="68"/>
  <c r="BR51" i="68" s="1"/>
  <c r="BW51" i="68"/>
  <c r="BV51" i="68" s="1"/>
  <c r="CA51" i="68"/>
  <c r="BZ51" i="68" s="1"/>
  <c r="Y53" i="68"/>
  <c r="AC53" i="68"/>
  <c r="AG53" i="68"/>
  <c r="AK53" i="68"/>
  <c r="AO53" i="68"/>
  <c r="AY53" i="68"/>
  <c r="BK53" i="68"/>
  <c r="BJ53" i="68" s="1"/>
  <c r="BO53" i="68"/>
  <c r="BN53" i="68" s="1"/>
  <c r="BS53" i="68"/>
  <c r="BR53" i="68" s="1"/>
  <c r="BW53" i="68"/>
  <c r="BV53" i="68" s="1"/>
  <c r="CA53" i="68"/>
  <c r="BZ53" i="68" s="1"/>
  <c r="Y55" i="68"/>
  <c r="AC55" i="68"/>
  <c r="AG55" i="68"/>
  <c r="AK55" i="68"/>
  <c r="AO55" i="68"/>
  <c r="AY55" i="68"/>
  <c r="BK55" i="68"/>
  <c r="BJ55" i="68" s="1"/>
  <c r="BO55" i="68"/>
  <c r="BN55" i="68" s="1"/>
  <c r="BS55" i="68"/>
  <c r="BR55" i="68" s="1"/>
  <c r="BW55" i="68"/>
  <c r="BV55" i="68" s="1"/>
  <c r="CA55" i="68"/>
  <c r="BZ55" i="68" s="1"/>
  <c r="Y57" i="68"/>
  <c r="AC57" i="68"/>
  <c r="AG57" i="68"/>
  <c r="AK57" i="68"/>
  <c r="AO57" i="68"/>
  <c r="AY57" i="68"/>
  <c r="BK57" i="68"/>
  <c r="BJ57" i="68" s="1"/>
  <c r="BO57" i="68"/>
  <c r="BN57" i="68" s="1"/>
  <c r="BS57" i="68"/>
  <c r="BR57" i="68" s="1"/>
  <c r="BW57" i="68"/>
  <c r="BV57" i="68" s="1"/>
  <c r="CA57" i="68"/>
  <c r="BZ57" i="68" s="1"/>
  <c r="AX59" i="68"/>
  <c r="BD59" i="68"/>
  <c r="AX61" i="68"/>
  <c r="BD61" i="68"/>
  <c r="AX63" i="68"/>
  <c r="BD63" i="68"/>
  <c r="AX65" i="68"/>
  <c r="BD65" i="68"/>
  <c r="AX67" i="68"/>
  <c r="BD67" i="68"/>
  <c r="AX69" i="68"/>
  <c r="BD69" i="68"/>
  <c r="AX71" i="68"/>
  <c r="BD71" i="68"/>
  <c r="AX73" i="68"/>
  <c r="BD73" i="68"/>
  <c r="AX75" i="68"/>
  <c r="BD75" i="68"/>
  <c r="AX77" i="68"/>
  <c r="BD77" i="68"/>
  <c r="AX79" i="68"/>
  <c r="BD79" i="68"/>
  <c r="Y81" i="68"/>
  <c r="AC81" i="68"/>
  <c r="AG81" i="68"/>
  <c r="AK81" i="68"/>
  <c r="AO81" i="68"/>
  <c r="AY81" i="68"/>
  <c r="BI81" i="68"/>
  <c r="BH81" i="68" s="1"/>
  <c r="BK81" i="68"/>
  <c r="BJ81" i="68" s="1"/>
  <c r="BM81" i="68"/>
  <c r="BL81" i="68" s="1"/>
  <c r="BO81" i="68"/>
  <c r="BN81" i="68" s="1"/>
  <c r="BQ81" i="68"/>
  <c r="BP81" i="68" s="1"/>
  <c r="BS81" i="68"/>
  <c r="BR81" i="68" s="1"/>
  <c r="BU81" i="68"/>
  <c r="BT81" i="68" s="1"/>
  <c r="BW81" i="68"/>
  <c r="BV81" i="68" s="1"/>
  <c r="BY81" i="68"/>
  <c r="BX81" i="68" s="1"/>
  <c r="CA81" i="68"/>
  <c r="BZ81" i="68" s="1"/>
  <c r="Y83" i="68"/>
  <c r="AC83" i="68"/>
  <c r="AG83" i="68"/>
  <c r="AK83" i="68"/>
  <c r="AO83" i="68"/>
  <c r="AY83" i="68"/>
  <c r="BI83" i="68"/>
  <c r="BH83" i="68" s="1"/>
  <c r="BK83" i="68"/>
  <c r="BJ83" i="68" s="1"/>
  <c r="BM83" i="68"/>
  <c r="BL83" i="68" s="1"/>
  <c r="BO83" i="68"/>
  <c r="BN83" i="68" s="1"/>
  <c r="BQ83" i="68"/>
  <c r="BP83" i="68" s="1"/>
  <c r="BS83" i="68"/>
  <c r="BR83" i="68" s="1"/>
  <c r="BU83" i="68"/>
  <c r="BT83" i="68" s="1"/>
  <c r="BW83" i="68"/>
  <c r="BV83" i="68" s="1"/>
  <c r="BY83" i="68"/>
  <c r="BX83" i="68" s="1"/>
  <c r="CA83" i="68"/>
  <c r="BZ83" i="68" s="1"/>
  <c r="Y85" i="68"/>
  <c r="AC85" i="68"/>
  <c r="AG85" i="68"/>
  <c r="AK85" i="68"/>
  <c r="AO85" i="68"/>
  <c r="AY85" i="68"/>
  <c r="BI85" i="68"/>
  <c r="BH85" i="68" s="1"/>
  <c r="BK85" i="68"/>
  <c r="BJ85" i="68" s="1"/>
  <c r="BM85" i="68"/>
  <c r="BL85" i="68" s="1"/>
  <c r="BO85" i="68"/>
  <c r="BN85" i="68" s="1"/>
  <c r="BQ85" i="68"/>
  <c r="BP85" i="68" s="1"/>
  <c r="BS85" i="68"/>
  <c r="BR85" i="68" s="1"/>
  <c r="BU85" i="68"/>
  <c r="BT85" i="68" s="1"/>
  <c r="BW85" i="68"/>
  <c r="BV85" i="68" s="1"/>
  <c r="BY85" i="68"/>
  <c r="BX85" i="68" s="1"/>
  <c r="CA85" i="68"/>
  <c r="BZ85" i="68" s="1"/>
  <c r="Y87" i="68"/>
  <c r="AC87" i="68"/>
  <c r="AG87" i="68"/>
  <c r="AK87" i="68"/>
  <c r="AO87" i="68"/>
  <c r="AY87" i="68"/>
  <c r="BI87" i="68"/>
  <c r="BH87" i="68" s="1"/>
  <c r="BK87" i="68"/>
  <c r="BJ87" i="68" s="1"/>
  <c r="BM87" i="68"/>
  <c r="BL87" i="68" s="1"/>
  <c r="BO87" i="68"/>
  <c r="BN87" i="68" s="1"/>
  <c r="BQ87" i="68"/>
  <c r="BP87" i="68" s="1"/>
  <c r="BS87" i="68"/>
  <c r="BR87" i="68" s="1"/>
  <c r="BU87" i="68"/>
  <c r="BT87" i="68" s="1"/>
  <c r="BW87" i="68"/>
  <c r="BV87" i="68" s="1"/>
  <c r="BY87" i="68"/>
  <c r="BX87" i="68" s="1"/>
  <c r="CA87" i="68"/>
  <c r="BZ87" i="68" s="1"/>
  <c r="Y89" i="68"/>
  <c r="AC89" i="68"/>
  <c r="AG89" i="68"/>
  <c r="AK89" i="68"/>
  <c r="AO89" i="68"/>
  <c r="AY89" i="68"/>
  <c r="BI89" i="68"/>
  <c r="BH89" i="68" s="1"/>
  <c r="BK89" i="68"/>
  <c r="BJ89" i="68" s="1"/>
  <c r="BM89" i="68"/>
  <c r="BL89" i="68" s="1"/>
  <c r="BO89" i="68"/>
  <c r="BN89" i="68" s="1"/>
  <c r="BQ89" i="68"/>
  <c r="BP89" i="68" s="1"/>
  <c r="BS89" i="68"/>
  <c r="BR89" i="68" s="1"/>
  <c r="BU89" i="68"/>
  <c r="BT89" i="68" s="1"/>
  <c r="BW89" i="68"/>
  <c r="BV89" i="68" s="1"/>
  <c r="BY89" i="68"/>
  <c r="BX89" i="68" s="1"/>
  <c r="CA89" i="68"/>
  <c r="BZ89" i="68" s="1"/>
  <c r="Y91" i="68"/>
  <c r="AC91" i="68"/>
  <c r="AG91" i="68"/>
  <c r="AK91" i="68"/>
  <c r="AO91" i="68"/>
  <c r="AY91" i="68"/>
  <c r="BI91" i="68"/>
  <c r="BH91" i="68" s="1"/>
  <c r="BK91" i="68"/>
  <c r="BJ91" i="68" s="1"/>
  <c r="BM91" i="68"/>
  <c r="BL91" i="68" s="1"/>
  <c r="BO91" i="68"/>
  <c r="BN91" i="68" s="1"/>
  <c r="BQ91" i="68"/>
  <c r="BP91" i="68" s="1"/>
  <c r="BS91" i="68"/>
  <c r="BR91" i="68" s="1"/>
  <c r="BU91" i="68"/>
  <c r="BT91" i="68" s="1"/>
  <c r="BW91" i="68"/>
  <c r="BV91" i="68" s="1"/>
  <c r="BY91" i="68"/>
  <c r="BX91" i="68" s="1"/>
  <c r="CA91" i="68"/>
  <c r="BZ91" i="68" s="1"/>
  <c r="Y93" i="68"/>
  <c r="AC93" i="68"/>
  <c r="AG93" i="68"/>
  <c r="AK93" i="68"/>
  <c r="AO93" i="68"/>
  <c r="AY93" i="68"/>
  <c r="BI93" i="68"/>
  <c r="BH93" i="68" s="1"/>
  <c r="BK93" i="68"/>
  <c r="BJ93" i="68" s="1"/>
  <c r="BM93" i="68"/>
  <c r="BL93" i="68" s="1"/>
  <c r="BO93" i="68"/>
  <c r="BN93" i="68" s="1"/>
  <c r="BQ93" i="68"/>
  <c r="BP93" i="68" s="1"/>
  <c r="BS93" i="68"/>
  <c r="BR93" i="68" s="1"/>
  <c r="BU93" i="68"/>
  <c r="BT93" i="68" s="1"/>
  <c r="BW93" i="68"/>
  <c r="BV93" i="68" s="1"/>
  <c r="BY93" i="68"/>
  <c r="BX93" i="68" s="1"/>
  <c r="CA93" i="68"/>
  <c r="BZ93" i="68" s="1"/>
  <c r="Y95" i="68"/>
  <c r="AC95" i="68"/>
  <c r="AG95" i="68"/>
  <c r="AK95" i="68"/>
  <c r="AO95" i="68"/>
  <c r="AY95" i="68"/>
  <c r="BI95" i="68"/>
  <c r="BH95" i="68" s="1"/>
  <c r="BK95" i="68"/>
  <c r="BJ95" i="68" s="1"/>
  <c r="BM95" i="68"/>
  <c r="BL95" i="68" s="1"/>
  <c r="BO95" i="68"/>
  <c r="BN95" i="68" s="1"/>
  <c r="BQ95" i="68"/>
  <c r="BP95" i="68" s="1"/>
  <c r="BS95" i="68"/>
  <c r="BR95" i="68" s="1"/>
  <c r="BU95" i="68"/>
  <c r="BT95" i="68" s="1"/>
  <c r="BW95" i="68"/>
  <c r="BV95" i="68" s="1"/>
  <c r="BY95" i="68"/>
  <c r="BX95" i="68" s="1"/>
  <c r="CA95" i="68"/>
  <c r="BZ95" i="68" s="1"/>
  <c r="Y97" i="68"/>
  <c r="AC97" i="68"/>
  <c r="AG97" i="68"/>
  <c r="AK97" i="68"/>
  <c r="AO97" i="68"/>
  <c r="AY97" i="68"/>
  <c r="BI97" i="68"/>
  <c r="BH97" i="68" s="1"/>
  <c r="BK97" i="68"/>
  <c r="BJ97" i="68" s="1"/>
  <c r="BM97" i="68"/>
  <c r="BL97" i="68" s="1"/>
  <c r="BO97" i="68"/>
  <c r="BN97" i="68" s="1"/>
  <c r="BQ97" i="68"/>
  <c r="BP97" i="68" s="1"/>
  <c r="BS97" i="68"/>
  <c r="BR97" i="68" s="1"/>
  <c r="BU97" i="68"/>
  <c r="BT97" i="68" s="1"/>
  <c r="BW97" i="68"/>
  <c r="BV97" i="68" s="1"/>
  <c r="BY97" i="68"/>
  <c r="BX97" i="68" s="1"/>
  <c r="CA97" i="68"/>
  <c r="BZ97" i="68" s="1"/>
  <c r="Y99" i="68"/>
  <c r="AC99" i="68"/>
  <c r="AG99" i="68"/>
  <c r="AK99" i="68"/>
  <c r="AO99" i="68"/>
  <c r="AY99" i="68"/>
  <c r="BI99" i="68"/>
  <c r="BH99" i="68" s="1"/>
  <c r="BK99" i="68"/>
  <c r="BJ99" i="68" s="1"/>
  <c r="BM99" i="68"/>
  <c r="BL99" i="68" s="1"/>
  <c r="BO99" i="68"/>
  <c r="BN99" i="68" s="1"/>
  <c r="BQ99" i="68"/>
  <c r="BP99" i="68" s="1"/>
  <c r="BS99" i="68"/>
  <c r="BR99" i="68" s="1"/>
  <c r="BU99" i="68"/>
  <c r="BT99" i="68" s="1"/>
  <c r="BW99" i="68"/>
  <c r="BV99" i="68" s="1"/>
  <c r="BY99" i="68"/>
  <c r="BX99" i="68" s="1"/>
  <c r="CA99" i="68"/>
  <c r="BZ99" i="68" s="1"/>
  <c r="Y101" i="68"/>
  <c r="AC101" i="68"/>
  <c r="AG101" i="68"/>
  <c r="AK101" i="68"/>
  <c r="AO101" i="68"/>
  <c r="AY101" i="68"/>
  <c r="BI101" i="68"/>
  <c r="BH101" i="68" s="1"/>
  <c r="BK101" i="68"/>
  <c r="BJ101" i="68" s="1"/>
  <c r="BM101" i="68"/>
  <c r="BL101" i="68" s="1"/>
  <c r="BO101" i="68"/>
  <c r="BN101" i="68" s="1"/>
  <c r="BQ101" i="68"/>
  <c r="BP101" i="68" s="1"/>
  <c r="BS101" i="68"/>
  <c r="BR101" i="68" s="1"/>
  <c r="BU101" i="68"/>
  <c r="BT101" i="68" s="1"/>
  <c r="BW101" i="68"/>
  <c r="BV101" i="68" s="1"/>
  <c r="BY101" i="68"/>
  <c r="BX101" i="68" s="1"/>
  <c r="CA101" i="68"/>
  <c r="BZ101" i="68" s="1"/>
  <c r="W103" i="68"/>
  <c r="AA103" i="68"/>
  <c r="AE103" i="68"/>
  <c r="AI103" i="68"/>
  <c r="AM103" i="68"/>
  <c r="AX103" i="68"/>
  <c r="BD103" i="68"/>
  <c r="W105" i="68"/>
  <c r="AA105" i="68"/>
  <c r="AE105" i="68"/>
  <c r="AI105" i="68"/>
  <c r="AM105" i="68"/>
  <c r="AX105" i="68"/>
  <c r="BD105" i="68"/>
  <c r="Y107" i="68"/>
  <c r="AC107" i="68"/>
  <c r="AG107" i="68"/>
  <c r="AK107" i="68"/>
  <c r="AO107" i="68"/>
  <c r="AY107" i="68"/>
  <c r="BI107" i="68"/>
  <c r="BH107" i="68" s="1"/>
  <c r="BK107" i="68"/>
  <c r="BJ107" i="68" s="1"/>
  <c r="BM107" i="68"/>
  <c r="BL107" i="68" s="1"/>
  <c r="BO107" i="68"/>
  <c r="BN107" i="68" s="1"/>
  <c r="BQ107" i="68"/>
  <c r="BP107" i="68" s="1"/>
  <c r="BS107" i="68"/>
  <c r="BR107" i="68" s="1"/>
  <c r="BU107" i="68"/>
  <c r="BT107" i="68" s="1"/>
  <c r="BW107" i="68"/>
  <c r="BV107" i="68" s="1"/>
  <c r="BY107" i="68"/>
  <c r="BX107" i="68" s="1"/>
  <c r="CA107" i="68"/>
  <c r="BZ107" i="68" s="1"/>
  <c r="Y109" i="68"/>
  <c r="AC109" i="68"/>
  <c r="AG109" i="68"/>
  <c r="AK109" i="68"/>
  <c r="AO109" i="68"/>
  <c r="AY109" i="68"/>
  <c r="BI109" i="68"/>
  <c r="BH109" i="68" s="1"/>
  <c r="BK109" i="68"/>
  <c r="BJ109" i="68" s="1"/>
  <c r="BM109" i="68"/>
  <c r="BL109" i="68" s="1"/>
  <c r="BO109" i="68"/>
  <c r="BN109" i="68" s="1"/>
  <c r="BQ109" i="68"/>
  <c r="BP109" i="68" s="1"/>
  <c r="BS109" i="68"/>
  <c r="BR109" i="68" s="1"/>
  <c r="BU109" i="68"/>
  <c r="BT109" i="68" s="1"/>
  <c r="BW109" i="68"/>
  <c r="BV109" i="68" s="1"/>
  <c r="BY109" i="68"/>
  <c r="BX109" i="68" s="1"/>
  <c r="CA109" i="68"/>
  <c r="BZ109" i="68" s="1"/>
  <c r="Y111" i="68"/>
  <c r="AC111" i="68"/>
  <c r="AG111" i="68"/>
  <c r="AK111" i="68"/>
  <c r="AO111" i="68"/>
  <c r="AY111" i="68"/>
  <c r="BI111" i="68"/>
  <c r="BH111" i="68" s="1"/>
  <c r="BK111" i="68"/>
  <c r="BJ111" i="68" s="1"/>
  <c r="BM111" i="68"/>
  <c r="BL111" i="68" s="1"/>
  <c r="BO111" i="68"/>
  <c r="BN111" i="68" s="1"/>
  <c r="BQ111" i="68"/>
  <c r="BP111" i="68" s="1"/>
  <c r="BS111" i="68"/>
  <c r="BR111" i="68" s="1"/>
  <c r="BU111" i="68"/>
  <c r="BT111" i="68" s="1"/>
  <c r="BW111" i="68"/>
  <c r="BV111" i="68" s="1"/>
  <c r="BY111" i="68"/>
  <c r="BX111" i="68" s="1"/>
  <c r="CA111" i="68"/>
  <c r="BZ111" i="68" s="1"/>
  <c r="W113" i="68"/>
  <c r="AA113" i="68"/>
  <c r="AE113" i="68"/>
  <c r="AI113" i="68"/>
  <c r="AM113" i="68"/>
  <c r="AX113" i="68"/>
  <c r="BD113" i="68"/>
  <c r="W115" i="68"/>
  <c r="AA115" i="68"/>
  <c r="AE115" i="68"/>
  <c r="AI115" i="68"/>
  <c r="AM115" i="68"/>
  <c r="AX115" i="68"/>
  <c r="BD115" i="68"/>
  <c r="W117" i="68"/>
  <c r="AA117" i="68"/>
  <c r="AE117" i="68"/>
  <c r="AI117" i="68"/>
  <c r="AM117" i="68"/>
  <c r="AX117" i="68"/>
  <c r="BD117" i="68"/>
  <c r="W119" i="68"/>
  <c r="AA119" i="68"/>
  <c r="AE119" i="68"/>
  <c r="AI119" i="68"/>
  <c r="AM119" i="68"/>
  <c r="AX119" i="68"/>
  <c r="BD119" i="68"/>
  <c r="W121" i="68"/>
  <c r="AA121" i="68"/>
  <c r="AE121" i="68"/>
  <c r="AI121" i="68"/>
  <c r="AM121" i="68"/>
  <c r="AX121" i="68"/>
  <c r="BD121" i="68"/>
  <c r="W123" i="68"/>
  <c r="AA123" i="68"/>
  <c r="AE123" i="68"/>
  <c r="AI123" i="68"/>
  <c r="AM123" i="68"/>
  <c r="AX123" i="68"/>
  <c r="BD123" i="68"/>
  <c r="Y125" i="68"/>
  <c r="AC125" i="68"/>
  <c r="AG125" i="68"/>
  <c r="AK125" i="68"/>
  <c r="AO125" i="68"/>
  <c r="AY125" i="68"/>
  <c r="BI125" i="68"/>
  <c r="BH125" i="68" s="1"/>
  <c r="BK125" i="68"/>
  <c r="BJ125" i="68" s="1"/>
  <c r="BM125" i="68"/>
  <c r="BL125" i="68" s="1"/>
  <c r="BO125" i="68"/>
  <c r="BN125" i="68" s="1"/>
  <c r="BQ125" i="68"/>
  <c r="BP125" i="68" s="1"/>
  <c r="BS125" i="68"/>
  <c r="BR125" i="68" s="1"/>
  <c r="BU125" i="68"/>
  <c r="BT125" i="68" s="1"/>
  <c r="BW125" i="68"/>
  <c r="BV125" i="68" s="1"/>
  <c r="BY125" i="68"/>
  <c r="BX125" i="68" s="1"/>
  <c r="CA125" i="68"/>
  <c r="BZ125" i="68" s="1"/>
  <c r="Y127" i="68"/>
  <c r="AC127" i="68"/>
  <c r="AG127" i="68"/>
  <c r="AK127" i="68"/>
  <c r="AO127" i="68"/>
  <c r="AY127" i="68"/>
  <c r="BI127" i="68"/>
  <c r="BH127" i="68" s="1"/>
  <c r="BK127" i="68"/>
  <c r="BJ127" i="68" s="1"/>
  <c r="BM127" i="68"/>
  <c r="BL127" i="68" s="1"/>
  <c r="BO127" i="68"/>
  <c r="BN127" i="68" s="1"/>
  <c r="BQ127" i="68"/>
  <c r="BP127" i="68" s="1"/>
  <c r="BS127" i="68"/>
  <c r="BR127" i="68" s="1"/>
  <c r="BU127" i="68"/>
  <c r="BT127" i="68" s="1"/>
  <c r="BW127" i="68"/>
  <c r="BV127" i="68" s="1"/>
  <c r="BY127" i="68"/>
  <c r="BX127" i="68" s="1"/>
  <c r="CA127" i="68"/>
  <c r="BZ127" i="68" s="1"/>
  <c r="Y129" i="68"/>
  <c r="AC129" i="68"/>
  <c r="AG129" i="68"/>
  <c r="AK129" i="68"/>
  <c r="AO129" i="68"/>
  <c r="AY129" i="68"/>
  <c r="BI129" i="68"/>
  <c r="BH129" i="68" s="1"/>
  <c r="BK129" i="68"/>
  <c r="BJ129" i="68" s="1"/>
  <c r="BM129" i="68"/>
  <c r="BL129" i="68" s="1"/>
  <c r="BO129" i="68"/>
  <c r="BN129" i="68" s="1"/>
  <c r="BQ129" i="68"/>
  <c r="BP129" i="68" s="1"/>
  <c r="BS129" i="68"/>
  <c r="BR129" i="68" s="1"/>
  <c r="BU129" i="68"/>
  <c r="BT129" i="68" s="1"/>
  <c r="BW129" i="68"/>
  <c r="BV129" i="68" s="1"/>
  <c r="BY129" i="68"/>
  <c r="BX129" i="68" s="1"/>
  <c r="CA129" i="68"/>
  <c r="BZ129" i="68" s="1"/>
  <c r="W131" i="68"/>
  <c r="AA131" i="68"/>
  <c r="AE131" i="68"/>
  <c r="AI131" i="68"/>
  <c r="AM131" i="68"/>
  <c r="AX131" i="68"/>
  <c r="BD131" i="68"/>
  <c r="W133" i="68"/>
  <c r="AA133" i="68"/>
  <c r="AE133" i="68"/>
  <c r="AI133" i="68"/>
  <c r="AM133" i="68"/>
  <c r="AX133" i="68"/>
  <c r="BD133" i="68"/>
  <c r="W135" i="68"/>
  <c r="AA135" i="68"/>
  <c r="AE135" i="68"/>
  <c r="AI135" i="68"/>
  <c r="AM135" i="68"/>
  <c r="AX135" i="68"/>
  <c r="BD135" i="68"/>
  <c r="W137" i="68"/>
  <c r="AA137" i="68"/>
  <c r="AE137" i="68"/>
  <c r="AI137" i="68"/>
  <c r="AM137" i="68"/>
  <c r="AX137" i="68"/>
  <c r="BD137" i="68"/>
  <c r="W139" i="68"/>
  <c r="AA139" i="68"/>
  <c r="AE139" i="68"/>
  <c r="AI139" i="68"/>
  <c r="AM139" i="68"/>
  <c r="AX139" i="68"/>
  <c r="BD139" i="68"/>
  <c r="W141" i="68"/>
  <c r="AA141" i="68"/>
  <c r="AE141" i="68"/>
  <c r="AI141" i="68"/>
  <c r="AM141" i="68"/>
  <c r="AX141" i="68"/>
  <c r="BD141" i="68"/>
  <c r="Y143" i="68"/>
  <c r="AC143" i="68"/>
  <c r="AG143" i="68"/>
  <c r="AK143" i="68"/>
  <c r="AO143" i="68"/>
  <c r="AY143" i="68"/>
  <c r="BI143" i="68"/>
  <c r="BH143" i="68" s="1"/>
  <c r="BK143" i="68"/>
  <c r="BJ143" i="68" s="1"/>
  <c r="BM143" i="68"/>
  <c r="BL143" i="68" s="1"/>
  <c r="BO143" i="68"/>
  <c r="BN143" i="68" s="1"/>
  <c r="BQ143" i="68"/>
  <c r="BP143" i="68" s="1"/>
  <c r="BS143" i="68"/>
  <c r="BR143" i="68" s="1"/>
  <c r="BU143" i="68"/>
  <c r="BT143" i="68" s="1"/>
  <c r="BW143" i="68"/>
  <c r="BV143" i="68" s="1"/>
  <c r="BY143" i="68"/>
  <c r="BX143" i="68" s="1"/>
  <c r="CA143" i="68"/>
  <c r="BZ143" i="68" s="1"/>
  <c r="Y145" i="68"/>
  <c r="AC145" i="68"/>
  <c r="AG145" i="68"/>
  <c r="AK145" i="68"/>
  <c r="AO145" i="68"/>
  <c r="AY145" i="68"/>
  <c r="BI145" i="68"/>
  <c r="BH145" i="68" s="1"/>
  <c r="BK145" i="68"/>
  <c r="BJ145" i="68" s="1"/>
  <c r="BM145" i="68"/>
  <c r="BL145" i="68" s="1"/>
  <c r="BO145" i="68"/>
  <c r="BN145" i="68" s="1"/>
  <c r="BQ145" i="68"/>
  <c r="BP145" i="68" s="1"/>
  <c r="BS145" i="68"/>
  <c r="BR145" i="68" s="1"/>
  <c r="BU145" i="68"/>
  <c r="BT145" i="68" s="1"/>
  <c r="BW145" i="68"/>
  <c r="BV145" i="68" s="1"/>
  <c r="BY145" i="68"/>
  <c r="BX145" i="68" s="1"/>
  <c r="CA145" i="68"/>
  <c r="BZ145" i="68" s="1"/>
  <c r="W147" i="68"/>
  <c r="AA147" i="68"/>
  <c r="AE147" i="68"/>
  <c r="AI147" i="68"/>
  <c r="AM147" i="68"/>
  <c r="AX147" i="68"/>
  <c r="BD147" i="68"/>
  <c r="W149" i="68"/>
  <c r="AA149" i="68"/>
  <c r="AE149" i="68"/>
  <c r="AI149" i="68"/>
  <c r="AM149" i="68"/>
  <c r="AX149" i="68"/>
  <c r="BD149" i="68"/>
  <c r="W151" i="68"/>
  <c r="AA151" i="68"/>
  <c r="AE151" i="68"/>
  <c r="AI151" i="68"/>
  <c r="AM151" i="68"/>
  <c r="AX151" i="68"/>
  <c r="BD151" i="68"/>
  <c r="W153" i="68"/>
  <c r="AA153" i="68"/>
  <c r="AE153" i="68"/>
  <c r="AI153" i="68"/>
  <c r="AM153" i="68"/>
  <c r="AX153" i="68"/>
  <c r="BD153" i="68"/>
  <c r="W155" i="68"/>
  <c r="AA155" i="68"/>
  <c r="AE155" i="68"/>
  <c r="AI155" i="68"/>
  <c r="AM155" i="68"/>
  <c r="AX155" i="68"/>
  <c r="BD155" i="68"/>
  <c r="W157" i="68"/>
  <c r="AA157" i="68"/>
  <c r="AE157" i="68"/>
  <c r="AI157" i="68"/>
  <c r="AM157" i="68"/>
  <c r="AX157" i="68"/>
  <c r="BD157" i="68"/>
  <c r="W159" i="68"/>
  <c r="AA159" i="68"/>
  <c r="AE159" i="68"/>
  <c r="AI159" i="68"/>
  <c r="AM159" i="68"/>
  <c r="AX159" i="68"/>
  <c r="BD159" i="68"/>
  <c r="W161" i="68"/>
  <c r="AA161" i="68"/>
  <c r="AE161" i="68"/>
  <c r="AI161" i="68"/>
  <c r="AM161" i="68"/>
  <c r="AX161" i="68"/>
  <c r="BD161" i="68"/>
  <c r="W163" i="68"/>
  <c r="AA163" i="68"/>
  <c r="AE163" i="68"/>
  <c r="AI163" i="68"/>
  <c r="AM163" i="68"/>
  <c r="AX163" i="68"/>
  <c r="BD163" i="68"/>
  <c r="W165" i="68"/>
  <c r="AA165" i="68"/>
  <c r="AE165" i="68"/>
  <c r="AI165" i="68"/>
  <c r="AM165" i="68"/>
  <c r="AX165" i="68"/>
  <c r="BD165" i="68"/>
  <c r="W167" i="68"/>
  <c r="AA167" i="68"/>
  <c r="AE167" i="68"/>
  <c r="AI167" i="68"/>
  <c r="AM167" i="68"/>
  <c r="AX167" i="68"/>
  <c r="BD167" i="68"/>
  <c r="Y169" i="68"/>
  <c r="AC169" i="68"/>
  <c r="AG169" i="68"/>
  <c r="AK169" i="68"/>
  <c r="AO169" i="68"/>
  <c r="AY169" i="68"/>
  <c r="BI169" i="68"/>
  <c r="BH169" i="68" s="1"/>
  <c r="BK169" i="68"/>
  <c r="BJ169" i="68" s="1"/>
  <c r="BM169" i="68"/>
  <c r="BL169" i="68" s="1"/>
  <c r="BO169" i="68"/>
  <c r="BN169" i="68" s="1"/>
  <c r="BQ169" i="68"/>
  <c r="BP169" i="68" s="1"/>
  <c r="BS169" i="68"/>
  <c r="BR169" i="68" s="1"/>
  <c r="BU169" i="68"/>
  <c r="BT169" i="68" s="1"/>
  <c r="BW169" i="68"/>
  <c r="BV169" i="68" s="1"/>
  <c r="BY169" i="68"/>
  <c r="BX169" i="68" s="1"/>
  <c r="CA169" i="68"/>
  <c r="BZ169" i="68" s="1"/>
  <c r="Y171" i="68"/>
  <c r="AC171" i="68"/>
  <c r="AG171" i="68"/>
  <c r="AK171" i="68"/>
  <c r="AO171" i="68"/>
  <c r="AY171" i="68"/>
  <c r="BI171" i="68"/>
  <c r="BH171" i="68" s="1"/>
  <c r="BK171" i="68"/>
  <c r="BJ171" i="68" s="1"/>
  <c r="BM171" i="68"/>
  <c r="BL171" i="68" s="1"/>
  <c r="BO171" i="68"/>
  <c r="BN171" i="68" s="1"/>
  <c r="BQ171" i="68"/>
  <c r="BP171" i="68" s="1"/>
  <c r="BS171" i="68"/>
  <c r="BR171" i="68" s="1"/>
  <c r="BU171" i="68"/>
  <c r="BT171" i="68" s="1"/>
  <c r="BW171" i="68"/>
  <c r="BV171" i="68" s="1"/>
  <c r="BY171" i="68"/>
  <c r="BX171" i="68" s="1"/>
  <c r="CA171" i="68"/>
  <c r="BZ171" i="68" s="1"/>
  <c r="Y173" i="68"/>
  <c r="AC173" i="68"/>
  <c r="AG173" i="68"/>
  <c r="AK173" i="68"/>
  <c r="AO173" i="68"/>
  <c r="AY173" i="68"/>
  <c r="BI173" i="68"/>
  <c r="BH173" i="68" s="1"/>
  <c r="BK173" i="68"/>
  <c r="BJ173" i="68" s="1"/>
  <c r="BM173" i="68"/>
  <c r="BL173" i="68" s="1"/>
  <c r="BO173" i="68"/>
  <c r="BN173" i="68" s="1"/>
  <c r="BQ173" i="68"/>
  <c r="BP173" i="68" s="1"/>
  <c r="BS173" i="68"/>
  <c r="BR173" i="68" s="1"/>
  <c r="BU173" i="68"/>
  <c r="BT173" i="68" s="1"/>
  <c r="BW173" i="68"/>
  <c r="BV173" i="68" s="1"/>
  <c r="BY173" i="68"/>
  <c r="BX173" i="68" s="1"/>
  <c r="CA173" i="68"/>
  <c r="BZ173" i="68" s="1"/>
  <c r="Y175" i="68"/>
  <c r="AC175" i="68"/>
  <c r="AG175" i="68"/>
  <c r="AK175" i="68"/>
  <c r="AO175" i="68"/>
  <c r="AY175" i="68"/>
  <c r="BI175" i="68"/>
  <c r="BH175" i="68" s="1"/>
  <c r="BK175" i="68"/>
  <c r="BJ175" i="68" s="1"/>
  <c r="BM175" i="68"/>
  <c r="BL175" i="68" s="1"/>
  <c r="BO175" i="68"/>
  <c r="BN175" i="68" s="1"/>
  <c r="BQ175" i="68"/>
  <c r="BP175" i="68" s="1"/>
  <c r="BS175" i="68"/>
  <c r="BR175" i="68" s="1"/>
  <c r="BU175" i="68"/>
  <c r="BT175" i="68" s="1"/>
  <c r="BW175" i="68"/>
  <c r="BV175" i="68" s="1"/>
  <c r="BY175" i="68"/>
  <c r="BX175" i="68" s="1"/>
  <c r="CA175" i="68"/>
  <c r="BZ175" i="68" s="1"/>
  <c r="Y177" i="68"/>
  <c r="AC177" i="68"/>
  <c r="AG177" i="68"/>
  <c r="AK177" i="68"/>
  <c r="AO177" i="68"/>
  <c r="AY177" i="68"/>
  <c r="BI177" i="68"/>
  <c r="BH177" i="68" s="1"/>
  <c r="BK177" i="68"/>
  <c r="BJ177" i="68" s="1"/>
  <c r="BM177" i="68"/>
  <c r="BL177" i="68" s="1"/>
  <c r="BO177" i="68"/>
  <c r="BN177" i="68" s="1"/>
  <c r="BQ177" i="68"/>
  <c r="BP177" i="68" s="1"/>
  <c r="BS177" i="68"/>
  <c r="BR177" i="68" s="1"/>
  <c r="BU177" i="68"/>
  <c r="BT177" i="68" s="1"/>
  <c r="BW177" i="68"/>
  <c r="BV177" i="68" s="1"/>
  <c r="BY177" i="68"/>
  <c r="BX177" i="68" s="1"/>
  <c r="CA177" i="68"/>
  <c r="BZ177" i="68" s="1"/>
  <c r="Y179" i="68"/>
  <c r="AC179" i="68"/>
  <c r="AG179" i="68"/>
  <c r="AK179" i="68"/>
  <c r="AO179" i="68"/>
  <c r="AY179" i="68"/>
  <c r="BI179" i="68"/>
  <c r="BH179" i="68" s="1"/>
  <c r="BK179" i="68"/>
  <c r="BJ179" i="68" s="1"/>
  <c r="BM179" i="68"/>
  <c r="BL179" i="68" s="1"/>
  <c r="BO179" i="68"/>
  <c r="BN179" i="68" s="1"/>
  <c r="BQ179" i="68"/>
  <c r="BP179" i="68" s="1"/>
  <c r="BS179" i="68"/>
  <c r="BR179" i="68" s="1"/>
  <c r="BU179" i="68"/>
  <c r="BT179" i="68" s="1"/>
  <c r="BW179" i="68"/>
  <c r="BV179" i="68" s="1"/>
  <c r="BY179" i="68"/>
  <c r="BX179" i="68" s="1"/>
  <c r="CA179" i="68"/>
  <c r="BZ179" i="68" s="1"/>
  <c r="Y181" i="68"/>
  <c r="AC181" i="68"/>
  <c r="AG181" i="68"/>
  <c r="AK181" i="68"/>
  <c r="AO181" i="68"/>
  <c r="AY181" i="68"/>
  <c r="BI181" i="68"/>
  <c r="BH181" i="68" s="1"/>
  <c r="BK181" i="68"/>
  <c r="BJ181" i="68" s="1"/>
  <c r="BM181" i="68"/>
  <c r="BL181" i="68" s="1"/>
  <c r="BO181" i="68"/>
  <c r="BN181" i="68" s="1"/>
  <c r="BQ181" i="68"/>
  <c r="BP181" i="68" s="1"/>
  <c r="BS181" i="68"/>
  <c r="BR181" i="68" s="1"/>
  <c r="BU181" i="68"/>
  <c r="BT181" i="68" s="1"/>
  <c r="BW181" i="68"/>
  <c r="BV181" i="68" s="1"/>
  <c r="BY181" i="68"/>
  <c r="BX181" i="68" s="1"/>
  <c r="CA181" i="68"/>
  <c r="BZ181" i="68" s="1"/>
  <c r="Y183" i="68"/>
  <c r="AC183" i="68"/>
  <c r="AG183" i="68"/>
  <c r="AK183" i="68"/>
  <c r="AO183" i="68"/>
  <c r="AY183" i="68"/>
  <c r="BI183" i="68"/>
  <c r="BH183" i="68" s="1"/>
  <c r="BK183" i="68"/>
  <c r="BJ183" i="68" s="1"/>
  <c r="BM183" i="68"/>
  <c r="BL183" i="68" s="1"/>
  <c r="BO183" i="68"/>
  <c r="BN183" i="68" s="1"/>
  <c r="BQ183" i="68"/>
  <c r="BP183" i="68" s="1"/>
  <c r="BS183" i="68"/>
  <c r="BR183" i="68" s="1"/>
  <c r="BU183" i="68"/>
  <c r="BT183" i="68" s="1"/>
  <c r="BW183" i="68"/>
  <c r="BV183" i="68" s="1"/>
  <c r="BY183" i="68"/>
  <c r="BX183" i="68" s="1"/>
  <c r="CA183" i="68"/>
  <c r="BZ183" i="68" s="1"/>
  <c r="Y185" i="68"/>
  <c r="AC185" i="68"/>
  <c r="AG185" i="68"/>
  <c r="AK185" i="68"/>
  <c r="AO185" i="68"/>
  <c r="AY185" i="68"/>
  <c r="BI185" i="68"/>
  <c r="BH185" i="68" s="1"/>
  <c r="BK185" i="68"/>
  <c r="BJ185" i="68" s="1"/>
  <c r="BM185" i="68"/>
  <c r="BL185" i="68" s="1"/>
  <c r="BO185" i="68"/>
  <c r="BN185" i="68" s="1"/>
  <c r="BQ185" i="68"/>
  <c r="BP185" i="68" s="1"/>
  <c r="BS185" i="68"/>
  <c r="BR185" i="68" s="1"/>
  <c r="BU185" i="68"/>
  <c r="BT185" i="68" s="1"/>
  <c r="BW185" i="68"/>
  <c r="BV185" i="68" s="1"/>
  <c r="BY185" i="68"/>
  <c r="BX185" i="68" s="1"/>
  <c r="CA185" i="68"/>
  <c r="BZ185" i="68" s="1"/>
  <c r="Y187" i="68"/>
  <c r="AC187" i="68"/>
  <c r="AG187" i="68"/>
  <c r="AK187" i="68"/>
  <c r="AO187" i="68"/>
  <c r="AY187" i="68"/>
  <c r="BI187" i="68"/>
  <c r="BH187" i="68" s="1"/>
  <c r="BK187" i="68"/>
  <c r="BJ187" i="68" s="1"/>
  <c r="BM187" i="68"/>
  <c r="BL187" i="68" s="1"/>
  <c r="BO187" i="68"/>
  <c r="BN187" i="68" s="1"/>
  <c r="BQ187" i="68"/>
  <c r="BP187" i="68" s="1"/>
  <c r="BS187" i="68"/>
  <c r="BR187" i="68" s="1"/>
  <c r="BU187" i="68"/>
  <c r="BT187" i="68" s="1"/>
  <c r="BW187" i="68"/>
  <c r="BV187" i="68" s="1"/>
  <c r="BY187" i="68"/>
  <c r="BX187" i="68" s="1"/>
  <c r="CA187" i="68"/>
  <c r="BZ187" i="68" s="1"/>
  <c r="Y189" i="68"/>
  <c r="AC189" i="68"/>
  <c r="AG189" i="68"/>
  <c r="AK189" i="68"/>
  <c r="AO189" i="68"/>
  <c r="AY189" i="68"/>
  <c r="BI189" i="68"/>
  <c r="BH189" i="68" s="1"/>
  <c r="BK189" i="68"/>
  <c r="BJ189" i="68" s="1"/>
  <c r="BM189" i="68"/>
  <c r="BL189" i="68" s="1"/>
  <c r="BO189" i="68"/>
  <c r="BN189" i="68" s="1"/>
  <c r="BQ189" i="68"/>
  <c r="BP189" i="68" s="1"/>
  <c r="BS189" i="68"/>
  <c r="BR189" i="68" s="1"/>
  <c r="BU189" i="68"/>
  <c r="BT189" i="68" s="1"/>
  <c r="BW189" i="68"/>
  <c r="BV189" i="68" s="1"/>
  <c r="BY189" i="68"/>
  <c r="BX189" i="68" s="1"/>
  <c r="CA189" i="68"/>
  <c r="BZ189" i="68" s="1"/>
  <c r="W191" i="68"/>
  <c r="AA191" i="68"/>
  <c r="AE191" i="68"/>
  <c r="AI191" i="68"/>
  <c r="AM191" i="68"/>
  <c r="AX191" i="68"/>
  <c r="BD191" i="68"/>
  <c r="W193" i="68"/>
  <c r="AA193" i="68"/>
  <c r="AE193" i="68"/>
  <c r="AI193" i="68"/>
  <c r="AM193" i="68"/>
  <c r="AX193" i="68"/>
  <c r="BD193" i="68"/>
  <c r="W195" i="68"/>
  <c r="AA195" i="68"/>
  <c r="AE195" i="68"/>
  <c r="AI195" i="68"/>
  <c r="AM195" i="68"/>
  <c r="AX195" i="68"/>
  <c r="BD195" i="68"/>
  <c r="W197" i="68"/>
  <c r="AA197" i="68"/>
  <c r="AE197" i="68"/>
  <c r="AI197" i="68"/>
  <c r="AM197" i="68"/>
  <c r="AX197" i="68"/>
  <c r="BD197" i="68"/>
  <c r="W199" i="68"/>
  <c r="AA199" i="68"/>
  <c r="AE199" i="68"/>
  <c r="AI199" i="68"/>
  <c r="AM199" i="68"/>
  <c r="AX199" i="68"/>
  <c r="BD199" i="68"/>
  <c r="W201" i="68"/>
  <c r="AA201" i="68"/>
  <c r="AE201" i="68"/>
  <c r="AI201" i="68"/>
  <c r="AM201" i="68"/>
  <c r="AX201" i="68"/>
  <c r="BD201" i="68"/>
  <c r="W203" i="68"/>
  <c r="AA203" i="68"/>
  <c r="AE203" i="68"/>
  <c r="AI203" i="68"/>
  <c r="AM203" i="68"/>
  <c r="AX203" i="68"/>
  <c r="BD203" i="68"/>
  <c r="W205" i="68"/>
  <c r="AA205" i="68"/>
  <c r="AE205" i="68"/>
  <c r="AI205" i="68"/>
  <c r="AM205" i="68"/>
  <c r="AX205" i="68"/>
  <c r="BD205" i="68"/>
  <c r="W207" i="68"/>
  <c r="AA207" i="68"/>
  <c r="AE207" i="68"/>
  <c r="AI207" i="68"/>
  <c r="AM207" i="68"/>
  <c r="AX207" i="68"/>
  <c r="BD207" i="68"/>
  <c r="W209" i="68"/>
  <c r="AA209" i="68"/>
  <c r="AE209" i="68"/>
  <c r="AI209" i="68"/>
  <c r="AM209" i="68"/>
  <c r="AX209" i="68"/>
  <c r="BD209" i="68"/>
  <c r="DB18" i="70"/>
  <c r="DA26" i="70"/>
  <c r="DA33" i="70" s="1"/>
  <c r="DA40" i="70" s="1"/>
  <c r="DA47" i="70" s="1"/>
  <c r="DA54" i="70" s="1"/>
  <c r="DA61" i="70" s="1"/>
  <c r="DA68" i="70" s="1"/>
  <c r="DA75" i="70" s="1"/>
  <c r="DA82" i="70" s="1"/>
  <c r="DA28" i="70"/>
  <c r="DA35" i="70" s="1"/>
  <c r="DA42" i="70" s="1"/>
  <c r="DA49" i="70" s="1"/>
  <c r="DA56" i="70" s="1"/>
  <c r="DA63" i="70" s="1"/>
  <c r="DA70" i="70" s="1"/>
  <c r="DA77" i="70" s="1"/>
  <c r="DA84" i="70" s="1"/>
  <c r="DA30" i="70"/>
  <c r="DA37" i="70" s="1"/>
  <c r="DA44" i="70" s="1"/>
  <c r="DA51" i="70" s="1"/>
  <c r="DA58" i="70" s="1"/>
  <c r="DA65" i="70" s="1"/>
  <c r="DA72" i="70" s="1"/>
  <c r="DA79" i="70" s="1"/>
  <c r="DA86" i="70" s="1"/>
  <c r="Y17" i="68"/>
  <c r="AC17" i="68"/>
  <c r="AG17" i="68"/>
  <c r="AK17" i="68"/>
  <c r="AO17" i="68"/>
  <c r="AY17" i="68"/>
  <c r="BI17" i="68"/>
  <c r="BK17" i="68"/>
  <c r="BM17" i="68"/>
  <c r="BO17" i="68"/>
  <c r="BQ17" i="68"/>
  <c r="BS17" i="68"/>
  <c r="BU17" i="68"/>
  <c r="BW17" i="68"/>
  <c r="BY17" i="68"/>
  <c r="CA17" i="68"/>
  <c r="Y19" i="68"/>
  <c r="AC19" i="68"/>
  <c r="AG19" i="68"/>
  <c r="AK19" i="68"/>
  <c r="AO19" i="68"/>
  <c r="AY19" i="68"/>
  <c r="BI19" i="68"/>
  <c r="BH19" i="68" s="1"/>
  <c r="BK19" i="68"/>
  <c r="BJ19" i="68" s="1"/>
  <c r="BM19" i="68"/>
  <c r="BL19" i="68" s="1"/>
  <c r="BO19" i="68"/>
  <c r="BN19" i="68" s="1"/>
  <c r="BQ19" i="68"/>
  <c r="BP19" i="68" s="1"/>
  <c r="BS19" i="68"/>
  <c r="BR19" i="68" s="1"/>
  <c r="BU19" i="68"/>
  <c r="BT19" i="68" s="1"/>
  <c r="BW19" i="68"/>
  <c r="BV19" i="68" s="1"/>
  <c r="BY19" i="68"/>
  <c r="BX19" i="68" s="1"/>
  <c r="CA19" i="68"/>
  <c r="BZ19" i="68" s="1"/>
  <c r="Y21" i="68"/>
  <c r="AC21" i="68"/>
  <c r="AG21" i="68"/>
  <c r="AK21" i="68"/>
  <c r="AO21" i="68"/>
  <c r="AY21" i="68"/>
  <c r="BI21" i="68"/>
  <c r="BH21" i="68" s="1"/>
  <c r="BK21" i="68"/>
  <c r="BJ21" i="68" s="1"/>
  <c r="BM21" i="68"/>
  <c r="BL21" i="68" s="1"/>
  <c r="BO21" i="68"/>
  <c r="BN21" i="68" s="1"/>
  <c r="BQ21" i="68"/>
  <c r="BP21" i="68" s="1"/>
  <c r="BS21" i="68"/>
  <c r="BR21" i="68" s="1"/>
  <c r="BU21" i="68"/>
  <c r="BT21" i="68" s="1"/>
  <c r="BW21" i="68"/>
  <c r="BV21" i="68" s="1"/>
  <c r="BY21" i="68"/>
  <c r="BX21" i="68" s="1"/>
  <c r="CA21" i="68"/>
  <c r="BZ21" i="68" s="1"/>
  <c r="W23" i="68"/>
  <c r="AA23" i="68"/>
  <c r="AE23" i="68"/>
  <c r="AI23" i="68"/>
  <c r="AM23" i="68"/>
  <c r="AX23" i="68"/>
  <c r="BD23" i="68"/>
  <c r="W25" i="68"/>
  <c r="AA25" i="68"/>
  <c r="AE25" i="68"/>
  <c r="AI25" i="68"/>
  <c r="AM25" i="68"/>
  <c r="AX25" i="68"/>
  <c r="BD25" i="68"/>
  <c r="W27" i="68"/>
  <c r="AA27" i="68"/>
  <c r="AE27" i="68"/>
  <c r="AI27" i="68"/>
  <c r="AM27" i="68"/>
  <c r="AX27" i="68"/>
  <c r="BD27" i="68"/>
  <c r="W29" i="68"/>
  <c r="AA29" i="68"/>
  <c r="AE29" i="68"/>
  <c r="AI29" i="68"/>
  <c r="AM29" i="68"/>
  <c r="AX29" i="68"/>
  <c r="BD29" i="68"/>
  <c r="W31" i="68"/>
  <c r="AA31" i="68"/>
  <c r="AE31" i="68"/>
  <c r="AI31" i="68"/>
  <c r="AM31" i="68"/>
  <c r="AX31" i="68"/>
  <c r="BD31" i="68"/>
  <c r="W33" i="68"/>
  <c r="AA33" i="68"/>
  <c r="AE33" i="68"/>
  <c r="AI33" i="68"/>
  <c r="AM33" i="68"/>
  <c r="AX33" i="68"/>
  <c r="BD33" i="68"/>
  <c r="W35" i="68"/>
  <c r="AA35" i="68"/>
  <c r="AE35" i="68"/>
  <c r="AI35" i="68"/>
  <c r="AM35" i="68"/>
  <c r="AX35" i="68"/>
  <c r="BD35" i="68"/>
  <c r="W37" i="68"/>
  <c r="AA37" i="68"/>
  <c r="AE37" i="68"/>
  <c r="AI37" i="68"/>
  <c r="AM37" i="68"/>
  <c r="AX37" i="68"/>
  <c r="BD37" i="68"/>
  <c r="W39" i="68"/>
  <c r="AA39" i="68"/>
  <c r="AE39" i="68"/>
  <c r="AI39" i="68"/>
  <c r="AM39" i="68"/>
  <c r="AX39" i="68"/>
  <c r="BD39" i="68"/>
  <c r="W41" i="68"/>
  <c r="AA41" i="68"/>
  <c r="AE41" i="68"/>
  <c r="AI41" i="68"/>
  <c r="AM41" i="68"/>
  <c r="AX41" i="68"/>
  <c r="BD41" i="68"/>
  <c r="W43" i="68"/>
  <c r="AA43" i="68"/>
  <c r="AE43" i="68"/>
  <c r="AI43" i="68"/>
  <c r="AM43" i="68"/>
  <c r="AX43" i="68"/>
  <c r="BD43" i="68"/>
  <c r="W45" i="68"/>
  <c r="AA45" i="68"/>
  <c r="AE45" i="68"/>
  <c r="AI45" i="68"/>
  <c r="AM45" i="68"/>
  <c r="AX45" i="68"/>
  <c r="BD45" i="68"/>
  <c r="W47" i="68"/>
  <c r="AA47" i="68"/>
  <c r="AE47" i="68"/>
  <c r="AI47" i="68"/>
  <c r="AM47" i="68"/>
  <c r="AX47" i="68"/>
  <c r="BD47" i="68"/>
  <c r="W49" i="68"/>
  <c r="AA49" i="68"/>
  <c r="AE49" i="68"/>
  <c r="AI49" i="68"/>
  <c r="AM49" i="68"/>
  <c r="AX49" i="68"/>
  <c r="BD49" i="68"/>
  <c r="W51" i="68"/>
  <c r="AA51" i="68"/>
  <c r="AE51" i="68"/>
  <c r="AI51" i="68"/>
  <c r="AM51" i="68"/>
  <c r="AX51" i="68"/>
  <c r="BD51" i="68"/>
  <c r="W53" i="68"/>
  <c r="AA53" i="68"/>
  <c r="AE53" i="68"/>
  <c r="AI53" i="68"/>
  <c r="AM53" i="68"/>
  <c r="AX53" i="68"/>
  <c r="BD53" i="68"/>
  <c r="W55" i="68"/>
  <c r="AA55" i="68"/>
  <c r="AE55" i="68"/>
  <c r="AI55" i="68"/>
  <c r="AM55" i="68"/>
  <c r="AX55" i="68"/>
  <c r="BD55" i="68"/>
  <c r="W57" i="68"/>
  <c r="AA57" i="68"/>
  <c r="AE57" i="68"/>
  <c r="AI57" i="68"/>
  <c r="AM57" i="68"/>
  <c r="AX57" i="68"/>
  <c r="BD57" i="68"/>
  <c r="Y59" i="68"/>
  <c r="AC59" i="68"/>
  <c r="AG59" i="68"/>
  <c r="AK59" i="68"/>
  <c r="AO59" i="68"/>
  <c r="AY59" i="68"/>
  <c r="BI59" i="68"/>
  <c r="BH59" i="68" s="1"/>
  <c r="BK59" i="68"/>
  <c r="BJ59" i="68" s="1"/>
  <c r="BM59" i="68"/>
  <c r="BL59" i="68" s="1"/>
  <c r="BO59" i="68"/>
  <c r="BN59" i="68" s="1"/>
  <c r="BQ59" i="68"/>
  <c r="BP59" i="68" s="1"/>
  <c r="BS59" i="68"/>
  <c r="BR59" i="68" s="1"/>
  <c r="BU59" i="68"/>
  <c r="BT59" i="68" s="1"/>
  <c r="BW59" i="68"/>
  <c r="BV59" i="68" s="1"/>
  <c r="BY59" i="68"/>
  <c r="BX59" i="68" s="1"/>
  <c r="CA59" i="68"/>
  <c r="BZ59" i="68" s="1"/>
  <c r="Y61" i="68"/>
  <c r="AC61" i="68"/>
  <c r="AG61" i="68"/>
  <c r="AK61" i="68"/>
  <c r="AO61" i="68"/>
  <c r="AY61" i="68"/>
  <c r="BI61" i="68"/>
  <c r="BH61" i="68" s="1"/>
  <c r="BK61" i="68"/>
  <c r="BJ61" i="68" s="1"/>
  <c r="BM61" i="68"/>
  <c r="BL61" i="68" s="1"/>
  <c r="BO61" i="68"/>
  <c r="BN61" i="68" s="1"/>
  <c r="BQ61" i="68"/>
  <c r="BP61" i="68" s="1"/>
  <c r="BS61" i="68"/>
  <c r="BR61" i="68" s="1"/>
  <c r="BU61" i="68"/>
  <c r="BT61" i="68" s="1"/>
  <c r="BW61" i="68"/>
  <c r="BV61" i="68" s="1"/>
  <c r="BY61" i="68"/>
  <c r="BX61" i="68" s="1"/>
  <c r="CA61" i="68"/>
  <c r="BZ61" i="68" s="1"/>
  <c r="Y63" i="68"/>
  <c r="AC63" i="68"/>
  <c r="AG63" i="68"/>
  <c r="AK63" i="68"/>
  <c r="AO63" i="68"/>
  <c r="AY63" i="68"/>
  <c r="BI63" i="68"/>
  <c r="BH63" i="68" s="1"/>
  <c r="BK63" i="68"/>
  <c r="BJ63" i="68" s="1"/>
  <c r="BM63" i="68"/>
  <c r="BL63" i="68" s="1"/>
  <c r="BO63" i="68"/>
  <c r="BN63" i="68" s="1"/>
  <c r="BQ63" i="68"/>
  <c r="BP63" i="68" s="1"/>
  <c r="BS63" i="68"/>
  <c r="BR63" i="68" s="1"/>
  <c r="BU63" i="68"/>
  <c r="BT63" i="68" s="1"/>
  <c r="BW63" i="68"/>
  <c r="BV63" i="68" s="1"/>
  <c r="BY63" i="68"/>
  <c r="BX63" i="68" s="1"/>
  <c r="CA63" i="68"/>
  <c r="BZ63" i="68" s="1"/>
  <c r="Y65" i="68"/>
  <c r="AC65" i="68"/>
  <c r="AG65" i="68"/>
  <c r="AK65" i="68"/>
  <c r="AO65" i="68"/>
  <c r="AY65" i="68"/>
  <c r="BI65" i="68"/>
  <c r="BH65" i="68" s="1"/>
  <c r="BK65" i="68"/>
  <c r="BJ65" i="68" s="1"/>
  <c r="BM65" i="68"/>
  <c r="BL65" i="68" s="1"/>
  <c r="BO65" i="68"/>
  <c r="BN65" i="68" s="1"/>
  <c r="BQ65" i="68"/>
  <c r="BP65" i="68" s="1"/>
  <c r="BS65" i="68"/>
  <c r="BR65" i="68" s="1"/>
  <c r="BU65" i="68"/>
  <c r="BT65" i="68" s="1"/>
  <c r="BW65" i="68"/>
  <c r="BV65" i="68" s="1"/>
  <c r="BY65" i="68"/>
  <c r="BX65" i="68" s="1"/>
  <c r="CA65" i="68"/>
  <c r="BZ65" i="68" s="1"/>
  <c r="Y67" i="68"/>
  <c r="AC67" i="68"/>
  <c r="AG67" i="68"/>
  <c r="AK67" i="68"/>
  <c r="AO67" i="68"/>
  <c r="AY67" i="68"/>
  <c r="BI67" i="68"/>
  <c r="BH67" i="68" s="1"/>
  <c r="BK67" i="68"/>
  <c r="BJ67" i="68" s="1"/>
  <c r="BM67" i="68"/>
  <c r="BL67" i="68" s="1"/>
  <c r="BO67" i="68"/>
  <c r="BN67" i="68" s="1"/>
  <c r="BQ67" i="68"/>
  <c r="BP67" i="68" s="1"/>
  <c r="BS67" i="68"/>
  <c r="BR67" i="68" s="1"/>
  <c r="BU67" i="68"/>
  <c r="BT67" i="68" s="1"/>
  <c r="BW67" i="68"/>
  <c r="BV67" i="68" s="1"/>
  <c r="BY67" i="68"/>
  <c r="BX67" i="68" s="1"/>
  <c r="CA67" i="68"/>
  <c r="BZ67" i="68" s="1"/>
  <c r="Y69" i="68"/>
  <c r="AC69" i="68"/>
  <c r="AG69" i="68"/>
  <c r="AK69" i="68"/>
  <c r="AO69" i="68"/>
  <c r="AY69" i="68"/>
  <c r="BI69" i="68"/>
  <c r="BH69" i="68" s="1"/>
  <c r="BK69" i="68"/>
  <c r="BJ69" i="68" s="1"/>
  <c r="BM69" i="68"/>
  <c r="BL69" i="68" s="1"/>
  <c r="BO69" i="68"/>
  <c r="BN69" i="68" s="1"/>
  <c r="BQ69" i="68"/>
  <c r="BP69" i="68" s="1"/>
  <c r="BS69" i="68"/>
  <c r="BR69" i="68" s="1"/>
  <c r="BU69" i="68"/>
  <c r="BT69" i="68" s="1"/>
  <c r="BW69" i="68"/>
  <c r="BV69" i="68" s="1"/>
  <c r="BY69" i="68"/>
  <c r="BX69" i="68" s="1"/>
  <c r="CA69" i="68"/>
  <c r="BZ69" i="68" s="1"/>
  <c r="Y71" i="68"/>
  <c r="AC71" i="68"/>
  <c r="AG71" i="68"/>
  <c r="AK71" i="68"/>
  <c r="AO71" i="68"/>
  <c r="AY71" i="68"/>
  <c r="BI71" i="68"/>
  <c r="BH71" i="68" s="1"/>
  <c r="BK71" i="68"/>
  <c r="BJ71" i="68" s="1"/>
  <c r="BM71" i="68"/>
  <c r="BL71" i="68" s="1"/>
  <c r="BO71" i="68"/>
  <c r="BN71" i="68" s="1"/>
  <c r="BQ71" i="68"/>
  <c r="BP71" i="68" s="1"/>
  <c r="BS71" i="68"/>
  <c r="BR71" i="68" s="1"/>
  <c r="BU71" i="68"/>
  <c r="BT71" i="68" s="1"/>
  <c r="BW71" i="68"/>
  <c r="BV71" i="68" s="1"/>
  <c r="BY71" i="68"/>
  <c r="BX71" i="68" s="1"/>
  <c r="CA71" i="68"/>
  <c r="BZ71" i="68" s="1"/>
  <c r="Y73" i="68"/>
  <c r="AC73" i="68"/>
  <c r="AG73" i="68"/>
  <c r="AK73" i="68"/>
  <c r="AO73" i="68"/>
  <c r="AY73" i="68"/>
  <c r="BI73" i="68"/>
  <c r="BH73" i="68" s="1"/>
  <c r="BK73" i="68"/>
  <c r="BJ73" i="68" s="1"/>
  <c r="BM73" i="68"/>
  <c r="BL73" i="68" s="1"/>
  <c r="BO73" i="68"/>
  <c r="BN73" i="68" s="1"/>
  <c r="BQ73" i="68"/>
  <c r="BP73" i="68" s="1"/>
  <c r="BS73" i="68"/>
  <c r="BR73" i="68" s="1"/>
  <c r="BU73" i="68"/>
  <c r="BT73" i="68" s="1"/>
  <c r="BW73" i="68"/>
  <c r="BV73" i="68" s="1"/>
  <c r="BY73" i="68"/>
  <c r="BX73" i="68" s="1"/>
  <c r="CA73" i="68"/>
  <c r="BZ73" i="68" s="1"/>
  <c r="Y75" i="68"/>
  <c r="AC75" i="68"/>
  <c r="AG75" i="68"/>
  <c r="AK75" i="68"/>
  <c r="AO75" i="68"/>
  <c r="AY75" i="68"/>
  <c r="BI75" i="68"/>
  <c r="BH75" i="68" s="1"/>
  <c r="BK75" i="68"/>
  <c r="BJ75" i="68" s="1"/>
  <c r="BM75" i="68"/>
  <c r="BL75" i="68" s="1"/>
  <c r="BO75" i="68"/>
  <c r="BN75" i="68" s="1"/>
  <c r="BQ75" i="68"/>
  <c r="BP75" i="68" s="1"/>
  <c r="BS75" i="68"/>
  <c r="BR75" i="68" s="1"/>
  <c r="BU75" i="68"/>
  <c r="BT75" i="68" s="1"/>
  <c r="BW75" i="68"/>
  <c r="BV75" i="68" s="1"/>
  <c r="BY75" i="68"/>
  <c r="BX75" i="68" s="1"/>
  <c r="CA75" i="68"/>
  <c r="BZ75" i="68" s="1"/>
  <c r="Y77" i="68"/>
  <c r="AC77" i="68"/>
  <c r="AG77" i="68"/>
  <c r="AK77" i="68"/>
  <c r="AO77" i="68"/>
  <c r="AY77" i="68"/>
  <c r="BI77" i="68"/>
  <c r="BH77" i="68" s="1"/>
  <c r="BK77" i="68"/>
  <c r="BJ77" i="68" s="1"/>
  <c r="BM77" i="68"/>
  <c r="BL77" i="68" s="1"/>
  <c r="BO77" i="68"/>
  <c r="BN77" i="68" s="1"/>
  <c r="BQ77" i="68"/>
  <c r="BP77" i="68" s="1"/>
  <c r="BS77" i="68"/>
  <c r="BR77" i="68" s="1"/>
  <c r="BU77" i="68"/>
  <c r="BT77" i="68" s="1"/>
  <c r="BW77" i="68"/>
  <c r="BV77" i="68" s="1"/>
  <c r="BY77" i="68"/>
  <c r="BX77" i="68" s="1"/>
  <c r="CA77" i="68"/>
  <c r="BZ77" i="68" s="1"/>
  <c r="Y79" i="68"/>
  <c r="AC79" i="68"/>
  <c r="AG79" i="68"/>
  <c r="AK79" i="68"/>
  <c r="AO79" i="68"/>
  <c r="AY79" i="68"/>
  <c r="BI79" i="68"/>
  <c r="BH79" i="68" s="1"/>
  <c r="BK79" i="68"/>
  <c r="BJ79" i="68" s="1"/>
  <c r="BM79" i="68"/>
  <c r="BL79" i="68" s="1"/>
  <c r="BO79" i="68"/>
  <c r="BN79" i="68" s="1"/>
  <c r="BQ79" i="68"/>
  <c r="BP79" i="68" s="1"/>
  <c r="BS79" i="68"/>
  <c r="BR79" i="68" s="1"/>
  <c r="BU79" i="68"/>
  <c r="BT79" i="68" s="1"/>
  <c r="BW79" i="68"/>
  <c r="BV79" i="68" s="1"/>
  <c r="BY79" i="68"/>
  <c r="BX79" i="68" s="1"/>
  <c r="CA79" i="68"/>
  <c r="BZ79" i="68" s="1"/>
  <c r="W81" i="68"/>
  <c r="AA81" i="68"/>
  <c r="AE81" i="68"/>
  <c r="AI81" i="68"/>
  <c r="AM81" i="68"/>
  <c r="AX81" i="68"/>
  <c r="BD81" i="68"/>
  <c r="W83" i="68"/>
  <c r="AA83" i="68"/>
  <c r="AE83" i="68"/>
  <c r="AI83" i="68"/>
  <c r="AM83" i="68"/>
  <c r="AX83" i="68"/>
  <c r="BD83" i="68"/>
  <c r="W85" i="68"/>
  <c r="AA85" i="68"/>
  <c r="AE85" i="68"/>
  <c r="AI85" i="68"/>
  <c r="AM85" i="68"/>
  <c r="AX85" i="68"/>
  <c r="BD85" i="68"/>
  <c r="W87" i="68"/>
  <c r="AA87" i="68"/>
  <c r="AE87" i="68"/>
  <c r="AI87" i="68"/>
  <c r="AM87" i="68"/>
  <c r="AX87" i="68"/>
  <c r="BD87" i="68"/>
  <c r="W89" i="68"/>
  <c r="AA89" i="68"/>
  <c r="AE89" i="68"/>
  <c r="AI89" i="68"/>
  <c r="AM89" i="68"/>
  <c r="AX89" i="68"/>
  <c r="BD89" i="68"/>
  <c r="W91" i="68"/>
  <c r="AA91" i="68"/>
  <c r="AE91" i="68"/>
  <c r="AI91" i="68"/>
  <c r="AM91" i="68"/>
  <c r="AX91" i="68"/>
  <c r="BD91" i="68"/>
  <c r="W93" i="68"/>
  <c r="AA93" i="68"/>
  <c r="AE93" i="68"/>
  <c r="AI93" i="68"/>
  <c r="AM93" i="68"/>
  <c r="AX93" i="68"/>
  <c r="BD93" i="68"/>
  <c r="W95" i="68"/>
  <c r="AA95" i="68"/>
  <c r="AE95" i="68"/>
  <c r="AI95" i="68"/>
  <c r="AM95" i="68"/>
  <c r="AX95" i="68"/>
  <c r="BD95" i="68"/>
  <c r="W97" i="68"/>
  <c r="AA97" i="68"/>
  <c r="AE97" i="68"/>
  <c r="AI97" i="68"/>
  <c r="AM97" i="68"/>
  <c r="AX97" i="68"/>
  <c r="BD97" i="68"/>
  <c r="W99" i="68"/>
  <c r="AA99" i="68"/>
  <c r="AE99" i="68"/>
  <c r="AI99" i="68"/>
  <c r="AM99" i="68"/>
  <c r="AX99" i="68"/>
  <c r="BD99" i="68"/>
  <c r="W101" i="68"/>
  <c r="AA101" i="68"/>
  <c r="AE101" i="68"/>
  <c r="AI101" i="68"/>
  <c r="AM101" i="68"/>
  <c r="AX101" i="68"/>
  <c r="BD101" i="68"/>
  <c r="Y103" i="68"/>
  <c r="AC103" i="68"/>
  <c r="AG103" i="68"/>
  <c r="AK103" i="68"/>
  <c r="AO103" i="68"/>
  <c r="AY103" i="68"/>
  <c r="BI103" i="68"/>
  <c r="BH103" i="68" s="1"/>
  <c r="BK103" i="68"/>
  <c r="BJ103" i="68" s="1"/>
  <c r="BM103" i="68"/>
  <c r="BL103" i="68" s="1"/>
  <c r="BO103" i="68"/>
  <c r="BN103" i="68" s="1"/>
  <c r="BQ103" i="68"/>
  <c r="BP103" i="68" s="1"/>
  <c r="BS103" i="68"/>
  <c r="BR103" i="68" s="1"/>
  <c r="BU103" i="68"/>
  <c r="BT103" i="68" s="1"/>
  <c r="BW103" i="68"/>
  <c r="BV103" i="68" s="1"/>
  <c r="BY103" i="68"/>
  <c r="BX103" i="68" s="1"/>
  <c r="CA103" i="68"/>
  <c r="BZ103" i="68" s="1"/>
  <c r="Y105" i="68"/>
  <c r="AC105" i="68"/>
  <c r="AG105" i="68"/>
  <c r="AK105" i="68"/>
  <c r="AO105" i="68"/>
  <c r="AY105" i="68"/>
  <c r="BI105" i="68"/>
  <c r="BH105" i="68" s="1"/>
  <c r="BK105" i="68"/>
  <c r="BJ105" i="68" s="1"/>
  <c r="BM105" i="68"/>
  <c r="BL105" i="68" s="1"/>
  <c r="BO105" i="68"/>
  <c r="BN105" i="68" s="1"/>
  <c r="BQ105" i="68"/>
  <c r="BP105" i="68" s="1"/>
  <c r="BS105" i="68"/>
  <c r="BR105" i="68" s="1"/>
  <c r="BU105" i="68"/>
  <c r="BT105" i="68" s="1"/>
  <c r="BW105" i="68"/>
  <c r="BV105" i="68" s="1"/>
  <c r="BY105" i="68"/>
  <c r="BX105" i="68" s="1"/>
  <c r="CA105" i="68"/>
  <c r="BZ105" i="68" s="1"/>
  <c r="W107" i="68"/>
  <c r="AA107" i="68"/>
  <c r="AE107" i="68"/>
  <c r="AI107" i="68"/>
  <c r="AM107" i="68"/>
  <c r="AX107" i="68"/>
  <c r="BD107" i="68"/>
  <c r="W109" i="68"/>
  <c r="AA109" i="68"/>
  <c r="AE109" i="68"/>
  <c r="AI109" i="68"/>
  <c r="AM109" i="68"/>
  <c r="AX109" i="68"/>
  <c r="BD109" i="68"/>
  <c r="W111" i="68"/>
  <c r="AA111" i="68"/>
  <c r="AE111" i="68"/>
  <c r="AI111" i="68"/>
  <c r="AM111" i="68"/>
  <c r="AX111" i="68"/>
  <c r="BD111" i="68"/>
  <c r="Y113" i="68"/>
  <c r="AC113" i="68"/>
  <c r="AG113" i="68"/>
  <c r="AK113" i="68"/>
  <c r="AO113" i="68"/>
  <c r="AY113" i="68"/>
  <c r="BI113" i="68"/>
  <c r="BH113" i="68" s="1"/>
  <c r="BK113" i="68"/>
  <c r="BJ113" i="68" s="1"/>
  <c r="BM113" i="68"/>
  <c r="BL113" i="68" s="1"/>
  <c r="BO113" i="68"/>
  <c r="BN113" i="68" s="1"/>
  <c r="BQ113" i="68"/>
  <c r="BP113" i="68" s="1"/>
  <c r="BS113" i="68"/>
  <c r="BR113" i="68" s="1"/>
  <c r="BU113" i="68"/>
  <c r="BT113" i="68" s="1"/>
  <c r="BW113" i="68"/>
  <c r="BV113" i="68" s="1"/>
  <c r="BY113" i="68"/>
  <c r="BX113" i="68" s="1"/>
  <c r="CA113" i="68"/>
  <c r="BZ113" i="68" s="1"/>
  <c r="Y115" i="68"/>
  <c r="AC115" i="68"/>
  <c r="AG115" i="68"/>
  <c r="AK115" i="68"/>
  <c r="AO115" i="68"/>
  <c r="AY115" i="68"/>
  <c r="BI115" i="68"/>
  <c r="BH115" i="68" s="1"/>
  <c r="BK115" i="68"/>
  <c r="BJ115" i="68" s="1"/>
  <c r="BM115" i="68"/>
  <c r="BL115" i="68" s="1"/>
  <c r="BO115" i="68"/>
  <c r="BN115" i="68" s="1"/>
  <c r="BQ115" i="68"/>
  <c r="BP115" i="68" s="1"/>
  <c r="BS115" i="68"/>
  <c r="BR115" i="68" s="1"/>
  <c r="BU115" i="68"/>
  <c r="BT115" i="68" s="1"/>
  <c r="BW115" i="68"/>
  <c r="BV115" i="68" s="1"/>
  <c r="BY115" i="68"/>
  <c r="BX115" i="68" s="1"/>
  <c r="CA115" i="68"/>
  <c r="BZ115" i="68" s="1"/>
  <c r="Y117" i="68"/>
  <c r="AC117" i="68"/>
  <c r="AG117" i="68"/>
  <c r="AK117" i="68"/>
  <c r="AO117" i="68"/>
  <c r="AY117" i="68"/>
  <c r="BI117" i="68"/>
  <c r="BH117" i="68" s="1"/>
  <c r="BK117" i="68"/>
  <c r="BJ117" i="68" s="1"/>
  <c r="BM117" i="68"/>
  <c r="BL117" i="68" s="1"/>
  <c r="BO117" i="68"/>
  <c r="BN117" i="68" s="1"/>
  <c r="BQ117" i="68"/>
  <c r="BP117" i="68" s="1"/>
  <c r="BS117" i="68"/>
  <c r="BR117" i="68" s="1"/>
  <c r="BU117" i="68"/>
  <c r="BT117" i="68" s="1"/>
  <c r="BW117" i="68"/>
  <c r="BV117" i="68" s="1"/>
  <c r="BY117" i="68"/>
  <c r="BX117" i="68" s="1"/>
  <c r="CA117" i="68"/>
  <c r="BZ117" i="68" s="1"/>
  <c r="Y119" i="68"/>
  <c r="AC119" i="68"/>
  <c r="AG119" i="68"/>
  <c r="AK119" i="68"/>
  <c r="AO119" i="68"/>
  <c r="AY119" i="68"/>
  <c r="BI119" i="68"/>
  <c r="BH119" i="68" s="1"/>
  <c r="BK119" i="68"/>
  <c r="BJ119" i="68" s="1"/>
  <c r="BM119" i="68"/>
  <c r="BL119" i="68" s="1"/>
  <c r="BO119" i="68"/>
  <c r="BN119" i="68" s="1"/>
  <c r="BQ119" i="68"/>
  <c r="BP119" i="68" s="1"/>
  <c r="BS119" i="68"/>
  <c r="BR119" i="68" s="1"/>
  <c r="BU119" i="68"/>
  <c r="BT119" i="68" s="1"/>
  <c r="BW119" i="68"/>
  <c r="BV119" i="68" s="1"/>
  <c r="BY119" i="68"/>
  <c r="BX119" i="68" s="1"/>
  <c r="CA119" i="68"/>
  <c r="BZ119" i="68" s="1"/>
  <c r="Y121" i="68"/>
  <c r="AC121" i="68"/>
  <c r="AG121" i="68"/>
  <c r="AK121" i="68"/>
  <c r="AO121" i="68"/>
  <c r="AY121" i="68"/>
  <c r="BI121" i="68"/>
  <c r="BH121" i="68" s="1"/>
  <c r="BK121" i="68"/>
  <c r="BJ121" i="68" s="1"/>
  <c r="BM121" i="68"/>
  <c r="BL121" i="68" s="1"/>
  <c r="BO121" i="68"/>
  <c r="BN121" i="68" s="1"/>
  <c r="BQ121" i="68"/>
  <c r="BP121" i="68" s="1"/>
  <c r="BS121" i="68"/>
  <c r="BR121" i="68" s="1"/>
  <c r="BU121" i="68"/>
  <c r="BT121" i="68" s="1"/>
  <c r="BW121" i="68"/>
  <c r="BV121" i="68" s="1"/>
  <c r="BY121" i="68"/>
  <c r="BX121" i="68" s="1"/>
  <c r="CA121" i="68"/>
  <c r="BZ121" i="68" s="1"/>
  <c r="Y123" i="68"/>
  <c r="AC123" i="68"/>
  <c r="AG123" i="68"/>
  <c r="AK123" i="68"/>
  <c r="AO123" i="68"/>
  <c r="AY123" i="68"/>
  <c r="BI123" i="68"/>
  <c r="BH123" i="68" s="1"/>
  <c r="BK123" i="68"/>
  <c r="BJ123" i="68" s="1"/>
  <c r="BM123" i="68"/>
  <c r="BL123" i="68" s="1"/>
  <c r="BO123" i="68"/>
  <c r="BN123" i="68" s="1"/>
  <c r="BQ123" i="68"/>
  <c r="BP123" i="68" s="1"/>
  <c r="BS123" i="68"/>
  <c r="BR123" i="68" s="1"/>
  <c r="BU123" i="68"/>
  <c r="BT123" i="68" s="1"/>
  <c r="BW123" i="68"/>
  <c r="BV123" i="68" s="1"/>
  <c r="BY123" i="68"/>
  <c r="BX123" i="68" s="1"/>
  <c r="CA123" i="68"/>
  <c r="BZ123" i="68" s="1"/>
  <c r="W125" i="68"/>
  <c r="AA125" i="68"/>
  <c r="AE125" i="68"/>
  <c r="AI125" i="68"/>
  <c r="AM125" i="68"/>
  <c r="AX125" i="68"/>
  <c r="BD125" i="68"/>
  <c r="W127" i="68"/>
  <c r="AA127" i="68"/>
  <c r="AE127" i="68"/>
  <c r="AI127" i="68"/>
  <c r="AM127" i="68"/>
  <c r="AX127" i="68"/>
  <c r="BD127" i="68"/>
  <c r="W129" i="68"/>
  <c r="AA129" i="68"/>
  <c r="AE129" i="68"/>
  <c r="AI129" i="68"/>
  <c r="AM129" i="68"/>
  <c r="AX129" i="68"/>
  <c r="BD129" i="68"/>
  <c r="Y131" i="68"/>
  <c r="AC131" i="68"/>
  <c r="AG131" i="68"/>
  <c r="AK131" i="68"/>
  <c r="AO131" i="68"/>
  <c r="AY131" i="68"/>
  <c r="BI131" i="68"/>
  <c r="BH131" i="68" s="1"/>
  <c r="BK131" i="68"/>
  <c r="BJ131" i="68" s="1"/>
  <c r="BM131" i="68"/>
  <c r="BL131" i="68" s="1"/>
  <c r="BO131" i="68"/>
  <c r="BN131" i="68" s="1"/>
  <c r="BQ131" i="68"/>
  <c r="BP131" i="68" s="1"/>
  <c r="BS131" i="68"/>
  <c r="BR131" i="68" s="1"/>
  <c r="BU131" i="68"/>
  <c r="BT131" i="68" s="1"/>
  <c r="BW131" i="68"/>
  <c r="BV131" i="68" s="1"/>
  <c r="BY131" i="68"/>
  <c r="BX131" i="68" s="1"/>
  <c r="CA131" i="68"/>
  <c r="BZ131" i="68" s="1"/>
  <c r="Y133" i="68"/>
  <c r="AC133" i="68"/>
  <c r="AG133" i="68"/>
  <c r="AK133" i="68"/>
  <c r="AO133" i="68"/>
  <c r="AY133" i="68"/>
  <c r="BI133" i="68"/>
  <c r="BH133" i="68" s="1"/>
  <c r="BK133" i="68"/>
  <c r="BJ133" i="68" s="1"/>
  <c r="BM133" i="68"/>
  <c r="BL133" i="68" s="1"/>
  <c r="BO133" i="68"/>
  <c r="BN133" i="68" s="1"/>
  <c r="BQ133" i="68"/>
  <c r="BP133" i="68" s="1"/>
  <c r="BS133" i="68"/>
  <c r="BR133" i="68" s="1"/>
  <c r="BU133" i="68"/>
  <c r="BT133" i="68" s="1"/>
  <c r="BW133" i="68"/>
  <c r="BV133" i="68" s="1"/>
  <c r="BY133" i="68"/>
  <c r="BX133" i="68" s="1"/>
  <c r="CA133" i="68"/>
  <c r="BZ133" i="68" s="1"/>
  <c r="Y135" i="68"/>
  <c r="AC135" i="68"/>
  <c r="AG135" i="68"/>
  <c r="AK135" i="68"/>
  <c r="AO135" i="68"/>
  <c r="AY135" i="68"/>
  <c r="BI135" i="68"/>
  <c r="BH135" i="68" s="1"/>
  <c r="BK135" i="68"/>
  <c r="BJ135" i="68" s="1"/>
  <c r="BM135" i="68"/>
  <c r="BL135" i="68" s="1"/>
  <c r="BO135" i="68"/>
  <c r="BN135" i="68" s="1"/>
  <c r="BQ135" i="68"/>
  <c r="BP135" i="68" s="1"/>
  <c r="BS135" i="68"/>
  <c r="BR135" i="68" s="1"/>
  <c r="BU135" i="68"/>
  <c r="BT135" i="68" s="1"/>
  <c r="BW135" i="68"/>
  <c r="BV135" i="68" s="1"/>
  <c r="BY135" i="68"/>
  <c r="BX135" i="68" s="1"/>
  <c r="CA135" i="68"/>
  <c r="BZ135" i="68" s="1"/>
  <c r="Y137" i="68"/>
  <c r="AC137" i="68"/>
  <c r="AG137" i="68"/>
  <c r="AK137" i="68"/>
  <c r="AO137" i="68"/>
  <c r="AY137" i="68"/>
  <c r="BI137" i="68"/>
  <c r="BH137" i="68" s="1"/>
  <c r="BK137" i="68"/>
  <c r="BJ137" i="68" s="1"/>
  <c r="BM137" i="68"/>
  <c r="BL137" i="68" s="1"/>
  <c r="BO137" i="68"/>
  <c r="BN137" i="68" s="1"/>
  <c r="BQ137" i="68"/>
  <c r="BP137" i="68" s="1"/>
  <c r="BS137" i="68"/>
  <c r="BR137" i="68" s="1"/>
  <c r="BU137" i="68"/>
  <c r="BT137" i="68" s="1"/>
  <c r="BW137" i="68"/>
  <c r="BV137" i="68" s="1"/>
  <c r="BY137" i="68"/>
  <c r="BX137" i="68" s="1"/>
  <c r="CA137" i="68"/>
  <c r="BZ137" i="68" s="1"/>
  <c r="Y139" i="68"/>
  <c r="AC139" i="68"/>
  <c r="AG139" i="68"/>
  <c r="AK139" i="68"/>
  <c r="AO139" i="68"/>
  <c r="AY139" i="68"/>
  <c r="BI139" i="68"/>
  <c r="BH139" i="68" s="1"/>
  <c r="BK139" i="68"/>
  <c r="BJ139" i="68" s="1"/>
  <c r="BM139" i="68"/>
  <c r="BL139" i="68" s="1"/>
  <c r="BO139" i="68"/>
  <c r="BN139" i="68" s="1"/>
  <c r="BQ139" i="68"/>
  <c r="BP139" i="68" s="1"/>
  <c r="BS139" i="68"/>
  <c r="BR139" i="68" s="1"/>
  <c r="BU139" i="68"/>
  <c r="BT139" i="68" s="1"/>
  <c r="BW139" i="68"/>
  <c r="BV139" i="68" s="1"/>
  <c r="BY139" i="68"/>
  <c r="BX139" i="68" s="1"/>
  <c r="CA139" i="68"/>
  <c r="BZ139" i="68" s="1"/>
  <c r="Y141" i="68"/>
  <c r="AC141" i="68"/>
  <c r="AG141" i="68"/>
  <c r="AK141" i="68"/>
  <c r="AO141" i="68"/>
  <c r="AY141" i="68"/>
  <c r="BI141" i="68"/>
  <c r="BH141" i="68" s="1"/>
  <c r="BK141" i="68"/>
  <c r="BJ141" i="68" s="1"/>
  <c r="BM141" i="68"/>
  <c r="BL141" i="68" s="1"/>
  <c r="BO141" i="68"/>
  <c r="BN141" i="68" s="1"/>
  <c r="BQ141" i="68"/>
  <c r="BP141" i="68" s="1"/>
  <c r="BS141" i="68"/>
  <c r="BR141" i="68" s="1"/>
  <c r="BU141" i="68"/>
  <c r="BT141" i="68" s="1"/>
  <c r="BW141" i="68"/>
  <c r="BV141" i="68" s="1"/>
  <c r="BY141" i="68"/>
  <c r="BX141" i="68" s="1"/>
  <c r="CA141" i="68"/>
  <c r="BZ141" i="68" s="1"/>
  <c r="W143" i="68"/>
  <c r="AA143" i="68"/>
  <c r="AE143" i="68"/>
  <c r="AI143" i="68"/>
  <c r="AM143" i="68"/>
  <c r="AX143" i="68"/>
  <c r="BD143" i="68"/>
  <c r="W145" i="68"/>
  <c r="AA145" i="68"/>
  <c r="AE145" i="68"/>
  <c r="AI145" i="68"/>
  <c r="AM145" i="68"/>
  <c r="AX145" i="68"/>
  <c r="BD145" i="68"/>
  <c r="Y147" i="68"/>
  <c r="AC147" i="68"/>
  <c r="AG147" i="68"/>
  <c r="AK147" i="68"/>
  <c r="AO147" i="68"/>
  <c r="AY147" i="68"/>
  <c r="BI147" i="68"/>
  <c r="BH147" i="68" s="1"/>
  <c r="BK147" i="68"/>
  <c r="BJ147" i="68" s="1"/>
  <c r="BM147" i="68"/>
  <c r="BL147" i="68" s="1"/>
  <c r="BO147" i="68"/>
  <c r="BN147" i="68" s="1"/>
  <c r="BQ147" i="68"/>
  <c r="BP147" i="68" s="1"/>
  <c r="BS147" i="68"/>
  <c r="BR147" i="68" s="1"/>
  <c r="BU147" i="68"/>
  <c r="BT147" i="68" s="1"/>
  <c r="BW147" i="68"/>
  <c r="BV147" i="68" s="1"/>
  <c r="BY147" i="68"/>
  <c r="BX147" i="68" s="1"/>
  <c r="CA147" i="68"/>
  <c r="BZ147" i="68" s="1"/>
  <c r="Y149" i="68"/>
  <c r="AC149" i="68"/>
  <c r="AG149" i="68"/>
  <c r="AK149" i="68"/>
  <c r="AO149" i="68"/>
  <c r="AY149" i="68"/>
  <c r="BI149" i="68"/>
  <c r="BH149" i="68" s="1"/>
  <c r="BK149" i="68"/>
  <c r="BJ149" i="68" s="1"/>
  <c r="BM149" i="68"/>
  <c r="BL149" i="68" s="1"/>
  <c r="BO149" i="68"/>
  <c r="BN149" i="68" s="1"/>
  <c r="BQ149" i="68"/>
  <c r="BP149" i="68" s="1"/>
  <c r="BS149" i="68"/>
  <c r="BR149" i="68" s="1"/>
  <c r="BU149" i="68"/>
  <c r="BT149" i="68" s="1"/>
  <c r="BW149" i="68"/>
  <c r="BV149" i="68" s="1"/>
  <c r="BY149" i="68"/>
  <c r="BX149" i="68" s="1"/>
  <c r="CA149" i="68"/>
  <c r="BZ149" i="68" s="1"/>
  <c r="Y151" i="68"/>
  <c r="AC151" i="68"/>
  <c r="AG151" i="68"/>
  <c r="AK151" i="68"/>
  <c r="AO151" i="68"/>
  <c r="AY151" i="68"/>
  <c r="BI151" i="68"/>
  <c r="BH151" i="68" s="1"/>
  <c r="BK151" i="68"/>
  <c r="BJ151" i="68" s="1"/>
  <c r="BM151" i="68"/>
  <c r="BL151" i="68" s="1"/>
  <c r="BO151" i="68"/>
  <c r="BN151" i="68" s="1"/>
  <c r="BQ151" i="68"/>
  <c r="BP151" i="68" s="1"/>
  <c r="BS151" i="68"/>
  <c r="BR151" i="68" s="1"/>
  <c r="BU151" i="68"/>
  <c r="BT151" i="68" s="1"/>
  <c r="BW151" i="68"/>
  <c r="BV151" i="68" s="1"/>
  <c r="BY151" i="68"/>
  <c r="BX151" i="68" s="1"/>
  <c r="CA151" i="68"/>
  <c r="BZ151" i="68" s="1"/>
  <c r="Y153" i="68"/>
  <c r="AC153" i="68"/>
  <c r="AG153" i="68"/>
  <c r="AK153" i="68"/>
  <c r="AO153" i="68"/>
  <c r="AY153" i="68"/>
  <c r="BI153" i="68"/>
  <c r="BH153" i="68" s="1"/>
  <c r="BK153" i="68"/>
  <c r="BJ153" i="68" s="1"/>
  <c r="BM153" i="68"/>
  <c r="BL153" i="68" s="1"/>
  <c r="BO153" i="68"/>
  <c r="BN153" i="68" s="1"/>
  <c r="BQ153" i="68"/>
  <c r="BP153" i="68" s="1"/>
  <c r="BS153" i="68"/>
  <c r="BR153" i="68" s="1"/>
  <c r="BU153" i="68"/>
  <c r="BT153" i="68" s="1"/>
  <c r="BW153" i="68"/>
  <c r="BV153" i="68" s="1"/>
  <c r="BY153" i="68"/>
  <c r="BX153" i="68" s="1"/>
  <c r="CA153" i="68"/>
  <c r="BZ153" i="68" s="1"/>
  <c r="Y155" i="68"/>
  <c r="AC155" i="68"/>
  <c r="AG155" i="68"/>
  <c r="AK155" i="68"/>
  <c r="AO155" i="68"/>
  <c r="AY155" i="68"/>
  <c r="BI155" i="68"/>
  <c r="BH155" i="68" s="1"/>
  <c r="BK155" i="68"/>
  <c r="BJ155" i="68" s="1"/>
  <c r="BM155" i="68"/>
  <c r="BL155" i="68" s="1"/>
  <c r="BO155" i="68"/>
  <c r="BN155" i="68" s="1"/>
  <c r="BQ155" i="68"/>
  <c r="BP155" i="68" s="1"/>
  <c r="BS155" i="68"/>
  <c r="BR155" i="68" s="1"/>
  <c r="BU155" i="68"/>
  <c r="BT155" i="68" s="1"/>
  <c r="BW155" i="68"/>
  <c r="BV155" i="68" s="1"/>
  <c r="BY155" i="68"/>
  <c r="BX155" i="68" s="1"/>
  <c r="CA155" i="68"/>
  <c r="BZ155" i="68" s="1"/>
  <c r="Y157" i="68"/>
  <c r="AC157" i="68"/>
  <c r="AG157" i="68"/>
  <c r="AK157" i="68"/>
  <c r="AO157" i="68"/>
  <c r="AY157" i="68"/>
  <c r="BI157" i="68"/>
  <c r="BH157" i="68" s="1"/>
  <c r="BK157" i="68"/>
  <c r="BJ157" i="68" s="1"/>
  <c r="BM157" i="68"/>
  <c r="BL157" i="68" s="1"/>
  <c r="BO157" i="68"/>
  <c r="BN157" i="68" s="1"/>
  <c r="BQ157" i="68"/>
  <c r="BP157" i="68" s="1"/>
  <c r="BS157" i="68"/>
  <c r="BR157" i="68" s="1"/>
  <c r="BU157" i="68"/>
  <c r="BT157" i="68" s="1"/>
  <c r="BW157" i="68"/>
  <c r="BV157" i="68" s="1"/>
  <c r="BY157" i="68"/>
  <c r="BX157" i="68" s="1"/>
  <c r="CA157" i="68"/>
  <c r="BZ157" i="68" s="1"/>
  <c r="Y159" i="68"/>
  <c r="AC159" i="68"/>
  <c r="AG159" i="68"/>
  <c r="AK159" i="68"/>
  <c r="AO159" i="68"/>
  <c r="AY159" i="68"/>
  <c r="BI159" i="68"/>
  <c r="BH159" i="68" s="1"/>
  <c r="BK159" i="68"/>
  <c r="BJ159" i="68" s="1"/>
  <c r="BM159" i="68"/>
  <c r="BL159" i="68" s="1"/>
  <c r="BO159" i="68"/>
  <c r="BN159" i="68" s="1"/>
  <c r="BQ159" i="68"/>
  <c r="BP159" i="68" s="1"/>
  <c r="BS159" i="68"/>
  <c r="BR159" i="68" s="1"/>
  <c r="BU159" i="68"/>
  <c r="BT159" i="68" s="1"/>
  <c r="BW159" i="68"/>
  <c r="BV159" i="68" s="1"/>
  <c r="BY159" i="68"/>
  <c r="BX159" i="68" s="1"/>
  <c r="CA159" i="68"/>
  <c r="BZ159" i="68" s="1"/>
  <c r="Y161" i="68"/>
  <c r="AC161" i="68"/>
  <c r="AG161" i="68"/>
  <c r="AK161" i="68"/>
  <c r="AO161" i="68"/>
  <c r="AY161" i="68"/>
  <c r="BI161" i="68"/>
  <c r="BH161" i="68" s="1"/>
  <c r="BK161" i="68"/>
  <c r="BJ161" i="68" s="1"/>
  <c r="BM161" i="68"/>
  <c r="BL161" i="68" s="1"/>
  <c r="BO161" i="68"/>
  <c r="BN161" i="68" s="1"/>
  <c r="BQ161" i="68"/>
  <c r="BP161" i="68" s="1"/>
  <c r="BS161" i="68"/>
  <c r="BR161" i="68" s="1"/>
  <c r="BU161" i="68"/>
  <c r="BT161" i="68" s="1"/>
  <c r="BW161" i="68"/>
  <c r="BV161" i="68" s="1"/>
  <c r="BY161" i="68"/>
  <c r="BX161" i="68" s="1"/>
  <c r="CA161" i="68"/>
  <c r="BZ161" i="68" s="1"/>
  <c r="Y163" i="68"/>
  <c r="AC163" i="68"/>
  <c r="AG163" i="68"/>
  <c r="AK163" i="68"/>
  <c r="AO163" i="68"/>
  <c r="AY163" i="68"/>
  <c r="BI163" i="68"/>
  <c r="BH163" i="68" s="1"/>
  <c r="BK163" i="68"/>
  <c r="BJ163" i="68" s="1"/>
  <c r="BM163" i="68"/>
  <c r="BL163" i="68" s="1"/>
  <c r="BO163" i="68"/>
  <c r="BN163" i="68" s="1"/>
  <c r="BQ163" i="68"/>
  <c r="BP163" i="68" s="1"/>
  <c r="BS163" i="68"/>
  <c r="BR163" i="68" s="1"/>
  <c r="BU163" i="68"/>
  <c r="BT163" i="68" s="1"/>
  <c r="BW163" i="68"/>
  <c r="BV163" i="68" s="1"/>
  <c r="BY163" i="68"/>
  <c r="BX163" i="68" s="1"/>
  <c r="CA163" i="68"/>
  <c r="BZ163" i="68" s="1"/>
  <c r="Y165" i="68"/>
  <c r="AC165" i="68"/>
  <c r="AG165" i="68"/>
  <c r="AK165" i="68"/>
  <c r="AO165" i="68"/>
  <c r="AY165" i="68"/>
  <c r="BI165" i="68"/>
  <c r="BH165" i="68" s="1"/>
  <c r="BK165" i="68"/>
  <c r="BJ165" i="68" s="1"/>
  <c r="BM165" i="68"/>
  <c r="BL165" i="68" s="1"/>
  <c r="BO165" i="68"/>
  <c r="BN165" i="68" s="1"/>
  <c r="BQ165" i="68"/>
  <c r="BP165" i="68" s="1"/>
  <c r="BS165" i="68"/>
  <c r="BR165" i="68" s="1"/>
  <c r="BU165" i="68"/>
  <c r="BT165" i="68" s="1"/>
  <c r="BW165" i="68"/>
  <c r="BV165" i="68" s="1"/>
  <c r="BY165" i="68"/>
  <c r="BX165" i="68" s="1"/>
  <c r="CA165" i="68"/>
  <c r="BZ165" i="68" s="1"/>
  <c r="Y167" i="68"/>
  <c r="AC167" i="68"/>
  <c r="AG167" i="68"/>
  <c r="AK167" i="68"/>
  <c r="AO167" i="68"/>
  <c r="AY167" i="68"/>
  <c r="BI167" i="68"/>
  <c r="BH167" i="68" s="1"/>
  <c r="BK167" i="68"/>
  <c r="BJ167" i="68" s="1"/>
  <c r="BM167" i="68"/>
  <c r="BL167" i="68" s="1"/>
  <c r="BO167" i="68"/>
  <c r="BN167" i="68" s="1"/>
  <c r="BQ167" i="68"/>
  <c r="BP167" i="68" s="1"/>
  <c r="BS167" i="68"/>
  <c r="BR167" i="68" s="1"/>
  <c r="BU167" i="68"/>
  <c r="BT167" i="68" s="1"/>
  <c r="BW167" i="68"/>
  <c r="BV167" i="68" s="1"/>
  <c r="BY167" i="68"/>
  <c r="BX167" i="68" s="1"/>
  <c r="CA167" i="68"/>
  <c r="BZ167" i="68" s="1"/>
  <c r="W169" i="68"/>
  <c r="AA169" i="68"/>
  <c r="AE169" i="68"/>
  <c r="AI169" i="68"/>
  <c r="AM169" i="68"/>
  <c r="AX169" i="68"/>
  <c r="BD169" i="68"/>
  <c r="W171" i="68"/>
  <c r="AA171" i="68"/>
  <c r="AE171" i="68"/>
  <c r="AI171" i="68"/>
  <c r="AM171" i="68"/>
  <c r="AX171" i="68"/>
  <c r="BD171" i="68"/>
  <c r="W173" i="68"/>
  <c r="AA173" i="68"/>
  <c r="AE173" i="68"/>
  <c r="AI173" i="68"/>
  <c r="AM173" i="68"/>
  <c r="AX173" i="68"/>
  <c r="BD173" i="68"/>
  <c r="W175" i="68"/>
  <c r="AA175" i="68"/>
  <c r="AE175" i="68"/>
  <c r="AI175" i="68"/>
  <c r="AM175" i="68"/>
  <c r="AX175" i="68"/>
  <c r="BD175" i="68"/>
  <c r="W177" i="68"/>
  <c r="AA177" i="68"/>
  <c r="AE177" i="68"/>
  <c r="AI177" i="68"/>
  <c r="AM177" i="68"/>
  <c r="AX177" i="68"/>
  <c r="BD177" i="68"/>
  <c r="W179" i="68"/>
  <c r="AA179" i="68"/>
  <c r="AE179" i="68"/>
  <c r="AI179" i="68"/>
  <c r="AM179" i="68"/>
  <c r="AX179" i="68"/>
  <c r="BD179" i="68"/>
  <c r="W181" i="68"/>
  <c r="AA181" i="68"/>
  <c r="AE181" i="68"/>
  <c r="AI181" i="68"/>
  <c r="AM181" i="68"/>
  <c r="AX181" i="68"/>
  <c r="BD181" i="68"/>
  <c r="W183" i="68"/>
  <c r="AA183" i="68"/>
  <c r="AE183" i="68"/>
  <c r="AI183" i="68"/>
  <c r="AM183" i="68"/>
  <c r="AX183" i="68"/>
  <c r="BD183" i="68"/>
  <c r="W185" i="68"/>
  <c r="AA185" i="68"/>
  <c r="AE185" i="68"/>
  <c r="AI185" i="68"/>
  <c r="AM185" i="68"/>
  <c r="AX185" i="68"/>
  <c r="BD185" i="68"/>
  <c r="W187" i="68"/>
  <c r="AA187" i="68"/>
  <c r="AE187" i="68"/>
  <c r="AI187" i="68"/>
  <c r="AM187" i="68"/>
  <c r="AX187" i="68"/>
  <c r="BD187" i="68"/>
  <c r="W189" i="68"/>
  <c r="AA189" i="68"/>
  <c r="AE189" i="68"/>
  <c r="AI189" i="68"/>
  <c r="AM189" i="68"/>
  <c r="AX189" i="68"/>
  <c r="Y191" i="68"/>
  <c r="AC191" i="68"/>
  <c r="AG191" i="68"/>
  <c r="AK191" i="68"/>
  <c r="AO191" i="68"/>
  <c r="AY191" i="68"/>
  <c r="BI191" i="68"/>
  <c r="BH191" i="68" s="1"/>
  <c r="BK191" i="68"/>
  <c r="BJ191" i="68" s="1"/>
  <c r="BM191" i="68"/>
  <c r="BL191" i="68" s="1"/>
  <c r="BO191" i="68"/>
  <c r="BN191" i="68" s="1"/>
  <c r="BQ191" i="68"/>
  <c r="BP191" i="68" s="1"/>
  <c r="BS191" i="68"/>
  <c r="BR191" i="68" s="1"/>
  <c r="BU191" i="68"/>
  <c r="BT191" i="68" s="1"/>
  <c r="BW191" i="68"/>
  <c r="BV191" i="68" s="1"/>
  <c r="BY191" i="68"/>
  <c r="BX191" i="68" s="1"/>
  <c r="CA191" i="68"/>
  <c r="BZ191" i="68" s="1"/>
  <c r="Y193" i="68"/>
  <c r="AC193" i="68"/>
  <c r="AG193" i="68"/>
  <c r="AK193" i="68"/>
  <c r="AO193" i="68"/>
  <c r="AY193" i="68"/>
  <c r="BI193" i="68"/>
  <c r="BH193" i="68" s="1"/>
  <c r="BK193" i="68"/>
  <c r="BJ193" i="68" s="1"/>
  <c r="BM193" i="68"/>
  <c r="BL193" i="68" s="1"/>
  <c r="BO193" i="68"/>
  <c r="BN193" i="68" s="1"/>
  <c r="BQ193" i="68"/>
  <c r="BP193" i="68" s="1"/>
  <c r="BS193" i="68"/>
  <c r="BR193" i="68" s="1"/>
  <c r="BU193" i="68"/>
  <c r="BT193" i="68" s="1"/>
  <c r="BW193" i="68"/>
  <c r="BV193" i="68" s="1"/>
  <c r="BY193" i="68"/>
  <c r="BX193" i="68" s="1"/>
  <c r="CA193" i="68"/>
  <c r="BZ193" i="68" s="1"/>
  <c r="Y195" i="68"/>
  <c r="AC195" i="68"/>
  <c r="AG195" i="68"/>
  <c r="AK195" i="68"/>
  <c r="AO195" i="68"/>
  <c r="AY195" i="68"/>
  <c r="BI195" i="68"/>
  <c r="BH195" i="68" s="1"/>
  <c r="BK195" i="68"/>
  <c r="BJ195" i="68" s="1"/>
  <c r="BM195" i="68"/>
  <c r="BL195" i="68" s="1"/>
  <c r="BO195" i="68"/>
  <c r="BN195" i="68" s="1"/>
  <c r="BQ195" i="68"/>
  <c r="BP195" i="68" s="1"/>
  <c r="BS195" i="68"/>
  <c r="BR195" i="68" s="1"/>
  <c r="BU195" i="68"/>
  <c r="BT195" i="68" s="1"/>
  <c r="BW195" i="68"/>
  <c r="BV195" i="68" s="1"/>
  <c r="BY195" i="68"/>
  <c r="BX195" i="68" s="1"/>
  <c r="CA195" i="68"/>
  <c r="BZ195" i="68" s="1"/>
  <c r="Y197" i="68"/>
  <c r="AC197" i="68"/>
  <c r="AG197" i="68"/>
  <c r="AK197" i="68"/>
  <c r="AO197" i="68"/>
  <c r="AY197" i="68"/>
  <c r="BI197" i="68"/>
  <c r="BH197" i="68" s="1"/>
  <c r="BK197" i="68"/>
  <c r="BJ197" i="68" s="1"/>
  <c r="BM197" i="68"/>
  <c r="BL197" i="68" s="1"/>
  <c r="BO197" i="68"/>
  <c r="BN197" i="68" s="1"/>
  <c r="BQ197" i="68"/>
  <c r="BP197" i="68" s="1"/>
  <c r="BS197" i="68"/>
  <c r="BR197" i="68" s="1"/>
  <c r="BU197" i="68"/>
  <c r="BT197" i="68" s="1"/>
  <c r="BW197" i="68"/>
  <c r="BV197" i="68" s="1"/>
  <c r="BY197" i="68"/>
  <c r="BX197" i="68" s="1"/>
  <c r="CA197" i="68"/>
  <c r="BZ197" i="68" s="1"/>
  <c r="Y199" i="68"/>
  <c r="AC199" i="68"/>
  <c r="AG199" i="68"/>
  <c r="AK199" i="68"/>
  <c r="AO199" i="68"/>
  <c r="AY199" i="68"/>
  <c r="BI199" i="68"/>
  <c r="BH199" i="68" s="1"/>
  <c r="BK199" i="68"/>
  <c r="BJ199" i="68" s="1"/>
  <c r="BM199" i="68"/>
  <c r="BL199" i="68" s="1"/>
  <c r="BO199" i="68"/>
  <c r="BN199" i="68" s="1"/>
  <c r="BQ199" i="68"/>
  <c r="BP199" i="68" s="1"/>
  <c r="BS199" i="68"/>
  <c r="BR199" i="68" s="1"/>
  <c r="BU199" i="68"/>
  <c r="BT199" i="68" s="1"/>
  <c r="BW199" i="68"/>
  <c r="BV199" i="68" s="1"/>
  <c r="BY199" i="68"/>
  <c r="BX199" i="68" s="1"/>
  <c r="CA199" i="68"/>
  <c r="BZ199" i="68" s="1"/>
  <c r="Y201" i="68"/>
  <c r="AC201" i="68"/>
  <c r="AG201" i="68"/>
  <c r="AK201" i="68"/>
  <c r="AO201" i="68"/>
  <c r="AY201" i="68"/>
  <c r="BI201" i="68"/>
  <c r="BH201" i="68" s="1"/>
  <c r="BK201" i="68"/>
  <c r="BJ201" i="68" s="1"/>
  <c r="BM201" i="68"/>
  <c r="BL201" i="68" s="1"/>
  <c r="BO201" i="68"/>
  <c r="BN201" i="68" s="1"/>
  <c r="BQ201" i="68"/>
  <c r="BP201" i="68" s="1"/>
  <c r="BS201" i="68"/>
  <c r="BR201" i="68" s="1"/>
  <c r="BU201" i="68"/>
  <c r="BT201" i="68" s="1"/>
  <c r="BW201" i="68"/>
  <c r="BV201" i="68" s="1"/>
  <c r="BY201" i="68"/>
  <c r="BX201" i="68" s="1"/>
  <c r="CA201" i="68"/>
  <c r="BZ201" i="68" s="1"/>
  <c r="Y203" i="68"/>
  <c r="AC203" i="68"/>
  <c r="AG203" i="68"/>
  <c r="AK203" i="68"/>
  <c r="AO203" i="68"/>
  <c r="AY203" i="68"/>
  <c r="BI203" i="68"/>
  <c r="BH203" i="68" s="1"/>
  <c r="BK203" i="68"/>
  <c r="BJ203" i="68" s="1"/>
  <c r="BM203" i="68"/>
  <c r="BL203" i="68" s="1"/>
  <c r="BO203" i="68"/>
  <c r="BN203" i="68" s="1"/>
  <c r="BQ203" i="68"/>
  <c r="BP203" i="68" s="1"/>
  <c r="BS203" i="68"/>
  <c r="BR203" i="68" s="1"/>
  <c r="BU203" i="68"/>
  <c r="BT203" i="68" s="1"/>
  <c r="BW203" i="68"/>
  <c r="BV203" i="68" s="1"/>
  <c r="BY203" i="68"/>
  <c r="BX203" i="68" s="1"/>
  <c r="CA203" i="68"/>
  <c r="BZ203" i="68" s="1"/>
  <c r="Y205" i="68"/>
  <c r="AC205" i="68"/>
  <c r="AG205" i="68"/>
  <c r="AK205" i="68"/>
  <c r="AO205" i="68"/>
  <c r="AY205" i="68"/>
  <c r="BI205" i="68"/>
  <c r="BH205" i="68" s="1"/>
  <c r="BK205" i="68"/>
  <c r="BJ205" i="68" s="1"/>
  <c r="BM205" i="68"/>
  <c r="BL205" i="68" s="1"/>
  <c r="BO205" i="68"/>
  <c r="BN205" i="68" s="1"/>
  <c r="BQ205" i="68"/>
  <c r="BP205" i="68" s="1"/>
  <c r="BS205" i="68"/>
  <c r="BR205" i="68" s="1"/>
  <c r="BU205" i="68"/>
  <c r="BT205" i="68" s="1"/>
  <c r="BW205" i="68"/>
  <c r="BV205" i="68" s="1"/>
  <c r="BY205" i="68"/>
  <c r="BX205" i="68" s="1"/>
  <c r="CA205" i="68"/>
  <c r="BZ205" i="68" s="1"/>
  <c r="Y207" i="68"/>
  <c r="AC207" i="68"/>
  <c r="AG207" i="68"/>
  <c r="AK207" i="68"/>
  <c r="AO207" i="68"/>
  <c r="AY207" i="68"/>
  <c r="BI207" i="68"/>
  <c r="BH207" i="68" s="1"/>
  <c r="BK207" i="68"/>
  <c r="BJ207" i="68" s="1"/>
  <c r="BM207" i="68"/>
  <c r="BL207" i="68" s="1"/>
  <c r="BO207" i="68"/>
  <c r="BN207" i="68" s="1"/>
  <c r="BQ207" i="68"/>
  <c r="BP207" i="68" s="1"/>
  <c r="BS207" i="68"/>
  <c r="BR207" i="68" s="1"/>
  <c r="BU207" i="68"/>
  <c r="BT207" i="68" s="1"/>
  <c r="BW207" i="68"/>
  <c r="BV207" i="68" s="1"/>
  <c r="BY207" i="68"/>
  <c r="BX207" i="68" s="1"/>
  <c r="CA207" i="68"/>
  <c r="BZ207" i="68" s="1"/>
  <c r="Y209" i="68"/>
  <c r="AC209" i="68"/>
  <c r="AG209" i="68"/>
  <c r="AK209" i="68"/>
  <c r="AO209" i="68"/>
  <c r="AY209" i="68"/>
  <c r="DD17" i="70"/>
  <c r="DA24" i="70"/>
  <c r="BO11" i="15"/>
  <c r="BO12" i="15"/>
  <c r="BO13" i="15"/>
  <c r="BO15" i="15"/>
  <c r="BO16" i="15"/>
  <c r="BO17" i="15"/>
  <c r="BO18" i="15"/>
  <c r="BO19" i="15"/>
  <c r="BL20" i="15"/>
  <c r="BN20" i="15"/>
  <c r="BL21" i="15"/>
  <c r="BN21" i="15"/>
  <c r="BL22" i="15"/>
  <c r="BN22" i="15"/>
  <c r="BL23" i="15"/>
  <c r="BN23" i="15"/>
  <c r="BL24" i="15"/>
  <c r="BN24" i="15"/>
  <c r="BL25" i="15"/>
  <c r="BN25" i="15"/>
  <c r="BL26" i="15"/>
  <c r="BN26" i="15"/>
  <c r="BL27" i="15"/>
  <c r="BN27" i="15"/>
  <c r="BL28" i="15"/>
  <c r="BN28" i="15"/>
  <c r="BL29" i="15"/>
  <c r="BN29" i="15"/>
  <c r="BL30" i="15"/>
  <c r="BN30" i="15"/>
  <c r="BL31" i="15"/>
  <c r="BN31" i="15"/>
  <c r="BL32" i="15"/>
  <c r="BN32" i="15"/>
  <c r="BL33" i="15"/>
  <c r="BN33" i="15"/>
  <c r="BO34" i="15"/>
  <c r="BO35" i="15"/>
  <c r="BO36" i="15"/>
  <c r="BO37" i="15"/>
  <c r="BO38" i="15"/>
  <c r="BO39" i="15"/>
  <c r="BO40" i="15"/>
  <c r="BO41" i="15"/>
  <c r="BO42" i="15"/>
  <c r="BO43" i="15"/>
  <c r="BO44" i="15"/>
  <c r="BO45" i="15"/>
  <c r="BO46" i="15"/>
  <c r="BO47" i="15"/>
  <c r="BL48" i="15"/>
  <c r="BN48" i="15"/>
  <c r="BL49" i="15"/>
  <c r="BN49" i="15"/>
  <c r="BL50" i="15"/>
  <c r="BN50" i="15"/>
  <c r="BL51" i="15"/>
  <c r="BN51" i="15"/>
  <c r="BL52" i="15"/>
  <c r="BN52" i="15"/>
  <c r="BL53" i="15"/>
  <c r="BN53" i="15"/>
  <c r="BL54" i="15"/>
  <c r="BN54" i="15"/>
  <c r="BL55" i="15"/>
  <c r="BN55" i="15"/>
  <c r="BL56" i="15"/>
  <c r="BN56" i="15"/>
  <c r="BL57" i="15"/>
  <c r="BN57" i="15"/>
  <c r="BL58" i="15"/>
  <c r="BN58" i="15"/>
  <c r="BL59" i="15"/>
  <c r="BN59" i="15"/>
  <c r="BL60" i="15"/>
  <c r="BN60" i="15"/>
  <c r="BL61" i="15"/>
  <c r="BN61" i="15"/>
  <c r="BL62" i="15"/>
  <c r="BN62" i="15"/>
  <c r="BL63" i="15"/>
  <c r="BN63" i="15"/>
  <c r="BL64" i="15"/>
  <c r="BN64" i="15"/>
  <c r="BL65" i="15"/>
  <c r="BN65" i="15"/>
  <c r="BO66" i="15"/>
  <c r="BL66" i="15"/>
  <c r="BN66" i="15"/>
  <c r="BL11" i="15"/>
  <c r="BN11" i="15"/>
  <c r="BL12" i="15"/>
  <c r="BN12" i="15"/>
  <c r="BL13" i="15"/>
  <c r="BN13" i="15"/>
  <c r="BL15" i="15"/>
  <c r="BN15" i="15"/>
  <c r="BL16" i="15"/>
  <c r="BN16" i="15"/>
  <c r="BL17" i="15"/>
  <c r="BN17" i="15"/>
  <c r="BL18" i="15"/>
  <c r="BN18" i="15"/>
  <c r="BL19" i="15"/>
  <c r="BN19" i="15"/>
  <c r="BO20" i="15"/>
  <c r="BO21" i="15"/>
  <c r="BO22" i="15"/>
  <c r="BO23" i="15"/>
  <c r="BO24" i="15"/>
  <c r="BO25" i="15"/>
  <c r="BO26" i="15"/>
  <c r="BO27" i="15"/>
  <c r="BO28" i="15"/>
  <c r="BO29" i="15"/>
  <c r="BO30" i="15"/>
  <c r="BO31" i="15"/>
  <c r="BO32" i="15"/>
  <c r="BO33" i="15"/>
  <c r="BL34" i="15"/>
  <c r="BN34" i="15"/>
  <c r="BL35" i="15"/>
  <c r="BN35" i="15"/>
  <c r="BL36" i="15"/>
  <c r="BN36" i="15"/>
  <c r="BL37" i="15"/>
  <c r="BN37" i="15"/>
  <c r="BL38" i="15"/>
  <c r="BN38" i="15"/>
  <c r="BL39" i="15"/>
  <c r="BN39" i="15"/>
  <c r="BL40" i="15"/>
  <c r="BN40" i="15"/>
  <c r="BL41" i="15"/>
  <c r="BN41" i="15"/>
  <c r="BL42" i="15"/>
  <c r="BN42" i="15"/>
  <c r="BL43" i="15"/>
  <c r="BN43" i="15"/>
  <c r="BL44" i="15"/>
  <c r="BN44" i="15"/>
  <c r="BL45" i="15"/>
  <c r="BN45" i="15"/>
  <c r="BL46" i="15"/>
  <c r="BN46" i="15"/>
  <c r="BL47" i="15"/>
  <c r="BN47" i="15"/>
  <c r="BO48" i="15"/>
  <c r="BO49" i="15"/>
  <c r="BO50" i="15"/>
  <c r="BO51" i="15"/>
  <c r="BO52" i="15"/>
  <c r="BO53" i="15"/>
  <c r="BO54" i="15"/>
  <c r="BO55" i="15"/>
  <c r="BO56" i="15"/>
  <c r="BO57" i="15"/>
  <c r="BO58" i="15"/>
  <c r="BO59" i="15"/>
  <c r="BO67" i="15"/>
  <c r="BL67" i="15"/>
  <c r="BP67" i="15"/>
  <c r="BO68" i="15"/>
  <c r="BL68" i="15"/>
  <c r="BP68" i="15"/>
  <c r="BO69" i="15"/>
  <c r="BL69" i="15"/>
  <c r="BP69" i="15"/>
  <c r="BO70" i="15"/>
  <c r="BL70" i="15"/>
  <c r="BP70" i="15"/>
  <c r="BO71" i="15"/>
  <c r="BL71" i="15"/>
  <c r="BP71" i="15"/>
  <c r="BO72" i="15"/>
  <c r="BL72" i="15"/>
  <c r="BP72" i="15"/>
  <c r="BO73" i="15"/>
  <c r="BL73" i="15"/>
  <c r="BP73" i="15"/>
  <c r="BO74" i="15"/>
  <c r="BL74" i="15"/>
  <c r="BP74" i="15"/>
  <c r="BO75" i="15"/>
  <c r="BL75" i="15"/>
  <c r="BP75" i="15"/>
  <c r="BO76" i="15"/>
  <c r="BL76" i="15"/>
  <c r="BP76" i="15"/>
  <c r="BO77" i="15"/>
  <c r="BL77" i="15"/>
  <c r="BP77" i="15"/>
  <c r="BO78" i="15"/>
  <c r="BL78" i="15"/>
  <c r="BP78" i="15"/>
  <c r="BO79" i="15"/>
  <c r="BL79" i="15"/>
  <c r="BP79" i="15"/>
  <c r="BO80" i="15"/>
  <c r="BL80" i="15"/>
  <c r="BP80" i="15"/>
  <c r="BO81" i="15"/>
  <c r="BL81" i="15"/>
  <c r="BP81" i="15"/>
  <c r="BO82" i="15"/>
  <c r="BL82" i="15"/>
  <c r="BP82" i="15"/>
  <c r="BO83" i="15"/>
  <c r="BL83" i="15"/>
  <c r="BP83" i="15"/>
  <c r="BO84" i="15"/>
  <c r="BL84" i="15"/>
  <c r="BP84" i="15"/>
  <c r="BO85" i="15"/>
  <c r="BL85" i="15"/>
  <c r="BP85" i="15"/>
  <c r="BO86" i="15"/>
  <c r="BL86" i="15"/>
  <c r="BP86" i="15"/>
  <c r="BO87" i="15"/>
  <c r="BL87" i="15"/>
  <c r="BP87" i="15"/>
  <c r="BO88" i="15"/>
  <c r="BL88" i="15"/>
  <c r="BP88" i="15"/>
  <c r="BO89" i="15"/>
  <c r="BL89" i="15"/>
  <c r="BP89" i="15"/>
  <c r="BO90" i="15"/>
  <c r="BL90" i="15"/>
  <c r="BP90" i="15"/>
  <c r="BO91" i="15"/>
  <c r="BL91" i="15"/>
  <c r="BP91" i="15"/>
  <c r="BO92" i="15"/>
  <c r="BL92" i="15"/>
  <c r="BP92" i="15"/>
  <c r="BO93" i="15"/>
  <c r="BL93" i="15"/>
  <c r="BP93" i="15"/>
  <c r="BO94" i="15"/>
  <c r="BL94" i="15"/>
  <c r="BP94" i="15"/>
  <c r="BO95" i="15"/>
  <c r="BL95" i="15"/>
  <c r="BP95" i="15"/>
  <c r="BO96" i="15"/>
  <c r="BL96" i="15"/>
  <c r="BP96" i="15"/>
  <c r="BO97" i="15"/>
  <c r="BL97" i="15"/>
  <c r="BP97" i="15"/>
  <c r="BO98" i="15"/>
  <c r="BL98" i="15"/>
  <c r="BP98" i="15"/>
  <c r="BO99" i="15"/>
  <c r="BL99" i="15"/>
  <c r="BP99" i="15"/>
  <c r="BO100" i="15"/>
  <c r="BL100" i="15"/>
  <c r="BP100" i="15"/>
  <c r="BO101" i="15"/>
  <c r="BL101" i="15"/>
  <c r="BP101" i="15"/>
  <c r="BO102" i="15"/>
  <c r="BL102" i="15"/>
  <c r="BP102" i="15"/>
  <c r="BO103" i="15"/>
  <c r="BL103" i="15"/>
  <c r="BP103" i="15"/>
  <c r="BO104" i="15"/>
  <c r="BL104" i="15"/>
  <c r="BP104" i="15"/>
  <c r="BO105" i="15"/>
  <c r="BL105" i="15"/>
  <c r="BP105" i="15"/>
  <c r="BO106" i="15"/>
  <c r="BL106" i="15"/>
  <c r="BP106" i="15"/>
  <c r="BO107" i="15"/>
  <c r="BL107" i="15"/>
  <c r="BP107" i="15"/>
  <c r="BO108" i="15"/>
  <c r="BL108" i="15"/>
  <c r="BP108" i="15"/>
  <c r="BO109" i="15"/>
  <c r="BL109" i="15"/>
  <c r="BP109" i="15"/>
  <c r="BO110" i="15"/>
  <c r="BL110" i="15"/>
  <c r="BP110" i="15"/>
  <c r="DG211" i="57"/>
  <c r="DF210" i="57"/>
  <c r="CX210" i="57"/>
  <c r="DG209" i="57"/>
  <c r="DG208" i="57"/>
  <c r="DF207" i="57"/>
  <c r="CX207" i="57"/>
  <c r="DF206" i="57"/>
  <c r="CX206" i="57"/>
  <c r="DG205" i="57"/>
  <c r="DF204" i="57"/>
  <c r="CX204" i="57"/>
  <c r="DG203" i="57"/>
  <c r="DF202" i="57"/>
  <c r="CX202" i="57"/>
  <c r="DG201" i="57"/>
  <c r="DF200" i="57"/>
  <c r="CX200" i="57"/>
  <c r="DG199" i="57"/>
  <c r="DF198" i="57"/>
  <c r="CX198" i="57"/>
  <c r="DG197" i="57"/>
  <c r="DF196" i="57"/>
  <c r="CX196" i="57"/>
  <c r="DG195" i="57"/>
  <c r="DF194" i="57"/>
  <c r="CX194" i="57"/>
  <c r="DG193" i="57"/>
  <c r="DF192" i="57"/>
  <c r="CX192" i="57"/>
  <c r="DG191" i="57"/>
  <c r="DG190" i="57"/>
  <c r="DF189" i="57"/>
  <c r="CX189" i="57"/>
  <c r="DG188" i="57"/>
  <c r="DF187" i="57"/>
  <c r="CX187" i="57"/>
  <c r="DG186" i="57"/>
  <c r="DF185" i="57"/>
  <c r="CX185" i="57"/>
  <c r="DG184" i="57"/>
  <c r="DF183" i="57"/>
  <c r="CX183" i="57"/>
  <c r="DG182" i="57"/>
  <c r="DF181" i="57"/>
  <c r="CX181" i="57"/>
  <c r="DG180" i="57"/>
  <c r="DF179" i="57"/>
  <c r="DG210" i="57"/>
  <c r="DF205" i="57"/>
  <c r="CX205" i="57"/>
  <c r="DF203" i="57"/>
  <c r="CX203" i="57"/>
  <c r="DF201" i="57"/>
  <c r="CX201" i="57"/>
  <c r="DF199" i="57"/>
  <c r="CX199" i="57"/>
  <c r="DF197" i="57"/>
  <c r="CX197" i="57"/>
  <c r="DF195" i="57"/>
  <c r="CX195" i="57"/>
  <c r="DG194" i="57"/>
  <c r="DG192" i="57"/>
  <c r="DF188" i="57"/>
  <c r="CX188" i="57"/>
  <c r="DG187" i="57"/>
  <c r="DF186" i="57"/>
  <c r="CX186" i="57"/>
  <c r="DG185" i="57"/>
  <c r="DF184" i="57"/>
  <c r="CX184" i="57"/>
  <c r="DG183" i="57"/>
  <c r="DG178" i="57"/>
  <c r="DF177" i="57"/>
  <c r="CX177" i="57"/>
  <c r="DG176" i="57"/>
  <c r="DF175" i="57"/>
  <c r="CX175" i="57"/>
  <c r="DF174" i="57"/>
  <c r="CX174" i="57"/>
  <c r="DG173" i="57"/>
  <c r="DG172" i="57"/>
  <c r="DF171" i="57"/>
  <c r="CX171" i="57"/>
  <c r="DF170" i="57"/>
  <c r="CX170" i="57"/>
  <c r="DG169" i="57"/>
  <c r="DF168" i="57"/>
  <c r="CX168" i="57"/>
  <c r="DG167" i="57"/>
  <c r="DF166" i="57"/>
  <c r="CX166" i="57"/>
  <c r="DG165" i="57"/>
  <c r="DG164" i="57"/>
  <c r="DF163" i="57"/>
  <c r="CX163" i="57"/>
  <c r="DG162" i="57"/>
  <c r="DF161" i="57"/>
  <c r="CX161" i="57"/>
  <c r="DG160" i="57"/>
  <c r="DF159" i="57"/>
  <c r="CX159" i="57"/>
  <c r="DG158" i="57"/>
  <c r="DF157" i="57"/>
  <c r="CX157" i="57"/>
  <c r="DF156" i="57"/>
  <c r="CX156" i="57"/>
  <c r="DG155" i="57"/>
  <c r="DG154" i="57"/>
  <c r="DF153" i="57"/>
  <c r="CX153" i="57"/>
  <c r="DG152" i="57"/>
  <c r="DF151" i="57"/>
  <c r="CX151" i="57"/>
  <c r="DF150" i="57"/>
  <c r="CX150" i="57"/>
  <c r="DG149" i="57"/>
  <c r="DG148" i="57"/>
  <c r="DF147" i="57"/>
  <c r="CX147" i="57"/>
  <c r="DG146" i="57"/>
  <c r="DF145" i="57"/>
  <c r="CX145" i="57"/>
  <c r="DG144" i="57"/>
  <c r="DF143" i="57"/>
  <c r="CX143" i="57"/>
  <c r="DF142" i="57"/>
  <c r="CX142" i="57"/>
  <c r="DG141" i="57"/>
  <c r="DG140" i="57"/>
  <c r="DF139" i="57"/>
  <c r="DF211" i="57"/>
  <c r="CX211" i="57"/>
  <c r="DF209" i="57"/>
  <c r="CX209" i="57"/>
  <c r="DF208" i="57"/>
  <c r="CX208" i="57"/>
  <c r="DG207" i="57"/>
  <c r="DG206" i="57"/>
  <c r="DG204" i="57"/>
  <c r="DG202" i="57"/>
  <c r="DG200" i="57"/>
  <c r="DG198" i="57"/>
  <c r="DG196" i="57"/>
  <c r="DF193" i="57"/>
  <c r="CX193" i="57"/>
  <c r="DF191" i="57"/>
  <c r="CX191" i="57"/>
  <c r="DF190" i="57"/>
  <c r="CX190" i="57"/>
  <c r="DG189" i="57"/>
  <c r="DF182" i="57"/>
  <c r="CX182" i="57"/>
  <c r="DG181" i="57"/>
  <c r="DF180" i="57"/>
  <c r="CX180" i="57"/>
  <c r="DG179" i="57"/>
  <c r="CX179" i="57"/>
  <c r="DF178" i="57"/>
  <c r="CX178" i="57"/>
  <c r="DG177" i="57"/>
  <c r="DF176" i="57"/>
  <c r="CX176" i="57"/>
  <c r="DG175" i="57"/>
  <c r="DG174" i="57"/>
  <c r="DF173" i="57"/>
  <c r="CX173" i="57"/>
  <c r="DF172" i="57"/>
  <c r="CX172" i="57"/>
  <c r="DG171" i="57"/>
  <c r="DG170" i="57"/>
  <c r="DF169" i="57"/>
  <c r="CX169" i="57"/>
  <c r="DG168" i="57"/>
  <c r="DF167" i="57"/>
  <c r="CX167" i="57"/>
  <c r="DG166" i="57"/>
  <c r="DF165" i="57"/>
  <c r="CX165" i="57"/>
  <c r="DF164" i="57"/>
  <c r="CX164" i="57"/>
  <c r="DG163" i="57"/>
  <c r="DF162" i="57"/>
  <c r="CX162" i="57"/>
  <c r="DG161" i="57"/>
  <c r="DF160" i="57"/>
  <c r="CX160" i="57"/>
  <c r="DG159" i="57"/>
  <c r="DF158" i="57"/>
  <c r="CX158" i="57"/>
  <c r="DG157" i="57"/>
  <c r="DG156" i="57"/>
  <c r="DF155" i="57"/>
  <c r="CX155" i="57"/>
  <c r="DF154" i="57"/>
  <c r="CX154" i="57"/>
  <c r="DG153" i="57"/>
  <c r="DF152" i="57"/>
  <c r="CX152" i="57"/>
  <c r="DG151" i="57"/>
  <c r="DG150" i="57"/>
  <c r="DF149" i="57"/>
  <c r="CX149" i="57"/>
  <c r="DF148" i="57"/>
  <c r="CX148" i="57"/>
  <c r="DG147" i="57"/>
  <c r="DF146" i="57"/>
  <c r="CX146" i="57"/>
  <c r="DG145" i="57"/>
  <c r="DF144" i="57"/>
  <c r="CX144" i="57"/>
  <c r="DG143" i="57"/>
  <c r="DG142" i="57"/>
  <c r="DF141" i="57"/>
  <c r="CX141" i="57"/>
  <c r="DF138" i="57"/>
  <c r="CX138" i="57"/>
  <c r="DG137" i="57"/>
  <c r="DG136" i="57"/>
  <c r="DF135" i="57"/>
  <c r="CX135" i="57"/>
  <c r="DF134" i="57"/>
  <c r="CX134" i="57"/>
  <c r="DG133" i="57"/>
  <c r="DF132" i="57"/>
  <c r="CX132" i="57"/>
  <c r="DG131" i="57"/>
  <c r="DG130" i="57"/>
  <c r="DF129" i="57"/>
  <c r="CX129" i="57"/>
  <c r="DF128" i="57"/>
  <c r="CX128" i="57"/>
  <c r="DG127" i="57"/>
  <c r="DF126" i="57"/>
  <c r="CX126" i="57"/>
  <c r="DG125" i="57"/>
  <c r="DF124" i="57"/>
  <c r="CX124" i="57"/>
  <c r="DG123" i="57"/>
  <c r="DF122" i="57"/>
  <c r="CX122" i="57"/>
  <c r="DG121" i="57"/>
  <c r="DF120" i="57"/>
  <c r="CX120" i="57"/>
  <c r="DG119" i="57"/>
  <c r="DF118" i="57"/>
  <c r="CX118" i="57"/>
  <c r="DG117" i="57"/>
  <c r="DF116" i="57"/>
  <c r="CX116" i="57"/>
  <c r="DG115" i="57"/>
  <c r="DF114" i="57"/>
  <c r="CX114" i="57"/>
  <c r="DG113" i="57"/>
  <c r="DF112" i="57"/>
  <c r="CX112" i="57"/>
  <c r="DG111" i="57"/>
  <c r="DF110" i="57"/>
  <c r="CX110" i="57"/>
  <c r="DG109" i="57"/>
  <c r="DF108" i="57"/>
  <c r="CX108" i="57"/>
  <c r="DG107" i="57"/>
  <c r="DF106" i="57"/>
  <c r="CX106" i="57"/>
  <c r="DG105" i="57"/>
  <c r="DF104" i="57"/>
  <c r="CX104" i="57"/>
  <c r="DG103" i="57"/>
  <c r="DF102" i="57"/>
  <c r="CX102" i="57"/>
  <c r="DG101" i="57"/>
  <c r="DF100" i="57"/>
  <c r="CX100" i="57"/>
  <c r="DG99" i="57"/>
  <c r="DF98" i="57"/>
  <c r="CX98" i="57"/>
  <c r="DG97" i="57"/>
  <c r="DG96" i="57"/>
  <c r="DF95" i="57"/>
  <c r="CX95" i="57"/>
  <c r="DF94" i="57"/>
  <c r="CX94" i="57"/>
  <c r="DG93" i="57"/>
  <c r="DF92" i="57"/>
  <c r="CX92" i="57"/>
  <c r="DG91" i="57"/>
  <c r="DG90" i="57"/>
  <c r="DF89" i="57"/>
  <c r="CX89" i="57"/>
  <c r="DF88" i="57"/>
  <c r="CX88" i="57"/>
  <c r="DG87" i="57"/>
  <c r="DF86" i="57"/>
  <c r="CX86" i="57"/>
  <c r="DG85" i="57"/>
  <c r="DF84" i="57"/>
  <c r="CX84" i="57"/>
  <c r="DG83" i="57"/>
  <c r="DG82" i="57"/>
  <c r="DF81" i="57"/>
  <c r="CX81" i="57"/>
  <c r="DG80" i="57"/>
  <c r="DF79" i="57"/>
  <c r="CX79" i="57"/>
  <c r="DF78" i="57"/>
  <c r="CX78" i="57"/>
  <c r="DG77" i="57"/>
  <c r="DG76" i="57"/>
  <c r="DF75" i="57"/>
  <c r="CX75" i="57"/>
  <c r="DF74" i="57"/>
  <c r="CX74" i="57"/>
  <c r="DG73" i="57"/>
  <c r="DG72" i="57"/>
  <c r="DF71" i="57"/>
  <c r="CX71" i="57"/>
  <c r="DG70" i="57"/>
  <c r="DF69" i="57"/>
  <c r="CX69" i="57"/>
  <c r="DG68" i="57"/>
  <c r="DF67" i="57"/>
  <c r="CX67" i="57"/>
  <c r="DG66" i="57"/>
  <c r="DF65" i="57"/>
  <c r="CX65" i="57"/>
  <c r="DG64" i="57"/>
  <c r="DF63" i="57"/>
  <c r="CX63" i="57"/>
  <c r="DG62" i="57"/>
  <c r="DF61" i="57"/>
  <c r="CX61" i="57"/>
  <c r="DG60" i="57"/>
  <c r="DF59" i="57"/>
  <c r="CX59" i="57"/>
  <c r="DF58" i="57"/>
  <c r="CX58" i="57"/>
  <c r="DG57" i="57"/>
  <c r="DF56" i="57"/>
  <c r="CX56" i="57"/>
  <c r="DG55" i="57"/>
  <c r="DF54" i="57"/>
  <c r="CX54" i="57"/>
  <c r="DG53" i="57"/>
  <c r="DF52" i="57"/>
  <c r="CX52" i="57"/>
  <c r="DG51" i="57"/>
  <c r="DG50" i="57"/>
  <c r="DF49" i="57"/>
  <c r="CX49" i="57"/>
  <c r="DF48" i="57"/>
  <c r="CX48" i="57"/>
  <c r="DG47" i="57"/>
  <c r="DG46" i="57"/>
  <c r="DF45" i="57"/>
  <c r="CX45" i="57"/>
  <c r="DG44" i="57"/>
  <c r="DF43" i="57"/>
  <c r="CX43" i="57"/>
  <c r="DF42" i="57"/>
  <c r="CX42" i="57"/>
  <c r="DG41" i="57"/>
  <c r="DF40" i="57"/>
  <c r="CX40" i="57"/>
  <c r="DG39" i="57"/>
  <c r="DF38" i="57"/>
  <c r="CX38" i="57"/>
  <c r="DG37" i="57"/>
  <c r="DF36" i="57"/>
  <c r="CX36" i="57"/>
  <c r="DG35" i="57"/>
  <c r="DF34" i="57"/>
  <c r="CX34" i="57"/>
  <c r="DG33" i="57"/>
  <c r="DG32" i="57"/>
  <c r="DF31" i="57"/>
  <c r="CX31" i="57"/>
  <c r="DF140" i="57"/>
  <c r="CX140" i="57"/>
  <c r="DG139" i="57"/>
  <c r="CX139" i="57"/>
  <c r="DG138" i="57"/>
  <c r="DF137" i="57"/>
  <c r="CX137" i="57"/>
  <c r="DF136" i="57"/>
  <c r="CX136" i="57"/>
  <c r="DG135" i="57"/>
  <c r="DG134" i="57"/>
  <c r="DF133" i="57"/>
  <c r="CX133" i="57"/>
  <c r="DG132" i="57"/>
  <c r="DF131" i="57"/>
  <c r="CX131" i="57"/>
  <c r="DF130" i="57"/>
  <c r="CX130" i="57"/>
  <c r="DG129" i="57"/>
  <c r="DG128" i="57"/>
  <c r="DF127" i="57"/>
  <c r="CX127" i="57"/>
  <c r="DG126" i="57"/>
  <c r="DF125" i="57"/>
  <c r="CX125" i="57"/>
  <c r="DG124" i="57"/>
  <c r="DF123" i="57"/>
  <c r="CX123" i="57"/>
  <c r="DG122" i="57"/>
  <c r="DF121" i="57"/>
  <c r="CX121" i="57"/>
  <c r="DG120" i="57"/>
  <c r="DF119" i="57"/>
  <c r="CX119" i="57"/>
  <c r="DG118" i="57"/>
  <c r="DF117" i="57"/>
  <c r="CX117" i="57"/>
  <c r="DG116" i="57"/>
  <c r="DF115" i="57"/>
  <c r="CX115" i="57"/>
  <c r="DG114" i="57"/>
  <c r="DF113" i="57"/>
  <c r="CX113" i="57"/>
  <c r="DG112" i="57"/>
  <c r="DF111" i="57"/>
  <c r="CX111" i="57"/>
  <c r="DG110" i="57"/>
  <c r="DF109" i="57"/>
  <c r="CX109" i="57"/>
  <c r="DG108" i="57"/>
  <c r="DF107" i="57"/>
  <c r="CX107" i="57"/>
  <c r="DG106" i="57"/>
  <c r="DF105" i="57"/>
  <c r="CX105" i="57"/>
  <c r="DG104" i="57"/>
  <c r="DF103" i="57"/>
  <c r="CX103" i="57"/>
  <c r="DG102" i="57"/>
  <c r="DF101" i="57"/>
  <c r="CX101" i="57"/>
  <c r="DG100" i="57"/>
  <c r="DF99" i="57"/>
  <c r="CX99" i="57"/>
  <c r="DG98" i="57"/>
  <c r="DF97" i="57"/>
  <c r="CX97" i="57"/>
  <c r="DF96" i="57"/>
  <c r="CX96" i="57"/>
  <c r="DG95" i="57"/>
  <c r="DG94" i="57"/>
  <c r="DF93" i="57"/>
  <c r="CX93" i="57"/>
  <c r="DG92" i="57"/>
  <c r="DF91" i="57"/>
  <c r="CX91" i="57"/>
  <c r="DF90" i="57"/>
  <c r="CX90" i="57"/>
  <c r="DG89" i="57"/>
  <c r="DG88" i="57"/>
  <c r="DF87" i="57"/>
  <c r="CX87" i="57"/>
  <c r="DG86" i="57"/>
  <c r="DF85" i="57"/>
  <c r="CX85" i="57"/>
  <c r="DG84" i="57"/>
  <c r="DF83" i="57"/>
  <c r="CX83" i="57"/>
  <c r="DF82" i="57"/>
  <c r="CX82" i="57"/>
  <c r="DG81" i="57"/>
  <c r="DF80" i="57"/>
  <c r="CX80" i="57"/>
  <c r="DG79" i="57"/>
  <c r="DG78" i="57"/>
  <c r="DF77" i="57"/>
  <c r="CX77" i="57"/>
  <c r="DF76" i="57"/>
  <c r="CX76" i="57"/>
  <c r="DG75" i="57"/>
  <c r="DG74" i="57"/>
  <c r="DF73" i="57"/>
  <c r="CX73" i="57"/>
  <c r="DF72" i="57"/>
  <c r="CX72" i="57"/>
  <c r="DG71" i="57"/>
  <c r="DF70" i="57"/>
  <c r="CX70" i="57"/>
  <c r="DG69" i="57"/>
  <c r="DF68" i="57"/>
  <c r="CX68" i="57"/>
  <c r="DG67" i="57"/>
  <c r="DF66" i="57"/>
  <c r="CX66" i="57"/>
  <c r="DG65" i="57"/>
  <c r="DF64" i="57"/>
  <c r="CX64" i="57"/>
  <c r="DG63" i="57"/>
  <c r="DF62" i="57"/>
  <c r="CX62" i="57"/>
  <c r="DG61" i="57"/>
  <c r="DF60" i="57"/>
  <c r="CX60" i="57"/>
  <c r="DG59" i="57"/>
  <c r="DG58" i="57"/>
  <c r="DF57" i="57"/>
  <c r="CX57" i="57"/>
  <c r="DG56" i="57"/>
  <c r="DF55" i="57"/>
  <c r="CX55" i="57"/>
  <c r="DG54" i="57"/>
  <c r="DF53" i="57"/>
  <c r="CX53" i="57"/>
  <c r="DG52" i="57"/>
  <c r="DF51" i="57"/>
  <c r="CX51" i="57"/>
  <c r="DF50" i="57"/>
  <c r="CX50" i="57"/>
  <c r="DG49" i="57"/>
  <c r="DG48" i="57"/>
  <c r="DF47" i="57"/>
  <c r="CX47" i="57"/>
  <c r="DF46" i="57"/>
  <c r="CX46" i="57"/>
  <c r="DG45" i="57"/>
  <c r="DF44" i="57"/>
  <c r="CX44" i="57"/>
  <c r="DG43" i="57"/>
  <c r="DG42" i="57"/>
  <c r="DF41" i="57"/>
  <c r="CX41" i="57"/>
  <c r="DG40" i="57"/>
  <c r="DF39" i="57"/>
  <c r="CX39" i="57"/>
  <c r="DG38" i="57"/>
  <c r="DF37" i="57"/>
  <c r="CX37" i="57"/>
  <c r="DG36" i="57"/>
  <c r="DF35" i="57"/>
  <c r="CX35" i="57"/>
  <c r="DG34" i="57"/>
  <c r="DF33" i="57"/>
  <c r="CX33" i="57"/>
  <c r="DF32" i="57"/>
  <c r="CX32" i="57"/>
  <c r="DG31" i="57"/>
  <c r="DG30" i="57"/>
  <c r="AV7" i="65"/>
  <c r="AY10" i="79"/>
  <c r="BQ15" i="79"/>
  <c r="BQ17" i="79"/>
  <c r="BQ19" i="79"/>
  <c r="BQ21" i="79"/>
  <c r="BQ23" i="79"/>
  <c r="BQ25" i="79"/>
  <c r="BQ27" i="79"/>
  <c r="BQ29" i="79"/>
  <c r="BQ31" i="79"/>
  <c r="BQ33" i="79"/>
  <c r="BQ35" i="79"/>
  <c r="BQ37" i="79"/>
  <c r="BQ39" i="79"/>
  <c r="BQ41" i="79"/>
  <c r="BQ43" i="79"/>
  <c r="BQ45" i="79"/>
  <c r="BQ47" i="79"/>
  <c r="BQ49" i="79"/>
  <c r="BQ51" i="79"/>
  <c r="BQ53" i="79"/>
  <c r="BQ55" i="79"/>
  <c r="BQ57" i="79"/>
  <c r="BQ59" i="79"/>
  <c r="BQ61" i="79"/>
  <c r="BQ63" i="79"/>
  <c r="BQ65" i="79"/>
  <c r="BQ67" i="79"/>
  <c r="BQ69" i="79"/>
  <c r="BQ71" i="79"/>
  <c r="BQ73" i="79"/>
  <c r="BQ75" i="79"/>
  <c r="BQ77" i="79"/>
  <c r="BQ79" i="79"/>
  <c r="BQ81" i="79"/>
  <c r="BQ83" i="79"/>
  <c r="BQ85" i="79"/>
  <c r="BQ87" i="79"/>
  <c r="BQ89" i="79"/>
  <c r="BQ91" i="79"/>
  <c r="BQ93" i="79"/>
  <c r="BQ95" i="79"/>
  <c r="BQ97" i="79"/>
  <c r="BQ99" i="79"/>
  <c r="BQ101" i="79"/>
  <c r="BQ103" i="79"/>
  <c r="BQ105" i="79"/>
  <c r="BQ107" i="79"/>
  <c r="BQ109" i="79"/>
  <c r="BQ111" i="79"/>
  <c r="BQ115" i="79"/>
  <c r="BQ119" i="79"/>
  <c r="BQ123" i="79"/>
  <c r="BQ127" i="79"/>
  <c r="BQ131" i="79"/>
  <c r="BQ135" i="79"/>
  <c r="BQ139" i="79"/>
  <c r="BQ143" i="79"/>
  <c r="BQ147" i="79"/>
  <c r="BQ151" i="79"/>
  <c r="BQ155" i="79"/>
  <c r="BQ159" i="79"/>
  <c r="BQ163" i="79"/>
  <c r="BQ167" i="79"/>
  <c r="BQ171" i="79"/>
  <c r="BQ175" i="79"/>
  <c r="BQ179" i="79"/>
  <c r="BQ183" i="79"/>
  <c r="BQ187" i="79"/>
  <c r="BQ191" i="79"/>
  <c r="BQ195" i="79"/>
  <c r="BQ199" i="79"/>
  <c r="BQ203" i="79"/>
  <c r="BQ207" i="79"/>
  <c r="BQ211" i="79"/>
  <c r="BM23" i="54"/>
  <c r="BH35" i="54"/>
  <c r="BO114" i="54"/>
  <c r="BN163" i="54"/>
  <c r="BH198" i="54"/>
  <c r="BM244" i="54"/>
  <c r="BM256" i="54"/>
  <c r="BM294" i="54"/>
  <c r="BH294" i="54"/>
  <c r="BP294" i="54"/>
  <c r="BM312" i="54"/>
  <c r="BM318" i="54"/>
  <c r="BH359" i="54"/>
  <c r="BN362" i="54"/>
  <c r="BP391" i="54"/>
  <c r="BM412" i="54"/>
  <c r="BH521" i="54"/>
  <c r="BM521" i="54"/>
  <c r="AE19" i="76"/>
  <c r="AG19" i="76"/>
  <c r="X19" i="76" s="1"/>
  <c r="AG21" i="76"/>
  <c r="X21" i="76" s="1"/>
  <c r="AG31" i="76"/>
  <c r="X31" i="76" s="1"/>
  <c r="AI31" i="76"/>
  <c r="AE33" i="76"/>
  <c r="AG33" i="76"/>
  <c r="X33" i="76" s="1"/>
  <c r="AG35" i="76"/>
  <c r="X35" i="76" s="1"/>
  <c r="AG50" i="76"/>
  <c r="X50" i="76" s="1"/>
  <c r="AI50" i="76"/>
  <c r="AF52" i="76"/>
  <c r="AH52" i="76"/>
  <c r="AJ52" i="76"/>
  <c r="AG58" i="76"/>
  <c r="X58" i="76" s="1"/>
  <c r="AF60" i="76"/>
  <c r="AH60" i="76"/>
  <c r="AJ60" i="76"/>
  <c r="AG81" i="76"/>
  <c r="X81" i="76" s="1"/>
  <c r="AG83" i="76"/>
  <c r="X83" i="76" s="1"/>
  <c r="AI83" i="76"/>
  <c r="AE95" i="76"/>
  <c r="AG95" i="76"/>
  <c r="X95" i="76" s="1"/>
  <c r="AG97" i="76"/>
  <c r="X97" i="76" s="1"/>
  <c r="AG112" i="76"/>
  <c r="X112" i="76" s="1"/>
  <c r="AI112" i="76"/>
  <c r="AG114" i="76"/>
  <c r="X114" i="76" s="1"/>
  <c r="AG124" i="76"/>
  <c r="X124" i="76" s="1"/>
  <c r="AE126" i="76"/>
  <c r="AG126" i="76"/>
  <c r="X126" i="76" s="1"/>
  <c r="AG128" i="76"/>
  <c r="X128" i="76" s="1"/>
  <c r="AG143" i="76"/>
  <c r="X143" i="76" s="1"/>
  <c r="AI143" i="76"/>
  <c r="AF145" i="76"/>
  <c r="AH145" i="76"/>
  <c r="AJ145" i="76"/>
  <c r="AF151" i="76"/>
  <c r="AH151" i="76"/>
  <c r="AJ151" i="76"/>
  <c r="AG159" i="76"/>
  <c r="X159" i="76" s="1"/>
  <c r="AI159" i="76"/>
  <c r="AG174" i="76"/>
  <c r="X174" i="76" s="1"/>
  <c r="AG176" i="76"/>
  <c r="X176" i="76" s="1"/>
  <c r="AE188" i="76"/>
  <c r="AG188" i="76"/>
  <c r="X188" i="76" s="1"/>
  <c r="AG190" i="76"/>
  <c r="X190" i="76" s="1"/>
  <c r="AG205" i="76"/>
  <c r="X205" i="76" s="1"/>
  <c r="AI205" i="76"/>
  <c r="AE207" i="76"/>
  <c r="AG207" i="76"/>
  <c r="X207" i="76" s="1"/>
  <c r="AG215" i="76"/>
  <c r="X215" i="76" s="1"/>
  <c r="AG217" i="76"/>
  <c r="X217" i="76" s="1"/>
  <c r="AI217" i="76"/>
  <c r="AG219" i="76"/>
  <c r="X219" i="76" s="1"/>
  <c r="AG221" i="76"/>
  <c r="X221" i="76" s="1"/>
  <c r="AF236" i="76"/>
  <c r="AH236" i="76"/>
  <c r="AJ236" i="76"/>
  <c r="AF244" i="76"/>
  <c r="AH244" i="76"/>
  <c r="AJ244" i="76"/>
  <c r="AG252" i="76"/>
  <c r="X252" i="76" s="1"/>
  <c r="AI252" i="76"/>
  <c r="AE267" i="76"/>
  <c r="AG267" i="76"/>
  <c r="X267" i="76" s="1"/>
  <c r="AG269" i="76"/>
  <c r="X269" i="76" s="1"/>
  <c r="AF277" i="76"/>
  <c r="AH277" i="76"/>
  <c r="AJ277" i="76"/>
  <c r="AG281" i="76"/>
  <c r="X281" i="76" s="1"/>
  <c r="AG283" i="76"/>
  <c r="X283" i="76" s="1"/>
  <c r="AE298" i="76"/>
  <c r="AG298" i="76"/>
  <c r="X298" i="76" s="1"/>
  <c r="AF300" i="76"/>
  <c r="AH300" i="76"/>
  <c r="AJ300" i="76"/>
  <c r="AG306" i="76"/>
  <c r="X306" i="76" s="1"/>
  <c r="AI306" i="76"/>
  <c r="AF308" i="76"/>
  <c r="AH308" i="76"/>
  <c r="AJ308" i="76"/>
  <c r="AF310" i="76"/>
  <c r="AH310" i="76"/>
  <c r="AJ310" i="76"/>
  <c r="AF312" i="76"/>
  <c r="AH312" i="76"/>
  <c r="AJ312" i="76"/>
  <c r="BI120" i="20"/>
  <c r="BJ120" i="20" s="1"/>
  <c r="W13" i="57"/>
  <c r="CX13" i="57"/>
  <c r="BW13" i="57" s="1"/>
  <c r="BW7" i="57" s="1"/>
  <c r="DB13" i="57"/>
  <c r="DD13" i="57"/>
  <c r="DF13" i="57"/>
  <c r="W14" i="57"/>
  <c r="CW14" i="57"/>
  <c r="DC14" i="57"/>
  <c r="DE14" i="57"/>
  <c r="DG14" i="57"/>
  <c r="W15" i="57"/>
  <c r="CZ15" i="57" s="1"/>
  <c r="DA15" i="57" s="1"/>
  <c r="CX15" i="57"/>
  <c r="DB15" i="57"/>
  <c r="DD15" i="57"/>
  <c r="DF15" i="57"/>
  <c r="W16" i="57"/>
  <c r="CZ16" i="57" s="1"/>
  <c r="CW16" i="57"/>
  <c r="DC16" i="57"/>
  <c r="DE16" i="57"/>
  <c r="DG16" i="57"/>
  <c r="W17" i="57"/>
  <c r="CX17" i="57"/>
  <c r="DB17" i="57"/>
  <c r="DD17" i="57"/>
  <c r="DF17" i="57"/>
  <c r="W18" i="57"/>
  <c r="CZ18" i="57" s="1"/>
  <c r="CW18" i="57"/>
  <c r="DC18" i="57"/>
  <c r="DE18" i="57"/>
  <c r="DG18" i="57"/>
  <c r="W19" i="57"/>
  <c r="CZ19" i="57" s="1"/>
  <c r="DA19" i="57" s="1"/>
  <c r="CX19" i="57"/>
  <c r="DB19" i="57"/>
  <c r="DD19" i="57"/>
  <c r="DF19" i="57"/>
  <c r="W20" i="57"/>
  <c r="CZ20" i="57" s="1"/>
  <c r="CW20" i="57"/>
  <c r="DC20" i="57"/>
  <c r="DE20" i="57"/>
  <c r="DG20" i="57"/>
  <c r="W21" i="57"/>
  <c r="CZ21" i="57" s="1"/>
  <c r="DA21" i="57" s="1"/>
  <c r="CX21" i="57"/>
  <c r="DB21" i="57"/>
  <c r="DD21" i="57"/>
  <c r="DF21" i="57"/>
  <c r="W22" i="57"/>
  <c r="CZ22" i="57" s="1"/>
  <c r="CW22" i="57"/>
  <c r="DC22" i="57"/>
  <c r="DE22" i="57"/>
  <c r="DG22" i="57"/>
  <c r="W23" i="57"/>
  <c r="CZ23" i="57" s="1"/>
  <c r="DA23" i="57" s="1"/>
  <c r="CX23" i="57"/>
  <c r="DB23" i="57"/>
  <c r="DD23" i="57"/>
  <c r="DF23" i="57"/>
  <c r="W24" i="57"/>
  <c r="CZ24" i="57" s="1"/>
  <c r="CW24" i="57"/>
  <c r="DC24" i="57"/>
  <c r="DE24" i="57"/>
  <c r="DG24" i="57"/>
  <c r="W25" i="57"/>
  <c r="CX25" i="57"/>
  <c r="DB25" i="57"/>
  <c r="DD25" i="57"/>
  <c r="DF25" i="57"/>
  <c r="W26" i="57"/>
  <c r="CZ26" i="57" s="1"/>
  <c r="CW26" i="57"/>
  <c r="DC26" i="57"/>
  <c r="DE26" i="57"/>
  <c r="DG26" i="57"/>
  <c r="CX27" i="57"/>
  <c r="DB27" i="57"/>
  <c r="DD27" i="57"/>
  <c r="DF27" i="57"/>
  <c r="W28" i="57"/>
  <c r="CZ28" i="57" s="1"/>
  <c r="CW28" i="57"/>
  <c r="DC28" i="57"/>
  <c r="DE28" i="57"/>
  <c r="DG28" i="57"/>
  <c r="W29" i="57"/>
  <c r="CZ29" i="57" s="1"/>
  <c r="DA29" i="57" s="1"/>
  <c r="CX29" i="57"/>
  <c r="DB29" i="57"/>
  <c r="DF29" i="57"/>
  <c r="W30" i="57"/>
  <c r="CZ30" i="57" s="1"/>
  <c r="CX30" i="57"/>
  <c r="DF30" i="57"/>
  <c r="AE210" i="57"/>
  <c r="AE208" i="57"/>
  <c r="AE206" i="57"/>
  <c r="AE204" i="57"/>
  <c r="AE202" i="57"/>
  <c r="AE200" i="57"/>
  <c r="AE198" i="57"/>
  <c r="AE196" i="57"/>
  <c r="AE194" i="57"/>
  <c r="AE192" i="57"/>
  <c r="AE190" i="57"/>
  <c r="AE188" i="57"/>
  <c r="AE186" i="57"/>
  <c r="AE184" i="57"/>
  <c r="AE182" i="57"/>
  <c r="AE180" i="57"/>
  <c r="AE178" i="57"/>
  <c r="AE176" i="57"/>
  <c r="AE174" i="57"/>
  <c r="AE172" i="57"/>
  <c r="AE170" i="57"/>
  <c r="AE168" i="57"/>
  <c r="AE166" i="57"/>
  <c r="AE164" i="57"/>
  <c r="AE162" i="57"/>
  <c r="AE160" i="57"/>
  <c r="AE158" i="57"/>
  <c r="AE156" i="57"/>
  <c r="AE154" i="57"/>
  <c r="AE152" i="57"/>
  <c r="AE150" i="57"/>
  <c r="AE148" i="57"/>
  <c r="AE146" i="57"/>
  <c r="AE144" i="57"/>
  <c r="AE142" i="57"/>
  <c r="AE140" i="57"/>
  <c r="AE138" i="57"/>
  <c r="AE136" i="57"/>
  <c r="AE134" i="57"/>
  <c r="AE132" i="57"/>
  <c r="AE130" i="57"/>
  <c r="AE128" i="57"/>
  <c r="AE126" i="57"/>
  <c r="AE124" i="57"/>
  <c r="AE122" i="57"/>
  <c r="AE120" i="57"/>
  <c r="AE118" i="57"/>
  <c r="AE116" i="57"/>
  <c r="AE114" i="57"/>
  <c r="AE112" i="57"/>
  <c r="AE110" i="57"/>
  <c r="AE108" i="57"/>
  <c r="AE106" i="57"/>
  <c r="AE104" i="57"/>
  <c r="AE102" i="57"/>
  <c r="AE100" i="57"/>
  <c r="AE98" i="57"/>
  <c r="AE96" i="57"/>
  <c r="AE94" i="57"/>
  <c r="AE92" i="57"/>
  <c r="AE90" i="57"/>
  <c r="AE88" i="57"/>
  <c r="AE86" i="57"/>
  <c r="AE84" i="57"/>
  <c r="AE82" i="57"/>
  <c r="AE80" i="57"/>
  <c r="AE78" i="57"/>
  <c r="AE76" i="57"/>
  <c r="AE74" i="57"/>
  <c r="AE72" i="57"/>
  <c r="AE70" i="57"/>
  <c r="AE68" i="57"/>
  <c r="AE66" i="57"/>
  <c r="AE64" i="57"/>
  <c r="AE62" i="57"/>
  <c r="AE60" i="57"/>
  <c r="AE58" i="57"/>
  <c r="AE56" i="57"/>
  <c r="AE54" i="57"/>
  <c r="AE52" i="57"/>
  <c r="AE50" i="57"/>
  <c r="AE48" i="57"/>
  <c r="AE46" i="57"/>
  <c r="AE44" i="57"/>
  <c r="AE42" i="57"/>
  <c r="AE40" i="57"/>
  <c r="AE38" i="57"/>
  <c r="AE36" i="57"/>
  <c r="AE34" i="57"/>
  <c r="AE32" i="57"/>
  <c r="AE30" i="57"/>
  <c r="AE28" i="57"/>
  <c r="AE26" i="57"/>
  <c r="AE24" i="57"/>
  <c r="AE22" i="57"/>
  <c r="AE20" i="57"/>
  <c r="AE18" i="57"/>
  <c r="AE16" i="57"/>
  <c r="AE14" i="57"/>
  <c r="AC211" i="57"/>
  <c r="AC209" i="57"/>
  <c r="AC207" i="57"/>
  <c r="AC205" i="57"/>
  <c r="AC203" i="57"/>
  <c r="AC201" i="57"/>
  <c r="AC199" i="57"/>
  <c r="AC197" i="57"/>
  <c r="AC195" i="57"/>
  <c r="AC193" i="57"/>
  <c r="AC191" i="57"/>
  <c r="AC189" i="57"/>
  <c r="AC187" i="57"/>
  <c r="AC185" i="57"/>
  <c r="AC183" i="57"/>
  <c r="AC181" i="57"/>
  <c r="AC179" i="57"/>
  <c r="AC177" i="57"/>
  <c r="AC175" i="57"/>
  <c r="AC173" i="57"/>
  <c r="AC171" i="57"/>
  <c r="AC169" i="57"/>
  <c r="AC167" i="57"/>
  <c r="AC165" i="57"/>
  <c r="AC163" i="57"/>
  <c r="AC161" i="57"/>
  <c r="AC159" i="57"/>
  <c r="AC157" i="57"/>
  <c r="AC155" i="57"/>
  <c r="AC153" i="57"/>
  <c r="AC151" i="57"/>
  <c r="AC149" i="57"/>
  <c r="AC147" i="57"/>
  <c r="AC145" i="57"/>
  <c r="AC143" i="57"/>
  <c r="AC141" i="57"/>
  <c r="AC139" i="57"/>
  <c r="AC137" i="57"/>
  <c r="AC135" i="57"/>
  <c r="AC133" i="57"/>
  <c r="AC131" i="57"/>
  <c r="AC129" i="57"/>
  <c r="AC127" i="57"/>
  <c r="AC125" i="57"/>
  <c r="AC123" i="57"/>
  <c r="AC121" i="57"/>
  <c r="AC119" i="57"/>
  <c r="AC117" i="57"/>
  <c r="AC115" i="57"/>
  <c r="AC113" i="57"/>
  <c r="AC111" i="57"/>
  <c r="AC109" i="57"/>
  <c r="AC107" i="57"/>
  <c r="AC105" i="57"/>
  <c r="AC103" i="57"/>
  <c r="AC101" i="57"/>
  <c r="AC99" i="57"/>
  <c r="AC97" i="57"/>
  <c r="AC95" i="57"/>
  <c r="AC93" i="57"/>
  <c r="AC91" i="57"/>
  <c r="AC89" i="57"/>
  <c r="AC87" i="57"/>
  <c r="AC85" i="57"/>
  <c r="AC83" i="57"/>
  <c r="AC81" i="57"/>
  <c r="AC79" i="57"/>
  <c r="AC77" i="57"/>
  <c r="AC75" i="57"/>
  <c r="AC73" i="57"/>
  <c r="AC71" i="57"/>
  <c r="AC69" i="57"/>
  <c r="AC67" i="57"/>
  <c r="AC65" i="57"/>
  <c r="AC63" i="57"/>
  <c r="AC61" i="57"/>
  <c r="AC59" i="57"/>
  <c r="AC57" i="57"/>
  <c r="AC55" i="57"/>
  <c r="AC53" i="57"/>
  <c r="AC51" i="57"/>
  <c r="AC49" i="57"/>
  <c r="AC47" i="57"/>
  <c r="AC45" i="57"/>
  <c r="AC43" i="57"/>
  <c r="AC41" i="57"/>
  <c r="AC39" i="57"/>
  <c r="AC37" i="57"/>
  <c r="AC35" i="57"/>
  <c r="AC33" i="57"/>
  <c r="AC31" i="57"/>
  <c r="AC29" i="57"/>
  <c r="AC27" i="57"/>
  <c r="AC25" i="57"/>
  <c r="AC23" i="57"/>
  <c r="AC21" i="57"/>
  <c r="AC19" i="57"/>
  <c r="AC17" i="57"/>
  <c r="AC15" i="57"/>
  <c r="AE211" i="57"/>
  <c r="AE209" i="57"/>
  <c r="AE207" i="57"/>
  <c r="AE205" i="57"/>
  <c r="AE203" i="57"/>
  <c r="AE201" i="57"/>
  <c r="AE199" i="57"/>
  <c r="AE197" i="57"/>
  <c r="AE195" i="57"/>
  <c r="AE193" i="57"/>
  <c r="AE191" i="57"/>
  <c r="AE189" i="57"/>
  <c r="AE187" i="57"/>
  <c r="AE185" i="57"/>
  <c r="AE183" i="57"/>
  <c r="AE181" i="57"/>
  <c r="AE179" i="57"/>
  <c r="AE177" i="57"/>
  <c r="AE175" i="57"/>
  <c r="AE173" i="57"/>
  <c r="AE171" i="57"/>
  <c r="AE169" i="57"/>
  <c r="AE167" i="57"/>
  <c r="AE165" i="57"/>
  <c r="AE163" i="57"/>
  <c r="AE161" i="57"/>
  <c r="AE159" i="57"/>
  <c r="AE157" i="57"/>
  <c r="AE155" i="57"/>
  <c r="AE153" i="57"/>
  <c r="AE151" i="57"/>
  <c r="AE149" i="57"/>
  <c r="AE147" i="57"/>
  <c r="AE145" i="57"/>
  <c r="AE143" i="57"/>
  <c r="AE141" i="57"/>
  <c r="AE139" i="57"/>
  <c r="AE137" i="57"/>
  <c r="AE135" i="57"/>
  <c r="AE133" i="57"/>
  <c r="AE131" i="57"/>
  <c r="AE129" i="57"/>
  <c r="AE127" i="57"/>
  <c r="AE125" i="57"/>
  <c r="AE123" i="57"/>
  <c r="AE121" i="57"/>
  <c r="AE119" i="57"/>
  <c r="AE117" i="57"/>
  <c r="AE115" i="57"/>
  <c r="AE113" i="57"/>
  <c r="AE111" i="57"/>
  <c r="AE109" i="57"/>
  <c r="AE107" i="57"/>
  <c r="AE105" i="57"/>
  <c r="AE103" i="57"/>
  <c r="AE101" i="57"/>
  <c r="AE99" i="57"/>
  <c r="AE97" i="57"/>
  <c r="AE95" i="57"/>
  <c r="AE93" i="57"/>
  <c r="AE91" i="57"/>
  <c r="AE89" i="57"/>
  <c r="AE87" i="57"/>
  <c r="AE85" i="57"/>
  <c r="AE83" i="57"/>
  <c r="AE81" i="57"/>
  <c r="AE79" i="57"/>
  <c r="AE77" i="57"/>
  <c r="AE75" i="57"/>
  <c r="AE73" i="57"/>
  <c r="AE71" i="57"/>
  <c r="AE69" i="57"/>
  <c r="AE67" i="57"/>
  <c r="AE65" i="57"/>
  <c r="AE63" i="57"/>
  <c r="AE61" i="57"/>
  <c r="AE59" i="57"/>
  <c r="AE57" i="57"/>
  <c r="AE55" i="57"/>
  <c r="AE53" i="57"/>
  <c r="AE51" i="57"/>
  <c r="AE49" i="57"/>
  <c r="AE47" i="57"/>
  <c r="AE45" i="57"/>
  <c r="AE43" i="57"/>
  <c r="AE41" i="57"/>
  <c r="AE39" i="57"/>
  <c r="AE37" i="57"/>
  <c r="AE35" i="57"/>
  <c r="AE33" i="57"/>
  <c r="AE31" i="57"/>
  <c r="AE29" i="57"/>
  <c r="AE27" i="57"/>
  <c r="AE25" i="57"/>
  <c r="AE23" i="57"/>
  <c r="AE21" i="57"/>
  <c r="AE19" i="57"/>
  <c r="AE17" i="57"/>
  <c r="AE15" i="57"/>
  <c r="AC210" i="57"/>
  <c r="AC208" i="57"/>
  <c r="AC206" i="57"/>
  <c r="AC204" i="57"/>
  <c r="AC202" i="57"/>
  <c r="AC200" i="57"/>
  <c r="AC198" i="57"/>
  <c r="AC196" i="57"/>
  <c r="AC194" i="57"/>
  <c r="AC192" i="57"/>
  <c r="AC190" i="57"/>
  <c r="AC188" i="57"/>
  <c r="AC186" i="57"/>
  <c r="AC184" i="57"/>
  <c r="AC182" i="57"/>
  <c r="AC180" i="57"/>
  <c r="AC178" i="57"/>
  <c r="AC176" i="57"/>
  <c r="AC174" i="57"/>
  <c r="AC172" i="57"/>
  <c r="AC170" i="57"/>
  <c r="AC168" i="57"/>
  <c r="AC166" i="57"/>
  <c r="AC164" i="57"/>
  <c r="AC162" i="57"/>
  <c r="AC160" i="57"/>
  <c r="AC158" i="57"/>
  <c r="AC156" i="57"/>
  <c r="AC154" i="57"/>
  <c r="AC152" i="57"/>
  <c r="AC150" i="57"/>
  <c r="AC148" i="57"/>
  <c r="AC146" i="57"/>
  <c r="AC144" i="57"/>
  <c r="AC142" i="57"/>
  <c r="AC140" i="57"/>
  <c r="AC138" i="57"/>
  <c r="AC136" i="57"/>
  <c r="AC134" i="57"/>
  <c r="AC132" i="57"/>
  <c r="AC130" i="57"/>
  <c r="AC128" i="57"/>
  <c r="AC126" i="57"/>
  <c r="AC124" i="57"/>
  <c r="AC122" i="57"/>
  <c r="AC120" i="57"/>
  <c r="AC118" i="57"/>
  <c r="AC116" i="57"/>
  <c r="AC114" i="57"/>
  <c r="AC112" i="57"/>
  <c r="AC110" i="57"/>
  <c r="AC108" i="57"/>
  <c r="AC106" i="57"/>
  <c r="AC104" i="57"/>
  <c r="AC102" i="57"/>
  <c r="AC100" i="57"/>
  <c r="AC98" i="57"/>
  <c r="AC96" i="57"/>
  <c r="AC94" i="57"/>
  <c r="AC92" i="57"/>
  <c r="AC90" i="57"/>
  <c r="AC88" i="57"/>
  <c r="AC86" i="57"/>
  <c r="AC84" i="57"/>
  <c r="AC82" i="57"/>
  <c r="AC80" i="57"/>
  <c r="AC78" i="57"/>
  <c r="AC76" i="57"/>
  <c r="AC74" i="57"/>
  <c r="AC72" i="57"/>
  <c r="AC70" i="57"/>
  <c r="AC68" i="57"/>
  <c r="AC66" i="57"/>
  <c r="AC64" i="57"/>
  <c r="AC62" i="57"/>
  <c r="AC60" i="57"/>
  <c r="AC58" i="57"/>
  <c r="AC56" i="57"/>
  <c r="AC54" i="57"/>
  <c r="AC52" i="57"/>
  <c r="AC50" i="57"/>
  <c r="AC48" i="57"/>
  <c r="AC46" i="57"/>
  <c r="AC44" i="57"/>
  <c r="AC42" i="57"/>
  <c r="AC40" i="57"/>
  <c r="AC38" i="57"/>
  <c r="AC36" i="57"/>
  <c r="AC34" i="57"/>
  <c r="AC32" i="57"/>
  <c r="AC30" i="57"/>
  <c r="AC28" i="57"/>
  <c r="AC26" i="57"/>
  <c r="AC24" i="57"/>
  <c r="AC22" i="57"/>
  <c r="AC20" i="57"/>
  <c r="AC18" i="57"/>
  <c r="AC16" i="57"/>
  <c r="AC14" i="57"/>
  <c r="DC211" i="57"/>
  <c r="CW211" i="57"/>
  <c r="DB210" i="57"/>
  <c r="DC209" i="57"/>
  <c r="CW209" i="57"/>
  <c r="DC208" i="57"/>
  <c r="CW208" i="57"/>
  <c r="W208" i="57"/>
  <c r="CZ208" i="57" s="1"/>
  <c r="DB207" i="57"/>
  <c r="DB206" i="57"/>
  <c r="DC205" i="57"/>
  <c r="CW205" i="57"/>
  <c r="DB204" i="57"/>
  <c r="DC203" i="57"/>
  <c r="CW203" i="57"/>
  <c r="DB202" i="57"/>
  <c r="DC201" i="57"/>
  <c r="CW201" i="57"/>
  <c r="DB200" i="57"/>
  <c r="DC199" i="57"/>
  <c r="CW199" i="57"/>
  <c r="DB198" i="57"/>
  <c r="DC197" i="57"/>
  <c r="CW197" i="57"/>
  <c r="DB196" i="57"/>
  <c r="DC195" i="57"/>
  <c r="CW195" i="57"/>
  <c r="W195" i="57"/>
  <c r="CZ195" i="57" s="1"/>
  <c r="DA195" i="57" s="1"/>
  <c r="DB194" i="57"/>
  <c r="DC193" i="57"/>
  <c r="CW193" i="57"/>
  <c r="DB192" i="57"/>
  <c r="DC191" i="57"/>
  <c r="CW191" i="57"/>
  <c r="DC190" i="57"/>
  <c r="CW190" i="57"/>
  <c r="W190" i="57"/>
  <c r="CZ190" i="57" s="1"/>
  <c r="DB189" i="57"/>
  <c r="DC188" i="57"/>
  <c r="CW188" i="57"/>
  <c r="W188" i="57"/>
  <c r="CZ188" i="57" s="1"/>
  <c r="DB187" i="57"/>
  <c r="W187" i="57"/>
  <c r="DC186" i="57"/>
  <c r="CW186" i="57"/>
  <c r="W186" i="57"/>
  <c r="CZ186" i="57" s="1"/>
  <c r="DB185" i="57"/>
  <c r="W185" i="57"/>
  <c r="CZ185" i="57" s="1"/>
  <c r="DA185" i="57" s="1"/>
  <c r="DC184" i="57"/>
  <c r="CW184" i="57"/>
  <c r="W184" i="57"/>
  <c r="DB183" i="57"/>
  <c r="DC182" i="57"/>
  <c r="CW182" i="57"/>
  <c r="W182" i="57"/>
  <c r="CZ182" i="57" s="1"/>
  <c r="DB181" i="57"/>
  <c r="W181" i="57"/>
  <c r="CZ181" i="57" s="1"/>
  <c r="DA181" i="57" s="1"/>
  <c r="DC180" i="57"/>
  <c r="CW180" i="57"/>
  <c r="W180" i="57"/>
  <c r="CZ180" i="57" s="1"/>
  <c r="DB179" i="57"/>
  <c r="W211" i="57"/>
  <c r="CZ211" i="57" s="1"/>
  <c r="DA211" i="57" s="1"/>
  <c r="DC210" i="57"/>
  <c r="CW210" i="57"/>
  <c r="W210" i="57"/>
  <c r="CZ210" i="57" s="1"/>
  <c r="W209" i="57"/>
  <c r="DB205" i="57"/>
  <c r="DB203" i="57"/>
  <c r="DB201" i="57"/>
  <c r="DB199" i="57"/>
  <c r="DB197" i="57"/>
  <c r="DB195" i="57"/>
  <c r="DC194" i="57"/>
  <c r="CW194" i="57"/>
  <c r="W194" i="57"/>
  <c r="W193" i="57"/>
  <c r="CZ193" i="57" s="1"/>
  <c r="DA193" i="57" s="1"/>
  <c r="DC192" i="57"/>
  <c r="CW192" i="57"/>
  <c r="W192" i="57"/>
  <c r="CZ192" i="57" s="1"/>
  <c r="W191" i="57"/>
  <c r="CZ191" i="57" s="1"/>
  <c r="DA191" i="57" s="1"/>
  <c r="DB188" i="57"/>
  <c r="DC187" i="57"/>
  <c r="CW187" i="57"/>
  <c r="DB186" i="57"/>
  <c r="DC185" i="57"/>
  <c r="CW185" i="57"/>
  <c r="DB184" i="57"/>
  <c r="DC183" i="57"/>
  <c r="CW183" i="57"/>
  <c r="W183" i="57"/>
  <c r="CZ183" i="57" s="1"/>
  <c r="DA183" i="57" s="1"/>
  <c r="CW179" i="57"/>
  <c r="W179" i="57"/>
  <c r="CZ179" i="57" s="1"/>
  <c r="DA179" i="57" s="1"/>
  <c r="DC178" i="57"/>
  <c r="CW178" i="57"/>
  <c r="W178" i="57"/>
  <c r="CZ178" i="57" s="1"/>
  <c r="DB177" i="57"/>
  <c r="W177" i="57"/>
  <c r="CZ177" i="57" s="1"/>
  <c r="DA177" i="57" s="1"/>
  <c r="DC176" i="57"/>
  <c r="CW176" i="57"/>
  <c r="W176" i="57"/>
  <c r="CZ176" i="57" s="1"/>
  <c r="DB175" i="57"/>
  <c r="W175" i="57"/>
  <c r="CZ175" i="57" s="1"/>
  <c r="DA175" i="57" s="1"/>
  <c r="DB174" i="57"/>
  <c r="DC173" i="57"/>
  <c r="CW173" i="57"/>
  <c r="W173" i="57"/>
  <c r="CZ173" i="57" s="1"/>
  <c r="DA173" i="57" s="1"/>
  <c r="DC172" i="57"/>
  <c r="CW172" i="57"/>
  <c r="W172" i="57"/>
  <c r="CZ172" i="57" s="1"/>
  <c r="DB171" i="57"/>
  <c r="DB170" i="57"/>
  <c r="DC169" i="57"/>
  <c r="CW169" i="57"/>
  <c r="DB168" i="57"/>
  <c r="DC167" i="57"/>
  <c r="CW167" i="57"/>
  <c r="W167" i="57"/>
  <c r="DB166" i="57"/>
  <c r="DC165" i="57"/>
  <c r="CW165" i="57"/>
  <c r="W165" i="57"/>
  <c r="CZ165" i="57" s="1"/>
  <c r="DA165" i="57" s="1"/>
  <c r="DC164" i="57"/>
  <c r="CW164" i="57"/>
  <c r="W164" i="57"/>
  <c r="DB163" i="57"/>
  <c r="W163" i="57"/>
  <c r="CZ163" i="57" s="1"/>
  <c r="DA163" i="57" s="1"/>
  <c r="DC162" i="57"/>
  <c r="CW162" i="57"/>
  <c r="W162" i="57"/>
  <c r="CZ162" i="57" s="1"/>
  <c r="DB161" i="57"/>
  <c r="W161" i="57"/>
  <c r="DC160" i="57"/>
  <c r="CW160" i="57"/>
  <c r="W160" i="57"/>
  <c r="CZ160" i="57" s="1"/>
  <c r="DB159" i="57"/>
  <c r="W159" i="57"/>
  <c r="CZ159" i="57" s="1"/>
  <c r="DA159" i="57" s="1"/>
  <c r="DC158" i="57"/>
  <c r="CW158" i="57"/>
  <c r="W158" i="57"/>
  <c r="DB157" i="57"/>
  <c r="W157" i="57"/>
  <c r="CZ157" i="57" s="1"/>
  <c r="DA157" i="57" s="1"/>
  <c r="DB156" i="57"/>
  <c r="DC155" i="57"/>
  <c r="CW155" i="57"/>
  <c r="DC154" i="57"/>
  <c r="CW154" i="57"/>
  <c r="W154" i="57"/>
  <c r="DB153" i="57"/>
  <c r="W153" i="57"/>
  <c r="CZ153" i="57" s="1"/>
  <c r="DA153" i="57" s="1"/>
  <c r="DC152" i="57"/>
  <c r="CW152" i="57"/>
  <c r="W152" i="57"/>
  <c r="CZ152" i="57" s="1"/>
  <c r="DB151" i="57"/>
  <c r="W151" i="57"/>
  <c r="DB150" i="57"/>
  <c r="DC149" i="57"/>
  <c r="CW149" i="57"/>
  <c r="W149" i="57"/>
  <c r="CZ149" i="57" s="1"/>
  <c r="DA149" i="57" s="1"/>
  <c r="DC148" i="57"/>
  <c r="CW148" i="57"/>
  <c r="W148" i="57"/>
  <c r="CZ148" i="57" s="1"/>
  <c r="DB147" i="57"/>
  <c r="DC146" i="57"/>
  <c r="CW146" i="57"/>
  <c r="W146" i="57"/>
  <c r="DB145" i="57"/>
  <c r="W145" i="57"/>
  <c r="CZ145" i="57" s="1"/>
  <c r="DA145" i="57" s="1"/>
  <c r="DC144" i="57"/>
  <c r="CW144" i="57"/>
  <c r="W144" i="57"/>
  <c r="DB143" i="57"/>
  <c r="W143" i="57"/>
  <c r="CZ143" i="57" s="1"/>
  <c r="DA143" i="57" s="1"/>
  <c r="DB142" i="57"/>
  <c r="DC141" i="57"/>
  <c r="CW141" i="57"/>
  <c r="W141" i="57"/>
  <c r="CZ141" i="57" s="1"/>
  <c r="DA141" i="57" s="1"/>
  <c r="DC140" i="57"/>
  <c r="CW140" i="57"/>
  <c r="W140" i="57"/>
  <c r="DB211" i="57"/>
  <c r="DB209" i="57"/>
  <c r="DB208" i="57"/>
  <c r="DC207" i="57"/>
  <c r="CW207" i="57"/>
  <c r="W207" i="57"/>
  <c r="CZ207" i="57" s="1"/>
  <c r="DA207" i="57" s="1"/>
  <c r="DC206" i="57"/>
  <c r="CW206" i="57"/>
  <c r="W206" i="57"/>
  <c r="CZ206" i="57" s="1"/>
  <c r="W205" i="57"/>
  <c r="CZ205" i="57" s="1"/>
  <c r="DA205" i="57" s="1"/>
  <c r="DC204" i="57"/>
  <c r="CW204" i="57"/>
  <c r="W204" i="57"/>
  <c r="CZ204" i="57" s="1"/>
  <c r="W203" i="57"/>
  <c r="CZ203" i="57" s="1"/>
  <c r="DA203" i="57" s="1"/>
  <c r="DC202" i="57"/>
  <c r="CW202" i="57"/>
  <c r="W202" i="57"/>
  <c r="CZ202" i="57" s="1"/>
  <c r="W201" i="57"/>
  <c r="CZ201" i="57" s="1"/>
  <c r="DA201" i="57" s="1"/>
  <c r="DC200" i="57"/>
  <c r="CW200" i="57"/>
  <c r="W200" i="57"/>
  <c r="CZ200" i="57" s="1"/>
  <c r="W199" i="57"/>
  <c r="CZ199" i="57" s="1"/>
  <c r="DA199" i="57" s="1"/>
  <c r="DC198" i="57"/>
  <c r="CW198" i="57"/>
  <c r="W198" i="57"/>
  <c r="CZ198" i="57" s="1"/>
  <c r="W197" i="57"/>
  <c r="DC196" i="57"/>
  <c r="CW196" i="57"/>
  <c r="W196" i="57"/>
  <c r="CZ196" i="57" s="1"/>
  <c r="DB193" i="57"/>
  <c r="DB191" i="57"/>
  <c r="DB190" i="57"/>
  <c r="DC189" i="57"/>
  <c r="CW189" i="57"/>
  <c r="W189" i="57"/>
  <c r="CZ189" i="57" s="1"/>
  <c r="DA189" i="57" s="1"/>
  <c r="DB182" i="57"/>
  <c r="DC181" i="57"/>
  <c r="CW181" i="57"/>
  <c r="DB180" i="57"/>
  <c r="DC179" i="57"/>
  <c r="DB178" i="57"/>
  <c r="DC177" i="57"/>
  <c r="CW177" i="57"/>
  <c r="DB176" i="57"/>
  <c r="DC175" i="57"/>
  <c r="CW175" i="57"/>
  <c r="DC174" i="57"/>
  <c r="CW174" i="57"/>
  <c r="W174" i="57"/>
  <c r="CZ174" i="57" s="1"/>
  <c r="DB173" i="57"/>
  <c r="DB172" i="57"/>
  <c r="DC171" i="57"/>
  <c r="CW171" i="57"/>
  <c r="W171" i="57"/>
  <c r="CZ171" i="57" s="1"/>
  <c r="DA171" i="57" s="1"/>
  <c r="DC170" i="57"/>
  <c r="CW170" i="57"/>
  <c r="W170" i="57"/>
  <c r="CZ170" i="57" s="1"/>
  <c r="DB169" i="57"/>
  <c r="W169" i="57"/>
  <c r="CZ169" i="57" s="1"/>
  <c r="DA169" i="57" s="1"/>
  <c r="DC168" i="57"/>
  <c r="CW168" i="57"/>
  <c r="W168" i="57"/>
  <c r="CZ168" i="57" s="1"/>
  <c r="DB167" i="57"/>
  <c r="DC166" i="57"/>
  <c r="CW166" i="57"/>
  <c r="W166" i="57"/>
  <c r="CZ166" i="57" s="1"/>
  <c r="DB165" i="57"/>
  <c r="DB164" i="57"/>
  <c r="DC163" i="57"/>
  <c r="CW163" i="57"/>
  <c r="DB162" i="57"/>
  <c r="DC161" i="57"/>
  <c r="CW161" i="57"/>
  <c r="DB160" i="57"/>
  <c r="DC159" i="57"/>
  <c r="CW159" i="57"/>
  <c r="DB158" i="57"/>
  <c r="DC157" i="57"/>
  <c r="CW157" i="57"/>
  <c r="DC156" i="57"/>
  <c r="CW156" i="57"/>
  <c r="W156" i="57"/>
  <c r="DB155" i="57"/>
  <c r="W155" i="57"/>
  <c r="CZ155" i="57" s="1"/>
  <c r="DA155" i="57" s="1"/>
  <c r="DB154" i="57"/>
  <c r="DC153" i="57"/>
  <c r="CW153" i="57"/>
  <c r="DB152" i="57"/>
  <c r="DC151" i="57"/>
  <c r="CW151" i="57"/>
  <c r="DC150" i="57"/>
  <c r="CW150" i="57"/>
  <c r="W150" i="57"/>
  <c r="CZ150" i="57" s="1"/>
  <c r="DB149" i="57"/>
  <c r="DB148" i="57"/>
  <c r="DC147" i="57"/>
  <c r="CW147" i="57"/>
  <c r="W147" i="57"/>
  <c r="CZ147" i="57" s="1"/>
  <c r="DA147" i="57" s="1"/>
  <c r="DB146" i="57"/>
  <c r="DC145" i="57"/>
  <c r="CW145" i="57"/>
  <c r="DB144" i="57"/>
  <c r="DC143" i="57"/>
  <c r="CW143" i="57"/>
  <c r="DC142" i="57"/>
  <c r="CW142" i="57"/>
  <c r="W142" i="57"/>
  <c r="CZ142" i="57" s="1"/>
  <c r="DB141" i="57"/>
  <c r="DC139" i="57"/>
  <c r="CW139" i="57"/>
  <c r="W139" i="57"/>
  <c r="CZ139" i="57" s="1"/>
  <c r="DA139" i="57" s="1"/>
  <c r="DB138" i="57"/>
  <c r="DC137" i="57"/>
  <c r="CW137" i="57"/>
  <c r="DC136" i="57"/>
  <c r="CW136" i="57"/>
  <c r="W136" i="57"/>
  <c r="CZ136" i="57" s="1"/>
  <c r="DB135" i="57"/>
  <c r="DB134" i="57"/>
  <c r="DC133" i="57"/>
  <c r="CW133" i="57"/>
  <c r="DB132" i="57"/>
  <c r="DC131" i="57"/>
  <c r="CW131" i="57"/>
  <c r="W131" i="57"/>
  <c r="CZ131" i="57" s="1"/>
  <c r="DA131" i="57" s="1"/>
  <c r="DC130" i="57"/>
  <c r="CW130" i="57"/>
  <c r="W130" i="57"/>
  <c r="DB129" i="57"/>
  <c r="W129" i="57"/>
  <c r="CZ129" i="57" s="1"/>
  <c r="DA129" i="57" s="1"/>
  <c r="DB128" i="57"/>
  <c r="DC127" i="57"/>
  <c r="CW127" i="57"/>
  <c r="DB126" i="57"/>
  <c r="DC125" i="57"/>
  <c r="CW125" i="57"/>
  <c r="DB124" i="57"/>
  <c r="DC123" i="57"/>
  <c r="CW123" i="57"/>
  <c r="DB122" i="57"/>
  <c r="DC121" i="57"/>
  <c r="CW121" i="57"/>
  <c r="DB120" i="57"/>
  <c r="DC119" i="57"/>
  <c r="CW119" i="57"/>
  <c r="W119" i="57"/>
  <c r="DB118" i="57"/>
  <c r="DC117" i="57"/>
  <c r="CW117" i="57"/>
  <c r="DB116" i="57"/>
  <c r="DC115" i="57"/>
  <c r="CW115" i="57"/>
  <c r="DB114" i="57"/>
  <c r="DC113" i="57"/>
  <c r="CW113" i="57"/>
  <c r="W113" i="57"/>
  <c r="CZ113" i="57" s="1"/>
  <c r="DA113" i="57" s="1"/>
  <c r="DB112" i="57"/>
  <c r="DC111" i="57"/>
  <c r="CW111" i="57"/>
  <c r="DB110" i="57"/>
  <c r="DC109" i="57"/>
  <c r="CW109" i="57"/>
  <c r="DB108" i="57"/>
  <c r="DC107" i="57"/>
  <c r="CW107" i="57"/>
  <c r="DB106" i="57"/>
  <c r="DC105" i="57"/>
  <c r="CW105" i="57"/>
  <c r="DB104" i="57"/>
  <c r="DC103" i="57"/>
  <c r="CW103" i="57"/>
  <c r="DB102" i="57"/>
  <c r="DC101" i="57"/>
  <c r="CW101" i="57"/>
  <c r="DB100" i="57"/>
  <c r="DC99" i="57"/>
  <c r="CW99" i="57"/>
  <c r="DB98" i="57"/>
  <c r="DC97" i="57"/>
  <c r="CW97" i="57"/>
  <c r="DC96" i="57"/>
  <c r="CW96" i="57"/>
  <c r="W96" i="57"/>
  <c r="CZ96" i="57" s="1"/>
  <c r="DB95" i="57"/>
  <c r="DB94" i="57"/>
  <c r="DC93" i="57"/>
  <c r="CW93" i="57"/>
  <c r="DB92" i="57"/>
  <c r="DC91" i="57"/>
  <c r="CW91" i="57"/>
  <c r="W91" i="57"/>
  <c r="CZ91" i="57" s="1"/>
  <c r="DA91" i="57" s="1"/>
  <c r="DC90" i="57"/>
  <c r="CW90" i="57"/>
  <c r="W90" i="57"/>
  <c r="CZ90" i="57" s="1"/>
  <c r="DB89" i="57"/>
  <c r="DB88" i="57"/>
  <c r="DC87" i="57"/>
  <c r="CW87" i="57"/>
  <c r="DB86" i="57"/>
  <c r="DC85" i="57"/>
  <c r="CW85" i="57"/>
  <c r="DB84" i="57"/>
  <c r="DC83" i="57"/>
  <c r="CW83" i="57"/>
  <c r="W83" i="57"/>
  <c r="CZ83" i="57" s="1"/>
  <c r="DA83" i="57" s="1"/>
  <c r="DC82" i="57"/>
  <c r="CW82" i="57"/>
  <c r="W82" i="57"/>
  <c r="DB81" i="57"/>
  <c r="W81" i="57"/>
  <c r="CZ81" i="57" s="1"/>
  <c r="DA81" i="57" s="1"/>
  <c r="DC80" i="57"/>
  <c r="CW80" i="57"/>
  <c r="W80" i="57"/>
  <c r="CZ80" i="57" s="1"/>
  <c r="DB79" i="57"/>
  <c r="W79" i="57"/>
  <c r="CZ79" i="57" s="1"/>
  <c r="DA79" i="57" s="1"/>
  <c r="DB78" i="57"/>
  <c r="DC77" i="57"/>
  <c r="CW77" i="57"/>
  <c r="W77" i="57"/>
  <c r="CZ77" i="57" s="1"/>
  <c r="DA77" i="57" s="1"/>
  <c r="DC76" i="57"/>
  <c r="CW76" i="57"/>
  <c r="W76" i="57"/>
  <c r="CZ76" i="57" s="1"/>
  <c r="DB75" i="57"/>
  <c r="DB74" i="57"/>
  <c r="DC73" i="57"/>
  <c r="CW73" i="57"/>
  <c r="W73" i="57"/>
  <c r="CZ73" i="57" s="1"/>
  <c r="DA73" i="57" s="1"/>
  <c r="DC72" i="57"/>
  <c r="CW72" i="57"/>
  <c r="W72" i="57"/>
  <c r="CZ72" i="57" s="1"/>
  <c r="DB71" i="57"/>
  <c r="W71" i="57"/>
  <c r="DC70" i="57"/>
  <c r="CW70" i="57"/>
  <c r="W70" i="57"/>
  <c r="CZ70" i="57" s="1"/>
  <c r="DB69" i="57"/>
  <c r="W69" i="57"/>
  <c r="CZ69" i="57" s="1"/>
  <c r="DA69" i="57" s="1"/>
  <c r="DC68" i="57"/>
  <c r="CW68" i="57"/>
  <c r="W68" i="57"/>
  <c r="DB67" i="57"/>
  <c r="DC66" i="57"/>
  <c r="CW66" i="57"/>
  <c r="W66" i="57"/>
  <c r="CZ66" i="57" s="1"/>
  <c r="DB65" i="57"/>
  <c r="W65" i="57"/>
  <c r="CZ65" i="57" s="1"/>
  <c r="DA65" i="57" s="1"/>
  <c r="DC64" i="57"/>
  <c r="CW64" i="57"/>
  <c r="W64" i="57"/>
  <c r="CZ64" i="57" s="1"/>
  <c r="DB63" i="57"/>
  <c r="W63" i="57"/>
  <c r="CZ63" i="57" s="1"/>
  <c r="DA63" i="57" s="1"/>
  <c r="DC62" i="57"/>
  <c r="CW62" i="57"/>
  <c r="W62" i="57"/>
  <c r="CZ62" i="57" s="1"/>
  <c r="DB61" i="57"/>
  <c r="W61" i="57"/>
  <c r="DC60" i="57"/>
  <c r="CW60" i="57"/>
  <c r="W60" i="57"/>
  <c r="CZ60" i="57" s="1"/>
  <c r="DB59" i="57"/>
  <c r="DB58" i="57"/>
  <c r="DC57" i="57"/>
  <c r="CW57" i="57"/>
  <c r="W57" i="57"/>
  <c r="DB56" i="57"/>
  <c r="DC55" i="57"/>
  <c r="CW55" i="57"/>
  <c r="DB54" i="57"/>
  <c r="DC53" i="57"/>
  <c r="CW53" i="57"/>
  <c r="DB52" i="57"/>
  <c r="DC51" i="57"/>
  <c r="CW51" i="57"/>
  <c r="W51" i="57"/>
  <c r="CZ51" i="57" s="1"/>
  <c r="DA51" i="57" s="1"/>
  <c r="DC50" i="57"/>
  <c r="CW50" i="57"/>
  <c r="W50" i="57"/>
  <c r="CZ50" i="57" s="1"/>
  <c r="DB49" i="57"/>
  <c r="DB48" i="57"/>
  <c r="DC47" i="57"/>
  <c r="CW47" i="57"/>
  <c r="W47" i="57"/>
  <c r="CZ47" i="57" s="1"/>
  <c r="DA47" i="57" s="1"/>
  <c r="DC46" i="57"/>
  <c r="CW46" i="57"/>
  <c r="W46" i="57"/>
  <c r="CZ46" i="57" s="1"/>
  <c r="DB45" i="57"/>
  <c r="W45" i="57"/>
  <c r="DC44" i="57"/>
  <c r="CW44" i="57"/>
  <c r="W44" i="57"/>
  <c r="DB43" i="57"/>
  <c r="DB42" i="57"/>
  <c r="DC41" i="57"/>
  <c r="CW41" i="57"/>
  <c r="DB40" i="57"/>
  <c r="DC39" i="57"/>
  <c r="CW39" i="57"/>
  <c r="DB38" i="57"/>
  <c r="DC37" i="57"/>
  <c r="CW37" i="57"/>
  <c r="DB36" i="57"/>
  <c r="DC35" i="57"/>
  <c r="CW35" i="57"/>
  <c r="DB34" i="57"/>
  <c r="DC33" i="57"/>
  <c r="CW33" i="57"/>
  <c r="W33" i="57"/>
  <c r="CZ33" i="57" s="1"/>
  <c r="DA33" i="57" s="1"/>
  <c r="DC32" i="57"/>
  <c r="CW32" i="57"/>
  <c r="W32" i="57"/>
  <c r="CZ32" i="57" s="1"/>
  <c r="DB31" i="57"/>
  <c r="W31" i="57"/>
  <c r="DB140" i="57"/>
  <c r="DB139" i="57"/>
  <c r="DC138" i="57"/>
  <c r="CW138" i="57"/>
  <c r="W138" i="57"/>
  <c r="CZ138" i="57" s="1"/>
  <c r="DB137" i="57"/>
  <c r="W137" i="57"/>
  <c r="CZ137" i="57" s="1"/>
  <c r="DA137" i="57" s="1"/>
  <c r="DB136" i="57"/>
  <c r="DC135" i="57"/>
  <c r="CW135" i="57"/>
  <c r="W135" i="57"/>
  <c r="CZ135" i="57" s="1"/>
  <c r="DA135" i="57" s="1"/>
  <c r="DC134" i="57"/>
  <c r="CW134" i="57"/>
  <c r="W134" i="57"/>
  <c r="CZ134" i="57" s="1"/>
  <c r="DB133" i="57"/>
  <c r="W133" i="57"/>
  <c r="DC132" i="57"/>
  <c r="CW132" i="57"/>
  <c r="W132" i="57"/>
  <c r="CZ132" i="57" s="1"/>
  <c r="DB131" i="57"/>
  <c r="DB130" i="57"/>
  <c r="DC129" i="57"/>
  <c r="CW129" i="57"/>
  <c r="DC128" i="57"/>
  <c r="CW128" i="57"/>
  <c r="W128" i="57"/>
  <c r="CZ128" i="57" s="1"/>
  <c r="DB127" i="57"/>
  <c r="W127" i="57"/>
  <c r="CZ127" i="57" s="1"/>
  <c r="DA127" i="57" s="1"/>
  <c r="DC126" i="57"/>
  <c r="CW126" i="57"/>
  <c r="W126" i="57"/>
  <c r="CZ126" i="57" s="1"/>
  <c r="DB125" i="57"/>
  <c r="W125" i="57"/>
  <c r="DC124" i="57"/>
  <c r="CW124" i="57"/>
  <c r="W124" i="57"/>
  <c r="CZ124" i="57" s="1"/>
  <c r="DB123" i="57"/>
  <c r="W123" i="57"/>
  <c r="CZ123" i="57" s="1"/>
  <c r="DA123" i="57" s="1"/>
  <c r="DC122" i="57"/>
  <c r="CW122" i="57"/>
  <c r="W122" i="57"/>
  <c r="CZ122" i="57" s="1"/>
  <c r="DB121" i="57"/>
  <c r="W121" i="57"/>
  <c r="CZ121" i="57" s="1"/>
  <c r="DA121" i="57" s="1"/>
  <c r="DC120" i="57"/>
  <c r="CW120" i="57"/>
  <c r="W120" i="57"/>
  <c r="CZ120" i="57" s="1"/>
  <c r="DB119" i="57"/>
  <c r="DC118" i="57"/>
  <c r="CW118" i="57"/>
  <c r="W118" i="57"/>
  <c r="CZ118" i="57" s="1"/>
  <c r="DB117" i="57"/>
  <c r="W117" i="57"/>
  <c r="CZ117" i="57" s="1"/>
  <c r="DA117" i="57" s="1"/>
  <c r="DC116" i="57"/>
  <c r="CW116" i="57"/>
  <c r="W116" i="57"/>
  <c r="CZ116" i="57" s="1"/>
  <c r="DB115" i="57"/>
  <c r="W115" i="57"/>
  <c r="CZ115" i="57" s="1"/>
  <c r="DA115" i="57" s="1"/>
  <c r="DC114" i="57"/>
  <c r="CW114" i="57"/>
  <c r="W114" i="57"/>
  <c r="CZ114" i="57" s="1"/>
  <c r="DB113" i="57"/>
  <c r="DC112" i="57"/>
  <c r="CW112" i="57"/>
  <c r="W112" i="57"/>
  <c r="CZ112" i="57" s="1"/>
  <c r="DB111" i="57"/>
  <c r="W111" i="57"/>
  <c r="CZ111" i="57" s="1"/>
  <c r="DA111" i="57" s="1"/>
  <c r="DC110" i="57"/>
  <c r="CW110" i="57"/>
  <c r="W110" i="57"/>
  <c r="CZ110" i="57" s="1"/>
  <c r="DB109" i="57"/>
  <c r="W109" i="57"/>
  <c r="CZ109" i="57" s="1"/>
  <c r="DA109" i="57" s="1"/>
  <c r="DC108" i="57"/>
  <c r="CW108" i="57"/>
  <c r="W108" i="57"/>
  <c r="CZ108" i="57" s="1"/>
  <c r="DB107" i="57"/>
  <c r="W107" i="57"/>
  <c r="CZ107" i="57" s="1"/>
  <c r="DA107" i="57" s="1"/>
  <c r="DC106" i="57"/>
  <c r="CW106" i="57"/>
  <c r="W106" i="57"/>
  <c r="CZ106" i="57" s="1"/>
  <c r="DB105" i="57"/>
  <c r="W105" i="57"/>
  <c r="CZ105" i="57" s="1"/>
  <c r="DA105" i="57" s="1"/>
  <c r="DC104" i="57"/>
  <c r="CW104" i="57"/>
  <c r="W104" i="57"/>
  <c r="CZ104" i="57" s="1"/>
  <c r="DB103" i="57"/>
  <c r="W103" i="57"/>
  <c r="CZ103" i="57" s="1"/>
  <c r="DA103" i="57" s="1"/>
  <c r="DC102" i="57"/>
  <c r="CW102" i="57"/>
  <c r="W102" i="57"/>
  <c r="DB101" i="57"/>
  <c r="W101" i="57"/>
  <c r="CZ101" i="57" s="1"/>
  <c r="DA101" i="57" s="1"/>
  <c r="DC100" i="57"/>
  <c r="CW100" i="57"/>
  <c r="W100" i="57"/>
  <c r="CZ100" i="57" s="1"/>
  <c r="DB99" i="57"/>
  <c r="W99" i="57"/>
  <c r="DC98" i="57"/>
  <c r="CW98" i="57"/>
  <c r="W98" i="57"/>
  <c r="CZ98" i="57" s="1"/>
  <c r="DB97" i="57"/>
  <c r="W97" i="57"/>
  <c r="CZ97" i="57" s="1"/>
  <c r="DA97" i="57" s="1"/>
  <c r="DB96" i="57"/>
  <c r="DC95" i="57"/>
  <c r="CW95" i="57"/>
  <c r="W95" i="57"/>
  <c r="DC94" i="57"/>
  <c r="CW94" i="57"/>
  <c r="W94" i="57"/>
  <c r="CZ94" i="57" s="1"/>
  <c r="DB93" i="57"/>
  <c r="W93" i="57"/>
  <c r="CZ93" i="57" s="1"/>
  <c r="DA93" i="57" s="1"/>
  <c r="DC92" i="57"/>
  <c r="CW92" i="57"/>
  <c r="W92" i="57"/>
  <c r="CZ92" i="57" s="1"/>
  <c r="DB91" i="57"/>
  <c r="DB90" i="57"/>
  <c r="DC89" i="57"/>
  <c r="CW89" i="57"/>
  <c r="W89" i="57"/>
  <c r="CZ89" i="57" s="1"/>
  <c r="DA89" i="57" s="1"/>
  <c r="DC88" i="57"/>
  <c r="CW88" i="57"/>
  <c r="W88" i="57"/>
  <c r="CZ88" i="57" s="1"/>
  <c r="DB87" i="57"/>
  <c r="W87" i="57"/>
  <c r="CZ87" i="57" s="1"/>
  <c r="DA87" i="57" s="1"/>
  <c r="DC86" i="57"/>
  <c r="CW86" i="57"/>
  <c r="W86" i="57"/>
  <c r="CZ86" i="57" s="1"/>
  <c r="DB85" i="57"/>
  <c r="W85" i="57"/>
  <c r="DC84" i="57"/>
  <c r="CW84" i="57"/>
  <c r="W84" i="57"/>
  <c r="CZ84" i="57" s="1"/>
  <c r="DB83" i="57"/>
  <c r="DB82" i="57"/>
  <c r="DC81" i="57"/>
  <c r="CW81" i="57"/>
  <c r="DB80" i="57"/>
  <c r="DC79" i="57"/>
  <c r="CW79" i="57"/>
  <c r="DC78" i="57"/>
  <c r="CW78" i="57"/>
  <c r="W78" i="57"/>
  <c r="CZ78" i="57" s="1"/>
  <c r="DB77" i="57"/>
  <c r="DB76" i="57"/>
  <c r="DC75" i="57"/>
  <c r="CW75" i="57"/>
  <c r="W75" i="57"/>
  <c r="CZ75" i="57" s="1"/>
  <c r="DA75" i="57" s="1"/>
  <c r="DC74" i="57"/>
  <c r="CW74" i="57"/>
  <c r="W74" i="57"/>
  <c r="CZ74" i="57" s="1"/>
  <c r="DB73" i="57"/>
  <c r="DB72" i="57"/>
  <c r="DC71" i="57"/>
  <c r="CW71" i="57"/>
  <c r="DB70" i="57"/>
  <c r="DC69" i="57"/>
  <c r="CW69" i="57"/>
  <c r="DB68" i="57"/>
  <c r="DC67" i="57"/>
  <c r="CW67" i="57"/>
  <c r="W67" i="57"/>
  <c r="DB66" i="57"/>
  <c r="DC65" i="57"/>
  <c r="CW65" i="57"/>
  <c r="DB64" i="57"/>
  <c r="DC63" i="57"/>
  <c r="CW63" i="57"/>
  <c r="DB62" i="57"/>
  <c r="DC61" i="57"/>
  <c r="CW61" i="57"/>
  <c r="DB60" i="57"/>
  <c r="DC59" i="57"/>
  <c r="CW59" i="57"/>
  <c r="W59" i="57"/>
  <c r="CZ59" i="57" s="1"/>
  <c r="DA59" i="57" s="1"/>
  <c r="DC58" i="57"/>
  <c r="CW58" i="57"/>
  <c r="W58" i="57"/>
  <c r="DB57" i="57"/>
  <c r="DC56" i="57"/>
  <c r="CW56" i="57"/>
  <c r="W56" i="57"/>
  <c r="CZ56" i="57" s="1"/>
  <c r="DB55" i="57"/>
  <c r="W55" i="57"/>
  <c r="CZ55" i="57" s="1"/>
  <c r="DA55" i="57" s="1"/>
  <c r="DC54" i="57"/>
  <c r="CW54" i="57"/>
  <c r="W54" i="57"/>
  <c r="CZ54" i="57" s="1"/>
  <c r="DB53" i="57"/>
  <c r="W53" i="57"/>
  <c r="CZ53" i="57" s="1"/>
  <c r="DA53" i="57" s="1"/>
  <c r="DC52" i="57"/>
  <c r="CW52" i="57"/>
  <c r="W52" i="57"/>
  <c r="CZ52" i="57" s="1"/>
  <c r="DB51" i="57"/>
  <c r="DB50" i="57"/>
  <c r="DC49" i="57"/>
  <c r="CW49" i="57"/>
  <c r="W49" i="57"/>
  <c r="CZ49" i="57" s="1"/>
  <c r="DA49" i="57" s="1"/>
  <c r="DC48" i="57"/>
  <c r="CW48" i="57"/>
  <c r="W48" i="57"/>
  <c r="CZ48" i="57" s="1"/>
  <c r="DB47" i="57"/>
  <c r="DB46" i="57"/>
  <c r="DC45" i="57"/>
  <c r="CW45" i="57"/>
  <c r="DB44" i="57"/>
  <c r="DC43" i="57"/>
  <c r="CW43" i="57"/>
  <c r="W43" i="57"/>
  <c r="CZ43" i="57" s="1"/>
  <c r="DA43" i="57" s="1"/>
  <c r="DC42" i="57"/>
  <c r="CW42" i="57"/>
  <c r="W42" i="57"/>
  <c r="DB41" i="57"/>
  <c r="W41" i="57"/>
  <c r="CZ41" i="57" s="1"/>
  <c r="DA41" i="57" s="1"/>
  <c r="DC40" i="57"/>
  <c r="CW40" i="57"/>
  <c r="W40" i="57"/>
  <c r="CZ40" i="57" s="1"/>
  <c r="DB39" i="57"/>
  <c r="W39" i="57"/>
  <c r="DC38" i="57"/>
  <c r="CW38" i="57"/>
  <c r="W38" i="57"/>
  <c r="CZ38" i="57" s="1"/>
  <c r="DB37" i="57"/>
  <c r="W37" i="57"/>
  <c r="CZ37" i="57" s="1"/>
  <c r="DA37" i="57" s="1"/>
  <c r="DC36" i="57"/>
  <c r="CW36" i="57"/>
  <c r="W36" i="57"/>
  <c r="DB35" i="57"/>
  <c r="W35" i="57"/>
  <c r="CZ35" i="57" s="1"/>
  <c r="DA35" i="57" s="1"/>
  <c r="DC34" i="57"/>
  <c r="CW34" i="57"/>
  <c r="W34" i="57"/>
  <c r="CZ34" i="57" s="1"/>
  <c r="DB33" i="57"/>
  <c r="DB32" i="57"/>
  <c r="DC31" i="57"/>
  <c r="CW31" i="57"/>
  <c r="DC30" i="57"/>
  <c r="CW30" i="57"/>
  <c r="DE211" i="57"/>
  <c r="DD210" i="57"/>
  <c r="DE209" i="57"/>
  <c r="DE208" i="57"/>
  <c r="DD207" i="57"/>
  <c r="DD206" i="57"/>
  <c r="DE205" i="57"/>
  <c r="DD204" i="57"/>
  <c r="DE203" i="57"/>
  <c r="DD202" i="57"/>
  <c r="DE201" i="57"/>
  <c r="DD200" i="57"/>
  <c r="DE199" i="57"/>
  <c r="DD198" i="57"/>
  <c r="DE197" i="57"/>
  <c r="DD196" i="57"/>
  <c r="DE195" i="57"/>
  <c r="DD194" i="57"/>
  <c r="DE193" i="57"/>
  <c r="DD192" i="57"/>
  <c r="DE191" i="57"/>
  <c r="DE190" i="57"/>
  <c r="DD189" i="57"/>
  <c r="DE188" i="57"/>
  <c r="DD187" i="57"/>
  <c r="DE186" i="57"/>
  <c r="DD185" i="57"/>
  <c r="DE184" i="57"/>
  <c r="DD183" i="57"/>
  <c r="DE182" i="57"/>
  <c r="DD181" i="57"/>
  <c r="DE180" i="57"/>
  <c r="DD179" i="57"/>
  <c r="DD211" i="57"/>
  <c r="DD209" i="57"/>
  <c r="DD208" i="57"/>
  <c r="DE207" i="57"/>
  <c r="DE206" i="57"/>
  <c r="DE204" i="57"/>
  <c r="DE202" i="57"/>
  <c r="DE200" i="57"/>
  <c r="DE198" i="57"/>
  <c r="DE196" i="57"/>
  <c r="DD193" i="57"/>
  <c r="DD191" i="57"/>
  <c r="DD190" i="57"/>
  <c r="DE189" i="57"/>
  <c r="DD182" i="57"/>
  <c r="DE181" i="57"/>
  <c r="DD180" i="57"/>
  <c r="DE179" i="57"/>
  <c r="DE178" i="57"/>
  <c r="DD177" i="57"/>
  <c r="DE176" i="57"/>
  <c r="DD175" i="57"/>
  <c r="DD174" i="57"/>
  <c r="DE173" i="57"/>
  <c r="DE172" i="57"/>
  <c r="DD171" i="57"/>
  <c r="DD170" i="57"/>
  <c r="DE169" i="57"/>
  <c r="DD168" i="57"/>
  <c r="DE167" i="57"/>
  <c r="DD166" i="57"/>
  <c r="DE165" i="57"/>
  <c r="DE164" i="57"/>
  <c r="DD163" i="57"/>
  <c r="DE162" i="57"/>
  <c r="DD161" i="57"/>
  <c r="DE160" i="57"/>
  <c r="DD159" i="57"/>
  <c r="DE158" i="57"/>
  <c r="DD157" i="57"/>
  <c r="DD156" i="57"/>
  <c r="DE155" i="57"/>
  <c r="DE154" i="57"/>
  <c r="DD153" i="57"/>
  <c r="DE152" i="57"/>
  <c r="DD151" i="57"/>
  <c r="DD150" i="57"/>
  <c r="DE149" i="57"/>
  <c r="DE148" i="57"/>
  <c r="DD147" i="57"/>
  <c r="DE146" i="57"/>
  <c r="DD145" i="57"/>
  <c r="DE144" i="57"/>
  <c r="DD143" i="57"/>
  <c r="DD142" i="57"/>
  <c r="DE141" i="57"/>
  <c r="DE140" i="57"/>
  <c r="DE210" i="57"/>
  <c r="DD205" i="57"/>
  <c r="DD203" i="57"/>
  <c r="DD201" i="57"/>
  <c r="DD199" i="57"/>
  <c r="DD197" i="57"/>
  <c r="DD195" i="57"/>
  <c r="DE194" i="57"/>
  <c r="DE192" i="57"/>
  <c r="DD188" i="57"/>
  <c r="DE187" i="57"/>
  <c r="DD186" i="57"/>
  <c r="DE185" i="57"/>
  <c r="DD184" i="57"/>
  <c r="DE183" i="57"/>
  <c r="DD178" i="57"/>
  <c r="DE177" i="57"/>
  <c r="DD176" i="57"/>
  <c r="DE175" i="57"/>
  <c r="DE174" i="57"/>
  <c r="DD173" i="57"/>
  <c r="DD172" i="57"/>
  <c r="DE171" i="57"/>
  <c r="DE170" i="57"/>
  <c r="DD169" i="57"/>
  <c r="DE168" i="57"/>
  <c r="DD167" i="57"/>
  <c r="DE166" i="57"/>
  <c r="DD165" i="57"/>
  <c r="DD164" i="57"/>
  <c r="DE163" i="57"/>
  <c r="DD162" i="57"/>
  <c r="DE161" i="57"/>
  <c r="DD160" i="57"/>
  <c r="DE159" i="57"/>
  <c r="DD158" i="57"/>
  <c r="DE157" i="57"/>
  <c r="DE156" i="57"/>
  <c r="DD155" i="57"/>
  <c r="DD154" i="57"/>
  <c r="DE153" i="57"/>
  <c r="DD152" i="57"/>
  <c r="DE151" i="57"/>
  <c r="DE150" i="57"/>
  <c r="DD149" i="57"/>
  <c r="DD148" i="57"/>
  <c r="DE147" i="57"/>
  <c r="DD146" i="57"/>
  <c r="DE145" i="57"/>
  <c r="DD144" i="57"/>
  <c r="DE143" i="57"/>
  <c r="DE142" i="57"/>
  <c r="DD141" i="57"/>
  <c r="DD140" i="57"/>
  <c r="DE139" i="57"/>
  <c r="DD138" i="57"/>
  <c r="DE137" i="57"/>
  <c r="DE136" i="57"/>
  <c r="DD135" i="57"/>
  <c r="DD134" i="57"/>
  <c r="DE133" i="57"/>
  <c r="DD132" i="57"/>
  <c r="DE131" i="57"/>
  <c r="DE130" i="57"/>
  <c r="DD129" i="57"/>
  <c r="DD128" i="57"/>
  <c r="DE127" i="57"/>
  <c r="DD126" i="57"/>
  <c r="DE125" i="57"/>
  <c r="DD124" i="57"/>
  <c r="DE123" i="57"/>
  <c r="DD122" i="57"/>
  <c r="DE121" i="57"/>
  <c r="DD120" i="57"/>
  <c r="DE119" i="57"/>
  <c r="DD118" i="57"/>
  <c r="DE117" i="57"/>
  <c r="DD116" i="57"/>
  <c r="DE115" i="57"/>
  <c r="DD114" i="57"/>
  <c r="DE113" i="57"/>
  <c r="DD112" i="57"/>
  <c r="DE111" i="57"/>
  <c r="DD110" i="57"/>
  <c r="DE109" i="57"/>
  <c r="DD108" i="57"/>
  <c r="DE107" i="57"/>
  <c r="DD106" i="57"/>
  <c r="DE105" i="57"/>
  <c r="DD104" i="57"/>
  <c r="DE103" i="57"/>
  <c r="DD102" i="57"/>
  <c r="DE101" i="57"/>
  <c r="DD100" i="57"/>
  <c r="DE99" i="57"/>
  <c r="DD98" i="57"/>
  <c r="DE97" i="57"/>
  <c r="DE96" i="57"/>
  <c r="DD95" i="57"/>
  <c r="DD94" i="57"/>
  <c r="DE93" i="57"/>
  <c r="DD92" i="57"/>
  <c r="DE91" i="57"/>
  <c r="DE90" i="57"/>
  <c r="DD89" i="57"/>
  <c r="DD88" i="57"/>
  <c r="DE87" i="57"/>
  <c r="DD86" i="57"/>
  <c r="DE85" i="57"/>
  <c r="DD84" i="57"/>
  <c r="DE83" i="57"/>
  <c r="DE82" i="57"/>
  <c r="DD81" i="57"/>
  <c r="DE80" i="57"/>
  <c r="DD79" i="57"/>
  <c r="DD78" i="57"/>
  <c r="DE77" i="57"/>
  <c r="DE76" i="57"/>
  <c r="DD75" i="57"/>
  <c r="DD74" i="57"/>
  <c r="DE73" i="57"/>
  <c r="DE72" i="57"/>
  <c r="DD71" i="57"/>
  <c r="DE70" i="57"/>
  <c r="DD69" i="57"/>
  <c r="DE68" i="57"/>
  <c r="DD67" i="57"/>
  <c r="DE66" i="57"/>
  <c r="DD65" i="57"/>
  <c r="DE64" i="57"/>
  <c r="DD63" i="57"/>
  <c r="DE62" i="57"/>
  <c r="DD61" i="57"/>
  <c r="DE60" i="57"/>
  <c r="DD59" i="57"/>
  <c r="DD58" i="57"/>
  <c r="DE57" i="57"/>
  <c r="DD56" i="57"/>
  <c r="DE55" i="57"/>
  <c r="DD54" i="57"/>
  <c r="DE53" i="57"/>
  <c r="DD52" i="57"/>
  <c r="DE51" i="57"/>
  <c r="DE50" i="57"/>
  <c r="DD49" i="57"/>
  <c r="DD48" i="57"/>
  <c r="DE47" i="57"/>
  <c r="DE46" i="57"/>
  <c r="DD45" i="57"/>
  <c r="DE44" i="57"/>
  <c r="DD43" i="57"/>
  <c r="DD42" i="57"/>
  <c r="DE41" i="57"/>
  <c r="DD40" i="57"/>
  <c r="DE39" i="57"/>
  <c r="DD38" i="57"/>
  <c r="DE37" i="57"/>
  <c r="DD36" i="57"/>
  <c r="DE35" i="57"/>
  <c r="DD34" i="57"/>
  <c r="DE33" i="57"/>
  <c r="DE32" i="57"/>
  <c r="DD31" i="57"/>
  <c r="DD139" i="57"/>
  <c r="DE138" i="57"/>
  <c r="DD137" i="57"/>
  <c r="DD136" i="57"/>
  <c r="DE135" i="57"/>
  <c r="DE134" i="57"/>
  <c r="DD133" i="57"/>
  <c r="DE132" i="57"/>
  <c r="DD131" i="57"/>
  <c r="DD130" i="57"/>
  <c r="DE129" i="57"/>
  <c r="DE128" i="57"/>
  <c r="DD127" i="57"/>
  <c r="DE126" i="57"/>
  <c r="DD125" i="57"/>
  <c r="DE124" i="57"/>
  <c r="DD123" i="57"/>
  <c r="DE122" i="57"/>
  <c r="DD121" i="57"/>
  <c r="DE120" i="57"/>
  <c r="DD119" i="57"/>
  <c r="DE118" i="57"/>
  <c r="DD117" i="57"/>
  <c r="DE116" i="57"/>
  <c r="DD115" i="57"/>
  <c r="DE114" i="57"/>
  <c r="DD113" i="57"/>
  <c r="DE112" i="57"/>
  <c r="DD111" i="57"/>
  <c r="DE110" i="57"/>
  <c r="DD109" i="57"/>
  <c r="DE108" i="57"/>
  <c r="DD107" i="57"/>
  <c r="DE106" i="57"/>
  <c r="DD105" i="57"/>
  <c r="DE104" i="57"/>
  <c r="DD103" i="57"/>
  <c r="DE102" i="57"/>
  <c r="DD101" i="57"/>
  <c r="DE100" i="57"/>
  <c r="DD99" i="57"/>
  <c r="DE98" i="57"/>
  <c r="DD97" i="57"/>
  <c r="DD96" i="57"/>
  <c r="DE95" i="57"/>
  <c r="DE94" i="57"/>
  <c r="DD93" i="57"/>
  <c r="DE92" i="57"/>
  <c r="DD91" i="57"/>
  <c r="DD90" i="57"/>
  <c r="DE89" i="57"/>
  <c r="DE88" i="57"/>
  <c r="DD87" i="57"/>
  <c r="DE86" i="57"/>
  <c r="DD85" i="57"/>
  <c r="DE84" i="57"/>
  <c r="DD83" i="57"/>
  <c r="DD82" i="57"/>
  <c r="DE81" i="57"/>
  <c r="DD80" i="57"/>
  <c r="DE79" i="57"/>
  <c r="DE78" i="57"/>
  <c r="DD77" i="57"/>
  <c r="DD76" i="57"/>
  <c r="DE75" i="57"/>
  <c r="DE74" i="57"/>
  <c r="DD73" i="57"/>
  <c r="DD72" i="57"/>
  <c r="DE71" i="57"/>
  <c r="DD70" i="57"/>
  <c r="DE69" i="57"/>
  <c r="DD68" i="57"/>
  <c r="DE67" i="57"/>
  <c r="DD66" i="57"/>
  <c r="DE65" i="57"/>
  <c r="DD64" i="57"/>
  <c r="DE63" i="57"/>
  <c r="DD62" i="57"/>
  <c r="DE61" i="57"/>
  <c r="DD60" i="57"/>
  <c r="DE59" i="57"/>
  <c r="DE58" i="57"/>
  <c r="DD57" i="57"/>
  <c r="DE56" i="57"/>
  <c r="DD55" i="57"/>
  <c r="DE54" i="57"/>
  <c r="DD53" i="57"/>
  <c r="DE52" i="57"/>
  <c r="DD51" i="57"/>
  <c r="DD50" i="57"/>
  <c r="DE49" i="57"/>
  <c r="DE48" i="57"/>
  <c r="DD47" i="57"/>
  <c r="DD46" i="57"/>
  <c r="DE45" i="57"/>
  <c r="DD44" i="57"/>
  <c r="DE43" i="57"/>
  <c r="DE42" i="57"/>
  <c r="DD41" i="57"/>
  <c r="DE40" i="57"/>
  <c r="DD39" i="57"/>
  <c r="DE38" i="57"/>
  <c r="DD37" i="57"/>
  <c r="DE36" i="57"/>
  <c r="DD35" i="57"/>
  <c r="DE34" i="57"/>
  <c r="DD33" i="57"/>
  <c r="DD32" i="57"/>
  <c r="DE31" i="57"/>
  <c r="DE30" i="57"/>
  <c r="BP1" i="65"/>
  <c r="BA10" i="65"/>
  <c r="BB10" i="65" s="1"/>
  <c r="BQ13" i="79"/>
  <c r="BQ113" i="79"/>
  <c r="BQ117" i="79"/>
  <c r="BQ121" i="79"/>
  <c r="BQ125" i="79"/>
  <c r="BQ129" i="79"/>
  <c r="BQ133" i="79"/>
  <c r="BQ137" i="79"/>
  <c r="BQ141" i="79"/>
  <c r="BQ145" i="79"/>
  <c r="BQ149" i="79"/>
  <c r="BQ153" i="79"/>
  <c r="BQ157" i="79"/>
  <c r="BQ161" i="79"/>
  <c r="BQ165" i="79"/>
  <c r="BQ169" i="79"/>
  <c r="BQ173" i="79"/>
  <c r="BQ177" i="79"/>
  <c r="BQ181" i="79"/>
  <c r="BQ185" i="79"/>
  <c r="BQ189" i="79"/>
  <c r="BQ193" i="79"/>
  <c r="BQ197" i="79"/>
  <c r="BQ201" i="79"/>
  <c r="BQ205" i="79"/>
  <c r="BM26" i="54"/>
  <c r="BM32" i="54"/>
  <c r="BN35" i="54"/>
  <c r="BL73" i="54"/>
  <c r="BO97" i="54"/>
  <c r="BP114" i="54"/>
  <c r="BL128" i="54"/>
  <c r="BM131" i="54"/>
  <c r="BN160" i="54"/>
  <c r="BO163" i="54"/>
  <c r="BN189" i="54"/>
  <c r="BL204" i="54"/>
  <c r="BN273" i="54"/>
  <c r="BO294" i="54"/>
  <c r="BM300" i="54"/>
  <c r="BM306" i="54"/>
  <c r="BH306" i="54"/>
  <c r="BL365" i="54"/>
  <c r="BO385" i="54"/>
  <c r="BO427" i="54"/>
  <c r="BP447" i="54"/>
  <c r="BL521" i="54"/>
  <c r="BM530" i="54"/>
  <c r="J19" i="76"/>
  <c r="AA12" i="75" s="1"/>
  <c r="AF19" i="76"/>
  <c r="AH19" i="76"/>
  <c r="J21" i="76"/>
  <c r="AA13" i="75" s="1"/>
  <c r="AF21" i="76"/>
  <c r="AH21" i="76"/>
  <c r="AG27" i="76"/>
  <c r="X27" i="76" s="1"/>
  <c r="AE29" i="76"/>
  <c r="AG29" i="76"/>
  <c r="X29" i="76" s="1"/>
  <c r="AF31" i="76"/>
  <c r="AH31" i="76"/>
  <c r="J33" i="76"/>
  <c r="AA17" i="75" s="1"/>
  <c r="AF33" i="76"/>
  <c r="AH33" i="76"/>
  <c r="J35" i="76"/>
  <c r="AA18" i="75" s="1"/>
  <c r="AF35" i="76"/>
  <c r="AH35" i="76"/>
  <c r="J50" i="76"/>
  <c r="AA19" i="75" s="1"/>
  <c r="AF50" i="76"/>
  <c r="AH50" i="76"/>
  <c r="J52" i="76"/>
  <c r="AA20" i="75" s="1"/>
  <c r="AG52" i="76"/>
  <c r="X52" i="76" s="1"/>
  <c r="J58" i="76"/>
  <c r="AA21" i="75" s="1"/>
  <c r="AF58" i="76"/>
  <c r="AH58" i="76"/>
  <c r="J60" i="76"/>
  <c r="AA22" i="75" s="1"/>
  <c r="AG60" i="76"/>
  <c r="X60" i="76" s="1"/>
  <c r="AG62" i="76"/>
  <c r="X62" i="76" s="1"/>
  <c r="AE64" i="76"/>
  <c r="AG64" i="76"/>
  <c r="X64" i="76" s="1"/>
  <c r="AE66" i="76"/>
  <c r="AG66" i="76"/>
  <c r="X66" i="76" s="1"/>
  <c r="AF81" i="76"/>
  <c r="AH81" i="76"/>
  <c r="J83" i="76"/>
  <c r="AA27" i="75" s="1"/>
  <c r="AF83" i="76"/>
  <c r="AH83" i="76"/>
  <c r="AE89" i="76"/>
  <c r="AG89" i="76"/>
  <c r="X89" i="76" s="1"/>
  <c r="AG91" i="76"/>
  <c r="X91" i="76" s="1"/>
  <c r="AG93" i="76"/>
  <c r="X93" i="76" s="1"/>
  <c r="AF95" i="76"/>
  <c r="AH95" i="76"/>
  <c r="J97" i="76"/>
  <c r="AA32" i="75" s="1"/>
  <c r="AF97" i="76"/>
  <c r="AH97" i="76"/>
  <c r="J112" i="76"/>
  <c r="AA33" i="75" s="1"/>
  <c r="AF112" i="76"/>
  <c r="AH112" i="76"/>
  <c r="J114" i="76"/>
  <c r="AA34" i="75" s="1"/>
  <c r="AF114" i="76"/>
  <c r="AH114" i="76"/>
  <c r="AE120" i="76"/>
  <c r="AG120" i="76"/>
  <c r="X120" i="76" s="1"/>
  <c r="AG122" i="76"/>
  <c r="X122" i="76" s="1"/>
  <c r="AF124" i="76"/>
  <c r="AH124" i="76"/>
  <c r="J126" i="76"/>
  <c r="AA38" i="75" s="1"/>
  <c r="AF126" i="76"/>
  <c r="AH126" i="76"/>
  <c r="J128" i="76"/>
  <c r="AA39" i="75" s="1"/>
  <c r="AF128" i="76"/>
  <c r="AH128" i="76"/>
  <c r="J143" i="76"/>
  <c r="AA40" i="75" s="1"/>
  <c r="AF143" i="76"/>
  <c r="AH143" i="76"/>
  <c r="J145" i="76"/>
  <c r="AA41" i="75" s="1"/>
  <c r="AE145" i="76"/>
  <c r="AG145" i="76"/>
  <c r="X145" i="76" s="1"/>
  <c r="J151" i="76"/>
  <c r="AA42" i="75" s="1"/>
  <c r="AG151" i="76"/>
  <c r="X151" i="76" s="1"/>
  <c r="AG153" i="76"/>
  <c r="X153" i="76" s="1"/>
  <c r="AE155" i="76"/>
  <c r="AG155" i="76"/>
  <c r="X155" i="76" s="1"/>
  <c r="AG157" i="76"/>
  <c r="X157" i="76" s="1"/>
  <c r="AF159" i="76"/>
  <c r="AH159" i="76"/>
  <c r="J174" i="76"/>
  <c r="AA47" i="75" s="1"/>
  <c r="AF174" i="76"/>
  <c r="AH174" i="76"/>
  <c r="J176" i="76"/>
  <c r="AA48" i="75" s="1"/>
  <c r="AF176" i="76"/>
  <c r="AH176" i="76"/>
  <c r="AG182" i="76"/>
  <c r="X182" i="76" s="1"/>
  <c r="AG184" i="76"/>
  <c r="X184" i="76" s="1"/>
  <c r="AE186" i="76"/>
  <c r="AG186" i="76"/>
  <c r="X186" i="76" s="1"/>
  <c r="AF188" i="76"/>
  <c r="AH188" i="76"/>
  <c r="J190" i="76"/>
  <c r="AA53" i="75" s="1"/>
  <c r="AF190" i="76"/>
  <c r="AH190" i="76"/>
  <c r="J205" i="76"/>
  <c r="AA54" i="75" s="1"/>
  <c r="AF205" i="76"/>
  <c r="AH205" i="76"/>
  <c r="J207" i="76"/>
  <c r="AA55" i="75" s="1"/>
  <c r="AF207" i="76"/>
  <c r="AH207" i="76"/>
  <c r="AG213" i="76"/>
  <c r="X213" i="76" s="1"/>
  <c r="AF215" i="76"/>
  <c r="AH215" i="76"/>
  <c r="J217" i="76"/>
  <c r="AA58" i="75" s="1"/>
  <c r="AF217" i="76"/>
  <c r="AH217" i="76"/>
  <c r="J219" i="76"/>
  <c r="AA59" i="75" s="1"/>
  <c r="AF219" i="76"/>
  <c r="AH219" i="76"/>
  <c r="J221" i="76"/>
  <c r="AA60" i="75" s="1"/>
  <c r="AF221" i="76"/>
  <c r="AH221" i="76"/>
  <c r="J236" i="76"/>
  <c r="AA61" i="75" s="1"/>
  <c r="AG236" i="76"/>
  <c r="X236" i="76" s="1"/>
  <c r="AG238" i="76"/>
  <c r="X238" i="76" s="1"/>
  <c r="J244" i="76"/>
  <c r="AA63" i="75" s="1"/>
  <c r="AE244" i="76"/>
  <c r="AG244" i="76"/>
  <c r="X244" i="76" s="1"/>
  <c r="AG246" i="76"/>
  <c r="X246" i="76" s="1"/>
  <c r="AG248" i="76"/>
  <c r="X248" i="76" s="1"/>
  <c r="AG250" i="76"/>
  <c r="X250" i="76" s="1"/>
  <c r="AF252" i="76"/>
  <c r="AH252" i="76"/>
  <c r="J267" i="76"/>
  <c r="AA68" i="75" s="1"/>
  <c r="AF267" i="76"/>
  <c r="AH267" i="76"/>
  <c r="J269" i="76"/>
  <c r="AA69" i="75" s="1"/>
  <c r="AF269" i="76"/>
  <c r="AH269" i="76"/>
  <c r="AE275" i="76"/>
  <c r="AG275" i="76"/>
  <c r="X275" i="76" s="1"/>
  <c r="AG277" i="76"/>
  <c r="X277" i="76" s="1"/>
  <c r="AF279" i="76"/>
  <c r="AH279" i="76"/>
  <c r="J281" i="76"/>
  <c r="AA73" i="75" s="1"/>
  <c r="AF281" i="76"/>
  <c r="AH281" i="76"/>
  <c r="J283" i="76"/>
  <c r="AA74" i="75" s="1"/>
  <c r="AF283" i="76"/>
  <c r="AH283" i="76"/>
  <c r="J298" i="76"/>
  <c r="AA75" i="75" s="1"/>
  <c r="AF298" i="76"/>
  <c r="AH298" i="76"/>
  <c r="J300" i="76"/>
  <c r="AA76" i="75" s="1"/>
  <c r="AE300" i="76"/>
  <c r="AG300" i="76"/>
  <c r="X300" i="76" s="1"/>
  <c r="J306" i="76"/>
  <c r="AA77" i="75" s="1"/>
  <c r="AF306" i="76"/>
  <c r="AH306" i="76"/>
  <c r="J308" i="76"/>
  <c r="AA78" i="75" s="1"/>
  <c r="AG308" i="76"/>
  <c r="X308" i="76" s="1"/>
  <c r="AE310" i="76"/>
  <c r="AG310" i="76"/>
  <c r="X310" i="76" s="1"/>
  <c r="AG312" i="76"/>
  <c r="X312" i="76" s="1"/>
  <c r="AG314" i="76"/>
  <c r="X314" i="76" s="1"/>
  <c r="BI67" i="20"/>
  <c r="BJ67" i="20" s="1"/>
  <c r="T67" i="20" s="1"/>
  <c r="BI139" i="20"/>
  <c r="BJ139" i="20" s="1"/>
  <c r="T139" i="20" s="1"/>
  <c r="BI149" i="20"/>
  <c r="BJ149" i="20" s="1"/>
  <c r="T149" i="20" s="1"/>
  <c r="BI204" i="20"/>
  <c r="BJ204" i="20" s="1"/>
  <c r="CW13" i="57"/>
  <c r="DC13" i="57"/>
  <c r="DE13" i="57"/>
  <c r="DG13" i="57"/>
  <c r="CX14" i="57"/>
  <c r="DB14" i="57"/>
  <c r="DD14" i="57"/>
  <c r="DF14" i="57"/>
  <c r="CW15" i="57"/>
  <c r="DC15" i="57"/>
  <c r="DE15" i="57"/>
  <c r="DG15" i="57"/>
  <c r="CX16" i="57"/>
  <c r="DB16" i="57"/>
  <c r="DD16" i="57"/>
  <c r="DF16" i="57"/>
  <c r="CW17" i="57"/>
  <c r="DC17" i="57"/>
  <c r="DE17" i="57"/>
  <c r="DG17" i="57"/>
  <c r="CX18" i="57"/>
  <c r="DB18" i="57"/>
  <c r="DD18" i="57"/>
  <c r="DF18" i="57"/>
  <c r="CW19" i="57"/>
  <c r="DC19" i="57"/>
  <c r="DE19" i="57"/>
  <c r="DG19" i="57"/>
  <c r="CX20" i="57"/>
  <c r="DB20" i="57"/>
  <c r="DD20" i="57"/>
  <c r="DF20" i="57"/>
  <c r="CW21" i="57"/>
  <c r="DC21" i="57"/>
  <c r="DE21" i="57"/>
  <c r="DG21" i="57"/>
  <c r="CX22" i="57"/>
  <c r="DB22" i="57"/>
  <c r="DD22" i="57"/>
  <c r="DF22" i="57"/>
  <c r="CW23" i="57"/>
  <c r="DC23" i="57"/>
  <c r="DE23" i="57"/>
  <c r="DG23" i="57"/>
  <c r="CX24" i="57"/>
  <c r="DB24" i="57"/>
  <c r="DD24" i="57"/>
  <c r="DF24" i="57"/>
  <c r="CW25" i="57"/>
  <c r="DC25" i="57"/>
  <c r="DE25" i="57"/>
  <c r="DG25" i="57"/>
  <c r="CX26" i="57"/>
  <c r="DB26" i="57"/>
  <c r="DD26" i="57"/>
  <c r="DF26" i="57"/>
  <c r="W27" i="57"/>
  <c r="CZ27" i="57" s="1"/>
  <c r="DA27" i="57" s="1"/>
  <c r="CW27" i="57"/>
  <c r="DC27" i="57"/>
  <c r="DE27" i="57"/>
  <c r="DG27" i="57"/>
  <c r="CX28" i="57"/>
  <c r="DB28" i="57"/>
  <c r="DD28" i="57"/>
  <c r="DF28" i="57"/>
  <c r="CW29" i="57"/>
  <c r="DC29" i="57"/>
  <c r="DE29" i="57"/>
  <c r="DG29" i="57"/>
  <c r="DD30" i="57"/>
  <c r="CZ68" i="57"/>
  <c r="CZ119" i="57"/>
  <c r="DA119" i="57" s="1"/>
  <c r="AV41" i="57"/>
  <c r="AX41" i="57"/>
  <c r="AH41" i="57"/>
  <c r="AZ41" i="57"/>
  <c r="V41" i="57"/>
  <c r="AT205" i="57"/>
  <c r="AH205" i="57"/>
  <c r="Z205" i="57"/>
  <c r="AL127" i="57"/>
  <c r="AN127" i="57"/>
  <c r="BZ8" i="57"/>
  <c r="AG4" i="57" s="1"/>
  <c r="AZ117" i="57"/>
  <c r="V119" i="57"/>
  <c r="AR141" i="57"/>
  <c r="AR147" i="57"/>
  <c r="AL195" i="57"/>
  <c r="AN165" i="57"/>
  <c r="L67" i="57"/>
  <c r="BB117" i="57"/>
  <c r="L37" i="57"/>
  <c r="AH65" i="57"/>
  <c r="Z103" i="57"/>
  <c r="AR165" i="57"/>
  <c r="N37" i="57"/>
  <c r="P97" i="57"/>
  <c r="AL111" i="57"/>
  <c r="P117" i="57"/>
  <c r="AV165" i="57"/>
  <c r="AL183" i="57"/>
  <c r="AN197" i="57"/>
  <c r="AH57" i="57"/>
  <c r="AV91" i="57"/>
  <c r="T117" i="57"/>
  <c r="P165" i="57"/>
  <c r="BB165" i="57"/>
  <c r="DA13" i="57"/>
  <c r="AE13" i="57" s="1"/>
  <c r="AC13" i="57"/>
  <c r="AZ77" i="57"/>
  <c r="Z21" i="57"/>
  <c r="AV21" i="57"/>
  <c r="AX21" i="57"/>
  <c r="AV73" i="57"/>
  <c r="AT73" i="57"/>
  <c r="N73" i="57"/>
  <c r="AN73" i="57"/>
  <c r="L73" i="57"/>
  <c r="V73" i="57"/>
  <c r="J73" i="57"/>
  <c r="Z73" i="57"/>
  <c r="AZ95" i="57"/>
  <c r="AX95" i="57"/>
  <c r="AN95" i="57"/>
  <c r="N95" i="57"/>
  <c r="AJ95" i="57"/>
  <c r="L95" i="57"/>
  <c r="J95" i="57"/>
  <c r="T181" i="57"/>
  <c r="AV193" i="57"/>
  <c r="AR193" i="57"/>
  <c r="T193" i="57"/>
  <c r="AT179" i="57"/>
  <c r="AZ179" i="57"/>
  <c r="AV179" i="57"/>
  <c r="AX179" i="57"/>
  <c r="J179" i="57"/>
  <c r="AB87" i="57"/>
  <c r="V89" i="57"/>
  <c r="AJ111" i="57"/>
  <c r="AN125" i="57"/>
  <c r="AH131" i="57"/>
  <c r="AR151" i="57"/>
  <c r="AB109" i="57"/>
  <c r="AN111" i="57"/>
  <c r="AN131" i="57"/>
  <c r="AL41" i="57"/>
  <c r="AP31" i="57"/>
  <c r="AJ39" i="57"/>
  <c r="L41" i="57"/>
  <c r="AN41" i="57"/>
  <c r="V67" i="57"/>
  <c r="J111" i="57"/>
  <c r="AL117" i="57"/>
  <c r="AB123" i="57"/>
  <c r="N131" i="57"/>
  <c r="L137" i="57"/>
  <c r="V141" i="57"/>
  <c r="Z151" i="57"/>
  <c r="J165" i="57"/>
  <c r="P167" i="57"/>
  <c r="AJ189" i="57"/>
  <c r="AX195" i="57"/>
  <c r="AR205" i="57"/>
  <c r="L131" i="57"/>
  <c r="AJ139" i="57"/>
  <c r="N167" i="57"/>
  <c r="N207" i="57"/>
  <c r="CU8" i="57"/>
  <c r="CU10" i="57" s="1"/>
  <c r="CI8" i="57"/>
  <c r="AO4" i="57" s="1"/>
  <c r="AR31" i="57"/>
  <c r="BB39" i="57"/>
  <c r="N41" i="57"/>
  <c r="AN53" i="57"/>
  <c r="AR67" i="57"/>
  <c r="AB79" i="57"/>
  <c r="J87" i="57"/>
  <c r="AV109" i="57"/>
  <c r="N111" i="57"/>
  <c r="AP111" i="57"/>
  <c r="AN117" i="57"/>
  <c r="AH123" i="57"/>
  <c r="L125" i="57"/>
  <c r="P131" i="57"/>
  <c r="P147" i="57"/>
  <c r="AB151" i="57"/>
  <c r="AN189" i="57"/>
  <c r="AN207" i="57"/>
  <c r="AL31" i="57"/>
  <c r="L39" i="57"/>
  <c r="BB31" i="57"/>
  <c r="P41" i="57"/>
  <c r="AH67" i="57"/>
  <c r="AV67" i="57"/>
  <c r="AH79" i="57"/>
  <c r="AZ89" i="57"/>
  <c r="J91" i="57"/>
  <c r="J109" i="57"/>
  <c r="BB109" i="57"/>
  <c r="V111" i="57"/>
  <c r="AV111" i="57"/>
  <c r="T131" i="57"/>
  <c r="AV131" i="57"/>
  <c r="AP143" i="57"/>
  <c r="AH151" i="57"/>
  <c r="AX163" i="57"/>
  <c r="T165" i="57"/>
  <c r="AJ167" i="57"/>
  <c r="AB89" i="57"/>
  <c r="BB41" i="57"/>
  <c r="T67" i="57"/>
  <c r="J79" i="57"/>
  <c r="AJ143" i="57"/>
  <c r="BJ8" i="57"/>
  <c r="I28" i="12" s="1"/>
  <c r="T31" i="57"/>
  <c r="T41" i="57"/>
  <c r="AV53" i="57"/>
  <c r="AN67" i="57"/>
  <c r="AX67" i="57"/>
  <c r="P89" i="57"/>
  <c r="BB89" i="57"/>
  <c r="P91" i="57"/>
  <c r="N97" i="57"/>
  <c r="N109" i="57"/>
  <c r="BB111" i="57"/>
  <c r="L117" i="57"/>
  <c r="AX131" i="57"/>
  <c r="AR143" i="57"/>
  <c r="V165" i="57"/>
  <c r="L189" i="57"/>
  <c r="AZ55" i="57"/>
  <c r="T55" i="57"/>
  <c r="V55" i="57"/>
  <c r="N55" i="57"/>
  <c r="AX55" i="57"/>
  <c r="AN55" i="57"/>
  <c r="L55" i="57"/>
  <c r="AT55" i="57"/>
  <c r="AH55" i="57"/>
  <c r="AV55" i="57"/>
  <c r="AJ55" i="57"/>
  <c r="J55" i="57"/>
  <c r="AP55" i="57"/>
  <c r="Z55" i="57"/>
  <c r="J45" i="57"/>
  <c r="AZ107" i="57"/>
  <c r="AJ107" i="57"/>
  <c r="AP107" i="57"/>
  <c r="Z107" i="57"/>
  <c r="V107" i="57"/>
  <c r="BB107" i="57"/>
  <c r="N107" i="57"/>
  <c r="P107" i="57"/>
  <c r="AN107" i="57"/>
  <c r="T107" i="57"/>
  <c r="J25" i="57"/>
  <c r="AV29" i="57"/>
  <c r="AZ29" i="57"/>
  <c r="AN29" i="57"/>
  <c r="N29" i="57"/>
  <c r="AX29" i="57"/>
  <c r="AL29" i="57"/>
  <c r="L29" i="57"/>
  <c r="AP29" i="57"/>
  <c r="AJ29" i="57"/>
  <c r="BB29" i="57"/>
  <c r="AH29" i="57"/>
  <c r="P29" i="57"/>
  <c r="V29" i="57"/>
  <c r="T29" i="57"/>
  <c r="AP93" i="57"/>
  <c r="AJ93" i="57"/>
  <c r="AB93" i="57"/>
  <c r="AR93" i="57"/>
  <c r="AH47" i="57"/>
  <c r="AX47" i="57"/>
  <c r="AB47" i="57"/>
  <c r="AT47" i="57"/>
  <c r="AV47" i="57"/>
  <c r="Z47" i="57"/>
  <c r="J47" i="57"/>
  <c r="N47" i="57"/>
  <c r="L47" i="57"/>
  <c r="AT63" i="57"/>
  <c r="N63" i="57"/>
  <c r="AP63" i="57"/>
  <c r="L63" i="57"/>
  <c r="J63" i="57"/>
  <c r="AJ63" i="57"/>
  <c r="AH63" i="57"/>
  <c r="AB63" i="57"/>
  <c r="AN105" i="57"/>
  <c r="AJ105" i="57"/>
  <c r="AH105" i="57"/>
  <c r="AB105" i="57"/>
  <c r="AX105" i="57"/>
  <c r="AV23" i="57"/>
  <c r="T23" i="57"/>
  <c r="AP23" i="57"/>
  <c r="AJ23" i="57"/>
  <c r="V23" i="57"/>
  <c r="BB23" i="57"/>
  <c r="P23" i="57"/>
  <c r="AZ23" i="57"/>
  <c r="AN23" i="57"/>
  <c r="N23" i="57"/>
  <c r="AX23" i="57"/>
  <c r="AL23" i="57"/>
  <c r="L23" i="57"/>
  <c r="AH23" i="57"/>
  <c r="BB159" i="57"/>
  <c r="AL159" i="57"/>
  <c r="AB159" i="57"/>
  <c r="AT13" i="57"/>
  <c r="AB13" i="57"/>
  <c r="AN13" i="57"/>
  <c r="P13" i="57"/>
  <c r="BB13" i="57"/>
  <c r="AZ13" i="57"/>
  <c r="V13" i="57"/>
  <c r="AV13" i="57"/>
  <c r="AH13" i="57"/>
  <c r="J13" i="57"/>
  <c r="AX13" i="57"/>
  <c r="T13" i="57"/>
  <c r="AP13" i="57"/>
  <c r="AL13" i="57"/>
  <c r="N13" i="57"/>
  <c r="AJ13" i="57"/>
  <c r="L13" i="57"/>
  <c r="J27" i="57"/>
  <c r="N39" i="57"/>
  <c r="V57" i="57"/>
  <c r="L115" i="57"/>
  <c r="AN119" i="57"/>
  <c r="BB119" i="57"/>
  <c r="AL119" i="57"/>
  <c r="AZ119" i="57"/>
  <c r="AJ119" i="57"/>
  <c r="AR119" i="57"/>
  <c r="AL121" i="57"/>
  <c r="AL125" i="57"/>
  <c r="AB125" i="57"/>
  <c r="BB125" i="57"/>
  <c r="AZ125" i="57"/>
  <c r="T125" i="57"/>
  <c r="AX125" i="57"/>
  <c r="P125" i="57"/>
  <c r="AB149" i="57"/>
  <c r="AZ149" i="57"/>
  <c r="J149" i="57"/>
  <c r="AT149" i="57"/>
  <c r="AH153" i="57"/>
  <c r="J153" i="57"/>
  <c r="P163" i="57"/>
  <c r="AH173" i="57"/>
  <c r="T173" i="57"/>
  <c r="BB173" i="57"/>
  <c r="AX187" i="57"/>
  <c r="AT187" i="57"/>
  <c r="L199" i="57"/>
  <c r="AP199" i="57"/>
  <c r="BT8" i="57"/>
  <c r="BT10" i="57" s="1"/>
  <c r="BV8" i="57"/>
  <c r="BV10" i="57" s="1"/>
  <c r="CM8" i="57"/>
  <c r="CM10" i="57" s="1"/>
  <c r="AJ21" i="57"/>
  <c r="AZ21" i="57"/>
  <c r="AL43" i="57"/>
  <c r="AL75" i="57"/>
  <c r="T163" i="57"/>
  <c r="AT181" i="57"/>
  <c r="BB181" i="57"/>
  <c r="P181" i="57"/>
  <c r="AZ181" i="57"/>
  <c r="AN181" i="57"/>
  <c r="N181" i="57"/>
  <c r="AX181" i="57"/>
  <c r="AL181" i="57"/>
  <c r="L181" i="57"/>
  <c r="AV181" i="57"/>
  <c r="AJ181" i="57"/>
  <c r="J181" i="57"/>
  <c r="N199" i="57"/>
  <c r="AX199" i="57"/>
  <c r="BN8" i="57"/>
  <c r="I30" i="12" s="1"/>
  <c r="J21" i="57"/>
  <c r="AV27" i="57"/>
  <c r="AN31" i="57"/>
  <c r="P37" i="57"/>
  <c r="AL39" i="57"/>
  <c r="AJ57" i="57"/>
  <c r="AR57" i="57"/>
  <c r="AB59" i="57"/>
  <c r="BB59" i="57"/>
  <c r="AP73" i="57"/>
  <c r="AZ137" i="57"/>
  <c r="AN137" i="57"/>
  <c r="J137" i="57"/>
  <c r="AX137" i="57"/>
  <c r="AJ137" i="57"/>
  <c r="AV137" i="57"/>
  <c r="AB137" i="57"/>
  <c r="Z137" i="57"/>
  <c r="AP153" i="57"/>
  <c r="BB161" i="57"/>
  <c r="P161" i="57"/>
  <c r="AT161" i="57"/>
  <c r="L161" i="57"/>
  <c r="AP167" i="57"/>
  <c r="Z167" i="57"/>
  <c r="V167" i="57"/>
  <c r="T167" i="57"/>
  <c r="AZ167" i="57"/>
  <c r="AL173" i="57"/>
  <c r="AH179" i="57"/>
  <c r="L179" i="57"/>
  <c r="P195" i="57"/>
  <c r="L195" i="57"/>
  <c r="J195" i="57"/>
  <c r="BB195" i="57"/>
  <c r="AZ197" i="57"/>
  <c r="AJ197" i="57"/>
  <c r="AX197" i="57"/>
  <c r="AP197" i="57"/>
  <c r="V197" i="57"/>
  <c r="P197" i="57"/>
  <c r="BB199" i="57"/>
  <c r="BB211" i="57"/>
  <c r="AN75" i="57"/>
  <c r="AN99" i="57"/>
  <c r="AR99" i="57"/>
  <c r="AP99" i="57"/>
  <c r="AJ115" i="57"/>
  <c r="N163" i="57"/>
  <c r="L163" i="57"/>
  <c r="BB163" i="57"/>
  <c r="AN163" i="57"/>
  <c r="AZ163" i="57"/>
  <c r="AL163" i="57"/>
  <c r="AR169" i="57"/>
  <c r="AL169" i="57"/>
  <c r="AP191" i="57"/>
  <c r="AL191" i="57"/>
  <c r="P199" i="57"/>
  <c r="AZ199" i="57"/>
  <c r="BP8" i="57"/>
  <c r="M4" i="57" s="1"/>
  <c r="I43" i="12"/>
  <c r="L21" i="57"/>
  <c r="CB8" i="57"/>
  <c r="CB10" i="57" s="1"/>
  <c r="CQ8" i="57"/>
  <c r="AW4" i="57" s="1"/>
  <c r="AR43" i="57"/>
  <c r="J57" i="57"/>
  <c r="AL57" i="57"/>
  <c r="AV57" i="57"/>
  <c r="Z81" i="57"/>
  <c r="AL81" i="57"/>
  <c r="AT83" i="57"/>
  <c r="AN83" i="57"/>
  <c r="AV95" i="57"/>
  <c r="AB95" i="57"/>
  <c r="Z95" i="57"/>
  <c r="T95" i="57"/>
  <c r="P145" i="57"/>
  <c r="BB145" i="57"/>
  <c r="AT153" i="57"/>
  <c r="AP155" i="57"/>
  <c r="BB155" i="57"/>
  <c r="AZ155" i="57"/>
  <c r="V155" i="57"/>
  <c r="T155" i="57"/>
  <c r="P155" i="57"/>
  <c r="P169" i="57"/>
  <c r="AB181" i="57"/>
  <c r="AT75" i="57"/>
  <c r="V75" i="57"/>
  <c r="AP75" i="57"/>
  <c r="T75" i="57"/>
  <c r="P75" i="57"/>
  <c r="N75" i="57"/>
  <c r="AB145" i="57"/>
  <c r="AV199" i="57"/>
  <c r="AH199" i="57"/>
  <c r="V199" i="57"/>
  <c r="T199" i="57"/>
  <c r="BL8" i="57"/>
  <c r="BL10" i="57" s="1"/>
  <c r="BB21" i="57"/>
  <c r="I41" i="12"/>
  <c r="CE8" i="57"/>
  <c r="AK4" i="57" s="1"/>
  <c r="N21" i="57"/>
  <c r="BR8" i="57"/>
  <c r="I32" i="12" s="1"/>
  <c r="CK8" i="57"/>
  <c r="CK10" i="57" s="1"/>
  <c r="AJ41" i="57"/>
  <c r="AP41" i="57"/>
  <c r="L57" i="57"/>
  <c r="AX57" i="57"/>
  <c r="AH73" i="57"/>
  <c r="AZ75" i="57"/>
  <c r="AB77" i="57"/>
  <c r="Z77" i="57"/>
  <c r="BB77" i="57"/>
  <c r="AV87" i="57"/>
  <c r="AT87" i="57"/>
  <c r="AJ87" i="57"/>
  <c r="AH87" i="57"/>
  <c r="AN97" i="57"/>
  <c r="AL97" i="57"/>
  <c r="AJ97" i="57"/>
  <c r="AR101" i="57"/>
  <c r="AP119" i="57"/>
  <c r="AN135" i="57"/>
  <c r="AJ135" i="57"/>
  <c r="AB135" i="57"/>
  <c r="AN147" i="57"/>
  <c r="BB147" i="57"/>
  <c r="AL147" i="57"/>
  <c r="AV147" i="57"/>
  <c r="AB147" i="57"/>
  <c r="AR149" i="57"/>
  <c r="AX153" i="57"/>
  <c r="N155" i="57"/>
  <c r="T169" i="57"/>
  <c r="AZ173" i="57"/>
  <c r="AH181" i="57"/>
  <c r="AR191" i="57"/>
  <c r="AL199" i="57"/>
  <c r="AN203" i="57"/>
  <c r="BB115" i="57"/>
  <c r="AB115" i="57"/>
  <c r="AZ115" i="57"/>
  <c r="Z115" i="57"/>
  <c r="AX115" i="57"/>
  <c r="AP115" i="57"/>
  <c r="V115" i="57"/>
  <c r="AT145" i="57"/>
  <c r="AZ145" i="57"/>
  <c r="N145" i="57"/>
  <c r="AX145" i="57"/>
  <c r="AL145" i="57"/>
  <c r="L145" i="57"/>
  <c r="AV145" i="57"/>
  <c r="AJ145" i="57"/>
  <c r="J145" i="57"/>
  <c r="AP145" i="57"/>
  <c r="AH145" i="57"/>
  <c r="AN211" i="57"/>
  <c r="T211" i="57"/>
  <c r="P211" i="57"/>
  <c r="CO8" i="57"/>
  <c r="AU4" i="57" s="1"/>
  <c r="AL21" i="57"/>
  <c r="CS8" i="57"/>
  <c r="CS10" i="57" s="1"/>
  <c r="BS7" i="57"/>
  <c r="BS9" i="57" s="1"/>
  <c r="P21" i="57"/>
  <c r="P31" i="57"/>
  <c r="J39" i="57"/>
  <c r="AZ39" i="57"/>
  <c r="N57" i="57"/>
  <c r="AZ57" i="57"/>
  <c r="AZ73" i="57"/>
  <c r="T73" i="57"/>
  <c r="AJ73" i="57"/>
  <c r="AX73" i="57"/>
  <c r="BB75" i="57"/>
  <c r="V77" i="57"/>
  <c r="N119" i="57"/>
  <c r="V169" i="57"/>
  <c r="AT191" i="57"/>
  <c r="AN193" i="57"/>
  <c r="AB193" i="57"/>
  <c r="Z193" i="57"/>
  <c r="AN199" i="57"/>
  <c r="AL207" i="57"/>
  <c r="AB207" i="57"/>
  <c r="BB207" i="57"/>
  <c r="AZ207" i="57"/>
  <c r="T207" i="57"/>
  <c r="AX207" i="57"/>
  <c r="P207" i="57"/>
  <c r="AZ79" i="57"/>
  <c r="AH109" i="57"/>
  <c r="V117" i="57"/>
  <c r="AV129" i="57"/>
  <c r="J131" i="57"/>
  <c r="AP139" i="57"/>
  <c r="AV141" i="57"/>
  <c r="AT143" i="57"/>
  <c r="AT171" i="57"/>
  <c r="AL189" i="57"/>
  <c r="BB189" i="57"/>
  <c r="AN109" i="57"/>
  <c r="P111" i="57"/>
  <c r="AB141" i="57"/>
  <c r="Z143" i="57"/>
  <c r="AB91" i="57"/>
  <c r="AP91" i="57"/>
  <c r="Z117" i="57"/>
  <c r="Z79" i="57"/>
  <c r="N89" i="57"/>
  <c r="AL91" i="57"/>
  <c r="AJ117" i="57"/>
  <c r="CZ82" i="57"/>
  <c r="AN19" i="57"/>
  <c r="T19" i="57"/>
  <c r="BB19" i="57"/>
  <c r="AL19" i="57"/>
  <c r="P19" i="57"/>
  <c r="AZ19" i="57"/>
  <c r="AJ19" i="57"/>
  <c r="N19" i="57"/>
  <c r="L19" i="57"/>
  <c r="AH19" i="57"/>
  <c r="AX19" i="57"/>
  <c r="J19" i="57"/>
  <c r="AV19" i="57"/>
  <c r="AT19" i="57"/>
  <c r="AR19" i="57"/>
  <c r="AB19" i="57"/>
  <c r="AP19" i="57"/>
  <c r="Z19" i="57"/>
  <c r="V19" i="57"/>
  <c r="AP15" i="57"/>
  <c r="AX15" i="57"/>
  <c r="AB15" i="57"/>
  <c r="J15" i="57"/>
  <c r="T15" i="57"/>
  <c r="P15" i="57"/>
  <c r="BB15" i="57"/>
  <c r="N15" i="57"/>
  <c r="AV15" i="57"/>
  <c r="Z15" i="57"/>
  <c r="AT15" i="57"/>
  <c r="AR15" i="57"/>
  <c r="V15" i="57"/>
  <c r="AN15" i="57"/>
  <c r="AL15" i="57"/>
  <c r="AJ15" i="57"/>
  <c r="AZ15" i="57"/>
  <c r="AH15" i="57"/>
  <c r="L15" i="57"/>
  <c r="AP35" i="57"/>
  <c r="V35" i="57"/>
  <c r="AN35" i="57"/>
  <c r="T35" i="57"/>
  <c r="BB35" i="57"/>
  <c r="AL35" i="57"/>
  <c r="P35" i="57"/>
  <c r="AZ35" i="57"/>
  <c r="AJ35" i="57"/>
  <c r="N35" i="57"/>
  <c r="AV35" i="57"/>
  <c r="AR35" i="57"/>
  <c r="L35" i="57"/>
  <c r="AB35" i="57"/>
  <c r="AX35" i="57"/>
  <c r="AH35" i="57"/>
  <c r="AT35" i="57"/>
  <c r="Z35" i="57"/>
  <c r="J35" i="57"/>
  <c r="AP85" i="57"/>
  <c r="V85" i="57"/>
  <c r="AZ85" i="57"/>
  <c r="AJ85" i="57"/>
  <c r="N85" i="57"/>
  <c r="AX85" i="57"/>
  <c r="T85" i="57"/>
  <c r="AV85" i="57"/>
  <c r="P85" i="57"/>
  <c r="AT85" i="57"/>
  <c r="AN85" i="57"/>
  <c r="L85" i="57"/>
  <c r="AR85" i="57"/>
  <c r="AL85" i="57"/>
  <c r="J85" i="57"/>
  <c r="AH85" i="57"/>
  <c r="AB85" i="57"/>
  <c r="Z85" i="57"/>
  <c r="BB85" i="57"/>
  <c r="AN61" i="57"/>
  <c r="T61" i="57"/>
  <c r="AX61" i="57"/>
  <c r="AH61" i="57"/>
  <c r="L61" i="57"/>
  <c r="BB61" i="57"/>
  <c r="AZ61" i="57"/>
  <c r="V61" i="57"/>
  <c r="AV61" i="57"/>
  <c r="P61" i="57"/>
  <c r="AT61" i="57"/>
  <c r="N61" i="57"/>
  <c r="AB61" i="57"/>
  <c r="Z61" i="57"/>
  <c r="J61" i="57"/>
  <c r="AL61" i="57"/>
  <c r="AR61" i="57"/>
  <c r="AP61" i="57"/>
  <c r="AJ61" i="57"/>
  <c r="AP71" i="57"/>
  <c r="V71" i="57"/>
  <c r="AZ71" i="57"/>
  <c r="AJ71" i="57"/>
  <c r="N71" i="57"/>
  <c r="Z71" i="57"/>
  <c r="BB71" i="57"/>
  <c r="AX71" i="57"/>
  <c r="T71" i="57"/>
  <c r="AV71" i="57"/>
  <c r="P71" i="57"/>
  <c r="AR71" i="57"/>
  <c r="AN71" i="57"/>
  <c r="AL71" i="57"/>
  <c r="AH71" i="57"/>
  <c r="AB71" i="57"/>
  <c r="L71" i="57"/>
  <c r="AT71" i="57"/>
  <c r="J71" i="57"/>
  <c r="BB33" i="57"/>
  <c r="AL33" i="57"/>
  <c r="P33" i="57"/>
  <c r="AZ33" i="57"/>
  <c r="AJ33" i="57"/>
  <c r="N33" i="57"/>
  <c r="AX33" i="57"/>
  <c r="AH33" i="57"/>
  <c r="L33" i="57"/>
  <c r="AV33" i="57"/>
  <c r="AB33" i="57"/>
  <c r="J33" i="57"/>
  <c r="AT33" i="57"/>
  <c r="Z33" i="57"/>
  <c r="AR33" i="57"/>
  <c r="AP33" i="57"/>
  <c r="V33" i="57"/>
  <c r="T33" i="57"/>
  <c r="AN33" i="57"/>
  <c r="AP69" i="57"/>
  <c r="V69" i="57"/>
  <c r="AZ69" i="57"/>
  <c r="AJ69" i="57"/>
  <c r="N69" i="57"/>
  <c r="AX69" i="57"/>
  <c r="T69" i="57"/>
  <c r="AV69" i="57"/>
  <c r="P69" i="57"/>
  <c r="AT69" i="57"/>
  <c r="AN69" i="57"/>
  <c r="L69" i="57"/>
  <c r="AR69" i="57"/>
  <c r="AL69" i="57"/>
  <c r="J69" i="57"/>
  <c r="BB69" i="57"/>
  <c r="AB69" i="57"/>
  <c r="AH69" i="57"/>
  <c r="Z69" i="57"/>
  <c r="BX8" i="57"/>
  <c r="BK13" i="57"/>
  <c r="BK7" i="57" s="1"/>
  <c r="I3" i="57" s="1"/>
  <c r="BM15" i="57"/>
  <c r="BM7" i="57" s="1"/>
  <c r="K3" i="57" s="1"/>
  <c r="AH17" i="57"/>
  <c r="BB25" i="57"/>
  <c r="AL25" i="57"/>
  <c r="P25" i="57"/>
  <c r="AZ25" i="57"/>
  <c r="AJ25" i="57"/>
  <c r="N25" i="57"/>
  <c r="AX25" i="57"/>
  <c r="AH25" i="57"/>
  <c r="L25" i="57"/>
  <c r="AV25" i="57"/>
  <c r="AR27" i="57"/>
  <c r="AP27" i="57"/>
  <c r="V27" i="57"/>
  <c r="AN27" i="57"/>
  <c r="T27" i="57"/>
  <c r="AH27" i="57"/>
  <c r="AT27" i="57"/>
  <c r="AN45" i="57"/>
  <c r="T45" i="57"/>
  <c r="BB45" i="57"/>
  <c r="AL45" i="57"/>
  <c r="P45" i="57"/>
  <c r="AZ45" i="57"/>
  <c r="AJ45" i="57"/>
  <c r="N45" i="57"/>
  <c r="AX45" i="57"/>
  <c r="AH45" i="57"/>
  <c r="L45" i="57"/>
  <c r="AH49" i="57"/>
  <c r="AX49" i="57"/>
  <c r="AV51" i="57"/>
  <c r="AB51" i="57"/>
  <c r="J51" i="57"/>
  <c r="AL51" i="57"/>
  <c r="N51" i="57"/>
  <c r="AJ51" i="57"/>
  <c r="L51" i="57"/>
  <c r="BB51" i="57"/>
  <c r="AH51" i="57"/>
  <c r="AZ51" i="57"/>
  <c r="Z51" i="57"/>
  <c r="AP103" i="57"/>
  <c r="V103" i="57"/>
  <c r="AN103" i="57"/>
  <c r="T103" i="57"/>
  <c r="AZ103" i="57"/>
  <c r="AJ103" i="57"/>
  <c r="N103" i="57"/>
  <c r="AX103" i="57"/>
  <c r="J103" i="57"/>
  <c r="AV103" i="57"/>
  <c r="AL103" i="57"/>
  <c r="AT103" i="57"/>
  <c r="AH103" i="57"/>
  <c r="AR103" i="57"/>
  <c r="AB103" i="57"/>
  <c r="AP17" i="57"/>
  <c r="P51" i="57"/>
  <c r="AP51" i="57"/>
  <c r="AT65" i="57"/>
  <c r="Z65" i="57"/>
  <c r="AN65" i="57"/>
  <c r="T65" i="57"/>
  <c r="AB65" i="57"/>
  <c r="BB65" i="57"/>
  <c r="AZ65" i="57"/>
  <c r="V65" i="57"/>
  <c r="AX65" i="57"/>
  <c r="P65" i="57"/>
  <c r="AJ17" i="57"/>
  <c r="AL17" i="57"/>
  <c r="V45" i="57"/>
  <c r="AT99" i="57"/>
  <c r="AZ27" i="57"/>
  <c r="L49" i="57"/>
  <c r="AR51" i="57"/>
  <c r="L81" i="57"/>
  <c r="L83" i="57"/>
  <c r="AX99" i="57"/>
  <c r="AP101" i="57"/>
  <c r="V101" i="57"/>
  <c r="AN101" i="57"/>
  <c r="T101" i="57"/>
  <c r="AZ101" i="57"/>
  <c r="AJ101" i="57"/>
  <c r="N101" i="57"/>
  <c r="P101" i="57"/>
  <c r="BB101" i="57"/>
  <c r="L101" i="57"/>
  <c r="AX101" i="57"/>
  <c r="J101" i="57"/>
  <c r="P17" i="57"/>
  <c r="AX17" i="57"/>
  <c r="AB37" i="57"/>
  <c r="AZ43" i="57"/>
  <c r="AJ43" i="57"/>
  <c r="N43" i="57"/>
  <c r="AX43" i="57"/>
  <c r="AH43" i="57"/>
  <c r="L43" i="57"/>
  <c r="AV43" i="57"/>
  <c r="AB43" i="57"/>
  <c r="J43" i="57"/>
  <c r="AT43" i="57"/>
  <c r="Z43" i="57"/>
  <c r="AT45" i="57"/>
  <c r="N49" i="57"/>
  <c r="AT51" i="57"/>
  <c r="N83" i="57"/>
  <c r="T17" i="57"/>
  <c r="Z25" i="57"/>
  <c r="AP25" i="57"/>
  <c r="AH37" i="57"/>
  <c r="P43" i="57"/>
  <c r="AB45" i="57"/>
  <c r="AV45" i="57"/>
  <c r="AX51" i="57"/>
  <c r="P53" i="57"/>
  <c r="AP53" i="57"/>
  <c r="L65" i="57"/>
  <c r="AP65" i="57"/>
  <c r="T83" i="57"/>
  <c r="AN93" i="57"/>
  <c r="T93" i="57"/>
  <c r="BB93" i="57"/>
  <c r="AL93" i="57"/>
  <c r="P93" i="57"/>
  <c r="AX93" i="57"/>
  <c r="AH93" i="57"/>
  <c r="L93" i="57"/>
  <c r="V93" i="57"/>
  <c r="N93" i="57"/>
  <c r="AZ93" i="57"/>
  <c r="J93" i="57"/>
  <c r="AT93" i="57"/>
  <c r="AH99" i="57"/>
  <c r="Z101" i="57"/>
  <c r="L103" i="57"/>
  <c r="BB103" i="57"/>
  <c r="AR105" i="57"/>
  <c r="AP105" i="57"/>
  <c r="V105" i="57"/>
  <c r="BB105" i="57"/>
  <c r="AL105" i="57"/>
  <c r="P105" i="57"/>
  <c r="Z105" i="57"/>
  <c r="T105" i="57"/>
  <c r="AZ105" i="57"/>
  <c r="N105" i="57"/>
  <c r="Z129" i="57"/>
  <c r="BB185" i="57"/>
  <c r="AL185" i="57"/>
  <c r="P185" i="57"/>
  <c r="AZ185" i="57"/>
  <c r="AJ185" i="57"/>
  <c r="N185" i="57"/>
  <c r="AX185" i="57"/>
  <c r="AH185" i="57"/>
  <c r="L185" i="57"/>
  <c r="V185" i="57"/>
  <c r="J185" i="57"/>
  <c r="AT185" i="57"/>
  <c r="AR185" i="57"/>
  <c r="T185" i="57"/>
  <c r="AB185" i="57"/>
  <c r="Z185" i="57"/>
  <c r="AV185" i="57"/>
  <c r="AP185" i="57"/>
  <c r="AN185" i="57"/>
  <c r="AV17" i="57"/>
  <c r="AB17" i="57"/>
  <c r="J17" i="57"/>
  <c r="AT17" i="57"/>
  <c r="Z17" i="57"/>
  <c r="AJ49" i="57"/>
  <c r="AZ177" i="57"/>
  <c r="AJ177" i="57"/>
  <c r="N177" i="57"/>
  <c r="AX177" i="57"/>
  <c r="AH177" i="57"/>
  <c r="L177" i="57"/>
  <c r="AV177" i="57"/>
  <c r="AB177" i="57"/>
  <c r="J177" i="57"/>
  <c r="AP177" i="57"/>
  <c r="Z177" i="57"/>
  <c r="T177" i="57"/>
  <c r="AT177" i="57"/>
  <c r="V177" i="57"/>
  <c r="AR177" i="57"/>
  <c r="P177" i="57"/>
  <c r="BB177" i="57"/>
  <c r="AN177" i="57"/>
  <c r="AL27" i="57"/>
  <c r="AX27" i="57"/>
  <c r="AT37" i="57"/>
  <c r="Z37" i="57"/>
  <c r="AR37" i="57"/>
  <c r="AP37" i="57"/>
  <c r="V37" i="57"/>
  <c r="AN37" i="57"/>
  <c r="T37" i="57"/>
  <c r="AL65" i="57"/>
  <c r="AV81" i="57"/>
  <c r="AB81" i="57"/>
  <c r="J81" i="57"/>
  <c r="AP81" i="57"/>
  <c r="V81" i="57"/>
  <c r="BB81" i="57"/>
  <c r="AZ81" i="57"/>
  <c r="T81" i="57"/>
  <c r="AX81" i="57"/>
  <c r="P81" i="57"/>
  <c r="AT81" i="57"/>
  <c r="AN81" i="57"/>
  <c r="N81" i="57"/>
  <c r="BB83" i="57"/>
  <c r="AL83" i="57"/>
  <c r="P83" i="57"/>
  <c r="AV83" i="57"/>
  <c r="AB83" i="57"/>
  <c r="J83" i="57"/>
  <c r="AP83" i="57"/>
  <c r="AJ83" i="57"/>
  <c r="AH83" i="57"/>
  <c r="Z83" i="57"/>
  <c r="AN113" i="57"/>
  <c r="T113" i="57"/>
  <c r="AZ113" i="57"/>
  <c r="AJ113" i="57"/>
  <c r="N113" i="57"/>
  <c r="AT113" i="57"/>
  <c r="L113" i="57"/>
  <c r="AR113" i="57"/>
  <c r="AL113" i="57"/>
  <c r="J113" i="57"/>
  <c r="AB113" i="57"/>
  <c r="BB113" i="57"/>
  <c r="AH113" i="57"/>
  <c r="AX113" i="57"/>
  <c r="Z113" i="57"/>
  <c r="AV113" i="57"/>
  <c r="AR45" i="57"/>
  <c r="T51" i="57"/>
  <c r="AZ121" i="57"/>
  <c r="AJ121" i="57"/>
  <c r="N121" i="57"/>
  <c r="AX121" i="57"/>
  <c r="AH121" i="57"/>
  <c r="L121" i="57"/>
  <c r="AV121" i="57"/>
  <c r="AB121" i="57"/>
  <c r="J121" i="57"/>
  <c r="T121" i="57"/>
  <c r="P121" i="57"/>
  <c r="AT121" i="57"/>
  <c r="AN121" i="57"/>
  <c r="Z121" i="57"/>
  <c r="BB121" i="57"/>
  <c r="AR121" i="57"/>
  <c r="V121" i="57"/>
  <c r="AP121" i="57"/>
  <c r="AV37" i="57"/>
  <c r="AT39" i="57"/>
  <c r="Z39" i="57"/>
  <c r="AR39" i="57"/>
  <c r="AP39" i="57"/>
  <c r="V39" i="57"/>
  <c r="AN39" i="57"/>
  <c r="T39" i="57"/>
  <c r="AR81" i="57"/>
  <c r="AR83" i="57"/>
  <c r="AV101" i="57"/>
  <c r="AR13" i="57"/>
  <c r="V17" i="57"/>
  <c r="BB17" i="57"/>
  <c r="AB21" i="57"/>
  <c r="AB25" i="57"/>
  <c r="AR25" i="57"/>
  <c r="Z27" i="57"/>
  <c r="AJ37" i="57"/>
  <c r="AZ37" i="57"/>
  <c r="AB39" i="57"/>
  <c r="AV39" i="57"/>
  <c r="T43" i="57"/>
  <c r="AR47" i="57"/>
  <c r="AP47" i="57"/>
  <c r="V47" i="57"/>
  <c r="AN47" i="57"/>
  <c r="T47" i="57"/>
  <c r="BB47" i="57"/>
  <c r="AL47" i="57"/>
  <c r="P47" i="57"/>
  <c r="AJ47" i="57"/>
  <c r="AZ47" i="57"/>
  <c r="Z49" i="57"/>
  <c r="AN51" i="57"/>
  <c r="T53" i="57"/>
  <c r="AR63" i="57"/>
  <c r="BB63" i="57"/>
  <c r="AL63" i="57"/>
  <c r="P63" i="57"/>
  <c r="Z63" i="57"/>
  <c r="AZ63" i="57"/>
  <c r="AX63" i="57"/>
  <c r="V63" i="57"/>
  <c r="AV63" i="57"/>
  <c r="T63" i="57"/>
  <c r="AN63" i="57"/>
  <c r="N65" i="57"/>
  <c r="AR65" i="57"/>
  <c r="AH81" i="57"/>
  <c r="V83" i="57"/>
  <c r="AX83" i="57"/>
  <c r="AV93" i="57"/>
  <c r="AB101" i="57"/>
  <c r="P103" i="57"/>
  <c r="J105" i="57"/>
  <c r="AT105" i="57"/>
  <c r="AP123" i="57"/>
  <c r="V123" i="57"/>
  <c r="AN123" i="57"/>
  <c r="T123" i="57"/>
  <c r="BB123" i="57"/>
  <c r="AL123" i="57"/>
  <c r="P123" i="57"/>
  <c r="N123" i="57"/>
  <c r="AZ123" i="57"/>
  <c r="L123" i="57"/>
  <c r="AV123" i="57"/>
  <c r="AJ123" i="57"/>
  <c r="AX123" i="57"/>
  <c r="Z123" i="57"/>
  <c r="AT123" i="57"/>
  <c r="AR123" i="57"/>
  <c r="J123" i="57"/>
  <c r="BB157" i="57"/>
  <c r="AL157" i="57"/>
  <c r="P157" i="57"/>
  <c r="AZ157" i="57"/>
  <c r="AJ157" i="57"/>
  <c r="N157" i="57"/>
  <c r="AV157" i="57"/>
  <c r="AB157" i="57"/>
  <c r="J157" i="57"/>
  <c r="AP157" i="57"/>
  <c r="Z157" i="57"/>
  <c r="T157" i="57"/>
  <c r="AN157" i="57"/>
  <c r="AT157" i="57"/>
  <c r="AR157" i="57"/>
  <c r="AH157" i="57"/>
  <c r="AX157" i="57"/>
  <c r="AR49" i="57"/>
  <c r="AP49" i="57"/>
  <c r="V49" i="57"/>
  <c r="AN49" i="57"/>
  <c r="T49" i="57"/>
  <c r="BB49" i="57"/>
  <c r="AL49" i="57"/>
  <c r="P49" i="57"/>
  <c r="AZ49" i="57"/>
  <c r="L17" i="57"/>
  <c r="T25" i="57"/>
  <c r="L27" i="57"/>
  <c r="AP45" i="57"/>
  <c r="J49" i="57"/>
  <c r="BB99" i="57"/>
  <c r="AL99" i="57"/>
  <c r="P99" i="57"/>
  <c r="AZ99" i="57"/>
  <c r="AJ99" i="57"/>
  <c r="N99" i="57"/>
  <c r="AV99" i="57"/>
  <c r="AB99" i="57"/>
  <c r="J99" i="57"/>
  <c r="V99" i="57"/>
  <c r="T99" i="57"/>
  <c r="L99" i="57"/>
  <c r="N17" i="57"/>
  <c r="AN17" i="57"/>
  <c r="AR17" i="57"/>
  <c r="V25" i="57"/>
  <c r="N27" i="57"/>
  <c r="AZ53" i="57"/>
  <c r="AJ53" i="57"/>
  <c r="N53" i="57"/>
  <c r="AL53" i="57"/>
  <c r="L53" i="57"/>
  <c r="AH53" i="57"/>
  <c r="J53" i="57"/>
  <c r="BB53" i="57"/>
  <c r="AB53" i="57"/>
  <c r="AX53" i="57"/>
  <c r="Z53" i="57"/>
  <c r="AT101" i="57"/>
  <c r="P113" i="57"/>
  <c r="BB129" i="57"/>
  <c r="AJ129" i="57"/>
  <c r="N129" i="57"/>
  <c r="AZ129" i="57"/>
  <c r="AH129" i="57"/>
  <c r="L129" i="57"/>
  <c r="AX129" i="57"/>
  <c r="AB129" i="57"/>
  <c r="J129" i="57"/>
  <c r="AP129" i="57"/>
  <c r="V129" i="57"/>
  <c r="P129" i="57"/>
  <c r="AR129" i="57"/>
  <c r="AN129" i="57"/>
  <c r="P27" i="57"/>
  <c r="BB27" i="57"/>
  <c r="P39" i="57"/>
  <c r="Z45" i="57"/>
  <c r="V51" i="57"/>
  <c r="J65" i="57"/>
  <c r="Z99" i="57"/>
  <c r="V113" i="57"/>
  <c r="AZ133" i="57"/>
  <c r="AJ133" i="57"/>
  <c r="N133" i="57"/>
  <c r="AV133" i="57"/>
  <c r="AB133" i="57"/>
  <c r="J133" i="57"/>
  <c r="AP133" i="57"/>
  <c r="AL133" i="57"/>
  <c r="AH133" i="57"/>
  <c r="Z133" i="57"/>
  <c r="BB133" i="57"/>
  <c r="AN133" i="57"/>
  <c r="AT133" i="57"/>
  <c r="V133" i="57"/>
  <c r="AX133" i="57"/>
  <c r="L133" i="57"/>
  <c r="AR133" i="57"/>
  <c r="AZ175" i="57"/>
  <c r="AJ175" i="57"/>
  <c r="N175" i="57"/>
  <c r="AX175" i="57"/>
  <c r="AH175" i="57"/>
  <c r="L175" i="57"/>
  <c r="AV175" i="57"/>
  <c r="AB175" i="57"/>
  <c r="J175" i="57"/>
  <c r="AP175" i="57"/>
  <c r="Z175" i="57"/>
  <c r="T175" i="57"/>
  <c r="AN175" i="57"/>
  <c r="AL175" i="57"/>
  <c r="AT175" i="57"/>
  <c r="V175" i="57"/>
  <c r="AR175" i="57"/>
  <c r="P175" i="57"/>
  <c r="BB175" i="57"/>
  <c r="Z13" i="57"/>
  <c r="AR21" i="57"/>
  <c r="AP21" i="57"/>
  <c r="V21" i="57"/>
  <c r="AN21" i="57"/>
  <c r="T21" i="57"/>
  <c r="AH21" i="57"/>
  <c r="AT21" i="57"/>
  <c r="AN25" i="57"/>
  <c r="AT25" i="57"/>
  <c r="AB27" i="57"/>
  <c r="AZ31" i="57"/>
  <c r="AJ31" i="57"/>
  <c r="N31" i="57"/>
  <c r="AX31" i="57"/>
  <c r="AH31" i="57"/>
  <c r="L31" i="57"/>
  <c r="AV31" i="57"/>
  <c r="AB31" i="57"/>
  <c r="J31" i="57"/>
  <c r="AT31" i="57"/>
  <c r="Z31" i="57"/>
  <c r="J37" i="57"/>
  <c r="AL37" i="57"/>
  <c r="BB37" i="57"/>
  <c r="AH39" i="57"/>
  <c r="AX39" i="57"/>
  <c r="V43" i="57"/>
  <c r="AP43" i="57"/>
  <c r="AB49" i="57"/>
  <c r="AV49" i="57"/>
  <c r="V53" i="57"/>
  <c r="AT53" i="57"/>
  <c r="AV65" i="57"/>
  <c r="AR79" i="57"/>
  <c r="BB79" i="57"/>
  <c r="AL79" i="57"/>
  <c r="P79" i="57"/>
  <c r="AX79" i="57"/>
  <c r="V79" i="57"/>
  <c r="AV79" i="57"/>
  <c r="T79" i="57"/>
  <c r="AT79" i="57"/>
  <c r="AN79" i="57"/>
  <c r="N79" i="57"/>
  <c r="AP79" i="57"/>
  <c r="AJ79" i="57"/>
  <c r="L79" i="57"/>
  <c r="AJ81" i="57"/>
  <c r="AZ83" i="57"/>
  <c r="AR87" i="57"/>
  <c r="AP87" i="57"/>
  <c r="V87" i="57"/>
  <c r="BB87" i="57"/>
  <c r="AL87" i="57"/>
  <c r="P87" i="57"/>
  <c r="T87" i="57"/>
  <c r="AZ87" i="57"/>
  <c r="N87" i="57"/>
  <c r="AX87" i="57"/>
  <c r="AN87" i="57"/>
  <c r="L87" i="57"/>
  <c r="Z93" i="57"/>
  <c r="AX97" i="57"/>
  <c r="AH97" i="57"/>
  <c r="L97" i="57"/>
  <c r="AV97" i="57"/>
  <c r="AB97" i="57"/>
  <c r="J97" i="57"/>
  <c r="AR97" i="57"/>
  <c r="Z97" i="57"/>
  <c r="V97" i="57"/>
  <c r="T97" i="57"/>
  <c r="AP97" i="57"/>
  <c r="AH101" i="57"/>
  <c r="L105" i="57"/>
  <c r="AV105" i="57"/>
  <c r="AT129" i="57"/>
  <c r="T133" i="57"/>
  <c r="BB135" i="57"/>
  <c r="AL135" i="57"/>
  <c r="P135" i="57"/>
  <c r="AX135" i="57"/>
  <c r="AH135" i="57"/>
  <c r="L135" i="57"/>
  <c r="V135" i="57"/>
  <c r="AZ135" i="57"/>
  <c r="T135" i="57"/>
  <c r="AV135" i="57"/>
  <c r="N135" i="57"/>
  <c r="AR135" i="57"/>
  <c r="AP135" i="57"/>
  <c r="J135" i="57"/>
  <c r="AT135" i="57"/>
  <c r="L157" i="57"/>
  <c r="AZ59" i="57"/>
  <c r="AJ59" i="57"/>
  <c r="N59" i="57"/>
  <c r="AT59" i="57"/>
  <c r="Z59" i="57"/>
  <c r="AN77" i="57"/>
  <c r="T77" i="57"/>
  <c r="AX77" i="57"/>
  <c r="AH77" i="57"/>
  <c r="L77" i="57"/>
  <c r="AJ77" i="57"/>
  <c r="AP77" i="57"/>
  <c r="AT89" i="57"/>
  <c r="Z89" i="57"/>
  <c r="AR89" i="57"/>
  <c r="AN89" i="57"/>
  <c r="T89" i="57"/>
  <c r="AZ127" i="57"/>
  <c r="AJ127" i="57"/>
  <c r="N127" i="57"/>
  <c r="AX127" i="57"/>
  <c r="AH127" i="57"/>
  <c r="L127" i="57"/>
  <c r="AV127" i="57"/>
  <c r="AB127" i="57"/>
  <c r="J127" i="57"/>
  <c r="V127" i="57"/>
  <c r="P127" i="57"/>
  <c r="AP127" i="57"/>
  <c r="AR23" i="57"/>
  <c r="AR29" i="57"/>
  <c r="AR41" i="57"/>
  <c r="AB57" i="57"/>
  <c r="J59" i="57"/>
  <c r="AL59" i="57"/>
  <c r="AP59" i="57"/>
  <c r="AB67" i="57"/>
  <c r="Z75" i="57"/>
  <c r="J77" i="57"/>
  <c r="AL77" i="57"/>
  <c r="AR77" i="57"/>
  <c r="AH89" i="57"/>
  <c r="AP89" i="57"/>
  <c r="AZ91" i="57"/>
  <c r="AJ91" i="57"/>
  <c r="N91" i="57"/>
  <c r="AX91" i="57"/>
  <c r="AH91" i="57"/>
  <c r="L91" i="57"/>
  <c r="AT91" i="57"/>
  <c r="Z91" i="57"/>
  <c r="AR95" i="57"/>
  <c r="AP95" i="57"/>
  <c r="V95" i="57"/>
  <c r="BB95" i="57"/>
  <c r="AL95" i="57"/>
  <c r="P95" i="57"/>
  <c r="AH95" i="57"/>
  <c r="AT95" i="57"/>
  <c r="AX107" i="57"/>
  <c r="AH107" i="57"/>
  <c r="L107" i="57"/>
  <c r="AV107" i="57"/>
  <c r="AB107" i="57"/>
  <c r="J107" i="57"/>
  <c r="AR107" i="57"/>
  <c r="AL107" i="57"/>
  <c r="AT107" i="57"/>
  <c r="AX111" i="57"/>
  <c r="AH111" i="57"/>
  <c r="L111" i="57"/>
  <c r="AT111" i="57"/>
  <c r="Z111" i="57"/>
  <c r="AB111" i="57"/>
  <c r="AZ111" i="57"/>
  <c r="T111" i="57"/>
  <c r="AR115" i="57"/>
  <c r="AN115" i="57"/>
  <c r="T115" i="57"/>
  <c r="AV115" i="57"/>
  <c r="P115" i="57"/>
  <c r="AT115" i="57"/>
  <c r="AL115" i="57"/>
  <c r="N115" i="57"/>
  <c r="AH115" i="57"/>
  <c r="J115" i="57"/>
  <c r="T127" i="57"/>
  <c r="AR127" i="57"/>
  <c r="AR153" i="57"/>
  <c r="BB153" i="57"/>
  <c r="AL153" i="57"/>
  <c r="P153" i="57"/>
  <c r="Z153" i="57"/>
  <c r="AZ153" i="57"/>
  <c r="AV153" i="57"/>
  <c r="T153" i="57"/>
  <c r="V153" i="57"/>
  <c r="N153" i="57"/>
  <c r="L153" i="57"/>
  <c r="AN153" i="57"/>
  <c r="AJ153" i="57"/>
  <c r="AB153" i="57"/>
  <c r="AX201" i="57"/>
  <c r="AH201" i="57"/>
  <c r="L201" i="57"/>
  <c r="AV201" i="57"/>
  <c r="AB201" i="57"/>
  <c r="J201" i="57"/>
  <c r="AT201" i="57"/>
  <c r="Z201" i="57"/>
  <c r="AP201" i="57"/>
  <c r="AJ201" i="57"/>
  <c r="T201" i="57"/>
  <c r="AN201" i="57"/>
  <c r="AL201" i="57"/>
  <c r="AZ201" i="57"/>
  <c r="V201" i="57"/>
  <c r="BB201" i="57"/>
  <c r="AR201" i="57"/>
  <c r="P201" i="57"/>
  <c r="Z23" i="57"/>
  <c r="AT23" i="57"/>
  <c r="Z29" i="57"/>
  <c r="AT29" i="57"/>
  <c r="Z41" i="57"/>
  <c r="AT41" i="57"/>
  <c r="L59" i="57"/>
  <c r="AN59" i="57"/>
  <c r="AR59" i="57"/>
  <c r="AZ67" i="57"/>
  <c r="AJ67" i="57"/>
  <c r="N67" i="57"/>
  <c r="AT67" i="57"/>
  <c r="Z67" i="57"/>
  <c r="AX75" i="57"/>
  <c r="AH75" i="57"/>
  <c r="L75" i="57"/>
  <c r="AR75" i="57"/>
  <c r="AB75" i="57"/>
  <c r="N77" i="57"/>
  <c r="AT77" i="57"/>
  <c r="J89" i="57"/>
  <c r="AJ89" i="57"/>
  <c r="AV89" i="57"/>
  <c r="AT127" i="57"/>
  <c r="AX139" i="57"/>
  <c r="AH139" i="57"/>
  <c r="L139" i="57"/>
  <c r="AV139" i="57"/>
  <c r="AB139" i="57"/>
  <c r="J139" i="57"/>
  <c r="AR139" i="57"/>
  <c r="V139" i="57"/>
  <c r="T139" i="57"/>
  <c r="BB139" i="57"/>
  <c r="P139" i="57"/>
  <c r="AN139" i="57"/>
  <c r="AL139" i="57"/>
  <c r="AZ139" i="57"/>
  <c r="Z139" i="57"/>
  <c r="J23" i="57"/>
  <c r="AB23" i="57"/>
  <c r="J29" i="57"/>
  <c r="AB29" i="57"/>
  <c r="J41" i="57"/>
  <c r="AB41" i="57"/>
  <c r="AR55" i="57"/>
  <c r="BB55" i="57"/>
  <c r="AL55" i="57"/>
  <c r="P55" i="57"/>
  <c r="AB55" i="57"/>
  <c r="AT57" i="57"/>
  <c r="Z57" i="57"/>
  <c r="AN57" i="57"/>
  <c r="T57" i="57"/>
  <c r="P59" i="57"/>
  <c r="AV59" i="57"/>
  <c r="J67" i="57"/>
  <c r="AL67" i="57"/>
  <c r="AP67" i="57"/>
  <c r="AR73" i="57"/>
  <c r="BB73" i="57"/>
  <c r="AL73" i="57"/>
  <c r="P73" i="57"/>
  <c r="AB73" i="57"/>
  <c r="J75" i="57"/>
  <c r="AJ75" i="57"/>
  <c r="P77" i="57"/>
  <c r="AV77" i="57"/>
  <c r="CZ85" i="57"/>
  <c r="DA85" i="57" s="1"/>
  <c r="L89" i="57"/>
  <c r="AL89" i="57"/>
  <c r="AX89" i="57"/>
  <c r="AT109" i="57"/>
  <c r="Z109" i="57"/>
  <c r="AP109" i="57"/>
  <c r="V109" i="57"/>
  <c r="AZ109" i="57"/>
  <c r="T109" i="57"/>
  <c r="AX109" i="57"/>
  <c r="P109" i="57"/>
  <c r="AR109" i="57"/>
  <c r="AL109" i="57"/>
  <c r="L109" i="57"/>
  <c r="AT125" i="57"/>
  <c r="Z125" i="57"/>
  <c r="AR125" i="57"/>
  <c r="AP125" i="57"/>
  <c r="V125" i="57"/>
  <c r="AV125" i="57"/>
  <c r="AJ125" i="57"/>
  <c r="J125" i="57"/>
  <c r="AH125" i="57"/>
  <c r="Z127" i="57"/>
  <c r="BB127" i="57"/>
  <c r="N139" i="57"/>
  <c r="AP159" i="57"/>
  <c r="V159" i="57"/>
  <c r="AN159" i="57"/>
  <c r="T159" i="57"/>
  <c r="AZ159" i="57"/>
  <c r="AJ159" i="57"/>
  <c r="N159" i="57"/>
  <c r="P159" i="57"/>
  <c r="AX159" i="57"/>
  <c r="J159" i="57"/>
  <c r="AV159" i="57"/>
  <c r="Z159" i="57"/>
  <c r="AT159" i="57"/>
  <c r="AR159" i="57"/>
  <c r="L159" i="57"/>
  <c r="AH159" i="57"/>
  <c r="AZ183" i="57"/>
  <c r="AJ183" i="57"/>
  <c r="N183" i="57"/>
  <c r="AX183" i="57"/>
  <c r="AH183" i="57"/>
  <c r="L183" i="57"/>
  <c r="AV183" i="57"/>
  <c r="AB183" i="57"/>
  <c r="J183" i="57"/>
  <c r="AP183" i="57"/>
  <c r="Z183" i="57"/>
  <c r="T183" i="57"/>
  <c r="AN183" i="57"/>
  <c r="BB183" i="57"/>
  <c r="V183" i="57"/>
  <c r="P183" i="57"/>
  <c r="BB203" i="57"/>
  <c r="AL203" i="57"/>
  <c r="P203" i="57"/>
  <c r="AZ203" i="57"/>
  <c r="AJ203" i="57"/>
  <c r="N203" i="57"/>
  <c r="AX203" i="57"/>
  <c r="AH203" i="57"/>
  <c r="L203" i="57"/>
  <c r="AP203" i="57"/>
  <c r="Z203" i="57"/>
  <c r="T203" i="57"/>
  <c r="AT203" i="57"/>
  <c r="V203" i="57"/>
  <c r="AR203" i="57"/>
  <c r="J203" i="57"/>
  <c r="AV203" i="57"/>
  <c r="AV117" i="57"/>
  <c r="AB117" i="57"/>
  <c r="J117" i="57"/>
  <c r="AR117" i="57"/>
  <c r="AH117" i="57"/>
  <c r="P119" i="57"/>
  <c r="AT131" i="57"/>
  <c r="Z131" i="57"/>
  <c r="AP131" i="57"/>
  <c r="AB131" i="57"/>
  <c r="BB131" i="57"/>
  <c r="AZ131" i="57"/>
  <c r="V131" i="57"/>
  <c r="AN149" i="57"/>
  <c r="T149" i="57"/>
  <c r="BB149" i="57"/>
  <c r="AL149" i="57"/>
  <c r="P149" i="57"/>
  <c r="AX149" i="57"/>
  <c r="AH149" i="57"/>
  <c r="L149" i="57"/>
  <c r="V149" i="57"/>
  <c r="N149" i="57"/>
  <c r="AP149" i="57"/>
  <c r="BB151" i="57"/>
  <c r="AL151" i="57"/>
  <c r="AV151" i="57"/>
  <c r="AX151" i="57"/>
  <c r="V151" i="57"/>
  <c r="AT151" i="57"/>
  <c r="T151" i="57"/>
  <c r="AP151" i="57"/>
  <c r="AJ151" i="57"/>
  <c r="N151" i="57"/>
  <c r="L151" i="57"/>
  <c r="J151" i="57"/>
  <c r="AN151" i="57"/>
  <c r="AX119" i="57"/>
  <c r="AH119" i="57"/>
  <c r="L119" i="57"/>
  <c r="AV119" i="57"/>
  <c r="AB119" i="57"/>
  <c r="J119" i="57"/>
  <c r="AT119" i="57"/>
  <c r="Z119" i="57"/>
  <c r="CZ151" i="57"/>
  <c r="DA151" i="57" s="1"/>
  <c r="BB171" i="57"/>
  <c r="AL171" i="57"/>
  <c r="P171" i="57"/>
  <c r="AZ171" i="57"/>
  <c r="AJ171" i="57"/>
  <c r="N171" i="57"/>
  <c r="AV171" i="57"/>
  <c r="AB171" i="57"/>
  <c r="J171" i="57"/>
  <c r="AR171" i="57"/>
  <c r="AH171" i="57"/>
  <c r="AP171" i="57"/>
  <c r="Z171" i="57"/>
  <c r="V171" i="57"/>
  <c r="AN171" i="57"/>
  <c r="AX171" i="57"/>
  <c r="T171" i="57"/>
  <c r="AR187" i="57"/>
  <c r="AP187" i="57"/>
  <c r="V187" i="57"/>
  <c r="AN187" i="57"/>
  <c r="T187" i="57"/>
  <c r="BB187" i="57"/>
  <c r="P187" i="57"/>
  <c r="AZ187" i="57"/>
  <c r="N187" i="57"/>
  <c r="AV187" i="57"/>
  <c r="AJ187" i="57"/>
  <c r="J187" i="57"/>
  <c r="AL187" i="57"/>
  <c r="AB187" i="57"/>
  <c r="AH187" i="57"/>
  <c r="Z187" i="57"/>
  <c r="AR131" i="57"/>
  <c r="AZ141" i="57"/>
  <c r="AJ141" i="57"/>
  <c r="N141" i="57"/>
  <c r="AX141" i="57"/>
  <c r="AH141" i="57"/>
  <c r="L141" i="57"/>
  <c r="AT141" i="57"/>
  <c r="Z141" i="57"/>
  <c r="T141" i="57"/>
  <c r="P141" i="57"/>
  <c r="BB141" i="57"/>
  <c r="J141" i="57"/>
  <c r="AN143" i="57"/>
  <c r="T143" i="57"/>
  <c r="BB143" i="57"/>
  <c r="AL143" i="57"/>
  <c r="P143" i="57"/>
  <c r="AX143" i="57"/>
  <c r="AH143" i="57"/>
  <c r="L143" i="57"/>
  <c r="N143" i="57"/>
  <c r="AZ143" i="57"/>
  <c r="J143" i="57"/>
  <c r="AV143" i="57"/>
  <c r="Z149" i="57"/>
  <c r="AV149" i="57"/>
  <c r="AZ169" i="57"/>
  <c r="AJ169" i="57"/>
  <c r="N169" i="57"/>
  <c r="AX169" i="57"/>
  <c r="AH169" i="57"/>
  <c r="L169" i="57"/>
  <c r="AT169" i="57"/>
  <c r="Z169" i="57"/>
  <c r="BB169" i="57"/>
  <c r="J169" i="57"/>
  <c r="AV169" i="57"/>
  <c r="AN169" i="57"/>
  <c r="AP169" i="57"/>
  <c r="AB169" i="57"/>
  <c r="L171" i="57"/>
  <c r="L187" i="57"/>
  <c r="T147" i="57"/>
  <c r="AT209" i="57"/>
  <c r="Z209" i="57"/>
  <c r="AR209" i="57"/>
  <c r="AP209" i="57"/>
  <c r="V209" i="57"/>
  <c r="AZ209" i="57"/>
  <c r="AN209" i="57"/>
  <c r="N209" i="57"/>
  <c r="AX209" i="57"/>
  <c r="AL209" i="57"/>
  <c r="L209" i="57"/>
  <c r="AH209" i="57"/>
  <c r="BB209" i="57"/>
  <c r="AV209" i="57"/>
  <c r="T209" i="57"/>
  <c r="J209" i="57"/>
  <c r="AZ147" i="57"/>
  <c r="AJ147" i="57"/>
  <c r="N147" i="57"/>
  <c r="AX147" i="57"/>
  <c r="AH147" i="57"/>
  <c r="L147" i="57"/>
  <c r="AT147" i="57"/>
  <c r="Z147" i="57"/>
  <c r="AP161" i="57"/>
  <c r="V161" i="57"/>
  <c r="AN161" i="57"/>
  <c r="T161" i="57"/>
  <c r="AZ161" i="57"/>
  <c r="AJ161" i="57"/>
  <c r="N161" i="57"/>
  <c r="AX161" i="57"/>
  <c r="J161" i="57"/>
  <c r="AV161" i="57"/>
  <c r="AL161" i="57"/>
  <c r="AR161" i="57"/>
  <c r="AB161" i="57"/>
  <c r="AV173" i="57"/>
  <c r="AB173" i="57"/>
  <c r="J173" i="57"/>
  <c r="AX173" i="57"/>
  <c r="AT173" i="57"/>
  <c r="V173" i="57"/>
  <c r="AP173" i="57"/>
  <c r="AN173" i="57"/>
  <c r="P173" i="57"/>
  <c r="Z173" i="57"/>
  <c r="N173" i="57"/>
  <c r="AP205" i="57"/>
  <c r="V205" i="57"/>
  <c r="AN205" i="57"/>
  <c r="T205" i="57"/>
  <c r="BB205" i="57"/>
  <c r="AL205" i="57"/>
  <c r="P205" i="57"/>
  <c r="N205" i="57"/>
  <c r="AX205" i="57"/>
  <c r="J205" i="57"/>
  <c r="AJ205" i="57"/>
  <c r="AZ205" i="57"/>
  <c r="AB205" i="57"/>
  <c r="AV205" i="57"/>
  <c r="AR137" i="57"/>
  <c r="AP137" i="57"/>
  <c r="V137" i="57"/>
  <c r="BB137" i="57"/>
  <c r="AL137" i="57"/>
  <c r="P137" i="57"/>
  <c r="AH137" i="57"/>
  <c r="AT137" i="57"/>
  <c r="L173" i="57"/>
  <c r="AR173" i="57"/>
  <c r="AZ191" i="57"/>
  <c r="AJ191" i="57"/>
  <c r="N191" i="57"/>
  <c r="AX191" i="57"/>
  <c r="AH191" i="57"/>
  <c r="L191" i="57"/>
  <c r="AV191" i="57"/>
  <c r="AB191" i="57"/>
  <c r="J191" i="57"/>
  <c r="V191" i="57"/>
  <c r="P191" i="57"/>
  <c r="AN191" i="57"/>
  <c r="BB191" i="57"/>
  <c r="Z191" i="57"/>
  <c r="L205" i="57"/>
  <c r="AJ209" i="57"/>
  <c r="T145" i="57"/>
  <c r="AN145" i="57"/>
  <c r="AV163" i="57"/>
  <c r="AB163" i="57"/>
  <c r="J163" i="57"/>
  <c r="AT163" i="57"/>
  <c r="Z163" i="57"/>
  <c r="AP163" i="57"/>
  <c r="V163" i="57"/>
  <c r="AZ165" i="57"/>
  <c r="AJ165" i="57"/>
  <c r="N165" i="57"/>
  <c r="AX165" i="57"/>
  <c r="AH165" i="57"/>
  <c r="L165" i="57"/>
  <c r="AT165" i="57"/>
  <c r="Z165" i="57"/>
  <c r="AX167" i="57"/>
  <c r="AH167" i="57"/>
  <c r="L167" i="57"/>
  <c r="AV167" i="57"/>
  <c r="AB167" i="57"/>
  <c r="J167" i="57"/>
  <c r="AR167" i="57"/>
  <c r="AL167" i="57"/>
  <c r="AT167" i="57"/>
  <c r="AJ179" i="57"/>
  <c r="BB193" i="57"/>
  <c r="AL193" i="57"/>
  <c r="P193" i="57"/>
  <c r="AZ193" i="57"/>
  <c r="AJ193" i="57"/>
  <c r="N193" i="57"/>
  <c r="AX193" i="57"/>
  <c r="AH193" i="57"/>
  <c r="L193" i="57"/>
  <c r="V193" i="57"/>
  <c r="J193" i="57"/>
  <c r="AP193" i="57"/>
  <c r="AR145" i="57"/>
  <c r="AJ155" i="57"/>
  <c r="AJ163" i="57"/>
  <c r="AR163" i="57"/>
  <c r="AB165" i="57"/>
  <c r="AP165" i="57"/>
  <c r="AT193" i="57"/>
  <c r="AT207" i="57"/>
  <c r="Z207" i="57"/>
  <c r="AR207" i="57"/>
  <c r="AP207" i="57"/>
  <c r="V207" i="57"/>
  <c r="AV207" i="57"/>
  <c r="AJ207" i="57"/>
  <c r="J207" i="57"/>
  <c r="AH207" i="57"/>
  <c r="CZ144" i="57"/>
  <c r="Z145" i="57"/>
  <c r="AX155" i="57"/>
  <c r="AH155" i="57"/>
  <c r="L155" i="57"/>
  <c r="AV155" i="57"/>
  <c r="AB155" i="57"/>
  <c r="J155" i="57"/>
  <c r="AR155" i="57"/>
  <c r="AL155" i="57"/>
  <c r="AT155" i="57"/>
  <c r="AP179" i="57"/>
  <c r="V179" i="57"/>
  <c r="AN179" i="57"/>
  <c r="T179" i="57"/>
  <c r="BB179" i="57"/>
  <c r="AL179" i="57"/>
  <c r="P179" i="57"/>
  <c r="AR179" i="57"/>
  <c r="AB179" i="57"/>
  <c r="Z179" i="57"/>
  <c r="N179" i="57"/>
  <c r="AZ211" i="57"/>
  <c r="AJ211" i="57"/>
  <c r="N211" i="57"/>
  <c r="AX211" i="57"/>
  <c r="AH211" i="57"/>
  <c r="L211" i="57"/>
  <c r="AV211" i="57"/>
  <c r="AB211" i="57"/>
  <c r="J211" i="57"/>
  <c r="AR211" i="57"/>
  <c r="AL211" i="57"/>
  <c r="AP211" i="57"/>
  <c r="Z211" i="57"/>
  <c r="V211" i="57"/>
  <c r="T189" i="57"/>
  <c r="AR195" i="57"/>
  <c r="AP195" i="57"/>
  <c r="V195" i="57"/>
  <c r="AN195" i="57"/>
  <c r="T195" i="57"/>
  <c r="AH195" i="57"/>
  <c r="AT195" i="57"/>
  <c r="T197" i="57"/>
  <c r="AV189" i="57"/>
  <c r="AB189" i="57"/>
  <c r="J189" i="57"/>
  <c r="AT189" i="57"/>
  <c r="Z189" i="57"/>
  <c r="AR189" i="57"/>
  <c r="AV197" i="57"/>
  <c r="AB197" i="57"/>
  <c r="J197" i="57"/>
  <c r="AT197" i="57"/>
  <c r="Z197" i="57"/>
  <c r="AR197" i="57"/>
  <c r="AH189" i="57"/>
  <c r="N195" i="57"/>
  <c r="AZ195" i="57"/>
  <c r="AH197" i="57"/>
  <c r="V181" i="57"/>
  <c r="AP181" i="57"/>
  <c r="AR199" i="57"/>
  <c r="AR181" i="57"/>
  <c r="Z199" i="57"/>
  <c r="AT199" i="57"/>
  <c r="Z181" i="57"/>
  <c r="J199" i="57"/>
  <c r="AB199" i="57"/>
  <c r="G34" i="12"/>
  <c r="CZ187" i="57"/>
  <c r="DA187" i="57" s="1"/>
  <c r="CZ36" i="57"/>
  <c r="CZ71" i="57"/>
  <c r="DA71" i="57" s="1"/>
  <c r="CZ130" i="57"/>
  <c r="CZ164" i="57"/>
  <c r="CZ197" i="57"/>
  <c r="DA197" i="57" s="1"/>
  <c r="BQ11" i="57"/>
  <c r="BR11" i="57" s="1"/>
  <c r="G32" i="12"/>
  <c r="G44" i="12"/>
  <c r="G30" i="12"/>
  <c r="BM11" i="57"/>
  <c r="BN11" i="57" s="1"/>
  <c r="G42" i="12"/>
  <c r="G40" i="12"/>
  <c r="CZ39" i="57"/>
  <c r="DA39" i="57" s="1"/>
  <c r="BI11" i="57"/>
  <c r="BJ11" i="57" s="1"/>
  <c r="G28" i="12"/>
  <c r="G41" i="12"/>
  <c r="CH11" i="57"/>
  <c r="CI11" i="57" s="1"/>
  <c r="G46" i="12"/>
  <c r="CZ167" i="57"/>
  <c r="DA167" i="57" s="1"/>
  <c r="CZ25" i="57"/>
  <c r="DA25" i="57" s="1"/>
  <c r="CZ57" i="57"/>
  <c r="DA57" i="57" s="1"/>
  <c r="CZ194" i="57"/>
  <c r="CZ133" i="57"/>
  <c r="DA133" i="57" s="1"/>
  <c r="CZ146" i="57"/>
  <c r="CZ14" i="57"/>
  <c r="CC7" i="57"/>
  <c r="CC9" i="57" s="1"/>
  <c r="CZ67" i="57"/>
  <c r="DA67" i="57" s="1"/>
  <c r="CZ99" i="57"/>
  <c r="DA99" i="57" s="1"/>
  <c r="CZ158" i="57"/>
  <c r="BI65" i="20"/>
  <c r="BJ65" i="20" s="1"/>
  <c r="T65" i="20" s="1"/>
  <c r="BI112" i="20"/>
  <c r="BJ112" i="20" s="1"/>
  <c r="BI116" i="20"/>
  <c r="BJ116" i="20" s="1"/>
  <c r="AR35" i="20"/>
  <c r="AA53" i="20"/>
  <c r="W81" i="20"/>
  <c r="BI126" i="20"/>
  <c r="BJ126" i="20" s="1"/>
  <c r="BI165" i="20"/>
  <c r="BJ165" i="20" s="1"/>
  <c r="T165" i="20" s="1"/>
  <c r="AD201" i="20"/>
  <c r="BA201" i="20" s="1"/>
  <c r="W53" i="20"/>
  <c r="AM101" i="20"/>
  <c r="I17" i="20"/>
  <c r="AB35" i="20"/>
  <c r="I39" i="20"/>
  <c r="AQ155" i="20"/>
  <c r="W161" i="20"/>
  <c r="BI169" i="20"/>
  <c r="BJ169" i="20" s="1"/>
  <c r="T169" i="20" s="1"/>
  <c r="AD183" i="20"/>
  <c r="AR187" i="20"/>
  <c r="BI21" i="20"/>
  <c r="BJ21" i="20" s="1"/>
  <c r="T21" i="20" s="1"/>
  <c r="AD35" i="20"/>
  <c r="AZ35" i="20" s="1"/>
  <c r="I73" i="20"/>
  <c r="BI180" i="20"/>
  <c r="BJ180" i="20" s="1"/>
  <c r="AA57" i="20"/>
  <c r="Y57" i="20"/>
  <c r="AY57" i="20"/>
  <c r="AA123" i="20"/>
  <c r="AR123" i="20"/>
  <c r="AD123" i="20"/>
  <c r="BA123" i="20" s="1"/>
  <c r="BB123" i="20"/>
  <c r="AQ123" i="20"/>
  <c r="AY123" i="20"/>
  <c r="AN123" i="20"/>
  <c r="AR69" i="20"/>
  <c r="AA69" i="20"/>
  <c r="AY69" i="20"/>
  <c r="I69" i="20"/>
  <c r="AR105" i="20"/>
  <c r="AU105" i="20"/>
  <c r="AB105" i="20"/>
  <c r="AA105" i="20"/>
  <c r="BB105" i="20"/>
  <c r="AY113" i="20"/>
  <c r="AA113" i="20"/>
  <c r="Y113" i="20"/>
  <c r="AN113" i="20"/>
  <c r="AL113" i="20"/>
  <c r="Y121" i="20"/>
  <c r="AN121" i="20"/>
  <c r="AM121" i="20"/>
  <c r="AB197" i="20"/>
  <c r="AM197" i="20"/>
  <c r="AQ197" i="20"/>
  <c r="AD197" i="20"/>
  <c r="BA197" i="20" s="1"/>
  <c r="AU197" i="20"/>
  <c r="AY197" i="20"/>
  <c r="Y197" i="20"/>
  <c r="AL197" i="20"/>
  <c r="AL193" i="20"/>
  <c r="AL17" i="20"/>
  <c r="AQ117" i="20"/>
  <c r="BB179" i="20"/>
  <c r="BB193" i="20"/>
  <c r="Q17" i="20"/>
  <c r="AM17" i="20"/>
  <c r="AU53" i="20"/>
  <c r="BI59" i="20"/>
  <c r="BJ59" i="20" s="1"/>
  <c r="T59" i="20" s="1"/>
  <c r="AU81" i="20"/>
  <c r="W117" i="20"/>
  <c r="BI131" i="20"/>
  <c r="BJ131" i="20" s="1"/>
  <c r="T131" i="20" s="1"/>
  <c r="Q149" i="20"/>
  <c r="Y155" i="20"/>
  <c r="BI181" i="20"/>
  <c r="W193" i="20"/>
  <c r="AR193" i="20"/>
  <c r="AN117" i="20"/>
  <c r="W17" i="20"/>
  <c r="BI31" i="20"/>
  <c r="BJ31" i="20" s="1"/>
  <c r="T31" i="20" s="1"/>
  <c r="Q43" i="20"/>
  <c r="BI43" i="20"/>
  <c r="BJ43" i="20" s="1"/>
  <c r="T43" i="20" s="1"/>
  <c r="BI63" i="20"/>
  <c r="BJ63" i="20" s="1"/>
  <c r="T63" i="20" s="1"/>
  <c r="BI89" i="20"/>
  <c r="BJ89" i="20" s="1"/>
  <c r="T89" i="20" s="1"/>
  <c r="BI93" i="20"/>
  <c r="BJ93" i="20" s="1"/>
  <c r="T93" i="20" s="1"/>
  <c r="W127" i="20"/>
  <c r="Y149" i="20"/>
  <c r="AR179" i="20"/>
  <c r="Y209" i="20"/>
  <c r="AB17" i="20"/>
  <c r="AD43" i="20"/>
  <c r="AZ43" i="20" s="1"/>
  <c r="I171" i="20"/>
  <c r="BI173" i="20"/>
  <c r="BJ173" i="20" s="1"/>
  <c r="T173" i="20" s="1"/>
  <c r="BI176" i="20"/>
  <c r="BJ176" i="20" s="1"/>
  <c r="Q179" i="20"/>
  <c r="BI185" i="20"/>
  <c r="AY149" i="20"/>
  <c r="BB209" i="20"/>
  <c r="AM193" i="20"/>
  <c r="I179" i="20"/>
  <c r="AD17" i="20"/>
  <c r="AQ17" i="20"/>
  <c r="AM95" i="20"/>
  <c r="W163" i="20"/>
  <c r="BI177" i="20"/>
  <c r="AB179" i="20"/>
  <c r="AU193" i="20"/>
  <c r="W139" i="20"/>
  <c r="AA139" i="20"/>
  <c r="AB139" i="20"/>
  <c r="AN139" i="20"/>
  <c r="AL139" i="20"/>
  <c r="AA27" i="20"/>
  <c r="AL27" i="20"/>
  <c r="BB27" i="20"/>
  <c r="W27" i="20"/>
  <c r="AN27" i="20"/>
  <c r="Q27" i="20"/>
  <c r="I27" i="20"/>
  <c r="AD27" i="20"/>
  <c r="BA27" i="20" s="1"/>
  <c r="AR27" i="20"/>
  <c r="AN49" i="20"/>
  <c r="AY49" i="20"/>
  <c r="Y49" i="20"/>
  <c r="AQ49" i="20"/>
  <c r="AA49" i="20"/>
  <c r="AM49" i="20"/>
  <c r="AL49" i="20"/>
  <c r="AU49" i="20"/>
  <c r="AD19" i="20"/>
  <c r="AZ19" i="20" s="1"/>
  <c r="AA19" i="20"/>
  <c r="W19" i="20"/>
  <c r="AL19" i="20"/>
  <c r="AM19" i="20"/>
  <c r="AU19" i="20"/>
  <c r="AR99" i="20"/>
  <c r="Q99" i="20"/>
  <c r="AA99" i="20"/>
  <c r="W125" i="20"/>
  <c r="AR141" i="20"/>
  <c r="Q141" i="20"/>
  <c r="AD141" i="20"/>
  <c r="BA141" i="20" s="1"/>
  <c r="BB141" i="20"/>
  <c r="AY157" i="20"/>
  <c r="I157" i="20"/>
  <c r="AQ157" i="20"/>
  <c r="AD157" i="20"/>
  <c r="BA157" i="20" s="1"/>
  <c r="Y157" i="20"/>
  <c r="W157" i="20"/>
  <c r="AM157" i="20"/>
  <c r="AL157" i="20"/>
  <c r="AN177" i="20"/>
  <c r="AL177" i="20"/>
  <c r="AA177" i="20"/>
  <c r="AY59" i="20"/>
  <c r="AA59" i="20"/>
  <c r="Y59" i="20"/>
  <c r="AB189" i="20"/>
  <c r="W189" i="20"/>
  <c r="BB189" i="20"/>
  <c r="AN189" i="20"/>
  <c r="I189" i="20"/>
  <c r="AB205" i="20"/>
  <c r="BB205" i="20"/>
  <c r="AR205" i="20"/>
  <c r="AY205" i="20"/>
  <c r="AQ205" i="20"/>
  <c r="AD205" i="20"/>
  <c r="BA205" i="20" s="1"/>
  <c r="W205" i="20"/>
  <c r="Y205" i="20"/>
  <c r="AM205" i="20"/>
  <c r="AU205" i="20"/>
  <c r="AL205" i="20"/>
  <c r="AA119" i="20"/>
  <c r="AU119" i="20"/>
  <c r="AM119" i="20"/>
  <c r="Y119" i="20"/>
  <c r="AN119" i="20"/>
  <c r="BB119" i="20"/>
  <c r="AR119" i="20"/>
  <c r="W131" i="20"/>
  <c r="Q131" i="20"/>
  <c r="AN131" i="20"/>
  <c r="AL131" i="20"/>
  <c r="I131" i="20"/>
  <c r="BB15" i="20"/>
  <c r="AA15" i="20"/>
  <c r="AU21" i="20"/>
  <c r="BB21" i="20"/>
  <c r="Y21" i="20"/>
  <c r="AN21" i="20"/>
  <c r="AL21" i="20"/>
  <c r="Y51" i="20"/>
  <c r="AN51" i="20"/>
  <c r="AU51" i="20"/>
  <c r="AM51" i="20"/>
  <c r="BB51" i="20"/>
  <c r="AR51" i="20"/>
  <c r="AY51" i="20"/>
  <c r="AQ51" i="20"/>
  <c r="AD51" i="20"/>
  <c r="BA51" i="20" s="1"/>
  <c r="AY119" i="20"/>
  <c r="AQ207" i="20"/>
  <c r="AY207" i="20"/>
  <c r="AN207" i="20"/>
  <c r="AD207" i="20"/>
  <c r="AD61" i="20"/>
  <c r="BA61" i="20" s="1"/>
  <c r="W61" i="20"/>
  <c r="AB61" i="20"/>
  <c r="BB103" i="20"/>
  <c r="AY103" i="20"/>
  <c r="I103" i="20"/>
  <c r="AA103" i="20"/>
  <c r="Q103" i="20"/>
  <c r="AQ103" i="20"/>
  <c r="AQ119" i="20"/>
  <c r="AB135" i="20"/>
  <c r="AA135" i="20"/>
  <c r="W135" i="20"/>
  <c r="AL135" i="20"/>
  <c r="I135" i="20"/>
  <c r="W177" i="20"/>
  <c r="AR21" i="20"/>
  <c r="BB115" i="20"/>
  <c r="AD115" i="20"/>
  <c r="BA115" i="20" s="1"/>
  <c r="AY115" i="20"/>
  <c r="Y115" i="20"/>
  <c r="AQ115" i="20"/>
  <c r="AA115" i="20"/>
  <c r="AM115" i="20"/>
  <c r="AA189" i="20"/>
  <c r="BB55" i="20"/>
  <c r="AY55" i="20"/>
  <c r="AN55" i="20"/>
  <c r="AD55" i="20"/>
  <c r="BA55" i="20" s="1"/>
  <c r="AR59" i="20"/>
  <c r="Q75" i="20"/>
  <c r="AQ75" i="20"/>
  <c r="W75" i="20"/>
  <c r="AL75" i="20"/>
  <c r="AY75" i="20"/>
  <c r="AU109" i="20"/>
  <c r="W109" i="20"/>
  <c r="AR109" i="20"/>
  <c r="AQ145" i="20"/>
  <c r="AD145" i="20"/>
  <c r="BA145" i="20" s="1"/>
  <c r="I145" i="20"/>
  <c r="AB145" i="20"/>
  <c r="AY145" i="20"/>
  <c r="Y145" i="20"/>
  <c r="AM145" i="20"/>
  <c r="W145" i="20"/>
  <c r="AL145" i="20"/>
  <c r="Q145" i="20"/>
  <c r="AD203" i="20"/>
  <c r="BA203" i="20" s="1"/>
  <c r="AA203" i="20"/>
  <c r="AQ203" i="20"/>
  <c r="AY125" i="20"/>
  <c r="AN125" i="20"/>
  <c r="AR125" i="20"/>
  <c r="Y125" i="20"/>
  <c r="AA37" i="20"/>
  <c r="I37" i="20"/>
  <c r="AD37" i="20"/>
  <c r="BA37" i="20" s="1"/>
  <c r="AN37" i="20"/>
  <c r="Q37" i="20"/>
  <c r="AL37" i="20"/>
  <c r="AB201" i="20"/>
  <c r="Y201" i="20"/>
  <c r="AU201" i="20"/>
  <c r="AL201" i="20"/>
  <c r="W201" i="20"/>
  <c r="AM201" i="20"/>
  <c r="BB201" i="20"/>
  <c r="AR201" i="20"/>
  <c r="AA21" i="20"/>
  <c r="Y55" i="20"/>
  <c r="I61" i="20"/>
  <c r="I65" i="20"/>
  <c r="Q65" i="20"/>
  <c r="AR65" i="20"/>
  <c r="AD75" i="20"/>
  <c r="BA75" i="20" s="1"/>
  <c r="AD119" i="20"/>
  <c r="BA119" i="20" s="1"/>
  <c r="AA131" i="20"/>
  <c r="AQ201" i="20"/>
  <c r="I187" i="20"/>
  <c r="Y117" i="20"/>
  <c r="AY151" i="20"/>
  <c r="AD163" i="20"/>
  <c r="AZ163" i="20" s="1"/>
  <c r="AQ163" i="20"/>
  <c r="AU165" i="20"/>
  <c r="AD167" i="20"/>
  <c r="Q173" i="20"/>
  <c r="AV5" i="20"/>
  <c r="V3" i="20" s="1"/>
  <c r="BI15" i="20"/>
  <c r="Y17" i="20"/>
  <c r="Q33" i="20"/>
  <c r="BI35" i="20"/>
  <c r="BI41" i="20"/>
  <c r="W43" i="20"/>
  <c r="AD47" i="20"/>
  <c r="W57" i="20"/>
  <c r="AQ57" i="20"/>
  <c r="AQ69" i="20"/>
  <c r="AB73" i="20"/>
  <c r="BI83" i="20"/>
  <c r="BI91" i="20"/>
  <c r="I95" i="20"/>
  <c r="AL101" i="20"/>
  <c r="BI101" i="20"/>
  <c r="AR107" i="20"/>
  <c r="W113" i="20"/>
  <c r="AA117" i="20"/>
  <c r="AY117" i="20"/>
  <c r="AL121" i="20"/>
  <c r="AU121" i="20"/>
  <c r="Y123" i="20"/>
  <c r="AA127" i="20"/>
  <c r="BI143" i="20"/>
  <c r="AL149" i="20"/>
  <c r="BI153" i="20"/>
  <c r="AD155" i="20"/>
  <c r="BA155" i="20" s="1"/>
  <c r="W173" i="20"/>
  <c r="BB187" i="20"/>
  <c r="W197" i="20"/>
  <c r="BI200" i="20"/>
  <c r="BJ200" i="20" s="1"/>
  <c r="W209" i="20"/>
  <c r="AR209" i="20"/>
  <c r="AQ79" i="20"/>
  <c r="AN95" i="20"/>
  <c r="AY101" i="20"/>
  <c r="AP5" i="20"/>
  <c r="AP8" i="20" s="1"/>
  <c r="BI25" i="20"/>
  <c r="BJ25" i="20" s="1"/>
  <c r="T25" i="20" s="1"/>
  <c r="AL35" i="20"/>
  <c r="W39" i="20"/>
  <c r="I43" i="20"/>
  <c r="Q79" i="20"/>
  <c r="BI81" i="20"/>
  <c r="BI84" i="20"/>
  <c r="BJ84" i="20" s="1"/>
  <c r="BI88" i="20"/>
  <c r="BJ88" i="20" s="1"/>
  <c r="BI97" i="20"/>
  <c r="AB101" i="20"/>
  <c r="BB101" i="20"/>
  <c r="AU107" i="20"/>
  <c r="W121" i="20"/>
  <c r="Q137" i="20"/>
  <c r="AB149" i="20"/>
  <c r="AQ149" i="20"/>
  <c r="AL163" i="20"/>
  <c r="BB167" i="20"/>
  <c r="I173" i="20"/>
  <c r="Q187" i="20"/>
  <c r="AR197" i="20"/>
  <c r="BB197" i="20"/>
  <c r="BB171" i="20"/>
  <c r="AL33" i="20"/>
  <c r="AB39" i="20"/>
  <c r="AM47" i="20"/>
  <c r="W79" i="20"/>
  <c r="Q95" i="20"/>
  <c r="AD101" i="20"/>
  <c r="AZ101" i="20" s="1"/>
  <c r="AQ101" i="20"/>
  <c r="AL117" i="20"/>
  <c r="AU117" i="20"/>
  <c r="AA121" i="20"/>
  <c r="AY121" i="20"/>
  <c r="AD149" i="20"/>
  <c r="BA149" i="20" s="1"/>
  <c r="Y151" i="20"/>
  <c r="AL155" i="20"/>
  <c r="AM163" i="20"/>
  <c r="AQ165" i="20"/>
  <c r="AR171" i="20"/>
  <c r="AL173" i="20"/>
  <c r="Q183" i="20"/>
  <c r="AR183" i="20"/>
  <c r="AD187" i="20"/>
  <c r="AZ187" i="20" s="1"/>
  <c r="AR39" i="20"/>
  <c r="AU47" i="20"/>
  <c r="Y101" i="20"/>
  <c r="BB183" i="20"/>
  <c r="BI17" i="20"/>
  <c r="BI22" i="20"/>
  <c r="BJ22" i="20" s="1"/>
  <c r="BI29" i="20"/>
  <c r="AL43" i="20"/>
  <c r="BB43" i="20"/>
  <c r="AN57" i="20"/>
  <c r="Y95" i="20"/>
  <c r="AQ121" i="20"/>
  <c r="AM123" i="20"/>
  <c r="AU123" i="20"/>
  <c r="BI135" i="20"/>
  <c r="Q163" i="20"/>
  <c r="Q167" i="20"/>
  <c r="Q171" i="20"/>
  <c r="AN173" i="20"/>
  <c r="Y193" i="20"/>
  <c r="AQ193" i="20"/>
  <c r="AY193" i="20"/>
  <c r="AM209" i="20"/>
  <c r="T95" i="20"/>
  <c r="R95" i="20"/>
  <c r="AY25" i="20"/>
  <c r="AQ25" i="20"/>
  <c r="AU25" i="20"/>
  <c r="AM25" i="20"/>
  <c r="Y25" i="20"/>
  <c r="AB25" i="20"/>
  <c r="I25" i="20"/>
  <c r="BB25" i="20"/>
  <c r="AA25" i="20"/>
  <c r="AD25" i="20"/>
  <c r="BA25" i="20" s="1"/>
  <c r="AN25" i="20"/>
  <c r="W25" i="20"/>
  <c r="AL25" i="20"/>
  <c r="Q25" i="20"/>
  <c r="AR25" i="20"/>
  <c r="AN85" i="20"/>
  <c r="AR85" i="20"/>
  <c r="BB85" i="20"/>
  <c r="AQ85" i="20"/>
  <c r="AD85" i="20"/>
  <c r="AY85" i="20"/>
  <c r="AB85" i="20"/>
  <c r="I85" i="20"/>
  <c r="AL85" i="20"/>
  <c r="W85" i="20"/>
  <c r="AU85" i="20"/>
  <c r="AA85" i="20"/>
  <c r="Y85" i="20"/>
  <c r="Q85" i="20"/>
  <c r="AM85" i="20"/>
  <c r="AY67" i="20"/>
  <c r="AQ67" i="20"/>
  <c r="AD67" i="20"/>
  <c r="BA67" i="20" s="1"/>
  <c r="AB67" i="20"/>
  <c r="I67" i="20"/>
  <c r="AL67" i="20"/>
  <c r="W67" i="20"/>
  <c r="Q67" i="20"/>
  <c r="AU67" i="20"/>
  <c r="AR67" i="20"/>
  <c r="AA67" i="20"/>
  <c r="BB67" i="20"/>
  <c r="Y67" i="20"/>
  <c r="AN67" i="20"/>
  <c r="AM67" i="20"/>
  <c r="BB63" i="20"/>
  <c r="AR63" i="20"/>
  <c r="AY63" i="20"/>
  <c r="AQ63" i="20"/>
  <c r="AU63" i="20"/>
  <c r="AM63" i="20"/>
  <c r="Y63" i="20"/>
  <c r="AB63" i="20"/>
  <c r="I63" i="20"/>
  <c r="AA63" i="20"/>
  <c r="AN63" i="20"/>
  <c r="W63" i="20"/>
  <c r="AD63" i="20"/>
  <c r="BA63" i="20" s="1"/>
  <c r="AL63" i="20"/>
  <c r="Q63" i="20"/>
  <c r="AY29" i="20"/>
  <c r="AQ29" i="20"/>
  <c r="AU29" i="20"/>
  <c r="AM29" i="20"/>
  <c r="Y29" i="20"/>
  <c r="AR29" i="20"/>
  <c r="AD29" i="20"/>
  <c r="AZ29" i="20" s="1"/>
  <c r="I29" i="20"/>
  <c r="W29" i="20"/>
  <c r="AB29" i="20"/>
  <c r="AN29" i="20"/>
  <c r="BB29" i="20"/>
  <c r="AA29" i="20"/>
  <c r="AL29" i="20"/>
  <c r="Q29" i="20"/>
  <c r="BB41" i="20"/>
  <c r="AR41" i="20"/>
  <c r="AY41" i="20"/>
  <c r="AQ41" i="20"/>
  <c r="AU41" i="20"/>
  <c r="AM41" i="20"/>
  <c r="Y41" i="20"/>
  <c r="AB41" i="20"/>
  <c r="AA41" i="20"/>
  <c r="AD41" i="20"/>
  <c r="BA41" i="20" s="1"/>
  <c r="AN41" i="20"/>
  <c r="W41" i="20"/>
  <c r="AL41" i="20"/>
  <c r="Q41" i="20"/>
  <c r="I41" i="20"/>
  <c r="AU31" i="20"/>
  <c r="AM31" i="20"/>
  <c r="Y31" i="20"/>
  <c r="AY31" i="20"/>
  <c r="AQ31" i="20"/>
  <c r="AA31" i="20"/>
  <c r="AR31" i="20"/>
  <c r="AD31" i="20"/>
  <c r="BA31" i="20" s="1"/>
  <c r="I31" i="20"/>
  <c r="BB31" i="20"/>
  <c r="AB31" i="20"/>
  <c r="AN31" i="20"/>
  <c r="W31" i="20"/>
  <c r="AL31" i="20"/>
  <c r="Q31" i="20"/>
  <c r="AZ45" i="20"/>
  <c r="BA45" i="20"/>
  <c r="AU15" i="20"/>
  <c r="AM15" i="20"/>
  <c r="Y15" i="20"/>
  <c r="AY15" i="20"/>
  <c r="AQ15" i="20"/>
  <c r="AB15" i="20"/>
  <c r="I23" i="20"/>
  <c r="AD23" i="20"/>
  <c r="AZ23" i="20" s="1"/>
  <c r="AR23" i="20"/>
  <c r="W33" i="20"/>
  <c r="AN33" i="20"/>
  <c r="I45" i="20"/>
  <c r="AB71" i="20"/>
  <c r="I71" i="20"/>
  <c r="AN71" i="20"/>
  <c r="AA71" i="20"/>
  <c r="AU71" i="20"/>
  <c r="AM71" i="20"/>
  <c r="Y71" i="20"/>
  <c r="BB71" i="20"/>
  <c r="AR71" i="20"/>
  <c r="I77" i="20"/>
  <c r="Q81" i="20"/>
  <c r="BB81" i="20"/>
  <c r="AR81" i="20"/>
  <c r="AY81" i="20"/>
  <c r="AQ81" i="20"/>
  <c r="AN81" i="20"/>
  <c r="AA81" i="20"/>
  <c r="AL87" i="20"/>
  <c r="AN89" i="20"/>
  <c r="AM91" i="20"/>
  <c r="AN93" i="20"/>
  <c r="AU97" i="20"/>
  <c r="AM97" i="20"/>
  <c r="Y97" i="20"/>
  <c r="AL97" i="20"/>
  <c r="W97" i="20"/>
  <c r="AD97" i="20"/>
  <c r="BA97" i="20" s="1"/>
  <c r="I97" i="20"/>
  <c r="AR97" i="20"/>
  <c r="AB97" i="20"/>
  <c r="AN129" i="20"/>
  <c r="AA129" i="20"/>
  <c r="AU129" i="20"/>
  <c r="AM129" i="20"/>
  <c r="Y129" i="20"/>
  <c r="AY129" i="20"/>
  <c r="AQ129" i="20"/>
  <c r="W129" i="20"/>
  <c r="BB129" i="20"/>
  <c r="Q129" i="20"/>
  <c r="AL129" i="20"/>
  <c r="I129" i="20"/>
  <c r="AN133" i="20"/>
  <c r="AA133" i="20"/>
  <c r="AU133" i="20"/>
  <c r="AM133" i="20"/>
  <c r="Y133" i="20"/>
  <c r="AL133" i="20"/>
  <c r="W133" i="20"/>
  <c r="AY133" i="20"/>
  <c r="AQ133" i="20"/>
  <c r="AB133" i="20"/>
  <c r="I133" i="20"/>
  <c r="AD133" i="20"/>
  <c r="AZ133" i="20" s="1"/>
  <c r="Q133" i="20"/>
  <c r="BB133" i="20"/>
  <c r="BB143" i="20"/>
  <c r="AR143" i="20"/>
  <c r="AY143" i="20"/>
  <c r="AQ143" i="20"/>
  <c r="AD143" i="20"/>
  <c r="BA143" i="20" s="1"/>
  <c r="AU143" i="20"/>
  <c r="AM143" i="20"/>
  <c r="Y143" i="20"/>
  <c r="Q143" i="20"/>
  <c r="AB143" i="20"/>
  <c r="AA143" i="20"/>
  <c r="W143" i="20"/>
  <c r="AL143" i="20"/>
  <c r="I15" i="20"/>
  <c r="AD15" i="20"/>
  <c r="AZ15" i="20" s="1"/>
  <c r="AR15" i="20"/>
  <c r="BB17" i="20"/>
  <c r="AR17" i="20"/>
  <c r="AN17" i="20"/>
  <c r="AA17" i="20"/>
  <c r="AU17" i="20"/>
  <c r="Y19" i="20"/>
  <c r="AN19" i="20"/>
  <c r="W21" i="20"/>
  <c r="AM21" i="20"/>
  <c r="BI27" i="20"/>
  <c r="BJ27" i="20" s="1"/>
  <c r="AA33" i="20"/>
  <c r="BB33" i="20"/>
  <c r="AB43" i="20"/>
  <c r="AN47" i="20"/>
  <c r="W49" i="20"/>
  <c r="Y53" i="20"/>
  <c r="AA55" i="20"/>
  <c r="AD59" i="20"/>
  <c r="AQ59" i="20"/>
  <c r="AD65" i="20"/>
  <c r="AB69" i="20"/>
  <c r="AL71" i="20"/>
  <c r="AD73" i="20"/>
  <c r="BA73" i="20" s="1"/>
  <c r="AU77" i="20"/>
  <c r="BI77" i="20"/>
  <c r="BJ77" i="20" s="1"/>
  <c r="AL81" i="20"/>
  <c r="AN87" i="20"/>
  <c r="AN97" i="20"/>
  <c r="AB99" i="20"/>
  <c r="AY105" i="20"/>
  <c r="AQ105" i="20"/>
  <c r="AD105" i="20"/>
  <c r="AL105" i="20"/>
  <c r="W105" i="20"/>
  <c r="Y105" i="20"/>
  <c r="AN105" i="20"/>
  <c r="Q105" i="20"/>
  <c r="AM105" i="20"/>
  <c r="I105" i="20"/>
  <c r="BB109" i="20"/>
  <c r="AL111" i="20"/>
  <c r="W111" i="20"/>
  <c r="Q111" i="20"/>
  <c r="AB111" i="20"/>
  <c r="I111" i="20"/>
  <c r="BB111" i="20"/>
  <c r="AR111" i="20"/>
  <c r="AY111" i="20"/>
  <c r="AQ111" i="20"/>
  <c r="AD111" i="20"/>
  <c r="AZ111" i="20" s="1"/>
  <c r="AA111" i="20"/>
  <c r="AU111" i="20"/>
  <c r="AM111" i="20"/>
  <c r="AN111" i="20"/>
  <c r="BB127" i="20"/>
  <c r="AR127" i="20"/>
  <c r="AY127" i="20"/>
  <c r="AQ127" i="20"/>
  <c r="AU127" i="20"/>
  <c r="AM127" i="20"/>
  <c r="Y127" i="20"/>
  <c r="AD127" i="20"/>
  <c r="AZ127" i="20" s="1"/>
  <c r="I127" i="20"/>
  <c r="AB127" i="20"/>
  <c r="AL127" i="20"/>
  <c r="Q127" i="20"/>
  <c r="AN137" i="20"/>
  <c r="AA137" i="20"/>
  <c r="AU137" i="20"/>
  <c r="AM137" i="20"/>
  <c r="Y137" i="20"/>
  <c r="AL137" i="20"/>
  <c r="W137" i="20"/>
  <c r="AY137" i="20"/>
  <c r="AQ137" i="20"/>
  <c r="AB137" i="20"/>
  <c r="I137" i="20"/>
  <c r="AR137" i="20"/>
  <c r="BB137" i="20"/>
  <c r="I143" i="20"/>
  <c r="AN143" i="20"/>
  <c r="AZ165" i="20"/>
  <c r="BA165" i="20"/>
  <c r="AB23" i="20"/>
  <c r="AR45" i="20"/>
  <c r="AY45" i="20"/>
  <c r="AQ45" i="20"/>
  <c r="AU45" i="20"/>
  <c r="AM45" i="20"/>
  <c r="Y45" i="20"/>
  <c r="BI23" i="20"/>
  <c r="BJ23" i="20" s="1"/>
  <c r="BI30" i="20"/>
  <c r="BJ30" i="20" s="1"/>
  <c r="I33" i="20"/>
  <c r="AD33" i="20"/>
  <c r="BA33" i="20" s="1"/>
  <c r="AR33" i="20"/>
  <c r="AN35" i="20"/>
  <c r="AA35" i="20"/>
  <c r="AU35" i="20"/>
  <c r="AM35" i="20"/>
  <c r="Y35" i="20"/>
  <c r="AY35" i="20"/>
  <c r="AQ35" i="20"/>
  <c r="BI39" i="20"/>
  <c r="BJ39" i="20" s="1"/>
  <c r="AQ53" i="20"/>
  <c r="AR55" i="20"/>
  <c r="AD57" i="20"/>
  <c r="AZ57" i="20" s="1"/>
  <c r="AB57" i="20"/>
  <c r="I57" i="20"/>
  <c r="Q57" i="20"/>
  <c r="AR57" i="20"/>
  <c r="BB57" i="20"/>
  <c r="BB59" i="20"/>
  <c r="AL59" i="20"/>
  <c r="W59" i="20"/>
  <c r="Q59" i="20"/>
  <c r="AB59" i="20"/>
  <c r="I59" i="20"/>
  <c r="BI61" i="20"/>
  <c r="BJ61" i="20" s="1"/>
  <c r="BI68" i="20"/>
  <c r="BJ68" i="20" s="1"/>
  <c r="AU69" i="20"/>
  <c r="AM69" i="20"/>
  <c r="Y69" i="20"/>
  <c r="BB69" i="20"/>
  <c r="AL69" i="20"/>
  <c r="W69" i="20"/>
  <c r="Q69" i="20"/>
  <c r="AD69" i="20"/>
  <c r="Q71" i="20"/>
  <c r="BI73" i="20"/>
  <c r="BJ73" i="20" s="1"/>
  <c r="AL77" i="20"/>
  <c r="Y81" i="20"/>
  <c r="AL83" i="20"/>
  <c r="Q87" i="20"/>
  <c r="W89" i="20"/>
  <c r="Q93" i="20"/>
  <c r="BB97" i="20"/>
  <c r="AY99" i="20"/>
  <c r="AQ99" i="20"/>
  <c r="AD99" i="20"/>
  <c r="BB99" i="20"/>
  <c r="AL99" i="20"/>
  <c r="W99" i="20"/>
  <c r="AU99" i="20"/>
  <c r="I99" i="20"/>
  <c r="Y99" i="20"/>
  <c r="AR129" i="20"/>
  <c r="AR133" i="20"/>
  <c r="Q161" i="20"/>
  <c r="BB161" i="20"/>
  <c r="AR161" i="20"/>
  <c r="AN161" i="20"/>
  <c r="AA161" i="20"/>
  <c r="I161" i="20"/>
  <c r="AQ161" i="20"/>
  <c r="AD161" i="20"/>
  <c r="AZ161" i="20" s="1"/>
  <c r="AY161" i="20"/>
  <c r="AB161" i="20"/>
  <c r="AL161" i="20"/>
  <c r="AM161" i="20"/>
  <c r="AU161" i="20"/>
  <c r="BB185" i="20"/>
  <c r="AR185" i="20"/>
  <c r="AY185" i="20"/>
  <c r="AQ185" i="20"/>
  <c r="AD185" i="20"/>
  <c r="BA185" i="20" s="1"/>
  <c r="AU185" i="20"/>
  <c r="AM185" i="20"/>
  <c r="Y185" i="20"/>
  <c r="W185" i="20"/>
  <c r="AN185" i="20"/>
  <c r="Q185" i="20"/>
  <c r="AL185" i="20"/>
  <c r="I185" i="20"/>
  <c r="AA185" i="20"/>
  <c r="AB185" i="20"/>
  <c r="AB45" i="20"/>
  <c r="AD91" i="20"/>
  <c r="AZ91" i="20" s="1"/>
  <c r="AL91" i="20"/>
  <c r="W91" i="20"/>
  <c r="BB91" i="20"/>
  <c r="AR91" i="20"/>
  <c r="I91" i="20"/>
  <c r="AY91" i="20"/>
  <c r="AQ91" i="20"/>
  <c r="AB91" i="20"/>
  <c r="AN91" i="20"/>
  <c r="Q91" i="20"/>
  <c r="AB19" i="20"/>
  <c r="I19" i="20"/>
  <c r="Q19" i="20"/>
  <c r="AQ19" i="20"/>
  <c r="AY19" i="20"/>
  <c r="Q23" i="20"/>
  <c r="AL23" i="20"/>
  <c r="AN39" i="20"/>
  <c r="AA39" i="20"/>
  <c r="AU39" i="20"/>
  <c r="AM39" i="20"/>
  <c r="Y39" i="20"/>
  <c r="AY39" i="20"/>
  <c r="AQ39" i="20"/>
  <c r="Q45" i="20"/>
  <c r="AL45" i="20"/>
  <c r="AD53" i="20"/>
  <c r="BA53" i="20" s="1"/>
  <c r="AB53" i="20"/>
  <c r="I53" i="20"/>
  <c r="Q53" i="20"/>
  <c r="AR53" i="20"/>
  <c r="BB53" i="20"/>
  <c r="AL55" i="20"/>
  <c r="W55" i="20"/>
  <c r="Q55" i="20"/>
  <c r="AB55" i="20"/>
  <c r="I55" i="20"/>
  <c r="AN61" i="20"/>
  <c r="AA61" i="20"/>
  <c r="AU61" i="20"/>
  <c r="AM61" i="20"/>
  <c r="Y61" i="20"/>
  <c r="AY61" i="20"/>
  <c r="AQ61" i="20"/>
  <c r="AN65" i="20"/>
  <c r="AA65" i="20"/>
  <c r="AU65" i="20"/>
  <c r="AM65" i="20"/>
  <c r="Y65" i="20"/>
  <c r="AL65" i="20"/>
  <c r="W65" i="20"/>
  <c r="AY65" i="20"/>
  <c r="AQ65" i="20"/>
  <c r="W71" i="20"/>
  <c r="AQ71" i="20"/>
  <c r="Q73" i="20"/>
  <c r="BB73" i="20"/>
  <c r="AR73" i="20"/>
  <c r="AY73" i="20"/>
  <c r="AQ73" i="20"/>
  <c r="AN73" i="20"/>
  <c r="AA73" i="20"/>
  <c r="W77" i="20"/>
  <c r="AB79" i="20"/>
  <c r="I79" i="20"/>
  <c r="AN79" i="20"/>
  <c r="AA79" i="20"/>
  <c r="AU79" i="20"/>
  <c r="AM79" i="20"/>
  <c r="Y79" i="20"/>
  <c r="BB79" i="20"/>
  <c r="AR79" i="20"/>
  <c r="AB81" i="20"/>
  <c r="AY83" i="20"/>
  <c r="AA91" i="20"/>
  <c r="Q97" i="20"/>
  <c r="AQ97" i="20"/>
  <c r="AL107" i="20"/>
  <c r="W107" i="20"/>
  <c r="Q107" i="20"/>
  <c r="AB107" i="20"/>
  <c r="I107" i="20"/>
  <c r="AY107" i="20"/>
  <c r="AQ107" i="20"/>
  <c r="AD107" i="20"/>
  <c r="AZ107" i="20" s="1"/>
  <c r="AA107" i="20"/>
  <c r="Y107" i="20"/>
  <c r="AN107" i="20"/>
  <c r="AB129" i="20"/>
  <c r="AN147" i="20"/>
  <c r="AA147" i="20"/>
  <c r="BB147" i="20"/>
  <c r="AR147" i="20"/>
  <c r="AQ147" i="20"/>
  <c r="AD147" i="20"/>
  <c r="BA147" i="20" s="1"/>
  <c r="I147" i="20"/>
  <c r="AY147" i="20"/>
  <c r="AB147" i="20"/>
  <c r="AL147" i="20"/>
  <c r="Q147" i="20"/>
  <c r="AU147" i="20"/>
  <c r="Y147" i="20"/>
  <c r="Q153" i="20"/>
  <c r="BB153" i="20"/>
  <c r="AR153" i="20"/>
  <c r="AN153" i="20"/>
  <c r="AA153" i="20"/>
  <c r="AY153" i="20"/>
  <c r="AB153" i="20"/>
  <c r="Y153" i="20"/>
  <c r="AM153" i="20"/>
  <c r="W153" i="20"/>
  <c r="AQ153" i="20"/>
  <c r="AD153" i="20"/>
  <c r="BA153" i="20" s="1"/>
  <c r="AU153" i="20"/>
  <c r="AL153" i="20"/>
  <c r="BB181" i="20"/>
  <c r="AR181" i="20"/>
  <c r="AY181" i="20"/>
  <c r="AQ181" i="20"/>
  <c r="AD181" i="20"/>
  <c r="BA181" i="20" s="1"/>
  <c r="AU181" i="20"/>
  <c r="AM181" i="20"/>
  <c r="Y181" i="20"/>
  <c r="AL181" i="20"/>
  <c r="AA181" i="20"/>
  <c r="AN181" i="20"/>
  <c r="Q181" i="20"/>
  <c r="AB181" i="20"/>
  <c r="W181" i="20"/>
  <c r="AL199" i="20"/>
  <c r="W199" i="20"/>
  <c r="Q199" i="20"/>
  <c r="BB199" i="20"/>
  <c r="AR199" i="20"/>
  <c r="AB199" i="20"/>
  <c r="I199" i="20"/>
  <c r="AU199" i="20"/>
  <c r="AM199" i="20"/>
  <c r="Y199" i="20"/>
  <c r="AY199" i="20"/>
  <c r="AN199" i="20"/>
  <c r="AQ199" i="20"/>
  <c r="AA199" i="20"/>
  <c r="AD199" i="20"/>
  <c r="AZ199" i="20" s="1"/>
  <c r="AU89" i="20"/>
  <c r="AM89" i="20"/>
  <c r="Y89" i="20"/>
  <c r="AY89" i="20"/>
  <c r="AQ89" i="20"/>
  <c r="AR89" i="20"/>
  <c r="AD89" i="20"/>
  <c r="I89" i="20"/>
  <c r="BB89" i="20"/>
  <c r="AB89" i="20"/>
  <c r="AL89" i="20"/>
  <c r="Q89" i="20"/>
  <c r="AL93" i="20"/>
  <c r="W93" i="20"/>
  <c r="AD93" i="20"/>
  <c r="BA93" i="20" s="1"/>
  <c r="BB93" i="20"/>
  <c r="AR93" i="20"/>
  <c r="I93" i="20"/>
  <c r="AY93" i="20"/>
  <c r="AQ93" i="20"/>
  <c r="AB93" i="20"/>
  <c r="AA93" i="20"/>
  <c r="AU93" i="20"/>
  <c r="AM93" i="20"/>
  <c r="Q77" i="20"/>
  <c r="BB77" i="20"/>
  <c r="AR77" i="20"/>
  <c r="AY77" i="20"/>
  <c r="AQ77" i="20"/>
  <c r="AN77" i="20"/>
  <c r="AA77" i="20"/>
  <c r="Q15" i="20"/>
  <c r="AL15" i="20"/>
  <c r="AR19" i="20"/>
  <c r="BB19" i="20"/>
  <c r="Q21" i="20"/>
  <c r="AB21" i="20"/>
  <c r="I21" i="20"/>
  <c r="AQ21" i="20"/>
  <c r="AY21" i="20"/>
  <c r="W23" i="20"/>
  <c r="AU27" i="20"/>
  <c r="AM27" i="20"/>
  <c r="Y27" i="20"/>
  <c r="AY27" i="20"/>
  <c r="AQ27" i="20"/>
  <c r="AB27" i="20"/>
  <c r="Q35" i="20"/>
  <c r="BB35" i="20"/>
  <c r="BI36" i="20"/>
  <c r="BJ36" i="20" s="1"/>
  <c r="BB37" i="20"/>
  <c r="AR37" i="20"/>
  <c r="AY37" i="20"/>
  <c r="AQ37" i="20"/>
  <c r="AU37" i="20"/>
  <c r="AM37" i="20"/>
  <c r="Y37" i="20"/>
  <c r="AB37" i="20"/>
  <c r="AL39" i="20"/>
  <c r="AN43" i="20"/>
  <c r="AA43" i="20"/>
  <c r="AU43" i="20"/>
  <c r="AM43" i="20"/>
  <c r="Y43" i="20"/>
  <c r="AY43" i="20"/>
  <c r="AQ43" i="20"/>
  <c r="W45" i="20"/>
  <c r="AN45" i="20"/>
  <c r="AR47" i="20"/>
  <c r="AD49" i="20"/>
  <c r="BA49" i="20" s="1"/>
  <c r="AB49" i="20"/>
  <c r="I49" i="20"/>
  <c r="Q49" i="20"/>
  <c r="AR49" i="20"/>
  <c r="BB49" i="20"/>
  <c r="AL51" i="20"/>
  <c r="W51" i="20"/>
  <c r="Q51" i="20"/>
  <c r="AB51" i="20"/>
  <c r="I51" i="20"/>
  <c r="AL57" i="20"/>
  <c r="AM59" i="20"/>
  <c r="AU59" i="20"/>
  <c r="AL61" i="20"/>
  <c r="AN69" i="20"/>
  <c r="BI69" i="20"/>
  <c r="BJ69" i="20" s="1"/>
  <c r="AD71" i="20"/>
  <c r="BA71" i="20" s="1"/>
  <c r="AL73" i="20"/>
  <c r="Y77" i="20"/>
  <c r="AL79" i="20"/>
  <c r="AD81" i="20"/>
  <c r="BA81" i="20" s="1"/>
  <c r="BA83" i="20"/>
  <c r="BI85" i="20"/>
  <c r="BJ85" i="20" s="1"/>
  <c r="AU91" i="20"/>
  <c r="AA97" i="20"/>
  <c r="AM99" i="20"/>
  <c r="AD129" i="20"/>
  <c r="BA129" i="20" s="1"/>
  <c r="BI129" i="20"/>
  <c r="BJ129" i="20" s="1"/>
  <c r="AM147" i="20"/>
  <c r="AB159" i="20"/>
  <c r="I159" i="20"/>
  <c r="AN159" i="20"/>
  <c r="AA159" i="20"/>
  <c r="BB159" i="20"/>
  <c r="AR159" i="20"/>
  <c r="AY159" i="20"/>
  <c r="Y159" i="20"/>
  <c r="W159" i="20"/>
  <c r="AM159" i="20"/>
  <c r="Q159" i="20"/>
  <c r="AQ159" i="20"/>
  <c r="AD159" i="20"/>
  <c r="AZ159" i="20" s="1"/>
  <c r="AL159" i="20"/>
  <c r="AU159" i="20"/>
  <c r="I181" i="20"/>
  <c r="AU23" i="20"/>
  <c r="AM23" i="20"/>
  <c r="Y23" i="20"/>
  <c r="AY23" i="20"/>
  <c r="AQ23" i="20"/>
  <c r="AY87" i="20"/>
  <c r="AQ87" i="20"/>
  <c r="AU87" i="20"/>
  <c r="AM87" i="20"/>
  <c r="Y87" i="20"/>
  <c r="AR87" i="20"/>
  <c r="AD87" i="20"/>
  <c r="BA87" i="20" s="1"/>
  <c r="I87" i="20"/>
  <c r="AB87" i="20"/>
  <c r="BB87" i="20"/>
  <c r="AA87" i="20"/>
  <c r="AY33" i="20"/>
  <c r="AQ33" i="20"/>
  <c r="AU33" i="20"/>
  <c r="AM33" i="20"/>
  <c r="Y33" i="20"/>
  <c r="AB83" i="20"/>
  <c r="I83" i="20"/>
  <c r="AN83" i="20"/>
  <c r="AA83" i="20"/>
  <c r="AU83" i="20"/>
  <c r="AM83" i="20"/>
  <c r="Y83" i="20"/>
  <c r="AR83" i="20"/>
  <c r="AO5" i="20"/>
  <c r="AO8" i="20" s="1"/>
  <c r="W15" i="20"/>
  <c r="AN15" i="20"/>
  <c r="AZ21" i="20"/>
  <c r="AA23" i="20"/>
  <c r="BB23" i="20"/>
  <c r="BI33" i="20"/>
  <c r="BJ33" i="20" s="1"/>
  <c r="W35" i="20"/>
  <c r="Q39" i="20"/>
  <c r="BB39" i="20"/>
  <c r="AA45" i="20"/>
  <c r="BB45" i="20"/>
  <c r="AL47" i="20"/>
  <c r="W47" i="20"/>
  <c r="Q47" i="20"/>
  <c r="AB47" i="20"/>
  <c r="I47" i="20"/>
  <c r="AL53" i="20"/>
  <c r="AM55" i="20"/>
  <c r="AU55" i="20"/>
  <c r="AM57" i="20"/>
  <c r="AU57" i="20"/>
  <c r="AN59" i="20"/>
  <c r="Q61" i="20"/>
  <c r="BB61" i="20"/>
  <c r="BB65" i="20"/>
  <c r="W73" i="20"/>
  <c r="AM73" i="20"/>
  <c r="AB75" i="20"/>
  <c r="I75" i="20"/>
  <c r="AN75" i="20"/>
  <c r="AA75" i="20"/>
  <c r="AU75" i="20"/>
  <c r="AM75" i="20"/>
  <c r="Y75" i="20"/>
  <c r="BB75" i="20"/>
  <c r="AR75" i="20"/>
  <c r="AB77" i="20"/>
  <c r="AY79" i="20"/>
  <c r="I81" i="20"/>
  <c r="W83" i="20"/>
  <c r="AQ83" i="20"/>
  <c r="BB83" i="20"/>
  <c r="AN99" i="20"/>
  <c r="AU103" i="20"/>
  <c r="AM103" i="20"/>
  <c r="Y103" i="20"/>
  <c r="AL103" i="20"/>
  <c r="W103" i="20"/>
  <c r="AD103" i="20"/>
  <c r="AN103" i="20"/>
  <c r="AR103" i="20"/>
  <c r="AB103" i="20"/>
  <c r="BB107" i="20"/>
  <c r="AD109" i="20"/>
  <c r="BA109" i="20" s="1"/>
  <c r="AB109" i="20"/>
  <c r="I109" i="20"/>
  <c r="Q109" i="20"/>
  <c r="AY109" i="20"/>
  <c r="AQ109" i="20"/>
  <c r="AA109" i="20"/>
  <c r="Y109" i="20"/>
  <c r="AL109" i="20"/>
  <c r="AM109" i="20"/>
  <c r="AD125" i="20"/>
  <c r="AB125" i="20"/>
  <c r="I125" i="20"/>
  <c r="Q125" i="20"/>
  <c r="AU125" i="20"/>
  <c r="AM125" i="20"/>
  <c r="AL125" i="20"/>
  <c r="BB125" i="20"/>
  <c r="AA125" i="20"/>
  <c r="I153" i="20"/>
  <c r="BI47" i="20"/>
  <c r="BJ47" i="20" s="1"/>
  <c r="BI51" i="20"/>
  <c r="BJ51" i="20" s="1"/>
  <c r="BI55" i="20"/>
  <c r="BJ55" i="20" s="1"/>
  <c r="BI87" i="20"/>
  <c r="BJ87" i="20" s="1"/>
  <c r="AU95" i="20"/>
  <c r="AM113" i="20"/>
  <c r="AU113" i="20"/>
  <c r="AN115" i="20"/>
  <c r="BI125" i="20"/>
  <c r="BJ125" i="20" s="1"/>
  <c r="BB135" i="20"/>
  <c r="AR135" i="20"/>
  <c r="AY135" i="20"/>
  <c r="AQ135" i="20"/>
  <c r="AD135" i="20"/>
  <c r="BA135" i="20" s="1"/>
  <c r="AU135" i="20"/>
  <c r="AM135" i="20"/>
  <c r="Y135" i="20"/>
  <c r="Q135" i="20"/>
  <c r="AL191" i="20"/>
  <c r="W191" i="20"/>
  <c r="Q191" i="20"/>
  <c r="BB191" i="20"/>
  <c r="AR191" i="20"/>
  <c r="AB191" i="20"/>
  <c r="I191" i="20"/>
  <c r="AU191" i="20"/>
  <c r="AM191" i="20"/>
  <c r="Y191" i="20"/>
  <c r="AQ191" i="20"/>
  <c r="AA191" i="20"/>
  <c r="AY191" i="20"/>
  <c r="AD191" i="20"/>
  <c r="BA191" i="20" s="1"/>
  <c r="AD121" i="20"/>
  <c r="AB121" i="20"/>
  <c r="I121" i="20"/>
  <c r="Q121" i="20"/>
  <c r="AR121" i="20"/>
  <c r="BB121" i="20"/>
  <c r="AL123" i="20"/>
  <c r="W123" i="20"/>
  <c r="Q123" i="20"/>
  <c r="AB123" i="20"/>
  <c r="I123" i="20"/>
  <c r="BB139" i="20"/>
  <c r="AR139" i="20"/>
  <c r="AY139" i="20"/>
  <c r="AQ139" i="20"/>
  <c r="AD139" i="20"/>
  <c r="BA139" i="20" s="1"/>
  <c r="AU139" i="20"/>
  <c r="AM139" i="20"/>
  <c r="Y139" i="20"/>
  <c r="Q139" i="20"/>
  <c r="BB165" i="20"/>
  <c r="Q165" i="20"/>
  <c r="AR165" i="20"/>
  <c r="AY165" i="20"/>
  <c r="AN165" i="20"/>
  <c r="AA165" i="20"/>
  <c r="Y165" i="20"/>
  <c r="AM165" i="20"/>
  <c r="W165" i="20"/>
  <c r="AL165" i="20"/>
  <c r="I165" i="20"/>
  <c r="AB165" i="20"/>
  <c r="BI19" i="20"/>
  <c r="BJ19" i="20" s="1"/>
  <c r="BI45" i="20"/>
  <c r="BJ45" i="20" s="1"/>
  <c r="BI49" i="20"/>
  <c r="BJ49" i="20" s="1"/>
  <c r="BI53" i="20"/>
  <c r="BJ53" i="20" s="1"/>
  <c r="BI57" i="20"/>
  <c r="BJ57" i="20" s="1"/>
  <c r="BI78" i="20"/>
  <c r="BJ78" i="20" s="1"/>
  <c r="AA95" i="20"/>
  <c r="Q101" i="20"/>
  <c r="AR101" i="20"/>
  <c r="AN101" i="20"/>
  <c r="AA101" i="20"/>
  <c r="AU101" i="20"/>
  <c r="AQ113" i="20"/>
  <c r="AR115" i="20"/>
  <c r="AD117" i="20"/>
  <c r="BA117" i="20" s="1"/>
  <c r="AB117" i="20"/>
  <c r="I117" i="20"/>
  <c r="Q117" i="20"/>
  <c r="AR117" i="20"/>
  <c r="BB117" i="20"/>
  <c r="AL119" i="20"/>
  <c r="W119" i="20"/>
  <c r="Q119" i="20"/>
  <c r="AB119" i="20"/>
  <c r="I119" i="20"/>
  <c r="BB131" i="20"/>
  <c r="AR131" i="20"/>
  <c r="AY131" i="20"/>
  <c r="AQ131" i="20"/>
  <c r="AD131" i="20"/>
  <c r="BA131" i="20" s="1"/>
  <c r="AU131" i="20"/>
  <c r="AM131" i="20"/>
  <c r="Y131" i="20"/>
  <c r="AB131" i="20"/>
  <c r="AN135" i="20"/>
  <c r="I139" i="20"/>
  <c r="BI145" i="20"/>
  <c r="BJ145" i="20" s="1"/>
  <c r="AL195" i="20"/>
  <c r="W195" i="20"/>
  <c r="Q195" i="20"/>
  <c r="BB195" i="20"/>
  <c r="AR195" i="20"/>
  <c r="AB195" i="20"/>
  <c r="I195" i="20"/>
  <c r="AU195" i="20"/>
  <c r="AM195" i="20"/>
  <c r="Y195" i="20"/>
  <c r="AQ195" i="20"/>
  <c r="AA195" i="20"/>
  <c r="AY195" i="20"/>
  <c r="AD195" i="20"/>
  <c r="BA195" i="20" s="1"/>
  <c r="BI60" i="20"/>
  <c r="BJ60" i="20" s="1"/>
  <c r="BI71" i="20"/>
  <c r="BJ71" i="20" s="1"/>
  <c r="BI75" i="20"/>
  <c r="BJ75" i="20" s="1"/>
  <c r="BI79" i="20"/>
  <c r="BJ79" i="20" s="1"/>
  <c r="AY95" i="20"/>
  <c r="AQ95" i="20"/>
  <c r="AD95" i="20"/>
  <c r="BA95" i="20" s="1"/>
  <c r="AL95" i="20"/>
  <c r="W95" i="20"/>
  <c r="AB95" i="20"/>
  <c r="AR95" i="20"/>
  <c r="AD113" i="20"/>
  <c r="BA113" i="20" s="1"/>
  <c r="AB113" i="20"/>
  <c r="I113" i="20"/>
  <c r="Q113" i="20"/>
  <c r="AR113" i="20"/>
  <c r="BB113" i="20"/>
  <c r="AL115" i="20"/>
  <c r="W115" i="20"/>
  <c r="Q115" i="20"/>
  <c r="AB115" i="20"/>
  <c r="I115" i="20"/>
  <c r="BI127" i="20"/>
  <c r="BJ127" i="20" s="1"/>
  <c r="AN141" i="20"/>
  <c r="AA141" i="20"/>
  <c r="AU141" i="20"/>
  <c r="AM141" i="20"/>
  <c r="Y141" i="20"/>
  <c r="AL141" i="20"/>
  <c r="W141" i="20"/>
  <c r="AY141" i="20"/>
  <c r="AQ141" i="20"/>
  <c r="AB141" i="20"/>
  <c r="I141" i="20"/>
  <c r="BB169" i="20"/>
  <c r="AR169" i="20"/>
  <c r="AY169" i="20"/>
  <c r="AQ169" i="20"/>
  <c r="AD169" i="20"/>
  <c r="BA169" i="20" s="1"/>
  <c r="AU169" i="20"/>
  <c r="AM169" i="20"/>
  <c r="Y169" i="20"/>
  <c r="W169" i="20"/>
  <c r="AN169" i="20"/>
  <c r="Q169" i="20"/>
  <c r="AL169" i="20"/>
  <c r="I169" i="20"/>
  <c r="AA169" i="20"/>
  <c r="AN175" i="20"/>
  <c r="AA175" i="20"/>
  <c r="AU175" i="20"/>
  <c r="AM175" i="20"/>
  <c r="Y175" i="20"/>
  <c r="AL175" i="20"/>
  <c r="W175" i="20"/>
  <c r="AY175" i="20"/>
  <c r="AQ175" i="20"/>
  <c r="AR175" i="20"/>
  <c r="Q175" i="20"/>
  <c r="BB175" i="20"/>
  <c r="AB175" i="20"/>
  <c r="AL211" i="20"/>
  <c r="W211" i="20"/>
  <c r="Q211" i="20"/>
  <c r="BB211" i="20"/>
  <c r="AR211" i="20"/>
  <c r="AB211" i="20"/>
  <c r="I211" i="20"/>
  <c r="AU211" i="20"/>
  <c r="AM211" i="20"/>
  <c r="Y211" i="20"/>
  <c r="AQ211" i="20"/>
  <c r="AA211" i="20"/>
  <c r="AY211" i="20"/>
  <c r="AD211" i="20"/>
  <c r="BA211" i="20" s="1"/>
  <c r="BI133" i="20"/>
  <c r="BJ133" i="20" s="1"/>
  <c r="BI137" i="20"/>
  <c r="BJ137" i="20" s="1"/>
  <c r="BI141" i="20"/>
  <c r="BJ141" i="20" s="1"/>
  <c r="BB149" i="20"/>
  <c r="AR149" i="20"/>
  <c r="AN149" i="20"/>
  <c r="AA149" i="20"/>
  <c r="AU149" i="20"/>
  <c r="W151" i="20"/>
  <c r="AB155" i="20"/>
  <c r="I155" i="20"/>
  <c r="AN155" i="20"/>
  <c r="AA155" i="20"/>
  <c r="BB155" i="20"/>
  <c r="AR155" i="20"/>
  <c r="AU155" i="20"/>
  <c r="AN167" i="20"/>
  <c r="AA167" i="20"/>
  <c r="AU167" i="20"/>
  <c r="AM167" i="20"/>
  <c r="Y167" i="20"/>
  <c r="AL167" i="20"/>
  <c r="W167" i="20"/>
  <c r="AY167" i="20"/>
  <c r="AQ167" i="20"/>
  <c r="BI179" i="20"/>
  <c r="BJ179" i="20" s="1"/>
  <c r="AN183" i="20"/>
  <c r="AA183" i="20"/>
  <c r="AU183" i="20"/>
  <c r="AM183" i="20"/>
  <c r="Y183" i="20"/>
  <c r="AL183" i="20"/>
  <c r="W183" i="20"/>
  <c r="AY183" i="20"/>
  <c r="AQ183" i="20"/>
  <c r="BI100" i="20"/>
  <c r="BJ100" i="20" s="1"/>
  <c r="BI107" i="20"/>
  <c r="BJ107" i="20" s="1"/>
  <c r="BI111" i="20"/>
  <c r="BJ111" i="20" s="1"/>
  <c r="BI115" i="20"/>
  <c r="BJ115" i="20" s="1"/>
  <c r="BI119" i="20"/>
  <c r="BJ119" i="20" s="1"/>
  <c r="BI123" i="20"/>
  <c r="BJ123" i="20" s="1"/>
  <c r="BB145" i="20"/>
  <c r="AR145" i="20"/>
  <c r="AN145" i="20"/>
  <c r="AA145" i="20"/>
  <c r="AU145" i="20"/>
  <c r="BI147" i="20"/>
  <c r="BJ147" i="20" s="1"/>
  <c r="W149" i="20"/>
  <c r="AM149" i="20"/>
  <c r="AD151" i="20"/>
  <c r="AZ151" i="20" s="1"/>
  <c r="Q155" i="20"/>
  <c r="AM155" i="20"/>
  <c r="AB157" i="20"/>
  <c r="BI161" i="20"/>
  <c r="BJ161" i="20" s="1"/>
  <c r="Y163" i="20"/>
  <c r="BI175" i="20"/>
  <c r="BJ175" i="20" s="1"/>
  <c r="Q177" i="20"/>
  <c r="AN179" i="20"/>
  <c r="AA179" i="20"/>
  <c r="AU179" i="20"/>
  <c r="AM179" i="20"/>
  <c r="Y179" i="20"/>
  <c r="AL179" i="20"/>
  <c r="W179" i="20"/>
  <c r="AY179" i="20"/>
  <c r="AQ179" i="20"/>
  <c r="AL189" i="20"/>
  <c r="AA207" i="20"/>
  <c r="AB151" i="20"/>
  <c r="I151" i="20"/>
  <c r="AN151" i="20"/>
  <c r="AA151" i="20"/>
  <c r="BB151" i="20"/>
  <c r="AR151" i="20"/>
  <c r="AU151" i="20"/>
  <c r="BB177" i="20"/>
  <c r="AR177" i="20"/>
  <c r="AY177" i="20"/>
  <c r="AQ177" i="20"/>
  <c r="AD177" i="20"/>
  <c r="BA177" i="20" s="1"/>
  <c r="AU177" i="20"/>
  <c r="AM177" i="20"/>
  <c r="Y177" i="20"/>
  <c r="AB177" i="20"/>
  <c r="AL203" i="20"/>
  <c r="W203" i="20"/>
  <c r="Q203" i="20"/>
  <c r="BB203" i="20"/>
  <c r="AR203" i="20"/>
  <c r="AB203" i="20"/>
  <c r="I203" i="20"/>
  <c r="AU203" i="20"/>
  <c r="AM203" i="20"/>
  <c r="Y203" i="20"/>
  <c r="BI105" i="20"/>
  <c r="BJ105" i="20" s="1"/>
  <c r="BI109" i="20"/>
  <c r="BJ109" i="20" s="1"/>
  <c r="BI113" i="20"/>
  <c r="BJ113" i="20" s="1"/>
  <c r="BI117" i="20"/>
  <c r="BJ117" i="20" s="1"/>
  <c r="BI121" i="20"/>
  <c r="BJ121" i="20" s="1"/>
  <c r="AL151" i="20"/>
  <c r="Q157" i="20"/>
  <c r="BB157" i="20"/>
  <c r="AR157" i="20"/>
  <c r="AN157" i="20"/>
  <c r="AA157" i="20"/>
  <c r="AU157" i="20"/>
  <c r="AB163" i="20"/>
  <c r="I163" i="20"/>
  <c r="AN163" i="20"/>
  <c r="AA163" i="20"/>
  <c r="BB163" i="20"/>
  <c r="AR163" i="20"/>
  <c r="AU163" i="20"/>
  <c r="BI167" i="20"/>
  <c r="BJ167" i="20" s="1"/>
  <c r="AN171" i="20"/>
  <c r="AA171" i="20"/>
  <c r="AU171" i="20"/>
  <c r="AM171" i="20"/>
  <c r="Y171" i="20"/>
  <c r="AL171" i="20"/>
  <c r="W171" i="20"/>
  <c r="AY171" i="20"/>
  <c r="AQ171" i="20"/>
  <c r="I177" i="20"/>
  <c r="BI183" i="20"/>
  <c r="BJ183" i="20" s="1"/>
  <c r="AN187" i="20"/>
  <c r="AA187" i="20"/>
  <c r="AU187" i="20"/>
  <c r="AM187" i="20"/>
  <c r="Y187" i="20"/>
  <c r="AL187" i="20"/>
  <c r="W187" i="20"/>
  <c r="AY187" i="20"/>
  <c r="AQ187" i="20"/>
  <c r="AN203" i="20"/>
  <c r="AL207" i="20"/>
  <c r="W207" i="20"/>
  <c r="Q207" i="20"/>
  <c r="BB207" i="20"/>
  <c r="AR207" i="20"/>
  <c r="AB207" i="20"/>
  <c r="I207" i="20"/>
  <c r="AU207" i="20"/>
  <c r="AM207" i="20"/>
  <c r="Y207" i="20"/>
  <c r="BI99" i="20"/>
  <c r="BJ99" i="20" s="1"/>
  <c r="BI128" i="20"/>
  <c r="BJ128" i="20" s="1"/>
  <c r="BI140" i="20"/>
  <c r="BJ140" i="20" s="1"/>
  <c r="Q151" i="20"/>
  <c r="AM151" i="20"/>
  <c r="BI157" i="20"/>
  <c r="BJ157" i="20" s="1"/>
  <c r="I167" i="20"/>
  <c r="BB173" i="20"/>
  <c r="AR173" i="20"/>
  <c r="AY173" i="20"/>
  <c r="AQ173" i="20"/>
  <c r="AD173" i="20"/>
  <c r="AZ173" i="20" s="1"/>
  <c r="AU173" i="20"/>
  <c r="AM173" i="20"/>
  <c r="Y173" i="20"/>
  <c r="AB173" i="20"/>
  <c r="I183" i="20"/>
  <c r="AR189" i="20"/>
  <c r="AY189" i="20"/>
  <c r="AQ189" i="20"/>
  <c r="AD189" i="20"/>
  <c r="AU189" i="20"/>
  <c r="AM189" i="20"/>
  <c r="Y189" i="20"/>
  <c r="Q189" i="20"/>
  <c r="AY203" i="20"/>
  <c r="AD209" i="20"/>
  <c r="BA209" i="20" s="1"/>
  <c r="AB209" i="20"/>
  <c r="I209" i="20"/>
  <c r="AN209" i="20"/>
  <c r="AA209" i="20"/>
  <c r="Q209" i="20"/>
  <c r="AY209" i="20"/>
  <c r="AQ209" i="20"/>
  <c r="AU209" i="20"/>
  <c r="BI187" i="20"/>
  <c r="BJ187" i="20" s="1"/>
  <c r="BI152" i="20"/>
  <c r="BJ152" i="20" s="1"/>
  <c r="BI156" i="20"/>
  <c r="BJ156" i="20" s="1"/>
  <c r="BI160" i="20"/>
  <c r="BJ160" i="20" s="1"/>
  <c r="BI164" i="20"/>
  <c r="BJ164" i="20" s="1"/>
  <c r="BI191" i="20"/>
  <c r="BJ191" i="20" s="1"/>
  <c r="Q193" i="20"/>
  <c r="BI195" i="20"/>
  <c r="BJ195" i="20" s="1"/>
  <c r="Q197" i="20"/>
  <c r="BI199" i="20"/>
  <c r="BJ199" i="20" s="1"/>
  <c r="Q201" i="20"/>
  <c r="BI203" i="20"/>
  <c r="BJ203" i="20" s="1"/>
  <c r="Q205" i="20"/>
  <c r="BI207" i="20"/>
  <c r="BJ207" i="20" s="1"/>
  <c r="BI211" i="20"/>
  <c r="BJ211" i="20" s="1"/>
  <c r="AA193" i="20"/>
  <c r="AN193" i="20"/>
  <c r="AA197" i="20"/>
  <c r="AN197" i="20"/>
  <c r="AA201" i="20"/>
  <c r="AN201" i="20"/>
  <c r="AA205" i="20"/>
  <c r="AN205" i="20"/>
  <c r="BI189" i="20"/>
  <c r="BJ189" i="20" s="1"/>
  <c r="I193" i="20"/>
  <c r="AB193" i="20"/>
  <c r="BI193" i="20"/>
  <c r="BJ193" i="20" s="1"/>
  <c r="I197" i="20"/>
  <c r="BI197" i="20"/>
  <c r="BJ197" i="20" s="1"/>
  <c r="I201" i="20"/>
  <c r="BI201" i="20"/>
  <c r="BJ201" i="20" s="1"/>
  <c r="I205" i="20"/>
  <c r="BI205" i="20"/>
  <c r="BJ205" i="20" s="1"/>
  <c r="BI209" i="20"/>
  <c r="BJ209" i="20" s="1"/>
  <c r="BI151" i="20"/>
  <c r="BJ151" i="20" s="1"/>
  <c r="BI155" i="20"/>
  <c r="BJ155" i="20" s="1"/>
  <c r="BI159" i="20"/>
  <c r="BJ159" i="20" s="1"/>
  <c r="BI163" i="20"/>
  <c r="BJ163" i="20" s="1"/>
  <c r="BI166" i="20"/>
  <c r="BJ166" i="20" s="1"/>
  <c r="DK18" i="70"/>
  <c r="AW10" i="20"/>
  <c r="BI20" i="20"/>
  <c r="BJ20" i="20" s="1"/>
  <c r="BI44" i="20"/>
  <c r="BJ44" i="20" s="1"/>
  <c r="BI54" i="20"/>
  <c r="BJ54" i="20" s="1"/>
  <c r="BI64" i="20"/>
  <c r="BJ64" i="20" s="1"/>
  <c r="BA77" i="20"/>
  <c r="BI94" i="20"/>
  <c r="BJ94" i="20" s="1"/>
  <c r="BI124" i="20"/>
  <c r="BJ124" i="20" s="1"/>
  <c r="AZ147" i="20"/>
  <c r="BI150" i="20"/>
  <c r="BJ150" i="20" s="1"/>
  <c r="BI188" i="20"/>
  <c r="BJ188" i="20" s="1"/>
  <c r="BA15" i="20"/>
  <c r="BA19" i="20"/>
  <c r="BA43" i="20"/>
  <c r="R4" i="71"/>
  <c r="AZ141" i="20"/>
  <c r="BA171" i="20"/>
  <c r="BI14" i="20"/>
  <c r="BJ14" i="20" s="1"/>
  <c r="BI24" i="20"/>
  <c r="BJ24" i="20" s="1"/>
  <c r="BI48" i="20"/>
  <c r="BJ48" i="20" s="1"/>
  <c r="BI52" i="20"/>
  <c r="BJ52" i="20" s="1"/>
  <c r="BI92" i="20"/>
  <c r="BJ92" i="20" s="1"/>
  <c r="BI108" i="20"/>
  <c r="BJ108" i="20" s="1"/>
  <c r="BI118" i="20"/>
  <c r="BJ118" i="20" s="1"/>
  <c r="BI148" i="20"/>
  <c r="BJ148" i="20" s="1"/>
  <c r="BI172" i="20"/>
  <c r="BJ172" i="20" s="1"/>
  <c r="BI182" i="20"/>
  <c r="BJ182" i="20" s="1"/>
  <c r="BI192" i="20"/>
  <c r="BJ192" i="20" s="1"/>
  <c r="BI32" i="20"/>
  <c r="BJ32" i="20" s="1"/>
  <c r="AZ193" i="20"/>
  <c r="BI28" i="20"/>
  <c r="BJ28" i="20" s="1"/>
  <c r="BI38" i="20"/>
  <c r="BJ38" i="20" s="1"/>
  <c r="BI72" i="20"/>
  <c r="BJ72" i="20" s="1"/>
  <c r="BI76" i="20"/>
  <c r="BJ76" i="20" s="1"/>
  <c r="BI132" i="20"/>
  <c r="BJ132" i="20" s="1"/>
  <c r="BI142" i="20"/>
  <c r="BJ142" i="20" s="1"/>
  <c r="BI158" i="20"/>
  <c r="BJ158" i="20" s="1"/>
  <c r="BI196" i="20"/>
  <c r="BJ196" i="20" s="1"/>
  <c r="BI206" i="20"/>
  <c r="BJ206" i="20" s="1"/>
  <c r="AT13" i="20"/>
  <c r="AT5" i="20" s="1"/>
  <c r="BI13" i="20"/>
  <c r="BJ13" i="20" s="1"/>
  <c r="AA13" i="20"/>
  <c r="Y13" i="20"/>
  <c r="O13" i="20"/>
  <c r="BB13" i="20"/>
  <c r="AR13" i="20"/>
  <c r="AY13" i="20"/>
  <c r="AQ13" i="20"/>
  <c r="AB13" i="20"/>
  <c r="AD13" i="20" s="1"/>
  <c r="I13" i="20"/>
  <c r="AN13" i="20"/>
  <c r="W13" i="20"/>
  <c r="AM13" i="20"/>
  <c r="Q13" i="20"/>
  <c r="AL13" i="20"/>
  <c r="AU13" i="20"/>
  <c r="C33" i="75"/>
  <c r="BH82" i="54"/>
  <c r="BL94" i="54"/>
  <c r="BP253" i="54"/>
  <c r="AT458" i="54"/>
  <c r="C73" i="75"/>
  <c r="BN382" i="54"/>
  <c r="BN518" i="54"/>
  <c r="BN542" i="54"/>
  <c r="C19" i="75"/>
  <c r="C96" i="75"/>
  <c r="C106" i="75"/>
  <c r="BP55" i="54"/>
  <c r="BN385" i="54"/>
  <c r="BL38" i="54"/>
  <c r="BO166" i="54"/>
  <c r="BL480" i="54"/>
  <c r="BO550" i="54"/>
  <c r="C24" i="75"/>
  <c r="C29" i="75"/>
  <c r="C146" i="75"/>
  <c r="BL134" i="54"/>
  <c r="BM157" i="54"/>
  <c r="BH241" i="54"/>
  <c r="BN279" i="54"/>
  <c r="BL315" i="54"/>
  <c r="BP382" i="54"/>
  <c r="BO518" i="54"/>
  <c r="BO58" i="54"/>
  <c r="BH91" i="54"/>
  <c r="BP111" i="54"/>
  <c r="BN201" i="54"/>
  <c r="BO241" i="54"/>
  <c r="BH297" i="54"/>
  <c r="BH303" i="54"/>
  <c r="BH309" i="54"/>
  <c r="BL353" i="54"/>
  <c r="BL430" i="54"/>
  <c r="BL539" i="54"/>
  <c r="BM542" i="54"/>
  <c r="C81" i="75"/>
  <c r="C84" i="75"/>
  <c r="BL157" i="54"/>
  <c r="C25" i="75"/>
  <c r="C69" i="75"/>
  <c r="BN55" i="54"/>
  <c r="BL91" i="54"/>
  <c r="BL297" i="54"/>
  <c r="BM539" i="54"/>
  <c r="BI13" i="79"/>
  <c r="BI7" i="79" s="1"/>
  <c r="I18" i="12"/>
  <c r="AF3" i="79"/>
  <c r="BF13" i="79"/>
  <c r="I11" i="12"/>
  <c r="H15" i="12"/>
  <c r="I16" i="12"/>
  <c r="BL9" i="79"/>
  <c r="K530" i="54"/>
  <c r="BE559" i="54"/>
  <c r="BD559" i="54" s="1"/>
  <c r="BA559" i="54"/>
  <c r="K539" i="54"/>
  <c r="K524" i="54"/>
  <c r="K533" i="54"/>
  <c r="BE553" i="54"/>
  <c r="BD553" i="54" s="1"/>
  <c r="BA553" i="54"/>
  <c r="K527" i="54"/>
  <c r="K536" i="54"/>
  <c r="K542" i="54"/>
  <c r="K521" i="54"/>
  <c r="BA556" i="54"/>
  <c r="BE556" i="54"/>
  <c r="BD556" i="54" s="1"/>
  <c r="K518" i="54"/>
  <c r="BA550" i="54"/>
  <c r="BE550" i="54"/>
  <c r="BD550" i="54" s="1"/>
  <c r="K483" i="54"/>
  <c r="K477" i="54"/>
  <c r="K462" i="54"/>
  <c r="BA494" i="54"/>
  <c r="BE494" i="54"/>
  <c r="BD494" i="54" s="1"/>
  <c r="BE503" i="54"/>
  <c r="BD503" i="54" s="1"/>
  <c r="BA503" i="54"/>
  <c r="K471" i="54"/>
  <c r="K486" i="54"/>
  <c r="K468" i="54"/>
  <c r="BA500" i="54"/>
  <c r="BE500" i="54"/>
  <c r="BD500" i="54" s="1"/>
  <c r="K480" i="54"/>
  <c r="BE497" i="54"/>
  <c r="BD497" i="54" s="1"/>
  <c r="BA497" i="54"/>
  <c r="K465" i="54"/>
  <c r="K474" i="54"/>
  <c r="BA444" i="54"/>
  <c r="BE444" i="54"/>
  <c r="BD444" i="54" s="1"/>
  <c r="K415" i="54"/>
  <c r="K430" i="54"/>
  <c r="K406" i="54"/>
  <c r="BA438" i="54"/>
  <c r="BE438" i="54"/>
  <c r="BD438" i="54" s="1"/>
  <c r="K424" i="54"/>
  <c r="BE447" i="54"/>
  <c r="BD447" i="54" s="1"/>
  <c r="BA447" i="54"/>
  <c r="K418" i="54"/>
  <c r="BE441" i="54"/>
  <c r="BD441" i="54" s="1"/>
  <c r="BA441" i="54"/>
  <c r="K421" i="54"/>
  <c r="K409" i="54"/>
  <c r="K412" i="54"/>
  <c r="K427" i="54"/>
  <c r="AT402" i="54"/>
  <c r="AT346" i="54"/>
  <c r="K356" i="54"/>
  <c r="K371" i="54"/>
  <c r="K350" i="54"/>
  <c r="K365" i="54"/>
  <c r="BA382" i="54"/>
  <c r="BE382" i="54"/>
  <c r="BD382" i="54" s="1"/>
  <c r="K359" i="54"/>
  <c r="K374" i="54"/>
  <c r="BA388" i="54"/>
  <c r="BE388" i="54"/>
  <c r="BD388" i="54" s="1"/>
  <c r="K353" i="54"/>
  <c r="K368" i="54"/>
  <c r="K362" i="54"/>
  <c r="BE385" i="54"/>
  <c r="BD385" i="54" s="1"/>
  <c r="BA385" i="54"/>
  <c r="BE391" i="54"/>
  <c r="BD391" i="54" s="1"/>
  <c r="BA391" i="54"/>
  <c r="K318" i="54"/>
  <c r="K300" i="54"/>
  <c r="K315" i="54"/>
  <c r="K297" i="54"/>
  <c r="K303" i="54"/>
  <c r="K309" i="54"/>
  <c r="BA332" i="54"/>
  <c r="BE332" i="54"/>
  <c r="BD332" i="54" s="1"/>
  <c r="K312" i="54"/>
  <c r="BE329" i="54"/>
  <c r="BD329" i="54" s="1"/>
  <c r="BA329" i="54"/>
  <c r="BE335" i="54"/>
  <c r="BD335" i="54" s="1"/>
  <c r="BA335" i="54"/>
  <c r="K306" i="54"/>
  <c r="K294" i="54"/>
  <c r="BA326" i="54"/>
  <c r="BE326" i="54"/>
  <c r="BD326" i="54" s="1"/>
  <c r="K256" i="54"/>
  <c r="K238" i="54"/>
  <c r="K244" i="54"/>
  <c r="K259" i="54"/>
  <c r="BA276" i="54"/>
  <c r="BE276" i="54"/>
  <c r="BD276" i="54" s="1"/>
  <c r="BE273" i="54"/>
  <c r="BD273" i="54" s="1"/>
  <c r="BA273" i="54"/>
  <c r="K250" i="54"/>
  <c r="K253" i="54"/>
  <c r="BA270" i="54"/>
  <c r="BE270" i="54"/>
  <c r="BD270" i="54" s="1"/>
  <c r="K241" i="54"/>
  <c r="K247" i="54"/>
  <c r="K262" i="54"/>
  <c r="BE279" i="54"/>
  <c r="BD279" i="54" s="1"/>
  <c r="BA279" i="54"/>
  <c r="K186" i="54"/>
  <c r="K195" i="54"/>
  <c r="K207" i="54"/>
  <c r="BA215" i="54"/>
  <c r="BE215" i="54"/>
  <c r="BD215" i="54" s="1"/>
  <c r="K204" i="54"/>
  <c r="K183" i="54"/>
  <c r="K198" i="54"/>
  <c r="BE218" i="54"/>
  <c r="BD218" i="54" s="1"/>
  <c r="BA218" i="54"/>
  <c r="K192" i="54"/>
  <c r="K189" i="54"/>
  <c r="BE224" i="54"/>
  <c r="BD224" i="54" s="1"/>
  <c r="BA224" i="54"/>
  <c r="BA221" i="54"/>
  <c r="BE221" i="54"/>
  <c r="BD221" i="54" s="1"/>
  <c r="K201" i="54"/>
  <c r="K134" i="54"/>
  <c r="K128" i="54"/>
  <c r="K143" i="54"/>
  <c r="BE163" i="54"/>
  <c r="BD163" i="54" s="1"/>
  <c r="BA163" i="54"/>
  <c r="K152" i="54"/>
  <c r="BE169" i="54"/>
  <c r="BD169" i="54" s="1"/>
  <c r="BA169" i="54"/>
  <c r="AT69" i="54"/>
  <c r="K137" i="54"/>
  <c r="K146" i="54"/>
  <c r="K149" i="54"/>
  <c r="K131" i="54"/>
  <c r="BA160" i="54"/>
  <c r="BE160" i="54"/>
  <c r="BD160" i="54" s="1"/>
  <c r="K140" i="54"/>
  <c r="BA166" i="54"/>
  <c r="BE166" i="54"/>
  <c r="BD166" i="54" s="1"/>
  <c r="K97" i="54"/>
  <c r="K79" i="54"/>
  <c r="BE114" i="54"/>
  <c r="BD114" i="54" s="1"/>
  <c r="BA114" i="54"/>
  <c r="BE108" i="54"/>
  <c r="BD108" i="54" s="1"/>
  <c r="BA108" i="54"/>
  <c r="K91" i="54"/>
  <c r="BA111" i="54"/>
  <c r="BE111" i="54"/>
  <c r="BD111" i="54" s="1"/>
  <c r="K85" i="54"/>
  <c r="BA105" i="54"/>
  <c r="BE105" i="54"/>
  <c r="BD105" i="54" s="1"/>
  <c r="K73" i="54"/>
  <c r="K88" i="54"/>
  <c r="K82" i="54"/>
  <c r="K94" i="54"/>
  <c r="K76" i="54"/>
  <c r="E32" i="54"/>
  <c r="K32" i="54" s="1"/>
  <c r="E38" i="54"/>
  <c r="K38" i="54" s="1"/>
  <c r="E41" i="54"/>
  <c r="K41" i="54" s="1"/>
  <c r="BB52" i="54"/>
  <c r="Q52" i="54"/>
  <c r="AE52" i="54"/>
  <c r="S23" i="75"/>
  <c r="BC64" i="15" s="1"/>
  <c r="AA52" i="54"/>
  <c r="S52" i="54"/>
  <c r="AC52" i="54"/>
  <c r="BC58" i="54"/>
  <c r="E58" i="54"/>
  <c r="BA58" i="54" s="1"/>
  <c r="BC55" i="54"/>
  <c r="E55" i="54"/>
  <c r="BA55" i="54" s="1"/>
  <c r="AG52" i="54"/>
  <c r="AT52" i="54"/>
  <c r="Y52" i="54"/>
  <c r="U52" i="54"/>
  <c r="AI52" i="54"/>
  <c r="AT46" i="54"/>
  <c r="BC46" i="54" s="1"/>
  <c r="AG46" i="54"/>
  <c r="AI46" i="54"/>
  <c r="AC46" i="54"/>
  <c r="AA46" i="54"/>
  <c r="Y46" i="54"/>
  <c r="W46" i="54"/>
  <c r="U46" i="54"/>
  <c r="S46" i="54"/>
  <c r="E49" i="54"/>
  <c r="BE49" i="54" s="1"/>
  <c r="E23" i="54"/>
  <c r="K23" i="54" s="1"/>
  <c r="BC23" i="54"/>
  <c r="AT20" i="54"/>
  <c r="BB20" i="54"/>
  <c r="C36" i="75"/>
  <c r="C42" i="75"/>
  <c r="C101" i="75"/>
  <c r="BH38" i="54"/>
  <c r="BN128" i="54"/>
  <c r="BL131" i="54"/>
  <c r="BL247" i="54"/>
  <c r="BM250" i="54"/>
  <c r="BL253" i="54"/>
  <c r="BN256" i="54"/>
  <c r="BM406" i="54"/>
  <c r="BN409" i="54"/>
  <c r="BL412" i="54"/>
  <c r="BH424" i="54"/>
  <c r="BM427" i="54"/>
  <c r="BH430" i="54"/>
  <c r="BP491" i="54"/>
  <c r="C115" i="75"/>
  <c r="C74" i="75"/>
  <c r="C112" i="75"/>
  <c r="C137" i="75"/>
  <c r="C34" i="75"/>
  <c r="C40" i="75"/>
  <c r="C131" i="75"/>
  <c r="BH192" i="54"/>
  <c r="BL198" i="54"/>
  <c r="BO309" i="54"/>
  <c r="BO312" i="54"/>
  <c r="BH315" i="54"/>
  <c r="BP326" i="54"/>
  <c r="BH353" i="54"/>
  <c r="BM533" i="54"/>
  <c r="BN550" i="54"/>
  <c r="C99" i="75"/>
  <c r="C143" i="75"/>
  <c r="C75" i="75"/>
  <c r="C103" i="75"/>
  <c r="C151" i="75"/>
  <c r="BL79" i="54"/>
  <c r="BO323" i="54"/>
  <c r="BN356" i="54"/>
  <c r="BP444" i="54"/>
  <c r="BO533" i="54"/>
  <c r="C102" i="75"/>
  <c r="C28" i="75"/>
  <c r="C13" i="75"/>
  <c r="C65" i="75"/>
  <c r="C92" i="75"/>
  <c r="C98" i="75"/>
  <c r="BH17" i="54"/>
  <c r="BM128" i="54"/>
  <c r="BH131" i="54"/>
  <c r="BP218" i="54"/>
  <c r="BL250" i="54"/>
  <c r="BH253" i="54"/>
  <c r="BL256" i="54"/>
  <c r="BL259" i="54"/>
  <c r="BP323" i="54"/>
  <c r="BO356" i="54"/>
  <c r="BO362" i="54"/>
  <c r="BM409" i="54"/>
  <c r="BH412" i="54"/>
  <c r="BM421" i="54"/>
  <c r="BM149" i="54"/>
  <c r="BO468" i="54"/>
  <c r="BN17" i="54"/>
  <c r="BP406" i="54"/>
  <c r="C88" i="75"/>
  <c r="BO17" i="54"/>
  <c r="AY17" i="54" s="1"/>
  <c r="BP424" i="54"/>
  <c r="BP17" i="54"/>
  <c r="AZ17" i="54" s="1"/>
  <c r="AZ6" i="54" s="1"/>
  <c r="BP102" i="54"/>
  <c r="C17" i="75"/>
  <c r="BN26" i="54"/>
  <c r="BP73" i="54"/>
  <c r="BM143" i="54"/>
  <c r="BH149" i="54"/>
  <c r="BO218" i="54"/>
  <c r="BH312" i="54"/>
  <c r="BO391" i="54"/>
  <c r="BL406" i="54"/>
  <c r="BM462" i="54"/>
  <c r="BL468" i="54"/>
  <c r="BM471" i="54"/>
  <c r="BP480" i="54"/>
  <c r="BM483" i="54"/>
  <c r="BL491" i="54"/>
  <c r="C140" i="75"/>
  <c r="CP17" i="70"/>
  <c r="C129" i="75"/>
  <c r="M4" i="71"/>
  <c r="BO198" i="54"/>
  <c r="C41" i="75"/>
  <c r="C47" i="75"/>
  <c r="C95" i="75"/>
  <c r="C141" i="75"/>
  <c r="BL32" i="54"/>
  <c r="BP52" i="54"/>
  <c r="BN58" i="54"/>
  <c r="BH73" i="54"/>
  <c r="BH79" i="54"/>
  <c r="BL82" i="54"/>
  <c r="BP198" i="54"/>
  <c r="BL241" i="54"/>
  <c r="BH259" i="54"/>
  <c r="BM297" i="54"/>
  <c r="BO306" i="54"/>
  <c r="BM430" i="54"/>
  <c r="BH480" i="54"/>
  <c r="BH527" i="54"/>
  <c r="BO530" i="54"/>
  <c r="BN547" i="54"/>
  <c r="CO17" i="70"/>
  <c r="BP221" i="54"/>
  <c r="C16" i="75"/>
  <c r="C133" i="75"/>
  <c r="BP430" i="54"/>
  <c r="BP441" i="54"/>
  <c r="BL527" i="54"/>
  <c r="C77" i="75"/>
  <c r="C126" i="75"/>
  <c r="C53" i="75"/>
  <c r="C59" i="75"/>
  <c r="C89" i="75"/>
  <c r="C110" i="75"/>
  <c r="C116" i="75"/>
  <c r="C127" i="75"/>
  <c r="CE18" i="70"/>
  <c r="CQ18" i="70" s="1"/>
  <c r="CD18" i="70"/>
  <c r="CD27" i="70" s="1"/>
  <c r="C145" i="75"/>
  <c r="BL29" i="54"/>
  <c r="BM73" i="54"/>
  <c r="BO146" i="54"/>
  <c r="BP241" i="54"/>
  <c r="BO259" i="54"/>
  <c r="BM309" i="54"/>
  <c r="BN391" i="54"/>
  <c r="BH406" i="54"/>
  <c r="BH468" i="54"/>
  <c r="BM480" i="54"/>
  <c r="BP521" i="54"/>
  <c r="BP559" i="54"/>
  <c r="CR18" i="70"/>
  <c r="CK18" i="70"/>
  <c r="CL18" i="70"/>
  <c r="BM137" i="54"/>
  <c r="BM418" i="54"/>
  <c r="BP26" i="54"/>
  <c r="BO85" i="54"/>
  <c r="BO143" i="54"/>
  <c r="BP547" i="54"/>
  <c r="C43" i="75"/>
  <c r="C124" i="75"/>
  <c r="CH17" i="70"/>
  <c r="CS17" i="70"/>
  <c r="C30" i="75"/>
  <c r="C122" i="75"/>
  <c r="CJ17" i="70"/>
  <c r="C14" i="75"/>
  <c r="C63" i="75"/>
  <c r="C114" i="75"/>
  <c r="C147" i="75"/>
  <c r="M7" i="71"/>
  <c r="CK17" i="70"/>
  <c r="C23" i="75"/>
  <c r="C32" i="75"/>
  <c r="C55" i="75"/>
  <c r="C72" i="75"/>
  <c r="C76" i="75"/>
  <c r="C123" i="75"/>
  <c r="C142" i="75"/>
  <c r="C150" i="75"/>
  <c r="BP20" i="54"/>
  <c r="BL23" i="54"/>
  <c r="BO41" i="54"/>
  <c r="BO49" i="54"/>
  <c r="BO52" i="54"/>
  <c r="BL85" i="54"/>
  <c r="BM97" i="54"/>
  <c r="BL137" i="54"/>
  <c r="BL143" i="54"/>
  <c r="BM152" i="54"/>
  <c r="BM186" i="54"/>
  <c r="BM201" i="54"/>
  <c r="BH204" i="54"/>
  <c r="BO221" i="54"/>
  <c r="BN244" i="54"/>
  <c r="BH247" i="54"/>
  <c r="BO267" i="54"/>
  <c r="BP270" i="54"/>
  <c r="BP300" i="54"/>
  <c r="BL309" i="54"/>
  <c r="BP318" i="54"/>
  <c r="BP412" i="54"/>
  <c r="BL418" i="54"/>
  <c r="BO424" i="54"/>
  <c r="BP435" i="54"/>
  <c r="BO441" i="54"/>
  <c r="BO444" i="54"/>
  <c r="BO447" i="54"/>
  <c r="BL462" i="54"/>
  <c r="BL474" i="54"/>
  <c r="BM486" i="54"/>
  <c r="BM518" i="54"/>
  <c r="BP527" i="54"/>
  <c r="BN530" i="54"/>
  <c r="BL533" i="54"/>
  <c r="BH539" i="54"/>
  <c r="BM547" i="54"/>
  <c r="BO553" i="54"/>
  <c r="BO186" i="54"/>
  <c r="BP137" i="54"/>
  <c r="BO247" i="54"/>
  <c r="BL303" i="54"/>
  <c r="BO462" i="54"/>
  <c r="BO474" i="54"/>
  <c r="BP486" i="54"/>
  <c r="C20" i="75"/>
  <c r="C90" i="75"/>
  <c r="BP85" i="54"/>
  <c r="BP143" i="54"/>
  <c r="BL192" i="54"/>
  <c r="BO204" i="54"/>
  <c r="BP247" i="54"/>
  <c r="BM303" i="54"/>
  <c r="BP418" i="54"/>
  <c r="BP462" i="54"/>
  <c r="BP474" i="54"/>
  <c r="BP533" i="54"/>
  <c r="BO539" i="54"/>
  <c r="M12" i="71"/>
  <c r="CG17" i="70"/>
  <c r="CR17" i="70"/>
  <c r="BE100" i="15"/>
  <c r="BC39" i="15"/>
  <c r="BE43" i="15"/>
  <c r="C48" i="75"/>
  <c r="C57" i="75"/>
  <c r="C70" i="75"/>
  <c r="C78" i="75"/>
  <c r="C85" i="75"/>
  <c r="BO73" i="54"/>
  <c r="BM79" i="54"/>
  <c r="BM91" i="54"/>
  <c r="BP131" i="54"/>
  <c r="BL149" i="54"/>
  <c r="BN157" i="54"/>
  <c r="BM192" i="54"/>
  <c r="BP204" i="54"/>
  <c r="BM212" i="54"/>
  <c r="BO253" i="54"/>
  <c r="BO303" i="54"/>
  <c r="BP312" i="54"/>
  <c r="BO406" i="54"/>
  <c r="BN421" i="54"/>
  <c r="BO430" i="54"/>
  <c r="BM468" i="54"/>
  <c r="BO480" i="54"/>
  <c r="BO521" i="54"/>
  <c r="BP539" i="54"/>
  <c r="BM85" i="54"/>
  <c r="BM474" i="54"/>
  <c r="BO486" i="54"/>
  <c r="C132" i="75"/>
  <c r="BP186" i="54"/>
  <c r="BP273" i="54"/>
  <c r="BO418" i="54"/>
  <c r="CQ17" i="70"/>
  <c r="BE103" i="15"/>
  <c r="C121" i="75"/>
  <c r="BO79" i="54"/>
  <c r="BO91" i="54"/>
  <c r="BP157" i="54"/>
  <c r="BO192" i="54"/>
  <c r="BN212" i="54"/>
  <c r="BL238" i="54"/>
  <c r="BL262" i="54"/>
  <c r="BN556" i="54"/>
  <c r="CI17" i="70"/>
  <c r="C45" i="75"/>
  <c r="C49" i="75"/>
  <c r="C71" i="75"/>
  <c r="C79" i="75"/>
  <c r="C119" i="75"/>
  <c r="C128" i="75"/>
  <c r="BL20" i="54"/>
  <c r="BM38" i="54"/>
  <c r="BP79" i="54"/>
  <c r="BM82" i="54"/>
  <c r="BP91" i="54"/>
  <c r="BN94" i="54"/>
  <c r="BH97" i="54"/>
  <c r="BM134" i="54"/>
  <c r="BO149" i="54"/>
  <c r="BH186" i="54"/>
  <c r="BP192" i="54"/>
  <c r="BO212" i="54"/>
  <c r="BL244" i="54"/>
  <c r="BM262" i="54"/>
  <c r="BN270" i="54"/>
  <c r="BH300" i="54"/>
  <c r="BP306" i="54"/>
  <c r="BM315" i="54"/>
  <c r="BH318" i="54"/>
  <c r="BN335" i="54"/>
  <c r="BL424" i="54"/>
  <c r="BP468" i="54"/>
  <c r="BN471" i="54"/>
  <c r="BN483" i="54"/>
  <c r="BH486" i="54"/>
  <c r="BM527" i="54"/>
  <c r="BP556" i="54"/>
  <c r="K16" i="12"/>
  <c r="BO20" i="54"/>
  <c r="AY20" i="54" s="1"/>
  <c r="BO38" i="54"/>
  <c r="BP82" i="54"/>
  <c r="BH85" i="54"/>
  <c r="BL97" i="54"/>
  <c r="BH137" i="54"/>
  <c r="BH143" i="54"/>
  <c r="BP149" i="54"/>
  <c r="BL152" i="54"/>
  <c r="BL186" i="54"/>
  <c r="BM198" i="54"/>
  <c r="BP212" i="54"/>
  <c r="BP259" i="54"/>
  <c r="BO297" i="54"/>
  <c r="BO300" i="54"/>
  <c r="BO315" i="54"/>
  <c r="BO318" i="54"/>
  <c r="BO412" i="54"/>
  <c r="BH418" i="54"/>
  <c r="BM424" i="54"/>
  <c r="BL435" i="54"/>
  <c r="BH462" i="54"/>
  <c r="BH474" i="54"/>
  <c r="BL486" i="54"/>
  <c r="BO527" i="54"/>
  <c r="BH533" i="54"/>
  <c r="BL547" i="54"/>
  <c r="BA17" i="54"/>
  <c r="BB100" i="15"/>
  <c r="BC16" i="15"/>
  <c r="CD19" i="70"/>
  <c r="CD28" i="70" s="1"/>
  <c r="CD21" i="70"/>
  <c r="CD30" i="70" s="1"/>
  <c r="CD31" i="70"/>
  <c r="CD37" i="70" s="1"/>
  <c r="AU32" i="15"/>
  <c r="AW24" i="15"/>
  <c r="AX12" i="15"/>
  <c r="AU16" i="15"/>
  <c r="AT290" i="54"/>
  <c r="AW29" i="15"/>
  <c r="AV82" i="15"/>
  <c r="K12" i="12"/>
  <c r="M8" i="71"/>
  <c r="BB10" i="54"/>
  <c r="BC10" i="54" s="1"/>
  <c r="K15" i="12"/>
  <c r="M11" i="71"/>
  <c r="AZ109" i="15"/>
  <c r="AO95" i="15"/>
  <c r="AY109" i="15"/>
  <c r="BE95" i="15"/>
  <c r="BE109" i="15"/>
  <c r="AX95" i="15"/>
  <c r="BE81" i="15"/>
  <c r="AM81" i="15"/>
  <c r="AT67" i="15"/>
  <c r="AZ53" i="15"/>
  <c r="AM53" i="15"/>
  <c r="AW39" i="15"/>
  <c r="AQ109" i="15"/>
  <c r="AW81" i="15"/>
  <c r="BC67" i="15"/>
  <c r="AQ67" i="15"/>
  <c r="AU53" i="15"/>
  <c r="AO39" i="15"/>
  <c r="AZ95" i="15"/>
  <c r="AR67" i="15"/>
  <c r="AU25" i="15"/>
  <c r="BA11" i="15"/>
  <c r="AO109" i="15"/>
  <c r="AU95" i="15"/>
  <c r="BA81" i="15"/>
  <c r="AO53" i="15"/>
  <c r="AT25" i="15"/>
  <c r="AZ11" i="15"/>
  <c r="AO11" i="15"/>
  <c r="AU109" i="15"/>
  <c r="AZ67" i="15"/>
  <c r="AQ39" i="15"/>
  <c r="AY25" i="15"/>
  <c r="AT109" i="15"/>
  <c r="AY67" i="15"/>
  <c r="AX25" i="15"/>
  <c r="AS67" i="15"/>
  <c r="BE53" i="15"/>
  <c r="AZ81" i="15"/>
  <c r="AO67" i="15"/>
  <c r="BA53" i="15"/>
  <c r="BE25" i="15"/>
  <c r="BD11" i="15"/>
  <c r="AW53" i="15"/>
  <c r="BE39" i="15"/>
  <c r="AT11" i="15"/>
  <c r="AR53" i="15"/>
  <c r="BD39" i="15"/>
  <c r="BC25" i="15"/>
  <c r="AR11" i="15"/>
  <c r="BB25" i="15"/>
  <c r="BB53" i="15"/>
  <c r="AX11" i="15"/>
  <c r="AX53" i="15"/>
  <c r="AW11" i="15"/>
  <c r="AS95" i="15"/>
  <c r="AS25" i="15"/>
  <c r="AR81" i="15"/>
  <c r="AQ25" i="15"/>
  <c r="BE11" i="15"/>
  <c r="BB95" i="15"/>
  <c r="AO81" i="15"/>
  <c r="AO25" i="15"/>
  <c r="BC11" i="15"/>
  <c r="BB67" i="15"/>
  <c r="AZ25" i="15"/>
  <c r="BA67" i="15"/>
  <c r="AU11" i="15"/>
  <c r="AM39" i="15"/>
  <c r="AV43" i="15"/>
  <c r="AV47" i="15"/>
  <c r="AX94" i="15"/>
  <c r="AS80" i="15"/>
  <c r="AT66" i="15"/>
  <c r="BC38" i="15"/>
  <c r="AR38" i="15"/>
  <c r="AU108" i="15"/>
  <c r="AR94" i="15"/>
  <c r="BB80" i="15"/>
  <c r="BC66" i="15"/>
  <c r="AX52" i="15"/>
  <c r="AY38" i="15"/>
  <c r="AR108" i="15"/>
  <c r="AU94" i="15"/>
  <c r="BB66" i="15"/>
  <c r="AV38" i="15"/>
  <c r="AT24" i="15"/>
  <c r="AT94" i="15"/>
  <c r="AZ80" i="15"/>
  <c r="AZ66" i="15"/>
  <c r="AT38" i="15"/>
  <c r="BD24" i="15"/>
  <c r="AR24" i="15"/>
  <c r="AT108" i="15"/>
  <c r="BE66" i="15"/>
  <c r="AX38" i="15"/>
  <c r="BD66" i="15"/>
  <c r="AS38" i="15"/>
  <c r="BC24" i="15"/>
  <c r="AX66" i="15"/>
  <c r="BC94" i="15"/>
  <c r="AW80" i="15"/>
  <c r="AR66" i="15"/>
  <c r="AW52" i="15"/>
  <c r="AY24" i="15"/>
  <c r="BB38" i="15"/>
  <c r="BE108" i="15"/>
  <c r="AX80" i="15"/>
  <c r="AZ38" i="15"/>
  <c r="AY108" i="15"/>
  <c r="AU80" i="15"/>
  <c r="AU66" i="15"/>
  <c r="AZ24" i="15"/>
  <c r="AU24" i="15"/>
  <c r="AQ52" i="15"/>
  <c r="AQ24" i="15"/>
  <c r="AQ66" i="15"/>
  <c r="AM61" i="15"/>
  <c r="AZ33" i="15"/>
  <c r="BC33" i="15"/>
  <c r="AW19" i="15"/>
  <c r="AT33" i="15"/>
  <c r="AM89" i="15"/>
  <c r="BD19" i="15"/>
  <c r="AY31" i="15"/>
  <c r="AY59" i="15"/>
  <c r="AV56" i="15"/>
  <c r="BB24" i="15"/>
  <c r="BP438" i="54"/>
  <c r="BN438" i="54"/>
  <c r="BO438" i="54"/>
  <c r="C120" i="75"/>
  <c r="BA43" i="15"/>
  <c r="AS29" i="15"/>
  <c r="BC15" i="15"/>
  <c r="AY85" i="15"/>
  <c r="AT15" i="15"/>
  <c r="AQ85" i="15"/>
  <c r="AQ15" i="15"/>
  <c r="AU71" i="15"/>
  <c r="AX35" i="15"/>
  <c r="BD15" i="15"/>
  <c r="CU18" i="70"/>
  <c r="BH183" i="54"/>
  <c r="BP183" i="54"/>
  <c r="BN183" i="54"/>
  <c r="BM183" i="54"/>
  <c r="BL183" i="54"/>
  <c r="C54" i="75"/>
  <c r="BO183" i="54"/>
  <c r="CN18" i="70"/>
  <c r="CL17" i="70"/>
  <c r="CT17" i="70"/>
  <c r="CO18" i="70"/>
  <c r="CD23" i="70"/>
  <c r="CD25" i="70"/>
  <c r="AX43" i="15"/>
  <c r="AW35" i="15"/>
  <c r="BO108" i="54"/>
  <c r="BN108" i="54"/>
  <c r="BP108" i="54"/>
  <c r="C37" i="75"/>
  <c r="BH140" i="54"/>
  <c r="BP140" i="54"/>
  <c r="C44" i="75"/>
  <c r="BM140" i="54"/>
  <c r="BN140" i="54"/>
  <c r="BL140" i="54"/>
  <c r="BO140" i="54"/>
  <c r="CM17" i="70"/>
  <c r="CU17" i="70"/>
  <c r="CH18" i="70"/>
  <c r="AU93" i="15"/>
  <c r="AQ78" i="15"/>
  <c r="BA110" i="15"/>
  <c r="AX110" i="15"/>
  <c r="BC96" i="15"/>
  <c r="AU110" i="15"/>
  <c r="AW96" i="15"/>
  <c r="AS96" i="15"/>
  <c r="AY82" i="15"/>
  <c r="BD68" i="15"/>
  <c r="BD54" i="15"/>
  <c r="AO54" i="15"/>
  <c r="AS40" i="15"/>
  <c r="AS110" i="15"/>
  <c r="AU82" i="15"/>
  <c r="AW68" i="15"/>
  <c r="AW54" i="15"/>
  <c r="BE110" i="15"/>
  <c r="BE96" i="15"/>
  <c r="AW26" i="15"/>
  <c r="BE12" i="15"/>
  <c r="AZ110" i="15"/>
  <c r="AV96" i="15"/>
  <c r="BE68" i="15"/>
  <c r="AZ54" i="15"/>
  <c r="AU26" i="15"/>
  <c r="BB12" i="15"/>
  <c r="AT68" i="15"/>
  <c r="AT40" i="15"/>
  <c r="BD26" i="15"/>
  <c r="AZ12" i="15"/>
  <c r="AM12" i="15"/>
  <c r="AO12" i="15" s="1"/>
  <c r="AR96" i="15"/>
  <c r="AR68" i="15"/>
  <c r="BE54" i="15"/>
  <c r="BC26" i="15"/>
  <c r="AM26" i="15"/>
  <c r="AU54" i="15"/>
  <c r="AR54" i="15"/>
  <c r="AT26" i="15"/>
  <c r="AS12" i="15"/>
  <c r="AS54" i="15"/>
  <c r="BE26" i="15"/>
  <c r="BB26" i="15"/>
  <c r="BA26" i="15"/>
  <c r="AZ68" i="15"/>
  <c r="AU12" i="15"/>
  <c r="AU68" i="15"/>
  <c r="AR12" i="15"/>
  <c r="BE40" i="15"/>
  <c r="BC68" i="15"/>
  <c r="BA82" i="15"/>
  <c r="AS26" i="15"/>
  <c r="AX82" i="15"/>
  <c r="AM54" i="15"/>
  <c r="AR26" i="15"/>
  <c r="AX47" i="15"/>
  <c r="BC105" i="15"/>
  <c r="AZ105" i="15"/>
  <c r="AX105" i="15"/>
  <c r="AQ105" i="15"/>
  <c r="AZ91" i="15"/>
  <c r="AW63" i="15"/>
  <c r="AV35" i="15"/>
  <c r="AZ77" i="15"/>
  <c r="BD35" i="15"/>
  <c r="AT105" i="15"/>
  <c r="AR77" i="15"/>
  <c r="BA63" i="15"/>
  <c r="AS35" i="15"/>
  <c r="AU21" i="15"/>
  <c r="AR105" i="15"/>
  <c r="AZ63" i="15"/>
  <c r="AS91" i="15"/>
  <c r="AW77" i="15"/>
  <c r="AR63" i="15"/>
  <c r="BE21" i="15"/>
  <c r="BC21" i="15"/>
  <c r="AY35" i="15"/>
  <c r="BE91" i="15"/>
  <c r="BE105" i="15"/>
  <c r="BC91" i="15"/>
  <c r="AZ21" i="15"/>
  <c r="AU91" i="15"/>
  <c r="BC77" i="15"/>
  <c r="BC63" i="15"/>
  <c r="BA35" i="15"/>
  <c r="AX77" i="15"/>
  <c r="AX63" i="15"/>
  <c r="AQ21" i="15"/>
  <c r="AT63" i="15"/>
  <c r="BE34" i="15"/>
  <c r="BA20" i="15"/>
  <c r="AQ62" i="15"/>
  <c r="BC34" i="15"/>
  <c r="AT34" i="15"/>
  <c r="BB90" i="15"/>
  <c r="BD34" i="15"/>
  <c r="AY20" i="15"/>
  <c r="AS76" i="15"/>
  <c r="BD48" i="15"/>
  <c r="BP379" i="54"/>
  <c r="BL379" i="54"/>
  <c r="BM379" i="54"/>
  <c r="BO379" i="54"/>
  <c r="BN379" i="54"/>
  <c r="C105" i="75"/>
  <c r="BN329" i="54"/>
  <c r="BP329" i="54"/>
  <c r="BO329" i="54"/>
  <c r="C93" i="75"/>
  <c r="BD62" i="15"/>
  <c r="CF17" i="70"/>
  <c r="BC29" i="15"/>
  <c r="AM33" i="15"/>
  <c r="AW12" i="15"/>
  <c r="AX76" i="15"/>
  <c r="BO88" i="54"/>
  <c r="BH88" i="54"/>
  <c r="BL88" i="54"/>
  <c r="C31" i="75"/>
  <c r="BN88" i="54"/>
  <c r="BM88" i="54"/>
  <c r="BA99" i="15"/>
  <c r="AX99" i="15"/>
  <c r="BD85" i="15"/>
  <c r="BD71" i="15"/>
  <c r="AX57" i="15"/>
  <c r="BB43" i="15"/>
  <c r="AM43" i="15"/>
  <c r="BD29" i="15"/>
  <c r="AT29" i="15"/>
  <c r="BB99" i="15"/>
  <c r="AV85" i="15"/>
  <c r="AV71" i="15"/>
  <c r="AT57" i="15"/>
  <c r="AT43" i="15"/>
  <c r="BA29" i="15"/>
  <c r="BD99" i="15"/>
  <c r="AT85" i="15"/>
  <c r="AT71" i="15"/>
  <c r="BD57" i="15"/>
  <c r="BB29" i="15"/>
  <c r="AY15" i="15"/>
  <c r="AW99" i="15"/>
  <c r="AS85" i="15"/>
  <c r="AQ71" i="15"/>
  <c r="BB57" i="15"/>
  <c r="AY29" i="15"/>
  <c r="AM29" i="15"/>
  <c r="AW15" i="15"/>
  <c r="AM15" i="15"/>
  <c r="AO15" i="15" s="1"/>
  <c r="AM71" i="15"/>
  <c r="AV57" i="15"/>
  <c r="AZ43" i="15"/>
  <c r="AV29" i="15"/>
  <c r="BE15" i="15"/>
  <c r="AS15" i="15"/>
  <c r="AS57" i="15"/>
  <c r="AR43" i="15"/>
  <c r="AU29" i="15"/>
  <c r="BE85" i="15"/>
  <c r="BE71" i="15"/>
  <c r="AR57" i="15"/>
  <c r="AQ99" i="15"/>
  <c r="AW85" i="15"/>
  <c r="AW71" i="15"/>
  <c r="BA15" i="15"/>
  <c r="BE57" i="15"/>
  <c r="AQ29" i="15"/>
  <c r="BB15" i="15"/>
  <c r="BA57" i="15"/>
  <c r="AV15" i="15"/>
  <c r="AV99" i="15"/>
  <c r="AW57" i="15"/>
  <c r="AU15" i="15"/>
  <c r="AY71" i="15"/>
  <c r="BE29" i="15"/>
  <c r="AZ103" i="15"/>
  <c r="AX103" i="15"/>
  <c r="BB103" i="15"/>
  <c r="AU89" i="15"/>
  <c r="BA75" i="15"/>
  <c r="BA61" i="15"/>
  <c r="AO61" i="15"/>
  <c r="BA33" i="15"/>
  <c r="AQ33" i="15"/>
  <c r="AT103" i="15"/>
  <c r="BE89" i="15"/>
  <c r="AV75" i="15"/>
  <c r="AW61" i="15"/>
  <c r="AX33" i="15"/>
  <c r="BA103" i="15"/>
  <c r="AZ89" i="15"/>
  <c r="BD75" i="15"/>
  <c r="AZ61" i="15"/>
  <c r="AO47" i="15"/>
  <c r="AW33" i="15"/>
  <c r="BB19" i="15"/>
  <c r="AU103" i="15"/>
  <c r="AX89" i="15"/>
  <c r="AZ75" i="15"/>
  <c r="AX61" i="15"/>
  <c r="AU33" i="15"/>
  <c r="AY19" i="15"/>
  <c r="BA89" i="15"/>
  <c r="AY75" i="15"/>
  <c r="BE61" i="15"/>
  <c r="AO33" i="15"/>
  <c r="BC19" i="15"/>
  <c r="AM103" i="15"/>
  <c r="AS89" i="15"/>
  <c r="AU75" i="15"/>
  <c r="BB61" i="15"/>
  <c r="BE33" i="15"/>
  <c r="AX19" i="15"/>
  <c r="AM19" i="15"/>
  <c r="AO19" i="15" s="1"/>
  <c r="AR89" i="15"/>
  <c r="AR75" i="15"/>
  <c r="AV61" i="15"/>
  <c r="BE47" i="15"/>
  <c r="AO89" i="15"/>
  <c r="AR61" i="15"/>
  <c r="AY33" i="15"/>
  <c r="AU19" i="15"/>
  <c r="AO103" i="15"/>
  <c r="BD89" i="15"/>
  <c r="AR33" i="15"/>
  <c r="AQ75" i="15"/>
  <c r="BE19" i="15"/>
  <c r="AT19" i="15"/>
  <c r="AS19" i="15"/>
  <c r="BD47" i="15"/>
  <c r="AZ28" i="15"/>
  <c r="AY28" i="15"/>
  <c r="AV84" i="15"/>
  <c r="AS37" i="15"/>
  <c r="AY23" i="15"/>
  <c r="AV19" i="15"/>
  <c r="AT37" i="15"/>
  <c r="AQ43" i="15"/>
  <c r="AT61" i="15"/>
  <c r="AX39" i="15"/>
  <c r="AV40" i="15"/>
  <c r="AX97" i="15"/>
  <c r="AU97" i="15"/>
  <c r="BA97" i="15"/>
  <c r="AX69" i="15"/>
  <c r="AU55" i="15"/>
  <c r="AX41" i="15"/>
  <c r="AM97" i="15"/>
  <c r="BD55" i="15"/>
  <c r="BD41" i="15"/>
  <c r="BE13" i="15"/>
  <c r="AT55" i="15"/>
  <c r="AW41" i="15"/>
  <c r="AW13" i="15"/>
  <c r="AT83" i="15"/>
  <c r="AS69" i="15"/>
  <c r="AY27" i="15"/>
  <c r="AQ27" i="15"/>
  <c r="AS55" i="15"/>
  <c r="AT69" i="15"/>
  <c r="BA27" i="15"/>
  <c r="AZ27" i="15"/>
  <c r="AY43" i="15"/>
  <c r="AW44" i="15"/>
  <c r="AZ101" i="15"/>
  <c r="AY101" i="15"/>
  <c r="AW87" i="15"/>
  <c r="BB73" i="15"/>
  <c r="AM87" i="15"/>
  <c r="AX59" i="15"/>
  <c r="AR45" i="15"/>
  <c r="AM31" i="15"/>
  <c r="AY87" i="15"/>
  <c r="AW59" i="15"/>
  <c r="AW31" i="15"/>
  <c r="BE45" i="15"/>
  <c r="AV31" i="15"/>
  <c r="BE17" i="15"/>
  <c r="BC101" i="15"/>
  <c r="AM73" i="15"/>
  <c r="AW17" i="15"/>
  <c r="AM59" i="15"/>
  <c r="BE73" i="15"/>
  <c r="AO31" i="15"/>
  <c r="AV17" i="15"/>
  <c r="AT17" i="15"/>
  <c r="BB87" i="15"/>
  <c r="AY47" i="15"/>
  <c r="AV49" i="15"/>
  <c r="AR44" i="15"/>
  <c r="AM58" i="15"/>
  <c r="AR86" i="15"/>
  <c r="AU72" i="15"/>
  <c r="AT16" i="15"/>
  <c r="AQ72" i="15"/>
  <c r="AS16" i="15"/>
  <c r="AZ58" i="15"/>
  <c r="BH415" i="54"/>
  <c r="BP415" i="54"/>
  <c r="BL415" i="54"/>
  <c r="BN415" i="54"/>
  <c r="BO415" i="54"/>
  <c r="BM415" i="54"/>
  <c r="BH465" i="54"/>
  <c r="BP465" i="54"/>
  <c r="BL465" i="54"/>
  <c r="BO465" i="54"/>
  <c r="BM465" i="54"/>
  <c r="BN465" i="54"/>
  <c r="C125" i="75"/>
  <c r="AU13" i="15"/>
  <c r="AU58" i="15"/>
  <c r="BE86" i="15"/>
  <c r="AZ23" i="15"/>
  <c r="AV13" i="15"/>
  <c r="AO27" i="15"/>
  <c r="BA73" i="15"/>
  <c r="BD83" i="15"/>
  <c r="AY39" i="15"/>
  <c r="AW40" i="15"/>
  <c r="AV41" i="15"/>
  <c r="AX44" i="15"/>
  <c r="AV45" i="15"/>
  <c r="AR47" i="15"/>
  <c r="AZ47" i="15"/>
  <c r="BE78" i="15"/>
  <c r="AZ92" i="15"/>
  <c r="BA92" i="15"/>
  <c r="AQ64" i="15"/>
  <c r="AS51" i="15"/>
  <c r="BA51" i="15"/>
  <c r="AY52" i="15"/>
  <c r="BL41" i="54"/>
  <c r="BH41" i="54"/>
  <c r="BM41" i="54"/>
  <c r="BP41" i="54"/>
  <c r="BN46" i="54"/>
  <c r="BM46" i="54"/>
  <c r="BO46" i="54"/>
  <c r="BL46" i="54"/>
  <c r="BO76" i="54"/>
  <c r="BP76" i="54"/>
  <c r="BM76" i="54"/>
  <c r="BL76" i="54"/>
  <c r="BH76" i="54"/>
  <c r="C27" i="75"/>
  <c r="BN76" i="54"/>
  <c r="BL374" i="54"/>
  <c r="BH374" i="54"/>
  <c r="BM374" i="54"/>
  <c r="BN374" i="54"/>
  <c r="BO374" i="54"/>
  <c r="BH195" i="54"/>
  <c r="BP195" i="54"/>
  <c r="BN195" i="54"/>
  <c r="BL195" i="54"/>
  <c r="BM195" i="54"/>
  <c r="BO195" i="54"/>
  <c r="C58" i="75"/>
  <c r="AS39" i="15"/>
  <c r="BA39" i="15"/>
  <c r="AQ40" i="15"/>
  <c r="AY40" i="15"/>
  <c r="AZ44" i="15"/>
  <c r="AX45" i="15"/>
  <c r="AT47" i="15"/>
  <c r="BB47" i="15"/>
  <c r="AR48" i="15"/>
  <c r="AQ49" i="15"/>
  <c r="AY49" i="15"/>
  <c r="BA107" i="15"/>
  <c r="AU107" i="15"/>
  <c r="AR107" i="15"/>
  <c r="BB79" i="15"/>
  <c r="BE37" i="15"/>
  <c r="AY65" i="15"/>
  <c r="AW65" i="15"/>
  <c r="AS93" i="15"/>
  <c r="AY79" i="15"/>
  <c r="BC37" i="15"/>
  <c r="AS52" i="15"/>
  <c r="BA52" i="15"/>
  <c r="BE46" i="15"/>
  <c r="AR88" i="15"/>
  <c r="AM60" i="15"/>
  <c r="BP46" i="54"/>
  <c r="BO238" i="54"/>
  <c r="BH238" i="54"/>
  <c r="BN238" i="54"/>
  <c r="BM238" i="54"/>
  <c r="C68" i="75"/>
  <c r="BL368" i="54"/>
  <c r="BH368" i="54"/>
  <c r="BM368" i="54"/>
  <c r="BO368" i="54"/>
  <c r="BN368" i="54"/>
  <c r="BB40" i="15"/>
  <c r="AW43" i="15"/>
  <c r="AV100" i="15"/>
  <c r="AR100" i="15"/>
  <c r="AQ100" i="15"/>
  <c r="AT86" i="15"/>
  <c r="AT72" i="15"/>
  <c r="BD44" i="15"/>
  <c r="AX30" i="15"/>
  <c r="AY58" i="15"/>
  <c r="AO44" i="15"/>
  <c r="AO30" i="15"/>
  <c r="AQ86" i="15"/>
  <c r="AT58" i="15"/>
  <c r="AY30" i="15"/>
  <c r="AW30" i="15"/>
  <c r="BE16" i="15"/>
  <c r="AW47" i="15"/>
  <c r="BD104" i="15"/>
  <c r="AX104" i="15"/>
  <c r="AV104" i="15"/>
  <c r="AQ90" i="15"/>
  <c r="AS62" i="15"/>
  <c r="AZ48" i="15"/>
  <c r="AU34" i="15"/>
  <c r="AY104" i="15"/>
  <c r="AT76" i="15"/>
  <c r="AM62" i="15"/>
  <c r="AM48" i="15"/>
  <c r="BB62" i="15"/>
  <c r="BB48" i="15"/>
  <c r="AQ34" i="15"/>
  <c r="AX20" i="15"/>
  <c r="BD90" i="15"/>
  <c r="BA62" i="15"/>
  <c r="AW48" i="15"/>
  <c r="AV20" i="15"/>
  <c r="AT49" i="15"/>
  <c r="BB49" i="15"/>
  <c r="AV52" i="15"/>
  <c r="AV34" i="15"/>
  <c r="AR62" i="15"/>
  <c r="AR72" i="15"/>
  <c r="AV76" i="15"/>
  <c r="AU86" i="15"/>
  <c r="AS90" i="15"/>
  <c r="BL189" i="54"/>
  <c r="BP371" i="54"/>
  <c r="BO371" i="54"/>
  <c r="BM371" i="54"/>
  <c r="BH371" i="54"/>
  <c r="BL371" i="54"/>
  <c r="BH536" i="54"/>
  <c r="BP536" i="54"/>
  <c r="BL536" i="54"/>
  <c r="BO536" i="54"/>
  <c r="BM536" i="54"/>
  <c r="BN536" i="54"/>
  <c r="AS104" i="15"/>
  <c r="BH146" i="54"/>
  <c r="BP146" i="54"/>
  <c r="BN146" i="54"/>
  <c r="BL146" i="54"/>
  <c r="BM146" i="54"/>
  <c r="BP332" i="54"/>
  <c r="BN332" i="54"/>
  <c r="BL350" i="54"/>
  <c r="BH350" i="54"/>
  <c r="BM350" i="54"/>
  <c r="BO350" i="54"/>
  <c r="BN350" i="54"/>
  <c r="BP388" i="54"/>
  <c r="BN388" i="54"/>
  <c r="C108" i="75"/>
  <c r="BH524" i="54"/>
  <c r="BP524" i="54"/>
  <c r="BL524" i="54"/>
  <c r="BO524" i="54"/>
  <c r="BM524" i="54"/>
  <c r="BO111" i="54"/>
  <c r="BN111" i="54"/>
  <c r="BH189" i="54"/>
  <c r="BP189" i="54"/>
  <c r="BM189" i="54"/>
  <c r="BN224" i="54"/>
  <c r="BP224" i="54"/>
  <c r="BO224" i="54"/>
  <c r="BN500" i="54"/>
  <c r="BO500" i="54"/>
  <c r="BP500" i="54"/>
  <c r="AX16" i="15"/>
  <c r="AZ30" i="15"/>
  <c r="AO58" i="15"/>
  <c r="BP32" i="54"/>
  <c r="BN32" i="54"/>
  <c r="BO32" i="54"/>
  <c r="BH32" i="54"/>
  <c r="BH207" i="54"/>
  <c r="BP207" i="54"/>
  <c r="BL207" i="54"/>
  <c r="BN207" i="54"/>
  <c r="BO207" i="54"/>
  <c r="BL323" i="54"/>
  <c r="BM323" i="54"/>
  <c r="BN323" i="54"/>
  <c r="BP359" i="54"/>
  <c r="BO359" i="54"/>
  <c r="BM359" i="54"/>
  <c r="BN359" i="54"/>
  <c r="BL359" i="54"/>
  <c r="BP365" i="54"/>
  <c r="BO365" i="54"/>
  <c r="BM365" i="54"/>
  <c r="BN365" i="54"/>
  <c r="BH365" i="54"/>
  <c r="BH427" i="54"/>
  <c r="BP427" i="54"/>
  <c r="BL427" i="54"/>
  <c r="BN427" i="54"/>
  <c r="BN494" i="54"/>
  <c r="BO494" i="54"/>
  <c r="AZ39" i="15"/>
  <c r="AO40" i="15"/>
  <c r="AX40" i="15"/>
  <c r="AM41" i="15"/>
  <c r="BD98" i="15"/>
  <c r="BC98" i="15"/>
  <c r="AX84" i="15"/>
  <c r="AY44" i="15"/>
  <c r="AM45" i="15"/>
  <c r="AW45" i="15"/>
  <c r="AT32" i="15"/>
  <c r="AS47" i="15"/>
  <c r="BA47" i="15"/>
  <c r="AY48" i="15"/>
  <c r="AX49" i="15"/>
  <c r="AV50" i="15"/>
  <c r="AT51" i="15"/>
  <c r="BB51" i="15"/>
  <c r="AR52" i="15"/>
  <c r="AZ52" i="15"/>
  <c r="BP49" i="54"/>
  <c r="BN49" i="54"/>
  <c r="BO105" i="54"/>
  <c r="BN105" i="54"/>
  <c r="BH128" i="54"/>
  <c r="BP128" i="54"/>
  <c r="BO128" i="54"/>
  <c r="BP215" i="54"/>
  <c r="BN215" i="54"/>
  <c r="BO262" i="54"/>
  <c r="BH262" i="54"/>
  <c r="BP262" i="54"/>
  <c r="BP267" i="54"/>
  <c r="BL267" i="54"/>
  <c r="BN267" i="54"/>
  <c r="AQ102" i="15"/>
  <c r="BP23" i="54"/>
  <c r="BN23" i="54"/>
  <c r="BH23" i="54"/>
  <c r="BO23" i="54"/>
  <c r="BO94" i="54"/>
  <c r="BM94" i="54"/>
  <c r="BH94" i="54"/>
  <c r="BO250" i="54"/>
  <c r="BH250" i="54"/>
  <c r="BP250" i="54"/>
  <c r="BO326" i="54"/>
  <c r="BH477" i="54"/>
  <c r="BP477" i="54"/>
  <c r="BL477" i="54"/>
  <c r="BO477" i="54"/>
  <c r="BM477" i="54"/>
  <c r="BP494" i="54"/>
  <c r="M6" i="71"/>
  <c r="K10" i="12"/>
  <c r="BM17" i="54"/>
  <c r="AV17" i="54" s="1"/>
  <c r="BL17" i="54"/>
  <c r="BL26" i="54"/>
  <c r="BH26" i="54"/>
  <c r="BO26" i="54"/>
  <c r="BN82" i="54"/>
  <c r="BO102" i="54"/>
  <c r="BN102" i="54"/>
  <c r="BL102" i="54"/>
  <c r="BO169" i="54"/>
  <c r="BP276" i="54"/>
  <c r="BN276" i="54"/>
  <c r="BP353" i="54"/>
  <c r="BO353" i="54"/>
  <c r="BM353" i="54"/>
  <c r="BH471" i="54"/>
  <c r="BP471" i="54"/>
  <c r="BL471" i="54"/>
  <c r="BH483" i="54"/>
  <c r="BP483" i="54"/>
  <c r="BL483" i="54"/>
  <c r="BO497" i="54"/>
  <c r="BN497" i="54"/>
  <c r="BP497" i="54"/>
  <c r="BH518" i="54"/>
  <c r="BP518" i="54"/>
  <c r="BL518" i="54"/>
  <c r="BH530" i="54"/>
  <c r="BP530" i="54"/>
  <c r="BL530" i="54"/>
  <c r="BH542" i="54"/>
  <c r="BP542" i="54"/>
  <c r="BL542" i="54"/>
  <c r="BM35" i="54"/>
  <c r="BL35" i="54"/>
  <c r="BP35" i="54"/>
  <c r="BH152" i="54"/>
  <c r="BP152" i="54"/>
  <c r="BO152" i="54"/>
  <c r="BP169" i="54"/>
  <c r="BH201" i="54"/>
  <c r="BP201" i="54"/>
  <c r="BL201" i="54"/>
  <c r="BL356" i="54"/>
  <c r="BH356" i="54"/>
  <c r="BM356" i="54"/>
  <c r="BH409" i="54"/>
  <c r="BP409" i="54"/>
  <c r="BL409" i="54"/>
  <c r="BH421" i="54"/>
  <c r="BP421" i="54"/>
  <c r="BL421" i="54"/>
  <c r="BN29" i="54"/>
  <c r="BM29" i="54"/>
  <c r="BH29" i="54"/>
  <c r="BO29" i="54"/>
  <c r="BM102" i="54"/>
  <c r="BH134" i="54"/>
  <c r="BP134" i="54"/>
  <c r="BO134" i="54"/>
  <c r="BP166" i="54"/>
  <c r="BN166" i="54"/>
  <c r="BO244" i="54"/>
  <c r="BH244" i="54"/>
  <c r="BP244" i="54"/>
  <c r="BO256" i="54"/>
  <c r="BH256" i="54"/>
  <c r="BP256" i="54"/>
  <c r="BO276" i="54"/>
  <c r="BL362" i="54"/>
  <c r="BH362" i="54"/>
  <c r="BM362" i="54"/>
  <c r="BN503" i="54"/>
  <c r="BO503" i="54"/>
  <c r="BN294" i="54"/>
  <c r="BN300" i="54"/>
  <c r="BN306" i="54"/>
  <c r="BN312" i="54"/>
  <c r="BN318" i="54"/>
  <c r="BO435" i="54"/>
  <c r="BO491" i="54"/>
  <c r="BH20" i="54"/>
  <c r="BN38" i="54"/>
  <c r="BN297" i="54"/>
  <c r="BN303" i="54"/>
  <c r="BN309" i="54"/>
  <c r="BN315" i="54"/>
  <c r="BN553" i="54"/>
  <c r="BM20" i="54"/>
  <c r="AV20" i="54" s="1"/>
  <c r="AV6" i="54" s="1"/>
  <c r="H3" i="54" s="1"/>
  <c r="BN131" i="54"/>
  <c r="BN137" i="54"/>
  <c r="BM241" i="54"/>
  <c r="BM247" i="54"/>
  <c r="BM253" i="54"/>
  <c r="BM259" i="54"/>
  <c r="BO279" i="54"/>
  <c r="BL294" i="54"/>
  <c r="BL300" i="54"/>
  <c r="BL306" i="54"/>
  <c r="BL312" i="54"/>
  <c r="BL318" i="54"/>
  <c r="BO335" i="54"/>
  <c r="BM435" i="54"/>
  <c r="BM491" i="54"/>
  <c r="BN559" i="54"/>
  <c r="AZ98" i="15"/>
  <c r="AR98" i="15"/>
  <c r="BC84" i="15"/>
  <c r="AU84" i="15"/>
  <c r="AM84" i="15"/>
  <c r="AX70" i="15"/>
  <c r="BE98" i="15"/>
  <c r="AW98" i="15"/>
  <c r="AO98" i="15"/>
  <c r="AZ84" i="15"/>
  <c r="AR84" i="15"/>
  <c r="BC70" i="15"/>
  <c r="AU70" i="15"/>
  <c r="AM70" i="15"/>
  <c r="AY98" i="15"/>
  <c r="BD84" i="15"/>
  <c r="AS84" i="15"/>
  <c r="BE70" i="15"/>
  <c r="AT70" i="15"/>
  <c r="AZ56" i="15"/>
  <c r="AR56" i="15"/>
  <c r="AQ42" i="15"/>
  <c r="BE28" i="15"/>
  <c r="AW28" i="15"/>
  <c r="AO28" i="15"/>
  <c r="BD14" i="15"/>
  <c r="AV14" i="15"/>
  <c r="AM14" i="15"/>
  <c r="AO14" i="15" s="1"/>
  <c r="BB98" i="15"/>
  <c r="AY84" i="15"/>
  <c r="BA70" i="15"/>
  <c r="BC56" i="15"/>
  <c r="AT56" i="15"/>
  <c r="BA98" i="15"/>
  <c r="AW84" i="15"/>
  <c r="AY70" i="15"/>
  <c r="AY56" i="15"/>
  <c r="AO56" i="15"/>
  <c r="AW42" i="15"/>
  <c r="BA28" i="15"/>
  <c r="AR28" i="15"/>
  <c r="AZ14" i="15"/>
  <c r="AQ14" i="15"/>
  <c r="AV98" i="15"/>
  <c r="AQ84" i="15"/>
  <c r="AS70" i="15"/>
  <c r="BD56" i="15"/>
  <c r="AQ56" i="15"/>
  <c r="BE42" i="15"/>
  <c r="AV28" i="15"/>
  <c r="BC14" i="15"/>
  <c r="AS14" i="15"/>
  <c r="AU98" i="15"/>
  <c r="AR70" i="15"/>
  <c r="BB56" i="15"/>
  <c r="BD42" i="15"/>
  <c r="AU28" i="15"/>
  <c r="BB14" i="15"/>
  <c r="AR14" i="15"/>
  <c r="AQ98" i="15"/>
  <c r="BA84" i="15"/>
  <c r="BB70" i="15"/>
  <c r="AO70" i="15"/>
  <c r="AW56" i="15"/>
  <c r="BB28" i="15"/>
  <c r="AQ28" i="15"/>
  <c r="AT98" i="15"/>
  <c r="BE84" i="15"/>
  <c r="AO84" i="15"/>
  <c r="AQ70" i="15"/>
  <c r="BA56" i="15"/>
  <c r="AZ42" i="15"/>
  <c r="BD28" i="15"/>
  <c r="AT28" i="15"/>
  <c r="BA14" i="15"/>
  <c r="AS98" i="15"/>
  <c r="BB84" i="15"/>
  <c r="BD70" i="15"/>
  <c r="AX56" i="15"/>
  <c r="AM56" i="15"/>
  <c r="AV42" i="15"/>
  <c r="BC28" i="15"/>
  <c r="AS28" i="15"/>
  <c r="AY14" i="15"/>
  <c r="AU42" i="15"/>
  <c r="AX98" i="15"/>
  <c r="AM98" i="15"/>
  <c r="AT84" i="15"/>
  <c r="AV70" i="15"/>
  <c r="BE56" i="15"/>
  <c r="AS56" i="15"/>
  <c r="AO42" i="15"/>
  <c r="AX28" i="15"/>
  <c r="AM28" i="15"/>
  <c r="BE14" i="15"/>
  <c r="AT14" i="15"/>
  <c r="AX14" i="15"/>
  <c r="BC42" i="15"/>
  <c r="BD102" i="15"/>
  <c r="AV102" i="15"/>
  <c r="AY88" i="15"/>
  <c r="AQ88" i="15"/>
  <c r="BB74" i="15"/>
  <c r="AT74" i="15"/>
  <c r="BA102" i="15"/>
  <c r="AS102" i="15"/>
  <c r="BD88" i="15"/>
  <c r="AV88" i="15"/>
  <c r="AY74" i="15"/>
  <c r="AQ74" i="15"/>
  <c r="BE102" i="15"/>
  <c r="AT102" i="15"/>
  <c r="AW88" i="15"/>
  <c r="AM88" i="15"/>
  <c r="AX74" i="15"/>
  <c r="BD60" i="15"/>
  <c r="AV60" i="15"/>
  <c r="AR46" i="15"/>
  <c r="BA32" i="15"/>
  <c r="AS32" i="15"/>
  <c r="BD18" i="15"/>
  <c r="AV18" i="15"/>
  <c r="AM18" i="15"/>
  <c r="AO18" i="15" s="1"/>
  <c r="AU102" i="15"/>
  <c r="BB88" i="15"/>
  <c r="BD74" i="15"/>
  <c r="AR74" i="15"/>
  <c r="AX60" i="15"/>
  <c r="AO60" i="15"/>
  <c r="BB102" i="15"/>
  <c r="AO102" i="15"/>
  <c r="AT88" i="15"/>
  <c r="AW74" i="15"/>
  <c r="BE60" i="15"/>
  <c r="AT60" i="15"/>
  <c r="AQ46" i="15"/>
  <c r="AW32" i="15"/>
  <c r="BB18" i="15"/>
  <c r="AS18" i="15"/>
  <c r="AR102" i="15"/>
  <c r="BC102" i="15"/>
  <c r="AM102" i="15"/>
  <c r="BA88" i="15"/>
  <c r="BC74" i="15"/>
  <c r="AS60" i="15"/>
  <c r="BB32" i="15"/>
  <c r="AQ32" i="15"/>
  <c r="BC18" i="15"/>
  <c r="AR18" i="15"/>
  <c r="AZ102" i="15"/>
  <c r="AZ88" i="15"/>
  <c r="BA74" i="15"/>
  <c r="AM74" i="15"/>
  <c r="BC60" i="15"/>
  <c r="AR60" i="15"/>
  <c r="AO46" i="15"/>
  <c r="AZ32" i="15"/>
  <c r="BA18" i="15"/>
  <c r="AQ18" i="15"/>
  <c r="AS88" i="15"/>
  <c r="AU74" i="15"/>
  <c r="AY102" i="15"/>
  <c r="AX88" i="15"/>
  <c r="AZ74" i="15"/>
  <c r="BB60" i="15"/>
  <c r="AQ60" i="15"/>
  <c r="AY32" i="15"/>
  <c r="AO32" i="15"/>
  <c r="AZ18" i="15"/>
  <c r="AX102" i="15"/>
  <c r="AU88" i="15"/>
  <c r="AV74" i="15"/>
  <c r="BA60" i="15"/>
  <c r="AX32" i="15"/>
  <c r="AY18" i="15"/>
  <c r="AW102" i="15"/>
  <c r="AZ60" i="15"/>
  <c r="BC88" i="15"/>
  <c r="AO88" i="15"/>
  <c r="BE74" i="15"/>
  <c r="AO74" i="15"/>
  <c r="AU60" i="15"/>
  <c r="BD46" i="15"/>
  <c r="BC32" i="15"/>
  <c r="AR32" i="15"/>
  <c r="BE18" i="15"/>
  <c r="AT18" i="15"/>
  <c r="AV32" i="15"/>
  <c r="AM32" i="15"/>
  <c r="AX18" i="15"/>
  <c r="AU46" i="15"/>
  <c r="BC46" i="15"/>
  <c r="AW18" i="15"/>
  <c r="BD50" i="15"/>
  <c r="AU56" i="15"/>
  <c r="AY60" i="15"/>
  <c r="AS74" i="15"/>
  <c r="AV106" i="15"/>
  <c r="AV22" i="15"/>
  <c r="BD32" i="15"/>
  <c r="AR36" i="15"/>
  <c r="AS64" i="15"/>
  <c r="AW70" i="15"/>
  <c r="BD78" i="15"/>
  <c r="BE88" i="15"/>
  <c r="AU14" i="15"/>
  <c r="AW22" i="15"/>
  <c r="BE32" i="15"/>
  <c r="BA36" i="15"/>
  <c r="AR42" i="15"/>
  <c r="BD64" i="15"/>
  <c r="AZ70" i="15"/>
  <c r="AT42" i="15"/>
  <c r="BB42" i="15"/>
  <c r="AT46" i="15"/>
  <c r="BB46" i="15"/>
  <c r="BC106" i="15"/>
  <c r="AU106" i="15"/>
  <c r="AX92" i="15"/>
  <c r="BA78" i="15"/>
  <c r="AS78" i="15"/>
  <c r="AZ106" i="15"/>
  <c r="AR106" i="15"/>
  <c r="BC92" i="15"/>
  <c r="AU92" i="15"/>
  <c r="AX78" i="15"/>
  <c r="BD106" i="15"/>
  <c r="AS106" i="15"/>
  <c r="BE92" i="15"/>
  <c r="AT92" i="15"/>
  <c r="AW78" i="15"/>
  <c r="AU64" i="15"/>
  <c r="AY36" i="15"/>
  <c r="AQ36" i="15"/>
  <c r="BC22" i="15"/>
  <c r="AU22" i="15"/>
  <c r="BB106" i="15"/>
  <c r="AV92" i="15"/>
  <c r="BB78" i="15"/>
  <c r="AW64" i="15"/>
  <c r="AQ106" i="15"/>
  <c r="AS92" i="15"/>
  <c r="BC78" i="15"/>
  <c r="BB64" i="15"/>
  <c r="AR64" i="15"/>
  <c r="BD36" i="15"/>
  <c r="AU36" i="15"/>
  <c r="BB22" i="15"/>
  <c r="AS22" i="15"/>
  <c r="AW106" i="15"/>
  <c r="AW92" i="15"/>
  <c r="AY78" i="15"/>
  <c r="AZ64" i="15"/>
  <c r="AX36" i="15"/>
  <c r="BD22" i="15"/>
  <c r="AR22" i="15"/>
  <c r="BE106" i="15"/>
  <c r="AR92" i="15"/>
  <c r="AV78" i="15"/>
  <c r="AY64" i="15"/>
  <c r="AW36" i="15"/>
  <c r="BA22" i="15"/>
  <c r="AQ22" i="15"/>
  <c r="AX106" i="15"/>
  <c r="AR78" i="15"/>
  <c r="BA106" i="15"/>
  <c r="AQ92" i="15"/>
  <c r="AU78" i="15"/>
  <c r="AX64" i="15"/>
  <c r="AV36" i="15"/>
  <c r="AZ22" i="15"/>
  <c r="AY106" i="15"/>
  <c r="BD92" i="15"/>
  <c r="AT78" i="15"/>
  <c r="AV64" i="15"/>
  <c r="BE36" i="15"/>
  <c r="AT36" i="15"/>
  <c r="AY22" i="15"/>
  <c r="BB92" i="15"/>
  <c r="BE50" i="15"/>
  <c r="AX22" i="15"/>
  <c r="AY92" i="15"/>
  <c r="AZ78" i="15"/>
  <c r="BA64" i="15"/>
  <c r="AZ36" i="15"/>
  <c r="BE22" i="15"/>
  <c r="AT22" i="15"/>
  <c r="AT64" i="15"/>
  <c r="BC36" i="15"/>
  <c r="AS36" i="15"/>
  <c r="AU50" i="15"/>
  <c r="BC50" i="15"/>
  <c r="AW14" i="15"/>
  <c r="AU18" i="15"/>
  <c r="BB36" i="15"/>
  <c r="AW60" i="15"/>
  <c r="BE64" i="15"/>
  <c r="AT106" i="15"/>
  <c r="AV46" i="15"/>
  <c r="AW50" i="15"/>
  <c r="AU51" i="15"/>
  <c r="AQ23" i="15"/>
  <c r="BA23" i="15"/>
  <c r="AV37" i="15"/>
  <c r="BE97" i="15"/>
  <c r="AW97" i="15"/>
  <c r="AO97" i="15"/>
  <c r="AZ83" i="15"/>
  <c r="AR83" i="15"/>
  <c r="BC69" i="15"/>
  <c r="AU69" i="15"/>
  <c r="BB97" i="15"/>
  <c r="AT97" i="15"/>
  <c r="BE83" i="15"/>
  <c r="AW83" i="15"/>
  <c r="AO83" i="15"/>
  <c r="AZ69" i="15"/>
  <c r="AR69" i="15"/>
  <c r="AY97" i="15"/>
  <c r="BC83" i="15"/>
  <c r="AS83" i="15"/>
  <c r="AV69" i="15"/>
  <c r="BE55" i="15"/>
  <c r="AW55" i="15"/>
  <c r="AO55" i="15"/>
  <c r="AY41" i="15"/>
  <c r="BB27" i="15"/>
  <c r="AT27" i="15"/>
  <c r="AZ13" i="15"/>
  <c r="AR13" i="15"/>
  <c r="AZ97" i="15"/>
  <c r="AV83" i="15"/>
  <c r="BA69" i="15"/>
  <c r="AO69" i="15"/>
  <c r="AV55" i="15"/>
  <c r="AM55" i="15"/>
  <c r="AV97" i="15"/>
  <c r="AQ83" i="15"/>
  <c r="AW69" i="15"/>
  <c r="BA55" i="15"/>
  <c r="AQ55" i="15"/>
  <c r="AO41" i="15"/>
  <c r="BD27" i="15"/>
  <c r="AU27" i="15"/>
  <c r="BB13" i="15"/>
  <c r="AS13" i="15"/>
  <c r="AU41" i="15"/>
  <c r="BC41" i="15"/>
  <c r="AS42" i="15"/>
  <c r="BA42" i="15"/>
  <c r="BA101" i="15"/>
  <c r="AS101" i="15"/>
  <c r="BD87" i="15"/>
  <c r="AV87" i="15"/>
  <c r="AY73" i="15"/>
  <c r="AQ73" i="15"/>
  <c r="AX101" i="15"/>
  <c r="BA87" i="15"/>
  <c r="AS87" i="15"/>
  <c r="BD73" i="15"/>
  <c r="AV73" i="15"/>
  <c r="AV101" i="15"/>
  <c r="AM101" i="15"/>
  <c r="AX87" i="15"/>
  <c r="AZ73" i="15"/>
  <c r="AO73" i="15"/>
  <c r="BA59" i="15"/>
  <c r="AS59" i="15"/>
  <c r="BD45" i="15"/>
  <c r="AX31" i="15"/>
  <c r="AZ17" i="15"/>
  <c r="AR17" i="15"/>
  <c r="AU101" i="15"/>
  <c r="AZ87" i="15"/>
  <c r="AO87" i="15"/>
  <c r="BC73" i="15"/>
  <c r="AR73" i="15"/>
  <c r="BB59" i="15"/>
  <c r="AR59" i="15"/>
  <c r="BB101" i="15"/>
  <c r="AO101" i="15"/>
  <c r="BE87" i="15"/>
  <c r="AQ87" i="15"/>
  <c r="AT73" i="15"/>
  <c r="AV59" i="15"/>
  <c r="AQ45" i="15"/>
  <c r="BA31" i="15"/>
  <c r="AR31" i="15"/>
  <c r="BD17" i="15"/>
  <c r="AU17" i="15"/>
  <c r="BE101" i="15"/>
  <c r="AR101" i="15"/>
  <c r="AU45" i="15"/>
  <c r="BC45" i="15"/>
  <c r="AS46" i="15"/>
  <c r="BA46" i="15"/>
  <c r="AT50" i="15"/>
  <c r="BB50" i="15"/>
  <c r="AZ51" i="15"/>
  <c r="AT13" i="15"/>
  <c r="BD13" i="15"/>
  <c r="AS17" i="15"/>
  <c r="BC17" i="15"/>
  <c r="AX23" i="15"/>
  <c r="AX27" i="15"/>
  <c r="AU31" i="15"/>
  <c r="BE31" i="15"/>
  <c r="AR37" i="15"/>
  <c r="BB37" i="15"/>
  <c r="AR41" i="15"/>
  <c r="AR55" i="15"/>
  <c r="BC55" i="15"/>
  <c r="AU59" i="15"/>
  <c r="AV65" i="15"/>
  <c r="AQ69" i="15"/>
  <c r="AX73" i="15"/>
  <c r="AX79" i="15"/>
  <c r="AM83" i="15"/>
  <c r="BB83" i="15"/>
  <c r="AU87" i="15"/>
  <c r="AR93" i="15"/>
  <c r="AS97" i="15"/>
  <c r="AW101" i="15"/>
  <c r="CD20" i="70"/>
  <c r="CD29" i="70" s="1"/>
  <c r="CD22" i="70"/>
  <c r="CD24" i="70"/>
  <c r="AM13" i="15"/>
  <c r="AO13" i="15" s="1"/>
  <c r="AX13" i="15"/>
  <c r="AY16" i="15"/>
  <c r="AM17" i="15"/>
  <c r="AO17" i="15" s="1"/>
  <c r="AX17" i="15"/>
  <c r="AR20" i="15"/>
  <c r="BB20" i="15"/>
  <c r="AR23" i="15"/>
  <c r="BC23" i="15"/>
  <c r="AR27" i="15"/>
  <c r="BC27" i="15"/>
  <c r="AQ30" i="15"/>
  <c r="BA30" i="15"/>
  <c r="AZ31" i="15"/>
  <c r="AW34" i="15"/>
  <c r="AW37" i="15"/>
  <c r="BE41" i="15"/>
  <c r="BE48" i="15"/>
  <c r="AX55" i="15"/>
  <c r="BA58" i="15"/>
  <c r="AO59" i="15"/>
  <c r="AZ59" i="15"/>
  <c r="AV62" i="15"/>
  <c r="BA65" i="15"/>
  <c r="AY69" i="15"/>
  <c r="AM72" i="15"/>
  <c r="AW72" i="15"/>
  <c r="BB76" i="15"/>
  <c r="BD79" i="15"/>
  <c r="AU83" i="15"/>
  <c r="AM86" i="15"/>
  <c r="AV86" i="15"/>
  <c r="BC87" i="15"/>
  <c r="AU90" i="15"/>
  <c r="AY93" i="15"/>
  <c r="BC97" i="15"/>
  <c r="AS100" i="15"/>
  <c r="BD101" i="15"/>
  <c r="BC104" i="15"/>
  <c r="AZ107" i="15"/>
  <c r="BD109" i="15"/>
  <c r="AV109" i="15"/>
  <c r="AY95" i="15"/>
  <c r="AQ95" i="15"/>
  <c r="BB81" i="15"/>
  <c r="AT81" i="15"/>
  <c r="BA109" i="15"/>
  <c r="AS109" i="15"/>
  <c r="BD95" i="15"/>
  <c r="AV95" i="15"/>
  <c r="AY81" i="15"/>
  <c r="AQ81" i="15"/>
  <c r="AX109" i="15"/>
  <c r="BA95" i="15"/>
  <c r="BD81" i="15"/>
  <c r="AS81" i="15"/>
  <c r="BD67" i="15"/>
  <c r="AV67" i="15"/>
  <c r="AY53" i="15"/>
  <c r="AQ53" i="15"/>
  <c r="AR39" i="15"/>
  <c r="BD25" i="15"/>
  <c r="AV25" i="15"/>
  <c r="BB109" i="15"/>
  <c r="AW95" i="15"/>
  <c r="AM95" i="15"/>
  <c r="BC81" i="15"/>
  <c r="BE67" i="15"/>
  <c r="AU67" i="15"/>
  <c r="AM67" i="15"/>
  <c r="BC53" i="15"/>
  <c r="AT53" i="15"/>
  <c r="AW109" i="15"/>
  <c r="AM109" i="15"/>
  <c r="BC95" i="15"/>
  <c r="AV81" i="15"/>
  <c r="AW67" i="15"/>
  <c r="BD53" i="15"/>
  <c r="AS53" i="15"/>
  <c r="AV39" i="15"/>
  <c r="BA25" i="15"/>
  <c r="AR25" i="15"/>
  <c r="AY11" i="15"/>
  <c r="AQ11" i="15"/>
  <c r="BC109" i="15"/>
  <c r="AU39" i="15"/>
  <c r="BA40" i="15"/>
  <c r="AZ41" i="15"/>
  <c r="AX42" i="15"/>
  <c r="AT44" i="15"/>
  <c r="BB44" i="15"/>
  <c r="AZ45" i="15"/>
  <c r="AX46" i="15"/>
  <c r="AS49" i="15"/>
  <c r="BA49" i="15"/>
  <c r="AQ50" i="15"/>
  <c r="AY50" i="15"/>
  <c r="AW51" i="15"/>
  <c r="BA108" i="15"/>
  <c r="AS108" i="15"/>
  <c r="BD94" i="15"/>
  <c r="AV94" i="15"/>
  <c r="AY80" i="15"/>
  <c r="AQ80" i="15"/>
  <c r="AX108" i="15"/>
  <c r="BA94" i="15"/>
  <c r="AS94" i="15"/>
  <c r="BD80" i="15"/>
  <c r="AV80" i="15"/>
  <c r="AZ108" i="15"/>
  <c r="BB94" i="15"/>
  <c r="AQ94" i="15"/>
  <c r="BE80" i="15"/>
  <c r="AT80" i="15"/>
  <c r="BA66" i="15"/>
  <c r="AS66" i="15"/>
  <c r="BD52" i="15"/>
  <c r="BE38" i="15"/>
  <c r="AW38" i="15"/>
  <c r="BA24" i="15"/>
  <c r="AS24" i="15"/>
  <c r="BC108" i="15"/>
  <c r="AQ108" i="15"/>
  <c r="AW94" i="15"/>
  <c r="BA80" i="15"/>
  <c r="AY66" i="15"/>
  <c r="AV108" i="15"/>
  <c r="AY94" i="15"/>
  <c r="AR80" i="15"/>
  <c r="AW66" i="15"/>
  <c r="BE52" i="15"/>
  <c r="BD38" i="15"/>
  <c r="AU38" i="15"/>
  <c r="BE24" i="15"/>
  <c r="AV24" i="15"/>
  <c r="BB108" i="15"/>
  <c r="AU52" i="15"/>
  <c r="BC52" i="15"/>
  <c r="AS11" i="15"/>
  <c r="BB11" i="15"/>
  <c r="AY12" i="15"/>
  <c r="AY13" i="15"/>
  <c r="AZ16" i="15"/>
  <c r="AY17" i="15"/>
  <c r="AS20" i="15"/>
  <c r="BC20" i="15"/>
  <c r="AS23" i="15"/>
  <c r="BE23" i="15"/>
  <c r="AX24" i="15"/>
  <c r="AM25" i="15"/>
  <c r="AW25" i="15"/>
  <c r="AV26" i="15"/>
  <c r="AS27" i="15"/>
  <c r="BE27" i="15"/>
  <c r="AR30" i="15"/>
  <c r="BB30" i="15"/>
  <c r="AQ31" i="15"/>
  <c r="BB31" i="15"/>
  <c r="AX34" i="15"/>
  <c r="AQ35" i="15"/>
  <c r="BB35" i="15"/>
  <c r="AY37" i="15"/>
  <c r="AQ38" i="15"/>
  <c r="BA38" i="15"/>
  <c r="AS48" i="15"/>
  <c r="AV53" i="15"/>
  <c r="AV54" i="15"/>
  <c r="AY55" i="15"/>
  <c r="AQ58" i="15"/>
  <c r="BB58" i="15"/>
  <c r="BC59" i="15"/>
  <c r="AX62" i="15"/>
  <c r="AQ63" i="15"/>
  <c r="BB63" i="15"/>
  <c r="AQ65" i="15"/>
  <c r="BC65" i="15"/>
  <c r="AV66" i="15"/>
  <c r="AX67" i="15"/>
  <c r="AM68" i="15"/>
  <c r="AX68" i="15"/>
  <c r="AM69" i="15"/>
  <c r="BB69" i="15"/>
  <c r="AX72" i="15"/>
  <c r="AS73" i="15"/>
  <c r="BD76" i="15"/>
  <c r="BA77" i="15"/>
  <c r="AQ79" i="15"/>
  <c r="BC80" i="15"/>
  <c r="AU81" i="15"/>
  <c r="BD82" i="15"/>
  <c r="AX83" i="15"/>
  <c r="AW86" i="15"/>
  <c r="AV90" i="15"/>
  <c r="AT91" i="15"/>
  <c r="AZ93" i="15"/>
  <c r="AZ94" i="15"/>
  <c r="AR95" i="15"/>
  <c r="BA96" i="15"/>
  <c r="BD97" i="15"/>
  <c r="AW108" i="15"/>
  <c r="BB107" i="15"/>
  <c r="AT107" i="15"/>
  <c r="BE93" i="15"/>
  <c r="AW93" i="15"/>
  <c r="AZ79" i="15"/>
  <c r="AR79" i="15"/>
  <c r="AY107" i="15"/>
  <c r="AQ107" i="15"/>
  <c r="BB93" i="15"/>
  <c r="AT93" i="15"/>
  <c r="BE79" i="15"/>
  <c r="AW79" i="15"/>
  <c r="AW107" i="15"/>
  <c r="AX93" i="15"/>
  <c r="BA79" i="15"/>
  <c r="BB65" i="15"/>
  <c r="AT65" i="15"/>
  <c r="AR51" i="15"/>
  <c r="AX37" i="15"/>
  <c r="BB23" i="15"/>
  <c r="AT23" i="15"/>
  <c r="AX107" i="15"/>
  <c r="BA93" i="15"/>
  <c r="AT79" i="15"/>
  <c r="AX65" i="15"/>
  <c r="BD51" i="15"/>
  <c r="BC107" i="15"/>
  <c r="BC93" i="15"/>
  <c r="AV79" i="15"/>
  <c r="BE65" i="15"/>
  <c r="AU65" i="15"/>
  <c r="BD37" i="15"/>
  <c r="AU37" i="15"/>
  <c r="BD23" i="15"/>
  <c r="AU23" i="15"/>
  <c r="AS107" i="15"/>
  <c r="BC51" i="15"/>
  <c r="AZ65" i="15"/>
  <c r="BC79" i="15"/>
  <c r="AV93" i="15"/>
  <c r="AV107" i="15"/>
  <c r="AS41" i="15"/>
  <c r="BA41" i="15"/>
  <c r="AY42" i="15"/>
  <c r="AX100" i="15"/>
  <c r="BA86" i="15"/>
  <c r="AS86" i="15"/>
  <c r="BD72" i="15"/>
  <c r="AV72" i="15"/>
  <c r="BC100" i="15"/>
  <c r="AU100" i="15"/>
  <c r="AM100" i="15"/>
  <c r="AX86" i="15"/>
  <c r="BA72" i="15"/>
  <c r="AS72" i="15"/>
  <c r="AY100" i="15"/>
  <c r="AO100" i="15"/>
  <c r="AZ86" i="15"/>
  <c r="AZ72" i="15"/>
  <c r="AX58" i="15"/>
  <c r="BE44" i="15"/>
  <c r="BC30" i="15"/>
  <c r="AU30" i="15"/>
  <c r="AM30" i="15"/>
  <c r="BD16" i="15"/>
  <c r="AV16" i="15"/>
  <c r="AM16" i="15"/>
  <c r="AO16" i="15" s="1"/>
  <c r="AT100" i="15"/>
  <c r="BB86" i="15"/>
  <c r="BB72" i="15"/>
  <c r="BE58" i="15"/>
  <c r="AV58" i="15"/>
  <c r="AZ100" i="15"/>
  <c r="BC86" i="15"/>
  <c r="BC72" i="15"/>
  <c r="AW58" i="15"/>
  <c r="AQ44" i="15"/>
  <c r="BE30" i="15"/>
  <c r="AV30" i="15"/>
  <c r="AW16" i="15"/>
  <c r="BD100" i="15"/>
  <c r="AU44" i="15"/>
  <c r="BC44" i="15"/>
  <c r="AS45" i="15"/>
  <c r="BA45" i="15"/>
  <c r="AY46" i="15"/>
  <c r="BE104" i="15"/>
  <c r="AW104" i="15"/>
  <c r="AZ90" i="15"/>
  <c r="AR90" i="15"/>
  <c r="BC76" i="15"/>
  <c r="AU76" i="15"/>
  <c r="BB104" i="15"/>
  <c r="AT104" i="15"/>
  <c r="BE90" i="15"/>
  <c r="AW90" i="15"/>
  <c r="AZ76" i="15"/>
  <c r="AR76" i="15"/>
  <c r="AU104" i="15"/>
  <c r="AX90" i="15"/>
  <c r="BA76" i="15"/>
  <c r="AM76" i="15"/>
  <c r="BE62" i="15"/>
  <c r="AW62" i="15"/>
  <c r="BA48" i="15"/>
  <c r="AQ48" i="15"/>
  <c r="BA34" i="15"/>
  <c r="AS34" i="15"/>
  <c r="BE20" i="15"/>
  <c r="AW20" i="15"/>
  <c r="AM20" i="15"/>
  <c r="BA104" i="15"/>
  <c r="AM104" i="15"/>
  <c r="AT90" i="15"/>
  <c r="AY76" i="15"/>
  <c r="AT62" i="15"/>
  <c r="AX48" i="15"/>
  <c r="AZ104" i="15"/>
  <c r="BC90" i="15"/>
  <c r="AM90" i="15"/>
  <c r="AW76" i="15"/>
  <c r="AU62" i="15"/>
  <c r="AT48" i="15"/>
  <c r="BB34" i="15"/>
  <c r="AR34" i="15"/>
  <c r="AZ20" i="15"/>
  <c r="AQ20" i="15"/>
  <c r="AR104" i="15"/>
  <c r="AR50" i="15"/>
  <c r="AZ50" i="15"/>
  <c r="AX51" i="15"/>
  <c r="BA13" i="15"/>
  <c r="AQ16" i="15"/>
  <c r="BA16" i="15"/>
  <c r="BA17" i="15"/>
  <c r="AT20" i="15"/>
  <c r="BD20" i="15"/>
  <c r="AV23" i="15"/>
  <c r="AV27" i="15"/>
  <c r="AS30" i="15"/>
  <c r="BD30" i="15"/>
  <c r="AS31" i="15"/>
  <c r="BC31" i="15"/>
  <c r="AM34" i="15"/>
  <c r="AY34" i="15"/>
  <c r="AZ37" i="15"/>
  <c r="AM44" i="15"/>
  <c r="AU48" i="15"/>
  <c r="AQ51" i="15"/>
  <c r="AZ55" i="15"/>
  <c r="AR58" i="15"/>
  <c r="BC58" i="15"/>
  <c r="AQ59" i="15"/>
  <c r="BD59" i="15"/>
  <c r="AY62" i="15"/>
  <c r="AR65" i="15"/>
  <c r="BD65" i="15"/>
  <c r="BD69" i="15"/>
  <c r="AO72" i="15"/>
  <c r="AY72" i="15"/>
  <c r="AU73" i="15"/>
  <c r="BE76" i="15"/>
  <c r="AS79" i="15"/>
  <c r="AY83" i="15"/>
  <c r="AO86" i="15"/>
  <c r="AY86" i="15"/>
  <c r="AR87" i="15"/>
  <c r="AY90" i="15"/>
  <c r="BD93" i="15"/>
  <c r="AQ97" i="15"/>
  <c r="AW100" i="15"/>
  <c r="AQ101" i="15"/>
  <c r="BD107" i="15"/>
  <c r="AY110" i="15"/>
  <c r="AQ110" i="15"/>
  <c r="BB96" i="15"/>
  <c r="AT96" i="15"/>
  <c r="BE82" i="15"/>
  <c r="AW82" i="15"/>
  <c r="AO82" i="15"/>
  <c r="BD110" i="15"/>
  <c r="AV110" i="15"/>
  <c r="AY96" i="15"/>
  <c r="AQ96" i="15"/>
  <c r="BB82" i="15"/>
  <c r="AT82" i="15"/>
  <c r="AW110" i="15"/>
  <c r="AM110" i="15"/>
  <c r="AZ96" i="15"/>
  <c r="AO96" i="15"/>
  <c r="BC82" i="15"/>
  <c r="AR82" i="15"/>
  <c r="AY68" i="15"/>
  <c r="AQ68" i="15"/>
  <c r="BB54" i="15"/>
  <c r="AT54" i="15"/>
  <c r="AM40" i="15"/>
  <c r="AY26" i="15"/>
  <c r="AQ26" i="15"/>
  <c r="BD12" i="15"/>
  <c r="AV12" i="15"/>
  <c r="BC110" i="15"/>
  <c r="AR110" i="15"/>
  <c r="AX96" i="15"/>
  <c r="AM96" i="15"/>
  <c r="AS82" i="15"/>
  <c r="BB68" i="15"/>
  <c r="AS68" i="15"/>
  <c r="AY54" i="15"/>
  <c r="BB110" i="15"/>
  <c r="AO110" i="15"/>
  <c r="AU96" i="15"/>
  <c r="AZ82" i="15"/>
  <c r="AM82" i="15"/>
  <c r="AV68" i="15"/>
  <c r="BA54" i="15"/>
  <c r="AQ54" i="15"/>
  <c r="AX26" i="15"/>
  <c r="AO26" i="15"/>
  <c r="BC12" i="15"/>
  <c r="AT12" i="15"/>
  <c r="AT110" i="15"/>
  <c r="AU40" i="15"/>
  <c r="BD40" i="15"/>
  <c r="AT41" i="15"/>
  <c r="BB41" i="15"/>
  <c r="AV44" i="15"/>
  <c r="AT45" i="15"/>
  <c r="BB45" i="15"/>
  <c r="AZ46" i="15"/>
  <c r="BD105" i="15"/>
  <c r="AV105" i="15"/>
  <c r="AY91" i="15"/>
  <c r="AQ91" i="15"/>
  <c r="BB77" i="15"/>
  <c r="AT77" i="15"/>
  <c r="BA105" i="15"/>
  <c r="AS105" i="15"/>
  <c r="BD91" i="15"/>
  <c r="AV91" i="15"/>
  <c r="AY77" i="15"/>
  <c r="AQ77" i="15"/>
  <c r="AY105" i="15"/>
  <c r="BB91" i="15"/>
  <c r="AR91" i="15"/>
  <c r="BE77" i="15"/>
  <c r="AU77" i="15"/>
  <c r="BD63" i="15"/>
  <c r="AV63" i="15"/>
  <c r="BE49" i="15"/>
  <c r="AZ35" i="15"/>
  <c r="AR35" i="15"/>
  <c r="BD21" i="15"/>
  <c r="AV21" i="15"/>
  <c r="AU105" i="15"/>
  <c r="BA91" i="15"/>
  <c r="AV77" i="15"/>
  <c r="BE63" i="15"/>
  <c r="AU63" i="15"/>
  <c r="BD49" i="15"/>
  <c r="AW105" i="15"/>
  <c r="AX91" i="15"/>
  <c r="AS77" i="15"/>
  <c r="AY63" i="15"/>
  <c r="BC35" i="15"/>
  <c r="AT35" i="15"/>
  <c r="AR21" i="15"/>
  <c r="BB105" i="15"/>
  <c r="AU49" i="15"/>
  <c r="BC49" i="15"/>
  <c r="AS50" i="15"/>
  <c r="BA50" i="15"/>
  <c r="AY51" i="15"/>
  <c r="AQ12" i="15"/>
  <c r="BA12" i="15"/>
  <c r="AQ13" i="15"/>
  <c r="BC13" i="15"/>
  <c r="AR16" i="15"/>
  <c r="BB16" i="15"/>
  <c r="AQ17" i="15"/>
  <c r="BB17" i="15"/>
  <c r="AU20" i="15"/>
  <c r="AY21" i="15"/>
  <c r="AW23" i="15"/>
  <c r="AZ26" i="15"/>
  <c r="AM27" i="15"/>
  <c r="AW27" i="15"/>
  <c r="AT30" i="15"/>
  <c r="AT31" i="15"/>
  <c r="BD31" i="15"/>
  <c r="AZ34" i="15"/>
  <c r="AU35" i="15"/>
  <c r="BE35" i="15"/>
  <c r="AQ37" i="15"/>
  <c r="BA37" i="15"/>
  <c r="AR40" i="15"/>
  <c r="AQ41" i="15"/>
  <c r="AO45" i="15"/>
  <c r="AV48" i="15"/>
  <c r="AW49" i="15"/>
  <c r="BE51" i="15"/>
  <c r="AX54" i="15"/>
  <c r="BB55" i="15"/>
  <c r="AS58" i="15"/>
  <c r="BD58" i="15"/>
  <c r="AT59" i="15"/>
  <c r="BE59" i="15"/>
  <c r="AZ62" i="15"/>
  <c r="AS63" i="15"/>
  <c r="AS65" i="15"/>
  <c r="AO68" i="15"/>
  <c r="BA68" i="15"/>
  <c r="BE69" i="15"/>
  <c r="BE72" i="15"/>
  <c r="AW73" i="15"/>
  <c r="AQ76" i="15"/>
  <c r="BD77" i="15"/>
  <c r="AU79" i="15"/>
  <c r="AX81" i="15"/>
  <c r="AQ82" i="15"/>
  <c r="BA83" i="15"/>
  <c r="BD86" i="15"/>
  <c r="AT87" i="15"/>
  <c r="BA90" i="15"/>
  <c r="AW91" i="15"/>
  <c r="AQ93" i="15"/>
  <c r="BE94" i="15"/>
  <c r="AT95" i="15"/>
  <c r="BD96" i="15"/>
  <c r="AR97" i="15"/>
  <c r="BA100" i="15"/>
  <c r="AT101" i="15"/>
  <c r="AQ104" i="15"/>
  <c r="BE107" i="15"/>
  <c r="BD108" i="15"/>
  <c r="AR109" i="15"/>
  <c r="AT39" i="15"/>
  <c r="BB39" i="15"/>
  <c r="AZ40" i="15"/>
  <c r="AM42" i="15"/>
  <c r="BC99" i="15"/>
  <c r="AU99" i="15"/>
  <c r="AM99" i="15"/>
  <c r="AX85" i="15"/>
  <c r="BA71" i="15"/>
  <c r="AS71" i="15"/>
  <c r="AZ99" i="15"/>
  <c r="AR99" i="15"/>
  <c r="BC85" i="15"/>
  <c r="AU85" i="15"/>
  <c r="AM85" i="15"/>
  <c r="AX71" i="15"/>
  <c r="AY99" i="15"/>
  <c r="AO99" i="15"/>
  <c r="BB85" i="15"/>
  <c r="AR85" i="15"/>
  <c r="BC71" i="15"/>
  <c r="AR71" i="15"/>
  <c r="BC57" i="15"/>
  <c r="AU57" i="15"/>
  <c r="AM57" i="15"/>
  <c r="AS43" i="15"/>
  <c r="AZ29" i="15"/>
  <c r="AR29" i="15"/>
  <c r="AZ15" i="15"/>
  <c r="AR15" i="15"/>
  <c r="BE99" i="15"/>
  <c r="AS99" i="15"/>
  <c r="BA85" i="15"/>
  <c r="BB71" i="15"/>
  <c r="AZ57" i="15"/>
  <c r="AQ57" i="15"/>
  <c r="AU43" i="15"/>
  <c r="BC43" i="15"/>
  <c r="AS44" i="15"/>
  <c r="BA44" i="15"/>
  <c r="AY45" i="15"/>
  <c r="AM46" i="15"/>
  <c r="AW46" i="15"/>
  <c r="AY103" i="15"/>
  <c r="AQ103" i="15"/>
  <c r="BB89" i="15"/>
  <c r="AT89" i="15"/>
  <c r="BE75" i="15"/>
  <c r="AW75" i="15"/>
  <c r="AO75" i="15"/>
  <c r="BD103" i="15"/>
  <c r="AV103" i="15"/>
  <c r="AY89" i="15"/>
  <c r="AQ89" i="15"/>
  <c r="BB75" i="15"/>
  <c r="AT75" i="15"/>
  <c r="BC103" i="15"/>
  <c r="AS103" i="15"/>
  <c r="AV89" i="15"/>
  <c r="AX75" i="15"/>
  <c r="AM75" i="15"/>
  <c r="AY61" i="15"/>
  <c r="AQ61" i="15"/>
  <c r="BD33" i="15"/>
  <c r="AV33" i="15"/>
  <c r="AZ19" i="15"/>
  <c r="AR19" i="15"/>
  <c r="AW103" i="15"/>
  <c r="BC89" i="15"/>
  <c r="AS75" i="15"/>
  <c r="BD61" i="15"/>
  <c r="AU61" i="15"/>
  <c r="AM47" i="15"/>
  <c r="AU47" i="15"/>
  <c r="BC47" i="15"/>
  <c r="AR49" i="15"/>
  <c r="AZ49" i="15"/>
  <c r="AX50" i="15"/>
  <c r="AV51" i="15"/>
  <c r="AT52" i="15"/>
  <c r="BB52" i="15"/>
  <c r="AX15" i="15"/>
  <c r="AQ19" i="15"/>
  <c r="BA19" i="15"/>
  <c r="AO29" i="15"/>
  <c r="AX29" i="15"/>
  <c r="AS33" i="15"/>
  <c r="BB33" i="15"/>
  <c r="AO43" i="15"/>
  <c r="BD43" i="15"/>
  <c r="AQ47" i="15"/>
  <c r="AO57" i="15"/>
  <c r="AY57" i="15"/>
  <c r="AS61" i="15"/>
  <c r="BC61" i="15"/>
  <c r="AO71" i="15"/>
  <c r="AZ71" i="15"/>
  <c r="BC75" i="15"/>
  <c r="AO85" i="15"/>
  <c r="AZ85" i="15"/>
  <c r="AW89" i="15"/>
  <c r="AT99" i="15"/>
  <c r="AR103" i="15"/>
  <c r="AX29" i="54"/>
  <c r="K29" i="54"/>
  <c r="E13" i="54"/>
  <c r="AT13" i="54" s="1"/>
  <c r="W20" i="54"/>
  <c r="AE20" i="54"/>
  <c r="U20" i="54"/>
  <c r="Q20" i="54"/>
  <c r="AC20" i="54"/>
  <c r="Y20" i="54"/>
  <c r="AI20" i="54"/>
  <c r="S20" i="54"/>
  <c r="AG20" i="54"/>
  <c r="AA20" i="54"/>
  <c r="AX38" i="54"/>
  <c r="AX35" i="54"/>
  <c r="AX32" i="54"/>
  <c r="AX26" i="54"/>
  <c r="AX17" i="54"/>
  <c r="S13" i="75"/>
  <c r="BC40" i="15" s="1"/>
  <c r="AT514" i="54"/>
  <c r="AT234" i="54"/>
  <c r="AT179" i="54"/>
  <c r="S80" i="75"/>
  <c r="AT124" i="54"/>
  <c r="AU6" i="54"/>
  <c r="L7" i="12" s="1"/>
  <c r="AW7" i="54"/>
  <c r="AW9" i="54" s="1"/>
  <c r="Q46" i="54"/>
  <c r="BB46" i="54"/>
  <c r="S21" i="75"/>
  <c r="BC48" i="15" s="1"/>
  <c r="D15" i="12"/>
  <c r="X3" i="65"/>
  <c r="AX9" i="65"/>
  <c r="AF3" i="65"/>
  <c r="AV9" i="65"/>
  <c r="D14" i="12"/>
  <c r="V3" i="65"/>
  <c r="AL7" i="65"/>
  <c r="C3" i="65" s="1"/>
  <c r="W22" i="71"/>
  <c r="BA121" i="20"/>
  <c r="AZ121" i="20"/>
  <c r="BA127" i="20"/>
  <c r="AZ209" i="20"/>
  <c r="W5" i="71"/>
  <c r="G7" i="12"/>
  <c r="H2" i="71"/>
  <c r="H7" i="71"/>
  <c r="BC10" i="79"/>
  <c r="BO10" i="79"/>
  <c r="BP10" i="79" s="1"/>
  <c r="G18" i="12"/>
  <c r="Y6" i="76"/>
  <c r="D13" i="20"/>
  <c r="BA35" i="20"/>
  <c r="G12" i="12"/>
  <c r="AU10" i="65"/>
  <c r="C13" i="12"/>
  <c r="G13" i="12"/>
  <c r="BE10" i="79"/>
  <c r="AY10" i="54"/>
  <c r="BA10" i="54" s="1"/>
  <c r="AW5" i="20"/>
  <c r="BI16" i="20"/>
  <c r="BJ16" i="20" s="1"/>
  <c r="AZ33" i="20"/>
  <c r="BI56" i="20"/>
  <c r="BJ56" i="20" s="1"/>
  <c r="BI62" i="20"/>
  <c r="BJ62" i="20" s="1"/>
  <c r="BI184" i="20"/>
  <c r="BJ184" i="20" s="1"/>
  <c r="BI190" i="20"/>
  <c r="BJ190" i="20" s="1"/>
  <c r="C17" i="12"/>
  <c r="C12" i="71"/>
  <c r="BA47" i="20"/>
  <c r="AZ47" i="20"/>
  <c r="G43" i="12"/>
  <c r="BF14" i="68"/>
  <c r="BG14" i="68" s="1"/>
  <c r="AP14" i="68"/>
  <c r="AM10" i="65"/>
  <c r="C7" i="12"/>
  <c r="G14" i="12"/>
  <c r="BF10" i="79"/>
  <c r="BG10" i="79" s="1"/>
  <c r="AT10" i="79"/>
  <c r="AX5" i="20"/>
  <c r="AX8" i="20" s="1"/>
  <c r="BA151" i="20"/>
  <c r="C14" i="12"/>
  <c r="AX10" i="65"/>
  <c r="AZ10" i="65" s="1"/>
  <c r="BC5" i="20"/>
  <c r="Z3" i="20" s="1"/>
  <c r="BA17" i="20"/>
  <c r="AZ17" i="20"/>
  <c r="BI96" i="20"/>
  <c r="BJ96" i="20" s="1"/>
  <c r="BI102" i="20"/>
  <c r="BJ102" i="20" s="1"/>
  <c r="AZ191" i="20"/>
  <c r="BA175" i="20"/>
  <c r="AZ175" i="20"/>
  <c r="BA179" i="20"/>
  <c r="AZ179" i="20"/>
  <c r="BC10" i="65"/>
  <c r="BD10" i="65" s="1"/>
  <c r="AZ81" i="20"/>
  <c r="BA91" i="20"/>
  <c r="G31" i="12"/>
  <c r="H13" i="71"/>
  <c r="BI86" i="20"/>
  <c r="BJ86" i="20" s="1"/>
  <c r="BI136" i="20"/>
  <c r="BJ136" i="20" s="1"/>
  <c r="AZ139" i="20"/>
  <c r="CJ11" i="57"/>
  <c r="CK11" i="57" s="1"/>
  <c r="AS5" i="20"/>
  <c r="BA39" i="20"/>
  <c r="AZ39" i="20"/>
  <c r="BA103" i="20"/>
  <c r="AZ103" i="20"/>
  <c r="BA167" i="20"/>
  <c r="AZ167" i="20"/>
  <c r="CZ102" i="57"/>
  <c r="BA79" i="20"/>
  <c r="AZ79" i="20"/>
  <c r="BA207" i="20"/>
  <c r="AZ207" i="20"/>
  <c r="BI40" i="20"/>
  <c r="BJ40" i="20" s="1"/>
  <c r="AZ55" i="20"/>
  <c r="BI70" i="20"/>
  <c r="BJ70" i="20" s="1"/>
  <c r="AZ73" i="20"/>
  <c r="BI104" i="20"/>
  <c r="BJ104" i="20" s="1"/>
  <c r="BI134" i="20"/>
  <c r="BJ134" i="20" s="1"/>
  <c r="AZ137" i="20"/>
  <c r="BI168" i="20"/>
  <c r="BJ168" i="20" s="1"/>
  <c r="BA183" i="20"/>
  <c r="AZ183" i="20"/>
  <c r="BI198" i="20"/>
  <c r="BJ198" i="20" s="1"/>
  <c r="AZ201" i="20"/>
  <c r="BI46" i="20"/>
  <c r="BJ46" i="20" s="1"/>
  <c r="BI80" i="20"/>
  <c r="BJ80" i="20" s="1"/>
  <c r="BI110" i="20"/>
  <c r="BJ110" i="20" s="1"/>
  <c r="BI144" i="20"/>
  <c r="BJ144" i="20" s="1"/>
  <c r="BI174" i="20"/>
  <c r="BJ174" i="20" s="1"/>
  <c r="BI208" i="20"/>
  <c r="BJ208" i="20" s="1"/>
  <c r="CZ45" i="57"/>
  <c r="DA45" i="57" s="1"/>
  <c r="CZ61" i="57"/>
  <c r="DA61" i="57" s="1"/>
  <c r="CZ125" i="57"/>
  <c r="DA125" i="57" s="1"/>
  <c r="CZ184" i="57"/>
  <c r="BI18" i="20"/>
  <c r="BJ18" i="20" s="1"/>
  <c r="BI26" i="20"/>
  <c r="BJ26" i="20" s="1"/>
  <c r="BI34" i="20"/>
  <c r="BJ34" i="20" s="1"/>
  <c r="BI42" i="20"/>
  <c r="BJ42" i="20" s="1"/>
  <c r="BI50" i="20"/>
  <c r="BJ50" i="20" s="1"/>
  <c r="BI58" i="20"/>
  <c r="BJ58" i="20" s="1"/>
  <c r="BI66" i="20"/>
  <c r="BJ66" i="20" s="1"/>
  <c r="BI74" i="20"/>
  <c r="BJ74" i="20" s="1"/>
  <c r="BI82" i="20"/>
  <c r="BJ82" i="20" s="1"/>
  <c r="BI90" i="20"/>
  <c r="BJ90" i="20" s="1"/>
  <c r="BI98" i="20"/>
  <c r="BJ98" i="20" s="1"/>
  <c r="BI106" i="20"/>
  <c r="BJ106" i="20" s="1"/>
  <c r="BI114" i="20"/>
  <c r="BJ114" i="20" s="1"/>
  <c r="BI122" i="20"/>
  <c r="BJ122" i="20" s="1"/>
  <c r="BI130" i="20"/>
  <c r="BJ130" i="20" s="1"/>
  <c r="BI138" i="20"/>
  <c r="BJ138" i="20" s="1"/>
  <c r="BI146" i="20"/>
  <c r="BJ146" i="20" s="1"/>
  <c r="BI154" i="20"/>
  <c r="BJ154" i="20" s="1"/>
  <c r="BI162" i="20"/>
  <c r="BJ162" i="20" s="1"/>
  <c r="BI170" i="20"/>
  <c r="BJ170" i="20" s="1"/>
  <c r="BI178" i="20"/>
  <c r="BJ178" i="20" s="1"/>
  <c r="BI186" i="20"/>
  <c r="BJ186" i="20" s="1"/>
  <c r="BI194" i="20"/>
  <c r="BJ194" i="20" s="1"/>
  <c r="BI202" i="20"/>
  <c r="BJ202" i="20" s="1"/>
  <c r="BI210" i="20"/>
  <c r="BJ210" i="20" s="1"/>
  <c r="CZ31" i="57"/>
  <c r="DA31" i="57" s="1"/>
  <c r="CZ42" i="57"/>
  <c r="CZ58" i="57"/>
  <c r="CZ95" i="57"/>
  <c r="DA95" i="57" s="1"/>
  <c r="CZ154" i="57"/>
  <c r="CZ17" i="57"/>
  <c r="DA17" i="57" s="1"/>
  <c r="CZ44" i="57"/>
  <c r="CZ140" i="57"/>
  <c r="CZ156" i="57"/>
  <c r="CZ161" i="57"/>
  <c r="DA161" i="57" s="1"/>
  <c r="CZ209" i="57"/>
  <c r="DA209" i="57" s="1"/>
  <c r="AS89" i="79"/>
  <c r="E89" i="79" s="1"/>
  <c r="AE89" i="79" s="1"/>
  <c r="AS55" i="79"/>
  <c r="E55" i="79" s="1"/>
  <c r="M55" i="79" s="1"/>
  <c r="BN89" i="79"/>
  <c r="BN21" i="79"/>
  <c r="AS119" i="79"/>
  <c r="E119" i="79" s="1"/>
  <c r="Q119" i="79" s="1"/>
  <c r="AS63" i="79"/>
  <c r="E63" i="79" s="1"/>
  <c r="U63" i="79" s="1"/>
  <c r="AS35" i="79"/>
  <c r="E35" i="79" s="1"/>
  <c r="AK35" i="79" s="1"/>
  <c r="BN35" i="79"/>
  <c r="AT153" i="79"/>
  <c r="AS75" i="79"/>
  <c r="E75" i="79" s="1"/>
  <c r="Q75" i="79" s="1"/>
  <c r="BN75" i="79"/>
  <c r="BD153" i="79"/>
  <c r="AS71" i="79"/>
  <c r="E71" i="79" s="1"/>
  <c r="W71" i="79" s="1"/>
  <c r="BN71" i="79"/>
  <c r="AT57" i="79"/>
  <c r="AS93" i="79"/>
  <c r="E93" i="79" s="1"/>
  <c r="AG93" i="79" s="1"/>
  <c r="AS163" i="79"/>
  <c r="E163" i="79" s="1"/>
  <c r="AK163" i="79" s="1"/>
  <c r="BN93" i="79"/>
  <c r="AT155" i="79"/>
  <c r="AT161" i="79"/>
  <c r="BD161" i="79"/>
  <c r="AS117" i="79"/>
  <c r="E117" i="79" s="1"/>
  <c r="M117" i="79" s="1"/>
  <c r="AS151" i="79"/>
  <c r="E151" i="79" s="1"/>
  <c r="O151" i="79" s="1"/>
  <c r="BD127" i="79"/>
  <c r="E10" i="58"/>
  <c r="AS149" i="79"/>
  <c r="E149" i="79" s="1"/>
  <c r="S149" i="79" s="1"/>
  <c r="AS173" i="79"/>
  <c r="E173" i="79" s="1"/>
  <c r="AS97" i="79"/>
  <c r="E97" i="79" s="1"/>
  <c r="AA97" i="79" s="1"/>
  <c r="BN117" i="79"/>
  <c r="AS191" i="79"/>
  <c r="E191" i="79" s="1"/>
  <c r="O191" i="79" s="1"/>
  <c r="AT141" i="79"/>
  <c r="AS51" i="79"/>
  <c r="E51" i="79" s="1"/>
  <c r="M51" i="79" s="1"/>
  <c r="AS201" i="79"/>
  <c r="E201" i="79" s="1"/>
  <c r="W201" i="79" s="1"/>
  <c r="AS27" i="79"/>
  <c r="E27" i="79" s="1"/>
  <c r="BN39" i="79"/>
  <c r="BD197" i="79"/>
  <c r="AS109" i="79"/>
  <c r="E109" i="79" s="1"/>
  <c r="Y109" i="79" s="1"/>
  <c r="AT173" i="79"/>
  <c r="AT197" i="79"/>
  <c r="BN97" i="79"/>
  <c r="BD203" i="65"/>
  <c r="BN27" i="79"/>
  <c r="AS67" i="79"/>
  <c r="E67" i="79" s="1"/>
  <c r="AC67" i="79" s="1"/>
  <c r="AS31" i="79"/>
  <c r="E31" i="79" s="1"/>
  <c r="AT151" i="65"/>
  <c r="AM203" i="65"/>
  <c r="AS59" i="79"/>
  <c r="E59" i="79" s="1"/>
  <c r="AI59" i="79" s="1"/>
  <c r="BD87" i="79"/>
  <c r="AS87" i="79"/>
  <c r="E87" i="79" s="1"/>
  <c r="M87" i="79" s="1"/>
  <c r="AS15" i="79"/>
  <c r="E15" i="79" s="1"/>
  <c r="AS17" i="79"/>
  <c r="E17" i="79" s="1"/>
  <c r="AG17" i="79" s="1"/>
  <c r="E18" i="58"/>
  <c r="AT41" i="79"/>
  <c r="AS175" i="79"/>
  <c r="E175" i="79" s="1"/>
  <c r="Y175" i="79" s="1"/>
  <c r="BN69" i="79"/>
  <c r="AS29" i="79"/>
  <c r="E29" i="79" s="1"/>
  <c r="AM29" i="79" s="1"/>
  <c r="BN109" i="79"/>
  <c r="AT105" i="65"/>
  <c r="AT25" i="79"/>
  <c r="BD105" i="65"/>
  <c r="BD123" i="65"/>
  <c r="AT21" i="79"/>
  <c r="AS83" i="79"/>
  <c r="E83" i="79" s="1"/>
  <c r="AC83" i="79" s="1"/>
  <c r="AS105" i="79"/>
  <c r="E105" i="79" s="1"/>
  <c r="AK105" i="79" s="1"/>
  <c r="AS135" i="79"/>
  <c r="E135" i="79" s="1"/>
  <c r="AM135" i="79" s="1"/>
  <c r="AT143" i="79"/>
  <c r="BN31" i="79"/>
  <c r="BN67" i="79"/>
  <c r="AT199" i="79"/>
  <c r="AT85" i="79"/>
  <c r="AS143" i="79"/>
  <c r="E143" i="79" s="1"/>
  <c r="M143" i="79" s="1"/>
  <c r="AS203" i="79"/>
  <c r="E203" i="79" s="1"/>
  <c r="S203" i="79" s="1"/>
  <c r="BD43" i="65"/>
  <c r="AT43" i="65"/>
  <c r="AT41" i="65"/>
  <c r="BD41" i="65"/>
  <c r="AM41" i="65"/>
  <c r="BD171" i="65"/>
  <c r="AT171" i="65"/>
  <c r="AM171" i="65"/>
  <c r="AS47" i="79"/>
  <c r="E47" i="79" s="1"/>
  <c r="AI47" i="79" s="1"/>
  <c r="BD73" i="79"/>
  <c r="AT73" i="79"/>
  <c r="BN83" i="79"/>
  <c r="BD75" i="65"/>
  <c r="AM75" i="65"/>
  <c r="AT73" i="65"/>
  <c r="BD73" i="65"/>
  <c r="AS209" i="79"/>
  <c r="E209" i="79" s="1"/>
  <c r="Y209" i="79" s="1"/>
  <c r="AM77" i="65"/>
  <c r="AT77" i="65"/>
  <c r="BD77" i="65"/>
  <c r="BN15" i="79"/>
  <c r="D4" i="58"/>
  <c r="AS19" i="79"/>
  <c r="E19" i="79" s="1"/>
  <c r="AS133" i="79"/>
  <c r="E133" i="79" s="1"/>
  <c r="U133" i="79" s="1"/>
  <c r="AS137" i="79"/>
  <c r="E137" i="79" s="1"/>
  <c r="AK137" i="79" s="1"/>
  <c r="BN175" i="79"/>
  <c r="E9" i="58"/>
  <c r="AT19" i="65"/>
  <c r="BD57" i="65"/>
  <c r="E3" i="58"/>
  <c r="E14" i="58"/>
  <c r="E7" i="58"/>
  <c r="E22" i="58"/>
  <c r="BD19" i="65"/>
  <c r="AS121" i="79"/>
  <c r="E121" i="79" s="1"/>
  <c r="S121" i="79" s="1"/>
  <c r="AS195" i="79"/>
  <c r="E195" i="79" s="1"/>
  <c r="AK195" i="79" s="1"/>
  <c r="BD25" i="79"/>
  <c r="AS79" i="79"/>
  <c r="E79" i="79" s="1"/>
  <c r="M79" i="79" s="1"/>
  <c r="E11" i="58"/>
  <c r="E20" i="58"/>
  <c r="BV27" i="79" s="1"/>
  <c r="AM17" i="65"/>
  <c r="AM141" i="65"/>
  <c r="AT195" i="79"/>
  <c r="AM139" i="65"/>
  <c r="AT139" i="65"/>
  <c r="AS23" i="79"/>
  <c r="E23" i="79" s="1"/>
  <c r="AT81" i="79"/>
  <c r="AT25" i="65"/>
  <c r="AM25" i="65"/>
  <c r="BD25" i="65"/>
  <c r="AM87" i="65"/>
  <c r="BD87" i="65"/>
  <c r="AT87" i="65"/>
  <c r="AM79" i="65"/>
  <c r="BD79" i="65"/>
  <c r="AT79" i="65"/>
  <c r="AS41" i="79"/>
  <c r="E41" i="79" s="1"/>
  <c r="AE41" i="79" s="1"/>
  <c r="AM137" i="65"/>
  <c r="AT137" i="65"/>
  <c r="BD139" i="65"/>
  <c r="AT169" i="65"/>
  <c r="AT103" i="79"/>
  <c r="BD103" i="79"/>
  <c r="BN113" i="79"/>
  <c r="BD113" i="79"/>
  <c r="AT113" i="79"/>
  <c r="BN23" i="79"/>
  <c r="AS43" i="79"/>
  <c r="E43" i="79" s="1"/>
  <c r="K43" i="79" s="1"/>
  <c r="BD39" i="65"/>
  <c r="AM39" i="65"/>
  <c r="AT39" i="65"/>
  <c r="AT15" i="65"/>
  <c r="AM15" i="65"/>
  <c r="AM45" i="65"/>
  <c r="BD45" i="65"/>
  <c r="AM47" i="65"/>
  <c r="BD47" i="65"/>
  <c r="BD137" i="65"/>
  <c r="AM169" i="65"/>
  <c r="BD33" i="79"/>
  <c r="AT33" i="79"/>
  <c r="BD37" i="79"/>
  <c r="AT37" i="79"/>
  <c r="BD49" i="79"/>
  <c r="AT49" i="79"/>
  <c r="BD77" i="79"/>
  <c r="AT77" i="79"/>
  <c r="AM55" i="65"/>
  <c r="BD55" i="65"/>
  <c r="AT55" i="65"/>
  <c r="AM109" i="65"/>
  <c r="BD109" i="65"/>
  <c r="AM111" i="65"/>
  <c r="BD111" i="65"/>
  <c r="BD201" i="65"/>
  <c r="AT201" i="65"/>
  <c r="BN115" i="79"/>
  <c r="BD115" i="79"/>
  <c r="AT115" i="79"/>
  <c r="AS115" i="79"/>
  <c r="E115" i="79" s="1"/>
  <c r="S115" i="79" s="1"/>
  <c r="BN147" i="79"/>
  <c r="AS147" i="79"/>
  <c r="E147" i="79" s="1"/>
  <c r="AM147" i="79" s="1"/>
  <c r="BD147" i="79"/>
  <c r="AT147" i="79"/>
  <c r="BN169" i="79"/>
  <c r="BD169" i="79"/>
  <c r="AT169" i="79"/>
  <c r="BD17" i="65"/>
  <c r="AM43" i="65"/>
  <c r="AM57" i="65"/>
  <c r="AM73" i="65"/>
  <c r="AT75" i="65"/>
  <c r="BD117" i="65"/>
  <c r="BD141" i="65"/>
  <c r="BD149" i="65"/>
  <c r="AT53" i="79"/>
  <c r="AS187" i="79"/>
  <c r="E187" i="79" s="1"/>
  <c r="M187" i="79" s="1"/>
  <c r="BD187" i="79"/>
  <c r="AT187" i="79"/>
  <c r="AS155" i="79"/>
  <c r="E155" i="79" s="1"/>
  <c r="O155" i="79" s="1"/>
  <c r="BN191" i="79"/>
  <c r="AT87" i="79"/>
  <c r="BN19" i="79"/>
  <c r="BN47" i="79"/>
  <c r="AS101" i="79"/>
  <c r="E101" i="79" s="1"/>
  <c r="Q101" i="79" s="1"/>
  <c r="BN101" i="79"/>
  <c r="BN133" i="79"/>
  <c r="BN155" i="79"/>
  <c r="BN173" i="79"/>
  <c r="AM123" i="65"/>
  <c r="AT69" i="79"/>
  <c r="AS169" i="79"/>
  <c r="E169" i="79" s="1"/>
  <c r="Q169" i="79" s="1"/>
  <c r="BN153" i="79"/>
  <c r="AS139" i="79"/>
  <c r="E139" i="79" s="1"/>
  <c r="M139" i="79" s="1"/>
  <c r="BD139" i="79"/>
  <c r="AT139" i="79"/>
  <c r="BN145" i="79"/>
  <c r="BD145" i="79"/>
  <c r="AT145" i="79"/>
  <c r="AS145" i="79"/>
  <c r="E145" i="79" s="1"/>
  <c r="AI145" i="79" s="1"/>
  <c r="BN161" i="79"/>
  <c r="AS161" i="79"/>
  <c r="E161" i="79" s="1"/>
  <c r="AK161" i="79" s="1"/>
  <c r="AS199" i="79"/>
  <c r="E199" i="79" s="1"/>
  <c r="Q199" i="79" s="1"/>
  <c r="AT121" i="79"/>
  <c r="BD121" i="79"/>
  <c r="BD195" i="79"/>
  <c r="B4" i="12"/>
  <c r="BD205" i="79"/>
  <c r="AT205" i="79"/>
  <c r="BN205" i="79"/>
  <c r="AS205" i="79"/>
  <c r="E205" i="79" s="1"/>
  <c r="AT31" i="65"/>
  <c r="BD31" i="65"/>
  <c r="F25" i="12"/>
  <c r="AT155" i="65"/>
  <c r="BD155" i="65"/>
  <c r="AM155" i="65"/>
  <c r="AS123" i="79"/>
  <c r="E123" i="79" s="1"/>
  <c r="BD123" i="79"/>
  <c r="AT123" i="79"/>
  <c r="BN185" i="79"/>
  <c r="AS185" i="79"/>
  <c r="E185" i="79" s="1"/>
  <c r="BD185" i="79"/>
  <c r="AT185" i="79"/>
  <c r="AS193" i="79"/>
  <c r="E193" i="79" s="1"/>
  <c r="BD193" i="79"/>
  <c r="AT193" i="79"/>
  <c r="AT61" i="65"/>
  <c r="AM61" i="65"/>
  <c r="BD61" i="65"/>
  <c r="AM175" i="65"/>
  <c r="BD175" i="65"/>
  <c r="AT175" i="65"/>
  <c r="AM31" i="65"/>
  <c r="BD59" i="65"/>
  <c r="AT59" i="65"/>
  <c r="AM59" i="65"/>
  <c r="B25" i="12"/>
  <c r="F4" i="12"/>
  <c r="AM127" i="65"/>
  <c r="BD127" i="65"/>
  <c r="AT127" i="65"/>
  <c r="AS57" i="79"/>
  <c r="E57" i="79" s="1"/>
  <c r="BN57" i="79"/>
  <c r="BD93" i="79"/>
  <c r="AT93" i="79"/>
  <c r="AT131" i="65"/>
  <c r="BD131" i="65"/>
  <c r="AM131" i="65"/>
  <c r="AT163" i="65"/>
  <c r="BD163" i="65"/>
  <c r="AM163" i="65"/>
  <c r="BD205" i="65"/>
  <c r="AT205" i="65"/>
  <c r="AM205" i="65"/>
  <c r="AS65" i="79"/>
  <c r="E65" i="79" s="1"/>
  <c r="BD65" i="79"/>
  <c r="AT65" i="79"/>
  <c r="AT81" i="65"/>
  <c r="BD81" i="65"/>
  <c r="AM81" i="65"/>
  <c r="AM83" i="65"/>
  <c r="BD83" i="65"/>
  <c r="AT83" i="65"/>
  <c r="AT95" i="65"/>
  <c r="AM95" i="65"/>
  <c r="BD95" i="65"/>
  <c r="AT97" i="65"/>
  <c r="BD97" i="65"/>
  <c r="AM97" i="65"/>
  <c r="AM99" i="65"/>
  <c r="BD99" i="65"/>
  <c r="AM101" i="65"/>
  <c r="BD101" i="65"/>
  <c r="AT101" i="65"/>
  <c r="BD103" i="65"/>
  <c r="AM103" i="65"/>
  <c r="AT103" i="65"/>
  <c r="AM191" i="65"/>
  <c r="BD191" i="65"/>
  <c r="AT191" i="65"/>
  <c r="AM159" i="65"/>
  <c r="BD159" i="65"/>
  <c r="AT159" i="65"/>
  <c r="AM173" i="65"/>
  <c r="BD173" i="65"/>
  <c r="BD55" i="79"/>
  <c r="AT55" i="79"/>
  <c r="BD163" i="79"/>
  <c r="AT163" i="79"/>
  <c r="AS207" i="79"/>
  <c r="E207" i="79" s="1"/>
  <c r="BD207" i="79"/>
  <c r="AT207" i="79"/>
  <c r="AT49" i="65"/>
  <c r="BD49" i="65"/>
  <c r="AM49" i="65"/>
  <c r="AM51" i="65"/>
  <c r="BD51" i="65"/>
  <c r="AM181" i="65"/>
  <c r="BD181" i="65"/>
  <c r="AT181" i="65"/>
  <c r="AS73" i="79"/>
  <c r="E73" i="79" s="1"/>
  <c r="BD151" i="79"/>
  <c r="AT151" i="79"/>
  <c r="BD165" i="65"/>
  <c r="AT165" i="65"/>
  <c r="AM165" i="65"/>
  <c r="AM207" i="65"/>
  <c r="BD207" i="65"/>
  <c r="AT207" i="65"/>
  <c r="BD29" i="79"/>
  <c r="AT29" i="79"/>
  <c r="BD59" i="79"/>
  <c r="AT59" i="79"/>
  <c r="BD105" i="79"/>
  <c r="AT105" i="79"/>
  <c r="BD129" i="65"/>
  <c r="AT129" i="65"/>
  <c r="AM129" i="65"/>
  <c r="BD193" i="65"/>
  <c r="AM193" i="65"/>
  <c r="AT193" i="65"/>
  <c r="AS189" i="79"/>
  <c r="E189" i="79" s="1"/>
  <c r="BD189" i="79"/>
  <c r="AT189" i="79"/>
  <c r="AM29" i="65"/>
  <c r="BD29" i="65"/>
  <c r="AT35" i="65"/>
  <c r="BD35" i="65"/>
  <c r="AM35" i="65"/>
  <c r="AM37" i="65"/>
  <c r="BD37" i="65"/>
  <c r="AT135" i="65"/>
  <c r="BD135" i="65"/>
  <c r="AM135" i="65"/>
  <c r="AM189" i="65"/>
  <c r="BD189" i="65"/>
  <c r="AT189" i="65"/>
  <c r="BD197" i="65"/>
  <c r="AM197" i="65"/>
  <c r="AT197" i="65"/>
  <c r="AS125" i="79"/>
  <c r="E125" i="79" s="1"/>
  <c r="BD125" i="79"/>
  <c r="AT125" i="79"/>
  <c r="BN125" i="79"/>
  <c r="AS157" i="79"/>
  <c r="E157" i="79" s="1"/>
  <c r="BD157" i="79"/>
  <c r="AT157" i="79"/>
  <c r="AT33" i="65"/>
  <c r="BD33" i="65"/>
  <c r="AM33" i="65"/>
  <c r="AT93" i="65"/>
  <c r="AM93" i="65"/>
  <c r="BD93" i="65"/>
  <c r="AT121" i="65"/>
  <c r="BD121" i="65"/>
  <c r="AM121" i="65"/>
  <c r="BD47" i="79"/>
  <c r="AT47" i="79"/>
  <c r="AM13" i="65"/>
  <c r="AT13" i="65"/>
  <c r="BD27" i="65"/>
  <c r="AT27" i="65"/>
  <c r="BD133" i="65"/>
  <c r="AT133" i="65"/>
  <c r="AT167" i="65"/>
  <c r="BD167" i="65"/>
  <c r="AM167" i="65"/>
  <c r="BD183" i="65"/>
  <c r="AT183" i="65"/>
  <c r="BD43" i="79"/>
  <c r="AT43" i="79"/>
  <c r="BD51" i="79"/>
  <c r="AT51" i="79"/>
  <c r="BN107" i="79"/>
  <c r="AS107" i="79"/>
  <c r="E107" i="79" s="1"/>
  <c r="BD107" i="79"/>
  <c r="AT107" i="79"/>
  <c r="BD137" i="79"/>
  <c r="AT137" i="79"/>
  <c r="AM67" i="65"/>
  <c r="BD67" i="65"/>
  <c r="AM69" i="65"/>
  <c r="BD69" i="65"/>
  <c r="AT69" i="65"/>
  <c r="BD71" i="65"/>
  <c r="AM71" i="65"/>
  <c r="AT71" i="65"/>
  <c r="AT115" i="65"/>
  <c r="AM115" i="65"/>
  <c r="BD115" i="65"/>
  <c r="AM125" i="65"/>
  <c r="BD125" i="65"/>
  <c r="AT153" i="65"/>
  <c r="AM153" i="65"/>
  <c r="BD161" i="65"/>
  <c r="AT161" i="65"/>
  <c r="AT199" i="65"/>
  <c r="AM199" i="65"/>
  <c r="AM27" i="65"/>
  <c r="BD113" i="65"/>
  <c r="AM113" i="65"/>
  <c r="AM143" i="65"/>
  <c r="AT143" i="65"/>
  <c r="BD143" i="65"/>
  <c r="BD177" i="65"/>
  <c r="AM177" i="65"/>
  <c r="AM183" i="65"/>
  <c r="AT185" i="65"/>
  <c r="BD185" i="65"/>
  <c r="AM185" i="65"/>
  <c r="AS77" i="79"/>
  <c r="E77" i="79" s="1"/>
  <c r="BN77" i="79"/>
  <c r="BD79" i="79"/>
  <c r="AT79" i="79"/>
  <c r="BD131" i="79"/>
  <c r="AT131" i="79"/>
  <c r="BN131" i="79"/>
  <c r="AS131" i="79"/>
  <c r="E131" i="79" s="1"/>
  <c r="AT195" i="65"/>
  <c r="AM195" i="65"/>
  <c r="AT211" i="65"/>
  <c r="AM211" i="65"/>
  <c r="AS45" i="79"/>
  <c r="E45" i="79" s="1"/>
  <c r="BN45" i="79"/>
  <c r="BD45" i="79"/>
  <c r="AT45" i="79"/>
  <c r="AS61" i="79"/>
  <c r="E61" i="79" s="1"/>
  <c r="BD61" i="79"/>
  <c r="AT61" i="79"/>
  <c r="BN61" i="79"/>
  <c r="BN129" i="79"/>
  <c r="BD129" i="79"/>
  <c r="AT129" i="79"/>
  <c r="AS129" i="79"/>
  <c r="E129" i="79" s="1"/>
  <c r="AS165" i="79"/>
  <c r="E165" i="79" s="1"/>
  <c r="BD165" i="79"/>
  <c r="AT165" i="79"/>
  <c r="BN165" i="79"/>
  <c r="AS183" i="79"/>
  <c r="E183" i="79" s="1"/>
  <c r="BD183" i="79"/>
  <c r="AT183" i="79"/>
  <c r="AM21" i="65"/>
  <c r="AT21" i="65"/>
  <c r="BD21" i="65"/>
  <c r="AM23" i="65"/>
  <c r="AT23" i="65"/>
  <c r="AT89" i="65"/>
  <c r="BD89" i="65"/>
  <c r="BD91" i="65"/>
  <c r="AT91" i="65"/>
  <c r="BD107" i="65"/>
  <c r="AT107" i="65"/>
  <c r="BD209" i="65"/>
  <c r="AM209" i="65"/>
  <c r="AT209" i="65"/>
  <c r="BN13" i="79"/>
  <c r="BD13" i="79"/>
  <c r="AT13" i="79"/>
  <c r="AS13" i="79"/>
  <c r="E13" i="79" s="1"/>
  <c r="BD23" i="79"/>
  <c r="AT23" i="79"/>
  <c r="BD27" i="79"/>
  <c r="AT27" i="79"/>
  <c r="BD35" i="79"/>
  <c r="AT35" i="79"/>
  <c r="AS69" i="79"/>
  <c r="E69" i="79" s="1"/>
  <c r="BN91" i="79"/>
  <c r="AS91" i="79"/>
  <c r="E91" i="79" s="1"/>
  <c r="BD91" i="79"/>
  <c r="AT91" i="79"/>
  <c r="BN167" i="79"/>
  <c r="AS167" i="79"/>
  <c r="E167" i="79" s="1"/>
  <c r="BD167" i="79"/>
  <c r="AT167" i="79"/>
  <c r="AT63" i="65"/>
  <c r="BD63" i="65"/>
  <c r="AT65" i="65"/>
  <c r="BD65" i="65"/>
  <c r="AM65" i="65"/>
  <c r="BD119" i="65"/>
  <c r="AT119" i="65"/>
  <c r="BD145" i="65"/>
  <c r="AM145" i="65"/>
  <c r="AT145" i="65"/>
  <c r="AT149" i="65"/>
  <c r="AM157" i="65"/>
  <c r="BD157" i="65"/>
  <c r="AT157" i="65"/>
  <c r="AT179" i="65"/>
  <c r="AM179" i="65"/>
  <c r="BD179" i="65"/>
  <c r="AT187" i="65"/>
  <c r="AM187" i="65"/>
  <c r="BD195" i="65"/>
  <c r="AS21" i="79"/>
  <c r="E21" i="79" s="1"/>
  <c r="BN95" i="79"/>
  <c r="BD95" i="79"/>
  <c r="AT95" i="79"/>
  <c r="BD97" i="79"/>
  <c r="AT97" i="79"/>
  <c r="BN99" i="79"/>
  <c r="AS99" i="79"/>
  <c r="E99" i="79" s="1"/>
  <c r="BD99" i="79"/>
  <c r="AT99" i="79"/>
  <c r="BN103" i="79"/>
  <c r="BN177" i="79"/>
  <c r="AS177" i="79"/>
  <c r="E177" i="79" s="1"/>
  <c r="BD177" i="79"/>
  <c r="AT177" i="79"/>
  <c r="BN183" i="79"/>
  <c r="AM85" i="65"/>
  <c r="AT85" i="65"/>
  <c r="AT117" i="65"/>
  <c r="AM151" i="65"/>
  <c r="BD15" i="79"/>
  <c r="AT15" i="79"/>
  <c r="BD39" i="79"/>
  <c r="AT39" i="79"/>
  <c r="BN111" i="79"/>
  <c r="AS111" i="79"/>
  <c r="E111" i="79" s="1"/>
  <c r="BD119" i="79"/>
  <c r="AT119" i="79"/>
  <c r="AT159" i="79"/>
  <c r="BD179" i="79"/>
  <c r="AT179" i="79"/>
  <c r="AT147" i="65"/>
  <c r="AM147" i="65"/>
  <c r="BD17" i="79"/>
  <c r="AT17" i="79"/>
  <c r="BN25" i="79"/>
  <c r="AS33" i="79"/>
  <c r="E33" i="79" s="1"/>
  <c r="BN33" i="79"/>
  <c r="BD75" i="79"/>
  <c r="AT75" i="79"/>
  <c r="BN159" i="79"/>
  <c r="AS159" i="79"/>
  <c r="E159" i="79" s="1"/>
  <c r="BN171" i="79"/>
  <c r="BD171" i="79"/>
  <c r="AT171" i="79"/>
  <c r="AM53" i="65"/>
  <c r="AT53" i="65"/>
  <c r="BN37" i="79"/>
  <c r="BN41" i="79"/>
  <c r="BD63" i="79"/>
  <c r="AT63" i="79"/>
  <c r="BD83" i="79"/>
  <c r="AT83" i="79"/>
  <c r="BD101" i="79"/>
  <c r="AT101" i="79"/>
  <c r="AT111" i="79"/>
  <c r="BD111" i="79"/>
  <c r="BD135" i="79"/>
  <c r="AT135" i="79"/>
  <c r="BD149" i="79"/>
  <c r="AT149" i="79"/>
  <c r="AS179" i="79"/>
  <c r="E179" i="79" s="1"/>
  <c r="BN179" i="79"/>
  <c r="AC8" i="20"/>
  <c r="E8" i="58"/>
  <c r="E13" i="58"/>
  <c r="E15" i="58"/>
  <c r="E17" i="58"/>
  <c r="E19" i="58"/>
  <c r="BV29" i="79" s="1"/>
  <c r="E21" i="58"/>
  <c r="BD31" i="79"/>
  <c r="AT31" i="79"/>
  <c r="AS53" i="79"/>
  <c r="E53" i="79" s="1"/>
  <c r="BN53" i="79"/>
  <c r="BD71" i="79"/>
  <c r="AT71" i="79"/>
  <c r="AS85" i="79"/>
  <c r="E85" i="79" s="1"/>
  <c r="BN85" i="79"/>
  <c r="BD117" i="79"/>
  <c r="AT117" i="79"/>
  <c r="BN211" i="79"/>
  <c r="BD211" i="79"/>
  <c r="AT211" i="79"/>
  <c r="E12" i="58"/>
  <c r="E23" i="58"/>
  <c r="E24" i="58"/>
  <c r="BD19" i="79"/>
  <c r="AT19" i="79"/>
  <c r="AS49" i="79"/>
  <c r="E49" i="79" s="1"/>
  <c r="BN49" i="79"/>
  <c r="BD67" i="79"/>
  <c r="AT67" i="79"/>
  <c r="AS81" i="79"/>
  <c r="E81" i="79" s="1"/>
  <c r="BN81" i="79"/>
  <c r="BN87" i="79"/>
  <c r="BD89" i="79"/>
  <c r="AT89" i="79"/>
  <c r="BD109" i="79"/>
  <c r="AT109" i="79"/>
  <c r="BN127" i="79"/>
  <c r="AS127" i="79"/>
  <c r="E127" i="79" s="1"/>
  <c r="BN143" i="79"/>
  <c r="BD175" i="79"/>
  <c r="AT175" i="79"/>
  <c r="AS181" i="79"/>
  <c r="E181" i="79" s="1"/>
  <c r="BD181" i="79"/>
  <c r="AT181" i="79"/>
  <c r="BD209" i="79"/>
  <c r="AT209" i="79"/>
  <c r="BD133" i="79"/>
  <c r="AT133" i="79"/>
  <c r="AS141" i="79"/>
  <c r="E141" i="79" s="1"/>
  <c r="BN141" i="79"/>
  <c r="BN181" i="79"/>
  <c r="BD191" i="79"/>
  <c r="AT191" i="79"/>
  <c r="BN197" i="79"/>
  <c r="BN199" i="79"/>
  <c r="BN203" i="79"/>
  <c r="BD203" i="79"/>
  <c r="BD201" i="79"/>
  <c r="AT201" i="79"/>
  <c r="I8" i="12" l="1"/>
  <c r="BV15" i="79"/>
  <c r="BV173" i="79"/>
  <c r="BO7" i="79"/>
  <c r="H18" i="12" s="1"/>
  <c r="L4" i="79"/>
  <c r="X4" i="79"/>
  <c r="AU9" i="79"/>
  <c r="AD4" i="79"/>
  <c r="AL4" i="79"/>
  <c r="CB2" i="79"/>
  <c r="P4" i="79"/>
  <c r="N4" i="79"/>
  <c r="BG9" i="79"/>
  <c r="BC9" i="79"/>
  <c r="I10" i="12"/>
  <c r="I14" i="12"/>
  <c r="I12" i="12"/>
  <c r="BF7" i="79"/>
  <c r="AL3" i="79" s="1"/>
  <c r="BV25" i="79"/>
  <c r="BV19" i="79"/>
  <c r="BV17" i="79"/>
  <c r="BV13" i="79"/>
  <c r="AV9" i="79"/>
  <c r="AB4" i="79"/>
  <c r="BJ9" i="79"/>
  <c r="BE9" i="79"/>
  <c r="AB3" i="79"/>
  <c r="G35" i="12"/>
  <c r="G39" i="12"/>
  <c r="BW11" i="57"/>
  <c r="BX11" i="57" s="1"/>
  <c r="BK11" i="57"/>
  <c r="BL11" i="57" s="1"/>
  <c r="W13" i="71"/>
  <c r="W3" i="71"/>
  <c r="R67" i="20"/>
  <c r="AM25" i="79"/>
  <c r="S4" i="57"/>
  <c r="K211" i="79"/>
  <c r="AM211" i="79"/>
  <c r="W211" i="79"/>
  <c r="M37" i="79"/>
  <c r="D13" i="57"/>
  <c r="O37" i="79"/>
  <c r="Y39" i="79"/>
  <c r="G36" i="12"/>
  <c r="G37" i="12"/>
  <c r="S37" i="79"/>
  <c r="W37" i="79"/>
  <c r="AG39" i="79"/>
  <c r="BY11" i="57"/>
  <c r="BZ11" i="57" s="1"/>
  <c r="CA11" i="57"/>
  <c r="CB11" i="57" s="1"/>
  <c r="W24" i="71"/>
  <c r="G38" i="12"/>
  <c r="CL11" i="57"/>
  <c r="CM11" i="57" s="1"/>
  <c r="U37" i="79"/>
  <c r="AI37" i="79"/>
  <c r="K37" i="79"/>
  <c r="AA39" i="79"/>
  <c r="AI39" i="79"/>
  <c r="R171" i="20"/>
  <c r="AK39" i="79"/>
  <c r="AE39" i="79"/>
  <c r="G47" i="12"/>
  <c r="W25" i="71"/>
  <c r="CR11" i="57"/>
  <c r="CS11" i="57" s="1"/>
  <c r="W12" i="71"/>
  <c r="Y197" i="79"/>
  <c r="S103" i="79"/>
  <c r="O103" i="79"/>
  <c r="AG95" i="79"/>
  <c r="W103" i="79"/>
  <c r="AE95" i="79"/>
  <c r="Y95" i="79"/>
  <c r="M95" i="79"/>
  <c r="S95" i="79"/>
  <c r="K95" i="79"/>
  <c r="U95" i="79"/>
  <c r="S153" i="79"/>
  <c r="Y103" i="79"/>
  <c r="AE103" i="79"/>
  <c r="AE197" i="79"/>
  <c r="AK197" i="79"/>
  <c r="AA197" i="79"/>
  <c r="AM197" i="79"/>
  <c r="K197" i="79"/>
  <c r="AG197" i="79"/>
  <c r="AI197" i="79"/>
  <c r="K103" i="79"/>
  <c r="U103" i="79"/>
  <c r="AK103" i="79"/>
  <c r="Y171" i="79"/>
  <c r="AI153" i="79"/>
  <c r="M113" i="79"/>
  <c r="AG153" i="79"/>
  <c r="AI171" i="79"/>
  <c r="AE171" i="79"/>
  <c r="AA153" i="79"/>
  <c r="AA171" i="79"/>
  <c r="U153" i="79"/>
  <c r="AK171" i="79"/>
  <c r="M153" i="79"/>
  <c r="AC171" i="79"/>
  <c r="W153" i="79"/>
  <c r="AM171" i="79"/>
  <c r="U171" i="79"/>
  <c r="U113" i="79"/>
  <c r="Y113" i="79"/>
  <c r="Q113" i="79"/>
  <c r="AC113" i="79"/>
  <c r="AK113" i="79"/>
  <c r="O113" i="79"/>
  <c r="AI298" i="76"/>
  <c r="AE281" i="76"/>
  <c r="AE219" i="76"/>
  <c r="AI188" i="76"/>
  <c r="AE174" i="76"/>
  <c r="AI126" i="76"/>
  <c r="AE114" i="76"/>
  <c r="AI19" i="76"/>
  <c r="AI236" i="76"/>
  <c r="AI89" i="76"/>
  <c r="AI60" i="76"/>
  <c r="BA101" i="20"/>
  <c r="AI184" i="76"/>
  <c r="AI275" i="76"/>
  <c r="AI248" i="76"/>
  <c r="AI155" i="76"/>
  <c r="AI120" i="76"/>
  <c r="H16" i="12"/>
  <c r="I4" i="57"/>
  <c r="DC1" i="57" s="1"/>
  <c r="AE308" i="76"/>
  <c r="AE250" i="76"/>
  <c r="AE184" i="76"/>
  <c r="AE153" i="76"/>
  <c r="AI283" i="76"/>
  <c r="AI221" i="76"/>
  <c r="AE217" i="76"/>
  <c r="AI176" i="76"/>
  <c r="AE159" i="76"/>
  <c r="AI124" i="76"/>
  <c r="AE112" i="76"/>
  <c r="AI58" i="76"/>
  <c r="AE50" i="76"/>
  <c r="BO14" i="15"/>
  <c r="AI314" i="76"/>
  <c r="AI312" i="76"/>
  <c r="AI145" i="76"/>
  <c r="AI153" i="76"/>
  <c r="AI66" i="76"/>
  <c r="U211" i="79"/>
  <c r="BA21" i="15"/>
  <c r="M211" i="79"/>
  <c r="AW21" i="15"/>
  <c r="CD36" i="70"/>
  <c r="AM11" i="15"/>
  <c r="CT18" i="70"/>
  <c r="AE238" i="76"/>
  <c r="AE213" i="76"/>
  <c r="AE62" i="76"/>
  <c r="AE52" i="76"/>
  <c r="AE27" i="76"/>
  <c r="AE306" i="76"/>
  <c r="AI269" i="76"/>
  <c r="AE252" i="76"/>
  <c r="AI215" i="76"/>
  <c r="AE205" i="76"/>
  <c r="AE143" i="76"/>
  <c r="AI97" i="76"/>
  <c r="AE83" i="76"/>
  <c r="AI35" i="76"/>
  <c r="AE31" i="76"/>
  <c r="D16" i="12"/>
  <c r="AQ9" i="65"/>
  <c r="AI310" i="76"/>
  <c r="AI213" i="76"/>
  <c r="U7" i="76"/>
  <c r="C4" i="76" s="1"/>
  <c r="AI300" i="76"/>
  <c r="AI182" i="76"/>
  <c r="AI151" i="76"/>
  <c r="AI93" i="76"/>
  <c r="AI29" i="76"/>
  <c r="L2" i="68"/>
  <c r="BB14" i="68" s="1"/>
  <c r="T4" i="68"/>
  <c r="R4" i="68"/>
  <c r="AS21" i="15"/>
  <c r="BB21" i="15"/>
  <c r="G45" i="12"/>
  <c r="W8" i="71"/>
  <c r="AE314" i="76"/>
  <c r="AE248" i="76"/>
  <c r="AE182" i="76"/>
  <c r="AE151" i="76"/>
  <c r="AE93" i="76"/>
  <c r="AE283" i="76"/>
  <c r="AE221" i="76"/>
  <c r="AI190" i="76"/>
  <c r="AE176" i="76"/>
  <c r="AI128" i="76"/>
  <c r="AE124" i="76"/>
  <c r="AI81" i="76"/>
  <c r="AE58" i="76"/>
  <c r="AI21" i="76"/>
  <c r="BN14" i="15"/>
  <c r="AI308" i="76"/>
  <c r="AI277" i="76"/>
  <c r="N4" i="76"/>
  <c r="AI250" i="76"/>
  <c r="AI246" i="76"/>
  <c r="AI64" i="76"/>
  <c r="AN2" i="68"/>
  <c r="H2" i="68"/>
  <c r="BG13" i="68"/>
  <c r="K7" i="12"/>
  <c r="AT21" i="15"/>
  <c r="G33" i="12"/>
  <c r="AE236" i="76"/>
  <c r="AE122" i="76"/>
  <c r="AE60" i="76"/>
  <c r="AI281" i="76"/>
  <c r="AE269" i="76"/>
  <c r="AI219" i="76"/>
  <c r="AE215" i="76"/>
  <c r="AI174" i="76"/>
  <c r="AI114" i="76"/>
  <c r="AE97" i="76"/>
  <c r="AE35" i="76"/>
  <c r="BL14" i="15"/>
  <c r="AI52" i="76"/>
  <c r="AI244" i="76"/>
  <c r="AI91" i="76"/>
  <c r="AI27" i="76"/>
  <c r="AK211" i="79"/>
  <c r="C9" i="12"/>
  <c r="Q211" i="79"/>
  <c r="AO10" i="65"/>
  <c r="AZ61" i="20"/>
  <c r="W7" i="71"/>
  <c r="BZ10" i="57"/>
  <c r="CE10" i="57"/>
  <c r="AE312" i="76"/>
  <c r="AE277" i="76"/>
  <c r="AE246" i="76"/>
  <c r="AE157" i="76"/>
  <c r="AE91" i="76"/>
  <c r="AI267" i="76"/>
  <c r="AI207" i="76"/>
  <c r="AE190" i="76"/>
  <c r="AE128" i="76"/>
  <c r="AI95" i="76"/>
  <c r="AE81" i="76"/>
  <c r="AI33" i="76"/>
  <c r="AE21" i="76"/>
  <c r="AI186" i="76"/>
  <c r="AI238" i="76"/>
  <c r="AI157" i="76"/>
  <c r="AI122" i="76"/>
  <c r="AI62" i="76"/>
  <c r="Z4" i="65"/>
  <c r="E16" i="12"/>
  <c r="S113" i="79"/>
  <c r="AA113" i="79"/>
  <c r="AI113" i="79"/>
  <c r="AE113" i="79"/>
  <c r="AI25" i="79"/>
  <c r="M171" i="79"/>
  <c r="K171" i="79"/>
  <c r="Q171" i="79"/>
  <c r="AG171" i="79"/>
  <c r="S171" i="79"/>
  <c r="O171" i="79"/>
  <c r="AE211" i="79"/>
  <c r="AA211" i="79"/>
  <c r="O211" i="79"/>
  <c r="AG211" i="79"/>
  <c r="Y211" i="79"/>
  <c r="AI211" i="79"/>
  <c r="AC211" i="79"/>
  <c r="O95" i="79"/>
  <c r="Q95" i="79"/>
  <c r="W95" i="79"/>
  <c r="AK95" i="79"/>
  <c r="AC95" i="79"/>
  <c r="AM95" i="79"/>
  <c r="AA95" i="79"/>
  <c r="K113" i="79"/>
  <c r="AG113" i="79"/>
  <c r="AM113" i="79"/>
  <c r="R139" i="20"/>
  <c r="R37" i="20"/>
  <c r="R103" i="20"/>
  <c r="S197" i="79"/>
  <c r="O197" i="79"/>
  <c r="Q197" i="79"/>
  <c r="U39" i="79"/>
  <c r="S39" i="79"/>
  <c r="AG37" i="79"/>
  <c r="AE37" i="79"/>
  <c r="AM37" i="79"/>
  <c r="AA37" i="79"/>
  <c r="M103" i="79"/>
  <c r="AG103" i="79"/>
  <c r="AC103" i="79"/>
  <c r="AM103" i="79"/>
  <c r="AA103" i="79"/>
  <c r="AI103" i="79"/>
  <c r="Q153" i="79"/>
  <c r="AM153" i="79"/>
  <c r="AE153" i="79"/>
  <c r="Y153" i="79"/>
  <c r="O153" i="79"/>
  <c r="AC153" i="79"/>
  <c r="AK153" i="79"/>
  <c r="U197" i="79"/>
  <c r="W197" i="79"/>
  <c r="Q39" i="79"/>
  <c r="AC37" i="79"/>
  <c r="AK37" i="79"/>
  <c r="Q37" i="79"/>
  <c r="AC39" i="79"/>
  <c r="W39" i="79"/>
  <c r="AC197" i="79"/>
  <c r="AM39" i="79"/>
  <c r="M39" i="79"/>
  <c r="K39" i="79"/>
  <c r="R149" i="20"/>
  <c r="BD10" i="68"/>
  <c r="AH314" i="76"/>
  <c r="AH275" i="76"/>
  <c r="AP10" i="65"/>
  <c r="C10" i="12"/>
  <c r="C5" i="71"/>
  <c r="AV10" i="65"/>
  <c r="AW10" i="65" s="1"/>
  <c r="C9" i="71"/>
  <c r="AQ10" i="65"/>
  <c r="C11" i="12"/>
  <c r="C6" i="71"/>
  <c r="C15" i="12"/>
  <c r="C10" i="71"/>
  <c r="BE10" i="65"/>
  <c r="BF10" i="65" s="1"/>
  <c r="C18" i="12"/>
  <c r="C13" i="71"/>
  <c r="AV10" i="79"/>
  <c r="G9" i="12"/>
  <c r="H4" i="71"/>
  <c r="BB10" i="79"/>
  <c r="BA10" i="79"/>
  <c r="H10" i="71"/>
  <c r="BH10" i="79"/>
  <c r="BJ10" i="79" s="1"/>
  <c r="G15" i="12"/>
  <c r="K13" i="12"/>
  <c r="M9" i="71"/>
  <c r="AW10" i="79"/>
  <c r="G10" i="12"/>
  <c r="H5" i="71"/>
  <c r="AX10" i="20"/>
  <c r="C29" i="12"/>
  <c r="CP11" i="57"/>
  <c r="CQ11" i="57" s="1"/>
  <c r="G49" i="12"/>
  <c r="V4" i="65"/>
  <c r="E9" i="12"/>
  <c r="AJ314" i="76"/>
  <c r="AJ213" i="76"/>
  <c r="AJ238" i="76"/>
  <c r="AJ186" i="76"/>
  <c r="AJ184" i="76"/>
  <c r="AF314" i="76"/>
  <c r="AF186" i="76"/>
  <c r="AF184" i="76"/>
  <c r="AF213" i="76"/>
  <c r="AN10" i="65"/>
  <c r="C8" i="12"/>
  <c r="C3" i="71"/>
  <c r="AR10" i="65"/>
  <c r="C12" i="12"/>
  <c r="C7" i="71"/>
  <c r="C16" i="12"/>
  <c r="C11" i="71"/>
  <c r="D13" i="79"/>
  <c r="AX10" i="79"/>
  <c r="G11" i="12"/>
  <c r="H6" i="71"/>
  <c r="BK10" i="79"/>
  <c r="BL10" i="79" s="1"/>
  <c r="G16" i="12"/>
  <c r="H11" i="71"/>
  <c r="AU10" i="79"/>
  <c r="G8" i="12"/>
  <c r="H3" i="71"/>
  <c r="BM10" i="79"/>
  <c r="BN10" i="79" s="1"/>
  <c r="G17" i="12"/>
  <c r="H12" i="71"/>
  <c r="AU10" i="54"/>
  <c r="AW10" i="54" s="1"/>
  <c r="M3" i="71"/>
  <c r="K14" i="12"/>
  <c r="M10" i="71"/>
  <c r="C37" i="12"/>
  <c r="R12" i="71"/>
  <c r="R6" i="71"/>
  <c r="C31" i="12"/>
  <c r="AR2" i="68"/>
  <c r="E14" i="12"/>
  <c r="BZ17" i="68"/>
  <c r="BZ10" i="68" s="1"/>
  <c r="CA11" i="68"/>
  <c r="BV17" i="68"/>
  <c r="BV10" i="68" s="1"/>
  <c r="BW11" i="68"/>
  <c r="BR17" i="68"/>
  <c r="BR10" i="68" s="1"/>
  <c r="BS11" i="68"/>
  <c r="BN17" i="68"/>
  <c r="BN10" i="68" s="1"/>
  <c r="BO11" i="68"/>
  <c r="BJ17" i="68"/>
  <c r="BJ10" i="68" s="1"/>
  <c r="BK11" i="68"/>
  <c r="BW30" i="70"/>
  <c r="BU30" i="70"/>
  <c r="BS21" i="70"/>
  <c r="BO31" i="70"/>
  <c r="AZ43" i="70"/>
  <c r="AT46" i="70"/>
  <c r="AR27" i="70"/>
  <c r="BT16" i="70"/>
  <c r="BX22" i="70"/>
  <c r="BT47" i="70"/>
  <c r="BR31" i="70"/>
  <c r="BN34" i="70"/>
  <c r="BL24" i="70"/>
  <c r="BJ34" i="70"/>
  <c r="BH46" i="70"/>
  <c r="BA22" i="70"/>
  <c r="AY31" i="70"/>
  <c r="AW25" i="70"/>
  <c r="AS20" i="70"/>
  <c r="AY11" i="68"/>
  <c r="BY11" i="68"/>
  <c r="BX17" i="68"/>
  <c r="BX10" i="68" s="1"/>
  <c r="BU11" i="68"/>
  <c r="BT17" i="68"/>
  <c r="BT10" i="68" s="1"/>
  <c r="BQ11" i="68"/>
  <c r="BP17" i="68"/>
  <c r="BP10" i="68" s="1"/>
  <c r="BM11" i="68"/>
  <c r="BL17" i="68"/>
  <c r="BL10" i="68" s="1"/>
  <c r="BI11" i="68"/>
  <c r="BH17" i="68"/>
  <c r="BH10" i="68" s="1"/>
  <c r="DB19" i="70"/>
  <c r="DE18" i="70"/>
  <c r="DC18" i="70"/>
  <c r="DF18" i="70"/>
  <c r="DD18" i="70"/>
  <c r="DA39" i="70"/>
  <c r="DA38" i="70"/>
  <c r="BQ21" i="70"/>
  <c r="BM20" i="70"/>
  <c r="BK23" i="70"/>
  <c r="BI23" i="70"/>
  <c r="BV31" i="70"/>
  <c r="BP23" i="70"/>
  <c r="AQ39" i="70"/>
  <c r="CI18" i="70"/>
  <c r="CP18" i="70"/>
  <c r="CF18" i="70"/>
  <c r="CM18" i="70"/>
  <c r="CG18" i="70"/>
  <c r="CS18" i="70"/>
  <c r="CJ18" i="70"/>
  <c r="CE19" i="70"/>
  <c r="BQ7" i="79"/>
  <c r="I50" i="12"/>
  <c r="I36" i="12"/>
  <c r="AY4" i="57"/>
  <c r="CQ10" i="57"/>
  <c r="I29" i="12"/>
  <c r="BP10" i="57"/>
  <c r="I33" i="12"/>
  <c r="I47" i="12"/>
  <c r="AQ4" i="57"/>
  <c r="I31" i="12"/>
  <c r="BR10" i="57"/>
  <c r="AI4" i="57"/>
  <c r="I37" i="12"/>
  <c r="I39" i="12"/>
  <c r="AM4" i="57"/>
  <c r="O4" i="57"/>
  <c r="BJ10" i="57"/>
  <c r="I34" i="12"/>
  <c r="I38" i="12"/>
  <c r="I49" i="12"/>
  <c r="I40" i="12"/>
  <c r="CO10" i="57"/>
  <c r="I46" i="12"/>
  <c r="CI10" i="57"/>
  <c r="K4" i="57"/>
  <c r="BN10" i="57"/>
  <c r="U4" i="57"/>
  <c r="I48" i="12"/>
  <c r="I44" i="12"/>
  <c r="H33" i="12"/>
  <c r="AS4" i="57"/>
  <c r="H44" i="12"/>
  <c r="R93" i="20"/>
  <c r="I35" i="12"/>
  <c r="AA4" i="57"/>
  <c r="BX10" i="57"/>
  <c r="BH8" i="57"/>
  <c r="C4" i="57" s="1"/>
  <c r="R65" i="20"/>
  <c r="H38" i="12"/>
  <c r="R63" i="20"/>
  <c r="AK3" i="57"/>
  <c r="R169" i="20"/>
  <c r="R31" i="20"/>
  <c r="R43" i="20"/>
  <c r="R59" i="20"/>
  <c r="R21" i="20"/>
  <c r="AZ131" i="20"/>
  <c r="BA57" i="20"/>
  <c r="BA23" i="20"/>
  <c r="AZ53" i="20"/>
  <c r="R165" i="20"/>
  <c r="AZ129" i="20"/>
  <c r="AZ109" i="20"/>
  <c r="AZ71" i="20"/>
  <c r="R131" i="20"/>
  <c r="BA159" i="20"/>
  <c r="BJ153" i="20"/>
  <c r="T153" i="20" s="1"/>
  <c r="R177" i="20"/>
  <c r="BJ177" i="20"/>
  <c r="T177" i="20" s="1"/>
  <c r="R185" i="20"/>
  <c r="BJ185" i="20"/>
  <c r="T185" i="20" s="1"/>
  <c r="R29" i="20"/>
  <c r="BJ29" i="20"/>
  <c r="T29" i="20" s="1"/>
  <c r="BJ143" i="20"/>
  <c r="T143" i="20" s="1"/>
  <c r="BJ15" i="20"/>
  <c r="T15" i="20" s="1"/>
  <c r="BJ101" i="20"/>
  <c r="T101" i="20" s="1"/>
  <c r="R17" i="20"/>
  <c r="BJ17" i="20"/>
  <c r="T17" i="20" s="1"/>
  <c r="R25" i="20"/>
  <c r="R89" i="20"/>
  <c r="R173" i="20"/>
  <c r="BJ91" i="20"/>
  <c r="T91" i="20" s="1"/>
  <c r="BJ41" i="20"/>
  <c r="T41" i="20" s="1"/>
  <c r="R181" i="20"/>
  <c r="BJ181" i="20"/>
  <c r="T181" i="20" s="1"/>
  <c r="BJ135" i="20"/>
  <c r="T135" i="20" s="1"/>
  <c r="R97" i="20"/>
  <c r="BJ97" i="20"/>
  <c r="T97" i="20" s="1"/>
  <c r="BJ81" i="20"/>
  <c r="T81" i="20" s="1"/>
  <c r="BJ83" i="20"/>
  <c r="T83" i="20" s="1"/>
  <c r="R35" i="20"/>
  <c r="BJ35" i="20"/>
  <c r="T35" i="20" s="1"/>
  <c r="AZ31" i="20"/>
  <c r="AZ51" i="20"/>
  <c r="AZ97" i="20"/>
  <c r="BA161" i="20"/>
  <c r="AZ203" i="20"/>
  <c r="BA199" i="20"/>
  <c r="AZ115" i="20"/>
  <c r="BA163" i="20"/>
  <c r="AZ145" i="20"/>
  <c r="AZ149" i="20"/>
  <c r="AZ197" i="20"/>
  <c r="AZ95" i="20"/>
  <c r="AZ87" i="20"/>
  <c r="AZ63" i="20"/>
  <c r="AN5" i="20"/>
  <c r="J4" i="20" s="1"/>
  <c r="BG1" i="20" s="1"/>
  <c r="BA111" i="20"/>
  <c r="AZ123" i="20"/>
  <c r="AZ25" i="20"/>
  <c r="AZ153" i="20"/>
  <c r="R153" i="20"/>
  <c r="R15" i="20"/>
  <c r="R101" i="20"/>
  <c r="R143" i="20"/>
  <c r="R135" i="20"/>
  <c r="AZ113" i="20"/>
  <c r="AZ119" i="20"/>
  <c r="AZ185" i="20"/>
  <c r="AZ205" i="20"/>
  <c r="R81" i="20"/>
  <c r="R91" i="20"/>
  <c r="AZ211" i="20"/>
  <c r="AZ155" i="20"/>
  <c r="AZ27" i="20"/>
  <c r="AZ157" i="20"/>
  <c r="AZ181" i="20"/>
  <c r="R83" i="20"/>
  <c r="AZ117" i="20"/>
  <c r="AZ177" i="20"/>
  <c r="AZ143" i="20"/>
  <c r="AZ135" i="20"/>
  <c r="BA187" i="20"/>
  <c r="AZ49" i="20"/>
  <c r="AZ37" i="20"/>
  <c r="R41" i="20"/>
  <c r="AZ67" i="20"/>
  <c r="AZ75" i="20"/>
  <c r="BA29" i="20"/>
  <c r="T107" i="20"/>
  <c r="R107" i="20"/>
  <c r="T73" i="20"/>
  <c r="R73" i="20"/>
  <c r="T195" i="20"/>
  <c r="R195" i="20"/>
  <c r="T51" i="20"/>
  <c r="R51" i="20"/>
  <c r="T201" i="20"/>
  <c r="R201" i="20"/>
  <c r="T211" i="20"/>
  <c r="R211" i="20"/>
  <c r="T121" i="20"/>
  <c r="R121" i="20"/>
  <c r="T141" i="20"/>
  <c r="R141" i="20"/>
  <c r="T19" i="20"/>
  <c r="R19" i="20"/>
  <c r="T125" i="20"/>
  <c r="R125" i="20"/>
  <c r="T47" i="20"/>
  <c r="R47" i="20"/>
  <c r="T39" i="20"/>
  <c r="R39" i="20"/>
  <c r="T163" i="20"/>
  <c r="R163" i="20"/>
  <c r="T207" i="20"/>
  <c r="R207" i="20"/>
  <c r="T191" i="20"/>
  <c r="R191" i="20"/>
  <c r="T99" i="20"/>
  <c r="R99" i="20"/>
  <c r="T167" i="20"/>
  <c r="R167" i="20"/>
  <c r="T117" i="20"/>
  <c r="R117" i="20"/>
  <c r="T179" i="20"/>
  <c r="R179" i="20"/>
  <c r="T137" i="20"/>
  <c r="R137" i="20"/>
  <c r="T129" i="20"/>
  <c r="R129" i="20"/>
  <c r="T61" i="20"/>
  <c r="R61" i="20"/>
  <c r="T183" i="20"/>
  <c r="R183" i="20"/>
  <c r="T85" i="20"/>
  <c r="R85" i="20"/>
  <c r="T159" i="20"/>
  <c r="R159" i="20"/>
  <c r="T113" i="20"/>
  <c r="R113" i="20"/>
  <c r="T79" i="20"/>
  <c r="R79" i="20"/>
  <c r="T155" i="20"/>
  <c r="R155" i="20"/>
  <c r="T203" i="20"/>
  <c r="R203" i="20"/>
  <c r="T109" i="20"/>
  <c r="R109" i="20"/>
  <c r="T175" i="20"/>
  <c r="R175" i="20"/>
  <c r="T119" i="20"/>
  <c r="R119" i="20"/>
  <c r="T75" i="20"/>
  <c r="R75" i="20"/>
  <c r="T205" i="20"/>
  <c r="R205" i="20"/>
  <c r="T187" i="20"/>
  <c r="R187" i="20"/>
  <c r="T55" i="20"/>
  <c r="R55" i="20"/>
  <c r="T45" i="20"/>
  <c r="R45" i="20"/>
  <c r="T197" i="20"/>
  <c r="R197" i="20"/>
  <c r="T123" i="20"/>
  <c r="R123" i="20"/>
  <c r="T151" i="20"/>
  <c r="R151" i="20"/>
  <c r="T193" i="20"/>
  <c r="R193" i="20"/>
  <c r="T157" i="20"/>
  <c r="R157" i="20"/>
  <c r="T105" i="20"/>
  <c r="R105" i="20"/>
  <c r="T147" i="20"/>
  <c r="R147" i="20"/>
  <c r="T115" i="20"/>
  <c r="R115" i="20"/>
  <c r="T71" i="20"/>
  <c r="R71" i="20"/>
  <c r="T145" i="20"/>
  <c r="R145" i="20"/>
  <c r="T57" i="20"/>
  <c r="R57" i="20"/>
  <c r="T33" i="20"/>
  <c r="R33" i="20"/>
  <c r="T23" i="20"/>
  <c r="R23" i="20"/>
  <c r="T49" i="20"/>
  <c r="R49" i="20"/>
  <c r="T77" i="20"/>
  <c r="R77" i="20"/>
  <c r="T189" i="20"/>
  <c r="R189" i="20"/>
  <c r="T127" i="20"/>
  <c r="R127" i="20"/>
  <c r="T133" i="20"/>
  <c r="R133" i="20"/>
  <c r="T209" i="20"/>
  <c r="R209" i="20"/>
  <c r="T199" i="20"/>
  <c r="R199" i="20"/>
  <c r="T161" i="20"/>
  <c r="R161" i="20"/>
  <c r="T111" i="20"/>
  <c r="R111" i="20"/>
  <c r="T53" i="20"/>
  <c r="R53" i="20"/>
  <c r="T87" i="20"/>
  <c r="R87" i="20"/>
  <c r="T69" i="20"/>
  <c r="R69" i="20"/>
  <c r="T27" i="20"/>
  <c r="R27" i="20"/>
  <c r="BA89" i="20"/>
  <c r="AZ89" i="20"/>
  <c r="BA173" i="20"/>
  <c r="BA105" i="20"/>
  <c r="AZ105" i="20"/>
  <c r="BA133" i="20"/>
  <c r="BA69" i="20"/>
  <c r="AZ69" i="20"/>
  <c r="AZ195" i="20"/>
  <c r="AY7" i="20"/>
  <c r="X4" i="20" s="1"/>
  <c r="BA125" i="20"/>
  <c r="AZ125" i="20"/>
  <c r="AZ85" i="20"/>
  <c r="BA85" i="20"/>
  <c r="AQ7" i="20"/>
  <c r="N4" i="20" s="1"/>
  <c r="AZ169" i="20"/>
  <c r="AR7" i="20"/>
  <c r="P4" i="20" s="1"/>
  <c r="BA65" i="20"/>
  <c r="AZ65" i="20"/>
  <c r="AZ93" i="20"/>
  <c r="AZ41" i="20"/>
  <c r="AM7" i="20"/>
  <c r="H4" i="20" s="1"/>
  <c r="BB7" i="20"/>
  <c r="Z4" i="20" s="1"/>
  <c r="BA99" i="20"/>
  <c r="AZ99" i="20"/>
  <c r="AU7" i="20"/>
  <c r="V4" i="20" s="1"/>
  <c r="BA107" i="20"/>
  <c r="AZ189" i="20"/>
  <c r="BA189" i="20"/>
  <c r="BA59" i="20"/>
  <c r="AZ59" i="20"/>
  <c r="T13" i="20"/>
  <c r="R13" i="20"/>
  <c r="DK19" i="70"/>
  <c r="DL18" i="70"/>
  <c r="P3" i="20"/>
  <c r="BA13" i="20"/>
  <c r="AZ13" i="20"/>
  <c r="DC2" i="57"/>
  <c r="BF9" i="79"/>
  <c r="Z3" i="79"/>
  <c r="BE58" i="54"/>
  <c r="BD58" i="54" s="1"/>
  <c r="AX41" i="54"/>
  <c r="BE55" i="54"/>
  <c r="BD55" i="54" s="1"/>
  <c r="AX23" i="54"/>
  <c r="BA49" i="54"/>
  <c r="E46" i="54"/>
  <c r="BA46" i="54" s="1"/>
  <c r="BC52" i="54"/>
  <c r="E52" i="54"/>
  <c r="E20" i="54"/>
  <c r="K20" i="54" s="1"/>
  <c r="BC20" i="54"/>
  <c r="CD39" i="70"/>
  <c r="BC62" i="15"/>
  <c r="CD35" i="70"/>
  <c r="CD44" i="70" s="1"/>
  <c r="AY6" i="54"/>
  <c r="AY8" i="54" s="1"/>
  <c r="CF19" i="70"/>
  <c r="CD32" i="70"/>
  <c r="CD41" i="70" s="1"/>
  <c r="CD45" i="70"/>
  <c r="CD50" i="70" s="1"/>
  <c r="CD34" i="70"/>
  <c r="CD43" i="70" s="1"/>
  <c r="CD38" i="70"/>
  <c r="BC54" i="15"/>
  <c r="CU19" i="70"/>
  <c r="CD33" i="70"/>
  <c r="CD42" i="70" s="1"/>
  <c r="BA20" i="54"/>
  <c r="H4" i="54"/>
  <c r="AU8" i="54"/>
  <c r="M7" i="12"/>
  <c r="BB6" i="54"/>
  <c r="BD49" i="54"/>
  <c r="L3" i="76"/>
  <c r="Y8" i="76"/>
  <c r="U6" i="76"/>
  <c r="C3" i="76" s="1"/>
  <c r="H41" i="12"/>
  <c r="AW8" i="20"/>
  <c r="N3" i="20"/>
  <c r="L3" i="20"/>
  <c r="D29" i="12"/>
  <c r="BW9" i="57"/>
  <c r="AA3" i="57"/>
  <c r="H35" i="12"/>
  <c r="K55" i="79"/>
  <c r="U55" i="79"/>
  <c r="K75" i="79"/>
  <c r="AA55" i="79"/>
  <c r="Y75" i="79"/>
  <c r="AM55" i="79"/>
  <c r="U89" i="79"/>
  <c r="Y89" i="79"/>
  <c r="S43" i="79"/>
  <c r="Q89" i="79"/>
  <c r="AM89" i="79"/>
  <c r="AC89" i="79"/>
  <c r="S89" i="79"/>
  <c r="AK89" i="79"/>
  <c r="AA89" i="79"/>
  <c r="M89" i="79"/>
  <c r="K89" i="79"/>
  <c r="AI89" i="79"/>
  <c r="O89" i="79"/>
  <c r="AG89" i="79"/>
  <c r="W89" i="79"/>
  <c r="Y55" i="79"/>
  <c r="AI55" i="79"/>
  <c r="AC55" i="79"/>
  <c r="AG75" i="79"/>
  <c r="O55" i="79"/>
  <c r="S55" i="79"/>
  <c r="AK75" i="79"/>
  <c r="Y67" i="79"/>
  <c r="Q55" i="79"/>
  <c r="AG55" i="79"/>
  <c r="AK55" i="79"/>
  <c r="W55" i="79"/>
  <c r="AE55" i="79"/>
  <c r="O93" i="79"/>
  <c r="AG119" i="79"/>
  <c r="AC119" i="79"/>
  <c r="AA43" i="79"/>
  <c r="W119" i="79"/>
  <c r="Y35" i="79"/>
  <c r="U119" i="79"/>
  <c r="W35" i="79"/>
  <c r="K119" i="79"/>
  <c r="M35" i="79"/>
  <c r="AK119" i="79"/>
  <c r="AM35" i="79"/>
  <c r="Y119" i="79"/>
  <c r="AC63" i="79"/>
  <c r="S63" i="79"/>
  <c r="O119" i="79"/>
  <c r="AE43" i="79"/>
  <c r="S35" i="79"/>
  <c r="K145" i="79"/>
  <c r="O63" i="79"/>
  <c r="AI119" i="79"/>
  <c r="Y63" i="79"/>
  <c r="AM63" i="79"/>
  <c r="M119" i="79"/>
  <c r="AI35" i="79"/>
  <c r="AC35" i="79"/>
  <c r="Y93" i="79"/>
  <c r="AM119" i="79"/>
  <c r="AA63" i="79"/>
  <c r="AM145" i="79"/>
  <c r="W63" i="79"/>
  <c r="W151" i="79"/>
  <c r="AE63" i="79"/>
  <c r="Q35" i="79"/>
  <c r="M63" i="79"/>
  <c r="AI63" i="79"/>
  <c r="AA119" i="79"/>
  <c r="O35" i="79"/>
  <c r="U35" i="79"/>
  <c r="AE119" i="79"/>
  <c r="AG63" i="79"/>
  <c r="AI93" i="79"/>
  <c r="AA35" i="79"/>
  <c r="AE35" i="79"/>
  <c r="Q63" i="79"/>
  <c r="S119" i="79"/>
  <c r="AG35" i="79"/>
  <c r="K35" i="79"/>
  <c r="AA93" i="79"/>
  <c r="K63" i="79"/>
  <c r="O75" i="79"/>
  <c r="AC163" i="79"/>
  <c r="S93" i="79"/>
  <c r="AA75" i="79"/>
  <c r="AK63" i="79"/>
  <c r="S75" i="79"/>
  <c r="AE163" i="79"/>
  <c r="Q93" i="79"/>
  <c r="M93" i="79"/>
  <c r="W75" i="79"/>
  <c r="AM75" i="79"/>
  <c r="O149" i="79"/>
  <c r="U75" i="79"/>
  <c r="Y163" i="79"/>
  <c r="U93" i="79"/>
  <c r="AC93" i="79"/>
  <c r="AE75" i="79"/>
  <c r="AC75" i="79"/>
  <c r="M75" i="79"/>
  <c r="AE93" i="79"/>
  <c r="AI75" i="79"/>
  <c r="AA71" i="79"/>
  <c r="K71" i="79"/>
  <c r="U79" i="79"/>
  <c r="AI71" i="79"/>
  <c r="AI79" i="79"/>
  <c r="AK71" i="79"/>
  <c r="AM71" i="79"/>
  <c r="AG79" i="79"/>
  <c r="AE47" i="79"/>
  <c r="O145" i="79"/>
  <c r="AI97" i="79"/>
  <c r="M151" i="79"/>
  <c r="Q151" i="79"/>
  <c r="S163" i="79"/>
  <c r="AK151" i="79"/>
  <c r="AC151" i="79"/>
  <c r="AC87" i="79"/>
  <c r="W191" i="79"/>
  <c r="AC191" i="79"/>
  <c r="S191" i="79"/>
  <c r="AM163" i="79"/>
  <c r="K151" i="79"/>
  <c r="Y151" i="79"/>
  <c r="AI151" i="79"/>
  <c r="Q59" i="79"/>
  <c r="AA163" i="79"/>
  <c r="AA151" i="79"/>
  <c r="M163" i="79"/>
  <c r="S151" i="79"/>
  <c r="AC71" i="79"/>
  <c r="S71" i="79"/>
  <c r="AG87" i="79"/>
  <c r="AE71" i="79"/>
  <c r="O87" i="79"/>
  <c r="O71" i="79"/>
  <c r="Q71" i="79"/>
  <c r="AM31" i="79"/>
  <c r="M71" i="79"/>
  <c r="U71" i="79"/>
  <c r="AG97" i="79"/>
  <c r="Y71" i="79"/>
  <c r="S97" i="79"/>
  <c r="AG71" i="79"/>
  <c r="AG149" i="79"/>
  <c r="AE67" i="79"/>
  <c r="Q149" i="79"/>
  <c r="AE149" i="79"/>
  <c r="M191" i="79"/>
  <c r="AI155" i="79"/>
  <c r="AI163" i="79"/>
  <c r="AG163" i="79"/>
  <c r="AM151" i="79"/>
  <c r="K93" i="79"/>
  <c r="K149" i="79"/>
  <c r="AM191" i="79"/>
  <c r="O147" i="79"/>
  <c r="AC121" i="79"/>
  <c r="U67" i="79"/>
  <c r="AM17" i="79"/>
  <c r="Q51" i="79"/>
  <c r="AA143" i="79"/>
  <c r="Q163" i="79"/>
  <c r="W163" i="79"/>
  <c r="U151" i="79"/>
  <c r="AE151" i="79"/>
  <c r="AM93" i="79"/>
  <c r="U191" i="79"/>
  <c r="S67" i="79"/>
  <c r="K87" i="79"/>
  <c r="Y149" i="79"/>
  <c r="K163" i="79"/>
  <c r="AA191" i="79"/>
  <c r="AG27" i="79"/>
  <c r="AI191" i="79"/>
  <c r="M59" i="79"/>
  <c r="U163" i="79"/>
  <c r="O163" i="79"/>
  <c r="AG151" i="79"/>
  <c r="AK93" i="79"/>
  <c r="W93" i="79"/>
  <c r="M67" i="79"/>
  <c r="Y191" i="79"/>
  <c r="Y117" i="79"/>
  <c r="Y31" i="79"/>
  <c r="K191" i="79"/>
  <c r="O67" i="79"/>
  <c r="O109" i="79"/>
  <c r="K97" i="79"/>
  <c r="AK67" i="79"/>
  <c r="AG191" i="79"/>
  <c r="AM27" i="79"/>
  <c r="AE117" i="79"/>
  <c r="W67" i="79"/>
  <c r="AK191" i="79"/>
  <c r="AG155" i="79"/>
  <c r="AM15" i="79"/>
  <c r="AM79" i="79"/>
  <c r="AG47" i="79"/>
  <c r="AE59" i="79"/>
  <c r="U31" i="79"/>
  <c r="AE191" i="79"/>
  <c r="Q67" i="79"/>
  <c r="AI117" i="79"/>
  <c r="AK155" i="79"/>
  <c r="S135" i="79"/>
  <c r="S79" i="79"/>
  <c r="AM47" i="79"/>
  <c r="W59" i="79"/>
  <c r="AC31" i="79"/>
  <c r="AA67" i="79"/>
  <c r="W155" i="79"/>
  <c r="AM83" i="79"/>
  <c r="AM67" i="79"/>
  <c r="Q191" i="79"/>
  <c r="Q117" i="79"/>
  <c r="AE31" i="79"/>
  <c r="K117" i="79"/>
  <c r="U201" i="79"/>
  <c r="AA117" i="79"/>
  <c r="AA149" i="79"/>
  <c r="M135" i="79"/>
  <c r="AM51" i="79"/>
  <c r="AA47" i="79"/>
  <c r="AK47" i="79"/>
  <c r="AC149" i="79"/>
  <c r="U117" i="79"/>
  <c r="AE201" i="79"/>
  <c r="K51" i="79"/>
  <c r="M149" i="79"/>
  <c r="AG201" i="79"/>
  <c r="AK117" i="79"/>
  <c r="AK149" i="79"/>
  <c r="S47" i="79"/>
  <c r="Q31" i="79"/>
  <c r="W149" i="79"/>
  <c r="Y51" i="79"/>
  <c r="S201" i="79"/>
  <c r="U149" i="79"/>
  <c r="Y133" i="79"/>
  <c r="AA201" i="79"/>
  <c r="AM117" i="79"/>
  <c r="AM149" i="79"/>
  <c r="AC51" i="79"/>
  <c r="K47" i="79"/>
  <c r="W31" i="79"/>
  <c r="AA135" i="79"/>
  <c r="AC117" i="79"/>
  <c r="AI149" i="79"/>
  <c r="O117" i="79"/>
  <c r="AM201" i="79"/>
  <c r="AM133" i="79"/>
  <c r="S117" i="79"/>
  <c r="O187" i="79"/>
  <c r="AA51" i="79"/>
  <c r="AC47" i="79"/>
  <c r="AA31" i="79"/>
  <c r="AG117" i="79"/>
  <c r="W117" i="79"/>
  <c r="AI109" i="79"/>
  <c r="AM187" i="79"/>
  <c r="AM19" i="79"/>
  <c r="AG29" i="79"/>
  <c r="Y87" i="79"/>
  <c r="U87" i="79"/>
  <c r="W51" i="79"/>
  <c r="M201" i="79"/>
  <c r="Q201" i="79"/>
  <c r="Y97" i="79"/>
  <c r="AK51" i="79"/>
  <c r="W47" i="79"/>
  <c r="Y47" i="79"/>
  <c r="S143" i="79"/>
  <c r="AC43" i="79"/>
  <c r="O31" i="79"/>
  <c r="M31" i="79"/>
  <c r="AE87" i="79"/>
  <c r="AM87" i="79"/>
  <c r="U109" i="79"/>
  <c r="U51" i="79"/>
  <c r="U105" i="79"/>
  <c r="AI41" i="79"/>
  <c r="AA105" i="79"/>
  <c r="AC201" i="79"/>
  <c r="Q97" i="79"/>
  <c r="AC97" i="79"/>
  <c r="AI27" i="79"/>
  <c r="AA187" i="79"/>
  <c r="O51" i="79"/>
  <c r="S51" i="79"/>
  <c r="Q47" i="79"/>
  <c r="U41" i="79"/>
  <c r="AM105" i="79"/>
  <c r="M43" i="79"/>
  <c r="AG31" i="79"/>
  <c r="S31" i="79"/>
  <c r="AK87" i="79"/>
  <c r="AI87" i="79"/>
  <c r="W97" i="79"/>
  <c r="O97" i="79"/>
  <c r="M97" i="79"/>
  <c r="AA109" i="79"/>
  <c r="AE97" i="79"/>
  <c r="AI187" i="79"/>
  <c r="AE51" i="79"/>
  <c r="U47" i="79"/>
  <c r="K105" i="79"/>
  <c r="AK43" i="79"/>
  <c r="K31" i="79"/>
  <c r="S87" i="79"/>
  <c r="AG173" i="79"/>
  <c r="AK97" i="79"/>
  <c r="W83" i="79"/>
  <c r="W87" i="79"/>
  <c r="AA87" i="79"/>
  <c r="AM173" i="79"/>
  <c r="K201" i="79"/>
  <c r="W109" i="79"/>
  <c r="AK209" i="79"/>
  <c r="U97" i="79"/>
  <c r="AI23" i="79"/>
  <c r="AG187" i="79"/>
  <c r="AI51" i="79"/>
  <c r="AG51" i="79"/>
  <c r="M47" i="79"/>
  <c r="AG105" i="79"/>
  <c r="AI29" i="79"/>
  <c r="AI43" i="79"/>
  <c r="AI31" i="79"/>
  <c r="Q87" i="79"/>
  <c r="O201" i="79"/>
  <c r="O47" i="79"/>
  <c r="AI173" i="79"/>
  <c r="AM97" i="79"/>
  <c r="O175" i="79"/>
  <c r="Y105" i="79"/>
  <c r="AK59" i="79"/>
  <c r="AM59" i="79"/>
  <c r="AC109" i="79"/>
  <c r="AC203" i="79"/>
  <c r="AK109" i="79"/>
  <c r="Q135" i="79"/>
  <c r="AK143" i="79"/>
  <c r="O105" i="79"/>
  <c r="K59" i="79"/>
  <c r="K135" i="79"/>
  <c r="AI201" i="79"/>
  <c r="Y201" i="79"/>
  <c r="AK201" i="79"/>
  <c r="M175" i="79"/>
  <c r="Y59" i="79"/>
  <c r="AE109" i="79"/>
  <c r="AM109" i="79"/>
  <c r="S109" i="79"/>
  <c r="AG203" i="79"/>
  <c r="U135" i="79"/>
  <c r="AC169" i="79"/>
  <c r="AE105" i="79"/>
  <c r="S105" i="79"/>
  <c r="O59" i="79"/>
  <c r="S59" i="79"/>
  <c r="K83" i="79"/>
  <c r="AI15" i="79"/>
  <c r="U59" i="79"/>
  <c r="AK139" i="79"/>
  <c r="Q161" i="79"/>
  <c r="AG139" i="79"/>
  <c r="M109" i="79"/>
  <c r="W135" i="79"/>
  <c r="Q105" i="79"/>
  <c r="M105" i="79"/>
  <c r="AC59" i="79"/>
  <c r="K109" i="79"/>
  <c r="Q175" i="79"/>
  <c r="AI67" i="79"/>
  <c r="K67" i="79"/>
  <c r="AG67" i="79"/>
  <c r="AC135" i="79"/>
  <c r="AA59" i="79"/>
  <c r="AI135" i="79"/>
  <c r="AI105" i="79"/>
  <c r="Y135" i="79"/>
  <c r="W143" i="79"/>
  <c r="W105" i="79"/>
  <c r="AC105" i="79"/>
  <c r="AG59" i="79"/>
  <c r="AG109" i="79"/>
  <c r="AE135" i="79"/>
  <c r="Q109" i="79"/>
  <c r="W203" i="79"/>
  <c r="AE203" i="79"/>
  <c r="O203" i="79"/>
  <c r="K203" i="79"/>
  <c r="AE147" i="79"/>
  <c r="S83" i="79"/>
  <c r="AM203" i="79"/>
  <c r="AE175" i="79"/>
  <c r="AG175" i="79"/>
  <c r="Q79" i="79"/>
  <c r="AA79" i="79"/>
  <c r="Q145" i="79"/>
  <c r="AE145" i="79"/>
  <c r="M41" i="79"/>
  <c r="AE143" i="79"/>
  <c r="AM143" i="79"/>
  <c r="AI83" i="79"/>
  <c r="K175" i="79"/>
  <c r="AI17" i="79"/>
  <c r="Y147" i="79"/>
  <c r="M203" i="79"/>
  <c r="U175" i="79"/>
  <c r="S175" i="79"/>
  <c r="U161" i="79"/>
  <c r="AK135" i="79"/>
  <c r="W79" i="79"/>
  <c r="Y79" i="79"/>
  <c r="AG145" i="79"/>
  <c r="AE137" i="79"/>
  <c r="AC41" i="79"/>
  <c r="Y143" i="79"/>
  <c r="K143" i="79"/>
  <c r="AG43" i="79"/>
  <c r="AE83" i="79"/>
  <c r="AA175" i="79"/>
  <c r="Y203" i="79"/>
  <c r="U143" i="79"/>
  <c r="AM209" i="79"/>
  <c r="M83" i="79"/>
  <c r="AA203" i="79"/>
  <c r="AI203" i="79"/>
  <c r="AC175" i="79"/>
  <c r="K79" i="79"/>
  <c r="AG143" i="79"/>
  <c r="O195" i="79"/>
  <c r="AK83" i="79"/>
  <c r="Q203" i="79"/>
  <c r="W175" i="79"/>
  <c r="O135" i="79"/>
  <c r="AK79" i="79"/>
  <c r="AM139" i="79"/>
  <c r="U145" i="79"/>
  <c r="Q143" i="79"/>
  <c r="AI115" i="79"/>
  <c r="AM43" i="79"/>
  <c r="AG83" i="79"/>
  <c r="AM121" i="79"/>
  <c r="AI175" i="79"/>
  <c r="AA83" i="79"/>
  <c r="U203" i="79"/>
  <c r="AK175" i="79"/>
  <c r="AK169" i="79"/>
  <c r="AC145" i="79"/>
  <c r="O143" i="79"/>
  <c r="Q83" i="79"/>
  <c r="AA145" i="79"/>
  <c r="AI143" i="79"/>
  <c r="O83" i="79"/>
  <c r="M147" i="79"/>
  <c r="Y83" i="79"/>
  <c r="M121" i="79"/>
  <c r="AK203" i="79"/>
  <c r="AM175" i="79"/>
  <c r="AG135" i="79"/>
  <c r="W101" i="79"/>
  <c r="AG15" i="79"/>
  <c r="AC139" i="79"/>
  <c r="S145" i="79"/>
  <c r="AC143" i="79"/>
  <c r="AE115" i="79"/>
  <c r="Q43" i="79"/>
  <c r="AA133" i="79"/>
  <c r="U83" i="79"/>
  <c r="K169" i="79"/>
  <c r="AK115" i="79"/>
  <c r="S195" i="79"/>
  <c r="AK121" i="79"/>
  <c r="O209" i="79"/>
  <c r="AG115" i="79"/>
  <c r="AE133" i="79"/>
  <c r="M133" i="79"/>
  <c r="K195" i="79"/>
  <c r="AI121" i="79"/>
  <c r="AE209" i="79"/>
  <c r="AI209" i="79"/>
  <c r="Y187" i="79"/>
  <c r="Y169" i="79"/>
  <c r="U137" i="79"/>
  <c r="M137" i="79"/>
  <c r="AK41" i="79"/>
  <c r="Q115" i="79"/>
  <c r="AG133" i="79"/>
  <c r="AG19" i="79"/>
  <c r="Y195" i="79"/>
  <c r="O79" i="79"/>
  <c r="AE79" i="79"/>
  <c r="AC79" i="79"/>
  <c r="AI195" i="79"/>
  <c r="S137" i="79"/>
  <c r="K137" i="79"/>
  <c r="Y115" i="79"/>
  <c r="AA195" i="79"/>
  <c r="AA121" i="79"/>
  <c r="AC133" i="79"/>
  <c r="K133" i="79"/>
  <c r="O133" i="79"/>
  <c r="Q121" i="79"/>
  <c r="Q137" i="79"/>
  <c r="AG137" i="79"/>
  <c r="Q195" i="79"/>
  <c r="AC209" i="79"/>
  <c r="AI137" i="79"/>
  <c r="AC195" i="79"/>
  <c r="AE121" i="79"/>
  <c r="Q209" i="79"/>
  <c r="K209" i="79"/>
  <c r="U187" i="79"/>
  <c r="U169" i="79"/>
  <c r="AA137" i="79"/>
  <c r="AC137" i="79"/>
  <c r="Q41" i="79"/>
  <c r="K41" i="79"/>
  <c r="AA115" i="79"/>
  <c r="AI133" i="79"/>
  <c r="Q133" i="79"/>
  <c r="AI19" i="79"/>
  <c r="AG195" i="79"/>
  <c r="W121" i="79"/>
  <c r="AG209" i="79"/>
  <c r="AE187" i="79"/>
  <c r="AM115" i="79"/>
  <c r="U195" i="79"/>
  <c r="AC187" i="79"/>
  <c r="AA169" i="79"/>
  <c r="W195" i="79"/>
  <c r="Y155" i="79"/>
  <c r="U121" i="79"/>
  <c r="W209" i="79"/>
  <c r="AA209" i="79"/>
  <c r="AI199" i="79"/>
  <c r="AK187" i="79"/>
  <c r="O137" i="79"/>
  <c r="W137" i="79"/>
  <c r="W41" i="79"/>
  <c r="M115" i="79"/>
  <c r="AK133" i="79"/>
  <c r="AG121" i="79"/>
  <c r="M209" i="79"/>
  <c r="S133" i="79"/>
  <c r="AE195" i="79"/>
  <c r="K187" i="79"/>
  <c r="AG169" i="79"/>
  <c r="K115" i="79"/>
  <c r="K121" i="79"/>
  <c r="Y137" i="79"/>
  <c r="M195" i="79"/>
  <c r="AM195" i="79"/>
  <c r="O121" i="79"/>
  <c r="U209" i="79"/>
  <c r="S209" i="79"/>
  <c r="W187" i="79"/>
  <c r="AE169" i="79"/>
  <c r="AM137" i="79"/>
  <c r="O115" i="79"/>
  <c r="W133" i="79"/>
  <c r="Y121" i="79"/>
  <c r="AK199" i="79"/>
  <c r="S199" i="79"/>
  <c r="W199" i="79"/>
  <c r="AA101" i="79"/>
  <c r="AM101" i="79"/>
  <c r="AE101" i="79"/>
  <c r="K101" i="79"/>
  <c r="AM23" i="79"/>
  <c r="AG101" i="79"/>
  <c r="AE199" i="79"/>
  <c r="Y139" i="79"/>
  <c r="Q139" i="79"/>
  <c r="AM155" i="79"/>
  <c r="AC155" i="79"/>
  <c r="AE155" i="79"/>
  <c r="AA155" i="79"/>
  <c r="M155" i="79"/>
  <c r="U155" i="79"/>
  <c r="K155" i="79"/>
  <c r="O41" i="79"/>
  <c r="Y41" i="79"/>
  <c r="AG161" i="79"/>
  <c r="S161" i="79"/>
  <c r="AM161" i="79"/>
  <c r="W161" i="79"/>
  <c r="AI161" i="79"/>
  <c r="O101" i="79"/>
  <c r="K161" i="79"/>
  <c r="O161" i="79"/>
  <c r="AM199" i="79"/>
  <c r="AI101" i="79"/>
  <c r="M199" i="79"/>
  <c r="K199" i="79"/>
  <c r="O139" i="79"/>
  <c r="U139" i="79"/>
  <c r="Y145" i="79"/>
  <c r="W145" i="79"/>
  <c r="Q155" i="79"/>
  <c r="M161" i="79"/>
  <c r="AE161" i="79"/>
  <c r="AK101" i="79"/>
  <c r="S101" i="79"/>
  <c r="AG199" i="79"/>
  <c r="AA199" i="79"/>
  <c r="M169" i="79"/>
  <c r="AK145" i="79"/>
  <c r="AM41" i="79"/>
  <c r="AA41" i="79"/>
  <c r="U43" i="79"/>
  <c r="O43" i="79"/>
  <c r="S139" i="79"/>
  <c r="AI139" i="79"/>
  <c r="K139" i="79"/>
  <c r="AC161" i="79"/>
  <c r="Y199" i="79"/>
  <c r="AC199" i="79"/>
  <c r="AE139" i="79"/>
  <c r="W147" i="79"/>
  <c r="S147" i="79"/>
  <c r="AI147" i="79"/>
  <c r="K147" i="79"/>
  <c r="AA147" i="79"/>
  <c r="Q147" i="79"/>
  <c r="AK147" i="79"/>
  <c r="AG147" i="79"/>
  <c r="AC147" i="79"/>
  <c r="AA161" i="79"/>
  <c r="U101" i="79"/>
  <c r="M101" i="79"/>
  <c r="AG23" i="79"/>
  <c r="U199" i="79"/>
  <c r="AA139" i="79"/>
  <c r="S41" i="79"/>
  <c r="W169" i="79"/>
  <c r="O169" i="79"/>
  <c r="AM169" i="79"/>
  <c r="W115" i="79"/>
  <c r="AC115" i="79"/>
  <c r="U147" i="79"/>
  <c r="S155" i="79"/>
  <c r="Y161" i="79"/>
  <c r="Y101" i="79"/>
  <c r="AC101" i="79"/>
  <c r="O199" i="79"/>
  <c r="S169" i="79"/>
  <c r="AI169" i="79"/>
  <c r="W139" i="79"/>
  <c r="M145" i="79"/>
  <c r="AG41" i="79"/>
  <c r="U115" i="79"/>
  <c r="W43" i="79"/>
  <c r="Y43" i="79"/>
  <c r="S187" i="79"/>
  <c r="Q187" i="79"/>
  <c r="AI107" i="79"/>
  <c r="U107" i="79"/>
  <c r="AA107" i="79"/>
  <c r="K107" i="79"/>
  <c r="AE107" i="79"/>
  <c r="AK107" i="79"/>
  <c r="Q107" i="79"/>
  <c r="AG107" i="79"/>
  <c r="O107" i="79"/>
  <c r="S107" i="79"/>
  <c r="M107" i="79"/>
  <c r="AC107" i="79"/>
  <c r="W107" i="79"/>
  <c r="Y107" i="79"/>
  <c r="AM107" i="79"/>
  <c r="AM207" i="79"/>
  <c r="Y207" i="79"/>
  <c r="AG207" i="79"/>
  <c r="Q207" i="79"/>
  <c r="AC207" i="79"/>
  <c r="AA207" i="79"/>
  <c r="AI207" i="79"/>
  <c r="K207" i="79"/>
  <c r="S207" i="79"/>
  <c r="M207" i="79"/>
  <c r="W207" i="79"/>
  <c r="O207" i="79"/>
  <c r="AE207" i="79"/>
  <c r="U207" i="79"/>
  <c r="AK207" i="79"/>
  <c r="AA141" i="79"/>
  <c r="K141" i="79"/>
  <c r="AG141" i="79"/>
  <c r="Q141" i="79"/>
  <c r="M141" i="79"/>
  <c r="AM141" i="79"/>
  <c r="U141" i="79"/>
  <c r="AK141" i="79"/>
  <c r="O141" i="79"/>
  <c r="Y141" i="79"/>
  <c r="AE141" i="79"/>
  <c r="AC141" i="79"/>
  <c r="S141" i="79"/>
  <c r="AI141" i="79"/>
  <c r="W141" i="79"/>
  <c r="AI159" i="79"/>
  <c r="U159" i="79"/>
  <c r="AA159" i="79"/>
  <c r="K159" i="79"/>
  <c r="AE159" i="79"/>
  <c r="AK159" i="79"/>
  <c r="Q159" i="79"/>
  <c r="AC159" i="79"/>
  <c r="AM159" i="79"/>
  <c r="M159" i="79"/>
  <c r="S159" i="79"/>
  <c r="Y159" i="79"/>
  <c r="W159" i="79"/>
  <c r="AG159" i="79"/>
  <c r="O159" i="79"/>
  <c r="BN8" i="79"/>
  <c r="AA49" i="79"/>
  <c r="K49" i="79"/>
  <c r="AG49" i="79"/>
  <c r="Q49" i="79"/>
  <c r="M49" i="79"/>
  <c r="AM49" i="79"/>
  <c r="U49" i="79"/>
  <c r="AK49" i="79"/>
  <c r="O49" i="79"/>
  <c r="AI49" i="79"/>
  <c r="Y49" i="79"/>
  <c r="AE49" i="79"/>
  <c r="W49" i="79"/>
  <c r="S49" i="79"/>
  <c r="AC49" i="79"/>
  <c r="AG21" i="79"/>
  <c r="AI21" i="79"/>
  <c r="AM21" i="79"/>
  <c r="CB1" i="79"/>
  <c r="AI127" i="79"/>
  <c r="U127" i="79"/>
  <c r="AA127" i="79"/>
  <c r="K127" i="79"/>
  <c r="AE127" i="79"/>
  <c r="AK127" i="79"/>
  <c r="Q127" i="79"/>
  <c r="S127" i="79"/>
  <c r="Y127" i="79"/>
  <c r="W127" i="79"/>
  <c r="AG127" i="79"/>
  <c r="O127" i="79"/>
  <c r="AM127" i="79"/>
  <c r="AC127" i="79"/>
  <c r="M127" i="79"/>
  <c r="AA125" i="79"/>
  <c r="K125" i="79"/>
  <c r="AG125" i="79"/>
  <c r="Q125" i="79"/>
  <c r="W125" i="79"/>
  <c r="AE125" i="79"/>
  <c r="AI125" i="79"/>
  <c r="S125" i="79"/>
  <c r="O125" i="79"/>
  <c r="M125" i="79"/>
  <c r="AC125" i="79"/>
  <c r="AM125" i="79"/>
  <c r="U125" i="79"/>
  <c r="AK125" i="79"/>
  <c r="Y125" i="79"/>
  <c r="AA183" i="79"/>
  <c r="K183" i="79"/>
  <c r="AG183" i="79"/>
  <c r="O183" i="79"/>
  <c r="AK183" i="79"/>
  <c r="U183" i="79"/>
  <c r="S183" i="79"/>
  <c r="AC183" i="79"/>
  <c r="Y183" i="79"/>
  <c r="AI183" i="79"/>
  <c r="AM183" i="79"/>
  <c r="Q183" i="79"/>
  <c r="W183" i="79"/>
  <c r="AE183" i="79"/>
  <c r="M183" i="79"/>
  <c r="AA81" i="79"/>
  <c r="K81" i="79"/>
  <c r="AG81" i="79"/>
  <c r="Q81" i="79"/>
  <c r="M81" i="79"/>
  <c r="AM81" i="79"/>
  <c r="U81" i="79"/>
  <c r="AE81" i="79"/>
  <c r="AC81" i="79"/>
  <c r="AK81" i="79"/>
  <c r="O81" i="79"/>
  <c r="AI81" i="79"/>
  <c r="W81" i="79"/>
  <c r="Y81" i="79"/>
  <c r="S81" i="79"/>
  <c r="AI91" i="79"/>
  <c r="U91" i="79"/>
  <c r="AA91" i="79"/>
  <c r="K91" i="79"/>
  <c r="AE91" i="79"/>
  <c r="AK91" i="79"/>
  <c r="Q91" i="79"/>
  <c r="S91" i="79"/>
  <c r="AC91" i="79"/>
  <c r="AM91" i="79"/>
  <c r="W91" i="79"/>
  <c r="Y91" i="79"/>
  <c r="AG91" i="79"/>
  <c r="O91" i="79"/>
  <c r="M91" i="79"/>
  <c r="BD8" i="79"/>
  <c r="BD7" i="79"/>
  <c r="AA77" i="79"/>
  <c r="K77" i="79"/>
  <c r="AG77" i="79"/>
  <c r="Q77" i="79"/>
  <c r="AM77" i="79"/>
  <c r="U77" i="79"/>
  <c r="AC77" i="79"/>
  <c r="S77" i="79"/>
  <c r="O77" i="79"/>
  <c r="AE77" i="79"/>
  <c r="M77" i="79"/>
  <c r="AK77" i="79"/>
  <c r="Y77" i="79"/>
  <c r="AI77" i="79"/>
  <c r="W77" i="79"/>
  <c r="AG123" i="79"/>
  <c r="Q123" i="79"/>
  <c r="AK123" i="79"/>
  <c r="W123" i="79"/>
  <c r="AI123" i="79"/>
  <c r="O123" i="79"/>
  <c r="Y123" i="79"/>
  <c r="M123" i="79"/>
  <c r="AA123" i="79"/>
  <c r="AM123" i="79"/>
  <c r="U123" i="79"/>
  <c r="AE123" i="79"/>
  <c r="AC123" i="79"/>
  <c r="K123" i="79"/>
  <c r="S123" i="79"/>
  <c r="AG165" i="79"/>
  <c r="AI165" i="79"/>
  <c r="S165" i="79"/>
  <c r="Y165" i="79"/>
  <c r="AC165" i="79"/>
  <c r="AK165" i="79"/>
  <c r="O165" i="79"/>
  <c r="M165" i="79"/>
  <c r="W165" i="79"/>
  <c r="Q165" i="79"/>
  <c r="K165" i="79"/>
  <c r="AE165" i="79"/>
  <c r="U165" i="79"/>
  <c r="AM165" i="79"/>
  <c r="AA165" i="79"/>
  <c r="AA73" i="79"/>
  <c r="K73" i="79"/>
  <c r="AG73" i="79"/>
  <c r="Q73" i="79"/>
  <c r="AC73" i="79"/>
  <c r="AI73" i="79"/>
  <c r="O73" i="79"/>
  <c r="AK73" i="79"/>
  <c r="U73" i="79"/>
  <c r="AE73" i="79"/>
  <c r="W73" i="79"/>
  <c r="AM73" i="79"/>
  <c r="Y73" i="79"/>
  <c r="S73" i="79"/>
  <c r="M73" i="79"/>
  <c r="AI111" i="79"/>
  <c r="U111" i="79"/>
  <c r="AA111" i="79"/>
  <c r="K111" i="79"/>
  <c r="AM111" i="79"/>
  <c r="S111" i="79"/>
  <c r="AC111" i="79"/>
  <c r="O111" i="79"/>
  <c r="Y111" i="79"/>
  <c r="W111" i="79"/>
  <c r="Q111" i="79"/>
  <c r="AK111" i="79"/>
  <c r="AE111" i="79"/>
  <c r="M111" i="79"/>
  <c r="AG111" i="79"/>
  <c r="AA157" i="79"/>
  <c r="K157" i="79"/>
  <c r="AG157" i="79"/>
  <c r="Q157" i="79"/>
  <c r="W157" i="79"/>
  <c r="AE157" i="79"/>
  <c r="AC157" i="79"/>
  <c r="AK157" i="79"/>
  <c r="M157" i="79"/>
  <c r="Y157" i="79"/>
  <c r="U157" i="79"/>
  <c r="AM157" i="79"/>
  <c r="AI157" i="79"/>
  <c r="S157" i="79"/>
  <c r="O157" i="79"/>
  <c r="AA85" i="79"/>
  <c r="K85" i="79"/>
  <c r="AG85" i="79"/>
  <c r="Q85" i="79"/>
  <c r="Y85" i="79"/>
  <c r="M85" i="79"/>
  <c r="AM85" i="79"/>
  <c r="S85" i="79"/>
  <c r="AK85" i="79"/>
  <c r="O85" i="79"/>
  <c r="AC85" i="79"/>
  <c r="AI85" i="79"/>
  <c r="AE85" i="79"/>
  <c r="U85" i="79"/>
  <c r="W85" i="79"/>
  <c r="AA45" i="79"/>
  <c r="K45" i="79"/>
  <c r="AG45" i="79"/>
  <c r="Q45" i="79"/>
  <c r="AM45" i="79"/>
  <c r="U45" i="79"/>
  <c r="AC45" i="79"/>
  <c r="AE45" i="79"/>
  <c r="Y45" i="79"/>
  <c r="AK45" i="79"/>
  <c r="M45" i="79"/>
  <c r="W45" i="79"/>
  <c r="O45" i="79"/>
  <c r="AI45" i="79"/>
  <c r="S45" i="79"/>
  <c r="AA53" i="79"/>
  <c r="K53" i="79"/>
  <c r="AG53" i="79"/>
  <c r="Q53" i="79"/>
  <c r="Y53" i="79"/>
  <c r="M53" i="79"/>
  <c r="AC53" i="79"/>
  <c r="W53" i="79"/>
  <c r="AI53" i="79"/>
  <c r="S53" i="79"/>
  <c r="O53" i="79"/>
  <c r="AM53" i="79"/>
  <c r="U53" i="79"/>
  <c r="AK53" i="79"/>
  <c r="AE53" i="79"/>
  <c r="AM8" i="65"/>
  <c r="AA57" i="79"/>
  <c r="K57" i="79"/>
  <c r="AG57" i="79"/>
  <c r="Q57" i="79"/>
  <c r="AK57" i="79"/>
  <c r="S57" i="79"/>
  <c r="Y57" i="79"/>
  <c r="AM57" i="79"/>
  <c r="M57" i="79"/>
  <c r="AI57" i="79"/>
  <c r="W57" i="79"/>
  <c r="AE57" i="79"/>
  <c r="U57" i="79"/>
  <c r="O57" i="79"/>
  <c r="AC57" i="79"/>
  <c r="AK179" i="79"/>
  <c r="W179" i="79"/>
  <c r="AG179" i="79"/>
  <c r="O179" i="79"/>
  <c r="AM179" i="79"/>
  <c r="U179" i="79"/>
  <c r="AE179" i="79"/>
  <c r="Q179" i="79"/>
  <c r="S179" i="79"/>
  <c r="AC179" i="79"/>
  <c r="M179" i="79"/>
  <c r="K179" i="79"/>
  <c r="AA179" i="79"/>
  <c r="Y179" i="79"/>
  <c r="AI179" i="79"/>
  <c r="AI99" i="79"/>
  <c r="U99" i="79"/>
  <c r="AA99" i="79"/>
  <c r="K99" i="79"/>
  <c r="AE99" i="79"/>
  <c r="AK99" i="79"/>
  <c r="Q99" i="79"/>
  <c r="AM99" i="79"/>
  <c r="M99" i="79"/>
  <c r="W99" i="79"/>
  <c r="S99" i="79"/>
  <c r="O99" i="79"/>
  <c r="AG99" i="79"/>
  <c r="AC99" i="79"/>
  <c r="Y99" i="79"/>
  <c r="AA69" i="79"/>
  <c r="K69" i="79"/>
  <c r="AG69" i="79"/>
  <c r="Q69" i="79"/>
  <c r="AI69" i="79"/>
  <c r="O69" i="79"/>
  <c r="W69" i="79"/>
  <c r="AK69" i="79"/>
  <c r="U69" i="79"/>
  <c r="AC69" i="79"/>
  <c r="Y69" i="79"/>
  <c r="M69" i="79"/>
  <c r="S69" i="79"/>
  <c r="AM69" i="79"/>
  <c r="AE69" i="79"/>
  <c r="AI185" i="79"/>
  <c r="U185" i="79"/>
  <c r="AE185" i="79"/>
  <c r="M185" i="79"/>
  <c r="AK185" i="79"/>
  <c r="S185" i="79"/>
  <c r="AG185" i="79"/>
  <c r="Q185" i="79"/>
  <c r="AC185" i="79"/>
  <c r="K185" i="79"/>
  <c r="Y185" i="79"/>
  <c r="W185" i="79"/>
  <c r="AM185" i="79"/>
  <c r="AA185" i="79"/>
  <c r="O185" i="79"/>
  <c r="AE129" i="79"/>
  <c r="O129" i="79"/>
  <c r="AI129" i="79"/>
  <c r="U129" i="79"/>
  <c r="AK129" i="79"/>
  <c r="Q129" i="79"/>
  <c r="Y129" i="79"/>
  <c r="AG129" i="79"/>
  <c r="M129" i="79"/>
  <c r="AA129" i="79"/>
  <c r="W129" i="79"/>
  <c r="AM129" i="79"/>
  <c r="AC129" i="79"/>
  <c r="S129" i="79"/>
  <c r="K129" i="79"/>
  <c r="AM131" i="79"/>
  <c r="Y131" i="79"/>
  <c r="AE131" i="79"/>
  <c r="O131" i="79"/>
  <c r="W131" i="79"/>
  <c r="AG131" i="79"/>
  <c r="K131" i="79"/>
  <c r="AA131" i="79"/>
  <c r="AI131" i="79"/>
  <c r="U131" i="79"/>
  <c r="S131" i="79"/>
  <c r="AK131" i="79"/>
  <c r="AC131" i="79"/>
  <c r="Q131" i="79"/>
  <c r="M131" i="79"/>
  <c r="AA65" i="79"/>
  <c r="K65" i="79"/>
  <c r="AG65" i="79"/>
  <c r="Q65" i="79"/>
  <c r="W65" i="79"/>
  <c r="AE65" i="79"/>
  <c r="U65" i="79"/>
  <c r="S65" i="79"/>
  <c r="AC65" i="79"/>
  <c r="Y65" i="79"/>
  <c r="M65" i="79"/>
  <c r="O65" i="79"/>
  <c r="AM65" i="79"/>
  <c r="AK65" i="79"/>
  <c r="AI65" i="79"/>
  <c r="AG181" i="79"/>
  <c r="Q181" i="79"/>
  <c r="AE181" i="79"/>
  <c r="M181" i="79"/>
  <c r="AK181" i="79"/>
  <c r="U181" i="79"/>
  <c r="Y181" i="79"/>
  <c r="S181" i="79"/>
  <c r="AC181" i="79"/>
  <c r="AA181" i="79"/>
  <c r="W181" i="79"/>
  <c r="AM181" i="79"/>
  <c r="K181" i="79"/>
  <c r="AI181" i="79"/>
  <c r="O181" i="79"/>
  <c r="AA33" i="79"/>
  <c r="K33" i="79"/>
  <c r="Y33" i="79"/>
  <c r="AG33" i="79"/>
  <c r="O33" i="79"/>
  <c r="AI33" i="79"/>
  <c r="M33" i="79"/>
  <c r="U33" i="79"/>
  <c r="AE33" i="79"/>
  <c r="AC33" i="79"/>
  <c r="S33" i="79"/>
  <c r="Q33" i="79"/>
  <c r="AK33" i="79"/>
  <c r="W33" i="79"/>
  <c r="AM33" i="79"/>
  <c r="AC177" i="79"/>
  <c r="M177" i="79"/>
  <c r="AI177" i="79"/>
  <c r="S177" i="79"/>
  <c r="Y177" i="79"/>
  <c r="U177" i="79"/>
  <c r="AE177" i="79"/>
  <c r="Q177" i="79"/>
  <c r="AG177" i="79"/>
  <c r="AM177" i="79"/>
  <c r="W177" i="79"/>
  <c r="AA177" i="79"/>
  <c r="K177" i="79"/>
  <c r="O177" i="79"/>
  <c r="AK177" i="79"/>
  <c r="AI13" i="79"/>
  <c r="AG13" i="79"/>
  <c r="AM13" i="79"/>
  <c r="BD8" i="65"/>
  <c r="AA167" i="79"/>
  <c r="K167" i="79"/>
  <c r="AI167" i="79"/>
  <c r="S167" i="79"/>
  <c r="Y167" i="79"/>
  <c r="AK167" i="79"/>
  <c r="O167" i="79"/>
  <c r="W167" i="79"/>
  <c r="M167" i="79"/>
  <c r="AC167" i="79"/>
  <c r="AE167" i="79"/>
  <c r="U167" i="79"/>
  <c r="AM167" i="79"/>
  <c r="Q167" i="79"/>
  <c r="AG167" i="79"/>
  <c r="AT8" i="79"/>
  <c r="AA61" i="79"/>
  <c r="K61" i="79"/>
  <c r="AG61" i="79"/>
  <c r="Q61" i="79"/>
  <c r="AE61" i="79"/>
  <c r="AK61" i="79"/>
  <c r="S61" i="79"/>
  <c r="Y61" i="79"/>
  <c r="W61" i="79"/>
  <c r="AI61" i="79"/>
  <c r="O61" i="79"/>
  <c r="M61" i="79"/>
  <c r="AC61" i="79"/>
  <c r="U61" i="79"/>
  <c r="AM61" i="79"/>
  <c r="AM189" i="79"/>
  <c r="Y189" i="79"/>
  <c r="AE189" i="79"/>
  <c r="M189" i="79"/>
  <c r="AI189" i="79"/>
  <c r="S189" i="79"/>
  <c r="AK189" i="79"/>
  <c r="O189" i="79"/>
  <c r="W189" i="79"/>
  <c r="AC189" i="79"/>
  <c r="AG189" i="79"/>
  <c r="K189" i="79"/>
  <c r="AA189" i="79"/>
  <c r="U189" i="79"/>
  <c r="Q189" i="79"/>
  <c r="AE205" i="79"/>
  <c r="O205" i="79"/>
  <c r="AK205" i="79"/>
  <c r="W205" i="79"/>
  <c r="Y205" i="79"/>
  <c r="U205" i="79"/>
  <c r="S205" i="79"/>
  <c r="AG205" i="79"/>
  <c r="AC205" i="79"/>
  <c r="AM205" i="79"/>
  <c r="Q205" i="79"/>
  <c r="M205" i="79"/>
  <c r="K205" i="79"/>
  <c r="AI205" i="79"/>
  <c r="AA205" i="79"/>
  <c r="AC193" i="79"/>
  <c r="M193" i="79"/>
  <c r="AG193" i="79"/>
  <c r="O193" i="79"/>
  <c r="AK193" i="79"/>
  <c r="U193" i="79"/>
  <c r="S193" i="79"/>
  <c r="AA193" i="79"/>
  <c r="AE193" i="79"/>
  <c r="AM193" i="79"/>
  <c r="W193" i="79"/>
  <c r="Y193" i="79"/>
  <c r="K193" i="79"/>
  <c r="AI193" i="79"/>
  <c r="Q193" i="79"/>
  <c r="AS7" i="79" l="1"/>
  <c r="C3" i="79" s="1"/>
  <c r="BO9" i="79"/>
  <c r="H14" i="12"/>
  <c r="BZ14" i="68"/>
  <c r="CA14" i="68" s="1"/>
  <c r="D143" i="68"/>
  <c r="BD12" i="68"/>
  <c r="P3" i="68"/>
  <c r="D177" i="68"/>
  <c r="D63" i="68"/>
  <c r="D187" i="68"/>
  <c r="D47" i="68"/>
  <c r="D191" i="68"/>
  <c r="D71" i="68"/>
  <c r="D133" i="68"/>
  <c r="D159" i="68"/>
  <c r="D81" i="68"/>
  <c r="D43" i="68"/>
  <c r="D51" i="68"/>
  <c r="D209" i="68"/>
  <c r="D53" i="68"/>
  <c r="D171" i="68"/>
  <c r="D23" i="68"/>
  <c r="D119" i="68"/>
  <c r="D97" i="68"/>
  <c r="D153" i="68"/>
  <c r="D205" i="68"/>
  <c r="D45" i="68"/>
  <c r="D101" i="68"/>
  <c r="D35" i="68"/>
  <c r="AZ14" i="68"/>
  <c r="D163" i="68"/>
  <c r="D41" i="68"/>
  <c r="D157" i="68"/>
  <c r="D87" i="68"/>
  <c r="D61" i="68"/>
  <c r="D167" i="68"/>
  <c r="D65" i="68"/>
  <c r="D37" i="68"/>
  <c r="D173" i="68"/>
  <c r="D99" i="68"/>
  <c r="D189" i="68"/>
  <c r="D95" i="68"/>
  <c r="D179" i="68"/>
  <c r="D73" i="68"/>
  <c r="D149" i="68"/>
  <c r="D151" i="68"/>
  <c r="D29" i="68"/>
  <c r="D161" i="68"/>
  <c r="D207" i="68"/>
  <c r="D67" i="68"/>
  <c r="D59" i="68"/>
  <c r="D39" i="68"/>
  <c r="D147" i="68"/>
  <c r="D139" i="68"/>
  <c r="D199" i="68"/>
  <c r="D31" i="68"/>
  <c r="D49" i="68"/>
  <c r="D129" i="68"/>
  <c r="D105" i="68"/>
  <c r="D93" i="68"/>
  <c r="D75" i="68"/>
  <c r="D203" i="68"/>
  <c r="D69" i="68"/>
  <c r="D141" i="68"/>
  <c r="D19" i="68"/>
  <c r="D135" i="68"/>
  <c r="D181" i="68"/>
  <c r="D201" i="68"/>
  <c r="D33" i="68"/>
  <c r="D185" i="68"/>
  <c r="D21" i="68"/>
  <c r="D91" i="68"/>
  <c r="D193" i="68"/>
  <c r="D25" i="68"/>
  <c r="D137" i="68"/>
  <c r="D125" i="68"/>
  <c r="D109" i="68"/>
  <c r="D195" i="68"/>
  <c r="D55" i="68"/>
  <c r="D85" i="68"/>
  <c r="D127" i="68"/>
  <c r="D115" i="68"/>
  <c r="D117" i="68"/>
  <c r="D83" i="68"/>
  <c r="D121" i="68"/>
  <c r="D77" i="68"/>
  <c r="D165" i="68"/>
  <c r="D113" i="68"/>
  <c r="D107" i="68"/>
  <c r="D155" i="68"/>
  <c r="D145" i="68"/>
  <c r="D27" i="68"/>
  <c r="D123" i="68"/>
  <c r="D175" i="68"/>
  <c r="D103" i="68"/>
  <c r="D169" i="68"/>
  <c r="D89" i="68"/>
  <c r="D183" i="68"/>
  <c r="D79" i="68"/>
  <c r="D57" i="68"/>
  <c r="D111" i="68"/>
  <c r="D197" i="68"/>
  <c r="D131" i="68"/>
  <c r="CS19" i="70"/>
  <c r="CL19" i="70"/>
  <c r="CK19" i="70"/>
  <c r="CR19" i="70"/>
  <c r="CQ19" i="70"/>
  <c r="CH19" i="70"/>
  <c r="CN19" i="70"/>
  <c r="CT19" i="70"/>
  <c r="CI19" i="70"/>
  <c r="CP19" i="70"/>
  <c r="CJ19" i="70"/>
  <c r="CE20" i="70"/>
  <c r="CG19" i="70"/>
  <c r="AQ40" i="70"/>
  <c r="BI24" i="70"/>
  <c r="DF19" i="70"/>
  <c r="DD19" i="70"/>
  <c r="DB20" i="70"/>
  <c r="DE19" i="70"/>
  <c r="DC19" i="70"/>
  <c r="BI13" i="68"/>
  <c r="V4" i="68"/>
  <c r="BM13" i="68"/>
  <c r="Z4" i="68"/>
  <c r="BQ13" i="68"/>
  <c r="AD4" i="68"/>
  <c r="BU13" i="68"/>
  <c r="AH4" i="68"/>
  <c r="BY13" i="68"/>
  <c r="AL4" i="68"/>
  <c r="AS21" i="70"/>
  <c r="BX23" i="70"/>
  <c r="BK13" i="68"/>
  <c r="X4" i="68"/>
  <c r="BO13" i="68"/>
  <c r="AB4" i="68"/>
  <c r="BS13" i="68"/>
  <c r="AF4" i="68"/>
  <c r="BW13" i="68"/>
  <c r="AJ4" i="68"/>
  <c r="CA13" i="68"/>
  <c r="AN4" i="68"/>
  <c r="AD3" i="79"/>
  <c r="BQ9" i="79"/>
  <c r="BP24" i="70"/>
  <c r="BV32" i="70"/>
  <c r="BK24" i="70"/>
  <c r="BM21" i="70"/>
  <c r="BQ22" i="70"/>
  <c r="DA46" i="70"/>
  <c r="DA45" i="70"/>
  <c r="BH12" i="68"/>
  <c r="V3" i="68"/>
  <c r="BL12" i="68"/>
  <c r="Z3" i="68"/>
  <c r="BP12" i="68"/>
  <c r="AD3" i="68"/>
  <c r="BT12" i="68"/>
  <c r="AH3" i="68"/>
  <c r="BX12" i="68"/>
  <c r="AL3" i="68"/>
  <c r="AY13" i="68"/>
  <c r="AX11" i="68"/>
  <c r="C4" i="68" s="1"/>
  <c r="AW26" i="70"/>
  <c r="AY32" i="70"/>
  <c r="BA23" i="70"/>
  <c r="BH47" i="70"/>
  <c r="BJ35" i="70"/>
  <c r="BL25" i="70"/>
  <c r="BN35" i="70"/>
  <c r="BR32" i="70"/>
  <c r="BT48" i="70"/>
  <c r="BU16" i="70"/>
  <c r="AR28" i="70"/>
  <c r="AT47" i="70"/>
  <c r="AZ44" i="70"/>
  <c r="BO32" i="70"/>
  <c r="BS22" i="70"/>
  <c r="BU31" i="70"/>
  <c r="BW31" i="70"/>
  <c r="BJ12" i="68"/>
  <c r="X3" i="68"/>
  <c r="BN12" i="68"/>
  <c r="AB3" i="68"/>
  <c r="BR12" i="68"/>
  <c r="AF3" i="68"/>
  <c r="BV12" i="68"/>
  <c r="AJ3" i="68"/>
  <c r="BZ12" i="68"/>
  <c r="AN3" i="68"/>
  <c r="CO19" i="70"/>
  <c r="CM19" i="70"/>
  <c r="AX10" i="68"/>
  <c r="C3" i="68" s="1"/>
  <c r="G7" i="77"/>
  <c r="I7" i="77" s="1"/>
  <c r="I45" i="12"/>
  <c r="AK7" i="20"/>
  <c r="C4" i="20" s="1"/>
  <c r="AZ5" i="20"/>
  <c r="BA5" i="20"/>
  <c r="BA8" i="20" s="1"/>
  <c r="BG2" i="20"/>
  <c r="G9" i="77" s="1"/>
  <c r="I9" i="77" s="1"/>
  <c r="DK20" i="70"/>
  <c r="DL19" i="70"/>
  <c r="DM18" i="70"/>
  <c r="AX20" i="54"/>
  <c r="AX7" i="54" s="1"/>
  <c r="J4" i="54" s="1"/>
  <c r="CD40" i="70"/>
  <c r="BC7" i="54"/>
  <c r="P4" i="54" s="1"/>
  <c r="BE52" i="54"/>
  <c r="BA52" i="54"/>
  <c r="BA7" i="54" s="1"/>
  <c r="BA9" i="54" s="1"/>
  <c r="L14" i="12"/>
  <c r="BB8" i="54"/>
  <c r="L8" i="12"/>
  <c r="CD47" i="70"/>
  <c r="CD56" i="70" s="1"/>
  <c r="CD52" i="70"/>
  <c r="CD49" i="70"/>
  <c r="CD58" i="70" s="1"/>
  <c r="CD51" i="70"/>
  <c r="CD48" i="70"/>
  <c r="CD57" i="70" s="1"/>
  <c r="CD59" i="70"/>
  <c r="CD66" i="70" s="1"/>
  <c r="L3" i="54"/>
  <c r="CD53" i="70"/>
  <c r="CD46" i="70"/>
  <c r="CD54" i="70" s="1"/>
  <c r="L15" i="12"/>
  <c r="L12" i="12"/>
  <c r="L11" i="12"/>
  <c r="AJ3" i="54"/>
  <c r="L10" i="12"/>
  <c r="L13" i="12"/>
  <c r="E17" i="12"/>
  <c r="AD4" i="65"/>
  <c r="AB4" i="65"/>
  <c r="BD9" i="65"/>
  <c r="AM9" i="65"/>
  <c r="AL8" i="65"/>
  <c r="C4" i="65" s="1"/>
  <c r="E7" i="12"/>
  <c r="AT9" i="79"/>
  <c r="I7" i="12"/>
  <c r="AS8" i="79"/>
  <c r="C4" i="79" s="1"/>
  <c r="BN9" i="79"/>
  <c r="AH3" i="79"/>
  <c r="AH4" i="79"/>
  <c r="AJ3" i="79"/>
  <c r="I17" i="12"/>
  <c r="AJ4" i="79"/>
  <c r="K13" i="77" l="1"/>
  <c r="CD67" i="70"/>
  <c r="BU32" i="70"/>
  <c r="BS23" i="70"/>
  <c r="BO33" i="70"/>
  <c r="AZ45" i="70"/>
  <c r="AT48" i="70"/>
  <c r="AR29" i="70"/>
  <c r="BV16" i="70"/>
  <c r="BT49" i="70"/>
  <c r="BR33" i="70"/>
  <c r="BN36" i="70"/>
  <c r="BL26" i="70"/>
  <c r="BJ36" i="70"/>
  <c r="BH48" i="70"/>
  <c r="BA24" i="70"/>
  <c r="AY33" i="70"/>
  <c r="AW27" i="70"/>
  <c r="DA53" i="70"/>
  <c r="DA52" i="70"/>
  <c r="BQ23" i="70"/>
  <c r="BK25" i="70"/>
  <c r="BV33" i="70"/>
  <c r="BP25" i="70"/>
  <c r="BX24" i="70"/>
  <c r="AS22" i="70"/>
  <c r="BW32" i="70"/>
  <c r="BM22" i="70"/>
  <c r="DB21" i="70"/>
  <c r="DE20" i="70"/>
  <c r="DC20" i="70"/>
  <c r="DF20" i="70"/>
  <c r="DD20" i="70"/>
  <c r="BI25" i="70"/>
  <c r="AQ41" i="70"/>
  <c r="CE21" i="70"/>
  <c r="CI20" i="70"/>
  <c r="CU20" i="70"/>
  <c r="CH20" i="70"/>
  <c r="CO20" i="70"/>
  <c r="CN20" i="70"/>
  <c r="CL20" i="70"/>
  <c r="CK20" i="70"/>
  <c r="CS20" i="70"/>
  <c r="CQ20" i="70"/>
  <c r="CF20" i="70"/>
  <c r="CP20" i="70"/>
  <c r="CM20" i="70"/>
  <c r="CG20" i="70"/>
  <c r="CR20" i="70"/>
  <c r="CJ20" i="70"/>
  <c r="CT20" i="70"/>
  <c r="H42" i="12"/>
  <c r="I42" i="12"/>
  <c r="BH7" i="57"/>
  <c r="C3" i="57" s="1"/>
  <c r="H45" i="12"/>
  <c r="AK5" i="20"/>
  <c r="C3" i="20" s="1"/>
  <c r="AD3" i="20"/>
  <c r="DN18" i="70"/>
  <c r="DM19" i="70"/>
  <c r="DK21" i="70"/>
  <c r="DL20" i="70"/>
  <c r="CD60" i="70"/>
  <c r="CD69" i="70" s="1"/>
  <c r="CD63" i="70"/>
  <c r="CD72" i="70" s="1"/>
  <c r="CD64" i="70"/>
  <c r="CD65" i="70"/>
  <c r="CD68" i="70"/>
  <c r="CD73" i="70"/>
  <c r="CD76" i="70" s="1"/>
  <c r="CD85" i="70" s="1"/>
  <c r="M11" i="12"/>
  <c r="AJ4" i="54"/>
  <c r="T4" i="54"/>
  <c r="M15" i="12"/>
  <c r="X4" i="54"/>
  <c r="V4" i="54"/>
  <c r="M13" i="12"/>
  <c r="R4" i="54"/>
  <c r="BC9" i="54"/>
  <c r="AD4" i="54"/>
  <c r="M12" i="12"/>
  <c r="AB4" i="54"/>
  <c r="M14" i="12"/>
  <c r="M10" i="12"/>
  <c r="Z4" i="54"/>
  <c r="AF4" i="54"/>
  <c r="AH4" i="54"/>
  <c r="M8" i="12"/>
  <c r="L4" i="54"/>
  <c r="BD52" i="54"/>
  <c r="BD6" i="54" s="1"/>
  <c r="BE7" i="54"/>
  <c r="CD61" i="70"/>
  <c r="CD70" i="70" s="1"/>
  <c r="CD62" i="70"/>
  <c r="CD71" i="70" s="1"/>
  <c r="CD55" i="70"/>
  <c r="CD80" i="70"/>
  <c r="CD81" i="70"/>
  <c r="CD75" i="70"/>
  <c r="CD84" i="70" s="1"/>
  <c r="CD79" i="70"/>
  <c r="CD87" i="70"/>
  <c r="K9" i="77" l="1"/>
  <c r="I13" i="77"/>
  <c r="K11" i="77"/>
  <c r="K7" i="77"/>
  <c r="BI26" i="70"/>
  <c r="DF21" i="70"/>
  <c r="DD21" i="70"/>
  <c r="DB22" i="70"/>
  <c r="DE21" i="70"/>
  <c r="DC21" i="70"/>
  <c r="BM23" i="70"/>
  <c r="BW33" i="70"/>
  <c r="AS23" i="70"/>
  <c r="BX25" i="70"/>
  <c r="BP26" i="70"/>
  <c r="BV34" i="70"/>
  <c r="BK26" i="70"/>
  <c r="DA59" i="70"/>
  <c r="DA60" i="70"/>
  <c r="AW28" i="70"/>
  <c r="AY34" i="70"/>
  <c r="BA25" i="70"/>
  <c r="BH49" i="70"/>
  <c r="BJ37" i="70"/>
  <c r="BN37" i="70"/>
  <c r="BR34" i="70"/>
  <c r="BT50" i="70"/>
  <c r="BW16" i="70"/>
  <c r="AR30" i="70"/>
  <c r="AT49" i="70"/>
  <c r="AZ46" i="70"/>
  <c r="BO34" i="70"/>
  <c r="BU33" i="70"/>
  <c r="CM21" i="70"/>
  <c r="CT21" i="70"/>
  <c r="CI21" i="70"/>
  <c r="CK21" i="70"/>
  <c r="CQ21" i="70"/>
  <c r="CE22" i="70"/>
  <c r="CP21" i="70"/>
  <c r="CU21" i="70"/>
  <c r="CR21" i="70"/>
  <c r="CL21" i="70"/>
  <c r="CS21" i="70"/>
  <c r="CJ21" i="70"/>
  <c r="CH21" i="70"/>
  <c r="CO21" i="70"/>
  <c r="CF21" i="70"/>
  <c r="CN21" i="70"/>
  <c r="CG21" i="70"/>
  <c r="AQ42" i="70"/>
  <c r="BQ24" i="70"/>
  <c r="BL27" i="70"/>
  <c r="BS24" i="70"/>
  <c r="CD78" i="70"/>
  <c r="CD74" i="70"/>
  <c r="CD83" i="70" s="1"/>
  <c r="CD77" i="70"/>
  <c r="CD86" i="70" s="1"/>
  <c r="DM20" i="70"/>
  <c r="DK22" i="70"/>
  <c r="DL21" i="70"/>
  <c r="DN19" i="70"/>
  <c r="DO18" i="70"/>
  <c r="AT6" i="54"/>
  <c r="C3" i="54" s="1"/>
  <c r="AL3" i="54"/>
  <c r="BD8" i="54"/>
  <c r="AN3" i="54"/>
  <c r="L16" i="12"/>
  <c r="AN4" i="54"/>
  <c r="AT7" i="54"/>
  <c r="C4" i="54" s="1"/>
  <c r="AL4" i="54"/>
  <c r="M16" i="12"/>
  <c r="BE9" i="54"/>
  <c r="CD95" i="70"/>
  <c r="CD89" i="70"/>
  <c r="CD98" i="70" s="1"/>
  <c r="CD101" i="70"/>
  <c r="CD92" i="70"/>
  <c r="CD88" i="70"/>
  <c r="CD93" i="70"/>
  <c r="CD90" i="70"/>
  <c r="CD99" i="70" s="1"/>
  <c r="CD94" i="70"/>
  <c r="CD91" i="70"/>
  <c r="CD100" i="70" s="1"/>
  <c r="CE24" i="15"/>
  <c r="CD33" i="15"/>
  <c r="CW17" i="15"/>
  <c r="CG15" i="15"/>
  <c r="CS44" i="15"/>
  <c r="DD110" i="15"/>
  <c r="DB31" i="15"/>
  <c r="CG37" i="15"/>
  <c r="CH32" i="15"/>
  <c r="CG84" i="15"/>
  <c r="CM22" i="15"/>
  <c r="CM24" i="15"/>
  <c r="DA36" i="15"/>
  <c r="CI16" i="15"/>
  <c r="CW21" i="15"/>
  <c r="CE71" i="15"/>
  <c r="CN15" i="15"/>
  <c r="CD69" i="15"/>
  <c r="DB60" i="15"/>
  <c r="DC25" i="15"/>
  <c r="CS48" i="15"/>
  <c r="CR35" i="15"/>
  <c r="R14" i="15"/>
  <c r="CH27" i="15"/>
  <c r="DD38" i="15"/>
  <c r="CS29" i="15"/>
  <c r="CF19" i="15"/>
  <c r="CN18" i="15"/>
  <c r="CJ62" i="15"/>
  <c r="CW50" i="15"/>
  <c r="CJ35" i="15"/>
  <c r="CJ45" i="15"/>
  <c r="CH51" i="15"/>
  <c r="CM33" i="15"/>
  <c r="CE29" i="15"/>
  <c r="CE32" i="15"/>
  <c r="DB29" i="15"/>
  <c r="CR18" i="15"/>
  <c r="CJ14" i="15"/>
  <c r="CF40" i="15"/>
  <c r="C17" i="15"/>
  <c r="CQ90" i="15"/>
  <c r="C13" i="15"/>
  <c r="CS13" i="15"/>
  <c r="CR42" i="15"/>
  <c r="DC63" i="15"/>
  <c r="CI35" i="15"/>
  <c r="CG43" i="15"/>
  <c r="DD17" i="15"/>
  <c r="B19" i="15"/>
  <c r="T24" i="15"/>
  <c r="CY83" i="15"/>
  <c r="CK41" i="15"/>
  <c r="CZ34" i="15"/>
  <c r="CR43" i="15"/>
  <c r="CM21" i="15"/>
  <c r="CF14" i="15"/>
  <c r="CW42" i="15"/>
  <c r="CG23" i="15"/>
  <c r="CM48" i="15"/>
  <c r="CT32" i="15"/>
  <c r="CW39" i="15"/>
  <c r="CN36" i="15"/>
  <c r="CK60" i="15"/>
  <c r="CJ66" i="15"/>
  <c r="CH25" i="15"/>
  <c r="CI67" i="15"/>
  <c r="CH41" i="15"/>
  <c r="R15" i="15"/>
  <c r="CW100" i="15"/>
  <c r="CM27" i="15"/>
  <c r="CK15" i="15"/>
  <c r="CH55" i="15"/>
  <c r="CF47" i="15"/>
  <c r="CR11" i="15"/>
  <c r="CS55" i="15"/>
  <c r="DA99" i="15"/>
  <c r="CR39" i="15"/>
  <c r="CE34" i="15"/>
  <c r="M63" i="15"/>
  <c r="CE58" i="15"/>
  <c r="J14" i="15"/>
  <c r="CM36" i="15"/>
  <c r="CH12" i="15"/>
  <c r="G75" i="15"/>
  <c r="I58" i="15"/>
  <c r="CQ12" i="15"/>
  <c r="CJ31" i="15"/>
  <c r="O17" i="15"/>
  <c r="CX61" i="15"/>
  <c r="CD25" i="15"/>
  <c r="CT36" i="15"/>
  <c r="DA13" i="15"/>
  <c r="CK37" i="15"/>
  <c r="CT52" i="15"/>
  <c r="CQ20" i="15"/>
  <c r="CP51" i="15"/>
  <c r="CG106" i="15"/>
  <c r="CQ26" i="15"/>
  <c r="CZ35" i="15"/>
  <c r="CR45" i="15"/>
  <c r="CO85" i="15"/>
  <c r="DA15" i="15"/>
  <c r="CL27" i="15"/>
  <c r="CX85" i="15"/>
  <c r="CK31" i="15"/>
  <c r="X22" i="15"/>
  <c r="CE27" i="15"/>
  <c r="CP80" i="15"/>
  <c r="DB89" i="15"/>
  <c r="CH20" i="15"/>
  <c r="CJ16" i="15"/>
  <c r="Z12" i="15"/>
  <c r="T25" i="15"/>
  <c r="DB39" i="15"/>
  <c r="DC30" i="15"/>
  <c r="CK36" i="15"/>
  <c r="DB43" i="15"/>
  <c r="CS33" i="15"/>
  <c r="DA51" i="15"/>
  <c r="CF41" i="15"/>
  <c r="X23" i="15"/>
  <c r="CS87" i="15"/>
  <c r="V16" i="15"/>
  <c r="CS100" i="15"/>
  <c r="CN80" i="15"/>
  <c r="G49" i="15"/>
  <c r="CG55" i="15"/>
  <c r="CU21" i="15"/>
  <c r="CR36" i="15"/>
  <c r="CO17" i="15"/>
  <c r="CE25" i="15"/>
  <c r="CE67" i="15"/>
  <c r="CS61" i="15"/>
  <c r="CT17" i="15"/>
  <c r="B22" i="15"/>
  <c r="CV36" i="15"/>
  <c r="CO44" i="15"/>
  <c r="CV110" i="15"/>
  <c r="CO97" i="15"/>
  <c r="CI51" i="15"/>
  <c r="CG18" i="15"/>
  <c r="CH47" i="15"/>
  <c r="DC33" i="15"/>
  <c r="CN47" i="15"/>
  <c r="DA26" i="15"/>
  <c r="DB24" i="15"/>
  <c r="CG56" i="15"/>
  <c r="CD32" i="15"/>
  <c r="CK11" i="15"/>
  <c r="N70" i="15"/>
  <c r="DA33" i="15"/>
  <c r="CT28" i="15"/>
  <c r="CH30" i="15"/>
  <c r="CQ18" i="15"/>
  <c r="CE73" i="15"/>
  <c r="DC31" i="15"/>
  <c r="CG14" i="15"/>
  <c r="CQ80" i="15"/>
  <c r="CM29" i="15"/>
  <c r="CH80" i="15"/>
  <c r="CM91" i="15"/>
  <c r="F68" i="15"/>
  <c r="DD40" i="15"/>
  <c r="CG28" i="15"/>
  <c r="CH78" i="15"/>
  <c r="F53" i="15"/>
  <c r="DD53" i="15"/>
  <c r="CL24" i="15"/>
  <c r="CF54" i="15"/>
  <c r="AA13" i="15"/>
  <c r="CS11" i="15"/>
  <c r="L12" i="15"/>
  <c r="CI37" i="15"/>
  <c r="CQ93" i="15"/>
  <c r="CQ33" i="15"/>
  <c r="CE28" i="15"/>
  <c r="CE49" i="15"/>
  <c r="CW38" i="15"/>
  <c r="CQ30" i="15"/>
  <c r="CS34" i="15"/>
  <c r="CQ69" i="15"/>
  <c r="CO99" i="15"/>
  <c r="CO82" i="15"/>
  <c r="I101" i="15"/>
  <c r="CO75" i="15"/>
  <c r="M109" i="15"/>
  <c r="M43" i="15"/>
  <c r="CO86" i="15"/>
  <c r="S14" i="15"/>
  <c r="CY80" i="15"/>
  <c r="CX80" i="15"/>
  <c r="CG85" i="15"/>
  <c r="T11" i="15"/>
  <c r="CG24" i="15"/>
  <c r="CE100" i="15"/>
  <c r="CD56" i="15"/>
  <c r="CE63" i="15"/>
  <c r="CV52" i="15"/>
  <c r="G89" i="15"/>
  <c r="M76" i="15"/>
  <c r="CZ44" i="15"/>
  <c r="CY90" i="15"/>
  <c r="CX52" i="15"/>
  <c r="CG35" i="15"/>
  <c r="CS54" i="15"/>
  <c r="DA38" i="15"/>
  <c r="CK63" i="15"/>
  <c r="CQ14" i="15"/>
  <c r="CI64" i="15"/>
  <c r="CJ68" i="15"/>
  <c r="CF52" i="15"/>
  <c r="CU24" i="15"/>
  <c r="AC11" i="15"/>
  <c r="CK104" i="15"/>
  <c r="CZ78" i="15"/>
  <c r="CF15" i="15"/>
  <c r="CW46" i="15"/>
  <c r="CE22" i="15"/>
  <c r="CW44" i="15"/>
  <c r="CI14" i="15"/>
  <c r="CF38" i="15"/>
  <c r="CW36" i="15"/>
  <c r="CG21" i="15"/>
  <c r="CH54" i="15"/>
  <c r="CK43" i="15"/>
  <c r="DC26" i="15"/>
  <c r="CK102" i="15"/>
  <c r="CX58" i="15"/>
  <c r="CW16" i="15"/>
  <c r="DA55" i="15"/>
  <c r="CR17" i="15"/>
  <c r="CJ90" i="15"/>
  <c r="CM26" i="15"/>
  <c r="CI30" i="15"/>
  <c r="CS51" i="15"/>
  <c r="CI25" i="15"/>
  <c r="DC67" i="15"/>
  <c r="CG88" i="15"/>
  <c r="CE26" i="15"/>
  <c r="CN50" i="15"/>
  <c r="CW35" i="15"/>
  <c r="CP25" i="15"/>
  <c r="DA32" i="15"/>
  <c r="CV98" i="15"/>
  <c r="CS84" i="15"/>
  <c r="CJ97" i="15"/>
  <c r="CR38" i="15"/>
  <c r="J11" i="15"/>
  <c r="CY75" i="15"/>
  <c r="DB105" i="15"/>
  <c r="CZ86" i="15"/>
  <c r="CG40" i="15"/>
  <c r="CL33" i="15"/>
  <c r="CK26" i="15"/>
  <c r="DD57" i="15"/>
  <c r="CD44" i="15"/>
  <c r="CU22" i="15"/>
  <c r="CM28" i="15"/>
  <c r="CZ45" i="15"/>
  <c r="CS58" i="15"/>
  <c r="CI31" i="15"/>
  <c r="DA22" i="15"/>
  <c r="CK27" i="15"/>
  <c r="CM31" i="15"/>
  <c r="CE76" i="15"/>
  <c r="M82" i="15"/>
  <c r="CT25" i="15"/>
  <c r="CK101" i="15"/>
  <c r="CZ49" i="15"/>
  <c r="CX30" i="15"/>
  <c r="CG83" i="15"/>
  <c r="CY109" i="15"/>
  <c r="CS16" i="15"/>
  <c r="CQ17" i="15"/>
  <c r="DB23" i="15"/>
  <c r="DB22" i="15"/>
  <c r="DD14" i="15"/>
  <c r="CS27" i="15"/>
  <c r="CX25" i="15"/>
  <c r="CN53" i="15"/>
  <c r="DB71" i="15"/>
  <c r="CK20" i="15"/>
  <c r="L13" i="15"/>
  <c r="CI23" i="15"/>
  <c r="CK38" i="15"/>
  <c r="O37" i="15"/>
  <c r="DA31" i="15"/>
  <c r="CJ17" i="15"/>
  <c r="CW79" i="15"/>
  <c r="CT42" i="15"/>
  <c r="DA34" i="15"/>
  <c r="CF42" i="15"/>
  <c r="CG19" i="15"/>
  <c r="CQ29" i="15"/>
  <c r="DB30" i="15"/>
  <c r="CL32" i="15"/>
  <c r="X20" i="15"/>
  <c r="E23" i="15"/>
  <c r="CV64" i="15"/>
  <c r="G43" i="15"/>
  <c r="DC106" i="15"/>
  <c r="V15" i="15"/>
  <c r="I70" i="15"/>
  <c r="CP61" i="15"/>
  <c r="CL97" i="15"/>
  <c r="CO88" i="15"/>
  <c r="M15" i="15"/>
  <c r="CZ46" i="15"/>
  <c r="CO67" i="15"/>
  <c r="CU85" i="15"/>
  <c r="CP12" i="15"/>
  <c r="CW107" i="15"/>
  <c r="DA41" i="15"/>
  <c r="CQ24" i="15"/>
  <c r="CG36" i="15"/>
  <c r="DD47" i="15"/>
  <c r="CI33" i="15"/>
  <c r="CQ32" i="15"/>
  <c r="I11" i="15"/>
  <c r="T22" i="15"/>
  <c r="DD55" i="15"/>
  <c r="DC32" i="15"/>
  <c r="CM38" i="15"/>
  <c r="CW19" i="15"/>
  <c r="DA37" i="15"/>
  <c r="DC104" i="15"/>
  <c r="CT23" i="15"/>
  <c r="M14" i="15"/>
  <c r="CE60" i="15"/>
  <c r="CL14" i="15"/>
  <c r="I18" i="15"/>
  <c r="CW33" i="15"/>
  <c r="CW27" i="15"/>
  <c r="M77" i="15"/>
  <c r="CY28" i="15"/>
  <c r="CQ73" i="15"/>
  <c r="CV87" i="15"/>
  <c r="CY108" i="15"/>
  <c r="F57" i="15"/>
  <c r="CY89" i="15"/>
  <c r="CT38" i="15"/>
  <c r="CZ81" i="15"/>
  <c r="CG16" i="15"/>
  <c r="DC65" i="15"/>
  <c r="CW63" i="15"/>
  <c r="S12" i="15"/>
  <c r="DA28" i="15"/>
  <c r="CR14" i="15"/>
  <c r="CS12" i="15"/>
  <c r="CN39" i="15"/>
  <c r="CJ41" i="15"/>
  <c r="CD31" i="15"/>
  <c r="CJ37" i="15"/>
  <c r="CF37" i="15"/>
  <c r="CT30" i="15"/>
  <c r="CS31" i="15"/>
  <c r="CQ19" i="15"/>
  <c r="CX33" i="15"/>
  <c r="R16" i="15"/>
  <c r="CH43" i="15"/>
  <c r="CF17" i="15"/>
  <c r="DB46" i="15"/>
  <c r="CS32" i="15"/>
  <c r="CN94" i="15"/>
  <c r="CE48" i="15"/>
  <c r="CI24" i="15"/>
  <c r="CX98" i="15"/>
  <c r="DC27" i="15"/>
  <c r="CF60" i="15"/>
  <c r="CR15" i="15"/>
  <c r="CJ44" i="15"/>
  <c r="DA42" i="15"/>
  <c r="DD37" i="15"/>
  <c r="CZ106" i="15"/>
  <c r="DB53" i="15"/>
  <c r="DA12" i="15"/>
  <c r="CZ64" i="15"/>
  <c r="CN66" i="15"/>
  <c r="CS24" i="15"/>
  <c r="N94" i="15"/>
  <c r="DC64" i="15"/>
  <c r="CF35" i="15"/>
  <c r="CQ65" i="15"/>
  <c r="CZ17" i="15"/>
  <c r="CS57" i="15"/>
  <c r="CF49" i="15"/>
  <c r="DB28" i="15"/>
  <c r="DD61" i="15"/>
  <c r="CN17" i="15"/>
  <c r="CK13" i="15"/>
  <c r="CF88" i="15"/>
  <c r="CK29" i="15"/>
  <c r="I24" i="15"/>
  <c r="I52" i="15"/>
  <c r="DB45" i="15"/>
  <c r="DA75" i="15"/>
  <c r="G97" i="15"/>
  <c r="M39" i="15"/>
  <c r="CQ96" i="15"/>
  <c r="Y23" i="15"/>
  <c r="R38" i="15"/>
  <c r="K23" i="15"/>
  <c r="DD73" i="15"/>
  <c r="CD39" i="15"/>
  <c r="O35" i="15"/>
  <c r="O14" i="15"/>
  <c r="G58" i="15"/>
  <c r="CK14" i="15"/>
  <c r="CE31" i="15"/>
  <c r="CM65" i="15"/>
  <c r="DA27" i="15"/>
  <c r="CK24" i="15"/>
  <c r="DB21" i="15"/>
  <c r="DD13" i="15"/>
  <c r="DC20" i="15"/>
  <c r="R20" i="15"/>
  <c r="F46" i="15"/>
  <c r="CI108" i="15"/>
  <c r="CN11" i="15"/>
  <c r="O12" i="15"/>
  <c r="CI26" i="15"/>
  <c r="N24" i="15"/>
  <c r="Z14" i="15"/>
  <c r="I47" i="15"/>
  <c r="O75" i="15"/>
  <c r="CX11" i="15"/>
  <c r="G59" i="15"/>
  <c r="CY64" i="15"/>
  <c r="CD109" i="15"/>
  <c r="N100" i="15"/>
  <c r="CL102" i="15"/>
  <c r="CZ51" i="15"/>
  <c r="CH109" i="15"/>
  <c r="F97" i="15"/>
  <c r="CU51" i="15"/>
  <c r="CL78" i="15"/>
  <c r="CZ32" i="15"/>
  <c r="CV26" i="15"/>
  <c r="CZ52" i="15"/>
  <c r="F92" i="15"/>
  <c r="CW62" i="15"/>
  <c r="CW12" i="15"/>
  <c r="CN52" i="15"/>
  <c r="DA24" i="15"/>
  <c r="DD93" i="15"/>
  <c r="CO38" i="15"/>
  <c r="N97" i="15"/>
  <c r="CN62" i="15"/>
  <c r="CS72" i="15"/>
  <c r="CN21" i="15"/>
  <c r="CY58" i="15"/>
  <c r="K31" i="15"/>
  <c r="CW87" i="15"/>
  <c r="DB68" i="15"/>
  <c r="CR96" i="15"/>
  <c r="CK49" i="15"/>
  <c r="CU38" i="15"/>
  <c r="DB82" i="15"/>
  <c r="DD21" i="15"/>
  <c r="DA81" i="15"/>
  <c r="M56" i="15"/>
  <c r="DC80" i="15"/>
  <c r="CJ83" i="15"/>
  <c r="CL72" i="15"/>
  <c r="M78" i="15"/>
  <c r="CG86" i="15"/>
  <c r="CZ91" i="15"/>
  <c r="CT72" i="15"/>
  <c r="CT20" i="15"/>
  <c r="CN42" i="15"/>
  <c r="CX49" i="15"/>
  <c r="CI15" i="15"/>
  <c r="CF83" i="15"/>
  <c r="CS36" i="15"/>
  <c r="CK16" i="15"/>
  <c r="DA20" i="15"/>
  <c r="CJ40" i="15"/>
  <c r="CG51" i="15"/>
  <c r="DA18" i="15"/>
  <c r="CE23" i="15"/>
  <c r="DA54" i="15"/>
  <c r="CF45" i="15"/>
  <c r="DA16" i="15"/>
  <c r="DA11" i="15"/>
  <c r="CM20" i="15"/>
  <c r="CQ37" i="15"/>
  <c r="CH48" i="15"/>
  <c r="CH50" i="15"/>
  <c r="CE21" i="15"/>
  <c r="CS15" i="15"/>
  <c r="CR12" i="15"/>
  <c r="CK50" i="15"/>
  <c r="CH26" i="15"/>
  <c r="CT54" i="15"/>
  <c r="DB56" i="15"/>
  <c r="CE50" i="15"/>
  <c r="CS41" i="15"/>
  <c r="CK32" i="15"/>
  <c r="CK42" i="15"/>
  <c r="CS18" i="15"/>
  <c r="CS60" i="15"/>
  <c r="DD16" i="15"/>
  <c r="I61" i="15"/>
  <c r="CR93" i="15"/>
  <c r="DD36" i="15"/>
  <c r="CK74" i="15"/>
  <c r="CH104" i="15"/>
  <c r="J21" i="15"/>
  <c r="CI13" i="15"/>
  <c r="DC82" i="15"/>
  <c r="DB17" i="15"/>
  <c r="DB48" i="15"/>
  <c r="CJ34" i="15"/>
  <c r="CK35" i="15"/>
  <c r="DD11" i="15"/>
  <c r="DB61" i="15"/>
  <c r="CF46" i="15"/>
  <c r="CQ13" i="15"/>
  <c r="CT89" i="15"/>
  <c r="CO79" i="15"/>
  <c r="W11" i="15"/>
  <c r="CI81" i="15"/>
  <c r="DA105" i="15"/>
  <c r="F20" i="15"/>
  <c r="AB16" i="15"/>
  <c r="CU103" i="15"/>
  <c r="G46" i="15"/>
  <c r="CS35" i="15"/>
  <c r="CK17" i="15"/>
  <c r="CI71" i="15"/>
  <c r="DB106" i="15"/>
  <c r="CD28" i="15"/>
  <c r="CX20" i="15"/>
  <c r="CK88" i="15"/>
  <c r="CS38" i="15"/>
  <c r="CX24" i="15"/>
  <c r="CI18" i="15"/>
  <c r="DC23" i="15"/>
  <c r="CQ31" i="15"/>
  <c r="DD50" i="15"/>
  <c r="CS30" i="15"/>
  <c r="R37" i="15"/>
  <c r="CY48" i="15"/>
  <c r="CZ36" i="15"/>
  <c r="CQ36" i="15"/>
  <c r="CJ13" i="15"/>
  <c r="G19" i="15"/>
  <c r="CH33" i="15"/>
  <c r="CY85" i="15"/>
  <c r="CK55" i="15"/>
  <c r="CJ18" i="15"/>
  <c r="I109" i="15"/>
  <c r="CE72" i="15"/>
  <c r="O74" i="15"/>
  <c r="DD41" i="15"/>
  <c r="CY18" i="15"/>
  <c r="CE30" i="15"/>
  <c r="CJ22" i="15"/>
  <c r="Z13" i="15"/>
  <c r="N79" i="15"/>
  <c r="F110" i="15"/>
  <c r="DC88" i="15"/>
  <c r="CS37" i="15"/>
  <c r="CF44" i="15"/>
  <c r="CP17" i="15"/>
  <c r="CZ27" i="15"/>
  <c r="CF99" i="15"/>
  <c r="CK46" i="15"/>
  <c r="CD24" i="15"/>
  <c r="CJ108" i="15"/>
  <c r="DB54" i="15"/>
  <c r="CH23" i="15"/>
  <c r="DB42" i="15"/>
  <c r="CN61" i="15"/>
  <c r="N41" i="15"/>
  <c r="M88" i="15"/>
  <c r="BX11" i="15"/>
  <c r="G60" i="15"/>
  <c r="CQ89" i="15"/>
  <c r="CW94" i="15"/>
  <c r="CV60" i="15"/>
  <c r="CU82" i="15"/>
  <c r="CV84" i="15"/>
  <c r="O40" i="15"/>
  <c r="CL38" i="15"/>
  <c r="CD40" i="15"/>
  <c r="CZ29" i="15"/>
  <c r="CJ101" i="15"/>
  <c r="DA60" i="15"/>
  <c r="CM74" i="15"/>
  <c r="CU78" i="15"/>
  <c r="I75" i="15"/>
  <c r="CN107" i="15"/>
  <c r="CL48" i="15"/>
  <c r="CQ39" i="15"/>
  <c r="DA83" i="15"/>
  <c r="CQ27" i="15"/>
  <c r="CR49" i="15"/>
  <c r="CI20" i="15"/>
  <c r="DC22" i="15"/>
  <c r="M83" i="15"/>
  <c r="CL25" i="15"/>
  <c r="F51" i="15"/>
  <c r="CH93" i="15"/>
  <c r="DA14" i="15"/>
  <c r="H11" i="15"/>
  <c r="CD21" i="15"/>
  <c r="CI19" i="15"/>
  <c r="CI28" i="15"/>
  <c r="V12" i="15"/>
  <c r="BV11" i="15"/>
  <c r="F49" i="15"/>
  <c r="CQ11" i="15"/>
  <c r="DA19" i="15"/>
  <c r="CS14" i="15"/>
  <c r="CK22" i="15"/>
  <c r="F32" i="15"/>
  <c r="O72" i="15"/>
  <c r="CI41" i="15"/>
  <c r="CI62" i="15"/>
  <c r="CW34" i="15"/>
  <c r="CI22" i="15"/>
  <c r="CJ39" i="15"/>
  <c r="CG41" i="15"/>
  <c r="CY98" i="15"/>
  <c r="F25" i="15"/>
  <c r="DC96" i="15"/>
  <c r="CI76" i="15"/>
  <c r="CV19" i="15"/>
  <c r="CM97" i="15"/>
  <c r="DB18" i="15"/>
  <c r="CK52" i="15"/>
  <c r="DA77" i="15"/>
  <c r="CH98" i="15"/>
  <c r="K18" i="15"/>
  <c r="CI61" i="15"/>
  <c r="CF12" i="15"/>
  <c r="CJ11" i="15"/>
  <c r="CH28" i="15"/>
  <c r="CD46" i="15"/>
  <c r="DB32" i="15"/>
  <c r="CS19" i="15"/>
  <c r="CS67" i="15"/>
  <c r="CL55" i="15"/>
  <c r="CG12" i="15"/>
  <c r="E19" i="15"/>
  <c r="CE20" i="15"/>
  <c r="CO50" i="15"/>
  <c r="CD30" i="15"/>
  <c r="E26" i="15"/>
  <c r="CS25" i="15"/>
  <c r="T19" i="15"/>
  <c r="CQ21" i="15"/>
  <c r="CS46" i="15"/>
  <c r="CQ91" i="15"/>
  <c r="CW75" i="15"/>
  <c r="CD23" i="15"/>
  <c r="CW22" i="15"/>
  <c r="O97" i="15"/>
  <c r="F87" i="15"/>
  <c r="CR46" i="15"/>
  <c r="CF34" i="15"/>
  <c r="CR34" i="15"/>
  <c r="F83" i="15"/>
  <c r="DA95" i="15"/>
  <c r="CI39" i="15"/>
  <c r="CF63" i="15"/>
  <c r="DB33" i="15"/>
  <c r="CD108" i="15"/>
  <c r="DC49" i="15"/>
  <c r="CK73" i="15"/>
  <c r="DD65" i="15"/>
  <c r="CN105" i="15"/>
  <c r="CE18" i="15"/>
  <c r="N65" i="15"/>
  <c r="G76" i="15"/>
  <c r="CY27" i="15"/>
  <c r="CR63" i="15"/>
  <c r="G63" i="15"/>
  <c r="CR61" i="15"/>
  <c r="O78" i="15"/>
  <c r="N73" i="15"/>
  <c r="DD98" i="15"/>
  <c r="CG42" i="15"/>
  <c r="CH18" i="15"/>
  <c r="CR107" i="15"/>
  <c r="CZ31" i="15"/>
  <c r="CJ51" i="15"/>
  <c r="CP45" i="15"/>
  <c r="I14" i="15"/>
  <c r="CJ81" i="15"/>
  <c r="CN49" i="15"/>
  <c r="CM25" i="15"/>
  <c r="CF18" i="15"/>
  <c r="CF56" i="15"/>
  <c r="DC70" i="15"/>
  <c r="CM64" i="15"/>
  <c r="CS40" i="15"/>
  <c r="CL53" i="15"/>
  <c r="CL66" i="15"/>
  <c r="CW23" i="15"/>
  <c r="X12" i="15"/>
  <c r="DA57" i="15"/>
  <c r="B18" i="15"/>
  <c r="CO32" i="15"/>
  <c r="DB26" i="15"/>
  <c r="DC12" i="15"/>
  <c r="J12" i="15"/>
  <c r="CE33" i="15"/>
  <c r="CM44" i="15"/>
  <c r="F21" i="15"/>
  <c r="CO68" i="15"/>
  <c r="K13" i="15"/>
  <c r="N52" i="15"/>
  <c r="CT73" i="15"/>
  <c r="CH74" i="15"/>
  <c r="CW25" i="15"/>
  <c r="CF26" i="15"/>
  <c r="CQ15" i="15"/>
  <c r="CQ75" i="15"/>
  <c r="CY77" i="15"/>
  <c r="CW61" i="15"/>
  <c r="DA35" i="15"/>
  <c r="DA102" i="15"/>
  <c r="CD61" i="15"/>
  <c r="CH95" i="15"/>
  <c r="CG38" i="15"/>
  <c r="CJ36" i="15"/>
  <c r="CT43" i="15"/>
  <c r="CH22" i="15"/>
  <c r="CD20" i="15"/>
  <c r="CK33" i="15"/>
  <c r="F74" i="15"/>
  <c r="CN38" i="15"/>
  <c r="AB12" i="15"/>
  <c r="CH100" i="15"/>
  <c r="CS39" i="15"/>
  <c r="CR83" i="15"/>
  <c r="D12" i="15"/>
  <c r="CN12" i="15"/>
  <c r="CT44" i="15"/>
  <c r="CP96" i="15"/>
  <c r="DD27" i="15"/>
  <c r="CW30" i="15"/>
  <c r="CM14" i="15"/>
  <c r="CD45" i="15"/>
  <c r="M47" i="15"/>
  <c r="I100" i="15"/>
  <c r="CP46" i="15"/>
  <c r="CP22" i="15"/>
  <c r="DC75" i="15"/>
  <c r="G99" i="15"/>
  <c r="CM13" i="15"/>
  <c r="CZ67" i="15"/>
  <c r="CE64" i="15"/>
  <c r="CM23" i="15"/>
  <c r="CK30" i="15"/>
  <c r="CF16" i="15"/>
  <c r="CG101" i="15"/>
  <c r="CH57" i="15"/>
  <c r="CD102" i="15"/>
  <c r="CE38" i="15"/>
  <c r="CU106" i="15"/>
  <c r="X24" i="15"/>
  <c r="N58" i="15"/>
  <c r="CG63" i="15"/>
  <c r="CJ12" i="15"/>
  <c r="CN26" i="15"/>
  <c r="DD23" i="15"/>
  <c r="CD50" i="15"/>
  <c r="CU77" i="15"/>
  <c r="CI32" i="15"/>
  <c r="CR47" i="15"/>
  <c r="B30" i="15"/>
  <c r="CW105" i="15"/>
  <c r="CL12" i="15"/>
  <c r="CX60" i="15"/>
  <c r="CR13" i="15"/>
  <c r="CN35" i="15"/>
  <c r="CS22" i="15"/>
  <c r="M70" i="15"/>
  <c r="CQ35" i="15"/>
  <c r="CP36" i="15"/>
  <c r="CM89" i="15"/>
  <c r="CU63" i="15"/>
  <c r="CR53" i="15"/>
  <c r="N77" i="15"/>
  <c r="CY30" i="15"/>
  <c r="CA11" i="15"/>
  <c r="CK40" i="15"/>
  <c r="CR48" i="15"/>
  <c r="DD45" i="15"/>
  <c r="CZ19" i="15"/>
  <c r="E15" i="15"/>
  <c r="CK18" i="15"/>
  <c r="CK77" i="15"/>
  <c r="DD46" i="15"/>
  <c r="CR54" i="15"/>
  <c r="CJ102" i="15"/>
  <c r="CZ15" i="15"/>
  <c r="DB73" i="15"/>
  <c r="CT102" i="15"/>
  <c r="CN79" i="15"/>
  <c r="CH85" i="15"/>
  <c r="DD75" i="15"/>
  <c r="CV45" i="15"/>
  <c r="DB44" i="15"/>
  <c r="CN110" i="15"/>
  <c r="CG54" i="15"/>
  <c r="M73" i="15"/>
  <c r="CJ15" i="15"/>
  <c r="CO18" i="15"/>
  <c r="CD38" i="15"/>
  <c r="B12" i="15"/>
  <c r="CR91" i="15"/>
  <c r="CW13" i="15"/>
  <c r="CO101" i="15"/>
  <c r="CI46" i="15"/>
  <c r="DB58" i="15"/>
  <c r="DD34" i="15"/>
  <c r="CP21" i="15"/>
  <c r="Z11" i="15"/>
  <c r="CN82" i="15"/>
  <c r="CP37" i="15"/>
  <c r="O48" i="15"/>
  <c r="CH68" i="15"/>
  <c r="CD98" i="15"/>
  <c r="G96" i="15"/>
  <c r="M104" i="15"/>
  <c r="DB52" i="15"/>
  <c r="DA49" i="15"/>
  <c r="O47" i="15"/>
  <c r="CG107" i="15"/>
  <c r="X25" i="15"/>
  <c r="CW92" i="15"/>
  <c r="CO46" i="15"/>
  <c r="CH13" i="15"/>
  <c r="DD86" i="15"/>
  <c r="F40" i="15"/>
  <c r="N59" i="15"/>
  <c r="CE97" i="15"/>
  <c r="I57" i="15"/>
  <c r="CZ77" i="15"/>
  <c r="CS91" i="15"/>
  <c r="CY69" i="15"/>
  <c r="CF28" i="15"/>
  <c r="CU43" i="15"/>
  <c r="B16" i="15"/>
  <c r="CV91" i="15"/>
  <c r="O29" i="15"/>
  <c r="M17" i="15"/>
  <c r="CT46" i="15"/>
  <c r="CY50" i="15"/>
  <c r="CE61" i="15"/>
  <c r="CD99" i="15"/>
  <c r="F35" i="15"/>
  <c r="N62" i="15"/>
  <c r="DD67" i="15"/>
  <c r="CU92" i="15"/>
  <c r="DB102" i="15"/>
  <c r="CH87" i="15"/>
  <c r="CG87" i="15"/>
  <c r="DC48" i="15"/>
  <c r="DC13" i="15"/>
  <c r="CJ54" i="15"/>
  <c r="I33" i="15"/>
  <c r="CI54" i="15"/>
  <c r="N19" i="15"/>
  <c r="G13" i="15"/>
  <c r="CW91" i="15"/>
  <c r="G50" i="15"/>
  <c r="DC107" i="15"/>
  <c r="CK89" i="15"/>
  <c r="CE102" i="15"/>
  <c r="CP55" i="15"/>
  <c r="I103" i="15"/>
  <c r="CT101" i="15"/>
  <c r="DC91" i="15"/>
  <c r="CP90" i="15"/>
  <c r="I53" i="15"/>
  <c r="DC53" i="15"/>
  <c r="CN78" i="15"/>
  <c r="G55" i="15"/>
  <c r="CF36" i="15"/>
  <c r="CN14" i="15"/>
  <c r="CT56" i="15"/>
  <c r="CG44" i="15"/>
  <c r="CK12" i="15"/>
  <c r="N83" i="15"/>
  <c r="CN44" i="15"/>
  <c r="DD35" i="15"/>
  <c r="CK28" i="15"/>
  <c r="CQ95" i="15"/>
  <c r="CW59" i="15"/>
  <c r="CZ60" i="15"/>
  <c r="CY37" i="15"/>
  <c r="CS63" i="15"/>
  <c r="CW40" i="15"/>
  <c r="CR79" i="15"/>
  <c r="CH88" i="15"/>
  <c r="CV39" i="15"/>
  <c r="CN106" i="15"/>
  <c r="CV23" i="15"/>
  <c r="CW53" i="15"/>
  <c r="DD52" i="15"/>
  <c r="CR20" i="15"/>
  <c r="CQ78" i="15"/>
  <c r="CI49" i="15"/>
  <c r="CQ28" i="15"/>
  <c r="F48" i="15"/>
  <c r="CW49" i="15"/>
  <c r="CK45" i="15"/>
  <c r="R22" i="15"/>
  <c r="CW14" i="15"/>
  <c r="CJ106" i="15"/>
  <c r="CM79" i="15"/>
  <c r="CX18" i="15"/>
  <c r="CW101" i="15"/>
  <c r="F19" i="15"/>
  <c r="CG11" i="15"/>
  <c r="CG47" i="15"/>
  <c r="DB40" i="15"/>
  <c r="CV67" i="15"/>
  <c r="DA73" i="15"/>
  <c r="CI94" i="15"/>
  <c r="CW97" i="15"/>
  <c r="N78" i="15"/>
  <c r="CH44" i="15"/>
  <c r="DB92" i="15"/>
  <c r="CV105" i="15"/>
  <c r="CY39" i="15"/>
  <c r="CP39" i="15"/>
  <c r="N12" i="15"/>
  <c r="I54" i="15"/>
  <c r="CQ59" i="15"/>
  <c r="M57" i="15"/>
  <c r="CP86" i="15"/>
  <c r="CV43" i="15"/>
  <c r="CQ68" i="15"/>
  <c r="CV15" i="15"/>
  <c r="CY22" i="15"/>
  <c r="CE12" i="15"/>
  <c r="CM106" i="15"/>
  <c r="DB16" i="15"/>
  <c r="G62" i="15"/>
  <c r="CD57" i="15"/>
  <c r="CE45" i="15"/>
  <c r="CW47" i="15"/>
  <c r="DB87" i="15"/>
  <c r="G68" i="15"/>
  <c r="CN13" i="15"/>
  <c r="CZ48" i="15"/>
  <c r="CO35" i="15"/>
  <c r="CV102" i="15"/>
  <c r="M95" i="15"/>
  <c r="CQ103" i="15"/>
  <c r="N23" i="15"/>
  <c r="CO69" i="15"/>
  <c r="CF23" i="15"/>
  <c r="CN19" i="15"/>
  <c r="CM41" i="15"/>
  <c r="CW37" i="15"/>
  <c r="CZ18" i="15"/>
  <c r="G66" i="15"/>
  <c r="CR75" i="15"/>
  <c r="CM15" i="15"/>
  <c r="CV78" i="15"/>
  <c r="N16" i="15"/>
  <c r="CD106" i="15"/>
  <c r="CV14" i="15"/>
  <c r="CJ96" i="15"/>
  <c r="CW60" i="15"/>
  <c r="DC84" i="15"/>
  <c r="CT27" i="15"/>
  <c r="CY55" i="15"/>
  <c r="F17" i="15"/>
  <c r="CZ99" i="15"/>
  <c r="CP16" i="15"/>
  <c r="CL59" i="15"/>
  <c r="CI56" i="15"/>
  <c r="CR21" i="15"/>
  <c r="CZ68" i="15"/>
  <c r="CP68" i="15"/>
  <c r="CE55" i="15"/>
  <c r="CP18" i="15"/>
  <c r="CJ48" i="15"/>
  <c r="CE56" i="15"/>
  <c r="F67" i="15"/>
  <c r="CF110" i="15"/>
  <c r="K24" i="15"/>
  <c r="DC110" i="15"/>
  <c r="DC90" i="15"/>
  <c r="CV104" i="15"/>
  <c r="CP106" i="15"/>
  <c r="CU30" i="15"/>
  <c r="DB107" i="15"/>
  <c r="CZ16" i="15"/>
  <c r="CG49" i="15"/>
  <c r="I67" i="15"/>
  <c r="O11" i="15"/>
  <c r="F98" i="15"/>
  <c r="CI55" i="15"/>
  <c r="CZ104" i="15"/>
  <c r="N21" i="15"/>
  <c r="CV65" i="15"/>
  <c r="AB15" i="15"/>
  <c r="R24" i="15"/>
  <c r="O16" i="15"/>
  <c r="DA100" i="15"/>
  <c r="CH72" i="15"/>
  <c r="CJ88" i="15"/>
  <c r="CN91" i="15"/>
  <c r="CQ106" i="15"/>
  <c r="CD59" i="15"/>
  <c r="DC36" i="15"/>
  <c r="CO12" i="15"/>
  <c r="DA86" i="15"/>
  <c r="CI29" i="15"/>
  <c r="DA39" i="15"/>
  <c r="O108" i="15"/>
  <c r="DD56" i="15"/>
  <c r="DA25" i="15"/>
  <c r="CJ79" i="15"/>
  <c r="CR16" i="15"/>
  <c r="B28" i="15"/>
  <c r="CS17" i="15"/>
  <c r="CX26" i="15"/>
  <c r="CX71" i="15"/>
  <c r="DD90" i="15"/>
  <c r="CV59" i="15"/>
  <c r="CV66" i="15"/>
  <c r="CD22" i="15"/>
  <c r="DD26" i="15"/>
  <c r="CI47" i="15"/>
  <c r="DC93" i="15"/>
  <c r="N17" i="15"/>
  <c r="CQ62" i="15"/>
  <c r="DA62" i="15"/>
  <c r="CN16" i="15"/>
  <c r="CR56" i="15"/>
  <c r="DB99" i="15"/>
  <c r="R26" i="15"/>
  <c r="CT109" i="15"/>
  <c r="CU60" i="15"/>
  <c r="CS42" i="15"/>
  <c r="CP77" i="15"/>
  <c r="T14" i="15"/>
  <c r="CM30" i="15"/>
  <c r="CF53" i="15"/>
  <c r="CQ25" i="15"/>
  <c r="O13" i="15"/>
  <c r="O67" i="15"/>
  <c r="CQ53" i="15"/>
  <c r="CL28" i="15"/>
  <c r="M90" i="15"/>
  <c r="CX97" i="15"/>
  <c r="DA29" i="15"/>
  <c r="CS47" i="15"/>
  <c r="CX82" i="15"/>
  <c r="CN46" i="15"/>
  <c r="CV44" i="15"/>
  <c r="CU67" i="15"/>
  <c r="DA66" i="15"/>
  <c r="CE99" i="15"/>
  <c r="CL15" i="15"/>
  <c r="CU94" i="15"/>
  <c r="M74" i="15"/>
  <c r="F42" i="15"/>
  <c r="O32" i="15"/>
  <c r="CI89" i="15"/>
  <c r="CM49" i="15"/>
  <c r="CG92" i="15"/>
  <c r="CM11" i="15"/>
  <c r="F28" i="15"/>
  <c r="CW52" i="15"/>
  <c r="CV88" i="15"/>
  <c r="DC18" i="15"/>
  <c r="DD94" i="15"/>
  <c r="CI11" i="15"/>
  <c r="CW106" i="15"/>
  <c r="CJ63" i="15"/>
  <c r="CK87" i="15"/>
  <c r="CZ11" i="15"/>
  <c r="DA47" i="15"/>
  <c r="CK53" i="15"/>
  <c r="CQ99" i="15"/>
  <c r="DB51" i="15"/>
  <c r="K17" i="15"/>
  <c r="CW56" i="15"/>
  <c r="CQ54" i="15"/>
  <c r="CY97" i="15"/>
  <c r="CR101" i="15"/>
  <c r="CL39" i="15"/>
  <c r="CT21" i="15"/>
  <c r="CR62" i="15"/>
  <c r="CX23" i="15"/>
  <c r="CV62" i="15"/>
  <c r="CM61" i="15"/>
  <c r="CT53" i="15"/>
  <c r="CT49" i="15"/>
  <c r="N104" i="15"/>
  <c r="CP23" i="15"/>
  <c r="CH69" i="15"/>
  <c r="CG97" i="15"/>
  <c r="CN64" i="15"/>
  <c r="CT87" i="15"/>
  <c r="CO16" i="15"/>
  <c r="CT55" i="15"/>
  <c r="CU80" i="15"/>
  <c r="CZ25" i="15"/>
  <c r="CV49" i="15"/>
  <c r="CU33" i="15"/>
  <c r="CV12" i="15"/>
  <c r="CK82" i="15"/>
  <c r="F55" i="15"/>
  <c r="CM50" i="15"/>
  <c r="I51" i="15"/>
  <c r="CX79" i="15"/>
  <c r="DB101" i="15"/>
  <c r="CI73" i="15"/>
  <c r="DD32" i="15"/>
  <c r="CN58" i="15"/>
  <c r="DD85" i="15"/>
  <c r="CY36" i="15"/>
  <c r="G110" i="15"/>
  <c r="DB79" i="15"/>
  <c r="CW95" i="15"/>
  <c r="CZ109" i="15"/>
  <c r="CK70" i="15"/>
  <c r="CO94" i="15"/>
  <c r="CG100" i="15"/>
  <c r="CN72" i="15"/>
  <c r="CY44" i="15"/>
  <c r="CI98" i="15"/>
  <c r="CD53" i="15"/>
  <c r="CI57" i="15"/>
  <c r="CQ72" i="15"/>
  <c r="N55" i="15"/>
  <c r="I91" i="15"/>
  <c r="CO43" i="15"/>
  <c r="CM43" i="15"/>
  <c r="G31" i="15"/>
  <c r="DD12" i="15"/>
  <c r="DC28" i="15"/>
  <c r="DC11" i="15"/>
  <c r="CD62" i="15"/>
  <c r="CK34" i="15"/>
  <c r="CH29" i="15"/>
  <c r="N72" i="15"/>
  <c r="CV68" i="15"/>
  <c r="CP67" i="15"/>
  <c r="CM102" i="15"/>
  <c r="CE47" i="15"/>
  <c r="CP56" i="15"/>
  <c r="DA74" i="15"/>
  <c r="CY76" i="15"/>
  <c r="CL26" i="15"/>
  <c r="CJ103" i="15"/>
  <c r="CP82" i="15"/>
  <c r="M11" i="15"/>
  <c r="CL70" i="15"/>
  <c r="CF107" i="15"/>
  <c r="CH31" i="15"/>
  <c r="G69" i="15"/>
  <c r="F54" i="15"/>
  <c r="CK80" i="15"/>
  <c r="DC56" i="15"/>
  <c r="CJ76" i="15"/>
  <c r="L14" i="15"/>
  <c r="CU69" i="15"/>
  <c r="CF72" i="15"/>
  <c r="CP57" i="15"/>
  <c r="CO81" i="15"/>
  <c r="CX105" i="15"/>
  <c r="CJ43" i="15"/>
  <c r="M41" i="15"/>
  <c r="CY106" i="15"/>
  <c r="B26" i="15"/>
  <c r="M59" i="15"/>
  <c r="T17" i="15"/>
  <c r="J17" i="15"/>
  <c r="CE16" i="15"/>
  <c r="M31" i="15"/>
  <c r="CD18" i="15"/>
  <c r="DB50" i="15"/>
  <c r="CS20" i="15"/>
  <c r="CW18" i="15"/>
  <c r="F22" i="15"/>
  <c r="CX63" i="15"/>
  <c r="CI17" i="15"/>
  <c r="CW64" i="15"/>
  <c r="CG64" i="15"/>
  <c r="CF39" i="15"/>
  <c r="CH65" i="15"/>
  <c r="CV13" i="15"/>
  <c r="CZ79" i="15"/>
  <c r="CZ65" i="15"/>
  <c r="CN40" i="15"/>
  <c r="G85" i="15"/>
  <c r="CN23" i="15"/>
  <c r="CH90" i="15"/>
  <c r="DB88" i="15"/>
  <c r="CQ110" i="15"/>
  <c r="CU27" i="15"/>
  <c r="N106" i="15"/>
  <c r="CJ107" i="15"/>
  <c r="CL45" i="15"/>
  <c r="X21" i="15"/>
  <c r="CY79" i="15"/>
  <c r="CY17" i="15"/>
  <c r="CG29" i="15"/>
  <c r="DA80" i="15"/>
  <c r="CZ50" i="15"/>
  <c r="CV48" i="15"/>
  <c r="CR65" i="15"/>
  <c r="DC40" i="15"/>
  <c r="CG17" i="15"/>
  <c r="E33" i="15"/>
  <c r="CP87" i="15"/>
  <c r="CL43" i="15"/>
  <c r="CP92" i="15"/>
  <c r="CO58" i="15"/>
  <c r="DC57" i="15"/>
  <c r="CX94" i="15"/>
  <c r="E17" i="15"/>
  <c r="CU29" i="15"/>
  <c r="G79" i="15"/>
  <c r="DA48" i="15"/>
  <c r="CJ28" i="15"/>
  <c r="CQ70" i="15"/>
  <c r="O19" i="15"/>
  <c r="CY62" i="15"/>
  <c r="CY15" i="15"/>
  <c r="CT99" i="15"/>
  <c r="CM108" i="15"/>
  <c r="CV35" i="15"/>
  <c r="K15" i="15"/>
  <c r="CX108" i="15"/>
  <c r="F62" i="15"/>
  <c r="CL29" i="15"/>
  <c r="CJ67" i="15"/>
  <c r="CX92" i="15"/>
  <c r="CO107" i="15"/>
  <c r="O39" i="15"/>
  <c r="CF74" i="15"/>
  <c r="CR89" i="15"/>
  <c r="DA92" i="15"/>
  <c r="M85" i="15"/>
  <c r="CD95" i="15"/>
  <c r="CW78" i="15"/>
  <c r="F18" i="15"/>
  <c r="CT58" i="15"/>
  <c r="CN89" i="15"/>
  <c r="Y18" i="15"/>
  <c r="CQ84" i="15"/>
  <c r="CO52" i="15"/>
  <c r="M68" i="15"/>
  <c r="DB36" i="15"/>
  <c r="CP108" i="15"/>
  <c r="DB67" i="15"/>
  <c r="CT86" i="15"/>
  <c r="CU16" i="15"/>
  <c r="CN98" i="15"/>
  <c r="N56" i="15"/>
  <c r="CD73" i="15"/>
  <c r="CR23" i="15"/>
  <c r="DC98" i="15"/>
  <c r="O92" i="15"/>
  <c r="CP30" i="15"/>
  <c r="CX48" i="15"/>
  <c r="DA30" i="15"/>
  <c r="CQ23" i="15"/>
  <c r="CX38" i="15"/>
  <c r="CK98" i="15"/>
  <c r="O93" i="15"/>
  <c r="CO45" i="15"/>
  <c r="I25" i="15"/>
  <c r="CY23" i="15"/>
  <c r="DB108" i="15"/>
  <c r="CN45" i="15"/>
  <c r="CS109" i="15"/>
  <c r="CE95" i="15"/>
  <c r="N48" i="15"/>
  <c r="CD19" i="15"/>
  <c r="CI84" i="15"/>
  <c r="CJ27" i="15"/>
  <c r="CG60" i="15"/>
  <c r="I92" i="15"/>
  <c r="DD31" i="15"/>
  <c r="CV40" i="15"/>
  <c r="R12" i="15"/>
  <c r="CY49" i="15"/>
  <c r="E13" i="15"/>
  <c r="F64" i="15"/>
  <c r="CL49" i="15"/>
  <c r="CH66" i="15"/>
  <c r="CV70" i="15"/>
  <c r="CG32" i="15"/>
  <c r="CR81" i="15"/>
  <c r="CN56" i="15"/>
  <c r="DD19" i="15"/>
  <c r="CV25" i="15"/>
  <c r="CV103" i="15"/>
  <c r="N14" i="15"/>
  <c r="DA78" i="15"/>
  <c r="G67" i="15"/>
  <c r="DD64" i="15"/>
  <c r="CL35" i="15"/>
  <c r="N76" i="15"/>
  <c r="I38" i="15"/>
  <c r="CV76" i="15"/>
  <c r="M107" i="15"/>
  <c r="CT84" i="15"/>
  <c r="DC109" i="15"/>
  <c r="CE101" i="15"/>
  <c r="CS105" i="15"/>
  <c r="I23" i="15"/>
  <c r="CW70" i="15"/>
  <c r="CP28" i="15"/>
  <c r="CX29" i="15"/>
  <c r="DC86" i="15"/>
  <c r="CU34" i="15"/>
  <c r="DC21" i="15"/>
  <c r="DC69" i="15"/>
  <c r="DA82" i="15"/>
  <c r="DA44" i="15"/>
  <c r="F38" i="15"/>
  <c r="DA53" i="15"/>
  <c r="CU68" i="15"/>
  <c r="CV16" i="15"/>
  <c r="O106" i="15"/>
  <c r="F104" i="15"/>
  <c r="DD15" i="15"/>
  <c r="CI85" i="15"/>
  <c r="CL36" i="15"/>
  <c r="CT41" i="15"/>
  <c r="CN97" i="15"/>
  <c r="CX72" i="15"/>
  <c r="DD92" i="15"/>
  <c r="CI21" i="15"/>
  <c r="CD63" i="15"/>
  <c r="CX110" i="15"/>
  <c r="CD86" i="15"/>
  <c r="CR68" i="15"/>
  <c r="CV86" i="15"/>
  <c r="CU55" i="15"/>
  <c r="CS53" i="15"/>
  <c r="I71" i="15"/>
  <c r="E16" i="15"/>
  <c r="N75" i="15"/>
  <c r="O109" i="15"/>
  <c r="CQ61" i="15"/>
  <c r="CH101" i="15"/>
  <c r="CT90" i="15"/>
  <c r="DD82" i="15"/>
  <c r="L11" i="15"/>
  <c r="CO49" i="15"/>
  <c r="CY101" i="15"/>
  <c r="CV107" i="15"/>
  <c r="CO33" i="15"/>
  <c r="CV21" i="15"/>
  <c r="CD65" i="15"/>
  <c r="M18" i="15"/>
  <c r="CO14" i="15"/>
  <c r="CU79" i="15"/>
  <c r="CZ73" i="15"/>
  <c r="CH102" i="15"/>
  <c r="CR98" i="15"/>
  <c r="DC34" i="15"/>
  <c r="DA17" i="15"/>
  <c r="CT106" i="15"/>
  <c r="O65" i="15"/>
  <c r="DA46" i="15"/>
  <c r="CM98" i="15"/>
  <c r="G41" i="15"/>
  <c r="CQ16" i="15"/>
  <c r="DC24" i="15"/>
  <c r="F15" i="15"/>
  <c r="CX70" i="15"/>
  <c r="M62" i="15"/>
  <c r="CF71" i="15"/>
  <c r="K32" i="15"/>
  <c r="M52" i="15"/>
  <c r="CH60" i="15"/>
  <c r="CO21" i="15"/>
  <c r="CG61" i="15"/>
  <c r="M102" i="15"/>
  <c r="CK103" i="15"/>
  <c r="CJ57" i="15"/>
  <c r="E14" i="15"/>
  <c r="X11" i="15"/>
  <c r="CH35" i="15"/>
  <c r="BW11" i="15"/>
  <c r="CT22" i="15"/>
  <c r="CU74" i="15"/>
  <c r="CI110" i="15"/>
  <c r="O31" i="15"/>
  <c r="C11" i="15"/>
  <c r="CK58" i="15"/>
  <c r="CF95" i="15"/>
  <c r="CD100" i="15"/>
  <c r="DD109" i="15"/>
  <c r="CI53" i="15"/>
  <c r="R32" i="15"/>
  <c r="CO30" i="15"/>
  <c r="CG90" i="15"/>
  <c r="DD59" i="15"/>
  <c r="CX99" i="15"/>
  <c r="CZ90" i="15"/>
  <c r="E21" i="15"/>
  <c r="CL63" i="15"/>
  <c r="CM51" i="15"/>
  <c r="CF58" i="15"/>
  <c r="CV94" i="15"/>
  <c r="CX83" i="15"/>
  <c r="CY11" i="15"/>
  <c r="O80" i="15"/>
  <c r="DD102" i="15"/>
  <c r="CF32" i="15"/>
  <c r="J13" i="15"/>
  <c r="M16" i="15"/>
  <c r="CJ110" i="15"/>
  <c r="I20" i="15"/>
  <c r="CH77" i="15"/>
  <c r="N11" i="15"/>
  <c r="CE42" i="15"/>
  <c r="CY31" i="15"/>
  <c r="CE96" i="15"/>
  <c r="CG95" i="15"/>
  <c r="CZ23" i="15"/>
  <c r="I81" i="15"/>
  <c r="DC103" i="15"/>
  <c r="CG91" i="15"/>
  <c r="N108" i="15"/>
  <c r="CK47" i="15"/>
  <c r="J19" i="15"/>
  <c r="CO65" i="15"/>
  <c r="DD96" i="15"/>
  <c r="DC61" i="15"/>
  <c r="CJ74" i="15"/>
  <c r="F78" i="15"/>
  <c r="CV53" i="15"/>
  <c r="CK92" i="15"/>
  <c r="CE98" i="15"/>
  <c r="BS12" i="15"/>
  <c r="G91" i="15"/>
  <c r="T26" i="15"/>
  <c r="DB84" i="15"/>
  <c r="M46" i="15"/>
  <c r="CD83" i="15"/>
  <c r="CV33" i="15"/>
  <c r="CQ66" i="15"/>
  <c r="Y21" i="15"/>
  <c r="DB47" i="15"/>
  <c r="CJ38" i="15"/>
  <c r="G12" i="15"/>
  <c r="CT65" i="15"/>
  <c r="N64" i="15"/>
  <c r="CD78" i="15"/>
  <c r="CD85" i="15"/>
  <c r="K12" i="15"/>
  <c r="CH76" i="15"/>
  <c r="M105" i="15"/>
  <c r="DA110" i="15"/>
  <c r="O60" i="15"/>
  <c r="CJ65" i="15"/>
  <c r="CY100" i="15"/>
  <c r="CN67" i="15"/>
  <c r="DA65" i="15"/>
  <c r="CH46" i="15"/>
  <c r="CI86" i="15"/>
  <c r="DC79" i="15"/>
  <c r="E31" i="15"/>
  <c r="DC97" i="15"/>
  <c r="CD91" i="15"/>
  <c r="F91" i="15"/>
  <c r="CW54" i="15"/>
  <c r="CS76" i="15"/>
  <c r="CJ77" i="15"/>
  <c r="V11" i="15"/>
  <c r="M49" i="15"/>
  <c r="CE80" i="15"/>
  <c r="CF48" i="15"/>
  <c r="G37" i="15"/>
  <c r="CL71" i="15"/>
  <c r="N82" i="15"/>
  <c r="CS52" i="15"/>
  <c r="F70" i="15"/>
  <c r="DB34" i="15"/>
  <c r="CY107" i="15"/>
  <c r="DB98" i="15"/>
  <c r="CR86" i="15"/>
  <c r="M81" i="15"/>
  <c r="I106" i="15"/>
  <c r="CW65" i="15"/>
  <c r="CD26" i="15"/>
  <c r="DC46" i="15"/>
  <c r="M40" i="15"/>
  <c r="CG34" i="15"/>
  <c r="CI63" i="15"/>
  <c r="CD48" i="15"/>
  <c r="CR52" i="15"/>
  <c r="CP42" i="15"/>
  <c r="O21" i="15"/>
  <c r="O84" i="15"/>
  <c r="I72" i="15"/>
  <c r="X17" i="15"/>
  <c r="CU41" i="15"/>
  <c r="CM34" i="15"/>
  <c r="DA68" i="15"/>
  <c r="CW15" i="15"/>
  <c r="DD100" i="15"/>
  <c r="CS77" i="15"/>
  <c r="CU91" i="15"/>
  <c r="CU83" i="15"/>
  <c r="I94" i="15"/>
  <c r="CS28" i="15"/>
  <c r="I87" i="15"/>
  <c r="CR70" i="15"/>
  <c r="CQ107" i="15"/>
  <c r="M65" i="15"/>
  <c r="CT29" i="15"/>
  <c r="G26" i="15"/>
  <c r="CY25" i="15"/>
  <c r="CF89" i="15"/>
  <c r="I107" i="15"/>
  <c r="CS26" i="15"/>
  <c r="CG52" i="15"/>
  <c r="N110" i="15"/>
  <c r="C18" i="15"/>
  <c r="DC51" i="15"/>
  <c r="M44" i="15"/>
  <c r="CZ12" i="15"/>
  <c r="CJ95" i="15"/>
  <c r="M26" i="15"/>
  <c r="CP75" i="15"/>
  <c r="CQ86" i="15"/>
  <c r="O66" i="15"/>
  <c r="CU53" i="15"/>
  <c r="DD48" i="15"/>
  <c r="CI40" i="15"/>
  <c r="CU23" i="15"/>
  <c r="F106" i="15"/>
  <c r="CM76" i="15"/>
  <c r="CY71" i="15"/>
  <c r="V14" i="15"/>
  <c r="CR29" i="15"/>
  <c r="CG78" i="15"/>
  <c r="CY86" i="15"/>
  <c r="I26" i="15"/>
  <c r="CM68" i="15"/>
  <c r="CF69" i="15"/>
  <c r="CW48" i="15"/>
  <c r="CF67" i="15"/>
  <c r="O56" i="15"/>
  <c r="DC94" i="15"/>
  <c r="CZ22" i="15"/>
  <c r="DD89" i="15"/>
  <c r="T16" i="15"/>
  <c r="CN59" i="15"/>
  <c r="CZ70" i="15"/>
  <c r="CE70" i="15"/>
  <c r="CS64" i="15"/>
  <c r="CI99" i="15"/>
  <c r="CG103" i="15"/>
  <c r="M72" i="15"/>
  <c r="CV71" i="15"/>
  <c r="CJ21" i="15"/>
  <c r="CL81" i="15"/>
  <c r="CO56" i="15"/>
  <c r="CQ94" i="15"/>
  <c r="CM54" i="15"/>
  <c r="CQ51" i="15"/>
  <c r="I74" i="15"/>
  <c r="CO40" i="15"/>
  <c r="CP65" i="15"/>
  <c r="CQ64" i="15"/>
  <c r="CO62" i="15"/>
  <c r="R11" i="15"/>
  <c r="CN37" i="15"/>
  <c r="I48" i="15"/>
  <c r="CF86" i="15"/>
  <c r="G20" i="15"/>
  <c r="CO64" i="15"/>
  <c r="CP31" i="15"/>
  <c r="G24" i="15"/>
  <c r="CP20" i="15"/>
  <c r="CD55" i="15"/>
  <c r="CW73" i="15"/>
  <c r="F30" i="15"/>
  <c r="CI27" i="15"/>
  <c r="CW71" i="15"/>
  <c r="CS110" i="15"/>
  <c r="N109" i="15"/>
  <c r="CR71" i="15"/>
  <c r="F73" i="15"/>
  <c r="CJ69" i="15"/>
  <c r="F65" i="15"/>
  <c r="CZ13" i="15"/>
  <c r="I55" i="15"/>
  <c r="DB11" i="15"/>
  <c r="CF103" i="15"/>
  <c r="R35" i="15"/>
  <c r="CU20" i="15"/>
  <c r="N42" i="15"/>
  <c r="T23" i="15"/>
  <c r="CX69" i="15"/>
  <c r="CT78" i="15"/>
  <c r="CM60" i="15"/>
  <c r="CM53" i="15"/>
  <c r="CJ72" i="15"/>
  <c r="CT33" i="15"/>
  <c r="CY21" i="15"/>
  <c r="CU49" i="15"/>
  <c r="CT35" i="15"/>
  <c r="CX96" i="15"/>
  <c r="F43" i="15"/>
  <c r="CX22" i="15"/>
  <c r="DA52" i="15"/>
  <c r="CD77" i="15"/>
  <c r="CY88" i="15"/>
  <c r="O81" i="15"/>
  <c r="CL56" i="15"/>
  <c r="F94" i="15"/>
  <c r="DD43" i="15"/>
  <c r="O34" i="15"/>
  <c r="M50" i="15"/>
  <c r="CG72" i="15"/>
  <c r="CY93" i="15"/>
  <c r="M98" i="15"/>
  <c r="I45" i="15"/>
  <c r="F26" i="15"/>
  <c r="I98" i="15"/>
  <c r="CY33" i="15"/>
  <c r="CE108" i="15"/>
  <c r="CS83" i="15"/>
  <c r="D11" i="15"/>
  <c r="CZ61" i="15"/>
  <c r="CS93" i="15"/>
  <c r="CR67" i="15"/>
  <c r="X19" i="15"/>
  <c r="G38" i="15"/>
  <c r="CG71" i="15"/>
  <c r="CF66" i="15"/>
  <c r="J22" i="15"/>
  <c r="CE85" i="15"/>
  <c r="CZ88" i="15"/>
  <c r="M45" i="15"/>
  <c r="N35" i="15"/>
  <c r="CN63" i="15"/>
  <c r="CD51" i="15"/>
  <c r="CD82" i="15"/>
  <c r="CY12" i="15"/>
  <c r="CZ54" i="15"/>
  <c r="CP32" i="15"/>
  <c r="F24" i="15"/>
  <c r="DB13" i="15"/>
  <c r="CD97" i="15"/>
  <c r="CX78" i="15"/>
  <c r="CQ43" i="15"/>
  <c r="CR26" i="15"/>
  <c r="CH11" i="15"/>
  <c r="CP38" i="15"/>
  <c r="CW11" i="15"/>
  <c r="CD60" i="15"/>
  <c r="F12" i="15"/>
  <c r="M100" i="15"/>
  <c r="C15" i="15"/>
  <c r="CX102" i="15"/>
  <c r="CS90" i="15"/>
  <c r="CO48" i="15"/>
  <c r="CH97" i="15"/>
  <c r="CN77" i="15"/>
  <c r="CF62" i="15"/>
  <c r="CY65" i="15"/>
  <c r="CZ56" i="15"/>
  <c r="S11" i="15"/>
  <c r="CY41" i="15"/>
  <c r="CQ22" i="15"/>
  <c r="CR60" i="15"/>
  <c r="CY26" i="15"/>
  <c r="AB21" i="15"/>
  <c r="CY40" i="15"/>
  <c r="CU35" i="15"/>
  <c r="CX42" i="15"/>
  <c r="CH107" i="15"/>
  <c r="U14" i="15"/>
  <c r="B17" i="15"/>
  <c r="CR22" i="15"/>
  <c r="CV69" i="15"/>
  <c r="F61" i="15"/>
  <c r="CT79" i="15"/>
  <c r="I60" i="15"/>
  <c r="CK69" i="15"/>
  <c r="CT97" i="15"/>
  <c r="J15" i="15"/>
  <c r="CJ82" i="15"/>
  <c r="CM85" i="15"/>
  <c r="CW89" i="15"/>
  <c r="CM35" i="15"/>
  <c r="DB49" i="15"/>
  <c r="AB19" i="15"/>
  <c r="G15" i="15"/>
  <c r="CW93" i="15"/>
  <c r="CR50" i="15"/>
  <c r="DC17" i="15"/>
  <c r="CZ33" i="15"/>
  <c r="G70" i="15"/>
  <c r="CL44" i="15"/>
  <c r="CW55" i="15"/>
  <c r="O55" i="15"/>
  <c r="CL103" i="15"/>
  <c r="CJ49" i="15"/>
  <c r="CV30" i="15"/>
  <c r="DB91" i="15"/>
  <c r="F41" i="15"/>
  <c r="CU96" i="15"/>
  <c r="H12" i="15"/>
  <c r="N90" i="15"/>
  <c r="CG99" i="15"/>
  <c r="BS11" i="15"/>
  <c r="CN108" i="15"/>
  <c r="I34" i="15"/>
  <c r="CR37" i="15"/>
  <c r="M53" i="15"/>
  <c r="O107" i="15"/>
  <c r="CE65" i="15"/>
  <c r="CZ26" i="15"/>
  <c r="CW90" i="15"/>
  <c r="CG80" i="15"/>
  <c r="G52" i="15"/>
  <c r="CQ102" i="15"/>
  <c r="CF33" i="15"/>
  <c r="CP84" i="15"/>
  <c r="CP81" i="15"/>
  <c r="CK105" i="15"/>
  <c r="DA93" i="15"/>
  <c r="DA84" i="15"/>
  <c r="CE66" i="15"/>
  <c r="CY66" i="15"/>
  <c r="CD74" i="15"/>
  <c r="CK79" i="15"/>
  <c r="CM18" i="15"/>
  <c r="CL62" i="15"/>
  <c r="E30" i="15"/>
  <c r="CL16" i="15"/>
  <c r="DB27" i="15"/>
  <c r="CU44" i="15"/>
  <c r="CF84" i="15"/>
  <c r="CP60" i="15"/>
  <c r="B20" i="15"/>
  <c r="CU59" i="15"/>
  <c r="CF21" i="15"/>
  <c r="CM58" i="15"/>
  <c r="DB97" i="15"/>
  <c r="CM84" i="15"/>
  <c r="CZ75" i="15"/>
  <c r="CQ109" i="15"/>
  <c r="CU11" i="15"/>
  <c r="N32" i="15"/>
  <c r="CD49" i="15"/>
  <c r="CZ41" i="15"/>
  <c r="CR74" i="15"/>
  <c r="CQ50" i="15"/>
  <c r="E24" i="15"/>
  <c r="CS89" i="15"/>
  <c r="B33" i="15"/>
  <c r="CP19" i="15"/>
  <c r="M21" i="15"/>
  <c r="DB85" i="15"/>
  <c r="CE74" i="15"/>
  <c r="DD74" i="15"/>
  <c r="N105" i="15"/>
  <c r="DC85" i="15"/>
  <c r="G80" i="15"/>
  <c r="O86" i="15"/>
  <c r="N27" i="15"/>
  <c r="CR97" i="15"/>
  <c r="AD40" i="15"/>
  <c r="CV22" i="15"/>
  <c r="CN54" i="15"/>
  <c r="CN60" i="15"/>
  <c r="DD28" i="15"/>
  <c r="DD83" i="15"/>
  <c r="CT77" i="15"/>
  <c r="CZ28" i="15"/>
  <c r="CE35" i="15"/>
  <c r="DC45" i="15"/>
  <c r="CI105" i="15"/>
  <c r="CL57" i="15"/>
  <c r="CU47" i="15"/>
  <c r="Z16" i="15"/>
  <c r="CY16" i="15"/>
  <c r="DB14" i="15"/>
  <c r="G27" i="15"/>
  <c r="DC81" i="15"/>
  <c r="AD15" i="15"/>
  <c r="DA64" i="15"/>
  <c r="CM42" i="15"/>
  <c r="CJ109" i="15"/>
  <c r="DD42" i="15"/>
  <c r="F56" i="15"/>
  <c r="I37" i="15"/>
  <c r="BS13" i="15"/>
  <c r="CX95" i="15"/>
  <c r="O43" i="15"/>
  <c r="T13" i="15"/>
  <c r="I21" i="15"/>
  <c r="CU61" i="15"/>
  <c r="CN28" i="15"/>
  <c r="DC92" i="15"/>
  <c r="O20" i="15"/>
  <c r="CF104" i="15"/>
  <c r="CJ33" i="15"/>
  <c r="AE14" i="15"/>
  <c r="AF16" i="15"/>
  <c r="R17" i="15"/>
  <c r="G42" i="15"/>
  <c r="CE86" i="15"/>
  <c r="DA45" i="15"/>
  <c r="CT61" i="15"/>
  <c r="CP97" i="15"/>
  <c r="G81" i="15"/>
  <c r="N67" i="15"/>
  <c r="CU19" i="15"/>
  <c r="CF96" i="15"/>
  <c r="K14" i="15"/>
  <c r="CL20" i="15"/>
  <c r="O101" i="15"/>
  <c r="CG33" i="15"/>
  <c r="DA59" i="15"/>
  <c r="U12" i="15"/>
  <c r="DC72" i="15"/>
  <c r="CL46" i="15"/>
  <c r="CD14" i="15"/>
  <c r="CN33" i="15"/>
  <c r="CP40" i="15"/>
  <c r="CQ55" i="15"/>
  <c r="CX44" i="15"/>
  <c r="CV58" i="15"/>
  <c r="CO36" i="15"/>
  <c r="CM56" i="15"/>
  <c r="DC42" i="15"/>
  <c r="CR27" i="15"/>
  <c r="CG70" i="15"/>
  <c r="CO66" i="15"/>
  <c r="O51" i="15"/>
  <c r="CH42" i="15"/>
  <c r="DA69" i="15"/>
  <c r="CU70" i="15"/>
  <c r="M99" i="15"/>
  <c r="S15" i="15"/>
  <c r="CZ24" i="15"/>
  <c r="CM69" i="15"/>
  <c r="CY78" i="15"/>
  <c r="R21" i="15"/>
  <c r="O33" i="15"/>
  <c r="CY60" i="15"/>
  <c r="N49" i="15"/>
  <c r="CQ34" i="15"/>
  <c r="DD20" i="15"/>
  <c r="DA109" i="15"/>
  <c r="M80" i="15"/>
  <c r="CF51" i="15"/>
  <c r="DD76" i="15"/>
  <c r="N51" i="15"/>
  <c r="DB19" i="15"/>
  <c r="CX67" i="15"/>
  <c r="CG65" i="15"/>
  <c r="CH91" i="15"/>
  <c r="DA56" i="15"/>
  <c r="DB41" i="15"/>
  <c r="CH84" i="15"/>
  <c r="N57" i="15"/>
  <c r="CY53" i="15"/>
  <c r="DD79" i="15"/>
  <c r="CI59" i="15"/>
  <c r="CD43" i="15"/>
  <c r="CY13" i="15"/>
  <c r="CH16" i="15"/>
  <c r="CI74" i="15"/>
  <c r="CG89" i="15"/>
  <c r="CU46" i="15"/>
  <c r="O38" i="15"/>
  <c r="K11" i="15"/>
  <c r="CL76" i="15"/>
  <c r="CJ59" i="15"/>
  <c r="I15" i="15"/>
  <c r="CR95" i="15"/>
  <c r="CR106" i="15"/>
  <c r="B23" i="15"/>
  <c r="CH89" i="15"/>
  <c r="CV47" i="15"/>
  <c r="CD87" i="15"/>
  <c r="CE19" i="15"/>
  <c r="O68" i="15"/>
  <c r="M84" i="15"/>
  <c r="CJ30" i="15"/>
  <c r="CX19" i="15"/>
  <c r="CV34" i="15"/>
  <c r="CN70" i="15"/>
  <c r="CX27" i="15"/>
  <c r="DA88" i="15"/>
  <c r="N86" i="15"/>
  <c r="CI65" i="15"/>
  <c r="DD39" i="15"/>
  <c r="DB100" i="15"/>
  <c r="G39" i="15"/>
  <c r="CG76" i="15"/>
  <c r="G107" i="15"/>
  <c r="X14" i="15"/>
  <c r="CK23" i="15"/>
  <c r="N34" i="15"/>
  <c r="O44" i="15"/>
  <c r="G56" i="15"/>
  <c r="CQ83" i="15"/>
  <c r="DB78" i="15"/>
  <c r="M28" i="15"/>
  <c r="CX87" i="15"/>
  <c r="F31" i="15"/>
  <c r="CM71" i="15"/>
  <c r="DA107" i="15"/>
  <c r="AB20" i="15"/>
  <c r="CE51" i="15"/>
  <c r="CZ83" i="15"/>
  <c r="CP93" i="15"/>
  <c r="DB57" i="15"/>
  <c r="DC87" i="15"/>
  <c r="CH24" i="15"/>
  <c r="CP26" i="15"/>
  <c r="N20" i="15"/>
  <c r="G17" i="15"/>
  <c r="CL83" i="15"/>
  <c r="H14" i="15"/>
  <c r="N66" i="15"/>
  <c r="I83" i="15"/>
  <c r="CF27" i="15"/>
  <c r="CL91" i="15"/>
  <c r="CL95" i="15"/>
  <c r="CZ59" i="15"/>
  <c r="CT31" i="15"/>
  <c r="CV100" i="15"/>
  <c r="O89" i="15"/>
  <c r="N30" i="15"/>
  <c r="CJ60" i="15"/>
  <c r="CF61" i="15"/>
  <c r="CW67" i="15"/>
  <c r="DD63" i="15"/>
  <c r="CZ82" i="15"/>
  <c r="CV82" i="15"/>
  <c r="CE69" i="15"/>
  <c r="CH94" i="15"/>
  <c r="CU87" i="15"/>
  <c r="CS95" i="15"/>
  <c r="CX73" i="15"/>
  <c r="CD94" i="15"/>
  <c r="E35" i="15"/>
  <c r="CD52" i="15"/>
  <c r="N81" i="15"/>
  <c r="CU58" i="15"/>
  <c r="CV24" i="15"/>
  <c r="I19" i="15"/>
  <c r="CD104" i="15"/>
  <c r="CL87" i="15"/>
  <c r="CM63" i="15"/>
  <c r="I36" i="15"/>
  <c r="N101" i="15"/>
  <c r="CN86" i="15"/>
  <c r="DD60" i="15"/>
  <c r="X15" i="15"/>
  <c r="CR19" i="15"/>
  <c r="CY61" i="15"/>
  <c r="CH59" i="15"/>
  <c r="CY70" i="15"/>
  <c r="CZ20" i="15"/>
  <c r="CD47" i="15"/>
  <c r="CE103" i="15"/>
  <c r="O46" i="15"/>
  <c r="CK25" i="15"/>
  <c r="CX77" i="15"/>
  <c r="F58" i="15"/>
  <c r="CO25" i="15"/>
  <c r="F101" i="15"/>
  <c r="CU31" i="15"/>
  <c r="CO26" i="15"/>
  <c r="CO41" i="15"/>
  <c r="CL110" i="15"/>
  <c r="CT70" i="15"/>
  <c r="CN69" i="15"/>
  <c r="CY67" i="15"/>
  <c r="DD54" i="15"/>
  <c r="CL79" i="15"/>
  <c r="T21" i="15"/>
  <c r="I89" i="15"/>
  <c r="CW24" i="15"/>
  <c r="I108" i="15"/>
  <c r="CH99" i="15"/>
  <c r="CZ87" i="15"/>
  <c r="CD88" i="15"/>
  <c r="M87" i="15"/>
  <c r="C14" i="15"/>
  <c r="CU110" i="15"/>
  <c r="CT95" i="15"/>
  <c r="CH38" i="15"/>
  <c r="CD66" i="15"/>
  <c r="CK59" i="15"/>
  <c r="CT107" i="15"/>
  <c r="U13" i="15"/>
  <c r="DC99" i="15"/>
  <c r="CK57" i="15"/>
  <c r="F93" i="15"/>
  <c r="O18" i="15"/>
  <c r="CQ67" i="15"/>
  <c r="DA101" i="15"/>
  <c r="CM90" i="15"/>
  <c r="CY57" i="15"/>
  <c r="B14" i="15"/>
  <c r="CO73" i="15"/>
  <c r="CM82" i="15"/>
  <c r="CK68" i="15"/>
  <c r="I31" i="15"/>
  <c r="AD30" i="15"/>
  <c r="CK76" i="15"/>
  <c r="CI90" i="15"/>
  <c r="CS45" i="15"/>
  <c r="CZ47" i="15"/>
  <c r="U16" i="15"/>
  <c r="CR92" i="15"/>
  <c r="CN104" i="15"/>
  <c r="CN75" i="15"/>
  <c r="CH64" i="15"/>
  <c r="DA71" i="15"/>
  <c r="F71" i="15"/>
  <c r="AC14" i="15"/>
  <c r="I64" i="15"/>
  <c r="CU62" i="15"/>
  <c r="CU72" i="15"/>
  <c r="M32" i="15"/>
  <c r="N103" i="15"/>
  <c r="CX93" i="15"/>
  <c r="CL98" i="15"/>
  <c r="CG105" i="15"/>
  <c r="G82" i="15"/>
  <c r="O28" i="15"/>
  <c r="CR55" i="15"/>
  <c r="CL65" i="15"/>
  <c r="K21" i="15"/>
  <c r="CH83" i="15"/>
  <c r="I104" i="15"/>
  <c r="DB72" i="15"/>
  <c r="I80" i="15"/>
  <c r="R40" i="15"/>
  <c r="DC78" i="15"/>
  <c r="CK97" i="15"/>
  <c r="O63" i="15"/>
  <c r="R39" i="15"/>
  <c r="DB86" i="15"/>
  <c r="DA108" i="15"/>
  <c r="CH92" i="15"/>
  <c r="F99" i="15"/>
  <c r="CK64" i="15"/>
  <c r="G61" i="15"/>
  <c r="CU109" i="15"/>
  <c r="K27" i="15"/>
  <c r="CT76" i="15"/>
  <c r="I76" i="15"/>
  <c r="CJ55" i="15"/>
  <c r="CV41" i="15"/>
  <c r="M86" i="15"/>
  <c r="J16" i="15"/>
  <c r="CY81" i="15"/>
  <c r="CG25" i="15"/>
  <c r="CF50" i="15"/>
  <c r="T12" i="15"/>
  <c r="DB75" i="15"/>
  <c r="CV106" i="15"/>
  <c r="CS49" i="15"/>
  <c r="CZ107" i="15"/>
  <c r="M69" i="15"/>
  <c r="F103" i="15"/>
  <c r="CN68" i="15"/>
  <c r="CU57" i="15"/>
  <c r="G71" i="15"/>
  <c r="E34" i="15"/>
  <c r="DB15" i="15"/>
  <c r="CO98" i="15"/>
  <c r="CE13" i="15"/>
  <c r="CD96" i="15"/>
  <c r="CZ95" i="15"/>
  <c r="CI36" i="15"/>
  <c r="O85" i="15"/>
  <c r="F102" i="15"/>
  <c r="O41" i="15"/>
  <c r="CL92" i="15"/>
  <c r="H16" i="15"/>
  <c r="G30" i="15"/>
  <c r="CO27" i="15"/>
  <c r="DD62" i="15"/>
  <c r="CQ56" i="15"/>
  <c r="DC71" i="15"/>
  <c r="CS102" i="15"/>
  <c r="E25" i="15"/>
  <c r="CO84" i="15"/>
  <c r="CQ49" i="15"/>
  <c r="CP94" i="15"/>
  <c r="AB23" i="15"/>
  <c r="DB81" i="15"/>
  <c r="CH45" i="15"/>
  <c r="CJ84" i="15"/>
  <c r="DC59" i="15"/>
  <c r="N39" i="15"/>
  <c r="F45" i="15"/>
  <c r="CK96" i="15"/>
  <c r="CW74" i="15"/>
  <c r="CW51" i="15"/>
  <c r="O45" i="15"/>
  <c r="CP99" i="15"/>
  <c r="CT24" i="15"/>
  <c r="CM59" i="15"/>
  <c r="CI83" i="15"/>
  <c r="CN88" i="15"/>
  <c r="CT51" i="15"/>
  <c r="CD80" i="15"/>
  <c r="CM94" i="15"/>
  <c r="M108" i="15"/>
  <c r="CE59" i="15"/>
  <c r="CL85" i="15"/>
  <c r="E20" i="15"/>
  <c r="CW88" i="15"/>
  <c r="CO93" i="15"/>
  <c r="CN27" i="15"/>
  <c r="CO59" i="15"/>
  <c r="CV31" i="15"/>
  <c r="CH34" i="15"/>
  <c r="CX54" i="15"/>
  <c r="CO28" i="15"/>
  <c r="CU42" i="15"/>
  <c r="CZ62" i="15"/>
  <c r="CE89" i="15"/>
  <c r="I65" i="15"/>
  <c r="CX64" i="15"/>
  <c r="M93" i="15"/>
  <c r="N45" i="15"/>
  <c r="CY87" i="15"/>
  <c r="CD54" i="15"/>
  <c r="R23" i="15"/>
  <c r="CP109" i="15"/>
  <c r="CG81" i="15"/>
  <c r="CM80" i="15"/>
  <c r="CX14" i="15"/>
  <c r="H13" i="15"/>
  <c r="CX43" i="15"/>
  <c r="CS74" i="15"/>
  <c r="CY96" i="15"/>
  <c r="G95" i="15"/>
  <c r="CT19" i="15"/>
  <c r="DA91" i="15"/>
  <c r="M29" i="15"/>
  <c r="CX55" i="15"/>
  <c r="M55" i="15"/>
  <c r="CZ102" i="15"/>
  <c r="CV29" i="15"/>
  <c r="CW68" i="15"/>
  <c r="CZ71" i="15"/>
  <c r="J23" i="15"/>
  <c r="CV61" i="15"/>
  <c r="E27" i="15"/>
  <c r="CP15" i="15"/>
  <c r="G40" i="15"/>
  <c r="CV95" i="15"/>
  <c r="CW45" i="15"/>
  <c r="CE15" i="15"/>
  <c r="CU15" i="15"/>
  <c r="DC108" i="15"/>
  <c r="DA70" i="15"/>
  <c r="J20" i="15"/>
  <c r="CV46" i="15"/>
  <c r="K20" i="15"/>
  <c r="CL82" i="15"/>
  <c r="DD107" i="15"/>
  <c r="CX51" i="15"/>
  <c r="CS75" i="15"/>
  <c r="CT12" i="15"/>
  <c r="CX21" i="15"/>
  <c r="N47" i="15"/>
  <c r="CI92" i="15"/>
  <c r="M110" i="15"/>
  <c r="CL86" i="15"/>
  <c r="I16" i="15"/>
  <c r="CH36" i="15"/>
  <c r="CL52" i="15"/>
  <c r="CV80" i="15"/>
  <c r="I12" i="15"/>
  <c r="G53" i="15"/>
  <c r="CJ29" i="15"/>
  <c r="CG45" i="15"/>
  <c r="CV56" i="15"/>
  <c r="CH37" i="15"/>
  <c r="CQ101" i="15"/>
  <c r="CV108" i="15"/>
  <c r="CW26" i="15"/>
  <c r="CO20" i="15"/>
  <c r="CJ93" i="15"/>
  <c r="F29" i="15"/>
  <c r="CM81" i="15"/>
  <c r="I77" i="15"/>
  <c r="CY73" i="15"/>
  <c r="CZ39" i="15"/>
  <c r="DB35" i="15"/>
  <c r="CF102" i="15"/>
  <c r="CZ84" i="15"/>
  <c r="CJ85" i="15"/>
  <c r="CD42" i="15"/>
  <c r="CX34" i="15"/>
  <c r="CK83" i="15"/>
  <c r="G28" i="15"/>
  <c r="CO51" i="15"/>
  <c r="CT104" i="15"/>
  <c r="CX81" i="15"/>
  <c r="CW81" i="15"/>
  <c r="DB96" i="15"/>
  <c r="CU13" i="15"/>
  <c r="O50" i="15"/>
  <c r="CN81" i="15"/>
  <c r="CP48" i="15"/>
  <c r="CO55" i="15"/>
  <c r="G104" i="15"/>
  <c r="CY103" i="15"/>
  <c r="CF59" i="15"/>
  <c r="CP63" i="15"/>
  <c r="CL18" i="15"/>
  <c r="CG74" i="15"/>
  <c r="N63" i="15"/>
  <c r="CM103" i="15"/>
  <c r="G16" i="15"/>
  <c r="CJ73" i="15"/>
  <c r="CF13" i="15"/>
  <c r="E29" i="15"/>
  <c r="AB17" i="15"/>
  <c r="CY24" i="15"/>
  <c r="N96" i="15"/>
  <c r="CI82" i="15"/>
  <c r="N22" i="15"/>
  <c r="CV38" i="15"/>
  <c r="CQ48" i="15"/>
  <c r="F34" i="15"/>
  <c r="CM109" i="15"/>
  <c r="CP103" i="15"/>
  <c r="I40" i="15"/>
  <c r="CH15" i="15"/>
  <c r="CX56" i="15"/>
  <c r="M61" i="15"/>
  <c r="I99" i="15"/>
  <c r="CX109" i="15"/>
  <c r="CT34" i="15"/>
  <c r="I88" i="15"/>
  <c r="CG27" i="15"/>
  <c r="DD88" i="15"/>
  <c r="CU99" i="15"/>
  <c r="CF11" i="15"/>
  <c r="DA87" i="15"/>
  <c r="M96" i="15"/>
  <c r="CF31" i="15"/>
  <c r="CM46" i="15"/>
  <c r="CZ37" i="15"/>
  <c r="U15" i="15"/>
  <c r="CR28" i="15"/>
  <c r="CJ70" i="15"/>
  <c r="O98" i="15"/>
  <c r="CV101" i="15"/>
  <c r="CY104" i="15"/>
  <c r="DD72" i="15"/>
  <c r="CR69" i="15"/>
  <c r="CI106" i="15"/>
  <c r="CH82" i="15"/>
  <c r="CW31" i="15"/>
  <c r="K36" i="15"/>
  <c r="F107" i="15"/>
  <c r="E12" i="15"/>
  <c r="M34" i="15"/>
  <c r="E32" i="15"/>
  <c r="C12" i="15"/>
  <c r="CE39" i="15"/>
  <c r="H17" i="15"/>
  <c r="CG67" i="15"/>
  <c r="CD92" i="15"/>
  <c r="CR90" i="15"/>
  <c r="AD17" i="15"/>
  <c r="AD18" i="15"/>
  <c r="E42" i="15"/>
  <c r="CG13" i="15"/>
  <c r="N29" i="15"/>
  <c r="DA23" i="15"/>
  <c r="CU108" i="15"/>
  <c r="CD79" i="15"/>
  <c r="CD70" i="15"/>
  <c r="CT108" i="15"/>
  <c r="CN55" i="15"/>
  <c r="CP59" i="15"/>
  <c r="DD30" i="15"/>
  <c r="F79" i="15"/>
  <c r="R19" i="15"/>
  <c r="CM32" i="15"/>
  <c r="CD29" i="15"/>
  <c r="CX107" i="15"/>
  <c r="CO37" i="15"/>
  <c r="CO13" i="15"/>
  <c r="O30" i="15"/>
  <c r="CZ74" i="15"/>
  <c r="I27" i="15"/>
  <c r="CO92" i="15"/>
  <c r="CO80" i="15"/>
  <c r="CF22" i="15"/>
  <c r="F37" i="15"/>
  <c r="M79" i="15"/>
  <c r="CI107" i="15"/>
  <c r="CS71" i="15"/>
  <c r="CM110" i="15"/>
  <c r="F63" i="15"/>
  <c r="CL80" i="15"/>
  <c r="CQ82" i="15"/>
  <c r="CT85" i="15"/>
  <c r="B13" i="15"/>
  <c r="G33" i="15"/>
  <c r="CP58" i="15"/>
  <c r="CT62" i="15"/>
  <c r="CE106" i="15"/>
  <c r="CM101" i="15"/>
  <c r="G77" i="15"/>
  <c r="CO78" i="15"/>
  <c r="CF55" i="15"/>
  <c r="DC16" i="15"/>
  <c r="CQ40" i="15"/>
  <c r="B31" i="15"/>
  <c r="F90" i="15"/>
  <c r="CW41" i="15"/>
  <c r="CJ26" i="15"/>
  <c r="CW72" i="15"/>
  <c r="R29" i="15"/>
  <c r="CY52" i="15"/>
  <c r="CU90" i="15"/>
  <c r="CD84" i="15"/>
  <c r="CL61" i="15"/>
  <c r="CG53" i="15"/>
  <c r="M89" i="15"/>
  <c r="DA106" i="15"/>
  <c r="CM104" i="15"/>
  <c r="CR103" i="15"/>
  <c r="CU39" i="15"/>
  <c r="O36" i="15"/>
  <c r="CP13" i="15"/>
  <c r="CE109" i="15"/>
  <c r="CT81" i="15"/>
  <c r="CF91" i="15"/>
  <c r="DC89" i="15"/>
  <c r="CE110" i="15"/>
  <c r="G64" i="15"/>
  <c r="CL74" i="15"/>
  <c r="DB104" i="15"/>
  <c r="CF98" i="15"/>
  <c r="DA21" i="15"/>
  <c r="CD17" i="15"/>
  <c r="CW86" i="15"/>
  <c r="DC55" i="15"/>
  <c r="CR33" i="15"/>
  <c r="CG77" i="15"/>
  <c r="CX36" i="15"/>
  <c r="AA14" i="15"/>
  <c r="M71" i="15"/>
  <c r="CH108" i="15"/>
  <c r="M38" i="15"/>
  <c r="CX65" i="15"/>
  <c r="CY72" i="15"/>
  <c r="CT26" i="15"/>
  <c r="CY38" i="15"/>
  <c r="CD36" i="15"/>
  <c r="O54" i="15"/>
  <c r="Y12" i="15"/>
  <c r="N46" i="15"/>
  <c r="CO89" i="15"/>
  <c r="CJ78" i="15"/>
  <c r="CU107" i="15"/>
  <c r="CF90" i="15"/>
  <c r="O49" i="15"/>
  <c r="CO74" i="15"/>
  <c r="CR64" i="15"/>
  <c r="CE57" i="15"/>
  <c r="CX16" i="15"/>
  <c r="CO54" i="15"/>
  <c r="AD37" i="15"/>
  <c r="Z18" i="15"/>
  <c r="M13" i="15"/>
  <c r="AC15" i="15"/>
  <c r="E41" i="15"/>
  <c r="AE15" i="15"/>
  <c r="AA17" i="15"/>
  <c r="R42" i="15"/>
  <c r="CG96" i="15"/>
  <c r="AD36" i="15"/>
  <c r="CN100" i="15"/>
  <c r="D15" i="15"/>
  <c r="AF15" i="15"/>
  <c r="B35" i="15"/>
  <c r="CP85" i="15"/>
  <c r="G57" i="15"/>
  <c r="M103" i="15"/>
  <c r="CJ64" i="15"/>
  <c r="CZ42" i="15"/>
  <c r="CQ77" i="15"/>
  <c r="N68" i="15"/>
  <c r="CP79" i="15"/>
  <c r="C19" i="15"/>
  <c r="I68" i="15"/>
  <c r="CP89" i="15"/>
  <c r="CL40" i="15"/>
  <c r="CH21" i="15"/>
  <c r="N92" i="15"/>
  <c r="CY47" i="15"/>
  <c r="CU102" i="15"/>
  <c r="CH105" i="15"/>
  <c r="CT47" i="15"/>
  <c r="CV55" i="15"/>
  <c r="CR105" i="15"/>
  <c r="CW84" i="15"/>
  <c r="DD104" i="15"/>
  <c r="CN41" i="15"/>
  <c r="CI104" i="15"/>
  <c r="CF73" i="15"/>
  <c r="I84" i="15"/>
  <c r="F59" i="15"/>
  <c r="R18" i="15"/>
  <c r="CQ85" i="15"/>
  <c r="DD18" i="15"/>
  <c r="CJ104" i="15"/>
  <c r="CE82" i="15"/>
  <c r="CW85" i="15"/>
  <c r="CG26" i="15"/>
  <c r="I66" i="15"/>
  <c r="CI50" i="15"/>
  <c r="CL60" i="15"/>
  <c r="CI44" i="15"/>
  <c r="CQ57" i="15"/>
  <c r="DB80" i="15"/>
  <c r="N107" i="15"/>
  <c r="CZ69" i="15"/>
  <c r="N91" i="15"/>
  <c r="DB109" i="15"/>
  <c r="CZ92" i="15"/>
  <c r="M12" i="15"/>
  <c r="CU36" i="15"/>
  <c r="DA72" i="15"/>
  <c r="CH39" i="15"/>
  <c r="N33" i="15"/>
  <c r="DA79" i="15"/>
  <c r="CI38" i="15"/>
  <c r="DC77" i="15"/>
  <c r="CP88" i="15"/>
  <c r="H15" i="15"/>
  <c r="DA97" i="15"/>
  <c r="CR110" i="15"/>
  <c r="M23" i="15"/>
  <c r="L17" i="15"/>
  <c r="Z19" i="15"/>
  <c r="BT15" i="15"/>
  <c r="CT14" i="15"/>
  <c r="CM105" i="15"/>
  <c r="CZ100" i="15"/>
  <c r="CL42" i="15"/>
  <c r="DB64" i="15"/>
  <c r="CO63" i="15"/>
  <c r="CZ14" i="15"/>
  <c r="CK78" i="15"/>
  <c r="AD20" i="15"/>
  <c r="CT92" i="15"/>
  <c r="O15" i="15"/>
  <c r="CP100" i="15"/>
  <c r="I29" i="15"/>
  <c r="CR59" i="15"/>
  <c r="CW102" i="15"/>
  <c r="CX35" i="15"/>
  <c r="N74" i="15"/>
  <c r="CK86" i="15"/>
  <c r="M106" i="15"/>
  <c r="X16" i="15"/>
  <c r="CO39" i="15"/>
  <c r="CF76" i="15"/>
  <c r="I78" i="15"/>
  <c r="CD15" i="15"/>
  <c r="CI68" i="15"/>
  <c r="CR72" i="15"/>
  <c r="CE90" i="15"/>
  <c r="R33" i="15"/>
  <c r="CW103" i="15"/>
  <c r="CN101" i="15"/>
  <c r="CI88" i="15"/>
  <c r="CL77" i="15"/>
  <c r="I102" i="15"/>
  <c r="G90" i="15"/>
  <c r="CN85" i="15"/>
  <c r="CU104" i="15"/>
  <c r="CD75" i="15"/>
  <c r="CT57" i="15"/>
  <c r="CD64" i="15"/>
  <c r="CP53" i="15"/>
  <c r="CQ60" i="15"/>
  <c r="CF68" i="15"/>
  <c r="CQ100" i="15"/>
  <c r="B11" i="15"/>
  <c r="DD97" i="15"/>
  <c r="CV97" i="15"/>
  <c r="CJ100" i="15"/>
  <c r="CO22" i="15"/>
  <c r="M27" i="15"/>
  <c r="F77" i="15"/>
  <c r="CV96" i="15"/>
  <c r="CI72" i="15"/>
  <c r="CX15" i="15"/>
  <c r="CE78" i="15"/>
  <c r="F13" i="15"/>
  <c r="CY32" i="15"/>
  <c r="CL94" i="15"/>
  <c r="G88" i="15"/>
  <c r="CZ66" i="15"/>
  <c r="F88" i="15"/>
  <c r="U17" i="15"/>
  <c r="W13" i="15"/>
  <c r="AB26" i="15"/>
  <c r="BW12" i="15"/>
  <c r="I49" i="15"/>
  <c r="B29" i="15"/>
  <c r="N71" i="15"/>
  <c r="F80" i="15"/>
  <c r="CL107" i="15"/>
  <c r="CP50" i="15"/>
  <c r="F33" i="15"/>
  <c r="CP24" i="15"/>
  <c r="O62" i="15"/>
  <c r="DB63" i="15"/>
  <c r="CL93" i="15"/>
  <c r="G84" i="15"/>
  <c r="CP29" i="15"/>
  <c r="DC60" i="15"/>
  <c r="B21" i="15"/>
  <c r="CU65" i="15"/>
  <c r="CO72" i="15"/>
  <c r="CV11" i="15"/>
  <c r="CL11" i="15"/>
  <c r="CR108" i="15"/>
  <c r="CX106" i="15"/>
  <c r="I44" i="15"/>
  <c r="I35" i="15"/>
  <c r="DB62" i="15"/>
  <c r="CI58" i="15"/>
  <c r="CU71" i="15"/>
  <c r="CM70" i="15"/>
  <c r="CV50" i="15"/>
  <c r="CY42" i="15"/>
  <c r="CJ53" i="15"/>
  <c r="F36" i="15"/>
  <c r="C23" i="15"/>
  <c r="I43" i="15"/>
  <c r="CJ87" i="15"/>
  <c r="CN31" i="15"/>
  <c r="CK51" i="15"/>
  <c r="CR66" i="15"/>
  <c r="W15" i="15"/>
  <c r="AF23" i="15"/>
  <c r="O104" i="15"/>
  <c r="CT71" i="15"/>
  <c r="CL105" i="15"/>
  <c r="CK107" i="15"/>
  <c r="DD66" i="15"/>
  <c r="E40" i="15"/>
  <c r="BU14" i="15"/>
  <c r="CH52" i="15"/>
  <c r="CP35" i="15"/>
  <c r="CH71" i="15"/>
  <c r="CJ71" i="15"/>
  <c r="CQ38" i="15"/>
  <c r="CG108" i="15"/>
  <c r="CE36" i="15"/>
  <c r="DB12" i="15"/>
  <c r="CN93" i="15"/>
  <c r="CR73" i="15"/>
  <c r="CS94" i="15"/>
  <c r="AD24" i="15"/>
  <c r="H21" i="15"/>
  <c r="CR76" i="15"/>
  <c r="DB95" i="15"/>
  <c r="CO71" i="15"/>
  <c r="CN109" i="15"/>
  <c r="CP104" i="15"/>
  <c r="CJ75" i="15"/>
  <c r="CP70" i="15"/>
  <c r="CV18" i="15"/>
  <c r="CL73" i="15"/>
  <c r="G86" i="15"/>
  <c r="CU105" i="15"/>
  <c r="V19" i="15"/>
  <c r="CI79" i="15"/>
  <c r="CE79" i="15"/>
  <c r="M94" i="15"/>
  <c r="CO95" i="15"/>
  <c r="N36" i="15"/>
  <c r="DB83" i="15"/>
  <c r="CO57" i="15"/>
  <c r="CX88" i="15"/>
  <c r="CP107" i="15"/>
  <c r="CW96" i="15"/>
  <c r="CV89" i="15"/>
  <c r="CE54" i="15"/>
  <c r="CJ19" i="15"/>
  <c r="CV92" i="15"/>
  <c r="CU26" i="15"/>
  <c r="CE93" i="15"/>
  <c r="CP41" i="15"/>
  <c r="CQ105" i="15"/>
  <c r="CK94" i="15"/>
  <c r="DD87" i="15"/>
  <c r="CO102" i="15"/>
  <c r="CF85" i="15"/>
  <c r="CY14" i="15"/>
  <c r="CK110" i="15"/>
  <c r="G29" i="15"/>
  <c r="M75" i="15"/>
  <c r="O105" i="15"/>
  <c r="Y17" i="15"/>
  <c r="O103" i="15"/>
  <c r="CZ80" i="15"/>
  <c r="O25" i="15"/>
  <c r="CM73" i="15"/>
  <c r="CW77" i="15"/>
  <c r="DC47" i="15"/>
  <c r="CO104" i="15"/>
  <c r="CM37" i="15"/>
  <c r="I69" i="15"/>
  <c r="CZ98" i="15"/>
  <c r="K16" i="15"/>
  <c r="CD12" i="15"/>
  <c r="CH49" i="15"/>
  <c r="BT11" i="15"/>
  <c r="CH73" i="15"/>
  <c r="CU101" i="15"/>
  <c r="CY56" i="15"/>
  <c r="DD81" i="15"/>
  <c r="CH40" i="15"/>
  <c r="CP76" i="15"/>
  <c r="DC62" i="15"/>
  <c r="CK93" i="15"/>
  <c r="CE88" i="15"/>
  <c r="CJ24" i="15"/>
  <c r="DD84" i="15"/>
  <c r="I42" i="15"/>
  <c r="CD34" i="15"/>
  <c r="CX101" i="15"/>
  <c r="CR94" i="15"/>
  <c r="N95" i="15"/>
  <c r="CZ53" i="15"/>
  <c r="B24" i="15"/>
  <c r="AD33" i="15"/>
  <c r="W14" i="15"/>
  <c r="AF20" i="15"/>
  <c r="W12" i="15"/>
  <c r="G45" i="15"/>
  <c r="CZ43" i="15"/>
  <c r="CW98" i="15"/>
  <c r="CU52" i="15"/>
  <c r="CS69" i="15"/>
  <c r="CY19" i="15"/>
  <c r="CW43" i="15"/>
  <c r="CL22" i="15"/>
  <c r="DD108" i="15"/>
  <c r="CR85" i="15"/>
  <c r="CV28" i="15"/>
  <c r="CY29" i="15"/>
  <c r="CH53" i="15"/>
  <c r="DC95" i="15"/>
  <c r="DC68" i="15"/>
  <c r="CL31" i="15"/>
  <c r="CH81" i="15"/>
  <c r="N80" i="15"/>
  <c r="CO61" i="15"/>
  <c r="DB93" i="15"/>
  <c r="CT105" i="15"/>
  <c r="CE94" i="15"/>
  <c r="CY94" i="15"/>
  <c r="CU89" i="15"/>
  <c r="CU86" i="15"/>
  <c r="M67" i="15"/>
  <c r="CX76" i="15"/>
  <c r="CP91" i="15"/>
  <c r="CV74" i="15"/>
  <c r="CQ46" i="15"/>
  <c r="B15" i="15"/>
  <c r="DC66" i="15"/>
  <c r="F69" i="15"/>
  <c r="CZ57" i="15"/>
  <c r="CF30" i="15"/>
  <c r="CX100" i="15"/>
  <c r="CU54" i="15"/>
  <c r="CF78" i="15"/>
  <c r="G102" i="15"/>
  <c r="CF109" i="15"/>
  <c r="CV73" i="15"/>
  <c r="X27" i="15"/>
  <c r="CG59" i="15"/>
  <c r="DC54" i="15"/>
  <c r="CW82" i="15"/>
  <c r="DB37" i="15"/>
  <c r="CK66" i="15"/>
  <c r="CZ76" i="15"/>
  <c r="CW99" i="15"/>
  <c r="I32" i="15"/>
  <c r="C21" i="15"/>
  <c r="CI75" i="15"/>
  <c r="CX50" i="15"/>
  <c r="CL109" i="15"/>
  <c r="J18" i="15"/>
  <c r="DB59" i="15"/>
  <c r="F82" i="15"/>
  <c r="K26" i="15"/>
  <c r="CR25" i="15"/>
  <c r="CN71" i="15"/>
  <c r="CL104" i="15"/>
  <c r="CK109" i="15"/>
  <c r="CL89" i="15"/>
  <c r="E39" i="15"/>
  <c r="M42" i="15"/>
  <c r="M25" i="15"/>
  <c r="DD25" i="15"/>
  <c r="CT94" i="15"/>
  <c r="DC35" i="15"/>
  <c r="CM67" i="15"/>
  <c r="CR41" i="15"/>
  <c r="Z15" i="15"/>
  <c r="N98" i="15"/>
  <c r="CO83" i="15"/>
  <c r="CS96" i="15"/>
  <c r="O61" i="15"/>
  <c r="G98" i="15"/>
  <c r="CE53" i="15"/>
  <c r="CM19" i="15"/>
  <c r="DD103" i="15"/>
  <c r="AD16" i="15"/>
  <c r="CN24" i="15"/>
  <c r="CL17" i="15"/>
  <c r="CW29" i="15"/>
  <c r="CT37" i="15"/>
  <c r="CT60" i="15"/>
  <c r="I28" i="15"/>
  <c r="CZ96" i="15"/>
  <c r="O42" i="15"/>
  <c r="CU66" i="15"/>
  <c r="CX13" i="15"/>
  <c r="CX46" i="15"/>
  <c r="CV37" i="15"/>
  <c r="R31" i="15"/>
  <c r="O27" i="15"/>
  <c r="CN96" i="15"/>
  <c r="CU40" i="15"/>
  <c r="CS82" i="15"/>
  <c r="BT13" i="15"/>
  <c r="N40" i="15"/>
  <c r="AD28" i="15"/>
  <c r="AE18" i="15"/>
  <c r="H20" i="15"/>
  <c r="L18" i="15"/>
  <c r="AG26" i="15"/>
  <c r="T30" i="15"/>
  <c r="CM99" i="15"/>
  <c r="AD38" i="15"/>
  <c r="CE43" i="15"/>
  <c r="BT14" i="15"/>
  <c r="U19" i="15"/>
  <c r="AF24" i="15"/>
  <c r="CR104" i="15"/>
  <c r="CF57" i="15"/>
  <c r="CF94" i="15"/>
  <c r="CQ44" i="15"/>
  <c r="O24" i="15"/>
  <c r="DC38" i="15"/>
  <c r="CX17" i="15"/>
  <c r="CS65" i="15"/>
  <c r="CX84" i="15"/>
  <c r="N13" i="15"/>
  <c r="CM66" i="15"/>
  <c r="F39" i="15"/>
  <c r="CT66" i="15"/>
  <c r="CP78" i="15"/>
  <c r="CY35" i="15"/>
  <c r="CN84" i="15"/>
  <c r="CK62" i="15"/>
  <c r="CN57" i="15"/>
  <c r="AA12" i="15"/>
  <c r="CL64" i="15"/>
  <c r="I46" i="15"/>
  <c r="CL88" i="15"/>
  <c r="CZ38" i="15"/>
  <c r="CO29" i="15"/>
  <c r="CN30" i="15"/>
  <c r="CU37" i="15"/>
  <c r="CH62" i="15"/>
  <c r="DC76" i="15"/>
  <c r="M66" i="15"/>
  <c r="CE92" i="15"/>
  <c r="CV81" i="15"/>
  <c r="G44" i="15"/>
  <c r="CR24" i="15"/>
  <c r="B27" i="15"/>
  <c r="G23" i="15"/>
  <c r="CM39" i="15"/>
  <c r="CN76" i="15"/>
  <c r="CU75" i="15"/>
  <c r="CX12" i="15"/>
  <c r="CD37" i="15"/>
  <c r="CP69" i="15"/>
  <c r="CH67" i="15"/>
  <c r="CG93" i="15"/>
  <c r="V17" i="15"/>
  <c r="DB77" i="15"/>
  <c r="CO103" i="15"/>
  <c r="O95" i="15"/>
  <c r="CJ99" i="15"/>
  <c r="CQ41" i="15"/>
  <c r="CO34" i="15"/>
  <c r="CL101" i="15"/>
  <c r="CF93" i="15"/>
  <c r="DA58" i="15"/>
  <c r="CN99" i="15"/>
  <c r="O94" i="15"/>
  <c r="N26" i="15"/>
  <c r="V18" i="15"/>
  <c r="DA43" i="15"/>
  <c r="B34" i="15"/>
  <c r="AF13" i="15"/>
  <c r="K39" i="15"/>
  <c r="CX90" i="15"/>
  <c r="CU64" i="15"/>
  <c r="CY99" i="15"/>
  <c r="DA61" i="15"/>
  <c r="DB70" i="15"/>
  <c r="CZ85" i="15"/>
  <c r="CG98" i="15"/>
  <c r="CG68" i="15"/>
  <c r="CI102" i="15"/>
  <c r="CW57" i="15"/>
  <c r="CY63" i="15"/>
  <c r="CU14" i="15"/>
  <c r="F75" i="15"/>
  <c r="CO76" i="15"/>
  <c r="DA85" i="15"/>
  <c r="DD58" i="15"/>
  <c r="CJ46" i="15"/>
  <c r="DB74" i="15"/>
  <c r="CS43" i="15"/>
  <c r="CE37" i="15"/>
  <c r="CO19" i="15"/>
  <c r="DB65" i="15"/>
  <c r="CG20" i="15"/>
  <c r="CQ98" i="15"/>
  <c r="M54" i="15"/>
  <c r="DB25" i="15"/>
  <c r="DD101" i="15"/>
  <c r="DA50" i="15"/>
  <c r="CV32" i="15"/>
  <c r="F95" i="15"/>
  <c r="CI69" i="15"/>
  <c r="CU95" i="15"/>
  <c r="CE40" i="15"/>
  <c r="K34" i="15"/>
  <c r="CD76" i="15"/>
  <c r="N25" i="15"/>
  <c r="CN22" i="15"/>
  <c r="CP33" i="15"/>
  <c r="CY59" i="15"/>
  <c r="CJ86" i="15"/>
  <c r="CG75" i="15"/>
  <c r="CK21" i="15"/>
  <c r="CL47" i="15"/>
  <c r="O96" i="15"/>
  <c r="CH96" i="15"/>
  <c r="DC101" i="15"/>
  <c r="CF65" i="15"/>
  <c r="CP54" i="15"/>
  <c r="CV79" i="15"/>
  <c r="CZ108" i="15"/>
  <c r="DD106" i="15"/>
  <c r="CP49" i="15"/>
  <c r="CE84" i="15"/>
  <c r="CL75" i="15"/>
  <c r="M64" i="15"/>
  <c r="DB103" i="15"/>
  <c r="CL19" i="15"/>
  <c r="CW83" i="15"/>
  <c r="F81" i="15"/>
  <c r="G35" i="15"/>
  <c r="CE44" i="15"/>
  <c r="CF87" i="15"/>
  <c r="N102" i="15"/>
  <c r="CI70" i="15"/>
  <c r="N53" i="15"/>
  <c r="CH86" i="15"/>
  <c r="CF81" i="15"/>
  <c r="CF108" i="15"/>
  <c r="CP47" i="15"/>
  <c r="CR88" i="15"/>
  <c r="I22" i="15"/>
  <c r="O110" i="15"/>
  <c r="CZ40" i="15"/>
  <c r="DD49" i="15"/>
  <c r="CS23" i="15"/>
  <c r="K22" i="15"/>
  <c r="CN83" i="15"/>
  <c r="CP27" i="15"/>
  <c r="AE23" i="15"/>
  <c r="S18" i="15"/>
  <c r="AF18" i="15"/>
  <c r="CT88" i="15"/>
  <c r="CI60" i="15"/>
  <c r="CW32" i="15"/>
  <c r="O26" i="15"/>
  <c r="CX91" i="15"/>
  <c r="M92" i="15"/>
  <c r="CZ58" i="15"/>
  <c r="G92" i="15"/>
  <c r="CF20" i="15"/>
  <c r="CZ94" i="15"/>
  <c r="CO23" i="15"/>
  <c r="CT75" i="15"/>
  <c r="DC44" i="15"/>
  <c r="CO108" i="15"/>
  <c r="S13" i="15"/>
  <c r="X13" i="15"/>
  <c r="CG104" i="15"/>
  <c r="AB18" i="15"/>
  <c r="CO70" i="15"/>
  <c r="CD101" i="15"/>
  <c r="CX37" i="15"/>
  <c r="CY91" i="15"/>
  <c r="F52" i="15"/>
  <c r="CN90" i="15"/>
  <c r="CL23" i="15"/>
  <c r="CS78" i="15"/>
  <c r="CT80" i="15"/>
  <c r="CP74" i="15"/>
  <c r="O58" i="15"/>
  <c r="O70" i="15"/>
  <c r="CJ50" i="15"/>
  <c r="F105" i="15"/>
  <c r="CG31" i="15"/>
  <c r="CT40" i="15"/>
  <c r="BU11" i="15"/>
  <c r="I97" i="15"/>
  <c r="E36" i="15"/>
  <c r="CR82" i="15"/>
  <c r="DB69" i="15"/>
  <c r="DA67" i="15"/>
  <c r="CN92" i="15"/>
  <c r="CH75" i="15"/>
  <c r="CK85" i="15"/>
  <c r="CG48" i="15"/>
  <c r="CW76" i="15"/>
  <c r="CE62" i="15"/>
  <c r="CM75" i="15"/>
  <c r="CX57" i="15"/>
  <c r="CL108" i="15"/>
  <c r="CK81" i="15"/>
  <c r="CO24" i="15"/>
  <c r="AD21" i="15"/>
  <c r="M51" i="15"/>
  <c r="I30" i="15"/>
  <c r="N15" i="15"/>
  <c r="CF105" i="15"/>
  <c r="CH106" i="15"/>
  <c r="F84" i="15"/>
  <c r="CD68" i="15"/>
  <c r="CT64" i="15"/>
  <c r="CT63" i="15"/>
  <c r="CI66" i="15"/>
  <c r="CH56" i="15"/>
  <c r="CD11" i="15"/>
  <c r="Y19" i="15"/>
  <c r="CN103" i="15"/>
  <c r="CO105" i="15"/>
  <c r="CI45" i="15"/>
  <c r="M60" i="15"/>
  <c r="CJ20" i="15"/>
  <c r="CX86" i="15"/>
  <c r="N31" i="15"/>
  <c r="R27" i="15"/>
  <c r="CI87" i="15"/>
  <c r="CL21" i="15"/>
  <c r="G25" i="15"/>
  <c r="CP95" i="15"/>
  <c r="O59" i="15"/>
  <c r="I41" i="15"/>
  <c r="CK84" i="15"/>
  <c r="CO90" i="15"/>
  <c r="AD13" i="15"/>
  <c r="I62" i="15"/>
  <c r="CH103" i="15"/>
  <c r="CT83" i="15"/>
  <c r="CH14" i="15"/>
  <c r="CJ52" i="15"/>
  <c r="CG69" i="15"/>
  <c r="CG62" i="15"/>
  <c r="DB90" i="15"/>
  <c r="CK90" i="15"/>
  <c r="E37" i="15"/>
  <c r="CP64" i="15"/>
  <c r="CV20" i="15"/>
  <c r="F108" i="15"/>
  <c r="CX62" i="15"/>
  <c r="CN51" i="15"/>
  <c r="F109" i="15"/>
  <c r="AD26" i="15"/>
  <c r="BU13" i="15"/>
  <c r="CU45" i="15"/>
  <c r="D14" i="15"/>
  <c r="K38" i="15"/>
  <c r="AE21" i="15"/>
  <c r="AF21" i="15"/>
  <c r="W16" i="15"/>
  <c r="D16" i="15"/>
  <c r="CL58" i="15"/>
  <c r="J26" i="15"/>
  <c r="AA15" i="15"/>
  <c r="AE17" i="15"/>
  <c r="S19" i="15"/>
  <c r="DA104" i="15"/>
  <c r="CT68" i="15"/>
  <c r="CQ74" i="15"/>
  <c r="CV109" i="15"/>
  <c r="CK72" i="15"/>
  <c r="CS106" i="15"/>
  <c r="CG82" i="15"/>
  <c r="CI80" i="15"/>
  <c r="G47" i="15"/>
  <c r="CH79" i="15"/>
  <c r="CG46" i="15"/>
  <c r="T15" i="15"/>
  <c r="CK99" i="15"/>
  <c r="CZ103" i="15"/>
  <c r="G109" i="15"/>
  <c r="DC39" i="15"/>
  <c r="CE77" i="15"/>
  <c r="CO100" i="15"/>
  <c r="CQ58" i="15"/>
  <c r="M36" i="15"/>
  <c r="DD80" i="15"/>
  <c r="CU56" i="15"/>
  <c r="DD91" i="15"/>
  <c r="CT91" i="15"/>
  <c r="CZ93" i="15"/>
  <c r="CV72" i="15"/>
  <c r="CN48" i="15"/>
  <c r="I79" i="15"/>
  <c r="CD81" i="15"/>
  <c r="CL41" i="15"/>
  <c r="CM78" i="15"/>
  <c r="CE104" i="15"/>
  <c r="DB38" i="15"/>
  <c r="AE24" i="15"/>
  <c r="CT39" i="15"/>
  <c r="CK67" i="15"/>
  <c r="CJ98" i="15"/>
  <c r="CL68" i="15"/>
  <c r="CS80" i="15"/>
  <c r="CG110" i="15"/>
  <c r="CO42" i="15"/>
  <c r="K25" i="15"/>
  <c r="CN102" i="15"/>
  <c r="CM92" i="15"/>
  <c r="CD105" i="15"/>
  <c r="CR31" i="15"/>
  <c r="CM88" i="15"/>
  <c r="CS79" i="15"/>
  <c r="AD27" i="15"/>
  <c r="CR99" i="15"/>
  <c r="CL99" i="15"/>
  <c r="BZ11" i="15"/>
  <c r="CT100" i="15"/>
  <c r="F27" i="15"/>
  <c r="CI95" i="15"/>
  <c r="CP73" i="15"/>
  <c r="N54" i="15"/>
  <c r="H19" i="15"/>
  <c r="AD23" i="15"/>
  <c r="AC16" i="15"/>
  <c r="J27" i="15"/>
  <c r="CN65" i="15"/>
  <c r="O83" i="15"/>
  <c r="CU32" i="15"/>
  <c r="CE105" i="15"/>
  <c r="CK48" i="15"/>
  <c r="CZ110" i="15"/>
  <c r="CM40" i="15"/>
  <c r="I86" i="15"/>
  <c r="I39" i="15"/>
  <c r="CJ47" i="15"/>
  <c r="CQ76" i="15"/>
  <c r="CS68" i="15"/>
  <c r="M91" i="15"/>
  <c r="CF64" i="15"/>
  <c r="M19" i="15"/>
  <c r="CY46" i="15"/>
  <c r="CM45" i="15"/>
  <c r="AC13" i="15"/>
  <c r="CE81" i="15"/>
  <c r="F85" i="15"/>
  <c r="CX28" i="15"/>
  <c r="CL34" i="15"/>
  <c r="CS66" i="15"/>
  <c r="CL67" i="15"/>
  <c r="CI77" i="15"/>
  <c r="CE83" i="15"/>
  <c r="CV77" i="15"/>
  <c r="CT82" i="15"/>
  <c r="CG94" i="15"/>
  <c r="CY20" i="15"/>
  <c r="CG22" i="15"/>
  <c r="CI43" i="15"/>
  <c r="O52" i="15"/>
  <c r="CQ52" i="15"/>
  <c r="AD29" i="15"/>
  <c r="F23" i="15"/>
  <c r="CN32" i="15"/>
  <c r="R28" i="15"/>
  <c r="DC14" i="15"/>
  <c r="AF14" i="15"/>
  <c r="CQ104" i="15"/>
  <c r="I59" i="15"/>
  <c r="N87" i="15"/>
  <c r="CY102" i="15"/>
  <c r="M101" i="15"/>
  <c r="M35" i="15"/>
  <c r="CP66" i="15"/>
  <c r="CT110" i="15"/>
  <c r="R36" i="15"/>
  <c r="CI78" i="15"/>
  <c r="CD72" i="15"/>
  <c r="CL13" i="15"/>
  <c r="N18" i="15"/>
  <c r="CO53" i="15"/>
  <c r="F100" i="15"/>
  <c r="CW104" i="15"/>
  <c r="CY82" i="15"/>
  <c r="CX68" i="15"/>
  <c r="K35" i="15"/>
  <c r="L15" i="15"/>
  <c r="CM62" i="15"/>
  <c r="I56" i="15"/>
  <c r="CD35" i="15"/>
  <c r="DA76" i="15"/>
  <c r="AD42" i="15"/>
  <c r="Y26" i="15"/>
  <c r="CQ88" i="15"/>
  <c r="AF11" i="15"/>
  <c r="CM77" i="15"/>
  <c r="N89" i="15"/>
  <c r="G54" i="15"/>
  <c r="CJ61" i="15"/>
  <c r="CK56" i="15"/>
  <c r="M30" i="15"/>
  <c r="O90" i="15"/>
  <c r="T27" i="15"/>
  <c r="N88" i="15"/>
  <c r="M97" i="15"/>
  <c r="CX66" i="15"/>
  <c r="BT12" i="15"/>
  <c r="CQ42" i="15"/>
  <c r="CS50" i="15"/>
  <c r="BS15" i="15"/>
  <c r="CQ92" i="15"/>
  <c r="CE107" i="15"/>
  <c r="CN74" i="15"/>
  <c r="CM86" i="15"/>
  <c r="CP98" i="15"/>
  <c r="CX40" i="15"/>
  <c r="M37" i="15"/>
  <c r="CY92" i="15"/>
  <c r="O88" i="15"/>
  <c r="CR109" i="15"/>
  <c r="K19" i="15"/>
  <c r="CK95" i="15"/>
  <c r="CS85" i="15"/>
  <c r="Y13" i="15"/>
  <c r="CG109" i="15"/>
  <c r="CM17" i="15"/>
  <c r="CO47" i="15"/>
  <c r="CW66" i="15"/>
  <c r="F14" i="15"/>
  <c r="CY74" i="15"/>
  <c r="CZ101" i="15"/>
  <c r="M24" i="15"/>
  <c r="CT93" i="15"/>
  <c r="CF77" i="15"/>
  <c r="DA98" i="15"/>
  <c r="CS107" i="15"/>
  <c r="CY54" i="15"/>
  <c r="CD89" i="15"/>
  <c r="Y24" i="15"/>
  <c r="CL51" i="15"/>
  <c r="CV57" i="15"/>
  <c r="CF75" i="15"/>
  <c r="AA16" i="15"/>
  <c r="AE26" i="15"/>
  <c r="CI12" i="15"/>
  <c r="I73" i="15"/>
  <c r="U11" i="15"/>
  <c r="DD71" i="15"/>
  <c r="CK44" i="15"/>
  <c r="F76" i="15"/>
  <c r="O87" i="15"/>
  <c r="CE87" i="15"/>
  <c r="CP83" i="15"/>
  <c r="CM87" i="15"/>
  <c r="CW110" i="15"/>
  <c r="CF97" i="15"/>
  <c r="CR32" i="15"/>
  <c r="M58" i="15"/>
  <c r="CP34" i="15"/>
  <c r="I17" i="15"/>
  <c r="CJ56" i="15"/>
  <c r="N44" i="15"/>
  <c r="CX31" i="15"/>
  <c r="CK39" i="15"/>
  <c r="DA90" i="15"/>
  <c r="CI109" i="15"/>
  <c r="CI34" i="15"/>
  <c r="F86" i="15"/>
  <c r="CH110" i="15"/>
  <c r="AB11" i="15"/>
  <c r="S16" i="15"/>
  <c r="CZ63" i="15"/>
  <c r="K37" i="15"/>
  <c r="CR57" i="15"/>
  <c r="CN87" i="15"/>
  <c r="CY51" i="15"/>
  <c r="CV83" i="15"/>
  <c r="DA103" i="15"/>
  <c r="AD32" i="15"/>
  <c r="F16" i="15"/>
  <c r="O53" i="15"/>
  <c r="CP101" i="15"/>
  <c r="CD93" i="15"/>
  <c r="CZ105" i="15"/>
  <c r="N50" i="15"/>
  <c r="CO106" i="15"/>
  <c r="CL37" i="15"/>
  <c r="G83" i="15"/>
  <c r="DC105" i="15"/>
  <c r="CD110" i="15"/>
  <c r="CO109" i="15"/>
  <c r="T18" i="15"/>
  <c r="T28" i="15"/>
  <c r="O23" i="15"/>
  <c r="CR44" i="15"/>
  <c r="CF100" i="15"/>
  <c r="CU17" i="15"/>
  <c r="CE46" i="15"/>
  <c r="CL84" i="15"/>
  <c r="G51" i="15"/>
  <c r="CL100" i="15"/>
  <c r="CM107" i="15"/>
  <c r="CZ72" i="15"/>
  <c r="CI93" i="15"/>
  <c r="DA94" i="15"/>
  <c r="O76" i="15"/>
  <c r="AE16" i="15"/>
  <c r="M48" i="15"/>
  <c r="F60" i="15"/>
  <c r="CX89" i="15"/>
  <c r="DD29" i="15"/>
  <c r="CJ32" i="15"/>
  <c r="DC43" i="15"/>
  <c r="AD22" i="15"/>
  <c r="CP14" i="15"/>
  <c r="CJ92" i="15"/>
  <c r="CV93" i="15"/>
  <c r="DC50" i="15"/>
  <c r="CQ45" i="15"/>
  <c r="Y27" i="15"/>
  <c r="T20" i="15"/>
  <c r="G101" i="15"/>
  <c r="G22" i="15"/>
  <c r="CM93" i="15"/>
  <c r="Y16" i="15"/>
  <c r="CN34" i="15"/>
  <c r="K30" i="15"/>
  <c r="G21" i="15"/>
  <c r="O99" i="15"/>
  <c r="G78" i="15"/>
  <c r="CT74" i="15"/>
  <c r="CS86" i="15"/>
  <c r="CQ108" i="15"/>
  <c r="CE11" i="15"/>
  <c r="DC58" i="15"/>
  <c r="CY34" i="15"/>
  <c r="CX45" i="15"/>
  <c r="DC73" i="15"/>
  <c r="F72" i="15"/>
  <c r="CH17" i="15"/>
  <c r="DD78" i="15"/>
  <c r="CF24" i="15"/>
  <c r="CX32" i="15"/>
  <c r="N38" i="15"/>
  <c r="CG102" i="15"/>
  <c r="DA63" i="15"/>
  <c r="CT13" i="15"/>
  <c r="F11" i="15"/>
  <c r="CW69" i="15"/>
  <c r="CF92" i="15"/>
  <c r="CS21" i="15"/>
  <c r="CZ97" i="15"/>
  <c r="CS92" i="15"/>
  <c r="CX75" i="15"/>
  <c r="CF82" i="15"/>
  <c r="DC102" i="15"/>
  <c r="CT96" i="15"/>
  <c r="H18" i="15"/>
  <c r="CE52" i="15"/>
  <c r="X18" i="15"/>
  <c r="CO60" i="15"/>
  <c r="CT11" i="15"/>
  <c r="AC17" i="15"/>
  <c r="AF26" i="15"/>
  <c r="CS56" i="15"/>
  <c r="DD70" i="15"/>
  <c r="CN73" i="15"/>
  <c r="DD95" i="15"/>
  <c r="E22" i="15"/>
  <c r="CV42" i="15"/>
  <c r="Y11" i="15"/>
  <c r="CT48" i="15"/>
  <c r="CL96" i="15"/>
  <c r="CF106" i="15"/>
  <c r="CF43" i="15"/>
  <c r="CI97" i="15"/>
  <c r="CP62" i="15"/>
  <c r="CU28" i="15"/>
  <c r="CJ25" i="15"/>
  <c r="AF17" i="15"/>
  <c r="N84" i="15"/>
  <c r="DD51" i="15"/>
  <c r="O71" i="15"/>
  <c r="CT69" i="15"/>
  <c r="CD41" i="15"/>
  <c r="I96" i="15"/>
  <c r="CJ42" i="15"/>
  <c r="DD69" i="15"/>
  <c r="CP44" i="15"/>
  <c r="R25" i="15"/>
  <c r="G106" i="15"/>
  <c r="G105" i="15"/>
  <c r="CH70" i="15"/>
  <c r="CK75" i="15"/>
  <c r="G73" i="15"/>
  <c r="C16" i="15"/>
  <c r="CU100" i="15"/>
  <c r="CJ23" i="15"/>
  <c r="CJ105" i="15"/>
  <c r="CI91" i="15"/>
  <c r="AC12" i="15"/>
  <c r="CN25" i="15"/>
  <c r="CO87" i="15"/>
  <c r="CU97" i="15"/>
  <c r="CM16" i="15"/>
  <c r="I63" i="15"/>
  <c r="DC74" i="15"/>
  <c r="CK54" i="15"/>
  <c r="Y20" i="15"/>
  <c r="CO31" i="15"/>
  <c r="L16" i="15"/>
  <c r="J25" i="15"/>
  <c r="AE22" i="15"/>
  <c r="CU50" i="15"/>
  <c r="CW20" i="15"/>
  <c r="CJ94" i="15"/>
  <c r="E11" i="15"/>
  <c r="CI52" i="15"/>
  <c r="CU81" i="15"/>
  <c r="DC37" i="15"/>
  <c r="CH61" i="15"/>
  <c r="CT15" i="15"/>
  <c r="CM55" i="15"/>
  <c r="G32" i="15"/>
  <c r="CE17" i="15"/>
  <c r="AD39" i="15"/>
  <c r="CN43" i="15"/>
  <c r="CD16" i="15"/>
  <c r="CS88" i="15"/>
  <c r="N37" i="15"/>
  <c r="DD68" i="15"/>
  <c r="CP102" i="15"/>
  <c r="CH63" i="15"/>
  <c r="Y25" i="15"/>
  <c r="CO96" i="15"/>
  <c r="DC19" i="15"/>
  <c r="U18" i="15"/>
  <c r="CG39" i="15"/>
  <c r="M20" i="15"/>
  <c r="O69" i="15"/>
  <c r="X28" i="15"/>
  <c r="O64" i="15"/>
  <c r="CI96" i="15"/>
  <c r="DB66" i="15"/>
  <c r="CS103" i="15"/>
  <c r="CP52" i="15"/>
  <c r="CN20" i="15"/>
  <c r="F47" i="15"/>
  <c r="CI48" i="15"/>
  <c r="Y15" i="15"/>
  <c r="CY110" i="15"/>
  <c r="CK71" i="15"/>
  <c r="E38" i="15"/>
  <c r="CW28" i="15"/>
  <c r="G48" i="15"/>
  <c r="N60" i="15"/>
  <c r="DA89" i="15"/>
  <c r="CU12" i="15"/>
  <c r="CL69" i="15"/>
  <c r="CG79" i="15"/>
  <c r="CE41" i="15"/>
  <c r="BU12" i="15"/>
  <c r="DD99" i="15"/>
  <c r="CX41" i="15"/>
  <c r="CX103" i="15"/>
  <c r="BV12" i="15"/>
  <c r="BY11" i="15"/>
  <c r="CQ81" i="15"/>
  <c r="CO110" i="15"/>
  <c r="AB25" i="15"/>
  <c r="CU98" i="15"/>
  <c r="DD24" i="15"/>
  <c r="N69" i="15"/>
  <c r="CM57" i="15"/>
  <c r="CP72" i="15"/>
  <c r="BV13" i="15"/>
  <c r="CN95" i="15"/>
  <c r="CL106" i="15"/>
  <c r="CM95" i="15"/>
  <c r="CL54" i="15"/>
  <c r="S17" i="15"/>
  <c r="CW109" i="15"/>
  <c r="R13" i="15"/>
  <c r="AE25" i="15"/>
  <c r="CS98" i="15"/>
  <c r="F96" i="15"/>
  <c r="DB55" i="15"/>
  <c r="AD14" i="15"/>
  <c r="M33" i="15"/>
  <c r="BS14" i="15"/>
  <c r="AF19" i="15"/>
  <c r="CY68" i="15"/>
  <c r="CT59" i="15"/>
  <c r="CV27" i="15"/>
  <c r="I82" i="15"/>
  <c r="CP110" i="15"/>
  <c r="CS101" i="15"/>
  <c r="CS99" i="15"/>
  <c r="CD90" i="15"/>
  <c r="CX104" i="15"/>
  <c r="CG73" i="15"/>
  <c r="B32" i="15"/>
  <c r="I105" i="15"/>
  <c r="G103" i="15"/>
  <c r="R41" i="15"/>
  <c r="CP105" i="15"/>
  <c r="CF25" i="15"/>
  <c r="G100" i="15"/>
  <c r="CT45" i="15"/>
  <c r="X26" i="15"/>
  <c r="CR100" i="15"/>
  <c r="G94" i="15"/>
  <c r="O73" i="15"/>
  <c r="DB76" i="15"/>
  <c r="O57" i="15"/>
  <c r="CS73" i="15"/>
  <c r="O22" i="15"/>
  <c r="AB14" i="15"/>
  <c r="CV75" i="15"/>
  <c r="CU48" i="15"/>
  <c r="CX59" i="15"/>
  <c r="CY45" i="15"/>
  <c r="CS108" i="15"/>
  <c r="CF70" i="15"/>
  <c r="K28" i="15"/>
  <c r="CQ97" i="15"/>
  <c r="CO11" i="15"/>
  <c r="CD103" i="15"/>
  <c r="CR78" i="15"/>
  <c r="AD11" i="15"/>
  <c r="AE19" i="15"/>
  <c r="AF22" i="15"/>
  <c r="AE11" i="15"/>
  <c r="Y14" i="15"/>
  <c r="G93" i="15"/>
  <c r="DC29" i="15"/>
  <c r="CY84" i="15"/>
  <c r="CV17" i="15"/>
  <c r="G14" i="15"/>
  <c r="G18" i="15"/>
  <c r="K29" i="15"/>
  <c r="CM72" i="15"/>
  <c r="N85" i="15"/>
  <c r="Y22" i="15"/>
  <c r="CZ89" i="15"/>
  <c r="CD13" i="15"/>
  <c r="CG66" i="15"/>
  <c r="AD41" i="15"/>
  <c r="DB94" i="15"/>
  <c r="CG50" i="15"/>
  <c r="CV90" i="15"/>
  <c r="CW108" i="15"/>
  <c r="CK65" i="15"/>
  <c r="CJ89" i="15"/>
  <c r="CH19" i="15"/>
  <c r="DD44" i="15"/>
  <c r="F89" i="15"/>
  <c r="CU76" i="15"/>
  <c r="CS62" i="15"/>
  <c r="CV99" i="15"/>
  <c r="CM47" i="15"/>
  <c r="CD71" i="15"/>
  <c r="CM12" i="15"/>
  <c r="CI101" i="15"/>
  <c r="CD58" i="15"/>
  <c r="G74" i="15"/>
  <c r="CJ80" i="15"/>
  <c r="CU18" i="15"/>
  <c r="CT98" i="15"/>
  <c r="DD105" i="15"/>
  <c r="I50" i="15"/>
  <c r="CK106" i="15"/>
  <c r="AD35" i="15"/>
  <c r="CL90" i="15"/>
  <c r="R30" i="15"/>
  <c r="CX53" i="15"/>
  <c r="CM100" i="15"/>
  <c r="E18" i="15"/>
  <c r="CJ91" i="15"/>
  <c r="AE12" i="15"/>
  <c r="C22" i="15"/>
  <c r="AB27" i="15"/>
  <c r="AA11" i="15"/>
  <c r="N61" i="15"/>
  <c r="CU88" i="15"/>
  <c r="CT103" i="15"/>
  <c r="DC52" i="15"/>
  <c r="CR58" i="15"/>
  <c r="Z17" i="15"/>
  <c r="DA40" i="15"/>
  <c r="K33" i="15"/>
  <c r="CV51" i="15"/>
  <c r="CY43" i="15"/>
  <c r="CJ58" i="15"/>
  <c r="I95" i="15"/>
  <c r="CE75" i="15"/>
  <c r="N99" i="15"/>
  <c r="CO77" i="15"/>
  <c r="DC100" i="15"/>
  <c r="CF101" i="15"/>
  <c r="CW58" i="15"/>
  <c r="CU93" i="15"/>
  <c r="CI103" i="15"/>
  <c r="CL50" i="15"/>
  <c r="CQ87" i="15"/>
  <c r="AF12" i="15"/>
  <c r="CR77" i="15"/>
  <c r="CP71" i="15"/>
  <c r="CK108" i="15"/>
  <c r="CZ21" i="15"/>
  <c r="AF27" i="15"/>
  <c r="CG58" i="15"/>
  <c r="CU25" i="15"/>
  <c r="CI42" i="15"/>
  <c r="I85" i="15"/>
  <c r="AE20" i="15"/>
  <c r="CD27" i="15"/>
  <c r="CS97" i="15"/>
  <c r="CZ55" i="15"/>
  <c r="CU73" i="15"/>
  <c r="CT16" i="15"/>
  <c r="CS81" i="15"/>
  <c r="DD22" i="15"/>
  <c r="C20" i="15"/>
  <c r="O102" i="15"/>
  <c r="V20" i="15"/>
  <c r="CR84" i="15"/>
  <c r="CF29" i="15"/>
  <c r="V13" i="15"/>
  <c r="DD33" i="15"/>
  <c r="BS16" i="15"/>
  <c r="CR102" i="15"/>
  <c r="J24" i="15"/>
  <c r="CO91" i="15"/>
  <c r="I93" i="15"/>
  <c r="CX74" i="15"/>
  <c r="CE91" i="15"/>
  <c r="G11" i="15"/>
  <c r="CL30" i="15"/>
  <c r="AD19" i="15"/>
  <c r="CK91" i="15"/>
  <c r="CK100" i="15"/>
  <c r="CR51" i="15"/>
  <c r="DB20" i="15"/>
  <c r="CN29" i="15"/>
  <c r="CI100" i="15"/>
  <c r="AF25" i="15"/>
  <c r="DC83" i="15"/>
  <c r="CX47" i="15"/>
  <c r="CT18" i="15"/>
  <c r="CV54" i="15"/>
  <c r="R34" i="15"/>
  <c r="G87" i="15"/>
  <c r="CV85" i="15"/>
  <c r="CR30" i="15"/>
  <c r="D13" i="15"/>
  <c r="CP11" i="15"/>
  <c r="G108" i="15"/>
  <c r="CS59" i="15"/>
  <c r="CW80" i="15"/>
  <c r="AB13" i="15"/>
  <c r="AD25" i="15"/>
  <c r="DC15" i="15"/>
  <c r="CM83" i="15"/>
  <c r="CQ47" i="15"/>
  <c r="F66" i="15"/>
  <c r="AE13" i="15"/>
  <c r="CZ30" i="15"/>
  <c r="O100" i="15"/>
  <c r="AB22" i="15"/>
  <c r="T29" i="15"/>
  <c r="DA96" i="15"/>
  <c r="CR40" i="15"/>
  <c r="DD77" i="15"/>
  <c r="CS70" i="15"/>
  <c r="CF79" i="15"/>
  <c r="CY105" i="15"/>
  <c r="B25" i="15"/>
  <c r="G34" i="15"/>
  <c r="CQ63" i="15"/>
  <c r="CM52" i="15"/>
  <c r="CT67" i="15"/>
  <c r="CS104" i="15"/>
  <c r="AD31" i="15"/>
  <c r="E28" i="15"/>
  <c r="AD43" i="15"/>
  <c r="I90" i="15"/>
  <c r="CG57" i="15"/>
  <c r="CE14" i="15"/>
  <c r="DC41" i="15"/>
  <c r="O79" i="15"/>
  <c r="CR87" i="15"/>
  <c r="F50" i="15"/>
  <c r="CD107" i="15"/>
  <c r="AD12" i="15"/>
  <c r="CK61" i="15"/>
  <c r="O91" i="15"/>
  <c r="I13" i="15"/>
  <c r="CM96" i="15"/>
  <c r="AB24" i="15"/>
  <c r="CY95" i="15"/>
  <c r="G72" i="15"/>
  <c r="G65" i="15"/>
  <c r="CQ79" i="15"/>
  <c r="CE68" i="15"/>
  <c r="N93" i="15"/>
  <c r="AD34" i="15"/>
  <c r="CP43" i="15"/>
  <c r="CQ71" i="15"/>
  <c r="I110" i="15"/>
  <c r="N43" i="15"/>
  <c r="CU84" i="15"/>
  <c r="CV63" i="15"/>
  <c r="DB110" i="15"/>
  <c r="O82" i="15"/>
  <c r="O77" i="15"/>
  <c r="CG30" i="15"/>
  <c r="X30" i="15"/>
  <c r="G36" i="15"/>
  <c r="F44" i="15"/>
  <c r="CH58" i="15"/>
  <c r="CD67" i="15"/>
  <c r="CX39" i="15"/>
  <c r="CO15" i="15"/>
  <c r="M22" i="15"/>
  <c r="CR80" i="15"/>
  <c r="CK19" i="15"/>
  <c r="CF80" i="15"/>
  <c r="X29" i="15"/>
  <c r="N28" i="15"/>
  <c r="CT50" i="15"/>
  <c r="CD82" i="70" l="1"/>
  <c r="AQ43" i="70"/>
  <c r="CR22" i="70"/>
  <c r="CG22" i="70"/>
  <c r="CE23" i="70"/>
  <c r="CI22" i="70"/>
  <c r="CH22" i="70"/>
  <c r="CN22" i="70"/>
  <c r="CK22" i="70"/>
  <c r="CU22" i="70"/>
  <c r="CM22" i="70"/>
  <c r="CJ22" i="70"/>
  <c r="CF22" i="70"/>
  <c r="CP22" i="70"/>
  <c r="CO22" i="70"/>
  <c r="CL22" i="70"/>
  <c r="CT22" i="70"/>
  <c r="CS22" i="70"/>
  <c r="CQ22" i="70"/>
  <c r="DA66" i="70"/>
  <c r="DA67" i="70"/>
  <c r="DB23" i="70"/>
  <c r="DE22" i="70"/>
  <c r="DC22" i="70"/>
  <c r="DF22" i="70"/>
  <c r="DD22" i="70"/>
  <c r="BI27" i="70"/>
  <c r="BS25" i="70"/>
  <c r="BL28" i="70"/>
  <c r="BQ25" i="70"/>
  <c r="BU34" i="70"/>
  <c r="BO35" i="70"/>
  <c r="AZ47" i="70"/>
  <c r="AT50" i="70"/>
  <c r="AR31" i="70"/>
  <c r="BX16" i="70"/>
  <c r="BT51" i="70"/>
  <c r="BR35" i="70"/>
  <c r="BN38" i="70"/>
  <c r="BJ38" i="70"/>
  <c r="BH50" i="70"/>
  <c r="BA26" i="70"/>
  <c r="AY35" i="70"/>
  <c r="AW29" i="70"/>
  <c r="BK27" i="70"/>
  <c r="BV35" i="70"/>
  <c r="BP27" i="70"/>
  <c r="BX26" i="70"/>
  <c r="AS24" i="70"/>
  <c r="BW34" i="70"/>
  <c r="BM24" i="70"/>
  <c r="DP18" i="70"/>
  <c r="DO19" i="70"/>
  <c r="DM21" i="70"/>
  <c r="DL22" i="70"/>
  <c r="DK23" i="70"/>
  <c r="DN20" i="70"/>
  <c r="CD97" i="70"/>
  <c r="CD96" i="70"/>
  <c r="CD107" i="70"/>
  <c r="CD103" i="70"/>
  <c r="CD112" i="70" s="1"/>
  <c r="CD106" i="70"/>
  <c r="CD105" i="70"/>
  <c r="CD114" i="70" s="1"/>
  <c r="CD109" i="70"/>
  <c r="CD115" i="70"/>
  <c r="CD102" i="70"/>
  <c r="CD108" i="70"/>
  <c r="CD104" i="70"/>
  <c r="CD113" i="70" s="1"/>
  <c r="AB28" i="15"/>
  <c r="AG13" i="15"/>
  <c r="AG24" i="15"/>
  <c r="K40" i="15"/>
  <c r="B36" i="15"/>
  <c r="AG14" i="15"/>
  <c r="V21" i="15"/>
  <c r="T31" i="15"/>
  <c r="X31" i="15"/>
  <c r="AA18" i="15"/>
  <c r="AD44" i="15"/>
  <c r="AG18" i="15"/>
  <c r="C24" i="15"/>
  <c r="D17" i="15"/>
  <c r="H22" i="15"/>
  <c r="BV14" i="15"/>
  <c r="BX12" i="15"/>
  <c r="Y28" i="15"/>
  <c r="W17" i="15"/>
  <c r="BW13" i="15"/>
  <c r="Z20" i="15"/>
  <c r="AG12" i="15"/>
  <c r="BS17" i="15"/>
  <c r="AG25" i="15"/>
  <c r="BT16" i="15"/>
  <c r="AG23" i="15"/>
  <c r="J28" i="15"/>
  <c r="BU15" i="15"/>
  <c r="U20" i="15"/>
  <c r="AH19" i="15"/>
  <c r="L19" i="15"/>
  <c r="AF28" i="15"/>
  <c r="AG19" i="15"/>
  <c r="AG27" i="15"/>
  <c r="AG16" i="15"/>
  <c r="R43" i="15"/>
  <c r="E43" i="15"/>
  <c r="AG17" i="15"/>
  <c r="AG11" i="15"/>
  <c r="AE27" i="15"/>
  <c r="AG15" i="15"/>
  <c r="AG20" i="15"/>
  <c r="AG22" i="15"/>
  <c r="AC18" i="15"/>
  <c r="AG21" i="15"/>
  <c r="S20" i="15"/>
  <c r="BM25" i="70" l="1"/>
  <c r="BW35" i="70"/>
  <c r="BX27" i="70"/>
  <c r="BP28" i="70"/>
  <c r="BV36" i="70"/>
  <c r="AW30" i="70"/>
  <c r="AY36" i="70"/>
  <c r="BA27" i="70"/>
  <c r="BH51" i="70"/>
  <c r="BJ39" i="70"/>
  <c r="BR36" i="70"/>
  <c r="BT52" i="70"/>
  <c r="AR32" i="70"/>
  <c r="AT51" i="70"/>
  <c r="AZ48" i="70"/>
  <c r="BO36" i="70"/>
  <c r="BU35" i="70"/>
  <c r="BQ26" i="70"/>
  <c r="BL29" i="70"/>
  <c r="BS26" i="70"/>
  <c r="BI28" i="70"/>
  <c r="DA74" i="70"/>
  <c r="DA73" i="70"/>
  <c r="CF23" i="70"/>
  <c r="CM23" i="70"/>
  <c r="CJ23" i="70"/>
  <c r="CL23" i="70"/>
  <c r="CR23" i="70"/>
  <c r="CQ23" i="70"/>
  <c r="CE24" i="70"/>
  <c r="CI23" i="70"/>
  <c r="CU23" i="70"/>
  <c r="CK23" i="70"/>
  <c r="CT23" i="70"/>
  <c r="CS23" i="70"/>
  <c r="CH23" i="70"/>
  <c r="CP23" i="70"/>
  <c r="CO23" i="70"/>
  <c r="CN23" i="70"/>
  <c r="CG23" i="70"/>
  <c r="AQ44" i="70"/>
  <c r="AS25" i="70"/>
  <c r="BK28" i="70"/>
  <c r="BN39" i="70"/>
  <c r="DF23" i="70"/>
  <c r="DD23" i="70"/>
  <c r="DB24" i="70"/>
  <c r="DE23" i="70"/>
  <c r="DC23" i="70"/>
  <c r="DO20" i="70"/>
  <c r="DK24" i="70"/>
  <c r="DL23" i="70"/>
  <c r="DM22" i="70"/>
  <c r="DN21" i="70"/>
  <c r="DP19" i="70"/>
  <c r="DQ18" i="70"/>
  <c r="CD111" i="70"/>
  <c r="CD110" i="70"/>
  <c r="CD129" i="70"/>
  <c r="CD123" i="70"/>
  <c r="CD121" i="70"/>
  <c r="CD119" i="70"/>
  <c r="CD128" i="70" s="1"/>
  <c r="CD117" i="70"/>
  <c r="CD126" i="70" s="1"/>
  <c r="CD120" i="70"/>
  <c r="CD122" i="70"/>
  <c r="CD116" i="70"/>
  <c r="CD118" i="70"/>
  <c r="CD127" i="70" s="1"/>
  <c r="AH14" i="15"/>
  <c r="AH17" i="15"/>
  <c r="AB29" i="15"/>
  <c r="Z21" i="15"/>
  <c r="AD45" i="15"/>
  <c r="BV15" i="15"/>
  <c r="BT17" i="15"/>
  <c r="H23" i="15"/>
  <c r="AG28" i="15"/>
  <c r="K41" i="15"/>
  <c r="J29" i="15"/>
  <c r="Y29" i="15"/>
  <c r="E44" i="15"/>
  <c r="AH13" i="15"/>
  <c r="AC19" i="15"/>
  <c r="D18" i="15"/>
  <c r="B37" i="15"/>
  <c r="T32" i="15"/>
  <c r="W18" i="15"/>
  <c r="AH11" i="15"/>
  <c r="X32" i="15"/>
  <c r="AA19" i="15"/>
  <c r="AH20" i="15"/>
  <c r="AH18" i="15"/>
  <c r="AF29" i="15"/>
  <c r="AH16" i="15"/>
  <c r="C25" i="15"/>
  <c r="BU16" i="15"/>
  <c r="BY12" i="15"/>
  <c r="BW14" i="15"/>
  <c r="AE28" i="15"/>
  <c r="R44" i="15"/>
  <c r="AH15" i="15"/>
  <c r="BX13" i="15"/>
  <c r="V22" i="15"/>
  <c r="AH12" i="15"/>
  <c r="U21" i="15"/>
  <c r="S21" i="15"/>
  <c r="L20" i="15"/>
  <c r="BS18" i="15"/>
  <c r="CK24" i="70" l="1"/>
  <c r="CR24" i="70"/>
  <c r="CH24" i="70"/>
  <c r="CQ24" i="70"/>
  <c r="CP24" i="70"/>
  <c r="CF24" i="70"/>
  <c r="CT24" i="70"/>
  <c r="CL24" i="70"/>
  <c r="CG24" i="70"/>
  <c r="CO24" i="70"/>
  <c r="CN24" i="70"/>
  <c r="CM24" i="70"/>
  <c r="CS24" i="70"/>
  <c r="CE25" i="70"/>
  <c r="CJ24" i="70"/>
  <c r="CI24" i="70"/>
  <c r="CU24" i="70"/>
  <c r="DA80" i="70"/>
  <c r="DA81" i="70"/>
  <c r="BI29" i="70"/>
  <c r="BS27" i="70"/>
  <c r="BL30" i="70"/>
  <c r="BQ27" i="70"/>
  <c r="BU36" i="70"/>
  <c r="BO37" i="70"/>
  <c r="AZ49" i="70"/>
  <c r="AT52" i="70"/>
  <c r="AR33" i="70"/>
  <c r="BT53" i="70"/>
  <c r="BR37" i="70"/>
  <c r="BH52" i="70"/>
  <c r="BA28" i="70"/>
  <c r="AY37" i="70"/>
  <c r="AW31" i="70"/>
  <c r="BV37" i="70"/>
  <c r="BP29" i="70"/>
  <c r="BX28" i="70"/>
  <c r="BW36" i="70"/>
  <c r="DB25" i="70"/>
  <c r="DE24" i="70"/>
  <c r="DC24" i="70"/>
  <c r="DD24" i="70"/>
  <c r="DF24" i="70"/>
  <c r="BN40" i="70"/>
  <c r="BK29" i="70"/>
  <c r="AS26" i="70"/>
  <c r="AQ45" i="70"/>
  <c r="BJ40" i="70"/>
  <c r="BM26" i="70"/>
  <c r="DR18" i="70"/>
  <c r="DQ19" i="70"/>
  <c r="DO21" i="70"/>
  <c r="DN22" i="70"/>
  <c r="DM23" i="70"/>
  <c r="DL24" i="70"/>
  <c r="DK25" i="70"/>
  <c r="DP20" i="70"/>
  <c r="CD143" i="70"/>
  <c r="CD137" i="70"/>
  <c r="CD135" i="70"/>
  <c r="CD133" i="70"/>
  <c r="CD142" i="70" s="1"/>
  <c r="CD131" i="70"/>
  <c r="CD140" i="70" s="1"/>
  <c r="CD138" i="70"/>
  <c r="CD132" i="70"/>
  <c r="CD141" i="70" s="1"/>
  <c r="CD136" i="70"/>
  <c r="CD130" i="70"/>
  <c r="CD139" i="70" s="1"/>
  <c r="CD134" i="70"/>
  <c r="CD125" i="70"/>
  <c r="CD124" i="70"/>
  <c r="V23" i="15"/>
  <c r="BV16" i="15"/>
  <c r="C26" i="15"/>
  <c r="AE29" i="15"/>
  <c r="R45" i="15"/>
  <c r="U22" i="15"/>
  <c r="AF30" i="15"/>
  <c r="BS19" i="15"/>
  <c r="BW15" i="15"/>
  <c r="AH21" i="15"/>
  <c r="H24" i="15"/>
  <c r="B38" i="15"/>
  <c r="Y30" i="15"/>
  <c r="D19" i="15"/>
  <c r="BU17" i="15"/>
  <c r="W19" i="15"/>
  <c r="J30" i="15"/>
  <c r="K42" i="15"/>
  <c r="AG29" i="15"/>
  <c r="BZ12" i="15"/>
  <c r="Z22" i="15"/>
  <c r="AD46" i="15"/>
  <c r="T33" i="15"/>
  <c r="BX14" i="15"/>
  <c r="BY13" i="15"/>
  <c r="E45" i="15"/>
  <c r="L21" i="15"/>
  <c r="S22" i="15"/>
  <c r="AC20" i="15"/>
  <c r="AB30" i="15"/>
  <c r="AA20" i="15"/>
  <c r="BT18" i="15"/>
  <c r="X33" i="15"/>
  <c r="BJ41" i="70" l="1"/>
  <c r="BK30" i="70"/>
  <c r="BU37" i="70"/>
  <c r="BM27" i="70"/>
  <c r="AQ46" i="70"/>
  <c r="AS27" i="70"/>
  <c r="BN41" i="70"/>
  <c r="DF25" i="70"/>
  <c r="DD25" i="70"/>
  <c r="DB26" i="70"/>
  <c r="DC25" i="70"/>
  <c r="DE25" i="70"/>
  <c r="BW37" i="70"/>
  <c r="BX29" i="70"/>
  <c r="BP30" i="70"/>
  <c r="BV38" i="70"/>
  <c r="AW32" i="70"/>
  <c r="AY38" i="70"/>
  <c r="BA29" i="70"/>
  <c r="BH53" i="70"/>
  <c r="BR38" i="70"/>
  <c r="BT54" i="70"/>
  <c r="AR34" i="70"/>
  <c r="AT53" i="70"/>
  <c r="AZ50" i="70"/>
  <c r="BO38" i="70"/>
  <c r="BQ28" i="70"/>
  <c r="BL31" i="70"/>
  <c r="BS28" i="70"/>
  <c r="BI30" i="70"/>
  <c r="CN25" i="70"/>
  <c r="CJ25" i="70"/>
  <c r="CM25" i="70"/>
  <c r="CT25" i="70"/>
  <c r="CK25" i="70"/>
  <c r="CO25" i="70"/>
  <c r="CH25" i="70"/>
  <c r="CP25" i="70"/>
  <c r="CG25" i="70"/>
  <c r="CF25" i="70"/>
  <c r="CS25" i="70"/>
  <c r="CL25" i="70"/>
  <c r="CR25" i="70"/>
  <c r="CI25" i="70"/>
  <c r="CQ25" i="70"/>
  <c r="CU25" i="70"/>
  <c r="CE26" i="70"/>
  <c r="DK26" i="70"/>
  <c r="DL25" i="70"/>
  <c r="DM24" i="70"/>
  <c r="DN23" i="70"/>
  <c r="DO22" i="70"/>
  <c r="DP21" i="70"/>
  <c r="DR19" i="70"/>
  <c r="DS18" i="70"/>
  <c r="DQ20" i="70"/>
  <c r="CD151" i="70"/>
  <c r="CD149" i="70"/>
  <c r="CD147" i="70"/>
  <c r="CD156" i="70" s="1"/>
  <c r="CD145" i="70"/>
  <c r="CD154" i="70" s="1"/>
  <c r="CD144" i="70"/>
  <c r="CD150" i="70"/>
  <c r="CD146" i="70"/>
  <c r="CD155" i="70" s="1"/>
  <c r="CD148" i="70"/>
  <c r="T34" i="15"/>
  <c r="AD47" i="15"/>
  <c r="B39" i="15"/>
  <c r="BY14" i="15"/>
  <c r="AE30" i="15"/>
  <c r="H25" i="15"/>
  <c r="AC21" i="15"/>
  <c r="BV17" i="15"/>
  <c r="BX15" i="15"/>
  <c r="D20" i="15"/>
  <c r="C27" i="15"/>
  <c r="Z23" i="15"/>
  <c r="CA12" i="15"/>
  <c r="J31" i="15"/>
  <c r="BW16" i="15"/>
  <c r="BT19" i="15"/>
  <c r="K43" i="15"/>
  <c r="AH22" i="15"/>
  <c r="W20" i="15"/>
  <c r="E46" i="15"/>
  <c r="BS20" i="15"/>
  <c r="AG30" i="15"/>
  <c r="Y31" i="15"/>
  <c r="BZ13" i="15"/>
  <c r="BU18" i="15"/>
  <c r="S23" i="15"/>
  <c r="X34" i="15"/>
  <c r="U23" i="15"/>
  <c r="V24" i="15"/>
  <c r="AF31" i="15"/>
  <c r="AB31" i="15"/>
  <c r="AA21" i="15"/>
  <c r="L22" i="15"/>
  <c r="R46" i="15"/>
  <c r="BV39" i="70" l="1"/>
  <c r="DB27" i="70"/>
  <c r="DE26" i="70"/>
  <c r="DC26" i="70"/>
  <c r="DF26" i="70"/>
  <c r="DD26" i="70"/>
  <c r="BN42" i="70"/>
  <c r="AS28" i="70"/>
  <c r="AQ47" i="70"/>
  <c r="BM28" i="70"/>
  <c r="BU38" i="70"/>
  <c r="BK31" i="70"/>
  <c r="BJ42" i="70"/>
  <c r="CK26" i="70"/>
  <c r="CO26" i="70"/>
  <c r="CJ26" i="70"/>
  <c r="CG26" i="70"/>
  <c r="CI26" i="70"/>
  <c r="CU26" i="70"/>
  <c r="CM26" i="70"/>
  <c r="CT26" i="70"/>
  <c r="CH26" i="70"/>
  <c r="CR26" i="70"/>
  <c r="CP26" i="70"/>
  <c r="CQ26" i="70"/>
  <c r="CL26" i="70"/>
  <c r="CN26" i="70"/>
  <c r="CF26" i="70"/>
  <c r="CS26" i="70"/>
  <c r="CE27" i="70"/>
  <c r="BI31" i="70"/>
  <c r="BS29" i="70"/>
  <c r="BL32" i="70"/>
  <c r="BQ29" i="70"/>
  <c r="BO39" i="70"/>
  <c r="AZ51" i="70"/>
  <c r="AT54" i="70"/>
  <c r="AR35" i="70"/>
  <c r="BT55" i="70"/>
  <c r="BR39" i="70"/>
  <c r="BH54" i="70"/>
  <c r="BA30" i="70"/>
  <c r="AY39" i="70"/>
  <c r="AW33" i="70"/>
  <c r="BP31" i="70"/>
  <c r="BX30" i="70"/>
  <c r="BW38" i="70"/>
  <c r="DS19" i="70"/>
  <c r="DP22" i="70"/>
  <c r="DO23" i="70"/>
  <c r="DR20" i="70"/>
  <c r="DL26" i="70"/>
  <c r="DK27" i="70"/>
  <c r="DQ21" i="70"/>
  <c r="DN24" i="70"/>
  <c r="DM25" i="70"/>
  <c r="CD153" i="70"/>
  <c r="CD152" i="70"/>
  <c r="AC22" i="15"/>
  <c r="AD48" i="15"/>
  <c r="D21" i="15"/>
  <c r="AF32" i="15"/>
  <c r="AB32" i="15"/>
  <c r="Z24" i="15"/>
  <c r="BV18" i="15"/>
  <c r="BY15" i="15"/>
  <c r="U24" i="15"/>
  <c r="K44" i="15"/>
  <c r="R47" i="15"/>
  <c r="B40" i="15"/>
  <c r="BS21" i="15"/>
  <c r="AH23" i="15"/>
  <c r="S24" i="15"/>
  <c r="BW17" i="15"/>
  <c r="L23" i="15"/>
  <c r="V25" i="15"/>
  <c r="H26" i="15"/>
  <c r="C28" i="15"/>
  <c r="AG31" i="15"/>
  <c r="BX16" i="15"/>
  <c r="BT20" i="15"/>
  <c r="AA22" i="15"/>
  <c r="CA13" i="15"/>
  <c r="BZ14" i="15"/>
  <c r="J32" i="15"/>
  <c r="W21" i="15"/>
  <c r="X35" i="15"/>
  <c r="E47" i="15"/>
  <c r="T35" i="15"/>
  <c r="Y32" i="15"/>
  <c r="AE31" i="15"/>
  <c r="BU19" i="15"/>
  <c r="BW39" i="70" l="1"/>
  <c r="AW34" i="70"/>
  <c r="AY40" i="70"/>
  <c r="BA31" i="70"/>
  <c r="BH55" i="70"/>
  <c r="BR40" i="70"/>
  <c r="BT56" i="70"/>
  <c r="AR36" i="70"/>
  <c r="AT55" i="70"/>
  <c r="AZ52" i="70"/>
  <c r="BO40" i="70"/>
  <c r="BQ30" i="70"/>
  <c r="BL33" i="70"/>
  <c r="BS30" i="70"/>
  <c r="BI32" i="70"/>
  <c r="BK32" i="70"/>
  <c r="DF27" i="70"/>
  <c r="DD27" i="70"/>
  <c r="DE27" i="70"/>
  <c r="DB28" i="70"/>
  <c r="DC27" i="70"/>
  <c r="BV40" i="70"/>
  <c r="BX31" i="70"/>
  <c r="BP32" i="70"/>
  <c r="CE28" i="70"/>
  <c r="CL27" i="70"/>
  <c r="CS27" i="70"/>
  <c r="CI27" i="70"/>
  <c r="CJ27" i="70"/>
  <c r="CH27" i="70"/>
  <c r="CF27" i="70"/>
  <c r="CO27" i="70"/>
  <c r="CM27" i="70"/>
  <c r="CT27" i="70"/>
  <c r="CP27" i="70"/>
  <c r="CK27" i="70"/>
  <c r="CQ27" i="70"/>
  <c r="CG27" i="70"/>
  <c r="CU27" i="70"/>
  <c r="CN27" i="70"/>
  <c r="CR27" i="70"/>
  <c r="BJ43" i="70"/>
  <c r="BU39" i="70"/>
  <c r="BM29" i="70"/>
  <c r="AQ48" i="70"/>
  <c r="AS29" i="70"/>
  <c r="BN43" i="70"/>
  <c r="DR21" i="70"/>
  <c r="DK28" i="70"/>
  <c r="DL27" i="70"/>
  <c r="DM26" i="70"/>
  <c r="DS20" i="70"/>
  <c r="DP23" i="70"/>
  <c r="DQ22" i="70"/>
  <c r="DN25" i="70"/>
  <c r="DO24" i="70"/>
  <c r="CA14" i="15"/>
  <c r="S25" i="15"/>
  <c r="AB33" i="15"/>
  <c r="K45" i="15"/>
  <c r="BZ15" i="15"/>
  <c r="BT21" i="15"/>
  <c r="E48" i="15"/>
  <c r="BX17" i="15"/>
  <c r="L24" i="15"/>
  <c r="BV19" i="15"/>
  <c r="D22" i="15"/>
  <c r="AF33" i="15"/>
  <c r="AE32" i="15"/>
  <c r="AA23" i="15"/>
  <c r="AD49" i="15"/>
  <c r="C29" i="15"/>
  <c r="BU20" i="15"/>
  <c r="Y33" i="15"/>
  <c r="U25" i="15"/>
  <c r="AG32" i="15"/>
  <c r="J33" i="15"/>
  <c r="BS22" i="15"/>
  <c r="X36" i="15"/>
  <c r="BW18" i="15"/>
  <c r="AH24" i="15"/>
  <c r="W22" i="15"/>
  <c r="B41" i="15"/>
  <c r="V26" i="15"/>
  <c r="T36" i="15"/>
  <c r="R48" i="15"/>
  <c r="Z25" i="15"/>
  <c r="AC23" i="15"/>
  <c r="BY16" i="15"/>
  <c r="H27" i="15"/>
  <c r="BN44" i="70" l="1"/>
  <c r="AS30" i="70"/>
  <c r="AQ49" i="70"/>
  <c r="BM30" i="70"/>
  <c r="BU40" i="70"/>
  <c r="BJ44" i="70"/>
  <c r="BK33" i="70"/>
  <c r="BI33" i="70"/>
  <c r="BS31" i="70"/>
  <c r="BL34" i="70"/>
  <c r="BQ31" i="70"/>
  <c r="BO41" i="70"/>
  <c r="AZ53" i="70"/>
  <c r="AT56" i="70"/>
  <c r="AR37" i="70"/>
  <c r="BT57" i="70"/>
  <c r="BR41" i="70"/>
  <c r="BH56" i="70"/>
  <c r="BA32" i="70"/>
  <c r="AY41" i="70"/>
  <c r="AW35" i="70"/>
  <c r="BW40" i="70"/>
  <c r="CU28" i="70"/>
  <c r="CR28" i="70"/>
  <c r="CL28" i="70"/>
  <c r="CQ28" i="70"/>
  <c r="CK28" i="70"/>
  <c r="CP28" i="70"/>
  <c r="CF28" i="70"/>
  <c r="CH28" i="70"/>
  <c r="CE29" i="70"/>
  <c r="CM28" i="70"/>
  <c r="CT28" i="70"/>
  <c r="CJ28" i="70"/>
  <c r="CS28" i="70"/>
  <c r="CI28" i="70"/>
  <c r="CN28" i="70"/>
  <c r="CG28" i="70"/>
  <c r="CO28" i="70"/>
  <c r="BP33" i="70"/>
  <c r="BX32" i="70"/>
  <c r="BV41" i="70"/>
  <c r="DB29" i="70"/>
  <c r="DE28" i="70"/>
  <c r="DC28" i="70"/>
  <c r="DD28" i="70"/>
  <c r="DF28" i="70"/>
  <c r="DR22" i="70"/>
  <c r="DO25" i="70"/>
  <c r="DM27" i="70"/>
  <c r="DL28" i="70"/>
  <c r="DK29" i="70"/>
  <c r="DQ23" i="70"/>
  <c r="DN26" i="70"/>
  <c r="DP24" i="70"/>
  <c r="DS21" i="70"/>
  <c r="X37" i="15"/>
  <c r="S26" i="15"/>
  <c r="D23" i="15"/>
  <c r="BT22" i="15"/>
  <c r="BZ16" i="15"/>
  <c r="E49" i="15"/>
  <c r="BS23" i="15"/>
  <c r="BU21" i="15"/>
  <c r="AF34" i="15"/>
  <c r="H28" i="15"/>
  <c r="Z26" i="15"/>
  <c r="B42" i="15"/>
  <c r="V27" i="15"/>
  <c r="U26" i="15"/>
  <c r="AE33" i="15"/>
  <c r="BY17" i="15"/>
  <c r="J34" i="15"/>
  <c r="AC24" i="15"/>
  <c r="R49" i="15"/>
  <c r="BV20" i="15"/>
  <c r="BX18" i="15"/>
  <c r="C30" i="15"/>
  <c r="CA15" i="15"/>
  <c r="AG33" i="15"/>
  <c r="L25" i="15"/>
  <c r="K46" i="15"/>
  <c r="AA24" i="15"/>
  <c r="W23" i="15"/>
  <c r="Y34" i="15"/>
  <c r="AH25" i="15"/>
  <c r="T37" i="15"/>
  <c r="AD50" i="15"/>
  <c r="BW19" i="15"/>
  <c r="AB34" i="15"/>
  <c r="CT29" i="70" l="1"/>
  <c r="CH29" i="70"/>
  <c r="CK29" i="70"/>
  <c r="CR29" i="70"/>
  <c r="CI29" i="70"/>
  <c r="CU29" i="70"/>
  <c r="CM29" i="70"/>
  <c r="CG29" i="70"/>
  <c r="CF29" i="70"/>
  <c r="CL29" i="70"/>
  <c r="CS29" i="70"/>
  <c r="CQ29" i="70"/>
  <c r="CJ29" i="70"/>
  <c r="CP29" i="70"/>
  <c r="CN29" i="70"/>
  <c r="CO29" i="70"/>
  <c r="CE30" i="70"/>
  <c r="BW41" i="70"/>
  <c r="AW36" i="70"/>
  <c r="AY42" i="70"/>
  <c r="BA33" i="70"/>
  <c r="BH57" i="70"/>
  <c r="BR42" i="70"/>
  <c r="BT58" i="70"/>
  <c r="AR38" i="70"/>
  <c r="AT57" i="70"/>
  <c r="AZ54" i="70"/>
  <c r="BO42" i="70"/>
  <c r="BQ32" i="70"/>
  <c r="BL35" i="70"/>
  <c r="BS32" i="70"/>
  <c r="BI34" i="70"/>
  <c r="BK34" i="70"/>
  <c r="BJ45" i="70"/>
  <c r="BU41" i="70"/>
  <c r="BM31" i="70"/>
  <c r="AQ50" i="70"/>
  <c r="AS31" i="70"/>
  <c r="BN45" i="70"/>
  <c r="DF29" i="70"/>
  <c r="DD29" i="70"/>
  <c r="DB30" i="70"/>
  <c r="DC29" i="70"/>
  <c r="DE29" i="70"/>
  <c r="BV42" i="70"/>
  <c r="BX33" i="70"/>
  <c r="BP34" i="70"/>
  <c r="DR23" i="70"/>
  <c r="DK30" i="70"/>
  <c r="DL29" i="70"/>
  <c r="DM28" i="70"/>
  <c r="DQ24" i="70"/>
  <c r="DO26" i="70"/>
  <c r="DN27" i="70"/>
  <c r="DP25" i="70"/>
  <c r="DS22" i="70"/>
  <c r="U27" i="15"/>
  <c r="H29" i="15"/>
  <c r="BW20" i="15"/>
  <c r="BS24" i="15"/>
  <c r="W24" i="15"/>
  <c r="V28" i="15"/>
  <c r="AG34" i="15"/>
  <c r="R50" i="15"/>
  <c r="BZ17" i="15"/>
  <c r="Z27" i="15"/>
  <c r="Y35" i="15"/>
  <c r="J35" i="15"/>
  <c r="L26" i="15"/>
  <c r="BX19" i="15"/>
  <c r="B43" i="15"/>
  <c r="AB35" i="15"/>
  <c r="T38" i="15"/>
  <c r="AH26" i="15"/>
  <c r="S27" i="15"/>
  <c r="K47" i="15"/>
  <c r="AA25" i="15"/>
  <c r="BV21" i="15"/>
  <c r="C31" i="15"/>
  <c r="AF35" i="15"/>
  <c r="E50" i="15"/>
  <c r="D24" i="15"/>
  <c r="AE34" i="15"/>
  <c r="CA16" i="15"/>
  <c r="AC25" i="15"/>
  <c r="X38" i="15"/>
  <c r="BY18" i="15"/>
  <c r="AD51" i="15"/>
  <c r="BU22" i="15"/>
  <c r="BT23" i="15"/>
  <c r="BX34" i="70" l="1"/>
  <c r="BK35" i="70"/>
  <c r="CR30" i="70"/>
  <c r="CE31" i="70"/>
  <c r="CQ30" i="70"/>
  <c r="CG30" i="70"/>
  <c r="CH30" i="70"/>
  <c r="CN30" i="70"/>
  <c r="CT30" i="70"/>
  <c r="CM30" i="70"/>
  <c r="CK30" i="70"/>
  <c r="CJ30" i="70"/>
  <c r="CF30" i="70"/>
  <c r="CI30" i="70"/>
  <c r="CP30" i="70"/>
  <c r="CO30" i="70"/>
  <c r="CU30" i="70"/>
  <c r="CS30" i="70"/>
  <c r="CL30" i="70"/>
  <c r="BP35" i="70"/>
  <c r="BV43" i="70"/>
  <c r="DE30" i="70"/>
  <c r="DC30" i="70"/>
  <c r="DF30" i="70"/>
  <c r="DB31" i="70"/>
  <c r="DD30" i="70"/>
  <c r="BN46" i="70"/>
  <c r="AS32" i="70"/>
  <c r="AQ51" i="70"/>
  <c r="BM32" i="70"/>
  <c r="BU42" i="70"/>
  <c r="BJ46" i="70"/>
  <c r="BI35" i="70"/>
  <c r="BS33" i="70"/>
  <c r="BL36" i="70"/>
  <c r="BQ33" i="70"/>
  <c r="BO43" i="70"/>
  <c r="AZ55" i="70"/>
  <c r="AT58" i="70"/>
  <c r="AR39" i="70"/>
  <c r="BT59" i="70"/>
  <c r="BR43" i="70"/>
  <c r="BH58" i="70"/>
  <c r="BA34" i="70"/>
  <c r="AY43" i="70"/>
  <c r="AW37" i="70"/>
  <c r="BW42" i="70"/>
  <c r="DP26" i="70"/>
  <c r="DN28" i="70"/>
  <c r="DM29" i="70"/>
  <c r="DO27" i="70"/>
  <c r="DR24" i="70"/>
  <c r="DK31" i="70"/>
  <c r="DL30" i="70"/>
  <c r="DQ25" i="70"/>
  <c r="DS23" i="70"/>
  <c r="AH27" i="15"/>
  <c r="BS25" i="15"/>
  <c r="AG35" i="15"/>
  <c r="S28" i="15"/>
  <c r="AA26" i="15"/>
  <c r="X39" i="15"/>
  <c r="BZ18" i="15"/>
  <c r="T39" i="15"/>
  <c r="V29" i="15"/>
  <c r="AD52" i="15"/>
  <c r="BV22" i="15"/>
  <c r="R51" i="15"/>
  <c r="J36" i="15"/>
  <c r="BX20" i="15"/>
  <c r="AC26" i="15"/>
  <c r="B44" i="15"/>
  <c r="K48" i="15"/>
  <c r="AF36" i="15"/>
  <c r="AB36" i="15"/>
  <c r="L27" i="15"/>
  <c r="CA17" i="15"/>
  <c r="D25" i="15"/>
  <c r="Y36" i="15"/>
  <c r="BU23" i="15"/>
  <c r="AE35" i="15"/>
  <c r="U28" i="15"/>
  <c r="C32" i="15"/>
  <c r="BY19" i="15"/>
  <c r="W25" i="15"/>
  <c r="BW21" i="15"/>
  <c r="H30" i="15"/>
  <c r="E51" i="15"/>
  <c r="Z28" i="15"/>
  <c r="BT24" i="15"/>
  <c r="BW43" i="70" l="1"/>
  <c r="AW38" i="70"/>
  <c r="AY44" i="70"/>
  <c r="BA35" i="70"/>
  <c r="BH59" i="70"/>
  <c r="BR44" i="70"/>
  <c r="BT60" i="70"/>
  <c r="AR40" i="70"/>
  <c r="AT59" i="70"/>
  <c r="AZ56" i="70"/>
  <c r="BO44" i="70"/>
  <c r="BQ34" i="70"/>
  <c r="BL37" i="70"/>
  <c r="BS34" i="70"/>
  <c r="BI36" i="70"/>
  <c r="BJ47" i="70"/>
  <c r="BU43" i="70"/>
  <c r="AQ52" i="70"/>
  <c r="AS33" i="70"/>
  <c r="BN47" i="70"/>
  <c r="DB32" i="70"/>
  <c r="DE31" i="70"/>
  <c r="DC31" i="70"/>
  <c r="DD31" i="70"/>
  <c r="DF31" i="70"/>
  <c r="BK36" i="70"/>
  <c r="BX35" i="70"/>
  <c r="BM33" i="70"/>
  <c r="BV44" i="70"/>
  <c r="BP36" i="70"/>
  <c r="CP31" i="70"/>
  <c r="CT31" i="70"/>
  <c r="CO31" i="70"/>
  <c r="CM31" i="70"/>
  <c r="CF31" i="70"/>
  <c r="CL31" i="70"/>
  <c r="CK31" i="70"/>
  <c r="CS31" i="70"/>
  <c r="CI31" i="70"/>
  <c r="CH31" i="70"/>
  <c r="CE32" i="70"/>
  <c r="CG31" i="70"/>
  <c r="CN31" i="70"/>
  <c r="CQ31" i="70"/>
  <c r="CJ31" i="70"/>
  <c r="CR31" i="70"/>
  <c r="CU31" i="70"/>
  <c r="DM30" i="70"/>
  <c r="DP27" i="70"/>
  <c r="DR25" i="70"/>
  <c r="DK32" i="70"/>
  <c r="DL31" i="70"/>
  <c r="DS24" i="70"/>
  <c r="DO28" i="70"/>
  <c r="DN29" i="70"/>
  <c r="DQ26" i="70"/>
  <c r="AG36" i="15"/>
  <c r="S29" i="15"/>
  <c r="BU24" i="15"/>
  <c r="AC27" i="15"/>
  <c r="BS26" i="15"/>
  <c r="V30" i="15"/>
  <c r="R52" i="15"/>
  <c r="BV23" i="15"/>
  <c r="Z29" i="15"/>
  <c r="T40" i="15"/>
  <c r="BT25" i="15"/>
  <c r="AD53" i="15"/>
  <c r="U29" i="15"/>
  <c r="H31" i="15"/>
  <c r="BZ19" i="15"/>
  <c r="BY20" i="15"/>
  <c r="CA18" i="15"/>
  <c r="BX21" i="15"/>
  <c r="L28" i="15"/>
  <c r="AB37" i="15"/>
  <c r="W26" i="15"/>
  <c r="C33" i="15"/>
  <c r="B45" i="15"/>
  <c r="J37" i="15"/>
  <c r="X40" i="15"/>
  <c r="K49" i="15"/>
  <c r="AE36" i="15"/>
  <c r="AH28" i="15"/>
  <c r="BW22" i="15"/>
  <c r="Y37" i="15"/>
  <c r="E52" i="15"/>
  <c r="D26" i="15"/>
  <c r="AA27" i="15"/>
  <c r="AF37" i="15"/>
  <c r="DF32" i="70" l="1"/>
  <c r="DD32" i="70"/>
  <c r="DB33" i="70"/>
  <c r="DC32" i="70"/>
  <c r="DE32" i="70"/>
  <c r="BN48" i="70"/>
  <c r="AS34" i="70"/>
  <c r="AQ53" i="70"/>
  <c r="BU44" i="70"/>
  <c r="BJ48" i="70"/>
  <c r="BI37" i="70"/>
  <c r="BS35" i="70"/>
  <c r="BL38" i="70"/>
  <c r="BQ35" i="70"/>
  <c r="BO45" i="70"/>
  <c r="AZ57" i="70"/>
  <c r="AT60" i="70"/>
  <c r="AR41" i="70"/>
  <c r="BT61" i="70"/>
  <c r="BR45" i="70"/>
  <c r="BH60" i="70"/>
  <c r="BA36" i="70"/>
  <c r="AY45" i="70"/>
  <c r="AW39" i="70"/>
  <c r="BW44" i="70"/>
  <c r="CE33" i="70"/>
  <c r="CF32" i="70"/>
  <c r="CR32" i="70"/>
  <c r="CM32" i="70"/>
  <c r="CT32" i="70"/>
  <c r="CK32" i="70"/>
  <c r="CQ32" i="70"/>
  <c r="CO32" i="70"/>
  <c r="CI32" i="70"/>
  <c r="CN32" i="70"/>
  <c r="CS32" i="70"/>
  <c r="CU32" i="70"/>
  <c r="CL32" i="70"/>
  <c r="CG32" i="70"/>
  <c r="CP32" i="70"/>
  <c r="CH32" i="70"/>
  <c r="CJ32" i="70"/>
  <c r="BP37" i="70"/>
  <c r="BV45" i="70"/>
  <c r="BM34" i="70"/>
  <c r="BX36" i="70"/>
  <c r="BK37" i="70"/>
  <c r="DK33" i="70"/>
  <c r="DL32" i="70"/>
  <c r="DS25" i="70"/>
  <c r="DO29" i="70"/>
  <c r="DQ27" i="70"/>
  <c r="DP28" i="70"/>
  <c r="DM31" i="70"/>
  <c r="DR26" i="70"/>
  <c r="DN30" i="70"/>
  <c r="U30" i="15"/>
  <c r="Z30" i="15"/>
  <c r="AC28" i="15"/>
  <c r="R53" i="15"/>
  <c r="B46" i="15"/>
  <c r="BS27" i="15"/>
  <c r="BT26" i="15"/>
  <c r="BV24" i="15"/>
  <c r="E53" i="15"/>
  <c r="BX22" i="15"/>
  <c r="AA28" i="15"/>
  <c r="AD54" i="15"/>
  <c r="K50" i="15"/>
  <c r="AF38" i="15"/>
  <c r="T41" i="15"/>
  <c r="BZ20" i="15"/>
  <c r="BY21" i="15"/>
  <c r="J38" i="15"/>
  <c r="AB38" i="15"/>
  <c r="C34" i="15"/>
  <c r="Y38" i="15"/>
  <c r="X41" i="15"/>
  <c r="W27" i="15"/>
  <c r="CA19" i="15"/>
  <c r="AG37" i="15"/>
  <c r="H32" i="15"/>
  <c r="V31" i="15"/>
  <c r="BW23" i="15"/>
  <c r="S30" i="15"/>
  <c r="AH29" i="15"/>
  <c r="D27" i="15"/>
  <c r="AE37" i="15"/>
  <c r="BU25" i="15"/>
  <c r="L29" i="15"/>
  <c r="BP38" i="70" l="1"/>
  <c r="DB34" i="70"/>
  <c r="DE33" i="70"/>
  <c r="DC33" i="70"/>
  <c r="DF33" i="70"/>
  <c r="DD33" i="70"/>
  <c r="BK38" i="70"/>
  <c r="BX37" i="70"/>
  <c r="BM35" i="70"/>
  <c r="BV46" i="70"/>
  <c r="CU33" i="70"/>
  <c r="CQ33" i="70"/>
  <c r="CL33" i="70"/>
  <c r="CS33" i="70"/>
  <c r="CR33" i="70"/>
  <c r="CH33" i="70"/>
  <c r="CG33" i="70"/>
  <c r="CF33" i="70"/>
  <c r="CN33" i="70"/>
  <c r="CM33" i="70"/>
  <c r="CT33" i="70"/>
  <c r="CJ33" i="70"/>
  <c r="CK33" i="70"/>
  <c r="CI33" i="70"/>
  <c r="CP33" i="70"/>
  <c r="CO33" i="70"/>
  <c r="CE34" i="70"/>
  <c r="BW45" i="70"/>
  <c r="AW40" i="70"/>
  <c r="AY46" i="70"/>
  <c r="BA37" i="70"/>
  <c r="BH61" i="70"/>
  <c r="BR46" i="70"/>
  <c r="BT62" i="70"/>
  <c r="AR42" i="70"/>
  <c r="AT61" i="70"/>
  <c r="AZ58" i="70"/>
  <c r="BO46" i="70"/>
  <c r="BQ36" i="70"/>
  <c r="BL39" i="70"/>
  <c r="BS36" i="70"/>
  <c r="BI38" i="70"/>
  <c r="BJ49" i="70"/>
  <c r="BU45" i="70"/>
  <c r="AQ54" i="70"/>
  <c r="AS35" i="70"/>
  <c r="BN49" i="70"/>
  <c r="DR27" i="70"/>
  <c r="DP29" i="70"/>
  <c r="DN31" i="70"/>
  <c r="DM32" i="70"/>
  <c r="DS26" i="70"/>
  <c r="DQ28" i="70"/>
  <c r="DO30" i="70"/>
  <c r="DL33" i="70"/>
  <c r="DK34" i="70"/>
  <c r="L30" i="15"/>
  <c r="BU26" i="15"/>
  <c r="AE38" i="15"/>
  <c r="AF39" i="15"/>
  <c r="S31" i="15"/>
  <c r="BT27" i="15"/>
  <c r="E54" i="15"/>
  <c r="BV25" i="15"/>
  <c r="W28" i="15"/>
  <c r="D28" i="15"/>
  <c r="AB39" i="15"/>
  <c r="BS28" i="15"/>
  <c r="BW24" i="15"/>
  <c r="Y39" i="15"/>
  <c r="T42" i="15"/>
  <c r="CA20" i="15"/>
  <c r="X42" i="15"/>
  <c r="AC29" i="15"/>
  <c r="BZ21" i="15"/>
  <c r="AG38" i="15"/>
  <c r="V32" i="15"/>
  <c r="BY22" i="15"/>
  <c r="AH30" i="15"/>
  <c r="J39" i="15"/>
  <c r="U31" i="15"/>
  <c r="B47" i="15"/>
  <c r="Z31" i="15"/>
  <c r="R54" i="15"/>
  <c r="AA29" i="15"/>
  <c r="H33" i="15"/>
  <c r="AD55" i="15"/>
  <c r="BX23" i="15"/>
  <c r="C35" i="15"/>
  <c r="K51" i="15"/>
  <c r="BN50" i="70" l="1"/>
  <c r="BS37" i="70"/>
  <c r="AZ59" i="70"/>
  <c r="AR43" i="70"/>
  <c r="BT63" i="70"/>
  <c r="BR47" i="70"/>
  <c r="BH62" i="70"/>
  <c r="BA38" i="70"/>
  <c r="AY47" i="70"/>
  <c r="AW41" i="70"/>
  <c r="BW46" i="70"/>
  <c r="DF34" i="70"/>
  <c r="DD34" i="70"/>
  <c r="DE34" i="70"/>
  <c r="DB35" i="70"/>
  <c r="DC34" i="70"/>
  <c r="BP39" i="70"/>
  <c r="AS36" i="70"/>
  <c r="AQ55" i="70"/>
  <c r="BU46" i="70"/>
  <c r="BJ50" i="70"/>
  <c r="BI39" i="70"/>
  <c r="BL40" i="70"/>
  <c r="BQ37" i="70"/>
  <c r="BO47" i="70"/>
  <c r="AT62" i="70"/>
  <c r="CT34" i="70"/>
  <c r="CS34" i="70"/>
  <c r="CI34" i="70"/>
  <c r="CR34" i="70"/>
  <c r="CQ34" i="70"/>
  <c r="CN34" i="70"/>
  <c r="CF34" i="70"/>
  <c r="CU34" i="70"/>
  <c r="CO34" i="70"/>
  <c r="CL34" i="70"/>
  <c r="CK34" i="70"/>
  <c r="CH34" i="70"/>
  <c r="CJ34" i="70"/>
  <c r="CP34" i="70"/>
  <c r="CM34" i="70"/>
  <c r="CG34" i="70"/>
  <c r="CE35" i="70"/>
  <c r="BV47" i="70"/>
  <c r="BM36" i="70"/>
  <c r="BX38" i="70"/>
  <c r="BK39" i="70"/>
  <c r="DM33" i="70"/>
  <c r="DR28" i="70"/>
  <c r="DN32" i="70"/>
  <c r="DP30" i="70"/>
  <c r="DO31" i="70"/>
  <c r="DQ29" i="70"/>
  <c r="DL34" i="70"/>
  <c r="DK35" i="70"/>
  <c r="DS27" i="70"/>
  <c r="X43" i="15"/>
  <c r="BV26" i="15"/>
  <c r="L31" i="15"/>
  <c r="BY23" i="15"/>
  <c r="AB40" i="15"/>
  <c r="B48" i="15"/>
  <c r="Y40" i="15"/>
  <c r="AC30" i="15"/>
  <c r="AH31" i="15"/>
  <c r="BW25" i="15"/>
  <c r="BZ22" i="15"/>
  <c r="AE39" i="15"/>
  <c r="C36" i="15"/>
  <c r="T43" i="15"/>
  <c r="R55" i="15"/>
  <c r="BT28" i="15"/>
  <c r="W29" i="15"/>
  <c r="AF40" i="15"/>
  <c r="H34" i="15"/>
  <c r="U32" i="15"/>
  <c r="E55" i="15"/>
  <c r="V33" i="15"/>
  <c r="AD56" i="15"/>
  <c r="CA21" i="15"/>
  <c r="AG39" i="15"/>
  <c r="J40" i="15"/>
  <c r="K52" i="15"/>
  <c r="BS29" i="15"/>
  <c r="AA30" i="15"/>
  <c r="D29" i="15"/>
  <c r="BU27" i="15"/>
  <c r="S32" i="15"/>
  <c r="Z32" i="15"/>
  <c r="BX24" i="15"/>
  <c r="BX39" i="70" l="1"/>
  <c r="BV48" i="70"/>
  <c r="BW47" i="70"/>
  <c r="AW42" i="70"/>
  <c r="AY48" i="70"/>
  <c r="BA39" i="70"/>
  <c r="BH63" i="70"/>
  <c r="BR48" i="70"/>
  <c r="BT64" i="70"/>
  <c r="AR44" i="70"/>
  <c r="AZ60" i="70"/>
  <c r="BN51" i="70"/>
  <c r="BK40" i="70"/>
  <c r="BM37" i="70"/>
  <c r="CS35" i="70"/>
  <c r="CP35" i="70"/>
  <c r="CJ35" i="70"/>
  <c r="CG35" i="70"/>
  <c r="CI35" i="70"/>
  <c r="CO35" i="70"/>
  <c r="CF35" i="70"/>
  <c r="CM35" i="70"/>
  <c r="CU35" i="70"/>
  <c r="CK35" i="70"/>
  <c r="CR35" i="70"/>
  <c r="CQ35" i="70"/>
  <c r="CH35" i="70"/>
  <c r="CT35" i="70"/>
  <c r="CN35" i="70"/>
  <c r="CL35" i="70"/>
  <c r="CE36" i="70"/>
  <c r="AT63" i="70"/>
  <c r="BO48" i="70"/>
  <c r="BQ38" i="70"/>
  <c r="BL41" i="70"/>
  <c r="BI40" i="70"/>
  <c r="BJ51" i="70"/>
  <c r="BU47" i="70"/>
  <c r="AQ56" i="70"/>
  <c r="AS37" i="70"/>
  <c r="BP40" i="70"/>
  <c r="DE35" i="70"/>
  <c r="DC35" i="70"/>
  <c r="DB36" i="70"/>
  <c r="DD35" i="70"/>
  <c r="DF35" i="70"/>
  <c r="BS38" i="70"/>
  <c r="DM34" i="70"/>
  <c r="DK36" i="70"/>
  <c r="DL35" i="70"/>
  <c r="DR29" i="70"/>
  <c r="DP31" i="70"/>
  <c r="DQ30" i="70"/>
  <c r="DS28" i="70"/>
  <c r="DO32" i="70"/>
  <c r="DN33" i="70"/>
  <c r="AH32" i="15"/>
  <c r="Y41" i="15"/>
  <c r="J41" i="15"/>
  <c r="BS30" i="15"/>
  <c r="E56" i="15"/>
  <c r="U33" i="15"/>
  <c r="Z33" i="15"/>
  <c r="AG40" i="15"/>
  <c r="W30" i="15"/>
  <c r="CA22" i="15"/>
  <c r="BU28" i="15"/>
  <c r="C37" i="15"/>
  <c r="S33" i="15"/>
  <c r="BV27" i="15"/>
  <c r="T44" i="15"/>
  <c r="R56" i="15"/>
  <c r="K53" i="15"/>
  <c r="BW26" i="15"/>
  <c r="BY24" i="15"/>
  <c r="V34" i="15"/>
  <c r="AA31" i="15"/>
  <c r="BX25" i="15"/>
  <c r="AB41" i="15"/>
  <c r="D30" i="15"/>
  <c r="AF41" i="15"/>
  <c r="BZ23" i="15"/>
  <c r="B49" i="15"/>
  <c r="AE40" i="15"/>
  <c r="BT29" i="15"/>
  <c r="L32" i="15"/>
  <c r="AC31" i="15"/>
  <c r="AD57" i="15"/>
  <c r="H35" i="15"/>
  <c r="X44" i="15"/>
  <c r="BS39" i="70" l="1"/>
  <c r="CQ36" i="70"/>
  <c r="CF36" i="70"/>
  <c r="CH36" i="70"/>
  <c r="CU36" i="70"/>
  <c r="CG36" i="70"/>
  <c r="CM36" i="70"/>
  <c r="CJ36" i="70"/>
  <c r="CL36" i="70"/>
  <c r="CK36" i="70"/>
  <c r="CI36" i="70"/>
  <c r="CP36" i="70"/>
  <c r="CE37" i="70"/>
  <c r="CO36" i="70"/>
  <c r="CT36" i="70"/>
  <c r="CS36" i="70"/>
  <c r="CR36" i="70"/>
  <c r="CN36" i="70"/>
  <c r="BM38" i="70"/>
  <c r="BK41" i="70"/>
  <c r="BN52" i="70"/>
  <c r="AZ61" i="70"/>
  <c r="AR45" i="70"/>
  <c r="BT65" i="70"/>
  <c r="BR49" i="70"/>
  <c r="BH64" i="70"/>
  <c r="BA40" i="70"/>
  <c r="AY49" i="70"/>
  <c r="AW43" i="70"/>
  <c r="BW48" i="70"/>
  <c r="BV49" i="70"/>
  <c r="BX40" i="70"/>
  <c r="DB37" i="70"/>
  <c r="DE36" i="70"/>
  <c r="DC36" i="70"/>
  <c r="DF36" i="70"/>
  <c r="DD36" i="70"/>
  <c r="BP41" i="70"/>
  <c r="AS38" i="70"/>
  <c r="AQ57" i="70"/>
  <c r="BU48" i="70"/>
  <c r="BJ52" i="70"/>
  <c r="BI41" i="70"/>
  <c r="BL42" i="70"/>
  <c r="BQ39" i="70"/>
  <c r="BO49" i="70"/>
  <c r="AT64" i="70"/>
  <c r="DP32" i="70"/>
  <c r="DR30" i="70"/>
  <c r="DQ31" i="70"/>
  <c r="DS29" i="70"/>
  <c r="DM35" i="70"/>
  <c r="DL36" i="70"/>
  <c r="DK37" i="70"/>
  <c r="DO33" i="70"/>
  <c r="DN34" i="70"/>
  <c r="AE41" i="15"/>
  <c r="BZ24" i="15"/>
  <c r="R57" i="15"/>
  <c r="AH33" i="15"/>
  <c r="AG41" i="15"/>
  <c r="Y42" i="15"/>
  <c r="B50" i="15"/>
  <c r="AA32" i="15"/>
  <c r="D31" i="15"/>
  <c r="Z34" i="15"/>
  <c r="AD58" i="15"/>
  <c r="AF42" i="15"/>
  <c r="BX26" i="15"/>
  <c r="BS31" i="15"/>
  <c r="H36" i="15"/>
  <c r="BU29" i="15"/>
  <c r="AB42" i="15"/>
  <c r="E57" i="15"/>
  <c r="BT30" i="15"/>
  <c r="X45" i="15"/>
  <c r="BY25" i="15"/>
  <c r="L33" i="15"/>
  <c r="CA23" i="15"/>
  <c r="U34" i="15"/>
  <c r="C38" i="15"/>
  <c r="BW27" i="15"/>
  <c r="AC32" i="15"/>
  <c r="V35" i="15"/>
  <c r="W31" i="15"/>
  <c r="J42" i="15"/>
  <c r="T45" i="15"/>
  <c r="K54" i="15"/>
  <c r="BV28" i="15"/>
  <c r="S34" i="15"/>
  <c r="BJ53" i="70" l="1"/>
  <c r="BS40" i="70"/>
  <c r="AT65" i="70"/>
  <c r="BO50" i="70"/>
  <c r="BQ40" i="70"/>
  <c r="BL43" i="70"/>
  <c r="BI42" i="70"/>
  <c r="BU49" i="70"/>
  <c r="AQ58" i="70"/>
  <c r="AS39" i="70"/>
  <c r="BP42" i="70"/>
  <c r="DB38" i="70"/>
  <c r="DF37" i="70"/>
  <c r="DD37" i="70"/>
  <c r="DE37" i="70"/>
  <c r="DC37" i="70"/>
  <c r="BX41" i="70"/>
  <c r="BV50" i="70"/>
  <c r="BW49" i="70"/>
  <c r="AW44" i="70"/>
  <c r="AY50" i="70"/>
  <c r="BA41" i="70"/>
  <c r="BH65" i="70"/>
  <c r="BR50" i="70"/>
  <c r="BT66" i="70"/>
  <c r="AR46" i="70"/>
  <c r="AZ62" i="70"/>
  <c r="BN53" i="70"/>
  <c r="BK42" i="70"/>
  <c r="BM39" i="70"/>
  <c r="CP37" i="70"/>
  <c r="CO37" i="70"/>
  <c r="CU37" i="70"/>
  <c r="CE38" i="70"/>
  <c r="CF37" i="70"/>
  <c r="CT37" i="70"/>
  <c r="CQ37" i="70"/>
  <c r="CK37" i="70"/>
  <c r="CI37" i="70"/>
  <c r="CG37" i="70"/>
  <c r="CL37" i="70"/>
  <c r="CN37" i="70"/>
  <c r="CM37" i="70"/>
  <c r="CR37" i="70"/>
  <c r="CS37" i="70"/>
  <c r="CH37" i="70"/>
  <c r="CJ37" i="70"/>
  <c r="DO34" i="70"/>
  <c r="DQ32" i="70"/>
  <c r="DP33" i="70"/>
  <c r="DL37" i="70"/>
  <c r="DK38" i="70"/>
  <c r="DM36" i="70"/>
  <c r="DN35" i="70"/>
  <c r="DR31" i="70"/>
  <c r="DS30" i="70"/>
  <c r="AA33" i="15"/>
  <c r="W32" i="15"/>
  <c r="U35" i="15"/>
  <c r="S35" i="15"/>
  <c r="AH34" i="15"/>
  <c r="CA24" i="15"/>
  <c r="AD59" i="15"/>
  <c r="E58" i="15"/>
  <c r="K55" i="15"/>
  <c r="V36" i="15"/>
  <c r="AF43" i="15"/>
  <c r="Z35" i="15"/>
  <c r="BW28" i="15"/>
  <c r="BZ25" i="15"/>
  <c r="BS32" i="15"/>
  <c r="C39" i="15"/>
  <c r="BV29" i="15"/>
  <c r="BY26" i="15"/>
  <c r="T46" i="15"/>
  <c r="B51" i="15"/>
  <c r="AB43" i="15"/>
  <c r="J43" i="15"/>
  <c r="R58" i="15"/>
  <c r="D32" i="15"/>
  <c r="BU30" i="15"/>
  <c r="L34" i="15"/>
  <c r="AC33" i="15"/>
  <c r="BX27" i="15"/>
  <c r="AG42" i="15"/>
  <c r="X46" i="15"/>
  <c r="BT31" i="15"/>
  <c r="Y43" i="15"/>
  <c r="H37" i="15"/>
  <c r="AE42" i="15"/>
  <c r="DF38" i="70" l="1"/>
  <c r="DD38" i="70"/>
  <c r="DB39" i="70"/>
  <c r="DE38" i="70"/>
  <c r="DC38" i="70"/>
  <c r="BP43" i="70"/>
  <c r="AS40" i="70"/>
  <c r="AQ59" i="70"/>
  <c r="BU50" i="70"/>
  <c r="BI43" i="70"/>
  <c r="BL44" i="70"/>
  <c r="BQ41" i="70"/>
  <c r="BO51" i="70"/>
  <c r="AT66" i="70"/>
  <c r="BS41" i="70"/>
  <c r="BJ54" i="70"/>
  <c r="CE39" i="70"/>
  <c r="CG38" i="70"/>
  <c r="CN38" i="70"/>
  <c r="CT38" i="70"/>
  <c r="CU38" i="70"/>
  <c r="CL38" i="70"/>
  <c r="CH38" i="70"/>
  <c r="CQ38" i="70"/>
  <c r="CJ38" i="70"/>
  <c r="CO38" i="70"/>
  <c r="CS38" i="70"/>
  <c r="CF38" i="70"/>
  <c r="CK38" i="70"/>
  <c r="CM38" i="70"/>
  <c r="CI38" i="70"/>
  <c r="CR38" i="70"/>
  <c r="CP38" i="70"/>
  <c r="BM40" i="70"/>
  <c r="BK43" i="70"/>
  <c r="BN54" i="70"/>
  <c r="AZ63" i="70"/>
  <c r="AR47" i="70"/>
  <c r="BT67" i="70"/>
  <c r="BR51" i="70"/>
  <c r="BH66" i="70"/>
  <c r="BA42" i="70"/>
  <c r="AY51" i="70"/>
  <c r="AW45" i="70"/>
  <c r="BW50" i="70"/>
  <c r="BV51" i="70"/>
  <c r="BX42" i="70"/>
  <c r="DO35" i="70"/>
  <c r="DS31" i="70"/>
  <c r="DN36" i="70"/>
  <c r="DK39" i="70"/>
  <c r="DL38" i="70"/>
  <c r="DM37" i="70"/>
  <c r="DQ33" i="70"/>
  <c r="DR32" i="70"/>
  <c r="DP34" i="70"/>
  <c r="W33" i="15"/>
  <c r="J44" i="15"/>
  <c r="K56" i="15"/>
  <c r="X47" i="15"/>
  <c r="CA25" i="15"/>
  <c r="BT32" i="15"/>
  <c r="T47" i="15"/>
  <c r="BV30" i="15"/>
  <c r="V37" i="15"/>
  <c r="S36" i="15"/>
  <c r="AA34" i="15"/>
  <c r="AB44" i="15"/>
  <c r="Y44" i="15"/>
  <c r="B52" i="15"/>
  <c r="BS33" i="15"/>
  <c r="L35" i="15"/>
  <c r="AC34" i="15"/>
  <c r="E59" i="15"/>
  <c r="H38" i="15"/>
  <c r="AF44" i="15"/>
  <c r="BX28" i="15"/>
  <c r="BY27" i="15"/>
  <c r="Z36" i="15"/>
  <c r="BW29" i="15"/>
  <c r="BZ26" i="15"/>
  <c r="U36" i="15"/>
  <c r="BU31" i="15"/>
  <c r="AD60" i="15"/>
  <c r="AG43" i="15"/>
  <c r="C40" i="15"/>
  <c r="D33" i="15"/>
  <c r="AH35" i="15"/>
  <c r="AE43" i="15"/>
  <c r="R59" i="15"/>
  <c r="BX43" i="70" l="1"/>
  <c r="BT68" i="70"/>
  <c r="BK44" i="70"/>
  <c r="DB40" i="70"/>
  <c r="DE39" i="70"/>
  <c r="DC39" i="70"/>
  <c r="DF39" i="70"/>
  <c r="DD39" i="70"/>
  <c r="BV52" i="70"/>
  <c r="BW51" i="70"/>
  <c r="AW46" i="70"/>
  <c r="AY52" i="70"/>
  <c r="BA43" i="70"/>
  <c r="BH67" i="70"/>
  <c r="BR52" i="70"/>
  <c r="AR48" i="70"/>
  <c r="AZ64" i="70"/>
  <c r="BN55" i="70"/>
  <c r="BM41" i="70"/>
  <c r="CU39" i="70"/>
  <c r="CI39" i="70"/>
  <c r="CL39" i="70"/>
  <c r="CQ39" i="70"/>
  <c r="CK39" i="70"/>
  <c r="CH39" i="70"/>
  <c r="CO39" i="70"/>
  <c r="CE40" i="70"/>
  <c r="CN39" i="70"/>
  <c r="CM39" i="70"/>
  <c r="CT39" i="70"/>
  <c r="CJ39" i="70"/>
  <c r="CS39" i="70"/>
  <c r="CR39" i="70"/>
  <c r="CG39" i="70"/>
  <c r="CF39" i="70"/>
  <c r="CP39" i="70"/>
  <c r="BJ55" i="70"/>
  <c r="BS42" i="70"/>
  <c r="AT67" i="70"/>
  <c r="BO52" i="70"/>
  <c r="BQ42" i="70"/>
  <c r="BL45" i="70"/>
  <c r="BI44" i="70"/>
  <c r="BU51" i="70"/>
  <c r="AQ60" i="70"/>
  <c r="AS41" i="70"/>
  <c r="BP44" i="70"/>
  <c r="DP35" i="70"/>
  <c r="DQ34" i="70"/>
  <c r="DS32" i="70"/>
  <c r="DR33" i="70"/>
  <c r="DN37" i="70"/>
  <c r="DM38" i="70"/>
  <c r="DK40" i="70"/>
  <c r="DL39" i="70"/>
  <c r="DO36" i="70"/>
  <c r="AH36" i="15"/>
  <c r="BZ27" i="15"/>
  <c r="X48" i="15"/>
  <c r="D34" i="15"/>
  <c r="BX29" i="15"/>
  <c r="AC35" i="15"/>
  <c r="AF45" i="15"/>
  <c r="AE44" i="15"/>
  <c r="H39" i="15"/>
  <c r="W34" i="15"/>
  <c r="AD61" i="15"/>
  <c r="C41" i="15"/>
  <c r="V38" i="15"/>
  <c r="L36" i="15"/>
  <c r="U37" i="15"/>
  <c r="BY28" i="15"/>
  <c r="CA26" i="15"/>
  <c r="BS34" i="15"/>
  <c r="AG44" i="15"/>
  <c r="AA35" i="15"/>
  <c r="BT33" i="15"/>
  <c r="E60" i="15"/>
  <c r="BW30" i="15"/>
  <c r="T48" i="15"/>
  <c r="Z37" i="15"/>
  <c r="BU32" i="15"/>
  <c r="B53" i="15"/>
  <c r="Y45" i="15"/>
  <c r="S37" i="15"/>
  <c r="R60" i="15"/>
  <c r="J45" i="15"/>
  <c r="BV31" i="15"/>
  <c r="AB45" i="15"/>
  <c r="K57" i="15"/>
  <c r="AQ61" i="70" l="1"/>
  <c r="AT68" i="70"/>
  <c r="BJ56" i="70"/>
  <c r="DF40" i="70"/>
  <c r="DD40" i="70"/>
  <c r="DB41" i="70"/>
  <c r="DE40" i="70"/>
  <c r="DC40" i="70"/>
  <c r="BK45" i="70"/>
  <c r="BT69" i="70"/>
  <c r="BX44" i="70"/>
  <c r="BP45" i="70"/>
  <c r="AS42" i="70"/>
  <c r="BU52" i="70"/>
  <c r="BI45" i="70"/>
  <c r="BL46" i="70"/>
  <c r="BQ43" i="70"/>
  <c r="BO53" i="70"/>
  <c r="BS43" i="70"/>
  <c r="CT40" i="70"/>
  <c r="CQ40" i="70"/>
  <c r="CS40" i="70"/>
  <c r="CR40" i="70"/>
  <c r="CI40" i="70"/>
  <c r="CN40" i="70"/>
  <c r="CM40" i="70"/>
  <c r="CG40" i="70"/>
  <c r="CO40" i="70"/>
  <c r="CL40" i="70"/>
  <c r="CH40" i="70"/>
  <c r="CK40" i="70"/>
  <c r="CP40" i="70"/>
  <c r="CE41" i="70"/>
  <c r="CF40" i="70"/>
  <c r="CU40" i="70"/>
  <c r="CJ40" i="70"/>
  <c r="BM42" i="70"/>
  <c r="BN56" i="70"/>
  <c r="AZ65" i="70"/>
  <c r="AR49" i="70"/>
  <c r="BR53" i="70"/>
  <c r="BH68" i="70"/>
  <c r="BA44" i="70"/>
  <c r="AY53" i="70"/>
  <c r="AW47" i="70"/>
  <c r="BW52" i="70"/>
  <c r="BV53" i="70"/>
  <c r="DN38" i="70"/>
  <c r="DS33" i="70"/>
  <c r="DK41" i="70"/>
  <c r="DL40" i="70"/>
  <c r="DO37" i="70"/>
  <c r="DR34" i="70"/>
  <c r="DM39" i="70"/>
  <c r="DP36" i="70"/>
  <c r="DQ35" i="70"/>
  <c r="B54" i="15"/>
  <c r="AG45" i="15"/>
  <c r="K58" i="15"/>
  <c r="CA27" i="15"/>
  <c r="BU33" i="15"/>
  <c r="Y46" i="15"/>
  <c r="BX30" i="15"/>
  <c r="BW31" i="15"/>
  <c r="X49" i="15"/>
  <c r="W35" i="15"/>
  <c r="AE45" i="15"/>
  <c r="AC36" i="15"/>
  <c r="BS35" i="15"/>
  <c r="AA36" i="15"/>
  <c r="L37" i="15"/>
  <c r="AD62" i="15"/>
  <c r="Z38" i="15"/>
  <c r="AF46" i="15"/>
  <c r="J46" i="15"/>
  <c r="AH37" i="15"/>
  <c r="H40" i="15"/>
  <c r="AB46" i="15"/>
  <c r="BY29" i="15"/>
  <c r="BV32" i="15"/>
  <c r="BT34" i="15"/>
  <c r="D35" i="15"/>
  <c r="U38" i="15"/>
  <c r="BZ28" i="15"/>
  <c r="R61" i="15"/>
  <c r="E61" i="15"/>
  <c r="C42" i="15"/>
  <c r="V39" i="15"/>
  <c r="S38" i="15"/>
  <c r="T49" i="15"/>
  <c r="AW48" i="70" l="1"/>
  <c r="AR50" i="70"/>
  <c r="CS41" i="70"/>
  <c r="CH41" i="70"/>
  <c r="CR41" i="70"/>
  <c r="CO41" i="70"/>
  <c r="CI41" i="70"/>
  <c r="CT41" i="70"/>
  <c r="CN41" i="70"/>
  <c r="CE42" i="70"/>
  <c r="CU41" i="70"/>
  <c r="CK41" i="70"/>
  <c r="CG41" i="70"/>
  <c r="CJ41" i="70"/>
  <c r="CQ41" i="70"/>
  <c r="CP41" i="70"/>
  <c r="CL41" i="70"/>
  <c r="CF41" i="70"/>
  <c r="CM41" i="70"/>
  <c r="DB42" i="70"/>
  <c r="DE41" i="70"/>
  <c r="DC41" i="70"/>
  <c r="DF41" i="70"/>
  <c r="DD41" i="70"/>
  <c r="BJ57" i="70"/>
  <c r="AT69" i="70"/>
  <c r="AQ62" i="70"/>
  <c r="BV54" i="70"/>
  <c r="BW53" i="70"/>
  <c r="AY54" i="70"/>
  <c r="BA45" i="70"/>
  <c r="BH69" i="70"/>
  <c r="BR54" i="70"/>
  <c r="AZ66" i="70"/>
  <c r="BN57" i="70"/>
  <c r="BM43" i="70"/>
  <c r="BS44" i="70"/>
  <c r="BO54" i="70"/>
  <c r="BQ44" i="70"/>
  <c r="BL47" i="70"/>
  <c r="BI46" i="70"/>
  <c r="BU53" i="70"/>
  <c r="AS43" i="70"/>
  <c r="BP46" i="70"/>
  <c r="BX45" i="70"/>
  <c r="BT70" i="70"/>
  <c r="BK46" i="70"/>
  <c r="DN39" i="70"/>
  <c r="DS34" i="70"/>
  <c r="DM40" i="70"/>
  <c r="DK42" i="70"/>
  <c r="DL41" i="70"/>
  <c r="DQ36" i="70"/>
  <c r="DP37" i="70"/>
  <c r="DR35" i="70"/>
  <c r="DO38" i="70"/>
  <c r="H41" i="15"/>
  <c r="AD63" i="15"/>
  <c r="C43" i="15"/>
  <c r="J47" i="15"/>
  <c r="Y47" i="15"/>
  <c r="D36" i="15"/>
  <c r="V40" i="15"/>
  <c r="T50" i="15"/>
  <c r="BT35" i="15"/>
  <c r="W36" i="15"/>
  <c r="BW32" i="15"/>
  <c r="CA28" i="15"/>
  <c r="AE46" i="15"/>
  <c r="AB47" i="15"/>
  <c r="S39" i="15"/>
  <c r="K59" i="15"/>
  <c r="AG46" i="15"/>
  <c r="BX31" i="15"/>
  <c r="E62" i="15"/>
  <c r="Z39" i="15"/>
  <c r="AC37" i="15"/>
  <c r="BZ29" i="15"/>
  <c r="U39" i="15"/>
  <c r="BY30" i="15"/>
  <c r="BS36" i="15"/>
  <c r="AA37" i="15"/>
  <c r="R62" i="15"/>
  <c r="BU34" i="15"/>
  <c r="AF47" i="15"/>
  <c r="AH38" i="15"/>
  <c r="BV33" i="15"/>
  <c r="L38" i="15"/>
  <c r="B55" i="15"/>
  <c r="X50" i="15"/>
  <c r="BK47" i="70" l="1"/>
  <c r="BT71" i="70"/>
  <c r="BX46" i="70"/>
  <c r="BP47" i="70"/>
  <c r="AS44" i="70"/>
  <c r="BU54" i="70"/>
  <c r="BI47" i="70"/>
  <c r="BL48" i="70"/>
  <c r="BQ45" i="70"/>
  <c r="BO55" i="70"/>
  <c r="BS45" i="70"/>
  <c r="BM44" i="70"/>
  <c r="BN58" i="70"/>
  <c r="AZ67" i="70"/>
  <c r="BR55" i="70"/>
  <c r="BH70" i="70"/>
  <c r="BA46" i="70"/>
  <c r="AY55" i="70"/>
  <c r="BW54" i="70"/>
  <c r="BV55" i="70"/>
  <c r="AQ63" i="70"/>
  <c r="AT70" i="70"/>
  <c r="BJ58" i="70"/>
  <c r="AR51" i="70"/>
  <c r="AW49" i="70"/>
  <c r="DF42" i="70"/>
  <c r="DD42" i="70"/>
  <c r="DB43" i="70"/>
  <c r="DE42" i="70"/>
  <c r="DC42" i="70"/>
  <c r="CR42" i="70"/>
  <c r="CO42" i="70"/>
  <c r="CQ42" i="70"/>
  <c r="CP42" i="70"/>
  <c r="CG42" i="70"/>
  <c r="CF42" i="70"/>
  <c r="CT42" i="70"/>
  <c r="CS42" i="70"/>
  <c r="CK42" i="70"/>
  <c r="CJ42" i="70"/>
  <c r="CN42" i="70"/>
  <c r="CI42" i="70"/>
  <c r="CH42" i="70"/>
  <c r="CE43" i="70"/>
  <c r="CU42" i="70"/>
  <c r="CL42" i="70"/>
  <c r="CM42" i="70"/>
  <c r="DS35" i="70"/>
  <c r="DL42" i="70"/>
  <c r="DK43" i="70"/>
  <c r="DN40" i="70"/>
  <c r="DM41" i="70"/>
  <c r="DQ37" i="70"/>
  <c r="DR36" i="70"/>
  <c r="DP38" i="70"/>
  <c r="DO39" i="70"/>
  <c r="U40" i="15"/>
  <c r="E63" i="15"/>
  <c r="J48" i="15"/>
  <c r="CA29" i="15"/>
  <c r="L39" i="15"/>
  <c r="AE47" i="15"/>
  <c r="D37" i="15"/>
  <c r="BV34" i="15"/>
  <c r="C44" i="15"/>
  <c r="Y48" i="15"/>
  <c r="BT36" i="15"/>
  <c r="T51" i="15"/>
  <c r="W37" i="15"/>
  <c r="AF48" i="15"/>
  <c r="R63" i="15"/>
  <c r="AD64" i="15"/>
  <c r="BX32" i="15"/>
  <c r="K60" i="15"/>
  <c r="AB48" i="15"/>
  <c r="S40" i="15"/>
  <c r="AC38" i="15"/>
  <c r="BU35" i="15"/>
  <c r="H42" i="15"/>
  <c r="AA38" i="15"/>
  <c r="BS37" i="15"/>
  <c r="X51" i="15"/>
  <c r="Z40" i="15"/>
  <c r="V41" i="15"/>
  <c r="B56" i="15"/>
  <c r="BY31" i="15"/>
  <c r="BZ30" i="15"/>
  <c r="BW33" i="15"/>
  <c r="AH39" i="15"/>
  <c r="AG47" i="15"/>
  <c r="CQ43" i="70" l="1"/>
  <c r="CM43" i="70"/>
  <c r="CP43" i="70"/>
  <c r="CE44" i="70"/>
  <c r="CT43" i="70"/>
  <c r="CG43" i="70"/>
  <c r="CU43" i="70"/>
  <c r="CR43" i="70"/>
  <c r="CJ43" i="70"/>
  <c r="CI43" i="70"/>
  <c r="CL43" i="70"/>
  <c r="CH43" i="70"/>
  <c r="CF43" i="70"/>
  <c r="CO43" i="70"/>
  <c r="CN43" i="70"/>
  <c r="CS43" i="70"/>
  <c r="CK43" i="70"/>
  <c r="DB44" i="70"/>
  <c r="DE43" i="70"/>
  <c r="DC43" i="70"/>
  <c r="DF43" i="70"/>
  <c r="DD43" i="70"/>
  <c r="AW50" i="70"/>
  <c r="AR52" i="70"/>
  <c r="BJ59" i="70"/>
  <c r="AT71" i="70"/>
  <c r="AQ64" i="70"/>
  <c r="BV56" i="70"/>
  <c r="BW55" i="70"/>
  <c r="AY56" i="70"/>
  <c r="BA47" i="70"/>
  <c r="BH71" i="70"/>
  <c r="BR56" i="70"/>
  <c r="AZ68" i="70"/>
  <c r="BN59" i="70"/>
  <c r="BM45" i="70"/>
  <c r="BS46" i="70"/>
  <c r="BO56" i="70"/>
  <c r="BQ46" i="70"/>
  <c r="BL49" i="70"/>
  <c r="BI48" i="70"/>
  <c r="BU55" i="70"/>
  <c r="AS45" i="70"/>
  <c r="BP48" i="70"/>
  <c r="BX47" i="70"/>
  <c r="BT72" i="70"/>
  <c r="BK48" i="70"/>
  <c r="DQ38" i="70"/>
  <c r="DO40" i="70"/>
  <c r="DL43" i="70"/>
  <c r="DK44" i="70"/>
  <c r="DP39" i="70"/>
  <c r="DS36" i="70"/>
  <c r="DR37" i="70"/>
  <c r="DN41" i="70"/>
  <c r="DM42" i="70"/>
  <c r="H43" i="15"/>
  <c r="L40" i="15"/>
  <c r="BY32" i="15"/>
  <c r="BZ31" i="15"/>
  <c r="AH40" i="15"/>
  <c r="B57" i="15"/>
  <c r="Y49" i="15"/>
  <c r="W38" i="15"/>
  <c r="T52" i="15"/>
  <c r="D38" i="15"/>
  <c r="E64" i="15"/>
  <c r="K61" i="15"/>
  <c r="S41" i="15"/>
  <c r="X52" i="15"/>
  <c r="BX33" i="15"/>
  <c r="AG48" i="15"/>
  <c r="BU36" i="15"/>
  <c r="Z41" i="15"/>
  <c r="R64" i="15"/>
  <c r="J49" i="15"/>
  <c r="BV35" i="15"/>
  <c r="AC39" i="15"/>
  <c r="AB49" i="15"/>
  <c r="BS38" i="15"/>
  <c r="BT37" i="15"/>
  <c r="AA39" i="15"/>
  <c r="V42" i="15"/>
  <c r="C45" i="15"/>
  <c r="AD65" i="15"/>
  <c r="AE48" i="15"/>
  <c r="U41" i="15"/>
  <c r="BW34" i="15"/>
  <c r="AF49" i="15"/>
  <c r="CA30" i="15"/>
  <c r="BK49" i="70" l="1"/>
  <c r="BT73" i="70"/>
  <c r="BX48" i="70"/>
  <c r="BP49" i="70"/>
  <c r="AS46" i="70"/>
  <c r="BU56" i="70"/>
  <c r="BI49" i="70"/>
  <c r="BL50" i="70"/>
  <c r="BQ47" i="70"/>
  <c r="BO57" i="70"/>
  <c r="BS47" i="70"/>
  <c r="BM46" i="70"/>
  <c r="BN60" i="70"/>
  <c r="AZ69" i="70"/>
  <c r="BR57" i="70"/>
  <c r="BH72" i="70"/>
  <c r="BA48" i="70"/>
  <c r="AY57" i="70"/>
  <c r="BW56" i="70"/>
  <c r="BV57" i="70"/>
  <c r="AQ65" i="70"/>
  <c r="AT72" i="70"/>
  <c r="BJ60" i="70"/>
  <c r="AR53" i="70"/>
  <c r="AW51" i="70"/>
  <c r="DB45" i="70"/>
  <c r="DF44" i="70"/>
  <c r="DD44" i="70"/>
  <c r="DE44" i="70"/>
  <c r="DC44" i="70"/>
  <c r="CO44" i="70"/>
  <c r="CR44" i="70"/>
  <c r="CN44" i="70"/>
  <c r="CL44" i="70"/>
  <c r="CH44" i="70"/>
  <c r="CP44" i="70"/>
  <c r="CE45" i="70"/>
  <c r="CJ44" i="70"/>
  <c r="CK44" i="70"/>
  <c r="CG44" i="70"/>
  <c r="CI44" i="70"/>
  <c r="CM44" i="70"/>
  <c r="CQ44" i="70"/>
  <c r="CU44" i="70"/>
  <c r="CF44" i="70"/>
  <c r="CT44" i="70"/>
  <c r="CS44" i="70"/>
  <c r="DS37" i="70"/>
  <c r="DO41" i="70"/>
  <c r="DM43" i="70"/>
  <c r="DP40" i="70"/>
  <c r="DQ39" i="70"/>
  <c r="DK45" i="70"/>
  <c r="DL44" i="70"/>
  <c r="DN42" i="70"/>
  <c r="DR38" i="70"/>
  <c r="BS39" i="15"/>
  <c r="D39" i="15"/>
  <c r="CA31" i="15"/>
  <c r="BX34" i="15"/>
  <c r="AF50" i="15"/>
  <c r="X53" i="15"/>
  <c r="AA40" i="15"/>
  <c r="S42" i="15"/>
  <c r="H44" i="15"/>
  <c r="C46" i="15"/>
  <c r="T53" i="15"/>
  <c r="AC40" i="15"/>
  <c r="BZ32" i="15"/>
  <c r="L41" i="15"/>
  <c r="E65" i="15"/>
  <c r="R65" i="15"/>
  <c r="BV36" i="15"/>
  <c r="BW35" i="15"/>
  <c r="J50" i="15"/>
  <c r="U42" i="15"/>
  <c r="K62" i="15"/>
  <c r="Y50" i="15"/>
  <c r="BU37" i="15"/>
  <c r="AB50" i="15"/>
  <c r="AH41" i="15"/>
  <c r="W39" i="15"/>
  <c r="AE49" i="15"/>
  <c r="BY33" i="15"/>
  <c r="AD66" i="15"/>
  <c r="AG49" i="15"/>
  <c r="BT38" i="15"/>
  <c r="B58" i="15"/>
  <c r="Z42" i="15"/>
  <c r="V43" i="15"/>
  <c r="DF45" i="70" l="1"/>
  <c r="DD45" i="70"/>
  <c r="DB46" i="70"/>
  <c r="DE45" i="70"/>
  <c r="DC45" i="70"/>
  <c r="AW52" i="70"/>
  <c r="AR54" i="70"/>
  <c r="BJ61" i="70"/>
  <c r="AT73" i="70"/>
  <c r="AQ66" i="70"/>
  <c r="BV58" i="70"/>
  <c r="BW57" i="70"/>
  <c r="AY58" i="70"/>
  <c r="BA49" i="70"/>
  <c r="BH73" i="70"/>
  <c r="BR58" i="70"/>
  <c r="AZ70" i="70"/>
  <c r="BN61" i="70"/>
  <c r="BM47" i="70"/>
  <c r="BS48" i="70"/>
  <c r="BO58" i="70"/>
  <c r="BQ48" i="70"/>
  <c r="BL51" i="70"/>
  <c r="BI50" i="70"/>
  <c r="BU57" i="70"/>
  <c r="AS47" i="70"/>
  <c r="BP50" i="70"/>
  <c r="BX49" i="70"/>
  <c r="BT74" i="70"/>
  <c r="BK50" i="70"/>
  <c r="CN45" i="70"/>
  <c r="CR45" i="70"/>
  <c r="CG45" i="70"/>
  <c r="CF45" i="70"/>
  <c r="CJ45" i="70"/>
  <c r="CE46" i="70"/>
  <c r="CI45" i="70"/>
  <c r="CM45" i="70"/>
  <c r="CH45" i="70"/>
  <c r="CU45" i="70"/>
  <c r="CT45" i="70"/>
  <c r="CS45" i="70"/>
  <c r="CP45" i="70"/>
  <c r="CO45" i="70"/>
  <c r="CQ45" i="70"/>
  <c r="CL45" i="70"/>
  <c r="CK45" i="70"/>
  <c r="DQ40" i="70"/>
  <c r="DN43" i="70"/>
  <c r="DP41" i="70"/>
  <c r="DO42" i="70"/>
  <c r="DM44" i="70"/>
  <c r="DK46" i="70"/>
  <c r="DL45" i="70"/>
  <c r="DR39" i="70"/>
  <c r="DS38" i="70"/>
  <c r="BT39" i="15"/>
  <c r="L42" i="15"/>
  <c r="S43" i="15"/>
  <c r="T54" i="15"/>
  <c r="BU38" i="15"/>
  <c r="K63" i="15"/>
  <c r="AD67" i="15"/>
  <c r="CA32" i="15"/>
  <c r="BW36" i="15"/>
  <c r="H45" i="15"/>
  <c r="AF51" i="15"/>
  <c r="E66" i="15"/>
  <c r="W40" i="15"/>
  <c r="AG50" i="15"/>
  <c r="X54" i="15"/>
  <c r="BV37" i="15"/>
  <c r="AA41" i="15"/>
  <c r="BX35" i="15"/>
  <c r="U43" i="15"/>
  <c r="BZ33" i="15"/>
  <c r="BS40" i="15"/>
  <c r="B59" i="15"/>
  <c r="J51" i="15"/>
  <c r="D40" i="15"/>
  <c r="AE50" i="15"/>
  <c r="Z43" i="15"/>
  <c r="R66" i="15"/>
  <c r="AH42" i="15"/>
  <c r="BY34" i="15"/>
  <c r="AC41" i="15"/>
  <c r="Y51" i="15"/>
  <c r="C47" i="15"/>
  <c r="V44" i="15"/>
  <c r="AB51" i="15"/>
  <c r="DB47" i="70" l="1"/>
  <c r="DE46" i="70"/>
  <c r="DC46" i="70"/>
  <c r="DF46" i="70"/>
  <c r="DD46" i="70"/>
  <c r="CT46" i="70"/>
  <c r="CR46" i="70"/>
  <c r="CM46" i="70"/>
  <c r="CH46" i="70"/>
  <c r="CN46" i="70"/>
  <c r="CP46" i="70"/>
  <c r="CF46" i="70"/>
  <c r="CK46" i="70"/>
  <c r="CU46" i="70"/>
  <c r="CL46" i="70"/>
  <c r="CI46" i="70"/>
  <c r="CQ46" i="70"/>
  <c r="CO46" i="70"/>
  <c r="CE47" i="70"/>
  <c r="CG46" i="70"/>
  <c r="CS46" i="70"/>
  <c r="CJ46" i="70"/>
  <c r="BK51" i="70"/>
  <c r="BT75" i="70"/>
  <c r="BX50" i="70"/>
  <c r="BP51" i="70"/>
  <c r="AS48" i="70"/>
  <c r="BU58" i="70"/>
  <c r="BI51" i="70"/>
  <c r="BL52" i="70"/>
  <c r="BQ49" i="70"/>
  <c r="BO59" i="70"/>
  <c r="BS49" i="70"/>
  <c r="BM48" i="70"/>
  <c r="BN62" i="70"/>
  <c r="AZ71" i="70"/>
  <c r="BR59" i="70"/>
  <c r="BH74" i="70"/>
  <c r="BA50" i="70"/>
  <c r="AY59" i="70"/>
  <c r="BW58" i="70"/>
  <c r="BV59" i="70"/>
  <c r="AQ67" i="70"/>
  <c r="AT74" i="70"/>
  <c r="BJ62" i="70"/>
  <c r="AR55" i="70"/>
  <c r="AW53" i="70"/>
  <c r="DM45" i="70"/>
  <c r="DN44" i="70"/>
  <c r="DP42" i="70"/>
  <c r="DQ41" i="70"/>
  <c r="DS39" i="70"/>
  <c r="DK47" i="70"/>
  <c r="DL46" i="70"/>
  <c r="DO43" i="70"/>
  <c r="DR40" i="70"/>
  <c r="AA42" i="15"/>
  <c r="H46" i="15"/>
  <c r="C48" i="15"/>
  <c r="E67" i="15"/>
  <c r="BW37" i="15"/>
  <c r="Z44" i="15"/>
  <c r="U44" i="15"/>
  <c r="AC42" i="15"/>
  <c r="R67" i="15"/>
  <c r="BY35" i="15"/>
  <c r="V45" i="15"/>
  <c r="BT40" i="15"/>
  <c r="AF52" i="15"/>
  <c r="AH43" i="15"/>
  <c r="X55" i="15"/>
  <c r="L43" i="15"/>
  <c r="S44" i="15"/>
  <c r="CA33" i="15"/>
  <c r="AG51" i="15"/>
  <c r="BS41" i="15"/>
  <c r="J52" i="15"/>
  <c r="BZ34" i="15"/>
  <c r="T55" i="15"/>
  <c r="Y52" i="15"/>
  <c r="W41" i="15"/>
  <c r="AB52" i="15"/>
  <c r="BV38" i="15"/>
  <c r="BU39" i="15"/>
  <c r="AE51" i="15"/>
  <c r="AD68" i="15"/>
  <c r="K64" i="15"/>
  <c r="B60" i="15"/>
  <c r="D41" i="15"/>
  <c r="BX36" i="15"/>
  <c r="AW54" i="70" l="1"/>
  <c r="AR56" i="70"/>
  <c r="BJ63" i="70"/>
  <c r="AT75" i="70"/>
  <c r="AQ68" i="70"/>
  <c r="BV60" i="70"/>
  <c r="BW59" i="70"/>
  <c r="AY60" i="70"/>
  <c r="BA51" i="70"/>
  <c r="BH75" i="70"/>
  <c r="BR60" i="70"/>
  <c r="AZ72" i="70"/>
  <c r="BN63" i="70"/>
  <c r="BM49" i="70"/>
  <c r="BS50" i="70"/>
  <c r="BO60" i="70"/>
  <c r="BQ50" i="70"/>
  <c r="BL53" i="70"/>
  <c r="BI52" i="70"/>
  <c r="BU59" i="70"/>
  <c r="AS49" i="70"/>
  <c r="BP52" i="70"/>
  <c r="BX51" i="70"/>
  <c r="BT76" i="70"/>
  <c r="BK52" i="70"/>
  <c r="CS47" i="70"/>
  <c r="CT47" i="70"/>
  <c r="CG47" i="70"/>
  <c r="CN47" i="70"/>
  <c r="CI47" i="70"/>
  <c r="CH47" i="70"/>
  <c r="CF47" i="70"/>
  <c r="CU47" i="70"/>
  <c r="CL47" i="70"/>
  <c r="CK47" i="70"/>
  <c r="CO47" i="70"/>
  <c r="CR47" i="70"/>
  <c r="CQ47" i="70"/>
  <c r="CP47" i="70"/>
  <c r="CE48" i="70"/>
  <c r="CM47" i="70"/>
  <c r="CJ47" i="70"/>
  <c r="DF47" i="70"/>
  <c r="DD47" i="70"/>
  <c r="DB48" i="70"/>
  <c r="DE47" i="70"/>
  <c r="DC47" i="70"/>
  <c r="DP43" i="70"/>
  <c r="DM46" i="70"/>
  <c r="DQ42" i="70"/>
  <c r="DO44" i="70"/>
  <c r="DL47" i="70"/>
  <c r="DK48" i="70"/>
  <c r="DR41" i="70"/>
  <c r="DS40" i="70"/>
  <c r="DN45" i="70"/>
  <c r="B61" i="15"/>
  <c r="AA43" i="15"/>
  <c r="Y53" i="15"/>
  <c r="S45" i="15"/>
  <c r="Z45" i="15"/>
  <c r="X56" i="15"/>
  <c r="AF53" i="15"/>
  <c r="BY36" i="15"/>
  <c r="C49" i="15"/>
  <c r="E68" i="15"/>
  <c r="V46" i="15"/>
  <c r="AC43" i="15"/>
  <c r="J53" i="15"/>
  <c r="U45" i="15"/>
  <c r="BV39" i="15"/>
  <c r="T56" i="15"/>
  <c r="AB53" i="15"/>
  <c r="CA34" i="15"/>
  <c r="H47" i="15"/>
  <c r="AG52" i="15"/>
  <c r="AD69" i="15"/>
  <c r="AH44" i="15"/>
  <c r="W42" i="15"/>
  <c r="D42" i="15"/>
  <c r="BU40" i="15"/>
  <c r="BZ35" i="15"/>
  <c r="R68" i="15"/>
  <c r="BW38" i="15"/>
  <c r="BX37" i="15"/>
  <c r="BS42" i="15"/>
  <c r="BT41" i="15"/>
  <c r="L44" i="15"/>
  <c r="AE52" i="15"/>
  <c r="K65" i="15"/>
  <c r="CR48" i="70" l="1"/>
  <c r="CU48" i="70"/>
  <c r="CO48" i="70"/>
  <c r="CK48" i="70"/>
  <c r="CP48" i="70"/>
  <c r="CS48" i="70"/>
  <c r="CQ48" i="70"/>
  <c r="CE49" i="70"/>
  <c r="CM48" i="70"/>
  <c r="CJ48" i="70"/>
  <c r="CL48" i="70"/>
  <c r="CT48" i="70"/>
  <c r="CH48" i="70"/>
  <c r="CF48" i="70"/>
  <c r="CI48" i="70"/>
  <c r="CG48" i="70"/>
  <c r="CN48" i="70"/>
  <c r="BK53" i="70"/>
  <c r="BT77" i="70"/>
  <c r="BX52" i="70"/>
  <c r="BP53" i="70"/>
  <c r="AS50" i="70"/>
  <c r="BU60" i="70"/>
  <c r="BI53" i="70"/>
  <c r="BL54" i="70"/>
  <c r="BQ51" i="70"/>
  <c r="BO61" i="70"/>
  <c r="BS51" i="70"/>
  <c r="BM50" i="70"/>
  <c r="BN64" i="70"/>
  <c r="AZ73" i="70"/>
  <c r="BR61" i="70"/>
  <c r="BH76" i="70"/>
  <c r="BA52" i="70"/>
  <c r="AY61" i="70"/>
  <c r="BW60" i="70"/>
  <c r="BV61" i="70"/>
  <c r="AQ69" i="70"/>
  <c r="AT76" i="70"/>
  <c r="BJ64" i="70"/>
  <c r="AR57" i="70"/>
  <c r="AW55" i="70"/>
  <c r="DB49" i="70"/>
  <c r="DE48" i="70"/>
  <c r="DC48" i="70"/>
  <c r="DF48" i="70"/>
  <c r="DD48" i="70"/>
  <c r="DS41" i="70"/>
  <c r="DM47" i="70"/>
  <c r="DP44" i="70"/>
  <c r="DR42" i="70"/>
  <c r="DN46" i="70"/>
  <c r="DL48" i="70"/>
  <c r="DK49" i="70"/>
  <c r="DO45" i="70"/>
  <c r="DQ43" i="70"/>
  <c r="BU41" i="15"/>
  <c r="H48" i="15"/>
  <c r="J54" i="15"/>
  <c r="BY37" i="15"/>
  <c r="W43" i="15"/>
  <c r="AD70" i="15"/>
  <c r="AH45" i="15"/>
  <c r="AE53" i="15"/>
  <c r="V47" i="15"/>
  <c r="T57" i="15"/>
  <c r="U46" i="15"/>
  <c r="BT42" i="15"/>
  <c r="C50" i="15"/>
  <c r="Z46" i="15"/>
  <c r="BX38" i="15"/>
  <c r="AC44" i="15"/>
  <c r="BW39" i="15"/>
  <c r="BV40" i="15"/>
  <c r="R69" i="15"/>
  <c r="CA35" i="15"/>
  <c r="AA44" i="15"/>
  <c r="Y54" i="15"/>
  <c r="D43" i="15"/>
  <c r="E69" i="15"/>
  <c r="S46" i="15"/>
  <c r="BZ36" i="15"/>
  <c r="X57" i="15"/>
  <c r="AF54" i="15"/>
  <c r="L45" i="15"/>
  <c r="AG53" i="15"/>
  <c r="AB54" i="15"/>
  <c r="K66" i="15"/>
  <c r="BS43" i="15"/>
  <c r="B62" i="15"/>
  <c r="DF49" i="70" l="1"/>
  <c r="DD49" i="70"/>
  <c r="DB50" i="70"/>
  <c r="DE49" i="70"/>
  <c r="DC49" i="70"/>
  <c r="AW56" i="70"/>
  <c r="AR58" i="70"/>
  <c r="BJ65" i="70"/>
  <c r="AT77" i="70"/>
  <c r="AQ70" i="70"/>
  <c r="BV62" i="70"/>
  <c r="BW61" i="70"/>
  <c r="AY62" i="70"/>
  <c r="BA53" i="70"/>
  <c r="BH77" i="70"/>
  <c r="BR62" i="70"/>
  <c r="AZ74" i="70"/>
  <c r="BN65" i="70"/>
  <c r="BM51" i="70"/>
  <c r="BS52" i="70"/>
  <c r="BO62" i="70"/>
  <c r="BQ52" i="70"/>
  <c r="BL55" i="70"/>
  <c r="BI54" i="70"/>
  <c r="BU61" i="70"/>
  <c r="AS51" i="70"/>
  <c r="BP54" i="70"/>
  <c r="BX53" i="70"/>
  <c r="BT78" i="70"/>
  <c r="BK54" i="70"/>
  <c r="CQ49" i="70"/>
  <c r="CE50" i="70"/>
  <c r="CP49" i="70"/>
  <c r="CL49" i="70"/>
  <c r="CR49" i="70"/>
  <c r="CT49" i="70"/>
  <c r="CJ49" i="70"/>
  <c r="CO49" i="70"/>
  <c r="CF49" i="70"/>
  <c r="CI49" i="70"/>
  <c r="CM49" i="70"/>
  <c r="CU49" i="70"/>
  <c r="CS49" i="70"/>
  <c r="CG49" i="70"/>
  <c r="CK49" i="70"/>
  <c r="CH49" i="70"/>
  <c r="CN49" i="70"/>
  <c r="DK50" i="70"/>
  <c r="DL49" i="70"/>
  <c r="DQ44" i="70"/>
  <c r="DM48" i="70"/>
  <c r="DS42" i="70"/>
  <c r="DN47" i="70"/>
  <c r="DP45" i="70"/>
  <c r="DO46" i="70"/>
  <c r="DR43" i="70"/>
  <c r="BT43" i="15"/>
  <c r="C51" i="15"/>
  <c r="D44" i="15"/>
  <c r="AC45" i="15"/>
  <c r="Y55" i="15"/>
  <c r="AA45" i="15"/>
  <c r="BY38" i="15"/>
  <c r="E70" i="15"/>
  <c r="U47" i="15"/>
  <c r="BS44" i="15"/>
  <c r="Z47" i="15"/>
  <c r="W44" i="15"/>
  <c r="BX39" i="15"/>
  <c r="R70" i="15"/>
  <c r="AH46" i="15"/>
  <c r="S47" i="15"/>
  <c r="CA36" i="15"/>
  <c r="L46" i="15"/>
  <c r="V48" i="15"/>
  <c r="BU42" i="15"/>
  <c r="AD71" i="15"/>
  <c r="AE54" i="15"/>
  <c r="BV41" i="15"/>
  <c r="K67" i="15"/>
  <c r="AF55" i="15"/>
  <c r="BW40" i="15"/>
  <c r="T58" i="15"/>
  <c r="BZ37" i="15"/>
  <c r="X58" i="15"/>
  <c r="J55" i="15"/>
  <c r="H49" i="15"/>
  <c r="B63" i="15"/>
  <c r="AG54" i="15"/>
  <c r="AB55" i="15"/>
  <c r="DB51" i="70" l="1"/>
  <c r="DE50" i="70"/>
  <c r="DC50" i="70"/>
  <c r="DF50" i="70"/>
  <c r="DD50" i="70"/>
  <c r="CP50" i="70"/>
  <c r="CN50" i="70"/>
  <c r="CR50" i="70"/>
  <c r="CM50" i="70"/>
  <c r="CI50" i="70"/>
  <c r="CL50" i="70"/>
  <c r="CJ50" i="70"/>
  <c r="CQ50" i="70"/>
  <c r="CG50" i="70"/>
  <c r="CH50" i="70"/>
  <c r="CS50" i="70"/>
  <c r="CT50" i="70"/>
  <c r="CU50" i="70"/>
  <c r="CK50" i="70"/>
  <c r="CF50" i="70"/>
  <c r="CO50" i="70"/>
  <c r="CE51" i="70"/>
  <c r="BK55" i="70"/>
  <c r="BT79" i="70"/>
  <c r="BX54" i="70"/>
  <c r="BP55" i="70"/>
  <c r="AS52" i="70"/>
  <c r="BU62" i="70"/>
  <c r="BI55" i="70"/>
  <c r="BL56" i="70"/>
  <c r="BQ53" i="70"/>
  <c r="BO63" i="70"/>
  <c r="BS53" i="70"/>
  <c r="BM52" i="70"/>
  <c r="BN66" i="70"/>
  <c r="AZ75" i="70"/>
  <c r="BR63" i="70"/>
  <c r="BH78" i="70"/>
  <c r="BA54" i="70"/>
  <c r="AY63" i="70"/>
  <c r="BW62" i="70"/>
  <c r="BV63" i="70"/>
  <c r="AQ71" i="70"/>
  <c r="AT78" i="70"/>
  <c r="BJ66" i="70"/>
  <c r="AR59" i="70"/>
  <c r="AW57" i="70"/>
  <c r="DQ45" i="70"/>
  <c r="DR44" i="70"/>
  <c r="DN48" i="70"/>
  <c r="DM49" i="70"/>
  <c r="DP46" i="70"/>
  <c r="DO47" i="70"/>
  <c r="DS43" i="70"/>
  <c r="DK51" i="70"/>
  <c r="DL50" i="70"/>
  <c r="U48" i="15"/>
  <c r="AF56" i="15"/>
  <c r="C52" i="15"/>
  <c r="Z48" i="15"/>
  <c r="BV42" i="15"/>
  <c r="AD72" i="15"/>
  <c r="BZ38" i="15"/>
  <c r="X59" i="15"/>
  <c r="K68" i="15"/>
  <c r="T59" i="15"/>
  <c r="R71" i="15"/>
  <c r="BT44" i="15"/>
  <c r="AE55" i="15"/>
  <c r="E71" i="15"/>
  <c r="V49" i="15"/>
  <c r="AB56" i="15"/>
  <c r="CA37" i="15"/>
  <c r="BS45" i="15"/>
  <c r="B64" i="15"/>
  <c r="J56" i="15"/>
  <c r="S48" i="15"/>
  <c r="BY39" i="15"/>
  <c r="H50" i="15"/>
  <c r="Y56" i="15"/>
  <c r="L47" i="15"/>
  <c r="AH47" i="15"/>
  <c r="BX40" i="15"/>
  <c r="AC46" i="15"/>
  <c r="W45" i="15"/>
  <c r="BU43" i="15"/>
  <c r="AG55" i="15"/>
  <c r="BW41" i="15"/>
  <c r="D45" i="15"/>
  <c r="AA46" i="15"/>
  <c r="AW58" i="70" l="1"/>
  <c r="AR60" i="70"/>
  <c r="BJ67" i="70"/>
  <c r="AT79" i="70"/>
  <c r="AQ72" i="70"/>
  <c r="BV64" i="70"/>
  <c r="BW63" i="70"/>
  <c r="AY64" i="70"/>
  <c r="BA55" i="70"/>
  <c r="BH79" i="70"/>
  <c r="BR64" i="70"/>
  <c r="AZ76" i="70"/>
  <c r="BN67" i="70"/>
  <c r="BM53" i="70"/>
  <c r="BS54" i="70"/>
  <c r="BO64" i="70"/>
  <c r="BQ54" i="70"/>
  <c r="BL57" i="70"/>
  <c r="BI56" i="70"/>
  <c r="BU63" i="70"/>
  <c r="AS53" i="70"/>
  <c r="BP56" i="70"/>
  <c r="BX55" i="70"/>
  <c r="BT80" i="70"/>
  <c r="BK56" i="70"/>
  <c r="DB52" i="70"/>
  <c r="DF51" i="70"/>
  <c r="DD51" i="70"/>
  <c r="DE51" i="70"/>
  <c r="DC51" i="70"/>
  <c r="CO51" i="70"/>
  <c r="CP51" i="70"/>
  <c r="CS51" i="70"/>
  <c r="CL51" i="70"/>
  <c r="CJ51" i="70"/>
  <c r="CM51" i="70"/>
  <c r="CK51" i="70"/>
  <c r="CR51" i="70"/>
  <c r="CQ51" i="70"/>
  <c r="CF51" i="70"/>
  <c r="CN51" i="70"/>
  <c r="CT51" i="70"/>
  <c r="CE52" i="70"/>
  <c r="CU51" i="70"/>
  <c r="CH51" i="70"/>
  <c r="CG51" i="70"/>
  <c r="CI51" i="70"/>
  <c r="DL51" i="70"/>
  <c r="DK52" i="70"/>
  <c r="DP47" i="70"/>
  <c r="DQ46" i="70"/>
  <c r="DN49" i="70"/>
  <c r="DO48" i="70"/>
  <c r="DS44" i="70"/>
  <c r="DM50" i="70"/>
  <c r="DR45" i="70"/>
  <c r="H51" i="15"/>
  <c r="BZ39" i="15"/>
  <c r="T60" i="15"/>
  <c r="AG56" i="15"/>
  <c r="W46" i="15"/>
  <c r="J57" i="15"/>
  <c r="U49" i="15"/>
  <c r="B65" i="15"/>
  <c r="E72" i="15"/>
  <c r="BT45" i="15"/>
  <c r="BU44" i="15"/>
  <c r="AA47" i="15"/>
  <c r="L48" i="15"/>
  <c r="BY40" i="15"/>
  <c r="Y57" i="15"/>
  <c r="BS46" i="15"/>
  <c r="AF57" i="15"/>
  <c r="K69" i="15"/>
  <c r="CA38" i="15"/>
  <c r="BW42" i="15"/>
  <c r="AE56" i="15"/>
  <c r="C53" i="15"/>
  <c r="BV43" i="15"/>
  <c r="Z49" i="15"/>
  <c r="BX41" i="15"/>
  <c r="S49" i="15"/>
  <c r="AC47" i="15"/>
  <c r="D46" i="15"/>
  <c r="V50" i="15"/>
  <c r="R72" i="15"/>
  <c r="AD73" i="15"/>
  <c r="X60" i="15"/>
  <c r="AB57" i="15"/>
  <c r="AH48" i="15"/>
  <c r="DF52" i="70" l="1"/>
  <c r="DD52" i="70"/>
  <c r="DB53" i="70"/>
  <c r="DE52" i="70"/>
  <c r="DC52" i="70"/>
  <c r="BK57" i="70"/>
  <c r="BT81" i="70"/>
  <c r="BX56" i="70"/>
  <c r="BP57" i="70"/>
  <c r="AS54" i="70"/>
  <c r="BU64" i="70"/>
  <c r="BI57" i="70"/>
  <c r="BL58" i="70"/>
  <c r="BQ55" i="70"/>
  <c r="BO65" i="70"/>
  <c r="BS55" i="70"/>
  <c r="BM54" i="70"/>
  <c r="BN68" i="70"/>
  <c r="AZ77" i="70"/>
  <c r="BR65" i="70"/>
  <c r="BH80" i="70"/>
  <c r="BA56" i="70"/>
  <c r="AY65" i="70"/>
  <c r="BW64" i="70"/>
  <c r="BV65" i="70"/>
  <c r="AQ73" i="70"/>
  <c r="AT80" i="70"/>
  <c r="BJ68" i="70"/>
  <c r="AR61" i="70"/>
  <c r="AW59" i="70"/>
  <c r="CN52" i="70"/>
  <c r="CQ52" i="70"/>
  <c r="CT52" i="70"/>
  <c r="CG52" i="70"/>
  <c r="CL52" i="70"/>
  <c r="CE53" i="70"/>
  <c r="CU52" i="70"/>
  <c r="CS52" i="70"/>
  <c r="CR52" i="70"/>
  <c r="CF52" i="70"/>
  <c r="CH52" i="70"/>
  <c r="CP52" i="70"/>
  <c r="CM52" i="70"/>
  <c r="CK52" i="70"/>
  <c r="CO52" i="70"/>
  <c r="CJ52" i="70"/>
  <c r="CI52" i="70"/>
  <c r="DK53" i="70"/>
  <c r="DL52" i="70"/>
  <c r="DS45" i="70"/>
  <c r="DM51" i="70"/>
  <c r="DN50" i="70"/>
  <c r="DP48" i="70"/>
  <c r="DO49" i="70"/>
  <c r="DR46" i="70"/>
  <c r="DQ47" i="70"/>
  <c r="BT46" i="15"/>
  <c r="H52" i="15"/>
  <c r="J58" i="15"/>
  <c r="Y58" i="15"/>
  <c r="BV44" i="15"/>
  <c r="CA39" i="15"/>
  <c r="L49" i="15"/>
  <c r="AC48" i="15"/>
  <c r="AB58" i="15"/>
  <c r="R73" i="15"/>
  <c r="BW43" i="15"/>
  <c r="AD74" i="15"/>
  <c r="BY41" i="15"/>
  <c r="AH49" i="15"/>
  <c r="BU45" i="15"/>
  <c r="AE57" i="15"/>
  <c r="T61" i="15"/>
  <c r="D47" i="15"/>
  <c r="BS47" i="15"/>
  <c r="W47" i="15"/>
  <c r="B66" i="15"/>
  <c r="AG57" i="15"/>
  <c r="K70" i="15"/>
  <c r="BZ40" i="15"/>
  <c r="AF58" i="15"/>
  <c r="U50" i="15"/>
  <c r="V51" i="15"/>
  <c r="S50" i="15"/>
  <c r="E73" i="15"/>
  <c r="AA48" i="15"/>
  <c r="C54" i="15"/>
  <c r="Z50" i="15"/>
  <c r="BX42" i="15"/>
  <c r="X61" i="15"/>
  <c r="DB54" i="70" l="1"/>
  <c r="DE53" i="70"/>
  <c r="DC53" i="70"/>
  <c r="DF53" i="70"/>
  <c r="DD53" i="70"/>
  <c r="CT53" i="70"/>
  <c r="CP53" i="70"/>
  <c r="CK53" i="70"/>
  <c r="CO53" i="70"/>
  <c r="CU53" i="70"/>
  <c r="CN53" i="70"/>
  <c r="CM53" i="70"/>
  <c r="CQ53" i="70"/>
  <c r="CH53" i="70"/>
  <c r="CL53" i="70"/>
  <c r="CG53" i="70"/>
  <c r="CS53" i="70"/>
  <c r="CF53" i="70"/>
  <c r="CJ53" i="70"/>
  <c r="CE54" i="70"/>
  <c r="CR53" i="70"/>
  <c r="CI53" i="70"/>
  <c r="AW60" i="70"/>
  <c r="AR62" i="70"/>
  <c r="BJ69" i="70"/>
  <c r="AT81" i="70"/>
  <c r="AQ74" i="70"/>
  <c r="BV66" i="70"/>
  <c r="BW65" i="70"/>
  <c r="AY66" i="70"/>
  <c r="BA57" i="70"/>
  <c r="BH81" i="70"/>
  <c r="BR66" i="70"/>
  <c r="AZ78" i="70"/>
  <c r="BN69" i="70"/>
  <c r="BM55" i="70"/>
  <c r="BS56" i="70"/>
  <c r="BO66" i="70"/>
  <c r="BQ56" i="70"/>
  <c r="BL59" i="70"/>
  <c r="BI58" i="70"/>
  <c r="BU65" i="70"/>
  <c r="AS55" i="70"/>
  <c r="BP58" i="70"/>
  <c r="BX57" i="70"/>
  <c r="BT82" i="70"/>
  <c r="BK58" i="70"/>
  <c r="DS46" i="70"/>
  <c r="DP49" i="70"/>
  <c r="DQ48" i="70"/>
  <c r="DO50" i="70"/>
  <c r="DN51" i="70"/>
  <c r="DM52" i="70"/>
  <c r="DR47" i="70"/>
  <c r="DL53" i="70"/>
  <c r="DK54" i="70"/>
  <c r="H53" i="15"/>
  <c r="AD75" i="15"/>
  <c r="V52" i="15"/>
  <c r="S51" i="15"/>
  <c r="AC49" i="15"/>
  <c r="J59" i="15"/>
  <c r="D48" i="15"/>
  <c r="BY42" i="15"/>
  <c r="L50" i="15"/>
  <c r="U51" i="15"/>
  <c r="BZ41" i="15"/>
  <c r="AE58" i="15"/>
  <c r="Z51" i="15"/>
  <c r="K71" i="15"/>
  <c r="BT47" i="15"/>
  <c r="T62" i="15"/>
  <c r="AA49" i="15"/>
  <c r="R74" i="15"/>
  <c r="CA40" i="15"/>
  <c r="AF59" i="15"/>
  <c r="BW44" i="15"/>
  <c r="X62" i="15"/>
  <c r="AH50" i="15"/>
  <c r="W48" i="15"/>
  <c r="BS48" i="15"/>
  <c r="B67" i="15"/>
  <c r="AB59" i="15"/>
  <c r="E74" i="15"/>
  <c r="BX43" i="15"/>
  <c r="Y59" i="15"/>
  <c r="BU46" i="15"/>
  <c r="AG58" i="15"/>
  <c r="C55" i="15"/>
  <c r="BV45" i="15"/>
  <c r="BK59" i="70" l="1"/>
  <c r="BT83" i="70"/>
  <c r="BX58" i="70"/>
  <c r="BP59" i="70"/>
  <c r="AS56" i="70"/>
  <c r="BU66" i="70"/>
  <c r="BI59" i="70"/>
  <c r="BL60" i="70"/>
  <c r="BQ57" i="70"/>
  <c r="BO67" i="70"/>
  <c r="BS57" i="70"/>
  <c r="BM56" i="70"/>
  <c r="BN70" i="70"/>
  <c r="AZ79" i="70"/>
  <c r="BR67" i="70"/>
  <c r="BH82" i="70"/>
  <c r="BA58" i="70"/>
  <c r="AY67" i="70"/>
  <c r="BW66" i="70"/>
  <c r="BV67" i="70"/>
  <c r="AQ75" i="70"/>
  <c r="AT82" i="70"/>
  <c r="BJ70" i="70"/>
  <c r="AR63" i="70"/>
  <c r="AW61" i="70"/>
  <c r="DB55" i="70"/>
  <c r="DF54" i="70"/>
  <c r="DD54" i="70"/>
  <c r="DE54" i="70"/>
  <c r="DC54" i="70"/>
  <c r="CS54" i="70"/>
  <c r="CQ54" i="70"/>
  <c r="CE55" i="70"/>
  <c r="CL54" i="70"/>
  <c r="CG54" i="70"/>
  <c r="CM54" i="70"/>
  <c r="CF54" i="70"/>
  <c r="CI54" i="70"/>
  <c r="CJ54" i="70"/>
  <c r="CH54" i="70"/>
  <c r="CU54" i="70"/>
  <c r="CP54" i="70"/>
  <c r="CN54" i="70"/>
  <c r="CO54" i="70"/>
  <c r="CT54" i="70"/>
  <c r="CK54" i="70"/>
  <c r="CR54" i="70"/>
  <c r="DS47" i="70"/>
  <c r="DO51" i="70"/>
  <c r="DR48" i="70"/>
  <c r="DQ49" i="70"/>
  <c r="DM53" i="70"/>
  <c r="DN52" i="70"/>
  <c r="DP50" i="70"/>
  <c r="DL54" i="70"/>
  <c r="DK55" i="70"/>
  <c r="U52" i="15"/>
  <c r="AF60" i="15"/>
  <c r="BU47" i="15"/>
  <c r="C56" i="15"/>
  <c r="BX44" i="15"/>
  <c r="H54" i="15"/>
  <c r="E75" i="15"/>
  <c r="BT48" i="15"/>
  <c r="AD76" i="15"/>
  <c r="K72" i="15"/>
  <c r="BY43" i="15"/>
  <c r="AB60" i="15"/>
  <c r="BZ42" i="15"/>
  <c r="CA41" i="15"/>
  <c r="R75" i="15"/>
  <c r="W49" i="15"/>
  <c r="S52" i="15"/>
  <c r="X63" i="15"/>
  <c r="T63" i="15"/>
  <c r="AG59" i="15"/>
  <c r="Y60" i="15"/>
  <c r="AE59" i="15"/>
  <c r="BV46" i="15"/>
  <c r="J60" i="15"/>
  <c r="B68" i="15"/>
  <c r="BS49" i="15"/>
  <c r="AH51" i="15"/>
  <c r="AA50" i="15"/>
  <c r="AC50" i="15"/>
  <c r="BW45" i="15"/>
  <c r="V53" i="15"/>
  <c r="Z52" i="15"/>
  <c r="D49" i="15"/>
  <c r="L51" i="15"/>
  <c r="DF55" i="70" l="1"/>
  <c r="DD55" i="70"/>
  <c r="DB56" i="70"/>
  <c r="DE55" i="70"/>
  <c r="DC55" i="70"/>
  <c r="AW62" i="70"/>
  <c r="AR64" i="70"/>
  <c r="BJ71" i="70"/>
  <c r="AT83" i="70"/>
  <c r="AQ76" i="70"/>
  <c r="BV68" i="70"/>
  <c r="BW67" i="70"/>
  <c r="AY68" i="70"/>
  <c r="BA59" i="70"/>
  <c r="BH83" i="70"/>
  <c r="BR68" i="70"/>
  <c r="AZ80" i="70"/>
  <c r="BN71" i="70"/>
  <c r="BM57" i="70"/>
  <c r="BS58" i="70"/>
  <c r="BO68" i="70"/>
  <c r="BQ58" i="70"/>
  <c r="BL61" i="70"/>
  <c r="BI60" i="70"/>
  <c r="BU67" i="70"/>
  <c r="AS57" i="70"/>
  <c r="BP60" i="70"/>
  <c r="BX59" i="70"/>
  <c r="BT84" i="70"/>
  <c r="BK60" i="70"/>
  <c r="CQ55" i="70"/>
  <c r="CR55" i="70"/>
  <c r="CE56" i="70"/>
  <c r="CL55" i="70"/>
  <c r="CG55" i="70"/>
  <c r="CO55" i="70"/>
  <c r="CM55" i="70"/>
  <c r="CT55" i="70"/>
  <c r="CK55" i="70"/>
  <c r="CI55" i="70"/>
  <c r="CH55" i="70"/>
  <c r="CU55" i="70"/>
  <c r="CP55" i="70"/>
  <c r="CN55" i="70"/>
  <c r="CF55" i="70"/>
  <c r="CJ55" i="70"/>
  <c r="CS55" i="70"/>
  <c r="DM54" i="70"/>
  <c r="DQ50" i="70"/>
  <c r="DO52" i="70"/>
  <c r="DN53" i="70"/>
  <c r="DR49" i="70"/>
  <c r="DS48" i="70"/>
  <c r="DP51" i="70"/>
  <c r="DK56" i="70"/>
  <c r="DL55" i="70"/>
  <c r="BV47" i="15"/>
  <c r="U53" i="15"/>
  <c r="BS50" i="15"/>
  <c r="AE60" i="15"/>
  <c r="BT49" i="15"/>
  <c r="AG60" i="15"/>
  <c r="AA51" i="15"/>
  <c r="BU48" i="15"/>
  <c r="AF61" i="15"/>
  <c r="BY44" i="15"/>
  <c r="C57" i="15"/>
  <c r="AH52" i="15"/>
  <c r="CA42" i="15"/>
  <c r="BZ43" i="15"/>
  <c r="K73" i="15"/>
  <c r="Z53" i="15"/>
  <c r="R76" i="15"/>
  <c r="E76" i="15"/>
  <c r="X64" i="15"/>
  <c r="BW46" i="15"/>
  <c r="L52" i="15"/>
  <c r="B69" i="15"/>
  <c r="H55" i="15"/>
  <c r="T64" i="15"/>
  <c r="V54" i="15"/>
  <c r="S53" i="15"/>
  <c r="AC51" i="15"/>
  <c r="BX45" i="15"/>
  <c r="J61" i="15"/>
  <c r="D50" i="15"/>
  <c r="W50" i="15"/>
  <c r="Y61" i="15"/>
  <c r="AB61" i="15"/>
  <c r="AD77" i="15"/>
  <c r="DB57" i="70" l="1"/>
  <c r="DE56" i="70"/>
  <c r="DC56" i="70"/>
  <c r="DF56" i="70"/>
  <c r="DD56" i="70"/>
  <c r="CP56" i="70"/>
  <c r="CS56" i="70"/>
  <c r="CM56" i="70"/>
  <c r="CI56" i="70"/>
  <c r="CE57" i="70"/>
  <c r="CG56" i="70"/>
  <c r="CN56" i="70"/>
  <c r="CL56" i="70"/>
  <c r="CU56" i="70"/>
  <c r="CH56" i="70"/>
  <c r="CJ56" i="70"/>
  <c r="CR56" i="70"/>
  <c r="CO56" i="70"/>
  <c r="CQ56" i="70"/>
  <c r="CF56" i="70"/>
  <c r="CT56" i="70"/>
  <c r="CK56" i="70"/>
  <c r="BK61" i="70"/>
  <c r="BT85" i="70"/>
  <c r="BX60" i="70"/>
  <c r="BP61" i="70"/>
  <c r="AS58" i="70"/>
  <c r="BU68" i="70"/>
  <c r="BI61" i="70"/>
  <c r="BL62" i="70"/>
  <c r="BQ59" i="70"/>
  <c r="BO69" i="70"/>
  <c r="BS59" i="70"/>
  <c r="BM58" i="70"/>
  <c r="BN72" i="70"/>
  <c r="AZ81" i="70"/>
  <c r="BR69" i="70"/>
  <c r="BH84" i="70"/>
  <c r="BA60" i="70"/>
  <c r="AY69" i="70"/>
  <c r="BW68" i="70"/>
  <c r="BV69" i="70"/>
  <c r="AQ77" i="70"/>
  <c r="AT84" i="70"/>
  <c r="BJ72" i="70"/>
  <c r="AR65" i="70"/>
  <c r="AW63" i="70"/>
  <c r="DL56" i="70"/>
  <c r="DK57" i="70"/>
  <c r="DR50" i="70"/>
  <c r="DQ51" i="70"/>
  <c r="DS49" i="70"/>
  <c r="DO53" i="70"/>
  <c r="DP52" i="70"/>
  <c r="DM55" i="70"/>
  <c r="DN54" i="70"/>
  <c r="BZ44" i="15"/>
  <c r="E77" i="15"/>
  <c r="BS51" i="15"/>
  <c r="AA52" i="15"/>
  <c r="BT50" i="15"/>
  <c r="BU49" i="15"/>
  <c r="D51" i="15"/>
  <c r="V55" i="15"/>
  <c r="X65" i="15"/>
  <c r="T65" i="15"/>
  <c r="B70" i="15"/>
  <c r="AD78" i="15"/>
  <c r="BW47" i="15"/>
  <c r="C58" i="15"/>
  <c r="AE61" i="15"/>
  <c r="Y62" i="15"/>
  <c r="AG61" i="15"/>
  <c r="AH53" i="15"/>
  <c r="AF62" i="15"/>
  <c r="R77" i="15"/>
  <c r="BX46" i="15"/>
  <c r="BV48" i="15"/>
  <c r="H56" i="15"/>
  <c r="S54" i="15"/>
  <c r="W51" i="15"/>
  <c r="AB62" i="15"/>
  <c r="Z54" i="15"/>
  <c r="L53" i="15"/>
  <c r="AC52" i="15"/>
  <c r="BY45" i="15"/>
  <c r="K74" i="15"/>
  <c r="CA43" i="15"/>
  <c r="U54" i="15"/>
  <c r="J62" i="15"/>
  <c r="AW64" i="70" l="1"/>
  <c r="AR66" i="70"/>
  <c r="BJ73" i="70"/>
  <c r="AT85" i="70"/>
  <c r="AQ78" i="70"/>
  <c r="BV70" i="70"/>
  <c r="BW69" i="70"/>
  <c r="AY70" i="70"/>
  <c r="BA61" i="70"/>
  <c r="BH85" i="70"/>
  <c r="BR70" i="70"/>
  <c r="AZ82" i="70"/>
  <c r="BN73" i="70"/>
  <c r="BM59" i="70"/>
  <c r="BS60" i="70"/>
  <c r="BO70" i="70"/>
  <c r="BQ60" i="70"/>
  <c r="BL63" i="70"/>
  <c r="BI62" i="70"/>
  <c r="BU69" i="70"/>
  <c r="AS59" i="70"/>
  <c r="BP62" i="70"/>
  <c r="BX61" i="70"/>
  <c r="BT86" i="70"/>
  <c r="BK62" i="70"/>
  <c r="DF57" i="70"/>
  <c r="DD57" i="70"/>
  <c r="DB58" i="70"/>
  <c r="DE57" i="70"/>
  <c r="DC57" i="70"/>
  <c r="CO57" i="70"/>
  <c r="CT57" i="70"/>
  <c r="CF57" i="70"/>
  <c r="CS57" i="70"/>
  <c r="CQ57" i="70"/>
  <c r="CI57" i="70"/>
  <c r="CP57" i="70"/>
  <c r="CU57" i="70"/>
  <c r="CL57" i="70"/>
  <c r="CG57" i="70"/>
  <c r="CK57" i="70"/>
  <c r="CN57" i="70"/>
  <c r="CJ57" i="70"/>
  <c r="CR57" i="70"/>
  <c r="CH57" i="70"/>
  <c r="CM57" i="70"/>
  <c r="CE58" i="70"/>
  <c r="DR51" i="70"/>
  <c r="DS50" i="70"/>
  <c r="DN55" i="70"/>
  <c r="DP53" i="70"/>
  <c r="DL57" i="70"/>
  <c r="DK58" i="70"/>
  <c r="DQ52" i="70"/>
  <c r="DO54" i="70"/>
  <c r="DM56" i="70"/>
  <c r="BV49" i="15"/>
  <c r="AE62" i="15"/>
  <c r="AA53" i="15"/>
  <c r="K75" i="15"/>
  <c r="S55" i="15"/>
  <c r="AB63" i="15"/>
  <c r="W52" i="15"/>
  <c r="BY46" i="15"/>
  <c r="L54" i="15"/>
  <c r="V56" i="15"/>
  <c r="AC53" i="15"/>
  <c r="Y63" i="15"/>
  <c r="U55" i="15"/>
  <c r="E78" i="15"/>
  <c r="Z55" i="15"/>
  <c r="T66" i="15"/>
  <c r="AF63" i="15"/>
  <c r="AD79" i="15"/>
  <c r="X66" i="15"/>
  <c r="BW48" i="15"/>
  <c r="H57" i="15"/>
  <c r="BX47" i="15"/>
  <c r="BU50" i="15"/>
  <c r="B71" i="15"/>
  <c r="BZ45" i="15"/>
  <c r="J63" i="15"/>
  <c r="D52" i="15"/>
  <c r="C59" i="15"/>
  <c r="AG62" i="15"/>
  <c r="AH54" i="15"/>
  <c r="BS52" i="15"/>
  <c r="CA44" i="15"/>
  <c r="R78" i="15"/>
  <c r="BT51" i="15"/>
  <c r="DE58" i="70" l="1"/>
  <c r="DC58" i="70"/>
  <c r="DB59" i="70"/>
  <c r="DF58" i="70"/>
  <c r="DD58" i="70"/>
  <c r="BK63" i="70"/>
  <c r="BT87" i="70"/>
  <c r="BX62" i="70"/>
  <c r="BP63" i="70"/>
  <c r="AS60" i="70"/>
  <c r="BU70" i="70"/>
  <c r="BI63" i="70"/>
  <c r="BL64" i="70"/>
  <c r="BQ61" i="70"/>
  <c r="BO71" i="70"/>
  <c r="BS61" i="70"/>
  <c r="BM60" i="70"/>
  <c r="BN74" i="70"/>
  <c r="AZ83" i="70"/>
  <c r="BR71" i="70"/>
  <c r="BH86" i="70"/>
  <c r="BA62" i="70"/>
  <c r="AY71" i="70"/>
  <c r="BW70" i="70"/>
  <c r="BV71" i="70"/>
  <c r="AQ79" i="70"/>
  <c r="AT86" i="70"/>
  <c r="BJ74" i="70"/>
  <c r="AR67" i="70"/>
  <c r="AW65" i="70"/>
  <c r="CP58" i="70"/>
  <c r="CE59" i="70"/>
  <c r="CF58" i="70"/>
  <c r="CL58" i="70"/>
  <c r="CI58" i="70"/>
  <c r="CG58" i="70"/>
  <c r="CK58" i="70"/>
  <c r="CS58" i="70"/>
  <c r="CO58" i="70"/>
  <c r="CH58" i="70"/>
  <c r="CN58" i="70"/>
  <c r="CM58" i="70"/>
  <c r="CJ58" i="70"/>
  <c r="CR58" i="70"/>
  <c r="CU58" i="70"/>
  <c r="CT58" i="70"/>
  <c r="CQ58" i="70"/>
  <c r="DQ53" i="70"/>
  <c r="DO55" i="70"/>
  <c r="DP54" i="70"/>
  <c r="DL58" i="70"/>
  <c r="DK59" i="70"/>
  <c r="DM57" i="70"/>
  <c r="DR52" i="70"/>
  <c r="DN56" i="70"/>
  <c r="DS51" i="70"/>
  <c r="Y64" i="15"/>
  <c r="L55" i="15"/>
  <c r="AE63" i="15"/>
  <c r="C60" i="15"/>
  <c r="AG63" i="15"/>
  <c r="BV50" i="15"/>
  <c r="V57" i="15"/>
  <c r="X67" i="15"/>
  <c r="J64" i="15"/>
  <c r="B72" i="15"/>
  <c r="BX48" i="15"/>
  <c r="AA54" i="15"/>
  <c r="AC54" i="15"/>
  <c r="BZ46" i="15"/>
  <c r="AF64" i="15"/>
  <c r="BS53" i="15"/>
  <c r="Z56" i="15"/>
  <c r="H58" i="15"/>
  <c r="BU51" i="15"/>
  <c r="BW49" i="15"/>
  <c r="AH55" i="15"/>
  <c r="R79" i="15"/>
  <c r="AB64" i="15"/>
  <c r="T67" i="15"/>
  <c r="U56" i="15"/>
  <c r="CA45" i="15"/>
  <c r="AD80" i="15"/>
  <c r="BY47" i="15"/>
  <c r="W53" i="15"/>
  <c r="BT52" i="15"/>
  <c r="D53" i="15"/>
  <c r="E79" i="15"/>
  <c r="K76" i="15"/>
  <c r="S56" i="15"/>
  <c r="DB60" i="70" l="1"/>
  <c r="DE59" i="70"/>
  <c r="DC59" i="70"/>
  <c r="DF59" i="70"/>
  <c r="DD59" i="70"/>
  <c r="CE60" i="70"/>
  <c r="CG59" i="70"/>
  <c r="CM59" i="70"/>
  <c r="CH59" i="70"/>
  <c r="CF59" i="70"/>
  <c r="CK59" i="70"/>
  <c r="CN59" i="70"/>
  <c r="CS59" i="70"/>
  <c r="CJ59" i="70"/>
  <c r="CO59" i="70"/>
  <c r="CU59" i="70"/>
  <c r="CR59" i="70"/>
  <c r="CQ59" i="70"/>
  <c r="CL59" i="70"/>
  <c r="CP59" i="70"/>
  <c r="CI59" i="70"/>
  <c r="CT59" i="70"/>
  <c r="AW66" i="70"/>
  <c r="AR68" i="70"/>
  <c r="BJ75" i="70"/>
  <c r="AT87" i="70"/>
  <c r="AQ80" i="70"/>
  <c r="BV72" i="70"/>
  <c r="BW71" i="70"/>
  <c r="AY72" i="70"/>
  <c r="BA63" i="70"/>
  <c r="BH87" i="70"/>
  <c r="BR72" i="70"/>
  <c r="AZ84" i="70"/>
  <c r="BN75" i="70"/>
  <c r="BM61" i="70"/>
  <c r="BS62" i="70"/>
  <c r="BO72" i="70"/>
  <c r="BQ62" i="70"/>
  <c r="BL65" i="70"/>
  <c r="BI64" i="70"/>
  <c r="BU71" i="70"/>
  <c r="AS61" i="70"/>
  <c r="BP64" i="70"/>
  <c r="BX63" i="70"/>
  <c r="BT88" i="70"/>
  <c r="BK64" i="70"/>
  <c r="DM58" i="70"/>
  <c r="DQ54" i="70"/>
  <c r="DN57" i="70"/>
  <c r="DP55" i="70"/>
  <c r="DO56" i="70"/>
  <c r="DS52" i="70"/>
  <c r="DK60" i="70"/>
  <c r="DL59" i="70"/>
  <c r="DR53" i="70"/>
  <c r="B73" i="15"/>
  <c r="AB65" i="15"/>
  <c r="V58" i="15"/>
  <c r="S57" i="15"/>
  <c r="AH56" i="15"/>
  <c r="AG64" i="15"/>
  <c r="D54" i="15"/>
  <c r="AD81" i="15"/>
  <c r="T68" i="15"/>
  <c r="R80" i="15"/>
  <c r="E80" i="15"/>
  <c r="BV51" i="15"/>
  <c r="BZ47" i="15"/>
  <c r="BY48" i="15"/>
  <c r="AF65" i="15"/>
  <c r="BX49" i="15"/>
  <c r="Z57" i="15"/>
  <c r="W54" i="15"/>
  <c r="H59" i="15"/>
  <c r="U57" i="15"/>
  <c r="L56" i="15"/>
  <c r="AE64" i="15"/>
  <c r="J65" i="15"/>
  <c r="AC55" i="15"/>
  <c r="C61" i="15"/>
  <c r="X68" i="15"/>
  <c r="BW50" i="15"/>
  <c r="BU52" i="15"/>
  <c r="Y65" i="15"/>
  <c r="CA46" i="15"/>
  <c r="AA55" i="15"/>
  <c r="K77" i="15"/>
  <c r="BS54" i="15"/>
  <c r="BT53" i="15"/>
  <c r="BK65" i="70" l="1"/>
  <c r="BT89" i="70"/>
  <c r="BX64" i="70"/>
  <c r="BP65" i="70"/>
  <c r="AS62" i="70"/>
  <c r="BU72" i="70"/>
  <c r="BI65" i="70"/>
  <c r="BL66" i="70"/>
  <c r="BQ63" i="70"/>
  <c r="BO73" i="70"/>
  <c r="BS63" i="70"/>
  <c r="BM62" i="70"/>
  <c r="BN76" i="70"/>
  <c r="AZ85" i="70"/>
  <c r="BR73" i="70"/>
  <c r="BH88" i="70"/>
  <c r="BA64" i="70"/>
  <c r="AY73" i="70"/>
  <c r="BW72" i="70"/>
  <c r="BV73" i="70"/>
  <c r="AQ81" i="70"/>
  <c r="AT88" i="70"/>
  <c r="BJ76" i="70"/>
  <c r="AR69" i="70"/>
  <c r="AW67" i="70"/>
  <c r="DF60" i="70"/>
  <c r="DD60" i="70"/>
  <c r="DB61" i="70"/>
  <c r="DE60" i="70"/>
  <c r="DC60" i="70"/>
  <c r="CU60" i="70"/>
  <c r="CS60" i="70"/>
  <c r="CE61" i="70"/>
  <c r="CG60" i="70"/>
  <c r="CT60" i="70"/>
  <c r="CO60" i="70"/>
  <c r="CH60" i="70"/>
  <c r="CP60" i="70"/>
  <c r="CN60" i="70"/>
  <c r="CM60" i="70"/>
  <c r="CK60" i="70"/>
  <c r="CJ60" i="70"/>
  <c r="CF60" i="70"/>
  <c r="CI60" i="70"/>
  <c r="CR60" i="70"/>
  <c r="CQ60" i="70"/>
  <c r="CL60" i="70"/>
  <c r="DM59" i="70"/>
  <c r="DP56" i="70"/>
  <c r="DQ55" i="70"/>
  <c r="DO57" i="70"/>
  <c r="DK61" i="70"/>
  <c r="DL60" i="70"/>
  <c r="DR54" i="70"/>
  <c r="DS53" i="70"/>
  <c r="DN58" i="70"/>
  <c r="U58" i="15"/>
  <c r="CA47" i="15"/>
  <c r="BZ48" i="15"/>
  <c r="Y66" i="15"/>
  <c r="BU53" i="15"/>
  <c r="AA56" i="15"/>
  <c r="AH57" i="15"/>
  <c r="AG65" i="15"/>
  <c r="J66" i="15"/>
  <c r="E81" i="15"/>
  <c r="AD82" i="15"/>
  <c r="BV52" i="15"/>
  <c r="V59" i="15"/>
  <c r="S58" i="15"/>
  <c r="AB66" i="15"/>
  <c r="T69" i="15"/>
  <c r="B74" i="15"/>
  <c r="X69" i="15"/>
  <c r="BT54" i="15"/>
  <c r="BX50" i="15"/>
  <c r="H60" i="15"/>
  <c r="D55" i="15"/>
  <c r="BW51" i="15"/>
  <c r="AE65" i="15"/>
  <c r="C62" i="15"/>
  <c r="Z58" i="15"/>
  <c r="BS55" i="15"/>
  <c r="L57" i="15"/>
  <c r="W55" i="15"/>
  <c r="R81" i="15"/>
  <c r="AF66" i="15"/>
  <c r="BY49" i="15"/>
  <c r="K78" i="15"/>
  <c r="AC56" i="15"/>
  <c r="DB62" i="70" l="1"/>
  <c r="DE61" i="70"/>
  <c r="DC61" i="70"/>
  <c r="DF61" i="70"/>
  <c r="DD61" i="70"/>
  <c r="AW68" i="70"/>
  <c r="AR70" i="70"/>
  <c r="BJ77" i="70"/>
  <c r="AT89" i="70"/>
  <c r="AQ82" i="70"/>
  <c r="BV74" i="70"/>
  <c r="BW73" i="70"/>
  <c r="AY74" i="70"/>
  <c r="BA65" i="70"/>
  <c r="BH89" i="70"/>
  <c r="BR74" i="70"/>
  <c r="AZ86" i="70"/>
  <c r="BN77" i="70"/>
  <c r="BM63" i="70"/>
  <c r="BS64" i="70"/>
  <c r="BO74" i="70"/>
  <c r="BQ64" i="70"/>
  <c r="BL67" i="70"/>
  <c r="BI66" i="70"/>
  <c r="BU73" i="70"/>
  <c r="AS63" i="70"/>
  <c r="BP66" i="70"/>
  <c r="BX65" i="70"/>
  <c r="BT90" i="70"/>
  <c r="BK66" i="70"/>
  <c r="CT61" i="70"/>
  <c r="CR61" i="70"/>
  <c r="CO61" i="70"/>
  <c r="CI61" i="70"/>
  <c r="CN61" i="70"/>
  <c r="CM61" i="70"/>
  <c r="CU61" i="70"/>
  <c r="CF61" i="70"/>
  <c r="CP61" i="70"/>
  <c r="CL61" i="70"/>
  <c r="CJ61" i="70"/>
  <c r="CK61" i="70"/>
  <c r="CH61" i="70"/>
  <c r="CS61" i="70"/>
  <c r="CE62" i="70"/>
  <c r="CG61" i="70"/>
  <c r="CQ61" i="70"/>
  <c r="DM60" i="70"/>
  <c r="DP57" i="70"/>
  <c r="DR55" i="70"/>
  <c r="DK62" i="70"/>
  <c r="DL61" i="70"/>
  <c r="DQ56" i="70"/>
  <c r="DS54" i="70"/>
  <c r="DO58" i="70"/>
  <c r="DN59" i="70"/>
  <c r="W56" i="15"/>
  <c r="AF67" i="15"/>
  <c r="V60" i="15"/>
  <c r="BS56" i="15"/>
  <c r="BX51" i="15"/>
  <c r="Z59" i="15"/>
  <c r="L58" i="15"/>
  <c r="AA57" i="15"/>
  <c r="T70" i="15"/>
  <c r="CA48" i="15"/>
  <c r="BU54" i="15"/>
  <c r="R82" i="15"/>
  <c r="C63" i="15"/>
  <c r="AD83" i="15"/>
  <c r="K79" i="15"/>
  <c r="B75" i="15"/>
  <c r="S59" i="15"/>
  <c r="BW52" i="15"/>
  <c r="BZ49" i="15"/>
  <c r="AC57" i="15"/>
  <c r="J67" i="15"/>
  <c r="AG66" i="15"/>
  <c r="AE66" i="15"/>
  <c r="AB67" i="15"/>
  <c r="BY50" i="15"/>
  <c r="H61" i="15"/>
  <c r="X70" i="15"/>
  <c r="D56" i="15"/>
  <c r="E82" i="15"/>
  <c r="Y67" i="15"/>
  <c r="U59" i="15"/>
  <c r="BT55" i="15"/>
  <c r="AH58" i="15"/>
  <c r="BV53" i="15"/>
  <c r="DF62" i="70" l="1"/>
  <c r="DD62" i="70"/>
  <c r="DB63" i="70"/>
  <c r="DE62" i="70"/>
  <c r="DC62" i="70"/>
  <c r="CS62" i="70"/>
  <c r="CQ62" i="70"/>
  <c r="CT62" i="70"/>
  <c r="CO62" i="70"/>
  <c r="CG62" i="70"/>
  <c r="CP62" i="70"/>
  <c r="CN62" i="70"/>
  <c r="CL62" i="70"/>
  <c r="CJ62" i="70"/>
  <c r="CK62" i="70"/>
  <c r="CI62" i="70"/>
  <c r="CH62" i="70"/>
  <c r="CR62" i="70"/>
  <c r="CM62" i="70"/>
  <c r="CF62" i="70"/>
  <c r="CU62" i="70"/>
  <c r="CE63" i="70"/>
  <c r="BK67" i="70"/>
  <c r="BT91" i="70"/>
  <c r="BX66" i="70"/>
  <c r="BP67" i="70"/>
  <c r="AS64" i="70"/>
  <c r="BU74" i="70"/>
  <c r="BI67" i="70"/>
  <c r="BL68" i="70"/>
  <c r="BQ65" i="70"/>
  <c r="BO75" i="70"/>
  <c r="BS65" i="70"/>
  <c r="BM64" i="70"/>
  <c r="BN78" i="70"/>
  <c r="AZ87" i="70"/>
  <c r="BR75" i="70"/>
  <c r="BH90" i="70"/>
  <c r="BA66" i="70"/>
  <c r="AY75" i="70"/>
  <c r="BW74" i="70"/>
  <c r="BV75" i="70"/>
  <c r="AQ83" i="70"/>
  <c r="AT90" i="70"/>
  <c r="BJ78" i="70"/>
  <c r="AR71" i="70"/>
  <c r="AW69" i="70"/>
  <c r="DR56" i="70"/>
  <c r="DL62" i="70"/>
  <c r="DK63" i="70"/>
  <c r="DS55" i="70"/>
  <c r="DM61" i="70"/>
  <c r="DQ57" i="70"/>
  <c r="DP58" i="70"/>
  <c r="DO59" i="70"/>
  <c r="DN60" i="70"/>
  <c r="BU55" i="15"/>
  <c r="Y68" i="15"/>
  <c r="CA49" i="15"/>
  <c r="BT56" i="15"/>
  <c r="H62" i="15"/>
  <c r="BV54" i="15"/>
  <c r="BS57" i="15"/>
  <c r="D57" i="15"/>
  <c r="AA58" i="15"/>
  <c r="J68" i="15"/>
  <c r="AC58" i="15"/>
  <c r="BX52" i="15"/>
  <c r="E83" i="15"/>
  <c r="AB68" i="15"/>
  <c r="R83" i="15"/>
  <c r="AE67" i="15"/>
  <c r="T71" i="15"/>
  <c r="U60" i="15"/>
  <c r="L59" i="15"/>
  <c r="AF68" i="15"/>
  <c r="Z60" i="15"/>
  <c r="V61" i="15"/>
  <c r="BY51" i="15"/>
  <c r="C64" i="15"/>
  <c r="AH59" i="15"/>
  <c r="S60" i="15"/>
  <c r="B76" i="15"/>
  <c r="BW53" i="15"/>
  <c r="K80" i="15"/>
  <c r="AG67" i="15"/>
  <c r="W57" i="15"/>
  <c r="AD84" i="15"/>
  <c r="BZ50" i="15"/>
  <c r="X71" i="15"/>
  <c r="AW70" i="70" l="1"/>
  <c r="AR72" i="70"/>
  <c r="BJ79" i="70"/>
  <c r="AT91" i="70"/>
  <c r="AQ84" i="70"/>
  <c r="BV76" i="70"/>
  <c r="BW75" i="70"/>
  <c r="AY76" i="70"/>
  <c r="BA67" i="70"/>
  <c r="BH91" i="70"/>
  <c r="BR76" i="70"/>
  <c r="AZ88" i="70"/>
  <c r="BN79" i="70"/>
  <c r="BM65" i="70"/>
  <c r="BS66" i="70"/>
  <c r="BO76" i="70"/>
  <c r="BQ66" i="70"/>
  <c r="BL69" i="70"/>
  <c r="BI68" i="70"/>
  <c r="BU75" i="70"/>
  <c r="AS65" i="70"/>
  <c r="BP68" i="70"/>
  <c r="BX67" i="70"/>
  <c r="BT92" i="70"/>
  <c r="BK68" i="70"/>
  <c r="DB64" i="70"/>
  <c r="DE63" i="70"/>
  <c r="DC63" i="70"/>
  <c r="DF63" i="70"/>
  <c r="DD63" i="70"/>
  <c r="CR63" i="70"/>
  <c r="CP63" i="70"/>
  <c r="CM63" i="70"/>
  <c r="CS63" i="70"/>
  <c r="CE64" i="70"/>
  <c r="CT63" i="70"/>
  <c r="CQ63" i="70"/>
  <c r="CK63" i="70"/>
  <c r="CN63" i="70"/>
  <c r="CH63" i="70"/>
  <c r="CI63" i="70"/>
  <c r="CF63" i="70"/>
  <c r="CL63" i="70"/>
  <c r="CG63" i="70"/>
  <c r="CU63" i="70"/>
  <c r="CJ63" i="70"/>
  <c r="CO63" i="70"/>
  <c r="DQ58" i="70"/>
  <c r="DR57" i="70"/>
  <c r="DL63" i="70"/>
  <c r="DK64" i="70"/>
  <c r="DM62" i="70"/>
  <c r="DP59" i="70"/>
  <c r="DN61" i="70"/>
  <c r="DO60" i="70"/>
  <c r="DS56" i="70"/>
  <c r="B77" i="15"/>
  <c r="K81" i="15"/>
  <c r="AG68" i="15"/>
  <c r="R84" i="15"/>
  <c r="AH60" i="15"/>
  <c r="J69" i="15"/>
  <c r="X72" i="15"/>
  <c r="AE68" i="15"/>
  <c r="T72" i="15"/>
  <c r="AF69" i="15"/>
  <c r="AD85" i="15"/>
  <c r="E84" i="15"/>
  <c r="H63" i="15"/>
  <c r="D58" i="15"/>
  <c r="BS58" i="15"/>
  <c r="BU56" i="15"/>
  <c r="AB69" i="15"/>
  <c r="BT57" i="15"/>
  <c r="C65" i="15"/>
  <c r="S61" i="15"/>
  <c r="Y69" i="15"/>
  <c r="BV55" i="15"/>
  <c r="BW54" i="15"/>
  <c r="W58" i="15"/>
  <c r="BY52" i="15"/>
  <c r="BX53" i="15"/>
  <c r="V62" i="15"/>
  <c r="AA59" i="15"/>
  <c r="AC59" i="15"/>
  <c r="U61" i="15"/>
  <c r="Z61" i="15"/>
  <c r="BZ51" i="15"/>
  <c r="CA50" i="15"/>
  <c r="L60" i="15"/>
  <c r="DF64" i="70" l="1"/>
  <c r="DD64" i="70"/>
  <c r="DB65" i="70"/>
  <c r="DE64" i="70"/>
  <c r="DC64" i="70"/>
  <c r="BK69" i="70"/>
  <c r="BT93" i="70"/>
  <c r="BX68" i="70"/>
  <c r="BP69" i="70"/>
  <c r="AS66" i="70"/>
  <c r="BU76" i="70"/>
  <c r="BI69" i="70"/>
  <c r="BL70" i="70"/>
  <c r="BQ67" i="70"/>
  <c r="BO77" i="70"/>
  <c r="BS67" i="70"/>
  <c r="BM66" i="70"/>
  <c r="BN80" i="70"/>
  <c r="AZ89" i="70"/>
  <c r="BR77" i="70"/>
  <c r="BH92" i="70"/>
  <c r="BA68" i="70"/>
  <c r="AY77" i="70"/>
  <c r="BW76" i="70"/>
  <c r="BV77" i="70"/>
  <c r="AQ85" i="70"/>
  <c r="AT92" i="70"/>
  <c r="BJ80" i="70"/>
  <c r="AR73" i="70"/>
  <c r="AW71" i="70"/>
  <c r="CE65" i="70"/>
  <c r="CR64" i="70"/>
  <c r="CP64" i="70"/>
  <c r="CS64" i="70"/>
  <c r="CL64" i="70"/>
  <c r="CM64" i="70"/>
  <c r="CO64" i="70"/>
  <c r="CU64" i="70"/>
  <c r="CH64" i="70"/>
  <c r="CN64" i="70"/>
  <c r="CI64" i="70"/>
  <c r="CG64" i="70"/>
  <c r="CF64" i="70"/>
  <c r="CQ64" i="70"/>
  <c r="CK64" i="70"/>
  <c r="CJ64" i="70"/>
  <c r="CT64" i="70"/>
  <c r="DQ59" i="70"/>
  <c r="DL64" i="70"/>
  <c r="DK65" i="70"/>
  <c r="DM63" i="70"/>
  <c r="DN62" i="70"/>
  <c r="DS57" i="70"/>
  <c r="DP60" i="70"/>
  <c r="DO61" i="70"/>
  <c r="DR58" i="70"/>
  <c r="Y70" i="15"/>
  <c r="H64" i="15"/>
  <c r="U62" i="15"/>
  <c r="AH61" i="15"/>
  <c r="BS59" i="15"/>
  <c r="T73" i="15"/>
  <c r="CA51" i="15"/>
  <c r="X73" i="15"/>
  <c r="R85" i="15"/>
  <c r="AD86" i="15"/>
  <c r="Z62" i="15"/>
  <c r="B78" i="15"/>
  <c r="BV56" i="15"/>
  <c r="W59" i="15"/>
  <c r="D59" i="15"/>
  <c r="AB70" i="15"/>
  <c r="AF70" i="15"/>
  <c r="BX54" i="15"/>
  <c r="AE69" i="15"/>
  <c r="BW55" i="15"/>
  <c r="E85" i="15"/>
  <c r="BY53" i="15"/>
  <c r="J70" i="15"/>
  <c r="S62" i="15"/>
  <c r="L61" i="15"/>
  <c r="BU57" i="15"/>
  <c r="C66" i="15"/>
  <c r="BT58" i="15"/>
  <c r="V63" i="15"/>
  <c r="K82" i="15"/>
  <c r="BZ52" i="15"/>
  <c r="AA60" i="15"/>
  <c r="AC60" i="15"/>
  <c r="AG69" i="15"/>
  <c r="DE65" i="70" l="1"/>
  <c r="DC65" i="70"/>
  <c r="DB66" i="70"/>
  <c r="DF65" i="70"/>
  <c r="DD65" i="70"/>
  <c r="CU65" i="70"/>
  <c r="CS65" i="70"/>
  <c r="CQ65" i="70"/>
  <c r="CN65" i="70"/>
  <c r="CT65" i="70"/>
  <c r="CL65" i="70"/>
  <c r="CF65" i="70"/>
  <c r="CE66" i="70"/>
  <c r="CO65" i="70"/>
  <c r="CM65" i="70"/>
  <c r="CJ65" i="70"/>
  <c r="CH65" i="70"/>
  <c r="CI65" i="70"/>
  <c r="CR65" i="70"/>
  <c r="CG65" i="70"/>
  <c r="CK65" i="70"/>
  <c r="CP65" i="70"/>
  <c r="AW72" i="70"/>
  <c r="AR74" i="70"/>
  <c r="BJ81" i="70"/>
  <c r="AT93" i="70"/>
  <c r="AQ86" i="70"/>
  <c r="BV78" i="70"/>
  <c r="BW77" i="70"/>
  <c r="AY78" i="70"/>
  <c r="BA69" i="70"/>
  <c r="BH93" i="70"/>
  <c r="BR78" i="70"/>
  <c r="AZ90" i="70"/>
  <c r="BN81" i="70"/>
  <c r="BM67" i="70"/>
  <c r="BS68" i="70"/>
  <c r="BO78" i="70"/>
  <c r="BQ68" i="70"/>
  <c r="BL71" i="70"/>
  <c r="BI70" i="70"/>
  <c r="BU77" i="70"/>
  <c r="AS67" i="70"/>
  <c r="BP70" i="70"/>
  <c r="BX69" i="70"/>
  <c r="BT94" i="70"/>
  <c r="BK70" i="70"/>
  <c r="DS58" i="70"/>
  <c r="DR59" i="70"/>
  <c r="DP61" i="70"/>
  <c r="DQ60" i="70"/>
  <c r="DO62" i="70"/>
  <c r="DN63" i="70"/>
  <c r="DK66" i="70"/>
  <c r="DL65" i="70"/>
  <c r="DM64" i="70"/>
  <c r="H65" i="15"/>
  <c r="BV57" i="15"/>
  <c r="C67" i="15"/>
  <c r="K83" i="15"/>
  <c r="BZ53" i="15"/>
  <c r="AA61" i="15"/>
  <c r="U63" i="15"/>
  <c r="BW56" i="15"/>
  <c r="AF71" i="15"/>
  <c r="L62" i="15"/>
  <c r="T74" i="15"/>
  <c r="BS60" i="15"/>
  <c r="Z63" i="15"/>
  <c r="E86" i="15"/>
  <c r="BT59" i="15"/>
  <c r="W60" i="15"/>
  <c r="AE70" i="15"/>
  <c r="S63" i="15"/>
  <c r="CA52" i="15"/>
  <c r="R86" i="15"/>
  <c r="BU58" i="15"/>
  <c r="AH62" i="15"/>
  <c r="V64" i="15"/>
  <c r="AG70" i="15"/>
  <c r="AC61" i="15"/>
  <c r="X74" i="15"/>
  <c r="BY54" i="15"/>
  <c r="AD87" i="15"/>
  <c r="BX55" i="15"/>
  <c r="J71" i="15"/>
  <c r="Y71" i="15"/>
  <c r="AB71" i="15"/>
  <c r="B79" i="15"/>
  <c r="D60" i="15"/>
  <c r="AS68" i="70" l="1"/>
  <c r="BR79" i="70"/>
  <c r="AT94" i="70"/>
  <c r="AR75" i="70"/>
  <c r="AW73" i="70"/>
  <c r="CT66" i="70"/>
  <c r="CU66" i="70"/>
  <c r="CR66" i="70"/>
  <c r="CH66" i="70"/>
  <c r="CN66" i="70"/>
  <c r="CG66" i="70"/>
  <c r="CQ66" i="70"/>
  <c r="CM66" i="70"/>
  <c r="CE67" i="70"/>
  <c r="CL66" i="70"/>
  <c r="CK66" i="70"/>
  <c r="CO66" i="70"/>
  <c r="CS66" i="70"/>
  <c r="CP66" i="70"/>
  <c r="CF66" i="70"/>
  <c r="CJ66" i="70"/>
  <c r="CI66" i="70"/>
  <c r="DB67" i="70"/>
  <c r="DE66" i="70"/>
  <c r="DC66" i="70"/>
  <c r="DF66" i="70"/>
  <c r="DD66" i="70"/>
  <c r="BK71" i="70"/>
  <c r="BT95" i="70"/>
  <c r="BX70" i="70"/>
  <c r="BP71" i="70"/>
  <c r="BU78" i="70"/>
  <c r="BI71" i="70"/>
  <c r="BL72" i="70"/>
  <c r="BQ69" i="70"/>
  <c r="BO79" i="70"/>
  <c r="BS69" i="70"/>
  <c r="BM68" i="70"/>
  <c r="BN82" i="70"/>
  <c r="AZ91" i="70"/>
  <c r="BH94" i="70"/>
  <c r="BA70" i="70"/>
  <c r="AY79" i="70"/>
  <c r="BW78" i="70"/>
  <c r="BV79" i="70"/>
  <c r="AQ87" i="70"/>
  <c r="BJ82" i="70"/>
  <c r="DM65" i="70"/>
  <c r="DL66" i="70"/>
  <c r="DK67" i="70"/>
  <c r="DO63" i="70"/>
  <c r="DP62" i="70"/>
  <c r="DR60" i="70"/>
  <c r="DQ61" i="70"/>
  <c r="DS59" i="70"/>
  <c r="DN64" i="70"/>
  <c r="D61" i="15"/>
  <c r="B80" i="15"/>
  <c r="C68" i="15"/>
  <c r="R87" i="15"/>
  <c r="AC62" i="15"/>
  <c r="K84" i="15"/>
  <c r="BZ54" i="15"/>
  <c r="Z64" i="15"/>
  <c r="AE71" i="15"/>
  <c r="BT60" i="15"/>
  <c r="Y72" i="15"/>
  <c r="T75" i="15"/>
  <c r="J72" i="15"/>
  <c r="AB72" i="15"/>
  <c r="BX56" i="15"/>
  <c r="CA53" i="15"/>
  <c r="W61" i="15"/>
  <c r="V65" i="15"/>
  <c r="BY55" i="15"/>
  <c r="AG71" i="15"/>
  <c r="BS61" i="15"/>
  <c r="AD88" i="15"/>
  <c r="L63" i="15"/>
  <c r="E87" i="15"/>
  <c r="BW57" i="15"/>
  <c r="U64" i="15"/>
  <c r="AF72" i="15"/>
  <c r="AA62" i="15"/>
  <c r="BU59" i="15"/>
  <c r="S64" i="15"/>
  <c r="H66" i="15"/>
  <c r="BV58" i="15"/>
  <c r="AH63" i="15"/>
  <c r="X75" i="15"/>
  <c r="BJ83" i="70" l="1"/>
  <c r="AQ88" i="70"/>
  <c r="BV80" i="70"/>
  <c r="BW79" i="70"/>
  <c r="AY80" i="70"/>
  <c r="BA71" i="70"/>
  <c r="BH95" i="70"/>
  <c r="AZ92" i="70"/>
  <c r="BN83" i="70"/>
  <c r="BM69" i="70"/>
  <c r="BS70" i="70"/>
  <c r="BO80" i="70"/>
  <c r="BQ70" i="70"/>
  <c r="BL73" i="70"/>
  <c r="BI72" i="70"/>
  <c r="BU79" i="70"/>
  <c r="BP72" i="70"/>
  <c r="BX71" i="70"/>
  <c r="BT96" i="70"/>
  <c r="BK72" i="70"/>
  <c r="CR67" i="70"/>
  <c r="CU67" i="70"/>
  <c r="CS67" i="70"/>
  <c r="CO67" i="70"/>
  <c r="CG67" i="70"/>
  <c r="CH67" i="70"/>
  <c r="CM67" i="70"/>
  <c r="CP67" i="70"/>
  <c r="CQ67" i="70"/>
  <c r="CL67" i="70"/>
  <c r="CI67" i="70"/>
  <c r="CK67" i="70"/>
  <c r="CN67" i="70"/>
  <c r="CT67" i="70"/>
  <c r="CE68" i="70"/>
  <c r="CF67" i="70"/>
  <c r="CJ67" i="70"/>
  <c r="AW74" i="70"/>
  <c r="AR76" i="70"/>
  <c r="AT95" i="70"/>
  <c r="BR80" i="70"/>
  <c r="AS69" i="70"/>
  <c r="DB68" i="70"/>
  <c r="DF67" i="70"/>
  <c r="DD67" i="70"/>
  <c r="DE67" i="70"/>
  <c r="DC67" i="70"/>
  <c r="DS60" i="70"/>
  <c r="DQ62" i="70"/>
  <c r="DP63" i="70"/>
  <c r="DR61" i="70"/>
  <c r="DL67" i="70"/>
  <c r="DK68" i="70"/>
  <c r="DM66" i="70"/>
  <c r="DO64" i="70"/>
  <c r="DN65" i="70"/>
  <c r="T76" i="15"/>
  <c r="AA63" i="15"/>
  <c r="AG72" i="15"/>
  <c r="BW58" i="15"/>
  <c r="D62" i="15"/>
  <c r="BY56" i="15"/>
  <c r="V66" i="15"/>
  <c r="AD89" i="15"/>
  <c r="BX57" i="15"/>
  <c r="R88" i="15"/>
  <c r="J73" i="15"/>
  <c r="BU60" i="15"/>
  <c r="S65" i="15"/>
  <c r="AC63" i="15"/>
  <c r="Z65" i="15"/>
  <c r="L64" i="15"/>
  <c r="BS62" i="15"/>
  <c r="H67" i="15"/>
  <c r="CA54" i="15"/>
  <c r="AH64" i="15"/>
  <c r="K85" i="15"/>
  <c r="BZ55" i="15"/>
  <c r="U65" i="15"/>
  <c r="BT61" i="15"/>
  <c r="C69" i="15"/>
  <c r="E88" i="15"/>
  <c r="Y73" i="15"/>
  <c r="W62" i="15"/>
  <c r="AE72" i="15"/>
  <c r="AF73" i="15"/>
  <c r="X76" i="15"/>
  <c r="BV59" i="15"/>
  <c r="AB73" i="15"/>
  <c r="B81" i="15"/>
  <c r="CQ68" i="70" l="1"/>
  <c r="CE69" i="70"/>
  <c r="CT68" i="70"/>
  <c r="CJ68" i="70"/>
  <c r="CP68" i="70"/>
  <c r="CU68" i="70"/>
  <c r="CF68" i="70"/>
  <c r="CG68" i="70"/>
  <c r="CL68" i="70"/>
  <c r="CI68" i="70"/>
  <c r="CM68" i="70"/>
  <c r="CK68" i="70"/>
  <c r="CR68" i="70"/>
  <c r="CO68" i="70"/>
  <c r="CH68" i="70"/>
  <c r="CS68" i="70"/>
  <c r="CN68" i="70"/>
  <c r="BK73" i="70"/>
  <c r="BT97" i="70"/>
  <c r="BX72" i="70"/>
  <c r="BP73" i="70"/>
  <c r="BU80" i="70"/>
  <c r="BI73" i="70"/>
  <c r="BL74" i="70"/>
  <c r="BQ71" i="70"/>
  <c r="BO81" i="70"/>
  <c r="BS71" i="70"/>
  <c r="BM70" i="70"/>
  <c r="BN84" i="70"/>
  <c r="AZ93" i="70"/>
  <c r="BH96" i="70"/>
  <c r="BA72" i="70"/>
  <c r="AY81" i="70"/>
  <c r="BW80" i="70"/>
  <c r="BV81" i="70"/>
  <c r="AQ89" i="70"/>
  <c r="BJ84" i="70"/>
  <c r="DF68" i="70"/>
  <c r="DD68" i="70"/>
  <c r="DE68" i="70"/>
  <c r="DB69" i="70"/>
  <c r="DC68" i="70"/>
  <c r="AS70" i="70"/>
  <c r="BR81" i="70"/>
  <c r="AT96" i="70"/>
  <c r="AR77" i="70"/>
  <c r="AW75" i="70"/>
  <c r="DL68" i="70"/>
  <c r="DK69" i="70"/>
  <c r="DQ63" i="70"/>
  <c r="DR62" i="70"/>
  <c r="DP64" i="70"/>
  <c r="DN66" i="70"/>
  <c r="DM67" i="70"/>
  <c r="DS61" i="70"/>
  <c r="DO65" i="70"/>
  <c r="D63" i="15"/>
  <c r="K86" i="15"/>
  <c r="H68" i="15"/>
  <c r="BT62" i="15"/>
  <c r="BW59" i="15"/>
  <c r="S66" i="15"/>
  <c r="BU61" i="15"/>
  <c r="BY57" i="15"/>
  <c r="X77" i="15"/>
  <c r="C70" i="15"/>
  <c r="Y74" i="15"/>
  <c r="E89" i="15"/>
  <c r="R89" i="15"/>
  <c r="AG73" i="15"/>
  <c r="T77" i="15"/>
  <c r="AB74" i="15"/>
  <c r="V67" i="15"/>
  <c r="BS63" i="15"/>
  <c r="BX58" i="15"/>
  <c r="CA55" i="15"/>
  <c r="AA64" i="15"/>
  <c r="J74" i="15"/>
  <c r="L65" i="15"/>
  <c r="W63" i="15"/>
  <c r="BZ56" i="15"/>
  <c r="AH65" i="15"/>
  <c r="AF74" i="15"/>
  <c r="BV60" i="15"/>
  <c r="U66" i="15"/>
  <c r="AE73" i="15"/>
  <c r="AD90" i="15"/>
  <c r="Z66" i="15"/>
  <c r="AC64" i="15"/>
  <c r="B82" i="15"/>
  <c r="AW76" i="70" l="1"/>
  <c r="AR78" i="70"/>
  <c r="AT97" i="70"/>
  <c r="BR82" i="70"/>
  <c r="AS71" i="70"/>
  <c r="DB70" i="70"/>
  <c r="DE69" i="70"/>
  <c r="DC69" i="70"/>
  <c r="DD69" i="70"/>
  <c r="DF69" i="70"/>
  <c r="BJ85" i="70"/>
  <c r="AQ90" i="70"/>
  <c r="BV82" i="70"/>
  <c r="BW81" i="70"/>
  <c r="AY82" i="70"/>
  <c r="BA73" i="70"/>
  <c r="BH97" i="70"/>
  <c r="AZ94" i="70"/>
  <c r="BN85" i="70"/>
  <c r="BM71" i="70"/>
  <c r="BS72" i="70"/>
  <c r="BO82" i="70"/>
  <c r="BQ72" i="70"/>
  <c r="BL75" i="70"/>
  <c r="BI74" i="70"/>
  <c r="BU81" i="70"/>
  <c r="BP74" i="70"/>
  <c r="BX73" i="70"/>
  <c r="BT98" i="70"/>
  <c r="BK74" i="70"/>
  <c r="CP69" i="70"/>
  <c r="CO69" i="70"/>
  <c r="CM69" i="70"/>
  <c r="CL69" i="70"/>
  <c r="CF69" i="70"/>
  <c r="CK69" i="70"/>
  <c r="CR69" i="70"/>
  <c r="CG69" i="70"/>
  <c r="CU69" i="70"/>
  <c r="CN69" i="70"/>
  <c r="CE70" i="70"/>
  <c r="CS69" i="70"/>
  <c r="CJ69" i="70"/>
  <c r="CQ69" i="70"/>
  <c r="CH69" i="70"/>
  <c r="CT69" i="70"/>
  <c r="CI69" i="70"/>
  <c r="DQ64" i="70"/>
  <c r="DS62" i="70"/>
  <c r="DR63" i="70"/>
  <c r="DL69" i="70"/>
  <c r="DK70" i="70"/>
  <c r="DN67" i="70"/>
  <c r="DO66" i="70"/>
  <c r="DP65" i="70"/>
  <c r="DM68" i="70"/>
  <c r="H69" i="15"/>
  <c r="L66" i="15"/>
  <c r="BW60" i="15"/>
  <c r="BT63" i="15"/>
  <c r="BY58" i="15"/>
  <c r="Z67" i="15"/>
  <c r="BX59" i="15"/>
  <c r="BU62" i="15"/>
  <c r="E90" i="15"/>
  <c r="D64" i="15"/>
  <c r="BV61" i="15"/>
  <c r="AD91" i="15"/>
  <c r="CA56" i="15"/>
  <c r="AB75" i="15"/>
  <c r="W64" i="15"/>
  <c r="AA65" i="15"/>
  <c r="AC65" i="15"/>
  <c r="T78" i="15"/>
  <c r="K87" i="15"/>
  <c r="C71" i="15"/>
  <c r="AG74" i="15"/>
  <c r="BS64" i="15"/>
  <c r="U67" i="15"/>
  <c r="AH66" i="15"/>
  <c r="BZ57" i="15"/>
  <c r="V68" i="15"/>
  <c r="S67" i="15"/>
  <c r="R90" i="15"/>
  <c r="AE74" i="15"/>
  <c r="Y75" i="15"/>
  <c r="B83" i="15"/>
  <c r="X78" i="15"/>
  <c r="J75" i="15"/>
  <c r="AF75" i="15"/>
  <c r="DF70" i="70" l="1"/>
  <c r="DD70" i="70"/>
  <c r="DB71" i="70"/>
  <c r="DC70" i="70"/>
  <c r="DE70" i="70"/>
  <c r="AS72" i="70"/>
  <c r="BR83" i="70"/>
  <c r="AT98" i="70"/>
  <c r="AR79" i="70"/>
  <c r="AW77" i="70"/>
  <c r="CO70" i="70"/>
  <c r="CE71" i="70"/>
  <c r="CF70" i="70"/>
  <c r="CI70" i="70"/>
  <c r="CH70" i="70"/>
  <c r="CU70" i="70"/>
  <c r="CL70" i="70"/>
  <c r="CT70" i="70"/>
  <c r="CJ70" i="70"/>
  <c r="CG70" i="70"/>
  <c r="CN70" i="70"/>
  <c r="CS70" i="70"/>
  <c r="CR70" i="70"/>
  <c r="CM70" i="70"/>
  <c r="CK70" i="70"/>
  <c r="CP70" i="70"/>
  <c r="CQ70" i="70"/>
  <c r="BK75" i="70"/>
  <c r="BT99" i="70"/>
  <c r="BX74" i="70"/>
  <c r="BP75" i="70"/>
  <c r="BU82" i="70"/>
  <c r="BI75" i="70"/>
  <c r="BL76" i="70"/>
  <c r="BQ73" i="70"/>
  <c r="BO83" i="70"/>
  <c r="BS73" i="70"/>
  <c r="BM72" i="70"/>
  <c r="BN86" i="70"/>
  <c r="AZ95" i="70"/>
  <c r="BH98" i="70"/>
  <c r="BA74" i="70"/>
  <c r="AY83" i="70"/>
  <c r="BW82" i="70"/>
  <c r="BV83" i="70"/>
  <c r="AQ91" i="70"/>
  <c r="BJ86" i="70"/>
  <c r="DQ65" i="70"/>
  <c r="DO67" i="70"/>
  <c r="DK71" i="70"/>
  <c r="DL70" i="70"/>
  <c r="DM69" i="70"/>
  <c r="DS63" i="70"/>
  <c r="DP66" i="70"/>
  <c r="DN68" i="70"/>
  <c r="DR64" i="70"/>
  <c r="U68" i="15"/>
  <c r="CA57" i="15"/>
  <c r="C72" i="15"/>
  <c r="R91" i="15"/>
  <c r="AB76" i="15"/>
  <c r="D65" i="15"/>
  <c r="BV62" i="15"/>
  <c r="AF76" i="15"/>
  <c r="X79" i="15"/>
  <c r="B84" i="15"/>
  <c r="BY59" i="15"/>
  <c r="BS65" i="15"/>
  <c r="S68" i="15"/>
  <c r="L67" i="15"/>
  <c r="AH67" i="15"/>
  <c r="T79" i="15"/>
  <c r="BZ58" i="15"/>
  <c r="AD92" i="15"/>
  <c r="BT64" i="15"/>
  <c r="BX60" i="15"/>
  <c r="BU63" i="15"/>
  <c r="AA66" i="15"/>
  <c r="AG75" i="15"/>
  <c r="Z68" i="15"/>
  <c r="W65" i="15"/>
  <c r="AC66" i="15"/>
  <c r="E91" i="15"/>
  <c r="BW61" i="15"/>
  <c r="Y76" i="15"/>
  <c r="K88" i="15"/>
  <c r="AE75" i="15"/>
  <c r="H70" i="15"/>
  <c r="V69" i="15"/>
  <c r="J76" i="15"/>
  <c r="AQ92" i="70" l="1"/>
  <c r="BV84" i="70"/>
  <c r="BW83" i="70"/>
  <c r="AY84" i="70"/>
  <c r="BA75" i="70"/>
  <c r="BH99" i="70"/>
  <c r="AZ96" i="70"/>
  <c r="BN87" i="70"/>
  <c r="BM73" i="70"/>
  <c r="BS74" i="70"/>
  <c r="BO84" i="70"/>
  <c r="BQ74" i="70"/>
  <c r="BL77" i="70"/>
  <c r="BI76" i="70"/>
  <c r="BU83" i="70"/>
  <c r="BP76" i="70"/>
  <c r="BX75" i="70"/>
  <c r="BT100" i="70"/>
  <c r="BK76" i="70"/>
  <c r="CE72" i="70"/>
  <c r="CF71" i="70"/>
  <c r="CM71" i="70"/>
  <c r="CK71" i="70"/>
  <c r="CJ71" i="70"/>
  <c r="CP71" i="70"/>
  <c r="CO71" i="70"/>
  <c r="CQ71" i="70"/>
  <c r="CH71" i="70"/>
  <c r="CN71" i="70"/>
  <c r="CU71" i="70"/>
  <c r="CL71" i="70"/>
  <c r="CT71" i="70"/>
  <c r="CS71" i="70"/>
  <c r="CI71" i="70"/>
  <c r="CG71" i="70"/>
  <c r="CR71" i="70"/>
  <c r="DB72" i="70"/>
  <c r="DE71" i="70"/>
  <c r="DC71" i="70"/>
  <c r="DF71" i="70"/>
  <c r="DD71" i="70"/>
  <c r="BJ87" i="70"/>
  <c r="AW78" i="70"/>
  <c r="AR80" i="70"/>
  <c r="AT99" i="70"/>
  <c r="BR84" i="70"/>
  <c r="AS73" i="70"/>
  <c r="DO68" i="70"/>
  <c r="DL71" i="70"/>
  <c r="DK72" i="70"/>
  <c r="DQ66" i="70"/>
  <c r="DP67" i="70"/>
  <c r="DN69" i="70"/>
  <c r="DM70" i="70"/>
  <c r="DS64" i="70"/>
  <c r="DR65" i="70"/>
  <c r="B85" i="15"/>
  <c r="AC67" i="15"/>
  <c r="CA58" i="15"/>
  <c r="V70" i="15"/>
  <c r="BZ59" i="15"/>
  <c r="R92" i="15"/>
  <c r="BY60" i="15"/>
  <c r="E92" i="15"/>
  <c r="J77" i="15"/>
  <c r="BW62" i="15"/>
  <c r="U69" i="15"/>
  <c r="Z69" i="15"/>
  <c r="AB77" i="15"/>
  <c r="BV63" i="15"/>
  <c r="BT65" i="15"/>
  <c r="K89" i="15"/>
  <c r="AF77" i="15"/>
  <c r="H71" i="15"/>
  <c r="BS66" i="15"/>
  <c r="AA67" i="15"/>
  <c r="AH68" i="15"/>
  <c r="C73" i="15"/>
  <c r="L68" i="15"/>
  <c r="X80" i="15"/>
  <c r="S69" i="15"/>
  <c r="Y77" i="15"/>
  <c r="AD93" i="15"/>
  <c r="AG76" i="15"/>
  <c r="AE76" i="15"/>
  <c r="BX61" i="15"/>
  <c r="W66" i="15"/>
  <c r="BU64" i="15"/>
  <c r="D66" i="15"/>
  <c r="T80" i="15"/>
  <c r="AS74" i="70" l="1"/>
  <c r="BR85" i="70"/>
  <c r="AT100" i="70"/>
  <c r="AR81" i="70"/>
  <c r="AW79" i="70"/>
  <c r="BJ88" i="70"/>
  <c r="CU72" i="70"/>
  <c r="CT72" i="70"/>
  <c r="CQ72" i="70"/>
  <c r="CP72" i="70"/>
  <c r="CO72" i="70"/>
  <c r="CS72" i="70"/>
  <c r="CJ72" i="70"/>
  <c r="CN72" i="70"/>
  <c r="CH72" i="70"/>
  <c r="CM72" i="70"/>
  <c r="CL72" i="70"/>
  <c r="CG72" i="70"/>
  <c r="CF72" i="70"/>
  <c r="CE73" i="70"/>
  <c r="CK72" i="70"/>
  <c r="CI72" i="70"/>
  <c r="CR72" i="70"/>
  <c r="BK77" i="70"/>
  <c r="BT101" i="70"/>
  <c r="BX76" i="70"/>
  <c r="BP77" i="70"/>
  <c r="BU84" i="70"/>
  <c r="BI77" i="70"/>
  <c r="BL78" i="70"/>
  <c r="BQ75" i="70"/>
  <c r="BO85" i="70"/>
  <c r="BS75" i="70"/>
  <c r="BM74" i="70"/>
  <c r="BN88" i="70"/>
  <c r="AZ97" i="70"/>
  <c r="BH100" i="70"/>
  <c r="BA76" i="70"/>
  <c r="AY85" i="70"/>
  <c r="BW84" i="70"/>
  <c r="BV85" i="70"/>
  <c r="AQ93" i="70"/>
  <c r="DB73" i="70"/>
  <c r="DF72" i="70"/>
  <c r="DD72" i="70"/>
  <c r="DE72" i="70"/>
  <c r="DC72" i="70"/>
  <c r="DN70" i="70"/>
  <c r="DQ67" i="70"/>
  <c r="DR66" i="70"/>
  <c r="DL72" i="70"/>
  <c r="DK73" i="70"/>
  <c r="DO69" i="70"/>
  <c r="DM71" i="70"/>
  <c r="DS65" i="70"/>
  <c r="DP68" i="70"/>
  <c r="D67" i="15"/>
  <c r="AE77" i="15"/>
  <c r="AB78" i="15"/>
  <c r="BV64" i="15"/>
  <c r="W67" i="15"/>
  <c r="AC68" i="15"/>
  <c r="L69" i="15"/>
  <c r="BS67" i="15"/>
  <c r="C74" i="15"/>
  <c r="BX62" i="15"/>
  <c r="U70" i="15"/>
  <c r="E93" i="15"/>
  <c r="X81" i="15"/>
  <c r="CA59" i="15"/>
  <c r="R93" i="15"/>
  <c r="J78" i="15"/>
  <c r="Y78" i="15"/>
  <c r="T81" i="15"/>
  <c r="K90" i="15"/>
  <c r="BU65" i="15"/>
  <c r="AG77" i="15"/>
  <c r="S70" i="15"/>
  <c r="Z70" i="15"/>
  <c r="AH69" i="15"/>
  <c r="BW63" i="15"/>
  <c r="B86" i="15"/>
  <c r="AF78" i="15"/>
  <c r="BT66" i="15"/>
  <c r="H72" i="15"/>
  <c r="AA68" i="15"/>
  <c r="BZ60" i="15"/>
  <c r="BY61" i="15"/>
  <c r="AD94" i="15"/>
  <c r="V71" i="15"/>
  <c r="BJ89" i="70" l="1"/>
  <c r="AW80" i="70"/>
  <c r="AR82" i="70"/>
  <c r="AT101" i="70"/>
  <c r="BR86" i="70"/>
  <c r="AS75" i="70"/>
  <c r="DB74" i="70"/>
  <c r="DF73" i="70"/>
  <c r="DD73" i="70"/>
  <c r="DE73" i="70"/>
  <c r="DC73" i="70"/>
  <c r="AQ94" i="70"/>
  <c r="BV86" i="70"/>
  <c r="BW85" i="70"/>
  <c r="AY86" i="70"/>
  <c r="BA77" i="70"/>
  <c r="BH101" i="70"/>
  <c r="AZ98" i="70"/>
  <c r="BN89" i="70"/>
  <c r="BM75" i="70"/>
  <c r="BS76" i="70"/>
  <c r="BO86" i="70"/>
  <c r="BQ76" i="70"/>
  <c r="BL79" i="70"/>
  <c r="BI78" i="70"/>
  <c r="BU85" i="70"/>
  <c r="BP78" i="70"/>
  <c r="BX77" i="70"/>
  <c r="BT102" i="70"/>
  <c r="BK78" i="70"/>
  <c r="CT73" i="70"/>
  <c r="CS73" i="70"/>
  <c r="CJ73" i="70"/>
  <c r="CI73" i="70"/>
  <c r="CH73" i="70"/>
  <c r="CO73" i="70"/>
  <c r="CF73" i="70"/>
  <c r="CL73" i="70"/>
  <c r="CK73" i="70"/>
  <c r="CU73" i="70"/>
  <c r="CR73" i="70"/>
  <c r="CQ73" i="70"/>
  <c r="CM73" i="70"/>
  <c r="CN73" i="70"/>
  <c r="CE74" i="70"/>
  <c r="CP73" i="70"/>
  <c r="CG73" i="70"/>
  <c r="DK74" i="70"/>
  <c r="DL73" i="70"/>
  <c r="DM72" i="70"/>
  <c r="DN71" i="70"/>
  <c r="DS66" i="70"/>
  <c r="DP69" i="70"/>
  <c r="DR67" i="70"/>
  <c r="DQ68" i="70"/>
  <c r="DO70" i="70"/>
  <c r="T82" i="15"/>
  <c r="BU66" i="15"/>
  <c r="E94" i="15"/>
  <c r="J79" i="15"/>
  <c r="BS68" i="15"/>
  <c r="AH70" i="15"/>
  <c r="BX63" i="15"/>
  <c r="S71" i="15"/>
  <c r="Z71" i="15"/>
  <c r="BW64" i="15"/>
  <c r="AE78" i="15"/>
  <c r="AG78" i="15"/>
  <c r="W68" i="15"/>
  <c r="H73" i="15"/>
  <c r="CA60" i="15"/>
  <c r="Y79" i="15"/>
  <c r="C75" i="15"/>
  <c r="B87" i="15"/>
  <c r="BZ61" i="15"/>
  <c r="BV65" i="15"/>
  <c r="R94" i="15"/>
  <c r="BT67" i="15"/>
  <c r="AA69" i="15"/>
  <c r="L70" i="15"/>
  <c r="V72" i="15"/>
  <c r="AF79" i="15"/>
  <c r="U71" i="15"/>
  <c r="AD95" i="15"/>
  <c r="AB79" i="15"/>
  <c r="BY62" i="15"/>
  <c r="D68" i="15"/>
  <c r="K91" i="15"/>
  <c r="X82" i="15"/>
  <c r="AC69" i="15"/>
  <c r="DF74" i="70" l="1"/>
  <c r="DD74" i="70"/>
  <c r="DE74" i="70"/>
  <c r="DB75" i="70"/>
  <c r="DC74" i="70"/>
  <c r="AS76" i="70"/>
  <c r="BR87" i="70"/>
  <c r="AT102" i="70"/>
  <c r="AR83" i="70"/>
  <c r="AW81" i="70"/>
  <c r="BJ90" i="70"/>
  <c r="CQ74" i="70"/>
  <c r="CP74" i="70"/>
  <c r="CM74" i="70"/>
  <c r="CL74" i="70"/>
  <c r="CK74" i="70"/>
  <c r="CF74" i="70"/>
  <c r="CG74" i="70"/>
  <c r="CJ74" i="70"/>
  <c r="CT74" i="70"/>
  <c r="CI74" i="70"/>
  <c r="CH74" i="70"/>
  <c r="CE75" i="70"/>
  <c r="CR74" i="70"/>
  <c r="CO74" i="70"/>
  <c r="CS74" i="70"/>
  <c r="CU74" i="70"/>
  <c r="CN74" i="70"/>
  <c r="BK79" i="70"/>
  <c r="BT103" i="70"/>
  <c r="BX78" i="70"/>
  <c r="BP79" i="70"/>
  <c r="BU86" i="70"/>
  <c r="BI79" i="70"/>
  <c r="BL80" i="70"/>
  <c r="BQ77" i="70"/>
  <c r="BO87" i="70"/>
  <c r="BS77" i="70"/>
  <c r="BM76" i="70"/>
  <c r="BN90" i="70"/>
  <c r="AZ99" i="70"/>
  <c r="BH102" i="70"/>
  <c r="BA78" i="70"/>
  <c r="AY87" i="70"/>
  <c r="BW86" i="70"/>
  <c r="BV87" i="70"/>
  <c r="AQ95" i="70"/>
  <c r="DO71" i="70"/>
  <c r="DN72" i="70"/>
  <c r="DR68" i="70"/>
  <c r="DQ69" i="70"/>
  <c r="DM73" i="70"/>
  <c r="DS67" i="70"/>
  <c r="DP70" i="70"/>
  <c r="DL74" i="70"/>
  <c r="DK75" i="70"/>
  <c r="U72" i="15"/>
  <c r="K92" i="15"/>
  <c r="AA70" i="15"/>
  <c r="BX64" i="15"/>
  <c r="J80" i="15"/>
  <c r="D69" i="15"/>
  <c r="BW65" i="15"/>
  <c r="T83" i="15"/>
  <c r="AH71" i="15"/>
  <c r="BT68" i="15"/>
  <c r="B88" i="15"/>
  <c r="W69" i="15"/>
  <c r="CA61" i="15"/>
  <c r="Y80" i="15"/>
  <c r="L71" i="15"/>
  <c r="E95" i="15"/>
  <c r="BU67" i="15"/>
  <c r="BZ62" i="15"/>
  <c r="AF80" i="15"/>
  <c r="Z72" i="15"/>
  <c r="AG79" i="15"/>
  <c r="BS69" i="15"/>
  <c r="AE79" i="15"/>
  <c r="S72" i="15"/>
  <c r="AC70" i="15"/>
  <c r="V73" i="15"/>
  <c r="H74" i="15"/>
  <c r="AD96" i="15"/>
  <c r="AB80" i="15"/>
  <c r="R95" i="15"/>
  <c r="BV66" i="15"/>
  <c r="X83" i="15"/>
  <c r="BY63" i="15"/>
  <c r="C76" i="15"/>
  <c r="AQ96" i="70" l="1"/>
  <c r="BV88" i="70"/>
  <c r="BW87" i="70"/>
  <c r="AY88" i="70"/>
  <c r="BA79" i="70"/>
  <c r="BH103" i="70"/>
  <c r="AZ100" i="70"/>
  <c r="BN91" i="70"/>
  <c r="BM77" i="70"/>
  <c r="BS78" i="70"/>
  <c r="BO88" i="70"/>
  <c r="BQ78" i="70"/>
  <c r="BL81" i="70"/>
  <c r="BI80" i="70"/>
  <c r="BU87" i="70"/>
  <c r="BP80" i="70"/>
  <c r="BX79" i="70"/>
  <c r="BT104" i="70"/>
  <c r="BK80" i="70"/>
  <c r="CP75" i="70"/>
  <c r="CO75" i="70"/>
  <c r="CR75" i="70"/>
  <c r="CQ75" i="70"/>
  <c r="CS75" i="70"/>
  <c r="CI75" i="70"/>
  <c r="CE76" i="70"/>
  <c r="CK75" i="70"/>
  <c r="CT75" i="70"/>
  <c r="CH75" i="70"/>
  <c r="CG75" i="70"/>
  <c r="CF75" i="70"/>
  <c r="CN75" i="70"/>
  <c r="CJ75" i="70"/>
  <c r="CL75" i="70"/>
  <c r="CU75" i="70"/>
  <c r="CM75" i="70"/>
  <c r="BJ91" i="70"/>
  <c r="AW82" i="70"/>
  <c r="AR84" i="70"/>
  <c r="AT103" i="70"/>
  <c r="BR88" i="70"/>
  <c r="AS77" i="70"/>
  <c r="DB76" i="70"/>
  <c r="DE75" i="70"/>
  <c r="DC75" i="70"/>
  <c r="DD75" i="70"/>
  <c r="DF75" i="70"/>
  <c r="DM74" i="70"/>
  <c r="DN73" i="70"/>
  <c r="DR69" i="70"/>
  <c r="DS68" i="70"/>
  <c r="DO72" i="70"/>
  <c r="DQ70" i="70"/>
  <c r="DL75" i="70"/>
  <c r="DK76" i="70"/>
  <c r="DP71" i="70"/>
  <c r="AF81" i="15"/>
  <c r="S73" i="15"/>
  <c r="L72" i="15"/>
  <c r="AA71" i="15"/>
  <c r="BT69" i="15"/>
  <c r="AG80" i="15"/>
  <c r="R96" i="15"/>
  <c r="AD97" i="15"/>
  <c r="BX65" i="15"/>
  <c r="BU68" i="15"/>
  <c r="C77" i="15"/>
  <c r="BZ63" i="15"/>
  <c r="Y81" i="15"/>
  <c r="BS70" i="15"/>
  <c r="K93" i="15"/>
  <c r="E96" i="15"/>
  <c r="BV67" i="15"/>
  <c r="X84" i="15"/>
  <c r="AB81" i="15"/>
  <c r="J81" i="15"/>
  <c r="AE80" i="15"/>
  <c r="BW66" i="15"/>
  <c r="BY64" i="15"/>
  <c r="W70" i="15"/>
  <c r="U73" i="15"/>
  <c r="AH72" i="15"/>
  <c r="CA62" i="15"/>
  <c r="AC71" i="15"/>
  <c r="D70" i="15"/>
  <c r="T84" i="15"/>
  <c r="Z73" i="15"/>
  <c r="V74" i="15"/>
  <c r="B89" i="15"/>
  <c r="H75" i="15"/>
  <c r="CO76" i="70" l="1"/>
  <c r="CE77" i="70"/>
  <c r="CF76" i="70"/>
  <c r="CK76" i="70"/>
  <c r="CJ76" i="70"/>
  <c r="CI76" i="70"/>
  <c r="CL76" i="70"/>
  <c r="CH76" i="70"/>
  <c r="CR76" i="70"/>
  <c r="CG76" i="70"/>
  <c r="CN76" i="70"/>
  <c r="CU76" i="70"/>
  <c r="CT76" i="70"/>
  <c r="CS76" i="70"/>
  <c r="CQ76" i="70"/>
  <c r="CP76" i="70"/>
  <c r="CM76" i="70"/>
  <c r="BK81" i="70"/>
  <c r="BT105" i="70"/>
  <c r="BX80" i="70"/>
  <c r="BP81" i="70"/>
  <c r="BU88" i="70"/>
  <c r="BI81" i="70"/>
  <c r="BL82" i="70"/>
  <c r="BQ79" i="70"/>
  <c r="BO89" i="70"/>
  <c r="BS79" i="70"/>
  <c r="BM78" i="70"/>
  <c r="BN92" i="70"/>
  <c r="AZ101" i="70"/>
  <c r="BH104" i="70"/>
  <c r="BA80" i="70"/>
  <c r="AY89" i="70"/>
  <c r="BW88" i="70"/>
  <c r="BV89" i="70"/>
  <c r="AQ97" i="70"/>
  <c r="DF76" i="70"/>
  <c r="DD76" i="70"/>
  <c r="DB77" i="70"/>
  <c r="DC76" i="70"/>
  <c r="DE76" i="70"/>
  <c r="AS78" i="70"/>
  <c r="BR89" i="70"/>
  <c r="AT104" i="70"/>
  <c r="AR85" i="70"/>
  <c r="AW83" i="70"/>
  <c r="BJ92" i="70"/>
  <c r="DK77" i="70"/>
  <c r="DL76" i="70"/>
  <c r="DP72" i="70"/>
  <c r="DM75" i="70"/>
  <c r="DS69" i="70"/>
  <c r="DR70" i="70"/>
  <c r="DO73" i="70"/>
  <c r="DQ71" i="70"/>
  <c r="DN74" i="70"/>
  <c r="AB82" i="15"/>
  <c r="AH73" i="15"/>
  <c r="AF82" i="15"/>
  <c r="BS71" i="15"/>
  <c r="BY65" i="15"/>
  <c r="B90" i="15"/>
  <c r="BW67" i="15"/>
  <c r="E97" i="15"/>
  <c r="BT70" i="15"/>
  <c r="R97" i="15"/>
  <c r="BX66" i="15"/>
  <c r="BU69" i="15"/>
  <c r="L73" i="15"/>
  <c r="T85" i="15"/>
  <c r="BZ64" i="15"/>
  <c r="AC72" i="15"/>
  <c r="AG81" i="15"/>
  <c r="U74" i="15"/>
  <c r="H76" i="15"/>
  <c r="CA63" i="15"/>
  <c r="AE81" i="15"/>
  <c r="D71" i="15"/>
  <c r="C78" i="15"/>
  <c r="AD98" i="15"/>
  <c r="Y82" i="15"/>
  <c r="J82" i="15"/>
  <c r="S74" i="15"/>
  <c r="AA72" i="15"/>
  <c r="X85" i="15"/>
  <c r="W71" i="15"/>
  <c r="BV68" i="15"/>
  <c r="V75" i="15"/>
  <c r="K94" i="15"/>
  <c r="Z74" i="15"/>
  <c r="BJ93" i="70" l="1"/>
  <c r="AW84" i="70"/>
  <c r="AR86" i="70"/>
  <c r="AT105" i="70"/>
  <c r="BR90" i="70"/>
  <c r="AS79" i="70"/>
  <c r="DB78" i="70"/>
  <c r="DE77" i="70"/>
  <c r="DC77" i="70"/>
  <c r="DF77" i="70"/>
  <c r="DD77" i="70"/>
  <c r="AQ98" i="70"/>
  <c r="BV90" i="70"/>
  <c r="BW89" i="70"/>
  <c r="AY90" i="70"/>
  <c r="BA81" i="70"/>
  <c r="BH105" i="70"/>
  <c r="AZ102" i="70"/>
  <c r="BN93" i="70"/>
  <c r="BM79" i="70"/>
  <c r="BS80" i="70"/>
  <c r="BO90" i="70"/>
  <c r="BQ80" i="70"/>
  <c r="BL83" i="70"/>
  <c r="BI82" i="70"/>
  <c r="BU89" i="70"/>
  <c r="BP82" i="70"/>
  <c r="BX81" i="70"/>
  <c r="BT106" i="70"/>
  <c r="BK82" i="70"/>
  <c r="CE78" i="70"/>
  <c r="CF77" i="70"/>
  <c r="CM77" i="70"/>
  <c r="CO77" i="70"/>
  <c r="CR77" i="70"/>
  <c r="CQ77" i="70"/>
  <c r="CK77" i="70"/>
  <c r="CS77" i="70"/>
  <c r="CG77" i="70"/>
  <c r="CN77" i="70"/>
  <c r="CU77" i="70"/>
  <c r="CP77" i="70"/>
  <c r="CL77" i="70"/>
  <c r="CH77" i="70"/>
  <c r="CJ77" i="70"/>
  <c r="CI77" i="70"/>
  <c r="CT77" i="70"/>
  <c r="DR71" i="70"/>
  <c r="DN75" i="70"/>
  <c r="DP73" i="70"/>
  <c r="DQ72" i="70"/>
  <c r="DS70" i="70"/>
  <c r="DM76" i="70"/>
  <c r="DO74" i="70"/>
  <c r="DL77" i="70"/>
  <c r="DK78" i="70"/>
  <c r="H77" i="15"/>
  <c r="X86" i="15"/>
  <c r="BU70" i="15"/>
  <c r="AE82" i="15"/>
  <c r="W72" i="15"/>
  <c r="L74" i="15"/>
  <c r="BX67" i="15"/>
  <c r="BY66" i="15"/>
  <c r="AA73" i="15"/>
  <c r="R98" i="15"/>
  <c r="BZ65" i="15"/>
  <c r="CA64" i="15"/>
  <c r="K95" i="15"/>
  <c r="BS72" i="15"/>
  <c r="BT71" i="15"/>
  <c r="V76" i="15"/>
  <c r="D72" i="15"/>
  <c r="AC73" i="15"/>
  <c r="BV69" i="15"/>
  <c r="AB83" i="15"/>
  <c r="Z75" i="15"/>
  <c r="AD99" i="15"/>
  <c r="AF83" i="15"/>
  <c r="BW68" i="15"/>
  <c r="Y83" i="15"/>
  <c r="T86" i="15"/>
  <c r="S75" i="15"/>
  <c r="AG82" i="15"/>
  <c r="AH74" i="15"/>
  <c r="E98" i="15"/>
  <c r="B91" i="15"/>
  <c r="C79" i="15"/>
  <c r="U75" i="15"/>
  <c r="J83" i="15"/>
  <c r="DF78" i="70" l="1"/>
  <c r="DD78" i="70"/>
  <c r="DE78" i="70"/>
  <c r="DB79" i="70"/>
  <c r="DC78" i="70"/>
  <c r="AS80" i="70"/>
  <c r="BR91" i="70"/>
  <c r="AT106" i="70"/>
  <c r="AR87" i="70"/>
  <c r="AW85" i="70"/>
  <c r="BJ94" i="70"/>
  <c r="CU78" i="70"/>
  <c r="CT78" i="70"/>
  <c r="CS78" i="70"/>
  <c r="CR78" i="70"/>
  <c r="CQ78" i="70"/>
  <c r="CP78" i="70"/>
  <c r="CO78" i="70"/>
  <c r="CK78" i="70"/>
  <c r="CE79" i="70"/>
  <c r="CM78" i="70"/>
  <c r="CL78" i="70"/>
  <c r="CI78" i="70"/>
  <c r="CH78" i="70"/>
  <c r="CG78" i="70"/>
  <c r="CF78" i="70"/>
  <c r="CJ78" i="70"/>
  <c r="CN78" i="70"/>
  <c r="BK83" i="70"/>
  <c r="BT107" i="70"/>
  <c r="BX82" i="70"/>
  <c r="BP83" i="70"/>
  <c r="BU90" i="70"/>
  <c r="BI83" i="70"/>
  <c r="BL84" i="70"/>
  <c r="BQ81" i="70"/>
  <c r="BO91" i="70"/>
  <c r="BS81" i="70"/>
  <c r="BM80" i="70"/>
  <c r="BN94" i="70"/>
  <c r="AZ103" i="70"/>
  <c r="BH106" i="70"/>
  <c r="BA82" i="70"/>
  <c r="AY91" i="70"/>
  <c r="BW90" i="70"/>
  <c r="BV91" i="70"/>
  <c r="AQ99" i="70"/>
  <c r="DM77" i="70"/>
  <c r="DN76" i="70"/>
  <c r="DR72" i="70"/>
  <c r="DQ73" i="70"/>
  <c r="DO75" i="70"/>
  <c r="DP74" i="70"/>
  <c r="DL78" i="70"/>
  <c r="DK79" i="70"/>
  <c r="DS71" i="70"/>
  <c r="AD100" i="15"/>
  <c r="L75" i="15"/>
  <c r="BY67" i="15"/>
  <c r="CA65" i="15"/>
  <c r="B92" i="15"/>
  <c r="BZ66" i="15"/>
  <c r="AF84" i="15"/>
  <c r="AH75" i="15"/>
  <c r="AE83" i="15"/>
  <c r="T87" i="15"/>
  <c r="X87" i="15"/>
  <c r="J84" i="15"/>
  <c r="Y84" i="15"/>
  <c r="R99" i="15"/>
  <c r="AA74" i="15"/>
  <c r="H78" i="15"/>
  <c r="Z76" i="15"/>
  <c r="AB84" i="15"/>
  <c r="K96" i="15"/>
  <c r="S76" i="15"/>
  <c r="BT72" i="15"/>
  <c r="AG83" i="15"/>
  <c r="E99" i="15"/>
  <c r="V77" i="15"/>
  <c r="BW69" i="15"/>
  <c r="U76" i="15"/>
  <c r="W73" i="15"/>
  <c r="BU71" i="15"/>
  <c r="BX68" i="15"/>
  <c r="D73" i="15"/>
  <c r="C80" i="15"/>
  <c r="BV70" i="15"/>
  <c r="BS73" i="15"/>
  <c r="AC74" i="15"/>
  <c r="AQ100" i="70" l="1"/>
  <c r="BV92" i="70"/>
  <c r="BW91" i="70"/>
  <c r="AY92" i="70"/>
  <c r="BA83" i="70"/>
  <c r="BH107" i="70"/>
  <c r="AZ104" i="70"/>
  <c r="BN95" i="70"/>
  <c r="BM81" i="70"/>
  <c r="BS82" i="70"/>
  <c r="BO92" i="70"/>
  <c r="BQ82" i="70"/>
  <c r="BL85" i="70"/>
  <c r="BI84" i="70"/>
  <c r="BU91" i="70"/>
  <c r="BP84" i="70"/>
  <c r="BX83" i="70"/>
  <c r="BT108" i="70"/>
  <c r="BK84" i="70"/>
  <c r="CT79" i="70"/>
  <c r="CS79" i="70"/>
  <c r="CN79" i="70"/>
  <c r="CE80" i="70"/>
  <c r="CQ79" i="70"/>
  <c r="CP79" i="70"/>
  <c r="CG79" i="70"/>
  <c r="CU79" i="70"/>
  <c r="CF79" i="70"/>
  <c r="CL79" i="70"/>
  <c r="CK79" i="70"/>
  <c r="CM79" i="70"/>
  <c r="CJ79" i="70"/>
  <c r="CH79" i="70"/>
  <c r="CI79" i="70"/>
  <c r="CO79" i="70"/>
  <c r="CR79" i="70"/>
  <c r="BJ95" i="70"/>
  <c r="AW86" i="70"/>
  <c r="AR88" i="70"/>
  <c r="AT107" i="70"/>
  <c r="BR92" i="70"/>
  <c r="AS81" i="70"/>
  <c r="DE79" i="70"/>
  <c r="DC79" i="70"/>
  <c r="DB80" i="70"/>
  <c r="DD79" i="70"/>
  <c r="DF79" i="70"/>
  <c r="DM78" i="70"/>
  <c r="DQ74" i="70"/>
  <c r="DR73" i="70"/>
  <c r="DS72" i="70"/>
  <c r="DP75" i="70"/>
  <c r="DO76" i="70"/>
  <c r="DK80" i="70"/>
  <c r="DL79" i="70"/>
  <c r="DN77" i="70"/>
  <c r="AF85" i="15"/>
  <c r="AE84" i="15"/>
  <c r="J85" i="15"/>
  <c r="V78" i="15"/>
  <c r="BS74" i="15"/>
  <c r="BV71" i="15"/>
  <c r="BU72" i="15"/>
  <c r="Z77" i="15"/>
  <c r="AG84" i="15"/>
  <c r="K97" i="15"/>
  <c r="AH76" i="15"/>
  <c r="BW70" i="15"/>
  <c r="Y85" i="15"/>
  <c r="CA66" i="15"/>
  <c r="T88" i="15"/>
  <c r="BX69" i="15"/>
  <c r="E100" i="15"/>
  <c r="L76" i="15"/>
  <c r="C81" i="15"/>
  <c r="X88" i="15"/>
  <c r="H79" i="15"/>
  <c r="D74" i="15"/>
  <c r="AA75" i="15"/>
  <c r="W74" i="15"/>
  <c r="U77" i="15"/>
  <c r="BY68" i="15"/>
  <c r="AC75" i="15"/>
  <c r="AD101" i="15"/>
  <c r="BZ67" i="15"/>
  <c r="B93" i="15"/>
  <c r="S77" i="15"/>
  <c r="AB85" i="15"/>
  <c r="BT73" i="15"/>
  <c r="R100" i="15"/>
  <c r="BK85" i="70" l="1"/>
  <c r="BT109" i="70"/>
  <c r="BX84" i="70"/>
  <c r="BP85" i="70"/>
  <c r="BU92" i="70"/>
  <c r="BI85" i="70"/>
  <c r="BL86" i="70"/>
  <c r="BQ83" i="70"/>
  <c r="BO93" i="70"/>
  <c r="BS83" i="70"/>
  <c r="BM82" i="70"/>
  <c r="BN96" i="70"/>
  <c r="AZ105" i="70"/>
  <c r="BH108" i="70"/>
  <c r="BA84" i="70"/>
  <c r="AY93" i="70"/>
  <c r="BW92" i="70"/>
  <c r="BV93" i="70"/>
  <c r="AQ101" i="70"/>
  <c r="DB81" i="70"/>
  <c r="DE80" i="70"/>
  <c r="DC80" i="70"/>
  <c r="DF80" i="70"/>
  <c r="DD80" i="70"/>
  <c r="AS82" i="70"/>
  <c r="BR93" i="70"/>
  <c r="AT108" i="70"/>
  <c r="AR89" i="70"/>
  <c r="AW87" i="70"/>
  <c r="BJ96" i="70"/>
  <c r="CS80" i="70"/>
  <c r="CR80" i="70"/>
  <c r="CQ80" i="70"/>
  <c r="CP80" i="70"/>
  <c r="CO80" i="70"/>
  <c r="CE81" i="70"/>
  <c r="CN80" i="70"/>
  <c r="CI80" i="70"/>
  <c r="CU80" i="70"/>
  <c r="CK80" i="70"/>
  <c r="CJ80" i="70"/>
  <c r="CG80" i="70"/>
  <c r="CT80" i="70"/>
  <c r="CH80" i="70"/>
  <c r="CL80" i="70"/>
  <c r="CM80" i="70"/>
  <c r="CF80" i="70"/>
  <c r="DK81" i="70"/>
  <c r="DL80" i="70"/>
  <c r="DQ75" i="70"/>
  <c r="DP76" i="70"/>
  <c r="DS73" i="70"/>
  <c r="DR74" i="70"/>
  <c r="DM79" i="70"/>
  <c r="DO77" i="70"/>
  <c r="DN78" i="70"/>
  <c r="U78" i="15"/>
  <c r="W75" i="15"/>
  <c r="AH77" i="15"/>
  <c r="BW71" i="15"/>
  <c r="BV72" i="15"/>
  <c r="CA67" i="15"/>
  <c r="BS75" i="15"/>
  <c r="AB86" i="15"/>
  <c r="BY69" i="15"/>
  <c r="BZ68" i="15"/>
  <c r="H80" i="15"/>
  <c r="AG85" i="15"/>
  <c r="AE85" i="15"/>
  <c r="V79" i="15"/>
  <c r="D75" i="15"/>
  <c r="L77" i="15"/>
  <c r="Z78" i="15"/>
  <c r="BT74" i="15"/>
  <c r="R101" i="15"/>
  <c r="AD102" i="15"/>
  <c r="B94" i="15"/>
  <c r="AA76" i="15"/>
  <c r="Y86" i="15"/>
  <c r="J86" i="15"/>
  <c r="X89" i="15"/>
  <c r="AC76" i="15"/>
  <c r="S78" i="15"/>
  <c r="BU73" i="15"/>
  <c r="E101" i="15"/>
  <c r="K98" i="15"/>
  <c r="AF86" i="15"/>
  <c r="T89" i="15"/>
  <c r="C82" i="15"/>
  <c r="BX70" i="15"/>
  <c r="CQ81" i="70" l="1"/>
  <c r="CP81" i="70"/>
  <c r="CU81" i="70"/>
  <c r="CT81" i="70"/>
  <c r="CS81" i="70"/>
  <c r="CO81" i="70"/>
  <c r="CN81" i="70"/>
  <c r="CM81" i="70"/>
  <c r="CE82" i="70"/>
  <c r="CH81" i="70"/>
  <c r="CK81" i="70"/>
  <c r="CJ81" i="70"/>
  <c r="CG81" i="70"/>
  <c r="CF81" i="70"/>
  <c r="CR81" i="70"/>
  <c r="CI81" i="70"/>
  <c r="CL81" i="70"/>
  <c r="DF81" i="70"/>
  <c r="DD81" i="70"/>
  <c r="DE81" i="70"/>
  <c r="DB82" i="70"/>
  <c r="DC81" i="70"/>
  <c r="AQ102" i="70"/>
  <c r="BV94" i="70"/>
  <c r="BW93" i="70"/>
  <c r="AY94" i="70"/>
  <c r="BA85" i="70"/>
  <c r="BH109" i="70"/>
  <c r="AZ106" i="70"/>
  <c r="BN97" i="70"/>
  <c r="BM83" i="70"/>
  <c r="BS84" i="70"/>
  <c r="BO94" i="70"/>
  <c r="BQ84" i="70"/>
  <c r="BL87" i="70"/>
  <c r="BI86" i="70"/>
  <c r="BU93" i="70"/>
  <c r="BP86" i="70"/>
  <c r="BX85" i="70"/>
  <c r="BT110" i="70"/>
  <c r="BK86" i="70"/>
  <c r="BJ97" i="70"/>
  <c r="AW88" i="70"/>
  <c r="AR90" i="70"/>
  <c r="AT109" i="70"/>
  <c r="BR94" i="70"/>
  <c r="AS83" i="70"/>
  <c r="DN79" i="70"/>
  <c r="DQ76" i="70"/>
  <c r="DR75" i="70"/>
  <c r="DS74" i="70"/>
  <c r="DM80" i="70"/>
  <c r="DP77" i="70"/>
  <c r="DO78" i="70"/>
  <c r="DK82" i="70"/>
  <c r="DL81" i="70"/>
  <c r="B95" i="15"/>
  <c r="Z79" i="15"/>
  <c r="L78" i="15"/>
  <c r="R102" i="15"/>
  <c r="AH78" i="15"/>
  <c r="Y87" i="15"/>
  <c r="AC77" i="15"/>
  <c r="BT75" i="15"/>
  <c r="BS76" i="15"/>
  <c r="T90" i="15"/>
  <c r="H81" i="15"/>
  <c r="V80" i="15"/>
  <c r="K99" i="15"/>
  <c r="BV73" i="15"/>
  <c r="D76" i="15"/>
  <c r="BY70" i="15"/>
  <c r="AG86" i="15"/>
  <c r="BU74" i="15"/>
  <c r="AA77" i="15"/>
  <c r="BW72" i="15"/>
  <c r="AB87" i="15"/>
  <c r="C83" i="15"/>
  <c r="AF87" i="15"/>
  <c r="CA68" i="15"/>
  <c r="AE86" i="15"/>
  <c r="U79" i="15"/>
  <c r="E102" i="15"/>
  <c r="S79" i="15"/>
  <c r="AD103" i="15"/>
  <c r="W76" i="15"/>
  <c r="BZ69" i="15"/>
  <c r="J87" i="15"/>
  <c r="BX71" i="15"/>
  <c r="X90" i="15"/>
  <c r="AS84" i="70" l="1"/>
  <c r="BR95" i="70"/>
  <c r="AT110" i="70"/>
  <c r="AR91" i="70"/>
  <c r="AW89" i="70"/>
  <c r="BJ98" i="70"/>
  <c r="BK87" i="70"/>
  <c r="BT111" i="70"/>
  <c r="BX86" i="70"/>
  <c r="BP87" i="70"/>
  <c r="BU94" i="70"/>
  <c r="BI87" i="70"/>
  <c r="BL88" i="70"/>
  <c r="BQ85" i="70"/>
  <c r="BO95" i="70"/>
  <c r="BS85" i="70"/>
  <c r="BM84" i="70"/>
  <c r="BN98" i="70"/>
  <c r="AZ107" i="70"/>
  <c r="BH110" i="70"/>
  <c r="BA86" i="70"/>
  <c r="AY95" i="70"/>
  <c r="BW94" i="70"/>
  <c r="BV95" i="70"/>
  <c r="AQ103" i="70"/>
  <c r="DB83" i="70"/>
  <c r="DE82" i="70"/>
  <c r="DC82" i="70"/>
  <c r="DD82" i="70"/>
  <c r="DF82" i="70"/>
  <c r="CP82" i="70"/>
  <c r="CO82" i="70"/>
  <c r="CN82" i="70"/>
  <c r="CE83" i="70"/>
  <c r="CR82" i="70"/>
  <c r="CQ82" i="70"/>
  <c r="CU82" i="70"/>
  <c r="CK82" i="70"/>
  <c r="CS82" i="70"/>
  <c r="CH82" i="70"/>
  <c r="CG82" i="70"/>
  <c r="CM82" i="70"/>
  <c r="CL82" i="70"/>
  <c r="CI82" i="70"/>
  <c r="CJ82" i="70"/>
  <c r="CF82" i="70"/>
  <c r="CT82" i="70"/>
  <c r="DP78" i="70"/>
  <c r="DN80" i="70"/>
  <c r="DL82" i="70"/>
  <c r="DK83" i="70"/>
  <c r="DS75" i="70"/>
  <c r="DR76" i="70"/>
  <c r="DQ77" i="70"/>
  <c r="DM81" i="70"/>
  <c r="DO79" i="70"/>
  <c r="D77" i="15"/>
  <c r="J88" i="15"/>
  <c r="Y88" i="15"/>
  <c r="X91" i="15"/>
  <c r="S80" i="15"/>
  <c r="BT76" i="15"/>
  <c r="BV74" i="15"/>
  <c r="AH79" i="15"/>
  <c r="AE87" i="15"/>
  <c r="BZ70" i="15"/>
  <c r="R103" i="15"/>
  <c r="BW73" i="15"/>
  <c r="BS77" i="15"/>
  <c r="BY71" i="15"/>
  <c r="AF88" i="15"/>
  <c r="U80" i="15"/>
  <c r="BU75" i="15"/>
  <c r="C84" i="15"/>
  <c r="Z80" i="15"/>
  <c r="CA69" i="15"/>
  <c r="AC78" i="15"/>
  <c r="E103" i="15"/>
  <c r="V81" i="15"/>
  <c r="BX72" i="15"/>
  <c r="B96" i="15"/>
  <c r="AD104" i="15"/>
  <c r="AA78" i="15"/>
  <c r="H82" i="15"/>
  <c r="AB88" i="15"/>
  <c r="T91" i="15"/>
  <c r="K100" i="15"/>
  <c r="AG87" i="15"/>
  <c r="W77" i="15"/>
  <c r="L79" i="15"/>
  <c r="CO83" i="70" l="1"/>
  <c r="CE84" i="70"/>
  <c r="CF83" i="70"/>
  <c r="CI83" i="70"/>
  <c r="CH83" i="70"/>
  <c r="CP83" i="70"/>
  <c r="CK83" i="70"/>
  <c r="CL83" i="70"/>
  <c r="CT83" i="70"/>
  <c r="CG83" i="70"/>
  <c r="CN83" i="70"/>
  <c r="CS83" i="70"/>
  <c r="CR83" i="70"/>
  <c r="CQ83" i="70"/>
  <c r="CM83" i="70"/>
  <c r="CJ83" i="70"/>
  <c r="CU83" i="70"/>
  <c r="DF83" i="70"/>
  <c r="DD83" i="70"/>
  <c r="DB84" i="70"/>
  <c r="DC83" i="70"/>
  <c r="DE83" i="70"/>
  <c r="AQ104" i="70"/>
  <c r="BV96" i="70"/>
  <c r="BW95" i="70"/>
  <c r="AY96" i="70"/>
  <c r="BA87" i="70"/>
  <c r="BH111" i="70"/>
  <c r="AZ108" i="70"/>
  <c r="BN99" i="70"/>
  <c r="BM85" i="70"/>
  <c r="BS86" i="70"/>
  <c r="BO96" i="70"/>
  <c r="BQ86" i="70"/>
  <c r="BL89" i="70"/>
  <c r="BI88" i="70"/>
  <c r="BU95" i="70"/>
  <c r="BP88" i="70"/>
  <c r="BX87" i="70"/>
  <c r="BT112" i="70"/>
  <c r="BK88" i="70"/>
  <c r="BJ99" i="70"/>
  <c r="AW90" i="70"/>
  <c r="AR92" i="70"/>
  <c r="AT111" i="70"/>
  <c r="BR96" i="70"/>
  <c r="AS85" i="70"/>
  <c r="DN81" i="70"/>
  <c r="DK84" i="70"/>
  <c r="DL83" i="70"/>
  <c r="DR77" i="70"/>
  <c r="DM82" i="70"/>
  <c r="DS76" i="70"/>
  <c r="DO80" i="70"/>
  <c r="DP79" i="70"/>
  <c r="DQ78" i="70"/>
  <c r="BZ71" i="15"/>
  <c r="Y89" i="15"/>
  <c r="AB89" i="15"/>
  <c r="W78" i="15"/>
  <c r="BW74" i="15"/>
  <c r="J89" i="15"/>
  <c r="AG88" i="15"/>
  <c r="S81" i="15"/>
  <c r="B97" i="15"/>
  <c r="X92" i="15"/>
  <c r="BX73" i="15"/>
  <c r="AA79" i="15"/>
  <c r="L80" i="15"/>
  <c r="R104" i="15"/>
  <c r="H83" i="15"/>
  <c r="AH80" i="15"/>
  <c r="CA70" i="15"/>
  <c r="K101" i="15"/>
  <c r="AE88" i="15"/>
  <c r="C85" i="15"/>
  <c r="Z81" i="15"/>
  <c r="AF89" i="15"/>
  <c r="AC79" i="15"/>
  <c r="T92" i="15"/>
  <c r="BV75" i="15"/>
  <c r="BU76" i="15"/>
  <c r="BT77" i="15"/>
  <c r="U81" i="15"/>
  <c r="AD105" i="15"/>
  <c r="BS78" i="15"/>
  <c r="E104" i="15"/>
  <c r="D78" i="15"/>
  <c r="V82" i="15"/>
  <c r="BY72" i="15"/>
  <c r="DB85" i="70" l="1"/>
  <c r="DE84" i="70"/>
  <c r="DC84" i="70"/>
  <c r="DF84" i="70"/>
  <c r="DD84" i="70"/>
  <c r="CE85" i="70"/>
  <c r="CK84" i="70"/>
  <c r="CG84" i="70"/>
  <c r="CH84" i="70"/>
  <c r="CN84" i="70"/>
  <c r="CU84" i="70"/>
  <c r="CL84" i="70"/>
  <c r="CT84" i="70"/>
  <c r="CQ84" i="70"/>
  <c r="CP84" i="70"/>
  <c r="CI84" i="70"/>
  <c r="CS84" i="70"/>
  <c r="CF84" i="70"/>
  <c r="CM84" i="70"/>
  <c r="CJ84" i="70"/>
  <c r="CO84" i="70"/>
  <c r="CR84" i="70"/>
  <c r="AS86" i="70"/>
  <c r="BR97" i="70"/>
  <c r="AT112" i="70"/>
  <c r="AR93" i="70"/>
  <c r="AW91" i="70"/>
  <c r="BJ100" i="70"/>
  <c r="BK89" i="70"/>
  <c r="BT113" i="70"/>
  <c r="BX88" i="70"/>
  <c r="BP89" i="70"/>
  <c r="BU96" i="70"/>
  <c r="BI89" i="70"/>
  <c r="BL90" i="70"/>
  <c r="BQ87" i="70"/>
  <c r="BO97" i="70"/>
  <c r="BS87" i="70"/>
  <c r="BM86" i="70"/>
  <c r="BN100" i="70"/>
  <c r="AZ109" i="70"/>
  <c r="BH112" i="70"/>
  <c r="BA88" i="70"/>
  <c r="AY97" i="70"/>
  <c r="BW96" i="70"/>
  <c r="BV97" i="70"/>
  <c r="AQ105" i="70"/>
  <c r="DQ79" i="70"/>
  <c r="DN82" i="70"/>
  <c r="DM83" i="70"/>
  <c r="DS77" i="70"/>
  <c r="DK85" i="70"/>
  <c r="DL84" i="70"/>
  <c r="DP80" i="70"/>
  <c r="DR78" i="70"/>
  <c r="DO81" i="70"/>
  <c r="D79" i="15"/>
  <c r="BS79" i="15"/>
  <c r="BW75" i="15"/>
  <c r="AH81" i="15"/>
  <c r="BU77" i="15"/>
  <c r="X93" i="15"/>
  <c r="J90" i="15"/>
  <c r="BV76" i="15"/>
  <c r="C86" i="15"/>
  <c r="T93" i="15"/>
  <c r="AA80" i="15"/>
  <c r="U82" i="15"/>
  <c r="BY73" i="15"/>
  <c r="L81" i="15"/>
  <c r="K102" i="15"/>
  <c r="AE89" i="15"/>
  <c r="H84" i="15"/>
  <c r="Y90" i="15"/>
  <c r="AF90" i="15"/>
  <c r="BX74" i="15"/>
  <c r="AG89" i="15"/>
  <c r="BT78" i="15"/>
  <c r="BZ72" i="15"/>
  <c r="AC80" i="15"/>
  <c r="V83" i="15"/>
  <c r="AD106" i="15"/>
  <c r="CA71" i="15"/>
  <c r="E105" i="15"/>
  <c r="S82" i="15"/>
  <c r="W79" i="15"/>
  <c r="B98" i="15"/>
  <c r="AB90" i="15"/>
  <c r="Z82" i="15"/>
  <c r="R105" i="15"/>
  <c r="AQ106" i="70" l="1"/>
  <c r="BV98" i="70"/>
  <c r="BW97" i="70"/>
  <c r="AY98" i="70"/>
  <c r="BA89" i="70"/>
  <c r="BH113" i="70"/>
  <c r="AZ110" i="70"/>
  <c r="BN101" i="70"/>
  <c r="BM87" i="70"/>
  <c r="BS88" i="70"/>
  <c r="BO98" i="70"/>
  <c r="BQ88" i="70"/>
  <c r="BL91" i="70"/>
  <c r="BI90" i="70"/>
  <c r="BU97" i="70"/>
  <c r="BP90" i="70"/>
  <c r="BX89" i="70"/>
  <c r="BT114" i="70"/>
  <c r="BK90" i="70"/>
  <c r="BJ101" i="70"/>
  <c r="AW92" i="70"/>
  <c r="AR94" i="70"/>
  <c r="AT113" i="70"/>
  <c r="BR98" i="70"/>
  <c r="AS87" i="70"/>
  <c r="DF85" i="70"/>
  <c r="DD85" i="70"/>
  <c r="DE85" i="70"/>
  <c r="DB86" i="70"/>
  <c r="DC85" i="70"/>
  <c r="CM85" i="70"/>
  <c r="CL85" i="70"/>
  <c r="CG85" i="70"/>
  <c r="CF85" i="70"/>
  <c r="CR85" i="70"/>
  <c r="CN85" i="70"/>
  <c r="CH85" i="70"/>
  <c r="CE86" i="70"/>
  <c r="CU85" i="70"/>
  <c r="CT85" i="70"/>
  <c r="CQ85" i="70"/>
  <c r="CP85" i="70"/>
  <c r="CO85" i="70"/>
  <c r="CI85" i="70"/>
  <c r="CJ85" i="70"/>
  <c r="CK85" i="70"/>
  <c r="CS85" i="70"/>
  <c r="DS78" i="70"/>
  <c r="DK86" i="70"/>
  <c r="DL85" i="70"/>
  <c r="DN83" i="70"/>
  <c r="DQ80" i="70"/>
  <c r="DM84" i="70"/>
  <c r="DO82" i="70"/>
  <c r="DP81" i="70"/>
  <c r="DR79" i="70"/>
  <c r="B99" i="15"/>
  <c r="E106" i="15"/>
  <c r="J91" i="15"/>
  <c r="R106" i="15"/>
  <c r="Z83" i="15"/>
  <c r="S83" i="15"/>
  <c r="H85" i="15"/>
  <c r="AA81" i="15"/>
  <c r="AB91" i="15"/>
  <c r="BW76" i="15"/>
  <c r="AE90" i="15"/>
  <c r="BU78" i="15"/>
  <c r="BX75" i="15"/>
  <c r="W80" i="15"/>
  <c r="AD107" i="15"/>
  <c r="K103" i="15"/>
  <c r="AH82" i="15"/>
  <c r="BV77" i="15"/>
  <c r="AG90" i="15"/>
  <c r="BZ73" i="15"/>
  <c r="D80" i="15"/>
  <c r="CA72" i="15"/>
  <c r="Y91" i="15"/>
  <c r="BY74" i="15"/>
  <c r="T94" i="15"/>
  <c r="C87" i="15"/>
  <c r="BT79" i="15"/>
  <c r="V84" i="15"/>
  <c r="U83" i="15"/>
  <c r="AC81" i="15"/>
  <c r="BS80" i="15"/>
  <c r="AF91" i="15"/>
  <c r="X94" i="15"/>
  <c r="L82" i="15"/>
  <c r="DE86" i="70" l="1"/>
  <c r="DC86" i="70"/>
  <c r="DD86" i="70"/>
  <c r="DF86" i="70"/>
  <c r="CU86" i="70"/>
  <c r="CN86" i="70"/>
  <c r="CL86" i="70"/>
  <c r="CK86" i="70"/>
  <c r="CJ86" i="70"/>
  <c r="CI86" i="70"/>
  <c r="CH86" i="70"/>
  <c r="CF86" i="70"/>
  <c r="CG86" i="70"/>
  <c r="CM86" i="70"/>
  <c r="CT86" i="70"/>
  <c r="CS86" i="70"/>
  <c r="CE87" i="70"/>
  <c r="CR86" i="70"/>
  <c r="CP86" i="70"/>
  <c r="CO86" i="70"/>
  <c r="CQ86" i="70"/>
  <c r="AS88" i="70"/>
  <c r="BR99" i="70"/>
  <c r="AT114" i="70"/>
  <c r="AR95" i="70"/>
  <c r="AW93" i="70"/>
  <c r="BJ102" i="70"/>
  <c r="BK91" i="70"/>
  <c r="BT115" i="70"/>
  <c r="BX90" i="70"/>
  <c r="BP91" i="70"/>
  <c r="BU98" i="70"/>
  <c r="BI91" i="70"/>
  <c r="BL92" i="70"/>
  <c r="BQ89" i="70"/>
  <c r="BO99" i="70"/>
  <c r="BS89" i="70"/>
  <c r="BM88" i="70"/>
  <c r="BN102" i="70"/>
  <c r="AZ111" i="70"/>
  <c r="BH114" i="70"/>
  <c r="BA90" i="70"/>
  <c r="AY99" i="70"/>
  <c r="BW98" i="70"/>
  <c r="BV99" i="70"/>
  <c r="AQ107" i="70"/>
  <c r="DN84" i="70"/>
  <c r="DQ81" i="70"/>
  <c r="DO83" i="70"/>
  <c r="DM85" i="70"/>
  <c r="DK87" i="70"/>
  <c r="DL86" i="70"/>
  <c r="DP82" i="70"/>
  <c r="DR80" i="70"/>
  <c r="DS79" i="70"/>
  <c r="U84" i="15"/>
  <c r="L83" i="15"/>
  <c r="BY75" i="15"/>
  <c r="BW77" i="15"/>
  <c r="B100" i="15"/>
  <c r="AD108" i="15"/>
  <c r="AE91" i="15"/>
  <c r="BS81" i="15"/>
  <c r="T95" i="15"/>
  <c r="BZ74" i="15"/>
  <c r="J92" i="15"/>
  <c r="Y92" i="15"/>
  <c r="AG91" i="15"/>
  <c r="S84" i="15"/>
  <c r="C88" i="15"/>
  <c r="X95" i="15"/>
  <c r="H86" i="15"/>
  <c r="AB92" i="15"/>
  <c r="AF92" i="15"/>
  <c r="BT80" i="15"/>
  <c r="E107" i="15"/>
  <c r="AH83" i="15"/>
  <c r="W81" i="15"/>
  <c r="AC82" i="15"/>
  <c r="CA73" i="15"/>
  <c r="AA82" i="15"/>
  <c r="BV78" i="15"/>
  <c r="R107" i="15"/>
  <c r="BX76" i="15"/>
  <c r="K104" i="15"/>
  <c r="D81" i="15"/>
  <c r="Z84" i="15"/>
  <c r="V85" i="15"/>
  <c r="BU79" i="15"/>
  <c r="CE88" i="70" l="1"/>
  <c r="CF87" i="70"/>
  <c r="CK87" i="70"/>
  <c r="CJ87" i="70"/>
  <c r="CN87" i="70"/>
  <c r="CQ87" i="70"/>
  <c r="CP87" i="70"/>
  <c r="CL87" i="70"/>
  <c r="CH87" i="70"/>
  <c r="CT87" i="70"/>
  <c r="CS87" i="70"/>
  <c r="CR87" i="70"/>
  <c r="CO87" i="70"/>
  <c r="CM87" i="70"/>
  <c r="CG87" i="70"/>
  <c r="CI87" i="70"/>
  <c r="CU87" i="70"/>
  <c r="AQ108" i="70"/>
  <c r="BV100" i="70"/>
  <c r="BW99" i="70"/>
  <c r="AY100" i="70"/>
  <c r="BA91" i="70"/>
  <c r="BH115" i="70"/>
  <c r="AZ112" i="70"/>
  <c r="BN103" i="70"/>
  <c r="BM89" i="70"/>
  <c r="BS90" i="70"/>
  <c r="BO100" i="70"/>
  <c r="BQ90" i="70"/>
  <c r="BL93" i="70"/>
  <c r="BI92" i="70"/>
  <c r="BU99" i="70"/>
  <c r="BP92" i="70"/>
  <c r="BX91" i="70"/>
  <c r="BT116" i="70"/>
  <c r="BK92" i="70"/>
  <c r="BJ103" i="70"/>
  <c r="AW94" i="70"/>
  <c r="AR96" i="70"/>
  <c r="AT115" i="70"/>
  <c r="BR100" i="70"/>
  <c r="AS89" i="70"/>
  <c r="DK88" i="70"/>
  <c r="DL87" i="70"/>
  <c r="DN85" i="70"/>
  <c r="DM86" i="70"/>
  <c r="DP83" i="70"/>
  <c r="DQ82" i="70"/>
  <c r="DR81" i="70"/>
  <c r="DS80" i="70"/>
  <c r="DO84" i="70"/>
  <c r="AA83" i="15"/>
  <c r="AE92" i="15"/>
  <c r="BY76" i="15"/>
  <c r="R108" i="15"/>
  <c r="K105" i="15"/>
  <c r="AF93" i="15"/>
  <c r="AD110" i="15"/>
  <c r="Z85" i="15"/>
  <c r="L84" i="15"/>
  <c r="J93" i="15"/>
  <c r="BZ75" i="15"/>
  <c r="BT81" i="15"/>
  <c r="X96" i="15"/>
  <c r="U85" i="15"/>
  <c r="AC83" i="15"/>
  <c r="S85" i="15"/>
  <c r="W82" i="15"/>
  <c r="AD109" i="15"/>
  <c r="D82" i="15"/>
  <c r="AB93" i="15"/>
  <c r="CA74" i="15"/>
  <c r="C89" i="15"/>
  <c r="E108" i="15"/>
  <c r="BS82" i="15"/>
  <c r="BU80" i="15"/>
  <c r="V86" i="15"/>
  <c r="T96" i="15"/>
  <c r="BX77" i="15"/>
  <c r="BV79" i="15"/>
  <c r="BW78" i="15"/>
  <c r="Y93" i="15"/>
  <c r="AG92" i="15"/>
  <c r="B101" i="15"/>
  <c r="AH84" i="15"/>
  <c r="H87" i="15"/>
  <c r="CJ88" i="70" l="1"/>
  <c r="CI88" i="70"/>
  <c r="CH88" i="70"/>
  <c r="CG88" i="70"/>
  <c r="CF88" i="70"/>
  <c r="CL88" i="70"/>
  <c r="CN88" i="70"/>
  <c r="CU88" i="70"/>
  <c r="CR88" i="70"/>
  <c r="CQ88" i="70"/>
  <c r="CS88" i="70"/>
  <c r="CP88" i="70"/>
  <c r="CO88" i="70"/>
  <c r="CK88" i="70"/>
  <c r="CM88" i="70"/>
  <c r="CE89" i="70"/>
  <c r="CT88" i="70"/>
  <c r="AS90" i="70"/>
  <c r="BR101" i="70"/>
  <c r="AT116" i="70"/>
  <c r="AR97" i="70"/>
  <c r="AW95" i="70"/>
  <c r="BJ104" i="70"/>
  <c r="BK93" i="70"/>
  <c r="BX92" i="70"/>
  <c r="BP93" i="70"/>
  <c r="BU100" i="70"/>
  <c r="BI93" i="70"/>
  <c r="BL94" i="70"/>
  <c r="BQ91" i="70"/>
  <c r="BO101" i="70"/>
  <c r="BS91" i="70"/>
  <c r="BM90" i="70"/>
  <c r="BN104" i="70"/>
  <c r="AZ113" i="70"/>
  <c r="BH116" i="70"/>
  <c r="BA92" i="70"/>
  <c r="AY101" i="70"/>
  <c r="BW100" i="70"/>
  <c r="BV101" i="70"/>
  <c r="AQ109" i="70"/>
  <c r="DS81" i="70"/>
  <c r="DQ83" i="70"/>
  <c r="DN86" i="70"/>
  <c r="DO85" i="70"/>
  <c r="DR82" i="70"/>
  <c r="DM87" i="70"/>
  <c r="DP84" i="70"/>
  <c r="DL88" i="70"/>
  <c r="DK89" i="70"/>
  <c r="U86" i="15"/>
  <c r="K106" i="15"/>
  <c r="BW79" i="15"/>
  <c r="AB94" i="15"/>
  <c r="BU81" i="15"/>
  <c r="AH85" i="15"/>
  <c r="S86" i="15"/>
  <c r="E109" i="15"/>
  <c r="BS83" i="15"/>
  <c r="Z86" i="15"/>
  <c r="AG93" i="15"/>
  <c r="BV80" i="15"/>
  <c r="T97" i="15"/>
  <c r="Y94" i="15"/>
  <c r="C90" i="15"/>
  <c r="BZ76" i="15"/>
  <c r="B102" i="15"/>
  <c r="R110" i="15"/>
  <c r="E110" i="15"/>
  <c r="X97" i="15"/>
  <c r="AF94" i="15"/>
  <c r="AA84" i="15"/>
  <c r="BT82" i="15"/>
  <c r="CA75" i="15"/>
  <c r="BX78" i="15"/>
  <c r="BY77" i="15"/>
  <c r="D83" i="15"/>
  <c r="AE93" i="15"/>
  <c r="R109" i="15"/>
  <c r="V87" i="15"/>
  <c r="W83" i="15"/>
  <c r="AC84" i="15"/>
  <c r="H88" i="15"/>
  <c r="L85" i="15"/>
  <c r="J94" i="15"/>
  <c r="AQ110" i="70" l="1"/>
  <c r="BV102" i="70"/>
  <c r="BW101" i="70"/>
  <c r="AY102" i="70"/>
  <c r="BA93" i="70"/>
  <c r="AZ114" i="70"/>
  <c r="BN105" i="70"/>
  <c r="BM91" i="70"/>
  <c r="BS92" i="70"/>
  <c r="BO102" i="70"/>
  <c r="BQ92" i="70"/>
  <c r="BL95" i="70"/>
  <c r="BI94" i="70"/>
  <c r="BU101" i="70"/>
  <c r="BP94" i="70"/>
  <c r="BX93" i="70"/>
  <c r="BK94" i="70"/>
  <c r="BJ105" i="70"/>
  <c r="AW96" i="70"/>
  <c r="AR98" i="70"/>
  <c r="BR102" i="70"/>
  <c r="AS91" i="70"/>
  <c r="CI89" i="70"/>
  <c r="CH89" i="70"/>
  <c r="CE90" i="70"/>
  <c r="CU89" i="70"/>
  <c r="CR89" i="70"/>
  <c r="CO89" i="70"/>
  <c r="CN89" i="70"/>
  <c r="CT89" i="70"/>
  <c r="CQ89" i="70"/>
  <c r="CM89" i="70"/>
  <c r="CL89" i="70"/>
  <c r="CK89" i="70"/>
  <c r="CG89" i="70"/>
  <c r="CF89" i="70"/>
  <c r="CJ89" i="70"/>
  <c r="CS89" i="70"/>
  <c r="CP89" i="70"/>
  <c r="DS82" i="70"/>
  <c r="DP85" i="70"/>
  <c r="DM88" i="70"/>
  <c r="DN87" i="70"/>
  <c r="DO86" i="70"/>
  <c r="DQ84" i="70"/>
  <c r="DR83" i="70"/>
  <c r="DL89" i="70"/>
  <c r="DK90" i="70"/>
  <c r="B103" i="15"/>
  <c r="AA85" i="15"/>
  <c r="BY78" i="15"/>
  <c r="H89" i="15"/>
  <c r="BZ77" i="15"/>
  <c r="AC85" i="15"/>
  <c r="S87" i="15"/>
  <c r="C91" i="15"/>
  <c r="T98" i="15"/>
  <c r="AB95" i="15"/>
  <c r="K107" i="15"/>
  <c r="J95" i="15"/>
  <c r="AE94" i="15"/>
  <c r="U87" i="15"/>
  <c r="AG94" i="15"/>
  <c r="CA76" i="15"/>
  <c r="V88" i="15"/>
  <c r="AF95" i="15"/>
  <c r="BX79" i="15"/>
  <c r="W84" i="15"/>
  <c r="BS84" i="15"/>
  <c r="BV81" i="15"/>
  <c r="X98" i="15"/>
  <c r="Y95" i="15"/>
  <c r="AH86" i="15"/>
  <c r="D84" i="15"/>
  <c r="L86" i="15"/>
  <c r="BU82" i="15"/>
  <c r="Z87" i="15"/>
  <c r="BT83" i="15"/>
  <c r="BW80" i="15"/>
  <c r="CH90" i="70" l="1"/>
  <c r="CG90" i="70"/>
  <c r="CF90" i="70"/>
  <c r="CN90" i="70"/>
  <c r="CJ90" i="70"/>
  <c r="CM90" i="70"/>
  <c r="CE91" i="70"/>
  <c r="CU90" i="70"/>
  <c r="CO90" i="70"/>
  <c r="CR90" i="70"/>
  <c r="CQ90" i="70"/>
  <c r="CS90" i="70"/>
  <c r="CI90" i="70"/>
  <c r="CK90" i="70"/>
  <c r="CL90" i="70"/>
  <c r="CT90" i="70"/>
  <c r="CP90" i="70"/>
  <c r="AS92" i="70"/>
  <c r="BR103" i="70"/>
  <c r="AR99" i="70"/>
  <c r="AW97" i="70"/>
  <c r="BJ106" i="70"/>
  <c r="BK95" i="70"/>
  <c r="BX94" i="70"/>
  <c r="BP95" i="70"/>
  <c r="BU102" i="70"/>
  <c r="BI95" i="70"/>
  <c r="BL96" i="70"/>
  <c r="BQ93" i="70"/>
  <c r="BO103" i="70"/>
  <c r="BS93" i="70"/>
  <c r="BM92" i="70"/>
  <c r="BN106" i="70"/>
  <c r="AZ115" i="70"/>
  <c r="BA94" i="70"/>
  <c r="AY103" i="70"/>
  <c r="BW102" i="70"/>
  <c r="BV103" i="70"/>
  <c r="AQ111" i="70"/>
  <c r="DR84" i="70"/>
  <c r="DS83" i="70"/>
  <c r="DP86" i="70"/>
  <c r="DN88" i="70"/>
  <c r="DM89" i="70"/>
  <c r="DO87" i="70"/>
  <c r="DQ85" i="70"/>
  <c r="DK91" i="70"/>
  <c r="DL90" i="70"/>
  <c r="C92" i="15"/>
  <c r="H90" i="15"/>
  <c r="BW81" i="15"/>
  <c r="BT84" i="15"/>
  <c r="BV82" i="15"/>
  <c r="J96" i="15"/>
  <c r="BU83" i="15"/>
  <c r="BY79" i="15"/>
  <c r="T99" i="15"/>
  <c r="V89" i="15"/>
  <c r="X99" i="15"/>
  <c r="BS85" i="15"/>
  <c r="AA86" i="15"/>
  <c r="AC86" i="15"/>
  <c r="U88" i="15"/>
  <c r="AF96" i="15"/>
  <c r="D85" i="15"/>
  <c r="S88" i="15"/>
  <c r="B104" i="15"/>
  <c r="AH87" i="15"/>
  <c r="Z88" i="15"/>
  <c r="BZ78" i="15"/>
  <c r="BX80" i="15"/>
  <c r="Y96" i="15"/>
  <c r="AE95" i="15"/>
  <c r="W85" i="15"/>
  <c r="L87" i="15"/>
  <c r="AB96" i="15"/>
  <c r="AG95" i="15"/>
  <c r="CA77" i="15"/>
  <c r="K108" i="15"/>
  <c r="CG91" i="70" l="1"/>
  <c r="CN91" i="70"/>
  <c r="CU91" i="70"/>
  <c r="CT91" i="70"/>
  <c r="CS91" i="70"/>
  <c r="CQ91" i="70"/>
  <c r="CP91" i="70"/>
  <c r="CM91" i="70"/>
  <c r="CO91" i="70"/>
  <c r="CE92" i="70"/>
  <c r="CF91" i="70"/>
  <c r="CK91" i="70"/>
  <c r="CJ91" i="70"/>
  <c r="CI91" i="70"/>
  <c r="CL91" i="70"/>
  <c r="CH91" i="70"/>
  <c r="CR91" i="70"/>
  <c r="AQ112" i="70"/>
  <c r="BV104" i="70"/>
  <c r="BW103" i="70"/>
  <c r="AY104" i="70"/>
  <c r="BA95" i="70"/>
  <c r="AZ116" i="70"/>
  <c r="BN107" i="70"/>
  <c r="BM93" i="70"/>
  <c r="BS94" i="70"/>
  <c r="BO104" i="70"/>
  <c r="BQ94" i="70"/>
  <c r="BL97" i="70"/>
  <c r="BI96" i="70"/>
  <c r="BU103" i="70"/>
  <c r="BP96" i="70"/>
  <c r="BX95" i="70"/>
  <c r="BK96" i="70"/>
  <c r="BJ107" i="70"/>
  <c r="AW98" i="70"/>
  <c r="AR100" i="70"/>
  <c r="BR104" i="70"/>
  <c r="AS93" i="70"/>
  <c r="DR85" i="70"/>
  <c r="DN89" i="70"/>
  <c r="DO88" i="70"/>
  <c r="DL91" i="70"/>
  <c r="DK92" i="70"/>
  <c r="DP87" i="70"/>
  <c r="DQ86" i="70"/>
  <c r="DM90" i="70"/>
  <c r="DS84" i="70"/>
  <c r="W86" i="15"/>
  <c r="Y97" i="15"/>
  <c r="H91" i="15"/>
  <c r="BW82" i="15"/>
  <c r="U89" i="15"/>
  <c r="BZ79" i="15"/>
  <c r="AE96" i="15"/>
  <c r="BU84" i="15"/>
  <c r="AC87" i="15"/>
  <c r="J97" i="15"/>
  <c r="BS86" i="15"/>
  <c r="D86" i="15"/>
  <c r="V90" i="15"/>
  <c r="AA87" i="15"/>
  <c r="T100" i="15"/>
  <c r="AF97" i="15"/>
  <c r="BX81" i="15"/>
  <c r="CA78" i="15"/>
  <c r="AH88" i="15"/>
  <c r="AG96" i="15"/>
  <c r="S89" i="15"/>
  <c r="L88" i="15"/>
  <c r="BY80" i="15"/>
  <c r="C93" i="15"/>
  <c r="BV83" i="15"/>
  <c r="AB97" i="15"/>
  <c r="K109" i="15"/>
  <c r="B105" i="15"/>
  <c r="K110" i="15"/>
  <c r="BT85" i="15"/>
  <c r="X100" i="15"/>
  <c r="Z89" i="15"/>
  <c r="AS94" i="70" l="1"/>
  <c r="BR105" i="70"/>
  <c r="AR101" i="70"/>
  <c r="AW99" i="70"/>
  <c r="BJ108" i="70"/>
  <c r="BK97" i="70"/>
  <c r="BX96" i="70"/>
  <c r="BP97" i="70"/>
  <c r="BU104" i="70"/>
  <c r="BI97" i="70"/>
  <c r="BL98" i="70"/>
  <c r="BQ95" i="70"/>
  <c r="BO105" i="70"/>
  <c r="BS95" i="70"/>
  <c r="BM94" i="70"/>
  <c r="BN108" i="70"/>
  <c r="BA96" i="70"/>
  <c r="AY105" i="70"/>
  <c r="BW104" i="70"/>
  <c r="BV105" i="70"/>
  <c r="AQ113" i="70"/>
  <c r="CF92" i="70"/>
  <c r="CM92" i="70"/>
  <c r="CO92" i="70"/>
  <c r="CL92" i="70"/>
  <c r="CI92" i="70"/>
  <c r="CH92" i="70"/>
  <c r="CJ92" i="70"/>
  <c r="CS92" i="70"/>
  <c r="CN92" i="70"/>
  <c r="CU92" i="70"/>
  <c r="CE93" i="70"/>
  <c r="CR92" i="70"/>
  <c r="CQ92" i="70"/>
  <c r="CK92" i="70"/>
  <c r="CG92" i="70"/>
  <c r="CT92" i="70"/>
  <c r="CP92" i="70"/>
  <c r="DL92" i="70"/>
  <c r="DK93" i="70"/>
  <c r="DM91" i="70"/>
  <c r="DR86" i="70"/>
  <c r="DP88" i="70"/>
  <c r="DN90" i="70"/>
  <c r="DO89" i="70"/>
  <c r="DQ87" i="70"/>
  <c r="DS85" i="70"/>
  <c r="D87" i="15"/>
  <c r="BU85" i="15"/>
  <c r="AA88" i="15"/>
  <c r="L89" i="15"/>
  <c r="BT86" i="15"/>
  <c r="AG97" i="15"/>
  <c r="B106" i="15"/>
  <c r="S90" i="15"/>
  <c r="T101" i="15"/>
  <c r="H92" i="15"/>
  <c r="BY81" i="15"/>
  <c r="J98" i="15"/>
  <c r="BV84" i="15"/>
  <c r="AB98" i="15"/>
  <c r="BZ80" i="15"/>
  <c r="W87" i="15"/>
  <c r="CA79" i="15"/>
  <c r="AE97" i="15"/>
  <c r="U90" i="15"/>
  <c r="AF98" i="15"/>
  <c r="X101" i="15"/>
  <c r="Z90" i="15"/>
  <c r="BX82" i="15"/>
  <c r="C94" i="15"/>
  <c r="BW83" i="15"/>
  <c r="AC88" i="15"/>
  <c r="BS87" i="15"/>
  <c r="V91" i="15"/>
  <c r="AH89" i="15"/>
  <c r="Y98" i="15"/>
  <c r="CL93" i="70" l="1"/>
  <c r="CK93" i="70"/>
  <c r="CG93" i="70"/>
  <c r="CF93" i="70"/>
  <c r="CN93" i="70"/>
  <c r="CM93" i="70"/>
  <c r="CJ93" i="70"/>
  <c r="CU93" i="70"/>
  <c r="CT93" i="70"/>
  <c r="CQ93" i="70"/>
  <c r="CP93" i="70"/>
  <c r="CO93" i="70"/>
  <c r="CE94" i="70"/>
  <c r="CH93" i="70"/>
  <c r="CI93" i="70"/>
  <c r="CR93" i="70"/>
  <c r="CS93" i="70"/>
  <c r="AQ114" i="70"/>
  <c r="BV106" i="70"/>
  <c r="BW105" i="70"/>
  <c r="AY106" i="70"/>
  <c r="BA97" i="70"/>
  <c r="BN109" i="70"/>
  <c r="BM95" i="70"/>
  <c r="BS96" i="70"/>
  <c r="BO106" i="70"/>
  <c r="BQ96" i="70"/>
  <c r="BL99" i="70"/>
  <c r="BI98" i="70"/>
  <c r="BU105" i="70"/>
  <c r="BP98" i="70"/>
  <c r="BX97" i="70"/>
  <c r="BK98" i="70"/>
  <c r="BJ109" i="70"/>
  <c r="AW100" i="70"/>
  <c r="AR102" i="70"/>
  <c r="BR106" i="70"/>
  <c r="AS95" i="70"/>
  <c r="DQ88" i="70"/>
  <c r="DS86" i="70"/>
  <c r="DN91" i="70"/>
  <c r="DR87" i="70"/>
  <c r="DO90" i="70"/>
  <c r="DK94" i="70"/>
  <c r="DL93" i="70"/>
  <c r="DP89" i="70"/>
  <c r="DM92" i="70"/>
  <c r="Y99" i="15"/>
  <c r="AG98" i="15"/>
  <c r="S91" i="15"/>
  <c r="BY82" i="15"/>
  <c r="D88" i="15"/>
  <c r="C95" i="15"/>
  <c r="AH90" i="15"/>
  <c r="X102" i="15"/>
  <c r="BV85" i="15"/>
  <c r="AA89" i="15"/>
  <c r="V92" i="15"/>
  <c r="CA80" i="15"/>
  <c r="BT87" i="15"/>
  <c r="J99" i="15"/>
  <c r="AE98" i="15"/>
  <c r="L90" i="15"/>
  <c r="AB99" i="15"/>
  <c r="W88" i="15"/>
  <c r="T102" i="15"/>
  <c r="U91" i="15"/>
  <c r="BW84" i="15"/>
  <c r="AF99" i="15"/>
  <c r="H93" i="15"/>
  <c r="BS88" i="15"/>
  <c r="Z91" i="15"/>
  <c r="BU86" i="15"/>
  <c r="AC89" i="15"/>
  <c r="BX83" i="15"/>
  <c r="BZ81" i="15"/>
  <c r="B107" i="15"/>
  <c r="CK94" i="70" l="1"/>
  <c r="CJ94" i="70"/>
  <c r="CL94" i="70"/>
  <c r="CI94" i="70"/>
  <c r="CH94" i="70"/>
  <c r="CN94" i="70"/>
  <c r="CQ94" i="70"/>
  <c r="CS94" i="70"/>
  <c r="CR94" i="70"/>
  <c r="CE95" i="70"/>
  <c r="CU94" i="70"/>
  <c r="CT94" i="70"/>
  <c r="CO94" i="70"/>
  <c r="CG94" i="70"/>
  <c r="CM94" i="70"/>
  <c r="CP94" i="70"/>
  <c r="CF94" i="70"/>
  <c r="AS96" i="70"/>
  <c r="BR107" i="70"/>
  <c r="AR103" i="70"/>
  <c r="AW101" i="70"/>
  <c r="BJ110" i="70"/>
  <c r="BK99" i="70"/>
  <c r="BX98" i="70"/>
  <c r="BP99" i="70"/>
  <c r="BU106" i="70"/>
  <c r="BI99" i="70"/>
  <c r="BL100" i="70"/>
  <c r="BQ97" i="70"/>
  <c r="BO107" i="70"/>
  <c r="BS97" i="70"/>
  <c r="BM96" i="70"/>
  <c r="BN110" i="70"/>
  <c r="BA98" i="70"/>
  <c r="AY107" i="70"/>
  <c r="BW106" i="70"/>
  <c r="BV107" i="70"/>
  <c r="AQ115" i="70"/>
  <c r="DQ89" i="70"/>
  <c r="DL94" i="70"/>
  <c r="DK95" i="70"/>
  <c r="DS87" i="70"/>
  <c r="DO91" i="70"/>
  <c r="DM93" i="70"/>
  <c r="DP90" i="70"/>
  <c r="DN92" i="70"/>
  <c r="DR88" i="70"/>
  <c r="H94" i="15"/>
  <c r="BY83" i="15"/>
  <c r="Y100" i="15"/>
  <c r="T103" i="15"/>
  <c r="BW85" i="15"/>
  <c r="U92" i="15"/>
  <c r="W89" i="15"/>
  <c r="Z92" i="15"/>
  <c r="S92" i="15"/>
  <c r="AG99" i="15"/>
  <c r="C96" i="15"/>
  <c r="AF100" i="15"/>
  <c r="J100" i="15"/>
  <c r="V93" i="15"/>
  <c r="AC90" i="15"/>
  <c r="D89" i="15"/>
  <c r="AB100" i="15"/>
  <c r="BZ82" i="15"/>
  <c r="AE99" i="15"/>
  <c r="BX84" i="15"/>
  <c r="BU87" i="15"/>
  <c r="CA81" i="15"/>
  <c r="L91" i="15"/>
  <c r="BV86" i="15"/>
  <c r="BT88" i="15"/>
  <c r="AH91" i="15"/>
  <c r="X103" i="15"/>
  <c r="BS89" i="15"/>
  <c r="AA90" i="15"/>
  <c r="B108" i="15"/>
  <c r="AQ116" i="70" l="1"/>
  <c r="BV108" i="70"/>
  <c r="BW107" i="70"/>
  <c r="AY108" i="70"/>
  <c r="BA99" i="70"/>
  <c r="BN111" i="70"/>
  <c r="BM97" i="70"/>
  <c r="BS98" i="70"/>
  <c r="BO108" i="70"/>
  <c r="BQ98" i="70"/>
  <c r="BL101" i="70"/>
  <c r="BI100" i="70"/>
  <c r="BU107" i="70"/>
  <c r="BP100" i="70"/>
  <c r="BX99" i="70"/>
  <c r="BK100" i="70"/>
  <c r="BJ111" i="70"/>
  <c r="AW102" i="70"/>
  <c r="AR104" i="70"/>
  <c r="BR108" i="70"/>
  <c r="AS97" i="70"/>
  <c r="CJ95" i="70"/>
  <c r="CI95" i="70"/>
  <c r="CN95" i="70"/>
  <c r="CP95" i="70"/>
  <c r="CU95" i="70"/>
  <c r="CG95" i="70"/>
  <c r="CK95" i="70"/>
  <c r="CS95" i="70"/>
  <c r="CR95" i="70"/>
  <c r="CQ95" i="70"/>
  <c r="CO95" i="70"/>
  <c r="CM95" i="70"/>
  <c r="CE96" i="70"/>
  <c r="CF95" i="70"/>
  <c r="CH95" i="70"/>
  <c r="CT95" i="70"/>
  <c r="CL95" i="70"/>
  <c r="DO92" i="70"/>
  <c r="DN93" i="70"/>
  <c r="DP91" i="70"/>
  <c r="DK96" i="70"/>
  <c r="DL95" i="70"/>
  <c r="DM94" i="70"/>
  <c r="DQ90" i="70"/>
  <c r="DS88" i="70"/>
  <c r="DR89" i="70"/>
  <c r="B109" i="15"/>
  <c r="BV87" i="15"/>
  <c r="B110" i="15"/>
  <c r="H95" i="15"/>
  <c r="C97" i="15"/>
  <c r="D90" i="15"/>
  <c r="W90" i="15"/>
  <c r="V94" i="15"/>
  <c r="AB101" i="15"/>
  <c r="CA82" i="15"/>
  <c r="S93" i="15"/>
  <c r="BW86" i="15"/>
  <c r="U93" i="15"/>
  <c r="AA91" i="15"/>
  <c r="L92" i="15"/>
  <c r="AC91" i="15"/>
  <c r="AF101" i="15"/>
  <c r="X104" i="15"/>
  <c r="AE100" i="15"/>
  <c r="BS90" i="15"/>
  <c r="BX85" i="15"/>
  <c r="AG100" i="15"/>
  <c r="BY84" i="15"/>
  <c r="Y101" i="15"/>
  <c r="Z93" i="15"/>
  <c r="T104" i="15"/>
  <c r="BU88" i="15"/>
  <c r="AH92" i="15"/>
  <c r="J101" i="15"/>
  <c r="BZ83" i="15"/>
  <c r="BT89" i="15"/>
  <c r="CI96" i="70" l="1"/>
  <c r="CH96" i="70"/>
  <c r="CJ96" i="70"/>
  <c r="CG96" i="70"/>
  <c r="CF96" i="70"/>
  <c r="CK96" i="70"/>
  <c r="CM96" i="70"/>
  <c r="CU96" i="70"/>
  <c r="CQ96" i="70"/>
  <c r="CP96" i="70"/>
  <c r="CT96" i="70"/>
  <c r="CR96" i="70"/>
  <c r="CN96" i="70"/>
  <c r="CE97" i="70"/>
  <c r="CL96" i="70"/>
  <c r="CO96" i="70"/>
  <c r="CS96" i="70"/>
  <c r="AS98" i="70"/>
  <c r="BR109" i="70"/>
  <c r="AR105" i="70"/>
  <c r="AW103" i="70"/>
  <c r="BJ112" i="70"/>
  <c r="BK101" i="70"/>
  <c r="BX100" i="70"/>
  <c r="BP101" i="70"/>
  <c r="BU108" i="70"/>
  <c r="BI101" i="70"/>
  <c r="BL102" i="70"/>
  <c r="BQ99" i="70"/>
  <c r="BO109" i="70"/>
  <c r="BS99" i="70"/>
  <c r="BM98" i="70"/>
  <c r="BN112" i="70"/>
  <c r="BA100" i="70"/>
  <c r="AY109" i="70"/>
  <c r="BW108" i="70"/>
  <c r="BV109" i="70"/>
  <c r="DM95" i="70"/>
  <c r="DL96" i="70"/>
  <c r="DK97" i="70"/>
  <c r="DR90" i="70"/>
  <c r="DQ91" i="70"/>
  <c r="DO93" i="70"/>
  <c r="DN94" i="70"/>
  <c r="DS89" i="70"/>
  <c r="DP92" i="70"/>
  <c r="CA83" i="15"/>
  <c r="V95" i="15"/>
  <c r="BZ84" i="15"/>
  <c r="BS91" i="15"/>
  <c r="C98" i="15"/>
  <c r="W91" i="15"/>
  <c r="L93" i="15"/>
  <c r="AA92" i="15"/>
  <c r="BV88" i="15"/>
  <c r="AG101" i="15"/>
  <c r="BX86" i="15"/>
  <c r="H96" i="15"/>
  <c r="T105" i="15"/>
  <c r="AH93" i="15"/>
  <c r="BY85" i="15"/>
  <c r="BT90" i="15"/>
  <c r="U94" i="15"/>
  <c r="AC92" i="15"/>
  <c r="AE101" i="15"/>
  <c r="J102" i="15"/>
  <c r="BU89" i="15"/>
  <c r="X105" i="15"/>
  <c r="Z94" i="15"/>
  <c r="AB102" i="15"/>
  <c r="Y102" i="15"/>
  <c r="D91" i="15"/>
  <c r="S94" i="15"/>
  <c r="BW87" i="15"/>
  <c r="AF102" i="15"/>
  <c r="BV110" i="70" l="1"/>
  <c r="BW109" i="70"/>
  <c r="AY110" i="70"/>
  <c r="BA101" i="70"/>
  <c r="BN113" i="70"/>
  <c r="BM99" i="70"/>
  <c r="BS100" i="70"/>
  <c r="BO110" i="70"/>
  <c r="BQ100" i="70"/>
  <c r="BL103" i="70"/>
  <c r="BI102" i="70"/>
  <c r="BU109" i="70"/>
  <c r="BP102" i="70"/>
  <c r="BX101" i="70"/>
  <c r="BK102" i="70"/>
  <c r="BJ113" i="70"/>
  <c r="AW104" i="70"/>
  <c r="AR106" i="70"/>
  <c r="BR110" i="70"/>
  <c r="AS99" i="70"/>
  <c r="CH97" i="70"/>
  <c r="CG97" i="70"/>
  <c r="CE98" i="70"/>
  <c r="CU97" i="70"/>
  <c r="CQ97" i="70"/>
  <c r="CN97" i="70"/>
  <c r="CI97" i="70"/>
  <c r="CS97" i="70"/>
  <c r="CP97" i="70"/>
  <c r="CO97" i="70"/>
  <c r="CM97" i="70"/>
  <c r="CL97" i="70"/>
  <c r="CK97" i="70"/>
  <c r="CT97" i="70"/>
  <c r="CJ97" i="70"/>
  <c r="CF97" i="70"/>
  <c r="CR97" i="70"/>
  <c r="DR91" i="70"/>
  <c r="DS90" i="70"/>
  <c r="DK98" i="70"/>
  <c r="DL97" i="70"/>
  <c r="DM96" i="70"/>
  <c r="DO94" i="70"/>
  <c r="DP93" i="70"/>
  <c r="DQ92" i="70"/>
  <c r="DN95" i="70"/>
  <c r="T106" i="15"/>
  <c r="BZ85" i="15"/>
  <c r="AB103" i="15"/>
  <c r="V96" i="15"/>
  <c r="AF103" i="15"/>
  <c r="AA93" i="15"/>
  <c r="C99" i="15"/>
  <c r="U95" i="15"/>
  <c r="Y103" i="15"/>
  <c r="Z95" i="15"/>
  <c r="S95" i="15"/>
  <c r="W92" i="15"/>
  <c r="BS92" i="15"/>
  <c r="BY86" i="15"/>
  <c r="BU90" i="15"/>
  <c r="BV89" i="15"/>
  <c r="L94" i="15"/>
  <c r="BT91" i="15"/>
  <c r="AC93" i="15"/>
  <c r="AG102" i="15"/>
  <c r="J103" i="15"/>
  <c r="AH94" i="15"/>
  <c r="BW88" i="15"/>
  <c r="CA84" i="15"/>
  <c r="H97" i="15"/>
  <c r="X106" i="15"/>
  <c r="BX87" i="15"/>
  <c r="AE102" i="15"/>
  <c r="D92" i="15"/>
  <c r="CG98" i="70" l="1"/>
  <c r="CN98" i="70"/>
  <c r="CR98" i="70"/>
  <c r="CQ98" i="70"/>
  <c r="CM98" i="70"/>
  <c r="CU98" i="70"/>
  <c r="CK98" i="70"/>
  <c r="CT98" i="70"/>
  <c r="CO98" i="70"/>
  <c r="CE99" i="70"/>
  <c r="CH98" i="70"/>
  <c r="CP98" i="70"/>
  <c r="CJ98" i="70"/>
  <c r="CL98" i="70"/>
  <c r="CI98" i="70"/>
  <c r="CS98" i="70"/>
  <c r="CF98" i="70"/>
  <c r="AS100" i="70"/>
  <c r="BR111" i="70"/>
  <c r="AR107" i="70"/>
  <c r="AW105" i="70"/>
  <c r="BJ114" i="70"/>
  <c r="BK103" i="70"/>
  <c r="BX102" i="70"/>
  <c r="BP103" i="70"/>
  <c r="BU110" i="70"/>
  <c r="BI103" i="70"/>
  <c r="BL104" i="70"/>
  <c r="BQ101" i="70"/>
  <c r="BO111" i="70"/>
  <c r="BS101" i="70"/>
  <c r="BM100" i="70"/>
  <c r="BN114" i="70"/>
  <c r="BA102" i="70"/>
  <c r="AY111" i="70"/>
  <c r="BW110" i="70"/>
  <c r="BV111" i="70"/>
  <c r="DN96" i="70"/>
  <c r="DM97" i="70"/>
  <c r="DQ93" i="70"/>
  <c r="DK99" i="70"/>
  <c r="DL98" i="70"/>
  <c r="DP94" i="70"/>
  <c r="DR92" i="70"/>
  <c r="DO95" i="70"/>
  <c r="DS91" i="70"/>
  <c r="BV90" i="15"/>
  <c r="BW89" i="15"/>
  <c r="AC94" i="15"/>
  <c r="CA85" i="15"/>
  <c r="AH95" i="15"/>
  <c r="BX88" i="15"/>
  <c r="C100" i="15"/>
  <c r="AA94" i="15"/>
  <c r="H98" i="15"/>
  <c r="S96" i="15"/>
  <c r="AE103" i="15"/>
  <c r="J104" i="15"/>
  <c r="Y104" i="15"/>
  <c r="BZ86" i="15"/>
  <c r="BU91" i="15"/>
  <c r="AF104" i="15"/>
  <c r="BY87" i="15"/>
  <c r="D93" i="15"/>
  <c r="V97" i="15"/>
  <c r="BT92" i="15"/>
  <c r="BS93" i="15"/>
  <c r="Z96" i="15"/>
  <c r="AG103" i="15"/>
  <c r="T107" i="15"/>
  <c r="W93" i="15"/>
  <c r="U96" i="15"/>
  <c r="AB104" i="15"/>
  <c r="L95" i="15"/>
  <c r="X107" i="15"/>
  <c r="BV112" i="70" l="1"/>
  <c r="BW111" i="70"/>
  <c r="AY112" i="70"/>
  <c r="BA103" i="70"/>
  <c r="BN115" i="70"/>
  <c r="BM101" i="70"/>
  <c r="BS102" i="70"/>
  <c r="BO112" i="70"/>
  <c r="BQ102" i="70"/>
  <c r="BL105" i="70"/>
  <c r="BI104" i="70"/>
  <c r="BU111" i="70"/>
  <c r="BP104" i="70"/>
  <c r="BX103" i="70"/>
  <c r="BK104" i="70"/>
  <c r="BJ115" i="70"/>
  <c r="AW106" i="70"/>
  <c r="AR108" i="70"/>
  <c r="BR112" i="70"/>
  <c r="AS101" i="70"/>
  <c r="CN99" i="70"/>
  <c r="CU99" i="70"/>
  <c r="CK99" i="70"/>
  <c r="CJ99" i="70"/>
  <c r="CI99" i="70"/>
  <c r="CO99" i="70"/>
  <c r="CH99" i="70"/>
  <c r="CQ99" i="70"/>
  <c r="CE100" i="70"/>
  <c r="CF99" i="70"/>
  <c r="CM99" i="70"/>
  <c r="CT99" i="70"/>
  <c r="CS99" i="70"/>
  <c r="CP99" i="70"/>
  <c r="CL99" i="70"/>
  <c r="CG99" i="70"/>
  <c r="CR99" i="70"/>
  <c r="DS92" i="70"/>
  <c r="DM98" i="70"/>
  <c r="DL99" i="70"/>
  <c r="DK100" i="70"/>
  <c r="DR93" i="70"/>
  <c r="DN97" i="70"/>
  <c r="DP95" i="70"/>
  <c r="DQ94" i="70"/>
  <c r="DO96" i="70"/>
  <c r="AH96" i="15"/>
  <c r="X108" i="15"/>
  <c r="D94" i="15"/>
  <c r="C101" i="15"/>
  <c r="H99" i="15"/>
  <c r="AA95" i="15"/>
  <c r="AE104" i="15"/>
  <c r="BT93" i="15"/>
  <c r="BZ87" i="15"/>
  <c r="BW90" i="15"/>
  <c r="AB105" i="15"/>
  <c r="T108" i="15"/>
  <c r="BX89" i="15"/>
  <c r="BS94" i="15"/>
  <c r="Y105" i="15"/>
  <c r="J105" i="15"/>
  <c r="BU92" i="15"/>
  <c r="W94" i="15"/>
  <c r="BY88" i="15"/>
  <c r="L96" i="15"/>
  <c r="Z97" i="15"/>
  <c r="BV91" i="15"/>
  <c r="AG104" i="15"/>
  <c r="U97" i="15"/>
  <c r="S97" i="15"/>
  <c r="AC95" i="15"/>
  <c r="AF105" i="15"/>
  <c r="V98" i="15"/>
  <c r="CA86" i="15"/>
  <c r="CM100" i="70" l="1"/>
  <c r="CL100" i="70"/>
  <c r="CF100" i="70"/>
  <c r="CN100" i="70"/>
  <c r="CI100" i="70"/>
  <c r="CH100" i="70"/>
  <c r="CG100" i="70"/>
  <c r="CS100" i="70"/>
  <c r="CU100" i="70"/>
  <c r="CT100" i="70"/>
  <c r="CP100" i="70"/>
  <c r="CO100" i="70"/>
  <c r="CQ100" i="70"/>
  <c r="CK100" i="70"/>
  <c r="CJ100" i="70"/>
  <c r="CR100" i="70"/>
  <c r="CE101" i="70"/>
  <c r="AS102" i="70"/>
  <c r="BR113" i="70"/>
  <c r="AR109" i="70"/>
  <c r="AW107" i="70"/>
  <c r="BJ116" i="70"/>
  <c r="BK105" i="70"/>
  <c r="BX104" i="70"/>
  <c r="BP105" i="70"/>
  <c r="BU112" i="70"/>
  <c r="BI105" i="70"/>
  <c r="BL106" i="70"/>
  <c r="BQ103" i="70"/>
  <c r="BO113" i="70"/>
  <c r="BS103" i="70"/>
  <c r="BM102" i="70"/>
  <c r="BN116" i="70"/>
  <c r="BA104" i="70"/>
  <c r="AY113" i="70"/>
  <c r="BW112" i="70"/>
  <c r="BV113" i="70"/>
  <c r="DS93" i="70"/>
  <c r="DK101" i="70"/>
  <c r="DL100" i="70"/>
  <c r="DM99" i="70"/>
  <c r="DQ95" i="70"/>
  <c r="DN98" i="70"/>
  <c r="DR94" i="70"/>
  <c r="DO97" i="70"/>
  <c r="DP96" i="70"/>
  <c r="S98" i="15"/>
  <c r="H100" i="15"/>
  <c r="T109" i="15"/>
  <c r="BU93" i="15"/>
  <c r="L97" i="15"/>
  <c r="CA87" i="15"/>
  <c r="Z98" i="15"/>
  <c r="V99" i="15"/>
  <c r="BS95" i="15"/>
  <c r="X110" i="15"/>
  <c r="D95" i="15"/>
  <c r="AE105" i="15"/>
  <c r="C102" i="15"/>
  <c r="J106" i="15"/>
  <c r="BX90" i="15"/>
  <c r="AF106" i="15"/>
  <c r="BY89" i="15"/>
  <c r="AC96" i="15"/>
  <c r="AA96" i="15"/>
  <c r="W95" i="15"/>
  <c r="T110" i="15"/>
  <c r="AB106" i="15"/>
  <c r="BV92" i="15"/>
  <c r="AH97" i="15"/>
  <c r="U98" i="15"/>
  <c r="BW91" i="15"/>
  <c r="Y106" i="15"/>
  <c r="X109" i="15"/>
  <c r="BT94" i="15"/>
  <c r="AG105" i="15"/>
  <c r="BZ88" i="15"/>
  <c r="CL101" i="70" l="1"/>
  <c r="CK101" i="70"/>
  <c r="CI101" i="70"/>
  <c r="CH101" i="70"/>
  <c r="CG101" i="70"/>
  <c r="CJ101" i="70"/>
  <c r="CN101" i="70"/>
  <c r="CE102" i="70"/>
  <c r="CT101" i="70"/>
  <c r="CS101" i="70"/>
  <c r="CU101" i="70"/>
  <c r="CR101" i="70"/>
  <c r="CQ101" i="70"/>
  <c r="CO101" i="70"/>
  <c r="CF101" i="70"/>
  <c r="CM101" i="70"/>
  <c r="CP101" i="70"/>
  <c r="BV114" i="70"/>
  <c r="BW113" i="70"/>
  <c r="AY114" i="70"/>
  <c r="BA105" i="70"/>
  <c r="BM103" i="70"/>
  <c r="BS104" i="70"/>
  <c r="BO114" i="70"/>
  <c r="BQ104" i="70"/>
  <c r="BL107" i="70"/>
  <c r="BI106" i="70"/>
  <c r="BU113" i="70"/>
  <c r="BP106" i="70"/>
  <c r="BX105" i="70"/>
  <c r="BK106" i="70"/>
  <c r="AW108" i="70"/>
  <c r="AR110" i="70"/>
  <c r="BR114" i="70"/>
  <c r="AS103" i="70"/>
  <c r="DP97" i="70"/>
  <c r="DR95" i="70"/>
  <c r="DN99" i="70"/>
  <c r="DS94" i="70"/>
  <c r="DM100" i="70"/>
  <c r="DL101" i="70"/>
  <c r="DK102" i="70"/>
  <c r="DO98" i="70"/>
  <c r="DQ96" i="70"/>
  <c r="L98" i="15"/>
  <c r="J107" i="15"/>
  <c r="BT95" i="15"/>
  <c r="BZ89" i="15"/>
  <c r="BX91" i="15"/>
  <c r="AA97" i="15"/>
  <c r="U99" i="15"/>
  <c r="BV93" i="15"/>
  <c r="H101" i="15"/>
  <c r="V100" i="15"/>
  <c r="BY90" i="15"/>
  <c r="CA88" i="15"/>
  <c r="S99" i="15"/>
  <c r="BU94" i="15"/>
  <c r="BS96" i="15"/>
  <c r="Y107" i="15"/>
  <c r="AH98" i="15"/>
  <c r="W96" i="15"/>
  <c r="AF107" i="15"/>
  <c r="Z99" i="15"/>
  <c r="AC97" i="15"/>
  <c r="AB107" i="15"/>
  <c r="AE106" i="15"/>
  <c r="D96" i="15"/>
  <c r="AG106" i="15"/>
  <c r="C103" i="15"/>
  <c r="BW92" i="15"/>
  <c r="AS104" i="70" l="1"/>
  <c r="BR115" i="70"/>
  <c r="AR111" i="70"/>
  <c r="AW109" i="70"/>
  <c r="BK107" i="70"/>
  <c r="BX106" i="70"/>
  <c r="BP107" i="70"/>
  <c r="BU114" i="70"/>
  <c r="BI107" i="70"/>
  <c r="BL108" i="70"/>
  <c r="BQ105" i="70"/>
  <c r="BO115" i="70"/>
  <c r="BS105" i="70"/>
  <c r="BM104" i="70"/>
  <c r="BA106" i="70"/>
  <c r="AY115" i="70"/>
  <c r="BW114" i="70"/>
  <c r="BV115" i="70"/>
  <c r="CK102" i="70"/>
  <c r="CJ102" i="70"/>
  <c r="CM102" i="70"/>
  <c r="CL102" i="70"/>
  <c r="CO102" i="70"/>
  <c r="CU102" i="70"/>
  <c r="CI102" i="70"/>
  <c r="CT102" i="70"/>
  <c r="CS102" i="70"/>
  <c r="CR102" i="70"/>
  <c r="CN102" i="70"/>
  <c r="CE103" i="70"/>
  <c r="CH102" i="70"/>
  <c r="CF102" i="70"/>
  <c r="CG102" i="70"/>
  <c r="CQ102" i="70"/>
  <c r="CP102" i="70"/>
  <c r="DP98" i="70"/>
  <c r="DN100" i="70"/>
  <c r="DO99" i="70"/>
  <c r="DM101" i="70"/>
  <c r="DS95" i="70"/>
  <c r="DK103" i="70"/>
  <c r="DL102" i="70"/>
  <c r="DR96" i="70"/>
  <c r="DQ97" i="70"/>
  <c r="AG107" i="15"/>
  <c r="H102" i="15"/>
  <c r="BZ90" i="15"/>
  <c r="BV94" i="15"/>
  <c r="AE107" i="15"/>
  <c r="U100" i="15"/>
  <c r="L99" i="15"/>
  <c r="AA98" i="15"/>
  <c r="BS97" i="15"/>
  <c r="D97" i="15"/>
  <c r="CA89" i="15"/>
  <c r="AH99" i="15"/>
  <c r="AF108" i="15"/>
  <c r="BY91" i="15"/>
  <c r="AB108" i="15"/>
  <c r="BT96" i="15"/>
  <c r="C104" i="15"/>
  <c r="BW93" i="15"/>
  <c r="J108" i="15"/>
  <c r="Z100" i="15"/>
  <c r="W97" i="15"/>
  <c r="BU95" i="15"/>
  <c r="BX92" i="15"/>
  <c r="V101" i="15"/>
  <c r="AC98" i="15"/>
  <c r="S100" i="15"/>
  <c r="Y108" i="15"/>
  <c r="BV116" i="70" l="1"/>
  <c r="BW115" i="70"/>
  <c r="AY116" i="70"/>
  <c r="BA107" i="70"/>
  <c r="BM105" i="70"/>
  <c r="BS106" i="70"/>
  <c r="BO116" i="70"/>
  <c r="BQ106" i="70"/>
  <c r="BL109" i="70"/>
  <c r="BI108" i="70"/>
  <c r="BU115" i="70"/>
  <c r="BP108" i="70"/>
  <c r="BX107" i="70"/>
  <c r="BK108" i="70"/>
  <c r="AW110" i="70"/>
  <c r="AR112" i="70"/>
  <c r="BR116" i="70"/>
  <c r="AS105" i="70"/>
  <c r="CJ103" i="70"/>
  <c r="CI103" i="70"/>
  <c r="CG103" i="70"/>
  <c r="CF103" i="70"/>
  <c r="CN103" i="70"/>
  <c r="CH103" i="70"/>
  <c r="CM103" i="70"/>
  <c r="CT103" i="70"/>
  <c r="CR103" i="70"/>
  <c r="CQ103" i="70"/>
  <c r="CS103" i="70"/>
  <c r="CP103" i="70"/>
  <c r="CO103" i="70"/>
  <c r="CE104" i="70"/>
  <c r="CL103" i="70"/>
  <c r="CU103" i="70"/>
  <c r="CK103" i="70"/>
  <c r="DN101" i="70"/>
  <c r="DS96" i="70"/>
  <c r="DP99" i="70"/>
  <c r="DL103" i="70"/>
  <c r="DK104" i="70"/>
  <c r="DO100" i="70"/>
  <c r="DM102" i="70"/>
  <c r="DR97" i="70"/>
  <c r="DQ98" i="70"/>
  <c r="AB109" i="15"/>
  <c r="CA90" i="15"/>
  <c r="W98" i="15"/>
  <c r="V102" i="15"/>
  <c r="Y110" i="15"/>
  <c r="Z101" i="15"/>
  <c r="H103" i="15"/>
  <c r="U101" i="15"/>
  <c r="J109" i="15"/>
  <c r="BV95" i="15"/>
  <c r="D98" i="15"/>
  <c r="BY92" i="15"/>
  <c r="BU96" i="15"/>
  <c r="AB110" i="15"/>
  <c r="AF109" i="15"/>
  <c r="AE108" i="15"/>
  <c r="BW94" i="15"/>
  <c r="AG108" i="15"/>
  <c r="AC99" i="15"/>
  <c r="C105" i="15"/>
  <c r="BX93" i="15"/>
  <c r="AA99" i="15"/>
  <c r="AF110" i="15"/>
  <c r="BT97" i="15"/>
  <c r="AH100" i="15"/>
  <c r="BZ91" i="15"/>
  <c r="Y109" i="15"/>
  <c r="J110" i="15"/>
  <c r="BS98" i="15"/>
  <c r="S101" i="15"/>
  <c r="L100" i="15"/>
  <c r="AS106" i="70" l="1"/>
  <c r="AR113" i="70"/>
  <c r="AW111" i="70"/>
  <c r="BK109" i="70"/>
  <c r="BX108" i="70"/>
  <c r="BP109" i="70"/>
  <c r="BU116" i="70"/>
  <c r="BI109" i="70"/>
  <c r="BL110" i="70"/>
  <c r="BQ107" i="70"/>
  <c r="BS107" i="70"/>
  <c r="BM106" i="70"/>
  <c r="BA108" i="70"/>
  <c r="BW116" i="70"/>
  <c r="CI104" i="70"/>
  <c r="CH104" i="70"/>
  <c r="CL104" i="70"/>
  <c r="CK104" i="70"/>
  <c r="CJ104" i="70"/>
  <c r="CG104" i="70"/>
  <c r="CF104" i="70"/>
  <c r="CR104" i="70"/>
  <c r="CQ104" i="70"/>
  <c r="CP104" i="70"/>
  <c r="CE105" i="70"/>
  <c r="CU104" i="70"/>
  <c r="CT104" i="70"/>
  <c r="CO104" i="70"/>
  <c r="CN104" i="70"/>
  <c r="CM104" i="70"/>
  <c r="CS104" i="70"/>
  <c r="DK105" i="70"/>
  <c r="DL104" i="70"/>
  <c r="DM103" i="70"/>
  <c r="DS97" i="70"/>
  <c r="DQ99" i="70"/>
  <c r="DN102" i="70"/>
  <c r="DP100" i="70"/>
  <c r="DR98" i="70"/>
  <c r="DO101" i="70"/>
  <c r="D99" i="15"/>
  <c r="CA91" i="15"/>
  <c r="V103" i="15"/>
  <c r="BW95" i="15"/>
  <c r="BT98" i="15"/>
  <c r="AH101" i="15"/>
  <c r="BX94" i="15"/>
  <c r="L101" i="15"/>
  <c r="AC100" i="15"/>
  <c r="AG110" i="15"/>
  <c r="W99" i="15"/>
  <c r="BU97" i="15"/>
  <c r="BV96" i="15"/>
  <c r="AE109" i="15"/>
  <c r="U102" i="15"/>
  <c r="BS99" i="15"/>
  <c r="S102" i="15"/>
  <c r="Z102" i="15"/>
  <c r="H104" i="15"/>
  <c r="AA100" i="15"/>
  <c r="C106" i="15"/>
  <c r="BY93" i="15"/>
  <c r="AE110" i="15"/>
  <c r="BZ92" i="15"/>
  <c r="AG109" i="15"/>
  <c r="CH105" i="70" l="1"/>
  <c r="CG105" i="70"/>
  <c r="CN105" i="70"/>
  <c r="CR105" i="70"/>
  <c r="CF105" i="70"/>
  <c r="CE106" i="70"/>
  <c r="CK105" i="70"/>
  <c r="CT105" i="70"/>
  <c r="CP105" i="70"/>
  <c r="CO105" i="70"/>
  <c r="CQ105" i="70"/>
  <c r="CM105" i="70"/>
  <c r="CU105" i="70"/>
  <c r="CL105" i="70"/>
  <c r="CI105" i="70"/>
  <c r="CJ105" i="70"/>
  <c r="CS105" i="70"/>
  <c r="BA109" i="70"/>
  <c r="BM107" i="70"/>
  <c r="BS108" i="70"/>
  <c r="BQ108" i="70"/>
  <c r="BL111" i="70"/>
  <c r="BI110" i="70"/>
  <c r="BP110" i="70"/>
  <c r="BX109" i="70"/>
  <c r="BK110" i="70"/>
  <c r="AW112" i="70"/>
  <c r="AR114" i="70"/>
  <c r="AS107" i="70"/>
  <c r="DN103" i="70"/>
  <c r="DR99" i="70"/>
  <c r="DM104" i="70"/>
  <c r="DS98" i="70"/>
  <c r="DQ100" i="70"/>
  <c r="DO102" i="70"/>
  <c r="DP101" i="70"/>
  <c r="DK106" i="70"/>
  <c r="DL105" i="70"/>
  <c r="BY94" i="15"/>
  <c r="BW96" i="15"/>
  <c r="BS100" i="15"/>
  <c r="H105" i="15"/>
  <c r="S103" i="15"/>
  <c r="AA101" i="15"/>
  <c r="U103" i="15"/>
  <c r="BU98" i="15"/>
  <c r="C107" i="15"/>
  <c r="V104" i="15"/>
  <c r="BX95" i="15"/>
  <c r="Z103" i="15"/>
  <c r="BV97" i="15"/>
  <c r="BZ93" i="15"/>
  <c r="BT99" i="15"/>
  <c r="D100" i="15"/>
  <c r="L102" i="15"/>
  <c r="CA92" i="15"/>
  <c r="AH102" i="15"/>
  <c r="W100" i="15"/>
  <c r="AC101" i="15"/>
  <c r="AS108" i="70" l="1"/>
  <c r="AR115" i="70"/>
  <c r="AW113" i="70"/>
  <c r="BK111" i="70"/>
  <c r="BX110" i="70"/>
  <c r="BP111" i="70"/>
  <c r="BI111" i="70"/>
  <c r="BL112" i="70"/>
  <c r="BQ109" i="70"/>
  <c r="BS109" i="70"/>
  <c r="BM108" i="70"/>
  <c r="BA110" i="70"/>
  <c r="CG106" i="70"/>
  <c r="CN106" i="70"/>
  <c r="CT106" i="70"/>
  <c r="CS106" i="70"/>
  <c r="CR106" i="70"/>
  <c r="CP106" i="70"/>
  <c r="CL106" i="70"/>
  <c r="CU106" i="70"/>
  <c r="CO106" i="70"/>
  <c r="CE107" i="70"/>
  <c r="CF106" i="70"/>
  <c r="CJ106" i="70"/>
  <c r="CI106" i="70"/>
  <c r="CH106" i="70"/>
  <c r="CM106" i="70"/>
  <c r="CK106" i="70"/>
  <c r="CQ106" i="70"/>
  <c r="DR100" i="70"/>
  <c r="DN104" i="70"/>
  <c r="DK107" i="70"/>
  <c r="DL106" i="70"/>
  <c r="DP102" i="70"/>
  <c r="DS99" i="70"/>
  <c r="DQ101" i="70"/>
  <c r="DM105" i="70"/>
  <c r="DO103" i="70"/>
  <c r="BV98" i="15"/>
  <c r="S104" i="15"/>
  <c r="U104" i="15"/>
  <c r="BU99" i="15"/>
  <c r="W101" i="15"/>
  <c r="BY95" i="15"/>
  <c r="BW97" i="15"/>
  <c r="AA102" i="15"/>
  <c r="CA93" i="15"/>
  <c r="Z104" i="15"/>
  <c r="D101" i="15"/>
  <c r="BZ94" i="15"/>
  <c r="AH103" i="15"/>
  <c r="V105" i="15"/>
  <c r="L103" i="15"/>
  <c r="C108" i="15"/>
  <c r="AC102" i="15"/>
  <c r="H106" i="15"/>
  <c r="BT100" i="15"/>
  <c r="BX96" i="15"/>
  <c r="BS101" i="15"/>
  <c r="BA111" i="70" l="1"/>
  <c r="BM109" i="70"/>
  <c r="BS110" i="70"/>
  <c r="BQ110" i="70"/>
  <c r="BL113" i="70"/>
  <c r="BI112" i="70"/>
  <c r="BP112" i="70"/>
  <c r="BX111" i="70"/>
  <c r="BK112" i="70"/>
  <c r="AW114" i="70"/>
  <c r="AR116" i="70"/>
  <c r="AS109" i="70"/>
  <c r="CN107" i="70"/>
  <c r="CU107" i="70"/>
  <c r="CO107" i="70"/>
  <c r="CK107" i="70"/>
  <c r="CT107" i="70"/>
  <c r="CH107" i="70"/>
  <c r="CJ107" i="70"/>
  <c r="CR107" i="70"/>
  <c r="CF107" i="70"/>
  <c r="CM107" i="70"/>
  <c r="CL107" i="70"/>
  <c r="CQ107" i="70"/>
  <c r="CP107" i="70"/>
  <c r="CG107" i="70"/>
  <c r="CI107" i="70"/>
  <c r="CE108" i="70"/>
  <c r="CS107" i="70"/>
  <c r="DN105" i="70"/>
  <c r="DR101" i="70"/>
  <c r="DQ102" i="70"/>
  <c r="DK108" i="70"/>
  <c r="DL107" i="70"/>
  <c r="DM106" i="70"/>
  <c r="DO104" i="70"/>
  <c r="DP103" i="70"/>
  <c r="DS100" i="70"/>
  <c r="S105" i="15"/>
  <c r="AC103" i="15"/>
  <c r="BS102" i="15"/>
  <c r="BX97" i="15"/>
  <c r="V106" i="15"/>
  <c r="BW98" i="15"/>
  <c r="C109" i="15"/>
  <c r="BU100" i="15"/>
  <c r="U105" i="15"/>
  <c r="D102" i="15"/>
  <c r="L104" i="15"/>
  <c r="Z105" i="15"/>
  <c r="BZ95" i="15"/>
  <c r="AH104" i="15"/>
  <c r="W102" i="15"/>
  <c r="BY96" i="15"/>
  <c r="CA94" i="15"/>
  <c r="C110" i="15"/>
  <c r="BV99" i="15"/>
  <c r="BT101" i="15"/>
  <c r="AA103" i="15"/>
  <c r="H107" i="15"/>
  <c r="AS110" i="70" l="1"/>
  <c r="AW115" i="70"/>
  <c r="BK113" i="70"/>
  <c r="BX112" i="70"/>
  <c r="BP113" i="70"/>
  <c r="BI113" i="70"/>
  <c r="BL114" i="70"/>
  <c r="BQ111" i="70"/>
  <c r="BS111" i="70"/>
  <c r="BM110" i="70"/>
  <c r="BA112" i="70"/>
  <c r="CM108" i="70"/>
  <c r="CL108" i="70"/>
  <c r="CH108" i="70"/>
  <c r="CG108" i="70"/>
  <c r="CF108" i="70"/>
  <c r="CJ108" i="70"/>
  <c r="CK108" i="70"/>
  <c r="CS108" i="70"/>
  <c r="CU108" i="70"/>
  <c r="CT108" i="70"/>
  <c r="CR108" i="70"/>
  <c r="CQ108" i="70"/>
  <c r="CP108" i="70"/>
  <c r="CO108" i="70"/>
  <c r="CN108" i="70"/>
  <c r="CI108" i="70"/>
  <c r="CE109" i="70"/>
  <c r="DM107" i="70"/>
  <c r="DK109" i="70"/>
  <c r="DL108" i="70"/>
  <c r="DQ103" i="70"/>
  <c r="DR102" i="70"/>
  <c r="DN106" i="70"/>
  <c r="DS101" i="70"/>
  <c r="DP104" i="70"/>
  <c r="DO105" i="70"/>
  <c r="BV100" i="15"/>
  <c r="CA95" i="15"/>
  <c r="BT102" i="15"/>
  <c r="AA104" i="15"/>
  <c r="AH105" i="15"/>
  <c r="BX98" i="15"/>
  <c r="H108" i="15"/>
  <c r="V107" i="15"/>
  <c r="BW99" i="15"/>
  <c r="BS103" i="15"/>
  <c r="BU101" i="15"/>
  <c r="Z106" i="15"/>
  <c r="U106" i="15"/>
  <c r="W103" i="15"/>
  <c r="BY97" i="15"/>
  <c r="BZ96" i="15"/>
  <c r="AC104" i="15"/>
  <c r="L105" i="15"/>
  <c r="S106" i="15"/>
  <c r="D103" i="15"/>
  <c r="CL109" i="70" l="1"/>
  <c r="CK109" i="70"/>
  <c r="CE110" i="70"/>
  <c r="CU109" i="70"/>
  <c r="CP109" i="70"/>
  <c r="CO109" i="70"/>
  <c r="CN109" i="70"/>
  <c r="CR109" i="70"/>
  <c r="CT109" i="70"/>
  <c r="CS109" i="70"/>
  <c r="CM109" i="70"/>
  <c r="CJ109" i="70"/>
  <c r="CI109" i="70"/>
  <c r="CH109" i="70"/>
  <c r="CF109" i="70"/>
  <c r="CG109" i="70"/>
  <c r="CQ109" i="70"/>
  <c r="BA113" i="70"/>
  <c r="BM111" i="70"/>
  <c r="BS112" i="70"/>
  <c r="BQ112" i="70"/>
  <c r="BL115" i="70"/>
  <c r="BI114" i="70"/>
  <c r="BP114" i="70"/>
  <c r="BX113" i="70"/>
  <c r="BK114" i="70"/>
  <c r="AW116" i="70"/>
  <c r="AS111" i="70"/>
  <c r="DO106" i="70"/>
  <c r="DS102" i="70"/>
  <c r="DM108" i="70"/>
  <c r="DK110" i="70"/>
  <c r="DL109" i="70"/>
  <c r="DQ104" i="70"/>
  <c r="DR103" i="70"/>
  <c r="DP105" i="70"/>
  <c r="DN107" i="70"/>
  <c r="V108" i="15"/>
  <c r="BZ97" i="15"/>
  <c r="BU102" i="15"/>
  <c r="AH106" i="15"/>
  <c r="Z107" i="15"/>
  <c r="D104" i="15"/>
  <c r="W104" i="15"/>
  <c r="CA96" i="15"/>
  <c r="U107" i="15"/>
  <c r="BT103" i="15"/>
  <c r="AC105" i="15"/>
  <c r="BW100" i="15"/>
  <c r="H110" i="15"/>
  <c r="BX99" i="15"/>
  <c r="H109" i="15"/>
  <c r="S107" i="15"/>
  <c r="L106" i="15"/>
  <c r="BS104" i="15"/>
  <c r="BY98" i="15"/>
  <c r="AA105" i="15"/>
  <c r="BV101" i="15"/>
  <c r="CK110" i="70" l="1"/>
  <c r="CJ110" i="70"/>
  <c r="CH110" i="70"/>
  <c r="CF110" i="70"/>
  <c r="CO110" i="70"/>
  <c r="CG110" i="70"/>
  <c r="CM110" i="70"/>
  <c r="CI110" i="70"/>
  <c r="CS110" i="70"/>
  <c r="CR110" i="70"/>
  <c r="CP110" i="70"/>
  <c r="CT110" i="70"/>
  <c r="CQ110" i="70"/>
  <c r="CU110" i="70"/>
  <c r="CN110" i="70"/>
  <c r="CL110" i="70"/>
  <c r="CE111" i="70"/>
  <c r="AS112" i="70"/>
  <c r="BK115" i="70"/>
  <c r="BX114" i="70"/>
  <c r="BP115" i="70"/>
  <c r="BI115" i="70"/>
  <c r="BL116" i="70"/>
  <c r="BQ113" i="70"/>
  <c r="BS113" i="70"/>
  <c r="BM112" i="70"/>
  <c r="BA114" i="70"/>
  <c r="DM109" i="70"/>
  <c r="DK111" i="70"/>
  <c r="DL110" i="70"/>
  <c r="DN108" i="70"/>
  <c r="DS103" i="70"/>
  <c r="DQ105" i="70"/>
  <c r="DR104" i="70"/>
  <c r="DO107" i="70"/>
  <c r="DP106" i="70"/>
  <c r="W105" i="15"/>
  <c r="AH107" i="15"/>
  <c r="BX100" i="15"/>
  <c r="AA106" i="15"/>
  <c r="BY99" i="15"/>
  <c r="U108" i="15"/>
  <c r="L107" i="15"/>
  <c r="S108" i="15"/>
  <c r="BU103" i="15"/>
  <c r="AC106" i="15"/>
  <c r="BW101" i="15"/>
  <c r="CA97" i="15"/>
  <c r="V109" i="15"/>
  <c r="BZ98" i="15"/>
  <c r="D105" i="15"/>
  <c r="Z108" i="15"/>
  <c r="V110" i="15"/>
  <c r="BS105" i="15"/>
  <c r="BT104" i="15"/>
  <c r="BV102" i="15"/>
  <c r="CJ111" i="70" l="1"/>
  <c r="CI111" i="70"/>
  <c r="CO111" i="70"/>
  <c r="CN111" i="70"/>
  <c r="CL111" i="70"/>
  <c r="CK111" i="70"/>
  <c r="CH111" i="70"/>
  <c r="CP111" i="70"/>
  <c r="CR111" i="70"/>
  <c r="CE112" i="70"/>
  <c r="CG111" i="70"/>
  <c r="CM111" i="70"/>
  <c r="CU111" i="70"/>
  <c r="CT111" i="70"/>
  <c r="CS111" i="70"/>
  <c r="CF111" i="70"/>
  <c r="CQ111" i="70"/>
  <c r="BA115" i="70"/>
  <c r="BM113" i="70"/>
  <c r="BS114" i="70"/>
  <c r="BQ114" i="70"/>
  <c r="BI116" i="70"/>
  <c r="BP116" i="70"/>
  <c r="BX115" i="70"/>
  <c r="BK116" i="70"/>
  <c r="AS113" i="70"/>
  <c r="DR105" i="70"/>
  <c r="DO108" i="70"/>
  <c r="DM110" i="70"/>
  <c r="DS104" i="70"/>
  <c r="DK112" i="70"/>
  <c r="DL111" i="70"/>
  <c r="DP107" i="70"/>
  <c r="DQ106" i="70"/>
  <c r="DN109" i="70"/>
  <c r="AH108" i="15"/>
  <c r="U110" i="15"/>
  <c r="BW102" i="15"/>
  <c r="Z110" i="15"/>
  <c r="W106" i="15"/>
  <c r="BY100" i="15"/>
  <c r="L108" i="15"/>
  <c r="BU104" i="15"/>
  <c r="BS106" i="15"/>
  <c r="D106" i="15"/>
  <c r="S110" i="15"/>
  <c r="BT105" i="15"/>
  <c r="BZ99" i="15"/>
  <c r="S109" i="15"/>
  <c r="AA107" i="15"/>
  <c r="AC107" i="15"/>
  <c r="BX101" i="15"/>
  <c r="BV103" i="15"/>
  <c r="U109" i="15"/>
  <c r="CA98" i="15"/>
  <c r="Z109" i="15"/>
  <c r="AS114" i="70" l="1"/>
  <c r="BX116" i="70"/>
  <c r="BQ115" i="70"/>
  <c r="BS115" i="70"/>
  <c r="BM114" i="70"/>
  <c r="BA116" i="70"/>
  <c r="CH112" i="70"/>
  <c r="CG112" i="70"/>
  <c r="CM112" i="70"/>
  <c r="CJ112" i="70"/>
  <c r="CI112" i="70"/>
  <c r="CF112" i="70"/>
  <c r="CN112" i="70"/>
  <c r="CQ112" i="70"/>
  <c r="CO112" i="70"/>
  <c r="CU112" i="70"/>
  <c r="CE113" i="70"/>
  <c r="CT112" i="70"/>
  <c r="CL112" i="70"/>
  <c r="CR112" i="70"/>
  <c r="CK112" i="70"/>
  <c r="CP112" i="70"/>
  <c r="CS112" i="70"/>
  <c r="DR106" i="70"/>
  <c r="DM111" i="70"/>
  <c r="DL112" i="70"/>
  <c r="DK113" i="70"/>
  <c r="DQ107" i="70"/>
  <c r="DN110" i="70"/>
  <c r="DP108" i="70"/>
  <c r="DO109" i="70"/>
  <c r="DS105" i="70"/>
  <c r="D107" i="15"/>
  <c r="L109" i="15"/>
  <c r="BU105" i="15"/>
  <c r="BZ100" i="15"/>
  <c r="BT106" i="15"/>
  <c r="CA99" i="15"/>
  <c r="BY101" i="15"/>
  <c r="BX102" i="15"/>
  <c r="AA108" i="15"/>
  <c r="BW103" i="15"/>
  <c r="L110" i="15"/>
  <c r="BS107" i="15"/>
  <c r="AH109" i="15"/>
  <c r="AH110" i="15"/>
  <c r="AC108" i="15"/>
  <c r="BV104" i="15"/>
  <c r="W107" i="15"/>
  <c r="CG113" i="70" l="1"/>
  <c r="CN113" i="70"/>
  <c r="CT113" i="70"/>
  <c r="CR113" i="70"/>
  <c r="CP113" i="70"/>
  <c r="CS113" i="70"/>
  <c r="CU113" i="70"/>
  <c r="CJ113" i="70"/>
  <c r="CO113" i="70"/>
  <c r="CE114" i="70"/>
  <c r="CL113" i="70"/>
  <c r="CQ113" i="70"/>
  <c r="CI113" i="70"/>
  <c r="CH113" i="70"/>
  <c r="CM113" i="70"/>
  <c r="CF113" i="70"/>
  <c r="CK113" i="70"/>
  <c r="BM115" i="70"/>
  <c r="BS116" i="70"/>
  <c r="BQ116" i="70"/>
  <c r="AS115" i="70"/>
  <c r="DO110" i="70"/>
  <c r="DQ108" i="70"/>
  <c r="DM112" i="70"/>
  <c r="DR107" i="70"/>
  <c r="DN111" i="70"/>
  <c r="DP109" i="70"/>
  <c r="DL113" i="70"/>
  <c r="DK114" i="70"/>
  <c r="DS106" i="70"/>
  <c r="BS108" i="15"/>
  <c r="BT107" i="15"/>
  <c r="AC110" i="15"/>
  <c r="W108" i="15"/>
  <c r="AA109" i="15"/>
  <c r="BV105" i="15"/>
  <c r="BY102" i="15"/>
  <c r="CA100" i="15"/>
  <c r="AC109" i="15"/>
  <c r="AA110" i="15"/>
  <c r="D108" i="15"/>
  <c r="BX103" i="15"/>
  <c r="BW104" i="15"/>
  <c r="BZ101" i="15"/>
  <c r="BU106" i="15"/>
  <c r="AS116" i="70" l="1"/>
  <c r="BM116" i="70"/>
  <c r="CN114" i="70"/>
  <c r="CU114" i="70"/>
  <c r="CS114" i="70"/>
  <c r="CO114" i="70"/>
  <c r="CJ114" i="70"/>
  <c r="CR114" i="70"/>
  <c r="CG114" i="70"/>
  <c r="CQ114" i="70"/>
  <c r="CK114" i="70"/>
  <c r="CI114" i="70"/>
  <c r="CT114" i="70"/>
  <c r="CE115" i="70"/>
  <c r="CF114" i="70"/>
  <c r="CM114" i="70"/>
  <c r="CL114" i="70"/>
  <c r="CH114" i="70"/>
  <c r="CP114" i="70"/>
  <c r="DL114" i="70"/>
  <c r="DK115" i="70"/>
  <c r="DQ109" i="70"/>
  <c r="DO111" i="70"/>
  <c r="DS107" i="70"/>
  <c r="DM113" i="70"/>
  <c r="DN112" i="70"/>
  <c r="DR108" i="70"/>
  <c r="DP110" i="70"/>
  <c r="BZ102" i="15"/>
  <c r="W110" i="15"/>
  <c r="BT108" i="15"/>
  <c r="BU107" i="15"/>
  <c r="D110" i="15"/>
  <c r="W109" i="15"/>
  <c r="BV106" i="15"/>
  <c r="D109" i="15"/>
  <c r="CA101" i="15"/>
  <c r="BW105" i="15"/>
  <c r="BX104" i="15"/>
  <c r="BY103" i="15"/>
  <c r="BS109" i="15"/>
  <c r="CM115" i="70" l="1"/>
  <c r="CL115" i="70"/>
  <c r="CJ115" i="70"/>
  <c r="CE116" i="70"/>
  <c r="CS115" i="70"/>
  <c r="CO115" i="70"/>
  <c r="CK115" i="70"/>
  <c r="CQ115" i="70"/>
  <c r="CT115" i="70"/>
  <c r="CR115" i="70"/>
  <c r="CI115" i="70"/>
  <c r="CH115" i="70"/>
  <c r="CN115" i="70"/>
  <c r="CF115" i="70"/>
  <c r="CU115" i="70"/>
  <c r="CG115" i="70"/>
  <c r="CP115" i="70"/>
  <c r="DP111" i="70"/>
  <c r="DS108" i="70"/>
  <c r="DR109" i="70"/>
  <c r="DO112" i="70"/>
  <c r="DN113" i="70"/>
  <c r="DK116" i="70"/>
  <c r="DL115" i="70"/>
  <c r="DQ110" i="70"/>
  <c r="DM114" i="70"/>
  <c r="BS110" i="15"/>
  <c r="BY104" i="15"/>
  <c r="BV107" i="15"/>
  <c r="BW106" i="15"/>
  <c r="CA102" i="15"/>
  <c r="BX105" i="15"/>
  <c r="BU108" i="15"/>
  <c r="BT109" i="15"/>
  <c r="BZ103" i="15"/>
  <c r="CT116" i="70" l="1"/>
  <c r="CS116" i="70"/>
  <c r="CQ116" i="70"/>
  <c r="CR116" i="70"/>
  <c r="CP116" i="70"/>
  <c r="CU116" i="70"/>
  <c r="CN116" i="70"/>
  <c r="CJ116" i="70"/>
  <c r="CL116" i="70"/>
  <c r="CI116" i="70"/>
  <c r="CO116" i="70"/>
  <c r="CM116" i="70"/>
  <c r="CH116" i="70"/>
  <c r="CE117" i="70"/>
  <c r="CK116" i="70"/>
  <c r="CF116" i="70"/>
  <c r="CG116" i="70"/>
  <c r="DO113" i="70"/>
  <c r="DP112" i="70"/>
  <c r="DR110" i="70"/>
  <c r="DS109" i="70"/>
  <c r="DL116" i="70"/>
  <c r="DM115" i="70"/>
  <c r="DN114" i="70"/>
  <c r="DQ111" i="70"/>
  <c r="BX106" i="15"/>
  <c r="CA103" i="15"/>
  <c r="BU109" i="15"/>
  <c r="BT110" i="15"/>
  <c r="BW107" i="15"/>
  <c r="BV108" i="15"/>
  <c r="BZ104" i="15"/>
  <c r="BY105" i="15"/>
  <c r="CM117" i="70" l="1"/>
  <c r="CK117" i="70"/>
  <c r="CJ117" i="70"/>
  <c r="CH117" i="70"/>
  <c r="CN117" i="70"/>
  <c r="CI117" i="70"/>
  <c r="CR117" i="70"/>
  <c r="CE118" i="70"/>
  <c r="CU117" i="70"/>
  <c r="CT117" i="70"/>
  <c r="CS117" i="70"/>
  <c r="CQ117" i="70"/>
  <c r="CO117" i="70"/>
  <c r="CL117" i="70"/>
  <c r="CG117" i="70"/>
  <c r="CP117" i="70"/>
  <c r="CF117" i="70"/>
  <c r="DO114" i="70"/>
  <c r="DN115" i="70"/>
  <c r="DM116" i="70"/>
  <c r="DS110" i="70"/>
  <c r="DR111" i="70"/>
  <c r="DQ112" i="70"/>
  <c r="DP113" i="70"/>
  <c r="BW108" i="15"/>
  <c r="BY106" i="15"/>
  <c r="CA104" i="15"/>
  <c r="BU110" i="15"/>
  <c r="BX107" i="15"/>
  <c r="BZ105" i="15"/>
  <c r="BV109" i="15"/>
  <c r="CR118" i="70" l="1"/>
  <c r="CT118" i="70"/>
  <c r="CS118" i="70"/>
  <c r="CP118" i="70"/>
  <c r="CE119" i="70"/>
  <c r="CH118" i="70"/>
  <c r="CQ118" i="70"/>
  <c r="CU118" i="70"/>
  <c r="CM118" i="70"/>
  <c r="CJ118" i="70"/>
  <c r="CK118" i="70"/>
  <c r="CI118" i="70"/>
  <c r="CG118" i="70"/>
  <c r="CL118" i="70"/>
  <c r="CF118" i="70"/>
  <c r="CN118" i="70"/>
  <c r="CO118" i="70"/>
  <c r="DQ113" i="70"/>
  <c r="DN116" i="70"/>
  <c r="DO115" i="70"/>
  <c r="DR112" i="70"/>
  <c r="DS111" i="70"/>
  <c r="DP114" i="70"/>
  <c r="BX108" i="15"/>
  <c r="CA105" i="15"/>
  <c r="BY107" i="15"/>
  <c r="BW109" i="15"/>
  <c r="BZ106" i="15"/>
  <c r="BV110" i="15"/>
  <c r="CG119" i="70" l="1"/>
  <c r="CL119" i="70"/>
  <c r="CJ119" i="70"/>
  <c r="CI119" i="70"/>
  <c r="CF119" i="70"/>
  <c r="CE120" i="70"/>
  <c r="CM119" i="70"/>
  <c r="CH119" i="70"/>
  <c r="CO119" i="70"/>
  <c r="CU119" i="70"/>
  <c r="CT119" i="70"/>
  <c r="CS119" i="70"/>
  <c r="CQ119" i="70"/>
  <c r="CR119" i="70"/>
  <c r="CN119" i="70"/>
  <c r="CP119" i="70"/>
  <c r="CK119" i="70"/>
  <c r="DP115" i="70"/>
  <c r="DQ114" i="70"/>
  <c r="DS112" i="70"/>
  <c r="DO116" i="70"/>
  <c r="DR113" i="70"/>
  <c r="CA106" i="15"/>
  <c r="BW110" i="15"/>
  <c r="BZ107" i="15"/>
  <c r="BX109" i="15"/>
  <c r="BY108" i="15"/>
  <c r="CT120" i="70" l="1"/>
  <c r="CS120" i="70"/>
  <c r="CK120" i="70"/>
  <c r="CI120" i="70"/>
  <c r="CG120" i="70"/>
  <c r="CP120" i="70"/>
  <c r="CN120" i="70"/>
  <c r="CM120" i="70"/>
  <c r="CF120" i="70"/>
  <c r="CH120" i="70"/>
  <c r="CL120" i="70"/>
  <c r="CJ120" i="70"/>
  <c r="CU120" i="70"/>
  <c r="CQ120" i="70"/>
  <c r="CR120" i="70"/>
  <c r="CO120" i="70"/>
  <c r="CE121" i="70"/>
  <c r="DP116" i="70"/>
  <c r="DR114" i="70"/>
  <c r="DS113" i="70"/>
  <c r="DQ115" i="70"/>
  <c r="CA107" i="15"/>
  <c r="BZ108" i="15"/>
  <c r="BY109" i="15"/>
  <c r="BX110" i="15"/>
  <c r="CI121" i="70" l="1"/>
  <c r="CJ121" i="70"/>
  <c r="CL121" i="70"/>
  <c r="CH121" i="70"/>
  <c r="CN121" i="70"/>
  <c r="CK121" i="70"/>
  <c r="CR121" i="70"/>
  <c r="CG121" i="70"/>
  <c r="CQ121" i="70"/>
  <c r="CS121" i="70"/>
  <c r="CM121" i="70"/>
  <c r="CT121" i="70"/>
  <c r="CO121" i="70"/>
  <c r="CE122" i="70"/>
  <c r="CF121" i="70"/>
  <c r="CU121" i="70"/>
  <c r="CP121" i="70"/>
  <c r="DR115" i="70"/>
  <c r="DS114" i="70"/>
  <c r="DQ116" i="70"/>
  <c r="CA108" i="15"/>
  <c r="BY110" i="15"/>
  <c r="BZ109" i="15"/>
  <c r="CN122" i="70" l="1"/>
  <c r="CR122" i="70"/>
  <c r="CE123" i="70"/>
  <c r="CM122" i="70"/>
  <c r="CK122" i="70"/>
  <c r="CG122" i="70"/>
  <c r="CL122" i="70"/>
  <c r="CS122" i="70"/>
  <c r="CP122" i="70"/>
  <c r="CT122" i="70"/>
  <c r="CQ122" i="70"/>
  <c r="CF122" i="70"/>
  <c r="CI122" i="70"/>
  <c r="CO122" i="70"/>
  <c r="CU122" i="70"/>
  <c r="CH122" i="70"/>
  <c r="CJ122" i="70"/>
  <c r="DR116" i="70"/>
  <c r="DS115" i="70"/>
  <c r="CA109" i="15"/>
  <c r="BZ110" i="15"/>
  <c r="CK123" i="70" l="1"/>
  <c r="CG123" i="70"/>
  <c r="CO123" i="70"/>
  <c r="CR123" i="70"/>
  <c r="CM123" i="70"/>
  <c r="CT123" i="70"/>
  <c r="CI123" i="70"/>
  <c r="CL123" i="70"/>
  <c r="CS123" i="70"/>
  <c r="CP123" i="70"/>
  <c r="CE124" i="70"/>
  <c r="CF123" i="70"/>
  <c r="CQ123" i="70"/>
  <c r="CU123" i="70"/>
  <c r="CJ123" i="70"/>
  <c r="CH123" i="70"/>
  <c r="CN123" i="70"/>
  <c r="DS116" i="70"/>
  <c r="CA110" i="15"/>
  <c r="CE125" i="70" l="1"/>
  <c r="CH124" i="70"/>
  <c r="CF124" i="70"/>
  <c r="CK124" i="70"/>
  <c r="CJ124" i="70"/>
  <c r="CG124" i="70"/>
  <c r="CR124" i="70"/>
  <c r="CI124" i="70"/>
  <c r="CL124" i="70"/>
  <c r="CM124" i="70"/>
  <c r="CP124" i="70"/>
  <c r="CO124" i="70"/>
  <c r="CN124" i="70"/>
  <c r="CU124" i="70"/>
  <c r="CS124" i="70"/>
  <c r="CT124" i="70"/>
  <c r="CQ124" i="70"/>
  <c r="CM125" i="70" l="1"/>
  <c r="CO125" i="70"/>
  <c r="CN125" i="70"/>
  <c r="CL125" i="70"/>
  <c r="CS125" i="70"/>
  <c r="CQ125" i="70"/>
  <c r="CT125" i="70"/>
  <c r="CK125" i="70"/>
  <c r="CH125" i="70"/>
  <c r="CU125" i="70"/>
  <c r="CE126" i="70"/>
  <c r="CF125" i="70"/>
  <c r="CP125" i="70"/>
  <c r="CJ125" i="70"/>
  <c r="CR125" i="70"/>
  <c r="CG125" i="70"/>
  <c r="CI125" i="70"/>
  <c r="CR126" i="70" l="1"/>
  <c r="CN126" i="70"/>
  <c r="CS126" i="70"/>
  <c r="CQ126" i="70"/>
  <c r="CE127" i="70"/>
  <c r="CP126" i="70"/>
  <c r="CK126" i="70"/>
  <c r="CT126" i="70"/>
  <c r="CH126" i="70"/>
  <c r="CG126" i="70"/>
  <c r="CO126" i="70"/>
  <c r="CU126" i="70"/>
  <c r="CI126" i="70"/>
  <c r="CJ126" i="70"/>
  <c r="CM126" i="70"/>
  <c r="CF126" i="70"/>
  <c r="CL126" i="70"/>
  <c r="CO127" i="70" l="1"/>
  <c r="CM127" i="70"/>
  <c r="CL127" i="70"/>
  <c r="CI127" i="70"/>
  <c r="CH127" i="70"/>
  <c r="CN127" i="70"/>
  <c r="CJ127" i="70"/>
  <c r="CE128" i="70"/>
  <c r="CP127" i="70"/>
  <c r="CU127" i="70"/>
  <c r="CS127" i="70"/>
  <c r="CK127" i="70"/>
  <c r="CR127" i="70"/>
  <c r="CG127" i="70"/>
  <c r="CT127" i="70"/>
  <c r="CQ127" i="70"/>
  <c r="CF127" i="70"/>
  <c r="CT128" i="70" l="1"/>
  <c r="CU128" i="70"/>
  <c r="CS128" i="70"/>
  <c r="CE129" i="70"/>
  <c r="CI128" i="70"/>
  <c r="CG128" i="70"/>
  <c r="CH128" i="70"/>
  <c r="CQ128" i="70"/>
  <c r="CO128" i="70"/>
  <c r="CJ128" i="70"/>
  <c r="CR128" i="70"/>
  <c r="CF128" i="70"/>
  <c r="CP128" i="70"/>
  <c r="CL128" i="70"/>
  <c r="CK128" i="70"/>
  <c r="CM128" i="70"/>
  <c r="CN128" i="70"/>
  <c r="CQ129" i="70" l="1"/>
  <c r="CT129" i="70"/>
  <c r="CS129" i="70"/>
  <c r="CP129" i="70"/>
  <c r="CE130" i="70"/>
  <c r="CH129" i="70"/>
  <c r="CF129" i="70"/>
  <c r="CL129" i="70"/>
  <c r="CN129" i="70"/>
  <c r="CO129" i="70"/>
  <c r="CG129" i="70"/>
  <c r="CR129" i="70"/>
  <c r="CI129" i="70"/>
  <c r="CK129" i="70"/>
  <c r="CJ129" i="70"/>
  <c r="CM129" i="70"/>
  <c r="CU129" i="70"/>
  <c r="CN130" i="70" l="1"/>
  <c r="CS130" i="70"/>
  <c r="CR130" i="70"/>
  <c r="CK130" i="70"/>
  <c r="CH130" i="70"/>
  <c r="CE131" i="70"/>
  <c r="CG130" i="70"/>
  <c r="CP130" i="70"/>
  <c r="CO130" i="70"/>
  <c r="CQ130" i="70"/>
  <c r="CT130" i="70"/>
  <c r="CM130" i="70"/>
  <c r="CF130" i="70"/>
  <c r="CJ130" i="70"/>
  <c r="CI130" i="70"/>
  <c r="CU130" i="70"/>
  <c r="CL130" i="70"/>
  <c r="CR131" i="70" l="1"/>
  <c r="CP131" i="70"/>
  <c r="CE132" i="70"/>
  <c r="CF131" i="70"/>
  <c r="CL131" i="70"/>
  <c r="CI131" i="70"/>
  <c r="CH131" i="70"/>
  <c r="CS131" i="70"/>
  <c r="CN131" i="70"/>
  <c r="CG131" i="70"/>
  <c r="CM131" i="70"/>
  <c r="CT131" i="70"/>
  <c r="CK131" i="70"/>
  <c r="CJ131" i="70"/>
  <c r="CO131" i="70"/>
  <c r="CU131" i="70"/>
  <c r="CQ131" i="70"/>
  <c r="CO132" i="70" l="1"/>
  <c r="CE133" i="70"/>
  <c r="CF132" i="70"/>
  <c r="CS132" i="70"/>
  <c r="CR132" i="70"/>
  <c r="CU132" i="70"/>
  <c r="CJ132" i="70"/>
  <c r="CQ132" i="70"/>
  <c r="CK132" i="70"/>
  <c r="CH132" i="70"/>
  <c r="CT132" i="70"/>
  <c r="CL132" i="70"/>
  <c r="CG132" i="70"/>
  <c r="CP132" i="70"/>
  <c r="CN132" i="70"/>
  <c r="CM132" i="70"/>
  <c r="CI132" i="70"/>
  <c r="CT133" i="70" l="1"/>
  <c r="CR133" i="70"/>
  <c r="CN133" i="70"/>
  <c r="CI133" i="70"/>
  <c r="CH133" i="70"/>
  <c r="CF133" i="70"/>
  <c r="CP133" i="70"/>
  <c r="CJ133" i="70"/>
  <c r="CO133" i="70"/>
  <c r="CE134" i="70"/>
  <c r="CQ133" i="70"/>
  <c r="CK133" i="70"/>
  <c r="CL133" i="70"/>
  <c r="CM133" i="70"/>
  <c r="CU133" i="70"/>
  <c r="CS133" i="70"/>
  <c r="CG133" i="70"/>
  <c r="CQ134" i="70" l="1"/>
  <c r="CR134" i="70"/>
  <c r="CO134" i="70"/>
  <c r="CN134" i="70"/>
  <c r="CM134" i="70"/>
  <c r="CU134" i="70"/>
  <c r="CS134" i="70"/>
  <c r="CL134" i="70"/>
  <c r="CG134" i="70"/>
  <c r="CP134" i="70"/>
  <c r="CT134" i="70"/>
  <c r="CF134" i="70"/>
  <c r="CI134" i="70"/>
  <c r="CH134" i="70"/>
  <c r="CE135" i="70"/>
  <c r="CK134" i="70"/>
  <c r="CJ134" i="70"/>
  <c r="CN135" i="70" l="1"/>
  <c r="CQ135" i="70"/>
  <c r="CU135" i="70"/>
  <c r="CS135" i="70"/>
  <c r="CR135" i="70"/>
  <c r="CE136" i="70"/>
  <c r="CT135" i="70"/>
  <c r="CO135" i="70"/>
  <c r="CI135" i="70"/>
  <c r="CK135" i="70"/>
  <c r="CP135" i="70"/>
  <c r="CF135" i="70"/>
  <c r="CH135" i="70"/>
  <c r="CL135" i="70"/>
  <c r="CG135" i="70"/>
  <c r="CJ135" i="70"/>
  <c r="CM135" i="70"/>
  <c r="CS136" i="70" l="1"/>
  <c r="CE137" i="70"/>
  <c r="CF136" i="70"/>
  <c r="CJ136" i="70"/>
  <c r="CI136" i="70"/>
  <c r="CU136" i="70"/>
  <c r="CR136" i="70"/>
  <c r="CH136" i="70"/>
  <c r="CP136" i="70"/>
  <c r="CL136" i="70"/>
  <c r="CQ136" i="70"/>
  <c r="CM136" i="70"/>
  <c r="CK136" i="70"/>
  <c r="CO136" i="70"/>
  <c r="CT136" i="70"/>
  <c r="CG136" i="70"/>
  <c r="CN136" i="70"/>
  <c r="CE138" i="70" l="1"/>
  <c r="CH137" i="70"/>
  <c r="CS137" i="70"/>
  <c r="CQ137" i="70"/>
  <c r="CR137" i="70"/>
  <c r="CK137" i="70"/>
  <c r="CL137" i="70"/>
  <c r="CG137" i="70"/>
  <c r="CT137" i="70"/>
  <c r="CO137" i="70"/>
  <c r="CU137" i="70"/>
  <c r="CF137" i="70"/>
  <c r="CP137" i="70"/>
  <c r="CN137" i="70"/>
  <c r="CJ137" i="70"/>
  <c r="CM137" i="70"/>
  <c r="CI137" i="70"/>
  <c r="CU138" i="70" l="1"/>
  <c r="CN138" i="70"/>
  <c r="CI138" i="70"/>
  <c r="CH138" i="70"/>
  <c r="CG138" i="70"/>
  <c r="CK138" i="70"/>
  <c r="CE139" i="70"/>
  <c r="CQ138" i="70"/>
  <c r="CP138" i="70"/>
  <c r="CR138" i="70"/>
  <c r="CS138" i="70"/>
  <c r="CF138" i="70"/>
  <c r="CJ138" i="70"/>
  <c r="CM138" i="70"/>
  <c r="CT138" i="70"/>
  <c r="CL138" i="70"/>
  <c r="CO138" i="70"/>
  <c r="CR139" i="70" l="1"/>
  <c r="CM139" i="70"/>
  <c r="CH139" i="70"/>
  <c r="CK139" i="70"/>
  <c r="CU139" i="70"/>
  <c r="CS139" i="70"/>
  <c r="CE140" i="70"/>
  <c r="CT139" i="70"/>
  <c r="CN139" i="70"/>
  <c r="CQ139" i="70"/>
  <c r="CG139" i="70"/>
  <c r="CF139" i="70"/>
  <c r="CO139" i="70"/>
  <c r="CP139" i="70"/>
  <c r="CJ139" i="70"/>
  <c r="CL139" i="70"/>
  <c r="CI139" i="70"/>
  <c r="CO140" i="70" l="1"/>
  <c r="CU140" i="70"/>
  <c r="CQ140" i="70"/>
  <c r="CP140" i="70"/>
  <c r="CR140" i="70"/>
  <c r="CE141" i="70"/>
  <c r="CF140" i="70"/>
  <c r="CT140" i="70"/>
  <c r="CK140" i="70"/>
  <c r="CL140" i="70"/>
  <c r="CH140" i="70"/>
  <c r="CM140" i="70"/>
  <c r="CI140" i="70"/>
  <c r="CS140" i="70"/>
  <c r="CG140" i="70"/>
  <c r="CN140" i="70"/>
  <c r="CJ140" i="70"/>
  <c r="CT141" i="70" l="1"/>
  <c r="CS141" i="70"/>
  <c r="CE142" i="70"/>
  <c r="CF141" i="70"/>
  <c r="CH141" i="70"/>
  <c r="CG141" i="70"/>
  <c r="CK141" i="70"/>
  <c r="CI141" i="70"/>
  <c r="CP141" i="70"/>
  <c r="CO141" i="70"/>
  <c r="CR141" i="70"/>
  <c r="CM141" i="70"/>
  <c r="CQ141" i="70"/>
  <c r="CL141" i="70"/>
  <c r="CJ141" i="70"/>
  <c r="CU141" i="70"/>
  <c r="CN141" i="70"/>
  <c r="CQ142" i="70" l="1"/>
  <c r="CS142" i="70"/>
  <c r="CN142" i="70"/>
  <c r="CM142" i="70"/>
  <c r="CH142" i="70"/>
  <c r="CT142" i="70"/>
  <c r="CO142" i="70"/>
  <c r="CU142" i="70"/>
  <c r="CF142" i="70"/>
  <c r="CG142" i="70"/>
  <c r="CK142" i="70"/>
  <c r="CR142" i="70"/>
  <c r="CI142" i="70"/>
  <c r="CJ142" i="70"/>
  <c r="CE143" i="70"/>
  <c r="CL142" i="70"/>
  <c r="CP142" i="70"/>
  <c r="CN143" i="70" l="1"/>
  <c r="CR143" i="70"/>
  <c r="CM143" i="70"/>
  <c r="CP143" i="70"/>
  <c r="CS143" i="70"/>
  <c r="CK143" i="70"/>
  <c r="CH143" i="70"/>
  <c r="CE144" i="70"/>
  <c r="CU143" i="70"/>
  <c r="CT143" i="70"/>
  <c r="CL143" i="70"/>
  <c r="CO143" i="70"/>
  <c r="CF143" i="70"/>
  <c r="CI143" i="70"/>
  <c r="CQ143" i="70"/>
  <c r="CJ143" i="70"/>
  <c r="CG143" i="70"/>
  <c r="CS144" i="70" l="1"/>
  <c r="CP144" i="70"/>
  <c r="CU144" i="70"/>
  <c r="CT144" i="70"/>
  <c r="CR144" i="70"/>
  <c r="CN144" i="70"/>
  <c r="CE145" i="70"/>
  <c r="CQ144" i="70"/>
  <c r="CJ144" i="70"/>
  <c r="CG144" i="70"/>
  <c r="CH144" i="70"/>
  <c r="CM144" i="70"/>
  <c r="CO144" i="70"/>
  <c r="CK144" i="70"/>
  <c r="CL144" i="70"/>
  <c r="CF144" i="70"/>
  <c r="CI144" i="70"/>
  <c r="CE146" i="70" l="1"/>
  <c r="CH145" i="70"/>
  <c r="CF145" i="70"/>
  <c r="CK145" i="70"/>
  <c r="CM145" i="70"/>
  <c r="CJ145" i="70"/>
  <c r="CU145" i="70"/>
  <c r="CQ145" i="70"/>
  <c r="CR145" i="70"/>
  <c r="CT145" i="70"/>
  <c r="CL145" i="70"/>
  <c r="CS145" i="70"/>
  <c r="CP145" i="70"/>
  <c r="CO145" i="70"/>
  <c r="CN145" i="70"/>
  <c r="CI145" i="70"/>
  <c r="CG145" i="70"/>
  <c r="CU146" i="70" l="1"/>
  <c r="CE147" i="70"/>
  <c r="CF146" i="70"/>
  <c r="CJ146" i="70"/>
  <c r="CH146" i="70"/>
  <c r="CG146" i="70"/>
  <c r="CK146" i="70"/>
  <c r="CL146" i="70"/>
  <c r="CN146" i="70"/>
  <c r="CO146" i="70"/>
  <c r="CS146" i="70"/>
  <c r="CR146" i="70"/>
  <c r="CI146" i="70"/>
  <c r="CM146" i="70"/>
  <c r="CT146" i="70"/>
  <c r="CQ146" i="70"/>
  <c r="CP146" i="70"/>
  <c r="CR147" i="70" l="1"/>
  <c r="CN147" i="70"/>
  <c r="CI147" i="70"/>
  <c r="CM147" i="70"/>
  <c r="CK147" i="70"/>
  <c r="CG147" i="70"/>
  <c r="CO147" i="70"/>
  <c r="CT147" i="70"/>
  <c r="CP147" i="70"/>
  <c r="CS147" i="70"/>
  <c r="CE148" i="70"/>
  <c r="CL147" i="70"/>
  <c r="CU147" i="70"/>
  <c r="CF147" i="70"/>
  <c r="CJ147" i="70"/>
  <c r="CH147" i="70"/>
  <c r="CQ147" i="70"/>
  <c r="CO148" i="70" l="1"/>
  <c r="CM148" i="70"/>
  <c r="CI148" i="70"/>
  <c r="CP148" i="70"/>
  <c r="CN148" i="70"/>
  <c r="CU148" i="70"/>
  <c r="CK148" i="70"/>
  <c r="CH148" i="70"/>
  <c r="CL148" i="70"/>
  <c r="CF148" i="70"/>
  <c r="CJ148" i="70"/>
  <c r="CT148" i="70"/>
  <c r="CG148" i="70"/>
  <c r="CR148" i="70"/>
  <c r="CQ148" i="70"/>
  <c r="CE149" i="70"/>
  <c r="CS148" i="70"/>
  <c r="CT149" i="70" l="1"/>
  <c r="CU149" i="70"/>
  <c r="CE150" i="70"/>
  <c r="CG149" i="70"/>
  <c r="CH149" i="70"/>
  <c r="CF149" i="70"/>
  <c r="CN149" i="70"/>
  <c r="CM149" i="70"/>
  <c r="CI149" i="70"/>
  <c r="CK149" i="70"/>
  <c r="CS149" i="70"/>
  <c r="CR149" i="70"/>
  <c r="CO149" i="70"/>
  <c r="CL149" i="70"/>
  <c r="CP149" i="70"/>
  <c r="CQ149" i="70"/>
  <c r="CJ149" i="70"/>
  <c r="CE151" i="70" l="1"/>
  <c r="CH150" i="70"/>
  <c r="CJ150" i="70"/>
  <c r="CL150" i="70"/>
  <c r="CU150" i="70"/>
  <c r="CT150" i="70"/>
  <c r="CO150" i="70"/>
  <c r="CM150" i="70"/>
  <c r="CF150" i="70"/>
  <c r="CK150" i="70"/>
  <c r="CR150" i="70"/>
  <c r="CG150" i="70"/>
  <c r="CP150" i="70"/>
  <c r="CS150" i="70"/>
  <c r="CN150" i="70"/>
  <c r="CI150" i="70"/>
  <c r="CQ150" i="70"/>
  <c r="CU151" i="70" l="1"/>
  <c r="CR151" i="70"/>
  <c r="CN151" i="70"/>
  <c r="CO151" i="70"/>
  <c r="CL151" i="70"/>
  <c r="CK151" i="70"/>
  <c r="CT151" i="70"/>
  <c r="CG151" i="70"/>
  <c r="CF151" i="70"/>
  <c r="CI151" i="70"/>
  <c r="CE152" i="70"/>
  <c r="CH151" i="70"/>
  <c r="CS151" i="70"/>
  <c r="CM151" i="70"/>
  <c r="CP151" i="70"/>
  <c r="CQ151" i="70"/>
  <c r="CJ151" i="70"/>
  <c r="CR152" i="70" l="1"/>
  <c r="CQ152" i="70"/>
  <c r="CM152" i="70"/>
  <c r="CG152" i="70"/>
  <c r="CF152" i="70"/>
  <c r="CN152" i="70"/>
  <c r="CE153" i="70"/>
  <c r="CK152" i="70"/>
  <c r="CO152" i="70"/>
  <c r="CH152" i="70"/>
  <c r="CS152" i="70"/>
  <c r="CL152" i="70"/>
  <c r="CU152" i="70"/>
  <c r="CJ152" i="70"/>
  <c r="CT152" i="70"/>
  <c r="CP152" i="70"/>
  <c r="CI152" i="70"/>
  <c r="CO153" i="70" l="1"/>
  <c r="CQ153" i="70"/>
  <c r="CU153" i="70"/>
  <c r="CK153" i="70"/>
  <c r="CT153" i="70"/>
  <c r="CN153" i="70"/>
  <c r="CR153" i="70"/>
  <c r="CF153" i="70"/>
  <c r="CS153" i="70"/>
  <c r="CH153" i="70"/>
  <c r="CJ153" i="70"/>
  <c r="CM153" i="70"/>
  <c r="CE154" i="70"/>
  <c r="CG153" i="70"/>
  <c r="CL153" i="70"/>
  <c r="CI153" i="70"/>
  <c r="CP153" i="70"/>
  <c r="CT154" i="70" l="1"/>
  <c r="CE155" i="70"/>
  <c r="CF154" i="70"/>
  <c r="CJ154" i="70"/>
  <c r="CN154" i="70"/>
  <c r="CH154" i="70"/>
  <c r="CU154" i="70"/>
  <c r="CQ154" i="70"/>
  <c r="CI154" i="70"/>
  <c r="CS154" i="70"/>
  <c r="CP154" i="70"/>
  <c r="CG154" i="70"/>
  <c r="CR154" i="70"/>
  <c r="CL154" i="70"/>
  <c r="CO154" i="70"/>
  <c r="CM154" i="70"/>
  <c r="CK154" i="70"/>
  <c r="CQ155" i="70" l="1"/>
  <c r="CN155" i="70"/>
  <c r="CJ155" i="70"/>
  <c r="CH155" i="70"/>
  <c r="CG155" i="70"/>
  <c r="CF155" i="70"/>
  <c r="CE156" i="70"/>
  <c r="CL155" i="70"/>
  <c r="CO155" i="70"/>
  <c r="CS155" i="70"/>
  <c r="CT155" i="70"/>
  <c r="CK155" i="70"/>
  <c r="CM155" i="70"/>
  <c r="CI155" i="70"/>
  <c r="CU155" i="70"/>
  <c r="CR155" i="70"/>
  <c r="CP155" i="70"/>
  <c r="CN156" i="70" l="1"/>
  <c r="CM156" i="70"/>
  <c r="CI156" i="70"/>
  <c r="CK156" i="70"/>
  <c r="CJ156" i="70"/>
  <c r="CS156" i="70"/>
  <c r="CQ156" i="70"/>
  <c r="CO156" i="70"/>
  <c r="CR156" i="70"/>
  <c r="CU156" i="70"/>
  <c r="CP156" i="70"/>
  <c r="CH156" i="70"/>
  <c r="CF156" i="70"/>
  <c r="CL156" i="70"/>
  <c r="CG156" i="70"/>
  <c r="CT156" i="70"/>
</calcChain>
</file>

<file path=xl/comments1.xml><?xml version="1.0" encoding="utf-8"?>
<comments xmlns="http://schemas.openxmlformats.org/spreadsheetml/2006/main">
  <authors>
    <author>halsteadg</author>
  </authors>
  <commentList>
    <comment ref="W12" authorId="0">
      <text>
        <r>
          <rPr>
            <b/>
            <sz val="8"/>
            <color indexed="81"/>
            <rFont val="Tahoma"/>
            <family val="2"/>
          </rPr>
          <t>halsteadg:</t>
        </r>
        <r>
          <rPr>
            <sz val="8"/>
            <color indexed="81"/>
            <rFont val="Tahoma"/>
            <family val="2"/>
          </rPr>
          <t xml:space="preserve">
combined
</t>
        </r>
      </text>
    </comment>
  </commentList>
</comments>
</file>

<file path=xl/comments2.xml><?xml version="1.0" encoding="utf-8"?>
<comments xmlns="http://schemas.openxmlformats.org/spreadsheetml/2006/main">
  <authors>
    <author>halsteadg</author>
  </authors>
  <commentList>
    <comment ref="L24" authorId="0">
      <text>
        <r>
          <rPr>
            <b/>
            <sz val="8"/>
            <color indexed="81"/>
            <rFont val="Tahoma"/>
            <family val="2"/>
          </rPr>
          <t>halsteadg:</t>
        </r>
        <r>
          <rPr>
            <sz val="8"/>
            <color indexed="81"/>
            <rFont val="Tahoma"/>
            <family val="2"/>
          </rPr>
          <t xml:space="preserve">
HARD KEYED</t>
        </r>
      </text>
    </comment>
    <comment ref="N24" authorId="0">
      <text>
        <r>
          <rPr>
            <b/>
            <sz val="8"/>
            <color indexed="81"/>
            <rFont val="Tahoma"/>
            <family val="2"/>
          </rPr>
          <t>halsteadg:</t>
        </r>
        <r>
          <rPr>
            <sz val="8"/>
            <color indexed="81"/>
            <rFont val="Tahoma"/>
            <family val="2"/>
          </rPr>
          <t xml:space="preserve">
HARD KEYED</t>
        </r>
      </text>
    </comment>
  </commentList>
</comments>
</file>

<file path=xl/comments3.xml><?xml version="1.0" encoding="utf-8"?>
<comments xmlns="http://schemas.openxmlformats.org/spreadsheetml/2006/main">
  <authors>
    <author>halsteadg</author>
  </authors>
  <commentList>
    <comment ref="AY5" authorId="0">
      <text>
        <r>
          <rPr>
            <b/>
            <sz val="8"/>
            <color indexed="81"/>
            <rFont val="Tahoma"/>
            <family val="2"/>
          </rPr>
          <t>halsteadg:</t>
        </r>
        <r>
          <rPr>
            <sz val="8"/>
            <color indexed="81"/>
            <rFont val="Tahoma"/>
            <family val="2"/>
          </rPr>
          <t xml:space="preserve">
too low/too high</t>
        </r>
      </text>
    </comment>
  </commentList>
</comments>
</file>

<file path=xl/comments4.xml><?xml version="1.0" encoding="utf-8"?>
<comments xmlns="http://schemas.openxmlformats.org/spreadsheetml/2006/main">
  <authors>
    <author>halsteadg</author>
  </authors>
  <commentList>
    <comment ref="Y4" authorId="0">
      <text>
        <r>
          <rPr>
            <b/>
            <sz val="8"/>
            <color indexed="81"/>
            <rFont val="Tahoma"/>
            <family val="2"/>
          </rPr>
          <t>halsteadg:</t>
        </r>
        <r>
          <rPr>
            <sz val="8"/>
            <color indexed="81"/>
            <rFont val="Tahoma"/>
            <family val="2"/>
          </rPr>
          <t xml:space="preserve">
too low/too high</t>
        </r>
      </text>
    </comment>
  </commentList>
</comments>
</file>

<file path=xl/sharedStrings.xml><?xml version="1.0" encoding="utf-8"?>
<sst xmlns="http://schemas.openxmlformats.org/spreadsheetml/2006/main" count="6673" uniqueCount="2651">
  <si>
    <t>Expected</t>
  </si>
  <si>
    <t xml:space="preserve">  require modification</t>
  </si>
  <si>
    <t>- At least 1 cost entry results in</t>
  </si>
  <si>
    <t xml:space="preserve">  costs/unit = Too Low</t>
  </si>
  <si>
    <t xml:space="preserve">  costs/unit = Too High</t>
  </si>
  <si>
    <t>X</t>
  </si>
  <si>
    <t>New</t>
  </si>
  <si>
    <t>When</t>
  </si>
  <si>
    <t>Service</t>
  </si>
  <si>
    <t>Years</t>
  </si>
  <si>
    <t>Average</t>
  </si>
  <si>
    <t>Remaining Service Life</t>
  </si>
  <si>
    <t>Too</t>
  </si>
  <si>
    <t>Each</t>
  </si>
  <si>
    <t>- All cells in column OK</t>
  </si>
  <si>
    <t>Motorbus</t>
  </si>
  <si>
    <t>=BaseYrDollar</t>
  </si>
  <si>
    <t>VP</t>
  </si>
  <si>
    <t>Street Address</t>
  </si>
  <si>
    <t>City</t>
  </si>
  <si>
    <t>Person Reporting Data</t>
  </si>
  <si>
    <t>Title</t>
  </si>
  <si>
    <t>Department</t>
  </si>
  <si>
    <t>E-mail Address</t>
  </si>
  <si>
    <t>Phone Number</t>
  </si>
  <si>
    <t>Agency</t>
  </si>
  <si>
    <t>Name</t>
  </si>
  <si>
    <t>Controlled Access</t>
  </si>
  <si>
    <t>Mixed Traffic Right-of-Way</t>
  </si>
  <si>
    <t>h</t>
  </si>
  <si>
    <t>Power, distribution and specialty transformers</t>
  </si>
  <si>
    <t>Railroad equipment</t>
  </si>
  <si>
    <t>Motor vehicles and passenger car bodies</t>
  </si>
  <si>
    <t>Truck and bus bodies</t>
  </si>
  <si>
    <t>Gross Domestic Product</t>
  </si>
  <si>
    <t>Private Fixed Investment in Structures</t>
  </si>
  <si>
    <t>Private Fixed Investment in Equipment &amp; Software/Non-Residential</t>
  </si>
  <si>
    <t>Government Consumption Expenditures and Gross Investment/State &amp; Local</t>
  </si>
  <si>
    <t>Gross Government Fixed Investment</t>
  </si>
  <si>
    <t>Index</t>
  </si>
  <si>
    <t>r</t>
  </si>
  <si>
    <t xml:space="preserve">BEA Table / Category / Description / Line No. </t>
  </si>
  <si>
    <t>BLS/Hwy &amp; St Constr</t>
  </si>
  <si>
    <t>BLS/Other Heavy Constr</t>
  </si>
  <si>
    <t>BLS/Non-Residential Bldgs</t>
  </si>
  <si>
    <t>BLS/Elevators &amp; Escalators</t>
  </si>
  <si>
    <t>BLS/Comm Systems &amp; Equip</t>
  </si>
  <si>
    <t>BLS/Public Bldg Furniture</t>
  </si>
  <si>
    <t>BLS/Power, Distn &amp; Spec Trnsfrmrs</t>
  </si>
  <si>
    <t>BLS/Railroad Equipment</t>
  </si>
  <si>
    <t>BLS/Trucks &lt; 10,000 lbs</t>
  </si>
  <si>
    <t>BLS/Street &amp; Rapid Transit Cars</t>
  </si>
  <si>
    <t>BLS/Buses &amp; Fire Dept Veh</t>
  </si>
  <si>
    <t>BLS/Motor Veh &amp; Pass Car Bodies</t>
  </si>
  <si>
    <t>BLS/Truck &amp; Bus Bodies</t>
  </si>
  <si>
    <t>Bad</t>
  </si>
  <si>
    <t>Missing</t>
  </si>
  <si>
    <t>Data</t>
  </si>
  <si>
    <t>Item</t>
  </si>
  <si>
    <t>Facility Type</t>
  </si>
  <si>
    <t>Low</t>
  </si>
  <si>
    <t>High</t>
  </si>
  <si>
    <t>BEA/Private Trucks, Buses, &amp; Truck Trailers</t>
  </si>
  <si>
    <t>BEA/Private Autos</t>
  </si>
  <si>
    <t>BEA/Private Ships &amp; Boats</t>
  </si>
  <si>
    <t>BEA/Private Railroad Equip</t>
  </si>
  <si>
    <t>BEA/Private Other Equip</t>
  </si>
  <si>
    <t>BEA/Private Furniture &amp; Fixtures</t>
  </si>
  <si>
    <t>BEA/Private Electrical Equip</t>
  </si>
  <si>
    <t>BEA/Government Structures</t>
  </si>
  <si>
    <t>BEA/Government Equip &amp; Software</t>
  </si>
  <si>
    <t>BEA/Gov't Buildings</t>
  </si>
  <si>
    <t>BEA/Gov't Other</t>
  </si>
  <si>
    <t>BEA/Gov't Highways &amp;  Streets</t>
  </si>
  <si>
    <t>BEA/Gov't State &amp; Local Gen'l</t>
  </si>
  <si>
    <t>BEA/GDP-General</t>
  </si>
  <si>
    <t>BEA/GDP-State &amp; Local Gov't</t>
  </si>
  <si>
    <t>1st Yr</t>
  </si>
  <si>
    <t>BLS/Consumer Price Index</t>
  </si>
  <si>
    <t>ENR/Building Cost Index</t>
  </si>
  <si>
    <t>ENR/Construction Cost Index</t>
  </si>
  <si>
    <t>User-Defined</t>
  </si>
  <si>
    <t>Facility Name</t>
  </si>
  <si>
    <t>n</t>
  </si>
  <si>
    <t>p</t>
  </si>
  <si>
    <t>BEA/Private Metal Working Machinery</t>
  </si>
  <si>
    <t>Index #</t>
  </si>
  <si>
    <t>100-75% of service life remaining</t>
  </si>
  <si>
    <t>74-50% of service life remaining</t>
  </si>
  <si>
    <t>49-25% of service life remaining</t>
  </si>
  <si>
    <t>24-1% of service life remaining</t>
  </si>
  <si>
    <t>- At least 1 cell in column may</t>
  </si>
  <si>
    <t>Length</t>
  </si>
  <si>
    <t>Derived Unit Costs:</t>
  </si>
  <si>
    <t>Bad Data/Missing Data:</t>
  </si>
  <si>
    <t>Default</t>
  </si>
  <si>
    <t>BEA/Gov't Equip &amp;  Software</t>
  </si>
  <si>
    <t>Built</t>
  </si>
  <si>
    <t>Year</t>
  </si>
  <si>
    <t>Square</t>
  </si>
  <si>
    <t>Feet</t>
  </si>
  <si>
    <t>Type</t>
  </si>
  <si>
    <t>Equipment</t>
  </si>
  <si>
    <t>Total</t>
  </si>
  <si>
    <t>Life</t>
  </si>
  <si>
    <t>Error Report</t>
  </si>
  <si>
    <t>Dollars</t>
  </si>
  <si>
    <t>Replacement Cost</t>
  </si>
  <si>
    <t>TB</t>
  </si>
  <si>
    <t>Ownership</t>
  </si>
  <si>
    <t>c</t>
  </si>
  <si>
    <t>e</t>
  </si>
  <si>
    <t>g</t>
  </si>
  <si>
    <t>i</t>
  </si>
  <si>
    <t>Units</t>
  </si>
  <si>
    <t>BLS Product/Category/Description/Earliest Data Month &amp; Year</t>
  </si>
  <si>
    <t>PCUBHWY#</t>
  </si>
  <si>
    <t>PCUBHVY#</t>
  </si>
  <si>
    <t>PCUBBLD#</t>
  </si>
  <si>
    <t>PCU3534#1</t>
  </si>
  <si>
    <t>PCU3663#1</t>
  </si>
  <si>
    <t>PCU2531#</t>
  </si>
  <si>
    <t>PCU3612#</t>
  </si>
  <si>
    <t>PCU3743#</t>
  </si>
  <si>
    <t>PCU3711#6</t>
  </si>
  <si>
    <t>PCU3743#3</t>
  </si>
  <si>
    <t>PCU3711#3</t>
  </si>
  <si>
    <t>PCU3711#</t>
  </si>
  <si>
    <t>PCU3713#</t>
  </si>
  <si>
    <t>PCU3713#1</t>
  </si>
  <si>
    <t>Bureau of Labor Statistics</t>
  </si>
  <si>
    <t>Engineering News-Record</t>
  </si>
  <si>
    <t>Highway and street construction</t>
  </si>
  <si>
    <t>Other heavy construction</t>
  </si>
  <si>
    <t>Non-residential buildings</t>
  </si>
  <si>
    <t>Elevators and moving stairways</t>
  </si>
  <si>
    <t>Radio and television broadcasting and communications equipment</t>
  </si>
  <si>
    <t>Public building and related furniture</t>
  </si>
  <si>
    <t>MB</t>
  </si>
  <si>
    <t>Useful</t>
  </si>
  <si>
    <t>Notes</t>
  </si>
  <si>
    <t>Escalators</t>
  </si>
  <si>
    <t>Quantity</t>
  </si>
  <si>
    <t>Spaces</t>
  </si>
  <si>
    <t>LR</t>
  </si>
  <si>
    <t>Miles</t>
  </si>
  <si>
    <t>sibility</t>
  </si>
  <si>
    <t>Respon</t>
  </si>
  <si>
    <t>Capital</t>
  </si>
  <si>
    <t>Percent</t>
  </si>
  <si>
    <t>Service Vehicles</t>
  </si>
  <si>
    <t>Passenger Facilities</t>
  </si>
  <si>
    <t>HR</t>
  </si>
  <si>
    <t>Maintenance Facilities</t>
  </si>
  <si>
    <t>Administrative Facilities</t>
  </si>
  <si>
    <t>Rail Fixed Guideway</t>
  </si>
  <si>
    <t>CR</t>
  </si>
  <si>
    <t>AG</t>
  </si>
  <si>
    <t>IP</t>
  </si>
  <si>
    <t>TR</t>
  </si>
  <si>
    <t>FB</t>
  </si>
  <si>
    <t>CC</t>
  </si>
  <si>
    <t>Primary Mode</t>
  </si>
  <si>
    <t>Heavy Rail</t>
  </si>
  <si>
    <t>DO / Owned by public agency</t>
  </si>
  <si>
    <t>j</t>
  </si>
  <si>
    <t>t</t>
  </si>
  <si>
    <t>y</t>
  </si>
  <si>
    <t>Must=</t>
  </si>
  <si>
    <t>Unit</t>
  </si>
  <si>
    <t>None, beyond service life, needs replacing now</t>
  </si>
  <si>
    <t>Exclusive Right-of-Way</t>
  </si>
  <si>
    <t>BLS/Truck, Bus, &amp; Oth Veh Bodies</t>
  </si>
  <si>
    <t>BEA/GDP-State &amp;  Local Gov't</t>
  </si>
  <si>
    <t>BEA/Private Industrial Structures</t>
  </si>
  <si>
    <t>BEA/Private Commercial Structures</t>
  </si>
  <si>
    <t>BEA/Private Railroad Structures</t>
  </si>
  <si>
    <t>BEA/Private Comm Equip</t>
  </si>
  <si>
    <t>BEA/Private Instruments</t>
  </si>
  <si>
    <t>BEA/Private Office &amp; Acc't Equip</t>
  </si>
  <si>
    <t>BEA/Private Industrial Equip</t>
  </si>
  <si>
    <t>BEA/Private Fabricated Metal Prod</t>
  </si>
  <si>
    <t>BEA/Private Special Industry Machinery</t>
  </si>
  <si>
    <t>BEA/Private Gen'l Industrial Equip</t>
  </si>
  <si>
    <t>BEA/Private Electr Trnsmssn, Distn, &amp; Indust Apprts</t>
  </si>
  <si>
    <t>BEA/Private Transportation Equip</t>
  </si>
  <si>
    <t>l</t>
  </si>
  <si>
    <t>o</t>
  </si>
  <si>
    <t>k</t>
  </si>
  <si>
    <t>m</t>
  </si>
  <si>
    <t>q</t>
  </si>
  <si>
    <t>s</t>
  </si>
  <si>
    <t>u</t>
  </si>
  <si>
    <t>z</t>
  </si>
  <si>
    <t>w</t>
  </si>
  <si>
    <t>Col</t>
  </si>
  <si>
    <t>Line</t>
  </si>
  <si>
    <t>Row</t>
  </si>
  <si>
    <t>Cost</t>
  </si>
  <si>
    <t>CONDITIONAL FORMATTING TESTS</t>
  </si>
  <si>
    <t>Transit</t>
  </si>
  <si>
    <t>Code</t>
  </si>
  <si>
    <t>Square Feet</t>
  </si>
  <si>
    <t>Radio Base Stations</t>
  </si>
  <si>
    <t>Radio Transmitters</t>
  </si>
  <si>
    <t>Mobile Radios</t>
  </si>
  <si>
    <t>Bus Fareboxes</t>
  </si>
  <si>
    <t>Farebox Collection Equipment</t>
  </si>
  <si>
    <t>Station Turnstiles</t>
  </si>
  <si>
    <t>Ticket Vending Machines &amp; Validators</t>
  </si>
  <si>
    <t>Other Station Fare Collection Equipment</t>
  </si>
  <si>
    <t>Currency and Coin Counters</t>
  </si>
  <si>
    <t>Fare Media Encoding Equipment</t>
  </si>
  <si>
    <t>Sedans</t>
  </si>
  <si>
    <t>Trucks and other Rubber Tire Vehicles</t>
  </si>
  <si>
    <t>Steel Wheel Vehicles</t>
  </si>
  <si>
    <t>Fire protection systems</t>
  </si>
  <si>
    <t>Built-in equipment and specialties</t>
  </si>
  <si>
    <t>Elevators</t>
  </si>
  <si>
    <t>Paving and sidewalks</t>
  </si>
  <si>
    <t>Rail</t>
  </si>
  <si>
    <t>Building</t>
  </si>
  <si>
    <t>Segment Name</t>
  </si>
  <si>
    <t>From</t>
  </si>
  <si>
    <t>To</t>
  </si>
  <si>
    <t>UZA 1</t>
  </si>
  <si>
    <t>UZA 2</t>
  </si>
  <si>
    <t>UZA 3</t>
  </si>
  <si>
    <t>UZA 4</t>
  </si>
  <si>
    <t>UZA 5</t>
  </si>
  <si>
    <t>UZA 6</t>
  </si>
  <si>
    <t>UZA 7</t>
  </si>
  <si>
    <t>UZA 8</t>
  </si>
  <si>
    <t>UZA 9</t>
  </si>
  <si>
    <t>UZA 10</t>
  </si>
  <si>
    <t>Address</t>
  </si>
  <si>
    <t xml:space="preserve">Suggested Conversion Factors to 2011 Dollars </t>
  </si>
  <si>
    <t>2011 = 1.0000</t>
  </si>
  <si>
    <t>Cost in</t>
  </si>
  <si>
    <t>At-Grade/Ballast</t>
  </si>
  <si>
    <t>At-Grade/Expressway/Ballast</t>
  </si>
  <si>
    <t>At-Grade/In-Street/Embedded</t>
  </si>
  <si>
    <t>Elevated/Concrete</t>
  </si>
  <si>
    <t>Elevated/Steel Viaduct</t>
  </si>
  <si>
    <t>Elevated/Bridge</t>
  </si>
  <si>
    <t>Elevated/Retained Fill</t>
  </si>
  <si>
    <t>Below-Grade/Retained Cut</t>
  </si>
  <si>
    <t>Below-Grade/Cut-and-Cover Tunnel</t>
  </si>
  <si>
    <t>Below-Grade/Bored or Blasted Tunnel</t>
  </si>
  <si>
    <t>Below-Grade/Submerged Tube</t>
  </si>
  <si>
    <t>Tangent/Ballast/WoodTies</t>
  </si>
  <si>
    <t>Tangent/Ballast/Concrete Ties</t>
  </si>
  <si>
    <t>Tangent/Direct Fixation</t>
  </si>
  <si>
    <t>Tangent/Embedded</t>
  </si>
  <si>
    <t>Curve/Ballast/Wood Ties</t>
  </si>
  <si>
    <t>Curve/Ballast/Concrete Ties</t>
  </si>
  <si>
    <t>Curve/Steel Structure/Wood Ties</t>
  </si>
  <si>
    <t>Curve/Direct Fixation</t>
  </si>
  <si>
    <t>Curve/Embedded</t>
  </si>
  <si>
    <t>Grade Crossings</t>
  </si>
  <si>
    <t>Tangent/Steel Structure/Wood Ties</t>
  </si>
  <si>
    <t>Total Replacement Cost</t>
  </si>
  <si>
    <t>(indicate year of estimate</t>
  </si>
  <si>
    <t>in next column)</t>
  </si>
  <si>
    <t>Third Rail Equipment</t>
  </si>
  <si>
    <t>Repl.</t>
  </si>
  <si>
    <t>Tolerance Range +/-</t>
  </si>
  <si>
    <t>Substation Equipment</t>
  </si>
  <si>
    <t>Yr. Dollars of</t>
  </si>
  <si>
    <t>Reported</t>
  </si>
  <si>
    <t>Replacement</t>
  </si>
  <si>
    <t>Canopy</t>
  </si>
  <si>
    <t>Platform</t>
  </si>
  <si>
    <t>Surface Parking Lot</t>
  </si>
  <si>
    <t>Underground Parking Structure</t>
  </si>
  <si>
    <t>Facility</t>
  </si>
  <si>
    <t>Served at Facility</t>
  </si>
  <si>
    <t>Elevated Fixed Guideway Station</t>
  </si>
  <si>
    <t>At-Grade Fixed Guideway Station</t>
  </si>
  <si>
    <t>Underground Fixed Guideway Station</t>
  </si>
  <si>
    <t>Pr. Mode</t>
  </si>
  <si>
    <t>OCS Equipment</t>
  </si>
  <si>
    <t xml:space="preserve">Total Loaded </t>
  </si>
  <si>
    <t>Service Yrs.</t>
  </si>
  <si>
    <t>% Cap. Resp</t>
  </si>
  <si>
    <t>Double Diamond Crossover - Direct Fixation</t>
  </si>
  <si>
    <t>Double Diamond Crossover - Ballasted Exposed</t>
  </si>
  <si>
    <t>Single Crossover - Direct Fixation</t>
  </si>
  <si>
    <t>Single Crossover - Ballasted</t>
  </si>
  <si>
    <t>Half Grand Union - Direct Fixation</t>
  </si>
  <si>
    <t>Half Grand Union - Ballasted</t>
  </si>
  <si>
    <t>Single Turnout - Direct Fixation</t>
  </si>
  <si>
    <t>Single Turnout - Ballasted</t>
  </si>
  <si>
    <t>Substation Building</t>
  </si>
  <si>
    <t>Total Trk. Miles</t>
  </si>
  <si>
    <t>Directional Rt. Miles</t>
  </si>
  <si>
    <t>f</t>
  </si>
  <si>
    <t>Plumbing Rough-In &amp; Finishes</t>
  </si>
  <si>
    <t xml:space="preserve">HVAC System </t>
  </si>
  <si>
    <t xml:space="preserve">Electrical Rough-In &amp; Finishes </t>
  </si>
  <si>
    <t>VALIDATION DATA</t>
  </si>
  <si>
    <t>Bad Data&gt;&gt;</t>
  </si>
  <si>
    <t>Missing Data&gt;&gt;</t>
  </si>
  <si>
    <t>v</t>
  </si>
  <si>
    <t>Pax. Facil Type</t>
  </si>
  <si>
    <t>Bad Data Col.&gt;&gt;</t>
  </si>
  <si>
    <t>Missing Data Col.&gt;&gt;</t>
  </si>
  <si>
    <t>RVI ID.</t>
  </si>
  <si>
    <t>Number of</t>
  </si>
  <si>
    <t>Vehicles in</t>
  </si>
  <si>
    <t>Total Fleet</t>
  </si>
  <si>
    <t>Dedicated</t>
  </si>
  <si>
    <t>Fleet</t>
  </si>
  <si>
    <t>Vehicle</t>
  </si>
  <si>
    <t xml:space="preserve">Funding </t>
  </si>
  <si>
    <t>Source</t>
  </si>
  <si>
    <t>Year of</t>
  </si>
  <si>
    <t>Manufacture</t>
  </si>
  <si>
    <t>Manufacturer</t>
  </si>
  <si>
    <t xml:space="preserve">Model </t>
  </si>
  <si>
    <t>Number</t>
  </si>
  <si>
    <t>Number of Active</t>
  </si>
  <si>
    <t>Vehicles in Fleet</t>
  </si>
  <si>
    <t>Act of 1990 (ADA)</t>
  </si>
  <si>
    <t>Accessible Vehicles</t>
  </si>
  <si>
    <t>Emergency</t>
  </si>
  <si>
    <t>Contingency</t>
  </si>
  <si>
    <t>Vehicles</t>
  </si>
  <si>
    <t>Fuel</t>
  </si>
  <si>
    <t xml:space="preserve">Type </t>
  </si>
  <si>
    <t>(in feet)</t>
  </si>
  <si>
    <t xml:space="preserve">Seating </t>
  </si>
  <si>
    <t>Capacity</t>
  </si>
  <si>
    <t>Total Miles</t>
  </si>
  <si>
    <t>on Active Vehicles</t>
  </si>
  <si>
    <t>During the Period</t>
  </si>
  <si>
    <t>Average Lifetime</t>
  </si>
  <si>
    <t>Miles per Active Vehicle</t>
  </si>
  <si>
    <t>Supports</t>
  </si>
  <si>
    <t>Another Mode</t>
  </si>
  <si>
    <t>b</t>
  </si>
  <si>
    <t>d</t>
  </si>
  <si>
    <t>Last Renewal</t>
  </si>
  <si>
    <t xml:space="preserve">Type of </t>
  </si>
  <si>
    <t>Renewal</t>
  </si>
  <si>
    <t>Column No.</t>
  </si>
  <si>
    <t>a</t>
  </si>
  <si>
    <t>x</t>
  </si>
  <si>
    <t>Total Renewal Cost</t>
  </si>
  <si>
    <t>Active Veh. In Fleet</t>
  </si>
  <si>
    <t>ADA Veh. In Fleet</t>
  </si>
  <si>
    <t>Contingency Veh.</t>
  </si>
  <si>
    <t>Vehicle Type Code</t>
  </si>
  <si>
    <t>Funding Source</t>
  </si>
  <si>
    <t>Yr. of Manufacture</t>
  </si>
  <si>
    <t>Mfr. Code</t>
  </si>
  <si>
    <t>Model Number</t>
  </si>
  <si>
    <t>Yr. of Last Renewal</t>
  </si>
  <si>
    <t>Renewal Type</t>
  </si>
  <si>
    <t>Fuel Type Code</t>
  </si>
  <si>
    <t>Vehicle Length</t>
  </si>
  <si>
    <t>Seating Capacity</t>
  </si>
  <si>
    <t>Mileage on Active Vehicles</t>
  </si>
  <si>
    <t>Avg. Lifetime Mileage</t>
  </si>
  <si>
    <t>Supports Another Mode</t>
  </si>
  <si>
    <t>Primary Mode Served</t>
  </si>
  <si>
    <t>% Capital Responsibility</t>
  </si>
  <si>
    <t>Unit Cost</t>
  </si>
  <si>
    <t>Revenue Vehicles</t>
  </si>
  <si>
    <t>OK</t>
  </si>
  <si>
    <t>Active Vehicles in Fleet</t>
  </si>
  <si>
    <t>ADA Vehicles in Fleet</t>
  </si>
  <si>
    <t>Contingency Vehicles</t>
  </si>
  <si>
    <t>Year of Manufacture</t>
  </si>
  <si>
    <t>Manufacturer Code</t>
  </si>
  <si>
    <t>Year of Last Renewal</t>
  </si>
  <si>
    <t>Type of Renewal</t>
  </si>
  <si>
    <t>Selected Year $ (Renewal)</t>
  </si>
  <si>
    <t>Selected Year $ (Replacement)</t>
  </si>
  <si>
    <t>Total Miles on Active Vehicles</t>
  </si>
  <si>
    <t>AB Articulated bus</t>
  </si>
  <si>
    <t>BR Over-the-road bus</t>
  </si>
  <si>
    <t>BU Bus</t>
  </si>
  <si>
    <t>DB Double decked bus</t>
  </si>
  <si>
    <t>FB Ferryboat</t>
  </si>
  <si>
    <t>HR Heavy rail passenger car</t>
  </si>
  <si>
    <t>LR Light rail vehicle</t>
  </si>
  <si>
    <t>RL Commuter rail locomotive</t>
  </si>
  <si>
    <t>RP Commuter rail passenger coach</t>
  </si>
  <si>
    <t>RS Commuter rail, self-propelled passenger car</t>
  </si>
  <si>
    <t>VN Van</t>
  </si>
  <si>
    <t>VT Vintage trolley / streetcar</t>
  </si>
  <si>
    <t xml:space="preserve">UA – Urbanized Area Formula Program </t>
  </si>
  <si>
    <t>OF – Other Federal funds</t>
  </si>
  <si>
    <t>NFPA - Non-Federal public funds</t>
  </si>
  <si>
    <t>NFPE - Non-Federal private fund</t>
  </si>
  <si>
    <t>BD - Bio-diesel</t>
  </si>
  <si>
    <t>BF - Bunker fuel</t>
  </si>
  <si>
    <t>DF - Diesel fuel</t>
  </si>
  <si>
    <t>DU - Dual fuel</t>
  </si>
  <si>
    <t>EB - Electric battery</t>
  </si>
  <si>
    <t>EP - Electric propulsion</t>
  </si>
  <si>
    <t>ET - Ethanol</t>
  </si>
  <si>
    <t>GA - Gasoline</t>
  </si>
  <si>
    <t>GR - Grain additive</t>
  </si>
  <si>
    <t>HD - Hybrid diesel</t>
  </si>
  <si>
    <t>HG - Hybrid gasoline</t>
  </si>
  <si>
    <t>KE - Kerosene</t>
  </si>
  <si>
    <t>LN - Liquefied natural gas (LNG)</t>
  </si>
  <si>
    <t>CN - Compressed natural gas (CNG)</t>
  </si>
  <si>
    <t>LP - Liquefied petroleum gas (LPG)</t>
  </si>
  <si>
    <t>MT - Methanol</t>
  </si>
  <si>
    <t>From (Begins at)</t>
  </si>
  <si>
    <t>To (Ends at)</t>
  </si>
  <si>
    <t>Default Cost</t>
  </si>
  <si>
    <t>Simple At-Grade Platform Station</t>
  </si>
  <si>
    <t>Mid-Life Power Train</t>
  </si>
  <si>
    <t>Mid-Life Overhaul</t>
  </si>
  <si>
    <t>Life-Extending Overhaul</t>
  </si>
  <si>
    <t>Parts</t>
  </si>
  <si>
    <t>Warranty</t>
  </si>
  <si>
    <t>Mark "X" if Total</t>
  </si>
  <si>
    <t>covers:</t>
  </si>
  <si>
    <t>Transit Agency Identification Information</t>
  </si>
  <si>
    <t>NTD Identification No.</t>
  </si>
  <si>
    <t>State</t>
  </si>
  <si>
    <t>Mailing Address</t>
  </si>
  <si>
    <t>AL - Alabama</t>
  </si>
  <si>
    <t>AK - Alaska</t>
  </si>
  <si>
    <t>AZ - Arizona</t>
  </si>
  <si>
    <t>AR - Arkansas</t>
  </si>
  <si>
    <t>CA - California</t>
  </si>
  <si>
    <t>CO - Colorado</t>
  </si>
  <si>
    <t>CT - Connecticut</t>
  </si>
  <si>
    <t>DE - Delaware</t>
  </si>
  <si>
    <t>DC - District of Columbia</t>
  </si>
  <si>
    <t>FL - Florida</t>
  </si>
  <si>
    <t>GA - Georgia</t>
  </si>
  <si>
    <t>HI - Hawaii</t>
  </si>
  <si>
    <t>ID - Idaho</t>
  </si>
  <si>
    <t>IL - Illinois</t>
  </si>
  <si>
    <t>IN - Indiana</t>
  </si>
  <si>
    <t>IA - Iowa</t>
  </si>
  <si>
    <t>KS - Kansas</t>
  </si>
  <si>
    <t>KY - Kentucky</t>
  </si>
  <si>
    <t>LA - Louisiana</t>
  </si>
  <si>
    <t>ME - Maine</t>
  </si>
  <si>
    <t>MD - Maryland</t>
  </si>
  <si>
    <t>MA - Massachusetts</t>
  </si>
  <si>
    <t>MI - Michigan</t>
  </si>
  <si>
    <t>MN - Minnesota</t>
  </si>
  <si>
    <t>MS - Mississippi</t>
  </si>
  <si>
    <t>MO - Missouri</t>
  </si>
  <si>
    <t>MT - Montana</t>
  </si>
  <si>
    <t>NE - Nebraska</t>
  </si>
  <si>
    <t>NV - Nevada</t>
  </si>
  <si>
    <t>NH - New Hampshire</t>
  </si>
  <si>
    <t>NJ - New Jersey</t>
  </si>
  <si>
    <t>NM - New Mexico</t>
  </si>
  <si>
    <t>NY - New York</t>
  </si>
  <si>
    <t>NC - North Carolina</t>
  </si>
  <si>
    <t>ND - North Dakota</t>
  </si>
  <si>
    <t>OH - Ohio</t>
  </si>
  <si>
    <t>OK - Oklahoma</t>
  </si>
  <si>
    <t>OR - Oregon</t>
  </si>
  <si>
    <t>PA - Pennsylvania</t>
  </si>
  <si>
    <t>RI - Rhode Island</t>
  </si>
  <si>
    <t>SC - South Carolina</t>
  </si>
  <si>
    <t>SD - South Dakota</t>
  </si>
  <si>
    <t>TN - Tennessee</t>
  </si>
  <si>
    <t>TX - Texas</t>
  </si>
  <si>
    <t>UT - Utah</t>
  </si>
  <si>
    <t>VT - Vermont</t>
  </si>
  <si>
    <t>VA - Virginia</t>
  </si>
  <si>
    <t>WA - Washington</t>
  </si>
  <si>
    <t>WV - West Virginia</t>
  </si>
  <si>
    <t>WI - Wisconsin</t>
  </si>
  <si>
    <t>WY - Wyoming</t>
  </si>
  <si>
    <t>AS - American Samoa</t>
  </si>
  <si>
    <t>GU - Guam</t>
  </si>
  <si>
    <t>MP - Northern Mariana Islands</t>
  </si>
  <si>
    <t>PR - Puerto Rico</t>
  </si>
  <si>
    <t>VI - Virgin Islands</t>
  </si>
  <si>
    <t>Zip Code</t>
  </si>
  <si>
    <t>Complete</t>
  </si>
  <si>
    <t>Yes / No</t>
  </si>
  <si>
    <t>D</t>
  </si>
  <si>
    <t>U</t>
  </si>
  <si>
    <t>Stations</t>
  </si>
  <si>
    <t>Bus Transfer Center</t>
  </si>
  <si>
    <t>Revenue Collection Facility</t>
  </si>
  <si>
    <t>Yr. Built or Replaced</t>
  </si>
  <si>
    <t>Cap. Resp?</t>
  </si>
  <si>
    <t>or</t>
  </si>
  <si>
    <t>Replaced</t>
  </si>
  <si>
    <t>Heavy Maintenance &amp; Overhaul (Backshop)</t>
  </si>
  <si>
    <t>General Purpose Maintenance Facility/Depot</t>
  </si>
  <si>
    <t>Maintenance Facility (Service and Inspection)</t>
  </si>
  <si>
    <t>Administrative Office / Sales Office</t>
  </si>
  <si>
    <t>Yr. $</t>
  </si>
  <si>
    <t>Column with Bad or Missing Data&gt;&gt;</t>
  </si>
  <si>
    <t>Respon-</t>
  </si>
  <si>
    <t>Administrative &amp; Maintenance Facility Types</t>
  </si>
  <si>
    <t>Passenger Facility Types</t>
  </si>
  <si>
    <t>Multi-Story Parking Structure</t>
  </si>
  <si>
    <t>as New</t>
  </si>
  <si>
    <t>Silver Spring</t>
  </si>
  <si>
    <t>Wheaton</t>
  </si>
  <si>
    <t xml:space="preserve">or </t>
  </si>
  <si>
    <t xml:space="preserve">Parking </t>
  </si>
  <si>
    <t>Bus Fixed Guideway Types</t>
  </si>
  <si>
    <t>Vehicle Types</t>
  </si>
  <si>
    <t>Manufacturer Codes</t>
  </si>
  <si>
    <t>Vehicle Renewal Types</t>
  </si>
  <si>
    <t>Fuel Types</t>
  </si>
  <si>
    <t>U.S. States/Territories</t>
  </si>
  <si>
    <t>All Facility Types</t>
  </si>
  <si>
    <t>Cost - Low</t>
  </si>
  <si>
    <t>Cost - High</t>
  </si>
  <si>
    <t>Central Train Control</t>
  </si>
  <si>
    <t>Wayside Train Control</t>
  </si>
  <si>
    <t>Signals</t>
  </si>
  <si>
    <t xml:space="preserve">Cable/Communications </t>
  </si>
  <si>
    <t>Quantity (Low)</t>
  </si>
  <si>
    <t>Quantity (High)</t>
  </si>
  <si>
    <t>Useful Life (Default)</t>
  </si>
  <si>
    <t>Useful Life (Low)</t>
  </si>
  <si>
    <t>Useful Life (High)</t>
  </si>
  <si>
    <t>First Year of  CPI</t>
  </si>
  <si>
    <t>Segment Assets</t>
  </si>
  <si>
    <t>Default Index Number</t>
  </si>
  <si>
    <t>Loaded</t>
  </si>
  <si>
    <t>Red Line (Silver Spring to Wheaton)</t>
  </si>
  <si>
    <t xml:space="preserve">Past </t>
  </si>
  <si>
    <t>Enter Share of Segment's Total Track Miles in UZAs Identified on the 'ID' Sheet (Enter total amount if only one UZA identified.)</t>
  </si>
  <si>
    <t>Americans</t>
  </si>
  <si>
    <t>with Disabilities</t>
  </si>
  <si>
    <t>Enter Quantity in Age Distribution Intervals</t>
  </si>
  <si>
    <t>or 100%</t>
  </si>
  <si>
    <t>Power / Signals / Communications</t>
  </si>
  <si>
    <t>At Grade Bus Guideway</t>
  </si>
  <si>
    <t>Bus Turnarounds</t>
  </si>
  <si>
    <t>Elevated Bus Guideway / Retained-Fill</t>
  </si>
  <si>
    <t>Elevated Bus Guideway / Unretained-Fill</t>
  </si>
  <si>
    <t>Undergound Bus Guideway (Tunnel)</t>
  </si>
  <si>
    <t>Elevated Bus Guideway / Aerial Structure</t>
  </si>
  <si>
    <t>Exclusive</t>
  </si>
  <si>
    <t>Urbanized Areas (UZAs)</t>
  </si>
  <si>
    <t>Station Components</t>
  </si>
  <si>
    <t>Fire Protection Systems</t>
  </si>
  <si>
    <t xml:space="preserve">Roofing </t>
  </si>
  <si>
    <t>Useful Life</t>
  </si>
  <si>
    <t>% of Rep Cost</t>
  </si>
  <si>
    <t>Corresponding Letter</t>
  </si>
  <si>
    <t>Asset Class</t>
  </si>
  <si>
    <t>Non-Rail Fixed Guideway</t>
  </si>
  <si>
    <t>Curved Track</t>
  </si>
  <si>
    <t>Track Special Work</t>
  </si>
  <si>
    <t xml:space="preserve"> Yr. Built Low</t>
  </si>
  <si>
    <t>Yr. Built High</t>
  </si>
  <si>
    <t>Building Sq. Ft. Low</t>
  </si>
  <si>
    <t>Building Sq. Ft. High</t>
  </si>
  <si>
    <t>First  Year $ CPI</t>
  </si>
  <si>
    <t>Building $ Sq. Ft. Low</t>
  </si>
  <si>
    <t>Building $ Sq. Ft. High</t>
  </si>
  <si>
    <t>Passenger Parking Facilities</t>
  </si>
  <si>
    <t>Passenger Facility Components</t>
  </si>
  <si>
    <t>Default Useful Life</t>
  </si>
  <si>
    <t>Useful Life Low</t>
  </si>
  <si>
    <t>Useful Life High</t>
  </si>
  <si>
    <t>Unit Type</t>
  </si>
  <si>
    <t>Default Cost Low</t>
  </si>
  <si>
    <t>Default Cost High</t>
  </si>
  <si>
    <t>Revenue Vehicle Renewal Activity</t>
  </si>
  <si>
    <t>Renewal Activity</t>
  </si>
  <si>
    <t>Revenue Vehicle Type</t>
  </si>
  <si>
    <t>User-defined code</t>
  </si>
  <si>
    <t>Default code</t>
  </si>
  <si>
    <t xml:space="preserve">Building Exterior </t>
  </si>
  <si>
    <t xml:space="preserve">Building Interiors </t>
  </si>
  <si>
    <t xml:space="preserve">Built-in Equipment and Specialties </t>
  </si>
  <si>
    <t>Elevators and Conveying Systems</t>
  </si>
  <si>
    <t>Passenger Parking Facility Components</t>
  </si>
  <si>
    <t>Maintenance and Administrative Facility Components</t>
  </si>
  <si>
    <t>Elevated Pedestrian Walkway</t>
  </si>
  <si>
    <t>Yr. Built</t>
  </si>
  <si>
    <t>Sq. Ft.</t>
  </si>
  <si>
    <t>Exclusive Grade-Separated Platform Station</t>
  </si>
  <si>
    <t>U vs. D Flag (Useful Life)</t>
  </si>
  <si>
    <t>Zip</t>
  </si>
  <si>
    <t>Year Built or Rep. as New</t>
  </si>
  <si>
    <t>Square Feet or Parking Spaces</t>
  </si>
  <si>
    <t>Avg. Expected Srv. Life</t>
  </si>
  <si>
    <t>Qt. by Remaining Srv. Life (100% - 75%)</t>
  </si>
  <si>
    <t>Qt. by Remaining Srv. Life (74% - 50%)</t>
  </si>
  <si>
    <t>Qt. by Remaining Srv. Life (49% - 25%)</t>
  </si>
  <si>
    <t>Qt. by Remaining Srv. Life (24% - 0%)</t>
  </si>
  <si>
    <t>Qt. by Remaining Srv. Life (Exceeds UL)</t>
  </si>
  <si>
    <t>Total Qt (check)</t>
  </si>
  <si>
    <t>Total Qt or Total % (check)</t>
  </si>
  <si>
    <t>Derived Unit Cost (Replacement)</t>
  </si>
  <si>
    <t>Derived Unit Cost (Renewals)</t>
  </si>
  <si>
    <t xml:space="preserve">Lane </t>
  </si>
  <si>
    <t>Right-of-Way</t>
  </si>
  <si>
    <t>(ROW)</t>
  </si>
  <si>
    <t>Controlled</t>
  </si>
  <si>
    <t>Access</t>
  </si>
  <si>
    <t>No.</t>
  </si>
  <si>
    <r>
      <rPr>
        <b/>
        <sz val="16"/>
        <color theme="3" tint="-0.249977111117893"/>
        <rFont val="Arial"/>
        <family val="2"/>
      </rPr>
      <t>Form Name</t>
    </r>
    <r>
      <rPr>
        <sz val="16"/>
        <color theme="3" tint="-0.249977111117893"/>
        <rFont val="Arial"/>
        <family val="2"/>
      </rPr>
      <t>: Transit Way Mileage Non-Rail  (A-20)</t>
    </r>
  </si>
  <si>
    <t>Primary Mode (Non-Rail)</t>
  </si>
  <si>
    <t>Primary Mode (Rail)</t>
  </si>
  <si>
    <t>FB - Ferry Boat</t>
  </si>
  <si>
    <t>IP - Inclined Plane</t>
  </si>
  <si>
    <t>MB - Motorbus</t>
  </si>
  <si>
    <t>TB - Trolley Bus</t>
  </si>
  <si>
    <t>VP - Van</t>
  </si>
  <si>
    <t>AO - Automobile</t>
  </si>
  <si>
    <t>BU - Bus</t>
  </si>
  <si>
    <t>FB - Ferryboat</t>
  </si>
  <si>
    <t>TB - Trolleybus</t>
  </si>
  <si>
    <t>VN - Van</t>
  </si>
  <si>
    <t>AB - Articulated bus</t>
  </si>
  <si>
    <t>AG - Automated guideway vehicle</t>
  </si>
  <si>
    <t>BR - Over-the-road bus</t>
  </si>
  <si>
    <t>CC - Cable car</t>
  </si>
  <si>
    <t>DB - Double decked bus</t>
  </si>
  <si>
    <t>HR - Heavy rail passenger car</t>
  </si>
  <si>
    <t>IP - Inclined plane vehicle</t>
  </si>
  <si>
    <t>LR - Light rail vehicle</t>
  </si>
  <si>
    <t>MO - Monorail vehicle</t>
  </si>
  <si>
    <t>RL - Commuter rail locomotive</t>
  </si>
  <si>
    <t>RP - Commuter rail passenger coach</t>
  </si>
  <si>
    <t>RS - Commuter rail, self-propelled passenger car</t>
  </si>
  <si>
    <t>SB - School bus</t>
  </si>
  <si>
    <t>SV - Sport Utility Vehicle</t>
  </si>
  <si>
    <t>TR - Aerial tramway</t>
  </si>
  <si>
    <t>VT - Vintage trolley / streetcar</t>
  </si>
  <si>
    <t>Facility Components: Useful Life (Expected Service Years)</t>
  </si>
  <si>
    <t>Facility Components: Percentage of Facility Cost by Component</t>
  </si>
  <si>
    <t>Worksheet Name</t>
  </si>
  <si>
    <t xml:space="preserve">Form Name: Administrative &amp; Maintenance Facilities (A-10)   </t>
  </si>
  <si>
    <t>&lt;&lt; check</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</si>
  <si>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</si>
  <si>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</si>
  <si>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</si>
  <si>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</si>
  <si>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</si>
  <si>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</si>
  <si>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</si>
  <si>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</si>
  <si>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</si>
  <si>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</si>
  <si>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</si>
  <si>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</si>
  <si>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</si>
  <si>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</si>
  <si>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</si>
  <si>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</si>
  <si>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</si>
  <si>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</si>
  <si>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</si>
  <si>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</si>
  <si>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</si>
  <si>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</si>
  <si>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</si>
  <si>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</si>
  <si>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</si>
  <si>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</si>
  <si>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</si>
  <si>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</si>
  <si>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</si>
  <si>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</si>
  <si>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t>Facility 31</t>
  </si>
  <si>
    <t>Facility 32</t>
  </si>
  <si>
    <t>Facility 33</t>
  </si>
  <si>
    <t>Facility 34</t>
  </si>
  <si>
    <t>Facility 35</t>
  </si>
  <si>
    <t>Facility 36</t>
  </si>
  <si>
    <t>Facility 37</t>
  </si>
  <si>
    <t>Facility 38</t>
  </si>
  <si>
    <t>Facility 39</t>
  </si>
  <si>
    <t>Facility 40</t>
  </si>
  <si>
    <t>Facility 41</t>
  </si>
  <si>
    <t>Facility 42</t>
  </si>
  <si>
    <t>Facility 43</t>
  </si>
  <si>
    <t>Facility 44</t>
  </si>
  <si>
    <t>Facility 45</t>
  </si>
  <si>
    <t>Facility 46</t>
  </si>
  <si>
    <t>Facility 47</t>
  </si>
  <si>
    <t>Facility 48</t>
  </si>
  <si>
    <t>Facility 49</t>
  </si>
  <si>
    <t>Facility 50</t>
  </si>
  <si>
    <t>Facility 51</t>
  </si>
  <si>
    <t>Facility 52</t>
  </si>
  <si>
    <t>Facility 53</t>
  </si>
  <si>
    <t>Facility 54</t>
  </si>
  <si>
    <t>Facility 55</t>
  </si>
  <si>
    <t>Facility 56</t>
  </si>
  <si>
    <t>Facility 57</t>
  </si>
  <si>
    <t>Facility 58</t>
  </si>
  <si>
    <t>Facility 59</t>
  </si>
  <si>
    <t>Facility 60</t>
  </si>
  <si>
    <t>Facility 61</t>
  </si>
  <si>
    <t>Facility 62</t>
  </si>
  <si>
    <t>Facility 63</t>
  </si>
  <si>
    <t>Facility 64</t>
  </si>
  <si>
    <t>Facility 65</t>
  </si>
  <si>
    <t>Facility 66</t>
  </si>
  <si>
    <t>Facility 67</t>
  </si>
  <si>
    <t>Facility 68</t>
  </si>
  <si>
    <t>Facility 69</t>
  </si>
  <si>
    <t>Facility 70</t>
  </si>
  <si>
    <t>Facility 71</t>
  </si>
  <si>
    <t>Facility 72</t>
  </si>
  <si>
    <t>Facility 73</t>
  </si>
  <si>
    <t>Facility 74</t>
  </si>
  <si>
    <t>Facility 75</t>
  </si>
  <si>
    <t>Facility 76</t>
  </si>
  <si>
    <t>Facility 77</t>
  </si>
  <si>
    <t>Facility 78</t>
  </si>
  <si>
    <t>Facility 79</t>
  </si>
  <si>
    <t>Facility 80</t>
  </si>
  <si>
    <t>Facility 81</t>
  </si>
  <si>
    <t>Facility 82</t>
  </si>
  <si>
    <t>Facility 83</t>
  </si>
  <si>
    <t>Facility 84</t>
  </si>
  <si>
    <t>Facility 85</t>
  </si>
  <si>
    <t>Facility 86</t>
  </si>
  <si>
    <t>Facility 87</t>
  </si>
  <si>
    <t>Facility 88</t>
  </si>
  <si>
    <t>Facility 89</t>
  </si>
  <si>
    <t>Facility 90</t>
  </si>
  <si>
    <t>Facility 91</t>
  </si>
  <si>
    <t>Facility 92</t>
  </si>
  <si>
    <t>Facility 93</t>
  </si>
  <si>
    <t>Facility 94</t>
  </si>
  <si>
    <t>Facility 95</t>
  </si>
  <si>
    <t>Facility 96</t>
  </si>
  <si>
    <t>Facility 97</t>
  </si>
  <si>
    <t>Facility 98</t>
  </si>
  <si>
    <t>Facility 99</t>
  </si>
  <si>
    <t>Facility 100</t>
  </si>
  <si>
    <t xml:space="preserve">Form Name: Passenger Facilities (A-10)  </t>
  </si>
  <si>
    <t>&lt;&lt; Check</t>
  </si>
  <si>
    <r>
      <t xml:space="preserve">ROWS </t>
    </r>
    <r>
      <rPr>
        <sz val="14"/>
        <rFont val="Calibri"/>
        <family val="2"/>
      </rPr>
      <t>↓</t>
    </r>
  </si>
  <si>
    <r>
      <t xml:space="preserve">COLUMNS </t>
    </r>
    <r>
      <rPr>
        <sz val="14"/>
        <rFont val="Calibri"/>
        <family val="2"/>
      </rPr>
      <t>→</t>
    </r>
  </si>
  <si>
    <t>Elements</t>
  </si>
  <si>
    <t>in Column i</t>
  </si>
  <si>
    <t>Fleet 1</t>
  </si>
  <si>
    <t>Fleet 2</t>
  </si>
  <si>
    <t>Fleet 3</t>
  </si>
  <si>
    <t>Fleet 4</t>
  </si>
  <si>
    <t>Fleet 5</t>
  </si>
  <si>
    <t>Fleet 6</t>
  </si>
  <si>
    <t>Fleet 7</t>
  </si>
  <si>
    <t>Fleet 8</t>
  </si>
  <si>
    <t>Fleet 9</t>
  </si>
  <si>
    <t>Fleet 10</t>
  </si>
  <si>
    <t>Fleet 11</t>
  </si>
  <si>
    <t>Fleet 12</t>
  </si>
  <si>
    <t>Fleet 13</t>
  </si>
  <si>
    <t>Fleet 14</t>
  </si>
  <si>
    <t>Fleet 15</t>
  </si>
  <si>
    <t>Fleet 16</t>
  </si>
  <si>
    <t>Fleet 17</t>
  </si>
  <si>
    <t>Fleet 18</t>
  </si>
  <si>
    <t>Fleet 19</t>
  </si>
  <si>
    <t>Fleet 20</t>
  </si>
  <si>
    <t>Fleet 21</t>
  </si>
  <si>
    <t>Fleet 22</t>
  </si>
  <si>
    <t>Fleet 23</t>
  </si>
  <si>
    <t>Fleet 24</t>
  </si>
  <si>
    <t>Fleet 25</t>
  </si>
  <si>
    <t>Fleet 26</t>
  </si>
  <si>
    <t>Fleet 27</t>
  </si>
  <si>
    <t>Fleet 28</t>
  </si>
  <si>
    <t>Fleet 29</t>
  </si>
  <si>
    <t>Fleet 30</t>
  </si>
  <si>
    <t>Fleet 31</t>
  </si>
  <si>
    <t>Fleet 32</t>
  </si>
  <si>
    <t>Fleet 33</t>
  </si>
  <si>
    <t>Fleet 34</t>
  </si>
  <si>
    <t>Fleet 35</t>
  </si>
  <si>
    <t>Fleet 36</t>
  </si>
  <si>
    <t>Fleet 37</t>
  </si>
  <si>
    <t>Fleet 38</t>
  </si>
  <si>
    <t>Fleet 39</t>
  </si>
  <si>
    <t>Fleet 40</t>
  </si>
  <si>
    <t>Fleet 41</t>
  </si>
  <si>
    <t>Fleet 42</t>
  </si>
  <si>
    <t>Fleet 43</t>
  </si>
  <si>
    <t>Fleet 44</t>
  </si>
  <si>
    <t>Fleet 45</t>
  </si>
  <si>
    <t>Fleet 46</t>
  </si>
  <si>
    <t>Fleet 47</t>
  </si>
  <si>
    <t>Fleet 48</t>
  </si>
  <si>
    <t>Fleet 49</t>
  </si>
  <si>
    <t>Fleet 50</t>
  </si>
  <si>
    <t>Fleet 51</t>
  </si>
  <si>
    <t>Fleet 52</t>
  </si>
  <si>
    <t>Fleet 53</t>
  </si>
  <si>
    <t>Fleet 54</t>
  </si>
  <si>
    <t>Fleet 55</t>
  </si>
  <si>
    <t>Fleet 56</t>
  </si>
  <si>
    <t>Fleet 57</t>
  </si>
  <si>
    <t>Fleet 58</t>
  </si>
  <si>
    <t>Fleet 59</t>
  </si>
  <si>
    <t>Fleet 60</t>
  </si>
  <si>
    <t>Fleet 61</t>
  </si>
  <si>
    <t>Fleet 62</t>
  </si>
  <si>
    <t>Fleet 63</t>
  </si>
  <si>
    <t>Fleet 64</t>
  </si>
  <si>
    <t>Fleet 65</t>
  </si>
  <si>
    <t>Fleet 66</t>
  </si>
  <si>
    <t>Fleet 67</t>
  </si>
  <si>
    <t>Fleet 68</t>
  </si>
  <si>
    <t>Fleet 69</t>
  </si>
  <si>
    <t>Fleet 70</t>
  </si>
  <si>
    <t>Fleet 71</t>
  </si>
  <si>
    <t>Fleet 72</t>
  </si>
  <si>
    <t>Fleet 73</t>
  </si>
  <si>
    <t>Fleet 74</t>
  </si>
  <si>
    <t>Fleet 75</t>
  </si>
  <si>
    <t>Fleet 76</t>
  </si>
  <si>
    <t>Fleet 77</t>
  </si>
  <si>
    <t>Fleet 78</t>
  </si>
  <si>
    <t>Fleet 79</t>
  </si>
  <si>
    <t>Fleet 80</t>
  </si>
  <si>
    <t>Fleet 81</t>
  </si>
  <si>
    <t>Fleet 82</t>
  </si>
  <si>
    <t>Fleet 83</t>
  </si>
  <si>
    <t>Fleet 84</t>
  </si>
  <si>
    <t>Fleet 85</t>
  </si>
  <si>
    <t>Fleet 86</t>
  </si>
  <si>
    <t>Fleet 87</t>
  </si>
  <si>
    <t>Fleet 88</t>
  </si>
  <si>
    <t>Fleet 89</t>
  </si>
  <si>
    <t>Fleet 90</t>
  </si>
  <si>
    <t>Fleet 91</t>
  </si>
  <si>
    <t>Fleet 92</t>
  </si>
  <si>
    <t>Fleet 93</t>
  </si>
  <si>
    <t>Fleet 94</t>
  </si>
  <si>
    <t>Fleet 95</t>
  </si>
  <si>
    <t>Fleet 96</t>
  </si>
  <si>
    <t>Fleet 97</t>
  </si>
  <si>
    <t>Fleet 98</t>
  </si>
  <si>
    <t>Fleet 99</t>
  </si>
  <si>
    <t>Fleet 100</t>
  </si>
  <si>
    <t>Street</t>
  </si>
  <si>
    <t>Served</t>
  </si>
  <si>
    <t>at Facility</t>
  </si>
  <si>
    <t>Primary</t>
  </si>
  <si>
    <t>Rows between</t>
  </si>
  <si>
    <t>segment names</t>
  </si>
  <si>
    <t>element names</t>
  </si>
  <si>
    <t>&lt;&lt; DO NOT DELETE</t>
  </si>
  <si>
    <t>DO NOT DELETE &gt;&gt;</t>
  </si>
  <si>
    <t xml:space="preserve"> 1</t>
  </si>
  <si>
    <t xml:space="preserve"> 7</t>
  </si>
  <si>
    <t xml:space="preserve"> 8</t>
  </si>
  <si>
    <t xml:space="preserve"> 9</t>
  </si>
  <si>
    <t>10</t>
  </si>
  <si>
    <t>11</t>
  </si>
  <si>
    <t>12</t>
  </si>
  <si>
    <t>13</t>
  </si>
  <si>
    <t>14</t>
  </si>
  <si>
    <t>15</t>
  </si>
  <si>
    <t>17</t>
  </si>
  <si>
    <t>18</t>
  </si>
  <si>
    <t>19</t>
  </si>
  <si>
    <t>20</t>
  </si>
  <si>
    <t>21</t>
  </si>
  <si>
    <t>23</t>
  </si>
  <si>
    <t>24</t>
  </si>
  <si>
    <t>25</t>
  </si>
  <si>
    <t>26</t>
  </si>
  <si>
    <t>27</t>
  </si>
  <si>
    <t>28</t>
  </si>
  <si>
    <t>30</t>
  </si>
  <si>
    <t>31</t>
  </si>
  <si>
    <t>32</t>
  </si>
  <si>
    <t>33</t>
  </si>
  <si>
    <t>34</t>
  </si>
  <si>
    <t>36</t>
  </si>
  <si>
    <t>40</t>
  </si>
  <si>
    <t>45</t>
  </si>
  <si>
    <t>50</t>
  </si>
  <si>
    <t>drop-down menu</t>
  </si>
  <si>
    <t>open field</t>
  </si>
  <si>
    <t>Column</t>
  </si>
  <si>
    <t>Year Built</t>
  </si>
  <si>
    <t>Total Loaded Replacement Cost</t>
  </si>
  <si>
    <t>Year Dollars of Replacement Cost</t>
  </si>
  <si>
    <t>Notes (optional)</t>
  </si>
  <si>
    <t>Yes</t>
  </si>
  <si>
    <t>Data Validation</t>
  </si>
  <si>
    <t>No</t>
  </si>
  <si>
    <t>open entry</t>
  </si>
  <si>
    <t>Name of Required Field</t>
  </si>
  <si>
    <t>Data Entry Type</t>
  </si>
  <si>
    <t>Square Feet or Parking Space</t>
  </si>
  <si>
    <t>P.O. Box</t>
  </si>
  <si>
    <t>3a</t>
  </si>
  <si>
    <t>3b</t>
  </si>
  <si>
    <t>Agency Name/Acronym</t>
  </si>
  <si>
    <t>Name of 
Required Field</t>
  </si>
  <si>
    <t>N/A</t>
  </si>
  <si>
    <t>Avg. Expected Service Years</t>
  </si>
  <si>
    <t>Accept/Reject Default</t>
  </si>
  <si>
    <t>Share of Service Life Remaining: 100% - 75%</t>
  </si>
  <si>
    <t>Share of Service Life Remaining: 74% - 50%</t>
  </si>
  <si>
    <t>Share of Service Life Remaining: 49% - 25%</t>
  </si>
  <si>
    <t>Share of Service Life Remaining: 24% - 0%</t>
  </si>
  <si>
    <t>Share of Service Life Remaining: Past Service Life</t>
  </si>
  <si>
    <t>Total Quantity</t>
  </si>
  <si>
    <t>Auto Calculated</t>
  </si>
  <si>
    <t>Equipment Name</t>
  </si>
  <si>
    <t>hard coded</t>
  </si>
  <si>
    <t>Number of Vehicles in Total Fleet</t>
  </si>
  <si>
    <t>Number of Active Vehicles in Fleet</t>
  </si>
  <si>
    <t>Number of Americans with Disabilities Act of 1990 (ADA) Accessible Vehicles</t>
  </si>
  <si>
    <t>Number of Emergency Contingency Vehicles</t>
  </si>
  <si>
    <t>Type of Last Renewal</t>
  </si>
  <si>
    <t>Year Dollars of Reported Renewal Cost</t>
  </si>
  <si>
    <t>Year Dollars of Reported Replacement Cost</t>
  </si>
  <si>
    <t>Total Miles on Active Vehicles During Period</t>
  </si>
  <si>
    <t>Average Lifetime Miles per Active Vehicle</t>
  </si>
  <si>
    <t>AAI - Allen Ashley Inc.</t>
  </si>
  <si>
    <t>ABB - Asea Brown Boveri Ltd.</t>
  </si>
  <si>
    <t>ACF - American Car and Foundry Company</t>
  </si>
  <si>
    <t>AII - American Ikarus Inc.</t>
  </si>
  <si>
    <t>ALS - ALSTOM Transport</t>
  </si>
  <si>
    <t>AMI - Amrail Inc.</t>
  </si>
  <si>
    <t>ASK - AAI/Skoda</t>
  </si>
  <si>
    <t>BBB - Blue Bird Corporation</t>
  </si>
  <si>
    <t>BFC - Breda Transportation Inc.</t>
  </si>
  <si>
    <t>BIA - Bus Industries of America</t>
  </si>
  <si>
    <t>BOM - Bombardier Corporation</t>
  </si>
  <si>
    <t>BRA - Braun</t>
  </si>
  <si>
    <t>BUD - Budd Company</t>
  </si>
  <si>
    <t>BVC - Boeing Vertol Company</t>
  </si>
  <si>
    <t>CBC - Collins Bus Corporation (formerly Collins Industries Inc./COL)</t>
  </si>
  <si>
    <t>CBW - Carpenter Industries LLC (formerly Carpenter Manufacturing Inc.)</t>
  </si>
  <si>
    <t>CCI - Chance Bus Inc. (formerly Chance Manufacturing Company/CHI)</t>
  </si>
  <si>
    <t>CMC - Champion Motor Coach Inc.</t>
  </si>
  <si>
    <t>CMD - Chevrolet Motor Division - GMC</t>
  </si>
  <si>
    <t>CVL - Canadian Vickers Ltd.</t>
  </si>
  <si>
    <t>DTD - Dodge Division - Chrysler Corporation</t>
  </si>
  <si>
    <t>EBC - ElDorado Bus (EBC Inc.)</t>
  </si>
  <si>
    <t>EDN - ElDorado National (formerly El Dorado/EBC/National Coach/NCC)</t>
  </si>
  <si>
    <t>EII - Eagle Bus Manufacturing</t>
  </si>
  <si>
    <t>FIL - Flyer Industries Ltd (also known as New Flyer Industries)</t>
  </si>
  <si>
    <t>FLX - Flxible Corporation</t>
  </si>
  <si>
    <t>FRC - Freightliner Corporation</t>
  </si>
  <si>
    <t>FRD - Ford Motor Corporation</t>
  </si>
  <si>
    <t>GCC - Goshen Coach</t>
  </si>
  <si>
    <t>GEC - General Electric Corporation</t>
  </si>
  <si>
    <t>GIL - Gillig Corporation</t>
  </si>
  <si>
    <t>GMC - General Motors Corporation</t>
  </si>
  <si>
    <t>GTC - Gomaco Trolley Company</t>
  </si>
  <si>
    <t>HIT - Hitachi</t>
  </si>
  <si>
    <t>HSC - Hawker Siddeley Canada</t>
  </si>
  <si>
    <t>INT - International</t>
  </si>
  <si>
    <t>KAW - Kawasaki Rail Car Inc. (formerly Kawasaki Heavy Industries)</t>
  </si>
  <si>
    <t>MAF - Mafersa</t>
  </si>
  <si>
    <t>MBB - M.B.B.</t>
  </si>
  <si>
    <t>MKI - American Passenger Rail Car Company (formerly MorrisonKnudsen)</t>
  </si>
  <si>
    <t>MPT - Motive Power Industries (formerly Boise Locomotive)</t>
  </si>
  <si>
    <t>NAB - North American Bus Industries Inc. (formerly Ikarus USA Inc./IKU)</t>
  </si>
  <si>
    <t>NEO - Neoplan - USA Corporation</t>
  </si>
  <si>
    <t>NFA - New Flyer of America</t>
  </si>
  <si>
    <t>NOV - NOVA Bus Corporation</t>
  </si>
  <si>
    <t>OBI - Orion Bus Industries Ltd. (formerly Ontario Bus Industries)</t>
  </si>
  <si>
    <t>OTC - Oshkosh Truck Corporation</t>
  </si>
  <si>
    <t>PCI - Prevost Car Inc.</t>
  </si>
  <si>
    <t>PLY - Plymouth Division-Chrysler Corporation</t>
  </si>
  <si>
    <t>PST - Pullman-Standard</t>
  </si>
  <si>
    <t>PTC - Perley Thomas Car Company</t>
  </si>
  <si>
    <t>RHR - Rohr Corporation</t>
  </si>
  <si>
    <t>SDU - Siemens Mass Transit Division</t>
  </si>
  <si>
    <t>SFB - Societe Franco-Belge De Material</t>
  </si>
  <si>
    <t>SHI - Shepard Brothers Inc.</t>
  </si>
  <si>
    <t>SLC - St. Louis Car Company</t>
  </si>
  <si>
    <t>SOF - Soferval</t>
  </si>
  <si>
    <t>SPC - Startrans (Supreme Corporation)</t>
  </si>
  <si>
    <t>SPC - Supreme Corporation</t>
  </si>
  <si>
    <t>SPR - Spartan Motors Inc.</t>
  </si>
  <si>
    <t>STR - Starcraft</t>
  </si>
  <si>
    <t>SUM - Sumitomo Corporation</t>
  </si>
  <si>
    <t>SVM - Specialty Vehicle Manufacturing Corporation</t>
  </si>
  <si>
    <t>TBB - Thomas Built Buses</t>
  </si>
  <si>
    <t>TEI - Trolley Enterprises Inc.</t>
  </si>
  <si>
    <t>TMC - Transportation Manufacturing Company</t>
  </si>
  <si>
    <t>TTR - Terra Transit</t>
  </si>
  <si>
    <t>TTT - Turtle Top</t>
  </si>
  <si>
    <t>UTD - UTDC Inc.</t>
  </si>
  <si>
    <t>VAN - Van Hool N.V.</t>
  </si>
  <si>
    <t>WAM - Westinghouse-Amrail</t>
  </si>
  <si>
    <t>CEQ - Coach and Equipment Manufacturing Company</t>
  </si>
  <si>
    <t>CHA - Chance Manufacturing Company</t>
  </si>
  <si>
    <t>DIA - Diamond Coach Corporation (formerly Coons Manufacturing)</t>
  </si>
  <si>
    <t>DMC - Dina/Motor Coach Industries (MCI)</t>
  </si>
  <si>
    <t>MCI - Motor Coach Industries International (DINA)</t>
  </si>
  <si>
    <t>MB - Bus</t>
  </si>
  <si>
    <t>RB</t>
  </si>
  <si>
    <t>RB - Bus Rapid Transit</t>
  </si>
  <si>
    <t>CB</t>
  </si>
  <si>
    <t>CB - Commuter Bus</t>
  </si>
  <si>
    <t>DR</t>
  </si>
  <si>
    <t>DR - Demand Response</t>
  </si>
  <si>
    <t>YR</t>
  </si>
  <si>
    <t>JT</t>
  </si>
  <si>
    <t>JT - Jitney</t>
  </si>
  <si>
    <t>MG</t>
  </si>
  <si>
    <t>PB</t>
  </si>
  <si>
    <t>PB - Publico</t>
  </si>
  <si>
    <t>SR</t>
  </si>
  <si>
    <t>VP - Vanpool</t>
  </si>
  <si>
    <t>AR</t>
  </si>
  <si>
    <t>AR - Alaska Railroad</t>
  </si>
  <si>
    <t>Yr. Built or Substantially Reconstructed</t>
  </si>
  <si>
    <t>Select</t>
  </si>
  <si>
    <t>Menu</t>
  </si>
  <si>
    <t>Unit Using</t>
  </si>
  <si>
    <t>Drop-Down</t>
  </si>
  <si>
    <t>FTA New Starts Program Cost Database</t>
  </si>
  <si>
    <t>Average Unit Cost per Element for a Group of Projects</t>
  </si>
  <si>
    <t>Data as of 9/27/2011</t>
  </si>
  <si>
    <t>Average Unit Cost in</t>
  </si>
  <si>
    <t>National Average User</t>
  </si>
  <si>
    <t>Size</t>
  </si>
  <si>
    <t>Average Unit</t>
  </si>
  <si>
    <t>Selected Base Year</t>
  </si>
  <si>
    <t>AIM</t>
  </si>
  <si>
    <t>Cost Category and Element</t>
  </si>
  <si>
    <t>Projects</t>
  </si>
  <si>
    <t>2011</t>
  </si>
  <si>
    <t>Validation</t>
  </si>
  <si>
    <t>Guideway &amp; Track Elements</t>
  </si>
  <si>
    <t>LF Guideway</t>
  </si>
  <si>
    <t>$8,390</t>
  </si>
  <si>
    <t/>
  </si>
  <si>
    <t>10.010</t>
  </si>
  <si>
    <t>Guideway: At-grade exclusive right-of-way</t>
  </si>
  <si>
    <t>43,678</t>
  </si>
  <si>
    <t>$2,981</t>
  </si>
  <si>
    <r>
      <rPr>
        <b/>
        <sz val="8"/>
        <rFont val="Arial"/>
        <family val="2"/>
      </rPr>
      <t>Apples to oranges comparison.</t>
    </r>
    <r>
      <rPr>
        <sz val="8"/>
        <rFont val="Arial"/>
        <family val="2"/>
      </rPr>
      <t xml:space="preserve"> NS database focuses on the degree that traffic mixes with rail on the guideway in its elements whereas AIM focuses on construction type: At-Grade/Ballast; At-Grade/Expressway/Ballast; At-Grade/In-Street/Embedded.</t>
    </r>
  </si>
  <si>
    <t>10.020</t>
  </si>
  <si>
    <t>Guideway: At-grade semi-exclusive (allows cross-traffic)</t>
  </si>
  <si>
    <t>3</t>
  </si>
  <si>
    <t>34,649</t>
  </si>
  <si>
    <t>$2,980</t>
  </si>
  <si>
    <t>see comment above</t>
  </si>
  <si>
    <t>10.030</t>
  </si>
  <si>
    <t>Guideway: At-grade in mixed traffic</t>
  </si>
  <si>
    <t>9</t>
  </si>
  <si>
    <t>12,098</t>
  </si>
  <si>
    <t>$3,282</t>
  </si>
  <si>
    <t>10.040</t>
  </si>
  <si>
    <t>Guideway: Aerial structure</t>
  </si>
  <si>
    <t>324,552</t>
  </si>
  <si>
    <t>$8,494</t>
  </si>
  <si>
    <t>10.041</t>
  </si>
  <si>
    <t>Bridges</t>
  </si>
  <si>
    <t>4</t>
  </si>
  <si>
    <t>1,566</t>
  </si>
  <si>
    <t>$19,037</t>
  </si>
  <si>
    <t>Could we ask them to state guideway length in linear miles or LFG? Can we ask for Guideway length on A-40 form or derive it off the starting/ending points? Conversely, can we logically keep track-miles as the unit for validating guideway construction cost?</t>
  </si>
  <si>
    <t>10.042</t>
  </si>
  <si>
    <t>Viaduct</t>
  </si>
  <si>
    <t>25,659</t>
  </si>
  <si>
    <t>$8,287</t>
  </si>
  <si>
    <t>10.043</t>
  </si>
  <si>
    <t>Other Structure</t>
  </si>
  <si>
    <t>0</t>
  </si>
  <si>
    <t>$0</t>
  </si>
  <si>
    <t>10.044</t>
  </si>
  <si>
    <t>Unspecified</t>
  </si>
  <si>
    <t>3,604</t>
  </si>
  <si>
    <t>$5,651</t>
  </si>
  <si>
    <t>10.050</t>
  </si>
  <si>
    <t>Guideway: Built-up fill</t>
  </si>
  <si>
    <t>7</t>
  </si>
  <si>
    <t>12,161</t>
  </si>
  <si>
    <t>$2,618</t>
  </si>
  <si>
    <t>10.060</t>
  </si>
  <si>
    <t>Guideway: Underground cut &amp; cover</t>
  </si>
  <si>
    <t>5</t>
  </si>
  <si>
    <t>140,071</t>
  </si>
  <si>
    <t>$16,461</t>
  </si>
  <si>
    <t>10.061</t>
  </si>
  <si>
    <t>Cut &amp; Cover Guideway Soft Soils</t>
  </si>
  <si>
    <t>8,849</t>
  </si>
  <si>
    <t>$11,429</t>
  </si>
  <si>
    <t>10.062</t>
  </si>
  <si>
    <t>Cut &amp; Cover Guideway Hard Soils</t>
  </si>
  <si>
    <t>2</t>
  </si>
  <si>
    <t>9,685</t>
  </si>
  <si>
    <t>$14,920</t>
  </si>
  <si>
    <t>10.063</t>
  </si>
  <si>
    <t>Cut &amp; Cover Guideway Vent Soft Soils</t>
  </si>
  <si>
    <t>10.064</t>
  </si>
  <si>
    <t>Cut &amp; Cover Guideway Vent Hard Soils</t>
  </si>
  <si>
    <t>3,971</t>
  </si>
  <si>
    <t>$21,744</t>
  </si>
  <si>
    <t>10.065</t>
  </si>
  <si>
    <t>13,884</t>
  </si>
  <si>
    <t>$16,877</t>
  </si>
  <si>
    <t>10.070</t>
  </si>
  <si>
    <t>Guideway: Underground tunnel</t>
  </si>
  <si>
    <t>143,759</t>
  </si>
  <si>
    <t>$23,063</t>
  </si>
  <si>
    <t>Not specific enough to compare to AIM tunnel types</t>
  </si>
  <si>
    <t>10.071</t>
  </si>
  <si>
    <t>Bored Earth Open</t>
  </si>
  <si>
    <t>13,773</t>
  </si>
  <si>
    <t>$25,346</t>
  </si>
  <si>
    <t>10.072</t>
  </si>
  <si>
    <t>Bored Earth Close</t>
  </si>
  <si>
    <t>1</t>
  </si>
  <si>
    <t>23,880</t>
  </si>
  <si>
    <t>$12,861</t>
  </si>
  <si>
    <t>10.073</t>
  </si>
  <si>
    <t>Bored Earth Mixed Shield</t>
  </si>
  <si>
    <t>5,534</t>
  </si>
  <si>
    <t>$30,201</t>
  </si>
  <si>
    <t>10.074</t>
  </si>
  <si>
    <t>Bored Earth Mixes Shield SEM</t>
  </si>
  <si>
    <t>1,260</t>
  </si>
  <si>
    <t>$49,255</t>
  </si>
  <si>
    <t>10.075</t>
  </si>
  <si>
    <t>Rock Drill &amp; Blast</t>
  </si>
  <si>
    <t>3,750</t>
  </si>
  <si>
    <t>$36,230</t>
  </si>
  <si>
    <t>10.076</t>
  </si>
  <si>
    <t>Rock Boring Machine</t>
  </si>
  <si>
    <t>5,420</t>
  </si>
  <si>
    <t>$14,900</t>
  </si>
  <si>
    <t>10.077</t>
  </si>
  <si>
    <t>Sunken Tunnel</t>
  </si>
  <si>
    <t>10.078</t>
  </si>
  <si>
    <t>14,235</t>
  </si>
  <si>
    <t>$20,938</t>
  </si>
  <si>
    <t>10.080</t>
  </si>
  <si>
    <t>Guideway: Retained cut or fill</t>
  </si>
  <si>
    <t>6,192</t>
  </si>
  <si>
    <t>$9,252</t>
  </si>
  <si>
    <t>10.090</t>
  </si>
  <si>
    <t>Track:    Direct fixation</t>
  </si>
  <si>
    <t>Track Feet</t>
  </si>
  <si>
    <t>50,247</t>
  </si>
  <si>
    <t>$565</t>
  </si>
  <si>
    <t>No track on steel structure cost info in NS Cost Database. see comment above</t>
  </si>
  <si>
    <t>10.100</t>
  </si>
  <si>
    <t>Track:    Embedded</t>
  </si>
  <si>
    <t>29,972</t>
  </si>
  <si>
    <t>$409</t>
  </si>
  <si>
    <t>10.110</t>
  </si>
  <si>
    <t>Track:    Ballasted</t>
  </si>
  <si>
    <t>90,133</t>
  </si>
  <si>
    <t>$432</t>
  </si>
  <si>
    <t>10.120</t>
  </si>
  <si>
    <t>Track:    Special (switches, turnouts)</t>
  </si>
  <si>
    <t>104,020</t>
  </si>
  <si>
    <t>$78</t>
  </si>
  <si>
    <t>Different unit type.</t>
  </si>
  <si>
    <t>10.130</t>
  </si>
  <si>
    <t>Track:    Vibration &amp; Noise Dampening</t>
  </si>
  <si>
    <t>10.140</t>
  </si>
  <si>
    <t>Special Structures</t>
  </si>
  <si>
    <t>88,074</t>
  </si>
  <si>
    <t>$667</t>
  </si>
  <si>
    <t>Stations, Stops, Terminals, Intermodels</t>
  </si>
  <si>
    <t>$36,181,455</t>
  </si>
  <si>
    <t>20.010</t>
  </si>
  <si>
    <t>At-Grade Station, Stop, Shelter, Mall, Terminal, Platform</t>
  </si>
  <si>
    <t>$12,679,690</t>
  </si>
  <si>
    <t>square foot</t>
  </si>
  <si>
    <r>
      <rPr>
        <b/>
        <sz val="8"/>
        <rFont val="Arial"/>
        <family val="2"/>
      </rPr>
      <t xml:space="preserve">Cost per square foot is a normalized value whereas cost per station type is an absolute value. </t>
    </r>
    <r>
      <rPr>
        <sz val="8"/>
        <rFont val="Arial"/>
        <family val="2"/>
      </rPr>
      <t>Need to determine which one to apply. Also, there is no basis for the $15 to $300 range per sq. foot. Can someone suggest a data source if we do end up using cost per square foot?</t>
    </r>
  </si>
  <si>
    <t>20.020</t>
  </si>
  <si>
    <t>Aerial station, stop, shelter, mall, terminal, platform</t>
  </si>
  <si>
    <t>6</t>
  </si>
  <si>
    <t>$42,733,413</t>
  </si>
  <si>
    <t>20.030</t>
  </si>
  <si>
    <t>Underground station, stop, shelter, mall, terminal, platform</t>
  </si>
  <si>
    <t>54</t>
  </si>
  <si>
    <t>$74,117,958</t>
  </si>
  <si>
    <t>20.031</t>
  </si>
  <si>
    <t>Cut and Cover</t>
  </si>
  <si>
    <t>$83,020,442</t>
  </si>
  <si>
    <t>20.032</t>
  </si>
  <si>
    <t>Bored Earth Soft Soils</t>
  </si>
  <si>
    <t>$75,816,208</t>
  </si>
  <si>
    <t>20.033</t>
  </si>
  <si>
    <t>Bored Rock Hard Soils</t>
  </si>
  <si>
    <t>20.034</t>
  </si>
  <si>
    <t>$44,760,324</t>
  </si>
  <si>
    <t>20.040</t>
  </si>
  <si>
    <t>Major stations, landings, terminals:    Intermodal, ferry, trolley, etc.</t>
  </si>
  <si>
    <t>20.050</t>
  </si>
  <si>
    <t>Joint development</t>
  </si>
  <si>
    <t>$43,038</t>
  </si>
  <si>
    <t>20.060</t>
  </si>
  <si>
    <t>Automobile parking multi-story structure</t>
  </si>
  <si>
    <t>2,032</t>
  </si>
  <si>
    <t>$17,590</t>
  </si>
  <si>
    <t>I have set up the AIM spreadsheet to validate the reported cost of parking structures by either cost per sq. foot or cost per parking space. Should we leave the option of validating by parking space or sq foot / or keep just by sq feet? I think it makes sense to validate by $ per parking space. I've seen spaces as a common unit of measure for the cost of parking structures.</t>
  </si>
  <si>
    <t>20.070</t>
  </si>
  <si>
    <t>Elevators, escalators</t>
  </si>
  <si>
    <t>8</t>
  </si>
  <si>
    <t>171</t>
  </si>
  <si>
    <t>$1,097,118</t>
  </si>
  <si>
    <t>20.071</t>
  </si>
  <si>
    <t>$1,015,916</t>
  </si>
  <si>
    <t>Not comparable validation measure. NS and HSC show a cost per elevator or escalator whereas the AIM is set up to cap it at 1% of the facility cost per passenger station and between 3% to 5% for passenger parking facilities.</t>
  </si>
  <si>
    <t>20.072</t>
  </si>
  <si>
    <t>$1,034,219</t>
  </si>
  <si>
    <t>see above</t>
  </si>
  <si>
    <t>20.073</t>
  </si>
  <si>
    <t>20.080</t>
  </si>
  <si>
    <t>Passenger Overpass</t>
  </si>
  <si>
    <t>$3,992,625</t>
  </si>
  <si>
    <t>Non comparable validation measure - capped between 3% to 5% for a passenger facility cost.</t>
  </si>
  <si>
    <t>20.090</t>
  </si>
  <si>
    <t>Underground Interconnecting Tunnel</t>
  </si>
  <si>
    <t>20.091</t>
  </si>
  <si>
    <t>20.092</t>
  </si>
  <si>
    <t>20.093</t>
  </si>
  <si>
    <t>20.094</t>
  </si>
  <si>
    <t>20.100</t>
  </si>
  <si>
    <t>Signage and Graphics</t>
  </si>
  <si>
    <t>$569,887</t>
  </si>
  <si>
    <t>Support Facilities: Yards, Shops, Admin. Bldgs</t>
  </si>
  <si>
    <t>$1,216,647</t>
  </si>
  <si>
    <t>30.010</t>
  </si>
  <si>
    <t>Administration Building:    Office, sales, storage, revenue counting</t>
  </si>
  <si>
    <t>1,979,036</t>
  </si>
  <si>
    <t>$394</t>
  </si>
  <si>
    <t>30.011</t>
  </si>
  <si>
    <t>Administrative Building</t>
  </si>
  <si>
    <t>61,120</t>
  </si>
  <si>
    <t>$425</t>
  </si>
  <si>
    <t>I suspect that NS Cost Database divided the cost of admin facilities related to rail expansion projects and divided by the LFG. I don't think we can use the LFG unit cost for existing admin facilities; need to stick with $ per sq. foot.</t>
  </si>
  <si>
    <t>30.012</t>
  </si>
  <si>
    <t>Central Control Facility</t>
  </si>
  <si>
    <t>98,641</t>
  </si>
  <si>
    <t>$333</t>
  </si>
  <si>
    <t>30.013</t>
  </si>
  <si>
    <t>Central Revenue Counting Facility</t>
  </si>
  <si>
    <t>30.014</t>
  </si>
  <si>
    <t>30.020</t>
  </si>
  <si>
    <t>Light Maintenance Facility</t>
  </si>
  <si>
    <t>73</t>
  </si>
  <si>
    <t>$555,724</t>
  </si>
  <si>
    <t>NS is using a vehicle capacity measure to validate cost but we use a facility size measure (sq. feet). We do not ask for vehicle capacity in AIM.</t>
  </si>
  <si>
    <t>30.030</t>
  </si>
  <si>
    <t>Heavy Maintenance Facility</t>
  </si>
  <si>
    <t>71</t>
  </si>
  <si>
    <t>$841,865</t>
  </si>
  <si>
    <t>30.040</t>
  </si>
  <si>
    <t>Storage or Maintenance of Way Building</t>
  </si>
  <si>
    <t>69,659</t>
  </si>
  <si>
    <t>$382</t>
  </si>
  <si>
    <t>30.050</t>
  </si>
  <si>
    <t>Yard and Yard Track</t>
  </si>
  <si>
    <t>76,531</t>
  </si>
  <si>
    <t>$480</t>
  </si>
  <si>
    <t>Sitework &amp; Special Conditions</t>
  </si>
  <si>
    <t>$1,963</t>
  </si>
  <si>
    <t>40.010</t>
  </si>
  <si>
    <t>Demolition, Clearing, Earthwork</t>
  </si>
  <si>
    <t>56,321</t>
  </si>
  <si>
    <t>$680</t>
  </si>
  <si>
    <t>40.020</t>
  </si>
  <si>
    <t>Site Utilities, Utility Relocation</t>
  </si>
  <si>
    <t>$522</t>
  </si>
  <si>
    <t>40.021</t>
  </si>
  <si>
    <t>Urban Replacement In-Kind Public Utilities</t>
  </si>
  <si>
    <t>62,091</t>
  </si>
  <si>
    <t>$615</t>
  </si>
  <si>
    <t>40.022</t>
  </si>
  <si>
    <t>Urban Replacement In-Kind Private Utilities</t>
  </si>
  <si>
    <t>74,489</t>
  </si>
  <si>
    <t>$82</t>
  </si>
  <si>
    <t>40.023</t>
  </si>
  <si>
    <t>Urban Replacement Betterment Public Utilities</t>
  </si>
  <si>
    <t>91,352</t>
  </si>
  <si>
    <t>$111</t>
  </si>
  <si>
    <t>40.024</t>
  </si>
  <si>
    <t>Urban Replacement Betterment Private Utilities</t>
  </si>
  <si>
    <t>98,012</t>
  </si>
  <si>
    <t>$128</t>
  </si>
  <si>
    <t>40.025</t>
  </si>
  <si>
    <t>Suburban Replacement In-Kind Public Utilities</t>
  </si>
  <si>
    <t>62,345</t>
  </si>
  <si>
    <t>$254</t>
  </si>
  <si>
    <t>40.026</t>
  </si>
  <si>
    <t>Suburban Replacement In-Kind Private Utilities</t>
  </si>
  <si>
    <t>79,221</t>
  </si>
  <si>
    <t>$39</t>
  </si>
  <si>
    <t>40.027</t>
  </si>
  <si>
    <t>Suburban Replacement Betterment Public Utilities</t>
  </si>
  <si>
    <t>40.028</t>
  </si>
  <si>
    <t>Suburban Replacement Betterment Private Utilities</t>
  </si>
  <si>
    <t>40.029</t>
  </si>
  <si>
    <t>61,289</t>
  </si>
  <si>
    <t>$528</t>
  </si>
  <si>
    <t>40.030</t>
  </si>
  <si>
    <t>Haz. mat'l, contam'd soil removal/mitigation, ground water</t>
  </si>
  <si>
    <t>$223</t>
  </si>
  <si>
    <t>40.031</t>
  </si>
  <si>
    <t>HazMat Abatement</t>
  </si>
  <si>
    <t>15,500</t>
  </si>
  <si>
    <t>$20</t>
  </si>
  <si>
    <t>40.032</t>
  </si>
  <si>
    <t>Contaminated Soil Removal</t>
  </si>
  <si>
    <t>64,368</t>
  </si>
  <si>
    <t>$728</t>
  </si>
  <si>
    <t>40.033</t>
  </si>
  <si>
    <t>Ground Water Treatment</t>
  </si>
  <si>
    <t>40.034</t>
  </si>
  <si>
    <t>67,144</t>
  </si>
  <si>
    <t>$21</t>
  </si>
  <si>
    <t>40.040</t>
  </si>
  <si>
    <t>Environmental mitigation, e.g. wetlands, historic/archeologic, parks</t>
  </si>
  <si>
    <t>57,117</t>
  </si>
  <si>
    <t>$242</t>
  </si>
  <si>
    <t>40.050</t>
  </si>
  <si>
    <t>Site structures including retaining walls, sound walls</t>
  </si>
  <si>
    <t>40.051</t>
  </si>
  <si>
    <t>Mechanically Stabilized Earth Walls</t>
  </si>
  <si>
    <t>40.052</t>
  </si>
  <si>
    <t>Concrete Walls</t>
  </si>
  <si>
    <t>93,609</t>
  </si>
  <si>
    <t>40.053</t>
  </si>
  <si>
    <t>Other Walls</t>
  </si>
  <si>
    <t>40.054</t>
  </si>
  <si>
    <t>40.060</t>
  </si>
  <si>
    <t>Pedestrian / bike access and accommodation, landscaping</t>
  </si>
  <si>
    <t>54,270</t>
  </si>
  <si>
    <t>$201</t>
  </si>
  <si>
    <t>40.070</t>
  </si>
  <si>
    <t>Automobile, bus, van accessways including roads, parking lots</t>
  </si>
  <si>
    <t>19,527</t>
  </si>
  <si>
    <t>$96,881</t>
  </si>
  <si>
    <t>40.071</t>
  </si>
  <si>
    <t>1,627</t>
  </si>
  <si>
    <t>$10,973</t>
  </si>
  <si>
    <t>40.072</t>
  </si>
  <si>
    <t>Auto Access</t>
  </si>
  <si>
    <t>1,368</t>
  </si>
  <si>
    <t>$7,209,410</t>
  </si>
  <si>
    <t>40.073</t>
  </si>
  <si>
    <t>Bus Access</t>
  </si>
  <si>
    <t>$901,577</t>
  </si>
  <si>
    <t>40.074</t>
  </si>
  <si>
    <t>Bus Parking and Berthing</t>
  </si>
  <si>
    <t>40.075</t>
  </si>
  <si>
    <t>40.080</t>
  </si>
  <si>
    <t>Temporary Facilities and other indirect costs during construction</t>
  </si>
  <si>
    <t>$492</t>
  </si>
  <si>
    <t>40.081</t>
  </si>
  <si>
    <t>Roadway Changes</t>
  </si>
  <si>
    <t>77,051</t>
  </si>
  <si>
    <t>$354</t>
  </si>
  <si>
    <t>40.082</t>
  </si>
  <si>
    <t>Third-Party Work</t>
  </si>
  <si>
    <t>42,999</t>
  </si>
  <si>
    <t>$457</t>
  </si>
  <si>
    <t>40.083</t>
  </si>
  <si>
    <t>Mobilization</t>
  </si>
  <si>
    <t>65,369</t>
  </si>
  <si>
    <t>$630</t>
  </si>
  <si>
    <t>40.084</t>
  </si>
  <si>
    <t>Maintenance of Traffic</t>
  </si>
  <si>
    <t>46,874</t>
  </si>
  <si>
    <t>$79</t>
  </si>
  <si>
    <t>40.085</t>
  </si>
  <si>
    <t>Unallocated Indirect Costs</t>
  </si>
  <si>
    <t>40.086</t>
  </si>
  <si>
    <t>22,600</t>
  </si>
  <si>
    <t>$557</t>
  </si>
  <si>
    <t>Systems</t>
  </si>
  <si>
    <t>$1,211</t>
  </si>
  <si>
    <t>50.010</t>
  </si>
  <si>
    <t>Train control and signals</t>
  </si>
  <si>
    <t>3,819,574</t>
  </si>
  <si>
    <t>$576</t>
  </si>
  <si>
    <t>50.011</t>
  </si>
  <si>
    <t>Train Control - Wayside</t>
  </si>
  <si>
    <t>111,976</t>
  </si>
  <si>
    <t>$618</t>
  </si>
  <si>
    <t>Is this the systemwide cost? Perhaps we need a more apparent unit type name like "system". We might run into problems that otherwise compatible portions of the system were installed in diferent eras, thus, have different replacement costs, but hopefully user can report a ballpark figure.</t>
  </si>
  <si>
    <t>50.012</t>
  </si>
  <si>
    <t>Train Control - On Board Systems</t>
  </si>
  <si>
    <t>74,780</t>
  </si>
  <si>
    <t>$84</t>
  </si>
  <si>
    <t>50.013</t>
  </si>
  <si>
    <t>Train Control - Centralized Systems</t>
  </si>
  <si>
    <t>89,525</t>
  </si>
  <si>
    <t>$170</t>
  </si>
  <si>
    <t>50.014</t>
  </si>
  <si>
    <t>50.020</t>
  </si>
  <si>
    <t>Traffic signals and crossing protection</t>
  </si>
  <si>
    <t>135,172</t>
  </si>
  <si>
    <t>$135</t>
  </si>
  <si>
    <t>50.030</t>
  </si>
  <si>
    <t>Traction power supply:    substations</t>
  </si>
  <si>
    <t>103,916</t>
  </si>
  <si>
    <t>$315</t>
  </si>
  <si>
    <t>50.040</t>
  </si>
  <si>
    <t>Traction power distribution:    catenary and third rail</t>
  </si>
  <si>
    <t>$377</t>
  </si>
  <si>
    <t>50.041</t>
  </si>
  <si>
    <t>Catenary</t>
  </si>
  <si>
    <t>135,701</t>
  </si>
  <si>
    <t>$182</t>
  </si>
  <si>
    <t>50.042</t>
  </si>
  <si>
    <t>Third Rail</t>
  </si>
  <si>
    <t>82,009</t>
  </si>
  <si>
    <t>50.043</t>
  </si>
  <si>
    <t>Power Distribution and Connections</t>
  </si>
  <si>
    <t>73,466</t>
  </si>
  <si>
    <t>$54</t>
  </si>
  <si>
    <t>50.044</t>
  </si>
  <si>
    <t>74,250</t>
  </si>
  <si>
    <t>$178</t>
  </si>
  <si>
    <t>50.050</t>
  </si>
  <si>
    <t>Communications</t>
  </si>
  <si>
    <t>$355</t>
  </si>
  <si>
    <t>50.051</t>
  </si>
  <si>
    <t>Wired</t>
  </si>
  <si>
    <t>50.052</t>
  </si>
  <si>
    <t>Radio Based</t>
  </si>
  <si>
    <t>50.053</t>
  </si>
  <si>
    <t>112,824</t>
  </si>
  <si>
    <t>50.060</t>
  </si>
  <si>
    <t>Fare collection system and equipment</t>
  </si>
  <si>
    <t>409</t>
  </si>
  <si>
    <t>$517,281</t>
  </si>
  <si>
    <t>50.061</t>
  </si>
  <si>
    <t>Central Revenue Counting Systems</t>
  </si>
  <si>
    <t>$137,415</t>
  </si>
  <si>
    <t>No quantity required, thus, no unit type. Still, this is the systemwide cost, so perhaps we need to make it obvious that we're asking for the across-the-agency "system" cost. Again, hopefully, user can report a ballpark figure.</t>
  </si>
  <si>
    <t>50.062</t>
  </si>
  <si>
    <t>Revenue Collection - In Station</t>
  </si>
  <si>
    <t>12,263</t>
  </si>
  <si>
    <t>$551,878</t>
  </si>
  <si>
    <t>50.063</t>
  </si>
  <si>
    <t>Revenue Collection - On Vehicle</t>
  </si>
  <si>
    <t>$4,104</t>
  </si>
  <si>
    <t>50.064</t>
  </si>
  <si>
    <t>$54,737</t>
  </si>
  <si>
    <t>50.070</t>
  </si>
  <si>
    <t>Central Control System</t>
  </si>
  <si>
    <t>78,848</t>
  </si>
  <si>
    <t>$101</t>
  </si>
  <si>
    <t>60</t>
  </si>
  <si>
    <t>Row, Land, Existing Improvements</t>
  </si>
  <si>
    <t>$3,067</t>
  </si>
  <si>
    <t>60.010</t>
  </si>
  <si>
    <t>Purchase or lease of real estate</t>
  </si>
  <si>
    <t>$2,517</t>
  </si>
  <si>
    <t>60.011</t>
  </si>
  <si>
    <t>Full Takes</t>
  </si>
  <si>
    <t>35,386</t>
  </si>
  <si>
    <t>$5,074</t>
  </si>
  <si>
    <t>60.012</t>
  </si>
  <si>
    <t>Part Takes</t>
  </si>
  <si>
    <t>60.013</t>
  </si>
  <si>
    <t>Easement Acquisitions</t>
  </si>
  <si>
    <t>60.014</t>
  </si>
  <si>
    <t>Other Rights</t>
  </si>
  <si>
    <t>79,200</t>
  </si>
  <si>
    <t>$467</t>
  </si>
  <si>
    <t>60.015</t>
  </si>
  <si>
    <t>Donated Value</t>
  </si>
  <si>
    <t>59,213</t>
  </si>
  <si>
    <t>$650</t>
  </si>
  <si>
    <t>60.016</t>
  </si>
  <si>
    <t>59,826</t>
  </si>
  <si>
    <t>$2,115</t>
  </si>
  <si>
    <t>60.020</t>
  </si>
  <si>
    <t>Relocation of existing households and businesses</t>
  </si>
  <si>
    <t>$633</t>
  </si>
  <si>
    <t>60.021</t>
  </si>
  <si>
    <t>Residential (Owners)</t>
  </si>
  <si>
    <t>60.022</t>
  </si>
  <si>
    <t>Residential (Tenants)</t>
  </si>
  <si>
    <t>60.023</t>
  </si>
  <si>
    <t>Business (Owners and Tenants)</t>
  </si>
  <si>
    <t>60.024</t>
  </si>
  <si>
    <t>Others (Personal Property Moves)</t>
  </si>
  <si>
    <t>60.025</t>
  </si>
  <si>
    <t>56,439</t>
  </si>
  <si>
    <t>60.030</t>
  </si>
  <si>
    <t>Services</t>
  </si>
  <si>
    <t>$49</t>
  </si>
  <si>
    <t>60.031</t>
  </si>
  <si>
    <t>Property Management</t>
  </si>
  <si>
    <t>71,197</t>
  </si>
  <si>
    <t>$22</t>
  </si>
  <si>
    <t>60.032</t>
  </si>
  <si>
    <t>58,114</t>
  </si>
  <si>
    <t>$48</t>
  </si>
  <si>
    <t>60.033</t>
  </si>
  <si>
    <t>Contractor R/W Services (Title/Appraisal, etc)</t>
  </si>
  <si>
    <t>70,974</t>
  </si>
  <si>
    <t>$58</t>
  </si>
  <si>
    <t>60.034</t>
  </si>
  <si>
    <t>Legal Services</t>
  </si>
  <si>
    <t>45,445</t>
  </si>
  <si>
    <t>$317</t>
  </si>
  <si>
    <t>60.035</t>
  </si>
  <si>
    <t>39,400</t>
  </si>
  <si>
    <t>$47</t>
  </si>
  <si>
    <t>60.040</t>
  </si>
  <si>
    <t>Other Real Estate Costs</t>
  </si>
  <si>
    <t>32,139</t>
  </si>
  <si>
    <t>$656</t>
  </si>
  <si>
    <t>70</t>
  </si>
  <si>
    <t>$3,506,934</t>
  </si>
  <si>
    <t>70.010</t>
  </si>
  <si>
    <t>Light Rail</t>
  </si>
  <si>
    <t>479</t>
  </si>
  <si>
    <t>$3,796,751</t>
  </si>
  <si>
    <t>70.011</t>
  </si>
  <si>
    <t>Static</t>
  </si>
  <si>
    <t>$2,737,541</t>
  </si>
  <si>
    <t>70.012</t>
  </si>
  <si>
    <t>Articulated</t>
  </si>
  <si>
    <t>$4,020,065</t>
  </si>
  <si>
    <t>70.013</t>
  </si>
  <si>
    <t>$3,840,507</t>
  </si>
  <si>
    <t>70.020</t>
  </si>
  <si>
    <t>1,053</t>
  </si>
  <si>
    <t>$2,991,666</t>
  </si>
  <si>
    <t>70.021</t>
  </si>
  <si>
    <t>Small Scale</t>
  </si>
  <si>
    <t>88</t>
  </si>
  <si>
    <t>$1,550,140</t>
  </si>
  <si>
    <t>70.022</t>
  </si>
  <si>
    <t>Large Scale</t>
  </si>
  <si>
    <t>97</t>
  </si>
  <si>
    <t>$3,135,819</t>
  </si>
  <si>
    <t>70.023</t>
  </si>
  <si>
    <t>70.030</t>
  </si>
  <si>
    <t>Commuter Rail</t>
  </si>
  <si>
    <t>70.031</t>
  </si>
  <si>
    <t>Locomotive</t>
  </si>
  <si>
    <t>70.032</t>
  </si>
  <si>
    <t>Passenger Car</t>
  </si>
  <si>
    <t>70.033</t>
  </si>
  <si>
    <t>Bi-Level Passenger Car</t>
  </si>
  <si>
    <t>70.034</t>
  </si>
  <si>
    <t>Self-Propelled Passenger Car</t>
  </si>
  <si>
    <t>70.035</t>
  </si>
  <si>
    <t>70.040</t>
  </si>
  <si>
    <t>Bus</t>
  </si>
  <si>
    <t>70.041</t>
  </si>
  <si>
    <t>Small Bus</t>
  </si>
  <si>
    <t>70.042</t>
  </si>
  <si>
    <t>Standard 40 Foot Bus</t>
  </si>
  <si>
    <t>70.043</t>
  </si>
  <si>
    <t>Articulated Bus</t>
  </si>
  <si>
    <t>70.044</t>
  </si>
  <si>
    <t>70.050</t>
  </si>
  <si>
    <t>Other Vehicles</t>
  </si>
  <si>
    <t>70.060</t>
  </si>
  <si>
    <t>Non-revenue vehicles</t>
  </si>
  <si>
    <t>1,532</t>
  </si>
  <si>
    <t>$51,384</t>
  </si>
  <si>
    <t>70.061</t>
  </si>
  <si>
    <t>Maintenance of Way Vehicles</t>
  </si>
  <si>
    <t>93</t>
  </si>
  <si>
    <t>$43,294</t>
  </si>
  <si>
    <t>$100 million seems very high for a per vehicle cost</t>
  </si>
  <si>
    <t>70.062</t>
  </si>
  <si>
    <t>Automobiles</t>
  </si>
  <si>
    <t>$13,909</t>
  </si>
  <si>
    <t>70.063</t>
  </si>
  <si>
    <t>Trucks</t>
  </si>
  <si>
    <t>116</t>
  </si>
  <si>
    <t>$2,434</t>
  </si>
  <si>
    <t>70.064</t>
  </si>
  <si>
    <t>$157,795</t>
  </si>
  <si>
    <t>70.070</t>
  </si>
  <si>
    <t>Spare parts/ Rotable Components</t>
  </si>
  <si>
    <t>$39,124</t>
  </si>
  <si>
    <t>80</t>
  </si>
  <si>
    <t>Professional Services</t>
  </si>
  <si>
    <t>Hard Costs</t>
  </si>
  <si>
    <t>80.010</t>
  </si>
  <si>
    <t>Preliminary Engineering</t>
  </si>
  <si>
    <t>5.37%</t>
  </si>
  <si>
    <t>80.020</t>
  </si>
  <si>
    <t>Final Design</t>
  </si>
  <si>
    <t>11.28%</t>
  </si>
  <si>
    <t>80.030</t>
  </si>
  <si>
    <t>Project Management for Design and Construction</t>
  </si>
  <si>
    <t>0.00%</t>
  </si>
  <si>
    <t>80.031</t>
  </si>
  <si>
    <t>Agency Project Management</t>
  </si>
  <si>
    <t>7.92%</t>
  </si>
  <si>
    <t>80.032</t>
  </si>
  <si>
    <t>Project Management Oversight Support</t>
  </si>
  <si>
    <t>2.11%</t>
  </si>
  <si>
    <t>80.033</t>
  </si>
  <si>
    <t>Agency Force Account</t>
  </si>
  <si>
    <t>8.56%</t>
  </si>
  <si>
    <t>80.034</t>
  </si>
  <si>
    <t>15.82%</t>
  </si>
  <si>
    <t>80.040</t>
  </si>
  <si>
    <t>Construction Administration &amp; Management</t>
  </si>
  <si>
    <t>10.37%</t>
  </si>
  <si>
    <t>80.050</t>
  </si>
  <si>
    <t>Professional Liability and other Non-Construction Insurance</t>
  </si>
  <si>
    <t>4.52%</t>
  </si>
  <si>
    <t>80.060</t>
  </si>
  <si>
    <t>Legal; Permits; Review Fees by other agencies, cities, etc.</t>
  </si>
  <si>
    <t>2.52%</t>
  </si>
  <si>
    <t>80.070</t>
  </si>
  <si>
    <t>Surveys, Testing, Investigation, Inspection</t>
  </si>
  <si>
    <t>0.46%</t>
  </si>
  <si>
    <t>80.080</t>
  </si>
  <si>
    <t>Start up</t>
  </si>
  <si>
    <t>80.081</t>
  </si>
  <si>
    <t>Training/Start-up</t>
  </si>
  <si>
    <t>2.53%</t>
  </si>
  <si>
    <t>80.082</t>
  </si>
  <si>
    <t>Safety Certification</t>
  </si>
  <si>
    <t>0.65%</t>
  </si>
  <si>
    <t>80.083</t>
  </si>
  <si>
    <t>Off-Site Vehicle Testing, Test Runs</t>
  </si>
  <si>
    <t>1.63%</t>
  </si>
  <si>
    <t>80.084</t>
  </si>
  <si>
    <t>Commissioning</t>
  </si>
  <si>
    <t>80.085</t>
  </si>
  <si>
    <t>2.15%</t>
  </si>
  <si>
    <t>80.090</t>
  </si>
  <si>
    <t>Other</t>
  </si>
  <si>
    <t>1.06%</t>
  </si>
  <si>
    <t>2010 APTA Vehicle Report (pg 143)</t>
  </si>
  <si>
    <t>Bus, articulated (&gt;=55')</t>
  </si>
  <si>
    <t>Vanpool small vehicle</t>
  </si>
  <si>
    <t>Bus, intercity</t>
  </si>
  <si>
    <t>Bus, transit</t>
  </si>
  <si>
    <t>Bus, double-deck</t>
  </si>
  <si>
    <t>Ferryboat</t>
  </si>
  <si>
    <t>Rail car, non-articulated, 1 level, 0 cab</t>
  </si>
  <si>
    <t>Rail car, single articulated, 1 level, 2 cabs</t>
  </si>
  <si>
    <t>Locomotive Diesel Fuel</t>
  </si>
  <si>
    <t>CRL</t>
  </si>
  <si>
    <t>Rail car, non-articulated, 1 level, 1 cab</t>
  </si>
  <si>
    <t>None purchased in 2009 or 2010</t>
  </si>
  <si>
    <t>Bus, trolley replica</t>
  </si>
  <si>
    <t>Track Foot</t>
  </si>
  <si>
    <t>Round</t>
  </si>
  <si>
    <t>Assumed</t>
  </si>
  <si>
    <t>No. Tracks</t>
  </si>
  <si>
    <t>Assumed No. Track Feet</t>
  </si>
  <si>
    <t>per Track Mile</t>
  </si>
  <si>
    <t>Track Mile</t>
  </si>
  <si>
    <t>Element</t>
  </si>
  <si>
    <t>Increase</t>
  </si>
  <si>
    <t>Decrease</t>
  </si>
  <si>
    <t>see worksheet</t>
  </si>
  <si>
    <t>Per Facility</t>
  </si>
  <si>
    <t>Directional Route Miles (Low)</t>
  </si>
  <si>
    <t>Directional Route Miles (High)</t>
  </si>
  <si>
    <t>$ Parking Space (Low)</t>
  </si>
  <si>
    <t>$ Parking Space (High)</t>
  </si>
  <si>
    <t>Divide by</t>
  </si>
  <si>
    <t>Systemwide</t>
  </si>
  <si>
    <t>Parking Spaces (Low)</t>
  </si>
  <si>
    <t>Parking Spaces (High)</t>
  </si>
  <si>
    <t>Cost Low</t>
  </si>
  <si>
    <t>Cost High</t>
  </si>
  <si>
    <t>Notes:</t>
  </si>
  <si>
    <t>Mark "X" if Total Replacement Cost covers:</t>
  </si>
  <si>
    <r>
      <t xml:space="preserve">Form Name: </t>
    </r>
    <r>
      <rPr>
        <sz val="12"/>
        <color theme="3"/>
        <rFont val="Arial"/>
        <family val="2"/>
      </rPr>
      <t>Agency Identification (A-00)</t>
    </r>
  </si>
  <si>
    <t>Italicized Field Name = Auto-calculated Field</t>
  </si>
  <si>
    <t>Select urbanized area(s) to indicate the location of rail infrastructure used in reported rail transit service</t>
  </si>
  <si>
    <t xml:space="preserve">Square </t>
  </si>
  <si>
    <t>or Parking</t>
  </si>
  <si>
    <t>Quantity:</t>
  </si>
  <si>
    <t>Unit :</t>
  </si>
  <si>
    <t>RMM</t>
  </si>
  <si>
    <t xml:space="preserve">Feet or </t>
  </si>
  <si>
    <r>
      <t xml:space="preserve">Form Name: </t>
    </r>
    <r>
      <rPr>
        <sz val="12"/>
        <color theme="3"/>
        <rFont val="Arial"/>
        <family val="2"/>
      </rPr>
      <t>Administrative and Maintenance Facility Inventory (A-10)</t>
    </r>
  </si>
  <si>
    <t>Administrative and</t>
  </si>
  <si>
    <t>Maintenance</t>
  </si>
  <si>
    <t>Reconstructed</t>
  </si>
  <si>
    <t>(as new)</t>
  </si>
  <si>
    <t>RMM – Transit Rail Mode/Ferry</t>
  </si>
  <si>
    <t>RMM – Transit Rail Mode/Amtrak</t>
  </si>
  <si>
    <t>RMM – Transit Rail Mode/Airport</t>
  </si>
  <si>
    <t>RMM – Transit Rail Mode/Intercity Bus</t>
  </si>
  <si>
    <t>CU - Cutaway Bus</t>
  </si>
  <si>
    <t>RT - Rubber-tire vintage trolley</t>
  </si>
  <si>
    <t>MB - Mini-bus</t>
  </si>
  <si>
    <t>MV - Mini-van</t>
  </si>
  <si>
    <t>Vehicle Washing Facility</t>
  </si>
  <si>
    <t>Vehicle Fueling Facility</t>
  </si>
  <si>
    <t xml:space="preserve">1-New York-Newark, NY-NJ-CT                                   </t>
  </si>
  <si>
    <t xml:space="preserve">2-Los Angeles-Long Beach-Santa Ana, CA                        </t>
  </si>
  <si>
    <t xml:space="preserve">3-Chicago, IL-IN                                              </t>
  </si>
  <si>
    <t xml:space="preserve">4-Philadelphia, PA-NJ-DE-MD                                   </t>
  </si>
  <si>
    <t xml:space="preserve">5-Miami, FL                                                   </t>
  </si>
  <si>
    <t xml:space="preserve">6-Dallas-Fort Worth-Arlington, TX                             </t>
  </si>
  <si>
    <t xml:space="preserve">7-Boston, MA-NH-RI                                            </t>
  </si>
  <si>
    <t xml:space="preserve">8-Washington, DC-VA-MD                                        </t>
  </si>
  <si>
    <t xml:space="preserve">9-Detroit, MI                                                 </t>
  </si>
  <si>
    <t xml:space="preserve">10-Houston, TX                                                 </t>
  </si>
  <si>
    <t xml:space="preserve">11-Atlanta, GA                                                 </t>
  </si>
  <si>
    <t xml:space="preserve">12-San Francisco-Oakland, CA                                   </t>
  </si>
  <si>
    <t xml:space="preserve">13-Phoenix-Mesa, AZ                                            </t>
  </si>
  <si>
    <t xml:space="preserve">14-Seattle, WA                                                 </t>
  </si>
  <si>
    <t xml:space="preserve">15-San Diego, CA                                               </t>
  </si>
  <si>
    <t xml:space="preserve">16-Minneapolis-St. Paul, MN                                    </t>
  </si>
  <si>
    <t xml:space="preserve">17-St. Louis, MO-IL                                            </t>
  </si>
  <si>
    <t xml:space="preserve">18-Baltimore, MD                                               </t>
  </si>
  <si>
    <t xml:space="preserve">19-Tampa-St. Petersburg, FL                                    </t>
  </si>
  <si>
    <t xml:space="preserve">20-Denver-Aurora, CO                                           </t>
  </si>
  <si>
    <t xml:space="preserve">21-Cleveland, OH                                               </t>
  </si>
  <si>
    <t xml:space="preserve">22-Pittsburgh, PA                                              </t>
  </si>
  <si>
    <t xml:space="preserve">23-Portland, OR-WA                                             </t>
  </si>
  <si>
    <t xml:space="preserve">24-San Jose, CA                                                </t>
  </si>
  <si>
    <t xml:space="preserve">25-Riverside-San Bernardino, CA                                </t>
  </si>
  <si>
    <t xml:space="preserve">26-Cincinnati, OH-KY-IN                                        </t>
  </si>
  <si>
    <t xml:space="preserve">27-Virginia Beach, VA                                          </t>
  </si>
  <si>
    <t xml:space="preserve">28-Sacramento, CA                                              </t>
  </si>
  <si>
    <t xml:space="preserve">29-Kansas City, MO-KS                                          </t>
  </si>
  <si>
    <t xml:space="preserve">30-San Antonio, TX                                             </t>
  </si>
  <si>
    <t xml:space="preserve">31-Las Vegas, NV                                               </t>
  </si>
  <si>
    <t xml:space="preserve">32-Milwaukee, WI                                               </t>
  </si>
  <si>
    <t xml:space="preserve">33-Indianapolis, IN                                            </t>
  </si>
  <si>
    <t xml:space="preserve">34-Providence, RI-MA                                           </t>
  </si>
  <si>
    <t xml:space="preserve">35-Orlando, FL                                                 </t>
  </si>
  <si>
    <t xml:space="preserve">36-Columbus, OH                                                </t>
  </si>
  <si>
    <t xml:space="preserve">37-New Orleans, LA                                             </t>
  </si>
  <si>
    <t xml:space="preserve">38-Buffalo, NY                                                 </t>
  </si>
  <si>
    <t xml:space="preserve">39-Memphis, TN-MS-AR                                           </t>
  </si>
  <si>
    <t xml:space="preserve">40-Austin, TX                                                  </t>
  </si>
  <si>
    <t xml:space="preserve">41-Bridgeport-Stamford, CT-NY                                  </t>
  </si>
  <si>
    <t xml:space="preserve">42-Salt Lake City, UT                                          </t>
  </si>
  <si>
    <t xml:space="preserve">43-Jacksonville, FL                                            </t>
  </si>
  <si>
    <t xml:space="preserve">44-Louisville, KY-IN                                           </t>
  </si>
  <si>
    <t xml:space="preserve">45-Hartford, CT                                                </t>
  </si>
  <si>
    <t xml:space="preserve">46-Richmond, VA                                                </t>
  </si>
  <si>
    <t xml:space="preserve">47-Charlotte, NC-SC                                            </t>
  </si>
  <si>
    <t xml:space="preserve">48-Nashville-Davidson, TN                                      </t>
  </si>
  <si>
    <t xml:space="preserve">49-Oklahoma City, OK                                           </t>
  </si>
  <si>
    <t xml:space="preserve">50-Tucson, AZ                                                  </t>
  </si>
  <si>
    <t xml:space="preserve">51-Honolulu, HI                                                </t>
  </si>
  <si>
    <t xml:space="preserve">52-Dayton, OH                                                  </t>
  </si>
  <si>
    <t xml:space="preserve">53-Rochester, NY                                               </t>
  </si>
  <si>
    <t xml:space="preserve">54-El Paso, TX-NM                                              </t>
  </si>
  <si>
    <t xml:space="preserve">55-Birmingham, AL                                              </t>
  </si>
  <si>
    <t xml:space="preserve">56-Omaha, NE-IA                                                </t>
  </si>
  <si>
    <t xml:space="preserve">57-Albuquerque, NM                                             </t>
  </si>
  <si>
    <t xml:space="preserve">58-Allentown-Bethlehem, PA-NJ                                  </t>
  </si>
  <si>
    <t xml:space="preserve">59-Springfield, MA-CT                                          </t>
  </si>
  <si>
    <t xml:space="preserve">60-Akron, OH                                                   </t>
  </si>
  <si>
    <t xml:space="preserve">61-Sarasota-Bradenton, FL                                      </t>
  </si>
  <si>
    <t xml:space="preserve">62-Albany, NY                                                  </t>
  </si>
  <si>
    <t xml:space="preserve">63-Tulsa, OK                                                   </t>
  </si>
  <si>
    <t xml:space="preserve">64-Fresno, CA                                                  </t>
  </si>
  <si>
    <t xml:space="preserve">65-Concord, CA                                                 </t>
  </si>
  <si>
    <t xml:space="preserve">66-Raleigh, NC                                                 </t>
  </si>
  <si>
    <t xml:space="preserve">67-Grand Rapids, MI                                            </t>
  </si>
  <si>
    <t xml:space="preserve">68-Mission Viejo, CA                                           </t>
  </si>
  <si>
    <t xml:space="preserve">69-New Haven, CT                                               </t>
  </si>
  <si>
    <t xml:space="preserve">70-McAllen, TX                                                 </t>
  </si>
  <si>
    <t xml:space="preserve">71-Toledo, OH-MI                                               </t>
  </si>
  <si>
    <t xml:space="preserve">72-Baton Rouge, LA                                             </t>
  </si>
  <si>
    <t xml:space="preserve">73-Colorado Springs, CO                                        </t>
  </si>
  <si>
    <t xml:space="preserve">74-Worcester, MA-CT                                            </t>
  </si>
  <si>
    <t xml:space="preserve">75-Charleston-North Charleston, SC                             </t>
  </si>
  <si>
    <t xml:space="preserve">76-Wichita, KS                                                 </t>
  </si>
  <si>
    <t xml:space="preserve">77-Columbia, SC                                                </t>
  </si>
  <si>
    <t xml:space="preserve">78-Knoxville, TN                                               </t>
  </si>
  <si>
    <t xml:space="preserve">79-Ogden-Layton, UT                                            </t>
  </si>
  <si>
    <t xml:space="preserve">80-Youngstown, OH-PA                                           </t>
  </si>
  <si>
    <t xml:space="preserve">81-Syracuse, NY                                                </t>
  </si>
  <si>
    <t xml:space="preserve">82-Bakersfield, CA                                             </t>
  </si>
  <si>
    <t xml:space="preserve">83-Palm Bay-Melbourne, FL                                      </t>
  </si>
  <si>
    <t xml:space="preserve">84-Scranton, PA                                                </t>
  </si>
  <si>
    <t xml:space="preserve">85-Des Moines, IA                                              </t>
  </si>
  <si>
    <t xml:space="preserve">86-Flint, MI                                                   </t>
  </si>
  <si>
    <t xml:space="preserve">87-Harrisburg, PA                                              </t>
  </si>
  <si>
    <t xml:space="preserve">88-Little Rock, AR                                             </t>
  </si>
  <si>
    <t xml:space="preserve">89-Poughkeepsie-Newburgh, NY                                   </t>
  </si>
  <si>
    <t xml:space="preserve">90-Chattanooga, TN-GA                                          </t>
  </si>
  <si>
    <t xml:space="preserve">91-Oxnard, CA                                                  </t>
  </si>
  <si>
    <t xml:space="preserve">92-Augusta-Richmond County, GA-SC                              </t>
  </si>
  <si>
    <t xml:space="preserve">93-Spokane, WA-ID                                              </t>
  </si>
  <si>
    <t xml:space="preserve">94-Cape Coral, FL                                              </t>
  </si>
  <si>
    <t xml:space="preserve">95-Madison, WI                                                 </t>
  </si>
  <si>
    <t xml:space="preserve">96-Pensacola, FL-AL                                            </t>
  </si>
  <si>
    <t xml:space="preserve">97-Lancaster, PA                                               </t>
  </si>
  <si>
    <t xml:space="preserve">98-Mobile, AL                                                  </t>
  </si>
  <si>
    <t xml:space="preserve">99-Stockton, CA                                                </t>
  </si>
  <si>
    <t xml:space="preserve">100-Modesto, CA                                                 </t>
  </si>
  <si>
    <t xml:space="preserve">101-Reno, NV                                                    </t>
  </si>
  <si>
    <t xml:space="preserve">102-Provo-Orem, UT                                              </t>
  </si>
  <si>
    <t xml:space="preserve">103-Greenville, SC                                              </t>
  </si>
  <si>
    <t xml:space="preserve">104-Lansing, MI                                                 </t>
  </si>
  <si>
    <t xml:space="preserve">105-Denton-Lewisville, TX                                       </t>
  </si>
  <si>
    <t xml:space="preserve">106-Winston-Salem, NC                                           </t>
  </si>
  <si>
    <t xml:space="preserve">107-Corpus Christi, TX                                          </t>
  </si>
  <si>
    <t xml:space="preserve">108-Jackson, MS                                                 </t>
  </si>
  <si>
    <t xml:space="preserve">109-Durham, NC                                                  </t>
  </si>
  <si>
    <t xml:space="preserve">110-Fort Wayne, IN                                              </t>
  </si>
  <si>
    <t xml:space="preserve">111-Santa Rosa, CA                                              </t>
  </si>
  <si>
    <t xml:space="preserve">112-Ann Arbor, MI                                               </t>
  </si>
  <si>
    <t xml:space="preserve">113-South Bend, IN-MI                                           </t>
  </si>
  <si>
    <t xml:space="preserve">114-Fayetteville, NC                                            </t>
  </si>
  <si>
    <t xml:space="preserve">115-Shreveport, LA                                              </t>
  </si>
  <si>
    <t xml:space="preserve">116-Boise City, ID                                              </t>
  </si>
  <si>
    <t xml:space="preserve">117-Port St. Lucie, FL                                          </t>
  </si>
  <si>
    <t xml:space="preserve">118-Davenport, IA-IL                                            </t>
  </si>
  <si>
    <t xml:space="preserve">119-Rockford, IL                                                </t>
  </si>
  <si>
    <t xml:space="preserve">120-Trenton, NJ                                                 </t>
  </si>
  <si>
    <t xml:space="preserve">121-Greensboro, NC                                              </t>
  </si>
  <si>
    <t xml:space="preserve">122-Canton, OH                                                  </t>
  </si>
  <si>
    <t xml:space="preserve">123-Lancaster-Palmdale, CA                                      </t>
  </si>
  <si>
    <t xml:space="preserve">124-Daytona Beach-Port Orange, FL                               </t>
  </si>
  <si>
    <t xml:space="preserve">125-Indio-Cathedral City-Palm Springs, CA                       </t>
  </si>
  <si>
    <t xml:space="preserve">126-Lexington-Fayette, KY                                       </t>
  </si>
  <si>
    <t xml:space="preserve">127-Peoria, IL                                                  </t>
  </si>
  <si>
    <t xml:space="preserve">128-Barnstable Town, MA                                         </t>
  </si>
  <si>
    <t xml:space="preserve">129-Columbus, GA-AL                                             </t>
  </si>
  <si>
    <t xml:space="preserve">130-Reading, PA                                                 </t>
  </si>
  <si>
    <t xml:space="preserve">131-Temecula-Murrieta, CA                                       </t>
  </si>
  <si>
    <t xml:space="preserve">132-Atlantic City, NJ                                           </t>
  </si>
  <si>
    <t xml:space="preserve">133-Round Lake Beach-McHenry-Grayslake, IL-WI                   </t>
  </si>
  <si>
    <t xml:space="preserve">134-Lincoln, NE                                                 </t>
  </si>
  <si>
    <t xml:space="preserve">135-Anchorage, AK                                               </t>
  </si>
  <si>
    <t xml:space="preserve">136-Eugene, OR                                                  </t>
  </si>
  <si>
    <t xml:space="preserve">137-Asheville, NC                                               </t>
  </si>
  <si>
    <t xml:space="preserve">138-Bonita Springs-Naples, FL                                   </t>
  </si>
  <si>
    <t xml:space="preserve">139-Antioch, CA                                                 </t>
  </si>
  <si>
    <t xml:space="preserve">140-Springfield, MO                                             </t>
  </si>
  <si>
    <t xml:space="preserve">141-Huntsville, AL                                              </t>
  </si>
  <si>
    <t xml:space="preserve">142-Evansville, IN-KY                                           </t>
  </si>
  <si>
    <t xml:space="preserve">143-Thousand Oaks, CA                                           </t>
  </si>
  <si>
    <t xml:space="preserve">144-Savannah, GA                                                </t>
  </si>
  <si>
    <t xml:space="preserve">145-Salem, OR                                                   </t>
  </si>
  <si>
    <t xml:space="preserve">146-Fort Collins, CO                                            </t>
  </si>
  <si>
    <t xml:space="preserve">147-Gulfport-Biloxi, MS                                         </t>
  </si>
  <si>
    <t xml:space="preserve">148-Tallahassee, FL                                             </t>
  </si>
  <si>
    <t xml:space="preserve">149-Lubbock, TX                                                 </t>
  </si>
  <si>
    <t xml:space="preserve">150-Victorville-Hesperia-Apple Valley, CA                       </t>
  </si>
  <si>
    <t xml:space="preserve">151-Lakeland, FL                                                </t>
  </si>
  <si>
    <t xml:space="preserve">152-Roanoke, VA                                                 </t>
  </si>
  <si>
    <t xml:space="preserve">153-Nashua, NH-MA                                               </t>
  </si>
  <si>
    <t xml:space="preserve">154-Montgomery, AL                                              </t>
  </si>
  <si>
    <t xml:space="preserve">155-Santa Barbara, CA                                           </t>
  </si>
  <si>
    <t xml:space="preserve">156-Erie, PA                                                    </t>
  </si>
  <si>
    <t xml:space="preserve">157-Lorain-Elyria, OH                                           </t>
  </si>
  <si>
    <t xml:space="preserve">158-York, PA                                                    </t>
  </si>
  <si>
    <t xml:space="preserve">159-Waterbury, CT                                               </t>
  </si>
  <si>
    <t xml:space="preserve">160-Portland, ME                                                </t>
  </si>
  <si>
    <t xml:space="preserve">161-Kalamazoo, MI                                               </t>
  </si>
  <si>
    <t xml:space="preserve">162-Hickory, NC                                                 </t>
  </si>
  <si>
    <t xml:space="preserve">163-Appleton, WI                                                </t>
  </si>
  <si>
    <t xml:space="preserve">164-Green Bay, WI                                               </t>
  </si>
  <si>
    <t xml:space="preserve">165-Kissimmee, FL                                               </t>
  </si>
  <si>
    <t xml:space="preserve">166-Charleston, WV                                              </t>
  </si>
  <si>
    <t xml:space="preserve">167-Amarillo, TX                                                </t>
  </si>
  <si>
    <t xml:space="preserve">168-Salinas, CA                                                 </t>
  </si>
  <si>
    <t xml:space="preserve">169-Bremerton, WA                                               </t>
  </si>
  <si>
    <t xml:space="preserve">170-Lafayette, LA                                               </t>
  </si>
  <si>
    <t xml:space="preserve">171-Huntington, WV-KY-OH                                        </t>
  </si>
  <si>
    <t xml:space="preserve">172-Laredo, TX                                                  </t>
  </si>
  <si>
    <t xml:space="preserve">173-Aberdeen-Havre de Grace-Bel Air, MD                         </t>
  </si>
  <si>
    <t xml:space="preserve">174-Norwich-New London, CT                                      </t>
  </si>
  <si>
    <t xml:space="preserve">175-Fayetteville-Springdale, AR                                 </t>
  </si>
  <si>
    <t xml:space="preserve">176-Santa Clarita, CA                                           </t>
  </si>
  <si>
    <t xml:space="preserve">177-Killeen, TX                                                 </t>
  </si>
  <si>
    <t xml:space="preserve">178-Brownsville, TX                                             </t>
  </si>
  <si>
    <t xml:space="preserve">179-Wilmington, NC                                              </t>
  </si>
  <si>
    <t xml:space="preserve">180-Gainesville, FL                                             </t>
  </si>
  <si>
    <t xml:space="preserve">181-Vallejo, CA                                                 </t>
  </si>
  <si>
    <t xml:space="preserve">182-Binghamton, NY-PA                                           </t>
  </si>
  <si>
    <t xml:space="preserve">183-Santa Cruz, CA                                              </t>
  </si>
  <si>
    <t xml:space="preserve">184-Cedar Rapids, IA                                            </t>
  </si>
  <si>
    <t xml:space="preserve">185-Muskegon, MI                                                </t>
  </si>
  <si>
    <t xml:space="preserve">186-Danbury, CT-NY                                              </t>
  </si>
  <si>
    <t xml:space="preserve">187-Winter Haven, FL                                            </t>
  </si>
  <si>
    <t xml:space="preserve">188-Kennewick-Richland, WA                                      </t>
  </si>
  <si>
    <t xml:space="preserve">189-Springfield, IL                                             </t>
  </si>
  <si>
    <t xml:space="preserve">190-Waco, TX                                                    </t>
  </si>
  <si>
    <t xml:space="preserve">191-Fort Walton Beach, FL                                       </t>
  </si>
  <si>
    <t xml:space="preserve">192-Deltona, FL                                                 </t>
  </si>
  <si>
    <t xml:space="preserve">193-New Bedford, MA                                             </t>
  </si>
  <si>
    <t xml:space="preserve">194-Spartanburg, SC                                             </t>
  </si>
  <si>
    <t xml:space="preserve">195-Olympia-Lacey, WA                                           </t>
  </si>
  <si>
    <t xml:space="preserve">196-Manchester, NH                                              </t>
  </si>
  <si>
    <t xml:space="preserve">197-Fargo, ND-MN                                                </t>
  </si>
  <si>
    <t xml:space="preserve">198-Topeka, KS                                                  </t>
  </si>
  <si>
    <t xml:space="preserve">199-Gastonia, NC                                                </t>
  </si>
  <si>
    <t xml:space="preserve">200-Saginaw, MI                                                 </t>
  </si>
  <si>
    <t xml:space="preserve">201-Beaumont, TX                                                </t>
  </si>
  <si>
    <t xml:space="preserve">202-Murfreesboro, TN                                            </t>
  </si>
  <si>
    <t xml:space="preserve">203-Macon, GA                                                   </t>
  </si>
  <si>
    <t xml:space="preserve">204-Lake Charles, LA                                            </t>
  </si>
  <si>
    <t xml:space="preserve">205-High Point, NC                                              </t>
  </si>
  <si>
    <t xml:space="preserve">206-College Station-Bryan, TX                                   </t>
  </si>
  <si>
    <t xml:space="preserve">207-Panama City, FL                                             </t>
  </si>
  <si>
    <t xml:space="preserve">208-Elkhart, IN-MI                                              </t>
  </si>
  <si>
    <t xml:space="preserve">209-Racine, WI                                                  </t>
  </si>
  <si>
    <t xml:space="preserve">210-Medford, OR                                                 </t>
  </si>
  <si>
    <t xml:space="preserve">211-Houma, LA                                                   </t>
  </si>
  <si>
    <t xml:space="preserve">212-Lafayette, IN                                               </t>
  </si>
  <si>
    <t xml:space="preserve">213-Seaside-Monterey-Marina, CA                                 </t>
  </si>
  <si>
    <t xml:space="preserve">214-Sioux Falls, SD                                             </t>
  </si>
  <si>
    <t xml:space="preserve">215-Champaign, IL                                               </t>
  </si>
  <si>
    <t xml:space="preserve">216-Pueblo, CO                                                  </t>
  </si>
  <si>
    <t xml:space="preserve">217-Myrtle Beach, SC                                            </t>
  </si>
  <si>
    <t xml:space="preserve">218-North Port-Punta Gorda, FL                                  </t>
  </si>
  <si>
    <t xml:space="preserve">219-Clarksville, TN-KY                                          </t>
  </si>
  <si>
    <t xml:space="preserve">220-Vero Beach-Sebastian, FL                                    </t>
  </si>
  <si>
    <t xml:space="preserve">221-Hagerstown, MD-WV-PA                                        </t>
  </si>
  <si>
    <t xml:space="preserve">222-Santa Maria, CA                                             </t>
  </si>
  <si>
    <t xml:space="preserve">223-Visalia, CA                                                 </t>
  </si>
  <si>
    <t xml:space="preserve">224-Frederick, MD                                               </t>
  </si>
  <si>
    <t xml:space="preserve">225-Duluth, MN-WI                                               </t>
  </si>
  <si>
    <t xml:space="preserve">226-Kailua (Honolulu County)-Kaneohe, HI                        </t>
  </si>
  <si>
    <t xml:space="preserve">227-Hemet, CA                                                   </t>
  </si>
  <si>
    <t xml:space="preserve">228-Tuscaloosa, AL                                              </t>
  </si>
  <si>
    <t xml:space="preserve">229-Concord, NC                                                 </t>
  </si>
  <si>
    <t xml:space="preserve">230-Port Arthur, TX                                             </t>
  </si>
  <si>
    <t xml:space="preserve">231-Marysville, WA                                              </t>
  </si>
  <si>
    <t xml:space="preserve">232-Monroe, LA                                                  </t>
  </si>
  <si>
    <t xml:space="preserve">233-Utica, NY                                                   </t>
  </si>
  <si>
    <t xml:space="preserve">234-Leominster-Fitchburg, MA                                    </t>
  </si>
  <si>
    <t xml:space="preserve">235-Yakima, WA                                                  </t>
  </si>
  <si>
    <t xml:space="preserve">236-Fairfield, CA                                               </t>
  </si>
  <si>
    <t xml:space="preserve">237-Bloomington-Normal, IL                                      </t>
  </si>
  <si>
    <t xml:space="preserve">238-Simi Valley, CA                                             </t>
  </si>
  <si>
    <t xml:space="preserve">239-Boulder, CO                                                 </t>
  </si>
  <si>
    <t xml:space="preserve">240-Odessa, TX                                                  </t>
  </si>
  <si>
    <t xml:space="preserve">241-Kenosha, WI                                                 </t>
  </si>
  <si>
    <t xml:space="preserve">242-Harlingen, TX                                               </t>
  </si>
  <si>
    <t xml:space="preserve">243-Merced, CA                                                  </t>
  </si>
  <si>
    <t xml:space="preserve">244-Waterloo, IA                                                </t>
  </si>
  <si>
    <t xml:space="preserve">245-Abilene, TX                                                 </t>
  </si>
  <si>
    <t xml:space="preserve">246-Ocala, FL                                                   </t>
  </si>
  <si>
    <t xml:space="preserve">247-Athens-Clarke County, GA                                    </t>
  </si>
  <si>
    <t xml:space="preserve">248-Fort Smith, AR-OK                                           </t>
  </si>
  <si>
    <t xml:space="preserve">249-South Lyon-Howell-Brighton, MI                              </t>
  </si>
  <si>
    <t xml:space="preserve">250-Sioux City, IA-NE-SD                                        </t>
  </si>
  <si>
    <t xml:space="preserve">251-Burlington, VT                                              </t>
  </si>
  <si>
    <t xml:space="preserve">252-Redding, CA                                                 </t>
  </si>
  <si>
    <t xml:space="preserve">253-Las Cruces, NM                                              </t>
  </si>
  <si>
    <t xml:space="preserve">254-Johnson City, TN                                            </t>
  </si>
  <si>
    <t xml:space="preserve">255-Brooksville, FL                                             </t>
  </si>
  <si>
    <t xml:space="preserve">256-Tyler, TX                                                   </t>
  </si>
  <si>
    <t xml:space="preserve">257-Billings, MT                                                </t>
  </si>
  <si>
    <t xml:space="preserve">258-Wichita Falls, TX                                           </t>
  </si>
  <si>
    <t xml:space="preserve">259-Midland, TX                                                 </t>
  </si>
  <si>
    <t xml:space="preserve">260-Columbia, MO                                                </t>
  </si>
  <si>
    <t xml:space="preserve">261-Lynchburg, VA                                               </t>
  </si>
  <si>
    <t xml:space="preserve">262-Yuba City, CA                                               </t>
  </si>
  <si>
    <t xml:space="preserve">263-Leesburg-Eustis, FL                                         </t>
  </si>
  <si>
    <t xml:space="preserve">264-Fredericksburg, VA                                          </t>
  </si>
  <si>
    <t xml:space="preserve">265-Anderson, IN                                                </t>
  </si>
  <si>
    <t xml:space="preserve">266-Decatur, IL                                                 </t>
  </si>
  <si>
    <t xml:space="preserve">267-Texas City, TX                                              </t>
  </si>
  <si>
    <t xml:space="preserve">268-Nampa, ID                                                   </t>
  </si>
  <si>
    <t xml:space="preserve">269-Kingsport, TN-VA                                            </t>
  </si>
  <si>
    <t xml:space="preserve">270-Jacksonville, NC                                            </t>
  </si>
  <si>
    <t xml:space="preserve">271-Albany, GA                                                  </t>
  </si>
  <si>
    <t xml:space="preserve">272-Yuma, AZ-CA                                                 </t>
  </si>
  <si>
    <t xml:space="preserve">273-Middletown, OH                                              </t>
  </si>
  <si>
    <t xml:space="preserve">274-Burlington, NC                                              </t>
  </si>
  <si>
    <t xml:space="preserve">275-Greeley, CO                                                 </t>
  </si>
  <si>
    <t xml:space="preserve">276-Bloomington, IN                                             </t>
  </si>
  <si>
    <t xml:space="preserve">277-Grand Junction, CO                                          </t>
  </si>
  <si>
    <t xml:space="preserve">278-Holland, MI                                                 </t>
  </si>
  <si>
    <t xml:space="preserve">279-Eau Claire, WI                                              </t>
  </si>
  <si>
    <t xml:space="preserve">280-St. Cloud, MN                                               </t>
  </si>
  <si>
    <t xml:space="preserve">281-Rochester, MN                                               </t>
  </si>
  <si>
    <t xml:space="preserve">283-Muncie, IN                                                  </t>
  </si>
  <si>
    <t xml:space="preserve">284-Vacaville, CA                                               </t>
  </si>
  <si>
    <t xml:space="preserve">285-La Crosse, WI-MN                                            </t>
  </si>
  <si>
    <t xml:space="preserve">286-Springfield, OH                                             </t>
  </si>
  <si>
    <t xml:space="preserve">287-Lawton, OK                                                  </t>
  </si>
  <si>
    <t xml:space="preserve">288-The Woodlands, TX                                           </t>
  </si>
  <si>
    <t xml:space="preserve">289-Chico, CA                                                   </t>
  </si>
  <si>
    <t xml:space="preserve">290-Vineland, NJ                                                </t>
  </si>
  <si>
    <t xml:space="preserve">291-Gainesville, GA                                             </t>
  </si>
  <si>
    <t xml:space="preserve">292-Jackson, MI                                                 </t>
  </si>
  <si>
    <t xml:space="preserve">293-San Angelo, TX                                              </t>
  </si>
  <si>
    <t xml:space="preserve">294-Wheeling, WV-OH                                             </t>
  </si>
  <si>
    <t xml:space="preserve">295-Port Huron, MI                                              </t>
  </si>
  <si>
    <t xml:space="preserve">296-Norman, OK                                                  </t>
  </si>
  <si>
    <t xml:space="preserve">297-Parkersburg, WV-OH                                          </t>
  </si>
  <si>
    <t xml:space="preserve">298-Iowa City, IA                                               </t>
  </si>
  <si>
    <t xml:space="preserve">299-Alton, IL                                                   </t>
  </si>
  <si>
    <t xml:space="preserve">300-Gilroy-Morgan Hill, CA                                      </t>
  </si>
  <si>
    <t xml:space="preserve">301-Bellingham, WA                                              </t>
  </si>
  <si>
    <t xml:space="preserve">302-Greenville, NC                                              </t>
  </si>
  <si>
    <t xml:space="preserve">303-Lodi, CA                                                    </t>
  </si>
  <si>
    <t xml:space="preserve">304-Altoona, PA                                                 </t>
  </si>
  <si>
    <t xml:space="preserve">305-Charlottesville, VA                                         </t>
  </si>
  <si>
    <t xml:space="preserve">306-Dover-Rochester, NH-ME                                      </t>
  </si>
  <si>
    <t xml:space="preserve">307-Santa Fe, NM                                                </t>
  </si>
  <si>
    <t xml:space="preserve">308-Slidell, LA                                                 </t>
  </si>
  <si>
    <t xml:space="preserve">309-Napa, CA                                                    </t>
  </si>
  <si>
    <t xml:space="preserve">310-Mansfield, OH                                               </t>
  </si>
  <si>
    <t xml:space="preserve">311-Lawrence, KS                                                </t>
  </si>
  <si>
    <t xml:space="preserve">312-Terre Haute, IN                                             </t>
  </si>
  <si>
    <t xml:space="preserve">313-Battle Creek, MI                                            </t>
  </si>
  <si>
    <t xml:space="preserve">314-Alexandria, LA                                              </t>
  </si>
  <si>
    <t xml:space="preserve">315-Longview, TX                                                </t>
  </si>
  <si>
    <t xml:space="preserve">317-St. Joseph, MO-KS                                           </t>
  </si>
  <si>
    <t xml:space="preserve">318-Logan, UT                                                   </t>
  </si>
  <si>
    <t xml:space="preserve">319-Johnstown, PA                                               </t>
  </si>
  <si>
    <t xml:space="preserve">320-Anniston, AL                                                </t>
  </si>
  <si>
    <t xml:space="preserve">321-Livermore, CA                                               </t>
  </si>
  <si>
    <t xml:space="preserve">322-Bismarck, ND                                                </t>
  </si>
  <si>
    <t xml:space="preserve">323-Coeur d'Alene, ID                                           </t>
  </si>
  <si>
    <t xml:space="preserve">324-St. Charles, MD                                             </t>
  </si>
  <si>
    <t xml:space="preserve">325-Lima, OH                                                    </t>
  </si>
  <si>
    <t xml:space="preserve">326-Bay City, MI                                                </t>
  </si>
  <si>
    <t xml:space="preserve">327-Weirton, WV-Steubenville, OH-PA                             </t>
  </si>
  <si>
    <t xml:space="preserve">328-Pottstown, PA                                               </t>
  </si>
  <si>
    <t xml:space="preserve">329-Lake Jackson-Angleton, TX                                   </t>
  </si>
  <si>
    <t xml:space="preserve">330-Longmont, CO                                                </t>
  </si>
  <si>
    <t xml:space="preserve">331-Texarkana, TX-Texarkana, AR                                 </t>
  </si>
  <si>
    <t xml:space="preserve">332-Joplin, MO                                                  </t>
  </si>
  <si>
    <t xml:space="preserve">333-Temple, TX                                                  </t>
  </si>
  <si>
    <t xml:space="preserve">334-State College, PA                                           </t>
  </si>
  <si>
    <t xml:space="preserve">335-Florence, AL                                                </t>
  </si>
  <si>
    <t xml:space="preserve">336-Oshkosh, WI                                                 </t>
  </si>
  <si>
    <t xml:space="preserve">337-Anderson, SC                                                </t>
  </si>
  <si>
    <t xml:space="preserve">338-Rock Hill, SC                                               </t>
  </si>
  <si>
    <t xml:space="preserve">339-Newark, OH                                                  </t>
  </si>
  <si>
    <t xml:space="preserve">340-Hightstown, NJ                                              </t>
  </si>
  <si>
    <t xml:space="preserve">341-Hanford, CA                                                 </t>
  </si>
  <si>
    <t xml:space="preserve">342-Turlock, CA                                                 </t>
  </si>
  <si>
    <t xml:space="preserve">343-Missoula, MT                                                </t>
  </si>
  <si>
    <t xml:space="preserve">344-Sheboygan, WI                                               </t>
  </si>
  <si>
    <t xml:space="preserve">345-Wausau, WI                                                  </t>
  </si>
  <si>
    <t xml:space="preserve">346-Cheyenne, WY                                                </t>
  </si>
  <si>
    <t xml:space="preserve">347-Avondale, AZ                                                </t>
  </si>
  <si>
    <t xml:space="preserve">348-Owensboro, KY                                               </t>
  </si>
  <si>
    <t xml:space="preserve">349-Florence, SC                                                </t>
  </si>
  <si>
    <t xml:space="preserve">350-Elmira, NY                                                  </t>
  </si>
  <si>
    <t xml:space="preserve">351-Idaho Falls, ID                                             </t>
  </si>
  <si>
    <t xml:space="preserve">352-Rapid City, SD                                              </t>
  </si>
  <si>
    <t xml:space="preserve">353-Watsonville, CA                                             </t>
  </si>
  <si>
    <t xml:space="preserve">354-Michigan City, IN-MI                                        </t>
  </si>
  <si>
    <t xml:space="preserve">355-Janesville, WI                                              </t>
  </si>
  <si>
    <t xml:space="preserve">356-Davis, CA                                                   </t>
  </si>
  <si>
    <t xml:space="preserve">357-Dubuque, IA-IL                                              </t>
  </si>
  <si>
    <t xml:space="preserve">358-Jackson, TN                                                 </t>
  </si>
  <si>
    <t xml:space="preserve">359-Kankakee, IL                                                </t>
  </si>
  <si>
    <t xml:space="preserve">360-Dover, DE                                                   </t>
  </si>
  <si>
    <t xml:space="preserve">361-Westminster, MD                                             </t>
  </si>
  <si>
    <t xml:space="preserve">362-Radcliff-Elizabethtown, KY                                  </t>
  </si>
  <si>
    <t xml:space="preserve">363-Great Falls, MT                                             </t>
  </si>
  <si>
    <t xml:space="preserve">364-Sumter, SC                                                  </t>
  </si>
  <si>
    <t xml:space="preserve">365-Kokomo, IN                                                  </t>
  </si>
  <si>
    <t xml:space="preserve">366-Lebanon, PA                                                 </t>
  </si>
  <si>
    <t xml:space="preserve">368-Camarillo, CA                                               </t>
  </si>
  <si>
    <t xml:space="preserve">369-St. George, UT                                              </t>
  </si>
  <si>
    <t xml:space="preserve">370-Pocatello, ID                                               </t>
  </si>
  <si>
    <t xml:space="preserve">372-Benton Harbor-St. Joseph, MI                                </t>
  </si>
  <si>
    <t xml:space="preserve">373-Gadsden, AL                                                 </t>
  </si>
  <si>
    <t xml:space="preserve">374-Rocky Mount, NC                                             </t>
  </si>
  <si>
    <t xml:space="preserve">375-Victoria, TX                                                </t>
  </si>
  <si>
    <t xml:space="preserve">376-Hattiesburg, MS                                             </t>
  </si>
  <si>
    <t xml:space="preserve">377-Dothan, AL                                                  </t>
  </si>
  <si>
    <t xml:space="preserve">378-Longview, WA-OR                                             </t>
  </si>
  <si>
    <t xml:space="preserve">379-Lafayette-Louisville, CO                                    </t>
  </si>
  <si>
    <t xml:space="preserve">380-Porterville, CA                                             </t>
  </si>
  <si>
    <t xml:space="preserve">381-Auburn, AL                                                  </t>
  </si>
  <si>
    <t xml:space="preserve">382-Petaluma, CA                                                </t>
  </si>
  <si>
    <t xml:space="preserve">383-Salisbury, MD-DE                                            </t>
  </si>
  <si>
    <t xml:space="preserve">384-Tracy, CA                                                   </t>
  </si>
  <si>
    <t xml:space="preserve">385-Bangor, ME                                                  </t>
  </si>
  <si>
    <t xml:space="preserve">386-Williamsport, PA                                            </t>
  </si>
  <si>
    <t xml:space="preserve">387-Pine Bluff, AR                                              </t>
  </si>
  <si>
    <t xml:space="preserve">388-Bristol, TN-Bristol, VA                                     </t>
  </si>
  <si>
    <t xml:space="preserve">389-Uniontown-Connellsville, PA                                 </t>
  </si>
  <si>
    <t xml:space="preserve">390-Bowling Green, KY                                           </t>
  </si>
  <si>
    <t xml:space="preserve">391-Rome, GA                                                    </t>
  </si>
  <si>
    <t xml:space="preserve">392-Carson City, NV                                             </t>
  </si>
  <si>
    <t xml:space="preserve">393-Corvallis, OR                                               </t>
  </si>
  <si>
    <t xml:space="preserve">394-Cleveland, TN                                               </t>
  </si>
  <si>
    <t xml:space="preserve">395-Madera, CA                                                  </t>
  </si>
  <si>
    <t xml:space="preserve">396-Goldsboro, NC                                               </t>
  </si>
  <si>
    <t xml:space="preserve">397-Casper, WY                                                  </t>
  </si>
  <si>
    <t xml:space="preserve">400-Glens Falls, NY                                             </t>
  </si>
  <si>
    <t xml:space="preserve">401-Bend, OR                                                    </t>
  </si>
  <si>
    <t xml:space="preserve">402-Blacksburg, VA                                              </t>
  </si>
  <si>
    <t xml:space="preserve">403-Flagstaff, AZ                                               </t>
  </si>
  <si>
    <t xml:space="preserve">404-Grand Forks, ND-MN                                          </t>
  </si>
  <si>
    <t xml:space="preserve">405-Monessen, PA                                                </t>
  </si>
  <si>
    <t xml:space="preserve">406-Beloit, WI-IL                                               </t>
  </si>
  <si>
    <t xml:space="preserve">407-Sherman, TX                                                 </t>
  </si>
  <si>
    <t xml:space="preserve">408-Morgantown, WV                                              </t>
  </si>
  <si>
    <t xml:space="preserve">409-DeKalb, IL                                                  </t>
  </si>
  <si>
    <t xml:space="preserve">410-Lompoc, CA                                                  </t>
  </si>
  <si>
    <t xml:space="preserve">411-Wenatchee, WA                                               </t>
  </si>
  <si>
    <t xml:space="preserve">412-Lee's Summit, MO                                            </t>
  </si>
  <si>
    <t xml:space="preserve">413-Galveston, TX                                               </t>
  </si>
  <si>
    <t xml:space="preserve">414-Atascadero-El Paso de Robles (Paso Robles), CA              </t>
  </si>
  <si>
    <t xml:space="preserve">415-McKinney, TX                                                </t>
  </si>
  <si>
    <t xml:space="preserve">416-Morristown, TN                                              </t>
  </si>
  <si>
    <t xml:space="preserve">417-Pascagoula, MS                                              </t>
  </si>
  <si>
    <t xml:space="preserve">418-Zephyrhills, FL                                             </t>
  </si>
  <si>
    <t xml:space="preserve">419-Jefferson City, MO                                          </t>
  </si>
  <si>
    <t xml:space="preserve">420-Winchester, VA                                              </t>
  </si>
  <si>
    <t xml:space="preserve">421-Ithaca, NY                                                  </t>
  </si>
  <si>
    <t xml:space="preserve">422-St. Augustine, FL                                           </t>
  </si>
  <si>
    <t xml:space="preserve">423-San Luis Obispo, CA                                         </t>
  </si>
  <si>
    <t xml:space="preserve">424-Kingston, NY                                                </t>
  </si>
  <si>
    <t xml:space="preserve">425-Farmington, NM                                              </t>
  </si>
  <si>
    <t xml:space="preserve">426-Danville, IL                                                </t>
  </si>
  <si>
    <t xml:space="preserve">427-Monroe, MI                                                  </t>
  </si>
  <si>
    <t xml:space="preserve">428-El Centro, CA                                               </t>
  </si>
  <si>
    <t xml:space="preserve">429-Titusville, FL                                              </t>
  </si>
  <si>
    <t xml:space="preserve">430-Pittsfield, MA                                              </t>
  </si>
  <si>
    <t xml:space="preserve">431-Harrisonburg, VA                                            </t>
  </si>
  <si>
    <t xml:space="preserve">432-Wildwood-North Wildwood-Cape May, NJ                        </t>
  </si>
  <si>
    <t xml:space="preserve">433-Decatur, AL                                                 </t>
  </si>
  <si>
    <t xml:space="preserve">434-Fairbanks, AK                                               </t>
  </si>
  <si>
    <t xml:space="preserve">435-Jonesboro, AR                                               </t>
  </si>
  <si>
    <t xml:space="preserve">436-Hot Springs, AR                                             </t>
  </si>
  <si>
    <t xml:space="preserve">437-Hazleton, PA                                                </t>
  </si>
  <si>
    <t xml:space="preserve">439-Manteca, CA                                                 </t>
  </si>
  <si>
    <t xml:space="preserve">440-Mount Vernon, WA                                            </t>
  </si>
  <si>
    <t xml:space="preserve">441-Saratoga Springs, NY                                        </t>
  </si>
  <si>
    <t xml:space="preserve">442-Portsmouth, NH-ME                                           </t>
  </si>
  <si>
    <t xml:space="preserve">443-Danville, VA                                                </t>
  </si>
  <si>
    <t xml:space="preserve">444-Ames, IA                                                    </t>
  </si>
  <si>
    <t xml:space="preserve">445-Lady Lake, FL                                               </t>
  </si>
  <si>
    <t xml:space="preserve">446-Sandusky, OH                                                </t>
  </si>
  <si>
    <t xml:space="preserve">447-Lewiston, ME                                                </t>
  </si>
  <si>
    <t xml:space="preserve">449-Lewiston, ID-WA                                             </t>
  </si>
  <si>
    <t xml:space="preserve">450-Columbus, IN                                                </t>
  </si>
  <si>
    <t xml:space="preserve">452-Fond du Lac, WI                                             </t>
  </si>
  <si>
    <t xml:space="preserve">453-Cumberland, MD--WV                                          </t>
  </si>
  <si>
    <t xml:space="preserve">500-San Juan, PR                                                </t>
  </si>
  <si>
    <t xml:space="preserve">501-Aguadilla-Isabela-San Sebastian, PR                         </t>
  </si>
  <si>
    <t xml:space="preserve">502-Ponce, PR                                                   </t>
  </si>
  <si>
    <t xml:space="preserve">503-Arecibo, PR                                                 </t>
  </si>
  <si>
    <t xml:space="preserve">504-Mayaguez, PR                                                </t>
  </si>
  <si>
    <t xml:space="preserve">505-San German-Cabo Rojo-Sabana Grande, PR                      </t>
  </si>
  <si>
    <t xml:space="preserve">506-Yauco, PR                                                   </t>
  </si>
  <si>
    <t xml:space="preserve">507-Fajardo, PR                                                 </t>
  </si>
  <si>
    <t xml:space="preserve">508-Guayama, PR                                                 </t>
  </si>
  <si>
    <t xml:space="preserve">509-Florida-Barceloneta-Bajadero, PR                            </t>
  </si>
  <si>
    <t xml:space="preserve">511-Juana Diaz, PR                                              </t>
  </si>
  <si>
    <t xml:space="preserve">600-Virgin Islands, VI 1                                        </t>
  </si>
  <si>
    <t>0-Non-UZA</t>
  </si>
  <si>
    <t>Mode (Rail)</t>
  </si>
  <si>
    <t>Alaska Railroad</t>
  </si>
  <si>
    <t>Estimated</t>
  </si>
  <si>
    <t>Mode</t>
  </si>
  <si>
    <t>Track Miles</t>
  </si>
  <si>
    <t>Estimated $</t>
  </si>
  <si>
    <t>Mfg.</t>
  </si>
  <si>
    <t>Parking/Sq Ft</t>
  </si>
  <si>
    <t>ah</t>
  </si>
  <si>
    <t>Est.</t>
  </si>
  <si>
    <t>Special Work</t>
  </si>
  <si>
    <t>Built or</t>
  </si>
  <si>
    <t>Model</t>
  </si>
  <si>
    <t>Seating</t>
  </si>
  <si>
    <t>Used?</t>
  </si>
  <si>
    <t>in Column ai</t>
  </si>
  <si>
    <t>Third Rail/Power Distribution</t>
  </si>
  <si>
    <t>Overhead Contact System/Power Distribution</t>
  </si>
  <si>
    <t>Train Control &amp; Signaling</t>
  </si>
  <si>
    <t>Applicable)</t>
  </si>
  <si>
    <t>Zero if Not</t>
  </si>
  <si>
    <t>(Leave as</t>
  </si>
  <si>
    <t>Quantity in</t>
  </si>
  <si>
    <t>Column ai</t>
  </si>
  <si>
    <t>Avg. Lifetime</t>
  </si>
  <si>
    <t>per Active Vehicle</t>
  </si>
  <si>
    <t>% Transit</t>
  </si>
  <si>
    <t>Active Vehicle</t>
  </si>
  <si>
    <t>Miles per</t>
  </si>
  <si>
    <t>Mark "X" if Est. Replacement Cost covers:</t>
  </si>
  <si>
    <t>Vehicle Blow-Down Facility</t>
  </si>
  <si>
    <t>Vehicle Testing Facility</t>
  </si>
  <si>
    <t>Standing</t>
  </si>
  <si>
    <t>Standing Capacity</t>
  </si>
  <si>
    <t>bh</t>
  </si>
  <si>
    <t>Latitude</t>
  </si>
  <si>
    <t>Longitude</t>
  </si>
  <si>
    <t>Exact Location</t>
  </si>
  <si>
    <t>Lat. (N)</t>
  </si>
  <si>
    <t>Long. (W)</t>
  </si>
  <si>
    <t>Passenger or Parking</t>
  </si>
  <si>
    <t>AG - Automated Guideway (DO)</t>
  </si>
  <si>
    <t>CC - Cable Car (DO)</t>
  </si>
  <si>
    <t>CR - Commuter Rail (DO)</t>
  </si>
  <si>
    <t>HR - Heavy Rail (DO)</t>
  </si>
  <si>
    <t>LR - Light Rail (DO)</t>
  </si>
  <si>
    <t>MG - Monorail/Automated Guideway (DO)</t>
  </si>
  <si>
    <t>SR - Streetcar Rail (DO)</t>
  </si>
  <si>
    <t>TR - Aerial Tramway (DO)</t>
  </si>
  <si>
    <t>YR - Hybrid Rail (DO)</t>
  </si>
  <si>
    <t>AG - Automated Guideway (PT)</t>
  </si>
  <si>
    <t>CC - Cable Car (PT)</t>
  </si>
  <si>
    <t>CR - Commuter Rail (PT)</t>
  </si>
  <si>
    <t>HR - Heavy Rail (PT)</t>
  </si>
  <si>
    <t>LR - Light Rail (PT)</t>
  </si>
  <si>
    <t>MG - Monorail/Automated Guideway (PT)</t>
  </si>
  <si>
    <t>SR - Streetcar Rail (PT)</t>
  </si>
  <si>
    <t>TR - Aerial Tramway (PT)</t>
  </si>
  <si>
    <t>YR - Hybrid Rail (PT)</t>
  </si>
  <si>
    <t>Automated Guideway (DO)</t>
  </si>
  <si>
    <t>Automated Guideway (PT)</t>
  </si>
  <si>
    <t>Cable Car (DO)</t>
  </si>
  <si>
    <t>Cable Car (PT)</t>
  </si>
  <si>
    <t>Commuter Rail (DO)</t>
  </si>
  <si>
    <t>Commuter Rail (PT)</t>
  </si>
  <si>
    <t>Heavy Rail (DO)</t>
  </si>
  <si>
    <t>Heavy Rail (PT)</t>
  </si>
  <si>
    <t>Light Rail (DO)</t>
  </si>
  <si>
    <t>Light Rail (PT)</t>
  </si>
  <si>
    <t>Monorail/Automated Guideway (DO)</t>
  </si>
  <si>
    <t>Monorail/Automated Guideway (PT)</t>
  </si>
  <si>
    <t>Streetcar Rail (DO)</t>
  </si>
  <si>
    <t>Streetcar Rail (PT)</t>
  </si>
  <si>
    <t>Aerial Tramway (DO)</t>
  </si>
  <si>
    <t>Aerial Tramway (PT)</t>
  </si>
  <si>
    <t>Hybrid Rail (DO)</t>
  </si>
  <si>
    <t>Hybrid Rail (PT)</t>
  </si>
  <si>
    <t>Lat.</t>
  </si>
  <si>
    <t>Long.</t>
  </si>
  <si>
    <t>Lat</t>
  </si>
  <si>
    <t>Long</t>
  </si>
  <si>
    <t>unit cost low</t>
  </si>
  <si>
    <t>low</t>
  </si>
  <si>
    <t>TCC - Tokyo Car Company</t>
  </si>
  <si>
    <t>Glaval Bus</t>
  </si>
  <si>
    <t>Crown Coach Corporation</t>
  </si>
  <si>
    <t>Federal Coach</t>
  </si>
  <si>
    <t>ZZZ - Other (describe in Notes)</t>
  </si>
  <si>
    <t>Other (describe in Notes)</t>
  </si>
  <si>
    <t>OR - Other fuel (describe in Notes)</t>
  </si>
  <si>
    <t>GIR - Girardin Corporation</t>
  </si>
  <si>
    <t>CCC - Cable Car Concepts Inc.</t>
  </si>
  <si>
    <t>OCC - Overland Custom Coach Inc.</t>
  </si>
  <si>
    <r>
      <t xml:space="preserve">Form Name: </t>
    </r>
    <r>
      <rPr>
        <sz val="12"/>
        <color theme="3" tint="-0.249977111117893"/>
        <rFont val="Arial"/>
        <family val="2"/>
      </rPr>
      <t>Direct Entry Inventory  (A-80)</t>
    </r>
  </si>
  <si>
    <t>Service Vehicle Inventory</t>
  </si>
  <si>
    <t>Revenue Vehicle Inventory</t>
  </si>
  <si>
    <r>
      <t xml:space="preserve">Form Name: </t>
    </r>
    <r>
      <rPr>
        <sz val="12"/>
        <color theme="3" tint="-0.249977111117893"/>
        <rFont val="Arial"/>
        <family val="2"/>
      </rPr>
      <t>Revenue Vehicle Inventory  (A-70)</t>
    </r>
  </si>
  <si>
    <r>
      <rPr>
        <b/>
        <sz val="12"/>
        <color theme="3"/>
        <rFont val="Arial"/>
        <family val="2"/>
      </rPr>
      <t>Form Name:</t>
    </r>
    <r>
      <rPr>
        <sz val="12"/>
        <color theme="3"/>
        <rFont val="Arial"/>
        <family val="2"/>
      </rPr>
      <t xml:space="preserve"> Service Vehicle Inventory (A-60)</t>
    </r>
  </si>
  <si>
    <r>
      <rPr>
        <b/>
        <sz val="12"/>
        <color theme="3" tint="-0.249977111117893"/>
        <rFont val="Arial"/>
        <family val="2"/>
      </rPr>
      <t>Form Name:</t>
    </r>
    <r>
      <rPr>
        <sz val="12"/>
        <color theme="3" tint="-0.249977111117893"/>
        <rFont val="Arial"/>
        <family val="2"/>
      </rPr>
      <t xml:space="preserve"> Rail Fixed Guideway Inventory (A-50)</t>
    </r>
  </si>
  <si>
    <r>
      <t xml:space="preserve">Form Name: </t>
    </r>
    <r>
      <rPr>
        <sz val="12"/>
        <color theme="3"/>
        <rFont val="Arial"/>
        <family val="2"/>
      </rPr>
      <t>Passenger and Parking Facility Inventory (A-20)</t>
    </r>
  </si>
  <si>
    <t>Combined Administrative and Maintenance Facility (describe in Notes)</t>
  </si>
  <si>
    <t>Parking Structure</t>
  </si>
  <si>
    <t>Adminstrative and Maintenance Facility Inventory</t>
  </si>
  <si>
    <t>Passenger and Parking Facility Inventory</t>
  </si>
  <si>
    <t>Curve</t>
  </si>
  <si>
    <t>Tangent</t>
  </si>
  <si>
    <r>
      <rPr>
        <b/>
        <sz val="12"/>
        <color theme="3" tint="-0.249977111117893"/>
        <rFont val="Arial"/>
        <family val="2"/>
      </rPr>
      <t>Form Name:</t>
    </r>
    <r>
      <rPr>
        <sz val="12"/>
        <color theme="3" tint="-0.249977111117893"/>
        <rFont val="Arial"/>
        <family val="2"/>
      </rPr>
      <t xml:space="preserve"> Track Inventory (A-55)</t>
    </r>
  </si>
  <si>
    <t>Double Diamond Crossover</t>
  </si>
  <si>
    <t>Single Crossover</t>
  </si>
  <si>
    <t>Half Grand Union</t>
  </si>
  <si>
    <t>Single Turnout</t>
  </si>
  <si>
    <t>At-Grade/Ballast (including expressway)</t>
  </si>
  <si>
    <t>Elevated/Steel Viaduct or Bridge</t>
  </si>
  <si>
    <t>Linear Feet</t>
  </si>
  <si>
    <t>LF</t>
  </si>
  <si>
    <t>%</t>
  </si>
  <si>
    <t>Analysis:</t>
  </si>
  <si>
    <t xml:space="preserve">Unit of </t>
  </si>
  <si>
    <t>Share</t>
  </si>
  <si>
    <t>Percentage</t>
  </si>
  <si>
    <t>%/LF</t>
  </si>
  <si>
    <t>1920-
1929</t>
  </si>
  <si>
    <t>1930-
1939</t>
  </si>
  <si>
    <t>1940-
1949</t>
  </si>
  <si>
    <t>1950-
1959</t>
  </si>
  <si>
    <t>1960-
1969</t>
  </si>
  <si>
    <t>1970-
1979</t>
  </si>
  <si>
    <t>1980-
1989</t>
  </si>
  <si>
    <t>1990-
1999</t>
  </si>
  <si>
    <t>Based on Year of Construction or Last Major Rehabilitation</t>
  </si>
  <si>
    <t>2000-
present</t>
  </si>
  <si>
    <t>Pre-1920</t>
  </si>
  <si>
    <t>Year of Construction or last rehab</t>
  </si>
  <si>
    <t>Mode Type</t>
  </si>
  <si>
    <t>Year of Construction or Last Major Rehabilitation</t>
  </si>
  <si>
    <t>Guideay Element and</t>
  </si>
  <si>
    <t>Track (Excludes Guideway</t>
  </si>
  <si>
    <t>and special work)</t>
  </si>
  <si>
    <t>avg expected</t>
  </si>
  <si>
    <t>age</t>
  </si>
  <si>
    <t>% responsibility</t>
  </si>
  <si>
    <t>Note</t>
  </si>
  <si>
    <t>Allocation</t>
  </si>
  <si>
    <t>Unit:</t>
  </si>
  <si>
    <t>Square Feet/parking space</t>
  </si>
  <si>
    <t>missing</t>
  </si>
  <si>
    <t>too</t>
  </si>
  <si>
    <t>high</t>
  </si>
  <si>
    <t>quantity</t>
  </si>
  <si>
    <t>Age distribution</t>
  </si>
  <si>
    <t>Rail Fixed Guideway Inventory</t>
  </si>
  <si>
    <t>Track Inventory</t>
  </si>
  <si>
    <t>Guideway Element</t>
  </si>
  <si>
    <t>flag</t>
  </si>
  <si>
    <t>Track Element</t>
  </si>
  <si>
    <t>(excludes track)</t>
  </si>
  <si>
    <t>Guideway Element (excludes track)</t>
  </si>
  <si>
    <t>Track Element (excludes guideway)</t>
  </si>
  <si>
    <t>Enter Quantity (or % of total value) in Intervals</t>
  </si>
  <si>
    <t>or % of</t>
  </si>
  <si>
    <t>Total Value</t>
  </si>
  <si>
    <t>Value</t>
  </si>
  <si>
    <t>Enter Quantity (or % of total value) in Intervals Based on Year of Construction or Last Major Rehabilitation</t>
  </si>
  <si>
    <t>Mark "X"</t>
  </si>
  <si>
    <t>if line item</t>
  </si>
  <si>
    <t>is section</t>
  </si>
  <si>
    <t>of larger</t>
  </si>
  <si>
    <t>facility</t>
  </si>
  <si>
    <t>(Leave as Zero if Not Applicable)</t>
  </si>
  <si>
    <t>Track Ft.,</t>
  </si>
  <si>
    <t>Linear Ft.,</t>
  </si>
  <si>
    <t>TF</t>
  </si>
  <si>
    <t>Quantity (Leave as Zero</t>
  </si>
  <si>
    <t>if Not Applicable)</t>
  </si>
  <si>
    <t>Linear Feet,</t>
  </si>
  <si>
    <t>Track Feet,</t>
  </si>
  <si>
    <t xml:space="preserve">or % of Total </t>
  </si>
  <si>
    <t>Agency-Specific Curvature Thresholds</t>
  </si>
  <si>
    <t>Threshold</t>
  </si>
  <si>
    <t>or %</t>
  </si>
  <si>
    <t>Service Vehicle Types</t>
  </si>
  <si>
    <t>Service Vehicle Fleet</t>
  </si>
  <si>
    <t>Type of Service Vehicle</t>
  </si>
  <si>
    <t>Year dollar</t>
  </si>
  <si>
    <t>data</t>
  </si>
  <si>
    <t>Year Manufacturing</t>
  </si>
  <si>
    <t>% respon</t>
  </si>
  <si>
    <t xml:space="preserve">missing </t>
  </si>
  <si>
    <t>bad data</t>
  </si>
  <si>
    <t>Est cost</t>
  </si>
  <si>
    <t>type of vehicle</t>
  </si>
  <si>
    <t>Type of</t>
  </si>
  <si>
    <t>in Fleet</t>
  </si>
  <si>
    <t>Yr. Dollar</t>
  </si>
  <si>
    <t>of Estimated</t>
  </si>
  <si>
    <t>Tyoe of Service Vehicle</t>
  </si>
  <si>
    <t>Number of vehicles</t>
  </si>
  <si>
    <t>in total fleet</t>
  </si>
  <si>
    <t>Estimated Cost</t>
  </si>
  <si>
    <t>Year dollar of estimated cost</t>
  </si>
  <si>
    <t>Vehicle Fleet</t>
  </si>
  <si>
    <t>Track feet</t>
  </si>
  <si>
    <t>Linear Feet.</t>
  </si>
  <si>
    <t>track feet, or</t>
  </si>
  <si>
    <t>Summary does not reference table below</t>
  </si>
  <si>
    <t>too early</t>
  </si>
  <si>
    <t>(leave blank if N/A)</t>
  </si>
  <si>
    <t>(Leave blank</t>
  </si>
  <si>
    <t>if N/A)</t>
  </si>
  <si>
    <r>
      <rPr>
        <b/>
        <sz val="12"/>
        <color theme="1"/>
        <rFont val="Arial"/>
        <family val="2"/>
      </rPr>
      <t>Form Name:</t>
    </r>
    <r>
      <rPr>
        <sz val="12"/>
        <color theme="1"/>
        <rFont val="Arial"/>
        <family val="2"/>
      </rPr>
      <t xml:space="preserve"> Transit Asset Management Plan  Performance  Metrics and Targets</t>
    </r>
  </si>
  <si>
    <t>Performance Measure</t>
  </si>
  <si>
    <t xml:space="preserve">Percentage of revenue vehicles that have met or exceeded their useful life benchmark  </t>
  </si>
  <si>
    <t xml:space="preserve">Percentage of service vehicles that have either met or exceeded their useful life benchmark </t>
  </si>
  <si>
    <t>Percentage of track segments, signals, and systems with performance restrictions</t>
  </si>
  <si>
    <t>Allocation Unit:</t>
  </si>
  <si>
    <t>Avg. Expected</t>
  </si>
  <si>
    <t>Service Years</t>
  </si>
  <si>
    <t>When New</t>
  </si>
  <si>
    <t>No. Americans</t>
  </si>
  <si>
    <t>No. Active</t>
  </si>
  <si>
    <t>Service Yrs</t>
  </si>
  <si>
    <t>Avg Expected</t>
  </si>
  <si>
    <t>Responsibility</t>
  </si>
  <si>
    <t>Agency Capital</t>
  </si>
  <si>
    <t>Annual</t>
  </si>
  <si>
    <t>Target</t>
  </si>
  <si>
    <t>Performance</t>
  </si>
  <si>
    <t>Difference</t>
  </si>
  <si>
    <t>Line skipped</t>
  </si>
  <si>
    <t>Record Completion</t>
  </si>
  <si>
    <t>Expected life, no yr</t>
  </si>
  <si>
    <t>Age</t>
  </si>
  <si>
    <t>Grade</t>
  </si>
  <si>
    <t>Exclusive access/egress lane to or from these lanes to a terminal facility used as a HO/T lane</t>
  </si>
  <si>
    <t>Exclusive lane parallel to a multi-lane highway, physically separated from general traffic lanes</t>
  </si>
  <si>
    <t>Exclusive access/egress lane to or from these lanes to a terminal facility</t>
  </si>
  <si>
    <t>Priority lane on a multi-lane highway</t>
  </si>
  <si>
    <t>Stand alone high occupancy (HOV) roadway, no lanes open to general traffic</t>
  </si>
  <si>
    <t>Remain</t>
  </si>
  <si>
    <t>Vehicle Sum</t>
  </si>
  <si>
    <t>Vehicles Past Useful</t>
  </si>
  <si>
    <t>Condition</t>
  </si>
  <si>
    <t>Assessment</t>
  </si>
  <si>
    <t xml:space="preserve">Date of </t>
  </si>
  <si>
    <t>Condition Assesment</t>
  </si>
  <si>
    <t>CA Date</t>
  </si>
  <si>
    <t>Condition Assessment</t>
  </si>
  <si>
    <t>Estimated Date of Condition Assessment</t>
  </si>
  <si>
    <t>Pax. Facility Type</t>
  </si>
  <si>
    <t>NA</t>
  </si>
  <si>
    <t>Facility Count</t>
  </si>
  <si>
    <t>Facilities Past Useful</t>
  </si>
  <si>
    <t>Passenger Facility Codes</t>
  </si>
  <si>
    <t>Parking Spaces</t>
  </si>
  <si>
    <t>Est. Assessment Date</t>
  </si>
  <si>
    <t>Percentage of Passenger and Maint. facilities rated below condition 3 on the condition scale</t>
  </si>
  <si>
    <t>Avg Estimated</t>
  </si>
  <si>
    <t>Facilities rated 1 or 2</t>
  </si>
  <si>
    <t>AGE</t>
  </si>
  <si>
    <t>Admin</t>
  </si>
  <si>
    <t>Passenger</t>
  </si>
  <si>
    <t>Maintenance Buildings</t>
  </si>
  <si>
    <t>Parking Facilities</t>
  </si>
  <si>
    <t>Parking</t>
  </si>
  <si>
    <t>King County Department of Transportation - Metro Transit Division</t>
  </si>
  <si>
    <t>LR/DO</t>
  </si>
  <si>
    <t>LR/PT</t>
  </si>
  <si>
    <t>SR/DO</t>
  </si>
  <si>
    <t>Tri-County Metropolitan Transportation District of Oregon</t>
  </si>
  <si>
    <t>CR/PT</t>
  </si>
  <si>
    <t>SR/PT</t>
  </si>
  <si>
    <t>YR/PT</t>
  </si>
  <si>
    <t>City of Seattle - Seattle Center Monorail Transit</t>
  </si>
  <si>
    <t>MG/PT</t>
  </si>
  <si>
    <t>MO/DO</t>
  </si>
  <si>
    <t>MO/PT</t>
  </si>
  <si>
    <t>Central Puget Sound Regional Transit Authority</t>
  </si>
  <si>
    <t>Alaska Railroad Corporation</t>
  </si>
  <si>
    <t>AR/DO</t>
  </si>
  <si>
    <t>City of Portland</t>
  </si>
  <si>
    <t>Rhode Island Public Transit Authority</t>
  </si>
  <si>
    <t>Massachusetts Bay Transportation Authority</t>
  </si>
  <si>
    <t>CR/DO</t>
  </si>
  <si>
    <t>HR/DO</t>
  </si>
  <si>
    <t>Berkshire Regional Transit Authority</t>
  </si>
  <si>
    <t>AG/DO</t>
  </si>
  <si>
    <t>CC/DO</t>
  </si>
  <si>
    <t>Connecticut Department of Transportation</t>
  </si>
  <si>
    <t>Northern New England Passenger Rail Authority</t>
  </si>
  <si>
    <t>Niagara Frontier Transportation Authority</t>
  </si>
  <si>
    <t>MTA New York City Transit</t>
  </si>
  <si>
    <t>Port Authority Transit Corporation</t>
  </si>
  <si>
    <t>Metro-North Commuter Railroad Company, dba: MTA Metro-North Railroad</t>
  </si>
  <si>
    <t>New Jersey Transit Corporation</t>
  </si>
  <si>
    <t>Port Authority Trans-Hudson Corporation</t>
  </si>
  <si>
    <t>Staten Island Rapid Transit Operating Authority, dba: MTA Staten Island Railway</t>
  </si>
  <si>
    <t>MTA Long Island Rail Road</t>
  </si>
  <si>
    <t>Cambria County Transit Authority</t>
  </si>
  <si>
    <t>IP/DO</t>
  </si>
  <si>
    <t>Southeastern Pennsylvania Transportation Authority</t>
  </si>
  <si>
    <t>Port Authority of Allegheny County</t>
  </si>
  <si>
    <t>IP/PT</t>
  </si>
  <si>
    <t>Washington Metropolitan Area Transit Authority</t>
  </si>
  <si>
    <t>Maryland Transit Administration</t>
  </si>
  <si>
    <t>Pennsylvania Department of Transportation</t>
  </si>
  <si>
    <t>Virginia Railway Express</t>
  </si>
  <si>
    <t>Delaware Transit Corporation</t>
  </si>
  <si>
    <t>Arlington Transit - Arlington County</t>
  </si>
  <si>
    <t>HR/PT</t>
  </si>
  <si>
    <t>Transportation District Commission of Hampton Roads</t>
  </si>
  <si>
    <t>Monongalia County Urban Mass Transit Authority</t>
  </si>
  <si>
    <t>West Virginia University - Morgantown Personal Rapid Transit</t>
  </si>
  <si>
    <t>MG/DO</t>
  </si>
  <si>
    <t>DDOT - Progressive Transportation Services Administration</t>
  </si>
  <si>
    <t>Chattanooga Area Regional Transportation Authority</t>
  </si>
  <si>
    <t>Memphis Area Transit Authority</t>
  </si>
  <si>
    <t>Charlotte Area Transit System</t>
  </si>
  <si>
    <t>High Point Transit</t>
  </si>
  <si>
    <t>AG/PT</t>
  </si>
  <si>
    <t>CC/PT</t>
  </si>
  <si>
    <t>Metropolitan Atlanta Rapid Transit Authority</t>
  </si>
  <si>
    <t>Miami-Dade Transit</t>
  </si>
  <si>
    <t>Jacksonville Transportation Authority</t>
  </si>
  <si>
    <t>Hillsborough Area Regional Transit Authority</t>
  </si>
  <si>
    <t>Space Coast Area Transit</t>
  </si>
  <si>
    <t>South Florida Regional Transportation Authority</t>
  </si>
  <si>
    <t>Alternativa de Transporte Integrado -ATI</t>
  </si>
  <si>
    <t>Regional Transportation Authority</t>
  </si>
  <si>
    <t>City of Atlanta - Department of Public Works - Transit Division</t>
  </si>
  <si>
    <t>Central Florida Commuter Rail</t>
  </si>
  <si>
    <t>Kenosha Transit</t>
  </si>
  <si>
    <t>The Greater Cleveland Regional Transit Authority</t>
  </si>
  <si>
    <t xml:space="preserve">Metro Transit </t>
  </si>
  <si>
    <t>Chicago Transit Authority</t>
  </si>
  <si>
    <t>Northern Indiana Commuter Transportation District</t>
  </si>
  <si>
    <t>Bloomington Public Transportation Corporation</t>
  </si>
  <si>
    <t>Northeast Illinois Regional Commuter Railroad Corporation dba: Metra Rail</t>
  </si>
  <si>
    <t>City of Detroit Department of Transportation</t>
  </si>
  <si>
    <t>Detroit Transportation Corporation</t>
  </si>
  <si>
    <t>Fort Worth Transportation Authority</t>
  </si>
  <si>
    <t xml:space="preserve">Metropolitan Transit Authority of Harris County, Texas </t>
  </si>
  <si>
    <t>VIA Metropolitan Transit</t>
  </si>
  <si>
    <t>Island Transit</t>
  </si>
  <si>
    <t>New Orleans Regional Transit Authority</t>
  </si>
  <si>
    <t>Central Arkansas Transit Authority</t>
  </si>
  <si>
    <t>Capital Metropolitan Transportation Authority</t>
  </si>
  <si>
    <t>Dallas Area Rapid Transit</t>
  </si>
  <si>
    <t>Denton County Transportation Authority</t>
  </si>
  <si>
    <t>Rio Metro Regional Transit District</t>
  </si>
  <si>
    <t>McKinney Avenue Transit Authority</t>
  </si>
  <si>
    <t>Bi-State Development Agency of the Missouri-Illinois Metropolitan District, d.b.a.(St. Louis) Metro</t>
  </si>
  <si>
    <t>Coralville Transit System</t>
  </si>
  <si>
    <t>Utah Transit Authority</t>
  </si>
  <si>
    <t>Denver Regional Transportation District</t>
  </si>
  <si>
    <t>City and County of Honolulu Department of Transportation Services</t>
  </si>
  <si>
    <t>San Francisco Bay Area Rapid Transit District</t>
  </si>
  <si>
    <t>Santa Clara Valley Transportation Authority</t>
  </si>
  <si>
    <t>San Francisco Municipal Railway</t>
  </si>
  <si>
    <t>Sacramento Regional Transit District</t>
  </si>
  <si>
    <t>San Diego Metropolitan Transit System</t>
  </si>
  <si>
    <t>North County Transit District</t>
  </si>
  <si>
    <t>City of Tucson</t>
  </si>
  <si>
    <t>Orange County Transportation Authority</t>
  </si>
  <si>
    <t>Peninsula Corridor Joint Powers Board dba: Caltrain</t>
  </si>
  <si>
    <t>Regional Public Transportation Authority, dba: Valley Metro</t>
  </si>
  <si>
    <t>Southern California Regional Rail Authority dba: Metrolink</t>
  </si>
  <si>
    <t>Los Angeles County Metropolitan Transportation Authority dba: Metro</t>
  </si>
  <si>
    <t>Altamont Corridor Express</t>
  </si>
  <si>
    <t>Valley Metro Rail, Inc.</t>
  </si>
  <si>
    <t>Riverside County Transportation Commission</t>
  </si>
  <si>
    <t>Las Vegas Monorail Company</t>
  </si>
  <si>
    <t>00001</t>
  </si>
  <si>
    <t>00008</t>
  </si>
  <si>
    <t>00023</t>
  </si>
  <si>
    <t>00040</t>
  </si>
  <si>
    <t>00041</t>
  </si>
  <si>
    <t>00058</t>
  </si>
  <si>
    <t>10001</t>
  </si>
  <si>
    <t>10003</t>
  </si>
  <si>
    <t>10007</t>
  </si>
  <si>
    <t>10102</t>
  </si>
  <si>
    <t>10115</t>
  </si>
  <si>
    <t>20004</t>
  </si>
  <si>
    <t>20008</t>
  </si>
  <si>
    <t>20075</t>
  </si>
  <si>
    <t>20078</t>
  </si>
  <si>
    <t>20080</t>
  </si>
  <si>
    <t>20098</t>
  </si>
  <si>
    <t>20099</t>
  </si>
  <si>
    <t>20100</t>
  </si>
  <si>
    <t>30012</t>
  </si>
  <si>
    <t>30019</t>
  </si>
  <si>
    <t>30022</t>
  </si>
  <si>
    <t>30030</t>
  </si>
  <si>
    <t>30034</t>
  </si>
  <si>
    <t>30057</t>
  </si>
  <si>
    <t>30073</t>
  </si>
  <si>
    <t>30075</t>
  </si>
  <si>
    <t>30080</t>
  </si>
  <si>
    <t>30083</t>
  </si>
  <si>
    <t>30089</t>
  </si>
  <si>
    <t>30107</t>
  </si>
  <si>
    <t>30112</t>
  </si>
  <si>
    <t>40001</t>
  </si>
  <si>
    <t>40003</t>
  </si>
  <si>
    <t>40008</t>
  </si>
  <si>
    <t>40011</t>
  </si>
  <si>
    <t>40022</t>
  </si>
  <si>
    <t>40034</t>
  </si>
  <si>
    <t>40040</t>
  </si>
  <si>
    <t>40041</t>
  </si>
  <si>
    <t>40063</t>
  </si>
  <si>
    <t>40077</t>
  </si>
  <si>
    <t>40094</t>
  </si>
  <si>
    <t>40159</t>
  </si>
  <si>
    <t>40230</t>
  </si>
  <si>
    <t>40232</t>
  </si>
  <si>
    <t>50003</t>
  </si>
  <si>
    <t>50015</t>
  </si>
  <si>
    <t>50027</t>
  </si>
  <si>
    <t>50066</t>
  </si>
  <si>
    <t>50104</t>
  </si>
  <si>
    <t>50110</t>
  </si>
  <si>
    <t>50118</t>
  </si>
  <si>
    <t>50119</t>
  </si>
  <si>
    <t>50141</t>
  </si>
  <si>
    <t>60007</t>
  </si>
  <si>
    <t>60008</t>
  </si>
  <si>
    <t>60011</t>
  </si>
  <si>
    <t>60015</t>
  </si>
  <si>
    <t>60032</t>
  </si>
  <si>
    <t>60033</t>
  </si>
  <si>
    <t>60048</t>
  </si>
  <si>
    <t>60056</t>
  </si>
  <si>
    <t>60101</t>
  </si>
  <si>
    <t>60111</t>
  </si>
  <si>
    <t>60133</t>
  </si>
  <si>
    <t>70006</t>
  </si>
  <si>
    <t>70030</t>
  </si>
  <si>
    <t>80001</t>
  </si>
  <si>
    <t>80006</t>
  </si>
  <si>
    <t>90002</t>
  </si>
  <si>
    <t>90003</t>
  </si>
  <si>
    <t>90013</t>
  </si>
  <si>
    <t>90015</t>
  </si>
  <si>
    <t>90019</t>
  </si>
  <si>
    <t>90026</t>
  </si>
  <si>
    <t>90030</t>
  </si>
  <si>
    <t>90033</t>
  </si>
  <si>
    <t>90036</t>
  </si>
  <si>
    <t>90134</t>
  </si>
  <si>
    <t>90136</t>
  </si>
  <si>
    <t>90151</t>
  </si>
  <si>
    <t>90154</t>
  </si>
  <si>
    <t>90182</t>
  </si>
  <si>
    <t>90209</t>
  </si>
  <si>
    <t>90218</t>
  </si>
  <si>
    <t>90242</t>
  </si>
  <si>
    <t>Capital Responsibility</t>
  </si>
  <si>
    <t>Rail Transit Modes</t>
  </si>
  <si>
    <t>abc</t>
  </si>
  <si>
    <t>Agency With Shared</t>
  </si>
  <si>
    <t>Year Built or</t>
  </si>
  <si>
    <t>Total Must=</t>
  </si>
  <si>
    <t>Revenue Vehicle Inventory (RVI) ID.</t>
  </si>
  <si>
    <t>4.8-5.0</t>
  </si>
  <si>
    <t>Excellent - No visible defects, near-new condition.</t>
  </si>
  <si>
    <t>4.0-4.7</t>
  </si>
  <si>
    <t>Good - Some slightly defective or deteriorated components.</t>
  </si>
  <si>
    <t>3.0-3.9</t>
  </si>
  <si>
    <t>Adequate - Moderately defective or deteriorated components.</t>
  </si>
  <si>
    <t>2.0-2.9</t>
  </si>
  <si>
    <t>Marginal - Defective or deteriorated components in need of replacement.</t>
  </si>
  <si>
    <t>1.0-1.9</t>
  </si>
  <si>
    <t>Poor - Seriously damaged components in need of immediate repair.</t>
  </si>
  <si>
    <t>,</t>
  </si>
  <si>
    <t>Sum</t>
  </si>
  <si>
    <t>Diff</t>
  </si>
  <si>
    <t>Remaining</t>
  </si>
  <si>
    <t>Ownership code</t>
  </si>
  <si>
    <t>Leased under lease purchase agreement by a public agency</t>
  </si>
  <si>
    <t>Leased under lease purchase agreement by a private entity</t>
  </si>
  <si>
    <t>Leased or borrowed from related parties by a public agency</t>
  </si>
  <si>
    <t>Leased or borrowed from related parties by a private entity</t>
  </si>
  <si>
    <t>Owned outright by public agency (includes safe harbor leasing agreements where only the tax title is sold)</t>
  </si>
  <si>
    <t>Owned outright by private entity (includes safe harbor leasing agreements where only the tax title is sold)</t>
  </si>
  <si>
    <t>True lease by a public agency</t>
  </si>
  <si>
    <t>True lease by a private entity</t>
  </si>
  <si>
    <t xml:space="preserve">Modes </t>
  </si>
  <si>
    <t>Operated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</si>
</sst>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quot;$&quot;#,##0"/>
    <numFmt numFmtId="168" formatCode="0.00000"/>
    <numFmt numFmtId="169" formatCode="0.0%"/>
    <numFmt numFmtId="170" formatCode="0_);[Red]\(0\)"/>
    <numFmt numFmtId="171" formatCode="_(* #,##0.000_);_(* \(#,##0.000\);_(* &quot;-&quot;??_);_(@_)"/>
    <numFmt numFmtId="172" formatCode="_(* #,##0.0_);_(* \(#,##0.0\);_(* &quot;-&quot;??_);_(@_)"/>
    <numFmt numFmtId="173" formatCode="00000"/>
    <numFmt numFmtId="174" formatCode="_(* #,##0.0000_);_(* \(#,##0.0000\);_(* &quot;-&quot;??_);_(@_)"/>
    <numFmt numFmtId="175" formatCode="#,##0.000"/>
  </numFmts>
  <fonts count="91" x14ac:knownFonts="1">
    <font>
      <sz val="10"/>
      <name val="Arial"/>
    </font>
    <font>
      <sz val="10"/>
      <color theme="1"/>
      <name val="Arial Narrow"/>
      <family val="2"/>
    </font>
    <font>
      <sz val="10"/>
      <color theme="1"/>
      <name val="Arial Narrow"/>
      <family val="2"/>
    </font>
    <font>
      <sz val="10"/>
      <color theme="1"/>
      <name val="Arial Narrow"/>
      <family val="2"/>
    </font>
    <font>
      <sz val="10"/>
      <color theme="1"/>
      <name val="Arial Narrow"/>
      <family val="2"/>
    </font>
    <font>
      <sz val="10"/>
      <name val="Arial"/>
      <family val="2"/>
    </font>
    <font>
      <b/>
      <sz val="10"/>
      <name val="Arial"/>
      <family val="2"/>
    </font>
    <font>
      <sz val="10"/>
      <name val="Arial Narrow"/>
      <family val="2"/>
    </font>
    <font>
      <b/>
      <sz val="10"/>
      <name val="Arial Narrow"/>
      <family val="2"/>
    </font>
    <font>
      <b/>
      <sz val="12"/>
      <color indexed="9"/>
      <name val="Arial"/>
      <family val="2"/>
    </font>
    <font>
      <sz val="10"/>
      <name val="Arial"/>
      <family val="2"/>
    </font>
    <font>
      <sz val="10"/>
      <color indexed="10"/>
      <name val="Arial"/>
      <family val="2"/>
    </font>
    <font>
      <b/>
      <sz val="10"/>
      <color indexed="10"/>
      <name val="Arial"/>
      <family val="2"/>
    </font>
    <font>
      <u/>
      <sz val="10"/>
      <color indexed="12"/>
      <name val="Arial"/>
      <family val="2"/>
    </font>
    <font>
      <sz val="10"/>
      <color indexed="8"/>
      <name val="Arial"/>
      <family val="2"/>
    </font>
    <font>
      <sz val="10"/>
      <color indexed="8"/>
      <name val="Arial Narrow"/>
      <family val="2"/>
    </font>
    <font>
      <b/>
      <sz val="10"/>
      <color indexed="8"/>
      <name val="Arial"/>
      <family val="2"/>
    </font>
    <font>
      <sz val="8"/>
      <name val="Arial Narrow"/>
      <family val="2"/>
    </font>
    <font>
      <b/>
      <sz val="10"/>
      <color indexed="9"/>
      <name val="Arial"/>
      <family val="2"/>
    </font>
    <font>
      <sz val="10"/>
      <color indexed="10"/>
      <name val="Arial Narrow"/>
      <family val="2"/>
    </font>
    <font>
      <b/>
      <sz val="10"/>
      <color indexed="57"/>
      <name val="Arial"/>
      <family val="2"/>
    </font>
    <font>
      <sz val="10"/>
      <color indexed="62"/>
      <name val="Arial"/>
      <family val="2"/>
    </font>
    <font>
      <b/>
      <sz val="10"/>
      <color indexed="62"/>
      <name val="Arial"/>
      <family val="2"/>
    </font>
    <font>
      <b/>
      <u/>
      <sz val="10"/>
      <color indexed="62"/>
      <name val="Arial"/>
      <family val="2"/>
    </font>
    <font>
      <sz val="10"/>
      <color rgb="FFFF0000"/>
      <name val="Arial"/>
      <family val="2"/>
    </font>
    <font>
      <b/>
      <sz val="10"/>
      <color rgb="FFFF0000"/>
      <name val="Arial"/>
      <family val="2"/>
    </font>
    <font>
      <b/>
      <sz val="10"/>
      <color indexed="42"/>
      <name val="Arial"/>
      <family val="2"/>
    </font>
    <font>
      <b/>
      <sz val="10"/>
      <color theme="3"/>
      <name val="Arial"/>
      <family val="2"/>
    </font>
    <font>
      <sz val="10"/>
      <color theme="1"/>
      <name val="Arial"/>
      <family val="2"/>
    </font>
    <font>
      <b/>
      <sz val="10"/>
      <color rgb="FF333399"/>
      <name val="Arial"/>
      <family val="2"/>
    </font>
    <font>
      <sz val="10"/>
      <color theme="0"/>
      <name val="Arial"/>
      <family val="2"/>
    </font>
    <font>
      <b/>
      <sz val="10"/>
      <color indexed="9"/>
      <name val="Arial Narrow"/>
      <family val="2"/>
    </font>
    <font>
      <b/>
      <sz val="10"/>
      <color indexed="57"/>
      <name val="Arial Narrow"/>
      <family val="2"/>
    </font>
    <font>
      <i/>
      <sz val="10"/>
      <color rgb="FFFF0000"/>
      <name val="Arial"/>
      <family val="2"/>
    </font>
    <font>
      <sz val="10"/>
      <color theme="3" tint="-0.249977111117893"/>
      <name val="Arial"/>
      <family val="2"/>
    </font>
    <font>
      <b/>
      <sz val="10"/>
      <color theme="3" tint="-0.249977111117893"/>
      <name val="Arial"/>
      <family val="2"/>
    </font>
    <font>
      <sz val="16"/>
      <color theme="3" tint="-0.249977111117893"/>
      <name val="Arial"/>
      <family val="2"/>
    </font>
    <font>
      <b/>
      <sz val="16"/>
      <color theme="3" tint="-0.249977111117893"/>
      <name val="Arial"/>
      <family val="2"/>
    </font>
    <font>
      <b/>
      <u/>
      <sz val="10"/>
      <color theme="3" tint="-0.249977111117893"/>
      <name val="Arial"/>
      <family val="2"/>
    </font>
    <font>
      <b/>
      <sz val="10"/>
      <color rgb="FFFF0000"/>
      <name val="Arial Narrow"/>
      <family val="2"/>
    </font>
    <font>
      <sz val="10"/>
      <color theme="3"/>
      <name val="Arial"/>
      <family val="2"/>
    </font>
    <font>
      <sz val="10"/>
      <color theme="0" tint="-0.499984740745262"/>
      <name val="Arial"/>
      <family val="2"/>
    </font>
    <font>
      <b/>
      <sz val="10"/>
      <color theme="0" tint="-0.499984740745262"/>
      <name val="Arial"/>
      <family val="2"/>
    </font>
    <font>
      <sz val="10"/>
      <color theme="0" tint="-0.499984740745262"/>
      <name val="Arial Narrow"/>
      <family val="2"/>
    </font>
    <font>
      <b/>
      <i/>
      <sz val="10"/>
      <color theme="3" tint="-0.249977111117893"/>
      <name val="Arial"/>
      <family val="2"/>
    </font>
    <font>
      <sz val="16"/>
      <color theme="0" tint="-0.499984740745262"/>
      <name val="Arial"/>
      <family val="2"/>
    </font>
    <font>
      <i/>
      <sz val="10"/>
      <name val="Arial"/>
      <family val="2"/>
    </font>
    <font>
      <b/>
      <sz val="10"/>
      <color rgb="FF339966"/>
      <name val="Arial Narrow"/>
      <family val="2"/>
    </font>
    <font>
      <b/>
      <sz val="10"/>
      <color theme="3" tint="-0.249977111117893"/>
      <name val="Calibri"/>
      <family val="2"/>
      <scheme val="minor"/>
    </font>
    <font>
      <sz val="10"/>
      <name val="Calibri"/>
      <family val="2"/>
      <scheme val="minor"/>
    </font>
    <font>
      <b/>
      <sz val="10"/>
      <name val="Calibri"/>
      <family val="2"/>
      <scheme val="minor"/>
    </font>
    <font>
      <b/>
      <sz val="10"/>
      <color theme="3"/>
      <name val="Calibri"/>
      <family val="2"/>
      <scheme val="minor"/>
    </font>
    <font>
      <sz val="14"/>
      <name val="Calibri"/>
      <family val="2"/>
    </font>
    <font>
      <sz val="14"/>
      <name val="Calibri"/>
      <family val="2"/>
      <scheme val="minor"/>
    </font>
    <font>
      <b/>
      <sz val="10"/>
      <color theme="3" tint="-0.499984740745262"/>
      <name val="Calibri"/>
      <family val="2"/>
      <scheme val="minor"/>
    </font>
    <font>
      <sz val="11"/>
      <name val="Calibri"/>
      <family val="2"/>
    </font>
    <font>
      <b/>
      <sz val="9"/>
      <color rgb="FF17365D"/>
      <name val="Arial"/>
      <family val="2"/>
    </font>
    <font>
      <sz val="9"/>
      <name val="Arial"/>
      <family val="2"/>
    </font>
    <font>
      <sz val="10"/>
      <color rgb="FF333399"/>
      <name val="Arial"/>
      <family val="2"/>
    </font>
    <font>
      <sz val="10"/>
      <name val="Arial"/>
      <family val="2"/>
    </font>
    <font>
      <b/>
      <i/>
      <sz val="8"/>
      <name val="Arial"/>
      <family val="2"/>
    </font>
    <font>
      <sz val="8"/>
      <name val="Arial"/>
      <family val="2"/>
    </font>
    <font>
      <i/>
      <sz val="8"/>
      <name val="Arial"/>
      <family val="2"/>
    </font>
    <font>
      <sz val="8"/>
      <color theme="1"/>
      <name val="Arial"/>
      <family val="2"/>
    </font>
    <font>
      <b/>
      <sz val="8"/>
      <name val="Arial"/>
      <family val="2"/>
    </font>
    <font>
      <b/>
      <sz val="12"/>
      <color theme="3" tint="-0.249977111117893"/>
      <name val="Arial"/>
      <family val="2"/>
    </font>
    <font>
      <b/>
      <sz val="12"/>
      <color theme="3"/>
      <name val="Arial"/>
      <family val="2"/>
    </font>
    <font>
      <sz val="12"/>
      <color theme="3"/>
      <name val="Arial"/>
      <family val="2"/>
    </font>
    <font>
      <sz val="12"/>
      <color theme="3" tint="-0.249977111117893"/>
      <name val="Arial"/>
      <family val="2"/>
    </font>
    <font>
      <b/>
      <sz val="10"/>
      <color theme="3" tint="-0.249977111117893"/>
      <name val="Arial Narrow"/>
      <family val="2"/>
    </font>
    <font>
      <i/>
      <sz val="10"/>
      <name val="Arial Narrow"/>
      <family val="2"/>
    </font>
    <font>
      <i/>
      <sz val="9"/>
      <name val="Arial Narrow"/>
      <family val="2"/>
    </font>
    <font>
      <b/>
      <sz val="12"/>
      <name val="Arial"/>
      <family val="2"/>
    </font>
    <font>
      <sz val="8"/>
      <color indexed="81"/>
      <name val="Tahoma"/>
      <family val="2"/>
    </font>
    <font>
      <b/>
      <sz val="8"/>
      <color indexed="81"/>
      <name val="Tahoma"/>
      <family val="2"/>
    </font>
    <font>
      <b/>
      <i/>
      <sz val="10"/>
      <color rgb="FFFF0000"/>
      <name val="Arial"/>
      <family val="2"/>
    </font>
    <font>
      <b/>
      <sz val="15"/>
      <name val="Calibri"/>
      <family val="2"/>
      <scheme val="minor"/>
    </font>
    <font>
      <b/>
      <sz val="12"/>
      <color theme="1"/>
      <name val="Arial"/>
      <family val="2"/>
    </font>
    <font>
      <sz val="12"/>
      <color theme="1"/>
      <name val="Arial"/>
      <family val="2"/>
    </font>
    <font>
      <sz val="10"/>
      <color theme="1"/>
      <name val="Calibri"/>
      <family val="2"/>
      <scheme val="minor"/>
    </font>
    <font>
      <b/>
      <sz val="10"/>
      <color theme="1"/>
      <name val="Arial"/>
      <family val="2"/>
    </font>
    <font>
      <b/>
      <sz val="16"/>
      <color theme="0"/>
      <name val="Arial"/>
      <family val="2"/>
    </font>
    <font>
      <b/>
      <sz val="10"/>
      <color theme="0"/>
      <name val="Arial"/>
      <family val="2"/>
    </font>
    <font>
      <sz val="8"/>
      <color indexed="62"/>
      <name val="Arial"/>
      <family val="2"/>
    </font>
    <font>
      <sz val="8"/>
      <color theme="3" tint="-0.249977111117893"/>
      <name val="Arial"/>
      <family val="2"/>
    </font>
    <font>
      <b/>
      <sz val="10"/>
      <color theme="2" tint="-9.9978637043366805E-2"/>
      <name val="Arial"/>
      <family val="2"/>
    </font>
    <font>
      <b/>
      <sz val="8"/>
      <color theme="3" tint="-0.249977111117893"/>
      <name val="Arial"/>
      <family val="2"/>
    </font>
    <font>
      <sz val="8"/>
      <color theme="0"/>
      <name val="Arial"/>
      <family val="2"/>
    </font>
    <font>
      <sz val="8"/>
      <color rgb="FF000000"/>
      <name val="Calibri"/>
      <family val="2"/>
    </font>
    <font>
      <sz val="8"/>
      <color theme="0" tint="-0.14999847407452621"/>
      <name val="Arial"/>
      <family val="2"/>
    </font>
    <font>
      <b/>
      <sz val="12"/>
      <color theme="0" tint="-0.499984740745262"/>
      <name val="Arial"/>
      <family val="2"/>
    </font>
  </fonts>
  <fills count="23">
    <fill>
      <patternFill patternType="none"/>
    </fill>
    <fill>
      <patternFill patternType="gray125"/>
    </fill>
    <fill>
      <patternFill patternType="solid">
        <fgColor indexed="12"/>
        <bgColor indexed="64"/>
      </patternFill>
    </fill>
    <fill>
      <patternFill patternType="solid">
        <fgColor indexed="51"/>
        <bgColor indexed="64"/>
      </patternFill>
    </fill>
    <fill>
      <patternFill patternType="solid">
        <fgColor indexed="22"/>
        <bgColor indexed="64"/>
      </patternFill>
    </fill>
    <fill>
      <patternFill patternType="solid">
        <fgColor indexed="53"/>
        <bgColor indexed="64"/>
      </patternFill>
    </fill>
    <fill>
      <patternFill patternType="solid">
        <fgColor indexed="40"/>
        <bgColor indexed="64"/>
      </patternFill>
    </fill>
    <fill>
      <patternFill patternType="solid">
        <fgColor indexed="9"/>
        <bgColor indexed="64"/>
      </patternFill>
    </fill>
    <fill>
      <patternFill patternType="solid">
        <fgColor indexed="15"/>
        <bgColor indexed="64"/>
      </patternFill>
    </fill>
    <fill>
      <patternFill patternType="solid">
        <fgColor indexed="8"/>
        <bgColor indexed="64"/>
      </patternFill>
    </fill>
    <fill>
      <patternFill patternType="solid">
        <fgColor indexed="23"/>
        <bgColor indexed="64"/>
      </patternFill>
    </fill>
    <fill>
      <patternFill patternType="solid">
        <fgColor indexed="57"/>
        <bgColor indexed="64"/>
      </patternFill>
    </fill>
    <fill>
      <patternFill patternType="solid">
        <fgColor theme="0"/>
        <bgColor indexed="64"/>
      </patternFill>
    </fill>
    <fill>
      <patternFill patternType="solid">
        <fgColor rgb="FFC0C0C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85ADE9"/>
        <bgColor indexed="64"/>
      </patternFill>
    </fill>
    <fill>
      <patternFill patternType="solid">
        <fgColor theme="2"/>
        <bgColor indexed="64"/>
      </patternFill>
    </fill>
    <fill>
      <patternFill patternType="solid">
        <fgColor rgb="FFFFFF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BFBFBF"/>
        <bgColor indexed="64"/>
      </patternFill>
    </fill>
  </fills>
  <borders count="1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23"/>
      </left>
      <right style="thin">
        <color indexed="23"/>
      </right>
      <top style="medium">
        <color indexed="23"/>
      </top>
      <bottom style="thin">
        <color indexed="23"/>
      </bottom>
      <diagonal/>
    </border>
    <border>
      <left style="medium">
        <color indexed="64"/>
      </left>
      <right/>
      <top style="thin">
        <color indexed="64"/>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top style="thin">
        <color theme="4" tint="0.39994506668294322"/>
      </top>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bottom/>
      <diagonal/>
    </border>
    <border>
      <left/>
      <right style="thin">
        <color theme="4" tint="0.39994506668294322"/>
      </right>
      <top/>
      <bottom/>
      <diagonal/>
    </border>
    <border>
      <left style="thin">
        <color theme="4" tint="0.39994506668294322"/>
      </left>
      <right/>
      <top/>
      <bottom style="thin">
        <color theme="4" tint="0.39994506668294322"/>
      </bottom>
      <diagonal/>
    </border>
    <border>
      <left/>
      <right/>
      <top/>
      <bottom style="thin">
        <color theme="4" tint="0.39994506668294322"/>
      </bottom>
      <diagonal/>
    </border>
    <border>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145481734672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theme="4" tint="0.39994506668294322"/>
      </right>
      <top style="thin">
        <color theme="4" tint="0.39994506668294322"/>
      </top>
      <bottom style="thin">
        <color theme="4" tint="0.39994506668294322"/>
      </bottom>
      <diagonal/>
    </border>
    <border>
      <left style="medium">
        <color indexed="64"/>
      </left>
      <right style="thin">
        <color indexed="64"/>
      </right>
      <top style="double">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4" tint="0.39994506668294322"/>
      </right>
      <top style="thin">
        <color indexed="64"/>
      </top>
      <bottom style="thin">
        <color theme="4" tint="0.39994506668294322"/>
      </bottom>
      <diagonal/>
    </border>
    <border>
      <left/>
      <right style="thin">
        <color theme="4" tint="0.39994506668294322"/>
      </right>
      <top style="thin">
        <color theme="4" tint="0.39994506668294322"/>
      </top>
      <bottom style="thin">
        <color indexed="64"/>
      </bottom>
      <diagonal/>
    </border>
    <border>
      <left/>
      <right style="thin">
        <color theme="4" tint="0.39994506668294322"/>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right style="medium">
        <color indexed="64"/>
      </right>
      <top style="thin">
        <color theme="4" tint="0.39994506668294322"/>
      </top>
      <bottom style="thin">
        <color theme="4" tint="0.39994506668294322"/>
      </bottom>
      <diagonal/>
    </border>
    <border>
      <left/>
      <right style="medium">
        <color indexed="64"/>
      </right>
      <top style="thin">
        <color theme="4" tint="0.39994506668294322"/>
      </top>
      <bottom style="thin">
        <color indexed="64"/>
      </bottom>
      <diagonal/>
    </border>
    <border>
      <left/>
      <right style="medium">
        <color indexed="64"/>
      </right>
      <top style="thin">
        <color indexed="64"/>
      </top>
      <bottom style="thin">
        <color theme="4" tint="0.39994506668294322"/>
      </bottom>
      <diagonal/>
    </border>
    <border>
      <left style="medium">
        <color indexed="64"/>
      </left>
      <right/>
      <top/>
      <bottom style="medium">
        <color indexed="64"/>
      </bottom>
      <diagonal/>
    </border>
    <border>
      <left/>
      <right style="thin">
        <color theme="4" tint="0.39994506668294322"/>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rgb="FF85ADE9"/>
      </left>
      <right style="thin">
        <color rgb="FF85ADE9"/>
      </right>
      <top style="thin">
        <color rgb="FF85ADE9"/>
      </top>
      <bottom style="thin">
        <color rgb="FF85ADE9"/>
      </bottom>
      <diagonal/>
    </border>
    <border>
      <left/>
      <right style="thin">
        <color indexed="64"/>
      </right>
      <top/>
      <bottom style="medium">
        <color indexed="64"/>
      </bottom>
      <diagonal/>
    </border>
    <border>
      <left style="thin">
        <color rgb="FF95B3D7"/>
      </left>
      <right style="thin">
        <color rgb="FF95B3D7"/>
      </right>
      <top style="thin">
        <color rgb="FF95B3D7"/>
      </top>
      <bottom style="thin">
        <color rgb="FF95B3D7"/>
      </bottom>
      <diagonal/>
    </border>
  </borders>
  <cellStyleXfs count="34">
    <xf numFmtId="0" fontId="0" fillId="0" borderId="0"/>
    <xf numFmtId="43"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13" fillId="0" borderId="0" applyNumberFormat="0" applyFill="0" applyBorder="0" applyAlignment="0" applyProtection="0">
      <alignment vertical="top"/>
      <protection locked="0"/>
    </xf>
    <xf numFmtId="0" fontId="10" fillId="0" borderId="0"/>
    <xf numFmtId="9" fontId="5" fillId="0" borderId="0" applyFont="0" applyFill="0" applyBorder="0" applyAlignment="0" applyProtection="0"/>
    <xf numFmtId="9" fontId="1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43" fontId="5" fillId="0" borderId="0" applyFont="0" applyFill="0" applyBorder="0" applyAlignment="0" applyProtection="0"/>
    <xf numFmtId="0" fontId="5" fillId="0" borderId="0"/>
    <xf numFmtId="44"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 fillId="0" borderId="0"/>
    <xf numFmtId="0" fontId="1" fillId="0" borderId="0"/>
    <xf numFmtId="0" fontId="59" fillId="0" borderId="0" applyNumberFormat="0" applyFont="0" applyFill="0" applyBorder="0" applyAlignment="0" applyProtection="0">
      <alignment vertical="top"/>
    </xf>
  </cellStyleXfs>
  <cellXfs count="2083">
    <xf numFmtId="0" fontId="0" fillId="0" borderId="0" xfId="0"/>
    <xf numFmtId="0" fontId="7" fillId="0" borderId="0" xfId="0" applyFont="1"/>
    <xf numFmtId="0" fontId="7" fillId="4" borderId="0" xfId="0" applyFont="1" applyFill="1" applyAlignment="1">
      <alignment horizontal="right" vertical="center" wrapText="1"/>
    </xf>
    <xf numFmtId="0" fontId="7" fillId="0" borderId="0" xfId="0" applyFont="1" applyAlignment="1">
      <alignment horizontal="right" vertical="center" wrapText="1"/>
    </xf>
    <xf numFmtId="0" fontId="16" fillId="5" borderId="0" xfId="0" applyFont="1" applyFill="1"/>
    <xf numFmtId="0" fontId="14" fillId="3" borderId="0" xfId="0" applyFont="1" applyFill="1"/>
    <xf numFmtId="0" fontId="9" fillId="5" borderId="0" xfId="0" applyFont="1" applyFill="1"/>
    <xf numFmtId="168" fontId="7" fillId="0" borderId="11" xfId="0" applyNumberFormat="1" applyFont="1" applyBorder="1" applyAlignment="1">
      <alignment horizontal="right"/>
    </xf>
    <xf numFmtId="168" fontId="7" fillId="0" borderId="12" xfId="0" applyNumberFormat="1" applyFont="1" applyBorder="1" applyAlignment="1">
      <alignment horizontal="right"/>
    </xf>
    <xf numFmtId="168" fontId="7" fillId="0" borderId="15" xfId="0" applyNumberFormat="1" applyFont="1" applyBorder="1" applyAlignment="1">
      <alignment horizontal="right"/>
    </xf>
    <xf numFmtId="168" fontId="7" fillId="0" borderId="5" xfId="0" applyNumberFormat="1" applyFont="1" applyBorder="1" applyAlignment="1">
      <alignment horizontal="right"/>
    </xf>
    <xf numFmtId="168" fontId="7" fillId="0" borderId="21" xfId="0" applyNumberFormat="1" applyFont="1" applyBorder="1" applyAlignment="1">
      <alignment horizontal="right"/>
    </xf>
    <xf numFmtId="168" fontId="7" fillId="0" borderId="19" xfId="0" applyNumberFormat="1" applyFont="1" applyBorder="1" applyAlignment="1">
      <alignment horizontal="right"/>
    </xf>
    <xf numFmtId="1" fontId="7" fillId="0" borderId="5" xfId="0" applyNumberFormat="1" applyFont="1" applyBorder="1" applyAlignment="1">
      <alignment horizontal="right"/>
    </xf>
    <xf numFmtId="168" fontId="7" fillId="0" borderId="17" xfId="0" applyNumberFormat="1" applyFont="1" applyBorder="1" applyAlignment="1">
      <alignment horizontal="right"/>
    </xf>
    <xf numFmtId="168" fontId="7" fillId="0" borderId="18" xfId="0" applyNumberFormat="1" applyFont="1" applyBorder="1" applyAlignment="1">
      <alignment horizontal="right"/>
    </xf>
    <xf numFmtId="168" fontId="7" fillId="0" borderId="16" xfId="0" applyNumberFormat="1" applyFont="1" applyBorder="1" applyAlignment="1">
      <alignment horizontal="right"/>
    </xf>
    <xf numFmtId="168" fontId="7" fillId="0" borderId="46" xfId="0" applyNumberFormat="1" applyFont="1" applyBorder="1" applyAlignment="1">
      <alignment horizontal="right"/>
    </xf>
    <xf numFmtId="168" fontId="7" fillId="0" borderId="22" xfId="0" applyNumberFormat="1" applyFont="1" applyBorder="1" applyAlignment="1">
      <alignment horizontal="right"/>
    </xf>
    <xf numFmtId="168" fontId="7" fillId="0" borderId="20" xfId="0" applyNumberFormat="1" applyFont="1" applyBorder="1" applyAlignment="1">
      <alignment horizontal="right"/>
    </xf>
    <xf numFmtId="1" fontId="7" fillId="0" borderId="46" xfId="0" applyNumberFormat="1" applyFont="1" applyBorder="1" applyAlignment="1">
      <alignment horizontal="right"/>
    </xf>
    <xf numFmtId="0" fontId="15" fillId="3" borderId="0" xfId="0" applyFont="1" applyFill="1"/>
    <xf numFmtId="168" fontId="7" fillId="0" borderId="11" xfId="0" applyNumberFormat="1" applyFont="1" applyBorder="1"/>
    <xf numFmtId="168" fontId="7" fillId="0" borderId="12" xfId="0" applyNumberFormat="1" applyFont="1" applyBorder="1"/>
    <xf numFmtId="168" fontId="7" fillId="0" borderId="5" xfId="0" applyNumberFormat="1" applyFont="1" applyBorder="1"/>
    <xf numFmtId="168" fontId="7" fillId="0" borderId="12" xfId="1" applyNumberFormat="1" applyFont="1" applyBorder="1"/>
    <xf numFmtId="168" fontId="7" fillId="0" borderId="15" xfId="1" applyNumberFormat="1" applyFont="1" applyBorder="1"/>
    <xf numFmtId="168" fontId="7" fillId="0" borderId="5" xfId="1" applyNumberFormat="1" applyFont="1" applyBorder="1"/>
    <xf numFmtId="168" fontId="7" fillId="0" borderId="11" xfId="1" applyNumberFormat="1" applyFont="1" applyBorder="1"/>
    <xf numFmtId="168" fontId="7" fillId="0" borderId="21" xfId="1" applyNumberFormat="1" applyFont="1" applyBorder="1"/>
    <xf numFmtId="168" fontId="7" fillId="0" borderId="19" xfId="1" applyNumberFormat="1" applyFont="1" applyBorder="1"/>
    <xf numFmtId="1" fontId="7" fillId="0" borderId="5" xfId="0" applyNumberFormat="1" applyFont="1" applyBorder="1"/>
    <xf numFmtId="0" fontId="17" fillId="3" borderId="11" xfId="0" applyFont="1" applyFill="1" applyBorder="1" applyAlignment="1">
      <alignment horizontal="right"/>
    </xf>
    <xf numFmtId="0" fontId="17" fillId="3" borderId="0" xfId="0" applyFont="1" applyFill="1" applyBorder="1" applyAlignment="1">
      <alignment horizontal="right"/>
    </xf>
    <xf numFmtId="0" fontId="17" fillId="3" borderId="5" xfId="0" applyFont="1" applyFill="1" applyBorder="1" applyAlignment="1">
      <alignment horizontal="right"/>
    </xf>
    <xf numFmtId="0" fontId="17" fillId="3" borderId="33" xfId="0" applyFont="1" applyFill="1" applyBorder="1" applyAlignment="1">
      <alignment horizontal="right"/>
    </xf>
    <xf numFmtId="0" fontId="17" fillId="3" borderId="44" xfId="0" applyFont="1" applyFill="1" applyBorder="1" applyAlignment="1">
      <alignment horizontal="right"/>
    </xf>
    <xf numFmtId="0" fontId="17" fillId="3" borderId="46" xfId="0" applyFont="1" applyFill="1" applyBorder="1" applyAlignment="1">
      <alignment horizontal="right"/>
    </xf>
    <xf numFmtId="0" fontId="17" fillId="3" borderId="9" xfId="0" applyFont="1" applyFill="1" applyBorder="1" applyAlignment="1">
      <alignment horizontal="right"/>
    </xf>
    <xf numFmtId="0" fontId="17" fillId="3" borderId="10" xfId="0" applyFont="1" applyFill="1" applyBorder="1" applyAlignment="1">
      <alignment horizontal="right"/>
    </xf>
    <xf numFmtId="0" fontId="17" fillId="3" borderId="11" xfId="0" applyFont="1" applyFill="1" applyBorder="1" applyAlignment="1">
      <alignment horizontal="right" wrapText="1"/>
    </xf>
    <xf numFmtId="0" fontId="17" fillId="3" borderId="17" xfId="0" applyFont="1" applyFill="1" applyBorder="1" applyAlignment="1">
      <alignment horizontal="right" wrapText="1"/>
    </xf>
    <xf numFmtId="0" fontId="17" fillId="3" borderId="36" xfId="0" applyFont="1" applyFill="1" applyBorder="1" applyAlignment="1">
      <alignment horizontal="right" wrapText="1"/>
    </xf>
    <xf numFmtId="0" fontId="17" fillId="3" borderId="29" xfId="0" applyFont="1" applyFill="1" applyBorder="1" applyAlignment="1">
      <alignment horizontal="right" wrapText="1"/>
    </xf>
    <xf numFmtId="0" fontId="17" fillId="3" borderId="40" xfId="0" applyFont="1" applyFill="1" applyBorder="1" applyAlignment="1">
      <alignment horizontal="right" wrapText="1"/>
    </xf>
    <xf numFmtId="0" fontId="17" fillId="3" borderId="35" xfId="0" applyFont="1" applyFill="1" applyBorder="1" applyAlignment="1">
      <alignment horizontal="right" wrapText="1"/>
    </xf>
    <xf numFmtId="0" fontId="17" fillId="3" borderId="18" xfId="0" applyFont="1" applyFill="1" applyBorder="1" applyAlignment="1">
      <alignment horizontal="right" wrapText="1"/>
    </xf>
    <xf numFmtId="0" fontId="17" fillId="3" borderId="46" xfId="0" applyFont="1" applyFill="1" applyBorder="1" applyAlignment="1">
      <alignment horizontal="right" wrapText="1"/>
    </xf>
    <xf numFmtId="0" fontId="17" fillId="3" borderId="39" xfId="0" applyFont="1" applyFill="1" applyBorder="1" applyAlignment="1">
      <alignment horizontal="right" wrapText="1"/>
    </xf>
    <xf numFmtId="0" fontId="17" fillId="3" borderId="51" xfId="0" applyFont="1" applyFill="1" applyBorder="1" applyAlignment="1">
      <alignment horizontal="right" wrapText="1"/>
    </xf>
    <xf numFmtId="0" fontId="17" fillId="3" borderId="52" xfId="0" applyFont="1" applyFill="1" applyBorder="1" applyAlignment="1">
      <alignment horizontal="right" wrapText="1"/>
    </xf>
    <xf numFmtId="0" fontId="17" fillId="3" borderId="38" xfId="0" applyFont="1" applyFill="1" applyBorder="1" applyAlignment="1">
      <alignment horizontal="right" wrapText="1"/>
    </xf>
    <xf numFmtId="0" fontId="7" fillId="3" borderId="13" xfId="0" applyFont="1" applyFill="1" applyBorder="1" applyAlignment="1">
      <alignment horizontal="right" wrapText="1"/>
    </xf>
    <xf numFmtId="0" fontId="7" fillId="3" borderId="14" xfId="0" applyFont="1" applyFill="1" applyBorder="1" applyAlignment="1">
      <alignment horizontal="right" wrapText="1"/>
    </xf>
    <xf numFmtId="0" fontId="7" fillId="3" borderId="7" xfId="0" applyFont="1" applyFill="1" applyBorder="1" applyAlignment="1">
      <alignment horizontal="right" wrapText="1"/>
    </xf>
    <xf numFmtId="0" fontId="7" fillId="3" borderId="27" xfId="0" applyFont="1" applyFill="1" applyBorder="1" applyAlignment="1">
      <alignment horizontal="right" wrapText="1"/>
    </xf>
    <xf numFmtId="0" fontId="17" fillId="3" borderId="45" xfId="0" applyFont="1" applyFill="1" applyBorder="1" applyAlignment="1">
      <alignment horizontal="right" wrapText="1"/>
    </xf>
    <xf numFmtId="0" fontId="17" fillId="3" borderId="28" xfId="0" applyFont="1" applyFill="1" applyBorder="1" applyAlignment="1">
      <alignment horizontal="right" wrapText="1"/>
    </xf>
    <xf numFmtId="0" fontId="7" fillId="3" borderId="42" xfId="0" applyFont="1" applyFill="1" applyBorder="1" applyAlignment="1">
      <alignment horizontal="right" wrapText="1"/>
    </xf>
    <xf numFmtId="0" fontId="7" fillId="3" borderId="53" xfId="0" applyFont="1" applyFill="1" applyBorder="1" applyAlignment="1">
      <alignment horizontal="right" wrapText="1"/>
    </xf>
    <xf numFmtId="0" fontId="7" fillId="3" borderId="54" xfId="0" applyFont="1" applyFill="1" applyBorder="1" applyAlignment="1">
      <alignment horizontal="right" wrapText="1"/>
    </xf>
    <xf numFmtId="0" fontId="7" fillId="3" borderId="55" xfId="0" applyFont="1" applyFill="1" applyBorder="1" applyAlignment="1">
      <alignment horizontal="right" wrapText="1"/>
    </xf>
    <xf numFmtId="0" fontId="7" fillId="3" borderId="56" xfId="0" applyFont="1" applyFill="1" applyBorder="1" applyAlignment="1">
      <alignment horizontal="right" wrapText="1"/>
    </xf>
    <xf numFmtId="0" fontId="7" fillId="3" borderId="57" xfId="0" applyFont="1" applyFill="1" applyBorder="1" applyAlignment="1">
      <alignment horizontal="right" wrapText="1"/>
    </xf>
    <xf numFmtId="0" fontId="7" fillId="3" borderId="11" xfId="0" applyFont="1" applyFill="1" applyBorder="1"/>
    <xf numFmtId="0" fontId="7" fillId="3" borderId="17" xfId="0" applyFont="1" applyFill="1" applyBorder="1"/>
    <xf numFmtId="0" fontId="6" fillId="3" borderId="10" xfId="0" applyFont="1" applyFill="1" applyBorder="1"/>
    <xf numFmtId="0" fontId="6" fillId="3" borderId="2" xfId="0" applyFont="1" applyFill="1" applyBorder="1"/>
    <xf numFmtId="0" fontId="6" fillId="3" borderId="3" xfId="0" applyFont="1" applyFill="1" applyBorder="1"/>
    <xf numFmtId="0" fontId="16" fillId="3" borderId="0" xfId="0" applyFont="1" applyFill="1"/>
    <xf numFmtId="0" fontId="17" fillId="3" borderId="8" xfId="0" applyFont="1" applyFill="1" applyBorder="1" applyAlignment="1">
      <alignment horizontal="right" wrapText="1"/>
    </xf>
    <xf numFmtId="0" fontId="7" fillId="3" borderId="6" xfId="0" applyFont="1" applyFill="1" applyBorder="1" applyAlignment="1">
      <alignment horizontal="right" wrapText="1"/>
    </xf>
    <xf numFmtId="0" fontId="7" fillId="3" borderId="58" xfId="0" applyFont="1" applyFill="1" applyBorder="1" applyAlignment="1">
      <alignment horizontal="right" wrapText="1"/>
    </xf>
    <xf numFmtId="168" fontId="7" fillId="0" borderId="0" xfId="0" applyNumberFormat="1" applyFont="1" applyBorder="1" applyAlignment="1">
      <alignment horizontal="right"/>
    </xf>
    <xf numFmtId="168" fontId="7" fillId="0" borderId="8" xfId="0" applyNumberFormat="1" applyFont="1" applyBorder="1" applyAlignment="1">
      <alignment horizontal="right"/>
    </xf>
    <xf numFmtId="168" fontId="7" fillId="0" borderId="0" xfId="0" applyNumberFormat="1" applyFont="1" applyBorder="1"/>
    <xf numFmtId="0" fontId="17" fillId="3" borderId="16" xfId="0" applyFont="1" applyFill="1" applyBorder="1" applyAlignment="1">
      <alignment horizontal="right" wrapText="1"/>
    </xf>
    <xf numFmtId="168" fontId="7" fillId="0" borderId="15" xfId="0" applyNumberFormat="1" applyFont="1" applyBorder="1"/>
    <xf numFmtId="0" fontId="14" fillId="0" borderId="0" xfId="0" applyFont="1" applyFill="1"/>
    <xf numFmtId="0" fontId="16" fillId="0" borderId="0" xfId="0" applyFont="1" applyFill="1"/>
    <xf numFmtId="0" fontId="15" fillId="0" borderId="0" xfId="0" applyFont="1" applyFill="1"/>
    <xf numFmtId="0" fontId="7" fillId="0" borderId="0" xfId="0" applyFont="1" applyAlignment="1">
      <alignment horizontal="center"/>
    </xf>
    <xf numFmtId="169" fontId="17" fillId="7" borderId="36" xfId="7" applyNumberFormat="1" applyFont="1" applyFill="1" applyBorder="1" applyAlignment="1" applyProtection="1">
      <alignment horizontal="right"/>
      <protection locked="0"/>
    </xf>
    <xf numFmtId="169" fontId="17" fillId="7" borderId="29" xfId="7" applyNumberFormat="1" applyFont="1" applyFill="1" applyBorder="1" applyAlignment="1" applyProtection="1">
      <alignment horizontal="right"/>
      <protection locked="0"/>
    </xf>
    <xf numFmtId="169" fontId="17" fillId="7" borderId="28" xfId="7" applyNumberFormat="1" applyFont="1" applyFill="1" applyBorder="1" applyAlignment="1" applyProtection="1">
      <alignment horizontal="right"/>
      <protection locked="0"/>
    </xf>
    <xf numFmtId="0" fontId="5" fillId="0" borderId="0" xfId="0" applyFont="1"/>
    <xf numFmtId="0" fontId="21" fillId="0" borderId="0" xfId="9" applyFont="1" applyFill="1" applyBorder="1" applyAlignment="1">
      <alignment horizontal="right"/>
    </xf>
    <xf numFmtId="0" fontId="21" fillId="0" borderId="0" xfId="9" applyFont="1" applyFill="1" applyBorder="1" applyAlignment="1">
      <alignment horizontal="right" vertical="center"/>
    </xf>
    <xf numFmtId="49" fontId="5" fillId="7" borderId="65" xfId="0" applyNumberFormat="1" applyFont="1" applyFill="1" applyBorder="1" applyAlignment="1" applyProtection="1">
      <alignment vertical="center" wrapText="1"/>
      <protection locked="0"/>
    </xf>
    <xf numFmtId="0" fontId="21" fillId="0" borderId="0" xfId="9" applyFont="1" applyFill="1" applyBorder="1" applyAlignment="1">
      <alignment horizontal="left" vertical="center"/>
    </xf>
    <xf numFmtId="0" fontId="7" fillId="3" borderId="4" xfId="0" applyFont="1" applyFill="1" applyBorder="1"/>
    <xf numFmtId="0" fontId="7" fillId="3" borderId="41" xfId="0" applyFont="1" applyFill="1" applyBorder="1"/>
    <xf numFmtId="168" fontId="7" fillId="12" borderId="0" xfId="0" applyNumberFormat="1" applyFont="1" applyFill="1" applyBorder="1"/>
    <xf numFmtId="168" fontId="7" fillId="12" borderId="0" xfId="1" applyNumberFormat="1" applyFont="1" applyFill="1" applyBorder="1"/>
    <xf numFmtId="1" fontId="7" fillId="12" borderId="0" xfId="0" applyNumberFormat="1" applyFont="1" applyFill="1" applyBorder="1"/>
    <xf numFmtId="0" fontId="14" fillId="12" borderId="0" xfId="0" applyFont="1" applyFill="1" applyBorder="1"/>
    <xf numFmtId="0" fontId="14" fillId="12" borderId="0" xfId="0" applyFont="1" applyFill="1"/>
    <xf numFmtId="0" fontId="5" fillId="0" borderId="0" xfId="9" applyFont="1" applyFill="1"/>
    <xf numFmtId="0" fontId="5" fillId="0" borderId="0" xfId="9" applyFont="1" applyFill="1" applyBorder="1" applyAlignment="1">
      <alignment horizontal="left"/>
    </xf>
    <xf numFmtId="0" fontId="5" fillId="0" borderId="0" xfId="9" applyFont="1" applyFill="1" applyBorder="1" applyAlignment="1">
      <alignment horizontal="right"/>
    </xf>
    <xf numFmtId="0" fontId="5" fillId="0" borderId="0" xfId="9" applyFont="1" applyFill="1" applyAlignment="1">
      <alignment horizontal="right" vertical="center"/>
    </xf>
    <xf numFmtId="0" fontId="5" fillId="0" borderId="0" xfId="9" applyFont="1" applyFill="1" applyAlignment="1">
      <alignment vertical="center"/>
    </xf>
    <xf numFmtId="0" fontId="5" fillId="0" borderId="0" xfId="9" applyFont="1" applyFill="1" applyBorder="1" applyAlignment="1">
      <alignment vertical="center"/>
    </xf>
    <xf numFmtId="0" fontId="5" fillId="0" borderId="0" xfId="9"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28" fillId="0" borderId="0" xfId="10" applyNumberFormat="1" applyFont="1" applyFill="1" applyBorder="1" applyAlignment="1">
      <alignment horizontal="center" vertical="center"/>
    </xf>
    <xf numFmtId="0" fontId="5" fillId="0" borderId="0" xfId="9" applyFont="1" applyFill="1" applyBorder="1" applyAlignment="1">
      <alignment horizontal="center"/>
    </xf>
    <xf numFmtId="0" fontId="5" fillId="0" borderId="0" xfId="9" applyFont="1" applyFill="1" applyBorder="1" applyAlignment="1">
      <alignment horizontal="right" vertical="center"/>
    </xf>
    <xf numFmtId="165" fontId="5" fillId="0" borderId="0" xfId="9" applyNumberFormat="1" applyFont="1" applyFill="1" applyBorder="1" applyAlignment="1">
      <alignment horizontal="right" vertical="center"/>
    </xf>
    <xf numFmtId="0" fontId="22" fillId="0" borderId="0" xfId="9" applyFont="1" applyFill="1" applyBorder="1" applyAlignment="1">
      <alignment horizontal="right" vertical="center"/>
    </xf>
    <xf numFmtId="0" fontId="18" fillId="0" borderId="0" xfId="9" applyFont="1" applyFill="1" applyBorder="1" applyAlignment="1">
      <alignment horizontal="left"/>
    </xf>
    <xf numFmtId="0" fontId="5" fillId="0" borderId="0" xfId="9" applyFont="1" applyFill="1" applyBorder="1" applyAlignment="1">
      <alignment horizontal="left" vertical="center"/>
    </xf>
    <xf numFmtId="165" fontId="5" fillId="0" borderId="0" xfId="10" applyNumberFormat="1" applyFont="1" applyFill="1" applyBorder="1" applyAlignment="1">
      <alignment horizontal="right" vertical="center"/>
    </xf>
    <xf numFmtId="49" fontId="22" fillId="0" borderId="0" xfId="10" applyNumberFormat="1" applyFont="1" applyFill="1" applyBorder="1" applyAlignment="1">
      <alignment vertical="center"/>
    </xf>
    <xf numFmtId="0" fontId="22" fillId="0" borderId="0" xfId="9" applyFont="1" applyFill="1" applyBorder="1" applyAlignment="1">
      <alignment horizontal="center" vertical="center"/>
    </xf>
    <xf numFmtId="49" fontId="23" fillId="0" borderId="0" xfId="10" applyNumberFormat="1" applyFont="1" applyFill="1" applyBorder="1" applyAlignment="1">
      <alignment vertical="center"/>
    </xf>
    <xf numFmtId="0" fontId="26" fillId="0" borderId="0" xfId="9" applyFont="1" applyFill="1" applyBorder="1" applyAlignment="1">
      <alignment horizontal="center" vertical="center"/>
    </xf>
    <xf numFmtId="0" fontId="12" fillId="0" borderId="0" xfId="9" applyFont="1" applyFill="1" applyBorder="1" applyAlignment="1">
      <alignment horizontal="left" vertical="center"/>
    </xf>
    <xf numFmtId="0" fontId="22" fillId="0" borderId="0" xfId="9" applyFont="1" applyFill="1" applyBorder="1" applyAlignment="1">
      <alignment horizontal="left" vertical="center"/>
    </xf>
    <xf numFmtId="49" fontId="22" fillId="0" borderId="0" xfId="10" applyNumberFormat="1" applyFont="1" applyFill="1" applyBorder="1" applyAlignment="1">
      <alignment horizontal="right" vertical="center"/>
    </xf>
    <xf numFmtId="165" fontId="22" fillId="0" borderId="0" xfId="10" applyNumberFormat="1" applyFont="1" applyFill="1" applyBorder="1" applyAlignment="1">
      <alignment horizontal="right" vertical="center"/>
    </xf>
    <xf numFmtId="164" fontId="22" fillId="0" borderId="0" xfId="11" applyNumberFormat="1" applyFont="1" applyFill="1" applyBorder="1" applyAlignment="1">
      <alignment horizontal="center" vertical="center"/>
    </xf>
    <xf numFmtId="164" fontId="21" fillId="0" borderId="0" xfId="11" applyNumberFormat="1" applyFont="1" applyFill="1" applyBorder="1" applyAlignment="1">
      <alignment horizontal="right"/>
    </xf>
    <xf numFmtId="49" fontId="6" fillId="0" borderId="0" xfId="9" applyNumberFormat="1" applyFont="1" applyFill="1" applyBorder="1" applyAlignment="1">
      <alignment horizontal="center" vertical="center"/>
    </xf>
    <xf numFmtId="0" fontId="12" fillId="0" borderId="0" xfId="9" applyFont="1" applyFill="1" applyBorder="1" applyAlignment="1">
      <alignment horizontal="center" vertical="center"/>
    </xf>
    <xf numFmtId="0" fontId="22" fillId="0" borderId="0" xfId="11" quotePrefix="1" applyNumberFormat="1" applyFont="1" applyFill="1" applyBorder="1" applyAlignment="1">
      <alignment horizontal="right" vertical="center"/>
    </xf>
    <xf numFmtId="49" fontId="6" fillId="0" borderId="0" xfId="9" applyNumberFormat="1" applyFont="1" applyFill="1" applyBorder="1" applyAlignment="1">
      <alignment horizontal="right" vertical="center"/>
    </xf>
    <xf numFmtId="49" fontId="22" fillId="0" borderId="0" xfId="11" applyNumberFormat="1" applyFont="1" applyFill="1" applyBorder="1" applyAlignment="1">
      <alignment horizontal="right" vertical="center"/>
    </xf>
    <xf numFmtId="9" fontId="22" fillId="0" borderId="0" xfId="12" quotePrefix="1" applyFont="1" applyFill="1" applyBorder="1" applyAlignment="1">
      <alignment horizontal="center" vertical="center"/>
    </xf>
    <xf numFmtId="49" fontId="5" fillId="0" borderId="0" xfId="9" applyNumberFormat="1" applyFont="1" applyFill="1" applyAlignment="1">
      <alignment horizontal="right" vertical="center"/>
    </xf>
    <xf numFmtId="0" fontId="11" fillId="7" borderId="0" xfId="9" applyFont="1" applyFill="1" applyBorder="1" applyAlignment="1">
      <alignment horizontal="right" vertical="center"/>
    </xf>
    <xf numFmtId="166" fontId="5" fillId="0" borderId="65" xfId="9" applyNumberFormat="1" applyFont="1" applyFill="1" applyBorder="1" applyAlignment="1" applyProtection="1">
      <alignment horizontal="right" vertical="center"/>
      <protection locked="0"/>
    </xf>
    <xf numFmtId="166" fontId="5" fillId="0" borderId="0" xfId="9" applyNumberFormat="1" applyFont="1" applyFill="1" applyBorder="1" applyAlignment="1" applyProtection="1">
      <alignment horizontal="right" vertical="center"/>
      <protection locked="0"/>
    </xf>
    <xf numFmtId="0" fontId="5" fillId="0" borderId="0" xfId="9" applyNumberFormat="1" applyFont="1" applyFill="1" applyBorder="1" applyAlignment="1">
      <alignment horizontal="right" vertical="center"/>
    </xf>
    <xf numFmtId="49" fontId="5" fillId="0" borderId="0" xfId="9" applyNumberFormat="1" applyFont="1" applyFill="1" applyAlignment="1">
      <alignment horizontal="left" vertical="center"/>
    </xf>
    <xf numFmtId="0" fontId="5" fillId="0" borderId="0" xfId="9" applyFont="1"/>
    <xf numFmtId="9" fontId="5" fillId="0" borderId="0" xfId="9" applyNumberFormat="1" applyFont="1"/>
    <xf numFmtId="0" fontId="5" fillId="0" borderId="0" xfId="9" applyFont="1" applyBorder="1"/>
    <xf numFmtId="0" fontId="5" fillId="12" borderId="0" xfId="9" applyFont="1" applyFill="1" applyBorder="1" applyAlignment="1">
      <alignment horizontal="right" vertical="center"/>
    </xf>
    <xf numFmtId="0" fontId="5" fillId="7" borderId="65" xfId="2" applyNumberFormat="1" applyFont="1" applyFill="1" applyBorder="1" applyAlignment="1" applyProtection="1">
      <alignment horizontal="right" vertical="center" wrapText="1"/>
      <protection locked="0"/>
    </xf>
    <xf numFmtId="165" fontId="5" fillId="0" borderId="0" xfId="10" applyNumberFormat="1" applyFont="1" applyFill="1" applyBorder="1" applyAlignment="1">
      <alignment horizontal="right"/>
    </xf>
    <xf numFmtId="164" fontId="5" fillId="0" borderId="0" xfId="11" applyNumberFormat="1" applyFont="1" applyFill="1" applyBorder="1" applyAlignment="1">
      <alignment horizontal="right"/>
    </xf>
    <xf numFmtId="0" fontId="5" fillId="0" borderId="15" xfId="9" applyNumberFormat="1" applyFont="1" applyFill="1" applyBorder="1" applyAlignment="1">
      <alignment horizontal="right" vertical="center"/>
    </xf>
    <xf numFmtId="165" fontId="5" fillId="0" borderId="21" xfId="9" applyNumberFormat="1" applyFont="1" applyFill="1" applyBorder="1" applyAlignment="1">
      <alignment horizontal="right" vertical="center"/>
    </xf>
    <xf numFmtId="0" fontId="5" fillId="0" borderId="21" xfId="9" applyNumberFormat="1" applyFont="1" applyFill="1" applyBorder="1" applyAlignment="1">
      <alignment horizontal="right" vertical="center"/>
    </xf>
    <xf numFmtId="0" fontId="5" fillId="0" borderId="15" xfId="9" applyFont="1" applyBorder="1"/>
    <xf numFmtId="0" fontId="5" fillId="0" borderId="21" xfId="9" applyFont="1" applyBorder="1"/>
    <xf numFmtId="164" fontId="12" fillId="14" borderId="0" xfId="3" applyNumberFormat="1" applyFont="1" applyFill="1" applyBorder="1" applyAlignment="1" applyProtection="1">
      <alignment horizontal="right"/>
    </xf>
    <xf numFmtId="0" fontId="12" fillId="14" borderId="0" xfId="6" applyNumberFormat="1" applyFont="1" applyFill="1" applyBorder="1" applyAlignment="1" applyProtection="1">
      <alignment horizontal="center" vertical="center"/>
    </xf>
    <xf numFmtId="0" fontId="12" fillId="14" borderId="0" xfId="9" applyFont="1" applyFill="1" applyBorder="1" applyAlignment="1" applyProtection="1">
      <alignment horizontal="center" vertical="center"/>
    </xf>
    <xf numFmtId="0" fontId="20" fillId="14" borderId="0" xfId="9" applyFont="1" applyFill="1" applyBorder="1" applyAlignment="1" applyProtection="1">
      <alignment horizontal="left" vertical="center"/>
    </xf>
    <xf numFmtId="0" fontId="12" fillId="14" borderId="0" xfId="9" applyFont="1" applyFill="1" applyBorder="1" applyAlignment="1">
      <alignment horizontal="right" vertical="center"/>
    </xf>
    <xf numFmtId="0" fontId="5" fillId="14" borderId="0" xfId="9" applyFont="1" applyFill="1"/>
    <xf numFmtId="0" fontId="5" fillId="14" borderId="0" xfId="9" applyFont="1" applyFill="1" applyAlignment="1">
      <alignment horizontal="right" vertical="center"/>
    </xf>
    <xf numFmtId="0" fontId="5" fillId="12" borderId="0" xfId="9" applyFont="1" applyFill="1" applyAlignment="1">
      <alignment vertical="center"/>
    </xf>
    <xf numFmtId="49" fontId="6" fillId="12" borderId="0" xfId="9" applyNumberFormat="1" applyFont="1" applyFill="1" applyBorder="1" applyAlignment="1">
      <alignment horizontal="right" vertical="center"/>
    </xf>
    <xf numFmtId="0" fontId="5" fillId="0" borderId="15" xfId="9" applyFont="1" applyFill="1" applyBorder="1" applyAlignment="1">
      <alignment vertical="center"/>
    </xf>
    <xf numFmtId="0" fontId="5" fillId="0" borderId="0" xfId="0" applyFont="1" applyFill="1"/>
    <xf numFmtId="0" fontId="5" fillId="0" borderId="0" xfId="0" applyFont="1" applyFill="1" applyAlignment="1">
      <alignment vertical="center"/>
    </xf>
    <xf numFmtId="0" fontId="5" fillId="0" borderId="0" xfId="0" applyFont="1" applyFill="1" applyAlignment="1">
      <alignment horizontal="right" vertical="center"/>
    </xf>
    <xf numFmtId="0" fontId="5" fillId="0" borderId="15" xfId="9" quotePrefix="1" applyNumberFormat="1" applyFont="1" applyFill="1" applyBorder="1" applyAlignment="1">
      <alignment horizontal="right" vertical="center"/>
    </xf>
    <xf numFmtId="0" fontId="5" fillId="14" borderId="0" xfId="9" applyFont="1" applyFill="1" applyBorder="1" applyAlignment="1">
      <alignment horizontal="right"/>
    </xf>
    <xf numFmtId="0" fontId="7" fillId="4" borderId="0" xfId="0" applyFont="1" applyFill="1"/>
    <xf numFmtId="0" fontId="7" fillId="4" borderId="0" xfId="0" applyFont="1" applyFill="1" applyAlignment="1">
      <alignment horizontal="center"/>
    </xf>
    <xf numFmtId="165" fontId="7" fillId="0" borderId="0" xfId="1" applyNumberFormat="1" applyFont="1"/>
    <xf numFmtId="0" fontId="31" fillId="4" borderId="0" xfId="0" applyFont="1" applyFill="1" applyAlignment="1">
      <alignment vertical="center"/>
    </xf>
    <xf numFmtId="0" fontId="7" fillId="4" borderId="0" xfId="0" applyFont="1" applyFill="1" applyAlignment="1">
      <alignment vertical="center"/>
    </xf>
    <xf numFmtId="0" fontId="7" fillId="0" borderId="0" xfId="0" applyFont="1" applyAlignment="1">
      <alignment vertical="center"/>
    </xf>
    <xf numFmtId="0" fontId="7" fillId="4" borderId="0" xfId="0" applyFont="1" applyFill="1" applyBorder="1" applyAlignment="1">
      <alignment vertical="center"/>
    </xf>
    <xf numFmtId="0" fontId="7" fillId="4" borderId="0" xfId="0" applyFont="1" applyFill="1" applyBorder="1"/>
    <xf numFmtId="0" fontId="5" fillId="12" borderId="0" xfId="0" applyFont="1" applyFill="1" applyBorder="1" applyAlignment="1" applyProtection="1">
      <alignment horizontal="left" vertical="center"/>
    </xf>
    <xf numFmtId="3" fontId="5" fillId="7" borderId="65" xfId="2" applyNumberFormat="1" applyFont="1" applyFill="1" applyBorder="1" applyAlignment="1" applyProtection="1">
      <alignment horizontal="right" vertical="center" wrapText="1"/>
      <protection locked="0"/>
    </xf>
    <xf numFmtId="0" fontId="5" fillId="0" borderId="21" xfId="9" applyFont="1" applyFill="1" applyBorder="1" applyAlignment="1">
      <alignment vertical="center"/>
    </xf>
    <xf numFmtId="0" fontId="6" fillId="0" borderId="0" xfId="9" applyFont="1" applyFill="1" applyBorder="1" applyAlignment="1">
      <alignment horizontal="center" vertical="center"/>
    </xf>
    <xf numFmtId="0" fontId="35" fillId="12" borderId="0" xfId="0" applyFont="1" applyFill="1" applyAlignment="1">
      <alignment horizontal="center"/>
    </xf>
    <xf numFmtId="0" fontId="35" fillId="0" borderId="0" xfId="9" applyFont="1" applyFill="1" applyBorder="1" applyAlignment="1">
      <alignment horizontal="right" vertical="center"/>
    </xf>
    <xf numFmtId="0" fontId="34" fillId="0" borderId="0" xfId="9" applyFont="1" applyFill="1" applyBorder="1" applyAlignment="1">
      <alignment horizontal="right" vertical="center"/>
    </xf>
    <xf numFmtId="0" fontId="35" fillId="0" borderId="0" xfId="9" applyFont="1" applyFill="1" applyBorder="1" applyAlignment="1">
      <alignment vertical="center"/>
    </xf>
    <xf numFmtId="0" fontId="35" fillId="0" borderId="0" xfId="9" applyFont="1" applyFill="1" applyAlignment="1">
      <alignment vertical="center"/>
    </xf>
    <xf numFmtId="0" fontId="35" fillId="0" borderId="0" xfId="9" applyFont="1" applyFill="1" applyBorder="1" applyAlignment="1">
      <alignment horizontal="left" vertical="center"/>
    </xf>
    <xf numFmtId="49" fontId="35" fillId="0" borderId="0" xfId="10" applyNumberFormat="1" applyFont="1" applyFill="1" applyBorder="1" applyAlignment="1">
      <alignment horizontal="center" vertical="center"/>
    </xf>
    <xf numFmtId="49" fontId="35" fillId="0" borderId="0" xfId="10" applyNumberFormat="1" applyFont="1" applyFill="1" applyBorder="1" applyAlignment="1">
      <alignment horizontal="right" vertical="center"/>
    </xf>
    <xf numFmtId="49" fontId="35" fillId="0" borderId="0" xfId="10" applyNumberFormat="1" applyFont="1" applyFill="1" applyBorder="1" applyAlignment="1">
      <alignment horizontal="left" vertical="center"/>
    </xf>
    <xf numFmtId="165" fontId="35" fillId="0" borderId="0" xfId="10" applyNumberFormat="1" applyFont="1" applyFill="1" applyBorder="1" applyAlignment="1">
      <alignment horizontal="center" vertical="center"/>
    </xf>
    <xf numFmtId="49" fontId="35" fillId="0" borderId="0" xfId="9" applyNumberFormat="1" applyFont="1" applyFill="1" applyBorder="1" applyAlignment="1">
      <alignment horizontal="center" vertical="center"/>
    </xf>
    <xf numFmtId="49" fontId="35" fillId="0" borderId="29" xfId="9" applyNumberFormat="1" applyFont="1" applyFill="1" applyBorder="1" applyAlignment="1">
      <alignment vertical="center"/>
    </xf>
    <xf numFmtId="49" fontId="35" fillId="0" borderId="60" xfId="9" applyNumberFormat="1" applyFont="1" applyFill="1" applyBorder="1" applyAlignment="1">
      <alignment horizontal="center" vertical="center"/>
    </xf>
    <xf numFmtId="49" fontId="35" fillId="0" borderId="45" xfId="9" applyNumberFormat="1" applyFont="1" applyFill="1" applyBorder="1" applyAlignment="1">
      <alignment horizontal="center" vertical="center"/>
    </xf>
    <xf numFmtId="165" fontId="5" fillId="0" borderId="15" xfId="9" applyNumberFormat="1" applyFont="1" applyFill="1" applyBorder="1" applyAlignment="1">
      <alignment horizontal="right" vertical="center"/>
    </xf>
    <xf numFmtId="0" fontId="35" fillId="12" borderId="0" xfId="9" applyFont="1" applyFill="1" applyBorder="1" applyAlignment="1">
      <alignment horizontal="left" vertical="center"/>
    </xf>
    <xf numFmtId="0" fontId="35" fillId="12" borderId="0" xfId="9" applyFont="1" applyFill="1" applyBorder="1" applyAlignment="1">
      <alignment horizontal="center" vertical="center"/>
    </xf>
    <xf numFmtId="49" fontId="35" fillId="12" borderId="0" xfId="10" applyNumberFormat="1" applyFont="1" applyFill="1" applyBorder="1" applyAlignment="1">
      <alignment horizontal="center" vertical="center"/>
    </xf>
    <xf numFmtId="49" fontId="35" fillId="12" borderId="0" xfId="10" applyNumberFormat="1" applyFont="1" applyFill="1" applyBorder="1" applyAlignment="1">
      <alignment horizontal="right" vertical="center"/>
    </xf>
    <xf numFmtId="0" fontId="6" fillId="12" borderId="0" xfId="9" applyFont="1" applyFill="1" applyBorder="1" applyAlignment="1">
      <alignment horizontal="center" vertical="center" wrapText="1"/>
    </xf>
    <xf numFmtId="0" fontId="34" fillId="14" borderId="29" xfId="9" applyFont="1" applyFill="1" applyBorder="1" applyAlignment="1">
      <alignment horizontal="right" vertical="center"/>
    </xf>
    <xf numFmtId="0" fontId="34" fillId="7" borderId="29" xfId="9" applyFont="1" applyFill="1" applyBorder="1" applyAlignment="1">
      <alignment horizontal="right" vertical="center"/>
    </xf>
    <xf numFmtId="0" fontId="34" fillId="14" borderId="60" xfId="9" applyFont="1" applyFill="1" applyBorder="1" applyAlignment="1">
      <alignment horizontal="right" vertical="center"/>
    </xf>
    <xf numFmtId="0" fontId="34" fillId="7" borderId="60" xfId="9" applyFont="1" applyFill="1" applyBorder="1" applyAlignment="1">
      <alignment horizontal="right" vertical="center"/>
    </xf>
    <xf numFmtId="165" fontId="34" fillId="0" borderId="29" xfId="9" applyNumberFormat="1" applyFont="1" applyFill="1" applyBorder="1" applyAlignment="1">
      <alignment horizontal="right" vertical="center"/>
    </xf>
    <xf numFmtId="165" fontId="34" fillId="0" borderId="45" xfId="9" applyNumberFormat="1" applyFont="1" applyFill="1" applyBorder="1" applyAlignment="1">
      <alignment horizontal="right" vertical="center"/>
    </xf>
    <xf numFmtId="165" fontId="34" fillId="0" borderId="32" xfId="9" applyNumberFormat="1" applyFont="1" applyFill="1" applyBorder="1" applyAlignment="1">
      <alignment horizontal="right" vertical="center"/>
    </xf>
    <xf numFmtId="0" fontId="36" fillId="8" borderId="0" xfId="9" applyFont="1" applyFill="1"/>
    <xf numFmtId="0" fontId="36" fillId="8" borderId="0" xfId="9" applyFont="1" applyFill="1" applyAlignment="1">
      <alignment horizontal="right"/>
    </xf>
    <xf numFmtId="0" fontId="36" fillId="8" borderId="0" xfId="9" applyFont="1" applyFill="1" applyBorder="1"/>
    <xf numFmtId="0" fontId="35" fillId="0" borderId="0" xfId="0" applyFont="1" applyFill="1" applyBorder="1" applyAlignment="1">
      <alignment horizontal="right" vertical="center"/>
    </xf>
    <xf numFmtId="0" fontId="35" fillId="0" borderId="0" xfId="0" applyFont="1" applyFill="1" applyBorder="1" applyAlignment="1" applyProtection="1">
      <alignment horizontal="left" vertical="center"/>
    </xf>
    <xf numFmtId="0" fontId="34" fillId="12" borderId="0" xfId="0" applyFont="1" applyFill="1" applyBorder="1" applyAlignment="1" applyProtection="1">
      <alignment horizontal="left" vertical="center"/>
    </xf>
    <xf numFmtId="0" fontId="35" fillId="12" borderId="0" xfId="9" applyFont="1" applyFill="1" applyBorder="1" applyAlignment="1">
      <alignment horizontal="right" vertical="center"/>
    </xf>
    <xf numFmtId="49" fontId="35" fillId="0" borderId="60" xfId="9" applyNumberFormat="1" applyFont="1" applyFill="1" applyBorder="1" applyAlignment="1">
      <alignment vertical="center"/>
    </xf>
    <xf numFmtId="9" fontId="35" fillId="0" borderId="0" xfId="7" applyFont="1" applyFill="1" applyBorder="1" applyAlignment="1">
      <alignment horizontal="right" vertical="center"/>
    </xf>
    <xf numFmtId="0" fontId="5" fillId="12" borderId="25" xfId="0" applyFont="1" applyFill="1" applyBorder="1" applyAlignment="1">
      <alignment horizontal="left"/>
    </xf>
    <xf numFmtId="0" fontId="5" fillId="12" borderId="22" xfId="0" applyFont="1" applyFill="1" applyBorder="1" applyAlignment="1">
      <alignment horizontal="left"/>
    </xf>
    <xf numFmtId="1" fontId="5" fillId="12" borderId="29" xfId="0" applyNumberFormat="1" applyFont="1" applyFill="1" applyBorder="1" applyAlignment="1">
      <alignment horizontal="right"/>
    </xf>
    <xf numFmtId="167" fontId="5" fillId="12" borderId="29" xfId="0" applyNumberFormat="1" applyFont="1" applyFill="1" applyBorder="1" applyAlignment="1">
      <alignment horizontal="right"/>
    </xf>
    <xf numFmtId="0" fontId="32" fillId="0" borderId="0" xfId="0" applyFont="1" applyBorder="1" applyAlignment="1">
      <alignment horizontal="center" vertical="center"/>
    </xf>
    <xf numFmtId="0" fontId="39" fillId="0" borderId="0" xfId="0" applyFont="1" applyBorder="1" applyAlignment="1">
      <alignment horizontal="center" vertical="center"/>
    </xf>
    <xf numFmtId="0" fontId="31" fillId="2" borderId="0" xfId="0" applyFont="1" applyFill="1" applyBorder="1" applyAlignment="1">
      <alignment horizontal="center" vertical="center"/>
    </xf>
    <xf numFmtId="0" fontId="31" fillId="5" borderId="0" xfId="0" applyFont="1" applyFill="1" applyBorder="1" applyAlignment="1">
      <alignment horizontal="center" vertical="center"/>
    </xf>
    <xf numFmtId="0" fontId="8" fillId="4" borderId="0" xfId="0" applyFont="1" applyFill="1" applyBorder="1" applyAlignment="1">
      <alignment vertical="center"/>
    </xf>
    <xf numFmtId="0" fontId="7" fillId="4" borderId="0" xfId="0" quotePrefix="1" applyFont="1" applyFill="1" applyBorder="1" applyAlignment="1">
      <alignment vertical="center"/>
    </xf>
    <xf numFmtId="0" fontId="34" fillId="12" borderId="0" xfId="9" applyFont="1" applyFill="1" applyAlignment="1">
      <alignment horizontal="left" vertical="center"/>
    </xf>
    <xf numFmtId="0" fontId="34" fillId="12" borderId="0" xfId="9" applyFont="1" applyFill="1" applyAlignment="1">
      <alignment vertical="center"/>
    </xf>
    <xf numFmtId="49" fontId="34" fillId="12" borderId="0" xfId="9" applyNumberFormat="1" applyFont="1" applyFill="1" applyAlignment="1">
      <alignment vertical="center"/>
    </xf>
    <xf numFmtId="41" fontId="6" fillId="0" borderId="0" xfId="4" quotePrefix="1" applyNumberFormat="1" applyFont="1" applyFill="1" applyBorder="1" applyAlignment="1">
      <alignment vertical="center"/>
    </xf>
    <xf numFmtId="0" fontId="35" fillId="0" borderId="0" xfId="9" applyFont="1" applyFill="1" applyAlignment="1">
      <alignment horizontal="left" vertical="center"/>
    </xf>
    <xf numFmtId="0" fontId="35" fillId="12" borderId="0" xfId="9" applyFont="1" applyFill="1" applyAlignment="1">
      <alignment horizontal="left" vertical="center"/>
    </xf>
    <xf numFmtId="0" fontId="5" fillId="0" borderId="0" xfId="9" applyFont="1" applyFill="1" applyAlignment="1">
      <alignment horizontal="left" vertical="center"/>
    </xf>
    <xf numFmtId="0" fontId="34" fillId="0" borderId="0" xfId="9" applyFont="1" applyFill="1" applyBorder="1" applyAlignment="1">
      <alignment horizontal="left" vertical="center"/>
    </xf>
    <xf numFmtId="0" fontId="34" fillId="0" borderId="0" xfId="9" applyFont="1" applyAlignment="1">
      <alignment horizontal="left"/>
    </xf>
    <xf numFmtId="0" fontId="35" fillId="12" borderId="0" xfId="9" applyFont="1" applyFill="1" applyBorder="1" applyAlignment="1">
      <alignment vertical="center"/>
    </xf>
    <xf numFmtId="0" fontId="6" fillId="0" borderId="0" xfId="9" applyFont="1" applyFill="1" applyBorder="1" applyAlignment="1">
      <alignment vertical="center"/>
    </xf>
    <xf numFmtId="166" fontId="5" fillId="0" borderId="65" xfId="9" applyNumberFormat="1" applyFont="1" applyFill="1" applyBorder="1" applyAlignment="1" applyProtection="1">
      <alignment vertical="center"/>
      <protection locked="0"/>
    </xf>
    <xf numFmtId="0" fontId="5" fillId="0" borderId="0" xfId="9" applyFont="1" applyAlignment="1"/>
    <xf numFmtId="0" fontId="22" fillId="12" borderId="0" xfId="9" applyFont="1" applyFill="1" applyAlignment="1">
      <alignment vertical="center"/>
    </xf>
    <xf numFmtId="0" fontId="5" fillId="0" borderId="65" xfId="12" applyNumberFormat="1" applyFont="1" applyFill="1" applyBorder="1" applyAlignment="1" applyProtection="1">
      <alignment vertical="center"/>
      <protection locked="0"/>
    </xf>
    <xf numFmtId="0" fontId="12" fillId="7" borderId="0" xfId="9" applyFont="1" applyFill="1" applyBorder="1" applyAlignment="1" applyProtection="1">
      <alignment vertical="center"/>
    </xf>
    <xf numFmtId="0" fontId="5" fillId="0" borderId="0" xfId="9" applyFont="1" applyBorder="1" applyAlignment="1"/>
    <xf numFmtId="0" fontId="5" fillId="0" borderId="0" xfId="9" applyFont="1" applyAlignment="1">
      <alignment horizontal="left"/>
    </xf>
    <xf numFmtId="165" fontId="5" fillId="12" borderId="26" xfId="9" applyNumberFormat="1" applyFont="1" applyFill="1" applyBorder="1" applyAlignment="1">
      <alignment horizontal="right" vertical="center"/>
    </xf>
    <xf numFmtId="165" fontId="5" fillId="12" borderId="25" xfId="9" applyNumberFormat="1" applyFont="1" applyFill="1" applyBorder="1" applyAlignment="1">
      <alignment horizontal="right" vertical="center"/>
    </xf>
    <xf numFmtId="0" fontId="25" fillId="7" borderId="0" xfId="9" applyFont="1" applyFill="1" applyBorder="1" applyAlignment="1">
      <alignment horizontal="right"/>
    </xf>
    <xf numFmtId="0" fontId="5" fillId="0" borderId="0" xfId="9" quotePrefix="1" applyFont="1" applyFill="1" applyBorder="1" applyAlignment="1">
      <alignment horizontal="right" vertical="center"/>
    </xf>
    <xf numFmtId="165" fontId="34" fillId="12" borderId="29" xfId="9" applyNumberFormat="1" applyFont="1" applyFill="1" applyBorder="1" applyAlignment="1">
      <alignment horizontal="right" vertical="center"/>
    </xf>
    <xf numFmtId="0" fontId="26" fillId="11" borderId="50" xfId="6" applyFont="1" applyFill="1" applyBorder="1" applyAlignment="1">
      <alignment vertical="center"/>
    </xf>
    <xf numFmtId="0" fontId="26" fillId="11" borderId="8" xfId="6" applyFont="1" applyFill="1" applyBorder="1" applyAlignment="1">
      <alignment vertical="center"/>
    </xf>
    <xf numFmtId="0" fontId="26" fillId="11" borderId="22" xfId="6" applyFont="1" applyFill="1" applyBorder="1" applyAlignment="1">
      <alignment vertical="center"/>
    </xf>
    <xf numFmtId="49" fontId="35" fillId="0" borderId="0" xfId="9" applyNumberFormat="1" applyFont="1" applyFill="1" applyBorder="1" applyAlignment="1">
      <alignment vertical="center"/>
    </xf>
    <xf numFmtId="0" fontId="12" fillId="14" borderId="0" xfId="9" applyFont="1" applyFill="1" applyBorder="1" applyAlignment="1" applyProtection="1">
      <alignment horizontal="left" vertical="top"/>
    </xf>
    <xf numFmtId="0" fontId="12" fillId="14" borderId="0" xfId="9" applyNumberFormat="1" applyFont="1" applyFill="1" applyBorder="1" applyAlignment="1" applyProtection="1">
      <alignment horizontal="center" vertical="center"/>
    </xf>
    <xf numFmtId="0" fontId="12" fillId="14" borderId="0" xfId="9" applyNumberFormat="1" applyFont="1" applyFill="1" applyBorder="1" applyAlignment="1" applyProtection="1">
      <alignment horizontal="left" vertical="top"/>
    </xf>
    <xf numFmtId="0" fontId="12" fillId="14" borderId="0" xfId="9" applyFont="1" applyFill="1" applyBorder="1" applyAlignment="1" applyProtection="1">
      <alignment horizontal="center"/>
    </xf>
    <xf numFmtId="0" fontId="41" fillId="7" borderId="0" xfId="9" applyFont="1" applyFill="1" applyBorder="1" applyAlignment="1">
      <alignment horizontal="right" vertical="center"/>
    </xf>
    <xf numFmtId="164" fontId="41" fillId="7" borderId="0" xfId="3" applyNumberFormat="1" applyFont="1" applyFill="1" applyBorder="1" applyAlignment="1" applyProtection="1">
      <alignment horizontal="right" vertical="center"/>
    </xf>
    <xf numFmtId="0" fontId="41" fillId="0" borderId="0" xfId="9" applyNumberFormat="1" applyFont="1" applyFill="1" applyBorder="1" applyAlignment="1">
      <alignment horizontal="right" vertical="center"/>
    </xf>
    <xf numFmtId="0" fontId="24" fillId="7" borderId="29" xfId="9" applyFont="1" applyFill="1" applyBorder="1" applyAlignment="1">
      <alignment horizontal="right" vertical="center"/>
    </xf>
    <xf numFmtId="0" fontId="24" fillId="7" borderId="60" xfId="9" applyFont="1" applyFill="1" applyBorder="1" applyAlignment="1">
      <alignment horizontal="right" vertical="center"/>
    </xf>
    <xf numFmtId="0" fontId="24" fillId="14" borderId="29" xfId="9" applyFont="1" applyFill="1" applyBorder="1" applyAlignment="1">
      <alignment horizontal="right" vertical="center"/>
    </xf>
    <xf numFmtId="0" fontId="24" fillId="14" borderId="60" xfId="9" applyFont="1" applyFill="1" applyBorder="1" applyAlignment="1">
      <alignment horizontal="right" vertical="center"/>
    </xf>
    <xf numFmtId="0" fontId="12" fillId="12" borderId="0" xfId="9" applyFont="1" applyFill="1" applyBorder="1" applyAlignment="1" applyProtection="1">
      <alignment horizontal="center" vertical="center"/>
    </xf>
    <xf numFmtId="0" fontId="12" fillId="12" borderId="0" xfId="9" applyFont="1" applyFill="1" applyBorder="1" applyAlignment="1" applyProtection="1">
      <alignment horizontal="center"/>
    </xf>
    <xf numFmtId="49" fontId="25" fillId="0" borderId="15" xfId="9" applyNumberFormat="1" applyFont="1" applyFill="1" applyBorder="1" applyAlignment="1">
      <alignment horizontal="right" vertical="center"/>
    </xf>
    <xf numFmtId="49" fontId="25" fillId="0" borderId="49" xfId="9" applyNumberFormat="1" applyFont="1" applyFill="1" applyBorder="1" applyAlignment="1">
      <alignment horizontal="right" vertical="center"/>
    </xf>
    <xf numFmtId="49" fontId="25" fillId="0" borderId="26" xfId="9" applyNumberFormat="1" applyFont="1" applyFill="1" applyBorder="1" applyAlignment="1">
      <alignment horizontal="right" vertical="center"/>
    </xf>
    <xf numFmtId="49" fontId="25" fillId="0" borderId="21" xfId="9" applyNumberFormat="1" applyFont="1" applyFill="1" applyBorder="1" applyAlignment="1">
      <alignment horizontal="right" vertical="center"/>
    </xf>
    <xf numFmtId="49" fontId="25" fillId="0" borderId="0" xfId="9" applyNumberFormat="1" applyFont="1" applyFill="1" applyBorder="1" applyAlignment="1">
      <alignment horizontal="right" vertical="center"/>
    </xf>
    <xf numFmtId="49" fontId="25" fillId="0" borderId="16" xfId="9" applyNumberFormat="1" applyFont="1" applyFill="1" applyBorder="1" applyAlignment="1">
      <alignment horizontal="right" vertical="center"/>
    </xf>
    <xf numFmtId="49" fontId="25" fillId="0" borderId="22" xfId="9" applyNumberFormat="1" applyFont="1" applyFill="1" applyBorder="1" applyAlignment="1">
      <alignment horizontal="right" vertical="center"/>
    </xf>
    <xf numFmtId="0" fontId="41" fillId="0" borderId="0" xfId="9" applyFont="1"/>
    <xf numFmtId="0" fontId="42" fillId="0" borderId="0" xfId="9" applyFont="1" applyFill="1" applyBorder="1" applyAlignment="1">
      <alignment horizontal="center" vertical="center"/>
    </xf>
    <xf numFmtId="0" fontId="42" fillId="12" borderId="0" xfId="9" applyFont="1" applyFill="1" applyBorder="1" applyAlignment="1">
      <alignment horizontal="center" vertical="center"/>
    </xf>
    <xf numFmtId="0" fontId="41" fillId="0" borderId="0" xfId="9" applyFont="1" applyFill="1" applyBorder="1" applyAlignment="1">
      <alignment horizontal="center" vertical="center"/>
    </xf>
    <xf numFmtId="165" fontId="41" fillId="0" borderId="0" xfId="10" applyNumberFormat="1" applyFont="1" applyFill="1" applyBorder="1" applyAlignment="1">
      <alignment horizontal="center" vertical="center"/>
    </xf>
    <xf numFmtId="0" fontId="41" fillId="0" borderId="0" xfId="9" applyFont="1" applyFill="1" applyAlignment="1">
      <alignment vertical="center"/>
    </xf>
    <xf numFmtId="165" fontId="42" fillId="0" borderId="0" xfId="10" applyNumberFormat="1" applyFont="1" applyFill="1" applyBorder="1" applyAlignment="1">
      <alignment horizontal="center" vertical="center"/>
    </xf>
    <xf numFmtId="49" fontId="42" fillId="0" borderId="0" xfId="10" applyNumberFormat="1" applyFont="1" applyFill="1" applyBorder="1" applyAlignment="1">
      <alignment horizontal="left" vertical="center"/>
    </xf>
    <xf numFmtId="49" fontId="42" fillId="12" borderId="0" xfId="10" applyNumberFormat="1" applyFont="1" applyFill="1" applyBorder="1" applyAlignment="1">
      <alignment horizontal="left" vertical="center"/>
    </xf>
    <xf numFmtId="49" fontId="42" fillId="0" borderId="0" xfId="10" applyNumberFormat="1" applyFont="1" applyFill="1" applyBorder="1" applyAlignment="1">
      <alignment vertical="center"/>
    </xf>
    <xf numFmtId="0" fontId="41" fillId="12" borderId="0" xfId="9" applyFont="1" applyFill="1" applyAlignment="1">
      <alignment vertical="center"/>
    </xf>
    <xf numFmtId="9" fontId="41" fillId="0" borderId="0" xfId="9" applyNumberFormat="1" applyFont="1" applyFill="1" applyBorder="1" applyAlignment="1">
      <alignment horizontal="right" vertical="center"/>
    </xf>
    <xf numFmtId="164" fontId="41" fillId="0" borderId="0" xfId="11" applyNumberFormat="1" applyFont="1" applyFill="1" applyBorder="1" applyAlignment="1">
      <alignment horizontal="center" vertical="center"/>
    </xf>
    <xf numFmtId="0" fontId="42" fillId="7" borderId="0" xfId="9" applyFont="1" applyFill="1" applyBorder="1" applyAlignment="1" applyProtection="1">
      <alignment horizontal="center" vertical="center"/>
    </xf>
    <xf numFmtId="0" fontId="5" fillId="12" borderId="0" xfId="9" applyFont="1" applyFill="1" applyBorder="1" applyAlignment="1" applyProtection="1">
      <alignment horizontal="center" vertical="center"/>
    </xf>
    <xf numFmtId="166" fontId="5" fillId="4" borderId="63" xfId="12" applyNumberFormat="1" applyFont="1" applyFill="1" applyBorder="1" applyAlignment="1">
      <alignment horizontal="right" vertical="center"/>
    </xf>
    <xf numFmtId="166" fontId="5" fillId="0" borderId="0" xfId="9" applyNumberFormat="1" applyFont="1"/>
    <xf numFmtId="166" fontId="5" fillId="0" borderId="65" xfId="7" applyNumberFormat="1" applyFont="1" applyFill="1" applyBorder="1" applyAlignment="1" applyProtection="1">
      <alignment horizontal="right" vertical="center"/>
      <protection locked="0"/>
    </xf>
    <xf numFmtId="166" fontId="5" fillId="0" borderId="65" xfId="9" applyNumberFormat="1" applyFont="1" applyFill="1" applyBorder="1" applyAlignment="1" applyProtection="1">
      <alignment horizontal="left" vertical="center"/>
      <protection locked="0"/>
    </xf>
    <xf numFmtId="0" fontId="12" fillId="14" borderId="0" xfId="9" applyFont="1" applyFill="1" applyBorder="1" applyAlignment="1" applyProtection="1">
      <alignment horizontal="left" vertical="center"/>
    </xf>
    <xf numFmtId="0" fontId="6" fillId="17" borderId="0" xfId="0" applyFont="1" applyFill="1" applyBorder="1" applyAlignment="1">
      <alignment vertical="center"/>
    </xf>
    <xf numFmtId="0" fontId="5" fillId="17" borderId="0" xfId="14" applyFont="1" applyFill="1"/>
    <xf numFmtId="0" fontId="5" fillId="17" borderId="0" xfId="14" applyFont="1" applyFill="1" applyAlignment="1"/>
    <xf numFmtId="167" fontId="5" fillId="17" borderId="0" xfId="14" applyNumberFormat="1" applyFont="1" applyFill="1"/>
    <xf numFmtId="165" fontId="6" fillId="12" borderId="29" xfId="15" applyNumberFormat="1" applyFont="1" applyFill="1" applyBorder="1" applyAlignment="1">
      <alignment horizontal="left" wrapText="1"/>
    </xf>
    <xf numFmtId="0" fontId="5" fillId="12" borderId="29" xfId="16" applyFont="1" applyFill="1" applyBorder="1" applyAlignment="1">
      <alignment horizontal="left"/>
    </xf>
    <xf numFmtId="0" fontId="5" fillId="12" borderId="16" xfId="16" applyFont="1" applyFill="1" applyBorder="1" applyAlignment="1">
      <alignment horizontal="left"/>
    </xf>
    <xf numFmtId="0" fontId="5" fillId="12" borderId="29" xfId="14" applyFont="1" applyFill="1" applyBorder="1" applyAlignment="1">
      <alignment horizontal="left"/>
    </xf>
    <xf numFmtId="0" fontId="5" fillId="12" borderId="29" xfId="14" applyFont="1" applyFill="1" applyBorder="1" applyAlignment="1"/>
    <xf numFmtId="0" fontId="5" fillId="12" borderId="29" xfId="9" applyFont="1" applyFill="1" applyBorder="1" applyAlignment="1">
      <alignment vertical="center"/>
    </xf>
    <xf numFmtId="0" fontId="5" fillId="12" borderId="29" xfId="9" applyFont="1" applyFill="1" applyBorder="1" applyAlignment="1">
      <alignment horizontal="right" vertical="center"/>
    </xf>
    <xf numFmtId="165" fontId="6" fillId="12" borderId="29" xfId="15" applyNumberFormat="1" applyFont="1" applyFill="1" applyBorder="1" applyAlignment="1">
      <alignment wrapText="1"/>
    </xf>
    <xf numFmtId="165" fontId="6" fillId="12" borderId="29" xfId="15" applyNumberFormat="1" applyFont="1" applyFill="1" applyBorder="1" applyAlignment="1"/>
    <xf numFmtId="0" fontId="5" fillId="17" borderId="0" xfId="0" applyFont="1" applyFill="1" applyBorder="1" applyAlignment="1">
      <alignment vertical="center"/>
    </xf>
    <xf numFmtId="0" fontId="5" fillId="12" borderId="29" xfId="0" applyFont="1" applyFill="1" applyBorder="1" applyAlignment="1">
      <alignment vertical="center"/>
    </xf>
    <xf numFmtId="0" fontId="5" fillId="6" borderId="0" xfId="0" applyFont="1" applyFill="1" applyAlignment="1">
      <alignment vertical="center"/>
    </xf>
    <xf numFmtId="0" fontId="5" fillId="6" borderId="0" xfId="0" applyFont="1" applyFill="1"/>
    <xf numFmtId="0" fontId="5" fillId="0" borderId="0" xfId="0" applyFont="1" applyAlignment="1">
      <alignment horizontal="right" vertical="center"/>
    </xf>
    <xf numFmtId="0" fontId="6" fillId="6" borderId="0" xfId="0" applyFont="1" applyFill="1" applyAlignment="1">
      <alignment horizontal="left" vertical="center"/>
    </xf>
    <xf numFmtId="0" fontId="5" fillId="6" borderId="0" xfId="0" applyFont="1" applyFill="1" applyAlignment="1">
      <alignment horizontal="left" vertical="center"/>
    </xf>
    <xf numFmtId="0" fontId="6" fillId="6" borderId="0" xfId="0" applyFont="1" applyFill="1" applyAlignment="1">
      <alignment vertical="center"/>
    </xf>
    <xf numFmtId="0" fontId="6" fillId="6" borderId="0" xfId="0" quotePrefix="1" applyFont="1" applyFill="1" applyAlignment="1">
      <alignment horizontal="left" vertical="center"/>
    </xf>
    <xf numFmtId="0" fontId="14" fillId="6" borderId="0" xfId="0" applyFont="1" applyFill="1" applyAlignment="1">
      <alignment vertical="center"/>
    </xf>
    <xf numFmtId="0" fontId="5" fillId="12" borderId="0" xfId="14" applyFont="1" applyFill="1" applyAlignment="1">
      <alignment horizontal="left" wrapText="1"/>
    </xf>
    <xf numFmtId="0" fontId="5" fillId="17" borderId="0" xfId="14" applyFont="1" applyFill="1" applyAlignment="1">
      <alignment horizontal="right"/>
    </xf>
    <xf numFmtId="165" fontId="6" fillId="12" borderId="26" xfId="15" applyNumberFormat="1" applyFont="1" applyFill="1" applyBorder="1" applyAlignment="1"/>
    <xf numFmtId="0" fontId="5" fillId="17" borderId="0" xfId="14" applyFont="1" applyFill="1" applyAlignment="1">
      <alignment horizontal="left"/>
    </xf>
    <xf numFmtId="0" fontId="6" fillId="17" borderId="0" xfId="0" applyFont="1" applyFill="1" applyBorder="1" applyAlignment="1">
      <alignment horizontal="right" vertical="center"/>
    </xf>
    <xf numFmtId="0" fontId="5" fillId="12" borderId="47" xfId="0" applyFont="1" applyFill="1" applyBorder="1" applyAlignment="1">
      <alignment horizontal="right"/>
    </xf>
    <xf numFmtId="0" fontId="5" fillId="12" borderId="50" xfId="0" applyFont="1" applyFill="1" applyBorder="1" applyAlignment="1">
      <alignment horizontal="right"/>
    </xf>
    <xf numFmtId="0" fontId="5" fillId="12" borderId="29" xfId="14" applyFont="1" applyFill="1" applyBorder="1" applyAlignment="1">
      <alignment horizontal="right"/>
    </xf>
    <xf numFmtId="0" fontId="5" fillId="17" borderId="0" xfId="0" applyFont="1" applyFill="1" applyBorder="1" applyAlignment="1">
      <alignment horizontal="right" vertical="center"/>
    </xf>
    <xf numFmtId="167" fontId="5" fillId="12" borderId="29" xfId="9" applyNumberFormat="1" applyFont="1" applyFill="1" applyBorder="1" applyAlignment="1">
      <alignment horizontal="right" vertical="center"/>
    </xf>
    <xf numFmtId="164" fontId="5" fillId="17" borderId="0" xfId="14" applyNumberFormat="1" applyFont="1" applyFill="1" applyAlignment="1">
      <alignment horizontal="right"/>
    </xf>
    <xf numFmtId="165" fontId="6" fillId="12" borderId="29" xfId="15" applyNumberFormat="1" applyFont="1" applyFill="1" applyBorder="1" applyAlignment="1">
      <alignment horizontal="right" wrapText="1"/>
    </xf>
    <xf numFmtId="165" fontId="6" fillId="12" borderId="29" xfId="10" applyNumberFormat="1" applyFont="1" applyFill="1" applyBorder="1" applyAlignment="1">
      <alignment horizontal="right" wrapText="1"/>
    </xf>
    <xf numFmtId="0" fontId="5" fillId="12" borderId="29" xfId="16" applyFont="1" applyFill="1" applyBorder="1" applyAlignment="1">
      <alignment horizontal="right"/>
    </xf>
    <xf numFmtId="167" fontId="5" fillId="12" borderId="29" xfId="14" applyNumberFormat="1" applyFont="1" applyFill="1" applyBorder="1" applyAlignment="1">
      <alignment horizontal="right"/>
    </xf>
    <xf numFmtId="5" fontId="5" fillId="12" borderId="29" xfId="17" applyNumberFormat="1" applyFont="1" applyFill="1" applyBorder="1" applyAlignment="1">
      <alignment horizontal="right"/>
    </xf>
    <xf numFmtId="0" fontId="5" fillId="12" borderId="29" xfId="9" applyFont="1" applyFill="1" applyBorder="1" applyAlignment="1">
      <alignment horizontal="left"/>
    </xf>
    <xf numFmtId="165" fontId="6" fillId="12" borderId="26" xfId="15" applyNumberFormat="1" applyFont="1" applyFill="1" applyBorder="1" applyAlignment="1">
      <alignment horizontal="left" wrapText="1"/>
    </xf>
    <xf numFmtId="0" fontId="5" fillId="12" borderId="16" xfId="14" applyFont="1" applyFill="1" applyBorder="1" applyAlignment="1">
      <alignment horizontal="left"/>
    </xf>
    <xf numFmtId="167" fontId="5" fillId="12" borderId="16" xfId="0" applyNumberFormat="1" applyFont="1" applyFill="1" applyBorder="1" applyAlignment="1">
      <alignment horizontal="right"/>
    </xf>
    <xf numFmtId="0" fontId="5" fillId="12" borderId="16" xfId="14" applyFont="1" applyFill="1" applyBorder="1" applyAlignment="1">
      <alignment horizontal="right"/>
    </xf>
    <xf numFmtId="49" fontId="34" fillId="12" borderId="0" xfId="10" applyNumberFormat="1" applyFont="1" applyFill="1" applyBorder="1" applyAlignment="1">
      <alignment horizontal="center" vertical="center"/>
    </xf>
    <xf numFmtId="166" fontId="5" fillId="0" borderId="0" xfId="9" applyNumberFormat="1" applyFont="1" applyFill="1" applyBorder="1" applyAlignment="1" applyProtection="1">
      <alignment horizontal="left" vertical="center"/>
      <protection locked="0"/>
    </xf>
    <xf numFmtId="1" fontId="5" fillId="12" borderId="16" xfId="0" applyNumberFormat="1" applyFont="1" applyFill="1" applyBorder="1" applyAlignment="1">
      <alignment horizontal="right"/>
    </xf>
    <xf numFmtId="5" fontId="5" fillId="12" borderId="16" xfId="17" applyNumberFormat="1" applyFont="1" applyFill="1" applyBorder="1" applyAlignment="1">
      <alignment horizontal="right"/>
    </xf>
    <xf numFmtId="49" fontId="35" fillId="0" borderId="32" xfId="9" applyNumberFormat="1" applyFont="1" applyFill="1" applyBorder="1" applyAlignment="1">
      <alignment horizontal="center" vertical="center"/>
    </xf>
    <xf numFmtId="0" fontId="26" fillId="11" borderId="0" xfId="6" applyFont="1" applyFill="1" applyBorder="1" applyAlignment="1">
      <alignment vertical="center"/>
    </xf>
    <xf numFmtId="0" fontId="5" fillId="17" borderId="47" xfId="14" applyFont="1" applyFill="1" applyBorder="1"/>
    <xf numFmtId="0" fontId="5" fillId="17" borderId="25" xfId="14" applyFont="1" applyFill="1" applyBorder="1"/>
    <xf numFmtId="0" fontId="5" fillId="17" borderId="50" xfId="14" applyFont="1" applyFill="1" applyBorder="1"/>
    <xf numFmtId="0" fontId="5" fillId="17" borderId="22" xfId="14" applyFont="1" applyFill="1" applyBorder="1"/>
    <xf numFmtId="165" fontId="6" fillId="12" borderId="29" xfId="15" applyNumberFormat="1" applyFont="1" applyFill="1" applyBorder="1" applyAlignment="1">
      <alignment horizontal="left"/>
    </xf>
    <xf numFmtId="0" fontId="34" fillId="7" borderId="29" xfId="9" applyFont="1" applyFill="1" applyBorder="1" applyAlignment="1">
      <alignment horizontal="left" vertical="center"/>
    </xf>
    <xf numFmtId="0" fontId="34" fillId="7" borderId="29" xfId="9" applyFont="1" applyFill="1" applyBorder="1" applyAlignment="1">
      <alignment vertical="center"/>
    </xf>
    <xf numFmtId="0" fontId="6" fillId="17" borderId="0" xfId="0" applyFont="1" applyFill="1" applyBorder="1" applyAlignment="1">
      <alignment horizontal="left" vertical="center"/>
    </xf>
    <xf numFmtId="0" fontId="5" fillId="17" borderId="0" xfId="0" applyFont="1" applyFill="1" applyBorder="1" applyAlignment="1">
      <alignment horizontal="left" vertical="center"/>
    </xf>
    <xf numFmtId="0" fontId="41" fillId="0" borderId="0" xfId="9" applyFont="1" applyBorder="1"/>
    <xf numFmtId="166" fontId="5" fillId="0" borderId="0" xfId="9" applyNumberFormat="1" applyFont="1" applyBorder="1"/>
    <xf numFmtId="0" fontId="5" fillId="0" borderId="45" xfId="9" applyFont="1" applyFill="1" applyBorder="1"/>
    <xf numFmtId="0" fontId="36" fillId="8" borderId="0" xfId="9" applyFont="1" applyFill="1" applyAlignment="1">
      <alignment horizontal="left"/>
    </xf>
    <xf numFmtId="0" fontId="7" fillId="12" borderId="26" xfId="0" applyFont="1" applyFill="1" applyBorder="1" applyAlignment="1">
      <alignment horizontal="center" vertical="center"/>
    </xf>
    <xf numFmtId="0" fontId="7" fillId="12" borderId="15" xfId="0" applyFont="1" applyFill="1" applyBorder="1" applyAlignment="1">
      <alignment horizontal="center"/>
    </xf>
    <xf numFmtId="0" fontId="7" fillId="12" borderId="15" xfId="0" applyFont="1" applyFill="1" applyBorder="1" applyAlignment="1">
      <alignment horizontal="center" vertical="center"/>
    </xf>
    <xf numFmtId="0" fontId="7" fillId="12" borderId="15" xfId="0" quotePrefix="1" applyFont="1" applyFill="1" applyBorder="1" applyAlignment="1">
      <alignment horizontal="center" vertical="center"/>
    </xf>
    <xf numFmtId="0" fontId="7" fillId="12" borderId="16" xfId="0" applyFont="1" applyFill="1" applyBorder="1" applyAlignment="1">
      <alignment horizontal="center" vertical="center"/>
    </xf>
    <xf numFmtId="0" fontId="32" fillId="12" borderId="37" xfId="0" applyFont="1" applyFill="1" applyBorder="1" applyAlignment="1">
      <alignment horizontal="center" vertical="center"/>
    </xf>
    <xf numFmtId="0" fontId="32" fillId="12" borderId="7" xfId="0" applyFont="1" applyFill="1" applyBorder="1" applyAlignment="1">
      <alignment horizontal="center" vertical="center"/>
    </xf>
    <xf numFmtId="0" fontId="7" fillId="12" borderId="62" xfId="0" applyFont="1" applyFill="1" applyBorder="1" applyAlignment="1">
      <alignment vertical="center"/>
    </xf>
    <xf numFmtId="0" fontId="7" fillId="12" borderId="37" xfId="0" applyFont="1" applyFill="1" applyBorder="1" applyAlignment="1">
      <alignment horizontal="center" vertical="center"/>
    </xf>
    <xf numFmtId="0" fontId="32" fillId="12" borderId="43" xfId="0" applyFont="1" applyFill="1" applyBorder="1" applyAlignment="1">
      <alignment horizontal="center" vertical="center"/>
    </xf>
    <xf numFmtId="0" fontId="7" fillId="12" borderId="15" xfId="0" applyNumberFormat="1" applyFont="1" applyFill="1" applyBorder="1" applyAlignment="1">
      <alignment horizontal="center" vertical="center"/>
    </xf>
    <xf numFmtId="0" fontId="7" fillId="0" borderId="4" xfId="0" applyFont="1" applyBorder="1" applyAlignment="1">
      <alignment vertical="center"/>
    </xf>
    <xf numFmtId="0" fontId="7" fillId="0" borderId="15" xfId="0" applyFont="1" applyBorder="1" applyAlignment="1">
      <alignment vertical="center"/>
    </xf>
    <xf numFmtId="0" fontId="7" fillId="12" borderId="64" xfId="0" applyFont="1" applyFill="1" applyBorder="1" applyAlignment="1">
      <alignment vertical="center"/>
    </xf>
    <xf numFmtId="0" fontId="47" fillId="12" borderId="26" xfId="0" applyFont="1" applyFill="1" applyBorder="1" applyAlignment="1">
      <alignment horizontal="center" vertical="center"/>
    </xf>
    <xf numFmtId="0" fontId="47" fillId="12" borderId="15" xfId="0" applyFont="1" applyFill="1" applyBorder="1" applyAlignment="1">
      <alignment horizontal="center" vertical="center"/>
    </xf>
    <xf numFmtId="0" fontId="47" fillId="12" borderId="23" xfId="0" applyFont="1" applyFill="1" applyBorder="1" applyAlignment="1">
      <alignment horizontal="center" vertical="center"/>
    </xf>
    <xf numFmtId="0" fontId="47" fillId="12" borderId="19" xfId="0" applyFont="1" applyFill="1" applyBorder="1" applyAlignment="1">
      <alignment horizontal="center" vertical="center"/>
    </xf>
    <xf numFmtId="0" fontId="47" fillId="12" borderId="16" xfId="0" applyFont="1" applyFill="1" applyBorder="1" applyAlignment="1">
      <alignment horizontal="center" vertical="center"/>
    </xf>
    <xf numFmtId="0" fontId="47" fillId="12" borderId="59" xfId="0" applyFont="1" applyFill="1" applyBorder="1" applyAlignment="1">
      <alignment horizontal="center" vertical="center"/>
    </xf>
    <xf numFmtId="0" fontId="47" fillId="12" borderId="5" xfId="0" applyFont="1" applyFill="1" applyBorder="1" applyAlignment="1">
      <alignment horizontal="center" vertical="center"/>
    </xf>
    <xf numFmtId="0" fontId="47" fillId="12" borderId="46" xfId="0" applyFont="1" applyFill="1" applyBorder="1" applyAlignment="1">
      <alignment horizontal="center" vertical="center"/>
    </xf>
    <xf numFmtId="0" fontId="35" fillId="0" borderId="0" xfId="9" applyFont="1" applyFill="1" applyBorder="1" applyAlignment="1">
      <alignment horizontal="center" vertical="center"/>
    </xf>
    <xf numFmtId="49" fontId="23" fillId="0" borderId="0" xfId="10" applyNumberFormat="1" applyFont="1" applyFill="1" applyBorder="1" applyAlignment="1">
      <alignment horizontal="left" vertical="center"/>
    </xf>
    <xf numFmtId="168" fontId="7" fillId="12" borderId="21" xfId="0" applyNumberFormat="1" applyFont="1" applyFill="1" applyBorder="1"/>
    <xf numFmtId="0" fontId="5" fillId="12" borderId="0" xfId="0" applyFont="1" applyFill="1" applyBorder="1" applyAlignment="1" applyProtection="1">
      <alignment horizontal="left"/>
    </xf>
    <xf numFmtId="0" fontId="5" fillId="12" borderId="0" xfId="0" applyFont="1" applyFill="1" applyBorder="1" applyAlignment="1" applyProtection="1"/>
    <xf numFmtId="0" fontId="6" fillId="12" borderId="0" xfId="0" applyFont="1" applyFill="1" applyBorder="1" applyAlignment="1" applyProtection="1">
      <alignment horizontal="left"/>
    </xf>
    <xf numFmtId="0" fontId="5" fillId="12" borderId="0" xfId="0" applyFont="1" applyFill="1" applyBorder="1" applyAlignment="1" applyProtection="1">
      <alignment horizontal="right"/>
    </xf>
    <xf numFmtId="0" fontId="5" fillId="0" borderId="0" xfId="0" applyFont="1" applyAlignment="1">
      <alignment horizontal="right"/>
    </xf>
    <xf numFmtId="0" fontId="49" fillId="12" borderId="0" xfId="0" applyFont="1" applyFill="1" applyBorder="1"/>
    <xf numFmtId="0" fontId="50" fillId="12" borderId="0" xfId="0" applyFont="1" applyFill="1" applyBorder="1"/>
    <xf numFmtId="0" fontId="49" fillId="12" borderId="0" xfId="0" quotePrefix="1" applyFont="1" applyFill="1" applyBorder="1"/>
    <xf numFmtId="0" fontId="54" fillId="12" borderId="0" xfId="0" applyFont="1" applyFill="1" applyBorder="1"/>
    <xf numFmtId="164" fontId="48" fillId="12" borderId="0" xfId="11" applyNumberFormat="1" applyFont="1" applyFill="1" applyBorder="1" applyAlignment="1">
      <alignment horizontal="left"/>
    </xf>
    <xf numFmtId="0" fontId="22" fillId="12" borderId="47" xfId="9" applyFont="1" applyFill="1" applyBorder="1" applyAlignment="1">
      <alignment horizontal="left" vertical="center" wrapText="1"/>
    </xf>
    <xf numFmtId="0" fontId="21" fillId="12" borderId="48" xfId="9" applyNumberFormat="1" applyFont="1" applyFill="1" applyBorder="1" applyAlignment="1">
      <alignment horizontal="right" vertical="center" wrapText="1"/>
    </xf>
    <xf numFmtId="165" fontId="21" fillId="12" borderId="48" xfId="1" applyNumberFormat="1" applyFont="1" applyFill="1" applyBorder="1" applyAlignment="1">
      <alignment horizontal="left" vertical="top" wrapText="1"/>
    </xf>
    <xf numFmtId="0" fontId="21" fillId="12" borderId="48" xfId="1" applyNumberFormat="1" applyFont="1" applyFill="1" applyBorder="1" applyAlignment="1">
      <alignment horizontal="left" vertical="top" wrapText="1"/>
    </xf>
    <xf numFmtId="164" fontId="21" fillId="12" borderId="48" xfId="3" applyNumberFormat="1" applyFont="1" applyFill="1" applyBorder="1" applyAlignment="1">
      <alignment horizontal="center" vertical="center" wrapText="1"/>
    </xf>
    <xf numFmtId="0" fontId="21" fillId="12" borderId="48" xfId="9" applyFont="1" applyFill="1" applyBorder="1" applyAlignment="1">
      <alignment horizontal="right" vertical="center" wrapText="1"/>
    </xf>
    <xf numFmtId="0" fontId="35" fillId="12" borderId="48" xfId="9" applyFont="1" applyFill="1" applyBorder="1" applyAlignment="1">
      <alignment horizontal="right" vertical="center" wrapText="1"/>
    </xf>
    <xf numFmtId="0" fontId="5" fillId="12" borderId="48" xfId="9" applyFont="1" applyFill="1" applyBorder="1" applyAlignment="1">
      <alignment horizontal="right" vertical="center" wrapText="1"/>
    </xf>
    <xf numFmtId="0" fontId="5" fillId="12" borderId="25" xfId="9" applyFont="1" applyFill="1" applyBorder="1" applyAlignment="1">
      <alignment horizontal="right" vertical="center" wrapText="1"/>
    </xf>
    <xf numFmtId="0" fontId="49" fillId="12" borderId="47" xfId="0" applyFont="1" applyFill="1" applyBorder="1"/>
    <xf numFmtId="0" fontId="49" fillId="12" borderId="48" xfId="0" applyFont="1" applyFill="1" applyBorder="1"/>
    <xf numFmtId="0" fontId="49" fillId="12" borderId="25" xfId="0" applyFont="1" applyFill="1" applyBorder="1"/>
    <xf numFmtId="0" fontId="21" fillId="12" borderId="49" xfId="9" applyFont="1" applyFill="1" applyBorder="1" applyAlignment="1">
      <alignment horizontal="left" vertical="center" wrapText="1"/>
    </xf>
    <xf numFmtId="0" fontId="22" fillId="12" borderId="0" xfId="9" applyNumberFormat="1" applyFont="1" applyFill="1" applyBorder="1" applyAlignment="1">
      <alignment horizontal="right" vertical="center" wrapText="1"/>
    </xf>
    <xf numFmtId="165" fontId="22" fillId="12" borderId="0" xfId="1" applyNumberFormat="1" applyFont="1" applyFill="1" applyBorder="1" applyAlignment="1">
      <alignment horizontal="left" vertical="top" wrapText="1"/>
    </xf>
    <xf numFmtId="0" fontId="22" fillId="12" borderId="0" xfId="1" applyNumberFormat="1" applyFont="1" applyFill="1" applyBorder="1" applyAlignment="1">
      <alignment horizontal="left" vertical="top" wrapText="1"/>
    </xf>
    <xf numFmtId="164" fontId="22" fillId="12" borderId="0" xfId="3" applyNumberFormat="1" applyFont="1" applyFill="1" applyBorder="1" applyAlignment="1">
      <alignment vertical="center" wrapText="1"/>
    </xf>
    <xf numFmtId="0" fontId="6" fillId="12" borderId="0" xfId="9" applyFont="1" applyFill="1" applyBorder="1" applyAlignment="1">
      <alignment vertical="center" wrapText="1"/>
    </xf>
    <xf numFmtId="0" fontId="35" fillId="12" borderId="0" xfId="9" applyFont="1" applyFill="1" applyBorder="1" applyAlignment="1">
      <alignment horizontal="right" vertical="center" wrapText="1"/>
    </xf>
    <xf numFmtId="0" fontId="5" fillId="12" borderId="0" xfId="9" applyFont="1" applyFill="1" applyBorder="1" applyAlignment="1">
      <alignment horizontal="right" vertical="center" wrapText="1"/>
    </xf>
    <xf numFmtId="0" fontId="35" fillId="12" borderId="21" xfId="9" applyFont="1" applyFill="1" applyBorder="1" applyAlignment="1">
      <alignment horizontal="right" vertical="center" wrapText="1"/>
    </xf>
    <xf numFmtId="0" fontId="49" fillId="12" borderId="49" xfId="0" applyFont="1" applyFill="1" applyBorder="1"/>
    <xf numFmtId="0" fontId="49" fillId="12" borderId="21" xfId="0" applyFont="1" applyFill="1" applyBorder="1"/>
    <xf numFmtId="0" fontId="35" fillId="12" borderId="0" xfId="9" applyNumberFormat="1" applyFont="1" applyFill="1" applyBorder="1" applyAlignment="1">
      <alignment horizontal="left" vertical="center" wrapText="1"/>
    </xf>
    <xf numFmtId="0" fontId="6" fillId="12" borderId="0" xfId="9" applyFont="1" applyFill="1" applyBorder="1" applyAlignment="1">
      <alignment horizontal="left" vertical="top" wrapText="1"/>
    </xf>
    <xf numFmtId="0" fontId="6" fillId="12" borderId="0" xfId="9" applyNumberFormat="1" applyFont="1" applyFill="1" applyBorder="1" applyAlignment="1">
      <alignment horizontal="left" vertical="top" wrapText="1"/>
    </xf>
    <xf numFmtId="0" fontId="22" fillId="12" borderId="0" xfId="9" applyFont="1" applyFill="1" applyBorder="1" applyAlignment="1">
      <alignment horizontal="center" vertical="center" wrapText="1"/>
    </xf>
    <xf numFmtId="0" fontId="6" fillId="12" borderId="0" xfId="9" applyFont="1" applyFill="1" applyBorder="1" applyAlignment="1">
      <alignment horizontal="right" vertical="center" wrapText="1"/>
    </xf>
    <xf numFmtId="164" fontId="48" fillId="12" borderId="0" xfId="11" applyNumberFormat="1" applyFont="1" applyFill="1" applyBorder="1" applyAlignment="1">
      <alignment horizontal="right"/>
    </xf>
    <xf numFmtId="0" fontId="48" fillId="12" borderId="0" xfId="9" applyFont="1" applyFill="1" applyBorder="1" applyAlignment="1">
      <alignment horizontal="left"/>
    </xf>
    <xf numFmtId="0" fontId="35" fillId="12" borderId="49" xfId="9" applyFont="1" applyFill="1" applyBorder="1" applyAlignment="1">
      <alignment horizontal="left" vertical="center" wrapText="1"/>
    </xf>
    <xf numFmtId="0" fontId="35" fillId="12" borderId="0" xfId="9" applyNumberFormat="1" applyFont="1" applyFill="1" applyBorder="1" applyAlignment="1">
      <alignment horizontal="right" vertical="center" wrapText="1"/>
    </xf>
    <xf numFmtId="0" fontId="35" fillId="12" borderId="0" xfId="9" applyFont="1" applyFill="1" applyBorder="1" applyAlignment="1">
      <alignment horizontal="left" vertical="top" wrapText="1"/>
    </xf>
    <xf numFmtId="0" fontId="35" fillId="12" borderId="0" xfId="9" applyNumberFormat="1" applyFont="1" applyFill="1" applyBorder="1" applyAlignment="1">
      <alignment horizontal="left" vertical="top" wrapText="1"/>
    </xf>
    <xf numFmtId="164" fontId="35" fillId="12" borderId="0" xfId="3" applyNumberFormat="1" applyFont="1" applyFill="1" applyBorder="1" applyAlignment="1">
      <alignment vertical="center" wrapText="1"/>
    </xf>
    <xf numFmtId="0" fontId="35" fillId="12" borderId="0" xfId="9" applyFont="1" applyFill="1" applyBorder="1" applyAlignment="1">
      <alignment horizontal="left" vertical="center" wrapText="1"/>
    </xf>
    <xf numFmtId="0" fontId="35" fillId="12" borderId="0" xfId="11" applyNumberFormat="1" applyFont="1" applyFill="1" applyBorder="1" applyAlignment="1">
      <alignment horizontal="right" vertical="center" wrapText="1"/>
    </xf>
    <xf numFmtId="0" fontId="49" fillId="12" borderId="0" xfId="0" applyFont="1" applyFill="1" applyBorder="1" applyAlignment="1"/>
    <xf numFmtId="0" fontId="49" fillId="12" borderId="29" xfId="0" applyFont="1" applyFill="1" applyBorder="1" applyAlignment="1"/>
    <xf numFmtId="0" fontId="53" fillId="12" borderId="0" xfId="0" applyFont="1" applyFill="1" applyBorder="1" applyAlignment="1">
      <alignment horizontal="right"/>
    </xf>
    <xf numFmtId="0" fontId="49" fillId="12" borderId="29" xfId="0" applyFont="1" applyFill="1" applyBorder="1"/>
    <xf numFmtId="0" fontId="49" fillId="12" borderId="29" xfId="0" applyFont="1" applyFill="1" applyBorder="1" applyAlignment="1">
      <alignment horizontal="right"/>
    </xf>
    <xf numFmtId="0" fontId="49" fillId="12" borderId="29" xfId="0" applyFont="1" applyFill="1" applyBorder="1" applyAlignment="1">
      <alignment wrapText="1"/>
    </xf>
    <xf numFmtId="0" fontId="49" fillId="12" borderId="60" xfId="0" applyFont="1" applyFill="1" applyBorder="1"/>
    <xf numFmtId="0" fontId="49" fillId="12" borderId="32" xfId="0" applyFont="1" applyFill="1" applyBorder="1"/>
    <xf numFmtId="0" fontId="49" fillId="12" borderId="45" xfId="0" applyFont="1" applyFill="1" applyBorder="1"/>
    <xf numFmtId="0" fontId="51" fillId="12" borderId="0" xfId="0" applyFont="1" applyFill="1" applyBorder="1" applyAlignment="1">
      <alignment wrapText="1"/>
    </xf>
    <xf numFmtId="0" fontId="49" fillId="12" borderId="50" xfId="0" applyFont="1" applyFill="1" applyBorder="1"/>
    <xf numFmtId="0" fontId="49" fillId="12" borderId="8" xfId="0" applyFont="1" applyFill="1" applyBorder="1"/>
    <xf numFmtId="0" fontId="49" fillId="12" borderId="22" xfId="0" applyFont="1" applyFill="1" applyBorder="1"/>
    <xf numFmtId="0" fontId="49" fillId="12" borderId="0" xfId="0" applyFont="1" applyFill="1" applyBorder="1" applyAlignment="1">
      <alignment wrapText="1"/>
    </xf>
    <xf numFmtId="0" fontId="51" fillId="12" borderId="29" xfId="0" applyFont="1" applyFill="1" applyBorder="1" applyAlignment="1">
      <alignment wrapText="1"/>
    </xf>
    <xf numFmtId="0" fontId="35" fillId="12" borderId="50" xfId="9" applyFont="1" applyFill="1" applyBorder="1" applyAlignment="1">
      <alignment horizontal="left" wrapText="1"/>
    </xf>
    <xf numFmtId="0" fontId="35" fillId="12" borderId="8" xfId="9" applyNumberFormat="1" applyFont="1" applyFill="1" applyBorder="1" applyAlignment="1">
      <alignment horizontal="left" wrapText="1"/>
    </xf>
    <xf numFmtId="0" fontId="35" fillId="12" borderId="8" xfId="9" applyFont="1" applyFill="1" applyBorder="1" applyAlignment="1">
      <alignment horizontal="left" wrapText="1"/>
    </xf>
    <xf numFmtId="164" fontId="35" fillId="12" borderId="8" xfId="3" applyNumberFormat="1" applyFont="1" applyFill="1" applyBorder="1" applyAlignment="1">
      <alignment vertical="center" wrapText="1"/>
    </xf>
    <xf numFmtId="0" fontId="35" fillId="12" borderId="8" xfId="9" applyFont="1" applyFill="1" applyBorder="1" applyAlignment="1">
      <alignment horizontal="left" vertical="center" wrapText="1"/>
    </xf>
    <xf numFmtId="0" fontId="35" fillId="12" borderId="8" xfId="9" applyFont="1" applyFill="1" applyBorder="1" applyAlignment="1">
      <alignment horizontal="right" vertical="center" wrapText="1"/>
    </xf>
    <xf numFmtId="0" fontId="35" fillId="12" borderId="8" xfId="11" applyNumberFormat="1" applyFont="1" applyFill="1" applyBorder="1" applyAlignment="1">
      <alignment horizontal="right" vertical="center" wrapText="1"/>
    </xf>
    <xf numFmtId="0" fontId="35" fillId="12" borderId="22" xfId="9" applyFont="1" applyFill="1" applyBorder="1" applyAlignment="1">
      <alignment horizontal="right" vertical="center" wrapText="1"/>
    </xf>
    <xf numFmtId="41" fontId="35" fillId="12" borderId="0" xfId="9" applyNumberFormat="1" applyFont="1" applyFill="1" applyBorder="1" applyAlignment="1">
      <alignment horizontal="right" vertical="center"/>
    </xf>
    <xf numFmtId="0" fontId="49" fillId="12" borderId="29" xfId="0" applyNumberFormat="1" applyFont="1" applyFill="1" applyBorder="1" applyAlignment="1">
      <alignment horizontal="right"/>
    </xf>
    <xf numFmtId="0" fontId="49" fillId="12" borderId="0" xfId="0" applyFont="1" applyFill="1" applyBorder="1" applyAlignment="1">
      <alignment horizontal="center"/>
    </xf>
    <xf numFmtId="0" fontId="49" fillId="12" borderId="0" xfId="0" applyFont="1" applyFill="1" applyBorder="1" applyAlignment="1">
      <alignment horizontal="right"/>
    </xf>
    <xf numFmtId="0" fontId="50" fillId="12" borderId="0" xfId="0" applyFont="1" applyFill="1" applyBorder="1" applyAlignment="1">
      <alignment horizontal="right"/>
    </xf>
    <xf numFmtId="3" fontId="34" fillId="0" borderId="0" xfId="9" applyNumberFormat="1" applyFont="1" applyFill="1" applyBorder="1" applyAlignment="1">
      <alignment horizontal="right" vertical="center"/>
    </xf>
    <xf numFmtId="0" fontId="34" fillId="0" borderId="0" xfId="11" applyNumberFormat="1" applyFont="1" applyFill="1" applyBorder="1" applyAlignment="1">
      <alignment horizontal="left" vertical="center"/>
    </xf>
    <xf numFmtId="0" fontId="34" fillId="0" borderId="29" xfId="9" applyFont="1" applyFill="1" applyBorder="1" applyAlignment="1">
      <alignment horizontal="left" vertical="center"/>
    </xf>
    <xf numFmtId="0" fontId="34" fillId="0" borderId="29" xfId="9" applyFont="1" applyFill="1" applyBorder="1" applyAlignment="1">
      <alignment horizontal="right" vertical="center"/>
    </xf>
    <xf numFmtId="3" fontId="34" fillId="0" borderId="29" xfId="9" applyNumberFormat="1" applyFont="1" applyFill="1" applyBorder="1" applyAlignment="1">
      <alignment horizontal="right" vertical="center"/>
    </xf>
    <xf numFmtId="0" fontId="5" fillId="0" borderId="29" xfId="0" applyFont="1" applyFill="1" applyBorder="1" applyAlignment="1">
      <alignment horizontal="left"/>
    </xf>
    <xf numFmtId="0" fontId="5" fillId="0" borderId="29" xfId="0" applyFont="1" applyFill="1" applyBorder="1" applyAlignment="1">
      <alignment horizontal="right"/>
    </xf>
    <xf numFmtId="3" fontId="34" fillId="0" borderId="29" xfId="9" applyNumberFormat="1" applyFont="1" applyFill="1" applyBorder="1" applyAlignment="1">
      <alignment horizontal="left" vertical="center"/>
    </xf>
    <xf numFmtId="0" fontId="34" fillId="0" borderId="29" xfId="9" applyFont="1" applyFill="1" applyBorder="1" applyAlignment="1">
      <alignment horizontal="left" vertical="center" wrapText="1"/>
    </xf>
    <xf numFmtId="0" fontId="56" fillId="0" borderId="29" xfId="0" applyFont="1" applyBorder="1" applyAlignment="1">
      <alignment wrapText="1"/>
    </xf>
    <xf numFmtId="0" fontId="57" fillId="0" borderId="29" xfId="0" applyFont="1" applyBorder="1"/>
    <xf numFmtId="0" fontId="57" fillId="0" borderId="29" xfId="0" applyFont="1" applyBorder="1" applyAlignment="1">
      <alignment horizontal="right"/>
    </xf>
    <xf numFmtId="0" fontId="57" fillId="0" borderId="29" xfId="0" applyFont="1" applyBorder="1" applyAlignment="1"/>
    <xf numFmtId="0" fontId="57" fillId="0" borderId="29" xfId="0" applyFont="1" applyBorder="1" applyAlignment="1">
      <alignment wrapText="1"/>
    </xf>
    <xf numFmtId="0" fontId="55" fillId="0" borderId="29" xfId="0" applyFont="1" applyBorder="1" applyAlignment="1">
      <alignment horizontal="right"/>
    </xf>
    <xf numFmtId="0" fontId="57" fillId="0" borderId="29" xfId="0" applyFont="1" applyBorder="1" applyAlignment="1">
      <alignment horizontal="left"/>
    </xf>
    <xf numFmtId="0" fontId="5" fillId="0" borderId="29" xfId="0" applyFont="1" applyBorder="1"/>
    <xf numFmtId="0" fontId="5" fillId="0" borderId="29" xfId="0" applyFont="1" applyBorder="1" applyAlignment="1">
      <alignment wrapText="1"/>
    </xf>
    <xf numFmtId="0" fontId="5" fillId="0" borderId="29" xfId="0" applyFont="1" applyFill="1" applyBorder="1" applyAlignment="1">
      <alignment wrapText="1"/>
    </xf>
    <xf numFmtId="0" fontId="5" fillId="0" borderId="29" xfId="0" applyFont="1" applyBorder="1" applyAlignment="1"/>
    <xf numFmtId="0" fontId="5" fillId="0" borderId="29" xfId="0" applyFont="1" applyBorder="1" applyAlignment="1">
      <alignment horizontal="right"/>
    </xf>
    <xf numFmtId="0" fontId="5" fillId="0" borderId="29" xfId="0" applyFont="1" applyFill="1" applyBorder="1" applyAlignment="1">
      <alignment horizontal="right" vertical="center"/>
    </xf>
    <xf numFmtId="0" fontId="6" fillId="6" borderId="0" xfId="0" applyFont="1" applyFill="1"/>
    <xf numFmtId="0" fontId="18" fillId="9" borderId="0" xfId="0" applyFont="1" applyFill="1" applyAlignment="1">
      <alignment vertical="center"/>
    </xf>
    <xf numFmtId="0" fontId="7" fillId="0" borderId="5" xfId="0" applyFont="1" applyBorder="1" applyAlignment="1">
      <alignment vertical="center"/>
    </xf>
    <xf numFmtId="0" fontId="7" fillId="12" borderId="4" xfId="0" applyFont="1" applyFill="1" applyBorder="1" applyAlignment="1">
      <alignment vertical="center"/>
    </xf>
    <xf numFmtId="0" fontId="60"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horizontal="right" vertical="top"/>
    </xf>
    <xf numFmtId="0" fontId="62" fillId="0" borderId="0" xfId="33" applyNumberFormat="1" applyFont="1" applyFill="1" applyBorder="1" applyAlignment="1" applyProtection="1">
      <alignment vertical="top"/>
    </xf>
    <xf numFmtId="0" fontId="61" fillId="0" borderId="0" xfId="33" applyNumberFormat="1" applyFont="1" applyFill="1" applyBorder="1" applyAlignment="1" applyProtection="1">
      <alignment horizontal="left" vertical="top"/>
    </xf>
    <xf numFmtId="0" fontId="61" fillId="0" borderId="0" xfId="33" applyNumberFormat="1" applyFont="1" applyFill="1" applyBorder="1" applyAlignment="1" applyProtection="1">
      <alignment horizontal="center" vertical="top"/>
    </xf>
    <xf numFmtId="165" fontId="63" fillId="0" borderId="0" xfId="1" applyNumberFormat="1" applyFont="1" applyFill="1" applyBorder="1" applyAlignment="1">
      <alignment horizontal="center"/>
    </xf>
    <xf numFmtId="0" fontId="64" fillId="0" borderId="0" xfId="33" applyNumberFormat="1" applyFont="1" applyFill="1" applyBorder="1" applyAlignment="1" applyProtection="1">
      <alignment horizontal="left" vertical="top"/>
    </xf>
    <xf numFmtId="0" fontId="64" fillId="0" borderId="0" xfId="33" applyNumberFormat="1" applyFont="1" applyFill="1" applyBorder="1" applyAlignment="1" applyProtection="1">
      <alignment horizontal="right" vertical="top"/>
    </xf>
    <xf numFmtId="167" fontId="61" fillId="0" borderId="0" xfId="33" applyNumberFormat="1" applyFont="1" applyFill="1" applyBorder="1" applyAlignment="1" applyProtection="1">
      <alignment vertical="top"/>
    </xf>
    <xf numFmtId="167" fontId="61" fillId="18" borderId="0" xfId="33" applyNumberFormat="1" applyFont="1" applyFill="1" applyBorder="1" applyAlignment="1" applyProtection="1">
      <alignment vertical="top"/>
    </xf>
    <xf numFmtId="0" fontId="61" fillId="18" borderId="0" xfId="33" applyNumberFormat="1" applyFont="1" applyFill="1" applyBorder="1" applyAlignment="1" applyProtection="1">
      <alignment vertical="top"/>
    </xf>
    <xf numFmtId="171" fontId="61" fillId="0" borderId="0" xfId="1" applyNumberFormat="1" applyFont="1" applyFill="1" applyBorder="1" applyAlignment="1" applyProtection="1">
      <alignment vertical="top"/>
    </xf>
    <xf numFmtId="0" fontId="60" fillId="0" borderId="0" xfId="33" applyNumberFormat="1" applyFont="1" applyFill="1" applyBorder="1" applyAlignment="1" applyProtection="1">
      <alignment horizontal="left" vertical="top"/>
    </xf>
    <xf numFmtId="171" fontId="61" fillId="0" borderId="29" xfId="1" applyNumberFormat="1" applyFont="1" applyFill="1" applyBorder="1" applyAlignment="1" applyProtection="1">
      <alignment vertical="top"/>
    </xf>
    <xf numFmtId="167" fontId="61"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vertical="top"/>
    </xf>
    <xf numFmtId="167" fontId="61" fillId="0" borderId="29" xfId="33" applyNumberFormat="1" applyFont="1" applyFill="1" applyBorder="1" applyAlignment="1" applyProtection="1">
      <alignment vertical="top"/>
    </xf>
    <xf numFmtId="0" fontId="61" fillId="0" borderId="29" xfId="33" applyNumberFormat="1" applyFont="1" applyFill="1" applyBorder="1" applyAlignment="1" applyProtection="1">
      <alignment horizontal="center" vertical="top"/>
    </xf>
    <xf numFmtId="0" fontId="61" fillId="0" borderId="29" xfId="33" applyNumberFormat="1" applyFont="1" applyFill="1" applyBorder="1" applyAlignment="1" applyProtection="1">
      <alignment horizontal="left" vertical="top" indent="1"/>
    </xf>
    <xf numFmtId="0" fontId="61"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horizontal="left" vertical="top"/>
    </xf>
    <xf numFmtId="0" fontId="61" fillId="0" borderId="29" xfId="33" applyNumberFormat="1" applyFont="1" applyFill="1" applyBorder="1" applyAlignment="1" applyProtection="1">
      <alignment horizontal="left" vertical="top" indent="2"/>
    </xf>
    <xf numFmtId="0" fontId="64" fillId="0" borderId="29" xfId="33" applyNumberFormat="1" applyFont="1" applyFill="1" applyBorder="1" applyAlignment="1" applyProtection="1">
      <alignment horizontal="left" vertical="top"/>
    </xf>
    <xf numFmtId="0" fontId="64" fillId="0" borderId="29" xfId="33" applyNumberFormat="1" applyFont="1" applyFill="1" applyBorder="1" applyAlignment="1" applyProtection="1">
      <alignment horizontal="right" vertical="top"/>
    </xf>
    <xf numFmtId="0" fontId="61" fillId="0" borderId="29" xfId="33" applyNumberFormat="1" applyFont="1" applyFill="1" applyBorder="1" applyAlignment="1" applyProtection="1">
      <alignment horizontal="left" vertical="top" indent="3"/>
    </xf>
    <xf numFmtId="0" fontId="61" fillId="18" borderId="29" xfId="33" applyNumberFormat="1" applyFont="1" applyFill="1" applyBorder="1" applyAlignment="1" applyProtection="1">
      <alignment horizontal="right" vertical="top"/>
    </xf>
    <xf numFmtId="0" fontId="64" fillId="0" borderId="33" xfId="33" applyNumberFormat="1" applyFont="1" applyFill="1" applyBorder="1" applyAlignment="1" applyProtection="1">
      <alignment horizontal="left" vertical="top"/>
    </xf>
    <xf numFmtId="0" fontId="64" fillId="0" borderId="44" xfId="33" applyNumberFormat="1" applyFont="1" applyFill="1" applyBorder="1" applyAlignment="1" applyProtection="1">
      <alignment horizontal="left" vertical="top"/>
    </xf>
    <xf numFmtId="0" fontId="64" fillId="0" borderId="44" xfId="33" applyNumberFormat="1" applyFont="1" applyFill="1" applyBorder="1" applyAlignment="1" applyProtection="1">
      <alignment horizontal="right" vertical="top"/>
    </xf>
    <xf numFmtId="0" fontId="61" fillId="0" borderId="44" xfId="33" applyNumberFormat="1" applyFont="1" applyFill="1" applyBorder="1" applyAlignment="1" applyProtection="1">
      <alignment horizontal="right" vertical="top"/>
    </xf>
    <xf numFmtId="0" fontId="61" fillId="0" borderId="36" xfId="33" applyNumberFormat="1" applyFont="1" applyFill="1" applyBorder="1" applyAlignment="1" applyProtection="1">
      <alignment horizontal="center" vertical="top"/>
    </xf>
    <xf numFmtId="0" fontId="61" fillId="0" borderId="36" xfId="33" applyNumberFormat="1" applyFont="1" applyFill="1" applyBorder="1" applyAlignment="1" applyProtection="1">
      <alignment horizontal="left" vertical="top"/>
    </xf>
    <xf numFmtId="0" fontId="64" fillId="0" borderId="36" xfId="33" applyNumberFormat="1" applyFont="1" applyFill="1" applyBorder="1" applyAlignment="1" applyProtection="1">
      <alignment horizontal="left" vertical="top"/>
    </xf>
    <xf numFmtId="0" fontId="61" fillId="0" borderId="84" xfId="33" applyNumberFormat="1" applyFont="1" applyFill="1" applyBorder="1" applyAlignment="1" applyProtection="1">
      <alignment horizontal="left" vertical="top"/>
    </xf>
    <xf numFmtId="0" fontId="61" fillId="0" borderId="52" xfId="33" applyNumberFormat="1" applyFont="1" applyFill="1" applyBorder="1" applyAlignment="1" applyProtection="1">
      <alignment horizontal="left" vertical="top" indent="1"/>
    </xf>
    <xf numFmtId="0" fontId="61" fillId="0" borderId="52" xfId="33" applyNumberFormat="1" applyFont="1" applyFill="1" applyBorder="1" applyAlignment="1" applyProtection="1">
      <alignment horizontal="right" vertical="top"/>
    </xf>
    <xf numFmtId="0" fontId="64" fillId="0" borderId="0" xfId="33" applyNumberFormat="1" applyFont="1" applyFill="1" applyBorder="1" applyAlignment="1" applyProtection="1">
      <alignment horizontal="right"/>
    </xf>
    <xf numFmtId="0" fontId="64" fillId="0" borderId="0" xfId="33" applyNumberFormat="1" applyFont="1" applyFill="1" applyBorder="1" applyAlignment="1" applyProtection="1">
      <alignment vertical="top"/>
    </xf>
    <xf numFmtId="171" fontId="61" fillId="18" borderId="29" xfId="1" applyNumberFormat="1" applyFont="1" applyFill="1" applyBorder="1" applyAlignment="1" applyProtection="1">
      <alignment vertical="top"/>
    </xf>
    <xf numFmtId="0" fontId="64" fillId="0" borderId="86" xfId="33" applyNumberFormat="1" applyFont="1" applyFill="1" applyBorder="1" applyAlignment="1" applyProtection="1">
      <alignment horizontal="right" vertical="top"/>
    </xf>
    <xf numFmtId="0" fontId="61" fillId="0" borderId="60" xfId="33" applyNumberFormat="1" applyFont="1" applyFill="1" applyBorder="1" applyAlignment="1" applyProtection="1">
      <alignment horizontal="right" vertical="top"/>
    </xf>
    <xf numFmtId="0" fontId="64" fillId="0" borderId="60" xfId="33" applyNumberFormat="1" applyFont="1" applyFill="1" applyBorder="1" applyAlignment="1" applyProtection="1">
      <alignment horizontal="right" vertical="top"/>
    </xf>
    <xf numFmtId="0" fontId="61" fillId="0" borderId="87" xfId="33" applyNumberFormat="1" applyFont="1" applyFill="1" applyBorder="1" applyAlignment="1" applyProtection="1">
      <alignment horizontal="right" vertical="top"/>
    </xf>
    <xf numFmtId="171" fontId="61" fillId="0" borderId="16" xfId="1" applyNumberFormat="1" applyFont="1" applyFill="1" applyBorder="1" applyAlignment="1" applyProtection="1">
      <alignment vertical="top"/>
    </xf>
    <xf numFmtId="167" fontId="61" fillId="0" borderId="44" xfId="33" applyNumberFormat="1" applyFont="1" applyFill="1" applyBorder="1" applyAlignment="1" applyProtection="1">
      <alignment horizontal="right" vertical="top"/>
    </xf>
    <xf numFmtId="0" fontId="61" fillId="0" borderId="85" xfId="33" applyNumberFormat="1" applyFont="1" applyFill="1" applyBorder="1" applyAlignment="1" applyProtection="1">
      <alignment vertical="top"/>
    </xf>
    <xf numFmtId="0" fontId="61" fillId="0" borderId="28" xfId="33" applyNumberFormat="1" applyFont="1" applyFill="1" applyBorder="1" applyAlignment="1" applyProtection="1">
      <alignment vertical="top"/>
    </xf>
    <xf numFmtId="171" fontId="61" fillId="18" borderId="52" xfId="1" applyNumberFormat="1" applyFont="1" applyFill="1" applyBorder="1" applyAlignment="1" applyProtection="1">
      <alignment vertical="top"/>
    </xf>
    <xf numFmtId="0" fontId="61" fillId="0" borderId="52" xfId="33" applyNumberFormat="1" applyFont="1" applyFill="1" applyBorder="1" applyAlignment="1" applyProtection="1">
      <alignment horizontal="center" vertical="top"/>
    </xf>
    <xf numFmtId="0" fontId="61" fillId="0" borderId="52" xfId="33" applyNumberFormat="1" applyFont="1" applyFill="1" applyBorder="1" applyAlignment="1" applyProtection="1">
      <alignment vertical="top"/>
    </xf>
    <xf numFmtId="0" fontId="61" fillId="0" borderId="38" xfId="33" applyNumberFormat="1" applyFont="1" applyFill="1" applyBorder="1" applyAlignment="1" applyProtection="1">
      <alignment vertical="top"/>
    </xf>
    <xf numFmtId="0" fontId="61" fillId="0" borderId="86" xfId="33" applyNumberFormat="1" applyFont="1" applyFill="1" applyBorder="1" applyAlignment="1" applyProtection="1">
      <alignment vertical="top"/>
    </xf>
    <xf numFmtId="0" fontId="61" fillId="0" borderId="60" xfId="33" applyNumberFormat="1" applyFont="1" applyFill="1" applyBorder="1" applyAlignment="1" applyProtection="1">
      <alignment vertical="top"/>
    </xf>
    <xf numFmtId="0" fontId="61" fillId="0" borderId="87" xfId="33" applyNumberFormat="1" applyFont="1" applyFill="1" applyBorder="1" applyAlignment="1" applyProtection="1">
      <alignment vertical="top"/>
    </xf>
    <xf numFmtId="167" fontId="61" fillId="18" borderId="45" xfId="33" applyNumberFormat="1" applyFont="1" applyFill="1" applyBorder="1" applyAlignment="1" applyProtection="1">
      <alignment vertical="top"/>
    </xf>
    <xf numFmtId="0" fontId="61" fillId="0" borderId="45" xfId="33" applyNumberFormat="1" applyFont="1" applyFill="1" applyBorder="1" applyAlignment="1" applyProtection="1">
      <alignment vertical="top"/>
    </xf>
    <xf numFmtId="0" fontId="61" fillId="18" borderId="45" xfId="33" applyNumberFormat="1" applyFont="1" applyFill="1" applyBorder="1" applyAlignment="1" applyProtection="1">
      <alignment vertical="top"/>
    </xf>
    <xf numFmtId="167" fontId="61" fillId="0" borderId="44" xfId="33" applyNumberFormat="1" applyFont="1" applyFill="1" applyBorder="1" applyAlignment="1" applyProtection="1">
      <alignment vertical="top"/>
    </xf>
    <xf numFmtId="3" fontId="61" fillId="0" borderId="29" xfId="33" applyNumberFormat="1" applyFont="1" applyFill="1" applyBorder="1" applyAlignment="1" applyProtection="1">
      <alignment vertical="top"/>
    </xf>
    <xf numFmtId="1" fontId="61" fillId="0" borderId="29" xfId="33" applyNumberFormat="1" applyFont="1" applyFill="1" applyBorder="1" applyAlignment="1" applyProtection="1">
      <alignment vertical="top"/>
    </xf>
    <xf numFmtId="167" fontId="61" fillId="0" borderId="29" xfId="33" applyNumberFormat="1" applyFont="1" applyFill="1" applyBorder="1" applyAlignment="1" applyProtection="1">
      <alignment horizontal="left" vertical="top"/>
    </xf>
    <xf numFmtId="167" fontId="61" fillId="0" borderId="29" xfId="33" applyNumberFormat="1" applyFont="1" applyFill="1" applyBorder="1" applyAlignment="1" applyProtection="1">
      <alignment horizontal="center" vertical="top"/>
    </xf>
    <xf numFmtId="0" fontId="61" fillId="0" borderId="44" xfId="33" applyNumberFormat="1" applyFont="1" applyFill="1" applyBorder="1" applyAlignment="1" applyProtection="1">
      <alignment vertical="top"/>
    </xf>
    <xf numFmtId="0" fontId="61" fillId="18" borderId="36" xfId="33" applyNumberFormat="1" applyFont="1" applyFill="1" applyBorder="1" applyAlignment="1" applyProtection="1">
      <alignment vertical="top"/>
    </xf>
    <xf numFmtId="167" fontId="61" fillId="0" borderId="28" xfId="33" applyNumberFormat="1" applyFont="1" applyFill="1" applyBorder="1" applyAlignment="1" applyProtection="1">
      <alignment vertical="top"/>
    </xf>
    <xf numFmtId="167" fontId="61" fillId="0" borderId="52" xfId="33" applyNumberFormat="1" applyFont="1" applyFill="1" applyBorder="1" applyAlignment="1" applyProtection="1">
      <alignment horizontal="center" vertical="top"/>
    </xf>
    <xf numFmtId="167" fontId="61" fillId="0" borderId="52" xfId="33" applyNumberFormat="1" applyFont="1" applyFill="1" applyBorder="1" applyAlignment="1" applyProtection="1">
      <alignment vertical="top"/>
    </xf>
    <xf numFmtId="165" fontId="61" fillId="18" borderId="0" xfId="1" applyNumberFormat="1" applyFont="1" applyFill="1" applyBorder="1" applyAlignment="1" applyProtection="1">
      <alignment horizontal="left" vertical="top"/>
    </xf>
    <xf numFmtId="0" fontId="61" fillId="18" borderId="0" xfId="33" applyNumberFormat="1" applyFont="1" applyFill="1" applyBorder="1" applyAlignment="1" applyProtection="1">
      <alignment horizontal="center" vertical="top"/>
    </xf>
    <xf numFmtId="0" fontId="61" fillId="18" borderId="44" xfId="1" applyNumberFormat="1" applyFont="1" applyFill="1" applyBorder="1" applyAlignment="1" applyProtection="1">
      <alignment vertical="top"/>
    </xf>
    <xf numFmtId="0" fontId="61" fillId="18" borderId="29" xfId="1" applyNumberFormat="1" applyFont="1" applyFill="1" applyBorder="1" applyAlignment="1" applyProtection="1">
      <alignment vertical="top"/>
    </xf>
    <xf numFmtId="167" fontId="61" fillId="18" borderId="88" xfId="33" applyNumberFormat="1" applyFont="1" applyFill="1" applyBorder="1" applyAlignment="1" applyProtection="1">
      <alignment vertical="top"/>
    </xf>
    <xf numFmtId="0" fontId="61" fillId="0" borderId="45" xfId="33" applyNumberFormat="1" applyFont="1" applyFill="1" applyBorder="1" applyAlignment="1" applyProtection="1">
      <alignment horizontal="left" vertical="top"/>
    </xf>
    <xf numFmtId="0" fontId="61" fillId="0" borderId="51" xfId="33" applyNumberFormat="1" applyFont="1" applyFill="1" applyBorder="1" applyAlignment="1" applyProtection="1">
      <alignment vertical="top"/>
    </xf>
    <xf numFmtId="0" fontId="61" fillId="18" borderId="33" xfId="33" applyNumberFormat="1" applyFont="1" applyFill="1" applyBorder="1" applyAlignment="1" applyProtection="1">
      <alignment vertical="top"/>
    </xf>
    <xf numFmtId="0" fontId="61" fillId="18" borderId="84" xfId="33" applyNumberFormat="1" applyFont="1" applyFill="1" applyBorder="1" applyAlignment="1" applyProtection="1">
      <alignment vertical="top"/>
    </xf>
    <xf numFmtId="0" fontId="61" fillId="18" borderId="88" xfId="33" applyNumberFormat="1" applyFont="1" applyFill="1" applyBorder="1" applyAlignment="1" applyProtection="1">
      <alignment vertical="top"/>
    </xf>
    <xf numFmtId="171" fontId="61" fillId="0" borderId="44" xfId="1" applyNumberFormat="1" applyFont="1" applyFill="1" applyBorder="1" applyAlignment="1" applyProtection="1">
      <alignment vertical="top"/>
    </xf>
    <xf numFmtId="171" fontId="61" fillId="0" borderId="52" xfId="1" applyNumberFormat="1" applyFont="1" applyFill="1" applyBorder="1" applyAlignment="1" applyProtection="1">
      <alignment vertical="top"/>
    </xf>
    <xf numFmtId="0" fontId="63" fillId="0" borderId="0" xfId="33" applyFont="1" applyFill="1" applyBorder="1" applyAlignment="1">
      <alignment horizontal="left"/>
    </xf>
    <xf numFmtId="169" fontId="61" fillId="18" borderId="33" xfId="1" applyNumberFormat="1" applyFont="1" applyFill="1" applyBorder="1" applyAlignment="1" applyProtection="1">
      <alignment vertical="top"/>
    </xf>
    <xf numFmtId="169" fontId="61" fillId="18" borderId="44" xfId="1" applyNumberFormat="1" applyFont="1" applyFill="1" applyBorder="1" applyAlignment="1" applyProtection="1">
      <alignment vertical="top"/>
    </xf>
    <xf numFmtId="169" fontId="61" fillId="18" borderId="36" xfId="1" applyNumberFormat="1" applyFont="1" applyFill="1" applyBorder="1" applyAlignment="1" applyProtection="1">
      <alignment vertical="top"/>
    </xf>
    <xf numFmtId="169" fontId="61" fillId="18" borderId="29" xfId="1" applyNumberFormat="1" applyFont="1" applyFill="1" applyBorder="1" applyAlignment="1" applyProtection="1">
      <alignment vertical="top"/>
    </xf>
    <xf numFmtId="169" fontId="61" fillId="18" borderId="84" xfId="1" applyNumberFormat="1" applyFont="1" applyFill="1" applyBorder="1" applyAlignment="1" applyProtection="1">
      <alignment vertical="top"/>
    </xf>
    <xf numFmtId="169" fontId="61" fillId="18" borderId="52" xfId="1" applyNumberFormat="1" applyFont="1" applyFill="1" applyBorder="1" applyAlignment="1" applyProtection="1">
      <alignment vertical="top"/>
    </xf>
    <xf numFmtId="0" fontId="46" fillId="17" borderId="0" xfId="14" applyFont="1" applyFill="1" applyAlignment="1">
      <alignment horizontal="left"/>
    </xf>
    <xf numFmtId="0" fontId="5" fillId="18" borderId="29" xfId="0" applyFont="1" applyFill="1" applyBorder="1" applyAlignment="1">
      <alignment horizontal="right" vertical="center"/>
    </xf>
    <xf numFmtId="0" fontId="5" fillId="18" borderId="29" xfId="9" applyFont="1" applyFill="1" applyBorder="1" applyAlignment="1">
      <alignment horizontal="right" vertical="center"/>
    </xf>
    <xf numFmtId="0" fontId="5" fillId="18" borderId="29" xfId="14" applyFont="1" applyFill="1" applyBorder="1" applyAlignment="1">
      <alignment horizontal="right"/>
    </xf>
    <xf numFmtId="167" fontId="5" fillId="18" borderId="29" xfId="14" applyNumberFormat="1" applyFont="1" applyFill="1" applyBorder="1" applyAlignment="1">
      <alignment horizontal="right"/>
    </xf>
    <xf numFmtId="3" fontId="5" fillId="18" borderId="29" xfId="16" applyNumberFormat="1" applyFont="1" applyFill="1" applyBorder="1" applyAlignment="1">
      <alignment horizontal="right"/>
    </xf>
    <xf numFmtId="0" fontId="5" fillId="18" borderId="29" xfId="16" applyFont="1" applyFill="1" applyBorder="1" applyAlignment="1">
      <alignment horizontal="right"/>
    </xf>
    <xf numFmtId="3" fontId="5" fillId="12" borderId="29" xfId="14" applyNumberFormat="1" applyFont="1" applyFill="1" applyBorder="1" applyAlignment="1">
      <alignment horizontal="right"/>
    </xf>
    <xf numFmtId="3" fontId="5" fillId="18" borderId="29" xfId="14" applyNumberFormat="1" applyFont="1" applyFill="1" applyBorder="1" applyAlignment="1">
      <alignment horizontal="right"/>
    </xf>
    <xf numFmtId="0" fontId="5" fillId="18" borderId="45" xfId="16" applyFont="1" applyFill="1" applyBorder="1" applyAlignment="1">
      <alignment horizontal="right"/>
    </xf>
    <xf numFmtId="0" fontId="5" fillId="18" borderId="16" xfId="16" applyFont="1" applyFill="1" applyBorder="1" applyAlignment="1">
      <alignment horizontal="right"/>
    </xf>
    <xf numFmtId="167" fontId="5" fillId="18" borderId="16" xfId="17" applyNumberFormat="1" applyFont="1" applyFill="1" applyBorder="1" applyAlignment="1">
      <alignment horizontal="right"/>
    </xf>
    <xf numFmtId="167" fontId="5" fillId="18" borderId="29" xfId="17" applyNumberFormat="1" applyFont="1" applyFill="1" applyBorder="1" applyAlignment="1">
      <alignment horizontal="right"/>
    </xf>
    <xf numFmtId="0" fontId="5" fillId="0" borderId="0" xfId="0" applyFont="1" applyAlignment="1">
      <alignment horizontal="right" vertical="center" wrapText="1"/>
    </xf>
    <xf numFmtId="0" fontId="5" fillId="0" borderId="0" xfId="0" applyFont="1" applyAlignment="1">
      <alignment horizontal="left" vertical="center" wrapText="1"/>
    </xf>
    <xf numFmtId="0" fontId="5" fillId="0" borderId="45" xfId="33" applyNumberFormat="1" applyFont="1" applyFill="1" applyBorder="1" applyAlignment="1" applyProtection="1">
      <alignment horizontal="right" vertical="top"/>
    </xf>
    <xf numFmtId="0" fontId="5" fillId="18" borderId="0" xfId="0" applyFont="1" applyFill="1" applyBorder="1" applyAlignment="1">
      <alignment horizontal="left" vertical="center"/>
    </xf>
    <xf numFmtId="0" fontId="5" fillId="18" borderId="0" xfId="0" applyFont="1" applyFill="1" applyBorder="1" applyAlignment="1">
      <alignment horizontal="right" vertical="center"/>
    </xf>
    <xf numFmtId="0" fontId="5" fillId="12" borderId="26" xfId="14" applyFont="1" applyFill="1" applyBorder="1" applyAlignment="1">
      <alignment vertical="center" wrapText="1"/>
    </xf>
    <xf numFmtId="0" fontId="5" fillId="12" borderId="15" xfId="14" applyFont="1" applyFill="1" applyBorder="1" applyAlignment="1">
      <alignment vertical="center" wrapText="1"/>
    </xf>
    <xf numFmtId="0" fontId="5" fillId="12" borderId="16" xfId="14" applyFont="1" applyFill="1" applyBorder="1" applyAlignment="1">
      <alignment vertical="center" wrapText="1"/>
    </xf>
    <xf numFmtId="0" fontId="61" fillId="0" borderId="0" xfId="1" applyNumberFormat="1" applyFont="1" applyFill="1" applyBorder="1" applyAlignment="1" applyProtection="1">
      <alignment vertical="top"/>
    </xf>
    <xf numFmtId="0" fontId="20" fillId="14" borderId="0" xfId="0" applyFont="1" applyFill="1" applyBorder="1" applyAlignment="1" applyProtection="1">
      <alignment horizontal="left" vertical="center"/>
    </xf>
    <xf numFmtId="0" fontId="5" fillId="12" borderId="0" xfId="0" applyFont="1" applyFill="1" applyBorder="1" applyProtection="1"/>
    <xf numFmtId="0" fontId="5" fillId="12" borderId="0" xfId="0" applyFont="1" applyFill="1" applyBorder="1" applyAlignment="1" applyProtection="1">
      <alignment horizontal="left" wrapText="1"/>
    </xf>
    <xf numFmtId="0" fontId="5" fillId="12" borderId="0" xfId="0" applyFont="1" applyFill="1" applyBorder="1" applyAlignment="1" applyProtection="1">
      <alignment wrapText="1"/>
    </xf>
    <xf numFmtId="0" fontId="5" fillId="12" borderId="0" xfId="0" applyFont="1" applyFill="1" applyBorder="1" applyAlignment="1" applyProtection="1">
      <alignment horizontal="right" wrapText="1"/>
    </xf>
    <xf numFmtId="3" fontId="5" fillId="12" borderId="0" xfId="0" applyNumberFormat="1" applyFont="1" applyFill="1" applyBorder="1" applyAlignment="1" applyProtection="1">
      <alignment horizontal="right" wrapText="1"/>
    </xf>
    <xf numFmtId="9" fontId="5" fillId="12" borderId="0" xfId="0" applyNumberFormat="1" applyFont="1" applyFill="1" applyBorder="1" applyAlignment="1" applyProtection="1">
      <alignment horizontal="right" wrapText="1"/>
    </xf>
    <xf numFmtId="167" fontId="5" fillId="12" borderId="0" xfId="0" applyNumberFormat="1" applyFont="1" applyFill="1" applyBorder="1" applyAlignment="1" applyProtection="1">
      <alignment horizontal="right" wrapText="1"/>
    </xf>
    <xf numFmtId="0" fontId="5" fillId="12" borderId="0" xfId="0" applyNumberFormat="1" applyFont="1" applyFill="1" applyBorder="1" applyAlignment="1" applyProtection="1">
      <alignment horizontal="left"/>
    </xf>
    <xf numFmtId="0" fontId="5" fillId="12" borderId="0" xfId="0" applyNumberFormat="1" applyFont="1" applyFill="1" applyBorder="1" applyAlignment="1" applyProtection="1">
      <alignment horizontal="right"/>
    </xf>
    <xf numFmtId="1" fontId="5" fillId="12" borderId="0" xfId="0" applyNumberFormat="1" applyFont="1" applyFill="1" applyBorder="1" applyAlignment="1" applyProtection="1">
      <alignment horizontal="right"/>
    </xf>
    <xf numFmtId="3" fontId="5" fillId="12" borderId="0" xfId="0" applyNumberFormat="1" applyFont="1" applyFill="1" applyBorder="1" applyAlignment="1" applyProtection="1">
      <alignment horizontal="right"/>
    </xf>
    <xf numFmtId="9" fontId="5" fillId="12" borderId="0" xfId="0" applyNumberFormat="1" applyFont="1" applyFill="1" applyBorder="1" applyAlignment="1" applyProtection="1">
      <alignment horizontal="right"/>
    </xf>
    <xf numFmtId="167" fontId="5" fillId="12" borderId="0" xfId="0" applyNumberFormat="1" applyFont="1" applyFill="1" applyBorder="1" applyAlignment="1" applyProtection="1">
      <alignment horizontal="right"/>
    </xf>
    <xf numFmtId="9" fontId="5" fillId="12" borderId="0" xfId="0" applyNumberFormat="1" applyFont="1" applyFill="1" applyBorder="1" applyProtection="1"/>
    <xf numFmtId="3" fontId="5" fillId="12" borderId="0" xfId="0" applyNumberFormat="1" applyFont="1" applyFill="1" applyBorder="1" applyAlignment="1" applyProtection="1"/>
    <xf numFmtId="0" fontId="36" fillId="8" borderId="0" xfId="9" applyFont="1" applyFill="1" applyAlignment="1" applyProtection="1">
      <alignment horizontal="left"/>
    </xf>
    <xf numFmtId="0" fontId="37" fillId="8" borderId="0" xfId="9" applyFont="1" applyFill="1" applyAlignment="1" applyProtection="1">
      <alignment horizontal="left"/>
    </xf>
    <xf numFmtId="0" fontId="6" fillId="12" borderId="0" xfId="0" applyFont="1" applyFill="1" applyBorder="1" applyAlignment="1" applyProtection="1">
      <alignment horizontal="right"/>
    </xf>
    <xf numFmtId="0" fontId="5" fillId="12" borderId="0" xfId="0" applyFont="1" applyFill="1" applyBorder="1" applyAlignment="1" applyProtection="1">
      <alignment horizontal="center"/>
    </xf>
    <xf numFmtId="0" fontId="35" fillId="12" borderId="75" xfId="9" applyFont="1" applyFill="1" applyBorder="1" applyAlignment="1" applyProtection="1">
      <alignment horizontal="left" vertical="center"/>
    </xf>
    <xf numFmtId="9" fontId="35" fillId="12" borderId="76" xfId="9" applyNumberFormat="1" applyFont="1" applyFill="1" applyBorder="1" applyAlignment="1" applyProtection="1">
      <alignment horizontal="right" vertical="center"/>
    </xf>
    <xf numFmtId="0" fontId="35" fillId="12" borderId="77" xfId="9" applyFont="1" applyFill="1" applyBorder="1" applyAlignment="1" applyProtection="1">
      <alignment horizontal="right" vertical="center" wrapText="1"/>
    </xf>
    <xf numFmtId="0" fontId="36" fillId="8" borderId="0" xfId="9" applyFont="1" applyFill="1" applyAlignment="1" applyProtection="1">
      <alignment horizontal="right"/>
    </xf>
    <xf numFmtId="0" fontId="5" fillId="12" borderId="76" xfId="0" applyFont="1" applyFill="1" applyBorder="1" applyAlignment="1" applyProtection="1">
      <alignment horizontal="center"/>
    </xf>
    <xf numFmtId="3" fontId="35" fillId="12" borderId="76" xfId="9" applyNumberFormat="1" applyFont="1" applyFill="1" applyBorder="1" applyAlignment="1" applyProtection="1">
      <alignment horizontal="right" vertical="center"/>
    </xf>
    <xf numFmtId="0" fontId="35" fillId="12" borderId="76" xfId="9" applyFont="1" applyFill="1" applyBorder="1" applyAlignment="1" applyProtection="1">
      <alignment horizontal="left" vertical="center"/>
    </xf>
    <xf numFmtId="0" fontId="35" fillId="12" borderId="12" xfId="9" applyFont="1" applyFill="1" applyBorder="1" applyAlignment="1" applyProtection="1">
      <alignment horizontal="left" vertical="center"/>
    </xf>
    <xf numFmtId="0" fontId="35" fillId="12" borderId="15" xfId="9" applyFont="1" applyFill="1" applyBorder="1" applyAlignment="1" applyProtection="1">
      <alignment horizontal="right" vertical="center"/>
    </xf>
    <xf numFmtId="167" fontId="35" fillId="12" borderId="15" xfId="9" applyNumberFormat="1" applyFont="1" applyFill="1" applyBorder="1" applyAlignment="1" applyProtection="1">
      <alignment horizontal="right" vertical="center"/>
    </xf>
    <xf numFmtId="0" fontId="35" fillId="12" borderId="19" xfId="9" applyFont="1" applyFill="1" applyBorder="1" applyAlignment="1" applyProtection="1">
      <alignment horizontal="right" vertical="center" wrapText="1"/>
    </xf>
    <xf numFmtId="0" fontId="35" fillId="12" borderId="49" xfId="9" applyFont="1" applyFill="1" applyBorder="1" applyAlignment="1" applyProtection="1">
      <alignment horizontal="left" vertical="center" wrapText="1"/>
    </xf>
    <xf numFmtId="0" fontId="35" fillId="12" borderId="15" xfId="9" applyFont="1" applyFill="1" applyBorder="1" applyAlignment="1" applyProtection="1">
      <alignment horizontal="left" vertical="center"/>
    </xf>
    <xf numFmtId="0" fontId="35" fillId="12" borderId="26" xfId="9" applyFont="1" applyFill="1" applyBorder="1" applyAlignment="1" applyProtection="1">
      <alignment horizontal="right" vertical="center"/>
    </xf>
    <xf numFmtId="0" fontId="35" fillId="12" borderId="15" xfId="9" applyFont="1" applyFill="1" applyBorder="1" applyAlignment="1" applyProtection="1">
      <alignment horizontal="left" vertical="center" wrapText="1"/>
    </xf>
    <xf numFmtId="0" fontId="35" fillId="12" borderId="0" xfId="9" applyFont="1" applyFill="1" applyBorder="1" applyAlignment="1" applyProtection="1">
      <alignment horizontal="right" vertical="center" wrapText="1"/>
    </xf>
    <xf numFmtId="0" fontId="5" fillId="12" borderId="19" xfId="0" applyFont="1" applyFill="1" applyBorder="1" applyAlignment="1" applyProtection="1">
      <alignment horizontal="left" wrapText="1"/>
    </xf>
    <xf numFmtId="0" fontId="35" fillId="12" borderId="12" xfId="9" applyNumberFormat="1" applyFont="1" applyFill="1" applyBorder="1" applyAlignment="1" applyProtection="1">
      <alignment horizontal="left" vertical="center" wrapText="1"/>
    </xf>
    <xf numFmtId="0" fontId="35" fillId="12" borderId="15" xfId="9" applyNumberFormat="1" applyFont="1" applyFill="1" applyBorder="1" applyAlignment="1" applyProtection="1">
      <alignment horizontal="left" vertical="center" wrapText="1"/>
    </xf>
    <xf numFmtId="0" fontId="5" fillId="12" borderId="15" xfId="0" applyFont="1" applyFill="1" applyBorder="1" applyProtection="1"/>
    <xf numFmtId="0" fontId="35" fillId="12" borderId="49" xfId="9" applyFont="1" applyFill="1" applyBorder="1" applyAlignment="1" applyProtection="1">
      <alignment horizontal="right" vertical="center"/>
    </xf>
    <xf numFmtId="0" fontId="35" fillId="12" borderId="19" xfId="9" applyFont="1" applyFill="1" applyBorder="1" applyAlignment="1" applyProtection="1">
      <alignment horizontal="left" vertical="center" wrapText="1"/>
    </xf>
    <xf numFmtId="0" fontId="35" fillId="12" borderId="21" xfId="9" applyFont="1" applyFill="1" applyBorder="1" applyAlignment="1" applyProtection="1">
      <alignment horizontal="right" vertical="center"/>
    </xf>
    <xf numFmtId="0" fontId="35" fillId="12" borderId="0" xfId="9" applyFont="1" applyFill="1" applyBorder="1" applyAlignment="1" applyProtection="1">
      <alignment horizontal="left" vertical="center" wrapText="1"/>
    </xf>
    <xf numFmtId="0" fontId="5" fillId="12" borderId="19" xfId="0" applyFont="1" applyFill="1" applyBorder="1" applyAlignment="1" applyProtection="1">
      <alignment horizontal="left"/>
    </xf>
    <xf numFmtId="0" fontId="35" fillId="12" borderId="27" xfId="9" applyFont="1" applyFill="1" applyBorder="1" applyAlignment="1" applyProtection="1">
      <alignment horizontal="left" vertical="center" wrapText="1"/>
    </xf>
    <xf numFmtId="0" fontId="35" fillId="12" borderId="78" xfId="11" applyNumberFormat="1" applyFont="1" applyFill="1" applyBorder="1" applyAlignment="1" applyProtection="1">
      <alignment horizontal="left" vertical="center" wrapText="1"/>
    </xf>
    <xf numFmtId="0" fontId="35" fillId="12" borderId="14" xfId="9" applyNumberFormat="1" applyFont="1" applyFill="1" applyBorder="1" applyAlignment="1" applyProtection="1">
      <alignment horizontal="left" vertical="center" wrapText="1"/>
    </xf>
    <xf numFmtId="0" fontId="35" fillId="12" borderId="27" xfId="9" applyNumberFormat="1" applyFont="1" applyFill="1" applyBorder="1" applyAlignment="1" applyProtection="1">
      <alignment horizontal="left" vertical="center" wrapText="1"/>
    </xf>
    <xf numFmtId="0" fontId="35" fillId="12" borderId="79" xfId="9" applyFont="1" applyFill="1" applyBorder="1" applyAlignment="1" applyProtection="1">
      <alignment horizontal="left" vertical="center" wrapText="1"/>
    </xf>
    <xf numFmtId="0" fontId="35" fillId="12" borderId="14" xfId="9" applyFont="1" applyFill="1" applyBorder="1" applyAlignment="1" applyProtection="1">
      <alignment horizontal="left" vertical="center"/>
    </xf>
    <xf numFmtId="0" fontId="35" fillId="12" borderId="27" xfId="9" applyFont="1" applyFill="1" applyBorder="1" applyAlignment="1" applyProtection="1">
      <alignment horizontal="left" vertical="center"/>
    </xf>
    <xf numFmtId="0" fontId="35" fillId="12" borderId="78" xfId="9" applyFont="1" applyFill="1" applyBorder="1" applyAlignment="1" applyProtection="1">
      <alignment horizontal="left" vertical="center" wrapText="1"/>
    </xf>
    <xf numFmtId="0" fontId="5" fillId="12" borderId="44" xfId="0" applyFont="1" applyFill="1" applyBorder="1" applyAlignment="1" applyProtection="1">
      <alignment horizontal="left" wrapText="1"/>
      <protection locked="0"/>
    </xf>
    <xf numFmtId="0" fontId="5" fillId="12" borderId="29" xfId="0" applyFont="1" applyFill="1" applyBorder="1" applyAlignment="1" applyProtection="1">
      <alignment horizontal="left" wrapText="1"/>
      <protection locked="0"/>
    </xf>
    <xf numFmtId="0" fontId="5" fillId="12" borderId="28" xfId="0" applyFont="1" applyFill="1" applyBorder="1" applyAlignment="1" applyProtection="1">
      <alignment horizontal="left" wrapText="1"/>
      <protection locked="0"/>
    </xf>
    <xf numFmtId="0" fontId="5" fillId="12" borderId="52" xfId="0" applyFont="1" applyFill="1" applyBorder="1" applyAlignment="1" applyProtection="1">
      <alignment horizontal="left" wrapText="1"/>
      <protection locked="0"/>
    </xf>
    <xf numFmtId="0" fontId="5" fillId="12" borderId="38" xfId="0" applyFont="1" applyFill="1" applyBorder="1" applyAlignment="1" applyProtection="1">
      <alignment horizontal="left" wrapText="1"/>
      <protection locked="0"/>
    </xf>
    <xf numFmtId="0" fontId="5" fillId="12" borderId="29" xfId="0" applyFont="1" applyFill="1" applyBorder="1" applyAlignment="1" applyProtection="1">
      <alignment horizontal="right" wrapText="1"/>
      <protection locked="0"/>
    </xf>
    <xf numFmtId="0" fontId="5" fillId="12" borderId="36" xfId="0" applyFont="1" applyFill="1" applyBorder="1" applyAlignment="1" applyProtection="1">
      <alignment horizontal="left" wrapText="1"/>
      <protection locked="0"/>
    </xf>
    <xf numFmtId="0" fontId="5" fillId="12" borderId="84" xfId="0" applyFont="1" applyFill="1" applyBorder="1" applyAlignment="1" applyProtection="1">
      <alignment horizontal="left" wrapText="1"/>
      <protection locked="0"/>
    </xf>
    <xf numFmtId="0" fontId="5" fillId="12" borderId="52" xfId="0" applyFont="1" applyFill="1" applyBorder="1" applyAlignment="1" applyProtection="1">
      <alignment horizontal="right" wrapText="1"/>
      <protection locked="0"/>
    </xf>
    <xf numFmtId="0" fontId="5" fillId="12" borderId="29" xfId="0" applyNumberFormat="1" applyFont="1" applyFill="1" applyBorder="1" applyAlignment="1" applyProtection="1">
      <alignment horizontal="right" wrapText="1"/>
      <protection locked="0"/>
    </xf>
    <xf numFmtId="0" fontId="5" fillId="12" borderId="52" xfId="0" applyNumberFormat="1" applyFont="1" applyFill="1" applyBorder="1" applyAlignment="1" applyProtection="1">
      <alignment horizontal="right" wrapText="1"/>
      <protection locked="0"/>
    </xf>
    <xf numFmtId="0" fontId="36" fillId="16" borderId="0" xfId="0" applyFont="1" applyFill="1" applyBorder="1" applyAlignment="1" applyProtection="1">
      <alignment horizontal="left"/>
    </xf>
    <xf numFmtId="0" fontId="37" fillId="16" borderId="0" xfId="0" applyFont="1" applyFill="1" applyBorder="1" applyAlignment="1" applyProtection="1">
      <alignment horizontal="left"/>
    </xf>
    <xf numFmtId="0" fontId="36" fillId="16" borderId="0" xfId="0" applyFont="1" applyFill="1" applyBorder="1" applyAlignment="1" applyProtection="1">
      <alignment horizontal="right"/>
    </xf>
    <xf numFmtId="0" fontId="0" fillId="12" borderId="0" xfId="0" applyFill="1" applyBorder="1" applyProtection="1"/>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Alignment="1" applyProtection="1">
      <alignment horizontal="right"/>
    </xf>
    <xf numFmtId="0" fontId="0" fillId="0" borderId="0" xfId="0" applyProtection="1"/>
    <xf numFmtId="49" fontId="5" fillId="12" borderId="0" xfId="0" applyNumberFormat="1" applyFont="1" applyFill="1" applyBorder="1" applyAlignment="1" applyProtection="1"/>
    <xf numFmtId="0" fontId="6" fillId="12" borderId="0" xfId="0" applyFont="1" applyFill="1" applyBorder="1" applyAlignment="1" applyProtection="1"/>
    <xf numFmtId="0" fontId="5" fillId="12" borderId="0" xfId="0" applyFont="1" applyFill="1" applyAlignment="1" applyProtection="1">
      <alignment horizontal="right"/>
    </xf>
    <xf numFmtId="49" fontId="5" fillId="12" borderId="65" xfId="0" applyNumberFormat="1" applyFont="1" applyFill="1" applyBorder="1" applyAlignment="1" applyProtection="1">
      <alignment horizontal="left" wrapText="1"/>
      <protection locked="0"/>
    </xf>
    <xf numFmtId="0" fontId="5" fillId="12" borderId="65" xfId="0" applyFont="1" applyFill="1" applyBorder="1" applyAlignment="1" applyProtection="1">
      <alignment wrapText="1"/>
      <protection locked="0"/>
    </xf>
    <xf numFmtId="0" fontId="5" fillId="12" borderId="65" xfId="0" applyFont="1" applyFill="1" applyBorder="1" applyAlignment="1" applyProtection="1">
      <alignment horizontal="left" wrapText="1"/>
      <protection locked="0"/>
    </xf>
    <xf numFmtId="0" fontId="5" fillId="12" borderId="65" xfId="0" applyFont="1" applyFill="1" applyBorder="1" applyAlignment="1" applyProtection="1">
      <alignment horizontal="left"/>
      <protection locked="0"/>
    </xf>
    <xf numFmtId="0" fontId="13" fillId="12" borderId="65" xfId="5" applyFill="1" applyBorder="1" applyAlignment="1" applyProtection="1">
      <alignment horizontal="left" wrapText="1"/>
      <protection locked="0"/>
    </xf>
    <xf numFmtId="0" fontId="36" fillId="8" borderId="0" xfId="9" applyFont="1" applyFill="1" applyBorder="1" applyProtection="1"/>
    <xf numFmtId="0" fontId="36" fillId="12" borderId="0" xfId="9" applyFont="1" applyFill="1" applyAlignment="1" applyProtection="1">
      <alignment horizontal="right"/>
    </xf>
    <xf numFmtId="0" fontId="36" fillId="12" borderId="0" xfId="9" applyFont="1" applyFill="1" applyProtection="1"/>
    <xf numFmtId="0" fontId="36" fillId="12" borderId="0" xfId="9" applyFont="1" applyFill="1" applyBorder="1" applyProtection="1"/>
    <xf numFmtId="0" fontId="36" fillId="12" borderId="0" xfId="9" applyFont="1" applyFill="1" applyBorder="1" applyAlignment="1" applyProtection="1">
      <alignment horizontal="right"/>
    </xf>
    <xf numFmtId="0" fontId="35" fillId="7" borderId="0" xfId="9" applyFont="1" applyFill="1" applyAlignment="1" applyProtection="1">
      <alignment horizontal="center"/>
    </xf>
    <xf numFmtId="0" fontId="35" fillId="12" borderId="0" xfId="9" applyFont="1" applyFill="1" applyAlignment="1" applyProtection="1">
      <alignment horizontal="center"/>
    </xf>
    <xf numFmtId="0" fontId="35" fillId="7" borderId="0" xfId="9" applyFont="1" applyFill="1" applyBorder="1" applyAlignment="1" applyProtection="1">
      <alignment horizontal="center"/>
    </xf>
    <xf numFmtId="0" fontId="34" fillId="7" borderId="0" xfId="9" applyFont="1" applyFill="1" applyAlignment="1" applyProtection="1">
      <alignment horizontal="center"/>
    </xf>
    <xf numFmtId="0" fontId="35" fillId="12" borderId="0" xfId="9" applyNumberFormat="1" applyFont="1" applyFill="1" applyAlignment="1" applyProtection="1">
      <alignment horizontal="center"/>
    </xf>
    <xf numFmtId="0" fontId="35" fillId="12" borderId="0" xfId="9" applyFont="1" applyFill="1" applyAlignment="1" applyProtection="1">
      <alignment horizontal="center" vertical="top"/>
    </xf>
    <xf numFmtId="0" fontId="35" fillId="12" borderId="0" xfId="9" applyFont="1" applyFill="1" applyBorder="1" applyAlignment="1" applyProtection="1">
      <alignment horizontal="center"/>
    </xf>
    <xf numFmtId="0" fontId="35" fillId="12" borderId="0" xfId="9" applyNumberFormat="1" applyFont="1" applyFill="1" applyAlignment="1" applyProtection="1">
      <alignment horizontal="center" vertical="top"/>
    </xf>
    <xf numFmtId="164" fontId="35" fillId="7" borderId="0" xfId="3" applyNumberFormat="1" applyFont="1" applyFill="1" applyBorder="1" applyAlignment="1" applyProtection="1">
      <alignment horizontal="center"/>
    </xf>
    <xf numFmtId="0" fontId="34" fillId="12" borderId="0" xfId="9" applyFont="1" applyFill="1" applyAlignment="1" applyProtection="1">
      <alignment horizontal="center"/>
    </xf>
    <xf numFmtId="0" fontId="34" fillId="12" borderId="0" xfId="9" applyFont="1" applyFill="1" applyBorder="1" applyAlignment="1" applyProtection="1">
      <alignment horizontal="center"/>
    </xf>
    <xf numFmtId="0" fontId="34" fillId="12" borderId="0" xfId="9" applyFont="1" applyFill="1" applyProtection="1"/>
    <xf numFmtId="0" fontId="12" fillId="14" borderId="0" xfId="9" applyFont="1" applyFill="1" applyBorder="1" applyAlignment="1" applyProtection="1">
      <alignment horizontal="right"/>
    </xf>
    <xf numFmtId="0" fontId="35" fillId="11" borderId="60" xfId="9" applyFont="1" applyFill="1" applyBorder="1" applyAlignment="1" applyProtection="1">
      <alignment vertical="center"/>
    </xf>
    <xf numFmtId="0" fontId="35" fillId="11" borderId="32" xfId="9" applyFont="1" applyFill="1" applyBorder="1" applyAlignment="1" applyProtection="1">
      <alignment vertical="center"/>
    </xf>
    <xf numFmtId="0" fontId="5" fillId="12" borderId="0" xfId="9" applyFont="1" applyFill="1" applyBorder="1" applyProtection="1"/>
    <xf numFmtId="0" fontId="5" fillId="12" borderId="0" xfId="9" applyFont="1" applyFill="1" applyProtection="1"/>
    <xf numFmtId="0" fontId="5" fillId="7" borderId="0" xfId="9" applyFont="1" applyFill="1" applyProtection="1"/>
    <xf numFmtId="0" fontId="21" fillId="7" borderId="0" xfId="9" applyFont="1" applyFill="1" applyBorder="1" applyProtection="1"/>
    <xf numFmtId="0" fontId="22" fillId="7" borderId="0" xfId="9" applyFont="1" applyFill="1" applyBorder="1" applyAlignment="1" applyProtection="1">
      <alignment horizontal="left"/>
    </xf>
    <xf numFmtId="0" fontId="5" fillId="7" borderId="0" xfId="9" applyFont="1" applyFill="1" applyBorder="1" applyAlignment="1" applyProtection="1">
      <alignment horizontal="right"/>
    </xf>
    <xf numFmtId="0" fontId="21" fillId="7" borderId="0" xfId="1" applyNumberFormat="1" applyFont="1" applyFill="1" applyBorder="1" applyAlignment="1" applyProtection="1">
      <alignment horizontal="right"/>
    </xf>
    <xf numFmtId="165" fontId="21" fillId="7" borderId="0" xfId="1" applyNumberFormat="1" applyFont="1" applyFill="1" applyBorder="1" applyAlignment="1" applyProtection="1">
      <alignment horizontal="right"/>
    </xf>
    <xf numFmtId="165" fontId="21" fillId="7" borderId="0" xfId="1" applyNumberFormat="1" applyFont="1" applyFill="1" applyBorder="1" applyAlignment="1" applyProtection="1">
      <alignment horizontal="left" vertical="top"/>
    </xf>
    <xf numFmtId="0" fontId="21" fillId="7" borderId="0" xfId="9" applyFont="1" applyFill="1" applyBorder="1" applyAlignment="1" applyProtection="1">
      <alignment horizontal="right"/>
    </xf>
    <xf numFmtId="0" fontId="21" fillId="7" borderId="0" xfId="1" applyNumberFormat="1" applyFont="1" applyFill="1" applyBorder="1" applyAlignment="1" applyProtection="1">
      <alignment horizontal="left" vertical="top"/>
    </xf>
    <xf numFmtId="0" fontId="21" fillId="7" borderId="0" xfId="9" applyFont="1" applyFill="1" applyBorder="1" applyAlignment="1" applyProtection="1">
      <alignment horizontal="right" vertical="center"/>
    </xf>
    <xf numFmtId="0" fontId="34" fillId="7" borderId="0" xfId="9" applyFont="1" applyFill="1" applyProtection="1"/>
    <xf numFmtId="0" fontId="35" fillId="0" borderId="0" xfId="9" applyFont="1" applyFill="1" applyBorder="1" applyAlignment="1" applyProtection="1">
      <alignment wrapText="1"/>
    </xf>
    <xf numFmtId="0" fontId="35" fillId="12" borderId="0" xfId="9" applyFont="1" applyFill="1" applyBorder="1" applyAlignment="1" applyProtection="1">
      <alignment vertical="center"/>
    </xf>
    <xf numFmtId="0" fontId="34" fillId="7" borderId="0" xfId="9" applyFont="1" applyFill="1" applyBorder="1" applyProtection="1"/>
    <xf numFmtId="0" fontId="5" fillId="7" borderId="0" xfId="9" applyFont="1" applyFill="1" applyBorder="1" applyAlignment="1" applyProtection="1">
      <alignment horizontal="right" vertical="center"/>
    </xf>
    <xf numFmtId="0" fontId="5" fillId="0" borderId="0" xfId="9" applyFont="1" applyFill="1" applyAlignment="1" applyProtection="1">
      <alignment horizontal="right" vertical="center"/>
    </xf>
    <xf numFmtId="0" fontId="35" fillId="0" borderId="0" xfId="9" applyFont="1" applyFill="1" applyBorder="1" applyAlignment="1" applyProtection="1">
      <alignment horizontal="right" vertical="center"/>
    </xf>
    <xf numFmtId="0" fontId="34" fillId="7" borderId="0" xfId="9" applyFont="1" applyFill="1" applyBorder="1" applyAlignment="1" applyProtection="1">
      <alignment vertical="center"/>
    </xf>
    <xf numFmtId="49" fontId="25" fillId="12" borderId="0" xfId="9" applyNumberFormat="1" applyFont="1" applyFill="1" applyBorder="1" applyAlignment="1" applyProtection="1">
      <alignment horizontal="right" vertical="center"/>
    </xf>
    <xf numFmtId="0" fontId="25" fillId="7" borderId="0" xfId="9" applyFont="1" applyFill="1" applyBorder="1" applyAlignment="1" applyProtection="1">
      <alignment horizontal="right"/>
    </xf>
    <xf numFmtId="0" fontId="34" fillId="14" borderId="29" xfId="9" applyFont="1" applyFill="1" applyBorder="1" applyAlignment="1" applyProtection="1">
      <alignment horizontal="right" vertical="center"/>
    </xf>
    <xf numFmtId="0" fontId="34" fillId="7" borderId="29" xfId="9" applyFont="1" applyFill="1" applyBorder="1" applyAlignment="1" applyProtection="1">
      <alignment horizontal="right" vertical="center"/>
    </xf>
    <xf numFmtId="0" fontId="35" fillId="7" borderId="0" xfId="9" applyFont="1" applyFill="1" applyBorder="1" applyAlignment="1" applyProtection="1">
      <alignment vertical="center"/>
    </xf>
    <xf numFmtId="0" fontId="6" fillId="7" borderId="0" xfId="9" applyFont="1" applyFill="1" applyBorder="1" applyAlignment="1" applyProtection="1">
      <alignment vertical="center"/>
    </xf>
    <xf numFmtId="0" fontId="34" fillId="12" borderId="0" xfId="9" applyFont="1" applyFill="1" applyBorder="1" applyAlignment="1" applyProtection="1">
      <alignment horizontal="right" vertical="center"/>
    </xf>
    <xf numFmtId="0" fontId="6" fillId="7" borderId="15" xfId="9" applyFont="1" applyFill="1" applyBorder="1" applyAlignment="1" applyProtection="1">
      <alignment vertical="center"/>
    </xf>
    <xf numFmtId="0" fontId="27" fillId="7" borderId="0" xfId="9" applyFont="1" applyFill="1" applyBorder="1" applyAlignment="1" applyProtection="1">
      <alignment horizontal="right"/>
    </xf>
    <xf numFmtId="0" fontId="24" fillId="12" borderId="0" xfId="9" applyFont="1" applyFill="1" applyBorder="1" applyAlignment="1" applyProtection="1">
      <alignment horizontal="right" vertical="center"/>
    </xf>
    <xf numFmtId="0" fontId="35" fillId="7" borderId="0" xfId="9" applyNumberFormat="1" applyFont="1" applyFill="1" applyBorder="1" applyAlignment="1" applyProtection="1">
      <alignment horizontal="left"/>
    </xf>
    <xf numFmtId="0" fontId="5" fillId="0" borderId="0" xfId="9" applyFont="1" applyBorder="1" applyProtection="1"/>
    <xf numFmtId="0" fontId="5" fillId="0" borderId="0" xfId="9" applyFont="1" applyBorder="1" applyAlignment="1" applyProtection="1">
      <alignment horizontal="right"/>
    </xf>
    <xf numFmtId="0" fontId="5" fillId="0" borderId="15" xfId="9" applyFont="1" applyBorder="1" applyProtection="1"/>
    <xf numFmtId="0" fontId="41" fillId="7" borderId="0" xfId="9" applyFont="1" applyFill="1" applyBorder="1" applyAlignment="1" applyProtection="1">
      <alignment horizontal="right" vertical="center"/>
    </xf>
    <xf numFmtId="0" fontId="5" fillId="7" borderId="0" xfId="9" applyFont="1" applyFill="1" applyAlignment="1" applyProtection="1">
      <alignment horizontal="right" vertical="center"/>
    </xf>
    <xf numFmtId="0" fontId="5" fillId="12" borderId="0" xfId="9" applyFont="1" applyFill="1" applyBorder="1" applyAlignment="1" applyProtection="1">
      <alignment horizontal="left" vertical="center"/>
    </xf>
    <xf numFmtId="3" fontId="5" fillId="12" borderId="0" xfId="9" applyNumberFormat="1" applyFont="1" applyFill="1" applyBorder="1" applyAlignment="1" applyProtection="1">
      <alignment horizontal="right" vertical="center"/>
    </xf>
    <xf numFmtId="165" fontId="41" fillId="12" borderId="0" xfId="9" applyNumberFormat="1" applyFont="1" applyFill="1" applyBorder="1" applyAlignment="1" applyProtection="1">
      <alignment horizontal="right" vertical="center"/>
    </xf>
    <xf numFmtId="165" fontId="5" fillId="12" borderId="0" xfId="9" applyNumberFormat="1" applyFont="1" applyFill="1" applyBorder="1" applyAlignment="1" applyProtection="1">
      <alignment horizontal="right" vertical="center"/>
    </xf>
    <xf numFmtId="165" fontId="5" fillId="0" borderId="0" xfId="9" applyNumberFormat="1" applyFont="1" applyFill="1" applyBorder="1" applyAlignment="1" applyProtection="1">
      <alignment horizontal="right" vertical="center"/>
    </xf>
    <xf numFmtId="165" fontId="5" fillId="0" borderId="0" xfId="1" applyNumberFormat="1" applyFont="1" applyAlignment="1" applyProtection="1">
      <alignment horizontal="left" vertical="top"/>
    </xf>
    <xf numFmtId="0" fontId="5" fillId="0" borderId="0" xfId="1" applyNumberFormat="1" applyFont="1" applyAlignment="1" applyProtection="1">
      <alignment horizontal="left" vertical="top"/>
    </xf>
    <xf numFmtId="0" fontId="5" fillId="0" borderId="0" xfId="9" applyFont="1" applyAlignment="1" applyProtection="1">
      <alignment horizontal="right"/>
    </xf>
    <xf numFmtId="0" fontId="5" fillId="0" borderId="0" xfId="9" applyFont="1" applyProtection="1"/>
    <xf numFmtId="0" fontId="21" fillId="0" borderId="0" xfId="9" applyFont="1" applyProtection="1"/>
    <xf numFmtId="0" fontId="5" fillId="0" borderId="0" xfId="9" applyFont="1" applyAlignment="1" applyProtection="1">
      <alignment horizontal="left"/>
    </xf>
    <xf numFmtId="0" fontId="5" fillId="0" borderId="0" xfId="9" applyNumberFormat="1" applyFont="1" applyAlignment="1" applyProtection="1">
      <alignment horizontal="right"/>
    </xf>
    <xf numFmtId="3" fontId="19" fillId="12" borderId="0" xfId="9" applyNumberFormat="1" applyFont="1" applyFill="1" applyBorder="1" applyAlignment="1" applyProtection="1">
      <alignment horizontal="right" vertical="center"/>
    </xf>
    <xf numFmtId="0" fontId="19" fillId="12" borderId="0" xfId="9" applyFont="1" applyFill="1" applyBorder="1" applyAlignment="1" applyProtection="1">
      <alignment horizontal="right" vertical="center"/>
    </xf>
    <xf numFmtId="3" fontId="5" fillId="0" borderId="0" xfId="9" applyNumberFormat="1" applyFont="1" applyProtection="1"/>
    <xf numFmtId="0" fontId="35" fillId="12" borderId="0" xfId="9" applyFont="1" applyFill="1" applyBorder="1" applyAlignment="1" applyProtection="1">
      <alignment horizontal="left" vertical="center"/>
    </xf>
    <xf numFmtId="0" fontId="35" fillId="12" borderId="0" xfId="9" applyFont="1" applyFill="1" applyBorder="1" applyAlignment="1" applyProtection="1">
      <alignment horizontal="right" vertical="center"/>
    </xf>
    <xf numFmtId="0" fontId="35" fillId="12" borderId="12" xfId="9" applyFont="1" applyFill="1" applyBorder="1" applyAlignment="1" applyProtection="1">
      <alignment horizontal="left" vertical="center" wrapText="1"/>
    </xf>
    <xf numFmtId="0" fontId="35" fillId="12" borderId="14" xfId="9" applyFont="1" applyFill="1" applyBorder="1" applyAlignment="1" applyProtection="1">
      <alignment horizontal="left" vertical="center" wrapText="1"/>
    </xf>
    <xf numFmtId="0" fontId="35" fillId="12" borderId="48" xfId="9" applyFont="1" applyFill="1" applyBorder="1" applyAlignment="1" applyProtection="1">
      <alignment horizontal="right" vertical="center"/>
    </xf>
    <xf numFmtId="0" fontId="6" fillId="7" borderId="49" xfId="9" applyFont="1" applyFill="1" applyBorder="1" applyAlignment="1" applyProtection="1">
      <alignment vertical="center"/>
    </xf>
    <xf numFmtId="0" fontId="6" fillId="7" borderId="50" xfId="9" applyFont="1" applyFill="1" applyBorder="1" applyAlignment="1" applyProtection="1">
      <alignment vertical="center"/>
    </xf>
    <xf numFmtId="0" fontId="6" fillId="7" borderId="16" xfId="9" applyFont="1" applyFill="1" applyBorder="1" applyAlignment="1" applyProtection="1">
      <alignment vertical="center"/>
    </xf>
    <xf numFmtId="0" fontId="35" fillId="12" borderId="77" xfId="9" applyFont="1" applyFill="1" applyBorder="1" applyAlignment="1" applyProtection="1">
      <alignment horizontal="left" vertical="center"/>
    </xf>
    <xf numFmtId="0" fontId="35" fillId="12" borderId="19" xfId="9" applyFont="1" applyFill="1" applyBorder="1" applyAlignment="1" applyProtection="1">
      <alignment horizontal="left" vertical="center"/>
    </xf>
    <xf numFmtId="0" fontId="5" fillId="12" borderId="75" xfId="0" applyFont="1" applyFill="1" applyBorder="1" applyAlignment="1" applyProtection="1">
      <alignment horizontal="center"/>
    </xf>
    <xf numFmtId="0" fontId="66" fillId="16" borderId="0" xfId="0" applyFont="1" applyFill="1" applyBorder="1" applyAlignment="1" applyProtection="1">
      <alignment horizontal="left" vertical="center"/>
    </xf>
    <xf numFmtId="0" fontId="66" fillId="8" borderId="0" xfId="9" applyFont="1" applyFill="1" applyAlignment="1" applyProtection="1">
      <alignment horizontal="left" vertical="center"/>
    </xf>
    <xf numFmtId="49" fontId="35" fillId="0" borderId="50" xfId="9" applyNumberFormat="1" applyFont="1" applyFill="1" applyBorder="1" applyAlignment="1" applyProtection="1">
      <alignment vertical="center"/>
    </xf>
    <xf numFmtId="49" fontId="35" fillId="0" borderId="8" xfId="9" applyNumberFormat="1" applyFont="1" applyFill="1" applyBorder="1" applyAlignment="1" applyProtection="1">
      <alignment vertical="center"/>
    </xf>
    <xf numFmtId="0" fontId="34" fillId="12" borderId="0" xfId="9" applyFont="1" applyFill="1" applyAlignment="1" applyProtection="1">
      <alignment horizontal="right" vertical="center"/>
    </xf>
    <xf numFmtId="49" fontId="35" fillId="0" borderId="49" xfId="9" applyNumberFormat="1" applyFont="1" applyFill="1" applyBorder="1" applyAlignment="1" applyProtection="1">
      <alignment horizontal="right" vertical="center"/>
    </xf>
    <xf numFmtId="49" fontId="35" fillId="0" borderId="21" xfId="9" applyNumberFormat="1" applyFont="1" applyFill="1" applyBorder="1" applyAlignment="1" applyProtection="1">
      <alignment horizontal="right" vertical="center"/>
    </xf>
    <xf numFmtId="0" fontId="24" fillId="7" borderId="29" xfId="9" applyFont="1" applyFill="1" applyBorder="1" applyAlignment="1" applyProtection="1">
      <alignment horizontal="right" vertical="center"/>
    </xf>
    <xf numFmtId="0" fontId="24" fillId="14" borderId="29" xfId="9" applyFont="1" applyFill="1" applyBorder="1" applyAlignment="1" applyProtection="1">
      <alignment horizontal="right" vertical="center"/>
    </xf>
    <xf numFmtId="0" fontId="6" fillId="12" borderId="0" xfId="9" applyFont="1" applyFill="1" applyBorder="1" applyAlignment="1" applyProtection="1">
      <alignment horizontal="right" vertical="center"/>
    </xf>
    <xf numFmtId="165" fontId="34" fillId="0" borderId="29" xfId="9" applyNumberFormat="1" applyFont="1" applyFill="1" applyBorder="1" applyAlignment="1" applyProtection="1">
      <alignment horizontal="right" vertical="center"/>
    </xf>
    <xf numFmtId="0" fontId="5" fillId="12" borderId="0" xfId="9" applyFont="1" applyFill="1" applyBorder="1" applyAlignment="1" applyProtection="1">
      <alignment horizontal="right" vertical="center"/>
    </xf>
    <xf numFmtId="0" fontId="5" fillId="12" borderId="15" xfId="9" applyFont="1" applyFill="1" applyBorder="1" applyAlignment="1" applyProtection="1">
      <alignment vertical="center"/>
    </xf>
    <xf numFmtId="0" fontId="5" fillId="12" borderId="0" xfId="9" applyFont="1" applyFill="1" applyBorder="1" applyAlignment="1" applyProtection="1">
      <alignment vertical="center"/>
    </xf>
    <xf numFmtId="0" fontId="5" fillId="0" borderId="15" xfId="9" applyFont="1" applyFill="1" applyBorder="1" applyAlignment="1" applyProtection="1">
      <alignment vertical="center"/>
    </xf>
    <xf numFmtId="0" fontId="5" fillId="0" borderId="0" xfId="9" applyFont="1" applyFill="1" applyBorder="1" applyAlignment="1" applyProtection="1">
      <alignment vertical="center"/>
    </xf>
    <xf numFmtId="165" fontId="5" fillId="12" borderId="15" xfId="9" applyNumberFormat="1" applyFont="1" applyFill="1" applyBorder="1" applyAlignment="1" applyProtection="1">
      <alignment horizontal="right" vertical="center"/>
    </xf>
    <xf numFmtId="0" fontId="11" fillId="12" borderId="0" xfId="9" applyFont="1" applyFill="1" applyBorder="1" applyAlignment="1" applyProtection="1">
      <alignment horizontal="right" vertical="center"/>
    </xf>
    <xf numFmtId="0" fontId="35" fillId="12" borderId="0" xfId="9" applyFont="1" applyFill="1" applyBorder="1" applyAlignment="1" applyProtection="1">
      <alignment horizontal="right"/>
    </xf>
    <xf numFmtId="0" fontId="35" fillId="12" borderId="0" xfId="0" applyFont="1" applyFill="1" applyAlignment="1" applyProtection="1">
      <alignment horizontal="center"/>
    </xf>
    <xf numFmtId="0" fontId="12" fillId="14" borderId="0" xfId="9" applyFont="1" applyFill="1" applyBorder="1" applyAlignment="1" applyProtection="1">
      <alignment horizontal="right" vertical="center"/>
    </xf>
    <xf numFmtId="0" fontId="5" fillId="0" borderId="0" xfId="9" applyFont="1" applyFill="1" applyProtection="1"/>
    <xf numFmtId="165" fontId="5" fillId="0" borderId="0" xfId="10" applyNumberFormat="1" applyFont="1" applyFill="1" applyBorder="1" applyAlignment="1" applyProtection="1">
      <alignment horizontal="right"/>
    </xf>
    <xf numFmtId="0" fontId="5" fillId="0" borderId="0" xfId="9" applyFont="1" applyFill="1" applyBorder="1" applyAlignment="1" applyProtection="1">
      <alignment horizontal="right"/>
    </xf>
    <xf numFmtId="0" fontId="26" fillId="11" borderId="8" xfId="6" applyFont="1" applyFill="1" applyBorder="1" applyAlignment="1" applyProtection="1">
      <alignment vertical="center"/>
    </xf>
    <xf numFmtId="0" fontId="26" fillId="11" borderId="0" xfId="6" applyFont="1" applyFill="1" applyBorder="1" applyAlignment="1" applyProtection="1">
      <alignment vertical="center"/>
    </xf>
    <xf numFmtId="0" fontId="5" fillId="0" borderId="0" xfId="9" applyFont="1" applyFill="1" applyAlignment="1" applyProtection="1">
      <alignment vertical="center"/>
    </xf>
    <xf numFmtId="165" fontId="5" fillId="0" borderId="0" xfId="10" applyNumberFormat="1" applyFont="1" applyFill="1" applyBorder="1" applyAlignment="1" applyProtection="1">
      <alignment horizontal="right" vertical="center"/>
    </xf>
    <xf numFmtId="49" fontId="23" fillId="0" borderId="0" xfId="10" applyNumberFormat="1" applyFont="1" applyFill="1" applyBorder="1" applyAlignment="1" applyProtection="1">
      <alignment horizontal="left" vertical="center"/>
    </xf>
    <xf numFmtId="0" fontId="35" fillId="0" borderId="0" xfId="0" applyFont="1" applyFill="1" applyBorder="1" applyAlignment="1" applyProtection="1">
      <alignment horizontal="right" vertical="center"/>
    </xf>
    <xf numFmtId="0" fontId="34" fillId="0" borderId="0" xfId="9" applyFont="1" applyFill="1" applyAlignment="1" applyProtection="1">
      <alignment vertical="center"/>
    </xf>
    <xf numFmtId="49" fontId="35" fillId="0" borderId="0" xfId="10" applyNumberFormat="1" applyFont="1" applyFill="1" applyBorder="1" applyAlignment="1" applyProtection="1">
      <alignment horizontal="right" vertical="center"/>
    </xf>
    <xf numFmtId="9" fontId="35" fillId="0" borderId="0" xfId="7" applyFont="1" applyFill="1" applyBorder="1" applyAlignment="1" applyProtection="1">
      <alignment horizontal="right" vertical="center"/>
    </xf>
    <xf numFmtId="49" fontId="35" fillId="0" borderId="0" xfId="10" applyNumberFormat="1" applyFont="1" applyFill="1" applyBorder="1" applyAlignment="1" applyProtection="1">
      <alignment horizontal="left" vertical="center"/>
    </xf>
    <xf numFmtId="49" fontId="6" fillId="12" borderId="0" xfId="9" applyNumberFormat="1" applyFont="1" applyFill="1" applyBorder="1" applyAlignment="1" applyProtection="1">
      <alignment horizontal="right" vertical="center"/>
    </xf>
    <xf numFmtId="0" fontId="5" fillId="12" borderId="0" xfId="9" applyFont="1" applyFill="1" applyAlignment="1" applyProtection="1">
      <alignment vertical="center"/>
    </xf>
    <xf numFmtId="0" fontId="5" fillId="0" borderId="15" xfId="9" applyNumberFormat="1" applyFont="1" applyFill="1" applyBorder="1" applyAlignment="1" applyProtection="1">
      <alignment horizontal="right" vertical="center"/>
    </xf>
    <xf numFmtId="0" fontId="68" fillId="8" borderId="0" xfId="9" applyFont="1" applyFill="1" applyBorder="1" applyAlignment="1" applyProtection="1">
      <alignment vertical="center"/>
    </xf>
    <xf numFmtId="0" fontId="5" fillId="14" borderId="0" xfId="9" applyFont="1" applyFill="1" applyProtection="1"/>
    <xf numFmtId="0" fontId="5" fillId="14" borderId="0" xfId="9" applyFont="1" applyFill="1" applyBorder="1" applyProtection="1"/>
    <xf numFmtId="0" fontId="26" fillId="11" borderId="60" xfId="6" applyFont="1" applyFill="1" applyBorder="1" applyAlignment="1" applyProtection="1">
      <alignment vertical="center"/>
    </xf>
    <xf numFmtId="0" fontId="26" fillId="11" borderId="32" xfId="6" applyFont="1" applyFill="1" applyBorder="1" applyAlignment="1" applyProtection="1">
      <alignment vertical="center"/>
    </xf>
    <xf numFmtId="0" fontId="26" fillId="11" borderId="45" xfId="6" applyFont="1" applyFill="1" applyBorder="1" applyAlignment="1" applyProtection="1">
      <alignment vertical="center"/>
    </xf>
    <xf numFmtId="49" fontId="35" fillId="0" borderId="50" xfId="9" applyNumberFormat="1" applyFont="1" applyFill="1" applyBorder="1" applyAlignment="1" applyProtection="1">
      <alignment horizontal="center" vertical="center"/>
    </xf>
    <xf numFmtId="49" fontId="35" fillId="0" borderId="22" xfId="9" applyNumberFormat="1" applyFont="1" applyFill="1" applyBorder="1" applyAlignment="1" applyProtection="1">
      <alignment horizontal="center" vertical="center"/>
    </xf>
    <xf numFmtId="49" fontId="35" fillId="0" borderId="50" xfId="9" applyNumberFormat="1" applyFont="1" applyFill="1" applyBorder="1" applyAlignment="1" applyProtection="1">
      <alignment horizontal="left" vertical="center"/>
    </xf>
    <xf numFmtId="49" fontId="35" fillId="0" borderId="8" xfId="9" applyNumberFormat="1" applyFont="1" applyFill="1" applyBorder="1" applyAlignment="1" applyProtection="1">
      <alignment horizontal="center" vertical="center"/>
    </xf>
    <xf numFmtId="0" fontId="34" fillId="0" borderId="0" xfId="9" applyFont="1" applyFill="1" applyProtection="1"/>
    <xf numFmtId="49" fontId="35" fillId="7" borderId="15" xfId="6" applyNumberFormat="1" applyFont="1" applyFill="1" applyBorder="1" applyAlignment="1" applyProtection="1">
      <alignment horizontal="right" vertical="center"/>
    </xf>
    <xf numFmtId="0" fontId="34" fillId="0" borderId="47" xfId="0" applyFont="1" applyFill="1" applyBorder="1" applyAlignment="1" applyProtection="1">
      <alignment horizontal="right" vertical="center"/>
    </xf>
    <xf numFmtId="0" fontId="34" fillId="0" borderId="48" xfId="0" applyFont="1" applyFill="1" applyBorder="1" applyAlignment="1" applyProtection="1">
      <alignment horizontal="right" vertical="center"/>
    </xf>
    <xf numFmtId="0" fontId="35" fillId="0" borderId="48" xfId="0" applyFont="1" applyFill="1" applyBorder="1" applyAlignment="1" applyProtection="1">
      <alignment horizontal="center" vertical="center"/>
    </xf>
    <xf numFmtId="0" fontId="35" fillId="0" borderId="25" xfId="0" applyFont="1" applyFill="1" applyBorder="1" applyAlignment="1" applyProtection="1">
      <alignment horizontal="right" vertical="center"/>
    </xf>
    <xf numFmtId="0" fontId="35" fillId="0" borderId="0" xfId="0" applyFont="1" applyFill="1" applyBorder="1" applyAlignment="1" applyProtection="1">
      <alignment vertical="center"/>
    </xf>
    <xf numFmtId="0" fontId="35" fillId="11" borderId="60" xfId="6" applyFont="1" applyFill="1" applyBorder="1" applyAlignment="1" applyProtection="1">
      <alignment vertical="center"/>
    </xf>
    <xf numFmtId="0" fontId="35" fillId="11" borderId="32" xfId="6" applyFont="1" applyFill="1" applyBorder="1" applyAlignment="1" applyProtection="1">
      <alignment vertical="center"/>
    </xf>
    <xf numFmtId="49" fontId="22" fillId="0" borderId="0" xfId="10" applyNumberFormat="1" applyFont="1" applyFill="1" applyBorder="1" applyAlignment="1" applyProtection="1">
      <alignment horizontal="left" vertical="center"/>
    </xf>
    <xf numFmtId="0" fontId="35" fillId="12" borderId="26" xfId="6" applyFont="1" applyFill="1" applyBorder="1" applyAlignment="1" applyProtection="1">
      <alignment horizontal="right" vertical="center"/>
    </xf>
    <xf numFmtId="49" fontId="44" fillId="0" borderId="0" xfId="10" applyNumberFormat="1" applyFont="1" applyFill="1" applyBorder="1" applyAlignment="1" applyProtection="1">
      <alignment horizontal="right" vertical="center"/>
    </xf>
    <xf numFmtId="49" fontId="12" fillId="0" borderId="0" xfId="10" applyNumberFormat="1" applyFont="1" applyFill="1" applyBorder="1" applyAlignment="1" applyProtection="1">
      <alignment horizontal="left" vertical="center"/>
    </xf>
    <xf numFmtId="0" fontId="35" fillId="0" borderId="8" xfId="0" applyFont="1" applyFill="1" applyBorder="1" applyAlignment="1" applyProtection="1">
      <alignment horizontal="right" vertical="center"/>
    </xf>
    <xf numFmtId="0" fontId="35" fillId="0" borderId="22" xfId="0" applyFont="1" applyFill="1" applyBorder="1" applyAlignment="1" applyProtection="1">
      <alignment horizontal="right" vertical="center"/>
    </xf>
    <xf numFmtId="49" fontId="6" fillId="0" borderId="0" xfId="9" applyNumberFormat="1" applyFont="1" applyFill="1" applyAlignment="1" applyProtection="1">
      <alignment vertical="center"/>
    </xf>
    <xf numFmtId="0" fontId="35" fillId="12" borderId="15" xfId="6" applyFont="1" applyFill="1" applyBorder="1" applyAlignment="1" applyProtection="1">
      <alignment horizontal="right" vertical="center"/>
    </xf>
    <xf numFmtId="49" fontId="35" fillId="0" borderId="0" xfId="9" applyNumberFormat="1" applyFont="1" applyFill="1" applyAlignment="1" applyProtection="1">
      <alignment vertical="center"/>
    </xf>
    <xf numFmtId="49" fontId="44" fillId="0" borderId="0" xfId="9" applyNumberFormat="1" applyFont="1" applyFill="1" applyBorder="1" applyAlignment="1" applyProtection="1">
      <alignment horizontal="right" vertical="center"/>
    </xf>
    <xf numFmtId="49" fontId="12" fillId="0" borderId="0" xfId="9" applyNumberFormat="1" applyFont="1" applyFill="1" applyBorder="1" applyAlignment="1" applyProtection="1">
      <alignment horizontal="left" vertical="center"/>
    </xf>
    <xf numFmtId="49" fontId="35" fillId="0" borderId="0" xfId="9" applyNumberFormat="1" applyFont="1" applyFill="1" applyBorder="1" applyAlignment="1" applyProtection="1">
      <alignment horizontal="right" vertical="center"/>
    </xf>
    <xf numFmtId="0" fontId="35" fillId="0" borderId="0" xfId="0" applyFont="1" applyFill="1" applyBorder="1" applyAlignment="1" applyProtection="1">
      <alignment horizontal="center" vertical="center"/>
    </xf>
    <xf numFmtId="0" fontId="5" fillId="12" borderId="0" xfId="9" applyFont="1" applyFill="1" applyAlignment="1" applyProtection="1">
      <alignment horizontal="left" vertical="center"/>
    </xf>
    <xf numFmtId="0" fontId="22" fillId="12" borderId="0" xfId="9" applyFont="1" applyFill="1" applyBorder="1" applyAlignment="1" applyProtection="1">
      <alignment horizontal="left" vertical="center"/>
    </xf>
    <xf numFmtId="49" fontId="12" fillId="12" borderId="0" xfId="9" applyNumberFormat="1" applyFont="1" applyFill="1" applyBorder="1" applyAlignment="1" applyProtection="1">
      <alignment horizontal="right" vertical="center"/>
    </xf>
    <xf numFmtId="49" fontId="22" fillId="12" borderId="0" xfId="10" applyNumberFormat="1" applyFont="1" applyFill="1" applyBorder="1" applyAlignment="1" applyProtection="1">
      <alignment horizontal="left" vertical="center"/>
    </xf>
    <xf numFmtId="49" fontId="22" fillId="12" borderId="0" xfId="10" applyNumberFormat="1" applyFont="1" applyFill="1" applyBorder="1" applyAlignment="1" applyProtection="1">
      <alignment horizontal="center" vertical="center"/>
    </xf>
    <xf numFmtId="0" fontId="25" fillId="12" borderId="0" xfId="9" applyFont="1" applyFill="1" applyBorder="1" applyAlignment="1" applyProtection="1">
      <alignment horizontal="center" vertical="center" wrapText="1"/>
    </xf>
    <xf numFmtId="0" fontId="22" fillId="12" borderId="0" xfId="9" applyFont="1" applyFill="1" applyBorder="1" applyAlignment="1" applyProtection="1">
      <alignment horizontal="center" vertical="center"/>
    </xf>
    <xf numFmtId="0" fontId="22" fillId="12" borderId="0" xfId="9" applyFont="1" applyFill="1" applyBorder="1" applyAlignment="1" applyProtection="1">
      <alignment horizontal="right" vertical="center"/>
    </xf>
    <xf numFmtId="49" fontId="6" fillId="12" borderId="0" xfId="9" applyNumberFormat="1" applyFont="1" applyFill="1" applyAlignment="1" applyProtection="1">
      <alignment vertical="center"/>
    </xf>
    <xf numFmtId="0" fontId="6" fillId="12" borderId="16" xfId="6" applyFont="1" applyFill="1" applyBorder="1" applyAlignment="1" applyProtection="1">
      <alignment horizontal="right" vertical="center"/>
    </xf>
    <xf numFmtId="0" fontId="5" fillId="12" borderId="26" xfId="9" applyFont="1" applyFill="1" applyBorder="1" applyAlignment="1" applyProtection="1">
      <alignment vertical="center"/>
    </xf>
    <xf numFmtId="0" fontId="6" fillId="12" borderId="15" xfId="6" applyFont="1" applyFill="1" applyBorder="1" applyAlignment="1" applyProtection="1">
      <alignment horizontal="right" vertical="center"/>
    </xf>
    <xf numFmtId="41" fontId="6" fillId="12" borderId="0" xfId="11" quotePrefix="1" applyNumberFormat="1" applyFont="1" applyFill="1" applyBorder="1" applyAlignment="1" applyProtection="1">
      <alignment horizontal="left" vertical="center"/>
    </xf>
    <xf numFmtId="165" fontId="5" fillId="12" borderId="0" xfId="10" applyNumberFormat="1" applyFont="1" applyFill="1" applyBorder="1" applyAlignment="1" applyProtection="1">
      <alignment horizontal="center" vertical="center"/>
    </xf>
    <xf numFmtId="165" fontId="5" fillId="12" borderId="0" xfId="10" applyNumberFormat="1" applyFont="1" applyFill="1" applyBorder="1" applyAlignment="1" applyProtection="1">
      <alignment horizontal="left" vertical="center"/>
    </xf>
    <xf numFmtId="165" fontId="28" fillId="12" borderId="0" xfId="10" applyNumberFormat="1" applyFont="1" applyFill="1" applyBorder="1" applyAlignment="1" applyProtection="1">
      <alignment horizontal="center" vertical="center"/>
    </xf>
    <xf numFmtId="49" fontId="5" fillId="12" borderId="0" xfId="9" applyNumberFormat="1" applyFont="1" applyFill="1" applyAlignment="1" applyProtection="1">
      <alignment horizontal="right" vertical="center"/>
    </xf>
    <xf numFmtId="0" fontId="5" fillId="12" borderId="15" xfId="9" applyNumberFormat="1" applyFont="1" applyFill="1" applyBorder="1" applyAlignment="1" applyProtection="1">
      <alignment horizontal="right" vertical="center"/>
    </xf>
    <xf numFmtId="49" fontId="5" fillId="0" borderId="0" xfId="9" applyNumberFormat="1" applyFont="1" applyFill="1" applyBorder="1" applyAlignment="1" applyProtection="1">
      <alignment horizontal="left" vertical="center"/>
    </xf>
    <xf numFmtId="3" fontId="5" fillId="0" borderId="15" xfId="9" applyNumberFormat="1" applyFont="1" applyFill="1" applyBorder="1" applyAlignment="1" applyProtection="1">
      <alignment horizontal="right" vertical="center"/>
    </xf>
    <xf numFmtId="9" fontId="5" fillId="12" borderId="0" xfId="8" applyFont="1" applyFill="1" applyBorder="1" applyAlignment="1" applyProtection="1">
      <alignment horizontal="right" vertical="center"/>
    </xf>
    <xf numFmtId="9" fontId="11" fillId="12" borderId="0" xfId="8" applyFont="1" applyFill="1" applyBorder="1" applyAlignment="1" applyProtection="1">
      <alignment horizontal="right" vertical="center"/>
    </xf>
    <xf numFmtId="9" fontId="5" fillId="12" borderId="0" xfId="12" applyNumberFormat="1" applyFont="1" applyFill="1" applyBorder="1" applyAlignment="1" applyProtection="1">
      <alignment horizontal="right" vertical="center"/>
    </xf>
    <xf numFmtId="167" fontId="14" fillId="12" borderId="0" xfId="4" quotePrefix="1" applyNumberFormat="1" applyFont="1" applyFill="1" applyBorder="1" applyAlignment="1" applyProtection="1">
      <alignment horizontal="right" vertical="center"/>
    </xf>
    <xf numFmtId="0" fontId="34" fillId="12" borderId="0" xfId="9" applyFont="1" applyFill="1" applyBorder="1" applyAlignment="1" applyProtection="1">
      <alignment horizontal="left" vertical="center"/>
    </xf>
    <xf numFmtId="0" fontId="5" fillId="12" borderId="0" xfId="9" applyNumberFormat="1" applyFont="1" applyFill="1" applyBorder="1" applyAlignment="1" applyProtection="1">
      <alignment horizontal="right" vertical="center"/>
    </xf>
    <xf numFmtId="0" fontId="35" fillId="0" borderId="0" xfId="10" applyNumberFormat="1" applyFont="1" applyFill="1" applyBorder="1" applyAlignment="1" applyProtection="1">
      <alignment horizontal="left" vertical="center"/>
    </xf>
    <xf numFmtId="0" fontId="35" fillId="12" borderId="0" xfId="10" applyNumberFormat="1" applyFont="1" applyFill="1" applyBorder="1" applyAlignment="1" applyProtection="1">
      <alignment horizontal="left" vertical="center"/>
    </xf>
    <xf numFmtId="0" fontId="35" fillId="12" borderId="0" xfId="0" applyFont="1" applyFill="1" applyBorder="1" applyAlignment="1" applyProtection="1">
      <alignment horizontal="left" vertical="center"/>
    </xf>
    <xf numFmtId="3" fontId="5" fillId="12" borderId="15" xfId="9" applyNumberFormat="1" applyFont="1" applyFill="1" applyBorder="1" applyAlignment="1" applyProtection="1">
      <alignment horizontal="right" vertical="center"/>
    </xf>
    <xf numFmtId="0" fontId="5" fillId="12" borderId="0" xfId="0" applyNumberFormat="1" applyFont="1" applyFill="1" applyBorder="1" applyAlignment="1" applyProtection="1">
      <alignment horizontal="right" vertical="center"/>
    </xf>
    <xf numFmtId="0" fontId="35" fillId="12" borderId="0" xfId="0" applyFont="1" applyFill="1" applyBorder="1" applyAlignment="1" applyProtection="1">
      <alignment horizontal="right" vertical="center"/>
    </xf>
    <xf numFmtId="0" fontId="5" fillId="12" borderId="15" xfId="9" applyFont="1" applyFill="1" applyBorder="1" applyProtection="1"/>
    <xf numFmtId="0" fontId="5" fillId="0" borderId="0" xfId="9" applyNumberFormat="1" applyFont="1" applyProtection="1"/>
    <xf numFmtId="0" fontId="40" fillId="12" borderId="0" xfId="9" applyNumberFormat="1" applyFont="1" applyFill="1" applyBorder="1" applyAlignment="1" applyProtection="1">
      <alignment horizontal="left" vertical="center"/>
    </xf>
    <xf numFmtId="0" fontId="40" fillId="12" borderId="0" xfId="0" applyNumberFormat="1" applyFont="1" applyFill="1" applyBorder="1" applyAlignment="1" applyProtection="1">
      <alignment horizontal="left" vertical="center"/>
    </xf>
    <xf numFmtId="0" fontId="40" fillId="12" borderId="0" xfId="9" applyFont="1" applyFill="1" applyBorder="1" applyAlignment="1" applyProtection="1">
      <alignment horizontal="left" vertical="center"/>
    </xf>
    <xf numFmtId="0" fontId="66" fillId="8" borderId="0" xfId="9" applyFont="1" applyFill="1" applyAlignment="1" applyProtection="1">
      <alignment horizontal="left" vertical="center" wrapText="1"/>
    </xf>
    <xf numFmtId="0" fontId="67" fillId="8" borderId="0" xfId="6" applyFont="1" applyFill="1" applyAlignment="1" applyProtection="1">
      <alignment horizontal="left" vertical="center"/>
    </xf>
    <xf numFmtId="0" fontId="45" fillId="8" borderId="0" xfId="6" applyFont="1" applyFill="1" applyAlignment="1" applyProtection="1">
      <alignment horizontal="right"/>
    </xf>
    <xf numFmtId="0" fontId="36" fillId="8" borderId="0" xfId="6" applyFont="1" applyFill="1" applyAlignment="1" applyProtection="1">
      <alignment horizontal="right"/>
    </xf>
    <xf numFmtId="0" fontId="36" fillId="12" borderId="0" xfId="6" applyFont="1" applyFill="1" applyAlignment="1" applyProtection="1">
      <alignment horizontal="right"/>
    </xf>
    <xf numFmtId="0" fontId="36" fillId="12" borderId="0" xfId="6" applyFont="1" applyFill="1" applyProtection="1"/>
    <xf numFmtId="0" fontId="42" fillId="12" borderId="0" xfId="0" applyFont="1" applyFill="1" applyAlignment="1" applyProtection="1">
      <alignment horizontal="center"/>
    </xf>
    <xf numFmtId="0" fontId="21" fillId="14" borderId="0" xfId="0" applyFont="1" applyFill="1" applyProtection="1"/>
    <xf numFmtId="0" fontId="41" fillId="14" borderId="0" xfId="0" applyFont="1" applyFill="1" applyBorder="1" applyAlignment="1" applyProtection="1">
      <alignment horizontal="right"/>
    </xf>
    <xf numFmtId="0" fontId="41" fillId="14" borderId="0" xfId="0" applyFont="1" applyFill="1" applyBorder="1" applyAlignment="1" applyProtection="1">
      <alignment horizontal="center"/>
    </xf>
    <xf numFmtId="0" fontId="21" fillId="14" borderId="0" xfId="0" applyFont="1" applyFill="1" applyBorder="1" applyAlignment="1" applyProtection="1">
      <alignment horizontal="center"/>
    </xf>
    <xf numFmtId="0" fontId="21" fillId="12" borderId="0" xfId="0" applyFont="1" applyFill="1" applyProtection="1"/>
    <xf numFmtId="0" fontId="24" fillId="12" borderId="0" xfId="0" applyFont="1" applyFill="1" applyAlignment="1" applyProtection="1">
      <alignment horizontal="right" vertical="center"/>
    </xf>
    <xf numFmtId="0" fontId="34" fillId="12" borderId="0" xfId="0" applyFont="1" applyFill="1" applyAlignment="1" applyProtection="1">
      <alignment horizontal="right" vertical="center"/>
    </xf>
    <xf numFmtId="0" fontId="35" fillId="12" borderId="0" xfId="6" applyFont="1" applyFill="1" applyBorder="1" applyAlignment="1" applyProtection="1">
      <alignment vertical="center"/>
    </xf>
    <xf numFmtId="0" fontId="34" fillId="12" borderId="0" xfId="0" applyFont="1" applyFill="1" applyBorder="1" applyAlignment="1" applyProtection="1">
      <alignment vertical="center"/>
    </xf>
    <xf numFmtId="0" fontId="21" fillId="0" borderId="0" xfId="0" applyFont="1" applyFill="1" applyAlignment="1" applyProtection="1">
      <alignment vertical="center"/>
    </xf>
    <xf numFmtId="0" fontId="35" fillId="12" borderId="0" xfId="0" applyFont="1" applyFill="1" applyBorder="1" applyAlignment="1" applyProtection="1">
      <alignment horizontal="center" vertical="center"/>
    </xf>
    <xf numFmtId="0" fontId="42" fillId="12" borderId="0" xfId="0" applyFont="1" applyFill="1" applyBorder="1" applyAlignment="1" applyProtection="1">
      <alignment horizontal="center" vertical="center"/>
    </xf>
    <xf numFmtId="0" fontId="41" fillId="12" borderId="0" xfId="0" applyFont="1" applyFill="1" applyBorder="1" applyAlignment="1" applyProtection="1">
      <alignment horizontal="right" vertical="center"/>
    </xf>
    <xf numFmtId="0" fontId="34" fillId="12" borderId="0" xfId="0" applyFont="1" applyFill="1" applyBorder="1" applyAlignment="1" applyProtection="1">
      <alignment horizontal="right" vertical="center"/>
    </xf>
    <xf numFmtId="0" fontId="5" fillId="7" borderId="29" xfId="9" applyFont="1" applyFill="1" applyBorder="1" applyAlignment="1" applyProtection="1">
      <alignment horizontal="right" vertical="center"/>
    </xf>
    <xf numFmtId="0" fontId="5" fillId="14" borderId="29" xfId="9" applyFont="1" applyFill="1" applyBorder="1" applyAlignment="1" applyProtection="1">
      <alignment horizontal="right" vertical="center"/>
    </xf>
    <xf numFmtId="0" fontId="35" fillId="12" borderId="47" xfId="6" applyFont="1" applyFill="1" applyBorder="1" applyAlignment="1" applyProtection="1">
      <alignment horizontal="right" vertical="center"/>
    </xf>
    <xf numFmtId="0" fontId="35" fillId="12" borderId="49" xfId="6" applyFont="1" applyFill="1" applyBorder="1" applyAlignment="1" applyProtection="1">
      <alignment horizontal="right" vertical="center"/>
    </xf>
    <xf numFmtId="0" fontId="35" fillId="12" borderId="0" xfId="6" applyFont="1" applyFill="1" applyBorder="1" applyAlignment="1" applyProtection="1">
      <alignment horizontal="right" vertical="center"/>
    </xf>
    <xf numFmtId="0" fontId="35" fillId="12" borderId="16" xfId="6" applyFont="1" applyFill="1" applyBorder="1" applyAlignment="1" applyProtection="1">
      <alignment horizontal="right" vertical="center"/>
    </xf>
    <xf numFmtId="0" fontId="35" fillId="12" borderId="50" xfId="6" applyFont="1" applyFill="1" applyBorder="1" applyAlignment="1" applyProtection="1">
      <alignment horizontal="right" vertical="center"/>
    </xf>
    <xf numFmtId="0" fontId="35" fillId="12" borderId="8" xfId="6" applyFont="1" applyFill="1" applyBorder="1" applyAlignment="1" applyProtection="1">
      <alignment horizontal="right" vertical="center"/>
    </xf>
    <xf numFmtId="165" fontId="5" fillId="0" borderId="26" xfId="9" applyNumberFormat="1" applyFont="1" applyFill="1" applyBorder="1" applyAlignment="1" applyProtection="1">
      <alignment horizontal="center" vertical="center"/>
    </xf>
    <xf numFmtId="0" fontId="5" fillId="0" borderId="0" xfId="0" applyFont="1" applyFill="1" applyProtection="1"/>
    <xf numFmtId="0" fontId="41" fillId="0" borderId="0" xfId="0" applyFont="1" applyFill="1" applyProtection="1"/>
    <xf numFmtId="0" fontId="5" fillId="0" borderId="26" xfId="0" applyFont="1" applyFill="1" applyBorder="1" applyProtection="1"/>
    <xf numFmtId="0" fontId="5" fillId="0" borderId="48" xfId="0" applyFont="1" applyFill="1" applyBorder="1" applyProtection="1"/>
    <xf numFmtId="0" fontId="5" fillId="0" borderId="0" xfId="0" applyFont="1" applyFill="1" applyBorder="1" applyProtection="1"/>
    <xf numFmtId="0" fontId="5" fillId="0" borderId="0" xfId="0" quotePrefix="1" applyFont="1" applyFill="1" applyAlignment="1" applyProtection="1">
      <alignment horizontal="right" vertical="center"/>
    </xf>
    <xf numFmtId="0" fontId="5" fillId="0" borderId="0" xfId="0"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0" fontId="34" fillId="12" borderId="0" xfId="0" applyFont="1" applyFill="1" applyAlignment="1" applyProtection="1">
      <alignment vertical="center"/>
    </xf>
    <xf numFmtId="0" fontId="41" fillId="12" borderId="0" xfId="6" applyFont="1" applyFill="1" applyBorder="1" applyAlignment="1" applyProtection="1">
      <alignment horizontal="right" vertical="center"/>
    </xf>
    <xf numFmtId="0" fontId="5" fillId="12" borderId="0" xfId="2" applyNumberFormat="1" applyFont="1" applyFill="1" applyBorder="1" applyAlignment="1" applyProtection="1">
      <alignment horizontal="right" vertical="center"/>
    </xf>
    <xf numFmtId="0" fontId="5" fillId="12" borderId="0" xfId="0" applyFont="1" applyFill="1" applyAlignment="1" applyProtection="1">
      <alignment vertical="center"/>
    </xf>
    <xf numFmtId="0" fontId="5" fillId="12" borderId="0" xfId="0" applyFont="1" applyFill="1" applyBorder="1" applyAlignment="1" applyProtection="1">
      <alignment horizontal="left" vertical="center" wrapText="1"/>
    </xf>
    <xf numFmtId="0" fontId="11" fillId="12" borderId="0" xfId="6" applyFont="1" applyFill="1" applyBorder="1" applyAlignment="1" applyProtection="1">
      <alignment horizontal="right" vertical="center"/>
    </xf>
    <xf numFmtId="0" fontId="5" fillId="12" borderId="49" xfId="0" applyFont="1" applyFill="1" applyBorder="1" applyAlignment="1" applyProtection="1">
      <alignment vertical="center"/>
    </xf>
    <xf numFmtId="0" fontId="5" fillId="12" borderId="15"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0" xfId="0" applyFont="1" applyFill="1" applyAlignment="1" applyProtection="1">
      <alignment horizontal="righ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5" fillId="0" borderId="15" xfId="0" applyFont="1" applyFill="1" applyBorder="1" applyAlignment="1" applyProtection="1">
      <alignment horizontal="right" vertical="center"/>
    </xf>
    <xf numFmtId="9" fontId="41" fillId="12" borderId="0" xfId="8" applyFont="1" applyFill="1" applyBorder="1" applyAlignment="1" applyProtection="1">
      <alignment horizontal="right" vertical="center"/>
    </xf>
    <xf numFmtId="0" fontId="41" fillId="12" borderId="0" xfId="0" applyFont="1" applyFill="1" applyAlignment="1" applyProtection="1">
      <alignment vertical="center"/>
    </xf>
    <xf numFmtId="0" fontId="36" fillId="8" borderId="0" xfId="6" applyFont="1" applyFill="1" applyProtection="1"/>
    <xf numFmtId="0" fontId="36" fillId="12" borderId="0" xfId="0" applyFont="1" applyFill="1" applyProtection="1"/>
    <xf numFmtId="0" fontId="0" fillId="12" borderId="0" xfId="0" applyFill="1" applyProtection="1"/>
    <xf numFmtId="0" fontId="25" fillId="14" borderId="0" xfId="0" applyFont="1" applyFill="1" applyProtection="1"/>
    <xf numFmtId="0" fontId="6" fillId="14" borderId="0" xfId="0" applyFont="1" applyFill="1" applyProtection="1"/>
    <xf numFmtId="0" fontId="0" fillId="14" borderId="0" xfId="0" applyFill="1" applyProtection="1"/>
    <xf numFmtId="0" fontId="25" fillId="14" borderId="0" xfId="6" applyFont="1" applyFill="1" applyAlignment="1" applyProtection="1">
      <alignment horizontal="center"/>
    </xf>
    <xf numFmtId="0" fontId="22" fillId="14" borderId="0" xfId="6" applyFont="1" applyFill="1" applyAlignment="1" applyProtection="1">
      <alignment horizontal="center"/>
    </xf>
    <xf numFmtId="0" fontId="21" fillId="14" borderId="0" xfId="6" applyFont="1" applyFill="1" applyAlignment="1" applyProtection="1">
      <alignment horizontal="center"/>
    </xf>
    <xf numFmtId="0" fontId="0" fillId="14" borderId="0" xfId="0" applyFill="1" applyAlignment="1" applyProtection="1">
      <alignment horizontal="center"/>
    </xf>
    <xf numFmtId="0" fontId="0" fillId="12" borderId="0" xfId="0" applyFill="1" applyAlignment="1" applyProtection="1">
      <alignment horizontal="center"/>
    </xf>
    <xf numFmtId="0" fontId="34" fillId="12" borderId="0" xfId="0" applyFont="1" applyFill="1" applyAlignment="1" applyProtection="1">
      <alignment horizontal="center"/>
    </xf>
    <xf numFmtId="49" fontId="35" fillId="12" borderId="25" xfId="9" applyNumberFormat="1" applyFont="1" applyFill="1" applyBorder="1" applyAlignment="1" applyProtection="1">
      <alignment horizontal="center" vertical="center"/>
    </xf>
    <xf numFmtId="49" fontId="35" fillId="12" borderId="47" xfId="9" applyNumberFormat="1" applyFont="1" applyFill="1" applyBorder="1" applyAlignment="1" applyProtection="1">
      <alignment horizontal="left" vertical="center"/>
    </xf>
    <xf numFmtId="49" fontId="35" fillId="12" borderId="60" xfId="9" applyNumberFormat="1" applyFont="1" applyFill="1" applyBorder="1" applyAlignment="1" applyProtection="1">
      <alignment horizontal="left" vertical="center"/>
    </xf>
    <xf numFmtId="0" fontId="21" fillId="12" borderId="0" xfId="6" applyFont="1" applyFill="1" applyAlignment="1" applyProtection="1">
      <alignment horizontal="left"/>
    </xf>
    <xf numFmtId="0" fontId="21" fillId="12" borderId="0" xfId="6" applyFont="1" applyFill="1" applyProtection="1"/>
    <xf numFmtId="0" fontId="21" fillId="12" borderId="0" xfId="6" applyFont="1" applyFill="1" applyAlignment="1" applyProtection="1">
      <alignment horizontal="right"/>
    </xf>
    <xf numFmtId="0" fontId="34" fillId="12" borderId="0" xfId="0" applyFont="1" applyFill="1" applyProtection="1"/>
    <xf numFmtId="49" fontId="35" fillId="12" borderId="26" xfId="9" applyNumberFormat="1" applyFont="1" applyFill="1" applyBorder="1" applyAlignment="1" applyProtection="1">
      <alignment horizontal="right" vertical="center"/>
    </xf>
    <xf numFmtId="49" fontId="35" fillId="12" borderId="16" xfId="9" applyNumberFormat="1" applyFont="1" applyFill="1" applyBorder="1" applyAlignment="1" applyProtection="1">
      <alignment horizontal="right" vertical="center"/>
    </xf>
    <xf numFmtId="0" fontId="34" fillId="12" borderId="0" xfId="0" applyFont="1" applyFill="1" applyBorder="1" applyProtection="1"/>
    <xf numFmtId="49" fontId="35" fillId="12" borderId="0" xfId="3" applyNumberFormat="1" applyFont="1" applyFill="1" applyBorder="1" applyAlignment="1" applyProtection="1">
      <alignment horizontal="right" vertical="center"/>
    </xf>
    <xf numFmtId="49" fontId="34" fillId="12" borderId="0" xfId="0" applyNumberFormat="1" applyFont="1" applyFill="1" applyAlignment="1" applyProtection="1">
      <alignment vertical="center"/>
    </xf>
    <xf numFmtId="0" fontId="5" fillId="12" borderId="0" xfId="0" applyFont="1" applyFill="1" applyProtection="1"/>
    <xf numFmtId="0" fontId="41" fillId="12" borderId="0" xfId="0" applyFont="1" applyFill="1" applyProtection="1"/>
    <xf numFmtId="0" fontId="65" fillId="8" borderId="0" xfId="6" applyFont="1" applyFill="1" applyAlignment="1" applyProtection="1">
      <alignment vertical="center"/>
    </xf>
    <xf numFmtId="0" fontId="5" fillId="7" borderId="65" xfId="2" applyNumberFormat="1" applyFont="1" applyFill="1" applyBorder="1" applyAlignment="1" applyProtection="1">
      <alignment horizontal="left" vertical="center" wrapText="1"/>
      <protection locked="0"/>
    </xf>
    <xf numFmtId="0" fontId="36" fillId="8" borderId="0" xfId="6" applyFont="1" applyFill="1" applyAlignment="1" applyProtection="1">
      <alignment wrapText="1"/>
    </xf>
    <xf numFmtId="0" fontId="35" fillId="12" borderId="0" xfId="0" applyFont="1" applyFill="1" applyAlignment="1" applyProtection="1">
      <alignment horizontal="center" wrapText="1"/>
    </xf>
    <xf numFmtId="0" fontId="25" fillId="14" borderId="0" xfId="0" applyFont="1" applyFill="1" applyAlignment="1" applyProtection="1">
      <alignment wrapText="1"/>
    </xf>
    <xf numFmtId="0" fontId="25" fillId="14" borderId="0" xfId="6" applyFont="1" applyFill="1" applyAlignment="1" applyProtection="1">
      <alignment horizontal="center" wrapText="1"/>
    </xf>
    <xf numFmtId="0" fontId="0" fillId="12" borderId="0" xfId="0" applyFill="1" applyAlignment="1" applyProtection="1">
      <alignment horizontal="center" wrapText="1"/>
    </xf>
    <xf numFmtId="0" fontId="21" fillId="12" borderId="0" xfId="6" applyFont="1" applyFill="1" applyAlignment="1" applyProtection="1">
      <alignment horizontal="right" wrapText="1"/>
    </xf>
    <xf numFmtId="0" fontId="34" fillId="12" borderId="0" xfId="0" applyFont="1" applyFill="1" applyAlignment="1" applyProtection="1">
      <alignment wrapText="1"/>
    </xf>
    <xf numFmtId="0" fontId="0" fillId="12" borderId="0" xfId="0" applyFill="1" applyAlignment="1" applyProtection="1">
      <alignment wrapText="1"/>
    </xf>
    <xf numFmtId="0" fontId="34" fillId="12" borderId="0" xfId="0" applyFont="1" applyFill="1" applyBorder="1" applyAlignment="1" applyProtection="1">
      <alignment wrapText="1"/>
    </xf>
    <xf numFmtId="0" fontId="69" fillId="12" borderId="15" xfId="0" applyFont="1" applyFill="1" applyBorder="1" applyAlignment="1">
      <alignment horizontal="center" vertical="center"/>
    </xf>
    <xf numFmtId="0" fontId="70" fillId="4" borderId="0" xfId="0" applyFont="1" applyFill="1" applyBorder="1" applyAlignment="1">
      <alignment vertical="center"/>
    </xf>
    <xf numFmtId="0" fontId="71" fillId="12" borderId="4" xfId="0" applyFont="1" applyFill="1" applyBorder="1" applyAlignment="1">
      <alignment vertical="center"/>
    </xf>
    <xf numFmtId="0" fontId="31" fillId="10" borderId="0" xfId="0" applyFont="1" applyFill="1" applyAlignment="1">
      <alignment vertical="center"/>
    </xf>
    <xf numFmtId="0" fontId="8" fillId="12" borderId="24" xfId="0" applyFont="1" applyFill="1" applyBorder="1" applyAlignment="1">
      <alignment horizontal="center" vertical="center"/>
    </xf>
    <xf numFmtId="0" fontId="8" fillId="12" borderId="26" xfId="0" applyFont="1" applyFill="1" applyBorder="1" applyAlignment="1">
      <alignment horizontal="center" vertical="center"/>
    </xf>
    <xf numFmtId="0" fontId="7" fillId="12" borderId="26" xfId="0" applyFont="1" applyFill="1" applyBorder="1" applyAlignment="1">
      <alignment horizontal="right" vertical="center"/>
    </xf>
    <xf numFmtId="0" fontId="7" fillId="12" borderId="5" xfId="0" applyFont="1" applyFill="1" applyBorder="1" applyAlignment="1">
      <alignment horizontal="right" vertical="center"/>
    </xf>
    <xf numFmtId="0" fontId="7" fillId="12" borderId="18" xfId="0" applyFont="1" applyFill="1" applyBorder="1" applyAlignment="1">
      <alignment horizontal="left" vertical="center" wrapText="1"/>
    </xf>
    <xf numFmtId="0" fontId="7" fillId="12" borderId="16" xfId="0" applyFont="1" applyFill="1" applyBorder="1" applyAlignment="1">
      <alignment horizontal="center" vertical="center" wrapText="1"/>
    </xf>
    <xf numFmtId="0" fontId="7" fillId="12" borderId="5" xfId="0" applyFont="1" applyFill="1" applyBorder="1" applyAlignment="1">
      <alignment horizontal="right" vertical="center" wrapText="1"/>
    </xf>
    <xf numFmtId="0" fontId="7" fillId="12" borderId="16" xfId="0" applyFont="1" applyFill="1" applyBorder="1" applyAlignment="1">
      <alignment horizontal="right" vertical="center" wrapText="1"/>
    </xf>
    <xf numFmtId="0" fontId="70" fillId="12" borderId="4" xfId="0" applyFont="1" applyFill="1" applyBorder="1" applyAlignment="1">
      <alignment vertical="center"/>
    </xf>
    <xf numFmtId="0" fontId="7" fillId="12" borderId="64" xfId="0" applyFont="1" applyFill="1" applyBorder="1" applyAlignment="1">
      <alignment horizontal="center" vertical="center"/>
    </xf>
    <xf numFmtId="0" fontId="7" fillId="12" borderId="23" xfId="0" applyFont="1" applyFill="1" applyBorder="1" applyAlignment="1">
      <alignment horizontal="right" vertical="center"/>
    </xf>
    <xf numFmtId="0" fontId="7" fillId="12" borderId="41" xfId="0" applyFont="1" applyFill="1" applyBorder="1" applyAlignment="1">
      <alignment horizontal="left" vertical="center" wrapText="1"/>
    </xf>
    <xf numFmtId="0" fontId="7" fillId="12" borderId="20" xfId="0" applyFont="1" applyFill="1" applyBorder="1" applyAlignment="1">
      <alignment horizontal="right" vertical="center" wrapText="1"/>
    </xf>
    <xf numFmtId="0" fontId="7" fillId="12" borderId="12" xfId="0" applyFont="1" applyFill="1" applyBorder="1" applyAlignment="1">
      <alignment vertical="center"/>
    </xf>
    <xf numFmtId="0" fontId="70" fillId="12" borderId="12" xfId="0" applyFont="1" applyFill="1" applyBorder="1" applyAlignment="1">
      <alignment vertical="center"/>
    </xf>
    <xf numFmtId="1" fontId="5" fillId="12" borderId="0" xfId="0" applyNumberFormat="1" applyFont="1" applyFill="1" applyBorder="1" applyAlignment="1" applyProtection="1">
      <alignment horizontal="right" wrapText="1"/>
    </xf>
    <xf numFmtId="0" fontId="5" fillId="12" borderId="83" xfId="0" applyFont="1" applyFill="1" applyBorder="1" applyAlignment="1" applyProtection="1">
      <alignment horizontal="left" wrapText="1"/>
      <protection locked="0"/>
    </xf>
    <xf numFmtId="0" fontId="69" fillId="12" borderId="19" xfId="0" applyFont="1" applyFill="1" applyBorder="1" applyAlignment="1">
      <alignment horizontal="center" vertical="center"/>
    </xf>
    <xf numFmtId="0" fontId="8" fillId="0" borderId="64" xfId="0" applyFont="1" applyFill="1" applyBorder="1" applyAlignment="1">
      <alignment horizontal="center" vertical="center"/>
    </xf>
    <xf numFmtId="0" fontId="8" fillId="0" borderId="26" xfId="0" applyFont="1" applyFill="1" applyBorder="1" applyAlignment="1">
      <alignment horizontal="center" vertical="center"/>
    </xf>
    <xf numFmtId="0" fontId="7" fillId="0" borderId="26" xfId="0" applyFont="1" applyFill="1" applyBorder="1" applyAlignment="1">
      <alignment horizontal="right" vertical="center"/>
    </xf>
    <xf numFmtId="0" fontId="7" fillId="0" borderId="59" xfId="0" applyFont="1" applyFill="1" applyBorder="1" applyAlignment="1">
      <alignment horizontal="right" vertical="center"/>
    </xf>
    <xf numFmtId="0" fontId="7" fillId="0" borderId="41" xfId="0" applyFont="1" applyFill="1" applyBorder="1" applyAlignment="1">
      <alignment horizontal="left" vertical="center" wrapText="1"/>
    </xf>
    <xf numFmtId="0" fontId="7" fillId="0" borderId="15" xfId="0" applyFont="1" applyFill="1" applyBorder="1" applyAlignment="1">
      <alignment horizontal="center" vertical="center" wrapText="1"/>
    </xf>
    <xf numFmtId="0" fontId="7" fillId="0" borderId="15" xfId="0" applyFont="1" applyFill="1" applyBorder="1" applyAlignment="1">
      <alignment horizontal="right" vertical="center" wrapText="1"/>
    </xf>
    <xf numFmtId="0" fontId="7" fillId="0" borderId="46" xfId="0" applyFont="1" applyFill="1" applyBorder="1" applyAlignment="1">
      <alignment horizontal="right" vertical="center" wrapText="1"/>
    </xf>
    <xf numFmtId="0" fontId="7" fillId="0" borderId="64" xfId="0" applyFont="1" applyFill="1" applyBorder="1" applyAlignment="1">
      <alignment vertical="center"/>
    </xf>
    <xf numFmtId="0" fontId="7" fillId="0" borderId="26" xfId="0" applyFont="1" applyFill="1" applyBorder="1" applyAlignment="1">
      <alignment horizontal="center" vertical="center"/>
    </xf>
    <xf numFmtId="0" fontId="69" fillId="0" borderId="26" xfId="0" applyFont="1" applyFill="1" applyBorder="1" applyAlignment="1">
      <alignment horizontal="center" vertical="center"/>
    </xf>
    <xf numFmtId="0" fontId="47" fillId="0" borderId="59" xfId="0" applyFont="1" applyFill="1" applyBorder="1" applyAlignment="1">
      <alignment horizontal="center" vertical="center"/>
    </xf>
    <xf numFmtId="0" fontId="7" fillId="0" borderId="4" xfId="0" applyFont="1" applyFill="1" applyBorder="1" applyAlignment="1">
      <alignment vertical="center"/>
    </xf>
    <xf numFmtId="0" fontId="7" fillId="0" borderId="15" xfId="0" applyFont="1" applyFill="1" applyBorder="1" applyAlignment="1">
      <alignment horizontal="center" vertical="center"/>
    </xf>
    <xf numFmtId="0" fontId="69" fillId="0" borderId="15" xfId="0" applyFont="1" applyFill="1" applyBorder="1" applyAlignment="1">
      <alignment horizontal="center" vertical="center"/>
    </xf>
    <xf numFmtId="0" fontId="47" fillId="0" borderId="5" xfId="0" applyFont="1" applyFill="1" applyBorder="1" applyAlignment="1">
      <alignment horizontal="center" vertical="center"/>
    </xf>
    <xf numFmtId="0" fontId="7" fillId="0" borderId="15" xfId="0" applyFont="1" applyFill="1" applyBorder="1" applyAlignment="1">
      <alignment horizontal="center"/>
    </xf>
    <xf numFmtId="0" fontId="47" fillId="0" borderId="15" xfId="0" applyFont="1" applyFill="1" applyBorder="1" applyAlignment="1">
      <alignment horizontal="center"/>
    </xf>
    <xf numFmtId="0" fontId="47" fillId="0" borderId="5" xfId="0" applyFont="1" applyFill="1" applyBorder="1" applyAlignment="1">
      <alignment horizontal="center"/>
    </xf>
    <xf numFmtId="0" fontId="47" fillId="0" borderId="15" xfId="0" applyFont="1" applyFill="1" applyBorder="1" applyAlignment="1">
      <alignment horizontal="center" vertical="center"/>
    </xf>
    <xf numFmtId="0" fontId="70" fillId="0" borderId="4" xfId="0" applyFont="1" applyFill="1" applyBorder="1"/>
    <xf numFmtId="0" fontId="7" fillId="0" borderId="4" xfId="0" applyFont="1" applyFill="1" applyBorder="1"/>
    <xf numFmtId="0" fontId="7" fillId="0" borderId="16" xfId="0" applyFont="1" applyFill="1" applyBorder="1"/>
    <xf numFmtId="0" fontId="7" fillId="0" borderId="5" xfId="0" applyFont="1" applyFill="1" applyBorder="1"/>
    <xf numFmtId="0" fontId="7" fillId="0" borderId="62" xfId="0" applyFont="1" applyFill="1" applyBorder="1" applyAlignment="1">
      <alignment vertical="center"/>
    </xf>
    <xf numFmtId="0" fontId="7" fillId="0" borderId="37" xfId="0" applyFont="1" applyFill="1" applyBorder="1" applyAlignment="1">
      <alignment horizontal="center" vertical="center"/>
    </xf>
    <xf numFmtId="0" fontId="32" fillId="0" borderId="37" xfId="0" applyFont="1" applyFill="1" applyBorder="1" applyAlignment="1">
      <alignment horizontal="center" vertical="center"/>
    </xf>
    <xf numFmtId="0" fontId="32" fillId="0" borderId="43" xfId="0" applyFont="1" applyFill="1" applyBorder="1" applyAlignment="1">
      <alignment horizontal="center" vertical="center"/>
    </xf>
    <xf numFmtId="0" fontId="7" fillId="4" borderId="0" xfId="0" applyFont="1" applyFill="1" applyAlignment="1"/>
    <xf numFmtId="0" fontId="7" fillId="15" borderId="0" xfId="0" applyFont="1" applyFill="1"/>
    <xf numFmtId="0" fontId="7" fillId="15" borderId="0" xfId="0" applyFont="1" applyFill="1" applyBorder="1" applyAlignment="1"/>
    <xf numFmtId="0" fontId="35" fillId="12" borderId="19" xfId="11" applyNumberFormat="1" applyFont="1" applyFill="1" applyBorder="1" applyAlignment="1" applyProtection="1">
      <alignment horizontal="left" vertical="center" wrapText="1"/>
    </xf>
    <xf numFmtId="172" fontId="5" fillId="12" borderId="29" xfId="1" applyNumberFormat="1" applyFont="1" applyFill="1" applyBorder="1" applyAlignment="1" applyProtection="1">
      <alignment horizontal="right" wrapText="1"/>
      <protection locked="0"/>
    </xf>
    <xf numFmtId="172" fontId="5" fillId="12" borderId="16" xfId="1" applyNumberFormat="1" applyFont="1" applyFill="1" applyBorder="1" applyAlignment="1" applyProtection="1">
      <alignment horizontal="right" wrapText="1"/>
      <protection locked="0"/>
    </xf>
    <xf numFmtId="9" fontId="5" fillId="12" borderId="29" xfId="7" applyFont="1" applyFill="1" applyBorder="1" applyAlignment="1" applyProtection="1">
      <alignment horizontal="right" wrapText="1"/>
      <protection locked="0"/>
    </xf>
    <xf numFmtId="9" fontId="5" fillId="12" borderId="52" xfId="7" applyFont="1" applyFill="1" applyBorder="1" applyAlignment="1" applyProtection="1">
      <alignment horizontal="right" wrapText="1"/>
      <protection locked="0"/>
    </xf>
    <xf numFmtId="164" fontId="5" fillId="12" borderId="29" xfId="3" applyNumberFormat="1" applyFont="1" applyFill="1" applyBorder="1" applyAlignment="1" applyProtection="1">
      <alignment horizontal="right" wrapText="1"/>
      <protection locked="0"/>
    </xf>
    <xf numFmtId="164" fontId="5" fillId="12" borderId="52" xfId="3" applyNumberFormat="1" applyFont="1" applyFill="1" applyBorder="1" applyAlignment="1" applyProtection="1">
      <alignment horizontal="right" wrapText="1"/>
      <protection locked="0"/>
    </xf>
    <xf numFmtId="165" fontId="5" fillId="12" borderId="44" xfId="1" applyNumberFormat="1" applyFont="1" applyFill="1" applyBorder="1" applyAlignment="1" applyProtection="1">
      <alignment horizontal="right" wrapText="1"/>
      <protection locked="0"/>
    </xf>
    <xf numFmtId="165" fontId="5" fillId="12" borderId="29" xfId="1" applyNumberFormat="1" applyFont="1" applyFill="1" applyBorder="1" applyAlignment="1" applyProtection="1">
      <alignment horizontal="right" wrapText="1"/>
      <protection locked="0"/>
    </xf>
    <xf numFmtId="165" fontId="5" fillId="12" borderId="52" xfId="1" applyNumberFormat="1" applyFont="1" applyFill="1" applyBorder="1" applyAlignment="1" applyProtection="1">
      <alignment horizontal="right" wrapText="1"/>
      <protection locked="0"/>
    </xf>
    <xf numFmtId="164" fontId="5" fillId="12" borderId="44" xfId="3" applyNumberFormat="1" applyFont="1" applyFill="1" applyBorder="1" applyAlignment="1" applyProtection="1">
      <alignment horizontal="right" wrapText="1"/>
      <protection locked="0"/>
    </xf>
    <xf numFmtId="9" fontId="5" fillId="12" borderId="44" xfId="7" applyFont="1" applyFill="1" applyBorder="1" applyAlignment="1" applyProtection="1">
      <alignment horizontal="right" wrapText="1"/>
      <protection locked="0"/>
    </xf>
    <xf numFmtId="49" fontId="5" fillId="12" borderId="44" xfId="0" applyNumberFormat="1" applyFont="1" applyFill="1" applyBorder="1" applyAlignment="1" applyProtection="1">
      <alignment horizontal="center" wrapText="1"/>
      <protection locked="0"/>
    </xf>
    <xf numFmtId="49" fontId="5" fillId="12" borderId="29" xfId="0" applyNumberFormat="1" applyFont="1" applyFill="1" applyBorder="1" applyAlignment="1" applyProtection="1">
      <alignment horizontal="center" wrapText="1"/>
      <protection locked="0"/>
    </xf>
    <xf numFmtId="49" fontId="5" fillId="12" borderId="52" xfId="0" applyNumberFormat="1" applyFont="1" applyFill="1" applyBorder="1" applyAlignment="1" applyProtection="1">
      <alignment horizontal="center" wrapText="1"/>
      <protection locked="0"/>
    </xf>
    <xf numFmtId="0" fontId="5" fillId="12" borderId="33" xfId="0" applyFont="1" applyFill="1" applyBorder="1" applyAlignment="1" applyProtection="1">
      <alignment horizontal="left" wrapText="1"/>
      <protection locked="0"/>
    </xf>
    <xf numFmtId="165" fontId="5" fillId="12" borderId="44" xfId="1" quotePrefix="1" applyNumberFormat="1" applyFont="1" applyFill="1" applyBorder="1" applyAlignment="1" applyProtection="1">
      <alignment horizontal="right" wrapText="1"/>
      <protection locked="0"/>
    </xf>
    <xf numFmtId="173" fontId="5" fillId="12" borderId="29" xfId="0" applyNumberFormat="1" applyFont="1" applyFill="1" applyBorder="1" applyAlignment="1" applyProtection="1">
      <alignment horizontal="right" wrapText="1"/>
      <protection locked="0"/>
    </xf>
    <xf numFmtId="173" fontId="5" fillId="12" borderId="52" xfId="0" applyNumberFormat="1" applyFont="1" applyFill="1" applyBorder="1" applyAlignment="1" applyProtection="1">
      <alignment horizontal="right" wrapText="1"/>
      <protection locked="0"/>
    </xf>
    <xf numFmtId="0" fontId="5" fillId="12" borderId="44" xfId="0" applyNumberFormat="1" applyFont="1" applyFill="1" applyBorder="1" applyAlignment="1" applyProtection="1">
      <alignment horizontal="right" wrapText="1"/>
      <protection locked="0"/>
    </xf>
    <xf numFmtId="172" fontId="5" fillId="12" borderId="81" xfId="1" applyNumberFormat="1" applyFont="1" applyFill="1" applyBorder="1" applyAlignment="1" applyProtection="1">
      <alignment horizontal="right" wrapText="1"/>
      <protection locked="0"/>
    </xf>
    <xf numFmtId="9" fontId="5" fillId="12" borderId="81" xfId="7" applyFont="1" applyFill="1" applyBorder="1" applyAlignment="1" applyProtection="1">
      <alignment horizontal="right" wrapText="1"/>
      <protection locked="0"/>
    </xf>
    <xf numFmtId="0" fontId="5" fillId="12" borderId="34" xfId="0" applyFont="1" applyFill="1" applyBorder="1" applyAlignment="1" applyProtection="1">
      <alignment horizontal="left" wrapText="1"/>
      <protection locked="0"/>
    </xf>
    <xf numFmtId="0" fontId="5" fillId="12" borderId="40" xfId="0" applyFont="1" applyFill="1" applyBorder="1" applyAlignment="1" applyProtection="1">
      <alignment horizontal="left" wrapText="1"/>
      <protection locked="0"/>
    </xf>
    <xf numFmtId="0" fontId="5" fillId="12" borderId="43" xfId="0" applyFont="1" applyFill="1" applyBorder="1" applyAlignment="1" applyProtection="1">
      <alignment horizontal="left" wrapText="1"/>
      <protection locked="0"/>
    </xf>
    <xf numFmtId="0" fontId="35" fillId="0" borderId="0" xfId="0" applyFont="1" applyFill="1" applyAlignment="1" applyProtection="1">
      <alignment horizontal="center"/>
    </xf>
    <xf numFmtId="0" fontId="25" fillId="0" borderId="0" xfId="0" applyFont="1" applyFill="1" applyAlignment="1" applyProtection="1">
      <alignment horizontal="left"/>
    </xf>
    <xf numFmtId="165" fontId="5" fillId="7" borderId="65" xfId="1" applyNumberFormat="1" applyFont="1" applyFill="1" applyBorder="1" applyAlignment="1" applyProtection="1">
      <alignment horizontal="right" vertical="center" wrapText="1"/>
      <protection locked="0"/>
    </xf>
    <xf numFmtId="165" fontId="5" fillId="15" borderId="65" xfId="1" applyNumberFormat="1" applyFont="1" applyFill="1" applyBorder="1" applyAlignment="1" applyProtection="1">
      <alignment horizontal="right" vertical="center" wrapText="1"/>
    </xf>
    <xf numFmtId="165" fontId="5" fillId="0" borderId="65" xfId="1" applyNumberFormat="1" applyFont="1" applyFill="1" applyBorder="1" applyAlignment="1" applyProtection="1">
      <alignment horizontal="right" vertical="center"/>
      <protection locked="0"/>
    </xf>
    <xf numFmtId="164" fontId="14" fillId="4" borderId="63" xfId="3" quotePrefix="1" applyNumberFormat="1" applyFont="1" applyFill="1" applyBorder="1" applyAlignment="1" applyProtection="1">
      <alignment horizontal="right" vertical="center"/>
    </xf>
    <xf numFmtId="164" fontId="5" fillId="12" borderId="0" xfId="3" applyNumberFormat="1" applyFont="1" applyFill="1" applyBorder="1" applyAlignment="1" applyProtection="1">
      <alignment horizontal="right" vertical="center"/>
    </xf>
    <xf numFmtId="172" fontId="6" fillId="12" borderId="0" xfId="1" quotePrefix="1" applyNumberFormat="1" applyFont="1" applyFill="1" applyBorder="1" applyAlignment="1" applyProtection="1">
      <alignment horizontal="right" vertical="center"/>
    </xf>
    <xf numFmtId="172" fontId="5" fillId="12" borderId="0" xfId="1" applyNumberFormat="1" applyFont="1" applyFill="1" applyBorder="1" applyAlignment="1" applyProtection="1">
      <alignment horizontal="center" vertical="center"/>
    </xf>
    <xf numFmtId="164" fontId="5" fillId="12" borderId="0" xfId="3" quotePrefix="1" applyNumberFormat="1" applyFont="1" applyFill="1" applyBorder="1" applyAlignment="1" applyProtection="1">
      <alignment horizontal="right" vertical="center"/>
    </xf>
    <xf numFmtId="165" fontId="5" fillId="12" borderId="0" xfId="1" applyNumberFormat="1" applyFont="1" applyFill="1" applyBorder="1" applyAlignment="1" applyProtection="1">
      <alignment horizontal="right" vertical="center"/>
    </xf>
    <xf numFmtId="165" fontId="6" fillId="4" borderId="63" xfId="1" quotePrefix="1" applyNumberFormat="1" applyFont="1" applyFill="1" applyBorder="1" applyAlignment="1" applyProtection="1">
      <alignment horizontal="right" vertical="center"/>
    </xf>
    <xf numFmtId="165" fontId="5" fillId="12" borderId="29" xfId="1" quotePrefix="1" applyNumberFormat="1" applyFont="1" applyFill="1" applyBorder="1" applyAlignment="1" applyProtection="1">
      <alignment horizontal="right" wrapText="1"/>
      <protection locked="0"/>
    </xf>
    <xf numFmtId="165" fontId="5" fillId="12" borderId="81" xfId="1" quotePrefix="1" applyNumberFormat="1" applyFont="1" applyFill="1" applyBorder="1" applyAlignment="1" applyProtection="1">
      <alignment horizontal="right" wrapText="1"/>
      <protection locked="0"/>
    </xf>
    <xf numFmtId="0" fontId="5" fillId="12" borderId="33" xfId="0" applyNumberFormat="1" applyFont="1" applyFill="1" applyBorder="1" applyAlignment="1" applyProtection="1">
      <alignment horizontal="right" wrapText="1"/>
      <protection locked="0"/>
    </xf>
    <xf numFmtId="0" fontId="5" fillId="12" borderId="36" xfId="0" applyNumberFormat="1" applyFont="1" applyFill="1" applyBorder="1" applyAlignment="1" applyProtection="1">
      <alignment horizontal="right" wrapText="1"/>
      <protection locked="0"/>
    </xf>
    <xf numFmtId="0" fontId="5" fillId="12" borderId="84" xfId="0" applyNumberFormat="1" applyFont="1" applyFill="1" applyBorder="1" applyAlignment="1" applyProtection="1">
      <alignment horizontal="right" wrapText="1"/>
      <protection locked="0"/>
    </xf>
    <xf numFmtId="0" fontId="5" fillId="12" borderId="12" xfId="0" applyFont="1" applyFill="1" applyBorder="1" applyAlignment="1" applyProtection="1">
      <alignment horizontal="left"/>
    </xf>
    <xf numFmtId="0" fontId="5" fillId="12" borderId="15" xfId="0" applyFont="1" applyFill="1" applyBorder="1" applyAlignment="1" applyProtection="1">
      <alignment horizontal="left"/>
    </xf>
    <xf numFmtId="165" fontId="5" fillId="15" borderId="44" xfId="1" applyNumberFormat="1" applyFont="1" applyFill="1" applyBorder="1" applyAlignment="1" applyProtection="1">
      <alignment horizontal="right" wrapText="1"/>
    </xf>
    <xf numFmtId="0" fontId="5" fillId="12" borderId="36" xfId="0" applyFont="1" applyFill="1" applyBorder="1" applyAlignment="1" applyProtection="1">
      <alignment wrapText="1"/>
    </xf>
    <xf numFmtId="0" fontId="5" fillId="12" borderId="29" xfId="0" applyFont="1" applyFill="1" applyBorder="1" applyAlignment="1" applyProtection="1">
      <alignment wrapText="1"/>
    </xf>
    <xf numFmtId="0" fontId="5" fillId="12" borderId="33" xfId="0" applyFont="1" applyFill="1" applyBorder="1" applyAlignment="1" applyProtection="1">
      <alignment wrapText="1"/>
    </xf>
    <xf numFmtId="165" fontId="5" fillId="15" borderId="29" xfId="1" applyNumberFormat="1" applyFont="1" applyFill="1" applyBorder="1" applyAlignment="1" applyProtection="1">
      <alignment horizontal="right" wrapText="1"/>
    </xf>
    <xf numFmtId="0" fontId="5" fillId="12" borderId="18" xfId="0" applyFont="1" applyFill="1" applyBorder="1" applyAlignment="1" applyProtection="1">
      <alignment wrapText="1"/>
    </xf>
    <xf numFmtId="0" fontId="5" fillId="12" borderId="16" xfId="0" applyFont="1" applyFill="1" applyBorder="1" applyAlignment="1" applyProtection="1">
      <alignment wrapText="1"/>
    </xf>
    <xf numFmtId="0" fontId="5" fillId="12" borderId="84" xfId="0" applyFont="1" applyFill="1" applyBorder="1" applyAlignment="1" applyProtection="1">
      <alignment wrapText="1"/>
    </xf>
    <xf numFmtId="0" fontId="5" fillId="12" borderId="82" xfId="0" applyFont="1" applyFill="1" applyBorder="1" applyAlignment="1" applyProtection="1">
      <alignment wrapText="1"/>
    </xf>
    <xf numFmtId="0" fontId="5" fillId="12" borderId="81" xfId="0" applyFont="1" applyFill="1" applyBorder="1" applyAlignment="1" applyProtection="1">
      <alignment wrapText="1"/>
    </xf>
    <xf numFmtId="0" fontId="5" fillId="12" borderId="52" xfId="0" applyFont="1" applyFill="1" applyBorder="1" applyAlignment="1" applyProtection="1">
      <alignment wrapText="1"/>
    </xf>
    <xf numFmtId="165" fontId="5" fillId="15" borderId="52" xfId="1" applyNumberFormat="1" applyFont="1" applyFill="1" applyBorder="1" applyAlignment="1" applyProtection="1">
      <alignment horizontal="right" wrapText="1"/>
    </xf>
    <xf numFmtId="0" fontId="5" fillId="12" borderId="0" xfId="0" applyNumberFormat="1" applyFont="1" applyFill="1" applyBorder="1" applyAlignment="1" applyProtection="1">
      <alignment horizontal="left" wrapText="1"/>
    </xf>
    <xf numFmtId="0" fontId="5" fillId="12" borderId="0" xfId="0" applyNumberFormat="1" applyFont="1" applyFill="1" applyBorder="1" applyAlignment="1" applyProtection="1">
      <alignment horizontal="right" wrapText="1"/>
    </xf>
    <xf numFmtId="3" fontId="5" fillId="12" borderId="0" xfId="0" applyNumberFormat="1" applyFont="1" applyFill="1" applyBorder="1" applyAlignment="1" applyProtection="1">
      <alignment wrapText="1"/>
    </xf>
    <xf numFmtId="0" fontId="65" fillId="8" borderId="0" xfId="9" applyFont="1" applyFill="1" applyAlignment="1" applyProtection="1">
      <alignment horizontal="left"/>
    </xf>
    <xf numFmtId="166" fontId="5" fillId="0" borderId="65" xfId="9" applyNumberFormat="1" applyFont="1" applyFill="1" applyBorder="1" applyAlignment="1" applyProtection="1">
      <alignment horizontal="left" vertical="center"/>
    </xf>
    <xf numFmtId="0" fontId="5" fillId="12" borderId="0" xfId="9" applyFont="1" applyFill="1" applyBorder="1" applyAlignment="1" applyProtection="1">
      <alignment horizontal="left"/>
    </xf>
    <xf numFmtId="166" fontId="5" fillId="12" borderId="0" xfId="9" applyNumberFormat="1" applyFont="1" applyFill="1" applyBorder="1" applyAlignment="1" applyProtection="1">
      <alignment horizontal="left" vertical="center"/>
    </xf>
    <xf numFmtId="0" fontId="11" fillId="12" borderId="0" xfId="9" applyFont="1" applyFill="1" applyBorder="1" applyAlignment="1" applyProtection="1">
      <alignment horizontal="left" vertical="center"/>
    </xf>
    <xf numFmtId="0" fontId="35" fillId="12" borderId="15" xfId="9" applyFont="1" applyFill="1" applyBorder="1" applyAlignment="1" applyProtection="1">
      <alignment horizontal="right" vertical="center" wrapText="1"/>
    </xf>
    <xf numFmtId="3" fontId="35" fillId="12" borderId="15" xfId="9" applyNumberFormat="1" applyFont="1" applyFill="1" applyBorder="1" applyAlignment="1" applyProtection="1">
      <alignment horizontal="right" vertical="center" wrapText="1"/>
    </xf>
    <xf numFmtId="0" fontId="35" fillId="12" borderId="15" xfId="9" applyNumberFormat="1" applyFont="1" applyFill="1" applyBorder="1" applyAlignment="1" applyProtection="1">
      <alignment horizontal="right" vertical="center" wrapText="1"/>
    </xf>
    <xf numFmtId="9" fontId="35" fillId="12" borderId="76" xfId="9" applyNumberFormat="1" applyFont="1" applyFill="1" applyBorder="1" applyAlignment="1" applyProtection="1">
      <alignment horizontal="right" vertical="center" wrapText="1"/>
    </xf>
    <xf numFmtId="1" fontId="35" fillId="12" borderId="15" xfId="9" applyNumberFormat="1" applyFont="1" applyFill="1" applyBorder="1" applyAlignment="1" applyProtection="1">
      <alignment horizontal="right" vertical="center" wrapText="1"/>
    </xf>
    <xf numFmtId="9" fontId="35" fillId="12" borderId="15" xfId="9" applyNumberFormat="1" applyFont="1" applyFill="1" applyBorder="1" applyAlignment="1" applyProtection="1">
      <alignment horizontal="right" vertical="center" wrapText="1"/>
    </xf>
    <xf numFmtId="167" fontId="35" fillId="12" borderId="0" xfId="9" applyNumberFormat="1" applyFont="1" applyFill="1" applyBorder="1" applyAlignment="1" applyProtection="1">
      <alignment horizontal="right" vertical="center" wrapText="1"/>
    </xf>
    <xf numFmtId="0" fontId="35" fillId="12" borderId="76" xfId="9" applyFont="1" applyFill="1" applyBorder="1" applyAlignment="1" applyProtection="1">
      <alignment horizontal="right" vertical="center"/>
    </xf>
    <xf numFmtId="0" fontId="35" fillId="12" borderId="27" xfId="9" applyFont="1" applyFill="1" applyBorder="1" applyAlignment="1" applyProtection="1">
      <alignment horizontal="right" vertical="center" wrapText="1"/>
    </xf>
    <xf numFmtId="3" fontId="35" fillId="12" borderId="15" xfId="9" applyNumberFormat="1" applyFont="1" applyFill="1" applyBorder="1" applyAlignment="1" applyProtection="1">
      <alignment horizontal="right" vertical="center"/>
    </xf>
    <xf numFmtId="3" fontId="35" fillId="12" borderId="27" xfId="9" applyNumberFormat="1" applyFont="1" applyFill="1" applyBorder="1" applyAlignment="1" applyProtection="1">
      <alignment horizontal="right" vertical="center" wrapText="1"/>
    </xf>
    <xf numFmtId="0" fontId="5" fillId="12" borderId="15" xfId="0" applyFont="1" applyFill="1" applyBorder="1" applyAlignment="1" applyProtection="1">
      <alignment horizontal="right"/>
    </xf>
    <xf numFmtId="9" fontId="35" fillId="12" borderId="15" xfId="9" applyNumberFormat="1" applyFont="1" applyFill="1" applyBorder="1" applyAlignment="1" applyProtection="1">
      <alignment horizontal="right" vertical="center"/>
    </xf>
    <xf numFmtId="0" fontId="35" fillId="12" borderId="79" xfId="9" applyFont="1" applyFill="1" applyBorder="1" applyAlignment="1" applyProtection="1">
      <alignment horizontal="right" vertical="center" wrapText="1"/>
    </xf>
    <xf numFmtId="9" fontId="35" fillId="12" borderId="27" xfId="9" applyNumberFormat="1" applyFont="1" applyFill="1" applyBorder="1" applyAlignment="1" applyProtection="1">
      <alignment horizontal="right" vertical="center" wrapText="1"/>
    </xf>
    <xf numFmtId="0" fontId="35" fillId="12" borderId="6" xfId="9" applyFont="1" applyFill="1" applyBorder="1" applyAlignment="1" applyProtection="1">
      <alignment horizontal="right" vertical="center" wrapText="1"/>
    </xf>
    <xf numFmtId="1" fontId="35" fillId="12" borderId="76" xfId="9" applyNumberFormat="1" applyFont="1" applyFill="1" applyBorder="1" applyAlignment="1" applyProtection="1">
      <alignment horizontal="right" vertical="center"/>
    </xf>
    <xf numFmtId="1" fontId="35" fillId="12" borderId="15" xfId="9" applyNumberFormat="1" applyFont="1" applyFill="1" applyBorder="1" applyAlignment="1" applyProtection="1">
      <alignment horizontal="right" vertical="center"/>
    </xf>
    <xf numFmtId="1" fontId="35" fillId="12" borderId="27" xfId="9" applyNumberFormat="1" applyFont="1" applyFill="1" applyBorder="1" applyAlignment="1" applyProtection="1">
      <alignment horizontal="right" vertical="center"/>
    </xf>
    <xf numFmtId="0" fontId="35" fillId="12" borderId="27" xfId="9" applyFont="1" applyFill="1" applyBorder="1" applyAlignment="1" applyProtection="1">
      <alignment horizontal="right" vertical="center"/>
    </xf>
    <xf numFmtId="3" fontId="35" fillId="12" borderId="27" xfId="9" applyNumberFormat="1" applyFont="1" applyFill="1" applyBorder="1" applyAlignment="1" applyProtection="1">
      <alignment horizontal="right" vertical="center"/>
    </xf>
    <xf numFmtId="172" fontId="5" fillId="0" borderId="92" xfId="1" applyNumberFormat="1" applyFont="1" applyFill="1" applyBorder="1" applyAlignment="1" applyProtection="1">
      <alignment horizontal="right" vertical="center"/>
      <protection locked="0"/>
    </xf>
    <xf numFmtId="0" fontId="5" fillId="0" borderId="76" xfId="0" quotePrefix="1" applyFont="1" applyFill="1" applyBorder="1" applyAlignment="1" applyProtection="1">
      <alignment horizontal="left" wrapText="1"/>
    </xf>
    <xf numFmtId="0" fontId="5" fillId="0" borderId="76" xfId="0" quotePrefix="1" applyFont="1" applyFill="1" applyBorder="1" applyAlignment="1" applyProtection="1">
      <alignment horizontal="right" wrapText="1"/>
    </xf>
    <xf numFmtId="3" fontId="5" fillId="0" borderId="76" xfId="0" quotePrefix="1" applyNumberFormat="1" applyFont="1" applyFill="1" applyBorder="1" applyAlignment="1" applyProtection="1">
      <alignment horizontal="right" wrapText="1"/>
    </xf>
    <xf numFmtId="9" fontId="5" fillId="0" borderId="76" xfId="0" quotePrefix="1" applyNumberFormat="1" applyFont="1" applyFill="1" applyBorder="1" applyAlignment="1" applyProtection="1">
      <alignment horizontal="right" wrapText="1"/>
    </xf>
    <xf numFmtId="167" fontId="5" fillId="0" borderId="76" xfId="0" quotePrefix="1" applyNumberFormat="1" applyFont="1" applyFill="1" applyBorder="1" applyAlignment="1" applyProtection="1">
      <alignment horizontal="right" wrapText="1"/>
    </xf>
    <xf numFmtId="0" fontId="5" fillId="0" borderId="75" xfId="7" applyNumberFormat="1" applyFont="1" applyFill="1" applyBorder="1" applyAlignment="1" applyProtection="1">
      <alignment horizontal="left" wrapText="1"/>
    </xf>
    <xf numFmtId="0" fontId="5" fillId="0" borderId="76" xfId="7" applyNumberFormat="1" applyFont="1" applyFill="1" applyBorder="1" applyAlignment="1" applyProtection="1">
      <alignment horizontal="left" wrapText="1"/>
    </xf>
    <xf numFmtId="0" fontId="5" fillId="0" borderId="76" xfId="7" applyNumberFormat="1" applyFont="1" applyFill="1" applyBorder="1" applyAlignment="1" applyProtection="1">
      <alignment horizontal="right" wrapText="1"/>
    </xf>
    <xf numFmtId="1" fontId="5" fillId="0" borderId="76" xfId="7" applyNumberFormat="1" applyFont="1" applyFill="1" applyBorder="1" applyAlignment="1" applyProtection="1">
      <alignment horizontal="right" wrapText="1"/>
    </xf>
    <xf numFmtId="3" fontId="5" fillId="0" borderId="76" xfId="7" applyNumberFormat="1" applyFont="1" applyFill="1" applyBorder="1" applyAlignment="1" applyProtection="1">
      <alignment horizontal="right" wrapText="1"/>
    </xf>
    <xf numFmtId="172" fontId="5" fillId="12" borderId="44" xfId="1" quotePrefix="1" applyNumberFormat="1" applyFont="1" applyFill="1" applyBorder="1" applyAlignment="1" applyProtection="1">
      <alignment horizontal="right" wrapText="1"/>
    </xf>
    <xf numFmtId="9" fontId="5" fillId="12" borderId="44" xfId="7" quotePrefix="1" applyFont="1" applyFill="1" applyBorder="1" applyAlignment="1" applyProtection="1">
      <alignment horizontal="right" wrapText="1"/>
    </xf>
    <xf numFmtId="0" fontId="5" fillId="0" borderId="44" xfId="0" applyFont="1" applyFill="1" applyBorder="1" applyAlignment="1" applyProtection="1">
      <alignment horizontal="right" wrapText="1"/>
    </xf>
    <xf numFmtId="0" fontId="5" fillId="0" borderId="44" xfId="0" applyFont="1" applyFill="1" applyBorder="1" applyAlignment="1" applyProtection="1">
      <alignment horizontal="left" wrapText="1"/>
    </xf>
    <xf numFmtId="0" fontId="5" fillId="0" borderId="85" xfId="0" applyFont="1" applyFill="1" applyBorder="1" applyAlignment="1" applyProtection="1">
      <alignment horizontal="left" wrapText="1"/>
    </xf>
    <xf numFmtId="0" fontId="5" fillId="0" borderId="29" xfId="0" quotePrefix="1" applyFont="1" applyFill="1" applyBorder="1" applyAlignment="1" applyProtection="1">
      <alignment horizontal="left" wrapText="1"/>
    </xf>
    <xf numFmtId="0" fontId="5" fillId="0" borderId="29" xfId="0" quotePrefix="1" applyFont="1" applyFill="1" applyBorder="1" applyAlignment="1" applyProtection="1">
      <alignment horizontal="right" wrapText="1"/>
    </xf>
    <xf numFmtId="3" fontId="5" fillId="0" borderId="29" xfId="0" quotePrefix="1" applyNumberFormat="1" applyFont="1" applyFill="1" applyBorder="1" applyAlignment="1" applyProtection="1">
      <alignment horizontal="right" wrapText="1"/>
    </xf>
    <xf numFmtId="9" fontId="5" fillId="0" borderId="29" xfId="0" quotePrefix="1" applyNumberFormat="1" applyFont="1" applyFill="1" applyBorder="1" applyAlignment="1" applyProtection="1">
      <alignment horizontal="right" wrapText="1"/>
    </xf>
    <xf numFmtId="167" fontId="5" fillId="0" borderId="29" xfId="0" quotePrefix="1" applyNumberFormat="1" applyFont="1" applyFill="1" applyBorder="1" applyAlignment="1" applyProtection="1">
      <alignment horizontal="right" wrapText="1"/>
    </xf>
    <xf numFmtId="0" fontId="5" fillId="0" borderId="28" xfId="0" quotePrefix="1" applyFont="1" applyFill="1" applyBorder="1" applyAlignment="1" applyProtection="1">
      <alignment horizontal="left" wrapText="1"/>
    </xf>
    <xf numFmtId="0" fontId="5" fillId="0" borderId="36" xfId="7" applyNumberFormat="1" applyFont="1" applyFill="1" applyBorder="1" applyAlignment="1" applyProtection="1">
      <alignment horizontal="left" wrapText="1"/>
    </xf>
    <xf numFmtId="0" fontId="5" fillId="0" borderId="29" xfId="7" applyNumberFormat="1" applyFont="1" applyFill="1" applyBorder="1" applyAlignment="1" applyProtection="1">
      <alignment horizontal="left" wrapText="1"/>
    </xf>
    <xf numFmtId="0" fontId="5" fillId="0" borderId="29" xfId="7" applyNumberFormat="1" applyFont="1" applyFill="1" applyBorder="1" applyAlignment="1" applyProtection="1">
      <alignment horizontal="right" wrapText="1"/>
    </xf>
    <xf numFmtId="1" fontId="5" fillId="0" borderId="29" xfId="7" applyNumberFormat="1" applyFont="1" applyFill="1" applyBorder="1" applyAlignment="1" applyProtection="1">
      <alignment horizontal="right" wrapText="1"/>
    </xf>
    <xf numFmtId="3" fontId="5" fillId="0" borderId="29" xfId="7" applyNumberFormat="1" applyFont="1" applyFill="1" applyBorder="1" applyAlignment="1" applyProtection="1">
      <alignment horizontal="right" wrapText="1"/>
    </xf>
    <xf numFmtId="172" fontId="5" fillId="12" borderId="29" xfId="1" quotePrefix="1" applyNumberFormat="1" applyFont="1" applyFill="1" applyBorder="1" applyAlignment="1" applyProtection="1">
      <alignment horizontal="right" wrapText="1"/>
    </xf>
    <xf numFmtId="0" fontId="5" fillId="12" borderId="29" xfId="0" applyFont="1" applyFill="1" applyBorder="1" applyAlignment="1" applyProtection="1">
      <alignment horizontal="left" wrapText="1"/>
    </xf>
    <xf numFmtId="172" fontId="5" fillId="12" borderId="29" xfId="1" applyNumberFormat="1" applyFont="1" applyFill="1" applyBorder="1" applyAlignment="1" applyProtection="1">
      <alignment horizontal="right" wrapText="1"/>
    </xf>
    <xf numFmtId="9" fontId="5" fillId="12" borderId="29" xfId="7" applyFont="1" applyFill="1" applyBorder="1" applyAlignment="1" applyProtection="1">
      <alignment horizontal="right" wrapText="1"/>
    </xf>
    <xf numFmtId="9" fontId="5" fillId="12" borderId="44" xfId="7" applyFont="1" applyFill="1" applyBorder="1" applyAlignment="1" applyProtection="1">
      <alignment wrapText="1"/>
    </xf>
    <xf numFmtId="0" fontId="5" fillId="0" borderId="29" xfId="0" applyFont="1" applyFill="1" applyBorder="1" applyAlignment="1" applyProtection="1">
      <alignment horizontal="right" wrapText="1"/>
    </xf>
    <xf numFmtId="0" fontId="5" fillId="0" borderId="29" xfId="0" applyFont="1" applyFill="1" applyBorder="1" applyAlignment="1" applyProtection="1">
      <alignment horizontal="left" wrapText="1"/>
    </xf>
    <xf numFmtId="0" fontId="5" fillId="0" borderId="28" xfId="0" applyFont="1" applyFill="1" applyBorder="1" applyAlignment="1" applyProtection="1">
      <alignment horizontal="left" wrapText="1"/>
    </xf>
    <xf numFmtId="9" fontId="5" fillId="12" borderId="29" xfId="7" applyFont="1" applyFill="1" applyBorder="1" applyAlignment="1" applyProtection="1">
      <alignment wrapText="1"/>
    </xf>
    <xf numFmtId="9" fontId="5" fillId="12" borderId="52" xfId="7" applyFont="1" applyFill="1" applyBorder="1" applyAlignment="1" applyProtection="1">
      <alignment wrapText="1"/>
    </xf>
    <xf numFmtId="9" fontId="5" fillId="12" borderId="52" xfId="7" applyFont="1" applyFill="1" applyBorder="1" applyAlignment="1" applyProtection="1">
      <alignment horizontal="right" wrapText="1"/>
    </xf>
    <xf numFmtId="172" fontId="5" fillId="12" borderId="81" xfId="1" quotePrefix="1" applyNumberFormat="1" applyFont="1" applyFill="1" applyBorder="1" applyAlignment="1" applyProtection="1">
      <alignment horizontal="right" wrapText="1"/>
    </xf>
    <xf numFmtId="0" fontId="5" fillId="12" borderId="81" xfId="0" applyFont="1" applyFill="1" applyBorder="1" applyAlignment="1" applyProtection="1">
      <alignment horizontal="left" wrapText="1"/>
    </xf>
    <xf numFmtId="172" fontId="5" fillId="12" borderId="81" xfId="1" applyNumberFormat="1" applyFont="1" applyFill="1" applyBorder="1" applyAlignment="1" applyProtection="1">
      <alignment horizontal="right" wrapText="1"/>
    </xf>
    <xf numFmtId="9" fontId="5" fillId="12" borderId="81" xfId="7" applyFont="1" applyFill="1" applyBorder="1" applyAlignment="1" applyProtection="1">
      <alignment horizontal="right" wrapText="1"/>
    </xf>
    <xf numFmtId="172" fontId="5" fillId="12" borderId="90" xfId="1" quotePrefix="1" applyNumberFormat="1" applyFont="1" applyFill="1" applyBorder="1" applyAlignment="1" applyProtection="1">
      <alignment horizontal="right" wrapText="1"/>
    </xf>
    <xf numFmtId="0" fontId="5" fillId="12" borderId="90" xfId="0" applyFont="1" applyFill="1" applyBorder="1" applyAlignment="1" applyProtection="1">
      <alignment horizontal="left" wrapText="1"/>
    </xf>
    <xf numFmtId="172" fontId="5" fillId="12" borderId="90" xfId="1" applyNumberFormat="1" applyFont="1" applyFill="1" applyBorder="1" applyAlignment="1" applyProtection="1">
      <alignment horizontal="right" wrapText="1"/>
    </xf>
    <xf numFmtId="9" fontId="5" fillId="12" borderId="90" xfId="7" applyFont="1" applyFill="1" applyBorder="1" applyAlignment="1" applyProtection="1">
      <alignment horizontal="right" wrapText="1"/>
    </xf>
    <xf numFmtId="0" fontId="5" fillId="12" borderId="44" xfId="0" applyFont="1" applyFill="1" applyBorder="1" applyAlignment="1" applyProtection="1">
      <alignment horizontal="left" wrapText="1"/>
    </xf>
    <xf numFmtId="0" fontId="5" fillId="0" borderId="84" xfId="7" applyNumberFormat="1" applyFont="1" applyFill="1" applyBorder="1" applyAlignment="1" applyProtection="1">
      <alignment horizontal="left" wrapText="1"/>
    </xf>
    <xf numFmtId="0" fontId="5" fillId="0" borderId="52" xfId="7" applyNumberFormat="1" applyFont="1" applyFill="1" applyBorder="1" applyAlignment="1" applyProtection="1">
      <alignment horizontal="left" wrapText="1"/>
    </xf>
    <xf numFmtId="0" fontId="5" fillId="0" borderId="52" xfId="7" applyNumberFormat="1" applyFont="1" applyFill="1" applyBorder="1" applyAlignment="1" applyProtection="1">
      <alignment horizontal="right" wrapText="1"/>
    </xf>
    <xf numFmtId="1" fontId="5" fillId="0" borderId="52" xfId="7" applyNumberFormat="1" applyFont="1" applyFill="1" applyBorder="1" applyAlignment="1" applyProtection="1">
      <alignment horizontal="right" wrapText="1"/>
    </xf>
    <xf numFmtId="3" fontId="5" fillId="0" borderId="52" xfId="7" applyNumberFormat="1" applyFont="1" applyFill="1" applyBorder="1" applyAlignment="1" applyProtection="1">
      <alignment horizontal="right" wrapText="1"/>
    </xf>
    <xf numFmtId="0" fontId="5" fillId="0" borderId="52" xfId="0" applyFont="1" applyFill="1" applyBorder="1" applyAlignment="1" applyProtection="1">
      <alignment horizontal="right" wrapText="1"/>
    </xf>
    <xf numFmtId="0" fontId="5" fillId="0" borderId="52" xfId="0" applyFont="1" applyFill="1" applyBorder="1" applyAlignment="1" applyProtection="1">
      <alignment horizontal="left" wrapText="1"/>
    </xf>
    <xf numFmtId="0" fontId="5" fillId="0" borderId="38" xfId="0" applyFont="1" applyFill="1" applyBorder="1" applyAlignment="1" applyProtection="1">
      <alignment horizontal="left" wrapText="1"/>
    </xf>
    <xf numFmtId="9" fontId="5" fillId="0" borderId="76" xfId="7" applyFont="1" applyFill="1" applyBorder="1" applyAlignment="1" applyProtection="1">
      <alignment horizontal="right" wrapText="1"/>
    </xf>
    <xf numFmtId="9" fontId="5" fillId="0" borderId="29" xfId="7" applyFont="1" applyFill="1" applyBorder="1" applyAlignment="1" applyProtection="1">
      <alignment horizontal="right" wrapText="1"/>
    </xf>
    <xf numFmtId="9" fontId="5" fillId="0" borderId="52" xfId="7" applyFont="1" applyFill="1" applyBorder="1" applyAlignment="1" applyProtection="1">
      <alignment horizontal="right" wrapText="1"/>
    </xf>
    <xf numFmtId="0" fontId="35" fillId="12" borderId="27" xfId="9" applyNumberFormat="1" applyFont="1" applyFill="1" applyBorder="1" applyAlignment="1" applyProtection="1">
      <alignment horizontal="right" vertical="center" wrapText="1"/>
    </xf>
    <xf numFmtId="1" fontId="35" fillId="12" borderId="27" xfId="9" applyNumberFormat="1" applyFont="1" applyFill="1" applyBorder="1" applyAlignment="1" applyProtection="1">
      <alignment horizontal="right" vertical="center" wrapText="1"/>
    </xf>
    <xf numFmtId="167" fontId="35" fillId="12" borderId="6" xfId="9" applyNumberFormat="1" applyFont="1" applyFill="1" applyBorder="1" applyAlignment="1" applyProtection="1">
      <alignment horizontal="right" vertical="center" wrapText="1"/>
    </xf>
    <xf numFmtId="0" fontId="24" fillId="0" borderId="29" xfId="9" applyFont="1" applyFill="1" applyBorder="1" applyAlignment="1" applyProtection="1">
      <alignment horizontal="right" vertical="center"/>
    </xf>
    <xf numFmtId="0" fontId="34" fillId="0" borderId="29" xfId="9" applyFont="1" applyFill="1" applyBorder="1" applyAlignment="1" applyProtection="1">
      <alignment horizontal="right" vertical="center"/>
    </xf>
    <xf numFmtId="0" fontId="5" fillId="0" borderId="26" xfId="9" applyFont="1" applyFill="1" applyBorder="1" applyAlignment="1" applyProtection="1">
      <alignment vertical="center"/>
    </xf>
    <xf numFmtId="165" fontId="5" fillId="12" borderId="0" xfId="1" applyNumberFormat="1" applyFont="1" applyFill="1" applyBorder="1" applyAlignment="1" applyProtection="1">
      <alignment horizontal="right" vertical="center" wrapText="1"/>
    </xf>
    <xf numFmtId="165" fontId="5" fillId="12" borderId="44" xfId="1" quotePrefix="1" applyNumberFormat="1" applyFont="1" applyFill="1" applyBorder="1" applyAlignment="1" applyProtection="1">
      <alignment horizontal="right" wrapText="1"/>
    </xf>
    <xf numFmtId="165" fontId="5" fillId="12" borderId="29" xfId="1" quotePrefix="1" applyNumberFormat="1" applyFont="1" applyFill="1" applyBorder="1" applyAlignment="1" applyProtection="1">
      <alignment horizontal="right" wrapText="1"/>
    </xf>
    <xf numFmtId="165" fontId="5" fillId="12" borderId="81" xfId="1" quotePrefix="1" applyNumberFormat="1" applyFont="1" applyFill="1" applyBorder="1" applyAlignment="1" applyProtection="1">
      <alignment horizontal="right" wrapText="1"/>
    </xf>
    <xf numFmtId="165" fontId="5" fillId="12" borderId="90" xfId="1" quotePrefix="1" applyNumberFormat="1" applyFont="1" applyFill="1" applyBorder="1" applyAlignment="1" applyProtection="1">
      <alignment horizontal="right" wrapText="1"/>
    </xf>
    <xf numFmtId="165" fontId="5" fillId="12" borderId="16" xfId="1" quotePrefix="1" applyNumberFormat="1" applyFont="1" applyFill="1" applyBorder="1" applyAlignment="1" applyProtection="1">
      <alignment horizontal="right" wrapText="1"/>
    </xf>
    <xf numFmtId="165" fontId="5" fillId="0" borderId="25" xfId="9" applyNumberFormat="1" applyFont="1" applyFill="1" applyBorder="1" applyAlignment="1" applyProtection="1">
      <alignment horizontal="center" vertical="center"/>
    </xf>
    <xf numFmtId="0" fontId="5" fillId="12" borderId="15" xfId="0" applyFont="1" applyFill="1" applyBorder="1" applyAlignment="1" applyProtection="1">
      <alignment horizontal="right" vertical="center"/>
    </xf>
    <xf numFmtId="0" fontId="5" fillId="7" borderId="65" xfId="2" applyNumberFormat="1" applyFont="1" applyFill="1" applyBorder="1" applyAlignment="1" applyProtection="1">
      <alignment vertical="center" wrapText="1"/>
      <protection locked="0"/>
    </xf>
    <xf numFmtId="0" fontId="5" fillId="0" borderId="75" xfId="0" quotePrefix="1" applyFont="1" applyFill="1" applyBorder="1" applyAlignment="1" applyProtection="1">
      <alignment wrapText="1"/>
    </xf>
    <xf numFmtId="0" fontId="5" fillId="0" borderId="36" xfId="0" quotePrefix="1" applyFont="1" applyFill="1" applyBorder="1" applyAlignment="1" applyProtection="1">
      <alignment wrapText="1"/>
    </xf>
    <xf numFmtId="0" fontId="65" fillId="8" borderId="0" xfId="6" applyFont="1" applyFill="1" applyAlignment="1" applyProtection="1">
      <alignment horizontal="left" vertical="center"/>
    </xf>
    <xf numFmtId="173" fontId="5" fillId="0" borderId="76" xfId="0" quotePrefix="1" applyNumberFormat="1" applyFont="1" applyFill="1" applyBorder="1" applyAlignment="1" applyProtection="1">
      <alignment horizontal="right" wrapText="1"/>
    </xf>
    <xf numFmtId="173" fontId="5" fillId="0" borderId="29" xfId="0" quotePrefix="1" applyNumberFormat="1" applyFont="1" applyFill="1" applyBorder="1" applyAlignment="1" applyProtection="1">
      <alignment horizontal="right" wrapText="1"/>
    </xf>
    <xf numFmtId="0" fontId="5" fillId="0" borderId="33" xfId="0" applyFont="1" applyFill="1" applyBorder="1" applyAlignment="1" applyProtection="1">
      <alignment horizontal="left" wrapText="1"/>
    </xf>
    <xf numFmtId="0" fontId="5" fillId="0" borderId="36" xfId="0" applyFont="1" applyFill="1" applyBorder="1" applyAlignment="1" applyProtection="1">
      <alignment horizontal="left" wrapText="1"/>
    </xf>
    <xf numFmtId="0" fontId="5" fillId="0" borderId="84" xfId="0" applyFont="1" applyFill="1" applyBorder="1" applyAlignment="1" applyProtection="1">
      <alignment horizontal="left" wrapText="1"/>
    </xf>
    <xf numFmtId="0" fontId="5" fillId="12" borderId="44" xfId="1" applyNumberFormat="1" applyFont="1" applyFill="1" applyBorder="1" applyAlignment="1" applyProtection="1">
      <alignment horizontal="left" wrapText="1"/>
      <protection locked="0"/>
    </xf>
    <xf numFmtId="0" fontId="5" fillId="12" borderId="29" xfId="1" applyNumberFormat="1" applyFont="1" applyFill="1" applyBorder="1" applyAlignment="1" applyProtection="1">
      <alignment horizontal="left" wrapText="1"/>
      <protection locked="0"/>
    </xf>
    <xf numFmtId="0" fontId="5" fillId="12" borderId="52" xfId="1" applyNumberFormat="1" applyFont="1" applyFill="1" applyBorder="1" applyAlignment="1" applyProtection="1">
      <alignment horizontal="left" wrapText="1"/>
      <protection locked="0"/>
    </xf>
    <xf numFmtId="0" fontId="5" fillId="12" borderId="28" xfId="0" applyNumberFormat="1" applyFont="1" applyFill="1" applyBorder="1" applyAlignment="1" applyProtection="1">
      <alignment horizontal="left" wrapText="1"/>
      <protection locked="0"/>
    </xf>
    <xf numFmtId="0" fontId="5" fillId="12" borderId="38" xfId="0" applyNumberFormat="1" applyFont="1" applyFill="1" applyBorder="1" applyAlignment="1" applyProtection="1">
      <alignment horizontal="left" wrapText="1"/>
      <protection locked="0"/>
    </xf>
    <xf numFmtId="165" fontId="5" fillId="0" borderId="29" xfId="1" applyNumberFormat="1" applyFont="1" applyFill="1" applyBorder="1" applyAlignment="1" applyProtection="1">
      <alignment horizontal="right" wrapText="1"/>
    </xf>
    <xf numFmtId="165" fontId="5" fillId="0" borderId="52" xfId="1" applyNumberFormat="1" applyFont="1" applyFill="1" applyBorder="1" applyAlignment="1" applyProtection="1">
      <alignment horizontal="right" wrapText="1"/>
    </xf>
    <xf numFmtId="0" fontId="5" fillId="12" borderId="85" xfId="0" applyNumberFormat="1" applyFont="1" applyFill="1" applyBorder="1" applyAlignment="1" applyProtection="1">
      <alignment horizontal="left" wrapText="1"/>
      <protection locked="0"/>
    </xf>
    <xf numFmtId="0" fontId="5" fillId="12" borderId="44" xfId="3" applyNumberFormat="1" applyFont="1" applyFill="1" applyBorder="1" applyAlignment="1" applyProtection="1">
      <alignment horizontal="left" wrapText="1"/>
      <protection locked="0"/>
    </xf>
    <xf numFmtId="0" fontId="5" fillId="12" borderId="29" xfId="3" applyNumberFormat="1" applyFont="1" applyFill="1" applyBorder="1" applyAlignment="1" applyProtection="1">
      <alignment horizontal="left" wrapText="1"/>
      <protection locked="0"/>
    </xf>
    <xf numFmtId="0" fontId="5" fillId="12" borderId="52" xfId="3" applyNumberFormat="1" applyFont="1" applyFill="1" applyBorder="1" applyAlignment="1" applyProtection="1">
      <alignment horizontal="left" wrapText="1"/>
      <protection locked="0"/>
    </xf>
    <xf numFmtId="1" fontId="5" fillId="12" borderId="44" xfId="1" quotePrefix="1" applyNumberFormat="1" applyFont="1" applyFill="1" applyBorder="1" applyAlignment="1" applyProtection="1">
      <alignment horizontal="right" wrapText="1"/>
    </xf>
    <xf numFmtId="1" fontId="5" fillId="12" borderId="29" xfId="1" applyNumberFormat="1" applyFont="1" applyFill="1" applyBorder="1" applyAlignment="1" applyProtection="1">
      <alignment horizontal="right" wrapText="1"/>
    </xf>
    <xf numFmtId="1" fontId="5" fillId="12" borderId="81" xfId="1" applyNumberFormat="1" applyFont="1" applyFill="1" applyBorder="1" applyAlignment="1" applyProtection="1">
      <alignment horizontal="right" wrapText="1"/>
    </xf>
    <xf numFmtId="165" fontId="11" fillId="12" borderId="0" xfId="1" applyNumberFormat="1" applyFont="1" applyFill="1" applyBorder="1" applyAlignment="1" applyProtection="1">
      <alignment horizontal="right" vertical="center"/>
    </xf>
    <xf numFmtId="165" fontId="5" fillId="12" borderId="29" xfId="1" applyNumberFormat="1" applyFont="1" applyFill="1" applyBorder="1" applyAlignment="1" applyProtection="1">
      <alignment horizontal="right" wrapText="1"/>
    </xf>
    <xf numFmtId="49" fontId="35" fillId="12" borderId="48" xfId="9" applyNumberFormat="1" applyFont="1" applyFill="1" applyBorder="1" applyAlignment="1" applyProtection="1">
      <alignment horizontal="center" vertical="center"/>
    </xf>
    <xf numFmtId="49" fontId="35" fillId="12" borderId="48" xfId="9" applyNumberFormat="1" applyFont="1" applyFill="1" applyBorder="1" applyAlignment="1" applyProtection="1">
      <alignment horizontal="left" vertical="center"/>
    </xf>
    <xf numFmtId="0" fontId="0" fillId="0" borderId="0" xfId="0" applyFill="1"/>
    <xf numFmtId="0" fontId="5" fillId="12" borderId="93" xfId="0" applyFont="1" applyFill="1" applyBorder="1" applyAlignment="1" applyProtection="1">
      <alignment wrapText="1"/>
    </xf>
    <xf numFmtId="0" fontId="5" fillId="12" borderId="90" xfId="0" applyFont="1" applyFill="1" applyBorder="1" applyAlignment="1" applyProtection="1">
      <alignment wrapText="1"/>
    </xf>
    <xf numFmtId="172" fontId="5" fillId="12" borderId="91" xfId="1" applyNumberFormat="1" applyFont="1" applyFill="1" applyBorder="1" applyAlignment="1" applyProtection="1">
      <alignment horizontal="right" wrapText="1"/>
    </xf>
    <xf numFmtId="172" fontId="5" fillId="12" borderId="28" xfId="1" applyNumberFormat="1" applyFont="1" applyFill="1" applyBorder="1" applyAlignment="1" applyProtection="1">
      <alignment horizontal="right" wrapText="1"/>
    </xf>
    <xf numFmtId="172" fontId="5" fillId="12" borderId="52" xfId="1" quotePrefix="1" applyNumberFormat="1" applyFont="1" applyFill="1" applyBorder="1" applyAlignment="1" applyProtection="1">
      <alignment horizontal="right" wrapText="1"/>
    </xf>
    <xf numFmtId="172" fontId="5" fillId="12" borderId="38" xfId="1" applyNumberFormat="1" applyFont="1" applyFill="1" applyBorder="1" applyAlignment="1" applyProtection="1">
      <alignment horizontal="right" wrapText="1"/>
    </xf>
    <xf numFmtId="172" fontId="5" fillId="12" borderId="16" xfId="1" quotePrefix="1" applyNumberFormat="1" applyFont="1" applyFill="1" applyBorder="1" applyAlignment="1" applyProtection="1">
      <alignment horizontal="right" wrapText="1"/>
    </xf>
    <xf numFmtId="9" fontId="5" fillId="12" borderId="16" xfId="7" quotePrefix="1" applyFont="1" applyFill="1" applyBorder="1" applyAlignment="1" applyProtection="1">
      <alignment horizontal="right" wrapText="1"/>
    </xf>
    <xf numFmtId="172" fontId="5" fillId="12" borderId="85" xfId="1" quotePrefix="1" applyNumberFormat="1" applyFont="1" applyFill="1" applyBorder="1" applyAlignment="1" applyProtection="1">
      <alignment horizontal="right" wrapText="1"/>
    </xf>
    <xf numFmtId="172" fontId="5" fillId="12" borderId="83" xfId="1" applyNumberFormat="1" applyFont="1" applyFill="1" applyBorder="1" applyAlignment="1" applyProtection="1">
      <alignment horizontal="right" wrapText="1"/>
    </xf>
    <xf numFmtId="0" fontId="5" fillId="12" borderId="90" xfId="0" applyFont="1" applyFill="1" applyBorder="1" applyAlignment="1" applyProtection="1">
      <alignment wrapText="1"/>
      <protection locked="0"/>
    </xf>
    <xf numFmtId="0" fontId="5" fillId="12" borderId="91" xfId="0" applyFont="1" applyFill="1" applyBorder="1" applyAlignment="1" applyProtection="1">
      <alignment wrapText="1"/>
      <protection locked="0"/>
    </xf>
    <xf numFmtId="0" fontId="5" fillId="12" borderId="29" xfId="0" applyFont="1" applyFill="1" applyBorder="1" applyAlignment="1" applyProtection="1">
      <alignment wrapText="1"/>
      <protection locked="0"/>
    </xf>
    <xf numFmtId="9" fontId="5" fillId="12" borderId="29" xfId="7" applyFont="1" applyFill="1" applyBorder="1" applyAlignment="1" applyProtection="1">
      <alignment wrapText="1"/>
      <protection locked="0"/>
    </xf>
    <xf numFmtId="0" fontId="5" fillId="12" borderId="28" xfId="0" applyFont="1" applyFill="1" applyBorder="1" applyAlignment="1" applyProtection="1">
      <alignment wrapText="1"/>
      <protection locked="0"/>
    </xf>
    <xf numFmtId="0" fontId="5" fillId="12" borderId="52" xfId="0" applyFont="1" applyFill="1" applyBorder="1" applyAlignment="1" applyProtection="1">
      <alignment wrapText="1"/>
      <protection locked="0"/>
    </xf>
    <xf numFmtId="9" fontId="5" fillId="12" borderId="52" xfId="7" applyFont="1" applyFill="1" applyBorder="1" applyAlignment="1" applyProtection="1">
      <alignment wrapText="1"/>
      <protection locked="0"/>
    </xf>
    <xf numFmtId="0" fontId="5" fillId="12" borderId="38" xfId="0" applyFont="1" applyFill="1" applyBorder="1" applyAlignment="1" applyProtection="1">
      <alignment wrapText="1"/>
      <protection locked="0"/>
    </xf>
    <xf numFmtId="41" fontId="49" fillId="12" borderId="29" xfId="0" applyNumberFormat="1" applyFont="1" applyFill="1" applyBorder="1" applyAlignment="1">
      <alignment horizontal="right"/>
    </xf>
    <xf numFmtId="0" fontId="20" fillId="14" borderId="0" xfId="0" applyFont="1" applyFill="1" applyBorder="1" applyAlignment="1" applyProtection="1">
      <alignment horizontal="left" vertical="center"/>
    </xf>
    <xf numFmtId="174" fontId="5" fillId="0" borderId="44" xfId="1" applyNumberFormat="1" applyFont="1" applyFill="1" applyBorder="1" applyAlignment="1" applyProtection="1">
      <alignment horizontal="right" wrapText="1"/>
    </xf>
    <xf numFmtId="174" fontId="5" fillId="0" borderId="16" xfId="1" applyNumberFormat="1" applyFont="1" applyFill="1" applyBorder="1" applyAlignment="1" applyProtection="1">
      <alignment horizontal="right" wrapText="1"/>
    </xf>
    <xf numFmtId="174" fontId="5" fillId="0" borderId="29" xfId="1" applyNumberFormat="1" applyFont="1" applyFill="1" applyBorder="1" applyAlignment="1" applyProtection="1">
      <alignment horizontal="right" wrapText="1"/>
    </xf>
    <xf numFmtId="174" fontId="5" fillId="0" borderId="52" xfId="1" applyNumberFormat="1" applyFont="1" applyFill="1" applyBorder="1" applyAlignment="1" applyProtection="1">
      <alignment horizontal="right" wrapText="1"/>
    </xf>
    <xf numFmtId="165" fontId="5" fillId="12" borderId="15" xfId="1" applyNumberFormat="1" applyFont="1" applyFill="1" applyBorder="1" applyAlignment="1" applyProtection="1">
      <alignment horizontal="right" vertical="center"/>
    </xf>
    <xf numFmtId="165" fontId="5" fillId="12" borderId="15" xfId="1" applyNumberFormat="1" applyFont="1" applyFill="1" applyBorder="1" applyAlignment="1" applyProtection="1">
      <alignment vertical="center"/>
    </xf>
    <xf numFmtId="0" fontId="25" fillId="14" borderId="0" xfId="0" applyFont="1" applyFill="1" applyBorder="1" applyAlignment="1" applyProtection="1">
      <alignment horizontal="center"/>
    </xf>
    <xf numFmtId="165" fontId="5" fillId="12" borderId="44" xfId="1" applyNumberFormat="1" applyFont="1" applyFill="1" applyBorder="1" applyAlignment="1" applyProtection="1">
      <alignment wrapText="1"/>
    </xf>
    <xf numFmtId="165" fontId="5" fillId="12" borderId="29" xfId="1" applyNumberFormat="1" applyFont="1" applyFill="1" applyBorder="1" applyAlignment="1" applyProtection="1">
      <alignment wrapText="1"/>
    </xf>
    <xf numFmtId="165" fontId="5" fillId="12" borderId="52" xfId="1" applyNumberFormat="1" applyFont="1" applyFill="1" applyBorder="1" applyAlignment="1" applyProtection="1">
      <alignment wrapText="1"/>
    </xf>
    <xf numFmtId="165" fontId="5" fillId="12" borderId="88" xfId="1" applyNumberFormat="1" applyFont="1" applyFill="1" applyBorder="1" applyAlignment="1" applyProtection="1">
      <alignment wrapText="1"/>
      <protection locked="0"/>
    </xf>
    <xf numFmtId="165" fontId="5" fillId="12" borderId="45" xfId="1" applyNumberFormat="1" applyFont="1" applyFill="1" applyBorder="1" applyAlignment="1" applyProtection="1">
      <alignment wrapText="1"/>
      <protection locked="0"/>
    </xf>
    <xf numFmtId="165" fontId="5" fillId="12" borderId="51" xfId="1" applyNumberFormat="1" applyFont="1" applyFill="1" applyBorder="1" applyAlignment="1" applyProtection="1">
      <alignment wrapText="1"/>
      <protection locked="0"/>
    </xf>
    <xf numFmtId="0" fontId="5" fillId="12" borderId="26" xfId="14" applyFont="1" applyFill="1" applyBorder="1" applyAlignment="1">
      <alignment horizontal="left" vertical="center" wrapText="1"/>
    </xf>
    <xf numFmtId="0" fontId="5" fillId="12" borderId="26" xfId="14" applyFont="1" applyFill="1" applyBorder="1" applyAlignment="1">
      <alignment horizontal="left" vertical="center"/>
    </xf>
    <xf numFmtId="0" fontId="35" fillId="12" borderId="0" xfId="0" applyFont="1" applyFill="1" applyBorder="1" applyAlignment="1" applyProtection="1">
      <alignment horizontal="center"/>
    </xf>
    <xf numFmtId="0" fontId="35" fillId="0" borderId="0" xfId="0" applyFont="1" applyFill="1" applyBorder="1" applyAlignment="1" applyProtection="1">
      <alignment horizontal="center"/>
    </xf>
    <xf numFmtId="0" fontId="25" fillId="0" borderId="0" xfId="0" applyFont="1" applyFill="1" applyBorder="1" applyAlignment="1" applyProtection="1">
      <alignment horizontal="left"/>
    </xf>
    <xf numFmtId="49" fontId="6" fillId="12" borderId="0" xfId="9" applyNumberFormat="1" applyFont="1" applyFill="1" applyBorder="1" applyAlignment="1" applyProtection="1">
      <alignment vertical="center"/>
    </xf>
    <xf numFmtId="49" fontId="5" fillId="0" borderId="0" xfId="9" applyNumberFormat="1" applyFont="1" applyFill="1" applyBorder="1" applyAlignment="1" applyProtection="1">
      <alignment horizontal="right" vertical="center"/>
    </xf>
    <xf numFmtId="49" fontId="5" fillId="12" borderId="0" xfId="9" applyNumberFormat="1" applyFont="1" applyFill="1" applyBorder="1" applyAlignment="1" applyProtection="1">
      <alignment horizontal="right" vertical="center"/>
    </xf>
    <xf numFmtId="0" fontId="40" fillId="12" borderId="0" xfId="9" applyFont="1" applyFill="1" applyBorder="1" applyAlignment="1" applyProtection="1">
      <alignment vertical="center"/>
    </xf>
    <xf numFmtId="49" fontId="5" fillId="12" borderId="0" xfId="9" applyNumberFormat="1" applyFont="1" applyFill="1" applyBorder="1" applyAlignment="1" applyProtection="1">
      <alignment horizontal="left" vertical="center"/>
    </xf>
    <xf numFmtId="0" fontId="40" fillId="0" borderId="0" xfId="9" applyNumberFormat="1" applyFont="1" applyBorder="1" applyAlignment="1" applyProtection="1"/>
    <xf numFmtId="0" fontId="40" fillId="12" borderId="0" xfId="9" applyFont="1" applyFill="1" applyBorder="1" applyProtection="1"/>
    <xf numFmtId="49" fontId="35" fillId="0" borderId="0" xfId="9" applyNumberFormat="1" applyFont="1" applyFill="1" applyBorder="1" applyAlignment="1" applyProtection="1">
      <alignment horizontal="left" vertical="center"/>
    </xf>
    <xf numFmtId="0" fontId="18" fillId="12" borderId="0" xfId="9" applyFont="1" applyFill="1" applyBorder="1" applyAlignment="1" applyProtection="1">
      <alignment horizontal="left"/>
    </xf>
    <xf numFmtId="0" fontId="12" fillId="12" borderId="0" xfId="9" applyFont="1" applyFill="1" applyBorder="1" applyAlignment="1" applyProtection="1">
      <alignment horizontal="left" vertical="center"/>
    </xf>
    <xf numFmtId="0" fontId="5" fillId="12" borderId="0" xfId="9" applyFont="1" applyFill="1" applyBorder="1" applyAlignment="1" applyProtection="1">
      <alignment horizontal="right"/>
    </xf>
    <xf numFmtId="165" fontId="5" fillId="12" borderId="0" xfId="10" applyNumberFormat="1" applyFont="1" applyFill="1" applyBorder="1" applyAlignment="1" applyProtection="1">
      <alignment horizontal="right" vertical="center"/>
    </xf>
    <xf numFmtId="49" fontId="35" fillId="12" borderId="0" xfId="10" applyNumberFormat="1" applyFont="1" applyFill="1" applyBorder="1" applyAlignment="1" applyProtection="1">
      <alignment horizontal="right" vertical="center"/>
    </xf>
    <xf numFmtId="49" fontId="23" fillId="12" borderId="0" xfId="10" applyNumberFormat="1" applyFont="1" applyFill="1" applyBorder="1" applyAlignment="1" applyProtection="1">
      <alignment horizontal="left" vertical="center"/>
    </xf>
    <xf numFmtId="49" fontId="22" fillId="12" borderId="0" xfId="10" applyNumberFormat="1" applyFont="1" applyFill="1" applyBorder="1" applyAlignment="1" applyProtection="1">
      <alignment horizontal="right" vertical="center"/>
    </xf>
    <xf numFmtId="49" fontId="44" fillId="12" borderId="0" xfId="10" applyNumberFormat="1" applyFont="1" applyFill="1" applyBorder="1" applyAlignment="1" applyProtection="1">
      <alignment horizontal="right" vertical="center"/>
    </xf>
    <xf numFmtId="49" fontId="12" fillId="12" borderId="0" xfId="10" applyNumberFormat="1" applyFont="1" applyFill="1" applyBorder="1" applyAlignment="1" applyProtection="1">
      <alignment horizontal="right" vertical="center"/>
    </xf>
    <xf numFmtId="49" fontId="12" fillId="12" borderId="0" xfId="10" applyNumberFormat="1" applyFont="1" applyFill="1" applyBorder="1" applyAlignment="1" applyProtection="1">
      <alignment horizontal="left" vertical="center"/>
    </xf>
    <xf numFmtId="0" fontId="6" fillId="12" borderId="0" xfId="9" applyFont="1" applyFill="1" applyBorder="1" applyAlignment="1" applyProtection="1">
      <alignment horizontal="center" vertical="center"/>
    </xf>
    <xf numFmtId="49" fontId="44" fillId="12" borderId="0" xfId="9" applyNumberFormat="1" applyFont="1" applyFill="1" applyBorder="1" applyAlignment="1" applyProtection="1">
      <alignment horizontal="right" vertical="center"/>
    </xf>
    <xf numFmtId="49" fontId="12" fillId="12" borderId="0" xfId="9" applyNumberFormat="1" applyFont="1" applyFill="1" applyBorder="1" applyAlignment="1" applyProtection="1">
      <alignment horizontal="left" vertical="center"/>
    </xf>
    <xf numFmtId="49" fontId="35" fillId="12" borderId="0" xfId="9" applyNumberFormat="1" applyFont="1" applyFill="1" applyBorder="1" applyAlignment="1" applyProtection="1">
      <alignment horizontal="right" vertical="center"/>
    </xf>
    <xf numFmtId="49" fontId="35" fillId="12" borderId="0" xfId="10" applyNumberFormat="1" applyFont="1" applyFill="1" applyBorder="1" applyAlignment="1" applyProtection="1">
      <alignment horizontal="left" vertical="center"/>
    </xf>
    <xf numFmtId="0" fontId="34" fillId="12" borderId="0" xfId="9" applyFont="1" applyFill="1" applyBorder="1" applyAlignment="1" applyProtection="1">
      <alignment vertical="center"/>
    </xf>
    <xf numFmtId="0" fontId="5" fillId="12" borderId="0" xfId="9" applyFont="1" applyFill="1" applyBorder="1" applyAlignment="1" applyProtection="1">
      <alignment horizontal="left" vertical="center" wrapText="1"/>
    </xf>
    <xf numFmtId="0" fontId="35" fillId="12" borderId="0" xfId="6" applyFont="1" applyFill="1" applyBorder="1" applyAlignment="1" applyProtection="1">
      <alignment horizontal="left" vertical="center"/>
    </xf>
    <xf numFmtId="166" fontId="5" fillId="12" borderId="65" xfId="9" applyNumberFormat="1" applyFont="1" applyFill="1" applyBorder="1" applyAlignment="1" applyProtection="1">
      <alignment horizontal="left" vertical="center"/>
    </xf>
    <xf numFmtId="165" fontId="41" fillId="12" borderId="0" xfId="10" applyNumberFormat="1" applyFont="1" applyFill="1" applyBorder="1" applyAlignment="1" applyProtection="1">
      <alignment horizontal="right" vertical="center"/>
    </xf>
    <xf numFmtId="165" fontId="5" fillId="12" borderId="65" xfId="1" applyNumberFormat="1" applyFont="1" applyFill="1" applyBorder="1" applyAlignment="1" applyProtection="1">
      <alignment horizontal="right" vertical="center"/>
      <protection locked="0"/>
    </xf>
    <xf numFmtId="0" fontId="41" fillId="12" borderId="0" xfId="9" applyFont="1" applyFill="1" applyBorder="1" applyAlignment="1" applyProtection="1">
      <alignment horizontal="right" vertical="center"/>
    </xf>
    <xf numFmtId="0" fontId="40" fillId="12" borderId="0" xfId="9" applyNumberFormat="1" applyFont="1" applyFill="1" applyBorder="1" applyAlignment="1" applyProtection="1"/>
    <xf numFmtId="172" fontId="5" fillId="12" borderId="0" xfId="1" applyNumberFormat="1" applyFont="1" applyFill="1" applyBorder="1" applyProtection="1"/>
    <xf numFmtId="165" fontId="5" fillId="12" borderId="0" xfId="1" applyNumberFormat="1" applyFont="1" applyFill="1" applyBorder="1" applyProtection="1"/>
    <xf numFmtId="0" fontId="35" fillId="12" borderId="0" xfId="11" applyNumberFormat="1" applyFont="1" applyFill="1" applyBorder="1" applyAlignment="1" applyProtection="1">
      <alignment horizontal="right" vertical="center" wrapText="1"/>
    </xf>
    <xf numFmtId="41" fontId="6" fillId="12" borderId="0" xfId="4" applyNumberFormat="1" applyFont="1" applyFill="1" applyBorder="1" applyAlignment="1" applyProtection="1">
      <alignment vertical="center"/>
    </xf>
    <xf numFmtId="41" fontId="6" fillId="12" borderId="0" xfId="4" quotePrefix="1" applyNumberFormat="1" applyFont="1" applyFill="1" applyBorder="1" applyAlignment="1" applyProtection="1">
      <alignment vertical="center"/>
    </xf>
    <xf numFmtId="41" fontId="6" fillId="12" borderId="0" xfId="4" quotePrefix="1" applyNumberFormat="1" applyFont="1" applyFill="1" applyBorder="1" applyAlignment="1" applyProtection="1">
      <alignment horizontal="left" vertical="center"/>
    </xf>
    <xf numFmtId="41" fontId="5" fillId="12" borderId="0" xfId="4" quotePrefix="1" applyNumberFormat="1" applyFont="1" applyFill="1" applyBorder="1" applyAlignment="1" applyProtection="1">
      <alignment vertical="center"/>
    </xf>
    <xf numFmtId="41" fontId="6" fillId="12" borderId="0" xfId="4" quotePrefix="1" applyNumberFormat="1" applyFont="1" applyFill="1" applyBorder="1" applyAlignment="1" applyProtection="1">
      <alignment horizontal="right" vertical="center"/>
    </xf>
    <xf numFmtId="9" fontId="5" fillId="12" borderId="0" xfId="9" applyNumberFormat="1" applyFont="1" applyFill="1" applyBorder="1" applyAlignment="1" applyProtection="1">
      <alignment horizontal="right" vertical="center"/>
    </xf>
    <xf numFmtId="0" fontId="34" fillId="12" borderId="0" xfId="9" applyFont="1" applyFill="1" applyBorder="1" applyProtection="1"/>
    <xf numFmtId="49" fontId="35" fillId="12" borderId="49" xfId="9" applyNumberFormat="1" applyFont="1" applyFill="1" applyBorder="1" applyAlignment="1" applyProtection="1">
      <alignment horizontal="right" vertical="center"/>
    </xf>
    <xf numFmtId="49" fontId="35" fillId="12" borderId="21" xfId="9" applyNumberFormat="1" applyFont="1" applyFill="1" applyBorder="1" applyAlignment="1" applyProtection="1">
      <alignment horizontal="right" vertical="center"/>
    </xf>
    <xf numFmtId="0" fontId="24" fillId="12" borderId="29" xfId="9" applyFont="1" applyFill="1" applyBorder="1" applyAlignment="1" applyProtection="1">
      <alignment horizontal="right" vertical="center"/>
    </xf>
    <xf numFmtId="0" fontId="35" fillId="12" borderId="60" xfId="6" applyFont="1" applyFill="1" applyBorder="1" applyAlignment="1" applyProtection="1">
      <alignment vertical="center"/>
    </xf>
    <xf numFmtId="0" fontId="35" fillId="12" borderId="32" xfId="6" applyFont="1" applyFill="1" applyBorder="1" applyAlignment="1" applyProtection="1">
      <alignment vertical="center"/>
    </xf>
    <xf numFmtId="0" fontId="34" fillId="12" borderId="29" xfId="9" applyFont="1" applyFill="1" applyBorder="1" applyAlignment="1" applyProtection="1">
      <alignment horizontal="right" vertical="center"/>
    </xf>
    <xf numFmtId="49" fontId="35" fillId="12" borderId="0" xfId="9" applyNumberFormat="1" applyFont="1" applyFill="1" applyBorder="1" applyAlignment="1" applyProtection="1">
      <alignment vertical="center"/>
    </xf>
    <xf numFmtId="165" fontId="34" fillId="12" borderId="29" xfId="9" applyNumberFormat="1" applyFont="1" applyFill="1" applyBorder="1" applyAlignment="1" applyProtection="1">
      <alignment horizontal="right" vertical="center"/>
    </xf>
    <xf numFmtId="0" fontId="5" fillId="12" borderId="0" xfId="9" applyNumberFormat="1" applyFont="1" applyFill="1" applyBorder="1" applyAlignment="1" applyProtection="1"/>
    <xf numFmtId="0" fontId="5" fillId="12" borderId="0" xfId="9" applyNumberFormat="1" applyFont="1" applyFill="1" applyBorder="1" applyProtection="1"/>
    <xf numFmtId="165" fontId="35" fillId="12" borderId="0" xfId="1" applyNumberFormat="1" applyFont="1" applyFill="1" applyBorder="1" applyAlignment="1" applyProtection="1">
      <alignment horizontal="right" vertical="center"/>
    </xf>
    <xf numFmtId="0" fontId="33" fillId="12" borderId="0" xfId="6" applyFont="1" applyFill="1" applyBorder="1" applyAlignment="1" applyProtection="1">
      <alignment horizontal="left" vertical="center"/>
    </xf>
    <xf numFmtId="172" fontId="6" fillId="12" borderId="0" xfId="1" quotePrefix="1" applyNumberFormat="1" applyFont="1" applyFill="1" applyBorder="1" applyAlignment="1" applyProtection="1">
      <alignment vertical="center"/>
    </xf>
    <xf numFmtId="165" fontId="22" fillId="12" borderId="0" xfId="1" applyNumberFormat="1" applyFont="1" applyFill="1" applyBorder="1" applyAlignment="1" applyProtection="1">
      <alignment horizontal="right" vertical="center"/>
    </xf>
    <xf numFmtId="0" fontId="6" fillId="12" borderId="26" xfId="9" applyNumberFormat="1" applyFont="1" applyFill="1" applyBorder="1" applyAlignment="1" applyProtection="1">
      <alignment vertical="center"/>
    </xf>
    <xf numFmtId="0" fontId="43" fillId="12" borderId="0" xfId="9" applyFont="1" applyFill="1" applyBorder="1" applyAlignment="1" applyProtection="1">
      <alignment horizontal="right" vertical="center"/>
    </xf>
    <xf numFmtId="9" fontId="5" fillId="12" borderId="74" xfId="12" applyNumberFormat="1" applyFont="1" applyFill="1" applyBorder="1" applyAlignment="1" applyProtection="1">
      <alignment horizontal="right" vertical="center"/>
      <protection locked="0"/>
    </xf>
    <xf numFmtId="0" fontId="75" fillId="12" borderId="0" xfId="9" applyFont="1" applyFill="1" applyBorder="1" applyAlignment="1" applyProtection="1">
      <alignment horizontal="left" vertical="center"/>
    </xf>
    <xf numFmtId="0" fontId="35" fillId="0" borderId="0" xfId="10" applyNumberFormat="1" applyFont="1" applyFill="1" applyBorder="1" applyAlignment="1" applyProtection="1">
      <alignment horizontal="right" vertical="center"/>
    </xf>
    <xf numFmtId="0" fontId="5" fillId="16" borderId="29" xfId="9" applyFont="1" applyFill="1" applyBorder="1" applyAlignment="1">
      <alignment vertical="center"/>
    </xf>
    <xf numFmtId="0" fontId="5" fillId="0" borderId="29" xfId="9" applyFont="1" applyFill="1" applyBorder="1" applyAlignment="1">
      <alignment horizontal="left" vertical="center"/>
    </xf>
    <xf numFmtId="0" fontId="5" fillId="0" borderId="29" xfId="14" applyFont="1" applyFill="1" applyBorder="1" applyAlignment="1">
      <alignment horizontal="left"/>
    </xf>
    <xf numFmtId="167" fontId="61" fillId="21" borderId="29" xfId="33" applyNumberFormat="1" applyFont="1" applyFill="1" applyBorder="1" applyAlignment="1" applyProtection="1">
      <alignment vertical="top"/>
    </xf>
    <xf numFmtId="41" fontId="49" fillId="12" borderId="29" xfId="0" applyNumberFormat="1" applyFont="1" applyFill="1" applyBorder="1"/>
    <xf numFmtId="0" fontId="35" fillId="0" borderId="0" xfId="6" applyFont="1" applyFill="1" applyBorder="1" applyAlignment="1" applyProtection="1">
      <alignment horizontal="left" vertical="center"/>
    </xf>
    <xf numFmtId="0" fontId="0" fillId="0" borderId="0" xfId="0" applyFill="1" applyBorder="1"/>
    <xf numFmtId="172" fontId="5" fillId="0" borderId="95" xfId="1" applyNumberFormat="1" applyFont="1" applyFill="1" applyBorder="1" applyAlignment="1" applyProtection="1">
      <alignment horizontal="right" vertical="center"/>
      <protection locked="0"/>
    </xf>
    <xf numFmtId="172" fontId="5" fillId="0" borderId="96" xfId="1" applyNumberFormat="1" applyFont="1" applyFill="1" applyBorder="1" applyAlignment="1" applyProtection="1">
      <alignment horizontal="right" vertical="center"/>
      <protection locked="0"/>
    </xf>
    <xf numFmtId="172" fontId="5" fillId="0" borderId="1" xfId="1" applyNumberFormat="1" applyFont="1" applyFill="1" applyBorder="1" applyAlignment="1" applyProtection="1">
      <alignment horizontal="left" vertical="center"/>
      <protection locked="0"/>
    </xf>
    <xf numFmtId="172" fontId="5" fillId="0" borderId="97" xfId="1" applyNumberFormat="1" applyFont="1" applyFill="1" applyBorder="1" applyAlignment="1" applyProtection="1">
      <alignment horizontal="right" vertical="center"/>
      <protection locked="0"/>
    </xf>
    <xf numFmtId="172" fontId="5" fillId="0" borderId="98" xfId="1" applyNumberFormat="1" applyFont="1" applyFill="1" applyBorder="1" applyAlignment="1" applyProtection="1">
      <alignment horizontal="right" vertical="center"/>
      <protection locked="0"/>
    </xf>
    <xf numFmtId="172" fontId="5" fillId="0" borderId="4" xfId="1" applyNumberFormat="1" applyFont="1" applyFill="1" applyBorder="1" applyAlignment="1" applyProtection="1">
      <alignment horizontal="left" vertical="center"/>
      <protection locked="0"/>
    </xf>
    <xf numFmtId="172" fontId="5" fillId="0" borderId="99" xfId="1" applyNumberFormat="1" applyFont="1" applyFill="1" applyBorder="1" applyAlignment="1" applyProtection="1">
      <alignment horizontal="right" vertical="center"/>
      <protection locked="0"/>
    </xf>
    <xf numFmtId="172" fontId="5" fillId="0" borderId="41" xfId="1" applyNumberFormat="1" applyFont="1" applyFill="1" applyBorder="1" applyAlignment="1" applyProtection="1">
      <alignment horizontal="left" vertical="center"/>
      <protection locked="0"/>
    </xf>
    <xf numFmtId="172" fontId="5" fillId="0" borderId="100" xfId="1" applyNumberFormat="1" applyFont="1" applyFill="1" applyBorder="1" applyAlignment="1" applyProtection="1">
      <alignment horizontal="right" vertical="center"/>
      <protection locked="0"/>
    </xf>
    <xf numFmtId="172" fontId="5" fillId="0" borderId="64" xfId="1" applyNumberFormat="1" applyFont="1" applyFill="1" applyBorder="1" applyAlignment="1" applyProtection="1">
      <alignment horizontal="left" vertical="center"/>
      <protection locked="0"/>
    </xf>
    <xf numFmtId="172" fontId="5" fillId="0" borderId="101" xfId="1" applyNumberFormat="1" applyFont="1" applyFill="1" applyBorder="1" applyAlignment="1" applyProtection="1">
      <alignment horizontal="right" vertical="center"/>
      <protection locked="0"/>
    </xf>
    <xf numFmtId="172" fontId="5" fillId="0" borderId="102" xfId="1" applyNumberFormat="1" applyFont="1" applyFill="1" applyBorder="1" applyAlignment="1" applyProtection="1">
      <alignment horizontal="left" vertical="center"/>
      <protection locked="0"/>
    </xf>
    <xf numFmtId="172" fontId="5" fillId="0" borderId="103" xfId="1" applyNumberFormat="1" applyFont="1" applyFill="1" applyBorder="1" applyAlignment="1" applyProtection="1">
      <alignment horizontal="right" vertical="center"/>
      <protection locked="0"/>
    </xf>
    <xf numFmtId="172" fontId="5" fillId="0" borderId="104" xfId="1" applyNumberFormat="1" applyFont="1" applyFill="1" applyBorder="1" applyAlignment="1" applyProtection="1">
      <alignment horizontal="right" vertical="center"/>
      <protection locked="0"/>
    </xf>
    <xf numFmtId="0" fontId="35" fillId="12" borderId="48" xfId="9" applyFont="1" applyFill="1" applyBorder="1" applyAlignment="1">
      <alignment horizontal="right" vertical="center"/>
    </xf>
    <xf numFmtId="0" fontId="35" fillId="0" borderId="48" xfId="0" applyFont="1" applyFill="1" applyBorder="1" applyAlignment="1" applyProtection="1">
      <alignment horizontal="right" vertical="center"/>
    </xf>
    <xf numFmtId="0" fontId="35" fillId="0" borderId="50" xfId="0" applyFont="1" applyFill="1" applyBorder="1" applyAlignment="1" applyProtection="1">
      <alignment horizontal="right" vertical="center"/>
    </xf>
    <xf numFmtId="0" fontId="5" fillId="12" borderId="44" xfId="0" applyFont="1" applyFill="1" applyBorder="1" applyAlignment="1" applyProtection="1">
      <alignment wrapText="1"/>
    </xf>
    <xf numFmtId="172" fontId="5" fillId="12" borderId="44" xfId="1" applyNumberFormat="1" applyFont="1" applyFill="1" applyBorder="1" applyAlignment="1" applyProtection="1">
      <alignment horizontal="right" wrapText="1"/>
      <protection locked="0"/>
    </xf>
    <xf numFmtId="164" fontId="5" fillId="12" borderId="85" xfId="0" applyNumberFormat="1" applyFont="1" applyFill="1" applyBorder="1" applyAlignment="1" applyProtection="1">
      <alignment horizontal="left" wrapText="1"/>
      <protection locked="0"/>
    </xf>
    <xf numFmtId="0" fontId="35" fillId="12" borderId="49" xfId="9" applyFont="1" applyFill="1" applyBorder="1" applyAlignment="1" applyProtection="1">
      <alignment horizontal="left" vertical="center"/>
    </xf>
    <xf numFmtId="0" fontId="5" fillId="12" borderId="29" xfId="1" quotePrefix="1" applyNumberFormat="1" applyFont="1" applyFill="1" applyBorder="1" applyAlignment="1" applyProtection="1">
      <alignment horizontal="right" wrapText="1"/>
      <protection locked="0"/>
    </xf>
    <xf numFmtId="0" fontId="5" fillId="12" borderId="81" xfId="1" quotePrefix="1" applyNumberFormat="1" applyFont="1" applyFill="1" applyBorder="1" applyAlignment="1" applyProtection="1">
      <alignment horizontal="right" wrapText="1"/>
      <protection locked="0"/>
    </xf>
    <xf numFmtId="0" fontId="5" fillId="12" borderId="90" xfId="0" applyNumberFormat="1" applyFont="1" applyFill="1" applyBorder="1" applyAlignment="1" applyProtection="1">
      <alignment wrapText="1"/>
      <protection locked="0"/>
    </xf>
    <xf numFmtId="0" fontId="5" fillId="12" borderId="29" xfId="0" applyNumberFormat="1" applyFont="1" applyFill="1" applyBorder="1" applyAlignment="1" applyProtection="1">
      <alignment wrapText="1"/>
      <protection locked="0"/>
    </xf>
    <xf numFmtId="0" fontId="5" fillId="12" borderId="52" xfId="0" applyNumberFormat="1" applyFont="1" applyFill="1" applyBorder="1" applyAlignment="1" applyProtection="1">
      <alignment wrapText="1"/>
      <protection locked="0"/>
    </xf>
    <xf numFmtId="0" fontId="5" fillId="12" borderId="44" xfId="1" quotePrefix="1" applyNumberFormat="1" applyFont="1" applyFill="1" applyBorder="1" applyAlignment="1" applyProtection="1">
      <alignment horizontal="right" wrapText="1"/>
      <protection locked="0"/>
    </xf>
    <xf numFmtId="172" fontId="5" fillId="0" borderId="6" xfId="1" applyNumberFormat="1" applyFont="1" applyFill="1" applyBorder="1" applyAlignment="1" applyProtection="1">
      <alignment horizontal="left" vertical="center"/>
      <protection locked="0"/>
    </xf>
    <xf numFmtId="172" fontId="5" fillId="0" borderId="7" xfId="1" applyNumberFormat="1" applyFont="1" applyFill="1" applyBorder="1" applyAlignment="1" applyProtection="1">
      <alignment horizontal="left" vertical="center"/>
      <protection locked="0"/>
    </xf>
    <xf numFmtId="3" fontId="35" fillId="12" borderId="27" xfId="9" applyNumberFormat="1" applyFont="1" applyFill="1" applyBorder="1" applyAlignment="1" applyProtection="1">
      <alignment horizontal="left" vertical="center"/>
    </xf>
    <xf numFmtId="0" fontId="35" fillId="12" borderId="77" xfId="9" applyFont="1" applyFill="1" applyBorder="1" applyAlignment="1" applyProtection="1">
      <alignment horizontal="right" vertical="center"/>
    </xf>
    <xf numFmtId="0" fontId="5" fillId="12" borderId="12" xfId="0" applyFont="1" applyFill="1" applyBorder="1" applyProtection="1"/>
    <xf numFmtId="0" fontId="5" fillId="12" borderId="19" xfId="0" applyFont="1" applyFill="1" applyBorder="1" applyProtection="1"/>
    <xf numFmtId="0" fontId="35" fillId="12" borderId="19" xfId="9" applyFont="1" applyFill="1" applyBorder="1" applyAlignment="1" applyProtection="1">
      <alignment horizontal="right" vertical="center"/>
    </xf>
    <xf numFmtId="0" fontId="5" fillId="12" borderId="85" xfId="0" applyFont="1" applyFill="1" applyBorder="1" applyAlignment="1" applyProtection="1">
      <alignment wrapText="1"/>
    </xf>
    <xf numFmtId="0" fontId="5" fillId="12" borderId="38" xfId="0" applyFont="1" applyFill="1" applyBorder="1" applyAlignment="1" applyProtection="1">
      <alignment wrapText="1"/>
    </xf>
    <xf numFmtId="0" fontId="5" fillId="12" borderId="20" xfId="0" applyFont="1" applyFill="1" applyBorder="1" applyAlignment="1" applyProtection="1">
      <alignment wrapText="1"/>
    </xf>
    <xf numFmtId="0" fontId="5" fillId="12" borderId="83" xfId="0" applyFont="1" applyFill="1" applyBorder="1" applyAlignment="1" applyProtection="1">
      <alignment wrapText="1"/>
    </xf>
    <xf numFmtId="165" fontId="5" fillId="12" borderId="81" xfId="1" applyNumberFormat="1" applyFont="1" applyFill="1" applyBorder="1" applyAlignment="1" applyProtection="1">
      <alignment wrapText="1"/>
    </xf>
    <xf numFmtId="165" fontId="5" fillId="12" borderId="16" xfId="1" applyNumberFormat="1" applyFont="1" applyFill="1" applyBorder="1" applyAlignment="1" applyProtection="1">
      <alignment wrapText="1"/>
    </xf>
    <xf numFmtId="9" fontId="5" fillId="12" borderId="81" xfId="7" applyFont="1" applyFill="1" applyBorder="1" applyAlignment="1" applyProtection="1">
      <alignment wrapText="1"/>
    </xf>
    <xf numFmtId="9" fontId="5" fillId="12" borderId="16" xfId="7" applyFont="1" applyFill="1" applyBorder="1" applyAlignment="1" applyProtection="1">
      <alignment wrapText="1"/>
    </xf>
    <xf numFmtId="172" fontId="5" fillId="12" borderId="44" xfId="1" applyNumberFormat="1" applyFont="1" applyFill="1" applyBorder="1" applyAlignment="1" applyProtection="1">
      <alignment wrapText="1"/>
      <protection locked="0"/>
    </xf>
    <xf numFmtId="172" fontId="5" fillId="12" borderId="81" xfId="1" applyNumberFormat="1" applyFont="1" applyFill="1" applyBorder="1" applyAlignment="1" applyProtection="1">
      <alignment wrapText="1"/>
      <protection locked="0"/>
    </xf>
    <xf numFmtId="172" fontId="5" fillId="12" borderId="16" xfId="1" applyNumberFormat="1" applyFont="1" applyFill="1" applyBorder="1" applyAlignment="1" applyProtection="1">
      <alignment wrapText="1"/>
      <protection locked="0"/>
    </xf>
    <xf numFmtId="172" fontId="5" fillId="12" borderId="52" xfId="1" applyNumberFormat="1" applyFont="1" applyFill="1" applyBorder="1" applyAlignment="1" applyProtection="1">
      <alignment wrapText="1"/>
      <protection locked="0"/>
    </xf>
    <xf numFmtId="165" fontId="5" fillId="12" borderId="44" xfId="1" applyNumberFormat="1" applyFont="1" applyFill="1" applyBorder="1" applyAlignment="1" applyProtection="1">
      <alignment wrapText="1"/>
      <protection locked="0"/>
    </xf>
    <xf numFmtId="9" fontId="5" fillId="12" borderId="44" xfId="7" applyFont="1" applyFill="1" applyBorder="1" applyAlignment="1" applyProtection="1">
      <alignment wrapText="1"/>
      <protection locked="0"/>
    </xf>
    <xf numFmtId="0" fontId="5" fillId="12" borderId="85" xfId="0" applyFont="1" applyFill="1" applyBorder="1" applyAlignment="1" applyProtection="1">
      <alignment wrapText="1"/>
      <protection locked="0"/>
    </xf>
    <xf numFmtId="165" fontId="5" fillId="12" borderId="81" xfId="1" applyNumberFormat="1" applyFont="1" applyFill="1" applyBorder="1" applyAlignment="1" applyProtection="1">
      <alignment wrapText="1"/>
      <protection locked="0"/>
    </xf>
    <xf numFmtId="9" fontId="5" fillId="12" borderId="81" xfId="7" applyFont="1" applyFill="1" applyBorder="1" applyAlignment="1" applyProtection="1">
      <alignment wrapText="1"/>
      <protection locked="0"/>
    </xf>
    <xf numFmtId="0" fontId="5" fillId="12" borderId="83" xfId="0" applyFont="1" applyFill="1" applyBorder="1" applyAlignment="1" applyProtection="1">
      <alignment wrapText="1"/>
      <protection locked="0"/>
    </xf>
    <xf numFmtId="165" fontId="5" fillId="12" borderId="16" xfId="1" applyNumberFormat="1" applyFont="1" applyFill="1" applyBorder="1" applyAlignment="1" applyProtection="1">
      <alignment wrapText="1"/>
      <protection locked="0"/>
    </xf>
    <xf numFmtId="9" fontId="5" fillId="12" borderId="16" xfId="7" applyFont="1" applyFill="1" applyBorder="1" applyAlignment="1" applyProtection="1">
      <alignment wrapText="1"/>
      <protection locked="0"/>
    </xf>
    <xf numFmtId="0" fontId="5" fillId="12" borderId="20" xfId="0" applyFont="1" applyFill="1" applyBorder="1" applyAlignment="1" applyProtection="1">
      <alignment wrapText="1"/>
      <protection locked="0"/>
    </xf>
    <xf numFmtId="165" fontId="5" fillId="12" borderId="52" xfId="1" applyNumberFormat="1" applyFont="1" applyFill="1" applyBorder="1" applyAlignment="1" applyProtection="1">
      <alignment wrapText="1"/>
      <protection locked="0"/>
    </xf>
    <xf numFmtId="0" fontId="5" fillId="12" borderId="93" xfId="0" applyFont="1" applyFill="1" applyBorder="1" applyAlignment="1" applyProtection="1">
      <alignment horizontal="left" vertical="center" wrapText="1"/>
    </xf>
    <xf numFmtId="0" fontId="5" fillId="12" borderId="36" xfId="0" applyFont="1" applyFill="1" applyBorder="1" applyAlignment="1" applyProtection="1">
      <alignment horizontal="left" vertical="center" wrapText="1"/>
    </xf>
    <xf numFmtId="0" fontId="5" fillId="12" borderId="84" xfId="0" applyFont="1" applyFill="1" applyBorder="1" applyAlignment="1" applyProtection="1">
      <alignment horizontal="left" vertical="center" wrapText="1"/>
    </xf>
    <xf numFmtId="164" fontId="5" fillId="0" borderId="76" xfId="3" applyNumberFormat="1" applyFont="1" applyFill="1" applyBorder="1" applyAlignment="1" applyProtection="1">
      <alignment horizontal="right" wrapText="1"/>
    </xf>
    <xf numFmtId="164" fontId="5" fillId="0" borderId="29" xfId="3" applyNumberFormat="1" applyFont="1" applyFill="1" applyBorder="1" applyAlignment="1" applyProtection="1">
      <alignment horizontal="right" wrapText="1"/>
    </xf>
    <xf numFmtId="164" fontId="5" fillId="0" borderId="52" xfId="3" applyNumberFormat="1" applyFont="1" applyFill="1" applyBorder="1" applyAlignment="1" applyProtection="1">
      <alignment horizontal="right" wrapText="1"/>
    </xf>
    <xf numFmtId="3" fontId="5" fillId="0" borderId="76" xfId="7" applyNumberFormat="1" applyFont="1" applyFill="1" applyBorder="1" applyAlignment="1" applyProtection="1">
      <alignment horizontal="left" wrapText="1"/>
    </xf>
    <xf numFmtId="3" fontId="5" fillId="0" borderId="29" xfId="7" applyNumberFormat="1" applyFont="1" applyFill="1" applyBorder="1" applyAlignment="1" applyProtection="1">
      <alignment horizontal="left" wrapText="1"/>
    </xf>
    <xf numFmtId="3" fontId="5" fillId="0" borderId="52" xfId="7" applyNumberFormat="1" applyFont="1" applyFill="1" applyBorder="1" applyAlignment="1" applyProtection="1">
      <alignment horizontal="left" wrapText="1"/>
    </xf>
    <xf numFmtId="3" fontId="35" fillId="12" borderId="15" xfId="9" applyNumberFormat="1" applyFont="1" applyFill="1" applyBorder="1" applyAlignment="1" applyProtection="1">
      <alignment horizontal="left" vertical="center" wrapText="1"/>
    </xf>
    <xf numFmtId="3" fontId="35" fillId="12" borderId="27" xfId="9" applyNumberFormat="1" applyFont="1" applyFill="1" applyBorder="1" applyAlignment="1" applyProtection="1">
      <alignment horizontal="left" vertical="center" wrapText="1"/>
    </xf>
    <xf numFmtId="173" fontId="5" fillId="0" borderId="76" xfId="7" applyNumberFormat="1" applyFont="1" applyFill="1" applyBorder="1" applyAlignment="1" applyProtection="1">
      <alignment horizontal="right" wrapText="1"/>
    </xf>
    <xf numFmtId="173" fontId="5" fillId="0" borderId="29" xfId="7" applyNumberFormat="1" applyFont="1" applyFill="1" applyBorder="1" applyAlignment="1" applyProtection="1">
      <alignment horizontal="right" wrapText="1"/>
    </xf>
    <xf numFmtId="173" fontId="5" fillId="0" borderId="52" xfId="7" applyNumberFormat="1" applyFont="1" applyFill="1" applyBorder="1" applyAlignment="1" applyProtection="1">
      <alignment horizontal="right" wrapText="1"/>
    </xf>
    <xf numFmtId="3" fontId="5" fillId="0" borderId="77" xfId="7" applyNumberFormat="1" applyFont="1" applyFill="1" applyBorder="1" applyAlignment="1" applyProtection="1">
      <alignment horizontal="left" wrapText="1"/>
    </xf>
    <xf numFmtId="3" fontId="5" fillId="0" borderId="28" xfId="7" applyNumberFormat="1" applyFont="1" applyFill="1" applyBorder="1" applyAlignment="1" applyProtection="1">
      <alignment horizontal="left" wrapText="1"/>
    </xf>
    <xf numFmtId="3" fontId="5" fillId="0" borderId="38" xfId="7" applyNumberFormat="1" applyFont="1" applyFill="1" applyBorder="1" applyAlignment="1" applyProtection="1">
      <alignment horizontal="left" wrapText="1"/>
    </xf>
    <xf numFmtId="165" fontId="5" fillId="12" borderId="90" xfId="1" quotePrefix="1" applyNumberFormat="1" applyFont="1" applyFill="1" applyBorder="1" applyAlignment="1" applyProtection="1">
      <alignment horizontal="left" wrapText="1"/>
    </xf>
    <xf numFmtId="0" fontId="5" fillId="0" borderId="85" xfId="0" quotePrefix="1" applyFont="1" applyFill="1" applyBorder="1" applyAlignment="1" applyProtection="1">
      <alignment horizontal="left" wrapText="1"/>
    </xf>
    <xf numFmtId="0" fontId="5" fillId="0" borderId="38" xfId="0" quotePrefix="1" applyFont="1" applyFill="1" applyBorder="1" applyAlignment="1" applyProtection="1">
      <alignment horizontal="left" wrapText="1"/>
    </xf>
    <xf numFmtId="0" fontId="5" fillId="12" borderId="85" xfId="0" applyFont="1" applyFill="1" applyBorder="1" applyAlignment="1" applyProtection="1">
      <alignment horizontal="left" wrapText="1"/>
      <protection locked="0"/>
    </xf>
    <xf numFmtId="165" fontId="5" fillId="12" borderId="81" xfId="1" applyNumberFormat="1" applyFont="1" applyFill="1" applyBorder="1" applyAlignment="1" applyProtection="1">
      <alignment horizontal="right" wrapText="1"/>
      <protection locked="0"/>
    </xf>
    <xf numFmtId="0" fontId="5" fillId="12" borderId="16" xfId="1" applyNumberFormat="1" applyFont="1" applyFill="1" applyBorder="1" applyAlignment="1" applyProtection="1">
      <alignment horizontal="right" wrapText="1"/>
      <protection locked="0"/>
    </xf>
    <xf numFmtId="0" fontId="5" fillId="12" borderId="29" xfId="1" applyNumberFormat="1" applyFont="1" applyFill="1" applyBorder="1" applyAlignment="1" applyProtection="1">
      <alignment horizontal="right" wrapText="1"/>
      <protection locked="0"/>
    </xf>
    <xf numFmtId="172" fontId="5" fillId="12" borderId="44" xfId="1" applyNumberFormat="1" applyFont="1" applyFill="1" applyBorder="1" applyAlignment="1" applyProtection="1">
      <alignment wrapText="1"/>
    </xf>
    <xf numFmtId="172" fontId="5" fillId="12" borderId="81" xfId="1" applyNumberFormat="1" applyFont="1" applyFill="1" applyBorder="1" applyAlignment="1" applyProtection="1">
      <alignment wrapText="1"/>
    </xf>
    <xf numFmtId="172" fontId="5" fillId="12" borderId="16" xfId="1" applyNumberFormat="1" applyFont="1" applyFill="1" applyBorder="1" applyAlignment="1" applyProtection="1">
      <alignment wrapText="1"/>
    </xf>
    <xf numFmtId="172" fontId="5" fillId="12" borderId="52" xfId="1" applyNumberFormat="1" applyFont="1" applyFill="1" applyBorder="1" applyAlignment="1" applyProtection="1">
      <alignment wrapText="1"/>
    </xf>
    <xf numFmtId="165" fontId="5" fillId="0" borderId="44" xfId="1" applyNumberFormat="1" applyFont="1" applyFill="1" applyBorder="1" applyAlignment="1" applyProtection="1">
      <alignment horizontal="right" wrapText="1"/>
    </xf>
    <xf numFmtId="164" fontId="5" fillId="0" borderId="44" xfId="3" applyNumberFormat="1" applyFont="1" applyFill="1" applyBorder="1" applyAlignment="1" applyProtection="1">
      <alignment horizontal="right" wrapText="1"/>
    </xf>
    <xf numFmtId="165" fontId="5" fillId="0" borderId="44" xfId="1" applyNumberFormat="1" applyFont="1" applyFill="1" applyBorder="1" applyAlignment="1" applyProtection="1">
      <alignment wrapText="1"/>
    </xf>
    <xf numFmtId="165" fontId="5" fillId="0" borderId="29" xfId="1" applyNumberFormat="1" applyFont="1" applyFill="1" applyBorder="1" applyAlignment="1" applyProtection="1">
      <alignment wrapText="1"/>
    </xf>
    <xf numFmtId="165" fontId="5" fillId="0" borderId="52" xfId="1" applyNumberFormat="1" applyFont="1" applyFill="1" applyBorder="1" applyAlignment="1" applyProtection="1">
      <alignment wrapText="1"/>
    </xf>
    <xf numFmtId="172" fontId="5" fillId="12" borderId="29" xfId="1" applyNumberFormat="1" applyFont="1" applyFill="1" applyBorder="1" applyAlignment="1" applyProtection="1">
      <alignment wrapText="1"/>
    </xf>
    <xf numFmtId="165" fontId="5" fillId="12" borderId="44" xfId="1" applyNumberFormat="1" applyFont="1" applyFill="1" applyBorder="1" applyAlignment="1" applyProtection="1">
      <alignment horizontal="right" wrapText="1"/>
    </xf>
    <xf numFmtId="165" fontId="5" fillId="12" borderId="52" xfId="1" applyNumberFormat="1" applyFont="1" applyFill="1" applyBorder="1" applyAlignment="1" applyProtection="1">
      <alignment horizontal="right" wrapText="1"/>
    </xf>
    <xf numFmtId="165" fontId="5" fillId="12" borderId="90" xfId="1" applyNumberFormat="1" applyFont="1" applyFill="1" applyBorder="1" applyAlignment="1" applyProtection="1">
      <alignment wrapText="1"/>
      <protection locked="0"/>
    </xf>
    <xf numFmtId="0" fontId="35" fillId="12" borderId="0" xfId="10" applyNumberFormat="1" applyFont="1" applyFill="1" applyBorder="1" applyAlignment="1" applyProtection="1">
      <alignment horizontal="right" vertical="center"/>
    </xf>
    <xf numFmtId="0" fontId="0" fillId="0" borderId="29" xfId="0" applyFill="1" applyBorder="1"/>
    <xf numFmtId="172" fontId="5" fillId="0" borderId="29" xfId="1" applyNumberFormat="1" applyFont="1" applyFill="1" applyBorder="1" applyAlignment="1" applyProtection="1">
      <alignment horizontal="left" vertical="center"/>
      <protection locked="0"/>
    </xf>
    <xf numFmtId="172" fontId="5" fillId="12" borderId="29" xfId="1" applyNumberFormat="1" applyFont="1" applyFill="1" applyBorder="1" applyAlignment="1" applyProtection="1">
      <alignment wrapText="1"/>
      <protection locked="0"/>
    </xf>
    <xf numFmtId="165" fontId="5" fillId="12" borderId="29" xfId="1" applyNumberFormat="1" applyFont="1" applyFill="1" applyBorder="1" applyAlignment="1" applyProtection="1">
      <alignment wrapText="1"/>
      <protection locked="0"/>
    </xf>
    <xf numFmtId="0" fontId="5" fillId="12" borderId="28" xfId="0" applyFont="1" applyFill="1" applyBorder="1" applyAlignment="1" applyProtection="1">
      <alignment wrapText="1"/>
    </xf>
    <xf numFmtId="172" fontId="5" fillId="12" borderId="20" xfId="1" quotePrefix="1" applyNumberFormat="1" applyFont="1" applyFill="1" applyBorder="1" applyAlignment="1" applyProtection="1">
      <alignment horizontal="right" wrapText="1"/>
    </xf>
    <xf numFmtId="165" fontId="5" fillId="12" borderId="52" xfId="1" quotePrefix="1" applyNumberFormat="1" applyFont="1" applyFill="1" applyBorder="1" applyAlignment="1" applyProtection="1">
      <alignment horizontal="right" wrapText="1"/>
    </xf>
    <xf numFmtId="172" fontId="5" fillId="12" borderId="52" xfId="1" applyNumberFormat="1" applyFont="1" applyFill="1" applyBorder="1" applyAlignment="1" applyProtection="1">
      <alignment horizontal="right" wrapText="1"/>
    </xf>
    <xf numFmtId="0" fontId="36" fillId="8" borderId="0" xfId="9" applyFont="1" applyFill="1" applyBorder="1" applyAlignment="1" applyProtection="1">
      <alignment horizontal="left"/>
    </xf>
    <xf numFmtId="0" fontId="35" fillId="12" borderId="0" xfId="0" applyFont="1" applyFill="1" applyBorder="1" applyAlignment="1" applyProtection="1">
      <alignment horizontal="left"/>
    </xf>
    <xf numFmtId="0" fontId="5" fillId="14" borderId="0" xfId="9" applyFont="1" applyFill="1" applyBorder="1" applyAlignment="1" applyProtection="1">
      <alignment horizontal="left"/>
    </xf>
    <xf numFmtId="49" fontId="6" fillId="12" borderId="0" xfId="9" applyNumberFormat="1" applyFont="1" applyFill="1" applyBorder="1" applyAlignment="1" applyProtection="1">
      <alignment horizontal="left" vertical="center"/>
    </xf>
    <xf numFmtId="0" fontId="5" fillId="0" borderId="65" xfId="9" applyNumberFormat="1" applyFont="1" applyFill="1" applyBorder="1" applyAlignment="1" applyProtection="1">
      <alignment horizontal="left" vertical="center"/>
      <protection locked="0"/>
    </xf>
    <xf numFmtId="0" fontId="40" fillId="12" borderId="0" xfId="9" applyNumberFormat="1" applyFont="1" applyFill="1" applyBorder="1" applyAlignment="1" applyProtection="1">
      <alignment horizontal="left"/>
    </xf>
    <xf numFmtId="0" fontId="5" fillId="12" borderId="0" xfId="9" applyNumberFormat="1" applyFont="1" applyFill="1" applyBorder="1" applyAlignment="1" applyProtection="1">
      <alignment horizontal="left" vertical="center"/>
    </xf>
    <xf numFmtId="0" fontId="35" fillId="12" borderId="0" xfId="11" applyNumberFormat="1" applyFont="1" applyFill="1" applyBorder="1" applyAlignment="1" applyProtection="1">
      <alignment horizontal="left" vertical="center" wrapText="1"/>
    </xf>
    <xf numFmtId="0" fontId="35" fillId="12" borderId="0" xfId="0" applyFont="1" applyFill="1" applyAlignment="1" applyProtection="1">
      <alignment horizontal="left"/>
    </xf>
    <xf numFmtId="0" fontId="5" fillId="14" borderId="0" xfId="9" applyFont="1" applyFill="1" applyAlignment="1" applyProtection="1">
      <alignment horizontal="left"/>
    </xf>
    <xf numFmtId="49" fontId="6" fillId="12" borderId="0" xfId="9" applyNumberFormat="1" applyFont="1" applyFill="1" applyAlignment="1" applyProtection="1">
      <alignment horizontal="left" vertical="center"/>
    </xf>
    <xf numFmtId="49" fontId="5" fillId="12" borderId="0" xfId="9" applyNumberFormat="1" applyFont="1" applyFill="1" applyAlignment="1" applyProtection="1">
      <alignment horizontal="left" vertical="center"/>
    </xf>
    <xf numFmtId="172" fontId="5" fillId="0" borderId="44" xfId="1" applyNumberFormat="1" applyFont="1" applyFill="1" applyBorder="1" applyAlignment="1" applyProtection="1">
      <alignment horizontal="left" wrapText="1"/>
    </xf>
    <xf numFmtId="172" fontId="5" fillId="0" borderId="29" xfId="1" applyNumberFormat="1" applyFont="1" applyFill="1" applyBorder="1" applyAlignment="1" applyProtection="1">
      <alignment horizontal="left" wrapText="1"/>
    </xf>
    <xf numFmtId="172" fontId="5" fillId="0" borderId="81" xfId="1" applyNumberFormat="1" applyFont="1" applyFill="1" applyBorder="1" applyAlignment="1" applyProtection="1">
      <alignment horizontal="left" wrapText="1"/>
    </xf>
    <xf numFmtId="172" fontId="5" fillId="0" borderId="90" xfId="1" applyNumberFormat="1" applyFont="1" applyFill="1" applyBorder="1" applyAlignment="1" applyProtection="1">
      <alignment horizontal="left" wrapText="1"/>
    </xf>
    <xf numFmtId="172" fontId="5" fillId="0" borderId="52" xfId="1" applyNumberFormat="1" applyFont="1" applyFill="1" applyBorder="1" applyAlignment="1" applyProtection="1">
      <alignment horizontal="left" wrapText="1"/>
    </xf>
    <xf numFmtId="0" fontId="35" fillId="15" borderId="0" xfId="9" applyFont="1" applyFill="1" applyBorder="1" applyAlignment="1" applyProtection="1">
      <alignment horizontal="right" vertical="center"/>
    </xf>
    <xf numFmtId="0" fontId="35" fillId="15" borderId="0" xfId="9" applyFont="1" applyFill="1" applyBorder="1" applyAlignment="1" applyProtection="1">
      <alignment horizontal="right" vertical="center" wrapText="1"/>
    </xf>
    <xf numFmtId="0" fontId="35" fillId="15" borderId="27" xfId="9" applyFont="1" applyFill="1" applyBorder="1" applyAlignment="1" applyProtection="1">
      <alignment horizontal="right" vertical="center" wrapText="1"/>
    </xf>
    <xf numFmtId="172" fontId="5" fillId="15" borderId="44" xfId="1" applyNumberFormat="1" applyFont="1" applyFill="1" applyBorder="1" applyAlignment="1" applyProtection="1">
      <alignment horizontal="right" wrapText="1"/>
    </xf>
    <xf numFmtId="172" fontId="5" fillId="15" borderId="29" xfId="1" applyNumberFormat="1" applyFont="1" applyFill="1" applyBorder="1" applyAlignment="1" applyProtection="1">
      <alignment horizontal="right" wrapText="1"/>
    </xf>
    <xf numFmtId="172" fontId="5" fillId="15" borderId="81" xfId="1" applyNumberFormat="1" applyFont="1" applyFill="1" applyBorder="1" applyAlignment="1" applyProtection="1">
      <alignment horizontal="right" wrapText="1"/>
    </xf>
    <xf numFmtId="165" fontId="5" fillId="15" borderId="90" xfId="1" applyNumberFormat="1" applyFont="1" applyFill="1" applyBorder="1" applyAlignment="1" applyProtection="1">
      <alignment horizontal="right" wrapText="1"/>
    </xf>
    <xf numFmtId="9" fontId="5" fillId="15" borderId="29" xfId="7" applyFont="1" applyFill="1" applyBorder="1" applyAlignment="1" applyProtection="1">
      <alignment horizontal="right" wrapText="1"/>
    </xf>
    <xf numFmtId="9" fontId="5" fillId="15" borderId="52" xfId="7" applyFont="1" applyFill="1" applyBorder="1" applyAlignment="1" applyProtection="1">
      <alignment horizontal="right" wrapText="1"/>
    </xf>
    <xf numFmtId="3" fontId="35" fillId="12" borderId="76" xfId="9" applyNumberFormat="1" applyFont="1" applyFill="1" applyBorder="1" applyAlignment="1" applyProtection="1">
      <alignment horizontal="left" vertical="center"/>
    </xf>
    <xf numFmtId="3" fontId="35" fillId="12" borderId="15" xfId="9" applyNumberFormat="1" applyFont="1" applyFill="1" applyBorder="1" applyAlignment="1" applyProtection="1">
      <alignment horizontal="left" vertical="center"/>
    </xf>
    <xf numFmtId="0" fontId="6" fillId="0" borderId="105" xfId="12" applyNumberFormat="1" applyFont="1" applyFill="1" applyBorder="1" applyAlignment="1" applyProtection="1">
      <alignment horizontal="left" vertical="center"/>
      <protection locked="0"/>
    </xf>
    <xf numFmtId="0" fontId="6" fillId="0" borderId="105" xfId="1" applyNumberFormat="1" applyFont="1" applyFill="1" applyBorder="1" applyAlignment="1" applyProtection="1">
      <alignment horizontal="left" vertical="center"/>
      <protection locked="0"/>
    </xf>
    <xf numFmtId="0" fontId="35" fillId="12" borderId="106" xfId="9" applyFont="1" applyFill="1" applyBorder="1" applyAlignment="1" applyProtection="1">
      <alignment horizontal="left" vertical="center" wrapText="1"/>
    </xf>
    <xf numFmtId="0" fontId="5" fillId="12" borderId="88" xfId="0" applyFont="1" applyFill="1" applyBorder="1" applyAlignment="1" applyProtection="1">
      <alignment horizontal="left" wrapText="1"/>
      <protection locked="0"/>
    </xf>
    <xf numFmtId="0" fontId="5" fillId="12" borderId="45" xfId="0" applyFont="1" applyFill="1" applyBorder="1" applyAlignment="1" applyProtection="1">
      <alignment horizontal="left" wrapText="1"/>
      <protection locked="0"/>
    </xf>
    <xf numFmtId="0" fontId="5" fillId="12" borderId="51" xfId="0" applyFont="1" applyFill="1" applyBorder="1" applyAlignment="1" applyProtection="1">
      <alignment horizontal="left" wrapText="1"/>
      <protection locked="0"/>
    </xf>
    <xf numFmtId="3" fontId="35" fillId="12" borderId="49" xfId="9" applyNumberFormat="1" applyFont="1" applyFill="1" applyBorder="1" applyAlignment="1" applyProtection="1">
      <alignment vertical="center"/>
    </xf>
    <xf numFmtId="3" fontId="35" fillId="12" borderId="21" xfId="9" applyNumberFormat="1" applyFont="1" applyFill="1" applyBorder="1" applyAlignment="1" applyProtection="1">
      <alignment vertical="center"/>
    </xf>
    <xf numFmtId="3" fontId="35" fillId="12" borderId="80" xfId="9" applyNumberFormat="1" applyFont="1" applyFill="1" applyBorder="1" applyAlignment="1" applyProtection="1">
      <alignment vertical="center"/>
    </xf>
    <xf numFmtId="3" fontId="35" fillId="12" borderId="89" xfId="9" applyNumberFormat="1" applyFont="1" applyFill="1" applyBorder="1" applyAlignment="1" applyProtection="1">
      <alignment vertical="center"/>
    </xf>
    <xf numFmtId="3" fontId="35" fillId="12" borderId="49" xfId="9" applyNumberFormat="1" applyFont="1" applyFill="1" applyBorder="1" applyAlignment="1" applyProtection="1">
      <alignment horizontal="right" vertical="center"/>
    </xf>
    <xf numFmtId="3" fontId="35" fillId="12" borderId="79" xfId="9" applyNumberFormat="1" applyFont="1" applyFill="1" applyBorder="1" applyAlignment="1" applyProtection="1">
      <alignment horizontal="right" vertical="center" wrapText="1"/>
    </xf>
    <xf numFmtId="3" fontId="35" fillId="12" borderId="76" xfId="9" applyNumberFormat="1" applyFont="1" applyFill="1" applyBorder="1" applyAlignment="1" applyProtection="1">
      <alignment vertical="center"/>
    </xf>
    <xf numFmtId="3" fontId="35" fillId="12" borderId="15" xfId="9" applyNumberFormat="1" applyFont="1" applyFill="1" applyBorder="1" applyAlignment="1" applyProtection="1">
      <alignment vertical="center"/>
    </xf>
    <xf numFmtId="0" fontId="35" fillId="20" borderId="33" xfId="9" applyFont="1" applyFill="1" applyBorder="1" applyAlignment="1" applyProtection="1">
      <alignment horizontal="left" vertical="center" wrapText="1"/>
    </xf>
    <xf numFmtId="172" fontId="5" fillId="12" borderId="0" xfId="1" quotePrefix="1" applyNumberFormat="1" applyFont="1" applyFill="1" applyBorder="1" applyAlignment="1" applyProtection="1">
      <alignment horizontal="right" wrapText="1"/>
    </xf>
    <xf numFmtId="172" fontId="5" fillId="12" borderId="0" xfId="1" applyNumberFormat="1" applyFont="1" applyFill="1" applyBorder="1" applyAlignment="1" applyProtection="1">
      <alignment horizontal="right" wrapText="1"/>
    </xf>
    <xf numFmtId="0" fontId="35" fillId="20" borderId="85" xfId="9" applyFont="1" applyFill="1" applyBorder="1" applyAlignment="1" applyProtection="1">
      <alignment horizontal="right" vertical="center" wrapText="1"/>
    </xf>
    <xf numFmtId="0" fontId="6" fillId="0" borderId="0" xfId="12" applyNumberFormat="1" applyFont="1" applyFill="1" applyBorder="1" applyAlignment="1" applyProtection="1">
      <alignment horizontal="left" vertical="center"/>
    </xf>
    <xf numFmtId="165" fontId="5" fillId="12" borderId="44" xfId="1" applyNumberFormat="1" applyFont="1" applyFill="1" applyBorder="1" applyAlignment="1" applyProtection="1">
      <alignment horizontal="left" wrapText="1"/>
      <protection locked="0"/>
    </xf>
    <xf numFmtId="165" fontId="5" fillId="12" borderId="29" xfId="1" applyNumberFormat="1" applyFont="1" applyFill="1" applyBorder="1" applyAlignment="1" applyProtection="1">
      <alignment horizontal="left" wrapText="1"/>
      <protection locked="0"/>
    </xf>
    <xf numFmtId="9" fontId="5" fillId="12" borderId="44" xfId="7" applyFont="1" applyFill="1" applyBorder="1" applyAlignment="1" applyProtection="1">
      <alignment horizontal="left" wrapText="1"/>
      <protection locked="0"/>
    </xf>
    <xf numFmtId="9" fontId="5" fillId="12" borderId="29" xfId="7" applyFont="1" applyFill="1" applyBorder="1" applyAlignment="1" applyProtection="1">
      <alignment horizontal="left" wrapText="1"/>
      <protection locked="0"/>
    </xf>
    <xf numFmtId="164" fontId="5" fillId="12" borderId="44" xfId="3" applyNumberFormat="1" applyFont="1" applyFill="1" applyBorder="1" applyAlignment="1" applyProtection="1">
      <alignment horizontal="left" wrapText="1"/>
      <protection locked="0"/>
    </xf>
    <xf numFmtId="164" fontId="5" fillId="12" borderId="29" xfId="3" applyNumberFormat="1" applyFont="1" applyFill="1" applyBorder="1" applyAlignment="1" applyProtection="1">
      <alignment horizontal="left" wrapText="1"/>
      <protection locked="0"/>
    </xf>
    <xf numFmtId="165" fontId="5" fillId="0" borderId="29" xfId="1" applyNumberFormat="1" applyFont="1" applyFill="1" applyBorder="1" applyAlignment="1" applyProtection="1">
      <alignment horizontal="left" wrapText="1"/>
      <protection locked="0"/>
    </xf>
    <xf numFmtId="165" fontId="5" fillId="0" borderId="81" xfId="1" applyNumberFormat="1" applyFont="1" applyFill="1" applyBorder="1" applyAlignment="1" applyProtection="1">
      <alignment horizontal="left" wrapText="1"/>
      <protection locked="0"/>
    </xf>
    <xf numFmtId="165" fontId="5" fillId="0" borderId="90" xfId="1" applyNumberFormat="1" applyFont="1" applyFill="1" applyBorder="1" applyAlignment="1" applyProtection="1">
      <alignment horizontal="left" wrapText="1"/>
    </xf>
    <xf numFmtId="165" fontId="5" fillId="0" borderId="29" xfId="1" applyNumberFormat="1" applyFont="1" applyFill="1" applyBorder="1" applyAlignment="1" applyProtection="1">
      <alignment horizontal="left" wrapText="1"/>
    </xf>
    <xf numFmtId="165" fontId="5" fillId="0" borderId="52" xfId="1" applyNumberFormat="1" applyFont="1" applyFill="1" applyBorder="1" applyAlignment="1" applyProtection="1">
      <alignment horizontal="left" wrapText="1"/>
    </xf>
    <xf numFmtId="165" fontId="5" fillId="0" borderId="44" xfId="1" applyNumberFormat="1" applyFont="1" applyFill="1" applyBorder="1" applyAlignment="1" applyProtection="1">
      <alignment horizontal="left" wrapText="1"/>
      <protection locked="0"/>
    </xf>
    <xf numFmtId="0" fontId="20" fillId="14" borderId="0" xfId="0" applyFont="1" applyFill="1" applyBorder="1" applyAlignment="1" applyProtection="1">
      <alignment horizontal="left" vertical="center"/>
    </xf>
    <xf numFmtId="0" fontId="5" fillId="12" borderId="0" xfId="0" applyFont="1" applyFill="1" applyBorder="1" applyAlignment="1" applyProtection="1">
      <alignment horizontal="right" vertical="center"/>
    </xf>
    <xf numFmtId="0" fontId="5" fillId="14" borderId="0" xfId="9" applyFont="1" applyFill="1" applyBorder="1" applyAlignment="1" applyProtection="1">
      <alignment horizontal="right" vertical="center"/>
    </xf>
    <xf numFmtId="165" fontId="5" fillId="0" borderId="0" xfId="9" applyNumberFormat="1" applyFont="1" applyFill="1" applyBorder="1" applyAlignment="1" applyProtection="1">
      <alignment horizontal="center" vertical="center"/>
    </xf>
    <xf numFmtId="0" fontId="65" fillId="12" borderId="75" xfId="9" applyFont="1" applyFill="1" applyBorder="1" applyAlignment="1" applyProtection="1">
      <alignment horizontal="left"/>
    </xf>
    <xf numFmtId="0" fontId="36" fillId="12" borderId="76" xfId="9" applyFont="1" applyFill="1" applyBorder="1" applyAlignment="1" applyProtection="1">
      <alignment horizontal="left"/>
    </xf>
    <xf numFmtId="0" fontId="36" fillId="12" borderId="77" xfId="9" applyFont="1" applyFill="1" applyBorder="1" applyAlignment="1" applyProtection="1">
      <alignment horizontal="left"/>
    </xf>
    <xf numFmtId="0" fontId="65" fillId="12" borderId="76" xfId="9" applyFont="1" applyFill="1" applyBorder="1" applyAlignment="1" applyProtection="1">
      <alignment horizontal="left"/>
    </xf>
    <xf numFmtId="0" fontId="36" fillId="12" borderId="76" xfId="9" applyFont="1" applyFill="1" applyBorder="1" applyAlignment="1" applyProtection="1">
      <alignment horizontal="right"/>
    </xf>
    <xf numFmtId="0" fontId="36" fillId="12" borderId="77" xfId="9" applyFont="1" applyFill="1" applyBorder="1" applyAlignment="1" applyProtection="1">
      <alignment horizontal="right"/>
    </xf>
    <xf numFmtId="0" fontId="49" fillId="12" borderId="26" xfId="0" applyFont="1" applyFill="1" applyBorder="1"/>
    <xf numFmtId="165" fontId="5" fillId="12" borderId="29" xfId="1" applyNumberFormat="1" applyFont="1" applyFill="1" applyBorder="1" applyAlignment="1" applyProtection="1">
      <alignment horizontal="left" wrapText="1"/>
    </xf>
    <xf numFmtId="165" fontId="5" fillId="12" borderId="52" xfId="1" applyNumberFormat="1" applyFont="1" applyFill="1" applyBorder="1" applyAlignment="1" applyProtection="1">
      <alignment horizontal="left" wrapText="1"/>
    </xf>
    <xf numFmtId="0" fontId="5" fillId="12" borderId="29" xfId="7" applyNumberFormat="1" applyFont="1" applyFill="1" applyBorder="1" applyAlignment="1" applyProtection="1">
      <alignment wrapText="1"/>
    </xf>
    <xf numFmtId="167" fontId="5" fillId="12" borderId="29" xfId="7" applyNumberFormat="1" applyFont="1" applyFill="1" applyBorder="1" applyAlignment="1" applyProtection="1">
      <alignment wrapText="1"/>
    </xf>
    <xf numFmtId="0" fontId="5" fillId="12" borderId="28" xfId="7" applyNumberFormat="1" applyFont="1" applyFill="1" applyBorder="1" applyAlignment="1" applyProtection="1">
      <alignment horizontal="left" wrapText="1"/>
    </xf>
    <xf numFmtId="0" fontId="5" fillId="12" borderId="44" xfId="7" applyNumberFormat="1" applyFont="1" applyFill="1" applyBorder="1" applyAlignment="1" applyProtection="1">
      <alignment wrapText="1"/>
    </xf>
    <xf numFmtId="167" fontId="5" fillId="12" borderId="44" xfId="7" applyNumberFormat="1" applyFont="1" applyFill="1" applyBorder="1" applyAlignment="1" applyProtection="1">
      <alignment wrapText="1"/>
    </xf>
    <xf numFmtId="0" fontId="5" fillId="12" borderId="85" xfId="7" applyNumberFormat="1" applyFont="1" applyFill="1" applyBorder="1" applyAlignment="1" applyProtection="1">
      <alignment horizontal="left" wrapText="1"/>
    </xf>
    <xf numFmtId="0" fontId="5" fillId="12" borderId="52" xfId="7" applyNumberFormat="1" applyFont="1" applyFill="1" applyBorder="1" applyAlignment="1" applyProtection="1">
      <alignment wrapText="1"/>
    </xf>
    <xf numFmtId="167" fontId="5" fillId="12" borderId="52" xfId="7" applyNumberFormat="1" applyFont="1" applyFill="1" applyBorder="1" applyAlignment="1" applyProtection="1">
      <alignment wrapText="1"/>
    </xf>
    <xf numFmtId="0" fontId="5" fillId="12" borderId="38" xfId="7" applyNumberFormat="1" applyFont="1" applyFill="1" applyBorder="1" applyAlignment="1" applyProtection="1">
      <alignment horizontal="left" wrapText="1"/>
    </xf>
    <xf numFmtId="165" fontId="5" fillId="12" borderId="44" xfId="1" applyNumberFormat="1" applyFont="1" applyFill="1" applyBorder="1" applyAlignment="1" applyProtection="1">
      <alignment horizontal="left" wrapText="1"/>
    </xf>
    <xf numFmtId="165" fontId="5" fillId="12" borderId="33" xfId="1" applyNumberFormat="1" applyFont="1" applyFill="1" applyBorder="1" applyAlignment="1" applyProtection="1">
      <alignment horizontal="left" wrapText="1"/>
    </xf>
    <xf numFmtId="0" fontId="34" fillId="12" borderId="0" xfId="0" applyNumberFormat="1" applyFont="1" applyFill="1" applyBorder="1" applyAlignment="1" applyProtection="1">
      <alignment horizontal="left" vertical="center"/>
    </xf>
    <xf numFmtId="165" fontId="5" fillId="12" borderId="36" xfId="1" applyNumberFormat="1" applyFont="1" applyFill="1" applyBorder="1" applyAlignment="1" applyProtection="1">
      <alignment horizontal="left" wrapText="1"/>
    </xf>
    <xf numFmtId="165" fontId="5" fillId="12" borderId="84" xfId="1" applyNumberFormat="1" applyFont="1" applyFill="1" applyBorder="1" applyAlignment="1" applyProtection="1">
      <alignment horizontal="left" wrapText="1"/>
    </xf>
    <xf numFmtId="0" fontId="49" fillId="12" borderId="0" xfId="0" applyNumberFormat="1" applyFont="1" applyFill="1" applyBorder="1" applyAlignment="1">
      <alignment horizontal="right"/>
    </xf>
    <xf numFmtId="41" fontId="49" fillId="12" borderId="0" xfId="0" applyNumberFormat="1" applyFont="1" applyFill="1" applyBorder="1" applyAlignment="1">
      <alignment horizontal="right"/>
    </xf>
    <xf numFmtId="0" fontId="76" fillId="18" borderId="0" xfId="0" applyFont="1" applyFill="1" applyBorder="1"/>
    <xf numFmtId="0" fontId="49" fillId="18" borderId="0" xfId="0" applyFont="1" applyFill="1" applyBorder="1"/>
    <xf numFmtId="0" fontId="49" fillId="0" borderId="0" xfId="0" applyFont="1" applyFill="1" applyBorder="1"/>
    <xf numFmtId="0" fontId="37" fillId="12" borderId="75" xfId="9" applyFont="1" applyFill="1" applyBorder="1" applyAlignment="1" applyProtection="1">
      <alignment horizontal="left"/>
    </xf>
    <xf numFmtId="0" fontId="37" fillId="12" borderId="76" xfId="9" applyFont="1" applyFill="1" applyBorder="1" applyAlignment="1" applyProtection="1">
      <alignment horizontal="left"/>
    </xf>
    <xf numFmtId="0" fontId="5" fillId="0" borderId="84" xfId="0" quotePrefix="1" applyFont="1" applyFill="1" applyBorder="1" applyAlignment="1" applyProtection="1">
      <alignment wrapText="1"/>
    </xf>
    <xf numFmtId="0" fontId="5" fillId="0" borderId="52" xfId="0" quotePrefix="1" applyFont="1" applyFill="1" applyBorder="1" applyAlignment="1" applyProtection="1">
      <alignment horizontal="left" wrapText="1"/>
    </xf>
    <xf numFmtId="173" fontId="5" fillId="0" borderId="52" xfId="0" quotePrefix="1" applyNumberFormat="1" applyFont="1" applyFill="1" applyBorder="1" applyAlignment="1" applyProtection="1">
      <alignment horizontal="right" wrapText="1"/>
    </xf>
    <xf numFmtId="0" fontId="5" fillId="0" borderId="52" xfId="0" quotePrefix="1" applyFont="1" applyFill="1" applyBorder="1" applyAlignment="1" applyProtection="1">
      <alignment horizontal="right" wrapText="1"/>
    </xf>
    <xf numFmtId="3" fontId="5" fillId="0" borderId="52" xfId="0" quotePrefix="1" applyNumberFormat="1" applyFont="1" applyFill="1" applyBorder="1" applyAlignment="1" applyProtection="1">
      <alignment horizontal="right" wrapText="1"/>
    </xf>
    <xf numFmtId="9" fontId="5" fillId="0" borderId="52" xfId="0" quotePrefix="1" applyNumberFormat="1" applyFont="1" applyFill="1" applyBorder="1" applyAlignment="1" applyProtection="1">
      <alignment horizontal="right" wrapText="1"/>
    </xf>
    <xf numFmtId="167" fontId="5" fillId="0" borderId="52" xfId="0" quotePrefix="1" applyNumberFormat="1" applyFont="1" applyFill="1" applyBorder="1" applyAlignment="1" applyProtection="1">
      <alignment horizontal="right" wrapText="1"/>
    </xf>
    <xf numFmtId="0" fontId="5" fillId="12" borderId="33" xfId="0" applyFont="1" applyFill="1" applyBorder="1" applyAlignment="1" applyProtection="1">
      <alignment wrapText="1"/>
      <protection locked="0"/>
    </xf>
    <xf numFmtId="0" fontId="5" fillId="12" borderId="36" xfId="0" applyFont="1" applyFill="1" applyBorder="1" applyAlignment="1" applyProtection="1">
      <alignment wrapText="1"/>
      <protection locked="0"/>
    </xf>
    <xf numFmtId="0" fontId="5" fillId="12" borderId="84" xfId="0" applyFont="1" applyFill="1" applyBorder="1" applyAlignment="1" applyProtection="1">
      <alignment wrapText="1"/>
      <protection locked="0"/>
    </xf>
    <xf numFmtId="0" fontId="36" fillId="12" borderId="80" xfId="9" applyFont="1" applyFill="1" applyBorder="1" applyAlignment="1" applyProtection="1">
      <alignment horizontal="left"/>
    </xf>
    <xf numFmtId="0" fontId="36" fillId="12" borderId="89" xfId="9" applyFont="1" applyFill="1" applyBorder="1" applyAlignment="1" applyProtection="1">
      <alignment horizontal="left"/>
    </xf>
    <xf numFmtId="165" fontId="6" fillId="12" borderId="0" xfId="1" quotePrefix="1" applyNumberFormat="1" applyFont="1" applyFill="1" applyBorder="1" applyAlignment="1" applyProtection="1">
      <alignment horizontal="right" vertical="center"/>
    </xf>
    <xf numFmtId="49" fontId="5" fillId="12" borderId="0" xfId="0" applyNumberFormat="1" applyFont="1" applyFill="1" applyBorder="1" applyAlignment="1" applyProtection="1">
      <alignment horizontal="left" wrapText="1"/>
      <protection locked="0"/>
    </xf>
    <xf numFmtId="0" fontId="18" fillId="9" borderId="0" xfId="0" applyFont="1" applyFill="1" applyAlignment="1">
      <alignment horizontal="left" vertical="center"/>
    </xf>
    <xf numFmtId="0" fontId="28" fillId="12" borderId="0" xfId="0" applyFont="1" applyFill="1" applyAlignment="1">
      <alignment horizontal="center" vertical="center"/>
    </xf>
    <xf numFmtId="0" fontId="79" fillId="12" borderId="0" xfId="0" applyFont="1" applyFill="1"/>
    <xf numFmtId="0" fontId="28" fillId="12" borderId="0" xfId="0" applyFont="1" applyFill="1"/>
    <xf numFmtId="0" fontId="79" fillId="12" borderId="8" xfId="0" applyFont="1" applyFill="1" applyBorder="1"/>
    <xf numFmtId="0" fontId="80" fillId="12" borderId="8" xfId="0" applyFont="1" applyFill="1" applyBorder="1"/>
    <xf numFmtId="0" fontId="28" fillId="12" borderId="0" xfId="0" applyFont="1" applyFill="1" applyBorder="1"/>
    <xf numFmtId="0" fontId="28" fillId="12" borderId="0" xfId="0" applyFont="1" applyFill="1" applyBorder="1" applyAlignment="1">
      <alignment horizontal="left" wrapText="1"/>
    </xf>
    <xf numFmtId="0" fontId="58" fillId="12" borderId="0" xfId="9" applyNumberFormat="1" applyFont="1" applyFill="1" applyBorder="1" applyAlignment="1" applyProtection="1">
      <alignment vertical="center"/>
    </xf>
    <xf numFmtId="0" fontId="58" fillId="12" borderId="0" xfId="9" applyNumberFormat="1" applyFont="1" applyFill="1" applyBorder="1" applyAlignment="1" applyProtection="1">
      <alignment horizontal="left" vertical="center"/>
    </xf>
    <xf numFmtId="0" fontId="28" fillId="12" borderId="0" xfId="0" applyFont="1" applyFill="1" applyBorder="1" applyAlignment="1">
      <alignment horizontal="center" vertical="center"/>
    </xf>
    <xf numFmtId="0" fontId="28" fillId="12" borderId="0" xfId="0" applyFont="1" applyFill="1" applyAlignment="1">
      <alignment vertical="center"/>
    </xf>
    <xf numFmtId="0" fontId="28" fillId="12" borderId="0" xfId="0" applyFont="1" applyFill="1" applyAlignment="1">
      <alignment vertical="center" wrapText="1"/>
    </xf>
    <xf numFmtId="0" fontId="28" fillId="12" borderId="0" xfId="0" applyFont="1" applyFill="1" applyAlignment="1">
      <alignment wrapText="1"/>
    </xf>
    <xf numFmtId="0" fontId="35" fillId="12" borderId="8" xfId="9" applyFont="1" applyFill="1" applyBorder="1" applyAlignment="1" applyProtection="1">
      <alignment horizontal="left" vertical="center" wrapText="1"/>
    </xf>
    <xf numFmtId="0" fontId="26" fillId="11" borderId="0" xfId="6" applyFont="1" applyFill="1" applyBorder="1" applyAlignment="1" applyProtection="1">
      <alignment horizontal="center" vertical="center"/>
    </xf>
    <xf numFmtId="0" fontId="80" fillId="12" borderId="0" xfId="0" applyFont="1" applyFill="1" applyAlignment="1">
      <alignment horizontal="right"/>
    </xf>
    <xf numFmtId="0" fontId="28" fillId="12" borderId="0" xfId="0" applyFont="1" applyFill="1" applyAlignment="1">
      <alignment horizontal="right"/>
    </xf>
    <xf numFmtId="0" fontId="79" fillId="12" borderId="0" xfId="0" applyFont="1" applyFill="1" applyAlignment="1">
      <alignment horizontal="right"/>
    </xf>
    <xf numFmtId="0" fontId="35" fillId="12" borderId="8" xfId="9" applyNumberFormat="1" applyFont="1" applyFill="1" applyBorder="1" applyAlignment="1" applyProtection="1">
      <alignment horizontal="right"/>
    </xf>
    <xf numFmtId="0" fontId="80" fillId="12" borderId="8" xfId="0" applyFont="1" applyFill="1" applyBorder="1" applyAlignment="1">
      <alignment horizontal="right" wrapText="1"/>
    </xf>
    <xf numFmtId="0" fontId="30" fillId="12" borderId="0" xfId="0" applyFont="1" applyFill="1" applyBorder="1" applyAlignment="1" applyProtection="1">
      <alignment horizontal="left" vertical="center"/>
    </xf>
    <xf numFmtId="0" fontId="30" fillId="12" borderId="0" xfId="0" applyFont="1" applyFill="1" applyBorder="1" applyAlignment="1" applyProtection="1">
      <alignment vertical="center"/>
    </xf>
    <xf numFmtId="0" fontId="30" fillId="0" borderId="0" xfId="0" applyFont="1" applyFill="1" applyProtection="1"/>
    <xf numFmtId="0" fontId="81" fillId="8" borderId="0" xfId="6" applyFont="1" applyFill="1" applyAlignment="1" applyProtection="1">
      <alignment horizontal="left"/>
    </xf>
    <xf numFmtId="0" fontId="82" fillId="12" borderId="0" xfId="0" applyFont="1" applyFill="1" applyAlignment="1" applyProtection="1">
      <alignment horizontal="center"/>
    </xf>
    <xf numFmtId="0" fontId="30" fillId="14" borderId="0" xfId="0" applyFont="1" applyFill="1" applyBorder="1" applyProtection="1"/>
    <xf numFmtId="165" fontId="5" fillId="0" borderId="15" xfId="9" applyNumberFormat="1" applyFont="1" applyFill="1" applyBorder="1" applyAlignment="1" applyProtection="1">
      <alignment horizontal="right" vertical="center"/>
    </xf>
    <xf numFmtId="165" fontId="5" fillId="0" borderId="21" xfId="9" applyNumberFormat="1" applyFont="1" applyFill="1" applyBorder="1" applyAlignment="1" applyProtection="1">
      <alignment horizontal="right" vertical="center"/>
    </xf>
    <xf numFmtId="0" fontId="30" fillId="12" borderId="0" xfId="0" applyFont="1" applyFill="1" applyProtection="1"/>
    <xf numFmtId="0" fontId="34" fillId="12" borderId="0" xfId="9" applyFont="1" applyFill="1" applyBorder="1" applyAlignment="1" applyProtection="1">
      <alignment horizontal="center" vertical="center"/>
    </xf>
    <xf numFmtId="165" fontId="5" fillId="0" borderId="29" xfId="9" applyNumberFormat="1" applyFont="1" applyFill="1" applyBorder="1" applyAlignment="1" applyProtection="1">
      <alignment horizontal="center" vertical="center"/>
    </xf>
    <xf numFmtId="165" fontId="5" fillId="0" borderId="32" xfId="9" applyNumberFormat="1" applyFont="1" applyFill="1" applyBorder="1" applyAlignment="1" applyProtection="1">
      <alignment horizontal="center" vertical="center"/>
    </xf>
    <xf numFmtId="165" fontId="5" fillId="0" borderId="45" xfId="9" applyNumberFormat="1" applyFont="1" applyFill="1" applyBorder="1" applyAlignment="1" applyProtection="1">
      <alignment horizontal="center" vertical="center"/>
    </xf>
    <xf numFmtId="0" fontId="0" fillId="12" borderId="26" xfId="0" applyFill="1" applyBorder="1" applyAlignment="1" applyProtection="1">
      <alignment horizontal="center"/>
    </xf>
    <xf numFmtId="0" fontId="30" fillId="12" borderId="0" xfId="0" applyFont="1" applyFill="1" applyAlignment="1" applyProtection="1">
      <alignment vertical="center"/>
    </xf>
    <xf numFmtId="0" fontId="0" fillId="12" borderId="0" xfId="0" applyFill="1" applyAlignment="1" applyProtection="1">
      <alignment vertical="center"/>
    </xf>
    <xf numFmtId="0" fontId="0" fillId="12" borderId="0" xfId="0" applyFill="1" applyAlignment="1" applyProtection="1">
      <alignment horizontal="right" vertical="center" wrapText="1"/>
    </xf>
    <xf numFmtId="0" fontId="0" fillId="12" borderId="0" xfId="0" applyFill="1" applyAlignment="1" applyProtection="1">
      <alignment vertical="center" wrapText="1"/>
    </xf>
    <xf numFmtId="0" fontId="0" fillId="12" borderId="0" xfId="0" applyFill="1" applyBorder="1" applyAlignment="1" applyProtection="1">
      <alignment vertical="center"/>
    </xf>
    <xf numFmtId="0" fontId="0" fillId="12" borderId="15" xfId="0" applyFill="1" applyBorder="1" applyAlignment="1" applyProtection="1">
      <alignment vertical="center"/>
    </xf>
    <xf numFmtId="0" fontId="41" fillId="12" borderId="0" xfId="0" applyFont="1" applyFill="1" applyAlignment="1" applyProtection="1">
      <alignment horizontal="right" vertical="center"/>
    </xf>
    <xf numFmtId="0" fontId="5" fillId="12" borderId="15" xfId="0" quotePrefix="1" applyFont="1" applyFill="1" applyBorder="1" applyAlignment="1" applyProtection="1">
      <alignment vertical="center"/>
    </xf>
    <xf numFmtId="0" fontId="5" fillId="12" borderId="0" xfId="0" quotePrefix="1" applyFont="1" applyFill="1" applyBorder="1" applyAlignment="1" applyProtection="1">
      <alignment vertical="center"/>
    </xf>
    <xf numFmtId="167" fontId="5" fillId="12" borderId="15" xfId="0" applyNumberFormat="1" applyFont="1" applyFill="1" applyBorder="1" applyAlignment="1" applyProtection="1">
      <alignment vertical="center"/>
    </xf>
    <xf numFmtId="0" fontId="0" fillId="12" borderId="0" xfId="0" applyFill="1" applyBorder="1" applyAlignment="1" applyProtection="1">
      <alignment horizontal="left" vertical="center"/>
    </xf>
    <xf numFmtId="0" fontId="41" fillId="12" borderId="0" xfId="0" applyFont="1" applyFill="1" applyBorder="1" applyAlignment="1" applyProtection="1">
      <alignment horizontal="left" vertical="center"/>
    </xf>
    <xf numFmtId="0" fontId="0" fillId="12" borderId="0" xfId="0" applyFill="1" applyBorder="1" applyAlignment="1" applyProtection="1">
      <alignment vertical="center" wrapText="1"/>
    </xf>
    <xf numFmtId="0" fontId="0" fillId="12" borderId="0" xfId="0" applyFill="1" applyBorder="1" applyAlignment="1" applyProtection="1">
      <alignment horizontal="left" vertical="center" wrapText="1"/>
    </xf>
    <xf numFmtId="0" fontId="0" fillId="12" borderId="0" xfId="0" applyFill="1" applyAlignment="1" applyProtection="1">
      <alignment horizontal="left" vertical="center"/>
    </xf>
    <xf numFmtId="0" fontId="41" fillId="12" borderId="0" xfId="0" applyFont="1" applyFill="1" applyAlignment="1" applyProtection="1">
      <alignment horizontal="left" vertical="center"/>
    </xf>
    <xf numFmtId="0" fontId="0" fillId="12" borderId="0" xfId="0" applyFill="1" applyAlignment="1" applyProtection="1">
      <alignment horizontal="left" vertical="center" wrapText="1"/>
    </xf>
    <xf numFmtId="9" fontId="5" fillId="12" borderId="15" xfId="7" applyFont="1" applyFill="1" applyBorder="1" applyAlignment="1" applyProtection="1">
      <alignment vertical="center"/>
    </xf>
    <xf numFmtId="0" fontId="58" fillId="12" borderId="0" xfId="6" applyNumberFormat="1" applyFont="1" applyFill="1" applyBorder="1" applyAlignment="1" applyProtection="1">
      <alignment horizontal="right" vertical="center"/>
    </xf>
    <xf numFmtId="0" fontId="58" fillId="12" borderId="0" xfId="6" applyNumberFormat="1" applyFont="1" applyFill="1" applyBorder="1" applyAlignment="1" applyProtection="1">
      <alignment horizontal="left" vertical="center"/>
    </xf>
    <xf numFmtId="0" fontId="5" fillId="12" borderId="0" xfId="0" applyFont="1" applyFill="1" applyAlignment="1" applyProtection="1">
      <alignment horizontal="left"/>
    </xf>
    <xf numFmtId="0" fontId="29" fillId="12" borderId="0" xfId="6" applyNumberFormat="1" applyFont="1" applyFill="1" applyBorder="1" applyAlignment="1" applyProtection="1">
      <alignment horizontal="left" vertical="center"/>
    </xf>
    <xf numFmtId="49" fontId="5" fillId="12" borderId="0" xfId="6" applyNumberFormat="1" applyFont="1" applyFill="1" applyBorder="1" applyAlignment="1" applyProtection="1">
      <alignment vertical="center" wrapText="1"/>
    </xf>
    <xf numFmtId="0" fontId="22" fillId="12" borderId="0" xfId="6" applyFont="1" applyFill="1" applyBorder="1" applyAlignment="1" applyProtection="1">
      <alignment vertical="center"/>
    </xf>
    <xf numFmtId="0" fontId="58" fillId="12" borderId="0" xfId="0" applyFont="1" applyFill="1" applyAlignment="1" applyProtection="1">
      <alignment horizontal="right"/>
    </xf>
    <xf numFmtId="0" fontId="21" fillId="12" borderId="0" xfId="9" applyFont="1" applyFill="1" applyBorder="1" applyProtection="1"/>
    <xf numFmtId="165" fontId="21" fillId="12" borderId="0" xfId="1" applyNumberFormat="1" applyFont="1" applyFill="1" applyBorder="1" applyAlignment="1" applyProtection="1">
      <alignment horizontal="left" vertical="top"/>
    </xf>
    <xf numFmtId="0" fontId="21" fillId="12" borderId="0" xfId="1" applyNumberFormat="1" applyFont="1" applyFill="1" applyBorder="1" applyAlignment="1" applyProtection="1">
      <alignment horizontal="left" vertical="top"/>
    </xf>
    <xf numFmtId="0" fontId="21" fillId="12" borderId="0" xfId="9" applyFont="1" applyFill="1" applyBorder="1" applyAlignment="1" applyProtection="1">
      <alignment horizontal="right" vertical="center"/>
    </xf>
    <xf numFmtId="0" fontId="35" fillId="12" borderId="0" xfId="9" applyFont="1" applyFill="1" applyBorder="1" applyAlignment="1" applyProtection="1">
      <alignment wrapText="1"/>
    </xf>
    <xf numFmtId="49" fontId="35" fillId="12" borderId="26" xfId="9" applyNumberFormat="1" applyFont="1" applyFill="1" applyBorder="1" applyAlignment="1" applyProtection="1">
      <alignment vertical="center"/>
    </xf>
    <xf numFmtId="49" fontId="35" fillId="12" borderId="25" xfId="9" applyNumberFormat="1" applyFont="1" applyFill="1" applyBorder="1" applyAlignment="1" applyProtection="1">
      <alignment vertical="center"/>
    </xf>
    <xf numFmtId="49" fontId="35" fillId="12" borderId="32" xfId="9" applyNumberFormat="1" applyFont="1" applyFill="1" applyBorder="1" applyAlignment="1" applyProtection="1">
      <alignment horizontal="left" vertical="center"/>
    </xf>
    <xf numFmtId="49" fontId="35" fillId="12" borderId="45" xfId="9" applyNumberFormat="1" applyFont="1" applyFill="1" applyBorder="1" applyAlignment="1" applyProtection="1">
      <alignment horizontal="left" vertical="center"/>
    </xf>
    <xf numFmtId="49" fontId="35" fillId="12" borderId="45" xfId="9" applyNumberFormat="1" applyFont="1" applyFill="1" applyBorder="1" applyAlignment="1" applyProtection="1">
      <alignment horizontal="center" vertical="center"/>
    </xf>
    <xf numFmtId="0" fontId="35" fillId="12" borderId="60" xfId="9" applyFont="1" applyFill="1" applyBorder="1" applyAlignment="1" applyProtection="1">
      <alignment vertical="center"/>
    </xf>
    <xf numFmtId="0" fontId="35" fillId="12" borderId="32" xfId="9" applyFont="1" applyFill="1" applyBorder="1" applyAlignment="1" applyProtection="1">
      <alignment vertical="center"/>
    </xf>
    <xf numFmtId="0" fontId="21" fillId="12" borderId="0" xfId="9" applyFont="1" applyFill="1" applyBorder="1" applyAlignment="1" applyProtection="1">
      <alignment vertical="center"/>
    </xf>
    <xf numFmtId="0" fontId="35" fillId="12" borderId="0" xfId="9" applyNumberFormat="1" applyFont="1" applyFill="1" applyBorder="1" applyAlignment="1" applyProtection="1">
      <alignment horizontal="left"/>
    </xf>
    <xf numFmtId="0" fontId="21" fillId="12" borderId="0" xfId="9" applyNumberFormat="1" applyFont="1" applyFill="1" applyBorder="1" applyAlignment="1" applyProtection="1">
      <alignment horizontal="right" vertical="center"/>
    </xf>
    <xf numFmtId="164" fontId="21" fillId="12" borderId="0" xfId="3" applyNumberFormat="1" applyFont="1" applyFill="1" applyBorder="1" applyAlignment="1" applyProtection="1">
      <alignment horizontal="center" vertical="center"/>
    </xf>
    <xf numFmtId="164" fontId="21" fillId="12" borderId="0" xfId="3" applyNumberFormat="1" applyFont="1" applyFill="1" applyBorder="1" applyAlignment="1" applyProtection="1">
      <alignment horizontal="right" vertical="center"/>
    </xf>
    <xf numFmtId="0" fontId="34" fillId="12" borderId="0" xfId="9" applyFont="1" applyFill="1" applyAlignment="1" applyProtection="1">
      <alignment vertical="center"/>
    </xf>
    <xf numFmtId="49" fontId="25" fillId="12" borderId="16" xfId="9" applyNumberFormat="1" applyFont="1" applyFill="1" applyBorder="1" applyAlignment="1" applyProtection="1">
      <alignment horizontal="right" vertical="center"/>
    </xf>
    <xf numFmtId="49" fontId="25" fillId="12" borderId="22" xfId="9" applyNumberFormat="1" applyFont="1" applyFill="1" applyBorder="1" applyAlignment="1" applyProtection="1">
      <alignment horizontal="right" vertical="center"/>
    </xf>
    <xf numFmtId="49" fontId="25" fillId="12" borderId="15" xfId="9" applyNumberFormat="1" applyFont="1" applyFill="1" applyBorder="1" applyAlignment="1" applyProtection="1">
      <alignment horizontal="right" vertical="center"/>
    </xf>
    <xf numFmtId="49" fontId="25" fillId="12" borderId="21" xfId="9" applyNumberFormat="1" applyFont="1" applyFill="1" applyBorder="1" applyAlignment="1" applyProtection="1">
      <alignment horizontal="right" vertical="center"/>
    </xf>
    <xf numFmtId="0" fontId="6" fillId="12" borderId="0" xfId="9" applyFont="1" applyFill="1" applyAlignment="1" applyProtection="1">
      <alignment vertical="center"/>
    </xf>
    <xf numFmtId="0" fontId="22" fillId="12" borderId="0" xfId="9" applyFont="1" applyFill="1" applyBorder="1" applyAlignment="1" applyProtection="1">
      <alignment vertical="center"/>
    </xf>
    <xf numFmtId="0" fontId="22" fillId="12" borderId="0" xfId="9" applyNumberFormat="1" applyFont="1" applyFill="1" applyBorder="1" applyAlignment="1" applyProtection="1">
      <alignment horizontal="right" vertical="center"/>
    </xf>
    <xf numFmtId="165" fontId="22" fillId="12" borderId="0" xfId="1" applyNumberFormat="1" applyFont="1" applyFill="1" applyBorder="1" applyAlignment="1" applyProtection="1">
      <alignment horizontal="left" vertical="top"/>
    </xf>
    <xf numFmtId="0" fontId="22" fillId="12" borderId="0" xfId="1" applyNumberFormat="1" applyFont="1" applyFill="1" applyBorder="1" applyAlignment="1" applyProtection="1">
      <alignment horizontal="left" vertical="top"/>
    </xf>
    <xf numFmtId="164" fontId="22" fillId="12" borderId="0" xfId="3" applyNumberFormat="1" applyFont="1" applyFill="1" applyBorder="1" applyAlignment="1" applyProtection="1">
      <alignment horizontal="center" vertical="center"/>
    </xf>
    <xf numFmtId="164" fontId="22" fillId="12" borderId="0" xfId="3" applyNumberFormat="1" applyFont="1" applyFill="1" applyBorder="1" applyAlignment="1" applyProtection="1">
      <alignment horizontal="right" vertical="center"/>
    </xf>
    <xf numFmtId="0" fontId="35" fillId="12" borderId="0" xfId="9" applyFont="1" applyFill="1" applyAlignment="1" applyProtection="1">
      <alignment vertical="center"/>
    </xf>
    <xf numFmtId="0" fontId="25" fillId="12" borderId="0" xfId="9" applyFont="1" applyFill="1" applyBorder="1" applyAlignment="1" applyProtection="1">
      <alignment horizontal="right"/>
    </xf>
    <xf numFmtId="0" fontId="6" fillId="12" borderId="0" xfId="9" applyFont="1" applyFill="1" applyBorder="1" applyAlignment="1" applyProtection="1">
      <alignment vertical="center"/>
    </xf>
    <xf numFmtId="0" fontId="21" fillId="12" borderId="0" xfId="9" applyFont="1" applyFill="1" applyBorder="1" applyAlignment="1" applyProtection="1">
      <alignment horizontal="left" vertical="center"/>
    </xf>
    <xf numFmtId="0" fontId="35" fillId="12" borderId="0" xfId="9" applyNumberFormat="1" applyFont="1" applyFill="1" applyBorder="1" applyAlignment="1" applyProtection="1">
      <alignment horizontal="left" vertical="center"/>
    </xf>
    <xf numFmtId="0" fontId="6" fillId="12" borderId="0" xfId="9" applyFont="1" applyFill="1" applyAlignment="1" applyProtection="1">
      <alignment horizontal="left" vertical="top"/>
    </xf>
    <xf numFmtId="0" fontId="6" fillId="12" borderId="0" xfId="9" applyNumberFormat="1" applyFont="1" applyFill="1" applyAlignment="1" applyProtection="1">
      <alignment horizontal="left" vertical="top"/>
    </xf>
    <xf numFmtId="0" fontId="35" fillId="12" borderId="0" xfId="9" applyFont="1" applyFill="1" applyBorder="1" applyAlignment="1" applyProtection="1">
      <alignment horizontal="center" vertical="center"/>
    </xf>
    <xf numFmtId="0" fontId="6" fillId="12" borderId="15" xfId="9" applyFont="1" applyFill="1" applyBorder="1" applyAlignment="1" applyProtection="1">
      <alignment vertical="center"/>
    </xf>
    <xf numFmtId="0" fontId="6" fillId="12" borderId="21" xfId="9" applyFont="1" applyFill="1" applyBorder="1" applyAlignment="1" applyProtection="1">
      <alignment vertical="center"/>
    </xf>
    <xf numFmtId="0" fontId="35" fillId="12" borderId="0" xfId="9" applyNumberFormat="1" applyFont="1" applyFill="1" applyBorder="1" applyAlignment="1" applyProtection="1">
      <alignment horizontal="right" vertical="center"/>
    </xf>
    <xf numFmtId="0" fontId="35" fillId="12" borderId="0" xfId="9" applyFont="1" applyFill="1" applyBorder="1" applyAlignment="1" applyProtection="1">
      <alignment horizontal="left" vertical="top"/>
    </xf>
    <xf numFmtId="0" fontId="35" fillId="12" borderId="0" xfId="9" applyNumberFormat="1" applyFont="1" applyFill="1" applyBorder="1" applyAlignment="1" applyProtection="1">
      <alignment horizontal="left" vertical="top"/>
    </xf>
    <xf numFmtId="164" fontId="35" fillId="12" borderId="0" xfId="3" applyNumberFormat="1" applyFont="1" applyFill="1" applyBorder="1" applyAlignment="1" applyProtection="1">
      <alignment horizontal="left" vertical="center"/>
    </xf>
    <xf numFmtId="164" fontId="35" fillId="12" borderId="0" xfId="3" applyNumberFormat="1" applyFont="1" applyFill="1" applyBorder="1" applyAlignment="1" applyProtection="1">
      <alignment horizontal="right" vertical="center"/>
    </xf>
    <xf numFmtId="0" fontId="27" fillId="12" borderId="0" xfId="9" applyFont="1" applyFill="1" applyBorder="1" applyAlignment="1" applyProtection="1">
      <alignment horizontal="right"/>
    </xf>
    <xf numFmtId="0" fontId="25" fillId="12" borderId="29" xfId="9" applyFont="1" applyFill="1" applyBorder="1" applyAlignment="1" applyProtection="1">
      <alignment horizontal="right" vertical="center"/>
    </xf>
    <xf numFmtId="0" fontId="35" fillId="12" borderId="0" xfId="9" applyFont="1" applyFill="1" applyBorder="1" applyAlignment="1" applyProtection="1">
      <alignment horizontal="left"/>
    </xf>
    <xf numFmtId="0" fontId="34" fillId="12" borderId="26" xfId="9" applyFont="1" applyFill="1" applyBorder="1" applyAlignment="1" applyProtection="1">
      <alignment horizontal="right" vertical="center"/>
    </xf>
    <xf numFmtId="0" fontId="34" fillId="12" borderId="25" xfId="9" applyFont="1" applyFill="1" applyBorder="1" applyAlignment="1" applyProtection="1">
      <alignment horizontal="right" vertical="center"/>
    </xf>
    <xf numFmtId="0" fontId="5" fillId="12" borderId="0" xfId="9" applyNumberFormat="1" applyFont="1" applyFill="1" applyBorder="1" applyAlignment="1" applyProtection="1">
      <alignment horizontal="right"/>
    </xf>
    <xf numFmtId="165" fontId="5" fillId="12" borderId="0" xfId="1" applyNumberFormat="1" applyFont="1" applyFill="1" applyBorder="1" applyAlignment="1" applyProtection="1">
      <alignment horizontal="left" vertical="top"/>
    </xf>
    <xf numFmtId="0" fontId="5" fillId="12" borderId="0" xfId="1" applyNumberFormat="1" applyFont="1" applyFill="1" applyBorder="1" applyAlignment="1" applyProtection="1">
      <alignment horizontal="left" vertical="top"/>
    </xf>
    <xf numFmtId="49" fontId="5" fillId="12" borderId="0" xfId="9" applyNumberFormat="1" applyFont="1" applyFill="1" applyBorder="1" applyAlignment="1" applyProtection="1">
      <alignment horizontal="left" vertical="center" wrapText="1"/>
    </xf>
    <xf numFmtId="49" fontId="5" fillId="12" borderId="0" xfId="9" applyNumberFormat="1" applyFont="1" applyFill="1" applyBorder="1" applyAlignment="1" applyProtection="1">
      <alignment vertical="center" wrapText="1"/>
    </xf>
    <xf numFmtId="0" fontId="5" fillId="12" borderId="26" xfId="9" applyFont="1" applyFill="1" applyBorder="1" applyAlignment="1" applyProtection="1">
      <alignment horizontal="right"/>
    </xf>
    <xf numFmtId="0" fontId="5" fillId="12" borderId="26" xfId="9" applyFont="1" applyFill="1" applyBorder="1" applyProtection="1"/>
    <xf numFmtId="0" fontId="5" fillId="12" borderId="21" xfId="9" applyFont="1" applyFill="1" applyBorder="1" applyProtection="1"/>
    <xf numFmtId="0" fontId="5" fillId="12" borderId="15" xfId="9" applyFont="1" applyFill="1" applyBorder="1" applyAlignment="1" applyProtection="1">
      <alignment horizontal="right"/>
    </xf>
    <xf numFmtId="49" fontId="5" fillId="12" borderId="65" xfId="9" applyNumberFormat="1" applyFont="1" applyFill="1" applyBorder="1" applyAlignment="1" applyProtection="1">
      <alignment horizontal="left" vertical="center" wrapText="1"/>
      <protection locked="0"/>
    </xf>
    <xf numFmtId="0" fontId="5" fillId="12" borderId="65" xfId="2" applyNumberFormat="1" applyFont="1" applyFill="1" applyBorder="1" applyAlignment="1" applyProtection="1">
      <alignment horizontal="right" vertical="center" wrapText="1"/>
      <protection locked="0"/>
    </xf>
    <xf numFmtId="0" fontId="5" fillId="12" borderId="65" xfId="9" applyNumberFormat="1" applyFont="1" applyFill="1" applyBorder="1" applyAlignment="1" applyProtection="1">
      <alignment horizontal="left" vertical="center" wrapText="1"/>
      <protection locked="0"/>
    </xf>
    <xf numFmtId="173" fontId="5" fillId="12" borderId="65" xfId="9" applyNumberFormat="1" applyFont="1" applyFill="1" applyBorder="1" applyAlignment="1" applyProtection="1">
      <alignment horizontal="left" vertical="center" wrapText="1"/>
      <protection locked="0"/>
    </xf>
    <xf numFmtId="0" fontId="5" fillId="12" borderId="65" xfId="9" applyNumberFormat="1" applyFont="1" applyFill="1" applyBorder="1" applyAlignment="1" applyProtection="1">
      <alignment horizontal="left" vertical="center" wrapText="1" shrinkToFit="1"/>
      <protection locked="0"/>
    </xf>
    <xf numFmtId="164" fontId="41" fillId="12" borderId="0" xfId="3" applyNumberFormat="1" applyFont="1" applyFill="1" applyBorder="1" applyAlignment="1" applyProtection="1">
      <alignment horizontal="right" vertical="center"/>
    </xf>
    <xf numFmtId="0" fontId="5" fillId="12" borderId="65" xfId="9" applyNumberFormat="1" applyFont="1" applyFill="1" applyBorder="1" applyAlignment="1" applyProtection="1">
      <alignment horizontal="right" vertical="center" wrapText="1"/>
      <protection locked="0"/>
    </xf>
    <xf numFmtId="3" fontId="41" fillId="12" borderId="0" xfId="9" applyNumberFormat="1" applyFont="1" applyFill="1" applyBorder="1" applyAlignment="1" applyProtection="1">
      <alignment horizontal="right" vertical="center"/>
    </xf>
    <xf numFmtId="9" fontId="5" fillId="12" borderId="65" xfId="12" applyFont="1" applyFill="1" applyBorder="1" applyAlignment="1" applyProtection="1">
      <alignment horizontal="right" vertical="center"/>
      <protection locked="0"/>
    </xf>
    <xf numFmtId="164" fontId="14" fillId="12" borderId="0" xfId="3" quotePrefix="1" applyNumberFormat="1" applyFont="1" applyFill="1" applyBorder="1" applyAlignment="1" applyProtection="1">
      <alignment horizontal="right" vertical="center"/>
    </xf>
    <xf numFmtId="164" fontId="11" fillId="12" borderId="0" xfId="3" applyNumberFormat="1" applyFont="1" applyFill="1" applyBorder="1" applyAlignment="1" applyProtection="1">
      <alignment horizontal="right" vertical="center"/>
    </xf>
    <xf numFmtId="0" fontId="5" fillId="12" borderId="0" xfId="9" applyFont="1" applyFill="1" applyAlignment="1" applyProtection="1">
      <alignment horizontal="right" vertical="center"/>
    </xf>
    <xf numFmtId="0" fontId="5" fillId="12" borderId="15" xfId="9" applyFont="1" applyFill="1" applyBorder="1" applyAlignment="1" applyProtection="1">
      <alignment horizontal="right" vertical="center"/>
    </xf>
    <xf numFmtId="0" fontId="5" fillId="12" borderId="15" xfId="9" applyFont="1" applyFill="1" applyBorder="1" applyAlignment="1" applyProtection="1">
      <alignment horizontal="left" vertical="center"/>
    </xf>
    <xf numFmtId="1" fontId="5" fillId="12" borderId="15" xfId="9" applyNumberFormat="1" applyFont="1" applyFill="1" applyBorder="1" applyAlignment="1" applyProtection="1">
      <alignment horizontal="right" vertical="center"/>
    </xf>
    <xf numFmtId="0" fontId="5" fillId="12" borderId="0" xfId="9" applyNumberFormat="1" applyFont="1" applyFill="1" applyBorder="1" applyAlignment="1" applyProtection="1">
      <alignment vertical="center" wrapText="1"/>
    </xf>
    <xf numFmtId="49" fontId="5" fillId="12" borderId="0" xfId="9" applyNumberFormat="1" applyFont="1" applyFill="1" applyBorder="1" applyAlignment="1" applyProtection="1">
      <alignment horizontal="left" vertical="top" wrapText="1"/>
    </xf>
    <xf numFmtId="0" fontId="5" fillId="12" borderId="0" xfId="9" applyNumberFormat="1" applyFont="1" applyFill="1" applyBorder="1" applyAlignment="1" applyProtection="1">
      <alignment horizontal="left" vertical="top" wrapText="1"/>
    </xf>
    <xf numFmtId="3" fontId="22" fillId="12" borderId="0" xfId="9" applyNumberFormat="1" applyFont="1" applyFill="1" applyBorder="1" applyAlignment="1" applyProtection="1">
      <alignment horizontal="right" vertical="center"/>
    </xf>
    <xf numFmtId="0" fontId="42" fillId="12" borderId="0" xfId="9" applyFont="1" applyFill="1" applyBorder="1" applyAlignment="1" applyProtection="1">
      <alignment horizontal="right" vertical="center"/>
    </xf>
    <xf numFmtId="0" fontId="11" fillId="12" borderId="0" xfId="9" applyNumberFormat="1" applyFont="1" applyFill="1" applyBorder="1" applyAlignment="1" applyProtection="1">
      <alignment horizontal="right" vertical="center"/>
    </xf>
    <xf numFmtId="0" fontId="11" fillId="12" borderId="0" xfId="9" applyFont="1" applyFill="1" applyBorder="1" applyAlignment="1" applyProtection="1">
      <alignment horizontal="left" vertical="top"/>
    </xf>
    <xf numFmtId="0" fontId="11" fillId="12" borderId="0" xfId="9" applyNumberFormat="1" applyFont="1" applyFill="1" applyBorder="1" applyAlignment="1" applyProtection="1">
      <alignment horizontal="left" vertical="top"/>
    </xf>
    <xf numFmtId="0" fontId="11" fillId="12" borderId="0" xfId="9" applyFont="1" applyFill="1" applyBorder="1" applyAlignment="1" applyProtection="1">
      <alignment horizontal="right" vertical="center" wrapText="1"/>
    </xf>
    <xf numFmtId="167" fontId="14" fillId="12" borderId="0" xfId="3" quotePrefix="1" applyNumberFormat="1" applyFont="1" applyFill="1" applyBorder="1" applyAlignment="1" applyProtection="1">
      <alignment horizontal="left" vertical="center"/>
    </xf>
    <xf numFmtId="0" fontId="34" fillId="12" borderId="0" xfId="9" applyFont="1" applyFill="1" applyBorder="1" applyAlignment="1" applyProtection="1">
      <alignment horizontal="left"/>
    </xf>
    <xf numFmtId="0" fontId="5" fillId="12" borderId="0" xfId="9" applyFont="1" applyFill="1" applyAlignment="1" applyProtection="1">
      <alignment horizontal="left"/>
    </xf>
    <xf numFmtId="0" fontId="41" fillId="12" borderId="0" xfId="9" applyFont="1" applyFill="1" applyBorder="1" applyAlignment="1" applyProtection="1">
      <alignment horizontal="right"/>
    </xf>
    <xf numFmtId="3" fontId="5" fillId="12" borderId="0" xfId="9" applyNumberFormat="1" applyFont="1" applyFill="1" applyBorder="1" applyAlignment="1" applyProtection="1">
      <alignment horizontal="left" vertical="top"/>
    </xf>
    <xf numFmtId="0" fontId="5" fillId="12" borderId="0" xfId="9" applyNumberFormat="1" applyFont="1" applyFill="1" applyBorder="1" applyAlignment="1" applyProtection="1">
      <alignment horizontal="left" vertical="top"/>
    </xf>
    <xf numFmtId="0" fontId="5" fillId="12" borderId="0" xfId="9" applyFont="1" applyFill="1" applyBorder="1" applyAlignment="1" applyProtection="1">
      <alignment horizontal="center" wrapText="1"/>
    </xf>
    <xf numFmtId="0" fontId="5" fillId="12" borderId="0" xfId="9" applyFont="1" applyFill="1" applyAlignment="1" applyProtection="1">
      <alignment horizontal="right"/>
    </xf>
    <xf numFmtId="165" fontId="5" fillId="12" borderId="0" xfId="1" applyNumberFormat="1" applyFont="1" applyFill="1" applyAlignment="1" applyProtection="1">
      <alignment horizontal="left" vertical="top"/>
    </xf>
    <xf numFmtId="0" fontId="41" fillId="12" borderId="0" xfId="9" applyFont="1" applyFill="1" applyAlignment="1" applyProtection="1">
      <alignment horizontal="right"/>
    </xf>
    <xf numFmtId="0" fontId="5" fillId="12" borderId="0" xfId="1" applyNumberFormat="1" applyFont="1" applyFill="1" applyAlignment="1" applyProtection="1">
      <alignment horizontal="left" vertical="top"/>
    </xf>
    <xf numFmtId="0" fontId="41" fillId="12" borderId="0" xfId="9" applyNumberFormat="1" applyFont="1" applyFill="1" applyBorder="1" applyAlignment="1" applyProtection="1">
      <alignment horizontal="right" vertical="center"/>
    </xf>
    <xf numFmtId="0" fontId="21" fillId="12" borderId="0" xfId="9" applyFont="1" applyFill="1" applyProtection="1"/>
    <xf numFmtId="0" fontId="5" fillId="12" borderId="0" xfId="9" applyNumberFormat="1" applyFont="1" applyFill="1" applyAlignment="1" applyProtection="1">
      <alignment horizontal="right"/>
    </xf>
    <xf numFmtId="3" fontId="5" fillId="12" borderId="0" xfId="9" applyNumberFormat="1" applyFont="1" applyFill="1" applyProtection="1"/>
    <xf numFmtId="0" fontId="38" fillId="12" borderId="0" xfId="9" applyFont="1" applyFill="1" applyBorder="1" applyAlignment="1" applyProtection="1">
      <alignment horizontal="right" vertical="center"/>
    </xf>
    <xf numFmtId="0" fontId="5" fillId="12" borderId="65" xfId="9" applyNumberFormat="1" applyFont="1" applyFill="1" applyBorder="1" applyAlignment="1" applyProtection="1">
      <alignment horizontal="left" vertical="center"/>
      <protection locked="0"/>
    </xf>
    <xf numFmtId="3" fontId="5" fillId="12" borderId="65" xfId="12" applyNumberFormat="1" applyFont="1" applyFill="1" applyBorder="1" applyAlignment="1" applyProtection="1">
      <alignment horizontal="right" vertical="center"/>
      <protection locked="0"/>
    </xf>
    <xf numFmtId="164" fontId="5" fillId="12" borderId="65" xfId="3" applyNumberFormat="1" applyFont="1" applyFill="1" applyBorder="1" applyAlignment="1" applyProtection="1">
      <alignment horizontal="right" vertical="center"/>
      <protection locked="0"/>
    </xf>
    <xf numFmtId="174" fontId="41" fillId="12" borderId="0" xfId="1" applyNumberFormat="1" applyFont="1" applyFill="1" applyBorder="1" applyAlignment="1" applyProtection="1">
      <alignment horizontal="right" vertical="center"/>
    </xf>
    <xf numFmtId="173" fontId="11" fillId="12" borderId="0" xfId="9" applyNumberFormat="1" applyFont="1" applyFill="1" applyBorder="1" applyAlignment="1" applyProtection="1">
      <alignment horizontal="left" vertical="top"/>
    </xf>
    <xf numFmtId="0" fontId="14" fillId="12" borderId="0" xfId="3" quotePrefix="1" applyNumberFormat="1" applyFont="1" applyFill="1" applyBorder="1" applyAlignment="1" applyProtection="1">
      <alignment horizontal="left" vertical="center"/>
    </xf>
    <xf numFmtId="173" fontId="5" fillId="12" borderId="0" xfId="9" applyNumberFormat="1" applyFont="1" applyFill="1" applyBorder="1" applyAlignment="1" applyProtection="1">
      <alignment horizontal="left" vertical="top"/>
    </xf>
    <xf numFmtId="174" fontId="41" fillId="12" borderId="0" xfId="1" applyNumberFormat="1" applyFont="1" applyFill="1" applyBorder="1" applyAlignment="1" applyProtection="1">
      <alignment horizontal="right"/>
    </xf>
    <xf numFmtId="0" fontId="5" fillId="12" borderId="0" xfId="9" applyNumberFormat="1" applyFont="1" applyFill="1" applyBorder="1" applyAlignment="1" applyProtection="1">
      <alignment horizontal="left"/>
    </xf>
    <xf numFmtId="173" fontId="5" fillId="12" borderId="0" xfId="1" applyNumberFormat="1" applyFont="1" applyFill="1" applyAlignment="1" applyProtection="1">
      <alignment horizontal="left" vertical="top"/>
    </xf>
    <xf numFmtId="174" fontId="5" fillId="12" borderId="0" xfId="1" applyNumberFormat="1" applyFont="1" applyFill="1" applyBorder="1" applyAlignment="1" applyProtection="1">
      <alignment horizontal="right"/>
    </xf>
    <xf numFmtId="0" fontId="26" fillId="12" borderId="0" xfId="9" applyFont="1" applyFill="1" applyBorder="1" applyAlignment="1" applyProtection="1">
      <alignment horizontal="center" vertical="center"/>
    </xf>
    <xf numFmtId="49" fontId="6" fillId="12" borderId="0" xfId="9" applyNumberFormat="1" applyFont="1" applyFill="1" applyBorder="1" applyAlignment="1" applyProtection="1">
      <alignment horizontal="center" vertical="center"/>
    </xf>
    <xf numFmtId="9" fontId="35" fillId="12" borderId="0" xfId="7" applyFont="1" applyFill="1" applyBorder="1" applyAlignment="1" applyProtection="1">
      <alignment horizontal="right" vertical="center"/>
    </xf>
    <xf numFmtId="49" fontId="35" fillId="12" borderId="0" xfId="9" applyNumberFormat="1" applyFont="1" applyFill="1" applyBorder="1" applyAlignment="1" applyProtection="1">
      <alignment horizontal="left" vertical="center"/>
    </xf>
    <xf numFmtId="0" fontId="35" fillId="12" borderId="0" xfId="9" applyFont="1" applyFill="1" applyAlignment="1" applyProtection="1">
      <alignment horizontal="left" vertical="center"/>
    </xf>
    <xf numFmtId="0" fontId="72" fillId="12" borderId="105" xfId="12" applyNumberFormat="1" applyFont="1" applyFill="1" applyBorder="1" applyAlignment="1" applyProtection="1">
      <alignment horizontal="left" vertical="center"/>
      <protection locked="0"/>
    </xf>
    <xf numFmtId="165" fontId="35" fillId="12" borderId="0" xfId="10" applyNumberFormat="1" applyFont="1" applyFill="1" applyBorder="1" applyAlignment="1" applyProtection="1">
      <alignment horizontal="center" vertical="center"/>
    </xf>
    <xf numFmtId="9" fontId="5" fillId="12" borderId="65" xfId="12" applyNumberFormat="1" applyFont="1" applyFill="1" applyBorder="1" applyAlignment="1" applyProtection="1">
      <alignment horizontal="right" vertical="center"/>
      <protection locked="0"/>
    </xf>
    <xf numFmtId="0" fontId="40" fillId="12" borderId="0" xfId="9" applyFont="1" applyFill="1" applyAlignment="1" applyProtection="1">
      <alignment vertical="center"/>
    </xf>
    <xf numFmtId="0" fontId="40" fillId="12" borderId="0" xfId="9" applyNumberFormat="1" applyFont="1" applyFill="1" applyAlignment="1" applyProtection="1">
      <alignment horizontal="left" vertical="center"/>
    </xf>
    <xf numFmtId="0" fontId="5" fillId="12" borderId="0" xfId="9" applyNumberFormat="1" applyFont="1" applyFill="1" applyAlignment="1" applyProtection="1"/>
    <xf numFmtId="9" fontId="5" fillId="12" borderId="65" xfId="7" applyFont="1" applyFill="1" applyBorder="1" applyAlignment="1" applyProtection="1">
      <alignment horizontal="right" vertical="center"/>
      <protection locked="0"/>
    </xf>
    <xf numFmtId="9" fontId="5" fillId="12" borderId="0" xfId="7" applyFont="1" applyFill="1" applyProtection="1"/>
    <xf numFmtId="0" fontId="5" fillId="12" borderId="0" xfId="9" applyNumberFormat="1" applyFont="1" applyFill="1" applyProtection="1"/>
    <xf numFmtId="0" fontId="5" fillId="18" borderId="15" xfId="9" applyNumberFormat="1" applyFont="1" applyFill="1" applyBorder="1" applyAlignment="1" applyProtection="1">
      <alignment horizontal="right" vertical="center"/>
    </xf>
    <xf numFmtId="3" fontId="5" fillId="18" borderId="15" xfId="9" applyNumberFormat="1" applyFont="1" applyFill="1" applyBorder="1" applyAlignment="1" applyProtection="1">
      <alignment horizontal="right" vertical="center"/>
    </xf>
    <xf numFmtId="0" fontId="5" fillId="18" borderId="15" xfId="9" applyFont="1" applyFill="1" applyBorder="1" applyProtection="1"/>
    <xf numFmtId="0" fontId="6" fillId="18" borderId="15" xfId="9" applyNumberFormat="1" applyFont="1" applyFill="1" applyBorder="1" applyAlignment="1" applyProtection="1">
      <alignment vertical="center"/>
    </xf>
    <xf numFmtId="49" fontId="35" fillId="12" borderId="50" xfId="9" applyNumberFormat="1" applyFont="1" applyFill="1" applyBorder="1" applyAlignment="1" applyProtection="1">
      <alignment vertical="center"/>
    </xf>
    <xf numFmtId="49" fontId="35" fillId="12" borderId="8" xfId="9" applyNumberFormat="1" applyFont="1" applyFill="1" applyBorder="1" applyAlignment="1" applyProtection="1">
      <alignment vertical="center"/>
    </xf>
    <xf numFmtId="49" fontId="35" fillId="12" borderId="8" xfId="9" applyNumberFormat="1" applyFont="1" applyFill="1" applyBorder="1" applyAlignment="1" applyProtection="1">
      <alignment horizontal="left" vertical="center"/>
    </xf>
    <xf numFmtId="0" fontId="21" fillId="12" borderId="0" xfId="0" applyFont="1" applyFill="1" applyAlignment="1" applyProtection="1">
      <alignment vertical="center"/>
    </xf>
    <xf numFmtId="0" fontId="5" fillId="12" borderId="29" xfId="9" applyFont="1" applyFill="1" applyBorder="1" applyAlignment="1" applyProtection="1">
      <alignment horizontal="right" vertical="center"/>
    </xf>
    <xf numFmtId="0" fontId="83" fillId="12" borderId="0" xfId="0" applyFont="1" applyFill="1" applyAlignment="1" applyProtection="1">
      <alignment vertical="center"/>
    </xf>
    <xf numFmtId="0" fontId="61" fillId="12" borderId="0" xfId="9" applyFont="1" applyFill="1" applyBorder="1" applyAlignment="1" applyProtection="1">
      <alignment horizontal="right" vertical="center"/>
    </xf>
    <xf numFmtId="0" fontId="5" fillId="12" borderId="47" xfId="0" applyFont="1" applyFill="1" applyBorder="1" applyProtection="1"/>
    <xf numFmtId="0" fontId="5" fillId="12" borderId="26" xfId="0" applyFont="1" applyFill="1" applyBorder="1" applyProtection="1"/>
    <xf numFmtId="0" fontId="42" fillId="12" borderId="0" xfId="0" applyFont="1" applyFill="1" applyBorder="1" applyAlignment="1" applyProtection="1">
      <alignment vertical="center"/>
    </xf>
    <xf numFmtId="0" fontId="42" fillId="12" borderId="0" xfId="0" applyFont="1" applyFill="1" applyBorder="1" applyAlignment="1" applyProtection="1">
      <alignment horizontal="right" vertical="center"/>
    </xf>
    <xf numFmtId="0" fontId="41" fillId="12" borderId="0" xfId="0" applyFont="1" applyFill="1" applyBorder="1" applyAlignment="1" applyProtection="1">
      <alignment vertical="center"/>
    </xf>
    <xf numFmtId="0" fontId="35" fillId="12" borderId="0" xfId="6" applyFont="1" applyFill="1" applyBorder="1" applyAlignment="1" applyProtection="1">
      <alignment horizontal="center" vertical="center"/>
    </xf>
    <xf numFmtId="0" fontId="21" fillId="12" borderId="0" xfId="0" applyFont="1" applyFill="1" applyBorder="1" applyAlignment="1" applyProtection="1">
      <alignment vertical="center"/>
    </xf>
    <xf numFmtId="0" fontId="35" fillId="12" borderId="0" xfId="0" applyFont="1" applyFill="1" applyAlignment="1" applyProtection="1">
      <alignment vertical="center"/>
    </xf>
    <xf numFmtId="0" fontId="42" fillId="12" borderId="0" xfId="0" applyFont="1" applyFill="1" applyBorder="1" applyAlignment="1" applyProtection="1">
      <alignment horizontal="left" vertical="center"/>
    </xf>
    <xf numFmtId="165" fontId="5" fillId="12" borderId="0" xfId="1" applyNumberFormat="1" applyFont="1" applyFill="1" applyBorder="1" applyAlignment="1" applyProtection="1">
      <alignment horizontal="left" vertical="center"/>
    </xf>
    <xf numFmtId="0" fontId="35" fillId="12" borderId="0" xfId="6" applyFont="1" applyFill="1" applyBorder="1" applyAlignment="1" applyProtection="1">
      <alignment horizontal="center"/>
    </xf>
    <xf numFmtId="165" fontId="42" fillId="12" borderId="0" xfId="1" applyNumberFormat="1" applyFont="1" applyFill="1" applyBorder="1" applyAlignment="1" applyProtection="1">
      <alignment horizontal="right"/>
    </xf>
    <xf numFmtId="164" fontId="5" fillId="12" borderId="0" xfId="3" applyNumberFormat="1" applyFont="1" applyFill="1" applyBorder="1" applyAlignment="1" applyProtection="1">
      <alignment horizontal="left" vertical="center"/>
    </xf>
    <xf numFmtId="167" fontId="14" fillId="12" borderId="0" xfId="3" quotePrefix="1" applyNumberFormat="1" applyFont="1" applyFill="1" applyBorder="1" applyAlignment="1" applyProtection="1">
      <alignment horizontal="right" vertical="center"/>
    </xf>
    <xf numFmtId="0" fontId="5" fillId="12" borderId="65" xfId="1" applyNumberFormat="1" applyFont="1" applyFill="1" applyBorder="1" applyAlignment="1" applyProtection="1">
      <alignment horizontal="left" vertical="center"/>
      <protection locked="0"/>
    </xf>
    <xf numFmtId="165" fontId="5" fillId="12" borderId="65" xfId="1" applyNumberFormat="1" applyFont="1" applyFill="1" applyBorder="1" applyAlignment="1" applyProtection="1">
      <alignment horizontal="left" vertical="center"/>
      <protection locked="0"/>
    </xf>
    <xf numFmtId="0" fontId="5" fillId="12" borderId="65" xfId="7" applyNumberFormat="1" applyFont="1" applyFill="1" applyBorder="1" applyAlignment="1" applyProtection="1">
      <alignment horizontal="right" vertical="center"/>
      <protection locked="0"/>
    </xf>
    <xf numFmtId="9" fontId="41" fillId="12" borderId="0" xfId="12" applyFont="1" applyFill="1" applyBorder="1" applyAlignment="1" applyProtection="1">
      <alignment horizontal="right" vertical="center"/>
    </xf>
    <xf numFmtId="0" fontId="5" fillId="12" borderId="65" xfId="2" applyNumberFormat="1" applyFont="1" applyFill="1" applyBorder="1" applyAlignment="1" applyProtection="1">
      <alignment horizontal="right" vertical="center"/>
      <protection locked="0"/>
    </xf>
    <xf numFmtId="0" fontId="5" fillId="12" borderId="65" xfId="0" applyFont="1" applyFill="1" applyBorder="1" applyAlignment="1" applyProtection="1">
      <alignment horizontal="left" vertical="center" wrapText="1"/>
      <protection locked="0"/>
    </xf>
    <xf numFmtId="0" fontId="41" fillId="12" borderId="0" xfId="9" applyFont="1" applyFill="1" applyProtection="1"/>
    <xf numFmtId="170" fontId="5" fillId="12" borderId="15" xfId="0" applyNumberFormat="1" applyFont="1" applyFill="1" applyBorder="1" applyAlignment="1" applyProtection="1">
      <alignment vertical="center"/>
    </xf>
    <xf numFmtId="0" fontId="35" fillId="12" borderId="0" xfId="0" applyFont="1" applyFill="1" applyAlignment="1" applyProtection="1">
      <alignment horizontal="right"/>
    </xf>
    <xf numFmtId="0" fontId="30" fillId="12" borderId="0" xfId="9" applyFont="1" applyFill="1" applyBorder="1" applyProtection="1"/>
    <xf numFmtId="14" fontId="36" fillId="8" borderId="0" xfId="9" applyNumberFormat="1" applyFont="1" applyFill="1" applyBorder="1" applyProtection="1"/>
    <xf numFmtId="14" fontId="35" fillId="12" borderId="0" xfId="9" applyNumberFormat="1" applyFont="1" applyFill="1" applyAlignment="1" applyProtection="1">
      <alignment horizontal="center"/>
    </xf>
    <xf numFmtId="14" fontId="12" fillId="14" borderId="0" xfId="9" applyNumberFormat="1" applyFont="1" applyFill="1" applyBorder="1" applyAlignment="1" applyProtection="1">
      <alignment horizontal="center" vertical="center"/>
    </xf>
    <xf numFmtId="14" fontId="12" fillId="14" borderId="0" xfId="9" applyNumberFormat="1" applyFont="1" applyFill="1" applyBorder="1" applyAlignment="1" applyProtection="1">
      <alignment horizontal="center"/>
    </xf>
    <xf numFmtId="14" fontId="5" fillId="12" borderId="0" xfId="9" applyNumberFormat="1" applyFont="1" applyFill="1" applyBorder="1" applyAlignment="1" applyProtection="1">
      <alignment horizontal="right" vertical="center"/>
    </xf>
    <xf numFmtId="14" fontId="35" fillId="12" borderId="0" xfId="9" applyNumberFormat="1" applyFont="1" applyFill="1" applyBorder="1" applyAlignment="1" applyProtection="1">
      <alignment horizontal="right" vertical="center"/>
    </xf>
    <xf numFmtId="14" fontId="22" fillId="12" borderId="0" xfId="9" applyNumberFormat="1" applyFont="1" applyFill="1" applyBorder="1" applyAlignment="1" applyProtection="1">
      <alignment horizontal="right" vertical="center"/>
    </xf>
    <xf numFmtId="14" fontId="5" fillId="12" borderId="65" xfId="1" applyNumberFormat="1" applyFont="1" applyFill="1" applyBorder="1" applyAlignment="1" applyProtection="1">
      <alignment horizontal="right" vertical="center"/>
      <protection locked="0"/>
    </xf>
    <xf numFmtId="14" fontId="19" fillId="12" borderId="0" xfId="9" applyNumberFormat="1" applyFont="1" applyFill="1" applyBorder="1" applyAlignment="1" applyProtection="1">
      <alignment horizontal="right" vertical="center"/>
    </xf>
    <xf numFmtId="14" fontId="5" fillId="12" borderId="0" xfId="9" applyNumberFormat="1" applyFont="1" applyFill="1" applyProtection="1"/>
    <xf numFmtId="14" fontId="5" fillId="0" borderId="0" xfId="9" applyNumberFormat="1" applyFont="1" applyProtection="1"/>
    <xf numFmtId="0" fontId="20" fillId="14" borderId="0" xfId="0" applyFont="1" applyFill="1" applyBorder="1" applyAlignment="1" applyProtection="1">
      <alignment horizontal="left" vertical="center"/>
    </xf>
    <xf numFmtId="14" fontId="36" fillId="12" borderId="0" xfId="9" applyNumberFormat="1" applyFont="1" applyFill="1" applyProtection="1"/>
    <xf numFmtId="0" fontId="84" fillId="12" borderId="0" xfId="9" applyFont="1" applyFill="1" applyProtection="1"/>
    <xf numFmtId="14" fontId="84" fillId="12" borderId="0" xfId="9" applyNumberFormat="1" applyFont="1" applyFill="1" applyBorder="1" applyProtection="1"/>
    <xf numFmtId="0" fontId="84" fillId="12" borderId="0" xfId="9" applyFont="1" applyFill="1" applyBorder="1" applyAlignment="1" applyProtection="1">
      <alignment horizontal="right"/>
    </xf>
    <xf numFmtId="14" fontId="21" fillId="7" borderId="0" xfId="9" applyNumberFormat="1" applyFont="1" applyFill="1" applyBorder="1" applyAlignment="1" applyProtection="1">
      <alignment horizontal="right" vertical="center"/>
    </xf>
    <xf numFmtId="14" fontId="5" fillId="12" borderId="65" xfId="12" applyNumberFormat="1" applyFont="1" applyFill="1" applyBorder="1" applyAlignment="1" applyProtection="1">
      <alignment horizontal="right" vertical="center"/>
      <protection locked="0"/>
    </xf>
    <xf numFmtId="0" fontId="30" fillId="12" borderId="0" xfId="9" applyFont="1" applyFill="1" applyAlignment="1" applyProtection="1">
      <alignment horizontal="left" vertical="center"/>
    </xf>
    <xf numFmtId="0" fontId="30" fillId="12" borderId="0" xfId="9" applyFont="1" applyFill="1" applyBorder="1" applyAlignment="1" applyProtection="1">
      <alignment horizontal="left" vertical="center"/>
    </xf>
    <xf numFmtId="173" fontId="5" fillId="12" borderId="0" xfId="1" applyNumberFormat="1" applyFont="1" applyFill="1" applyBorder="1" applyAlignment="1" applyProtection="1">
      <alignment horizontal="left" vertical="top"/>
    </xf>
    <xf numFmtId="0" fontId="0" fillId="12" borderId="0" xfId="0" applyFill="1"/>
    <xf numFmtId="0" fontId="30" fillId="12" borderId="0" xfId="9" applyFont="1" applyFill="1" applyBorder="1" applyAlignment="1" applyProtection="1"/>
    <xf numFmtId="0" fontId="5" fillId="12" borderId="0" xfId="9" applyFont="1" applyFill="1" applyBorder="1" applyAlignment="1" applyProtection="1"/>
    <xf numFmtId="49" fontId="5" fillId="12" borderId="0" xfId="9" applyNumberFormat="1" applyFont="1" applyFill="1" applyBorder="1" applyAlignment="1" applyProtection="1">
      <alignment vertical="center"/>
    </xf>
    <xf numFmtId="0" fontId="5" fillId="12" borderId="15" xfId="9" applyFont="1" applyFill="1" applyBorder="1" applyAlignment="1" applyProtection="1"/>
    <xf numFmtId="0" fontId="0" fillId="12" borderId="0" xfId="0" applyFill="1" applyAlignment="1"/>
    <xf numFmtId="49" fontId="5" fillId="12" borderId="65" xfId="9" applyNumberFormat="1" applyFont="1" applyFill="1" applyBorder="1" applyAlignment="1" applyProtection="1">
      <alignment horizontal="left" vertical="center"/>
      <protection locked="0"/>
    </xf>
    <xf numFmtId="173" fontId="5" fillId="12" borderId="65" xfId="9" applyNumberFormat="1" applyFont="1" applyFill="1" applyBorder="1" applyAlignment="1" applyProtection="1">
      <alignment horizontal="left" vertical="center"/>
      <protection locked="0"/>
    </xf>
    <xf numFmtId="174" fontId="5" fillId="12" borderId="65" xfId="1" applyNumberFormat="1" applyFont="1" applyFill="1" applyBorder="1" applyAlignment="1" applyProtection="1">
      <alignment horizontal="right" vertical="center"/>
      <protection locked="0"/>
    </xf>
    <xf numFmtId="0" fontId="5" fillId="12" borderId="65" xfId="9" applyNumberFormat="1" applyFont="1" applyFill="1" applyBorder="1" applyAlignment="1" applyProtection="1">
      <alignment horizontal="right" vertical="center"/>
      <protection locked="0"/>
    </xf>
    <xf numFmtId="0" fontId="5" fillId="12" borderId="0" xfId="9" applyNumberFormat="1" applyFont="1" applyFill="1" applyBorder="1" applyAlignment="1" applyProtection="1">
      <alignment vertical="center"/>
    </xf>
    <xf numFmtId="49" fontId="5" fillId="12" borderId="0" xfId="9" applyNumberFormat="1" applyFont="1" applyFill="1" applyBorder="1" applyAlignment="1" applyProtection="1">
      <alignment horizontal="left" vertical="top"/>
    </xf>
    <xf numFmtId="0" fontId="30" fillId="12" borderId="0" xfId="9" applyFont="1" applyFill="1" applyAlignment="1" applyProtection="1"/>
    <xf numFmtId="0" fontId="5" fillId="12" borderId="0" xfId="9" applyFont="1" applyFill="1" applyBorder="1" applyAlignment="1" applyProtection="1">
      <alignment horizontal="center"/>
    </xf>
    <xf numFmtId="0" fontId="5" fillId="12" borderId="0" xfId="9" applyFont="1" applyFill="1" applyAlignment="1" applyProtection="1"/>
    <xf numFmtId="0" fontId="34" fillId="14" borderId="29" xfId="9" applyFont="1" applyFill="1" applyBorder="1" applyAlignment="1" applyProtection="1">
      <alignment horizontal="center" vertical="center"/>
    </xf>
    <xf numFmtId="0" fontId="34" fillId="7" borderId="29" xfId="9" applyFont="1" applyFill="1" applyBorder="1" applyAlignment="1" applyProtection="1">
      <alignment horizontal="center" vertical="center"/>
    </xf>
    <xf numFmtId="0" fontId="25" fillId="7" borderId="29" xfId="9" applyFont="1" applyFill="1" applyBorder="1" applyAlignment="1" applyProtection="1">
      <alignment horizontal="center" vertical="center"/>
    </xf>
    <xf numFmtId="49" fontId="35" fillId="7" borderId="29" xfId="9" applyNumberFormat="1" applyFont="1" applyFill="1" applyBorder="1" applyAlignment="1" applyProtection="1">
      <alignment horizontal="center" vertical="center"/>
    </xf>
    <xf numFmtId="49" fontId="25" fillId="7" borderId="29" xfId="9" applyNumberFormat="1" applyFont="1" applyFill="1" applyBorder="1" applyAlignment="1" applyProtection="1">
      <alignment horizontal="center" vertical="center"/>
    </xf>
    <xf numFmtId="0" fontId="5" fillId="0" borderId="29" xfId="9" applyFont="1" applyFill="1" applyBorder="1" applyAlignment="1" applyProtection="1">
      <alignment horizontal="center"/>
    </xf>
    <xf numFmtId="0" fontId="5" fillId="0" borderId="29" xfId="9" applyFont="1" applyBorder="1" applyAlignment="1" applyProtection="1">
      <alignment horizontal="center"/>
    </xf>
    <xf numFmtId="0" fontId="36" fillId="12" borderId="0" xfId="9" applyFont="1" applyFill="1" applyAlignment="1" applyProtection="1">
      <alignment horizontal="center"/>
    </xf>
    <xf numFmtId="0" fontId="35" fillId="11" borderId="60" xfId="9" applyFont="1" applyFill="1" applyBorder="1" applyAlignment="1" applyProtection="1">
      <alignment horizontal="center" vertical="center"/>
    </xf>
    <xf numFmtId="0" fontId="35" fillId="11" borderId="32" xfId="9" applyFont="1" applyFill="1" applyBorder="1" applyAlignment="1" applyProtection="1">
      <alignment horizontal="center" vertical="center"/>
    </xf>
    <xf numFmtId="0" fontId="35" fillId="11" borderId="25" xfId="9" applyFont="1" applyFill="1" applyBorder="1" applyAlignment="1" applyProtection="1">
      <alignment horizontal="center" vertical="center"/>
    </xf>
    <xf numFmtId="0" fontId="35" fillId="11" borderId="0" xfId="9" applyFont="1" applyFill="1" applyBorder="1" applyAlignment="1" applyProtection="1">
      <alignment horizontal="center" vertical="center"/>
    </xf>
    <xf numFmtId="0" fontId="5" fillId="12" borderId="15" xfId="9" applyFont="1" applyFill="1" applyBorder="1" applyAlignment="1" applyProtection="1">
      <alignment horizontal="center" vertical="center"/>
    </xf>
    <xf numFmtId="0" fontId="5" fillId="12" borderId="15" xfId="9" applyFont="1" applyFill="1" applyBorder="1" applyAlignment="1" applyProtection="1">
      <alignment horizontal="center"/>
    </xf>
    <xf numFmtId="0" fontId="5" fillId="12" borderId="21" xfId="9" applyFont="1" applyFill="1" applyBorder="1" applyAlignment="1" applyProtection="1">
      <alignment horizontal="center"/>
    </xf>
    <xf numFmtId="0" fontId="0" fillId="12" borderId="0" xfId="0" applyFill="1" applyAlignment="1">
      <alignment horizontal="center"/>
    </xf>
    <xf numFmtId="0" fontId="85" fillId="14" borderId="0" xfId="0" applyFont="1" applyFill="1" applyProtection="1"/>
    <xf numFmtId="165" fontId="5" fillId="22" borderId="65" xfId="1" applyNumberFormat="1" applyFont="1" applyFill="1" applyBorder="1" applyAlignment="1" applyProtection="1">
      <alignment horizontal="right" vertical="center" wrapText="1"/>
    </xf>
    <xf numFmtId="0" fontId="86" fillId="8" borderId="0" xfId="9" applyFont="1" applyFill="1" applyBorder="1" applyProtection="1"/>
    <xf numFmtId="0" fontId="86" fillId="12" borderId="0" xfId="0" applyFont="1" applyFill="1" applyBorder="1" applyAlignment="1" applyProtection="1">
      <alignment horizontal="center"/>
    </xf>
    <xf numFmtId="0" fontId="61" fillId="14" borderId="0" xfId="9" applyFont="1" applyFill="1" applyBorder="1" applyProtection="1"/>
    <xf numFmtId="0" fontId="61" fillId="12" borderId="0" xfId="9" applyFont="1" applyFill="1" applyBorder="1" applyProtection="1"/>
    <xf numFmtId="0" fontId="61" fillId="12" borderId="0" xfId="9" applyFont="1" applyFill="1" applyBorder="1" applyAlignment="1" applyProtection="1">
      <alignment vertical="center"/>
    </xf>
    <xf numFmtId="0" fontId="84" fillId="12" borderId="0" xfId="9" applyFont="1" applyFill="1" applyBorder="1" applyAlignment="1" applyProtection="1">
      <alignment vertical="center"/>
    </xf>
    <xf numFmtId="0" fontId="87" fillId="12" borderId="0" xfId="9" applyFont="1" applyFill="1" applyBorder="1" applyAlignment="1" applyProtection="1">
      <alignment vertical="center"/>
    </xf>
    <xf numFmtId="0" fontId="87" fillId="12" borderId="0" xfId="9" applyFont="1" applyFill="1" applyBorder="1" applyAlignment="1" applyProtection="1">
      <alignment vertical="center" wrapText="1"/>
    </xf>
    <xf numFmtId="9" fontId="5" fillId="20" borderId="65" xfId="7" applyFont="1" applyFill="1" applyBorder="1" applyAlignment="1" applyProtection="1">
      <alignment wrapText="1"/>
    </xf>
    <xf numFmtId="0" fontId="28" fillId="12" borderId="0" xfId="0" applyFont="1" applyFill="1" applyAlignment="1" applyProtection="1">
      <alignment horizontal="center" vertical="center"/>
    </xf>
    <xf numFmtId="9" fontId="5" fillId="12" borderId="65" xfId="0" applyNumberFormat="1" applyFont="1" applyFill="1" applyBorder="1" applyAlignment="1" applyProtection="1">
      <alignment wrapText="1"/>
      <protection locked="0"/>
    </xf>
    <xf numFmtId="9" fontId="5" fillId="20" borderId="65" xfId="0" applyNumberFormat="1" applyFont="1" applyFill="1" applyBorder="1" applyAlignment="1" applyProtection="1">
      <alignment wrapText="1"/>
    </xf>
    <xf numFmtId="3" fontId="14" fillId="22" borderId="63" xfId="3" quotePrefix="1" applyNumberFormat="1" applyFont="1" applyFill="1" applyBorder="1" applyAlignment="1" applyProtection="1">
      <alignment horizontal="right" vertical="center"/>
    </xf>
    <xf numFmtId="0" fontId="45" fillId="8" borderId="0" xfId="6" applyFont="1" applyFill="1" applyBorder="1" applyAlignment="1" applyProtection="1">
      <alignment horizontal="right"/>
    </xf>
    <xf numFmtId="0" fontId="21" fillId="0" borderId="0" xfId="0" applyFont="1" applyFill="1" applyBorder="1" applyAlignment="1" applyProtection="1">
      <alignment vertical="center"/>
    </xf>
    <xf numFmtId="165" fontId="5" fillId="22" borderId="63" xfId="1" applyNumberFormat="1" applyFont="1" applyFill="1" applyBorder="1" applyAlignment="1" applyProtection="1">
      <alignment horizontal="right" vertical="center"/>
    </xf>
    <xf numFmtId="0" fontId="35" fillId="12" borderId="8" xfId="9" applyFont="1" applyFill="1" applyBorder="1" applyAlignment="1" applyProtection="1">
      <alignment horizontal="left" vertical="center"/>
    </xf>
    <xf numFmtId="3" fontId="61" fillId="8" borderId="0" xfId="9" applyNumberFormat="1" applyFont="1" applyFill="1" applyBorder="1" applyAlignment="1" applyProtection="1">
      <alignment vertical="top"/>
    </xf>
    <xf numFmtId="3" fontId="61" fillId="12" borderId="0" xfId="0" applyNumberFormat="1" applyFont="1" applyFill="1" applyAlignment="1" applyProtection="1">
      <alignment vertical="top"/>
    </xf>
    <xf numFmtId="3" fontId="61" fillId="14" borderId="0" xfId="9" applyNumberFormat="1" applyFont="1" applyFill="1" applyBorder="1" applyAlignment="1" applyProtection="1">
      <alignment vertical="top"/>
    </xf>
    <xf numFmtId="3" fontId="61" fillId="12" borderId="0" xfId="9" applyNumberFormat="1" applyFont="1" applyFill="1" applyBorder="1" applyAlignment="1" applyProtection="1">
      <alignment vertical="top"/>
    </xf>
    <xf numFmtId="3" fontId="61" fillId="12" borderId="0" xfId="9" applyNumberFormat="1" applyFont="1" applyFill="1" applyAlignment="1" applyProtection="1">
      <alignment vertical="top"/>
    </xf>
    <xf numFmtId="3" fontId="61" fillId="0" borderId="0" xfId="9" applyNumberFormat="1" applyFont="1" applyAlignment="1" applyProtection="1">
      <alignment vertical="top"/>
    </xf>
    <xf numFmtId="3" fontId="87" fillId="12" borderId="0" xfId="9" applyNumberFormat="1" applyFont="1" applyFill="1" applyBorder="1" applyAlignment="1" applyProtection="1">
      <alignment vertical="top"/>
    </xf>
    <xf numFmtId="3" fontId="87" fillId="12" borderId="0" xfId="9" applyNumberFormat="1" applyFont="1" applyFill="1" applyAlignment="1" applyProtection="1">
      <alignment vertical="top"/>
    </xf>
    <xf numFmtId="9" fontId="5" fillId="12" borderId="0" xfId="7" applyFont="1" applyFill="1" applyBorder="1" applyProtection="1"/>
    <xf numFmtId="0" fontId="88" fillId="0" borderId="13" xfId="0" applyFont="1" applyBorder="1" applyAlignment="1">
      <alignment horizontal="right" vertical="center"/>
    </xf>
    <xf numFmtId="175" fontId="6" fillId="12" borderId="29" xfId="15" applyNumberFormat="1" applyFont="1" applyFill="1" applyBorder="1" applyAlignment="1">
      <alignment horizontal="left" wrapText="1"/>
    </xf>
    <xf numFmtId="175" fontId="88" fillId="0" borderId="7" xfId="0" applyNumberFormat="1" applyFont="1" applyBorder="1" applyAlignment="1">
      <alignment horizontal="right" vertical="center"/>
    </xf>
    <xf numFmtId="175" fontId="5" fillId="17" borderId="0" xfId="14" applyNumberFormat="1" applyFont="1" applyFill="1"/>
    <xf numFmtId="0" fontId="20" fillId="14" borderId="0" xfId="0" applyFont="1" applyFill="1" applyBorder="1" applyAlignment="1" applyProtection="1">
      <alignment horizontal="left" vertical="center"/>
    </xf>
    <xf numFmtId="0" fontId="5" fillId="6" borderId="0" xfId="0" applyFont="1" applyFill="1" applyAlignment="1">
      <alignment horizontal="left"/>
    </xf>
    <xf numFmtId="0" fontId="5" fillId="0" borderId="0" xfId="0" applyFont="1" applyAlignment="1">
      <alignment horizontal="left"/>
    </xf>
    <xf numFmtId="43" fontId="5" fillId="22" borderId="63" xfId="1" applyNumberFormat="1" applyFont="1" applyFill="1" applyBorder="1" applyAlignment="1" applyProtection="1">
      <alignment horizontal="right" vertical="center"/>
    </xf>
    <xf numFmtId="3" fontId="5" fillId="22" borderId="63" xfId="1" applyNumberFormat="1" applyFont="1" applyFill="1" applyBorder="1" applyAlignment="1" applyProtection="1">
      <alignment horizontal="right" vertical="center"/>
    </xf>
    <xf numFmtId="9" fontId="36" fillId="8" borderId="0" xfId="7" applyFont="1" applyFill="1" applyAlignment="1" applyProtection="1">
      <alignment horizontal="right"/>
    </xf>
    <xf numFmtId="9" fontId="35" fillId="12" borderId="0" xfId="7" applyFont="1" applyFill="1" applyAlignment="1" applyProtection="1">
      <alignment horizontal="center"/>
    </xf>
    <xf numFmtId="9" fontId="12" fillId="14" borderId="0" xfId="7" applyFont="1" applyFill="1" applyBorder="1" applyAlignment="1" applyProtection="1">
      <alignment horizontal="center" vertical="center"/>
    </xf>
    <xf numFmtId="9" fontId="5" fillId="12" borderId="0" xfId="7" applyFont="1" applyFill="1" applyBorder="1" applyAlignment="1" applyProtection="1">
      <alignment horizontal="left" vertical="center"/>
    </xf>
    <xf numFmtId="9" fontId="5" fillId="12" borderId="0" xfId="7" applyFont="1" applyFill="1" applyBorder="1" applyAlignment="1" applyProtection="1">
      <alignment horizontal="right" vertical="center"/>
    </xf>
    <xf numFmtId="9" fontId="5" fillId="0" borderId="0" xfId="7" applyFont="1" applyFill="1" applyProtection="1"/>
    <xf numFmtId="9" fontId="5" fillId="12" borderId="74" xfId="12" applyNumberFormat="1" applyFont="1" applyFill="1" applyBorder="1" applyAlignment="1" applyProtection="1">
      <alignment horizontal="left" vertical="center"/>
      <protection locked="0"/>
    </xf>
    <xf numFmtId="0" fontId="5" fillId="20" borderId="0" xfId="9" applyFont="1" applyFill="1" applyProtection="1"/>
    <xf numFmtId="3" fontId="87" fillId="20" borderId="0" xfId="9" applyNumberFormat="1" applyFont="1" applyFill="1" applyAlignment="1" applyProtection="1">
      <alignment vertical="top"/>
    </xf>
    <xf numFmtId="0" fontId="5" fillId="20" borderId="0" xfId="9" applyNumberFormat="1" applyFont="1" applyFill="1" applyProtection="1"/>
    <xf numFmtId="0" fontId="5" fillId="20" borderId="0" xfId="9" applyFont="1" applyFill="1" applyBorder="1" applyAlignment="1" applyProtection="1">
      <alignment horizontal="left"/>
    </xf>
    <xf numFmtId="0" fontId="5" fillId="20" borderId="0" xfId="9" applyNumberFormat="1" applyFont="1" applyFill="1" applyBorder="1" applyAlignment="1" applyProtection="1">
      <alignment horizontal="left" vertical="center"/>
    </xf>
    <xf numFmtId="0" fontId="5" fillId="20" borderId="15" xfId="9" applyFont="1" applyFill="1" applyBorder="1" applyProtection="1"/>
    <xf numFmtId="0" fontId="5" fillId="20" borderId="0" xfId="9" applyFont="1" applyFill="1" applyBorder="1" applyProtection="1"/>
    <xf numFmtId="0" fontId="5" fillId="20" borderId="0" xfId="9" applyNumberFormat="1" applyFont="1" applyFill="1" applyBorder="1" applyProtection="1"/>
    <xf numFmtId="0" fontId="40" fillId="20" borderId="0" xfId="9" applyNumberFormat="1" applyFont="1" applyFill="1" applyBorder="1" applyAlignment="1" applyProtection="1"/>
    <xf numFmtId="0" fontId="40" fillId="20" borderId="0" xfId="9" applyNumberFormat="1" applyFont="1" applyFill="1" applyBorder="1" applyAlignment="1" applyProtection="1">
      <alignment horizontal="left"/>
    </xf>
    <xf numFmtId="0" fontId="89" fillId="20" borderId="0" xfId="9" applyFont="1" applyFill="1" applyBorder="1" applyAlignment="1" applyProtection="1">
      <alignment vertical="center"/>
    </xf>
    <xf numFmtId="9" fontId="40" fillId="12" borderId="0" xfId="9" applyNumberFormat="1" applyFont="1" applyFill="1" applyBorder="1" applyAlignment="1" applyProtection="1"/>
    <xf numFmtId="0" fontId="6" fillId="12" borderId="0" xfId="9" applyNumberFormat="1" applyFont="1" applyFill="1" applyBorder="1" applyAlignment="1" applyProtection="1">
      <alignment vertical="center"/>
    </xf>
    <xf numFmtId="0" fontId="35" fillId="12" borderId="0" xfId="0" applyFont="1" applyFill="1" applyBorder="1" applyAlignment="1" applyProtection="1">
      <alignment horizontal="center" vertical="center"/>
    </xf>
    <xf numFmtId="9" fontId="36" fillId="8" borderId="0" xfId="7" applyFont="1" applyFill="1" applyBorder="1" applyProtection="1"/>
    <xf numFmtId="9" fontId="12" fillId="14" borderId="0" xfId="7" applyFont="1" applyFill="1" applyBorder="1" applyAlignment="1" applyProtection="1">
      <alignment horizontal="right" vertical="center"/>
    </xf>
    <xf numFmtId="9" fontId="5" fillId="12" borderId="0" xfId="7" applyFont="1" applyFill="1" applyAlignment="1" applyProtection="1">
      <alignment horizontal="right" vertical="center"/>
    </xf>
    <xf numFmtId="9" fontId="22" fillId="12" borderId="0" xfId="7" quotePrefix="1" applyFont="1" applyFill="1" applyBorder="1" applyAlignment="1" applyProtection="1">
      <alignment horizontal="center" vertical="center"/>
    </xf>
    <xf numFmtId="9" fontId="6" fillId="12" borderId="0" xfId="7" quotePrefix="1" applyFont="1" applyFill="1" applyBorder="1" applyAlignment="1" applyProtection="1">
      <alignment vertical="center"/>
    </xf>
    <xf numFmtId="9" fontId="28" fillId="12" borderId="0" xfId="7" applyFont="1" applyFill="1" applyBorder="1" applyAlignment="1" applyProtection="1">
      <alignment horizontal="center" vertical="center"/>
    </xf>
    <xf numFmtId="9" fontId="5" fillId="20" borderId="0" xfId="7" applyFont="1" applyFill="1" applyProtection="1"/>
    <xf numFmtId="9" fontId="5" fillId="0" borderId="0" xfId="7" applyFont="1" applyProtection="1"/>
    <xf numFmtId="9" fontId="22" fillId="12" borderId="0" xfId="7" applyFont="1" applyFill="1" applyBorder="1" applyAlignment="1" applyProtection="1">
      <alignment horizontal="center" vertical="center"/>
    </xf>
    <xf numFmtId="9" fontId="5" fillId="12" borderId="74" xfId="7" applyFont="1" applyFill="1" applyBorder="1" applyAlignment="1" applyProtection="1">
      <alignment horizontal="right" vertical="center"/>
      <protection locked="0"/>
    </xf>
    <xf numFmtId="9" fontId="5" fillId="20" borderId="63" xfId="7" applyFont="1" applyFill="1" applyBorder="1" applyAlignment="1" applyProtection="1">
      <alignment horizontal="right" vertical="center"/>
    </xf>
    <xf numFmtId="0" fontId="45" fillId="8" borderId="0" xfId="9" applyFont="1" applyFill="1" applyBorder="1" applyProtection="1"/>
    <xf numFmtId="0" fontId="42" fillId="14" borderId="0" xfId="9" applyFont="1" applyFill="1" applyBorder="1" applyAlignment="1" applyProtection="1">
      <alignment horizontal="center" vertical="center"/>
    </xf>
    <xf numFmtId="0" fontId="42" fillId="14" borderId="0" xfId="9" applyFont="1" applyFill="1" applyBorder="1" applyAlignment="1" applyProtection="1">
      <alignment horizontal="right" vertical="center"/>
    </xf>
    <xf numFmtId="0" fontId="42" fillId="12" borderId="0" xfId="9" applyFont="1" applyFill="1" applyBorder="1" applyAlignment="1" applyProtection="1">
      <alignment horizontal="left"/>
    </xf>
    <xf numFmtId="0" fontId="41" fillId="12" borderId="0" xfId="9" applyFont="1" applyFill="1" applyBorder="1" applyAlignment="1" applyProtection="1">
      <alignment horizontal="left" vertical="center"/>
    </xf>
    <xf numFmtId="0" fontId="42" fillId="12" borderId="0" xfId="9" applyFont="1" applyFill="1" applyBorder="1" applyAlignment="1" applyProtection="1">
      <alignment horizontal="left" vertical="center"/>
    </xf>
    <xf numFmtId="0" fontId="42" fillId="12" borderId="0" xfId="9" applyFont="1" applyFill="1" applyBorder="1" applyAlignment="1" applyProtection="1">
      <alignment horizontal="center" vertical="center"/>
    </xf>
    <xf numFmtId="0" fontId="41" fillId="12" borderId="0" xfId="9" applyFont="1" applyFill="1" applyAlignment="1" applyProtection="1">
      <alignment vertical="center"/>
    </xf>
    <xf numFmtId="0" fontId="41" fillId="20" borderId="0" xfId="9" applyFont="1" applyFill="1" applyProtection="1"/>
    <xf numFmtId="0" fontId="41" fillId="0" borderId="0" xfId="9" applyFont="1" applyProtection="1"/>
    <xf numFmtId="0" fontId="42" fillId="12" borderId="0" xfId="0" applyFont="1" applyFill="1" applyBorder="1" applyAlignment="1" applyProtection="1">
      <alignment horizontal="center"/>
    </xf>
    <xf numFmtId="0" fontId="41" fillId="12" borderId="0" xfId="9" applyFont="1" applyFill="1" applyBorder="1" applyAlignment="1" applyProtection="1">
      <alignment vertical="center"/>
    </xf>
    <xf numFmtId="0" fontId="41" fillId="12" borderId="0" xfId="9" applyFont="1" applyFill="1" applyBorder="1" applyProtection="1"/>
    <xf numFmtId="0" fontId="41" fillId="20" borderId="0" xfId="9" applyFont="1" applyFill="1" applyBorder="1" applyProtection="1"/>
    <xf numFmtId="0" fontId="42" fillId="14" borderId="0" xfId="0" applyFont="1" applyFill="1" applyBorder="1" applyAlignment="1" applyProtection="1">
      <alignment horizontal="left" vertical="center"/>
    </xf>
    <xf numFmtId="0" fontId="90" fillId="8" borderId="0" xfId="6" applyFont="1" applyFill="1" applyAlignment="1" applyProtection="1">
      <alignment vertical="center"/>
    </xf>
    <xf numFmtId="0" fontId="41" fillId="12" borderId="0" xfId="6" applyFont="1" applyFill="1" applyProtection="1"/>
    <xf numFmtId="0" fontId="41" fillId="12" borderId="0" xfId="0" applyFont="1" applyFill="1" applyAlignment="1" applyProtection="1">
      <alignment horizontal="center"/>
    </xf>
    <xf numFmtId="3" fontId="34" fillId="12" borderId="0" xfId="0" applyNumberFormat="1" applyFont="1" applyFill="1" applyProtection="1"/>
    <xf numFmtId="3" fontId="34" fillId="12" borderId="0" xfId="0" applyNumberFormat="1" applyFont="1" applyFill="1" applyAlignment="1" applyProtection="1">
      <alignment vertical="center"/>
    </xf>
    <xf numFmtId="3" fontId="21" fillId="12" borderId="0" xfId="0" applyNumberFormat="1" applyFont="1" applyFill="1" applyAlignment="1" applyProtection="1">
      <alignment vertical="center"/>
    </xf>
    <xf numFmtId="3" fontId="26" fillId="11" borderId="32" xfId="6" applyNumberFormat="1" applyFont="1" applyFill="1" applyBorder="1" applyAlignment="1" applyProtection="1">
      <alignment vertical="center"/>
    </xf>
    <xf numFmtId="3" fontId="35" fillId="12" borderId="47" xfId="6" applyNumberFormat="1" applyFont="1" applyFill="1" applyBorder="1" applyAlignment="1" applyProtection="1">
      <alignment horizontal="right" vertical="center"/>
    </xf>
    <xf numFmtId="3" fontId="35" fillId="12" borderId="49" xfId="6" applyNumberFormat="1" applyFont="1" applyFill="1" applyBorder="1" applyAlignment="1" applyProtection="1">
      <alignment horizontal="right" vertical="center"/>
    </xf>
    <xf numFmtId="3" fontId="35" fillId="12" borderId="50" xfId="6" applyNumberFormat="1" applyFont="1" applyFill="1" applyBorder="1" applyAlignment="1" applyProtection="1">
      <alignment horizontal="right" vertical="center"/>
    </xf>
    <xf numFmtId="3" fontId="5" fillId="12" borderId="26" xfId="0" applyNumberFormat="1" applyFont="1" applyFill="1" applyBorder="1" applyProtection="1"/>
    <xf numFmtId="3" fontId="5" fillId="12" borderId="15" xfId="0" applyNumberFormat="1" applyFont="1" applyFill="1" applyBorder="1" applyAlignment="1" applyProtection="1">
      <alignment vertical="center"/>
    </xf>
    <xf numFmtId="3" fontId="5" fillId="12" borderId="0" xfId="0" applyNumberFormat="1" applyFont="1" applyFill="1" applyProtection="1"/>
    <xf numFmtId="3" fontId="5" fillId="0" borderId="0" xfId="0" applyNumberFormat="1" applyFont="1" applyFill="1" applyProtection="1"/>
    <xf numFmtId="4" fontId="5" fillId="22" borderId="63" xfId="1" applyNumberFormat="1" applyFont="1" applyFill="1" applyBorder="1" applyAlignment="1" applyProtection="1">
      <alignment horizontal="right" vertical="center"/>
    </xf>
    <xf numFmtId="3" fontId="5" fillId="12" borderId="65" xfId="1" applyNumberFormat="1" applyFont="1" applyFill="1" applyBorder="1" applyAlignment="1" applyProtection="1">
      <alignment horizontal="right" vertical="center"/>
      <protection locked="0"/>
    </xf>
    <xf numFmtId="3" fontId="41" fillId="12" borderId="0" xfId="8" applyNumberFormat="1" applyFont="1" applyFill="1" applyBorder="1" applyAlignment="1" applyProtection="1">
      <alignment horizontal="right" vertical="center"/>
    </xf>
    <xf numFmtId="3" fontId="5" fillId="12" borderId="0" xfId="8" applyNumberFormat="1" applyFont="1" applyFill="1" applyBorder="1" applyAlignment="1" applyProtection="1">
      <alignment horizontal="right" vertical="center"/>
    </xf>
    <xf numFmtId="3" fontId="11" fillId="12" borderId="0" xfId="8" applyNumberFormat="1" applyFont="1" applyFill="1" applyBorder="1" applyAlignment="1" applyProtection="1">
      <alignment horizontal="right" vertical="center"/>
    </xf>
    <xf numFmtId="3" fontId="35" fillId="12" borderId="0" xfId="10" applyNumberFormat="1" applyFont="1" applyFill="1" applyBorder="1" applyAlignment="1" applyProtection="1">
      <alignment horizontal="right" vertical="center"/>
    </xf>
    <xf numFmtId="3" fontId="35" fillId="12" borderId="0" xfId="10" applyNumberFormat="1" applyFont="1" applyFill="1" applyBorder="1" applyAlignment="1" applyProtection="1">
      <alignment horizontal="center" vertical="center"/>
    </xf>
    <xf numFmtId="3" fontId="41" fillId="12" borderId="0" xfId="1" applyNumberFormat="1" applyFont="1" applyFill="1" applyBorder="1" applyAlignment="1" applyProtection="1">
      <alignment horizontal="right" vertical="center"/>
    </xf>
    <xf numFmtId="0" fontId="12" fillId="14" borderId="0" xfId="9" applyFont="1" applyFill="1" applyBorder="1" applyAlignment="1" applyProtection="1">
      <alignment horizontal="center" vertical="center"/>
    </xf>
    <xf numFmtId="3" fontId="36" fillId="8" borderId="0" xfId="9" applyNumberFormat="1" applyFont="1" applyFill="1" applyBorder="1" applyProtection="1"/>
    <xf numFmtId="3" fontId="35" fillId="12" borderId="0" xfId="0" applyNumberFormat="1" applyFont="1" applyFill="1" applyAlignment="1" applyProtection="1">
      <alignment horizontal="center"/>
    </xf>
    <xf numFmtId="3" fontId="12" fillId="14" borderId="0" xfId="9" applyNumberFormat="1" applyFont="1" applyFill="1" applyBorder="1" applyAlignment="1" applyProtection="1">
      <alignment horizontal="center" vertical="center"/>
    </xf>
    <xf numFmtId="3" fontId="12" fillId="14" borderId="0" xfId="9" applyNumberFormat="1" applyFont="1" applyFill="1" applyBorder="1" applyAlignment="1" applyProtection="1">
      <alignment horizontal="right" vertical="center"/>
    </xf>
    <xf numFmtId="3" fontId="5" fillId="12" borderId="0" xfId="10" applyNumberFormat="1" applyFont="1" applyFill="1" applyBorder="1" applyAlignment="1" applyProtection="1">
      <alignment horizontal="right"/>
    </xf>
    <xf numFmtId="3" fontId="5" fillId="12" borderId="0" xfId="9" applyNumberFormat="1" applyFont="1" applyFill="1" applyBorder="1" applyAlignment="1" applyProtection="1">
      <alignment horizontal="right"/>
    </xf>
    <xf numFmtId="3" fontId="5" fillId="12" borderId="0" xfId="9" applyNumberFormat="1" applyFont="1" applyFill="1" applyAlignment="1" applyProtection="1">
      <alignment horizontal="right" vertical="center"/>
    </xf>
    <xf numFmtId="3" fontId="23" fillId="12" borderId="0" xfId="10" applyNumberFormat="1" applyFont="1" applyFill="1" applyBorder="1" applyAlignment="1" applyProtection="1">
      <alignment horizontal="left" vertical="center"/>
    </xf>
    <xf numFmtId="3" fontId="35" fillId="12" borderId="0" xfId="10" applyNumberFormat="1" applyFont="1" applyFill="1" applyBorder="1" applyAlignment="1" applyProtection="1">
      <alignment horizontal="left" vertical="center"/>
    </xf>
    <xf numFmtId="3" fontId="35" fillId="12" borderId="0" xfId="0" applyNumberFormat="1" applyFont="1" applyFill="1" applyBorder="1" applyAlignment="1" applyProtection="1">
      <alignment horizontal="right" vertical="center"/>
    </xf>
    <xf numFmtId="3" fontId="34" fillId="12" borderId="0" xfId="0" applyNumberFormat="1" applyFont="1" applyFill="1" applyBorder="1" applyAlignment="1" applyProtection="1">
      <alignment horizontal="right" vertical="center"/>
    </xf>
    <xf numFmtId="3" fontId="22" fillId="12" borderId="0" xfId="10" applyNumberFormat="1" applyFont="1" applyFill="1" applyBorder="1" applyAlignment="1" applyProtection="1">
      <alignment horizontal="right" vertical="center"/>
    </xf>
    <xf numFmtId="3" fontId="44" fillId="12" borderId="0" xfId="10" applyNumberFormat="1" applyFont="1" applyFill="1" applyBorder="1" applyAlignment="1" applyProtection="1">
      <alignment horizontal="right" vertical="center"/>
    </xf>
    <xf numFmtId="3" fontId="44" fillId="12" borderId="0" xfId="10" applyNumberFormat="1" applyFont="1" applyFill="1" applyBorder="1" applyAlignment="1" applyProtection="1">
      <alignment horizontal="center" vertical="center"/>
    </xf>
    <xf numFmtId="3" fontId="12" fillId="12" borderId="0" xfId="10" applyNumberFormat="1" applyFont="1" applyFill="1" applyBorder="1" applyAlignment="1" applyProtection="1">
      <alignment horizontal="right" vertical="center"/>
    </xf>
    <xf numFmtId="3" fontId="44" fillId="12" borderId="0" xfId="9" applyNumberFormat="1" applyFont="1" applyFill="1" applyBorder="1" applyAlignment="1" applyProtection="1">
      <alignment horizontal="right" vertical="center"/>
    </xf>
    <xf numFmtId="3" fontId="12" fillId="12" borderId="0" xfId="9"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left" vertical="center"/>
    </xf>
    <xf numFmtId="3" fontId="35" fillId="12" borderId="48" xfId="10"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right" vertical="center"/>
    </xf>
    <xf numFmtId="3" fontId="22" fillId="12" borderId="0" xfId="10" applyNumberFormat="1" applyFont="1" applyFill="1" applyBorder="1" applyAlignment="1" applyProtection="1">
      <alignment horizontal="center" vertical="center"/>
    </xf>
    <xf numFmtId="3" fontId="5" fillId="12" borderId="8" xfId="9" applyNumberFormat="1" applyFont="1" applyFill="1" applyBorder="1" applyAlignment="1" applyProtection="1">
      <alignment horizontal="right" vertical="center"/>
    </xf>
    <xf numFmtId="3" fontId="25" fillId="12" borderId="0" xfId="9" applyNumberFormat="1" applyFont="1" applyFill="1" applyBorder="1" applyAlignment="1" applyProtection="1">
      <alignment horizontal="center" vertical="center" wrapText="1"/>
    </xf>
    <xf numFmtId="3" fontId="6" fillId="12" borderId="0" xfId="4" applyNumberFormat="1" applyFont="1" applyFill="1" applyBorder="1" applyAlignment="1" applyProtection="1">
      <alignment vertical="center"/>
    </xf>
    <xf numFmtId="3" fontId="6" fillId="12" borderId="0" xfId="4" quotePrefix="1" applyNumberFormat="1" applyFont="1" applyFill="1" applyBorder="1" applyAlignment="1" applyProtection="1">
      <alignment vertical="center"/>
    </xf>
    <xf numFmtId="3" fontId="5" fillId="12" borderId="0" xfId="4" quotePrefix="1" applyNumberFormat="1" applyFont="1" applyFill="1" applyBorder="1" applyAlignment="1" applyProtection="1">
      <alignment vertical="center"/>
    </xf>
    <xf numFmtId="3" fontId="6" fillId="12" borderId="0" xfId="4" quotePrefix="1" applyNumberFormat="1" applyFont="1" applyFill="1" applyBorder="1" applyAlignment="1" applyProtection="1">
      <alignment horizontal="right" vertical="center"/>
    </xf>
    <xf numFmtId="3" fontId="5" fillId="12" borderId="0" xfId="10" applyNumberFormat="1" applyFont="1" applyFill="1" applyBorder="1" applyAlignment="1" applyProtection="1">
      <alignment horizontal="center" vertical="center"/>
    </xf>
    <xf numFmtId="3" fontId="29" fillId="12" borderId="0" xfId="10" applyNumberFormat="1" applyFont="1" applyFill="1" applyBorder="1" applyAlignment="1" applyProtection="1">
      <alignment horizontal="right" vertical="center"/>
    </xf>
    <xf numFmtId="3" fontId="29" fillId="12" borderId="0" xfId="10" applyNumberFormat="1" applyFont="1" applyFill="1" applyBorder="1" applyAlignment="1" applyProtection="1">
      <alignment horizontal="center" vertical="center"/>
    </xf>
    <xf numFmtId="3" fontId="28" fillId="12" borderId="0" xfId="10" applyNumberFormat="1" applyFont="1" applyFill="1" applyBorder="1" applyAlignment="1" applyProtection="1">
      <alignment horizontal="center" vertical="center"/>
    </xf>
    <xf numFmtId="3" fontId="35" fillId="12" borderId="0" xfId="10" applyNumberFormat="1" applyFont="1" applyFill="1" applyBorder="1" applyAlignment="1" applyProtection="1">
      <alignment horizontal="right" vertical="center" wrapText="1"/>
    </xf>
    <xf numFmtId="3" fontId="41" fillId="12" borderId="0" xfId="10" applyNumberFormat="1" applyFont="1" applyFill="1" applyBorder="1" applyAlignment="1" applyProtection="1">
      <alignment horizontal="right" vertical="center"/>
    </xf>
    <xf numFmtId="3" fontId="5" fillId="12" borderId="94" xfId="9" applyNumberFormat="1" applyFont="1" applyFill="1" applyBorder="1" applyAlignment="1" applyProtection="1">
      <alignment horizontal="center" vertical="center"/>
      <protection locked="0"/>
    </xf>
    <xf numFmtId="3" fontId="5" fillId="12" borderId="0" xfId="1" applyNumberFormat="1" applyFont="1" applyFill="1" applyBorder="1" applyAlignment="1" applyProtection="1">
      <alignment vertical="center"/>
    </xf>
    <xf numFmtId="3" fontId="11" fillId="12" borderId="0" xfId="10" applyNumberFormat="1" applyFont="1" applyFill="1" applyBorder="1" applyAlignment="1" applyProtection="1">
      <alignment horizontal="right" vertical="center"/>
    </xf>
    <xf numFmtId="3" fontId="11" fillId="12" borderId="0" xfId="9" applyNumberFormat="1" applyFont="1" applyFill="1" applyBorder="1" applyAlignment="1" applyProtection="1">
      <alignment horizontal="right" vertical="center"/>
    </xf>
    <xf numFmtId="3" fontId="5" fillId="12" borderId="0" xfId="1" applyNumberFormat="1" applyFont="1" applyFill="1" applyBorder="1" applyAlignment="1" applyProtection="1">
      <alignment horizontal="right" vertical="center"/>
    </xf>
    <xf numFmtId="3" fontId="24" fillId="12" borderId="0" xfId="9" applyNumberFormat="1" applyFont="1" applyFill="1" applyBorder="1" applyAlignment="1" applyProtection="1">
      <alignment horizontal="right" vertical="center"/>
    </xf>
    <xf numFmtId="3" fontId="24" fillId="12" borderId="0" xfId="9" applyNumberFormat="1" applyFont="1" applyFill="1" applyBorder="1" applyAlignment="1" applyProtection="1">
      <alignment horizontal="center" vertical="center"/>
    </xf>
    <xf numFmtId="3" fontId="5" fillId="12" borderId="0" xfId="9" applyNumberFormat="1" applyFont="1" applyFill="1" applyBorder="1" applyAlignment="1" applyProtection="1">
      <alignment horizontal="center" vertical="center"/>
    </xf>
    <xf numFmtId="3" fontId="11" fillId="12" borderId="0" xfId="1" applyNumberFormat="1" applyFont="1" applyFill="1" applyBorder="1" applyAlignment="1" applyProtection="1">
      <alignment horizontal="right" vertical="center"/>
    </xf>
    <xf numFmtId="3" fontId="6" fillId="12" borderId="63" xfId="1" quotePrefix="1" applyNumberFormat="1" applyFont="1" applyFill="1" applyBorder="1" applyAlignment="1" applyProtection="1">
      <alignment horizontal="right" vertical="center"/>
    </xf>
    <xf numFmtId="3" fontId="5" fillId="12" borderId="0" xfId="9" applyNumberFormat="1" applyFont="1" applyFill="1" applyAlignment="1" applyProtection="1">
      <alignment vertical="center"/>
    </xf>
    <xf numFmtId="3" fontId="5" fillId="12" borderId="0" xfId="12" applyNumberFormat="1" applyFont="1" applyFill="1" applyBorder="1" applyAlignment="1" applyProtection="1">
      <alignment horizontal="right" vertical="center"/>
    </xf>
    <xf numFmtId="3" fontId="5" fillId="12" borderId="0" xfId="1" applyNumberFormat="1" applyFont="1" applyFill="1" applyProtection="1"/>
    <xf numFmtId="3" fontId="34" fillId="12" borderId="0" xfId="9" applyNumberFormat="1" applyFont="1" applyFill="1" applyBorder="1" applyAlignment="1" applyProtection="1">
      <alignment horizontal="left" vertical="center"/>
    </xf>
    <xf numFmtId="3" fontId="5" fillId="12" borderId="0" xfId="9" applyNumberFormat="1" applyFont="1" applyFill="1" applyBorder="1" applyProtection="1"/>
    <xf numFmtId="3" fontId="41" fillId="12" borderId="0" xfId="6" applyNumberFormat="1" applyFont="1" applyFill="1" applyBorder="1" applyAlignment="1" applyProtection="1">
      <alignment horizontal="right" vertical="center"/>
    </xf>
    <xf numFmtId="3" fontId="5" fillId="12" borderId="94" xfId="9" applyNumberFormat="1" applyFont="1" applyFill="1" applyBorder="1" applyAlignment="1" applyProtection="1">
      <alignment horizontal="center" vertical="center"/>
    </xf>
    <xf numFmtId="3" fontId="5" fillId="12" borderId="0" xfId="1" applyNumberFormat="1" applyFont="1" applyFill="1" applyBorder="1" applyProtection="1"/>
    <xf numFmtId="3" fontId="5" fillId="20" borderId="0" xfId="1" applyNumberFormat="1" applyFont="1" applyFill="1" applyProtection="1"/>
    <xf numFmtId="3" fontId="5" fillId="20" borderId="0" xfId="9" applyNumberFormat="1" applyFont="1" applyFill="1" applyProtection="1"/>
    <xf numFmtId="3" fontId="5" fillId="12" borderId="0" xfId="1" applyNumberFormat="1" applyFont="1" applyFill="1" applyBorder="1" applyAlignment="1" applyProtection="1">
      <alignment horizontal="right" vertical="center" wrapText="1"/>
    </xf>
    <xf numFmtId="3" fontId="35" fillId="12" borderId="0" xfId="1" applyNumberFormat="1" applyFont="1" applyFill="1" applyBorder="1" applyAlignment="1" applyProtection="1">
      <alignment horizontal="right" vertical="center"/>
    </xf>
    <xf numFmtId="3" fontId="6" fillId="12" borderId="0" xfId="1" quotePrefix="1" applyNumberFormat="1" applyFont="1" applyFill="1" applyBorder="1" applyAlignment="1" applyProtection="1">
      <alignment vertical="center"/>
    </xf>
    <xf numFmtId="3" fontId="22" fillId="12" borderId="0" xfId="9" applyNumberFormat="1" applyFont="1" applyFill="1" applyBorder="1" applyAlignment="1" applyProtection="1">
      <alignment horizontal="center" vertical="center"/>
    </xf>
    <xf numFmtId="3" fontId="22" fillId="12" borderId="0" xfId="1" applyNumberFormat="1" applyFont="1" applyFill="1" applyBorder="1" applyAlignment="1" applyProtection="1">
      <alignment horizontal="right" vertical="center"/>
    </xf>
    <xf numFmtId="3" fontId="35" fillId="12" borderId="0" xfId="9" applyNumberFormat="1" applyFont="1" applyFill="1" applyBorder="1" applyAlignment="1" applyProtection="1">
      <alignment horizontal="center" vertical="center" wrapText="1"/>
    </xf>
    <xf numFmtId="3" fontId="35" fillId="12" borderId="0" xfId="9" applyNumberFormat="1" applyFont="1" applyFill="1" applyBorder="1" applyAlignment="1" applyProtection="1">
      <alignment horizontal="right" vertical="center" wrapText="1"/>
    </xf>
    <xf numFmtId="3" fontId="6" fillId="12" borderId="0" xfId="1" applyNumberFormat="1" applyFont="1" applyFill="1" applyBorder="1" applyAlignment="1" applyProtection="1">
      <alignment vertical="center"/>
    </xf>
    <xf numFmtId="3" fontId="6" fillId="12" borderId="0" xfId="1" quotePrefix="1" applyNumberFormat="1" applyFont="1" applyFill="1" applyBorder="1" applyAlignment="1" applyProtection="1">
      <alignment horizontal="right" vertical="center"/>
    </xf>
    <xf numFmtId="3" fontId="5" fillId="12" borderId="0" xfId="1" applyNumberFormat="1" applyFont="1" applyFill="1" applyBorder="1" applyAlignment="1" applyProtection="1">
      <alignment horizontal="center" vertical="center"/>
    </xf>
    <xf numFmtId="49" fontId="5" fillId="20" borderId="0" xfId="9" applyNumberFormat="1" applyFont="1" applyFill="1" applyBorder="1" applyAlignment="1" applyProtection="1">
      <alignment horizontal="left" vertical="center"/>
    </xf>
    <xf numFmtId="3" fontId="5" fillId="20" borderId="0" xfId="1" applyNumberFormat="1" applyFont="1" applyFill="1" applyBorder="1" applyProtection="1"/>
    <xf numFmtId="3" fontId="5" fillId="20" borderId="0" xfId="9" applyNumberFormat="1" applyFont="1" applyFill="1" applyBorder="1" applyProtection="1"/>
    <xf numFmtId="9" fontId="5" fillId="20" borderId="0" xfId="7" applyFont="1" applyFill="1" applyBorder="1" applyProtection="1"/>
    <xf numFmtId="3" fontId="35" fillId="12" borderId="0" xfId="9" applyNumberFormat="1" applyFont="1" applyFill="1" applyAlignment="1" applyProtection="1">
      <alignment horizontal="center"/>
    </xf>
    <xf numFmtId="3" fontId="12" fillId="14" borderId="0" xfId="9" applyNumberFormat="1" applyFont="1" applyFill="1" applyBorder="1" applyAlignment="1" applyProtection="1">
      <alignment horizontal="center"/>
    </xf>
    <xf numFmtId="3" fontId="21" fillId="7" borderId="0" xfId="9" applyNumberFormat="1" applyFont="1" applyFill="1" applyBorder="1" applyAlignment="1" applyProtection="1">
      <alignment horizontal="right" vertical="center"/>
    </xf>
    <xf numFmtId="3" fontId="38" fillId="12" borderId="0" xfId="9" applyNumberFormat="1" applyFont="1" applyFill="1" applyBorder="1" applyAlignment="1" applyProtection="1">
      <alignment horizontal="right" vertical="center"/>
    </xf>
    <xf numFmtId="3" fontId="5" fillId="12" borderId="65" xfId="9" applyNumberFormat="1" applyFont="1" applyFill="1" applyBorder="1" applyAlignment="1" applyProtection="1">
      <alignment horizontal="right" vertical="center"/>
      <protection locked="0"/>
    </xf>
    <xf numFmtId="3" fontId="11" fillId="12" borderId="0" xfId="3" applyNumberFormat="1" applyFont="1" applyFill="1" applyBorder="1" applyAlignment="1" applyProtection="1">
      <alignment horizontal="right" vertical="center"/>
    </xf>
    <xf numFmtId="3" fontId="0" fillId="12" borderId="0" xfId="0" applyNumberFormat="1" applyFill="1"/>
    <xf numFmtId="9" fontId="14" fillId="22" borderId="63" xfId="7" quotePrefix="1" applyFont="1" applyFill="1" applyBorder="1" applyAlignment="1" applyProtection="1">
      <alignment horizontal="right" vertical="center"/>
    </xf>
    <xf numFmtId="166" fontId="14" fillId="22" borderId="63" xfId="3" quotePrefix="1" applyNumberFormat="1" applyFont="1" applyFill="1" applyBorder="1" applyAlignment="1" applyProtection="1">
      <alignment horizontal="right" vertical="center"/>
    </xf>
    <xf numFmtId="9" fontId="45" fillId="8" borderId="0" xfId="7" applyFont="1" applyFill="1" applyBorder="1" applyAlignment="1" applyProtection="1">
      <alignment horizontal="right"/>
    </xf>
    <xf numFmtId="9" fontId="35" fillId="12" borderId="0" xfId="7" applyFont="1" applyFill="1" applyBorder="1" applyAlignment="1" applyProtection="1">
      <alignment horizontal="center"/>
    </xf>
    <xf numFmtId="9" fontId="21" fillId="0" borderId="0" xfId="7" applyFont="1" applyFill="1" applyBorder="1" applyAlignment="1" applyProtection="1">
      <alignment vertical="center"/>
    </xf>
    <xf numFmtId="9" fontId="35" fillId="12" borderId="0" xfId="7" applyFont="1" applyFill="1" applyBorder="1" applyAlignment="1" applyProtection="1">
      <alignment horizontal="center" vertical="center"/>
    </xf>
    <xf numFmtId="9" fontId="5" fillId="22" borderId="63" xfId="7" applyFont="1" applyFill="1" applyBorder="1" applyAlignment="1" applyProtection="1">
      <alignment horizontal="right" vertical="center"/>
    </xf>
    <xf numFmtId="9" fontId="5" fillId="0" borderId="0" xfId="7" applyFont="1" applyFill="1" applyBorder="1" applyProtection="1"/>
    <xf numFmtId="166" fontId="45" fillId="8" borderId="0" xfId="6" applyNumberFormat="1" applyFont="1" applyFill="1" applyBorder="1" applyAlignment="1" applyProtection="1">
      <alignment horizontal="right"/>
    </xf>
    <xf numFmtId="166" fontId="35" fillId="12" borderId="0" xfId="0" applyNumberFormat="1" applyFont="1" applyFill="1" applyBorder="1" applyAlignment="1" applyProtection="1">
      <alignment horizontal="center"/>
    </xf>
    <xf numFmtId="166" fontId="12" fillId="14" borderId="0" xfId="6" applyNumberFormat="1" applyFont="1" applyFill="1" applyBorder="1" applyAlignment="1" applyProtection="1">
      <alignment horizontal="center" vertical="center"/>
    </xf>
    <xf numFmtId="166" fontId="35" fillId="12"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35" fillId="12" borderId="0" xfId="9" applyNumberFormat="1" applyFont="1" applyFill="1" applyBorder="1" applyAlignment="1" applyProtection="1">
      <alignment horizontal="center" vertical="center"/>
    </xf>
    <xf numFmtId="166" fontId="5" fillId="12" borderId="0" xfId="0" applyNumberFormat="1" applyFont="1" applyFill="1" applyBorder="1" applyProtection="1"/>
    <xf numFmtId="166" fontId="5" fillId="12" borderId="0" xfId="1" applyNumberFormat="1" applyFont="1" applyFill="1" applyBorder="1" applyAlignment="1" applyProtection="1">
      <alignment horizontal="left" vertical="center"/>
    </xf>
    <xf numFmtId="166" fontId="5" fillId="12" borderId="0" xfId="1" applyNumberFormat="1" applyFont="1" applyFill="1" applyBorder="1" applyAlignment="1" applyProtection="1">
      <alignment horizontal="right" vertical="center"/>
    </xf>
    <xf numFmtId="166" fontId="5" fillId="22" borderId="63" xfId="1" applyNumberFormat="1" applyFont="1" applyFill="1" applyBorder="1" applyAlignment="1" applyProtection="1">
      <alignment horizontal="right" vertical="center"/>
    </xf>
    <xf numFmtId="166" fontId="5" fillId="0" borderId="0" xfId="0" applyNumberFormat="1" applyFont="1" applyFill="1" applyBorder="1" applyProtection="1"/>
    <xf numFmtId="9" fontId="36" fillId="8" borderId="0" xfId="7" applyFont="1" applyFill="1" applyProtection="1"/>
    <xf numFmtId="9" fontId="35" fillId="12" borderId="0" xfId="7" applyFont="1" applyFill="1" applyAlignment="1" applyProtection="1">
      <alignment horizontal="center" wrapText="1"/>
    </xf>
    <xf numFmtId="9" fontId="85" fillId="14" borderId="0" xfId="7" applyFont="1" applyFill="1" applyProtection="1"/>
    <xf numFmtId="9" fontId="25" fillId="14" borderId="0" xfId="7" applyFont="1" applyFill="1" applyAlignment="1" applyProtection="1">
      <alignment horizontal="center"/>
    </xf>
    <xf numFmtId="9" fontId="21" fillId="12" borderId="0" xfId="7" applyFont="1" applyFill="1" applyAlignment="1" applyProtection="1">
      <alignment horizontal="right"/>
    </xf>
    <xf numFmtId="9" fontId="0" fillId="12" borderId="0" xfId="7" applyFont="1" applyFill="1" applyAlignment="1" applyProtection="1">
      <alignment horizontal="center"/>
    </xf>
    <xf numFmtId="9" fontId="0" fillId="12" borderId="0" xfId="7" applyFont="1" applyFill="1" applyAlignment="1" applyProtection="1">
      <alignment vertical="center"/>
    </xf>
    <xf numFmtId="9" fontId="5" fillId="15" borderId="65" xfId="7" applyFont="1" applyFill="1" applyBorder="1" applyAlignment="1" applyProtection="1">
      <alignment horizontal="right" vertical="center" wrapText="1"/>
    </xf>
    <xf numFmtId="9" fontId="0" fillId="12" borderId="0" xfId="7" applyFont="1" applyFill="1" applyBorder="1" applyAlignment="1" applyProtection="1">
      <alignment vertical="center"/>
    </xf>
    <xf numFmtId="9" fontId="5" fillId="22" borderId="65" xfId="7" applyFont="1" applyFill="1" applyBorder="1" applyAlignment="1" applyProtection="1">
      <alignment horizontal="right" vertical="center" wrapText="1"/>
    </xf>
    <xf numFmtId="9" fontId="0" fillId="12" borderId="0" xfId="7" applyFont="1" applyFill="1" applyProtection="1"/>
    <xf numFmtId="166" fontId="36" fillId="8" borderId="0" xfId="6" applyNumberFormat="1" applyFont="1" applyFill="1" applyProtection="1"/>
    <xf numFmtId="166" fontId="35" fillId="12" borderId="0" xfId="0" applyNumberFormat="1" applyFont="1" applyFill="1" applyAlignment="1" applyProtection="1">
      <alignment horizontal="center" wrapText="1"/>
    </xf>
    <xf numFmtId="166" fontId="85" fillId="14" borderId="0" xfId="0" applyNumberFormat="1" applyFont="1" applyFill="1" applyProtection="1"/>
    <xf numFmtId="166" fontId="25" fillId="14" borderId="0" xfId="6" applyNumberFormat="1" applyFont="1" applyFill="1" applyAlignment="1" applyProtection="1">
      <alignment horizontal="center"/>
    </xf>
    <xf numFmtId="166" fontId="21" fillId="12" borderId="0" xfId="6" applyNumberFormat="1" applyFont="1" applyFill="1" applyAlignment="1" applyProtection="1">
      <alignment horizontal="right"/>
    </xf>
    <xf numFmtId="166" fontId="35" fillId="12" borderId="0" xfId="9" applyNumberFormat="1" applyFont="1" applyFill="1" applyBorder="1" applyAlignment="1" applyProtection="1">
      <alignment horizontal="right" vertical="center"/>
    </xf>
    <xf numFmtId="166" fontId="0" fillId="12" borderId="0" xfId="0" applyNumberFormat="1" applyFill="1" applyAlignment="1" applyProtection="1">
      <alignment horizontal="center"/>
    </xf>
    <xf numFmtId="166" fontId="0" fillId="12" borderId="0" xfId="0" applyNumberFormat="1" applyFill="1" applyAlignment="1" applyProtection="1">
      <alignment vertical="center"/>
    </xf>
    <xf numFmtId="166" fontId="5" fillId="15" borderId="65" xfId="1" applyNumberFormat="1" applyFont="1" applyFill="1" applyBorder="1" applyAlignment="1" applyProtection="1">
      <alignment horizontal="right" vertical="center" wrapText="1"/>
    </xf>
    <xf numFmtId="166" fontId="0" fillId="12" borderId="0" xfId="0" applyNumberFormat="1" applyFill="1" applyBorder="1" applyAlignment="1" applyProtection="1">
      <alignment vertical="center"/>
    </xf>
    <xf numFmtId="166" fontId="5" fillId="22" borderId="65" xfId="1" applyNumberFormat="1" applyFont="1" applyFill="1" applyBorder="1" applyAlignment="1" applyProtection="1">
      <alignment horizontal="right" vertical="center" wrapText="1"/>
    </xf>
    <xf numFmtId="166" fontId="0" fillId="12" borderId="0" xfId="0" applyNumberFormat="1" applyFill="1" applyProtection="1"/>
    <xf numFmtId="165" fontId="5" fillId="7" borderId="107" xfId="1" applyNumberFormat="1" applyFont="1" applyFill="1" applyBorder="1" applyAlignment="1" applyProtection="1">
      <alignment horizontal="right" vertical="center" wrapText="1"/>
      <protection locked="0"/>
    </xf>
    <xf numFmtId="0" fontId="17" fillId="3" borderId="32" xfId="0" applyFont="1" applyFill="1" applyBorder="1" applyAlignment="1">
      <alignment horizontal="center" wrapText="1"/>
    </xf>
    <xf numFmtId="0" fontId="17" fillId="3" borderId="40" xfId="0" applyFont="1" applyFill="1" applyBorder="1" applyAlignment="1">
      <alignment horizontal="center" wrapText="1"/>
    </xf>
    <xf numFmtId="0" fontId="17" fillId="3" borderId="41" xfId="0" applyFont="1" applyFill="1" applyBorder="1" applyAlignment="1">
      <alignment horizontal="center" wrapText="1"/>
    </xf>
    <xf numFmtId="0" fontId="17" fillId="3" borderId="46" xfId="0" applyFont="1" applyFill="1" applyBorder="1" applyAlignment="1">
      <alignment horizontal="center" wrapText="1"/>
    </xf>
    <xf numFmtId="0" fontId="17" fillId="3" borderId="30" xfId="0" applyFont="1" applyFill="1" applyBorder="1" applyAlignment="1">
      <alignment horizontal="center" wrapText="1"/>
    </xf>
    <xf numFmtId="0" fontId="17" fillId="3" borderId="31" xfId="0" applyFont="1" applyFill="1" applyBorder="1" applyAlignment="1">
      <alignment horizontal="center" wrapText="1"/>
    </xf>
    <xf numFmtId="0" fontId="17" fillId="3" borderId="34" xfId="0" applyFont="1" applyFill="1" applyBorder="1" applyAlignment="1">
      <alignment horizontal="center" wrapText="1"/>
    </xf>
    <xf numFmtId="0" fontId="6" fillId="3" borderId="61" xfId="0" applyFont="1" applyFill="1" applyBorder="1" applyAlignment="1">
      <alignment horizontal="center"/>
    </xf>
    <xf numFmtId="0" fontId="6" fillId="3" borderId="58" xfId="0" applyFont="1" applyFill="1" applyBorder="1" applyAlignment="1">
      <alignment horizontal="center"/>
    </xf>
    <xf numFmtId="0" fontId="6" fillId="3" borderId="54" xfId="0" applyFont="1" applyFill="1" applyBorder="1" applyAlignment="1">
      <alignment horizontal="center"/>
    </xf>
    <xf numFmtId="0" fontId="17" fillId="3" borderId="31" xfId="0" applyFont="1" applyFill="1" applyBorder="1" applyAlignment="1">
      <alignment horizontal="center"/>
    </xf>
    <xf numFmtId="0" fontId="17" fillId="3" borderId="34" xfId="0" applyFont="1" applyFill="1" applyBorder="1" applyAlignment="1">
      <alignment horizontal="center"/>
    </xf>
    <xf numFmtId="0" fontId="17" fillId="3" borderId="1" xfId="0" applyFont="1" applyFill="1" applyBorder="1" applyAlignment="1">
      <alignment horizontal="center"/>
    </xf>
    <xf numFmtId="0" fontId="17" fillId="3" borderId="3" xfId="0" applyFont="1" applyFill="1" applyBorder="1" applyAlignment="1">
      <alignment horizontal="center"/>
    </xf>
    <xf numFmtId="0" fontId="6" fillId="13" borderId="26" xfId="9" applyFont="1" applyFill="1" applyBorder="1" applyAlignment="1">
      <alignment horizontal="center" vertical="center" wrapText="1"/>
    </xf>
    <xf numFmtId="0" fontId="6" fillId="13" borderId="15" xfId="9" applyFont="1" applyFill="1" applyBorder="1" applyAlignment="1">
      <alignment horizontal="center" vertical="center" wrapText="1"/>
    </xf>
    <xf numFmtId="0" fontId="6" fillId="13" borderId="16" xfId="9" applyFont="1" applyFill="1" applyBorder="1" applyAlignment="1">
      <alignment horizontal="center" vertical="center" wrapText="1"/>
    </xf>
    <xf numFmtId="49" fontId="35" fillId="0" borderId="60" xfId="10" applyNumberFormat="1" applyFont="1" applyFill="1" applyBorder="1" applyAlignment="1">
      <alignment horizontal="center" vertical="center"/>
    </xf>
    <xf numFmtId="49" fontId="35" fillId="0" borderId="32" xfId="10" applyNumberFormat="1" applyFont="1" applyFill="1" applyBorder="1" applyAlignment="1">
      <alignment horizontal="center" vertical="center"/>
    </xf>
    <xf numFmtId="49" fontId="35" fillId="0" borderId="45" xfId="10" applyNumberFormat="1" applyFont="1" applyFill="1" applyBorder="1" applyAlignment="1">
      <alignment horizontal="center" vertical="center"/>
    </xf>
    <xf numFmtId="0" fontId="35" fillId="0" borderId="0" xfId="9" applyFont="1" applyFill="1" applyBorder="1" applyAlignment="1">
      <alignment horizontal="center" vertical="center"/>
    </xf>
    <xf numFmtId="49" fontId="23" fillId="0" borderId="0" xfId="10" applyNumberFormat="1" applyFont="1" applyFill="1" applyBorder="1" applyAlignment="1">
      <alignment horizontal="left" vertical="center"/>
    </xf>
    <xf numFmtId="165" fontId="35" fillId="0" borderId="48" xfId="10" applyNumberFormat="1" applyFont="1" applyFill="1" applyBorder="1" applyAlignment="1" applyProtection="1">
      <alignment horizontal="right" vertical="center" wrapText="1"/>
    </xf>
    <xf numFmtId="165" fontId="35" fillId="0" borderId="8" xfId="10" applyNumberFormat="1" applyFont="1" applyFill="1" applyBorder="1" applyAlignment="1" applyProtection="1">
      <alignment horizontal="right" vertical="center" wrapText="1"/>
    </xf>
    <xf numFmtId="165" fontId="35" fillId="0" borderId="47" xfId="10" applyNumberFormat="1" applyFont="1" applyFill="1" applyBorder="1" applyAlignment="1" applyProtection="1">
      <alignment horizontal="right" vertical="center" wrapText="1"/>
    </xf>
    <xf numFmtId="165" fontId="35" fillId="0" borderId="50" xfId="10" applyNumberFormat="1" applyFont="1" applyFill="1" applyBorder="1" applyAlignment="1" applyProtection="1">
      <alignment horizontal="right" vertical="center" wrapText="1"/>
    </xf>
    <xf numFmtId="165" fontId="35" fillId="0" borderId="25" xfId="10" applyNumberFormat="1" applyFont="1" applyFill="1" applyBorder="1" applyAlignment="1" applyProtection="1">
      <alignment horizontal="right" vertical="center" wrapText="1"/>
    </xf>
    <xf numFmtId="165" fontId="35" fillId="0" borderId="22" xfId="10" applyNumberFormat="1" applyFont="1" applyFill="1" applyBorder="1" applyAlignment="1" applyProtection="1">
      <alignment horizontal="right" vertical="center" wrapText="1"/>
    </xf>
    <xf numFmtId="165" fontId="35" fillId="0" borderId="0" xfId="10" applyNumberFormat="1" applyFont="1" applyFill="1" applyBorder="1" applyAlignment="1" applyProtection="1">
      <alignment horizontal="right" vertical="center" wrapText="1"/>
    </xf>
    <xf numFmtId="165" fontId="35" fillId="0" borderId="21" xfId="10" applyNumberFormat="1" applyFont="1" applyFill="1" applyBorder="1" applyAlignment="1" applyProtection="1">
      <alignment horizontal="right" vertical="center" wrapText="1"/>
    </xf>
    <xf numFmtId="165" fontId="35" fillId="0" borderId="49" xfId="10" applyNumberFormat="1" applyFont="1" applyFill="1" applyBorder="1" applyAlignment="1" applyProtection="1">
      <alignment horizontal="right" vertical="center" wrapText="1"/>
    </xf>
    <xf numFmtId="0" fontId="5" fillId="12" borderId="26" xfId="0" applyFont="1" applyFill="1" applyBorder="1" applyAlignment="1">
      <alignment horizontal="center" vertical="center" wrapText="1"/>
    </xf>
    <xf numFmtId="0" fontId="5" fillId="12" borderId="15" xfId="0" applyFont="1" applyFill="1" applyBorder="1" applyAlignment="1">
      <alignment horizontal="center" vertical="center" wrapText="1"/>
    </xf>
    <xf numFmtId="165" fontId="5" fillId="12" borderId="26" xfId="15" applyNumberFormat="1" applyFont="1" applyFill="1" applyBorder="1" applyAlignment="1">
      <alignment horizontal="left" vertical="center" wrapText="1"/>
    </xf>
    <xf numFmtId="165" fontId="5" fillId="12" borderId="15" xfId="15" applyNumberFormat="1" applyFont="1" applyFill="1" applyBorder="1" applyAlignment="1">
      <alignment horizontal="left" vertical="center" wrapText="1"/>
    </xf>
    <xf numFmtId="165" fontId="5" fillId="12" borderId="16" xfId="15" applyNumberFormat="1" applyFont="1" applyFill="1" applyBorder="1" applyAlignment="1">
      <alignment horizontal="left" vertical="center" wrapText="1"/>
    </xf>
    <xf numFmtId="0" fontId="5" fillId="12" borderId="26" xfId="14" applyFont="1" applyFill="1" applyBorder="1" applyAlignment="1">
      <alignment horizontal="left" vertical="center" wrapText="1"/>
    </xf>
    <xf numFmtId="0" fontId="5" fillId="12" borderId="15" xfId="14" applyFont="1" applyFill="1" applyBorder="1" applyAlignment="1">
      <alignment horizontal="left" vertical="center" wrapText="1"/>
    </xf>
    <xf numFmtId="0" fontId="5" fillId="12" borderId="16" xfId="14" applyFont="1" applyFill="1" applyBorder="1" applyAlignment="1">
      <alignment horizontal="left" vertical="center" wrapText="1"/>
    </xf>
    <xf numFmtId="0" fontId="5" fillId="12" borderId="26"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16" xfId="0" applyFont="1" applyFill="1" applyBorder="1" applyAlignment="1">
      <alignment horizontal="left" vertical="center" wrapText="1"/>
    </xf>
    <xf numFmtId="0" fontId="8" fillId="15" borderId="0" xfId="0" applyFont="1" applyFill="1" applyBorder="1" applyAlignment="1">
      <alignment horizontal="center" vertical="center"/>
    </xf>
    <xf numFmtId="0" fontId="8" fillId="12" borderId="30" xfId="0" applyFont="1" applyFill="1" applyBorder="1" applyAlignment="1">
      <alignment horizontal="center" vertical="center"/>
    </xf>
    <xf numFmtId="0" fontId="8" fillId="12" borderId="31" xfId="0" applyFont="1" applyFill="1" applyBorder="1" applyAlignment="1">
      <alignment horizontal="center" vertical="center"/>
    </xf>
    <xf numFmtId="0" fontId="8" fillId="12" borderId="34"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8" fillId="12" borderId="34" xfId="0" applyFont="1" applyFill="1" applyBorder="1" applyAlignment="1">
      <alignment horizontal="center" vertical="center" wrapText="1"/>
    </xf>
    <xf numFmtId="0" fontId="37" fillId="19" borderId="6" xfId="9" applyFont="1" applyFill="1" applyBorder="1" applyAlignment="1" applyProtection="1">
      <alignment vertical="center" wrapText="1"/>
    </xf>
    <xf numFmtId="0" fontId="35" fillId="12" borderId="86" xfId="9" applyFont="1" applyFill="1" applyBorder="1" applyAlignment="1" applyProtection="1">
      <alignment horizontal="center" vertical="center"/>
    </xf>
    <xf numFmtId="0" fontId="35" fillId="12" borderId="31" xfId="9" applyFont="1" applyFill="1" applyBorder="1" applyAlignment="1" applyProtection="1">
      <alignment horizontal="center" vertical="center"/>
    </xf>
    <xf numFmtId="0" fontId="5" fillId="12" borderId="31" xfId="0" applyFont="1" applyFill="1" applyBorder="1" applyAlignment="1" applyProtection="1">
      <alignment horizontal="center" vertical="center"/>
    </xf>
    <xf numFmtId="0" fontId="35" fillId="12" borderId="88" xfId="9" applyFont="1" applyFill="1" applyBorder="1" applyAlignment="1" applyProtection="1">
      <alignment horizontal="center" vertical="center"/>
    </xf>
    <xf numFmtId="0" fontId="35" fillId="12" borderId="49" xfId="9" applyFont="1" applyFill="1" applyBorder="1" applyAlignment="1" applyProtection="1">
      <alignment horizontal="center" vertical="center" wrapText="1"/>
    </xf>
    <xf numFmtId="0" fontId="35" fillId="12" borderId="21" xfId="9" applyFont="1" applyFill="1" applyBorder="1" applyAlignment="1" applyProtection="1">
      <alignment horizontal="center" vertical="center" wrapText="1"/>
    </xf>
    <xf numFmtId="0" fontId="35" fillId="12" borderId="50" xfId="9" applyFont="1" applyFill="1" applyBorder="1" applyAlignment="1" applyProtection="1">
      <alignment horizontal="center" vertical="center" wrapText="1"/>
    </xf>
    <xf numFmtId="0" fontId="35" fillId="12" borderId="22" xfId="9" applyFont="1" applyFill="1" applyBorder="1" applyAlignment="1" applyProtection="1">
      <alignment horizontal="center" vertical="center" wrapText="1"/>
    </xf>
    <xf numFmtId="165" fontId="35" fillId="0" borderId="15" xfId="10" applyNumberFormat="1" applyFont="1" applyFill="1" applyBorder="1" applyAlignment="1" applyProtection="1">
      <alignment horizontal="right" vertical="center" wrapText="1"/>
    </xf>
    <xf numFmtId="165" fontId="35" fillId="0" borderId="27" xfId="10" applyNumberFormat="1" applyFont="1" applyFill="1" applyBorder="1" applyAlignment="1" applyProtection="1">
      <alignment horizontal="right" vertical="center" wrapText="1"/>
    </xf>
    <xf numFmtId="0" fontId="29" fillId="12" borderId="66" xfId="6" applyFont="1" applyFill="1" applyBorder="1" applyAlignment="1" applyProtection="1">
      <alignment horizontal="left" vertical="top"/>
      <protection locked="0"/>
    </xf>
    <xf numFmtId="0" fontId="22" fillId="12" borderId="67" xfId="6" applyFont="1" applyFill="1" applyBorder="1" applyAlignment="1" applyProtection="1">
      <alignment horizontal="left" vertical="top"/>
      <protection locked="0"/>
    </xf>
    <xf numFmtId="0" fontId="22" fillId="12" borderId="68" xfId="6" applyFont="1" applyFill="1" applyBorder="1" applyAlignment="1" applyProtection="1">
      <alignment horizontal="left" vertical="top"/>
      <protection locked="0"/>
    </xf>
    <xf numFmtId="0" fontId="22" fillId="12" borderId="69" xfId="6" applyFont="1" applyFill="1" applyBorder="1" applyAlignment="1" applyProtection="1">
      <alignment horizontal="left" vertical="top"/>
      <protection locked="0"/>
    </xf>
    <xf numFmtId="0" fontId="22" fillId="12" borderId="0" xfId="6" applyFont="1" applyFill="1" applyBorder="1" applyAlignment="1" applyProtection="1">
      <alignment horizontal="left" vertical="top"/>
      <protection locked="0"/>
    </xf>
    <xf numFmtId="0" fontId="22" fillId="12" borderId="70" xfId="6" applyFont="1" applyFill="1" applyBorder="1" applyAlignment="1" applyProtection="1">
      <alignment horizontal="left" vertical="top"/>
      <protection locked="0"/>
    </xf>
    <xf numFmtId="0" fontId="22" fillId="12" borderId="71" xfId="6" applyFont="1" applyFill="1" applyBorder="1" applyAlignment="1" applyProtection="1">
      <alignment horizontal="left" vertical="top"/>
      <protection locked="0"/>
    </xf>
    <xf numFmtId="0" fontId="22" fillId="12" borderId="72" xfId="6" applyFont="1" applyFill="1" applyBorder="1" applyAlignment="1" applyProtection="1">
      <alignment horizontal="left" vertical="top"/>
      <protection locked="0"/>
    </xf>
    <xf numFmtId="0" fontId="22" fillId="12" borderId="73" xfId="6" applyFont="1" applyFill="1" applyBorder="1" applyAlignment="1" applyProtection="1">
      <alignment horizontal="left" vertical="top"/>
      <protection locked="0"/>
    </xf>
    <xf numFmtId="0" fontId="6" fillId="12" borderId="0" xfId="0" applyFont="1" applyFill="1" applyBorder="1" applyAlignment="1" applyProtection="1">
      <alignment horizontal="left" wrapText="1"/>
    </xf>
    <xf numFmtId="49" fontId="35" fillId="12" borderId="60" xfId="9" applyNumberFormat="1" applyFont="1" applyFill="1" applyBorder="1" applyAlignment="1" applyProtection="1">
      <alignment horizontal="center" vertical="center"/>
    </xf>
    <xf numFmtId="49" fontId="35" fillId="12" borderId="45" xfId="9" applyNumberFormat="1" applyFont="1" applyFill="1" applyBorder="1" applyAlignment="1" applyProtection="1">
      <alignment horizontal="center" vertical="center"/>
    </xf>
    <xf numFmtId="49" fontId="35" fillId="7" borderId="29" xfId="9" applyNumberFormat="1" applyFont="1" applyFill="1" applyBorder="1" applyAlignment="1" applyProtection="1">
      <alignment horizontal="center" vertical="center"/>
    </xf>
    <xf numFmtId="49" fontId="35" fillId="7" borderId="60" xfId="9" applyNumberFormat="1" applyFont="1" applyFill="1" applyBorder="1" applyAlignment="1" applyProtection="1">
      <alignment horizontal="center" vertical="center"/>
    </xf>
    <xf numFmtId="49" fontId="35" fillId="7" borderId="32" xfId="9" applyNumberFormat="1" applyFont="1" applyFill="1" applyBorder="1" applyAlignment="1" applyProtection="1">
      <alignment horizontal="center" vertical="center"/>
    </xf>
    <xf numFmtId="49" fontId="35" fillId="7" borderId="45" xfId="9" applyNumberFormat="1" applyFont="1" applyFill="1" applyBorder="1" applyAlignment="1" applyProtection="1">
      <alignment horizontal="center" vertical="center"/>
    </xf>
    <xf numFmtId="49" fontId="35" fillId="0" borderId="60" xfId="9" applyNumberFormat="1" applyFont="1" applyFill="1" applyBorder="1" applyAlignment="1" applyProtection="1">
      <alignment horizontal="center" vertical="center"/>
    </xf>
    <xf numFmtId="49" fontId="35" fillId="0" borderId="45" xfId="9" applyNumberFormat="1" applyFont="1" applyFill="1" applyBorder="1" applyAlignment="1" applyProtection="1">
      <alignment horizontal="center" vertical="center"/>
    </xf>
    <xf numFmtId="3" fontId="35" fillId="12" borderId="48" xfId="10" applyNumberFormat="1" applyFont="1" applyFill="1" applyBorder="1" applyAlignment="1" applyProtection="1">
      <alignment horizontal="right" vertical="center" wrapText="1"/>
    </xf>
    <xf numFmtId="3" fontId="35" fillId="12" borderId="8" xfId="10" applyNumberFormat="1" applyFont="1" applyFill="1" applyBorder="1" applyAlignment="1" applyProtection="1">
      <alignment horizontal="right" vertical="center" wrapText="1"/>
    </xf>
    <xf numFmtId="3" fontId="35" fillId="12" borderId="0" xfId="0" applyNumberFormat="1" applyFont="1" applyFill="1" applyBorder="1" applyAlignment="1" applyProtection="1">
      <alignment horizontal="center" vertical="center"/>
    </xf>
    <xf numFmtId="3" fontId="35" fillId="12" borderId="47" xfId="10" applyNumberFormat="1" applyFont="1" applyFill="1" applyBorder="1" applyAlignment="1" applyProtection="1">
      <alignment horizontal="right" vertical="center" wrapText="1"/>
    </xf>
    <xf numFmtId="3" fontId="35" fillId="12" borderId="50" xfId="10" applyNumberFormat="1" applyFont="1" applyFill="1" applyBorder="1" applyAlignment="1" applyProtection="1">
      <alignment horizontal="right" vertical="center" wrapText="1"/>
    </xf>
    <xf numFmtId="3" fontId="35" fillId="12" borderId="25" xfId="10" applyNumberFormat="1" applyFont="1" applyFill="1" applyBorder="1" applyAlignment="1" applyProtection="1">
      <alignment horizontal="right" vertical="center" wrapText="1"/>
    </xf>
    <xf numFmtId="3" fontId="35" fillId="12" borderId="22" xfId="10" applyNumberFormat="1" applyFont="1" applyFill="1" applyBorder="1" applyAlignment="1" applyProtection="1">
      <alignment horizontal="right" vertical="center" wrapText="1"/>
    </xf>
    <xf numFmtId="0" fontId="12" fillId="14" borderId="0" xfId="9" applyFont="1" applyFill="1" applyBorder="1" applyAlignment="1" applyProtection="1">
      <alignment horizontal="center" vertical="center"/>
    </xf>
    <xf numFmtId="0" fontId="26" fillId="11" borderId="0" xfId="6" applyFont="1" applyFill="1" applyBorder="1" applyAlignment="1" applyProtection="1">
      <alignment horizontal="center" vertical="center"/>
    </xf>
    <xf numFmtId="0" fontId="35" fillId="12" borderId="86" xfId="9" applyFont="1" applyFill="1" applyBorder="1" applyAlignment="1" applyProtection="1">
      <alignment horizontal="center" vertical="center" wrapText="1"/>
    </xf>
    <xf numFmtId="0" fontId="35" fillId="12" borderId="31" xfId="9" applyFont="1" applyFill="1" applyBorder="1" applyAlignment="1" applyProtection="1">
      <alignment horizontal="center" vertical="center" wrapText="1"/>
    </xf>
    <xf numFmtId="0" fontId="5" fillId="12" borderId="31" xfId="0" applyFont="1" applyFill="1" applyBorder="1" applyAlignment="1" applyProtection="1">
      <alignment horizontal="center" vertical="center" wrapText="1"/>
    </xf>
    <xf numFmtId="0" fontId="35" fillId="12" borderId="88" xfId="9" applyFont="1" applyFill="1" applyBorder="1" applyAlignment="1" applyProtection="1">
      <alignment horizontal="center" vertical="center" wrapText="1"/>
    </xf>
  </cellXfs>
  <cellStyles count="34">
    <cellStyle name="Comma" xfId="1" builtinId="3"/>
    <cellStyle name="Comma 2" xfId="2"/>
    <cellStyle name="Comma 2 2" xfId="10"/>
    <cellStyle name="Comma 2 2 2" xfId="18"/>
    <cellStyle name="Comma 2 3" xfId="19"/>
    <cellStyle name="Comma 3" xfId="15"/>
    <cellStyle name="Comma 4" xfId="20"/>
    <cellStyle name="Currency" xfId="3" builtinId="4"/>
    <cellStyle name="Currency 2" xfId="4"/>
    <cellStyle name="Currency 2 2" xfId="11"/>
    <cellStyle name="Currency 2 2 2" xfId="21"/>
    <cellStyle name="Currency 2 3" xfId="22"/>
    <cellStyle name="Currency 3" xfId="17"/>
    <cellStyle name="Currency 4" xfId="23"/>
    <cellStyle name="Hyperlink" xfId="5" builtinId="8"/>
    <cellStyle name="Hyperlink 2" xfId="24"/>
    <cellStyle name="Normal" xfId="0" builtinId="0"/>
    <cellStyle name="Normal 2" xfId="6"/>
    <cellStyle name="Normal 2 2" xfId="9"/>
    <cellStyle name="Normal 2 2 2" xfId="25"/>
    <cellStyle name="Normal 2 3" xfId="26"/>
    <cellStyle name="Normal 3" xfId="13"/>
    <cellStyle name="Normal 4" xfId="14"/>
    <cellStyle name="Normal 4 2" xfId="16"/>
    <cellStyle name="Normal 5" xfId="31"/>
    <cellStyle name="Normal 6" xfId="32"/>
    <cellStyle name="Normal 7" xfId="33"/>
    <cellStyle name="Percent" xfId="7" builtinId="5"/>
    <cellStyle name="Percent 2" xfId="8"/>
    <cellStyle name="Percent 2 2" xfId="12"/>
    <cellStyle name="Percent 2 2 2" xfId="27"/>
    <cellStyle name="Percent 2 3" xfId="28"/>
    <cellStyle name="Percent 3" xfId="29"/>
    <cellStyle name="Percent 4" xfId="30"/>
  </cellStyles>
  <dxfs count="1034">
    <dxf>
      <font>
        <color rgb="FFFF0000"/>
      </font>
    </dxf>
    <dxf>
      <font>
        <color rgb="FFFF0000"/>
      </font>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ill>
        <patternFill patternType="lightUp">
          <bgColor theme="5" tint="0.59996337778862885"/>
        </patternFill>
      </fill>
    </dxf>
    <dxf>
      <fill>
        <patternFill patternType="lightUp">
          <bgColor theme="5" tint="0.59996337778862885"/>
        </patternFill>
      </fill>
    </dxf>
    <dxf>
      <font>
        <color rgb="FFFF0000"/>
      </font>
    </dxf>
    <dxf>
      <font>
        <color rgb="FFFF0000"/>
      </font>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C000"/>
        </patternFill>
      </fill>
    </dxf>
    <dxf>
      <font>
        <color theme="0"/>
      </font>
      <fill>
        <patternFill>
          <bgColor rgb="FF00B0F0"/>
        </patternFill>
      </fill>
      <border>
        <left style="thin">
          <color indexed="22"/>
        </left>
        <right style="thin">
          <color indexed="22"/>
        </right>
        <top style="thin">
          <color indexed="22"/>
        </top>
        <bottom style="thin">
          <color indexed="22"/>
        </bottom>
      </border>
    </dxf>
    <dxf>
      <font>
        <color theme="0"/>
      </font>
      <fill>
        <patternFill>
          <bgColor rgb="FFFF0000"/>
        </patternFill>
      </fill>
    </dxf>
    <dxf>
      <font>
        <color theme="0"/>
      </font>
      <fill>
        <patternFill>
          <bgColor rgb="FF92D050"/>
        </patternFill>
      </fill>
    </dxf>
    <dxf>
      <font>
        <color theme="0"/>
      </font>
      <fill>
        <patternFill>
          <fgColor theme="0"/>
          <bgColor rgb="FFFF000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fgColor theme="0"/>
          <bgColor rgb="FFFF000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rgb="FFFF0000"/>
      </font>
    </dxf>
    <dxf>
      <font>
        <color rgb="FFFF0000"/>
      </font>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rgb="FFFF0000"/>
      </font>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rgb="FFFF0000"/>
      </font>
    </dxf>
    <dxf>
      <font>
        <color theme="0"/>
      </font>
      <fill>
        <patternFill>
          <bgColor rgb="FFFF0000"/>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00B0F0"/>
        </patternFill>
      </fill>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92D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rgb="FFFF0000"/>
      </font>
    </dxf>
    <dxf>
      <font>
        <color rgb="FFFF0000"/>
      </font>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auto="1"/>
      </font>
      <fill>
        <patternFill>
          <bgColor theme="5" tint="0.79998168889431442"/>
        </patternFill>
      </fill>
    </dxf>
    <dxf>
      <font>
        <color auto="1"/>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tint="-0.499984740745262"/>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auto="1"/>
      </font>
      <fill>
        <patternFill>
          <bgColor theme="5" tint="0.79998168889431442"/>
        </patternFill>
      </fill>
    </dxf>
    <dxf>
      <font>
        <color theme="0"/>
      </font>
      <fill>
        <patternFill>
          <bgColor rgb="FFFF0000"/>
        </patternFill>
      </fill>
    </dxf>
    <dxf>
      <font>
        <color theme="0"/>
      </font>
      <fill>
        <patternFill>
          <bgColor rgb="FF00B0F0"/>
        </patternFill>
      </fill>
    </dxf>
    <dxf>
      <font>
        <color theme="0"/>
      </font>
      <fill>
        <patternFill>
          <bgColor rgb="FFFF0000"/>
        </patternFill>
      </fill>
    </dxf>
    <dxf>
      <font>
        <color auto="1"/>
      </font>
      <fill>
        <patternFill>
          <bgColor theme="5" tint="0.79998168889431442"/>
        </patternFill>
      </fill>
    </dxf>
    <dxf>
      <font>
        <color theme="0" tint="-0.499984740745262"/>
      </font>
      <fill>
        <patternFill>
          <bgColor theme="5" tint="0.79998168889431442"/>
        </patternFill>
      </fill>
    </dxf>
    <dxf>
      <font>
        <color theme="0"/>
      </font>
      <fill>
        <patternFill>
          <bgColor rgb="FF00B0F0"/>
        </patternFill>
      </fill>
    </dxf>
    <dxf>
      <font>
        <color theme="0"/>
      </font>
      <fill>
        <patternFill>
          <bgColor rgb="FFFFC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theme="5" tint="0.79998168889431442"/>
        </patternFill>
      </fill>
    </dxf>
    <dxf>
      <font>
        <color theme="0"/>
      </font>
      <fill>
        <patternFill>
          <bgColor theme="5" tint="0.79998168889431442"/>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theme="0"/>
      </font>
      <fill>
        <patternFill>
          <bgColor rgb="FF92D050"/>
        </patternFill>
      </fill>
    </dxf>
    <dxf>
      <font>
        <color theme="0"/>
      </font>
      <fill>
        <patternFill>
          <bgColor rgb="FFFFC000"/>
        </patternFill>
      </fill>
    </dxf>
    <dxf>
      <font>
        <color theme="0"/>
      </font>
      <fill>
        <patternFill>
          <bgColor rgb="FF00B0F0"/>
        </patternFill>
      </fill>
    </dxf>
    <dxf>
      <font>
        <color theme="0"/>
      </font>
      <fill>
        <patternFill>
          <bgColor rgb="FFFFC000"/>
        </patternFill>
      </fill>
    </dxf>
    <dxf>
      <font>
        <color theme="0"/>
      </font>
      <fill>
        <patternFill>
          <bgColor rgb="FF00B0F0"/>
        </patternFill>
      </fill>
    </dxf>
    <dxf>
      <font>
        <color theme="0"/>
      </font>
      <fill>
        <patternFill>
          <bgColor rgb="FFFFC000"/>
        </patternFill>
      </fill>
    </dxf>
    <dxf>
      <font>
        <color theme="0"/>
      </font>
      <fill>
        <patternFill>
          <bgColor rgb="FF00B0F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theme="5" tint="0.79998168889431442"/>
        </patternFill>
      </fill>
    </dxf>
    <dxf>
      <font>
        <color auto="1"/>
      </font>
      <fill>
        <patternFill patternType="darkUp">
          <bgColor theme="5" tint="0.39991454817346722"/>
        </patternFill>
      </fill>
    </dxf>
    <dxf>
      <font>
        <b/>
        <i val="0"/>
        <color theme="0"/>
      </font>
      <fill>
        <patternFill>
          <bgColor rgb="FFFF6600"/>
        </patternFill>
      </fill>
    </dxf>
    <dxf>
      <font>
        <b/>
        <i val="0"/>
        <color theme="0"/>
      </font>
      <fill>
        <patternFill>
          <bgColor rgb="FF0000FF"/>
        </patternFill>
      </fill>
    </dxf>
    <dxf>
      <font>
        <b/>
        <i val="0"/>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auto="1"/>
      </font>
      <fill>
        <patternFill patternType="none">
          <bgColor auto="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92D050"/>
        </patternFill>
      </fill>
    </dxf>
    <dxf>
      <font>
        <color theme="0"/>
      </font>
      <fill>
        <patternFill>
          <bgColor theme="5" tint="0.79998168889431442"/>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33"/>
      <tableStyleElement type="headerRow" dxfId="103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D2B3FF"/>
      <rgbColor rgb="000000FF"/>
      <rgbColor rgb="00FFFF00"/>
      <rgbColor rgb="00FF00FF"/>
      <rgbColor rgb="0085AD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929FE0"/>
      <rgbColor rgb="00CCFFFF"/>
      <rgbColor rgb="00CCFFCC"/>
      <rgbColor rgb="00FFFFBB"/>
      <rgbColor rgb="00E8D1FF"/>
      <rgbColor rgb="00FEBCC9"/>
      <rgbColor rgb="00EEB28A"/>
      <rgbColor rgb="00FFDC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77C7C5"/>
      <rgbColor rgb="00333399"/>
      <rgbColor rgb="00333333"/>
    </indexedColors>
    <mruColors>
      <color rgb="FF85ADE9"/>
      <color rgb="FFFFFFCC"/>
      <color rgb="FF333399"/>
      <color rgb="FF339966"/>
      <color rgb="FFFF6600"/>
      <color rgb="FF0000FF"/>
      <color rgb="FFDBE5F1"/>
      <color rgb="FF003300"/>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xdr:col>
      <xdr:colOff>180975</xdr:colOff>
      <xdr:row>6</xdr:row>
      <xdr:rowOff>85725</xdr:rowOff>
    </xdr:from>
    <xdr:to>
      <xdr:col>5</xdr:col>
      <xdr:colOff>447675</xdr:colOff>
      <xdr:row>6</xdr:row>
      <xdr:rowOff>619125</xdr:rowOff>
    </xdr:to>
    <xdr:sp macro="" textlink="">
      <xdr:nvSpPr>
        <xdr:cNvPr id="14304" name="AutoShape 184"/>
        <xdr:cNvSpPr>
          <a:spLocks noChangeArrowheads="1"/>
        </xdr:cNvSpPr>
      </xdr:nvSpPr>
      <xdr:spPr bwMode="auto">
        <a:xfrm>
          <a:off x="1323975" y="1171575"/>
          <a:ext cx="1485900" cy="533400"/>
        </a:xfrm>
        <a:prstGeom prst="upArrowCallout">
          <a:avLst>
            <a:gd name="adj1" fmla="val 69643"/>
            <a:gd name="adj2" fmla="val 69643"/>
            <a:gd name="adj3" fmla="val 16667"/>
            <a:gd name="adj4" fmla="val 66667"/>
          </a:avLst>
        </a:prstGeom>
        <a:solidFill>
          <a:srgbClr val="FFFFFF"/>
        </a:solidFill>
        <a:ln w="9525">
          <a:solidFill>
            <a:srgbClr val="000000"/>
          </a:solidFill>
          <a:miter lim="800000"/>
          <a:headEnd/>
          <a:tailEnd/>
        </a:ln>
      </xdr:spPr>
    </xdr:sp>
    <xdr:clientData/>
  </xdr:twoCellAnchor>
  <xdr:twoCellAnchor editAs="oneCell">
    <xdr:from>
      <xdr:col>3</xdr:col>
      <xdr:colOff>171450</xdr:colOff>
      <xdr:row>6</xdr:row>
      <xdr:rowOff>266700</xdr:rowOff>
    </xdr:from>
    <xdr:to>
      <xdr:col>5</xdr:col>
      <xdr:colOff>476250</xdr:colOff>
      <xdr:row>6</xdr:row>
      <xdr:rowOff>581025</xdr:rowOff>
    </xdr:to>
    <xdr:sp macro="" textlink="">
      <xdr:nvSpPr>
        <xdr:cNvPr id="13497" name="Text Box 185"/>
        <xdr:cNvSpPr txBox="1">
          <a:spLocks noChangeArrowheads="1"/>
        </xdr:cNvSpPr>
      </xdr:nvSpPr>
      <xdr:spPr bwMode="auto">
        <a:xfrm>
          <a:off x="1314450" y="1352550"/>
          <a:ext cx="1524000" cy="314325"/>
        </a:xfrm>
        <a:prstGeom prst="rect">
          <a:avLst/>
        </a:prstGeom>
        <a:noFill/>
        <a:ln w="9525">
          <a:noFill/>
          <a:miter lim="800000"/>
          <a:headEnd/>
          <a:tailEnd/>
        </a:ln>
        <a:effectLst/>
      </xdr:spPr>
      <xdr:txBody>
        <a:bodyPr vertOverflow="clip" wrap="square" lIns="27432" tIns="27432" rIns="27432" bIns="0" anchor="t" upright="1"/>
        <a:lstStyle/>
        <a:p>
          <a:pPr algn="ctr" rtl="0">
            <a:defRPr sz="1000"/>
          </a:pPr>
          <a:r>
            <a:rPr lang="en-US" sz="800" b="1" i="0" u="none" strike="noStrike" baseline="0">
              <a:solidFill>
                <a:srgbClr val="FF0000"/>
              </a:solidFill>
              <a:latin typeface="Arial Narrow"/>
            </a:rPr>
            <a:t>Enter user-specified growth rates in columns d,e,and f, above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11907</xdr:colOff>
      <xdr:row>5</xdr:row>
      <xdr:rowOff>7936</xdr:rowOff>
    </xdr:from>
    <xdr:to>
      <xdr:col>2</xdr:col>
      <xdr:colOff>2730862</xdr:colOff>
      <xdr:row>6</xdr:row>
      <xdr:rowOff>60477</xdr:rowOff>
    </xdr:to>
    <xdr:sp macro="[0]!InstMxFac" textlink="">
      <xdr:nvSpPr>
        <xdr:cNvPr id="2" name="Rectangle 1"/>
        <xdr:cNvSpPr>
          <a:spLocks noChangeArrowheads="1"/>
        </xdr:cNvSpPr>
      </xdr:nvSpPr>
      <xdr:spPr bwMode="auto">
        <a:xfrm>
          <a:off x="554832" y="998536"/>
          <a:ext cx="2718955" cy="214466"/>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algn="ctr" rtl="0">
            <a:defRPr sz="1000"/>
          </a:pPr>
          <a:r>
            <a:rPr lang="en-US" sz="1000" b="1" i="0" u="none" strike="noStrike" baseline="0">
              <a:solidFill>
                <a:schemeClr val="tx2">
                  <a:lumMod val="75000"/>
                </a:schemeClr>
              </a:solidFill>
              <a:latin typeface="Arial" pitchFamily="34" charset="0"/>
              <a:cs typeface="Arial" pitchFamily="34" charset="0"/>
            </a:rPr>
            <a:t>Jump to Instructions</a:t>
          </a:r>
        </a:p>
      </xdr:txBody>
    </xdr:sp>
    <xdr:clientData/>
  </xdr:twoCellAnchor>
  <xdr:twoCellAnchor>
    <xdr:from>
      <xdr:col>2</xdr:col>
      <xdr:colOff>1308</xdr:colOff>
      <xdr:row>6</xdr:row>
      <xdr:rowOff>175950</xdr:rowOff>
    </xdr:from>
    <xdr:to>
      <xdr:col>2</xdr:col>
      <xdr:colOff>2717076</xdr:colOff>
      <xdr:row>7</xdr:row>
      <xdr:rowOff>137469</xdr:rowOff>
    </xdr:to>
    <xdr:sp macro="[0]!InstCost" textlink="">
      <xdr:nvSpPr>
        <xdr:cNvPr id="3" name="Rectangle 7"/>
        <xdr:cNvSpPr>
          <a:spLocks noChangeArrowheads="1"/>
        </xdr:cNvSpPr>
      </xdr:nvSpPr>
      <xdr:spPr bwMode="auto">
        <a:xfrm>
          <a:off x="544233" y="1328475"/>
          <a:ext cx="2715768" cy="199644"/>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marL="0" indent="0" algn="ctr" rtl="0">
            <a:defRPr sz="1000"/>
          </a:pPr>
          <a:r>
            <a:rPr lang="en-US" sz="1000" b="1" i="0" u="none" strike="noStrike" baseline="0">
              <a:solidFill>
                <a:schemeClr val="tx2">
                  <a:lumMod val="75000"/>
                </a:schemeClr>
              </a:solidFill>
              <a:latin typeface="Arial" pitchFamily="34" charset="0"/>
              <a:ea typeface="+mn-ea"/>
              <a:cs typeface="Arial" pitchFamily="34" charset="0"/>
            </a:rPr>
            <a:t>Jump to Replacement Cost Instructions </a:t>
          </a:r>
        </a:p>
      </xdr:txBody>
    </xdr:sp>
    <xdr:clientData/>
  </xdr:twoCellAnchor>
  <xdr:twoCellAnchor>
    <xdr:from>
      <xdr:col>2</xdr:col>
      <xdr:colOff>0</xdr:colOff>
      <xdr:row>8</xdr:row>
      <xdr:rowOff>46305</xdr:rowOff>
    </xdr:from>
    <xdr:to>
      <xdr:col>2</xdr:col>
      <xdr:colOff>2713121</xdr:colOff>
      <xdr:row>9</xdr:row>
      <xdr:rowOff>26874</xdr:rowOff>
    </xdr:to>
    <xdr:sp macro="[0]!InsertMntRow" textlink="">
      <xdr:nvSpPr>
        <xdr:cNvPr id="4" name="Rectangle 3"/>
        <xdr:cNvSpPr>
          <a:spLocks noChangeArrowheads="1"/>
        </xdr:cNvSpPr>
      </xdr:nvSpPr>
      <xdr:spPr bwMode="auto">
        <a:xfrm>
          <a:off x="545041" y="1675080"/>
          <a:ext cx="2711005" cy="218694"/>
        </a:xfrm>
        <a:prstGeom prst="rect">
          <a:avLst/>
        </a:prstGeom>
        <a:solidFill>
          <a:schemeClr val="tx2">
            <a:lumMod val="40000"/>
            <a:lumOff val="60000"/>
          </a:schemeClr>
        </a:solidFill>
        <a:ln w="9525">
          <a:solidFill>
            <a:srgbClr val="969696"/>
          </a:solidFill>
          <a:miter lim="800000"/>
          <a:headEnd/>
          <a:tailEnd/>
        </a:ln>
        <a:effectLst/>
        <a:scene3d>
          <a:camera prst="orthographicFront"/>
          <a:lightRig rig="threePt" dir="t"/>
        </a:scene3d>
        <a:sp3d>
          <a:bevelT w="38100" h="38100"/>
        </a:sp3d>
      </xdr:spPr>
      <xdr:txBody>
        <a:bodyPr vertOverflow="clip" wrap="square" lIns="27432" tIns="27432" rIns="27432" bIns="0" anchor="t" upright="1"/>
        <a:lstStyle/>
        <a:p>
          <a:pPr marL="0" indent="0" algn="ctr" rtl="0">
            <a:defRPr sz="1000"/>
          </a:pPr>
          <a:r>
            <a:rPr lang="en-US" sz="1000" b="1" i="0" u="none" strike="noStrike" baseline="0">
              <a:solidFill>
                <a:schemeClr val="tx2">
                  <a:lumMod val="75000"/>
                </a:schemeClr>
              </a:solidFill>
              <a:latin typeface="Arial" pitchFamily="34" charset="0"/>
              <a:ea typeface="+mn-ea"/>
              <a:cs typeface="Arial" pitchFamily="34" charset="0"/>
            </a:rPr>
            <a:t>If &gt; 100 Segments, Press to Insert Row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95250</xdr:colOff>
      <xdr:row>3</xdr:row>
      <xdr:rowOff>9525</xdr:rowOff>
    </xdr:from>
    <xdr:to>
      <xdr:col>14</xdr:col>
      <xdr:colOff>85724</xdr:colOff>
      <xdr:row>5</xdr:row>
      <xdr:rowOff>95250</xdr:rowOff>
    </xdr:to>
    <xdr:sp macro="" textlink="">
      <xdr:nvSpPr>
        <xdr:cNvPr id="11268" name="Text Box 4"/>
        <xdr:cNvSpPr txBox="1">
          <a:spLocks noChangeArrowheads="1"/>
        </xdr:cNvSpPr>
      </xdr:nvSpPr>
      <xdr:spPr bwMode="auto">
        <a:xfrm>
          <a:off x="8220075" y="381000"/>
          <a:ext cx="1419224" cy="533400"/>
        </a:xfrm>
        <a:prstGeom prst="rect">
          <a:avLst/>
        </a:prstGeom>
        <a:noFill/>
        <a:ln w="9525">
          <a:noFill/>
          <a:miter lim="800000"/>
          <a:headEnd/>
          <a:tailEnd/>
        </a:ln>
        <a:effectLst/>
      </xdr:spPr>
      <xdr:txBody>
        <a:bodyPr vertOverflow="clip" wrap="square" lIns="36576" tIns="36576" rIns="0" bIns="0" anchor="t" upright="1"/>
        <a:lstStyle/>
        <a:p>
          <a:pPr algn="l" rtl="0">
            <a:defRPr sz="1000"/>
          </a:pPr>
          <a:r>
            <a:rPr lang="en-US" sz="2000" b="1" i="0" u="none" strike="noStrike" baseline="0">
              <a:solidFill>
                <a:srgbClr val="000000"/>
              </a:solidFill>
              <a:latin typeface="Arial Narrow"/>
            </a:rPr>
            <a:t>Legend</a:t>
          </a:r>
        </a:p>
      </xdr:txBody>
    </xdr:sp>
    <xdr:clientData/>
  </xdr:twoCellAnchor>
  <xdr:twoCellAnchor>
    <xdr:from>
      <xdr:col>13</xdr:col>
      <xdr:colOff>47626</xdr:colOff>
      <xdr:row>4</xdr:row>
      <xdr:rowOff>66674</xdr:rowOff>
    </xdr:from>
    <xdr:to>
      <xdr:col>16</xdr:col>
      <xdr:colOff>152401</xdr:colOff>
      <xdr:row>4</xdr:row>
      <xdr:rowOff>76199</xdr:rowOff>
    </xdr:to>
    <xdr:sp macro="" textlink="">
      <xdr:nvSpPr>
        <xdr:cNvPr id="12281" name="Line 5"/>
        <xdr:cNvSpPr>
          <a:spLocks noChangeShapeType="1"/>
        </xdr:cNvSpPr>
      </xdr:nvSpPr>
      <xdr:spPr bwMode="auto">
        <a:xfrm>
          <a:off x="8172451" y="752474"/>
          <a:ext cx="2209800" cy="9525"/>
        </a:xfrm>
        <a:prstGeom prst="line">
          <a:avLst/>
        </a:prstGeom>
        <a:noFill/>
        <a:ln w="3810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9525</xdr:rowOff>
    </xdr:from>
    <xdr:to>
      <xdr:col>4</xdr:col>
      <xdr:colOff>9525</xdr:colOff>
      <xdr:row>4</xdr:row>
      <xdr:rowOff>28575</xdr:rowOff>
    </xdr:to>
    <xdr:sp macro="" textlink="">
      <xdr:nvSpPr>
        <xdr:cNvPr id="10241" name="Text Box 1"/>
        <xdr:cNvSpPr txBox="1">
          <a:spLocks noChangeArrowheads="1"/>
        </xdr:cNvSpPr>
      </xdr:nvSpPr>
      <xdr:spPr bwMode="auto">
        <a:xfrm>
          <a:off x="104775" y="9525"/>
          <a:ext cx="2228850" cy="609600"/>
        </a:xfrm>
        <a:prstGeom prst="rect">
          <a:avLst/>
        </a:prstGeom>
        <a:solidFill>
          <a:srgbClr val="000000"/>
        </a:solidFill>
        <a:ln w="9525">
          <a:noFill/>
          <a:miter lim="800000"/>
          <a:headEnd/>
          <a:tailEnd/>
        </a:ln>
        <a:effectLst/>
      </xdr:spPr>
      <xdr:txBody>
        <a:bodyPr vertOverflow="clip" wrap="square" lIns="45720" tIns="36576" rIns="45720" bIns="36576" anchor="ctr" upright="1"/>
        <a:lstStyle/>
        <a:p>
          <a:pPr algn="ctr" rtl="0">
            <a:defRPr sz="1000"/>
          </a:pPr>
          <a:r>
            <a:rPr lang="en-US" sz="1800" b="0" i="0" u="none" strike="noStrike" baseline="0">
              <a:solidFill>
                <a:srgbClr val="FFFFFF"/>
              </a:solidFill>
              <a:latin typeface="Arial MT Black"/>
            </a:rPr>
            <a:t>C o d e 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C0C0C0"/>
        </a:soli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C0C0C0"/>
        </a:soli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C117"/>
  <sheetViews>
    <sheetView showGridLines="0" workbookViewId="0">
      <pane xSplit="2" ySplit="10" topLeftCell="C92" activePane="bottomRight" state="frozen"/>
      <selection activeCell="C40" sqref="C40"/>
      <selection pane="topRight" activeCell="C40" sqref="C40"/>
      <selection pane="bottomLeft" activeCell="C40" sqref="C40"/>
      <selection pane="bottomRight" activeCell="D6" sqref="D6"/>
    </sheetView>
  </sheetViews>
  <sheetFormatPr defaultColWidth="9.140625" defaultRowHeight="12.75" x14ac:dyDescent="0.2"/>
  <cols>
    <col min="1" max="1" width="2" style="78" customWidth="1"/>
    <col min="2" max="2" width="6" style="78" customWidth="1"/>
    <col min="3" max="53" width="9.140625" style="78"/>
    <col min="54" max="54" width="5.140625" style="78" customWidth="1"/>
    <col min="55" max="55" width="2.5703125" style="78" customWidth="1"/>
    <col min="56" max="16384" width="9.140625" style="78"/>
  </cols>
  <sheetData>
    <row r="1" spans="1:55" x14ac:dyDescent="0.2">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15.75" x14ac:dyDescent="0.25">
      <c r="A2" s="5"/>
      <c r="B2" s="5"/>
      <c r="C2" s="6" t="s">
        <v>236</v>
      </c>
      <c r="D2" s="4"/>
      <c r="E2" s="4"/>
      <c r="F2" s="4"/>
      <c r="G2" s="4"/>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5.75" x14ac:dyDescent="0.25">
      <c r="A3" s="5"/>
      <c r="B3" s="5"/>
      <c r="C3" s="6" t="s">
        <v>237</v>
      </c>
      <c r="D3" s="4"/>
      <c r="E3" s="4"/>
      <c r="F3" s="4"/>
      <c r="G3" s="4"/>
      <c r="H3" s="4"/>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13.5" thickBo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s="79" customFormat="1" ht="14.25" thickBot="1" x14ac:dyDescent="0.3">
      <c r="A5" s="69"/>
      <c r="B5" s="66"/>
      <c r="C5" s="66"/>
      <c r="D5" s="1993" t="s">
        <v>81</v>
      </c>
      <c r="E5" s="1994"/>
      <c r="F5" s="1995"/>
      <c r="G5" s="67"/>
      <c r="H5" s="68"/>
      <c r="I5" s="1996" t="s">
        <v>115</v>
      </c>
      <c r="J5" s="1997"/>
      <c r="K5" s="1997"/>
      <c r="L5" s="1997"/>
      <c r="M5" s="1997"/>
      <c r="N5" s="1997"/>
      <c r="O5" s="1997"/>
      <c r="P5" s="1997"/>
      <c r="Q5" s="1997"/>
      <c r="R5" s="1997"/>
      <c r="S5" s="1997"/>
      <c r="T5" s="1997"/>
      <c r="U5" s="1997"/>
      <c r="V5" s="1998"/>
      <c r="W5" s="1996" t="s">
        <v>41</v>
      </c>
      <c r="X5" s="1997"/>
      <c r="Y5" s="1997"/>
      <c r="Z5" s="1997"/>
      <c r="AA5" s="1997"/>
      <c r="AB5" s="1997"/>
      <c r="AC5" s="1997"/>
      <c r="AD5" s="1997"/>
      <c r="AE5" s="1997"/>
      <c r="AF5" s="1997"/>
      <c r="AG5" s="1997"/>
      <c r="AH5" s="1997"/>
      <c r="AI5" s="1997"/>
      <c r="AJ5" s="1997"/>
      <c r="AK5" s="1997"/>
      <c r="AL5" s="1997"/>
      <c r="AM5" s="1997"/>
      <c r="AN5" s="1997"/>
      <c r="AO5" s="1997"/>
      <c r="AP5" s="1997"/>
      <c r="AQ5" s="1997"/>
      <c r="AR5" s="1997"/>
      <c r="AS5" s="1997"/>
      <c r="AT5" s="1997"/>
      <c r="AU5" s="1997"/>
      <c r="AV5" s="1997"/>
      <c r="AW5" s="1997"/>
      <c r="AX5" s="1997"/>
      <c r="AY5" s="1997"/>
      <c r="AZ5" s="1997"/>
      <c r="BA5" s="1997"/>
      <c r="BB5" s="1998"/>
      <c r="BC5" s="69"/>
    </row>
    <row r="6" spans="1:55" ht="13.5" x14ac:dyDescent="0.25">
      <c r="A6" s="5"/>
      <c r="B6" s="32"/>
      <c r="C6" s="32"/>
      <c r="D6" s="82">
        <v>0.01</v>
      </c>
      <c r="E6" s="83">
        <v>0.04</v>
      </c>
      <c r="F6" s="84">
        <v>0.05</v>
      </c>
      <c r="G6" s="33"/>
      <c r="H6" s="34"/>
      <c r="I6" s="35" t="s">
        <v>116</v>
      </c>
      <c r="J6" s="36" t="s">
        <v>117</v>
      </c>
      <c r="K6" s="36" t="s">
        <v>118</v>
      </c>
      <c r="L6" s="36" t="s">
        <v>121</v>
      </c>
      <c r="M6" s="36" t="s">
        <v>119</v>
      </c>
      <c r="N6" s="36" t="s">
        <v>122</v>
      </c>
      <c r="O6" s="36" t="s">
        <v>120</v>
      </c>
      <c r="P6" s="36" t="s">
        <v>123</v>
      </c>
      <c r="Q6" s="36" t="s">
        <v>124</v>
      </c>
      <c r="R6" s="36" t="s">
        <v>125</v>
      </c>
      <c r="S6" s="36" t="s">
        <v>126</v>
      </c>
      <c r="T6" s="36" t="s">
        <v>127</v>
      </c>
      <c r="U6" s="36" t="s">
        <v>128</v>
      </c>
      <c r="V6" s="37" t="s">
        <v>129</v>
      </c>
      <c r="W6" s="38">
        <v>7.1</v>
      </c>
      <c r="X6" s="1999">
        <v>7.7</v>
      </c>
      <c r="Y6" s="1999"/>
      <c r="Z6" s="2000"/>
      <c r="AA6" s="1999">
        <v>7.8</v>
      </c>
      <c r="AB6" s="1999"/>
      <c r="AC6" s="1999"/>
      <c r="AD6" s="1999"/>
      <c r="AE6" s="1999"/>
      <c r="AF6" s="1999"/>
      <c r="AG6" s="1999"/>
      <c r="AH6" s="1999"/>
      <c r="AI6" s="1999"/>
      <c r="AJ6" s="1999"/>
      <c r="AK6" s="1999"/>
      <c r="AL6" s="1999"/>
      <c r="AM6" s="1999"/>
      <c r="AN6" s="1999"/>
      <c r="AO6" s="1999"/>
      <c r="AP6" s="1999"/>
      <c r="AQ6" s="2000"/>
      <c r="AR6" s="1999">
        <v>7.11</v>
      </c>
      <c r="AS6" s="2000"/>
      <c r="AT6" s="1999">
        <v>7.13</v>
      </c>
      <c r="AU6" s="1999"/>
      <c r="AV6" s="1999"/>
      <c r="AW6" s="1999"/>
      <c r="AX6" s="1999"/>
      <c r="AY6" s="2000"/>
      <c r="AZ6" s="2001">
        <v>7.14</v>
      </c>
      <c r="BA6" s="2002"/>
      <c r="BB6" s="39"/>
      <c r="BC6" s="5"/>
    </row>
    <row r="7" spans="1:55" ht="76.5" x14ac:dyDescent="0.25">
      <c r="A7" s="5"/>
      <c r="B7" s="40"/>
      <c r="C7" s="41" t="s">
        <v>130</v>
      </c>
      <c r="D7" s="46"/>
      <c r="E7" s="76"/>
      <c r="F7" s="70"/>
      <c r="G7" s="1991" t="s">
        <v>131</v>
      </c>
      <c r="H7" s="1992"/>
      <c r="I7" s="42" t="s">
        <v>132</v>
      </c>
      <c r="J7" s="43" t="s">
        <v>133</v>
      </c>
      <c r="K7" s="43" t="s">
        <v>134</v>
      </c>
      <c r="L7" s="43" t="s">
        <v>137</v>
      </c>
      <c r="M7" s="43" t="s">
        <v>135</v>
      </c>
      <c r="N7" s="43" t="s">
        <v>30</v>
      </c>
      <c r="O7" s="43" t="s">
        <v>136</v>
      </c>
      <c r="P7" s="43" t="s">
        <v>31</v>
      </c>
      <c r="Q7" s="43" t="s">
        <v>32</v>
      </c>
      <c r="R7" s="43" t="s">
        <v>31</v>
      </c>
      <c r="S7" s="43" t="s">
        <v>32</v>
      </c>
      <c r="T7" s="43" t="s">
        <v>32</v>
      </c>
      <c r="U7" s="43" t="s">
        <v>33</v>
      </c>
      <c r="V7" s="44" t="s">
        <v>33</v>
      </c>
      <c r="W7" s="45" t="s">
        <v>34</v>
      </c>
      <c r="X7" s="1989" t="s">
        <v>35</v>
      </c>
      <c r="Y7" s="1989"/>
      <c r="Z7" s="1990"/>
      <c r="AA7" s="1989" t="s">
        <v>36</v>
      </c>
      <c r="AB7" s="1989"/>
      <c r="AC7" s="1989"/>
      <c r="AD7" s="1989"/>
      <c r="AE7" s="1989"/>
      <c r="AF7" s="1989"/>
      <c r="AG7" s="1989"/>
      <c r="AH7" s="1989"/>
      <c r="AI7" s="1989"/>
      <c r="AJ7" s="1989"/>
      <c r="AK7" s="1989"/>
      <c r="AL7" s="1989"/>
      <c r="AM7" s="1989"/>
      <c r="AN7" s="1989"/>
      <c r="AO7" s="1989"/>
      <c r="AP7" s="1989"/>
      <c r="AQ7" s="1990"/>
      <c r="AR7" s="1989" t="s">
        <v>37</v>
      </c>
      <c r="AS7" s="1990"/>
      <c r="AT7" s="1989" t="s">
        <v>38</v>
      </c>
      <c r="AU7" s="1989"/>
      <c r="AV7" s="1989"/>
      <c r="AW7" s="1989"/>
      <c r="AX7" s="1989"/>
      <c r="AY7" s="1990"/>
      <c r="AZ7" s="1991" t="s">
        <v>34</v>
      </c>
      <c r="BA7" s="1992"/>
      <c r="BB7" s="41"/>
      <c r="BC7" s="5"/>
    </row>
    <row r="8" spans="1:55" ht="64.5" thickBot="1" x14ac:dyDescent="0.3">
      <c r="A8" s="5"/>
      <c r="B8" s="41"/>
      <c r="C8" s="41" t="s">
        <v>78</v>
      </c>
      <c r="D8" s="46" t="str">
        <f>REPLACE("User-Defined / ",99,0,TEXT(D6,"0.00%"))</f>
        <v>User-Defined / 1.00%</v>
      </c>
      <c r="E8" s="76" t="str">
        <f>REPLACE("User-Defined / ",99,0,TEXT(E6,"0.00%"))</f>
        <v>User-Defined / 4.00%</v>
      </c>
      <c r="F8" s="70" t="str">
        <f>REPLACE("User-Defined / ",99,0,TEXT(F6,"0.00%"))</f>
        <v>User-Defined / 5.00%</v>
      </c>
      <c r="G8" s="46" t="s">
        <v>79</v>
      </c>
      <c r="H8" s="47" t="s">
        <v>80</v>
      </c>
      <c r="I8" s="42" t="s">
        <v>42</v>
      </c>
      <c r="J8" s="43" t="s">
        <v>43</v>
      </c>
      <c r="K8" s="43" t="s">
        <v>44</v>
      </c>
      <c r="L8" s="43" t="s">
        <v>47</v>
      </c>
      <c r="M8" s="43" t="s">
        <v>45</v>
      </c>
      <c r="N8" s="43" t="s">
        <v>48</v>
      </c>
      <c r="O8" s="43" t="s">
        <v>46</v>
      </c>
      <c r="P8" s="43" t="s">
        <v>49</v>
      </c>
      <c r="Q8" s="43" t="s">
        <v>50</v>
      </c>
      <c r="R8" s="43" t="s">
        <v>51</v>
      </c>
      <c r="S8" s="43" t="s">
        <v>52</v>
      </c>
      <c r="T8" s="43" t="s">
        <v>53</v>
      </c>
      <c r="U8" s="43" t="s">
        <v>54</v>
      </c>
      <c r="V8" s="44" t="s">
        <v>172</v>
      </c>
      <c r="W8" s="48" t="s">
        <v>173</v>
      </c>
      <c r="X8" s="49" t="s">
        <v>174</v>
      </c>
      <c r="Y8" s="50" t="s">
        <v>175</v>
      </c>
      <c r="Z8" s="51" t="s">
        <v>176</v>
      </c>
      <c r="AA8" s="49" t="s">
        <v>177</v>
      </c>
      <c r="AB8" s="50" t="s">
        <v>178</v>
      </c>
      <c r="AC8" s="50" t="s">
        <v>179</v>
      </c>
      <c r="AD8" s="50" t="s">
        <v>180</v>
      </c>
      <c r="AE8" s="50" t="s">
        <v>181</v>
      </c>
      <c r="AF8" s="50" t="s">
        <v>85</v>
      </c>
      <c r="AG8" s="50" t="s">
        <v>182</v>
      </c>
      <c r="AH8" s="50" t="s">
        <v>183</v>
      </c>
      <c r="AI8" s="50" t="s">
        <v>184</v>
      </c>
      <c r="AJ8" s="50" t="s">
        <v>185</v>
      </c>
      <c r="AK8" s="50" t="s">
        <v>62</v>
      </c>
      <c r="AL8" s="50" t="s">
        <v>63</v>
      </c>
      <c r="AM8" s="50" t="s">
        <v>64</v>
      </c>
      <c r="AN8" s="50" t="s">
        <v>65</v>
      </c>
      <c r="AO8" s="50" t="s">
        <v>66</v>
      </c>
      <c r="AP8" s="50" t="s">
        <v>67</v>
      </c>
      <c r="AQ8" s="51" t="s">
        <v>68</v>
      </c>
      <c r="AR8" s="49" t="s">
        <v>69</v>
      </c>
      <c r="AS8" s="51" t="s">
        <v>70</v>
      </c>
      <c r="AT8" s="49" t="s">
        <v>71</v>
      </c>
      <c r="AU8" s="50" t="s">
        <v>72</v>
      </c>
      <c r="AV8" s="50" t="s">
        <v>73</v>
      </c>
      <c r="AW8" s="50" t="s">
        <v>72</v>
      </c>
      <c r="AX8" s="50" t="s">
        <v>96</v>
      </c>
      <c r="AY8" s="51" t="s">
        <v>74</v>
      </c>
      <c r="AZ8" s="49" t="s">
        <v>75</v>
      </c>
      <c r="BA8" s="51" t="s">
        <v>76</v>
      </c>
      <c r="BB8" s="44"/>
      <c r="BC8" s="5"/>
    </row>
    <row r="9" spans="1:55" ht="14.25" thickBot="1" x14ac:dyDescent="0.3">
      <c r="A9" s="5"/>
      <c r="B9" s="52" t="s">
        <v>77</v>
      </c>
      <c r="C9" s="52">
        <v>1913</v>
      </c>
      <c r="D9" s="53">
        <v>1908</v>
      </c>
      <c r="E9" s="55">
        <v>1908</v>
      </c>
      <c r="F9" s="71">
        <v>1908</v>
      </c>
      <c r="G9" s="53">
        <v>1915</v>
      </c>
      <c r="H9" s="54">
        <v>1908</v>
      </c>
      <c r="I9" s="53">
        <v>1987</v>
      </c>
      <c r="J9" s="55">
        <v>1987</v>
      </c>
      <c r="K9" s="55">
        <v>1987</v>
      </c>
      <c r="L9" s="55">
        <v>1985</v>
      </c>
      <c r="M9" s="55">
        <v>1947</v>
      </c>
      <c r="N9" s="55">
        <v>1967</v>
      </c>
      <c r="O9" s="55">
        <v>1986</v>
      </c>
      <c r="P9" s="55">
        <v>1985</v>
      </c>
      <c r="Q9" s="55">
        <v>1964</v>
      </c>
      <c r="R9" s="55">
        <v>1985</v>
      </c>
      <c r="S9" s="55">
        <v>1967</v>
      </c>
      <c r="T9" s="55">
        <v>1976</v>
      </c>
      <c r="U9" s="55">
        <v>1983</v>
      </c>
      <c r="V9" s="54">
        <v>1983</v>
      </c>
      <c r="W9" s="45">
        <v>1929</v>
      </c>
      <c r="X9" s="56">
        <v>1929</v>
      </c>
      <c r="Y9" s="43">
        <v>1929</v>
      </c>
      <c r="Z9" s="57">
        <v>1929</v>
      </c>
      <c r="AA9" s="56">
        <v>1929</v>
      </c>
      <c r="AB9" s="43">
        <v>1929</v>
      </c>
      <c r="AC9" s="43">
        <v>1929</v>
      </c>
      <c r="AD9" s="43">
        <v>1946</v>
      </c>
      <c r="AE9" s="43">
        <v>1929</v>
      </c>
      <c r="AF9" s="43">
        <v>1929</v>
      </c>
      <c r="AG9" s="43">
        <v>1929</v>
      </c>
      <c r="AH9" s="43">
        <v>1929</v>
      </c>
      <c r="AI9" s="43">
        <v>1946</v>
      </c>
      <c r="AJ9" s="43">
        <v>1929</v>
      </c>
      <c r="AK9" s="43">
        <v>1929</v>
      </c>
      <c r="AL9" s="43">
        <v>1929</v>
      </c>
      <c r="AM9" s="43">
        <v>1929</v>
      </c>
      <c r="AN9" s="43">
        <v>1929</v>
      </c>
      <c r="AO9" s="43">
        <v>1946</v>
      </c>
      <c r="AP9" s="43">
        <v>1929</v>
      </c>
      <c r="AQ9" s="57">
        <v>1946</v>
      </c>
      <c r="AR9" s="56">
        <v>1929</v>
      </c>
      <c r="AS9" s="57">
        <v>1929</v>
      </c>
      <c r="AT9" s="56">
        <v>1929</v>
      </c>
      <c r="AU9" s="43">
        <v>1929</v>
      </c>
      <c r="AV9" s="43">
        <v>1929</v>
      </c>
      <c r="AW9" s="43">
        <v>1929</v>
      </c>
      <c r="AX9" s="43">
        <v>1929</v>
      </c>
      <c r="AY9" s="57">
        <v>1929</v>
      </c>
      <c r="AZ9" s="56">
        <v>1929</v>
      </c>
      <c r="BA9" s="57">
        <v>1929</v>
      </c>
      <c r="BB9" s="54"/>
      <c r="BC9" s="5"/>
    </row>
    <row r="10" spans="1:55" ht="12.75" customHeight="1" thickBot="1" x14ac:dyDescent="0.25">
      <c r="A10" s="5"/>
      <c r="B10" s="58" t="s">
        <v>86</v>
      </c>
      <c r="C10" s="58">
        <v>1</v>
      </c>
      <c r="D10" s="59">
        <f>+C10+1</f>
        <v>2</v>
      </c>
      <c r="E10" s="61">
        <f>+D10+1</f>
        <v>3</v>
      </c>
      <c r="F10" s="72">
        <f>+E10+1</f>
        <v>4</v>
      </c>
      <c r="G10" s="59">
        <f>+F10+1</f>
        <v>5</v>
      </c>
      <c r="H10" s="60">
        <f t="shared" ref="H10:BA10" si="0">G10+1</f>
        <v>6</v>
      </c>
      <c r="I10" s="59">
        <f t="shared" si="0"/>
        <v>7</v>
      </c>
      <c r="J10" s="61">
        <f t="shared" si="0"/>
        <v>8</v>
      </c>
      <c r="K10" s="61">
        <f t="shared" si="0"/>
        <v>9</v>
      </c>
      <c r="L10" s="61">
        <f t="shared" si="0"/>
        <v>10</v>
      </c>
      <c r="M10" s="61">
        <f t="shared" si="0"/>
        <v>11</v>
      </c>
      <c r="N10" s="61">
        <f t="shared" si="0"/>
        <v>12</v>
      </c>
      <c r="O10" s="61">
        <f t="shared" si="0"/>
        <v>13</v>
      </c>
      <c r="P10" s="61">
        <f t="shared" si="0"/>
        <v>14</v>
      </c>
      <c r="Q10" s="61">
        <f t="shared" si="0"/>
        <v>15</v>
      </c>
      <c r="R10" s="61">
        <f t="shared" si="0"/>
        <v>16</v>
      </c>
      <c r="S10" s="61">
        <f t="shared" si="0"/>
        <v>17</v>
      </c>
      <c r="T10" s="61">
        <f t="shared" si="0"/>
        <v>18</v>
      </c>
      <c r="U10" s="61">
        <f t="shared" si="0"/>
        <v>19</v>
      </c>
      <c r="V10" s="60">
        <f t="shared" si="0"/>
        <v>20</v>
      </c>
      <c r="W10" s="58">
        <f t="shared" si="0"/>
        <v>21</v>
      </c>
      <c r="X10" s="62">
        <f t="shared" si="0"/>
        <v>22</v>
      </c>
      <c r="Y10" s="61">
        <f t="shared" si="0"/>
        <v>23</v>
      </c>
      <c r="Z10" s="63">
        <f t="shared" si="0"/>
        <v>24</v>
      </c>
      <c r="AA10" s="62">
        <f t="shared" si="0"/>
        <v>25</v>
      </c>
      <c r="AB10" s="61">
        <f t="shared" si="0"/>
        <v>26</v>
      </c>
      <c r="AC10" s="61">
        <f t="shared" si="0"/>
        <v>27</v>
      </c>
      <c r="AD10" s="61">
        <f t="shared" si="0"/>
        <v>28</v>
      </c>
      <c r="AE10" s="61">
        <f t="shared" si="0"/>
        <v>29</v>
      </c>
      <c r="AF10" s="61">
        <f t="shared" si="0"/>
        <v>30</v>
      </c>
      <c r="AG10" s="61">
        <f t="shared" si="0"/>
        <v>31</v>
      </c>
      <c r="AH10" s="61">
        <f t="shared" si="0"/>
        <v>32</v>
      </c>
      <c r="AI10" s="61">
        <f t="shared" si="0"/>
        <v>33</v>
      </c>
      <c r="AJ10" s="61">
        <f t="shared" si="0"/>
        <v>34</v>
      </c>
      <c r="AK10" s="61">
        <f t="shared" si="0"/>
        <v>35</v>
      </c>
      <c r="AL10" s="61">
        <f t="shared" si="0"/>
        <v>36</v>
      </c>
      <c r="AM10" s="61">
        <f t="shared" si="0"/>
        <v>37</v>
      </c>
      <c r="AN10" s="61">
        <f t="shared" si="0"/>
        <v>38</v>
      </c>
      <c r="AO10" s="61">
        <f t="shared" si="0"/>
        <v>39</v>
      </c>
      <c r="AP10" s="61">
        <f t="shared" si="0"/>
        <v>40</v>
      </c>
      <c r="AQ10" s="63">
        <f t="shared" si="0"/>
        <v>41</v>
      </c>
      <c r="AR10" s="62">
        <f t="shared" si="0"/>
        <v>42</v>
      </c>
      <c r="AS10" s="63">
        <f t="shared" si="0"/>
        <v>43</v>
      </c>
      <c r="AT10" s="62">
        <f t="shared" si="0"/>
        <v>44</v>
      </c>
      <c r="AU10" s="61">
        <f t="shared" si="0"/>
        <v>45</v>
      </c>
      <c r="AV10" s="61">
        <f t="shared" si="0"/>
        <v>46</v>
      </c>
      <c r="AW10" s="61">
        <f t="shared" si="0"/>
        <v>47</v>
      </c>
      <c r="AX10" s="61">
        <f t="shared" si="0"/>
        <v>48</v>
      </c>
      <c r="AY10" s="63">
        <f t="shared" si="0"/>
        <v>49</v>
      </c>
      <c r="AZ10" s="62">
        <f t="shared" si="0"/>
        <v>50</v>
      </c>
      <c r="BA10" s="63">
        <f t="shared" si="0"/>
        <v>51</v>
      </c>
      <c r="BB10" s="60" t="s">
        <v>98</v>
      </c>
      <c r="BC10" s="5"/>
    </row>
    <row r="11" spans="1:55" s="80" customFormat="1" x14ac:dyDescent="0.2">
      <c r="A11" s="21"/>
      <c r="B11" s="64">
        <f t="shared" ref="B11:B30" si="1">B12-1</f>
        <v>1908</v>
      </c>
      <c r="C11" s="7"/>
      <c r="D11" s="8">
        <f t="shared" ref="D11:D74" si="2">+D12*(1+D$6)</f>
        <v>2.5480569802562365</v>
      </c>
      <c r="E11" s="9">
        <f t="shared" ref="E11:E74" si="3">+E12*(1+E$6)</f>
        <v>39.914794171276597</v>
      </c>
      <c r="F11" s="73">
        <f t="shared" ref="F11:F74" si="4">+F12*(1+F$6)</f>
        <v>98.128263281995174</v>
      </c>
      <c r="G11" s="8"/>
      <c r="H11" s="10">
        <v>67.351328965078608</v>
      </c>
      <c r="I11" s="8"/>
      <c r="J11" s="9"/>
      <c r="K11" s="9"/>
      <c r="L11" s="9"/>
      <c r="M11" s="9"/>
      <c r="N11" s="9"/>
      <c r="O11" s="9"/>
      <c r="P11" s="9"/>
      <c r="Q11" s="9"/>
      <c r="R11" s="9"/>
      <c r="S11" s="9"/>
      <c r="T11" s="9"/>
      <c r="U11" s="9"/>
      <c r="V11" s="10"/>
      <c r="W11" s="7"/>
      <c r="X11" s="11"/>
      <c r="Y11" s="9"/>
      <c r="Z11" s="12"/>
      <c r="AA11" s="11"/>
      <c r="AB11" s="9"/>
      <c r="AC11" s="9"/>
      <c r="AD11" s="9"/>
      <c r="AE11" s="9"/>
      <c r="AF11" s="9"/>
      <c r="AG11" s="9"/>
      <c r="AH11" s="9"/>
      <c r="AI11" s="9"/>
      <c r="AJ11" s="9"/>
      <c r="AK11" s="9"/>
      <c r="AL11" s="9"/>
      <c r="AM11" s="9"/>
      <c r="AN11" s="9"/>
      <c r="AO11" s="9"/>
      <c r="AP11" s="9"/>
      <c r="AQ11" s="12"/>
      <c r="AR11" s="11"/>
      <c r="AS11" s="12"/>
      <c r="AT11" s="11"/>
      <c r="AU11" s="9"/>
      <c r="AV11" s="9"/>
      <c r="AW11" s="9"/>
      <c r="AX11" s="9"/>
      <c r="AY11" s="12"/>
      <c r="AZ11" s="11"/>
      <c r="BA11" s="12"/>
      <c r="BB11" s="13"/>
      <c r="BC11" s="21"/>
    </row>
    <row r="12" spans="1:55" s="80" customFormat="1" x14ac:dyDescent="0.2">
      <c r="A12" s="21"/>
      <c r="B12" s="65">
        <f t="shared" si="1"/>
        <v>1909</v>
      </c>
      <c r="C12" s="14"/>
      <c r="D12" s="15">
        <f t="shared" si="2"/>
        <v>2.5228286933230066</v>
      </c>
      <c r="E12" s="16">
        <f t="shared" si="3"/>
        <v>38.37960978007365</v>
      </c>
      <c r="F12" s="74">
        <f t="shared" si="4"/>
        <v>93.455488839995397</v>
      </c>
      <c r="G12" s="15"/>
      <c r="H12" s="17">
        <v>71.792075929809073</v>
      </c>
      <c r="I12" s="15"/>
      <c r="J12" s="16"/>
      <c r="K12" s="16"/>
      <c r="L12" s="16"/>
      <c r="M12" s="16"/>
      <c r="N12" s="16"/>
      <c r="O12" s="16"/>
      <c r="P12" s="16"/>
      <c r="Q12" s="16"/>
      <c r="R12" s="16"/>
      <c r="S12" s="16"/>
      <c r="T12" s="16"/>
      <c r="U12" s="16"/>
      <c r="V12" s="17"/>
      <c r="W12" s="14"/>
      <c r="X12" s="18"/>
      <c r="Y12" s="16"/>
      <c r="Z12" s="19"/>
      <c r="AA12" s="18"/>
      <c r="AB12" s="16"/>
      <c r="AC12" s="16"/>
      <c r="AD12" s="16"/>
      <c r="AE12" s="16"/>
      <c r="AF12" s="16"/>
      <c r="AG12" s="16"/>
      <c r="AH12" s="16"/>
      <c r="AI12" s="16"/>
      <c r="AJ12" s="16"/>
      <c r="AK12" s="16"/>
      <c r="AL12" s="16"/>
      <c r="AM12" s="16"/>
      <c r="AN12" s="16"/>
      <c r="AO12" s="16"/>
      <c r="AP12" s="16"/>
      <c r="AQ12" s="19"/>
      <c r="AR12" s="18"/>
      <c r="AS12" s="19"/>
      <c r="AT12" s="18"/>
      <c r="AU12" s="16"/>
      <c r="AV12" s="16"/>
      <c r="AW12" s="16"/>
      <c r="AX12" s="16"/>
      <c r="AY12" s="19"/>
      <c r="AZ12" s="18"/>
      <c r="BA12" s="19"/>
      <c r="BB12" s="20"/>
      <c r="BC12" s="21"/>
    </row>
    <row r="13" spans="1:55" s="80" customFormat="1" x14ac:dyDescent="0.2">
      <c r="A13" s="21"/>
      <c r="B13" s="64">
        <f t="shared" si="1"/>
        <v>1910</v>
      </c>
      <c r="C13" s="22"/>
      <c r="D13" s="23">
        <f t="shared" si="2"/>
        <v>2.4978501914089173</v>
      </c>
      <c r="E13" s="77">
        <f t="shared" si="3"/>
        <v>36.903470942378512</v>
      </c>
      <c r="F13" s="75">
        <f t="shared" si="4"/>
        <v>89.005227466662276</v>
      </c>
      <c r="G13" s="23"/>
      <c r="H13" s="24">
        <v>68.052905308464844</v>
      </c>
      <c r="I13" s="8"/>
      <c r="J13" s="9"/>
      <c r="K13" s="9"/>
      <c r="L13" s="9"/>
      <c r="M13" s="9"/>
      <c r="N13" s="9"/>
      <c r="O13" s="9"/>
      <c r="P13" s="9"/>
      <c r="Q13" s="9"/>
      <c r="R13" s="9"/>
      <c r="S13" s="9"/>
      <c r="T13" s="9"/>
      <c r="U13" s="9"/>
      <c r="V13" s="10"/>
      <c r="W13" s="7"/>
      <c r="X13" s="11"/>
      <c r="Y13" s="9"/>
      <c r="Z13" s="12"/>
      <c r="AA13" s="11"/>
      <c r="AB13" s="9"/>
      <c r="AC13" s="9"/>
      <c r="AD13" s="9"/>
      <c r="AE13" s="9"/>
      <c r="AF13" s="9"/>
      <c r="AG13" s="9"/>
      <c r="AH13" s="9"/>
      <c r="AI13" s="9"/>
      <c r="AJ13" s="9"/>
      <c r="AK13" s="9"/>
      <c r="AL13" s="9"/>
      <c r="AM13" s="9"/>
      <c r="AN13" s="9"/>
      <c r="AO13" s="9"/>
      <c r="AP13" s="9"/>
      <c r="AQ13" s="12"/>
      <c r="AR13" s="11"/>
      <c r="AS13" s="12"/>
      <c r="AT13" s="11"/>
      <c r="AU13" s="9"/>
      <c r="AV13" s="9"/>
      <c r="AW13" s="9"/>
      <c r="AX13" s="9"/>
      <c r="AY13" s="12"/>
      <c r="AZ13" s="11"/>
      <c r="BA13" s="12"/>
      <c r="BB13" s="13"/>
      <c r="BC13" s="21"/>
    </row>
    <row r="14" spans="1:55" s="80" customFormat="1" x14ac:dyDescent="0.2">
      <c r="A14" s="21"/>
      <c r="B14" s="64">
        <f t="shared" si="1"/>
        <v>1911</v>
      </c>
      <c r="C14" s="22"/>
      <c r="D14" s="23">
        <f t="shared" si="2"/>
        <v>2.4731190013949678</v>
      </c>
      <c r="E14" s="77">
        <f t="shared" si="3"/>
        <v>35.484106675363954</v>
      </c>
      <c r="F14" s="75">
        <f t="shared" si="4"/>
        <v>84.766883301583121</v>
      </c>
      <c r="G14" s="23"/>
      <c r="H14" s="24">
        <v>70.24816031841533</v>
      </c>
      <c r="I14" s="8"/>
      <c r="J14" s="9"/>
      <c r="K14" s="9"/>
      <c r="L14" s="9"/>
      <c r="M14" s="9"/>
      <c r="N14" s="9"/>
      <c r="O14" s="9"/>
      <c r="P14" s="9"/>
      <c r="Q14" s="9"/>
      <c r="R14" s="9"/>
      <c r="S14" s="9"/>
      <c r="T14" s="9"/>
      <c r="U14" s="9"/>
      <c r="V14" s="10"/>
      <c r="W14" s="7"/>
      <c r="X14" s="11"/>
      <c r="Y14" s="9"/>
      <c r="Z14" s="12"/>
      <c r="AA14" s="11"/>
      <c r="AB14" s="9"/>
      <c r="AC14" s="9"/>
      <c r="AD14" s="9"/>
      <c r="AE14" s="9"/>
      <c r="AF14" s="9"/>
      <c r="AG14" s="9"/>
      <c r="AH14" s="9"/>
      <c r="AI14" s="9"/>
      <c r="AJ14" s="9"/>
      <c r="AK14" s="9"/>
      <c r="AL14" s="9"/>
      <c r="AM14" s="9"/>
      <c r="AN14" s="9"/>
      <c r="AO14" s="9"/>
      <c r="AP14" s="9"/>
      <c r="AQ14" s="12"/>
      <c r="AR14" s="11"/>
      <c r="AS14" s="12"/>
      <c r="AT14" s="11"/>
      <c r="AU14" s="9"/>
      <c r="AV14" s="9"/>
      <c r="AW14" s="9"/>
      <c r="AX14" s="9"/>
      <c r="AY14" s="12"/>
      <c r="AZ14" s="11"/>
      <c r="BA14" s="12"/>
      <c r="BB14" s="13"/>
      <c r="BC14" s="21"/>
    </row>
    <row r="15" spans="1:55" s="80" customFormat="1" x14ac:dyDescent="0.2">
      <c r="A15" s="21"/>
      <c r="B15" s="64">
        <f t="shared" si="1"/>
        <v>1912</v>
      </c>
      <c r="C15" s="22"/>
      <c r="D15" s="23">
        <f t="shared" si="2"/>
        <v>2.4486326746484828</v>
      </c>
      <c r="E15" s="77">
        <f t="shared" si="3"/>
        <v>34.119333341696105</v>
      </c>
      <c r="F15" s="75">
        <f t="shared" si="4"/>
        <v>80.730365049126775</v>
      </c>
      <c r="G15" s="23"/>
      <c r="H15" s="24">
        <v>71.792075929809073</v>
      </c>
      <c r="I15" s="8"/>
      <c r="J15" s="9"/>
      <c r="K15" s="9"/>
      <c r="L15" s="9"/>
      <c r="M15" s="9"/>
      <c r="N15" s="9"/>
      <c r="O15" s="9"/>
      <c r="P15" s="9"/>
      <c r="Q15" s="9"/>
      <c r="R15" s="9"/>
      <c r="S15" s="9"/>
      <c r="T15" s="9"/>
      <c r="U15" s="9"/>
      <c r="V15" s="10"/>
      <c r="W15" s="7"/>
      <c r="X15" s="11"/>
      <c r="Y15" s="9"/>
      <c r="Z15" s="12"/>
      <c r="AA15" s="11"/>
      <c r="AB15" s="9"/>
      <c r="AC15" s="9"/>
      <c r="AD15" s="9"/>
      <c r="AE15" s="9"/>
      <c r="AF15" s="9"/>
      <c r="AG15" s="9"/>
      <c r="AH15" s="9"/>
      <c r="AI15" s="9"/>
      <c r="AJ15" s="9"/>
      <c r="AK15" s="9"/>
      <c r="AL15" s="9"/>
      <c r="AM15" s="9"/>
      <c r="AN15" s="9"/>
      <c r="AO15" s="9"/>
      <c r="AP15" s="9"/>
      <c r="AQ15" s="12"/>
      <c r="AR15" s="11"/>
      <c r="AS15" s="12"/>
      <c r="AT15" s="11"/>
      <c r="AU15" s="9"/>
      <c r="AV15" s="9"/>
      <c r="AW15" s="9"/>
      <c r="AX15" s="9"/>
      <c r="AY15" s="12"/>
      <c r="AZ15" s="11"/>
      <c r="BA15" s="12"/>
      <c r="BB15" s="13"/>
      <c r="BC15" s="21"/>
    </row>
    <row r="16" spans="1:55" s="80" customFormat="1" x14ac:dyDescent="0.2">
      <c r="A16" s="21"/>
      <c r="B16" s="64">
        <f t="shared" si="1"/>
        <v>1913</v>
      </c>
      <c r="C16" s="22">
        <v>23.402744444444444</v>
      </c>
      <c r="D16" s="23">
        <f t="shared" si="2"/>
        <v>2.4243887867806762</v>
      </c>
      <c r="E16" s="77">
        <f t="shared" si="3"/>
        <v>32.80705129009241</v>
      </c>
      <c r="F16" s="75">
        <f t="shared" si="4"/>
        <v>76.886061951549308</v>
      </c>
      <c r="G16" s="23"/>
      <c r="H16" s="24">
        <v>65.330789096126253</v>
      </c>
      <c r="I16" s="8"/>
      <c r="J16" s="9"/>
      <c r="K16" s="9"/>
      <c r="L16" s="9"/>
      <c r="M16" s="9"/>
      <c r="N16" s="9"/>
      <c r="O16" s="9"/>
      <c r="P16" s="9"/>
      <c r="Q16" s="9"/>
      <c r="R16" s="9"/>
      <c r="S16" s="9"/>
      <c r="T16" s="9"/>
      <c r="U16" s="9"/>
      <c r="V16" s="10"/>
      <c r="W16" s="7"/>
      <c r="X16" s="11"/>
      <c r="Y16" s="9"/>
      <c r="Z16" s="12"/>
      <c r="AA16" s="11"/>
      <c r="AB16" s="9"/>
      <c r="AC16" s="9"/>
      <c r="AD16" s="9"/>
      <c r="AE16" s="9"/>
      <c r="AF16" s="9"/>
      <c r="AG16" s="9"/>
      <c r="AH16" s="9"/>
      <c r="AI16" s="9"/>
      <c r="AJ16" s="9"/>
      <c r="AK16" s="9"/>
      <c r="AL16" s="9"/>
      <c r="AM16" s="9"/>
      <c r="AN16" s="9"/>
      <c r="AO16" s="9"/>
      <c r="AP16" s="9"/>
      <c r="AQ16" s="12"/>
      <c r="AR16" s="11"/>
      <c r="AS16" s="12"/>
      <c r="AT16" s="11"/>
      <c r="AU16" s="9"/>
      <c r="AV16" s="9"/>
      <c r="AW16" s="9"/>
      <c r="AX16" s="9"/>
      <c r="AY16" s="12"/>
      <c r="AZ16" s="11"/>
      <c r="BA16" s="12"/>
      <c r="BB16" s="13"/>
      <c r="BC16" s="21"/>
    </row>
    <row r="17" spans="1:55" s="80" customFormat="1" x14ac:dyDescent="0.2">
      <c r="A17" s="21"/>
      <c r="B17" s="65">
        <f t="shared" si="1"/>
        <v>1914</v>
      </c>
      <c r="C17" s="14">
        <v>23.168717000000001</v>
      </c>
      <c r="D17" s="15">
        <f t="shared" si="2"/>
        <v>2.40038493740661</v>
      </c>
      <c r="E17" s="16">
        <f t="shared" si="3"/>
        <v>31.545241625088853</v>
      </c>
      <c r="F17" s="74">
        <f t="shared" si="4"/>
        <v>73.22482090623744</v>
      </c>
      <c r="G17" s="15"/>
      <c r="H17" s="17">
        <v>73.405381006883431</v>
      </c>
      <c r="I17" s="15"/>
      <c r="J17" s="16"/>
      <c r="K17" s="16"/>
      <c r="L17" s="16"/>
      <c r="M17" s="16"/>
      <c r="N17" s="16"/>
      <c r="O17" s="16"/>
      <c r="P17" s="16"/>
      <c r="Q17" s="16"/>
      <c r="R17" s="16"/>
      <c r="S17" s="16"/>
      <c r="T17" s="16"/>
      <c r="U17" s="16"/>
      <c r="V17" s="17"/>
      <c r="W17" s="14"/>
      <c r="X17" s="18"/>
      <c r="Y17" s="16"/>
      <c r="Z17" s="19"/>
      <c r="AA17" s="18"/>
      <c r="AB17" s="16"/>
      <c r="AC17" s="16"/>
      <c r="AD17" s="16"/>
      <c r="AE17" s="16"/>
      <c r="AF17" s="16"/>
      <c r="AG17" s="16"/>
      <c r="AH17" s="16"/>
      <c r="AI17" s="16"/>
      <c r="AJ17" s="16"/>
      <c r="AK17" s="16"/>
      <c r="AL17" s="16"/>
      <c r="AM17" s="16"/>
      <c r="AN17" s="16"/>
      <c r="AO17" s="16"/>
      <c r="AP17" s="16"/>
      <c r="AQ17" s="19"/>
      <c r="AR17" s="18"/>
      <c r="AS17" s="19"/>
      <c r="AT17" s="18"/>
      <c r="AU17" s="16"/>
      <c r="AV17" s="16"/>
      <c r="AW17" s="16"/>
      <c r="AX17" s="16"/>
      <c r="AY17" s="19"/>
      <c r="AZ17" s="18"/>
      <c r="BA17" s="19"/>
      <c r="BB17" s="20"/>
      <c r="BC17" s="21"/>
    </row>
    <row r="18" spans="1:55" s="80" customFormat="1" x14ac:dyDescent="0.2">
      <c r="A18" s="21"/>
      <c r="B18" s="64">
        <f t="shared" si="1"/>
        <v>1915</v>
      </c>
      <c r="C18" s="22">
        <v>22.93932376237624</v>
      </c>
      <c r="D18" s="23">
        <f t="shared" si="2"/>
        <v>2.3766187499075344</v>
      </c>
      <c r="E18" s="77">
        <f t="shared" si="3"/>
        <v>30.331963101046973</v>
      </c>
      <c r="F18" s="75">
        <f t="shared" si="4"/>
        <v>69.737924672607079</v>
      </c>
      <c r="G18" s="23">
        <v>38.099827339842818</v>
      </c>
      <c r="H18" s="24">
        <v>70.24816031841533</v>
      </c>
      <c r="I18" s="8"/>
      <c r="J18" s="9"/>
      <c r="K18" s="9"/>
      <c r="L18" s="9"/>
      <c r="M18" s="9"/>
      <c r="N18" s="9"/>
      <c r="O18" s="9"/>
      <c r="P18" s="9"/>
      <c r="Q18" s="9"/>
      <c r="R18" s="9"/>
      <c r="S18" s="9"/>
      <c r="T18" s="9"/>
      <c r="U18" s="9"/>
      <c r="V18" s="10"/>
      <c r="W18" s="7"/>
      <c r="X18" s="11"/>
      <c r="Y18" s="9"/>
      <c r="Z18" s="12"/>
      <c r="AA18" s="11"/>
      <c r="AB18" s="9"/>
      <c r="AC18" s="9"/>
      <c r="AD18" s="9"/>
      <c r="AE18" s="9"/>
      <c r="AF18" s="9"/>
      <c r="AG18" s="9"/>
      <c r="AH18" s="9"/>
      <c r="AI18" s="9"/>
      <c r="AJ18" s="9"/>
      <c r="AK18" s="9"/>
      <c r="AL18" s="9"/>
      <c r="AM18" s="9"/>
      <c r="AN18" s="9"/>
      <c r="AO18" s="9"/>
      <c r="AP18" s="9"/>
      <c r="AQ18" s="12"/>
      <c r="AR18" s="11"/>
      <c r="AS18" s="12"/>
      <c r="AT18" s="11"/>
      <c r="AU18" s="9"/>
      <c r="AV18" s="9"/>
      <c r="AW18" s="9"/>
      <c r="AX18" s="9"/>
      <c r="AY18" s="12"/>
      <c r="AZ18" s="11"/>
      <c r="BA18" s="12"/>
      <c r="BB18" s="13"/>
      <c r="BC18" s="21"/>
    </row>
    <row r="19" spans="1:55" s="80" customFormat="1" x14ac:dyDescent="0.2">
      <c r="A19" s="21"/>
      <c r="B19" s="64">
        <f t="shared" si="1"/>
        <v>1916</v>
      </c>
      <c r="C19" s="22">
        <v>21.25570366972477</v>
      </c>
      <c r="D19" s="23">
        <f t="shared" si="2"/>
        <v>2.3530878711955787</v>
      </c>
      <c r="E19" s="77">
        <f t="shared" si="3"/>
        <v>29.16534913562209</v>
      </c>
      <c r="F19" s="75">
        <f t="shared" si="4"/>
        <v>66.417071116768639</v>
      </c>
      <c r="G19" s="23">
        <v>27.629645780802043</v>
      </c>
      <c r="H19" s="24">
        <v>50.254453150866347</v>
      </c>
      <c r="I19" s="8"/>
      <c r="J19" s="9"/>
      <c r="K19" s="9"/>
      <c r="L19" s="9"/>
      <c r="M19" s="9"/>
      <c r="N19" s="9"/>
      <c r="O19" s="9"/>
      <c r="P19" s="9"/>
      <c r="Q19" s="9"/>
      <c r="R19" s="9"/>
      <c r="S19" s="9"/>
      <c r="T19" s="9"/>
      <c r="U19" s="9"/>
      <c r="V19" s="10"/>
      <c r="W19" s="7"/>
      <c r="X19" s="11"/>
      <c r="Y19" s="9"/>
      <c r="Z19" s="12"/>
      <c r="AA19" s="11"/>
      <c r="AB19" s="9"/>
      <c r="AC19" s="9"/>
      <c r="AD19" s="9"/>
      <c r="AE19" s="9"/>
      <c r="AF19" s="9"/>
      <c r="AG19" s="9"/>
      <c r="AH19" s="9"/>
      <c r="AI19" s="9"/>
      <c r="AJ19" s="9"/>
      <c r="AK19" s="9"/>
      <c r="AL19" s="9"/>
      <c r="AM19" s="9"/>
      <c r="AN19" s="9"/>
      <c r="AO19" s="9"/>
      <c r="AP19" s="9"/>
      <c r="AQ19" s="12"/>
      <c r="AR19" s="11"/>
      <c r="AS19" s="12"/>
      <c r="AT19" s="11"/>
      <c r="AU19" s="9"/>
      <c r="AV19" s="9"/>
      <c r="AW19" s="9"/>
      <c r="AX19" s="9"/>
      <c r="AY19" s="12"/>
      <c r="AZ19" s="11"/>
      <c r="BA19" s="12"/>
      <c r="BB19" s="13"/>
      <c r="BC19" s="21"/>
    </row>
    <row r="20" spans="1:55" s="80" customFormat="1" x14ac:dyDescent="0.2">
      <c r="A20" s="21"/>
      <c r="B20" s="64">
        <f t="shared" si="1"/>
        <v>1917</v>
      </c>
      <c r="C20" s="22">
        <v>18.100560156250001</v>
      </c>
      <c r="D20" s="23">
        <f t="shared" si="2"/>
        <v>2.3297899714807708</v>
      </c>
      <c r="E20" s="77">
        <f t="shared" si="3"/>
        <v>28.043604938098163</v>
      </c>
      <c r="F20" s="75">
        <f t="shared" si="4"/>
        <v>63.254353444541557</v>
      </c>
      <c r="G20" s="23">
        <v>21.673554474760884</v>
      </c>
      <c r="H20" s="24">
        <v>36.094358616644342</v>
      </c>
      <c r="I20" s="8"/>
      <c r="J20" s="9"/>
      <c r="K20" s="9"/>
      <c r="L20" s="9"/>
      <c r="M20" s="9"/>
      <c r="N20" s="9"/>
      <c r="O20" s="9"/>
      <c r="P20" s="9"/>
      <c r="Q20" s="9"/>
      <c r="R20" s="9"/>
      <c r="S20" s="9"/>
      <c r="T20" s="9"/>
      <c r="U20" s="9"/>
      <c r="V20" s="10"/>
      <c r="W20" s="7"/>
      <c r="X20" s="11"/>
      <c r="Y20" s="9"/>
      <c r="Z20" s="12"/>
      <c r="AA20" s="11"/>
      <c r="AB20" s="9"/>
      <c r="AC20" s="9"/>
      <c r="AD20" s="9"/>
      <c r="AE20" s="9"/>
      <c r="AF20" s="9"/>
      <c r="AG20" s="9"/>
      <c r="AH20" s="9"/>
      <c r="AI20" s="9"/>
      <c r="AJ20" s="9"/>
      <c r="AK20" s="9"/>
      <c r="AL20" s="9"/>
      <c r="AM20" s="9"/>
      <c r="AN20" s="9"/>
      <c r="AO20" s="9"/>
      <c r="AP20" s="9"/>
      <c r="AQ20" s="12"/>
      <c r="AR20" s="11"/>
      <c r="AS20" s="12"/>
      <c r="AT20" s="11"/>
      <c r="AU20" s="9"/>
      <c r="AV20" s="9"/>
      <c r="AW20" s="9"/>
      <c r="AX20" s="9"/>
      <c r="AY20" s="12"/>
      <c r="AZ20" s="11"/>
      <c r="BA20" s="12"/>
      <c r="BB20" s="13"/>
      <c r="BC20" s="21"/>
    </row>
    <row r="21" spans="1:55" s="80" customFormat="1" x14ac:dyDescent="0.2">
      <c r="A21" s="21"/>
      <c r="B21" s="64">
        <f t="shared" si="1"/>
        <v>1918</v>
      </c>
      <c r="C21" s="22">
        <v>15.343521192052981</v>
      </c>
      <c r="D21" s="23">
        <f t="shared" si="2"/>
        <v>2.3067227440403673</v>
      </c>
      <c r="E21" s="77">
        <f t="shared" si="3"/>
        <v>26.96500474817131</v>
      </c>
      <c r="F21" s="75">
        <f t="shared" si="4"/>
        <v>60.242241375753864</v>
      </c>
      <c r="G21" s="23">
        <v>22.764047781667092</v>
      </c>
      <c r="H21" s="24">
        <v>34.566555077315478</v>
      </c>
      <c r="I21" s="8"/>
      <c r="J21" s="9"/>
      <c r="K21" s="9"/>
      <c r="L21" s="9"/>
      <c r="M21" s="9"/>
      <c r="N21" s="9"/>
      <c r="O21" s="9"/>
      <c r="P21" s="9"/>
      <c r="Q21" s="9"/>
      <c r="R21" s="9"/>
      <c r="S21" s="9"/>
      <c r="T21" s="9"/>
      <c r="U21" s="9"/>
      <c r="V21" s="10"/>
      <c r="W21" s="7"/>
      <c r="X21" s="11"/>
      <c r="Y21" s="9"/>
      <c r="Z21" s="12"/>
      <c r="AA21" s="11"/>
      <c r="AB21" s="9"/>
      <c r="AC21" s="9"/>
      <c r="AD21" s="9"/>
      <c r="AE21" s="9"/>
      <c r="AF21" s="9"/>
      <c r="AG21" s="9"/>
      <c r="AH21" s="9"/>
      <c r="AI21" s="9"/>
      <c r="AJ21" s="9"/>
      <c r="AK21" s="9"/>
      <c r="AL21" s="9"/>
      <c r="AM21" s="9"/>
      <c r="AN21" s="9"/>
      <c r="AO21" s="9"/>
      <c r="AP21" s="9"/>
      <c r="AQ21" s="12"/>
      <c r="AR21" s="11"/>
      <c r="AS21" s="12"/>
      <c r="AT21" s="11"/>
      <c r="AU21" s="9"/>
      <c r="AV21" s="9"/>
      <c r="AW21" s="9"/>
      <c r="AX21" s="9"/>
      <c r="AY21" s="12"/>
      <c r="AZ21" s="11"/>
      <c r="BA21" s="12"/>
      <c r="BB21" s="13"/>
      <c r="BC21" s="21"/>
    </row>
    <row r="22" spans="1:55" s="80" customFormat="1" x14ac:dyDescent="0.2">
      <c r="A22" s="21"/>
      <c r="B22" s="65">
        <f t="shared" si="1"/>
        <v>1919</v>
      </c>
      <c r="C22" s="14">
        <v>13.392321965317919</v>
      </c>
      <c r="D22" s="15">
        <f t="shared" si="2"/>
        <v>2.2838839049904625</v>
      </c>
      <c r="E22" s="16">
        <f t="shared" si="3"/>
        <v>25.927889180933953</v>
      </c>
      <c r="F22" s="74">
        <f t="shared" si="4"/>
        <v>57.373563215003678</v>
      </c>
      <c r="G22" s="15">
        <v>22.764047781667092</v>
      </c>
      <c r="H22" s="17">
        <v>32.995348028346591</v>
      </c>
      <c r="I22" s="15"/>
      <c r="J22" s="16"/>
      <c r="K22" s="16"/>
      <c r="L22" s="16"/>
      <c r="M22" s="16"/>
      <c r="N22" s="16"/>
      <c r="O22" s="16"/>
      <c r="P22" s="16"/>
      <c r="Q22" s="16"/>
      <c r="R22" s="16"/>
      <c r="S22" s="16"/>
      <c r="T22" s="16"/>
      <c r="U22" s="16"/>
      <c r="V22" s="17"/>
      <c r="W22" s="14"/>
      <c r="X22" s="18"/>
      <c r="Y22" s="16"/>
      <c r="Z22" s="19"/>
      <c r="AA22" s="18"/>
      <c r="AB22" s="16"/>
      <c r="AC22" s="16"/>
      <c r="AD22" s="16"/>
      <c r="AE22" s="16"/>
      <c r="AF22" s="16"/>
      <c r="AG22" s="16"/>
      <c r="AH22" s="16"/>
      <c r="AI22" s="16"/>
      <c r="AJ22" s="16"/>
      <c r="AK22" s="16"/>
      <c r="AL22" s="16"/>
      <c r="AM22" s="16"/>
      <c r="AN22" s="16"/>
      <c r="AO22" s="16"/>
      <c r="AP22" s="16"/>
      <c r="AQ22" s="19"/>
      <c r="AR22" s="18"/>
      <c r="AS22" s="19"/>
      <c r="AT22" s="18"/>
      <c r="AU22" s="16"/>
      <c r="AV22" s="16"/>
      <c r="AW22" s="16"/>
      <c r="AX22" s="16"/>
      <c r="AY22" s="19"/>
      <c r="AZ22" s="18"/>
      <c r="BA22" s="19"/>
      <c r="BB22" s="20"/>
      <c r="BC22" s="21"/>
    </row>
    <row r="23" spans="1:55" s="80" customFormat="1" x14ac:dyDescent="0.2">
      <c r="A23" s="21"/>
      <c r="B23" s="64">
        <f t="shared" si="1"/>
        <v>1920</v>
      </c>
      <c r="C23" s="22">
        <v>11.5843585</v>
      </c>
      <c r="D23" s="23">
        <f t="shared" si="2"/>
        <v>2.2612711930598639</v>
      </c>
      <c r="E23" s="77">
        <f t="shared" si="3"/>
        <v>24.930662673974954</v>
      </c>
      <c r="F23" s="75">
        <f t="shared" si="4"/>
        <v>54.641488776193974</v>
      </c>
      <c r="G23" s="23">
        <v>17.485428006208057</v>
      </c>
      <c r="H23" s="24">
        <v>26.028202827141936</v>
      </c>
      <c r="I23" s="8"/>
      <c r="J23" s="9"/>
      <c r="K23" s="9"/>
      <c r="L23" s="9"/>
      <c r="M23" s="9"/>
      <c r="N23" s="9"/>
      <c r="O23" s="9"/>
      <c r="P23" s="9"/>
      <c r="Q23" s="9"/>
      <c r="R23" s="9"/>
      <c r="S23" s="9"/>
      <c r="T23" s="9"/>
      <c r="U23" s="9"/>
      <c r="V23" s="10"/>
      <c r="W23" s="7"/>
      <c r="X23" s="11"/>
      <c r="Y23" s="9"/>
      <c r="Z23" s="12"/>
      <c r="AA23" s="11"/>
      <c r="AB23" s="9"/>
      <c r="AC23" s="9"/>
      <c r="AD23" s="9"/>
      <c r="AE23" s="9"/>
      <c r="AF23" s="9"/>
      <c r="AG23" s="9"/>
      <c r="AH23" s="9"/>
      <c r="AI23" s="9"/>
      <c r="AJ23" s="9"/>
      <c r="AK23" s="9"/>
      <c r="AL23" s="9"/>
      <c r="AM23" s="9"/>
      <c r="AN23" s="9"/>
      <c r="AO23" s="9"/>
      <c r="AP23" s="9"/>
      <c r="AQ23" s="12"/>
      <c r="AR23" s="11"/>
      <c r="AS23" s="12"/>
      <c r="AT23" s="11"/>
      <c r="AU23" s="9"/>
      <c r="AV23" s="9"/>
      <c r="AW23" s="9"/>
      <c r="AX23" s="9"/>
      <c r="AY23" s="12"/>
      <c r="AZ23" s="11"/>
      <c r="BA23" s="12"/>
      <c r="BB23" s="13"/>
      <c r="BC23" s="21"/>
    </row>
    <row r="24" spans="1:55" s="80" customFormat="1" x14ac:dyDescent="0.2">
      <c r="A24" s="21"/>
      <c r="B24" s="64">
        <f t="shared" si="1"/>
        <v>1921</v>
      </c>
      <c r="C24" s="22">
        <v>12.943417318435756</v>
      </c>
      <c r="D24" s="23">
        <f t="shared" si="2"/>
        <v>2.2388823693662019</v>
      </c>
      <c r="E24" s="77">
        <f t="shared" si="3"/>
        <v>23.971791032668225</v>
      </c>
      <c r="F24" s="75">
        <f t="shared" si="4"/>
        <v>52.039513120184736</v>
      </c>
      <c r="G24" s="23">
        <v>21.804118055934143</v>
      </c>
      <c r="H24" s="24">
        <v>32.341974800062502</v>
      </c>
      <c r="I24" s="8"/>
      <c r="J24" s="9"/>
      <c r="K24" s="9"/>
      <c r="L24" s="9"/>
      <c r="M24" s="9"/>
      <c r="N24" s="9"/>
      <c r="O24" s="9"/>
      <c r="P24" s="9"/>
      <c r="Q24" s="9"/>
      <c r="R24" s="9"/>
      <c r="S24" s="9"/>
      <c r="T24" s="9"/>
      <c r="U24" s="9"/>
      <c r="V24" s="10"/>
      <c r="W24" s="7"/>
      <c r="X24" s="11"/>
      <c r="Y24" s="9"/>
      <c r="Z24" s="12"/>
      <c r="AA24" s="11"/>
      <c r="AB24" s="9"/>
      <c r="AC24" s="9"/>
      <c r="AD24" s="9"/>
      <c r="AE24" s="9"/>
      <c r="AF24" s="9"/>
      <c r="AG24" s="9"/>
      <c r="AH24" s="9"/>
      <c r="AI24" s="9"/>
      <c r="AJ24" s="9"/>
      <c r="AK24" s="9"/>
      <c r="AL24" s="9"/>
      <c r="AM24" s="9"/>
      <c r="AN24" s="9"/>
      <c r="AO24" s="9"/>
      <c r="AP24" s="9"/>
      <c r="AQ24" s="12"/>
      <c r="AR24" s="11"/>
      <c r="AS24" s="12"/>
      <c r="AT24" s="11"/>
      <c r="AU24" s="9"/>
      <c r="AV24" s="9"/>
      <c r="AW24" s="9"/>
      <c r="AX24" s="9"/>
      <c r="AY24" s="12"/>
      <c r="AZ24" s="11"/>
      <c r="BA24" s="12"/>
      <c r="BB24" s="13"/>
      <c r="BC24" s="21"/>
    </row>
    <row r="25" spans="1:55" s="80" customFormat="1" x14ac:dyDescent="0.2">
      <c r="A25" s="21"/>
      <c r="B25" s="64">
        <f t="shared" si="1"/>
        <v>1922</v>
      </c>
      <c r="C25" s="22">
        <v>13.790902976190477</v>
      </c>
      <c r="D25" s="23">
        <f t="shared" si="2"/>
        <v>2.2167152171942592</v>
      </c>
      <c r="E25" s="77">
        <f t="shared" si="3"/>
        <v>23.049799069873291</v>
      </c>
      <c r="F25" s="75">
        <f t="shared" si="4"/>
        <v>49.561441066842605</v>
      </c>
      <c r="G25" s="23">
        <v>23.351507079258504</v>
      </c>
      <c r="H25" s="24">
        <v>37.546430515015089</v>
      </c>
      <c r="I25" s="8"/>
      <c r="J25" s="9"/>
      <c r="K25" s="9"/>
      <c r="L25" s="9"/>
      <c r="M25" s="9"/>
      <c r="N25" s="9"/>
      <c r="O25" s="9"/>
      <c r="P25" s="9"/>
      <c r="Q25" s="9"/>
      <c r="R25" s="9"/>
      <c r="S25" s="9"/>
      <c r="T25" s="9"/>
      <c r="U25" s="9"/>
      <c r="V25" s="10"/>
      <c r="W25" s="7"/>
      <c r="X25" s="11"/>
      <c r="Y25" s="9"/>
      <c r="Z25" s="12"/>
      <c r="AA25" s="11"/>
      <c r="AB25" s="9"/>
      <c r="AC25" s="9"/>
      <c r="AD25" s="9"/>
      <c r="AE25" s="9"/>
      <c r="AF25" s="9"/>
      <c r="AG25" s="9"/>
      <c r="AH25" s="9"/>
      <c r="AI25" s="9"/>
      <c r="AJ25" s="9"/>
      <c r="AK25" s="9"/>
      <c r="AL25" s="9"/>
      <c r="AM25" s="9"/>
      <c r="AN25" s="9"/>
      <c r="AO25" s="9"/>
      <c r="AP25" s="9"/>
      <c r="AQ25" s="12"/>
      <c r="AR25" s="11"/>
      <c r="AS25" s="12"/>
      <c r="AT25" s="11"/>
      <c r="AU25" s="9"/>
      <c r="AV25" s="9"/>
      <c r="AW25" s="9"/>
      <c r="AX25" s="9"/>
      <c r="AY25" s="12"/>
      <c r="AZ25" s="11"/>
      <c r="BA25" s="12"/>
      <c r="BB25" s="13"/>
      <c r="BC25" s="21"/>
    </row>
    <row r="26" spans="1:55" s="80" customFormat="1" x14ac:dyDescent="0.2">
      <c r="A26" s="21"/>
      <c r="B26" s="64">
        <f t="shared" si="1"/>
        <v>1923</v>
      </c>
      <c r="C26" s="22">
        <v>13.548957309941519</v>
      </c>
      <c r="D26" s="23">
        <f t="shared" si="2"/>
        <v>2.1947675417764945</v>
      </c>
      <c r="E26" s="77">
        <f t="shared" si="3"/>
        <v>22.163268336416625</v>
      </c>
      <c r="F26" s="75">
        <f t="shared" si="4"/>
        <v>47.201372444612005</v>
      </c>
      <c r="G26" s="23">
        <v>19.45958923271542</v>
      </c>
      <c r="H26" s="24">
        <v>30.528406119685165</v>
      </c>
      <c r="I26" s="8"/>
      <c r="J26" s="9"/>
      <c r="K26" s="9"/>
      <c r="L26" s="9"/>
      <c r="M26" s="9"/>
      <c r="N26" s="9"/>
      <c r="O26" s="9"/>
      <c r="P26" s="9"/>
      <c r="Q26" s="9"/>
      <c r="R26" s="9"/>
      <c r="S26" s="9"/>
      <c r="T26" s="9"/>
      <c r="U26" s="9"/>
      <c r="V26" s="10"/>
      <c r="W26" s="7"/>
      <c r="X26" s="11"/>
      <c r="Y26" s="9"/>
      <c r="Z26" s="12"/>
      <c r="AA26" s="11"/>
      <c r="AB26" s="9"/>
      <c r="AC26" s="9"/>
      <c r="AD26" s="9"/>
      <c r="AE26" s="9"/>
      <c r="AF26" s="9"/>
      <c r="AG26" s="9"/>
      <c r="AH26" s="9"/>
      <c r="AI26" s="9"/>
      <c r="AJ26" s="9"/>
      <c r="AK26" s="9"/>
      <c r="AL26" s="9"/>
      <c r="AM26" s="9"/>
      <c r="AN26" s="9"/>
      <c r="AO26" s="9"/>
      <c r="AP26" s="9"/>
      <c r="AQ26" s="12"/>
      <c r="AR26" s="11"/>
      <c r="AS26" s="12"/>
      <c r="AT26" s="11"/>
      <c r="AU26" s="9"/>
      <c r="AV26" s="9"/>
      <c r="AW26" s="9"/>
      <c r="AX26" s="9"/>
      <c r="AY26" s="12"/>
      <c r="AZ26" s="11"/>
      <c r="BA26" s="12"/>
      <c r="BB26" s="13"/>
      <c r="BC26" s="21"/>
    </row>
    <row r="27" spans="1:55" s="80" customFormat="1" x14ac:dyDescent="0.2">
      <c r="A27" s="21"/>
      <c r="B27" s="65">
        <f t="shared" si="1"/>
        <v>1924</v>
      </c>
      <c r="C27" s="14">
        <v>13.548957309941519</v>
      </c>
      <c r="D27" s="15">
        <f t="shared" si="2"/>
        <v>2.1730371700757369</v>
      </c>
      <c r="E27" s="16">
        <f t="shared" si="3"/>
        <v>21.31083493886214</v>
      </c>
      <c r="F27" s="74">
        <f t="shared" si="4"/>
        <v>44.95368804248762</v>
      </c>
      <c r="G27" s="15">
        <v>19.45958923271542</v>
      </c>
      <c r="H27" s="17">
        <v>30.386413533081978</v>
      </c>
      <c r="I27" s="15"/>
      <c r="J27" s="16"/>
      <c r="K27" s="16"/>
      <c r="L27" s="16"/>
      <c r="M27" s="16"/>
      <c r="N27" s="16"/>
      <c r="O27" s="16"/>
      <c r="P27" s="16"/>
      <c r="Q27" s="16"/>
      <c r="R27" s="16"/>
      <c r="S27" s="16"/>
      <c r="T27" s="16"/>
      <c r="U27" s="16"/>
      <c r="V27" s="17"/>
      <c r="W27" s="14"/>
      <c r="X27" s="18"/>
      <c r="Y27" s="16"/>
      <c r="Z27" s="19"/>
      <c r="AA27" s="18"/>
      <c r="AB27" s="16"/>
      <c r="AC27" s="16"/>
      <c r="AD27" s="16"/>
      <c r="AE27" s="16"/>
      <c r="AF27" s="16"/>
      <c r="AG27" s="16"/>
      <c r="AH27" s="16"/>
      <c r="AI27" s="16"/>
      <c r="AJ27" s="16"/>
      <c r="AK27" s="16"/>
      <c r="AL27" s="16"/>
      <c r="AM27" s="16"/>
      <c r="AN27" s="16"/>
      <c r="AO27" s="16"/>
      <c r="AP27" s="16"/>
      <c r="AQ27" s="19"/>
      <c r="AR27" s="18"/>
      <c r="AS27" s="19"/>
      <c r="AT27" s="18"/>
      <c r="AU27" s="16"/>
      <c r="AV27" s="16"/>
      <c r="AW27" s="16"/>
      <c r="AX27" s="16"/>
      <c r="AY27" s="19"/>
      <c r="AZ27" s="18"/>
      <c r="BA27" s="19"/>
      <c r="BB27" s="20"/>
      <c r="BC27" s="21"/>
    </row>
    <row r="28" spans="1:55" s="80" customFormat="1" x14ac:dyDescent="0.2">
      <c r="A28" s="21"/>
      <c r="B28" s="64">
        <f t="shared" si="1"/>
        <v>1925</v>
      </c>
      <c r="C28" s="22">
        <v>13.239266857142857</v>
      </c>
      <c r="D28" s="23">
        <f t="shared" si="2"/>
        <v>2.1515219505700367</v>
      </c>
      <c r="E28" s="77">
        <f t="shared" si="3"/>
        <v>20.491187441213594</v>
      </c>
      <c r="F28" s="75">
        <f t="shared" si="4"/>
        <v>42.81303623094059</v>
      </c>
      <c r="G28" s="23">
        <v>19.778598892268132</v>
      </c>
      <c r="H28" s="24">
        <v>31.560767679288045</v>
      </c>
      <c r="I28" s="8"/>
      <c r="J28" s="9"/>
      <c r="K28" s="9"/>
      <c r="L28" s="9"/>
      <c r="M28" s="9"/>
      <c r="N28" s="9"/>
      <c r="O28" s="9"/>
      <c r="P28" s="9"/>
      <c r="Q28" s="9"/>
      <c r="R28" s="9"/>
      <c r="S28" s="9"/>
      <c r="T28" s="9"/>
      <c r="U28" s="9"/>
      <c r="V28" s="10"/>
      <c r="W28" s="7"/>
      <c r="X28" s="11"/>
      <c r="Y28" s="9"/>
      <c r="Z28" s="12"/>
      <c r="AA28" s="11"/>
      <c r="AB28" s="9"/>
      <c r="AC28" s="9"/>
      <c r="AD28" s="9"/>
      <c r="AE28" s="9"/>
      <c r="AF28" s="9"/>
      <c r="AG28" s="9"/>
      <c r="AH28" s="9"/>
      <c r="AI28" s="9"/>
      <c r="AJ28" s="9"/>
      <c r="AK28" s="9"/>
      <c r="AL28" s="9"/>
      <c r="AM28" s="9"/>
      <c r="AN28" s="9"/>
      <c r="AO28" s="9"/>
      <c r="AP28" s="9"/>
      <c r="AQ28" s="12"/>
      <c r="AR28" s="11"/>
      <c r="AS28" s="12"/>
      <c r="AT28" s="11"/>
      <c r="AU28" s="9"/>
      <c r="AV28" s="9"/>
      <c r="AW28" s="9"/>
      <c r="AX28" s="9"/>
      <c r="AY28" s="12"/>
      <c r="AZ28" s="11"/>
      <c r="BA28" s="12"/>
      <c r="BB28" s="13"/>
      <c r="BC28" s="21"/>
    </row>
    <row r="29" spans="1:55" s="80" customFormat="1" x14ac:dyDescent="0.2">
      <c r="A29" s="21"/>
      <c r="B29" s="64">
        <f t="shared" si="1"/>
        <v>1926</v>
      </c>
      <c r="C29" s="22">
        <v>13.089670621468928</v>
      </c>
      <c r="D29" s="23">
        <f t="shared" si="2"/>
        <v>2.1302197530396403</v>
      </c>
      <c r="E29" s="77">
        <f t="shared" si="3"/>
        <v>19.703064847320764</v>
      </c>
      <c r="F29" s="75">
        <f t="shared" si="4"/>
        <v>40.774320219943419</v>
      </c>
      <c r="G29" s="23">
        <v>19.564776201540909</v>
      </c>
      <c r="H29" s="24">
        <v>31.409033219291469</v>
      </c>
      <c r="I29" s="8"/>
      <c r="J29" s="9"/>
      <c r="K29" s="9"/>
      <c r="L29" s="9"/>
      <c r="M29" s="9"/>
      <c r="N29" s="9"/>
      <c r="O29" s="9"/>
      <c r="P29" s="9"/>
      <c r="Q29" s="9"/>
      <c r="R29" s="9"/>
      <c r="S29" s="9"/>
      <c r="T29" s="9"/>
      <c r="U29" s="9"/>
      <c r="V29" s="10"/>
      <c r="W29" s="7"/>
      <c r="X29" s="11"/>
      <c r="Y29" s="9"/>
      <c r="Z29" s="12"/>
      <c r="AA29" s="11"/>
      <c r="AB29" s="9"/>
      <c r="AC29" s="9"/>
      <c r="AD29" s="9"/>
      <c r="AE29" s="9"/>
      <c r="AF29" s="9"/>
      <c r="AG29" s="9"/>
      <c r="AH29" s="9"/>
      <c r="AI29" s="9"/>
      <c r="AJ29" s="9"/>
      <c r="AK29" s="9"/>
      <c r="AL29" s="9"/>
      <c r="AM29" s="9"/>
      <c r="AN29" s="9"/>
      <c r="AO29" s="9"/>
      <c r="AP29" s="9"/>
      <c r="AQ29" s="12"/>
      <c r="AR29" s="11"/>
      <c r="AS29" s="12"/>
      <c r="AT29" s="11"/>
      <c r="AU29" s="9"/>
      <c r="AV29" s="9"/>
      <c r="AW29" s="9"/>
      <c r="AX29" s="9"/>
      <c r="AY29" s="12"/>
      <c r="AZ29" s="11"/>
      <c r="BA29" s="12"/>
      <c r="BB29" s="13"/>
      <c r="BC29" s="21"/>
    </row>
    <row r="30" spans="1:55" s="80" customFormat="1" x14ac:dyDescent="0.2">
      <c r="A30" s="21"/>
      <c r="B30" s="64">
        <f t="shared" si="1"/>
        <v>1927</v>
      </c>
      <c r="C30" s="22">
        <v>13.315354597701152</v>
      </c>
      <c r="D30" s="23">
        <f t="shared" si="2"/>
        <v>2.1091284683560794</v>
      </c>
      <c r="E30" s="77">
        <f t="shared" si="3"/>
        <v>18.94525466088535</v>
      </c>
      <c r="F30" s="75">
        <f t="shared" si="4"/>
        <v>38.832685923755633</v>
      </c>
      <c r="G30" s="23">
        <v>19.45958923271542</v>
      </c>
      <c r="H30" s="24">
        <v>31.713975289381676</v>
      </c>
      <c r="I30" s="8"/>
      <c r="J30" s="9"/>
      <c r="K30" s="9"/>
      <c r="L30" s="9"/>
      <c r="M30" s="9"/>
      <c r="N30" s="9"/>
      <c r="O30" s="9"/>
      <c r="P30" s="9"/>
      <c r="Q30" s="9"/>
      <c r="R30" s="9"/>
      <c r="S30" s="9"/>
      <c r="T30" s="9"/>
      <c r="U30" s="9"/>
      <c r="V30" s="10"/>
      <c r="W30" s="7"/>
      <c r="X30" s="11"/>
      <c r="Y30" s="9"/>
      <c r="Z30" s="12"/>
      <c r="AA30" s="11"/>
      <c r="AB30" s="9"/>
      <c r="AC30" s="9"/>
      <c r="AD30" s="9"/>
      <c r="AE30" s="9"/>
      <c r="AF30" s="9"/>
      <c r="AG30" s="9"/>
      <c r="AH30" s="9"/>
      <c r="AI30" s="9"/>
      <c r="AJ30" s="9"/>
      <c r="AK30" s="9"/>
      <c r="AL30" s="9"/>
      <c r="AM30" s="9"/>
      <c r="AN30" s="9"/>
      <c r="AO30" s="9"/>
      <c r="AP30" s="9"/>
      <c r="AQ30" s="12"/>
      <c r="AR30" s="11"/>
      <c r="AS30" s="12"/>
      <c r="AT30" s="11"/>
      <c r="AU30" s="9"/>
      <c r="AV30" s="9"/>
      <c r="AW30" s="9"/>
      <c r="AX30" s="9"/>
      <c r="AY30" s="12"/>
      <c r="AZ30" s="11"/>
      <c r="BA30" s="12"/>
      <c r="BB30" s="13"/>
      <c r="BC30" s="21"/>
    </row>
    <row r="31" spans="1:55" s="80" customFormat="1" x14ac:dyDescent="0.2">
      <c r="A31" s="21"/>
      <c r="B31" s="64">
        <f>B32-1</f>
        <v>1928</v>
      </c>
      <c r="C31" s="22">
        <v>13.548957309941519</v>
      </c>
      <c r="D31" s="23">
        <f t="shared" si="2"/>
        <v>2.0882460082733458</v>
      </c>
      <c r="E31" s="77">
        <f t="shared" si="3"/>
        <v>18.216591020082067</v>
      </c>
      <c r="F31" s="75">
        <f t="shared" si="4"/>
        <v>36.983510403576794</v>
      </c>
      <c r="G31" s="23">
        <v>19.252572325984403</v>
      </c>
      <c r="H31" s="24">
        <v>31.560767679288045</v>
      </c>
      <c r="I31" s="8"/>
      <c r="J31" s="9"/>
      <c r="K31" s="9"/>
      <c r="L31" s="9"/>
      <c r="M31" s="9"/>
      <c r="N31" s="9"/>
      <c r="O31" s="9"/>
      <c r="P31" s="9"/>
      <c r="Q31" s="9"/>
      <c r="R31" s="9"/>
      <c r="S31" s="9"/>
      <c r="T31" s="9"/>
      <c r="U31" s="9"/>
      <c r="V31" s="10"/>
      <c r="W31" s="7"/>
      <c r="X31" s="11"/>
      <c r="Y31" s="9"/>
      <c r="Z31" s="12"/>
      <c r="AA31" s="11"/>
      <c r="AB31" s="9"/>
      <c r="AC31" s="9"/>
      <c r="AD31" s="9"/>
      <c r="AE31" s="9"/>
      <c r="AF31" s="9"/>
      <c r="AG31" s="9"/>
      <c r="AH31" s="9"/>
      <c r="AI31" s="9"/>
      <c r="AJ31" s="9"/>
      <c r="AK31" s="9"/>
      <c r="AL31" s="9"/>
      <c r="AM31" s="9"/>
      <c r="AN31" s="9"/>
      <c r="AO31" s="9"/>
      <c r="AP31" s="9"/>
      <c r="AQ31" s="12"/>
      <c r="AR31" s="11"/>
      <c r="AS31" s="12"/>
      <c r="AT31" s="11"/>
      <c r="AU31" s="9"/>
      <c r="AV31" s="9"/>
      <c r="AW31" s="9"/>
      <c r="AX31" s="9"/>
      <c r="AY31" s="12"/>
      <c r="AZ31" s="11"/>
      <c r="BA31" s="12"/>
      <c r="BB31" s="13"/>
      <c r="BC31" s="21"/>
    </row>
    <row r="32" spans="1:55" s="80" customFormat="1" x14ac:dyDescent="0.2">
      <c r="A32" s="21"/>
      <c r="B32" s="65">
        <v>1929</v>
      </c>
      <c r="C32" s="14">
        <v>13.548957309941519</v>
      </c>
      <c r="D32" s="15">
        <f t="shared" si="2"/>
        <v>2.0675703052211345</v>
      </c>
      <c r="E32" s="16">
        <f t="shared" si="3"/>
        <v>17.515952903925065</v>
      </c>
      <c r="F32" s="74">
        <f t="shared" si="4"/>
        <v>35.222390860549325</v>
      </c>
      <c r="G32" s="15">
        <v>18.950175902016063</v>
      </c>
      <c r="H32" s="17">
        <v>31.560767679288045</v>
      </c>
      <c r="I32" s="15"/>
      <c r="J32" s="16"/>
      <c r="K32" s="16"/>
      <c r="L32" s="16"/>
      <c r="M32" s="16"/>
      <c r="N32" s="16"/>
      <c r="O32" s="16"/>
      <c r="P32" s="16"/>
      <c r="Q32" s="16"/>
      <c r="R32" s="16"/>
      <c r="S32" s="16"/>
      <c r="T32" s="16"/>
      <c r="U32" s="16"/>
      <c r="V32" s="17"/>
      <c r="W32" s="14">
        <v>17.623500761035007</v>
      </c>
      <c r="X32" s="18">
        <v>19.779396458466454</v>
      </c>
      <c r="Y32" s="16">
        <v>17.830638403458209</v>
      </c>
      <c r="Z32" s="19">
        <v>13.243997250309787</v>
      </c>
      <c r="AA32" s="18">
        <v>3.5686638353474316</v>
      </c>
      <c r="AB32" s="16">
        <v>6.0366572204150311</v>
      </c>
      <c r="AC32" s="16">
        <v>2.239556171130952</v>
      </c>
      <c r="AD32" s="16"/>
      <c r="AE32" s="16">
        <v>10.636952330985915</v>
      </c>
      <c r="AF32" s="16">
        <v>14.158211834203655</v>
      </c>
      <c r="AG32" s="16">
        <v>18.386347187290966</v>
      </c>
      <c r="AH32" s="16">
        <v>16.021434761280929</v>
      </c>
      <c r="AI32" s="16"/>
      <c r="AJ32" s="16">
        <v>9.3296577530224525</v>
      </c>
      <c r="AK32" s="16">
        <v>10.605255427299703</v>
      </c>
      <c r="AL32" s="16">
        <v>5.2875365920722519</v>
      </c>
      <c r="AM32" s="16">
        <v>17.036889059435364</v>
      </c>
      <c r="AN32" s="16">
        <v>15.034190061253561</v>
      </c>
      <c r="AO32" s="16"/>
      <c r="AP32" s="16">
        <v>9.0306172221311485</v>
      </c>
      <c r="AQ32" s="19"/>
      <c r="AR32" s="18">
        <v>14.163764705882354</v>
      </c>
      <c r="AS32" s="19">
        <v>4.9133333333333331</v>
      </c>
      <c r="AT32" s="18">
        <v>18.199107556534511</v>
      </c>
      <c r="AU32" s="16">
        <v>19.10303441846154</v>
      </c>
      <c r="AV32" s="16">
        <v>11.54669430283019</v>
      </c>
      <c r="AW32" s="16">
        <v>14.075941987164526</v>
      </c>
      <c r="AX32" s="16">
        <v>3.5911984389713871</v>
      </c>
      <c r="AY32" s="19">
        <v>5.2633927018701874</v>
      </c>
      <c r="AZ32" s="18">
        <v>8.7522662440570524</v>
      </c>
      <c r="BA32" s="19">
        <v>26.576193693693693</v>
      </c>
      <c r="BB32" s="20">
        <v>1929</v>
      </c>
      <c r="BC32" s="21"/>
    </row>
    <row r="33" spans="1:55" s="80" customFormat="1" x14ac:dyDescent="0.2">
      <c r="A33" s="21"/>
      <c r="B33" s="64">
        <v>1930</v>
      </c>
      <c r="C33" s="22">
        <v>13.873483233532935</v>
      </c>
      <c r="D33" s="23">
        <f t="shared" si="2"/>
        <v>2.0470993121001331</v>
      </c>
      <c r="E33" s="77">
        <f t="shared" si="3"/>
        <v>16.842262407620254</v>
      </c>
      <c r="F33" s="75">
        <f t="shared" si="4"/>
        <v>33.545134152904119</v>
      </c>
      <c r="G33" s="23">
        <v>19.564776201540909</v>
      </c>
      <c r="H33" s="24">
        <v>32.182654727155793</v>
      </c>
      <c r="I33" s="25"/>
      <c r="J33" s="26"/>
      <c r="K33" s="26"/>
      <c r="L33" s="26"/>
      <c r="M33" s="26"/>
      <c r="N33" s="26"/>
      <c r="O33" s="26"/>
      <c r="P33" s="26"/>
      <c r="Q33" s="26"/>
      <c r="R33" s="26"/>
      <c r="S33" s="26"/>
      <c r="T33" s="26"/>
      <c r="U33" s="26"/>
      <c r="V33" s="27"/>
      <c r="W33" s="28">
        <v>18.119937402190924</v>
      </c>
      <c r="X33" s="29">
        <v>22.031854418149464</v>
      </c>
      <c r="Y33" s="26">
        <v>18.064909564963504</v>
      </c>
      <c r="Z33" s="30">
        <v>14.007740211009173</v>
      </c>
      <c r="AA33" s="29">
        <v>3.9990782209056284</v>
      </c>
      <c r="AB33" s="26">
        <v>6.210825057126371</v>
      </c>
      <c r="AC33" s="26">
        <v>2.2234850631067955</v>
      </c>
      <c r="AD33" s="26"/>
      <c r="AE33" s="26">
        <v>10.810972001022494</v>
      </c>
      <c r="AF33" s="26">
        <v>15.339731633663364</v>
      </c>
      <c r="AG33" s="26">
        <v>19.564120316725976</v>
      </c>
      <c r="AH33" s="26">
        <v>17.11776933281493</v>
      </c>
      <c r="AI33" s="26"/>
      <c r="AJ33" s="26">
        <v>9.7683035063291133</v>
      </c>
      <c r="AK33" s="26">
        <v>11.418437952076674</v>
      </c>
      <c r="AL33" s="26">
        <v>5.5521920063224437</v>
      </c>
      <c r="AM33" s="26">
        <v>17.666912691833591</v>
      </c>
      <c r="AN33" s="26">
        <v>15.142039344332856</v>
      </c>
      <c r="AO33" s="26"/>
      <c r="AP33" s="26">
        <v>8.9717858395765475</v>
      </c>
      <c r="AQ33" s="30"/>
      <c r="AR33" s="29">
        <v>15.105646173149312</v>
      </c>
      <c r="AS33" s="30">
        <v>5.0097812675266411</v>
      </c>
      <c r="AT33" s="29">
        <v>19.641192148969889</v>
      </c>
      <c r="AU33" s="26">
        <v>20.660519753743763</v>
      </c>
      <c r="AV33" s="26">
        <v>12.425884224365483</v>
      </c>
      <c r="AW33" s="26">
        <v>14.765094593635251</v>
      </c>
      <c r="AX33" s="26">
        <v>3.6791461558441556</v>
      </c>
      <c r="AY33" s="30">
        <v>5.3667122445316888</v>
      </c>
      <c r="AZ33" s="29">
        <v>9.1058202802967845</v>
      </c>
      <c r="BA33" s="30">
        <v>26.516471910112358</v>
      </c>
      <c r="BB33" s="31">
        <v>1930</v>
      </c>
      <c r="BC33" s="21"/>
    </row>
    <row r="34" spans="1:55" s="80" customFormat="1" x14ac:dyDescent="0.2">
      <c r="A34" s="21"/>
      <c r="B34" s="64">
        <v>1931</v>
      </c>
      <c r="C34" s="22">
        <v>15.242576973684212</v>
      </c>
      <c r="D34" s="23">
        <f t="shared" si="2"/>
        <v>2.0268310020793399</v>
      </c>
      <c r="E34" s="77">
        <f t="shared" si="3"/>
        <v>16.194483084250244</v>
      </c>
      <c r="F34" s="75">
        <f t="shared" si="4"/>
        <v>31.947746812289637</v>
      </c>
      <c r="G34" s="23">
        <v>21.544545221934928</v>
      </c>
      <c r="H34" s="24">
        <v>36.094358616644342</v>
      </c>
      <c r="I34" s="25"/>
      <c r="J34" s="26"/>
      <c r="K34" s="26"/>
      <c r="L34" s="26"/>
      <c r="M34" s="26"/>
      <c r="N34" s="26"/>
      <c r="O34" s="26"/>
      <c r="P34" s="26"/>
      <c r="Q34" s="26"/>
      <c r="R34" s="26"/>
      <c r="S34" s="26"/>
      <c r="T34" s="26"/>
      <c r="U34" s="26"/>
      <c r="V34" s="27"/>
      <c r="W34" s="28">
        <v>19.297733333333333</v>
      </c>
      <c r="X34" s="29">
        <v>25.477164985596705</v>
      </c>
      <c r="Y34" s="26">
        <v>20.797416894117646</v>
      </c>
      <c r="Z34" s="30">
        <v>15.378281699280574</v>
      </c>
      <c r="AA34" s="29">
        <v>4.4511643127649547</v>
      </c>
      <c r="AB34" s="26">
        <v>6.3915438384798096</v>
      </c>
      <c r="AC34" s="26">
        <v>2.2310191082168571</v>
      </c>
      <c r="AD34" s="26"/>
      <c r="AE34" s="26">
        <v>12.308650310826541</v>
      </c>
      <c r="AF34" s="26">
        <v>16.382462635951661</v>
      </c>
      <c r="AG34" s="26">
        <v>20.903109539923953</v>
      </c>
      <c r="AH34" s="26">
        <v>18.1629136650165</v>
      </c>
      <c r="AI34" s="26"/>
      <c r="AJ34" s="26">
        <v>10.230817876893939</v>
      </c>
      <c r="AK34" s="26">
        <v>12.06064481102362</v>
      </c>
      <c r="AL34" s="26">
        <v>5.7711174304490678</v>
      </c>
      <c r="AM34" s="26">
        <v>19.014637374792702</v>
      </c>
      <c r="AN34" s="26">
        <v>15.775786880418535</v>
      </c>
      <c r="AO34" s="26"/>
      <c r="AP34" s="26">
        <v>9.3844574199318576</v>
      </c>
      <c r="AQ34" s="30"/>
      <c r="AR34" s="29">
        <v>16.908988764044945</v>
      </c>
      <c r="AS34" s="30">
        <v>5.3712808177991587</v>
      </c>
      <c r="AT34" s="29">
        <v>22.657389846435102</v>
      </c>
      <c r="AU34" s="26">
        <v>23.832960406909791</v>
      </c>
      <c r="AV34" s="26">
        <v>13.972027352739726</v>
      </c>
      <c r="AW34" s="26">
        <v>15.386584544642858</v>
      </c>
      <c r="AX34" s="26">
        <v>3.9082770555774533</v>
      </c>
      <c r="AY34" s="30">
        <v>5.753967487672881</v>
      </c>
      <c r="AZ34" s="29">
        <v>10.124069660861593</v>
      </c>
      <c r="BA34" s="30">
        <v>26.878883826879274</v>
      </c>
      <c r="BB34" s="31">
        <v>1931</v>
      </c>
      <c r="BC34" s="21"/>
    </row>
    <row r="35" spans="1:55" s="80" customFormat="1" x14ac:dyDescent="0.2">
      <c r="A35" s="21"/>
      <c r="B35" s="64">
        <v>1932</v>
      </c>
      <c r="C35" s="22">
        <v>16.911472262773724</v>
      </c>
      <c r="D35" s="23">
        <f t="shared" si="2"/>
        <v>2.006763368395386</v>
      </c>
      <c r="E35" s="77">
        <f t="shared" si="3"/>
        <v>15.571618350240618</v>
      </c>
      <c r="F35" s="75">
        <f t="shared" si="4"/>
        <v>30.426425535513939</v>
      </c>
      <c r="G35" s="23">
        <v>27.629645780802043</v>
      </c>
      <c r="H35" s="24">
        <v>41.61196757715048</v>
      </c>
      <c r="I35" s="25"/>
      <c r="J35" s="26"/>
      <c r="K35" s="26"/>
      <c r="L35" s="26"/>
      <c r="M35" s="26"/>
      <c r="N35" s="26"/>
      <c r="O35" s="26"/>
      <c r="P35" s="26"/>
      <c r="Q35" s="26"/>
      <c r="R35" s="26"/>
      <c r="S35" s="26"/>
      <c r="T35" s="26"/>
      <c r="U35" s="26"/>
      <c r="V35" s="27"/>
      <c r="W35" s="28">
        <v>21.441925925925926</v>
      </c>
      <c r="X35" s="29">
        <v>28.140686779545451</v>
      </c>
      <c r="Y35" s="26">
        <v>25.409575055441476</v>
      </c>
      <c r="Z35" s="30">
        <v>16.317413406106869</v>
      </c>
      <c r="AA35" s="29">
        <v>4.6920664528301881</v>
      </c>
      <c r="AB35" s="26">
        <v>6.157528503432494</v>
      </c>
      <c r="AC35" s="26">
        <v>2.3042152731846017</v>
      </c>
      <c r="AD35" s="26"/>
      <c r="AE35" s="26">
        <v>12.894061728048779</v>
      </c>
      <c r="AF35" s="26">
        <v>18.227210529411764</v>
      </c>
      <c r="AG35" s="26">
        <v>22.811277215767632</v>
      </c>
      <c r="AH35" s="26">
        <v>19.343981864674866</v>
      </c>
      <c r="AI35" s="26"/>
      <c r="AJ35" s="26">
        <v>10.792950727272727</v>
      </c>
      <c r="AK35" s="26">
        <v>12.569652094958967</v>
      </c>
      <c r="AL35" s="26">
        <v>6.1339117741559948</v>
      </c>
      <c r="AM35" s="26">
        <v>20.923040760948904</v>
      </c>
      <c r="AN35" s="26">
        <v>16.187118746932516</v>
      </c>
      <c r="AO35" s="26"/>
      <c r="AP35" s="26">
        <v>10.05232938959854</v>
      </c>
      <c r="AQ35" s="30"/>
      <c r="AR35" s="29">
        <v>21.195774647887326</v>
      </c>
      <c r="AS35" s="30">
        <v>5.4800245398773004</v>
      </c>
      <c r="AT35" s="29">
        <v>27.298661334801761</v>
      </c>
      <c r="AU35" s="26">
        <v>28.676610558891458</v>
      </c>
      <c r="AV35" s="26">
        <v>18.322598744011977</v>
      </c>
      <c r="AW35" s="26">
        <v>17.159434257467993</v>
      </c>
      <c r="AX35" s="26">
        <v>3.9916662198067634</v>
      </c>
      <c r="AY35" s="30">
        <v>5.8704588539877296</v>
      </c>
      <c r="AZ35" s="29">
        <v>11.422295760082729</v>
      </c>
      <c r="BA35" s="30">
        <v>28.364975961538459</v>
      </c>
      <c r="BB35" s="31">
        <v>1932</v>
      </c>
      <c r="BC35" s="21"/>
    </row>
    <row r="36" spans="1:55" s="80" customFormat="1" x14ac:dyDescent="0.2">
      <c r="A36" s="21"/>
      <c r="B36" s="64">
        <v>1933</v>
      </c>
      <c r="C36" s="22">
        <v>17.822089999999999</v>
      </c>
      <c r="D36" s="23">
        <f t="shared" si="2"/>
        <v>1.9868944241538475</v>
      </c>
      <c r="E36" s="77">
        <f t="shared" si="3"/>
        <v>14.972709952154439</v>
      </c>
      <c r="F36" s="75">
        <f t="shared" si="4"/>
        <v>28.977548129060892</v>
      </c>
      <c r="G36" s="23">
        <v>24.455970251926136</v>
      </c>
      <c r="H36" s="24">
        <v>38.429875938897794</v>
      </c>
      <c r="I36" s="25"/>
      <c r="J36" s="26"/>
      <c r="K36" s="26"/>
      <c r="L36" s="26"/>
      <c r="M36" s="26"/>
      <c r="N36" s="26"/>
      <c r="O36" s="26"/>
      <c r="P36" s="26"/>
      <c r="Q36" s="26"/>
      <c r="R36" s="26"/>
      <c r="S36" s="26"/>
      <c r="T36" s="26"/>
      <c r="U36" s="26"/>
      <c r="V36" s="27"/>
      <c r="W36" s="28">
        <v>20.713130590339894</v>
      </c>
      <c r="X36" s="29">
        <v>27.762112517937219</v>
      </c>
      <c r="Y36" s="26">
        <v>27.560051340757234</v>
      </c>
      <c r="Z36" s="30">
        <v>16.991901082670903</v>
      </c>
      <c r="AA36" s="29">
        <v>4.9579338069254986</v>
      </c>
      <c r="AB36" s="26">
        <v>7.2188865352112677</v>
      </c>
      <c r="AC36" s="26">
        <v>2.4494006577540106</v>
      </c>
      <c r="AD36" s="26"/>
      <c r="AE36" s="26">
        <v>13.434727594663276</v>
      </c>
      <c r="AF36" s="26">
        <v>18.444201130952379</v>
      </c>
      <c r="AG36" s="26">
        <v>22.438848199999995</v>
      </c>
      <c r="AH36" s="26">
        <v>19.343981864674866</v>
      </c>
      <c r="AI36" s="26"/>
      <c r="AJ36" s="26">
        <v>11.768783962962962</v>
      </c>
      <c r="AK36" s="26">
        <v>13.870521652005172</v>
      </c>
      <c r="AL36" s="26">
        <v>6.7378902992327356</v>
      </c>
      <c r="AM36" s="26">
        <v>21.154661138376383</v>
      </c>
      <c r="AN36" s="26">
        <v>16.4392545529595</v>
      </c>
      <c r="AO36" s="26"/>
      <c r="AP36" s="26">
        <v>10.344932404694836</v>
      </c>
      <c r="AQ36" s="30"/>
      <c r="AR36" s="29">
        <v>18.213615733736763</v>
      </c>
      <c r="AS36" s="30">
        <v>5.6249622166246844</v>
      </c>
      <c r="AT36" s="29">
        <v>27.788323421524662</v>
      </c>
      <c r="AU36" s="26">
        <v>29.216405581176474</v>
      </c>
      <c r="AV36" s="26">
        <v>14.675654629496403</v>
      </c>
      <c r="AW36" s="26">
        <v>15.3669838</v>
      </c>
      <c r="AX36" s="26">
        <v>4.1245003702163059</v>
      </c>
      <c r="AY36" s="30">
        <v>6.0257228790931983</v>
      </c>
      <c r="AZ36" s="29">
        <v>11.725435244161359</v>
      </c>
      <c r="BA36" s="30">
        <v>28.296954436450839</v>
      </c>
      <c r="BB36" s="31">
        <v>1933</v>
      </c>
      <c r="BC36" s="21"/>
    </row>
    <row r="37" spans="1:55" s="80" customFormat="1" x14ac:dyDescent="0.2">
      <c r="A37" s="21"/>
      <c r="B37" s="65">
        <v>1934</v>
      </c>
      <c r="C37" s="14">
        <v>17.290087313432835</v>
      </c>
      <c r="D37" s="15">
        <f t="shared" si="2"/>
        <v>1.9672222021325223</v>
      </c>
      <c r="E37" s="16">
        <f t="shared" si="3"/>
        <v>14.39683649245619</v>
      </c>
      <c r="F37" s="74">
        <f t="shared" si="4"/>
        <v>27.597664884819896</v>
      </c>
      <c r="G37" s="15">
        <v>21.673554474760884</v>
      </c>
      <c r="H37" s="17">
        <v>32.995348028346591</v>
      </c>
      <c r="I37" s="15"/>
      <c r="J37" s="16"/>
      <c r="K37" s="16"/>
      <c r="L37" s="16"/>
      <c r="M37" s="16"/>
      <c r="N37" s="16"/>
      <c r="O37" s="16"/>
      <c r="P37" s="16"/>
      <c r="Q37" s="16"/>
      <c r="R37" s="16"/>
      <c r="S37" s="16"/>
      <c r="T37" s="16"/>
      <c r="U37" s="16"/>
      <c r="V37" s="17"/>
      <c r="W37" s="14">
        <v>19.169933774834437</v>
      </c>
      <c r="X37" s="18">
        <v>23.765647184261034</v>
      </c>
      <c r="Y37" s="16">
        <v>24.552506055555554</v>
      </c>
      <c r="Z37" s="19">
        <v>17.266406754442649</v>
      </c>
      <c r="AA37" s="18">
        <v>4.316958353586112</v>
      </c>
      <c r="AB37" s="16">
        <v>6.980129587548638</v>
      </c>
      <c r="AC37" s="16">
        <v>2.4386278307870364</v>
      </c>
      <c r="AD37" s="16"/>
      <c r="AE37" s="16">
        <v>11.467603706073749</v>
      </c>
      <c r="AF37" s="16">
        <v>15.67224026734104</v>
      </c>
      <c r="AG37" s="16">
        <v>19.564120316725976</v>
      </c>
      <c r="AH37" s="16">
        <v>17.752783356451612</v>
      </c>
      <c r="AI37" s="16"/>
      <c r="AJ37" s="16">
        <v>11.396354090717299</v>
      </c>
      <c r="AK37" s="16">
        <v>13.870521652005172</v>
      </c>
      <c r="AL37" s="16">
        <v>6.3983366290224648</v>
      </c>
      <c r="AM37" s="16">
        <v>18.523144324717286</v>
      </c>
      <c r="AN37" s="16">
        <v>16.464900815912635</v>
      </c>
      <c r="AO37" s="16"/>
      <c r="AP37" s="16">
        <v>10.126243576286765</v>
      </c>
      <c r="AQ37" s="19"/>
      <c r="AR37" s="18">
        <v>15.434871794871796</v>
      </c>
      <c r="AS37" s="19">
        <v>5.446609756097561</v>
      </c>
      <c r="AT37" s="18">
        <v>24.159049212475633</v>
      </c>
      <c r="AU37" s="16">
        <v>25.392581537832314</v>
      </c>
      <c r="AV37" s="16">
        <v>12.657183</v>
      </c>
      <c r="AW37" s="16">
        <v>10.462343697311363</v>
      </c>
      <c r="AX37" s="16">
        <v>3.9756611427425819</v>
      </c>
      <c r="AY37" s="19">
        <v>5.8346633731707325</v>
      </c>
      <c r="AZ37" s="18">
        <v>11.168210313447926</v>
      </c>
      <c r="BA37" s="19">
        <v>27.063830275229357</v>
      </c>
      <c r="BB37" s="20">
        <v>1934</v>
      </c>
      <c r="BC37" s="21"/>
    </row>
    <row r="38" spans="1:55" s="80" customFormat="1" x14ac:dyDescent="0.2">
      <c r="A38" s="21"/>
      <c r="B38" s="64">
        <v>1935</v>
      </c>
      <c r="C38" s="22">
        <v>16.911472262773724</v>
      </c>
      <c r="D38" s="23">
        <f t="shared" si="2"/>
        <v>1.9477447545866557</v>
      </c>
      <c r="E38" s="77">
        <f t="shared" si="3"/>
        <v>13.843112011977105</v>
      </c>
      <c r="F38" s="75">
        <f t="shared" si="4"/>
        <v>26.283490366495137</v>
      </c>
      <c r="G38" s="23">
        <v>21.804118055934143</v>
      </c>
      <c r="H38" s="24">
        <v>33.332035253125639</v>
      </c>
      <c r="I38" s="25"/>
      <c r="J38" s="26"/>
      <c r="K38" s="26"/>
      <c r="L38" s="26"/>
      <c r="M38" s="26"/>
      <c r="N38" s="26"/>
      <c r="O38" s="26"/>
      <c r="P38" s="26"/>
      <c r="Q38" s="26"/>
      <c r="R38" s="26"/>
      <c r="S38" s="26"/>
      <c r="T38" s="26"/>
      <c r="U38" s="26"/>
      <c r="V38" s="27"/>
      <c r="W38" s="28">
        <v>19.075189456342667</v>
      </c>
      <c r="X38" s="29">
        <v>23.230585709193246</v>
      </c>
      <c r="Y38" s="26">
        <v>24.699527049900198</v>
      </c>
      <c r="Z38" s="30">
        <v>17.435409104404567</v>
      </c>
      <c r="AA38" s="29">
        <v>4.2509319999999997</v>
      </c>
      <c r="AB38" s="26">
        <v>7.2922492032520321</v>
      </c>
      <c r="AC38" s="26">
        <v>2.5017507074329135</v>
      </c>
      <c r="AD38" s="26"/>
      <c r="AE38" s="26">
        <v>11.356746097744358</v>
      </c>
      <c r="AF38" s="26">
        <v>15.855541323099414</v>
      </c>
      <c r="AG38" s="26">
        <v>19.564120316725976</v>
      </c>
      <c r="AH38" s="26">
        <v>17.333426269291337</v>
      </c>
      <c r="AI38" s="26"/>
      <c r="AJ38" s="26">
        <v>11.530142665955177</v>
      </c>
      <c r="AK38" s="26">
        <v>14.548050525101761</v>
      </c>
      <c r="AL38" s="26">
        <v>6.4929515884165117</v>
      </c>
      <c r="AM38" s="26">
        <v>18.257685249999998</v>
      </c>
      <c r="AN38" s="26">
        <v>14.802246035063114</v>
      </c>
      <c r="AO38" s="26"/>
      <c r="AP38" s="26">
        <v>10.344932404694836</v>
      </c>
      <c r="AQ38" s="30"/>
      <c r="AR38" s="29">
        <v>16.073698264352473</v>
      </c>
      <c r="AS38" s="30">
        <v>5.5172575663990111</v>
      </c>
      <c r="AT38" s="29">
        <v>24.541766823762377</v>
      </c>
      <c r="AU38" s="26">
        <v>25.814911376299381</v>
      </c>
      <c r="AV38" s="26">
        <v>13.104385397216275</v>
      </c>
      <c r="AW38" s="26">
        <v>12.724770340717299</v>
      </c>
      <c r="AX38" s="26">
        <v>3.5628095185052104</v>
      </c>
      <c r="AY38" s="30">
        <v>5.910344615194564</v>
      </c>
      <c r="AZ38" s="29">
        <v>10.968579940417079</v>
      </c>
      <c r="BA38" s="30">
        <v>26.756984126984126</v>
      </c>
      <c r="BB38" s="31">
        <v>1935</v>
      </c>
      <c r="BC38" s="21"/>
    </row>
    <row r="39" spans="1:55" s="80" customFormat="1" x14ac:dyDescent="0.2">
      <c r="A39" s="21"/>
      <c r="B39" s="64">
        <v>1936</v>
      </c>
      <c r="C39" s="22">
        <v>16.668141726618707</v>
      </c>
      <c r="D39" s="23">
        <f t="shared" si="2"/>
        <v>1.9284601530560948</v>
      </c>
      <c r="E39" s="77">
        <f t="shared" si="3"/>
        <v>13.310684626901063</v>
      </c>
      <c r="F39" s="75">
        <f t="shared" si="4"/>
        <v>25.031895587138223</v>
      </c>
      <c r="G39" s="23">
        <v>21.043509286541092</v>
      </c>
      <c r="H39" s="24">
        <v>31.713975289381676</v>
      </c>
      <c r="I39" s="25"/>
      <c r="J39" s="26"/>
      <c r="K39" s="26"/>
      <c r="L39" s="26"/>
      <c r="M39" s="26"/>
      <c r="N39" s="26"/>
      <c r="O39" s="26"/>
      <c r="P39" s="26"/>
      <c r="Q39" s="26"/>
      <c r="R39" s="26"/>
      <c r="S39" s="26"/>
      <c r="T39" s="26"/>
      <c r="U39" s="26"/>
      <c r="V39" s="27"/>
      <c r="W39" s="28">
        <v>18.981377049180328</v>
      </c>
      <c r="X39" s="29">
        <v>22.031854418149464</v>
      </c>
      <c r="Y39" s="26">
        <v>23.34804349433962</v>
      </c>
      <c r="Z39" s="30">
        <v>17.07333191853035</v>
      </c>
      <c r="AA39" s="29">
        <v>4.2720713544303797</v>
      </c>
      <c r="AB39" s="26">
        <v>7.2578286068779496</v>
      </c>
      <c r="AC39" s="26">
        <v>2.460843781593085</v>
      </c>
      <c r="AD39" s="26"/>
      <c r="AE39" s="26">
        <v>11.879922041573032</v>
      </c>
      <c r="AF39" s="26">
        <v>15.67224026734104</v>
      </c>
      <c r="AG39" s="26">
        <v>19.564120316725976</v>
      </c>
      <c r="AH39" s="26">
        <v>17.11776933281493</v>
      </c>
      <c r="AI39" s="26"/>
      <c r="AJ39" s="26">
        <v>11.493344338297872</v>
      </c>
      <c r="AK39" s="26">
        <v>14.548050525101761</v>
      </c>
      <c r="AL39" s="26">
        <v>6.4452968978593255</v>
      </c>
      <c r="AM39" s="26">
        <v>18.084899585173503</v>
      </c>
      <c r="AN39" s="26">
        <v>14.906781670903955</v>
      </c>
      <c r="AO39" s="26"/>
      <c r="AP39" s="26">
        <v>10.655080281431335</v>
      </c>
      <c r="AQ39" s="30"/>
      <c r="AR39" s="29">
        <v>14.772024539877302</v>
      </c>
      <c r="AS39" s="30">
        <v>5.5653831775700926</v>
      </c>
      <c r="AT39" s="29">
        <v>23.384136313207549</v>
      </c>
      <c r="AU39" s="26">
        <v>24.5880641029703</v>
      </c>
      <c r="AV39" s="26">
        <v>11.929333295321637</v>
      </c>
      <c r="AW39" s="26">
        <v>11.532583444550669</v>
      </c>
      <c r="AX39" s="26">
        <v>3.7657800569692368</v>
      </c>
      <c r="AY39" s="30">
        <v>5.9618990230529594</v>
      </c>
      <c r="AZ39" s="29">
        <v>10.839411187438666</v>
      </c>
      <c r="BA39" s="30">
        <v>27.699131455399062</v>
      </c>
      <c r="BB39" s="31">
        <v>1936</v>
      </c>
      <c r="BC39" s="21"/>
    </row>
    <row r="40" spans="1:55" s="80" customFormat="1" x14ac:dyDescent="0.2">
      <c r="A40" s="21"/>
      <c r="B40" s="64">
        <v>1937</v>
      </c>
      <c r="C40" s="22">
        <v>16.089386805555556</v>
      </c>
      <c r="D40" s="23">
        <f t="shared" si="2"/>
        <v>1.9093664881743513</v>
      </c>
      <c r="E40" s="77">
        <f t="shared" si="3"/>
        <v>12.798735218174098</v>
      </c>
      <c r="F40" s="75">
        <f t="shared" si="4"/>
        <v>23.839900559179259</v>
      </c>
      <c r="G40" s="23">
        <v>18.466753047372794</v>
      </c>
      <c r="H40" s="24">
        <v>27.800335785585641</v>
      </c>
      <c r="I40" s="25"/>
      <c r="J40" s="26"/>
      <c r="K40" s="26"/>
      <c r="L40" s="26"/>
      <c r="M40" s="26"/>
      <c r="N40" s="26"/>
      <c r="O40" s="26"/>
      <c r="P40" s="26"/>
      <c r="Q40" s="26"/>
      <c r="R40" s="26"/>
      <c r="S40" s="26"/>
      <c r="T40" s="26"/>
      <c r="U40" s="26"/>
      <c r="V40" s="27"/>
      <c r="W40" s="28">
        <v>18.555512820512821</v>
      </c>
      <c r="X40" s="29">
        <v>19.591617378164557</v>
      </c>
      <c r="Y40" s="26">
        <v>20.797416894117646</v>
      </c>
      <c r="Z40" s="30">
        <v>15.422663464646464</v>
      </c>
      <c r="AA40" s="29">
        <v>4.2337911451612902</v>
      </c>
      <c r="AB40" s="26">
        <v>7.5110675673412421</v>
      </c>
      <c r="AC40" s="26">
        <v>2.4079707951999998</v>
      </c>
      <c r="AD40" s="26"/>
      <c r="AE40" s="26">
        <v>10.636952330985915</v>
      </c>
      <c r="AF40" s="26">
        <v>14.158211834203655</v>
      </c>
      <c r="AG40" s="26">
        <v>17.762577735056539</v>
      </c>
      <c r="AH40" s="26">
        <v>15.524295741889985</v>
      </c>
      <c r="AI40" s="26"/>
      <c r="AJ40" s="26">
        <v>11.10353923741007</v>
      </c>
      <c r="AK40" s="26">
        <v>13.74604261153846</v>
      </c>
      <c r="AL40" s="26">
        <v>6.3520557130801683</v>
      </c>
      <c r="AM40" s="26">
        <v>16.665445257267443</v>
      </c>
      <c r="AN40" s="26">
        <v>14.242916900134952</v>
      </c>
      <c r="AO40" s="26"/>
      <c r="AP40" s="26">
        <v>9.9166093708370848</v>
      </c>
      <c r="AQ40" s="30"/>
      <c r="AR40" s="29">
        <v>14.54009661835749</v>
      </c>
      <c r="AS40" s="30">
        <v>5.0210455311973021</v>
      </c>
      <c r="AT40" s="29">
        <v>20.185003657980456</v>
      </c>
      <c r="AU40" s="26">
        <v>21.2255937982906</v>
      </c>
      <c r="AV40" s="26">
        <v>12.883679958947369</v>
      </c>
      <c r="AW40" s="26">
        <v>10.628266328634362</v>
      </c>
      <c r="AX40" s="26">
        <v>3.6887272656249999</v>
      </c>
      <c r="AY40" s="30">
        <v>5.3787790511523328</v>
      </c>
      <c r="AZ40" s="29">
        <v>10.459621212121212</v>
      </c>
      <c r="BA40" s="30">
        <v>27.188548387096777</v>
      </c>
      <c r="BB40" s="31">
        <v>1937</v>
      </c>
      <c r="BC40" s="21"/>
    </row>
    <row r="41" spans="1:55" s="80" customFormat="1" x14ac:dyDescent="0.2">
      <c r="A41" s="21"/>
      <c r="B41" s="64">
        <v>1938</v>
      </c>
      <c r="C41" s="22">
        <v>16.431714184397165</v>
      </c>
      <c r="D41" s="23">
        <f t="shared" si="2"/>
        <v>1.8904618694795556</v>
      </c>
      <c r="E41" s="77">
        <f t="shared" si="3"/>
        <v>12.306476171321247</v>
      </c>
      <c r="F41" s="75">
        <f t="shared" si="4"/>
        <v>22.704667199218342</v>
      </c>
      <c r="G41" s="23">
        <v>18.37301318418816</v>
      </c>
      <c r="H41" s="24">
        <v>27.68253775259587</v>
      </c>
      <c r="I41" s="25"/>
      <c r="J41" s="26"/>
      <c r="K41" s="26"/>
      <c r="L41" s="26"/>
      <c r="M41" s="26"/>
      <c r="N41" s="26"/>
      <c r="O41" s="26"/>
      <c r="P41" s="26"/>
      <c r="Q41" s="26"/>
      <c r="R41" s="26"/>
      <c r="S41" s="26"/>
      <c r="T41" s="26"/>
      <c r="U41" s="26"/>
      <c r="V41" s="27"/>
      <c r="W41" s="28">
        <v>18.675225806451614</v>
      </c>
      <c r="X41" s="29">
        <v>19.874642348314605</v>
      </c>
      <c r="Y41" s="26">
        <v>20.521497598673296</v>
      </c>
      <c r="Z41" s="30">
        <v>15.928324561847987</v>
      </c>
      <c r="AA41" s="29">
        <v>4.2740035440976936</v>
      </c>
      <c r="AB41" s="26">
        <v>7.2140481394101874</v>
      </c>
      <c r="AC41" s="26">
        <v>2.4173639809545659</v>
      </c>
      <c r="AD41" s="26"/>
      <c r="AE41" s="26">
        <v>10.626261926633164</v>
      </c>
      <c r="AF41" s="26">
        <v>13.745488295310519</v>
      </c>
      <c r="AG41" s="26">
        <v>17.563954661341853</v>
      </c>
      <c r="AH41" s="26">
        <v>15.351081842398884</v>
      </c>
      <c r="AI41" s="26"/>
      <c r="AJ41" s="26">
        <v>10.529964598440545</v>
      </c>
      <c r="AK41" s="26">
        <v>12.267635282608694</v>
      </c>
      <c r="AL41" s="26">
        <v>6.1339117741559948</v>
      </c>
      <c r="AM41" s="26">
        <v>16.665445257267443</v>
      </c>
      <c r="AN41" s="26">
        <v>13.832243018348624</v>
      </c>
      <c r="AO41" s="26"/>
      <c r="AP41" s="26">
        <v>10.126243576286765</v>
      </c>
      <c r="AQ41" s="30"/>
      <c r="AR41" s="29">
        <v>14.628432563791009</v>
      </c>
      <c r="AS41" s="30">
        <v>5.07236797274276</v>
      </c>
      <c r="AT41" s="29">
        <v>19.641192148969889</v>
      </c>
      <c r="AU41" s="26">
        <v>20.660519753743763</v>
      </c>
      <c r="AV41" s="26">
        <v>13.347323839694656</v>
      </c>
      <c r="AW41" s="26">
        <v>10.628266328634362</v>
      </c>
      <c r="AX41" s="26">
        <v>3.7960562366003061</v>
      </c>
      <c r="AY41" s="30">
        <v>5.4337580533787619</v>
      </c>
      <c r="AZ41" s="29">
        <v>10.67184541062802</v>
      </c>
      <c r="BA41" s="30">
        <v>26.817795454545454</v>
      </c>
      <c r="BB41" s="31">
        <v>1938</v>
      </c>
      <c r="BC41" s="21"/>
    </row>
    <row r="42" spans="1:55" s="80" customFormat="1" x14ac:dyDescent="0.2">
      <c r="A42" s="21"/>
      <c r="B42" s="65">
        <v>1939</v>
      </c>
      <c r="C42" s="14">
        <v>16.668141726618707</v>
      </c>
      <c r="D42" s="15">
        <f t="shared" si="2"/>
        <v>1.8717444252272828</v>
      </c>
      <c r="E42" s="16">
        <f t="shared" si="3"/>
        <v>11.833150164731968</v>
      </c>
      <c r="F42" s="74">
        <f t="shared" si="4"/>
        <v>21.623492570684135</v>
      </c>
      <c r="G42" s="15">
        <v>18.37301318418816</v>
      </c>
      <c r="H42" s="17">
        <v>27.68253775259587</v>
      </c>
      <c r="I42" s="15"/>
      <c r="J42" s="16"/>
      <c r="K42" s="16"/>
      <c r="L42" s="16"/>
      <c r="M42" s="16"/>
      <c r="N42" s="16"/>
      <c r="O42" s="16"/>
      <c r="P42" s="16"/>
      <c r="Q42" s="16"/>
      <c r="R42" s="16"/>
      <c r="S42" s="16"/>
      <c r="T42" s="16"/>
      <c r="U42" s="16"/>
      <c r="V42" s="17"/>
      <c r="W42" s="14">
        <v>19.012545155993433</v>
      </c>
      <c r="X42" s="18">
        <v>20.636503638333334</v>
      </c>
      <c r="Y42" s="16">
        <v>20.69308202675585</v>
      </c>
      <c r="Z42" s="19">
        <v>15.787157726735598</v>
      </c>
      <c r="AA42" s="18">
        <v>4.3387611735537188</v>
      </c>
      <c r="AB42" s="16">
        <v>7.2188865352112677</v>
      </c>
      <c r="AC42" s="16">
        <v>2.4057712329298924</v>
      </c>
      <c r="AD42" s="16"/>
      <c r="AE42" s="16">
        <v>10.97936720353063</v>
      </c>
      <c r="AF42" s="16">
        <v>13.624610885678392</v>
      </c>
      <c r="AG42" s="16">
        <v>17.342327473186117</v>
      </c>
      <c r="AH42" s="16">
        <v>15.524295741889985</v>
      </c>
      <c r="AI42" s="16"/>
      <c r="AJ42" s="16">
        <v>10.623150125860374</v>
      </c>
      <c r="AK42" s="16">
        <v>12.481854757857972</v>
      </c>
      <c r="AL42" s="16">
        <v>6.2171447952802357</v>
      </c>
      <c r="AM42" s="16">
        <v>16.861509319117648</v>
      </c>
      <c r="AN42" s="16">
        <v>13.342606097345133</v>
      </c>
      <c r="AO42" s="16"/>
      <c r="AP42" s="16">
        <v>10.344932404694836</v>
      </c>
      <c r="AQ42" s="19"/>
      <c r="AR42" s="18">
        <v>15.011471321695762</v>
      </c>
      <c r="AS42" s="19">
        <v>5.1454147465437785</v>
      </c>
      <c r="AT42" s="18">
        <v>19.925389463022508</v>
      </c>
      <c r="AU42" s="16">
        <v>20.939245146711638</v>
      </c>
      <c r="AV42" s="16">
        <v>13.721408028026906</v>
      </c>
      <c r="AW42" s="16">
        <v>11.016513500456622</v>
      </c>
      <c r="AX42" s="16">
        <v>3.8150438207002693</v>
      </c>
      <c r="AY42" s="19">
        <v>5.5120091774193547</v>
      </c>
      <c r="AZ42" s="18">
        <v>10.818178256611164</v>
      </c>
      <c r="BA42" s="19">
        <v>26.878883826879274</v>
      </c>
      <c r="BB42" s="20">
        <v>1939</v>
      </c>
      <c r="BC42" s="21"/>
    </row>
    <row r="43" spans="1:55" s="80" customFormat="1" x14ac:dyDescent="0.2">
      <c r="A43" s="21"/>
      <c r="B43" s="64">
        <v>1940</v>
      </c>
      <c r="C43" s="22">
        <v>16.549083571428572</v>
      </c>
      <c r="D43" s="23">
        <f t="shared" si="2"/>
        <v>1.8532123022052305</v>
      </c>
      <c r="E43" s="77">
        <f t="shared" si="3"/>
        <v>11.378029004549969</v>
      </c>
      <c r="F43" s="75">
        <f t="shared" si="4"/>
        <v>20.593802448270605</v>
      </c>
      <c r="G43" s="23">
        <v>17.829968459532353</v>
      </c>
      <c r="H43" s="24">
        <v>26.996193841374485</v>
      </c>
      <c r="I43" s="25"/>
      <c r="J43" s="26"/>
      <c r="K43" s="26"/>
      <c r="L43" s="26"/>
      <c r="M43" s="26"/>
      <c r="N43" s="26"/>
      <c r="O43" s="26"/>
      <c r="P43" s="26"/>
      <c r="Q43" s="26"/>
      <c r="R43" s="26"/>
      <c r="S43" s="26"/>
      <c r="T43" s="26"/>
      <c r="U43" s="26"/>
      <c r="V43" s="27"/>
      <c r="W43" s="28">
        <v>18.888482871125611</v>
      </c>
      <c r="X43" s="29">
        <v>19.256457516329704</v>
      </c>
      <c r="Y43" s="26">
        <v>20.386265324546947</v>
      </c>
      <c r="Z43" s="30">
        <v>15.512199972423803</v>
      </c>
      <c r="AA43" s="29">
        <v>4.2953735618181819</v>
      </c>
      <c r="AB43" s="26">
        <v>6.8819436214833756</v>
      </c>
      <c r="AC43" s="26">
        <v>2.3937451099750056</v>
      </c>
      <c r="AD43" s="26"/>
      <c r="AE43" s="26">
        <v>11.271994261194028</v>
      </c>
      <c r="AF43" s="26">
        <v>12.669614795560745</v>
      </c>
      <c r="AG43" s="26">
        <v>16.410500922388056</v>
      </c>
      <c r="AH43" s="26">
        <v>15.0570802749658</v>
      </c>
      <c r="AI43" s="26"/>
      <c r="AJ43" s="26">
        <v>10.368276082533589</v>
      </c>
      <c r="AK43" s="26">
        <v>12.074226618243241</v>
      </c>
      <c r="AL43" s="26">
        <v>6.0878454234546497</v>
      </c>
      <c r="AM43" s="26">
        <v>16.861509319117648</v>
      </c>
      <c r="AN43" s="26">
        <v>12.981551565805656</v>
      </c>
      <c r="AO43" s="26"/>
      <c r="AP43" s="26">
        <v>10.191815921369102</v>
      </c>
      <c r="AQ43" s="30"/>
      <c r="AR43" s="29">
        <v>15.067834793491865</v>
      </c>
      <c r="AS43" s="30">
        <v>5.0154070746771477</v>
      </c>
      <c r="AT43" s="29">
        <v>19.274638018662522</v>
      </c>
      <c r="AU43" s="26">
        <v>20.124752628849272</v>
      </c>
      <c r="AV43" s="26">
        <v>14.133367160508083</v>
      </c>
      <c r="AW43" s="26">
        <v>11.273908675700936</v>
      </c>
      <c r="AX43" s="26">
        <v>3.7066537906542054</v>
      </c>
      <c r="AY43" s="30">
        <v>5.3727388725435148</v>
      </c>
      <c r="AZ43" s="29">
        <v>10.734071914480078</v>
      </c>
      <c r="BA43" s="30">
        <v>26.457017937219732</v>
      </c>
      <c r="BB43" s="31">
        <v>1940</v>
      </c>
      <c r="BC43" s="21"/>
    </row>
    <row r="44" spans="1:55" s="80" customFormat="1" x14ac:dyDescent="0.2">
      <c r="A44" s="21"/>
      <c r="B44" s="64">
        <v>1941</v>
      </c>
      <c r="C44" s="22">
        <v>15.761031972789118</v>
      </c>
      <c r="D44" s="23">
        <f t="shared" si="2"/>
        <v>1.8348636655497332</v>
      </c>
      <c r="E44" s="77">
        <f t="shared" si="3"/>
        <v>10.94041250437497</v>
      </c>
      <c r="F44" s="75">
        <f t="shared" si="4"/>
        <v>19.613145188829147</v>
      </c>
      <c r="G44" s="23">
        <v>17.153950698033498</v>
      </c>
      <c r="H44" s="24">
        <v>25.322011277568315</v>
      </c>
      <c r="I44" s="25"/>
      <c r="J44" s="26"/>
      <c r="K44" s="26"/>
      <c r="L44" s="26"/>
      <c r="M44" s="26"/>
      <c r="N44" s="26"/>
      <c r="O44" s="26"/>
      <c r="P44" s="26"/>
      <c r="Q44" s="26"/>
      <c r="R44" s="26"/>
      <c r="S44" s="26"/>
      <c r="T44" s="26"/>
      <c r="U44" s="26"/>
      <c r="V44" s="27"/>
      <c r="W44" s="28">
        <v>17.731454823889738</v>
      </c>
      <c r="X44" s="29">
        <v>17.439298849295774</v>
      </c>
      <c r="Y44" s="26">
        <v>18.950173127105664</v>
      </c>
      <c r="Z44" s="30">
        <v>14.681189259615383</v>
      </c>
      <c r="AA44" s="29">
        <v>4.1702655939982343</v>
      </c>
      <c r="AB44" s="26">
        <v>6.4029505199286145</v>
      </c>
      <c r="AC44" s="26">
        <v>2.3416030737941762</v>
      </c>
      <c r="AD44" s="26"/>
      <c r="AE44" s="26">
        <v>10.810972001022494</v>
      </c>
      <c r="AF44" s="26">
        <v>11.944042142070483</v>
      </c>
      <c r="AG44" s="26">
        <v>15.42080731837307</v>
      </c>
      <c r="AH44" s="26">
        <v>14.463502865965832</v>
      </c>
      <c r="AI44" s="26"/>
      <c r="AJ44" s="26">
        <v>9.5271108271604934</v>
      </c>
      <c r="AK44" s="26">
        <v>11.333946339323465</v>
      </c>
      <c r="AL44" s="26">
        <v>5.4516608525607859</v>
      </c>
      <c r="AM44" s="26">
        <v>15.287768449333333</v>
      </c>
      <c r="AN44" s="26">
        <v>12.564287408333332</v>
      </c>
      <c r="AO44" s="26"/>
      <c r="AP44" s="26">
        <v>9.5803069660869564</v>
      </c>
      <c r="AQ44" s="30"/>
      <c r="AR44" s="29">
        <v>13.572942502818492</v>
      </c>
      <c r="AS44" s="30">
        <v>4.7112025316455695</v>
      </c>
      <c r="AT44" s="29">
        <v>17.679874815977175</v>
      </c>
      <c r="AU44" s="26">
        <v>18.450181830609214</v>
      </c>
      <c r="AV44" s="26">
        <v>12.350651827447024</v>
      </c>
      <c r="AW44" s="26">
        <v>10.544652345279721</v>
      </c>
      <c r="AX44" s="26">
        <v>3.3295160812625921</v>
      </c>
      <c r="AY44" s="30">
        <v>5.0468607236286918</v>
      </c>
      <c r="AZ44" s="29">
        <v>10.077883211678831</v>
      </c>
      <c r="BA44" s="30">
        <v>25.65180434782609</v>
      </c>
      <c r="BB44" s="31">
        <v>1941</v>
      </c>
      <c r="BC44" s="21"/>
    </row>
    <row r="45" spans="1:55" s="80" customFormat="1" x14ac:dyDescent="0.2">
      <c r="A45" s="21"/>
      <c r="B45" s="64">
        <v>1942</v>
      </c>
      <c r="C45" s="22">
        <v>14.213936809815952</v>
      </c>
      <c r="D45" s="23">
        <f t="shared" si="2"/>
        <v>1.8166966985640922</v>
      </c>
      <c r="E45" s="77">
        <f t="shared" si="3"/>
        <v>10.519627408052855</v>
      </c>
      <c r="F45" s="75">
        <f t="shared" si="4"/>
        <v>18.679185894122998</v>
      </c>
      <c r="G45" s="23">
        <v>16.303980167950755</v>
      </c>
      <c r="H45" s="24">
        <v>23.670575759466033</v>
      </c>
      <c r="I45" s="25"/>
      <c r="J45" s="26"/>
      <c r="K45" s="26"/>
      <c r="L45" s="26"/>
      <c r="M45" s="26"/>
      <c r="N45" s="26"/>
      <c r="O45" s="26"/>
      <c r="P45" s="26"/>
      <c r="Q45" s="26"/>
      <c r="R45" s="26"/>
      <c r="S45" s="26"/>
      <c r="T45" s="26"/>
      <c r="U45" s="26"/>
      <c r="V45" s="27"/>
      <c r="W45" s="28">
        <v>16.103810848400556</v>
      </c>
      <c r="X45" s="29">
        <v>15.081488651644333</v>
      </c>
      <c r="Y45" s="26">
        <v>16.654728199192462</v>
      </c>
      <c r="Z45" s="30">
        <v>13.427017312814069</v>
      </c>
      <c r="AA45" s="29">
        <v>3.9973865634517765</v>
      </c>
      <c r="AB45" s="26">
        <v>6.0707049204737729</v>
      </c>
      <c r="AC45" s="26">
        <v>2.2300745616003383</v>
      </c>
      <c r="AD45" s="26"/>
      <c r="AE45" s="26">
        <v>10.3051955331384</v>
      </c>
      <c r="AF45" s="26">
        <v>11.661494908602149</v>
      </c>
      <c r="AG45" s="26">
        <v>15.123845416781291</v>
      </c>
      <c r="AH45" s="26">
        <v>13.932564153164554</v>
      </c>
      <c r="AI45" s="26"/>
      <c r="AJ45" s="26">
        <v>7.8801923253099915</v>
      </c>
      <c r="AK45" s="26">
        <v>9.6943157658227825</v>
      </c>
      <c r="AL45" s="26">
        <v>3.8572695563689599</v>
      </c>
      <c r="AM45" s="26">
        <v>14.83289306209573</v>
      </c>
      <c r="AN45" s="26">
        <v>11.434454412784397</v>
      </c>
      <c r="AO45" s="26"/>
      <c r="AP45" s="26">
        <v>8.7508761008737093</v>
      </c>
      <c r="AQ45" s="30"/>
      <c r="AR45" s="29">
        <v>11.542857142857144</v>
      </c>
      <c r="AS45" s="30">
        <v>4.3551633349585561</v>
      </c>
      <c r="AT45" s="29">
        <v>16.635694289932886</v>
      </c>
      <c r="AU45" s="26">
        <v>17.637744846590909</v>
      </c>
      <c r="AV45" s="26">
        <v>9.4806320379550737</v>
      </c>
      <c r="AW45" s="26">
        <v>9.920297930098684</v>
      </c>
      <c r="AX45" s="26">
        <v>3.7844652251908397</v>
      </c>
      <c r="AY45" s="30">
        <v>4.6654548668941977</v>
      </c>
      <c r="AZ45" s="29">
        <v>9.3131197301854982</v>
      </c>
      <c r="BA45" s="30">
        <v>24.130531697341514</v>
      </c>
      <c r="BB45" s="31">
        <v>1942</v>
      </c>
      <c r="BC45" s="21"/>
    </row>
    <row r="46" spans="1:55" s="80" customFormat="1" x14ac:dyDescent="0.2">
      <c r="A46" s="21"/>
      <c r="B46" s="64">
        <v>1943</v>
      </c>
      <c r="C46" s="22">
        <v>13.392321965317919</v>
      </c>
      <c r="D46" s="23">
        <f t="shared" si="2"/>
        <v>1.798709602538705</v>
      </c>
      <c r="E46" s="77">
        <f t="shared" si="3"/>
        <v>10.115026353896976</v>
      </c>
      <c r="F46" s="75">
        <f t="shared" si="4"/>
        <v>17.78970085154571</v>
      </c>
      <c r="G46" s="23">
        <v>15.805605228319074</v>
      </c>
      <c r="H46" s="24">
        <v>22.527858309009055</v>
      </c>
      <c r="I46" s="25"/>
      <c r="J46" s="26"/>
      <c r="K46" s="26"/>
      <c r="L46" s="26"/>
      <c r="M46" s="26"/>
      <c r="N46" s="26"/>
      <c r="O46" s="26"/>
      <c r="P46" s="26"/>
      <c r="Q46" s="26"/>
      <c r="R46" s="26"/>
      <c r="S46" s="26"/>
      <c r="T46" s="26"/>
      <c r="U46" s="26"/>
      <c r="V46" s="27"/>
      <c r="W46" s="28">
        <v>15.056749024707411</v>
      </c>
      <c r="X46" s="29">
        <v>13.912249643820223</v>
      </c>
      <c r="Y46" s="26">
        <v>15.429505052369077</v>
      </c>
      <c r="Z46" s="30">
        <v>13.194945408641974</v>
      </c>
      <c r="AA46" s="29">
        <v>4.0332146120358514</v>
      </c>
      <c r="AB46" s="26">
        <v>6.2180010537261703</v>
      </c>
      <c r="AC46" s="26">
        <v>2.2812629339540922</v>
      </c>
      <c r="AD46" s="26"/>
      <c r="AE46" s="26">
        <v>10.225464813346226</v>
      </c>
      <c r="AF46" s="26">
        <v>11.661494908602149</v>
      </c>
      <c r="AG46" s="26">
        <v>15.270882802777775</v>
      </c>
      <c r="AH46" s="26">
        <v>13.914950292035396</v>
      </c>
      <c r="AI46" s="26"/>
      <c r="AJ46" s="26">
        <v>7.7169597699999999</v>
      </c>
      <c r="AK46" s="26">
        <v>10.605255427299703</v>
      </c>
      <c r="AL46" s="26">
        <v>3.6654123227826081</v>
      </c>
      <c r="AM46" s="26">
        <v>14.68095561715749</v>
      </c>
      <c r="AN46" s="26">
        <v>10.846866827338129</v>
      </c>
      <c r="AO46" s="26"/>
      <c r="AP46" s="26">
        <v>8.8563930956591648</v>
      </c>
      <c r="AQ46" s="30"/>
      <c r="AR46" s="29">
        <v>10.720569902048085</v>
      </c>
      <c r="AS46" s="30">
        <v>4.4550822942643391</v>
      </c>
      <c r="AT46" s="29">
        <v>15.569839505025126</v>
      </c>
      <c r="AU46" s="26">
        <v>16.146908156046813</v>
      </c>
      <c r="AV46" s="26">
        <v>8.3947160226337445</v>
      </c>
      <c r="AW46" s="26">
        <v>11.097591796688134</v>
      </c>
      <c r="AX46" s="26">
        <v>3.8944614650432046</v>
      </c>
      <c r="AY46" s="30">
        <v>4.7724927341645884</v>
      </c>
      <c r="AZ46" s="29">
        <v>8.8221725239616617</v>
      </c>
      <c r="BA46" s="30">
        <v>22.390569259962053</v>
      </c>
      <c r="BB46" s="31">
        <v>1943</v>
      </c>
      <c r="BC46" s="21"/>
    </row>
    <row r="47" spans="1:55" s="80" customFormat="1" x14ac:dyDescent="0.2">
      <c r="A47" s="21"/>
      <c r="B47" s="65">
        <v>1944</v>
      </c>
      <c r="C47" s="14">
        <v>13.164043749999999</v>
      </c>
      <c r="D47" s="15">
        <f t="shared" si="2"/>
        <v>1.7809005965729752</v>
      </c>
      <c r="E47" s="16">
        <f t="shared" si="3"/>
        <v>9.7259868787470918</v>
      </c>
      <c r="F47" s="74">
        <f t="shared" si="4"/>
        <v>16.942572239567344</v>
      </c>
      <c r="G47" s="15">
        <v>15.402057860787522</v>
      </c>
      <c r="H47" s="17">
        <v>21.849762239507108</v>
      </c>
      <c r="I47" s="15"/>
      <c r="J47" s="16"/>
      <c r="K47" s="16"/>
      <c r="L47" s="16"/>
      <c r="M47" s="16"/>
      <c r="N47" s="16"/>
      <c r="O47" s="16"/>
      <c r="P47" s="16"/>
      <c r="Q47" s="16"/>
      <c r="R47" s="16"/>
      <c r="S47" s="16"/>
      <c r="T47" s="16"/>
      <c r="U47" s="16"/>
      <c r="V47" s="17"/>
      <c r="W47" s="14">
        <v>14.509573934837093</v>
      </c>
      <c r="X47" s="18">
        <v>14.464838998831775</v>
      </c>
      <c r="Y47" s="16">
        <v>15.072427590742993</v>
      </c>
      <c r="Z47" s="19">
        <v>13.563332209390863</v>
      </c>
      <c r="AA47" s="18">
        <v>4.0539776216216215</v>
      </c>
      <c r="AB47" s="16">
        <v>6.4297251039426531</v>
      </c>
      <c r="AC47" s="16">
        <v>2.3536354399016979</v>
      </c>
      <c r="AD47" s="16"/>
      <c r="AE47" s="16">
        <v>10.225464813346226</v>
      </c>
      <c r="AF47" s="16">
        <v>11.574375949839915</v>
      </c>
      <c r="AG47" s="16">
        <v>15.123845416781291</v>
      </c>
      <c r="AH47" s="16">
        <v>13.792889324561401</v>
      </c>
      <c r="AI47" s="16"/>
      <c r="AJ47" s="16">
        <v>7.2411150656836458</v>
      </c>
      <c r="AK47" s="16">
        <v>9.964603380111523</v>
      </c>
      <c r="AL47" s="16">
        <v>3.0456822046242769</v>
      </c>
      <c r="AM47" s="16">
        <v>14.12047578448276</v>
      </c>
      <c r="AN47" s="16">
        <v>10.914168999999999</v>
      </c>
      <c r="AO47" s="16"/>
      <c r="AP47" s="16">
        <v>8.7508761008737093</v>
      </c>
      <c r="AQ47" s="19"/>
      <c r="AR47" s="18">
        <v>10.984671532846715</v>
      </c>
      <c r="AS47" s="19">
        <v>4.4154424122590212</v>
      </c>
      <c r="AT47" s="18">
        <v>14.914070091456075</v>
      </c>
      <c r="AU47" s="16">
        <v>14.94220502045728</v>
      </c>
      <c r="AV47" s="16">
        <v>9.1888107815315312</v>
      </c>
      <c r="AW47" s="16">
        <v>11.6326733683703</v>
      </c>
      <c r="AX47" s="16">
        <v>4.2013978347457623</v>
      </c>
      <c r="AY47" s="19">
        <v>4.7300286366782007</v>
      </c>
      <c r="AZ47" s="18">
        <v>8.6224512099921924</v>
      </c>
      <c r="BA47" s="19">
        <v>21.184614003590664</v>
      </c>
      <c r="BB47" s="20">
        <v>1944</v>
      </c>
      <c r="BC47" s="21"/>
    </row>
    <row r="48" spans="1:55" s="80" customFormat="1" x14ac:dyDescent="0.2">
      <c r="A48" s="21"/>
      <c r="B48" s="64">
        <v>1945</v>
      </c>
      <c r="C48" s="22">
        <v>12.871509444444445</v>
      </c>
      <c r="D48" s="23">
        <f t="shared" si="2"/>
        <v>1.7632679173989854</v>
      </c>
      <c r="E48" s="77">
        <f t="shared" si="3"/>
        <v>9.3519104603337411</v>
      </c>
      <c r="F48" s="75">
        <f t="shared" si="4"/>
        <v>16.135783085302233</v>
      </c>
      <c r="G48" s="23">
        <v>15.144282833828736</v>
      </c>
      <c r="H48" s="24">
        <v>21.211295161079953</v>
      </c>
      <c r="I48" s="25"/>
      <c r="J48" s="26"/>
      <c r="K48" s="26"/>
      <c r="L48" s="26"/>
      <c r="M48" s="26"/>
      <c r="N48" s="26"/>
      <c r="O48" s="26"/>
      <c r="P48" s="26"/>
      <c r="Q48" s="26"/>
      <c r="R48" s="26"/>
      <c r="S48" s="26"/>
      <c r="T48" s="26"/>
      <c r="U48" s="26"/>
      <c r="V48" s="27"/>
      <c r="W48" s="28">
        <v>14.051747572815534</v>
      </c>
      <c r="X48" s="29">
        <v>13.7271642827051</v>
      </c>
      <c r="Y48" s="26">
        <v>14.679078353499406</v>
      </c>
      <c r="Z48" s="30">
        <v>12.955037310303029</v>
      </c>
      <c r="AA48" s="29">
        <v>3.9973865634517765</v>
      </c>
      <c r="AB48" s="26">
        <v>6.595195970588235</v>
      </c>
      <c r="AC48" s="26">
        <v>2.3807620856497174</v>
      </c>
      <c r="AD48" s="26"/>
      <c r="AE48" s="26">
        <v>10.069648206666665</v>
      </c>
      <c r="AF48" s="26">
        <v>11.574375949839915</v>
      </c>
      <c r="AG48" s="26">
        <v>14.979612558583105</v>
      </c>
      <c r="AH48" s="26">
        <v>13.672951156521737</v>
      </c>
      <c r="AI48" s="26"/>
      <c r="AJ48" s="26">
        <v>6.9210401524663672</v>
      </c>
      <c r="AK48" s="26">
        <v>8.8904753208955203</v>
      </c>
      <c r="AL48" s="26">
        <v>3.1104074462809912</v>
      </c>
      <c r="AM48" s="26">
        <v>14.68095561715749</v>
      </c>
      <c r="AN48" s="26">
        <v>10.902894032024793</v>
      </c>
      <c r="AO48" s="26"/>
      <c r="AP48" s="26">
        <v>8.8563930956591648</v>
      </c>
      <c r="AQ48" s="30"/>
      <c r="AR48" s="29">
        <v>11.106273062730628</v>
      </c>
      <c r="AS48" s="30">
        <v>4.2414245014245013</v>
      </c>
      <c r="AT48" s="29">
        <v>14.03577830804077</v>
      </c>
      <c r="AU48" s="26">
        <v>13.904784291153417</v>
      </c>
      <c r="AV48" s="26">
        <v>9.607139686813186</v>
      </c>
      <c r="AW48" s="26">
        <v>10.956478004541326</v>
      </c>
      <c r="AX48" s="26">
        <v>4.5608550551977922</v>
      </c>
      <c r="AY48" s="30">
        <v>4.5436125033238373</v>
      </c>
      <c r="AZ48" s="29">
        <v>8.3995133079847903</v>
      </c>
      <c r="BA48" s="30">
        <v>20.274621993127148</v>
      </c>
      <c r="BB48" s="31">
        <v>1945</v>
      </c>
      <c r="BC48" s="21"/>
    </row>
    <row r="49" spans="1:55" s="80" customFormat="1" x14ac:dyDescent="0.2">
      <c r="A49" s="21"/>
      <c r="B49" s="64">
        <v>1946</v>
      </c>
      <c r="C49" s="22">
        <v>11.881393333333333</v>
      </c>
      <c r="D49" s="23">
        <f t="shared" si="2"/>
        <v>1.7458098192069162</v>
      </c>
      <c r="E49" s="77">
        <f t="shared" si="3"/>
        <v>8.9922215964747512</v>
      </c>
      <c r="F49" s="75">
        <f t="shared" si="4"/>
        <v>15.367412462192602</v>
      </c>
      <c r="G49" s="23">
        <v>13.814822890401022</v>
      </c>
      <c r="H49" s="24">
        <v>18.881730952637646</v>
      </c>
      <c r="I49" s="25"/>
      <c r="J49" s="26"/>
      <c r="K49" s="26"/>
      <c r="L49" s="26"/>
      <c r="M49" s="26"/>
      <c r="N49" s="26"/>
      <c r="O49" s="26"/>
      <c r="P49" s="26"/>
      <c r="Q49" s="26"/>
      <c r="R49" s="26"/>
      <c r="S49" s="26"/>
      <c r="T49" s="26"/>
      <c r="U49" s="26"/>
      <c r="V49" s="27"/>
      <c r="W49" s="28">
        <v>12.850876803551611</v>
      </c>
      <c r="X49" s="29">
        <v>11.318009308043877</v>
      </c>
      <c r="Y49" s="26">
        <v>12.524760174089067</v>
      </c>
      <c r="Z49" s="30">
        <v>11.995404916947249</v>
      </c>
      <c r="AA49" s="29">
        <v>2.5889922838356165</v>
      </c>
      <c r="AB49" s="26">
        <v>7.1045279366336631</v>
      </c>
      <c r="AC49" s="26">
        <v>2.3097724685376009</v>
      </c>
      <c r="AD49" s="26">
        <v>10.612842889970789</v>
      </c>
      <c r="AE49" s="26">
        <v>9.3650404047829934</v>
      </c>
      <c r="AF49" s="26">
        <v>10.642973763493622</v>
      </c>
      <c r="AG49" s="26">
        <v>13.760995767209009</v>
      </c>
      <c r="AH49" s="26">
        <v>12.739265834490739</v>
      </c>
      <c r="AI49" s="26">
        <v>6.724237666458853</v>
      </c>
      <c r="AJ49" s="26">
        <v>6.567625336170213</v>
      </c>
      <c r="AK49" s="26">
        <v>8.2476255669230749</v>
      </c>
      <c r="AL49" s="26">
        <v>3.5601555499999993</v>
      </c>
      <c r="AM49" s="26">
        <v>11.408782424875621</v>
      </c>
      <c r="AN49" s="26">
        <v>9.5945467481818181</v>
      </c>
      <c r="AO49" s="26">
        <v>8.7858262576000001</v>
      </c>
      <c r="AP49" s="26">
        <v>8.2403537853403144</v>
      </c>
      <c r="AQ49" s="30">
        <v>4.7485410988235293</v>
      </c>
      <c r="AR49" s="29">
        <v>10.159662447257386</v>
      </c>
      <c r="AS49" s="30">
        <v>3.8769270833333334</v>
      </c>
      <c r="AT49" s="29">
        <v>12.174452108055011</v>
      </c>
      <c r="AU49" s="26">
        <v>12.787819126673533</v>
      </c>
      <c r="AV49" s="26">
        <v>8.966663707692307</v>
      </c>
      <c r="AW49" s="26">
        <v>9.4686674120879122</v>
      </c>
      <c r="AX49" s="26">
        <v>4.1091168213841689</v>
      </c>
      <c r="AY49" s="30">
        <v>4.1531458038194442</v>
      </c>
      <c r="AZ49" s="29">
        <v>7.5087423521413994</v>
      </c>
      <c r="BA49" s="30">
        <v>18.641121642969985</v>
      </c>
      <c r="BB49" s="31">
        <v>1946</v>
      </c>
      <c r="BC49" s="21"/>
    </row>
    <row r="50" spans="1:55" s="80" customFormat="1" x14ac:dyDescent="0.2">
      <c r="A50" s="21"/>
      <c r="B50" s="64">
        <v>1947</v>
      </c>
      <c r="C50" s="22">
        <v>10.389559192825113</v>
      </c>
      <c r="D50" s="23">
        <f t="shared" si="2"/>
        <v>1.7285245734721943</v>
      </c>
      <c r="E50" s="77">
        <f t="shared" si="3"/>
        <v>8.6463669196872601</v>
      </c>
      <c r="F50" s="75">
        <f t="shared" si="4"/>
        <v>14.635630916373906</v>
      </c>
      <c r="G50" s="23">
        <v>11.563845358738236</v>
      </c>
      <c r="H50" s="24">
        <v>15.818593001483354</v>
      </c>
      <c r="I50" s="25"/>
      <c r="J50" s="26"/>
      <c r="K50" s="26"/>
      <c r="L50" s="26"/>
      <c r="M50" s="26">
        <v>4.9728773084592479</v>
      </c>
      <c r="N50" s="26"/>
      <c r="O50" s="26"/>
      <c r="P50" s="26"/>
      <c r="Q50" s="26"/>
      <c r="R50" s="26"/>
      <c r="S50" s="26"/>
      <c r="T50" s="26"/>
      <c r="U50" s="26"/>
      <c r="V50" s="27"/>
      <c r="W50" s="28">
        <v>11.464</v>
      </c>
      <c r="X50" s="29">
        <v>9.5613144270270265</v>
      </c>
      <c r="Y50" s="26">
        <v>9.4389496964149497</v>
      </c>
      <c r="Z50" s="30">
        <v>10.007402416666666</v>
      </c>
      <c r="AA50" s="29">
        <v>2.1140541020134225</v>
      </c>
      <c r="AB50" s="26">
        <v>6.4917731145958992</v>
      </c>
      <c r="AC50" s="26">
        <v>2.150851822988975</v>
      </c>
      <c r="AD50" s="26">
        <v>9.8637010389140265</v>
      </c>
      <c r="AE50" s="26">
        <v>7.5956398110632168</v>
      </c>
      <c r="AF50" s="26">
        <v>12.669614795560745</v>
      </c>
      <c r="AG50" s="26">
        <v>12.829679834305715</v>
      </c>
      <c r="AH50" s="26">
        <v>10.951965851741292</v>
      </c>
      <c r="AI50" s="26">
        <v>5.4833132775800708</v>
      </c>
      <c r="AJ50" s="26">
        <v>5.6623394538784071</v>
      </c>
      <c r="AK50" s="26">
        <v>7.3488096209732685</v>
      </c>
      <c r="AL50" s="26">
        <v>2.8667193764961914</v>
      </c>
      <c r="AM50" s="26">
        <v>10.093156986795774</v>
      </c>
      <c r="AN50" s="26">
        <v>8.9213875088757391</v>
      </c>
      <c r="AO50" s="26">
        <v>7.6318852133425992</v>
      </c>
      <c r="AP50" s="26">
        <v>6.9466286324085758</v>
      </c>
      <c r="AQ50" s="30">
        <v>3.927851239782016</v>
      </c>
      <c r="AR50" s="29">
        <v>8.7051337671728142</v>
      </c>
      <c r="AS50" s="30">
        <v>3.225872156013001</v>
      </c>
      <c r="AT50" s="29">
        <v>9.7587340519685046</v>
      </c>
      <c r="AU50" s="26">
        <v>9.7007596656250001</v>
      </c>
      <c r="AV50" s="26">
        <v>7.8659999749357326</v>
      </c>
      <c r="AW50" s="26">
        <v>8.2623851253424654</v>
      </c>
      <c r="AX50" s="26">
        <v>3.6873554815916694</v>
      </c>
      <c r="AY50" s="30">
        <v>3.4557052842181291</v>
      </c>
      <c r="AZ50" s="29">
        <v>6.767990196078431</v>
      </c>
      <c r="BA50" s="30">
        <v>16.737347517730498</v>
      </c>
      <c r="BB50" s="31">
        <v>1947</v>
      </c>
      <c r="BC50" s="21"/>
    </row>
    <row r="51" spans="1:55" s="80" customFormat="1" x14ac:dyDescent="0.2">
      <c r="A51" s="21"/>
      <c r="B51" s="64">
        <v>1948</v>
      </c>
      <c r="C51" s="22">
        <v>9.6135755186721994</v>
      </c>
      <c r="D51" s="23">
        <f t="shared" si="2"/>
        <v>1.7114104687843508</v>
      </c>
      <c r="E51" s="77">
        <f t="shared" si="3"/>
        <v>8.3138143458531353</v>
      </c>
      <c r="F51" s="75">
        <f t="shared" si="4"/>
        <v>13.938696110832291</v>
      </c>
      <c r="G51" s="23">
        <v>10.614321399662956</v>
      </c>
      <c r="H51" s="24">
        <v>14.17153776488639</v>
      </c>
      <c r="I51" s="25"/>
      <c r="J51" s="26"/>
      <c r="K51" s="26"/>
      <c r="L51" s="26"/>
      <c r="M51" s="26">
        <v>4.6824903123448403</v>
      </c>
      <c r="N51" s="26"/>
      <c r="O51" s="26"/>
      <c r="P51" s="26"/>
      <c r="Q51" s="26"/>
      <c r="R51" s="26"/>
      <c r="S51" s="26"/>
      <c r="T51" s="26"/>
      <c r="U51" s="26"/>
      <c r="V51" s="27"/>
      <c r="W51" s="28">
        <v>10.246584070796459</v>
      </c>
      <c r="X51" s="29">
        <v>8.5925761158917418</v>
      </c>
      <c r="Y51" s="26">
        <v>8.5047856027491395</v>
      </c>
      <c r="Z51" s="30">
        <v>8.7390889460343413</v>
      </c>
      <c r="AA51" s="29">
        <v>2.1365186154193987</v>
      </c>
      <c r="AB51" s="26">
        <v>6.0913185195246173</v>
      </c>
      <c r="AC51" s="26">
        <v>2.0981621647082251</v>
      </c>
      <c r="AD51" s="26">
        <v>9.1055886783625724</v>
      </c>
      <c r="AE51" s="26">
        <v>6.7819952642719681</v>
      </c>
      <c r="AF51" s="26">
        <v>11.476391814814814</v>
      </c>
      <c r="AG51" s="26">
        <v>11.835345121636168</v>
      </c>
      <c r="AH51" s="26">
        <v>10.070197329368709</v>
      </c>
      <c r="AI51" s="26">
        <v>5.2819183237022518</v>
      </c>
      <c r="AJ51" s="26">
        <v>5.2855888835616431</v>
      </c>
      <c r="AK51" s="26">
        <v>6.7774419955752201</v>
      </c>
      <c r="AL51" s="26">
        <v>2.7069253603904442</v>
      </c>
      <c r="AM51" s="26">
        <v>9.3293949039869819</v>
      </c>
      <c r="AN51" s="26">
        <v>8.3695491062648699</v>
      </c>
      <c r="AO51" s="26">
        <v>7.0309108975672219</v>
      </c>
      <c r="AP51" s="26">
        <v>6.5618540863609294</v>
      </c>
      <c r="AQ51" s="30">
        <v>3.5897011152614726</v>
      </c>
      <c r="AR51" s="29">
        <v>7.7722401549386708</v>
      </c>
      <c r="AS51" s="30">
        <v>2.9695611702127662</v>
      </c>
      <c r="AT51" s="29">
        <v>8.8273449045584051</v>
      </c>
      <c r="AU51" s="26">
        <v>8.7259117160927619</v>
      </c>
      <c r="AV51" s="26">
        <v>7.0220860361445787</v>
      </c>
      <c r="AW51" s="26">
        <v>7.3421072933657943</v>
      </c>
      <c r="AX51" s="26">
        <v>3.4620457018156423</v>
      </c>
      <c r="AY51" s="30">
        <v>3.1811329561170214</v>
      </c>
      <c r="AZ51" s="29">
        <v>6.3993974507531854</v>
      </c>
      <c r="BA51" s="30">
        <v>14.82390703517588</v>
      </c>
      <c r="BB51" s="31">
        <v>1948</v>
      </c>
      <c r="BC51" s="21"/>
    </row>
    <row r="52" spans="1:55" s="80" customFormat="1" x14ac:dyDescent="0.2">
      <c r="A52" s="21"/>
      <c r="B52" s="65">
        <v>1949</v>
      </c>
      <c r="C52" s="14">
        <v>9.7347550420168076</v>
      </c>
      <c r="D52" s="15">
        <f t="shared" si="2"/>
        <v>1.694465810677575</v>
      </c>
      <c r="E52" s="16">
        <f t="shared" si="3"/>
        <v>7.9940522556280147</v>
      </c>
      <c r="F52" s="74">
        <f t="shared" si="4"/>
        <v>13.274948676983135</v>
      </c>
      <c r="G52" s="15">
        <v>10.282623855923488</v>
      </c>
      <c r="H52" s="17">
        <v>13.696182200445756</v>
      </c>
      <c r="I52" s="15"/>
      <c r="J52" s="16"/>
      <c r="K52" s="16"/>
      <c r="L52" s="16"/>
      <c r="M52" s="16">
        <v>4.4703914480225997</v>
      </c>
      <c r="N52" s="16"/>
      <c r="O52" s="16"/>
      <c r="P52" s="16"/>
      <c r="Q52" s="16"/>
      <c r="R52" s="16"/>
      <c r="S52" s="16"/>
      <c r="T52" s="16"/>
      <c r="U52" s="16"/>
      <c r="V52" s="17"/>
      <c r="W52" s="14">
        <v>10.156701754385965</v>
      </c>
      <c r="X52" s="18">
        <v>8.8253044782608701</v>
      </c>
      <c r="Y52" s="16">
        <v>8.7575817777777765</v>
      </c>
      <c r="Z52" s="19">
        <v>8.6123334254633352</v>
      </c>
      <c r="AA52" s="18">
        <v>2.1360356772151898</v>
      </c>
      <c r="AB52" s="16">
        <v>6.0366572204150311</v>
      </c>
      <c r="AC52" s="16">
        <v>2.0571904372192926</v>
      </c>
      <c r="AD52" s="16">
        <v>8.705582785942493</v>
      </c>
      <c r="AE52" s="16">
        <v>6.7173637973316378</v>
      </c>
      <c r="AF52" s="16">
        <v>10.801982335657371</v>
      </c>
      <c r="AG52" s="16">
        <v>11.311765039094649</v>
      </c>
      <c r="AH52" s="16">
        <v>9.2571284112699725</v>
      </c>
      <c r="AI52" s="16">
        <v>5.1954129176300574</v>
      </c>
      <c r="AJ52" s="16">
        <v>5.0508385591397849</v>
      </c>
      <c r="AK52" s="16">
        <v>6.4824142908101567</v>
      </c>
      <c r="AL52" s="16">
        <v>2.565253268743914</v>
      </c>
      <c r="AM52" s="16">
        <v>9.0998621722222222</v>
      </c>
      <c r="AN52" s="16">
        <v>8.0873574122605358</v>
      </c>
      <c r="AO52" s="16">
        <v>6.8001751219814253</v>
      </c>
      <c r="AP52" s="16">
        <v>6.3905759924593974</v>
      </c>
      <c r="AQ52" s="19">
        <v>3.6193148619081779</v>
      </c>
      <c r="AR52" s="18">
        <v>7.9205263157894743</v>
      </c>
      <c r="AS52" s="19">
        <v>2.9567825223435946</v>
      </c>
      <c r="AT52" s="18">
        <v>9.0200816928675405</v>
      </c>
      <c r="AU52" s="16">
        <v>8.971800846820809</v>
      </c>
      <c r="AV52" s="16">
        <v>7.2724277843137264</v>
      </c>
      <c r="AW52" s="16">
        <v>7.3690178882101396</v>
      </c>
      <c r="AX52" s="16">
        <v>3.3748464567733154</v>
      </c>
      <c r="AY52" s="19">
        <v>3.1674438702416419</v>
      </c>
      <c r="AZ52" s="18">
        <v>6.3956919513607406</v>
      </c>
      <c r="BA52" s="19">
        <v>14.460575980392157</v>
      </c>
      <c r="BB52" s="20">
        <v>1949</v>
      </c>
      <c r="BC52" s="21"/>
    </row>
    <row r="53" spans="1:55" s="80" customFormat="1" x14ac:dyDescent="0.2">
      <c r="A53" s="21"/>
      <c r="B53" s="64">
        <v>1950</v>
      </c>
      <c r="C53" s="22">
        <v>9.6135755186721994</v>
      </c>
      <c r="D53" s="23">
        <f t="shared" si="2"/>
        <v>1.6776889214629456</v>
      </c>
      <c r="E53" s="77">
        <f t="shared" si="3"/>
        <v>7.6865887073346295</v>
      </c>
      <c r="F53" s="75">
        <f t="shared" si="4"/>
        <v>12.64280826379346</v>
      </c>
      <c r="G53" s="23">
        <v>9.6519562594268482</v>
      </c>
      <c r="H53" s="24">
        <v>12.809958646299267</v>
      </c>
      <c r="I53" s="25"/>
      <c r="J53" s="26"/>
      <c r="K53" s="26"/>
      <c r="L53" s="26"/>
      <c r="M53" s="26">
        <v>4.4860221873513497</v>
      </c>
      <c r="N53" s="26"/>
      <c r="O53" s="26"/>
      <c r="P53" s="26"/>
      <c r="Q53" s="26"/>
      <c r="R53" s="26"/>
      <c r="S53" s="26"/>
      <c r="T53" s="26"/>
      <c r="U53" s="26"/>
      <c r="V53" s="27"/>
      <c r="W53" s="28">
        <v>10.077145343777197</v>
      </c>
      <c r="X53" s="29">
        <v>8.8822827711621226</v>
      </c>
      <c r="Y53" s="26">
        <v>8.7824436139105746</v>
      </c>
      <c r="Z53" s="30">
        <v>8.1649394812834224</v>
      </c>
      <c r="AA53" s="29">
        <v>2.0925203356953057</v>
      </c>
      <c r="AB53" s="26">
        <v>5.7898654244217322</v>
      </c>
      <c r="AC53" s="26">
        <v>2.0216603778545381</v>
      </c>
      <c r="AD53" s="26">
        <v>8.3520227187739469</v>
      </c>
      <c r="AE53" s="26">
        <v>6.616477232165205</v>
      </c>
      <c r="AF53" s="26">
        <v>9.9133366224862893</v>
      </c>
      <c r="AG53" s="26">
        <v>10.83254740689655</v>
      </c>
      <c r="AH53" s="26">
        <v>8.919550794975688</v>
      </c>
      <c r="AI53" s="26">
        <v>4.9910584067561317</v>
      </c>
      <c r="AJ53" s="26">
        <v>4.9626750932475883</v>
      </c>
      <c r="AK53" s="26">
        <v>6.5099655355191253</v>
      </c>
      <c r="AL53" s="26">
        <v>2.5380685038535642</v>
      </c>
      <c r="AM53" s="26">
        <v>8.8813527010069713</v>
      </c>
      <c r="AN53" s="26">
        <v>7.5170950306267805</v>
      </c>
      <c r="AO53" s="26">
        <v>6.6438492571082879</v>
      </c>
      <c r="AP53" s="26">
        <v>6.1791099332585535</v>
      </c>
      <c r="AQ53" s="30">
        <v>3.4580705397532556</v>
      </c>
      <c r="AR53" s="29">
        <v>8.234746922024625</v>
      </c>
      <c r="AS53" s="30">
        <v>2.8638794485411987</v>
      </c>
      <c r="AT53" s="29">
        <v>9.0332305000000002</v>
      </c>
      <c r="AU53" s="26">
        <v>9.0305253614545453</v>
      </c>
      <c r="AV53" s="26">
        <v>8.0629090652173918</v>
      </c>
      <c r="AW53" s="26">
        <v>8.0313463934753671</v>
      </c>
      <c r="AX53" s="26">
        <v>3.2723758712871285</v>
      </c>
      <c r="AY53" s="30">
        <v>3.0679217479961522</v>
      </c>
      <c r="AZ53" s="29">
        <v>6.3442619184376792</v>
      </c>
      <c r="BA53" s="30">
        <v>14.097765830346477</v>
      </c>
      <c r="BB53" s="31">
        <v>1950</v>
      </c>
      <c r="BC53" s="21"/>
    </row>
    <row r="54" spans="1:55" s="80" customFormat="1" x14ac:dyDescent="0.2">
      <c r="A54" s="21"/>
      <c r="B54" s="64">
        <v>1951</v>
      </c>
      <c r="C54" s="22">
        <v>8.9110449999999997</v>
      </c>
      <c r="D54" s="23">
        <f t="shared" si="2"/>
        <v>1.6610781400623222</v>
      </c>
      <c r="E54" s="77">
        <f t="shared" si="3"/>
        <v>7.3909506801294516</v>
      </c>
      <c r="F54" s="75">
        <f t="shared" si="4"/>
        <v>12.04076977504139</v>
      </c>
      <c r="G54" s="23">
        <v>9.0261436341273509</v>
      </c>
      <c r="H54" s="24">
        <v>12.03145287221478</v>
      </c>
      <c r="I54" s="25"/>
      <c r="J54" s="26"/>
      <c r="K54" s="26"/>
      <c r="L54" s="26"/>
      <c r="M54" s="26">
        <v>4.1521111507523818</v>
      </c>
      <c r="N54" s="26"/>
      <c r="O54" s="26"/>
      <c r="P54" s="26"/>
      <c r="Q54" s="26"/>
      <c r="R54" s="26"/>
      <c r="S54" s="26"/>
      <c r="T54" s="26"/>
      <c r="U54" s="26"/>
      <c r="V54" s="27"/>
      <c r="W54" s="28">
        <v>9.1314195583596209</v>
      </c>
      <c r="X54" s="29">
        <v>7.8316901853257423</v>
      </c>
      <c r="Y54" s="26">
        <v>7.7485679724483392</v>
      </c>
      <c r="Z54" s="30">
        <v>7.6178943556664285</v>
      </c>
      <c r="AA54" s="29">
        <v>2.0093178473314905</v>
      </c>
      <c r="AB54" s="26">
        <v>5.2891203066339063</v>
      </c>
      <c r="AC54" s="26">
        <v>1.9053847402785311</v>
      </c>
      <c r="AD54" s="26">
        <v>7.4095102977566283</v>
      </c>
      <c r="AE54" s="26">
        <v>5.8062221949478294</v>
      </c>
      <c r="AF54" s="26">
        <v>8.7815305789473683</v>
      </c>
      <c r="AG54" s="26">
        <v>9.6617184692442866</v>
      </c>
      <c r="AH54" s="26">
        <v>7.8844739835243542</v>
      </c>
      <c r="AI54" s="26">
        <v>4.4532110722543354</v>
      </c>
      <c r="AJ54" s="26">
        <v>4.6668439213822897</v>
      </c>
      <c r="AK54" s="26">
        <v>6.0337159465391101</v>
      </c>
      <c r="AL54" s="26">
        <v>2.4103523394327535</v>
      </c>
      <c r="AM54" s="26">
        <v>8.2428658066139473</v>
      </c>
      <c r="AN54" s="26">
        <v>7.1504074681571819</v>
      </c>
      <c r="AO54" s="26">
        <v>6.142216343400448</v>
      </c>
      <c r="AP54" s="26">
        <v>5.5755835075910927</v>
      </c>
      <c r="AQ54" s="30">
        <v>3.2879276099706742</v>
      </c>
      <c r="AR54" s="29">
        <v>7.144925816023739</v>
      </c>
      <c r="AS54" s="30">
        <v>2.5876129779837771</v>
      </c>
      <c r="AT54" s="29">
        <v>8.0373490570687416</v>
      </c>
      <c r="AU54" s="26">
        <v>7.949406128040974</v>
      </c>
      <c r="AV54" s="26">
        <v>6.5839139112426039</v>
      </c>
      <c r="AW54" s="26">
        <v>7.0052742642276424</v>
      </c>
      <c r="AX54" s="26">
        <v>3.0368449892802452</v>
      </c>
      <c r="AY54" s="30">
        <v>2.7719721703360367</v>
      </c>
      <c r="AZ54" s="29">
        <v>5.938365591397849</v>
      </c>
      <c r="BA54" s="30">
        <v>12.952612513721187</v>
      </c>
      <c r="BB54" s="31">
        <v>1951</v>
      </c>
      <c r="BC54" s="21"/>
    </row>
    <row r="55" spans="1:55" s="80" customFormat="1" x14ac:dyDescent="0.2">
      <c r="A55" s="21"/>
      <c r="B55" s="64">
        <v>1952</v>
      </c>
      <c r="C55" s="22">
        <v>8.7429120754716987</v>
      </c>
      <c r="D55" s="23">
        <f t="shared" si="2"/>
        <v>1.6446318218438833</v>
      </c>
      <c r="E55" s="77">
        <f t="shared" si="3"/>
        <v>7.1066833462783183</v>
      </c>
      <c r="F55" s="75">
        <f t="shared" si="4"/>
        <v>11.467399785753704</v>
      </c>
      <c r="G55" s="23">
        <v>8.7006817242429513</v>
      </c>
      <c r="H55" s="24">
        <v>11.481685254152241</v>
      </c>
      <c r="I55" s="25"/>
      <c r="J55" s="26"/>
      <c r="K55" s="26"/>
      <c r="L55" s="26"/>
      <c r="M55" s="26">
        <v>4.1254094713263214</v>
      </c>
      <c r="N55" s="26"/>
      <c r="O55" s="26"/>
      <c r="P55" s="26"/>
      <c r="Q55" s="26"/>
      <c r="R55" s="26"/>
      <c r="S55" s="26"/>
      <c r="T55" s="26"/>
      <c r="U55" s="26"/>
      <c r="V55" s="27"/>
      <c r="W55" s="28">
        <v>8.7451963746223562</v>
      </c>
      <c r="X55" s="29">
        <v>7.6337251436498157</v>
      </c>
      <c r="Y55" s="26">
        <v>7.5042225906610067</v>
      </c>
      <c r="Z55" s="30">
        <v>7.3456397120274906</v>
      </c>
      <c r="AA55" s="29">
        <v>2.075515448275862</v>
      </c>
      <c r="AB55" s="26">
        <v>5.3789904167916038</v>
      </c>
      <c r="AC55" s="26">
        <v>1.8992017719488008</v>
      </c>
      <c r="AD55" s="26">
        <v>7.3545139325236164</v>
      </c>
      <c r="AE55" s="26">
        <v>5.730694101355013</v>
      </c>
      <c r="AF55" s="26">
        <v>8.3811362171561044</v>
      </c>
      <c r="AG55" s="26">
        <v>9.6617184692442866</v>
      </c>
      <c r="AH55" s="26">
        <v>7.9242085536357081</v>
      </c>
      <c r="AI55" s="26">
        <v>4.4996567446808511</v>
      </c>
      <c r="AJ55" s="26">
        <v>4.4042982788422336</v>
      </c>
      <c r="AK55" s="26">
        <v>5.7305789615179039</v>
      </c>
      <c r="AL55" s="26">
        <v>2.2009315847953212</v>
      </c>
      <c r="AM55" s="26">
        <v>7.8911399428768068</v>
      </c>
      <c r="AN55" s="26">
        <v>7.0453948084112143</v>
      </c>
      <c r="AO55" s="26">
        <v>6.1182634105849587</v>
      </c>
      <c r="AP55" s="26">
        <v>5.6849086744066053</v>
      </c>
      <c r="AQ55" s="30">
        <v>3.3918150705882351</v>
      </c>
      <c r="AR55" s="29">
        <v>6.9470282746682068</v>
      </c>
      <c r="AS55" s="30">
        <v>2.5764176521488316</v>
      </c>
      <c r="AT55" s="29">
        <v>7.8341291061946903</v>
      </c>
      <c r="AU55" s="26">
        <v>7.7557603822610863</v>
      </c>
      <c r="AV55" s="26">
        <v>6.4014100214435148</v>
      </c>
      <c r="AW55" s="26">
        <v>6.6831480792243765</v>
      </c>
      <c r="AX55" s="26">
        <v>3.0359151530924682</v>
      </c>
      <c r="AY55" s="30">
        <v>2.7599792131525813</v>
      </c>
      <c r="AZ55" s="29">
        <v>5.8194731296101159</v>
      </c>
      <c r="BA55" s="30">
        <v>12.240487551867218</v>
      </c>
      <c r="BB55" s="31">
        <v>1952</v>
      </c>
      <c r="BC55" s="21"/>
    </row>
    <row r="56" spans="1:55" s="80" customFormat="1" x14ac:dyDescent="0.2">
      <c r="A56" s="21"/>
      <c r="B56" s="64">
        <v>1953</v>
      </c>
      <c r="C56" s="22">
        <v>8.6774220973782779</v>
      </c>
      <c r="D56" s="23">
        <f t="shared" si="2"/>
        <v>1.6283483384592905</v>
      </c>
      <c r="E56" s="77">
        <f t="shared" si="3"/>
        <v>6.8333493714214599</v>
      </c>
      <c r="F56" s="75">
        <f t="shared" si="4"/>
        <v>10.921333129289241</v>
      </c>
      <c r="G56" s="23">
        <v>8.3978737756034061</v>
      </c>
      <c r="H56" s="24">
        <v>10.888464849354376</v>
      </c>
      <c r="I56" s="25"/>
      <c r="J56" s="26"/>
      <c r="K56" s="26"/>
      <c r="L56" s="26"/>
      <c r="M56" s="26">
        <v>4.0730233193094794</v>
      </c>
      <c r="N56" s="26"/>
      <c r="O56" s="26"/>
      <c r="P56" s="26"/>
      <c r="Q56" s="26"/>
      <c r="R56" s="26"/>
      <c r="S56" s="26"/>
      <c r="T56" s="26"/>
      <c r="U56" s="26"/>
      <c r="V56" s="27"/>
      <c r="W56" s="28">
        <v>8.5704219096965204</v>
      </c>
      <c r="X56" s="29">
        <v>7.5916015836909878</v>
      </c>
      <c r="Y56" s="26">
        <v>7.508776123786407</v>
      </c>
      <c r="Z56" s="30">
        <v>6.9947027362565439</v>
      </c>
      <c r="AA56" s="29">
        <v>2.1589723180260449</v>
      </c>
      <c r="AB56" s="26">
        <v>5.2047194506769827</v>
      </c>
      <c r="AC56" s="26">
        <v>1.8501707462240953</v>
      </c>
      <c r="AD56" s="26">
        <v>7.1565263611293499</v>
      </c>
      <c r="AE56" s="26">
        <v>5.5853833159006863</v>
      </c>
      <c r="AF56" s="26">
        <v>8.2347686142748664</v>
      </c>
      <c r="AG56" s="26">
        <v>9.486657133735978</v>
      </c>
      <c r="AH56" s="26">
        <v>7.6808971953942766</v>
      </c>
      <c r="AI56" s="26">
        <v>4.3455589109589043</v>
      </c>
      <c r="AJ56" s="26">
        <v>4.5759185421431594</v>
      </c>
      <c r="AK56" s="26">
        <v>5.7520993760729606</v>
      </c>
      <c r="AL56" s="26">
        <v>2.4598647124183</v>
      </c>
      <c r="AM56" s="26">
        <v>7.4891092991508819</v>
      </c>
      <c r="AN56" s="26">
        <v>6.8666242179570594</v>
      </c>
      <c r="AO56" s="26">
        <v>5.9914254348063292</v>
      </c>
      <c r="AP56" s="26">
        <v>5.5868930076064913</v>
      </c>
      <c r="AQ56" s="30">
        <v>3.1288836697674416</v>
      </c>
      <c r="AR56" s="29">
        <v>6.9914053426248559</v>
      </c>
      <c r="AS56" s="30">
        <v>2.5741902017291065</v>
      </c>
      <c r="AT56" s="29">
        <v>7.7947121044025156</v>
      </c>
      <c r="AU56" s="26">
        <v>7.7124052000000001</v>
      </c>
      <c r="AV56" s="26">
        <v>6.651899978804348</v>
      </c>
      <c r="AW56" s="26">
        <v>6.7429191073225265</v>
      </c>
      <c r="AX56" s="26">
        <v>3.0927320305676851</v>
      </c>
      <c r="AY56" s="30">
        <v>2.757593063976945</v>
      </c>
      <c r="AZ56" s="29">
        <v>5.7408316008316014</v>
      </c>
      <c r="BA56" s="30">
        <v>11.847218875502007</v>
      </c>
      <c r="BB56" s="31">
        <v>1953</v>
      </c>
      <c r="BC56" s="21"/>
    </row>
    <row r="57" spans="1:55" s="80" customFormat="1" x14ac:dyDescent="0.2">
      <c r="A57" s="21"/>
      <c r="B57" s="65">
        <v>1954</v>
      </c>
      <c r="C57" s="14">
        <v>8.612905947955392</v>
      </c>
      <c r="D57" s="15">
        <f t="shared" si="2"/>
        <v>1.6122260776824657</v>
      </c>
      <c r="E57" s="16">
        <f t="shared" si="3"/>
        <v>6.5705282417514033</v>
      </c>
      <c r="F57" s="74">
        <f t="shared" si="4"/>
        <v>10.401269646942135</v>
      </c>
      <c r="G57" s="15">
        <v>8.1154340746301976</v>
      </c>
      <c r="H57" s="17">
        <v>10.40299189428762</v>
      </c>
      <c r="I57" s="15"/>
      <c r="J57" s="16"/>
      <c r="K57" s="16"/>
      <c r="L57" s="16"/>
      <c r="M57" s="16">
        <v>3.9968920423130405</v>
      </c>
      <c r="N57" s="16"/>
      <c r="O57" s="16"/>
      <c r="P57" s="16"/>
      <c r="Q57" s="16"/>
      <c r="R57" s="16"/>
      <c r="S57" s="16"/>
      <c r="T57" s="16"/>
      <c r="U57" s="16"/>
      <c r="V57" s="17"/>
      <c r="W57" s="14">
        <v>8.426957787481804</v>
      </c>
      <c r="X57" s="18">
        <v>7.8020807706364215</v>
      </c>
      <c r="Y57" s="16">
        <v>7.7340394074999992</v>
      </c>
      <c r="Z57" s="19">
        <v>6.7730708371356148</v>
      </c>
      <c r="AA57" s="18">
        <v>2.1476867809090909</v>
      </c>
      <c r="AB57" s="16">
        <v>5.1229699305092806</v>
      </c>
      <c r="AC57" s="16">
        <v>1.8283360341895174</v>
      </c>
      <c r="AD57" s="16">
        <v>7.0318642890322582</v>
      </c>
      <c r="AE57" s="16">
        <v>5.5853833159006863</v>
      </c>
      <c r="AF57" s="16">
        <v>8.1420347334834826</v>
      </c>
      <c r="AG57" s="16">
        <v>9.255080486531984</v>
      </c>
      <c r="AH57" s="16">
        <v>7.4520823838862551</v>
      </c>
      <c r="AI57" s="16">
        <v>4.2597461362559237</v>
      </c>
      <c r="AJ57" s="16">
        <v>4.3828574758620693</v>
      </c>
      <c r="AK57" s="16">
        <v>5.7768929078663787</v>
      </c>
      <c r="AL57" s="16">
        <v>2.2672247048192768</v>
      </c>
      <c r="AM57" s="16">
        <v>7.3030740999999999</v>
      </c>
      <c r="AN57" s="16">
        <v>6.817830376614987</v>
      </c>
      <c r="AO57" s="16">
        <v>5.926758133837021</v>
      </c>
      <c r="AP57" s="16">
        <v>5.5391417853192557</v>
      </c>
      <c r="AQ57" s="19">
        <v>3.2146065100350425</v>
      </c>
      <c r="AR57" s="18">
        <v>7.2134212103055724</v>
      </c>
      <c r="AS57" s="19">
        <v>2.5275721561969435</v>
      </c>
      <c r="AT57" s="18">
        <v>7.9599179486191396</v>
      </c>
      <c r="AU57" s="16">
        <v>7.9088996000000007</v>
      </c>
      <c r="AV57" s="16">
        <v>7.0463419464594121</v>
      </c>
      <c r="AW57" s="16">
        <v>6.980950395254629</v>
      </c>
      <c r="AX57" s="16">
        <v>3.0229569786585366</v>
      </c>
      <c r="AY57" s="19">
        <v>2.7076536310130161</v>
      </c>
      <c r="AZ57" s="18">
        <v>5.6788483290488427</v>
      </c>
      <c r="BA57" s="19">
        <v>11.345990384615384</v>
      </c>
      <c r="BB57" s="20">
        <v>1954</v>
      </c>
      <c r="BC57" s="21"/>
    </row>
    <row r="58" spans="1:55" s="80" customFormat="1" x14ac:dyDescent="0.2">
      <c r="A58" s="21"/>
      <c r="B58" s="64">
        <v>1955</v>
      </c>
      <c r="C58" s="22">
        <v>8.6450436567164175</v>
      </c>
      <c r="D58" s="23">
        <f t="shared" si="2"/>
        <v>1.5962634432499661</v>
      </c>
      <c r="E58" s="77">
        <f t="shared" si="3"/>
        <v>6.317815617068657</v>
      </c>
      <c r="F58" s="75">
        <f t="shared" si="4"/>
        <v>9.9059710923258422</v>
      </c>
      <c r="G58" s="23">
        <v>7.717449034722959</v>
      </c>
      <c r="H58" s="24">
        <v>9.8986044085039779</v>
      </c>
      <c r="I58" s="25"/>
      <c r="J58" s="26"/>
      <c r="K58" s="26"/>
      <c r="L58" s="26"/>
      <c r="M58" s="26">
        <v>3.8997031780622677</v>
      </c>
      <c r="N58" s="26"/>
      <c r="O58" s="26"/>
      <c r="P58" s="26"/>
      <c r="Q58" s="26"/>
      <c r="R58" s="26"/>
      <c r="S58" s="26"/>
      <c r="T58" s="26"/>
      <c r="U58" s="26"/>
      <c r="V58" s="27"/>
      <c r="W58" s="28">
        <v>8.2704571428571434</v>
      </c>
      <c r="X58" s="29">
        <v>7.6763187743335406</v>
      </c>
      <c r="Y58" s="26">
        <v>7.6010215307125293</v>
      </c>
      <c r="Z58" s="30">
        <v>6.5610225788827501</v>
      </c>
      <c r="AA58" s="29">
        <v>2.1530694545454545</v>
      </c>
      <c r="AB58" s="26">
        <v>4.9441248617363343</v>
      </c>
      <c r="AC58" s="26">
        <v>1.8005250775935735</v>
      </c>
      <c r="AD58" s="26">
        <v>6.7866685230386059</v>
      </c>
      <c r="AE58" s="26">
        <v>5.4054860005112468</v>
      </c>
      <c r="AF58" s="26">
        <v>7.7135065896159309</v>
      </c>
      <c r="AG58" s="26">
        <v>8.7749685698324011</v>
      </c>
      <c r="AH58" s="26">
        <v>7.1611748087182816</v>
      </c>
      <c r="AI58" s="26">
        <v>4.2885396489065606</v>
      </c>
      <c r="AJ58" s="26">
        <v>4.4698980877120391</v>
      </c>
      <c r="AK58" s="26">
        <v>5.5611583179460569</v>
      </c>
      <c r="AL58" s="26">
        <v>2.4219858487703974</v>
      </c>
      <c r="AM58" s="26">
        <v>7.166141460625</v>
      </c>
      <c r="AN58" s="26">
        <v>6.6293978787688443</v>
      </c>
      <c r="AO58" s="26">
        <v>5.8509764635055941</v>
      </c>
      <c r="AP58" s="26">
        <v>5.3743185419512196</v>
      </c>
      <c r="AQ58" s="30">
        <v>3.274058999026606</v>
      </c>
      <c r="AR58" s="29">
        <v>7.2264105642256906</v>
      </c>
      <c r="AS58" s="30">
        <v>2.3063361735089081</v>
      </c>
      <c r="AT58" s="29">
        <v>7.8242375290404045</v>
      </c>
      <c r="AU58" s="26">
        <v>7.7849356564263328</v>
      </c>
      <c r="AV58" s="26">
        <v>7.250886232819906</v>
      </c>
      <c r="AW58" s="26">
        <v>7.1676068229352357</v>
      </c>
      <c r="AX58" s="26">
        <v>2.9077122844574776</v>
      </c>
      <c r="AY58" s="30">
        <v>2.4706552884069199</v>
      </c>
      <c r="AZ58" s="29">
        <v>5.5954204660587639</v>
      </c>
      <c r="BA58" s="30">
        <v>11.027878504672898</v>
      </c>
      <c r="BB58" s="31">
        <v>1955</v>
      </c>
      <c r="BC58" s="21"/>
    </row>
    <row r="59" spans="1:55" s="80" customFormat="1" x14ac:dyDescent="0.2">
      <c r="A59" s="21"/>
      <c r="B59" s="64">
        <v>1956</v>
      </c>
      <c r="C59" s="22">
        <v>8.5179106617647058</v>
      </c>
      <c r="D59" s="23">
        <f t="shared" si="2"/>
        <v>1.5804588547029366</v>
      </c>
      <c r="E59" s="77">
        <f t="shared" si="3"/>
        <v>6.0748227087198625</v>
      </c>
      <c r="F59" s="75">
        <f t="shared" si="4"/>
        <v>9.4342581831674686</v>
      </c>
      <c r="G59" s="23">
        <v>7.3716570209471852</v>
      </c>
      <c r="H59" s="24">
        <v>9.4408654763188231</v>
      </c>
      <c r="I59" s="25"/>
      <c r="J59" s="26"/>
      <c r="K59" s="26"/>
      <c r="L59" s="26"/>
      <c r="M59" s="26">
        <v>3.6657209873785317</v>
      </c>
      <c r="N59" s="26"/>
      <c r="O59" s="26"/>
      <c r="P59" s="26"/>
      <c r="Q59" s="26"/>
      <c r="R59" s="26"/>
      <c r="S59" s="26"/>
      <c r="T59" s="26"/>
      <c r="U59" s="26"/>
      <c r="V59" s="27"/>
      <c r="W59" s="28">
        <v>7.7656874580818238</v>
      </c>
      <c r="X59" s="29">
        <v>7.0632642230462057</v>
      </c>
      <c r="Y59" s="26">
        <v>6.9991306855203614</v>
      </c>
      <c r="Z59" s="30">
        <v>6.0761260835702098</v>
      </c>
      <c r="AA59" s="29">
        <v>2.1192693061224488</v>
      </c>
      <c r="AB59" s="26">
        <v>4.6919615623365294</v>
      </c>
      <c r="AC59" s="26">
        <v>1.7418770219907405</v>
      </c>
      <c r="AD59" s="26">
        <v>6.1439625975197298</v>
      </c>
      <c r="AE59" s="26">
        <v>4.8701661064025785</v>
      </c>
      <c r="AF59" s="26">
        <v>6.9431435755441742</v>
      </c>
      <c r="AG59" s="26">
        <v>8.1686743075780068</v>
      </c>
      <c r="AH59" s="26">
        <v>6.53606038064133</v>
      </c>
      <c r="AI59" s="26">
        <v>3.8369538303094983</v>
      </c>
      <c r="AJ59" s="26">
        <v>4.0722742849604217</v>
      </c>
      <c r="AK59" s="26">
        <v>5.154765979326922</v>
      </c>
      <c r="AL59" s="26">
        <v>2.1598812109038734</v>
      </c>
      <c r="AM59" s="26">
        <v>6.6507113323665896</v>
      </c>
      <c r="AN59" s="26">
        <v>6.1791577418032793</v>
      </c>
      <c r="AO59" s="26">
        <v>5.6551404850669407</v>
      </c>
      <c r="AP59" s="26">
        <v>5.0888466563510395</v>
      </c>
      <c r="AQ59" s="30">
        <v>3.2487604104958145</v>
      </c>
      <c r="AR59" s="29">
        <v>6.5680305510092758</v>
      </c>
      <c r="AS59" s="30">
        <v>2.2049962972105654</v>
      </c>
      <c r="AT59" s="29">
        <v>7.2350217431406891</v>
      </c>
      <c r="AU59" s="26">
        <v>7.1691526397228644</v>
      </c>
      <c r="AV59" s="26">
        <v>6.4114698590885277</v>
      </c>
      <c r="AW59" s="26">
        <v>6.4890168278644431</v>
      </c>
      <c r="AX59" s="26">
        <v>2.6863448631807101</v>
      </c>
      <c r="AY59" s="30">
        <v>2.3620952683288077</v>
      </c>
      <c r="AZ59" s="29">
        <v>5.4117393434590886</v>
      </c>
      <c r="BA59" s="30">
        <v>10.479422735346359</v>
      </c>
      <c r="BB59" s="31">
        <v>1956</v>
      </c>
      <c r="BC59" s="21"/>
    </row>
    <row r="60" spans="1:55" s="80" customFormat="1" x14ac:dyDescent="0.2">
      <c r="A60" s="21"/>
      <c r="B60" s="64">
        <v>1957</v>
      </c>
      <c r="C60" s="22">
        <v>8.2450950177935933</v>
      </c>
      <c r="D60" s="23">
        <f t="shared" si="2"/>
        <v>1.5648107472306303</v>
      </c>
      <c r="E60" s="77">
        <f t="shared" si="3"/>
        <v>5.8411756814614062</v>
      </c>
      <c r="F60" s="75">
        <f t="shared" si="4"/>
        <v>8.9850077934928265</v>
      </c>
      <c r="G60" s="23">
        <v>7.1109697392633944</v>
      </c>
      <c r="H60" s="24">
        <v>9.0235896541610856</v>
      </c>
      <c r="I60" s="25"/>
      <c r="J60" s="26"/>
      <c r="K60" s="26"/>
      <c r="L60" s="26"/>
      <c r="M60" s="26">
        <v>3.4031892455768857</v>
      </c>
      <c r="N60" s="26"/>
      <c r="O60" s="26"/>
      <c r="P60" s="26"/>
      <c r="Q60" s="26"/>
      <c r="R60" s="26"/>
      <c r="S60" s="26"/>
      <c r="T60" s="26"/>
      <c r="U60" s="26"/>
      <c r="V60" s="27"/>
      <c r="W60" s="28">
        <v>7.4412853470437019</v>
      </c>
      <c r="X60" s="29">
        <v>6.7920472753702681</v>
      </c>
      <c r="Y60" s="26">
        <v>6.7252516586956519</v>
      </c>
      <c r="Z60" s="30">
        <v>5.7929028623306227</v>
      </c>
      <c r="AA60" s="29">
        <v>2.0387965126213592</v>
      </c>
      <c r="AB60" s="26">
        <v>4.3576355562753033</v>
      </c>
      <c r="AC60" s="26">
        <v>1.6745942185662055</v>
      </c>
      <c r="AD60" s="26">
        <v>5.7154638951232304</v>
      </c>
      <c r="AE60" s="26">
        <v>4.6332737147239254</v>
      </c>
      <c r="AF60" s="26">
        <v>6.4786082825567508</v>
      </c>
      <c r="AG60" s="26">
        <v>7.5619227083906457</v>
      </c>
      <c r="AH60" s="26">
        <v>6.0810639121546952</v>
      </c>
      <c r="AI60" s="26">
        <v>3.5797136465316961</v>
      </c>
      <c r="AJ60" s="26">
        <v>3.8974544292929294</v>
      </c>
      <c r="AK60" s="26">
        <v>4.8824741516393431</v>
      </c>
      <c r="AL60" s="26">
        <v>2.1055065790209788</v>
      </c>
      <c r="AM60" s="26">
        <v>6.2314273570652174</v>
      </c>
      <c r="AN60" s="26">
        <v>5.7672138923497265</v>
      </c>
      <c r="AO60" s="26">
        <v>5.4046667431102362</v>
      </c>
      <c r="AP60" s="26">
        <v>4.8385388717610889</v>
      </c>
      <c r="AQ60" s="30">
        <v>3.21358275</v>
      </c>
      <c r="AR60" s="29">
        <v>6.293361212754836</v>
      </c>
      <c r="AS60" s="30">
        <v>2.2792651186527175</v>
      </c>
      <c r="AT60" s="29">
        <v>6.9744469589195273</v>
      </c>
      <c r="AU60" s="26">
        <v>6.8906616936736969</v>
      </c>
      <c r="AV60" s="26">
        <v>6.1474113314917123</v>
      </c>
      <c r="AW60" s="26">
        <v>6.1420989220977598</v>
      </c>
      <c r="AX60" s="26">
        <v>2.5693959289971491</v>
      </c>
      <c r="AY60" s="30">
        <v>2.4416555070170962</v>
      </c>
      <c r="AZ60" s="29">
        <v>5.2273355418835781</v>
      </c>
      <c r="BA60" s="30">
        <v>9.9913886536833196</v>
      </c>
      <c r="BB60" s="31">
        <v>1957</v>
      </c>
      <c r="BC60" s="21"/>
    </row>
    <row r="61" spans="1:55" s="80" customFormat="1" x14ac:dyDescent="0.2">
      <c r="A61" s="21"/>
      <c r="B61" s="64">
        <v>1958</v>
      </c>
      <c r="C61" s="22">
        <v>8.0168570934256067</v>
      </c>
      <c r="D61" s="23">
        <f t="shared" si="2"/>
        <v>1.5493175715154754</v>
      </c>
      <c r="E61" s="77">
        <f t="shared" si="3"/>
        <v>5.6165150783282751</v>
      </c>
      <c r="F61" s="75">
        <f t="shared" si="4"/>
        <v>8.5571502795169767</v>
      </c>
      <c r="G61" s="23">
        <v>6.8942544710191767</v>
      </c>
      <c r="H61" s="24">
        <v>8.6074820943512851</v>
      </c>
      <c r="I61" s="25"/>
      <c r="J61" s="26"/>
      <c r="K61" s="26"/>
      <c r="L61" s="26"/>
      <c r="M61" s="26">
        <v>3.376321962059174</v>
      </c>
      <c r="N61" s="26"/>
      <c r="O61" s="26"/>
      <c r="P61" s="26"/>
      <c r="Q61" s="26"/>
      <c r="R61" s="26"/>
      <c r="S61" s="26"/>
      <c r="T61" s="26"/>
      <c r="U61" s="26"/>
      <c r="V61" s="27"/>
      <c r="W61" s="28">
        <v>7.346852791878173</v>
      </c>
      <c r="X61" s="29">
        <v>6.9954249621468927</v>
      </c>
      <c r="Y61" s="26">
        <v>6.9247135153889188</v>
      </c>
      <c r="Z61" s="30">
        <v>5.7032581542155816</v>
      </c>
      <c r="AA61" s="29">
        <v>2.0135993684210525</v>
      </c>
      <c r="AB61" s="26">
        <v>4.2011552786885247</v>
      </c>
      <c r="AC61" s="26">
        <v>1.6820808285166851</v>
      </c>
      <c r="AD61" s="26">
        <v>5.586565683239364</v>
      </c>
      <c r="AE61" s="26">
        <v>4.6495737102022865</v>
      </c>
      <c r="AF61" s="26">
        <v>6.36454827758216</v>
      </c>
      <c r="AG61" s="26">
        <v>7.3792185355704687</v>
      </c>
      <c r="AH61" s="26">
        <v>5.8671245634328351</v>
      </c>
      <c r="AI61" s="26">
        <v>3.5109626357421875</v>
      </c>
      <c r="AJ61" s="26">
        <v>3.8406483035904726</v>
      </c>
      <c r="AK61" s="26">
        <v>4.6395124348766759</v>
      </c>
      <c r="AL61" s="26">
        <v>2.1576700303030298</v>
      </c>
      <c r="AM61" s="26">
        <v>6.0794413239660656</v>
      </c>
      <c r="AN61" s="26">
        <v>5.5026076240875907</v>
      </c>
      <c r="AO61" s="26">
        <v>5.2926664202409643</v>
      </c>
      <c r="AP61" s="26">
        <v>4.7509068611470457</v>
      </c>
      <c r="AQ61" s="30">
        <v>3.1425256415446898</v>
      </c>
      <c r="AR61" s="29">
        <v>6.4038297872340433</v>
      </c>
      <c r="AS61" s="30">
        <v>2.3033625580195976</v>
      </c>
      <c r="AT61" s="29">
        <v>7.1597875482380129</v>
      </c>
      <c r="AU61" s="26">
        <v>7.0954127840000005</v>
      </c>
      <c r="AV61" s="26">
        <v>6.2927999799485868</v>
      </c>
      <c r="AW61" s="26">
        <v>6.2180836510309279</v>
      </c>
      <c r="AX61" s="26">
        <v>2.5495754409874003</v>
      </c>
      <c r="AY61" s="30">
        <v>2.4674698122743681</v>
      </c>
      <c r="AZ61" s="29">
        <v>5.1041404805914965</v>
      </c>
      <c r="BA61" s="30">
        <v>9.6799261689909759</v>
      </c>
      <c r="BB61" s="31">
        <v>1958</v>
      </c>
      <c r="BC61" s="21"/>
    </row>
    <row r="62" spans="1:55" s="80" customFormat="1" x14ac:dyDescent="0.2">
      <c r="A62" s="21"/>
      <c r="B62" s="65">
        <v>1959</v>
      </c>
      <c r="C62" s="14">
        <v>7.9617584192439859</v>
      </c>
      <c r="D62" s="15">
        <f t="shared" si="2"/>
        <v>1.5339777935796786</v>
      </c>
      <c r="E62" s="16">
        <f t="shared" si="3"/>
        <v>5.4004952676233415</v>
      </c>
      <c r="F62" s="74">
        <f t="shared" si="4"/>
        <v>8.1496669328733109</v>
      </c>
      <c r="G62" s="15">
        <v>6.604897075337715</v>
      </c>
      <c r="H62" s="17">
        <v>8.1970877159505964</v>
      </c>
      <c r="I62" s="15"/>
      <c r="J62" s="16"/>
      <c r="K62" s="16"/>
      <c r="L62" s="16"/>
      <c r="M62" s="16">
        <v>3.376321962059174</v>
      </c>
      <c r="N62" s="16"/>
      <c r="O62" s="16"/>
      <c r="P62" s="16"/>
      <c r="Q62" s="16"/>
      <c r="R62" s="16"/>
      <c r="S62" s="16"/>
      <c r="T62" s="16"/>
      <c r="U62" s="16"/>
      <c r="V62" s="17"/>
      <c r="W62" s="14">
        <v>7.1872377405338304</v>
      </c>
      <c r="X62" s="18">
        <v>7.0511971429384968</v>
      </c>
      <c r="Y62" s="16">
        <v>6.9833312934537242</v>
      </c>
      <c r="Z62" s="19">
        <v>5.5782389253653442</v>
      </c>
      <c r="AA62" s="18">
        <v>2.0020808974576267</v>
      </c>
      <c r="AB62" s="16">
        <v>4.1003275519999995</v>
      </c>
      <c r="AC62" s="16">
        <v>1.6465883446389495</v>
      </c>
      <c r="AD62" s="16">
        <v>5.4633532070175441</v>
      </c>
      <c r="AE62" s="16">
        <v>4.5692007852203966</v>
      </c>
      <c r="AF62" s="16">
        <v>6.1760764607061507</v>
      </c>
      <c r="AG62" s="16">
        <v>7.2145903005249332</v>
      </c>
      <c r="AH62" s="16">
        <v>5.6358042401433686</v>
      </c>
      <c r="AI62" s="16">
        <v>3.4503126094049903</v>
      </c>
      <c r="AJ62" s="16">
        <v>3.7617491915041783</v>
      </c>
      <c r="AK62" s="16">
        <v>4.5431835749999987</v>
      </c>
      <c r="AL62" s="16">
        <v>2.1118357571142283</v>
      </c>
      <c r="AM62" s="16">
        <v>6.0923625595111579</v>
      </c>
      <c r="AN62" s="16">
        <v>5.3573611284263958</v>
      </c>
      <c r="AO62" s="16">
        <v>5.2073413096254155</v>
      </c>
      <c r="AP62" s="16">
        <v>4.7163326245719182</v>
      </c>
      <c r="AQ62" s="19">
        <v>3.1523429662605436</v>
      </c>
      <c r="AR62" s="18">
        <v>6.383457051961825</v>
      </c>
      <c r="AS62" s="19">
        <v>2.3915502008032128</v>
      </c>
      <c r="AT62" s="18">
        <v>6.8171574510451043</v>
      </c>
      <c r="AU62" s="16">
        <v>6.7227787612344354</v>
      </c>
      <c r="AV62" s="16">
        <v>6.3253209100775187</v>
      </c>
      <c r="AW62" s="16">
        <v>6.2052892402263371</v>
      </c>
      <c r="AX62" s="16">
        <v>2.5365307981580965</v>
      </c>
      <c r="AY62" s="19">
        <v>2.5619405440428378</v>
      </c>
      <c r="AZ62" s="18">
        <v>5.0481535648994518</v>
      </c>
      <c r="BA62" s="19">
        <v>9.4097527910685805</v>
      </c>
      <c r="BB62" s="20">
        <v>1959</v>
      </c>
      <c r="BC62" s="21"/>
    </row>
    <row r="63" spans="1:55" s="80" customFormat="1" x14ac:dyDescent="0.2">
      <c r="A63" s="21"/>
      <c r="B63" s="64">
        <v>1960</v>
      </c>
      <c r="C63" s="22">
        <v>7.8272692567567566</v>
      </c>
      <c r="D63" s="23">
        <f t="shared" si="2"/>
        <v>1.5187898946333451</v>
      </c>
      <c r="E63" s="77">
        <f t="shared" si="3"/>
        <v>5.1927839111762895</v>
      </c>
      <c r="F63" s="75">
        <f t="shared" si="4"/>
        <v>7.7615875551174378</v>
      </c>
      <c r="G63" s="23">
        <v>6.4749259343203365</v>
      </c>
      <c r="H63" s="24">
        <v>7.9284938223454189</v>
      </c>
      <c r="I63" s="25"/>
      <c r="J63" s="26"/>
      <c r="K63" s="26"/>
      <c r="L63" s="26"/>
      <c r="M63" s="26">
        <v>3.3586448837237852</v>
      </c>
      <c r="N63" s="26"/>
      <c r="O63" s="26"/>
      <c r="P63" s="26"/>
      <c r="Q63" s="26"/>
      <c r="R63" s="26"/>
      <c r="S63" s="26"/>
      <c r="T63" s="26"/>
      <c r="U63" s="26"/>
      <c r="V63" s="27"/>
      <c r="W63" s="28">
        <v>7.0558439975624623</v>
      </c>
      <c r="X63" s="29">
        <v>7.0632642230462057</v>
      </c>
      <c r="Y63" s="26">
        <v>6.9991306855203614</v>
      </c>
      <c r="Z63" s="30">
        <v>5.5320423297101442</v>
      </c>
      <c r="AA63" s="29">
        <v>2.0166073060179257</v>
      </c>
      <c r="AB63" s="26">
        <v>4.0012490052044614</v>
      </c>
      <c r="AC63" s="26">
        <v>1.6427369762981443</v>
      </c>
      <c r="AD63" s="26">
        <v>5.3585986470009832</v>
      </c>
      <c r="AE63" s="26">
        <v>4.436899125891733</v>
      </c>
      <c r="AF63" s="26">
        <v>5.9295736823400764</v>
      </c>
      <c r="AG63" s="26">
        <v>7.0300739245524282</v>
      </c>
      <c r="AH63" s="26">
        <v>5.5282399201406323</v>
      </c>
      <c r="AI63" s="26">
        <v>3.4591652395766519</v>
      </c>
      <c r="AJ63" s="26">
        <v>3.7683096191140559</v>
      </c>
      <c r="AK63" s="26">
        <v>4.6556288480243149</v>
      </c>
      <c r="AL63" s="26">
        <v>2.1063482766340194</v>
      </c>
      <c r="AM63" s="26">
        <v>5.888970897277864</v>
      </c>
      <c r="AN63" s="26">
        <v>5.2170051522491345</v>
      </c>
      <c r="AO63" s="26">
        <v>5.1487495649320216</v>
      </c>
      <c r="AP63" s="26">
        <v>4.6982315611940297</v>
      </c>
      <c r="AQ63" s="30">
        <v>3.1841747664878506</v>
      </c>
      <c r="AR63" s="29">
        <v>6.4761699838622926</v>
      </c>
      <c r="AS63" s="30">
        <v>2.3864386855463531</v>
      </c>
      <c r="AT63" s="29">
        <v>6.7650612696506549</v>
      </c>
      <c r="AU63" s="26">
        <v>6.6722043911875346</v>
      </c>
      <c r="AV63" s="26">
        <v>6.5768382380440622</v>
      </c>
      <c r="AW63" s="26">
        <v>6.273053709308372</v>
      </c>
      <c r="AX63" s="26">
        <v>2.5326433946360152</v>
      </c>
      <c r="AY63" s="30">
        <v>2.5564648495858937</v>
      </c>
      <c r="AZ63" s="29">
        <v>4.9776295628661558</v>
      </c>
      <c r="BA63" s="30">
        <v>9.0628494623655911</v>
      </c>
      <c r="BB63" s="31">
        <v>1960</v>
      </c>
      <c r="BC63" s="21"/>
    </row>
    <row r="64" spans="1:55" s="80" customFormat="1" x14ac:dyDescent="0.2">
      <c r="A64" s="21"/>
      <c r="B64" s="64">
        <v>1961</v>
      </c>
      <c r="C64" s="22">
        <v>7.7487347826086967</v>
      </c>
      <c r="D64" s="23">
        <f t="shared" si="2"/>
        <v>1.5037523709241041</v>
      </c>
      <c r="E64" s="77">
        <f t="shared" si="3"/>
        <v>4.993061453054124</v>
      </c>
      <c r="F64" s="75">
        <f t="shared" si="4"/>
        <v>7.3919881477308929</v>
      </c>
      <c r="G64" s="23">
        <v>6.3723302769103309</v>
      </c>
      <c r="H64" s="24">
        <v>7.7131982403927104</v>
      </c>
      <c r="I64" s="25"/>
      <c r="J64" s="26"/>
      <c r="K64" s="26"/>
      <c r="L64" s="26"/>
      <c r="M64" s="26">
        <v>3.3411519416210576</v>
      </c>
      <c r="N64" s="26"/>
      <c r="O64" s="26"/>
      <c r="P64" s="26"/>
      <c r="Q64" s="26"/>
      <c r="R64" s="26"/>
      <c r="S64" s="26"/>
      <c r="T64" s="26"/>
      <c r="U64" s="26"/>
      <c r="V64" s="27"/>
      <c r="W64" s="28">
        <v>6.8961524717093514</v>
      </c>
      <c r="X64" s="29">
        <v>7.0834680680778028</v>
      </c>
      <c r="Y64" s="26">
        <v>7.0309449159090898</v>
      </c>
      <c r="Z64" s="30">
        <v>5.6075056563483736</v>
      </c>
      <c r="AA64" s="29">
        <v>2.0287294624302277</v>
      </c>
      <c r="AB64" s="26">
        <v>3.9513068370044055</v>
      </c>
      <c r="AC64" s="26">
        <v>1.638648659044952</v>
      </c>
      <c r="AD64" s="26">
        <v>5.4037628398611801</v>
      </c>
      <c r="AE64" s="26">
        <v>4.5436745238504503</v>
      </c>
      <c r="AF64" s="26">
        <v>5.8717868245804006</v>
      </c>
      <c r="AG64" s="26">
        <v>7.0121400624999994</v>
      </c>
      <c r="AH64" s="26">
        <v>5.5199226083249737</v>
      </c>
      <c r="AI64" s="26">
        <v>3.5725992769128849</v>
      </c>
      <c r="AJ64" s="26">
        <v>3.776212400559245</v>
      </c>
      <c r="AK64" s="26">
        <v>4.6556288480243149</v>
      </c>
      <c r="AL64" s="26">
        <v>2.1293312644978779</v>
      </c>
      <c r="AM64" s="26">
        <v>5.8829278281169834</v>
      </c>
      <c r="AN64" s="26">
        <v>5.1307736621293145</v>
      </c>
      <c r="AO64" s="26">
        <v>5.1439263803278692</v>
      </c>
      <c r="AP64" s="26">
        <v>4.7203740407026569</v>
      </c>
      <c r="AQ64" s="30">
        <v>3.2228201325455124</v>
      </c>
      <c r="AR64" s="29">
        <v>6.4622651637144397</v>
      </c>
      <c r="AS64" s="30">
        <v>2.3838911128903124</v>
      </c>
      <c r="AT64" s="29">
        <v>6.7650612696506549</v>
      </c>
      <c r="AU64" s="26">
        <v>6.6722043911875346</v>
      </c>
      <c r="AV64" s="26">
        <v>6.5451850058823533</v>
      </c>
      <c r="AW64" s="26">
        <v>6.3256855180912428</v>
      </c>
      <c r="AX64" s="26">
        <v>2.5172122086824067</v>
      </c>
      <c r="AY64" s="30">
        <v>2.553735770483053</v>
      </c>
      <c r="AZ64" s="29">
        <v>4.9243691484618815</v>
      </c>
      <c r="BA64" s="30">
        <v>8.7276849112426031</v>
      </c>
      <c r="BB64" s="31">
        <v>1961</v>
      </c>
      <c r="BC64" s="21"/>
    </row>
    <row r="65" spans="1:55" s="80" customFormat="1" x14ac:dyDescent="0.2">
      <c r="A65" s="21"/>
      <c r="B65" s="64">
        <v>1962</v>
      </c>
      <c r="C65" s="22">
        <v>7.6717605960264903</v>
      </c>
      <c r="D65" s="23">
        <f t="shared" si="2"/>
        <v>1.4888637335882218</v>
      </c>
      <c r="E65" s="77">
        <f t="shared" si="3"/>
        <v>4.8010206279366576</v>
      </c>
      <c r="F65" s="75">
        <f t="shared" si="4"/>
        <v>7.0399887121246598</v>
      </c>
      <c r="G65" s="23">
        <v>6.2404889608363234</v>
      </c>
      <c r="H65" s="24">
        <v>7.4920629697392496</v>
      </c>
      <c r="I65" s="25"/>
      <c r="J65" s="26"/>
      <c r="K65" s="26"/>
      <c r="L65" s="26"/>
      <c r="M65" s="26">
        <v>3.3674602246259475</v>
      </c>
      <c r="N65" s="26"/>
      <c r="O65" s="26"/>
      <c r="P65" s="26"/>
      <c r="Q65" s="26"/>
      <c r="R65" s="26"/>
      <c r="S65" s="26"/>
      <c r="T65" s="26"/>
      <c r="U65" s="26"/>
      <c r="V65" s="27"/>
      <c r="W65" s="28">
        <v>6.6851270207852194</v>
      </c>
      <c r="X65" s="29">
        <v>6.9954249621468927</v>
      </c>
      <c r="Y65" s="26">
        <v>6.9480421403705783</v>
      </c>
      <c r="Z65" s="30">
        <v>5.6222544876380844</v>
      </c>
      <c r="AA65" s="29">
        <v>2.0463018267648332</v>
      </c>
      <c r="AB65" s="26">
        <v>3.9040115429815017</v>
      </c>
      <c r="AC65" s="26">
        <v>1.6468457447240892</v>
      </c>
      <c r="AD65" s="26">
        <v>5.4037628398611801</v>
      </c>
      <c r="AE65" s="26">
        <v>4.545627952278589</v>
      </c>
      <c r="AF65" s="26">
        <v>5.753416586206896</v>
      </c>
      <c r="AG65" s="26">
        <v>6.9456952735312685</v>
      </c>
      <c r="AH65" s="26">
        <v>5.5171557298245615</v>
      </c>
      <c r="AI65" s="26">
        <v>3.6290973139300138</v>
      </c>
      <c r="AJ65" s="26">
        <v>3.8175772713780916</v>
      </c>
      <c r="AK65" s="26">
        <v>4.6718576196078425</v>
      </c>
      <c r="AL65" s="26">
        <v>2.1913205298398832</v>
      </c>
      <c r="AM65" s="26">
        <v>5.8648728066496165</v>
      </c>
      <c r="AN65" s="26">
        <v>5.1307736621293145</v>
      </c>
      <c r="AO65" s="26">
        <v>5.1127946098696464</v>
      </c>
      <c r="AP65" s="26">
        <v>4.7163326245719182</v>
      </c>
      <c r="AQ65" s="30">
        <v>3.2634701924320826</v>
      </c>
      <c r="AR65" s="29">
        <v>6.3330878485007887</v>
      </c>
      <c r="AS65" s="30">
        <v>2.3902702702702703</v>
      </c>
      <c r="AT65" s="29">
        <v>6.6920044524838014</v>
      </c>
      <c r="AU65" s="26">
        <v>6.597753651434644</v>
      </c>
      <c r="AV65" s="26">
        <v>6.3417077518134715</v>
      </c>
      <c r="AW65" s="26">
        <v>6.2470648798549977</v>
      </c>
      <c r="AX65" s="26">
        <v>2.4658788584929119</v>
      </c>
      <c r="AY65" s="30">
        <v>2.5605694225314424</v>
      </c>
      <c r="AZ65" s="29">
        <v>4.8572383465259454</v>
      </c>
      <c r="BA65" s="30">
        <v>8.3627427356484763</v>
      </c>
      <c r="BB65" s="31">
        <v>1962</v>
      </c>
      <c r="BC65" s="21"/>
    </row>
    <row r="66" spans="1:55" s="80" customFormat="1" x14ac:dyDescent="0.2">
      <c r="A66" s="21"/>
      <c r="B66" s="64">
        <v>1963</v>
      </c>
      <c r="C66" s="22">
        <v>7.57147614379085</v>
      </c>
      <c r="D66" s="23">
        <f t="shared" si="2"/>
        <v>1.4741225085031899</v>
      </c>
      <c r="E66" s="77">
        <f t="shared" si="3"/>
        <v>4.6163659884006325</v>
      </c>
      <c r="F66" s="75">
        <f t="shared" si="4"/>
        <v>6.7047511544044376</v>
      </c>
      <c r="G66" s="23">
        <v>6.0934067294361416</v>
      </c>
      <c r="H66" s="24">
        <v>7.2509199884712823</v>
      </c>
      <c r="I66" s="25"/>
      <c r="J66" s="26"/>
      <c r="K66" s="26"/>
      <c r="L66" s="26"/>
      <c r="M66" s="26">
        <v>3.3324736248895741</v>
      </c>
      <c r="N66" s="26"/>
      <c r="O66" s="26"/>
      <c r="P66" s="26"/>
      <c r="Q66" s="26"/>
      <c r="R66" s="26"/>
      <c r="S66" s="26"/>
      <c r="T66" s="26"/>
      <c r="U66" s="26"/>
      <c r="V66" s="27"/>
      <c r="W66" s="28">
        <v>6.5416045197740118</v>
      </c>
      <c r="X66" s="29">
        <v>6.8673888979478637</v>
      </c>
      <c r="Y66" s="26">
        <v>6.8178859790633606</v>
      </c>
      <c r="Z66" s="30">
        <v>5.637081108122362</v>
      </c>
      <c r="AA66" s="29">
        <v>2.0326568801892879</v>
      </c>
      <c r="AB66" s="26">
        <v>3.8758947871804104</v>
      </c>
      <c r="AC66" s="26">
        <v>1.6335667900449682</v>
      </c>
      <c r="AD66" s="26">
        <v>5.3877358615916959</v>
      </c>
      <c r="AE66" s="26">
        <v>4.5203636669516882</v>
      </c>
      <c r="AF66" s="26">
        <v>5.7291020945589013</v>
      </c>
      <c r="AG66" s="26">
        <v>6.7870590234567896</v>
      </c>
      <c r="AH66" s="26">
        <v>5.4814370921314737</v>
      </c>
      <c r="AI66" s="26">
        <v>3.7102432807017545</v>
      </c>
      <c r="AJ66" s="26">
        <v>3.8351947738729142</v>
      </c>
      <c r="AK66" s="26">
        <v>4.7233097960352417</v>
      </c>
      <c r="AL66" s="26">
        <v>2.2138782411764701</v>
      </c>
      <c r="AM66" s="26">
        <v>5.7762349304785889</v>
      </c>
      <c r="AN66" s="26">
        <v>5.1307736621293145</v>
      </c>
      <c r="AO66" s="26">
        <v>5.0820374002776498</v>
      </c>
      <c r="AP66" s="26">
        <v>4.7244223889365351</v>
      </c>
      <c r="AQ66" s="30">
        <v>3.3258569001318388</v>
      </c>
      <c r="AR66" s="29">
        <v>6.2379274611398969</v>
      </c>
      <c r="AS66" s="30">
        <v>2.3870764297167288</v>
      </c>
      <c r="AT66" s="29">
        <v>6.6632216376344084</v>
      </c>
      <c r="AU66" s="26">
        <v>6.5663523913273405</v>
      </c>
      <c r="AV66" s="26">
        <v>6.1784431908127209</v>
      </c>
      <c r="AW66" s="26">
        <v>6.1514952998470172</v>
      </c>
      <c r="AX66" s="26">
        <v>2.4230935703812313</v>
      </c>
      <c r="AY66" s="30">
        <v>2.5571480309994654</v>
      </c>
      <c r="AZ66" s="29">
        <v>4.8044193127446713</v>
      </c>
      <c r="BA66" s="30">
        <v>8.1098487972508586</v>
      </c>
      <c r="BB66" s="31">
        <v>1963</v>
      </c>
      <c r="BC66" s="21"/>
    </row>
    <row r="67" spans="1:55" s="80" customFormat="1" x14ac:dyDescent="0.2">
      <c r="A67" s="21"/>
      <c r="B67" s="65">
        <v>1964</v>
      </c>
      <c r="C67" s="14">
        <v>7.4737796774193548</v>
      </c>
      <c r="D67" s="15">
        <f t="shared" si="2"/>
        <v>1.4595272361417722</v>
      </c>
      <c r="E67" s="16">
        <f t="shared" si="3"/>
        <v>4.438813450385223</v>
      </c>
      <c r="F67" s="74">
        <f t="shared" si="4"/>
        <v>6.3854772899089882</v>
      </c>
      <c r="G67" s="15">
        <v>5.9141888844527255</v>
      </c>
      <c r="H67" s="17">
        <v>6.9797851598425487</v>
      </c>
      <c r="I67" s="15"/>
      <c r="J67" s="16"/>
      <c r="K67" s="16"/>
      <c r="L67" s="16"/>
      <c r="M67" s="16">
        <v>3.2813359222058467</v>
      </c>
      <c r="N67" s="16"/>
      <c r="O67" s="16"/>
      <c r="P67" s="16"/>
      <c r="Q67" s="16">
        <v>3.9405118115615307</v>
      </c>
      <c r="R67" s="16"/>
      <c r="S67" s="16"/>
      <c r="T67" s="16"/>
      <c r="U67" s="16"/>
      <c r="V67" s="17"/>
      <c r="W67" s="14">
        <v>6.411207087486158</v>
      </c>
      <c r="X67" s="18">
        <v>6.7256394258555128</v>
      </c>
      <c r="Y67" s="16">
        <v>6.6816755140388766</v>
      </c>
      <c r="Z67" s="19">
        <v>5.604565170949134</v>
      </c>
      <c r="AA67" s="18">
        <v>2.0037790152671757</v>
      </c>
      <c r="AB67" s="16">
        <v>3.9025960203045686</v>
      </c>
      <c r="AC67" s="16">
        <v>1.6255010382656994</v>
      </c>
      <c r="AD67" s="16">
        <v>5.3402203076923076</v>
      </c>
      <c r="AE67" s="16">
        <v>4.5358775705705696</v>
      </c>
      <c r="AF67" s="16">
        <v>5.6573762467396964</v>
      </c>
      <c r="AG67" s="16">
        <v>6.6355073132166558</v>
      </c>
      <c r="AH67" s="16">
        <v>5.4166957091535428</v>
      </c>
      <c r="AI67" s="16">
        <v>3.7385362970537259</v>
      </c>
      <c r="AJ67" s="16">
        <v>3.8695357012893976</v>
      </c>
      <c r="AK67" s="16">
        <v>4.7400146936339516</v>
      </c>
      <c r="AL67" s="16">
        <v>2.2507604502349419</v>
      </c>
      <c r="AM67" s="16">
        <v>5.6902363955334989</v>
      </c>
      <c r="AN67" s="16">
        <v>5.1307736621293145</v>
      </c>
      <c r="AO67" s="16">
        <v>5.0124522236421729</v>
      </c>
      <c r="AP67" s="16">
        <v>4.6644170241320912</v>
      </c>
      <c r="AQ67" s="19">
        <v>3.3390634794837855</v>
      </c>
      <c r="AR67" s="18">
        <v>6.1644649257552482</v>
      </c>
      <c r="AS67" s="19">
        <v>2.3762809257781323</v>
      </c>
      <c r="AT67" s="18">
        <v>6.5818333754646847</v>
      </c>
      <c r="AU67" s="16">
        <v>6.4874463803552773</v>
      </c>
      <c r="AV67" s="16">
        <v>6.110582107338991</v>
      </c>
      <c r="AW67" s="16">
        <v>6.0135006395812569</v>
      </c>
      <c r="AX67" s="16">
        <v>2.4002175962236745</v>
      </c>
      <c r="AY67" s="19">
        <v>2.5455833817504652</v>
      </c>
      <c r="AZ67" s="18">
        <v>4.7323736075407021</v>
      </c>
      <c r="BA67" s="19">
        <v>7.8928628762541813</v>
      </c>
      <c r="BB67" s="20">
        <v>1964</v>
      </c>
      <c r="BC67" s="21"/>
    </row>
    <row r="68" spans="1:55" s="80" customFormat="1" x14ac:dyDescent="0.2">
      <c r="A68" s="21"/>
      <c r="B68" s="64">
        <v>1965</v>
      </c>
      <c r="C68" s="22">
        <v>7.3551482539682542</v>
      </c>
      <c r="D68" s="23">
        <f t="shared" si="2"/>
        <v>1.4450764714274971</v>
      </c>
      <c r="E68" s="77">
        <f t="shared" si="3"/>
        <v>4.2680898561396372</v>
      </c>
      <c r="F68" s="75">
        <f t="shared" si="4"/>
        <v>6.0814069427704647</v>
      </c>
      <c r="G68" s="23">
        <v>5.7727011120973968</v>
      </c>
      <c r="H68" s="24">
        <v>6.7281966113415299</v>
      </c>
      <c r="I68" s="25"/>
      <c r="J68" s="26"/>
      <c r="K68" s="26"/>
      <c r="L68" s="26"/>
      <c r="M68" s="26">
        <v>3.2729651673022602</v>
      </c>
      <c r="N68" s="26"/>
      <c r="O68" s="26"/>
      <c r="P68" s="26"/>
      <c r="Q68" s="26">
        <v>3.9618118754078098</v>
      </c>
      <c r="R68" s="26"/>
      <c r="S68" s="26"/>
      <c r="T68" s="26"/>
      <c r="U68" s="26"/>
      <c r="V68" s="27"/>
      <c r="W68" s="28">
        <v>6.2384913793103456</v>
      </c>
      <c r="X68" s="29">
        <v>6.5133625370857438</v>
      </c>
      <c r="Y68" s="26">
        <v>6.478776467015706</v>
      </c>
      <c r="Z68" s="30">
        <v>5.5320423297101442</v>
      </c>
      <c r="AA68" s="29">
        <v>2.0123129974446337</v>
      </c>
      <c r="AB68" s="26">
        <v>3.8969441795800144</v>
      </c>
      <c r="AC68" s="26">
        <v>1.6187572570682236</v>
      </c>
      <c r="AD68" s="26">
        <v>5.2603231891891893</v>
      </c>
      <c r="AE68" s="26">
        <v>4.5319891200171449</v>
      </c>
      <c r="AF68" s="26">
        <v>5.5219909699592664</v>
      </c>
      <c r="AG68" s="26">
        <v>6.5252436902077138</v>
      </c>
      <c r="AH68" s="26">
        <v>5.2866117584053791</v>
      </c>
      <c r="AI68" s="26">
        <v>3.7450268114583332</v>
      </c>
      <c r="AJ68" s="26">
        <v>3.8792616438061036</v>
      </c>
      <c r="AK68" s="26">
        <v>4.6718576196078425</v>
      </c>
      <c r="AL68" s="26">
        <v>2.3079413990363555</v>
      </c>
      <c r="AM68" s="26">
        <v>5.617749307692308</v>
      </c>
      <c r="AN68" s="26">
        <v>5.1307736621293145</v>
      </c>
      <c r="AO68" s="26">
        <v>4.9559038005415168</v>
      </c>
      <c r="AP68" s="26">
        <v>4.6427952005899709</v>
      </c>
      <c r="AQ68" s="30">
        <v>3.3601897552447548</v>
      </c>
      <c r="AR68" s="29">
        <v>5.9986048829098157</v>
      </c>
      <c r="AS68" s="30">
        <v>2.360581395348837</v>
      </c>
      <c r="AT68" s="29">
        <v>6.4282117458506223</v>
      </c>
      <c r="AU68" s="26">
        <v>6.3319593941866401</v>
      </c>
      <c r="AV68" s="26">
        <v>5.912799981159421</v>
      </c>
      <c r="AW68" s="26">
        <v>5.8758316039941549</v>
      </c>
      <c r="AX68" s="26">
        <v>2.4254645034246574</v>
      </c>
      <c r="AY68" s="30">
        <v>2.5287653097251583</v>
      </c>
      <c r="AZ68" s="29">
        <v>4.6467648296171644</v>
      </c>
      <c r="BA68" s="30">
        <v>7.6473298768632532</v>
      </c>
      <c r="BB68" s="31">
        <v>1965</v>
      </c>
      <c r="BC68" s="21"/>
    </row>
    <row r="69" spans="1:55" s="80" customFormat="1" x14ac:dyDescent="0.2">
      <c r="A69" s="21"/>
      <c r="B69" s="64">
        <v>1966</v>
      </c>
      <c r="C69" s="22">
        <v>7.1508385802469139</v>
      </c>
      <c r="D69" s="23">
        <f t="shared" si="2"/>
        <v>1.4307687835915812</v>
      </c>
      <c r="E69" s="77">
        <f t="shared" si="3"/>
        <v>4.1039325539804201</v>
      </c>
      <c r="F69" s="75">
        <f t="shared" si="4"/>
        <v>5.7918161359718709</v>
      </c>
      <c r="G69" s="23">
        <v>5.5684363035154893</v>
      </c>
      <c r="H69" s="24">
        <v>6.4112648769505647</v>
      </c>
      <c r="I69" s="25"/>
      <c r="J69" s="26"/>
      <c r="K69" s="26"/>
      <c r="L69" s="26"/>
      <c r="M69" s="26">
        <v>3.2729651673022602</v>
      </c>
      <c r="N69" s="26"/>
      <c r="O69" s="26"/>
      <c r="P69" s="26"/>
      <c r="Q69" s="26">
        <v>3.9725484929563404</v>
      </c>
      <c r="R69" s="26"/>
      <c r="S69" s="26"/>
      <c r="T69" s="26"/>
      <c r="U69" s="26"/>
      <c r="V69" s="27"/>
      <c r="W69" s="28">
        <v>5.9438603696098564</v>
      </c>
      <c r="X69" s="29">
        <v>6.2820406813800096</v>
      </c>
      <c r="Y69" s="26">
        <v>6.2560480546006056</v>
      </c>
      <c r="Z69" s="30">
        <v>5.4474545265035674</v>
      </c>
      <c r="AA69" s="29">
        <v>1.9915325260273971</v>
      </c>
      <c r="AB69" s="26">
        <v>3.7581563631284913</v>
      </c>
      <c r="AC69" s="26">
        <v>1.6061704877267873</v>
      </c>
      <c r="AD69" s="26">
        <v>5.1243016680771039</v>
      </c>
      <c r="AE69" s="26">
        <v>4.4820392611275954</v>
      </c>
      <c r="AF69" s="26">
        <v>5.3530060538005912</v>
      </c>
      <c r="AG69" s="26">
        <v>6.340850990772779</v>
      </c>
      <c r="AH69" s="26">
        <v>5.0745623241124935</v>
      </c>
      <c r="AI69" s="26">
        <v>3.7076924087315231</v>
      </c>
      <c r="AJ69" s="26">
        <v>3.8848413081625313</v>
      </c>
      <c r="AK69" s="26">
        <v>4.6536081757812493</v>
      </c>
      <c r="AL69" s="26">
        <v>2.3454396679278875</v>
      </c>
      <c r="AM69" s="26">
        <v>5.4860413095693783</v>
      </c>
      <c r="AN69" s="26">
        <v>5.1084227604065822</v>
      </c>
      <c r="AO69" s="26">
        <v>4.8465502303618715</v>
      </c>
      <c r="AP69" s="26">
        <v>4.5526252111570251</v>
      </c>
      <c r="AQ69" s="30">
        <v>3.3073254129793508</v>
      </c>
      <c r="AR69" s="29">
        <v>5.7576279292204688</v>
      </c>
      <c r="AS69" s="30">
        <v>2.3231313394018205</v>
      </c>
      <c r="AT69" s="29">
        <v>6.2248077579105976</v>
      </c>
      <c r="AU69" s="26">
        <v>6.1379003321799308</v>
      </c>
      <c r="AV69" s="26">
        <v>5.6067320022904266</v>
      </c>
      <c r="AW69" s="26">
        <v>5.6343214773470338</v>
      </c>
      <c r="AX69" s="26">
        <v>2.392687956081081</v>
      </c>
      <c r="AY69" s="30">
        <v>2.488647056436931</v>
      </c>
      <c r="AZ69" s="29">
        <v>4.5175296523517385</v>
      </c>
      <c r="BA69" s="30">
        <v>7.2258603796693208</v>
      </c>
      <c r="BB69" s="31">
        <v>1966</v>
      </c>
      <c r="BC69" s="21"/>
    </row>
    <row r="70" spans="1:55" s="80" customFormat="1" x14ac:dyDescent="0.2">
      <c r="A70" s="21"/>
      <c r="B70" s="64">
        <v>1967</v>
      </c>
      <c r="C70" s="22">
        <v>6.9367416167664677</v>
      </c>
      <c r="D70" s="23">
        <f t="shared" si="2"/>
        <v>1.4166027560312686</v>
      </c>
      <c r="E70" s="77">
        <f t="shared" si="3"/>
        <v>3.9460889942119421</v>
      </c>
      <c r="F70" s="75">
        <f t="shared" si="4"/>
        <v>5.5160153675922574</v>
      </c>
      <c r="G70" s="23">
        <v>5.3542656764572012</v>
      </c>
      <c r="H70" s="24">
        <v>6.082941256622556</v>
      </c>
      <c r="I70" s="25"/>
      <c r="J70" s="26"/>
      <c r="K70" s="26"/>
      <c r="L70" s="26"/>
      <c r="M70" s="26">
        <v>3.2236239838755933</v>
      </c>
      <c r="N70" s="26">
        <v>2.9877237542331878</v>
      </c>
      <c r="O70" s="26"/>
      <c r="P70" s="26"/>
      <c r="Q70" s="26">
        <v>3.9405118115615307</v>
      </c>
      <c r="R70" s="26"/>
      <c r="S70" s="26">
        <v>4.5488505747126444</v>
      </c>
      <c r="T70" s="26"/>
      <c r="U70" s="26"/>
      <c r="V70" s="27"/>
      <c r="W70" s="28">
        <v>5.6316342412451368</v>
      </c>
      <c r="X70" s="29">
        <v>6.0934557987204725</v>
      </c>
      <c r="Y70" s="26">
        <v>6.0629412307692299</v>
      </c>
      <c r="Z70" s="30">
        <v>5.3573462561403504</v>
      </c>
      <c r="AA70" s="29">
        <v>1.9285350685714284</v>
      </c>
      <c r="AB70" s="26">
        <v>3.5889829356452152</v>
      </c>
      <c r="AC70" s="26">
        <v>1.5690902932677984</v>
      </c>
      <c r="AD70" s="26">
        <v>4.9118475205047316</v>
      </c>
      <c r="AE70" s="26">
        <v>4.3726760202646808</v>
      </c>
      <c r="AF70" s="26">
        <v>5.1447771655597725</v>
      </c>
      <c r="AG70" s="26">
        <v>6.0213776659364715</v>
      </c>
      <c r="AH70" s="26">
        <v>4.8940532152067586</v>
      </c>
      <c r="AI70" s="26">
        <v>3.5212788824681684</v>
      </c>
      <c r="AJ70" s="26">
        <v>3.8216284676335337</v>
      </c>
      <c r="AK70" s="26">
        <v>4.556699208244793</v>
      </c>
      <c r="AL70" s="26">
        <v>2.3428324650955981</v>
      </c>
      <c r="AM70" s="26">
        <v>5.3304631971176191</v>
      </c>
      <c r="AN70" s="26">
        <v>5.0449337586042056</v>
      </c>
      <c r="AO70" s="26">
        <v>4.7134261038626608</v>
      </c>
      <c r="AP70" s="26">
        <v>4.3876356077260059</v>
      </c>
      <c r="AQ70" s="30">
        <v>3.334649648050231</v>
      </c>
      <c r="AR70" s="29">
        <v>5.5814557255447381</v>
      </c>
      <c r="AS70" s="30">
        <v>2.2671167512690356</v>
      </c>
      <c r="AT70" s="29">
        <v>6.0604363061124698</v>
      </c>
      <c r="AU70" s="26">
        <v>5.9696982557692309</v>
      </c>
      <c r="AV70" s="26">
        <v>5.4109177546419094</v>
      </c>
      <c r="AW70" s="26">
        <v>5.3949384092128803</v>
      </c>
      <c r="AX70" s="26">
        <v>2.320453753802949</v>
      </c>
      <c r="AY70" s="30">
        <v>2.428641607106599</v>
      </c>
      <c r="AZ70" s="29">
        <v>4.3813407378024589</v>
      </c>
      <c r="BA70" s="30">
        <v>6.7235498575498571</v>
      </c>
      <c r="BB70" s="31">
        <v>1967</v>
      </c>
      <c r="BC70" s="21"/>
    </row>
    <row r="71" spans="1:55" s="80" customFormat="1" x14ac:dyDescent="0.2">
      <c r="A71" s="21"/>
      <c r="B71" s="64">
        <v>1968</v>
      </c>
      <c r="C71" s="22">
        <v>6.6576772988505759</v>
      </c>
      <c r="D71" s="23">
        <f t="shared" si="2"/>
        <v>1.4025769861695729</v>
      </c>
      <c r="E71" s="77">
        <f t="shared" si="3"/>
        <v>3.7943163405884057</v>
      </c>
      <c r="F71" s="75">
        <f t="shared" si="4"/>
        <v>5.2533479691354827</v>
      </c>
      <c r="G71" s="23">
        <v>5.0200882070527983</v>
      </c>
      <c r="H71" s="24">
        <v>5.6563453762879874</v>
      </c>
      <c r="I71" s="25"/>
      <c r="J71" s="26"/>
      <c r="K71" s="26"/>
      <c r="L71" s="26"/>
      <c r="M71" s="26">
        <v>3.1446135921139367</v>
      </c>
      <c r="N71" s="26">
        <v>2.890759088781401</v>
      </c>
      <c r="O71" s="26"/>
      <c r="P71" s="26"/>
      <c r="Q71" s="26">
        <v>3.8074555685737392</v>
      </c>
      <c r="R71" s="26"/>
      <c r="S71" s="26">
        <v>4.3850415512465375</v>
      </c>
      <c r="T71" s="26"/>
      <c r="U71" s="26"/>
      <c r="V71" s="27"/>
      <c r="W71" s="28">
        <v>5.3456325023084021</v>
      </c>
      <c r="X71" s="29">
        <v>5.796770684925094</v>
      </c>
      <c r="Y71" s="26">
        <v>5.7770602483660118</v>
      </c>
      <c r="Z71" s="30">
        <v>5.0894789433333329</v>
      </c>
      <c r="AA71" s="29">
        <v>1.8374143177133968</v>
      </c>
      <c r="AB71" s="26">
        <v>3.4866730884353738</v>
      </c>
      <c r="AC71" s="26">
        <v>1.5637334464895352</v>
      </c>
      <c r="AD71" s="26">
        <v>4.7142688788927334</v>
      </c>
      <c r="AE71" s="26">
        <v>4.2633591197580634</v>
      </c>
      <c r="AF71" s="26">
        <v>4.9206852382032666</v>
      </c>
      <c r="AG71" s="26">
        <v>5.7625972840670858</v>
      </c>
      <c r="AH71" s="26">
        <v>4.7097670864356003</v>
      </c>
      <c r="AI71" s="26">
        <v>3.3842727383118918</v>
      </c>
      <c r="AJ71" s="26">
        <v>3.7177369848589126</v>
      </c>
      <c r="AK71" s="26">
        <v>4.4323742195121945</v>
      </c>
      <c r="AL71" s="26">
        <v>2.2814592829616798</v>
      </c>
      <c r="AM71" s="26">
        <v>5.1301236407158832</v>
      </c>
      <c r="AN71" s="26">
        <v>4.920280383682984</v>
      </c>
      <c r="AO71" s="26">
        <v>4.5531852495854066</v>
      </c>
      <c r="AP71" s="26">
        <v>4.2260655968546219</v>
      </c>
      <c r="AQ71" s="30">
        <v>3.2582014320309978</v>
      </c>
      <c r="AR71" s="29">
        <v>5.3270796460176992</v>
      </c>
      <c r="AS71" s="30">
        <v>2.1930861772649153</v>
      </c>
      <c r="AT71" s="29">
        <v>5.8049612393442622</v>
      </c>
      <c r="AU71" s="26">
        <v>5.7037080257234729</v>
      </c>
      <c r="AV71" s="26">
        <v>5.1361711963911043</v>
      </c>
      <c r="AW71" s="26">
        <v>5.1839631641598629</v>
      </c>
      <c r="AX71" s="26">
        <v>2.2236597645211931</v>
      </c>
      <c r="AY71" s="30">
        <v>2.349336590228333</v>
      </c>
      <c r="AZ71" s="29">
        <v>4.2013541270445032</v>
      </c>
      <c r="BA71" s="30">
        <v>6.3269865951742634</v>
      </c>
      <c r="BB71" s="31">
        <v>1968</v>
      </c>
      <c r="BC71" s="21"/>
    </row>
    <row r="72" spans="1:55" s="80" customFormat="1" x14ac:dyDescent="0.2">
      <c r="A72" s="21"/>
      <c r="B72" s="65">
        <v>1969</v>
      </c>
      <c r="C72" s="14">
        <v>6.3130019073569477</v>
      </c>
      <c r="D72" s="15">
        <f t="shared" si="2"/>
        <v>1.3886900853164088</v>
      </c>
      <c r="E72" s="16">
        <f t="shared" si="3"/>
        <v>3.6483810967196209</v>
      </c>
      <c r="F72" s="74">
        <f t="shared" si="4"/>
        <v>5.0031885420337927</v>
      </c>
      <c r="G72" s="15">
        <v>4.581624806689959</v>
      </c>
      <c r="H72" s="17">
        <v>5.148210330664007</v>
      </c>
      <c r="I72" s="15"/>
      <c r="J72" s="16"/>
      <c r="K72" s="16"/>
      <c r="L72" s="16"/>
      <c r="M72" s="16">
        <v>3.0402899184419097</v>
      </c>
      <c r="N72" s="16">
        <v>3.0451799802761341</v>
      </c>
      <c r="O72" s="16"/>
      <c r="P72" s="16"/>
      <c r="Q72" s="16">
        <v>3.7110642883566825</v>
      </c>
      <c r="R72" s="16"/>
      <c r="S72" s="16">
        <v>4.2553763440860211</v>
      </c>
      <c r="T72" s="16"/>
      <c r="U72" s="16"/>
      <c r="V72" s="17"/>
      <c r="W72" s="14">
        <v>5.0102293379489398</v>
      </c>
      <c r="X72" s="18">
        <v>5.3928145396341458</v>
      </c>
      <c r="Y72" s="16">
        <v>5.370860699652777</v>
      </c>
      <c r="Z72" s="19">
        <v>4.8252396302483067</v>
      </c>
      <c r="AA72" s="18">
        <v>1.7422237898230086</v>
      </c>
      <c r="AB72" s="16">
        <v>3.3879004796978283</v>
      </c>
      <c r="AC72" s="16">
        <v>1.541538224904887</v>
      </c>
      <c r="AD72" s="16">
        <v>4.5604140786610881</v>
      </c>
      <c r="AE72" s="16">
        <v>4.1463257321568623</v>
      </c>
      <c r="AF72" s="16">
        <v>4.746253945295404</v>
      </c>
      <c r="AG72" s="16">
        <v>5.5112960491228069</v>
      </c>
      <c r="AH72" s="16">
        <v>4.5463550933498551</v>
      </c>
      <c r="AI72" s="16">
        <v>3.3423232776572664</v>
      </c>
      <c r="AJ72" s="16">
        <v>3.608464822311289</v>
      </c>
      <c r="AK72" s="16">
        <v>4.3163901920289849</v>
      </c>
      <c r="AL72" s="16">
        <v>2.2274488328049036</v>
      </c>
      <c r="AM72" s="16">
        <v>4.8894781820895528</v>
      </c>
      <c r="AN72" s="16">
        <v>4.7095053203926813</v>
      </c>
      <c r="AO72" s="16">
        <v>4.3754114828685262</v>
      </c>
      <c r="AP72" s="16">
        <v>4.020931755839416</v>
      </c>
      <c r="AQ72" s="19">
        <v>3.1642050282220127</v>
      </c>
      <c r="AR72" s="18">
        <v>4.9769326167837953</v>
      </c>
      <c r="AS72" s="19">
        <v>2.1257591623036647</v>
      </c>
      <c r="AT72" s="18">
        <v>5.3328710180722894</v>
      </c>
      <c r="AU72" s="16">
        <v>5.2725997333333332</v>
      </c>
      <c r="AV72" s="16">
        <v>4.8530911819984146</v>
      </c>
      <c r="AW72" s="16">
        <v>4.8446113586345385</v>
      </c>
      <c r="AX72" s="16">
        <v>2.1433849740596629</v>
      </c>
      <c r="AY72" s="19">
        <v>2.2772127396477866</v>
      </c>
      <c r="AZ72" s="18">
        <v>4.0033925335266396</v>
      </c>
      <c r="BA72" s="19">
        <v>5.908778167250877</v>
      </c>
      <c r="BB72" s="20">
        <v>1969</v>
      </c>
      <c r="BC72" s="21"/>
    </row>
    <row r="73" spans="1:55" s="80" customFormat="1" x14ac:dyDescent="0.2">
      <c r="A73" s="21"/>
      <c r="B73" s="64">
        <v>1970</v>
      </c>
      <c r="C73" s="22">
        <v>5.9713188144329905</v>
      </c>
      <c r="D73" s="23">
        <f t="shared" si="2"/>
        <v>1.3749406785310978</v>
      </c>
      <c r="E73" s="77">
        <f t="shared" si="3"/>
        <v>3.5080587468457893</v>
      </c>
      <c r="F73" s="75">
        <f t="shared" si="4"/>
        <v>4.7649414686036122</v>
      </c>
      <c r="G73" s="23">
        <v>4.3295258340730474</v>
      </c>
      <c r="H73" s="24">
        <v>4.7306871177499099</v>
      </c>
      <c r="I73" s="25"/>
      <c r="J73" s="26"/>
      <c r="K73" s="26"/>
      <c r="L73" s="26"/>
      <c r="M73" s="26">
        <v>2.7710633813876591</v>
      </c>
      <c r="N73" s="26">
        <v>2.9814732861280979</v>
      </c>
      <c r="O73" s="26"/>
      <c r="P73" s="26"/>
      <c r="Q73" s="26">
        <v>3.5407497437219555</v>
      </c>
      <c r="R73" s="26"/>
      <c r="S73" s="26">
        <v>4.090439276485788</v>
      </c>
      <c r="T73" s="26"/>
      <c r="U73" s="26"/>
      <c r="V73" s="27"/>
      <c r="W73" s="28">
        <v>4.6296041583366652</v>
      </c>
      <c r="X73" s="29">
        <v>5.0745500750000003</v>
      </c>
      <c r="Y73" s="26">
        <v>5.0652734555873922</v>
      </c>
      <c r="Z73" s="30">
        <v>4.6068559400862066</v>
      </c>
      <c r="AA73" s="29">
        <v>1.6651668433480176</v>
      </c>
      <c r="AB73" s="26">
        <v>3.266573542943854</v>
      </c>
      <c r="AC73" s="26">
        <v>1.5060575023588274</v>
      </c>
      <c r="AD73" s="26">
        <v>4.3441170378636906</v>
      </c>
      <c r="AE73" s="26">
        <v>3.9614577058823519</v>
      </c>
      <c r="AF73" s="26">
        <v>4.4889032553807944</v>
      </c>
      <c r="AG73" s="26">
        <v>5.2507333419293207</v>
      </c>
      <c r="AH73" s="26">
        <v>4.3079161178082188</v>
      </c>
      <c r="AI73" s="26">
        <v>3.2624552985480939</v>
      </c>
      <c r="AJ73" s="26">
        <v>3.443973120178514</v>
      </c>
      <c r="AK73" s="26">
        <v>4.1238127834615375</v>
      </c>
      <c r="AL73" s="26">
        <v>2.1479943799429266</v>
      </c>
      <c r="AM73" s="26">
        <v>4.6177311063229967</v>
      </c>
      <c r="AN73" s="26">
        <v>4.4177486073670993</v>
      </c>
      <c r="AO73" s="26">
        <v>4.204549319295559</v>
      </c>
      <c r="AP73" s="26">
        <v>3.8562663671683586</v>
      </c>
      <c r="AQ73" s="30">
        <v>3.0293154713299306</v>
      </c>
      <c r="AR73" s="29">
        <v>4.5672230652503796</v>
      </c>
      <c r="AS73" s="30">
        <v>2.0398355788992921</v>
      </c>
      <c r="AT73" s="29">
        <v>4.971356697152026</v>
      </c>
      <c r="AU73" s="26">
        <v>4.8924241024428685</v>
      </c>
      <c r="AV73" s="26">
        <v>4.343327168559262</v>
      </c>
      <c r="AW73" s="26">
        <v>4.396167012755102</v>
      </c>
      <c r="AX73" s="26">
        <v>2.024356653736219</v>
      </c>
      <c r="AY73" s="30">
        <v>2.1851673742863666</v>
      </c>
      <c r="AZ73" s="29">
        <v>3.8021893287435455</v>
      </c>
      <c r="BA73" s="30">
        <v>5.4352049746660525</v>
      </c>
      <c r="BB73" s="31">
        <v>1970</v>
      </c>
      <c r="BC73" s="21"/>
    </row>
    <row r="74" spans="1:55" s="80" customFormat="1" x14ac:dyDescent="0.2">
      <c r="A74" s="21"/>
      <c r="B74" s="64">
        <v>1971</v>
      </c>
      <c r="C74" s="22">
        <v>5.7206708641975315</v>
      </c>
      <c r="D74" s="23">
        <f t="shared" si="2"/>
        <v>1.3613274044862353</v>
      </c>
      <c r="E74" s="77">
        <f t="shared" si="3"/>
        <v>3.3731334104286437</v>
      </c>
      <c r="F74" s="75">
        <f t="shared" si="4"/>
        <v>4.5380394939082018</v>
      </c>
      <c r="G74" s="23">
        <v>3.8180206722416328</v>
      </c>
      <c r="H74" s="24">
        <v>4.1322447246126659</v>
      </c>
      <c r="I74" s="25"/>
      <c r="J74" s="26"/>
      <c r="K74" s="26"/>
      <c r="L74" s="26"/>
      <c r="M74" s="26">
        <v>2.6563195560713999</v>
      </c>
      <c r="N74" s="26">
        <v>3.0847277722277719</v>
      </c>
      <c r="O74" s="26"/>
      <c r="P74" s="26"/>
      <c r="Q74" s="26">
        <v>3.2867049190602904</v>
      </c>
      <c r="R74" s="26"/>
      <c r="S74" s="26">
        <v>3.9476309226932669</v>
      </c>
      <c r="T74" s="26"/>
      <c r="U74" s="26"/>
      <c r="V74" s="27"/>
      <c r="W74" s="28">
        <v>4.3220007465472197</v>
      </c>
      <c r="X74" s="29">
        <v>4.683018979954614</v>
      </c>
      <c r="Y74" s="26">
        <v>4.6573063801279631</v>
      </c>
      <c r="Z74" s="30">
        <v>4.2923316389558233</v>
      </c>
      <c r="AA74" s="29">
        <v>1.5858066514515856</v>
      </c>
      <c r="AB74" s="26">
        <v>3.1517891139092242</v>
      </c>
      <c r="AC74" s="26">
        <v>1.4873460721445713</v>
      </c>
      <c r="AD74" s="26">
        <v>4.1568991792524796</v>
      </c>
      <c r="AE74" s="26">
        <v>3.7586671230003548</v>
      </c>
      <c r="AF74" s="26">
        <v>4.3695367707493951</v>
      </c>
      <c r="AG74" s="26">
        <v>5.0114109471285317</v>
      </c>
      <c r="AH74" s="26">
        <v>4.0917195840148697</v>
      </c>
      <c r="AI74" s="26">
        <v>3.1555521407255704</v>
      </c>
      <c r="AJ74" s="26">
        <v>3.2818176421628187</v>
      </c>
      <c r="AK74" s="26">
        <v>3.8568033226618699</v>
      </c>
      <c r="AL74" s="26">
        <v>2.070752687757909</v>
      </c>
      <c r="AM74" s="26">
        <v>4.4116299873028089</v>
      </c>
      <c r="AN74" s="26">
        <v>4.3236384362965996</v>
      </c>
      <c r="AO74" s="26">
        <v>4.042062135443504</v>
      </c>
      <c r="AP74" s="26">
        <v>3.7183101623354711</v>
      </c>
      <c r="AQ74" s="30">
        <v>2.9273715796344648</v>
      </c>
      <c r="AR74" s="29">
        <v>4.2227990178884607</v>
      </c>
      <c r="AS74" s="30">
        <v>1.9627422544495716</v>
      </c>
      <c r="AT74" s="29">
        <v>4.5817346565619221</v>
      </c>
      <c r="AU74" s="26">
        <v>4.5037984664490391</v>
      </c>
      <c r="AV74" s="26">
        <v>4.0327828537067543</v>
      </c>
      <c r="AW74" s="26">
        <v>4.0989066540944616</v>
      </c>
      <c r="AX74" s="26">
        <v>1.9297973705722069</v>
      </c>
      <c r="AY74" s="30">
        <v>2.1025813957372006</v>
      </c>
      <c r="AZ74" s="29">
        <v>3.6190563564875489</v>
      </c>
      <c r="BA74" s="30">
        <v>5.0730137575236451</v>
      </c>
      <c r="BB74" s="31">
        <v>1971</v>
      </c>
      <c r="BC74" s="21"/>
    </row>
    <row r="75" spans="1:55" s="80" customFormat="1" x14ac:dyDescent="0.2">
      <c r="A75" s="21"/>
      <c r="B75" s="64">
        <v>1972</v>
      </c>
      <c r="C75" s="22">
        <v>5.5427552631578951</v>
      </c>
      <c r="D75" s="23">
        <f t="shared" ref="D75:D103" si="5">+D76*(1+D$6)</f>
        <v>1.3478489153329063</v>
      </c>
      <c r="E75" s="77">
        <f t="shared" ref="E75:E104" si="6">+E76*(1+E$6)</f>
        <v>3.2433975100275418</v>
      </c>
      <c r="F75" s="75">
        <f t="shared" ref="F75:F104" si="7">+F76*(1+F$6)</f>
        <v>4.3219423751506678</v>
      </c>
      <c r="G75" s="23">
        <v>3.4537057226002554</v>
      </c>
      <c r="H75" s="24">
        <v>3.7267991498075443</v>
      </c>
      <c r="I75" s="25"/>
      <c r="J75" s="26"/>
      <c r="K75" s="26"/>
      <c r="L75" s="26"/>
      <c r="M75" s="26">
        <v>2.634501736309006</v>
      </c>
      <c r="N75" s="26">
        <v>3.139084208742799</v>
      </c>
      <c r="O75" s="26"/>
      <c r="P75" s="26"/>
      <c r="Q75" s="26">
        <v>3.2216931734085485</v>
      </c>
      <c r="R75" s="26"/>
      <c r="S75" s="26">
        <v>3.8894348894348894</v>
      </c>
      <c r="T75" s="26"/>
      <c r="U75" s="26"/>
      <c r="V75" s="27"/>
      <c r="W75" s="28">
        <v>4.0798590556730092</v>
      </c>
      <c r="X75" s="29">
        <v>4.3232898683659213</v>
      </c>
      <c r="Y75" s="26">
        <v>4.3146663361227331</v>
      </c>
      <c r="Z75" s="30">
        <v>4.0746876786122757</v>
      </c>
      <c r="AA75" s="29">
        <v>1.5141518724563372</v>
      </c>
      <c r="AB75" s="26">
        <v>3.0929194896551726</v>
      </c>
      <c r="AC75" s="26">
        <v>1.4850397841838172</v>
      </c>
      <c r="AD75" s="26">
        <v>4.0745381861682244</v>
      </c>
      <c r="AE75" s="26">
        <v>3.6283907402196287</v>
      </c>
      <c r="AF75" s="26">
        <v>4.2832504996050549</v>
      </c>
      <c r="AG75" s="26">
        <v>4.8780104782608689</v>
      </c>
      <c r="AH75" s="26">
        <v>3.9995369480377905</v>
      </c>
      <c r="AI75" s="26">
        <v>3.1844337812223209</v>
      </c>
      <c r="AJ75" s="26">
        <v>3.2115765986920328</v>
      </c>
      <c r="AK75" s="26">
        <v>3.729361125913043</v>
      </c>
      <c r="AL75" s="26">
        <v>2.0859185328582734</v>
      </c>
      <c r="AM75" s="26">
        <v>4.2138281282616683</v>
      </c>
      <c r="AN75" s="26">
        <v>3.9826420464150942</v>
      </c>
      <c r="AO75" s="26">
        <v>3.9306667222619898</v>
      </c>
      <c r="AP75" s="26">
        <v>3.6217465519395131</v>
      </c>
      <c r="AQ75" s="30">
        <v>2.9478965337423313</v>
      </c>
      <c r="AR75" s="29">
        <v>3.989131875414182</v>
      </c>
      <c r="AS75" s="30">
        <v>1.9259249676584733</v>
      </c>
      <c r="AT75" s="29">
        <v>4.2884402235294123</v>
      </c>
      <c r="AU75" s="26">
        <v>4.2205888416043509</v>
      </c>
      <c r="AV75" s="26">
        <v>3.8880228592757304</v>
      </c>
      <c r="AW75" s="26">
        <v>3.8988630520361989</v>
      </c>
      <c r="AX75" s="26">
        <v>1.8419652405721716</v>
      </c>
      <c r="AY75" s="30">
        <v>2.0631409943941352</v>
      </c>
      <c r="AZ75" s="29">
        <v>3.472291732159698</v>
      </c>
      <c r="BA75" s="30">
        <v>4.7541619661563255</v>
      </c>
      <c r="BB75" s="31">
        <v>1972</v>
      </c>
      <c r="BC75" s="21"/>
    </row>
    <row r="76" spans="1:55" s="80" customFormat="1" x14ac:dyDescent="0.2">
      <c r="A76" s="21"/>
      <c r="B76" s="64">
        <v>1973</v>
      </c>
      <c r="C76" s="22">
        <v>5.218179504504505</v>
      </c>
      <c r="D76" s="23">
        <f t="shared" si="5"/>
        <v>1.3345038765672339</v>
      </c>
      <c r="E76" s="77">
        <f t="shared" si="6"/>
        <v>3.1186514519495594</v>
      </c>
      <c r="F76" s="75">
        <f t="shared" si="7"/>
        <v>4.1161355953815884</v>
      </c>
      <c r="G76" s="23">
        <v>3.1805655512171072</v>
      </c>
      <c r="H76" s="24">
        <v>3.4475350446504618</v>
      </c>
      <c r="I76" s="25"/>
      <c r="J76" s="26"/>
      <c r="K76" s="26"/>
      <c r="L76" s="26"/>
      <c r="M76" s="26">
        <v>2.6024388348529128</v>
      </c>
      <c r="N76" s="26">
        <v>3.0322217675941077</v>
      </c>
      <c r="O76" s="26"/>
      <c r="P76" s="26"/>
      <c r="Q76" s="26">
        <v>3.1660267686844268</v>
      </c>
      <c r="R76" s="26"/>
      <c r="S76" s="26">
        <v>3.8609756097560979</v>
      </c>
      <c r="T76" s="26"/>
      <c r="U76" s="26"/>
      <c r="V76" s="27"/>
      <c r="W76" s="28">
        <v>3.7888219895287958</v>
      </c>
      <c r="X76" s="29">
        <v>3.9941619945161291</v>
      </c>
      <c r="Y76" s="26">
        <v>3.9943392679147833</v>
      </c>
      <c r="Z76" s="30">
        <v>3.822570021816881</v>
      </c>
      <c r="AA76" s="29">
        <v>1.4783826401752189</v>
      </c>
      <c r="AB76" s="26">
        <v>3.0191752661991584</v>
      </c>
      <c r="AC76" s="26">
        <v>1.4542893745168413</v>
      </c>
      <c r="AD76" s="26">
        <v>3.9634144174545454</v>
      </c>
      <c r="AE76" s="26">
        <v>3.5150035295877657</v>
      </c>
      <c r="AF76" s="26">
        <v>4.1664196177487511</v>
      </c>
      <c r="AG76" s="26">
        <v>4.7027526167664666</v>
      </c>
      <c r="AH76" s="26">
        <v>3.9017106277915627</v>
      </c>
      <c r="AI76" s="26">
        <v>3.1353712840116281</v>
      </c>
      <c r="AJ76" s="26">
        <v>3.1775716699999998</v>
      </c>
      <c r="AK76" s="26">
        <v>3.6845062670103084</v>
      </c>
      <c r="AL76" s="26">
        <v>2.1211876867954911</v>
      </c>
      <c r="AM76" s="26">
        <v>3.9469281710843371</v>
      </c>
      <c r="AN76" s="26">
        <v>3.7706328770989641</v>
      </c>
      <c r="AO76" s="26">
        <v>3.8000978622837374</v>
      </c>
      <c r="AP76" s="26">
        <v>3.4014674316146958</v>
      </c>
      <c r="AQ76" s="30">
        <v>2.8805737467884667</v>
      </c>
      <c r="AR76" s="29">
        <v>3.6805869764597983</v>
      </c>
      <c r="AS76" s="30">
        <v>1.8675392013380723</v>
      </c>
      <c r="AT76" s="29">
        <v>3.9570856468710089</v>
      </c>
      <c r="AU76" s="26">
        <v>3.8900289385964912</v>
      </c>
      <c r="AV76" s="26">
        <v>3.5714899215056897</v>
      </c>
      <c r="AW76" s="26">
        <v>3.6422349888285028</v>
      </c>
      <c r="AX76" s="26">
        <v>1.8017988170089041</v>
      </c>
      <c r="AY76" s="30">
        <v>2.000595427974075</v>
      </c>
      <c r="AZ76" s="29">
        <v>3.2873095238095233</v>
      </c>
      <c r="BA76" s="30">
        <v>4.4045651362448677</v>
      </c>
      <c r="BB76" s="31">
        <v>1973</v>
      </c>
      <c r="BC76" s="21"/>
    </row>
    <row r="77" spans="1:55" s="80" customFormat="1" x14ac:dyDescent="0.2">
      <c r="A77" s="21"/>
      <c r="B77" s="65">
        <v>1974</v>
      </c>
      <c r="C77" s="14">
        <v>4.6995369168357</v>
      </c>
      <c r="D77" s="15">
        <f t="shared" si="5"/>
        <v>1.3212909668982513</v>
      </c>
      <c r="E77" s="16">
        <f t="shared" si="6"/>
        <v>2.9987033191822685</v>
      </c>
      <c r="F77" s="74">
        <f t="shared" si="7"/>
        <v>3.9201291384586554</v>
      </c>
      <c r="G77" s="15">
        <v>3.003720827622463</v>
      </c>
      <c r="H77" s="17">
        <v>3.2341974800062503</v>
      </c>
      <c r="I77" s="15"/>
      <c r="J77" s="16"/>
      <c r="K77" s="16"/>
      <c r="L77" s="16"/>
      <c r="M77" s="16">
        <v>2.2829223231005087</v>
      </c>
      <c r="N77" s="16">
        <v>2.5403640477169884</v>
      </c>
      <c r="O77" s="16"/>
      <c r="P77" s="16"/>
      <c r="Q77" s="16">
        <v>2.846350279419203</v>
      </c>
      <c r="R77" s="16"/>
      <c r="S77" s="16">
        <v>3.509977827050998</v>
      </c>
      <c r="T77" s="16"/>
      <c r="U77" s="16"/>
      <c r="V77" s="17"/>
      <c r="W77" s="14">
        <v>3.411502651738362</v>
      </c>
      <c r="X77" s="18">
        <v>3.5952096930894308</v>
      </c>
      <c r="Y77" s="16">
        <v>3.5993202594531697</v>
      </c>
      <c r="Z77" s="19">
        <v>3.103340819105691</v>
      </c>
      <c r="AA77" s="18">
        <v>1.3642012178432221</v>
      </c>
      <c r="AB77" s="16">
        <v>2.812479703161745</v>
      </c>
      <c r="AC77" s="16">
        <v>1.4003552078957859</v>
      </c>
      <c r="AD77" s="16">
        <v>3.6222630933865072</v>
      </c>
      <c r="AE77" s="16">
        <v>3.1608761186846031</v>
      </c>
      <c r="AF77" s="16">
        <v>3.796006393069653</v>
      </c>
      <c r="AG77" s="16">
        <v>4.1428167362471733</v>
      </c>
      <c r="AH77" s="16">
        <v>3.6361829141063757</v>
      </c>
      <c r="AI77" s="16">
        <v>2.9292985380228136</v>
      </c>
      <c r="AJ77" s="16">
        <v>2.9073583632938647</v>
      </c>
      <c r="AK77" s="16">
        <v>3.3526933198874289</v>
      </c>
      <c r="AL77" s="16">
        <v>1.9879382056215806</v>
      </c>
      <c r="AM77" s="16">
        <v>3.4713370684226459</v>
      </c>
      <c r="AN77" s="16">
        <v>3.3816089147709065</v>
      </c>
      <c r="AO77" s="16">
        <v>3.3958821341991339</v>
      </c>
      <c r="AP77" s="16">
        <v>2.9792733939967553</v>
      </c>
      <c r="AQ77" s="19">
        <v>2.6415313704188477</v>
      </c>
      <c r="AR77" s="18">
        <v>3.07986697365055</v>
      </c>
      <c r="AS77" s="19">
        <v>1.6959255743307384</v>
      </c>
      <c r="AT77" s="18">
        <v>3.5430509565465984</v>
      </c>
      <c r="AU77" s="16">
        <v>3.4723077102908282</v>
      </c>
      <c r="AV77" s="16">
        <v>2.7235193504672899</v>
      </c>
      <c r="AW77" s="16">
        <v>2.9400639246892517</v>
      </c>
      <c r="AX77" s="16">
        <v>1.6975344786851567</v>
      </c>
      <c r="AY77" s="19">
        <v>1.816754876020505</v>
      </c>
      <c r="AZ77" s="18">
        <v>3.0178579234972673</v>
      </c>
      <c r="BA77" s="19">
        <v>4.0971631944444447</v>
      </c>
      <c r="BB77" s="20">
        <v>1974</v>
      </c>
      <c r="BC77" s="21"/>
    </row>
    <row r="78" spans="1:55" s="80" customFormat="1" x14ac:dyDescent="0.2">
      <c r="A78" s="21"/>
      <c r="B78" s="64">
        <v>1975</v>
      </c>
      <c r="C78" s="22">
        <v>4.306452973977696</v>
      </c>
      <c r="D78" s="23">
        <f t="shared" si="5"/>
        <v>1.3082088781170804</v>
      </c>
      <c r="E78" s="77">
        <f t="shared" si="6"/>
        <v>2.8833685761367964</v>
      </c>
      <c r="F78" s="75">
        <f t="shared" si="7"/>
        <v>3.7334563223415764</v>
      </c>
      <c r="G78" s="23">
        <v>2.7714269504479847</v>
      </c>
      <c r="H78" s="24">
        <v>2.9534714781250568</v>
      </c>
      <c r="I78" s="25"/>
      <c r="J78" s="26"/>
      <c r="K78" s="26"/>
      <c r="L78" s="26"/>
      <c r="M78" s="26">
        <v>1.8951290185856513</v>
      </c>
      <c r="N78" s="26">
        <v>2.1625860861445076</v>
      </c>
      <c r="O78" s="26"/>
      <c r="P78" s="26"/>
      <c r="Q78" s="26">
        <v>2.6176257033944457</v>
      </c>
      <c r="R78" s="26"/>
      <c r="S78" s="26">
        <v>2.904587155963303</v>
      </c>
      <c r="T78" s="26"/>
      <c r="U78" s="26"/>
      <c r="V78" s="27"/>
      <c r="W78" s="28">
        <v>3.1075254965110037</v>
      </c>
      <c r="X78" s="29">
        <v>3.2817127439703158</v>
      </c>
      <c r="Y78" s="26">
        <v>3.2780034574834436</v>
      </c>
      <c r="Z78" s="30">
        <v>2.7071696507092198</v>
      </c>
      <c r="AA78" s="29">
        <v>1.2406225332808192</v>
      </c>
      <c r="AB78" s="26">
        <v>2.4585106952946552</v>
      </c>
      <c r="AC78" s="26">
        <v>1.3160365058088692</v>
      </c>
      <c r="AD78" s="26">
        <v>3.0042419095920616</v>
      </c>
      <c r="AE78" s="26">
        <v>2.5889154302154744</v>
      </c>
      <c r="AF78" s="26">
        <v>3.1878866152263368</v>
      </c>
      <c r="AG78" s="26">
        <v>3.4510469610797232</v>
      </c>
      <c r="AH78" s="26">
        <v>2.9739869443393676</v>
      </c>
      <c r="AI78" s="26">
        <v>2.4374411789830508</v>
      </c>
      <c r="AJ78" s="26">
        <v>2.6152853251028803</v>
      </c>
      <c r="AK78" s="26">
        <v>2.9741784291262134</v>
      </c>
      <c r="AL78" s="26">
        <v>1.8905741707929671</v>
      </c>
      <c r="AM78" s="26">
        <v>3.1081123168880453</v>
      </c>
      <c r="AN78" s="26">
        <v>2.5975883394043806</v>
      </c>
      <c r="AO78" s="26">
        <v>2.8954080732929079</v>
      </c>
      <c r="AP78" s="26">
        <v>2.7023186193279369</v>
      </c>
      <c r="AQ78" s="30">
        <v>2.2943724045020462</v>
      </c>
      <c r="AR78" s="29">
        <v>2.7823434250057777</v>
      </c>
      <c r="AS78" s="30">
        <v>1.4964717708158821</v>
      </c>
      <c r="AT78" s="29">
        <v>3.2258178672566369</v>
      </c>
      <c r="AU78" s="26">
        <v>3.167594992857143</v>
      </c>
      <c r="AV78" s="26">
        <v>2.5024526601921901</v>
      </c>
      <c r="AW78" s="26">
        <v>2.5803384562566847</v>
      </c>
      <c r="AX78" s="26">
        <v>1.568132040170805</v>
      </c>
      <c r="AY78" s="30">
        <v>1.6030906235550344</v>
      </c>
      <c r="AZ78" s="29">
        <v>2.7592705470896823</v>
      </c>
      <c r="BA78" s="30">
        <v>3.7471673547157831</v>
      </c>
      <c r="BB78" s="31">
        <v>1975</v>
      </c>
      <c r="BC78" s="21"/>
    </row>
    <row r="79" spans="1:55" s="80" customFormat="1" x14ac:dyDescent="0.2">
      <c r="A79" s="21"/>
      <c r="B79" s="64">
        <v>1976</v>
      </c>
      <c r="C79" s="22">
        <v>4.0718307557117752</v>
      </c>
      <c r="D79" s="23">
        <f t="shared" si="5"/>
        <v>1.2952563149674063</v>
      </c>
      <c r="E79" s="77">
        <f t="shared" si="6"/>
        <v>2.7724697847469195</v>
      </c>
      <c r="F79" s="75">
        <f t="shared" si="7"/>
        <v>3.5556726879443583</v>
      </c>
      <c r="G79" s="23">
        <v>2.5399884893228548</v>
      </c>
      <c r="H79" s="24">
        <v>2.7209824696429092</v>
      </c>
      <c r="I79" s="25"/>
      <c r="J79" s="26"/>
      <c r="K79" s="26"/>
      <c r="L79" s="26"/>
      <c r="M79" s="26">
        <v>1.772102687268627</v>
      </c>
      <c r="N79" s="26">
        <v>2.1019826412525529</v>
      </c>
      <c r="O79" s="26"/>
      <c r="P79" s="26"/>
      <c r="Q79" s="26">
        <v>2.4636477208418315</v>
      </c>
      <c r="R79" s="26"/>
      <c r="S79" s="26">
        <v>2.696763202725724</v>
      </c>
      <c r="T79" s="26">
        <v>2.0963649322879543</v>
      </c>
      <c r="U79" s="26"/>
      <c r="V79" s="27"/>
      <c r="W79" s="28">
        <v>2.9290766506450798</v>
      </c>
      <c r="X79" s="29">
        <v>3.1740328590105102</v>
      </c>
      <c r="Y79" s="26">
        <v>3.1664439744114636</v>
      </c>
      <c r="Z79" s="30">
        <v>2.5729190613866151</v>
      </c>
      <c r="AA79" s="29">
        <v>1.1776946455633102</v>
      </c>
      <c r="AB79" s="26">
        <v>2.3097338678111585</v>
      </c>
      <c r="AC79" s="26">
        <v>1.3224795667838312</v>
      </c>
      <c r="AD79" s="26">
        <v>2.7712661195016528</v>
      </c>
      <c r="AE79" s="26">
        <v>2.4531625561484915</v>
      </c>
      <c r="AF79" s="26">
        <v>2.9835461526822558</v>
      </c>
      <c r="AG79" s="26">
        <v>3.1722549388343912</v>
      </c>
      <c r="AH79" s="26">
        <v>2.6970658370497422</v>
      </c>
      <c r="AI79" s="26">
        <v>2.2502977711245564</v>
      </c>
      <c r="AJ79" s="26">
        <v>2.4398698459801262</v>
      </c>
      <c r="AK79" s="26">
        <v>2.7344843756694717</v>
      </c>
      <c r="AL79" s="26">
        <v>1.820988496284776</v>
      </c>
      <c r="AM79" s="26">
        <v>2.9384485743208608</v>
      </c>
      <c r="AN79" s="26">
        <v>2.3594905931142409</v>
      </c>
      <c r="AO79" s="26">
        <v>2.6930561113290827</v>
      </c>
      <c r="AP79" s="26">
        <v>2.575953474631751</v>
      </c>
      <c r="AQ79" s="30">
        <v>2.1483180402384501</v>
      </c>
      <c r="AR79" s="29">
        <v>2.7355600999772784</v>
      </c>
      <c r="AS79" s="30">
        <v>1.4106822488945041</v>
      </c>
      <c r="AT79" s="29">
        <v>3.1312764643759476</v>
      </c>
      <c r="AU79" s="26">
        <v>3.088799097512438</v>
      </c>
      <c r="AV79" s="26">
        <v>2.5675468766519822</v>
      </c>
      <c r="AW79" s="26">
        <v>2.526299954554974</v>
      </c>
      <c r="AX79" s="26">
        <v>1.4663263664596271</v>
      </c>
      <c r="AY79" s="30">
        <v>1.5111888711307644</v>
      </c>
      <c r="AZ79" s="29">
        <v>2.611813667533696</v>
      </c>
      <c r="BA79" s="30">
        <v>3.4797493364789149</v>
      </c>
      <c r="BB79" s="31">
        <v>1976</v>
      </c>
      <c r="BC79" s="21"/>
    </row>
    <row r="80" spans="1:55" s="80" customFormat="1" x14ac:dyDescent="0.2">
      <c r="A80" s="21"/>
      <c r="B80" s="64">
        <v>1977</v>
      </c>
      <c r="C80" s="22">
        <v>3.8232206270627063</v>
      </c>
      <c r="D80" s="23">
        <f t="shared" si="5"/>
        <v>1.282431995017234</v>
      </c>
      <c r="E80" s="77">
        <f t="shared" si="6"/>
        <v>2.6658363314874225</v>
      </c>
      <c r="F80" s="75">
        <f t="shared" si="7"/>
        <v>3.3863549408993889</v>
      </c>
      <c r="G80" s="23">
        <v>2.3427078299579729</v>
      </c>
      <c r="H80" s="24">
        <v>2.5361331170856465</v>
      </c>
      <c r="I80" s="25"/>
      <c r="J80" s="26"/>
      <c r="K80" s="26"/>
      <c r="L80" s="26"/>
      <c r="M80" s="26">
        <v>1.6859426354566178</v>
      </c>
      <c r="N80" s="26">
        <v>1.9876488574187317</v>
      </c>
      <c r="O80" s="26"/>
      <c r="P80" s="26"/>
      <c r="Q80" s="26">
        <v>2.2976024982772567</v>
      </c>
      <c r="R80" s="26"/>
      <c r="S80" s="26">
        <v>2.5739837398373986</v>
      </c>
      <c r="T80" s="26">
        <v>1.9672632795664087</v>
      </c>
      <c r="U80" s="26"/>
      <c r="V80" s="27"/>
      <c r="W80" s="28">
        <v>2.7535410225921524</v>
      </c>
      <c r="X80" s="29">
        <v>2.9714188104151664</v>
      </c>
      <c r="Y80" s="26">
        <v>2.9660745570469795</v>
      </c>
      <c r="Z80" s="30">
        <v>2.3285197779956426</v>
      </c>
      <c r="AA80" s="29">
        <v>1.2122927307248235</v>
      </c>
      <c r="AB80" s="26">
        <v>2.1639243715319663</v>
      </c>
      <c r="AC80" s="26">
        <v>1.2680395075830524</v>
      </c>
      <c r="AD80" s="26">
        <v>2.5400581794453512</v>
      </c>
      <c r="AE80" s="26">
        <v>2.2429212170131518</v>
      </c>
      <c r="AF80" s="26">
        <v>2.725607003015833</v>
      </c>
      <c r="AG80" s="26">
        <v>2.8797893184913566</v>
      </c>
      <c r="AH80" s="26">
        <v>2.4756468018443543</v>
      </c>
      <c r="AI80" s="26">
        <v>2.1000150344626167</v>
      </c>
      <c r="AJ80" s="26">
        <v>2.2639865209555743</v>
      </c>
      <c r="AK80" s="26">
        <v>2.4819243604166661</v>
      </c>
      <c r="AL80" s="26">
        <v>1.7409648815463403</v>
      </c>
      <c r="AM80" s="26">
        <v>2.7364740661097855</v>
      </c>
      <c r="AN80" s="26">
        <v>2.1386021120567373</v>
      </c>
      <c r="AO80" s="26">
        <v>2.4954062308566236</v>
      </c>
      <c r="AP80" s="26">
        <v>2.3734065081861266</v>
      </c>
      <c r="AQ80" s="30">
        <v>2.0381033801252273</v>
      </c>
      <c r="AR80" s="29">
        <v>2.6424934152765585</v>
      </c>
      <c r="AS80" s="30">
        <v>1.3379928100659075</v>
      </c>
      <c r="AT80" s="29">
        <v>2.9424483015194682</v>
      </c>
      <c r="AU80" s="26">
        <v>2.9113651516998829</v>
      </c>
      <c r="AV80" s="26">
        <v>2.5997230163551404</v>
      </c>
      <c r="AW80" s="26">
        <v>2.4658794527800492</v>
      </c>
      <c r="AX80" s="26">
        <v>1.3773161397416309</v>
      </c>
      <c r="AY80" s="30">
        <v>1.4333205410425403</v>
      </c>
      <c r="AZ80" s="29">
        <v>2.4534340293203019</v>
      </c>
      <c r="BA80" s="30">
        <v>3.251537613667677</v>
      </c>
      <c r="BB80" s="31">
        <v>1977</v>
      </c>
      <c r="BC80" s="21"/>
    </row>
    <row r="81" spans="1:55" s="80" customFormat="1" x14ac:dyDescent="0.2">
      <c r="A81" s="21"/>
      <c r="B81" s="64">
        <v>1978</v>
      </c>
      <c r="C81" s="22">
        <v>3.5534842024539879</v>
      </c>
      <c r="D81" s="23">
        <f t="shared" si="5"/>
        <v>1.269734648531915</v>
      </c>
      <c r="E81" s="77">
        <f t="shared" si="6"/>
        <v>2.5633041648917523</v>
      </c>
      <c r="F81" s="75">
        <f t="shared" si="7"/>
        <v>3.2250999437137038</v>
      </c>
      <c r="G81" s="23">
        <v>2.1883214010187833</v>
      </c>
      <c r="H81" s="24">
        <v>2.353414592799937</v>
      </c>
      <c r="I81" s="25"/>
      <c r="J81" s="26"/>
      <c r="K81" s="26"/>
      <c r="L81" s="26"/>
      <c r="M81" s="26">
        <v>1.5761699577180417</v>
      </c>
      <c r="N81" s="26">
        <v>1.8876082526744777</v>
      </c>
      <c r="O81" s="26"/>
      <c r="P81" s="26"/>
      <c r="Q81" s="26">
        <v>2.1091660343897694</v>
      </c>
      <c r="R81" s="26"/>
      <c r="S81" s="26">
        <v>2.3075801749271139</v>
      </c>
      <c r="T81" s="26">
        <v>1.840430118881057</v>
      </c>
      <c r="U81" s="26"/>
      <c r="V81" s="27"/>
      <c r="W81" s="28">
        <v>2.582788311398617</v>
      </c>
      <c r="X81" s="29">
        <v>2.7135441996493532</v>
      </c>
      <c r="Y81" s="26">
        <v>2.7089455017513133</v>
      </c>
      <c r="Z81" s="30">
        <v>2.2576902790452045</v>
      </c>
      <c r="AA81" s="29">
        <v>1.1616253025199754</v>
      </c>
      <c r="AB81" s="26">
        <v>2.0454883740022805</v>
      </c>
      <c r="AC81" s="26">
        <v>1.2839576147471052</v>
      </c>
      <c r="AD81" s="26">
        <v>2.3354166805228198</v>
      </c>
      <c r="AE81" s="26">
        <v>2.0116306348934545</v>
      </c>
      <c r="AF81" s="26">
        <v>2.4868585794542537</v>
      </c>
      <c r="AG81" s="26">
        <v>2.6285048094668895</v>
      </c>
      <c r="AH81" s="26">
        <v>2.3016992222919277</v>
      </c>
      <c r="AI81" s="26">
        <v>1.9907119263565891</v>
      </c>
      <c r="AJ81" s="26">
        <v>2.0764450659235054</v>
      </c>
      <c r="AK81" s="26">
        <v>2.2778655697896744</v>
      </c>
      <c r="AL81" s="26">
        <v>1.5830044206098843</v>
      </c>
      <c r="AM81" s="26">
        <v>2.5288545074988971</v>
      </c>
      <c r="AN81" s="26">
        <v>1.9890692467018469</v>
      </c>
      <c r="AO81" s="26">
        <v>2.3042976966009237</v>
      </c>
      <c r="AP81" s="26">
        <v>2.1662117599292174</v>
      </c>
      <c r="AQ81" s="30">
        <v>1.86484010996119</v>
      </c>
      <c r="AR81" s="29">
        <v>2.5066000416406413</v>
      </c>
      <c r="AS81" s="30">
        <v>1.2533239792338993</v>
      </c>
      <c r="AT81" s="29">
        <v>2.6948450197869103</v>
      </c>
      <c r="AU81" s="26">
        <v>2.6847507831351352</v>
      </c>
      <c r="AV81" s="26">
        <v>2.5794512035827184</v>
      </c>
      <c r="AW81" s="26">
        <v>2.4193907507019654</v>
      </c>
      <c r="AX81" s="26">
        <v>1.292063967943706</v>
      </c>
      <c r="AY81" s="30">
        <v>1.3426193253823488</v>
      </c>
      <c r="AZ81" s="29">
        <v>2.2906180008295314</v>
      </c>
      <c r="BA81" s="30">
        <v>3.0427617328519854</v>
      </c>
      <c r="BB81" s="31">
        <v>1978</v>
      </c>
      <c r="BC81" s="21"/>
    </row>
    <row r="82" spans="1:55" s="80" customFormat="1" x14ac:dyDescent="0.2">
      <c r="A82" s="21"/>
      <c r="B82" s="65">
        <v>1979</v>
      </c>
      <c r="C82" s="14">
        <v>3.1912833333333337</v>
      </c>
      <c r="D82" s="15">
        <f t="shared" si="5"/>
        <v>1.2571630183484306</v>
      </c>
      <c r="E82" s="16">
        <f t="shared" si="6"/>
        <v>2.4647155431651462</v>
      </c>
      <c r="F82" s="74">
        <f t="shared" si="7"/>
        <v>3.0715237559178128</v>
      </c>
      <c r="G82" s="15">
        <v>1.8861300663288525</v>
      </c>
      <c r="H82" s="17">
        <v>2.1755174524184566</v>
      </c>
      <c r="I82" s="15"/>
      <c r="J82" s="16"/>
      <c r="K82" s="16"/>
      <c r="L82" s="16"/>
      <c r="M82" s="16">
        <v>1.4918631925377746</v>
      </c>
      <c r="N82" s="16">
        <v>1.7769878189142527</v>
      </c>
      <c r="O82" s="16"/>
      <c r="P82" s="16"/>
      <c r="Q82" s="16">
        <v>1.9467070304128682</v>
      </c>
      <c r="R82" s="16"/>
      <c r="S82" s="16">
        <v>2.1078561917443412</v>
      </c>
      <c r="T82" s="16">
        <v>1.7047948623434444</v>
      </c>
      <c r="U82" s="16"/>
      <c r="V82" s="17"/>
      <c r="W82" s="14">
        <v>2.3707289107289107</v>
      </c>
      <c r="X82" s="18">
        <v>2.4446006284304049</v>
      </c>
      <c r="Y82" s="16">
        <v>2.4407224954635103</v>
      </c>
      <c r="Z82" s="19">
        <v>2.0494546080536913</v>
      </c>
      <c r="AA82" s="18">
        <v>1.1411450109890109</v>
      </c>
      <c r="AB82" s="16">
        <v>1.9351599827400217</v>
      </c>
      <c r="AC82" s="16">
        <v>1.3157077843137255</v>
      </c>
      <c r="AD82" s="16">
        <v>2.1262952883339836</v>
      </c>
      <c r="AE82" s="16">
        <v>1.8030577450545699</v>
      </c>
      <c r="AF82" s="16">
        <v>2.2269384527720737</v>
      </c>
      <c r="AG82" s="16">
        <v>2.3778191215397921</v>
      </c>
      <c r="AH82" s="16">
        <v>2.1041341389791626</v>
      </c>
      <c r="AI82" s="16">
        <v>1.8728385513109913</v>
      </c>
      <c r="AJ82" s="16">
        <v>1.9128441356232295</v>
      </c>
      <c r="AK82" s="16">
        <v>2.1006883301332286</v>
      </c>
      <c r="AL82" s="16">
        <v>1.4720017359966473</v>
      </c>
      <c r="AM82" s="16">
        <v>2.311658535685484</v>
      </c>
      <c r="AN82" s="16">
        <v>1.8256359493167271</v>
      </c>
      <c r="AO82" s="16">
        <v>2.1034826320628235</v>
      </c>
      <c r="AP82" s="16">
        <v>2.0049777999999998</v>
      </c>
      <c r="AQ82" s="19">
        <v>1.6566491274010835</v>
      </c>
      <c r="AR82" s="18">
        <v>2.2849117479597649</v>
      </c>
      <c r="AS82" s="19">
        <v>1.1680972930561004</v>
      </c>
      <c r="AT82" s="18">
        <v>2.429639726720251</v>
      </c>
      <c r="AU82" s="16">
        <v>2.4190478028443407</v>
      </c>
      <c r="AV82" s="16">
        <v>2.3858666590643276</v>
      </c>
      <c r="AW82" s="16">
        <v>2.2049135958691282</v>
      </c>
      <c r="AX82" s="16">
        <v>1.2367841948359735</v>
      </c>
      <c r="AY82" s="19">
        <v>1.2513205089577613</v>
      </c>
      <c r="AZ82" s="18">
        <v>2.1143491577335372</v>
      </c>
      <c r="BA82" s="19">
        <v>2.817533428844317</v>
      </c>
      <c r="BB82" s="20">
        <v>1979</v>
      </c>
      <c r="BC82" s="21"/>
    </row>
    <row r="83" spans="1:55" s="80" customFormat="1" x14ac:dyDescent="0.2">
      <c r="A83" s="21"/>
      <c r="B83" s="64">
        <v>1980</v>
      </c>
      <c r="C83" s="22">
        <v>2.8117375</v>
      </c>
      <c r="D83" s="23">
        <f t="shared" si="5"/>
        <v>1.2447158597509214</v>
      </c>
      <c r="E83" s="77">
        <f t="shared" si="6"/>
        <v>2.369918791504948</v>
      </c>
      <c r="F83" s="75">
        <f t="shared" si="7"/>
        <v>2.9252607199217264</v>
      </c>
      <c r="G83" s="23">
        <v>1.8647519821149241</v>
      </c>
      <c r="H83" s="24">
        <v>2.0182511305568815</v>
      </c>
      <c r="I83" s="25"/>
      <c r="J83" s="26"/>
      <c r="K83" s="26"/>
      <c r="L83" s="26"/>
      <c r="M83" s="26">
        <v>1.3462773825629444</v>
      </c>
      <c r="N83" s="26">
        <v>1.6158097854526423</v>
      </c>
      <c r="O83" s="26"/>
      <c r="P83" s="26"/>
      <c r="Q83" s="26">
        <v>1.7854694200985259</v>
      </c>
      <c r="R83" s="26"/>
      <c r="S83" s="26">
        <v>1.8471411901983665</v>
      </c>
      <c r="T83" s="26">
        <v>1.5600855310049893</v>
      </c>
      <c r="U83" s="26"/>
      <c r="V83" s="27"/>
      <c r="W83" s="28">
        <v>2.1315611192930781</v>
      </c>
      <c r="X83" s="29">
        <v>2.1957620469941479</v>
      </c>
      <c r="Y83" s="26">
        <v>2.1928873032075136</v>
      </c>
      <c r="Z83" s="30">
        <v>1.8594129751217814</v>
      </c>
      <c r="AA83" s="29">
        <v>1.0680178386075949</v>
      </c>
      <c r="AB83" s="26">
        <v>1.7891223111702128</v>
      </c>
      <c r="AC83" s="26">
        <v>1.2945284134922583</v>
      </c>
      <c r="AD83" s="26">
        <v>1.8814758584498534</v>
      </c>
      <c r="AE83" s="26">
        <v>1.5887499048835461</v>
      </c>
      <c r="AF83" s="26">
        <v>1.9540883360360359</v>
      </c>
      <c r="AG83" s="26">
        <v>2.1176879079352848</v>
      </c>
      <c r="AH83" s="26">
        <v>1.8718921226190475</v>
      </c>
      <c r="AI83" s="26">
        <v>1.6889566578452866</v>
      </c>
      <c r="AJ83" s="26">
        <v>1.7319242831035586</v>
      </c>
      <c r="AK83" s="26">
        <v>1.9091725849358971</v>
      </c>
      <c r="AL83" s="26">
        <v>1.3376568200050771</v>
      </c>
      <c r="AM83" s="26">
        <v>2.1104042586048224</v>
      </c>
      <c r="AN83" s="26">
        <v>1.6385656610774726</v>
      </c>
      <c r="AO83" s="26">
        <v>1.8769924494958128</v>
      </c>
      <c r="AP83" s="26">
        <v>1.8778512035111641</v>
      </c>
      <c r="AQ83" s="30">
        <v>1.5002452921498659</v>
      </c>
      <c r="AR83" s="29">
        <v>2.0257782264849404</v>
      </c>
      <c r="AS83" s="30">
        <v>1.0903857421875001</v>
      </c>
      <c r="AT83" s="29">
        <v>2.1850479982369535</v>
      </c>
      <c r="AU83" s="26">
        <v>2.1749820234717112</v>
      </c>
      <c r="AV83" s="26">
        <v>2.0553309758186398</v>
      </c>
      <c r="AW83" s="26">
        <v>1.9759348538902539</v>
      </c>
      <c r="AX83" s="26">
        <v>1.1659570660865475</v>
      </c>
      <c r="AY83" s="30">
        <v>1.1680722573242188</v>
      </c>
      <c r="AZ83" s="29">
        <v>1.9360841367221735</v>
      </c>
      <c r="BA83" s="30">
        <v>2.5668544703067218</v>
      </c>
      <c r="BB83" s="31">
        <v>1980</v>
      </c>
      <c r="BC83" s="21"/>
    </row>
    <row r="84" spans="1:55" s="80" customFormat="1" x14ac:dyDescent="0.2">
      <c r="A84" s="21"/>
      <c r="B84" s="64">
        <v>1981</v>
      </c>
      <c r="C84" s="22">
        <v>2.5488137513751377</v>
      </c>
      <c r="D84" s="23">
        <f t="shared" si="5"/>
        <v>1.2323919403474468</v>
      </c>
      <c r="E84" s="77">
        <f t="shared" si="6"/>
        <v>2.2787680687547578</v>
      </c>
      <c r="F84" s="75">
        <f t="shared" si="7"/>
        <v>2.7859625904016441</v>
      </c>
      <c r="G84" s="23">
        <v>1.7260293740033705</v>
      </c>
      <c r="H84" s="24">
        <v>1.8481128457178573</v>
      </c>
      <c r="I84" s="25"/>
      <c r="J84" s="26"/>
      <c r="K84" s="26"/>
      <c r="L84" s="26"/>
      <c r="M84" s="26">
        <v>1.267788879034077</v>
      </c>
      <c r="N84" s="26">
        <v>1.4222996315062182</v>
      </c>
      <c r="O84" s="26"/>
      <c r="P84" s="26"/>
      <c r="Q84" s="26">
        <v>1.5661008481847112</v>
      </c>
      <c r="R84" s="26"/>
      <c r="S84" s="26">
        <v>1.6489583333333335</v>
      </c>
      <c r="T84" s="26">
        <v>1.4197603774225298</v>
      </c>
      <c r="U84" s="26"/>
      <c r="V84" s="27"/>
      <c r="W84" s="28">
        <v>1.9391458717132808</v>
      </c>
      <c r="X84" s="29">
        <v>2.0129901126646073</v>
      </c>
      <c r="Y84" s="26">
        <v>2.0111267758816833</v>
      </c>
      <c r="Z84" s="30">
        <v>1.7062429407726691</v>
      </c>
      <c r="AA84" s="29">
        <v>0.98868192467043314</v>
      </c>
      <c r="AB84" s="26">
        <v>1.6531039508524037</v>
      </c>
      <c r="AC84" s="26">
        <v>1.2697206495118716</v>
      </c>
      <c r="AD84" s="26">
        <v>1.716980095778198</v>
      </c>
      <c r="AE84" s="26">
        <v>1.4658437012338832</v>
      </c>
      <c r="AF84" s="26">
        <v>1.785216504526749</v>
      </c>
      <c r="AG84" s="26">
        <v>1.9091918072582041</v>
      </c>
      <c r="AH84" s="26">
        <v>1.7062045699891486</v>
      </c>
      <c r="AI84" s="26">
        <v>1.5463336511827956</v>
      </c>
      <c r="AJ84" s="26">
        <v>1.6108161142090354</v>
      </c>
      <c r="AK84" s="26">
        <v>1.6821326069971756</v>
      </c>
      <c r="AL84" s="26">
        <v>1.3518999907633096</v>
      </c>
      <c r="AM84" s="26">
        <v>1.9257350246892846</v>
      </c>
      <c r="AN84" s="26">
        <v>1.4951128237710722</v>
      </c>
      <c r="AO84" s="26">
        <v>1.6906223556034485</v>
      </c>
      <c r="AP84" s="26">
        <v>1.7521235704516538</v>
      </c>
      <c r="AQ84" s="30">
        <v>1.3522714868667915</v>
      </c>
      <c r="AR84" s="29">
        <v>1.8153196622436674</v>
      </c>
      <c r="AS84" s="30">
        <v>1.0124039442366541</v>
      </c>
      <c r="AT84" s="29">
        <v>1.9970338778601353</v>
      </c>
      <c r="AU84" s="26">
        <v>1.9769101053972298</v>
      </c>
      <c r="AV84" s="26">
        <v>1.7537607051153459</v>
      </c>
      <c r="AW84" s="26">
        <v>1.7789532934670402</v>
      </c>
      <c r="AX84" s="26">
        <v>1.0803332850294181</v>
      </c>
      <c r="AY84" s="30">
        <v>1.084534504363595</v>
      </c>
      <c r="AZ84" s="29">
        <v>1.7709411576078242</v>
      </c>
      <c r="BA84" s="30">
        <v>2.3435610724925522</v>
      </c>
      <c r="BB84" s="31">
        <v>1981</v>
      </c>
      <c r="BC84" s="21"/>
    </row>
    <row r="85" spans="1:55" s="80" customFormat="1" x14ac:dyDescent="0.2">
      <c r="A85" s="21"/>
      <c r="B85" s="64">
        <v>1982</v>
      </c>
      <c r="C85" s="22">
        <v>2.4009033160621764</v>
      </c>
      <c r="D85" s="23">
        <f t="shared" si="5"/>
        <v>1.220190039947967</v>
      </c>
      <c r="E85" s="77">
        <f t="shared" si="6"/>
        <v>2.1911231430334208</v>
      </c>
      <c r="F85" s="75">
        <f t="shared" si="7"/>
        <v>2.6532977051444226</v>
      </c>
      <c r="G85" s="23">
        <v>1.6201806612735308</v>
      </c>
      <c r="H85" s="24">
        <v>1.7079944861732355</v>
      </c>
      <c r="I85" s="25"/>
      <c r="J85" s="26"/>
      <c r="K85" s="26"/>
      <c r="L85" s="26"/>
      <c r="M85" s="26">
        <v>1.1814017915124182</v>
      </c>
      <c r="N85" s="26">
        <v>1.3356553240573859</v>
      </c>
      <c r="O85" s="26"/>
      <c r="P85" s="26"/>
      <c r="Q85" s="26">
        <v>1.486683969473519</v>
      </c>
      <c r="R85" s="26"/>
      <c r="S85" s="26">
        <v>1.5798403193612776</v>
      </c>
      <c r="T85" s="26">
        <v>1.3470618038798101</v>
      </c>
      <c r="U85" s="26"/>
      <c r="V85" s="27"/>
      <c r="W85" s="28">
        <v>1.8214000314613812</v>
      </c>
      <c r="X85" s="29">
        <v>1.893836369379015</v>
      </c>
      <c r="Y85" s="26">
        <v>1.8924090919100778</v>
      </c>
      <c r="Z85" s="30">
        <v>1.6007047747491387</v>
      </c>
      <c r="AA85" s="29">
        <v>0.93729635350128948</v>
      </c>
      <c r="AB85" s="26">
        <v>1.5574243704239619</v>
      </c>
      <c r="AC85" s="26">
        <v>1.2420269074510728</v>
      </c>
      <c r="AD85" s="26">
        <v>1.6385131761876128</v>
      </c>
      <c r="AE85" s="26">
        <v>1.3649794238316548</v>
      </c>
      <c r="AF85" s="26">
        <v>1.6869171356354018</v>
      </c>
      <c r="AG85" s="26">
        <v>1.8264178767441857</v>
      </c>
      <c r="AH85" s="26">
        <v>1.661141817235134</v>
      </c>
      <c r="AI85" s="26">
        <v>1.4712422885008867</v>
      </c>
      <c r="AJ85" s="26">
        <v>1.5405309679167261</v>
      </c>
      <c r="AK85" s="26">
        <v>1.5837390305760706</v>
      </c>
      <c r="AL85" s="26">
        <v>1.3692905961538462</v>
      </c>
      <c r="AM85" s="26">
        <v>1.7200459551455147</v>
      </c>
      <c r="AN85" s="26">
        <v>1.4378748532697547</v>
      </c>
      <c r="AO85" s="26">
        <v>1.5836024256669072</v>
      </c>
      <c r="AP85" s="26">
        <v>1.6700550266787935</v>
      </c>
      <c r="AQ85" s="30">
        <v>1.2846148739656269</v>
      </c>
      <c r="AR85" s="29">
        <v>1.6999717593900032</v>
      </c>
      <c r="AS85" s="30">
        <v>0.96744720025993713</v>
      </c>
      <c r="AT85" s="29">
        <v>1.8769638415871572</v>
      </c>
      <c r="AU85" s="26">
        <v>1.8560496819133034</v>
      </c>
      <c r="AV85" s="26">
        <v>1.5978454257180157</v>
      </c>
      <c r="AW85" s="26">
        <v>1.6717131766906874</v>
      </c>
      <c r="AX85" s="26">
        <v>1.0187299794513511</v>
      </c>
      <c r="AY85" s="30">
        <v>1.0363747354056103</v>
      </c>
      <c r="AZ85" s="29">
        <v>1.6669725324479321</v>
      </c>
      <c r="BA85" s="30">
        <v>2.1762873478421247</v>
      </c>
      <c r="BB85" s="31">
        <v>1982</v>
      </c>
      <c r="BC85" s="21"/>
    </row>
    <row r="86" spans="1:55" s="80" customFormat="1" x14ac:dyDescent="0.2">
      <c r="A86" s="21"/>
      <c r="B86" s="64">
        <v>1983</v>
      </c>
      <c r="C86" s="22">
        <v>2.3261764056224901</v>
      </c>
      <c r="D86" s="23">
        <f t="shared" si="5"/>
        <v>1.2081089504435316</v>
      </c>
      <c r="E86" s="77">
        <f t="shared" si="6"/>
        <v>2.1068491759936738</v>
      </c>
      <c r="F86" s="75">
        <f t="shared" si="7"/>
        <v>2.5269501953756404</v>
      </c>
      <c r="G86" s="23">
        <v>1.5182397639618572</v>
      </c>
      <c r="H86" s="24">
        <v>1.606758216825535</v>
      </c>
      <c r="I86" s="25"/>
      <c r="J86" s="26"/>
      <c r="K86" s="26"/>
      <c r="L86" s="26"/>
      <c r="M86" s="26">
        <v>1.2115225170750576</v>
      </c>
      <c r="N86" s="26">
        <v>1.3110802490977282</v>
      </c>
      <c r="O86" s="26"/>
      <c r="P86" s="26"/>
      <c r="Q86" s="26">
        <v>1.4499212600404447</v>
      </c>
      <c r="R86" s="26"/>
      <c r="S86" s="26">
        <v>1.5611439842209074</v>
      </c>
      <c r="T86" s="26">
        <v>1.3140779203372095</v>
      </c>
      <c r="U86" s="26">
        <v>1.6201198988926748</v>
      </c>
      <c r="V86" s="27">
        <v>1.5996208443149769</v>
      </c>
      <c r="W86" s="28">
        <v>1.7440337400210875</v>
      </c>
      <c r="X86" s="29">
        <v>1.8368049522326064</v>
      </c>
      <c r="Y86" s="26">
        <v>1.8359737465875368</v>
      </c>
      <c r="Z86" s="30">
        <v>1.4770461278330569</v>
      </c>
      <c r="AA86" s="29">
        <v>0.91585790230664843</v>
      </c>
      <c r="AB86" s="26">
        <v>1.4926306786853418</v>
      </c>
      <c r="AC86" s="26">
        <v>1.2312847392473116</v>
      </c>
      <c r="AD86" s="26">
        <v>1.605448467815584</v>
      </c>
      <c r="AE86" s="26">
        <v>1.3370170228882143</v>
      </c>
      <c r="AF86" s="26">
        <v>1.6654161954852578</v>
      </c>
      <c r="AG86" s="26">
        <v>1.7651365577139186</v>
      </c>
      <c r="AH86" s="26">
        <v>1.6430401076280041</v>
      </c>
      <c r="AI86" s="26">
        <v>1.4359841854613233</v>
      </c>
      <c r="AJ86" s="26">
        <v>1.5163149021754385</v>
      </c>
      <c r="AK86" s="26">
        <v>1.5378533042168672</v>
      </c>
      <c r="AL86" s="26">
        <v>1.3782448898770598</v>
      </c>
      <c r="AM86" s="26">
        <v>1.6684846241268918</v>
      </c>
      <c r="AN86" s="26">
        <v>1.405888027574264</v>
      </c>
      <c r="AO86" s="26">
        <v>1.5468003974647888</v>
      </c>
      <c r="AP86" s="26">
        <v>1.6218685427646105</v>
      </c>
      <c r="AQ86" s="30">
        <v>1.2511655096094232</v>
      </c>
      <c r="AR86" s="29">
        <v>1.6795758928571429</v>
      </c>
      <c r="AS86" s="30">
        <v>0.95309859154929577</v>
      </c>
      <c r="AT86" s="29">
        <v>1.8250025395376235</v>
      </c>
      <c r="AU86" s="26">
        <v>1.8108461968791019</v>
      </c>
      <c r="AV86" s="26">
        <v>1.6269435013957196</v>
      </c>
      <c r="AW86" s="26">
        <v>1.6472869429195685</v>
      </c>
      <c r="AX86" s="26">
        <v>0.99631218750000006</v>
      </c>
      <c r="AY86" s="30">
        <v>1.0210038339735381</v>
      </c>
      <c r="AZ86" s="29">
        <v>1.6037984608683025</v>
      </c>
      <c r="BA86" s="30">
        <v>2.0369117900914899</v>
      </c>
      <c r="BB86" s="31">
        <v>1983</v>
      </c>
      <c r="BC86" s="21"/>
    </row>
    <row r="87" spans="1:55" s="80" customFormat="1" x14ac:dyDescent="0.2">
      <c r="A87" s="21"/>
      <c r="B87" s="65">
        <v>1984</v>
      </c>
      <c r="C87" s="14">
        <v>2.2299053897978824</v>
      </c>
      <c r="D87" s="15">
        <f t="shared" si="5"/>
        <v>1.196147475686665</v>
      </c>
      <c r="E87" s="16">
        <f t="shared" si="6"/>
        <v>2.0258165153785326</v>
      </c>
      <c r="F87" s="74">
        <f t="shared" si="7"/>
        <v>2.4066192336910861</v>
      </c>
      <c r="G87" s="15">
        <v>1.497510797387285</v>
      </c>
      <c r="H87" s="17">
        <v>1.5757546815274059</v>
      </c>
      <c r="I87" s="15"/>
      <c r="J87" s="16"/>
      <c r="K87" s="16"/>
      <c r="L87" s="16"/>
      <c r="M87" s="16">
        <v>1.2081001370833202</v>
      </c>
      <c r="N87" s="16">
        <v>1.3015015806111696</v>
      </c>
      <c r="O87" s="16"/>
      <c r="P87" s="16"/>
      <c r="Q87" s="16">
        <v>1.3947387192206373</v>
      </c>
      <c r="R87" s="16"/>
      <c r="S87" s="16">
        <v>1.5206532180595582</v>
      </c>
      <c r="T87" s="16">
        <v>1.2826707042679644</v>
      </c>
      <c r="U87" s="16">
        <v>1.5619852849569602</v>
      </c>
      <c r="V87" s="17">
        <v>1.5410431795935833</v>
      </c>
      <c r="W87" s="14">
        <v>1.6693540945790082</v>
      </c>
      <c r="X87" s="18">
        <v>1.7683379295915453</v>
      </c>
      <c r="Y87" s="16">
        <v>1.768033012144592</v>
      </c>
      <c r="Z87" s="19">
        <v>1.4254342199253132</v>
      </c>
      <c r="AA87" s="18">
        <v>0.88357380420757359</v>
      </c>
      <c r="AB87" s="16">
        <v>1.4675974671393508</v>
      </c>
      <c r="AC87" s="16">
        <v>1.2282700511833973</v>
      </c>
      <c r="AD87" s="16">
        <v>1.5876751126001456</v>
      </c>
      <c r="AE87" s="16">
        <v>1.3414273809946713</v>
      </c>
      <c r="AF87" s="16">
        <v>1.6459539027166488</v>
      </c>
      <c r="AG87" s="16">
        <v>1.7198554071640855</v>
      </c>
      <c r="AH87" s="16">
        <v>1.6311093184647301</v>
      </c>
      <c r="AI87" s="16">
        <v>1.4227248670360111</v>
      </c>
      <c r="AJ87" s="16">
        <v>1.4986466469690662</v>
      </c>
      <c r="AK87" s="16">
        <v>1.4809272426795577</v>
      </c>
      <c r="AL87" s="16">
        <v>1.4056369785247431</v>
      </c>
      <c r="AM87" s="16">
        <v>1.6013723934357542</v>
      </c>
      <c r="AN87" s="16">
        <v>1.3965861351065239</v>
      </c>
      <c r="AO87" s="16">
        <v>1.5187778760890611</v>
      </c>
      <c r="AP87" s="16">
        <v>1.5770616963927857</v>
      </c>
      <c r="AQ87" s="19">
        <v>1.2242962672894928</v>
      </c>
      <c r="AR87" s="18">
        <v>1.6704870265020122</v>
      </c>
      <c r="AS87" s="19">
        <v>0.94783955857385405</v>
      </c>
      <c r="AT87" s="18">
        <v>1.7637102954319057</v>
      </c>
      <c r="AU87" s="16">
        <v>1.7595256301544568</v>
      </c>
      <c r="AV87" s="16">
        <v>1.6896046329376035</v>
      </c>
      <c r="AW87" s="16">
        <v>1.644591994955692</v>
      </c>
      <c r="AX87" s="16">
        <v>0.98375819922611363</v>
      </c>
      <c r="AY87" s="19">
        <v>1.0153701116298812</v>
      </c>
      <c r="AZ87" s="18">
        <v>1.5461030235162374</v>
      </c>
      <c r="BA87" s="19">
        <v>1.9158678356876115</v>
      </c>
      <c r="BB87" s="20">
        <v>1984</v>
      </c>
      <c r="BC87" s="21"/>
    </row>
    <row r="88" spans="1:55" s="80" customFormat="1" x14ac:dyDescent="0.2">
      <c r="A88" s="21"/>
      <c r="B88" s="64">
        <v>1985</v>
      </c>
      <c r="C88" s="22">
        <v>2.153226486988848</v>
      </c>
      <c r="D88" s="23">
        <f t="shared" si="5"/>
        <v>1.1843044313729356</v>
      </c>
      <c r="E88" s="77">
        <f t="shared" si="6"/>
        <v>1.9479004955562813</v>
      </c>
      <c r="F88" s="75">
        <f t="shared" si="7"/>
        <v>2.2920183178010345</v>
      </c>
      <c r="G88" s="23">
        <v>1.4907263580251515</v>
      </c>
      <c r="H88" s="24">
        <v>1.5573489653426997</v>
      </c>
      <c r="I88" s="25"/>
      <c r="J88" s="26"/>
      <c r="K88" s="26"/>
      <c r="L88" s="26">
        <v>1.3508743861894559</v>
      </c>
      <c r="M88" s="26">
        <v>1.200189284922812</v>
      </c>
      <c r="N88" s="26">
        <v>1.2781562607795791</v>
      </c>
      <c r="O88" s="26"/>
      <c r="P88" s="26">
        <v>1.2436698434392122</v>
      </c>
      <c r="Q88" s="26">
        <v>1.3265795419917552</v>
      </c>
      <c r="R88" s="26">
        <v>1.3146068252018905</v>
      </c>
      <c r="S88" s="26">
        <v>1.4891815616180621</v>
      </c>
      <c r="T88" s="26">
        <v>1.2515611536047488</v>
      </c>
      <c r="U88" s="26">
        <v>1.5231513966569254</v>
      </c>
      <c r="V88" s="27">
        <v>1.5015654037211035</v>
      </c>
      <c r="W88" s="28">
        <v>1.6065824892465661</v>
      </c>
      <c r="X88" s="29">
        <v>1.7132838221945483</v>
      </c>
      <c r="Y88" s="26">
        <v>1.7132026930638236</v>
      </c>
      <c r="Z88" s="30">
        <v>1.4079707259913055</v>
      </c>
      <c r="AA88" s="29">
        <v>0.86679708640616404</v>
      </c>
      <c r="AB88" s="26">
        <v>1.4447462851006712</v>
      </c>
      <c r="AC88" s="26">
        <v>1.2426129074074073</v>
      </c>
      <c r="AD88" s="26">
        <v>1.5615171415472779</v>
      </c>
      <c r="AE88" s="26">
        <v>1.3294518567836033</v>
      </c>
      <c r="AF88" s="26">
        <v>1.6097952003859282</v>
      </c>
      <c r="AG88" s="26">
        <v>1.6832571368646663</v>
      </c>
      <c r="AH88" s="26">
        <v>1.6103475758595465</v>
      </c>
      <c r="AI88" s="26">
        <v>1.3987391021916742</v>
      </c>
      <c r="AJ88" s="26">
        <v>1.4554416917688264</v>
      </c>
      <c r="AK88" s="26">
        <v>1.4565837844042926</v>
      </c>
      <c r="AL88" s="26">
        <v>1.3420861472236372</v>
      </c>
      <c r="AM88" s="26">
        <v>1.5548991506644969</v>
      </c>
      <c r="AN88" s="26">
        <v>1.3776271273985119</v>
      </c>
      <c r="AO88" s="26">
        <v>1.4905378422909881</v>
      </c>
      <c r="AP88" s="26">
        <v>1.5221543259187622</v>
      </c>
      <c r="AQ88" s="30">
        <v>1.2057175092603656</v>
      </c>
      <c r="AR88" s="29">
        <v>1.6408886465857981</v>
      </c>
      <c r="AS88" s="30">
        <v>0.94124762908324544</v>
      </c>
      <c r="AT88" s="29">
        <v>1.7137157419800886</v>
      </c>
      <c r="AU88" s="26">
        <v>1.7141044135836556</v>
      </c>
      <c r="AV88" s="26">
        <v>1.6773325970946964</v>
      </c>
      <c r="AW88" s="26">
        <v>1.630366574266793</v>
      </c>
      <c r="AX88" s="26">
        <v>0.99701346304675709</v>
      </c>
      <c r="AY88" s="30">
        <v>1.0083085281348787</v>
      </c>
      <c r="AZ88" s="29">
        <v>1.498895372506446</v>
      </c>
      <c r="BA88" s="30">
        <v>1.8145209903121635</v>
      </c>
      <c r="BB88" s="31">
        <v>1985</v>
      </c>
      <c r="BC88" s="21"/>
    </row>
    <row r="89" spans="1:55" s="80" customFormat="1" x14ac:dyDescent="0.2">
      <c r="A89" s="21"/>
      <c r="B89" s="64">
        <v>1986</v>
      </c>
      <c r="C89" s="22">
        <v>2.1139340328467155</v>
      </c>
      <c r="D89" s="23">
        <f t="shared" si="5"/>
        <v>1.1725786449236986</v>
      </c>
      <c r="E89" s="77">
        <f t="shared" si="6"/>
        <v>1.8729812457271935</v>
      </c>
      <c r="F89" s="75">
        <f t="shared" si="7"/>
        <v>2.1828745883819374</v>
      </c>
      <c r="G89" s="23">
        <v>1.4577058386166202</v>
      </c>
      <c r="H89" s="24">
        <v>1.5210893852415892</v>
      </c>
      <c r="I89" s="25"/>
      <c r="J89" s="26"/>
      <c r="K89" s="26"/>
      <c r="L89" s="26">
        <v>1.3137413461899352</v>
      </c>
      <c r="M89" s="26">
        <v>1.1814017915124182</v>
      </c>
      <c r="N89" s="26">
        <v>1.2758677088354795</v>
      </c>
      <c r="O89" s="26">
        <v>1.0731280142453374</v>
      </c>
      <c r="P89" s="26">
        <v>1.2400155735760217</v>
      </c>
      <c r="Q89" s="26">
        <v>1.263681374052491</v>
      </c>
      <c r="R89" s="26">
        <v>1.2954434604030292</v>
      </c>
      <c r="S89" s="26">
        <v>1.4616805170821792</v>
      </c>
      <c r="T89" s="26">
        <v>1.2087149159137753</v>
      </c>
      <c r="U89" s="26">
        <v>1.4942569257176339</v>
      </c>
      <c r="V89" s="27">
        <v>1.4719381042754853</v>
      </c>
      <c r="W89" s="28">
        <v>1.562569500674764</v>
      </c>
      <c r="X89" s="29">
        <v>1.6553345164438502</v>
      </c>
      <c r="Y89" s="26">
        <v>1.6556680561948085</v>
      </c>
      <c r="Z89" s="30">
        <v>1.4351961569759635</v>
      </c>
      <c r="AA89" s="29">
        <v>0.86032609577567365</v>
      </c>
      <c r="AB89" s="26">
        <v>1.3893584386214017</v>
      </c>
      <c r="AC89" s="26">
        <v>1.1765548614027248</v>
      </c>
      <c r="AD89" s="26">
        <v>1.4930670750684931</v>
      </c>
      <c r="AE89" s="26">
        <v>1.3415975912955207</v>
      </c>
      <c r="AF89" s="26">
        <v>1.5087910774902615</v>
      </c>
      <c r="AG89" s="26">
        <v>1.5781592676905409</v>
      </c>
      <c r="AH89" s="26">
        <v>1.529561656614786</v>
      </c>
      <c r="AI89" s="26">
        <v>1.3675259562571318</v>
      </c>
      <c r="AJ89" s="26">
        <v>1.3738229498982706</v>
      </c>
      <c r="AK89" s="26">
        <v>1.4033917849476436</v>
      </c>
      <c r="AL89" s="26">
        <v>1.2206718901888103</v>
      </c>
      <c r="AM89" s="26">
        <v>1.5007626095549738</v>
      </c>
      <c r="AN89" s="26">
        <v>1.3843128833945435</v>
      </c>
      <c r="AO89" s="26">
        <v>1.4450372134210527</v>
      </c>
      <c r="AP89" s="26">
        <v>1.4707452958216527</v>
      </c>
      <c r="AQ89" s="30">
        <v>1.1627851849504494</v>
      </c>
      <c r="AR89" s="29">
        <v>1.5859834013963907</v>
      </c>
      <c r="AS89" s="30">
        <v>0.93211311697798183</v>
      </c>
      <c r="AT89" s="29">
        <v>1.6573404982615672</v>
      </c>
      <c r="AU89" s="26">
        <v>1.6615779970560685</v>
      </c>
      <c r="AV89" s="26">
        <v>1.6013994453748526</v>
      </c>
      <c r="AW89" s="26">
        <v>1.5992419836934906</v>
      </c>
      <c r="AX89" s="26">
        <v>1.0295191454677604</v>
      </c>
      <c r="AY89" s="30">
        <v>0.99852321110299491</v>
      </c>
      <c r="AZ89" s="29">
        <v>1.4664577801380776</v>
      </c>
      <c r="BA89" s="30">
        <v>1.7301803519061583</v>
      </c>
      <c r="BB89" s="31">
        <v>1986</v>
      </c>
      <c r="BC89" s="21"/>
    </row>
    <row r="90" spans="1:55" s="80" customFormat="1" x14ac:dyDescent="0.2">
      <c r="A90" s="21"/>
      <c r="B90" s="64">
        <v>1987</v>
      </c>
      <c r="C90" s="22">
        <v>2.0394997359154932</v>
      </c>
      <c r="D90" s="23">
        <f t="shared" si="5"/>
        <v>1.1609689553699987</v>
      </c>
      <c r="E90" s="77">
        <f t="shared" si="6"/>
        <v>1.8009435055069167</v>
      </c>
      <c r="F90" s="75">
        <f t="shared" si="7"/>
        <v>2.0789281794113688</v>
      </c>
      <c r="G90" s="23">
        <v>1.4244327419461109</v>
      </c>
      <c r="H90" s="24">
        <v>1.4827687039520256</v>
      </c>
      <c r="I90" s="25">
        <v>1.3098117815098949</v>
      </c>
      <c r="J90" s="26">
        <v>1.3347454748080543</v>
      </c>
      <c r="K90" s="26">
        <v>1.3343093596860447</v>
      </c>
      <c r="L90" s="26">
        <v>1.2809585214698536</v>
      </c>
      <c r="M90" s="26">
        <v>1.1674270660441182</v>
      </c>
      <c r="N90" s="26">
        <v>1.2567409442409441</v>
      </c>
      <c r="O90" s="26">
        <v>1.0595176101622257</v>
      </c>
      <c r="P90" s="26">
        <v>1.2424493627292619</v>
      </c>
      <c r="Q90" s="26">
        <v>1.2287262312664624</v>
      </c>
      <c r="R90" s="26">
        <v>1.2891792270355098</v>
      </c>
      <c r="S90" s="26">
        <v>1.4351767905711696</v>
      </c>
      <c r="T90" s="26">
        <v>1.1873217315613191</v>
      </c>
      <c r="U90" s="26">
        <v>1.4664383127388483</v>
      </c>
      <c r="V90" s="27">
        <v>1.4371374660833329</v>
      </c>
      <c r="W90" s="28">
        <v>1.498659073259125</v>
      </c>
      <c r="X90" s="29">
        <v>1.596634710896196</v>
      </c>
      <c r="Y90" s="26">
        <v>1.5973232286046211</v>
      </c>
      <c r="Z90" s="30">
        <v>1.423725293859065</v>
      </c>
      <c r="AA90" s="29">
        <v>0.85751559310344816</v>
      </c>
      <c r="AB90" s="26">
        <v>1.3368972579803751</v>
      </c>
      <c r="AC90" s="26">
        <v>1.1213275390101116</v>
      </c>
      <c r="AD90" s="26">
        <v>1.4311173382352942</v>
      </c>
      <c r="AE90" s="26">
        <v>1.3482696527671509</v>
      </c>
      <c r="AF90" s="26">
        <v>1.4362588087670505</v>
      </c>
      <c r="AG90" s="26">
        <v>1.4892368438304211</v>
      </c>
      <c r="AH90" s="26">
        <v>1.4534168336194373</v>
      </c>
      <c r="AI90" s="26">
        <v>1.3277948069678689</v>
      </c>
      <c r="AJ90" s="26">
        <v>1.3499617241034612</v>
      </c>
      <c r="AK90" s="26">
        <v>1.400824828455709</v>
      </c>
      <c r="AL90" s="26">
        <v>1.1779633834115806</v>
      </c>
      <c r="AM90" s="26">
        <v>1.4711093580959713</v>
      </c>
      <c r="AN90" s="26">
        <v>1.3916141116824894</v>
      </c>
      <c r="AO90" s="26">
        <v>1.4013376064820722</v>
      </c>
      <c r="AP90" s="26">
        <v>1.4263792090885552</v>
      </c>
      <c r="AQ90" s="30">
        <v>1.1223056206206206</v>
      </c>
      <c r="AR90" s="29">
        <v>1.5256874920795844</v>
      </c>
      <c r="AS90" s="30">
        <v>0.92210591514400742</v>
      </c>
      <c r="AT90" s="29">
        <v>1.5995859894166236</v>
      </c>
      <c r="AU90" s="26">
        <v>1.6042599963824289</v>
      </c>
      <c r="AV90" s="26">
        <v>1.5091856918618991</v>
      </c>
      <c r="AW90" s="26">
        <v>1.5587391501485981</v>
      </c>
      <c r="AX90" s="26">
        <v>1.0583091994876721</v>
      </c>
      <c r="AY90" s="30">
        <v>0.98780302797563735</v>
      </c>
      <c r="AZ90" s="29">
        <v>1.4237380768239236</v>
      </c>
      <c r="BA90" s="30">
        <v>1.6468709002093509</v>
      </c>
      <c r="BB90" s="31">
        <v>1987</v>
      </c>
      <c r="BC90" s="21"/>
    </row>
    <row r="91" spans="1:55" s="80" customFormat="1" x14ac:dyDescent="0.2">
      <c r="A91" s="21"/>
      <c r="B91" s="64">
        <v>1988</v>
      </c>
      <c r="C91" s="22">
        <v>1.9584714285714286</v>
      </c>
      <c r="D91" s="23">
        <f t="shared" si="5"/>
        <v>1.1494742132376223</v>
      </c>
      <c r="E91" s="77">
        <f t="shared" si="6"/>
        <v>1.7316764476028046</v>
      </c>
      <c r="F91" s="75">
        <f t="shared" si="7"/>
        <v>1.9799315994393987</v>
      </c>
      <c r="G91" s="23">
        <v>1.3931807533814733</v>
      </c>
      <c r="H91" s="24">
        <v>1.4456912833840729</v>
      </c>
      <c r="I91" s="25">
        <v>1.2768764755918509</v>
      </c>
      <c r="J91" s="26">
        <v>1.2523992991062685</v>
      </c>
      <c r="K91" s="26">
        <v>1.274001592016619</v>
      </c>
      <c r="L91" s="26">
        <v>1.2386033246026644</v>
      </c>
      <c r="M91" s="26">
        <v>1.1294034732240195</v>
      </c>
      <c r="N91" s="26">
        <v>1.2296326408707769</v>
      </c>
      <c r="O91" s="26">
        <v>1.0513122462887525</v>
      </c>
      <c r="P91" s="26">
        <v>1.2208832214282719</v>
      </c>
      <c r="Q91" s="26">
        <v>1.1907964207155888</v>
      </c>
      <c r="R91" s="26">
        <v>1.2805103945770577</v>
      </c>
      <c r="S91" s="26">
        <v>1.4083629893238434</v>
      </c>
      <c r="T91" s="26">
        <v>1.1758751592149788</v>
      </c>
      <c r="U91" s="26">
        <v>1.4150063445418484</v>
      </c>
      <c r="V91" s="27">
        <v>1.380328836221334</v>
      </c>
      <c r="W91" s="28">
        <v>1.454603015075377</v>
      </c>
      <c r="X91" s="29">
        <v>1.5396545862969411</v>
      </c>
      <c r="Y91" s="26">
        <v>1.540261768981827</v>
      </c>
      <c r="Z91" s="30">
        <v>1.355129425763915</v>
      </c>
      <c r="AA91" s="29">
        <v>0.85666048735382094</v>
      </c>
      <c r="AB91" s="26">
        <v>1.299608768896402</v>
      </c>
      <c r="AC91" s="26">
        <v>1.0963546913310436</v>
      </c>
      <c r="AD91" s="26">
        <v>1.3694420967458223</v>
      </c>
      <c r="AE91" s="26">
        <v>1.2633684570438521</v>
      </c>
      <c r="AF91" s="26">
        <v>1.3769921616302689</v>
      </c>
      <c r="AG91" s="26">
        <v>1.4157913492145247</v>
      </c>
      <c r="AH91" s="26">
        <v>1.3798076571392754</v>
      </c>
      <c r="AI91" s="26">
        <v>1.3056139955211234</v>
      </c>
      <c r="AJ91" s="26">
        <v>1.3292007477854331</v>
      </c>
      <c r="AK91" s="26">
        <v>1.3707380768345689</v>
      </c>
      <c r="AL91" s="26">
        <v>1.1721980453837595</v>
      </c>
      <c r="AM91" s="26">
        <v>1.4362803879493924</v>
      </c>
      <c r="AN91" s="26">
        <v>1.3437740543672012</v>
      </c>
      <c r="AO91" s="26">
        <v>1.3443852150814055</v>
      </c>
      <c r="AP91" s="26">
        <v>1.3513250350791119</v>
      </c>
      <c r="AQ91" s="30">
        <v>1.0949055810546875</v>
      </c>
      <c r="AR91" s="29">
        <v>1.4815653458035933</v>
      </c>
      <c r="AS91" s="30">
        <v>0.91063716994596788</v>
      </c>
      <c r="AT91" s="29">
        <v>1.5418751239114208</v>
      </c>
      <c r="AU91" s="26">
        <v>1.5455529464774709</v>
      </c>
      <c r="AV91" s="26">
        <v>1.4841149461622409</v>
      </c>
      <c r="AW91" s="26">
        <v>1.4922170068035625</v>
      </c>
      <c r="AX91" s="26">
        <v>1.0585351649407493</v>
      </c>
      <c r="AY91" s="30">
        <v>0.97551717116933423</v>
      </c>
      <c r="AZ91" s="29">
        <v>1.3768835701819995</v>
      </c>
      <c r="BA91" s="30">
        <v>1.5849335124244459</v>
      </c>
      <c r="BB91" s="31">
        <v>1988</v>
      </c>
      <c r="BC91" s="21"/>
    </row>
    <row r="92" spans="1:55" s="80" customFormat="1" x14ac:dyDescent="0.2">
      <c r="A92" s="21"/>
      <c r="B92" s="65">
        <v>1989</v>
      </c>
      <c r="C92" s="14">
        <v>1.8684449193548387</v>
      </c>
      <c r="D92" s="15">
        <f t="shared" si="5"/>
        <v>1.1380932804332895</v>
      </c>
      <c r="E92" s="16">
        <f t="shared" si="6"/>
        <v>1.6650735073103891</v>
      </c>
      <c r="F92" s="74">
        <f t="shared" si="7"/>
        <v>1.8856491423232367</v>
      </c>
      <c r="G92" s="15">
        <v>1.3741395585744374</v>
      </c>
      <c r="H92" s="17">
        <v>1.4156183986159536</v>
      </c>
      <c r="I92" s="15">
        <v>1.2339161455719383</v>
      </c>
      <c r="J92" s="16">
        <v>1.1786010735090184</v>
      </c>
      <c r="K92" s="16">
        <v>1.2211098291711637</v>
      </c>
      <c r="L92" s="16">
        <v>1.1958560140037804</v>
      </c>
      <c r="M92" s="16">
        <v>1.0975212537061472</v>
      </c>
      <c r="N92" s="16">
        <v>1.1401153846153844</v>
      </c>
      <c r="O92" s="16">
        <v>1.0342910003964585</v>
      </c>
      <c r="P92" s="16">
        <v>1.1509599096555618</v>
      </c>
      <c r="Q92" s="16">
        <v>1.1488012491386284</v>
      </c>
      <c r="R92" s="16">
        <v>1.2400105309346205</v>
      </c>
      <c r="S92" s="16">
        <v>1.3553082191780823</v>
      </c>
      <c r="T92" s="16">
        <v>1.1428224503102986</v>
      </c>
      <c r="U92" s="16">
        <v>1.3470215120272158</v>
      </c>
      <c r="V92" s="17">
        <v>1.3108713947820816</v>
      </c>
      <c r="W92" s="14">
        <v>1.405004247057396</v>
      </c>
      <c r="X92" s="18">
        <v>1.4869583503062327</v>
      </c>
      <c r="Y92" s="16">
        <v>1.4873152706730768</v>
      </c>
      <c r="Z92" s="19">
        <v>1.325220803595784</v>
      </c>
      <c r="AA92" s="18">
        <v>0.85534230955829105</v>
      </c>
      <c r="AB92" s="16">
        <v>1.2599039943813648</v>
      </c>
      <c r="AC92" s="16">
        <v>1.0850625428983416</v>
      </c>
      <c r="AD92" s="16">
        <v>1.3211381391515151</v>
      </c>
      <c r="AE92" s="16">
        <v>1.2024486087797108</v>
      </c>
      <c r="AF92" s="16">
        <v>1.3389123783950616</v>
      </c>
      <c r="AG92" s="16">
        <v>1.3735210016239849</v>
      </c>
      <c r="AH92" s="16">
        <v>1.3372282445632364</v>
      </c>
      <c r="AI92" s="16">
        <v>1.2483422704861111</v>
      </c>
      <c r="AJ92" s="16">
        <v>1.2849362128924833</v>
      </c>
      <c r="AK92" s="16">
        <v>1.3168648043478259</v>
      </c>
      <c r="AL92" s="16">
        <v>1.1491887053435113</v>
      </c>
      <c r="AM92" s="16">
        <v>1.3774418953628065</v>
      </c>
      <c r="AN92" s="16">
        <v>1.2591268698401337</v>
      </c>
      <c r="AO92" s="16">
        <v>1.2963034492445704</v>
      </c>
      <c r="AP92" s="16">
        <v>1.3015183710572946</v>
      </c>
      <c r="AQ92" s="19">
        <v>1.080022459060259</v>
      </c>
      <c r="AR92" s="18">
        <v>1.4454556369312042</v>
      </c>
      <c r="AS92" s="19">
        <v>0.89449629481273785</v>
      </c>
      <c r="AT92" s="18">
        <v>1.4885409855873168</v>
      </c>
      <c r="AU92" s="16">
        <v>1.4915282128528529</v>
      </c>
      <c r="AV92" s="16">
        <v>1.4741052584607972</v>
      </c>
      <c r="AW92" s="16">
        <v>1.4474540776337892</v>
      </c>
      <c r="AX92" s="16">
        <v>1.0434959892654179</v>
      </c>
      <c r="AY92" s="19">
        <v>0.95822631003404768</v>
      </c>
      <c r="AZ92" s="18">
        <v>1.3264513029902727</v>
      </c>
      <c r="BA92" s="19">
        <v>1.5190306385169927</v>
      </c>
      <c r="BB92" s="20">
        <v>1989</v>
      </c>
      <c r="BC92" s="21"/>
    </row>
    <row r="93" spans="1:55" s="80" customFormat="1" x14ac:dyDescent="0.2">
      <c r="A93" s="21"/>
      <c r="B93" s="64">
        <v>1990</v>
      </c>
      <c r="C93" s="22">
        <v>1.7726638867635809</v>
      </c>
      <c r="D93" s="23">
        <f t="shared" si="5"/>
        <v>1.1268250301319698</v>
      </c>
      <c r="E93" s="77">
        <f t="shared" si="6"/>
        <v>1.6010322185676817</v>
      </c>
      <c r="F93" s="75">
        <f t="shared" si="7"/>
        <v>1.7958563260221301</v>
      </c>
      <c r="G93" s="23">
        <v>1.3395572158716018</v>
      </c>
      <c r="H93" s="24">
        <v>1.3806168448040206</v>
      </c>
      <c r="I93" s="25">
        <v>1.1926741425130749</v>
      </c>
      <c r="J93" s="26">
        <v>1.1536095325100995</v>
      </c>
      <c r="K93" s="26">
        <v>1.1962773569599023</v>
      </c>
      <c r="L93" s="26">
        <v>1.1706056758702548</v>
      </c>
      <c r="M93" s="26">
        <v>1.0736421301945489</v>
      </c>
      <c r="N93" s="26">
        <v>1.0821140704398107</v>
      </c>
      <c r="O93" s="26">
        <v>1.0422318142190801</v>
      </c>
      <c r="P93" s="26">
        <v>1.1086303858328528</v>
      </c>
      <c r="Q93" s="26">
        <v>1.14521124523507</v>
      </c>
      <c r="R93" s="26">
        <v>1.1859531323440544</v>
      </c>
      <c r="S93" s="26">
        <v>1.2880390561432058</v>
      </c>
      <c r="T93" s="26">
        <v>1.1189937920469479</v>
      </c>
      <c r="U93" s="26">
        <v>1.3190928363392509</v>
      </c>
      <c r="V93" s="27">
        <v>1.2892466506419216</v>
      </c>
      <c r="W93" s="28">
        <v>1.3438532961931291</v>
      </c>
      <c r="X93" s="29">
        <v>1.4415999747351262</v>
      </c>
      <c r="Y93" s="26">
        <v>1.4419090016313214</v>
      </c>
      <c r="Z93" s="30">
        <v>1.2981787660634032</v>
      </c>
      <c r="AA93" s="29">
        <v>0.8551101109401863</v>
      </c>
      <c r="AB93" s="26">
        <v>1.2135933954222573</v>
      </c>
      <c r="AC93" s="26">
        <v>1.0922625431829962</v>
      </c>
      <c r="AD93" s="26">
        <v>1.2603364532839962</v>
      </c>
      <c r="AE93" s="26">
        <v>1.1710190073097793</v>
      </c>
      <c r="AF93" s="26">
        <v>1.2837583173532197</v>
      </c>
      <c r="AG93" s="26">
        <v>1.3061339531955332</v>
      </c>
      <c r="AH93" s="26">
        <v>1.2730425261392551</v>
      </c>
      <c r="AI93" s="26">
        <v>1.1915242175209899</v>
      </c>
      <c r="AJ93" s="26">
        <v>1.2461065372549018</v>
      </c>
      <c r="AK93" s="26">
        <v>1.3013609949022937</v>
      </c>
      <c r="AL93" s="26">
        <v>1.1034618249214658</v>
      </c>
      <c r="AM93" s="26">
        <v>1.3262957012145749</v>
      </c>
      <c r="AN93" s="26">
        <v>1.2208214485829958</v>
      </c>
      <c r="AO93" s="26">
        <v>1.2504022340885803</v>
      </c>
      <c r="AP93" s="26">
        <v>1.2545380335914371</v>
      </c>
      <c r="AQ93" s="30">
        <v>1.0622854863669859</v>
      </c>
      <c r="AR93" s="29">
        <v>1.3992561599256159</v>
      </c>
      <c r="AS93" s="30">
        <v>0.88404988123515427</v>
      </c>
      <c r="AT93" s="29">
        <v>1.4402780065078444</v>
      </c>
      <c r="AU93" s="26">
        <v>1.4393152164135854</v>
      </c>
      <c r="AV93" s="26">
        <v>1.421874530785316</v>
      </c>
      <c r="AW93" s="26">
        <v>1.3860832222222221</v>
      </c>
      <c r="AX93" s="26">
        <v>1.0280247682737169</v>
      </c>
      <c r="AY93" s="30">
        <v>0.9470356227236737</v>
      </c>
      <c r="AZ93" s="29">
        <v>1.2764775222466196</v>
      </c>
      <c r="BA93" s="30">
        <v>1.4374259958582043</v>
      </c>
      <c r="BB93" s="31">
        <v>1990</v>
      </c>
      <c r="BC93" s="21"/>
    </row>
    <row r="94" spans="1:55" s="80" customFormat="1" x14ac:dyDescent="0.2">
      <c r="A94" s="21"/>
      <c r="B94" s="64">
        <v>1991</v>
      </c>
      <c r="C94" s="22">
        <v>1.7010805433186493</v>
      </c>
      <c r="D94" s="23">
        <f t="shared" si="5"/>
        <v>1.1156683466653166</v>
      </c>
      <c r="E94" s="77">
        <f t="shared" si="6"/>
        <v>1.5394540563150785</v>
      </c>
      <c r="F94" s="75">
        <f t="shared" si="7"/>
        <v>1.7103393581163142</v>
      </c>
      <c r="G94" s="23">
        <v>1.3156974181334307</v>
      </c>
      <c r="H94" s="24">
        <v>1.3512055655868926</v>
      </c>
      <c r="I94" s="25">
        <v>1.193752509730537</v>
      </c>
      <c r="J94" s="26">
        <v>1.1516559177217676</v>
      </c>
      <c r="K94" s="26">
        <v>1.1847545452904109</v>
      </c>
      <c r="L94" s="26">
        <v>1.1608016082331505</v>
      </c>
      <c r="M94" s="26">
        <v>1.0909883891007535</v>
      </c>
      <c r="N94" s="26">
        <v>1.0509913206262764</v>
      </c>
      <c r="O94" s="26">
        <v>1.0274413911223097</v>
      </c>
      <c r="P94" s="26">
        <v>1.0793315435815158</v>
      </c>
      <c r="Q94" s="26">
        <v>1.0988533687412965</v>
      </c>
      <c r="R94" s="26">
        <v>1.1551224616592002</v>
      </c>
      <c r="S94" s="26">
        <v>1.2523734177215191</v>
      </c>
      <c r="T94" s="26">
        <v>1.0707689997320757</v>
      </c>
      <c r="U94" s="26">
        <v>1.2912899428332716</v>
      </c>
      <c r="V94" s="27">
        <v>1.2605307114187145</v>
      </c>
      <c r="W94" s="28">
        <v>1.3062545126353791</v>
      </c>
      <c r="X94" s="29">
        <v>1.4212468070477502</v>
      </c>
      <c r="Y94" s="26">
        <v>1.4213718185159658</v>
      </c>
      <c r="Z94" s="30">
        <v>1.275863170705503</v>
      </c>
      <c r="AA94" s="29">
        <v>0.8519493180670753</v>
      </c>
      <c r="AB94" s="26">
        <v>1.1826568315569717</v>
      </c>
      <c r="AC94" s="26">
        <v>1.0912442748083693</v>
      </c>
      <c r="AD94" s="26">
        <v>1.2167213270819379</v>
      </c>
      <c r="AE94" s="26">
        <v>1.1492533279347825</v>
      </c>
      <c r="AF94" s="26">
        <v>1.2331086145537236</v>
      </c>
      <c r="AG94" s="26">
        <v>1.2509996152008189</v>
      </c>
      <c r="AH94" s="26">
        <v>1.2307643610645196</v>
      </c>
      <c r="AI94" s="26">
        <v>1.1585045345864662</v>
      </c>
      <c r="AJ94" s="26">
        <v>1.1920714639744014</v>
      </c>
      <c r="AK94" s="26">
        <v>1.2587359987086166</v>
      </c>
      <c r="AL94" s="26">
        <v>1.0462728780778394</v>
      </c>
      <c r="AM94" s="26">
        <v>1.2919240943098591</v>
      </c>
      <c r="AN94" s="26">
        <v>1.1955144339601269</v>
      </c>
      <c r="AO94" s="26">
        <v>1.2167386241967648</v>
      </c>
      <c r="AP94" s="26">
        <v>1.2293408849587146</v>
      </c>
      <c r="AQ94" s="30">
        <v>1.0429612232558139</v>
      </c>
      <c r="AR94" s="29">
        <v>1.3800091701054564</v>
      </c>
      <c r="AS94" s="30">
        <v>0.86925262748151022</v>
      </c>
      <c r="AT94" s="29">
        <v>1.4180311494279176</v>
      </c>
      <c r="AU94" s="26">
        <v>1.4134288414342631</v>
      </c>
      <c r="AV94" s="26">
        <v>1.3970432554502912</v>
      </c>
      <c r="AW94" s="26">
        <v>1.3561643938167509</v>
      </c>
      <c r="AX94" s="26">
        <v>1.0086774048830112</v>
      </c>
      <c r="AY94" s="30">
        <v>0.93118411171662119</v>
      </c>
      <c r="AZ94" s="29">
        <v>1.2319161275931296</v>
      </c>
      <c r="BA94" s="30">
        <v>1.3743105054740274</v>
      </c>
      <c r="BB94" s="31">
        <v>1991</v>
      </c>
      <c r="BC94" s="21"/>
    </row>
    <row r="95" spans="1:55" s="80" customFormat="1" x14ac:dyDescent="0.2">
      <c r="A95" s="21"/>
      <c r="B95" s="64">
        <v>1992</v>
      </c>
      <c r="C95" s="22">
        <v>1.6513697077690661</v>
      </c>
      <c r="D95" s="23">
        <f t="shared" si="5"/>
        <v>1.1046221254112045</v>
      </c>
      <c r="E95" s="77">
        <f t="shared" si="6"/>
        <v>1.4802442849183446</v>
      </c>
      <c r="F95" s="75">
        <f t="shared" si="7"/>
        <v>1.628894626777442</v>
      </c>
      <c r="G95" s="23">
        <v>1.2771642897971305</v>
      </c>
      <c r="H95" s="24">
        <v>1.3105474241951105</v>
      </c>
      <c r="I95" s="25">
        <v>1.20026388705634</v>
      </c>
      <c r="J95" s="26">
        <v>1.1477684715859979</v>
      </c>
      <c r="K95" s="26">
        <v>1.1765127745405646</v>
      </c>
      <c r="L95" s="26">
        <v>1.1463996031682231</v>
      </c>
      <c r="M95" s="26">
        <v>1.0854503769733383</v>
      </c>
      <c r="N95" s="26">
        <v>1.0564449449734845</v>
      </c>
      <c r="O95" s="26">
        <v>0.99542213603692165</v>
      </c>
      <c r="P95" s="26">
        <v>1.0666014327052384</v>
      </c>
      <c r="Q95" s="26">
        <v>1.0455566290305918</v>
      </c>
      <c r="R95" s="26">
        <v>1.123008694822845</v>
      </c>
      <c r="S95" s="26">
        <v>1.2214506172839508</v>
      </c>
      <c r="T95" s="26">
        <v>1.0392513994301245</v>
      </c>
      <c r="U95" s="26">
        <v>1.2617409738897185</v>
      </c>
      <c r="V95" s="27">
        <v>1.2312160437113024</v>
      </c>
      <c r="W95" s="28">
        <v>1.2825254762959681</v>
      </c>
      <c r="X95" s="29">
        <v>1.4128140327476038</v>
      </c>
      <c r="Y95" s="26">
        <v>1.412771212695513</v>
      </c>
      <c r="Z95" s="30">
        <v>1.2643920242517448</v>
      </c>
      <c r="AA95" s="29">
        <v>0.85790484212437579</v>
      </c>
      <c r="AB95" s="26">
        <v>1.1499316051282051</v>
      </c>
      <c r="AC95" s="26">
        <v>1.0843924064848172</v>
      </c>
      <c r="AD95" s="26">
        <v>1.1898896995633188</v>
      </c>
      <c r="AE95" s="26">
        <v>1.1340910240266007</v>
      </c>
      <c r="AF95" s="26">
        <v>1.2036837142064374</v>
      </c>
      <c r="AG95" s="26">
        <v>1.2134461558326894</v>
      </c>
      <c r="AH95" s="26">
        <v>1.2000355081770606</v>
      </c>
      <c r="AI95" s="26">
        <v>1.1465586496226214</v>
      </c>
      <c r="AJ95" s="26">
        <v>1.1583299751259784</v>
      </c>
      <c r="AK95" s="26">
        <v>1.2051155712037764</v>
      </c>
      <c r="AL95" s="26">
        <v>1.0348679591475989</v>
      </c>
      <c r="AM95" s="26">
        <v>1.2665222950403181</v>
      </c>
      <c r="AN95" s="26">
        <v>1.1928120957278481</v>
      </c>
      <c r="AO95" s="26">
        <v>1.192689272589053</v>
      </c>
      <c r="AP95" s="26">
        <v>1.2168492391208305</v>
      </c>
      <c r="AQ95" s="30">
        <v>1.0230811958836055</v>
      </c>
      <c r="AR95" s="29">
        <v>1.3715197083618138</v>
      </c>
      <c r="AS95" s="30">
        <v>0.87358826405867973</v>
      </c>
      <c r="AT95" s="29">
        <v>1.410125411992263</v>
      </c>
      <c r="AU95" s="26">
        <v>1.4070223650991502</v>
      </c>
      <c r="AV95" s="26">
        <v>1.3962464021218344</v>
      </c>
      <c r="AW95" s="26">
        <v>1.34632614765625</v>
      </c>
      <c r="AX95" s="26">
        <v>1.0099102556528823</v>
      </c>
      <c r="AY95" s="30">
        <v>0.93582864860635695</v>
      </c>
      <c r="AZ95" s="29">
        <v>1.2025432770821993</v>
      </c>
      <c r="BA95" s="30">
        <v>1.3288096846846846</v>
      </c>
      <c r="BB95" s="31">
        <v>1992</v>
      </c>
      <c r="BC95" s="21"/>
    </row>
    <row r="96" spans="1:55" s="80" customFormat="1" x14ac:dyDescent="0.2">
      <c r="A96" s="21"/>
      <c r="B96" s="64">
        <v>1993</v>
      </c>
      <c r="C96" s="22">
        <v>1.6033714186851211</v>
      </c>
      <c r="D96" s="23">
        <f t="shared" si="5"/>
        <v>1.0936852726843609</v>
      </c>
      <c r="E96" s="77">
        <f t="shared" si="6"/>
        <v>1.4233118124214852</v>
      </c>
      <c r="F96" s="75">
        <f t="shared" si="7"/>
        <v>1.5513282159785162</v>
      </c>
      <c r="G96" s="23">
        <v>1.208105339547753</v>
      </c>
      <c r="H96" s="24">
        <v>1.2539498866818859</v>
      </c>
      <c r="I96" s="25">
        <v>1.1819966658567358</v>
      </c>
      <c r="J96" s="26">
        <v>1.1277824534240526</v>
      </c>
      <c r="K96" s="26">
        <v>1.148548124551485</v>
      </c>
      <c r="L96" s="26">
        <v>1.1222648746804709</v>
      </c>
      <c r="M96" s="26">
        <v>1.0673896385877588</v>
      </c>
      <c r="N96" s="26">
        <v>1.0715370156159629</v>
      </c>
      <c r="O96" s="26">
        <v>0.97838337875340664</v>
      </c>
      <c r="P96" s="26">
        <v>1.0568079304016011</v>
      </c>
      <c r="Q96" s="26">
        <v>0.99045296885195244</v>
      </c>
      <c r="R96" s="26">
        <v>1.1071522597630541</v>
      </c>
      <c r="S96" s="26">
        <v>1.1947378063796394</v>
      </c>
      <c r="T96" s="26">
        <v>1.0072624299281463</v>
      </c>
      <c r="U96" s="26">
        <v>1.2455891692540819</v>
      </c>
      <c r="V96" s="27">
        <v>1.2157118416793824</v>
      </c>
      <c r="W96" s="28">
        <v>1.2505281347877739</v>
      </c>
      <c r="X96" s="29">
        <v>1.3666558700883003</v>
      </c>
      <c r="Y96" s="26">
        <v>1.3665889621203753</v>
      </c>
      <c r="Z96" s="30">
        <v>1.1785098446355717</v>
      </c>
      <c r="AA96" s="29">
        <v>0.8678319254293323</v>
      </c>
      <c r="AB96" s="26">
        <v>1.1258744585774059</v>
      </c>
      <c r="AC96" s="26">
        <v>1.0688790816761362</v>
      </c>
      <c r="AD96" s="26">
        <v>1.1736179226876278</v>
      </c>
      <c r="AE96" s="26">
        <v>1.1427940571768265</v>
      </c>
      <c r="AF96" s="26">
        <v>1.1795943294539917</v>
      </c>
      <c r="AG96" s="26">
        <v>1.1922615070483624</v>
      </c>
      <c r="AH96" s="26">
        <v>1.1783241281447381</v>
      </c>
      <c r="AI96" s="26">
        <v>1.1371299121771219</v>
      </c>
      <c r="AJ96" s="26">
        <v>1.1383145799178169</v>
      </c>
      <c r="AK96" s="26">
        <v>1.1514082084407213</v>
      </c>
      <c r="AL96" s="26">
        <v>1.0567649847573204</v>
      </c>
      <c r="AM96" s="26">
        <v>1.2248505861553254</v>
      </c>
      <c r="AN96" s="26">
        <v>1.1847778876290975</v>
      </c>
      <c r="AO96" s="26">
        <v>1.1714435010133335</v>
      </c>
      <c r="AP96" s="26">
        <v>1.1975383707608696</v>
      </c>
      <c r="AQ96" s="30">
        <v>1.0151559190140844</v>
      </c>
      <c r="AR96" s="29">
        <v>1.3375402733029664</v>
      </c>
      <c r="AS96" s="30">
        <v>0.87205310944059344</v>
      </c>
      <c r="AT96" s="29">
        <v>1.3671916432432432</v>
      </c>
      <c r="AU96" s="26">
        <v>1.3678092500550783</v>
      </c>
      <c r="AV96" s="26">
        <v>1.381900864965564</v>
      </c>
      <c r="AW96" s="26">
        <v>1.3285332910792953</v>
      </c>
      <c r="AX96" s="26">
        <v>0.99811746426414327</v>
      </c>
      <c r="AY96" s="30">
        <v>0.93418411910573063</v>
      </c>
      <c r="AZ96" s="29">
        <v>1.1744136097820308</v>
      </c>
      <c r="BA96" s="30">
        <v>1.2820328118209474</v>
      </c>
      <c r="BB96" s="31">
        <v>1993</v>
      </c>
      <c r="BC96" s="21"/>
    </row>
    <row r="97" spans="1:55" s="80" customFormat="1" x14ac:dyDescent="0.2">
      <c r="A97" s="21"/>
      <c r="B97" s="65">
        <v>1994</v>
      </c>
      <c r="C97" s="14">
        <v>1.5633412280701757</v>
      </c>
      <c r="D97" s="15">
        <f t="shared" si="5"/>
        <v>1.08285670562808</v>
      </c>
      <c r="E97" s="16">
        <f t="shared" si="6"/>
        <v>1.3685690504052741</v>
      </c>
      <c r="F97" s="74">
        <f t="shared" si="7"/>
        <v>1.477455443789063</v>
      </c>
      <c r="G97" s="15">
        <v>1.1634469936628311</v>
      </c>
      <c r="H97" s="17">
        <v>1.208039739203518</v>
      </c>
      <c r="I97" s="15">
        <v>1.1551096025914034</v>
      </c>
      <c r="J97" s="16">
        <v>1.0942120988169006</v>
      </c>
      <c r="K97" s="16">
        <v>1.1144890368382614</v>
      </c>
      <c r="L97" s="16">
        <v>1.0794370095252193</v>
      </c>
      <c r="M97" s="16">
        <v>1.055969008709865</v>
      </c>
      <c r="N97" s="16">
        <v>1.0556623931623932</v>
      </c>
      <c r="O97" s="16">
        <v>0.9636251556488743</v>
      </c>
      <c r="P97" s="16">
        <v>1.0326720233451208</v>
      </c>
      <c r="Q97" s="16">
        <v>0.94694469890238342</v>
      </c>
      <c r="R97" s="16">
        <v>1.0554325580005679</v>
      </c>
      <c r="S97" s="16">
        <v>1.1680249954753281</v>
      </c>
      <c r="T97" s="16">
        <v>0.97222721497412368</v>
      </c>
      <c r="U97" s="16">
        <v>1.20916843331098</v>
      </c>
      <c r="V97" s="17">
        <v>1.187562218717197</v>
      </c>
      <c r="W97" s="14">
        <v>1.2182912457912458</v>
      </c>
      <c r="X97" s="18">
        <v>1.31680338009146</v>
      </c>
      <c r="Y97" s="16">
        <v>1.3162922084884585</v>
      </c>
      <c r="Z97" s="19">
        <v>1.143336091249465</v>
      </c>
      <c r="AA97" s="18">
        <v>0.88539509378806325</v>
      </c>
      <c r="AB97" s="16">
        <v>1.1089387826086956</v>
      </c>
      <c r="AC97" s="16">
        <v>1.0529607425287355</v>
      </c>
      <c r="AD97" s="16">
        <v>1.1504527810850751</v>
      </c>
      <c r="AE97" s="16">
        <v>1.139837280832255</v>
      </c>
      <c r="AF97" s="16">
        <v>1.1484899147516678</v>
      </c>
      <c r="AG97" s="16">
        <v>1.1669534725111439</v>
      </c>
      <c r="AH97" s="16">
        <v>1.1525367205235602</v>
      </c>
      <c r="AI97" s="16">
        <v>1.1226894157385241</v>
      </c>
      <c r="AJ97" s="16">
        <v>1.1047902319255547</v>
      </c>
      <c r="AK97" s="16">
        <v>1.1063784167784541</v>
      </c>
      <c r="AL97" s="16">
        <v>1.040590542905105</v>
      </c>
      <c r="AM97" s="16">
        <v>1.1959764615625326</v>
      </c>
      <c r="AN97" s="16">
        <v>1.1465509422053233</v>
      </c>
      <c r="AO97" s="16">
        <v>1.1464957534189373</v>
      </c>
      <c r="AP97" s="16">
        <v>1.1597213695789474</v>
      </c>
      <c r="AQ97" s="19">
        <v>1.0162805755866653</v>
      </c>
      <c r="AR97" s="18">
        <v>1.294816089481609</v>
      </c>
      <c r="AS97" s="19">
        <v>0.87179777474136255</v>
      </c>
      <c r="AT97" s="18">
        <v>1.3202931976137211</v>
      </c>
      <c r="AU97" s="16">
        <v>1.3285868148940725</v>
      </c>
      <c r="AV97" s="16">
        <v>1.3460349676674364</v>
      </c>
      <c r="AW97" s="16">
        <v>1.3049634663565557</v>
      </c>
      <c r="AX97" s="16">
        <v>0.98728456536891362</v>
      </c>
      <c r="AY97" s="19">
        <v>0.93391059262151088</v>
      </c>
      <c r="AZ97" s="18">
        <v>1.1504384959900009</v>
      </c>
      <c r="BA97" s="19">
        <v>1.2403899926416484</v>
      </c>
      <c r="BB97" s="20">
        <v>1994</v>
      </c>
      <c r="BC97" s="21"/>
    </row>
    <row r="98" spans="1:55" s="80" customFormat="1" x14ac:dyDescent="0.2">
      <c r="A98" s="21"/>
      <c r="B98" s="64">
        <v>1995</v>
      </c>
      <c r="C98" s="22">
        <v>1.5202570209973754</v>
      </c>
      <c r="D98" s="23">
        <f t="shared" si="5"/>
        <v>1.0721353521070098</v>
      </c>
      <c r="E98" s="77">
        <f t="shared" si="6"/>
        <v>1.3159317792358405</v>
      </c>
      <c r="F98" s="75">
        <f t="shared" si="7"/>
        <v>1.4071004226562505</v>
      </c>
      <c r="G98" s="23">
        <v>1.1634469936628311</v>
      </c>
      <c r="H98" s="24">
        <v>1.1941288447473268</v>
      </c>
      <c r="I98" s="25">
        <v>1.1151100302043697</v>
      </c>
      <c r="J98" s="26">
        <v>1.0478471793755064</v>
      </c>
      <c r="K98" s="26">
        <v>1.0729497943867163</v>
      </c>
      <c r="L98" s="26">
        <v>1.0661516309464474</v>
      </c>
      <c r="M98" s="26">
        <v>1.0551006131434919</v>
      </c>
      <c r="N98" s="26">
        <v>1.026021764412693</v>
      </c>
      <c r="O98" s="26">
        <v>0.97051434353555077</v>
      </c>
      <c r="P98" s="26">
        <v>0.99220681866858784</v>
      </c>
      <c r="Q98" s="26">
        <v>0.93606027707591932</v>
      </c>
      <c r="R98" s="26">
        <v>1.0183432549692262</v>
      </c>
      <c r="S98" s="26">
        <v>1.1413121845710168</v>
      </c>
      <c r="T98" s="26">
        <v>0.96453886172846215</v>
      </c>
      <c r="U98" s="26">
        <v>1.1368676403913545</v>
      </c>
      <c r="V98" s="27">
        <v>1.1381490889508781</v>
      </c>
      <c r="W98" s="28">
        <v>1.1842732944666055</v>
      </c>
      <c r="X98" s="29">
        <v>1.2660431679959101</v>
      </c>
      <c r="Y98" s="26">
        <v>1.2652825206543967</v>
      </c>
      <c r="Z98" s="30">
        <v>1.1150658091810119</v>
      </c>
      <c r="AA98" s="29">
        <v>0.92157419894675241</v>
      </c>
      <c r="AB98" s="26">
        <v>1.0912866089425124</v>
      </c>
      <c r="AC98" s="26">
        <v>1.0423342464628473</v>
      </c>
      <c r="AD98" s="26">
        <v>1.112409639518269</v>
      </c>
      <c r="AE98" s="26">
        <v>1.0912509667664361</v>
      </c>
      <c r="AF98" s="26">
        <v>1.1080088133428687</v>
      </c>
      <c r="AG98" s="26">
        <v>1.1263097334562588</v>
      </c>
      <c r="AH98" s="26">
        <v>1.1206195969252697</v>
      </c>
      <c r="AI98" s="26">
        <v>1.0892422962027875</v>
      </c>
      <c r="AJ98" s="26">
        <v>1.0980530214452688</v>
      </c>
      <c r="AK98" s="26">
        <v>1.0786633035211266</v>
      </c>
      <c r="AL98" s="26">
        <v>1.0841625954732508</v>
      </c>
      <c r="AM98" s="26">
        <v>1.1759821884102564</v>
      </c>
      <c r="AN98" s="26">
        <v>1.0815742388809182</v>
      </c>
      <c r="AO98" s="26">
        <v>1.1189284586856851</v>
      </c>
      <c r="AP98" s="26">
        <v>1.1270949371867007</v>
      </c>
      <c r="AQ98" s="30">
        <v>1.0052450523012553</v>
      </c>
      <c r="AR98" s="29">
        <v>1.2408987837559267</v>
      </c>
      <c r="AS98" s="30">
        <v>0.87572941176470587</v>
      </c>
      <c r="AT98" s="29">
        <v>1.2693150600163867</v>
      </c>
      <c r="AU98" s="26">
        <v>1.2757600300010274</v>
      </c>
      <c r="AV98" s="26">
        <v>1.2765431749061327</v>
      </c>
      <c r="AW98" s="26">
        <v>1.2495423951729852</v>
      </c>
      <c r="AX98" s="26">
        <v>0.97880541855873637</v>
      </c>
      <c r="AY98" s="30">
        <v>0.93812234627450974</v>
      </c>
      <c r="AZ98" s="29">
        <v>1.1259286442405709</v>
      </c>
      <c r="BA98" s="30">
        <v>1.2085036870135191</v>
      </c>
      <c r="BB98" s="31">
        <v>1995</v>
      </c>
      <c r="BC98" s="21"/>
    </row>
    <row r="99" spans="1:55" s="80" customFormat="1" x14ac:dyDescent="0.2">
      <c r="A99" s="21"/>
      <c r="B99" s="64">
        <v>1996</v>
      </c>
      <c r="C99" s="22">
        <v>1.4766550031867431</v>
      </c>
      <c r="D99" s="23">
        <f t="shared" si="5"/>
        <v>1.0615201506009999</v>
      </c>
      <c r="E99" s="77">
        <f t="shared" si="6"/>
        <v>1.2653190184960004</v>
      </c>
      <c r="F99" s="75">
        <f t="shared" si="7"/>
        <v>1.3400956406250004</v>
      </c>
      <c r="G99" s="23">
        <v>1.1300292217561874</v>
      </c>
      <c r="H99" s="24">
        <v>1.1624695568705739</v>
      </c>
      <c r="I99" s="25">
        <v>1.0813188171678738</v>
      </c>
      <c r="J99" s="26">
        <v>1.0280465901960751</v>
      </c>
      <c r="K99" s="26">
        <v>1.0553741737298359</v>
      </c>
      <c r="L99" s="26">
        <v>1.0366470607557081</v>
      </c>
      <c r="M99" s="26">
        <v>1.0533680998214172</v>
      </c>
      <c r="N99" s="26">
        <v>1.0186877989772913</v>
      </c>
      <c r="O99" s="26">
        <v>0.96448095063612915</v>
      </c>
      <c r="P99" s="26">
        <v>0.97689498504715899</v>
      </c>
      <c r="Q99" s="26">
        <v>0.92835363768264068</v>
      </c>
      <c r="R99" s="26">
        <v>1.0106226844235915</v>
      </c>
      <c r="S99" s="26">
        <v>1.0924775707384404</v>
      </c>
      <c r="T99" s="26">
        <v>0.95560794634208734</v>
      </c>
      <c r="U99" s="26">
        <v>1.1034972760303008</v>
      </c>
      <c r="V99" s="27">
        <v>1.1195163617102089</v>
      </c>
      <c r="W99" s="28">
        <v>1.157864</v>
      </c>
      <c r="X99" s="29">
        <v>1.2381902183</v>
      </c>
      <c r="Y99" s="26">
        <v>1.2374463051999998</v>
      </c>
      <c r="Z99" s="30">
        <v>1.0687905781</v>
      </c>
      <c r="AA99" s="29">
        <v>0.94498218359999997</v>
      </c>
      <c r="AB99" s="26">
        <v>1.0763359824000001</v>
      </c>
      <c r="AC99" s="26">
        <v>1.0534872228999999</v>
      </c>
      <c r="AD99" s="26">
        <v>1.0899389648</v>
      </c>
      <c r="AE99" s="26">
        <v>1.0573130616999997</v>
      </c>
      <c r="AF99" s="26">
        <v>1.0845190265</v>
      </c>
      <c r="AG99" s="26">
        <v>1.0995035617999998</v>
      </c>
      <c r="AH99" s="26">
        <v>1.1006725680999998</v>
      </c>
      <c r="AI99" s="26">
        <v>1.0785677217</v>
      </c>
      <c r="AJ99" s="26">
        <v>1.0803743678</v>
      </c>
      <c r="AK99" s="26">
        <v>1.0721913236999998</v>
      </c>
      <c r="AL99" s="26">
        <v>1.0538060427999998</v>
      </c>
      <c r="AM99" s="26">
        <v>1.1465826337</v>
      </c>
      <c r="AN99" s="26">
        <v>1.0554001422999999</v>
      </c>
      <c r="AO99" s="26">
        <v>1.0982282822</v>
      </c>
      <c r="AP99" s="26">
        <v>1.1017353011</v>
      </c>
      <c r="AQ99" s="30">
        <v>1.0090649834999998</v>
      </c>
      <c r="AR99" s="29">
        <v>1.2039200000000001</v>
      </c>
      <c r="AS99" s="30">
        <v>0.89324399999999993</v>
      </c>
      <c r="AT99" s="29">
        <v>1.2393592246</v>
      </c>
      <c r="AU99" s="26">
        <v>1.2416972372000001</v>
      </c>
      <c r="AV99" s="26">
        <v>1.2239495961</v>
      </c>
      <c r="AW99" s="26">
        <v>1.2063082283</v>
      </c>
      <c r="AX99" s="26">
        <v>0.99152988899999994</v>
      </c>
      <c r="AY99" s="30">
        <v>0.95688479319999997</v>
      </c>
      <c r="AZ99" s="29">
        <v>1.104536</v>
      </c>
      <c r="BA99" s="30">
        <v>1.179983</v>
      </c>
      <c r="BB99" s="31">
        <v>1996</v>
      </c>
      <c r="BC99" s="21"/>
    </row>
    <row r="100" spans="1:55" s="80" customFormat="1" x14ac:dyDescent="0.2">
      <c r="A100" s="21"/>
      <c r="B100" s="64">
        <v>1997</v>
      </c>
      <c r="C100" s="22">
        <v>1.4435337694704051</v>
      </c>
      <c r="D100" s="23">
        <f t="shared" si="5"/>
        <v>1.0510100500999999</v>
      </c>
      <c r="E100" s="77">
        <f t="shared" si="6"/>
        <v>1.2166529024000003</v>
      </c>
      <c r="F100" s="75">
        <f t="shared" si="7"/>
        <v>1.2762815625000004</v>
      </c>
      <c r="G100" s="23">
        <v>1.075946372557987</v>
      </c>
      <c r="H100" s="24">
        <v>1.1215586110922962</v>
      </c>
      <c r="I100" s="25">
        <v>1.0596230142551959</v>
      </c>
      <c r="J100" s="26">
        <v>1.0104796722358154</v>
      </c>
      <c r="K100" s="26">
        <v>1.0367737093652485</v>
      </c>
      <c r="L100" s="26">
        <v>1.019865430633099</v>
      </c>
      <c r="M100" s="26">
        <v>1.0405534027432977</v>
      </c>
      <c r="N100" s="26">
        <v>1.0201461923902868</v>
      </c>
      <c r="O100" s="26">
        <v>0.95013608960304585</v>
      </c>
      <c r="P100" s="26">
        <v>0.99376444318769075</v>
      </c>
      <c r="Q100" s="26">
        <v>0.93665839865871536</v>
      </c>
      <c r="R100" s="26">
        <v>1.0175658937058909</v>
      </c>
      <c r="S100" s="26">
        <v>1.053226879574185</v>
      </c>
      <c r="T100" s="26">
        <v>0.96732051670100283</v>
      </c>
      <c r="U100" s="26">
        <v>1.0776172096217724</v>
      </c>
      <c r="V100" s="27">
        <v>1.0825929988569698</v>
      </c>
      <c r="W100" s="28">
        <v>1.1287424449210373</v>
      </c>
      <c r="X100" s="29">
        <v>1.1995642494671575</v>
      </c>
      <c r="Y100" s="26">
        <v>1.1989596988663889</v>
      </c>
      <c r="Z100" s="30">
        <v>1.0340466119388545</v>
      </c>
      <c r="AA100" s="29">
        <v>0.9549132817299919</v>
      </c>
      <c r="AB100" s="26">
        <v>1.0710876529007862</v>
      </c>
      <c r="AC100" s="26">
        <v>1.0597396870536162</v>
      </c>
      <c r="AD100" s="26">
        <v>1.0822549546221827</v>
      </c>
      <c r="AE100" s="26">
        <v>1.0563623355979617</v>
      </c>
      <c r="AF100" s="26">
        <v>1.0799830974905396</v>
      </c>
      <c r="AG100" s="26">
        <v>1.0882941322379489</v>
      </c>
      <c r="AH100" s="26">
        <v>1.0886969021760633</v>
      </c>
      <c r="AI100" s="26">
        <v>1.0769522932601097</v>
      </c>
      <c r="AJ100" s="26">
        <v>1.0735039425675674</v>
      </c>
      <c r="AK100" s="26">
        <v>1.0802935251385388</v>
      </c>
      <c r="AL100" s="26">
        <v>1.0192533540961406</v>
      </c>
      <c r="AM100" s="26">
        <v>1.1202566035173425</v>
      </c>
      <c r="AN100" s="26">
        <v>1.0733246641920065</v>
      </c>
      <c r="AO100" s="26">
        <v>1.0864941454293628</v>
      </c>
      <c r="AP100" s="26">
        <v>1.0829994112847734</v>
      </c>
      <c r="AQ100" s="30">
        <v>1.0257852836230557</v>
      </c>
      <c r="AR100" s="29">
        <v>1.1641075227228777</v>
      </c>
      <c r="AS100" s="30">
        <v>0.92353598014888338</v>
      </c>
      <c r="AT100" s="29">
        <v>1.1995346734417345</v>
      </c>
      <c r="AU100" s="26">
        <v>1.1999393478933127</v>
      </c>
      <c r="AV100" s="26">
        <v>1.1776672722986625</v>
      </c>
      <c r="AW100" s="26">
        <v>1.1624826330345959</v>
      </c>
      <c r="AX100" s="26">
        <v>1.0197777321814254</v>
      </c>
      <c r="AY100" s="30">
        <v>0.98933498056244829</v>
      </c>
      <c r="AZ100" s="29">
        <v>1.0834095144678764</v>
      </c>
      <c r="BA100" s="30">
        <v>1.1438377278014735</v>
      </c>
      <c r="BB100" s="31">
        <v>1997</v>
      </c>
      <c r="BC100" s="21"/>
    </row>
    <row r="101" spans="1:55" s="80" customFormat="1" x14ac:dyDescent="0.2">
      <c r="A101" s="21"/>
      <c r="B101" s="64">
        <v>1998</v>
      </c>
      <c r="C101" s="22">
        <v>1.4213936809815952</v>
      </c>
      <c r="D101" s="23">
        <f t="shared" si="5"/>
        <v>1.04060401</v>
      </c>
      <c r="E101" s="77">
        <f t="shared" si="6"/>
        <v>1.1698585600000002</v>
      </c>
      <c r="F101" s="75">
        <f t="shared" si="7"/>
        <v>1.2155062500000002</v>
      </c>
      <c r="G101" s="23">
        <v>1.0673794153008163</v>
      </c>
      <c r="H101" s="24">
        <v>1.1035606266237543</v>
      </c>
      <c r="I101" s="25">
        <v>1.0690609520339869</v>
      </c>
      <c r="J101" s="26">
        <v>1.0203343127002305</v>
      </c>
      <c r="K101" s="26">
        <v>1.0312421423183304</v>
      </c>
      <c r="L101" s="26">
        <v>1.019865430633099</v>
      </c>
      <c r="M101" s="26">
        <v>1.0272236553903011</v>
      </c>
      <c r="N101" s="26">
        <v>1.0107405891980359</v>
      </c>
      <c r="O101" s="26">
        <v>0.95767685221894294</v>
      </c>
      <c r="P101" s="26">
        <v>0.99298502009499456</v>
      </c>
      <c r="Q101" s="26">
        <v>0.9593392630241423</v>
      </c>
      <c r="R101" s="26">
        <v>1.0183432549692262</v>
      </c>
      <c r="S101" s="26">
        <v>1.0294723978557077</v>
      </c>
      <c r="T101" s="26">
        <v>0.98075552387740539</v>
      </c>
      <c r="U101" s="26">
        <v>1.0651271196197172</v>
      </c>
      <c r="V101" s="27">
        <v>1.0712865445608135</v>
      </c>
      <c r="W101" s="28">
        <v>1.1095965500718736</v>
      </c>
      <c r="X101" s="29">
        <v>1.1570789816839546</v>
      </c>
      <c r="Y101" s="26">
        <v>1.1567080811366608</v>
      </c>
      <c r="Z101" s="30">
        <v>1.0240400288397047</v>
      </c>
      <c r="AA101" s="29">
        <v>0.99608114641087797</v>
      </c>
      <c r="AB101" s="26">
        <v>1.0715141686411149</v>
      </c>
      <c r="AC101" s="26">
        <v>1.0609136182275931</v>
      </c>
      <c r="AD101" s="26">
        <v>1.0756330452975427</v>
      </c>
      <c r="AE101" s="26">
        <v>1.0578419826913454</v>
      </c>
      <c r="AF101" s="26">
        <v>1.0718709492982801</v>
      </c>
      <c r="AG101" s="26">
        <v>1.0792143323517864</v>
      </c>
      <c r="AH101" s="26">
        <v>1.0799377630494504</v>
      </c>
      <c r="AI101" s="26">
        <v>1.0754489198324857</v>
      </c>
      <c r="AJ101" s="26">
        <v>1.0806985773732118</v>
      </c>
      <c r="AK101" s="26">
        <v>1.0926233809232648</v>
      </c>
      <c r="AL101" s="26">
        <v>1.0220211839782756</v>
      </c>
      <c r="AM101" s="26">
        <v>1.1047139740822816</v>
      </c>
      <c r="AN101" s="26">
        <v>1.0680025726573568</v>
      </c>
      <c r="AO101" s="26">
        <v>1.0783859801649647</v>
      </c>
      <c r="AP101" s="26">
        <v>1.0770703891876039</v>
      </c>
      <c r="AQ101" s="30">
        <v>1.0344079789851357</v>
      </c>
      <c r="AR101" s="29">
        <v>1.1326747577382632</v>
      </c>
      <c r="AS101" s="30">
        <v>0.96161481321993747</v>
      </c>
      <c r="AT101" s="29">
        <v>1.1570901172626271</v>
      </c>
      <c r="AU101" s="26">
        <v>1.1563580156453717</v>
      </c>
      <c r="AV101" s="26">
        <v>1.1556506430931923</v>
      </c>
      <c r="AW101" s="26">
        <v>1.1332158086425552</v>
      </c>
      <c r="AX101" s="26">
        <v>1.0513518068073375</v>
      </c>
      <c r="AY101" s="30">
        <v>1.0301268093443858</v>
      </c>
      <c r="AZ101" s="29">
        <v>1.0702868217054262</v>
      </c>
      <c r="BA101" s="30">
        <v>1.1127715956242927</v>
      </c>
      <c r="BB101" s="31">
        <v>1998</v>
      </c>
      <c r="BC101" s="21"/>
    </row>
    <row r="102" spans="1:55" s="80" customFormat="1" x14ac:dyDescent="0.2">
      <c r="A102" s="21"/>
      <c r="B102" s="65">
        <v>1999</v>
      </c>
      <c r="C102" s="7">
        <v>1.3906792917166868</v>
      </c>
      <c r="D102" s="8">
        <f t="shared" si="5"/>
        <v>1.0303009999999999</v>
      </c>
      <c r="E102" s="9">
        <f t="shared" si="6"/>
        <v>1.1248640000000001</v>
      </c>
      <c r="F102" s="73">
        <f t="shared" si="7"/>
        <v>1.1576250000000001</v>
      </c>
      <c r="G102" s="8">
        <v>1.0473042816218368</v>
      </c>
      <c r="H102" s="10">
        <v>1.0780658266687502</v>
      </c>
      <c r="I102" s="8">
        <v>1.0428833141879732</v>
      </c>
      <c r="J102" s="9">
        <v>1.0089804442354653</v>
      </c>
      <c r="K102" s="9">
        <v>1.017285481745601</v>
      </c>
      <c r="L102" s="9">
        <v>1.0131557896420917</v>
      </c>
      <c r="M102" s="9">
        <v>1.01342997281397</v>
      </c>
      <c r="N102" s="9">
        <v>0.99800016160310268</v>
      </c>
      <c r="O102" s="9">
        <v>0.96878282820364092</v>
      </c>
      <c r="P102" s="9">
        <v>0.98833403639431539</v>
      </c>
      <c r="Q102" s="9">
        <v>0.94511308439773678</v>
      </c>
      <c r="R102" s="9">
        <v>1.0129265355279007</v>
      </c>
      <c r="S102" s="9">
        <v>1.0057179161372301</v>
      </c>
      <c r="T102" s="9">
        <v>0.97505345687811829</v>
      </c>
      <c r="U102" s="9">
        <v>1.0535938960314781</v>
      </c>
      <c r="V102" s="10">
        <v>1.0615853727471969</v>
      </c>
      <c r="W102" s="7">
        <v>1.0778849376280022</v>
      </c>
      <c r="X102" s="11">
        <v>1.1100862634929172</v>
      </c>
      <c r="Y102" s="9">
        <v>1.1099168581935599</v>
      </c>
      <c r="Z102" s="12">
        <v>1.0781706628669423</v>
      </c>
      <c r="AA102" s="11">
        <v>1.0332190942488519</v>
      </c>
      <c r="AB102" s="9">
        <v>1.0694912384737678</v>
      </c>
      <c r="AC102" s="9">
        <v>1.0601662704035422</v>
      </c>
      <c r="AD102" s="9">
        <v>1.0688819896047859</v>
      </c>
      <c r="AE102" s="9">
        <v>1.0620924778503262</v>
      </c>
      <c r="AF102" s="9">
        <v>1.067650154065761</v>
      </c>
      <c r="AG102" s="9">
        <v>1.0668577156995922</v>
      </c>
      <c r="AH102" s="9">
        <v>1.0699645845241565</v>
      </c>
      <c r="AI102" s="9">
        <v>1.0752344947662247</v>
      </c>
      <c r="AJ102" s="9">
        <v>1.0719063079670601</v>
      </c>
      <c r="AK102" s="9">
        <v>1.0732645882882881</v>
      </c>
      <c r="AL102" s="9">
        <v>1.0407960916543209</v>
      </c>
      <c r="AM102" s="9">
        <v>1.0914637160399809</v>
      </c>
      <c r="AN102" s="9">
        <v>1.0678945080441162</v>
      </c>
      <c r="AO102" s="9">
        <v>1.0696681427875718</v>
      </c>
      <c r="AP102" s="9">
        <v>1.0722484682238442</v>
      </c>
      <c r="AQ102" s="12">
        <v>1.0483792036363635</v>
      </c>
      <c r="AR102" s="11">
        <v>1.0932800581184163</v>
      </c>
      <c r="AS102" s="12">
        <v>0.98635600706713777</v>
      </c>
      <c r="AT102" s="11">
        <v>1.1100396100313479</v>
      </c>
      <c r="AU102" s="9">
        <v>1.1102443108011446</v>
      </c>
      <c r="AV102" s="9">
        <v>1.1166404489553874</v>
      </c>
      <c r="AW102" s="9">
        <v>1.1081280803784677</v>
      </c>
      <c r="AX102" s="9">
        <v>1.0627329999999999</v>
      </c>
      <c r="AY102" s="12">
        <v>1.0566307345406361</v>
      </c>
      <c r="AZ102" s="11">
        <v>1.0553563921268871</v>
      </c>
      <c r="BA102" s="12">
        <v>1.076037753054897</v>
      </c>
      <c r="BB102" s="13">
        <v>1999</v>
      </c>
      <c r="BC102" s="21"/>
    </row>
    <row r="103" spans="1:55" s="80" customFormat="1" x14ac:dyDescent="0.2">
      <c r="A103" s="21"/>
      <c r="B103" s="90">
        <f>B102+1</f>
        <v>2000</v>
      </c>
      <c r="C103" s="7">
        <v>1.3454539488966319</v>
      </c>
      <c r="D103" s="92">
        <f t="shared" si="5"/>
        <v>1.0201</v>
      </c>
      <c r="E103" s="374">
        <f t="shared" si="6"/>
        <v>1.0816000000000001</v>
      </c>
      <c r="F103" s="92">
        <f t="shared" si="7"/>
        <v>1.1025</v>
      </c>
      <c r="G103" s="92">
        <v>1.0227419037256478</v>
      </c>
      <c r="H103" s="92">
        <v>1.0501653929613608</v>
      </c>
      <c r="I103" s="93">
        <v>0.96724562326884533</v>
      </c>
      <c r="J103" s="93">
        <v>0.97289387612976208</v>
      </c>
      <c r="K103" s="93">
        <v>0.99778000790682109</v>
      </c>
      <c r="L103" s="93">
        <v>0.99999792224414263</v>
      </c>
      <c r="M103" s="93">
        <v>1.0062763494764597</v>
      </c>
      <c r="N103" s="93">
        <v>0.97545806349707787</v>
      </c>
      <c r="O103" s="93">
        <v>1.0055606948298903</v>
      </c>
      <c r="P103" s="93">
        <v>0.98449136906774348</v>
      </c>
      <c r="Q103" s="93">
        <v>0.9432885417637642</v>
      </c>
      <c r="R103" s="93">
        <v>1.0075671358690226</v>
      </c>
      <c r="S103" s="93">
        <v>1.0044416243654823</v>
      </c>
      <c r="T103" s="93">
        <v>0.96732051670100283</v>
      </c>
      <c r="U103" s="93">
        <v>1.0319041901244046</v>
      </c>
      <c r="V103" s="93">
        <v>1.0393989780032717</v>
      </c>
      <c r="W103" s="93">
        <v>1.0325164972355985</v>
      </c>
      <c r="X103" s="93">
        <v>1.0627329999999999</v>
      </c>
      <c r="Y103" s="93">
        <v>1.0627329999999999</v>
      </c>
      <c r="Z103" s="93">
        <v>1.0627329999999999</v>
      </c>
      <c r="AA103" s="93">
        <v>1.0627329999999999</v>
      </c>
      <c r="AB103" s="93">
        <v>1.0627329999999999</v>
      </c>
      <c r="AC103" s="93">
        <v>1.0627329999999999</v>
      </c>
      <c r="AD103" s="93">
        <v>1.0627329999999999</v>
      </c>
      <c r="AE103" s="93">
        <v>1.0627329999999999</v>
      </c>
      <c r="AF103" s="93">
        <v>1.0627329999999999</v>
      </c>
      <c r="AG103" s="93">
        <v>1.0627329999999999</v>
      </c>
      <c r="AH103" s="93">
        <v>1.0627329999999999</v>
      </c>
      <c r="AI103" s="93">
        <v>1.0627330000000001</v>
      </c>
      <c r="AJ103" s="93">
        <v>1.0627329999999999</v>
      </c>
      <c r="AK103" s="93">
        <v>1.0627329999999999</v>
      </c>
      <c r="AL103" s="93">
        <v>1.0627329999999999</v>
      </c>
      <c r="AM103" s="93">
        <v>1.0627329999999999</v>
      </c>
      <c r="AN103" s="93">
        <v>1.0627329999999999</v>
      </c>
      <c r="AO103" s="93">
        <v>1.0627329999999999</v>
      </c>
      <c r="AP103" s="93">
        <v>1.0627329999999999</v>
      </c>
      <c r="AQ103" s="93">
        <v>1.0627329999999999</v>
      </c>
      <c r="AR103" s="93">
        <v>1.0469779980867904</v>
      </c>
      <c r="AS103" s="93">
        <v>0.99205242114615722</v>
      </c>
      <c r="AT103" s="93">
        <v>1.0627329999999999</v>
      </c>
      <c r="AU103" s="93">
        <v>1.0627329999999999</v>
      </c>
      <c r="AV103" s="93">
        <v>1.0627329999999999</v>
      </c>
      <c r="AW103" s="93">
        <v>1.0627329999999999</v>
      </c>
      <c r="AX103" s="93">
        <v>1.0627329999999999</v>
      </c>
      <c r="AY103" s="93">
        <v>1.0627329999999999</v>
      </c>
      <c r="AZ103" s="93">
        <v>1.0318908819133032</v>
      </c>
      <c r="BA103" s="93">
        <v>1.038169100827028</v>
      </c>
      <c r="BB103" s="94">
        <v>2000</v>
      </c>
      <c r="BC103" s="21"/>
    </row>
    <row r="104" spans="1:55" s="80" customFormat="1" x14ac:dyDescent="0.2">
      <c r="A104" s="21"/>
      <c r="B104" s="90">
        <f t="shared" ref="B104:B115" si="8">B103+1</f>
        <v>2001</v>
      </c>
      <c r="C104" s="7">
        <v>1.3082279503105592</v>
      </c>
      <c r="D104" s="92">
        <f>+D105*(1+D$6)</f>
        <v>1.01</v>
      </c>
      <c r="E104" s="374">
        <f t="shared" si="6"/>
        <v>1.04</v>
      </c>
      <c r="F104" s="92">
        <f t="shared" si="7"/>
        <v>1.05</v>
      </c>
      <c r="G104" s="92">
        <v>1.0127262443438914</v>
      </c>
      <c r="H104" s="92">
        <v>1.0301291248206599</v>
      </c>
      <c r="I104" s="93">
        <v>0.96371552975326569</v>
      </c>
      <c r="J104" s="93">
        <v>0.97359029264810848</v>
      </c>
      <c r="K104" s="93">
        <v>0.99484536082474218</v>
      </c>
      <c r="L104" s="93">
        <v>0.99712023038156949</v>
      </c>
      <c r="M104" s="93">
        <v>1.0023455824863172</v>
      </c>
      <c r="N104" s="93">
        <v>0.98557692307692302</v>
      </c>
      <c r="O104" s="93">
        <v>1.0027752081406107</v>
      </c>
      <c r="P104" s="93">
        <v>0.9860248447204969</v>
      </c>
      <c r="Q104" s="93">
        <v>0.9593392630241423</v>
      </c>
      <c r="R104" s="93">
        <v>1.0037735849056604</v>
      </c>
      <c r="S104" s="93">
        <v>1.0025332488917036</v>
      </c>
      <c r="T104" s="93">
        <v>0.97505345687811829</v>
      </c>
      <c r="U104" s="93">
        <v>1.0129469790382246</v>
      </c>
      <c r="V104" s="93">
        <v>1.0162297128589264</v>
      </c>
      <c r="W104" s="93">
        <v>1.01</v>
      </c>
      <c r="X104" s="93">
        <v>0.96699999999999997</v>
      </c>
      <c r="Y104" s="93">
        <v>0.96699999999999997</v>
      </c>
      <c r="Z104" s="93">
        <v>0.96699999999999997</v>
      </c>
      <c r="AA104" s="93">
        <v>0.96699999999999997</v>
      </c>
      <c r="AB104" s="93">
        <v>0.96699999999999997</v>
      </c>
      <c r="AC104" s="93">
        <v>0.96699999999999997</v>
      </c>
      <c r="AD104" s="93">
        <v>0.96699999999999997</v>
      </c>
      <c r="AE104" s="93">
        <v>0.96699999999999997</v>
      </c>
      <c r="AF104" s="93">
        <v>0.96700000000000008</v>
      </c>
      <c r="AG104" s="93">
        <v>0.96699999999999997</v>
      </c>
      <c r="AH104" s="93">
        <v>0.96699999999999997</v>
      </c>
      <c r="AI104" s="93">
        <v>0.96699999999999997</v>
      </c>
      <c r="AJ104" s="93">
        <v>0.96699999999999997</v>
      </c>
      <c r="AK104" s="93">
        <v>0.96699999999999986</v>
      </c>
      <c r="AL104" s="93">
        <v>0.96699999999999986</v>
      </c>
      <c r="AM104" s="93">
        <v>0.96699999999999997</v>
      </c>
      <c r="AN104" s="93">
        <v>0.96699999999999997</v>
      </c>
      <c r="AO104" s="93">
        <v>0.96699999999999997</v>
      </c>
      <c r="AP104" s="93">
        <v>0.96700000000000008</v>
      </c>
      <c r="AQ104" s="93">
        <v>0.96699999999999997</v>
      </c>
      <c r="AR104" s="93">
        <v>1.01</v>
      </c>
      <c r="AS104" s="93">
        <v>1.01</v>
      </c>
      <c r="AT104" s="93">
        <v>0.96699999999999997</v>
      </c>
      <c r="AU104" s="93">
        <v>0.96699999999999997</v>
      </c>
      <c r="AV104" s="93">
        <v>0.96699999999999997</v>
      </c>
      <c r="AW104" s="93">
        <v>0.96699999999999997</v>
      </c>
      <c r="AX104" s="93">
        <v>0.96699999999999997</v>
      </c>
      <c r="AY104" s="93">
        <v>0.96699999999999986</v>
      </c>
      <c r="AZ104" s="93">
        <v>1.01</v>
      </c>
      <c r="BA104" s="93">
        <v>1.01</v>
      </c>
      <c r="BB104" s="94">
        <v>2001</v>
      </c>
      <c r="BC104" s="21"/>
    </row>
    <row r="105" spans="1:55" s="80" customFormat="1" x14ac:dyDescent="0.2">
      <c r="A105" s="21"/>
      <c r="B105" s="90">
        <f t="shared" si="8"/>
        <v>2002</v>
      </c>
      <c r="C105" s="7">
        <v>1.2878664257921066</v>
      </c>
      <c r="D105" s="92">
        <v>1</v>
      </c>
      <c r="E105" s="374">
        <v>1</v>
      </c>
      <c r="F105" s="92">
        <v>1</v>
      </c>
      <c r="G105" s="92">
        <v>1</v>
      </c>
      <c r="H105" s="92">
        <v>1</v>
      </c>
      <c r="I105" s="93">
        <v>1</v>
      </c>
      <c r="J105" s="93">
        <v>1</v>
      </c>
      <c r="K105" s="93">
        <v>1</v>
      </c>
      <c r="L105" s="93">
        <v>1</v>
      </c>
      <c r="M105" s="93">
        <v>1</v>
      </c>
      <c r="N105" s="93">
        <v>1</v>
      </c>
      <c r="O105" s="93">
        <v>1</v>
      </c>
      <c r="P105" s="93">
        <v>1</v>
      </c>
      <c r="Q105" s="93">
        <v>1</v>
      </c>
      <c r="R105" s="93">
        <v>1</v>
      </c>
      <c r="S105" s="93">
        <v>1</v>
      </c>
      <c r="T105" s="93">
        <v>1</v>
      </c>
      <c r="U105" s="93">
        <v>1</v>
      </c>
      <c r="V105" s="93">
        <v>1</v>
      </c>
      <c r="W105" s="93">
        <v>1</v>
      </c>
      <c r="X105" s="93">
        <v>1</v>
      </c>
      <c r="Y105" s="93">
        <v>1</v>
      </c>
      <c r="Z105" s="93">
        <v>1</v>
      </c>
      <c r="AA105" s="93">
        <v>1</v>
      </c>
      <c r="AB105" s="93">
        <v>1</v>
      </c>
      <c r="AC105" s="93">
        <v>1</v>
      </c>
      <c r="AD105" s="93">
        <v>1</v>
      </c>
      <c r="AE105" s="93">
        <v>1</v>
      </c>
      <c r="AF105" s="93">
        <v>1</v>
      </c>
      <c r="AG105" s="93">
        <v>1</v>
      </c>
      <c r="AH105" s="93">
        <v>1</v>
      </c>
      <c r="AI105" s="93">
        <v>1</v>
      </c>
      <c r="AJ105" s="93">
        <v>1</v>
      </c>
      <c r="AK105" s="93">
        <v>1</v>
      </c>
      <c r="AL105" s="93">
        <v>1</v>
      </c>
      <c r="AM105" s="93">
        <v>1</v>
      </c>
      <c r="AN105" s="93">
        <v>1</v>
      </c>
      <c r="AO105" s="93">
        <v>1</v>
      </c>
      <c r="AP105" s="93">
        <v>1</v>
      </c>
      <c r="AQ105" s="93">
        <v>1</v>
      </c>
      <c r="AR105" s="93">
        <v>1</v>
      </c>
      <c r="AS105" s="93">
        <v>1</v>
      </c>
      <c r="AT105" s="93">
        <v>1</v>
      </c>
      <c r="AU105" s="93">
        <v>1</v>
      </c>
      <c r="AV105" s="93">
        <v>1</v>
      </c>
      <c r="AW105" s="93">
        <v>1</v>
      </c>
      <c r="AX105" s="93">
        <v>1</v>
      </c>
      <c r="AY105" s="93">
        <v>1</v>
      </c>
      <c r="AZ105" s="93">
        <v>1</v>
      </c>
      <c r="BA105" s="93">
        <v>1</v>
      </c>
      <c r="BB105" s="94">
        <v>2002</v>
      </c>
      <c r="BC105" s="21"/>
    </row>
    <row r="106" spans="1:55" x14ac:dyDescent="0.2">
      <c r="A106" s="5"/>
      <c r="B106" s="90">
        <f t="shared" si="8"/>
        <v>2003</v>
      </c>
      <c r="C106" s="7">
        <v>1.259169402173913</v>
      </c>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5"/>
    </row>
    <row r="107" spans="1:55" x14ac:dyDescent="0.2">
      <c r="A107" s="5"/>
      <c r="B107" s="91">
        <f t="shared" si="8"/>
        <v>2004</v>
      </c>
      <c r="C107" s="7">
        <v>1.2265069878242456</v>
      </c>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5"/>
    </row>
    <row r="108" spans="1:55" x14ac:dyDescent="0.2">
      <c r="A108" s="5"/>
      <c r="B108" s="64">
        <f>B107+1</f>
        <v>2005</v>
      </c>
      <c r="C108" s="7">
        <v>1.1863142345110087</v>
      </c>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5"/>
    </row>
    <row r="109" spans="1:55" x14ac:dyDescent="0.2">
      <c r="A109" s="5"/>
      <c r="B109" s="64">
        <f t="shared" si="8"/>
        <v>2006</v>
      </c>
      <c r="C109" s="7">
        <v>1.1492419146825397</v>
      </c>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5"/>
    </row>
    <row r="110" spans="1:55" x14ac:dyDescent="0.2">
      <c r="A110" s="5"/>
      <c r="B110" s="64">
        <f t="shared" si="8"/>
        <v>2007</v>
      </c>
      <c r="C110" s="7">
        <v>1.1174155260391045</v>
      </c>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5"/>
    </row>
    <row r="111" spans="1:55" x14ac:dyDescent="0.2">
      <c r="A111" s="5"/>
      <c r="B111" s="64">
        <f t="shared" si="8"/>
        <v>2008</v>
      </c>
      <c r="C111" s="7">
        <v>1.0760981964951719</v>
      </c>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5"/>
    </row>
    <row r="112" spans="1:55" x14ac:dyDescent="0.2">
      <c r="A112" s="5"/>
      <c r="B112" s="65">
        <f t="shared" si="8"/>
        <v>2009</v>
      </c>
      <c r="C112" s="7">
        <v>1.0799403832439161</v>
      </c>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5"/>
    </row>
    <row r="113" spans="1:55" x14ac:dyDescent="0.2">
      <c r="A113" s="5"/>
      <c r="B113" s="64">
        <f>B112+1</f>
        <v>2010</v>
      </c>
      <c r="C113" s="7">
        <v>1.0625122445610302</v>
      </c>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5"/>
    </row>
    <row r="114" spans="1:55" x14ac:dyDescent="0.2">
      <c r="A114" s="5"/>
      <c r="B114" s="64">
        <f t="shared" si="8"/>
        <v>2011</v>
      </c>
      <c r="C114" s="7">
        <v>1.03</v>
      </c>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5"/>
    </row>
    <row r="115" spans="1:55" x14ac:dyDescent="0.2">
      <c r="A115" s="5"/>
      <c r="B115" s="64">
        <f t="shared" si="8"/>
        <v>2012</v>
      </c>
      <c r="C115" s="7">
        <v>1</v>
      </c>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5"/>
    </row>
    <row r="116" spans="1:55"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row>
    <row r="117" spans="1:55"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row>
  </sheetData>
  <sheetProtection algorithmName="SHA-512" hashValue="DSIgMbTyrc9AivkwH5ciGsVaFNcwpRcONopGCSI3VJLYTeegNUia9/sW6PqqdsOdLPcJ2v8Km1PGwKcm0vkptQ==" saltValue="9K0kgBMO63lsCpqgvRN6hA==" spinCount="100000" sheet="1" objects="1" scenarios="1" formatCells="0" formatColumns="0" formatRows="0" selectLockedCells="1" sort="0" autoFilter="0"/>
  <mergeCells count="14">
    <mergeCell ref="D5:F5"/>
    <mergeCell ref="I5:V5"/>
    <mergeCell ref="W5:BB5"/>
    <mergeCell ref="X6:Z6"/>
    <mergeCell ref="AA6:AQ6"/>
    <mergeCell ref="AR6:AS6"/>
    <mergeCell ref="AT6:AY6"/>
    <mergeCell ref="AZ6:BA6"/>
    <mergeCell ref="AT7:AY7"/>
    <mergeCell ref="AZ7:BA7"/>
    <mergeCell ref="G7:H7"/>
    <mergeCell ref="X7:Z7"/>
    <mergeCell ref="AA7:AQ7"/>
    <mergeCell ref="AR7:AS7"/>
  </mergeCells>
  <phoneticPr fontId="0" type="noConversion"/>
  <pageMargins left="0.25" right="0.25" top="0.25" bottom="0.25" header="0.5" footer="0.5"/>
  <pageSetup scale="47" fitToWidth="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W533"/>
  <sheetViews>
    <sheetView zoomScale="90" zoomScaleNormal="90" workbookViewId="0">
      <selection activeCell="U4" sqref="U4"/>
    </sheetView>
  </sheetViews>
  <sheetFormatPr defaultColWidth="9.140625" defaultRowHeight="12.75" x14ac:dyDescent="0.2"/>
  <cols>
    <col min="1" max="1" width="1.42578125" style="85" customWidth="1"/>
    <col min="2" max="2" width="7.28515625" style="85" customWidth="1"/>
    <col min="3" max="3" width="37.140625" style="85" customWidth="1"/>
    <col min="4" max="4" width="37.28515625" style="85" bestFit="1" customWidth="1"/>
    <col min="5" max="5" width="2.85546875" style="85" customWidth="1"/>
    <col min="6" max="6" width="4" style="85" customWidth="1"/>
    <col min="7" max="7" width="63.5703125" style="85" bestFit="1" customWidth="1"/>
    <col min="8" max="9" width="12.140625" style="85" bestFit="1" customWidth="1"/>
    <col min="10" max="10" width="2" style="1799" customWidth="1"/>
    <col min="11" max="11" width="4" style="85" customWidth="1"/>
    <col min="12" max="12" width="84.42578125" style="85" bestFit="1" customWidth="1"/>
    <col min="13" max="13" width="10.7109375" style="85" bestFit="1" customWidth="1"/>
    <col min="14" max="14" width="2.140625" style="85" bestFit="1" customWidth="1"/>
    <col min="15" max="15" width="9.140625" style="157"/>
    <col min="16" max="16" width="6.7109375" style="157" bestFit="1" customWidth="1"/>
    <col min="17" max="17" width="7.85546875" style="157" customWidth="1"/>
    <col min="18" max="18" width="9.140625" style="157"/>
    <col min="19" max="19" width="63.5703125" style="157" customWidth="1"/>
    <col min="20" max="16384" width="9.140625" style="157"/>
  </cols>
  <sheetData>
    <row r="1" spans="1:23" s="158" customFormat="1" ht="15" customHeight="1" x14ac:dyDescent="0.2">
      <c r="A1" s="302"/>
      <c r="B1" s="302"/>
      <c r="C1" s="302"/>
      <c r="D1" s="302"/>
      <c r="E1" s="302"/>
      <c r="F1" s="302"/>
      <c r="G1" s="302"/>
      <c r="H1" s="302"/>
      <c r="I1" s="302"/>
      <c r="J1" s="306"/>
      <c r="K1" s="302"/>
      <c r="L1" s="302"/>
      <c r="M1" s="302"/>
      <c r="N1" s="302"/>
      <c r="O1" s="302"/>
      <c r="P1" s="302"/>
      <c r="Q1" s="302"/>
      <c r="R1" s="302"/>
      <c r="S1" s="302"/>
    </row>
    <row r="2" spans="1:23" s="158" customFormat="1" x14ac:dyDescent="0.2">
      <c r="A2" s="302"/>
      <c r="B2" s="302"/>
      <c r="C2" s="302"/>
      <c r="D2" s="302"/>
      <c r="E2" s="302"/>
      <c r="F2" s="302"/>
      <c r="G2" s="302"/>
      <c r="H2" s="302"/>
      <c r="I2" s="302"/>
      <c r="J2" s="306"/>
      <c r="K2" s="302"/>
      <c r="L2" s="302"/>
      <c r="M2" s="302"/>
      <c r="N2" s="302"/>
      <c r="O2" s="302"/>
      <c r="P2" s="302"/>
      <c r="Q2" s="302"/>
      <c r="R2" s="302"/>
      <c r="S2" s="302"/>
      <c r="U2" s="158">
        <f>1+(V2*0.04)</f>
        <v>5</v>
      </c>
      <c r="V2" s="158">
        <v>100</v>
      </c>
    </row>
    <row r="3" spans="1:23" s="158" customFormat="1" x14ac:dyDescent="0.2">
      <c r="A3" s="302"/>
      <c r="B3" s="302"/>
      <c r="C3" s="302"/>
      <c r="D3" s="302"/>
      <c r="E3" s="302"/>
      <c r="F3" s="302"/>
      <c r="G3" s="302"/>
      <c r="H3" s="302"/>
      <c r="I3" s="302"/>
      <c r="J3" s="306"/>
      <c r="K3" s="302"/>
      <c r="L3" s="302"/>
      <c r="M3" s="302"/>
      <c r="N3" s="302"/>
      <c r="O3" s="302"/>
      <c r="P3" s="302"/>
      <c r="Q3" s="302"/>
      <c r="R3" s="302"/>
      <c r="S3" s="302"/>
      <c r="U3" s="158">
        <f>1+(V3*0.04)</f>
        <v>4.96</v>
      </c>
      <c r="V3" s="158">
        <v>99</v>
      </c>
      <c r="W3" s="158">
        <f>V3/4</f>
        <v>24.75</v>
      </c>
    </row>
    <row r="4" spans="1:23" s="158" customFormat="1" x14ac:dyDescent="0.2">
      <c r="A4" s="302"/>
      <c r="B4" s="302"/>
      <c r="C4" s="302"/>
      <c r="D4" s="302"/>
      <c r="E4" s="302"/>
      <c r="F4" s="302"/>
      <c r="G4" s="302"/>
      <c r="H4" s="302"/>
      <c r="I4" s="302"/>
      <c r="J4" s="306"/>
      <c r="K4" s="302"/>
      <c r="L4" s="302"/>
      <c r="M4" s="302"/>
      <c r="N4" s="302"/>
      <c r="O4" s="302"/>
      <c r="P4" s="302"/>
      <c r="Q4" s="302"/>
      <c r="R4" s="302"/>
      <c r="S4" s="302"/>
      <c r="U4" s="158">
        <f t="shared" ref="U4:U66" si="0">1+(V4*0.04)</f>
        <v>4.92</v>
      </c>
      <c r="V4" s="158">
        <v>98</v>
      </c>
    </row>
    <row r="5" spans="1:23" s="158" customFormat="1" x14ac:dyDescent="0.2">
      <c r="A5" s="302"/>
      <c r="B5" s="302"/>
      <c r="C5" s="302"/>
      <c r="D5" s="302"/>
      <c r="E5" s="302"/>
      <c r="F5" s="302"/>
      <c r="G5" s="302"/>
      <c r="H5" s="302"/>
      <c r="I5" s="302"/>
      <c r="J5" s="306"/>
      <c r="K5" s="302"/>
      <c r="L5" s="302"/>
      <c r="M5" s="302"/>
      <c r="N5" s="302"/>
      <c r="O5" s="302"/>
      <c r="P5" s="302"/>
      <c r="Q5" s="302"/>
      <c r="R5" s="302"/>
      <c r="S5" s="302"/>
      <c r="U5" s="158">
        <f t="shared" si="0"/>
        <v>4.88</v>
      </c>
      <c r="V5" s="158">
        <v>97</v>
      </c>
      <c r="W5" s="158">
        <f>4/100</f>
        <v>0.04</v>
      </c>
    </row>
    <row r="6" spans="1:23" s="158" customFormat="1" x14ac:dyDescent="0.2">
      <c r="A6" s="302"/>
      <c r="B6" s="1495" t="s">
        <v>11</v>
      </c>
      <c r="C6" s="1495"/>
      <c r="D6" s="1495"/>
      <c r="E6" s="302"/>
      <c r="F6" s="473" t="s">
        <v>502</v>
      </c>
      <c r="G6" s="473"/>
      <c r="H6" s="473"/>
      <c r="I6" s="473"/>
      <c r="J6" s="306"/>
      <c r="K6" s="1495" t="s">
        <v>510</v>
      </c>
      <c r="L6" s="1495"/>
      <c r="M6" s="473"/>
      <c r="N6" s="473"/>
      <c r="O6" s="302"/>
      <c r="P6" s="1495" t="s">
        <v>2620</v>
      </c>
      <c r="Q6" s="1495"/>
      <c r="R6" s="473"/>
      <c r="S6" s="473"/>
      <c r="U6" s="158">
        <f t="shared" si="0"/>
        <v>4.84</v>
      </c>
      <c r="V6" s="158">
        <v>96</v>
      </c>
      <c r="W6" s="158">
        <f>4/75</f>
        <v>5.3333333333333337E-2</v>
      </c>
    </row>
    <row r="7" spans="1:23" s="158" customFormat="1" x14ac:dyDescent="0.2">
      <c r="A7" s="302"/>
      <c r="B7" s="305">
        <v>5</v>
      </c>
      <c r="C7" s="306" t="s">
        <v>87</v>
      </c>
      <c r="D7" s="306"/>
      <c r="E7" s="302"/>
      <c r="F7" s="305">
        <v>1</v>
      </c>
      <c r="G7" s="306" t="s">
        <v>497</v>
      </c>
      <c r="H7" s="306" t="s">
        <v>1691</v>
      </c>
      <c r="I7" s="306">
        <v>4</v>
      </c>
      <c r="J7" s="306"/>
      <c r="K7" s="305">
        <v>1</v>
      </c>
      <c r="L7" s="306" t="s">
        <v>171</v>
      </c>
      <c r="M7" s="306"/>
      <c r="N7" s="306"/>
      <c r="O7" s="302"/>
      <c r="P7" s="302" t="s">
        <v>2532</v>
      </c>
      <c r="Q7" s="302" t="s">
        <v>2426</v>
      </c>
      <c r="R7" s="302" t="s">
        <v>2425</v>
      </c>
      <c r="S7" s="302" t="str">
        <f t="shared" ref="S7:S38" si="1">CONCATENATE(P7, " ",Q7," ",R7)</f>
        <v>00001 LR/DO King County Department of Transportation - Metro Transit Division</v>
      </c>
      <c r="U7" s="158">
        <f t="shared" si="0"/>
        <v>4.8000000000000007</v>
      </c>
      <c r="V7" s="158">
        <v>95</v>
      </c>
    </row>
    <row r="8" spans="1:23" s="158" customFormat="1" x14ac:dyDescent="0.2">
      <c r="A8" s="302"/>
      <c r="B8" s="305">
        <v>4</v>
      </c>
      <c r="C8" s="306" t="s">
        <v>88</v>
      </c>
      <c r="D8" s="306"/>
      <c r="E8" s="302"/>
      <c r="F8" s="305">
        <v>2</v>
      </c>
      <c r="G8" s="306" t="s">
        <v>495</v>
      </c>
      <c r="H8" s="306" t="s">
        <v>1691</v>
      </c>
      <c r="I8" s="306">
        <v>4</v>
      </c>
      <c r="J8" s="306"/>
      <c r="K8" s="305">
        <v>2</v>
      </c>
      <c r="L8" s="306" t="s">
        <v>27</v>
      </c>
      <c r="M8" s="306"/>
      <c r="N8" s="306"/>
      <c r="O8" s="302"/>
      <c r="P8" s="302" t="s">
        <v>2532</v>
      </c>
      <c r="Q8" s="302" t="s">
        <v>2427</v>
      </c>
      <c r="R8" s="302" t="s">
        <v>2425</v>
      </c>
      <c r="S8" s="302" t="str">
        <f t="shared" si="1"/>
        <v>00001 LR/PT King County Department of Transportation - Metro Transit Division</v>
      </c>
      <c r="U8" s="158">
        <f t="shared" si="0"/>
        <v>4.76</v>
      </c>
      <c r="V8" s="158">
        <v>94</v>
      </c>
    </row>
    <row r="9" spans="1:23" s="158" customFormat="1" x14ac:dyDescent="0.2">
      <c r="A9" s="302"/>
      <c r="B9" s="305">
        <v>3</v>
      </c>
      <c r="C9" s="306" t="s">
        <v>89</v>
      </c>
      <c r="D9" s="306"/>
      <c r="E9" s="302"/>
      <c r="F9" s="305">
        <v>3</v>
      </c>
      <c r="G9" s="306" t="s">
        <v>496</v>
      </c>
      <c r="H9" s="306" t="s">
        <v>1691</v>
      </c>
      <c r="I9" s="306">
        <v>4</v>
      </c>
      <c r="J9" s="306"/>
      <c r="K9" s="305">
        <v>3</v>
      </c>
      <c r="L9" s="306" t="s">
        <v>28</v>
      </c>
      <c r="M9" s="306"/>
      <c r="N9" s="306"/>
      <c r="O9" s="302"/>
      <c r="P9" s="302" t="s">
        <v>2532</v>
      </c>
      <c r="Q9" s="302" t="s">
        <v>2428</v>
      </c>
      <c r="R9" s="302" t="s">
        <v>2425</v>
      </c>
      <c r="S9" s="302" t="str">
        <f t="shared" si="1"/>
        <v>00001 SR/DO King County Department of Transportation - Metro Transit Division</v>
      </c>
      <c r="U9" s="158">
        <f t="shared" si="0"/>
        <v>4.7200000000000006</v>
      </c>
      <c r="V9" s="158">
        <v>93</v>
      </c>
    </row>
    <row r="10" spans="1:23" s="158" customFormat="1" x14ac:dyDescent="0.2">
      <c r="A10" s="302"/>
      <c r="B10" s="305">
        <v>2</v>
      </c>
      <c r="C10" s="306" t="s">
        <v>90</v>
      </c>
      <c r="D10" s="306"/>
      <c r="E10" s="302"/>
      <c r="F10" s="305">
        <v>4</v>
      </c>
      <c r="G10" s="306" t="s">
        <v>1702</v>
      </c>
      <c r="H10" s="306" t="s">
        <v>1691</v>
      </c>
      <c r="I10" s="306">
        <v>4</v>
      </c>
      <c r="J10" s="306"/>
      <c r="K10" s="305">
        <v>4</v>
      </c>
      <c r="L10" s="306" t="s">
        <v>2396</v>
      </c>
      <c r="M10" s="306"/>
      <c r="N10" s="306"/>
      <c r="O10" s="302"/>
      <c r="P10" s="302" t="s">
        <v>2533</v>
      </c>
      <c r="Q10" s="302" t="s">
        <v>2430</v>
      </c>
      <c r="R10" s="302" t="s">
        <v>2429</v>
      </c>
      <c r="S10" s="302" t="str">
        <f t="shared" si="1"/>
        <v>00008 CR/PT Tri-County Metropolitan Transportation District of Oregon</v>
      </c>
      <c r="U10" s="158">
        <f t="shared" si="0"/>
        <v>4.68</v>
      </c>
      <c r="V10" s="158">
        <v>92</v>
      </c>
    </row>
    <row r="11" spans="1:23" s="158" customFormat="1" x14ac:dyDescent="0.2">
      <c r="A11" s="302"/>
      <c r="B11" s="305">
        <v>1</v>
      </c>
      <c r="C11" s="306" t="s">
        <v>170</v>
      </c>
      <c r="D11" s="306"/>
      <c r="E11" s="302"/>
      <c r="F11" s="305">
        <v>5</v>
      </c>
      <c r="G11" s="306" t="s">
        <v>2191</v>
      </c>
      <c r="H11" s="306" t="s">
        <v>1691</v>
      </c>
      <c r="I11" s="306">
        <v>4</v>
      </c>
      <c r="J11" s="306"/>
      <c r="K11" s="305">
        <v>5</v>
      </c>
      <c r="L11" s="306" t="s">
        <v>2394</v>
      </c>
      <c r="M11" s="306"/>
      <c r="N11" s="306"/>
      <c r="O11" s="302"/>
      <c r="P11" s="302" t="s">
        <v>2533</v>
      </c>
      <c r="Q11" s="302" t="s">
        <v>2426</v>
      </c>
      <c r="R11" s="302" t="s">
        <v>2429</v>
      </c>
      <c r="S11" s="302" t="str">
        <f t="shared" si="1"/>
        <v>00008 LR/DO Tri-County Metropolitan Transportation District of Oregon</v>
      </c>
      <c r="U11" s="158">
        <f t="shared" si="0"/>
        <v>4.6400000000000006</v>
      </c>
      <c r="V11" s="158">
        <v>91</v>
      </c>
    </row>
    <row r="12" spans="1:23" s="158" customFormat="1" x14ac:dyDescent="0.2">
      <c r="A12" s="302"/>
      <c r="B12" s="302"/>
      <c r="C12" s="302"/>
      <c r="D12" s="302"/>
      <c r="E12" s="302"/>
      <c r="F12" s="305">
        <v>6</v>
      </c>
      <c r="G12" s="306" t="s">
        <v>1703</v>
      </c>
      <c r="H12" s="306" t="s">
        <v>1691</v>
      </c>
      <c r="I12" s="306">
        <v>4</v>
      </c>
      <c r="J12" s="306"/>
      <c r="K12" s="305">
        <v>6</v>
      </c>
      <c r="L12" s="306" t="s">
        <v>2395</v>
      </c>
      <c r="M12" s="306"/>
      <c r="N12" s="306"/>
      <c r="O12" s="302"/>
      <c r="P12" s="302" t="s">
        <v>2533</v>
      </c>
      <c r="Q12" s="302" t="s">
        <v>2428</v>
      </c>
      <c r="R12" s="302" t="s">
        <v>2429</v>
      </c>
      <c r="S12" s="302" t="str">
        <f t="shared" si="1"/>
        <v>00008 SR/DO Tri-County Metropolitan Transportation District of Oregon</v>
      </c>
      <c r="U12" s="158">
        <f t="shared" si="0"/>
        <v>4.5999999999999996</v>
      </c>
      <c r="V12" s="158">
        <v>90</v>
      </c>
    </row>
    <row r="13" spans="1:23" s="158" customFormat="1" x14ac:dyDescent="0.2">
      <c r="A13" s="302"/>
      <c r="B13" s="302" t="s">
        <v>2626</v>
      </c>
      <c r="C13" s="302" t="s">
        <v>2627</v>
      </c>
      <c r="D13" s="302"/>
      <c r="E13" s="302"/>
      <c r="F13" s="305">
        <v>7</v>
      </c>
      <c r="G13" s="306" t="s">
        <v>2192</v>
      </c>
      <c r="H13" s="306" t="s">
        <v>1691</v>
      </c>
      <c r="I13" s="306">
        <v>4</v>
      </c>
      <c r="J13" s="306"/>
      <c r="K13" s="305">
        <v>7</v>
      </c>
      <c r="L13" s="306" t="s">
        <v>2397</v>
      </c>
      <c r="M13" s="306"/>
      <c r="N13" s="306"/>
      <c r="O13" s="302"/>
      <c r="P13" s="302" t="s">
        <v>2533</v>
      </c>
      <c r="Q13" s="302" t="s">
        <v>2431</v>
      </c>
      <c r="R13" s="302" t="s">
        <v>2429</v>
      </c>
      <c r="S13" s="302" t="str">
        <f t="shared" si="1"/>
        <v>00008 SR/PT Tri-County Metropolitan Transportation District of Oregon</v>
      </c>
      <c r="U13" s="158">
        <f t="shared" si="0"/>
        <v>4.5600000000000005</v>
      </c>
      <c r="V13" s="158">
        <v>89</v>
      </c>
    </row>
    <row r="14" spans="1:23" s="158" customFormat="1" x14ac:dyDescent="0.2">
      <c r="A14" s="302"/>
      <c r="B14" s="302" t="s">
        <v>2628</v>
      </c>
      <c r="C14" s="302" t="s">
        <v>2629</v>
      </c>
      <c r="D14" s="302"/>
      <c r="E14" s="302"/>
      <c r="F14" s="305">
        <v>8</v>
      </c>
      <c r="G14" s="306" t="s">
        <v>498</v>
      </c>
      <c r="H14" s="306" t="s">
        <v>2420</v>
      </c>
      <c r="I14" s="306">
        <v>2</v>
      </c>
      <c r="J14" s="306"/>
      <c r="K14" s="305">
        <v>8</v>
      </c>
      <c r="L14" s="306" t="s">
        <v>2398</v>
      </c>
      <c r="M14" s="306"/>
      <c r="N14" s="306"/>
      <c r="O14" s="302"/>
      <c r="P14" s="302" t="s">
        <v>2533</v>
      </c>
      <c r="Q14" s="302" t="s">
        <v>2432</v>
      </c>
      <c r="R14" s="302" t="s">
        <v>2429</v>
      </c>
      <c r="S14" s="302" t="str">
        <f t="shared" si="1"/>
        <v>00008 YR/PT Tri-County Metropolitan Transportation District of Oregon</v>
      </c>
      <c r="U14" s="158">
        <f t="shared" si="0"/>
        <v>4.5199999999999996</v>
      </c>
      <c r="V14" s="158">
        <v>88</v>
      </c>
    </row>
    <row r="15" spans="1:23" s="158" customFormat="1" x14ac:dyDescent="0.2">
      <c r="A15" s="302"/>
      <c r="B15" s="302" t="s">
        <v>2630</v>
      </c>
      <c r="C15" s="302" t="s">
        <v>2631</v>
      </c>
      <c r="D15" s="302"/>
      <c r="E15" s="302"/>
      <c r="F15" s="305">
        <v>9</v>
      </c>
      <c r="G15" s="306" t="s">
        <v>490</v>
      </c>
      <c r="H15" s="306" t="s">
        <v>2420</v>
      </c>
      <c r="I15" s="306">
        <v>2</v>
      </c>
      <c r="J15" s="306"/>
      <c r="K15" s="305"/>
      <c r="L15" s="306" t="s">
        <v>1041</v>
      </c>
      <c r="M15" s="306"/>
      <c r="N15" s="306"/>
      <c r="O15" s="302"/>
      <c r="P15" s="302" t="s">
        <v>2534</v>
      </c>
      <c r="Q15" s="302" t="s">
        <v>2434</v>
      </c>
      <c r="R15" s="302" t="s">
        <v>2433</v>
      </c>
      <c r="S15" s="302" t="str">
        <f t="shared" si="1"/>
        <v>00023 MG/PT City of Seattle - Seattle Center Monorail Transit</v>
      </c>
      <c r="U15" s="158">
        <f t="shared" si="0"/>
        <v>4.4800000000000004</v>
      </c>
      <c r="V15" s="158">
        <v>87</v>
      </c>
    </row>
    <row r="16" spans="1:23" s="158" customFormat="1" x14ac:dyDescent="0.2">
      <c r="A16" s="302"/>
      <c r="B16" s="302" t="s">
        <v>2632</v>
      </c>
      <c r="C16" s="302" t="s">
        <v>2633</v>
      </c>
      <c r="D16" s="302"/>
      <c r="E16" s="302"/>
      <c r="F16" s="305">
        <v>10</v>
      </c>
      <c r="G16" s="306" t="s">
        <v>2261</v>
      </c>
      <c r="H16" s="306" t="s">
        <v>1691</v>
      </c>
      <c r="I16" s="306">
        <v>4</v>
      </c>
      <c r="J16" s="306"/>
      <c r="K16" s="305"/>
      <c r="L16" s="306"/>
      <c r="M16" s="306"/>
      <c r="N16" s="306"/>
      <c r="O16" s="302"/>
      <c r="P16" s="302" t="s">
        <v>2534</v>
      </c>
      <c r="Q16" s="302" t="s">
        <v>2435</v>
      </c>
      <c r="R16" s="302" t="s">
        <v>2433</v>
      </c>
      <c r="S16" s="302" t="str">
        <f t="shared" si="1"/>
        <v>00023 MO/DO City of Seattle - Seattle Center Monorail Transit</v>
      </c>
      <c r="U16" s="158">
        <f t="shared" si="0"/>
        <v>4.4399999999999995</v>
      </c>
      <c r="V16" s="158">
        <v>86</v>
      </c>
    </row>
    <row r="17" spans="1:22" s="158" customFormat="1" x14ac:dyDescent="0.2">
      <c r="A17" s="302"/>
      <c r="B17" s="302" t="s">
        <v>2634</v>
      </c>
      <c r="C17" s="302" t="s">
        <v>2635</v>
      </c>
      <c r="D17" s="302"/>
      <c r="E17" s="302"/>
      <c r="F17" s="305">
        <v>11</v>
      </c>
      <c r="G17" s="306" t="s">
        <v>2249</v>
      </c>
      <c r="H17" s="306" t="s">
        <v>1691</v>
      </c>
      <c r="I17" s="306">
        <v>4</v>
      </c>
      <c r="J17" s="306"/>
      <c r="K17" s="305"/>
      <c r="L17" s="306" t="s">
        <v>1041</v>
      </c>
      <c r="M17" s="306"/>
      <c r="N17" s="306"/>
      <c r="O17" s="302"/>
      <c r="P17" s="302" t="s">
        <v>2534</v>
      </c>
      <c r="Q17" s="302" t="s">
        <v>2436</v>
      </c>
      <c r="R17" s="302" t="s">
        <v>2433</v>
      </c>
      <c r="S17" s="302" t="str">
        <f t="shared" si="1"/>
        <v>00023 MO/PT City of Seattle - Seattle Center Monorail Transit</v>
      </c>
      <c r="U17" s="158">
        <f t="shared" si="0"/>
        <v>4.4000000000000004</v>
      </c>
      <c r="V17" s="158">
        <v>85</v>
      </c>
    </row>
    <row r="18" spans="1:22" s="158" customFormat="1" x14ac:dyDescent="0.2">
      <c r="A18" s="302"/>
      <c r="B18" s="302"/>
      <c r="C18" s="302"/>
      <c r="D18" s="302"/>
      <c r="E18" s="302"/>
      <c r="F18" s="305"/>
      <c r="G18" s="306"/>
      <c r="H18" s="306"/>
      <c r="I18" s="306"/>
      <c r="J18" s="306"/>
      <c r="K18" s="307"/>
      <c r="L18" s="307" t="s">
        <v>1041</v>
      </c>
      <c r="M18" s="306"/>
      <c r="N18" s="306"/>
      <c r="O18" s="302"/>
      <c r="P18" s="302" t="s">
        <v>2535</v>
      </c>
      <c r="Q18" s="302" t="s">
        <v>2430</v>
      </c>
      <c r="R18" s="302" t="s">
        <v>2437</v>
      </c>
      <c r="S18" s="302" t="str">
        <f t="shared" si="1"/>
        <v>00040 CR/PT Central Puget Sound Regional Transit Authority</v>
      </c>
      <c r="U18" s="158">
        <f t="shared" si="0"/>
        <v>4.3599999999999994</v>
      </c>
      <c r="V18" s="158">
        <v>84</v>
      </c>
    </row>
    <row r="19" spans="1:22" s="158" customFormat="1" x14ac:dyDescent="0.2">
      <c r="A19" s="302"/>
      <c r="B19" s="1495" t="s">
        <v>162</v>
      </c>
      <c r="C19" s="1495"/>
      <c r="D19" s="1495"/>
      <c r="E19" s="302"/>
      <c r="F19" s="473" t="s">
        <v>353</v>
      </c>
      <c r="G19" s="473"/>
      <c r="H19" s="473"/>
      <c r="I19" s="473"/>
      <c r="J19" s="306"/>
      <c r="K19" s="1495" t="s">
        <v>503</v>
      </c>
      <c r="L19" s="1495"/>
      <c r="M19" s="473"/>
      <c r="N19" s="473"/>
      <c r="O19" s="302"/>
      <c r="P19" s="302" t="s">
        <v>2535</v>
      </c>
      <c r="Q19" s="302" t="s">
        <v>2426</v>
      </c>
      <c r="R19" s="302" t="s">
        <v>2437</v>
      </c>
      <c r="S19" s="302" t="str">
        <f t="shared" si="1"/>
        <v>00040 LR/DO Central Puget Sound Regional Transit Authority</v>
      </c>
      <c r="U19" s="158">
        <f t="shared" si="0"/>
        <v>4.32</v>
      </c>
      <c r="V19" s="158">
        <v>83</v>
      </c>
    </row>
    <row r="20" spans="1:22" s="158" customFormat="1" x14ac:dyDescent="0.2">
      <c r="A20" s="302"/>
      <c r="B20" s="472" t="s">
        <v>1687</v>
      </c>
      <c r="C20" s="303" t="s">
        <v>1694</v>
      </c>
      <c r="D20" s="303"/>
      <c r="E20" s="302"/>
      <c r="F20" s="305">
        <v>1</v>
      </c>
      <c r="G20" s="302" t="s">
        <v>392</v>
      </c>
      <c r="H20" s="302"/>
      <c r="I20" s="302"/>
      <c r="J20" s="306"/>
      <c r="K20" s="307">
        <v>1</v>
      </c>
      <c r="L20" s="302" t="s">
        <v>489</v>
      </c>
      <c r="M20" s="302" t="s">
        <v>2421</v>
      </c>
      <c r="N20" s="302">
        <v>3</v>
      </c>
      <c r="O20" s="302"/>
      <c r="P20" s="302" t="s">
        <v>2535</v>
      </c>
      <c r="Q20" s="302" t="s">
        <v>2427</v>
      </c>
      <c r="R20" s="302" t="s">
        <v>2437</v>
      </c>
      <c r="S20" s="302" t="str">
        <f t="shared" si="1"/>
        <v>00040 LR/PT Central Puget Sound Regional Transit Authority</v>
      </c>
      <c r="U20" s="158">
        <f t="shared" si="0"/>
        <v>4.28</v>
      </c>
      <c r="V20" s="158">
        <v>82</v>
      </c>
    </row>
    <row r="21" spans="1:22" s="158" customFormat="1" x14ac:dyDescent="0.2">
      <c r="A21" s="302"/>
      <c r="B21" s="472" t="s">
        <v>1687</v>
      </c>
      <c r="C21" s="303" t="s">
        <v>1695</v>
      </c>
      <c r="D21" s="303"/>
      <c r="E21" s="302"/>
      <c r="F21" s="305">
        <v>2</v>
      </c>
      <c r="G21" s="302" t="s">
        <v>393</v>
      </c>
      <c r="H21" s="302"/>
      <c r="I21" s="302"/>
      <c r="J21" s="306"/>
      <c r="K21" s="307">
        <v>2</v>
      </c>
      <c r="L21" s="302" t="s">
        <v>277</v>
      </c>
      <c r="M21" s="302" t="s">
        <v>2421</v>
      </c>
      <c r="N21" s="302">
        <v>3</v>
      </c>
      <c r="O21" s="302"/>
      <c r="P21" s="302" t="s">
        <v>2535</v>
      </c>
      <c r="Q21" s="302" t="s">
        <v>2428</v>
      </c>
      <c r="R21" s="302" t="s">
        <v>2437</v>
      </c>
      <c r="S21" s="302" t="str">
        <f t="shared" si="1"/>
        <v>00040 SR/DO Central Puget Sound Regional Transit Authority</v>
      </c>
      <c r="U21" s="158">
        <f t="shared" si="0"/>
        <v>4.24</v>
      </c>
      <c r="V21" s="158">
        <v>81</v>
      </c>
    </row>
    <row r="22" spans="1:22" s="158" customFormat="1" x14ac:dyDescent="0.2">
      <c r="A22" s="302"/>
      <c r="B22" s="472" t="s">
        <v>1687</v>
      </c>
      <c r="C22" s="303" t="s">
        <v>1696</v>
      </c>
      <c r="D22" s="303"/>
      <c r="E22" s="302"/>
      <c r="F22" s="305">
        <v>3</v>
      </c>
      <c r="G22" s="302" t="s">
        <v>394</v>
      </c>
      <c r="H22" s="302"/>
      <c r="I22" s="302"/>
      <c r="J22" s="306"/>
      <c r="K22" s="307">
        <v>3</v>
      </c>
      <c r="L22" s="302" t="s">
        <v>278</v>
      </c>
      <c r="M22" s="302" t="s">
        <v>2421</v>
      </c>
      <c r="N22" s="302">
        <v>3</v>
      </c>
      <c r="O22" s="302"/>
      <c r="P22" s="302" t="s">
        <v>2536</v>
      </c>
      <c r="Q22" s="302" t="s">
        <v>2439</v>
      </c>
      <c r="R22" s="302" t="s">
        <v>2438</v>
      </c>
      <c r="S22" s="302" t="str">
        <f t="shared" si="1"/>
        <v>00041 AR/DO Alaska Railroad Corporation</v>
      </c>
      <c r="U22" s="158">
        <f t="shared" si="0"/>
        <v>4.2</v>
      </c>
      <c r="V22" s="158">
        <v>80</v>
      </c>
    </row>
    <row r="23" spans="1:22" s="158" customFormat="1" x14ac:dyDescent="0.2">
      <c r="A23" s="302"/>
      <c r="B23" s="472" t="s">
        <v>1687</v>
      </c>
      <c r="C23" s="303" t="s">
        <v>1697</v>
      </c>
      <c r="D23" s="303"/>
      <c r="E23" s="302"/>
      <c r="F23" s="305">
        <v>4</v>
      </c>
      <c r="G23" s="302" t="s">
        <v>395</v>
      </c>
      <c r="H23" s="302"/>
      <c r="I23" s="302"/>
      <c r="J23" s="306"/>
      <c r="K23" s="307">
        <v>4</v>
      </c>
      <c r="L23" s="302" t="s">
        <v>279</v>
      </c>
      <c r="M23" s="302" t="s">
        <v>2421</v>
      </c>
      <c r="N23" s="302">
        <v>3</v>
      </c>
      <c r="O23" s="302"/>
      <c r="P23" s="302" t="s">
        <v>2537</v>
      </c>
      <c r="Q23" s="302" t="s">
        <v>2428</v>
      </c>
      <c r="R23" s="302" t="s">
        <v>2440</v>
      </c>
      <c r="S23" s="302" t="str">
        <f t="shared" si="1"/>
        <v>00058 SR/DO City of Portland</v>
      </c>
      <c r="U23" s="158">
        <f t="shared" si="0"/>
        <v>4.16</v>
      </c>
      <c r="V23" s="158">
        <v>79</v>
      </c>
    </row>
    <row r="24" spans="1:22" s="158" customFormat="1" x14ac:dyDescent="0.2">
      <c r="A24" s="302"/>
      <c r="B24" s="307" t="s">
        <v>157</v>
      </c>
      <c r="C24" s="302" t="s">
        <v>2202</v>
      </c>
      <c r="D24" s="302"/>
      <c r="E24" s="302"/>
      <c r="F24" s="305"/>
      <c r="G24" s="306"/>
      <c r="H24" s="306"/>
      <c r="I24" s="306"/>
      <c r="J24" s="306"/>
      <c r="K24" s="307">
        <v>5</v>
      </c>
      <c r="L24" s="302" t="s">
        <v>415</v>
      </c>
      <c r="M24" s="306" t="s">
        <v>2421</v>
      </c>
      <c r="N24" s="306">
        <v>3</v>
      </c>
      <c r="O24" s="302"/>
      <c r="P24" s="302" t="s">
        <v>2537</v>
      </c>
      <c r="Q24" s="302" t="s">
        <v>2431</v>
      </c>
      <c r="R24" s="302" t="s">
        <v>2440</v>
      </c>
      <c r="S24" s="302" t="str">
        <f t="shared" si="1"/>
        <v>00058 SR/PT City of Portland</v>
      </c>
      <c r="U24" s="158">
        <f t="shared" si="0"/>
        <v>4.12</v>
      </c>
      <c r="V24" s="158">
        <v>78</v>
      </c>
    </row>
    <row r="25" spans="1:22" s="158" customFormat="1" x14ac:dyDescent="0.2">
      <c r="A25" s="302"/>
      <c r="B25" s="307" t="s">
        <v>1018</v>
      </c>
      <c r="C25" s="302" t="s">
        <v>1019</v>
      </c>
      <c r="D25" s="302"/>
      <c r="E25" s="302"/>
      <c r="F25" s="305"/>
      <c r="G25" s="306"/>
      <c r="H25" s="306"/>
      <c r="I25" s="306"/>
      <c r="J25" s="306"/>
      <c r="K25" s="307">
        <v>6</v>
      </c>
      <c r="L25" s="302" t="s">
        <v>587</v>
      </c>
      <c r="M25" s="306" t="s">
        <v>2421</v>
      </c>
      <c r="N25" s="306">
        <v>3</v>
      </c>
      <c r="O25" s="302"/>
      <c r="P25" s="302" t="s">
        <v>2538</v>
      </c>
      <c r="Q25" s="302" t="s">
        <v>2430</v>
      </c>
      <c r="R25" s="302" t="s">
        <v>2441</v>
      </c>
      <c r="S25" s="302" t="str">
        <f t="shared" si="1"/>
        <v>10001 CR/PT Rhode Island Public Transit Authority</v>
      </c>
      <c r="U25" s="158">
        <f t="shared" si="0"/>
        <v>4.08</v>
      </c>
      <c r="V25" s="158">
        <v>77</v>
      </c>
    </row>
    <row r="26" spans="1:22" s="158" customFormat="1" x14ac:dyDescent="0.2">
      <c r="A26" s="302"/>
      <c r="B26" s="472" t="s">
        <v>1006</v>
      </c>
      <c r="C26" s="303" t="s">
        <v>1007</v>
      </c>
      <c r="D26" s="303"/>
      <c r="E26" s="302"/>
      <c r="F26" s="305"/>
      <c r="G26" s="306"/>
      <c r="H26" s="306"/>
      <c r="I26" s="306"/>
      <c r="J26" s="306"/>
      <c r="K26" s="307">
        <v>7</v>
      </c>
      <c r="L26" s="302" t="s">
        <v>273</v>
      </c>
      <c r="M26" s="306" t="s">
        <v>2424</v>
      </c>
      <c r="N26" s="306">
        <v>5</v>
      </c>
      <c r="O26" s="302"/>
      <c r="P26" s="302" t="s">
        <v>2539</v>
      </c>
      <c r="Q26" s="302" t="s">
        <v>2443</v>
      </c>
      <c r="R26" s="302" t="s">
        <v>2442</v>
      </c>
      <c r="S26" s="302" t="str">
        <f t="shared" si="1"/>
        <v>10003 CR/DO Massachusetts Bay Transportation Authority</v>
      </c>
      <c r="U26" s="158">
        <f t="shared" si="0"/>
        <v>4.04</v>
      </c>
      <c r="V26" s="158">
        <v>76</v>
      </c>
    </row>
    <row r="27" spans="1:22" s="158" customFormat="1" x14ac:dyDescent="0.2">
      <c r="A27" s="302"/>
      <c r="B27" s="307" t="s">
        <v>161</v>
      </c>
      <c r="C27" s="302" t="s">
        <v>2203</v>
      </c>
      <c r="D27" s="302"/>
      <c r="E27" s="302"/>
      <c r="F27" s="308"/>
      <c r="G27" s="306"/>
      <c r="H27" s="306"/>
      <c r="I27" s="306"/>
      <c r="J27" s="306"/>
      <c r="K27" s="307">
        <v>8</v>
      </c>
      <c r="L27" s="306" t="s">
        <v>2262</v>
      </c>
      <c r="M27" s="306" t="s">
        <v>2424</v>
      </c>
      <c r="N27" s="306">
        <v>5</v>
      </c>
      <c r="O27" s="302"/>
      <c r="P27" s="302" t="s">
        <v>2539</v>
      </c>
      <c r="Q27" s="302" t="s">
        <v>2430</v>
      </c>
      <c r="R27" s="302" t="s">
        <v>2442</v>
      </c>
      <c r="S27" s="302" t="str">
        <f t="shared" si="1"/>
        <v>10003 CR/PT Massachusetts Bay Transportation Authority</v>
      </c>
      <c r="U27" s="158">
        <f t="shared" si="0"/>
        <v>4</v>
      </c>
      <c r="V27" s="158">
        <v>75</v>
      </c>
    </row>
    <row r="28" spans="1:22" s="158" customFormat="1" x14ac:dyDescent="0.2">
      <c r="A28" s="302"/>
      <c r="B28" s="307" t="s">
        <v>156</v>
      </c>
      <c r="C28" s="302" t="s">
        <v>2204</v>
      </c>
      <c r="D28" s="302"/>
      <c r="E28" s="302"/>
      <c r="F28" s="308"/>
      <c r="G28" s="306"/>
      <c r="H28" s="306"/>
      <c r="I28" s="306"/>
      <c r="J28" s="306"/>
      <c r="K28" s="307">
        <v>9</v>
      </c>
      <c r="L28" s="302" t="s">
        <v>2249</v>
      </c>
      <c r="M28" s="306" t="s">
        <v>2421</v>
      </c>
      <c r="N28" s="306">
        <v>3</v>
      </c>
      <c r="O28" s="302"/>
      <c r="P28" s="302" t="s">
        <v>2539</v>
      </c>
      <c r="Q28" s="302" t="s">
        <v>2444</v>
      </c>
      <c r="R28" s="302" t="s">
        <v>2442</v>
      </c>
      <c r="S28" s="302" t="str">
        <f t="shared" si="1"/>
        <v>10003 HR/DO Massachusetts Bay Transportation Authority</v>
      </c>
      <c r="U28" s="158">
        <f t="shared" si="0"/>
        <v>3.96</v>
      </c>
      <c r="V28" s="158">
        <v>74</v>
      </c>
    </row>
    <row r="29" spans="1:22" s="158" customFormat="1" x14ac:dyDescent="0.2">
      <c r="A29" s="302"/>
      <c r="B29" s="307" t="s">
        <v>1008</v>
      </c>
      <c r="C29" s="302" t="s">
        <v>1009</v>
      </c>
      <c r="D29" s="302"/>
      <c r="E29" s="302"/>
      <c r="F29" s="308"/>
      <c r="G29" s="306"/>
      <c r="H29" s="306"/>
      <c r="I29" s="306"/>
      <c r="J29" s="306"/>
      <c r="K29" s="307"/>
      <c r="L29" s="302" t="s">
        <v>1041</v>
      </c>
      <c r="M29" s="306"/>
      <c r="N29" s="306"/>
      <c r="O29" s="302"/>
      <c r="P29" s="302" t="s">
        <v>2539</v>
      </c>
      <c r="Q29" s="302" t="s">
        <v>2426</v>
      </c>
      <c r="R29" s="302" t="s">
        <v>2442</v>
      </c>
      <c r="S29" s="302" t="str">
        <f t="shared" si="1"/>
        <v>10003 LR/DO Massachusetts Bay Transportation Authority</v>
      </c>
      <c r="U29" s="158">
        <f t="shared" si="0"/>
        <v>3.92</v>
      </c>
      <c r="V29" s="158">
        <v>73</v>
      </c>
    </row>
    <row r="30" spans="1:22" s="158" customFormat="1" x14ac:dyDescent="0.2">
      <c r="A30" s="302"/>
      <c r="B30" s="307" t="s">
        <v>160</v>
      </c>
      <c r="C30" s="302" t="s">
        <v>611</v>
      </c>
      <c r="D30" s="302"/>
      <c r="E30" s="302"/>
      <c r="F30" s="473" t="s">
        <v>2407</v>
      </c>
      <c r="G30" s="473"/>
      <c r="H30" s="473"/>
      <c r="I30" s="473"/>
      <c r="J30" s="306"/>
      <c r="K30" s="1495" t="s">
        <v>2413</v>
      </c>
      <c r="L30" s="1495"/>
      <c r="M30" s="473"/>
      <c r="N30" s="473"/>
      <c r="O30" s="302"/>
      <c r="P30" s="302" t="s">
        <v>2540</v>
      </c>
      <c r="Q30" s="302" t="s">
        <v>2446</v>
      </c>
      <c r="R30" s="302" t="s">
        <v>2445</v>
      </c>
      <c r="S30" s="302" t="str">
        <f t="shared" si="1"/>
        <v>10007 AG/DO Berkshire Regional Transit Authority</v>
      </c>
      <c r="U30" s="158">
        <f t="shared" si="0"/>
        <v>3.88</v>
      </c>
      <c r="V30" s="158">
        <v>72</v>
      </c>
    </row>
    <row r="31" spans="1:22" x14ac:dyDescent="0.2">
      <c r="A31" s="302"/>
      <c r="B31" s="307" t="s">
        <v>152</v>
      </c>
      <c r="C31" s="302" t="s">
        <v>2205</v>
      </c>
      <c r="D31" s="302"/>
      <c r="E31" s="302"/>
      <c r="F31" s="305">
        <v>1</v>
      </c>
      <c r="G31" s="302"/>
      <c r="H31" s="302"/>
      <c r="I31" s="302"/>
      <c r="J31" s="306"/>
      <c r="K31" s="307">
        <v>1</v>
      </c>
      <c r="L31" s="306" t="s">
        <v>202</v>
      </c>
      <c r="M31" s="302"/>
      <c r="N31" s="302"/>
      <c r="O31" s="302"/>
      <c r="P31" s="302" t="s">
        <v>2540</v>
      </c>
      <c r="Q31" s="302" t="s">
        <v>2447</v>
      </c>
      <c r="R31" s="302" t="s">
        <v>2445</v>
      </c>
      <c r="S31" s="302" t="str">
        <f t="shared" si="1"/>
        <v>10007 CC/DO Berkshire Regional Transit Authority</v>
      </c>
      <c r="U31" s="158">
        <f t="shared" si="0"/>
        <v>3.84</v>
      </c>
      <c r="V31" s="158">
        <v>71</v>
      </c>
    </row>
    <row r="32" spans="1:22" x14ac:dyDescent="0.2">
      <c r="A32" s="303"/>
      <c r="B32" s="307" t="s">
        <v>158</v>
      </c>
      <c r="C32" s="302" t="s">
        <v>612</v>
      </c>
      <c r="D32" s="302"/>
      <c r="E32" s="302"/>
      <c r="F32" s="305">
        <v>2</v>
      </c>
      <c r="G32" s="302"/>
      <c r="H32" s="302"/>
      <c r="I32" s="302"/>
      <c r="J32" s="1798"/>
      <c r="K32" s="307">
        <v>2</v>
      </c>
      <c r="L32" s="306" t="s">
        <v>2414</v>
      </c>
      <c r="M32" s="302"/>
      <c r="N32" s="302"/>
      <c r="O32" s="302"/>
      <c r="P32" s="302" t="s">
        <v>2541</v>
      </c>
      <c r="Q32" s="302" t="s">
        <v>2443</v>
      </c>
      <c r="R32" s="302" t="s">
        <v>2448</v>
      </c>
      <c r="S32" s="302" t="str">
        <f t="shared" si="1"/>
        <v>10102 CR/DO Connecticut Department of Transportation</v>
      </c>
      <c r="U32" s="158">
        <f t="shared" si="0"/>
        <v>3.8000000000000003</v>
      </c>
      <c r="V32" s="158">
        <v>70</v>
      </c>
    </row>
    <row r="33" spans="1:22" x14ac:dyDescent="0.2">
      <c r="A33" s="303"/>
      <c r="B33" s="307" t="s">
        <v>1011</v>
      </c>
      <c r="C33" s="302" t="s">
        <v>1012</v>
      </c>
      <c r="D33" s="302"/>
      <c r="E33" s="303"/>
      <c r="F33" s="305">
        <v>3</v>
      </c>
      <c r="G33" s="302"/>
      <c r="H33" s="302"/>
      <c r="I33" s="302"/>
      <c r="J33" s="1798"/>
      <c r="K33" s="307"/>
      <c r="L33" s="306"/>
      <c r="M33" s="302"/>
      <c r="N33" s="302"/>
      <c r="O33" s="302"/>
      <c r="P33" s="302" t="s">
        <v>2541</v>
      </c>
      <c r="Q33" s="302" t="s">
        <v>2430</v>
      </c>
      <c r="R33" s="302" t="s">
        <v>2448</v>
      </c>
      <c r="S33" s="302" t="str">
        <f t="shared" si="1"/>
        <v>10102 CR/PT Connecticut Department of Transportation</v>
      </c>
      <c r="U33" s="158">
        <f t="shared" si="0"/>
        <v>3.7600000000000002</v>
      </c>
      <c r="V33" s="158">
        <v>69</v>
      </c>
    </row>
    <row r="34" spans="1:22" x14ac:dyDescent="0.2">
      <c r="A34" s="303"/>
      <c r="B34" s="307" t="s">
        <v>144</v>
      </c>
      <c r="C34" s="302" t="s">
        <v>2206</v>
      </c>
      <c r="D34" s="302"/>
      <c r="E34" s="303"/>
      <c r="F34" s="305">
        <v>4</v>
      </c>
      <c r="G34" s="302"/>
      <c r="H34" s="302"/>
      <c r="I34" s="302"/>
      <c r="J34" s="1798"/>
      <c r="K34" s="306"/>
      <c r="L34" s="306"/>
      <c r="M34" s="302"/>
      <c r="N34" s="302"/>
      <c r="O34" s="302"/>
      <c r="P34" s="302" t="s">
        <v>2542</v>
      </c>
      <c r="Q34" s="302" t="s">
        <v>2430</v>
      </c>
      <c r="R34" s="302" t="s">
        <v>2449</v>
      </c>
      <c r="S34" s="302" t="str">
        <f t="shared" si="1"/>
        <v>10115 CR/PT Northern New England Passenger Rail Authority</v>
      </c>
      <c r="U34" s="158">
        <f t="shared" si="0"/>
        <v>3.72</v>
      </c>
      <c r="V34" s="158">
        <v>68</v>
      </c>
    </row>
    <row r="35" spans="1:22" x14ac:dyDescent="0.2">
      <c r="A35" s="303"/>
      <c r="B35" s="307" t="s">
        <v>138</v>
      </c>
      <c r="C35" s="309" t="s">
        <v>1003</v>
      </c>
      <c r="D35" s="309"/>
      <c r="E35" s="303"/>
      <c r="F35" s="305">
        <v>5</v>
      </c>
      <c r="G35" s="306"/>
      <c r="H35" s="306"/>
      <c r="I35" s="306"/>
      <c r="J35" s="1798"/>
      <c r="K35" s="306"/>
      <c r="L35" s="306"/>
      <c r="M35" s="306"/>
      <c r="N35" s="306"/>
      <c r="O35" s="302"/>
      <c r="P35" s="302" t="s">
        <v>2543</v>
      </c>
      <c r="Q35" s="302" t="s">
        <v>2426</v>
      </c>
      <c r="R35" s="302" t="s">
        <v>2450</v>
      </c>
      <c r="S35" s="302" t="str">
        <f t="shared" si="1"/>
        <v>20004 LR/DO Niagara Frontier Transportation Authority</v>
      </c>
      <c r="U35" s="158">
        <f t="shared" si="0"/>
        <v>3.68</v>
      </c>
      <c r="V35" s="158">
        <v>67</v>
      </c>
    </row>
    <row r="36" spans="1:22" x14ac:dyDescent="0.2">
      <c r="A36" s="303"/>
      <c r="B36" s="307" t="s">
        <v>1013</v>
      </c>
      <c r="C36" s="302" t="s">
        <v>2207</v>
      </c>
      <c r="D36" s="302"/>
      <c r="E36" s="303"/>
      <c r="F36" s="472" t="s">
        <v>2410</v>
      </c>
      <c r="G36" s="303"/>
      <c r="H36" s="303"/>
      <c r="I36" s="303"/>
      <c r="J36" s="1798"/>
      <c r="K36" s="306"/>
      <c r="L36" s="306"/>
      <c r="M36" s="303"/>
      <c r="N36" s="303"/>
      <c r="O36" s="302"/>
      <c r="P36" s="302" t="s">
        <v>2544</v>
      </c>
      <c r="Q36" s="302" t="s">
        <v>2444</v>
      </c>
      <c r="R36" s="302" t="s">
        <v>2451</v>
      </c>
      <c r="S36" s="302" t="str">
        <f t="shared" si="1"/>
        <v>20008 HR/DO MTA New York City Transit</v>
      </c>
      <c r="U36" s="158">
        <f t="shared" si="0"/>
        <v>3.64</v>
      </c>
      <c r="V36" s="158">
        <v>66</v>
      </c>
    </row>
    <row r="37" spans="1:22" x14ac:dyDescent="0.2">
      <c r="A37" s="303"/>
      <c r="B37" s="307" t="s">
        <v>1014</v>
      </c>
      <c r="C37" s="302" t="s">
        <v>1015</v>
      </c>
      <c r="D37" s="302"/>
      <c r="E37" s="303"/>
      <c r="F37" s="303"/>
      <c r="G37" s="303"/>
      <c r="H37" s="303"/>
      <c r="I37" s="303"/>
      <c r="J37" s="1798"/>
      <c r="K37" s="306"/>
      <c r="L37" s="306"/>
      <c r="M37" s="303"/>
      <c r="N37" s="303"/>
      <c r="O37" s="302"/>
      <c r="P37" s="302" t="s">
        <v>2545</v>
      </c>
      <c r="Q37" s="302" t="s">
        <v>2444</v>
      </c>
      <c r="R37" s="302" t="s">
        <v>2452</v>
      </c>
      <c r="S37" s="302" t="str">
        <f t="shared" si="1"/>
        <v>20075 HR/DO Port Authority Transit Corporation</v>
      </c>
      <c r="U37" s="158">
        <f t="shared" si="0"/>
        <v>3.6</v>
      </c>
      <c r="V37" s="158">
        <v>65</v>
      </c>
    </row>
    <row r="38" spans="1:22" x14ac:dyDescent="0.2">
      <c r="A38" s="303"/>
      <c r="B38" s="472" t="s">
        <v>1004</v>
      </c>
      <c r="C38" s="303" t="s">
        <v>1005</v>
      </c>
      <c r="D38" s="303"/>
      <c r="E38" s="303"/>
      <c r="F38" s="303"/>
      <c r="G38" s="303"/>
      <c r="H38" s="303"/>
      <c r="I38" s="303"/>
      <c r="J38" s="1798"/>
      <c r="K38" s="306"/>
      <c r="L38" s="306"/>
      <c r="M38" s="303"/>
      <c r="N38" s="303"/>
      <c r="O38" s="302"/>
      <c r="P38" s="302" t="s">
        <v>2546</v>
      </c>
      <c r="Q38" s="302" t="s">
        <v>2443</v>
      </c>
      <c r="R38" s="302" t="s">
        <v>2453</v>
      </c>
      <c r="S38" s="302" t="str">
        <f t="shared" si="1"/>
        <v>20078 CR/DO Metro-North Commuter Railroad Company, dba: MTA Metro-North Railroad</v>
      </c>
      <c r="U38" s="158">
        <f t="shared" si="0"/>
        <v>3.56</v>
      </c>
      <c r="V38" s="158">
        <v>64</v>
      </c>
    </row>
    <row r="39" spans="1:22" x14ac:dyDescent="0.2">
      <c r="A39" s="303"/>
      <c r="B39" s="307" t="s">
        <v>1016</v>
      </c>
      <c r="C39" s="302" t="s">
        <v>2208</v>
      </c>
      <c r="D39" s="302"/>
      <c r="E39" s="303"/>
      <c r="F39" s="303"/>
      <c r="G39" s="303"/>
      <c r="H39" s="303"/>
      <c r="I39" s="303"/>
      <c r="J39" s="1798"/>
      <c r="K39" s="306"/>
      <c r="L39" s="306"/>
      <c r="M39" s="303"/>
      <c r="N39" s="303"/>
      <c r="O39" s="302"/>
      <c r="P39" s="302" t="s">
        <v>2546</v>
      </c>
      <c r="Q39" s="302" t="s">
        <v>2430</v>
      </c>
      <c r="R39" s="302" t="s">
        <v>2453</v>
      </c>
      <c r="S39" s="302" t="str">
        <f t="shared" ref="S39:S70" si="2">CONCATENATE(P39, " ",Q39," ",R39)</f>
        <v>20078 CR/PT Metro-North Commuter Railroad Company, dba: MTA Metro-North Railroad</v>
      </c>
      <c r="U39" s="158">
        <f t="shared" si="0"/>
        <v>3.52</v>
      </c>
      <c r="V39" s="158">
        <v>63</v>
      </c>
    </row>
    <row r="40" spans="1:22" x14ac:dyDescent="0.2">
      <c r="A40" s="303"/>
      <c r="B40" s="307" t="s">
        <v>108</v>
      </c>
      <c r="C40" s="302" t="s">
        <v>619</v>
      </c>
      <c r="D40" s="302"/>
      <c r="E40" s="303"/>
      <c r="F40" s="303"/>
      <c r="G40" s="303"/>
      <c r="H40" s="303"/>
      <c r="I40" s="303"/>
      <c r="J40" s="1798"/>
      <c r="K40" s="306"/>
      <c r="L40" s="306"/>
      <c r="M40" s="303"/>
      <c r="N40" s="303"/>
      <c r="O40" s="302"/>
      <c r="P40" s="302" t="s">
        <v>2547</v>
      </c>
      <c r="Q40" s="302" t="s">
        <v>2443</v>
      </c>
      <c r="R40" s="302" t="s">
        <v>2454</v>
      </c>
      <c r="S40" s="302" t="str">
        <f t="shared" si="2"/>
        <v>20080 CR/DO New Jersey Transit Corporation</v>
      </c>
      <c r="U40" s="158">
        <f t="shared" si="0"/>
        <v>3.48</v>
      </c>
      <c r="V40" s="158">
        <v>62</v>
      </c>
    </row>
    <row r="41" spans="1:22" x14ac:dyDescent="0.2">
      <c r="A41" s="303"/>
      <c r="B41" s="307" t="s">
        <v>159</v>
      </c>
      <c r="C41" s="302" t="s">
        <v>2209</v>
      </c>
      <c r="D41" s="302"/>
      <c r="E41" s="303"/>
      <c r="F41" s="303"/>
      <c r="G41" s="303"/>
      <c r="H41" s="303"/>
      <c r="I41" s="303"/>
      <c r="J41" s="1798"/>
      <c r="K41" s="307"/>
      <c r="L41" s="306"/>
      <c r="M41" s="303"/>
      <c r="N41" s="303"/>
      <c r="O41" s="302"/>
      <c r="P41" s="302" t="s">
        <v>2547</v>
      </c>
      <c r="Q41" s="302" t="s">
        <v>2430</v>
      </c>
      <c r="R41" s="302" t="s">
        <v>2454</v>
      </c>
      <c r="S41" s="302" t="str">
        <f t="shared" si="2"/>
        <v>20080 CR/PT New Jersey Transit Corporation</v>
      </c>
      <c r="U41" s="158">
        <f t="shared" si="0"/>
        <v>3.44</v>
      </c>
      <c r="V41" s="158">
        <v>61</v>
      </c>
    </row>
    <row r="42" spans="1:22" x14ac:dyDescent="0.2">
      <c r="A42" s="303"/>
      <c r="B42" s="307" t="s">
        <v>17</v>
      </c>
      <c r="C42" s="302" t="s">
        <v>1017</v>
      </c>
      <c r="D42" s="302"/>
      <c r="E42" s="303"/>
      <c r="F42" s="303"/>
      <c r="G42" s="303"/>
      <c r="H42" s="303"/>
      <c r="I42" s="303"/>
      <c r="J42" s="1798"/>
      <c r="K42" s="307"/>
      <c r="L42" s="306"/>
      <c r="M42" s="303"/>
      <c r="N42" s="303"/>
      <c r="O42" s="302"/>
      <c r="P42" s="302" t="s">
        <v>2547</v>
      </c>
      <c r="Q42" s="302" t="s">
        <v>2426</v>
      </c>
      <c r="R42" s="302" t="s">
        <v>2454</v>
      </c>
      <c r="S42" s="302" t="str">
        <f t="shared" si="2"/>
        <v>20080 LR/DO New Jersey Transit Corporation</v>
      </c>
      <c r="U42" s="158">
        <f t="shared" si="0"/>
        <v>3.4</v>
      </c>
      <c r="V42" s="158">
        <v>60</v>
      </c>
    </row>
    <row r="43" spans="1:22" x14ac:dyDescent="0.2">
      <c r="A43" s="303"/>
      <c r="B43" s="307" t="s">
        <v>1010</v>
      </c>
      <c r="C43" s="302" t="s">
        <v>2210</v>
      </c>
      <c r="D43" s="302"/>
      <c r="E43" s="303"/>
      <c r="F43" s="303"/>
      <c r="G43" s="303"/>
      <c r="H43" s="303"/>
      <c r="I43" s="303"/>
      <c r="J43" s="1798"/>
      <c r="K43" s="307"/>
      <c r="L43" s="306"/>
      <c r="M43" s="303"/>
      <c r="N43" s="303"/>
      <c r="O43" s="302"/>
      <c r="P43" s="302" t="s">
        <v>2547</v>
      </c>
      <c r="Q43" s="302" t="s">
        <v>2427</v>
      </c>
      <c r="R43" s="302" t="s">
        <v>2454</v>
      </c>
      <c r="S43" s="302" t="str">
        <f t="shared" si="2"/>
        <v>20080 LR/PT New Jersey Transit Corporation</v>
      </c>
      <c r="U43" s="158">
        <f t="shared" si="0"/>
        <v>3.36</v>
      </c>
      <c r="V43" s="158">
        <v>59</v>
      </c>
    </row>
    <row r="44" spans="1:22" x14ac:dyDescent="0.2">
      <c r="A44" s="303"/>
      <c r="B44" s="303"/>
      <c r="C44" s="303"/>
      <c r="D44" s="303"/>
      <c r="E44" s="303"/>
      <c r="F44" s="303"/>
      <c r="G44" s="303"/>
      <c r="H44" s="303"/>
      <c r="I44" s="303"/>
      <c r="J44" s="1798"/>
      <c r="K44" s="307"/>
      <c r="L44" s="306" t="s">
        <v>1041</v>
      </c>
      <c r="M44" s="303"/>
      <c r="N44" s="303"/>
      <c r="O44" s="302"/>
      <c r="P44" s="302" t="s">
        <v>2547</v>
      </c>
      <c r="Q44" s="302" t="s">
        <v>2432</v>
      </c>
      <c r="R44" s="302" t="s">
        <v>2454</v>
      </c>
      <c r="S44" s="302" t="str">
        <f t="shared" si="2"/>
        <v>20080 YR/PT New Jersey Transit Corporation</v>
      </c>
      <c r="U44" s="158">
        <f t="shared" si="0"/>
        <v>3.32</v>
      </c>
      <c r="V44" s="158">
        <v>58</v>
      </c>
    </row>
    <row r="45" spans="1:22" x14ac:dyDescent="0.2">
      <c r="A45" s="303"/>
      <c r="B45" s="303"/>
      <c r="C45" s="303"/>
      <c r="D45" s="303"/>
      <c r="E45" s="303"/>
      <c r="F45" s="303"/>
      <c r="G45" s="303"/>
      <c r="H45" s="303"/>
      <c r="I45" s="303"/>
      <c r="J45" s="1798"/>
      <c r="K45" s="307"/>
      <c r="L45" s="306" t="s">
        <v>1041</v>
      </c>
      <c r="M45" s="303"/>
      <c r="N45" s="303"/>
      <c r="O45" s="302"/>
      <c r="P45" s="302" t="s">
        <v>2548</v>
      </c>
      <c r="Q45" s="302" t="s">
        <v>2444</v>
      </c>
      <c r="R45" s="302" t="s">
        <v>2455</v>
      </c>
      <c r="S45" s="302" t="str">
        <f t="shared" si="2"/>
        <v>20098 HR/DO Port Authority Trans-Hudson Corporation</v>
      </c>
      <c r="U45" s="158">
        <f t="shared" si="0"/>
        <v>3.2800000000000002</v>
      </c>
      <c r="V45" s="158">
        <v>57</v>
      </c>
    </row>
    <row r="46" spans="1:22" x14ac:dyDescent="0.2">
      <c r="A46" s="303"/>
      <c r="B46" s="1495" t="s">
        <v>511</v>
      </c>
      <c r="C46" s="1495"/>
      <c r="D46" s="1495"/>
      <c r="E46" s="303"/>
      <c r="F46" s="1495" t="s">
        <v>513</v>
      </c>
      <c r="G46" s="1495"/>
      <c r="H46" s="1495"/>
      <c r="I46" s="1495"/>
      <c r="J46" s="1798"/>
      <c r="K46" s="1495" t="s">
        <v>512</v>
      </c>
      <c r="L46" s="1495"/>
      <c r="M46" s="1495"/>
      <c r="N46" s="1495"/>
      <c r="O46" s="302"/>
      <c r="P46" s="302" t="s">
        <v>2549</v>
      </c>
      <c r="Q46" s="302" t="s">
        <v>2444</v>
      </c>
      <c r="R46" s="302" t="s">
        <v>2456</v>
      </c>
      <c r="S46" s="302" t="str">
        <f t="shared" si="2"/>
        <v>20099 HR/DO Staten Island Rapid Transit Operating Authority, dba: MTA Staten Island Railway</v>
      </c>
      <c r="U46" s="158">
        <f t="shared" si="0"/>
        <v>3.24</v>
      </c>
      <c r="V46" s="158">
        <v>56</v>
      </c>
    </row>
    <row r="47" spans="1:22" x14ac:dyDescent="0.2">
      <c r="A47" s="303"/>
      <c r="B47" s="305">
        <v>1</v>
      </c>
      <c r="C47" s="302" t="s">
        <v>621</v>
      </c>
      <c r="D47" s="302"/>
      <c r="E47" s="303"/>
      <c r="F47" s="305">
        <v>1</v>
      </c>
      <c r="G47" s="302" t="s">
        <v>416</v>
      </c>
      <c r="H47" s="302"/>
      <c r="I47" s="302"/>
      <c r="J47" s="1798"/>
      <c r="K47" s="306" t="s">
        <v>927</v>
      </c>
      <c r="L47" s="306"/>
      <c r="M47" s="302"/>
      <c r="N47" s="302"/>
      <c r="O47" s="302"/>
      <c r="P47" s="302" t="s">
        <v>2550</v>
      </c>
      <c r="Q47" s="302" t="s">
        <v>2443</v>
      </c>
      <c r="R47" s="302" t="s">
        <v>2457</v>
      </c>
      <c r="S47" s="302" t="str">
        <f t="shared" si="2"/>
        <v>20100 CR/DO MTA Long Island Rail Road</v>
      </c>
      <c r="U47" s="158">
        <f t="shared" si="0"/>
        <v>3.2</v>
      </c>
      <c r="V47" s="158">
        <v>55</v>
      </c>
    </row>
    <row r="48" spans="1:22" x14ac:dyDescent="0.2">
      <c r="A48" s="303"/>
      <c r="B48" s="305">
        <v>2</v>
      </c>
      <c r="C48" s="302" t="s">
        <v>622</v>
      </c>
      <c r="D48" s="302"/>
      <c r="E48" s="303"/>
      <c r="F48" s="305">
        <v>2</v>
      </c>
      <c r="G48" s="302" t="s">
        <v>417</v>
      </c>
      <c r="H48" s="302"/>
      <c r="I48" s="302"/>
      <c r="J48" s="1798"/>
      <c r="K48" s="306" t="s">
        <v>928</v>
      </c>
      <c r="L48" s="306"/>
      <c r="M48" s="302"/>
      <c r="N48" s="302"/>
      <c r="O48" s="302"/>
      <c r="P48" s="302" t="s">
        <v>2551</v>
      </c>
      <c r="Q48" s="302" t="s">
        <v>2459</v>
      </c>
      <c r="R48" s="302" t="s">
        <v>2458</v>
      </c>
      <c r="S48" s="302" t="str">
        <f t="shared" si="2"/>
        <v>30012 IP/DO Cambria County Transit Authority</v>
      </c>
      <c r="U48" s="158">
        <f t="shared" si="0"/>
        <v>3.16</v>
      </c>
      <c r="V48" s="158">
        <v>54</v>
      </c>
    </row>
    <row r="49" spans="1:22" x14ac:dyDescent="0.2">
      <c r="A49" s="303"/>
      <c r="B49" s="305">
        <v>3</v>
      </c>
      <c r="C49" s="302" t="s">
        <v>616</v>
      </c>
      <c r="D49" s="302"/>
      <c r="E49" s="303"/>
      <c r="F49" s="305">
        <v>3</v>
      </c>
      <c r="G49" s="302" t="s">
        <v>418</v>
      </c>
      <c r="H49" s="302"/>
      <c r="I49" s="302"/>
      <c r="J49" s="1798"/>
      <c r="K49" s="306" t="s">
        <v>929</v>
      </c>
      <c r="L49" s="306"/>
      <c r="M49" s="302"/>
      <c r="N49" s="302"/>
      <c r="O49" s="302"/>
      <c r="P49" s="302" t="s">
        <v>2552</v>
      </c>
      <c r="Q49" s="302" t="s">
        <v>2443</v>
      </c>
      <c r="R49" s="302" t="s">
        <v>2460</v>
      </c>
      <c r="S49" s="302" t="str">
        <f t="shared" si="2"/>
        <v>30019 CR/DO Southeastern Pennsylvania Transportation Authority</v>
      </c>
      <c r="U49" s="158">
        <f t="shared" si="0"/>
        <v>3.12</v>
      </c>
      <c r="V49" s="158">
        <v>53</v>
      </c>
    </row>
    <row r="50" spans="1:22" x14ac:dyDescent="0.2">
      <c r="A50" s="303"/>
      <c r="B50" s="305">
        <v>4</v>
      </c>
      <c r="C50" s="302" t="s">
        <v>623</v>
      </c>
      <c r="D50" s="302"/>
      <c r="E50" s="303"/>
      <c r="F50" s="305"/>
      <c r="G50" s="302"/>
      <c r="H50" s="302"/>
      <c r="I50" s="302"/>
      <c r="J50" s="1798"/>
      <c r="K50" s="306" t="s">
        <v>930</v>
      </c>
      <c r="L50" s="306"/>
      <c r="M50" s="302"/>
      <c r="N50" s="302"/>
      <c r="O50" s="302"/>
      <c r="P50" s="302" t="s">
        <v>2552</v>
      </c>
      <c r="Q50" s="302" t="s">
        <v>2430</v>
      </c>
      <c r="R50" s="302" t="s">
        <v>2460</v>
      </c>
      <c r="S50" s="302" t="str">
        <f t="shared" si="2"/>
        <v>30019 CR/PT Southeastern Pennsylvania Transportation Authority</v>
      </c>
      <c r="U50" s="158">
        <f t="shared" si="0"/>
        <v>3.08</v>
      </c>
      <c r="V50" s="158">
        <v>52</v>
      </c>
    </row>
    <row r="51" spans="1:22" x14ac:dyDescent="0.2">
      <c r="A51" s="303"/>
      <c r="B51" s="305">
        <v>5</v>
      </c>
      <c r="C51" s="302" t="s">
        <v>617</v>
      </c>
      <c r="D51" s="302"/>
      <c r="E51" s="303"/>
      <c r="F51" s="305"/>
      <c r="G51" s="302"/>
      <c r="H51" s="302"/>
      <c r="I51" s="302"/>
      <c r="J51" s="1798"/>
      <c r="K51" s="306" t="s">
        <v>931</v>
      </c>
      <c r="L51" s="306"/>
      <c r="M51" s="302"/>
      <c r="N51" s="302"/>
      <c r="O51" s="302"/>
      <c r="P51" s="302" t="s">
        <v>2552</v>
      </c>
      <c r="Q51" s="302" t="s">
        <v>2444</v>
      </c>
      <c r="R51" s="302" t="s">
        <v>2460</v>
      </c>
      <c r="S51" s="302" t="str">
        <f t="shared" si="2"/>
        <v>30019 HR/DO Southeastern Pennsylvania Transportation Authority</v>
      </c>
      <c r="U51" s="158">
        <f t="shared" si="0"/>
        <v>3.04</v>
      </c>
      <c r="V51" s="158">
        <v>51</v>
      </c>
    </row>
    <row r="52" spans="1:22" x14ac:dyDescent="0.2">
      <c r="A52" s="303"/>
      <c r="B52" s="305">
        <v>6</v>
      </c>
      <c r="C52" s="302" t="s">
        <v>624</v>
      </c>
      <c r="D52" s="302"/>
      <c r="E52" s="303"/>
      <c r="F52" s="305"/>
      <c r="G52" s="302"/>
      <c r="H52" s="302"/>
      <c r="I52" s="302"/>
      <c r="J52" s="1798"/>
      <c r="K52" s="306" t="s">
        <v>932</v>
      </c>
      <c r="L52" s="306"/>
      <c r="M52" s="302"/>
      <c r="N52" s="302"/>
      <c r="O52" s="302"/>
      <c r="P52" s="302" t="s">
        <v>2552</v>
      </c>
      <c r="Q52" s="302" t="s">
        <v>2426</v>
      </c>
      <c r="R52" s="302" t="s">
        <v>2460</v>
      </c>
      <c r="S52" s="302" t="str">
        <f t="shared" si="2"/>
        <v>30019 LR/DO Southeastern Pennsylvania Transportation Authority</v>
      </c>
      <c r="U52" s="158">
        <f t="shared" si="0"/>
        <v>3</v>
      </c>
      <c r="V52" s="158">
        <v>50</v>
      </c>
    </row>
    <row r="53" spans="1:22" x14ac:dyDescent="0.2">
      <c r="A53" s="303"/>
      <c r="B53" s="305">
        <v>7</v>
      </c>
      <c r="C53" s="302" t="s">
        <v>1698</v>
      </c>
      <c r="D53" s="302"/>
      <c r="E53" s="303"/>
      <c r="F53" s="305"/>
      <c r="G53" s="302"/>
      <c r="H53" s="302"/>
      <c r="I53" s="302"/>
      <c r="J53" s="1798"/>
      <c r="K53" s="306" t="s">
        <v>933</v>
      </c>
      <c r="L53" s="306"/>
      <c r="M53" s="302"/>
      <c r="N53" s="302"/>
      <c r="O53" s="302"/>
      <c r="P53" s="302" t="s">
        <v>2552</v>
      </c>
      <c r="Q53" s="302" t="s">
        <v>2428</v>
      </c>
      <c r="R53" s="302" t="s">
        <v>2460</v>
      </c>
      <c r="S53" s="302" t="str">
        <f t="shared" si="2"/>
        <v>30019 SR/DO Southeastern Pennsylvania Transportation Authority</v>
      </c>
      <c r="U53" s="158">
        <f t="shared" si="0"/>
        <v>2.96</v>
      </c>
      <c r="V53" s="158">
        <v>49</v>
      </c>
    </row>
    <row r="54" spans="1:22" x14ac:dyDescent="0.2">
      <c r="A54" s="303"/>
      <c r="B54" s="305">
        <v>8</v>
      </c>
      <c r="C54" s="302" t="s">
        <v>625</v>
      </c>
      <c r="D54" s="302"/>
      <c r="E54" s="303"/>
      <c r="F54" s="305"/>
      <c r="G54" s="302"/>
      <c r="H54" s="302"/>
      <c r="I54" s="302"/>
      <c r="J54" s="1798"/>
      <c r="K54" s="306" t="s">
        <v>934</v>
      </c>
      <c r="L54" s="306"/>
      <c r="M54" s="302"/>
      <c r="N54" s="302"/>
      <c r="O54" s="302"/>
      <c r="P54" s="302" t="s">
        <v>2553</v>
      </c>
      <c r="Q54" s="302" t="s">
        <v>2459</v>
      </c>
      <c r="R54" s="302" t="s">
        <v>2461</v>
      </c>
      <c r="S54" s="302" t="str">
        <f t="shared" si="2"/>
        <v>30022 IP/DO Port Authority of Allegheny County</v>
      </c>
      <c r="U54" s="158">
        <f t="shared" si="0"/>
        <v>2.92</v>
      </c>
      <c r="V54" s="158">
        <v>48</v>
      </c>
    </row>
    <row r="55" spans="1:22" x14ac:dyDescent="0.2">
      <c r="A55" s="303"/>
      <c r="B55" s="305">
        <v>9</v>
      </c>
      <c r="C55" s="302" t="s">
        <v>618</v>
      </c>
      <c r="D55" s="302"/>
      <c r="E55" s="303"/>
      <c r="F55" s="305"/>
      <c r="G55" s="302"/>
      <c r="H55" s="302"/>
      <c r="I55" s="302"/>
      <c r="J55" s="1798"/>
      <c r="K55" s="306" t="s">
        <v>935</v>
      </c>
      <c r="L55" s="306"/>
      <c r="M55" s="302"/>
      <c r="N55" s="302"/>
      <c r="O55" s="302"/>
      <c r="P55" s="302" t="s">
        <v>2553</v>
      </c>
      <c r="Q55" s="302" t="s">
        <v>2462</v>
      </c>
      <c r="R55" s="302" t="s">
        <v>2461</v>
      </c>
      <c r="S55" s="302" t="str">
        <f t="shared" si="2"/>
        <v>30022 IP/PT Port Authority of Allegheny County</v>
      </c>
      <c r="U55" s="158">
        <f t="shared" si="0"/>
        <v>2.88</v>
      </c>
      <c r="V55" s="158">
        <v>47</v>
      </c>
    </row>
    <row r="56" spans="1:22" x14ac:dyDescent="0.2">
      <c r="A56" s="303"/>
      <c r="B56" s="305">
        <v>10</v>
      </c>
      <c r="C56" s="302" t="s">
        <v>626</v>
      </c>
      <c r="D56" s="302"/>
      <c r="E56" s="303"/>
      <c r="F56" s="305"/>
      <c r="G56" s="302"/>
      <c r="H56" s="302"/>
      <c r="I56" s="302"/>
      <c r="J56" s="1798"/>
      <c r="K56" s="306" t="s">
        <v>936</v>
      </c>
      <c r="L56" s="306"/>
      <c r="M56" s="302"/>
      <c r="N56" s="302"/>
      <c r="O56" s="302"/>
      <c r="P56" s="302" t="s">
        <v>2553</v>
      </c>
      <c r="Q56" s="302" t="s">
        <v>2426</v>
      </c>
      <c r="R56" s="302" t="s">
        <v>2461</v>
      </c>
      <c r="S56" s="302" t="str">
        <f t="shared" si="2"/>
        <v>30022 LR/DO Port Authority of Allegheny County</v>
      </c>
      <c r="U56" s="158">
        <f t="shared" si="0"/>
        <v>2.84</v>
      </c>
      <c r="V56" s="158">
        <v>46</v>
      </c>
    </row>
    <row r="57" spans="1:22" x14ac:dyDescent="0.2">
      <c r="A57" s="303"/>
      <c r="B57" s="305">
        <v>11</v>
      </c>
      <c r="C57" s="302" t="s">
        <v>627</v>
      </c>
      <c r="D57" s="302"/>
      <c r="E57" s="303"/>
      <c r="F57" s="305"/>
      <c r="G57" s="302"/>
      <c r="H57" s="302"/>
      <c r="I57" s="302"/>
      <c r="J57" s="1798"/>
      <c r="K57" s="306" t="s">
        <v>937</v>
      </c>
      <c r="L57" s="306"/>
      <c r="M57" s="302"/>
      <c r="N57" s="302"/>
      <c r="O57" s="302"/>
      <c r="P57" s="302" t="s">
        <v>2554</v>
      </c>
      <c r="Q57" s="302" t="s">
        <v>2444</v>
      </c>
      <c r="R57" s="302" t="s">
        <v>2463</v>
      </c>
      <c r="S57" s="302" t="str">
        <f t="shared" si="2"/>
        <v>30030 HR/DO Washington Metropolitan Area Transit Authority</v>
      </c>
      <c r="U57" s="158">
        <f t="shared" si="0"/>
        <v>2.8</v>
      </c>
      <c r="V57" s="158">
        <v>45</v>
      </c>
    </row>
    <row r="58" spans="1:22" x14ac:dyDescent="0.2">
      <c r="A58" s="303"/>
      <c r="B58" s="305">
        <v>12</v>
      </c>
      <c r="C58" s="302" t="s">
        <v>628</v>
      </c>
      <c r="D58" s="302"/>
      <c r="E58" s="303"/>
      <c r="F58" s="305"/>
      <c r="G58" s="302"/>
      <c r="H58" s="302"/>
      <c r="I58" s="302"/>
      <c r="J58" s="1798"/>
      <c r="K58" s="306" t="s">
        <v>938</v>
      </c>
      <c r="L58" s="306"/>
      <c r="M58" s="302"/>
      <c r="N58" s="302"/>
      <c r="O58" s="302"/>
      <c r="P58" s="302" t="s">
        <v>2555</v>
      </c>
      <c r="Q58" s="302" t="s">
        <v>2443</v>
      </c>
      <c r="R58" s="302" t="s">
        <v>2464</v>
      </c>
      <c r="S58" s="302" t="str">
        <f t="shared" si="2"/>
        <v>30034 CR/DO Maryland Transit Administration</v>
      </c>
      <c r="U58" s="158">
        <f t="shared" si="0"/>
        <v>2.76</v>
      </c>
      <c r="V58" s="158">
        <v>44</v>
      </c>
    </row>
    <row r="59" spans="1:22" x14ac:dyDescent="0.2">
      <c r="A59" s="303"/>
      <c r="B59" s="305">
        <v>13</v>
      </c>
      <c r="C59" s="303" t="s">
        <v>1700</v>
      </c>
      <c r="D59" s="303"/>
      <c r="E59" s="303"/>
      <c r="F59" s="305"/>
      <c r="G59" s="302"/>
      <c r="H59" s="302"/>
      <c r="I59" s="302"/>
      <c r="J59" s="1798"/>
      <c r="K59" s="306" t="s">
        <v>939</v>
      </c>
      <c r="L59" s="306"/>
      <c r="M59" s="302"/>
      <c r="N59" s="302"/>
      <c r="O59" s="302"/>
      <c r="P59" s="302" t="s">
        <v>2555</v>
      </c>
      <c r="Q59" s="302" t="s">
        <v>2430</v>
      </c>
      <c r="R59" s="302" t="s">
        <v>2464</v>
      </c>
      <c r="S59" s="302" t="str">
        <f t="shared" si="2"/>
        <v>30034 CR/PT Maryland Transit Administration</v>
      </c>
      <c r="U59" s="158">
        <f t="shared" si="0"/>
        <v>2.7199999999999998</v>
      </c>
      <c r="V59" s="158">
        <v>43</v>
      </c>
    </row>
    <row r="60" spans="1:22" x14ac:dyDescent="0.2">
      <c r="A60" s="303"/>
      <c r="B60" s="305">
        <v>14</v>
      </c>
      <c r="C60" s="302" t="s">
        <v>1701</v>
      </c>
      <c r="D60" s="302"/>
      <c r="E60" s="303"/>
      <c r="F60" s="305"/>
      <c r="G60" s="302"/>
      <c r="H60" s="302"/>
      <c r="I60" s="302"/>
      <c r="J60" s="1798"/>
      <c r="K60" s="306" t="s">
        <v>940</v>
      </c>
      <c r="L60" s="306"/>
      <c r="M60" s="302"/>
      <c r="N60" s="302"/>
      <c r="O60" s="302"/>
      <c r="P60" s="302" t="s">
        <v>2555</v>
      </c>
      <c r="Q60" s="302" t="s">
        <v>2444</v>
      </c>
      <c r="R60" s="302" t="s">
        <v>2464</v>
      </c>
      <c r="S60" s="302" t="str">
        <f t="shared" si="2"/>
        <v>30034 HR/DO Maryland Transit Administration</v>
      </c>
      <c r="U60" s="158">
        <f t="shared" si="0"/>
        <v>2.6799999999999997</v>
      </c>
      <c r="V60" s="158">
        <v>42</v>
      </c>
    </row>
    <row r="61" spans="1:22" x14ac:dyDescent="0.2">
      <c r="A61" s="303"/>
      <c r="B61" s="305">
        <v>15</v>
      </c>
      <c r="C61" s="302" t="s">
        <v>629</v>
      </c>
      <c r="D61" s="302"/>
      <c r="E61" s="303"/>
      <c r="F61" s="305"/>
      <c r="G61" s="302"/>
      <c r="H61" s="302"/>
      <c r="I61" s="302"/>
      <c r="J61" s="1798"/>
      <c r="K61" s="306" t="s">
        <v>941</v>
      </c>
      <c r="L61" s="306"/>
      <c r="M61" s="302"/>
      <c r="N61" s="302"/>
      <c r="O61" s="302"/>
      <c r="P61" s="302" t="s">
        <v>2555</v>
      </c>
      <c r="Q61" s="302" t="s">
        <v>2426</v>
      </c>
      <c r="R61" s="302" t="s">
        <v>2464</v>
      </c>
      <c r="S61" s="302" t="str">
        <f t="shared" si="2"/>
        <v>30034 LR/DO Maryland Transit Administration</v>
      </c>
      <c r="U61" s="158">
        <f t="shared" si="0"/>
        <v>2.64</v>
      </c>
      <c r="V61" s="158">
        <v>41</v>
      </c>
    </row>
    <row r="62" spans="1:22" x14ac:dyDescent="0.2">
      <c r="A62" s="303"/>
      <c r="B62" s="305">
        <v>16</v>
      </c>
      <c r="C62" s="302" t="s">
        <v>630</v>
      </c>
      <c r="D62" s="302"/>
      <c r="E62" s="303"/>
      <c r="F62" s="303"/>
      <c r="G62" s="303"/>
      <c r="H62" s="303"/>
      <c r="I62" s="303"/>
      <c r="J62" s="1798"/>
      <c r="K62" s="306" t="s">
        <v>942</v>
      </c>
      <c r="L62" s="306"/>
      <c r="M62" s="303"/>
      <c r="N62" s="303"/>
      <c r="O62" s="302"/>
      <c r="P62" s="302" t="s">
        <v>2556</v>
      </c>
      <c r="Q62" s="302" t="s">
        <v>2443</v>
      </c>
      <c r="R62" s="302" t="s">
        <v>2465</v>
      </c>
      <c r="S62" s="302" t="str">
        <f t="shared" si="2"/>
        <v>30057 CR/DO Pennsylvania Department of Transportation</v>
      </c>
      <c r="U62" s="158">
        <f t="shared" si="0"/>
        <v>2.6</v>
      </c>
      <c r="V62" s="158">
        <v>40</v>
      </c>
    </row>
    <row r="63" spans="1:22" x14ac:dyDescent="0.2">
      <c r="A63" s="303"/>
      <c r="B63" s="305">
        <v>17</v>
      </c>
      <c r="C63" s="302" t="s">
        <v>631</v>
      </c>
      <c r="D63" s="302"/>
      <c r="E63" s="303"/>
      <c r="F63" s="303"/>
      <c r="G63" s="303"/>
      <c r="H63" s="303"/>
      <c r="I63" s="303"/>
      <c r="J63" s="1798"/>
      <c r="K63" s="306" t="s">
        <v>2246</v>
      </c>
      <c r="L63" s="306"/>
      <c r="M63" s="303"/>
      <c r="N63" s="303"/>
      <c r="O63" s="302"/>
      <c r="P63" s="302" t="s">
        <v>2556</v>
      </c>
      <c r="Q63" s="302" t="s">
        <v>2430</v>
      </c>
      <c r="R63" s="302" t="s">
        <v>2465</v>
      </c>
      <c r="S63" s="302" t="str">
        <f t="shared" si="2"/>
        <v>30057 CR/PT Pennsylvania Department of Transportation</v>
      </c>
      <c r="U63" s="158">
        <f t="shared" si="0"/>
        <v>2.56</v>
      </c>
      <c r="V63" s="158">
        <v>39</v>
      </c>
    </row>
    <row r="64" spans="1:22" x14ac:dyDescent="0.2">
      <c r="A64" s="303"/>
      <c r="B64" s="305">
        <v>18</v>
      </c>
      <c r="C64" s="302" t="s">
        <v>632</v>
      </c>
      <c r="D64" s="302"/>
      <c r="E64" s="303"/>
      <c r="F64" s="303"/>
      <c r="G64" s="303"/>
      <c r="H64" s="303"/>
      <c r="I64" s="303"/>
      <c r="J64" s="1798"/>
      <c r="K64" s="303" t="s">
        <v>2252</v>
      </c>
      <c r="L64" s="306"/>
      <c r="M64" s="303"/>
      <c r="N64" s="303"/>
      <c r="O64" s="302"/>
      <c r="P64" s="302" t="s">
        <v>2557</v>
      </c>
      <c r="Q64" s="302" t="s">
        <v>2443</v>
      </c>
      <c r="R64" s="302" t="s">
        <v>2466</v>
      </c>
      <c r="S64" s="302" t="str">
        <f t="shared" si="2"/>
        <v>30073 CR/DO Virginia Railway Express</v>
      </c>
      <c r="U64" s="158">
        <f t="shared" si="0"/>
        <v>2.52</v>
      </c>
      <c r="V64" s="158">
        <v>38</v>
      </c>
    </row>
    <row r="65" spans="1:22" x14ac:dyDescent="0.2">
      <c r="A65" s="303"/>
      <c r="B65" s="305">
        <v>19</v>
      </c>
      <c r="C65" s="303" t="s">
        <v>1699</v>
      </c>
      <c r="D65" s="303"/>
      <c r="E65" s="303"/>
      <c r="F65" s="473" t="s">
        <v>547</v>
      </c>
      <c r="G65" s="473"/>
      <c r="H65" s="473"/>
      <c r="I65" s="473"/>
      <c r="J65" s="1798"/>
      <c r="K65" s="306" t="s">
        <v>943</v>
      </c>
      <c r="L65" s="306"/>
      <c r="M65" s="473"/>
      <c r="N65" s="473"/>
      <c r="O65" s="302"/>
      <c r="P65" s="302" t="s">
        <v>2557</v>
      </c>
      <c r="Q65" s="302" t="s">
        <v>2430</v>
      </c>
      <c r="R65" s="302" t="s">
        <v>2466</v>
      </c>
      <c r="S65" s="302" t="str">
        <f t="shared" si="2"/>
        <v>30073 CR/PT Virginia Railway Express</v>
      </c>
      <c r="U65" s="158">
        <f t="shared" si="0"/>
        <v>2.48</v>
      </c>
      <c r="V65" s="158">
        <v>37</v>
      </c>
    </row>
    <row r="66" spans="1:22" x14ac:dyDescent="0.2">
      <c r="A66" s="303"/>
      <c r="B66" s="305">
        <v>20</v>
      </c>
      <c r="C66" s="302" t="s">
        <v>633</v>
      </c>
      <c r="D66" s="302"/>
      <c r="E66" s="303"/>
      <c r="F66" s="302" t="s">
        <v>2160</v>
      </c>
      <c r="G66" s="302"/>
      <c r="H66" s="302"/>
      <c r="I66" s="302"/>
      <c r="J66" s="1798"/>
      <c r="K66" s="306" t="s">
        <v>998</v>
      </c>
      <c r="L66" s="306"/>
      <c r="M66" s="302"/>
      <c r="N66" s="302"/>
      <c r="O66" s="302"/>
      <c r="P66" s="302" t="s">
        <v>2558</v>
      </c>
      <c r="Q66" s="302" t="s">
        <v>2430</v>
      </c>
      <c r="R66" s="302" t="s">
        <v>2467</v>
      </c>
      <c r="S66" s="302" t="str">
        <f t="shared" si="2"/>
        <v>30075 CR/PT Delaware Transit Corporation</v>
      </c>
      <c r="U66" s="158">
        <f t="shared" si="0"/>
        <v>2.44</v>
      </c>
      <c r="V66" s="158">
        <v>36</v>
      </c>
    </row>
    <row r="67" spans="1:22" x14ac:dyDescent="0.2">
      <c r="A67" s="303"/>
      <c r="B67" s="305">
        <v>21</v>
      </c>
      <c r="C67" s="302" t="s">
        <v>634</v>
      </c>
      <c r="D67" s="302"/>
      <c r="E67" s="303"/>
      <c r="F67" s="303" t="s">
        <v>1704</v>
      </c>
      <c r="G67" s="303"/>
      <c r="H67" s="303"/>
      <c r="I67" s="303"/>
      <c r="J67" s="1798"/>
      <c r="K67" s="306" t="s">
        <v>999</v>
      </c>
      <c r="L67" s="306"/>
      <c r="M67" s="303"/>
      <c r="N67" s="303"/>
      <c r="O67" s="302"/>
      <c r="P67" s="302" t="s">
        <v>2559</v>
      </c>
      <c r="Q67" s="302" t="s">
        <v>2469</v>
      </c>
      <c r="R67" s="302" t="s">
        <v>2468</v>
      </c>
      <c r="S67" s="302" t="str">
        <f t="shared" si="2"/>
        <v>30080 HR/PT Arlington Transit - Arlington County</v>
      </c>
      <c r="U67" s="158">
        <f t="shared" ref="U67:U102" si="3">1+(V67*0.04)</f>
        <v>2.4000000000000004</v>
      </c>
      <c r="V67" s="158">
        <v>35</v>
      </c>
    </row>
    <row r="68" spans="1:22" x14ac:dyDescent="0.2">
      <c r="A68" s="303"/>
      <c r="B68" s="305">
        <v>22</v>
      </c>
      <c r="C68" s="302" t="s">
        <v>619</v>
      </c>
      <c r="D68" s="302"/>
      <c r="E68" s="303"/>
      <c r="F68" s="303" t="s">
        <v>1705</v>
      </c>
      <c r="G68" s="303"/>
      <c r="H68" s="303"/>
      <c r="I68" s="303"/>
      <c r="J68" s="1798"/>
      <c r="K68" s="306" t="s">
        <v>944</v>
      </c>
      <c r="L68" s="306"/>
      <c r="M68" s="303"/>
      <c r="N68" s="303"/>
      <c r="O68" s="302"/>
      <c r="P68" s="302" t="s">
        <v>2560</v>
      </c>
      <c r="Q68" s="302" t="s">
        <v>2426</v>
      </c>
      <c r="R68" s="302" t="s">
        <v>2470</v>
      </c>
      <c r="S68" s="302" t="str">
        <f t="shared" si="2"/>
        <v>30083 LR/DO Transportation District Commission of Hampton Roads</v>
      </c>
      <c r="U68" s="158">
        <f t="shared" si="3"/>
        <v>2.3600000000000003</v>
      </c>
      <c r="V68" s="158">
        <v>34</v>
      </c>
    </row>
    <row r="69" spans="1:22" x14ac:dyDescent="0.2">
      <c r="A69" s="303"/>
      <c r="B69" s="305">
        <v>23</v>
      </c>
      <c r="C69" s="302" t="s">
        <v>635</v>
      </c>
      <c r="D69" s="302"/>
      <c r="E69" s="303"/>
      <c r="F69" s="303" t="s">
        <v>1706</v>
      </c>
      <c r="G69" s="303"/>
      <c r="H69" s="303"/>
      <c r="I69" s="303"/>
      <c r="J69" s="1798"/>
      <c r="K69" s="306" t="s">
        <v>945</v>
      </c>
      <c r="L69" s="306"/>
      <c r="M69" s="303"/>
      <c r="N69" s="303"/>
      <c r="O69" s="302"/>
      <c r="P69" s="302" t="s">
        <v>2561</v>
      </c>
      <c r="Q69" s="302" t="s">
        <v>2443</v>
      </c>
      <c r="R69" s="302" t="s">
        <v>2471</v>
      </c>
      <c r="S69" s="302" t="str">
        <f t="shared" si="2"/>
        <v>30089 CR/DO Monongalia County Urban Mass Transit Authority</v>
      </c>
      <c r="U69" s="158">
        <f t="shared" si="3"/>
        <v>2.3200000000000003</v>
      </c>
      <c r="V69" s="158">
        <v>33</v>
      </c>
    </row>
    <row r="70" spans="1:22" x14ac:dyDescent="0.2">
      <c r="A70" s="303"/>
      <c r="B70" s="305">
        <v>24</v>
      </c>
      <c r="C70" s="302" t="s">
        <v>620</v>
      </c>
      <c r="D70" s="302"/>
      <c r="E70" s="303"/>
      <c r="F70" s="303" t="s">
        <v>1707</v>
      </c>
      <c r="G70" s="303"/>
      <c r="H70" s="303"/>
      <c r="I70" s="303"/>
      <c r="J70" s="1798"/>
      <c r="K70" s="306" t="s">
        <v>946</v>
      </c>
      <c r="L70" s="306"/>
      <c r="M70" s="303"/>
      <c r="N70" s="303"/>
      <c r="O70" s="302"/>
      <c r="P70" s="302" t="s">
        <v>2562</v>
      </c>
      <c r="Q70" s="302" t="s">
        <v>2473</v>
      </c>
      <c r="R70" s="302" t="s">
        <v>2472</v>
      </c>
      <c r="S70" s="302" t="str">
        <f t="shared" si="2"/>
        <v>30107 MG/DO West Virginia University - Morgantown Personal Rapid Transit</v>
      </c>
      <c r="U70" s="158">
        <f t="shared" si="3"/>
        <v>2.2800000000000002</v>
      </c>
      <c r="V70" s="158">
        <v>32</v>
      </c>
    </row>
    <row r="71" spans="1:22" x14ac:dyDescent="0.2">
      <c r="A71" s="303"/>
      <c r="B71" s="305">
        <v>25</v>
      </c>
      <c r="C71" s="302" t="s">
        <v>636</v>
      </c>
      <c r="D71" s="302"/>
      <c r="E71" s="303"/>
      <c r="F71" s="303" t="s">
        <v>1708</v>
      </c>
      <c r="G71" s="303"/>
      <c r="H71" s="303"/>
      <c r="I71" s="303"/>
      <c r="J71" s="1798"/>
      <c r="K71" s="306" t="s">
        <v>1000</v>
      </c>
      <c r="L71" s="306"/>
      <c r="M71" s="303"/>
      <c r="N71" s="303"/>
      <c r="O71" s="302"/>
      <c r="P71" s="302" t="s">
        <v>2563</v>
      </c>
      <c r="Q71" s="302" t="s">
        <v>2428</v>
      </c>
      <c r="R71" s="302" t="s">
        <v>2474</v>
      </c>
      <c r="S71" s="302" t="str">
        <f t="shared" ref="S71:S102" si="4">CONCATENATE(P71, " ",Q71," ",R71)</f>
        <v>30112 SR/DO DDOT - Progressive Transportation Services Administration</v>
      </c>
      <c r="U71" s="158">
        <f t="shared" si="3"/>
        <v>2.2400000000000002</v>
      </c>
      <c r="V71" s="158">
        <v>31</v>
      </c>
    </row>
    <row r="72" spans="1:22" x14ac:dyDescent="0.2">
      <c r="A72" s="303"/>
      <c r="B72" s="305"/>
      <c r="C72" s="302"/>
      <c r="D72" s="302"/>
      <c r="E72" s="303"/>
      <c r="F72" s="303" t="s">
        <v>1709</v>
      </c>
      <c r="G72" s="303"/>
      <c r="H72" s="303"/>
      <c r="I72" s="303"/>
      <c r="J72" s="1798"/>
      <c r="K72" s="306" t="s">
        <v>1001</v>
      </c>
      <c r="L72" s="306"/>
      <c r="M72" s="303"/>
      <c r="N72" s="303"/>
      <c r="O72" s="302"/>
      <c r="P72" s="302" t="s">
        <v>2563</v>
      </c>
      <c r="Q72" s="302" t="s">
        <v>2431</v>
      </c>
      <c r="R72" s="302" t="s">
        <v>2474</v>
      </c>
      <c r="S72" s="302" t="str">
        <f t="shared" si="4"/>
        <v>30112 SR/PT DDOT - Progressive Transportation Services Administration</v>
      </c>
      <c r="U72" s="158">
        <f t="shared" si="3"/>
        <v>2.2000000000000002</v>
      </c>
      <c r="V72" s="158">
        <v>30</v>
      </c>
    </row>
    <row r="73" spans="1:22" x14ac:dyDescent="0.2">
      <c r="A73" s="303"/>
      <c r="B73" s="1495" t="s">
        <v>514</v>
      </c>
      <c r="C73" s="1495"/>
      <c r="D73" s="1495"/>
      <c r="E73" s="303"/>
      <c r="F73" s="303" t="s">
        <v>1710</v>
      </c>
      <c r="G73" s="303"/>
      <c r="H73" s="303"/>
      <c r="I73" s="303"/>
      <c r="J73" s="1798"/>
      <c r="K73" s="306" t="s">
        <v>947</v>
      </c>
      <c r="L73" s="306"/>
      <c r="M73" s="303"/>
      <c r="N73" s="303"/>
      <c r="O73" s="302"/>
      <c r="P73" s="302" t="s">
        <v>2564</v>
      </c>
      <c r="Q73" s="302" t="s">
        <v>2459</v>
      </c>
      <c r="R73" s="302" t="s">
        <v>2475</v>
      </c>
      <c r="S73" s="302" t="str">
        <f t="shared" si="4"/>
        <v>40001 IP/DO Chattanooga Area Regional Transportation Authority</v>
      </c>
      <c r="U73" s="158">
        <f t="shared" si="3"/>
        <v>2.16</v>
      </c>
      <c r="V73" s="158">
        <v>29</v>
      </c>
    </row>
    <row r="74" spans="1:22" x14ac:dyDescent="0.2">
      <c r="A74" s="303"/>
      <c r="B74" s="305">
        <v>1</v>
      </c>
      <c r="C74" s="302" t="s">
        <v>396</v>
      </c>
      <c r="D74" s="302"/>
      <c r="E74" s="303"/>
      <c r="F74" s="303" t="s">
        <v>1711</v>
      </c>
      <c r="G74" s="303"/>
      <c r="H74" s="303"/>
      <c r="I74" s="303"/>
      <c r="J74" s="1798"/>
      <c r="K74" s="306" t="s">
        <v>948</v>
      </c>
      <c r="L74" s="306"/>
      <c r="M74" s="303"/>
      <c r="N74" s="303"/>
      <c r="O74" s="302"/>
      <c r="P74" s="302" t="s">
        <v>2565</v>
      </c>
      <c r="Q74" s="302" t="s">
        <v>2426</v>
      </c>
      <c r="R74" s="302" t="s">
        <v>2476</v>
      </c>
      <c r="S74" s="302" t="str">
        <f t="shared" si="4"/>
        <v>40003 LR/DO Memphis Area Transit Authority</v>
      </c>
      <c r="U74" s="158">
        <f t="shared" si="3"/>
        <v>2.12</v>
      </c>
      <c r="V74" s="158">
        <v>28</v>
      </c>
    </row>
    <row r="75" spans="1:22" x14ac:dyDescent="0.2">
      <c r="A75" s="303"/>
      <c r="B75" s="305">
        <v>2</v>
      </c>
      <c r="C75" s="302" t="s">
        <v>397</v>
      </c>
      <c r="D75" s="302"/>
      <c r="E75" s="303"/>
      <c r="F75" s="303" t="s">
        <v>1712</v>
      </c>
      <c r="G75" s="303"/>
      <c r="H75" s="303"/>
      <c r="I75" s="303"/>
      <c r="J75" s="1798"/>
      <c r="K75" s="306" t="s">
        <v>949</v>
      </c>
      <c r="L75" s="306"/>
      <c r="M75" s="303"/>
      <c r="N75" s="303"/>
      <c r="O75" s="302"/>
      <c r="P75" s="302" t="s">
        <v>2565</v>
      </c>
      <c r="Q75" s="302" t="s">
        <v>2428</v>
      </c>
      <c r="R75" s="302" t="s">
        <v>2476</v>
      </c>
      <c r="S75" s="302" t="str">
        <f t="shared" si="4"/>
        <v>40003 SR/DO Memphis Area Transit Authority</v>
      </c>
      <c r="U75" s="158">
        <f t="shared" si="3"/>
        <v>2.08</v>
      </c>
      <c r="V75" s="158">
        <v>27</v>
      </c>
    </row>
    <row r="76" spans="1:22" x14ac:dyDescent="0.2">
      <c r="A76" s="303"/>
      <c r="B76" s="305">
        <v>3</v>
      </c>
      <c r="C76" s="302" t="s">
        <v>409</v>
      </c>
      <c r="D76" s="302"/>
      <c r="E76" s="303"/>
      <c r="F76" s="303" t="s">
        <v>1713</v>
      </c>
      <c r="G76" s="303"/>
      <c r="H76" s="303"/>
      <c r="I76" s="303"/>
      <c r="J76" s="1798"/>
      <c r="K76" s="306" t="s">
        <v>950</v>
      </c>
      <c r="L76" s="306"/>
      <c r="M76" s="303"/>
      <c r="N76" s="303"/>
      <c r="O76" s="302"/>
      <c r="P76" s="302" t="s">
        <v>2566</v>
      </c>
      <c r="Q76" s="302" t="s">
        <v>2426</v>
      </c>
      <c r="R76" s="302" t="s">
        <v>2477</v>
      </c>
      <c r="S76" s="302" t="str">
        <f t="shared" si="4"/>
        <v>40008 LR/DO Charlotte Area Transit System</v>
      </c>
      <c r="U76" s="158">
        <f t="shared" si="3"/>
        <v>2.04</v>
      </c>
      <c r="V76" s="158">
        <v>26</v>
      </c>
    </row>
    <row r="77" spans="1:22" x14ac:dyDescent="0.2">
      <c r="A77" s="303"/>
      <c r="B77" s="305">
        <v>4</v>
      </c>
      <c r="C77" s="302" t="s">
        <v>398</v>
      </c>
      <c r="D77" s="302"/>
      <c r="E77" s="303"/>
      <c r="F77" s="303" t="s">
        <v>1714</v>
      </c>
      <c r="G77" s="303"/>
      <c r="H77" s="303"/>
      <c r="I77" s="303"/>
      <c r="J77" s="1798"/>
      <c r="K77" s="306" t="s">
        <v>951</v>
      </c>
      <c r="L77" s="306"/>
      <c r="M77" s="303"/>
      <c r="N77" s="303"/>
      <c r="O77" s="302"/>
      <c r="P77" s="302" t="s">
        <v>2567</v>
      </c>
      <c r="Q77" s="302" t="s">
        <v>2446</v>
      </c>
      <c r="R77" s="302" t="s">
        <v>2478</v>
      </c>
      <c r="S77" s="302" t="str">
        <f t="shared" si="4"/>
        <v>40011 AG/DO High Point Transit</v>
      </c>
      <c r="U77" s="158">
        <f t="shared" si="3"/>
        <v>2</v>
      </c>
      <c r="V77" s="158">
        <v>25</v>
      </c>
    </row>
    <row r="78" spans="1:22" x14ac:dyDescent="0.2">
      <c r="A78" s="303"/>
      <c r="B78" s="305">
        <v>5</v>
      </c>
      <c r="C78" s="302" t="s">
        <v>399</v>
      </c>
      <c r="D78" s="302"/>
      <c r="E78" s="303"/>
      <c r="F78" s="303" t="s">
        <v>1715</v>
      </c>
      <c r="G78" s="303"/>
      <c r="H78" s="303"/>
      <c r="I78" s="303"/>
      <c r="J78" s="1798"/>
      <c r="K78" s="306" t="s">
        <v>952</v>
      </c>
      <c r="L78" s="306"/>
      <c r="M78" s="303"/>
      <c r="N78" s="303"/>
      <c r="O78" s="302"/>
      <c r="P78" s="302" t="s">
        <v>2567</v>
      </c>
      <c r="Q78" s="302" t="s">
        <v>2479</v>
      </c>
      <c r="R78" s="302" t="s">
        <v>2478</v>
      </c>
      <c r="S78" s="302" t="str">
        <f t="shared" si="4"/>
        <v>40011 AG/PT High Point Transit</v>
      </c>
      <c r="U78" s="158">
        <f t="shared" si="3"/>
        <v>1.96</v>
      </c>
      <c r="V78" s="158">
        <v>24</v>
      </c>
    </row>
    <row r="79" spans="1:22" x14ac:dyDescent="0.2">
      <c r="A79" s="303"/>
      <c r="B79" s="305">
        <v>6</v>
      </c>
      <c r="C79" s="302" t="s">
        <v>400</v>
      </c>
      <c r="D79" s="302"/>
      <c r="E79" s="303"/>
      <c r="F79" s="303" t="s">
        <v>1716</v>
      </c>
      <c r="G79" s="303"/>
      <c r="H79" s="303"/>
      <c r="I79" s="303"/>
      <c r="J79" s="1798"/>
      <c r="K79" s="306" t="s">
        <v>953</v>
      </c>
      <c r="L79" s="306"/>
      <c r="M79" s="303"/>
      <c r="N79" s="303"/>
      <c r="O79" s="302"/>
      <c r="P79" s="302" t="s">
        <v>2567</v>
      </c>
      <c r="Q79" s="302" t="s">
        <v>2447</v>
      </c>
      <c r="R79" s="302" t="s">
        <v>2478</v>
      </c>
      <c r="S79" s="302" t="str">
        <f t="shared" si="4"/>
        <v>40011 CC/DO High Point Transit</v>
      </c>
      <c r="U79" s="158">
        <f t="shared" si="3"/>
        <v>1.92</v>
      </c>
      <c r="V79" s="158">
        <v>23</v>
      </c>
    </row>
    <row r="80" spans="1:22" x14ac:dyDescent="0.2">
      <c r="A80" s="303"/>
      <c r="B80" s="305">
        <v>7</v>
      </c>
      <c r="C80" s="302" t="s">
        <v>401</v>
      </c>
      <c r="D80" s="302"/>
      <c r="E80" s="303"/>
      <c r="F80" s="303" t="s">
        <v>1717</v>
      </c>
      <c r="G80" s="303"/>
      <c r="H80" s="303"/>
      <c r="I80" s="303"/>
      <c r="J80" s="1798"/>
      <c r="K80" s="306" t="s">
        <v>954</v>
      </c>
      <c r="L80" s="306"/>
      <c r="M80" s="303"/>
      <c r="N80" s="303"/>
      <c r="O80" s="302"/>
      <c r="P80" s="302" t="s">
        <v>2567</v>
      </c>
      <c r="Q80" s="302" t="s">
        <v>2480</v>
      </c>
      <c r="R80" s="302" t="s">
        <v>2478</v>
      </c>
      <c r="S80" s="302" t="str">
        <f t="shared" si="4"/>
        <v>40011 CC/PT High Point Transit</v>
      </c>
      <c r="U80" s="158">
        <f t="shared" si="3"/>
        <v>1.88</v>
      </c>
      <c r="V80" s="158">
        <v>22</v>
      </c>
    </row>
    <row r="81" spans="1:22" x14ac:dyDescent="0.2">
      <c r="A81" s="303"/>
      <c r="B81" s="305">
        <v>8</v>
      </c>
      <c r="C81" s="302" t="s">
        <v>402</v>
      </c>
      <c r="D81" s="302"/>
      <c r="E81" s="303"/>
      <c r="F81" s="303" t="s">
        <v>1718</v>
      </c>
      <c r="G81" s="303"/>
      <c r="H81" s="303"/>
      <c r="I81" s="303"/>
      <c r="J81" s="1798"/>
      <c r="K81" s="306" t="s">
        <v>2247</v>
      </c>
      <c r="L81" s="306"/>
      <c r="M81" s="303"/>
      <c r="N81" s="303"/>
      <c r="O81" s="302"/>
      <c r="P81" s="302" t="s">
        <v>2567</v>
      </c>
      <c r="Q81" s="302" t="s">
        <v>2443</v>
      </c>
      <c r="R81" s="302" t="s">
        <v>2478</v>
      </c>
      <c r="S81" s="302" t="str">
        <f t="shared" si="4"/>
        <v>40011 CR/DO High Point Transit</v>
      </c>
      <c r="U81" s="158">
        <f t="shared" si="3"/>
        <v>1.8399999999999999</v>
      </c>
      <c r="V81" s="158">
        <v>21</v>
      </c>
    </row>
    <row r="82" spans="1:22" x14ac:dyDescent="0.2">
      <c r="A82" s="303"/>
      <c r="B82" s="305">
        <v>9</v>
      </c>
      <c r="C82" s="302" t="s">
        <v>403</v>
      </c>
      <c r="D82" s="302"/>
      <c r="E82" s="303"/>
      <c r="F82" s="303" t="s">
        <v>1719</v>
      </c>
      <c r="G82" s="303"/>
      <c r="H82" s="303"/>
      <c r="I82" s="303"/>
      <c r="J82" s="1798"/>
      <c r="K82" s="306" t="s">
        <v>955</v>
      </c>
      <c r="L82" s="306"/>
      <c r="M82" s="303"/>
      <c r="N82" s="303"/>
      <c r="O82" s="302"/>
      <c r="P82" s="302" t="s">
        <v>2567</v>
      </c>
      <c r="Q82" s="302" t="s">
        <v>2430</v>
      </c>
      <c r="R82" s="302" t="s">
        <v>2478</v>
      </c>
      <c r="S82" s="302" t="str">
        <f t="shared" si="4"/>
        <v>40011 CR/PT High Point Transit</v>
      </c>
      <c r="U82" s="158">
        <f t="shared" si="3"/>
        <v>1.8</v>
      </c>
      <c r="V82" s="158">
        <v>20</v>
      </c>
    </row>
    <row r="83" spans="1:22" x14ac:dyDescent="0.2">
      <c r="A83" s="303"/>
      <c r="B83" s="305">
        <v>10</v>
      </c>
      <c r="C83" s="302" t="s">
        <v>404</v>
      </c>
      <c r="D83" s="302"/>
      <c r="E83" s="303"/>
      <c r="F83" s="303" t="s">
        <v>1720</v>
      </c>
      <c r="G83" s="303"/>
      <c r="H83" s="303"/>
      <c r="I83" s="303"/>
      <c r="J83" s="1798"/>
      <c r="K83" s="306" t="s">
        <v>956</v>
      </c>
      <c r="L83" s="306"/>
      <c r="M83" s="303"/>
      <c r="N83" s="303"/>
      <c r="O83" s="302"/>
      <c r="P83" s="302" t="s">
        <v>2567</v>
      </c>
      <c r="Q83" s="302" t="s">
        <v>2444</v>
      </c>
      <c r="R83" s="302" t="s">
        <v>2478</v>
      </c>
      <c r="S83" s="302" t="str">
        <f t="shared" si="4"/>
        <v>40011 HR/DO High Point Transit</v>
      </c>
      <c r="U83" s="158">
        <f t="shared" si="3"/>
        <v>1.76</v>
      </c>
      <c r="V83" s="158">
        <v>19</v>
      </c>
    </row>
    <row r="84" spans="1:22" x14ac:dyDescent="0.2">
      <c r="A84" s="303"/>
      <c r="B84" s="305">
        <v>11</v>
      </c>
      <c r="C84" s="302" t="s">
        <v>405</v>
      </c>
      <c r="D84" s="302"/>
      <c r="E84" s="303"/>
      <c r="F84" s="303" t="s">
        <v>1721</v>
      </c>
      <c r="G84" s="303"/>
      <c r="H84" s="303"/>
      <c r="I84" s="303"/>
      <c r="J84" s="1798"/>
      <c r="K84" s="306" t="s">
        <v>957</v>
      </c>
      <c r="L84" s="306"/>
      <c r="M84" s="303"/>
      <c r="N84" s="303"/>
      <c r="O84" s="302"/>
      <c r="P84" s="302" t="s">
        <v>2567</v>
      </c>
      <c r="Q84" s="302" t="s">
        <v>2469</v>
      </c>
      <c r="R84" s="302" t="s">
        <v>2478</v>
      </c>
      <c r="S84" s="302" t="str">
        <f t="shared" si="4"/>
        <v>40011 HR/PT High Point Transit</v>
      </c>
      <c r="U84" s="158">
        <f t="shared" si="3"/>
        <v>1.72</v>
      </c>
      <c r="V84" s="158">
        <v>18</v>
      </c>
    </row>
    <row r="85" spans="1:22" x14ac:dyDescent="0.2">
      <c r="A85" s="303"/>
      <c r="B85" s="305">
        <v>12</v>
      </c>
      <c r="C85" s="302" t="s">
        <v>406</v>
      </c>
      <c r="D85" s="302"/>
      <c r="E85" s="303"/>
      <c r="F85" s="303" t="s">
        <v>1722</v>
      </c>
      <c r="G85" s="303"/>
      <c r="H85" s="303"/>
      <c r="I85" s="303"/>
      <c r="J85" s="1798"/>
      <c r="K85" s="303" t="s">
        <v>2251</v>
      </c>
      <c r="L85" s="306"/>
      <c r="M85" s="303"/>
      <c r="N85" s="303"/>
      <c r="O85" s="302"/>
      <c r="P85" s="302" t="s">
        <v>2567</v>
      </c>
      <c r="Q85" s="302" t="s">
        <v>2459</v>
      </c>
      <c r="R85" s="302" t="s">
        <v>2478</v>
      </c>
      <c r="S85" s="302" t="str">
        <f t="shared" si="4"/>
        <v>40011 IP/DO High Point Transit</v>
      </c>
      <c r="U85" s="158">
        <f t="shared" si="3"/>
        <v>1.6800000000000002</v>
      </c>
      <c r="V85" s="158">
        <v>17</v>
      </c>
    </row>
    <row r="86" spans="1:22" x14ac:dyDescent="0.2">
      <c r="A86" s="303"/>
      <c r="B86" s="305">
        <v>13</v>
      </c>
      <c r="C86" s="302" t="s">
        <v>407</v>
      </c>
      <c r="D86" s="302"/>
      <c r="E86" s="303"/>
      <c r="F86" s="303" t="s">
        <v>1723</v>
      </c>
      <c r="G86" s="303"/>
      <c r="H86" s="303"/>
      <c r="I86" s="303"/>
      <c r="J86" s="1798"/>
      <c r="K86" s="306" t="s">
        <v>2245</v>
      </c>
      <c r="L86" s="306"/>
      <c r="M86" s="303"/>
      <c r="N86" s="303"/>
      <c r="O86" s="302"/>
      <c r="P86" s="302" t="s">
        <v>2567</v>
      </c>
      <c r="Q86" s="302" t="s">
        <v>2462</v>
      </c>
      <c r="R86" s="302" t="s">
        <v>2478</v>
      </c>
      <c r="S86" s="302" t="str">
        <f t="shared" si="4"/>
        <v>40011 IP/PT High Point Transit</v>
      </c>
      <c r="U86" s="158">
        <f t="shared" si="3"/>
        <v>1.6400000000000001</v>
      </c>
      <c r="V86" s="158">
        <v>16</v>
      </c>
    </row>
    <row r="87" spans="1:22" x14ac:dyDescent="0.2">
      <c r="A87" s="303"/>
      <c r="B87" s="305">
        <v>14</v>
      </c>
      <c r="C87" s="302" t="s">
        <v>408</v>
      </c>
      <c r="D87" s="302"/>
      <c r="E87" s="303"/>
      <c r="F87" s="303" t="s">
        <v>1724</v>
      </c>
      <c r="G87" s="303"/>
      <c r="H87" s="303"/>
      <c r="I87" s="303"/>
      <c r="J87" s="1798"/>
      <c r="K87" s="306" t="s">
        <v>958</v>
      </c>
      <c r="L87" s="306"/>
      <c r="M87" s="303"/>
      <c r="N87" s="303"/>
      <c r="O87" s="302"/>
      <c r="P87" s="302" t="s">
        <v>2567</v>
      </c>
      <c r="Q87" s="302" t="s">
        <v>2426</v>
      </c>
      <c r="R87" s="302" t="s">
        <v>2478</v>
      </c>
      <c r="S87" s="302" t="str">
        <f t="shared" si="4"/>
        <v>40011 LR/DO High Point Transit</v>
      </c>
      <c r="U87" s="158">
        <f t="shared" si="3"/>
        <v>1.6</v>
      </c>
      <c r="V87" s="158">
        <v>15</v>
      </c>
    </row>
    <row r="88" spans="1:22" x14ac:dyDescent="0.2">
      <c r="A88" s="303"/>
      <c r="B88" s="305">
        <v>15</v>
      </c>
      <c r="C88" s="302" t="s">
        <v>410</v>
      </c>
      <c r="D88" s="302"/>
      <c r="E88" s="303"/>
      <c r="F88" s="303" t="s">
        <v>1725</v>
      </c>
      <c r="G88" s="303"/>
      <c r="H88" s="303"/>
      <c r="I88" s="303"/>
      <c r="J88" s="1798"/>
      <c r="K88" s="306" t="s">
        <v>959</v>
      </c>
      <c r="L88" s="306"/>
      <c r="M88" s="303"/>
      <c r="N88" s="303"/>
      <c r="O88" s="302"/>
      <c r="P88" s="302" t="s">
        <v>2567</v>
      </c>
      <c r="Q88" s="302" t="s">
        <v>2435</v>
      </c>
      <c r="R88" s="302" t="s">
        <v>2478</v>
      </c>
      <c r="S88" s="302" t="str">
        <f t="shared" si="4"/>
        <v>40011 MO/DO High Point Transit</v>
      </c>
      <c r="U88" s="158">
        <f t="shared" si="3"/>
        <v>1.56</v>
      </c>
      <c r="V88" s="158">
        <v>14</v>
      </c>
    </row>
    <row r="89" spans="1:22" x14ac:dyDescent="0.2">
      <c r="A89" s="303"/>
      <c r="B89" s="305">
        <v>16</v>
      </c>
      <c r="C89" s="302" t="s">
        <v>411</v>
      </c>
      <c r="D89" s="302"/>
      <c r="E89" s="303"/>
      <c r="F89" s="303" t="s">
        <v>1726</v>
      </c>
      <c r="G89" s="303"/>
      <c r="H89" s="303"/>
      <c r="I89" s="303"/>
      <c r="J89" s="1798"/>
      <c r="K89" s="306" t="s">
        <v>960</v>
      </c>
      <c r="L89" s="306"/>
      <c r="M89" s="303"/>
      <c r="N89" s="303"/>
      <c r="O89" s="302"/>
      <c r="P89" s="302" t="s">
        <v>2567</v>
      </c>
      <c r="Q89" s="302" t="s">
        <v>2436</v>
      </c>
      <c r="R89" s="302" t="s">
        <v>2478</v>
      </c>
      <c r="S89" s="302" t="str">
        <f t="shared" si="4"/>
        <v>40011 MO/PT High Point Transit</v>
      </c>
      <c r="U89" s="158">
        <f t="shared" si="3"/>
        <v>1.52</v>
      </c>
      <c r="V89" s="158">
        <v>13</v>
      </c>
    </row>
    <row r="90" spans="1:22" x14ac:dyDescent="0.2">
      <c r="A90" s="303"/>
      <c r="B90" s="305">
        <v>17</v>
      </c>
      <c r="C90" s="302" t="s">
        <v>2250</v>
      </c>
      <c r="D90" s="302"/>
      <c r="E90" s="303"/>
      <c r="F90" s="303" t="s">
        <v>1727</v>
      </c>
      <c r="G90" s="303"/>
      <c r="H90" s="303"/>
      <c r="I90" s="303"/>
      <c r="J90" s="1798"/>
      <c r="K90" s="306" t="s">
        <v>961</v>
      </c>
      <c r="L90" s="306"/>
      <c r="M90" s="303"/>
      <c r="N90" s="303"/>
      <c r="O90" s="302"/>
      <c r="P90" s="302" t="s">
        <v>2568</v>
      </c>
      <c r="Q90" s="302" t="s">
        <v>2444</v>
      </c>
      <c r="R90" s="302" t="s">
        <v>2481</v>
      </c>
      <c r="S90" s="302" t="str">
        <f t="shared" si="4"/>
        <v>40022 HR/DO Metropolitan Atlanta Rapid Transit Authority</v>
      </c>
      <c r="U90" s="158">
        <f t="shared" si="3"/>
        <v>1.48</v>
      </c>
      <c r="V90" s="158">
        <v>12</v>
      </c>
    </row>
    <row r="91" spans="1:22" x14ac:dyDescent="0.2">
      <c r="A91" s="303"/>
      <c r="B91" s="305"/>
      <c r="C91" s="302"/>
      <c r="D91" s="302"/>
      <c r="E91" s="303"/>
      <c r="F91" s="303" t="s">
        <v>1728</v>
      </c>
      <c r="G91" s="303"/>
      <c r="H91" s="303"/>
      <c r="I91" s="303"/>
      <c r="J91" s="1798"/>
      <c r="K91" s="306" t="s">
        <v>962</v>
      </c>
      <c r="L91" s="306"/>
      <c r="M91" s="303"/>
      <c r="N91" s="303"/>
      <c r="O91" s="302"/>
      <c r="P91" s="302" t="s">
        <v>2569</v>
      </c>
      <c r="Q91" s="302" t="s">
        <v>2446</v>
      </c>
      <c r="R91" s="302" t="s">
        <v>2482</v>
      </c>
      <c r="S91" s="302" t="str">
        <f t="shared" si="4"/>
        <v>40034 AG/DO Miami-Dade Transit</v>
      </c>
      <c r="U91" s="158">
        <f t="shared" si="3"/>
        <v>1.44</v>
      </c>
      <c r="V91" s="158">
        <v>11</v>
      </c>
    </row>
    <row r="92" spans="1:22" x14ac:dyDescent="0.2">
      <c r="A92" s="303"/>
      <c r="B92" s="1495" t="s">
        <v>515</v>
      </c>
      <c r="C92" s="1495"/>
      <c r="D92" s="1495"/>
      <c r="E92" s="303"/>
      <c r="F92" s="303" t="s">
        <v>1729</v>
      </c>
      <c r="G92" s="303"/>
      <c r="H92" s="303"/>
      <c r="I92" s="303"/>
      <c r="J92" s="1798"/>
      <c r="K92" s="306" t="s">
        <v>963</v>
      </c>
      <c r="L92" s="306"/>
      <c r="M92" s="303"/>
      <c r="N92" s="303"/>
      <c r="O92" s="302"/>
      <c r="P92" s="302" t="s">
        <v>2569</v>
      </c>
      <c r="Q92" s="302" t="s">
        <v>2444</v>
      </c>
      <c r="R92" s="302" t="s">
        <v>2482</v>
      </c>
      <c r="S92" s="302" t="str">
        <f t="shared" si="4"/>
        <v>40034 HR/DO Miami-Dade Transit</v>
      </c>
      <c r="U92" s="158">
        <f t="shared" si="3"/>
        <v>1.4</v>
      </c>
      <c r="V92" s="158">
        <v>10</v>
      </c>
    </row>
    <row r="93" spans="1:22" x14ac:dyDescent="0.2">
      <c r="A93" s="303"/>
      <c r="B93" s="305">
        <v>1</v>
      </c>
      <c r="C93" s="302" t="s">
        <v>427</v>
      </c>
      <c r="D93" s="302"/>
      <c r="E93" s="303"/>
      <c r="F93" s="303" t="s">
        <v>1730</v>
      </c>
      <c r="G93" s="303"/>
      <c r="H93" s="303"/>
      <c r="I93" s="303"/>
      <c r="J93" s="1798"/>
      <c r="K93" s="306" t="s">
        <v>964</v>
      </c>
      <c r="L93" s="306"/>
      <c r="M93" s="303"/>
      <c r="N93" s="303"/>
      <c r="O93" s="302"/>
      <c r="P93" s="302" t="s">
        <v>2569</v>
      </c>
      <c r="Q93" s="302" t="s">
        <v>2473</v>
      </c>
      <c r="R93" s="302" t="s">
        <v>2482</v>
      </c>
      <c r="S93" s="302" t="str">
        <f t="shared" si="4"/>
        <v>40034 MG/DO Miami-Dade Transit</v>
      </c>
      <c r="U93" s="158">
        <f t="shared" si="3"/>
        <v>1.3599999999999999</v>
      </c>
      <c r="V93" s="158">
        <v>9</v>
      </c>
    </row>
    <row r="94" spans="1:22" x14ac:dyDescent="0.2">
      <c r="A94" s="303"/>
      <c r="B94" s="305">
        <f>B93+1</f>
        <v>2</v>
      </c>
      <c r="C94" s="302" t="s">
        <v>428</v>
      </c>
      <c r="D94" s="302"/>
      <c r="E94" s="303"/>
      <c r="F94" s="303" t="s">
        <v>1731</v>
      </c>
      <c r="G94" s="303"/>
      <c r="H94" s="303"/>
      <c r="I94" s="303"/>
      <c r="J94" s="1798"/>
      <c r="K94" s="306" t="s">
        <v>965</v>
      </c>
      <c r="L94" s="306"/>
      <c r="M94" s="303"/>
      <c r="N94" s="303"/>
      <c r="O94" s="302"/>
      <c r="P94" s="302" t="s">
        <v>2570</v>
      </c>
      <c r="Q94" s="302" t="s">
        <v>2446</v>
      </c>
      <c r="R94" s="302" t="s">
        <v>2483</v>
      </c>
      <c r="S94" s="302" t="str">
        <f t="shared" si="4"/>
        <v>40040 AG/DO Jacksonville Transportation Authority</v>
      </c>
      <c r="U94" s="158">
        <f t="shared" si="3"/>
        <v>1.32</v>
      </c>
      <c r="V94" s="158">
        <v>8</v>
      </c>
    </row>
    <row r="95" spans="1:22" x14ac:dyDescent="0.2">
      <c r="A95" s="303"/>
      <c r="B95" s="305">
        <f t="shared" ref="B95:B148" si="5">B94+1</f>
        <v>3</v>
      </c>
      <c r="C95" s="302" t="s">
        <v>429</v>
      </c>
      <c r="D95" s="302"/>
      <c r="E95" s="303"/>
      <c r="F95" s="303" t="s">
        <v>1732</v>
      </c>
      <c r="G95" s="303"/>
      <c r="H95" s="303"/>
      <c r="I95" s="303"/>
      <c r="J95" s="1798"/>
      <c r="K95" s="306" t="s">
        <v>1002</v>
      </c>
      <c r="L95" s="306"/>
      <c r="M95" s="303"/>
      <c r="N95" s="303"/>
      <c r="O95" s="302"/>
      <c r="P95" s="302" t="s">
        <v>2570</v>
      </c>
      <c r="Q95" s="302" t="s">
        <v>2473</v>
      </c>
      <c r="R95" s="302" t="s">
        <v>2483</v>
      </c>
      <c r="S95" s="302" t="str">
        <f t="shared" si="4"/>
        <v>40040 MG/DO Jacksonville Transportation Authority</v>
      </c>
      <c r="U95" s="158">
        <f t="shared" si="3"/>
        <v>1.28</v>
      </c>
      <c r="V95" s="158">
        <v>7</v>
      </c>
    </row>
    <row r="96" spans="1:22" x14ac:dyDescent="0.2">
      <c r="A96" s="303"/>
      <c r="B96" s="305">
        <f t="shared" si="5"/>
        <v>4</v>
      </c>
      <c r="C96" s="302" t="s">
        <v>430</v>
      </c>
      <c r="D96" s="302"/>
      <c r="E96" s="303"/>
      <c r="F96" s="303" t="s">
        <v>1733</v>
      </c>
      <c r="G96" s="303"/>
      <c r="H96" s="303"/>
      <c r="I96" s="303"/>
      <c r="J96" s="1798"/>
      <c r="K96" s="306" t="s">
        <v>966</v>
      </c>
      <c r="L96" s="306"/>
      <c r="M96" s="303"/>
      <c r="N96" s="303"/>
      <c r="O96" s="302"/>
      <c r="P96" s="302" t="s">
        <v>2571</v>
      </c>
      <c r="Q96" s="302" t="s">
        <v>2446</v>
      </c>
      <c r="R96" s="302" t="s">
        <v>2484</v>
      </c>
      <c r="S96" s="302" t="str">
        <f t="shared" si="4"/>
        <v>40041 AG/DO Hillsborough Area Regional Transit Authority</v>
      </c>
      <c r="U96" s="158">
        <f t="shared" si="3"/>
        <v>1.24</v>
      </c>
      <c r="V96" s="158">
        <v>6</v>
      </c>
    </row>
    <row r="97" spans="1:22" x14ac:dyDescent="0.2">
      <c r="A97" s="303"/>
      <c r="B97" s="305">
        <f t="shared" si="5"/>
        <v>5</v>
      </c>
      <c r="C97" s="302" t="s">
        <v>431</v>
      </c>
      <c r="D97" s="302"/>
      <c r="E97" s="303"/>
      <c r="F97" s="303" t="s">
        <v>1734</v>
      </c>
      <c r="G97" s="303"/>
      <c r="H97" s="303"/>
      <c r="I97" s="303"/>
      <c r="J97" s="1798"/>
      <c r="K97" s="306" t="s">
        <v>967</v>
      </c>
      <c r="L97" s="306"/>
      <c r="M97" s="303"/>
      <c r="N97" s="303"/>
      <c r="O97" s="302"/>
      <c r="P97" s="302" t="s">
        <v>2571</v>
      </c>
      <c r="Q97" s="302" t="s">
        <v>2479</v>
      </c>
      <c r="R97" s="302" t="s">
        <v>2484</v>
      </c>
      <c r="S97" s="302" t="str">
        <f t="shared" si="4"/>
        <v>40041 AG/PT Hillsborough Area Regional Transit Authority</v>
      </c>
      <c r="U97" s="158">
        <f t="shared" si="3"/>
        <v>1.2</v>
      </c>
      <c r="V97" s="158">
        <v>5</v>
      </c>
    </row>
    <row r="98" spans="1:22" x14ac:dyDescent="0.2">
      <c r="A98" s="303"/>
      <c r="B98" s="305">
        <f t="shared" si="5"/>
        <v>6</v>
      </c>
      <c r="C98" s="302" t="s">
        <v>432</v>
      </c>
      <c r="D98" s="302"/>
      <c r="E98" s="303"/>
      <c r="F98" s="303" t="s">
        <v>1735</v>
      </c>
      <c r="G98" s="303"/>
      <c r="H98" s="303"/>
      <c r="I98" s="303"/>
      <c r="J98" s="1798"/>
      <c r="K98" s="306" t="s">
        <v>968</v>
      </c>
      <c r="L98" s="306"/>
      <c r="M98" s="303"/>
      <c r="N98" s="303"/>
      <c r="O98" s="302"/>
      <c r="P98" s="302" t="s">
        <v>2571</v>
      </c>
      <c r="Q98" s="302" t="s">
        <v>2426</v>
      </c>
      <c r="R98" s="302" t="s">
        <v>2484</v>
      </c>
      <c r="S98" s="302" t="str">
        <f t="shared" si="4"/>
        <v>40041 LR/DO Hillsborough Area Regional Transit Authority</v>
      </c>
      <c r="U98" s="158">
        <f t="shared" si="3"/>
        <v>1.1599999999999999</v>
      </c>
      <c r="V98" s="158">
        <v>4</v>
      </c>
    </row>
    <row r="99" spans="1:22" x14ac:dyDescent="0.2">
      <c r="A99" s="303"/>
      <c r="B99" s="305">
        <f t="shared" si="5"/>
        <v>7</v>
      </c>
      <c r="C99" s="302" t="s">
        <v>433</v>
      </c>
      <c r="D99" s="302"/>
      <c r="E99" s="303"/>
      <c r="F99" s="303" t="s">
        <v>1736</v>
      </c>
      <c r="G99" s="303"/>
      <c r="H99" s="303"/>
      <c r="I99" s="303"/>
      <c r="J99" s="1798"/>
      <c r="K99" s="306" t="s">
        <v>969</v>
      </c>
      <c r="L99" s="306"/>
      <c r="M99" s="303"/>
      <c r="N99" s="303"/>
      <c r="O99" s="302"/>
      <c r="P99" s="302" t="s">
        <v>2571</v>
      </c>
      <c r="Q99" s="302" t="s">
        <v>2428</v>
      </c>
      <c r="R99" s="302" t="s">
        <v>2484</v>
      </c>
      <c r="S99" s="302" t="str">
        <f t="shared" si="4"/>
        <v>40041 SR/DO Hillsborough Area Regional Transit Authority</v>
      </c>
      <c r="U99" s="158">
        <f t="shared" si="3"/>
        <v>1.1200000000000001</v>
      </c>
      <c r="V99" s="158">
        <v>3</v>
      </c>
    </row>
    <row r="100" spans="1:22" x14ac:dyDescent="0.2">
      <c r="A100" s="303"/>
      <c r="B100" s="305">
        <f t="shared" si="5"/>
        <v>8</v>
      </c>
      <c r="C100" s="302" t="s">
        <v>434</v>
      </c>
      <c r="D100" s="302"/>
      <c r="E100" s="303"/>
      <c r="F100" s="303" t="s">
        <v>1737</v>
      </c>
      <c r="G100" s="303"/>
      <c r="H100" s="303"/>
      <c r="I100" s="303"/>
      <c r="J100" s="1798"/>
      <c r="K100" s="306" t="s">
        <v>970</v>
      </c>
      <c r="L100" s="306"/>
      <c r="M100" s="303"/>
      <c r="N100" s="303"/>
      <c r="O100" s="302"/>
      <c r="P100" s="302" t="s">
        <v>2572</v>
      </c>
      <c r="Q100" s="302" t="s">
        <v>2480</v>
      </c>
      <c r="R100" s="302" t="s">
        <v>2485</v>
      </c>
      <c r="S100" s="302" t="str">
        <f t="shared" si="4"/>
        <v>40063 CC/PT Space Coast Area Transit</v>
      </c>
      <c r="U100" s="158">
        <f t="shared" si="3"/>
        <v>1.08</v>
      </c>
      <c r="V100" s="158">
        <v>2</v>
      </c>
    </row>
    <row r="101" spans="1:22" x14ac:dyDescent="0.2">
      <c r="A101" s="303"/>
      <c r="B101" s="305">
        <f t="shared" si="5"/>
        <v>9</v>
      </c>
      <c r="C101" s="302" t="s">
        <v>435</v>
      </c>
      <c r="D101" s="302"/>
      <c r="E101" s="303"/>
      <c r="F101" s="303" t="s">
        <v>1738</v>
      </c>
      <c r="G101" s="303"/>
      <c r="H101" s="303"/>
      <c r="I101" s="303"/>
      <c r="J101" s="1798"/>
      <c r="K101" s="306" t="s">
        <v>971</v>
      </c>
      <c r="L101" s="306"/>
      <c r="M101" s="303"/>
      <c r="N101" s="303"/>
      <c r="O101" s="302"/>
      <c r="P101" s="302" t="s">
        <v>2573</v>
      </c>
      <c r="Q101" s="302" t="s">
        <v>2443</v>
      </c>
      <c r="R101" s="302" t="s">
        <v>2486</v>
      </c>
      <c r="S101" s="302" t="str">
        <f t="shared" si="4"/>
        <v>40077 CR/DO South Florida Regional Transportation Authority</v>
      </c>
      <c r="U101" s="158">
        <f t="shared" si="3"/>
        <v>1.04</v>
      </c>
      <c r="V101" s="158">
        <v>1</v>
      </c>
    </row>
    <row r="102" spans="1:22" x14ac:dyDescent="0.2">
      <c r="A102" s="303"/>
      <c r="B102" s="305">
        <f t="shared" si="5"/>
        <v>10</v>
      </c>
      <c r="C102" s="302" t="s">
        <v>436</v>
      </c>
      <c r="D102" s="302"/>
      <c r="E102" s="303"/>
      <c r="F102" s="303" t="s">
        <v>1739</v>
      </c>
      <c r="G102" s="303"/>
      <c r="H102" s="303"/>
      <c r="I102" s="303"/>
      <c r="J102" s="1798"/>
      <c r="K102" s="306" t="s">
        <v>972</v>
      </c>
      <c r="L102" s="306"/>
      <c r="M102" s="303"/>
      <c r="N102" s="303"/>
      <c r="O102" s="302"/>
      <c r="P102" s="302" t="s">
        <v>2573</v>
      </c>
      <c r="Q102" s="302" t="s">
        <v>2430</v>
      </c>
      <c r="R102" s="302" t="s">
        <v>2486</v>
      </c>
      <c r="S102" s="302" t="str">
        <f t="shared" si="4"/>
        <v>40077 CR/PT South Florida Regional Transportation Authority</v>
      </c>
      <c r="U102" s="158">
        <f t="shared" si="3"/>
        <v>1</v>
      </c>
      <c r="V102" s="158">
        <v>0</v>
      </c>
    </row>
    <row r="103" spans="1:22" x14ac:dyDescent="0.2">
      <c r="A103" s="303"/>
      <c r="B103" s="305">
        <f t="shared" si="5"/>
        <v>11</v>
      </c>
      <c r="C103" s="302" t="s">
        <v>437</v>
      </c>
      <c r="D103" s="302"/>
      <c r="E103" s="303"/>
      <c r="F103" s="303" t="s">
        <v>1740</v>
      </c>
      <c r="G103" s="303"/>
      <c r="H103" s="303"/>
      <c r="I103" s="303"/>
      <c r="J103" s="1798"/>
      <c r="K103" s="303" t="s">
        <v>2253</v>
      </c>
      <c r="L103" s="306"/>
      <c r="M103" s="303"/>
      <c r="N103" s="303"/>
      <c r="O103" s="302"/>
      <c r="P103" s="302" t="s">
        <v>2574</v>
      </c>
      <c r="Q103" s="302" t="s">
        <v>2469</v>
      </c>
      <c r="R103" s="302" t="s">
        <v>2487</v>
      </c>
      <c r="S103" s="302" t="str">
        <f t="shared" ref="S103:S134" si="6">CONCATENATE(P103, " ",Q103," ",R103)</f>
        <v>40094 HR/PT Alternativa de Transporte Integrado -ATI</v>
      </c>
    </row>
    <row r="104" spans="1:22" x14ac:dyDescent="0.2">
      <c r="A104" s="303"/>
      <c r="B104" s="305">
        <f t="shared" si="5"/>
        <v>12</v>
      </c>
      <c r="C104" s="302" t="s">
        <v>438</v>
      </c>
      <c r="D104" s="302"/>
      <c r="E104" s="303"/>
      <c r="F104" s="303" t="s">
        <v>1741</v>
      </c>
      <c r="G104" s="303"/>
      <c r="H104" s="303"/>
      <c r="I104" s="303"/>
      <c r="J104" s="1798"/>
      <c r="K104" s="306" t="s">
        <v>973</v>
      </c>
      <c r="L104" s="306"/>
      <c r="M104" s="303"/>
      <c r="N104" s="303"/>
      <c r="O104" s="302"/>
      <c r="P104" s="302" t="s">
        <v>2575</v>
      </c>
      <c r="Q104" s="302" t="s">
        <v>2430</v>
      </c>
      <c r="R104" s="302" t="s">
        <v>2488</v>
      </c>
      <c r="S104" s="302" t="str">
        <f t="shared" si="6"/>
        <v>40159 CR/PT Regional Transportation Authority</v>
      </c>
    </row>
    <row r="105" spans="1:22" x14ac:dyDescent="0.2">
      <c r="A105" s="303"/>
      <c r="B105" s="305">
        <f t="shared" si="5"/>
        <v>13</v>
      </c>
      <c r="C105" s="302" t="s">
        <v>439</v>
      </c>
      <c r="D105" s="302"/>
      <c r="E105" s="303"/>
      <c r="F105" s="303" t="s">
        <v>1742</v>
      </c>
      <c r="G105" s="303"/>
      <c r="H105" s="303"/>
      <c r="I105" s="303"/>
      <c r="J105" s="1798"/>
      <c r="K105" s="306" t="s">
        <v>974</v>
      </c>
      <c r="L105" s="306"/>
      <c r="M105" s="303"/>
      <c r="N105" s="303"/>
      <c r="O105" s="302"/>
      <c r="P105" s="302" t="s">
        <v>2576</v>
      </c>
      <c r="Q105" s="302" t="s">
        <v>2428</v>
      </c>
      <c r="R105" s="302" t="s">
        <v>2489</v>
      </c>
      <c r="S105" s="302" t="str">
        <f t="shared" si="6"/>
        <v>40230 SR/DO City of Atlanta - Department of Public Works - Transit Division</v>
      </c>
    </row>
    <row r="106" spans="1:22" x14ac:dyDescent="0.2">
      <c r="A106" s="303"/>
      <c r="B106" s="305">
        <f t="shared" si="5"/>
        <v>14</v>
      </c>
      <c r="C106" s="302" t="s">
        <v>440</v>
      </c>
      <c r="D106" s="302"/>
      <c r="E106" s="303"/>
      <c r="F106" s="303" t="s">
        <v>1743</v>
      </c>
      <c r="G106" s="303"/>
      <c r="H106" s="303"/>
      <c r="I106" s="303"/>
      <c r="J106" s="1798"/>
      <c r="K106" s="306" t="s">
        <v>975</v>
      </c>
      <c r="L106" s="306"/>
      <c r="M106" s="303"/>
      <c r="N106" s="303"/>
      <c r="O106" s="302"/>
      <c r="P106" s="302" t="s">
        <v>2577</v>
      </c>
      <c r="Q106" s="302" t="s">
        <v>2443</v>
      </c>
      <c r="R106" s="302" t="s">
        <v>2490</v>
      </c>
      <c r="S106" s="302" t="str">
        <f t="shared" si="6"/>
        <v>40232 CR/DO Central Florida Commuter Rail</v>
      </c>
    </row>
    <row r="107" spans="1:22" x14ac:dyDescent="0.2">
      <c r="A107" s="303"/>
      <c r="B107" s="305">
        <f t="shared" si="5"/>
        <v>15</v>
      </c>
      <c r="C107" s="302" t="s">
        <v>441</v>
      </c>
      <c r="D107" s="302"/>
      <c r="E107" s="303"/>
      <c r="F107" s="303" t="s">
        <v>1744</v>
      </c>
      <c r="G107" s="303"/>
      <c r="H107" s="303"/>
      <c r="I107" s="303"/>
      <c r="J107" s="1798"/>
      <c r="K107" s="306" t="s">
        <v>976</v>
      </c>
      <c r="L107" s="306"/>
      <c r="M107" s="303"/>
      <c r="N107" s="303"/>
      <c r="O107" s="302"/>
      <c r="P107" s="302" t="s">
        <v>2578</v>
      </c>
      <c r="Q107" s="302" t="s">
        <v>2426</v>
      </c>
      <c r="R107" s="302" t="s">
        <v>2491</v>
      </c>
      <c r="S107" s="302" t="str">
        <f t="shared" si="6"/>
        <v>50003 LR/DO Kenosha Transit</v>
      </c>
    </row>
    <row r="108" spans="1:22" x14ac:dyDescent="0.2">
      <c r="A108" s="303"/>
      <c r="B108" s="305">
        <f t="shared" si="5"/>
        <v>16</v>
      </c>
      <c r="C108" s="302" t="s">
        <v>442</v>
      </c>
      <c r="D108" s="302"/>
      <c r="E108" s="303"/>
      <c r="F108" s="303" t="s">
        <v>1745</v>
      </c>
      <c r="G108" s="303"/>
      <c r="H108" s="303"/>
      <c r="I108" s="303"/>
      <c r="J108" s="1798"/>
      <c r="K108" s="306" t="s">
        <v>977</v>
      </c>
      <c r="L108" s="306"/>
      <c r="M108" s="303"/>
      <c r="N108" s="303"/>
      <c r="O108" s="302"/>
      <c r="P108" s="302" t="s">
        <v>2578</v>
      </c>
      <c r="Q108" s="302" t="s">
        <v>2428</v>
      </c>
      <c r="R108" s="302" t="s">
        <v>2491</v>
      </c>
      <c r="S108" s="302" t="str">
        <f t="shared" si="6"/>
        <v>50003 SR/DO Kenosha Transit</v>
      </c>
    </row>
    <row r="109" spans="1:22" x14ac:dyDescent="0.2">
      <c r="A109" s="303"/>
      <c r="B109" s="305">
        <f t="shared" si="5"/>
        <v>17</v>
      </c>
      <c r="C109" s="302" t="s">
        <v>443</v>
      </c>
      <c r="D109" s="302"/>
      <c r="E109" s="303"/>
      <c r="F109" s="303" t="s">
        <v>1746</v>
      </c>
      <c r="G109" s="303"/>
      <c r="H109" s="303"/>
      <c r="I109" s="303"/>
      <c r="J109" s="1798"/>
      <c r="K109" s="306" t="s">
        <v>978</v>
      </c>
      <c r="L109" s="306"/>
      <c r="M109" s="303"/>
      <c r="N109" s="303"/>
      <c r="O109" s="302"/>
      <c r="P109" s="302" t="s">
        <v>2579</v>
      </c>
      <c r="Q109" s="302" t="s">
        <v>2444</v>
      </c>
      <c r="R109" s="302" t="s">
        <v>2492</v>
      </c>
      <c r="S109" s="302" t="str">
        <f t="shared" si="6"/>
        <v>50015 HR/DO The Greater Cleveland Regional Transit Authority</v>
      </c>
    </row>
    <row r="110" spans="1:22" x14ac:dyDescent="0.2">
      <c r="A110" s="303"/>
      <c r="B110" s="305">
        <f t="shared" si="5"/>
        <v>18</v>
      </c>
      <c r="C110" s="302" t="s">
        <v>444</v>
      </c>
      <c r="D110" s="302"/>
      <c r="E110" s="303"/>
      <c r="F110" s="303" t="s">
        <v>1747</v>
      </c>
      <c r="G110" s="303"/>
      <c r="H110" s="303"/>
      <c r="I110" s="303"/>
      <c r="J110" s="1798"/>
      <c r="K110" s="306" t="s">
        <v>979</v>
      </c>
      <c r="L110" s="306"/>
      <c r="M110" s="303"/>
      <c r="N110" s="303"/>
      <c r="O110" s="302"/>
      <c r="P110" s="302" t="s">
        <v>2579</v>
      </c>
      <c r="Q110" s="302" t="s">
        <v>2426</v>
      </c>
      <c r="R110" s="302" t="s">
        <v>2492</v>
      </c>
      <c r="S110" s="302" t="str">
        <f t="shared" si="6"/>
        <v>50015 LR/DO The Greater Cleveland Regional Transit Authority</v>
      </c>
    </row>
    <row r="111" spans="1:22" x14ac:dyDescent="0.2">
      <c r="A111" s="303"/>
      <c r="B111" s="305">
        <f t="shared" si="5"/>
        <v>19</v>
      </c>
      <c r="C111" s="302" t="s">
        <v>445</v>
      </c>
      <c r="D111" s="302"/>
      <c r="E111" s="303"/>
      <c r="F111" s="303" t="s">
        <v>1748</v>
      </c>
      <c r="G111" s="303"/>
      <c r="H111" s="303"/>
      <c r="I111" s="303"/>
      <c r="J111" s="1798"/>
      <c r="K111" s="306" t="s">
        <v>980</v>
      </c>
      <c r="L111" s="306"/>
      <c r="M111" s="303"/>
      <c r="N111" s="303"/>
      <c r="O111" s="302"/>
      <c r="P111" s="302" t="s">
        <v>2580</v>
      </c>
      <c r="Q111" s="302" t="s">
        <v>2430</v>
      </c>
      <c r="R111" s="302" t="s">
        <v>2493</v>
      </c>
      <c r="S111" s="302" t="str">
        <f t="shared" si="6"/>
        <v xml:space="preserve">50027 CR/PT Metro Transit </v>
      </c>
    </row>
    <row r="112" spans="1:22" x14ac:dyDescent="0.2">
      <c r="A112" s="303"/>
      <c r="B112" s="305">
        <f t="shared" si="5"/>
        <v>20</v>
      </c>
      <c r="C112" s="302" t="s">
        <v>446</v>
      </c>
      <c r="D112" s="302"/>
      <c r="E112" s="303"/>
      <c r="F112" s="303" t="s">
        <v>1749</v>
      </c>
      <c r="G112" s="303"/>
      <c r="H112" s="303"/>
      <c r="I112" s="303"/>
      <c r="J112" s="1798"/>
      <c r="K112" s="306" t="s">
        <v>981</v>
      </c>
      <c r="L112" s="306"/>
      <c r="M112" s="303"/>
      <c r="N112" s="303"/>
      <c r="O112" s="302"/>
      <c r="P112" s="302" t="s">
        <v>2580</v>
      </c>
      <c r="Q112" s="302" t="s">
        <v>2426</v>
      </c>
      <c r="R112" s="302" t="s">
        <v>2493</v>
      </c>
      <c r="S112" s="302" t="str">
        <f t="shared" si="6"/>
        <v xml:space="preserve">50027 LR/DO Metro Transit </v>
      </c>
    </row>
    <row r="113" spans="1:19" x14ac:dyDescent="0.2">
      <c r="A113" s="303"/>
      <c r="B113" s="305">
        <f t="shared" si="5"/>
        <v>21</v>
      </c>
      <c r="C113" s="302" t="s">
        <v>447</v>
      </c>
      <c r="D113" s="302"/>
      <c r="E113" s="303"/>
      <c r="F113" s="303" t="s">
        <v>1750</v>
      </c>
      <c r="G113" s="303"/>
      <c r="H113" s="303"/>
      <c r="I113" s="303"/>
      <c r="J113" s="1798"/>
      <c r="K113" s="306" t="s">
        <v>982</v>
      </c>
      <c r="L113" s="306"/>
      <c r="M113" s="303"/>
      <c r="N113" s="303"/>
      <c r="O113" s="302"/>
      <c r="P113" s="302" t="s">
        <v>2581</v>
      </c>
      <c r="Q113" s="302" t="s">
        <v>2444</v>
      </c>
      <c r="R113" s="302" t="s">
        <v>2494</v>
      </c>
      <c r="S113" s="302" t="str">
        <f t="shared" si="6"/>
        <v>50066 HR/DO Chicago Transit Authority</v>
      </c>
    </row>
    <row r="114" spans="1:19" x14ac:dyDescent="0.2">
      <c r="A114" s="303"/>
      <c r="B114" s="305">
        <f t="shared" si="5"/>
        <v>22</v>
      </c>
      <c r="C114" s="302" t="s">
        <v>448</v>
      </c>
      <c r="D114" s="302"/>
      <c r="E114" s="303"/>
      <c r="F114" s="303" t="s">
        <v>1751</v>
      </c>
      <c r="G114" s="303"/>
      <c r="H114" s="303"/>
      <c r="I114" s="303"/>
      <c r="J114" s="1798"/>
      <c r="K114" s="306" t="s">
        <v>983</v>
      </c>
      <c r="L114" s="306"/>
      <c r="M114" s="303"/>
      <c r="N114" s="303"/>
      <c r="O114" s="302"/>
      <c r="P114" s="302" t="s">
        <v>2582</v>
      </c>
      <c r="Q114" s="302" t="s">
        <v>2443</v>
      </c>
      <c r="R114" s="302" t="s">
        <v>2495</v>
      </c>
      <c r="S114" s="302" t="str">
        <f t="shared" si="6"/>
        <v>50104 CR/DO Northern Indiana Commuter Transportation District</v>
      </c>
    </row>
    <row r="115" spans="1:19" x14ac:dyDescent="0.2">
      <c r="A115" s="303"/>
      <c r="B115" s="305">
        <f t="shared" si="5"/>
        <v>23</v>
      </c>
      <c r="C115" s="302" t="s">
        <v>449</v>
      </c>
      <c r="D115" s="302"/>
      <c r="E115" s="303"/>
      <c r="F115" s="303" t="s">
        <v>1752</v>
      </c>
      <c r="G115" s="303"/>
      <c r="H115" s="303"/>
      <c r="I115" s="303"/>
      <c r="J115" s="1798"/>
      <c r="K115" s="306" t="s">
        <v>984</v>
      </c>
      <c r="L115" s="306"/>
      <c r="M115" s="303"/>
      <c r="N115" s="303"/>
      <c r="O115" s="302"/>
      <c r="P115" s="302" t="s">
        <v>2583</v>
      </c>
      <c r="Q115" s="302" t="s">
        <v>2430</v>
      </c>
      <c r="R115" s="302" t="s">
        <v>2496</v>
      </c>
      <c r="S115" s="302" t="str">
        <f t="shared" si="6"/>
        <v>50110 CR/PT Bloomington Public Transportation Corporation</v>
      </c>
    </row>
    <row r="116" spans="1:19" x14ac:dyDescent="0.2">
      <c r="A116" s="303"/>
      <c r="B116" s="305">
        <f t="shared" si="5"/>
        <v>24</v>
      </c>
      <c r="C116" s="302" t="s">
        <v>450</v>
      </c>
      <c r="D116" s="302"/>
      <c r="E116" s="303"/>
      <c r="F116" s="303" t="s">
        <v>1753</v>
      </c>
      <c r="G116" s="303"/>
      <c r="H116" s="303"/>
      <c r="I116" s="303"/>
      <c r="J116" s="1798"/>
      <c r="K116" s="306" t="s">
        <v>985</v>
      </c>
      <c r="L116" s="306"/>
      <c r="M116" s="303"/>
      <c r="N116" s="303"/>
      <c r="O116" s="302"/>
      <c r="P116" s="302" t="s">
        <v>2584</v>
      </c>
      <c r="Q116" s="302" t="s">
        <v>2443</v>
      </c>
      <c r="R116" s="302" t="s">
        <v>2497</v>
      </c>
      <c r="S116" s="302" t="str">
        <f t="shared" si="6"/>
        <v>50118 CR/DO Northeast Illinois Regional Commuter Railroad Corporation dba: Metra Rail</v>
      </c>
    </row>
    <row r="117" spans="1:19" x14ac:dyDescent="0.2">
      <c r="A117" s="303"/>
      <c r="B117" s="305">
        <f t="shared" si="5"/>
        <v>25</v>
      </c>
      <c r="C117" s="302" t="s">
        <v>451</v>
      </c>
      <c r="D117" s="302"/>
      <c r="E117" s="303"/>
      <c r="F117" s="303" t="s">
        <v>1754</v>
      </c>
      <c r="G117" s="303"/>
      <c r="H117" s="303"/>
      <c r="I117" s="303"/>
      <c r="J117" s="1798"/>
      <c r="K117" s="306" t="s">
        <v>986</v>
      </c>
      <c r="L117" s="306"/>
      <c r="M117" s="303"/>
      <c r="N117" s="303"/>
      <c r="O117" s="302"/>
      <c r="P117" s="302" t="s">
        <v>2584</v>
      </c>
      <c r="Q117" s="302" t="s">
        <v>2430</v>
      </c>
      <c r="R117" s="302" t="s">
        <v>2497</v>
      </c>
      <c r="S117" s="302" t="str">
        <f t="shared" si="6"/>
        <v>50118 CR/PT Northeast Illinois Regional Commuter Railroad Corporation dba: Metra Rail</v>
      </c>
    </row>
    <row r="118" spans="1:19" x14ac:dyDescent="0.2">
      <c r="A118" s="303"/>
      <c r="B118" s="305">
        <f t="shared" si="5"/>
        <v>26</v>
      </c>
      <c r="C118" s="302" t="s">
        <v>452</v>
      </c>
      <c r="D118" s="302"/>
      <c r="E118" s="303"/>
      <c r="F118" s="303" t="s">
        <v>1755</v>
      </c>
      <c r="G118" s="303"/>
      <c r="H118" s="303"/>
      <c r="I118" s="303"/>
      <c r="J118" s="1798"/>
      <c r="K118" s="306" t="s">
        <v>987</v>
      </c>
      <c r="L118" s="306"/>
      <c r="M118" s="303"/>
      <c r="N118" s="303"/>
      <c r="O118" s="302"/>
      <c r="P118" s="302" t="s">
        <v>2585</v>
      </c>
      <c r="Q118" s="302" t="s">
        <v>2426</v>
      </c>
      <c r="R118" s="302" t="s">
        <v>2498</v>
      </c>
      <c r="S118" s="302" t="str">
        <f t="shared" si="6"/>
        <v>50119 LR/DO City of Detroit Department of Transportation</v>
      </c>
    </row>
    <row r="119" spans="1:19" x14ac:dyDescent="0.2">
      <c r="A119" s="303"/>
      <c r="B119" s="305">
        <f t="shared" si="5"/>
        <v>27</v>
      </c>
      <c r="C119" s="302" t="s">
        <v>453</v>
      </c>
      <c r="D119" s="302"/>
      <c r="E119" s="303"/>
      <c r="F119" s="303" t="s">
        <v>1756</v>
      </c>
      <c r="G119" s="303"/>
      <c r="H119" s="303"/>
      <c r="I119" s="303"/>
      <c r="J119" s="1798"/>
      <c r="K119" s="306" t="s">
        <v>988</v>
      </c>
      <c r="L119" s="306"/>
      <c r="M119" s="303"/>
      <c r="N119" s="303"/>
      <c r="O119" s="302"/>
      <c r="P119" s="302" t="s">
        <v>2586</v>
      </c>
      <c r="Q119" s="302" t="s">
        <v>2446</v>
      </c>
      <c r="R119" s="302" t="s">
        <v>2499</v>
      </c>
      <c r="S119" s="302" t="str">
        <f t="shared" si="6"/>
        <v>50141 AG/DO Detroit Transportation Corporation</v>
      </c>
    </row>
    <row r="120" spans="1:19" x14ac:dyDescent="0.2">
      <c r="A120" s="303"/>
      <c r="B120" s="305">
        <f t="shared" si="5"/>
        <v>28</v>
      </c>
      <c r="C120" s="302" t="s">
        <v>454</v>
      </c>
      <c r="D120" s="302"/>
      <c r="E120" s="303"/>
      <c r="F120" s="303" t="s">
        <v>1757</v>
      </c>
      <c r="G120" s="303"/>
      <c r="H120" s="303"/>
      <c r="I120" s="303"/>
      <c r="J120" s="1798"/>
      <c r="K120" s="306" t="s">
        <v>989</v>
      </c>
      <c r="L120" s="306"/>
      <c r="M120" s="303"/>
      <c r="N120" s="303"/>
      <c r="O120" s="302"/>
      <c r="P120" s="302" t="s">
        <v>2586</v>
      </c>
      <c r="Q120" s="302" t="s">
        <v>2426</v>
      </c>
      <c r="R120" s="302" t="s">
        <v>2499</v>
      </c>
      <c r="S120" s="302" t="str">
        <f t="shared" si="6"/>
        <v>50141 LR/DO Detroit Transportation Corporation</v>
      </c>
    </row>
    <row r="121" spans="1:19" x14ac:dyDescent="0.2">
      <c r="A121" s="303"/>
      <c r="B121" s="305">
        <f t="shared" si="5"/>
        <v>29</v>
      </c>
      <c r="C121" s="302" t="s">
        <v>455</v>
      </c>
      <c r="D121" s="302"/>
      <c r="E121" s="303"/>
      <c r="F121" s="303" t="s">
        <v>1758</v>
      </c>
      <c r="G121" s="303"/>
      <c r="H121" s="303"/>
      <c r="I121" s="303"/>
      <c r="J121" s="1798"/>
      <c r="K121" s="306" t="s">
        <v>990</v>
      </c>
      <c r="L121" s="306"/>
      <c r="M121" s="303"/>
      <c r="N121" s="303"/>
      <c r="O121" s="302"/>
      <c r="P121" s="302" t="s">
        <v>2586</v>
      </c>
      <c r="Q121" s="302" t="s">
        <v>2473</v>
      </c>
      <c r="R121" s="302" t="s">
        <v>2499</v>
      </c>
      <c r="S121" s="302" t="str">
        <f t="shared" si="6"/>
        <v>50141 MG/DO Detroit Transportation Corporation</v>
      </c>
    </row>
    <row r="122" spans="1:19" x14ac:dyDescent="0.2">
      <c r="A122" s="303"/>
      <c r="B122" s="305">
        <f t="shared" si="5"/>
        <v>30</v>
      </c>
      <c r="C122" s="302" t="s">
        <v>456</v>
      </c>
      <c r="D122" s="302"/>
      <c r="E122" s="303"/>
      <c r="F122" s="303" t="s">
        <v>1759</v>
      </c>
      <c r="G122" s="303"/>
      <c r="H122" s="303"/>
      <c r="I122" s="303"/>
      <c r="J122" s="1798"/>
      <c r="K122" s="306" t="s">
        <v>2244</v>
      </c>
      <c r="L122" s="306"/>
      <c r="M122" s="303"/>
      <c r="N122" s="303"/>
      <c r="O122" s="302"/>
      <c r="P122" s="302" t="s">
        <v>2587</v>
      </c>
      <c r="Q122" s="302" t="s">
        <v>2430</v>
      </c>
      <c r="R122" s="302" t="s">
        <v>2500</v>
      </c>
      <c r="S122" s="302" t="str">
        <f t="shared" si="6"/>
        <v>60007 CR/PT Fort Worth Transportation Authority</v>
      </c>
    </row>
    <row r="123" spans="1:19" x14ac:dyDescent="0.2">
      <c r="A123" s="303"/>
      <c r="B123" s="305">
        <f t="shared" si="5"/>
        <v>31</v>
      </c>
      <c r="C123" s="302" t="s">
        <v>457</v>
      </c>
      <c r="D123" s="302"/>
      <c r="E123" s="303"/>
      <c r="F123" s="303" t="s">
        <v>1760</v>
      </c>
      <c r="G123" s="303"/>
      <c r="H123" s="303"/>
      <c r="I123" s="303"/>
      <c r="J123" s="1798"/>
      <c r="K123" s="306" t="s">
        <v>991</v>
      </c>
      <c r="L123" s="306"/>
      <c r="M123" s="303"/>
      <c r="N123" s="303"/>
      <c r="O123" s="302"/>
      <c r="P123" s="302" t="s">
        <v>2588</v>
      </c>
      <c r="Q123" s="302" t="s">
        <v>2426</v>
      </c>
      <c r="R123" s="302" t="s">
        <v>2501</v>
      </c>
      <c r="S123" s="302" t="str">
        <f t="shared" si="6"/>
        <v xml:space="preserve">60008 LR/DO Metropolitan Transit Authority of Harris County, Texas </v>
      </c>
    </row>
    <row r="124" spans="1:19" x14ac:dyDescent="0.2">
      <c r="A124" s="303"/>
      <c r="B124" s="305">
        <f t="shared" si="5"/>
        <v>32</v>
      </c>
      <c r="C124" s="302" t="s">
        <v>458</v>
      </c>
      <c r="D124" s="302"/>
      <c r="E124" s="303"/>
      <c r="F124" s="303" t="s">
        <v>1761</v>
      </c>
      <c r="G124" s="303"/>
      <c r="H124" s="303"/>
      <c r="I124" s="303"/>
      <c r="J124" s="1798"/>
      <c r="K124" s="306" t="s">
        <v>992</v>
      </c>
      <c r="L124" s="306"/>
      <c r="M124" s="303"/>
      <c r="N124" s="303"/>
      <c r="O124" s="302"/>
      <c r="P124" s="302" t="s">
        <v>2589</v>
      </c>
      <c r="Q124" s="302" t="s">
        <v>2428</v>
      </c>
      <c r="R124" s="302" t="s">
        <v>2502</v>
      </c>
      <c r="S124" s="302" t="str">
        <f t="shared" si="6"/>
        <v>60011 SR/DO VIA Metropolitan Transit</v>
      </c>
    </row>
    <row r="125" spans="1:19" x14ac:dyDescent="0.2">
      <c r="A125" s="303"/>
      <c r="B125" s="305">
        <f t="shared" si="5"/>
        <v>33</v>
      </c>
      <c r="C125" s="302" t="s">
        <v>459</v>
      </c>
      <c r="D125" s="302"/>
      <c r="E125" s="303"/>
      <c r="F125" s="303" t="s">
        <v>1762</v>
      </c>
      <c r="G125" s="303"/>
      <c r="H125" s="303"/>
      <c r="I125" s="303"/>
      <c r="J125" s="1798"/>
      <c r="K125" s="306" t="s">
        <v>993</v>
      </c>
      <c r="L125" s="306"/>
      <c r="M125" s="303"/>
      <c r="N125" s="303"/>
      <c r="O125" s="302"/>
      <c r="P125" s="302" t="s">
        <v>2590</v>
      </c>
      <c r="Q125" s="302" t="s">
        <v>2426</v>
      </c>
      <c r="R125" s="302" t="s">
        <v>2503</v>
      </c>
      <c r="S125" s="302" t="str">
        <f t="shared" si="6"/>
        <v>60015 LR/DO Island Transit</v>
      </c>
    </row>
    <row r="126" spans="1:19" x14ac:dyDescent="0.2">
      <c r="A126" s="303"/>
      <c r="B126" s="305">
        <f t="shared" si="5"/>
        <v>34</v>
      </c>
      <c r="C126" s="302" t="s">
        <v>460</v>
      </c>
      <c r="D126" s="302"/>
      <c r="E126" s="303"/>
      <c r="F126" s="303" t="s">
        <v>1763</v>
      </c>
      <c r="G126" s="303"/>
      <c r="H126" s="303"/>
      <c r="I126" s="303"/>
      <c r="J126" s="1798"/>
      <c r="K126" s="306" t="s">
        <v>994</v>
      </c>
      <c r="L126" s="306"/>
      <c r="M126" s="303"/>
      <c r="N126" s="303"/>
      <c r="O126" s="302"/>
      <c r="P126" s="302" t="s">
        <v>2590</v>
      </c>
      <c r="Q126" s="302" t="s">
        <v>2427</v>
      </c>
      <c r="R126" s="302" t="s">
        <v>2503</v>
      </c>
      <c r="S126" s="302" t="str">
        <f t="shared" si="6"/>
        <v>60015 LR/PT Island Transit</v>
      </c>
    </row>
    <row r="127" spans="1:19" x14ac:dyDescent="0.2">
      <c r="A127" s="303"/>
      <c r="B127" s="305">
        <f t="shared" si="5"/>
        <v>35</v>
      </c>
      <c r="C127" s="302" t="s">
        <v>461</v>
      </c>
      <c r="D127" s="302"/>
      <c r="E127" s="303"/>
      <c r="F127" s="303" t="s">
        <v>1764</v>
      </c>
      <c r="G127" s="303"/>
      <c r="H127" s="303"/>
      <c r="I127" s="303"/>
      <c r="J127" s="1798"/>
      <c r="K127" s="306" t="s">
        <v>995</v>
      </c>
      <c r="L127" s="306"/>
      <c r="M127" s="303"/>
      <c r="N127" s="303"/>
      <c r="O127" s="302"/>
      <c r="P127" s="302" t="s">
        <v>2591</v>
      </c>
      <c r="Q127" s="302" t="s">
        <v>2426</v>
      </c>
      <c r="R127" s="302" t="s">
        <v>2504</v>
      </c>
      <c r="S127" s="302" t="str">
        <f t="shared" si="6"/>
        <v>60032 LR/DO New Orleans Regional Transit Authority</v>
      </c>
    </row>
    <row r="128" spans="1:19" x14ac:dyDescent="0.2">
      <c r="A128" s="303"/>
      <c r="B128" s="305">
        <f t="shared" si="5"/>
        <v>36</v>
      </c>
      <c r="C128" s="302" t="s">
        <v>462</v>
      </c>
      <c r="D128" s="302"/>
      <c r="E128" s="303"/>
      <c r="F128" s="303" t="s">
        <v>1765</v>
      </c>
      <c r="G128" s="303"/>
      <c r="H128" s="303"/>
      <c r="I128" s="303"/>
      <c r="J128" s="1798"/>
      <c r="K128" s="306" t="s">
        <v>996</v>
      </c>
      <c r="L128" s="306"/>
      <c r="M128" s="303"/>
      <c r="N128" s="303"/>
      <c r="O128" s="302"/>
      <c r="P128" s="302" t="s">
        <v>2591</v>
      </c>
      <c r="Q128" s="302" t="s">
        <v>2427</v>
      </c>
      <c r="R128" s="302" t="s">
        <v>2504</v>
      </c>
      <c r="S128" s="302" t="str">
        <f t="shared" si="6"/>
        <v>60032 LR/PT New Orleans Regional Transit Authority</v>
      </c>
    </row>
    <row r="129" spans="1:19" x14ac:dyDescent="0.2">
      <c r="A129" s="303"/>
      <c r="B129" s="305">
        <f t="shared" si="5"/>
        <v>37</v>
      </c>
      <c r="C129" s="302" t="s">
        <v>463</v>
      </c>
      <c r="D129" s="302"/>
      <c r="E129" s="303"/>
      <c r="F129" s="303" t="s">
        <v>1766</v>
      </c>
      <c r="G129" s="303"/>
      <c r="H129" s="303"/>
      <c r="I129" s="303"/>
      <c r="J129" s="1798"/>
      <c r="K129" s="306" t="s">
        <v>997</v>
      </c>
      <c r="L129" s="306"/>
      <c r="M129" s="303"/>
      <c r="N129" s="303"/>
      <c r="O129" s="302"/>
      <c r="P129" s="302" t="s">
        <v>2591</v>
      </c>
      <c r="Q129" s="302" t="s">
        <v>2431</v>
      </c>
      <c r="R129" s="302" t="s">
        <v>2504</v>
      </c>
      <c r="S129" s="302" t="str">
        <f t="shared" si="6"/>
        <v>60032 SR/PT New Orleans Regional Transit Authority</v>
      </c>
    </row>
    <row r="130" spans="1:19" x14ac:dyDescent="0.2">
      <c r="A130" s="303"/>
      <c r="B130" s="305">
        <f t="shared" si="5"/>
        <v>38</v>
      </c>
      <c r="C130" s="302" t="s">
        <v>464</v>
      </c>
      <c r="D130" s="302"/>
      <c r="E130" s="303"/>
      <c r="F130" s="303" t="s">
        <v>1767</v>
      </c>
      <c r="G130" s="303"/>
      <c r="H130" s="303"/>
      <c r="I130" s="303"/>
      <c r="J130" s="1798"/>
      <c r="K130" s="306" t="s">
        <v>2248</v>
      </c>
      <c r="L130" s="306"/>
      <c r="M130" s="303"/>
      <c r="N130" s="303"/>
      <c r="O130" s="302"/>
      <c r="P130" s="302" t="s">
        <v>2592</v>
      </c>
      <c r="Q130" s="302" t="s">
        <v>2426</v>
      </c>
      <c r="R130" s="302" t="s">
        <v>2505</v>
      </c>
      <c r="S130" s="302" t="str">
        <f t="shared" si="6"/>
        <v>60033 LR/DO Central Arkansas Transit Authority</v>
      </c>
    </row>
    <row r="131" spans="1:19" x14ac:dyDescent="0.2">
      <c r="A131" s="303"/>
      <c r="B131" s="305">
        <f t="shared" si="5"/>
        <v>39</v>
      </c>
      <c r="C131" s="302" t="s">
        <v>465</v>
      </c>
      <c r="D131" s="302"/>
      <c r="E131" s="303"/>
      <c r="F131" s="303" t="s">
        <v>1768</v>
      </c>
      <c r="G131" s="303"/>
      <c r="H131" s="303"/>
      <c r="I131" s="303"/>
      <c r="J131" s="1798"/>
      <c r="K131" s="306" t="s">
        <v>1041</v>
      </c>
      <c r="L131" s="306"/>
      <c r="M131" s="303"/>
      <c r="N131" s="303"/>
      <c r="O131" s="302"/>
      <c r="P131" s="302" t="s">
        <v>2592</v>
      </c>
      <c r="Q131" s="302" t="s">
        <v>2428</v>
      </c>
      <c r="R131" s="302" t="s">
        <v>2505</v>
      </c>
      <c r="S131" s="302" t="str">
        <f t="shared" si="6"/>
        <v>60033 SR/DO Central Arkansas Transit Authority</v>
      </c>
    </row>
    <row r="132" spans="1:19" x14ac:dyDescent="0.2">
      <c r="A132" s="303"/>
      <c r="B132" s="305">
        <f t="shared" si="5"/>
        <v>40</v>
      </c>
      <c r="C132" s="302" t="s">
        <v>466</v>
      </c>
      <c r="D132" s="302"/>
      <c r="E132" s="303"/>
      <c r="F132" s="303" t="s">
        <v>1769</v>
      </c>
      <c r="G132" s="303"/>
      <c r="H132" s="303"/>
      <c r="I132" s="303"/>
      <c r="J132" s="1798"/>
      <c r="K132" s="306" t="s">
        <v>1041</v>
      </c>
      <c r="L132" s="306"/>
      <c r="M132" s="303"/>
      <c r="N132" s="303"/>
      <c r="O132" s="302"/>
      <c r="P132" s="302" t="s">
        <v>2593</v>
      </c>
      <c r="Q132" s="302" t="s">
        <v>2443</v>
      </c>
      <c r="R132" s="302" t="s">
        <v>2506</v>
      </c>
      <c r="S132" s="302" t="str">
        <f t="shared" si="6"/>
        <v>60048 CR/DO Capital Metropolitan Transportation Authority</v>
      </c>
    </row>
    <row r="133" spans="1:19" x14ac:dyDescent="0.2">
      <c r="A133" s="303"/>
      <c r="B133" s="305">
        <f t="shared" si="5"/>
        <v>41</v>
      </c>
      <c r="C133" s="302" t="s">
        <v>467</v>
      </c>
      <c r="D133" s="302"/>
      <c r="E133" s="303"/>
      <c r="F133" s="303" t="s">
        <v>1770</v>
      </c>
      <c r="G133" s="303"/>
      <c r="H133" s="303"/>
      <c r="I133" s="303"/>
      <c r="J133" s="1798"/>
      <c r="K133" s="1495" t="s">
        <v>2341</v>
      </c>
      <c r="L133" s="1495"/>
      <c r="M133" s="303"/>
      <c r="N133" s="303"/>
      <c r="O133" s="302"/>
      <c r="P133" s="302" t="s">
        <v>2593</v>
      </c>
      <c r="Q133" s="302" t="s">
        <v>2430</v>
      </c>
      <c r="R133" s="302" t="s">
        <v>2506</v>
      </c>
      <c r="S133" s="302" t="str">
        <f t="shared" si="6"/>
        <v>60048 CR/PT Capital Metropolitan Transportation Authority</v>
      </c>
    </row>
    <row r="134" spans="1:19" x14ac:dyDescent="0.2">
      <c r="A134" s="303"/>
      <c r="B134" s="305">
        <f t="shared" si="5"/>
        <v>42</v>
      </c>
      <c r="C134" s="302" t="s">
        <v>468</v>
      </c>
      <c r="D134" s="302"/>
      <c r="E134" s="303"/>
      <c r="F134" s="303" t="s">
        <v>1771</v>
      </c>
      <c r="G134" s="303"/>
      <c r="H134" s="303"/>
      <c r="I134" s="303"/>
      <c r="J134" s="1798"/>
      <c r="K134" s="306" t="s">
        <v>213</v>
      </c>
      <c r="L134" s="306"/>
      <c r="M134" s="303"/>
      <c r="N134" s="303"/>
      <c r="O134" s="302"/>
      <c r="P134" s="302" t="s">
        <v>2593</v>
      </c>
      <c r="Q134" s="302" t="s">
        <v>2432</v>
      </c>
      <c r="R134" s="302" t="s">
        <v>2506</v>
      </c>
      <c r="S134" s="302" t="str">
        <f t="shared" si="6"/>
        <v>60048 YR/PT Capital Metropolitan Transportation Authority</v>
      </c>
    </row>
    <row r="135" spans="1:19" x14ac:dyDescent="0.2">
      <c r="A135" s="303"/>
      <c r="B135" s="305">
        <f t="shared" si="5"/>
        <v>43</v>
      </c>
      <c r="C135" s="302" t="s">
        <v>469</v>
      </c>
      <c r="D135" s="302"/>
      <c r="E135" s="303"/>
      <c r="F135" s="303" t="s">
        <v>1772</v>
      </c>
      <c r="G135" s="303"/>
      <c r="H135" s="303"/>
      <c r="I135" s="303"/>
      <c r="J135" s="1798"/>
      <c r="K135" s="306" t="s">
        <v>214</v>
      </c>
      <c r="L135" s="306"/>
      <c r="M135" s="303"/>
      <c r="N135" s="303"/>
      <c r="O135" s="302"/>
      <c r="P135" s="302" t="s">
        <v>2594</v>
      </c>
      <c r="Q135" s="302" t="s">
        <v>2430</v>
      </c>
      <c r="R135" s="302" t="s">
        <v>2507</v>
      </c>
      <c r="S135" s="302" t="str">
        <f t="shared" ref="S135:S166" si="7">CONCATENATE(P135, " ",Q135," ",R135)</f>
        <v>60056 CR/PT Dallas Area Rapid Transit</v>
      </c>
    </row>
    <row r="136" spans="1:19" x14ac:dyDescent="0.2">
      <c r="A136" s="303"/>
      <c r="B136" s="305">
        <f t="shared" si="5"/>
        <v>44</v>
      </c>
      <c r="C136" s="302" t="s">
        <v>470</v>
      </c>
      <c r="D136" s="302"/>
      <c r="E136" s="303"/>
      <c r="F136" s="303" t="s">
        <v>1773</v>
      </c>
      <c r="G136" s="303"/>
      <c r="H136" s="303"/>
      <c r="I136" s="303"/>
      <c r="J136" s="1798"/>
      <c r="K136" s="306" t="s">
        <v>215</v>
      </c>
      <c r="L136" s="306"/>
      <c r="M136" s="303"/>
      <c r="N136" s="303"/>
      <c r="O136" s="302"/>
      <c r="P136" s="302" t="s">
        <v>2594</v>
      </c>
      <c r="Q136" s="302" t="s">
        <v>2426</v>
      </c>
      <c r="R136" s="302" t="s">
        <v>2507</v>
      </c>
      <c r="S136" s="302" t="str">
        <f t="shared" si="7"/>
        <v>60056 LR/DO Dallas Area Rapid Transit</v>
      </c>
    </row>
    <row r="137" spans="1:19" x14ac:dyDescent="0.2">
      <c r="A137" s="303"/>
      <c r="B137" s="305">
        <f t="shared" si="5"/>
        <v>45</v>
      </c>
      <c r="C137" s="302" t="s">
        <v>471</v>
      </c>
      <c r="D137" s="302"/>
      <c r="E137" s="303"/>
      <c r="F137" s="303" t="s">
        <v>1774</v>
      </c>
      <c r="G137" s="303"/>
      <c r="H137" s="303"/>
      <c r="I137" s="303"/>
      <c r="J137" s="1798"/>
      <c r="K137" s="306" t="s">
        <v>1041</v>
      </c>
      <c r="L137" s="306" t="s">
        <v>1041</v>
      </c>
      <c r="M137" s="303"/>
      <c r="N137" s="303"/>
      <c r="O137" s="302"/>
      <c r="P137" s="302" t="s">
        <v>2595</v>
      </c>
      <c r="Q137" s="302" t="s">
        <v>2430</v>
      </c>
      <c r="R137" s="302" t="s">
        <v>2508</v>
      </c>
      <c r="S137" s="302" t="str">
        <f t="shared" si="7"/>
        <v>60101 CR/PT Denton County Transportation Authority</v>
      </c>
    </row>
    <row r="138" spans="1:19" x14ac:dyDescent="0.2">
      <c r="A138" s="303"/>
      <c r="B138" s="305">
        <f t="shared" si="5"/>
        <v>46</v>
      </c>
      <c r="C138" s="302" t="s">
        <v>472</v>
      </c>
      <c r="D138" s="302"/>
      <c r="E138" s="303"/>
      <c r="F138" s="303" t="s">
        <v>1775</v>
      </c>
      <c r="G138" s="303"/>
      <c r="H138" s="303"/>
      <c r="I138" s="303"/>
      <c r="J138" s="1798"/>
      <c r="K138" s="306" t="s">
        <v>1041</v>
      </c>
      <c r="L138" s="306" t="s">
        <v>1041</v>
      </c>
      <c r="M138" s="303"/>
      <c r="N138" s="303"/>
      <c r="O138" s="302"/>
      <c r="P138" s="302" t="s">
        <v>2595</v>
      </c>
      <c r="Q138" s="302" t="s">
        <v>2432</v>
      </c>
      <c r="R138" s="302" t="s">
        <v>2508</v>
      </c>
      <c r="S138" s="302" t="str">
        <f t="shared" si="7"/>
        <v>60101 YR/PT Denton County Transportation Authority</v>
      </c>
    </row>
    <row r="139" spans="1:19" x14ac:dyDescent="0.2">
      <c r="A139" s="303"/>
      <c r="B139" s="305">
        <f t="shared" si="5"/>
        <v>47</v>
      </c>
      <c r="C139" s="302" t="s">
        <v>473</v>
      </c>
      <c r="D139" s="302"/>
      <c r="E139" s="303"/>
      <c r="F139" s="303" t="s">
        <v>1776</v>
      </c>
      <c r="G139" s="303"/>
      <c r="H139" s="303"/>
      <c r="I139" s="303"/>
      <c r="J139" s="1798"/>
      <c r="K139" s="306" t="s">
        <v>1041</v>
      </c>
      <c r="L139" s="306" t="s">
        <v>1041</v>
      </c>
      <c r="M139" s="303"/>
      <c r="N139" s="303"/>
      <c r="O139" s="302"/>
      <c r="P139" s="302" t="s">
        <v>2596</v>
      </c>
      <c r="Q139" s="302" t="s">
        <v>2430</v>
      </c>
      <c r="R139" s="302" t="s">
        <v>2509</v>
      </c>
      <c r="S139" s="302" t="str">
        <f t="shared" si="7"/>
        <v>60111 CR/PT Rio Metro Regional Transit District</v>
      </c>
    </row>
    <row r="140" spans="1:19" x14ac:dyDescent="0.2">
      <c r="A140" s="303"/>
      <c r="B140" s="305">
        <f t="shared" si="5"/>
        <v>48</v>
      </c>
      <c r="C140" s="302" t="s">
        <v>474</v>
      </c>
      <c r="D140" s="302"/>
      <c r="E140" s="303"/>
      <c r="F140" s="303" t="s">
        <v>1777</v>
      </c>
      <c r="G140" s="303"/>
      <c r="H140" s="303"/>
      <c r="I140" s="303"/>
      <c r="J140" s="1798"/>
      <c r="K140" s="306" t="s">
        <v>1041</v>
      </c>
      <c r="L140" s="306" t="s">
        <v>1041</v>
      </c>
      <c r="M140" s="303"/>
      <c r="N140" s="303"/>
      <c r="O140" s="302"/>
      <c r="P140" s="302" t="s">
        <v>2597</v>
      </c>
      <c r="Q140" s="302" t="s">
        <v>2428</v>
      </c>
      <c r="R140" s="302" t="s">
        <v>2510</v>
      </c>
      <c r="S140" s="302" t="str">
        <f t="shared" si="7"/>
        <v>60133 SR/DO McKinney Avenue Transit Authority</v>
      </c>
    </row>
    <row r="141" spans="1:19" x14ac:dyDescent="0.2">
      <c r="A141" s="303"/>
      <c r="B141" s="305">
        <f t="shared" si="5"/>
        <v>49</v>
      </c>
      <c r="C141" s="302" t="s">
        <v>475</v>
      </c>
      <c r="D141" s="302"/>
      <c r="E141" s="303"/>
      <c r="F141" s="303" t="s">
        <v>1778</v>
      </c>
      <c r="G141" s="303"/>
      <c r="H141" s="303"/>
      <c r="I141" s="303"/>
      <c r="J141" s="1798"/>
      <c r="K141" s="306" t="s">
        <v>1041</v>
      </c>
      <c r="L141" s="306" t="s">
        <v>1041</v>
      </c>
      <c r="M141" s="303"/>
      <c r="N141" s="303"/>
      <c r="O141" s="302"/>
      <c r="P141" s="302" t="s">
        <v>2598</v>
      </c>
      <c r="Q141" s="302" t="s">
        <v>2426</v>
      </c>
      <c r="R141" s="302" t="s">
        <v>2511</v>
      </c>
      <c r="S141" s="302" t="str">
        <f t="shared" si="7"/>
        <v>70006 LR/DO Bi-State Development Agency of the Missouri-Illinois Metropolitan District, d.b.a.(St. Louis) Metro</v>
      </c>
    </row>
    <row r="142" spans="1:19" x14ac:dyDescent="0.2">
      <c r="A142" s="303"/>
      <c r="B142" s="305">
        <f t="shared" si="5"/>
        <v>50</v>
      </c>
      <c r="C142" s="302" t="s">
        <v>476</v>
      </c>
      <c r="D142" s="302"/>
      <c r="E142" s="303"/>
      <c r="F142" s="303" t="s">
        <v>1779</v>
      </c>
      <c r="G142" s="303"/>
      <c r="H142" s="303"/>
      <c r="I142" s="303"/>
      <c r="J142" s="1798"/>
      <c r="K142" s="306" t="s">
        <v>1041</v>
      </c>
      <c r="L142" s="306" t="s">
        <v>1041</v>
      </c>
      <c r="M142" s="303"/>
      <c r="N142" s="303"/>
      <c r="O142" s="302"/>
      <c r="P142" s="302" t="s">
        <v>2599</v>
      </c>
      <c r="Q142" s="302" t="s">
        <v>2430</v>
      </c>
      <c r="R142" s="302" t="s">
        <v>2512</v>
      </c>
      <c r="S142" s="302" t="str">
        <f t="shared" si="7"/>
        <v>70030 CR/PT Coralville Transit System</v>
      </c>
    </row>
    <row r="143" spans="1:19" x14ac:dyDescent="0.2">
      <c r="A143" s="303"/>
      <c r="B143" s="305">
        <f t="shared" si="5"/>
        <v>51</v>
      </c>
      <c r="C143" s="302" t="s">
        <v>477</v>
      </c>
      <c r="D143" s="302"/>
      <c r="E143" s="303"/>
      <c r="F143" s="303" t="s">
        <v>1780</v>
      </c>
      <c r="G143" s="303"/>
      <c r="H143" s="303"/>
      <c r="I143" s="303"/>
      <c r="J143" s="1798"/>
      <c r="K143" s="306" t="s">
        <v>1041</v>
      </c>
      <c r="L143" s="306" t="s">
        <v>1041</v>
      </c>
      <c r="M143" s="303"/>
      <c r="N143" s="303"/>
      <c r="O143" s="302"/>
      <c r="P143" s="302" t="s">
        <v>2600</v>
      </c>
      <c r="Q143" s="302" t="s">
        <v>2443</v>
      </c>
      <c r="R143" s="302" t="s">
        <v>2513</v>
      </c>
      <c r="S143" s="302" t="str">
        <f t="shared" si="7"/>
        <v>80001 CR/DO Utah Transit Authority</v>
      </c>
    </row>
    <row r="144" spans="1:19" x14ac:dyDescent="0.2">
      <c r="A144" s="303"/>
      <c r="B144" s="305">
        <f t="shared" si="5"/>
        <v>52</v>
      </c>
      <c r="C144" s="302" t="s">
        <v>478</v>
      </c>
      <c r="D144" s="302"/>
      <c r="E144" s="303"/>
      <c r="F144" s="303" t="s">
        <v>1781</v>
      </c>
      <c r="G144" s="303"/>
      <c r="H144" s="303"/>
      <c r="I144" s="303"/>
      <c r="J144" s="1798"/>
      <c r="K144" s="306" t="s">
        <v>1041</v>
      </c>
      <c r="L144" s="306" t="s">
        <v>1041</v>
      </c>
      <c r="M144" s="303"/>
      <c r="N144" s="303"/>
      <c r="O144" s="302"/>
      <c r="P144" s="302" t="s">
        <v>2600</v>
      </c>
      <c r="Q144" s="302" t="s">
        <v>2426</v>
      </c>
      <c r="R144" s="302" t="s">
        <v>2513</v>
      </c>
      <c r="S144" s="302" t="str">
        <f t="shared" si="7"/>
        <v>80001 LR/DO Utah Transit Authority</v>
      </c>
    </row>
    <row r="145" spans="1:19" x14ac:dyDescent="0.2">
      <c r="A145" s="303"/>
      <c r="B145" s="305">
        <f t="shared" si="5"/>
        <v>53</v>
      </c>
      <c r="C145" s="302" t="s">
        <v>479</v>
      </c>
      <c r="D145" s="302"/>
      <c r="E145" s="303"/>
      <c r="F145" s="303" t="s">
        <v>1782</v>
      </c>
      <c r="G145" s="303"/>
      <c r="H145" s="303"/>
      <c r="I145" s="303"/>
      <c r="J145" s="1798"/>
      <c r="K145" s="306" t="s">
        <v>1041</v>
      </c>
      <c r="L145" s="306" t="s">
        <v>1041</v>
      </c>
      <c r="M145" s="303"/>
      <c r="N145" s="303"/>
      <c r="O145" s="302"/>
      <c r="P145" s="302" t="s">
        <v>2601</v>
      </c>
      <c r="Q145" s="302" t="s">
        <v>2430</v>
      </c>
      <c r="R145" s="302" t="s">
        <v>2514</v>
      </c>
      <c r="S145" s="302" t="str">
        <f t="shared" si="7"/>
        <v>80006 CR/PT Denver Regional Transportation District</v>
      </c>
    </row>
    <row r="146" spans="1:19" x14ac:dyDescent="0.2">
      <c r="A146" s="303"/>
      <c r="B146" s="305">
        <f t="shared" si="5"/>
        <v>54</v>
      </c>
      <c r="C146" s="302" t="s">
        <v>480</v>
      </c>
      <c r="D146" s="302"/>
      <c r="E146" s="303"/>
      <c r="F146" s="303" t="s">
        <v>1783</v>
      </c>
      <c r="G146" s="303"/>
      <c r="H146" s="303"/>
      <c r="I146" s="303"/>
      <c r="J146" s="1798"/>
      <c r="K146" s="306" t="s">
        <v>1041</v>
      </c>
      <c r="L146" s="306" t="s">
        <v>1041</v>
      </c>
      <c r="M146" s="303"/>
      <c r="N146" s="303"/>
      <c r="O146" s="302"/>
      <c r="P146" s="302" t="s">
        <v>2601</v>
      </c>
      <c r="Q146" s="302" t="s">
        <v>2426</v>
      </c>
      <c r="R146" s="302" t="s">
        <v>2514</v>
      </c>
      <c r="S146" s="302" t="str">
        <f t="shared" si="7"/>
        <v>80006 LR/DO Denver Regional Transportation District</v>
      </c>
    </row>
    <row r="147" spans="1:19" x14ac:dyDescent="0.2">
      <c r="A147" s="303"/>
      <c r="B147" s="305">
        <f t="shared" si="5"/>
        <v>55</v>
      </c>
      <c r="C147" s="302" t="s">
        <v>481</v>
      </c>
      <c r="D147" s="302"/>
      <c r="E147" s="303"/>
      <c r="F147" s="303" t="s">
        <v>1784</v>
      </c>
      <c r="G147" s="303"/>
      <c r="H147" s="303"/>
      <c r="I147" s="303"/>
      <c r="J147" s="1798"/>
      <c r="K147" s="306" t="s">
        <v>1041</v>
      </c>
      <c r="L147" s="306" t="s">
        <v>1041</v>
      </c>
      <c r="M147" s="303"/>
      <c r="N147" s="303"/>
      <c r="O147" s="302"/>
      <c r="P147" s="302" t="s">
        <v>2602</v>
      </c>
      <c r="Q147" s="302" t="s">
        <v>2469</v>
      </c>
      <c r="R147" s="302" t="s">
        <v>2515</v>
      </c>
      <c r="S147" s="302" t="str">
        <f t="shared" si="7"/>
        <v>90002 HR/PT City and County of Honolulu Department of Transportation Services</v>
      </c>
    </row>
    <row r="148" spans="1:19" x14ac:dyDescent="0.2">
      <c r="A148" s="303"/>
      <c r="B148" s="305">
        <f t="shared" si="5"/>
        <v>56</v>
      </c>
      <c r="C148" s="302" t="s">
        <v>482</v>
      </c>
      <c r="D148" s="302"/>
      <c r="E148" s="303"/>
      <c r="F148" s="303" t="s">
        <v>1785</v>
      </c>
      <c r="G148" s="303"/>
      <c r="H148" s="303"/>
      <c r="I148" s="303"/>
      <c r="J148" s="1798"/>
      <c r="K148" s="306" t="s">
        <v>1041</v>
      </c>
      <c r="L148" s="306" t="s">
        <v>1041</v>
      </c>
      <c r="M148" s="303"/>
      <c r="N148" s="303"/>
      <c r="O148" s="302"/>
      <c r="P148" s="302" t="s">
        <v>2603</v>
      </c>
      <c r="Q148" s="302" t="s">
        <v>2444</v>
      </c>
      <c r="R148" s="302" t="s">
        <v>2516</v>
      </c>
      <c r="S148" s="302" t="str">
        <f t="shared" si="7"/>
        <v>90003 HR/DO San Francisco Bay Area Rapid Transit District</v>
      </c>
    </row>
    <row r="149" spans="1:19" x14ac:dyDescent="0.2">
      <c r="A149" s="303"/>
      <c r="B149" s="303"/>
      <c r="C149" s="302"/>
      <c r="D149" s="302"/>
      <c r="E149" s="303"/>
      <c r="F149" s="303" t="s">
        <v>1786</v>
      </c>
      <c r="G149" s="303"/>
      <c r="H149" s="303"/>
      <c r="I149" s="303"/>
      <c r="J149" s="1798"/>
      <c r="K149" s="306" t="s">
        <v>1041</v>
      </c>
      <c r="L149" s="306" t="s">
        <v>1041</v>
      </c>
      <c r="M149" s="303"/>
      <c r="N149" s="303"/>
      <c r="O149" s="302"/>
      <c r="P149" s="302" t="s">
        <v>2603</v>
      </c>
      <c r="Q149" s="302" t="s">
        <v>2434</v>
      </c>
      <c r="R149" s="302" t="s">
        <v>2516</v>
      </c>
      <c r="S149" s="302" t="str">
        <f t="shared" si="7"/>
        <v>90003 MG/PT San Francisco Bay Area Rapid Transit District</v>
      </c>
    </row>
    <row r="150" spans="1:19" x14ac:dyDescent="0.2">
      <c r="A150" s="303"/>
      <c r="B150" s="1495" t="s">
        <v>609</v>
      </c>
      <c r="C150" s="1495"/>
      <c r="D150" s="1495"/>
      <c r="E150" s="303"/>
      <c r="F150" s="303" t="s">
        <v>1787</v>
      </c>
      <c r="G150" s="303"/>
      <c r="H150" s="303"/>
      <c r="I150" s="303"/>
      <c r="J150" s="1798"/>
      <c r="K150" s="306" t="s">
        <v>1041</v>
      </c>
      <c r="L150" s="306" t="s">
        <v>1041</v>
      </c>
      <c r="M150" s="303"/>
      <c r="N150" s="303"/>
      <c r="O150" s="302"/>
      <c r="P150" s="302" t="s">
        <v>2604</v>
      </c>
      <c r="Q150" s="302" t="s">
        <v>2444</v>
      </c>
      <c r="R150" s="302" t="s">
        <v>2517</v>
      </c>
      <c r="S150" s="302" t="str">
        <f t="shared" si="7"/>
        <v>90013 HR/DO Santa Clara Valley Transportation Authority</v>
      </c>
    </row>
    <row r="151" spans="1:19" x14ac:dyDescent="0.2">
      <c r="A151" s="303"/>
      <c r="B151" s="307" t="s">
        <v>138</v>
      </c>
      <c r="C151" s="309" t="s">
        <v>613</v>
      </c>
      <c r="D151" s="309"/>
      <c r="E151" s="303"/>
      <c r="F151" s="303" t="s">
        <v>1788</v>
      </c>
      <c r="G151" s="303"/>
      <c r="H151" s="303"/>
      <c r="I151" s="303"/>
      <c r="J151" s="1798"/>
      <c r="K151" s="306" t="s">
        <v>1041</v>
      </c>
      <c r="L151" s="306" t="s">
        <v>1041</v>
      </c>
      <c r="M151" s="303"/>
      <c r="N151" s="303"/>
      <c r="O151" s="302"/>
      <c r="P151" s="302" t="s">
        <v>2604</v>
      </c>
      <c r="Q151" s="302" t="s">
        <v>2426</v>
      </c>
      <c r="R151" s="302" t="s">
        <v>2517</v>
      </c>
      <c r="S151" s="302" t="str">
        <f t="shared" si="7"/>
        <v>90013 LR/DO Santa Clara Valley Transportation Authority</v>
      </c>
    </row>
    <row r="152" spans="1:19" x14ac:dyDescent="0.2">
      <c r="A152" s="303"/>
      <c r="B152" s="307" t="s">
        <v>108</v>
      </c>
      <c r="C152" s="302" t="s">
        <v>614</v>
      </c>
      <c r="D152" s="302"/>
      <c r="E152" s="303"/>
      <c r="F152" s="303" t="s">
        <v>1789</v>
      </c>
      <c r="G152" s="303"/>
      <c r="H152" s="303"/>
      <c r="I152" s="303"/>
      <c r="J152" s="1798"/>
      <c r="K152" s="306" t="s">
        <v>1041</v>
      </c>
      <c r="L152" s="306" t="s">
        <v>1041</v>
      </c>
      <c r="M152" s="303"/>
      <c r="N152" s="303"/>
      <c r="O152" s="302"/>
      <c r="P152" s="302" t="s">
        <v>2605</v>
      </c>
      <c r="Q152" s="302" t="s">
        <v>2447</v>
      </c>
      <c r="R152" s="302" t="s">
        <v>2518</v>
      </c>
      <c r="S152" s="302" t="str">
        <f t="shared" si="7"/>
        <v>90015 CC/DO San Francisco Municipal Railway</v>
      </c>
    </row>
    <row r="153" spans="1:19" x14ac:dyDescent="0.2">
      <c r="A153" s="303"/>
      <c r="B153" s="307" t="s">
        <v>17</v>
      </c>
      <c r="C153" s="302" t="s">
        <v>615</v>
      </c>
      <c r="D153" s="302"/>
      <c r="E153" s="303"/>
      <c r="F153" s="303" t="s">
        <v>1790</v>
      </c>
      <c r="G153" s="303"/>
      <c r="H153" s="303"/>
      <c r="I153" s="303"/>
      <c r="J153" s="1798"/>
      <c r="K153" s="306" t="s">
        <v>1041</v>
      </c>
      <c r="L153" s="306" t="s">
        <v>1041</v>
      </c>
      <c r="M153" s="303"/>
      <c r="N153" s="303"/>
      <c r="O153" s="302"/>
      <c r="P153" s="302" t="s">
        <v>2605</v>
      </c>
      <c r="Q153" s="302" t="s">
        <v>2426</v>
      </c>
      <c r="R153" s="302" t="s">
        <v>2518</v>
      </c>
      <c r="S153" s="302" t="str">
        <f t="shared" si="7"/>
        <v>90015 LR/DO San Francisco Municipal Railway</v>
      </c>
    </row>
    <row r="154" spans="1:19" x14ac:dyDescent="0.2">
      <c r="A154" s="303"/>
      <c r="B154" s="307"/>
      <c r="C154" s="302"/>
      <c r="D154" s="302"/>
      <c r="E154" s="303"/>
      <c r="F154" s="303" t="s">
        <v>1791</v>
      </c>
      <c r="G154" s="303"/>
      <c r="H154" s="303"/>
      <c r="I154" s="303"/>
      <c r="J154" s="1798"/>
      <c r="K154" s="306" t="s">
        <v>1041</v>
      </c>
      <c r="L154" s="306" t="s">
        <v>1041</v>
      </c>
      <c r="M154" s="303"/>
      <c r="N154" s="303"/>
      <c r="O154" s="302"/>
      <c r="P154" s="302" t="s">
        <v>2605</v>
      </c>
      <c r="Q154" s="302" t="s">
        <v>2428</v>
      </c>
      <c r="R154" s="302" t="s">
        <v>2518</v>
      </c>
      <c r="S154" s="302" t="str">
        <f t="shared" si="7"/>
        <v>90015 SR/DO San Francisco Municipal Railway</v>
      </c>
    </row>
    <row r="155" spans="1:19" x14ac:dyDescent="0.2">
      <c r="A155" s="303"/>
      <c r="B155" s="1495" t="s">
        <v>610</v>
      </c>
      <c r="C155" s="1495"/>
      <c r="D155" s="1495"/>
      <c r="E155" s="303"/>
      <c r="F155" s="303" t="s">
        <v>1792</v>
      </c>
      <c r="G155" s="303"/>
      <c r="H155" s="303"/>
      <c r="I155" s="303"/>
      <c r="J155" s="1798"/>
      <c r="K155" s="306" t="s">
        <v>1041</v>
      </c>
      <c r="L155" s="306"/>
      <c r="M155" s="303"/>
      <c r="N155" s="303"/>
      <c r="O155" s="302"/>
      <c r="P155" s="302" t="s">
        <v>2606</v>
      </c>
      <c r="Q155" s="302" t="s">
        <v>2426</v>
      </c>
      <c r="R155" s="302" t="s">
        <v>2519</v>
      </c>
      <c r="S155" s="302" t="str">
        <f t="shared" si="7"/>
        <v>90019 LR/DO Sacramento Regional Transit District</v>
      </c>
    </row>
    <row r="156" spans="1:19" x14ac:dyDescent="0.2">
      <c r="A156" s="303"/>
      <c r="B156" s="307" t="str">
        <f>B24</f>
        <v>AG</v>
      </c>
      <c r="C156" s="302" t="str">
        <f>C24</f>
        <v>AG - Automated Guideway (DO)</v>
      </c>
      <c r="D156" s="302" t="s">
        <v>2220</v>
      </c>
      <c r="E156" s="303"/>
      <c r="F156" s="303" t="s">
        <v>1793</v>
      </c>
      <c r="G156" s="303"/>
      <c r="H156" s="303"/>
      <c r="I156" s="303"/>
      <c r="J156" s="1798"/>
      <c r="K156" s="306" t="s">
        <v>1041</v>
      </c>
      <c r="L156" s="306"/>
      <c r="M156" s="303"/>
      <c r="N156" s="303"/>
      <c r="O156" s="302"/>
      <c r="P156" s="302" t="s">
        <v>2606</v>
      </c>
      <c r="Q156" s="302" t="s">
        <v>2428</v>
      </c>
      <c r="R156" s="302" t="s">
        <v>2519</v>
      </c>
      <c r="S156" s="302" t="str">
        <f t="shared" si="7"/>
        <v>90019 SR/DO Sacramento Regional Transit District</v>
      </c>
    </row>
    <row r="157" spans="1:19" x14ac:dyDescent="0.2">
      <c r="A157" s="303"/>
      <c r="B157" s="307" t="s">
        <v>157</v>
      </c>
      <c r="C157" s="302" t="s">
        <v>2211</v>
      </c>
      <c r="D157" s="302" t="s">
        <v>2221</v>
      </c>
      <c r="E157" s="303"/>
      <c r="F157" s="303" t="s">
        <v>1794</v>
      </c>
      <c r="G157" s="303"/>
      <c r="H157" s="303"/>
      <c r="I157" s="303"/>
      <c r="J157" s="1798"/>
      <c r="K157" s="306" t="s">
        <v>1041</v>
      </c>
      <c r="L157" s="306"/>
      <c r="M157" s="303"/>
      <c r="N157" s="303"/>
      <c r="O157" s="302"/>
      <c r="P157" s="302" t="s">
        <v>2607</v>
      </c>
      <c r="Q157" s="302" t="s">
        <v>2426</v>
      </c>
      <c r="R157" s="302" t="s">
        <v>2520</v>
      </c>
      <c r="S157" s="302" t="str">
        <f t="shared" si="7"/>
        <v>90026 LR/DO San Diego Metropolitan Transit System</v>
      </c>
    </row>
    <row r="158" spans="1:19" x14ac:dyDescent="0.2">
      <c r="A158" s="303"/>
      <c r="B158" s="307" t="str">
        <f>B25</f>
        <v>AR</v>
      </c>
      <c r="C158" s="302" t="str">
        <f>C25</f>
        <v>AR - Alaska Railroad</v>
      </c>
      <c r="D158" s="302" t="s">
        <v>2162</v>
      </c>
      <c r="E158" s="303"/>
      <c r="F158" s="303" t="s">
        <v>1795</v>
      </c>
      <c r="G158" s="303"/>
      <c r="H158" s="303"/>
      <c r="I158" s="303"/>
      <c r="J158" s="1798"/>
      <c r="K158" s="306" t="s">
        <v>1041</v>
      </c>
      <c r="L158" s="306"/>
      <c r="M158" s="303"/>
      <c r="N158" s="303"/>
      <c r="O158" s="302"/>
      <c r="P158" s="302" t="s">
        <v>2608</v>
      </c>
      <c r="Q158" s="302" t="s">
        <v>2443</v>
      </c>
      <c r="R158" s="302" t="s">
        <v>2521</v>
      </c>
      <c r="S158" s="302" t="str">
        <f t="shared" si="7"/>
        <v>90030 CR/DO North County Transit District</v>
      </c>
    </row>
    <row r="159" spans="1:19" x14ac:dyDescent="0.2">
      <c r="A159" s="303"/>
      <c r="B159" s="307" t="str">
        <f>B27</f>
        <v>CC</v>
      </c>
      <c r="C159" s="302" t="str">
        <f>C27</f>
        <v>CC - Cable Car (DO)</v>
      </c>
      <c r="D159" s="302" t="s">
        <v>2222</v>
      </c>
      <c r="E159" s="303"/>
      <c r="F159" s="303" t="s">
        <v>1796</v>
      </c>
      <c r="G159" s="303"/>
      <c r="H159" s="303"/>
      <c r="I159" s="303"/>
      <c r="J159" s="1798"/>
      <c r="K159" s="306" t="s">
        <v>1041</v>
      </c>
      <c r="L159" s="306"/>
      <c r="M159" s="303"/>
      <c r="N159" s="303"/>
      <c r="O159" s="302"/>
      <c r="P159" s="302" t="s">
        <v>2608</v>
      </c>
      <c r="Q159" s="302" t="s">
        <v>2430</v>
      </c>
      <c r="R159" s="302" t="s">
        <v>2521</v>
      </c>
      <c r="S159" s="302" t="str">
        <f t="shared" si="7"/>
        <v>90030 CR/PT North County Transit District</v>
      </c>
    </row>
    <row r="160" spans="1:19" x14ac:dyDescent="0.2">
      <c r="A160" s="307"/>
      <c r="B160" s="307" t="s">
        <v>161</v>
      </c>
      <c r="C160" s="302" t="s">
        <v>2212</v>
      </c>
      <c r="D160" s="302" t="s">
        <v>2223</v>
      </c>
      <c r="E160" s="303"/>
      <c r="F160" s="303" t="s">
        <v>1797</v>
      </c>
      <c r="G160" s="303"/>
      <c r="H160" s="303"/>
      <c r="I160" s="303"/>
      <c r="J160" s="1798"/>
      <c r="K160" s="306" t="s">
        <v>1041</v>
      </c>
      <c r="L160" s="306"/>
      <c r="M160" s="303"/>
      <c r="N160" s="303"/>
      <c r="O160" s="302"/>
      <c r="P160" s="302" t="s">
        <v>2608</v>
      </c>
      <c r="Q160" s="302" t="s">
        <v>2427</v>
      </c>
      <c r="R160" s="302" t="s">
        <v>2521</v>
      </c>
      <c r="S160" s="302" t="str">
        <f t="shared" si="7"/>
        <v>90030 LR/PT North County Transit District</v>
      </c>
    </row>
    <row r="161" spans="1:19" x14ac:dyDescent="0.2">
      <c r="A161" s="307"/>
      <c r="B161" s="307" t="str">
        <f>B28</f>
        <v>CR</v>
      </c>
      <c r="C161" s="302" t="str">
        <f>C28</f>
        <v>CR - Commuter Rail (DO)</v>
      </c>
      <c r="D161" s="302" t="s">
        <v>2224</v>
      </c>
      <c r="E161" s="303"/>
      <c r="F161" s="303" t="s">
        <v>1798</v>
      </c>
      <c r="G161" s="303"/>
      <c r="H161" s="303"/>
      <c r="I161" s="303"/>
      <c r="J161" s="1798"/>
      <c r="K161" s="306" t="s">
        <v>1041</v>
      </c>
      <c r="L161" s="306"/>
      <c r="M161" s="303"/>
      <c r="N161" s="303"/>
      <c r="O161" s="302"/>
      <c r="P161" s="302" t="s">
        <v>2608</v>
      </c>
      <c r="Q161" s="302" t="s">
        <v>2432</v>
      </c>
      <c r="R161" s="302" t="s">
        <v>2521</v>
      </c>
      <c r="S161" s="302" t="str">
        <f t="shared" si="7"/>
        <v>90030 YR/PT North County Transit District</v>
      </c>
    </row>
    <row r="162" spans="1:19" x14ac:dyDescent="0.2">
      <c r="A162" s="307"/>
      <c r="B162" s="307" t="s">
        <v>156</v>
      </c>
      <c r="C162" s="302" t="s">
        <v>2213</v>
      </c>
      <c r="D162" s="302" t="s">
        <v>2225</v>
      </c>
      <c r="E162" s="303"/>
      <c r="F162" s="303" t="s">
        <v>1799</v>
      </c>
      <c r="G162" s="303"/>
      <c r="H162" s="303"/>
      <c r="I162" s="303"/>
      <c r="J162" s="1798"/>
      <c r="K162" s="306" t="s">
        <v>1041</v>
      </c>
      <c r="L162" s="306"/>
      <c r="M162" s="303"/>
      <c r="N162" s="303"/>
      <c r="O162" s="302"/>
      <c r="P162" s="302" t="s">
        <v>2609</v>
      </c>
      <c r="Q162" s="302" t="s">
        <v>2428</v>
      </c>
      <c r="R162" s="302" t="s">
        <v>2522</v>
      </c>
      <c r="S162" s="302" t="str">
        <f t="shared" si="7"/>
        <v>90033 SR/DO City of Tucson</v>
      </c>
    </row>
    <row r="163" spans="1:19" x14ac:dyDescent="0.2">
      <c r="A163" s="307"/>
      <c r="B163" s="307" t="str">
        <f>B31</f>
        <v>HR</v>
      </c>
      <c r="C163" s="302" t="str">
        <f>C31</f>
        <v>HR - Heavy Rail (DO)</v>
      </c>
      <c r="D163" s="302" t="s">
        <v>2226</v>
      </c>
      <c r="E163" s="303"/>
      <c r="F163" s="303" t="s">
        <v>1800</v>
      </c>
      <c r="G163" s="303"/>
      <c r="H163" s="303"/>
      <c r="I163" s="303"/>
      <c r="J163" s="1798"/>
      <c r="K163" s="306" t="s">
        <v>1041</v>
      </c>
      <c r="L163" s="306"/>
      <c r="M163" s="303"/>
      <c r="N163" s="303"/>
      <c r="O163" s="302"/>
      <c r="P163" s="302" t="s">
        <v>2610</v>
      </c>
      <c r="Q163" s="302" t="s">
        <v>2443</v>
      </c>
      <c r="R163" s="302" t="s">
        <v>2523</v>
      </c>
      <c r="S163" s="302" t="str">
        <f t="shared" si="7"/>
        <v>90036 CR/DO Orange County Transportation Authority</v>
      </c>
    </row>
    <row r="164" spans="1:19" x14ac:dyDescent="0.2">
      <c r="A164" s="307"/>
      <c r="B164" s="307" t="s">
        <v>152</v>
      </c>
      <c r="C164" s="302" t="s">
        <v>2214</v>
      </c>
      <c r="D164" s="302" t="s">
        <v>2227</v>
      </c>
      <c r="E164" s="303"/>
      <c r="F164" s="303" t="s">
        <v>1801</v>
      </c>
      <c r="G164" s="303"/>
      <c r="H164" s="303"/>
      <c r="I164" s="303"/>
      <c r="J164" s="1798"/>
      <c r="K164" s="306" t="s">
        <v>1041</v>
      </c>
      <c r="L164" s="306"/>
      <c r="M164" s="303"/>
      <c r="N164" s="303"/>
      <c r="O164" s="302"/>
      <c r="P164" s="302" t="s">
        <v>2610</v>
      </c>
      <c r="Q164" s="302" t="s">
        <v>2430</v>
      </c>
      <c r="R164" s="302" t="s">
        <v>2523</v>
      </c>
      <c r="S164" s="302" t="str">
        <f t="shared" si="7"/>
        <v>90036 CR/PT Orange County Transportation Authority</v>
      </c>
    </row>
    <row r="165" spans="1:19" x14ac:dyDescent="0.2">
      <c r="A165" s="307"/>
      <c r="B165" s="307" t="str">
        <f>B34</f>
        <v>LR</v>
      </c>
      <c r="C165" s="302" t="str">
        <f>C34</f>
        <v>LR - Light Rail (DO)</v>
      </c>
      <c r="D165" s="302" t="s">
        <v>2228</v>
      </c>
      <c r="E165" s="303"/>
      <c r="F165" s="303" t="s">
        <v>1802</v>
      </c>
      <c r="G165" s="303"/>
      <c r="H165" s="303"/>
      <c r="I165" s="303"/>
      <c r="J165" s="1798"/>
      <c r="K165" s="306" t="s">
        <v>1041</v>
      </c>
      <c r="L165" s="306"/>
      <c r="M165" s="303"/>
      <c r="N165" s="303"/>
      <c r="O165" s="302"/>
      <c r="P165" s="302" t="s">
        <v>2611</v>
      </c>
      <c r="Q165" s="302" t="s">
        <v>2443</v>
      </c>
      <c r="R165" s="302" t="s">
        <v>2524</v>
      </c>
      <c r="S165" s="302" t="str">
        <f t="shared" si="7"/>
        <v>90134 CR/DO Peninsula Corridor Joint Powers Board dba: Caltrain</v>
      </c>
    </row>
    <row r="166" spans="1:19" x14ac:dyDescent="0.2">
      <c r="A166" s="307"/>
      <c r="B166" s="307" t="s">
        <v>144</v>
      </c>
      <c r="C166" s="302" t="s">
        <v>2215</v>
      </c>
      <c r="D166" s="302" t="s">
        <v>2229</v>
      </c>
      <c r="E166" s="303"/>
      <c r="F166" s="303" t="s">
        <v>1803</v>
      </c>
      <c r="G166" s="303"/>
      <c r="H166" s="303"/>
      <c r="I166" s="303"/>
      <c r="J166" s="1798"/>
      <c r="K166" s="306" t="s">
        <v>1041</v>
      </c>
      <c r="L166" s="306"/>
      <c r="M166" s="303"/>
      <c r="N166" s="303"/>
      <c r="O166" s="302"/>
      <c r="P166" s="302" t="s">
        <v>2611</v>
      </c>
      <c r="Q166" s="302" t="s">
        <v>2430</v>
      </c>
      <c r="R166" s="302" t="s">
        <v>2524</v>
      </c>
      <c r="S166" s="302" t="str">
        <f t="shared" si="7"/>
        <v>90134 CR/PT Peninsula Corridor Joint Powers Board dba: Caltrain</v>
      </c>
    </row>
    <row r="167" spans="1:19" x14ac:dyDescent="0.2">
      <c r="A167" s="307"/>
      <c r="B167" s="307" t="str">
        <f>B36</f>
        <v>MG</v>
      </c>
      <c r="C167" s="302" t="str">
        <f>C36</f>
        <v>MG - Monorail/Automated Guideway (DO)</v>
      </c>
      <c r="D167" s="302" t="s">
        <v>2230</v>
      </c>
      <c r="E167" s="303"/>
      <c r="F167" s="303" t="s">
        <v>1804</v>
      </c>
      <c r="G167" s="303"/>
      <c r="H167" s="303"/>
      <c r="I167" s="303"/>
      <c r="J167" s="1798"/>
      <c r="K167" s="306" t="s">
        <v>1041</v>
      </c>
      <c r="L167" s="306"/>
      <c r="M167" s="303"/>
      <c r="N167" s="303"/>
      <c r="O167" s="302"/>
      <c r="P167" s="302" t="s">
        <v>2612</v>
      </c>
      <c r="Q167" s="302" t="s">
        <v>2427</v>
      </c>
      <c r="R167" s="302" t="s">
        <v>2525</v>
      </c>
      <c r="S167" s="302" t="str">
        <f t="shared" ref="S167:S179" si="8">CONCATENATE(P167, " ",Q167," ",R167)</f>
        <v>90136 LR/PT Regional Public Transportation Authority, dba: Valley Metro</v>
      </c>
    </row>
    <row r="168" spans="1:19" x14ac:dyDescent="0.2">
      <c r="A168" s="307"/>
      <c r="B168" s="307" t="s">
        <v>1013</v>
      </c>
      <c r="C168" s="302" t="s">
        <v>2216</v>
      </c>
      <c r="D168" s="302" t="s">
        <v>2231</v>
      </c>
      <c r="E168" s="303"/>
      <c r="F168" s="303" t="s">
        <v>1805</v>
      </c>
      <c r="G168" s="303"/>
      <c r="H168" s="303"/>
      <c r="I168" s="303"/>
      <c r="J168" s="1798"/>
      <c r="K168" s="306" t="s">
        <v>1041</v>
      </c>
      <c r="L168" s="306"/>
      <c r="M168" s="303"/>
      <c r="N168" s="303"/>
      <c r="O168" s="302"/>
      <c r="P168" s="302" t="s">
        <v>2613</v>
      </c>
      <c r="Q168" s="302" t="s">
        <v>2443</v>
      </c>
      <c r="R168" s="302" t="s">
        <v>2526</v>
      </c>
      <c r="S168" s="302" t="str">
        <f t="shared" si="8"/>
        <v>90151 CR/DO Southern California Regional Rail Authority dba: Metrolink</v>
      </c>
    </row>
    <row r="169" spans="1:19" x14ac:dyDescent="0.2">
      <c r="A169" s="307"/>
      <c r="B169" s="307" t="str">
        <f>B39</f>
        <v>SR</v>
      </c>
      <c r="C169" s="302" t="str">
        <f>C39</f>
        <v>SR - Streetcar Rail (DO)</v>
      </c>
      <c r="D169" s="302" t="s">
        <v>2232</v>
      </c>
      <c r="E169" s="303"/>
      <c r="F169" s="303" t="s">
        <v>1806</v>
      </c>
      <c r="G169" s="303"/>
      <c r="H169" s="303"/>
      <c r="I169" s="303"/>
      <c r="J169" s="1798"/>
      <c r="K169" s="306" t="s">
        <v>1041</v>
      </c>
      <c r="L169" s="306"/>
      <c r="M169" s="303"/>
      <c r="N169" s="303"/>
      <c r="O169" s="302"/>
      <c r="P169" s="302" t="s">
        <v>2613</v>
      </c>
      <c r="Q169" s="302" t="s">
        <v>2430</v>
      </c>
      <c r="R169" s="302" t="s">
        <v>2526</v>
      </c>
      <c r="S169" s="302" t="str">
        <f t="shared" si="8"/>
        <v>90151 CR/PT Southern California Regional Rail Authority dba: Metrolink</v>
      </c>
    </row>
    <row r="170" spans="1:19" x14ac:dyDescent="0.2">
      <c r="A170" s="307"/>
      <c r="B170" s="307" t="s">
        <v>1016</v>
      </c>
      <c r="C170" s="302" t="s">
        <v>2217</v>
      </c>
      <c r="D170" s="302" t="s">
        <v>2233</v>
      </c>
      <c r="E170" s="303"/>
      <c r="F170" s="303" t="s">
        <v>1807</v>
      </c>
      <c r="G170" s="303"/>
      <c r="H170" s="303"/>
      <c r="I170" s="303"/>
      <c r="J170" s="1798"/>
      <c r="K170" s="306" t="s">
        <v>1041</v>
      </c>
      <c r="L170" s="306"/>
      <c r="M170" s="303"/>
      <c r="N170" s="303"/>
      <c r="O170" s="302"/>
      <c r="P170" s="302" t="s">
        <v>2614</v>
      </c>
      <c r="Q170" s="302" t="s">
        <v>2444</v>
      </c>
      <c r="R170" s="302" t="s">
        <v>2527</v>
      </c>
      <c r="S170" s="302" t="str">
        <f t="shared" si="8"/>
        <v>90154 HR/DO Los Angeles County Metropolitan Transportation Authority dba: Metro</v>
      </c>
    </row>
    <row r="171" spans="1:19" x14ac:dyDescent="0.2">
      <c r="A171" s="307"/>
      <c r="B171" s="307" t="str">
        <f>B41</f>
        <v>TR</v>
      </c>
      <c r="C171" s="302" t="str">
        <f>C41</f>
        <v>TR - Aerial Tramway (DO)</v>
      </c>
      <c r="D171" s="302" t="s">
        <v>2234</v>
      </c>
      <c r="E171" s="303"/>
      <c r="F171" s="303" t="s">
        <v>1808</v>
      </c>
      <c r="G171" s="303"/>
      <c r="H171" s="303"/>
      <c r="I171" s="303"/>
      <c r="J171" s="1798"/>
      <c r="K171" s="306" t="s">
        <v>1041</v>
      </c>
      <c r="L171" s="306"/>
      <c r="M171" s="303"/>
      <c r="N171" s="303"/>
      <c r="O171" s="302"/>
      <c r="P171" s="302" t="s">
        <v>2614</v>
      </c>
      <c r="Q171" s="302" t="s">
        <v>2426</v>
      </c>
      <c r="R171" s="302" t="s">
        <v>2527</v>
      </c>
      <c r="S171" s="302" t="str">
        <f t="shared" si="8"/>
        <v>90154 LR/DO Los Angeles County Metropolitan Transportation Authority dba: Metro</v>
      </c>
    </row>
    <row r="172" spans="1:19" x14ac:dyDescent="0.2">
      <c r="A172" s="307"/>
      <c r="B172" s="307" t="s">
        <v>159</v>
      </c>
      <c r="C172" s="302" t="s">
        <v>2218</v>
      </c>
      <c r="D172" s="302" t="s">
        <v>2235</v>
      </c>
      <c r="E172" s="303"/>
      <c r="F172" s="303" t="s">
        <v>1809</v>
      </c>
      <c r="G172" s="303"/>
      <c r="H172" s="303"/>
      <c r="I172" s="303"/>
      <c r="J172" s="1798"/>
      <c r="K172" s="306" t="s">
        <v>1041</v>
      </c>
      <c r="L172" s="306"/>
      <c r="M172" s="303"/>
      <c r="N172" s="303"/>
      <c r="O172" s="302"/>
      <c r="P172" s="302" t="s">
        <v>2615</v>
      </c>
      <c r="Q172" s="302" t="s">
        <v>2443</v>
      </c>
      <c r="R172" s="302" t="s">
        <v>2528</v>
      </c>
      <c r="S172" s="302" t="str">
        <f t="shared" si="8"/>
        <v>90182 CR/DO Altamont Corridor Express</v>
      </c>
    </row>
    <row r="173" spans="1:19" x14ac:dyDescent="0.2">
      <c r="A173" s="307"/>
      <c r="B173" s="307" t="str">
        <f>B43</f>
        <v>YR</v>
      </c>
      <c r="C173" s="302" t="str">
        <f>C43</f>
        <v>YR - Hybrid Rail (DO)</v>
      </c>
      <c r="D173" s="302" t="s">
        <v>2236</v>
      </c>
      <c r="E173" s="303"/>
      <c r="F173" s="303" t="s">
        <v>1810</v>
      </c>
      <c r="G173" s="303"/>
      <c r="H173" s="303"/>
      <c r="I173" s="303"/>
      <c r="J173" s="1798"/>
      <c r="K173" s="306" t="s">
        <v>1041</v>
      </c>
      <c r="L173" s="306"/>
      <c r="M173" s="303"/>
      <c r="N173" s="303"/>
      <c r="O173" s="302"/>
      <c r="P173" s="302" t="s">
        <v>2615</v>
      </c>
      <c r="Q173" s="302" t="s">
        <v>2430</v>
      </c>
      <c r="R173" s="302" t="s">
        <v>2528</v>
      </c>
      <c r="S173" s="302" t="str">
        <f t="shared" si="8"/>
        <v>90182 CR/PT Altamont Corridor Express</v>
      </c>
    </row>
    <row r="174" spans="1:19" x14ac:dyDescent="0.2">
      <c r="A174" s="303"/>
      <c r="B174" s="307" t="s">
        <v>1010</v>
      </c>
      <c r="C174" s="302" t="s">
        <v>2219</v>
      </c>
      <c r="D174" s="302" t="s">
        <v>2237</v>
      </c>
      <c r="E174" s="303"/>
      <c r="F174" s="303" t="s">
        <v>1811</v>
      </c>
      <c r="G174" s="303"/>
      <c r="H174" s="303"/>
      <c r="I174" s="303"/>
      <c r="J174" s="1798"/>
      <c r="K174" s="306" t="s">
        <v>1041</v>
      </c>
      <c r="L174" s="306"/>
      <c r="M174" s="303"/>
      <c r="N174" s="303"/>
      <c r="O174" s="302"/>
      <c r="P174" s="302" t="s">
        <v>2616</v>
      </c>
      <c r="Q174" s="302" t="s">
        <v>2426</v>
      </c>
      <c r="R174" s="302" t="s">
        <v>2529</v>
      </c>
      <c r="S174" s="302" t="str">
        <f t="shared" si="8"/>
        <v>90209 LR/DO Valley Metro Rail, Inc.</v>
      </c>
    </row>
    <row r="175" spans="1:19" x14ac:dyDescent="0.2">
      <c r="A175" s="303"/>
      <c r="B175" s="307"/>
      <c r="C175" s="302"/>
      <c r="D175" s="303"/>
      <c r="E175" s="303"/>
      <c r="F175" s="303" t="s">
        <v>1812</v>
      </c>
      <c r="G175" s="303"/>
      <c r="H175" s="303"/>
      <c r="I175" s="303"/>
      <c r="J175" s="1798"/>
      <c r="K175" s="306" t="s">
        <v>1041</v>
      </c>
      <c r="L175" s="306"/>
      <c r="M175" s="303"/>
      <c r="N175" s="303"/>
      <c r="O175" s="302"/>
      <c r="P175" s="302" t="s">
        <v>2616</v>
      </c>
      <c r="Q175" s="302" t="s">
        <v>2427</v>
      </c>
      <c r="R175" s="302" t="s">
        <v>2529</v>
      </c>
      <c r="S175" s="302" t="str">
        <f t="shared" si="8"/>
        <v>90209 LR/PT Valley Metro Rail, Inc.</v>
      </c>
    </row>
    <row r="176" spans="1:19" x14ac:dyDescent="0.2">
      <c r="A176" s="303"/>
      <c r="B176" s="307"/>
      <c r="C176" s="302"/>
      <c r="D176" s="303"/>
      <c r="E176" s="303"/>
      <c r="F176" s="303" t="s">
        <v>1813</v>
      </c>
      <c r="G176" s="303"/>
      <c r="H176" s="303"/>
      <c r="I176" s="303"/>
      <c r="J176" s="1798"/>
      <c r="K176" s="306" t="s">
        <v>1041</v>
      </c>
      <c r="L176" s="306"/>
      <c r="M176" s="303"/>
      <c r="N176" s="303"/>
      <c r="O176" s="302"/>
      <c r="P176" s="302" t="s">
        <v>2617</v>
      </c>
      <c r="Q176" s="302" t="s">
        <v>2430</v>
      </c>
      <c r="R176" s="302" t="s">
        <v>2530</v>
      </c>
      <c r="S176" s="302" t="str">
        <f t="shared" si="8"/>
        <v>90218 CR/PT Riverside County Transportation Commission</v>
      </c>
    </row>
    <row r="177" spans="1:19" x14ac:dyDescent="0.2">
      <c r="A177" s="303"/>
      <c r="B177" s="303"/>
      <c r="C177" s="302"/>
      <c r="D177" s="303"/>
      <c r="E177" s="303"/>
      <c r="F177" s="303" t="s">
        <v>1814</v>
      </c>
      <c r="G177" s="303"/>
      <c r="H177" s="303"/>
      <c r="I177" s="303"/>
      <c r="J177" s="1798"/>
      <c r="K177" s="306" t="s">
        <v>1041</v>
      </c>
      <c r="L177" s="306"/>
      <c r="M177" s="303"/>
      <c r="N177" s="303"/>
      <c r="O177" s="302"/>
      <c r="P177" s="302" t="s">
        <v>2618</v>
      </c>
      <c r="Q177" s="302" t="s">
        <v>2446</v>
      </c>
      <c r="R177" s="302" t="s">
        <v>2531</v>
      </c>
      <c r="S177" s="302" t="str">
        <f t="shared" si="8"/>
        <v>90242 AG/DO Las Vegas Monorail Company</v>
      </c>
    </row>
    <row r="178" spans="1:19" x14ac:dyDescent="0.2">
      <c r="A178" s="303"/>
      <c r="B178" s="303"/>
      <c r="C178" s="302"/>
      <c r="D178" s="303"/>
      <c r="E178" s="303"/>
      <c r="F178" s="303" t="s">
        <v>1815</v>
      </c>
      <c r="G178" s="303"/>
      <c r="H178" s="303"/>
      <c r="I178" s="303"/>
      <c r="J178" s="1798"/>
      <c r="K178" s="306" t="s">
        <v>1041</v>
      </c>
      <c r="L178" s="306"/>
      <c r="M178" s="303"/>
      <c r="N178" s="303"/>
      <c r="O178" s="302"/>
      <c r="P178" s="302" t="s">
        <v>2618</v>
      </c>
      <c r="Q178" s="302" t="s">
        <v>2479</v>
      </c>
      <c r="R178" s="302" t="s">
        <v>2531</v>
      </c>
      <c r="S178" s="302" t="str">
        <f t="shared" si="8"/>
        <v>90242 AG/PT Las Vegas Monorail Company</v>
      </c>
    </row>
    <row r="179" spans="1:19" x14ac:dyDescent="0.2">
      <c r="A179" s="303"/>
      <c r="B179" s="303"/>
      <c r="C179" s="302"/>
      <c r="D179" s="303"/>
      <c r="E179" s="303"/>
      <c r="F179" s="303" t="s">
        <v>1816</v>
      </c>
      <c r="G179" s="303"/>
      <c r="H179" s="303"/>
      <c r="I179" s="303"/>
      <c r="J179" s="1798"/>
      <c r="K179" s="306" t="s">
        <v>1041</v>
      </c>
      <c r="L179" s="306"/>
      <c r="M179" s="303"/>
      <c r="N179" s="303"/>
      <c r="O179" s="302"/>
      <c r="P179" s="302" t="s">
        <v>2618</v>
      </c>
      <c r="Q179" s="302" t="s">
        <v>2434</v>
      </c>
      <c r="R179" s="302" t="s">
        <v>2531</v>
      </c>
      <c r="S179" s="302" t="str">
        <f t="shared" si="8"/>
        <v>90242 MG/PT Las Vegas Monorail Company</v>
      </c>
    </row>
    <row r="180" spans="1:19" x14ac:dyDescent="0.2">
      <c r="A180" s="303"/>
      <c r="B180" s="303"/>
      <c r="C180" s="303"/>
      <c r="D180" s="303"/>
      <c r="E180" s="303"/>
      <c r="F180" s="303" t="s">
        <v>1817</v>
      </c>
      <c r="G180" s="303"/>
      <c r="H180" s="303"/>
      <c r="I180" s="303"/>
      <c r="J180" s="1798"/>
      <c r="K180" s="306" t="s">
        <v>1041</v>
      </c>
      <c r="L180" s="306"/>
      <c r="M180" s="303"/>
      <c r="N180" s="303"/>
      <c r="O180" s="302"/>
      <c r="P180" s="302"/>
      <c r="Q180" s="302"/>
      <c r="R180" s="302"/>
      <c r="S180" s="302"/>
    </row>
    <row r="181" spans="1:19" x14ac:dyDescent="0.2">
      <c r="A181" s="303"/>
      <c r="B181" s="303"/>
      <c r="C181" s="303"/>
      <c r="D181" s="303"/>
      <c r="E181" s="303"/>
      <c r="F181" s="303" t="s">
        <v>1818</v>
      </c>
      <c r="G181" s="303"/>
      <c r="H181" s="303"/>
      <c r="I181" s="303"/>
      <c r="J181" s="1798"/>
      <c r="K181" s="306" t="s">
        <v>1041</v>
      </c>
      <c r="L181" s="306"/>
      <c r="M181" s="303"/>
      <c r="N181" s="303"/>
      <c r="O181" s="302"/>
      <c r="P181" s="302"/>
      <c r="Q181" s="302"/>
      <c r="R181" s="302"/>
      <c r="S181" s="302"/>
    </row>
    <row r="182" spans="1:19" x14ac:dyDescent="0.2">
      <c r="A182" s="303"/>
      <c r="B182" s="303"/>
      <c r="C182" s="303"/>
      <c r="D182" s="303"/>
      <c r="E182" s="303"/>
      <c r="F182" s="303" t="s">
        <v>1819</v>
      </c>
      <c r="G182" s="303"/>
      <c r="H182" s="303"/>
      <c r="I182" s="303"/>
      <c r="J182" s="1798"/>
      <c r="K182" s="306" t="s">
        <v>1041</v>
      </c>
      <c r="L182" s="306"/>
      <c r="M182" s="303"/>
      <c r="N182" s="303"/>
      <c r="O182" s="302"/>
      <c r="P182" s="302"/>
      <c r="Q182" s="302"/>
      <c r="R182" s="302"/>
      <c r="S182" s="302"/>
    </row>
    <row r="183" spans="1:19" x14ac:dyDescent="0.2">
      <c r="A183" s="303"/>
      <c r="B183" s="303"/>
      <c r="C183" s="303"/>
      <c r="D183" s="303"/>
      <c r="E183" s="303"/>
      <c r="F183" s="303" t="s">
        <v>1820</v>
      </c>
      <c r="G183" s="303"/>
      <c r="H183" s="303"/>
      <c r="I183" s="303"/>
      <c r="J183" s="1798"/>
      <c r="K183" s="306" t="s">
        <v>1041</v>
      </c>
      <c r="L183" s="306"/>
      <c r="M183" s="303"/>
      <c r="N183" s="303"/>
      <c r="O183" s="302"/>
      <c r="P183" s="302"/>
      <c r="Q183" s="302"/>
      <c r="R183" s="302"/>
      <c r="S183" s="302"/>
    </row>
    <row r="184" spans="1:19" x14ac:dyDescent="0.2">
      <c r="A184" s="303"/>
      <c r="B184" s="303"/>
      <c r="C184" s="303"/>
      <c r="D184" s="303"/>
      <c r="E184" s="303"/>
      <c r="F184" s="303" t="s">
        <v>1821</v>
      </c>
      <c r="G184" s="303"/>
      <c r="H184" s="303"/>
      <c r="I184" s="303"/>
      <c r="J184" s="1798"/>
      <c r="K184" s="306" t="s">
        <v>1041</v>
      </c>
      <c r="L184" s="306"/>
      <c r="M184" s="303"/>
      <c r="N184" s="303"/>
      <c r="O184" s="302"/>
      <c r="P184" s="302"/>
      <c r="Q184" s="302"/>
      <c r="R184" s="302"/>
      <c r="S184" s="302"/>
    </row>
    <row r="185" spans="1:19" x14ac:dyDescent="0.2">
      <c r="A185" s="303"/>
      <c r="B185" s="303"/>
      <c r="C185" s="303"/>
      <c r="D185" s="303"/>
      <c r="E185" s="303"/>
      <c r="F185" s="303" t="s">
        <v>1822</v>
      </c>
      <c r="G185" s="303"/>
      <c r="H185" s="303"/>
      <c r="I185" s="303"/>
      <c r="J185" s="1798"/>
      <c r="K185" s="306" t="s">
        <v>1041</v>
      </c>
      <c r="L185" s="306"/>
      <c r="M185" s="303"/>
      <c r="N185" s="303"/>
      <c r="O185" s="302"/>
      <c r="P185" s="302"/>
      <c r="Q185" s="302"/>
      <c r="R185" s="302"/>
      <c r="S185" s="302"/>
    </row>
    <row r="186" spans="1:19" x14ac:dyDescent="0.2">
      <c r="A186" s="303"/>
      <c r="B186" s="303"/>
      <c r="C186" s="303"/>
      <c r="D186" s="303"/>
      <c r="E186" s="303"/>
      <c r="F186" s="303" t="s">
        <v>1823</v>
      </c>
      <c r="G186" s="303"/>
      <c r="H186" s="303"/>
      <c r="I186" s="303"/>
      <c r="J186" s="1798"/>
      <c r="K186" s="306" t="s">
        <v>1041</v>
      </c>
      <c r="L186" s="306"/>
      <c r="M186" s="303"/>
      <c r="N186" s="303"/>
      <c r="O186" s="302"/>
      <c r="P186" s="302"/>
      <c r="Q186" s="302"/>
      <c r="R186" s="302"/>
      <c r="S186" s="302"/>
    </row>
    <row r="187" spans="1:19" x14ac:dyDescent="0.2">
      <c r="A187" s="303"/>
      <c r="B187" s="303"/>
      <c r="C187" s="303"/>
      <c r="D187" s="303"/>
      <c r="E187" s="303"/>
      <c r="F187" s="303" t="s">
        <v>1824</v>
      </c>
      <c r="G187" s="303"/>
      <c r="H187" s="303"/>
      <c r="I187" s="303"/>
      <c r="J187" s="1798"/>
      <c r="K187" s="306" t="s">
        <v>1041</v>
      </c>
      <c r="L187" s="306"/>
      <c r="M187" s="303"/>
      <c r="N187" s="303"/>
      <c r="O187" s="302"/>
      <c r="P187" s="302"/>
      <c r="Q187" s="302"/>
      <c r="R187" s="302"/>
      <c r="S187" s="302"/>
    </row>
    <row r="188" spans="1:19" x14ac:dyDescent="0.2">
      <c r="A188" s="303"/>
      <c r="B188" s="303"/>
      <c r="C188" s="303"/>
      <c r="D188" s="303"/>
      <c r="E188" s="303"/>
      <c r="F188" s="303" t="s">
        <v>1825</v>
      </c>
      <c r="G188" s="303"/>
      <c r="H188" s="303"/>
      <c r="I188" s="303"/>
      <c r="J188" s="1798"/>
      <c r="K188" s="306" t="s">
        <v>1041</v>
      </c>
      <c r="L188" s="306"/>
      <c r="M188" s="303"/>
      <c r="N188" s="303"/>
      <c r="O188" s="302"/>
      <c r="P188" s="302"/>
      <c r="Q188" s="302"/>
      <c r="R188" s="302"/>
      <c r="S188" s="302"/>
    </row>
    <row r="189" spans="1:19" x14ac:dyDescent="0.2">
      <c r="A189" s="303"/>
      <c r="B189" s="303"/>
      <c r="C189" s="303"/>
      <c r="D189" s="303"/>
      <c r="E189" s="303"/>
      <c r="F189" s="303" t="s">
        <v>1826</v>
      </c>
      <c r="G189" s="303"/>
      <c r="H189" s="303"/>
      <c r="I189" s="303"/>
      <c r="J189" s="1798"/>
      <c r="K189" s="306" t="s">
        <v>1041</v>
      </c>
      <c r="L189" s="306"/>
      <c r="M189" s="303"/>
      <c r="N189" s="303"/>
      <c r="O189" s="302"/>
      <c r="P189" s="302"/>
      <c r="Q189" s="302"/>
      <c r="R189" s="302"/>
      <c r="S189" s="302"/>
    </row>
    <row r="190" spans="1:19" x14ac:dyDescent="0.2">
      <c r="A190" s="303"/>
      <c r="B190" s="303"/>
      <c r="C190" s="303"/>
      <c r="D190" s="303"/>
      <c r="E190" s="303"/>
      <c r="F190" s="303" t="s">
        <v>1827</v>
      </c>
      <c r="G190" s="303"/>
      <c r="H190" s="303"/>
      <c r="I190" s="303"/>
      <c r="J190" s="1798"/>
      <c r="K190" s="306" t="s">
        <v>1041</v>
      </c>
      <c r="L190" s="306"/>
      <c r="M190" s="303"/>
      <c r="N190" s="303"/>
      <c r="O190" s="302"/>
      <c r="P190" s="302"/>
      <c r="Q190" s="302"/>
      <c r="R190" s="302"/>
      <c r="S190" s="302"/>
    </row>
    <row r="191" spans="1:19" x14ac:dyDescent="0.2">
      <c r="A191" s="303"/>
      <c r="B191" s="303"/>
      <c r="C191" s="303"/>
      <c r="D191" s="303"/>
      <c r="E191" s="303"/>
      <c r="F191" s="303" t="s">
        <v>1828</v>
      </c>
      <c r="G191" s="303"/>
      <c r="H191" s="303"/>
      <c r="I191" s="303"/>
      <c r="J191" s="1798"/>
      <c r="K191" s="306" t="s">
        <v>1041</v>
      </c>
      <c r="L191" s="306"/>
      <c r="M191" s="303"/>
      <c r="N191" s="303"/>
      <c r="O191" s="302"/>
      <c r="P191" s="302"/>
      <c r="Q191" s="302"/>
      <c r="R191" s="302"/>
      <c r="S191" s="302"/>
    </row>
    <row r="192" spans="1:19" x14ac:dyDescent="0.2">
      <c r="A192" s="303"/>
      <c r="B192" s="303"/>
      <c r="C192" s="303"/>
      <c r="D192" s="303"/>
      <c r="E192" s="303"/>
      <c r="F192" s="303" t="s">
        <v>1829</v>
      </c>
      <c r="G192" s="303"/>
      <c r="H192" s="303"/>
      <c r="I192" s="303"/>
      <c r="J192" s="1798"/>
      <c r="K192" s="306" t="s">
        <v>1041</v>
      </c>
      <c r="L192" s="306"/>
      <c r="M192" s="303"/>
      <c r="N192" s="303"/>
      <c r="O192" s="302"/>
      <c r="P192" s="302"/>
      <c r="Q192" s="302"/>
      <c r="R192" s="302"/>
      <c r="S192" s="302"/>
    </row>
    <row r="193" spans="1:19" x14ac:dyDescent="0.2">
      <c r="A193" s="303"/>
      <c r="B193" s="303"/>
      <c r="C193" s="303"/>
      <c r="D193" s="303"/>
      <c r="E193" s="303"/>
      <c r="F193" s="303" t="s">
        <v>1830</v>
      </c>
      <c r="G193" s="303"/>
      <c r="H193" s="303"/>
      <c r="I193" s="303"/>
      <c r="J193" s="1798"/>
      <c r="K193" s="306" t="s">
        <v>1041</v>
      </c>
      <c r="L193" s="306"/>
      <c r="M193" s="303"/>
      <c r="N193" s="303"/>
      <c r="O193" s="302"/>
      <c r="P193" s="302"/>
      <c r="Q193" s="302"/>
      <c r="R193" s="302"/>
      <c r="S193" s="302"/>
    </row>
    <row r="194" spans="1:19" x14ac:dyDescent="0.2">
      <c r="A194" s="303"/>
      <c r="B194" s="303"/>
      <c r="C194" s="303"/>
      <c r="D194" s="303"/>
      <c r="E194" s="303"/>
      <c r="F194" s="303" t="s">
        <v>1831</v>
      </c>
      <c r="G194" s="303"/>
      <c r="H194" s="303"/>
      <c r="I194" s="303"/>
      <c r="J194" s="1798"/>
      <c r="K194" s="306" t="s">
        <v>1041</v>
      </c>
      <c r="L194" s="306"/>
      <c r="M194" s="303"/>
      <c r="N194" s="303"/>
      <c r="O194" s="302"/>
      <c r="P194" s="302"/>
      <c r="Q194" s="302"/>
      <c r="R194" s="302"/>
      <c r="S194" s="302"/>
    </row>
    <row r="195" spans="1:19" x14ac:dyDescent="0.2">
      <c r="A195" s="303"/>
      <c r="B195" s="303"/>
      <c r="C195" s="303"/>
      <c r="D195" s="303"/>
      <c r="E195" s="303"/>
      <c r="F195" s="303" t="s">
        <v>1832</v>
      </c>
      <c r="G195" s="303"/>
      <c r="H195" s="303"/>
      <c r="I195" s="303"/>
      <c r="J195" s="1798"/>
      <c r="K195" s="306" t="s">
        <v>1041</v>
      </c>
      <c r="L195" s="306"/>
      <c r="M195" s="303"/>
      <c r="N195" s="303"/>
      <c r="O195" s="302"/>
      <c r="P195" s="302"/>
      <c r="Q195" s="302"/>
      <c r="R195" s="302"/>
      <c r="S195" s="302"/>
    </row>
    <row r="196" spans="1:19" x14ac:dyDescent="0.2">
      <c r="A196" s="303"/>
      <c r="B196" s="303"/>
      <c r="C196" s="303"/>
      <c r="D196" s="303"/>
      <c r="E196" s="303"/>
      <c r="F196" s="303" t="s">
        <v>1833</v>
      </c>
      <c r="G196" s="303"/>
      <c r="H196" s="303"/>
      <c r="I196" s="303"/>
      <c r="J196" s="1798"/>
      <c r="K196" s="306" t="s">
        <v>1041</v>
      </c>
      <c r="L196" s="306"/>
      <c r="M196" s="303"/>
      <c r="N196" s="303"/>
      <c r="O196" s="302"/>
      <c r="P196" s="302"/>
      <c r="Q196" s="302"/>
      <c r="R196" s="302"/>
      <c r="S196" s="302"/>
    </row>
    <row r="197" spans="1:19" x14ac:dyDescent="0.2">
      <c r="A197" s="303"/>
      <c r="B197" s="303"/>
      <c r="C197" s="303"/>
      <c r="D197" s="303"/>
      <c r="E197" s="303"/>
      <c r="F197" s="303" t="s">
        <v>1834</v>
      </c>
      <c r="G197" s="303"/>
      <c r="H197" s="303"/>
      <c r="I197" s="303"/>
      <c r="J197" s="1798"/>
      <c r="K197" s="306" t="s">
        <v>1041</v>
      </c>
      <c r="L197" s="306"/>
      <c r="M197" s="303"/>
      <c r="N197" s="303"/>
      <c r="O197" s="302"/>
      <c r="P197" s="302"/>
      <c r="Q197" s="302"/>
      <c r="R197" s="302"/>
      <c r="S197" s="302"/>
    </row>
    <row r="198" spans="1:19" x14ac:dyDescent="0.2">
      <c r="A198" s="303"/>
      <c r="B198" s="303"/>
      <c r="C198" s="303"/>
      <c r="D198" s="303"/>
      <c r="E198" s="303"/>
      <c r="F198" s="303" t="s">
        <v>1835</v>
      </c>
      <c r="G198" s="303"/>
      <c r="H198" s="303"/>
      <c r="I198" s="303"/>
      <c r="J198" s="1798"/>
      <c r="K198" s="306" t="s">
        <v>1041</v>
      </c>
      <c r="L198" s="306"/>
      <c r="M198" s="303"/>
      <c r="N198" s="303"/>
      <c r="O198" s="302"/>
      <c r="P198" s="302"/>
      <c r="Q198" s="302"/>
      <c r="R198" s="302"/>
      <c r="S198" s="302"/>
    </row>
    <row r="199" spans="1:19" x14ac:dyDescent="0.2">
      <c r="A199" s="303"/>
      <c r="B199" s="303"/>
      <c r="C199" s="303"/>
      <c r="D199" s="303"/>
      <c r="E199" s="303"/>
      <c r="F199" s="303" t="s">
        <v>1836</v>
      </c>
      <c r="G199" s="303"/>
      <c r="H199" s="303"/>
      <c r="I199" s="303"/>
      <c r="J199" s="1798"/>
      <c r="K199" s="306" t="s">
        <v>1041</v>
      </c>
      <c r="L199" s="306"/>
      <c r="M199" s="303"/>
      <c r="N199" s="303"/>
      <c r="O199" s="302"/>
      <c r="P199" s="302"/>
      <c r="Q199" s="302"/>
      <c r="R199" s="302"/>
      <c r="S199" s="302"/>
    </row>
    <row r="200" spans="1:19" x14ac:dyDescent="0.2">
      <c r="A200" s="303"/>
      <c r="B200" s="303"/>
      <c r="C200" s="303"/>
      <c r="D200" s="303"/>
      <c r="E200" s="303"/>
      <c r="F200" s="303" t="s">
        <v>1837</v>
      </c>
      <c r="G200" s="303"/>
      <c r="H200" s="303"/>
      <c r="I200" s="303"/>
      <c r="J200" s="1798"/>
      <c r="K200" s="306"/>
      <c r="L200" s="306"/>
      <c r="M200" s="303"/>
      <c r="N200" s="303"/>
      <c r="O200" s="302"/>
      <c r="P200" s="302"/>
      <c r="Q200" s="302"/>
      <c r="R200" s="302"/>
      <c r="S200" s="302"/>
    </row>
    <row r="201" spans="1:19" x14ac:dyDescent="0.2">
      <c r="A201" s="303"/>
      <c r="B201" s="303"/>
      <c r="C201" s="303"/>
      <c r="D201" s="303"/>
      <c r="E201" s="303"/>
      <c r="F201" s="303" t="s">
        <v>1838</v>
      </c>
      <c r="G201" s="303"/>
      <c r="H201" s="303"/>
      <c r="I201" s="303"/>
      <c r="J201" s="1798"/>
      <c r="K201" s="306"/>
      <c r="L201" s="306" t="s">
        <v>1041</v>
      </c>
      <c r="M201" s="303"/>
      <c r="N201" s="303"/>
      <c r="O201" s="302"/>
      <c r="P201" s="302"/>
      <c r="Q201" s="302"/>
      <c r="R201" s="302"/>
      <c r="S201" s="302"/>
    </row>
    <row r="202" spans="1:19" x14ac:dyDescent="0.2">
      <c r="A202" s="303"/>
      <c r="B202" s="303"/>
      <c r="C202" s="303"/>
      <c r="D202" s="303"/>
      <c r="E202" s="303"/>
      <c r="F202" s="303" t="s">
        <v>1839</v>
      </c>
      <c r="G202" s="303"/>
      <c r="H202" s="303"/>
      <c r="I202" s="303"/>
      <c r="J202" s="1798"/>
      <c r="K202" s="306"/>
      <c r="L202" s="306" t="s">
        <v>1041</v>
      </c>
      <c r="M202" s="303"/>
      <c r="N202" s="303"/>
      <c r="O202" s="302"/>
      <c r="P202" s="302"/>
      <c r="Q202" s="302"/>
      <c r="R202" s="302"/>
      <c r="S202" s="302"/>
    </row>
    <row r="203" spans="1:19" x14ac:dyDescent="0.2">
      <c r="A203" s="303"/>
      <c r="B203" s="303"/>
      <c r="C203" s="303"/>
      <c r="D203" s="303"/>
      <c r="E203" s="303"/>
      <c r="F203" s="303" t="s">
        <v>1840</v>
      </c>
      <c r="G203" s="303"/>
      <c r="H203" s="303"/>
      <c r="I203" s="303"/>
      <c r="J203" s="1798"/>
      <c r="K203" s="306"/>
      <c r="L203" s="306" t="s">
        <v>1041</v>
      </c>
      <c r="M203" s="303"/>
      <c r="N203" s="303"/>
      <c r="O203" s="302"/>
      <c r="P203" s="302"/>
      <c r="Q203" s="302"/>
      <c r="R203" s="302"/>
      <c r="S203" s="302"/>
    </row>
    <row r="204" spans="1:19" x14ac:dyDescent="0.2">
      <c r="A204" s="303"/>
      <c r="B204" s="303"/>
      <c r="C204" s="303"/>
      <c r="D204" s="303"/>
      <c r="E204" s="303"/>
      <c r="F204" s="303" t="s">
        <v>1841</v>
      </c>
      <c r="G204" s="303"/>
      <c r="H204" s="303"/>
      <c r="I204" s="303"/>
      <c r="J204" s="1798"/>
      <c r="K204" s="306"/>
      <c r="L204" s="306" t="s">
        <v>1041</v>
      </c>
      <c r="M204" s="303"/>
      <c r="N204" s="303"/>
      <c r="O204" s="302"/>
      <c r="P204" s="302"/>
      <c r="Q204" s="302"/>
      <c r="R204" s="302"/>
      <c r="S204" s="302"/>
    </row>
    <row r="205" spans="1:19" x14ac:dyDescent="0.2">
      <c r="A205" s="303"/>
      <c r="B205" s="303"/>
      <c r="C205" s="303"/>
      <c r="D205" s="303"/>
      <c r="E205" s="303"/>
      <c r="F205" s="303" t="s">
        <v>1842</v>
      </c>
      <c r="G205" s="303"/>
      <c r="H205" s="303"/>
      <c r="I205" s="303"/>
      <c r="J205" s="1798"/>
      <c r="K205" s="306"/>
      <c r="L205" s="306" t="s">
        <v>1041</v>
      </c>
      <c r="M205" s="303"/>
      <c r="N205" s="303"/>
      <c r="O205" s="302"/>
      <c r="P205" s="302"/>
      <c r="Q205" s="302"/>
      <c r="R205" s="302"/>
      <c r="S205" s="302"/>
    </row>
    <row r="206" spans="1:19" x14ac:dyDescent="0.2">
      <c r="A206" s="303"/>
      <c r="B206" s="303"/>
      <c r="C206" s="303"/>
      <c r="D206" s="303"/>
      <c r="E206" s="303"/>
      <c r="F206" s="303" t="s">
        <v>1843</v>
      </c>
      <c r="G206" s="303"/>
      <c r="H206" s="303"/>
      <c r="I206" s="303"/>
      <c r="J206" s="1798"/>
      <c r="K206" s="306"/>
      <c r="L206" s="306" t="s">
        <v>1041</v>
      </c>
      <c r="M206" s="303"/>
      <c r="N206" s="303"/>
      <c r="O206" s="302"/>
      <c r="P206" s="302"/>
      <c r="Q206" s="302"/>
      <c r="R206" s="302"/>
      <c r="S206" s="302"/>
    </row>
    <row r="207" spans="1:19" x14ac:dyDescent="0.2">
      <c r="A207" s="303"/>
      <c r="B207" s="303"/>
      <c r="C207" s="303"/>
      <c r="D207" s="303"/>
      <c r="E207" s="303"/>
      <c r="F207" s="303" t="s">
        <v>1844</v>
      </c>
      <c r="G207" s="303"/>
      <c r="H207" s="303"/>
      <c r="I207" s="303"/>
      <c r="J207" s="1798"/>
      <c r="K207" s="306"/>
      <c r="L207" s="306" t="s">
        <v>1041</v>
      </c>
      <c r="M207" s="303"/>
      <c r="N207" s="303"/>
      <c r="O207" s="302"/>
      <c r="P207" s="302"/>
      <c r="Q207" s="302"/>
      <c r="R207" s="302"/>
      <c r="S207" s="302"/>
    </row>
    <row r="208" spans="1:19" x14ac:dyDescent="0.2">
      <c r="A208" s="303"/>
      <c r="B208" s="303"/>
      <c r="C208" s="303"/>
      <c r="D208" s="303"/>
      <c r="E208" s="303"/>
      <c r="F208" s="303" t="s">
        <v>1845</v>
      </c>
      <c r="G208" s="303"/>
      <c r="H208" s="303"/>
      <c r="I208" s="303"/>
      <c r="J208" s="1798"/>
      <c r="K208" s="306"/>
      <c r="L208" s="306" t="s">
        <v>1041</v>
      </c>
      <c r="M208" s="303"/>
      <c r="N208" s="303"/>
      <c r="O208" s="302"/>
      <c r="P208" s="302"/>
      <c r="Q208" s="302"/>
      <c r="R208" s="302"/>
      <c r="S208" s="302"/>
    </row>
    <row r="209" spans="1:19" x14ac:dyDescent="0.2">
      <c r="A209" s="303"/>
      <c r="B209" s="303"/>
      <c r="C209" s="303"/>
      <c r="D209" s="303"/>
      <c r="E209" s="303"/>
      <c r="F209" s="303" t="s">
        <v>1846</v>
      </c>
      <c r="G209" s="303"/>
      <c r="H209" s="303"/>
      <c r="I209" s="303"/>
      <c r="J209" s="1798"/>
      <c r="K209" s="306"/>
      <c r="L209" s="306" t="s">
        <v>1041</v>
      </c>
      <c r="M209" s="303"/>
      <c r="N209" s="303"/>
      <c r="O209" s="302"/>
      <c r="P209" s="302"/>
      <c r="Q209" s="302"/>
      <c r="R209" s="302"/>
      <c r="S209" s="302"/>
    </row>
    <row r="210" spans="1:19" x14ac:dyDescent="0.2">
      <c r="A210" s="303"/>
      <c r="B210" s="303"/>
      <c r="C210" s="303"/>
      <c r="D210" s="303"/>
      <c r="E210" s="303"/>
      <c r="F210" s="303" t="s">
        <v>1847</v>
      </c>
      <c r="G210" s="303"/>
      <c r="H210" s="303"/>
      <c r="I210" s="303"/>
      <c r="J210" s="1798"/>
      <c r="K210" s="306"/>
      <c r="L210" s="306" t="s">
        <v>1041</v>
      </c>
      <c r="M210" s="303"/>
      <c r="N210" s="303"/>
      <c r="O210" s="302"/>
      <c r="P210" s="302"/>
      <c r="Q210" s="302"/>
      <c r="R210" s="302"/>
      <c r="S210" s="302"/>
    </row>
    <row r="211" spans="1:19" x14ac:dyDescent="0.2">
      <c r="A211" s="303"/>
      <c r="B211" s="303"/>
      <c r="C211" s="303"/>
      <c r="D211" s="303"/>
      <c r="E211" s="303"/>
      <c r="F211" s="303" t="s">
        <v>1848</v>
      </c>
      <c r="G211" s="303"/>
      <c r="H211" s="303"/>
      <c r="I211" s="303"/>
      <c r="J211" s="1798"/>
      <c r="K211" s="306"/>
      <c r="L211" s="306" t="s">
        <v>1041</v>
      </c>
      <c r="M211" s="303"/>
      <c r="N211" s="303"/>
      <c r="O211" s="302"/>
      <c r="P211" s="302"/>
      <c r="Q211" s="302"/>
      <c r="R211" s="302"/>
      <c r="S211" s="302"/>
    </row>
    <row r="212" spans="1:19" x14ac:dyDescent="0.2">
      <c r="A212" s="303"/>
      <c r="B212" s="303"/>
      <c r="C212" s="303"/>
      <c r="D212" s="303"/>
      <c r="E212" s="303"/>
      <c r="F212" s="303" t="s">
        <v>1849</v>
      </c>
      <c r="G212" s="303"/>
      <c r="H212" s="303"/>
      <c r="I212" s="303"/>
      <c r="J212" s="1798"/>
      <c r="K212" s="306"/>
      <c r="L212" s="306" t="s">
        <v>1041</v>
      </c>
      <c r="M212" s="303"/>
      <c r="N212" s="303"/>
      <c r="O212" s="302"/>
      <c r="P212" s="302"/>
      <c r="Q212" s="302"/>
      <c r="R212" s="302"/>
      <c r="S212" s="302"/>
    </row>
    <row r="213" spans="1:19" x14ac:dyDescent="0.2">
      <c r="A213" s="303"/>
      <c r="B213" s="303"/>
      <c r="C213" s="303"/>
      <c r="D213" s="303"/>
      <c r="E213" s="303"/>
      <c r="F213" s="303" t="s">
        <v>1850</v>
      </c>
      <c r="G213" s="303"/>
      <c r="H213" s="303"/>
      <c r="I213" s="303"/>
      <c r="J213" s="1798"/>
      <c r="K213" s="306"/>
      <c r="L213" s="306" t="s">
        <v>1041</v>
      </c>
      <c r="M213" s="303"/>
      <c r="N213" s="303"/>
      <c r="O213" s="302"/>
      <c r="P213" s="302"/>
      <c r="Q213" s="302"/>
      <c r="R213" s="302"/>
      <c r="S213" s="302"/>
    </row>
    <row r="214" spans="1:19" x14ac:dyDescent="0.2">
      <c r="A214" s="303"/>
      <c r="B214" s="303"/>
      <c r="C214" s="303"/>
      <c r="D214" s="303"/>
      <c r="E214" s="303"/>
      <c r="F214" s="303" t="s">
        <v>1851</v>
      </c>
      <c r="G214" s="303"/>
      <c r="H214" s="303"/>
      <c r="I214" s="303"/>
      <c r="J214" s="1798"/>
      <c r="K214" s="306"/>
      <c r="L214" s="306" t="s">
        <v>1041</v>
      </c>
      <c r="M214" s="303"/>
      <c r="N214" s="303"/>
      <c r="O214" s="302"/>
      <c r="P214" s="302"/>
      <c r="Q214" s="302"/>
      <c r="R214" s="302"/>
      <c r="S214" s="302"/>
    </row>
    <row r="215" spans="1:19" x14ac:dyDescent="0.2">
      <c r="A215" s="303"/>
      <c r="B215" s="303"/>
      <c r="C215" s="303"/>
      <c r="D215" s="303"/>
      <c r="E215" s="303"/>
      <c r="F215" s="303" t="s">
        <v>1852</v>
      </c>
      <c r="G215" s="303"/>
      <c r="H215" s="303"/>
      <c r="I215" s="303"/>
      <c r="J215" s="1798"/>
      <c r="K215" s="306"/>
      <c r="L215" s="306" t="s">
        <v>1041</v>
      </c>
      <c r="M215" s="303"/>
      <c r="N215" s="303"/>
      <c r="O215" s="302"/>
      <c r="P215" s="302"/>
      <c r="Q215" s="302"/>
      <c r="R215" s="302"/>
      <c r="S215" s="302"/>
    </row>
    <row r="216" spans="1:19" x14ac:dyDescent="0.2">
      <c r="A216" s="303"/>
      <c r="B216" s="303"/>
      <c r="C216" s="303"/>
      <c r="D216" s="303"/>
      <c r="E216" s="303"/>
      <c r="F216" s="303" t="s">
        <v>1853</v>
      </c>
      <c r="G216" s="303"/>
      <c r="H216" s="303"/>
      <c r="I216" s="303"/>
      <c r="J216" s="1798"/>
      <c r="K216" s="306"/>
      <c r="L216" s="306" t="s">
        <v>1041</v>
      </c>
      <c r="M216" s="303"/>
      <c r="N216" s="303"/>
      <c r="O216" s="302"/>
      <c r="P216" s="302"/>
      <c r="Q216" s="302"/>
      <c r="R216" s="302"/>
      <c r="S216" s="302"/>
    </row>
    <row r="217" spans="1:19" x14ac:dyDescent="0.2">
      <c r="A217" s="303"/>
      <c r="B217" s="303"/>
      <c r="C217" s="303"/>
      <c r="D217" s="303"/>
      <c r="E217" s="303"/>
      <c r="F217" s="303" t="s">
        <v>1854</v>
      </c>
      <c r="G217" s="303"/>
      <c r="H217" s="303"/>
      <c r="I217" s="303"/>
      <c r="J217" s="1798"/>
      <c r="K217" s="306"/>
      <c r="L217" s="306" t="s">
        <v>1041</v>
      </c>
      <c r="M217" s="303"/>
      <c r="N217" s="303"/>
      <c r="O217" s="302"/>
      <c r="P217" s="302"/>
      <c r="Q217" s="302"/>
      <c r="R217" s="302"/>
      <c r="S217" s="302"/>
    </row>
    <row r="218" spans="1:19" x14ac:dyDescent="0.2">
      <c r="A218" s="303"/>
      <c r="B218" s="303"/>
      <c r="C218" s="303"/>
      <c r="D218" s="303"/>
      <c r="E218" s="303"/>
      <c r="F218" s="303" t="s">
        <v>1855</v>
      </c>
      <c r="G218" s="303"/>
      <c r="H218" s="303"/>
      <c r="I218" s="303"/>
      <c r="J218" s="1798"/>
      <c r="K218" s="306"/>
      <c r="L218" s="306" t="s">
        <v>1041</v>
      </c>
      <c r="M218" s="303"/>
      <c r="N218" s="303"/>
      <c r="O218" s="302"/>
      <c r="P218" s="302"/>
      <c r="Q218" s="302"/>
      <c r="R218" s="302"/>
      <c r="S218" s="302"/>
    </row>
    <row r="219" spans="1:19" x14ac:dyDescent="0.2">
      <c r="A219" s="303"/>
      <c r="B219" s="303"/>
      <c r="C219" s="303"/>
      <c r="D219" s="303"/>
      <c r="E219" s="303"/>
      <c r="F219" s="303" t="s">
        <v>1856</v>
      </c>
      <c r="G219" s="303"/>
      <c r="H219" s="303"/>
      <c r="I219" s="303"/>
      <c r="J219" s="1798"/>
      <c r="K219" s="306"/>
      <c r="L219" s="306" t="s">
        <v>1041</v>
      </c>
      <c r="M219" s="303"/>
      <c r="N219" s="303"/>
      <c r="O219" s="302"/>
      <c r="P219" s="302"/>
      <c r="Q219" s="302"/>
      <c r="R219" s="302"/>
      <c r="S219" s="302"/>
    </row>
    <row r="220" spans="1:19" x14ac:dyDescent="0.2">
      <c r="A220" s="303"/>
      <c r="B220" s="303"/>
      <c r="C220" s="303"/>
      <c r="D220" s="303"/>
      <c r="E220" s="303"/>
      <c r="F220" s="303" t="s">
        <v>1857</v>
      </c>
      <c r="G220" s="303"/>
      <c r="H220" s="303"/>
      <c r="I220" s="303"/>
      <c r="J220" s="1798"/>
      <c r="K220" s="306"/>
      <c r="L220" s="306" t="s">
        <v>1041</v>
      </c>
      <c r="M220" s="303"/>
      <c r="N220" s="303"/>
      <c r="O220" s="302"/>
      <c r="P220" s="302"/>
      <c r="Q220" s="302"/>
      <c r="R220" s="302"/>
      <c r="S220" s="302"/>
    </row>
    <row r="221" spans="1:19" x14ac:dyDescent="0.2">
      <c r="A221" s="303"/>
      <c r="B221" s="303"/>
      <c r="C221" s="303"/>
      <c r="D221" s="303"/>
      <c r="E221" s="303"/>
      <c r="F221" s="303" t="s">
        <v>1858</v>
      </c>
      <c r="G221" s="303"/>
      <c r="H221" s="303"/>
      <c r="I221" s="303"/>
      <c r="J221" s="1798"/>
      <c r="K221" s="306"/>
      <c r="L221" s="306" t="s">
        <v>1041</v>
      </c>
      <c r="M221" s="303"/>
      <c r="N221" s="303"/>
      <c r="O221" s="302"/>
      <c r="P221" s="302"/>
      <c r="Q221" s="302"/>
      <c r="R221" s="302"/>
      <c r="S221" s="302"/>
    </row>
    <row r="222" spans="1:19" x14ac:dyDescent="0.2">
      <c r="A222" s="303"/>
      <c r="B222" s="303"/>
      <c r="C222" s="303"/>
      <c r="D222" s="303"/>
      <c r="E222" s="303"/>
      <c r="F222" s="303" t="s">
        <v>1859</v>
      </c>
      <c r="G222" s="303"/>
      <c r="H222" s="303"/>
      <c r="I222" s="303"/>
      <c r="J222" s="1798"/>
      <c r="K222" s="306"/>
      <c r="L222" s="306" t="s">
        <v>1041</v>
      </c>
      <c r="M222" s="303"/>
      <c r="N222" s="303"/>
      <c r="O222" s="302"/>
      <c r="P222" s="302"/>
      <c r="Q222" s="302"/>
      <c r="R222" s="302"/>
      <c r="S222" s="302"/>
    </row>
    <row r="223" spans="1:19" x14ac:dyDescent="0.2">
      <c r="A223" s="303"/>
      <c r="B223" s="303"/>
      <c r="C223" s="303"/>
      <c r="D223" s="303"/>
      <c r="E223" s="303"/>
      <c r="F223" s="303" t="s">
        <v>1860</v>
      </c>
      <c r="G223" s="303"/>
      <c r="H223" s="303"/>
      <c r="I223" s="303"/>
      <c r="J223" s="1798"/>
      <c r="K223" s="306"/>
      <c r="L223" s="306" t="s">
        <v>1041</v>
      </c>
      <c r="M223" s="303"/>
      <c r="N223" s="303"/>
      <c r="O223" s="302"/>
      <c r="P223" s="302"/>
      <c r="Q223" s="302"/>
      <c r="R223" s="302"/>
      <c r="S223" s="302"/>
    </row>
    <row r="224" spans="1:19" x14ac:dyDescent="0.2">
      <c r="A224" s="303"/>
      <c r="B224" s="303"/>
      <c r="C224" s="303"/>
      <c r="D224" s="303"/>
      <c r="E224" s="303"/>
      <c r="F224" s="303" t="s">
        <v>1861</v>
      </c>
      <c r="G224" s="303"/>
      <c r="H224" s="303"/>
      <c r="I224" s="303"/>
      <c r="J224" s="1798"/>
      <c r="K224" s="306"/>
      <c r="L224" s="306" t="s">
        <v>1041</v>
      </c>
      <c r="M224" s="303"/>
      <c r="N224" s="303"/>
      <c r="O224" s="302"/>
      <c r="P224" s="302"/>
      <c r="Q224" s="302"/>
      <c r="R224" s="302"/>
      <c r="S224" s="302"/>
    </row>
    <row r="225" spans="1:19" x14ac:dyDescent="0.2">
      <c r="A225" s="303"/>
      <c r="B225" s="303"/>
      <c r="C225" s="303"/>
      <c r="D225" s="303"/>
      <c r="E225" s="303"/>
      <c r="F225" s="303" t="s">
        <v>1862</v>
      </c>
      <c r="G225" s="303"/>
      <c r="H225" s="303"/>
      <c r="I225" s="303"/>
      <c r="J225" s="1798"/>
      <c r="K225" s="306"/>
      <c r="L225" s="306" t="s">
        <v>1041</v>
      </c>
      <c r="M225" s="303"/>
      <c r="N225" s="303"/>
      <c r="O225" s="302"/>
      <c r="P225" s="302"/>
      <c r="Q225" s="302"/>
      <c r="R225" s="302"/>
      <c r="S225" s="302"/>
    </row>
    <row r="226" spans="1:19" x14ac:dyDescent="0.2">
      <c r="A226" s="303"/>
      <c r="B226" s="303"/>
      <c r="C226" s="303"/>
      <c r="D226" s="303"/>
      <c r="E226" s="303"/>
      <c r="F226" s="303" t="s">
        <v>1863</v>
      </c>
      <c r="G226" s="303"/>
      <c r="H226" s="303"/>
      <c r="I226" s="303"/>
      <c r="J226" s="1798"/>
      <c r="K226" s="306"/>
      <c r="L226" s="306" t="s">
        <v>1041</v>
      </c>
      <c r="M226" s="303"/>
      <c r="N226" s="303"/>
      <c r="O226" s="302"/>
      <c r="P226" s="302"/>
      <c r="Q226" s="302"/>
      <c r="R226" s="302"/>
      <c r="S226" s="302"/>
    </row>
    <row r="227" spans="1:19" x14ac:dyDescent="0.2">
      <c r="A227" s="303"/>
      <c r="B227" s="303"/>
      <c r="C227" s="303"/>
      <c r="D227" s="303"/>
      <c r="E227" s="303"/>
      <c r="F227" s="303" t="s">
        <v>1864</v>
      </c>
      <c r="G227" s="303"/>
      <c r="H227" s="303"/>
      <c r="I227" s="303"/>
      <c r="J227" s="1798"/>
      <c r="K227" s="306"/>
      <c r="L227" s="306" t="s">
        <v>1041</v>
      </c>
      <c r="M227" s="303"/>
      <c r="N227" s="303"/>
      <c r="O227" s="302"/>
      <c r="P227" s="302"/>
      <c r="Q227" s="302"/>
      <c r="R227" s="302"/>
      <c r="S227" s="302"/>
    </row>
    <row r="228" spans="1:19" x14ac:dyDescent="0.2">
      <c r="A228" s="303"/>
      <c r="B228" s="303"/>
      <c r="C228" s="303"/>
      <c r="D228" s="303"/>
      <c r="E228" s="303"/>
      <c r="F228" s="303" t="s">
        <v>1865</v>
      </c>
      <c r="G228" s="303"/>
      <c r="H228" s="303"/>
      <c r="I228" s="303"/>
      <c r="J228" s="1798"/>
      <c r="K228" s="306"/>
      <c r="L228" s="306" t="s">
        <v>1041</v>
      </c>
      <c r="M228" s="303"/>
      <c r="N228" s="303"/>
      <c r="O228" s="302"/>
      <c r="P228" s="302"/>
      <c r="Q228" s="302"/>
      <c r="R228" s="302"/>
      <c r="S228" s="302"/>
    </row>
    <row r="229" spans="1:19" x14ac:dyDescent="0.2">
      <c r="A229" s="303"/>
      <c r="B229" s="303"/>
      <c r="C229" s="303"/>
      <c r="D229" s="303"/>
      <c r="E229" s="303"/>
      <c r="F229" s="303" t="s">
        <v>1866</v>
      </c>
      <c r="G229" s="303"/>
      <c r="H229" s="303"/>
      <c r="I229" s="303"/>
      <c r="J229" s="1798"/>
      <c r="K229" s="306"/>
      <c r="L229" s="306" t="s">
        <v>1041</v>
      </c>
      <c r="M229" s="303"/>
      <c r="N229" s="303"/>
      <c r="O229" s="302"/>
      <c r="P229" s="302"/>
      <c r="Q229" s="302"/>
      <c r="R229" s="302"/>
      <c r="S229" s="302"/>
    </row>
    <row r="230" spans="1:19" x14ac:dyDescent="0.2">
      <c r="A230" s="303"/>
      <c r="B230" s="303"/>
      <c r="C230" s="303"/>
      <c r="D230" s="303"/>
      <c r="E230" s="303"/>
      <c r="F230" s="303" t="s">
        <v>1867</v>
      </c>
      <c r="G230" s="303"/>
      <c r="H230" s="303"/>
      <c r="I230" s="303"/>
      <c r="J230" s="1798"/>
      <c r="K230" s="306"/>
      <c r="L230" s="306" t="s">
        <v>1041</v>
      </c>
      <c r="M230" s="303"/>
      <c r="N230" s="303"/>
      <c r="O230" s="302"/>
      <c r="P230" s="302"/>
      <c r="Q230" s="302"/>
      <c r="R230" s="302"/>
      <c r="S230" s="302"/>
    </row>
    <row r="231" spans="1:19" x14ac:dyDescent="0.2">
      <c r="A231" s="303"/>
      <c r="B231" s="303"/>
      <c r="C231" s="303"/>
      <c r="D231" s="303"/>
      <c r="E231" s="303"/>
      <c r="F231" s="303" t="s">
        <v>1868</v>
      </c>
      <c r="G231" s="303"/>
      <c r="H231" s="303"/>
      <c r="I231" s="303"/>
      <c r="J231" s="1798"/>
      <c r="K231" s="306"/>
      <c r="L231" s="306" t="s">
        <v>1041</v>
      </c>
      <c r="M231" s="303"/>
      <c r="N231" s="303"/>
      <c r="O231" s="302"/>
      <c r="P231" s="302"/>
      <c r="Q231" s="302"/>
      <c r="R231" s="302"/>
      <c r="S231" s="302"/>
    </row>
    <row r="232" spans="1:19" x14ac:dyDescent="0.2">
      <c r="A232" s="303"/>
      <c r="B232" s="303"/>
      <c r="C232" s="303"/>
      <c r="D232" s="303"/>
      <c r="E232" s="303"/>
      <c r="F232" s="303" t="s">
        <v>1869</v>
      </c>
      <c r="G232" s="303"/>
      <c r="H232" s="303"/>
      <c r="I232" s="303"/>
      <c r="J232" s="1798"/>
      <c r="K232" s="306"/>
      <c r="L232" s="306" t="s">
        <v>1041</v>
      </c>
      <c r="M232" s="303"/>
      <c r="N232" s="303"/>
      <c r="O232" s="302"/>
      <c r="P232" s="302"/>
      <c r="Q232" s="302"/>
      <c r="R232" s="302"/>
      <c r="S232" s="302"/>
    </row>
    <row r="233" spans="1:19" x14ac:dyDescent="0.2">
      <c r="A233" s="303"/>
      <c r="B233" s="303"/>
      <c r="C233" s="303"/>
      <c r="D233" s="303"/>
      <c r="E233" s="303"/>
      <c r="F233" s="303" t="s">
        <v>1870</v>
      </c>
      <c r="G233" s="303"/>
      <c r="H233" s="303"/>
      <c r="I233" s="303"/>
      <c r="J233" s="1798"/>
      <c r="K233" s="306"/>
      <c r="L233" s="306" t="s">
        <v>1041</v>
      </c>
      <c r="M233" s="303"/>
      <c r="N233" s="303"/>
      <c r="O233" s="302"/>
      <c r="P233" s="302"/>
      <c r="Q233" s="302"/>
      <c r="R233" s="302"/>
      <c r="S233" s="302"/>
    </row>
    <row r="234" spans="1:19" x14ac:dyDescent="0.2">
      <c r="A234" s="303"/>
      <c r="B234" s="303"/>
      <c r="C234" s="303"/>
      <c r="D234" s="303"/>
      <c r="E234" s="303"/>
      <c r="F234" s="303" t="s">
        <v>1871</v>
      </c>
      <c r="G234" s="303"/>
      <c r="H234" s="303"/>
      <c r="I234" s="303"/>
      <c r="J234" s="1798"/>
      <c r="K234" s="306"/>
      <c r="L234" s="306" t="s">
        <v>1041</v>
      </c>
      <c r="M234" s="303"/>
      <c r="N234" s="303"/>
      <c r="O234" s="302"/>
      <c r="P234" s="302"/>
      <c r="Q234" s="302"/>
      <c r="R234" s="302"/>
      <c r="S234" s="302"/>
    </row>
    <row r="235" spans="1:19" x14ac:dyDescent="0.2">
      <c r="A235" s="303"/>
      <c r="B235" s="303"/>
      <c r="C235" s="303"/>
      <c r="D235" s="303"/>
      <c r="E235" s="303"/>
      <c r="F235" s="303" t="s">
        <v>1872</v>
      </c>
      <c r="G235" s="303"/>
      <c r="H235" s="303"/>
      <c r="I235" s="303"/>
      <c r="J235" s="1798"/>
      <c r="K235" s="306"/>
      <c r="L235" s="306" t="s">
        <v>1041</v>
      </c>
      <c r="M235" s="303"/>
      <c r="N235" s="303"/>
      <c r="O235" s="302"/>
      <c r="P235" s="302"/>
      <c r="Q235" s="302"/>
      <c r="R235" s="302"/>
      <c r="S235" s="302"/>
    </row>
    <row r="236" spans="1:19" x14ac:dyDescent="0.2">
      <c r="A236" s="303"/>
      <c r="B236" s="303"/>
      <c r="C236" s="303"/>
      <c r="D236" s="303"/>
      <c r="E236" s="303"/>
      <c r="F236" s="303" t="s">
        <v>1873</v>
      </c>
      <c r="G236" s="303"/>
      <c r="H236" s="303"/>
      <c r="I236" s="303"/>
      <c r="J236" s="1798"/>
      <c r="K236" s="306"/>
      <c r="L236" s="306" t="s">
        <v>1041</v>
      </c>
      <c r="M236" s="303"/>
      <c r="N236" s="303"/>
      <c r="O236" s="302"/>
      <c r="P236" s="302"/>
      <c r="Q236" s="302"/>
      <c r="R236" s="302"/>
      <c r="S236" s="302"/>
    </row>
    <row r="237" spans="1:19" x14ac:dyDescent="0.2">
      <c r="A237" s="303"/>
      <c r="B237" s="303"/>
      <c r="C237" s="303"/>
      <c r="D237" s="303"/>
      <c r="E237" s="303"/>
      <c r="F237" s="303" t="s">
        <v>1874</v>
      </c>
      <c r="G237" s="303"/>
      <c r="H237" s="303"/>
      <c r="I237" s="303"/>
      <c r="J237" s="1798"/>
      <c r="K237" s="306"/>
      <c r="L237" s="306" t="s">
        <v>1041</v>
      </c>
      <c r="M237" s="303"/>
      <c r="N237" s="303"/>
      <c r="O237" s="302"/>
      <c r="P237" s="302"/>
      <c r="Q237" s="302"/>
      <c r="R237" s="302"/>
      <c r="S237" s="302"/>
    </row>
    <row r="238" spans="1:19" x14ac:dyDescent="0.2">
      <c r="A238" s="303"/>
      <c r="B238" s="303"/>
      <c r="C238" s="303"/>
      <c r="D238" s="303"/>
      <c r="E238" s="303"/>
      <c r="F238" s="303" t="s">
        <v>1875</v>
      </c>
      <c r="G238" s="303"/>
      <c r="H238" s="303"/>
      <c r="I238" s="303"/>
      <c r="J238" s="1798"/>
      <c r="K238" s="306"/>
      <c r="L238" s="306" t="s">
        <v>1041</v>
      </c>
      <c r="M238" s="303"/>
      <c r="N238" s="303"/>
      <c r="O238" s="302"/>
      <c r="P238" s="302"/>
      <c r="Q238" s="302"/>
      <c r="R238" s="302"/>
      <c r="S238" s="302"/>
    </row>
    <row r="239" spans="1:19" x14ac:dyDescent="0.2">
      <c r="A239" s="303"/>
      <c r="B239" s="303"/>
      <c r="C239" s="303"/>
      <c r="D239" s="303"/>
      <c r="E239" s="303"/>
      <c r="F239" s="303" t="s">
        <v>1876</v>
      </c>
      <c r="G239" s="303"/>
      <c r="H239" s="303"/>
      <c r="I239" s="303"/>
      <c r="J239" s="1798"/>
      <c r="K239" s="306"/>
      <c r="L239" s="306" t="s">
        <v>1041</v>
      </c>
      <c r="M239" s="303"/>
      <c r="N239" s="303"/>
      <c r="O239" s="302"/>
      <c r="P239" s="302"/>
      <c r="Q239" s="302"/>
      <c r="R239" s="302"/>
      <c r="S239" s="302"/>
    </row>
    <row r="240" spans="1:19" x14ac:dyDescent="0.2">
      <c r="A240" s="303"/>
      <c r="B240" s="303"/>
      <c r="C240" s="303"/>
      <c r="D240" s="303"/>
      <c r="E240" s="303"/>
      <c r="F240" s="303" t="s">
        <v>1877</v>
      </c>
      <c r="G240" s="303"/>
      <c r="H240" s="303"/>
      <c r="I240" s="303"/>
      <c r="J240" s="1798"/>
      <c r="K240" s="306"/>
      <c r="L240" s="306" t="s">
        <v>1041</v>
      </c>
      <c r="M240" s="303"/>
      <c r="N240" s="303"/>
      <c r="O240" s="302"/>
      <c r="P240" s="302"/>
      <c r="Q240" s="302"/>
      <c r="R240" s="302"/>
      <c r="S240" s="302"/>
    </row>
    <row r="241" spans="1:19" x14ac:dyDescent="0.2">
      <c r="A241" s="303"/>
      <c r="B241" s="303"/>
      <c r="C241" s="303"/>
      <c r="D241" s="303"/>
      <c r="E241" s="303"/>
      <c r="F241" s="303" t="s">
        <v>1878</v>
      </c>
      <c r="G241" s="303"/>
      <c r="H241" s="303"/>
      <c r="I241" s="303"/>
      <c r="J241" s="1798"/>
      <c r="K241" s="306"/>
      <c r="L241" s="306" t="s">
        <v>1041</v>
      </c>
      <c r="M241" s="303"/>
      <c r="N241" s="303"/>
      <c r="O241" s="302"/>
      <c r="P241" s="302"/>
      <c r="Q241" s="302"/>
      <c r="R241" s="302"/>
      <c r="S241" s="302"/>
    </row>
    <row r="242" spans="1:19" x14ac:dyDescent="0.2">
      <c r="A242" s="303"/>
      <c r="B242" s="303"/>
      <c r="C242" s="303"/>
      <c r="D242" s="303"/>
      <c r="E242" s="303"/>
      <c r="F242" s="303" t="s">
        <v>1879</v>
      </c>
      <c r="G242" s="303"/>
      <c r="H242" s="303"/>
      <c r="I242" s="303"/>
      <c r="J242" s="1798"/>
      <c r="K242" s="306"/>
      <c r="L242" s="306" t="s">
        <v>1041</v>
      </c>
      <c r="M242" s="303"/>
      <c r="N242" s="303"/>
      <c r="O242" s="302"/>
      <c r="P242" s="302"/>
      <c r="Q242" s="302"/>
      <c r="R242" s="302"/>
      <c r="S242" s="302"/>
    </row>
    <row r="243" spans="1:19" x14ac:dyDescent="0.2">
      <c r="A243" s="303"/>
      <c r="B243" s="303"/>
      <c r="C243" s="303"/>
      <c r="D243" s="303"/>
      <c r="E243" s="303"/>
      <c r="F243" s="303" t="s">
        <v>1880</v>
      </c>
      <c r="G243" s="303"/>
      <c r="H243" s="303"/>
      <c r="I243" s="303"/>
      <c r="J243" s="1798"/>
      <c r="K243" s="306"/>
      <c r="L243" s="306" t="s">
        <v>1041</v>
      </c>
      <c r="M243" s="303"/>
      <c r="N243" s="303"/>
      <c r="O243" s="302"/>
      <c r="P243" s="302"/>
      <c r="Q243" s="302"/>
      <c r="R243" s="302"/>
      <c r="S243" s="302"/>
    </row>
    <row r="244" spans="1:19" x14ac:dyDescent="0.2">
      <c r="A244" s="303"/>
      <c r="B244" s="303"/>
      <c r="C244" s="303"/>
      <c r="D244" s="303"/>
      <c r="E244" s="303"/>
      <c r="F244" s="303" t="s">
        <v>1881</v>
      </c>
      <c r="G244" s="303"/>
      <c r="H244" s="303"/>
      <c r="I244" s="303"/>
      <c r="J244" s="1798"/>
      <c r="K244" s="306"/>
      <c r="L244" s="306" t="s">
        <v>1041</v>
      </c>
      <c r="M244" s="303"/>
      <c r="N244" s="303"/>
      <c r="O244" s="302"/>
      <c r="P244" s="302"/>
      <c r="Q244" s="302"/>
      <c r="R244" s="302"/>
      <c r="S244" s="302"/>
    </row>
    <row r="245" spans="1:19" x14ac:dyDescent="0.2">
      <c r="A245" s="303"/>
      <c r="B245" s="303"/>
      <c r="C245" s="303"/>
      <c r="D245" s="303"/>
      <c r="E245" s="303"/>
      <c r="F245" s="303" t="s">
        <v>1882</v>
      </c>
      <c r="G245" s="303"/>
      <c r="H245" s="303"/>
      <c r="I245" s="303"/>
      <c r="J245" s="1798"/>
      <c r="K245" s="306"/>
      <c r="L245" s="306" t="s">
        <v>1041</v>
      </c>
      <c r="M245" s="303"/>
      <c r="N245" s="303"/>
      <c r="O245" s="302"/>
      <c r="P245" s="302"/>
      <c r="Q245" s="302"/>
      <c r="R245" s="302"/>
      <c r="S245" s="302"/>
    </row>
    <row r="246" spans="1:19" x14ac:dyDescent="0.2">
      <c r="A246" s="303"/>
      <c r="B246" s="303"/>
      <c r="C246" s="303"/>
      <c r="D246" s="303"/>
      <c r="E246" s="303"/>
      <c r="F246" s="303" t="s">
        <v>1883</v>
      </c>
      <c r="G246" s="303"/>
      <c r="H246" s="303"/>
      <c r="I246" s="303"/>
      <c r="J246" s="1798"/>
      <c r="K246" s="306"/>
      <c r="L246" s="306" t="s">
        <v>1041</v>
      </c>
      <c r="M246" s="303"/>
      <c r="N246" s="303"/>
      <c r="O246" s="302"/>
      <c r="P246" s="302"/>
      <c r="Q246" s="302"/>
      <c r="R246" s="302"/>
      <c r="S246" s="302"/>
    </row>
    <row r="247" spans="1:19" x14ac:dyDescent="0.2">
      <c r="A247" s="303"/>
      <c r="B247" s="303"/>
      <c r="C247" s="303"/>
      <c r="D247" s="303"/>
      <c r="E247" s="303"/>
      <c r="F247" s="303" t="s">
        <v>1884</v>
      </c>
      <c r="G247" s="303"/>
      <c r="H247" s="303"/>
      <c r="I247" s="303"/>
      <c r="J247" s="1798"/>
      <c r="K247" s="306"/>
      <c r="L247" s="306" t="s">
        <v>1041</v>
      </c>
      <c r="M247" s="303"/>
      <c r="N247" s="303"/>
      <c r="O247" s="302"/>
      <c r="P247" s="302"/>
      <c r="Q247" s="302"/>
      <c r="R247" s="302"/>
      <c r="S247" s="302"/>
    </row>
    <row r="248" spans="1:19" x14ac:dyDescent="0.2">
      <c r="A248" s="303"/>
      <c r="B248" s="303"/>
      <c r="C248" s="303"/>
      <c r="D248" s="303"/>
      <c r="E248" s="303"/>
      <c r="F248" s="303" t="s">
        <v>1885</v>
      </c>
      <c r="G248" s="303"/>
      <c r="H248" s="303"/>
      <c r="I248" s="303"/>
      <c r="J248" s="1798"/>
      <c r="K248" s="306"/>
      <c r="L248" s="306" t="s">
        <v>1041</v>
      </c>
      <c r="M248" s="303"/>
      <c r="N248" s="303"/>
      <c r="O248" s="302"/>
      <c r="P248" s="302"/>
      <c r="Q248" s="302"/>
      <c r="R248" s="302"/>
      <c r="S248" s="302"/>
    </row>
    <row r="249" spans="1:19" x14ac:dyDescent="0.2">
      <c r="A249" s="303"/>
      <c r="B249" s="303"/>
      <c r="C249" s="303"/>
      <c r="D249" s="303"/>
      <c r="E249" s="303"/>
      <c r="F249" s="303" t="s">
        <v>1886</v>
      </c>
      <c r="G249" s="303"/>
      <c r="H249" s="303"/>
      <c r="I249" s="303"/>
      <c r="J249" s="1798"/>
      <c r="K249" s="306"/>
      <c r="L249" s="306" t="s">
        <v>1041</v>
      </c>
      <c r="M249" s="303"/>
      <c r="N249" s="303"/>
      <c r="O249" s="302"/>
      <c r="P249" s="302"/>
      <c r="Q249" s="302"/>
      <c r="R249" s="302"/>
      <c r="S249" s="302"/>
    </row>
    <row r="250" spans="1:19" x14ac:dyDescent="0.2">
      <c r="A250" s="303"/>
      <c r="B250" s="303"/>
      <c r="C250" s="303"/>
      <c r="D250" s="303"/>
      <c r="E250" s="303"/>
      <c r="F250" s="303" t="s">
        <v>1887</v>
      </c>
      <c r="G250" s="303"/>
      <c r="H250" s="303"/>
      <c r="I250" s="303"/>
      <c r="J250" s="1798"/>
      <c r="K250" s="306"/>
      <c r="L250" s="306" t="s">
        <v>1041</v>
      </c>
      <c r="M250" s="303"/>
      <c r="N250" s="303"/>
      <c r="O250" s="302"/>
      <c r="P250" s="302"/>
      <c r="Q250" s="302"/>
      <c r="R250" s="302"/>
      <c r="S250" s="302"/>
    </row>
    <row r="251" spans="1:19" x14ac:dyDescent="0.2">
      <c r="A251" s="303"/>
      <c r="B251" s="303"/>
      <c r="C251" s="303"/>
      <c r="D251" s="303"/>
      <c r="E251" s="303"/>
      <c r="F251" s="303" t="s">
        <v>1888</v>
      </c>
      <c r="G251" s="303"/>
      <c r="H251" s="303"/>
      <c r="I251" s="303"/>
      <c r="J251" s="1798"/>
      <c r="K251" s="306"/>
      <c r="L251" s="306" t="s">
        <v>1041</v>
      </c>
      <c r="M251" s="303"/>
      <c r="N251" s="303"/>
      <c r="O251" s="302"/>
      <c r="P251" s="302"/>
      <c r="Q251" s="302"/>
      <c r="R251" s="302"/>
      <c r="S251" s="302"/>
    </row>
    <row r="252" spans="1:19" x14ac:dyDescent="0.2">
      <c r="A252" s="303"/>
      <c r="B252" s="303"/>
      <c r="C252" s="303"/>
      <c r="D252" s="303"/>
      <c r="E252" s="303"/>
      <c r="F252" s="303" t="s">
        <v>1889</v>
      </c>
      <c r="G252" s="303"/>
      <c r="H252" s="303"/>
      <c r="I252" s="303"/>
      <c r="J252" s="1798"/>
      <c r="K252" s="306"/>
      <c r="L252" s="306" t="s">
        <v>1041</v>
      </c>
      <c r="M252" s="303"/>
      <c r="N252" s="303"/>
      <c r="O252" s="302"/>
      <c r="P252" s="302"/>
      <c r="Q252" s="302"/>
      <c r="R252" s="302"/>
      <c r="S252" s="302"/>
    </row>
    <row r="253" spans="1:19" x14ac:dyDescent="0.2">
      <c r="A253" s="303"/>
      <c r="B253" s="303"/>
      <c r="C253" s="303"/>
      <c r="D253" s="303"/>
      <c r="E253" s="303"/>
      <c r="F253" s="303" t="s">
        <v>1890</v>
      </c>
      <c r="G253" s="303"/>
      <c r="H253" s="303"/>
      <c r="I253" s="303"/>
      <c r="J253" s="1798"/>
      <c r="K253" s="306"/>
      <c r="L253" s="306" t="s">
        <v>1041</v>
      </c>
      <c r="M253" s="303"/>
      <c r="N253" s="303"/>
      <c r="O253" s="302"/>
      <c r="P253" s="302"/>
      <c r="Q253" s="302"/>
      <c r="R253" s="302"/>
      <c r="S253" s="302"/>
    </row>
    <row r="254" spans="1:19" x14ac:dyDescent="0.2">
      <c r="A254" s="303"/>
      <c r="B254" s="303"/>
      <c r="C254" s="303"/>
      <c r="D254" s="303"/>
      <c r="E254" s="303"/>
      <c r="F254" s="303" t="s">
        <v>1891</v>
      </c>
      <c r="G254" s="303"/>
      <c r="H254" s="303"/>
      <c r="I254" s="303"/>
      <c r="J254" s="1798"/>
      <c r="K254" s="306"/>
      <c r="L254" s="306" t="s">
        <v>1041</v>
      </c>
      <c r="M254" s="303"/>
      <c r="N254" s="303"/>
      <c r="O254" s="302"/>
      <c r="P254" s="302"/>
      <c r="Q254" s="302"/>
      <c r="R254" s="302"/>
      <c r="S254" s="302"/>
    </row>
    <row r="255" spans="1:19" x14ac:dyDescent="0.2">
      <c r="A255" s="303"/>
      <c r="B255" s="303"/>
      <c r="C255" s="303"/>
      <c r="D255" s="303"/>
      <c r="E255" s="303"/>
      <c r="F255" s="303" t="s">
        <v>1892</v>
      </c>
      <c r="G255" s="303"/>
      <c r="H255" s="303"/>
      <c r="I255" s="303"/>
      <c r="J255" s="1798"/>
      <c r="K255" s="306"/>
      <c r="L255" s="306" t="s">
        <v>1041</v>
      </c>
      <c r="M255" s="303"/>
      <c r="N255" s="303"/>
      <c r="O255" s="302"/>
      <c r="P255" s="302"/>
      <c r="Q255" s="302"/>
      <c r="R255" s="302"/>
      <c r="S255" s="302"/>
    </row>
    <row r="256" spans="1:19" x14ac:dyDescent="0.2">
      <c r="A256" s="303"/>
      <c r="B256" s="303"/>
      <c r="C256" s="303"/>
      <c r="D256" s="303"/>
      <c r="E256" s="303"/>
      <c r="F256" s="303" t="s">
        <v>1893</v>
      </c>
      <c r="G256" s="303"/>
      <c r="H256" s="303"/>
      <c r="I256" s="303"/>
      <c r="J256" s="1798"/>
      <c r="K256" s="306"/>
      <c r="L256" s="306" t="s">
        <v>1041</v>
      </c>
      <c r="M256" s="303"/>
      <c r="N256" s="303"/>
      <c r="O256" s="302"/>
      <c r="P256" s="302"/>
      <c r="Q256" s="302"/>
      <c r="R256" s="302"/>
      <c r="S256" s="302"/>
    </row>
    <row r="257" spans="1:19" x14ac:dyDescent="0.2">
      <c r="A257" s="303"/>
      <c r="B257" s="303"/>
      <c r="C257" s="303"/>
      <c r="D257" s="303"/>
      <c r="E257" s="303"/>
      <c r="F257" s="303" t="s">
        <v>1894</v>
      </c>
      <c r="G257" s="303"/>
      <c r="H257" s="303"/>
      <c r="I257" s="303"/>
      <c r="J257" s="1798"/>
      <c r="K257" s="306"/>
      <c r="L257" s="306" t="s">
        <v>1041</v>
      </c>
      <c r="M257" s="303"/>
      <c r="N257" s="303"/>
      <c r="O257" s="302"/>
      <c r="P257" s="302"/>
      <c r="Q257" s="302"/>
      <c r="R257" s="302"/>
      <c r="S257" s="302"/>
    </row>
    <row r="258" spans="1:19" x14ac:dyDescent="0.2">
      <c r="A258" s="303"/>
      <c r="B258" s="303"/>
      <c r="C258" s="303"/>
      <c r="D258" s="303"/>
      <c r="E258" s="303"/>
      <c r="F258" s="303" t="s">
        <v>1895</v>
      </c>
      <c r="G258" s="303"/>
      <c r="H258" s="303"/>
      <c r="I258" s="303"/>
      <c r="J258" s="1798"/>
      <c r="K258" s="306"/>
      <c r="L258" s="306" t="s">
        <v>1041</v>
      </c>
      <c r="M258" s="303"/>
      <c r="N258" s="303"/>
      <c r="O258" s="302"/>
      <c r="P258" s="302"/>
      <c r="Q258" s="302"/>
      <c r="R258" s="302"/>
      <c r="S258" s="302"/>
    </row>
    <row r="259" spans="1:19" x14ac:dyDescent="0.2">
      <c r="A259" s="303"/>
      <c r="B259" s="303"/>
      <c r="C259" s="303"/>
      <c r="D259" s="303"/>
      <c r="E259" s="303"/>
      <c r="F259" s="303" t="s">
        <v>1896</v>
      </c>
      <c r="G259" s="303"/>
      <c r="H259" s="303"/>
      <c r="I259" s="303"/>
      <c r="J259" s="1798"/>
      <c r="K259" s="306"/>
      <c r="L259" s="306" t="s">
        <v>1041</v>
      </c>
      <c r="M259" s="303"/>
      <c r="N259" s="303"/>
      <c r="O259" s="302"/>
      <c r="P259" s="302"/>
      <c r="Q259" s="302"/>
      <c r="R259" s="302"/>
      <c r="S259" s="302"/>
    </row>
    <row r="260" spans="1:19" x14ac:dyDescent="0.2">
      <c r="A260" s="303"/>
      <c r="B260" s="303"/>
      <c r="C260" s="303"/>
      <c r="D260" s="303"/>
      <c r="E260" s="303"/>
      <c r="F260" s="303" t="s">
        <v>1897</v>
      </c>
      <c r="G260" s="303"/>
      <c r="H260" s="303"/>
      <c r="I260" s="303"/>
      <c r="J260" s="1798"/>
      <c r="K260" s="306"/>
      <c r="L260" s="306" t="s">
        <v>1041</v>
      </c>
      <c r="M260" s="303"/>
      <c r="N260" s="303"/>
      <c r="O260" s="302"/>
      <c r="P260" s="302"/>
      <c r="Q260" s="302"/>
      <c r="R260" s="302"/>
      <c r="S260" s="302"/>
    </row>
    <row r="261" spans="1:19" x14ac:dyDescent="0.2">
      <c r="A261" s="303"/>
      <c r="B261" s="303"/>
      <c r="C261" s="303"/>
      <c r="D261" s="303"/>
      <c r="E261" s="303"/>
      <c r="F261" s="303" t="s">
        <v>1898</v>
      </c>
      <c r="G261" s="303"/>
      <c r="H261" s="303"/>
      <c r="I261" s="303"/>
      <c r="J261" s="1798"/>
      <c r="K261" s="306"/>
      <c r="L261" s="306" t="s">
        <v>1041</v>
      </c>
      <c r="M261" s="303"/>
      <c r="N261" s="303"/>
      <c r="O261" s="302"/>
      <c r="P261" s="302"/>
      <c r="Q261" s="302"/>
      <c r="R261" s="302"/>
      <c r="S261" s="302"/>
    </row>
    <row r="262" spans="1:19" x14ac:dyDescent="0.2">
      <c r="A262" s="303"/>
      <c r="B262" s="303"/>
      <c r="C262" s="303"/>
      <c r="D262" s="303"/>
      <c r="E262" s="303"/>
      <c r="F262" s="303" t="s">
        <v>1899</v>
      </c>
      <c r="G262" s="303"/>
      <c r="H262" s="303"/>
      <c r="I262" s="303"/>
      <c r="J262" s="1798"/>
      <c r="K262" s="306"/>
      <c r="L262" s="306" t="s">
        <v>1041</v>
      </c>
      <c r="M262" s="303"/>
      <c r="N262" s="303"/>
      <c r="O262" s="302"/>
      <c r="P262" s="302"/>
      <c r="Q262" s="302"/>
      <c r="R262" s="302"/>
      <c r="S262" s="302"/>
    </row>
    <row r="263" spans="1:19" x14ac:dyDescent="0.2">
      <c r="A263" s="303"/>
      <c r="B263" s="303"/>
      <c r="C263" s="303"/>
      <c r="D263" s="303"/>
      <c r="E263" s="303"/>
      <c r="F263" s="303" t="s">
        <v>1900</v>
      </c>
      <c r="G263" s="303"/>
      <c r="H263" s="303"/>
      <c r="I263" s="303"/>
      <c r="J263" s="1798"/>
      <c r="K263" s="306"/>
      <c r="L263" s="306" t="s">
        <v>1041</v>
      </c>
      <c r="M263" s="303"/>
      <c r="N263" s="303"/>
      <c r="O263" s="302"/>
      <c r="P263" s="302"/>
      <c r="Q263" s="302"/>
      <c r="R263" s="302"/>
      <c r="S263" s="302"/>
    </row>
    <row r="264" spans="1:19" x14ac:dyDescent="0.2">
      <c r="A264" s="303"/>
      <c r="B264" s="303"/>
      <c r="C264" s="303"/>
      <c r="D264" s="303"/>
      <c r="E264" s="303"/>
      <c r="F264" s="303" t="s">
        <v>1901</v>
      </c>
      <c r="G264" s="303"/>
      <c r="H264" s="303"/>
      <c r="I264" s="303"/>
      <c r="J264" s="1798"/>
      <c r="K264" s="306"/>
      <c r="L264" s="306" t="s">
        <v>1041</v>
      </c>
      <c r="M264" s="303"/>
      <c r="N264" s="303"/>
      <c r="O264" s="302"/>
      <c r="P264" s="302"/>
      <c r="Q264" s="302"/>
      <c r="R264" s="302"/>
      <c r="S264" s="302"/>
    </row>
    <row r="265" spans="1:19" x14ac:dyDescent="0.2">
      <c r="A265" s="303"/>
      <c r="B265" s="303"/>
      <c r="C265" s="303"/>
      <c r="D265" s="303"/>
      <c r="E265" s="303"/>
      <c r="F265" s="303" t="s">
        <v>1902</v>
      </c>
      <c r="G265" s="303"/>
      <c r="H265" s="303"/>
      <c r="I265" s="303"/>
      <c r="J265" s="1798"/>
      <c r="K265" s="306"/>
      <c r="L265" s="306" t="s">
        <v>1041</v>
      </c>
      <c r="M265" s="303"/>
      <c r="N265" s="303"/>
      <c r="O265" s="302"/>
      <c r="P265" s="302"/>
      <c r="Q265" s="302"/>
      <c r="R265" s="302"/>
      <c r="S265" s="302"/>
    </row>
    <row r="266" spans="1:19" x14ac:dyDescent="0.2">
      <c r="A266" s="303"/>
      <c r="B266" s="303"/>
      <c r="C266" s="303"/>
      <c r="D266" s="303"/>
      <c r="E266" s="303"/>
      <c r="F266" s="303" t="s">
        <v>1903</v>
      </c>
      <c r="G266" s="303"/>
      <c r="H266" s="303"/>
      <c r="I266" s="303"/>
      <c r="J266" s="1798"/>
      <c r="K266" s="306"/>
      <c r="L266" s="306" t="s">
        <v>1041</v>
      </c>
      <c r="M266" s="303"/>
      <c r="N266" s="303"/>
      <c r="O266" s="302"/>
      <c r="P266" s="302"/>
      <c r="Q266" s="302"/>
      <c r="R266" s="302"/>
      <c r="S266" s="302"/>
    </row>
    <row r="267" spans="1:19" x14ac:dyDescent="0.2">
      <c r="A267" s="303"/>
      <c r="B267" s="303"/>
      <c r="C267" s="303"/>
      <c r="D267" s="303"/>
      <c r="E267" s="303"/>
      <c r="F267" s="303" t="s">
        <v>1904</v>
      </c>
      <c r="G267" s="303"/>
      <c r="H267" s="303"/>
      <c r="I267" s="303"/>
      <c r="J267" s="1798"/>
      <c r="K267" s="306"/>
      <c r="L267" s="306" t="s">
        <v>1041</v>
      </c>
      <c r="M267" s="303"/>
      <c r="N267" s="303"/>
      <c r="O267" s="302"/>
      <c r="P267" s="302"/>
      <c r="Q267" s="302"/>
      <c r="R267" s="302"/>
      <c r="S267" s="302"/>
    </row>
    <row r="268" spans="1:19" x14ac:dyDescent="0.2">
      <c r="A268" s="303"/>
      <c r="B268" s="303"/>
      <c r="C268" s="303"/>
      <c r="D268" s="303"/>
      <c r="E268" s="303"/>
      <c r="F268" s="303" t="s">
        <v>1905</v>
      </c>
      <c r="G268" s="303"/>
      <c r="H268" s="303"/>
      <c r="I268" s="303"/>
      <c r="J268" s="1798"/>
      <c r="K268" s="306"/>
      <c r="L268" s="306" t="s">
        <v>1041</v>
      </c>
      <c r="M268" s="303"/>
      <c r="N268" s="303"/>
      <c r="O268" s="302"/>
      <c r="P268" s="302"/>
      <c r="Q268" s="302"/>
      <c r="R268" s="302"/>
      <c r="S268" s="302"/>
    </row>
    <row r="269" spans="1:19" x14ac:dyDescent="0.2">
      <c r="A269" s="303"/>
      <c r="B269" s="303"/>
      <c r="C269" s="303"/>
      <c r="D269" s="303"/>
      <c r="E269" s="303"/>
      <c r="F269" s="303" t="s">
        <v>1906</v>
      </c>
      <c r="G269" s="303"/>
      <c r="H269" s="303"/>
      <c r="I269" s="303"/>
      <c r="J269" s="1798"/>
      <c r="K269" s="306"/>
      <c r="L269" s="306" t="s">
        <v>1041</v>
      </c>
      <c r="M269" s="303"/>
      <c r="N269" s="303"/>
      <c r="O269" s="302"/>
      <c r="P269" s="302"/>
      <c r="Q269" s="302"/>
      <c r="R269" s="302"/>
      <c r="S269" s="302"/>
    </row>
    <row r="270" spans="1:19" x14ac:dyDescent="0.2">
      <c r="A270" s="303"/>
      <c r="B270" s="303"/>
      <c r="C270" s="303"/>
      <c r="D270" s="303"/>
      <c r="E270" s="303"/>
      <c r="F270" s="303" t="s">
        <v>1907</v>
      </c>
      <c r="G270" s="303"/>
      <c r="H270" s="303"/>
      <c r="I270" s="303"/>
      <c r="J270" s="1798"/>
      <c r="K270" s="306"/>
      <c r="L270" s="306" t="s">
        <v>1041</v>
      </c>
      <c r="M270" s="303"/>
      <c r="N270" s="303"/>
      <c r="O270" s="302"/>
      <c r="P270" s="302"/>
      <c r="Q270" s="302"/>
      <c r="R270" s="302"/>
      <c r="S270" s="302"/>
    </row>
    <row r="271" spans="1:19" x14ac:dyDescent="0.2">
      <c r="A271" s="303"/>
      <c r="B271" s="303"/>
      <c r="C271" s="303"/>
      <c r="D271" s="303"/>
      <c r="E271" s="303"/>
      <c r="F271" s="303" t="s">
        <v>1908</v>
      </c>
      <c r="G271" s="303"/>
      <c r="H271" s="303"/>
      <c r="I271" s="303"/>
      <c r="J271" s="1798"/>
      <c r="K271" s="306"/>
      <c r="L271" s="306" t="s">
        <v>1041</v>
      </c>
      <c r="M271" s="303"/>
      <c r="N271" s="303"/>
      <c r="O271" s="302"/>
      <c r="P271" s="302"/>
      <c r="Q271" s="302"/>
      <c r="R271" s="302"/>
      <c r="S271" s="302"/>
    </row>
    <row r="272" spans="1:19" x14ac:dyDescent="0.2">
      <c r="A272" s="303"/>
      <c r="B272" s="303"/>
      <c r="C272" s="303"/>
      <c r="D272" s="303"/>
      <c r="E272" s="303"/>
      <c r="F272" s="303" t="s">
        <v>1909</v>
      </c>
      <c r="G272" s="303"/>
      <c r="H272" s="303"/>
      <c r="I272" s="303"/>
      <c r="J272" s="1798"/>
      <c r="K272" s="306"/>
      <c r="L272" s="306" t="s">
        <v>1041</v>
      </c>
      <c r="M272" s="303"/>
      <c r="N272" s="303"/>
      <c r="O272" s="302"/>
      <c r="P272" s="302"/>
      <c r="Q272" s="302"/>
      <c r="R272" s="302"/>
      <c r="S272" s="302"/>
    </row>
    <row r="273" spans="1:19" x14ac:dyDescent="0.2">
      <c r="A273" s="303"/>
      <c r="B273" s="303"/>
      <c r="C273" s="303"/>
      <c r="D273" s="303"/>
      <c r="E273" s="303"/>
      <c r="F273" s="303" t="s">
        <v>1910</v>
      </c>
      <c r="G273" s="303"/>
      <c r="H273" s="303"/>
      <c r="I273" s="303"/>
      <c r="J273" s="1798"/>
      <c r="K273" s="306"/>
      <c r="L273" s="306" t="s">
        <v>1041</v>
      </c>
      <c r="M273" s="303"/>
      <c r="N273" s="303"/>
      <c r="O273" s="302"/>
      <c r="P273" s="302"/>
      <c r="Q273" s="302"/>
      <c r="R273" s="302"/>
      <c r="S273" s="302"/>
    </row>
    <row r="274" spans="1:19" x14ac:dyDescent="0.2">
      <c r="A274" s="303"/>
      <c r="B274" s="303"/>
      <c r="C274" s="303"/>
      <c r="D274" s="303"/>
      <c r="E274" s="303"/>
      <c r="F274" s="303" t="s">
        <v>1911</v>
      </c>
      <c r="G274" s="303"/>
      <c r="H274" s="303"/>
      <c r="I274" s="303"/>
      <c r="J274" s="1798"/>
      <c r="K274" s="306"/>
      <c r="L274" s="306" t="s">
        <v>1041</v>
      </c>
      <c r="M274" s="303"/>
      <c r="N274" s="303"/>
      <c r="O274" s="302"/>
      <c r="P274" s="302"/>
      <c r="Q274" s="302"/>
      <c r="R274" s="302"/>
      <c r="S274" s="302"/>
    </row>
    <row r="275" spans="1:19" x14ac:dyDescent="0.2">
      <c r="A275" s="303"/>
      <c r="B275" s="303"/>
      <c r="C275" s="303"/>
      <c r="D275" s="303"/>
      <c r="E275" s="303"/>
      <c r="F275" s="303" t="s">
        <v>1912</v>
      </c>
      <c r="G275" s="303"/>
      <c r="H275" s="303"/>
      <c r="I275" s="303"/>
      <c r="J275" s="1798"/>
      <c r="K275" s="306"/>
      <c r="L275" s="306" t="s">
        <v>1041</v>
      </c>
      <c r="M275" s="303"/>
      <c r="N275" s="303"/>
      <c r="O275" s="302"/>
      <c r="P275" s="302"/>
      <c r="Q275" s="302"/>
      <c r="R275" s="302"/>
      <c r="S275" s="302"/>
    </row>
    <row r="276" spans="1:19" x14ac:dyDescent="0.2">
      <c r="A276" s="303"/>
      <c r="B276" s="303"/>
      <c r="C276" s="303"/>
      <c r="D276" s="303"/>
      <c r="E276" s="303"/>
      <c r="F276" s="303" t="s">
        <v>1913</v>
      </c>
      <c r="G276" s="303"/>
      <c r="H276" s="303"/>
      <c r="I276" s="303"/>
      <c r="J276" s="1798"/>
      <c r="K276" s="306"/>
      <c r="L276" s="306" t="s">
        <v>1041</v>
      </c>
      <c r="M276" s="303"/>
      <c r="N276" s="303"/>
      <c r="O276" s="302"/>
      <c r="P276" s="302"/>
      <c r="Q276" s="302"/>
      <c r="R276" s="302"/>
      <c r="S276" s="302"/>
    </row>
    <row r="277" spans="1:19" x14ac:dyDescent="0.2">
      <c r="A277" s="303"/>
      <c r="B277" s="303"/>
      <c r="C277" s="303"/>
      <c r="D277" s="303"/>
      <c r="E277" s="303"/>
      <c r="F277" s="303" t="s">
        <v>1914</v>
      </c>
      <c r="G277" s="303"/>
      <c r="H277" s="303"/>
      <c r="I277" s="303"/>
      <c r="J277" s="1798"/>
      <c r="K277" s="306"/>
      <c r="L277" s="306" t="s">
        <v>1041</v>
      </c>
      <c r="M277" s="303"/>
      <c r="N277" s="303"/>
      <c r="O277" s="302"/>
      <c r="P277" s="302"/>
      <c r="Q277" s="302"/>
      <c r="R277" s="302"/>
      <c r="S277" s="302"/>
    </row>
    <row r="278" spans="1:19" x14ac:dyDescent="0.2">
      <c r="A278" s="303"/>
      <c r="B278" s="303"/>
      <c r="C278" s="303"/>
      <c r="D278" s="303"/>
      <c r="E278" s="303"/>
      <c r="F278" s="303" t="s">
        <v>1915</v>
      </c>
      <c r="G278" s="303"/>
      <c r="H278" s="303"/>
      <c r="I278" s="303"/>
      <c r="J278" s="1798"/>
      <c r="K278" s="306"/>
      <c r="L278" s="306" t="s">
        <v>1041</v>
      </c>
      <c r="M278" s="303"/>
      <c r="N278" s="303"/>
      <c r="O278" s="302"/>
      <c r="P278" s="302"/>
      <c r="Q278" s="302"/>
      <c r="R278" s="302"/>
      <c r="S278" s="302"/>
    </row>
    <row r="279" spans="1:19" x14ac:dyDescent="0.2">
      <c r="A279" s="303"/>
      <c r="B279" s="303"/>
      <c r="C279" s="303"/>
      <c r="D279" s="303"/>
      <c r="E279" s="303"/>
      <c r="F279" s="303" t="s">
        <v>1916</v>
      </c>
      <c r="G279" s="303"/>
      <c r="H279" s="303"/>
      <c r="I279" s="303"/>
      <c r="J279" s="1798"/>
      <c r="K279" s="306"/>
      <c r="L279" s="306" t="s">
        <v>1041</v>
      </c>
      <c r="M279" s="303"/>
      <c r="N279" s="303"/>
      <c r="O279" s="302"/>
      <c r="P279" s="302"/>
      <c r="Q279" s="302"/>
      <c r="R279" s="302"/>
      <c r="S279" s="302"/>
    </row>
    <row r="280" spans="1:19" x14ac:dyDescent="0.2">
      <c r="A280" s="303"/>
      <c r="B280" s="303"/>
      <c r="C280" s="303"/>
      <c r="D280" s="303"/>
      <c r="E280" s="303"/>
      <c r="F280" s="303" t="s">
        <v>1917</v>
      </c>
      <c r="G280" s="303"/>
      <c r="H280" s="303"/>
      <c r="I280" s="303"/>
      <c r="J280" s="1798"/>
      <c r="K280" s="306"/>
      <c r="L280" s="306" t="s">
        <v>1041</v>
      </c>
      <c r="M280" s="303"/>
      <c r="N280" s="303"/>
      <c r="O280" s="302"/>
      <c r="P280" s="302"/>
      <c r="Q280" s="302"/>
      <c r="R280" s="302"/>
      <c r="S280" s="302"/>
    </row>
    <row r="281" spans="1:19" x14ac:dyDescent="0.2">
      <c r="A281" s="303"/>
      <c r="B281" s="303"/>
      <c r="C281" s="303"/>
      <c r="D281" s="303"/>
      <c r="E281" s="303"/>
      <c r="F281" s="303" t="s">
        <v>1918</v>
      </c>
      <c r="G281" s="303"/>
      <c r="H281" s="303"/>
      <c r="I281" s="303"/>
      <c r="J281" s="1798"/>
      <c r="K281" s="306"/>
      <c r="L281" s="306" t="s">
        <v>1041</v>
      </c>
      <c r="M281" s="303"/>
      <c r="N281" s="303"/>
      <c r="O281" s="302"/>
      <c r="P281" s="302"/>
      <c r="Q281" s="302"/>
      <c r="R281" s="302"/>
      <c r="S281" s="302"/>
    </row>
    <row r="282" spans="1:19" x14ac:dyDescent="0.2">
      <c r="A282" s="303"/>
      <c r="B282" s="303"/>
      <c r="C282" s="303"/>
      <c r="D282" s="303"/>
      <c r="E282" s="303"/>
      <c r="F282" s="303" t="s">
        <v>1919</v>
      </c>
      <c r="G282" s="303"/>
      <c r="H282" s="303"/>
      <c r="I282" s="303"/>
      <c r="J282" s="1798"/>
      <c r="K282" s="306"/>
      <c r="L282" s="306" t="s">
        <v>1041</v>
      </c>
      <c r="M282" s="303"/>
      <c r="N282" s="303"/>
      <c r="O282" s="302"/>
      <c r="P282" s="302"/>
      <c r="Q282" s="302"/>
      <c r="R282" s="302"/>
      <c r="S282" s="302"/>
    </row>
    <row r="283" spans="1:19" x14ac:dyDescent="0.2">
      <c r="A283" s="303"/>
      <c r="B283" s="303"/>
      <c r="C283" s="303"/>
      <c r="D283" s="303"/>
      <c r="E283" s="303"/>
      <c r="F283" s="303" t="s">
        <v>1920</v>
      </c>
      <c r="G283" s="303"/>
      <c r="H283" s="303"/>
      <c r="I283" s="303"/>
      <c r="J283" s="1798"/>
      <c r="K283" s="306"/>
      <c r="L283" s="306" t="s">
        <v>1041</v>
      </c>
      <c r="M283" s="303"/>
      <c r="N283" s="303"/>
      <c r="O283" s="302"/>
      <c r="P283" s="302"/>
      <c r="Q283" s="302"/>
      <c r="R283" s="302"/>
      <c r="S283" s="302"/>
    </row>
    <row r="284" spans="1:19" x14ac:dyDescent="0.2">
      <c r="A284" s="303"/>
      <c r="B284" s="303"/>
      <c r="C284" s="303"/>
      <c r="D284" s="303"/>
      <c r="E284" s="303"/>
      <c r="F284" s="303" t="s">
        <v>1921</v>
      </c>
      <c r="G284" s="303"/>
      <c r="H284" s="303"/>
      <c r="I284" s="303"/>
      <c r="J284" s="1798"/>
      <c r="K284" s="306"/>
      <c r="L284" s="306" t="s">
        <v>1041</v>
      </c>
      <c r="M284" s="303"/>
      <c r="N284" s="303"/>
      <c r="O284" s="302"/>
      <c r="P284" s="302"/>
      <c r="Q284" s="302"/>
      <c r="R284" s="302"/>
      <c r="S284" s="302"/>
    </row>
    <row r="285" spans="1:19" x14ac:dyDescent="0.2">
      <c r="A285" s="303"/>
      <c r="B285" s="303"/>
      <c r="C285" s="303"/>
      <c r="D285" s="303"/>
      <c r="E285" s="303"/>
      <c r="F285" s="303" t="s">
        <v>1922</v>
      </c>
      <c r="G285" s="303"/>
      <c r="H285" s="303"/>
      <c r="I285" s="303"/>
      <c r="J285" s="1798"/>
      <c r="K285" s="306"/>
      <c r="L285" s="306" t="s">
        <v>1041</v>
      </c>
      <c r="M285" s="303"/>
      <c r="N285" s="303"/>
      <c r="O285" s="302"/>
      <c r="P285" s="302"/>
      <c r="Q285" s="302"/>
      <c r="R285" s="302"/>
      <c r="S285" s="302"/>
    </row>
    <row r="286" spans="1:19" x14ac:dyDescent="0.2">
      <c r="A286" s="303"/>
      <c r="B286" s="303"/>
      <c r="C286" s="303"/>
      <c r="D286" s="303"/>
      <c r="E286" s="303"/>
      <c r="F286" s="303" t="s">
        <v>1923</v>
      </c>
      <c r="G286" s="303"/>
      <c r="H286" s="303"/>
      <c r="I286" s="303"/>
      <c r="J286" s="1798"/>
      <c r="K286" s="306"/>
      <c r="L286" s="306" t="s">
        <v>1041</v>
      </c>
      <c r="M286" s="303"/>
      <c r="N286" s="303"/>
      <c r="O286" s="302"/>
      <c r="P286" s="302"/>
      <c r="Q286" s="302"/>
      <c r="R286" s="302"/>
      <c r="S286" s="302"/>
    </row>
    <row r="287" spans="1:19" x14ac:dyDescent="0.2">
      <c r="A287" s="303"/>
      <c r="B287" s="303"/>
      <c r="C287" s="303"/>
      <c r="D287" s="303"/>
      <c r="E287" s="303"/>
      <c r="F287" s="303" t="s">
        <v>1924</v>
      </c>
      <c r="G287" s="303"/>
      <c r="H287" s="303"/>
      <c r="I287" s="303"/>
      <c r="J287" s="1798"/>
      <c r="K287" s="306"/>
      <c r="L287" s="306" t="s">
        <v>1041</v>
      </c>
      <c r="M287" s="303"/>
      <c r="N287" s="303"/>
      <c r="O287" s="302"/>
      <c r="P287" s="302"/>
      <c r="Q287" s="302"/>
      <c r="R287" s="302"/>
      <c r="S287" s="302"/>
    </row>
    <row r="288" spans="1:19" x14ac:dyDescent="0.2">
      <c r="A288" s="303"/>
      <c r="B288" s="303"/>
      <c r="C288" s="303"/>
      <c r="D288" s="303"/>
      <c r="E288" s="303"/>
      <c r="F288" s="303" t="s">
        <v>1925</v>
      </c>
      <c r="G288" s="303"/>
      <c r="H288" s="303"/>
      <c r="I288" s="303"/>
      <c r="J288" s="1798"/>
      <c r="K288" s="306"/>
      <c r="L288" s="306" t="s">
        <v>1041</v>
      </c>
      <c r="M288" s="303"/>
      <c r="N288" s="303"/>
      <c r="O288" s="302"/>
      <c r="P288" s="302"/>
      <c r="Q288" s="302"/>
      <c r="R288" s="302"/>
      <c r="S288" s="302"/>
    </row>
    <row r="289" spans="1:19" x14ac:dyDescent="0.2">
      <c r="A289" s="303"/>
      <c r="B289" s="303"/>
      <c r="C289" s="303"/>
      <c r="D289" s="303"/>
      <c r="E289" s="303"/>
      <c r="F289" s="303" t="s">
        <v>1926</v>
      </c>
      <c r="G289" s="303"/>
      <c r="H289" s="303"/>
      <c r="I289" s="303"/>
      <c r="J289" s="1798"/>
      <c r="K289" s="306"/>
      <c r="L289" s="306" t="s">
        <v>1041</v>
      </c>
      <c r="M289" s="303"/>
      <c r="N289" s="303"/>
      <c r="O289" s="302"/>
      <c r="P289" s="302"/>
      <c r="Q289" s="302"/>
      <c r="R289" s="302"/>
      <c r="S289" s="302"/>
    </row>
    <row r="290" spans="1:19" x14ac:dyDescent="0.2">
      <c r="A290" s="303"/>
      <c r="B290" s="303"/>
      <c r="C290" s="303"/>
      <c r="D290" s="303"/>
      <c r="E290" s="303"/>
      <c r="F290" s="303" t="s">
        <v>1927</v>
      </c>
      <c r="G290" s="303"/>
      <c r="H290" s="303"/>
      <c r="I290" s="303"/>
      <c r="J290" s="1798"/>
      <c r="K290" s="306"/>
      <c r="L290" s="306" t="s">
        <v>1041</v>
      </c>
      <c r="M290" s="303"/>
      <c r="N290" s="303"/>
      <c r="O290" s="302"/>
      <c r="P290" s="302"/>
      <c r="Q290" s="302"/>
      <c r="R290" s="302"/>
      <c r="S290" s="302"/>
    </row>
    <row r="291" spans="1:19" x14ac:dyDescent="0.2">
      <c r="A291" s="303"/>
      <c r="B291" s="303"/>
      <c r="C291" s="303"/>
      <c r="D291" s="303"/>
      <c r="E291" s="303"/>
      <c r="F291" s="303" t="s">
        <v>1928</v>
      </c>
      <c r="G291" s="303"/>
      <c r="H291" s="303"/>
      <c r="I291" s="303"/>
      <c r="J291" s="1798"/>
      <c r="K291" s="306"/>
      <c r="L291" s="306" t="s">
        <v>1041</v>
      </c>
      <c r="M291" s="303"/>
      <c r="N291" s="303"/>
      <c r="O291" s="302"/>
      <c r="P291" s="302"/>
      <c r="Q291" s="302"/>
      <c r="R291" s="302"/>
      <c r="S291" s="302"/>
    </row>
    <row r="292" spans="1:19" x14ac:dyDescent="0.2">
      <c r="A292" s="303"/>
      <c r="B292" s="303"/>
      <c r="C292" s="303"/>
      <c r="D292" s="303"/>
      <c r="E292" s="303"/>
      <c r="F292" s="303" t="s">
        <v>1929</v>
      </c>
      <c r="G292" s="303"/>
      <c r="H292" s="303"/>
      <c r="I292" s="303"/>
      <c r="J292" s="1798"/>
      <c r="K292" s="306"/>
      <c r="L292" s="306" t="s">
        <v>1041</v>
      </c>
      <c r="M292" s="303"/>
      <c r="N292" s="303"/>
      <c r="O292" s="302"/>
      <c r="P292" s="302"/>
      <c r="Q292" s="302"/>
      <c r="R292" s="302"/>
      <c r="S292" s="302"/>
    </row>
    <row r="293" spans="1:19" x14ac:dyDescent="0.2">
      <c r="A293" s="303"/>
      <c r="B293" s="303"/>
      <c r="C293" s="303"/>
      <c r="D293" s="303"/>
      <c r="E293" s="303"/>
      <c r="F293" s="303" t="s">
        <v>1930</v>
      </c>
      <c r="G293" s="303"/>
      <c r="H293" s="303"/>
      <c r="I293" s="303"/>
      <c r="J293" s="1798"/>
      <c r="K293" s="306"/>
      <c r="L293" s="306" t="s">
        <v>1041</v>
      </c>
      <c r="M293" s="303"/>
      <c r="N293" s="303"/>
      <c r="O293" s="302"/>
      <c r="P293" s="302"/>
      <c r="Q293" s="302"/>
      <c r="R293" s="302"/>
      <c r="S293" s="302"/>
    </row>
    <row r="294" spans="1:19" x14ac:dyDescent="0.2">
      <c r="A294" s="303"/>
      <c r="B294" s="303"/>
      <c r="C294" s="303"/>
      <c r="D294" s="303"/>
      <c r="E294" s="303"/>
      <c r="F294" s="303" t="s">
        <v>1931</v>
      </c>
      <c r="G294" s="303"/>
      <c r="H294" s="303"/>
      <c r="I294" s="303"/>
      <c r="J294" s="1798"/>
      <c r="K294" s="306"/>
      <c r="L294" s="306" t="s">
        <v>1041</v>
      </c>
      <c r="M294" s="303"/>
      <c r="N294" s="303"/>
      <c r="O294" s="302"/>
      <c r="P294" s="302"/>
      <c r="Q294" s="302"/>
      <c r="R294" s="302"/>
      <c r="S294" s="302"/>
    </row>
    <row r="295" spans="1:19" x14ac:dyDescent="0.2">
      <c r="A295" s="303"/>
      <c r="B295" s="303"/>
      <c r="C295" s="303"/>
      <c r="D295" s="303"/>
      <c r="E295" s="303"/>
      <c r="F295" s="303" t="s">
        <v>1932</v>
      </c>
      <c r="G295" s="303"/>
      <c r="H295" s="303"/>
      <c r="I295" s="303"/>
      <c r="J295" s="1798"/>
      <c r="K295" s="306"/>
      <c r="L295" s="306" t="s">
        <v>1041</v>
      </c>
      <c r="M295" s="303"/>
      <c r="N295" s="303"/>
      <c r="O295" s="302"/>
      <c r="P295" s="302"/>
      <c r="Q295" s="302"/>
      <c r="R295" s="302"/>
      <c r="S295" s="302"/>
    </row>
    <row r="296" spans="1:19" x14ac:dyDescent="0.2">
      <c r="A296" s="303"/>
      <c r="B296" s="303"/>
      <c r="C296" s="303"/>
      <c r="D296" s="303"/>
      <c r="E296" s="303"/>
      <c r="F296" s="303" t="s">
        <v>1933</v>
      </c>
      <c r="G296" s="303"/>
      <c r="H296" s="303"/>
      <c r="I296" s="303"/>
      <c r="J296" s="1798"/>
      <c r="K296" s="306"/>
      <c r="L296" s="306" t="s">
        <v>1041</v>
      </c>
      <c r="M296" s="303"/>
      <c r="N296" s="303"/>
      <c r="O296" s="302"/>
      <c r="P296" s="302"/>
      <c r="Q296" s="302"/>
      <c r="R296" s="302"/>
      <c r="S296" s="302"/>
    </row>
    <row r="297" spans="1:19" x14ac:dyDescent="0.2">
      <c r="A297" s="303"/>
      <c r="B297" s="303"/>
      <c r="C297" s="303"/>
      <c r="D297" s="303"/>
      <c r="E297" s="303"/>
      <c r="F297" s="303" t="s">
        <v>1934</v>
      </c>
      <c r="G297" s="303"/>
      <c r="H297" s="303"/>
      <c r="I297" s="303"/>
      <c r="J297" s="1798"/>
      <c r="K297" s="306"/>
      <c r="L297" s="306" t="s">
        <v>1041</v>
      </c>
      <c r="M297" s="303"/>
      <c r="N297" s="303"/>
      <c r="O297" s="302"/>
      <c r="P297" s="302"/>
      <c r="Q297" s="302"/>
      <c r="R297" s="302"/>
      <c r="S297" s="302"/>
    </row>
    <row r="298" spans="1:19" x14ac:dyDescent="0.2">
      <c r="A298" s="303"/>
      <c r="B298" s="303"/>
      <c r="C298" s="303"/>
      <c r="D298" s="303"/>
      <c r="E298" s="303"/>
      <c r="F298" s="303" t="s">
        <v>1935</v>
      </c>
      <c r="G298" s="303"/>
      <c r="H298" s="303"/>
      <c r="I298" s="303"/>
      <c r="J298" s="1798"/>
      <c r="K298" s="306"/>
      <c r="L298" s="306" t="s">
        <v>1041</v>
      </c>
      <c r="M298" s="303"/>
      <c r="N298" s="303"/>
      <c r="O298" s="302"/>
      <c r="P298" s="302"/>
      <c r="Q298" s="302"/>
      <c r="R298" s="302"/>
      <c r="S298" s="302"/>
    </row>
    <row r="299" spans="1:19" x14ac:dyDescent="0.2">
      <c r="A299" s="303"/>
      <c r="B299" s="303"/>
      <c r="C299" s="303"/>
      <c r="D299" s="303"/>
      <c r="E299" s="303"/>
      <c r="F299" s="303" t="s">
        <v>1936</v>
      </c>
      <c r="G299" s="303"/>
      <c r="H299" s="303"/>
      <c r="I299" s="303"/>
      <c r="J299" s="1798"/>
      <c r="K299" s="306"/>
      <c r="L299" s="306" t="s">
        <v>1041</v>
      </c>
      <c r="M299" s="303"/>
      <c r="N299" s="303"/>
      <c r="O299" s="302"/>
      <c r="P299" s="302"/>
      <c r="Q299" s="302"/>
      <c r="R299" s="302"/>
      <c r="S299" s="302"/>
    </row>
    <row r="300" spans="1:19" x14ac:dyDescent="0.2">
      <c r="A300" s="303"/>
      <c r="B300" s="303"/>
      <c r="C300" s="303"/>
      <c r="D300" s="303"/>
      <c r="E300" s="303"/>
      <c r="F300" s="303" t="s">
        <v>1937</v>
      </c>
      <c r="G300" s="303"/>
      <c r="H300" s="303"/>
      <c r="I300" s="303"/>
      <c r="J300" s="1798"/>
      <c r="K300" s="306"/>
      <c r="L300" s="306" t="s">
        <v>1041</v>
      </c>
      <c r="M300" s="303"/>
      <c r="N300" s="303"/>
      <c r="O300" s="302"/>
      <c r="P300" s="302"/>
      <c r="Q300" s="302"/>
      <c r="R300" s="302"/>
      <c r="S300" s="302"/>
    </row>
    <row r="301" spans="1:19" x14ac:dyDescent="0.2">
      <c r="A301" s="303"/>
      <c r="B301" s="303"/>
      <c r="C301" s="303"/>
      <c r="D301" s="303"/>
      <c r="E301" s="303"/>
      <c r="F301" s="303" t="s">
        <v>1938</v>
      </c>
      <c r="G301" s="303"/>
      <c r="H301" s="303"/>
      <c r="I301" s="303"/>
      <c r="J301" s="1798"/>
      <c r="K301" s="306"/>
      <c r="L301" s="306" t="s">
        <v>1041</v>
      </c>
      <c r="M301" s="303"/>
      <c r="N301" s="303"/>
      <c r="O301" s="302"/>
      <c r="P301" s="302"/>
      <c r="Q301" s="302"/>
      <c r="R301" s="302"/>
      <c r="S301" s="302"/>
    </row>
    <row r="302" spans="1:19" x14ac:dyDescent="0.2">
      <c r="A302" s="303"/>
      <c r="B302" s="303"/>
      <c r="C302" s="303"/>
      <c r="D302" s="303"/>
      <c r="E302" s="303"/>
      <c r="F302" s="303" t="s">
        <v>1939</v>
      </c>
      <c r="G302" s="303"/>
      <c r="H302" s="303"/>
      <c r="I302" s="303"/>
      <c r="J302" s="1798"/>
      <c r="K302" s="306"/>
      <c r="L302" s="306" t="s">
        <v>1041</v>
      </c>
      <c r="M302" s="303"/>
      <c r="N302" s="303"/>
      <c r="O302" s="302"/>
      <c r="P302" s="302"/>
      <c r="Q302" s="302"/>
      <c r="R302" s="302"/>
      <c r="S302" s="302"/>
    </row>
    <row r="303" spans="1:19" x14ac:dyDescent="0.2">
      <c r="A303" s="303"/>
      <c r="B303" s="303"/>
      <c r="C303" s="303"/>
      <c r="D303" s="303"/>
      <c r="E303" s="303"/>
      <c r="F303" s="303" t="s">
        <v>1940</v>
      </c>
      <c r="G303" s="303"/>
      <c r="H303" s="303"/>
      <c r="I303" s="303"/>
      <c r="J303" s="1798"/>
      <c r="K303" s="306"/>
      <c r="L303" s="306" t="s">
        <v>1041</v>
      </c>
      <c r="M303" s="303"/>
      <c r="N303" s="303"/>
      <c r="O303" s="302"/>
      <c r="P303" s="302"/>
      <c r="Q303" s="302"/>
      <c r="R303" s="302"/>
      <c r="S303" s="302"/>
    </row>
    <row r="304" spans="1:19" x14ac:dyDescent="0.2">
      <c r="A304" s="303"/>
      <c r="B304" s="303"/>
      <c r="C304" s="303"/>
      <c r="D304" s="303"/>
      <c r="E304" s="303"/>
      <c r="F304" s="303" t="s">
        <v>1941</v>
      </c>
      <c r="G304" s="303"/>
      <c r="H304" s="303"/>
      <c r="I304" s="303"/>
      <c r="J304" s="1798"/>
      <c r="K304" s="306"/>
      <c r="L304" s="306" t="s">
        <v>1041</v>
      </c>
      <c r="M304" s="303"/>
      <c r="N304" s="303"/>
      <c r="O304" s="302"/>
      <c r="P304" s="302"/>
      <c r="Q304" s="302"/>
      <c r="R304" s="302"/>
      <c r="S304" s="302"/>
    </row>
    <row r="305" spans="1:19" x14ac:dyDescent="0.2">
      <c r="A305" s="303"/>
      <c r="B305" s="303"/>
      <c r="C305" s="303"/>
      <c r="D305" s="303"/>
      <c r="E305" s="303"/>
      <c r="F305" s="303" t="s">
        <v>1942</v>
      </c>
      <c r="G305" s="303"/>
      <c r="H305" s="303"/>
      <c r="I305" s="303"/>
      <c r="J305" s="1798"/>
      <c r="K305" s="306"/>
      <c r="L305" s="306" t="s">
        <v>1041</v>
      </c>
      <c r="M305" s="303"/>
      <c r="N305" s="303"/>
      <c r="O305" s="302"/>
      <c r="P305" s="302"/>
      <c r="Q305" s="302"/>
      <c r="R305" s="302"/>
      <c r="S305" s="302"/>
    </row>
    <row r="306" spans="1:19" x14ac:dyDescent="0.2">
      <c r="A306" s="303"/>
      <c r="B306" s="303"/>
      <c r="C306" s="303"/>
      <c r="D306" s="303"/>
      <c r="E306" s="303"/>
      <c r="F306" s="303" t="s">
        <v>1943</v>
      </c>
      <c r="G306" s="303"/>
      <c r="H306" s="303"/>
      <c r="I306" s="303"/>
      <c r="J306" s="1798"/>
      <c r="K306" s="306"/>
      <c r="L306" s="306" t="s">
        <v>1041</v>
      </c>
      <c r="M306" s="303"/>
      <c r="N306" s="303"/>
      <c r="O306" s="302"/>
      <c r="P306" s="302"/>
      <c r="Q306" s="302"/>
      <c r="R306" s="302"/>
      <c r="S306" s="302"/>
    </row>
    <row r="307" spans="1:19" x14ac:dyDescent="0.2">
      <c r="A307" s="303"/>
      <c r="B307" s="303"/>
      <c r="C307" s="303"/>
      <c r="D307" s="303"/>
      <c r="E307" s="303"/>
      <c r="F307" s="303" t="s">
        <v>1944</v>
      </c>
      <c r="G307" s="303"/>
      <c r="H307" s="303"/>
      <c r="I307" s="303"/>
      <c r="J307" s="1798"/>
      <c r="K307" s="306"/>
      <c r="L307" s="306" t="s">
        <v>1041</v>
      </c>
      <c r="M307" s="303"/>
      <c r="N307" s="303"/>
      <c r="O307" s="302"/>
      <c r="P307" s="302"/>
      <c r="Q307" s="302"/>
      <c r="R307" s="302"/>
      <c r="S307" s="302"/>
    </row>
    <row r="308" spans="1:19" x14ac:dyDescent="0.2">
      <c r="A308" s="303"/>
      <c r="B308" s="303"/>
      <c r="C308" s="303"/>
      <c r="D308" s="303"/>
      <c r="E308" s="303"/>
      <c r="F308" s="303" t="s">
        <v>1945</v>
      </c>
      <c r="G308" s="303"/>
      <c r="H308" s="303"/>
      <c r="I308" s="303"/>
      <c r="J308" s="1798"/>
      <c r="K308" s="306"/>
      <c r="L308" s="306" t="s">
        <v>1041</v>
      </c>
      <c r="M308" s="303"/>
      <c r="N308" s="303"/>
      <c r="O308" s="302"/>
      <c r="P308" s="302"/>
      <c r="Q308" s="302"/>
      <c r="R308" s="302"/>
      <c r="S308" s="302"/>
    </row>
    <row r="309" spans="1:19" x14ac:dyDescent="0.2">
      <c r="A309" s="303"/>
      <c r="B309" s="303"/>
      <c r="C309" s="303"/>
      <c r="D309" s="303"/>
      <c r="E309" s="303"/>
      <c r="F309" s="303" t="s">
        <v>1946</v>
      </c>
      <c r="G309" s="303"/>
      <c r="H309" s="303"/>
      <c r="I309" s="303"/>
      <c r="J309" s="1798"/>
      <c r="K309" s="306"/>
      <c r="L309" s="306" t="s">
        <v>1041</v>
      </c>
      <c r="M309" s="303"/>
      <c r="N309" s="303"/>
      <c r="O309" s="302"/>
      <c r="P309" s="302"/>
      <c r="Q309" s="302"/>
      <c r="R309" s="302"/>
      <c r="S309" s="302"/>
    </row>
    <row r="310" spans="1:19" x14ac:dyDescent="0.2">
      <c r="A310" s="303"/>
      <c r="B310" s="303"/>
      <c r="C310" s="303"/>
      <c r="D310" s="303"/>
      <c r="E310" s="303"/>
      <c r="F310" s="303" t="s">
        <v>1947</v>
      </c>
      <c r="G310" s="303"/>
      <c r="H310" s="303"/>
      <c r="I310" s="303"/>
      <c r="J310" s="1798"/>
      <c r="K310" s="306"/>
      <c r="L310" s="306" t="s">
        <v>1041</v>
      </c>
      <c r="M310" s="303"/>
      <c r="N310" s="303"/>
      <c r="O310" s="302"/>
      <c r="P310" s="302"/>
      <c r="Q310" s="302"/>
      <c r="R310" s="302"/>
      <c r="S310" s="302"/>
    </row>
    <row r="311" spans="1:19" x14ac:dyDescent="0.2">
      <c r="A311" s="303"/>
      <c r="B311" s="303"/>
      <c r="C311" s="303"/>
      <c r="D311" s="303"/>
      <c r="E311" s="303"/>
      <c r="F311" s="303" t="s">
        <v>1948</v>
      </c>
      <c r="G311" s="303"/>
      <c r="H311" s="303"/>
      <c r="I311" s="303"/>
      <c r="J311" s="1798"/>
      <c r="K311" s="306"/>
      <c r="L311" s="306" t="s">
        <v>1041</v>
      </c>
      <c r="M311" s="303"/>
      <c r="N311" s="303"/>
      <c r="O311" s="302"/>
      <c r="P311" s="302"/>
      <c r="Q311" s="302"/>
      <c r="R311" s="302"/>
      <c r="S311" s="302"/>
    </row>
    <row r="312" spans="1:19" x14ac:dyDescent="0.2">
      <c r="A312" s="303"/>
      <c r="B312" s="303"/>
      <c r="C312" s="303"/>
      <c r="D312" s="303"/>
      <c r="E312" s="303"/>
      <c r="F312" s="303" t="s">
        <v>1949</v>
      </c>
      <c r="G312" s="303"/>
      <c r="H312" s="303"/>
      <c r="I312" s="303"/>
      <c r="J312" s="1798"/>
      <c r="K312" s="306"/>
      <c r="L312" s="306" t="s">
        <v>1041</v>
      </c>
      <c r="M312" s="303"/>
      <c r="N312" s="303"/>
      <c r="O312" s="302"/>
      <c r="P312" s="302"/>
      <c r="Q312" s="302"/>
      <c r="R312" s="302"/>
      <c r="S312" s="302"/>
    </row>
    <row r="313" spans="1:19" x14ac:dyDescent="0.2">
      <c r="A313" s="303"/>
      <c r="B313" s="303"/>
      <c r="C313" s="303"/>
      <c r="D313" s="303"/>
      <c r="E313" s="303"/>
      <c r="F313" s="303" t="s">
        <v>1950</v>
      </c>
      <c r="G313" s="303"/>
      <c r="H313" s="303"/>
      <c r="I313" s="303"/>
      <c r="J313" s="1798"/>
      <c r="K313" s="306"/>
      <c r="L313" s="306" t="s">
        <v>1041</v>
      </c>
      <c r="M313" s="303"/>
      <c r="N313" s="303"/>
      <c r="O313" s="302"/>
      <c r="P313" s="302"/>
      <c r="Q313" s="302"/>
      <c r="R313" s="302"/>
      <c r="S313" s="302"/>
    </row>
    <row r="314" spans="1:19" x14ac:dyDescent="0.2">
      <c r="A314" s="303"/>
      <c r="B314" s="303"/>
      <c r="C314" s="303"/>
      <c r="D314" s="303"/>
      <c r="E314" s="303"/>
      <c r="F314" s="303" t="s">
        <v>1951</v>
      </c>
      <c r="G314" s="303"/>
      <c r="H314" s="303"/>
      <c r="I314" s="303"/>
      <c r="J314" s="1798"/>
      <c r="K314" s="306"/>
      <c r="L314" s="306" t="s">
        <v>1041</v>
      </c>
      <c r="M314" s="303"/>
      <c r="N314" s="303"/>
      <c r="O314" s="302"/>
      <c r="P314" s="302"/>
      <c r="Q314" s="302"/>
      <c r="R314" s="302"/>
      <c r="S314" s="302"/>
    </row>
    <row r="315" spans="1:19" x14ac:dyDescent="0.2">
      <c r="A315" s="303"/>
      <c r="B315" s="303"/>
      <c r="C315" s="303"/>
      <c r="D315" s="303"/>
      <c r="E315" s="303"/>
      <c r="F315" s="303" t="s">
        <v>1952</v>
      </c>
      <c r="G315" s="303"/>
      <c r="H315" s="303"/>
      <c r="I315" s="303"/>
      <c r="J315" s="1798"/>
      <c r="K315" s="306"/>
      <c r="L315" s="306" t="s">
        <v>1041</v>
      </c>
      <c r="M315" s="303"/>
      <c r="N315" s="303"/>
      <c r="O315" s="302"/>
      <c r="P315" s="302"/>
      <c r="Q315" s="302"/>
      <c r="R315" s="302"/>
      <c r="S315" s="302"/>
    </row>
    <row r="316" spans="1:19" x14ac:dyDescent="0.2">
      <c r="A316" s="303"/>
      <c r="B316" s="303"/>
      <c r="C316" s="303"/>
      <c r="D316" s="303"/>
      <c r="E316" s="303"/>
      <c r="F316" s="303" t="s">
        <v>1953</v>
      </c>
      <c r="G316" s="303"/>
      <c r="H316" s="303"/>
      <c r="I316" s="303"/>
      <c r="J316" s="1798"/>
      <c r="K316" s="306"/>
      <c r="L316" s="306" t="s">
        <v>1041</v>
      </c>
      <c r="M316" s="303"/>
      <c r="N316" s="303"/>
      <c r="O316" s="302"/>
      <c r="P316" s="302"/>
      <c r="Q316" s="302"/>
      <c r="R316" s="302"/>
      <c r="S316" s="302"/>
    </row>
    <row r="317" spans="1:19" x14ac:dyDescent="0.2">
      <c r="A317" s="303"/>
      <c r="B317" s="303"/>
      <c r="C317" s="303"/>
      <c r="D317" s="303"/>
      <c r="E317" s="303"/>
      <c r="F317" s="303" t="s">
        <v>1954</v>
      </c>
      <c r="G317" s="303"/>
      <c r="H317" s="303"/>
      <c r="I317" s="303"/>
      <c r="J317" s="1798"/>
      <c r="K317" s="306"/>
      <c r="L317" s="306" t="s">
        <v>1041</v>
      </c>
      <c r="M317" s="303"/>
      <c r="N317" s="303"/>
      <c r="O317" s="302"/>
      <c r="P317" s="302"/>
      <c r="Q317" s="302"/>
      <c r="R317" s="302"/>
      <c r="S317" s="302"/>
    </row>
    <row r="318" spans="1:19" x14ac:dyDescent="0.2">
      <c r="A318" s="303"/>
      <c r="B318" s="303"/>
      <c r="C318" s="303"/>
      <c r="D318" s="303"/>
      <c r="E318" s="303"/>
      <c r="F318" s="303" t="s">
        <v>1955</v>
      </c>
      <c r="G318" s="303"/>
      <c r="H318" s="303"/>
      <c r="I318" s="303"/>
      <c r="J318" s="1798"/>
      <c r="K318" s="306"/>
      <c r="L318" s="306" t="s">
        <v>1041</v>
      </c>
      <c r="M318" s="303"/>
      <c r="N318" s="303"/>
      <c r="O318" s="302"/>
      <c r="P318" s="302"/>
      <c r="Q318" s="302"/>
      <c r="R318" s="302"/>
      <c r="S318" s="302"/>
    </row>
    <row r="319" spans="1:19" x14ac:dyDescent="0.2">
      <c r="A319" s="303"/>
      <c r="B319" s="303"/>
      <c r="C319" s="303"/>
      <c r="D319" s="303"/>
      <c r="E319" s="303"/>
      <c r="F319" s="303" t="s">
        <v>1956</v>
      </c>
      <c r="G319" s="303"/>
      <c r="H319" s="303"/>
      <c r="I319" s="303"/>
      <c r="J319" s="1798"/>
      <c r="K319" s="306"/>
      <c r="L319" s="306" t="s">
        <v>1041</v>
      </c>
      <c r="M319" s="303"/>
      <c r="N319" s="303"/>
      <c r="O319" s="302"/>
      <c r="P319" s="302"/>
      <c r="Q319" s="302"/>
      <c r="R319" s="302"/>
      <c r="S319" s="302"/>
    </row>
    <row r="320" spans="1:19" x14ac:dyDescent="0.2">
      <c r="A320" s="303"/>
      <c r="B320" s="303"/>
      <c r="C320" s="303"/>
      <c r="D320" s="303"/>
      <c r="E320" s="303"/>
      <c r="F320" s="303" t="s">
        <v>1957</v>
      </c>
      <c r="G320" s="303"/>
      <c r="H320" s="303"/>
      <c r="I320" s="303"/>
      <c r="J320" s="1798"/>
      <c r="K320" s="306"/>
      <c r="L320" s="306" t="s">
        <v>1041</v>
      </c>
      <c r="M320" s="303"/>
      <c r="N320" s="303"/>
      <c r="O320" s="302"/>
      <c r="P320" s="302"/>
      <c r="Q320" s="302"/>
      <c r="R320" s="302"/>
      <c r="S320" s="302"/>
    </row>
    <row r="321" spans="1:19" x14ac:dyDescent="0.2">
      <c r="A321" s="303"/>
      <c r="B321" s="303"/>
      <c r="C321" s="303"/>
      <c r="D321" s="303"/>
      <c r="E321" s="303"/>
      <c r="F321" s="303" t="s">
        <v>1958</v>
      </c>
      <c r="G321" s="303"/>
      <c r="H321" s="303"/>
      <c r="I321" s="303"/>
      <c r="J321" s="1798"/>
      <c r="K321" s="306"/>
      <c r="L321" s="306" t="s">
        <v>1041</v>
      </c>
      <c r="M321" s="303"/>
      <c r="N321" s="303"/>
      <c r="O321" s="302"/>
      <c r="P321" s="302"/>
      <c r="Q321" s="302"/>
      <c r="R321" s="302"/>
      <c r="S321" s="302"/>
    </row>
    <row r="322" spans="1:19" x14ac:dyDescent="0.2">
      <c r="A322" s="303"/>
      <c r="B322" s="303"/>
      <c r="C322" s="303"/>
      <c r="D322" s="303"/>
      <c r="E322" s="303"/>
      <c r="F322" s="303" t="s">
        <v>1959</v>
      </c>
      <c r="G322" s="303"/>
      <c r="H322" s="303"/>
      <c r="I322" s="303"/>
      <c r="J322" s="1798"/>
      <c r="K322" s="306"/>
      <c r="L322" s="306" t="s">
        <v>1041</v>
      </c>
      <c r="M322" s="303"/>
      <c r="N322" s="303"/>
      <c r="O322" s="302"/>
      <c r="P322" s="302"/>
      <c r="Q322" s="302"/>
      <c r="R322" s="302"/>
      <c r="S322" s="302"/>
    </row>
    <row r="323" spans="1:19" x14ac:dyDescent="0.2">
      <c r="A323" s="303"/>
      <c r="B323" s="303"/>
      <c r="C323" s="303"/>
      <c r="D323" s="303"/>
      <c r="E323" s="303"/>
      <c r="F323" s="303" t="s">
        <v>1960</v>
      </c>
      <c r="G323" s="303"/>
      <c r="H323" s="303"/>
      <c r="I323" s="303"/>
      <c r="J323" s="1798"/>
      <c r="K323" s="306"/>
      <c r="L323" s="306" t="s">
        <v>1041</v>
      </c>
      <c r="M323" s="303"/>
      <c r="N323" s="303"/>
      <c r="O323" s="302"/>
      <c r="P323" s="302"/>
      <c r="Q323" s="302"/>
      <c r="R323" s="302"/>
      <c r="S323" s="302"/>
    </row>
    <row r="324" spans="1:19" x14ac:dyDescent="0.2">
      <c r="A324" s="303"/>
      <c r="B324" s="303"/>
      <c r="C324" s="303"/>
      <c r="D324" s="303"/>
      <c r="E324" s="303"/>
      <c r="F324" s="303" t="s">
        <v>1961</v>
      </c>
      <c r="G324" s="303"/>
      <c r="H324" s="303"/>
      <c r="I324" s="303"/>
      <c r="J324" s="1798"/>
      <c r="K324" s="306"/>
      <c r="L324" s="306" t="s">
        <v>1041</v>
      </c>
      <c r="M324" s="303"/>
      <c r="N324" s="303"/>
      <c r="O324" s="302"/>
      <c r="P324" s="302"/>
      <c r="Q324" s="302"/>
      <c r="R324" s="302"/>
      <c r="S324" s="302"/>
    </row>
    <row r="325" spans="1:19" x14ac:dyDescent="0.2">
      <c r="A325" s="303"/>
      <c r="B325" s="303"/>
      <c r="C325" s="303"/>
      <c r="D325" s="303"/>
      <c r="E325" s="303"/>
      <c r="F325" s="303" t="s">
        <v>1962</v>
      </c>
      <c r="G325" s="303"/>
      <c r="H325" s="303"/>
      <c r="I325" s="303"/>
      <c r="J325" s="1798"/>
      <c r="K325" s="306"/>
      <c r="L325" s="306" t="s">
        <v>1041</v>
      </c>
      <c r="M325" s="303"/>
      <c r="N325" s="303"/>
      <c r="O325" s="302"/>
      <c r="P325" s="302"/>
      <c r="Q325" s="302"/>
      <c r="R325" s="302"/>
      <c r="S325" s="302"/>
    </row>
    <row r="326" spans="1:19" x14ac:dyDescent="0.2">
      <c r="A326" s="303"/>
      <c r="B326" s="303"/>
      <c r="C326" s="303"/>
      <c r="D326" s="303"/>
      <c r="E326" s="303"/>
      <c r="F326" s="303" t="s">
        <v>1963</v>
      </c>
      <c r="G326" s="303"/>
      <c r="H326" s="303"/>
      <c r="I326" s="303"/>
      <c r="J326" s="1798"/>
      <c r="K326" s="306"/>
      <c r="L326" s="306" t="s">
        <v>1041</v>
      </c>
      <c r="M326" s="303"/>
      <c r="N326" s="303"/>
      <c r="O326" s="302"/>
      <c r="P326" s="302"/>
      <c r="Q326" s="302"/>
      <c r="R326" s="302"/>
      <c r="S326" s="302"/>
    </row>
    <row r="327" spans="1:19" x14ac:dyDescent="0.2">
      <c r="A327" s="303"/>
      <c r="B327" s="303"/>
      <c r="C327" s="303"/>
      <c r="D327" s="303"/>
      <c r="E327" s="303"/>
      <c r="F327" s="303" t="s">
        <v>1964</v>
      </c>
      <c r="G327" s="303"/>
      <c r="H327" s="303"/>
      <c r="I327" s="303"/>
      <c r="J327" s="1798"/>
      <c r="K327" s="306"/>
      <c r="L327" s="306" t="s">
        <v>1041</v>
      </c>
      <c r="M327" s="303"/>
      <c r="N327" s="303"/>
      <c r="O327" s="302"/>
      <c r="P327" s="302"/>
      <c r="Q327" s="302"/>
      <c r="R327" s="302"/>
      <c r="S327" s="302"/>
    </row>
    <row r="328" spans="1:19" x14ac:dyDescent="0.2">
      <c r="A328" s="303"/>
      <c r="B328" s="303"/>
      <c r="C328" s="303"/>
      <c r="D328" s="303"/>
      <c r="E328" s="303"/>
      <c r="F328" s="303" t="s">
        <v>1965</v>
      </c>
      <c r="G328" s="303"/>
      <c r="H328" s="303"/>
      <c r="I328" s="303"/>
      <c r="J328" s="1798"/>
      <c r="K328" s="306"/>
      <c r="L328" s="306" t="s">
        <v>1041</v>
      </c>
      <c r="M328" s="303"/>
      <c r="N328" s="303"/>
      <c r="O328" s="302"/>
      <c r="P328" s="302"/>
      <c r="Q328" s="302"/>
      <c r="R328" s="302"/>
      <c r="S328" s="302"/>
    </row>
    <row r="329" spans="1:19" x14ac:dyDescent="0.2">
      <c r="A329" s="303"/>
      <c r="B329" s="303"/>
      <c r="C329" s="303"/>
      <c r="D329" s="303"/>
      <c r="E329" s="303"/>
      <c r="F329" s="303" t="s">
        <v>1966</v>
      </c>
      <c r="G329" s="303"/>
      <c r="H329" s="303"/>
      <c r="I329" s="303"/>
      <c r="J329" s="1798"/>
      <c r="K329" s="306"/>
      <c r="L329" s="306" t="s">
        <v>1041</v>
      </c>
      <c r="M329" s="303"/>
      <c r="N329" s="303"/>
      <c r="O329" s="302"/>
      <c r="P329" s="302"/>
      <c r="Q329" s="302"/>
      <c r="R329" s="302"/>
      <c r="S329" s="302"/>
    </row>
    <row r="330" spans="1:19" x14ac:dyDescent="0.2">
      <c r="A330" s="303"/>
      <c r="B330" s="303"/>
      <c r="C330" s="303"/>
      <c r="D330" s="303"/>
      <c r="E330" s="303"/>
      <c r="F330" s="303" t="s">
        <v>1967</v>
      </c>
      <c r="G330" s="303"/>
      <c r="H330" s="303"/>
      <c r="I330" s="303"/>
      <c r="J330" s="1798"/>
      <c r="K330" s="306"/>
      <c r="L330" s="306" t="s">
        <v>1041</v>
      </c>
      <c r="M330" s="303"/>
      <c r="N330" s="303"/>
      <c r="O330" s="302"/>
      <c r="P330" s="302"/>
      <c r="Q330" s="302"/>
      <c r="R330" s="302"/>
      <c r="S330" s="302"/>
    </row>
    <row r="331" spans="1:19" x14ac:dyDescent="0.2">
      <c r="A331" s="303"/>
      <c r="B331" s="303"/>
      <c r="C331" s="303"/>
      <c r="D331" s="303"/>
      <c r="E331" s="303"/>
      <c r="F331" s="303" t="s">
        <v>1968</v>
      </c>
      <c r="G331" s="303"/>
      <c r="H331" s="303"/>
      <c r="I331" s="303"/>
      <c r="J331" s="1798"/>
      <c r="K331" s="306"/>
      <c r="L331" s="306" t="s">
        <v>1041</v>
      </c>
      <c r="M331" s="303"/>
      <c r="N331" s="303"/>
      <c r="O331" s="302"/>
      <c r="P331" s="302"/>
      <c r="Q331" s="302"/>
      <c r="R331" s="302"/>
      <c r="S331" s="302"/>
    </row>
    <row r="332" spans="1:19" x14ac:dyDescent="0.2">
      <c r="A332" s="303"/>
      <c r="B332" s="303"/>
      <c r="C332" s="303"/>
      <c r="D332" s="303"/>
      <c r="E332" s="303"/>
      <c r="F332" s="303" t="s">
        <v>1969</v>
      </c>
      <c r="G332" s="303"/>
      <c r="H332" s="303"/>
      <c r="I332" s="303"/>
      <c r="J332" s="1798"/>
      <c r="K332" s="306"/>
      <c r="L332" s="306" t="s">
        <v>1041</v>
      </c>
      <c r="M332" s="303"/>
      <c r="N332" s="303"/>
      <c r="O332" s="302"/>
      <c r="P332" s="302"/>
      <c r="Q332" s="302"/>
      <c r="R332" s="302"/>
      <c r="S332" s="302"/>
    </row>
    <row r="333" spans="1:19" x14ac:dyDescent="0.2">
      <c r="A333" s="303"/>
      <c r="B333" s="303"/>
      <c r="C333" s="303"/>
      <c r="D333" s="303"/>
      <c r="E333" s="303"/>
      <c r="F333" s="303" t="s">
        <v>1970</v>
      </c>
      <c r="G333" s="303"/>
      <c r="H333" s="303"/>
      <c r="I333" s="303"/>
      <c r="J333" s="1798"/>
      <c r="K333" s="306"/>
      <c r="L333" s="306" t="s">
        <v>1041</v>
      </c>
      <c r="M333" s="303"/>
      <c r="N333" s="303"/>
      <c r="O333" s="302"/>
      <c r="P333" s="302"/>
      <c r="Q333" s="302"/>
      <c r="R333" s="302"/>
      <c r="S333" s="302"/>
    </row>
    <row r="334" spans="1:19" x14ac:dyDescent="0.2">
      <c r="A334" s="303"/>
      <c r="B334" s="303"/>
      <c r="C334" s="303"/>
      <c r="D334" s="303"/>
      <c r="E334" s="303"/>
      <c r="F334" s="303" t="s">
        <v>1971</v>
      </c>
      <c r="G334" s="303"/>
      <c r="H334" s="303"/>
      <c r="I334" s="303"/>
      <c r="J334" s="1798"/>
      <c r="K334" s="306"/>
      <c r="L334" s="306" t="s">
        <v>1041</v>
      </c>
      <c r="M334" s="303"/>
      <c r="N334" s="303"/>
      <c r="O334" s="302"/>
      <c r="P334" s="302"/>
      <c r="Q334" s="302"/>
      <c r="R334" s="302"/>
      <c r="S334" s="302"/>
    </row>
    <row r="335" spans="1:19" x14ac:dyDescent="0.2">
      <c r="A335" s="303"/>
      <c r="B335" s="303"/>
      <c r="C335" s="303"/>
      <c r="D335" s="303"/>
      <c r="E335" s="303"/>
      <c r="F335" s="303" t="s">
        <v>1972</v>
      </c>
      <c r="G335" s="303"/>
      <c r="H335" s="303"/>
      <c r="I335" s="303"/>
      <c r="J335" s="1798"/>
      <c r="K335" s="306"/>
      <c r="L335" s="306" t="s">
        <v>1041</v>
      </c>
      <c r="M335" s="303"/>
      <c r="N335" s="303"/>
      <c r="O335" s="302"/>
      <c r="P335" s="302"/>
      <c r="Q335" s="302"/>
      <c r="R335" s="302"/>
      <c r="S335" s="302"/>
    </row>
    <row r="336" spans="1:19" x14ac:dyDescent="0.2">
      <c r="A336" s="303"/>
      <c r="B336" s="303"/>
      <c r="C336" s="303"/>
      <c r="D336" s="303"/>
      <c r="E336" s="303"/>
      <c r="F336" s="303" t="s">
        <v>1973</v>
      </c>
      <c r="G336" s="303"/>
      <c r="H336" s="303"/>
      <c r="I336" s="303"/>
      <c r="J336" s="1798"/>
      <c r="K336" s="306"/>
      <c r="L336" s="306" t="s">
        <v>1041</v>
      </c>
      <c r="M336" s="303"/>
      <c r="N336" s="303"/>
      <c r="O336" s="302"/>
      <c r="P336" s="302"/>
      <c r="Q336" s="302"/>
      <c r="R336" s="302"/>
      <c r="S336" s="302"/>
    </row>
    <row r="337" spans="1:19" x14ac:dyDescent="0.2">
      <c r="A337" s="303"/>
      <c r="B337" s="303"/>
      <c r="C337" s="303"/>
      <c r="D337" s="303"/>
      <c r="E337" s="303"/>
      <c r="F337" s="303" t="s">
        <v>1974</v>
      </c>
      <c r="G337" s="303"/>
      <c r="H337" s="303"/>
      <c r="I337" s="303"/>
      <c r="J337" s="1798"/>
      <c r="K337" s="306"/>
      <c r="L337" s="306" t="s">
        <v>1041</v>
      </c>
      <c r="M337" s="303"/>
      <c r="N337" s="303"/>
      <c r="O337" s="302"/>
      <c r="P337" s="302"/>
      <c r="Q337" s="302"/>
      <c r="R337" s="302"/>
      <c r="S337" s="302"/>
    </row>
    <row r="338" spans="1:19" x14ac:dyDescent="0.2">
      <c r="A338" s="303"/>
      <c r="B338" s="303"/>
      <c r="C338" s="303"/>
      <c r="D338" s="303"/>
      <c r="E338" s="303"/>
      <c r="F338" s="303" t="s">
        <v>1975</v>
      </c>
      <c r="G338" s="303"/>
      <c r="H338" s="303"/>
      <c r="I338" s="303"/>
      <c r="J338" s="1798"/>
      <c r="K338" s="306"/>
      <c r="L338" s="306" t="s">
        <v>1041</v>
      </c>
      <c r="M338" s="303"/>
      <c r="N338" s="303"/>
      <c r="O338" s="302"/>
      <c r="P338" s="302"/>
      <c r="Q338" s="302"/>
      <c r="R338" s="302"/>
      <c r="S338" s="302"/>
    </row>
    <row r="339" spans="1:19" x14ac:dyDescent="0.2">
      <c r="A339" s="303"/>
      <c r="B339" s="303"/>
      <c r="C339" s="303"/>
      <c r="D339" s="303"/>
      <c r="E339" s="303"/>
      <c r="F339" s="303" t="s">
        <v>1976</v>
      </c>
      <c r="G339" s="303"/>
      <c r="H339" s="303"/>
      <c r="I339" s="303"/>
      <c r="J339" s="1798"/>
      <c r="K339" s="306"/>
      <c r="L339" s="306" t="s">
        <v>1041</v>
      </c>
      <c r="M339" s="303"/>
      <c r="N339" s="303"/>
      <c r="O339" s="302"/>
      <c r="P339" s="302"/>
      <c r="Q339" s="302"/>
      <c r="R339" s="302"/>
      <c r="S339" s="302"/>
    </row>
    <row r="340" spans="1:19" x14ac:dyDescent="0.2">
      <c r="A340" s="303"/>
      <c r="B340" s="303"/>
      <c r="C340" s="303"/>
      <c r="D340" s="303"/>
      <c r="E340" s="303"/>
      <c r="F340" s="303" t="s">
        <v>1977</v>
      </c>
      <c r="G340" s="303"/>
      <c r="H340" s="303"/>
      <c r="I340" s="303"/>
      <c r="J340" s="1798"/>
      <c r="K340" s="303"/>
      <c r="L340" s="303" t="s">
        <v>1041</v>
      </c>
      <c r="M340" s="303"/>
      <c r="N340" s="303"/>
      <c r="O340" s="302"/>
      <c r="P340" s="302"/>
      <c r="Q340" s="302"/>
      <c r="R340" s="302"/>
      <c r="S340" s="302"/>
    </row>
    <row r="341" spans="1:19" x14ac:dyDescent="0.2">
      <c r="A341" s="303"/>
      <c r="B341" s="303"/>
      <c r="C341" s="303"/>
      <c r="D341" s="303"/>
      <c r="E341" s="303"/>
      <c r="F341" s="303" t="s">
        <v>1978</v>
      </c>
      <c r="G341" s="303"/>
      <c r="H341" s="303"/>
      <c r="I341" s="303"/>
      <c r="J341" s="1798"/>
      <c r="K341" s="303"/>
      <c r="L341" s="303" t="s">
        <v>1041</v>
      </c>
      <c r="M341" s="303"/>
      <c r="N341" s="303"/>
      <c r="O341" s="302"/>
      <c r="P341" s="302"/>
      <c r="Q341" s="302"/>
      <c r="R341" s="302"/>
      <c r="S341" s="302"/>
    </row>
    <row r="342" spans="1:19" x14ac:dyDescent="0.2">
      <c r="A342" s="303"/>
      <c r="B342" s="303"/>
      <c r="C342" s="303"/>
      <c r="D342" s="303"/>
      <c r="E342" s="303"/>
      <c r="F342" s="303" t="s">
        <v>1979</v>
      </c>
      <c r="G342" s="303"/>
      <c r="H342" s="303"/>
      <c r="I342" s="303"/>
      <c r="J342" s="1798"/>
      <c r="K342" s="303"/>
      <c r="L342" s="303" t="s">
        <v>1041</v>
      </c>
      <c r="M342" s="303"/>
      <c r="N342" s="303"/>
      <c r="O342" s="302"/>
      <c r="P342" s="302"/>
      <c r="Q342" s="302"/>
      <c r="R342" s="302"/>
      <c r="S342" s="302"/>
    </row>
    <row r="343" spans="1:19" x14ac:dyDescent="0.2">
      <c r="A343" s="303"/>
      <c r="B343" s="303"/>
      <c r="C343" s="303"/>
      <c r="D343" s="303"/>
      <c r="E343" s="303"/>
      <c r="F343" s="303" t="s">
        <v>1980</v>
      </c>
      <c r="G343" s="303"/>
      <c r="H343" s="303"/>
      <c r="I343" s="303"/>
      <c r="J343" s="1798"/>
      <c r="K343" s="303"/>
      <c r="L343" s="303" t="s">
        <v>1041</v>
      </c>
      <c r="M343" s="303"/>
      <c r="N343" s="303"/>
      <c r="O343" s="302"/>
      <c r="P343" s="302"/>
      <c r="Q343" s="302"/>
      <c r="R343" s="302"/>
      <c r="S343" s="302"/>
    </row>
    <row r="344" spans="1:19" x14ac:dyDescent="0.2">
      <c r="A344" s="303"/>
      <c r="B344" s="303"/>
      <c r="C344" s="303"/>
      <c r="D344" s="303"/>
      <c r="E344" s="303"/>
      <c r="F344" s="303" t="s">
        <v>1981</v>
      </c>
      <c r="G344" s="303"/>
      <c r="H344" s="303"/>
      <c r="I344" s="303"/>
      <c r="J344" s="1798"/>
      <c r="K344" s="303"/>
      <c r="L344" s="303" t="s">
        <v>1041</v>
      </c>
      <c r="M344" s="303"/>
      <c r="N344" s="303"/>
      <c r="O344" s="302"/>
      <c r="P344" s="302"/>
      <c r="Q344" s="302"/>
      <c r="R344" s="302"/>
      <c r="S344" s="302"/>
    </row>
    <row r="345" spans="1:19" x14ac:dyDescent="0.2">
      <c r="A345" s="303"/>
      <c r="B345" s="303"/>
      <c r="C345" s="303"/>
      <c r="D345" s="303"/>
      <c r="E345" s="303"/>
      <c r="F345" s="303" t="s">
        <v>1982</v>
      </c>
      <c r="G345" s="303"/>
      <c r="H345" s="303"/>
      <c r="I345" s="303"/>
      <c r="J345" s="1798"/>
      <c r="K345" s="303"/>
      <c r="L345" s="303" t="s">
        <v>1041</v>
      </c>
      <c r="M345" s="303"/>
      <c r="N345" s="303"/>
      <c r="O345" s="302"/>
      <c r="P345" s="302"/>
      <c r="Q345" s="302"/>
      <c r="R345" s="302"/>
      <c r="S345" s="302"/>
    </row>
    <row r="346" spans="1:19" x14ac:dyDescent="0.2">
      <c r="A346" s="303"/>
      <c r="B346" s="303"/>
      <c r="C346" s="303"/>
      <c r="D346" s="303"/>
      <c r="E346" s="303"/>
      <c r="F346" s="303" t="s">
        <v>1983</v>
      </c>
      <c r="G346" s="303"/>
      <c r="H346" s="303"/>
      <c r="I346" s="303"/>
      <c r="J346" s="1798"/>
      <c r="K346" s="303"/>
      <c r="L346" s="303" t="s">
        <v>1041</v>
      </c>
      <c r="M346" s="303"/>
      <c r="N346" s="303"/>
      <c r="O346" s="302"/>
      <c r="P346" s="302"/>
      <c r="Q346" s="302"/>
      <c r="R346" s="302"/>
      <c r="S346" s="302"/>
    </row>
    <row r="347" spans="1:19" x14ac:dyDescent="0.2">
      <c r="A347" s="303"/>
      <c r="B347" s="303"/>
      <c r="C347" s="303"/>
      <c r="D347" s="303"/>
      <c r="E347" s="303"/>
      <c r="F347" s="303" t="s">
        <v>1984</v>
      </c>
      <c r="G347" s="303"/>
      <c r="H347" s="303"/>
      <c r="I347" s="303"/>
      <c r="J347" s="1798"/>
      <c r="K347" s="303"/>
      <c r="L347" s="303" t="s">
        <v>1041</v>
      </c>
      <c r="M347" s="303"/>
      <c r="N347" s="303"/>
      <c r="O347" s="302"/>
      <c r="P347" s="302"/>
      <c r="Q347" s="302"/>
      <c r="R347" s="302"/>
      <c r="S347" s="302"/>
    </row>
    <row r="348" spans="1:19" x14ac:dyDescent="0.2">
      <c r="A348" s="303"/>
      <c r="B348" s="303"/>
      <c r="C348" s="303"/>
      <c r="D348" s="303"/>
      <c r="E348" s="303"/>
      <c r="F348" s="303" t="s">
        <v>1985</v>
      </c>
      <c r="G348" s="303"/>
      <c r="H348" s="303"/>
      <c r="I348" s="303"/>
      <c r="J348" s="1798"/>
      <c r="K348" s="303"/>
      <c r="L348" s="303" t="s">
        <v>1041</v>
      </c>
      <c r="M348" s="303"/>
      <c r="N348" s="303"/>
      <c r="O348" s="302"/>
      <c r="P348" s="302"/>
      <c r="Q348" s="302"/>
      <c r="R348" s="302"/>
      <c r="S348" s="302"/>
    </row>
    <row r="349" spans="1:19" x14ac:dyDescent="0.2">
      <c r="A349" s="303"/>
      <c r="B349" s="303"/>
      <c r="C349" s="303"/>
      <c r="D349" s="303"/>
      <c r="E349" s="303"/>
      <c r="F349" s="303" t="s">
        <v>1986</v>
      </c>
      <c r="G349" s="303"/>
      <c r="H349" s="303"/>
      <c r="I349" s="303"/>
      <c r="J349" s="1798"/>
      <c r="K349" s="303"/>
      <c r="L349" s="303" t="s">
        <v>1041</v>
      </c>
      <c r="M349" s="303"/>
      <c r="N349" s="303"/>
      <c r="O349" s="302"/>
      <c r="P349" s="302"/>
      <c r="Q349" s="302"/>
      <c r="R349" s="302"/>
      <c r="S349" s="302"/>
    </row>
    <row r="350" spans="1:19" x14ac:dyDescent="0.2">
      <c r="A350" s="303"/>
      <c r="B350" s="303"/>
      <c r="C350" s="303"/>
      <c r="D350" s="303"/>
      <c r="E350" s="303"/>
      <c r="F350" s="303" t="s">
        <v>1987</v>
      </c>
      <c r="G350" s="303"/>
      <c r="H350" s="303"/>
      <c r="I350" s="303"/>
      <c r="J350" s="1798"/>
      <c r="K350" s="303"/>
      <c r="L350" s="303" t="s">
        <v>1041</v>
      </c>
      <c r="M350" s="303"/>
      <c r="N350" s="303"/>
      <c r="O350" s="302"/>
      <c r="P350" s="302"/>
      <c r="Q350" s="302"/>
      <c r="R350" s="302"/>
      <c r="S350" s="302"/>
    </row>
    <row r="351" spans="1:19" x14ac:dyDescent="0.2">
      <c r="A351" s="303"/>
      <c r="B351" s="303"/>
      <c r="C351" s="303"/>
      <c r="D351" s="303"/>
      <c r="E351" s="303"/>
      <c r="F351" s="303" t="s">
        <v>1988</v>
      </c>
      <c r="G351" s="303"/>
      <c r="H351" s="303"/>
      <c r="I351" s="303"/>
      <c r="J351" s="1798"/>
      <c r="K351" s="303"/>
      <c r="L351" s="303" t="s">
        <v>1041</v>
      </c>
      <c r="M351" s="303"/>
      <c r="N351" s="303"/>
      <c r="O351" s="302"/>
      <c r="P351" s="302"/>
      <c r="Q351" s="302"/>
      <c r="R351" s="302"/>
      <c r="S351" s="302"/>
    </row>
    <row r="352" spans="1:19" x14ac:dyDescent="0.2">
      <c r="A352" s="303"/>
      <c r="B352" s="303"/>
      <c r="C352" s="303"/>
      <c r="D352" s="303"/>
      <c r="E352" s="303"/>
      <c r="F352" s="303" t="s">
        <v>1989</v>
      </c>
      <c r="G352" s="303"/>
      <c r="H352" s="303"/>
      <c r="I352" s="303"/>
      <c r="J352" s="1798"/>
      <c r="K352" s="303"/>
      <c r="L352" s="303" t="s">
        <v>1041</v>
      </c>
      <c r="M352" s="303"/>
      <c r="N352" s="303"/>
      <c r="O352" s="302"/>
      <c r="P352" s="302"/>
      <c r="Q352" s="302"/>
      <c r="R352" s="302"/>
      <c r="S352" s="302"/>
    </row>
    <row r="353" spans="1:19" x14ac:dyDescent="0.2">
      <c r="A353" s="303"/>
      <c r="B353" s="303"/>
      <c r="C353" s="303"/>
      <c r="D353" s="303"/>
      <c r="E353" s="303"/>
      <c r="F353" s="303" t="s">
        <v>1990</v>
      </c>
      <c r="G353" s="303"/>
      <c r="H353" s="303"/>
      <c r="I353" s="303"/>
      <c r="J353" s="1798"/>
      <c r="K353" s="303"/>
      <c r="L353" s="303" t="s">
        <v>1041</v>
      </c>
      <c r="M353" s="303"/>
      <c r="N353" s="303"/>
      <c r="O353" s="302"/>
      <c r="P353" s="302"/>
      <c r="Q353" s="302"/>
      <c r="R353" s="302"/>
      <c r="S353" s="302"/>
    </row>
    <row r="354" spans="1:19" x14ac:dyDescent="0.2">
      <c r="A354" s="303"/>
      <c r="B354" s="303"/>
      <c r="C354" s="303"/>
      <c r="D354" s="303"/>
      <c r="E354" s="303"/>
      <c r="F354" s="303" t="s">
        <v>1991</v>
      </c>
      <c r="G354" s="303"/>
      <c r="H354" s="303"/>
      <c r="I354" s="303"/>
      <c r="J354" s="1798"/>
      <c r="K354" s="303"/>
      <c r="L354" s="303" t="s">
        <v>1041</v>
      </c>
      <c r="M354" s="303"/>
      <c r="N354" s="303"/>
      <c r="O354" s="302"/>
      <c r="P354" s="302"/>
      <c r="Q354" s="302"/>
      <c r="R354" s="302"/>
      <c r="S354" s="302"/>
    </row>
    <row r="355" spans="1:19" x14ac:dyDescent="0.2">
      <c r="A355" s="303"/>
      <c r="B355" s="303"/>
      <c r="C355" s="303"/>
      <c r="D355" s="303"/>
      <c r="E355" s="303"/>
      <c r="F355" s="303" t="s">
        <v>1992</v>
      </c>
      <c r="G355" s="303"/>
      <c r="H355" s="303"/>
      <c r="I355" s="303"/>
      <c r="J355" s="1798"/>
      <c r="K355" s="303"/>
      <c r="L355" s="303" t="s">
        <v>1041</v>
      </c>
      <c r="M355" s="303"/>
      <c r="N355" s="303"/>
      <c r="O355" s="302"/>
      <c r="P355" s="302"/>
      <c r="Q355" s="302"/>
      <c r="R355" s="302"/>
      <c r="S355" s="302"/>
    </row>
    <row r="356" spans="1:19" x14ac:dyDescent="0.2">
      <c r="A356" s="303"/>
      <c r="B356" s="303"/>
      <c r="C356" s="303"/>
      <c r="D356" s="303"/>
      <c r="E356" s="303"/>
      <c r="F356" s="303" t="s">
        <v>1993</v>
      </c>
      <c r="G356" s="303"/>
      <c r="H356" s="303"/>
      <c r="I356" s="303"/>
      <c r="J356" s="1798"/>
      <c r="K356" s="303"/>
      <c r="L356" s="303" t="s">
        <v>1041</v>
      </c>
      <c r="M356" s="303"/>
      <c r="N356" s="303"/>
      <c r="O356" s="302"/>
      <c r="P356" s="302"/>
      <c r="Q356" s="302"/>
      <c r="R356" s="302"/>
      <c r="S356" s="302"/>
    </row>
    <row r="357" spans="1:19" x14ac:dyDescent="0.2">
      <c r="A357" s="303"/>
      <c r="B357" s="303"/>
      <c r="C357" s="303"/>
      <c r="D357" s="303"/>
      <c r="E357" s="303"/>
      <c r="F357" s="303" t="s">
        <v>1994</v>
      </c>
      <c r="G357" s="303"/>
      <c r="H357" s="303"/>
      <c r="I357" s="303"/>
      <c r="J357" s="1798"/>
      <c r="K357" s="303"/>
      <c r="L357" s="303" t="s">
        <v>1041</v>
      </c>
      <c r="M357" s="303"/>
      <c r="N357" s="303"/>
      <c r="O357" s="302"/>
      <c r="P357" s="302"/>
      <c r="Q357" s="302"/>
      <c r="R357" s="302"/>
      <c r="S357" s="302"/>
    </row>
    <row r="358" spans="1:19" x14ac:dyDescent="0.2">
      <c r="A358" s="303"/>
      <c r="B358" s="303"/>
      <c r="C358" s="303"/>
      <c r="D358" s="303"/>
      <c r="E358" s="303"/>
      <c r="F358" s="303" t="s">
        <v>1995</v>
      </c>
      <c r="G358" s="303"/>
      <c r="H358" s="303"/>
      <c r="I358" s="303"/>
      <c r="J358" s="1798"/>
      <c r="K358" s="303"/>
      <c r="L358" s="303" t="s">
        <v>1041</v>
      </c>
      <c r="M358" s="303"/>
      <c r="N358" s="303"/>
      <c r="O358" s="302"/>
      <c r="P358" s="302"/>
      <c r="Q358" s="302"/>
      <c r="R358" s="302"/>
      <c r="S358" s="302"/>
    </row>
    <row r="359" spans="1:19" x14ac:dyDescent="0.2">
      <c r="A359" s="303"/>
      <c r="B359" s="303"/>
      <c r="C359" s="303"/>
      <c r="D359" s="303"/>
      <c r="E359" s="303"/>
      <c r="F359" s="303" t="s">
        <v>1996</v>
      </c>
      <c r="G359" s="303"/>
      <c r="H359" s="303"/>
      <c r="I359" s="303"/>
      <c r="J359" s="1798"/>
      <c r="K359" s="303"/>
      <c r="L359" s="303" t="s">
        <v>1041</v>
      </c>
      <c r="M359" s="303"/>
      <c r="N359" s="303"/>
      <c r="O359" s="302"/>
      <c r="P359" s="302"/>
      <c r="Q359" s="302"/>
      <c r="R359" s="302"/>
      <c r="S359" s="302"/>
    </row>
    <row r="360" spans="1:19" x14ac:dyDescent="0.2">
      <c r="A360" s="303"/>
      <c r="B360" s="303"/>
      <c r="C360" s="303"/>
      <c r="D360" s="303"/>
      <c r="E360" s="303"/>
      <c r="F360" s="303" t="s">
        <v>1997</v>
      </c>
      <c r="G360" s="303"/>
      <c r="H360" s="303"/>
      <c r="I360" s="303"/>
      <c r="J360" s="1798"/>
      <c r="K360" s="303"/>
      <c r="L360" s="303" t="s">
        <v>1041</v>
      </c>
      <c r="M360" s="303"/>
      <c r="N360" s="303"/>
      <c r="O360" s="302"/>
      <c r="P360" s="302"/>
      <c r="Q360" s="302"/>
      <c r="R360" s="302"/>
      <c r="S360" s="302"/>
    </row>
    <row r="361" spans="1:19" x14ac:dyDescent="0.2">
      <c r="A361" s="303"/>
      <c r="B361" s="303"/>
      <c r="C361" s="303"/>
      <c r="D361" s="303"/>
      <c r="E361" s="303"/>
      <c r="F361" s="303" t="s">
        <v>1998</v>
      </c>
      <c r="G361" s="303"/>
      <c r="H361" s="303"/>
      <c r="I361" s="303"/>
      <c r="J361" s="1798"/>
      <c r="K361" s="303"/>
      <c r="L361" s="303" t="s">
        <v>1041</v>
      </c>
      <c r="M361" s="303"/>
      <c r="N361" s="303"/>
      <c r="O361" s="302"/>
      <c r="P361" s="302"/>
      <c r="Q361" s="302"/>
      <c r="R361" s="302"/>
      <c r="S361" s="302"/>
    </row>
    <row r="362" spans="1:19" x14ac:dyDescent="0.2">
      <c r="A362" s="303"/>
      <c r="B362" s="303"/>
      <c r="C362" s="303"/>
      <c r="D362" s="303"/>
      <c r="E362" s="303"/>
      <c r="F362" s="303" t="s">
        <v>1999</v>
      </c>
      <c r="G362" s="303"/>
      <c r="H362" s="303"/>
      <c r="I362" s="303"/>
      <c r="J362" s="1798"/>
      <c r="K362" s="303"/>
      <c r="L362" s="303" t="s">
        <v>1041</v>
      </c>
      <c r="M362" s="303"/>
      <c r="N362" s="303"/>
      <c r="O362" s="302"/>
      <c r="P362" s="302"/>
      <c r="Q362" s="302"/>
      <c r="R362" s="302"/>
      <c r="S362" s="302"/>
    </row>
    <row r="363" spans="1:19" x14ac:dyDescent="0.2">
      <c r="A363" s="303"/>
      <c r="B363" s="303"/>
      <c r="C363" s="303"/>
      <c r="D363" s="303"/>
      <c r="E363" s="303"/>
      <c r="F363" s="303" t="s">
        <v>2000</v>
      </c>
      <c r="G363" s="303"/>
      <c r="H363" s="303"/>
      <c r="I363" s="303"/>
      <c r="J363" s="1798"/>
      <c r="K363" s="303"/>
      <c r="L363" s="303" t="s">
        <v>1041</v>
      </c>
      <c r="M363" s="303"/>
      <c r="N363" s="303"/>
      <c r="O363" s="302"/>
      <c r="P363" s="302"/>
      <c r="Q363" s="302"/>
      <c r="R363" s="302"/>
      <c r="S363" s="302"/>
    </row>
    <row r="364" spans="1:19" x14ac:dyDescent="0.2">
      <c r="A364" s="303"/>
      <c r="B364" s="303"/>
      <c r="C364" s="303"/>
      <c r="D364" s="303"/>
      <c r="E364" s="303"/>
      <c r="F364" s="303" t="s">
        <v>2001</v>
      </c>
      <c r="G364" s="303"/>
      <c r="H364" s="303"/>
      <c r="I364" s="303"/>
      <c r="J364" s="1798"/>
      <c r="K364" s="303"/>
      <c r="L364" s="303" t="s">
        <v>1041</v>
      </c>
      <c r="M364" s="303"/>
      <c r="N364" s="303"/>
      <c r="O364" s="302"/>
      <c r="P364" s="302"/>
      <c r="Q364" s="302"/>
      <c r="R364" s="302"/>
      <c r="S364" s="302"/>
    </row>
    <row r="365" spans="1:19" x14ac:dyDescent="0.2">
      <c r="A365" s="303"/>
      <c r="B365" s="303"/>
      <c r="C365" s="303"/>
      <c r="D365" s="303"/>
      <c r="E365" s="303"/>
      <c r="F365" s="303" t="s">
        <v>2002</v>
      </c>
      <c r="G365" s="303"/>
      <c r="H365" s="303"/>
      <c r="I365" s="303"/>
      <c r="J365" s="1798"/>
      <c r="K365" s="303"/>
      <c r="L365" s="303" t="s">
        <v>1041</v>
      </c>
      <c r="M365" s="303"/>
      <c r="N365" s="303"/>
      <c r="O365" s="302"/>
      <c r="P365" s="302"/>
      <c r="Q365" s="302"/>
      <c r="R365" s="302"/>
      <c r="S365" s="302"/>
    </row>
    <row r="366" spans="1:19" x14ac:dyDescent="0.2">
      <c r="A366" s="303"/>
      <c r="B366" s="303"/>
      <c r="C366" s="303"/>
      <c r="D366" s="303"/>
      <c r="E366" s="303"/>
      <c r="F366" s="303" t="s">
        <v>2003</v>
      </c>
      <c r="G366" s="303"/>
      <c r="H366" s="303"/>
      <c r="I366" s="303"/>
      <c r="J366" s="1798"/>
      <c r="K366" s="303"/>
      <c r="L366" s="303" t="s">
        <v>1041</v>
      </c>
      <c r="M366" s="303"/>
      <c r="N366" s="303"/>
      <c r="O366" s="302"/>
      <c r="P366" s="302"/>
      <c r="Q366" s="302"/>
      <c r="R366" s="302"/>
      <c r="S366" s="302"/>
    </row>
    <row r="367" spans="1:19" x14ac:dyDescent="0.2">
      <c r="A367" s="303"/>
      <c r="B367" s="303"/>
      <c r="C367" s="303"/>
      <c r="D367" s="303"/>
      <c r="E367" s="303"/>
      <c r="F367" s="303" t="s">
        <v>2004</v>
      </c>
      <c r="G367" s="303"/>
      <c r="H367" s="303"/>
      <c r="I367" s="303"/>
      <c r="J367" s="1798"/>
      <c r="K367" s="303"/>
      <c r="L367" s="303" t="s">
        <v>1041</v>
      </c>
      <c r="M367" s="303"/>
      <c r="N367" s="303"/>
      <c r="O367" s="302"/>
      <c r="P367" s="302"/>
      <c r="Q367" s="302"/>
      <c r="R367" s="302"/>
      <c r="S367" s="302"/>
    </row>
    <row r="368" spans="1:19" x14ac:dyDescent="0.2">
      <c r="A368" s="303"/>
      <c r="B368" s="303"/>
      <c r="C368" s="303"/>
      <c r="D368" s="303"/>
      <c r="E368" s="303"/>
      <c r="F368" s="303" t="s">
        <v>2005</v>
      </c>
      <c r="G368" s="303"/>
      <c r="H368" s="303"/>
      <c r="I368" s="303"/>
      <c r="J368" s="1798"/>
      <c r="K368" s="303" t="s">
        <v>2275</v>
      </c>
      <c r="L368" s="303" t="s">
        <v>1041</v>
      </c>
      <c r="M368" s="303"/>
      <c r="N368" s="303"/>
      <c r="O368" s="302"/>
      <c r="P368" s="302"/>
      <c r="Q368" s="302"/>
      <c r="R368" s="302"/>
      <c r="S368" s="302"/>
    </row>
    <row r="369" spans="1:19" x14ac:dyDescent="0.2">
      <c r="A369" s="303"/>
      <c r="B369" s="303"/>
      <c r="C369" s="303"/>
      <c r="D369" s="303"/>
      <c r="E369" s="303"/>
      <c r="F369" s="303" t="s">
        <v>2006</v>
      </c>
      <c r="G369" s="303"/>
      <c r="H369" s="303"/>
      <c r="I369" s="303"/>
      <c r="J369" s="1798"/>
      <c r="K369" s="85" t="s">
        <v>2332</v>
      </c>
      <c r="L369" s="303" t="s">
        <v>1041</v>
      </c>
      <c r="M369" s="303"/>
      <c r="N369" s="303"/>
      <c r="O369" s="302"/>
      <c r="P369" s="302"/>
      <c r="Q369" s="302"/>
      <c r="R369" s="302"/>
      <c r="S369" s="302"/>
    </row>
    <row r="370" spans="1:19" x14ac:dyDescent="0.2">
      <c r="A370" s="303"/>
      <c r="B370" s="303"/>
      <c r="C370" s="303"/>
      <c r="D370" s="303"/>
      <c r="E370" s="303"/>
      <c r="F370" s="303" t="s">
        <v>2007</v>
      </c>
      <c r="G370" s="303"/>
      <c r="H370" s="303"/>
      <c r="I370" s="303"/>
      <c r="J370" s="1798"/>
      <c r="K370" s="303" t="s">
        <v>2276</v>
      </c>
      <c r="L370" s="303" t="s">
        <v>1041</v>
      </c>
      <c r="M370" s="303"/>
      <c r="N370" s="303"/>
      <c r="O370" s="302"/>
      <c r="P370" s="302"/>
      <c r="Q370" s="302"/>
      <c r="R370" s="302"/>
      <c r="S370" s="302"/>
    </row>
    <row r="371" spans="1:19" x14ac:dyDescent="0.2">
      <c r="A371" s="303"/>
      <c r="B371" s="303"/>
      <c r="C371" s="303"/>
      <c r="D371" s="303"/>
      <c r="E371" s="303"/>
      <c r="F371" s="303" t="s">
        <v>2008</v>
      </c>
      <c r="G371" s="303"/>
      <c r="H371" s="303"/>
      <c r="I371" s="303"/>
      <c r="J371" s="1798"/>
      <c r="K371" s="303"/>
      <c r="L371" s="303" t="s">
        <v>1041</v>
      </c>
      <c r="M371" s="303"/>
      <c r="N371" s="303"/>
      <c r="O371" s="302"/>
      <c r="P371" s="302"/>
      <c r="Q371" s="302"/>
      <c r="R371" s="302"/>
      <c r="S371" s="302"/>
    </row>
    <row r="372" spans="1:19" x14ac:dyDescent="0.2">
      <c r="A372" s="303"/>
      <c r="B372" s="303"/>
      <c r="C372" s="303"/>
      <c r="D372" s="303"/>
      <c r="E372" s="303"/>
      <c r="F372" s="303" t="s">
        <v>2009</v>
      </c>
      <c r="G372" s="303"/>
      <c r="H372" s="303"/>
      <c r="I372" s="303"/>
      <c r="J372" s="1798"/>
      <c r="K372" s="303" t="s">
        <v>142</v>
      </c>
      <c r="L372" s="303" t="s">
        <v>1041</v>
      </c>
      <c r="M372" s="303"/>
      <c r="N372" s="303"/>
      <c r="O372" s="302"/>
      <c r="P372" s="302"/>
      <c r="Q372" s="302"/>
      <c r="R372" s="302"/>
      <c r="S372" s="302"/>
    </row>
    <row r="373" spans="1:19" x14ac:dyDescent="0.2">
      <c r="A373" s="303"/>
      <c r="B373" s="303"/>
      <c r="C373" s="303"/>
      <c r="D373" s="303"/>
      <c r="E373" s="303"/>
      <c r="F373" s="303" t="s">
        <v>2010</v>
      </c>
      <c r="G373" s="303"/>
      <c r="H373" s="303"/>
      <c r="I373" s="303"/>
      <c r="J373" s="1798"/>
      <c r="K373" s="303" t="s">
        <v>2276</v>
      </c>
      <c r="L373" s="303" t="s">
        <v>1041</v>
      </c>
      <c r="M373" s="303"/>
      <c r="N373" s="303"/>
      <c r="O373" s="302"/>
      <c r="P373" s="302"/>
      <c r="Q373" s="302"/>
      <c r="R373" s="302"/>
      <c r="S373" s="302"/>
    </row>
    <row r="374" spans="1:19" x14ac:dyDescent="0.2">
      <c r="A374" s="303"/>
      <c r="B374" s="303"/>
      <c r="C374" s="303"/>
      <c r="D374" s="303"/>
      <c r="E374" s="303"/>
      <c r="F374" s="303" t="s">
        <v>2011</v>
      </c>
      <c r="G374" s="303"/>
      <c r="H374" s="303"/>
      <c r="I374" s="303"/>
      <c r="J374" s="1798"/>
      <c r="K374" s="303"/>
      <c r="L374" s="303" t="s">
        <v>1041</v>
      </c>
      <c r="M374" s="303"/>
      <c r="N374" s="303"/>
      <c r="O374" s="302"/>
      <c r="P374" s="302"/>
      <c r="Q374" s="302"/>
      <c r="R374" s="302"/>
      <c r="S374" s="302"/>
    </row>
    <row r="375" spans="1:19" x14ac:dyDescent="0.2">
      <c r="A375" s="303"/>
      <c r="B375" s="303"/>
      <c r="C375" s="303"/>
      <c r="D375" s="303"/>
      <c r="E375" s="303"/>
      <c r="F375" s="303" t="s">
        <v>2012</v>
      </c>
      <c r="G375" s="303"/>
      <c r="H375" s="303"/>
      <c r="I375" s="303"/>
      <c r="J375" s="1798"/>
      <c r="K375" s="303"/>
      <c r="L375" s="303" t="s">
        <v>1041</v>
      </c>
      <c r="M375" s="303"/>
      <c r="N375" s="303"/>
      <c r="O375" s="302"/>
      <c r="P375" s="302"/>
      <c r="Q375" s="302"/>
      <c r="R375" s="302"/>
      <c r="S375" s="302"/>
    </row>
    <row r="376" spans="1:19" x14ac:dyDescent="0.2">
      <c r="A376" s="303"/>
      <c r="B376" s="303"/>
      <c r="C376" s="303"/>
      <c r="D376" s="303"/>
      <c r="E376" s="303"/>
      <c r="F376" s="303" t="s">
        <v>2013</v>
      </c>
      <c r="G376" s="303"/>
      <c r="H376" s="303"/>
      <c r="I376" s="303"/>
      <c r="J376" s="1798"/>
      <c r="K376" s="303"/>
      <c r="L376" s="303" t="s">
        <v>1041</v>
      </c>
      <c r="M376" s="303"/>
      <c r="N376" s="303"/>
      <c r="O376" s="302"/>
      <c r="P376" s="302"/>
      <c r="Q376" s="302"/>
      <c r="R376" s="302"/>
      <c r="S376" s="302"/>
    </row>
    <row r="377" spans="1:19" x14ac:dyDescent="0.2">
      <c r="A377" s="303"/>
      <c r="B377" s="303"/>
      <c r="C377" s="303"/>
      <c r="D377" s="303"/>
      <c r="E377" s="303"/>
      <c r="F377" s="303" t="s">
        <v>2014</v>
      </c>
      <c r="G377" s="303"/>
      <c r="H377" s="303"/>
      <c r="I377" s="303"/>
      <c r="J377" s="1798"/>
      <c r="K377" s="303"/>
      <c r="L377" s="303" t="s">
        <v>1041</v>
      </c>
      <c r="M377" s="303"/>
      <c r="N377" s="303"/>
      <c r="O377" s="302"/>
      <c r="P377" s="302"/>
      <c r="Q377" s="302"/>
      <c r="R377" s="302"/>
      <c r="S377" s="302"/>
    </row>
    <row r="378" spans="1:19" x14ac:dyDescent="0.2">
      <c r="A378" s="303"/>
      <c r="B378" s="303"/>
      <c r="C378" s="303"/>
      <c r="D378" s="303"/>
      <c r="E378" s="303"/>
      <c r="F378" s="303" t="s">
        <v>2015</v>
      </c>
      <c r="G378" s="303"/>
      <c r="H378" s="303"/>
      <c r="I378" s="303"/>
      <c r="J378" s="1798"/>
      <c r="K378" s="303"/>
      <c r="L378" s="303" t="s">
        <v>1041</v>
      </c>
      <c r="M378" s="303"/>
      <c r="N378" s="303"/>
      <c r="O378" s="302"/>
      <c r="P378" s="302"/>
      <c r="Q378" s="302"/>
      <c r="R378" s="302"/>
      <c r="S378" s="302"/>
    </row>
    <row r="379" spans="1:19" x14ac:dyDescent="0.2">
      <c r="A379" s="303"/>
      <c r="B379" s="303"/>
      <c r="C379" s="303"/>
      <c r="D379" s="303"/>
      <c r="E379" s="303"/>
      <c r="F379" s="303" t="s">
        <v>2016</v>
      </c>
      <c r="G379" s="303"/>
      <c r="H379" s="303"/>
      <c r="I379" s="303"/>
      <c r="J379" s="1798"/>
      <c r="K379" s="303"/>
      <c r="L379" s="303" t="s">
        <v>1041</v>
      </c>
      <c r="M379" s="303"/>
      <c r="N379" s="303"/>
      <c r="O379" s="302"/>
      <c r="P379" s="302"/>
      <c r="Q379" s="302"/>
      <c r="R379" s="302"/>
      <c r="S379" s="302"/>
    </row>
    <row r="380" spans="1:19" x14ac:dyDescent="0.2">
      <c r="A380" s="303"/>
      <c r="B380" s="303"/>
      <c r="C380" s="303"/>
      <c r="D380" s="303"/>
      <c r="E380" s="303"/>
      <c r="F380" s="303" t="s">
        <v>2017</v>
      </c>
      <c r="G380" s="303"/>
      <c r="H380" s="303"/>
      <c r="I380" s="303"/>
      <c r="J380" s="1798"/>
      <c r="K380" s="303"/>
      <c r="L380" s="303" t="s">
        <v>1041</v>
      </c>
      <c r="M380" s="303"/>
      <c r="N380" s="303"/>
      <c r="O380" s="302"/>
      <c r="P380" s="302"/>
      <c r="Q380" s="302"/>
      <c r="R380" s="302"/>
      <c r="S380" s="302"/>
    </row>
    <row r="381" spans="1:19" x14ac:dyDescent="0.2">
      <c r="A381" s="303"/>
      <c r="B381" s="303"/>
      <c r="C381" s="303"/>
      <c r="D381" s="303"/>
      <c r="E381" s="303"/>
      <c r="F381" s="303" t="s">
        <v>2018</v>
      </c>
      <c r="G381" s="303"/>
      <c r="H381" s="303"/>
      <c r="I381" s="303"/>
      <c r="J381" s="1798"/>
      <c r="K381" s="303"/>
      <c r="L381" s="303" t="s">
        <v>1041</v>
      </c>
      <c r="M381" s="303"/>
      <c r="N381" s="303"/>
      <c r="O381" s="302"/>
      <c r="P381" s="302"/>
      <c r="Q381" s="302"/>
      <c r="R381" s="302"/>
      <c r="S381" s="302"/>
    </row>
    <row r="382" spans="1:19" x14ac:dyDescent="0.2">
      <c r="A382" s="303"/>
      <c r="B382" s="303"/>
      <c r="C382" s="303"/>
      <c r="D382" s="303"/>
      <c r="E382" s="303"/>
      <c r="F382" s="303" t="s">
        <v>2019</v>
      </c>
      <c r="G382" s="303"/>
      <c r="H382" s="303"/>
      <c r="I382" s="303"/>
      <c r="J382" s="1798"/>
      <c r="K382" s="303"/>
      <c r="L382" s="303" t="s">
        <v>1041</v>
      </c>
      <c r="M382" s="303"/>
      <c r="N382" s="303"/>
      <c r="O382" s="302"/>
      <c r="P382" s="302"/>
      <c r="Q382" s="302"/>
      <c r="R382" s="302"/>
      <c r="S382" s="302"/>
    </row>
    <row r="383" spans="1:19" x14ac:dyDescent="0.2">
      <c r="A383" s="303"/>
      <c r="B383" s="303"/>
      <c r="C383" s="303"/>
      <c r="D383" s="303"/>
      <c r="E383" s="303"/>
      <c r="F383" s="303" t="s">
        <v>2020</v>
      </c>
      <c r="G383" s="303"/>
      <c r="H383" s="303"/>
      <c r="I383" s="303"/>
      <c r="J383" s="1798"/>
      <c r="K383" s="303"/>
      <c r="L383" s="303" t="s">
        <v>1041</v>
      </c>
      <c r="M383" s="303"/>
      <c r="N383" s="303"/>
      <c r="O383" s="302"/>
      <c r="P383" s="302"/>
      <c r="Q383" s="302"/>
      <c r="R383" s="302"/>
      <c r="S383" s="302"/>
    </row>
    <row r="384" spans="1:19" x14ac:dyDescent="0.2">
      <c r="A384" s="303"/>
      <c r="B384" s="303"/>
      <c r="C384" s="303"/>
      <c r="D384" s="303"/>
      <c r="E384" s="303"/>
      <c r="F384" s="303" t="s">
        <v>2021</v>
      </c>
      <c r="G384" s="303"/>
      <c r="H384" s="303"/>
      <c r="I384" s="303"/>
      <c r="J384" s="1798"/>
      <c r="K384" s="303"/>
      <c r="L384" s="303" t="s">
        <v>1041</v>
      </c>
      <c r="M384" s="303"/>
      <c r="N384" s="303"/>
      <c r="O384" s="302"/>
      <c r="P384" s="302"/>
      <c r="Q384" s="302"/>
      <c r="R384" s="302"/>
      <c r="S384" s="302"/>
    </row>
    <row r="385" spans="1:19" x14ac:dyDescent="0.2">
      <c r="A385" s="303"/>
      <c r="B385" s="303"/>
      <c r="C385" s="303"/>
      <c r="D385" s="303"/>
      <c r="E385" s="303"/>
      <c r="F385" s="303" t="s">
        <v>2022</v>
      </c>
      <c r="G385" s="303"/>
      <c r="H385" s="303"/>
      <c r="I385" s="303"/>
      <c r="J385" s="1798"/>
      <c r="K385" s="303"/>
      <c r="L385" s="303" t="s">
        <v>1041</v>
      </c>
      <c r="M385" s="303"/>
      <c r="N385" s="303"/>
      <c r="O385" s="302"/>
      <c r="P385" s="302"/>
      <c r="Q385" s="302"/>
      <c r="R385" s="302"/>
      <c r="S385" s="302"/>
    </row>
    <row r="386" spans="1:19" x14ac:dyDescent="0.2">
      <c r="A386" s="303"/>
      <c r="B386" s="303"/>
      <c r="C386" s="303"/>
      <c r="D386" s="303"/>
      <c r="E386" s="303"/>
      <c r="F386" s="303" t="s">
        <v>2023</v>
      </c>
      <c r="G386" s="303"/>
      <c r="H386" s="303"/>
      <c r="I386" s="303"/>
      <c r="J386" s="1798"/>
      <c r="K386" s="303"/>
      <c r="L386" s="303" t="s">
        <v>1041</v>
      </c>
      <c r="M386" s="303"/>
      <c r="N386" s="303"/>
      <c r="O386" s="302"/>
      <c r="P386" s="302"/>
      <c r="Q386" s="302"/>
      <c r="R386" s="302"/>
      <c r="S386" s="302"/>
    </row>
    <row r="387" spans="1:19" x14ac:dyDescent="0.2">
      <c r="A387" s="303"/>
      <c r="B387" s="303"/>
      <c r="C387" s="303"/>
      <c r="D387" s="303"/>
      <c r="E387" s="303"/>
      <c r="F387" s="303" t="s">
        <v>2024</v>
      </c>
      <c r="G387" s="303"/>
      <c r="H387" s="303"/>
      <c r="I387" s="303"/>
      <c r="J387" s="1798"/>
      <c r="K387" s="303"/>
      <c r="L387" s="303" t="s">
        <v>1041</v>
      </c>
      <c r="M387" s="303"/>
      <c r="N387" s="303"/>
      <c r="O387" s="302"/>
      <c r="P387" s="302"/>
      <c r="Q387" s="302"/>
      <c r="R387" s="302"/>
      <c r="S387" s="302"/>
    </row>
    <row r="388" spans="1:19" x14ac:dyDescent="0.2">
      <c r="A388" s="303"/>
      <c r="B388" s="303"/>
      <c r="C388" s="303"/>
      <c r="D388" s="303"/>
      <c r="E388" s="303"/>
      <c r="F388" s="303" t="s">
        <v>2025</v>
      </c>
      <c r="G388" s="303"/>
      <c r="H388" s="303"/>
      <c r="I388" s="303"/>
      <c r="J388" s="1798"/>
      <c r="K388" s="303"/>
      <c r="L388" s="303" t="s">
        <v>1041</v>
      </c>
      <c r="M388" s="303"/>
      <c r="N388" s="303"/>
      <c r="O388" s="302"/>
      <c r="P388" s="302"/>
      <c r="Q388" s="302"/>
      <c r="R388" s="302"/>
      <c r="S388" s="302"/>
    </row>
    <row r="389" spans="1:19" x14ac:dyDescent="0.2">
      <c r="A389" s="303"/>
      <c r="B389" s="303"/>
      <c r="C389" s="303"/>
      <c r="D389" s="303"/>
      <c r="E389" s="303"/>
      <c r="F389" s="303" t="s">
        <v>2026</v>
      </c>
      <c r="G389" s="303"/>
      <c r="H389" s="303"/>
      <c r="I389" s="303"/>
      <c r="J389" s="1798"/>
      <c r="K389" s="303"/>
      <c r="L389" s="303" t="s">
        <v>1041</v>
      </c>
      <c r="M389" s="303"/>
      <c r="N389" s="303"/>
      <c r="O389" s="302"/>
      <c r="P389" s="302"/>
      <c r="Q389" s="302"/>
      <c r="R389" s="302"/>
      <c r="S389" s="302"/>
    </row>
    <row r="390" spans="1:19" x14ac:dyDescent="0.2">
      <c r="A390" s="303"/>
      <c r="B390" s="303"/>
      <c r="C390" s="303"/>
      <c r="D390" s="303"/>
      <c r="E390" s="303"/>
      <c r="F390" s="303" t="s">
        <v>2027</v>
      </c>
      <c r="G390" s="303"/>
      <c r="H390" s="303"/>
      <c r="I390" s="303"/>
      <c r="J390" s="1798"/>
      <c r="K390" s="303"/>
      <c r="L390" s="303" t="s">
        <v>1041</v>
      </c>
      <c r="M390" s="303"/>
      <c r="N390" s="303"/>
      <c r="O390" s="302"/>
      <c r="P390" s="302"/>
      <c r="Q390" s="302"/>
      <c r="R390" s="302"/>
      <c r="S390" s="302"/>
    </row>
    <row r="391" spans="1:19" x14ac:dyDescent="0.2">
      <c r="A391" s="303"/>
      <c r="B391" s="303"/>
      <c r="C391" s="303"/>
      <c r="D391" s="303"/>
      <c r="E391" s="303"/>
      <c r="F391" s="303" t="s">
        <v>2028</v>
      </c>
      <c r="G391" s="303"/>
      <c r="H391" s="303"/>
      <c r="I391" s="303"/>
      <c r="J391" s="1798"/>
      <c r="K391" s="303"/>
      <c r="L391" s="303" t="s">
        <v>1041</v>
      </c>
      <c r="M391" s="303"/>
      <c r="N391" s="303"/>
      <c r="O391" s="302"/>
      <c r="P391" s="302"/>
      <c r="Q391" s="302"/>
      <c r="R391" s="302"/>
      <c r="S391" s="302"/>
    </row>
    <row r="392" spans="1:19" x14ac:dyDescent="0.2">
      <c r="A392" s="303"/>
      <c r="B392" s="303"/>
      <c r="C392" s="303"/>
      <c r="D392" s="303"/>
      <c r="E392" s="303"/>
      <c r="F392" s="303" t="s">
        <v>2029</v>
      </c>
      <c r="G392" s="303"/>
      <c r="H392" s="303"/>
      <c r="I392" s="303"/>
      <c r="J392" s="1798"/>
      <c r="K392" s="303"/>
      <c r="L392" s="303" t="s">
        <v>1041</v>
      </c>
      <c r="M392" s="303"/>
      <c r="N392" s="303"/>
      <c r="O392" s="302"/>
      <c r="P392" s="302"/>
      <c r="Q392" s="302"/>
      <c r="R392" s="302"/>
      <c r="S392" s="302"/>
    </row>
    <row r="393" spans="1:19" x14ac:dyDescent="0.2">
      <c r="A393" s="303"/>
      <c r="B393" s="303"/>
      <c r="C393" s="303"/>
      <c r="D393" s="303"/>
      <c r="E393" s="303"/>
      <c r="F393" s="303" t="s">
        <v>2030</v>
      </c>
      <c r="G393" s="303"/>
      <c r="H393" s="303"/>
      <c r="I393" s="303"/>
      <c r="J393" s="1798"/>
      <c r="K393" s="303"/>
      <c r="L393" s="303" t="s">
        <v>1041</v>
      </c>
      <c r="M393" s="303"/>
      <c r="N393" s="303"/>
      <c r="O393" s="302"/>
      <c r="P393" s="302"/>
      <c r="Q393" s="302"/>
      <c r="R393" s="302"/>
      <c r="S393" s="302"/>
    </row>
    <row r="394" spans="1:19" x14ac:dyDescent="0.2">
      <c r="A394" s="303"/>
      <c r="B394" s="303"/>
      <c r="C394" s="303"/>
      <c r="D394" s="303"/>
      <c r="E394" s="303"/>
      <c r="F394" s="303" t="s">
        <v>2031</v>
      </c>
      <c r="G394" s="303"/>
      <c r="H394" s="303"/>
      <c r="I394" s="303"/>
      <c r="J394" s="1798"/>
      <c r="K394" s="303"/>
      <c r="L394" s="303" t="s">
        <v>1041</v>
      </c>
      <c r="M394" s="303"/>
      <c r="N394" s="303"/>
      <c r="O394" s="302"/>
      <c r="P394" s="302"/>
      <c r="Q394" s="302"/>
      <c r="R394" s="302"/>
      <c r="S394" s="302"/>
    </row>
    <row r="395" spans="1:19" x14ac:dyDescent="0.2">
      <c r="A395" s="303"/>
      <c r="B395" s="303"/>
      <c r="C395" s="303"/>
      <c r="D395" s="303"/>
      <c r="E395" s="303"/>
      <c r="F395" s="303" t="s">
        <v>2032</v>
      </c>
      <c r="G395" s="303"/>
      <c r="H395" s="303"/>
      <c r="I395" s="303"/>
      <c r="J395" s="1798"/>
      <c r="K395" s="303"/>
      <c r="L395" s="303" t="s">
        <v>1041</v>
      </c>
      <c r="M395" s="303"/>
      <c r="N395" s="303"/>
      <c r="O395" s="302"/>
      <c r="P395" s="302"/>
      <c r="Q395" s="302"/>
      <c r="R395" s="302"/>
      <c r="S395" s="302"/>
    </row>
    <row r="396" spans="1:19" x14ac:dyDescent="0.2">
      <c r="A396" s="303"/>
      <c r="B396" s="303"/>
      <c r="C396" s="303"/>
      <c r="D396" s="303"/>
      <c r="E396" s="303"/>
      <c r="F396" s="303" t="s">
        <v>2033</v>
      </c>
      <c r="G396" s="303"/>
      <c r="H396" s="303"/>
      <c r="I396" s="303"/>
      <c r="J396" s="1798"/>
      <c r="K396" s="303"/>
      <c r="L396" s="303" t="s">
        <v>1041</v>
      </c>
      <c r="M396" s="303"/>
      <c r="N396" s="303"/>
      <c r="O396" s="302"/>
      <c r="P396" s="302"/>
      <c r="Q396" s="302"/>
      <c r="R396" s="302"/>
      <c r="S396" s="302"/>
    </row>
    <row r="397" spans="1:19" x14ac:dyDescent="0.2">
      <c r="A397" s="303"/>
      <c r="B397" s="303"/>
      <c r="C397" s="303"/>
      <c r="D397" s="303"/>
      <c r="E397" s="303"/>
      <c r="F397" s="303" t="s">
        <v>2034</v>
      </c>
      <c r="G397" s="303"/>
      <c r="H397" s="303"/>
      <c r="I397" s="303"/>
      <c r="J397" s="1798"/>
      <c r="K397" s="303"/>
      <c r="L397" s="303" t="s">
        <v>1041</v>
      </c>
      <c r="M397" s="303"/>
      <c r="N397" s="303"/>
      <c r="O397" s="302"/>
      <c r="P397" s="302"/>
      <c r="Q397" s="302"/>
      <c r="R397" s="302"/>
      <c r="S397" s="302"/>
    </row>
    <row r="398" spans="1:19" x14ac:dyDescent="0.2">
      <c r="A398" s="303"/>
      <c r="B398" s="303"/>
      <c r="C398" s="303"/>
      <c r="D398" s="303"/>
      <c r="E398" s="303"/>
      <c r="F398" s="303" t="s">
        <v>2035</v>
      </c>
      <c r="G398" s="303"/>
      <c r="H398" s="303"/>
      <c r="I398" s="303"/>
      <c r="J398" s="1798"/>
      <c r="K398" s="303"/>
      <c r="L398" s="303" t="s">
        <v>1041</v>
      </c>
      <c r="M398" s="303"/>
      <c r="N398" s="303"/>
      <c r="O398" s="302"/>
      <c r="P398" s="302"/>
      <c r="Q398" s="302"/>
      <c r="R398" s="302"/>
      <c r="S398" s="302"/>
    </row>
    <row r="399" spans="1:19" x14ac:dyDescent="0.2">
      <c r="A399" s="303"/>
      <c r="B399" s="303"/>
      <c r="C399" s="303"/>
      <c r="D399" s="303"/>
      <c r="E399" s="303"/>
      <c r="F399" s="303" t="s">
        <v>2036</v>
      </c>
      <c r="G399" s="303"/>
      <c r="H399" s="303"/>
      <c r="I399" s="303"/>
      <c r="J399" s="1798"/>
      <c r="K399" s="303"/>
      <c r="L399" s="303" t="s">
        <v>1041</v>
      </c>
      <c r="M399" s="303"/>
      <c r="N399" s="303"/>
      <c r="O399" s="302"/>
      <c r="P399" s="302"/>
      <c r="Q399" s="302"/>
      <c r="R399" s="302"/>
      <c r="S399" s="302"/>
    </row>
    <row r="400" spans="1:19" x14ac:dyDescent="0.2">
      <c r="A400" s="303"/>
      <c r="B400" s="303"/>
      <c r="C400" s="303"/>
      <c r="D400" s="303"/>
      <c r="E400" s="303"/>
      <c r="F400" s="303" t="s">
        <v>2037</v>
      </c>
      <c r="G400" s="303"/>
      <c r="H400" s="303"/>
      <c r="I400" s="303"/>
      <c r="J400" s="1798"/>
      <c r="K400" s="303"/>
      <c r="L400" s="303" t="s">
        <v>1041</v>
      </c>
      <c r="M400" s="303"/>
      <c r="N400" s="303"/>
      <c r="O400" s="302"/>
      <c r="P400" s="302"/>
      <c r="Q400" s="302"/>
      <c r="R400" s="302"/>
      <c r="S400" s="302"/>
    </row>
    <row r="401" spans="1:19" x14ac:dyDescent="0.2">
      <c r="A401" s="303"/>
      <c r="B401" s="303"/>
      <c r="C401" s="303"/>
      <c r="D401" s="303"/>
      <c r="E401" s="303"/>
      <c r="F401" s="303" t="s">
        <v>2038</v>
      </c>
      <c r="G401" s="303"/>
      <c r="H401" s="303"/>
      <c r="I401" s="303"/>
      <c r="J401" s="1798"/>
      <c r="K401" s="303"/>
      <c r="L401" s="303" t="s">
        <v>1041</v>
      </c>
      <c r="M401" s="303"/>
      <c r="N401" s="303"/>
      <c r="O401" s="302"/>
      <c r="P401" s="302"/>
      <c r="Q401" s="302"/>
      <c r="R401" s="302"/>
      <c r="S401" s="302"/>
    </row>
    <row r="402" spans="1:19" x14ac:dyDescent="0.2">
      <c r="A402" s="303"/>
      <c r="B402" s="303"/>
      <c r="C402" s="303"/>
      <c r="D402" s="303"/>
      <c r="E402" s="303"/>
      <c r="F402" s="303" t="s">
        <v>2039</v>
      </c>
      <c r="G402" s="303"/>
      <c r="H402" s="303"/>
      <c r="I402" s="303"/>
      <c r="J402" s="1798"/>
      <c r="K402" s="303"/>
      <c r="L402" s="303" t="s">
        <v>1041</v>
      </c>
      <c r="M402" s="303"/>
      <c r="N402" s="303"/>
      <c r="O402" s="302"/>
      <c r="P402" s="302"/>
      <c r="Q402" s="302"/>
      <c r="R402" s="302"/>
      <c r="S402" s="302"/>
    </row>
    <row r="403" spans="1:19" x14ac:dyDescent="0.2">
      <c r="A403" s="303"/>
      <c r="B403" s="303"/>
      <c r="C403" s="303"/>
      <c r="D403" s="303"/>
      <c r="E403" s="303"/>
      <c r="F403" s="303" t="s">
        <v>2040</v>
      </c>
      <c r="G403" s="303"/>
      <c r="H403" s="303"/>
      <c r="I403" s="303"/>
      <c r="J403" s="1798"/>
      <c r="K403" s="303"/>
      <c r="L403" s="303" t="s">
        <v>1041</v>
      </c>
      <c r="M403" s="303"/>
      <c r="N403" s="303"/>
      <c r="O403" s="302"/>
      <c r="P403" s="302"/>
      <c r="Q403" s="302"/>
      <c r="R403" s="302"/>
      <c r="S403" s="302"/>
    </row>
    <row r="404" spans="1:19" x14ac:dyDescent="0.2">
      <c r="A404" s="303"/>
      <c r="B404" s="303"/>
      <c r="C404" s="303"/>
      <c r="D404" s="303"/>
      <c r="E404" s="303"/>
      <c r="F404" s="303" t="s">
        <v>2041</v>
      </c>
      <c r="G404" s="303"/>
      <c r="H404" s="303"/>
      <c r="I404" s="303"/>
      <c r="J404" s="1798"/>
      <c r="K404" s="303"/>
      <c r="L404" s="303" t="s">
        <v>1041</v>
      </c>
      <c r="M404" s="303"/>
      <c r="N404" s="303"/>
      <c r="O404" s="302"/>
      <c r="P404" s="302"/>
      <c r="Q404" s="302"/>
      <c r="R404" s="302"/>
      <c r="S404" s="302"/>
    </row>
    <row r="405" spans="1:19" x14ac:dyDescent="0.2">
      <c r="A405" s="303"/>
      <c r="B405" s="303"/>
      <c r="C405" s="303"/>
      <c r="D405" s="303"/>
      <c r="E405" s="303"/>
      <c r="F405" s="303" t="s">
        <v>2042</v>
      </c>
      <c r="G405" s="303"/>
      <c r="H405" s="303"/>
      <c r="I405" s="303"/>
      <c r="J405" s="1798"/>
      <c r="K405" s="303"/>
      <c r="L405" s="303" t="s">
        <v>1041</v>
      </c>
      <c r="M405" s="303"/>
      <c r="N405" s="303"/>
      <c r="O405" s="302"/>
      <c r="P405" s="302"/>
      <c r="Q405" s="302"/>
      <c r="R405" s="302"/>
      <c r="S405" s="302"/>
    </row>
    <row r="406" spans="1:19" x14ac:dyDescent="0.2">
      <c r="A406" s="303"/>
      <c r="B406" s="303"/>
      <c r="C406" s="303"/>
      <c r="D406" s="303"/>
      <c r="E406" s="303"/>
      <c r="F406" s="303" t="s">
        <v>2043</v>
      </c>
      <c r="G406" s="303"/>
      <c r="H406" s="303"/>
      <c r="I406" s="303"/>
      <c r="J406" s="1798"/>
      <c r="K406" s="303"/>
      <c r="L406" s="303" t="s">
        <v>1041</v>
      </c>
      <c r="M406" s="303"/>
      <c r="N406" s="303"/>
      <c r="O406" s="302"/>
      <c r="P406" s="302"/>
      <c r="Q406" s="302"/>
      <c r="R406" s="302"/>
      <c r="S406" s="302"/>
    </row>
    <row r="407" spans="1:19" x14ac:dyDescent="0.2">
      <c r="A407" s="303"/>
      <c r="B407" s="303"/>
      <c r="C407" s="303"/>
      <c r="D407" s="303"/>
      <c r="E407" s="303"/>
      <c r="F407" s="303" t="s">
        <v>2044</v>
      </c>
      <c r="G407" s="303"/>
      <c r="H407" s="303"/>
      <c r="I407" s="303"/>
      <c r="J407" s="1798"/>
      <c r="K407" s="303"/>
      <c r="L407" s="303" t="s">
        <v>1041</v>
      </c>
      <c r="M407" s="303"/>
      <c r="N407" s="303"/>
      <c r="O407" s="302"/>
      <c r="P407" s="302"/>
      <c r="Q407" s="302"/>
      <c r="R407" s="302"/>
      <c r="S407" s="302"/>
    </row>
    <row r="408" spans="1:19" x14ac:dyDescent="0.2">
      <c r="A408" s="303"/>
      <c r="B408" s="303"/>
      <c r="C408" s="303"/>
      <c r="D408" s="303"/>
      <c r="E408" s="303"/>
      <c r="F408" s="303" t="s">
        <v>2045</v>
      </c>
      <c r="G408" s="303"/>
      <c r="H408" s="303"/>
      <c r="I408" s="303"/>
      <c r="J408" s="1798"/>
      <c r="K408" s="303"/>
      <c r="L408" s="303" t="s">
        <v>1041</v>
      </c>
      <c r="M408" s="303"/>
      <c r="N408" s="303"/>
      <c r="O408" s="302"/>
      <c r="P408" s="302"/>
      <c r="Q408" s="302"/>
      <c r="R408" s="302"/>
      <c r="S408" s="302"/>
    </row>
    <row r="409" spans="1:19" x14ac:dyDescent="0.2">
      <c r="A409" s="303"/>
      <c r="B409" s="303"/>
      <c r="C409" s="303"/>
      <c r="D409" s="303"/>
      <c r="E409" s="303"/>
      <c r="F409" s="303" t="s">
        <v>2046</v>
      </c>
      <c r="G409" s="303"/>
      <c r="H409" s="303"/>
      <c r="I409" s="303"/>
      <c r="J409" s="1798"/>
      <c r="K409" s="303"/>
      <c r="L409" s="303" t="s">
        <v>1041</v>
      </c>
      <c r="M409" s="303"/>
      <c r="N409" s="303"/>
      <c r="O409" s="302"/>
      <c r="P409" s="302"/>
      <c r="Q409" s="302"/>
      <c r="R409" s="302"/>
      <c r="S409" s="302"/>
    </row>
    <row r="410" spans="1:19" x14ac:dyDescent="0.2">
      <c r="A410" s="303"/>
      <c r="B410" s="303"/>
      <c r="C410" s="303"/>
      <c r="D410" s="303"/>
      <c r="E410" s="303"/>
      <c r="F410" s="303" t="s">
        <v>2047</v>
      </c>
      <c r="G410" s="303"/>
      <c r="H410" s="303"/>
      <c r="I410" s="303"/>
      <c r="J410" s="1798"/>
      <c r="K410" s="303"/>
      <c r="L410" s="303" t="s">
        <v>1041</v>
      </c>
      <c r="M410" s="303"/>
      <c r="N410" s="303"/>
      <c r="O410" s="302"/>
      <c r="P410" s="302"/>
      <c r="Q410" s="302"/>
      <c r="R410" s="302"/>
      <c r="S410" s="302"/>
    </row>
    <row r="411" spans="1:19" x14ac:dyDescent="0.2">
      <c r="A411" s="303"/>
      <c r="B411" s="303"/>
      <c r="C411" s="303"/>
      <c r="D411" s="303"/>
      <c r="E411" s="303"/>
      <c r="F411" s="303" t="s">
        <v>2048</v>
      </c>
      <c r="G411" s="303"/>
      <c r="H411" s="303"/>
      <c r="I411" s="303"/>
      <c r="J411" s="1798"/>
      <c r="K411" s="303"/>
      <c r="L411" s="303" t="s">
        <v>1041</v>
      </c>
      <c r="M411" s="303"/>
      <c r="N411" s="303"/>
      <c r="O411" s="302"/>
      <c r="P411" s="302"/>
      <c r="Q411" s="302"/>
      <c r="R411" s="302"/>
      <c r="S411" s="302"/>
    </row>
    <row r="412" spans="1:19" x14ac:dyDescent="0.2">
      <c r="A412" s="303"/>
      <c r="B412" s="303"/>
      <c r="C412" s="303"/>
      <c r="D412" s="303"/>
      <c r="E412" s="303"/>
      <c r="F412" s="303" t="s">
        <v>2049</v>
      </c>
      <c r="G412" s="303"/>
      <c r="H412" s="303"/>
      <c r="I412" s="303"/>
      <c r="J412" s="1798"/>
      <c r="K412" s="303"/>
      <c r="L412" s="303" t="s">
        <v>1041</v>
      </c>
      <c r="M412" s="303"/>
      <c r="N412" s="303"/>
      <c r="O412" s="302"/>
      <c r="P412" s="302"/>
      <c r="Q412" s="302"/>
      <c r="R412" s="302"/>
      <c r="S412" s="302"/>
    </row>
    <row r="413" spans="1:19" x14ac:dyDescent="0.2">
      <c r="A413" s="303"/>
      <c r="B413" s="303"/>
      <c r="C413" s="303"/>
      <c r="D413" s="303"/>
      <c r="E413" s="303"/>
      <c r="F413" s="303" t="s">
        <v>2050</v>
      </c>
      <c r="G413" s="303"/>
      <c r="H413" s="303"/>
      <c r="I413" s="303"/>
      <c r="J413" s="1798"/>
      <c r="K413" s="303"/>
      <c r="L413" s="303" t="s">
        <v>1041</v>
      </c>
      <c r="M413" s="303"/>
      <c r="N413" s="303"/>
      <c r="O413" s="302"/>
      <c r="P413" s="302"/>
      <c r="Q413" s="302"/>
      <c r="R413" s="302"/>
      <c r="S413" s="302"/>
    </row>
    <row r="414" spans="1:19" x14ac:dyDescent="0.2">
      <c r="A414" s="303"/>
      <c r="B414" s="303"/>
      <c r="C414" s="303"/>
      <c r="D414" s="303"/>
      <c r="E414" s="303"/>
      <c r="F414" s="303" t="s">
        <v>2051</v>
      </c>
      <c r="G414" s="303"/>
      <c r="H414" s="303"/>
      <c r="I414" s="303"/>
      <c r="J414" s="1798"/>
      <c r="K414" s="303"/>
      <c r="L414" s="303" t="s">
        <v>1041</v>
      </c>
      <c r="M414" s="303"/>
      <c r="N414" s="303"/>
      <c r="O414" s="302"/>
      <c r="P414" s="302"/>
      <c r="Q414" s="302"/>
      <c r="R414" s="302"/>
      <c r="S414" s="302"/>
    </row>
    <row r="415" spans="1:19" x14ac:dyDescent="0.2">
      <c r="A415" s="303"/>
      <c r="B415" s="303"/>
      <c r="C415" s="303"/>
      <c r="D415" s="303"/>
      <c r="E415" s="303"/>
      <c r="F415" s="303" t="s">
        <v>2052</v>
      </c>
      <c r="G415" s="303"/>
      <c r="H415" s="303"/>
      <c r="I415" s="303"/>
      <c r="J415" s="1798"/>
      <c r="K415" s="303"/>
      <c r="L415" s="303" t="s">
        <v>1041</v>
      </c>
      <c r="M415" s="303"/>
      <c r="N415" s="303"/>
      <c r="O415" s="302"/>
      <c r="P415" s="302"/>
      <c r="Q415" s="302"/>
      <c r="R415" s="302"/>
      <c r="S415" s="302"/>
    </row>
    <row r="416" spans="1:19" x14ac:dyDescent="0.2">
      <c r="A416" s="303"/>
      <c r="B416" s="303"/>
      <c r="C416" s="303"/>
      <c r="D416" s="303"/>
      <c r="E416" s="303"/>
      <c r="F416" s="303" t="s">
        <v>2053</v>
      </c>
      <c r="G416" s="303"/>
      <c r="H416" s="303"/>
      <c r="I416" s="303"/>
      <c r="J416" s="1798"/>
      <c r="K416" s="303"/>
      <c r="L416" s="303" t="s">
        <v>1041</v>
      </c>
      <c r="M416" s="303"/>
      <c r="N416" s="303"/>
      <c r="O416" s="302"/>
      <c r="P416" s="302"/>
      <c r="Q416" s="302"/>
      <c r="R416" s="302"/>
      <c r="S416" s="302"/>
    </row>
    <row r="417" spans="1:19" x14ac:dyDescent="0.2">
      <c r="A417" s="303"/>
      <c r="B417" s="303"/>
      <c r="C417" s="303"/>
      <c r="D417" s="303"/>
      <c r="E417" s="303"/>
      <c r="F417" s="303" t="s">
        <v>2054</v>
      </c>
      <c r="G417" s="303"/>
      <c r="H417" s="303"/>
      <c r="I417" s="303"/>
      <c r="J417" s="1798"/>
      <c r="K417" s="303"/>
      <c r="L417" s="303" t="s">
        <v>1041</v>
      </c>
      <c r="M417" s="303"/>
      <c r="N417" s="303"/>
      <c r="O417" s="302"/>
      <c r="P417" s="302"/>
      <c r="Q417" s="302"/>
      <c r="R417" s="302"/>
      <c r="S417" s="302"/>
    </row>
    <row r="418" spans="1:19" x14ac:dyDescent="0.2">
      <c r="A418" s="303"/>
      <c r="B418" s="303"/>
      <c r="C418" s="303"/>
      <c r="D418" s="303"/>
      <c r="E418" s="303"/>
      <c r="F418" s="303" t="s">
        <v>2055</v>
      </c>
      <c r="G418" s="303"/>
      <c r="H418" s="303"/>
      <c r="I418" s="303"/>
      <c r="J418" s="1798"/>
      <c r="K418" s="303"/>
      <c r="L418" s="303" t="s">
        <v>1041</v>
      </c>
      <c r="M418" s="303"/>
      <c r="N418" s="303"/>
      <c r="O418" s="302"/>
      <c r="P418" s="302"/>
      <c r="Q418" s="302"/>
      <c r="R418" s="302"/>
      <c r="S418" s="302"/>
    </row>
    <row r="419" spans="1:19" x14ac:dyDescent="0.2">
      <c r="A419" s="303"/>
      <c r="B419" s="303"/>
      <c r="C419" s="303"/>
      <c r="D419" s="303"/>
      <c r="E419" s="303"/>
      <c r="F419" s="303" t="s">
        <v>2056</v>
      </c>
      <c r="G419" s="303"/>
      <c r="H419" s="303"/>
      <c r="I419" s="303"/>
      <c r="J419" s="1798"/>
      <c r="K419" s="303"/>
      <c r="L419" s="303" t="s">
        <v>1041</v>
      </c>
      <c r="M419" s="303"/>
      <c r="N419" s="303"/>
      <c r="O419" s="302"/>
      <c r="P419" s="302"/>
      <c r="Q419" s="302"/>
      <c r="R419" s="302"/>
      <c r="S419" s="302"/>
    </row>
    <row r="420" spans="1:19" x14ac:dyDescent="0.2">
      <c r="A420" s="303"/>
      <c r="B420" s="303"/>
      <c r="C420" s="303"/>
      <c r="D420" s="303"/>
      <c r="E420" s="303"/>
      <c r="F420" s="303" t="s">
        <v>2057</v>
      </c>
      <c r="G420" s="303"/>
      <c r="H420" s="303"/>
      <c r="I420" s="303"/>
      <c r="J420" s="1798"/>
      <c r="K420" s="303"/>
      <c r="L420" s="303" t="s">
        <v>1041</v>
      </c>
      <c r="M420" s="303"/>
      <c r="N420" s="303"/>
      <c r="O420" s="302"/>
      <c r="P420" s="302"/>
      <c r="Q420" s="302"/>
      <c r="R420" s="302"/>
      <c r="S420" s="302"/>
    </row>
    <row r="421" spans="1:19" x14ac:dyDescent="0.2">
      <c r="A421" s="303"/>
      <c r="B421" s="303"/>
      <c r="C421" s="303"/>
      <c r="D421" s="303"/>
      <c r="E421" s="303"/>
      <c r="F421" s="303" t="s">
        <v>2058</v>
      </c>
      <c r="G421" s="303"/>
      <c r="H421" s="303"/>
      <c r="I421" s="303"/>
      <c r="J421" s="1798"/>
      <c r="K421" s="303"/>
      <c r="L421" s="303" t="s">
        <v>1041</v>
      </c>
      <c r="M421" s="303"/>
      <c r="N421" s="303"/>
      <c r="O421" s="302"/>
      <c r="P421" s="302"/>
      <c r="Q421" s="302"/>
      <c r="R421" s="302"/>
      <c r="S421" s="302"/>
    </row>
    <row r="422" spans="1:19" x14ac:dyDescent="0.2">
      <c r="A422" s="303"/>
      <c r="B422" s="303"/>
      <c r="C422" s="303"/>
      <c r="D422" s="303"/>
      <c r="E422" s="303"/>
      <c r="F422" s="303" t="s">
        <v>2059</v>
      </c>
      <c r="G422" s="303"/>
      <c r="H422" s="303"/>
      <c r="I422" s="303"/>
      <c r="J422" s="1798"/>
      <c r="K422" s="303"/>
      <c r="L422" s="303" t="s">
        <v>1041</v>
      </c>
      <c r="M422" s="303"/>
      <c r="N422" s="303"/>
      <c r="O422" s="302"/>
      <c r="P422" s="302"/>
      <c r="Q422" s="302"/>
      <c r="R422" s="302"/>
      <c r="S422" s="302"/>
    </row>
    <row r="423" spans="1:19" x14ac:dyDescent="0.2">
      <c r="A423" s="303"/>
      <c r="B423" s="303"/>
      <c r="C423" s="303"/>
      <c r="D423" s="303"/>
      <c r="E423" s="303"/>
      <c r="F423" s="303" t="s">
        <v>2060</v>
      </c>
      <c r="G423" s="303"/>
      <c r="H423" s="303"/>
      <c r="I423" s="303"/>
      <c r="J423" s="1798"/>
      <c r="K423" s="303"/>
      <c r="L423" s="303" t="s">
        <v>1041</v>
      </c>
      <c r="M423" s="303"/>
      <c r="N423" s="303"/>
      <c r="O423" s="302"/>
      <c r="P423" s="302"/>
      <c r="Q423" s="302"/>
      <c r="R423" s="302"/>
      <c r="S423" s="302"/>
    </row>
    <row r="424" spans="1:19" x14ac:dyDescent="0.2">
      <c r="A424" s="303"/>
      <c r="B424" s="303"/>
      <c r="C424" s="303"/>
      <c r="D424" s="303"/>
      <c r="E424" s="303"/>
      <c r="F424" s="303" t="s">
        <v>2061</v>
      </c>
      <c r="G424" s="303"/>
      <c r="H424" s="303"/>
      <c r="I424" s="303"/>
      <c r="J424" s="1798"/>
      <c r="K424" s="303"/>
      <c r="L424" s="303" t="s">
        <v>1041</v>
      </c>
      <c r="M424" s="303"/>
      <c r="N424" s="303"/>
      <c r="O424" s="302"/>
      <c r="P424" s="302"/>
      <c r="Q424" s="302"/>
      <c r="R424" s="302"/>
      <c r="S424" s="302"/>
    </row>
    <row r="425" spans="1:19" x14ac:dyDescent="0.2">
      <c r="A425" s="303"/>
      <c r="B425" s="303"/>
      <c r="C425" s="303"/>
      <c r="D425" s="303"/>
      <c r="E425" s="303"/>
      <c r="F425" s="303" t="s">
        <v>2062</v>
      </c>
      <c r="G425" s="303"/>
      <c r="H425" s="303"/>
      <c r="I425" s="303"/>
      <c r="J425" s="1798"/>
      <c r="K425" s="303"/>
      <c r="L425" s="303" t="s">
        <v>1041</v>
      </c>
      <c r="M425" s="303"/>
      <c r="N425" s="303"/>
      <c r="O425" s="302"/>
      <c r="P425" s="302"/>
      <c r="Q425" s="302"/>
      <c r="R425" s="302"/>
      <c r="S425" s="302"/>
    </row>
    <row r="426" spans="1:19" x14ac:dyDescent="0.2">
      <c r="A426" s="303"/>
      <c r="B426" s="303"/>
      <c r="C426" s="303"/>
      <c r="D426" s="303"/>
      <c r="E426" s="303"/>
      <c r="F426" s="303" t="s">
        <v>2063</v>
      </c>
      <c r="G426" s="303"/>
      <c r="H426" s="303"/>
      <c r="I426" s="303"/>
      <c r="J426" s="1798"/>
      <c r="K426" s="303"/>
      <c r="L426" s="303" t="s">
        <v>1041</v>
      </c>
      <c r="M426" s="303"/>
      <c r="N426" s="303"/>
      <c r="O426" s="302"/>
      <c r="P426" s="302"/>
      <c r="Q426" s="302"/>
      <c r="R426" s="302"/>
      <c r="S426" s="302"/>
    </row>
    <row r="427" spans="1:19" x14ac:dyDescent="0.2">
      <c r="A427" s="303"/>
      <c r="B427" s="303"/>
      <c r="C427" s="303"/>
      <c r="D427" s="303"/>
      <c r="E427" s="303"/>
      <c r="F427" s="303" t="s">
        <v>2064</v>
      </c>
      <c r="G427" s="303"/>
      <c r="H427" s="303"/>
      <c r="I427" s="303"/>
      <c r="J427" s="1798"/>
      <c r="K427" s="303"/>
      <c r="L427" s="303" t="s">
        <v>1041</v>
      </c>
      <c r="M427" s="303"/>
      <c r="N427" s="303"/>
      <c r="O427" s="302"/>
      <c r="P427" s="302"/>
      <c r="Q427" s="302"/>
      <c r="R427" s="302"/>
      <c r="S427" s="302"/>
    </row>
    <row r="428" spans="1:19" x14ac:dyDescent="0.2">
      <c r="A428" s="303"/>
      <c r="B428" s="303"/>
      <c r="C428" s="303"/>
      <c r="D428" s="303"/>
      <c r="E428" s="303"/>
      <c r="F428" s="303" t="s">
        <v>2065</v>
      </c>
      <c r="G428" s="303"/>
      <c r="H428" s="303"/>
      <c r="I428" s="303"/>
      <c r="J428" s="1798"/>
      <c r="K428" s="303"/>
      <c r="L428" s="303" t="s">
        <v>1041</v>
      </c>
      <c r="M428" s="303"/>
      <c r="N428" s="303"/>
      <c r="O428" s="302"/>
      <c r="P428" s="302"/>
      <c r="Q428" s="302"/>
      <c r="R428" s="302"/>
      <c r="S428" s="302"/>
    </row>
    <row r="429" spans="1:19" x14ac:dyDescent="0.2">
      <c r="A429" s="303"/>
      <c r="B429" s="303"/>
      <c r="C429" s="303"/>
      <c r="D429" s="303"/>
      <c r="E429" s="303"/>
      <c r="F429" s="303" t="s">
        <v>2066</v>
      </c>
      <c r="G429" s="303"/>
      <c r="H429" s="303"/>
      <c r="I429" s="303"/>
      <c r="J429" s="1798"/>
      <c r="K429" s="303"/>
      <c r="L429" s="303" t="s">
        <v>1041</v>
      </c>
      <c r="M429" s="303"/>
      <c r="N429" s="303"/>
      <c r="O429" s="302"/>
      <c r="P429" s="302"/>
      <c r="Q429" s="302"/>
      <c r="R429" s="302"/>
      <c r="S429" s="302"/>
    </row>
    <row r="430" spans="1:19" x14ac:dyDescent="0.2">
      <c r="A430" s="303"/>
      <c r="B430" s="303"/>
      <c r="C430" s="303"/>
      <c r="D430" s="303"/>
      <c r="E430" s="303"/>
      <c r="F430" s="303" t="s">
        <v>2067</v>
      </c>
      <c r="G430" s="303"/>
      <c r="H430" s="303"/>
      <c r="I430" s="303"/>
      <c r="J430" s="1798"/>
      <c r="K430" s="303"/>
      <c r="L430" s="303" t="s">
        <v>1041</v>
      </c>
      <c r="M430" s="303"/>
      <c r="N430" s="303"/>
      <c r="O430" s="302"/>
      <c r="P430" s="302"/>
      <c r="Q430" s="302"/>
      <c r="R430" s="302"/>
      <c r="S430" s="302"/>
    </row>
    <row r="431" spans="1:19" x14ac:dyDescent="0.2">
      <c r="A431" s="303"/>
      <c r="B431" s="303"/>
      <c r="C431" s="303"/>
      <c r="D431" s="303"/>
      <c r="E431" s="303"/>
      <c r="F431" s="303" t="s">
        <v>2068</v>
      </c>
      <c r="G431" s="303"/>
      <c r="H431" s="303"/>
      <c r="I431" s="303"/>
      <c r="J431" s="1798"/>
      <c r="K431" s="303"/>
      <c r="L431" s="303" t="s">
        <v>1041</v>
      </c>
      <c r="M431" s="303"/>
      <c r="N431" s="303"/>
      <c r="O431" s="302"/>
      <c r="P431" s="302"/>
      <c r="Q431" s="302"/>
      <c r="R431" s="302"/>
      <c r="S431" s="302"/>
    </row>
    <row r="432" spans="1:19" x14ac:dyDescent="0.2">
      <c r="A432" s="303"/>
      <c r="B432" s="303"/>
      <c r="C432" s="303"/>
      <c r="D432" s="303"/>
      <c r="E432" s="303"/>
      <c r="F432" s="303" t="s">
        <v>2069</v>
      </c>
      <c r="G432" s="303"/>
      <c r="H432" s="303"/>
      <c r="I432" s="303"/>
      <c r="J432" s="1798"/>
      <c r="K432" s="303"/>
      <c r="L432" s="303" t="s">
        <v>1041</v>
      </c>
      <c r="M432" s="303"/>
      <c r="N432" s="303"/>
      <c r="O432" s="302"/>
      <c r="P432" s="302"/>
      <c r="Q432" s="302"/>
      <c r="R432" s="302"/>
      <c r="S432" s="302"/>
    </row>
    <row r="433" spans="1:19" x14ac:dyDescent="0.2">
      <c r="A433" s="303"/>
      <c r="B433" s="303"/>
      <c r="C433" s="303"/>
      <c r="D433" s="303"/>
      <c r="E433" s="303"/>
      <c r="F433" s="303" t="s">
        <v>2070</v>
      </c>
      <c r="G433" s="303"/>
      <c r="H433" s="303"/>
      <c r="I433" s="303"/>
      <c r="J433" s="1798"/>
      <c r="K433" s="303"/>
      <c r="L433" s="303" t="s">
        <v>1041</v>
      </c>
      <c r="M433" s="303"/>
      <c r="N433" s="303"/>
      <c r="O433" s="302"/>
      <c r="P433" s="302"/>
      <c r="Q433" s="302"/>
      <c r="R433" s="302"/>
      <c r="S433" s="302"/>
    </row>
    <row r="434" spans="1:19" x14ac:dyDescent="0.2">
      <c r="A434" s="303"/>
      <c r="B434" s="303"/>
      <c r="C434" s="303"/>
      <c r="D434" s="303"/>
      <c r="E434" s="303"/>
      <c r="F434" s="303" t="s">
        <v>2071</v>
      </c>
      <c r="G434" s="303"/>
      <c r="H434" s="303"/>
      <c r="I434" s="303"/>
      <c r="J434" s="1798"/>
      <c r="K434" s="303"/>
      <c r="L434" s="303" t="s">
        <v>1041</v>
      </c>
      <c r="M434" s="303"/>
      <c r="N434" s="303"/>
      <c r="O434" s="302"/>
      <c r="P434" s="302"/>
      <c r="Q434" s="302"/>
      <c r="R434" s="302"/>
      <c r="S434" s="302"/>
    </row>
    <row r="435" spans="1:19" x14ac:dyDescent="0.2">
      <c r="A435" s="303"/>
      <c r="B435" s="303"/>
      <c r="C435" s="303"/>
      <c r="D435" s="303"/>
      <c r="E435" s="303"/>
      <c r="F435" s="303" t="s">
        <v>2072</v>
      </c>
      <c r="G435" s="303"/>
      <c r="H435" s="303"/>
      <c r="I435" s="303"/>
      <c r="J435" s="1798"/>
      <c r="K435" s="303"/>
      <c r="L435" s="303" t="s">
        <v>1041</v>
      </c>
      <c r="M435" s="303"/>
      <c r="N435" s="303"/>
      <c r="O435" s="302"/>
      <c r="P435" s="302"/>
      <c r="Q435" s="302"/>
      <c r="R435" s="302"/>
      <c r="S435" s="302"/>
    </row>
    <row r="436" spans="1:19" x14ac:dyDescent="0.2">
      <c r="A436" s="303"/>
      <c r="B436" s="303"/>
      <c r="C436" s="303"/>
      <c r="D436" s="303"/>
      <c r="E436" s="303"/>
      <c r="F436" s="303" t="s">
        <v>2073</v>
      </c>
      <c r="G436" s="303"/>
      <c r="H436" s="303"/>
      <c r="I436" s="303"/>
      <c r="J436" s="1798"/>
      <c r="K436" s="303"/>
      <c r="L436" s="303" t="s">
        <v>1041</v>
      </c>
      <c r="M436" s="303"/>
      <c r="N436" s="303"/>
      <c r="O436" s="302"/>
      <c r="P436" s="302"/>
      <c r="Q436" s="302"/>
      <c r="R436" s="302"/>
      <c r="S436" s="302"/>
    </row>
    <row r="437" spans="1:19" x14ac:dyDescent="0.2">
      <c r="A437" s="303"/>
      <c r="B437" s="303"/>
      <c r="C437" s="303"/>
      <c r="D437" s="303"/>
      <c r="E437" s="303"/>
      <c r="F437" s="303" t="s">
        <v>2074</v>
      </c>
      <c r="G437" s="303"/>
      <c r="H437" s="303"/>
      <c r="I437" s="303"/>
      <c r="J437" s="1798"/>
      <c r="K437" s="303"/>
      <c r="L437" s="303" t="s">
        <v>1041</v>
      </c>
      <c r="M437" s="303"/>
      <c r="N437" s="303"/>
      <c r="O437" s="302"/>
      <c r="P437" s="302"/>
      <c r="Q437" s="302"/>
      <c r="R437" s="302"/>
      <c r="S437" s="302"/>
    </row>
    <row r="438" spans="1:19" x14ac:dyDescent="0.2">
      <c r="A438" s="303"/>
      <c r="B438" s="303"/>
      <c r="C438" s="303"/>
      <c r="D438" s="303"/>
      <c r="E438" s="303"/>
      <c r="F438" s="303" t="s">
        <v>2075</v>
      </c>
      <c r="G438" s="303"/>
      <c r="H438" s="303"/>
      <c r="I438" s="303"/>
      <c r="J438" s="1798"/>
      <c r="K438" s="303"/>
      <c r="L438" s="303" t="s">
        <v>1041</v>
      </c>
      <c r="M438" s="303"/>
      <c r="N438" s="303"/>
      <c r="O438" s="302"/>
      <c r="P438" s="302"/>
      <c r="Q438" s="302"/>
      <c r="R438" s="302"/>
      <c r="S438" s="302"/>
    </row>
    <row r="439" spans="1:19" x14ac:dyDescent="0.2">
      <c r="A439" s="303"/>
      <c r="B439" s="303"/>
      <c r="C439" s="303"/>
      <c r="D439" s="303"/>
      <c r="E439" s="303"/>
      <c r="F439" s="303" t="s">
        <v>2076</v>
      </c>
      <c r="G439" s="303"/>
      <c r="H439" s="303"/>
      <c r="I439" s="303"/>
      <c r="J439" s="1798"/>
      <c r="K439" s="303"/>
      <c r="L439" s="303" t="s">
        <v>1041</v>
      </c>
      <c r="M439" s="303"/>
      <c r="N439" s="303"/>
      <c r="O439" s="302"/>
      <c r="P439" s="302"/>
      <c r="Q439" s="302"/>
      <c r="R439" s="302"/>
      <c r="S439" s="302"/>
    </row>
    <row r="440" spans="1:19" x14ac:dyDescent="0.2">
      <c r="A440" s="303"/>
      <c r="B440" s="303"/>
      <c r="C440" s="303"/>
      <c r="D440" s="303"/>
      <c r="E440" s="303"/>
      <c r="F440" s="303" t="s">
        <v>2077</v>
      </c>
      <c r="G440" s="303"/>
      <c r="H440" s="303"/>
      <c r="I440" s="303"/>
      <c r="J440" s="1798"/>
      <c r="K440" s="303"/>
      <c r="L440" s="303" t="s">
        <v>1041</v>
      </c>
      <c r="M440" s="303"/>
      <c r="N440" s="303"/>
      <c r="O440" s="302"/>
      <c r="P440" s="302"/>
      <c r="Q440" s="302"/>
      <c r="R440" s="302"/>
      <c r="S440" s="302"/>
    </row>
    <row r="441" spans="1:19" x14ac:dyDescent="0.2">
      <c r="A441" s="303"/>
      <c r="B441" s="303"/>
      <c r="C441" s="303"/>
      <c r="D441" s="303"/>
      <c r="E441" s="303"/>
      <c r="F441" s="303" t="s">
        <v>2078</v>
      </c>
      <c r="G441" s="303"/>
      <c r="H441" s="303"/>
      <c r="I441" s="303"/>
      <c r="J441" s="1798"/>
      <c r="K441" s="303"/>
      <c r="L441" s="303" t="s">
        <v>1041</v>
      </c>
      <c r="M441" s="303"/>
      <c r="N441" s="303"/>
      <c r="O441" s="302"/>
      <c r="P441" s="302"/>
      <c r="Q441" s="302"/>
      <c r="R441" s="302"/>
      <c r="S441" s="302"/>
    </row>
    <row r="442" spans="1:19" x14ac:dyDescent="0.2">
      <c r="A442" s="303"/>
      <c r="B442" s="303"/>
      <c r="C442" s="303"/>
      <c r="D442" s="303"/>
      <c r="E442" s="303"/>
      <c r="F442" s="303" t="s">
        <v>2079</v>
      </c>
      <c r="G442" s="303"/>
      <c r="H442" s="303"/>
      <c r="I442" s="303"/>
      <c r="J442" s="1798"/>
      <c r="K442" s="303"/>
      <c r="L442" s="303" t="s">
        <v>1041</v>
      </c>
      <c r="M442" s="303"/>
      <c r="N442" s="303"/>
      <c r="O442" s="302"/>
      <c r="P442" s="302"/>
      <c r="Q442" s="302"/>
      <c r="R442" s="302"/>
      <c r="S442" s="302"/>
    </row>
    <row r="443" spans="1:19" x14ac:dyDescent="0.2">
      <c r="A443" s="303"/>
      <c r="B443" s="303"/>
      <c r="C443" s="303"/>
      <c r="D443" s="303"/>
      <c r="E443" s="303"/>
      <c r="F443" s="303" t="s">
        <v>2080</v>
      </c>
      <c r="G443" s="303"/>
      <c r="H443" s="303"/>
      <c r="I443" s="303"/>
      <c r="J443" s="1798"/>
      <c r="K443" s="303"/>
      <c r="L443" s="303" t="s">
        <v>1041</v>
      </c>
      <c r="M443" s="303"/>
      <c r="N443" s="303"/>
      <c r="O443" s="302"/>
      <c r="P443" s="302"/>
      <c r="Q443" s="302"/>
      <c r="R443" s="302"/>
      <c r="S443" s="302"/>
    </row>
    <row r="444" spans="1:19" x14ac:dyDescent="0.2">
      <c r="A444" s="303"/>
      <c r="B444" s="303"/>
      <c r="C444" s="303"/>
      <c r="D444" s="303"/>
      <c r="E444" s="303"/>
      <c r="F444" s="303" t="s">
        <v>2081</v>
      </c>
      <c r="G444" s="303"/>
      <c r="H444" s="303"/>
      <c r="I444" s="303"/>
      <c r="J444" s="1798"/>
      <c r="K444" s="303"/>
      <c r="L444" s="303" t="s">
        <v>1041</v>
      </c>
      <c r="M444" s="303"/>
      <c r="N444" s="303"/>
      <c r="O444" s="302"/>
      <c r="P444" s="302"/>
      <c r="Q444" s="302"/>
      <c r="R444" s="302"/>
      <c r="S444" s="302"/>
    </row>
    <row r="445" spans="1:19" x14ac:dyDescent="0.2">
      <c r="A445" s="303"/>
      <c r="B445" s="303"/>
      <c r="C445" s="303"/>
      <c r="D445" s="303"/>
      <c r="E445" s="303"/>
      <c r="F445" s="303" t="s">
        <v>2082</v>
      </c>
      <c r="G445" s="303"/>
      <c r="H445" s="303"/>
      <c r="I445" s="303"/>
      <c r="J445" s="1798"/>
      <c r="K445" s="303"/>
      <c r="L445" s="303" t="s">
        <v>1041</v>
      </c>
      <c r="M445" s="303"/>
      <c r="N445" s="303"/>
      <c r="O445" s="302"/>
      <c r="P445" s="302"/>
      <c r="Q445" s="302"/>
      <c r="R445" s="302"/>
      <c r="S445" s="302"/>
    </row>
    <row r="446" spans="1:19" x14ac:dyDescent="0.2">
      <c r="A446" s="303"/>
      <c r="B446" s="303"/>
      <c r="C446" s="303"/>
      <c r="D446" s="303"/>
      <c r="E446" s="303"/>
      <c r="F446" s="303" t="s">
        <v>2083</v>
      </c>
      <c r="G446" s="303"/>
      <c r="H446" s="303"/>
      <c r="I446" s="303"/>
      <c r="J446" s="1798"/>
      <c r="K446" s="303"/>
      <c r="L446" s="303" t="s">
        <v>1041</v>
      </c>
      <c r="M446" s="303"/>
      <c r="N446" s="303"/>
      <c r="O446" s="302"/>
      <c r="P446" s="302"/>
      <c r="Q446" s="302"/>
      <c r="R446" s="302"/>
      <c r="S446" s="302"/>
    </row>
    <row r="447" spans="1:19" x14ac:dyDescent="0.2">
      <c r="A447" s="303"/>
      <c r="B447" s="303"/>
      <c r="C447" s="303"/>
      <c r="D447" s="303"/>
      <c r="E447" s="303"/>
      <c r="F447" s="303" t="s">
        <v>2084</v>
      </c>
      <c r="G447" s="303"/>
      <c r="H447" s="303"/>
      <c r="I447" s="303"/>
      <c r="J447" s="1798"/>
      <c r="K447" s="303"/>
      <c r="L447" s="303" t="s">
        <v>1041</v>
      </c>
      <c r="M447" s="303"/>
      <c r="N447" s="303"/>
      <c r="O447" s="302"/>
      <c r="P447" s="302"/>
      <c r="Q447" s="302"/>
      <c r="R447" s="302"/>
      <c r="S447" s="302"/>
    </row>
    <row r="448" spans="1:19" x14ac:dyDescent="0.2">
      <c r="A448" s="303"/>
      <c r="B448" s="303"/>
      <c r="C448" s="303"/>
      <c r="D448" s="303"/>
      <c r="E448" s="303"/>
      <c r="F448" s="303" t="s">
        <v>2085</v>
      </c>
      <c r="G448" s="303"/>
      <c r="H448" s="303"/>
      <c r="I448" s="303"/>
      <c r="J448" s="1798"/>
      <c r="K448" s="303"/>
      <c r="L448" s="303" t="s">
        <v>1041</v>
      </c>
      <c r="M448" s="303"/>
      <c r="N448" s="303"/>
      <c r="O448" s="302"/>
      <c r="P448" s="302"/>
      <c r="Q448" s="302"/>
      <c r="R448" s="302"/>
      <c r="S448" s="302"/>
    </row>
    <row r="449" spans="1:19" x14ac:dyDescent="0.2">
      <c r="A449" s="303"/>
      <c r="B449" s="303"/>
      <c r="C449" s="303"/>
      <c r="D449" s="303"/>
      <c r="E449" s="303"/>
      <c r="F449" s="303" t="s">
        <v>2086</v>
      </c>
      <c r="G449" s="303"/>
      <c r="H449" s="303"/>
      <c r="I449" s="303"/>
      <c r="J449" s="1798"/>
      <c r="K449" s="303"/>
      <c r="L449" s="303" t="s">
        <v>1041</v>
      </c>
      <c r="M449" s="303"/>
      <c r="N449" s="303"/>
      <c r="O449" s="302"/>
      <c r="P449" s="302"/>
      <c r="Q449" s="302"/>
      <c r="R449" s="302"/>
      <c r="S449" s="302"/>
    </row>
    <row r="450" spans="1:19" x14ac:dyDescent="0.2">
      <c r="A450" s="303"/>
      <c r="B450" s="303"/>
      <c r="C450" s="303"/>
      <c r="D450" s="303"/>
      <c r="E450" s="303"/>
      <c r="F450" s="303" t="s">
        <v>2087</v>
      </c>
      <c r="G450" s="303"/>
      <c r="H450" s="303"/>
      <c r="I450" s="303"/>
      <c r="J450" s="1798"/>
      <c r="K450" s="303"/>
      <c r="L450" s="303" t="s">
        <v>1041</v>
      </c>
      <c r="M450" s="303"/>
      <c r="N450" s="303"/>
      <c r="O450" s="302"/>
      <c r="P450" s="302"/>
      <c r="Q450" s="302"/>
      <c r="R450" s="302"/>
      <c r="S450" s="302"/>
    </row>
    <row r="451" spans="1:19" x14ac:dyDescent="0.2">
      <c r="A451" s="303"/>
      <c r="B451" s="303"/>
      <c r="C451" s="303"/>
      <c r="D451" s="303"/>
      <c r="E451" s="303"/>
      <c r="F451" s="303" t="s">
        <v>2088</v>
      </c>
      <c r="G451" s="303"/>
      <c r="H451" s="303"/>
      <c r="I451" s="303"/>
      <c r="J451" s="1798"/>
      <c r="K451" s="303"/>
      <c r="L451" s="303" t="s">
        <v>1041</v>
      </c>
      <c r="M451" s="303"/>
      <c r="N451" s="303"/>
      <c r="O451" s="302"/>
      <c r="P451" s="302"/>
      <c r="Q451" s="302"/>
      <c r="R451" s="302"/>
      <c r="S451" s="302"/>
    </row>
    <row r="452" spans="1:19" x14ac:dyDescent="0.2">
      <c r="A452" s="303"/>
      <c r="B452" s="303"/>
      <c r="C452" s="303"/>
      <c r="D452" s="303"/>
      <c r="E452" s="303"/>
      <c r="F452" s="303" t="s">
        <v>2089</v>
      </c>
      <c r="G452" s="303"/>
      <c r="H452" s="303"/>
      <c r="I452" s="303"/>
      <c r="J452" s="1798"/>
      <c r="K452" s="303"/>
      <c r="L452" s="303" t="s">
        <v>1041</v>
      </c>
      <c r="M452" s="303"/>
      <c r="N452" s="303"/>
      <c r="O452" s="302"/>
      <c r="P452" s="302"/>
      <c r="Q452" s="302"/>
      <c r="R452" s="302"/>
      <c r="S452" s="302"/>
    </row>
    <row r="453" spans="1:19" x14ac:dyDescent="0.2">
      <c r="A453" s="303"/>
      <c r="B453" s="303"/>
      <c r="C453" s="303"/>
      <c r="D453" s="303"/>
      <c r="E453" s="303"/>
      <c r="F453" s="303" t="s">
        <v>2090</v>
      </c>
      <c r="G453" s="303"/>
      <c r="H453" s="303"/>
      <c r="I453" s="303"/>
      <c r="J453" s="1798"/>
      <c r="K453" s="303"/>
      <c r="L453" s="303" t="s">
        <v>1041</v>
      </c>
      <c r="M453" s="303"/>
      <c r="N453" s="303"/>
      <c r="O453" s="302"/>
      <c r="P453" s="302"/>
      <c r="Q453" s="302"/>
      <c r="R453" s="302"/>
      <c r="S453" s="302"/>
    </row>
    <row r="454" spans="1:19" x14ac:dyDescent="0.2">
      <c r="A454" s="303"/>
      <c r="B454" s="303"/>
      <c r="C454" s="303"/>
      <c r="D454" s="303"/>
      <c r="E454" s="303"/>
      <c r="F454" s="303" t="s">
        <v>2091</v>
      </c>
      <c r="G454" s="303"/>
      <c r="H454" s="303"/>
      <c r="I454" s="303"/>
      <c r="J454" s="1798"/>
      <c r="K454" s="303"/>
      <c r="L454" s="303" t="s">
        <v>1041</v>
      </c>
      <c r="M454" s="303"/>
      <c r="N454" s="303"/>
      <c r="O454" s="302"/>
      <c r="P454" s="302"/>
      <c r="Q454" s="302"/>
      <c r="R454" s="302"/>
      <c r="S454" s="302"/>
    </row>
    <row r="455" spans="1:19" x14ac:dyDescent="0.2">
      <c r="A455" s="303"/>
      <c r="B455" s="303"/>
      <c r="C455" s="303"/>
      <c r="D455" s="303"/>
      <c r="E455" s="303"/>
      <c r="F455" s="303" t="s">
        <v>2092</v>
      </c>
      <c r="G455" s="303"/>
      <c r="H455" s="303"/>
      <c r="I455" s="303"/>
      <c r="J455" s="1798"/>
      <c r="K455" s="303"/>
      <c r="L455" s="303" t="s">
        <v>1041</v>
      </c>
      <c r="M455" s="303"/>
      <c r="N455" s="303"/>
      <c r="O455" s="302"/>
      <c r="P455" s="302"/>
      <c r="Q455" s="302"/>
      <c r="R455" s="302"/>
      <c r="S455" s="302"/>
    </row>
    <row r="456" spans="1:19" x14ac:dyDescent="0.2">
      <c r="A456" s="303"/>
      <c r="B456" s="303"/>
      <c r="C456" s="303"/>
      <c r="D456" s="303"/>
      <c r="E456" s="303"/>
      <c r="F456" s="303" t="s">
        <v>2093</v>
      </c>
      <c r="G456" s="303"/>
      <c r="H456" s="303"/>
      <c r="I456" s="303"/>
      <c r="J456" s="1798"/>
      <c r="K456" s="303"/>
      <c r="L456" s="303" t="s">
        <v>1041</v>
      </c>
      <c r="M456" s="303"/>
      <c r="N456" s="303"/>
      <c r="O456" s="302"/>
      <c r="P456" s="302"/>
      <c r="Q456" s="302"/>
      <c r="R456" s="302"/>
      <c r="S456" s="302"/>
    </row>
    <row r="457" spans="1:19" x14ac:dyDescent="0.2">
      <c r="A457" s="303"/>
      <c r="B457" s="303"/>
      <c r="C457" s="303"/>
      <c r="D457" s="303"/>
      <c r="E457" s="303"/>
      <c r="F457" s="303" t="s">
        <v>2094</v>
      </c>
      <c r="G457" s="303"/>
      <c r="H457" s="303"/>
      <c r="I457" s="303"/>
      <c r="J457" s="1798"/>
      <c r="K457" s="303"/>
      <c r="L457" s="303" t="s">
        <v>1041</v>
      </c>
      <c r="M457" s="303"/>
      <c r="N457" s="303"/>
      <c r="O457" s="302"/>
      <c r="P457" s="302"/>
      <c r="Q457" s="302"/>
      <c r="R457" s="302"/>
      <c r="S457" s="302"/>
    </row>
    <row r="458" spans="1:19" x14ac:dyDescent="0.2">
      <c r="A458" s="303"/>
      <c r="B458" s="303"/>
      <c r="C458" s="303"/>
      <c r="D458" s="303"/>
      <c r="E458" s="303"/>
      <c r="F458" s="303" t="s">
        <v>2095</v>
      </c>
      <c r="G458" s="303"/>
      <c r="H458" s="303"/>
      <c r="I458" s="303"/>
      <c r="J458" s="1798"/>
      <c r="K458" s="303"/>
      <c r="L458" s="303" t="s">
        <v>1041</v>
      </c>
      <c r="M458" s="303"/>
      <c r="N458" s="303"/>
      <c r="O458" s="302"/>
      <c r="P458" s="302"/>
      <c r="Q458" s="302"/>
      <c r="R458" s="302"/>
      <c r="S458" s="302"/>
    </row>
    <row r="459" spans="1:19" x14ac:dyDescent="0.2">
      <c r="A459" s="303"/>
      <c r="B459" s="303"/>
      <c r="C459" s="303"/>
      <c r="D459" s="303"/>
      <c r="E459" s="303"/>
      <c r="F459" s="303" t="s">
        <v>2096</v>
      </c>
      <c r="G459" s="303"/>
      <c r="H459" s="303"/>
      <c r="I459" s="303"/>
      <c r="J459" s="1798"/>
      <c r="K459" s="303"/>
      <c r="L459" s="303" t="s">
        <v>1041</v>
      </c>
      <c r="M459" s="303"/>
      <c r="N459" s="303"/>
      <c r="O459" s="302"/>
      <c r="P459" s="302"/>
      <c r="Q459" s="302"/>
      <c r="R459" s="302"/>
      <c r="S459" s="302"/>
    </row>
    <row r="460" spans="1:19" x14ac:dyDescent="0.2">
      <c r="A460" s="303"/>
      <c r="B460" s="303"/>
      <c r="C460" s="303"/>
      <c r="D460" s="303"/>
      <c r="E460" s="303"/>
      <c r="F460" s="303" t="s">
        <v>2097</v>
      </c>
      <c r="G460" s="303"/>
      <c r="H460" s="303"/>
      <c r="I460" s="303"/>
      <c r="J460" s="1798"/>
      <c r="K460" s="303"/>
      <c r="L460" s="303" t="s">
        <v>1041</v>
      </c>
      <c r="M460" s="303"/>
      <c r="N460" s="303"/>
      <c r="O460" s="302"/>
      <c r="P460" s="302"/>
      <c r="Q460" s="302"/>
      <c r="R460" s="302"/>
      <c r="S460" s="302"/>
    </row>
    <row r="461" spans="1:19" x14ac:dyDescent="0.2">
      <c r="A461" s="303"/>
      <c r="B461" s="303"/>
      <c r="C461" s="303"/>
      <c r="D461" s="303"/>
      <c r="E461" s="303"/>
      <c r="F461" s="303" t="s">
        <v>2098</v>
      </c>
      <c r="G461" s="303"/>
      <c r="H461" s="303"/>
      <c r="I461" s="303"/>
      <c r="J461" s="1798"/>
      <c r="K461" s="303"/>
      <c r="L461" s="303" t="s">
        <v>1041</v>
      </c>
      <c r="M461" s="303"/>
      <c r="N461" s="303"/>
      <c r="O461" s="302"/>
      <c r="P461" s="302"/>
      <c r="Q461" s="302"/>
      <c r="R461" s="302"/>
      <c r="S461" s="302"/>
    </row>
    <row r="462" spans="1:19" x14ac:dyDescent="0.2">
      <c r="A462" s="303"/>
      <c r="B462" s="303"/>
      <c r="C462" s="303"/>
      <c r="D462" s="303"/>
      <c r="E462" s="303"/>
      <c r="F462" s="303" t="s">
        <v>2099</v>
      </c>
      <c r="G462" s="303"/>
      <c r="H462" s="303"/>
      <c r="I462" s="303"/>
      <c r="J462" s="1798"/>
      <c r="K462" s="303"/>
      <c r="L462" s="303" t="s">
        <v>1041</v>
      </c>
      <c r="M462" s="303"/>
      <c r="N462" s="303"/>
      <c r="O462" s="302"/>
      <c r="P462" s="302"/>
      <c r="Q462" s="302"/>
      <c r="R462" s="302"/>
      <c r="S462" s="302"/>
    </row>
    <row r="463" spans="1:19" x14ac:dyDescent="0.2">
      <c r="A463" s="303"/>
      <c r="B463" s="303"/>
      <c r="C463" s="303"/>
      <c r="D463" s="303"/>
      <c r="E463" s="303"/>
      <c r="F463" s="303" t="s">
        <v>2100</v>
      </c>
      <c r="G463" s="303"/>
      <c r="H463" s="303"/>
      <c r="I463" s="303"/>
      <c r="J463" s="1798"/>
      <c r="K463" s="303"/>
      <c r="L463" s="303" t="s">
        <v>1041</v>
      </c>
      <c r="M463" s="303"/>
      <c r="N463" s="303"/>
      <c r="O463" s="302"/>
      <c r="P463" s="302"/>
      <c r="Q463" s="302"/>
      <c r="R463" s="302"/>
      <c r="S463" s="302"/>
    </row>
    <row r="464" spans="1:19" x14ac:dyDescent="0.2">
      <c r="A464" s="303"/>
      <c r="B464" s="303"/>
      <c r="C464" s="303"/>
      <c r="D464" s="303"/>
      <c r="E464" s="303"/>
      <c r="F464" s="303" t="s">
        <v>2101</v>
      </c>
      <c r="G464" s="303"/>
      <c r="H464" s="303"/>
      <c r="I464" s="303"/>
      <c r="J464" s="1798"/>
      <c r="K464" s="303"/>
      <c r="L464" s="303" t="s">
        <v>1041</v>
      </c>
      <c r="M464" s="303"/>
      <c r="N464" s="303"/>
      <c r="O464" s="302"/>
      <c r="P464" s="302"/>
      <c r="Q464" s="302"/>
      <c r="R464" s="302"/>
      <c r="S464" s="302"/>
    </row>
    <row r="465" spans="1:19" x14ac:dyDescent="0.2">
      <c r="A465" s="303"/>
      <c r="B465" s="303"/>
      <c r="C465" s="303"/>
      <c r="D465" s="303"/>
      <c r="E465" s="303"/>
      <c r="F465" s="303" t="s">
        <v>2102</v>
      </c>
      <c r="G465" s="303"/>
      <c r="H465" s="303"/>
      <c r="I465" s="303"/>
      <c r="J465" s="1798"/>
      <c r="K465" s="303"/>
      <c r="L465" s="303" t="s">
        <v>1041</v>
      </c>
      <c r="M465" s="303"/>
      <c r="N465" s="303"/>
      <c r="O465" s="302"/>
      <c r="P465" s="302"/>
      <c r="Q465" s="302"/>
      <c r="R465" s="302"/>
      <c r="S465" s="302"/>
    </row>
    <row r="466" spans="1:19" x14ac:dyDescent="0.2">
      <c r="A466" s="303"/>
      <c r="B466" s="303"/>
      <c r="C466" s="303"/>
      <c r="D466" s="303"/>
      <c r="E466" s="303"/>
      <c r="F466" s="303" t="s">
        <v>2103</v>
      </c>
      <c r="G466" s="303"/>
      <c r="H466" s="303"/>
      <c r="I466" s="303"/>
      <c r="J466" s="1798"/>
      <c r="K466" s="303"/>
      <c r="L466" s="303" t="s">
        <v>1041</v>
      </c>
      <c r="M466" s="303"/>
      <c r="N466" s="303"/>
      <c r="O466" s="302"/>
      <c r="P466" s="302"/>
      <c r="Q466" s="302"/>
      <c r="R466" s="302"/>
      <c r="S466" s="302"/>
    </row>
    <row r="467" spans="1:19" x14ac:dyDescent="0.2">
      <c r="A467" s="303"/>
      <c r="B467" s="303"/>
      <c r="C467" s="303"/>
      <c r="D467" s="303"/>
      <c r="E467" s="303"/>
      <c r="F467" s="303" t="s">
        <v>2104</v>
      </c>
      <c r="G467" s="303"/>
      <c r="H467" s="303"/>
      <c r="I467" s="303"/>
      <c r="J467" s="1798"/>
      <c r="K467" s="303"/>
      <c r="L467" s="303" t="s">
        <v>1041</v>
      </c>
      <c r="M467" s="303"/>
      <c r="N467" s="303"/>
      <c r="O467" s="302"/>
      <c r="P467" s="302"/>
      <c r="Q467" s="302"/>
      <c r="R467" s="302"/>
      <c r="S467" s="302"/>
    </row>
    <row r="468" spans="1:19" x14ac:dyDescent="0.2">
      <c r="A468" s="303"/>
      <c r="B468" s="303"/>
      <c r="C468" s="303"/>
      <c r="D468" s="303"/>
      <c r="E468" s="303"/>
      <c r="F468" s="303" t="s">
        <v>2105</v>
      </c>
      <c r="G468" s="303"/>
      <c r="H468" s="303"/>
      <c r="I468" s="303"/>
      <c r="J468" s="1798"/>
      <c r="K468" s="303"/>
      <c r="L468" s="303" t="s">
        <v>1041</v>
      </c>
      <c r="M468" s="303"/>
      <c r="N468" s="303"/>
      <c r="O468" s="302"/>
      <c r="P468" s="302"/>
      <c r="Q468" s="302"/>
      <c r="R468" s="302"/>
      <c r="S468" s="302"/>
    </row>
    <row r="469" spans="1:19" x14ac:dyDescent="0.2">
      <c r="A469" s="303"/>
      <c r="B469" s="303"/>
      <c r="C469" s="303"/>
      <c r="D469" s="303"/>
      <c r="E469" s="303"/>
      <c r="F469" s="303" t="s">
        <v>2106</v>
      </c>
      <c r="G469" s="303"/>
      <c r="H469" s="303"/>
      <c r="I469" s="303"/>
      <c r="J469" s="1798"/>
      <c r="K469" s="303"/>
      <c r="L469" s="303" t="s">
        <v>1041</v>
      </c>
      <c r="M469" s="303"/>
      <c r="N469" s="303"/>
      <c r="O469" s="302"/>
      <c r="P469" s="302"/>
      <c r="Q469" s="302"/>
      <c r="R469" s="302"/>
      <c r="S469" s="302"/>
    </row>
    <row r="470" spans="1:19" x14ac:dyDescent="0.2">
      <c r="A470" s="303"/>
      <c r="B470" s="303"/>
      <c r="C470" s="303"/>
      <c r="D470" s="303"/>
      <c r="E470" s="303"/>
      <c r="F470" s="303" t="s">
        <v>2107</v>
      </c>
      <c r="G470" s="303"/>
      <c r="H470" s="303"/>
      <c r="I470" s="303"/>
      <c r="J470" s="1798"/>
      <c r="K470" s="303"/>
      <c r="L470" s="303" t="s">
        <v>1041</v>
      </c>
      <c r="M470" s="303"/>
      <c r="N470" s="303"/>
      <c r="O470" s="302"/>
      <c r="P470" s="302"/>
      <c r="Q470" s="302"/>
      <c r="R470" s="302"/>
      <c r="S470" s="302"/>
    </row>
    <row r="471" spans="1:19" x14ac:dyDescent="0.2">
      <c r="A471" s="303"/>
      <c r="B471" s="303"/>
      <c r="C471" s="303"/>
      <c r="D471" s="303"/>
      <c r="E471" s="303"/>
      <c r="F471" s="303" t="s">
        <v>2108</v>
      </c>
      <c r="G471" s="303"/>
      <c r="H471" s="303"/>
      <c r="I471" s="303"/>
      <c r="J471" s="1798"/>
      <c r="K471" s="303"/>
      <c r="L471" s="303" t="s">
        <v>1041</v>
      </c>
      <c r="M471" s="303"/>
      <c r="N471" s="303"/>
      <c r="O471" s="302"/>
      <c r="P471" s="302"/>
      <c r="Q471" s="302"/>
      <c r="R471" s="302"/>
      <c r="S471" s="302"/>
    </row>
    <row r="472" spans="1:19" x14ac:dyDescent="0.2">
      <c r="A472" s="303"/>
      <c r="B472" s="303"/>
      <c r="C472" s="303"/>
      <c r="D472" s="303"/>
      <c r="E472" s="303"/>
      <c r="F472" s="303" t="s">
        <v>2109</v>
      </c>
      <c r="G472" s="303"/>
      <c r="H472" s="303"/>
      <c r="I472" s="303"/>
      <c r="J472" s="1798"/>
      <c r="K472" s="303"/>
      <c r="L472" s="303" t="s">
        <v>1041</v>
      </c>
      <c r="M472" s="303"/>
      <c r="N472" s="303"/>
      <c r="O472" s="302"/>
      <c r="P472" s="302"/>
      <c r="Q472" s="302"/>
      <c r="R472" s="302"/>
      <c r="S472" s="302"/>
    </row>
    <row r="473" spans="1:19" x14ac:dyDescent="0.2">
      <c r="A473" s="303"/>
      <c r="B473" s="303"/>
      <c r="C473" s="303"/>
      <c r="D473" s="303"/>
      <c r="E473" s="303"/>
      <c r="F473" s="303" t="s">
        <v>2110</v>
      </c>
      <c r="G473" s="303"/>
      <c r="H473" s="303"/>
      <c r="I473" s="303"/>
      <c r="J473" s="1798"/>
      <c r="K473" s="303"/>
      <c r="L473" s="303" t="s">
        <v>1041</v>
      </c>
      <c r="M473" s="303"/>
      <c r="N473" s="303"/>
      <c r="O473" s="302"/>
      <c r="P473" s="302"/>
      <c r="Q473" s="302"/>
      <c r="R473" s="302"/>
      <c r="S473" s="302"/>
    </row>
    <row r="474" spans="1:19" x14ac:dyDescent="0.2">
      <c r="A474" s="303"/>
      <c r="B474" s="303"/>
      <c r="C474" s="303"/>
      <c r="D474" s="303"/>
      <c r="E474" s="303"/>
      <c r="F474" s="303" t="s">
        <v>2111</v>
      </c>
      <c r="G474" s="303"/>
      <c r="H474" s="303"/>
      <c r="I474" s="303"/>
      <c r="J474" s="1798"/>
      <c r="K474" s="303"/>
      <c r="L474" s="303" t="s">
        <v>1041</v>
      </c>
      <c r="M474" s="303"/>
      <c r="N474" s="303"/>
      <c r="O474" s="302"/>
      <c r="P474" s="302"/>
      <c r="Q474" s="302"/>
      <c r="R474" s="302"/>
      <c r="S474" s="302"/>
    </row>
    <row r="475" spans="1:19" x14ac:dyDescent="0.2">
      <c r="A475" s="303"/>
      <c r="B475" s="303"/>
      <c r="C475" s="303"/>
      <c r="D475" s="303"/>
      <c r="E475" s="303"/>
      <c r="F475" s="303" t="s">
        <v>2112</v>
      </c>
      <c r="G475" s="303"/>
      <c r="H475" s="303"/>
      <c r="I475" s="303"/>
      <c r="J475" s="1798"/>
      <c r="K475" s="303"/>
      <c r="L475" s="303" t="s">
        <v>1041</v>
      </c>
      <c r="M475" s="303"/>
      <c r="N475" s="303"/>
      <c r="O475" s="302"/>
      <c r="P475" s="302"/>
      <c r="Q475" s="302"/>
      <c r="R475" s="302"/>
      <c r="S475" s="302"/>
    </row>
    <row r="476" spans="1:19" x14ac:dyDescent="0.2">
      <c r="A476" s="303"/>
      <c r="B476" s="303"/>
      <c r="C476" s="303"/>
      <c r="D476" s="303"/>
      <c r="E476" s="303"/>
      <c r="F476" s="303" t="s">
        <v>2113</v>
      </c>
      <c r="G476" s="303"/>
      <c r="H476" s="303"/>
      <c r="I476" s="303"/>
      <c r="J476" s="1798"/>
      <c r="K476" s="303"/>
      <c r="L476" s="303" t="s">
        <v>1041</v>
      </c>
      <c r="M476" s="303"/>
      <c r="N476" s="303"/>
      <c r="O476" s="302"/>
      <c r="P476" s="302"/>
      <c r="Q476" s="302"/>
      <c r="R476" s="302"/>
      <c r="S476" s="302"/>
    </row>
    <row r="477" spans="1:19" x14ac:dyDescent="0.2">
      <c r="A477" s="303"/>
      <c r="B477" s="303"/>
      <c r="C477" s="303"/>
      <c r="D477" s="303"/>
      <c r="E477" s="303"/>
      <c r="F477" s="303" t="s">
        <v>2114</v>
      </c>
      <c r="G477" s="303"/>
      <c r="H477" s="303"/>
      <c r="I477" s="303"/>
      <c r="J477" s="1798"/>
      <c r="K477" s="303"/>
      <c r="L477" s="303" t="s">
        <v>1041</v>
      </c>
      <c r="M477" s="303"/>
      <c r="N477" s="303"/>
      <c r="O477" s="302"/>
      <c r="P477" s="302"/>
      <c r="Q477" s="302"/>
      <c r="R477" s="302"/>
      <c r="S477" s="302"/>
    </row>
    <row r="478" spans="1:19" x14ac:dyDescent="0.2">
      <c r="A478" s="303"/>
      <c r="B478" s="303"/>
      <c r="C478" s="303"/>
      <c r="D478" s="303"/>
      <c r="E478" s="303"/>
      <c r="F478" s="303" t="s">
        <v>2115</v>
      </c>
      <c r="G478" s="303"/>
      <c r="H478" s="303"/>
      <c r="I478" s="303"/>
      <c r="J478" s="1798"/>
      <c r="K478" s="303"/>
      <c r="L478" s="303" t="s">
        <v>1041</v>
      </c>
      <c r="M478" s="303"/>
      <c r="N478" s="303"/>
      <c r="O478" s="302"/>
      <c r="P478" s="302"/>
      <c r="Q478" s="302"/>
      <c r="R478" s="302"/>
      <c r="S478" s="302"/>
    </row>
    <row r="479" spans="1:19" x14ac:dyDescent="0.2">
      <c r="A479" s="303"/>
      <c r="B479" s="303"/>
      <c r="C479" s="303"/>
      <c r="D479" s="303"/>
      <c r="E479" s="303"/>
      <c r="F479" s="303" t="s">
        <v>2116</v>
      </c>
      <c r="G479" s="303"/>
      <c r="H479" s="303"/>
      <c r="I479" s="303"/>
      <c r="J479" s="1798"/>
      <c r="K479" s="303"/>
      <c r="L479" s="303" t="s">
        <v>1041</v>
      </c>
      <c r="M479" s="303"/>
      <c r="N479" s="303"/>
      <c r="O479" s="302"/>
      <c r="P479" s="302"/>
      <c r="Q479" s="302"/>
      <c r="R479" s="302"/>
      <c r="S479" s="302"/>
    </row>
    <row r="480" spans="1:19" x14ac:dyDescent="0.2">
      <c r="A480" s="303"/>
      <c r="B480" s="303"/>
      <c r="C480" s="303"/>
      <c r="D480" s="303"/>
      <c r="E480" s="303"/>
      <c r="F480" s="303" t="s">
        <v>2117</v>
      </c>
      <c r="G480" s="303"/>
      <c r="H480" s="303"/>
      <c r="I480" s="303"/>
      <c r="J480" s="1798"/>
      <c r="K480" s="303"/>
      <c r="L480" s="303" t="s">
        <v>1041</v>
      </c>
      <c r="M480" s="303"/>
      <c r="N480" s="303"/>
      <c r="O480" s="302"/>
      <c r="P480" s="302"/>
      <c r="Q480" s="302"/>
      <c r="R480" s="302"/>
      <c r="S480" s="302"/>
    </row>
    <row r="481" spans="1:19" x14ac:dyDescent="0.2">
      <c r="A481" s="303"/>
      <c r="B481" s="303"/>
      <c r="C481" s="303"/>
      <c r="D481" s="303"/>
      <c r="E481" s="303"/>
      <c r="F481" s="303" t="s">
        <v>2118</v>
      </c>
      <c r="G481" s="303"/>
      <c r="H481" s="303"/>
      <c r="I481" s="303"/>
      <c r="J481" s="1798"/>
      <c r="K481" s="303"/>
      <c r="L481" s="303" t="s">
        <v>1041</v>
      </c>
      <c r="M481" s="303"/>
      <c r="N481" s="303"/>
      <c r="O481" s="302"/>
      <c r="P481" s="302"/>
      <c r="Q481" s="302"/>
      <c r="R481" s="302"/>
      <c r="S481" s="302"/>
    </row>
    <row r="482" spans="1:19" x14ac:dyDescent="0.2">
      <c r="A482" s="303"/>
      <c r="B482" s="303"/>
      <c r="C482" s="303"/>
      <c r="D482" s="303"/>
      <c r="E482" s="303"/>
      <c r="F482" s="303" t="s">
        <v>2119</v>
      </c>
      <c r="G482" s="303"/>
      <c r="H482" s="303"/>
      <c r="I482" s="303"/>
      <c r="J482" s="1798"/>
      <c r="K482" s="303"/>
      <c r="L482" s="303" t="s">
        <v>1041</v>
      </c>
      <c r="M482" s="303"/>
      <c r="N482" s="303"/>
      <c r="O482" s="302"/>
      <c r="P482" s="302"/>
      <c r="Q482" s="302"/>
      <c r="R482" s="302"/>
      <c r="S482" s="302"/>
    </row>
    <row r="483" spans="1:19" x14ac:dyDescent="0.2">
      <c r="A483" s="303"/>
      <c r="B483" s="303"/>
      <c r="C483" s="303"/>
      <c r="D483" s="303"/>
      <c r="E483" s="303"/>
      <c r="F483" s="303" t="s">
        <v>2120</v>
      </c>
      <c r="G483" s="303"/>
      <c r="H483" s="303"/>
      <c r="I483" s="303"/>
      <c r="J483" s="1798"/>
      <c r="K483" s="303"/>
      <c r="L483" s="303" t="s">
        <v>1041</v>
      </c>
      <c r="M483" s="303"/>
      <c r="N483" s="303"/>
      <c r="O483" s="302"/>
      <c r="P483" s="302"/>
      <c r="Q483" s="302"/>
      <c r="R483" s="302"/>
      <c r="S483" s="302"/>
    </row>
    <row r="484" spans="1:19" x14ac:dyDescent="0.2">
      <c r="A484" s="303"/>
      <c r="B484" s="303"/>
      <c r="C484" s="303"/>
      <c r="D484" s="303"/>
      <c r="E484" s="303"/>
      <c r="F484" s="303" t="s">
        <v>2121</v>
      </c>
      <c r="G484" s="303"/>
      <c r="H484" s="303"/>
      <c r="I484" s="303"/>
      <c r="J484" s="1798"/>
      <c r="K484" s="303"/>
      <c r="L484" s="303" t="s">
        <v>1041</v>
      </c>
      <c r="M484" s="303"/>
      <c r="N484" s="303"/>
      <c r="O484" s="302"/>
      <c r="P484" s="302"/>
      <c r="Q484" s="302"/>
      <c r="R484" s="302"/>
      <c r="S484" s="302"/>
    </row>
    <row r="485" spans="1:19" x14ac:dyDescent="0.2">
      <c r="A485" s="303"/>
      <c r="B485" s="303"/>
      <c r="C485" s="303"/>
      <c r="D485" s="303"/>
      <c r="E485" s="303"/>
      <c r="F485" s="303" t="s">
        <v>2122</v>
      </c>
      <c r="G485" s="303"/>
      <c r="H485" s="303"/>
      <c r="I485" s="303"/>
      <c r="J485" s="1798"/>
      <c r="K485" s="303"/>
      <c r="L485" s="303" t="s">
        <v>1041</v>
      </c>
      <c r="M485" s="303"/>
      <c r="N485" s="303"/>
      <c r="O485" s="302"/>
      <c r="P485" s="302"/>
      <c r="Q485" s="302"/>
      <c r="R485" s="302"/>
      <c r="S485" s="302"/>
    </row>
    <row r="486" spans="1:19" x14ac:dyDescent="0.2">
      <c r="A486" s="303"/>
      <c r="B486" s="303"/>
      <c r="C486" s="303"/>
      <c r="D486" s="303"/>
      <c r="E486" s="303"/>
      <c r="F486" s="303" t="s">
        <v>2123</v>
      </c>
      <c r="G486" s="303"/>
      <c r="H486" s="303"/>
      <c r="I486" s="303"/>
      <c r="J486" s="1798"/>
      <c r="K486" s="303"/>
      <c r="L486" s="303" t="s">
        <v>1041</v>
      </c>
      <c r="M486" s="303"/>
      <c r="N486" s="303"/>
      <c r="O486" s="302"/>
      <c r="P486" s="302"/>
      <c r="Q486" s="302"/>
      <c r="R486" s="302"/>
      <c r="S486" s="302"/>
    </row>
    <row r="487" spans="1:19" x14ac:dyDescent="0.2">
      <c r="A487" s="303"/>
      <c r="B487" s="303"/>
      <c r="C487" s="303"/>
      <c r="D487" s="303"/>
      <c r="E487" s="303"/>
      <c r="F487" s="303" t="s">
        <v>2124</v>
      </c>
      <c r="G487" s="303"/>
      <c r="H487" s="303"/>
      <c r="I487" s="303"/>
      <c r="J487" s="1798"/>
      <c r="K487" s="303"/>
      <c r="L487" s="303" t="s">
        <v>1041</v>
      </c>
      <c r="M487" s="303"/>
      <c r="N487" s="303"/>
      <c r="O487" s="302"/>
      <c r="P487" s="302"/>
      <c r="Q487" s="302"/>
      <c r="R487" s="302"/>
      <c r="S487" s="302"/>
    </row>
    <row r="488" spans="1:19" x14ac:dyDescent="0.2">
      <c r="A488" s="303"/>
      <c r="B488" s="303"/>
      <c r="C488" s="303"/>
      <c r="D488" s="303"/>
      <c r="E488" s="303"/>
      <c r="F488" s="303" t="s">
        <v>2125</v>
      </c>
      <c r="G488" s="303"/>
      <c r="H488" s="303"/>
      <c r="I488" s="303"/>
      <c r="J488" s="1798"/>
      <c r="K488" s="303"/>
      <c r="L488" s="303" t="s">
        <v>1041</v>
      </c>
      <c r="M488" s="303"/>
      <c r="N488" s="303"/>
      <c r="O488" s="302"/>
      <c r="P488" s="302"/>
      <c r="Q488" s="302"/>
      <c r="R488" s="302"/>
      <c r="S488" s="302"/>
    </row>
    <row r="489" spans="1:19" x14ac:dyDescent="0.2">
      <c r="A489" s="303"/>
      <c r="B489" s="303"/>
      <c r="C489" s="303"/>
      <c r="D489" s="303"/>
      <c r="E489" s="303"/>
      <c r="F489" s="303" t="s">
        <v>2126</v>
      </c>
      <c r="G489" s="303"/>
      <c r="H489" s="303"/>
      <c r="I489" s="303"/>
      <c r="J489" s="1798"/>
      <c r="K489" s="303"/>
      <c r="L489" s="303" t="s">
        <v>1041</v>
      </c>
      <c r="M489" s="303"/>
      <c r="N489" s="303"/>
      <c r="O489" s="302"/>
      <c r="P489" s="302"/>
      <c r="Q489" s="302"/>
      <c r="R489" s="302"/>
      <c r="S489" s="302"/>
    </row>
    <row r="490" spans="1:19" x14ac:dyDescent="0.2">
      <c r="A490" s="303"/>
      <c r="B490" s="303"/>
      <c r="C490" s="303"/>
      <c r="D490" s="303"/>
      <c r="E490" s="303"/>
      <c r="F490" s="303" t="s">
        <v>2127</v>
      </c>
      <c r="G490" s="303"/>
      <c r="H490" s="303"/>
      <c r="I490" s="303"/>
      <c r="J490" s="1798"/>
      <c r="K490" s="303"/>
      <c r="L490" s="303" t="s">
        <v>1041</v>
      </c>
      <c r="M490" s="303"/>
      <c r="N490" s="303"/>
      <c r="O490" s="302"/>
      <c r="P490" s="302"/>
      <c r="Q490" s="302"/>
      <c r="R490" s="302"/>
      <c r="S490" s="302"/>
    </row>
    <row r="491" spans="1:19" x14ac:dyDescent="0.2">
      <c r="A491" s="303"/>
      <c r="B491" s="303"/>
      <c r="C491" s="303"/>
      <c r="D491" s="303"/>
      <c r="E491" s="303"/>
      <c r="F491" s="303" t="s">
        <v>2128</v>
      </c>
      <c r="G491" s="303"/>
      <c r="H491" s="303"/>
      <c r="I491" s="303"/>
      <c r="J491" s="1798"/>
      <c r="K491" s="303"/>
      <c r="L491" s="303" t="s">
        <v>1041</v>
      </c>
      <c r="M491" s="303"/>
      <c r="N491" s="303"/>
      <c r="O491" s="302"/>
      <c r="P491" s="302"/>
      <c r="Q491" s="302"/>
      <c r="R491" s="302"/>
      <c r="S491" s="302"/>
    </row>
    <row r="492" spans="1:19" x14ac:dyDescent="0.2">
      <c r="A492" s="303"/>
      <c r="B492" s="303"/>
      <c r="C492" s="303"/>
      <c r="D492" s="303"/>
      <c r="E492" s="303"/>
      <c r="F492" s="303" t="s">
        <v>2129</v>
      </c>
      <c r="G492" s="303"/>
      <c r="H492" s="303"/>
      <c r="I492" s="303"/>
      <c r="J492" s="1798"/>
      <c r="K492" s="303"/>
      <c r="L492" s="303" t="s">
        <v>1041</v>
      </c>
      <c r="M492" s="303"/>
      <c r="N492" s="303"/>
      <c r="O492" s="302"/>
      <c r="P492" s="302"/>
      <c r="Q492" s="302"/>
      <c r="R492" s="302"/>
      <c r="S492" s="302"/>
    </row>
    <row r="493" spans="1:19" x14ac:dyDescent="0.2">
      <c r="A493" s="303"/>
      <c r="B493" s="303"/>
      <c r="C493" s="303"/>
      <c r="D493" s="303"/>
      <c r="E493" s="303"/>
      <c r="F493" s="303" t="s">
        <v>2130</v>
      </c>
      <c r="G493" s="303"/>
      <c r="H493" s="303"/>
      <c r="I493" s="303"/>
      <c r="J493" s="1798"/>
      <c r="K493" s="303"/>
      <c r="L493" s="303" t="s">
        <v>1041</v>
      </c>
      <c r="M493" s="303"/>
      <c r="N493" s="303"/>
      <c r="O493" s="302"/>
      <c r="P493" s="302"/>
      <c r="Q493" s="302"/>
      <c r="R493" s="302"/>
      <c r="S493" s="302"/>
    </row>
    <row r="494" spans="1:19" x14ac:dyDescent="0.2">
      <c r="A494" s="303"/>
      <c r="B494" s="303"/>
      <c r="C494" s="303"/>
      <c r="D494" s="303"/>
      <c r="E494" s="303"/>
      <c r="F494" s="303" t="s">
        <v>2131</v>
      </c>
      <c r="G494" s="303"/>
      <c r="H494" s="303"/>
      <c r="I494" s="303"/>
      <c r="J494" s="1798"/>
      <c r="K494" s="303"/>
      <c r="L494" s="303" t="s">
        <v>1041</v>
      </c>
      <c r="M494" s="303"/>
      <c r="N494" s="303"/>
      <c r="O494" s="302"/>
      <c r="P494" s="302"/>
      <c r="Q494" s="302"/>
      <c r="R494" s="302"/>
      <c r="S494" s="302"/>
    </row>
    <row r="495" spans="1:19" x14ac:dyDescent="0.2">
      <c r="A495" s="303"/>
      <c r="B495" s="303"/>
      <c r="C495" s="303"/>
      <c r="D495" s="303"/>
      <c r="E495" s="303"/>
      <c r="F495" s="303" t="s">
        <v>2132</v>
      </c>
      <c r="G495" s="303"/>
      <c r="H495" s="303"/>
      <c r="I495" s="303"/>
      <c r="J495" s="1798"/>
      <c r="K495" s="303"/>
      <c r="L495" s="303" t="s">
        <v>1041</v>
      </c>
      <c r="M495" s="303"/>
      <c r="N495" s="303"/>
      <c r="O495" s="302"/>
      <c r="P495" s="302"/>
      <c r="Q495" s="302"/>
      <c r="R495" s="302"/>
      <c r="S495" s="302"/>
    </row>
    <row r="496" spans="1:19" x14ac:dyDescent="0.2">
      <c r="A496" s="303"/>
      <c r="B496" s="303"/>
      <c r="C496" s="303"/>
      <c r="D496" s="303"/>
      <c r="E496" s="303"/>
      <c r="F496" s="303" t="s">
        <v>2133</v>
      </c>
      <c r="G496" s="303"/>
      <c r="H496" s="303"/>
      <c r="I496" s="303"/>
      <c r="J496" s="1798"/>
      <c r="K496" s="303"/>
      <c r="L496" s="303" t="s">
        <v>1041</v>
      </c>
      <c r="M496" s="303"/>
      <c r="N496" s="303"/>
      <c r="O496" s="302"/>
      <c r="P496" s="302"/>
      <c r="Q496" s="302"/>
      <c r="R496" s="302"/>
      <c r="S496" s="302"/>
    </row>
    <row r="497" spans="1:19" x14ac:dyDescent="0.2">
      <c r="A497" s="303"/>
      <c r="B497" s="303"/>
      <c r="C497" s="303"/>
      <c r="D497" s="303"/>
      <c r="E497" s="303"/>
      <c r="F497" s="303" t="s">
        <v>2134</v>
      </c>
      <c r="G497" s="303"/>
      <c r="H497" s="303"/>
      <c r="I497" s="303"/>
      <c r="J497" s="1798"/>
      <c r="K497" s="303"/>
      <c r="L497" s="303" t="s">
        <v>1041</v>
      </c>
      <c r="M497" s="303"/>
      <c r="N497" s="303"/>
      <c r="O497" s="302"/>
      <c r="P497" s="302"/>
      <c r="Q497" s="302"/>
      <c r="R497" s="302"/>
      <c r="S497" s="302"/>
    </row>
    <row r="498" spans="1:19" x14ac:dyDescent="0.2">
      <c r="A498" s="303"/>
      <c r="B498" s="303"/>
      <c r="C498" s="303"/>
      <c r="D498" s="303"/>
      <c r="E498" s="303"/>
      <c r="F498" s="303" t="s">
        <v>2135</v>
      </c>
      <c r="G498" s="303"/>
      <c r="H498" s="303"/>
      <c r="I498" s="303"/>
      <c r="J498" s="1798"/>
      <c r="K498" s="303"/>
      <c r="L498" s="303" t="s">
        <v>1041</v>
      </c>
      <c r="M498" s="303"/>
      <c r="N498" s="303"/>
      <c r="O498" s="302"/>
      <c r="P498" s="302"/>
      <c r="Q498" s="302"/>
      <c r="R498" s="302"/>
      <c r="S498" s="302"/>
    </row>
    <row r="499" spans="1:19" x14ac:dyDescent="0.2">
      <c r="A499" s="303"/>
      <c r="B499" s="303"/>
      <c r="C499" s="303"/>
      <c r="D499" s="303"/>
      <c r="E499" s="303"/>
      <c r="F499" s="303" t="s">
        <v>2136</v>
      </c>
      <c r="G499" s="303"/>
      <c r="H499" s="303"/>
      <c r="I499" s="303"/>
      <c r="J499" s="1798"/>
      <c r="K499" s="303"/>
      <c r="L499" s="303" t="s">
        <v>1041</v>
      </c>
      <c r="M499" s="303"/>
      <c r="N499" s="303"/>
      <c r="O499" s="302"/>
      <c r="P499" s="302"/>
      <c r="Q499" s="302"/>
      <c r="R499" s="302"/>
      <c r="S499" s="302"/>
    </row>
    <row r="500" spans="1:19" x14ac:dyDescent="0.2">
      <c r="A500" s="303"/>
      <c r="B500" s="303"/>
      <c r="C500" s="303"/>
      <c r="D500" s="303"/>
      <c r="E500" s="303"/>
      <c r="F500" s="303" t="s">
        <v>2137</v>
      </c>
      <c r="G500" s="303"/>
      <c r="H500" s="303"/>
      <c r="I500" s="303"/>
      <c r="J500" s="1798"/>
      <c r="K500" s="303"/>
      <c r="L500" s="303" t="s">
        <v>1041</v>
      </c>
      <c r="M500" s="303"/>
      <c r="N500" s="303"/>
      <c r="O500" s="302"/>
      <c r="P500" s="302"/>
      <c r="Q500" s="302"/>
      <c r="R500" s="302"/>
      <c r="S500" s="302"/>
    </row>
    <row r="501" spans="1:19" x14ac:dyDescent="0.2">
      <c r="A501" s="303"/>
      <c r="B501" s="303"/>
      <c r="C501" s="303"/>
      <c r="D501" s="303"/>
      <c r="E501" s="303"/>
      <c r="F501" s="303" t="s">
        <v>2138</v>
      </c>
      <c r="G501" s="303"/>
      <c r="H501" s="303"/>
      <c r="I501" s="303"/>
      <c r="J501" s="1798"/>
      <c r="K501" s="303"/>
      <c r="L501" s="303" t="s">
        <v>1041</v>
      </c>
      <c r="M501" s="303"/>
      <c r="N501" s="303"/>
      <c r="O501" s="302"/>
      <c r="P501" s="302"/>
      <c r="Q501" s="302"/>
      <c r="R501" s="302"/>
      <c r="S501" s="302"/>
    </row>
    <row r="502" spans="1:19" x14ac:dyDescent="0.2">
      <c r="A502" s="303"/>
      <c r="B502" s="303"/>
      <c r="C502" s="303"/>
      <c r="D502" s="303"/>
      <c r="E502" s="303"/>
      <c r="F502" s="303" t="s">
        <v>2139</v>
      </c>
      <c r="G502" s="303"/>
      <c r="H502" s="303"/>
      <c r="I502" s="303"/>
      <c r="J502" s="1798"/>
      <c r="K502" s="303"/>
      <c r="L502" s="303" t="s">
        <v>1041</v>
      </c>
      <c r="M502" s="303"/>
      <c r="N502" s="303"/>
      <c r="O502" s="302"/>
      <c r="P502" s="302"/>
      <c r="Q502" s="302"/>
      <c r="R502" s="302"/>
      <c r="S502" s="302"/>
    </row>
    <row r="503" spans="1:19" x14ac:dyDescent="0.2">
      <c r="A503" s="303"/>
      <c r="B503" s="303"/>
      <c r="C503" s="303"/>
      <c r="D503" s="303"/>
      <c r="E503" s="303"/>
      <c r="F503" s="303" t="s">
        <v>2140</v>
      </c>
      <c r="G503" s="303"/>
      <c r="H503" s="303"/>
      <c r="I503" s="303"/>
      <c r="J503" s="1798"/>
      <c r="K503" s="303"/>
      <c r="L503" s="303" t="s">
        <v>1041</v>
      </c>
      <c r="M503" s="303"/>
      <c r="N503" s="303"/>
      <c r="O503" s="302"/>
      <c r="P503" s="302"/>
      <c r="Q503" s="302"/>
      <c r="R503" s="302"/>
      <c r="S503" s="302"/>
    </row>
    <row r="504" spans="1:19" x14ac:dyDescent="0.2">
      <c r="A504" s="303"/>
      <c r="B504" s="303"/>
      <c r="C504" s="303"/>
      <c r="D504" s="303"/>
      <c r="E504" s="303"/>
      <c r="F504" s="303" t="s">
        <v>2141</v>
      </c>
      <c r="G504" s="303"/>
      <c r="H504" s="303"/>
      <c r="I504" s="303"/>
      <c r="J504" s="1798"/>
      <c r="K504" s="303"/>
      <c r="L504" s="303" t="s">
        <v>1041</v>
      </c>
      <c r="M504" s="303"/>
      <c r="N504" s="303"/>
      <c r="O504" s="302"/>
      <c r="P504" s="302"/>
      <c r="Q504" s="302"/>
      <c r="R504" s="302"/>
      <c r="S504" s="302"/>
    </row>
    <row r="505" spans="1:19" x14ac:dyDescent="0.2">
      <c r="A505" s="303"/>
      <c r="B505" s="303"/>
      <c r="C505" s="303"/>
      <c r="D505" s="303"/>
      <c r="E505" s="303"/>
      <c r="F505" s="303" t="s">
        <v>2142</v>
      </c>
      <c r="G505" s="303"/>
      <c r="H505" s="303"/>
      <c r="I505" s="303"/>
      <c r="J505" s="1798"/>
      <c r="K505" s="303"/>
      <c r="L505" s="303" t="s">
        <v>1041</v>
      </c>
      <c r="M505" s="303"/>
      <c r="N505" s="303"/>
      <c r="O505" s="302"/>
      <c r="P505" s="302"/>
      <c r="Q505" s="302"/>
      <c r="R505" s="302"/>
      <c r="S505" s="302"/>
    </row>
    <row r="506" spans="1:19" x14ac:dyDescent="0.2">
      <c r="A506" s="303"/>
      <c r="B506" s="303"/>
      <c r="C506" s="303"/>
      <c r="D506" s="303"/>
      <c r="E506" s="303"/>
      <c r="F506" s="303" t="s">
        <v>2143</v>
      </c>
      <c r="G506" s="303"/>
      <c r="H506" s="303"/>
      <c r="I506" s="303"/>
      <c r="J506" s="1798"/>
      <c r="K506" s="303"/>
      <c r="L506" s="303" t="s">
        <v>1041</v>
      </c>
      <c r="M506" s="303"/>
      <c r="N506" s="303"/>
      <c r="O506" s="302"/>
      <c r="P506" s="302"/>
      <c r="Q506" s="302"/>
      <c r="R506" s="302"/>
      <c r="S506" s="302"/>
    </row>
    <row r="507" spans="1:19" x14ac:dyDescent="0.2">
      <c r="A507" s="303"/>
      <c r="B507" s="303"/>
      <c r="C507" s="303"/>
      <c r="D507" s="303"/>
      <c r="E507" s="303"/>
      <c r="F507" s="303" t="s">
        <v>2144</v>
      </c>
      <c r="G507" s="303"/>
      <c r="H507" s="303"/>
      <c r="I507" s="303"/>
      <c r="J507" s="1798"/>
      <c r="K507" s="303"/>
      <c r="L507" s="303" t="s">
        <v>1041</v>
      </c>
      <c r="M507" s="303"/>
      <c r="N507" s="303"/>
      <c r="O507" s="302"/>
      <c r="P507" s="302"/>
      <c r="Q507" s="302"/>
      <c r="R507" s="302"/>
      <c r="S507" s="302"/>
    </row>
    <row r="508" spans="1:19" x14ac:dyDescent="0.2">
      <c r="A508" s="303"/>
      <c r="B508" s="303"/>
      <c r="C508" s="303"/>
      <c r="D508" s="303"/>
      <c r="E508" s="303"/>
      <c r="F508" s="303" t="s">
        <v>2145</v>
      </c>
      <c r="G508" s="303"/>
      <c r="H508" s="303"/>
      <c r="I508" s="303"/>
      <c r="J508" s="1798"/>
      <c r="K508" s="303"/>
      <c r="L508" s="303" t="s">
        <v>1041</v>
      </c>
      <c r="M508" s="303"/>
      <c r="N508" s="303"/>
      <c r="O508" s="302"/>
      <c r="P508" s="302"/>
      <c r="Q508" s="302"/>
      <c r="R508" s="302"/>
      <c r="S508" s="302"/>
    </row>
    <row r="509" spans="1:19" x14ac:dyDescent="0.2">
      <c r="A509" s="303"/>
      <c r="B509" s="303"/>
      <c r="C509" s="303"/>
      <c r="D509" s="303"/>
      <c r="E509" s="303"/>
      <c r="F509" s="303" t="s">
        <v>2146</v>
      </c>
      <c r="G509" s="303"/>
      <c r="H509" s="303"/>
      <c r="I509" s="303"/>
      <c r="J509" s="1798"/>
      <c r="K509" s="303"/>
      <c r="L509" s="303" t="s">
        <v>1041</v>
      </c>
      <c r="M509" s="303"/>
      <c r="N509" s="303"/>
      <c r="O509" s="302"/>
      <c r="P509" s="302"/>
      <c r="Q509" s="302"/>
      <c r="R509" s="302"/>
      <c r="S509" s="302"/>
    </row>
    <row r="510" spans="1:19" x14ac:dyDescent="0.2">
      <c r="A510" s="303"/>
      <c r="B510" s="303"/>
      <c r="C510" s="303"/>
      <c r="D510" s="303"/>
      <c r="E510" s="303"/>
      <c r="F510" s="303" t="s">
        <v>2147</v>
      </c>
      <c r="G510" s="303"/>
      <c r="H510" s="303"/>
      <c r="I510" s="303"/>
      <c r="J510" s="1798"/>
      <c r="K510" s="303"/>
      <c r="L510" s="303" t="s">
        <v>1041</v>
      </c>
      <c r="M510" s="303"/>
      <c r="N510" s="303"/>
      <c r="O510" s="302"/>
      <c r="P510" s="302"/>
      <c r="Q510" s="302"/>
      <c r="R510" s="302"/>
      <c r="S510" s="302"/>
    </row>
    <row r="511" spans="1:19" x14ac:dyDescent="0.2">
      <c r="A511" s="303"/>
      <c r="B511" s="303"/>
      <c r="C511" s="303"/>
      <c r="D511" s="303"/>
      <c r="E511" s="303"/>
      <c r="F511" s="303" t="s">
        <v>2148</v>
      </c>
      <c r="G511" s="303"/>
      <c r="H511" s="303"/>
      <c r="I511" s="303"/>
      <c r="J511" s="1798"/>
      <c r="K511" s="303"/>
      <c r="L511" s="303" t="s">
        <v>1041</v>
      </c>
      <c r="M511" s="303"/>
      <c r="N511" s="303"/>
      <c r="O511" s="302"/>
      <c r="P511" s="302"/>
      <c r="Q511" s="302"/>
      <c r="R511" s="302"/>
      <c r="S511" s="302"/>
    </row>
    <row r="512" spans="1:19" x14ac:dyDescent="0.2">
      <c r="A512" s="303"/>
      <c r="B512" s="303"/>
      <c r="C512" s="303"/>
      <c r="D512" s="303"/>
      <c r="E512" s="303"/>
      <c r="F512" s="303" t="s">
        <v>2149</v>
      </c>
      <c r="G512" s="303"/>
      <c r="H512" s="303"/>
      <c r="I512" s="303"/>
      <c r="J512" s="1798"/>
      <c r="K512" s="303"/>
      <c r="L512" s="303" t="s">
        <v>1041</v>
      </c>
      <c r="M512" s="303"/>
      <c r="N512" s="303"/>
      <c r="O512" s="302"/>
      <c r="P512" s="302"/>
      <c r="Q512" s="302"/>
      <c r="R512" s="302"/>
      <c r="S512" s="302"/>
    </row>
    <row r="513" spans="1:19" x14ac:dyDescent="0.2">
      <c r="A513" s="303"/>
      <c r="B513" s="303"/>
      <c r="C513" s="303"/>
      <c r="D513" s="303"/>
      <c r="E513" s="303"/>
      <c r="F513" s="303" t="s">
        <v>2150</v>
      </c>
      <c r="G513" s="303"/>
      <c r="H513" s="303"/>
      <c r="I513" s="303"/>
      <c r="J513" s="1798"/>
      <c r="K513" s="303"/>
      <c r="L513" s="303" t="s">
        <v>1041</v>
      </c>
      <c r="M513" s="303"/>
      <c r="N513" s="303"/>
      <c r="O513" s="302"/>
      <c r="P513" s="302"/>
      <c r="Q513" s="302"/>
      <c r="R513" s="302"/>
      <c r="S513" s="302"/>
    </row>
    <row r="514" spans="1:19" x14ac:dyDescent="0.2">
      <c r="A514" s="303"/>
      <c r="B514" s="303"/>
      <c r="C514" s="303"/>
      <c r="D514" s="303"/>
      <c r="E514" s="303"/>
      <c r="F514" s="303" t="s">
        <v>2151</v>
      </c>
      <c r="G514" s="303"/>
      <c r="H514" s="303"/>
      <c r="I514" s="303"/>
      <c r="J514" s="1798"/>
      <c r="K514" s="303"/>
      <c r="L514" s="303" t="s">
        <v>1041</v>
      </c>
      <c r="M514" s="303"/>
      <c r="N514" s="303"/>
      <c r="O514" s="302"/>
      <c r="P514" s="302"/>
      <c r="Q514" s="302"/>
      <c r="R514" s="302"/>
      <c r="S514" s="302"/>
    </row>
    <row r="515" spans="1:19" x14ac:dyDescent="0.2">
      <c r="A515" s="303"/>
      <c r="B515" s="303"/>
      <c r="C515" s="303"/>
      <c r="D515" s="303"/>
      <c r="E515" s="303"/>
      <c r="F515" s="303" t="s">
        <v>2152</v>
      </c>
      <c r="G515" s="303"/>
      <c r="H515" s="303"/>
      <c r="I515" s="303"/>
      <c r="J515" s="1798"/>
      <c r="K515" s="303"/>
      <c r="L515" s="303" t="s">
        <v>1041</v>
      </c>
      <c r="M515" s="303"/>
      <c r="N515" s="303"/>
      <c r="O515" s="302"/>
      <c r="P515" s="302"/>
      <c r="Q515" s="302"/>
      <c r="R515" s="302"/>
      <c r="S515" s="302"/>
    </row>
    <row r="516" spans="1:19" x14ac:dyDescent="0.2">
      <c r="A516" s="303"/>
      <c r="B516" s="303"/>
      <c r="C516" s="303"/>
      <c r="D516" s="303"/>
      <c r="E516" s="303"/>
      <c r="F516" s="303" t="s">
        <v>2153</v>
      </c>
      <c r="G516" s="303"/>
      <c r="H516" s="303"/>
      <c r="I516" s="303"/>
      <c r="J516" s="1798"/>
      <c r="K516" s="303"/>
      <c r="L516" s="303" t="s">
        <v>1041</v>
      </c>
      <c r="M516" s="303"/>
      <c r="N516" s="303"/>
      <c r="O516" s="302"/>
      <c r="P516" s="302"/>
      <c r="Q516" s="302"/>
      <c r="R516" s="302"/>
      <c r="S516" s="302"/>
    </row>
    <row r="517" spans="1:19" x14ac:dyDescent="0.2">
      <c r="A517" s="303"/>
      <c r="B517" s="303"/>
      <c r="C517" s="303"/>
      <c r="D517" s="303"/>
      <c r="E517" s="303"/>
      <c r="F517" s="303" t="s">
        <v>2154</v>
      </c>
      <c r="G517" s="303"/>
      <c r="H517" s="303"/>
      <c r="I517" s="303"/>
      <c r="J517" s="1798"/>
      <c r="K517" s="303"/>
      <c r="L517" s="303" t="s">
        <v>1041</v>
      </c>
      <c r="M517" s="303"/>
      <c r="N517" s="303"/>
      <c r="O517" s="302"/>
      <c r="P517" s="302"/>
      <c r="Q517" s="302"/>
      <c r="R517" s="302"/>
      <c r="S517" s="302"/>
    </row>
    <row r="518" spans="1:19" x14ac:dyDescent="0.2">
      <c r="A518" s="303"/>
      <c r="B518" s="303"/>
      <c r="C518" s="303"/>
      <c r="D518" s="303"/>
      <c r="E518" s="303"/>
      <c r="F518" s="303" t="s">
        <v>2155</v>
      </c>
      <c r="G518" s="303"/>
      <c r="H518" s="303"/>
      <c r="I518" s="303"/>
      <c r="J518" s="1798"/>
      <c r="K518" s="303"/>
      <c r="L518" s="303" t="s">
        <v>1041</v>
      </c>
      <c r="M518" s="303"/>
      <c r="N518" s="303"/>
      <c r="O518" s="302"/>
      <c r="P518" s="302"/>
      <c r="Q518" s="302"/>
      <c r="R518" s="302"/>
      <c r="S518" s="302"/>
    </row>
    <row r="519" spans="1:19" x14ac:dyDescent="0.2">
      <c r="A519" s="303"/>
      <c r="B519" s="303"/>
      <c r="C519" s="303"/>
      <c r="D519" s="303"/>
      <c r="E519" s="303"/>
      <c r="F519" s="303" t="s">
        <v>2156</v>
      </c>
      <c r="G519" s="303"/>
      <c r="H519" s="303"/>
      <c r="I519" s="303"/>
      <c r="J519" s="1798"/>
      <c r="K519" s="303"/>
      <c r="L519" s="303" t="s">
        <v>1041</v>
      </c>
      <c r="M519" s="303"/>
      <c r="N519" s="303"/>
      <c r="O519" s="302"/>
      <c r="P519" s="302"/>
      <c r="Q519" s="302"/>
      <c r="R519" s="302"/>
      <c r="S519" s="302"/>
    </row>
    <row r="520" spans="1:19" x14ac:dyDescent="0.2">
      <c r="A520" s="303"/>
      <c r="B520" s="303"/>
      <c r="C520" s="303"/>
      <c r="D520" s="303"/>
      <c r="E520" s="303"/>
      <c r="F520" s="303" t="s">
        <v>2157</v>
      </c>
      <c r="G520" s="303"/>
      <c r="H520" s="303"/>
      <c r="I520" s="303"/>
      <c r="J520" s="1798"/>
      <c r="K520" s="303"/>
      <c r="L520" s="303" t="s">
        <v>1041</v>
      </c>
      <c r="M520" s="303"/>
      <c r="N520" s="303"/>
      <c r="O520" s="302"/>
      <c r="P520" s="302"/>
      <c r="Q520" s="302"/>
      <c r="R520" s="302"/>
      <c r="S520" s="302"/>
    </row>
    <row r="521" spans="1:19" x14ac:dyDescent="0.2">
      <c r="A521" s="303"/>
      <c r="B521" s="303"/>
      <c r="C521" s="303"/>
      <c r="D521" s="303"/>
      <c r="E521" s="303"/>
      <c r="F521" s="303" t="s">
        <v>2158</v>
      </c>
      <c r="G521" s="303"/>
      <c r="H521" s="303"/>
      <c r="I521" s="303"/>
      <c r="J521" s="1798"/>
      <c r="K521" s="303"/>
      <c r="L521" s="303" t="s">
        <v>1041</v>
      </c>
      <c r="M521" s="303"/>
      <c r="N521" s="303"/>
      <c r="O521" s="302"/>
      <c r="P521" s="302"/>
      <c r="Q521" s="302"/>
      <c r="R521" s="302"/>
      <c r="S521" s="302"/>
    </row>
    <row r="522" spans="1:19" x14ac:dyDescent="0.2">
      <c r="A522" s="303"/>
      <c r="B522" s="303"/>
      <c r="C522" s="303"/>
      <c r="D522" s="303"/>
      <c r="E522" s="303"/>
      <c r="F522" s="303" t="s">
        <v>2159</v>
      </c>
      <c r="G522" s="303"/>
      <c r="H522" s="303"/>
      <c r="I522" s="303"/>
      <c r="J522" s="1798"/>
      <c r="K522" s="303"/>
      <c r="L522" s="303" t="s">
        <v>1041</v>
      </c>
      <c r="M522" s="303"/>
      <c r="N522" s="303"/>
      <c r="O522" s="302"/>
      <c r="P522" s="302"/>
      <c r="Q522" s="302"/>
      <c r="R522" s="302"/>
      <c r="S522" s="302"/>
    </row>
    <row r="523" spans="1:19" x14ac:dyDescent="0.2">
      <c r="A523" s="303"/>
      <c r="B523" s="303"/>
      <c r="C523" s="303"/>
      <c r="D523" s="303"/>
      <c r="E523" s="303"/>
      <c r="F523" s="303"/>
      <c r="G523" s="303"/>
      <c r="H523" s="303"/>
      <c r="I523" s="303"/>
      <c r="J523" s="1798"/>
      <c r="K523" s="303"/>
      <c r="L523" s="303" t="s">
        <v>1041</v>
      </c>
      <c r="M523" s="303"/>
      <c r="N523" s="303"/>
      <c r="O523" s="302"/>
      <c r="P523" s="302"/>
      <c r="Q523" s="302"/>
      <c r="R523" s="302"/>
      <c r="S523" s="302"/>
    </row>
    <row r="524" spans="1:19" x14ac:dyDescent="0.2">
      <c r="A524" s="303"/>
      <c r="B524" s="303"/>
      <c r="C524" s="303"/>
      <c r="D524" s="303"/>
      <c r="E524" s="303"/>
      <c r="F524" s="303"/>
      <c r="G524" s="303"/>
      <c r="H524" s="303"/>
      <c r="I524" s="303"/>
      <c r="J524" s="1798"/>
      <c r="K524" s="303"/>
      <c r="L524" s="303" t="s">
        <v>1041</v>
      </c>
      <c r="M524" s="303"/>
      <c r="N524" s="303"/>
      <c r="O524" s="302"/>
      <c r="P524" s="302"/>
      <c r="Q524" s="302"/>
      <c r="R524" s="302"/>
      <c r="S524" s="302"/>
    </row>
    <row r="525" spans="1:19" x14ac:dyDescent="0.2">
      <c r="A525" s="303"/>
      <c r="B525" s="303"/>
      <c r="C525" s="303"/>
      <c r="D525" s="303"/>
      <c r="E525" s="303"/>
      <c r="F525" s="303"/>
      <c r="G525" s="303"/>
      <c r="H525" s="303"/>
      <c r="I525" s="303"/>
      <c r="J525" s="1798"/>
      <c r="K525" s="303"/>
      <c r="L525" s="303" t="s">
        <v>1041</v>
      </c>
      <c r="M525" s="303"/>
      <c r="N525" s="303"/>
      <c r="O525" s="302"/>
      <c r="P525" s="302"/>
      <c r="Q525" s="302"/>
      <c r="R525" s="302"/>
      <c r="S525" s="302"/>
    </row>
    <row r="526" spans="1:19" x14ac:dyDescent="0.2">
      <c r="A526" s="303"/>
      <c r="B526" s="303"/>
      <c r="C526" s="303"/>
      <c r="D526" s="303"/>
      <c r="E526" s="303"/>
      <c r="F526" s="303"/>
      <c r="G526" s="303"/>
      <c r="H526" s="303"/>
      <c r="I526" s="303"/>
      <c r="J526" s="1798"/>
      <c r="K526" s="303"/>
      <c r="L526" s="303" t="s">
        <v>1041</v>
      </c>
      <c r="M526" s="303"/>
      <c r="N526" s="303"/>
      <c r="O526" s="302"/>
      <c r="P526" s="302"/>
      <c r="Q526" s="302"/>
      <c r="R526" s="302"/>
      <c r="S526" s="302"/>
    </row>
    <row r="527" spans="1:19" x14ac:dyDescent="0.2">
      <c r="A527" s="303"/>
      <c r="B527" s="303"/>
      <c r="C527" s="303"/>
      <c r="D527" s="303"/>
      <c r="E527" s="303"/>
      <c r="F527" s="303"/>
      <c r="G527" s="303"/>
      <c r="H527" s="303"/>
      <c r="I527" s="303"/>
      <c r="J527" s="1798"/>
      <c r="K527" s="303"/>
      <c r="L527" s="303" t="s">
        <v>1041</v>
      </c>
      <c r="M527" s="303"/>
      <c r="N527" s="303"/>
      <c r="O527" s="302"/>
      <c r="P527" s="302"/>
      <c r="Q527" s="302"/>
      <c r="R527" s="302"/>
      <c r="S527" s="302"/>
    </row>
    <row r="528" spans="1:19" x14ac:dyDescent="0.2">
      <c r="A528" s="303"/>
      <c r="B528" s="303"/>
      <c r="C528" s="303"/>
      <c r="D528" s="303"/>
      <c r="E528" s="303"/>
      <c r="F528" s="303"/>
      <c r="G528" s="303"/>
      <c r="H528" s="303"/>
      <c r="I528" s="303"/>
      <c r="J528" s="1798"/>
      <c r="K528" s="303"/>
      <c r="L528" s="303" t="s">
        <v>1041</v>
      </c>
      <c r="M528" s="303"/>
      <c r="N528" s="303"/>
      <c r="O528" s="302"/>
      <c r="P528" s="302"/>
      <c r="Q528" s="302"/>
      <c r="R528" s="302"/>
      <c r="S528" s="302"/>
    </row>
    <row r="529" spans="1:19" x14ac:dyDescent="0.2">
      <c r="A529" s="303"/>
      <c r="B529" s="303"/>
      <c r="C529" s="303"/>
      <c r="D529" s="303"/>
      <c r="E529" s="303"/>
      <c r="F529" s="303"/>
      <c r="G529" s="303"/>
      <c r="H529" s="303"/>
      <c r="I529" s="303"/>
      <c r="J529" s="1798"/>
      <c r="K529" s="303"/>
      <c r="L529" s="303" t="s">
        <v>1041</v>
      </c>
      <c r="M529" s="303"/>
      <c r="N529" s="303"/>
      <c r="O529" s="302"/>
      <c r="P529" s="302"/>
      <c r="Q529" s="302"/>
      <c r="R529" s="302"/>
      <c r="S529" s="302"/>
    </row>
    <row r="530" spans="1:19" x14ac:dyDescent="0.2">
      <c r="A530" s="303"/>
      <c r="B530" s="303"/>
      <c r="C530" s="303"/>
      <c r="D530" s="303"/>
      <c r="E530" s="303"/>
      <c r="F530" s="303"/>
      <c r="G530" s="303"/>
      <c r="H530" s="303"/>
      <c r="I530" s="303"/>
      <c r="J530" s="1798"/>
      <c r="K530" s="303"/>
      <c r="L530" s="303" t="s">
        <v>1041</v>
      </c>
      <c r="M530" s="303"/>
      <c r="N530" s="303"/>
      <c r="O530" s="302"/>
      <c r="P530" s="302"/>
      <c r="Q530" s="302"/>
      <c r="R530" s="302"/>
      <c r="S530" s="302"/>
    </row>
    <row r="531" spans="1:19" x14ac:dyDescent="0.2">
      <c r="A531" s="303"/>
      <c r="B531" s="303"/>
      <c r="C531" s="303"/>
      <c r="D531" s="303"/>
      <c r="E531" s="303"/>
      <c r="F531" s="303"/>
      <c r="G531" s="303"/>
      <c r="H531" s="303"/>
      <c r="I531" s="303"/>
      <c r="J531" s="1798"/>
      <c r="K531" s="303"/>
      <c r="L531" s="303" t="s">
        <v>1041</v>
      </c>
      <c r="M531" s="303"/>
      <c r="N531" s="303"/>
      <c r="O531" s="302"/>
      <c r="P531" s="302"/>
      <c r="Q531" s="302"/>
      <c r="R531" s="302"/>
      <c r="S531" s="302"/>
    </row>
    <row r="532" spans="1:19" x14ac:dyDescent="0.2">
      <c r="A532" s="303"/>
      <c r="B532" s="303"/>
      <c r="C532" s="303"/>
      <c r="D532" s="303"/>
      <c r="E532" s="303"/>
      <c r="F532" s="303"/>
      <c r="G532" s="303"/>
      <c r="H532" s="303"/>
      <c r="I532" s="303"/>
      <c r="J532" s="1798"/>
      <c r="K532" s="303"/>
      <c r="L532" s="303" t="s">
        <v>1041</v>
      </c>
      <c r="M532" s="303"/>
      <c r="N532" s="303"/>
      <c r="O532" s="302"/>
      <c r="P532" s="302"/>
      <c r="Q532" s="302"/>
      <c r="R532" s="302"/>
      <c r="S532" s="302"/>
    </row>
    <row r="533" spans="1:19" x14ac:dyDescent="0.2">
      <c r="A533" s="303"/>
      <c r="B533" s="303"/>
      <c r="C533" s="303"/>
      <c r="D533" s="303"/>
      <c r="E533" s="303"/>
      <c r="F533" s="303"/>
      <c r="G533" s="303"/>
      <c r="H533" s="303"/>
      <c r="I533" s="303"/>
      <c r="J533" s="1798"/>
      <c r="K533" s="303"/>
      <c r="L533" s="303" t="s">
        <v>1041</v>
      </c>
      <c r="M533" s="303"/>
      <c r="N533" s="303"/>
      <c r="O533" s="302"/>
      <c r="P533" s="302"/>
      <c r="Q533" s="302"/>
      <c r="R533" s="302"/>
      <c r="S533" s="302"/>
    </row>
  </sheetData>
  <sheetProtection algorithmName="SHA-512" hashValue="7HeS/lJOosKzeeUgaylTZOfQGA3xBLe3Uu7uIKhJJf4MBcI8evCTDFL5kfSZ27YDb6crsmLI06lFWA2DJNCOtA==" saltValue="XI7HzLXgCl7tDO09U2GKhw==" spinCount="100000" sheet="1" objects="1" scenarios="1" formatCells="0" formatColumns="0" formatRows="0" selectLockedCells="1" sort="0" autoFilter="0"/>
  <sortState ref="B15:C34">
    <sortCondition ref="B15:B34"/>
  </sortState>
  <phoneticPr fontId="0" type="noConversion"/>
  <printOptions horizontalCentered="1"/>
  <pageMargins left="0.5" right="0.5" top="1" bottom="0.5" header="0.5" footer="0.5"/>
  <pageSetup scale="11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DE3318"/>
  <sheetViews>
    <sheetView zoomScaleNormal="100" workbookViewId="0">
      <pane xSplit="1" ySplit="10" topLeftCell="B14" activePane="bottomRight" state="frozen"/>
      <selection activeCell="C40" sqref="C40"/>
      <selection pane="topRight" activeCell="C40" sqref="C40"/>
      <selection pane="bottomLeft" activeCell="C40" sqref="C40"/>
      <selection pane="bottomRight"/>
    </sheetView>
  </sheetViews>
  <sheetFormatPr defaultColWidth="9.140625" defaultRowHeight="12.75" zeroHeight="1" x14ac:dyDescent="0.2"/>
  <cols>
    <col min="1" max="1" width="5.42578125" style="586" customWidth="1"/>
    <col min="2" max="2" width="55.7109375" style="587" customWidth="1"/>
    <col min="3" max="3" width="15.5703125" style="587" bestFit="1" customWidth="1"/>
    <col min="4" max="4" width="28.5703125" style="587" customWidth="1"/>
    <col min="5" max="5" width="17.140625" style="588" customWidth="1"/>
    <col min="6" max="6" width="21.85546875" style="588" customWidth="1"/>
    <col min="7" max="7" width="9" style="588" customWidth="1"/>
    <col min="8" max="9" width="31.7109375" style="588" customWidth="1"/>
    <col min="10" max="10" width="13.85546875" style="589" customWidth="1"/>
    <col min="11" max="11" width="10.28515625" style="590" customWidth="1"/>
    <col min="12" max="12" width="10.5703125" style="591" customWidth="1"/>
    <col min="13" max="13" width="17.85546875" style="592" customWidth="1"/>
    <col min="14" max="14" width="13.85546875" style="589" customWidth="1"/>
    <col min="15" max="15" width="57.140625" style="587" customWidth="1"/>
    <col min="16" max="16" width="1.42578125" style="586" customWidth="1"/>
    <col min="17" max="17" width="4.42578125" style="586" bestFit="1" customWidth="1"/>
    <col min="18" max="18" width="55.7109375" style="593" customWidth="1"/>
    <col min="19" max="19" width="15.5703125" style="593" bestFit="1" customWidth="1"/>
    <col min="20" max="20" width="28.5703125" style="593" customWidth="1"/>
    <col min="21" max="21" width="17.140625" style="593" customWidth="1"/>
    <col min="22" max="22" width="21.85546875" style="593" customWidth="1"/>
    <col min="23" max="23" width="9" style="594" customWidth="1"/>
    <col min="24" max="25" width="11.28515625" style="594" customWidth="1"/>
    <col min="26" max="27" width="31.7109375" style="593" customWidth="1"/>
    <col min="28" max="28" width="13.85546875" style="595" customWidth="1"/>
    <col min="29" max="29" width="10.28515625" style="596" customWidth="1"/>
    <col min="30" max="30" width="13.28515625" style="596" customWidth="1"/>
    <col min="31" max="31" width="11.85546875" style="597" bestFit="1" customWidth="1"/>
    <col min="32" max="32" width="17.85546875" style="598" customWidth="1"/>
    <col min="33" max="33" width="13.85546875" style="594" customWidth="1"/>
    <col min="34" max="34" width="57.140625" style="375" customWidth="1"/>
    <col min="35" max="35" width="1.42578125" style="586" customWidth="1"/>
    <col min="36" max="36" width="4.42578125" style="586" bestFit="1" customWidth="1"/>
    <col min="37" max="37" width="46.140625" style="586" customWidth="1"/>
    <col min="38" max="38" width="46.42578125" style="586" bestFit="1" customWidth="1"/>
    <col min="39" max="39" width="14.85546875" style="596" customWidth="1"/>
    <col min="40" max="40" width="11.140625" style="375" bestFit="1" customWidth="1"/>
    <col min="41" max="41" width="14.7109375" style="375" bestFit="1" customWidth="1"/>
    <col min="42" max="42" width="11.140625" style="375" customWidth="1"/>
    <col min="43" max="43" width="10.42578125" style="378" customWidth="1"/>
    <col min="44" max="44" width="13.5703125" style="378" bestFit="1" customWidth="1"/>
    <col min="45" max="55" width="12.7109375" style="378" customWidth="1"/>
    <col min="56" max="56" width="10" style="599" bestFit="1" customWidth="1"/>
    <col min="57" max="57" width="57.140625" style="375" customWidth="1"/>
    <col min="58" max="59" width="57.140625" style="375" hidden="1" customWidth="1"/>
    <col min="60" max="60" width="4.140625" style="586" customWidth="1"/>
    <col min="61" max="61" width="6.42578125" style="586" customWidth="1"/>
    <col min="62" max="62" width="53.85546875" style="586" bestFit="1" customWidth="1"/>
    <col min="63" max="63" width="25.42578125" style="586" customWidth="1"/>
    <col min="64" max="64" width="29.28515625" style="586" bestFit="1" customWidth="1"/>
    <col min="65" max="65" width="11.42578125" style="586" bestFit="1" customWidth="1"/>
    <col min="66" max="66" width="11.140625" style="586" bestFit="1" customWidth="1"/>
    <col min="67" max="67" width="10" style="586" bestFit="1" customWidth="1"/>
    <col min="68" max="68" width="57" style="586" customWidth="1"/>
    <col min="69" max="69" width="3.42578125" style="586" customWidth="1"/>
    <col min="70" max="70" width="7.7109375" style="586" customWidth="1"/>
    <col min="71" max="71" width="51.85546875" style="586" customWidth="1"/>
    <col min="72" max="72" width="34.85546875" style="586" bestFit="1" customWidth="1"/>
    <col min="73" max="73" width="13.5703125" style="595" customWidth="1"/>
    <col min="74" max="74" width="10.28515625" style="586" customWidth="1"/>
    <col min="75" max="75" width="14.7109375" style="586" customWidth="1"/>
    <col min="76" max="76" width="10.28515625" style="586" customWidth="1"/>
    <col min="77" max="77" width="15.28515625" style="586" bestFit="1" customWidth="1"/>
    <col min="78" max="78" width="15" style="586" customWidth="1"/>
    <col min="79" max="79" width="57" style="586" customWidth="1"/>
    <col min="80" max="80" width="1.42578125" style="586" customWidth="1"/>
    <col min="81" max="81" width="4.42578125" style="586" bestFit="1" customWidth="1"/>
    <col min="82" max="82" width="28.5703125" style="378" customWidth="1"/>
    <col min="83" max="87" width="19" style="596" customWidth="1"/>
    <col min="88" max="89" width="31.7109375" style="589" customWidth="1"/>
    <col min="90" max="90" width="14" style="378" customWidth="1"/>
    <col min="91" max="91" width="31.7109375" style="375" customWidth="1"/>
    <col min="92" max="92" width="13.85546875" style="375" customWidth="1"/>
    <col min="93" max="93" width="13.85546875" style="378" customWidth="1"/>
    <col min="94" max="94" width="31.7109375" style="587" customWidth="1"/>
    <col min="95" max="95" width="17.5703125" style="598" customWidth="1"/>
    <col min="96" max="96" width="14.140625" style="378" customWidth="1"/>
    <col min="97" max="97" width="17.7109375" style="598" customWidth="1"/>
    <col min="98" max="98" width="14" style="378" customWidth="1"/>
    <col min="99" max="100" width="8.5703125" style="378" customWidth="1"/>
    <col min="101" max="101" width="31.7109375" style="587" customWidth="1"/>
    <col min="102" max="104" width="14" style="596" customWidth="1"/>
    <col min="105" max="106" width="17.5703125" style="600" customWidth="1"/>
    <col min="107" max="107" width="31.85546875" style="587" customWidth="1"/>
    <col min="108" max="108" width="57.140625" style="587" customWidth="1"/>
    <col min="109" max="16384" width="9.140625" style="586"/>
  </cols>
  <sheetData>
    <row r="1" spans="1:109" hidden="1" x14ac:dyDescent="0.2"/>
    <row r="2" spans="1:109" ht="21.2" hidden="1" customHeight="1" x14ac:dyDescent="0.2">
      <c r="B2" s="375"/>
      <c r="C2" s="375"/>
      <c r="D2" s="375"/>
      <c r="E2" s="586"/>
      <c r="F2" s="586"/>
      <c r="G2" s="586"/>
      <c r="H2" s="586"/>
      <c r="I2" s="586"/>
      <c r="J2" s="586"/>
      <c r="K2" s="586"/>
      <c r="L2" s="586"/>
      <c r="M2" s="586"/>
      <c r="N2" s="586"/>
      <c r="O2" s="586"/>
      <c r="R2" s="586"/>
      <c r="S2" s="586"/>
      <c r="T2" s="586"/>
      <c r="U2" s="586"/>
      <c r="V2" s="586"/>
      <c r="W2" s="586"/>
      <c r="X2" s="586"/>
      <c r="Y2" s="586"/>
      <c r="Z2" s="586"/>
      <c r="AA2" s="586"/>
      <c r="AB2" s="586"/>
      <c r="AC2" s="586"/>
      <c r="AD2" s="586"/>
      <c r="AE2" s="586"/>
      <c r="BS2" s="595"/>
      <c r="BT2" s="595"/>
      <c r="BV2" s="595"/>
      <c r="BW2" s="595"/>
      <c r="BX2" s="595"/>
      <c r="BY2" s="595"/>
      <c r="BZ2" s="595"/>
      <c r="CA2" s="595"/>
      <c r="CB2" s="595"/>
      <c r="CC2" s="595"/>
      <c r="CJ2" s="598"/>
      <c r="CK2" s="598"/>
      <c r="CL2" s="598"/>
      <c r="CM2" s="598"/>
      <c r="CN2" s="598"/>
      <c r="CO2" s="598"/>
      <c r="CP2" s="598"/>
      <c r="CR2" s="598"/>
      <c r="CW2" s="378"/>
      <c r="CX2" s="378"/>
      <c r="CY2" s="378"/>
      <c r="CZ2" s="378"/>
      <c r="DA2" s="378"/>
      <c r="DB2" s="378"/>
      <c r="DC2" s="378"/>
      <c r="DD2" s="378"/>
      <c r="DE2" s="378"/>
    </row>
    <row r="3" spans="1:109" s="378" customFormat="1" ht="30.75" hidden="1" customHeight="1" x14ac:dyDescent="0.2">
      <c r="A3" s="586"/>
      <c r="B3" s="375"/>
      <c r="C3" s="375"/>
      <c r="D3" s="375"/>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98"/>
      <c r="AG3" s="594"/>
      <c r="AH3" s="375"/>
      <c r="AJ3" s="586"/>
      <c r="AK3" s="586"/>
      <c r="AL3" s="586"/>
      <c r="AM3" s="596"/>
      <c r="AN3" s="375"/>
      <c r="AO3" s="375"/>
      <c r="AP3" s="375"/>
      <c r="BD3" s="599"/>
      <c r="BE3" s="375"/>
      <c r="BF3" s="375"/>
      <c r="BG3" s="375"/>
      <c r="CE3" s="596"/>
      <c r="CF3" s="596"/>
      <c r="CG3" s="596"/>
      <c r="CH3" s="596"/>
      <c r="CI3" s="596"/>
      <c r="CJ3" s="598"/>
      <c r="CK3" s="598"/>
      <c r="CL3" s="598"/>
      <c r="CM3" s="598"/>
      <c r="CN3" s="598"/>
      <c r="CO3" s="598"/>
      <c r="CP3" s="598"/>
      <c r="CQ3" s="598"/>
      <c r="CR3" s="598"/>
      <c r="CS3" s="598"/>
    </row>
    <row r="4" spans="1:109" s="604" customFormat="1" ht="21" thickBot="1" x14ac:dyDescent="0.35">
      <c r="A4" s="603"/>
      <c r="B4" s="602" t="str">
        <f>'A-10 M&amp;A FacInv'!$A$1</f>
        <v>Form Name: Administrative and Maintenance Facility Inventory (A-10)</v>
      </c>
      <c r="C4" s="602"/>
      <c r="D4" s="608"/>
      <c r="E4" s="608"/>
      <c r="F4" s="608"/>
      <c r="G4" s="608"/>
      <c r="H4" s="608"/>
      <c r="I4" s="601"/>
      <c r="J4" s="608"/>
      <c r="K4" s="608"/>
      <c r="L4" s="608"/>
      <c r="M4" s="608"/>
      <c r="N4" s="608"/>
      <c r="O4" s="608"/>
      <c r="P4" s="603"/>
      <c r="Q4" s="603"/>
      <c r="R4" s="602" t="str">
        <f>'A-20 PassFacInv'!$A$1</f>
        <v>Form Name: Passenger and Parking Facility Inventory (A-20)</v>
      </c>
      <c r="S4" s="602"/>
      <c r="T4" s="601"/>
      <c r="U4" s="601"/>
      <c r="V4" s="601"/>
      <c r="W4" s="601"/>
      <c r="X4" s="601"/>
      <c r="Y4" s="601"/>
      <c r="Z4" s="601"/>
      <c r="AA4" s="601"/>
      <c r="AB4" s="601"/>
      <c r="AC4" s="601"/>
      <c r="AD4" s="601"/>
      <c r="AE4" s="601"/>
      <c r="AF4" s="601"/>
      <c r="AG4" s="601"/>
      <c r="AH4" s="601"/>
      <c r="AJ4" s="378"/>
      <c r="AK4" s="602" t="str">
        <f>'A-50 FGRailInv'!$A$1</f>
        <v>Form Name: Rail Fixed Guideway Inventory (A-50)</v>
      </c>
      <c r="AL4" s="601"/>
      <c r="AM4" s="601"/>
      <c r="AN4" s="601"/>
      <c r="AO4" s="601"/>
      <c r="AP4" s="601"/>
      <c r="AQ4" s="601"/>
      <c r="AR4" s="601"/>
      <c r="AS4" s="601"/>
      <c r="AT4" s="601"/>
      <c r="AU4" s="601"/>
      <c r="AV4" s="601"/>
      <c r="AW4" s="601"/>
      <c r="AX4" s="601"/>
      <c r="AY4" s="601"/>
      <c r="AZ4" s="601"/>
      <c r="BA4" s="601"/>
      <c r="BB4" s="601"/>
      <c r="BC4" s="601"/>
      <c r="BD4" s="601"/>
      <c r="BE4" s="601"/>
      <c r="BF4" s="601"/>
      <c r="BG4" s="601"/>
      <c r="BJ4" s="602" t="str">
        <f>'A-55 TrackInv'!A1</f>
        <v>Form Name: Track Inventory (A-55)</v>
      </c>
      <c r="BK4" s="601"/>
      <c r="BL4" s="601"/>
      <c r="BM4" s="601"/>
      <c r="BN4" s="601"/>
      <c r="BO4" s="601"/>
      <c r="BP4" s="601"/>
      <c r="BS4" s="1055" t="s">
        <v>2255</v>
      </c>
      <c r="BT4" s="1055"/>
      <c r="BU4" s="601"/>
      <c r="BV4" s="601"/>
      <c r="BW4" s="601"/>
      <c r="BX4" s="601"/>
      <c r="BY4" s="601"/>
      <c r="BZ4" s="601"/>
      <c r="CA4" s="601"/>
      <c r="CD4" s="602" t="str">
        <f>'A-70 RevVehInv'!$A$1</f>
        <v>Form Name: Revenue Vehicle Inventory  (A-70)</v>
      </c>
      <c r="CE4" s="601"/>
      <c r="CF4" s="601"/>
      <c r="CG4" s="601"/>
      <c r="CH4" s="601"/>
      <c r="CI4" s="601"/>
      <c r="CJ4" s="601"/>
      <c r="CK4" s="601"/>
      <c r="CL4" s="601"/>
      <c r="CM4" s="601"/>
      <c r="CN4" s="601"/>
      <c r="CO4" s="601"/>
      <c r="CP4" s="601"/>
      <c r="CQ4" s="601"/>
      <c r="CR4" s="601"/>
      <c r="CS4" s="601"/>
      <c r="CT4" s="601"/>
      <c r="CU4" s="601"/>
      <c r="CV4" s="601"/>
      <c r="CW4" s="601"/>
      <c r="CX4" s="601"/>
      <c r="CY4" s="601"/>
      <c r="CZ4" s="601"/>
      <c r="DA4" s="601"/>
      <c r="DB4" s="601"/>
      <c r="DC4" s="601"/>
      <c r="DD4" s="601"/>
      <c r="DE4" s="378"/>
    </row>
    <row r="5" spans="1:109" s="378" customFormat="1" ht="20.25" x14ac:dyDescent="0.3">
      <c r="A5" s="604"/>
      <c r="B5" s="1479"/>
      <c r="C5" s="1480"/>
      <c r="D5" s="1455"/>
      <c r="E5" s="1455"/>
      <c r="F5" s="1455"/>
      <c r="G5" s="1455"/>
      <c r="H5" s="1455"/>
      <c r="I5" s="1452"/>
      <c r="J5" s="1455"/>
      <c r="K5" s="1455"/>
      <c r="L5" s="1455"/>
      <c r="M5" s="1455"/>
      <c r="N5" s="1455"/>
      <c r="O5" s="1456"/>
      <c r="P5" s="604"/>
      <c r="Q5" s="604"/>
      <c r="R5" s="1479"/>
      <c r="S5" s="1480"/>
      <c r="T5" s="1452"/>
      <c r="U5" s="1452"/>
      <c r="V5" s="1452"/>
      <c r="W5" s="1452"/>
      <c r="X5" s="1452"/>
      <c r="Y5" s="1452"/>
      <c r="Z5" s="1452"/>
      <c r="AA5" s="1452"/>
      <c r="AB5" s="1452"/>
      <c r="AC5" s="1452"/>
      <c r="AD5" s="1452"/>
      <c r="AE5" s="1452"/>
      <c r="AF5" s="1452"/>
      <c r="AG5" s="1452"/>
      <c r="AH5" s="1453"/>
      <c r="AJ5" s="604"/>
      <c r="AK5" s="746"/>
      <c r="AL5" s="609"/>
      <c r="AM5" s="610"/>
      <c r="AN5" s="611"/>
      <c r="AO5" s="610"/>
      <c r="AP5" s="611"/>
      <c r="AQ5" s="1067" t="s">
        <v>10</v>
      </c>
      <c r="AR5" s="611" t="s">
        <v>2278</v>
      </c>
      <c r="AS5" s="2042" t="s">
        <v>2295</v>
      </c>
      <c r="AT5" s="2043"/>
      <c r="AU5" s="2044"/>
      <c r="AV5" s="2043"/>
      <c r="AW5" s="2043"/>
      <c r="AX5" s="2043"/>
      <c r="AY5" s="2043"/>
      <c r="AZ5" s="2043"/>
      <c r="BA5" s="2043"/>
      <c r="BB5" s="2043"/>
      <c r="BC5" s="2045"/>
      <c r="BD5" s="606" t="s">
        <v>149</v>
      </c>
      <c r="BE5" s="744"/>
      <c r="BF5" s="736"/>
      <c r="BG5" s="736"/>
      <c r="BJ5" s="605"/>
      <c r="BK5" s="610"/>
      <c r="BL5" s="610"/>
      <c r="BM5" s="610"/>
      <c r="BN5" s="1067" t="s">
        <v>10</v>
      </c>
      <c r="BO5" s="606" t="s">
        <v>149</v>
      </c>
      <c r="BP5" s="1316"/>
      <c r="BS5" s="605"/>
      <c r="BT5" s="610"/>
      <c r="BU5" s="1076"/>
      <c r="BV5" s="1076" t="s">
        <v>10</v>
      </c>
      <c r="BW5" s="1076"/>
      <c r="BX5" s="1076" t="s">
        <v>149</v>
      </c>
      <c r="BY5" s="1076"/>
      <c r="BZ5" s="1076"/>
      <c r="CA5" s="607"/>
      <c r="CD5" s="1479"/>
      <c r="CE5" s="1452"/>
      <c r="CF5" s="1452"/>
      <c r="CG5" s="1452"/>
      <c r="CH5" s="1452"/>
      <c r="CI5" s="1452"/>
      <c r="CJ5" s="1452"/>
      <c r="CK5" s="1452"/>
      <c r="CL5" s="1452"/>
      <c r="CM5" s="1452"/>
      <c r="CN5" s="1452"/>
      <c r="CO5" s="1452"/>
      <c r="CP5" s="1452"/>
      <c r="CQ5" s="1452"/>
      <c r="CR5" s="1452"/>
      <c r="CS5" s="1452"/>
      <c r="CT5" s="1452"/>
      <c r="CU5" s="1452"/>
      <c r="CV5" s="1452"/>
      <c r="CW5" s="1452"/>
      <c r="CX5" s="1452"/>
      <c r="CY5" s="1452"/>
      <c r="CZ5" s="1452"/>
      <c r="DA5" s="1452"/>
      <c r="DB5" s="1452"/>
      <c r="DC5" s="1452"/>
      <c r="DD5" s="1453"/>
    </row>
    <row r="6" spans="1:109" ht="15" customHeight="1" x14ac:dyDescent="0.2">
      <c r="A6" s="378"/>
      <c r="B6" s="738"/>
      <c r="C6" s="619" t="s">
        <v>2324</v>
      </c>
      <c r="D6" s="619"/>
      <c r="E6" s="619"/>
      <c r="F6" s="619"/>
      <c r="G6" s="619"/>
      <c r="H6" s="619"/>
      <c r="I6" s="619"/>
      <c r="J6" s="1060" t="s">
        <v>98</v>
      </c>
      <c r="K6" s="1061"/>
      <c r="L6" s="1060" t="s">
        <v>200</v>
      </c>
      <c r="M6" s="620"/>
      <c r="N6" s="1060"/>
      <c r="O6" s="621"/>
      <c r="P6" s="375"/>
      <c r="Q6" s="375"/>
      <c r="R6" s="622"/>
      <c r="S6" s="619" t="s">
        <v>2324</v>
      </c>
      <c r="T6" s="623"/>
      <c r="U6" s="623"/>
      <c r="V6" s="623"/>
      <c r="W6" s="623"/>
      <c r="X6" s="623"/>
      <c r="Y6" s="623"/>
      <c r="Z6" s="623"/>
      <c r="AA6" s="623"/>
      <c r="AB6" s="1064" t="s">
        <v>98</v>
      </c>
      <c r="AC6" s="1061" t="s">
        <v>1685</v>
      </c>
      <c r="AD6" s="1351" t="s">
        <v>1686</v>
      </c>
      <c r="AE6" s="1065" t="s">
        <v>2187</v>
      </c>
      <c r="AF6" s="1066"/>
      <c r="AG6" s="1062"/>
      <c r="AH6" s="621"/>
      <c r="AI6" s="375"/>
      <c r="AJ6" s="375"/>
      <c r="AK6" s="1038"/>
      <c r="AL6" s="1039"/>
      <c r="AM6" s="1069"/>
      <c r="AN6" s="617"/>
      <c r="AO6" s="1069"/>
      <c r="AP6" s="1306"/>
      <c r="AQ6" s="625" t="s">
        <v>0</v>
      </c>
      <c r="AR6" s="1306" t="s">
        <v>2277</v>
      </c>
      <c r="AS6" s="618"/>
      <c r="AT6" s="618"/>
      <c r="AU6" s="618"/>
      <c r="AV6" s="618"/>
      <c r="AW6" s="618"/>
      <c r="AX6" s="618"/>
      <c r="AY6" s="618"/>
      <c r="AZ6" s="618"/>
      <c r="BA6" s="618"/>
      <c r="BB6" s="618"/>
      <c r="BC6" s="740"/>
      <c r="BD6" s="1072" t="s">
        <v>200</v>
      </c>
      <c r="BE6" s="745"/>
      <c r="BF6" s="736"/>
      <c r="BG6" s="736"/>
      <c r="BJ6" s="1317"/>
      <c r="BK6" s="624"/>
      <c r="BL6" s="624"/>
      <c r="BM6" s="624"/>
      <c r="BN6" s="625" t="s">
        <v>0</v>
      </c>
      <c r="BO6" s="1072" t="s">
        <v>200</v>
      </c>
      <c r="BP6" s="1318"/>
      <c r="BS6" s="612"/>
      <c r="BT6" s="1069"/>
      <c r="BU6" s="1077"/>
      <c r="BV6" s="1077" t="s">
        <v>0</v>
      </c>
      <c r="BW6" s="1077"/>
      <c r="BX6" s="1077" t="s">
        <v>200</v>
      </c>
      <c r="BY6" s="1077"/>
      <c r="BZ6" s="1077"/>
      <c r="CA6" s="615"/>
      <c r="CD6" s="612"/>
      <c r="CE6" s="1069"/>
      <c r="CF6" s="1069"/>
      <c r="CG6" s="1069"/>
      <c r="CH6" s="1069"/>
      <c r="CI6" s="1069"/>
      <c r="CJ6" s="619"/>
      <c r="CK6" s="619"/>
      <c r="CL6" s="613"/>
      <c r="CM6" s="617"/>
      <c r="CN6" s="613"/>
      <c r="CO6" s="613"/>
      <c r="CP6" s="619"/>
      <c r="CQ6" s="614"/>
      <c r="CR6" s="613"/>
      <c r="CS6" s="614"/>
      <c r="CT6" s="613"/>
      <c r="CU6" s="2046" t="s">
        <v>1679</v>
      </c>
      <c r="CV6" s="2047"/>
      <c r="CW6" s="619"/>
      <c r="CX6" s="1069"/>
      <c r="CY6" s="1069"/>
      <c r="CZ6" s="1069"/>
      <c r="DA6" s="1069"/>
      <c r="DB6" s="1069"/>
      <c r="DC6" s="619"/>
      <c r="DD6" s="626"/>
    </row>
    <row r="7" spans="1:109" ht="15" customHeight="1" x14ac:dyDescent="0.2">
      <c r="A7" s="378"/>
      <c r="B7" s="738"/>
      <c r="C7" s="715" t="s">
        <v>2325</v>
      </c>
      <c r="D7" s="619"/>
      <c r="E7" s="619"/>
      <c r="F7" s="619"/>
      <c r="G7" s="619"/>
      <c r="H7" s="619"/>
      <c r="I7" s="619"/>
      <c r="J7" s="1060" t="s">
        <v>97</v>
      </c>
      <c r="K7" s="1061"/>
      <c r="L7" s="1060" t="s">
        <v>25</v>
      </c>
      <c r="M7" s="620"/>
      <c r="N7" s="1060"/>
      <c r="O7" s="621"/>
      <c r="P7" s="375"/>
      <c r="Q7" s="375"/>
      <c r="R7" s="622"/>
      <c r="S7" s="715" t="s">
        <v>2325</v>
      </c>
      <c r="T7" s="623"/>
      <c r="U7" s="623"/>
      <c r="V7" s="623"/>
      <c r="W7" s="1062"/>
      <c r="X7" s="1062"/>
      <c r="Y7" s="1062"/>
      <c r="Z7" s="623"/>
      <c r="AA7" s="623"/>
      <c r="AB7" s="1064" t="s">
        <v>97</v>
      </c>
      <c r="AC7" s="1061" t="s">
        <v>1683</v>
      </c>
      <c r="AD7" s="1351" t="s">
        <v>1683</v>
      </c>
      <c r="AE7" s="1065" t="s">
        <v>25</v>
      </c>
      <c r="AF7" s="1066"/>
      <c r="AG7" s="1062"/>
      <c r="AH7" s="621"/>
      <c r="AI7" s="375"/>
      <c r="AJ7" s="375"/>
      <c r="AK7" s="1038"/>
      <c r="AL7" s="1039"/>
      <c r="AM7" s="1069" t="s">
        <v>142</v>
      </c>
      <c r="AN7" s="617"/>
      <c r="AO7" s="1069" t="s">
        <v>142</v>
      </c>
      <c r="AP7" s="1306"/>
      <c r="AQ7" s="625" t="s">
        <v>8</v>
      </c>
      <c r="AR7" s="1306" t="s">
        <v>2335</v>
      </c>
      <c r="AS7" s="1071"/>
      <c r="AT7" s="1071"/>
      <c r="AU7" s="1071"/>
      <c r="AV7" s="1071"/>
      <c r="AW7" s="613"/>
      <c r="AX7" s="613"/>
      <c r="AY7" s="613"/>
      <c r="AZ7" s="613"/>
      <c r="BA7" s="613"/>
      <c r="BB7" s="613"/>
      <c r="BC7" s="737" t="s">
        <v>103</v>
      </c>
      <c r="BD7" s="1072" t="s">
        <v>25</v>
      </c>
      <c r="BE7" s="745"/>
      <c r="BF7" s="736"/>
      <c r="BG7" s="736"/>
      <c r="BJ7" s="612"/>
      <c r="BK7" s="1069"/>
      <c r="BL7" s="1069" t="s">
        <v>142</v>
      </c>
      <c r="BM7" s="1069"/>
      <c r="BN7" s="625" t="s">
        <v>8</v>
      </c>
      <c r="BO7" s="1072" t="s">
        <v>25</v>
      </c>
      <c r="BP7" s="1319"/>
      <c r="BS7" s="612"/>
      <c r="BT7" s="1069"/>
      <c r="BU7" s="1077"/>
      <c r="BV7" s="1077" t="s">
        <v>8</v>
      </c>
      <c r="BW7" s="1077"/>
      <c r="BX7" s="1077" t="s">
        <v>25</v>
      </c>
      <c r="BY7" s="1077"/>
      <c r="BZ7" s="1077"/>
      <c r="CA7" s="615"/>
      <c r="CD7" s="612"/>
      <c r="CE7" s="1069"/>
      <c r="CF7" s="1069"/>
      <c r="CG7" s="1069" t="s">
        <v>535</v>
      </c>
      <c r="CH7" s="1069" t="s">
        <v>308</v>
      </c>
      <c r="CI7" s="1069"/>
      <c r="CJ7" s="619"/>
      <c r="CK7" s="619"/>
      <c r="CL7" s="613"/>
      <c r="CM7" s="617"/>
      <c r="CN7" s="613"/>
      <c r="CO7" s="613"/>
      <c r="CP7" s="619"/>
      <c r="CQ7" s="614"/>
      <c r="CR7" s="613" t="s">
        <v>268</v>
      </c>
      <c r="CS7" s="614"/>
      <c r="CT7" s="613" t="s">
        <v>268</v>
      </c>
      <c r="CU7" s="2046"/>
      <c r="CV7" s="2047"/>
      <c r="CW7" s="619"/>
      <c r="CX7" s="1069"/>
      <c r="CY7" s="1069"/>
      <c r="CZ7" s="1069"/>
      <c r="DA7" s="1069"/>
      <c r="DB7" s="1069"/>
      <c r="DC7" s="619"/>
      <c r="DD7" s="626"/>
    </row>
    <row r="8" spans="1:109" ht="15" customHeight="1" x14ac:dyDescent="0.2">
      <c r="A8" s="378"/>
      <c r="B8" s="738"/>
      <c r="C8" s="715" t="s">
        <v>2326</v>
      </c>
      <c r="D8" s="619"/>
      <c r="E8" s="619"/>
      <c r="F8" s="619"/>
      <c r="G8" s="619"/>
      <c r="H8" s="619" t="s">
        <v>162</v>
      </c>
      <c r="I8" s="619"/>
      <c r="J8" s="1060" t="s">
        <v>493</v>
      </c>
      <c r="K8" s="1061"/>
      <c r="L8" s="1060" t="s">
        <v>148</v>
      </c>
      <c r="M8" s="620"/>
      <c r="N8" s="1060" t="s">
        <v>268</v>
      </c>
      <c r="O8" s="621"/>
      <c r="P8" s="375"/>
      <c r="Q8" s="375"/>
      <c r="R8" s="622"/>
      <c r="S8" s="715" t="s">
        <v>2326</v>
      </c>
      <c r="T8" s="623"/>
      <c r="U8" s="623"/>
      <c r="V8" s="623"/>
      <c r="W8" s="1062"/>
      <c r="X8" s="1062"/>
      <c r="Y8" s="1062"/>
      <c r="Z8" s="623" t="s">
        <v>162</v>
      </c>
      <c r="AA8" s="623"/>
      <c r="AB8" s="1064" t="s">
        <v>493</v>
      </c>
      <c r="AC8" s="1061" t="s">
        <v>100</v>
      </c>
      <c r="AD8" s="1351" t="s">
        <v>100</v>
      </c>
      <c r="AE8" s="1065" t="s">
        <v>148</v>
      </c>
      <c r="AF8" s="1066"/>
      <c r="AG8" s="1062" t="s">
        <v>268</v>
      </c>
      <c r="AH8" s="621"/>
      <c r="AI8" s="375"/>
      <c r="AJ8" s="375"/>
      <c r="AK8" s="738" t="s">
        <v>220</v>
      </c>
      <c r="AL8" s="1039"/>
      <c r="AM8" s="1069" t="s">
        <v>2182</v>
      </c>
      <c r="AN8" s="617"/>
      <c r="AO8" s="1069" t="s">
        <v>2182</v>
      </c>
      <c r="AP8" s="1306"/>
      <c r="AQ8" s="625" t="s">
        <v>9</v>
      </c>
      <c r="AR8" s="1306" t="s">
        <v>2336</v>
      </c>
      <c r="AS8" s="613"/>
      <c r="AT8" s="613"/>
      <c r="AU8" s="613"/>
      <c r="AV8" s="613"/>
      <c r="AW8" s="613"/>
      <c r="AX8" s="613"/>
      <c r="AY8" s="613"/>
      <c r="AZ8" s="613"/>
      <c r="BA8" s="613"/>
      <c r="BB8" s="613"/>
      <c r="BC8" s="737" t="s">
        <v>168</v>
      </c>
      <c r="BD8" s="1072" t="s">
        <v>148</v>
      </c>
      <c r="BE8" s="745"/>
      <c r="BF8" s="736"/>
      <c r="BG8" s="736"/>
      <c r="BJ8" s="738" t="s">
        <v>220</v>
      </c>
      <c r="BK8" s="1069"/>
      <c r="BL8" s="1069" t="s">
        <v>2182</v>
      </c>
      <c r="BM8" s="1069"/>
      <c r="BN8" s="625" t="s">
        <v>9</v>
      </c>
      <c r="BO8" s="1072" t="s">
        <v>148</v>
      </c>
      <c r="BP8" s="1319"/>
      <c r="BS8" s="612"/>
      <c r="BT8" s="1415" t="s">
        <v>2352</v>
      </c>
      <c r="BU8" s="1077" t="s">
        <v>308</v>
      </c>
      <c r="BV8" s="1077" t="s">
        <v>9</v>
      </c>
      <c r="BW8" s="1077"/>
      <c r="BX8" s="1077" t="s">
        <v>148</v>
      </c>
      <c r="BY8" s="1077"/>
      <c r="BZ8" s="1077" t="s">
        <v>2354</v>
      </c>
      <c r="CA8" s="615"/>
      <c r="CD8" s="612"/>
      <c r="CE8" s="1069" t="s">
        <v>308</v>
      </c>
      <c r="CF8" s="1069"/>
      <c r="CG8" s="1069" t="s">
        <v>536</v>
      </c>
      <c r="CH8" s="1069" t="s">
        <v>325</v>
      </c>
      <c r="CI8" s="1069"/>
      <c r="CJ8" s="619" t="s">
        <v>313</v>
      </c>
      <c r="CK8" s="619"/>
      <c r="CL8" s="613"/>
      <c r="CM8" s="617"/>
      <c r="CN8" s="613"/>
      <c r="CO8" s="613"/>
      <c r="CP8" s="619"/>
      <c r="CQ8" s="614" t="s">
        <v>2170</v>
      </c>
      <c r="CR8" s="613" t="s">
        <v>2170</v>
      </c>
      <c r="CS8" s="614" t="s">
        <v>2170</v>
      </c>
      <c r="CT8" s="613" t="s">
        <v>2170</v>
      </c>
      <c r="CU8" s="2046"/>
      <c r="CV8" s="2047"/>
      <c r="CW8" s="619" t="s">
        <v>328</v>
      </c>
      <c r="CX8" s="1069" t="s">
        <v>313</v>
      </c>
      <c r="CY8" s="1069"/>
      <c r="CZ8" s="1069"/>
      <c r="DA8" s="1069" t="s">
        <v>333</v>
      </c>
      <c r="DB8" s="1069" t="s">
        <v>2185</v>
      </c>
      <c r="DC8" s="619"/>
      <c r="DD8" s="626"/>
    </row>
    <row r="9" spans="1:109" ht="15" customHeight="1" x14ac:dyDescent="0.2">
      <c r="A9" s="628" t="s">
        <v>196</v>
      </c>
      <c r="B9" s="738" t="s">
        <v>275</v>
      </c>
      <c r="C9" s="715" t="s">
        <v>2327</v>
      </c>
      <c r="D9" s="619" t="s">
        <v>848</v>
      </c>
      <c r="E9" s="619"/>
      <c r="F9" s="619"/>
      <c r="G9" s="619" t="s">
        <v>589</v>
      </c>
      <c r="H9" s="619" t="s">
        <v>849</v>
      </c>
      <c r="I9" s="619" t="s">
        <v>275</v>
      </c>
      <c r="J9" s="1060" t="s">
        <v>494</v>
      </c>
      <c r="K9" s="1061" t="s">
        <v>99</v>
      </c>
      <c r="L9" s="1060" t="s">
        <v>501</v>
      </c>
      <c r="M9" s="620" t="s">
        <v>2163</v>
      </c>
      <c r="N9" s="1060" t="s">
        <v>2163</v>
      </c>
      <c r="O9" s="629"/>
      <c r="P9" s="375"/>
      <c r="Q9" s="375"/>
      <c r="R9" s="622" t="s">
        <v>275</v>
      </c>
      <c r="S9" s="715" t="s">
        <v>2327</v>
      </c>
      <c r="T9" s="623" t="s">
        <v>848</v>
      </c>
      <c r="U9" s="623"/>
      <c r="V9" s="623"/>
      <c r="W9" s="1062" t="s">
        <v>589</v>
      </c>
      <c r="X9" s="1062"/>
      <c r="Y9" s="1062"/>
      <c r="Z9" s="623" t="s">
        <v>849</v>
      </c>
      <c r="AA9" s="623" t="s">
        <v>275</v>
      </c>
      <c r="AB9" s="1064" t="s">
        <v>494</v>
      </c>
      <c r="AC9" s="1061" t="s">
        <v>1684</v>
      </c>
      <c r="AD9" s="1351" t="s">
        <v>1684</v>
      </c>
      <c r="AE9" s="1065" t="s">
        <v>501</v>
      </c>
      <c r="AF9" s="1066" t="s">
        <v>2163</v>
      </c>
      <c r="AG9" s="1062" t="s">
        <v>2163</v>
      </c>
      <c r="AH9" s="629"/>
      <c r="AI9" s="375"/>
      <c r="AJ9" s="375"/>
      <c r="AK9" s="738" t="s">
        <v>2164</v>
      </c>
      <c r="AL9" s="616" t="s">
        <v>2296</v>
      </c>
      <c r="AM9" s="1069" t="s">
        <v>2181</v>
      </c>
      <c r="AN9" s="617"/>
      <c r="AO9" s="1069" t="s">
        <v>2181</v>
      </c>
      <c r="AP9" s="1306"/>
      <c r="AQ9" s="625" t="s">
        <v>7</v>
      </c>
      <c r="AR9" s="1306" t="s">
        <v>2340</v>
      </c>
      <c r="AS9" s="2050" t="s">
        <v>2292</v>
      </c>
      <c r="AT9" s="2050" t="s">
        <v>2282</v>
      </c>
      <c r="AU9" s="2050" t="s">
        <v>2283</v>
      </c>
      <c r="AV9" s="2050" t="s">
        <v>2284</v>
      </c>
      <c r="AW9" s="2050" t="s">
        <v>2285</v>
      </c>
      <c r="AX9" s="2050" t="s">
        <v>2286</v>
      </c>
      <c r="AY9" s="2050" t="s">
        <v>2287</v>
      </c>
      <c r="AZ9" s="2050" t="s">
        <v>2288</v>
      </c>
      <c r="BA9" s="2050" t="s">
        <v>2289</v>
      </c>
      <c r="BB9" s="2050" t="s">
        <v>2291</v>
      </c>
      <c r="BC9" s="737" t="s">
        <v>2183</v>
      </c>
      <c r="BD9" s="1072" t="s">
        <v>147</v>
      </c>
      <c r="BE9" s="745"/>
      <c r="BF9" s="736"/>
      <c r="BG9" s="736"/>
      <c r="BJ9" s="738" t="s">
        <v>2164</v>
      </c>
      <c r="BK9" s="1069"/>
      <c r="BL9" s="1069" t="s">
        <v>2181</v>
      </c>
      <c r="BM9" s="1069"/>
      <c r="BN9" s="625" t="s">
        <v>7</v>
      </c>
      <c r="BO9" s="1072" t="s">
        <v>147</v>
      </c>
      <c r="BP9" s="1319"/>
      <c r="BS9" s="612"/>
      <c r="BT9" s="1415" t="s">
        <v>8</v>
      </c>
      <c r="BU9" s="1077" t="s">
        <v>327</v>
      </c>
      <c r="BV9" s="1077" t="s">
        <v>7</v>
      </c>
      <c r="BW9" s="1077" t="s">
        <v>316</v>
      </c>
      <c r="BX9" s="1077" t="s">
        <v>501</v>
      </c>
      <c r="BY9" s="1077" t="s">
        <v>2163</v>
      </c>
      <c r="BZ9" s="1077" t="s">
        <v>2355</v>
      </c>
      <c r="CA9" s="626"/>
      <c r="CD9" s="612"/>
      <c r="CE9" s="1069" t="s">
        <v>309</v>
      </c>
      <c r="CF9" s="1069" t="s">
        <v>321</v>
      </c>
      <c r="CG9" s="1069" t="s">
        <v>323</v>
      </c>
      <c r="CH9" s="1069" t="s">
        <v>326</v>
      </c>
      <c r="CI9" s="1069" t="s">
        <v>311</v>
      </c>
      <c r="CJ9" s="619" t="s">
        <v>101</v>
      </c>
      <c r="CK9" s="619" t="s">
        <v>314</v>
      </c>
      <c r="CL9" s="613" t="s">
        <v>316</v>
      </c>
      <c r="CM9" s="617" t="s">
        <v>318</v>
      </c>
      <c r="CN9" s="617" t="s">
        <v>2173</v>
      </c>
      <c r="CO9" s="613" t="s">
        <v>316</v>
      </c>
      <c r="CP9" s="619" t="s">
        <v>343</v>
      </c>
      <c r="CQ9" s="614" t="s">
        <v>344</v>
      </c>
      <c r="CR9" s="613" t="s">
        <v>344</v>
      </c>
      <c r="CS9" s="614" t="s">
        <v>270</v>
      </c>
      <c r="CT9" s="613" t="s">
        <v>270</v>
      </c>
      <c r="CU9" s="2048"/>
      <c r="CV9" s="2049"/>
      <c r="CW9" s="619" t="s">
        <v>329</v>
      </c>
      <c r="CX9" s="1069" t="s">
        <v>92</v>
      </c>
      <c r="CY9" s="1069" t="s">
        <v>331</v>
      </c>
      <c r="CZ9" s="1069" t="s">
        <v>2193</v>
      </c>
      <c r="DA9" s="1069" t="s">
        <v>334</v>
      </c>
      <c r="DB9" s="1069" t="s">
        <v>145</v>
      </c>
      <c r="DC9" s="619" t="s">
        <v>338</v>
      </c>
      <c r="DD9" s="626"/>
    </row>
    <row r="10" spans="1:109" ht="15" customHeight="1" thickBot="1" x14ac:dyDescent="0.25">
      <c r="A10" s="628" t="s">
        <v>607</v>
      </c>
      <c r="B10" s="739" t="s">
        <v>26</v>
      </c>
      <c r="C10" s="715" t="s">
        <v>2328</v>
      </c>
      <c r="D10" s="630" t="s">
        <v>235</v>
      </c>
      <c r="E10" s="630" t="s">
        <v>19</v>
      </c>
      <c r="F10" s="619" t="s">
        <v>425</v>
      </c>
      <c r="G10" s="630" t="s">
        <v>201</v>
      </c>
      <c r="H10" s="630" t="s">
        <v>850</v>
      </c>
      <c r="I10" s="630" t="s">
        <v>101</v>
      </c>
      <c r="J10" s="1068" t="s">
        <v>505</v>
      </c>
      <c r="K10" s="1070" t="s">
        <v>100</v>
      </c>
      <c r="L10" s="1068" t="s">
        <v>146</v>
      </c>
      <c r="M10" s="1075" t="s">
        <v>198</v>
      </c>
      <c r="N10" s="1068" t="s">
        <v>198</v>
      </c>
      <c r="O10" s="631" t="s">
        <v>140</v>
      </c>
      <c r="P10" s="375"/>
      <c r="Q10" s="375"/>
      <c r="R10" s="632" t="s">
        <v>26</v>
      </c>
      <c r="S10" s="715" t="s">
        <v>2328</v>
      </c>
      <c r="T10" s="633" t="s">
        <v>235</v>
      </c>
      <c r="U10" s="633" t="s">
        <v>19</v>
      </c>
      <c r="V10" s="623" t="s">
        <v>425</v>
      </c>
      <c r="W10" s="1139" t="s">
        <v>201</v>
      </c>
      <c r="X10" s="1139" t="s">
        <v>2238</v>
      </c>
      <c r="Y10" s="1139" t="s">
        <v>2239</v>
      </c>
      <c r="Z10" s="633" t="s">
        <v>850</v>
      </c>
      <c r="AA10" s="633" t="s">
        <v>101</v>
      </c>
      <c r="AB10" s="1140" t="s">
        <v>505</v>
      </c>
      <c r="AC10" s="1070" t="s">
        <v>143</v>
      </c>
      <c r="AD10" s="1352" t="s">
        <v>143</v>
      </c>
      <c r="AE10" s="1074" t="s">
        <v>146</v>
      </c>
      <c r="AF10" s="1141" t="s">
        <v>198</v>
      </c>
      <c r="AG10" s="1139" t="s">
        <v>198</v>
      </c>
      <c r="AH10" s="631" t="s">
        <v>140</v>
      </c>
      <c r="AI10" s="375"/>
      <c r="AJ10" s="375"/>
      <c r="AK10" s="739" t="s">
        <v>101</v>
      </c>
      <c r="AL10" s="634" t="s">
        <v>2171</v>
      </c>
      <c r="AM10" s="1070" t="s">
        <v>2180</v>
      </c>
      <c r="AN10" s="630" t="s">
        <v>114</v>
      </c>
      <c r="AO10" s="1070" t="s">
        <v>2180</v>
      </c>
      <c r="AP10" s="630" t="s">
        <v>114</v>
      </c>
      <c r="AQ10" s="1073" t="s">
        <v>6</v>
      </c>
      <c r="AR10" s="634" t="s">
        <v>2279</v>
      </c>
      <c r="AS10" s="2051"/>
      <c r="AT10" s="2051"/>
      <c r="AU10" s="2051"/>
      <c r="AV10" s="2051"/>
      <c r="AW10" s="2051"/>
      <c r="AX10" s="2051"/>
      <c r="AY10" s="2051"/>
      <c r="AZ10" s="2051"/>
      <c r="BA10" s="2051"/>
      <c r="BB10" s="2051"/>
      <c r="BC10" s="1075" t="s">
        <v>2184</v>
      </c>
      <c r="BD10" s="1074" t="s">
        <v>146</v>
      </c>
      <c r="BE10" s="637" t="s">
        <v>140</v>
      </c>
      <c r="BF10" s="628"/>
      <c r="BG10" s="628"/>
      <c r="BJ10" s="739" t="s">
        <v>101</v>
      </c>
      <c r="BK10" s="1315" t="s">
        <v>2315</v>
      </c>
      <c r="BL10" s="1070" t="s">
        <v>2180</v>
      </c>
      <c r="BM10" s="1315" t="s">
        <v>114</v>
      </c>
      <c r="BN10" s="1073" t="s">
        <v>6</v>
      </c>
      <c r="BO10" s="1074" t="s">
        <v>146</v>
      </c>
      <c r="BP10" s="637" t="s">
        <v>140</v>
      </c>
      <c r="BS10" s="635" t="s">
        <v>2342</v>
      </c>
      <c r="BT10" s="1315" t="s">
        <v>313</v>
      </c>
      <c r="BU10" s="1078" t="s">
        <v>2353</v>
      </c>
      <c r="BV10" s="1078" t="s">
        <v>6</v>
      </c>
      <c r="BW10" s="1078" t="s">
        <v>317</v>
      </c>
      <c r="BX10" s="1078" t="s">
        <v>146</v>
      </c>
      <c r="BY10" s="1078" t="s">
        <v>198</v>
      </c>
      <c r="BZ10" s="1078" t="s">
        <v>198</v>
      </c>
      <c r="CA10" s="637" t="s">
        <v>140</v>
      </c>
      <c r="CD10" s="635" t="s">
        <v>307</v>
      </c>
      <c r="CE10" s="1080" t="s">
        <v>310</v>
      </c>
      <c r="CF10" s="1080" t="s">
        <v>322</v>
      </c>
      <c r="CG10" s="1080" t="s">
        <v>324</v>
      </c>
      <c r="CH10" s="1080" t="s">
        <v>327</v>
      </c>
      <c r="CI10" s="1080" t="s">
        <v>312</v>
      </c>
      <c r="CJ10" s="630" t="s">
        <v>201</v>
      </c>
      <c r="CK10" s="630" t="s">
        <v>315</v>
      </c>
      <c r="CL10" s="1079" t="s">
        <v>317</v>
      </c>
      <c r="CM10" s="636" t="s">
        <v>201</v>
      </c>
      <c r="CN10" s="636" t="s">
        <v>320</v>
      </c>
      <c r="CO10" s="1079" t="s">
        <v>342</v>
      </c>
      <c r="CP10" s="630" t="s">
        <v>342</v>
      </c>
      <c r="CQ10" s="614" t="s">
        <v>198</v>
      </c>
      <c r="CR10" s="1079" t="s">
        <v>198</v>
      </c>
      <c r="CS10" s="614" t="s">
        <v>198</v>
      </c>
      <c r="CT10" s="1079" t="s">
        <v>198</v>
      </c>
      <c r="CU10" s="636" t="s">
        <v>419</v>
      </c>
      <c r="CV10" s="636" t="s">
        <v>420</v>
      </c>
      <c r="CW10" s="630" t="s">
        <v>201</v>
      </c>
      <c r="CX10" s="1080" t="s">
        <v>330</v>
      </c>
      <c r="CY10" s="1080" t="s">
        <v>332</v>
      </c>
      <c r="CZ10" s="1080" t="s">
        <v>332</v>
      </c>
      <c r="DA10" s="1080" t="s">
        <v>335</v>
      </c>
      <c r="DB10" s="1080" t="s">
        <v>2186</v>
      </c>
      <c r="DC10" s="630" t="s">
        <v>339</v>
      </c>
      <c r="DD10" s="637" t="s">
        <v>140</v>
      </c>
    </row>
    <row r="11" spans="1:109" s="588" customFormat="1" x14ac:dyDescent="0.2">
      <c r="A11" s="589">
        <v>1</v>
      </c>
      <c r="B11" s="1154" t="str">
        <f ca="1">IF('A-80 DirEntInv'!B10&lt;&gt;"",'A-80 DirEntInv'!B10,IF(INDIRECT(ADDRESS(SumRef!AQ17,SumRef!AQ$16,,,SumRef!$B$7))="","",INDIRECT(ADDRESS(SumRef!AQ17,SumRef!AQ$16,,,SumRef!$B$7))))</f>
        <v/>
      </c>
      <c r="C11" s="1082" t="str">
        <f ca="1">IF('A-80 DirEntInv'!C10&lt;&gt;"",'A-80 DirEntInv'!C10,IF(INDIRECT(ADDRESS(SumRef!AR17,SumRef!AR$16,,,SumRef!$B$7))="","",INDIRECT(ADDRESS(SumRef!AR17,SumRef!AR$16,,,SumRef!$B$7))))</f>
        <v/>
      </c>
      <c r="D11" s="1082" t="str">
        <f ca="1">IF('A-80 DirEntInv'!D10&lt;&gt;"",'A-80 DirEntInv'!D10,IF(INDIRECT(ADDRESS(SumRef!AS17,SumRef!AS$16,,,SumRef!$B$7))="","",INDIRECT(ADDRESS(SumRef!AS17,SumRef!AS$16,,,SumRef!$B$7))))</f>
        <v/>
      </c>
      <c r="E11" s="1082" t="str">
        <f ca="1">IF('A-80 DirEntInv'!E10&lt;&gt;"",'A-80 DirEntInv'!E10,IF(INDIRECT(ADDRESS(SumRef!AT17,SumRef!AT$16,,,SumRef!$B$7))="","",INDIRECT(ADDRESS(SumRef!AT17,SumRef!AT$16,,,SumRef!$B$7))))</f>
        <v/>
      </c>
      <c r="F11" s="1082" t="str">
        <f ca="1">IF('A-80 DirEntInv'!F10&lt;&gt;"",'A-80 DirEntInv'!F10,IF(INDIRECT(ADDRESS(SumRef!AU17,SumRef!AU$16,,,SumRef!$B$7))="","",INDIRECT(ADDRESS(SumRef!AU17,SumRef!AU$16,,,SumRef!$B$7))))</f>
        <v/>
      </c>
      <c r="G11" s="1157" t="str">
        <f ca="1">IF('A-80 DirEntInv'!G10&lt;&gt;"",'A-80 DirEntInv'!G10,IF(INDIRECT(ADDRESS(SumRef!AV17,SumRef!AV$16,,,SumRef!$B$7))="","",INDIRECT(ADDRESS(SumRef!AV17,SumRef!AV$16,,,SumRef!$B$7))))</f>
        <v/>
      </c>
      <c r="H11" s="1082" t="str">
        <f ca="1">IF('A-80 DirEntInv'!H10&lt;&gt;"",'A-80 DirEntInv'!H10,IF(INDIRECT(ADDRESS(SumRef!AW17,SumRef!AW$16,,,SumRef!$B$7))="","",INDIRECT(ADDRESS(SumRef!AW17,SumRef!AW$16,,,SumRef!$B$7))))</f>
        <v/>
      </c>
      <c r="I11" s="1082" t="str">
        <f ca="1">IF('A-80 DirEntInv'!I10&lt;&gt;"",'A-80 DirEntInv'!I10,IF(INDIRECT(ADDRESS(SumRef!AX17,SumRef!AX$16,,,SumRef!$B$7))="","",INDIRECT(ADDRESS(SumRef!AX17,SumRef!AX$16,,,SumRef!$B$7))))</f>
        <v/>
      </c>
      <c r="J11" s="1083" t="str">
        <f ca="1">IF('A-80 DirEntInv'!J10&lt;&gt;"",'A-80 DirEntInv'!J10,IF(INDIRECT(ADDRESS(SumRef!AY17,SumRef!AY$16,,,SumRef!$B$7))="","",INDIRECT(ADDRESS(SumRef!AY17,SumRef!AY$16,,,SumRef!$B$7))))</f>
        <v/>
      </c>
      <c r="K11" s="1084" t="str">
        <f ca="1">IF('A-80 DirEntInv'!K10&lt;&gt;"",'A-80 DirEntInv'!K10,IF(INDIRECT(ADDRESS(SumRef!AZ17,SumRef!AZ$16,,,SumRef!$B$7))="","",INDIRECT(ADDRESS(SumRef!AZ17,SumRef!AZ$16,,,SumRef!$B$7))))</f>
        <v/>
      </c>
      <c r="L11" s="1085" t="str">
        <f ca="1">IF('A-80 DirEntInv'!L10&lt;&gt;"",'A-80 DirEntInv'!L10,IF(INDIRECT(ADDRESS(SumRef!BA17,SumRef!BA$16,,,SumRef!$B$7))="","",INDIRECT(ADDRESS(SumRef!BA17,SumRef!BA$16,,,SumRef!$B$7))))</f>
        <v/>
      </c>
      <c r="M11" s="1086" t="str">
        <f ca="1">IF('A-80 DirEntInv'!M10&lt;&gt;"",'A-80 DirEntInv'!M10,IF(INDIRECT(ADDRESS(SumRef!BB17,SumRef!BB$16,,,SumRef!$B$7))="","",INDIRECT(ADDRESS(SumRef!BB17,SumRef!BB$16,,,SumRef!$B$7))))</f>
        <v/>
      </c>
      <c r="N11" s="1083" t="str">
        <f ca="1">IF('A-80 DirEntInv'!N10&lt;&gt;"",'A-80 DirEntInv'!N10,IF(INDIRECT(ADDRESS(SumRef!BC17,SumRef!BC$16,,,SumRef!$B$7))="","",INDIRECT(ADDRESS(SumRef!BC17,SumRef!BC$16,,,SumRef!$B$7))))</f>
        <v/>
      </c>
      <c r="O11" s="1360" t="str">
        <f ca="1">IF('A-80 DirEntInv'!O10&lt;&gt;"",'A-80 DirEntInv'!O10,IF(INDIRECT(ADDRESS(SumRef!BD17,SumRef!BD$16,,,SumRef!$B$7))="","",INDIRECT(ADDRESS(SumRef!BD17,SumRef!BD$16,,,SumRef!$B$7))))</f>
        <v/>
      </c>
      <c r="P11" s="589"/>
      <c r="Q11" s="589"/>
      <c r="R11" s="1087" t="str">
        <f ca="1">IF('A-80 DirEntInv'!R10&lt;&gt;"",'A-80 DirEntInv'!R10,IF(INDIRECT(ADDRESS(SumRef!BH17,SumRef!BH$16,,,SumRef!$B$8))="","",INDIRECT(ADDRESS(SumRef!BH17,SumRef!BH$16,,,SumRef!$B$8))))</f>
        <v/>
      </c>
      <c r="S11" s="1088" t="str">
        <f ca="1">IF('A-80 DirEntInv'!S10&lt;&gt;"",'A-80 DirEntInv'!S10,IF(INDIRECT(ADDRESS(SumRef!BI17,SumRef!BI$16,,,SumRef!$B$8))="","",INDIRECT(ADDRESS(SumRef!BI17,SumRef!BI$16,,,SumRef!$B$8))))</f>
        <v/>
      </c>
      <c r="T11" s="1088" t="str">
        <f ca="1">IF('A-80 DirEntInv'!T10&lt;&gt;"",'A-80 DirEntInv'!T10,IF(INDIRECT(ADDRESS(SumRef!BJ17,SumRef!BJ$16,,,SumRef!$B$8))="","",INDIRECT(ADDRESS(SumRef!BJ17,SumRef!BJ$16,,,SumRef!$B$8))))</f>
        <v/>
      </c>
      <c r="U11" s="1088" t="str">
        <f ca="1">IF('A-80 DirEntInv'!U10&lt;&gt;"",'A-80 DirEntInv'!U10,IF(INDIRECT(ADDRESS(SumRef!BK17,SumRef!BK$16,,,SumRef!$B$8))="","",INDIRECT(ADDRESS(SumRef!BK17,SumRef!BK$16,,,SumRef!$B$8))))</f>
        <v/>
      </c>
      <c r="V11" s="1088" t="str">
        <f ca="1">IF('A-80 DirEntInv'!V10&lt;&gt;"",'A-80 DirEntInv'!V10,IF(INDIRECT(ADDRESS(SumRef!BL17,SumRef!BL$16,,,SumRef!$B$8))="","",INDIRECT(ADDRESS(SumRef!BL17,SumRef!BL$16,,,SumRef!$B$8))))</f>
        <v/>
      </c>
      <c r="W11" s="1353" t="str">
        <f ca="1">IF('A-80 DirEntInv'!W10&lt;&gt;"",'A-80 DirEntInv'!W10,IF(INDIRECT(ADDRESS(SumRef!BM17,SumRef!BM$16,,,SumRef!$B$8))="","",INDIRECT(ADDRESS(SumRef!BM17,SumRef!BM$16,,,SumRef!$B$8))))</f>
        <v/>
      </c>
      <c r="X11" s="1201" t="str">
        <f ca="1">IF('A-80 DirEntInv'!X10&lt;&gt;"",'A-80 DirEntInv'!X10,IF(INDIRECT(ADDRESS(SumRef!BN17,SumRef!BN$16,,,SumRef!$B$8))="","",INDIRECT(ADDRESS(SumRef!BN17,SumRef!BN$16,,,SumRef!$B$8))))</f>
        <v/>
      </c>
      <c r="Y11" s="1201" t="str">
        <f ca="1">IF('A-80 DirEntInv'!Y10&lt;&gt;"",'A-80 DirEntInv'!Y10,IF(INDIRECT(ADDRESS(SumRef!BO17,SumRef!BO$16,,,SumRef!$B$8))="","",INDIRECT(ADDRESS(SumRef!BO17,SumRef!BO$16,,,SumRef!$B$8))))</f>
        <v/>
      </c>
      <c r="Z11" s="1088" t="str">
        <f ca="1">IF('A-80 DirEntInv'!Z10&lt;&gt;"",'A-80 DirEntInv'!Z10,IF(INDIRECT(ADDRESS(SumRef!BP17,SumRef!BP$16,,,SumRef!$B$8))="","",INDIRECT(ADDRESS(SumRef!BP17,SumRef!BP$16,,,SumRef!$B$8))))</f>
        <v/>
      </c>
      <c r="AA11" s="1088" t="str">
        <f ca="1">IF('A-80 DirEntInv'!AA10&lt;&gt;"",'A-80 DirEntInv'!AA10,IF(INDIRECT(ADDRESS(SumRef!BQ17,SumRef!BQ$16,,,SumRef!$B$8))="","",INDIRECT(ADDRESS(SumRef!BQ17,SumRef!BQ$16,,,SumRef!$B$8))))</f>
        <v/>
      </c>
      <c r="AB11" s="1090" t="str">
        <f ca="1">IF('A-80 DirEntInv'!AB10&lt;&gt;"",'A-80 DirEntInv'!AB10,IF(INDIRECT(ADDRESS(SumRef!BR17,SumRef!BR$16,,,SumRef!$B$8))="","",INDIRECT(ADDRESS(SumRef!BR17,SumRef!BR$16,,,SumRef!$B$8))))</f>
        <v/>
      </c>
      <c r="AC11" s="1091" t="str">
        <f ca="1">IF('A-80 DirEntInv'!AC10&lt;&gt;"",'A-80 DirEntInv'!AC10,IF(INDIRECT(ADDRESS(SumRef!BS17,SumRef!BS$16,,,SumRef!$B$8))="","",INDIRECT(ADDRESS(SumRef!BS17,SumRef!BS$16,,,SumRef!$B$8))))</f>
        <v/>
      </c>
      <c r="AD11" s="1348" t="str">
        <f ca="1">IF('A-80 DirEntInv'!AD10&lt;&gt;"",'A-80 DirEntInv'!AD10,IF(INDIRECT(ADDRESS(SumRef!BT17,SumRef!BT$16,,,SumRef!$B$8))="","",INDIRECT(ADDRESS(SumRef!BT17,SumRef!BT$16,,,SumRef!$B$8))))</f>
        <v/>
      </c>
      <c r="AE11" s="1136" t="str">
        <f ca="1">IF('A-80 DirEntInv'!AE10&lt;&gt;"",'A-80 DirEntInv'!AE10,IF(INDIRECT(ADDRESS(SumRef!BU17,SumRef!BU$16,,,SumRef!$B$8))="","",INDIRECT(ADDRESS(SumRef!BU17,SumRef!BU$16,,,SumRef!$B$8))))</f>
        <v/>
      </c>
      <c r="AF11" s="1345" t="str">
        <f ca="1">IF('A-80 DirEntInv'!AF10&lt;&gt;"",'A-80 DirEntInv'!AF10,IF(INDIRECT(ADDRESS(SumRef!BV17,SumRef!BV$16,,,SumRef!$B$8))="","",INDIRECT(ADDRESS(SumRef!BV17,SumRef!BV$16,,,SumRef!$B$8))))</f>
        <v/>
      </c>
      <c r="AG11" s="1089" t="str">
        <f ca="1">IF('A-80 DirEntInv'!AG10&lt;&gt;"",'A-80 DirEntInv'!AG10,IF(INDIRECT(ADDRESS(SumRef!BW17,SumRef!BW$16,,,SumRef!$B$8))="","",INDIRECT(ADDRESS(SumRef!BW17,SumRef!BW$16,,,SumRef!$B$8))))</f>
        <v/>
      </c>
      <c r="AH11" s="1356" t="str">
        <f ca="1">IF('A-80 DirEntInv'!AH10&lt;&gt;"",'A-80 DirEntInv'!AH10,IF(INDIRECT(ADDRESS(SumRef!BX17,SumRef!BX$16,,,SumRef!$B$8))="","",INDIRECT(ADDRESS(SumRef!BX17,SumRef!BX$16,,,SumRef!$B$8))))</f>
        <v/>
      </c>
      <c r="AJ11" s="589"/>
      <c r="AK11" s="1043" t="str">
        <f>Codes!$C$156</f>
        <v>AG - Automated Guideway (DO)</v>
      </c>
      <c r="AL11" s="1303" t="str">
        <f>Valid!$B$71</f>
        <v>At-Grade/Ballast (including expressway)</v>
      </c>
      <c r="AM11" s="1092" t="str">
        <f>IF('A-80 DirEntInv'!AM10&lt;&gt;"",'A-80 DirEntInv'!AM10,IF($AK$11=summaryref2!$B$12,summaryref2!D12,IF(Summary!$AK$11=summaryref2!$B$26,summaryref2!D26,IF($AK$11=summaryref2!$B$40,summaryref2!D40,IF($AK$11=summaryref2!$B$54,summaryref2!D54,IF($AK$11=summaryref2!$B$68,summaryref2!D68,IF($AK$11=summaryref2!$B$82,summaryref2!D82,IF($AK$11=summaryref2!$B$96,summaryref2!D96,IF($AK$11=summaryref2!$B$110,summaryref2!D110,IF($AK$11=summaryref2!$B$124,summaryref2!D124,IF($AK$11=summaryref2!$B$138,summaryref2!D138,"")))))))))))</f>
        <v/>
      </c>
      <c r="AN11" s="1127" t="str">
        <f ca="1">IF('A-80 DirEntInv'!AN10&lt;&gt;"",'A-80 DirEntInv'!AN10,IF(INDIRECT(ADDRESS(SumRef!CG17,SumRef!CG$16,,,SumRef!$C$7))="","",INDIRECT(ADDRESS(SumRef!CG17,SumRef!CG$16,,,SumRef!$C$7))))</f>
        <v>Linear Feet</v>
      </c>
      <c r="AO11" s="1092" t="str">
        <f>IF('A-80 DirEntInv'!AO10&lt;&gt;"",'A-80 DirEntInv'!AO10,IF(AK11=summaryref2!$B$12,summaryref2!$F$12,IF(Summary!AK11=summaryref2!$B$26,summaryref2!$F$26,IF(AK11=summaryref2!$B$40,summaryref2!$F$40,IF(AK11=summaryref2!$B$54,summaryref2!$F$54,IF(AK11=summaryref2!$B$68,summaryref2!$F$68,IF(AK11=summaryref2!$B$82,summaryref2!$F$82,IF(AK11=summaryref2!$B$96,summaryref2!$F$96,IF(AK11=summaryref2!$B$110,summaryref2!$F$110,IF(AK11=summaryref2!$B$124,summaryref2!$F$124,IF(AK11=summaryref2!$B$138,summaryref2!$F$138,"")))))))))))</f>
        <v/>
      </c>
      <c r="AP11" s="1127" t="str">
        <f ca="1">IF('A-80 DirEntInv'!AP10&lt;&gt;"",'A-80 DirEntInv'!AP10,IF(INDIRECT(ADDRESS(SumRef!#REF!,SumRef!#REF!,,,SumRef!$C$7))="","",INDIRECT(ADDRESS(SumRef!#REF!,SumRef!#REF!,,,SumRef!$C$7))))</f>
        <v>Track Feet</v>
      </c>
      <c r="AQ11" s="1146" t="str">
        <f>IF('A-80 DirEntInv'!AQ10&lt;&gt;"",'A-80 DirEntInv'!AQ10,IF(AK11=summaryref2!$B$12,summaryref2!G$12,IF(Summary!AK11=summaryref2!$B$26,summaryref2!G$26,IF(AK11=summaryref2!$B$40,summaryref2!G$40,IF(AK11=summaryref2!$B$54,summaryref2!G$54,IF(AK11=summaryref2!$B$68,summaryref2!G$68,IF(AK11=summaryref2!$B$82,summaryref2!G$82,IF(AK11=summaryref2!$B$96,summaryref2!G$96,IF(AK11=summaryref2!$B$110,summaryref2!G$110,IF(AK11=summaryref2!$B$124,summaryref2!G$124,IF(AK11=summaryref2!$B$138,summaryref2!G$138,"")))))))))))</f>
        <v/>
      </c>
      <c r="AR11" s="1146" t="str">
        <f>IF('A-80 DirEntInv'!AR10&lt;&gt;"",'A-80 DirEntInv'!AR10,IF(AK11=summaryref2!$B$12,summaryref2!$H$12,IF(Summary!AK11=summaryref2!$B$26,summaryref2!$H$26,IF(AK11=summaryref2!$B$40,summaryref2!$H$40,IF(AK11=summaryref2!$B$54,summaryref2!$H$54,IF(AK11=summaryref2!$B$68,summaryref2!$H$68,IF(AK11=summaryref2!$B$82,summaryref2!$H$82,IF(AK11=summaryref2!$B$96,summaryref2!$H$96,IF(AK11=summaryref2!$B$110,summaryref2!$H$110,IF(AK11=summaryref2!$B$124,summaryref2!$H$124,IF(AK11=summaryref2!$B$138,summaryref2!$H$138,"")))))))))))</f>
        <v/>
      </c>
      <c r="AS11" s="1092" t="str">
        <f>IF('A-80 DirEntInv'!AS10&lt;&gt;"",'A-80 DirEntInv'!AS10,IF(AK11=summaryref2!$B$12,summaryref2!$I$12,IF(Summary!AK11=summaryref2!$B$26,summaryref2!$I$26,IF(AK11=summaryref2!$B$40,summaryref2!$I$40,IF(AK11=summaryref2!$B$54,summaryref2!$I$54,IF(AK11=summaryref2!$B$68,summaryref2!$I$68,IF(AK11=summaryref2!$B$82,summaryref2!$I$82,IF(AK11=summaryref2!$B$96,summaryref2!$I$96,IF(AK11=summaryref2!$B$110,summaryref2!$I$110,IF(AK11=summaryref2!$B$124,summaryref2!$I$124,IF(AK11=summaryref2!$B$138,summaryref2!$I$138,"")))))))))))</f>
        <v/>
      </c>
      <c r="AT11" s="1092" t="str">
        <f>IF('A-80 DirEntInv'!AT10&lt;&gt;"",'A-80 DirEntInv'!AT10,IF(AK11=summaryref2!$B$12,summaryref2!$J$12,IF(Summary!AK11=summaryref2!$B$26,summaryref2!$J$26,IF(AK11=summaryref2!$B$40,summaryref2!$J$40,IF(AK11=summaryref2!$B$54,summaryref2!$J$54,IF(AK11=summaryref2!$B$68,summaryref2!$J$68,IF(AK11=summaryref2!$B$82,summaryref2!$J$82,IF(AK11=summaryref2!$B$96,summaryref2!$J$96,IF(AK11=summaryref2!$B$110,summaryref2!$J$110,IF(AK11=summaryref2!$B$124,summaryref2!$J$124,IF(AK11=summaryref2!$B$138,summaryref2!$J$138,"")))))))))))</f>
        <v/>
      </c>
      <c r="AU11" s="1092" t="str">
        <f>IF('A-80 DirEntInv'!AU10&lt;&gt;"",'A-80 DirEntInv'!AU10,IF(AK11=summaryref2!$B$12,summaryref2!$K$12,IF(Summary!AK11=summaryref2!$B$26,summaryref2!$K$26,IF(AK11=summaryref2!$B$40,summaryref2!$K$40,IF(AK11=summaryref2!$B$54,summaryref2!$K$54,IF(AK11=summaryref2!$B$68,summaryref2!$K$68,IF(AK11=summaryref2!$B$82,summaryref2!$K$82,IF(AK11=summaryref2!$B$96,summaryref2!$K$96,IF(AK11=summaryref2!$B$110,summaryref2!$K$110,IF(AK11=summaryref2!$B$124,summaryref2!$K$124,IF(AK11=summaryref2!$B$138,summaryref2!$K$138,"")))))))))))</f>
        <v/>
      </c>
      <c r="AV11" s="1092" t="str">
        <f>IF('A-80 DirEntInv'!AV10&lt;&gt;"",'A-80 DirEntInv'!AV10,IF(AK11=summaryref2!$B$12,summaryref2!$L$12,IF(Summary!AK11=summaryref2!$B$26,summaryref2!$L$26,IF(AK11=summaryref2!$B$40,summaryref2!$L$40,IF(AK11=summaryref2!$B$54,summaryref2!$L$54,IF(AK11=summaryref2!$B$68,summaryref2!$L$68,IF(AK11=summaryref2!$B$82,summaryref2!$L$82,IF(AK11=summaryref2!$B$96,summaryref2!$L$96,IF(AK11=summaryref2!$B$110,summaryref2!$L$110,IF(AK11=summaryref2!$B$124,summaryref2!$L$124,IF(AK11=summaryref2!$B$138,summaryref2!$L$138,"")))))))))))</f>
        <v/>
      </c>
      <c r="AW11" s="1092" t="str">
        <f>IF('A-80 DirEntInv'!AW10&lt;&gt;"",'A-80 DirEntInv'!AW10,IF($AK11=summaryref2!$B$12,summaryref2!M$12,IF(Summary!$AK11=summaryref2!$B$26,summaryref2!M$26,IF($AK11=summaryref2!$B$40,summaryref2!M$40,IF($AK11=summaryref2!$B$54,summaryref2!M$54,IF($AK11=summaryref2!$B$68,summaryref2!M$68,IF($AK11=summaryref2!$B$82,summaryref2!M$82,IF($AK11=summaryref2!$B$96,summaryref2!M$96,IF($AK11=summaryref2!$B$110,summaryref2!M$110,IF($AK11=summaryref2!$B$124,summaryref2!M$124,IF($AK11=summaryref2!$B$138,summaryref2!M$138,"")))))))))))</f>
        <v/>
      </c>
      <c r="AX11" s="1092" t="str">
        <f>IF('A-80 DirEntInv'!AX10&lt;&gt;"",'A-80 DirEntInv'!AX10,IF(AK11=summaryref2!B12,summaryref2!N12,IF(Summary!AK11=summaryref2!B26,summaryref2!N26,IF(AK11=summaryref2!B40,summaryref2!N40,IF(AK11=summaryref2!B54,summaryref2!N54,IF(AK11=summaryref2!B68,summaryref2!N68,IF(AK11=summaryref2!B82,summaryref2!N82,IF(AK11=summaryref2!B96,summaryref2!N96,IF(AK11=summaryref2!B110,summaryref2!N110,IF(AK11=summaryref2!B124,summaryref2!N124,IF(AK11=summaryref2!B138,summaryref2!N138,"")))))))))))</f>
        <v/>
      </c>
      <c r="AY11" s="1092" t="str">
        <f>IF('A-80 DirEntInv'!AY10&lt;&gt;"",'A-80 DirEntInv'!AY10,IF(AK11=summaryref2!B12,summaryref2!O12,IF(Summary!AK11=summaryref2!B26,summaryref2!O26,IF(AK11=summaryref2!B40,summaryref2!O40,IF(AK11=summaryref2!B54,summaryref2!O54,IF(AK11=summaryref2!B68,summaryref2!O68,IF(AK11=summaryref2!B82,summaryref2!O82,IF(AK11=summaryref2!B96,summaryref2!O96,IF(AK11=summaryref2!B110,summaryref2!O110,IF(AK11=summaryref2!B124,summaryref2!O124,IF(AK11=summaryref2!B138,summaryref2!O138,"")))))))))))</f>
        <v/>
      </c>
      <c r="AZ11" s="1092" t="str">
        <f>IF('A-80 DirEntInv'!AZ10&lt;&gt;"",'A-80 DirEntInv'!AZ10,IF(AK11=summaryref2!B12,summaryref2!P12,IF(Summary!AK11=summaryref2!B26,summaryref2!P26,IF(AK11=summaryref2!B40,summaryref2!P40,IF(AK11=summaryref2!B54,summaryref2!P54,IF(AK11=summaryref2!B68,summaryref2!P68,IF(AK11=summaryref2!B82,summaryref2!P82,IF(AK11=summaryref2!B96,summaryref2!P96,IF(AK11=summaryref2!B110,summaryref2!P110,IF(AK11=summaryref2!B124,summaryref2!P124,IF(AK11=summaryref2!B138,summaryref2!P138,"")))))))))))</f>
        <v/>
      </c>
      <c r="BA11" s="1092" t="str">
        <f>IF('A-80 DirEntInv'!BA10&lt;&gt;"",'A-80 DirEntInv'!BA10,IF(AK11=summaryref2!B12,summaryref2!Q12,IF(Summary!AK11=summaryref2!B26,summaryref2!Q26,IF(AK11=summaryref2!B40,summaryref2!Q40,IF(AK11=summaryref2!B54,summaryref2!Q54,IF(AK11=summaryref2!B68,summaryref2!Q68,IF(AK11=summaryref2!B82,summaryref2!Q82,IF(AK11=summaryref2!B96,summaryref2!Q96,IF(AK11=summaryref2!B110,summaryref2!Q110,IF(AK11=summaryref2!B124,summaryref2!Q124,IF(AK11=summaryref2!B138,summaryref2!Q138,"")))))))))))</f>
        <v/>
      </c>
      <c r="BB11" s="1092" t="str">
        <f>IF('A-80 DirEntInv'!BB10&lt;&gt;"",'A-80 DirEntInv'!BB10,IF(AK11=summaryref2!B12,summaryref2!R12,IF(Summary!AK11=summaryref2!B26,summaryref2!R26,IF(AK11=summaryref2!B40,summaryref2!R40,IF(AK11=summaryref2!B54,summaryref2!R54,IF(AK11=summaryref2!B68,summaryref2!R68,IF(AK11=summaryref2!B82,summaryref2!R82,IF(AK11=summaryref2!B96,summaryref2!R96,IF(AK11=summaryref2!B110,summaryref2!R110,IF(AK11=summaryref2!B124,summaryref2!R124,IF(AK11=summaryref2!B138,summaryref2!R138,"")))))))))))</f>
        <v/>
      </c>
      <c r="BC11" s="1092" t="str">
        <f>IF('A-80 DirEntInv'!BC10&lt;&gt;0,'A-80 DirEntInv'!BC10,IF(AK11=summaryref2!B12,summaryref2!S12,IF(Summary!AK11=summaryref2!B26,summaryref2!S26,IF(AK11=summaryref2!B40,summaryref2!S40,IF(AK11=summaryref2!B54,summaryref2!S54,IF(AK11=summaryref2!B68,summaryref2!S68,IF(AK11=summaryref2!B82,summaryref2!S82,IF(AK11=summaryref2!B96,summaryref2!S96,IF(AK11=summaryref2!B110,summaryref2!S110,IF(AK11=summaryref2!B124,summaryref2!S124,IF(AK11=summaryref2!B138,summaryref2!S138,"")))))))))))</f>
        <v/>
      </c>
      <c r="BD11" s="1093" t="str">
        <f>IF('A-80 DirEntInv'!BD10&lt;&gt;"",'A-80 DirEntInv'!BD10,IF(AK11=summaryref2!$B$12,summaryref2!$T$12,IF(Summary!AK11=summaryref2!$B$26,summaryref2!$T$26,IF(AK11=summaryref2!$B$40,summaryref2!$T$40,IF(AK11=summaryref2!$B$54,summaryref2!$T$54,IF(AK11=summaryref2!$B$68,summaryref2!$T$68,IF(AK11=summaryref2!$B$82,summaryref2!$T$82,IF(AK11=summaryref2!$B$96,summaryref2!$T$96,IF(AK11=summaryref2!$B$110,summaryref2!$T$110,IF(AK11=summaryref2!$B$124,summaryref2!$T$124,IF(AK11=summaryref2!$B$138,summaryref2!$T$138,"")))))))))))</f>
        <v/>
      </c>
      <c r="BE11" s="1189" t="str">
        <f>IF('A-80 DirEntInv'!BE10&lt;&gt;"",'A-80 DirEntInv'!BE10,IF(AK11=summaryref2!$B$12,summaryref2!$U$12,IF(Summary!AK11=summaryref2!$B$26,summaryref2!$U$26,IF(AK11=summaryref2!$B$40,summaryref2!$U$40,IF(AK11=summaryref2!$B$54,summaryref2!$U$54,IF(AK11=summaryref2!$B$68,summaryref2!$U$68,IF(AK11=summaryref2!$B$82,summaryref2!$U$82,IF(AK11=summaryref2!$B$96,summaryref2!$U$96,IF(AK11=summaryref2!$B$110,summaryref2!$U$110,IF(AK11=summaryref2!$B$124,summaryref2!$U$124,IF(AK11=summaryref2!$B$138,summaryref2!$U$138,"")))))))))))</f>
        <v/>
      </c>
      <c r="BF11" s="1431"/>
      <c r="BG11" s="1431"/>
      <c r="BJ11" s="1043" t="str">
        <f>Codes!$C$156</f>
        <v>AG - Automated Guideway (DO)</v>
      </c>
      <c r="BK11" s="1303" t="str">
        <f>Valid!$B$80</f>
        <v>Tangent</v>
      </c>
      <c r="BL11" s="1366" t="str">
        <f>IF('A-80 DirEntInv'!BL10&lt;&gt;"",'A-80 DirEntInv'!BL10,IF(BJ11=summaryref2!X12,summaryref2!Z12,IF(BJ11=summaryref2!X19,summaryref2!Z19,IF(BJ11=summaryref2!X26,summaryref2!Z26,IF(BJ11=summaryref2!X33,summaryref2!Z33,IF(BJ11=summaryref2!X40,summaryref2!Z40,IF(BJ11=summaryref2!X47,summaryref2!Z47,IF(BJ11=summaryref2!X54,summaryref2!Z54,IF(BJ11=summaryref2!X61,summaryref2!Z61,IF(BJ11=summaryref2!X68,summaryref2!Z68,IF(BJ11=summaryref2!X75,summaryref2!Z75,"")))))))))))</f>
        <v/>
      </c>
      <c r="BM11" s="1303" t="str">
        <f>VLOOKUP(BK11,Valid!$B$80:$C$86,2,FALSE)</f>
        <v>Track Feet</v>
      </c>
      <c r="BN11" s="1208" t="str">
        <f>IF('A-80 DirEntInv'!BN10&lt;&gt;"",'A-80 DirEntInv'!BN10,IF(BJ11=summaryref2!X12,summaryref2!AB12,IF(BJ11=summaryref2!X19,summaryref2!AB19,IF(BJ11=summaryref2!X26,summaryref2!AB26,IF(BJ11=summaryref2!X33,summaryref2!AB33,IF(BJ11=summaryref2!X40,summaryref2!AB40,IF(BJ11=summaryref2!X47,summaryref2!AB47,IF(BJ11=summaryref2!X54,summaryref2!AB54,IF(BJ11=summaryref2!X61,summaryref2!AB61,IF(BJ11=summaryref2!X68,summaryref2!AB68,IF(BJ11=summaryref2!X75,summaryref2!AB75,"")))))))))))</f>
        <v/>
      </c>
      <c r="BO11" s="1112" t="str">
        <f>IF('A-80 DirEntInv'!BO10&lt;&gt;"",'A-80 DirEntInv'!BO10,IF(BJ11=summaryref2!X12,summaryref2!AC12,IF(BJ11=summaryref2!X19,summaryref2!AC19,IF(BJ11=summaryref2!X26,summaryref2!AC26,IF(BJ11=summaryref2!X33,summaryref2!AC33,IF(BJ11=summaryref2!X40,summaryref2!AC40,IF(BJ11=summaryref2!X47,summaryref2!AC47,IF(BJ11=summaryref2!X54,summaryref2!AC54,IF(BJ11=summaryref2!X61,summaryref2!AC61,IF(BJ11=summaryref2!X68,summaryref2!AC68,IF(BJ11=summaryref2!X75,summaryref2!AC75,"")))))))))))</f>
        <v/>
      </c>
      <c r="BP11" s="1320" t="str">
        <f>IF('A-80 DirEntInv'!BP10&lt;&gt;"",'A-80 DirEntInv'!BP10,IF(BJ11=summaryref2!X12,summaryref2!AD12,IF(BJ11=summaryref2!X19,summaryref2!AD19,IF(BJ11=summaryref2!X26,summaryref2!AD26,IF(BJ11=summaryref2!X33,summaryref2!AD33,IF(BJ11=summaryref2!X40,summaryref2!AD40,IF(BJ11=summaryref2!X47,summaryref2!AD47,IF(BJ11=summaryref2!X54,summaryref2!AD54,IF(BJ11=summaryref2!X61,summaryref2!AD61,IF(BJ11=summaryref2!X68,summaryref2!AD68,IF(BJ11=summaryref2!X75,summaryref2!AD75,"")))))))))))</f>
        <v/>
      </c>
      <c r="BS11" s="1470" t="str">
        <f ca="1">IF('A-80 DirEntInv'!BU10&lt;&gt;"",'A-80 DirEntInv'!BU10,IF(INDIRECT(ADDRESS(SumRef!DK17,SumRef!DK$16,,,SumRef!$E$6))="","",INDIRECT(ADDRESS(SumRef!DK17,SumRef!DK$16,,,SumRef!$E$6))))</f>
        <v/>
      </c>
      <c r="BT11" s="1469" t="str">
        <f ca="1">IF('A-80 DirEntInv'!BV10&lt;&gt;"",'A-80 DirEntInv'!BV10,IF(INDIRECT(ADDRESS(SumRef!DL17,SumRef!DL$16,,,SumRef!$E$6))="","",INDIRECT(ADDRESS(SumRef!DL17,SumRef!DL$16,,,SumRef!$E$6))))</f>
        <v/>
      </c>
      <c r="BU11" s="1376" t="str">
        <f ca="1">IF('A-80 DirEntInv'!BW10&lt;&gt;"",'A-80 DirEntInv'!BW10,IF(INDIRECT(ADDRESS(SumRef!DM17,SumRef!DM$16,,,SumRef!$E$6))="","",INDIRECT(ADDRESS(SumRef!DM17,SumRef!DM$16,,,SumRef!$E$6))))</f>
        <v/>
      </c>
      <c r="BV11" s="1463" t="str">
        <f ca="1">IF('A-80 DirEntInv'!BX10&lt;&gt;"",'A-80 DirEntInv'!BX10,IF(INDIRECT(ADDRESS(SumRef!DN17,SumRef!DN$16,,,SumRef!$E$6))="","",INDIRECT(ADDRESS(SumRef!DN17,SumRef!DN$16,,,SumRef!$E$6))))</f>
        <v/>
      </c>
      <c r="BW11" s="1463" t="str">
        <f ca="1">IF('A-80 DirEntInv'!BY10&lt;&gt;"",'A-80 DirEntInv'!BY10,IF(INDIRECT(ADDRESS(SumRef!DO17,SumRef!DO$16,,,SumRef!$E$6))="","",INDIRECT(ADDRESS(SumRef!DO17,SumRef!DO$16,,,SumRef!$E$6))))</f>
        <v/>
      </c>
      <c r="BX11" s="1112" t="str">
        <f ca="1">IF('A-80 DirEntInv'!BZ10&lt;&gt;"",'A-80 DirEntInv'!BZ10,IF(INDIRECT(ADDRESS(SumRef!DP17,SumRef!DP$16,,,SumRef!$E$6))="","",INDIRECT(ADDRESS(SumRef!DP17,SumRef!DP$16,,,SumRef!$E$6))))</f>
        <v/>
      </c>
      <c r="BY11" s="1464" t="str">
        <f ca="1">IF('A-80 DirEntInv'!CA10&lt;&gt;"",'A-80 DirEntInv'!CA10,IF(INDIRECT(ADDRESS(SumRef!DQ17,SumRef!DQ$16,,,SumRef!$E$6))="","",INDIRECT(ADDRESS(SumRef!DQ17,SumRef!DQ$16,,,SumRef!$E$6))))</f>
        <v/>
      </c>
      <c r="BZ11" s="1463" t="str">
        <f ca="1">IF('A-80 DirEntInv'!CB10&lt;&gt;"",'A-80 DirEntInv'!CB10,IF(INDIRECT(ADDRESS(SumRef!DR17,SumRef!DR$16,,,SumRef!$E$6))="","",INDIRECT(ADDRESS(SumRef!DR17,SumRef!DR$16,,,SumRef!$E$6))))</f>
        <v/>
      </c>
      <c r="CA11" s="1465" t="str">
        <f ca="1">IF('A-80 DirEntInv'!CC10&lt;&gt;"",'A-80 DirEntInv'!CC10,IF(INDIRECT(ADDRESS(SumRef!DS17,SumRef!DS$16,,,SumRef!$E$6))="","",INDIRECT(ADDRESS(SumRef!DS17,SumRef!DS$16,,,SumRef!$E$6))))</f>
        <v/>
      </c>
      <c r="CD11" s="1159" t="str">
        <f ca="1">IF('A-80 DirEntInv'!CF10&lt;&gt;"",'A-80 DirEntInv'!CF10,IF(INDIRECT(ADDRESS(SumRef!DV17,SumRef!DV$16,,,SumRef!$E$7))="","",INDIRECT(ADDRESS(SumRef!DV17,SumRef!DV$16,,,SumRef!$E$7))))</f>
        <v/>
      </c>
      <c r="CE11" s="1370" t="str">
        <f ca="1">IF('A-80 DirEntInv'!CG10&lt;&gt;"",'A-80 DirEntInv'!CG10,IF(INDIRECT(ADDRESS(SumRef!DW17,SumRef!DW$16,,,SumRef!$E$7))="","",INDIRECT(ADDRESS(SumRef!DW17,SumRef!DW$16,,,SumRef!$E$7))))</f>
        <v/>
      </c>
      <c r="CF11" s="1370" t="str">
        <f ca="1">IF('A-80 DirEntInv'!CH10&lt;&gt;"",'A-80 DirEntInv'!CH10,IF(INDIRECT(ADDRESS(SumRef!DX17,SumRef!DX$16,,,SumRef!$E$7))="","",INDIRECT(ADDRESS(SumRef!DX17,SumRef!DX$16,,,SumRef!$E$7))))</f>
        <v/>
      </c>
      <c r="CG11" s="1370" t="str">
        <f ca="1">IF('A-80 DirEntInv'!CI10&lt;&gt;"",'A-80 DirEntInv'!CI10,IF(INDIRECT(ADDRESS(SumRef!DY17,SumRef!DY$16,,,SumRef!$E$7))="","",INDIRECT(ADDRESS(SumRef!DY17,SumRef!DY$16,,,SumRef!$E$7))))</f>
        <v/>
      </c>
      <c r="CH11" s="1370" t="str">
        <f ca="1">IF('A-80 DirEntInv'!CJ10&lt;&gt;"",'A-80 DirEntInv'!CJ10,IF(INDIRECT(ADDRESS(SumRef!DZ17,SumRef!DZ$16,,,SumRef!$E$7))="","",INDIRECT(ADDRESS(SumRef!DZ17,SumRef!DZ$16,,,SumRef!$E$7))))</f>
        <v/>
      </c>
      <c r="CI11" s="1370" t="str">
        <f ca="1">IF('A-80 DirEntInv'!CK10&lt;&gt;"",'A-80 DirEntInv'!CK10,IF(INDIRECT(ADDRESS(SumRef!EA17,SumRef!EA$16,,,SumRef!$E$7))="","",INDIRECT(ADDRESS(SumRef!EA17,SumRef!EA$16,,,SumRef!$E$7))))</f>
        <v/>
      </c>
      <c r="CJ11" s="1095" t="str">
        <f ca="1">IF('A-80 DirEntInv'!CL10&lt;&gt;"",'A-80 DirEntInv'!CL10,IF(INDIRECT(ADDRESS(SumRef!EB17,SumRef!EB$16,,,SumRef!$E$7))="","",INDIRECT(ADDRESS(SumRef!EB17,SumRef!EB$16,,,SumRef!$E$7))))</f>
        <v/>
      </c>
      <c r="CK11" s="1095" t="str">
        <f ca="1">IF('A-80 DirEntInv'!CM10&lt;&gt;"",'A-80 DirEntInv'!CM10,IF(INDIRECT(ADDRESS(SumRef!EC17,SumRef!EC$16,,,SumRef!$E$7))="","",INDIRECT(ADDRESS(SumRef!EC17,SumRef!EC$16,,,SumRef!$E$7))))</f>
        <v/>
      </c>
      <c r="CL11" s="1094" t="str">
        <f ca="1">IF('A-80 DirEntInv'!CO10&lt;&gt;"",'A-80 DirEntInv'!CO10,IF(INDIRECT(ADDRESS(SumRef!ED17,SumRef!ED$16,,,SumRef!$E$7))="","",INDIRECT(ADDRESS(SumRef!ED17,SumRef!ED$16,,,SumRef!$E$7))))</f>
        <v/>
      </c>
      <c r="CM11" s="1095" t="str">
        <f ca="1">IF('A-80 DirEntInv'!CP10&lt;&gt;"",'A-80 DirEntInv'!CP10,IF(INDIRECT(ADDRESS(SumRef!EE17,SumRef!EE$16,,,SumRef!$E$7))="","",INDIRECT(ADDRESS(SumRef!EE17,SumRef!EE$16,,,SumRef!$E$7))))</f>
        <v/>
      </c>
      <c r="CN11" s="1095" t="str">
        <f ca="1">IF('A-80 DirEntInv'!CQ10&lt;&gt;"",'A-80 DirEntInv'!CQ10,IF(INDIRECT(ADDRESS(SumRef!EF17,SumRef!EF$16,,,SumRef!$E$7))="","",INDIRECT(ADDRESS(SumRef!EF17,SumRef!EF$16,,,SumRef!$E$7))))</f>
        <v/>
      </c>
      <c r="CO11" s="1094" t="str">
        <f ca="1">IF('A-80 DirEntInv'!CR10&lt;&gt;"",'A-80 DirEntInv'!CR10,IF(INDIRECT(ADDRESS(SumRef!EG17,SumRef!EG$16,,,SumRef!$E$7))="","",INDIRECT(ADDRESS(SumRef!EG17,SumRef!EG$16,,,SumRef!$E$7))))</f>
        <v/>
      </c>
      <c r="CP11" s="1095" t="str">
        <f ca="1">IF('A-80 DirEntInv'!CS10&lt;&gt;"",'A-80 DirEntInv'!CS10,IF(INDIRECT(ADDRESS(SumRef!EH17,SumRef!EH$16,,,SumRef!$E$7))="","",INDIRECT(ADDRESS(SumRef!EH17,SumRef!EH$16,,,SumRef!$E$7))))</f>
        <v/>
      </c>
      <c r="CQ11" s="1371" t="str">
        <f ca="1">IF('A-80 DirEntInv'!CT10&lt;&gt;"",'A-80 DirEntInv'!CT10,IF(INDIRECT(ADDRESS(SumRef!EI17,SumRef!EI$16,,,SumRef!$E$7))="","",INDIRECT(ADDRESS(SumRef!EI17,SumRef!EI$16,,,SumRef!$E$7))))</f>
        <v/>
      </c>
      <c r="CR11" s="1094" t="str">
        <f ca="1">IF('A-80 DirEntInv'!CU10&lt;&gt;"",'A-80 DirEntInv'!CU10,IF(INDIRECT(ADDRESS(SumRef!EJ17,SumRef!EJ$16,,,SumRef!$E$7))="","",INDIRECT(ADDRESS(SumRef!EJ17,SumRef!EJ$16,,,SumRef!$E$7))))</f>
        <v/>
      </c>
      <c r="CS11" s="1371" t="str">
        <f ca="1">IF('A-80 DirEntInv'!CV10&lt;&gt;"",'A-80 DirEntInv'!CV10,IF(INDIRECT(ADDRESS(SumRef!EM17,SumRef!EM$16,,,SumRef!$E$7))="","",INDIRECT(ADDRESS(SumRef!EM17,SumRef!EM$16,,,SumRef!$E$7))))</f>
        <v/>
      </c>
      <c r="CT11" s="1094" t="str">
        <f ca="1">IF('A-80 DirEntInv'!CW10&lt;&gt;"",'A-80 DirEntInv'!CW10,IF(INDIRECT(ADDRESS(SumRef!EN17,SumRef!EN$16,,,SumRef!$E$7))="","",INDIRECT(ADDRESS(SumRef!EN17,SumRef!EN$16,,,SumRef!$E$7))))</f>
        <v/>
      </c>
      <c r="CU11" s="1094" t="str">
        <f ca="1">IF('A-80 DirEntInv'!CX10&lt;&gt;"",'A-80 DirEntInv'!CX10,IF(INDIRECT(ADDRESS(SumRef!EO17,SumRef!EO$16,,,SumRef!$E$7))="","",INDIRECT(ADDRESS(SumRef!EO17,SumRef!EO$16,,,SumRef!$E$7))))</f>
        <v/>
      </c>
      <c r="CV11" s="1094" t="str">
        <f ca="1">IF('A-80 DirEntInv'!CY10&lt;&gt;"",'A-80 DirEntInv'!CY10,IF(INDIRECT(ADDRESS(SumRef!EP17,SumRef!EP$16,,,SumRef!$E$7))="","",INDIRECT(ADDRESS(SumRef!EP17,SumRef!EP$16,,,SumRef!$E$7))))</f>
        <v/>
      </c>
      <c r="CW11" s="1095" t="str">
        <f ca="1">IF('A-80 DirEntInv'!CZ10&lt;&gt;"",'A-80 DirEntInv'!CZ10,IF(INDIRECT(ADDRESS(SumRef!ES17,SumRef!ES$16,,,SumRef!$E$7))="","",INDIRECT(ADDRESS(SumRef!ES17,SumRef!ES$16,,,SumRef!$E$7))))</f>
        <v/>
      </c>
      <c r="CX11" s="1370" t="str">
        <f ca="1">IF('A-80 DirEntInv'!DA10&lt;&gt;"",'A-80 DirEntInv'!DA10,IF(INDIRECT(ADDRESS(SumRef!ET17,SumRef!ET$16,,,SumRef!$E$7))="","",INDIRECT(ADDRESS(SumRef!ET17,SumRef!ET$16,,,SumRef!$E$7))))</f>
        <v/>
      </c>
      <c r="CY11" s="1370" t="str">
        <f ca="1">IF('A-80 DirEntInv'!DB10&lt;&gt;"",'A-80 DirEntInv'!DB10,IF(INDIRECT(ADDRESS(SumRef!EU17,SumRef!EU$16,,,SumRef!$E$7))="","",INDIRECT(ADDRESS(SumRef!EU17,SumRef!EU$16,,,SumRef!$E$7))))</f>
        <v/>
      </c>
      <c r="CZ11" s="1370" t="b">
        <f ca="1">IF('A-80 DirEntInv'!DC10&lt;&gt;"",'A-80 DirEntInv'!DC10,IF(INDIRECT(ADDRESS(SumRef!EV17,SumRef!EV$16,,,SumRef!$E$7))="","",INDIRECT(ADDRESS(SumRef!EV17,SumRef!EV$16,,,SumRef!$E$7))))</f>
        <v>0</v>
      </c>
      <c r="DA11" s="1372" t="str">
        <f ca="1">IF('A-80 DirEntInv'!DD10&lt;&gt;"",'A-80 DirEntInv'!DD10,IF(INDIRECT(ADDRESS(SumRef!EW17,SumRef!EW$16,,,SumRef!$E$7))="","",INDIRECT(ADDRESS(SumRef!EW17,SumRef!EW$16,,,SumRef!$E$7))))</f>
        <v/>
      </c>
      <c r="DB11" s="1372" t="b">
        <f ca="1">IF('A-80 DirEntInv'!DE10&lt;&gt;"",'A-80 DirEntInv'!DE10,IF(INDIRECT(ADDRESS(SumRef!EX17,SumRef!EX$16,,,SumRef!$E$7))="","",INDIRECT(ADDRESS(SumRef!EX17,SumRef!EX$16,,,SumRef!$E$7))))</f>
        <v>0</v>
      </c>
      <c r="DC11" s="1095" t="b">
        <f ca="1">IF('A-80 DirEntInv'!DF10&lt;&gt;"",'A-80 DirEntInv'!DF10,IF(INDIRECT(ADDRESS(SumRef!EY17,SumRef!EY$16,,,SumRef!$E$7))="","",INDIRECT(ADDRESS(SumRef!EY17,SumRef!EY$16,,,SumRef!$E$7))))</f>
        <v>0</v>
      </c>
      <c r="DD11" s="1096" t="str">
        <f ca="1">IF('A-80 DirEntInv'!DG10&lt;&gt;"",'A-80 DirEntInv'!DG10,IF(INDIRECT(ADDRESS(SumRef!EZ17,SumRef!EZ$16,,,SumRef!$E$7))="","",INDIRECT(ADDRESS(SumRef!EZ17,SumRef!EZ$16,,,SumRef!$E$7))))</f>
        <v/>
      </c>
    </row>
    <row r="12" spans="1:109" s="588" customFormat="1" ht="13.5" thickBot="1" x14ac:dyDescent="0.25">
      <c r="A12" s="589">
        <f>A11+1</f>
        <v>2</v>
      </c>
      <c r="B12" s="1155" t="str">
        <f ca="1">IF('A-80 DirEntInv'!B11&lt;&gt;"",'A-80 DirEntInv'!B11,IF(INDIRECT(ADDRESS(SumRef!AQ18,SumRef!AQ$16,,,SumRef!$B$7))="","",INDIRECT(ADDRESS(SumRef!AQ18,SumRef!AQ$16,,,SumRef!$B$7))))</f>
        <v/>
      </c>
      <c r="C12" s="1097" t="str">
        <f ca="1">IF('A-80 DirEntInv'!C11&lt;&gt;"",'A-80 DirEntInv'!C11,IF(INDIRECT(ADDRESS(SumRef!AR18,SumRef!AR$16,,,SumRef!$B$7))="","",INDIRECT(ADDRESS(SumRef!AR18,SumRef!AR$16,,,SumRef!$B$7))))</f>
        <v/>
      </c>
      <c r="D12" s="1097" t="str">
        <f ca="1">IF('A-80 DirEntInv'!D11&lt;&gt;"",'A-80 DirEntInv'!D11,IF(INDIRECT(ADDRESS(SumRef!AS18,SumRef!AS$16,,,SumRef!$B$7))="","",INDIRECT(ADDRESS(SumRef!AS18,SumRef!AS$16,,,SumRef!$B$7))))</f>
        <v/>
      </c>
      <c r="E12" s="1097" t="str">
        <f ca="1">IF('A-80 DirEntInv'!E11&lt;&gt;"",'A-80 DirEntInv'!E11,IF(INDIRECT(ADDRESS(SumRef!AT18,SumRef!AT$16,,,SumRef!$B$7))="","",INDIRECT(ADDRESS(SumRef!AT18,SumRef!AT$16,,,SumRef!$B$7))))</f>
        <v/>
      </c>
      <c r="F12" s="1097" t="str">
        <f ca="1">IF('A-80 DirEntInv'!F11&lt;&gt;"",'A-80 DirEntInv'!F11,IF(INDIRECT(ADDRESS(SumRef!AU18,SumRef!AU$16,,,SumRef!$B$7))="","",INDIRECT(ADDRESS(SumRef!AU18,SumRef!AU$16,,,SumRef!$B$7))))</f>
        <v/>
      </c>
      <c r="G12" s="1158" t="str">
        <f ca="1">IF('A-80 DirEntInv'!G11&lt;&gt;"",'A-80 DirEntInv'!G11,IF(INDIRECT(ADDRESS(SumRef!AV18,SumRef!AV$16,,,SumRef!$B$7))="","",INDIRECT(ADDRESS(SumRef!AV18,SumRef!AV$16,,,SumRef!$B$7))))</f>
        <v/>
      </c>
      <c r="H12" s="1097" t="str">
        <f ca="1">IF('A-80 DirEntInv'!H11&lt;&gt;"",'A-80 DirEntInv'!H11,IF(INDIRECT(ADDRESS(SumRef!AW18,SumRef!AW$16,,,SumRef!$B$7))="","",INDIRECT(ADDRESS(SumRef!AW18,SumRef!AW$16,,,SumRef!$B$7))))</f>
        <v/>
      </c>
      <c r="I12" s="1097" t="str">
        <f ca="1">IF('A-80 DirEntInv'!I11&lt;&gt;"",'A-80 DirEntInv'!I11,IF(INDIRECT(ADDRESS(SumRef!AX18,SumRef!AX$16,,,SumRef!$B$7))="","",INDIRECT(ADDRESS(SumRef!AX18,SumRef!AX$16,,,SumRef!$B$7))))</f>
        <v/>
      </c>
      <c r="J12" s="1098" t="str">
        <f ca="1">IF('A-80 DirEntInv'!J11&lt;&gt;"",'A-80 DirEntInv'!J11,IF(INDIRECT(ADDRESS(SumRef!AY18,SumRef!AY$16,,,SumRef!$B$7))="","",INDIRECT(ADDRESS(SumRef!AY18,SumRef!AY$16,,,SumRef!$B$7))))</f>
        <v/>
      </c>
      <c r="K12" s="1099" t="str">
        <f ca="1">IF('A-80 DirEntInv'!K11&lt;&gt;"",'A-80 DirEntInv'!K11,IF(INDIRECT(ADDRESS(SumRef!AZ18,SumRef!AZ$16,,,SumRef!$B$7))="","",INDIRECT(ADDRESS(SumRef!AZ18,SumRef!AZ$16,,,SumRef!$B$7))))</f>
        <v/>
      </c>
      <c r="L12" s="1100" t="str">
        <f ca="1">IF('A-80 DirEntInv'!L11&lt;&gt;"",'A-80 DirEntInv'!L11,IF(INDIRECT(ADDRESS(SumRef!BA18,SumRef!BA$16,,,SumRef!$B$7))="","",INDIRECT(ADDRESS(SumRef!BA18,SumRef!BA$16,,,SumRef!$B$7))))</f>
        <v/>
      </c>
      <c r="M12" s="1101" t="str">
        <f ca="1">IF('A-80 DirEntInv'!M11&lt;&gt;"",'A-80 DirEntInv'!M11,IF(INDIRECT(ADDRESS(SumRef!BB18,SumRef!BB$16,,,SumRef!$B$7))="","",INDIRECT(ADDRESS(SumRef!BB18,SumRef!BB$16,,,SumRef!$B$7))))</f>
        <v/>
      </c>
      <c r="N12" s="1098" t="str">
        <f ca="1">IF('A-80 DirEntInv'!N11&lt;&gt;"",'A-80 DirEntInv'!N11,IF(INDIRECT(ADDRESS(SumRef!BC18,SumRef!BC$16,,,SumRef!$B$7))="","",INDIRECT(ADDRESS(SumRef!BC18,SumRef!BC$16,,,SumRef!$B$7))))</f>
        <v/>
      </c>
      <c r="O12" s="1102" t="str">
        <f ca="1">IF('A-80 DirEntInv'!O11&lt;&gt;"",'A-80 DirEntInv'!O11,IF(INDIRECT(ADDRESS(SumRef!BD18,SumRef!BD$16,,,SumRef!$B$7))="","",INDIRECT(ADDRESS(SumRef!BD18,SumRef!BD$16,,,SumRef!$B$7))))</f>
        <v/>
      </c>
      <c r="P12" s="589"/>
      <c r="Q12" s="589"/>
      <c r="R12" s="1103" t="str">
        <f ca="1">IF('A-80 DirEntInv'!R11&lt;&gt;"",'A-80 DirEntInv'!R11,IF(INDIRECT(ADDRESS(SumRef!BH18,SumRef!BH$16,,,SumRef!$B$8))="","",INDIRECT(ADDRESS(SumRef!BH18,SumRef!BH$16,,,SumRef!$B$8))))</f>
        <v/>
      </c>
      <c r="S12" s="1104" t="str">
        <f ca="1">IF('A-80 DirEntInv'!S11&lt;&gt;"",'A-80 DirEntInv'!S11,IF(INDIRECT(ADDRESS(SumRef!BI18,SumRef!BI$16,,,SumRef!$B$8))="","",INDIRECT(ADDRESS(SumRef!BI18,SumRef!BI$16,,,SumRef!$B$8))))</f>
        <v/>
      </c>
      <c r="T12" s="1104" t="str">
        <f ca="1">IF('A-80 DirEntInv'!T11&lt;&gt;"",'A-80 DirEntInv'!T11,IF(INDIRECT(ADDRESS(SumRef!BJ18,SumRef!BJ$16,,,SumRef!$B$8))="","",INDIRECT(ADDRESS(SumRef!BJ18,SumRef!BJ$16,,,SumRef!$B$8))))</f>
        <v/>
      </c>
      <c r="U12" s="1104" t="str">
        <f ca="1">IF('A-80 DirEntInv'!U11&lt;&gt;"",'A-80 DirEntInv'!U11,IF(INDIRECT(ADDRESS(SumRef!BK18,SumRef!BK$16,,,SumRef!$B$8))="","",INDIRECT(ADDRESS(SumRef!BK18,SumRef!BK$16,,,SumRef!$B$8))))</f>
        <v/>
      </c>
      <c r="V12" s="1104" t="str">
        <f ca="1">IF('A-80 DirEntInv'!V11&lt;&gt;"",'A-80 DirEntInv'!V11,IF(INDIRECT(ADDRESS(SumRef!BL18,SumRef!BL$16,,,SumRef!$B$8))="","",INDIRECT(ADDRESS(SumRef!BL18,SumRef!BL$16,,,SumRef!$B$8))))</f>
        <v/>
      </c>
      <c r="W12" s="1354" t="str">
        <f ca="1">IF('A-80 DirEntInv'!W11&lt;&gt;"",'A-80 DirEntInv'!W11,IF(INDIRECT(ADDRESS(SumRef!BM18,SumRef!BM$16,,,SumRef!$B$8))="","",INDIRECT(ADDRESS(SumRef!BM18,SumRef!BM$16,,,SumRef!$B$8))))</f>
        <v/>
      </c>
      <c r="X12" s="1202" t="str">
        <f ca="1">IF('A-80 DirEntInv'!X11&lt;&gt;"",'A-80 DirEntInv'!X11,IF(INDIRECT(ADDRESS(SumRef!BN18,SumRef!BN$16,,,SumRef!$B$8))="","",INDIRECT(ADDRESS(SumRef!BN18,SumRef!BN$16,,,SumRef!$B$8))))</f>
        <v/>
      </c>
      <c r="Y12" s="1202" t="str">
        <f ca="1">IF('A-80 DirEntInv'!Y11&lt;&gt;"",'A-80 DirEntInv'!Y11,IF(INDIRECT(ADDRESS(SumRef!BO18,SumRef!BO$16,,,SumRef!$B$8))="","",INDIRECT(ADDRESS(SumRef!BO18,SumRef!BO$16,,,SumRef!$B$8))))</f>
        <v/>
      </c>
      <c r="Z12" s="1104" t="str">
        <f ca="1">IF('A-80 DirEntInv'!Z11&lt;&gt;"",'A-80 DirEntInv'!Z11,IF(INDIRECT(ADDRESS(SumRef!BP18,SumRef!BP$16,,,SumRef!$B$8))="","",INDIRECT(ADDRESS(SumRef!BP18,SumRef!BP$16,,,SumRef!$B$8))))</f>
        <v/>
      </c>
      <c r="AA12" s="1104" t="str">
        <f ca="1">IF('A-80 DirEntInv'!AA11&lt;&gt;"",'A-80 DirEntInv'!AA11,IF(INDIRECT(ADDRESS(SumRef!BQ18,SumRef!BQ$16,,,SumRef!$B$8))="","",INDIRECT(ADDRESS(SumRef!BQ18,SumRef!BQ$16,,,SumRef!$B$8))))</f>
        <v/>
      </c>
      <c r="AB12" s="1106" t="str">
        <f ca="1">IF('A-80 DirEntInv'!AB11&lt;&gt;"",'A-80 DirEntInv'!AB11,IF(INDIRECT(ADDRESS(SumRef!BR18,SumRef!BR$16,,,SumRef!$B$8))="","",INDIRECT(ADDRESS(SumRef!BR18,SumRef!BR$16,,,SumRef!$B$8))))</f>
        <v/>
      </c>
      <c r="AC12" s="1107" t="str">
        <f ca="1">IF('A-80 DirEntInv'!AC11&lt;&gt;"",'A-80 DirEntInv'!AC11,IF(INDIRECT(ADDRESS(SumRef!BS18,SumRef!BS$16,,,SumRef!$B$8))="","",INDIRECT(ADDRESS(SumRef!BS18,SumRef!BS$16,,,SumRef!$B$8))))</f>
        <v/>
      </c>
      <c r="AD12" s="1349" t="str">
        <f ca="1">IF('A-80 DirEntInv'!AD11&lt;&gt;"",'A-80 DirEntInv'!AD11,IF(INDIRECT(ADDRESS(SumRef!BT18,SumRef!BT$16,,,SumRef!$B$8))="","",INDIRECT(ADDRESS(SumRef!BT18,SumRef!BT$16,,,SumRef!$B$8))))</f>
        <v/>
      </c>
      <c r="AE12" s="1137" t="str">
        <f ca="1">IF('A-80 DirEntInv'!AE11&lt;&gt;"",'A-80 DirEntInv'!AE11,IF(INDIRECT(ADDRESS(SumRef!BU18,SumRef!BU$16,,,SumRef!$B$8))="","",INDIRECT(ADDRESS(SumRef!BU18,SumRef!BU$16,,,SumRef!$B$8))))</f>
        <v/>
      </c>
      <c r="AF12" s="1346" t="str">
        <f ca="1">IF('A-80 DirEntInv'!AF11&lt;&gt;"",'A-80 DirEntInv'!AF11,IF(INDIRECT(ADDRESS(SumRef!BV18,SumRef!BV$16,,,SumRef!$B$8))="","",INDIRECT(ADDRESS(SumRef!BV18,SumRef!BV$16,,,SumRef!$B$8))))</f>
        <v/>
      </c>
      <c r="AG12" s="1105" t="str">
        <f ca="1">IF('A-80 DirEntInv'!AG11&lt;&gt;"",'A-80 DirEntInv'!AG11,IF(INDIRECT(ADDRESS(SumRef!BW18,SumRef!BW$16,,,SumRef!$B$8))="","",INDIRECT(ADDRESS(SumRef!BW18,SumRef!BW$16,,,SumRef!$B$8))))</f>
        <v/>
      </c>
      <c r="AH12" s="1357" t="str">
        <f ca="1">IF('A-80 DirEntInv'!AH11&lt;&gt;"",'A-80 DirEntInv'!AH11,IF(INDIRECT(ADDRESS(SumRef!BX18,SumRef!BX$16,,,SumRef!$B$8))="","",INDIRECT(ADDRESS(SumRef!BX18,SumRef!BX$16,,,SumRef!$B$8))))</f>
        <v/>
      </c>
      <c r="AK12" s="1041" t="str">
        <f>Codes!$C$156</f>
        <v>AG - Automated Guideway (DO)</v>
      </c>
      <c r="AL12" s="1042" t="str">
        <f>Valid!$B$72</f>
        <v>At-Grade/In-Street/Embedded</v>
      </c>
      <c r="AM12" s="1108" t="str">
        <f>IF('A-80 DirEntInv'!AM11&lt;&gt;"",'A-80 DirEntInv'!AM11,IF(AK12=summaryref2!B13,summaryref2!D13,IF(Summary!AK12=summaryref2!B27,summaryref2!D27,IF(AK12=summaryref2!B41,summaryref2!D41,IF(AK12=summaryref2!B55,summaryref2!D55,IF(AK12=summaryref2!B69,summaryref2!D69,IF(AK12=summaryref2!B83,summaryref2!D83,IF(AK12=summaryref2!B97,summaryref2!D97,IF(AK12=summaryref2!B111,summaryref2!D111,IF(AK12=summaryref2!B125,summaryref2!D125,IF(AK12=summaryref2!B139,summaryref2!D139,"")))))))))))</f>
        <v/>
      </c>
      <c r="AN12" s="1109" t="str">
        <f ca="1">IF('A-80 DirEntInv'!AN11&lt;&gt;"",'A-80 DirEntInv'!AN11,IF(INDIRECT(ADDRESS(SumRef!CG18,SumRef!CG$16,,,SumRef!$C$7))="","",INDIRECT(ADDRESS(SumRef!CG18,SumRef!CG$16,,,SumRef!$C$7))))</f>
        <v>Linear Feet</v>
      </c>
      <c r="AO12" s="1108" t="str">
        <f>IF('A-80 DirEntInv'!AO11&lt;&gt;"",'A-80 DirEntInv'!AO11,IF(AM12=summaryref2!D13,summaryref2!F13,IF(Summary!AM12=summaryref2!D27,summaryref2!F27,IF(AM12=summaryref2!D41,summaryref2!F41,IF(AM12=summaryref2!D55,summaryref2!F55,IF(AM12=summaryref2!D69,summaryref2!F69,IF(AM12=summaryref2!D83,summaryref2!F83,IF(AM12=summaryref2!D97,summaryref2!F97,IF(AM12=summaryref2!D111,summaryref2!F111,IF(AM12=summaryref2!D125,summaryref2!F125,IF(AM12=summaryref2!D139,summaryref2!F139,"")))))))))))</f>
        <v/>
      </c>
      <c r="AP12" s="1109" t="str">
        <f ca="1">IF('A-80 DirEntInv'!AP11&lt;&gt;"",'A-80 DirEntInv'!AP11,IF(INDIRECT(ADDRESS(SumRef!#REF!,SumRef!#REF!,,,SumRef!$C$7))="","",INDIRECT(ADDRESS(SumRef!#REF!,SumRef!#REF!,,,SumRef!$C$7))))</f>
        <v>Track Feet</v>
      </c>
      <c r="AQ12" s="1147" t="str">
        <f>IF('A-80 DirEntInv'!AQ11&lt;&gt;"",'A-80 DirEntInv'!AQ11,IF(AK12=summaryref2!B13,summaryref2!G13,IF(Summary!AK12=summaryref2!B27,summaryref2!G27,IF(AK12=summaryref2!B41,summaryref2!G41,IF(AK12=summaryref2!B55,summaryref2!G55,IF(AK12=summaryref2!B69,summaryref2!G69,IF(AK12=summaryref2!B83,summaryref2!G83,IF(AK12=summaryref2!B97,summaryref2!G97,IF(AK12=summaryref2!B111,summaryref2!G111,IF(AK12=summaryref2!B125,summaryref2!G125,IF(AK12=summaryref2!B139,summaryref2!G139,"")))))))))))</f>
        <v/>
      </c>
      <c r="AR12" s="1147" t="str">
        <f>IF('A-80 DirEntInv'!AR11&lt;&gt;"",'A-80 DirEntInv'!AR11,IF(AK12=summaryref2!B13,summaryref2!H13,IF(Summary!AK12=summaryref2!B27,summaryref2!H27,IF(AK12=summaryref2!B41,summaryref2!H41,IF(AK12=summaryref2!B55,summaryref2!H55,IF(AK12=summaryref2!B69,summaryref2!H69,IF(AK12=summaryref2!B83,summaryref2!H83,IF(AK12=summaryref2!B97,summaryref2!H97,IF(AK12=summaryref2!B111,summaryref2!H111,IF(AK12=summaryref2!B125,summaryref2!H125,IF(AK12=summaryref2!B139,summaryref2!H139,"")))))))))))</f>
        <v/>
      </c>
      <c r="AS12" s="1110" t="str">
        <f>IF('A-80 DirEntInv'!AS11&lt;&gt;"",'A-80 DirEntInv'!AS11,IF(AK12=summaryref2!B13,summaryref2!I13,IF(Summary!AK12=summaryref2!B27,summaryref2!I27,IF(AK12=summaryref2!B41,summaryref2!I41,IF(AK12=summaryref2!B55,summaryref2!I55,IF(AK12=summaryref2!B69,summaryref2!I69,IF(AK12=summaryref2!B83,summaryref2!I83,IF(AK12=summaryref2!B97,summaryref2!I97,IF(AK12=summaryref2!B111,summaryref2!I111,IF(AK12=summaryref2!B125,summaryref2!I125,IF(AK12=summaryref2!B139,summaryref2!I139,"")))))))))))</f>
        <v/>
      </c>
      <c r="AT12" s="1110" t="str">
        <f>IF('A-80 DirEntInv'!AT11&lt;&gt;"",'A-80 DirEntInv'!AT11,IF(AK12=summaryref2!B13,summaryref2!J13,IF(Summary!AK12=summaryref2!B27,summaryref2!J27,IF(AK12=summaryref2!B41,summaryref2!J41,IF(AK12=summaryref2!B55,summaryref2!J55,IF(AK12=summaryref2!B69,summaryref2!J69,IF(AK12=summaryref2!B83,summaryref2!J83,IF(AK12=summaryref2!B97,summaryref2!J97,IF(AK12=summaryref2!B111,summaryref2!J111,IF(AK12=summaryref2!B125,summaryref2!J125,IF(AK12=summaryref2!B139,summaryref2!J139,"")))))))))))</f>
        <v/>
      </c>
      <c r="AU12" s="1110" t="str">
        <f>IF('A-80 DirEntInv'!AU11&lt;&gt;"",'A-80 DirEntInv'!AU11,IF(AK12=summaryref2!B13,summaryref2!K13,IF(Summary!AK12=summaryref2!B27,summaryref2!K27,IF(AK12=summaryref2!B41,summaryref2!K41,IF(AK12=summaryref2!B55,summaryref2!K55,IF(AK12=summaryref2!B69,summaryref2!K69,IF(AK12=summaryref2!B83,summaryref2!K83,IF(AK12=summaryref2!B97,summaryref2!K97,IF(AK12=summaryref2!B111,summaryref2!K111,IF(AK12=summaryref2!B125,summaryref2!K125,IF(AK12=summaryref2!B139,summaryref2!K139,"")))))))))))</f>
        <v/>
      </c>
      <c r="AV12" s="1110" t="str">
        <f>IF('A-80 DirEntInv'!AV11&lt;&gt;"",'A-80 DirEntInv'!AV11,IF(AK12=summaryref2!B13,summaryref2!L13,IF(Summary!AK12=summaryref2!B27,summaryref2!L27,IF(AK12=summaryref2!B41,summaryref2!L41,IF(AK12=summaryref2!B55,summaryref2!L55,IF(AK12=summaryref2!B69,summaryref2!L69,IF(AK12=summaryref2!B83,summaryref2!L83,IF(AK12=summaryref2!B97,summaryref2!L97,IF(AK12=summaryref2!B111,summaryref2!L111,IF(AK12=summaryref2!B125,summaryref2!L125,IF(AK12=summaryref2!B139,summaryref2!L139,"")))))))))))</f>
        <v/>
      </c>
      <c r="AW12" s="1110" t="str">
        <f>IF('A-80 DirEntInv'!AW11&lt;&gt;"",'A-80 DirEntInv'!AW11,IF(AK12=summaryref2!B13,summaryref2!M13,IF(Summary!AK12=summaryref2!B27,summaryref2!M27,IF(AK12=summaryref2!B41,summaryref2!M41,IF(AK12=summaryref2!B55,summaryref2!M55,IF(AK12=summaryref2!B69,summaryref2!M69,IF(AK12=summaryref2!B83,summaryref2!M83,IF(AK12=summaryref2!B97,summaryref2!M97,IF(AK12=summaryref2!B111,summaryref2!M111,IF(AK12=summaryref2!B125,summaryref2!M125,IF(AK12=summaryref2!B139,summaryref2!M139,"")))))))))))</f>
        <v/>
      </c>
      <c r="AX12" s="1110" t="str">
        <f>IF('A-80 DirEntInv'!AX11&lt;&gt;"",'A-80 DirEntInv'!AX11,IF(AK12=summaryref2!B13,summaryref2!N13,IF(Summary!AK12=summaryref2!B27,summaryref2!N27,IF(AK12=summaryref2!B41,summaryref2!N41,IF(AK12=summaryref2!B55,summaryref2!N55,IF(AK12=summaryref2!B69,summaryref2!N69,IF(AK12=summaryref2!B83,summaryref2!N83,IF(AK12=summaryref2!B97,summaryref2!N97,IF(AK12=summaryref2!B111,summaryref2!N111,IF(AK12=summaryref2!B125,summaryref2!N125,IF(AK12=summaryref2!B139,summaryref2!N139,"")))))))))))</f>
        <v/>
      </c>
      <c r="AY12" s="1110" t="str">
        <f>IF('A-80 DirEntInv'!AY11&lt;&gt;"",'A-80 DirEntInv'!AY11,IF(AK12=summaryref2!B13,summaryref2!O13,IF(Summary!AK12=summaryref2!B27,summaryref2!O27,IF(AK12=summaryref2!B41,summaryref2!O41,IF(AK12=summaryref2!B55,summaryref2!O55,IF(AK12=summaryref2!B69,summaryref2!O69,IF(AK12=summaryref2!B83,summaryref2!O83,IF(AK12=summaryref2!B97,summaryref2!O97,IF(AK12=summaryref2!B111,summaryref2!O111,IF(AK12=summaryref2!B125,summaryref2!O125,IF(AK12=summaryref2!B139,summaryref2!O139,"")))))))))))</f>
        <v/>
      </c>
      <c r="AZ12" s="1110" t="str">
        <f>IF('A-80 DirEntInv'!AZ11&lt;&gt;"",'A-80 DirEntInv'!AZ11,IF(AK12=summaryref2!B13,summaryref2!P13,IF(Summary!AK12=summaryref2!B27,summaryref2!P27,IF(AK12=summaryref2!B41,summaryref2!P41,IF(AK12=summaryref2!B55,summaryref2!P55,IF(AK12=summaryref2!B69,summaryref2!P69,IF(AK12=summaryref2!B83,summaryref2!P83,IF(AK12=summaryref2!B97,summaryref2!P97,IF(AK12=summaryref2!B111,summaryref2!P111,IF(AK12=summaryref2!B125,summaryref2!P125,IF(AK12=summaryref2!B139,summaryref2!P139,"")))))))))))</f>
        <v/>
      </c>
      <c r="BA12" s="1110" t="str">
        <f>IF('A-80 DirEntInv'!BA11&lt;&gt;"",'A-80 DirEntInv'!BA11,IF(AK12=summaryref2!B13,summaryref2!Q13,IF(Summary!AK12=summaryref2!B27,summaryref2!Q27,IF(AK12=summaryref2!B41,summaryref2!Q41,IF(AK12=summaryref2!B55,summaryref2!Q55,IF(AK12=summaryref2!B69,summaryref2!Q69,IF(AK12=summaryref2!B83,summaryref2!Q83,IF(AK12=summaryref2!B97,summaryref2!Q97,IF(AK12=summaryref2!B111,summaryref2!Q111,IF(AK12=summaryref2!B125,summaryref2!Q125,IF(AK12=summaryref2!B139,summaryref2!Q139,"")))))))))))</f>
        <v/>
      </c>
      <c r="BB12" s="1110" t="str">
        <f>IF('A-80 DirEntInv'!BB11&lt;&gt;"",'A-80 DirEntInv'!BB11,IF(AK12=summaryref2!B13,summaryref2!R13,IF(Summary!AK12=summaryref2!B27,summaryref2!R27,IF(AK12=summaryref2!B41,summaryref2!R41,IF(AK12=summaryref2!B55,summaryref2!R55,IF(AK12=summaryref2!B69,summaryref2!R69,IF(AK12=summaryref2!B83,summaryref2!R83,IF(AK12=summaryref2!B97,summaryref2!R97,IF(AK12=summaryref2!B111,summaryref2!R111,IF(AK12=summaryref2!B125,summaryref2!R125,IF(AK12=summaryref2!B139,summaryref2!R139,"")))))))))))</f>
        <v/>
      </c>
      <c r="BC12" s="1110" t="str">
        <f>IF('A-80 DirEntInv'!BC11&lt;&gt;0,'A-80 DirEntInv'!BC11,IF(AK12=summaryref2!B13,summaryref2!S13,IF(Summary!AK12=summaryref2!B27,summaryref2!S27,IF(AK12=summaryref2!B41,summaryref2!S41,IF(AK12=summaryref2!B55,summaryref2!S55,IF(AK12=summaryref2!B69,summaryref2!S69,IF(AK12=summaryref2!B83,summaryref2!S83,IF(AK12=summaryref2!B97,summaryref2!S97,IF(AK12=summaryref2!B111,summaryref2!S111,IF(AK12=summaryref2!B125,summaryref2!S125,IF(AK12=summaryref2!B139,summaryref2!S139,"")))))))))))</f>
        <v/>
      </c>
      <c r="BD12" s="1111" t="str">
        <f>IF('A-80 DirEntInv'!BD11&lt;&gt;"",'A-80 DirEntInv'!BD11,IF(AK12=summaryref2!B13,summaryref2!T13,IF(Summary!AK12=summaryref2!B27,summaryref2!T27,IF(AK12=summaryref2!B41,summaryref2!T41,IF(AK12=summaryref2!B55,summaryref2!T55,IF(AK12=summaryref2!B69,summaryref2!T69,IF(AK12=summaryref2!B83,summaryref2!T83,IF(AK12=summaryref2!B97,summaryref2!T97,IF(AK12=summaryref2!B111,summaryref2!T111,IF(AK12=summaryref2!B125,summaryref2!T125,IF(AK12=summaryref2!B139,summaryref2!T139,"")))))))))))</f>
        <v/>
      </c>
      <c r="BE12" s="1184" t="str">
        <f>IF('A-80 DirEntInv'!BE11&lt;&gt;"",'A-80 DirEntInv'!BE11,IF(AK12=summaryref2!B13,summaryref2!U13,IF(Summary!AK12=summaryref2!B27,summaryref2!U27,IF(AK12=summaryref2!B41,summaryref2!U41,IF(AK12=summaryref2!B55,summaryref2!U55,IF(AK12=summaryref2!B69,summaryref2!U69,IF(AK12=summaryref2!B83,summaryref2!U83,IF(AK12=summaryref2!B97,summaryref2!U97,IF(AK12=summaryref2!B111,summaryref2!U111,IF(AK12=summaryref2!B125,summaryref2!U125,IF(AK12=summaryref2!B139,summaryref2!U139,"")))))))))))</f>
        <v/>
      </c>
      <c r="BF12" s="1432"/>
      <c r="BG12" s="1432"/>
      <c r="BJ12" s="1048" t="str">
        <f>Codes!$C$156</f>
        <v>AG - Automated Guideway (DO)</v>
      </c>
      <c r="BK12" s="1049" t="str">
        <f>Valid!$B$81</f>
        <v>Curve</v>
      </c>
      <c r="BL12" s="1367" t="str">
        <f>IF('A-80 DirEntInv'!BL11&lt;&gt;"",'A-80 DirEntInv'!BL11,IF(BJ12=summaryref2!X13,summaryref2!Z13,IF(BJ12=summaryref2!X20,summaryref2!Z20,IF(BJ12=summaryref2!X27,summaryref2!Z27,IF(BJ12=summaryref2!X34,summaryref2!Z34,IF(BJ12=summaryref2!X41,summaryref2!Z41,IF(BJ12=summaryref2!X48,summaryref2!Z48,IF(BJ12=summaryref2!X55,summaryref2!Z55,IF(BJ12=summaryref2!X62,summaryref2!Z62,IF(BJ12=summaryref2!X69,summaryref2!Z69,IF(BJ12=summaryref2!X76,summaryref2!Z76,"")))))))))))</f>
        <v/>
      </c>
      <c r="BM12" s="1049" t="str">
        <f>VLOOKUP(BK12,Valid!$B$80:$C$86,2,FALSE)</f>
        <v>Track Feet</v>
      </c>
      <c r="BN12" s="1324" t="str">
        <f>IF('A-80 DirEntInv'!BN11&lt;&gt;"",'A-80 DirEntInv'!BN11,IF(BJ12=summaryref2!X13,summaryref2!AB13,IF(BJ12=summaryref2!X20,summaryref2!AB20,IF(BJ12=summaryref2!X27,summaryref2!AB27,IF(BJ12=summaryref2!X34,summaryref2!AB34,IF(BJ12=summaryref2!X41,summaryref2!AB41,IF(BJ12=summaryref2!X48,summaryref2!AB48,IF(BJ12=summaryref2!X55,summaryref2!AB55,IF(BJ12=summaryref2!X62,summaryref2!AB62,IF(BJ12=summaryref2!X69,summaryref2!AB69,IF(BJ12=summaryref2!X76,summaryref2!AB76,"")))))))))))</f>
        <v/>
      </c>
      <c r="BO12" s="1326" t="str">
        <f>IF('A-80 DirEntInv'!BO11&lt;&gt;"",'A-80 DirEntInv'!BO11,IF(BJ12=summaryref2!X13,summaryref2!AC13,IF(BJ12=summaryref2!X20,summaryref2!AC20,IF(BJ12=summaryref2!X27,summaryref2!AC27,IF(BJ12=summaryref2!X34,summaryref2!AC34,IF(BJ12=summaryref2!X41,summaryref2!AC41,IF(BJ12=summaryref2!X48,summaryref2!AC48,IF(BJ12=summaryref2!X55,summaryref2!AC55,IF(BJ12=summaryref2!X62,summaryref2!AC62,IF(BJ12=summaryref2!X69,summaryref2!AC69,IF(BJ12=summaryref2!X76,summaryref2!AC76,"")))))))))))</f>
        <v/>
      </c>
      <c r="BP12" s="1323" t="str">
        <f>IF('A-80 DirEntInv'!BP11&lt;&gt;"",'A-80 DirEntInv'!BP11,IF(BJ12=summaryref2!X13,summaryref2!AD13,IF(BJ12=summaryref2!X20,summaryref2!AD20,IF(BJ12=summaryref2!X27,summaryref2!AD27,IF(BJ12=summaryref2!X34,summaryref2!AD34,IF(BJ12=summaryref2!X41,summaryref2!AD41,IF(BJ12=summaryref2!X48,summaryref2!AD48,IF(BJ12=summaryref2!X55,summaryref2!AD55,IF(BJ12=summaryref2!X62,summaryref2!AD62,IF(BJ12=summaryref2!X69,summaryref2!AD69,IF(BJ12=summaryref2!X76,summaryref2!AD76,"")))))))))))</f>
        <v/>
      </c>
      <c r="BS12" s="1472" t="str">
        <f ca="1">IF('A-80 DirEntInv'!BU11&lt;&gt;"",'A-80 DirEntInv'!BU11,IF(INDIRECT(ADDRESS(SumRef!DK18,SumRef!DK$16,,,SumRef!$E$6))="","",INDIRECT(ADDRESS(SumRef!DK18,SumRef!DK$16,,,SumRef!$E$6))))</f>
        <v/>
      </c>
      <c r="BT12" s="1458" t="str">
        <f ca="1">IF('A-80 DirEntInv'!BV11&lt;&gt;"",'A-80 DirEntInv'!BV11,IF(INDIRECT(ADDRESS(SumRef!DL18,SumRef!DL$16,,,SumRef!$E$6))="","",INDIRECT(ADDRESS(SumRef!DL18,SumRef!DL$16,,,SumRef!$E$6))))</f>
        <v/>
      </c>
      <c r="BU12" s="1177" t="str">
        <f ca="1">IF('A-80 DirEntInv'!BW11&lt;&gt;"",'A-80 DirEntInv'!BW11,IF(INDIRECT(ADDRESS(SumRef!DM18,SumRef!DM$16,,,SumRef!$E$6))="","",INDIRECT(ADDRESS(SumRef!DM18,SumRef!DM$16,,,SumRef!$E$6))))</f>
        <v/>
      </c>
      <c r="BV12" s="1460" t="str">
        <f ca="1">IF('A-80 DirEntInv'!BX11&lt;&gt;"",'A-80 DirEntInv'!BX11,IF(INDIRECT(ADDRESS(SumRef!DN18,SumRef!DN$16,,,SumRef!$E$6))="","",INDIRECT(ADDRESS(SumRef!DN18,SumRef!DN$16,,,SumRef!$E$6))))</f>
        <v/>
      </c>
      <c r="BW12" s="1460" t="str">
        <f ca="1">IF('A-80 DirEntInv'!BY11&lt;&gt;"",'A-80 DirEntInv'!BY11,IF(INDIRECT(ADDRESS(SumRef!DO18,SumRef!DO$16,,,SumRef!$E$6))="","",INDIRECT(ADDRESS(SumRef!DO18,SumRef!DO$16,,,SumRef!$E$6))))</f>
        <v/>
      </c>
      <c r="BX12" s="1116" t="str">
        <f ca="1">IF('A-80 DirEntInv'!BZ11&lt;&gt;"",'A-80 DirEntInv'!BZ11,IF(INDIRECT(ADDRESS(SumRef!DP18,SumRef!DP$16,,,SumRef!$E$6))="","",INDIRECT(ADDRESS(SumRef!DP18,SumRef!DP$16,,,SumRef!$E$6))))</f>
        <v/>
      </c>
      <c r="BY12" s="1461" t="str">
        <f ca="1">IF('A-80 DirEntInv'!CA11&lt;&gt;"",'A-80 DirEntInv'!CA11,IF(INDIRECT(ADDRESS(SumRef!DQ18,SumRef!DQ$16,,,SumRef!$E$6))="","",INDIRECT(ADDRESS(SumRef!DQ18,SumRef!DQ$16,,,SumRef!$E$6))))</f>
        <v/>
      </c>
      <c r="BZ12" s="1460" t="str">
        <f ca="1">IF('A-80 DirEntInv'!CB11&lt;&gt;"",'A-80 DirEntInv'!CB11,IF(INDIRECT(ADDRESS(SumRef!DR18,SumRef!DR$16,,,SumRef!$E$6))="","",INDIRECT(ADDRESS(SumRef!DR18,SumRef!DR$16,,,SumRef!$E$6))))</f>
        <v/>
      </c>
      <c r="CA12" s="1462" t="str">
        <f ca="1">IF('A-80 DirEntInv'!CC11&lt;&gt;"",'A-80 DirEntInv'!CC11,IF(INDIRECT(ADDRESS(SumRef!DS18,SumRef!DS$16,,,SumRef!$E$6))="","",INDIRECT(ADDRESS(SumRef!DS18,SumRef!DS$16,,,SumRef!$E$6))))</f>
        <v/>
      </c>
      <c r="CD12" s="1160" t="str">
        <f ca="1">IF('A-80 DirEntInv'!CF11&lt;&gt;"",'A-80 DirEntInv'!CF11,IF(INDIRECT(ADDRESS(SumRef!DV18,SumRef!DV$16,,,SumRef!$E$7))="","",INDIRECT(ADDRESS(SumRef!DV18,SumRef!DV$16,,,SumRef!$E$7))))</f>
        <v/>
      </c>
      <c r="CE12" s="1167" t="str">
        <f ca="1">IF('A-80 DirEntInv'!CG11&lt;&gt;"",'A-80 DirEntInv'!CG11,IF(INDIRECT(ADDRESS(SumRef!DW18,SumRef!DW$16,,,SumRef!$E$7))="","",INDIRECT(ADDRESS(SumRef!DW18,SumRef!DW$16,,,SumRef!$E$7))))</f>
        <v/>
      </c>
      <c r="CF12" s="1167" t="str">
        <f ca="1">IF('A-80 DirEntInv'!CH11&lt;&gt;"",'A-80 DirEntInv'!CH11,IF(INDIRECT(ADDRESS(SumRef!DX18,SumRef!DX$16,,,SumRef!$E$7))="","",INDIRECT(ADDRESS(SumRef!DX18,SumRef!DX$16,,,SumRef!$E$7))))</f>
        <v/>
      </c>
      <c r="CG12" s="1167" t="str">
        <f ca="1">IF('A-80 DirEntInv'!CI11&lt;&gt;"",'A-80 DirEntInv'!CI11,IF(INDIRECT(ADDRESS(SumRef!DY18,SumRef!DY$16,,,SumRef!$E$7))="","",INDIRECT(ADDRESS(SumRef!DY18,SumRef!DY$16,,,SumRef!$E$7))))</f>
        <v/>
      </c>
      <c r="CH12" s="1167" t="str">
        <f ca="1">IF('A-80 DirEntInv'!CJ11&lt;&gt;"",'A-80 DirEntInv'!CJ11,IF(INDIRECT(ADDRESS(SumRef!DZ18,SumRef!DZ$16,,,SumRef!$E$7))="","",INDIRECT(ADDRESS(SumRef!DZ18,SumRef!DZ$16,,,SumRef!$E$7))))</f>
        <v/>
      </c>
      <c r="CI12" s="1167" t="str">
        <f ca="1">IF('A-80 DirEntInv'!CK11&lt;&gt;"",'A-80 DirEntInv'!CK11,IF(INDIRECT(ADDRESS(SumRef!EA18,SumRef!EA$16,,,SumRef!$E$7))="","",INDIRECT(ADDRESS(SumRef!EA18,SumRef!EA$16,,,SumRef!$E$7))))</f>
        <v/>
      </c>
      <c r="CJ12" s="1114" t="str">
        <f ca="1">IF('A-80 DirEntInv'!CL11&lt;&gt;"",'A-80 DirEntInv'!CL11,IF(INDIRECT(ADDRESS(SumRef!EB18,SumRef!EB$16,,,SumRef!$E$7))="","",INDIRECT(ADDRESS(SumRef!EB18,SumRef!EB$16,,,SumRef!$E$7))))</f>
        <v/>
      </c>
      <c r="CK12" s="1114" t="str">
        <f ca="1">IF('A-80 DirEntInv'!CM11&lt;&gt;"",'A-80 DirEntInv'!CM11,IF(INDIRECT(ADDRESS(SumRef!EC18,SumRef!EC$16,,,SumRef!$E$7))="","",INDIRECT(ADDRESS(SumRef!EC18,SumRef!EC$16,,,SumRef!$E$7))))</f>
        <v/>
      </c>
      <c r="CL12" s="1113" t="str">
        <f ca="1">IF('A-80 DirEntInv'!CO11&lt;&gt;"",'A-80 DirEntInv'!CO11,IF(INDIRECT(ADDRESS(SumRef!ED18,SumRef!ED$16,,,SumRef!$E$7))="","",INDIRECT(ADDRESS(SumRef!ED18,SumRef!ED$16,,,SumRef!$E$7))))</f>
        <v/>
      </c>
      <c r="CM12" s="1114" t="str">
        <f ca="1">IF('A-80 DirEntInv'!CP11&lt;&gt;"",'A-80 DirEntInv'!CP11,IF(INDIRECT(ADDRESS(SumRef!EE18,SumRef!EE$16,,,SumRef!$E$7))="","",INDIRECT(ADDRESS(SumRef!EE18,SumRef!EE$16,,,SumRef!$E$7))))</f>
        <v/>
      </c>
      <c r="CN12" s="1114" t="str">
        <f ca="1">IF('A-80 DirEntInv'!CQ11&lt;&gt;"",'A-80 DirEntInv'!CQ11,IF(INDIRECT(ADDRESS(SumRef!EF18,SumRef!EF$16,,,SumRef!$E$7))="","",INDIRECT(ADDRESS(SumRef!EF18,SumRef!EF$16,,,SumRef!$E$7))))</f>
        <v/>
      </c>
      <c r="CO12" s="1113" t="str">
        <f ca="1">IF('A-80 DirEntInv'!CR11&lt;&gt;"",'A-80 DirEntInv'!CR11,IF(INDIRECT(ADDRESS(SumRef!EG18,SumRef!EG$16,,,SumRef!$E$7))="","",INDIRECT(ADDRESS(SumRef!EG18,SumRef!EG$16,,,SumRef!$E$7))))</f>
        <v/>
      </c>
      <c r="CP12" s="1114" t="str">
        <f ca="1">IF('A-80 DirEntInv'!CS11&lt;&gt;"",'A-80 DirEntInv'!CS11,IF(INDIRECT(ADDRESS(SumRef!EH18,SumRef!EH$16,,,SumRef!$E$7))="","",INDIRECT(ADDRESS(SumRef!EH18,SumRef!EH$16,,,SumRef!$E$7))))</f>
        <v/>
      </c>
      <c r="CQ12" s="1346" t="str">
        <f ca="1">IF('A-80 DirEntInv'!CT11&lt;&gt;"",'A-80 DirEntInv'!CT11,IF(INDIRECT(ADDRESS(SumRef!EI18,SumRef!EI$16,,,SumRef!$E$7))="","",INDIRECT(ADDRESS(SumRef!EI18,SumRef!EI$16,,,SumRef!$E$7))))</f>
        <v/>
      </c>
      <c r="CR12" s="1113" t="str">
        <f ca="1">IF('A-80 DirEntInv'!CU11&lt;&gt;"",'A-80 DirEntInv'!CU11,IF(INDIRECT(ADDRESS(SumRef!EJ18,SumRef!EJ$16,,,SumRef!$E$7))="","",INDIRECT(ADDRESS(SumRef!EJ18,SumRef!EJ$16,,,SumRef!$E$7))))</f>
        <v/>
      </c>
      <c r="CS12" s="1346" t="str">
        <f ca="1">IF('A-80 DirEntInv'!CV11&lt;&gt;"",'A-80 DirEntInv'!CV11,IF(INDIRECT(ADDRESS(SumRef!EM18,SumRef!EM$16,,,SumRef!$E$7))="","",INDIRECT(ADDRESS(SumRef!EM18,SumRef!EM$16,,,SumRef!$E$7))))</f>
        <v/>
      </c>
      <c r="CT12" s="1113" t="str">
        <f ca="1">IF('A-80 DirEntInv'!CW11&lt;&gt;"",'A-80 DirEntInv'!CW11,IF(INDIRECT(ADDRESS(SumRef!EN18,SumRef!EN$16,,,SumRef!$E$7))="","",INDIRECT(ADDRESS(SumRef!EN18,SumRef!EN$16,,,SumRef!$E$7))))</f>
        <v/>
      </c>
      <c r="CU12" s="1113" t="str">
        <f ca="1">IF('A-80 DirEntInv'!CX11&lt;&gt;"",'A-80 DirEntInv'!CX11,IF(INDIRECT(ADDRESS(SumRef!EO18,SumRef!EO$16,,,SumRef!$E$7))="","",INDIRECT(ADDRESS(SumRef!EO18,SumRef!EO$16,,,SumRef!$E$7))))</f>
        <v/>
      </c>
      <c r="CV12" s="1113" t="str">
        <f ca="1">IF('A-80 DirEntInv'!CY11&lt;&gt;"",'A-80 DirEntInv'!CY11,IF(INDIRECT(ADDRESS(SumRef!EP18,SumRef!EP$16,,,SumRef!$E$7))="","",INDIRECT(ADDRESS(SumRef!EP18,SumRef!EP$16,,,SumRef!$E$7))))</f>
        <v/>
      </c>
      <c r="CW12" s="1114" t="str">
        <f ca="1">IF('A-80 DirEntInv'!CZ11&lt;&gt;"",'A-80 DirEntInv'!CZ11,IF(INDIRECT(ADDRESS(SumRef!ES18,SumRef!ES$16,,,SumRef!$E$7))="","",INDIRECT(ADDRESS(SumRef!ES18,SumRef!ES$16,,,SumRef!$E$7))))</f>
        <v/>
      </c>
      <c r="CX12" s="1167" t="str">
        <f ca="1">IF('A-80 DirEntInv'!DA11&lt;&gt;"",'A-80 DirEntInv'!DA11,IF(INDIRECT(ADDRESS(SumRef!ET18,SumRef!ET$16,,,SumRef!$E$7))="","",INDIRECT(ADDRESS(SumRef!ET18,SumRef!ET$16,,,SumRef!$E$7))))</f>
        <v/>
      </c>
      <c r="CY12" s="1167" t="str">
        <f ca="1">IF('A-80 DirEntInv'!DB11&lt;&gt;"",'A-80 DirEntInv'!DB11,IF(INDIRECT(ADDRESS(SumRef!EU18,SumRef!EU$16,,,SumRef!$E$7))="","",INDIRECT(ADDRESS(SumRef!EU18,SumRef!EU$16,,,SumRef!$E$7))))</f>
        <v/>
      </c>
      <c r="CZ12" s="1167" t="b">
        <f ca="1">IF('A-80 DirEntInv'!DC11&lt;&gt;"",'A-80 DirEntInv'!DC11,IF(INDIRECT(ADDRESS(SumRef!EV18,SumRef!EV$16,,,SumRef!$E$7))="","",INDIRECT(ADDRESS(SumRef!EV18,SumRef!EV$16,,,SumRef!$E$7))))</f>
        <v>0</v>
      </c>
      <c r="DA12" s="1373" t="str">
        <f ca="1">IF('A-80 DirEntInv'!DD11&lt;&gt;"",'A-80 DirEntInv'!DD11,IF(INDIRECT(ADDRESS(SumRef!EW18,SumRef!EW$16,,,SumRef!$E$7))="","",INDIRECT(ADDRESS(SumRef!EW18,SumRef!EW$16,,,SumRef!$E$7))))</f>
        <v/>
      </c>
      <c r="DB12" s="1373" t="b">
        <f ca="1">IF('A-80 DirEntInv'!DE11&lt;&gt;"",'A-80 DirEntInv'!DE11,IF(INDIRECT(ADDRESS(SumRef!EX18,SumRef!EX$16,,,SumRef!$E$7))="","",INDIRECT(ADDRESS(SumRef!EX18,SumRef!EX$16,,,SumRef!$E$7))))</f>
        <v>0</v>
      </c>
      <c r="DC12" s="1114" t="b">
        <f ca="1">IF('A-80 DirEntInv'!DF11&lt;&gt;"",'A-80 DirEntInv'!DF11,IF(INDIRECT(ADDRESS(SumRef!EY18,SumRef!EY$16,,,SumRef!$E$7))="","",INDIRECT(ADDRESS(SumRef!EY18,SumRef!EY$16,,,SumRef!$E$7))))</f>
        <v>0</v>
      </c>
      <c r="DD12" s="1115" t="str">
        <f ca="1">IF('A-80 DirEntInv'!DG11&lt;&gt;"",'A-80 DirEntInv'!DG11,IF(INDIRECT(ADDRESS(SumRef!EZ18,SumRef!EZ$16,,,SumRef!$E$7))="","",INDIRECT(ADDRESS(SumRef!EZ18,SumRef!EZ$16,,,SumRef!$E$7))))</f>
        <v/>
      </c>
    </row>
    <row r="13" spans="1:109" s="588" customFormat="1" ht="13.5" thickTop="1" x14ac:dyDescent="0.2">
      <c r="A13" s="589">
        <f t="shared" ref="A13:A76" si="0">A12+1</f>
        <v>3</v>
      </c>
      <c r="B13" s="1155" t="str">
        <f ca="1">IF('A-80 DirEntInv'!B12&lt;&gt;"",'A-80 DirEntInv'!B12,IF(INDIRECT(ADDRESS(SumRef!AQ19,SumRef!AQ$16,,,SumRef!$B$7))="","",INDIRECT(ADDRESS(SumRef!AQ19,SumRef!AQ$16,,,SumRef!$B$7))))</f>
        <v/>
      </c>
      <c r="C13" s="1097" t="str">
        <f ca="1">IF('A-80 DirEntInv'!C12&lt;&gt;"",'A-80 DirEntInv'!C12,IF(INDIRECT(ADDRESS(SumRef!AR19,SumRef!AR$16,,,SumRef!$B$7))="","",INDIRECT(ADDRESS(SumRef!AR19,SumRef!AR$16,,,SumRef!$B$7))))</f>
        <v/>
      </c>
      <c r="D13" s="1097" t="str">
        <f ca="1">IF('A-80 DirEntInv'!D12&lt;&gt;"",'A-80 DirEntInv'!D12,IF(INDIRECT(ADDRESS(SumRef!AS19,SumRef!AS$16,,,SumRef!$B$7))="","",INDIRECT(ADDRESS(SumRef!AS19,SumRef!AS$16,,,SumRef!$B$7))))</f>
        <v/>
      </c>
      <c r="E13" s="1097" t="str">
        <f ca="1">IF('A-80 DirEntInv'!E12&lt;&gt;"",'A-80 DirEntInv'!E12,IF(INDIRECT(ADDRESS(SumRef!AT19,SumRef!AT$16,,,SumRef!$B$7))="","",INDIRECT(ADDRESS(SumRef!AT19,SumRef!AT$16,,,SumRef!$B$7))))</f>
        <v/>
      </c>
      <c r="F13" s="1097" t="str">
        <f ca="1">IF('A-80 DirEntInv'!F12&lt;&gt;"",'A-80 DirEntInv'!F12,IF(INDIRECT(ADDRESS(SumRef!AU19,SumRef!AU$16,,,SumRef!$B$7))="","",INDIRECT(ADDRESS(SumRef!AU19,SumRef!AU$16,,,SumRef!$B$7))))</f>
        <v/>
      </c>
      <c r="G13" s="1158" t="str">
        <f ca="1">IF('A-80 DirEntInv'!G12&lt;&gt;"",'A-80 DirEntInv'!G12,IF(INDIRECT(ADDRESS(SumRef!AV19,SumRef!AV$16,,,SumRef!$B$7))="","",INDIRECT(ADDRESS(SumRef!AV19,SumRef!AV$16,,,SumRef!$B$7))))</f>
        <v/>
      </c>
      <c r="H13" s="1097" t="str">
        <f ca="1">IF('A-80 DirEntInv'!H12&lt;&gt;"",'A-80 DirEntInv'!H12,IF(INDIRECT(ADDRESS(SumRef!AW19,SumRef!AW$16,,,SumRef!$B$7))="","",INDIRECT(ADDRESS(SumRef!AW19,SumRef!AW$16,,,SumRef!$B$7))))</f>
        <v/>
      </c>
      <c r="I13" s="1097" t="str">
        <f ca="1">IF('A-80 DirEntInv'!I12&lt;&gt;"",'A-80 DirEntInv'!I12,IF(INDIRECT(ADDRESS(SumRef!AX19,SumRef!AX$16,,,SumRef!$B$7))="","",INDIRECT(ADDRESS(SumRef!AX19,SumRef!AX$16,,,SumRef!$B$7))))</f>
        <v/>
      </c>
      <c r="J13" s="1098" t="str">
        <f ca="1">IF('A-80 DirEntInv'!J12&lt;&gt;"",'A-80 DirEntInv'!J12,IF(INDIRECT(ADDRESS(SumRef!AY19,SumRef!AY$16,,,SumRef!$B$7))="","",INDIRECT(ADDRESS(SumRef!AY19,SumRef!AY$16,,,SumRef!$B$7))))</f>
        <v/>
      </c>
      <c r="K13" s="1099" t="str">
        <f ca="1">IF('A-80 DirEntInv'!K12&lt;&gt;"",'A-80 DirEntInv'!K12,IF(INDIRECT(ADDRESS(SumRef!AZ19,SumRef!AZ$16,,,SumRef!$B$7))="","",INDIRECT(ADDRESS(SumRef!AZ19,SumRef!AZ$16,,,SumRef!$B$7))))</f>
        <v/>
      </c>
      <c r="L13" s="1100" t="str">
        <f ca="1">IF('A-80 DirEntInv'!L12&lt;&gt;"",'A-80 DirEntInv'!L12,IF(INDIRECT(ADDRESS(SumRef!BA19,SumRef!BA$16,,,SumRef!$B$7))="","",INDIRECT(ADDRESS(SumRef!BA19,SumRef!BA$16,,,SumRef!$B$7))))</f>
        <v/>
      </c>
      <c r="M13" s="1101" t="str">
        <f ca="1">IF('A-80 DirEntInv'!M12&lt;&gt;"",'A-80 DirEntInv'!M12,IF(INDIRECT(ADDRESS(SumRef!BB19,SumRef!BB$16,,,SumRef!$B$7))="","",INDIRECT(ADDRESS(SumRef!BB19,SumRef!BB$16,,,SumRef!$B$7))))</f>
        <v/>
      </c>
      <c r="N13" s="1098" t="str">
        <f ca="1">IF('A-80 DirEntInv'!N12&lt;&gt;"",'A-80 DirEntInv'!N12,IF(INDIRECT(ADDRESS(SumRef!BC19,SumRef!BC$16,,,SumRef!$B$7))="","",INDIRECT(ADDRESS(SumRef!BC19,SumRef!BC$16,,,SumRef!$B$7))))</f>
        <v/>
      </c>
      <c r="O13" s="1102" t="str">
        <f ca="1">IF('A-80 DirEntInv'!O12&lt;&gt;"",'A-80 DirEntInv'!O12,IF(INDIRECT(ADDRESS(SumRef!BD19,SumRef!BD$16,,,SumRef!$B$7))="","",INDIRECT(ADDRESS(SumRef!BD19,SumRef!BD$16,,,SumRef!$B$7))))</f>
        <v/>
      </c>
      <c r="P13" s="589"/>
      <c r="Q13" s="589"/>
      <c r="R13" s="1103" t="str">
        <f ca="1">IF('A-80 DirEntInv'!R12&lt;&gt;"",'A-80 DirEntInv'!R12,IF(INDIRECT(ADDRESS(SumRef!BH19,SumRef!BH$16,,,SumRef!$B$8))="","",INDIRECT(ADDRESS(SumRef!BH19,SumRef!BH$16,,,SumRef!$B$8))))</f>
        <v/>
      </c>
      <c r="S13" s="1104" t="str">
        <f ca="1">IF('A-80 DirEntInv'!S12&lt;&gt;"",'A-80 DirEntInv'!S12,IF(INDIRECT(ADDRESS(SumRef!BI19,SumRef!BI$16,,,SumRef!$B$8))="","",INDIRECT(ADDRESS(SumRef!BI19,SumRef!BI$16,,,SumRef!$B$8))))</f>
        <v/>
      </c>
      <c r="T13" s="1104" t="str">
        <f ca="1">IF('A-80 DirEntInv'!T12&lt;&gt;"",'A-80 DirEntInv'!T12,IF(INDIRECT(ADDRESS(SumRef!BJ19,SumRef!BJ$16,,,SumRef!$B$8))="","",INDIRECT(ADDRESS(SumRef!BJ19,SumRef!BJ$16,,,SumRef!$B$8))))</f>
        <v/>
      </c>
      <c r="U13" s="1104" t="str">
        <f ca="1">IF('A-80 DirEntInv'!U12&lt;&gt;"",'A-80 DirEntInv'!U12,IF(INDIRECT(ADDRESS(SumRef!BK19,SumRef!BK$16,,,SumRef!$B$8))="","",INDIRECT(ADDRESS(SumRef!BK19,SumRef!BK$16,,,SumRef!$B$8))))</f>
        <v/>
      </c>
      <c r="V13" s="1104" t="str">
        <f ca="1">IF('A-80 DirEntInv'!V12&lt;&gt;"",'A-80 DirEntInv'!V12,IF(INDIRECT(ADDRESS(SumRef!BL19,SumRef!BL$16,,,SumRef!$B$8))="","",INDIRECT(ADDRESS(SumRef!BL19,SumRef!BL$16,,,SumRef!$B$8))))</f>
        <v/>
      </c>
      <c r="W13" s="1354" t="str">
        <f ca="1">IF('A-80 DirEntInv'!W12&lt;&gt;"",'A-80 DirEntInv'!W12,IF(INDIRECT(ADDRESS(SumRef!BM19,SumRef!BM$16,,,SumRef!$B$8))="","",INDIRECT(ADDRESS(SumRef!BM19,SumRef!BM$16,,,SumRef!$B$8))))</f>
        <v/>
      </c>
      <c r="X13" s="1203" t="str">
        <f ca="1">IF('A-80 DirEntInv'!X12&lt;&gt;"",'A-80 DirEntInv'!X12,IF(INDIRECT(ADDRESS(SumRef!BN19,SumRef!BN$16,,,SumRef!$B$8))="","",INDIRECT(ADDRESS(SumRef!BN19,SumRef!BN$16,,,SumRef!$B$8))))</f>
        <v/>
      </c>
      <c r="Y13" s="1203" t="str">
        <f ca="1">IF('A-80 DirEntInv'!Y12&lt;&gt;"",'A-80 DirEntInv'!Y12,IF(INDIRECT(ADDRESS(SumRef!BO19,SumRef!BO$16,,,SumRef!$B$8))="","",INDIRECT(ADDRESS(SumRef!BO19,SumRef!BO$16,,,SumRef!$B$8))))</f>
        <v/>
      </c>
      <c r="Z13" s="1104" t="str">
        <f ca="1">IF('A-80 DirEntInv'!Z12&lt;&gt;"",'A-80 DirEntInv'!Z12,IF(INDIRECT(ADDRESS(SumRef!BP19,SumRef!BP$16,,,SumRef!$B$8))="","",INDIRECT(ADDRESS(SumRef!BP19,SumRef!BP$16,,,SumRef!$B$8))))</f>
        <v/>
      </c>
      <c r="AA13" s="1104" t="str">
        <f ca="1">IF('A-80 DirEntInv'!AA12&lt;&gt;"",'A-80 DirEntInv'!AA12,IF(INDIRECT(ADDRESS(SumRef!BQ19,SumRef!BQ$16,,,SumRef!$B$8))="","",INDIRECT(ADDRESS(SumRef!BQ19,SumRef!BQ$16,,,SumRef!$B$8))))</f>
        <v/>
      </c>
      <c r="AB13" s="1106" t="str">
        <f ca="1">IF('A-80 DirEntInv'!AB12&lt;&gt;"",'A-80 DirEntInv'!AB12,IF(INDIRECT(ADDRESS(SumRef!BR19,SumRef!BR$16,,,SumRef!$B$8))="","",INDIRECT(ADDRESS(SumRef!BR19,SumRef!BR$16,,,SumRef!$B$8))))</f>
        <v/>
      </c>
      <c r="AC13" s="1107" t="str">
        <f ca="1">IF('A-80 DirEntInv'!AC12&lt;&gt;"",'A-80 DirEntInv'!AC12,IF(INDIRECT(ADDRESS(SumRef!BS19,SumRef!BS$16,,,SumRef!$B$8))="","",INDIRECT(ADDRESS(SumRef!BS19,SumRef!BS$16,,,SumRef!$B$8))))</f>
        <v/>
      </c>
      <c r="AD13" s="1349" t="str">
        <f ca="1">IF('A-80 DirEntInv'!AD12&lt;&gt;"",'A-80 DirEntInv'!AD12,IF(INDIRECT(ADDRESS(SumRef!BT19,SumRef!BT$16,,,SumRef!$B$8))="","",INDIRECT(ADDRESS(SumRef!BT19,SumRef!BT$16,,,SumRef!$B$8))))</f>
        <v/>
      </c>
      <c r="AE13" s="1137" t="str">
        <f ca="1">IF('A-80 DirEntInv'!AE12&lt;&gt;"",'A-80 DirEntInv'!AE12,IF(INDIRECT(ADDRESS(SumRef!BU19,SumRef!BU$16,,,SumRef!$B$8))="","",INDIRECT(ADDRESS(SumRef!BU19,SumRef!BU$16,,,SumRef!$B$8))))</f>
        <v/>
      </c>
      <c r="AF13" s="1346" t="str">
        <f ca="1">IF('A-80 DirEntInv'!AF12&lt;&gt;"",'A-80 DirEntInv'!AF12,IF(INDIRECT(ADDRESS(SumRef!BV19,SumRef!BV$16,,,SumRef!$B$8))="","",INDIRECT(ADDRESS(SumRef!BV19,SumRef!BV$16,,,SumRef!$B$8))))</f>
        <v/>
      </c>
      <c r="AG13" s="1105" t="str">
        <f ca="1">IF('A-80 DirEntInv'!AG12&lt;&gt;"",'A-80 DirEntInv'!AG12,IF(INDIRECT(ADDRESS(SumRef!BW19,SumRef!BW$16,,,SumRef!$B$8))="","",INDIRECT(ADDRESS(SumRef!BW19,SumRef!BW$16,,,SumRef!$B$8))))</f>
        <v/>
      </c>
      <c r="AH13" s="1357" t="str">
        <f ca="1">IF('A-80 DirEntInv'!AH12&lt;&gt;"",'A-80 DirEntInv'!AH12,IF(INDIRECT(ADDRESS(SumRef!BX19,SumRef!BX$16,,,SumRef!$B$8))="","",INDIRECT(ADDRESS(SumRef!BX19,SumRef!BX$16,,,SumRef!$B$8))))</f>
        <v/>
      </c>
      <c r="AK13" s="1041" t="str">
        <f>Codes!$C$156</f>
        <v>AG - Automated Guideway (DO)</v>
      </c>
      <c r="AL13" s="1042" t="str">
        <f>Valid!$B$73</f>
        <v>Elevated/Retained Fill</v>
      </c>
      <c r="AM13" s="1108" t="str">
        <f>IF('A-80 DirEntInv'!AM12&lt;&gt;"",'A-80 DirEntInv'!AM12,IF(AK13=summaryref2!B14,summaryref2!D14,IF(Summary!AK13=summaryref2!B28,summaryref2!D28,IF(AK13=summaryref2!B42,summaryref2!D42,IF(AK13=summaryref2!B56,summaryref2!D56,IF(AK13=summaryref2!B70,summaryref2!D70,IF(AK13=summaryref2!B84,summaryref2!D84,IF(AK13=summaryref2!B98,summaryref2!D98,IF(AK13=summaryref2!B112,summaryref2!D112,IF(AK13=summaryref2!B126,summaryref2!D126,IF(AK13=summaryref2!B140,summaryref2!D140,"")))))))))))</f>
        <v/>
      </c>
      <c r="AN13" s="1109" t="str">
        <f ca="1">IF('A-80 DirEntInv'!AN12&lt;&gt;"",'A-80 DirEntInv'!AN12,IF(INDIRECT(ADDRESS(SumRef!CG19,SumRef!CG$16,,,SumRef!$C$7))="","",INDIRECT(ADDRESS(SumRef!CG19,SumRef!CG$16,,,SumRef!$C$7))))</f>
        <v>Linear Feet</v>
      </c>
      <c r="AO13" s="1108" t="str">
        <f>IF('A-80 DirEntInv'!AO12&lt;&gt;"",'A-80 DirEntInv'!AO12,IF(AM13=summaryref2!D14,summaryref2!F14,IF(Summary!AM13=summaryref2!D28,summaryref2!F28,IF(AM13=summaryref2!D42,summaryref2!F42,IF(AM13=summaryref2!D56,summaryref2!F56,IF(AM13=summaryref2!D70,summaryref2!F70,IF(AM13=summaryref2!D84,summaryref2!F84,IF(AM13=summaryref2!D98,summaryref2!F98,IF(AM13=summaryref2!D112,summaryref2!F112,IF(AM13=summaryref2!D126,summaryref2!F126,IF(AM13=summaryref2!D140,summaryref2!F140,"")))))))))))</f>
        <v/>
      </c>
      <c r="AP13" s="1109" t="str">
        <f ca="1">IF('A-80 DirEntInv'!AP12&lt;&gt;"",'A-80 DirEntInv'!AP12,IF(INDIRECT(ADDRESS(SumRef!#REF!,SumRef!#REF!,,,SumRef!$C$7))="","",INDIRECT(ADDRESS(SumRef!#REF!,SumRef!#REF!,,,SumRef!$C$7))))</f>
        <v>Track Feet</v>
      </c>
      <c r="AQ13" s="1147" t="str">
        <f>IF('A-80 DirEntInv'!AQ12&lt;&gt;"",'A-80 DirEntInv'!AQ12,IF(AK13=summaryref2!B14,summaryref2!G14,IF(Summary!AK13=summaryref2!B28,summaryref2!G28,IF(AK13=summaryref2!B42,summaryref2!G42,IF(AK13=summaryref2!B56,summaryref2!G56,IF(AK13=summaryref2!B70,summaryref2!G70,IF(AK13=summaryref2!B84,summaryref2!G84,IF(AK13=summaryref2!B98,summaryref2!G98,IF(AK13=summaryref2!B112,summaryref2!G112,IF(AK13=summaryref2!B126,summaryref2!G126,IF(AK13=summaryref2!B140,summaryref2!G140,"")))))))))))</f>
        <v/>
      </c>
      <c r="AR13" s="1147" t="str">
        <f>IF('A-80 DirEntInv'!AR12&lt;&gt;"",'A-80 DirEntInv'!AR12,IF(AK13=summaryref2!B14,summaryref2!H14,IF(Summary!AK13=summaryref2!B28,summaryref2!H28,IF(AK13=summaryref2!B42,summaryref2!H42,IF(AK13=summaryref2!B56,summaryref2!H56,IF(AK13=summaryref2!B70,summaryref2!H70,IF(AK13=summaryref2!B84,summaryref2!H84,IF(AK13=summaryref2!B98,summaryref2!H98,IF(AK13=summaryref2!B112,summaryref2!H112,IF(AK13=summaryref2!B126,summaryref2!H126,IF(AK13=summaryref2!B140,summaryref2!H140,"")))))))))))</f>
        <v/>
      </c>
      <c r="AS13" s="1110" t="str">
        <f>IF('A-80 DirEntInv'!AS12&lt;&gt;"",'A-80 DirEntInv'!AS12,IF(AK13=summaryref2!B14,summaryref2!I14,IF(Summary!AK13=summaryref2!B28,summaryref2!I28,IF(AK13=summaryref2!B42,summaryref2!I42,IF(AK13=summaryref2!B56,summaryref2!I56,IF(AK13=summaryref2!B70,summaryref2!I70,IF(AK13=summaryref2!B84,summaryref2!I84,IF(AK13=summaryref2!B98,summaryref2!I98,IF(AK13=summaryref2!B112,summaryref2!I112,IF(AK13=summaryref2!B126,summaryref2!I126,IF(AK13=summaryref2!B140,summaryref2!I140,"")))))))))))</f>
        <v/>
      </c>
      <c r="AT13" s="1110" t="str">
        <f>IF('A-80 DirEntInv'!AT12&lt;&gt;"",'A-80 DirEntInv'!AT12,IF(AK13=summaryref2!B14,summaryref2!J14,IF(Summary!AK13=summaryref2!B28,summaryref2!J28,IF(AK13=summaryref2!B42,summaryref2!J42,IF(AK13=summaryref2!B56,summaryref2!J56,IF(AK13=summaryref2!B70,summaryref2!J70,IF(AK13=summaryref2!B84,summaryref2!J84,IF(AK13=summaryref2!B98,summaryref2!J98,IF(AK13=summaryref2!B112,summaryref2!J112,IF(AK13=summaryref2!B126,summaryref2!J126,IF(AK13=summaryref2!B140,summaryref2!J140,"")))))))))))</f>
        <v/>
      </c>
      <c r="AU13" s="1110" t="str">
        <f>IF('A-80 DirEntInv'!AU12&lt;&gt;"",'A-80 DirEntInv'!AU12,IF(AK13=summaryref2!B14,summaryref2!K14,IF(Summary!AK13=summaryref2!B28,summaryref2!K28,IF(AK13=summaryref2!B42,summaryref2!K42,IF(AK13=summaryref2!B56,summaryref2!K56,IF(AK13=summaryref2!B70,summaryref2!K70,IF(AK13=summaryref2!B84,summaryref2!K84,IF(AK13=summaryref2!B98,summaryref2!K98,IF(AK13=summaryref2!B112,summaryref2!K112,IF(AK13=summaryref2!B126,summaryref2!K126,IF(AK13=summaryref2!B140,summaryref2!K140,"")))))))))))</f>
        <v/>
      </c>
      <c r="AV13" s="1110" t="str">
        <f>IF('A-80 DirEntInv'!AV12&lt;&gt;"",'A-80 DirEntInv'!AV12,IF(AK13=summaryref2!B14,summaryref2!L14,IF(Summary!AK13=summaryref2!B28,summaryref2!L28,IF(AK13=summaryref2!B42,summaryref2!L42,IF(AK13=summaryref2!B56,summaryref2!L56,IF(AK13=summaryref2!B70,summaryref2!L70,IF(AK13=summaryref2!B84,summaryref2!L84,IF(AK13=summaryref2!B98,summaryref2!L98,IF(AK13=summaryref2!B112,summaryref2!L112,IF(AK13=summaryref2!B126,summaryref2!L126,IF(AK13=summaryref2!B140,summaryref2!L140,"")))))))))))</f>
        <v/>
      </c>
      <c r="AW13" s="1110" t="str">
        <f>IF('A-80 DirEntInv'!AW12&lt;&gt;"",'A-80 DirEntInv'!AW12,IF(AK13=summaryref2!B14,summaryref2!M14,IF(Summary!AK13=summaryref2!B28,summaryref2!M28,IF(AK13=summaryref2!B42,summaryref2!M42,IF(AK13=summaryref2!B56,summaryref2!M56,IF(AK13=summaryref2!B70,summaryref2!M70,IF(AK13=summaryref2!B84,summaryref2!M84,IF(AK13=summaryref2!B98,summaryref2!M98,IF(AK13=summaryref2!B112,summaryref2!M112,IF(AK13=summaryref2!B126,summaryref2!M126,IF(AK13=summaryref2!B140,summaryref2!M140,"")))))))))))</f>
        <v/>
      </c>
      <c r="AX13" s="1110" t="str">
        <f>IF('A-80 DirEntInv'!AX12&lt;&gt;"",'A-80 DirEntInv'!AX12,IF(AK13=summaryref2!B14,summaryref2!N14,IF(Summary!AK13=summaryref2!B28,summaryref2!N28,IF(AK13=summaryref2!B42,summaryref2!N42,IF(AK13=summaryref2!B56,summaryref2!N56,IF(AK13=summaryref2!B70,summaryref2!N70,IF(AK13=summaryref2!B84,summaryref2!N84,IF(AK13=summaryref2!B98,summaryref2!N98,IF(AK13=summaryref2!B112,summaryref2!N112,IF(AK13=summaryref2!B126,summaryref2!N126,IF(AK13=summaryref2!B140,summaryref2!N140,"")))))))))))</f>
        <v/>
      </c>
      <c r="AY13" s="1110" t="str">
        <f>IF('A-80 DirEntInv'!AY12&lt;&gt;"",'A-80 DirEntInv'!AY12,IF(AK13=summaryref2!B14,summaryref2!O14,IF(Summary!AK13=summaryref2!B28,summaryref2!O28,IF(AK13=summaryref2!B42,summaryref2!O42,IF(AK13=summaryref2!B56,summaryref2!O56,IF(AK13=summaryref2!B70,summaryref2!O70,IF(AK13=summaryref2!B84,summaryref2!O84,IF(AK13=summaryref2!B98,summaryref2!O98,IF(AK13=summaryref2!B112,summaryref2!O112,IF(AK13=summaryref2!B126,summaryref2!O126,IF(AK13=summaryref2!B140,summaryref2!O140,"")))))))))))</f>
        <v/>
      </c>
      <c r="AZ13" s="1110" t="str">
        <f>IF('A-80 DirEntInv'!AZ12&lt;&gt;"",'A-80 DirEntInv'!AZ12,IF(AK13=summaryref2!B14,summaryref2!P14,IF(Summary!AK13=summaryref2!B28,summaryref2!P28,IF(AK13=summaryref2!B42,summaryref2!P42,IF(AK13=summaryref2!B56,summaryref2!P56,IF(AK13=summaryref2!B70,summaryref2!P70,IF(AK13=summaryref2!B84,summaryref2!P84,IF(AK13=summaryref2!B98,summaryref2!P98,IF(AK13=summaryref2!B112,summaryref2!P112,IF(AK13=summaryref2!B126,summaryref2!P126,IF(AK13=summaryref2!B140,summaryref2!P140,"")))))))))))</f>
        <v/>
      </c>
      <c r="BA13" s="1110" t="str">
        <f>IF('A-80 DirEntInv'!BA12&lt;&gt;"",'A-80 DirEntInv'!BA12,IF(AK13=summaryref2!B14,summaryref2!Q14,IF(Summary!AK13=summaryref2!B28,summaryref2!Q28,IF(AK13=summaryref2!B42,summaryref2!Q42,IF(AK13=summaryref2!B56,summaryref2!Q56,IF(AK13=summaryref2!B70,summaryref2!Q70,IF(AK13=summaryref2!B84,summaryref2!Q84,IF(AK13=summaryref2!B98,summaryref2!Q98,IF(AK13=summaryref2!B112,summaryref2!Q112,IF(AK13=summaryref2!B126,summaryref2!Q126,IF(AK13=summaryref2!B140,summaryref2!Q140,"")))))))))))</f>
        <v/>
      </c>
      <c r="BB13" s="1110" t="str">
        <f>IF('A-80 DirEntInv'!BB12&lt;&gt;"",'A-80 DirEntInv'!BB12,IF(AK13=summaryref2!B14,summaryref2!R14,IF(Summary!AK13=summaryref2!B28,summaryref2!R28,IF(AK13=summaryref2!B42,summaryref2!R42,IF(AK13=summaryref2!B56,summaryref2!R56,IF(AK13=summaryref2!B70,summaryref2!R70,IF(AK13=summaryref2!B84,summaryref2!R84,IF(AK13=summaryref2!B98,summaryref2!R98,IF(AK13=summaryref2!B112,summaryref2!R112,IF(AK13=summaryref2!B126,summaryref2!R126,IF(AK13=summaryref2!B140,summaryref2!R140,"")))))))))))</f>
        <v/>
      </c>
      <c r="BC13" s="1110" t="str">
        <f>IF('A-80 DirEntInv'!BC12&lt;&gt;0,'A-80 DirEntInv'!BC12,IF(AK13=summaryref2!B14,summaryref2!S14,IF(Summary!AK13=summaryref2!B28,summaryref2!S28,IF(AK13=summaryref2!B42,summaryref2!S42,IF(AK13=summaryref2!B56,summaryref2!S56,IF(AK13=summaryref2!B70,summaryref2!S70,IF(AK13=summaryref2!B84,summaryref2!S84,IF(AK13=summaryref2!B98,summaryref2!S98,IF(AK13=summaryref2!B112,summaryref2!S112,IF(AK13=summaryref2!B126,summaryref2!S126,IF(AK13=summaryref2!B140,summaryref2!S140,"")))))))))))</f>
        <v/>
      </c>
      <c r="BD13" s="1111" t="str">
        <f>IF('A-80 DirEntInv'!BD12&lt;&gt;"",'A-80 DirEntInv'!BD12,IF(AK13=summaryref2!B14,summaryref2!T14,IF(Summary!AK13=summaryref2!B28,summaryref2!T28,IF(AK13=summaryref2!B42,summaryref2!T42,IF(AK13=summaryref2!B56,summaryref2!T56,IF(AK13=summaryref2!B70,summaryref2!T70,IF(AK13=summaryref2!B84,summaryref2!T84,IF(AK13=summaryref2!B98,summaryref2!T98,IF(AK13=summaryref2!B112,summaryref2!T112,IF(AK13=summaryref2!B126,summaryref2!T126,IF(AK13=summaryref2!B140,summaryref2!T140,"")))))))))))</f>
        <v/>
      </c>
      <c r="BE13" s="1184" t="str">
        <f>IF('A-80 DirEntInv'!BE12&lt;&gt;"",'A-80 DirEntInv'!BE12,IF(AK13=summaryref2!B14,summaryref2!U14,IF(Summary!AK13=summaryref2!B28,summaryref2!U28,IF(AK13=summaryref2!B42,summaryref2!U42,IF(AK13=summaryref2!B56,summaryref2!U56,IF(AK13=summaryref2!B70,summaryref2!U70,IF(AK13=summaryref2!B84,summaryref2!U84,IF(AK13=summaryref2!B98,summaryref2!U98,IF(AK13=summaryref2!B112,summaryref2!U112,IF(AK13=summaryref2!B126,summaryref2!U126,IF(AK13=summaryref2!B140,summaryref2!U140,"")))))))))))</f>
        <v/>
      </c>
      <c r="BF13" s="1432"/>
      <c r="BG13" s="1432"/>
      <c r="BJ13" s="1045" t="str">
        <f>Codes!$C$156</f>
        <v>AG - Automated Guideway (DO)</v>
      </c>
      <c r="BK13" s="1046" t="str">
        <f>Valid!$B$82</f>
        <v>Double Diamond Crossover</v>
      </c>
      <c r="BL13" s="1368" t="str">
        <f>IF('A-80 DirEntInv'!BL12&lt;&gt;"",'A-80 DirEntInv'!BL12,IF(BJ13=summaryref2!X14,summaryref2!Z14,IF(BJ13=summaryref2!X21,summaryref2!Z21,IF(BJ13=summaryref2!X28,summaryref2!Z28,IF(BJ13=summaryref2!X35,summaryref2!Z35,IF(BJ13=summaryref2!X42,summaryref2!Z42,IF(BJ13=summaryref2!X49,summaryref2!Z49,IF(BJ13=summaryref2!X56,summaryref2!Z56,IF(BJ13=summaryref2!X63,summaryref2!Z63,IF(BJ13=summaryref2!X70,summaryref2!Z70,IF(BJ13=summaryref2!X77,summaryref2!Z77,"")))))))))))</f>
        <v/>
      </c>
      <c r="BM13" s="1046" t="str">
        <f>VLOOKUP(BK13,Valid!$B$80:$C$86,2,FALSE)</f>
        <v>Each</v>
      </c>
      <c r="BN13" s="1325" t="str">
        <f>IF('A-80 DirEntInv'!BN12&lt;&gt;"",'A-80 DirEntInv'!BN12,IF(BJ13=summaryref2!X14,summaryref2!AB14,IF(BJ13=summaryref2!X21,summaryref2!AB21,IF(BJ13=summaryref2!X28,summaryref2!AB28,IF(BJ13=summaryref2!X35,summaryref2!AB35,IF(BJ13=summaryref2!X42,summaryref2!AB42,IF(BJ13=summaryref2!X49,summaryref2!AB49,IF(BJ13=summaryref2!X56,summaryref2!AB56,IF(BJ13=summaryref2!X63,summaryref2!AB63,IF(BJ13=summaryref2!X70,summaryref2!AB70,IF(BJ13=summaryref2!X77,summaryref2!AB77,"")))))))))))</f>
        <v/>
      </c>
      <c r="BO13" s="1327" t="str">
        <f>IF('A-80 DirEntInv'!BO12&lt;&gt;"",'A-80 DirEntInv'!BO12,IF(BJ13=summaryref2!X14,summaryref2!AC14,IF(BJ13=summaryref2!X21,summaryref2!AC21,IF(BJ13=summaryref2!X28,summaryref2!AC28,IF(BJ13=summaryref2!X35,summaryref2!AC35,IF(BJ13=summaryref2!X42,summaryref2!AC42,IF(BJ13=summaryref2!X49,summaryref2!AC49,IF(BJ13=summaryref2!X56,summaryref2!AC56,IF(BJ13=summaryref2!X63,summaryref2!AC63,IF(BJ13=summaryref2!X70,summaryref2!AC70,IF(BJ13=summaryref2!X77,summaryref2!AC77,"")))))))))))</f>
        <v/>
      </c>
      <c r="BP13" s="1322" t="str">
        <f>IF('A-80 DirEntInv'!BP12&lt;&gt;"",'A-80 DirEntInv'!BP12,IF(BJ13=summaryref2!X14,summaryref2!AD14,IF(BJ13=summaryref2!X21,summaryref2!AD21,IF(BJ13=summaryref2!X28,summaryref2!AD28,IF(BJ13=summaryref2!X35,summaryref2!AD35,IF(BJ13=summaryref2!X42,summaryref2!AD42,IF(BJ13=summaryref2!X49,summaryref2!AD49,IF(BJ13=summaryref2!X56,summaryref2!AD56,IF(BJ13=summaryref2!X63,summaryref2!AD63,IF(BJ13=summaryref2!X70,summaryref2!AD70,IF(BJ13=summaryref2!X77,summaryref2!AD77,"")))))))))))</f>
        <v/>
      </c>
      <c r="BS13" s="1472" t="str">
        <f ca="1">IF('A-80 DirEntInv'!BU12&lt;&gt;"",'A-80 DirEntInv'!BU12,IF(INDIRECT(ADDRESS(SumRef!DK19,SumRef!DK$16,,,SumRef!$E$6))="","",INDIRECT(ADDRESS(SumRef!DK19,SumRef!DK$16,,,SumRef!$E$6))))</f>
        <v/>
      </c>
      <c r="BT13" s="1458" t="str">
        <f ca="1">IF('A-80 DirEntInv'!BV12&lt;&gt;"",'A-80 DirEntInv'!BV12,IF(INDIRECT(ADDRESS(SumRef!DL19,SumRef!DL$16,,,SumRef!$E$6))="","",INDIRECT(ADDRESS(SumRef!DL19,SumRef!DL$16,,,SumRef!$E$6))))</f>
        <v/>
      </c>
      <c r="BU13" s="1177" t="str">
        <f ca="1">IF('A-80 DirEntInv'!BW12&lt;&gt;"",'A-80 DirEntInv'!BW12,IF(INDIRECT(ADDRESS(SumRef!DM19,SumRef!DM$16,,,SumRef!$E$6))="","",INDIRECT(ADDRESS(SumRef!DM19,SumRef!DM$16,,,SumRef!$E$6))))</f>
        <v/>
      </c>
      <c r="BV13" s="1460" t="str">
        <f ca="1">IF('A-80 DirEntInv'!BX12&lt;&gt;"",'A-80 DirEntInv'!BX12,IF(INDIRECT(ADDRESS(SumRef!DN19,SumRef!DN$16,,,SumRef!$E$6))="","",INDIRECT(ADDRESS(SumRef!DN19,SumRef!DN$16,,,SumRef!$E$6))))</f>
        <v/>
      </c>
      <c r="BW13" s="1460" t="str">
        <f ca="1">IF('A-80 DirEntInv'!BY12&lt;&gt;"",'A-80 DirEntInv'!BY12,IF(INDIRECT(ADDRESS(SumRef!DO19,SumRef!DO$16,,,SumRef!$E$6))="","",INDIRECT(ADDRESS(SumRef!DO19,SumRef!DO$16,,,SumRef!$E$6))))</f>
        <v/>
      </c>
      <c r="BX13" s="1116" t="str">
        <f ca="1">IF('A-80 DirEntInv'!BZ12&lt;&gt;"",'A-80 DirEntInv'!BZ12,IF(INDIRECT(ADDRESS(SumRef!DP19,SumRef!DP$16,,,SumRef!$E$6))="","",INDIRECT(ADDRESS(SumRef!DP19,SumRef!DP$16,,,SumRef!$E$6))))</f>
        <v/>
      </c>
      <c r="BY13" s="1461" t="str">
        <f ca="1">IF('A-80 DirEntInv'!CA12&lt;&gt;"",'A-80 DirEntInv'!CA12,IF(INDIRECT(ADDRESS(SumRef!DQ19,SumRef!DQ$16,,,SumRef!$E$6))="","",INDIRECT(ADDRESS(SumRef!DQ19,SumRef!DQ$16,,,SumRef!$E$6))))</f>
        <v/>
      </c>
      <c r="BZ13" s="1460" t="str">
        <f ca="1">IF('A-80 DirEntInv'!CB12&lt;&gt;"",'A-80 DirEntInv'!CB12,IF(INDIRECT(ADDRESS(SumRef!DR19,SumRef!DR$16,,,SumRef!$E$6))="","",INDIRECT(ADDRESS(SumRef!DR19,SumRef!DR$16,,,SumRef!$E$6))))</f>
        <v/>
      </c>
      <c r="CA13" s="1462" t="str">
        <f ca="1">IF('A-80 DirEntInv'!CC12&lt;&gt;"",'A-80 DirEntInv'!CC12,IF(INDIRECT(ADDRESS(SumRef!DS19,SumRef!DS$16,,,SumRef!$E$6))="","",INDIRECT(ADDRESS(SumRef!DS19,SumRef!DS$16,,,SumRef!$E$6))))</f>
        <v/>
      </c>
      <c r="CD13" s="1160" t="str">
        <f ca="1">IF('A-80 DirEntInv'!CF12&lt;&gt;"",'A-80 DirEntInv'!CF12,IF(INDIRECT(ADDRESS(SumRef!DV19,SumRef!DV$16,,,SumRef!$E$7))="","",INDIRECT(ADDRESS(SumRef!DV19,SumRef!DV$16,,,SumRef!$E$7))))</f>
        <v/>
      </c>
      <c r="CE13" s="1167" t="str">
        <f ca="1">IF('A-80 DirEntInv'!CG12&lt;&gt;"",'A-80 DirEntInv'!CG12,IF(INDIRECT(ADDRESS(SumRef!DW19,SumRef!DW$16,,,SumRef!$E$7))="","",INDIRECT(ADDRESS(SumRef!DW19,SumRef!DW$16,,,SumRef!$E$7))))</f>
        <v/>
      </c>
      <c r="CF13" s="1167" t="str">
        <f ca="1">IF('A-80 DirEntInv'!CH12&lt;&gt;"",'A-80 DirEntInv'!CH12,IF(INDIRECT(ADDRESS(SumRef!DX19,SumRef!DX$16,,,SumRef!$E$7))="","",INDIRECT(ADDRESS(SumRef!DX19,SumRef!DX$16,,,SumRef!$E$7))))</f>
        <v/>
      </c>
      <c r="CG13" s="1167" t="str">
        <f ca="1">IF('A-80 DirEntInv'!CI12&lt;&gt;"",'A-80 DirEntInv'!CI12,IF(INDIRECT(ADDRESS(SumRef!DY19,SumRef!DY$16,,,SumRef!$E$7))="","",INDIRECT(ADDRESS(SumRef!DY19,SumRef!DY$16,,,SumRef!$E$7))))</f>
        <v/>
      </c>
      <c r="CH13" s="1167" t="str">
        <f ca="1">IF('A-80 DirEntInv'!CJ12&lt;&gt;"",'A-80 DirEntInv'!CJ12,IF(INDIRECT(ADDRESS(SumRef!DZ19,SumRef!DZ$16,,,SumRef!$E$7))="","",INDIRECT(ADDRESS(SumRef!DZ19,SumRef!DZ$16,,,SumRef!$E$7))))</f>
        <v/>
      </c>
      <c r="CI13" s="1167" t="str">
        <f ca="1">IF('A-80 DirEntInv'!CK12&lt;&gt;"",'A-80 DirEntInv'!CK12,IF(INDIRECT(ADDRESS(SumRef!EA19,SumRef!EA$16,,,SumRef!$E$7))="","",INDIRECT(ADDRESS(SumRef!EA19,SumRef!EA$16,,,SumRef!$E$7))))</f>
        <v/>
      </c>
      <c r="CJ13" s="1114" t="str">
        <f ca="1">IF('A-80 DirEntInv'!CL12&lt;&gt;"",'A-80 DirEntInv'!CL12,IF(INDIRECT(ADDRESS(SumRef!EB19,SumRef!EB$16,,,SumRef!$E$7))="","",INDIRECT(ADDRESS(SumRef!EB19,SumRef!EB$16,,,SumRef!$E$7))))</f>
        <v/>
      </c>
      <c r="CK13" s="1114" t="str">
        <f ca="1">IF('A-80 DirEntInv'!CM12&lt;&gt;"",'A-80 DirEntInv'!CM12,IF(INDIRECT(ADDRESS(SumRef!EC19,SumRef!EC$16,,,SumRef!$E$7))="","",INDIRECT(ADDRESS(SumRef!EC19,SumRef!EC$16,,,SumRef!$E$7))))</f>
        <v/>
      </c>
      <c r="CL13" s="1113" t="str">
        <f ca="1">IF('A-80 DirEntInv'!CO12&lt;&gt;"",'A-80 DirEntInv'!CO12,IF(INDIRECT(ADDRESS(SumRef!ED19,SumRef!ED$16,,,SumRef!$E$7))="","",INDIRECT(ADDRESS(SumRef!ED19,SumRef!ED$16,,,SumRef!$E$7))))</f>
        <v/>
      </c>
      <c r="CM13" s="1114" t="str">
        <f ca="1">IF('A-80 DirEntInv'!CP12&lt;&gt;"",'A-80 DirEntInv'!CP12,IF(INDIRECT(ADDRESS(SumRef!EE19,SumRef!EE$16,,,SumRef!$E$7))="","",INDIRECT(ADDRESS(SumRef!EE19,SumRef!EE$16,,,SumRef!$E$7))))</f>
        <v/>
      </c>
      <c r="CN13" s="1114" t="str">
        <f ca="1">IF('A-80 DirEntInv'!CQ12&lt;&gt;"",'A-80 DirEntInv'!CQ12,IF(INDIRECT(ADDRESS(SumRef!EF19,SumRef!EF$16,,,SumRef!$E$7))="","",INDIRECT(ADDRESS(SumRef!EF19,SumRef!EF$16,,,SumRef!$E$7))))</f>
        <v/>
      </c>
      <c r="CO13" s="1113" t="str">
        <f ca="1">IF('A-80 DirEntInv'!CR12&lt;&gt;"",'A-80 DirEntInv'!CR12,IF(INDIRECT(ADDRESS(SumRef!EG19,SumRef!EG$16,,,SumRef!$E$7))="","",INDIRECT(ADDRESS(SumRef!EG19,SumRef!EG$16,,,SumRef!$E$7))))</f>
        <v/>
      </c>
      <c r="CP13" s="1114" t="str">
        <f ca="1">IF('A-80 DirEntInv'!CS12&lt;&gt;"",'A-80 DirEntInv'!CS12,IF(INDIRECT(ADDRESS(SumRef!EH19,SumRef!EH$16,,,SumRef!$E$7))="","",INDIRECT(ADDRESS(SumRef!EH19,SumRef!EH$16,,,SumRef!$E$7))))</f>
        <v/>
      </c>
      <c r="CQ13" s="1346" t="str">
        <f ca="1">IF('A-80 DirEntInv'!CT12&lt;&gt;"",'A-80 DirEntInv'!CT12,IF(INDIRECT(ADDRESS(SumRef!EI19,SumRef!EI$16,,,SumRef!$E$7))="","",INDIRECT(ADDRESS(SumRef!EI19,SumRef!EI$16,,,SumRef!$E$7))))</f>
        <v/>
      </c>
      <c r="CR13" s="1113" t="str">
        <f ca="1">IF('A-80 DirEntInv'!CU12&lt;&gt;"",'A-80 DirEntInv'!CU12,IF(INDIRECT(ADDRESS(SumRef!EJ19,SumRef!EJ$16,,,SumRef!$E$7))="","",INDIRECT(ADDRESS(SumRef!EJ19,SumRef!EJ$16,,,SumRef!$E$7))))</f>
        <v/>
      </c>
      <c r="CS13" s="1346" t="str">
        <f ca="1">IF('A-80 DirEntInv'!CV12&lt;&gt;"",'A-80 DirEntInv'!CV12,IF(INDIRECT(ADDRESS(SumRef!EM19,SumRef!EM$16,,,SumRef!$E$7))="","",INDIRECT(ADDRESS(SumRef!EM19,SumRef!EM$16,,,SumRef!$E$7))))</f>
        <v/>
      </c>
      <c r="CT13" s="1113" t="str">
        <f ca="1">IF('A-80 DirEntInv'!CW12&lt;&gt;"",'A-80 DirEntInv'!CW12,IF(INDIRECT(ADDRESS(SumRef!EN19,SumRef!EN$16,,,SumRef!$E$7))="","",INDIRECT(ADDRESS(SumRef!EN19,SumRef!EN$16,,,SumRef!$E$7))))</f>
        <v/>
      </c>
      <c r="CU13" s="1113" t="str">
        <f ca="1">IF('A-80 DirEntInv'!CX12&lt;&gt;"",'A-80 DirEntInv'!CX12,IF(INDIRECT(ADDRESS(SumRef!EO19,SumRef!EO$16,,,SumRef!$E$7))="","",INDIRECT(ADDRESS(SumRef!EO19,SumRef!EO$16,,,SumRef!$E$7))))</f>
        <v/>
      </c>
      <c r="CV13" s="1113" t="str">
        <f ca="1">IF('A-80 DirEntInv'!CY12&lt;&gt;"",'A-80 DirEntInv'!CY12,IF(INDIRECT(ADDRESS(SumRef!EP19,SumRef!EP$16,,,SumRef!$E$7))="","",INDIRECT(ADDRESS(SumRef!EP19,SumRef!EP$16,,,SumRef!$E$7))))</f>
        <v/>
      </c>
      <c r="CW13" s="1114" t="str">
        <f ca="1">IF('A-80 DirEntInv'!CZ12&lt;&gt;"",'A-80 DirEntInv'!CZ12,IF(INDIRECT(ADDRESS(SumRef!ES19,SumRef!ES$16,,,SumRef!$E$7))="","",INDIRECT(ADDRESS(SumRef!ES19,SumRef!ES$16,,,SumRef!$E$7))))</f>
        <v/>
      </c>
      <c r="CX13" s="1167" t="str">
        <f ca="1">IF('A-80 DirEntInv'!DA12&lt;&gt;"",'A-80 DirEntInv'!DA12,IF(INDIRECT(ADDRESS(SumRef!ET19,SumRef!ET$16,,,SumRef!$E$7))="","",INDIRECT(ADDRESS(SumRef!ET19,SumRef!ET$16,,,SumRef!$E$7))))</f>
        <v/>
      </c>
      <c r="CY13" s="1167" t="str">
        <f ca="1">IF('A-80 DirEntInv'!DB12&lt;&gt;"",'A-80 DirEntInv'!DB12,IF(INDIRECT(ADDRESS(SumRef!EU19,SumRef!EU$16,,,SumRef!$E$7))="","",INDIRECT(ADDRESS(SumRef!EU19,SumRef!EU$16,,,SumRef!$E$7))))</f>
        <v/>
      </c>
      <c r="CZ13" s="1167" t="b">
        <f ca="1">IF('A-80 DirEntInv'!DC12&lt;&gt;"",'A-80 DirEntInv'!DC12,IF(INDIRECT(ADDRESS(SumRef!EV19,SumRef!EV$16,,,SumRef!$E$7))="","",INDIRECT(ADDRESS(SumRef!EV19,SumRef!EV$16,,,SumRef!$E$7))))</f>
        <v>0</v>
      </c>
      <c r="DA13" s="1373" t="str">
        <f ca="1">IF('A-80 DirEntInv'!DD12&lt;&gt;"",'A-80 DirEntInv'!DD12,IF(INDIRECT(ADDRESS(SumRef!EW19,SumRef!EW$16,,,SumRef!$E$7))="","",INDIRECT(ADDRESS(SumRef!EW19,SumRef!EW$16,,,SumRef!$E$7))))</f>
        <v/>
      </c>
      <c r="DB13" s="1373" t="b">
        <f ca="1">IF('A-80 DirEntInv'!DE12&lt;&gt;"",'A-80 DirEntInv'!DE12,IF(INDIRECT(ADDRESS(SumRef!EX19,SumRef!EX$16,,,SumRef!$E$7))="","",INDIRECT(ADDRESS(SumRef!EX19,SumRef!EX$16,,,SumRef!$E$7))))</f>
        <v>0</v>
      </c>
      <c r="DC13" s="1114" t="b">
        <f ca="1">IF('A-80 DirEntInv'!DF12&lt;&gt;"",'A-80 DirEntInv'!DF12,IF(INDIRECT(ADDRESS(SumRef!EY19,SumRef!EY$16,,,SumRef!$E$7))="","",INDIRECT(ADDRESS(SumRef!EY19,SumRef!EY$16,,,SumRef!$E$7))))</f>
        <v>0</v>
      </c>
      <c r="DD13" s="1115" t="str">
        <f ca="1">IF('A-80 DirEntInv'!DG12&lt;&gt;"",'A-80 DirEntInv'!DG12,IF(INDIRECT(ADDRESS(SumRef!EZ19,SumRef!EZ$16,,,SumRef!$E$7))="","",INDIRECT(ADDRESS(SumRef!EZ19,SumRef!EZ$16,,,SumRef!$E$7))))</f>
        <v/>
      </c>
    </row>
    <row r="14" spans="1:109" s="588" customFormat="1" x14ac:dyDescent="0.2">
      <c r="A14" s="589">
        <f t="shared" si="0"/>
        <v>4</v>
      </c>
      <c r="B14" s="1155" t="str">
        <f ca="1">IF('A-80 DirEntInv'!B13&lt;&gt;"",'A-80 DirEntInv'!B13,IF(INDIRECT(ADDRESS(SumRef!AQ20,SumRef!AQ$16,,,SumRef!$B$7))="","",INDIRECT(ADDRESS(SumRef!AQ20,SumRef!AQ$16,,,SumRef!$B$7))))</f>
        <v/>
      </c>
      <c r="C14" s="1097" t="str">
        <f ca="1">IF('A-80 DirEntInv'!C13&lt;&gt;"",'A-80 DirEntInv'!C13,IF(INDIRECT(ADDRESS(SumRef!AR20,SumRef!AR$16,,,SumRef!$B$7))="","",INDIRECT(ADDRESS(SumRef!AR20,SumRef!AR$16,,,SumRef!$B$7))))</f>
        <v/>
      </c>
      <c r="D14" s="1097" t="str">
        <f ca="1">IF('A-80 DirEntInv'!D13&lt;&gt;"",'A-80 DirEntInv'!D13,IF(INDIRECT(ADDRESS(SumRef!AS20,SumRef!AS$16,,,SumRef!$B$7))="","",INDIRECT(ADDRESS(SumRef!AS20,SumRef!AS$16,,,SumRef!$B$7))))</f>
        <v/>
      </c>
      <c r="E14" s="1097" t="str">
        <f ca="1">IF('A-80 DirEntInv'!E13&lt;&gt;"",'A-80 DirEntInv'!E13,IF(INDIRECT(ADDRESS(SumRef!AT20,SumRef!AT$16,,,SumRef!$B$7))="","",INDIRECT(ADDRESS(SumRef!AT20,SumRef!AT$16,,,SumRef!$B$7))))</f>
        <v/>
      </c>
      <c r="F14" s="1097" t="str">
        <f ca="1">IF('A-80 DirEntInv'!F13&lt;&gt;"",'A-80 DirEntInv'!F13,IF(INDIRECT(ADDRESS(SumRef!AU20,SumRef!AU$16,,,SumRef!$B$7))="","",INDIRECT(ADDRESS(SumRef!AU20,SumRef!AU$16,,,SumRef!$B$7))))</f>
        <v/>
      </c>
      <c r="G14" s="1158" t="str">
        <f ca="1">IF('A-80 DirEntInv'!G13&lt;&gt;"",'A-80 DirEntInv'!G13,IF(INDIRECT(ADDRESS(SumRef!AV20,SumRef!AV$16,,,SumRef!$B$7))="","",INDIRECT(ADDRESS(SumRef!AV20,SumRef!AV$16,,,SumRef!$B$7))))</f>
        <v/>
      </c>
      <c r="H14" s="1097" t="str">
        <f ca="1">IF('A-80 DirEntInv'!H13&lt;&gt;"",'A-80 DirEntInv'!H13,IF(INDIRECT(ADDRESS(SumRef!AW20,SumRef!AW$16,,,SumRef!$B$7))="","",INDIRECT(ADDRESS(SumRef!AW20,SumRef!AW$16,,,SumRef!$B$7))))</f>
        <v/>
      </c>
      <c r="I14" s="1097" t="str">
        <f ca="1">IF('A-80 DirEntInv'!I13&lt;&gt;"",'A-80 DirEntInv'!I13,IF(INDIRECT(ADDRESS(SumRef!AX20,SumRef!AX$16,,,SumRef!$B$7))="","",INDIRECT(ADDRESS(SumRef!AX20,SumRef!AX$16,,,SumRef!$B$7))))</f>
        <v/>
      </c>
      <c r="J14" s="1098" t="str">
        <f ca="1">IF('A-80 DirEntInv'!J13&lt;&gt;"",'A-80 DirEntInv'!J13,IF(INDIRECT(ADDRESS(SumRef!AY20,SumRef!AY$16,,,SumRef!$B$7))="","",INDIRECT(ADDRESS(SumRef!AY20,SumRef!AY$16,,,SumRef!$B$7))))</f>
        <v/>
      </c>
      <c r="K14" s="1099" t="str">
        <f ca="1">IF('A-80 DirEntInv'!K13&lt;&gt;"",'A-80 DirEntInv'!K13,IF(INDIRECT(ADDRESS(SumRef!AZ20,SumRef!AZ$16,,,SumRef!$B$7))="","",INDIRECT(ADDRESS(SumRef!AZ20,SumRef!AZ$16,,,SumRef!$B$7))))</f>
        <v/>
      </c>
      <c r="L14" s="1100" t="str">
        <f ca="1">IF('A-80 DirEntInv'!L13&lt;&gt;"",'A-80 DirEntInv'!L13,IF(INDIRECT(ADDRESS(SumRef!BA20,SumRef!BA$16,,,SumRef!$B$7))="","",INDIRECT(ADDRESS(SumRef!BA20,SumRef!BA$16,,,SumRef!$B$7))))</f>
        <v/>
      </c>
      <c r="M14" s="1101" t="str">
        <f ca="1">IF('A-80 DirEntInv'!M13&lt;&gt;"",'A-80 DirEntInv'!M13,IF(INDIRECT(ADDRESS(SumRef!BB20,SumRef!BB$16,,,SumRef!$B$7))="","",INDIRECT(ADDRESS(SumRef!BB20,SumRef!BB$16,,,SumRef!$B$7))))</f>
        <v/>
      </c>
      <c r="N14" s="1098" t="str">
        <f ca="1">IF('A-80 DirEntInv'!N13&lt;&gt;"",'A-80 DirEntInv'!N13,IF(INDIRECT(ADDRESS(SumRef!BC20,SumRef!BC$16,,,SumRef!$B$7))="","",INDIRECT(ADDRESS(SumRef!BC20,SumRef!BC$16,,,SumRef!$B$7))))</f>
        <v/>
      </c>
      <c r="O14" s="1102" t="str">
        <f ca="1">IF('A-80 DirEntInv'!O13&lt;&gt;"",'A-80 DirEntInv'!O13,IF(INDIRECT(ADDRESS(SumRef!BD20,SumRef!BD$16,,,SumRef!$B$7))="","",INDIRECT(ADDRESS(SumRef!BD20,SumRef!BD$16,,,SumRef!$B$7))))</f>
        <v/>
      </c>
      <c r="Q14" s="589"/>
      <c r="R14" s="1103" t="str">
        <f ca="1">IF('A-80 DirEntInv'!R13&lt;&gt;"",'A-80 DirEntInv'!R13,IF(INDIRECT(ADDRESS(SumRef!BH20,SumRef!BH$16,,,SumRef!$B$8))="","",INDIRECT(ADDRESS(SumRef!BH20,SumRef!BH$16,,,SumRef!$B$8))))</f>
        <v/>
      </c>
      <c r="S14" s="1104" t="str">
        <f ca="1">IF('A-80 DirEntInv'!S13&lt;&gt;"",'A-80 DirEntInv'!S13,IF(INDIRECT(ADDRESS(SumRef!BI20,SumRef!BI$16,,,SumRef!$B$8))="","",INDIRECT(ADDRESS(SumRef!BI20,SumRef!BI$16,,,SumRef!$B$8))))</f>
        <v/>
      </c>
      <c r="T14" s="1104" t="str">
        <f ca="1">IF('A-80 DirEntInv'!T13&lt;&gt;"",'A-80 DirEntInv'!T13,IF(INDIRECT(ADDRESS(SumRef!BJ20,SumRef!BJ$16,,,SumRef!$B$8))="","",INDIRECT(ADDRESS(SumRef!BJ20,SumRef!BJ$16,,,SumRef!$B$8))))</f>
        <v/>
      </c>
      <c r="U14" s="1104" t="str">
        <f ca="1">IF('A-80 DirEntInv'!U13&lt;&gt;"",'A-80 DirEntInv'!U13,IF(INDIRECT(ADDRESS(SumRef!BK20,SumRef!BK$16,,,SumRef!$B$8))="","",INDIRECT(ADDRESS(SumRef!BK20,SumRef!BK$16,,,SumRef!$B$8))))</f>
        <v/>
      </c>
      <c r="V14" s="1104" t="str">
        <f ca="1">IF('A-80 DirEntInv'!V13&lt;&gt;"",'A-80 DirEntInv'!V13,IF(INDIRECT(ADDRESS(SumRef!BL20,SumRef!BL$16,,,SumRef!$B$8))="","",INDIRECT(ADDRESS(SumRef!BL20,SumRef!BL$16,,,SumRef!$B$8))))</f>
        <v/>
      </c>
      <c r="W14" s="1354" t="str">
        <f ca="1">IF('A-80 DirEntInv'!W13&lt;&gt;"",'A-80 DirEntInv'!W13,IF(INDIRECT(ADDRESS(SumRef!BM20,SumRef!BM$16,,,SumRef!$B$8))="","",INDIRECT(ADDRESS(SumRef!BM20,SumRef!BM$16,,,SumRef!$B$8))))</f>
        <v/>
      </c>
      <c r="X14" s="1203" t="str">
        <f ca="1">IF('A-80 DirEntInv'!X13&lt;&gt;"",'A-80 DirEntInv'!X13,IF(INDIRECT(ADDRESS(SumRef!BN20,SumRef!BN$16,,,SumRef!$B$8))="","",INDIRECT(ADDRESS(SumRef!BN20,SumRef!BN$16,,,SumRef!$B$8))))</f>
        <v/>
      </c>
      <c r="Y14" s="1203" t="str">
        <f ca="1">IF('A-80 DirEntInv'!Y13&lt;&gt;"",'A-80 DirEntInv'!Y13,IF(INDIRECT(ADDRESS(SumRef!BO20,SumRef!BO$16,,,SumRef!$B$8))="","",INDIRECT(ADDRESS(SumRef!BO20,SumRef!BO$16,,,SumRef!$B$8))))</f>
        <v/>
      </c>
      <c r="Z14" s="1104" t="str">
        <f ca="1">IF('A-80 DirEntInv'!Z13&lt;&gt;"",'A-80 DirEntInv'!Z13,IF(INDIRECT(ADDRESS(SumRef!BP20,SumRef!BP$16,,,SumRef!$B$8))="","",INDIRECT(ADDRESS(SumRef!BP20,SumRef!BP$16,,,SumRef!$B$8))))</f>
        <v/>
      </c>
      <c r="AA14" s="1104" t="str">
        <f ca="1">IF('A-80 DirEntInv'!AA13&lt;&gt;"",'A-80 DirEntInv'!AA13,IF(INDIRECT(ADDRESS(SumRef!BQ20,SumRef!BQ$16,,,SumRef!$B$8))="","",INDIRECT(ADDRESS(SumRef!BQ20,SumRef!BQ$16,,,SumRef!$B$8))))</f>
        <v/>
      </c>
      <c r="AB14" s="1106" t="str">
        <f ca="1">IF('A-80 DirEntInv'!AB13&lt;&gt;"",'A-80 DirEntInv'!AB13,IF(INDIRECT(ADDRESS(SumRef!BR20,SumRef!BR$16,,,SumRef!$B$8))="","",INDIRECT(ADDRESS(SumRef!BR20,SumRef!BR$16,,,SumRef!$B$8))))</f>
        <v/>
      </c>
      <c r="AC14" s="1107" t="str">
        <f ca="1">IF('A-80 DirEntInv'!AC13&lt;&gt;"",'A-80 DirEntInv'!AC13,IF(INDIRECT(ADDRESS(SumRef!BS20,SumRef!BS$16,,,SumRef!$B$8))="","",INDIRECT(ADDRESS(SumRef!BS20,SumRef!BS$16,,,SumRef!$B$8))))</f>
        <v/>
      </c>
      <c r="AD14" s="1349" t="str">
        <f ca="1">IF('A-80 DirEntInv'!AD13&lt;&gt;"",'A-80 DirEntInv'!AD13,IF(INDIRECT(ADDRESS(SumRef!BT20,SumRef!BT$16,,,SumRef!$B$8))="","",INDIRECT(ADDRESS(SumRef!BT20,SumRef!BT$16,,,SumRef!$B$8))))</f>
        <v/>
      </c>
      <c r="AE14" s="1137" t="str">
        <f ca="1">IF('A-80 DirEntInv'!AE13&lt;&gt;"",'A-80 DirEntInv'!AE13,IF(INDIRECT(ADDRESS(SumRef!BU20,SumRef!BU$16,,,SumRef!$B$8))="","",INDIRECT(ADDRESS(SumRef!BU20,SumRef!BU$16,,,SumRef!$B$8))))</f>
        <v/>
      </c>
      <c r="AF14" s="1346" t="str">
        <f ca="1">IF('A-80 DirEntInv'!AF13&lt;&gt;"",'A-80 DirEntInv'!AF13,IF(INDIRECT(ADDRESS(SumRef!BV20,SumRef!BV$16,,,SumRef!$B$8))="","",INDIRECT(ADDRESS(SumRef!BV20,SumRef!BV$16,,,SumRef!$B$8))))</f>
        <v/>
      </c>
      <c r="AG14" s="1105" t="str">
        <f ca="1">IF('A-80 DirEntInv'!AG13&lt;&gt;"",'A-80 DirEntInv'!AG13,IF(INDIRECT(ADDRESS(SumRef!BW20,SumRef!BW$16,,,SumRef!$B$8))="","",INDIRECT(ADDRESS(SumRef!BW20,SumRef!BW$16,,,SumRef!$B$8))))</f>
        <v/>
      </c>
      <c r="AH14" s="1357" t="str">
        <f ca="1">IF('A-80 DirEntInv'!AH13&lt;&gt;"",'A-80 DirEntInv'!AH13,IF(INDIRECT(ADDRESS(SumRef!BX20,SumRef!BX$16,,,SumRef!$B$8))="","",INDIRECT(ADDRESS(SumRef!BX20,SumRef!BX$16,,,SumRef!$B$8))))</f>
        <v/>
      </c>
      <c r="AK14" s="1041" t="str">
        <f>Codes!$C$156</f>
        <v>AG - Automated Guideway (DO)</v>
      </c>
      <c r="AL14" s="1042" t="str">
        <f>Valid!$B$74</f>
        <v>Elevated/Concrete</v>
      </c>
      <c r="AM14" s="1108" t="str">
        <f>IF('A-80 DirEntInv'!AM13&lt;&gt;"",'A-80 DirEntInv'!AM13,IF(AK14=summaryref2!B15,summaryref2!D15,IF(Summary!AK14=summaryref2!B29,summaryref2!D29,IF(AK14=summaryref2!B43,summaryref2!D43,IF(AK14=summaryref2!B57,summaryref2!D57,IF(AK14=summaryref2!B71,summaryref2!D71,IF(AK14=summaryref2!B85,summaryref2!D85,IF(AK14=summaryref2!B99,summaryref2!D99,IF(AK14=summaryref2!B113,summaryref2!D113,IF(AK14=summaryref2!B127,summaryref2!D127,IF(AK14=summaryref2!B141,summaryref2!D141,"")))))))))))</f>
        <v/>
      </c>
      <c r="AN14" s="1109" t="str">
        <f ca="1">IF('A-80 DirEntInv'!AN13&lt;&gt;"",'A-80 DirEntInv'!AN13,IF(INDIRECT(ADDRESS(SumRef!CG20,SumRef!CG$16,,,SumRef!$C$7))="","",INDIRECT(ADDRESS(SumRef!CG20,SumRef!CG$16,,,SumRef!$C$7))))</f>
        <v>Linear Feet</v>
      </c>
      <c r="AO14" s="1108" t="str">
        <f>IF('A-80 DirEntInv'!AO13&lt;&gt;"",'A-80 DirEntInv'!AO13,IF(AM14=summaryref2!D15,summaryref2!F15,IF(Summary!AM14=summaryref2!D29,summaryref2!F29,IF(AM14=summaryref2!D43,summaryref2!F43,IF(AM14=summaryref2!D57,summaryref2!F57,IF(AM14=summaryref2!D71,summaryref2!F71,IF(AM14=summaryref2!D85,summaryref2!F85,IF(AM14=summaryref2!D99,summaryref2!F99,IF(AM14=summaryref2!D113,summaryref2!F113,IF(AM14=summaryref2!D127,summaryref2!F127,IF(AM14=summaryref2!D141,summaryref2!F141,"")))))))))))</f>
        <v/>
      </c>
      <c r="AP14" s="1109" t="str">
        <f ca="1">IF('A-80 DirEntInv'!AP13&lt;&gt;"",'A-80 DirEntInv'!AP13,IF(INDIRECT(ADDRESS(SumRef!#REF!,SumRef!#REF!,,,SumRef!$C$7))="","",INDIRECT(ADDRESS(SumRef!#REF!,SumRef!#REF!,,,SumRef!$C$7))))</f>
        <v>Track Feet</v>
      </c>
      <c r="AQ14" s="1147" t="str">
        <f>IF('A-80 DirEntInv'!AQ13&lt;&gt;"",'A-80 DirEntInv'!AQ13,IF(AK14=summaryref2!B15,summaryref2!G15,IF(Summary!AK14=summaryref2!B29,summaryref2!G29,IF(AK14=summaryref2!B43,summaryref2!G43,IF(AK14=summaryref2!B57,summaryref2!G57,IF(AK14=summaryref2!B71,summaryref2!G71,IF(AK14=summaryref2!B85,summaryref2!G85,IF(AK14=summaryref2!B99,summaryref2!G99,IF(AK14=summaryref2!B113,summaryref2!G113,IF(AK14=summaryref2!B127,summaryref2!G127,IF(AK14=summaryref2!B141,summaryref2!G141,"")))))))))))</f>
        <v/>
      </c>
      <c r="AR14" s="1147" t="str">
        <f>IF('A-80 DirEntInv'!AR13&lt;&gt;"",'A-80 DirEntInv'!AR13,IF(AK14=summaryref2!B15,summaryref2!H15,IF(Summary!AK14=summaryref2!B29,summaryref2!H29,IF(AK14=summaryref2!B43,summaryref2!H43,IF(AK14=summaryref2!B57,summaryref2!H57,IF(AK14=summaryref2!B71,summaryref2!H71,IF(AK14=summaryref2!B85,summaryref2!H85,IF(AK14=summaryref2!B99,summaryref2!H99,IF(AK14=summaryref2!B113,summaryref2!H113,IF(AK14=summaryref2!B127,summaryref2!H127,IF(AK14=summaryref2!B141,summaryref2!H141,"")))))))))))</f>
        <v/>
      </c>
      <c r="AS14" s="1110" t="str">
        <f>IF('A-80 DirEntInv'!AS13&lt;&gt;"",'A-80 DirEntInv'!AS13,IF(AK14=summaryref2!B15,summaryref2!I15,IF(Summary!AK14=summaryref2!B29,summaryref2!I29,IF(AK14=summaryref2!B43,summaryref2!I43,IF(AK14=summaryref2!B57,summaryref2!I57,IF(AK14=summaryref2!B71,summaryref2!I71,IF(AK14=summaryref2!B85,summaryref2!I85,IF(AK14=summaryref2!B99,summaryref2!I99,IF(AK14=summaryref2!B113,summaryref2!I113,IF(AK14=summaryref2!B127,summaryref2!I127,IF(AK14=summaryref2!B141,summaryref2!I141,"")))))))))))</f>
        <v/>
      </c>
      <c r="AT14" s="1110" t="str">
        <f>IF('A-80 DirEntInv'!AT13&lt;&gt;"",'A-80 DirEntInv'!AT13,IF(AK14=summaryref2!B15,summaryref2!J15,IF(Summary!AK14=summaryref2!B29,summaryref2!J29,IF(AK14=summaryref2!B43,summaryref2!J43,IF(AK14=summaryref2!B57,summaryref2!J57,IF(AK14=summaryref2!B71,summaryref2!J71,IF(AK14=summaryref2!B85,summaryref2!J85,IF(AK14=summaryref2!B99,summaryref2!J99,IF(AK14=summaryref2!B113,summaryref2!J113,IF(AK14=summaryref2!B127,summaryref2!J127,IF(AK14=summaryref2!B141,summaryref2!J141,"")))))))))))</f>
        <v/>
      </c>
      <c r="AU14" s="1110" t="str">
        <f>IF('A-80 DirEntInv'!AU13&lt;&gt;"",'A-80 DirEntInv'!AU13,IF(AK14=summaryref2!B15,summaryref2!K15,IF(Summary!AK14=summaryref2!B29,summaryref2!K29,IF(AK14=summaryref2!B43,summaryref2!K43,IF(AK14=summaryref2!B57,summaryref2!K57,IF(AK14=summaryref2!B71,summaryref2!K71,IF(AK14=summaryref2!B85,summaryref2!K85,IF(AK14=summaryref2!B99,summaryref2!K99,IF(AK14=summaryref2!B113,summaryref2!K113,IF(AK14=summaryref2!B127,summaryref2!K127,IF(AK14=summaryref2!B141,summaryref2!K141,"")))))))))))</f>
        <v/>
      </c>
      <c r="AV14" s="1110" t="str">
        <f>IF('A-80 DirEntInv'!AV13&lt;&gt;"",'A-80 DirEntInv'!AV13,IF(AK14=summaryref2!B15,summaryref2!L15,IF(Summary!AK14=summaryref2!B29,summaryref2!L29,IF(AK14=summaryref2!B43,summaryref2!L43,IF(AK14=summaryref2!B57,summaryref2!L57,IF(AK14=summaryref2!B71,summaryref2!L71,IF(AK14=summaryref2!B85,summaryref2!L85,IF(AK14=summaryref2!B99,summaryref2!L99,IF(AK14=summaryref2!B113,summaryref2!L113,IF(AK14=summaryref2!B127,summaryref2!L127,IF(AK14=summaryref2!B141,summaryref2!L141,"")))))))))))</f>
        <v/>
      </c>
      <c r="AW14" s="1110" t="str">
        <f>IF('A-80 DirEntInv'!AW13&lt;&gt;"",'A-80 DirEntInv'!AW13,IF(AK14=summaryref2!B15,summaryref2!M15,IF(Summary!AK14=summaryref2!B29,summaryref2!M29,IF(AK14=summaryref2!B43,summaryref2!M43,IF(AK14=summaryref2!B57,summaryref2!M57,IF(AK14=summaryref2!B71,summaryref2!M71,IF(AK14=summaryref2!B85,summaryref2!M85,IF(AK14=summaryref2!B99,summaryref2!M99,IF(AK14=summaryref2!B113,summaryref2!M113,IF(AK14=summaryref2!B127,summaryref2!M127,IF(AK14=summaryref2!B141,summaryref2!M141,"")))))))))))</f>
        <v/>
      </c>
      <c r="AX14" s="1110" t="str">
        <f>IF('A-80 DirEntInv'!AX13&lt;&gt;"",'A-80 DirEntInv'!AX13,IF(AK14=summaryref2!B15,summaryref2!N15,IF(Summary!AK14=summaryref2!B29,summaryref2!N29,IF(AK14=summaryref2!B43,summaryref2!N43,IF(AK14=summaryref2!B57,summaryref2!N57,IF(AK14=summaryref2!B71,summaryref2!N71,IF(AK14=summaryref2!B85,summaryref2!N85,IF(AK14=summaryref2!B99,summaryref2!N99,IF(AK14=summaryref2!B113,summaryref2!N113,IF(AK14=summaryref2!B127,summaryref2!N127,IF(AK14=summaryref2!B141,summaryref2!N141,"")))))))))))</f>
        <v/>
      </c>
      <c r="AY14" s="1110" t="str">
        <f>IF('A-80 DirEntInv'!AY13&lt;&gt;"",'A-80 DirEntInv'!AY13,IF(AK14=summaryref2!B15,summaryref2!O15,IF(Summary!AK14=summaryref2!B29,summaryref2!O29,IF(AK14=summaryref2!B43,summaryref2!O43,IF(AK14=summaryref2!B57,summaryref2!O57,IF(AK14=summaryref2!B71,summaryref2!O71,IF(AK14=summaryref2!B85,summaryref2!O85,IF(AK14=summaryref2!B99,summaryref2!O99,IF(AK14=summaryref2!B113,summaryref2!O113,IF(AK14=summaryref2!B127,summaryref2!O127,IF(AK14=summaryref2!B141,summaryref2!O141,"")))))))))))</f>
        <v/>
      </c>
      <c r="AZ14" s="1110" t="str">
        <f>IF('A-80 DirEntInv'!AZ13&lt;&gt;"",'A-80 DirEntInv'!AZ13,IF(AK14=summaryref2!B15,summaryref2!P15,IF(Summary!AK14=summaryref2!B29,summaryref2!P29,IF(AK14=summaryref2!B43,summaryref2!P43,IF(AK14=summaryref2!B57,summaryref2!P57,IF(AK14=summaryref2!B71,summaryref2!P71,IF(AK14=summaryref2!B85,summaryref2!P85,IF(AK14=summaryref2!B99,summaryref2!P99,IF(AK14=summaryref2!B113,summaryref2!P113,IF(AK14=summaryref2!B127,summaryref2!P127,IF(AK14=summaryref2!B141,summaryref2!P141,"")))))))))))</f>
        <v/>
      </c>
      <c r="BA14" s="1110" t="str">
        <f>IF('A-80 DirEntInv'!BA13&lt;&gt;"",'A-80 DirEntInv'!BA13,IF(AK14=summaryref2!B15,summaryref2!Q15,IF(Summary!AK14=summaryref2!B29,summaryref2!Q29,IF(AK14=summaryref2!B43,summaryref2!Q43,IF(AK14=summaryref2!B57,summaryref2!Q57,IF(AK14=summaryref2!B71,summaryref2!Q71,IF(AK14=summaryref2!B85,summaryref2!Q85,IF(AK14=summaryref2!B99,summaryref2!Q99,IF(AK14=summaryref2!B113,summaryref2!Q113,IF(AK14=summaryref2!B127,summaryref2!Q127,IF(AK14=summaryref2!B141,summaryref2!Q141,"")))))))))))</f>
        <v/>
      </c>
      <c r="BB14" s="1110" t="str">
        <f>IF('A-80 DirEntInv'!BB13&lt;&gt;"",'A-80 DirEntInv'!BB13,IF(AK14=summaryref2!B15,summaryref2!R15,IF(Summary!AK14=summaryref2!B29,summaryref2!R29,IF(AK14=summaryref2!B43,summaryref2!R43,IF(AK14=summaryref2!B57,summaryref2!R57,IF(AK14=summaryref2!B71,summaryref2!R71,IF(AK14=summaryref2!B85,summaryref2!R85,IF(AK14=summaryref2!B99,summaryref2!R99,IF(AK14=summaryref2!B113,summaryref2!R113,IF(AK14=summaryref2!B127,summaryref2!R127,IF(AK14=summaryref2!B141,summaryref2!R141,"")))))))))))</f>
        <v/>
      </c>
      <c r="BC14" s="1110" t="str">
        <f>IF('A-80 DirEntInv'!BC13&lt;&gt;0,'A-80 DirEntInv'!BC13,IF(AK14=summaryref2!B15,summaryref2!S15,IF(Summary!AK14=summaryref2!B29,summaryref2!S29,IF(AK14=summaryref2!B43,summaryref2!S43,IF(AK14=summaryref2!B57,summaryref2!S57,IF(AK14=summaryref2!B71,summaryref2!S71,IF(AK14=summaryref2!B85,summaryref2!S85,IF(AK14=summaryref2!B99,summaryref2!S99,IF(AK14=summaryref2!B113,summaryref2!S113,IF(AK14=summaryref2!B127,summaryref2!S127,IF(AK14=summaryref2!B141,summaryref2!S141,"")))))))))))</f>
        <v/>
      </c>
      <c r="BD14" s="1111" t="str">
        <f>IF('A-80 DirEntInv'!BD13&lt;&gt;"",'A-80 DirEntInv'!BD13,IF(AK14=summaryref2!B15,summaryref2!T15,IF(Summary!AK14=summaryref2!B29,summaryref2!T29,IF(AK14=summaryref2!B43,summaryref2!T43,IF(AK14=summaryref2!B57,summaryref2!T57,IF(AK14=summaryref2!B71,summaryref2!T71,IF(AK14=summaryref2!B85,summaryref2!T85,IF(AK14=summaryref2!B99,summaryref2!T99,IF(AK14=summaryref2!B113,summaryref2!T113,IF(AK14=summaryref2!B127,summaryref2!T127,IF(AK14=summaryref2!B141,summaryref2!T141,"")))))))))))</f>
        <v/>
      </c>
      <c r="BE14" s="1184" t="str">
        <f>IF('A-80 DirEntInv'!BE13&lt;&gt;"",'A-80 DirEntInv'!BE13,IF(AK14=summaryref2!B15,summaryref2!U15,IF(Summary!AK14=summaryref2!B29,summaryref2!U29,IF(AK14=summaryref2!B43,summaryref2!U43,IF(AK14=summaryref2!B57,summaryref2!U57,IF(AK14=summaryref2!B71,summaryref2!U71,IF(AK14=summaryref2!B85,summaryref2!U85,IF(AK14=summaryref2!B99,summaryref2!U99,IF(AK14=summaryref2!B113,summaryref2!U113,IF(AK14=summaryref2!B127,summaryref2!U127,IF(AK14=summaryref2!B141,summaryref2!U141,"")))))))))))</f>
        <v/>
      </c>
      <c r="BF14" s="1432"/>
      <c r="BG14" s="1432"/>
      <c r="BJ14" s="1041" t="str">
        <f>Codes!$C$156</f>
        <v>AG - Automated Guideway (DO)</v>
      </c>
      <c r="BK14" s="1042" t="str">
        <f>Valid!$B$83</f>
        <v>Single Crossover</v>
      </c>
      <c r="BL14" s="1375" t="str">
        <f>IF('A-80 DirEntInv'!BL13&lt;&gt;"",'A-80 DirEntInv'!BL13,IF(BJ14=summaryref2!X15,summaryref2!Z15,IF(BJ14=summaryref2!X22,summaryref2!Z22,IF(BJ14=summaryref2!X29,summaryref2!Z29,IF(BJ14=summaryref2!X36,summaryref2!Z36,IF(BJ14=summaryref2!X43,summaryref2!Z43,IF(BJ14=summaryref2!X50,summaryref2!Z50,IF(BJ14=summaryref2!X57,summaryref2!Z57,IF(BJ14=summaryref2!X64,summaryref2!Z64,IF(BJ14=summaryref2!X71,summaryref2!Z71,IF(BJ14=summaryref2!X78,summaryref2!Z78,"")))))))))))</f>
        <v/>
      </c>
      <c r="BM14" s="1042" t="str">
        <f>VLOOKUP(BK14,Valid!$B$80:$C$86,2,FALSE)</f>
        <v>Each</v>
      </c>
      <c r="BN14" s="1209" t="str">
        <f>IF('A-80 DirEntInv'!BN13&lt;&gt;"",'A-80 DirEntInv'!BN13,IF(BJ14=summaryref2!X15,summaryref2!AB15,IF(BJ14=summaryref2!X22,summaryref2!AB22,IF(BJ14=summaryref2!X29,summaryref2!AB29,IF(BJ14=summaryref2!X36,summaryref2!AB36,IF(BJ14=summaryref2!X43,summaryref2!AB43,IF(BJ14=summaryref2!X50,summaryref2!AB50,IF(BJ14=summaryref2!X57,summaryref2!AB57,IF(BJ14=summaryref2!X64,summaryref2!AB64,IF(BJ14=summaryref2!X71,summaryref2!AB71,IF(BJ14=summaryref2!X78,summaryref2!AB78,"")))))))))))</f>
        <v/>
      </c>
      <c r="BO14" s="1116" t="str">
        <f>IF('A-80 DirEntInv'!BO13&lt;&gt;"",'A-80 DirEntInv'!BO13,IF(BJ14=summaryref2!X15,summaryref2!AC15,IF(BJ14=summaryref2!X22,summaryref2!AC22,IF(BJ14=summaryref2!X29,summaryref2!AC29,IF(BJ14=summaryref2!X36,summaryref2!AC36,IF(BJ14=summaryref2!X43,summaryref2!AC43,IF(BJ14=summaryref2!X50,summaryref2!AC50,IF(BJ14=summaryref2!X57,summaryref2!AC57,IF(BJ14=summaryref2!X64,summaryref2!AC64,IF(BJ14=summaryref2!X71,summaryref2!AC71,IF(BJ14=summaryref2!X78,summaryref2!AC78,"")))))))))))</f>
        <v/>
      </c>
      <c r="BP14" s="1384" t="str">
        <f>IF('A-80 DirEntInv'!BP13&lt;&gt;"",'A-80 DirEntInv'!BP13,IF(BJ14=summaryref2!X15,summaryref2!AD15,IF(BJ14=summaryref2!X22,summaryref2!AD22,IF(BJ14=summaryref2!X29,summaryref2!AD29,IF(BJ14=summaryref2!X36,summaryref2!AD36,IF(BJ14=summaryref2!X43,summaryref2!AD43,IF(BJ14=summaryref2!X50,summaryref2!AD50,IF(BJ14=summaryref2!X57,summaryref2!AD57,IF(BJ14=summaryref2!X64,summaryref2!AD64,IF(BJ14=summaryref2!X71,summaryref2!AD71,IF(BJ14=summaryref2!X78,summaryref2!AD78,"")))))))))))</f>
        <v/>
      </c>
      <c r="BS14" s="1472" t="str">
        <f ca="1">IF('A-80 DirEntInv'!BU13&lt;&gt;"",'A-80 DirEntInv'!BU13,IF(INDIRECT(ADDRESS(SumRef!DK20,SumRef!DK$16,,,SumRef!$E$6))="","",INDIRECT(ADDRESS(SumRef!DK20,SumRef!DK$16,,,SumRef!$E$6))))</f>
        <v/>
      </c>
      <c r="BT14" s="1458" t="str">
        <f ca="1">IF('A-80 DirEntInv'!BV13&lt;&gt;"",'A-80 DirEntInv'!BV13,IF(INDIRECT(ADDRESS(SumRef!DL20,SumRef!DL$16,,,SumRef!$E$6))="","",INDIRECT(ADDRESS(SumRef!DL20,SumRef!DL$16,,,SumRef!$E$6))))</f>
        <v/>
      </c>
      <c r="BU14" s="1177" t="str">
        <f ca="1">IF('A-80 DirEntInv'!BW13&lt;&gt;"",'A-80 DirEntInv'!BW13,IF(INDIRECT(ADDRESS(SumRef!DM20,SumRef!DM$16,,,SumRef!$E$6))="","",INDIRECT(ADDRESS(SumRef!DM20,SumRef!DM$16,,,SumRef!$E$6))))</f>
        <v/>
      </c>
      <c r="BV14" s="1460" t="str">
        <f ca="1">IF('A-80 DirEntInv'!BX13&lt;&gt;"",'A-80 DirEntInv'!BX13,IF(INDIRECT(ADDRESS(SumRef!DN20,SumRef!DN$16,,,SumRef!$E$6))="","",INDIRECT(ADDRESS(SumRef!DN20,SumRef!DN$16,,,SumRef!$E$6))))</f>
        <v/>
      </c>
      <c r="BW14" s="1460" t="str">
        <f ca="1">IF('A-80 DirEntInv'!BY13&lt;&gt;"",'A-80 DirEntInv'!BY13,IF(INDIRECT(ADDRESS(SumRef!DO20,SumRef!DO$16,,,SumRef!$E$6))="","",INDIRECT(ADDRESS(SumRef!DO20,SumRef!DO$16,,,SumRef!$E$6))))</f>
        <v/>
      </c>
      <c r="BX14" s="1116" t="str">
        <f ca="1">IF('A-80 DirEntInv'!BZ13&lt;&gt;"",'A-80 DirEntInv'!BZ13,IF(INDIRECT(ADDRESS(SumRef!DP20,SumRef!DP$16,,,SumRef!$E$6))="","",INDIRECT(ADDRESS(SumRef!DP20,SumRef!DP$16,,,SumRef!$E$6))))</f>
        <v/>
      </c>
      <c r="BY14" s="1461" t="str">
        <f ca="1">IF('A-80 DirEntInv'!CA13&lt;&gt;"",'A-80 DirEntInv'!CA13,IF(INDIRECT(ADDRESS(SumRef!DQ20,SumRef!DQ$16,,,SumRef!$E$6))="","",INDIRECT(ADDRESS(SumRef!DQ20,SumRef!DQ$16,,,SumRef!$E$6))))</f>
        <v/>
      </c>
      <c r="BZ14" s="1460" t="str">
        <f ca="1">IF('A-80 DirEntInv'!CB13&lt;&gt;"",'A-80 DirEntInv'!CB13,IF(INDIRECT(ADDRESS(SumRef!DR20,SumRef!DR$16,,,SumRef!$E$6))="","",INDIRECT(ADDRESS(SumRef!DR20,SumRef!DR$16,,,SumRef!$E$6))))</f>
        <v/>
      </c>
      <c r="CA14" s="1462" t="str">
        <f ca="1">IF('A-80 DirEntInv'!CC13&lt;&gt;"",'A-80 DirEntInv'!CC13,IF(INDIRECT(ADDRESS(SumRef!DS20,SumRef!DS$16,,,SumRef!$E$6))="","",INDIRECT(ADDRESS(SumRef!DS20,SumRef!DS$16,,,SumRef!$E$6))))</f>
        <v/>
      </c>
      <c r="CD14" s="1160" t="str">
        <f ca="1">IF('A-80 DirEntInv'!CF13&lt;&gt;"",'A-80 DirEntInv'!CF13,IF(INDIRECT(ADDRESS(SumRef!DV20,SumRef!DV$16,,,SumRef!$E$7))="","",INDIRECT(ADDRESS(SumRef!DV20,SumRef!DV$16,,,SumRef!$E$7))))</f>
        <v/>
      </c>
      <c r="CE14" s="1167" t="str">
        <f ca="1">IF('A-80 DirEntInv'!CG13&lt;&gt;"",'A-80 DirEntInv'!CG13,IF(INDIRECT(ADDRESS(SumRef!DW20,SumRef!DW$16,,,SumRef!$E$7))="","",INDIRECT(ADDRESS(SumRef!DW20,SumRef!DW$16,,,SumRef!$E$7))))</f>
        <v/>
      </c>
      <c r="CF14" s="1167" t="str">
        <f ca="1">IF('A-80 DirEntInv'!CH13&lt;&gt;"",'A-80 DirEntInv'!CH13,IF(INDIRECT(ADDRESS(SumRef!DX20,SumRef!DX$16,,,SumRef!$E$7))="","",INDIRECT(ADDRESS(SumRef!DX20,SumRef!DX$16,,,SumRef!$E$7))))</f>
        <v/>
      </c>
      <c r="CG14" s="1167" t="str">
        <f ca="1">IF('A-80 DirEntInv'!CI13&lt;&gt;"",'A-80 DirEntInv'!CI13,IF(INDIRECT(ADDRESS(SumRef!DY20,SumRef!DY$16,,,SumRef!$E$7))="","",INDIRECT(ADDRESS(SumRef!DY20,SumRef!DY$16,,,SumRef!$E$7))))</f>
        <v/>
      </c>
      <c r="CH14" s="1167" t="str">
        <f ca="1">IF('A-80 DirEntInv'!CJ13&lt;&gt;"",'A-80 DirEntInv'!CJ13,IF(INDIRECT(ADDRESS(SumRef!DZ20,SumRef!DZ$16,,,SumRef!$E$7))="","",INDIRECT(ADDRESS(SumRef!DZ20,SumRef!DZ$16,,,SumRef!$E$7))))</f>
        <v/>
      </c>
      <c r="CI14" s="1167" t="str">
        <f ca="1">IF('A-80 DirEntInv'!CK13&lt;&gt;"",'A-80 DirEntInv'!CK13,IF(INDIRECT(ADDRESS(SumRef!EA20,SumRef!EA$16,,,SumRef!$E$7))="","",INDIRECT(ADDRESS(SumRef!EA20,SumRef!EA$16,,,SumRef!$E$7))))</f>
        <v/>
      </c>
      <c r="CJ14" s="1114" t="str">
        <f ca="1">IF('A-80 DirEntInv'!CL13&lt;&gt;"",'A-80 DirEntInv'!CL13,IF(INDIRECT(ADDRESS(SumRef!EB20,SumRef!EB$16,,,SumRef!$E$7))="","",INDIRECT(ADDRESS(SumRef!EB20,SumRef!EB$16,,,SumRef!$E$7))))</f>
        <v/>
      </c>
      <c r="CK14" s="1114" t="str">
        <f ca="1">IF('A-80 DirEntInv'!CM13&lt;&gt;"",'A-80 DirEntInv'!CM13,IF(INDIRECT(ADDRESS(SumRef!EC20,SumRef!EC$16,,,SumRef!$E$7))="","",INDIRECT(ADDRESS(SumRef!EC20,SumRef!EC$16,,,SumRef!$E$7))))</f>
        <v/>
      </c>
      <c r="CL14" s="1113" t="str">
        <f ca="1">IF('A-80 DirEntInv'!CO13&lt;&gt;"",'A-80 DirEntInv'!CO13,IF(INDIRECT(ADDRESS(SumRef!ED20,SumRef!ED$16,,,SumRef!$E$7))="","",INDIRECT(ADDRESS(SumRef!ED20,SumRef!ED$16,,,SumRef!$E$7))))</f>
        <v/>
      </c>
      <c r="CM14" s="1114" t="str">
        <f ca="1">IF('A-80 DirEntInv'!CP13&lt;&gt;"",'A-80 DirEntInv'!CP13,IF(INDIRECT(ADDRESS(SumRef!EE20,SumRef!EE$16,,,SumRef!$E$7))="","",INDIRECT(ADDRESS(SumRef!EE20,SumRef!EE$16,,,SumRef!$E$7))))</f>
        <v/>
      </c>
      <c r="CN14" s="1114" t="str">
        <f ca="1">IF('A-80 DirEntInv'!CQ13&lt;&gt;"",'A-80 DirEntInv'!CQ13,IF(INDIRECT(ADDRESS(SumRef!EF20,SumRef!EF$16,,,SumRef!$E$7))="","",INDIRECT(ADDRESS(SumRef!EF20,SumRef!EF$16,,,SumRef!$E$7))))</f>
        <v/>
      </c>
      <c r="CO14" s="1113" t="str">
        <f ca="1">IF('A-80 DirEntInv'!CR13&lt;&gt;"",'A-80 DirEntInv'!CR13,IF(INDIRECT(ADDRESS(SumRef!EG20,SumRef!EG$16,,,SumRef!$E$7))="","",INDIRECT(ADDRESS(SumRef!EG20,SumRef!EG$16,,,SumRef!$E$7))))</f>
        <v/>
      </c>
      <c r="CP14" s="1114" t="str">
        <f ca="1">IF('A-80 DirEntInv'!CS13&lt;&gt;"",'A-80 DirEntInv'!CS13,IF(INDIRECT(ADDRESS(SumRef!EH20,SumRef!EH$16,,,SumRef!$E$7))="","",INDIRECT(ADDRESS(SumRef!EH20,SumRef!EH$16,,,SumRef!$E$7))))</f>
        <v/>
      </c>
      <c r="CQ14" s="1346" t="str">
        <f ca="1">IF('A-80 DirEntInv'!CT13&lt;&gt;"",'A-80 DirEntInv'!CT13,IF(INDIRECT(ADDRESS(SumRef!EI20,SumRef!EI$16,,,SumRef!$E$7))="","",INDIRECT(ADDRESS(SumRef!EI20,SumRef!EI$16,,,SumRef!$E$7))))</f>
        <v/>
      </c>
      <c r="CR14" s="1113" t="str">
        <f ca="1">IF('A-80 DirEntInv'!CU13&lt;&gt;"",'A-80 DirEntInv'!CU13,IF(INDIRECT(ADDRESS(SumRef!EJ20,SumRef!EJ$16,,,SumRef!$E$7))="","",INDIRECT(ADDRESS(SumRef!EJ20,SumRef!EJ$16,,,SumRef!$E$7))))</f>
        <v/>
      </c>
      <c r="CS14" s="1346" t="str">
        <f ca="1">IF('A-80 DirEntInv'!CV13&lt;&gt;"",'A-80 DirEntInv'!CV13,IF(INDIRECT(ADDRESS(SumRef!EM20,SumRef!EM$16,,,SumRef!$E$7))="","",INDIRECT(ADDRESS(SumRef!EM20,SumRef!EM$16,,,SumRef!$E$7))))</f>
        <v/>
      </c>
      <c r="CT14" s="1113" t="str">
        <f ca="1">IF('A-80 DirEntInv'!CW13&lt;&gt;"",'A-80 DirEntInv'!CW13,IF(INDIRECT(ADDRESS(SumRef!EN20,SumRef!EN$16,,,SumRef!$E$7))="","",INDIRECT(ADDRESS(SumRef!EN20,SumRef!EN$16,,,SumRef!$E$7))))</f>
        <v/>
      </c>
      <c r="CU14" s="1113" t="str">
        <f ca="1">IF('A-80 DirEntInv'!CX13&lt;&gt;"",'A-80 DirEntInv'!CX13,IF(INDIRECT(ADDRESS(SumRef!EO20,SumRef!EO$16,,,SumRef!$E$7))="","",INDIRECT(ADDRESS(SumRef!EO20,SumRef!EO$16,,,SumRef!$E$7))))</f>
        <v/>
      </c>
      <c r="CV14" s="1113" t="str">
        <f ca="1">IF('A-80 DirEntInv'!CY13&lt;&gt;"",'A-80 DirEntInv'!CY13,IF(INDIRECT(ADDRESS(SumRef!EP20,SumRef!EP$16,,,SumRef!$E$7))="","",INDIRECT(ADDRESS(SumRef!EP20,SumRef!EP$16,,,SumRef!$E$7))))</f>
        <v/>
      </c>
      <c r="CW14" s="1114" t="str">
        <f ca="1">IF('A-80 DirEntInv'!CZ13&lt;&gt;"",'A-80 DirEntInv'!CZ13,IF(INDIRECT(ADDRESS(SumRef!ES20,SumRef!ES$16,,,SumRef!$E$7))="","",INDIRECT(ADDRESS(SumRef!ES20,SumRef!ES$16,,,SumRef!$E$7))))</f>
        <v/>
      </c>
      <c r="CX14" s="1167" t="str">
        <f ca="1">IF('A-80 DirEntInv'!DA13&lt;&gt;"",'A-80 DirEntInv'!DA13,IF(INDIRECT(ADDRESS(SumRef!ET20,SumRef!ET$16,,,SumRef!$E$7))="","",INDIRECT(ADDRESS(SumRef!ET20,SumRef!ET$16,,,SumRef!$E$7))))</f>
        <v/>
      </c>
      <c r="CY14" s="1167" t="str">
        <f ca="1">IF('A-80 DirEntInv'!DB13&lt;&gt;"",'A-80 DirEntInv'!DB13,IF(INDIRECT(ADDRESS(SumRef!EU20,SumRef!EU$16,,,SumRef!$E$7))="","",INDIRECT(ADDRESS(SumRef!EU20,SumRef!EU$16,,,SumRef!$E$7))))</f>
        <v/>
      </c>
      <c r="CZ14" s="1167" t="b">
        <f ca="1">IF('A-80 DirEntInv'!DC13&lt;&gt;"",'A-80 DirEntInv'!DC13,IF(INDIRECT(ADDRESS(SumRef!EV20,SumRef!EV$16,,,SumRef!$E$7))="","",INDIRECT(ADDRESS(SumRef!EV20,SumRef!EV$16,,,SumRef!$E$7))))</f>
        <v>0</v>
      </c>
      <c r="DA14" s="1373" t="str">
        <f ca="1">IF('A-80 DirEntInv'!DD13&lt;&gt;"",'A-80 DirEntInv'!DD13,IF(INDIRECT(ADDRESS(SumRef!EW20,SumRef!EW$16,,,SumRef!$E$7))="","",INDIRECT(ADDRESS(SumRef!EW20,SumRef!EW$16,,,SumRef!$E$7))))</f>
        <v/>
      </c>
      <c r="DB14" s="1373" t="b">
        <f ca="1">IF('A-80 DirEntInv'!DE13&lt;&gt;"",'A-80 DirEntInv'!DE13,IF(INDIRECT(ADDRESS(SumRef!EX20,SumRef!EX$16,,,SumRef!$E$7))="","",INDIRECT(ADDRESS(SumRef!EX20,SumRef!EX$16,,,SumRef!$E$7))))</f>
        <v>0</v>
      </c>
      <c r="DC14" s="1114" t="b">
        <f ca="1">IF('A-80 DirEntInv'!DF13&lt;&gt;"",'A-80 DirEntInv'!DF13,IF(INDIRECT(ADDRESS(SumRef!EY20,SumRef!EY$16,,,SumRef!$E$7))="","",INDIRECT(ADDRESS(SumRef!EY20,SumRef!EY$16,,,SumRef!$E$7))))</f>
        <v>0</v>
      </c>
      <c r="DD14" s="1115" t="str">
        <f ca="1">IF('A-80 DirEntInv'!DG13&lt;&gt;"",'A-80 DirEntInv'!DG13,IF(INDIRECT(ADDRESS(SumRef!EZ20,SumRef!EZ$16,,,SumRef!$E$7))="","",INDIRECT(ADDRESS(SumRef!EZ20,SumRef!EZ$16,,,SumRef!$E$7))))</f>
        <v/>
      </c>
    </row>
    <row r="15" spans="1:109" s="588" customFormat="1" x14ac:dyDescent="0.2">
      <c r="A15" s="589">
        <f t="shared" si="0"/>
        <v>5</v>
      </c>
      <c r="B15" s="1155" t="str">
        <f ca="1">IF('A-80 DirEntInv'!B14&lt;&gt;"",'A-80 DirEntInv'!B14,IF(INDIRECT(ADDRESS(SumRef!AQ21,SumRef!AQ$16,,,SumRef!$B$7))="","",INDIRECT(ADDRESS(SumRef!AQ21,SumRef!AQ$16,,,SumRef!$B$7))))</f>
        <v/>
      </c>
      <c r="C15" s="1097" t="str">
        <f ca="1">IF('A-80 DirEntInv'!C14&lt;&gt;"",'A-80 DirEntInv'!C14,IF(INDIRECT(ADDRESS(SumRef!AR21,SumRef!AR$16,,,SumRef!$B$7))="","",INDIRECT(ADDRESS(SumRef!AR21,SumRef!AR$16,,,SumRef!$B$7))))</f>
        <v/>
      </c>
      <c r="D15" s="1097" t="str">
        <f ca="1">IF('A-80 DirEntInv'!D14&lt;&gt;"",'A-80 DirEntInv'!D14,IF(INDIRECT(ADDRESS(SumRef!AS21,SumRef!AS$16,,,SumRef!$B$7))="","",INDIRECT(ADDRESS(SumRef!AS21,SumRef!AS$16,,,SumRef!$B$7))))</f>
        <v/>
      </c>
      <c r="E15" s="1097" t="str">
        <f ca="1">IF('A-80 DirEntInv'!E14&lt;&gt;"",'A-80 DirEntInv'!E14,IF(INDIRECT(ADDRESS(SumRef!AT21,SumRef!AT$16,,,SumRef!$B$7))="","",INDIRECT(ADDRESS(SumRef!AT21,SumRef!AT$16,,,SumRef!$B$7))))</f>
        <v/>
      </c>
      <c r="F15" s="1097" t="str">
        <f ca="1">IF('A-80 DirEntInv'!F14&lt;&gt;"",'A-80 DirEntInv'!F14,IF(INDIRECT(ADDRESS(SumRef!AU21,SumRef!AU$16,,,SumRef!$B$7))="","",INDIRECT(ADDRESS(SumRef!AU21,SumRef!AU$16,,,SumRef!$B$7))))</f>
        <v/>
      </c>
      <c r="G15" s="1158" t="str">
        <f ca="1">IF('A-80 DirEntInv'!G14&lt;&gt;"",'A-80 DirEntInv'!G14,IF(INDIRECT(ADDRESS(SumRef!AV21,SumRef!AV$16,,,SumRef!$B$7))="","",INDIRECT(ADDRESS(SumRef!AV21,SumRef!AV$16,,,SumRef!$B$7))))</f>
        <v/>
      </c>
      <c r="H15" s="1097" t="str">
        <f ca="1">IF('A-80 DirEntInv'!H14&lt;&gt;"",'A-80 DirEntInv'!H14,IF(INDIRECT(ADDRESS(SumRef!AW21,SumRef!AW$16,,,SumRef!$B$7))="","",INDIRECT(ADDRESS(SumRef!AW21,SumRef!AW$16,,,SumRef!$B$7))))</f>
        <v/>
      </c>
      <c r="I15" s="1097" t="str">
        <f ca="1">IF('A-80 DirEntInv'!I14&lt;&gt;"",'A-80 DirEntInv'!I14,IF(INDIRECT(ADDRESS(SumRef!AX21,SumRef!AX$16,,,SumRef!$B$7))="","",INDIRECT(ADDRESS(SumRef!AX21,SumRef!AX$16,,,SumRef!$B$7))))</f>
        <v/>
      </c>
      <c r="J15" s="1098" t="str">
        <f ca="1">IF('A-80 DirEntInv'!J14&lt;&gt;"",'A-80 DirEntInv'!J14,IF(INDIRECT(ADDRESS(SumRef!AY21,SumRef!AY$16,,,SumRef!$B$7))="","",INDIRECT(ADDRESS(SumRef!AY21,SumRef!AY$16,,,SumRef!$B$7))))</f>
        <v/>
      </c>
      <c r="K15" s="1099" t="str">
        <f ca="1">IF('A-80 DirEntInv'!K14&lt;&gt;"",'A-80 DirEntInv'!K14,IF(INDIRECT(ADDRESS(SumRef!AZ21,SumRef!AZ$16,,,SumRef!$B$7))="","",INDIRECT(ADDRESS(SumRef!AZ21,SumRef!AZ$16,,,SumRef!$B$7))))</f>
        <v/>
      </c>
      <c r="L15" s="1100" t="str">
        <f ca="1">IF('A-80 DirEntInv'!L14&lt;&gt;"",'A-80 DirEntInv'!L14,IF(INDIRECT(ADDRESS(SumRef!BA21,SumRef!BA$16,,,SumRef!$B$7))="","",INDIRECT(ADDRESS(SumRef!BA21,SumRef!BA$16,,,SumRef!$B$7))))</f>
        <v/>
      </c>
      <c r="M15" s="1101" t="str">
        <f ca="1">IF('A-80 DirEntInv'!M14&lt;&gt;"",'A-80 DirEntInv'!M14,IF(INDIRECT(ADDRESS(SumRef!BB21,SumRef!BB$16,,,SumRef!$B$7))="","",INDIRECT(ADDRESS(SumRef!BB21,SumRef!BB$16,,,SumRef!$B$7))))</f>
        <v/>
      </c>
      <c r="N15" s="1098" t="str">
        <f ca="1">IF('A-80 DirEntInv'!N14&lt;&gt;"",'A-80 DirEntInv'!N14,IF(INDIRECT(ADDRESS(SumRef!BC21,SumRef!BC$16,,,SumRef!$B$7))="","",INDIRECT(ADDRESS(SumRef!BC21,SumRef!BC$16,,,SumRef!$B$7))))</f>
        <v/>
      </c>
      <c r="O15" s="1102" t="str">
        <f ca="1">IF('A-80 DirEntInv'!O14&lt;&gt;"",'A-80 DirEntInv'!O14,IF(INDIRECT(ADDRESS(SumRef!BD21,SumRef!BD$16,,,SumRef!$B$7))="","",INDIRECT(ADDRESS(SumRef!BD21,SumRef!BD$16,,,SumRef!$B$7))))</f>
        <v/>
      </c>
      <c r="Q15" s="589"/>
      <c r="R15" s="1103" t="str">
        <f ca="1">IF('A-80 DirEntInv'!R14&lt;&gt;"",'A-80 DirEntInv'!R14,IF(INDIRECT(ADDRESS(SumRef!BH21,SumRef!BH$16,,,SumRef!$B$8))="","",INDIRECT(ADDRESS(SumRef!BH21,SumRef!BH$16,,,SumRef!$B$8))))</f>
        <v/>
      </c>
      <c r="S15" s="1104" t="str">
        <f ca="1">IF('A-80 DirEntInv'!S14&lt;&gt;"",'A-80 DirEntInv'!S14,IF(INDIRECT(ADDRESS(SumRef!BI21,SumRef!BI$16,,,SumRef!$B$8))="","",INDIRECT(ADDRESS(SumRef!BI21,SumRef!BI$16,,,SumRef!$B$8))))</f>
        <v/>
      </c>
      <c r="T15" s="1104" t="str">
        <f ca="1">IF('A-80 DirEntInv'!T14&lt;&gt;"",'A-80 DirEntInv'!T14,IF(INDIRECT(ADDRESS(SumRef!BJ21,SumRef!BJ$16,,,SumRef!$B$8))="","",INDIRECT(ADDRESS(SumRef!BJ21,SumRef!BJ$16,,,SumRef!$B$8))))</f>
        <v/>
      </c>
      <c r="U15" s="1104" t="str">
        <f ca="1">IF('A-80 DirEntInv'!U14&lt;&gt;"",'A-80 DirEntInv'!U14,IF(INDIRECT(ADDRESS(SumRef!BK21,SumRef!BK$16,,,SumRef!$B$8))="","",INDIRECT(ADDRESS(SumRef!BK21,SumRef!BK$16,,,SumRef!$B$8))))</f>
        <v/>
      </c>
      <c r="V15" s="1104" t="str">
        <f ca="1">IF('A-80 DirEntInv'!V14&lt;&gt;"",'A-80 DirEntInv'!V14,IF(INDIRECT(ADDRESS(SumRef!BL21,SumRef!BL$16,,,SumRef!$B$8))="","",INDIRECT(ADDRESS(SumRef!BL21,SumRef!BL$16,,,SumRef!$B$8))))</f>
        <v/>
      </c>
      <c r="W15" s="1354" t="str">
        <f ca="1">IF('A-80 DirEntInv'!W14&lt;&gt;"",'A-80 DirEntInv'!W14,IF(INDIRECT(ADDRESS(SumRef!BM21,SumRef!BM$16,,,SumRef!$B$8))="","",INDIRECT(ADDRESS(SumRef!BM21,SumRef!BM$16,,,SumRef!$B$8))))</f>
        <v/>
      </c>
      <c r="X15" s="1203" t="str">
        <f ca="1">IF('A-80 DirEntInv'!X14&lt;&gt;"",'A-80 DirEntInv'!X14,IF(INDIRECT(ADDRESS(SumRef!BN21,SumRef!BN$16,,,SumRef!$B$8))="","",INDIRECT(ADDRESS(SumRef!BN21,SumRef!BN$16,,,SumRef!$B$8))))</f>
        <v/>
      </c>
      <c r="Y15" s="1203" t="str">
        <f ca="1">IF('A-80 DirEntInv'!Y14&lt;&gt;"",'A-80 DirEntInv'!Y14,IF(INDIRECT(ADDRESS(SumRef!BO21,SumRef!BO$16,,,SumRef!$B$8))="","",INDIRECT(ADDRESS(SumRef!BO21,SumRef!BO$16,,,SumRef!$B$8))))</f>
        <v/>
      </c>
      <c r="Z15" s="1104" t="str">
        <f ca="1">IF('A-80 DirEntInv'!Z14&lt;&gt;"",'A-80 DirEntInv'!Z14,IF(INDIRECT(ADDRESS(SumRef!BP21,SumRef!BP$16,,,SumRef!$B$8))="","",INDIRECT(ADDRESS(SumRef!BP21,SumRef!BP$16,,,SumRef!$B$8))))</f>
        <v/>
      </c>
      <c r="AA15" s="1104" t="str">
        <f ca="1">IF('A-80 DirEntInv'!AA14&lt;&gt;"",'A-80 DirEntInv'!AA14,IF(INDIRECT(ADDRESS(SumRef!BQ21,SumRef!BQ$16,,,SumRef!$B$8))="","",INDIRECT(ADDRESS(SumRef!BQ21,SumRef!BQ$16,,,SumRef!$B$8))))</f>
        <v/>
      </c>
      <c r="AB15" s="1106" t="str">
        <f ca="1">IF('A-80 DirEntInv'!AB14&lt;&gt;"",'A-80 DirEntInv'!AB14,IF(INDIRECT(ADDRESS(SumRef!BR21,SumRef!BR$16,,,SumRef!$B$8))="","",INDIRECT(ADDRESS(SumRef!BR21,SumRef!BR$16,,,SumRef!$B$8))))</f>
        <v/>
      </c>
      <c r="AC15" s="1107" t="str">
        <f ca="1">IF('A-80 DirEntInv'!AC14&lt;&gt;"",'A-80 DirEntInv'!AC14,IF(INDIRECT(ADDRESS(SumRef!BS21,SumRef!BS$16,,,SumRef!$B$8))="","",INDIRECT(ADDRESS(SumRef!BS21,SumRef!BS$16,,,SumRef!$B$8))))</f>
        <v/>
      </c>
      <c r="AD15" s="1349" t="str">
        <f ca="1">IF('A-80 DirEntInv'!AD14&lt;&gt;"",'A-80 DirEntInv'!AD14,IF(INDIRECT(ADDRESS(SumRef!BT21,SumRef!BT$16,,,SumRef!$B$8))="","",INDIRECT(ADDRESS(SumRef!BT21,SumRef!BT$16,,,SumRef!$B$8))))</f>
        <v/>
      </c>
      <c r="AE15" s="1137" t="str">
        <f ca="1">IF('A-80 DirEntInv'!AE14&lt;&gt;"",'A-80 DirEntInv'!AE14,IF(INDIRECT(ADDRESS(SumRef!BU21,SumRef!BU$16,,,SumRef!$B$8))="","",INDIRECT(ADDRESS(SumRef!BU21,SumRef!BU$16,,,SumRef!$B$8))))</f>
        <v/>
      </c>
      <c r="AF15" s="1346" t="str">
        <f ca="1">IF('A-80 DirEntInv'!AF14&lt;&gt;"",'A-80 DirEntInv'!AF14,IF(INDIRECT(ADDRESS(SumRef!BV21,SumRef!BV$16,,,SumRef!$B$8))="","",INDIRECT(ADDRESS(SumRef!BV21,SumRef!BV$16,,,SumRef!$B$8))))</f>
        <v/>
      </c>
      <c r="AG15" s="1105" t="str">
        <f ca="1">IF('A-80 DirEntInv'!AG14&lt;&gt;"",'A-80 DirEntInv'!AG14,IF(INDIRECT(ADDRESS(SumRef!BW21,SumRef!BW$16,,,SumRef!$B$8))="","",INDIRECT(ADDRESS(SumRef!BW21,SumRef!BW$16,,,SumRef!$B$8))))</f>
        <v/>
      </c>
      <c r="AH15" s="1357" t="str">
        <f ca="1">IF('A-80 DirEntInv'!AH14&lt;&gt;"",'A-80 DirEntInv'!AH14,IF(INDIRECT(ADDRESS(SumRef!BX21,SumRef!BX$16,,,SumRef!$B$8))="","",INDIRECT(ADDRESS(SumRef!BX21,SumRef!BX$16,,,SumRef!$B$8))))</f>
        <v/>
      </c>
      <c r="AK15" s="1041" t="str">
        <f>Codes!$C$156</f>
        <v>AG - Automated Guideway (DO)</v>
      </c>
      <c r="AL15" s="1042" t="str">
        <f>Valid!$B$75</f>
        <v>Elevated/Steel Viaduct or Bridge</v>
      </c>
      <c r="AM15" s="1108" t="str">
        <f>IF('A-80 DirEntInv'!AM14&lt;&gt;"",'A-80 DirEntInv'!AM14,IF(AK15=summaryref2!B16,summaryref2!D16,IF(Summary!AK15=summaryref2!B30,summaryref2!D30,IF(AK15=summaryref2!B44,summaryref2!D44,IF(AK15=summaryref2!B58,summaryref2!D58,IF(AK15=summaryref2!B72,summaryref2!D72,IF(AK15=summaryref2!B86,summaryref2!D86,IF(AK15=summaryref2!B100,summaryref2!D100,IF(AK15=summaryref2!B114,summaryref2!D114,IF(AK15=summaryref2!B128,summaryref2!D128,IF(AK15=summaryref2!B142,summaryref2!D142,"")))))))))))</f>
        <v/>
      </c>
      <c r="AN15" s="1109" t="str">
        <f ca="1">IF('A-80 DirEntInv'!AN14&lt;&gt;"",'A-80 DirEntInv'!AN14,IF(INDIRECT(ADDRESS(SumRef!CG21,SumRef!CG$16,,,SumRef!$C$7))="","",INDIRECT(ADDRESS(SumRef!CG21,SumRef!CG$16,,,SumRef!$C$7))))</f>
        <v>Linear Feet</v>
      </c>
      <c r="AO15" s="1108" t="str">
        <f>IF('A-80 DirEntInv'!AO14&lt;&gt;"",'A-80 DirEntInv'!AO14,IF(AM15=summaryref2!D16,summaryref2!F16,IF(Summary!AM15=summaryref2!D30,summaryref2!F30,IF(AM15=summaryref2!D44,summaryref2!F44,IF(AM15=summaryref2!D58,summaryref2!F58,IF(AM15=summaryref2!D72,summaryref2!F72,IF(AM15=summaryref2!D86,summaryref2!F86,IF(AM15=summaryref2!D100,summaryref2!F100,IF(AM15=summaryref2!D114,summaryref2!F114,IF(AM15=summaryref2!D128,summaryref2!F128,IF(AM15=summaryref2!D142,summaryref2!F142,"")))))))))))</f>
        <v/>
      </c>
      <c r="AP15" s="1109" t="str">
        <f ca="1">IF('A-80 DirEntInv'!AP14&lt;&gt;"",'A-80 DirEntInv'!AP14,IF(INDIRECT(ADDRESS(SumRef!#REF!,SumRef!#REF!,,,SumRef!$C$7))="","",INDIRECT(ADDRESS(SumRef!#REF!,SumRef!#REF!,,,SumRef!$C$7))))</f>
        <v>Track Feet</v>
      </c>
      <c r="AQ15" s="1147" t="str">
        <f>IF('A-80 DirEntInv'!AQ14&lt;&gt;"",'A-80 DirEntInv'!AQ14,IF(AK15=summaryref2!B16,summaryref2!G16,IF(Summary!AK15=summaryref2!B30,summaryref2!G30,IF(AK15=summaryref2!B44,summaryref2!G44,IF(AK15=summaryref2!B58,summaryref2!G58,IF(AK15=summaryref2!B72,summaryref2!G72,IF(AK15=summaryref2!B86,summaryref2!G86,IF(AK15=summaryref2!B100,summaryref2!G100,IF(AK15=summaryref2!B114,summaryref2!G114,IF(AK15=summaryref2!B128,summaryref2!G128,IF(AK15=summaryref2!B142,summaryref2!G142,"")))))))))))</f>
        <v/>
      </c>
      <c r="AR15" s="1147" t="str">
        <f>IF('A-80 DirEntInv'!AR14&lt;&gt;"",'A-80 DirEntInv'!AR14,IF(AK15=summaryref2!B16,summaryref2!H16,IF(Summary!AK15=summaryref2!B30,summaryref2!H30,IF(AK15=summaryref2!B44,summaryref2!H44,IF(AK15=summaryref2!B58,summaryref2!H58,IF(AK15=summaryref2!B72,summaryref2!H72,IF(AK15=summaryref2!B86,summaryref2!H86,IF(AK15=summaryref2!B100,summaryref2!H100,IF(AK15=summaryref2!B114,summaryref2!H114,IF(AK15=summaryref2!B128,summaryref2!H128,IF(AK15=summaryref2!B142,summaryref2!H142,"")))))))))))</f>
        <v/>
      </c>
      <c r="AS15" s="1110" t="str">
        <f>IF('A-80 DirEntInv'!AS14&lt;&gt;"",'A-80 DirEntInv'!AS14,IF(AK15=summaryref2!B16,summaryref2!I16,IF(Summary!AK15=summaryref2!B30,summaryref2!I30,IF(AK15=summaryref2!B44,summaryref2!I44,IF(AK15=summaryref2!B58,summaryref2!I58,IF(AK15=summaryref2!B72,summaryref2!I72,IF(AK15=summaryref2!B86,summaryref2!I86,IF(AK15=summaryref2!B100,summaryref2!I100,IF(AK15=summaryref2!B114,summaryref2!I114,IF(AK15=summaryref2!B128,summaryref2!I128,IF(AK15=summaryref2!B142,summaryref2!I142,"")))))))))))</f>
        <v/>
      </c>
      <c r="AT15" s="1110" t="str">
        <f>IF('A-80 DirEntInv'!AT14&lt;&gt;"",'A-80 DirEntInv'!AT14,IF(AK15=summaryref2!B16,summaryref2!J16,IF(Summary!AK15=summaryref2!B30,summaryref2!J30,IF(AK15=summaryref2!B44,summaryref2!J44,IF(AK15=summaryref2!B58,summaryref2!J58,IF(AK15=summaryref2!B72,summaryref2!J72,IF(AK15=summaryref2!B86,summaryref2!J86,IF(AK15=summaryref2!B100,summaryref2!J100,IF(AK15=summaryref2!B114,summaryref2!J114,IF(AK15=summaryref2!B128,summaryref2!J128,IF(AK15=summaryref2!B142,summaryref2!J142,"")))))))))))</f>
        <v/>
      </c>
      <c r="AU15" s="1110" t="str">
        <f>IF('A-80 DirEntInv'!AU14&lt;&gt;"",'A-80 DirEntInv'!AU14,IF(AK15=summaryref2!B16,summaryref2!K16,IF(Summary!AK15=summaryref2!B30,summaryref2!K30,IF(AK15=summaryref2!B44,summaryref2!K44,IF(AK15=summaryref2!B58,summaryref2!K58,IF(AK15=summaryref2!B72,summaryref2!K72,IF(AK15=summaryref2!B86,summaryref2!K86,IF(AK15=summaryref2!B100,summaryref2!K100,IF(AK15=summaryref2!B114,summaryref2!K114,IF(AK15=summaryref2!B128,summaryref2!K128,IF(AK15=summaryref2!B142,summaryref2!K142,"")))))))))))</f>
        <v/>
      </c>
      <c r="AV15" s="1110" t="str">
        <f>IF('A-80 DirEntInv'!AV14&lt;&gt;"",'A-80 DirEntInv'!AV14,IF(AK15=summaryref2!B16,summaryref2!L16,IF(Summary!AK15=summaryref2!B30,summaryref2!L30,IF(AK15=summaryref2!B44,summaryref2!L44,IF(AK15=summaryref2!B58,summaryref2!L58,IF(AK15=summaryref2!B72,summaryref2!L72,IF(AK15=summaryref2!B86,summaryref2!L86,IF(AK15=summaryref2!B100,summaryref2!L100,IF(AK15=summaryref2!B114,summaryref2!L114,IF(AK15=summaryref2!B128,summaryref2!L128,IF(AK15=summaryref2!B142,summaryref2!L142,"")))))))))))</f>
        <v/>
      </c>
      <c r="AW15" s="1110" t="str">
        <f>IF('A-80 DirEntInv'!AW14&lt;&gt;"",'A-80 DirEntInv'!AW14,IF(AK15=summaryref2!B16,summaryref2!M16,IF(Summary!AK15=summaryref2!B30,summaryref2!M30,IF(AK15=summaryref2!B44,summaryref2!M44,IF(AK15=summaryref2!B58,summaryref2!M58,IF(AK15=summaryref2!B72,summaryref2!M72,IF(AK15=summaryref2!B86,summaryref2!M86,IF(AK15=summaryref2!B100,summaryref2!M100,IF(AK15=summaryref2!B114,summaryref2!M114,IF(AK15=summaryref2!B128,summaryref2!M128,IF(AK15=summaryref2!B142,summaryref2!M142,"")))))))))))</f>
        <v/>
      </c>
      <c r="AX15" s="1110" t="str">
        <f>IF('A-80 DirEntInv'!AX14&lt;&gt;"",'A-80 DirEntInv'!AX14,IF(AK15=summaryref2!B16,summaryref2!N16,IF(Summary!AK15=summaryref2!B30,summaryref2!N30,IF(AK15=summaryref2!B44,summaryref2!N44,IF(AK15=summaryref2!B58,summaryref2!N58,IF(AK15=summaryref2!B72,summaryref2!N72,IF(AK15=summaryref2!B86,summaryref2!N86,IF(AK15=summaryref2!B100,summaryref2!N100,IF(AK15=summaryref2!B114,summaryref2!N114,IF(AK15=summaryref2!B128,summaryref2!N128,IF(AK15=summaryref2!B142,summaryref2!N142,"")))))))))))</f>
        <v/>
      </c>
      <c r="AY15" s="1110" t="str">
        <f>IF('A-80 DirEntInv'!AY14&lt;&gt;"",'A-80 DirEntInv'!AY14,IF(AK15=summaryref2!B16,summaryref2!O16,IF(Summary!AK15=summaryref2!B30,summaryref2!O30,IF(AK15=summaryref2!B44,summaryref2!O44,IF(AK15=summaryref2!B58,summaryref2!O58,IF(AK15=summaryref2!B72,summaryref2!O72,IF(AK15=summaryref2!B86,summaryref2!O86,IF(AK15=summaryref2!B100,summaryref2!O100,IF(AK15=summaryref2!B114,summaryref2!O114,IF(AK15=summaryref2!B128,summaryref2!O128,IF(AK15=summaryref2!B142,summaryref2!O142,"")))))))))))</f>
        <v/>
      </c>
      <c r="AZ15" s="1110" t="str">
        <f>IF('A-80 DirEntInv'!AZ14&lt;&gt;"",'A-80 DirEntInv'!AZ14,IF(AK15=summaryref2!B16,summaryref2!P16,IF(Summary!AK15=summaryref2!B30,summaryref2!P30,IF(AK15=summaryref2!B44,summaryref2!P44,IF(AK15=summaryref2!B58,summaryref2!P58,IF(AK15=summaryref2!B72,summaryref2!P72,IF(AK15=summaryref2!B86,summaryref2!P86,IF(AK15=summaryref2!B100,summaryref2!P100,IF(AK15=summaryref2!B114,summaryref2!P114,IF(AK15=summaryref2!B128,summaryref2!P128,IF(AK15=summaryref2!B142,summaryref2!P142,"")))))))))))</f>
        <v/>
      </c>
      <c r="BA15" s="1110" t="str">
        <f>IF('A-80 DirEntInv'!BA14&lt;&gt;"",'A-80 DirEntInv'!BA14,IF(AK15=summaryref2!B16,summaryref2!Q16,IF(Summary!AK15=summaryref2!B30,summaryref2!Q30,IF(AK15=summaryref2!B44,summaryref2!Q44,IF(AK15=summaryref2!B58,summaryref2!Q58,IF(AK15=summaryref2!B72,summaryref2!Q72,IF(AK15=summaryref2!B86,summaryref2!Q86,IF(AK15=summaryref2!B100,summaryref2!Q100,IF(AK15=summaryref2!B114,summaryref2!Q114,IF(AK15=summaryref2!B128,summaryref2!Q128,IF(AK15=summaryref2!B142,summaryref2!Q142,"")))))))))))</f>
        <v/>
      </c>
      <c r="BB15" s="1110" t="str">
        <f>IF('A-80 DirEntInv'!BB14&lt;&gt;"",'A-80 DirEntInv'!BB14,IF(AK15=summaryref2!B16,summaryref2!R16,IF(Summary!AK15=summaryref2!B30,summaryref2!R30,IF(AK15=summaryref2!B44,summaryref2!R44,IF(AK15=summaryref2!B58,summaryref2!R58,IF(AK15=summaryref2!B72,summaryref2!R72,IF(AK15=summaryref2!B86,summaryref2!R86,IF(AK15=summaryref2!B100,summaryref2!R100,IF(AK15=summaryref2!B114,summaryref2!R114,IF(AK15=summaryref2!B128,summaryref2!R128,IF(AK15=summaryref2!B142,summaryref2!R142,"")))))))))))</f>
        <v/>
      </c>
      <c r="BC15" s="1110" t="str">
        <f>IF('A-80 DirEntInv'!BC14&lt;&gt;0,'A-80 DirEntInv'!BC14,IF(AK15=summaryref2!B16,summaryref2!S16,IF(Summary!AK15=summaryref2!B30,summaryref2!S30,IF(AK15=summaryref2!B44,summaryref2!S44,IF(AK15=summaryref2!B58,summaryref2!S58,IF(AK15=summaryref2!B72,summaryref2!S72,IF(AK15=summaryref2!B86,summaryref2!S86,IF(AK15=summaryref2!B100,summaryref2!S100,IF(AK15=summaryref2!B114,summaryref2!S114,IF(AK15=summaryref2!B128,summaryref2!S128,IF(AK15=summaryref2!B142,summaryref2!S142,"")))))))))))</f>
        <v/>
      </c>
      <c r="BD15" s="1111" t="str">
        <f>IF('A-80 DirEntInv'!BD14&lt;&gt;"",'A-80 DirEntInv'!BD14,IF(AK15=summaryref2!B16,summaryref2!T16,IF(Summary!AK15=summaryref2!B30,summaryref2!T30,IF(AK15=summaryref2!B44,summaryref2!T44,IF(AK15=summaryref2!B58,summaryref2!T58,IF(AK15=summaryref2!B72,summaryref2!T72,IF(AK15=summaryref2!B86,summaryref2!T86,IF(AK15=summaryref2!B100,summaryref2!T100,IF(AK15=summaryref2!B114,summaryref2!T114,IF(AK15=summaryref2!B128,summaryref2!T128,IF(AK15=summaryref2!B142,summaryref2!T142,"")))))))))))</f>
        <v/>
      </c>
      <c r="BE15" s="1184" t="str">
        <f>IF('A-80 DirEntInv'!BE14&lt;&gt;"",'A-80 DirEntInv'!BE14,IF(AK15=summaryref2!B16,summaryref2!U16,IF(Summary!AK15=summaryref2!B30,summaryref2!U30,IF(AK15=summaryref2!B44,summaryref2!U44,IF(AK15=summaryref2!B58,summaryref2!U58,IF(AK15=summaryref2!B72,summaryref2!U72,IF(AK15=summaryref2!B86,summaryref2!U86,IF(AK15=summaryref2!B100,summaryref2!U100,IF(AK15=summaryref2!B114,summaryref2!U114,IF(AK15=summaryref2!B128,summaryref2!U128,IF(AK15=summaryref2!B142,summaryref2!U142,"")))))))))))</f>
        <v/>
      </c>
      <c r="BF15" s="1432"/>
      <c r="BG15" s="1432"/>
      <c r="BJ15" s="1041" t="str">
        <f>Codes!$C$156</f>
        <v>AG - Automated Guideway (DO)</v>
      </c>
      <c r="BK15" s="1042" t="str">
        <f>Valid!$B$84</f>
        <v>Half Grand Union</v>
      </c>
      <c r="BL15" s="1375" t="str">
        <f>IF('A-80 DirEntInv'!BL14&lt;&gt;"",'A-80 DirEntInv'!BL14,IF(BJ15=summaryref2!X16,summaryref2!Z16,IF(BJ15=summaryref2!X23,summaryref2!Z23,IF(BJ15=summaryref2!X30,summaryref2!Z30,IF(BJ15=summaryref2!X37,summaryref2!Z37,IF(BJ15=summaryref2!X44,summaryref2!Z44,IF(BJ15=summaryref2!X51,summaryref2!Z51,IF(BJ15=summaryref2!X58,summaryref2!Z58,IF(BJ15=summaryref2!X65,summaryref2!Z65,IF(BJ15=summaryref2!X72,summaryref2!Z72,IF(BJ15=summaryref2!X79,summaryref2!Z79,"")))))))))))</f>
        <v/>
      </c>
      <c r="BM15" s="1042" t="str">
        <f>VLOOKUP(BK15,Valid!$B$80:$C$86,2,FALSE)</f>
        <v>Each</v>
      </c>
      <c r="BN15" s="1209" t="str">
        <f>IF('A-80 DirEntInv'!BN14&lt;&gt;"",'A-80 DirEntInv'!BN14,IF(BJ15=summaryref2!X16,summaryref2!AB16,IF(BJ15=summaryref2!X23,summaryref2!AB23,IF(BJ15=summaryref2!X30,summaryref2!AB30,IF(BJ15=summaryref2!X37,summaryref2!AB37,IF(BJ15=summaryref2!X44,summaryref2!AB44,IF(BJ15=summaryref2!X51,summaryref2!AB51,IF(BJ15=summaryref2!X58,summaryref2!AB58,IF(BJ15=summaryref2!X65,summaryref2!AB65,IF(BJ15=summaryref2!X72,summaryref2!AB72,IF(BJ15=summaryref2!X79,summaryref2!AB79,"")))))))))))</f>
        <v/>
      </c>
      <c r="BO15" s="1116" t="str">
        <f>IF('A-80 DirEntInv'!BO14&lt;&gt;"",'A-80 DirEntInv'!BO14,IF(BJ15=summaryref2!X16,summaryref2!AC16,IF(BJ15=summaryref2!X23,summaryref2!AC23,IF(BJ15=summaryref2!X30,summaryref2!AC30,IF(BJ15=summaryref2!X37,summaryref2!AC37,IF(BJ15=summaryref2!X44,summaryref2!AC44,IF(BJ15=summaryref2!X51,summaryref2!AC51,IF(BJ15=summaryref2!X58,summaryref2!AC58,IF(BJ15=summaryref2!X65,summaryref2!AC65,IF(BJ15=summaryref2!X72,summaryref2!AC72,IF(BJ15=summaryref2!X79,summaryref2!AC79,"")))))))))))</f>
        <v/>
      </c>
      <c r="BP15" s="1384" t="str">
        <f>IF('A-80 DirEntInv'!BP14&lt;&gt;"",'A-80 DirEntInv'!BP14,IF(BJ15=summaryref2!X16,summaryref2!AD16,IF(BJ15=summaryref2!X23,summaryref2!AD23,IF(BJ15=summaryref2!X30,summaryref2!AD30,IF(BJ15=summaryref2!X37,summaryref2!AD37,IF(BJ15=summaryref2!X44,summaryref2!AD44,IF(BJ15=summaryref2!X51,summaryref2!AD51,IF(BJ15=summaryref2!X58,summaryref2!AD58,IF(BJ15=summaryref2!X65,summaryref2!AD65,IF(BJ15=summaryref2!X72,summaryref2!AD72,IF(BJ15=summaryref2!X79,summaryref2!AD79,"")))))))))))</f>
        <v/>
      </c>
      <c r="BS15" s="1472" t="str">
        <f ca="1">IF('A-80 DirEntInv'!BU14&lt;&gt;"",'A-80 DirEntInv'!BU14,IF(INDIRECT(ADDRESS(SumRef!DK21,SumRef!DK$16,,,SumRef!$E$6))="","",INDIRECT(ADDRESS(SumRef!DK21,SumRef!DK$16,,,SumRef!$E$6))))</f>
        <v/>
      </c>
      <c r="BT15" s="1458" t="str">
        <f ca="1">IF('A-80 DirEntInv'!BV14&lt;&gt;"",'A-80 DirEntInv'!BV14,IF(INDIRECT(ADDRESS(SumRef!DL21,SumRef!DL$16,,,SumRef!$E$6))="","",INDIRECT(ADDRESS(SumRef!DL21,SumRef!DL$16,,,SumRef!$E$6))))</f>
        <v/>
      </c>
      <c r="BU15" s="1177" t="str">
        <f ca="1">IF('A-80 DirEntInv'!BW14&lt;&gt;"",'A-80 DirEntInv'!BW14,IF(INDIRECT(ADDRESS(SumRef!DM21,SumRef!DM$16,,,SumRef!$E$6))="","",INDIRECT(ADDRESS(SumRef!DM21,SumRef!DM$16,,,SumRef!$E$6))))</f>
        <v/>
      </c>
      <c r="BV15" s="1460" t="str">
        <f ca="1">IF('A-80 DirEntInv'!BX14&lt;&gt;"",'A-80 DirEntInv'!BX14,IF(INDIRECT(ADDRESS(SumRef!DN21,SumRef!DN$16,,,SumRef!$E$6))="","",INDIRECT(ADDRESS(SumRef!DN21,SumRef!DN$16,,,SumRef!$E$6))))</f>
        <v/>
      </c>
      <c r="BW15" s="1460" t="str">
        <f ca="1">IF('A-80 DirEntInv'!BY14&lt;&gt;"",'A-80 DirEntInv'!BY14,IF(INDIRECT(ADDRESS(SumRef!DO21,SumRef!DO$16,,,SumRef!$E$6))="","",INDIRECT(ADDRESS(SumRef!DO21,SumRef!DO$16,,,SumRef!$E$6))))</f>
        <v/>
      </c>
      <c r="BX15" s="1116" t="str">
        <f ca="1">IF('A-80 DirEntInv'!BZ14&lt;&gt;"",'A-80 DirEntInv'!BZ14,IF(INDIRECT(ADDRESS(SumRef!DP21,SumRef!DP$16,,,SumRef!$E$6))="","",INDIRECT(ADDRESS(SumRef!DP21,SumRef!DP$16,,,SumRef!$E$6))))</f>
        <v/>
      </c>
      <c r="BY15" s="1461" t="str">
        <f ca="1">IF('A-80 DirEntInv'!CA14&lt;&gt;"",'A-80 DirEntInv'!CA14,IF(INDIRECT(ADDRESS(SumRef!DQ21,SumRef!DQ$16,,,SumRef!$E$6))="","",INDIRECT(ADDRESS(SumRef!DQ21,SumRef!DQ$16,,,SumRef!$E$6))))</f>
        <v/>
      </c>
      <c r="BZ15" s="1460" t="str">
        <f ca="1">IF('A-80 DirEntInv'!CB14&lt;&gt;"",'A-80 DirEntInv'!CB14,IF(INDIRECT(ADDRESS(SumRef!DR21,SumRef!DR$16,,,SumRef!$E$6))="","",INDIRECT(ADDRESS(SumRef!DR21,SumRef!DR$16,,,SumRef!$E$6))))</f>
        <v/>
      </c>
      <c r="CA15" s="1462" t="str">
        <f ca="1">IF('A-80 DirEntInv'!CC14&lt;&gt;"",'A-80 DirEntInv'!CC14,IF(INDIRECT(ADDRESS(SumRef!DS21,SumRef!DS$16,,,SumRef!$E$6))="","",INDIRECT(ADDRESS(SumRef!DS21,SumRef!DS$16,,,SumRef!$E$6))))</f>
        <v/>
      </c>
      <c r="CD15" s="1160" t="str">
        <f ca="1">IF('A-80 DirEntInv'!CF14&lt;&gt;"",'A-80 DirEntInv'!CF14,IF(INDIRECT(ADDRESS(SumRef!DV21,SumRef!DV$16,,,SumRef!$E$7))="","",INDIRECT(ADDRESS(SumRef!DV21,SumRef!DV$16,,,SumRef!$E$7))))</f>
        <v/>
      </c>
      <c r="CE15" s="1167" t="str">
        <f ca="1">IF('A-80 DirEntInv'!CG14&lt;&gt;"",'A-80 DirEntInv'!CG14,IF(INDIRECT(ADDRESS(SumRef!DW21,SumRef!DW$16,,,SumRef!$E$7))="","",INDIRECT(ADDRESS(SumRef!DW21,SumRef!DW$16,,,SumRef!$E$7))))</f>
        <v/>
      </c>
      <c r="CF15" s="1167" t="str">
        <f ca="1">IF('A-80 DirEntInv'!CH14&lt;&gt;"",'A-80 DirEntInv'!CH14,IF(INDIRECT(ADDRESS(SumRef!DX21,SumRef!DX$16,,,SumRef!$E$7))="","",INDIRECT(ADDRESS(SumRef!DX21,SumRef!DX$16,,,SumRef!$E$7))))</f>
        <v/>
      </c>
      <c r="CG15" s="1167" t="str">
        <f ca="1">IF('A-80 DirEntInv'!CI14&lt;&gt;"",'A-80 DirEntInv'!CI14,IF(INDIRECT(ADDRESS(SumRef!DY21,SumRef!DY$16,,,SumRef!$E$7))="","",INDIRECT(ADDRESS(SumRef!DY21,SumRef!DY$16,,,SumRef!$E$7))))</f>
        <v/>
      </c>
      <c r="CH15" s="1167" t="str">
        <f ca="1">IF('A-80 DirEntInv'!CJ14&lt;&gt;"",'A-80 DirEntInv'!CJ14,IF(INDIRECT(ADDRESS(SumRef!DZ21,SumRef!DZ$16,,,SumRef!$E$7))="","",INDIRECT(ADDRESS(SumRef!DZ21,SumRef!DZ$16,,,SumRef!$E$7))))</f>
        <v/>
      </c>
      <c r="CI15" s="1167" t="str">
        <f ca="1">IF('A-80 DirEntInv'!CK14&lt;&gt;"",'A-80 DirEntInv'!CK14,IF(INDIRECT(ADDRESS(SumRef!EA21,SumRef!EA$16,,,SumRef!$E$7))="","",INDIRECT(ADDRESS(SumRef!EA21,SumRef!EA$16,,,SumRef!$E$7))))</f>
        <v/>
      </c>
      <c r="CJ15" s="1114" t="str">
        <f ca="1">IF('A-80 DirEntInv'!CL14&lt;&gt;"",'A-80 DirEntInv'!CL14,IF(INDIRECT(ADDRESS(SumRef!EB21,SumRef!EB$16,,,SumRef!$E$7))="","",INDIRECT(ADDRESS(SumRef!EB21,SumRef!EB$16,,,SumRef!$E$7))))</f>
        <v/>
      </c>
      <c r="CK15" s="1114" t="str">
        <f ca="1">IF('A-80 DirEntInv'!CM14&lt;&gt;"",'A-80 DirEntInv'!CM14,IF(INDIRECT(ADDRESS(SumRef!EC21,SumRef!EC$16,,,SumRef!$E$7))="","",INDIRECT(ADDRESS(SumRef!EC21,SumRef!EC$16,,,SumRef!$E$7))))</f>
        <v/>
      </c>
      <c r="CL15" s="1113" t="str">
        <f ca="1">IF('A-80 DirEntInv'!CO14&lt;&gt;"",'A-80 DirEntInv'!CO14,IF(INDIRECT(ADDRESS(SumRef!ED21,SumRef!ED$16,,,SumRef!$E$7))="","",INDIRECT(ADDRESS(SumRef!ED21,SumRef!ED$16,,,SumRef!$E$7))))</f>
        <v/>
      </c>
      <c r="CM15" s="1114" t="str">
        <f ca="1">IF('A-80 DirEntInv'!CP14&lt;&gt;"",'A-80 DirEntInv'!CP14,IF(INDIRECT(ADDRESS(SumRef!EE21,SumRef!EE$16,,,SumRef!$E$7))="","",INDIRECT(ADDRESS(SumRef!EE21,SumRef!EE$16,,,SumRef!$E$7))))</f>
        <v/>
      </c>
      <c r="CN15" s="1114" t="str">
        <f ca="1">IF('A-80 DirEntInv'!CQ14&lt;&gt;"",'A-80 DirEntInv'!CQ14,IF(INDIRECT(ADDRESS(SumRef!EF21,SumRef!EF$16,,,SumRef!$E$7))="","",INDIRECT(ADDRESS(SumRef!EF21,SumRef!EF$16,,,SumRef!$E$7))))</f>
        <v/>
      </c>
      <c r="CO15" s="1113" t="str">
        <f ca="1">IF('A-80 DirEntInv'!CR14&lt;&gt;"",'A-80 DirEntInv'!CR14,IF(INDIRECT(ADDRESS(SumRef!EG21,SumRef!EG$16,,,SumRef!$E$7))="","",INDIRECT(ADDRESS(SumRef!EG21,SumRef!EG$16,,,SumRef!$E$7))))</f>
        <v/>
      </c>
      <c r="CP15" s="1114" t="str">
        <f ca="1">IF('A-80 DirEntInv'!CS14&lt;&gt;"",'A-80 DirEntInv'!CS14,IF(INDIRECT(ADDRESS(SumRef!EH21,SumRef!EH$16,,,SumRef!$E$7))="","",INDIRECT(ADDRESS(SumRef!EH21,SumRef!EH$16,,,SumRef!$E$7))))</f>
        <v/>
      </c>
      <c r="CQ15" s="1346" t="str">
        <f ca="1">IF('A-80 DirEntInv'!CT14&lt;&gt;"",'A-80 DirEntInv'!CT14,IF(INDIRECT(ADDRESS(SumRef!EI21,SumRef!EI$16,,,SumRef!$E$7))="","",INDIRECT(ADDRESS(SumRef!EI21,SumRef!EI$16,,,SumRef!$E$7))))</f>
        <v/>
      </c>
      <c r="CR15" s="1113" t="str">
        <f ca="1">IF('A-80 DirEntInv'!CU14&lt;&gt;"",'A-80 DirEntInv'!CU14,IF(INDIRECT(ADDRESS(SumRef!EJ21,SumRef!EJ$16,,,SumRef!$E$7))="","",INDIRECT(ADDRESS(SumRef!EJ21,SumRef!EJ$16,,,SumRef!$E$7))))</f>
        <v/>
      </c>
      <c r="CS15" s="1346" t="str">
        <f ca="1">IF('A-80 DirEntInv'!CV14&lt;&gt;"",'A-80 DirEntInv'!CV14,IF(INDIRECT(ADDRESS(SumRef!EM21,SumRef!EM$16,,,SumRef!$E$7))="","",INDIRECT(ADDRESS(SumRef!EM21,SumRef!EM$16,,,SumRef!$E$7))))</f>
        <v/>
      </c>
      <c r="CT15" s="1113" t="str">
        <f ca="1">IF('A-80 DirEntInv'!CW14&lt;&gt;"",'A-80 DirEntInv'!CW14,IF(INDIRECT(ADDRESS(SumRef!EN21,SumRef!EN$16,,,SumRef!$E$7))="","",INDIRECT(ADDRESS(SumRef!EN21,SumRef!EN$16,,,SumRef!$E$7))))</f>
        <v/>
      </c>
      <c r="CU15" s="1113" t="str">
        <f ca="1">IF('A-80 DirEntInv'!CX14&lt;&gt;"",'A-80 DirEntInv'!CX14,IF(INDIRECT(ADDRESS(SumRef!EO21,SumRef!EO$16,,,SumRef!$E$7))="","",INDIRECT(ADDRESS(SumRef!EO21,SumRef!EO$16,,,SumRef!$E$7))))</f>
        <v/>
      </c>
      <c r="CV15" s="1113" t="str">
        <f ca="1">IF('A-80 DirEntInv'!CY14&lt;&gt;"",'A-80 DirEntInv'!CY14,IF(INDIRECT(ADDRESS(SumRef!EP21,SumRef!EP$16,,,SumRef!$E$7))="","",INDIRECT(ADDRESS(SumRef!EP21,SumRef!EP$16,,,SumRef!$E$7))))</f>
        <v/>
      </c>
      <c r="CW15" s="1114" t="str">
        <f ca="1">IF('A-80 DirEntInv'!CZ14&lt;&gt;"",'A-80 DirEntInv'!CZ14,IF(INDIRECT(ADDRESS(SumRef!ES21,SumRef!ES$16,,,SumRef!$E$7))="","",INDIRECT(ADDRESS(SumRef!ES21,SumRef!ES$16,,,SumRef!$E$7))))</f>
        <v/>
      </c>
      <c r="CX15" s="1167" t="str">
        <f ca="1">IF('A-80 DirEntInv'!DA14&lt;&gt;"",'A-80 DirEntInv'!DA14,IF(INDIRECT(ADDRESS(SumRef!ET21,SumRef!ET$16,,,SumRef!$E$7))="","",INDIRECT(ADDRESS(SumRef!ET21,SumRef!ET$16,,,SumRef!$E$7))))</f>
        <v/>
      </c>
      <c r="CY15" s="1167" t="str">
        <f ca="1">IF('A-80 DirEntInv'!DB14&lt;&gt;"",'A-80 DirEntInv'!DB14,IF(INDIRECT(ADDRESS(SumRef!EU21,SumRef!EU$16,,,SumRef!$E$7))="","",INDIRECT(ADDRESS(SumRef!EU21,SumRef!EU$16,,,SumRef!$E$7))))</f>
        <v/>
      </c>
      <c r="CZ15" s="1167" t="b">
        <f ca="1">IF('A-80 DirEntInv'!DC14&lt;&gt;"",'A-80 DirEntInv'!DC14,IF(INDIRECT(ADDRESS(SumRef!EV21,SumRef!EV$16,,,SumRef!$E$7))="","",INDIRECT(ADDRESS(SumRef!EV21,SumRef!EV$16,,,SumRef!$E$7))))</f>
        <v>0</v>
      </c>
      <c r="DA15" s="1373" t="str">
        <f ca="1">IF('A-80 DirEntInv'!DD14&lt;&gt;"",'A-80 DirEntInv'!DD14,IF(INDIRECT(ADDRESS(SumRef!EW21,SumRef!EW$16,,,SumRef!$E$7))="","",INDIRECT(ADDRESS(SumRef!EW21,SumRef!EW$16,,,SumRef!$E$7))))</f>
        <v/>
      </c>
      <c r="DB15" s="1373" t="b">
        <f ca="1">IF('A-80 DirEntInv'!DE14&lt;&gt;"",'A-80 DirEntInv'!DE14,IF(INDIRECT(ADDRESS(SumRef!EX21,SumRef!EX$16,,,SumRef!$E$7))="","",INDIRECT(ADDRESS(SumRef!EX21,SumRef!EX$16,,,SumRef!$E$7))))</f>
        <v>0</v>
      </c>
      <c r="DC15" s="1114" t="b">
        <f ca="1">IF('A-80 DirEntInv'!DF14&lt;&gt;"",'A-80 DirEntInv'!DF14,IF(INDIRECT(ADDRESS(SumRef!EY21,SumRef!EY$16,,,SumRef!$E$7))="","",INDIRECT(ADDRESS(SumRef!EY21,SumRef!EY$16,,,SumRef!$E$7))))</f>
        <v>0</v>
      </c>
      <c r="DD15" s="1115" t="str">
        <f ca="1">IF('A-80 DirEntInv'!DG14&lt;&gt;"",'A-80 DirEntInv'!DG14,IF(INDIRECT(ADDRESS(SumRef!EZ21,SumRef!EZ$16,,,SumRef!$E$7))="","",INDIRECT(ADDRESS(SumRef!EZ21,SumRef!EZ$16,,,SumRef!$E$7))))</f>
        <v/>
      </c>
    </row>
    <row r="16" spans="1:109" s="588" customFormat="1" x14ac:dyDescent="0.2">
      <c r="A16" s="589">
        <f t="shared" si="0"/>
        <v>6</v>
      </c>
      <c r="B16" s="1155" t="str">
        <f ca="1">IF('A-80 DirEntInv'!B15&lt;&gt;"",'A-80 DirEntInv'!B15,IF(INDIRECT(ADDRESS(SumRef!AQ22,SumRef!AQ$16,,,SumRef!$B$7))="","",INDIRECT(ADDRESS(SumRef!AQ22,SumRef!AQ$16,,,SumRef!$B$7))))</f>
        <v/>
      </c>
      <c r="C16" s="1097" t="str">
        <f ca="1">IF('A-80 DirEntInv'!C15&lt;&gt;"",'A-80 DirEntInv'!C15,IF(INDIRECT(ADDRESS(SumRef!AR22,SumRef!AR$16,,,SumRef!$B$7))="","",INDIRECT(ADDRESS(SumRef!AR22,SumRef!AR$16,,,SumRef!$B$7))))</f>
        <v/>
      </c>
      <c r="D16" s="1097" t="str">
        <f ca="1">IF('A-80 DirEntInv'!D15&lt;&gt;"",'A-80 DirEntInv'!D15,IF(INDIRECT(ADDRESS(SumRef!AS22,SumRef!AS$16,,,SumRef!$B$7))="","",INDIRECT(ADDRESS(SumRef!AS22,SumRef!AS$16,,,SumRef!$B$7))))</f>
        <v/>
      </c>
      <c r="E16" s="1097" t="str">
        <f ca="1">IF('A-80 DirEntInv'!E15&lt;&gt;"",'A-80 DirEntInv'!E15,IF(INDIRECT(ADDRESS(SumRef!AT22,SumRef!AT$16,,,SumRef!$B$7))="","",INDIRECT(ADDRESS(SumRef!AT22,SumRef!AT$16,,,SumRef!$B$7))))</f>
        <v/>
      </c>
      <c r="F16" s="1097" t="str">
        <f ca="1">IF('A-80 DirEntInv'!F15&lt;&gt;"",'A-80 DirEntInv'!F15,IF(INDIRECT(ADDRESS(SumRef!AU22,SumRef!AU$16,,,SumRef!$B$7))="","",INDIRECT(ADDRESS(SumRef!AU22,SumRef!AU$16,,,SumRef!$B$7))))</f>
        <v/>
      </c>
      <c r="G16" s="1158" t="str">
        <f ca="1">IF('A-80 DirEntInv'!G15&lt;&gt;"",'A-80 DirEntInv'!G15,IF(INDIRECT(ADDRESS(SumRef!AV22,SumRef!AV$16,,,SumRef!$B$7))="","",INDIRECT(ADDRESS(SumRef!AV22,SumRef!AV$16,,,SumRef!$B$7))))</f>
        <v/>
      </c>
      <c r="H16" s="1097" t="str">
        <f ca="1">IF('A-80 DirEntInv'!H15&lt;&gt;"",'A-80 DirEntInv'!H15,IF(INDIRECT(ADDRESS(SumRef!AW22,SumRef!AW$16,,,SumRef!$B$7))="","",INDIRECT(ADDRESS(SumRef!AW22,SumRef!AW$16,,,SumRef!$B$7))))</f>
        <v/>
      </c>
      <c r="I16" s="1097" t="str">
        <f ca="1">IF('A-80 DirEntInv'!I15&lt;&gt;"",'A-80 DirEntInv'!I15,IF(INDIRECT(ADDRESS(SumRef!AX22,SumRef!AX$16,,,SumRef!$B$7))="","",INDIRECT(ADDRESS(SumRef!AX22,SumRef!AX$16,,,SumRef!$B$7))))</f>
        <v/>
      </c>
      <c r="J16" s="1098" t="str">
        <f ca="1">IF('A-80 DirEntInv'!J15&lt;&gt;"",'A-80 DirEntInv'!J15,IF(INDIRECT(ADDRESS(SumRef!AY22,SumRef!AY$16,,,SumRef!$B$7))="","",INDIRECT(ADDRESS(SumRef!AY22,SumRef!AY$16,,,SumRef!$B$7))))</f>
        <v/>
      </c>
      <c r="K16" s="1099" t="str">
        <f ca="1">IF('A-80 DirEntInv'!K15&lt;&gt;"",'A-80 DirEntInv'!K15,IF(INDIRECT(ADDRESS(SumRef!AZ22,SumRef!AZ$16,,,SumRef!$B$7))="","",INDIRECT(ADDRESS(SumRef!AZ22,SumRef!AZ$16,,,SumRef!$B$7))))</f>
        <v/>
      </c>
      <c r="L16" s="1100" t="str">
        <f ca="1">IF('A-80 DirEntInv'!L15&lt;&gt;"",'A-80 DirEntInv'!L15,IF(INDIRECT(ADDRESS(SumRef!BA22,SumRef!BA$16,,,SumRef!$B$7))="","",INDIRECT(ADDRESS(SumRef!BA22,SumRef!BA$16,,,SumRef!$B$7))))</f>
        <v/>
      </c>
      <c r="M16" s="1101" t="str">
        <f ca="1">IF('A-80 DirEntInv'!M15&lt;&gt;"",'A-80 DirEntInv'!M15,IF(INDIRECT(ADDRESS(SumRef!BB22,SumRef!BB$16,,,SumRef!$B$7))="","",INDIRECT(ADDRESS(SumRef!BB22,SumRef!BB$16,,,SumRef!$B$7))))</f>
        <v/>
      </c>
      <c r="N16" s="1098" t="str">
        <f ca="1">IF('A-80 DirEntInv'!N15&lt;&gt;"",'A-80 DirEntInv'!N15,IF(INDIRECT(ADDRESS(SumRef!BC22,SumRef!BC$16,,,SumRef!$B$7))="","",INDIRECT(ADDRESS(SumRef!BC22,SumRef!BC$16,,,SumRef!$B$7))))</f>
        <v/>
      </c>
      <c r="O16" s="1102" t="str">
        <f ca="1">IF('A-80 DirEntInv'!O15&lt;&gt;"",'A-80 DirEntInv'!O15,IF(INDIRECT(ADDRESS(SumRef!BD22,SumRef!BD$16,,,SumRef!$B$7))="","",INDIRECT(ADDRESS(SumRef!BD22,SumRef!BD$16,,,SumRef!$B$7))))</f>
        <v/>
      </c>
      <c r="Q16" s="589"/>
      <c r="R16" s="1103" t="str">
        <f ca="1">IF('A-80 DirEntInv'!R15&lt;&gt;"",'A-80 DirEntInv'!R15,IF(INDIRECT(ADDRESS(SumRef!BH22,SumRef!BH$16,,,SumRef!$B$8))="","",INDIRECT(ADDRESS(SumRef!BH22,SumRef!BH$16,,,SumRef!$B$8))))</f>
        <v/>
      </c>
      <c r="S16" s="1104" t="str">
        <f ca="1">IF('A-80 DirEntInv'!S15&lt;&gt;"",'A-80 DirEntInv'!S15,IF(INDIRECT(ADDRESS(SumRef!BI22,SumRef!BI$16,,,SumRef!$B$8))="","",INDIRECT(ADDRESS(SumRef!BI22,SumRef!BI$16,,,SumRef!$B$8))))</f>
        <v/>
      </c>
      <c r="T16" s="1104" t="str">
        <f ca="1">IF('A-80 DirEntInv'!T15&lt;&gt;"",'A-80 DirEntInv'!T15,IF(INDIRECT(ADDRESS(SumRef!BJ22,SumRef!BJ$16,,,SumRef!$B$8))="","",INDIRECT(ADDRESS(SumRef!BJ22,SumRef!BJ$16,,,SumRef!$B$8))))</f>
        <v/>
      </c>
      <c r="U16" s="1104" t="str">
        <f ca="1">IF('A-80 DirEntInv'!U15&lt;&gt;"",'A-80 DirEntInv'!U15,IF(INDIRECT(ADDRESS(SumRef!BK22,SumRef!BK$16,,,SumRef!$B$8))="","",INDIRECT(ADDRESS(SumRef!BK22,SumRef!BK$16,,,SumRef!$B$8))))</f>
        <v/>
      </c>
      <c r="V16" s="1104" t="str">
        <f ca="1">IF('A-80 DirEntInv'!V15&lt;&gt;"",'A-80 DirEntInv'!V15,IF(INDIRECT(ADDRESS(SumRef!BL22,SumRef!BL$16,,,SumRef!$B$8))="","",INDIRECT(ADDRESS(SumRef!BL22,SumRef!BL$16,,,SumRef!$B$8))))</f>
        <v/>
      </c>
      <c r="W16" s="1354" t="str">
        <f ca="1">IF('A-80 DirEntInv'!W15&lt;&gt;"",'A-80 DirEntInv'!W15,IF(INDIRECT(ADDRESS(SumRef!BM22,SumRef!BM$16,,,SumRef!$B$8))="","",INDIRECT(ADDRESS(SumRef!BM22,SumRef!BM$16,,,SumRef!$B$8))))</f>
        <v/>
      </c>
      <c r="X16" s="1203" t="str">
        <f ca="1">IF('A-80 DirEntInv'!X15&lt;&gt;"",'A-80 DirEntInv'!X15,IF(INDIRECT(ADDRESS(SumRef!BN22,SumRef!BN$16,,,SumRef!$B$8))="","",INDIRECT(ADDRESS(SumRef!BN22,SumRef!BN$16,,,SumRef!$B$8))))</f>
        <v/>
      </c>
      <c r="Y16" s="1203" t="str">
        <f ca="1">IF('A-80 DirEntInv'!Y15&lt;&gt;"",'A-80 DirEntInv'!Y15,IF(INDIRECT(ADDRESS(SumRef!BO22,SumRef!BO$16,,,SumRef!$B$8))="","",INDIRECT(ADDRESS(SumRef!BO22,SumRef!BO$16,,,SumRef!$B$8))))</f>
        <v/>
      </c>
      <c r="Z16" s="1104" t="str">
        <f ca="1">IF('A-80 DirEntInv'!Z15&lt;&gt;"",'A-80 DirEntInv'!Z15,IF(INDIRECT(ADDRESS(SumRef!BP22,SumRef!BP$16,,,SumRef!$B$8))="","",INDIRECT(ADDRESS(SumRef!BP22,SumRef!BP$16,,,SumRef!$B$8))))</f>
        <v/>
      </c>
      <c r="AA16" s="1104" t="str">
        <f ca="1">IF('A-80 DirEntInv'!AA15&lt;&gt;"",'A-80 DirEntInv'!AA15,IF(INDIRECT(ADDRESS(SumRef!BQ22,SumRef!BQ$16,,,SumRef!$B$8))="","",INDIRECT(ADDRESS(SumRef!BQ22,SumRef!BQ$16,,,SumRef!$B$8))))</f>
        <v/>
      </c>
      <c r="AB16" s="1106" t="str">
        <f ca="1">IF('A-80 DirEntInv'!AB15&lt;&gt;"",'A-80 DirEntInv'!AB15,IF(INDIRECT(ADDRESS(SumRef!BR22,SumRef!BR$16,,,SumRef!$B$8))="","",INDIRECT(ADDRESS(SumRef!BR22,SumRef!BR$16,,,SumRef!$B$8))))</f>
        <v/>
      </c>
      <c r="AC16" s="1107" t="str">
        <f ca="1">IF('A-80 DirEntInv'!AC15&lt;&gt;"",'A-80 DirEntInv'!AC15,IF(INDIRECT(ADDRESS(SumRef!BS22,SumRef!BS$16,,,SumRef!$B$8))="","",INDIRECT(ADDRESS(SumRef!BS22,SumRef!BS$16,,,SumRef!$B$8))))</f>
        <v/>
      </c>
      <c r="AD16" s="1349" t="str">
        <f ca="1">IF('A-80 DirEntInv'!AD15&lt;&gt;"",'A-80 DirEntInv'!AD15,IF(INDIRECT(ADDRESS(SumRef!BT22,SumRef!BT$16,,,SumRef!$B$8))="","",INDIRECT(ADDRESS(SumRef!BT22,SumRef!BT$16,,,SumRef!$B$8))))</f>
        <v/>
      </c>
      <c r="AE16" s="1137" t="str">
        <f ca="1">IF('A-80 DirEntInv'!AE15&lt;&gt;"",'A-80 DirEntInv'!AE15,IF(INDIRECT(ADDRESS(SumRef!BU22,SumRef!BU$16,,,SumRef!$B$8))="","",INDIRECT(ADDRESS(SumRef!BU22,SumRef!BU$16,,,SumRef!$B$8))))</f>
        <v/>
      </c>
      <c r="AF16" s="1346" t="str">
        <f ca="1">IF('A-80 DirEntInv'!AF15&lt;&gt;"",'A-80 DirEntInv'!AF15,IF(INDIRECT(ADDRESS(SumRef!BV22,SumRef!BV$16,,,SumRef!$B$8))="","",INDIRECT(ADDRESS(SumRef!BV22,SumRef!BV$16,,,SumRef!$B$8))))</f>
        <v/>
      </c>
      <c r="AG16" s="1105" t="str">
        <f ca="1">IF('A-80 DirEntInv'!AG15&lt;&gt;"",'A-80 DirEntInv'!AG15,IF(INDIRECT(ADDRESS(SumRef!BW22,SumRef!BW$16,,,SumRef!$B$8))="","",INDIRECT(ADDRESS(SumRef!BW22,SumRef!BW$16,,,SumRef!$B$8))))</f>
        <v/>
      </c>
      <c r="AH16" s="1357" t="str">
        <f ca="1">IF('A-80 DirEntInv'!AH15&lt;&gt;"",'A-80 DirEntInv'!AH15,IF(INDIRECT(ADDRESS(SumRef!BX22,SumRef!BX$16,,,SumRef!$B$8))="","",INDIRECT(ADDRESS(SumRef!BX22,SumRef!BX$16,,,SumRef!$B$8))))</f>
        <v/>
      </c>
      <c r="AK16" s="1041" t="str">
        <f>Codes!$C$156</f>
        <v>AG - Automated Guideway (DO)</v>
      </c>
      <c r="AL16" s="1042" t="str">
        <f>Valid!$B$76</f>
        <v>Below-Grade/Retained Cut</v>
      </c>
      <c r="AM16" s="1108" t="str">
        <f>IF('A-80 DirEntInv'!AM15&lt;&gt;"",'A-80 DirEntInv'!AM15,IF(AK16=summaryref2!B17,summaryref2!D17,IF(Summary!AK16=summaryref2!B31,summaryref2!D31,IF(AK16=summaryref2!B45,summaryref2!D45,IF(AK16=summaryref2!B59,summaryref2!D59,IF(AK16=summaryref2!B73,summaryref2!D73,IF(AK16=summaryref2!B87,summaryref2!D87,IF(AK16=summaryref2!B101,summaryref2!D101,IF(AK16=summaryref2!B115,summaryref2!D115,IF(AK16=summaryref2!B129,summaryref2!D129,IF(AK16=summaryref2!B143,summaryref2!D143,"")))))))))))</f>
        <v/>
      </c>
      <c r="AN16" s="1109" t="str">
        <f ca="1">IF('A-80 DirEntInv'!AN15&lt;&gt;"",'A-80 DirEntInv'!AN15,IF(INDIRECT(ADDRESS(SumRef!CG22,SumRef!CG$16,,,SumRef!$C$7))="","",INDIRECT(ADDRESS(SumRef!CG22,SumRef!CG$16,,,SumRef!$C$7))))</f>
        <v>Linear Feet</v>
      </c>
      <c r="AO16" s="1108" t="str">
        <f>IF('A-80 DirEntInv'!AO15&lt;&gt;"",'A-80 DirEntInv'!AO15,IF(AM16=summaryref2!D17,summaryref2!F17,IF(Summary!AM16=summaryref2!D31,summaryref2!F31,IF(AM16=summaryref2!D45,summaryref2!F45,IF(AM16=summaryref2!D59,summaryref2!F59,IF(AM16=summaryref2!D73,summaryref2!F73,IF(AM16=summaryref2!D87,summaryref2!F87,IF(AM16=summaryref2!D101,summaryref2!F101,IF(AM16=summaryref2!D115,summaryref2!F115,IF(AM16=summaryref2!D129,summaryref2!F129,IF(AM16=summaryref2!D143,summaryref2!F143,"")))))))))))</f>
        <v/>
      </c>
      <c r="AP16" s="1109" t="str">
        <f ca="1">IF('A-80 DirEntInv'!AP15&lt;&gt;"",'A-80 DirEntInv'!AP15,IF(INDIRECT(ADDRESS(SumRef!#REF!,SumRef!#REF!,,,SumRef!$C$7))="","",INDIRECT(ADDRESS(SumRef!#REF!,SumRef!#REF!,,,SumRef!$C$7))))</f>
        <v>Track Feet</v>
      </c>
      <c r="AQ16" s="1147" t="str">
        <f>IF('A-80 DirEntInv'!AQ15&lt;&gt;"",'A-80 DirEntInv'!AQ15,IF(AK16=summaryref2!B17,summaryref2!G17,IF(Summary!AK16=summaryref2!B31,summaryref2!G31,IF(AK16=summaryref2!B45,summaryref2!G45,IF(AK16=summaryref2!B59,summaryref2!G59,IF(AK16=summaryref2!B73,summaryref2!G73,IF(AK16=summaryref2!B87,summaryref2!G87,IF(AK16=summaryref2!B101,summaryref2!G101,IF(AK16=summaryref2!B115,summaryref2!G115,IF(AK16=summaryref2!B129,summaryref2!G129,IF(AK16=summaryref2!B143,summaryref2!G143,"")))))))))))</f>
        <v/>
      </c>
      <c r="AR16" s="1147" t="str">
        <f>IF('A-80 DirEntInv'!AR15&lt;&gt;"",'A-80 DirEntInv'!AR15,IF(AK16=summaryref2!B17,summaryref2!H17,IF(Summary!AK16=summaryref2!B31,summaryref2!H31,IF(AK16=summaryref2!B45,summaryref2!H45,IF(AK16=summaryref2!B59,summaryref2!H59,IF(AK16=summaryref2!B73,summaryref2!H73,IF(AK16=summaryref2!B87,summaryref2!H87,IF(AK16=summaryref2!B101,summaryref2!H101,IF(AK16=summaryref2!B115,summaryref2!H115,IF(AK16=summaryref2!B129,summaryref2!H129,IF(AK16=summaryref2!B143,summaryref2!H143,"")))))))))))</f>
        <v/>
      </c>
      <c r="AS16" s="1110" t="str">
        <f>IF('A-80 DirEntInv'!AS15&lt;&gt;"",'A-80 DirEntInv'!AS15,IF(AK16=summaryref2!B17,summaryref2!I17,IF(Summary!AK16=summaryref2!B31,summaryref2!I31,IF(AK16=summaryref2!B45,summaryref2!I45,IF(AK16=summaryref2!B59,summaryref2!I59,IF(AK16=summaryref2!B73,summaryref2!I73,IF(AK16=summaryref2!B87,summaryref2!I87,IF(AK16=summaryref2!B101,summaryref2!I101,IF(AK16=summaryref2!B115,summaryref2!I115,IF(AK16=summaryref2!B129,summaryref2!I129,IF(AK16=summaryref2!B143,summaryref2!I143,"")))))))))))</f>
        <v/>
      </c>
      <c r="AT16" s="1110" t="str">
        <f>IF('A-80 DirEntInv'!AT15&lt;&gt;"",'A-80 DirEntInv'!AT15,IF(AK16=summaryref2!B17,summaryref2!J17,IF(Summary!AK16=summaryref2!B31,summaryref2!J31,IF(AK16=summaryref2!B45,summaryref2!J45,IF(AK16=summaryref2!B59,summaryref2!J59,IF(AK16=summaryref2!B73,summaryref2!J73,IF(AK16=summaryref2!B87,summaryref2!J87,IF(AK16=summaryref2!B101,summaryref2!J101,IF(AK16=summaryref2!B115,summaryref2!J115,IF(AK16=summaryref2!B129,summaryref2!J129,IF(AK16=summaryref2!B143,summaryref2!J143,"")))))))))))</f>
        <v/>
      </c>
      <c r="AU16" s="1110" t="str">
        <f>IF('A-80 DirEntInv'!AU15&lt;&gt;"",'A-80 DirEntInv'!AU15,IF(AK16=summaryref2!B17,summaryref2!K17,IF(Summary!AK16=summaryref2!B31,summaryref2!K31,IF(AK16=summaryref2!B45,summaryref2!K45,IF(AK16=summaryref2!B59,summaryref2!K59,IF(AK16=summaryref2!B73,summaryref2!K73,IF(AK16=summaryref2!B87,summaryref2!K87,IF(AK16=summaryref2!B101,summaryref2!K101,IF(AK16=summaryref2!B115,summaryref2!K115,IF(AK16=summaryref2!B129,summaryref2!K129,IF(AK16=summaryref2!B143,summaryref2!K143,"")))))))))))</f>
        <v/>
      </c>
      <c r="AV16" s="1110" t="str">
        <f>IF('A-80 DirEntInv'!AV15&lt;&gt;"",'A-80 DirEntInv'!AV15,IF(AK16=summaryref2!B17,summaryref2!L17,IF(Summary!AK16=summaryref2!B31,summaryref2!L31,IF(AK16=summaryref2!B45,summaryref2!L45,IF(AK16=summaryref2!B59,summaryref2!L59,IF(AK16=summaryref2!B73,summaryref2!L73,IF(AK16=summaryref2!B87,summaryref2!L87,IF(AK16=summaryref2!B101,summaryref2!L101,IF(AK16=summaryref2!B115,summaryref2!L115,IF(AK16=summaryref2!B129,summaryref2!L129,IF(AK16=summaryref2!B143,summaryref2!L143,"")))))))))))</f>
        <v/>
      </c>
      <c r="AW16" s="1110" t="str">
        <f>IF('A-80 DirEntInv'!AW15&lt;&gt;"",'A-80 DirEntInv'!AW15,IF(AK16=summaryref2!B17,summaryref2!M17,IF(Summary!AK16=summaryref2!B31,summaryref2!M31,IF(AK16=summaryref2!B45,summaryref2!M45,IF(AK16=summaryref2!B59,summaryref2!M59,IF(AK16=summaryref2!B73,summaryref2!M73,IF(AK16=summaryref2!B87,summaryref2!M87,IF(AK16=summaryref2!B101,summaryref2!M101,IF(AK16=summaryref2!B115,summaryref2!M115,IF(AK16=summaryref2!B129,summaryref2!M129,IF(AK16=summaryref2!B143,summaryref2!M143,"")))))))))))</f>
        <v/>
      </c>
      <c r="AX16" s="1110" t="str">
        <f>IF('A-80 DirEntInv'!AX15&lt;&gt;"",'A-80 DirEntInv'!AX15,IF(AK16=summaryref2!B17,summaryref2!N17,IF(Summary!AK16=summaryref2!B31,summaryref2!N31,IF(AK16=summaryref2!B45,summaryref2!N45,IF(AK16=summaryref2!B59,summaryref2!N59,IF(AK16=summaryref2!B73,summaryref2!N73,IF(AK16=summaryref2!B87,summaryref2!N87,IF(AK16=summaryref2!B101,summaryref2!N101,IF(AK16=summaryref2!B115,summaryref2!N115,IF(AK16=summaryref2!B129,summaryref2!N129,IF(AK16=summaryref2!B143,summaryref2!N143,"")))))))))))</f>
        <v/>
      </c>
      <c r="AY16" s="1110" t="str">
        <f>IF('A-80 DirEntInv'!AY15&lt;&gt;"",'A-80 DirEntInv'!AY15,IF(AK16=summaryref2!B17,summaryref2!O17,IF(Summary!AK16=summaryref2!B31,summaryref2!O31,IF(AK16=summaryref2!B45,summaryref2!O45,IF(AK16=summaryref2!B59,summaryref2!O59,IF(AK16=summaryref2!B73,summaryref2!O73,IF(AK16=summaryref2!B87,summaryref2!O87,IF(AK16=summaryref2!B101,summaryref2!O101,IF(AK16=summaryref2!B115,summaryref2!O115,IF(AK16=summaryref2!B129,summaryref2!O129,IF(AK16=summaryref2!B143,summaryref2!O143,"")))))))))))</f>
        <v/>
      </c>
      <c r="AZ16" s="1110" t="str">
        <f>IF('A-80 DirEntInv'!AZ15&lt;&gt;"",'A-80 DirEntInv'!AZ15,IF(AK16=summaryref2!B17,summaryref2!P17,IF(Summary!AK16=summaryref2!B31,summaryref2!P31,IF(AK16=summaryref2!B45,summaryref2!P45,IF(AK16=summaryref2!B59,summaryref2!P59,IF(AK16=summaryref2!B73,summaryref2!P73,IF(AK16=summaryref2!B87,summaryref2!P87,IF(AK16=summaryref2!B101,summaryref2!P101,IF(AK16=summaryref2!B115,summaryref2!P115,IF(AK16=summaryref2!B129,summaryref2!P129,IF(AK16=summaryref2!B143,summaryref2!P143,"")))))))))))</f>
        <v/>
      </c>
      <c r="BA16" s="1110" t="str">
        <f>IF('A-80 DirEntInv'!BA15&lt;&gt;"",'A-80 DirEntInv'!BA15,IF(AK16=summaryref2!B17,summaryref2!Q17,IF(Summary!AK16=summaryref2!B31,summaryref2!Q31,IF(AK16=summaryref2!B45,summaryref2!Q45,IF(AK16=summaryref2!B59,summaryref2!Q59,IF(AK16=summaryref2!B73,summaryref2!Q73,IF(AK16=summaryref2!B87,summaryref2!Q87,IF(AK16=summaryref2!B101,summaryref2!Q101,IF(AK16=summaryref2!B115,summaryref2!Q115,IF(AK16=summaryref2!B129,summaryref2!Q129,IF(AK16=summaryref2!B143,summaryref2!Q143,"")))))))))))</f>
        <v/>
      </c>
      <c r="BB16" s="1110" t="str">
        <f>IF('A-80 DirEntInv'!BB15&lt;&gt;"",'A-80 DirEntInv'!BB15,IF(AK16=summaryref2!B17,summaryref2!R17,IF(Summary!AK16=summaryref2!B31,summaryref2!R31,IF(AK16=summaryref2!B45,summaryref2!R45,IF(AK16=summaryref2!B59,summaryref2!R59,IF(AK16=summaryref2!B73,summaryref2!R73,IF(AK16=summaryref2!B87,summaryref2!R87,IF(AK16=summaryref2!B101,summaryref2!R101,IF(AK16=summaryref2!B115,summaryref2!R115,IF(AK16=summaryref2!B129,summaryref2!R129,IF(AK16=summaryref2!B143,summaryref2!R143,"")))))))))))</f>
        <v/>
      </c>
      <c r="BC16" s="1110" t="str">
        <f>IF('A-80 DirEntInv'!BC15&lt;&gt;0,'A-80 DirEntInv'!BC15,IF(AK16=summaryref2!B17,summaryref2!S17,IF(Summary!AK16=summaryref2!B31,summaryref2!S31,IF(AK16=summaryref2!B45,summaryref2!S45,IF(AK16=summaryref2!B59,summaryref2!S59,IF(AK16=summaryref2!B73,summaryref2!S73,IF(AK16=summaryref2!B87,summaryref2!S87,IF(AK16=summaryref2!B101,summaryref2!S101,IF(AK16=summaryref2!B115,summaryref2!S115,IF(AK16=summaryref2!B129,summaryref2!S129,IF(AK16=summaryref2!B143,summaryref2!S143,"")))))))))))</f>
        <v/>
      </c>
      <c r="BD16" s="1111" t="str">
        <f>IF('A-80 DirEntInv'!BD15&lt;&gt;"",'A-80 DirEntInv'!BD15,IF(AK16=summaryref2!B17,summaryref2!T17,IF(Summary!AK16=summaryref2!B31,summaryref2!T31,IF(AK16=summaryref2!B45,summaryref2!T45,IF(AK16=summaryref2!B59,summaryref2!T59,IF(AK16=summaryref2!B73,summaryref2!T73,IF(AK16=summaryref2!B87,summaryref2!T87,IF(AK16=summaryref2!B101,summaryref2!T101,IF(AK16=summaryref2!B115,summaryref2!T115,IF(AK16=summaryref2!B129,summaryref2!T129,IF(AK16=summaryref2!B143,summaryref2!T143,"")))))))))))</f>
        <v/>
      </c>
      <c r="BE16" s="1184" t="str">
        <f>IF('A-80 DirEntInv'!BE15&lt;&gt;"",'A-80 DirEntInv'!BE15,IF(AK16=summaryref2!B17,summaryref2!U17,IF(Summary!AK16=summaryref2!B31,summaryref2!U31,IF(AK16=summaryref2!B45,summaryref2!U45,IF(AK16=summaryref2!B59,summaryref2!U59,IF(AK16=summaryref2!B73,summaryref2!U73,IF(AK16=summaryref2!B87,summaryref2!U87,IF(AK16=summaryref2!B101,summaryref2!U101,IF(AK16=summaryref2!B115,summaryref2!U115,IF(AK16=summaryref2!B129,summaryref2!U129,IF(AK16=summaryref2!B143,summaryref2!U143,"")))))))))))</f>
        <v/>
      </c>
      <c r="BF16" s="1432"/>
      <c r="BG16" s="1432"/>
      <c r="BJ16" s="1041" t="str">
        <f>Codes!$C$156</f>
        <v>AG - Automated Guideway (DO)</v>
      </c>
      <c r="BK16" s="1042" t="str">
        <f>Valid!$B$85</f>
        <v>Single Turnout</v>
      </c>
      <c r="BL16" s="1375" t="str">
        <f>IF('A-80 DirEntInv'!BL15&lt;&gt;"",'A-80 DirEntInv'!BL15,IF(BJ16=summaryref2!X17,summaryref2!Z17,IF(BJ16=summaryref2!X24,summaryref2!Z24,IF(BJ16=summaryref2!X31,summaryref2!Z31,IF(BJ16=summaryref2!X38,summaryref2!Z38,IF(BJ16=summaryref2!X45,summaryref2!Z45,IF(BJ16=summaryref2!X52,summaryref2!Z52,IF(BJ16=summaryref2!X59,summaryref2!Z59,IF(BJ16=summaryref2!X66,summaryref2!Z66,IF(BJ16=summaryref2!X73,summaryref2!Z73,IF(BJ16=summaryref2!X80,summaryref2!Z80,"")))))))))))</f>
        <v/>
      </c>
      <c r="BM16" s="1042" t="str">
        <f>VLOOKUP(BK16,Valid!$B$80:$C$86,2,FALSE)</f>
        <v>Each</v>
      </c>
      <c r="BN16" s="1209" t="str">
        <f>IF('A-80 DirEntInv'!BN15&lt;&gt;"",'A-80 DirEntInv'!BN15,IF(BJ16=summaryref2!X17,summaryref2!AB17,IF(BJ16=summaryref2!X24,summaryref2!AB24,IF(BJ16=summaryref2!X31,summaryref2!AB31,IF(BJ16=summaryref2!X38,summaryref2!AB38,IF(BJ16=summaryref2!X45,summaryref2!AB45,IF(BJ16=summaryref2!X52,summaryref2!AB52,IF(BJ16=summaryref2!X59,summaryref2!AB59,IF(BJ16=summaryref2!X66,summaryref2!AB66,IF(BJ16=summaryref2!X73,summaryref2!AB73,IF(BJ16=summaryref2!X80,summaryref2!AB80,"")))))))))))</f>
        <v/>
      </c>
      <c r="BO16" s="1116" t="str">
        <f>IF('A-80 DirEntInv'!BO15&lt;&gt;"",'A-80 DirEntInv'!BO15,IF(BJ16=summaryref2!X17,summaryref2!AC17,IF(BJ16=summaryref2!X24,summaryref2!AC24,IF(BJ16=summaryref2!X31,summaryref2!AC31,IF(BJ16=summaryref2!X38,summaryref2!AC38,IF(BJ16=summaryref2!X45,summaryref2!AC45,IF(BJ16=summaryref2!X52,summaryref2!AC52,IF(BJ16=summaryref2!X59,summaryref2!AC59,IF(BJ16=summaryref2!X66,summaryref2!AC66,IF(BJ16=summaryref2!X73,summaryref2!AC73,IF(BJ16=summaryref2!X80,summaryref2!AC80,"")))))))))))</f>
        <v/>
      </c>
      <c r="BP16" s="1384" t="str">
        <f>IF('A-80 DirEntInv'!BP15&lt;&gt;"",'A-80 DirEntInv'!BP15,IF(BJ16=summaryref2!X17,summaryref2!AD17,IF(BJ16=summaryref2!X24,summaryref2!AD24,IF(BJ16=summaryref2!X31,summaryref2!AD31,IF(BJ16=summaryref2!X38,summaryref2!AD38,IF(BJ16=summaryref2!X45,summaryref2!AD45,IF(BJ16=summaryref2!X52,summaryref2!AD52,IF(BJ16=summaryref2!X59,summaryref2!AD59,IF(BJ16=summaryref2!X66,summaryref2!AD66,IF(BJ16=summaryref2!X73,summaryref2!AD73,IF(BJ16=summaryref2!X80,summaryref2!AD80,"")))))))))))</f>
        <v/>
      </c>
      <c r="BS16" s="1472" t="str">
        <f ca="1">IF('A-80 DirEntInv'!BU15&lt;&gt;"",'A-80 DirEntInv'!BU15,IF(INDIRECT(ADDRESS(SumRef!DK22,SumRef!DK$16,,,SumRef!$E$6))="","",INDIRECT(ADDRESS(SumRef!DK22,SumRef!DK$16,,,SumRef!$E$6))))</f>
        <v/>
      </c>
      <c r="BT16" s="1458" t="str">
        <f ca="1">IF('A-80 DirEntInv'!BV15&lt;&gt;"",'A-80 DirEntInv'!BV15,IF(INDIRECT(ADDRESS(SumRef!DL22,SumRef!DL$16,,,SumRef!$E$6))="","",INDIRECT(ADDRESS(SumRef!DL22,SumRef!DL$16,,,SumRef!$E$6))))</f>
        <v/>
      </c>
      <c r="BU16" s="1177" t="str">
        <f ca="1">IF('A-80 DirEntInv'!BW15&lt;&gt;"",'A-80 DirEntInv'!BW15,IF(INDIRECT(ADDRESS(SumRef!DM22,SumRef!DM$16,,,SumRef!$E$6))="","",INDIRECT(ADDRESS(SumRef!DM22,SumRef!DM$16,,,SumRef!$E$6))))</f>
        <v/>
      </c>
      <c r="BV16" s="1460" t="str">
        <f ca="1">IF('A-80 DirEntInv'!BX15&lt;&gt;"",'A-80 DirEntInv'!BX15,IF(INDIRECT(ADDRESS(SumRef!DN22,SumRef!DN$16,,,SumRef!$E$6))="","",INDIRECT(ADDRESS(SumRef!DN22,SumRef!DN$16,,,SumRef!$E$6))))</f>
        <v/>
      </c>
      <c r="BW16" s="1460" t="str">
        <f ca="1">IF('A-80 DirEntInv'!BY15&lt;&gt;"",'A-80 DirEntInv'!BY15,IF(INDIRECT(ADDRESS(SumRef!DO22,SumRef!DO$16,,,SumRef!$E$6))="","",INDIRECT(ADDRESS(SumRef!DO22,SumRef!DO$16,,,SumRef!$E$6))))</f>
        <v/>
      </c>
      <c r="BX16" s="1116" t="str">
        <f ca="1">IF('A-80 DirEntInv'!BZ15&lt;&gt;"",'A-80 DirEntInv'!BZ15,IF(INDIRECT(ADDRESS(SumRef!DP22,SumRef!DP$16,,,SumRef!$E$6))="","",INDIRECT(ADDRESS(SumRef!DP22,SumRef!DP$16,,,SumRef!$E$6))))</f>
        <v/>
      </c>
      <c r="BY16" s="1461" t="str">
        <f ca="1">IF('A-80 DirEntInv'!CA15&lt;&gt;"",'A-80 DirEntInv'!CA15,IF(INDIRECT(ADDRESS(SumRef!DQ22,SumRef!DQ$16,,,SumRef!$E$6))="","",INDIRECT(ADDRESS(SumRef!DQ22,SumRef!DQ$16,,,SumRef!$E$6))))</f>
        <v/>
      </c>
      <c r="BZ16" s="1460" t="str">
        <f ca="1">IF('A-80 DirEntInv'!CB15&lt;&gt;"",'A-80 DirEntInv'!CB15,IF(INDIRECT(ADDRESS(SumRef!DR22,SumRef!DR$16,,,SumRef!$E$6))="","",INDIRECT(ADDRESS(SumRef!DR22,SumRef!DR$16,,,SumRef!$E$6))))</f>
        <v/>
      </c>
      <c r="CA16" s="1462" t="str">
        <f ca="1">IF('A-80 DirEntInv'!CC15&lt;&gt;"",'A-80 DirEntInv'!CC15,IF(INDIRECT(ADDRESS(SumRef!DS22,SumRef!DS$16,,,SumRef!$E$6))="","",INDIRECT(ADDRESS(SumRef!DS22,SumRef!DS$16,,,SumRef!$E$6))))</f>
        <v/>
      </c>
      <c r="CD16" s="1160" t="str">
        <f ca="1">IF('A-80 DirEntInv'!CF15&lt;&gt;"",'A-80 DirEntInv'!CF15,IF(INDIRECT(ADDRESS(SumRef!DV22,SumRef!DV$16,,,SumRef!$E$7))="","",INDIRECT(ADDRESS(SumRef!DV22,SumRef!DV$16,,,SumRef!$E$7))))</f>
        <v/>
      </c>
      <c r="CE16" s="1167" t="str">
        <f ca="1">IF('A-80 DirEntInv'!CG15&lt;&gt;"",'A-80 DirEntInv'!CG15,IF(INDIRECT(ADDRESS(SumRef!DW22,SumRef!DW$16,,,SumRef!$E$7))="","",INDIRECT(ADDRESS(SumRef!DW22,SumRef!DW$16,,,SumRef!$E$7))))</f>
        <v/>
      </c>
      <c r="CF16" s="1167" t="str">
        <f ca="1">IF('A-80 DirEntInv'!CH15&lt;&gt;"",'A-80 DirEntInv'!CH15,IF(INDIRECT(ADDRESS(SumRef!DX22,SumRef!DX$16,,,SumRef!$E$7))="","",INDIRECT(ADDRESS(SumRef!DX22,SumRef!DX$16,,,SumRef!$E$7))))</f>
        <v/>
      </c>
      <c r="CG16" s="1167" t="str">
        <f ca="1">IF('A-80 DirEntInv'!CI15&lt;&gt;"",'A-80 DirEntInv'!CI15,IF(INDIRECT(ADDRESS(SumRef!DY22,SumRef!DY$16,,,SumRef!$E$7))="","",INDIRECT(ADDRESS(SumRef!DY22,SumRef!DY$16,,,SumRef!$E$7))))</f>
        <v/>
      </c>
      <c r="CH16" s="1167" t="str">
        <f ca="1">IF('A-80 DirEntInv'!CJ15&lt;&gt;"",'A-80 DirEntInv'!CJ15,IF(INDIRECT(ADDRESS(SumRef!DZ22,SumRef!DZ$16,,,SumRef!$E$7))="","",INDIRECT(ADDRESS(SumRef!DZ22,SumRef!DZ$16,,,SumRef!$E$7))))</f>
        <v/>
      </c>
      <c r="CI16" s="1167" t="str">
        <f ca="1">IF('A-80 DirEntInv'!CK15&lt;&gt;"",'A-80 DirEntInv'!CK15,IF(INDIRECT(ADDRESS(SumRef!EA22,SumRef!EA$16,,,SumRef!$E$7))="","",INDIRECT(ADDRESS(SumRef!EA22,SumRef!EA$16,,,SumRef!$E$7))))</f>
        <v/>
      </c>
      <c r="CJ16" s="1114" t="str">
        <f ca="1">IF('A-80 DirEntInv'!CL15&lt;&gt;"",'A-80 DirEntInv'!CL15,IF(INDIRECT(ADDRESS(SumRef!EB22,SumRef!EB$16,,,SumRef!$E$7))="","",INDIRECT(ADDRESS(SumRef!EB22,SumRef!EB$16,,,SumRef!$E$7))))</f>
        <v/>
      </c>
      <c r="CK16" s="1114" t="str">
        <f ca="1">IF('A-80 DirEntInv'!CM15&lt;&gt;"",'A-80 DirEntInv'!CM15,IF(INDIRECT(ADDRESS(SumRef!EC22,SumRef!EC$16,,,SumRef!$E$7))="","",INDIRECT(ADDRESS(SumRef!EC22,SumRef!EC$16,,,SumRef!$E$7))))</f>
        <v/>
      </c>
      <c r="CL16" s="1113" t="str">
        <f ca="1">IF('A-80 DirEntInv'!CO15&lt;&gt;"",'A-80 DirEntInv'!CO15,IF(INDIRECT(ADDRESS(SumRef!ED22,SumRef!ED$16,,,SumRef!$E$7))="","",INDIRECT(ADDRESS(SumRef!ED22,SumRef!ED$16,,,SumRef!$E$7))))</f>
        <v/>
      </c>
      <c r="CM16" s="1114" t="str">
        <f ca="1">IF('A-80 DirEntInv'!CP15&lt;&gt;"",'A-80 DirEntInv'!CP15,IF(INDIRECT(ADDRESS(SumRef!EE22,SumRef!EE$16,,,SumRef!$E$7))="","",INDIRECT(ADDRESS(SumRef!EE22,SumRef!EE$16,,,SumRef!$E$7))))</f>
        <v/>
      </c>
      <c r="CN16" s="1114" t="str">
        <f ca="1">IF('A-80 DirEntInv'!CQ15&lt;&gt;"",'A-80 DirEntInv'!CQ15,IF(INDIRECT(ADDRESS(SumRef!EF22,SumRef!EF$16,,,SumRef!$E$7))="","",INDIRECT(ADDRESS(SumRef!EF22,SumRef!EF$16,,,SumRef!$E$7))))</f>
        <v/>
      </c>
      <c r="CO16" s="1113" t="str">
        <f ca="1">IF('A-80 DirEntInv'!CR15&lt;&gt;"",'A-80 DirEntInv'!CR15,IF(INDIRECT(ADDRESS(SumRef!EG22,SumRef!EG$16,,,SumRef!$E$7))="","",INDIRECT(ADDRESS(SumRef!EG22,SumRef!EG$16,,,SumRef!$E$7))))</f>
        <v/>
      </c>
      <c r="CP16" s="1114" t="str">
        <f ca="1">IF('A-80 DirEntInv'!CS15&lt;&gt;"",'A-80 DirEntInv'!CS15,IF(INDIRECT(ADDRESS(SumRef!EH22,SumRef!EH$16,,,SumRef!$E$7))="","",INDIRECT(ADDRESS(SumRef!EH22,SumRef!EH$16,,,SumRef!$E$7))))</f>
        <v/>
      </c>
      <c r="CQ16" s="1346" t="str">
        <f ca="1">IF('A-80 DirEntInv'!CT15&lt;&gt;"",'A-80 DirEntInv'!CT15,IF(INDIRECT(ADDRESS(SumRef!EI22,SumRef!EI$16,,,SumRef!$E$7))="","",INDIRECT(ADDRESS(SumRef!EI22,SumRef!EI$16,,,SumRef!$E$7))))</f>
        <v/>
      </c>
      <c r="CR16" s="1113" t="str">
        <f ca="1">IF('A-80 DirEntInv'!CU15&lt;&gt;"",'A-80 DirEntInv'!CU15,IF(INDIRECT(ADDRESS(SumRef!EJ22,SumRef!EJ$16,,,SumRef!$E$7))="","",INDIRECT(ADDRESS(SumRef!EJ22,SumRef!EJ$16,,,SumRef!$E$7))))</f>
        <v/>
      </c>
      <c r="CS16" s="1346" t="str">
        <f ca="1">IF('A-80 DirEntInv'!CV15&lt;&gt;"",'A-80 DirEntInv'!CV15,IF(INDIRECT(ADDRESS(SumRef!EM22,SumRef!EM$16,,,SumRef!$E$7))="","",INDIRECT(ADDRESS(SumRef!EM22,SumRef!EM$16,,,SumRef!$E$7))))</f>
        <v/>
      </c>
      <c r="CT16" s="1113" t="str">
        <f ca="1">IF('A-80 DirEntInv'!CW15&lt;&gt;"",'A-80 DirEntInv'!CW15,IF(INDIRECT(ADDRESS(SumRef!EN22,SumRef!EN$16,,,SumRef!$E$7))="","",INDIRECT(ADDRESS(SumRef!EN22,SumRef!EN$16,,,SumRef!$E$7))))</f>
        <v/>
      </c>
      <c r="CU16" s="1113" t="str">
        <f ca="1">IF('A-80 DirEntInv'!CX15&lt;&gt;"",'A-80 DirEntInv'!CX15,IF(INDIRECT(ADDRESS(SumRef!EO22,SumRef!EO$16,,,SumRef!$E$7))="","",INDIRECT(ADDRESS(SumRef!EO22,SumRef!EO$16,,,SumRef!$E$7))))</f>
        <v/>
      </c>
      <c r="CV16" s="1113" t="str">
        <f ca="1">IF('A-80 DirEntInv'!CY15&lt;&gt;"",'A-80 DirEntInv'!CY15,IF(INDIRECT(ADDRESS(SumRef!EP22,SumRef!EP$16,,,SumRef!$E$7))="","",INDIRECT(ADDRESS(SumRef!EP22,SumRef!EP$16,,,SumRef!$E$7))))</f>
        <v/>
      </c>
      <c r="CW16" s="1114" t="str">
        <f ca="1">IF('A-80 DirEntInv'!CZ15&lt;&gt;"",'A-80 DirEntInv'!CZ15,IF(INDIRECT(ADDRESS(SumRef!ES22,SumRef!ES$16,,,SumRef!$E$7))="","",INDIRECT(ADDRESS(SumRef!ES22,SumRef!ES$16,,,SumRef!$E$7))))</f>
        <v/>
      </c>
      <c r="CX16" s="1167" t="str">
        <f ca="1">IF('A-80 DirEntInv'!DA15&lt;&gt;"",'A-80 DirEntInv'!DA15,IF(INDIRECT(ADDRESS(SumRef!ET22,SumRef!ET$16,,,SumRef!$E$7))="","",INDIRECT(ADDRESS(SumRef!ET22,SumRef!ET$16,,,SumRef!$E$7))))</f>
        <v/>
      </c>
      <c r="CY16" s="1167" t="str">
        <f ca="1">IF('A-80 DirEntInv'!DB15&lt;&gt;"",'A-80 DirEntInv'!DB15,IF(INDIRECT(ADDRESS(SumRef!EU22,SumRef!EU$16,,,SumRef!$E$7))="","",INDIRECT(ADDRESS(SumRef!EU22,SumRef!EU$16,,,SumRef!$E$7))))</f>
        <v/>
      </c>
      <c r="CZ16" s="1167" t="b">
        <f ca="1">IF('A-80 DirEntInv'!DC15&lt;&gt;"",'A-80 DirEntInv'!DC15,IF(INDIRECT(ADDRESS(SumRef!EV22,SumRef!EV$16,,,SumRef!$E$7))="","",INDIRECT(ADDRESS(SumRef!EV22,SumRef!EV$16,,,SumRef!$E$7))))</f>
        <v>0</v>
      </c>
      <c r="DA16" s="1373" t="str">
        <f ca="1">IF('A-80 DirEntInv'!DD15&lt;&gt;"",'A-80 DirEntInv'!DD15,IF(INDIRECT(ADDRESS(SumRef!EW22,SumRef!EW$16,,,SumRef!$E$7))="","",INDIRECT(ADDRESS(SumRef!EW22,SumRef!EW$16,,,SumRef!$E$7))))</f>
        <v/>
      </c>
      <c r="DB16" s="1373" t="b">
        <f ca="1">IF('A-80 DirEntInv'!DE15&lt;&gt;"",'A-80 DirEntInv'!DE15,IF(INDIRECT(ADDRESS(SumRef!EX22,SumRef!EX$16,,,SumRef!$E$7))="","",INDIRECT(ADDRESS(SumRef!EX22,SumRef!EX$16,,,SumRef!$E$7))))</f>
        <v>0</v>
      </c>
      <c r="DC16" s="1114" t="b">
        <f ca="1">IF('A-80 DirEntInv'!DF15&lt;&gt;"",'A-80 DirEntInv'!DF15,IF(INDIRECT(ADDRESS(SumRef!EY22,SumRef!EY$16,,,SumRef!$E$7))="","",INDIRECT(ADDRESS(SumRef!EY22,SumRef!EY$16,,,SumRef!$E$7))))</f>
        <v>0</v>
      </c>
      <c r="DD16" s="1115" t="str">
        <f ca="1">IF('A-80 DirEntInv'!DG15&lt;&gt;"",'A-80 DirEntInv'!DG15,IF(INDIRECT(ADDRESS(SumRef!EZ22,SumRef!EZ$16,,,SumRef!$E$7))="","",INDIRECT(ADDRESS(SumRef!EZ22,SumRef!EZ$16,,,SumRef!$E$7))))</f>
        <v/>
      </c>
    </row>
    <row r="17" spans="1:108" s="588" customFormat="1" ht="13.5" thickBot="1" x14ac:dyDescent="0.25">
      <c r="A17" s="589">
        <f t="shared" si="0"/>
        <v>7</v>
      </c>
      <c r="B17" s="1155" t="str">
        <f ca="1">IF('A-80 DirEntInv'!B16&lt;&gt;"",'A-80 DirEntInv'!B16,IF(INDIRECT(ADDRESS(SumRef!AQ23,SumRef!AQ$16,,,SumRef!$B$7))="","",INDIRECT(ADDRESS(SumRef!AQ23,SumRef!AQ$16,,,SumRef!$B$7))))</f>
        <v/>
      </c>
      <c r="C17" s="1097" t="str">
        <f ca="1">IF('A-80 DirEntInv'!C16&lt;&gt;"",'A-80 DirEntInv'!C16,IF(INDIRECT(ADDRESS(SumRef!AR23,SumRef!AR$16,,,SumRef!$B$7))="","",INDIRECT(ADDRESS(SumRef!AR23,SumRef!AR$16,,,SumRef!$B$7))))</f>
        <v/>
      </c>
      <c r="D17" s="1097" t="str">
        <f ca="1">IF('A-80 DirEntInv'!D16&lt;&gt;"",'A-80 DirEntInv'!D16,IF(INDIRECT(ADDRESS(SumRef!AS23,SumRef!AS$16,,,SumRef!$B$7))="","",INDIRECT(ADDRESS(SumRef!AS23,SumRef!AS$16,,,SumRef!$B$7))))</f>
        <v/>
      </c>
      <c r="E17" s="1097" t="str">
        <f ca="1">IF('A-80 DirEntInv'!E16&lt;&gt;"",'A-80 DirEntInv'!E16,IF(INDIRECT(ADDRESS(SumRef!AT23,SumRef!AT$16,,,SumRef!$B$7))="","",INDIRECT(ADDRESS(SumRef!AT23,SumRef!AT$16,,,SumRef!$B$7))))</f>
        <v/>
      </c>
      <c r="F17" s="1097" t="str">
        <f ca="1">IF('A-80 DirEntInv'!F16&lt;&gt;"",'A-80 DirEntInv'!F16,IF(INDIRECT(ADDRESS(SumRef!AU23,SumRef!AU$16,,,SumRef!$B$7))="","",INDIRECT(ADDRESS(SumRef!AU23,SumRef!AU$16,,,SumRef!$B$7))))</f>
        <v/>
      </c>
      <c r="G17" s="1158" t="str">
        <f ca="1">IF('A-80 DirEntInv'!G16&lt;&gt;"",'A-80 DirEntInv'!G16,IF(INDIRECT(ADDRESS(SumRef!AV23,SumRef!AV$16,,,SumRef!$B$7))="","",INDIRECT(ADDRESS(SumRef!AV23,SumRef!AV$16,,,SumRef!$B$7))))</f>
        <v/>
      </c>
      <c r="H17" s="1097" t="str">
        <f ca="1">IF('A-80 DirEntInv'!H16&lt;&gt;"",'A-80 DirEntInv'!H16,IF(INDIRECT(ADDRESS(SumRef!AW23,SumRef!AW$16,,,SumRef!$B$7))="","",INDIRECT(ADDRESS(SumRef!AW23,SumRef!AW$16,,,SumRef!$B$7))))</f>
        <v/>
      </c>
      <c r="I17" s="1097" t="str">
        <f ca="1">IF('A-80 DirEntInv'!I16&lt;&gt;"",'A-80 DirEntInv'!I16,IF(INDIRECT(ADDRESS(SumRef!AX23,SumRef!AX$16,,,SumRef!$B$7))="","",INDIRECT(ADDRESS(SumRef!AX23,SumRef!AX$16,,,SumRef!$B$7))))</f>
        <v/>
      </c>
      <c r="J17" s="1098" t="str">
        <f ca="1">IF('A-80 DirEntInv'!J16&lt;&gt;"",'A-80 DirEntInv'!J16,IF(INDIRECT(ADDRESS(SumRef!AY23,SumRef!AY$16,,,SumRef!$B$7))="","",INDIRECT(ADDRESS(SumRef!AY23,SumRef!AY$16,,,SumRef!$B$7))))</f>
        <v/>
      </c>
      <c r="K17" s="1099" t="str">
        <f ca="1">IF('A-80 DirEntInv'!K16&lt;&gt;"",'A-80 DirEntInv'!K16,IF(INDIRECT(ADDRESS(SumRef!AZ23,SumRef!AZ$16,,,SumRef!$B$7))="","",INDIRECT(ADDRESS(SumRef!AZ23,SumRef!AZ$16,,,SumRef!$B$7))))</f>
        <v/>
      </c>
      <c r="L17" s="1100" t="str">
        <f ca="1">IF('A-80 DirEntInv'!L16&lt;&gt;"",'A-80 DirEntInv'!L16,IF(INDIRECT(ADDRESS(SumRef!BA23,SumRef!BA$16,,,SumRef!$B$7))="","",INDIRECT(ADDRESS(SumRef!BA23,SumRef!BA$16,,,SumRef!$B$7))))</f>
        <v/>
      </c>
      <c r="M17" s="1101" t="str">
        <f ca="1">IF('A-80 DirEntInv'!M16&lt;&gt;"",'A-80 DirEntInv'!M16,IF(INDIRECT(ADDRESS(SumRef!BB23,SumRef!BB$16,,,SumRef!$B$7))="","",INDIRECT(ADDRESS(SumRef!BB23,SumRef!BB$16,,,SumRef!$B$7))))</f>
        <v/>
      </c>
      <c r="N17" s="1098" t="str">
        <f ca="1">IF('A-80 DirEntInv'!N16&lt;&gt;"",'A-80 DirEntInv'!N16,IF(INDIRECT(ADDRESS(SumRef!BC23,SumRef!BC$16,,,SumRef!$B$7))="","",INDIRECT(ADDRESS(SumRef!BC23,SumRef!BC$16,,,SumRef!$B$7))))</f>
        <v/>
      </c>
      <c r="O17" s="1102" t="str">
        <f ca="1">IF('A-80 DirEntInv'!O16&lt;&gt;"",'A-80 DirEntInv'!O16,IF(INDIRECT(ADDRESS(SumRef!BD23,SumRef!BD$16,,,SumRef!$B$7))="","",INDIRECT(ADDRESS(SumRef!BD23,SumRef!BD$16,,,SumRef!$B$7))))</f>
        <v/>
      </c>
      <c r="Q17" s="589"/>
      <c r="R17" s="1103" t="str">
        <f ca="1">IF('A-80 DirEntInv'!R16&lt;&gt;"",'A-80 DirEntInv'!R16,IF(INDIRECT(ADDRESS(SumRef!BH23,SumRef!BH$16,,,SumRef!$B$8))="","",INDIRECT(ADDRESS(SumRef!BH23,SumRef!BH$16,,,SumRef!$B$8))))</f>
        <v/>
      </c>
      <c r="S17" s="1104" t="str">
        <f ca="1">IF('A-80 DirEntInv'!S16&lt;&gt;"",'A-80 DirEntInv'!S16,IF(INDIRECT(ADDRESS(SumRef!BI23,SumRef!BI$16,,,SumRef!$B$8))="","",INDIRECT(ADDRESS(SumRef!BI23,SumRef!BI$16,,,SumRef!$B$8))))</f>
        <v/>
      </c>
      <c r="T17" s="1104" t="str">
        <f ca="1">IF('A-80 DirEntInv'!T16&lt;&gt;"",'A-80 DirEntInv'!T16,IF(INDIRECT(ADDRESS(SumRef!BJ23,SumRef!BJ$16,,,SumRef!$B$8))="","",INDIRECT(ADDRESS(SumRef!BJ23,SumRef!BJ$16,,,SumRef!$B$8))))</f>
        <v/>
      </c>
      <c r="U17" s="1104" t="str">
        <f ca="1">IF('A-80 DirEntInv'!U16&lt;&gt;"",'A-80 DirEntInv'!U16,IF(INDIRECT(ADDRESS(SumRef!BK23,SumRef!BK$16,,,SumRef!$B$8))="","",INDIRECT(ADDRESS(SumRef!BK23,SumRef!BK$16,,,SumRef!$B$8))))</f>
        <v/>
      </c>
      <c r="V17" s="1104" t="str">
        <f ca="1">IF('A-80 DirEntInv'!V16&lt;&gt;"",'A-80 DirEntInv'!V16,IF(INDIRECT(ADDRESS(SumRef!BL23,SumRef!BL$16,,,SumRef!$B$8))="","",INDIRECT(ADDRESS(SumRef!BL23,SumRef!BL$16,,,SumRef!$B$8))))</f>
        <v/>
      </c>
      <c r="W17" s="1354" t="str">
        <f ca="1">IF('A-80 DirEntInv'!W16&lt;&gt;"",'A-80 DirEntInv'!W16,IF(INDIRECT(ADDRESS(SumRef!BM23,SumRef!BM$16,,,SumRef!$B$8))="","",INDIRECT(ADDRESS(SumRef!BM23,SumRef!BM$16,,,SumRef!$B$8))))</f>
        <v/>
      </c>
      <c r="X17" s="1203" t="str">
        <f ca="1">IF('A-80 DirEntInv'!X16&lt;&gt;"",'A-80 DirEntInv'!X16,IF(INDIRECT(ADDRESS(SumRef!BN23,SumRef!BN$16,,,SumRef!$B$8))="","",INDIRECT(ADDRESS(SumRef!BN23,SumRef!BN$16,,,SumRef!$B$8))))</f>
        <v/>
      </c>
      <c r="Y17" s="1203" t="str">
        <f ca="1">IF('A-80 DirEntInv'!Y16&lt;&gt;"",'A-80 DirEntInv'!Y16,IF(INDIRECT(ADDRESS(SumRef!BO23,SumRef!BO$16,,,SumRef!$B$8))="","",INDIRECT(ADDRESS(SumRef!BO23,SumRef!BO$16,,,SumRef!$B$8))))</f>
        <v/>
      </c>
      <c r="Z17" s="1104" t="str">
        <f ca="1">IF('A-80 DirEntInv'!Z16&lt;&gt;"",'A-80 DirEntInv'!Z16,IF(INDIRECT(ADDRESS(SumRef!BP23,SumRef!BP$16,,,SumRef!$B$8))="","",INDIRECT(ADDRESS(SumRef!BP23,SumRef!BP$16,,,SumRef!$B$8))))</f>
        <v/>
      </c>
      <c r="AA17" s="1104" t="str">
        <f ca="1">IF('A-80 DirEntInv'!AA16&lt;&gt;"",'A-80 DirEntInv'!AA16,IF(INDIRECT(ADDRESS(SumRef!BQ23,SumRef!BQ$16,,,SumRef!$B$8))="","",INDIRECT(ADDRESS(SumRef!BQ23,SumRef!BQ$16,,,SumRef!$B$8))))</f>
        <v/>
      </c>
      <c r="AB17" s="1106" t="str">
        <f ca="1">IF('A-80 DirEntInv'!AB16&lt;&gt;"",'A-80 DirEntInv'!AB16,IF(INDIRECT(ADDRESS(SumRef!BR23,SumRef!BR$16,,,SumRef!$B$8))="","",INDIRECT(ADDRESS(SumRef!BR23,SumRef!BR$16,,,SumRef!$B$8))))</f>
        <v/>
      </c>
      <c r="AC17" s="1107" t="str">
        <f ca="1">IF('A-80 DirEntInv'!AC16&lt;&gt;"",'A-80 DirEntInv'!AC16,IF(INDIRECT(ADDRESS(SumRef!BS23,SumRef!BS$16,,,SumRef!$B$8))="","",INDIRECT(ADDRESS(SumRef!BS23,SumRef!BS$16,,,SumRef!$B$8))))</f>
        <v/>
      </c>
      <c r="AD17" s="1349" t="str">
        <f ca="1">IF('A-80 DirEntInv'!AD16&lt;&gt;"",'A-80 DirEntInv'!AD16,IF(INDIRECT(ADDRESS(SumRef!BT23,SumRef!BT$16,,,SumRef!$B$8))="","",INDIRECT(ADDRESS(SumRef!BT23,SumRef!BT$16,,,SumRef!$B$8))))</f>
        <v/>
      </c>
      <c r="AE17" s="1137" t="str">
        <f ca="1">IF('A-80 DirEntInv'!AE16&lt;&gt;"",'A-80 DirEntInv'!AE16,IF(INDIRECT(ADDRESS(SumRef!BU23,SumRef!BU$16,,,SumRef!$B$8))="","",INDIRECT(ADDRESS(SumRef!BU23,SumRef!BU$16,,,SumRef!$B$8))))</f>
        <v/>
      </c>
      <c r="AF17" s="1346" t="str">
        <f ca="1">IF('A-80 DirEntInv'!AF16&lt;&gt;"",'A-80 DirEntInv'!AF16,IF(INDIRECT(ADDRESS(SumRef!BV23,SumRef!BV$16,,,SumRef!$B$8))="","",INDIRECT(ADDRESS(SumRef!BV23,SumRef!BV$16,,,SumRef!$B$8))))</f>
        <v/>
      </c>
      <c r="AG17" s="1105" t="str">
        <f ca="1">IF('A-80 DirEntInv'!AG16&lt;&gt;"",'A-80 DirEntInv'!AG16,IF(INDIRECT(ADDRESS(SumRef!BW23,SumRef!BW$16,,,SumRef!$B$8))="","",INDIRECT(ADDRESS(SumRef!BW23,SumRef!BW$16,,,SumRef!$B$8))))</f>
        <v/>
      </c>
      <c r="AH17" s="1357" t="str">
        <f ca="1">IF('A-80 DirEntInv'!AH16&lt;&gt;"",'A-80 DirEntInv'!AH16,IF(INDIRECT(ADDRESS(SumRef!BX23,SumRef!BX$16,,,SumRef!$B$8))="","",INDIRECT(ADDRESS(SumRef!BX23,SumRef!BX$16,,,SumRef!$B$8))))</f>
        <v/>
      </c>
      <c r="AK17" s="1041" t="str">
        <f>Codes!$C$156</f>
        <v>AG - Automated Guideway (DO)</v>
      </c>
      <c r="AL17" s="1042" t="str">
        <f>Valid!$B$77</f>
        <v>Below-Grade/Cut-and-Cover Tunnel</v>
      </c>
      <c r="AM17" s="1108" t="str">
        <f>IF('A-80 DirEntInv'!AM16&lt;&gt;"",'A-80 DirEntInv'!AM16,IF(AK17=summaryref2!B18,summaryref2!D18,IF(Summary!AK17=summaryref2!B32,summaryref2!D32,IF(AK17=summaryref2!B46,summaryref2!D46,IF(AK17=summaryref2!B60,summaryref2!D60,IF(AK17=summaryref2!B74,summaryref2!D74,IF(AK17=summaryref2!B88,summaryref2!D88,IF(AK17=summaryref2!B102,summaryref2!D102,IF(AK17=summaryref2!B116,summaryref2!D116,IF(AK17=summaryref2!B130,summaryref2!D130,IF(AK17=summaryref2!B144,summaryref2!D144,"")))))))))))</f>
        <v/>
      </c>
      <c r="AN17" s="1109" t="str">
        <f ca="1">IF('A-80 DirEntInv'!AN16&lt;&gt;"",'A-80 DirEntInv'!AN16,IF(INDIRECT(ADDRESS(SumRef!CG23,SumRef!CG$16,,,SumRef!$C$7))="","",INDIRECT(ADDRESS(SumRef!CG23,SumRef!CG$16,,,SumRef!$C$7))))</f>
        <v>Linear Feet</v>
      </c>
      <c r="AO17" s="1108" t="str">
        <f>IF('A-80 DirEntInv'!AO16&lt;&gt;"",'A-80 DirEntInv'!AO16,IF(AM17=summaryref2!D18,summaryref2!F18,IF(Summary!AM17=summaryref2!D32,summaryref2!F32,IF(AM17=summaryref2!D46,summaryref2!F46,IF(AM17=summaryref2!D60,summaryref2!F60,IF(AM17=summaryref2!D74,summaryref2!F74,IF(AM17=summaryref2!D88,summaryref2!F88,IF(AM17=summaryref2!D102,summaryref2!F102,IF(AM17=summaryref2!D116,summaryref2!F116,IF(AM17=summaryref2!D130,summaryref2!F130,IF(AM17=summaryref2!D144,summaryref2!F144,"")))))))))))</f>
        <v/>
      </c>
      <c r="AP17" s="1109" t="str">
        <f ca="1">IF('A-80 DirEntInv'!AP16&lt;&gt;"",'A-80 DirEntInv'!AP16,IF(INDIRECT(ADDRESS(SumRef!#REF!,SumRef!#REF!,,,SumRef!$C$7))="","",INDIRECT(ADDRESS(SumRef!#REF!,SumRef!#REF!,,,SumRef!$C$7))))</f>
        <v>Track Feet</v>
      </c>
      <c r="AQ17" s="1147" t="str">
        <f>IF('A-80 DirEntInv'!AQ16&lt;&gt;"",'A-80 DirEntInv'!AQ16,IF(AK17=summaryref2!B18,summaryref2!G18,IF(Summary!AK17=summaryref2!B32,summaryref2!G32,IF(AK17=summaryref2!B46,summaryref2!G46,IF(AK17=summaryref2!B60,summaryref2!G60,IF(AK17=summaryref2!B74,summaryref2!G74,IF(AK17=summaryref2!B88,summaryref2!G88,IF(AK17=summaryref2!B102,summaryref2!G102,IF(AK17=summaryref2!B116,summaryref2!G116,IF(AK17=summaryref2!B130,summaryref2!G130,IF(AK17=summaryref2!B144,summaryref2!G144,"")))))))))))</f>
        <v/>
      </c>
      <c r="AR17" s="1147" t="str">
        <f>IF('A-80 DirEntInv'!AR16&lt;&gt;"",'A-80 DirEntInv'!AR16,IF(AK17=summaryref2!B18,summaryref2!H18,IF(Summary!AK17=summaryref2!B32,summaryref2!H32,IF(AK17=summaryref2!B46,summaryref2!H46,IF(AK17=summaryref2!B60,summaryref2!H60,IF(AK17=summaryref2!B74,summaryref2!H74,IF(AK17=summaryref2!B88,summaryref2!H88,IF(AK17=summaryref2!B102,summaryref2!H102,IF(AK17=summaryref2!B116,summaryref2!H116,IF(AK17=summaryref2!B130,summaryref2!H130,IF(AK17=summaryref2!B144,summaryref2!H144,"")))))))))))</f>
        <v/>
      </c>
      <c r="AS17" s="1110" t="str">
        <f>IF('A-80 DirEntInv'!AS16&lt;&gt;"",'A-80 DirEntInv'!AS16,IF(AK17=summaryref2!B18,summaryref2!I18,IF(Summary!AK17=summaryref2!B32,summaryref2!I32,IF(AK17=summaryref2!B46,summaryref2!I46,IF(AK17=summaryref2!B60,summaryref2!I60,IF(AK17=summaryref2!B74,summaryref2!I74,IF(AK17=summaryref2!B88,summaryref2!I88,IF(AK17=summaryref2!B102,summaryref2!I102,IF(AK17=summaryref2!B116,summaryref2!I116,IF(AK17=summaryref2!B130,summaryref2!I130,IF(AK17=summaryref2!B144,summaryref2!I144,"")))))))))))</f>
        <v/>
      </c>
      <c r="AT17" s="1110" t="str">
        <f>IF('A-80 DirEntInv'!AT16&lt;&gt;"",'A-80 DirEntInv'!AT16,IF(AK17=summaryref2!B18,summaryref2!J18,IF(Summary!AK17=summaryref2!B32,summaryref2!J32,IF(AK17=summaryref2!B46,summaryref2!J46,IF(AK17=summaryref2!B60,summaryref2!J60,IF(AK17=summaryref2!B74,summaryref2!J74,IF(AK17=summaryref2!B88,summaryref2!J88,IF(AK17=summaryref2!B102,summaryref2!J102,IF(AK17=summaryref2!B116,summaryref2!J116,IF(AK17=summaryref2!B130,summaryref2!J130,IF(AK17=summaryref2!B144,summaryref2!J144,"")))))))))))</f>
        <v/>
      </c>
      <c r="AU17" s="1110" t="str">
        <f>IF('A-80 DirEntInv'!AU16&lt;&gt;"",'A-80 DirEntInv'!AU16,IF(AK17=summaryref2!B18,summaryref2!K18,IF(Summary!AK17=summaryref2!B32,summaryref2!K32,IF(AK17=summaryref2!B46,summaryref2!K46,IF(AK17=summaryref2!B60,summaryref2!K60,IF(AK17=summaryref2!B74,summaryref2!K74,IF(AK17=summaryref2!B88,summaryref2!K88,IF(AK17=summaryref2!B102,summaryref2!K102,IF(AK17=summaryref2!B116,summaryref2!K116,IF(AK17=summaryref2!B130,summaryref2!K130,IF(AK17=summaryref2!B144,summaryref2!K144,"")))))))))))</f>
        <v/>
      </c>
      <c r="AV17" s="1110" t="str">
        <f>IF('A-80 DirEntInv'!AV16&lt;&gt;"",'A-80 DirEntInv'!AV16,IF(AK17=summaryref2!B18,summaryref2!L18,IF(Summary!AK17=summaryref2!B32,summaryref2!L32,IF(AK17=summaryref2!B46,summaryref2!L46,IF(AK17=summaryref2!B60,summaryref2!L60,IF(AK17=summaryref2!B74,summaryref2!L74,IF(AK17=summaryref2!B88,summaryref2!L88,IF(AK17=summaryref2!B102,summaryref2!L102,IF(AK17=summaryref2!B116,summaryref2!L116,IF(AK17=summaryref2!B130,summaryref2!L130,IF(AK17=summaryref2!B144,summaryref2!L144,"")))))))))))</f>
        <v/>
      </c>
      <c r="AW17" s="1110" t="str">
        <f>IF('A-80 DirEntInv'!AW16&lt;&gt;"",'A-80 DirEntInv'!AW16,IF(AK17=summaryref2!B18,summaryref2!M18,IF(Summary!AK17=summaryref2!B32,summaryref2!M32,IF(AK17=summaryref2!B46,summaryref2!M46,IF(AK17=summaryref2!B60,summaryref2!M60,IF(AK17=summaryref2!B74,summaryref2!M74,IF(AK17=summaryref2!B88,summaryref2!M88,IF(AK17=summaryref2!B102,summaryref2!M102,IF(AK17=summaryref2!B116,summaryref2!M116,IF(AK17=summaryref2!B130,summaryref2!M130,IF(AK17=summaryref2!B144,summaryref2!M144,"")))))))))))</f>
        <v/>
      </c>
      <c r="AX17" s="1110" t="str">
        <f>IF('A-80 DirEntInv'!AX16&lt;&gt;"",'A-80 DirEntInv'!AX16,IF(AK17=summaryref2!B18,summaryref2!N18,IF(Summary!AK17=summaryref2!B32,summaryref2!N32,IF(AK17=summaryref2!B46,summaryref2!N46,IF(AK17=summaryref2!B60,summaryref2!N60,IF(AK17=summaryref2!B74,summaryref2!N74,IF(AK17=summaryref2!B88,summaryref2!N88,IF(AK17=summaryref2!B102,summaryref2!N102,IF(AK17=summaryref2!B116,summaryref2!N116,IF(AK17=summaryref2!B130,summaryref2!N130,IF(AK17=summaryref2!B144,summaryref2!N144,"")))))))))))</f>
        <v/>
      </c>
      <c r="AY17" s="1110" t="str">
        <f>IF('A-80 DirEntInv'!AY16&lt;&gt;"",'A-80 DirEntInv'!AY16,IF(AK17=summaryref2!B18,summaryref2!O18,IF(Summary!AK17=summaryref2!B32,summaryref2!O32,IF(AK17=summaryref2!B46,summaryref2!O46,IF(AK17=summaryref2!B60,summaryref2!O60,IF(AK17=summaryref2!B74,summaryref2!O74,IF(AK17=summaryref2!B88,summaryref2!O88,IF(AK17=summaryref2!B102,summaryref2!O102,IF(AK17=summaryref2!B116,summaryref2!O116,IF(AK17=summaryref2!B130,summaryref2!O130,IF(AK17=summaryref2!B144,summaryref2!O144,"")))))))))))</f>
        <v/>
      </c>
      <c r="AZ17" s="1110" t="str">
        <f>IF('A-80 DirEntInv'!AZ16&lt;&gt;"",'A-80 DirEntInv'!AZ16,IF(AK17=summaryref2!B18,summaryref2!P18,IF(Summary!AK17=summaryref2!B32,summaryref2!P32,IF(AK17=summaryref2!B46,summaryref2!P46,IF(AK17=summaryref2!B60,summaryref2!P60,IF(AK17=summaryref2!B74,summaryref2!P74,IF(AK17=summaryref2!B88,summaryref2!P88,IF(AK17=summaryref2!B102,summaryref2!P102,IF(AK17=summaryref2!B116,summaryref2!P116,IF(AK17=summaryref2!B130,summaryref2!P130,IF(AK17=summaryref2!B144,summaryref2!P144,"")))))))))))</f>
        <v/>
      </c>
      <c r="BA17" s="1110" t="str">
        <f>IF('A-80 DirEntInv'!BA16&lt;&gt;"",'A-80 DirEntInv'!BA16,IF(AK17=summaryref2!B18,summaryref2!Q18,IF(Summary!AK17=summaryref2!B32,summaryref2!Q32,IF(AK17=summaryref2!B46,summaryref2!Q46,IF(AK17=summaryref2!B60,summaryref2!Q60,IF(AK17=summaryref2!B74,summaryref2!Q74,IF(AK17=summaryref2!B88,summaryref2!Q88,IF(AK17=summaryref2!B102,summaryref2!Q102,IF(AK17=summaryref2!B116,summaryref2!Q116,IF(AK17=summaryref2!B130,summaryref2!Q130,IF(AK17=summaryref2!B144,summaryref2!Q144,"")))))))))))</f>
        <v/>
      </c>
      <c r="BB17" s="1110" t="str">
        <f>IF('A-80 DirEntInv'!BB16&lt;&gt;"",'A-80 DirEntInv'!BB16,IF(AK17=summaryref2!B18,summaryref2!R18,IF(Summary!AK17=summaryref2!B32,summaryref2!R32,IF(AK17=summaryref2!B46,summaryref2!R46,IF(AK17=summaryref2!B60,summaryref2!R60,IF(AK17=summaryref2!B74,summaryref2!R74,IF(AK17=summaryref2!B88,summaryref2!R88,IF(AK17=summaryref2!B102,summaryref2!R102,IF(AK17=summaryref2!B116,summaryref2!R116,IF(AK17=summaryref2!B130,summaryref2!R130,IF(AK17=summaryref2!B144,summaryref2!R144,"")))))))))))</f>
        <v/>
      </c>
      <c r="BC17" s="1110" t="str">
        <f>IF('A-80 DirEntInv'!BC16&lt;&gt;0,'A-80 DirEntInv'!BC16,IF(AK17=summaryref2!B18,summaryref2!S18,IF(Summary!AK17=summaryref2!B32,summaryref2!S32,IF(AK17=summaryref2!B46,summaryref2!S46,IF(AK17=summaryref2!B60,summaryref2!S60,IF(AK17=summaryref2!B74,summaryref2!S74,IF(AK17=summaryref2!B88,summaryref2!S88,IF(AK17=summaryref2!B102,summaryref2!S102,IF(AK17=summaryref2!B116,summaryref2!S116,IF(AK17=summaryref2!B130,summaryref2!S130,IF(AK17=summaryref2!B144,summaryref2!S144,"")))))))))))</f>
        <v/>
      </c>
      <c r="BD17" s="1111" t="str">
        <f>IF('A-80 DirEntInv'!BD16&lt;&gt;"",'A-80 DirEntInv'!BD16,IF(AK17=summaryref2!B18,summaryref2!T18,IF(Summary!AK17=summaryref2!B32,summaryref2!T32,IF(AK17=summaryref2!B46,summaryref2!T46,IF(AK17=summaryref2!B60,summaryref2!T60,IF(AK17=summaryref2!B74,summaryref2!T74,IF(AK17=summaryref2!B88,summaryref2!T88,IF(AK17=summaryref2!B102,summaryref2!T102,IF(AK17=summaryref2!B116,summaryref2!T116,IF(AK17=summaryref2!B130,summaryref2!T130,IF(AK17=summaryref2!B144,summaryref2!T144,"")))))))))))</f>
        <v/>
      </c>
      <c r="BE17" s="1184" t="str">
        <f>IF('A-80 DirEntInv'!BE16&lt;&gt;"",'A-80 DirEntInv'!BE16,IF(AK17=summaryref2!B18,summaryref2!U18,IF(Summary!AK17=summaryref2!B32,summaryref2!U32,IF(AK17=summaryref2!B46,summaryref2!U46,IF(AK17=summaryref2!B60,summaryref2!U60,IF(AK17=summaryref2!B74,summaryref2!U74,IF(AK17=summaryref2!B88,summaryref2!U88,IF(AK17=summaryref2!B102,summaryref2!U102,IF(AK17=summaryref2!B116,summaryref2!U116,IF(AK17=summaryref2!B130,summaryref2!U130,IF(AK17=summaryref2!B144,summaryref2!U144,"")))))))))))</f>
        <v/>
      </c>
      <c r="BF17" s="1432"/>
      <c r="BG17" s="1432"/>
      <c r="BJ17" s="1047" t="str">
        <f>Codes!$C$156</f>
        <v>AG - Automated Guideway (DO)</v>
      </c>
      <c r="BK17" s="1050" t="str">
        <f>Valid!$B$86</f>
        <v>Grade Crossings</v>
      </c>
      <c r="BL17" s="1369" t="str">
        <f>IF('A-80 DirEntInv'!BL16&lt;&gt;"",'A-80 DirEntInv'!BL16,IF(BJ17=summaryref2!X18,summaryref2!Z18,IF(BJ17=summaryref2!X25,summaryref2!Z25,IF(BJ17=summaryref2!X32,summaryref2!Z32,IF(BJ17=summaryref2!X39,summaryref2!Z39,IF(BJ17=summaryref2!X46,summaryref2!Z46,IF(BJ17=summaryref2!X53,summaryref2!Z53,IF(BJ17=summaryref2!X60,summaryref2!Z60,IF(BJ17=summaryref2!X67,summaryref2!Z67,IF(BJ17=summaryref2!X74,summaryref2!Z74,IF(BJ17=summaryref2!X81,summaryref2!Z81,"")))))))))))</f>
        <v/>
      </c>
      <c r="BM17" s="1050" t="str">
        <f>VLOOKUP(BK17,Valid!$B$80:$C$86,2,FALSE)</f>
        <v>Each</v>
      </c>
      <c r="BN17" s="1210" t="str">
        <f>IF('A-80 DirEntInv'!BN16&lt;&gt;"",'A-80 DirEntInv'!BN16,IF(BJ17=summaryref2!X18,summaryref2!AB18,IF(BJ17=summaryref2!X25,summaryref2!AB25,IF(BJ17=summaryref2!X32,summaryref2!AB32,IF(BJ17=summaryref2!X39,summaryref2!AB39,IF(BJ17=summaryref2!X46,summaryref2!AB46,IF(BJ17=summaryref2!X53,summaryref2!AB53,IF(BJ17=summaryref2!X60,summaryref2!AB60,IF(BJ17=summaryref2!X67,summaryref2!AB67,IF(BJ17=summaryref2!X74,summaryref2!AB74,IF(BJ17=summaryref2!X81,summaryref2!AB81,"")))))))))))</f>
        <v/>
      </c>
      <c r="BO17" s="1117" t="str">
        <f>IF('A-80 DirEntInv'!BO16&lt;&gt;"",'A-80 DirEntInv'!BO16,IF(BJ17=summaryref2!X18,summaryref2!AC18,IF(BJ17=summaryref2!X25,summaryref2!AC25,IF(BJ17=summaryref2!X32,summaryref2!AC32,IF(BJ17=summaryref2!X39,summaryref2!AC39,IF(BJ17=summaryref2!X46,summaryref2!AC46,IF(BJ17=summaryref2!X53,summaryref2!AC53,IF(BJ17=summaryref2!X60,summaryref2!AC60,IF(BJ17=summaryref2!X67,summaryref2!AC67,IF(BJ17=summaryref2!X74,summaryref2!AC74,IF(BJ17=summaryref2!X81,summaryref2!AC81,"")))))))))))</f>
        <v/>
      </c>
      <c r="BP17" s="1321" t="str">
        <f>IF('A-80 DirEntInv'!BP16&lt;&gt;"",'A-80 DirEntInv'!BP16,IF(BJ17=summaryref2!X18,summaryref2!AD18,IF(BJ17=summaryref2!X25,summaryref2!AD25,IF(BJ17=summaryref2!X32,summaryref2!AD32,IF(BJ17=summaryref2!X39,summaryref2!AD39,IF(BJ17=summaryref2!X46,summaryref2!AD46,IF(BJ17=summaryref2!X53,summaryref2!AD53,IF(BJ17=summaryref2!X60,summaryref2!AD60,IF(BJ17=summaryref2!X67,summaryref2!AD67,IF(BJ17=summaryref2!X74,summaryref2!AD74,IF(BJ17=summaryref2!X81,summaryref2!AD81,"")))))))))))</f>
        <v/>
      </c>
      <c r="BS17" s="1472" t="str">
        <f ca="1">IF('A-80 DirEntInv'!BU16&lt;&gt;"",'A-80 DirEntInv'!BU16,IF(INDIRECT(ADDRESS(SumRef!DK23,SumRef!DK$16,,,SumRef!$E$6))="","",INDIRECT(ADDRESS(SumRef!DK23,SumRef!DK$16,,,SumRef!$E$6))))</f>
        <v/>
      </c>
      <c r="BT17" s="1458" t="str">
        <f ca="1">IF('A-80 DirEntInv'!BV16&lt;&gt;"",'A-80 DirEntInv'!BV16,IF(INDIRECT(ADDRESS(SumRef!DL23,SumRef!DL$16,,,SumRef!$E$6))="","",INDIRECT(ADDRESS(SumRef!DL23,SumRef!DL$16,,,SumRef!$E$6))))</f>
        <v/>
      </c>
      <c r="BU17" s="1177" t="str">
        <f ca="1">IF('A-80 DirEntInv'!BW16&lt;&gt;"",'A-80 DirEntInv'!BW16,IF(INDIRECT(ADDRESS(SumRef!DM23,SumRef!DM$16,,,SumRef!$E$6))="","",INDIRECT(ADDRESS(SumRef!DM23,SumRef!DM$16,,,SumRef!$E$6))))</f>
        <v/>
      </c>
      <c r="BV17" s="1460" t="str">
        <f ca="1">IF('A-80 DirEntInv'!BX16&lt;&gt;"",'A-80 DirEntInv'!BX16,IF(INDIRECT(ADDRESS(SumRef!DN23,SumRef!DN$16,,,SumRef!$E$6))="","",INDIRECT(ADDRESS(SumRef!DN23,SumRef!DN$16,,,SumRef!$E$6))))</f>
        <v/>
      </c>
      <c r="BW17" s="1460" t="str">
        <f ca="1">IF('A-80 DirEntInv'!BY16&lt;&gt;"",'A-80 DirEntInv'!BY16,IF(INDIRECT(ADDRESS(SumRef!DO23,SumRef!DO$16,,,SumRef!$E$6))="","",INDIRECT(ADDRESS(SumRef!DO23,SumRef!DO$16,,,SumRef!$E$6))))</f>
        <v/>
      </c>
      <c r="BX17" s="1116" t="str">
        <f ca="1">IF('A-80 DirEntInv'!BZ16&lt;&gt;"",'A-80 DirEntInv'!BZ16,IF(INDIRECT(ADDRESS(SumRef!DP23,SumRef!DP$16,,,SumRef!$E$6))="","",INDIRECT(ADDRESS(SumRef!DP23,SumRef!DP$16,,,SumRef!$E$6))))</f>
        <v/>
      </c>
      <c r="BY17" s="1461" t="str">
        <f ca="1">IF('A-80 DirEntInv'!CA16&lt;&gt;"",'A-80 DirEntInv'!CA16,IF(INDIRECT(ADDRESS(SumRef!DQ23,SumRef!DQ$16,,,SumRef!$E$6))="","",INDIRECT(ADDRESS(SumRef!DQ23,SumRef!DQ$16,,,SumRef!$E$6))))</f>
        <v/>
      </c>
      <c r="BZ17" s="1460" t="str">
        <f ca="1">IF('A-80 DirEntInv'!CB16&lt;&gt;"",'A-80 DirEntInv'!CB16,IF(INDIRECT(ADDRESS(SumRef!DR23,SumRef!DR$16,,,SumRef!$E$6))="","",INDIRECT(ADDRESS(SumRef!DR23,SumRef!DR$16,,,SumRef!$E$6))))</f>
        <v/>
      </c>
      <c r="CA17" s="1462" t="str">
        <f ca="1">IF('A-80 DirEntInv'!CC16&lt;&gt;"",'A-80 DirEntInv'!CC16,IF(INDIRECT(ADDRESS(SumRef!DS23,SumRef!DS$16,,,SumRef!$E$6))="","",INDIRECT(ADDRESS(SumRef!DS23,SumRef!DS$16,,,SumRef!$E$6))))</f>
        <v/>
      </c>
      <c r="CD17" s="1160" t="str">
        <f ca="1">IF('A-80 DirEntInv'!CF16&lt;&gt;"",'A-80 DirEntInv'!CF16,IF(INDIRECT(ADDRESS(SumRef!DV23,SumRef!DV$16,,,SumRef!$E$7))="","",INDIRECT(ADDRESS(SumRef!DV23,SumRef!DV$16,,,SumRef!$E$7))))</f>
        <v/>
      </c>
      <c r="CE17" s="1167" t="str">
        <f ca="1">IF('A-80 DirEntInv'!CG16&lt;&gt;"",'A-80 DirEntInv'!CG16,IF(INDIRECT(ADDRESS(SumRef!DW23,SumRef!DW$16,,,SumRef!$E$7))="","",INDIRECT(ADDRESS(SumRef!DW23,SumRef!DW$16,,,SumRef!$E$7))))</f>
        <v/>
      </c>
      <c r="CF17" s="1167" t="str">
        <f ca="1">IF('A-80 DirEntInv'!CH16&lt;&gt;"",'A-80 DirEntInv'!CH16,IF(INDIRECT(ADDRESS(SumRef!DX23,SumRef!DX$16,,,SumRef!$E$7))="","",INDIRECT(ADDRESS(SumRef!DX23,SumRef!DX$16,,,SumRef!$E$7))))</f>
        <v/>
      </c>
      <c r="CG17" s="1167" t="str">
        <f ca="1">IF('A-80 DirEntInv'!CI16&lt;&gt;"",'A-80 DirEntInv'!CI16,IF(INDIRECT(ADDRESS(SumRef!DY23,SumRef!DY$16,,,SumRef!$E$7))="","",INDIRECT(ADDRESS(SumRef!DY23,SumRef!DY$16,,,SumRef!$E$7))))</f>
        <v/>
      </c>
      <c r="CH17" s="1167" t="str">
        <f ca="1">IF('A-80 DirEntInv'!CJ16&lt;&gt;"",'A-80 DirEntInv'!CJ16,IF(INDIRECT(ADDRESS(SumRef!DZ23,SumRef!DZ$16,,,SumRef!$E$7))="","",INDIRECT(ADDRESS(SumRef!DZ23,SumRef!DZ$16,,,SumRef!$E$7))))</f>
        <v/>
      </c>
      <c r="CI17" s="1167" t="str">
        <f ca="1">IF('A-80 DirEntInv'!CK16&lt;&gt;"",'A-80 DirEntInv'!CK16,IF(INDIRECT(ADDRESS(SumRef!EA23,SumRef!EA$16,,,SumRef!$E$7))="","",INDIRECT(ADDRESS(SumRef!EA23,SumRef!EA$16,,,SumRef!$E$7))))</f>
        <v/>
      </c>
      <c r="CJ17" s="1114" t="str">
        <f ca="1">IF('A-80 DirEntInv'!CL16&lt;&gt;"",'A-80 DirEntInv'!CL16,IF(INDIRECT(ADDRESS(SumRef!EB23,SumRef!EB$16,,,SumRef!$E$7))="","",INDIRECT(ADDRESS(SumRef!EB23,SumRef!EB$16,,,SumRef!$E$7))))</f>
        <v/>
      </c>
      <c r="CK17" s="1114" t="str">
        <f ca="1">IF('A-80 DirEntInv'!CM16&lt;&gt;"",'A-80 DirEntInv'!CM16,IF(INDIRECT(ADDRESS(SumRef!EC23,SumRef!EC$16,,,SumRef!$E$7))="","",INDIRECT(ADDRESS(SumRef!EC23,SumRef!EC$16,,,SumRef!$E$7))))</f>
        <v/>
      </c>
      <c r="CL17" s="1113" t="str">
        <f ca="1">IF('A-80 DirEntInv'!CO16&lt;&gt;"",'A-80 DirEntInv'!CO16,IF(INDIRECT(ADDRESS(SumRef!ED23,SumRef!ED$16,,,SumRef!$E$7))="","",INDIRECT(ADDRESS(SumRef!ED23,SumRef!ED$16,,,SumRef!$E$7))))</f>
        <v/>
      </c>
      <c r="CM17" s="1114" t="str">
        <f ca="1">IF('A-80 DirEntInv'!CP16&lt;&gt;"",'A-80 DirEntInv'!CP16,IF(INDIRECT(ADDRESS(SumRef!EE23,SumRef!EE$16,,,SumRef!$E$7))="","",INDIRECT(ADDRESS(SumRef!EE23,SumRef!EE$16,,,SumRef!$E$7))))</f>
        <v/>
      </c>
      <c r="CN17" s="1114" t="str">
        <f ca="1">IF('A-80 DirEntInv'!CQ16&lt;&gt;"",'A-80 DirEntInv'!CQ16,IF(INDIRECT(ADDRESS(SumRef!EF23,SumRef!EF$16,,,SumRef!$E$7))="","",INDIRECT(ADDRESS(SumRef!EF23,SumRef!EF$16,,,SumRef!$E$7))))</f>
        <v/>
      </c>
      <c r="CO17" s="1113" t="str">
        <f ca="1">IF('A-80 DirEntInv'!CR16&lt;&gt;"",'A-80 DirEntInv'!CR16,IF(INDIRECT(ADDRESS(SumRef!EG23,SumRef!EG$16,,,SumRef!$E$7))="","",INDIRECT(ADDRESS(SumRef!EG23,SumRef!EG$16,,,SumRef!$E$7))))</f>
        <v/>
      </c>
      <c r="CP17" s="1114" t="str">
        <f ca="1">IF('A-80 DirEntInv'!CS16&lt;&gt;"",'A-80 DirEntInv'!CS16,IF(INDIRECT(ADDRESS(SumRef!EH23,SumRef!EH$16,,,SumRef!$E$7))="","",INDIRECT(ADDRESS(SumRef!EH23,SumRef!EH$16,,,SumRef!$E$7))))</f>
        <v/>
      </c>
      <c r="CQ17" s="1346" t="str">
        <f ca="1">IF('A-80 DirEntInv'!CT16&lt;&gt;"",'A-80 DirEntInv'!CT16,IF(INDIRECT(ADDRESS(SumRef!EI23,SumRef!EI$16,,,SumRef!$E$7))="","",INDIRECT(ADDRESS(SumRef!EI23,SumRef!EI$16,,,SumRef!$E$7))))</f>
        <v/>
      </c>
      <c r="CR17" s="1113" t="str">
        <f ca="1">IF('A-80 DirEntInv'!CU16&lt;&gt;"",'A-80 DirEntInv'!CU16,IF(INDIRECT(ADDRESS(SumRef!EJ23,SumRef!EJ$16,,,SumRef!$E$7))="","",INDIRECT(ADDRESS(SumRef!EJ23,SumRef!EJ$16,,,SumRef!$E$7))))</f>
        <v/>
      </c>
      <c r="CS17" s="1346" t="str">
        <f ca="1">IF('A-80 DirEntInv'!CV16&lt;&gt;"",'A-80 DirEntInv'!CV16,IF(INDIRECT(ADDRESS(SumRef!EM23,SumRef!EM$16,,,SumRef!$E$7))="","",INDIRECT(ADDRESS(SumRef!EM23,SumRef!EM$16,,,SumRef!$E$7))))</f>
        <v/>
      </c>
      <c r="CT17" s="1113" t="str">
        <f ca="1">IF('A-80 DirEntInv'!CW16&lt;&gt;"",'A-80 DirEntInv'!CW16,IF(INDIRECT(ADDRESS(SumRef!EN23,SumRef!EN$16,,,SumRef!$E$7))="","",INDIRECT(ADDRESS(SumRef!EN23,SumRef!EN$16,,,SumRef!$E$7))))</f>
        <v/>
      </c>
      <c r="CU17" s="1113" t="str">
        <f ca="1">IF('A-80 DirEntInv'!CX16&lt;&gt;"",'A-80 DirEntInv'!CX16,IF(INDIRECT(ADDRESS(SumRef!EO23,SumRef!EO$16,,,SumRef!$E$7))="","",INDIRECT(ADDRESS(SumRef!EO23,SumRef!EO$16,,,SumRef!$E$7))))</f>
        <v/>
      </c>
      <c r="CV17" s="1113" t="str">
        <f ca="1">IF('A-80 DirEntInv'!CY16&lt;&gt;"",'A-80 DirEntInv'!CY16,IF(INDIRECT(ADDRESS(SumRef!EP23,SumRef!EP$16,,,SumRef!$E$7))="","",INDIRECT(ADDRESS(SumRef!EP23,SumRef!EP$16,,,SumRef!$E$7))))</f>
        <v/>
      </c>
      <c r="CW17" s="1114" t="str">
        <f ca="1">IF('A-80 DirEntInv'!CZ16&lt;&gt;"",'A-80 DirEntInv'!CZ16,IF(INDIRECT(ADDRESS(SumRef!ES23,SumRef!ES$16,,,SumRef!$E$7))="","",INDIRECT(ADDRESS(SumRef!ES23,SumRef!ES$16,,,SumRef!$E$7))))</f>
        <v/>
      </c>
      <c r="CX17" s="1167" t="str">
        <f ca="1">IF('A-80 DirEntInv'!DA16&lt;&gt;"",'A-80 DirEntInv'!DA16,IF(INDIRECT(ADDRESS(SumRef!ET23,SumRef!ET$16,,,SumRef!$E$7))="","",INDIRECT(ADDRESS(SumRef!ET23,SumRef!ET$16,,,SumRef!$E$7))))</f>
        <v/>
      </c>
      <c r="CY17" s="1167" t="str">
        <f ca="1">IF('A-80 DirEntInv'!DB16&lt;&gt;"",'A-80 DirEntInv'!DB16,IF(INDIRECT(ADDRESS(SumRef!EU23,SumRef!EU$16,,,SumRef!$E$7))="","",INDIRECT(ADDRESS(SumRef!EU23,SumRef!EU$16,,,SumRef!$E$7))))</f>
        <v/>
      </c>
      <c r="CZ17" s="1167" t="b">
        <f ca="1">IF('A-80 DirEntInv'!DC16&lt;&gt;"",'A-80 DirEntInv'!DC16,IF(INDIRECT(ADDRESS(SumRef!EV23,SumRef!EV$16,,,SumRef!$E$7))="","",INDIRECT(ADDRESS(SumRef!EV23,SumRef!EV$16,,,SumRef!$E$7))))</f>
        <v>0</v>
      </c>
      <c r="DA17" s="1373" t="str">
        <f ca="1">IF('A-80 DirEntInv'!DD16&lt;&gt;"",'A-80 DirEntInv'!DD16,IF(INDIRECT(ADDRESS(SumRef!EW23,SumRef!EW$16,,,SumRef!$E$7))="","",INDIRECT(ADDRESS(SumRef!EW23,SumRef!EW$16,,,SumRef!$E$7))))</f>
        <v/>
      </c>
      <c r="DB17" s="1373" t="b">
        <f ca="1">IF('A-80 DirEntInv'!DE16&lt;&gt;"",'A-80 DirEntInv'!DE16,IF(INDIRECT(ADDRESS(SumRef!EX23,SumRef!EX$16,,,SumRef!$E$7))="","",INDIRECT(ADDRESS(SumRef!EX23,SumRef!EX$16,,,SumRef!$E$7))))</f>
        <v>0</v>
      </c>
      <c r="DC17" s="1114" t="b">
        <f ca="1">IF('A-80 DirEntInv'!DF16&lt;&gt;"",'A-80 DirEntInv'!DF16,IF(INDIRECT(ADDRESS(SumRef!EY23,SumRef!EY$16,,,SumRef!$E$7))="","",INDIRECT(ADDRESS(SumRef!EY23,SumRef!EY$16,,,SumRef!$E$7))))</f>
        <v>0</v>
      </c>
      <c r="DD17" s="1115" t="str">
        <f ca="1">IF('A-80 DirEntInv'!DG16&lt;&gt;"",'A-80 DirEntInv'!DG16,IF(INDIRECT(ADDRESS(SumRef!EZ23,SumRef!EZ$16,,,SumRef!$E$7))="","",INDIRECT(ADDRESS(SumRef!EZ23,SumRef!EZ$16,,,SumRef!$E$7))))</f>
        <v/>
      </c>
    </row>
    <row r="18" spans="1:108" s="588" customFormat="1" x14ac:dyDescent="0.2">
      <c r="A18" s="589">
        <f t="shared" si="0"/>
        <v>8</v>
      </c>
      <c r="B18" s="1155" t="str">
        <f ca="1">IF('A-80 DirEntInv'!B17&lt;&gt;"",'A-80 DirEntInv'!B17,IF(INDIRECT(ADDRESS(SumRef!AQ24,SumRef!AQ$16,,,SumRef!$B$7))="","",INDIRECT(ADDRESS(SumRef!AQ24,SumRef!AQ$16,,,SumRef!$B$7))))</f>
        <v/>
      </c>
      <c r="C18" s="1097" t="str">
        <f ca="1">IF('A-80 DirEntInv'!C17&lt;&gt;"",'A-80 DirEntInv'!C17,IF(INDIRECT(ADDRESS(SumRef!AR24,SumRef!AR$16,,,SumRef!$B$7))="","",INDIRECT(ADDRESS(SumRef!AR24,SumRef!AR$16,,,SumRef!$B$7))))</f>
        <v/>
      </c>
      <c r="D18" s="1097" t="str">
        <f ca="1">IF('A-80 DirEntInv'!D17&lt;&gt;"",'A-80 DirEntInv'!D17,IF(INDIRECT(ADDRESS(SumRef!AS24,SumRef!AS$16,,,SumRef!$B$7))="","",INDIRECT(ADDRESS(SumRef!AS24,SumRef!AS$16,,,SumRef!$B$7))))</f>
        <v/>
      </c>
      <c r="E18" s="1097" t="str">
        <f ca="1">IF('A-80 DirEntInv'!E17&lt;&gt;"",'A-80 DirEntInv'!E17,IF(INDIRECT(ADDRESS(SumRef!AT24,SumRef!AT$16,,,SumRef!$B$7))="","",INDIRECT(ADDRESS(SumRef!AT24,SumRef!AT$16,,,SumRef!$B$7))))</f>
        <v/>
      </c>
      <c r="F18" s="1097" t="str">
        <f ca="1">IF('A-80 DirEntInv'!F17&lt;&gt;"",'A-80 DirEntInv'!F17,IF(INDIRECT(ADDRESS(SumRef!AU24,SumRef!AU$16,,,SumRef!$B$7))="","",INDIRECT(ADDRESS(SumRef!AU24,SumRef!AU$16,,,SumRef!$B$7))))</f>
        <v/>
      </c>
      <c r="G18" s="1158" t="str">
        <f ca="1">IF('A-80 DirEntInv'!G17&lt;&gt;"",'A-80 DirEntInv'!G17,IF(INDIRECT(ADDRESS(SumRef!AV24,SumRef!AV$16,,,SumRef!$B$7))="","",INDIRECT(ADDRESS(SumRef!AV24,SumRef!AV$16,,,SumRef!$B$7))))</f>
        <v/>
      </c>
      <c r="H18" s="1097" t="str">
        <f ca="1">IF('A-80 DirEntInv'!H17&lt;&gt;"",'A-80 DirEntInv'!H17,IF(INDIRECT(ADDRESS(SumRef!AW24,SumRef!AW$16,,,SumRef!$B$7))="","",INDIRECT(ADDRESS(SumRef!AW24,SumRef!AW$16,,,SumRef!$B$7))))</f>
        <v/>
      </c>
      <c r="I18" s="1097" t="str">
        <f ca="1">IF('A-80 DirEntInv'!I17&lt;&gt;"",'A-80 DirEntInv'!I17,IF(INDIRECT(ADDRESS(SumRef!AX24,SumRef!AX$16,,,SumRef!$B$7))="","",INDIRECT(ADDRESS(SumRef!AX24,SumRef!AX$16,,,SumRef!$B$7))))</f>
        <v/>
      </c>
      <c r="J18" s="1098" t="str">
        <f ca="1">IF('A-80 DirEntInv'!J17&lt;&gt;"",'A-80 DirEntInv'!J17,IF(INDIRECT(ADDRESS(SumRef!AY24,SumRef!AY$16,,,SumRef!$B$7))="","",INDIRECT(ADDRESS(SumRef!AY24,SumRef!AY$16,,,SumRef!$B$7))))</f>
        <v/>
      </c>
      <c r="K18" s="1099" t="str">
        <f ca="1">IF('A-80 DirEntInv'!K17&lt;&gt;"",'A-80 DirEntInv'!K17,IF(INDIRECT(ADDRESS(SumRef!AZ24,SumRef!AZ$16,,,SumRef!$B$7))="","",INDIRECT(ADDRESS(SumRef!AZ24,SumRef!AZ$16,,,SumRef!$B$7))))</f>
        <v/>
      </c>
      <c r="L18" s="1100" t="str">
        <f ca="1">IF('A-80 DirEntInv'!L17&lt;&gt;"",'A-80 DirEntInv'!L17,IF(INDIRECT(ADDRESS(SumRef!BA24,SumRef!BA$16,,,SumRef!$B$7))="","",INDIRECT(ADDRESS(SumRef!BA24,SumRef!BA$16,,,SumRef!$B$7))))</f>
        <v/>
      </c>
      <c r="M18" s="1101" t="str">
        <f ca="1">IF('A-80 DirEntInv'!M17&lt;&gt;"",'A-80 DirEntInv'!M17,IF(INDIRECT(ADDRESS(SumRef!BB24,SumRef!BB$16,,,SumRef!$B$7))="","",INDIRECT(ADDRESS(SumRef!BB24,SumRef!BB$16,,,SumRef!$B$7))))</f>
        <v/>
      </c>
      <c r="N18" s="1098" t="str">
        <f ca="1">IF('A-80 DirEntInv'!N17&lt;&gt;"",'A-80 DirEntInv'!N17,IF(INDIRECT(ADDRESS(SumRef!BC24,SumRef!BC$16,,,SumRef!$B$7))="","",INDIRECT(ADDRESS(SumRef!BC24,SumRef!BC$16,,,SumRef!$B$7))))</f>
        <v/>
      </c>
      <c r="O18" s="1102" t="str">
        <f ca="1">IF('A-80 DirEntInv'!O17&lt;&gt;"",'A-80 DirEntInv'!O17,IF(INDIRECT(ADDRESS(SumRef!BD24,SumRef!BD$16,,,SumRef!$B$7))="","",INDIRECT(ADDRESS(SumRef!BD24,SumRef!BD$16,,,SumRef!$B$7))))</f>
        <v/>
      </c>
      <c r="Q18" s="589"/>
      <c r="R18" s="1103" t="str">
        <f ca="1">IF('A-80 DirEntInv'!R17&lt;&gt;"",'A-80 DirEntInv'!R17,IF(INDIRECT(ADDRESS(SumRef!BH24,SumRef!BH$16,,,SumRef!$B$8))="","",INDIRECT(ADDRESS(SumRef!BH24,SumRef!BH$16,,,SumRef!$B$8))))</f>
        <v/>
      </c>
      <c r="S18" s="1104" t="str">
        <f ca="1">IF('A-80 DirEntInv'!S17&lt;&gt;"",'A-80 DirEntInv'!S17,IF(INDIRECT(ADDRESS(SumRef!BI24,SumRef!BI$16,,,SumRef!$B$8))="","",INDIRECT(ADDRESS(SumRef!BI24,SumRef!BI$16,,,SumRef!$B$8))))</f>
        <v/>
      </c>
      <c r="T18" s="1104" t="str">
        <f ca="1">IF('A-80 DirEntInv'!T17&lt;&gt;"",'A-80 DirEntInv'!T17,IF(INDIRECT(ADDRESS(SumRef!BJ24,SumRef!BJ$16,,,SumRef!$B$8))="","",INDIRECT(ADDRESS(SumRef!BJ24,SumRef!BJ$16,,,SumRef!$B$8))))</f>
        <v/>
      </c>
      <c r="U18" s="1104" t="str">
        <f ca="1">IF('A-80 DirEntInv'!U17&lt;&gt;"",'A-80 DirEntInv'!U17,IF(INDIRECT(ADDRESS(SumRef!BK24,SumRef!BK$16,,,SumRef!$B$8))="","",INDIRECT(ADDRESS(SumRef!BK24,SumRef!BK$16,,,SumRef!$B$8))))</f>
        <v/>
      </c>
      <c r="V18" s="1104" t="str">
        <f ca="1">IF('A-80 DirEntInv'!V17&lt;&gt;"",'A-80 DirEntInv'!V17,IF(INDIRECT(ADDRESS(SumRef!BL24,SumRef!BL$16,,,SumRef!$B$8))="","",INDIRECT(ADDRESS(SumRef!BL24,SumRef!BL$16,,,SumRef!$B$8))))</f>
        <v/>
      </c>
      <c r="W18" s="1354" t="str">
        <f ca="1">IF('A-80 DirEntInv'!W17&lt;&gt;"",'A-80 DirEntInv'!W17,IF(INDIRECT(ADDRESS(SumRef!BM24,SumRef!BM$16,,,SumRef!$B$8))="","",INDIRECT(ADDRESS(SumRef!BM24,SumRef!BM$16,,,SumRef!$B$8))))</f>
        <v/>
      </c>
      <c r="X18" s="1203" t="str">
        <f ca="1">IF('A-80 DirEntInv'!X17&lt;&gt;"",'A-80 DirEntInv'!X17,IF(INDIRECT(ADDRESS(SumRef!BN24,SumRef!BN$16,,,SumRef!$B$8))="","",INDIRECT(ADDRESS(SumRef!BN24,SumRef!BN$16,,,SumRef!$B$8))))</f>
        <v/>
      </c>
      <c r="Y18" s="1203" t="str">
        <f ca="1">IF('A-80 DirEntInv'!Y17&lt;&gt;"",'A-80 DirEntInv'!Y17,IF(INDIRECT(ADDRESS(SumRef!BO24,SumRef!BO$16,,,SumRef!$B$8))="","",INDIRECT(ADDRESS(SumRef!BO24,SumRef!BO$16,,,SumRef!$B$8))))</f>
        <v/>
      </c>
      <c r="Z18" s="1104" t="str">
        <f ca="1">IF('A-80 DirEntInv'!Z17&lt;&gt;"",'A-80 DirEntInv'!Z17,IF(INDIRECT(ADDRESS(SumRef!BP24,SumRef!BP$16,,,SumRef!$B$8))="","",INDIRECT(ADDRESS(SumRef!BP24,SumRef!BP$16,,,SumRef!$B$8))))</f>
        <v/>
      </c>
      <c r="AA18" s="1104" t="str">
        <f ca="1">IF('A-80 DirEntInv'!AA17&lt;&gt;"",'A-80 DirEntInv'!AA17,IF(INDIRECT(ADDRESS(SumRef!BQ24,SumRef!BQ$16,,,SumRef!$B$8))="","",INDIRECT(ADDRESS(SumRef!BQ24,SumRef!BQ$16,,,SumRef!$B$8))))</f>
        <v/>
      </c>
      <c r="AB18" s="1106" t="str">
        <f ca="1">IF('A-80 DirEntInv'!AB17&lt;&gt;"",'A-80 DirEntInv'!AB17,IF(INDIRECT(ADDRESS(SumRef!BR24,SumRef!BR$16,,,SumRef!$B$8))="","",INDIRECT(ADDRESS(SumRef!BR24,SumRef!BR$16,,,SumRef!$B$8))))</f>
        <v/>
      </c>
      <c r="AC18" s="1107" t="str">
        <f ca="1">IF('A-80 DirEntInv'!AC17&lt;&gt;"",'A-80 DirEntInv'!AC17,IF(INDIRECT(ADDRESS(SumRef!BS24,SumRef!BS$16,,,SumRef!$B$8))="","",INDIRECT(ADDRESS(SumRef!BS24,SumRef!BS$16,,,SumRef!$B$8))))</f>
        <v/>
      </c>
      <c r="AD18" s="1349" t="str">
        <f ca="1">IF('A-80 DirEntInv'!AD17&lt;&gt;"",'A-80 DirEntInv'!AD17,IF(INDIRECT(ADDRESS(SumRef!BT24,SumRef!BT$16,,,SumRef!$B$8))="","",INDIRECT(ADDRESS(SumRef!BT24,SumRef!BT$16,,,SumRef!$B$8))))</f>
        <v/>
      </c>
      <c r="AE18" s="1137" t="str">
        <f ca="1">IF('A-80 DirEntInv'!AE17&lt;&gt;"",'A-80 DirEntInv'!AE17,IF(INDIRECT(ADDRESS(SumRef!BU24,SumRef!BU$16,,,SumRef!$B$8))="","",INDIRECT(ADDRESS(SumRef!BU24,SumRef!BU$16,,,SumRef!$B$8))))</f>
        <v/>
      </c>
      <c r="AF18" s="1346" t="str">
        <f ca="1">IF('A-80 DirEntInv'!AF17&lt;&gt;"",'A-80 DirEntInv'!AF17,IF(INDIRECT(ADDRESS(SumRef!BV24,SumRef!BV$16,,,SumRef!$B$8))="","",INDIRECT(ADDRESS(SumRef!BV24,SumRef!BV$16,,,SumRef!$B$8))))</f>
        <v/>
      </c>
      <c r="AG18" s="1105" t="str">
        <f ca="1">IF('A-80 DirEntInv'!AG17&lt;&gt;"",'A-80 DirEntInv'!AG17,IF(INDIRECT(ADDRESS(SumRef!BW24,SumRef!BW$16,,,SumRef!$B$8))="","",INDIRECT(ADDRESS(SumRef!BW24,SumRef!BW$16,,,SumRef!$B$8))))</f>
        <v/>
      </c>
      <c r="AH18" s="1357" t="str">
        <f ca="1">IF('A-80 DirEntInv'!AH17&lt;&gt;"",'A-80 DirEntInv'!AH17,IF(INDIRECT(ADDRESS(SumRef!BX24,SumRef!BX$16,,,SumRef!$B$8))="","",INDIRECT(ADDRESS(SumRef!BX24,SumRef!BX$16,,,SumRef!$B$8))))</f>
        <v/>
      </c>
      <c r="AK18" s="1041" t="str">
        <f>Codes!$C$156</f>
        <v>AG - Automated Guideway (DO)</v>
      </c>
      <c r="AL18" s="1042" t="str">
        <f>Valid!$B$78</f>
        <v>Below-Grade/Bored or Blasted Tunnel</v>
      </c>
      <c r="AM18" s="1108" t="str">
        <f>IF('A-80 DirEntInv'!AM17&lt;&gt;"",'A-80 DirEntInv'!AM17,IF(AK18=summaryref2!B19,summaryref2!D19,IF(Summary!AK18=summaryref2!B33,summaryref2!D33,IF(AK18=summaryref2!B47,summaryref2!D47,IF(AK18=summaryref2!B61,summaryref2!D61,IF(AK18=summaryref2!B75,summaryref2!D75,IF(AK18=summaryref2!B89,summaryref2!D89,IF(AK18=summaryref2!B103,summaryref2!D103,IF(AK18=summaryref2!B117,summaryref2!D117,IF(AK18=summaryref2!B131,summaryref2!D131,IF(AK18=summaryref2!B145,summaryref2!D145,"")))))))))))</f>
        <v/>
      </c>
      <c r="AN18" s="1109" t="str">
        <f ca="1">IF('A-80 DirEntInv'!AN17&lt;&gt;"",'A-80 DirEntInv'!AN17,IF(INDIRECT(ADDRESS(SumRef!CG24,SumRef!CG$16,,,SumRef!$C$7))="","",INDIRECT(ADDRESS(SumRef!CG24,SumRef!CG$16,,,SumRef!$C$7))))</f>
        <v>Linear Feet</v>
      </c>
      <c r="AO18" s="1108" t="str">
        <f>IF('A-80 DirEntInv'!AO17&lt;&gt;"",'A-80 DirEntInv'!AO17,IF(AM18=summaryref2!D19,summaryref2!F19,IF(Summary!AM18=summaryref2!D33,summaryref2!F33,IF(AM18=summaryref2!D47,summaryref2!F47,IF(AM18=summaryref2!D61,summaryref2!F61,IF(AM18=summaryref2!D75,summaryref2!F75,IF(AM18=summaryref2!D89,summaryref2!F89,IF(AM18=summaryref2!D103,summaryref2!F103,IF(AM18=summaryref2!D117,summaryref2!F117,IF(AM18=summaryref2!D131,summaryref2!F131,IF(AM18=summaryref2!D145,summaryref2!F145,"")))))))))))</f>
        <v/>
      </c>
      <c r="AP18" s="1109" t="str">
        <f ca="1">IF('A-80 DirEntInv'!AP17&lt;&gt;"",'A-80 DirEntInv'!AP17,IF(INDIRECT(ADDRESS(SumRef!#REF!,SumRef!#REF!,,,SumRef!$C$7))="","",INDIRECT(ADDRESS(SumRef!#REF!,SumRef!#REF!,,,SumRef!$C$7))))</f>
        <v>Track Feet</v>
      </c>
      <c r="AQ18" s="1147" t="str">
        <f>IF('A-80 DirEntInv'!AQ17&lt;&gt;"",'A-80 DirEntInv'!AQ17,IF(AK18=summaryref2!B19,summaryref2!G19,IF(Summary!AK18=summaryref2!B33,summaryref2!G33,IF(AK18=summaryref2!B47,summaryref2!G47,IF(AK18=summaryref2!B61,summaryref2!G61,IF(AK18=summaryref2!B75,summaryref2!G75,IF(AK18=summaryref2!B89,summaryref2!G89,IF(AK18=summaryref2!B103,summaryref2!G103,IF(AK18=summaryref2!B117,summaryref2!G117,IF(AK18=summaryref2!B131,summaryref2!G131,IF(AK18=summaryref2!B145,summaryref2!G145,"")))))))))))</f>
        <v/>
      </c>
      <c r="AR18" s="1147" t="str">
        <f>IF('A-80 DirEntInv'!AR17&lt;&gt;"",'A-80 DirEntInv'!AR17,IF(AK18=summaryref2!B19,summaryref2!H19,IF(Summary!AK18=summaryref2!B33,summaryref2!H33,IF(AK18=summaryref2!B47,summaryref2!H47,IF(AK18=summaryref2!B61,summaryref2!H61,IF(AK18=summaryref2!B75,summaryref2!H75,IF(AK18=summaryref2!B89,summaryref2!H89,IF(AK18=summaryref2!B103,summaryref2!H103,IF(AK18=summaryref2!B117,summaryref2!H117,IF(AK18=summaryref2!B131,summaryref2!H131,IF(AK18=summaryref2!B145,summaryref2!H145,"")))))))))))</f>
        <v/>
      </c>
      <c r="AS18" s="1110" t="str">
        <f>IF('A-80 DirEntInv'!AS17&lt;&gt;"",'A-80 DirEntInv'!AS17,IF(AK18=summaryref2!B19,summaryref2!I19,IF(Summary!AK18=summaryref2!B33,summaryref2!I33,IF(AK18=summaryref2!B47,summaryref2!I47,IF(AK18=summaryref2!B61,summaryref2!I61,IF(AK18=summaryref2!B75,summaryref2!I75,IF(AK18=summaryref2!B89,summaryref2!I89,IF(AK18=summaryref2!B103,summaryref2!I103,IF(AK18=summaryref2!B117,summaryref2!I117,IF(AK18=summaryref2!B131,summaryref2!I131,IF(AK18=summaryref2!B145,summaryref2!I145,"")))))))))))</f>
        <v/>
      </c>
      <c r="AT18" s="1110" t="str">
        <f>IF('A-80 DirEntInv'!AT17&lt;&gt;"",'A-80 DirEntInv'!AT17,IF(AK18=summaryref2!B19,summaryref2!J19,IF(Summary!AK18=summaryref2!B33,summaryref2!J33,IF(AK18=summaryref2!B47,summaryref2!J47,IF(AK18=summaryref2!B61,summaryref2!J61,IF(AK18=summaryref2!B75,summaryref2!J75,IF(AK18=summaryref2!B89,summaryref2!J89,IF(AK18=summaryref2!B103,summaryref2!J103,IF(AK18=summaryref2!B117,summaryref2!J117,IF(AK18=summaryref2!B131,summaryref2!J131,IF(AK18=summaryref2!B145,summaryref2!J145,"")))))))))))</f>
        <v/>
      </c>
      <c r="AU18" s="1110" t="str">
        <f>IF('A-80 DirEntInv'!AU17&lt;&gt;"",'A-80 DirEntInv'!AU17,IF(AK18=summaryref2!B19,summaryref2!K19,IF(Summary!AK18=summaryref2!B33,summaryref2!K33,IF(AK18=summaryref2!B47,summaryref2!K47,IF(AK18=summaryref2!B61,summaryref2!K61,IF(AK18=summaryref2!B75,summaryref2!K75,IF(AK18=summaryref2!B89,summaryref2!K89,IF(AK18=summaryref2!B103,summaryref2!K103,IF(AK18=summaryref2!B117,summaryref2!K117,IF(AK18=summaryref2!B131,summaryref2!K131,IF(AK18=summaryref2!B145,summaryref2!K145,"")))))))))))</f>
        <v/>
      </c>
      <c r="AV18" s="1110" t="str">
        <f>IF('A-80 DirEntInv'!AV17&lt;&gt;"",'A-80 DirEntInv'!AV17,IF(AK18=summaryref2!B19,summaryref2!L19,IF(Summary!AK18=summaryref2!B33,summaryref2!L33,IF(AK18=summaryref2!B47,summaryref2!L47,IF(AK18=summaryref2!B61,summaryref2!L61,IF(AK18=summaryref2!B75,summaryref2!L75,IF(AK18=summaryref2!B89,summaryref2!L89,IF(AK18=summaryref2!B103,summaryref2!L103,IF(AK18=summaryref2!B117,summaryref2!L117,IF(AK18=summaryref2!B131,summaryref2!L131,IF(AK18=summaryref2!B145,summaryref2!L145,"")))))))))))</f>
        <v/>
      </c>
      <c r="AW18" s="1110" t="str">
        <f>IF('A-80 DirEntInv'!AW17&lt;&gt;"",'A-80 DirEntInv'!AW17,IF(AK18=summaryref2!B19,summaryref2!M19,IF(Summary!AK18=summaryref2!B33,summaryref2!M33,IF(AK18=summaryref2!B47,summaryref2!M47,IF(AK18=summaryref2!B61,summaryref2!M61,IF(AK18=summaryref2!B75,summaryref2!M75,IF(AK18=summaryref2!B89,summaryref2!M89,IF(AK18=summaryref2!B103,summaryref2!M103,IF(AK18=summaryref2!B117,summaryref2!M117,IF(AK18=summaryref2!B131,summaryref2!M131,IF(AK18=summaryref2!B145,summaryref2!M145,"")))))))))))</f>
        <v/>
      </c>
      <c r="AX18" s="1110" t="str">
        <f>IF('A-80 DirEntInv'!AX17&lt;&gt;"",'A-80 DirEntInv'!AX17,IF(AK18=summaryref2!B19,summaryref2!N19,IF(Summary!AK18=summaryref2!B33,summaryref2!N33,IF(AK18=summaryref2!B47,summaryref2!N47,IF(AK18=summaryref2!B61,summaryref2!N61,IF(AK18=summaryref2!B75,summaryref2!N75,IF(AK18=summaryref2!B89,summaryref2!N89,IF(AK18=summaryref2!B103,summaryref2!N103,IF(AK18=summaryref2!B117,summaryref2!N117,IF(AK18=summaryref2!B131,summaryref2!N131,IF(AK18=summaryref2!B145,summaryref2!N145,"")))))))))))</f>
        <v/>
      </c>
      <c r="AY18" s="1110" t="str">
        <f>IF('A-80 DirEntInv'!AY17&lt;&gt;"",'A-80 DirEntInv'!AY17,IF(AK18=summaryref2!B19,summaryref2!O19,IF(Summary!AK18=summaryref2!B33,summaryref2!O33,IF(AK18=summaryref2!B47,summaryref2!O47,IF(AK18=summaryref2!B61,summaryref2!O61,IF(AK18=summaryref2!B75,summaryref2!O75,IF(AK18=summaryref2!B89,summaryref2!O89,IF(AK18=summaryref2!B103,summaryref2!O103,IF(AK18=summaryref2!B117,summaryref2!O117,IF(AK18=summaryref2!B131,summaryref2!O131,IF(AK18=summaryref2!B145,summaryref2!O145,"")))))))))))</f>
        <v/>
      </c>
      <c r="AZ18" s="1110" t="str">
        <f>IF('A-80 DirEntInv'!AZ17&lt;&gt;"",'A-80 DirEntInv'!AZ17,IF(AK18=summaryref2!B19,summaryref2!P19,IF(Summary!AK18=summaryref2!B33,summaryref2!P33,IF(AK18=summaryref2!B47,summaryref2!P47,IF(AK18=summaryref2!B61,summaryref2!P61,IF(AK18=summaryref2!B75,summaryref2!P75,IF(AK18=summaryref2!B89,summaryref2!P89,IF(AK18=summaryref2!B103,summaryref2!P103,IF(AK18=summaryref2!B117,summaryref2!P117,IF(AK18=summaryref2!B131,summaryref2!P131,IF(AK18=summaryref2!B145,summaryref2!P145,"")))))))))))</f>
        <v/>
      </c>
      <c r="BA18" s="1110" t="str">
        <f>IF('A-80 DirEntInv'!BA17&lt;&gt;"",'A-80 DirEntInv'!BA17,IF(AK18=summaryref2!B19,summaryref2!Q19,IF(Summary!AK18=summaryref2!B33,summaryref2!Q33,IF(AK18=summaryref2!B47,summaryref2!Q47,IF(AK18=summaryref2!B61,summaryref2!Q61,IF(AK18=summaryref2!B75,summaryref2!Q75,IF(AK18=summaryref2!B89,summaryref2!Q89,IF(AK18=summaryref2!B103,summaryref2!Q103,IF(AK18=summaryref2!B117,summaryref2!Q117,IF(AK18=summaryref2!B131,summaryref2!Q131,IF(AK18=summaryref2!B145,summaryref2!Q145,"")))))))))))</f>
        <v/>
      </c>
      <c r="BB18" s="1110" t="str">
        <f>IF('A-80 DirEntInv'!BB17&lt;&gt;"",'A-80 DirEntInv'!BB17,IF(AK18=summaryref2!B19,summaryref2!R19,IF(Summary!AK18=summaryref2!B33,summaryref2!R33,IF(AK18=summaryref2!B47,summaryref2!R47,IF(AK18=summaryref2!B61,summaryref2!R61,IF(AK18=summaryref2!B75,summaryref2!R75,IF(AK18=summaryref2!B89,summaryref2!R89,IF(AK18=summaryref2!B103,summaryref2!R103,IF(AK18=summaryref2!B117,summaryref2!R117,IF(AK18=summaryref2!B131,summaryref2!R131,IF(AK18=summaryref2!B145,summaryref2!R145,"")))))))))))</f>
        <v/>
      </c>
      <c r="BC18" s="1110" t="str">
        <f>IF('A-80 DirEntInv'!BC17&lt;&gt;0,'A-80 DirEntInv'!BC17,IF(AK18=summaryref2!B19,summaryref2!S19,IF(Summary!AK18=summaryref2!B33,summaryref2!S33,IF(AK18=summaryref2!B47,summaryref2!S47,IF(AK18=summaryref2!B61,summaryref2!S61,IF(AK18=summaryref2!B75,summaryref2!S75,IF(AK18=summaryref2!B89,summaryref2!S89,IF(AK18=summaryref2!B103,summaryref2!S103,IF(AK18=summaryref2!B117,summaryref2!S117,IF(AK18=summaryref2!B131,summaryref2!S131,IF(AK18=summaryref2!B145,summaryref2!S145,"")))))))))))</f>
        <v/>
      </c>
      <c r="BD18" s="1111" t="str">
        <f>IF('A-80 DirEntInv'!BD17&lt;&gt;"",'A-80 DirEntInv'!BD17,IF(AK18=summaryref2!B19,summaryref2!T19,IF(Summary!AK18=summaryref2!B33,summaryref2!T33,IF(AK18=summaryref2!B47,summaryref2!T47,IF(AK18=summaryref2!B61,summaryref2!T61,IF(AK18=summaryref2!B75,summaryref2!T75,IF(AK18=summaryref2!B89,summaryref2!T89,IF(AK18=summaryref2!B103,summaryref2!T103,IF(AK18=summaryref2!B117,summaryref2!T117,IF(AK18=summaryref2!B131,summaryref2!T131,IF(AK18=summaryref2!B145,summaryref2!T145,"")))))))))))</f>
        <v/>
      </c>
      <c r="BE18" s="1184" t="str">
        <f>IF('A-80 DirEntInv'!BE17&lt;&gt;"",'A-80 DirEntInv'!BE17,IF(AK18=summaryref2!B19,summaryref2!U19,IF(Summary!AK18=summaryref2!B33,summaryref2!U33,IF(AK18=summaryref2!B47,summaryref2!U47,IF(AK18=summaryref2!B61,summaryref2!U61,IF(AK18=summaryref2!B75,summaryref2!U75,IF(AK18=summaryref2!B89,summaryref2!U89,IF(AK18=summaryref2!B103,summaryref2!U103,IF(AK18=summaryref2!B117,summaryref2!U117,IF(AK18=summaryref2!B131,summaryref2!U131,IF(AK18=summaryref2!B145,summaryref2!U145,"")))))))))))</f>
        <v/>
      </c>
      <c r="BF18" s="1432"/>
      <c r="BG18" s="1432"/>
      <c r="BJ18" s="1043" t="str">
        <f>Codes!$C$157</f>
        <v>AG - Automated Guideway (PT)</v>
      </c>
      <c r="BK18" s="1303" t="str">
        <f>Valid!$B$80</f>
        <v>Tangent</v>
      </c>
      <c r="BL18" s="1366" t="str">
        <f>IF('A-80 DirEntInv'!BL17&lt;&gt;"",'A-80 DirEntInv'!BL17,IF(BJ18=summaryref2!X12,summaryref2!Z12,IF(BJ18=summaryref2!X19,summaryref2!Z19,IF(BJ18=summaryref2!X26,summaryref2!Z26,IF(BJ18=summaryref2!X33,summaryref2!Z33,IF(BJ18=summaryref2!X40,summaryref2!Z40,IF(BJ18=summaryref2!X47,summaryref2!Z47,IF(BJ18=summaryref2!X54,summaryref2!Z54,IF(BJ18=summaryref2!X61,summaryref2!Z61,IF(BJ18=summaryref2!X68,summaryref2!Z68,IF(BJ18=summaryref2!X75,summaryref2!Z75,"")))))))))))</f>
        <v/>
      </c>
      <c r="BM18" s="1303" t="str">
        <f>VLOOKUP(BK18,Valid!$B$80:$C$86,2,FALSE)</f>
        <v>Track Feet</v>
      </c>
      <c r="BN18" s="1208" t="str">
        <f>IF('A-80 DirEntInv'!BN17&lt;&gt;"",'A-80 DirEntInv'!BN17,IF(BJ18=summaryref2!X12,summaryref2!AB12,IF(BJ18=summaryref2!X19,summaryref2!AB19,IF(BJ18=summaryref2!X26,summaryref2!AB26,IF(BJ18=summaryref2!X33,summaryref2!AB33,IF(BJ18=summaryref2!X40,summaryref2!AB40,IF(BJ18=summaryref2!X47,summaryref2!AB47,IF(BJ18=summaryref2!X54,summaryref2!AB54,IF(BJ18=summaryref2!X61,summaryref2!AB61,IF(BJ18=summaryref2!X68,summaryref2!AB68,IF(BJ18=summaryref2!X75,summaryref2!AB75,"")))))))))))</f>
        <v/>
      </c>
      <c r="BO18" s="1112" t="str">
        <f>IF('A-80 DirEntInv'!BO17&lt;&gt;"",'A-80 DirEntInv'!BO17,IF(BJ18=summaryref2!X12,summaryref2!AC12,IF(BJ18=summaryref2!X19,summaryref2!AC19,IF(BJ18=summaryref2!X26,summaryref2!AC26,IF(BJ18=summaryref2!X33,summaryref2!AC33,IF(BJ18=summaryref2!X40,summaryref2!AC40,IF(BJ18=summaryref2!X47,summaryref2!AC47,IF(BJ18=summaryref2!X54,summaryref2!AC54,IF(BJ18=summaryref2!X61,summaryref2!AC61,IF(BJ18=summaryref2!X68,summaryref2!AC68,IF(BJ18=summaryref2!X75,summaryref2!AC75,"")))))))))))</f>
        <v/>
      </c>
      <c r="BP18" s="1320" t="str">
        <f>IF('A-80 DirEntInv'!BP17&lt;&gt;"",'A-80 DirEntInv'!BP17,IF(BJ18=summaryref2!X12,summaryref2!AD12,IF(BJ18=summaryref2!X19,summaryref2!AD19,IF(BJ18=summaryref2!X26,summaryref2!AD26,IF(BJ18=summaryref2!X33,summaryref2!AD33,IF(BJ18=summaryref2!X40,summaryref2!AD40,IF(BJ18=summaryref2!X47,summaryref2!AD47,IF(BJ18=summaryref2!X54,summaryref2!AD54,IF(BJ18=summaryref2!X61,summaryref2!AD61,IF(BJ18=summaryref2!X68,summaryref2!AD68,IF(BJ18=summaryref2!X75,summaryref2!AD75,"")))))))))))</f>
        <v/>
      </c>
      <c r="BS18" s="1472" t="str">
        <f ca="1">IF('A-80 DirEntInv'!BU17&lt;&gt;"",'A-80 DirEntInv'!BU17,IF(INDIRECT(ADDRESS(SumRef!DK24,SumRef!DK$16,,,SumRef!$E$6))="","",INDIRECT(ADDRESS(SumRef!DK24,SumRef!DK$16,,,SumRef!$E$6))))</f>
        <v/>
      </c>
      <c r="BT18" s="1458" t="str">
        <f ca="1">IF('A-80 DirEntInv'!BV17&lt;&gt;"",'A-80 DirEntInv'!BV17,IF(INDIRECT(ADDRESS(SumRef!DL24,SumRef!DL$16,,,SumRef!$E$6))="","",INDIRECT(ADDRESS(SumRef!DL24,SumRef!DL$16,,,SumRef!$E$6))))</f>
        <v/>
      </c>
      <c r="BU18" s="1177" t="str">
        <f ca="1">IF('A-80 DirEntInv'!BW17&lt;&gt;"",'A-80 DirEntInv'!BW17,IF(INDIRECT(ADDRESS(SumRef!DM24,SumRef!DM$16,,,SumRef!$E$6))="","",INDIRECT(ADDRESS(SumRef!DM24,SumRef!DM$16,,,SumRef!$E$6))))</f>
        <v/>
      </c>
      <c r="BV18" s="1460" t="str">
        <f ca="1">IF('A-80 DirEntInv'!BX17&lt;&gt;"",'A-80 DirEntInv'!BX17,IF(INDIRECT(ADDRESS(SumRef!DN24,SumRef!DN$16,,,SumRef!$E$6))="","",INDIRECT(ADDRESS(SumRef!DN24,SumRef!DN$16,,,SumRef!$E$6))))</f>
        <v/>
      </c>
      <c r="BW18" s="1460" t="str">
        <f ca="1">IF('A-80 DirEntInv'!BY17&lt;&gt;"",'A-80 DirEntInv'!BY17,IF(INDIRECT(ADDRESS(SumRef!DO24,SumRef!DO$16,,,SumRef!$E$6))="","",INDIRECT(ADDRESS(SumRef!DO24,SumRef!DO$16,,,SumRef!$E$6))))</f>
        <v/>
      </c>
      <c r="BX18" s="1116" t="str">
        <f ca="1">IF('A-80 DirEntInv'!BZ17&lt;&gt;"",'A-80 DirEntInv'!BZ17,IF(INDIRECT(ADDRESS(SumRef!DP24,SumRef!DP$16,,,SumRef!$E$6))="","",INDIRECT(ADDRESS(SumRef!DP24,SumRef!DP$16,,,SumRef!$E$6))))</f>
        <v/>
      </c>
      <c r="BY18" s="1461" t="str">
        <f ca="1">IF('A-80 DirEntInv'!CA17&lt;&gt;"",'A-80 DirEntInv'!CA17,IF(INDIRECT(ADDRESS(SumRef!DQ24,SumRef!DQ$16,,,SumRef!$E$6))="","",INDIRECT(ADDRESS(SumRef!DQ24,SumRef!DQ$16,,,SumRef!$E$6))))</f>
        <v/>
      </c>
      <c r="BZ18" s="1460" t="str">
        <f ca="1">IF('A-80 DirEntInv'!CB17&lt;&gt;"",'A-80 DirEntInv'!CB17,IF(INDIRECT(ADDRESS(SumRef!DR24,SumRef!DR$16,,,SumRef!$E$6))="","",INDIRECT(ADDRESS(SumRef!DR24,SumRef!DR$16,,,SumRef!$E$6))))</f>
        <v/>
      </c>
      <c r="CA18" s="1462" t="str">
        <f ca="1">IF('A-80 DirEntInv'!CC17&lt;&gt;"",'A-80 DirEntInv'!CC17,IF(INDIRECT(ADDRESS(SumRef!DS24,SumRef!DS$16,,,SumRef!$E$6))="","",INDIRECT(ADDRESS(SumRef!DS24,SumRef!DS$16,,,SumRef!$E$6))))</f>
        <v/>
      </c>
      <c r="CD18" s="1160" t="str">
        <f ca="1">IF('A-80 DirEntInv'!CF17&lt;&gt;"",'A-80 DirEntInv'!CF17,IF(INDIRECT(ADDRESS(SumRef!DV24,SumRef!DV$16,,,SumRef!$E$7))="","",INDIRECT(ADDRESS(SumRef!DV24,SumRef!DV$16,,,SumRef!$E$7))))</f>
        <v/>
      </c>
      <c r="CE18" s="1167" t="str">
        <f ca="1">IF('A-80 DirEntInv'!CG17&lt;&gt;"",'A-80 DirEntInv'!CG17,IF(INDIRECT(ADDRESS(SumRef!DW24,SumRef!DW$16,,,SumRef!$E$7))="","",INDIRECT(ADDRESS(SumRef!DW24,SumRef!DW$16,,,SumRef!$E$7))))</f>
        <v/>
      </c>
      <c r="CF18" s="1167" t="str">
        <f ca="1">IF('A-80 DirEntInv'!CH17&lt;&gt;"",'A-80 DirEntInv'!CH17,IF(INDIRECT(ADDRESS(SumRef!DX24,SumRef!DX$16,,,SumRef!$E$7))="","",INDIRECT(ADDRESS(SumRef!DX24,SumRef!DX$16,,,SumRef!$E$7))))</f>
        <v/>
      </c>
      <c r="CG18" s="1167" t="str">
        <f ca="1">IF('A-80 DirEntInv'!CI17&lt;&gt;"",'A-80 DirEntInv'!CI17,IF(INDIRECT(ADDRESS(SumRef!DY24,SumRef!DY$16,,,SumRef!$E$7))="","",INDIRECT(ADDRESS(SumRef!DY24,SumRef!DY$16,,,SumRef!$E$7))))</f>
        <v/>
      </c>
      <c r="CH18" s="1167" t="str">
        <f ca="1">IF('A-80 DirEntInv'!CJ17&lt;&gt;"",'A-80 DirEntInv'!CJ17,IF(INDIRECT(ADDRESS(SumRef!DZ24,SumRef!DZ$16,,,SumRef!$E$7))="","",INDIRECT(ADDRESS(SumRef!DZ24,SumRef!DZ$16,,,SumRef!$E$7))))</f>
        <v/>
      </c>
      <c r="CI18" s="1167" t="str">
        <f ca="1">IF('A-80 DirEntInv'!CK17&lt;&gt;"",'A-80 DirEntInv'!CK17,IF(INDIRECT(ADDRESS(SumRef!EA24,SumRef!EA$16,,,SumRef!$E$7))="","",INDIRECT(ADDRESS(SumRef!EA24,SumRef!EA$16,,,SumRef!$E$7))))</f>
        <v/>
      </c>
      <c r="CJ18" s="1114" t="str">
        <f ca="1">IF('A-80 DirEntInv'!CL17&lt;&gt;"",'A-80 DirEntInv'!CL17,IF(INDIRECT(ADDRESS(SumRef!EB24,SumRef!EB$16,,,SumRef!$E$7))="","",INDIRECT(ADDRESS(SumRef!EB24,SumRef!EB$16,,,SumRef!$E$7))))</f>
        <v/>
      </c>
      <c r="CK18" s="1114" t="str">
        <f ca="1">IF('A-80 DirEntInv'!CM17&lt;&gt;"",'A-80 DirEntInv'!CM17,IF(INDIRECT(ADDRESS(SumRef!EC24,SumRef!EC$16,,,SumRef!$E$7))="","",INDIRECT(ADDRESS(SumRef!EC24,SumRef!EC$16,,,SumRef!$E$7))))</f>
        <v/>
      </c>
      <c r="CL18" s="1113" t="str">
        <f ca="1">IF('A-80 DirEntInv'!CO17&lt;&gt;"",'A-80 DirEntInv'!CO17,IF(INDIRECT(ADDRESS(SumRef!ED24,SumRef!ED$16,,,SumRef!$E$7))="","",INDIRECT(ADDRESS(SumRef!ED24,SumRef!ED$16,,,SumRef!$E$7))))</f>
        <v/>
      </c>
      <c r="CM18" s="1114" t="str">
        <f ca="1">IF('A-80 DirEntInv'!CP17&lt;&gt;"",'A-80 DirEntInv'!CP17,IF(INDIRECT(ADDRESS(SumRef!EE24,SumRef!EE$16,,,SumRef!$E$7))="","",INDIRECT(ADDRESS(SumRef!EE24,SumRef!EE$16,,,SumRef!$E$7))))</f>
        <v/>
      </c>
      <c r="CN18" s="1114" t="str">
        <f ca="1">IF('A-80 DirEntInv'!CQ17&lt;&gt;"",'A-80 DirEntInv'!CQ17,IF(INDIRECT(ADDRESS(SumRef!EF24,SumRef!EF$16,,,SumRef!$E$7))="","",INDIRECT(ADDRESS(SumRef!EF24,SumRef!EF$16,,,SumRef!$E$7))))</f>
        <v/>
      </c>
      <c r="CO18" s="1113" t="str">
        <f ca="1">IF('A-80 DirEntInv'!CR17&lt;&gt;"",'A-80 DirEntInv'!CR17,IF(INDIRECT(ADDRESS(SumRef!EG24,SumRef!EG$16,,,SumRef!$E$7))="","",INDIRECT(ADDRESS(SumRef!EG24,SumRef!EG$16,,,SumRef!$E$7))))</f>
        <v/>
      </c>
      <c r="CP18" s="1114" t="str">
        <f ca="1">IF('A-80 DirEntInv'!CS17&lt;&gt;"",'A-80 DirEntInv'!CS17,IF(INDIRECT(ADDRESS(SumRef!EH24,SumRef!EH$16,,,SumRef!$E$7))="","",INDIRECT(ADDRESS(SumRef!EH24,SumRef!EH$16,,,SumRef!$E$7))))</f>
        <v/>
      </c>
      <c r="CQ18" s="1346" t="str">
        <f ca="1">IF('A-80 DirEntInv'!CT17&lt;&gt;"",'A-80 DirEntInv'!CT17,IF(INDIRECT(ADDRESS(SumRef!EI24,SumRef!EI$16,,,SumRef!$E$7))="","",INDIRECT(ADDRESS(SumRef!EI24,SumRef!EI$16,,,SumRef!$E$7))))</f>
        <v/>
      </c>
      <c r="CR18" s="1113" t="str">
        <f ca="1">IF('A-80 DirEntInv'!CU17&lt;&gt;"",'A-80 DirEntInv'!CU17,IF(INDIRECT(ADDRESS(SumRef!EJ24,SumRef!EJ$16,,,SumRef!$E$7))="","",INDIRECT(ADDRESS(SumRef!EJ24,SumRef!EJ$16,,,SumRef!$E$7))))</f>
        <v/>
      </c>
      <c r="CS18" s="1346" t="str">
        <f ca="1">IF('A-80 DirEntInv'!CV17&lt;&gt;"",'A-80 DirEntInv'!CV17,IF(INDIRECT(ADDRESS(SumRef!EM24,SumRef!EM$16,,,SumRef!$E$7))="","",INDIRECT(ADDRESS(SumRef!EM24,SumRef!EM$16,,,SumRef!$E$7))))</f>
        <v/>
      </c>
      <c r="CT18" s="1113" t="str">
        <f ca="1">IF('A-80 DirEntInv'!CW17&lt;&gt;"",'A-80 DirEntInv'!CW17,IF(INDIRECT(ADDRESS(SumRef!EN24,SumRef!EN$16,,,SumRef!$E$7))="","",INDIRECT(ADDRESS(SumRef!EN24,SumRef!EN$16,,,SumRef!$E$7))))</f>
        <v/>
      </c>
      <c r="CU18" s="1113" t="str">
        <f ca="1">IF('A-80 DirEntInv'!CX17&lt;&gt;"",'A-80 DirEntInv'!CX17,IF(INDIRECT(ADDRESS(SumRef!EO24,SumRef!EO$16,,,SumRef!$E$7))="","",INDIRECT(ADDRESS(SumRef!EO24,SumRef!EO$16,,,SumRef!$E$7))))</f>
        <v/>
      </c>
      <c r="CV18" s="1113" t="str">
        <f ca="1">IF('A-80 DirEntInv'!CY17&lt;&gt;"",'A-80 DirEntInv'!CY17,IF(INDIRECT(ADDRESS(SumRef!EP24,SumRef!EP$16,,,SumRef!$E$7))="","",INDIRECT(ADDRESS(SumRef!EP24,SumRef!EP$16,,,SumRef!$E$7))))</f>
        <v/>
      </c>
      <c r="CW18" s="1114" t="str">
        <f ca="1">IF('A-80 DirEntInv'!CZ17&lt;&gt;"",'A-80 DirEntInv'!CZ17,IF(INDIRECT(ADDRESS(SumRef!ES24,SumRef!ES$16,,,SumRef!$E$7))="","",INDIRECT(ADDRESS(SumRef!ES24,SumRef!ES$16,,,SumRef!$E$7))))</f>
        <v/>
      </c>
      <c r="CX18" s="1167" t="str">
        <f ca="1">IF('A-80 DirEntInv'!DA17&lt;&gt;"",'A-80 DirEntInv'!DA17,IF(INDIRECT(ADDRESS(SumRef!ET24,SumRef!ET$16,,,SumRef!$E$7))="","",INDIRECT(ADDRESS(SumRef!ET24,SumRef!ET$16,,,SumRef!$E$7))))</f>
        <v/>
      </c>
      <c r="CY18" s="1167" t="str">
        <f ca="1">IF('A-80 DirEntInv'!DB17&lt;&gt;"",'A-80 DirEntInv'!DB17,IF(INDIRECT(ADDRESS(SumRef!EU24,SumRef!EU$16,,,SumRef!$E$7))="","",INDIRECT(ADDRESS(SumRef!EU24,SumRef!EU$16,,,SumRef!$E$7))))</f>
        <v/>
      </c>
      <c r="CZ18" s="1167" t="b">
        <f ca="1">IF('A-80 DirEntInv'!DC17&lt;&gt;"",'A-80 DirEntInv'!DC17,IF(INDIRECT(ADDRESS(SumRef!EV24,SumRef!EV$16,,,SumRef!$E$7))="","",INDIRECT(ADDRESS(SumRef!EV24,SumRef!EV$16,,,SumRef!$E$7))))</f>
        <v>0</v>
      </c>
      <c r="DA18" s="1373" t="str">
        <f ca="1">IF('A-80 DirEntInv'!DD17&lt;&gt;"",'A-80 DirEntInv'!DD17,IF(INDIRECT(ADDRESS(SumRef!EW24,SumRef!EW$16,,,SumRef!$E$7))="","",INDIRECT(ADDRESS(SumRef!EW24,SumRef!EW$16,,,SumRef!$E$7))))</f>
        <v/>
      </c>
      <c r="DB18" s="1373" t="b">
        <f ca="1">IF('A-80 DirEntInv'!DE17&lt;&gt;"",'A-80 DirEntInv'!DE17,IF(INDIRECT(ADDRESS(SumRef!EX24,SumRef!EX$16,,,SumRef!$E$7))="","",INDIRECT(ADDRESS(SumRef!EX24,SumRef!EX$16,,,SumRef!$E$7))))</f>
        <v>0</v>
      </c>
      <c r="DC18" s="1114" t="b">
        <f ca="1">IF('A-80 DirEntInv'!DF17&lt;&gt;"",'A-80 DirEntInv'!DF17,IF(INDIRECT(ADDRESS(SumRef!EY24,SumRef!EY$16,,,SumRef!$E$7))="","",INDIRECT(ADDRESS(SumRef!EY24,SumRef!EY$16,,,SumRef!$E$7))))</f>
        <v>0</v>
      </c>
      <c r="DD18" s="1115" t="str">
        <f ca="1">IF('A-80 DirEntInv'!DG17&lt;&gt;"",'A-80 DirEntInv'!DG17,IF(INDIRECT(ADDRESS(SumRef!EZ24,SumRef!EZ$16,,,SumRef!$E$7))="","",INDIRECT(ADDRESS(SumRef!EZ24,SumRef!EZ$16,,,SumRef!$E$7))))</f>
        <v/>
      </c>
    </row>
    <row r="19" spans="1:108" s="588" customFormat="1" ht="13.5" thickBot="1" x14ac:dyDescent="0.25">
      <c r="A19" s="589">
        <f t="shared" si="0"/>
        <v>9</v>
      </c>
      <c r="B19" s="1155" t="str">
        <f ca="1">IF('A-80 DirEntInv'!B18&lt;&gt;"",'A-80 DirEntInv'!B18,IF(INDIRECT(ADDRESS(SumRef!AQ25,SumRef!AQ$16,,,SumRef!$B$7))="","",INDIRECT(ADDRESS(SumRef!AQ25,SumRef!AQ$16,,,SumRef!$B$7))))</f>
        <v/>
      </c>
      <c r="C19" s="1097" t="str">
        <f ca="1">IF('A-80 DirEntInv'!C18&lt;&gt;"",'A-80 DirEntInv'!C18,IF(INDIRECT(ADDRESS(SumRef!AR25,SumRef!AR$16,,,SumRef!$B$7))="","",INDIRECT(ADDRESS(SumRef!AR25,SumRef!AR$16,,,SumRef!$B$7))))</f>
        <v/>
      </c>
      <c r="D19" s="1097" t="str">
        <f ca="1">IF('A-80 DirEntInv'!D18&lt;&gt;"",'A-80 DirEntInv'!D18,IF(INDIRECT(ADDRESS(SumRef!AS25,SumRef!AS$16,,,SumRef!$B$7))="","",INDIRECT(ADDRESS(SumRef!AS25,SumRef!AS$16,,,SumRef!$B$7))))</f>
        <v/>
      </c>
      <c r="E19" s="1097" t="str">
        <f ca="1">IF('A-80 DirEntInv'!E18&lt;&gt;"",'A-80 DirEntInv'!E18,IF(INDIRECT(ADDRESS(SumRef!AT25,SumRef!AT$16,,,SumRef!$B$7))="","",INDIRECT(ADDRESS(SumRef!AT25,SumRef!AT$16,,,SumRef!$B$7))))</f>
        <v/>
      </c>
      <c r="F19" s="1097" t="str">
        <f ca="1">IF('A-80 DirEntInv'!F18&lt;&gt;"",'A-80 DirEntInv'!F18,IF(INDIRECT(ADDRESS(SumRef!AU25,SumRef!AU$16,,,SumRef!$B$7))="","",INDIRECT(ADDRESS(SumRef!AU25,SumRef!AU$16,,,SumRef!$B$7))))</f>
        <v/>
      </c>
      <c r="G19" s="1158" t="str">
        <f ca="1">IF('A-80 DirEntInv'!G18&lt;&gt;"",'A-80 DirEntInv'!G18,IF(INDIRECT(ADDRESS(SumRef!AV25,SumRef!AV$16,,,SumRef!$B$7))="","",INDIRECT(ADDRESS(SumRef!AV25,SumRef!AV$16,,,SumRef!$B$7))))</f>
        <v/>
      </c>
      <c r="H19" s="1097" t="str">
        <f ca="1">IF('A-80 DirEntInv'!H18&lt;&gt;"",'A-80 DirEntInv'!H18,IF(INDIRECT(ADDRESS(SumRef!AW25,SumRef!AW$16,,,SumRef!$B$7))="","",INDIRECT(ADDRESS(SumRef!AW25,SumRef!AW$16,,,SumRef!$B$7))))</f>
        <v/>
      </c>
      <c r="I19" s="1097" t="str">
        <f ca="1">IF('A-80 DirEntInv'!I18&lt;&gt;"",'A-80 DirEntInv'!I18,IF(INDIRECT(ADDRESS(SumRef!AX25,SumRef!AX$16,,,SumRef!$B$7))="","",INDIRECT(ADDRESS(SumRef!AX25,SumRef!AX$16,,,SumRef!$B$7))))</f>
        <v/>
      </c>
      <c r="J19" s="1098" t="str">
        <f ca="1">IF('A-80 DirEntInv'!J18&lt;&gt;"",'A-80 DirEntInv'!J18,IF(INDIRECT(ADDRESS(SumRef!AY25,SumRef!AY$16,,,SumRef!$B$7))="","",INDIRECT(ADDRESS(SumRef!AY25,SumRef!AY$16,,,SumRef!$B$7))))</f>
        <v/>
      </c>
      <c r="K19" s="1099" t="str">
        <f ca="1">IF('A-80 DirEntInv'!K18&lt;&gt;"",'A-80 DirEntInv'!K18,IF(INDIRECT(ADDRESS(SumRef!AZ25,SumRef!AZ$16,,,SumRef!$B$7))="","",INDIRECT(ADDRESS(SumRef!AZ25,SumRef!AZ$16,,,SumRef!$B$7))))</f>
        <v/>
      </c>
      <c r="L19" s="1100" t="str">
        <f ca="1">IF('A-80 DirEntInv'!L18&lt;&gt;"",'A-80 DirEntInv'!L18,IF(INDIRECT(ADDRESS(SumRef!BA25,SumRef!BA$16,,,SumRef!$B$7))="","",INDIRECT(ADDRESS(SumRef!BA25,SumRef!BA$16,,,SumRef!$B$7))))</f>
        <v/>
      </c>
      <c r="M19" s="1101" t="str">
        <f ca="1">IF('A-80 DirEntInv'!M18&lt;&gt;"",'A-80 DirEntInv'!M18,IF(INDIRECT(ADDRESS(SumRef!BB25,SumRef!BB$16,,,SumRef!$B$7))="","",INDIRECT(ADDRESS(SumRef!BB25,SumRef!BB$16,,,SumRef!$B$7))))</f>
        <v/>
      </c>
      <c r="N19" s="1098" t="str">
        <f ca="1">IF('A-80 DirEntInv'!N18&lt;&gt;"",'A-80 DirEntInv'!N18,IF(INDIRECT(ADDRESS(SumRef!BC25,SumRef!BC$16,,,SumRef!$B$7))="","",INDIRECT(ADDRESS(SumRef!BC25,SumRef!BC$16,,,SumRef!$B$7))))</f>
        <v/>
      </c>
      <c r="O19" s="1102" t="str">
        <f ca="1">IF('A-80 DirEntInv'!O18&lt;&gt;"",'A-80 DirEntInv'!O18,IF(INDIRECT(ADDRESS(SumRef!BD25,SumRef!BD$16,,,SumRef!$B$7))="","",INDIRECT(ADDRESS(SumRef!BD25,SumRef!BD$16,,,SumRef!$B$7))))</f>
        <v/>
      </c>
      <c r="Q19" s="589"/>
      <c r="R19" s="1103" t="str">
        <f ca="1">IF('A-80 DirEntInv'!R18&lt;&gt;"",'A-80 DirEntInv'!R18,IF(INDIRECT(ADDRESS(SumRef!BH25,SumRef!BH$16,,,SumRef!$B$8))="","",INDIRECT(ADDRESS(SumRef!BH25,SumRef!BH$16,,,SumRef!$B$8))))</f>
        <v/>
      </c>
      <c r="S19" s="1104" t="str">
        <f ca="1">IF('A-80 DirEntInv'!S18&lt;&gt;"",'A-80 DirEntInv'!S18,IF(INDIRECT(ADDRESS(SumRef!BI25,SumRef!BI$16,,,SumRef!$B$8))="","",INDIRECT(ADDRESS(SumRef!BI25,SumRef!BI$16,,,SumRef!$B$8))))</f>
        <v/>
      </c>
      <c r="T19" s="1104" t="str">
        <f ca="1">IF('A-80 DirEntInv'!T18&lt;&gt;"",'A-80 DirEntInv'!T18,IF(INDIRECT(ADDRESS(SumRef!BJ25,SumRef!BJ$16,,,SumRef!$B$8))="","",INDIRECT(ADDRESS(SumRef!BJ25,SumRef!BJ$16,,,SumRef!$B$8))))</f>
        <v/>
      </c>
      <c r="U19" s="1104" t="str">
        <f ca="1">IF('A-80 DirEntInv'!U18&lt;&gt;"",'A-80 DirEntInv'!U18,IF(INDIRECT(ADDRESS(SumRef!BK25,SumRef!BK$16,,,SumRef!$B$8))="","",INDIRECT(ADDRESS(SumRef!BK25,SumRef!BK$16,,,SumRef!$B$8))))</f>
        <v/>
      </c>
      <c r="V19" s="1104" t="str">
        <f ca="1">IF('A-80 DirEntInv'!V18&lt;&gt;"",'A-80 DirEntInv'!V18,IF(INDIRECT(ADDRESS(SumRef!BL25,SumRef!BL$16,,,SumRef!$B$8))="","",INDIRECT(ADDRESS(SumRef!BL25,SumRef!BL$16,,,SumRef!$B$8))))</f>
        <v/>
      </c>
      <c r="W19" s="1354" t="str">
        <f ca="1">IF('A-80 DirEntInv'!W18&lt;&gt;"",'A-80 DirEntInv'!W18,IF(INDIRECT(ADDRESS(SumRef!BM25,SumRef!BM$16,,,SumRef!$B$8))="","",INDIRECT(ADDRESS(SumRef!BM25,SumRef!BM$16,,,SumRef!$B$8))))</f>
        <v/>
      </c>
      <c r="X19" s="1203" t="str">
        <f ca="1">IF('A-80 DirEntInv'!X18&lt;&gt;"",'A-80 DirEntInv'!X18,IF(INDIRECT(ADDRESS(SumRef!BN25,SumRef!BN$16,,,SumRef!$B$8))="","",INDIRECT(ADDRESS(SumRef!BN25,SumRef!BN$16,,,SumRef!$B$8))))</f>
        <v/>
      </c>
      <c r="Y19" s="1203" t="str">
        <f ca="1">IF('A-80 DirEntInv'!Y18&lt;&gt;"",'A-80 DirEntInv'!Y18,IF(INDIRECT(ADDRESS(SumRef!BO25,SumRef!BO$16,,,SumRef!$B$8))="","",INDIRECT(ADDRESS(SumRef!BO25,SumRef!BO$16,,,SumRef!$B$8))))</f>
        <v/>
      </c>
      <c r="Z19" s="1104" t="str">
        <f ca="1">IF('A-80 DirEntInv'!Z18&lt;&gt;"",'A-80 DirEntInv'!Z18,IF(INDIRECT(ADDRESS(SumRef!BP25,SumRef!BP$16,,,SumRef!$B$8))="","",INDIRECT(ADDRESS(SumRef!BP25,SumRef!BP$16,,,SumRef!$B$8))))</f>
        <v/>
      </c>
      <c r="AA19" s="1104" t="str">
        <f ca="1">IF('A-80 DirEntInv'!AA18&lt;&gt;"",'A-80 DirEntInv'!AA18,IF(INDIRECT(ADDRESS(SumRef!BQ25,SumRef!BQ$16,,,SumRef!$B$8))="","",INDIRECT(ADDRESS(SumRef!BQ25,SumRef!BQ$16,,,SumRef!$B$8))))</f>
        <v/>
      </c>
      <c r="AB19" s="1106" t="str">
        <f ca="1">IF('A-80 DirEntInv'!AB18&lt;&gt;"",'A-80 DirEntInv'!AB18,IF(INDIRECT(ADDRESS(SumRef!BR25,SumRef!BR$16,,,SumRef!$B$8))="","",INDIRECT(ADDRESS(SumRef!BR25,SumRef!BR$16,,,SumRef!$B$8))))</f>
        <v/>
      </c>
      <c r="AC19" s="1107" t="str">
        <f ca="1">IF('A-80 DirEntInv'!AC18&lt;&gt;"",'A-80 DirEntInv'!AC18,IF(INDIRECT(ADDRESS(SumRef!BS25,SumRef!BS$16,,,SumRef!$B$8))="","",INDIRECT(ADDRESS(SumRef!BS25,SumRef!BS$16,,,SumRef!$B$8))))</f>
        <v/>
      </c>
      <c r="AD19" s="1349" t="str">
        <f ca="1">IF('A-80 DirEntInv'!AD18&lt;&gt;"",'A-80 DirEntInv'!AD18,IF(INDIRECT(ADDRESS(SumRef!BT25,SumRef!BT$16,,,SumRef!$B$8))="","",INDIRECT(ADDRESS(SumRef!BT25,SumRef!BT$16,,,SumRef!$B$8))))</f>
        <v/>
      </c>
      <c r="AE19" s="1137" t="str">
        <f ca="1">IF('A-80 DirEntInv'!AE18&lt;&gt;"",'A-80 DirEntInv'!AE18,IF(INDIRECT(ADDRESS(SumRef!BU25,SumRef!BU$16,,,SumRef!$B$8))="","",INDIRECT(ADDRESS(SumRef!BU25,SumRef!BU$16,,,SumRef!$B$8))))</f>
        <v/>
      </c>
      <c r="AF19" s="1346" t="str">
        <f ca="1">IF('A-80 DirEntInv'!AF18&lt;&gt;"",'A-80 DirEntInv'!AF18,IF(INDIRECT(ADDRESS(SumRef!BV25,SumRef!BV$16,,,SumRef!$B$8))="","",INDIRECT(ADDRESS(SumRef!BV25,SumRef!BV$16,,,SumRef!$B$8))))</f>
        <v/>
      </c>
      <c r="AG19" s="1105" t="str">
        <f ca="1">IF('A-80 DirEntInv'!AG18&lt;&gt;"",'A-80 DirEntInv'!AG18,IF(INDIRECT(ADDRESS(SumRef!BW25,SumRef!BW$16,,,SumRef!$B$8))="","",INDIRECT(ADDRESS(SumRef!BW25,SumRef!BW$16,,,SumRef!$B$8))))</f>
        <v/>
      </c>
      <c r="AH19" s="1357" t="str">
        <f ca="1">IF('A-80 DirEntInv'!AH18&lt;&gt;"",'A-80 DirEntInv'!AH18,IF(INDIRECT(ADDRESS(SumRef!BX25,SumRef!BX$16,,,SumRef!$B$8))="","",INDIRECT(ADDRESS(SumRef!BX25,SumRef!BX$16,,,SumRef!$B$8))))</f>
        <v/>
      </c>
      <c r="AK19" s="1048" t="str">
        <f>Codes!$C$156</f>
        <v>AG - Automated Guideway (DO)</v>
      </c>
      <c r="AL19" s="1049" t="str">
        <f>Valid!$B$79</f>
        <v>Below-Grade/Submerged Tube</v>
      </c>
      <c r="AM19" s="1119" t="str">
        <f>IF('A-80 DirEntInv'!AM18&lt;&gt;"",'A-80 DirEntInv'!AM18,IF(AK19=summaryref2!B20,summaryref2!D20,IF(Summary!AK19=summaryref2!B34,summaryref2!D34,IF(AK19=summaryref2!B48,summaryref2!D48,IF(AK19=summaryref2!B62,summaryref2!D62,IF(AK19=summaryref2!B76,summaryref2!D76,IF(AK19=summaryref2!B90,summaryref2!D90,IF(AK19=summaryref2!B104,summaryref2!D104,IF(AK19=summaryref2!B118,summaryref2!D118,IF(AK19=summaryref2!B132,summaryref2!D132,IF(AK19=summaryref2!B146,summaryref2!D146,"")))))))))))</f>
        <v/>
      </c>
      <c r="AN19" s="1120" t="str">
        <f ca="1">IF('A-80 DirEntInv'!AN18&lt;&gt;"",'A-80 DirEntInv'!AN18,IF(INDIRECT(ADDRESS(SumRef!CG25,SumRef!CG$16,,,SumRef!$C$7))="","",INDIRECT(ADDRESS(SumRef!CG25,SumRef!CG$16,,,SumRef!$C$7))))</f>
        <v>Linear Feet</v>
      </c>
      <c r="AO19" s="1119" t="str">
        <f>IF('A-80 DirEntInv'!AO18&lt;&gt;"",'A-80 DirEntInv'!AO18,IF(AM19=summaryref2!D20,summaryref2!F20,IF(Summary!AM19=summaryref2!D34,summaryref2!F34,IF(AM19=summaryref2!D48,summaryref2!F48,IF(AM19=summaryref2!D62,summaryref2!F62,IF(AM19=summaryref2!D76,summaryref2!F76,IF(AM19=summaryref2!D90,summaryref2!F90,IF(AM19=summaryref2!D104,summaryref2!F104,IF(AM19=summaryref2!D118,summaryref2!F118,IF(AM19=summaryref2!D132,summaryref2!F132,IF(AM19=summaryref2!D146,summaryref2!F146,"")))))))))))</f>
        <v/>
      </c>
      <c r="AP19" s="1120" t="str">
        <f ca="1">IF('A-80 DirEntInv'!AP18&lt;&gt;"",'A-80 DirEntInv'!AP18,IF(INDIRECT(ADDRESS(SumRef!#REF!,SumRef!#REF!,,,SumRef!$C$7))="","",INDIRECT(ADDRESS(SumRef!#REF!,SumRef!#REF!,,,SumRef!$C$7))))</f>
        <v>Track Feet</v>
      </c>
      <c r="AQ19" s="1148" t="str">
        <f>IF('A-80 DirEntInv'!AQ18&lt;&gt;"",'A-80 DirEntInv'!AQ18,IF(AK19=summaryref2!B20,summaryref2!G20,IF(Summary!AK19=summaryref2!B34,summaryref2!G34,IF(AK19=summaryref2!B48,summaryref2!G48,IF(AK19=summaryref2!B62,summaryref2!G62,IF(AK19=summaryref2!B76,summaryref2!G76,IF(AK19=summaryref2!B90,summaryref2!G90,IF(AK19=summaryref2!B104,summaryref2!G104,IF(AK19=summaryref2!B118,summaryref2!G118,IF(AK19=summaryref2!B132,summaryref2!G132,IF(AK19=summaryref2!B146,summaryref2!G146,"")))))))))))</f>
        <v/>
      </c>
      <c r="AR19" s="1148" t="str">
        <f>IF('A-80 DirEntInv'!AR18&lt;&gt;"",'A-80 DirEntInv'!AR18,IF(AK19=summaryref2!B20,summaryref2!H20,IF(Summary!AK19=summaryref2!B34,summaryref2!H34,IF(AK19=summaryref2!B48,summaryref2!H48,IF(AK19=summaryref2!B62,summaryref2!H62,IF(AK19=summaryref2!B76,summaryref2!H76,IF(AK19=summaryref2!B90,summaryref2!H90,IF(AK19=summaryref2!B104,summaryref2!H104,IF(AK19=summaryref2!B118,summaryref2!H118,IF(AK19=summaryref2!B132,summaryref2!H132,IF(AK19=summaryref2!B146,summaryref2!H146,"")))))))))))</f>
        <v/>
      </c>
      <c r="AS19" s="1121" t="str">
        <f>IF('A-80 DirEntInv'!AS18&lt;&gt;"",'A-80 DirEntInv'!AS18,IF(AK19=summaryref2!B20,summaryref2!I20,IF(Summary!AK19=summaryref2!B34,summaryref2!I34,IF(AK19=summaryref2!B48,summaryref2!I48,IF(AK19=summaryref2!B62,summaryref2!I62,IF(AK19=summaryref2!B76,summaryref2!I76,IF(AK19=summaryref2!B90,summaryref2!I90,IF(AK19=summaryref2!B104,summaryref2!I104,IF(AK19=summaryref2!B118,summaryref2!I118,IF(AK19=summaryref2!B132,summaryref2!I132,IF(AK19=summaryref2!B146,summaryref2!I146,"")))))))))))</f>
        <v/>
      </c>
      <c r="AT19" s="1121" t="str">
        <f>IF('A-80 DirEntInv'!AT18&lt;&gt;"",'A-80 DirEntInv'!AT18,IF(AK19=summaryref2!B20,summaryref2!J20,IF(Summary!AK19=summaryref2!B34,summaryref2!J34,IF(AK19=summaryref2!B48,summaryref2!J48,IF(AK19=summaryref2!B62,summaryref2!J62,IF(AK19=summaryref2!B76,summaryref2!J76,IF(AK19=summaryref2!B90,summaryref2!J90,IF(AK19=summaryref2!B104,summaryref2!J104,IF(AK19=summaryref2!B118,summaryref2!J118,IF(AK19=summaryref2!B132,summaryref2!J132,IF(AK19=summaryref2!B146,summaryref2!J146,"")))))))))))</f>
        <v/>
      </c>
      <c r="AU19" s="1121" t="str">
        <f>IF('A-80 DirEntInv'!AU18&lt;&gt;"",'A-80 DirEntInv'!AU18,IF(AK19=summaryref2!B20,summaryref2!K20,IF(Summary!AK19=summaryref2!B34,summaryref2!K34,IF(AK19=summaryref2!B48,summaryref2!K48,IF(AK19=summaryref2!B62,summaryref2!K62,IF(AK19=summaryref2!B76,summaryref2!K76,IF(AK19=summaryref2!B90,summaryref2!K90,IF(AK19=summaryref2!B104,summaryref2!K104,IF(AK19=summaryref2!B118,summaryref2!K118,IF(AK19=summaryref2!B132,summaryref2!K132,IF(AK19=summaryref2!B146,summaryref2!K146,"")))))))))))</f>
        <v/>
      </c>
      <c r="AV19" s="1121" t="str">
        <f>IF('A-80 DirEntInv'!AV18&lt;&gt;"",'A-80 DirEntInv'!AV18,IF(AK19=summaryref2!B20,summaryref2!L20,IF(Summary!AK19=summaryref2!B34,summaryref2!L34,IF(AK19=summaryref2!B48,summaryref2!L48,IF(AK19=summaryref2!B62,summaryref2!L62,IF(AK19=summaryref2!B76,summaryref2!L76,IF(AK19=summaryref2!B90,summaryref2!L90,IF(AK19=summaryref2!B104,summaryref2!L104,IF(AK19=summaryref2!B118,summaryref2!L118,IF(AK19=summaryref2!B132,summaryref2!L132,IF(AK19=summaryref2!B146,summaryref2!L146,"")))))))))))</f>
        <v/>
      </c>
      <c r="AW19" s="1121" t="str">
        <f>IF('A-80 DirEntInv'!AW18&lt;&gt;"",'A-80 DirEntInv'!AW18,IF(AK19=summaryref2!B20,summaryref2!M20,IF(Summary!AK19=summaryref2!B34,summaryref2!M34,IF(AK19=summaryref2!B48,summaryref2!M48,IF(AK19=summaryref2!B62,summaryref2!M62,IF(AK19=summaryref2!B76,summaryref2!M76,IF(AK19=summaryref2!B90,summaryref2!M90,IF(AK19=summaryref2!B104,summaryref2!M104,IF(AK19=summaryref2!B118,summaryref2!M118,IF(AK19=summaryref2!B132,summaryref2!M132,IF(AK19=summaryref2!B146,summaryref2!M146,"")))))))))))</f>
        <v/>
      </c>
      <c r="AX19" s="1121" t="str">
        <f>IF('A-80 DirEntInv'!AX18&lt;&gt;"",'A-80 DirEntInv'!AX18,IF(AK19=summaryref2!B20,summaryref2!N20,IF(Summary!AK19=summaryref2!B34,summaryref2!N34,IF(AK19=summaryref2!B48,summaryref2!N48,IF(AK19=summaryref2!B62,summaryref2!N62,IF(AK19=summaryref2!B76,summaryref2!N76,IF(AK19=summaryref2!B90,summaryref2!N90,IF(AK19=summaryref2!B104,summaryref2!N104,IF(AK19=summaryref2!B118,summaryref2!N118,IF(AK19=summaryref2!B132,summaryref2!N132,IF(AK19=summaryref2!B146,summaryref2!N146,"")))))))))))</f>
        <v/>
      </c>
      <c r="AY19" s="1121" t="str">
        <f>IF('A-80 DirEntInv'!AY18&lt;&gt;"",'A-80 DirEntInv'!AY18,IF(AK19=summaryref2!B20,summaryref2!O20,IF(Summary!AK19=summaryref2!B34,summaryref2!O34,IF(AK19=summaryref2!B48,summaryref2!O48,IF(AK19=summaryref2!B62,summaryref2!O62,IF(AK19=summaryref2!B76,summaryref2!O76,IF(AK19=summaryref2!B90,summaryref2!O90,IF(AK19=summaryref2!B104,summaryref2!O104,IF(AK19=summaryref2!B118,summaryref2!O118,IF(AK19=summaryref2!B132,summaryref2!O132,IF(AK19=summaryref2!B146,summaryref2!O146,"")))))))))))</f>
        <v/>
      </c>
      <c r="AZ19" s="1121" t="str">
        <f>IF('A-80 DirEntInv'!AZ18&lt;&gt;"",'A-80 DirEntInv'!AZ18,IF(AK19=summaryref2!B20,summaryref2!P20,IF(Summary!AK19=summaryref2!B34,summaryref2!P34,IF(AK19=summaryref2!B48,summaryref2!P48,IF(AK19=summaryref2!B62,summaryref2!P62,IF(AK19=summaryref2!B76,summaryref2!P76,IF(AK19=summaryref2!B90,summaryref2!P90,IF(AK19=summaryref2!B104,summaryref2!P104,IF(AK19=summaryref2!B118,summaryref2!P118,IF(AK19=summaryref2!B132,summaryref2!P132,IF(AK19=summaryref2!B146,summaryref2!P146,"")))))))))))</f>
        <v/>
      </c>
      <c r="BA19" s="1121" t="str">
        <f>IF('A-80 DirEntInv'!BA18&lt;&gt;"",'A-80 DirEntInv'!BA18,IF(AK19=summaryref2!B20,summaryref2!Q20,IF(Summary!AK19=summaryref2!B34,summaryref2!Q34,IF(AK19=summaryref2!B48,summaryref2!Q48,IF(AK19=summaryref2!B62,summaryref2!Q62,IF(AK19=summaryref2!B76,summaryref2!Q76,IF(AK19=summaryref2!B90,summaryref2!Q90,IF(AK19=summaryref2!B104,summaryref2!Q104,IF(AK19=summaryref2!B118,summaryref2!Q118,IF(AK19=summaryref2!B132,summaryref2!Q132,IF(AK19=summaryref2!B146,summaryref2!Q146,"")))))))))))</f>
        <v/>
      </c>
      <c r="BB19" s="1121" t="str">
        <f>IF('A-80 DirEntInv'!BB18&lt;&gt;"",'A-80 DirEntInv'!BB18,IF(AK19=summaryref2!B20,summaryref2!R20,IF(Summary!AK19=summaryref2!B34,summaryref2!R34,IF(AK19=summaryref2!B48,summaryref2!R48,IF(AK19=summaryref2!B62,summaryref2!R62,IF(AK19=summaryref2!B76,summaryref2!R76,IF(AK19=summaryref2!B90,summaryref2!R90,IF(AK19=summaryref2!B104,summaryref2!R104,IF(AK19=summaryref2!B118,summaryref2!R118,IF(AK19=summaryref2!B132,summaryref2!R132,IF(AK19=summaryref2!B146,summaryref2!R146,"")))))))))))</f>
        <v/>
      </c>
      <c r="BC19" s="1121" t="str">
        <f>IF('A-80 DirEntInv'!BC18&lt;&gt;0,'A-80 DirEntInv'!BC18,IF(AK19=summaryref2!B20,summaryref2!S20,IF(Summary!AK19=summaryref2!B34,summaryref2!S34,IF(AK19=summaryref2!B48,summaryref2!S48,IF(AK19=summaryref2!B62,summaryref2!S62,IF(AK19=summaryref2!B76,summaryref2!S76,IF(AK19=summaryref2!B90,summaryref2!S90,IF(AK19=summaryref2!B104,summaryref2!S104,IF(AK19=summaryref2!B118,summaryref2!S118,IF(AK19=summaryref2!B132,summaryref2!S132,IF(AK19=summaryref2!B146,summaryref2!S146,"")))))))))))</f>
        <v/>
      </c>
      <c r="BD19" s="1122" t="str">
        <f>IF('A-80 DirEntInv'!BD18&lt;&gt;"",'A-80 DirEntInv'!BD18,IF(AK19=summaryref2!B20,summaryref2!T20,IF(Summary!AK19=summaryref2!B34,summaryref2!T34,IF(AK19=summaryref2!B48,summaryref2!T48,IF(AK19=summaryref2!B62,summaryref2!T62,IF(AK19=summaryref2!B76,summaryref2!T76,IF(AK19=summaryref2!B90,summaryref2!T90,IF(AK19=summaryref2!B104,summaryref2!T104,IF(AK19=summaryref2!B118,summaryref2!T118,IF(AK19=summaryref2!B132,summaryref2!T132,IF(AK19=summaryref2!B146,summaryref2!T146,"")))))))))))</f>
        <v/>
      </c>
      <c r="BE19" s="1190" t="str">
        <f>IF('A-80 DirEntInv'!BE18&lt;&gt;"",'A-80 DirEntInv'!BE18,IF(AK19=summaryref2!B20,summaryref2!U20,IF(Summary!AK19=summaryref2!B34,summaryref2!U34,IF(AK19=summaryref2!B48,summaryref2!U48,IF(AK19=summaryref2!B62,summaryref2!U62,IF(AK19=summaryref2!B76,summaryref2!U76,IF(AK19=summaryref2!B90,summaryref2!U90,IF(AK19=summaryref2!B104,summaryref2!U104,IF(AK19=summaryref2!B118,summaryref2!U118,IF(AK19=summaryref2!B132,summaryref2!U132,IF(AK19=summaryref2!B146,summaryref2!U146,"")))))))))))</f>
        <v/>
      </c>
      <c r="BF19" s="1432"/>
      <c r="BG19" s="1432"/>
      <c r="BJ19" s="1048" t="str">
        <f>Codes!$C$157</f>
        <v>AG - Automated Guideway (PT)</v>
      </c>
      <c r="BK19" s="1049" t="str">
        <f>Valid!$B$81</f>
        <v>Curve</v>
      </c>
      <c r="BL19" s="1367" t="str">
        <f>IF('A-80 DirEntInv'!BL18&lt;&gt;"",'A-80 DirEntInv'!BL18,IF(BJ19=summaryref2!X13,summaryref2!Z13,IF(BJ19=summaryref2!X20,summaryref2!Z20,IF(BJ19=summaryref2!X27,summaryref2!Z27,IF(BJ19=summaryref2!X34,summaryref2!Z34,IF(BJ19=summaryref2!X41,summaryref2!Z41,IF(BJ19=summaryref2!X48,summaryref2!Z48,IF(BJ19=summaryref2!X55,summaryref2!Z55,IF(BJ19=summaryref2!X62,summaryref2!Z62,IF(BJ19=summaryref2!X69,summaryref2!Z69,IF(BJ19=summaryref2!X76,summaryref2!Z76,"")))))))))))</f>
        <v/>
      </c>
      <c r="BM19" s="1049" t="str">
        <f>VLOOKUP(BK19,Valid!$B$80:$C$86,2,FALSE)</f>
        <v>Track Feet</v>
      </c>
      <c r="BN19" s="1324" t="str">
        <f>IF('A-80 DirEntInv'!BN18&lt;&gt;"",'A-80 DirEntInv'!BN18,IF(BJ19=summaryref2!X13,summaryref2!AB13,IF(BJ19=summaryref2!X20,summaryref2!AB20,IF(BJ19=summaryref2!X27,summaryref2!AB27,IF(BJ19=summaryref2!X34,summaryref2!AB34,IF(BJ19=summaryref2!X41,summaryref2!AB41,IF(BJ19=summaryref2!X48,summaryref2!AB48,IF(BJ19=summaryref2!X55,summaryref2!AB55,IF(BJ19=summaryref2!X62,summaryref2!AB62,IF(BJ19=summaryref2!X69,summaryref2!AB69,IF(BJ19=summaryref2!X76,summaryref2!AB76,"")))))))))))</f>
        <v/>
      </c>
      <c r="BO19" s="1326" t="str">
        <f>IF('A-80 DirEntInv'!BO18&lt;&gt;"",'A-80 DirEntInv'!BO18,IF(BJ19=summaryref2!X13,summaryref2!AC13,IF(BJ19=summaryref2!X20,summaryref2!AC20,IF(BJ19=summaryref2!X27,summaryref2!AC27,IF(BJ19=summaryref2!X34,summaryref2!AC34,IF(BJ19=summaryref2!X41,summaryref2!AC41,IF(BJ19=summaryref2!X48,summaryref2!AC48,IF(BJ19=summaryref2!X55,summaryref2!AC55,IF(BJ19=summaryref2!X62,summaryref2!AC62,IF(BJ19=summaryref2!X69,summaryref2!AC69,IF(BJ19=summaryref2!X76,summaryref2!AC76,"")))))))))))</f>
        <v/>
      </c>
      <c r="BP19" s="1323" t="str">
        <f>IF('A-80 DirEntInv'!BP18&lt;&gt;"",'A-80 DirEntInv'!BP18,IF(BJ19=summaryref2!X13,summaryref2!AD13,IF(BJ19=summaryref2!X20,summaryref2!AD20,IF(BJ19=summaryref2!X27,summaryref2!AD27,IF(BJ19=summaryref2!X34,summaryref2!AD34,IF(BJ19=summaryref2!X41,summaryref2!AD41,IF(BJ19=summaryref2!X48,summaryref2!AD48,IF(BJ19=summaryref2!X55,summaryref2!AD55,IF(BJ19=summaryref2!X62,summaryref2!AD62,IF(BJ19=summaryref2!X69,summaryref2!AD69,IF(BJ19=summaryref2!X76,summaryref2!AD76,"")))))))))))</f>
        <v/>
      </c>
      <c r="BS19" s="1472" t="str">
        <f ca="1">IF('A-80 DirEntInv'!BU18&lt;&gt;"",'A-80 DirEntInv'!BU18,IF(INDIRECT(ADDRESS(SumRef!DK25,SumRef!DK$16,,,SumRef!$E$6))="","",INDIRECT(ADDRESS(SumRef!DK25,SumRef!DK$16,,,SumRef!$E$6))))</f>
        <v/>
      </c>
      <c r="BT19" s="1458" t="str">
        <f ca="1">IF('A-80 DirEntInv'!BV18&lt;&gt;"",'A-80 DirEntInv'!BV18,IF(INDIRECT(ADDRESS(SumRef!DL25,SumRef!DL$16,,,SumRef!$E$6))="","",INDIRECT(ADDRESS(SumRef!DL25,SumRef!DL$16,,,SumRef!$E$6))))</f>
        <v/>
      </c>
      <c r="BU19" s="1177" t="str">
        <f ca="1">IF('A-80 DirEntInv'!BW18&lt;&gt;"",'A-80 DirEntInv'!BW18,IF(INDIRECT(ADDRESS(SumRef!DM25,SumRef!DM$16,,,SumRef!$E$6))="","",INDIRECT(ADDRESS(SumRef!DM25,SumRef!DM$16,,,SumRef!$E$6))))</f>
        <v/>
      </c>
      <c r="BV19" s="1460" t="str">
        <f ca="1">IF('A-80 DirEntInv'!BX18&lt;&gt;"",'A-80 DirEntInv'!BX18,IF(INDIRECT(ADDRESS(SumRef!DN25,SumRef!DN$16,,,SumRef!$E$6))="","",INDIRECT(ADDRESS(SumRef!DN25,SumRef!DN$16,,,SumRef!$E$6))))</f>
        <v/>
      </c>
      <c r="BW19" s="1460" t="str">
        <f ca="1">IF('A-80 DirEntInv'!BY18&lt;&gt;"",'A-80 DirEntInv'!BY18,IF(INDIRECT(ADDRESS(SumRef!DO25,SumRef!DO$16,,,SumRef!$E$6))="","",INDIRECT(ADDRESS(SumRef!DO25,SumRef!DO$16,,,SumRef!$E$6))))</f>
        <v/>
      </c>
      <c r="BX19" s="1116" t="str">
        <f ca="1">IF('A-80 DirEntInv'!BZ18&lt;&gt;"",'A-80 DirEntInv'!BZ18,IF(INDIRECT(ADDRESS(SumRef!DP25,SumRef!DP$16,,,SumRef!$E$6))="","",INDIRECT(ADDRESS(SumRef!DP25,SumRef!DP$16,,,SumRef!$E$6))))</f>
        <v/>
      </c>
      <c r="BY19" s="1461" t="str">
        <f ca="1">IF('A-80 DirEntInv'!CA18&lt;&gt;"",'A-80 DirEntInv'!CA18,IF(INDIRECT(ADDRESS(SumRef!DQ25,SumRef!DQ$16,,,SumRef!$E$6))="","",INDIRECT(ADDRESS(SumRef!DQ25,SumRef!DQ$16,,,SumRef!$E$6))))</f>
        <v/>
      </c>
      <c r="BZ19" s="1460" t="str">
        <f ca="1">IF('A-80 DirEntInv'!CB18&lt;&gt;"",'A-80 DirEntInv'!CB18,IF(INDIRECT(ADDRESS(SumRef!DR25,SumRef!DR$16,,,SumRef!$E$6))="","",INDIRECT(ADDRESS(SumRef!DR25,SumRef!DR$16,,,SumRef!$E$6))))</f>
        <v/>
      </c>
      <c r="CA19" s="1462" t="str">
        <f ca="1">IF('A-80 DirEntInv'!CC18&lt;&gt;"",'A-80 DirEntInv'!CC18,IF(INDIRECT(ADDRESS(SumRef!DS25,SumRef!DS$16,,,SumRef!$E$6))="","",INDIRECT(ADDRESS(SumRef!DS25,SumRef!DS$16,,,SumRef!$E$6))))</f>
        <v/>
      </c>
      <c r="CD19" s="1160" t="str">
        <f ca="1">IF('A-80 DirEntInv'!CF18&lt;&gt;"",'A-80 DirEntInv'!CF18,IF(INDIRECT(ADDRESS(SumRef!DV25,SumRef!DV$16,,,SumRef!$E$7))="","",INDIRECT(ADDRESS(SumRef!DV25,SumRef!DV$16,,,SumRef!$E$7))))</f>
        <v/>
      </c>
      <c r="CE19" s="1167" t="str">
        <f ca="1">IF('A-80 DirEntInv'!CG18&lt;&gt;"",'A-80 DirEntInv'!CG18,IF(INDIRECT(ADDRESS(SumRef!DW25,SumRef!DW$16,,,SumRef!$E$7))="","",INDIRECT(ADDRESS(SumRef!DW25,SumRef!DW$16,,,SumRef!$E$7))))</f>
        <v/>
      </c>
      <c r="CF19" s="1167" t="str">
        <f ca="1">IF('A-80 DirEntInv'!CH18&lt;&gt;"",'A-80 DirEntInv'!CH18,IF(INDIRECT(ADDRESS(SumRef!DX25,SumRef!DX$16,,,SumRef!$E$7))="","",INDIRECT(ADDRESS(SumRef!DX25,SumRef!DX$16,,,SumRef!$E$7))))</f>
        <v/>
      </c>
      <c r="CG19" s="1167" t="str">
        <f ca="1">IF('A-80 DirEntInv'!CI18&lt;&gt;"",'A-80 DirEntInv'!CI18,IF(INDIRECT(ADDRESS(SumRef!DY25,SumRef!DY$16,,,SumRef!$E$7))="","",INDIRECT(ADDRESS(SumRef!DY25,SumRef!DY$16,,,SumRef!$E$7))))</f>
        <v/>
      </c>
      <c r="CH19" s="1167" t="str">
        <f ca="1">IF('A-80 DirEntInv'!CJ18&lt;&gt;"",'A-80 DirEntInv'!CJ18,IF(INDIRECT(ADDRESS(SumRef!DZ25,SumRef!DZ$16,,,SumRef!$E$7))="","",INDIRECT(ADDRESS(SumRef!DZ25,SumRef!DZ$16,,,SumRef!$E$7))))</f>
        <v/>
      </c>
      <c r="CI19" s="1167" t="str">
        <f ca="1">IF('A-80 DirEntInv'!CK18&lt;&gt;"",'A-80 DirEntInv'!CK18,IF(INDIRECT(ADDRESS(SumRef!EA25,SumRef!EA$16,,,SumRef!$E$7))="","",INDIRECT(ADDRESS(SumRef!EA25,SumRef!EA$16,,,SumRef!$E$7))))</f>
        <v/>
      </c>
      <c r="CJ19" s="1114" t="str">
        <f ca="1">IF('A-80 DirEntInv'!CL18&lt;&gt;"",'A-80 DirEntInv'!CL18,IF(INDIRECT(ADDRESS(SumRef!EB25,SumRef!EB$16,,,SumRef!$E$7))="","",INDIRECT(ADDRESS(SumRef!EB25,SumRef!EB$16,,,SumRef!$E$7))))</f>
        <v/>
      </c>
      <c r="CK19" s="1114" t="str">
        <f ca="1">IF('A-80 DirEntInv'!CM18&lt;&gt;"",'A-80 DirEntInv'!CM18,IF(INDIRECT(ADDRESS(SumRef!EC25,SumRef!EC$16,,,SumRef!$E$7))="","",INDIRECT(ADDRESS(SumRef!EC25,SumRef!EC$16,,,SumRef!$E$7))))</f>
        <v/>
      </c>
      <c r="CL19" s="1113" t="str">
        <f ca="1">IF('A-80 DirEntInv'!CO18&lt;&gt;"",'A-80 DirEntInv'!CO18,IF(INDIRECT(ADDRESS(SumRef!ED25,SumRef!ED$16,,,SumRef!$E$7))="","",INDIRECT(ADDRESS(SumRef!ED25,SumRef!ED$16,,,SumRef!$E$7))))</f>
        <v/>
      </c>
      <c r="CM19" s="1114" t="str">
        <f ca="1">IF('A-80 DirEntInv'!CP18&lt;&gt;"",'A-80 DirEntInv'!CP18,IF(INDIRECT(ADDRESS(SumRef!EE25,SumRef!EE$16,,,SumRef!$E$7))="","",INDIRECT(ADDRESS(SumRef!EE25,SumRef!EE$16,,,SumRef!$E$7))))</f>
        <v/>
      </c>
      <c r="CN19" s="1114" t="str">
        <f ca="1">IF('A-80 DirEntInv'!CQ18&lt;&gt;"",'A-80 DirEntInv'!CQ18,IF(INDIRECT(ADDRESS(SumRef!EF25,SumRef!EF$16,,,SumRef!$E$7))="","",INDIRECT(ADDRESS(SumRef!EF25,SumRef!EF$16,,,SumRef!$E$7))))</f>
        <v/>
      </c>
      <c r="CO19" s="1113" t="str">
        <f ca="1">IF('A-80 DirEntInv'!CR18&lt;&gt;"",'A-80 DirEntInv'!CR18,IF(INDIRECT(ADDRESS(SumRef!EG25,SumRef!EG$16,,,SumRef!$E$7))="","",INDIRECT(ADDRESS(SumRef!EG25,SumRef!EG$16,,,SumRef!$E$7))))</f>
        <v/>
      </c>
      <c r="CP19" s="1114" t="str">
        <f ca="1">IF('A-80 DirEntInv'!CS18&lt;&gt;"",'A-80 DirEntInv'!CS18,IF(INDIRECT(ADDRESS(SumRef!EH25,SumRef!EH$16,,,SumRef!$E$7))="","",INDIRECT(ADDRESS(SumRef!EH25,SumRef!EH$16,,,SumRef!$E$7))))</f>
        <v/>
      </c>
      <c r="CQ19" s="1346" t="str">
        <f ca="1">IF('A-80 DirEntInv'!CT18&lt;&gt;"",'A-80 DirEntInv'!CT18,IF(INDIRECT(ADDRESS(SumRef!EI25,SumRef!EI$16,,,SumRef!$E$7))="","",INDIRECT(ADDRESS(SumRef!EI25,SumRef!EI$16,,,SumRef!$E$7))))</f>
        <v/>
      </c>
      <c r="CR19" s="1113" t="str">
        <f ca="1">IF('A-80 DirEntInv'!CU18&lt;&gt;"",'A-80 DirEntInv'!CU18,IF(INDIRECT(ADDRESS(SumRef!EJ25,SumRef!EJ$16,,,SumRef!$E$7))="","",INDIRECT(ADDRESS(SumRef!EJ25,SumRef!EJ$16,,,SumRef!$E$7))))</f>
        <v/>
      </c>
      <c r="CS19" s="1346" t="str">
        <f ca="1">IF('A-80 DirEntInv'!CV18&lt;&gt;"",'A-80 DirEntInv'!CV18,IF(INDIRECT(ADDRESS(SumRef!EM25,SumRef!EM$16,,,SumRef!$E$7))="","",INDIRECT(ADDRESS(SumRef!EM25,SumRef!EM$16,,,SumRef!$E$7))))</f>
        <v/>
      </c>
      <c r="CT19" s="1113" t="str">
        <f ca="1">IF('A-80 DirEntInv'!CW18&lt;&gt;"",'A-80 DirEntInv'!CW18,IF(INDIRECT(ADDRESS(SumRef!EN25,SumRef!EN$16,,,SumRef!$E$7))="","",INDIRECT(ADDRESS(SumRef!EN25,SumRef!EN$16,,,SumRef!$E$7))))</f>
        <v/>
      </c>
      <c r="CU19" s="1113" t="str">
        <f ca="1">IF('A-80 DirEntInv'!CX18&lt;&gt;"",'A-80 DirEntInv'!CX18,IF(INDIRECT(ADDRESS(SumRef!EO25,SumRef!EO$16,,,SumRef!$E$7))="","",INDIRECT(ADDRESS(SumRef!EO25,SumRef!EO$16,,,SumRef!$E$7))))</f>
        <v/>
      </c>
      <c r="CV19" s="1113" t="str">
        <f ca="1">IF('A-80 DirEntInv'!CY18&lt;&gt;"",'A-80 DirEntInv'!CY18,IF(INDIRECT(ADDRESS(SumRef!EP25,SumRef!EP$16,,,SumRef!$E$7))="","",INDIRECT(ADDRESS(SumRef!EP25,SumRef!EP$16,,,SumRef!$E$7))))</f>
        <v/>
      </c>
      <c r="CW19" s="1114" t="str">
        <f ca="1">IF('A-80 DirEntInv'!CZ18&lt;&gt;"",'A-80 DirEntInv'!CZ18,IF(INDIRECT(ADDRESS(SumRef!ES25,SumRef!ES$16,,,SumRef!$E$7))="","",INDIRECT(ADDRESS(SumRef!ES25,SumRef!ES$16,,,SumRef!$E$7))))</f>
        <v/>
      </c>
      <c r="CX19" s="1167" t="str">
        <f ca="1">IF('A-80 DirEntInv'!DA18&lt;&gt;"",'A-80 DirEntInv'!DA18,IF(INDIRECT(ADDRESS(SumRef!ET25,SumRef!ET$16,,,SumRef!$E$7))="","",INDIRECT(ADDRESS(SumRef!ET25,SumRef!ET$16,,,SumRef!$E$7))))</f>
        <v/>
      </c>
      <c r="CY19" s="1167" t="str">
        <f ca="1">IF('A-80 DirEntInv'!DB18&lt;&gt;"",'A-80 DirEntInv'!DB18,IF(INDIRECT(ADDRESS(SumRef!EU25,SumRef!EU$16,,,SumRef!$E$7))="","",INDIRECT(ADDRESS(SumRef!EU25,SumRef!EU$16,,,SumRef!$E$7))))</f>
        <v/>
      </c>
      <c r="CZ19" s="1167" t="b">
        <f ca="1">IF('A-80 DirEntInv'!DC18&lt;&gt;"",'A-80 DirEntInv'!DC18,IF(INDIRECT(ADDRESS(SumRef!EV25,SumRef!EV$16,,,SumRef!$E$7))="","",INDIRECT(ADDRESS(SumRef!EV25,SumRef!EV$16,,,SumRef!$E$7))))</f>
        <v>0</v>
      </c>
      <c r="DA19" s="1373" t="str">
        <f ca="1">IF('A-80 DirEntInv'!DD18&lt;&gt;"",'A-80 DirEntInv'!DD18,IF(INDIRECT(ADDRESS(SumRef!EW25,SumRef!EW$16,,,SumRef!$E$7))="","",INDIRECT(ADDRESS(SumRef!EW25,SumRef!EW$16,,,SumRef!$E$7))))</f>
        <v/>
      </c>
      <c r="DB19" s="1373" t="b">
        <f ca="1">IF('A-80 DirEntInv'!DE18&lt;&gt;"",'A-80 DirEntInv'!DE18,IF(INDIRECT(ADDRESS(SumRef!EX25,SumRef!EX$16,,,SumRef!$E$7))="","",INDIRECT(ADDRESS(SumRef!EX25,SumRef!EX$16,,,SumRef!$E$7))))</f>
        <v>0</v>
      </c>
      <c r="DC19" s="1114" t="b">
        <f ca="1">IF('A-80 DirEntInv'!DF18&lt;&gt;"",'A-80 DirEntInv'!DF18,IF(INDIRECT(ADDRESS(SumRef!EY25,SumRef!EY$16,,,SumRef!$E$7))="","",INDIRECT(ADDRESS(SumRef!EY25,SumRef!EY$16,,,SumRef!$E$7))))</f>
        <v>0</v>
      </c>
      <c r="DD19" s="1115" t="str">
        <f ca="1">IF('A-80 DirEntInv'!DG18&lt;&gt;"",'A-80 DirEntInv'!DG18,IF(INDIRECT(ADDRESS(SumRef!EZ25,SumRef!EZ$16,,,SumRef!$E$7))="","",INDIRECT(ADDRESS(SumRef!EZ25,SumRef!EZ$16,,,SumRef!$E$7))))</f>
        <v/>
      </c>
    </row>
    <row r="20" spans="1:108" s="588" customFormat="1" ht="13.5" thickTop="1" x14ac:dyDescent="0.2">
      <c r="A20" s="589">
        <f t="shared" si="0"/>
        <v>10</v>
      </c>
      <c r="B20" s="1155" t="str">
        <f ca="1">IF('A-80 DirEntInv'!B19&lt;&gt;"",'A-80 DirEntInv'!B19,IF(INDIRECT(ADDRESS(SumRef!AQ26,SumRef!AQ$16,,,SumRef!$B$7))="","",INDIRECT(ADDRESS(SumRef!AQ26,SumRef!AQ$16,,,SumRef!$B$7))))</f>
        <v/>
      </c>
      <c r="C20" s="1097" t="str">
        <f ca="1">IF('A-80 DirEntInv'!C19&lt;&gt;"",'A-80 DirEntInv'!C19,IF(INDIRECT(ADDRESS(SumRef!AR26,SumRef!AR$16,,,SumRef!$B$7))="","",INDIRECT(ADDRESS(SumRef!AR26,SumRef!AR$16,,,SumRef!$B$7))))</f>
        <v/>
      </c>
      <c r="D20" s="1097" t="str">
        <f ca="1">IF('A-80 DirEntInv'!D19&lt;&gt;"",'A-80 DirEntInv'!D19,IF(INDIRECT(ADDRESS(SumRef!AS26,SumRef!AS$16,,,SumRef!$B$7))="","",INDIRECT(ADDRESS(SumRef!AS26,SumRef!AS$16,,,SumRef!$B$7))))</f>
        <v/>
      </c>
      <c r="E20" s="1097" t="str">
        <f ca="1">IF('A-80 DirEntInv'!E19&lt;&gt;"",'A-80 DirEntInv'!E19,IF(INDIRECT(ADDRESS(SumRef!AT26,SumRef!AT$16,,,SumRef!$B$7))="","",INDIRECT(ADDRESS(SumRef!AT26,SumRef!AT$16,,,SumRef!$B$7))))</f>
        <v/>
      </c>
      <c r="F20" s="1097" t="str">
        <f ca="1">IF('A-80 DirEntInv'!F19&lt;&gt;"",'A-80 DirEntInv'!F19,IF(INDIRECT(ADDRESS(SumRef!AU26,SumRef!AU$16,,,SumRef!$B$7))="","",INDIRECT(ADDRESS(SumRef!AU26,SumRef!AU$16,,,SumRef!$B$7))))</f>
        <v/>
      </c>
      <c r="G20" s="1158" t="str">
        <f ca="1">IF('A-80 DirEntInv'!G19&lt;&gt;"",'A-80 DirEntInv'!G19,IF(INDIRECT(ADDRESS(SumRef!AV26,SumRef!AV$16,,,SumRef!$B$7))="","",INDIRECT(ADDRESS(SumRef!AV26,SumRef!AV$16,,,SumRef!$B$7))))</f>
        <v/>
      </c>
      <c r="H20" s="1097" t="str">
        <f ca="1">IF('A-80 DirEntInv'!H19&lt;&gt;"",'A-80 DirEntInv'!H19,IF(INDIRECT(ADDRESS(SumRef!AW26,SumRef!AW$16,,,SumRef!$B$7))="","",INDIRECT(ADDRESS(SumRef!AW26,SumRef!AW$16,,,SumRef!$B$7))))</f>
        <v/>
      </c>
      <c r="I20" s="1097" t="str">
        <f ca="1">IF('A-80 DirEntInv'!I19&lt;&gt;"",'A-80 DirEntInv'!I19,IF(INDIRECT(ADDRESS(SumRef!AX26,SumRef!AX$16,,,SumRef!$B$7))="","",INDIRECT(ADDRESS(SumRef!AX26,SumRef!AX$16,,,SumRef!$B$7))))</f>
        <v/>
      </c>
      <c r="J20" s="1098" t="str">
        <f ca="1">IF('A-80 DirEntInv'!J19&lt;&gt;"",'A-80 DirEntInv'!J19,IF(INDIRECT(ADDRESS(SumRef!AY26,SumRef!AY$16,,,SumRef!$B$7))="","",INDIRECT(ADDRESS(SumRef!AY26,SumRef!AY$16,,,SumRef!$B$7))))</f>
        <v/>
      </c>
      <c r="K20" s="1099" t="str">
        <f ca="1">IF('A-80 DirEntInv'!K19&lt;&gt;"",'A-80 DirEntInv'!K19,IF(INDIRECT(ADDRESS(SumRef!AZ26,SumRef!AZ$16,,,SumRef!$B$7))="","",INDIRECT(ADDRESS(SumRef!AZ26,SumRef!AZ$16,,,SumRef!$B$7))))</f>
        <v/>
      </c>
      <c r="L20" s="1100" t="str">
        <f ca="1">IF('A-80 DirEntInv'!L19&lt;&gt;"",'A-80 DirEntInv'!L19,IF(INDIRECT(ADDRESS(SumRef!BA26,SumRef!BA$16,,,SumRef!$B$7))="","",INDIRECT(ADDRESS(SumRef!BA26,SumRef!BA$16,,,SumRef!$B$7))))</f>
        <v/>
      </c>
      <c r="M20" s="1101" t="str">
        <f ca="1">IF('A-80 DirEntInv'!M19&lt;&gt;"",'A-80 DirEntInv'!M19,IF(INDIRECT(ADDRESS(SumRef!BB26,SumRef!BB$16,,,SumRef!$B$7))="","",INDIRECT(ADDRESS(SumRef!BB26,SumRef!BB$16,,,SumRef!$B$7))))</f>
        <v/>
      </c>
      <c r="N20" s="1098" t="str">
        <f ca="1">IF('A-80 DirEntInv'!N19&lt;&gt;"",'A-80 DirEntInv'!N19,IF(INDIRECT(ADDRESS(SumRef!BC26,SumRef!BC$16,,,SumRef!$B$7))="","",INDIRECT(ADDRESS(SumRef!BC26,SumRef!BC$16,,,SumRef!$B$7))))</f>
        <v/>
      </c>
      <c r="O20" s="1102" t="str">
        <f ca="1">IF('A-80 DirEntInv'!O19&lt;&gt;"",'A-80 DirEntInv'!O19,IF(INDIRECT(ADDRESS(SumRef!BD26,SumRef!BD$16,,,SumRef!$B$7))="","",INDIRECT(ADDRESS(SumRef!BD26,SumRef!BD$16,,,SumRef!$B$7))))</f>
        <v/>
      </c>
      <c r="Q20" s="589"/>
      <c r="R20" s="1103" t="str">
        <f ca="1">IF('A-80 DirEntInv'!R19&lt;&gt;"",'A-80 DirEntInv'!R19,IF(INDIRECT(ADDRESS(SumRef!BH26,SumRef!BH$16,,,SumRef!$B$8))="","",INDIRECT(ADDRESS(SumRef!BH26,SumRef!BH$16,,,SumRef!$B$8))))</f>
        <v/>
      </c>
      <c r="S20" s="1104" t="str">
        <f ca="1">IF('A-80 DirEntInv'!S19&lt;&gt;"",'A-80 DirEntInv'!S19,IF(INDIRECT(ADDRESS(SumRef!BI26,SumRef!BI$16,,,SumRef!$B$8))="","",INDIRECT(ADDRESS(SumRef!BI26,SumRef!BI$16,,,SumRef!$B$8))))</f>
        <v/>
      </c>
      <c r="T20" s="1104" t="str">
        <f ca="1">IF('A-80 DirEntInv'!T19&lt;&gt;"",'A-80 DirEntInv'!T19,IF(INDIRECT(ADDRESS(SumRef!BJ26,SumRef!BJ$16,,,SumRef!$B$8))="","",INDIRECT(ADDRESS(SumRef!BJ26,SumRef!BJ$16,,,SumRef!$B$8))))</f>
        <v/>
      </c>
      <c r="U20" s="1104" t="str">
        <f ca="1">IF('A-80 DirEntInv'!U19&lt;&gt;"",'A-80 DirEntInv'!U19,IF(INDIRECT(ADDRESS(SumRef!BK26,SumRef!BK$16,,,SumRef!$B$8))="","",INDIRECT(ADDRESS(SumRef!BK26,SumRef!BK$16,,,SumRef!$B$8))))</f>
        <v/>
      </c>
      <c r="V20" s="1104" t="str">
        <f ca="1">IF('A-80 DirEntInv'!V19&lt;&gt;"",'A-80 DirEntInv'!V19,IF(INDIRECT(ADDRESS(SumRef!BL26,SumRef!BL$16,,,SumRef!$B$8))="","",INDIRECT(ADDRESS(SumRef!BL26,SumRef!BL$16,,,SumRef!$B$8))))</f>
        <v/>
      </c>
      <c r="W20" s="1354" t="str">
        <f ca="1">IF('A-80 DirEntInv'!W19&lt;&gt;"",'A-80 DirEntInv'!W19,IF(INDIRECT(ADDRESS(SumRef!BM26,SumRef!BM$16,,,SumRef!$B$8))="","",INDIRECT(ADDRESS(SumRef!BM26,SumRef!BM$16,,,SumRef!$B$8))))</f>
        <v/>
      </c>
      <c r="X20" s="1203" t="str">
        <f ca="1">IF('A-80 DirEntInv'!X19&lt;&gt;"",'A-80 DirEntInv'!X19,IF(INDIRECT(ADDRESS(SumRef!BN26,SumRef!BN$16,,,SumRef!$B$8))="","",INDIRECT(ADDRESS(SumRef!BN26,SumRef!BN$16,,,SumRef!$B$8))))</f>
        <v/>
      </c>
      <c r="Y20" s="1203" t="str">
        <f ca="1">IF('A-80 DirEntInv'!Y19&lt;&gt;"",'A-80 DirEntInv'!Y19,IF(INDIRECT(ADDRESS(SumRef!BO26,SumRef!BO$16,,,SumRef!$B$8))="","",INDIRECT(ADDRESS(SumRef!BO26,SumRef!BO$16,,,SumRef!$B$8))))</f>
        <v/>
      </c>
      <c r="Z20" s="1104" t="str">
        <f ca="1">IF('A-80 DirEntInv'!Z19&lt;&gt;"",'A-80 DirEntInv'!Z19,IF(INDIRECT(ADDRESS(SumRef!BP26,SumRef!BP$16,,,SumRef!$B$8))="","",INDIRECT(ADDRESS(SumRef!BP26,SumRef!BP$16,,,SumRef!$B$8))))</f>
        <v/>
      </c>
      <c r="AA20" s="1104" t="str">
        <f ca="1">IF('A-80 DirEntInv'!AA19&lt;&gt;"",'A-80 DirEntInv'!AA19,IF(INDIRECT(ADDRESS(SumRef!BQ26,SumRef!BQ$16,,,SumRef!$B$8))="","",INDIRECT(ADDRESS(SumRef!BQ26,SumRef!BQ$16,,,SumRef!$B$8))))</f>
        <v/>
      </c>
      <c r="AB20" s="1106" t="str">
        <f ca="1">IF('A-80 DirEntInv'!AB19&lt;&gt;"",'A-80 DirEntInv'!AB19,IF(INDIRECT(ADDRESS(SumRef!BR26,SumRef!BR$16,,,SumRef!$B$8))="","",INDIRECT(ADDRESS(SumRef!BR26,SumRef!BR$16,,,SumRef!$B$8))))</f>
        <v/>
      </c>
      <c r="AC20" s="1107" t="str">
        <f ca="1">IF('A-80 DirEntInv'!AC19&lt;&gt;"",'A-80 DirEntInv'!AC19,IF(INDIRECT(ADDRESS(SumRef!BS26,SumRef!BS$16,,,SumRef!$B$8))="","",INDIRECT(ADDRESS(SumRef!BS26,SumRef!BS$16,,,SumRef!$B$8))))</f>
        <v/>
      </c>
      <c r="AD20" s="1349" t="str">
        <f ca="1">IF('A-80 DirEntInv'!AD19&lt;&gt;"",'A-80 DirEntInv'!AD19,IF(INDIRECT(ADDRESS(SumRef!BT26,SumRef!BT$16,,,SumRef!$B$8))="","",INDIRECT(ADDRESS(SumRef!BT26,SumRef!BT$16,,,SumRef!$B$8))))</f>
        <v/>
      </c>
      <c r="AE20" s="1137" t="str">
        <f ca="1">IF('A-80 DirEntInv'!AE19&lt;&gt;"",'A-80 DirEntInv'!AE19,IF(INDIRECT(ADDRESS(SumRef!BU26,SumRef!BU$16,,,SumRef!$B$8))="","",INDIRECT(ADDRESS(SumRef!BU26,SumRef!BU$16,,,SumRef!$B$8))))</f>
        <v/>
      </c>
      <c r="AF20" s="1346" t="str">
        <f ca="1">IF('A-80 DirEntInv'!AF19&lt;&gt;"",'A-80 DirEntInv'!AF19,IF(INDIRECT(ADDRESS(SumRef!BV26,SumRef!BV$16,,,SumRef!$B$8))="","",INDIRECT(ADDRESS(SumRef!BV26,SumRef!BV$16,,,SumRef!$B$8))))</f>
        <v/>
      </c>
      <c r="AG20" s="1105" t="str">
        <f ca="1">IF('A-80 DirEntInv'!AG19&lt;&gt;"",'A-80 DirEntInv'!AG19,IF(INDIRECT(ADDRESS(SumRef!BW26,SumRef!BW$16,,,SumRef!$B$8))="","",INDIRECT(ADDRESS(SumRef!BW26,SumRef!BW$16,,,SumRef!$B$8))))</f>
        <v/>
      </c>
      <c r="AH20" s="1357" t="str">
        <f ca="1">IF('A-80 DirEntInv'!AH19&lt;&gt;"",'A-80 DirEntInv'!AH19,IF(INDIRECT(ADDRESS(SumRef!BX26,SumRef!BX$16,,,SumRef!$B$8))="","",INDIRECT(ADDRESS(SumRef!BX26,SumRef!BX$16,,,SumRef!$B$8))))</f>
        <v/>
      </c>
      <c r="AK20" s="1181" t="str">
        <f>Codes!$C$156</f>
        <v>AG - Automated Guideway (DO)</v>
      </c>
      <c r="AL20" s="1182" t="str">
        <f>Valid!$B$87</f>
        <v>Substation Building</v>
      </c>
      <c r="AM20" s="1123" t="str">
        <f>IF('A-80 DirEntInv'!AM19&lt;&gt;"",'A-80 DirEntInv'!AM19,IF(AK20=summaryref2!B21,summaryref2!D21,IF(Summary!AK20=summaryref2!B35,summaryref2!D35,IF(AK20=summaryref2!B49,summaryref2!D49,IF(AK20=summaryref2!B63,summaryref2!D63,IF(AK20=summaryref2!B77,summaryref2!D77,IF(AK20=summaryref2!B91,summaryref2!D91,IF(AK20=summaryref2!B105,summaryref2!D105,IF(AK20=summaryref2!B119,summaryref2!D119,IF(AK20=summaryref2!B133,summaryref2!D133,IF(AK20=summaryref2!B197,summaryref2!D147,"")))))))))))</f>
        <v/>
      </c>
      <c r="AN20" s="1124" t="str">
        <f ca="1">IF('A-80 DirEntInv'!AN19&lt;&gt;"",'A-80 DirEntInv'!AN19,IF(INDIRECT(ADDRESS(SumRef!CG31,SumRef!CG$16,,,SumRef!$C$7))="","",INDIRECT(ADDRESS(SumRef!CG31,SumRef!CG$16,,,SumRef!$C$7))))</f>
        <v>Each</v>
      </c>
      <c r="AO20" s="1123"/>
      <c r="AP20" s="1124"/>
      <c r="AQ20" s="1149" t="str">
        <f>IF('A-80 DirEntInv'!AQ19&lt;&gt;"",'A-80 DirEntInv'!AQ19,IF(AK20=summaryref2!B21,summaryref2!G21,IF(Summary!AK20=summaryref2!B35,summaryref2!G35,IF(AK20=summaryref2!B49,summaryref2!G49,IF(AK20=summaryref2!B63,summaryref2!G63,IF(AK20=summaryref2!B77,summaryref2!G77,IF(AK20=summaryref2!B91,summaryref2!G91,IF(AK20=summaryref2!B105,summaryref2!G105,IF(AK20=summaryref2!B119,summaryref2!G119,IF(AK20=summaryref2!B133,summaryref2!G133,IF(AK20=summaryref2!B147,summaryref2!G147,"")))))))))))</f>
        <v/>
      </c>
      <c r="AR20" s="1149" t="str">
        <f>IF('A-80 DirEntInv'!AR19&lt;&gt;"",'A-80 DirEntInv'!AR19,IF(AK20=summaryref2!B21,summaryref2!H21,IF(Summary!AK20=summaryref2!B35,summaryref2!H35,IF(AK20=summaryref2!B49,summaryref2!H49,IF(AK20=summaryref2!B63,summaryref2!H63,IF(AK20=summaryref2!B77,summaryref2!H77,IF(AK20=summaryref2!B91,summaryref2!H91,IF(AK20=summaryref2!B105,summaryref2!H105,IF(AK20=summaryref2!B119,summaryref2!H119,IF(AK20=summaryref2!B133,summaryref2!H133,IF(AK20=summaryref2!B147,summaryref2!H147,"")))))))))))</f>
        <v/>
      </c>
      <c r="AS20" s="1125" t="str">
        <f>IF('A-80 DirEntInv'!AS19&lt;&gt;"",'A-80 DirEntInv'!AS19,IF(AK20=summaryref2!B21,summaryref2!I21,IF(Summary!AK20=summaryref2!B35,summaryref2!I35,IF(AK20=summaryref2!B49,summaryref2!I49,IF(AK20=summaryref2!B63,summaryref2!I63,IF(AK20=summaryref2!B77,summaryref2!I77,IF(AK20=summaryref2!B91,summaryref2!I91,IF(AK20=summaryref2!B105,summaryref2!I105,IF(AK20=summaryref2!B119,summaryref2!I119,IF(AK20=summaryref2!B133,summaryref2!I133,IF(AK20=summaryref2!B147,summaryref2!I147,"")))))))))))</f>
        <v/>
      </c>
      <c r="AT20" s="1125" t="str">
        <f>IF('A-80 DirEntInv'!AT19&lt;&gt;"",'A-80 DirEntInv'!AT19,IF(AK20=summaryref2!B21,summaryref2!J21,IF(Summary!AK20=summaryref2!B35,summaryref2!J35,IF(AK20=summaryref2!B49,summaryref2!J49,IF(AK20=summaryref2!B63,summaryref2!J63,IF(AK20=summaryref2!B77,summaryref2!J77,IF(AK20=summaryref2!B91,summaryref2!J91,IF(AK20=summaryref2!B105,summaryref2!J105,IF(AK20=summaryref2!B119,summaryref2!J119,IF(AK20=summaryref2!B133,summaryref2!J133,IF(AK20=summaryref2!B147,summaryref2!J147,"")))))))))))</f>
        <v/>
      </c>
      <c r="AU20" s="1125" t="str">
        <f>IF('A-80 DirEntInv'!AU19&lt;&gt;"",'A-80 DirEntInv'!AU19,IF(AK20=summaryref2!B21,summaryref2!K21,IF(Summary!AK20=summaryref2!B35,summaryref2!K35,IF(AK20=summaryref2!B49,summaryref2!K49,IF(AK20=summaryref2!B63,summaryref2!K63,IF(AK20=summaryref2!B77,summaryref2!K77,IF(AK20=summaryref2!B91,summaryref2!K91,IF(AK20=summaryref2!B105,summaryref2!K105,IF(AK20=summaryref2!B119,summaryref2!K119,IF(AK20=summaryref2!B133,summaryref2!K133,IF(AK20=summaryref2!B147,summaryref2!K147,"")))))))))))</f>
        <v/>
      </c>
      <c r="AV20" s="1125" t="str">
        <f>IF('A-80 DirEntInv'!AV19&lt;&gt;"",'A-80 DirEntInv'!AV19,IF(AK20=summaryref2!B21,summaryref2!L21,IF(Summary!AK20=summaryref2!B35,summaryref2!L35,IF(AK20=summaryref2!B49,summaryref2!L49,IF(AK20=summaryref2!B63,summaryref2!L63,IF(AK20=summaryref2!B77,summaryref2!L77,IF(AK20=summaryref2!B91,summaryref2!L91,IF(AK20=summaryref2!B105,summaryref2!L105,IF(AK20=summaryref2!B119,summaryref2!L119,IF(AK20=summaryref2!B133,summaryref2!L133,IF(AK20=summaryref2!B147,summaryref2!L147,"")))))))))))</f>
        <v/>
      </c>
      <c r="AW20" s="1125" t="str">
        <f>IF('A-80 DirEntInv'!AW19&lt;&gt;"",'A-80 DirEntInv'!AW19,IF(AK20=summaryref2!B21,summaryref2!M21,IF(Summary!AK20=summaryref2!B35,summaryref2!M35,IF(AK20=summaryref2!B49,summaryref2!M49,IF(AK20=summaryref2!B63,summaryref2!M63,IF(AK20=summaryref2!B77,summaryref2!M77,IF(AK20=summaryref2!B91,summaryref2!M91,IF(AK20=summaryref2!B105,summaryref2!M105,IF(AK20=summaryref2!B119,summaryref2!M119,IF(AK20=summaryref2!B133,summaryref2!M133,IF(AK20=summaryref2!B147,summaryref2!M147,"")))))))))))</f>
        <v/>
      </c>
      <c r="AX20" s="1125" t="str">
        <f>IF('A-80 DirEntInv'!AX19&lt;&gt;"",'A-80 DirEntInv'!AX19,IF(AK20=summaryref2!B21,summaryref2!N21,IF(Summary!AK20=summaryref2!B35,summaryref2!N35,IF(AK20=summaryref2!B49,summaryref2!N49,IF(AK20=summaryref2!B63,summaryref2!N63,IF(AK20=summaryref2!B77,summaryref2!N77,IF(AK20=summaryref2!B91,summaryref2!N91,IF(AK20=summaryref2!B105,summaryref2!N105,IF(AK20=summaryref2!B119,summaryref2!N119,IF(AK20=summaryref2!B133,summaryref2!N133,IF(AK20=summaryref2!B147,summaryref2!N147,"")))))))))))</f>
        <v/>
      </c>
      <c r="AY20" s="1125" t="str">
        <f>IF('A-80 DirEntInv'!AY19&lt;&gt;"",'A-80 DirEntInv'!AY19,IF(AK20=summaryref2!B21,summaryref2!O21,IF(Summary!AK20=summaryref2!B35,summaryref2!O35,IF(AK20=summaryref2!B49,summaryref2!O49,IF(AK20=summaryref2!B63,summaryref2!O63,IF(AK20=summaryref2!B77,summaryref2!O77,IF(AK20=summaryref2!B91,summaryref2!O91,IF(AK20=summaryref2!B105,summaryref2!O105,IF(AK20=summaryref2!B119,summaryref2!O119,IF(AK20=summaryref2!B133,summaryref2!O133,IF(AK20=summaryref2!B147,summaryref2!O147,"")))))))))))</f>
        <v/>
      </c>
      <c r="AZ20" s="1125" t="str">
        <f>IF('A-80 DirEntInv'!AZ19&lt;&gt;"",'A-80 DirEntInv'!AZ19,IF(AK20=summaryref2!B21,summaryref2!P21,IF(Summary!AK20=summaryref2!B35,summaryref2!P35,IF(AK20=summaryref2!B49,summaryref2!P49,IF(AK20=summaryref2!B63,summaryref2!P63,IF(AK20=summaryref2!B77,summaryref2!P77,IF(AK20=summaryref2!B91,summaryref2!P91,IF(AK20=summaryref2!B105,summaryref2!P105,IF(AK20=summaryref2!B119,summaryref2!P119,IF(AK20=summaryref2!B133,summaryref2!P133,IF(AK20=summaryref2!B147,summaryref2!P147,"")))))))))))</f>
        <v/>
      </c>
      <c r="BA20" s="1125" t="str">
        <f>IF('A-80 DirEntInv'!BA19&lt;&gt;"",'A-80 DirEntInv'!BA19,IF(AK20=summaryref2!B21,summaryref2!Q21,IF(Summary!AK20=summaryref2!B35,summaryref2!Q35,IF(AK20=summaryref2!B49,summaryref2!Q49,IF(AK20=summaryref2!B63,summaryref2!Q63,IF(AK20=summaryref2!B77,summaryref2!Q77,IF(AK20=summaryref2!B91,summaryref2!Q91,IF(AK20=summaryref2!B105,summaryref2!Q105,IF(AK20=summaryref2!B119,summaryref2!Q119,IF(AK20=summaryref2!B133,summaryref2!Q133,IF(AK20=summaryref2!B147,summaryref2!Q147,"")))))))))))</f>
        <v/>
      </c>
      <c r="BB20" s="1125" t="str">
        <f>IF('A-80 DirEntInv'!BB19&lt;&gt;"",'A-80 DirEntInv'!BB19,IF(AK20=summaryref2!B21,summaryref2!R21,IF(Summary!AK20=summaryref2!B35,summaryref2!R35,IF(AK20=summaryref2!B49,summaryref2!R49,IF(AK20=summaryref2!B63,summaryref2!R63,IF(AK20=summaryref2!B77,summaryref2!R77,IF(AK20=summaryref2!B91,summaryref2!R91,IF(AK20=summaryref2!B105,summaryref2!R105,IF(AK20=summaryref2!B119,summaryref2!R119,IF(AK20=summaryref2!B133,summaryref2!R133,IF(AK20=summaryref2!B147,summaryref2!R147,"")))))))))))</f>
        <v/>
      </c>
      <c r="BC20" s="1125" t="str">
        <f>IF('A-80 DirEntInv'!BC19&lt;&gt;0,'A-80 DirEntInv'!BC19,IF(AK20=summaryref2!B21,summaryref2!S21,IF(Summary!AK20=summaryref2!B35,summaryref2!S35,IF(AK20=summaryref2!B49,summaryref2!S49,IF(AK20=summaryref2!B63,summaryref2!S63,IF(AK20=summaryref2!B77,summaryref2!S77,IF(AK20=summaryref2!B91,summaryref2!S91,IF(AK20=summaryref2!B105,summaryref2!S105,IF(AK20=summaryref2!B119,summaryref2!S119,IF(AK20=summaryref2!B133,summaryref2!S133,IF(AK20=summaryref2!B147,summaryref2!S147,"")))))))))))</f>
        <v/>
      </c>
      <c r="BD20" s="1126" t="str">
        <f>IF('A-80 DirEntInv'!BD19&lt;&gt;"",'A-80 DirEntInv'!BD19,IF(AK20=summaryref2!B21,summaryref2!T21,IF(Summary!AK20=summaryref2!B35,summaryref2!T35,IF(AK20=summaryref2!B49,summaryref2!T49,IF(AK20=summaryref2!B63,summaryref2!T63,IF(AK20=summaryref2!B77,summaryref2!T77,IF(AK20=summaryref2!B91,summaryref2!T91,IF(AK20=summaryref2!B105,summaryref2!T105,IF(AK20=summaryref2!B119,summaryref2!T119,IF(AK20=summaryref2!B133,summaryref2!T133,IF(AK20=summaryref2!B147,summaryref2!T147,"")))))))))))</f>
        <v/>
      </c>
      <c r="BE20" s="1183" t="str">
        <f>IF('A-80 DirEntInv'!BE19&lt;&gt;"",'A-80 DirEntInv'!BE19,IF(AK20=summaryref2!B21,summaryref2!U21,IF(Summary!AK20=summaryref2!B35,summaryref2!U35,IF(AK20=summaryref2!B49,summaryref2!U49,IF(AK20=summaryref2!B63,summaryref2!U63,IF(AK20=summaryref2!B77,summaryref2!U77,IF(AK20=summaryref2!B91,summaryref2!U91,IF(AK20=summaryref2!B105,summaryref2!U105,IF(AK20=summaryref2!B119,summaryref2!U119,IF(AK20=summaryref2!B133,summaryref2!U133,IF(AK20=summaryref2!B147,summaryref2!U147,"")))))))))))</f>
        <v/>
      </c>
      <c r="BF20" s="1432"/>
      <c r="BG20" s="1432"/>
      <c r="BJ20" s="1045" t="str">
        <f>Codes!$C$157</f>
        <v>AG - Automated Guideway (PT)</v>
      </c>
      <c r="BK20" s="1046" t="str">
        <f>Valid!$B$82</f>
        <v>Double Diamond Crossover</v>
      </c>
      <c r="BL20" s="1368" t="str">
        <f>IF('A-80 DirEntInv'!BL19&lt;&gt;"",'A-80 DirEntInv'!BL19,IF(BJ20=summaryref2!X14,summaryref2!Z14,IF(BJ20=summaryref2!X21,summaryref2!Z21,IF(BJ20=summaryref2!X28,summaryref2!Z28,IF(BJ20=summaryref2!X35,summaryref2!Z35,IF(BJ20=summaryref2!X42,summaryref2!Z42,IF(BJ20=summaryref2!X49,summaryref2!Z49,IF(BJ20=summaryref2!X56,summaryref2!Z56,IF(BJ20=summaryref2!X63,summaryref2!Z63,IF(BJ20=summaryref2!X70,summaryref2!Z70,IF(BJ20=summaryref2!X77,summaryref2!Z77,"")))))))))))</f>
        <v/>
      </c>
      <c r="BM20" s="1046" t="str">
        <f>VLOOKUP(BK20,Valid!$B$80:$C$86,2,FALSE)</f>
        <v>Each</v>
      </c>
      <c r="BN20" s="1325" t="str">
        <f>IF('A-80 DirEntInv'!BN19&lt;&gt;"",'A-80 DirEntInv'!BN19,IF(BJ20=summaryref2!X14,summaryref2!AB14,IF(BJ20=summaryref2!X21,summaryref2!AB21,IF(BJ20=summaryref2!X28,summaryref2!AB28,IF(BJ20=summaryref2!X35,summaryref2!AB35,IF(BJ20=summaryref2!X42,summaryref2!AB42,IF(BJ20=summaryref2!X49,summaryref2!AB49,IF(BJ20=summaryref2!X56,summaryref2!AB56,IF(BJ20=summaryref2!X63,summaryref2!AB63,IF(BJ20=summaryref2!X70,summaryref2!AB70,IF(BJ20=summaryref2!X77,summaryref2!AB77,"")))))))))))</f>
        <v/>
      </c>
      <c r="BO20" s="1327" t="str">
        <f>IF('A-80 DirEntInv'!BO19&lt;&gt;"",'A-80 DirEntInv'!BO19,IF(BJ20=summaryref2!X14,summaryref2!AC14,IF(BJ20=summaryref2!X21,summaryref2!AC21,IF(BJ20=summaryref2!X28,summaryref2!AC28,IF(BJ20=summaryref2!X35,summaryref2!AC35,IF(BJ20=summaryref2!X42,summaryref2!AC42,IF(BJ20=summaryref2!X49,summaryref2!AC49,IF(BJ20=summaryref2!X56,summaryref2!AC56,IF(BJ20=summaryref2!X63,summaryref2!AC63,IF(BJ20=summaryref2!X70,summaryref2!AC70,IF(BJ20=summaryref2!X77,summaryref2!AC77,"")))))))))))</f>
        <v/>
      </c>
      <c r="BP20" s="1322" t="str">
        <f>IF('A-80 DirEntInv'!BP19&lt;&gt;"",'A-80 DirEntInv'!BP19,IF(BJ20=summaryref2!X14,summaryref2!AD14,IF(BJ20=summaryref2!X21,summaryref2!AD21,IF(BJ20=summaryref2!X28,summaryref2!AD28,IF(BJ20=summaryref2!X35,summaryref2!AD35,IF(BJ20=summaryref2!X42,summaryref2!AD42,IF(BJ20=summaryref2!X49,summaryref2!AD49,IF(BJ20=summaryref2!X56,summaryref2!AD56,IF(BJ20=summaryref2!X63,summaryref2!AD63,IF(BJ20=summaryref2!X70,summaryref2!AD70,IF(BJ20=summaryref2!X77,summaryref2!AD77,"")))))))))))</f>
        <v/>
      </c>
      <c r="BS20" s="1472" t="str">
        <f ca="1">IF('A-80 DirEntInv'!BU19&lt;&gt;"",'A-80 DirEntInv'!BU19,IF(INDIRECT(ADDRESS(SumRef!DK26,SumRef!DK$16,,,SumRef!$E$6))="","",INDIRECT(ADDRESS(SumRef!DK26,SumRef!DK$16,,,SumRef!$E$6))))</f>
        <v/>
      </c>
      <c r="BT20" s="1458" t="str">
        <f ca="1">IF('A-80 DirEntInv'!BV19&lt;&gt;"",'A-80 DirEntInv'!BV19,IF(INDIRECT(ADDRESS(SumRef!DL26,SumRef!DL$16,,,SumRef!$E$6))="","",INDIRECT(ADDRESS(SumRef!DL26,SumRef!DL$16,,,SumRef!$E$6))))</f>
        <v/>
      </c>
      <c r="BU20" s="1177" t="str">
        <f ca="1">IF('A-80 DirEntInv'!BW19&lt;&gt;"",'A-80 DirEntInv'!BW19,IF(INDIRECT(ADDRESS(SumRef!DM26,SumRef!DM$16,,,SumRef!$E$6))="","",INDIRECT(ADDRESS(SumRef!DM26,SumRef!DM$16,,,SumRef!$E$6))))</f>
        <v/>
      </c>
      <c r="BV20" s="1460" t="str">
        <f ca="1">IF('A-80 DirEntInv'!BX19&lt;&gt;"",'A-80 DirEntInv'!BX19,IF(INDIRECT(ADDRESS(SumRef!DN26,SumRef!DN$16,,,SumRef!$E$6))="","",INDIRECT(ADDRESS(SumRef!DN26,SumRef!DN$16,,,SumRef!$E$6))))</f>
        <v/>
      </c>
      <c r="BW20" s="1460" t="str">
        <f ca="1">IF('A-80 DirEntInv'!BY19&lt;&gt;"",'A-80 DirEntInv'!BY19,IF(INDIRECT(ADDRESS(SumRef!DO26,SumRef!DO$16,,,SumRef!$E$6))="","",INDIRECT(ADDRESS(SumRef!DO26,SumRef!DO$16,,,SumRef!$E$6))))</f>
        <v/>
      </c>
      <c r="BX20" s="1116" t="str">
        <f ca="1">IF('A-80 DirEntInv'!BZ19&lt;&gt;"",'A-80 DirEntInv'!BZ19,IF(INDIRECT(ADDRESS(SumRef!DP26,SumRef!DP$16,,,SumRef!$E$6))="","",INDIRECT(ADDRESS(SumRef!DP26,SumRef!DP$16,,,SumRef!$E$6))))</f>
        <v/>
      </c>
      <c r="BY20" s="1461" t="str">
        <f ca="1">IF('A-80 DirEntInv'!CA19&lt;&gt;"",'A-80 DirEntInv'!CA19,IF(INDIRECT(ADDRESS(SumRef!DQ26,SumRef!DQ$16,,,SumRef!$E$6))="","",INDIRECT(ADDRESS(SumRef!DQ26,SumRef!DQ$16,,,SumRef!$E$6))))</f>
        <v/>
      </c>
      <c r="BZ20" s="1460" t="str">
        <f ca="1">IF('A-80 DirEntInv'!CB19&lt;&gt;"",'A-80 DirEntInv'!CB19,IF(INDIRECT(ADDRESS(SumRef!DR26,SumRef!DR$16,,,SumRef!$E$6))="","",INDIRECT(ADDRESS(SumRef!DR26,SumRef!DR$16,,,SumRef!$E$6))))</f>
        <v/>
      </c>
      <c r="CA20" s="1462" t="str">
        <f ca="1">IF('A-80 DirEntInv'!CC19&lt;&gt;"",'A-80 DirEntInv'!CC19,IF(INDIRECT(ADDRESS(SumRef!DS26,SumRef!DS$16,,,SumRef!$E$6))="","",INDIRECT(ADDRESS(SumRef!DS26,SumRef!DS$16,,,SumRef!$E$6))))</f>
        <v/>
      </c>
      <c r="CD20" s="1160" t="str">
        <f ca="1">IF('A-80 DirEntInv'!CF19&lt;&gt;"",'A-80 DirEntInv'!CF19,IF(INDIRECT(ADDRESS(SumRef!DV26,SumRef!DV$16,,,SumRef!$E$7))="","",INDIRECT(ADDRESS(SumRef!DV26,SumRef!DV$16,,,SumRef!$E$7))))</f>
        <v/>
      </c>
      <c r="CE20" s="1167" t="str">
        <f ca="1">IF('A-80 DirEntInv'!CG19&lt;&gt;"",'A-80 DirEntInv'!CG19,IF(INDIRECT(ADDRESS(SumRef!DW26,SumRef!DW$16,,,SumRef!$E$7))="","",INDIRECT(ADDRESS(SumRef!DW26,SumRef!DW$16,,,SumRef!$E$7))))</f>
        <v/>
      </c>
      <c r="CF20" s="1167" t="str">
        <f ca="1">IF('A-80 DirEntInv'!CH19&lt;&gt;"",'A-80 DirEntInv'!CH19,IF(INDIRECT(ADDRESS(SumRef!DX26,SumRef!DX$16,,,SumRef!$E$7))="","",INDIRECT(ADDRESS(SumRef!DX26,SumRef!DX$16,,,SumRef!$E$7))))</f>
        <v/>
      </c>
      <c r="CG20" s="1167" t="str">
        <f ca="1">IF('A-80 DirEntInv'!CI19&lt;&gt;"",'A-80 DirEntInv'!CI19,IF(INDIRECT(ADDRESS(SumRef!DY26,SumRef!DY$16,,,SumRef!$E$7))="","",INDIRECT(ADDRESS(SumRef!DY26,SumRef!DY$16,,,SumRef!$E$7))))</f>
        <v/>
      </c>
      <c r="CH20" s="1167" t="str">
        <f ca="1">IF('A-80 DirEntInv'!CJ19&lt;&gt;"",'A-80 DirEntInv'!CJ19,IF(INDIRECT(ADDRESS(SumRef!DZ26,SumRef!DZ$16,,,SumRef!$E$7))="","",INDIRECT(ADDRESS(SumRef!DZ26,SumRef!DZ$16,,,SumRef!$E$7))))</f>
        <v/>
      </c>
      <c r="CI20" s="1167" t="str">
        <f ca="1">IF('A-80 DirEntInv'!CK19&lt;&gt;"",'A-80 DirEntInv'!CK19,IF(INDIRECT(ADDRESS(SumRef!EA26,SumRef!EA$16,,,SumRef!$E$7))="","",INDIRECT(ADDRESS(SumRef!EA26,SumRef!EA$16,,,SumRef!$E$7))))</f>
        <v/>
      </c>
      <c r="CJ20" s="1114" t="str">
        <f ca="1">IF('A-80 DirEntInv'!CL19&lt;&gt;"",'A-80 DirEntInv'!CL19,IF(INDIRECT(ADDRESS(SumRef!EB26,SumRef!EB$16,,,SumRef!$E$7))="","",INDIRECT(ADDRESS(SumRef!EB26,SumRef!EB$16,,,SumRef!$E$7))))</f>
        <v/>
      </c>
      <c r="CK20" s="1114" t="str">
        <f ca="1">IF('A-80 DirEntInv'!CM19&lt;&gt;"",'A-80 DirEntInv'!CM19,IF(INDIRECT(ADDRESS(SumRef!EC26,SumRef!EC$16,,,SumRef!$E$7))="","",INDIRECT(ADDRESS(SumRef!EC26,SumRef!EC$16,,,SumRef!$E$7))))</f>
        <v/>
      </c>
      <c r="CL20" s="1113" t="str">
        <f ca="1">IF('A-80 DirEntInv'!CO19&lt;&gt;"",'A-80 DirEntInv'!CO19,IF(INDIRECT(ADDRESS(SumRef!ED26,SumRef!ED$16,,,SumRef!$E$7))="","",INDIRECT(ADDRESS(SumRef!ED26,SumRef!ED$16,,,SumRef!$E$7))))</f>
        <v/>
      </c>
      <c r="CM20" s="1114" t="str">
        <f ca="1">IF('A-80 DirEntInv'!CP19&lt;&gt;"",'A-80 DirEntInv'!CP19,IF(INDIRECT(ADDRESS(SumRef!EE26,SumRef!EE$16,,,SumRef!$E$7))="","",INDIRECT(ADDRESS(SumRef!EE26,SumRef!EE$16,,,SumRef!$E$7))))</f>
        <v/>
      </c>
      <c r="CN20" s="1114" t="str">
        <f ca="1">IF('A-80 DirEntInv'!CQ19&lt;&gt;"",'A-80 DirEntInv'!CQ19,IF(INDIRECT(ADDRESS(SumRef!EF26,SumRef!EF$16,,,SumRef!$E$7))="","",INDIRECT(ADDRESS(SumRef!EF26,SumRef!EF$16,,,SumRef!$E$7))))</f>
        <v/>
      </c>
      <c r="CO20" s="1113" t="str">
        <f ca="1">IF('A-80 DirEntInv'!CR19&lt;&gt;"",'A-80 DirEntInv'!CR19,IF(INDIRECT(ADDRESS(SumRef!EG26,SumRef!EG$16,,,SumRef!$E$7))="","",INDIRECT(ADDRESS(SumRef!EG26,SumRef!EG$16,,,SumRef!$E$7))))</f>
        <v/>
      </c>
      <c r="CP20" s="1114" t="str">
        <f ca="1">IF('A-80 DirEntInv'!CS19&lt;&gt;"",'A-80 DirEntInv'!CS19,IF(INDIRECT(ADDRESS(SumRef!EH26,SumRef!EH$16,,,SumRef!$E$7))="","",INDIRECT(ADDRESS(SumRef!EH26,SumRef!EH$16,,,SumRef!$E$7))))</f>
        <v/>
      </c>
      <c r="CQ20" s="1346" t="str">
        <f ca="1">IF('A-80 DirEntInv'!CT19&lt;&gt;"",'A-80 DirEntInv'!CT19,IF(INDIRECT(ADDRESS(SumRef!EI26,SumRef!EI$16,,,SumRef!$E$7))="","",INDIRECT(ADDRESS(SumRef!EI26,SumRef!EI$16,,,SumRef!$E$7))))</f>
        <v/>
      </c>
      <c r="CR20" s="1113" t="str">
        <f ca="1">IF('A-80 DirEntInv'!CU19&lt;&gt;"",'A-80 DirEntInv'!CU19,IF(INDIRECT(ADDRESS(SumRef!EJ26,SumRef!EJ$16,,,SumRef!$E$7))="","",INDIRECT(ADDRESS(SumRef!EJ26,SumRef!EJ$16,,,SumRef!$E$7))))</f>
        <v/>
      </c>
      <c r="CS20" s="1346" t="str">
        <f ca="1">IF('A-80 DirEntInv'!CV19&lt;&gt;"",'A-80 DirEntInv'!CV19,IF(INDIRECT(ADDRESS(SumRef!EM26,SumRef!EM$16,,,SumRef!$E$7))="","",INDIRECT(ADDRESS(SumRef!EM26,SumRef!EM$16,,,SumRef!$E$7))))</f>
        <v/>
      </c>
      <c r="CT20" s="1113" t="str">
        <f ca="1">IF('A-80 DirEntInv'!CW19&lt;&gt;"",'A-80 DirEntInv'!CW19,IF(INDIRECT(ADDRESS(SumRef!EN26,SumRef!EN$16,,,SumRef!$E$7))="","",INDIRECT(ADDRESS(SumRef!EN26,SumRef!EN$16,,,SumRef!$E$7))))</f>
        <v/>
      </c>
      <c r="CU20" s="1113" t="str">
        <f ca="1">IF('A-80 DirEntInv'!CX19&lt;&gt;"",'A-80 DirEntInv'!CX19,IF(INDIRECT(ADDRESS(SumRef!EO26,SumRef!EO$16,,,SumRef!$E$7))="","",INDIRECT(ADDRESS(SumRef!EO26,SumRef!EO$16,,,SumRef!$E$7))))</f>
        <v/>
      </c>
      <c r="CV20" s="1113" t="str">
        <f ca="1">IF('A-80 DirEntInv'!CY19&lt;&gt;"",'A-80 DirEntInv'!CY19,IF(INDIRECT(ADDRESS(SumRef!EP26,SumRef!EP$16,,,SumRef!$E$7))="","",INDIRECT(ADDRESS(SumRef!EP26,SumRef!EP$16,,,SumRef!$E$7))))</f>
        <v/>
      </c>
      <c r="CW20" s="1114" t="str">
        <f ca="1">IF('A-80 DirEntInv'!CZ19&lt;&gt;"",'A-80 DirEntInv'!CZ19,IF(INDIRECT(ADDRESS(SumRef!ES26,SumRef!ES$16,,,SumRef!$E$7))="","",INDIRECT(ADDRESS(SumRef!ES26,SumRef!ES$16,,,SumRef!$E$7))))</f>
        <v/>
      </c>
      <c r="CX20" s="1167" t="str">
        <f ca="1">IF('A-80 DirEntInv'!DA19&lt;&gt;"",'A-80 DirEntInv'!DA19,IF(INDIRECT(ADDRESS(SumRef!ET26,SumRef!ET$16,,,SumRef!$E$7))="","",INDIRECT(ADDRESS(SumRef!ET26,SumRef!ET$16,,,SumRef!$E$7))))</f>
        <v/>
      </c>
      <c r="CY20" s="1167" t="str">
        <f ca="1">IF('A-80 DirEntInv'!DB19&lt;&gt;"",'A-80 DirEntInv'!DB19,IF(INDIRECT(ADDRESS(SumRef!EU26,SumRef!EU$16,,,SumRef!$E$7))="","",INDIRECT(ADDRESS(SumRef!EU26,SumRef!EU$16,,,SumRef!$E$7))))</f>
        <v/>
      </c>
      <c r="CZ20" s="1167" t="b">
        <f ca="1">IF('A-80 DirEntInv'!DC19&lt;&gt;"",'A-80 DirEntInv'!DC19,IF(INDIRECT(ADDRESS(SumRef!EV26,SumRef!EV$16,,,SumRef!$E$7))="","",INDIRECT(ADDRESS(SumRef!EV26,SumRef!EV$16,,,SumRef!$E$7))))</f>
        <v>0</v>
      </c>
      <c r="DA20" s="1373" t="str">
        <f ca="1">IF('A-80 DirEntInv'!DD19&lt;&gt;"",'A-80 DirEntInv'!DD19,IF(INDIRECT(ADDRESS(SumRef!EW26,SumRef!EW$16,,,SumRef!$E$7))="","",INDIRECT(ADDRESS(SumRef!EW26,SumRef!EW$16,,,SumRef!$E$7))))</f>
        <v/>
      </c>
      <c r="DB20" s="1373" t="b">
        <f ca="1">IF('A-80 DirEntInv'!DE19&lt;&gt;"",'A-80 DirEntInv'!DE19,IF(INDIRECT(ADDRESS(SumRef!EX26,SumRef!EX$16,,,SumRef!$E$7))="","",INDIRECT(ADDRESS(SumRef!EX26,SumRef!EX$16,,,SumRef!$E$7))))</f>
        <v>0</v>
      </c>
      <c r="DC20" s="1114" t="b">
        <f ca="1">IF('A-80 DirEntInv'!DF19&lt;&gt;"",'A-80 DirEntInv'!DF19,IF(INDIRECT(ADDRESS(SumRef!EY26,SumRef!EY$16,,,SumRef!$E$7))="","",INDIRECT(ADDRESS(SumRef!EY26,SumRef!EY$16,,,SumRef!$E$7))))</f>
        <v>0</v>
      </c>
      <c r="DD20" s="1115" t="str">
        <f ca="1">IF('A-80 DirEntInv'!DG19&lt;&gt;"",'A-80 DirEntInv'!DG19,IF(INDIRECT(ADDRESS(SumRef!EZ26,SumRef!EZ$16,,,SumRef!$E$7))="","",INDIRECT(ADDRESS(SumRef!EZ26,SumRef!EZ$16,,,SumRef!$E$7))))</f>
        <v/>
      </c>
    </row>
    <row r="21" spans="1:108" s="588" customFormat="1" x14ac:dyDescent="0.2">
      <c r="A21" s="589">
        <f t="shared" si="0"/>
        <v>11</v>
      </c>
      <c r="B21" s="1155" t="str">
        <f ca="1">IF('A-80 DirEntInv'!B20&lt;&gt;"",'A-80 DirEntInv'!B20,IF(INDIRECT(ADDRESS(SumRef!AQ27,SumRef!AQ$16,,,SumRef!$B$7))="","",INDIRECT(ADDRESS(SumRef!AQ27,SumRef!AQ$16,,,SumRef!$B$7))))</f>
        <v/>
      </c>
      <c r="C21" s="1097" t="str">
        <f ca="1">IF('A-80 DirEntInv'!C20&lt;&gt;"",'A-80 DirEntInv'!C20,IF(INDIRECT(ADDRESS(SumRef!AR27,SumRef!AR$16,,,SumRef!$B$7))="","",INDIRECT(ADDRESS(SumRef!AR27,SumRef!AR$16,,,SumRef!$B$7))))</f>
        <v/>
      </c>
      <c r="D21" s="1097" t="str">
        <f ca="1">IF('A-80 DirEntInv'!D20&lt;&gt;"",'A-80 DirEntInv'!D20,IF(INDIRECT(ADDRESS(SumRef!AS27,SumRef!AS$16,,,SumRef!$B$7))="","",INDIRECT(ADDRESS(SumRef!AS27,SumRef!AS$16,,,SumRef!$B$7))))</f>
        <v/>
      </c>
      <c r="E21" s="1097" t="str">
        <f ca="1">IF('A-80 DirEntInv'!E20&lt;&gt;"",'A-80 DirEntInv'!E20,IF(INDIRECT(ADDRESS(SumRef!AT27,SumRef!AT$16,,,SumRef!$B$7))="","",INDIRECT(ADDRESS(SumRef!AT27,SumRef!AT$16,,,SumRef!$B$7))))</f>
        <v/>
      </c>
      <c r="F21" s="1097" t="str">
        <f ca="1">IF('A-80 DirEntInv'!F20&lt;&gt;"",'A-80 DirEntInv'!F20,IF(INDIRECT(ADDRESS(SumRef!AU27,SumRef!AU$16,,,SumRef!$B$7))="","",INDIRECT(ADDRESS(SumRef!AU27,SumRef!AU$16,,,SumRef!$B$7))))</f>
        <v/>
      </c>
      <c r="G21" s="1158" t="str">
        <f ca="1">IF('A-80 DirEntInv'!G20&lt;&gt;"",'A-80 DirEntInv'!G20,IF(INDIRECT(ADDRESS(SumRef!AV27,SumRef!AV$16,,,SumRef!$B$7))="","",INDIRECT(ADDRESS(SumRef!AV27,SumRef!AV$16,,,SumRef!$B$7))))</f>
        <v/>
      </c>
      <c r="H21" s="1097" t="str">
        <f ca="1">IF('A-80 DirEntInv'!H20&lt;&gt;"",'A-80 DirEntInv'!H20,IF(INDIRECT(ADDRESS(SumRef!AW27,SumRef!AW$16,,,SumRef!$B$7))="","",INDIRECT(ADDRESS(SumRef!AW27,SumRef!AW$16,,,SumRef!$B$7))))</f>
        <v/>
      </c>
      <c r="I21" s="1097" t="str">
        <f ca="1">IF('A-80 DirEntInv'!I20&lt;&gt;"",'A-80 DirEntInv'!I20,IF(INDIRECT(ADDRESS(SumRef!AX27,SumRef!AX$16,,,SumRef!$B$7))="","",INDIRECT(ADDRESS(SumRef!AX27,SumRef!AX$16,,,SumRef!$B$7))))</f>
        <v/>
      </c>
      <c r="J21" s="1098" t="str">
        <f ca="1">IF('A-80 DirEntInv'!J20&lt;&gt;"",'A-80 DirEntInv'!J20,IF(INDIRECT(ADDRESS(SumRef!AY27,SumRef!AY$16,,,SumRef!$B$7))="","",INDIRECT(ADDRESS(SumRef!AY27,SumRef!AY$16,,,SumRef!$B$7))))</f>
        <v/>
      </c>
      <c r="K21" s="1099" t="str">
        <f ca="1">IF('A-80 DirEntInv'!K20&lt;&gt;"",'A-80 DirEntInv'!K20,IF(INDIRECT(ADDRESS(SumRef!AZ27,SumRef!AZ$16,,,SumRef!$B$7))="","",INDIRECT(ADDRESS(SumRef!AZ27,SumRef!AZ$16,,,SumRef!$B$7))))</f>
        <v/>
      </c>
      <c r="L21" s="1100" t="str">
        <f ca="1">IF('A-80 DirEntInv'!L20&lt;&gt;"",'A-80 DirEntInv'!L20,IF(INDIRECT(ADDRESS(SumRef!BA27,SumRef!BA$16,,,SumRef!$B$7))="","",INDIRECT(ADDRESS(SumRef!BA27,SumRef!BA$16,,,SumRef!$B$7))))</f>
        <v/>
      </c>
      <c r="M21" s="1101" t="str">
        <f ca="1">IF('A-80 DirEntInv'!M20&lt;&gt;"",'A-80 DirEntInv'!M20,IF(INDIRECT(ADDRESS(SumRef!BB27,SumRef!BB$16,,,SumRef!$B$7))="","",INDIRECT(ADDRESS(SumRef!BB27,SumRef!BB$16,,,SumRef!$B$7))))</f>
        <v/>
      </c>
      <c r="N21" s="1098" t="str">
        <f ca="1">IF('A-80 DirEntInv'!N20&lt;&gt;"",'A-80 DirEntInv'!N20,IF(INDIRECT(ADDRESS(SumRef!BC27,SumRef!BC$16,,,SumRef!$B$7))="","",INDIRECT(ADDRESS(SumRef!BC27,SumRef!BC$16,,,SumRef!$B$7))))</f>
        <v/>
      </c>
      <c r="O21" s="1102" t="str">
        <f ca="1">IF('A-80 DirEntInv'!O20&lt;&gt;"",'A-80 DirEntInv'!O20,IF(INDIRECT(ADDRESS(SumRef!BD27,SumRef!BD$16,,,SumRef!$B$7))="","",INDIRECT(ADDRESS(SumRef!BD27,SumRef!BD$16,,,SumRef!$B$7))))</f>
        <v/>
      </c>
      <c r="Q21" s="589"/>
      <c r="R21" s="1103" t="str">
        <f ca="1">IF('A-80 DirEntInv'!R20&lt;&gt;"",'A-80 DirEntInv'!R20,IF(INDIRECT(ADDRESS(SumRef!BH27,SumRef!BH$16,,,SumRef!$B$8))="","",INDIRECT(ADDRESS(SumRef!BH27,SumRef!BH$16,,,SumRef!$B$8))))</f>
        <v/>
      </c>
      <c r="S21" s="1104" t="str">
        <f ca="1">IF('A-80 DirEntInv'!S20&lt;&gt;"",'A-80 DirEntInv'!S20,IF(INDIRECT(ADDRESS(SumRef!BI27,SumRef!BI$16,,,SumRef!$B$8))="","",INDIRECT(ADDRESS(SumRef!BI27,SumRef!BI$16,,,SumRef!$B$8))))</f>
        <v/>
      </c>
      <c r="T21" s="1104" t="str">
        <f ca="1">IF('A-80 DirEntInv'!T20&lt;&gt;"",'A-80 DirEntInv'!T20,IF(INDIRECT(ADDRESS(SumRef!BJ27,SumRef!BJ$16,,,SumRef!$B$8))="","",INDIRECT(ADDRESS(SumRef!BJ27,SumRef!BJ$16,,,SumRef!$B$8))))</f>
        <v/>
      </c>
      <c r="U21" s="1104" t="str">
        <f ca="1">IF('A-80 DirEntInv'!U20&lt;&gt;"",'A-80 DirEntInv'!U20,IF(INDIRECT(ADDRESS(SumRef!BK27,SumRef!BK$16,,,SumRef!$B$8))="","",INDIRECT(ADDRESS(SumRef!BK27,SumRef!BK$16,,,SumRef!$B$8))))</f>
        <v/>
      </c>
      <c r="V21" s="1104" t="str">
        <f ca="1">IF('A-80 DirEntInv'!V20&lt;&gt;"",'A-80 DirEntInv'!V20,IF(INDIRECT(ADDRESS(SumRef!BL27,SumRef!BL$16,,,SumRef!$B$8))="","",INDIRECT(ADDRESS(SumRef!BL27,SumRef!BL$16,,,SumRef!$B$8))))</f>
        <v/>
      </c>
      <c r="W21" s="1354" t="str">
        <f ca="1">IF('A-80 DirEntInv'!W20&lt;&gt;"",'A-80 DirEntInv'!W20,IF(INDIRECT(ADDRESS(SumRef!BM27,SumRef!BM$16,,,SumRef!$B$8))="","",INDIRECT(ADDRESS(SumRef!BM27,SumRef!BM$16,,,SumRef!$B$8))))</f>
        <v/>
      </c>
      <c r="X21" s="1203" t="str">
        <f ca="1">IF('A-80 DirEntInv'!X20&lt;&gt;"",'A-80 DirEntInv'!X20,IF(INDIRECT(ADDRESS(SumRef!BN27,SumRef!BN$16,,,SumRef!$B$8))="","",INDIRECT(ADDRESS(SumRef!BN27,SumRef!BN$16,,,SumRef!$B$8))))</f>
        <v/>
      </c>
      <c r="Y21" s="1203" t="str">
        <f ca="1">IF('A-80 DirEntInv'!Y20&lt;&gt;"",'A-80 DirEntInv'!Y20,IF(INDIRECT(ADDRESS(SumRef!BO27,SumRef!BO$16,,,SumRef!$B$8))="","",INDIRECT(ADDRESS(SumRef!BO27,SumRef!BO$16,,,SumRef!$B$8))))</f>
        <v/>
      </c>
      <c r="Z21" s="1104" t="str">
        <f ca="1">IF('A-80 DirEntInv'!Z20&lt;&gt;"",'A-80 DirEntInv'!Z20,IF(INDIRECT(ADDRESS(SumRef!BP27,SumRef!BP$16,,,SumRef!$B$8))="","",INDIRECT(ADDRESS(SumRef!BP27,SumRef!BP$16,,,SumRef!$B$8))))</f>
        <v/>
      </c>
      <c r="AA21" s="1104" t="str">
        <f ca="1">IF('A-80 DirEntInv'!AA20&lt;&gt;"",'A-80 DirEntInv'!AA20,IF(INDIRECT(ADDRESS(SumRef!BQ27,SumRef!BQ$16,,,SumRef!$B$8))="","",INDIRECT(ADDRESS(SumRef!BQ27,SumRef!BQ$16,,,SumRef!$B$8))))</f>
        <v/>
      </c>
      <c r="AB21" s="1106" t="str">
        <f ca="1">IF('A-80 DirEntInv'!AB20&lt;&gt;"",'A-80 DirEntInv'!AB20,IF(INDIRECT(ADDRESS(SumRef!BR27,SumRef!BR$16,,,SumRef!$B$8))="","",INDIRECT(ADDRESS(SumRef!BR27,SumRef!BR$16,,,SumRef!$B$8))))</f>
        <v/>
      </c>
      <c r="AC21" s="1107" t="str">
        <f ca="1">IF('A-80 DirEntInv'!AC20&lt;&gt;"",'A-80 DirEntInv'!AC20,IF(INDIRECT(ADDRESS(SumRef!BS27,SumRef!BS$16,,,SumRef!$B$8))="","",INDIRECT(ADDRESS(SumRef!BS27,SumRef!BS$16,,,SumRef!$B$8))))</f>
        <v/>
      </c>
      <c r="AD21" s="1349" t="str">
        <f ca="1">IF('A-80 DirEntInv'!AD20&lt;&gt;"",'A-80 DirEntInv'!AD20,IF(INDIRECT(ADDRESS(SumRef!BT27,SumRef!BT$16,,,SumRef!$B$8))="","",INDIRECT(ADDRESS(SumRef!BT27,SumRef!BT$16,,,SumRef!$B$8))))</f>
        <v/>
      </c>
      <c r="AE21" s="1137" t="str">
        <f ca="1">IF('A-80 DirEntInv'!AE20&lt;&gt;"",'A-80 DirEntInv'!AE20,IF(INDIRECT(ADDRESS(SumRef!BU27,SumRef!BU$16,,,SumRef!$B$8))="","",INDIRECT(ADDRESS(SumRef!BU27,SumRef!BU$16,,,SumRef!$B$8))))</f>
        <v/>
      </c>
      <c r="AF21" s="1346" t="str">
        <f ca="1">IF('A-80 DirEntInv'!AF20&lt;&gt;"",'A-80 DirEntInv'!AF20,IF(INDIRECT(ADDRESS(SumRef!BV27,SumRef!BV$16,,,SumRef!$B$8))="","",INDIRECT(ADDRESS(SumRef!BV27,SumRef!BV$16,,,SumRef!$B$8))))</f>
        <v/>
      </c>
      <c r="AG21" s="1105" t="str">
        <f ca="1">IF('A-80 DirEntInv'!AG20&lt;&gt;"",'A-80 DirEntInv'!AG20,IF(INDIRECT(ADDRESS(SumRef!BW27,SumRef!BW$16,,,SumRef!$B$8))="","",INDIRECT(ADDRESS(SumRef!BW27,SumRef!BW$16,,,SumRef!$B$8))))</f>
        <v/>
      </c>
      <c r="AH21" s="1357" t="str">
        <f ca="1">IF('A-80 DirEntInv'!AH20&lt;&gt;"",'A-80 DirEntInv'!AH20,IF(INDIRECT(ADDRESS(SumRef!BX27,SumRef!BX$16,,,SumRef!$B$8))="","",INDIRECT(ADDRESS(SumRef!BX27,SumRef!BX$16,,,SumRef!$B$8))))</f>
        <v/>
      </c>
      <c r="AK21" s="1041" t="str">
        <f>Codes!$C$156</f>
        <v>AG - Automated Guideway (DO)</v>
      </c>
      <c r="AL21" s="1042" t="str">
        <f>Valid!$B$88</f>
        <v>Substation Equipment</v>
      </c>
      <c r="AM21" s="1187"/>
      <c r="AN21" s="1046"/>
      <c r="AO21" s="1187"/>
      <c r="AP21" s="1046"/>
      <c r="AQ21" s="1147" t="str">
        <f>IF('A-80 DirEntInv'!AQ20&lt;&gt;"",'A-80 DirEntInv'!AQ20,IF(AK21=summaryref2!B22,summaryref2!G22,IF(Summary!AK21=summaryref2!B36,summaryref2!G36,IF(AK21=summaryref2!B50,summaryref2!G50,IF(AK21=summaryref2!B64,summaryref2!G64,IF(AK21=summaryref2!B78,summaryref2!G78,IF(AK21=summaryref2!B92,summaryref2!G92,IF(AK21=summaryref2!B106,summaryref2!G106,IF(AK21=summaryref2!B120,summaryref2!G120,IF(AK21=summaryref2!B134,summaryref2!G134,IF(AK21=summaryref2!B148,summaryref2!G148,"")))))))))))</f>
        <v/>
      </c>
      <c r="AR21" s="1147" t="str">
        <f>IF('A-80 DirEntInv'!AR20&lt;&gt;"",'A-80 DirEntInv'!AR20,IF(AK21=summaryref2!B22,summaryref2!H22,IF(Summary!AK21=summaryref2!B36,summaryref2!H36,IF(AK21=summaryref2!B50,summaryref2!H50,IF(AK21=summaryref2!B64,summaryref2!H64,IF(AK21=summaryref2!B78,summaryref2!H78,IF(AK21=summaryref2!B92,summaryref2!H92,IF(AK21=summaryref2!B106,summaryref2!H106,IF(AK21=summaryref2!B120,summaryref2!H120,IF(AK21=summaryref2!B134,summaryref2!H134,IF(AK21=summaryref2!B148,summaryref2!H148,"")))))))))))</f>
        <v/>
      </c>
      <c r="AS21" s="1110" t="str">
        <f>IF('A-80 DirEntInv'!AS20&lt;&gt;"",'A-80 DirEntInv'!AS20,IF(AK21=summaryref2!B22,summaryref2!I22,IF(Summary!AK21=summaryref2!B36,summaryref2!I36,IF(AK21=summaryref2!B50,summaryref2!I50,IF(AK21=summaryref2!B64,summaryref2!I64,IF(AK21=summaryref2!B78,summaryref2!I78,IF(AK21=summaryref2!B92,summaryref2!I92,IF(AK21=summaryref2!B106,summaryref2!I106,IF(AK21=summaryref2!B120,summaryref2!I120,IF(AK21=summaryref2!B134,summaryref2!I134,IF(AK21=summaryref2!B148,summaryref2!I148,"")))))))))))</f>
        <v/>
      </c>
      <c r="AT21" s="1110" t="str">
        <f>IF('A-80 DirEntInv'!AT20&lt;&gt;"",'A-80 DirEntInv'!AT20,IF(AK21=summaryref2!B22,summaryref2!J22,IF(Summary!AK21=summaryref2!B36,summaryref2!J36,IF(AK21=summaryref2!B50,summaryref2!J50,IF(AK21=summaryref2!B64,summaryref2!J64,IF(AK21=summaryref2!B78,summaryref2!J78,IF(AK21=summaryref2!B92,summaryref2!J92,IF(AK21=summaryref2!B106,summaryref2!J106,IF(AK21=summaryref2!B120,summaryref2!J120,IF(AK21=summaryref2!B134,summaryref2!J134,IF(AK21=summaryref2!B148,summaryref2!J148,"")))))))))))</f>
        <v/>
      </c>
      <c r="AU21" s="1110" t="str">
        <f>IF('A-80 DirEntInv'!AU20&lt;&gt;"",'A-80 DirEntInv'!AU20,IF(AK21=summaryref2!B22,summaryref2!K22,IF(Summary!AK21=summaryref2!B36,summaryref2!K36,IF(AK21=summaryref2!B50,summaryref2!K50,IF(AK21=summaryref2!B64,summaryref2!K64,IF(AK21=summaryref2!B78,summaryref2!K78,IF(AK21=summaryref2!B92,summaryref2!K92,IF(AK21=summaryref2!B106,summaryref2!K106,IF(AK21=summaryref2!B120,summaryref2!K120,IF(AK21=summaryref2!B134,summaryref2!K134,IF(AK21=summaryref2!B148,summaryref2!K148,"")))))))))))</f>
        <v/>
      </c>
      <c r="AV21" s="1110" t="str">
        <f>IF('A-80 DirEntInv'!AV20&lt;&gt;"",'A-80 DirEntInv'!AV20,IF(AK21=summaryref2!B22,summaryref2!L22,IF(Summary!AK21=summaryref2!B36,summaryref2!L36,IF(AK21=summaryref2!B50,summaryref2!L50,IF(AK21=summaryref2!B64,summaryref2!L64,IF(AK21=summaryref2!B78,summaryref2!L78,IF(AK21=summaryref2!B92,summaryref2!L92,IF(AK21=summaryref2!B106,summaryref2!L106,IF(AK21=summaryref2!B120,summaryref2!L120,IF(AK21=summaryref2!B134,summaryref2!L134,IF(AK21=summaryref2!B148,summaryref2!L148,"")))))))))))</f>
        <v/>
      </c>
      <c r="AW21" s="1110" t="str">
        <f>IF('A-80 DirEntInv'!AW20&lt;&gt;"",'A-80 DirEntInv'!AW20,IF(AK21=summaryref2!B22,summaryref2!M22,IF(Summary!AK21=summaryref2!B36,summaryref2!M36,IF(AK21=summaryref2!B50,summaryref2!M50,IF(AK21=summaryref2!B64,summaryref2!M64,IF(AK21=summaryref2!B78,summaryref2!M78,IF(AK21=summaryref2!B92,summaryref2!M92,IF(AK21=summaryref2!B106,summaryref2!M106,IF(AK21=summaryref2!B120,summaryref2!M120,IF(AK21=summaryref2!B134,summaryref2!M134,IF(AK21=summaryref2!B148,summaryref2!M148,"")))))))))))</f>
        <v/>
      </c>
      <c r="AX21" s="1110" t="str">
        <f>IF('A-80 DirEntInv'!AX20&lt;&gt;"",'A-80 DirEntInv'!AX20,IF(AK21=summaryref2!B22,summaryref2!N22,IF(Summary!AK21=summaryref2!B36,summaryref2!N36,IF(AK21=summaryref2!B50,summaryref2!N50,IF(AK21=summaryref2!B64,summaryref2!N64,IF(AK21=summaryref2!B78,summaryref2!N78,IF(AK21=summaryref2!B92,summaryref2!N92,IF(AK21=summaryref2!B106,summaryref2!N106,IF(AK21=summaryref2!B120,summaryref2!N120,IF(AK21=summaryref2!B134,summaryref2!N134,IF(AK21=summaryref2!B148,summaryref2!N148,"")))))))))))</f>
        <v/>
      </c>
      <c r="AY21" s="1110" t="str">
        <f>IF('A-80 DirEntInv'!AY20&lt;&gt;"",'A-80 DirEntInv'!AY20,IF(AK21=summaryref2!B22,summaryref2!O22,IF(Summary!AK21=summaryref2!B36,summaryref2!O36,IF(AK21=summaryref2!B50,summaryref2!O50,IF(AK21=summaryref2!B64,summaryref2!O64,IF(AK21=summaryref2!B78,summaryref2!O78,IF(AK21=summaryref2!B92,summaryref2!O92,IF(AK21=summaryref2!B106,summaryref2!O106,IF(AK21=summaryref2!B120,summaryref2!O120,IF(AK21=summaryref2!B134,summaryref2!O134,IF(AK21=summaryref2!B148,summaryref2!O148,"")))))))))))</f>
        <v/>
      </c>
      <c r="AZ21" s="1110" t="str">
        <f>IF('A-80 DirEntInv'!AZ20&lt;&gt;"",'A-80 DirEntInv'!AZ20,IF(AK21=summaryref2!B22,summaryref2!P22,IF(Summary!AK21=summaryref2!B36,summaryref2!P36,IF(AK21=summaryref2!B50,summaryref2!P50,IF(AK21=summaryref2!B64,summaryref2!P64,IF(AK21=summaryref2!B78,summaryref2!P78,IF(AK21=summaryref2!B92,summaryref2!P92,IF(AK21=summaryref2!B106,summaryref2!P106,IF(AK21=summaryref2!B120,summaryref2!P120,IF(AK21=summaryref2!B134,summaryref2!P134,IF(AK21=summaryref2!B148,summaryref2!P148,"")))))))))))</f>
        <v/>
      </c>
      <c r="BA21" s="1110" t="str">
        <f>IF('A-80 DirEntInv'!BA20&lt;&gt;"",'A-80 DirEntInv'!BA20,IF(AK21=summaryref2!B22,summaryref2!Q22,IF(Summary!AK21=summaryref2!B36,summaryref2!Q36,IF(AK21=summaryref2!B50,summaryref2!Q50,IF(AK21=summaryref2!B64,summaryref2!Q64,IF(AK21=summaryref2!B78,summaryref2!Q78,IF(AK21=summaryref2!B92,summaryref2!Q92,IF(AK21=summaryref2!B106,summaryref2!Q106,IF(AK21=summaryref2!B120,summaryref2!Q120,IF(AK21=summaryref2!B134,summaryref2!Q134,IF(AK21=summaryref2!B148,summaryref2!Q148,"")))))))))))</f>
        <v/>
      </c>
      <c r="BB21" s="1110" t="str">
        <f>IF('A-80 DirEntInv'!BB20&lt;&gt;"",'A-80 DirEntInv'!BB20,IF(AK21=summaryref2!B22,summaryref2!R22,IF(Summary!AK21=summaryref2!B36,summaryref2!R36,IF(AK21=summaryref2!B50,summaryref2!R50,IF(AK21=summaryref2!B64,summaryref2!R64,IF(AK21=summaryref2!B78,summaryref2!R78,IF(AK21=summaryref2!B92,summaryref2!R92,IF(AK21=summaryref2!B106,summaryref2!R106,IF(AK21=summaryref2!B120,summaryref2!R120,IF(AK21=summaryref2!B134,summaryref2!R134,IF(AK21=summaryref2!B148,summaryref2!R148,"")))))))))))</f>
        <v/>
      </c>
      <c r="BC21" s="1110" t="str">
        <f>IF('A-80 DirEntInv'!BC20&lt;&gt;0,'A-80 DirEntInv'!BC20,IF(AK21=summaryref2!B22,summaryref2!S22,IF(Summary!AK21=summaryref2!B36,summaryref2!S36,IF(AK21=summaryref2!B50,summaryref2!S50,IF(AK21=summaryref2!B64,summaryref2!S64,IF(AK21=summaryref2!B78,summaryref2!S78,IF(AK21=summaryref2!B92,summaryref2!S92,IF(AK21=summaryref2!B106,summaryref2!S106,IF(AK21=summaryref2!B120,summaryref2!S120,IF(AK21=summaryref2!B134,summaryref2!S134,IF(AK21=summaryref2!B148,summaryref2!S148,"")))))))))))</f>
        <v/>
      </c>
      <c r="BD21" s="1111" t="str">
        <f>IF('A-80 DirEntInv'!BD20&lt;&gt;"",'A-80 DirEntInv'!BD20,IF(AK21=summaryref2!B22,summaryref2!T22,IF(Summary!AK21=summaryref2!B36,summaryref2!T36,IF(AK21=summaryref2!B50,summaryref2!T50,IF(AK21=summaryref2!B64,summaryref2!T64,IF(AK21=summaryref2!B78,summaryref2!T78,IF(AK21=summaryref2!B92,summaryref2!T92,IF(AK21=summaryref2!B106,summaryref2!T106,IF(AK21=summaryref2!B120,summaryref2!T120,IF(AK21=summaryref2!B134,summaryref2!T134,IF(AK21=summaryref2!B148,summaryref2!T148,"")))))))))))</f>
        <v/>
      </c>
      <c r="BE21" s="1184" t="str">
        <f>IF('A-80 DirEntInv'!BE20&lt;&gt;"",'A-80 DirEntInv'!BE20,IF(AK21=summaryref2!B22,summaryref2!U22,IF(Summary!AK21=summaryref2!B36,summaryref2!U36,IF(AK21=summaryref2!B50,summaryref2!U50,IF(AK21=summaryref2!B64,summaryref2!U64,IF(AK21=summaryref2!B78,summaryref2!U78,IF(AK21=summaryref2!B92,summaryref2!U92,IF(AK21=summaryref2!B106,summaryref2!U106,IF(AK21=summaryref2!B120,summaryref2!U120,IF(AK21=summaryref2!B134,summaryref2!U134,IF(AK21=summaryref2!B148,summaryref2!U148,"")))))))))))</f>
        <v/>
      </c>
      <c r="BF21" s="1432"/>
      <c r="BG21" s="1432"/>
      <c r="BJ21" s="1041" t="str">
        <f>Codes!$C$157</f>
        <v>AG - Automated Guideway (PT)</v>
      </c>
      <c r="BK21" s="1042" t="str">
        <f>Valid!$B$83</f>
        <v>Single Crossover</v>
      </c>
      <c r="BL21" s="1375" t="str">
        <f>IF('A-80 DirEntInv'!BL20&lt;&gt;"",'A-80 DirEntInv'!BL20,IF(BJ21=summaryref2!X15,summaryref2!Z15,IF(BJ21=summaryref2!X22,summaryref2!Z22,IF(BJ21=summaryref2!X29,summaryref2!Z29,IF(BJ21=summaryref2!X36,summaryref2!Z36,IF(BJ21=summaryref2!X43,summaryref2!Z43,IF(BJ21=summaryref2!X50,summaryref2!Z50,IF(BJ21=summaryref2!X57,summaryref2!Z57,IF(BJ21=summaryref2!X64,summaryref2!Z64,IF(BJ21=summaryref2!X71,summaryref2!Z71,IF(BJ21=summaryref2!X78,summaryref2!Z78,"")))))))))))</f>
        <v/>
      </c>
      <c r="BM21" s="1042" t="str">
        <f>VLOOKUP(BK21,Valid!$B$80:$C$86,2,FALSE)</f>
        <v>Each</v>
      </c>
      <c r="BN21" s="1209" t="str">
        <f>IF('A-80 DirEntInv'!BN20&lt;&gt;"",'A-80 DirEntInv'!BN20,IF(BJ21=summaryref2!X15,summaryref2!AB15,IF(BJ21=summaryref2!X22,summaryref2!AB22,IF(BJ21=summaryref2!X29,summaryref2!AB29,IF(BJ21=summaryref2!X36,summaryref2!AB36,IF(BJ21=summaryref2!X43,summaryref2!AB43,IF(BJ21=summaryref2!X50,summaryref2!AB50,IF(BJ21=summaryref2!X57,summaryref2!AB57,IF(BJ21=summaryref2!X64,summaryref2!AB64,IF(BJ21=summaryref2!X71,summaryref2!AB71,IF(BJ21=summaryref2!X78,summaryref2!AB78,"")))))))))))</f>
        <v/>
      </c>
      <c r="BO21" s="1116" t="str">
        <f>IF('A-80 DirEntInv'!BO20&lt;&gt;"",'A-80 DirEntInv'!BO20,IF(BJ21=summaryref2!X15,summaryref2!AC15,IF(BJ21=summaryref2!X22,summaryref2!AC22,IF(BJ21=summaryref2!X29,summaryref2!AC29,IF(BJ21=summaryref2!X36,summaryref2!AC36,IF(BJ21=summaryref2!X43,summaryref2!AC43,IF(BJ21=summaryref2!X50,summaryref2!AC50,IF(BJ21=summaryref2!X57,summaryref2!AC57,IF(BJ21=summaryref2!X64,summaryref2!AC64,IF(BJ21=summaryref2!X71,summaryref2!AC71,IF(BJ21=summaryref2!X78,summaryref2!AC78,"")))))))))))</f>
        <v/>
      </c>
      <c r="BP21" s="1384" t="str">
        <f>IF('A-80 DirEntInv'!BP20&lt;&gt;"",'A-80 DirEntInv'!BP20,IF(BJ21=summaryref2!X15,summaryref2!AD15,IF(BJ21=summaryref2!X22,summaryref2!AD22,IF(BJ21=summaryref2!X29,summaryref2!AD29,IF(BJ21=summaryref2!X36,summaryref2!AD36,IF(BJ21=summaryref2!X43,summaryref2!AD43,IF(BJ21=summaryref2!X50,summaryref2!AD50,IF(BJ21=summaryref2!X57,summaryref2!AD57,IF(BJ21=summaryref2!X64,summaryref2!AD64,IF(BJ21=summaryref2!X71,summaryref2!AD71,IF(BJ21=summaryref2!X78,summaryref2!AD78,"")))))))))))</f>
        <v/>
      </c>
      <c r="BS21" s="1472" t="str">
        <f ca="1">IF('A-80 DirEntInv'!BU20&lt;&gt;"",'A-80 DirEntInv'!BU20,IF(INDIRECT(ADDRESS(SumRef!DK27,SumRef!DK$16,,,SumRef!$E$6))="","",INDIRECT(ADDRESS(SumRef!DK27,SumRef!DK$16,,,SumRef!$E$6))))</f>
        <v/>
      </c>
      <c r="BT21" s="1458" t="str">
        <f ca="1">IF('A-80 DirEntInv'!BV20&lt;&gt;"",'A-80 DirEntInv'!BV20,IF(INDIRECT(ADDRESS(SumRef!DL27,SumRef!DL$16,,,SumRef!$E$6))="","",INDIRECT(ADDRESS(SumRef!DL27,SumRef!DL$16,,,SumRef!$E$6))))</f>
        <v/>
      </c>
      <c r="BU21" s="1177" t="str">
        <f ca="1">IF('A-80 DirEntInv'!BW20&lt;&gt;"",'A-80 DirEntInv'!BW20,IF(INDIRECT(ADDRESS(SumRef!DM27,SumRef!DM$16,,,SumRef!$E$6))="","",INDIRECT(ADDRESS(SumRef!DM27,SumRef!DM$16,,,SumRef!$E$6))))</f>
        <v/>
      </c>
      <c r="BV21" s="1460" t="str">
        <f ca="1">IF('A-80 DirEntInv'!BX20&lt;&gt;"",'A-80 DirEntInv'!BX20,IF(INDIRECT(ADDRESS(SumRef!DN27,SumRef!DN$16,,,SumRef!$E$6))="","",INDIRECT(ADDRESS(SumRef!DN27,SumRef!DN$16,,,SumRef!$E$6))))</f>
        <v/>
      </c>
      <c r="BW21" s="1460" t="str">
        <f ca="1">IF('A-80 DirEntInv'!BY20&lt;&gt;"",'A-80 DirEntInv'!BY20,IF(INDIRECT(ADDRESS(SumRef!DO27,SumRef!DO$16,,,SumRef!$E$6))="","",INDIRECT(ADDRESS(SumRef!DO27,SumRef!DO$16,,,SumRef!$E$6))))</f>
        <v/>
      </c>
      <c r="BX21" s="1116" t="str">
        <f ca="1">IF('A-80 DirEntInv'!BZ20&lt;&gt;"",'A-80 DirEntInv'!BZ20,IF(INDIRECT(ADDRESS(SumRef!DP27,SumRef!DP$16,,,SumRef!$E$6))="","",INDIRECT(ADDRESS(SumRef!DP27,SumRef!DP$16,,,SumRef!$E$6))))</f>
        <v/>
      </c>
      <c r="BY21" s="1461" t="str">
        <f ca="1">IF('A-80 DirEntInv'!CA20&lt;&gt;"",'A-80 DirEntInv'!CA20,IF(INDIRECT(ADDRESS(SumRef!DQ27,SumRef!DQ$16,,,SumRef!$E$6))="","",INDIRECT(ADDRESS(SumRef!DQ27,SumRef!DQ$16,,,SumRef!$E$6))))</f>
        <v/>
      </c>
      <c r="BZ21" s="1460" t="str">
        <f ca="1">IF('A-80 DirEntInv'!CB20&lt;&gt;"",'A-80 DirEntInv'!CB20,IF(INDIRECT(ADDRESS(SumRef!DR27,SumRef!DR$16,,,SumRef!$E$6))="","",INDIRECT(ADDRESS(SumRef!DR27,SumRef!DR$16,,,SumRef!$E$6))))</f>
        <v/>
      </c>
      <c r="CA21" s="1462" t="str">
        <f ca="1">IF('A-80 DirEntInv'!CC20&lt;&gt;"",'A-80 DirEntInv'!CC20,IF(INDIRECT(ADDRESS(SumRef!DS27,SumRef!DS$16,,,SumRef!$E$6))="","",INDIRECT(ADDRESS(SumRef!DS27,SumRef!DS$16,,,SumRef!$E$6))))</f>
        <v/>
      </c>
      <c r="CD21" s="1160" t="str">
        <f ca="1">IF('A-80 DirEntInv'!CF20&lt;&gt;"",'A-80 DirEntInv'!CF20,IF(INDIRECT(ADDRESS(SumRef!DV27,SumRef!DV$16,,,SumRef!$E$7))="","",INDIRECT(ADDRESS(SumRef!DV27,SumRef!DV$16,,,SumRef!$E$7))))</f>
        <v/>
      </c>
      <c r="CE21" s="1167" t="str">
        <f ca="1">IF('A-80 DirEntInv'!CG20&lt;&gt;"",'A-80 DirEntInv'!CG20,IF(INDIRECT(ADDRESS(SumRef!DW27,SumRef!DW$16,,,SumRef!$E$7))="","",INDIRECT(ADDRESS(SumRef!DW27,SumRef!DW$16,,,SumRef!$E$7))))</f>
        <v/>
      </c>
      <c r="CF21" s="1167" t="str">
        <f ca="1">IF('A-80 DirEntInv'!CH20&lt;&gt;"",'A-80 DirEntInv'!CH20,IF(INDIRECT(ADDRESS(SumRef!DX27,SumRef!DX$16,,,SumRef!$E$7))="","",INDIRECT(ADDRESS(SumRef!DX27,SumRef!DX$16,,,SumRef!$E$7))))</f>
        <v/>
      </c>
      <c r="CG21" s="1167" t="str">
        <f ca="1">IF('A-80 DirEntInv'!CI20&lt;&gt;"",'A-80 DirEntInv'!CI20,IF(INDIRECT(ADDRESS(SumRef!DY27,SumRef!DY$16,,,SumRef!$E$7))="","",INDIRECT(ADDRESS(SumRef!DY27,SumRef!DY$16,,,SumRef!$E$7))))</f>
        <v/>
      </c>
      <c r="CH21" s="1167" t="str">
        <f ca="1">IF('A-80 DirEntInv'!CJ20&lt;&gt;"",'A-80 DirEntInv'!CJ20,IF(INDIRECT(ADDRESS(SumRef!DZ27,SumRef!DZ$16,,,SumRef!$E$7))="","",INDIRECT(ADDRESS(SumRef!DZ27,SumRef!DZ$16,,,SumRef!$E$7))))</f>
        <v/>
      </c>
      <c r="CI21" s="1167" t="str">
        <f ca="1">IF('A-80 DirEntInv'!CK20&lt;&gt;"",'A-80 DirEntInv'!CK20,IF(INDIRECT(ADDRESS(SumRef!EA27,SumRef!EA$16,,,SumRef!$E$7))="","",INDIRECT(ADDRESS(SumRef!EA27,SumRef!EA$16,,,SumRef!$E$7))))</f>
        <v/>
      </c>
      <c r="CJ21" s="1114" t="str">
        <f ca="1">IF('A-80 DirEntInv'!CL20&lt;&gt;"",'A-80 DirEntInv'!CL20,IF(INDIRECT(ADDRESS(SumRef!EB27,SumRef!EB$16,,,SumRef!$E$7))="","",INDIRECT(ADDRESS(SumRef!EB27,SumRef!EB$16,,,SumRef!$E$7))))</f>
        <v/>
      </c>
      <c r="CK21" s="1114" t="str">
        <f ca="1">IF('A-80 DirEntInv'!CM20&lt;&gt;"",'A-80 DirEntInv'!CM20,IF(INDIRECT(ADDRESS(SumRef!EC27,SumRef!EC$16,,,SumRef!$E$7))="","",INDIRECT(ADDRESS(SumRef!EC27,SumRef!EC$16,,,SumRef!$E$7))))</f>
        <v/>
      </c>
      <c r="CL21" s="1113" t="str">
        <f ca="1">IF('A-80 DirEntInv'!CO20&lt;&gt;"",'A-80 DirEntInv'!CO20,IF(INDIRECT(ADDRESS(SumRef!ED27,SumRef!ED$16,,,SumRef!$E$7))="","",INDIRECT(ADDRESS(SumRef!ED27,SumRef!ED$16,,,SumRef!$E$7))))</f>
        <v/>
      </c>
      <c r="CM21" s="1114" t="str">
        <f ca="1">IF('A-80 DirEntInv'!CP20&lt;&gt;"",'A-80 DirEntInv'!CP20,IF(INDIRECT(ADDRESS(SumRef!EE27,SumRef!EE$16,,,SumRef!$E$7))="","",INDIRECT(ADDRESS(SumRef!EE27,SumRef!EE$16,,,SumRef!$E$7))))</f>
        <v/>
      </c>
      <c r="CN21" s="1114" t="str">
        <f ca="1">IF('A-80 DirEntInv'!CQ20&lt;&gt;"",'A-80 DirEntInv'!CQ20,IF(INDIRECT(ADDRESS(SumRef!EF27,SumRef!EF$16,,,SumRef!$E$7))="","",INDIRECT(ADDRESS(SumRef!EF27,SumRef!EF$16,,,SumRef!$E$7))))</f>
        <v/>
      </c>
      <c r="CO21" s="1113" t="str">
        <f ca="1">IF('A-80 DirEntInv'!CR20&lt;&gt;"",'A-80 DirEntInv'!CR20,IF(INDIRECT(ADDRESS(SumRef!EG27,SumRef!EG$16,,,SumRef!$E$7))="","",INDIRECT(ADDRESS(SumRef!EG27,SumRef!EG$16,,,SumRef!$E$7))))</f>
        <v/>
      </c>
      <c r="CP21" s="1114" t="str">
        <f ca="1">IF('A-80 DirEntInv'!CS20&lt;&gt;"",'A-80 DirEntInv'!CS20,IF(INDIRECT(ADDRESS(SumRef!EH27,SumRef!EH$16,,,SumRef!$E$7))="","",INDIRECT(ADDRESS(SumRef!EH27,SumRef!EH$16,,,SumRef!$E$7))))</f>
        <v/>
      </c>
      <c r="CQ21" s="1346" t="str">
        <f ca="1">IF('A-80 DirEntInv'!CT20&lt;&gt;"",'A-80 DirEntInv'!CT20,IF(INDIRECT(ADDRESS(SumRef!EI27,SumRef!EI$16,,,SumRef!$E$7))="","",INDIRECT(ADDRESS(SumRef!EI27,SumRef!EI$16,,,SumRef!$E$7))))</f>
        <v/>
      </c>
      <c r="CR21" s="1113" t="str">
        <f ca="1">IF('A-80 DirEntInv'!CU20&lt;&gt;"",'A-80 DirEntInv'!CU20,IF(INDIRECT(ADDRESS(SumRef!EJ27,SumRef!EJ$16,,,SumRef!$E$7))="","",INDIRECT(ADDRESS(SumRef!EJ27,SumRef!EJ$16,,,SumRef!$E$7))))</f>
        <v/>
      </c>
      <c r="CS21" s="1346" t="str">
        <f ca="1">IF('A-80 DirEntInv'!CV20&lt;&gt;"",'A-80 DirEntInv'!CV20,IF(INDIRECT(ADDRESS(SumRef!EM27,SumRef!EM$16,,,SumRef!$E$7))="","",INDIRECT(ADDRESS(SumRef!EM27,SumRef!EM$16,,,SumRef!$E$7))))</f>
        <v/>
      </c>
      <c r="CT21" s="1113" t="str">
        <f ca="1">IF('A-80 DirEntInv'!CW20&lt;&gt;"",'A-80 DirEntInv'!CW20,IF(INDIRECT(ADDRESS(SumRef!EN27,SumRef!EN$16,,,SumRef!$E$7))="","",INDIRECT(ADDRESS(SumRef!EN27,SumRef!EN$16,,,SumRef!$E$7))))</f>
        <v/>
      </c>
      <c r="CU21" s="1113" t="str">
        <f ca="1">IF('A-80 DirEntInv'!CX20&lt;&gt;"",'A-80 DirEntInv'!CX20,IF(INDIRECT(ADDRESS(SumRef!EO27,SumRef!EO$16,,,SumRef!$E$7))="","",INDIRECT(ADDRESS(SumRef!EO27,SumRef!EO$16,,,SumRef!$E$7))))</f>
        <v/>
      </c>
      <c r="CV21" s="1113" t="str">
        <f ca="1">IF('A-80 DirEntInv'!CY20&lt;&gt;"",'A-80 DirEntInv'!CY20,IF(INDIRECT(ADDRESS(SumRef!EP27,SumRef!EP$16,,,SumRef!$E$7))="","",INDIRECT(ADDRESS(SumRef!EP27,SumRef!EP$16,,,SumRef!$E$7))))</f>
        <v/>
      </c>
      <c r="CW21" s="1114" t="str">
        <f ca="1">IF('A-80 DirEntInv'!CZ20&lt;&gt;"",'A-80 DirEntInv'!CZ20,IF(INDIRECT(ADDRESS(SumRef!ES27,SumRef!ES$16,,,SumRef!$E$7))="","",INDIRECT(ADDRESS(SumRef!ES27,SumRef!ES$16,,,SumRef!$E$7))))</f>
        <v/>
      </c>
      <c r="CX21" s="1167" t="str">
        <f ca="1">IF('A-80 DirEntInv'!DA20&lt;&gt;"",'A-80 DirEntInv'!DA20,IF(INDIRECT(ADDRESS(SumRef!ET27,SumRef!ET$16,,,SumRef!$E$7))="","",INDIRECT(ADDRESS(SumRef!ET27,SumRef!ET$16,,,SumRef!$E$7))))</f>
        <v/>
      </c>
      <c r="CY21" s="1167" t="str">
        <f ca="1">IF('A-80 DirEntInv'!DB20&lt;&gt;"",'A-80 DirEntInv'!DB20,IF(INDIRECT(ADDRESS(SumRef!EU27,SumRef!EU$16,,,SumRef!$E$7))="","",INDIRECT(ADDRESS(SumRef!EU27,SumRef!EU$16,,,SumRef!$E$7))))</f>
        <v/>
      </c>
      <c r="CZ21" s="1167" t="b">
        <f ca="1">IF('A-80 DirEntInv'!DC20&lt;&gt;"",'A-80 DirEntInv'!DC20,IF(INDIRECT(ADDRESS(SumRef!EV27,SumRef!EV$16,,,SumRef!$E$7))="","",INDIRECT(ADDRESS(SumRef!EV27,SumRef!EV$16,,,SumRef!$E$7))))</f>
        <v>0</v>
      </c>
      <c r="DA21" s="1373" t="str">
        <f ca="1">IF('A-80 DirEntInv'!DD20&lt;&gt;"",'A-80 DirEntInv'!DD20,IF(INDIRECT(ADDRESS(SumRef!EW27,SumRef!EW$16,,,SumRef!$E$7))="","",INDIRECT(ADDRESS(SumRef!EW27,SumRef!EW$16,,,SumRef!$E$7))))</f>
        <v/>
      </c>
      <c r="DB21" s="1373" t="b">
        <f ca="1">IF('A-80 DirEntInv'!DE20&lt;&gt;"",'A-80 DirEntInv'!DE20,IF(INDIRECT(ADDRESS(SumRef!EX27,SumRef!EX$16,,,SumRef!$E$7))="","",INDIRECT(ADDRESS(SumRef!EX27,SumRef!EX$16,,,SumRef!$E$7))))</f>
        <v>0</v>
      </c>
      <c r="DC21" s="1114" t="b">
        <f ca="1">IF('A-80 DirEntInv'!DF20&lt;&gt;"",'A-80 DirEntInv'!DF20,IF(INDIRECT(ADDRESS(SumRef!EY27,SumRef!EY$16,,,SumRef!$E$7))="","",INDIRECT(ADDRESS(SumRef!EY27,SumRef!EY$16,,,SumRef!$E$7))))</f>
        <v>0</v>
      </c>
      <c r="DD21" s="1115" t="str">
        <f ca="1">IF('A-80 DirEntInv'!DG20&lt;&gt;"",'A-80 DirEntInv'!DG20,IF(INDIRECT(ADDRESS(SumRef!EZ27,SumRef!EZ$16,,,SumRef!$E$7))="","",INDIRECT(ADDRESS(SumRef!EZ27,SumRef!EZ$16,,,SumRef!$E$7))))</f>
        <v/>
      </c>
    </row>
    <row r="22" spans="1:108" s="588" customFormat="1" x14ac:dyDescent="0.2">
      <c r="A22" s="589">
        <f t="shared" si="0"/>
        <v>12</v>
      </c>
      <c r="B22" s="1155" t="str">
        <f ca="1">IF('A-80 DirEntInv'!B21&lt;&gt;"",'A-80 DirEntInv'!B21,IF(INDIRECT(ADDRESS(SumRef!AQ28,SumRef!AQ$16,,,SumRef!$B$7))="","",INDIRECT(ADDRESS(SumRef!AQ28,SumRef!AQ$16,,,SumRef!$B$7))))</f>
        <v/>
      </c>
      <c r="C22" s="1097" t="str">
        <f ca="1">IF('A-80 DirEntInv'!C21&lt;&gt;"",'A-80 DirEntInv'!C21,IF(INDIRECT(ADDRESS(SumRef!AR28,SumRef!AR$16,,,SumRef!$B$7))="","",INDIRECT(ADDRESS(SumRef!AR28,SumRef!AR$16,,,SumRef!$B$7))))</f>
        <v/>
      </c>
      <c r="D22" s="1097" t="str">
        <f ca="1">IF('A-80 DirEntInv'!D21&lt;&gt;"",'A-80 DirEntInv'!D21,IF(INDIRECT(ADDRESS(SumRef!AS28,SumRef!AS$16,,,SumRef!$B$7))="","",INDIRECT(ADDRESS(SumRef!AS28,SumRef!AS$16,,,SumRef!$B$7))))</f>
        <v/>
      </c>
      <c r="E22" s="1097" t="str">
        <f ca="1">IF('A-80 DirEntInv'!E21&lt;&gt;"",'A-80 DirEntInv'!E21,IF(INDIRECT(ADDRESS(SumRef!AT28,SumRef!AT$16,,,SumRef!$B$7))="","",INDIRECT(ADDRESS(SumRef!AT28,SumRef!AT$16,,,SumRef!$B$7))))</f>
        <v/>
      </c>
      <c r="F22" s="1097" t="str">
        <f ca="1">IF('A-80 DirEntInv'!F21&lt;&gt;"",'A-80 DirEntInv'!F21,IF(INDIRECT(ADDRESS(SumRef!AU28,SumRef!AU$16,,,SumRef!$B$7))="","",INDIRECT(ADDRESS(SumRef!AU28,SumRef!AU$16,,,SumRef!$B$7))))</f>
        <v/>
      </c>
      <c r="G22" s="1158" t="str">
        <f ca="1">IF('A-80 DirEntInv'!G21&lt;&gt;"",'A-80 DirEntInv'!G21,IF(INDIRECT(ADDRESS(SumRef!AV28,SumRef!AV$16,,,SumRef!$B$7))="","",INDIRECT(ADDRESS(SumRef!AV28,SumRef!AV$16,,,SumRef!$B$7))))</f>
        <v/>
      </c>
      <c r="H22" s="1097" t="str">
        <f ca="1">IF('A-80 DirEntInv'!H21&lt;&gt;"",'A-80 DirEntInv'!H21,IF(INDIRECT(ADDRESS(SumRef!AW28,SumRef!AW$16,,,SumRef!$B$7))="","",INDIRECT(ADDRESS(SumRef!AW28,SumRef!AW$16,,,SumRef!$B$7))))</f>
        <v/>
      </c>
      <c r="I22" s="1097" t="str">
        <f ca="1">IF('A-80 DirEntInv'!I21&lt;&gt;"",'A-80 DirEntInv'!I21,IF(INDIRECT(ADDRESS(SumRef!AX28,SumRef!AX$16,,,SumRef!$B$7))="","",INDIRECT(ADDRESS(SumRef!AX28,SumRef!AX$16,,,SumRef!$B$7))))</f>
        <v/>
      </c>
      <c r="J22" s="1098" t="str">
        <f ca="1">IF('A-80 DirEntInv'!J21&lt;&gt;"",'A-80 DirEntInv'!J21,IF(INDIRECT(ADDRESS(SumRef!AY28,SumRef!AY$16,,,SumRef!$B$7))="","",INDIRECT(ADDRESS(SumRef!AY28,SumRef!AY$16,,,SumRef!$B$7))))</f>
        <v/>
      </c>
      <c r="K22" s="1099" t="str">
        <f ca="1">IF('A-80 DirEntInv'!K21&lt;&gt;"",'A-80 DirEntInv'!K21,IF(INDIRECT(ADDRESS(SumRef!AZ28,SumRef!AZ$16,,,SumRef!$B$7))="","",INDIRECT(ADDRESS(SumRef!AZ28,SumRef!AZ$16,,,SumRef!$B$7))))</f>
        <v/>
      </c>
      <c r="L22" s="1100" t="str">
        <f ca="1">IF('A-80 DirEntInv'!L21&lt;&gt;"",'A-80 DirEntInv'!L21,IF(INDIRECT(ADDRESS(SumRef!BA28,SumRef!BA$16,,,SumRef!$B$7))="","",INDIRECT(ADDRESS(SumRef!BA28,SumRef!BA$16,,,SumRef!$B$7))))</f>
        <v/>
      </c>
      <c r="M22" s="1101" t="str">
        <f ca="1">IF('A-80 DirEntInv'!M21&lt;&gt;"",'A-80 DirEntInv'!M21,IF(INDIRECT(ADDRESS(SumRef!BB28,SumRef!BB$16,,,SumRef!$B$7))="","",INDIRECT(ADDRESS(SumRef!BB28,SumRef!BB$16,,,SumRef!$B$7))))</f>
        <v/>
      </c>
      <c r="N22" s="1098" t="str">
        <f ca="1">IF('A-80 DirEntInv'!N21&lt;&gt;"",'A-80 DirEntInv'!N21,IF(INDIRECT(ADDRESS(SumRef!BC28,SumRef!BC$16,,,SumRef!$B$7))="","",INDIRECT(ADDRESS(SumRef!BC28,SumRef!BC$16,,,SumRef!$B$7))))</f>
        <v/>
      </c>
      <c r="O22" s="1102" t="str">
        <f ca="1">IF('A-80 DirEntInv'!O21&lt;&gt;"",'A-80 DirEntInv'!O21,IF(INDIRECT(ADDRESS(SumRef!BD28,SumRef!BD$16,,,SumRef!$B$7))="","",INDIRECT(ADDRESS(SumRef!BD28,SumRef!BD$16,,,SumRef!$B$7))))</f>
        <v/>
      </c>
      <c r="Q22" s="589"/>
      <c r="R22" s="1103" t="str">
        <f ca="1">IF('A-80 DirEntInv'!R21&lt;&gt;"",'A-80 DirEntInv'!R21,IF(INDIRECT(ADDRESS(SumRef!BH28,SumRef!BH$16,,,SumRef!$B$8))="","",INDIRECT(ADDRESS(SumRef!BH28,SumRef!BH$16,,,SumRef!$B$8))))</f>
        <v/>
      </c>
      <c r="S22" s="1104" t="str">
        <f ca="1">IF('A-80 DirEntInv'!S21&lt;&gt;"",'A-80 DirEntInv'!S21,IF(INDIRECT(ADDRESS(SumRef!BI28,SumRef!BI$16,,,SumRef!$B$8))="","",INDIRECT(ADDRESS(SumRef!BI28,SumRef!BI$16,,,SumRef!$B$8))))</f>
        <v/>
      </c>
      <c r="T22" s="1104" t="str">
        <f ca="1">IF('A-80 DirEntInv'!T21&lt;&gt;"",'A-80 DirEntInv'!T21,IF(INDIRECT(ADDRESS(SumRef!BJ28,SumRef!BJ$16,,,SumRef!$B$8))="","",INDIRECT(ADDRESS(SumRef!BJ28,SumRef!BJ$16,,,SumRef!$B$8))))</f>
        <v/>
      </c>
      <c r="U22" s="1104" t="str">
        <f ca="1">IF('A-80 DirEntInv'!U21&lt;&gt;"",'A-80 DirEntInv'!U21,IF(INDIRECT(ADDRESS(SumRef!BK28,SumRef!BK$16,,,SumRef!$B$8))="","",INDIRECT(ADDRESS(SumRef!BK28,SumRef!BK$16,,,SumRef!$B$8))))</f>
        <v/>
      </c>
      <c r="V22" s="1104" t="str">
        <f ca="1">IF('A-80 DirEntInv'!V21&lt;&gt;"",'A-80 DirEntInv'!V21,IF(INDIRECT(ADDRESS(SumRef!BL28,SumRef!BL$16,,,SumRef!$B$8))="","",INDIRECT(ADDRESS(SumRef!BL28,SumRef!BL$16,,,SumRef!$B$8))))</f>
        <v/>
      </c>
      <c r="W22" s="1354" t="str">
        <f ca="1">IF('A-80 DirEntInv'!W21&lt;&gt;"",'A-80 DirEntInv'!W21,IF(INDIRECT(ADDRESS(SumRef!BM28,SumRef!BM$16,,,SumRef!$B$8))="","",INDIRECT(ADDRESS(SumRef!BM28,SumRef!BM$16,,,SumRef!$B$8))))</f>
        <v/>
      </c>
      <c r="X22" s="1203" t="str">
        <f ca="1">IF('A-80 DirEntInv'!X21&lt;&gt;"",'A-80 DirEntInv'!X21,IF(INDIRECT(ADDRESS(SumRef!BN28,SumRef!BN$16,,,SumRef!$B$8))="","",INDIRECT(ADDRESS(SumRef!BN28,SumRef!BN$16,,,SumRef!$B$8))))</f>
        <v/>
      </c>
      <c r="Y22" s="1203" t="str">
        <f ca="1">IF('A-80 DirEntInv'!Y21&lt;&gt;"",'A-80 DirEntInv'!Y21,IF(INDIRECT(ADDRESS(SumRef!BO28,SumRef!BO$16,,,SumRef!$B$8))="","",INDIRECT(ADDRESS(SumRef!BO28,SumRef!BO$16,,,SumRef!$B$8))))</f>
        <v/>
      </c>
      <c r="Z22" s="1104" t="str">
        <f ca="1">IF('A-80 DirEntInv'!Z21&lt;&gt;"",'A-80 DirEntInv'!Z21,IF(INDIRECT(ADDRESS(SumRef!BP28,SumRef!BP$16,,,SumRef!$B$8))="","",INDIRECT(ADDRESS(SumRef!BP28,SumRef!BP$16,,,SumRef!$B$8))))</f>
        <v/>
      </c>
      <c r="AA22" s="1104" t="str">
        <f ca="1">IF('A-80 DirEntInv'!AA21&lt;&gt;"",'A-80 DirEntInv'!AA21,IF(INDIRECT(ADDRESS(SumRef!BQ28,SumRef!BQ$16,,,SumRef!$B$8))="","",INDIRECT(ADDRESS(SumRef!BQ28,SumRef!BQ$16,,,SumRef!$B$8))))</f>
        <v/>
      </c>
      <c r="AB22" s="1106" t="str">
        <f ca="1">IF('A-80 DirEntInv'!AB21&lt;&gt;"",'A-80 DirEntInv'!AB21,IF(INDIRECT(ADDRESS(SumRef!BR28,SumRef!BR$16,,,SumRef!$B$8))="","",INDIRECT(ADDRESS(SumRef!BR28,SumRef!BR$16,,,SumRef!$B$8))))</f>
        <v/>
      </c>
      <c r="AC22" s="1107" t="str">
        <f ca="1">IF('A-80 DirEntInv'!AC21&lt;&gt;"",'A-80 DirEntInv'!AC21,IF(INDIRECT(ADDRESS(SumRef!BS28,SumRef!BS$16,,,SumRef!$B$8))="","",INDIRECT(ADDRESS(SumRef!BS28,SumRef!BS$16,,,SumRef!$B$8))))</f>
        <v/>
      </c>
      <c r="AD22" s="1349" t="str">
        <f ca="1">IF('A-80 DirEntInv'!AD21&lt;&gt;"",'A-80 DirEntInv'!AD21,IF(INDIRECT(ADDRESS(SumRef!BT28,SumRef!BT$16,,,SumRef!$B$8))="","",INDIRECT(ADDRESS(SumRef!BT28,SumRef!BT$16,,,SumRef!$B$8))))</f>
        <v/>
      </c>
      <c r="AE22" s="1137" t="str">
        <f ca="1">IF('A-80 DirEntInv'!AE21&lt;&gt;"",'A-80 DirEntInv'!AE21,IF(INDIRECT(ADDRESS(SumRef!BU28,SumRef!BU$16,,,SumRef!$B$8))="","",INDIRECT(ADDRESS(SumRef!BU28,SumRef!BU$16,,,SumRef!$B$8))))</f>
        <v/>
      </c>
      <c r="AF22" s="1346" t="str">
        <f ca="1">IF('A-80 DirEntInv'!AF21&lt;&gt;"",'A-80 DirEntInv'!AF21,IF(INDIRECT(ADDRESS(SumRef!BV28,SumRef!BV$16,,,SumRef!$B$8))="","",INDIRECT(ADDRESS(SumRef!BV28,SumRef!BV$16,,,SumRef!$B$8))))</f>
        <v/>
      </c>
      <c r="AG22" s="1105" t="str">
        <f ca="1">IF('A-80 DirEntInv'!AG21&lt;&gt;"",'A-80 DirEntInv'!AG21,IF(INDIRECT(ADDRESS(SumRef!BW28,SumRef!BW$16,,,SumRef!$B$8))="","",INDIRECT(ADDRESS(SumRef!BW28,SumRef!BW$16,,,SumRef!$B$8))))</f>
        <v/>
      </c>
      <c r="AH22" s="1357" t="str">
        <f ca="1">IF('A-80 DirEntInv'!AH21&lt;&gt;"",'A-80 DirEntInv'!AH21,IF(INDIRECT(ADDRESS(SumRef!BX28,SumRef!BX$16,,,SumRef!$B$8))="","",INDIRECT(ADDRESS(SumRef!BX28,SumRef!BX$16,,,SumRef!$B$8))))</f>
        <v/>
      </c>
      <c r="AK22" s="1041" t="str">
        <f>Codes!$C$156</f>
        <v>AG - Automated Guideway (DO)</v>
      </c>
      <c r="AL22" s="1042" t="str">
        <f>Valid!$B$89</f>
        <v>Third Rail/Power Distribution</v>
      </c>
      <c r="AM22" s="1108"/>
      <c r="AN22" s="1042"/>
      <c r="AO22" s="1108"/>
      <c r="AP22" s="1042"/>
      <c r="AQ22" s="1147" t="str">
        <f>IF('A-80 DirEntInv'!AQ21&lt;&gt;"",'A-80 DirEntInv'!AQ21,IF(AK22=summaryref2!B23,summaryref2!G23,IF(Summary!AK22=summaryref2!B37,summaryref2!G37,IF(AK22=summaryref2!B51,summaryref2!G51,IF(AK22=summaryref2!B65,summaryref2!G65,IF(AK22=summaryref2!B79,summaryref2!G79,IF(AK22=summaryref2!B93,summaryref2!G93,IF(AK22=summaryref2!B107,summaryref2!G107,IF(AK22=summaryref2!B121,summaryref2!G121,IF(AK22=summaryref2!B135,summaryref2!G135,IF(AK22=summaryref2!B149,summaryref2!G149,"")))))))))))</f>
        <v/>
      </c>
      <c r="AR22" s="1147" t="str">
        <f>IF('A-80 DirEntInv'!AR21&lt;&gt;"",'A-80 DirEntInv'!AR21,IF(AK22=summaryref2!B23,summaryref2!H23,IF(Summary!AK22=summaryref2!B37,summaryref2!H37,IF(AK22=summaryref2!B51,summaryref2!H51,IF(AK22=summaryref2!B65,summaryref2!H65,IF(AK22=summaryref2!B79,summaryref2!H79,IF(AK22=summaryref2!B93,summaryref2!H93,IF(AK22=summaryref2!B107,summaryref2!H107,IF(AK22=summaryref2!B121,summaryref2!H121,IF(AK22=summaryref2!B135,summaryref2!H135,IF(AK22=summaryref2!B149,summaryref2!H149,"")))))))))))</f>
        <v/>
      </c>
      <c r="AS22" s="1110" t="str">
        <f>IF('A-80 DirEntInv'!AS21&lt;&gt;"",'A-80 DirEntInv'!AS21,IF(AK22=summaryref2!B23,summaryref2!I23,IF(Summary!AK22=summaryref2!B37,summaryref2!I37,IF(AK22=summaryref2!B51,summaryref2!I51,IF(AK22=summaryref2!B65,summaryref2!I65,IF(AK22=summaryref2!B79,summaryref2!I79,IF(AK22=summaryref2!B93,summaryref2!I93,IF(AK22=summaryref2!B107,summaryref2!I107,IF(AK22=summaryref2!B121,summaryref2!I121,IF(AK22=summaryref2!B135,summaryref2!I135,IF(AK22=summaryref2!B149,summaryref2!I149,"")))))))))))</f>
        <v/>
      </c>
      <c r="AT22" s="1110" t="str">
        <f>IF('A-80 DirEntInv'!AT21&lt;&gt;"",'A-80 DirEntInv'!AT21,IF(AK22=summaryref2!B23,summaryref2!J23,IF(Summary!AK22=summaryref2!B37,summaryref2!J37,IF(AK22=summaryref2!B51,summaryref2!J51,IF(AK22=summaryref2!B65,summaryref2!J65,IF(AK22=summaryref2!B79,summaryref2!J79,IF(AK22=summaryref2!B93,summaryref2!J93,IF(AK22=summaryref2!B107,summaryref2!J107,IF(AK22=summaryref2!B121,summaryref2!J121,IF(AK22=summaryref2!B135,summaryref2!J135,IF(AK22=summaryref2!B149,summaryref2!J149,"")))))))))))</f>
        <v/>
      </c>
      <c r="AU22" s="1110" t="str">
        <f>IF('A-80 DirEntInv'!AU21&lt;&gt;"",'A-80 DirEntInv'!AU21,IF(AK22=summaryref2!B23,summaryref2!K23,IF(Summary!AK22=summaryref2!B37,summaryref2!K37,IF(AK22=summaryref2!B51,summaryref2!K51,IF(AK22=summaryref2!B65,summaryref2!K65,IF(AK22=summaryref2!B79,summaryref2!K79,IF(AK22=summaryref2!B93,summaryref2!K93,IF(AK22=summaryref2!B107,summaryref2!K107,IF(AK22=summaryref2!B121,summaryref2!K121,IF(AK22=summaryref2!B135,summaryref2!K135,IF(AK22=summaryref2!B149,summaryref2!K149,"")))))))))))</f>
        <v/>
      </c>
      <c r="AV22" s="1110" t="str">
        <f>IF('A-80 DirEntInv'!AV21&lt;&gt;"",'A-80 DirEntInv'!AV21,IF(AK22=summaryref2!B23,summaryref2!L23,IF(Summary!AK22=summaryref2!B37,summaryref2!L37,IF(AK22=summaryref2!B51,summaryref2!L51,IF(AK22=summaryref2!B65,summaryref2!L65,IF(AK22=summaryref2!B79,summaryref2!L79,IF(AK22=summaryref2!B93,summaryref2!L93,IF(AK22=summaryref2!B107,summaryref2!L107,IF(AK22=summaryref2!B121,summaryref2!L121,IF(AK22=summaryref2!B135,summaryref2!L135,IF(AK22=summaryref2!B149,summaryref2!L149,"")))))))))))</f>
        <v/>
      </c>
      <c r="AW22" s="1110" t="str">
        <f>IF('A-80 DirEntInv'!AW21&lt;&gt;"",'A-80 DirEntInv'!AW21,IF(AK22=summaryref2!B23,summaryref2!M23,IF(Summary!AK22=summaryref2!B37,summaryref2!M37,IF(AK22=summaryref2!B51,summaryref2!M51,IF(AK22=summaryref2!B65,summaryref2!M65,IF(AK22=summaryref2!B79,summaryref2!M79,IF(AK22=summaryref2!B93,summaryref2!M93,IF(AK22=summaryref2!B107,summaryref2!M107,IF(AK22=summaryref2!B121,summaryref2!M121,IF(AK22=summaryref2!B135,summaryref2!M135,IF(AK22=summaryref2!B149,summaryref2!M149,"")))))))))))</f>
        <v/>
      </c>
      <c r="AX22" s="1110" t="str">
        <f>IF('A-80 DirEntInv'!AX21&lt;&gt;"",'A-80 DirEntInv'!AX21,IF(AK22=summaryref2!B23,summaryref2!N23,IF(Summary!AK22=summaryref2!B37,summaryref2!N37,IF(AK22=summaryref2!B51,summaryref2!N51,IF(AK22=summaryref2!B65,summaryref2!N65,IF(AK22=summaryref2!B79,summaryref2!N79,IF(AK22=summaryref2!B93,summaryref2!N93,IF(AK22=summaryref2!B107,summaryref2!N107,IF(AK22=summaryref2!B121,summaryref2!N121,IF(AK22=summaryref2!B135,summaryref2!N135,IF(AK22=summaryref2!B149,summaryref2!N149,"")))))))))))</f>
        <v/>
      </c>
      <c r="AY22" s="1110" t="str">
        <f>IF('A-80 DirEntInv'!AY21&lt;&gt;"",'A-80 DirEntInv'!AY21,IF(AK22=summaryref2!B23,summaryref2!O23,IF(Summary!AK22=summaryref2!B37,summaryref2!O37,IF(AK22=summaryref2!B51,summaryref2!O51,IF(AK22=summaryref2!B65,summaryref2!O65,IF(AK22=summaryref2!B79,summaryref2!O79,IF(AK22=summaryref2!B93,summaryref2!O93,IF(AK22=summaryref2!B107,summaryref2!O107,IF(AK22=summaryref2!B121,summaryref2!O121,IF(AK22=summaryref2!B135,summaryref2!O135,IF(AK22=summaryref2!B149,summaryref2!O149,"")))))))))))</f>
        <v/>
      </c>
      <c r="AZ22" s="1110" t="str">
        <f>IF('A-80 DirEntInv'!AZ21&lt;&gt;"",'A-80 DirEntInv'!AZ21,IF(AK22=summaryref2!B23,summaryref2!P23,IF(Summary!AK22=summaryref2!B37,summaryref2!P37,IF(AK22=summaryref2!B51,summaryref2!P51,IF(AK22=summaryref2!B65,summaryref2!P65,IF(AK22=summaryref2!B79,summaryref2!P79,IF(AK22=summaryref2!B93,summaryref2!P93,IF(AK22=summaryref2!B107,summaryref2!P107,IF(AK22=summaryref2!B121,summaryref2!P121,IF(AK22=summaryref2!B135,summaryref2!P135,IF(AK22=summaryref2!B149,summaryref2!P149,"")))))))))))</f>
        <v/>
      </c>
      <c r="BA22" s="1110" t="str">
        <f>IF('A-80 DirEntInv'!BA21&lt;&gt;"",'A-80 DirEntInv'!BA21,IF(AK22=summaryref2!B23,summaryref2!Q23,IF(Summary!AK22=summaryref2!B37,summaryref2!Q37,IF(AK22=summaryref2!B51,summaryref2!Q51,IF(AK22=summaryref2!B65,summaryref2!Q65,IF(AK22=summaryref2!B79,summaryref2!Q79,IF(AK22=summaryref2!B93,summaryref2!Q93,IF(AK22=summaryref2!B107,summaryref2!Q107,IF(AK22=summaryref2!B121,summaryref2!Q121,IF(AK22=summaryref2!B135,summaryref2!Q135,IF(AK22=summaryref2!B149,summaryref2!Q149,"")))))))))))</f>
        <v/>
      </c>
      <c r="BB22" s="1110" t="str">
        <f>IF('A-80 DirEntInv'!BB21&lt;&gt;"",'A-80 DirEntInv'!BB21,IF(AK22=summaryref2!B23,summaryref2!R23,IF(Summary!AK22=summaryref2!B37,summaryref2!R37,IF(AK22=summaryref2!B51,summaryref2!R51,IF(AK22=summaryref2!B65,summaryref2!R65,IF(AK22=summaryref2!B79,summaryref2!R79,IF(AK22=summaryref2!B93,summaryref2!R93,IF(AK22=summaryref2!B107,summaryref2!R107,IF(AK22=summaryref2!B121,summaryref2!R121,IF(AK22=summaryref2!B135,summaryref2!R135,IF(AK22=summaryref2!B149,summaryref2!R149,"")))))))))))</f>
        <v/>
      </c>
      <c r="BC22" s="1110" t="str">
        <f>IF('A-80 DirEntInv'!BC21&lt;&gt;0,'A-80 DirEntInv'!BC21,IF(AK22=summaryref2!B23,summaryref2!S23,IF(Summary!AK22=summaryref2!B37,summaryref2!S37,IF(AK22=summaryref2!B51,summaryref2!S51,IF(AK22=summaryref2!B65,summaryref2!S65,IF(AK22=summaryref2!B79,summaryref2!S79,IF(AK22=summaryref2!B93,summaryref2!S93,IF(AK22=summaryref2!B107,summaryref2!S107,IF(AK22=summaryref2!B121,summaryref2!S121,IF(AK22=summaryref2!B135,summaryref2!S135,IF(AK22=summaryref2!B149,summaryref2!S149,"")))))))))))</f>
        <v/>
      </c>
      <c r="BD22" s="1111" t="str">
        <f>IF('A-80 DirEntInv'!BD21&lt;&gt;"",'A-80 DirEntInv'!BD21,IF(AK22=summaryref2!B23,summaryref2!T23,IF(Summary!AK22=summaryref2!B37,summaryref2!T37,IF(AK22=summaryref2!B51,summaryref2!T51,IF(AK22=summaryref2!B65,summaryref2!T65,IF(AK22=summaryref2!B79,summaryref2!T79,IF(AK22=summaryref2!B93,summaryref2!T93,IF(AK22=summaryref2!B107,summaryref2!T107,IF(AK22=summaryref2!B121,summaryref2!T121,IF(AK22=summaryref2!B135,summaryref2!T135,IF(AK22=summaryref2!B149,summaryref2!T149,"")))))))))))</f>
        <v/>
      </c>
      <c r="BE22" s="1184" t="str">
        <f>IF('A-80 DirEntInv'!BE21&lt;&gt;"",'A-80 DirEntInv'!BE21,IF(AK22=summaryref2!B23,summaryref2!U23,IF(Summary!AK22=summaryref2!B37,summaryref2!U37,IF(AK22=summaryref2!B51,summaryref2!U51,IF(AK22=summaryref2!B65,summaryref2!U65,IF(AK22=summaryref2!B79,summaryref2!U79,IF(AK22=summaryref2!B93,summaryref2!U93,IF(AK22=summaryref2!B107,summaryref2!U107,IF(AK22=summaryref2!B121,summaryref2!U121,IF(AK22=summaryref2!B135,summaryref2!U135,IF(AK22=summaryref2!B149,summaryref2!U149,"")))))))))))</f>
        <v/>
      </c>
      <c r="BF22" s="1432"/>
      <c r="BG22" s="1432"/>
      <c r="BJ22" s="1041" t="str">
        <f>Codes!$C$157</f>
        <v>AG - Automated Guideway (PT)</v>
      </c>
      <c r="BK22" s="1042" t="str">
        <f>Valid!$B$84</f>
        <v>Half Grand Union</v>
      </c>
      <c r="BL22" s="1375" t="str">
        <f>IF('A-80 DirEntInv'!BL21&lt;&gt;"",'A-80 DirEntInv'!BL21,IF(BJ22=summaryref2!X16,summaryref2!Z16,IF(BJ22=summaryref2!X23,summaryref2!Z23,IF(BJ22=summaryref2!X30,summaryref2!Z30,IF(BJ22=summaryref2!X37,summaryref2!Z37,IF(BJ22=summaryref2!X44,summaryref2!Z44,IF(BJ22=summaryref2!X51,summaryref2!Z51,IF(BJ22=summaryref2!X58,summaryref2!Z58,IF(BJ22=summaryref2!X65,summaryref2!Z65,IF(BJ22=summaryref2!X72,summaryref2!Z72,IF(BJ22=summaryref2!X79,summaryref2!Z79,"")))))))))))</f>
        <v/>
      </c>
      <c r="BM22" s="1042" t="str">
        <f>VLOOKUP(BK22,Valid!$B$80:$C$86,2,FALSE)</f>
        <v>Each</v>
      </c>
      <c r="BN22" s="1209" t="str">
        <f>IF('A-80 DirEntInv'!BN21&lt;&gt;"",'A-80 DirEntInv'!BN21,IF(BJ22=summaryref2!X16,summaryref2!AB16,IF(BJ22=summaryref2!X23,summaryref2!AB23,IF(BJ22=summaryref2!X30,summaryref2!AB30,IF(BJ22=summaryref2!X37,summaryref2!AB37,IF(BJ22=summaryref2!X44,summaryref2!AB44,IF(BJ22=summaryref2!X51,summaryref2!AB51,IF(BJ22=summaryref2!X58,summaryref2!AB58,IF(BJ22=summaryref2!X65,summaryref2!AB65,IF(BJ22=summaryref2!X72,summaryref2!AB72,IF(BJ22=summaryref2!X79,summaryref2!AB79,"")))))))))))</f>
        <v/>
      </c>
      <c r="BO22" s="1116" t="str">
        <f>IF('A-80 DirEntInv'!BO21&lt;&gt;"",'A-80 DirEntInv'!BO21,IF(BJ22=summaryref2!X16,summaryref2!AC16,IF(BJ22=summaryref2!X23,summaryref2!AC23,IF(BJ22=summaryref2!X30,summaryref2!AC30,IF(BJ22=summaryref2!X37,summaryref2!AC37,IF(BJ22=summaryref2!X44,summaryref2!AC44,IF(BJ22=summaryref2!X51,summaryref2!AC51,IF(BJ22=summaryref2!X58,summaryref2!AC58,IF(BJ22=summaryref2!X65,summaryref2!AC65,IF(BJ22=summaryref2!X72,summaryref2!AC72,IF(BJ22=summaryref2!X79,summaryref2!AC79,"")))))))))))</f>
        <v/>
      </c>
      <c r="BP22" s="1384" t="str">
        <f>IF('A-80 DirEntInv'!BP21&lt;&gt;"",'A-80 DirEntInv'!BP21,IF(BJ22=summaryref2!X16,summaryref2!AD16,IF(BJ22=summaryref2!X23,summaryref2!AD23,IF(BJ22=summaryref2!X30,summaryref2!AD30,IF(BJ22=summaryref2!X37,summaryref2!AD37,IF(BJ22=summaryref2!X44,summaryref2!AD44,IF(BJ22=summaryref2!X51,summaryref2!AD51,IF(BJ22=summaryref2!X58,summaryref2!AD58,IF(BJ22=summaryref2!X65,summaryref2!AD65,IF(BJ22=summaryref2!X72,summaryref2!AD72,IF(BJ22=summaryref2!X79,summaryref2!AD79,"")))))))))))</f>
        <v/>
      </c>
      <c r="BS22" s="1472" t="str">
        <f ca="1">IF('A-80 DirEntInv'!BU21&lt;&gt;"",'A-80 DirEntInv'!BU21,IF(INDIRECT(ADDRESS(SumRef!DK28,SumRef!DK$16,,,SumRef!$E$6))="","",INDIRECT(ADDRESS(SumRef!DK28,SumRef!DK$16,,,SumRef!$E$6))))</f>
        <v/>
      </c>
      <c r="BT22" s="1458" t="str">
        <f ca="1">IF('A-80 DirEntInv'!BV21&lt;&gt;"",'A-80 DirEntInv'!BV21,IF(INDIRECT(ADDRESS(SumRef!DL28,SumRef!DL$16,,,SumRef!$E$6))="","",INDIRECT(ADDRESS(SumRef!DL28,SumRef!DL$16,,,SumRef!$E$6))))</f>
        <v/>
      </c>
      <c r="BU22" s="1177" t="str">
        <f ca="1">IF('A-80 DirEntInv'!BW21&lt;&gt;"",'A-80 DirEntInv'!BW21,IF(INDIRECT(ADDRESS(SumRef!DM28,SumRef!DM$16,,,SumRef!$E$6))="","",INDIRECT(ADDRESS(SumRef!DM28,SumRef!DM$16,,,SumRef!$E$6))))</f>
        <v/>
      </c>
      <c r="BV22" s="1460" t="str">
        <f ca="1">IF('A-80 DirEntInv'!BX21&lt;&gt;"",'A-80 DirEntInv'!BX21,IF(INDIRECT(ADDRESS(SumRef!DN28,SumRef!DN$16,,,SumRef!$E$6))="","",INDIRECT(ADDRESS(SumRef!DN28,SumRef!DN$16,,,SumRef!$E$6))))</f>
        <v/>
      </c>
      <c r="BW22" s="1460" t="str">
        <f ca="1">IF('A-80 DirEntInv'!BY21&lt;&gt;"",'A-80 DirEntInv'!BY21,IF(INDIRECT(ADDRESS(SumRef!DO28,SumRef!DO$16,,,SumRef!$E$6))="","",INDIRECT(ADDRESS(SumRef!DO28,SumRef!DO$16,,,SumRef!$E$6))))</f>
        <v/>
      </c>
      <c r="BX22" s="1116" t="str">
        <f ca="1">IF('A-80 DirEntInv'!BZ21&lt;&gt;"",'A-80 DirEntInv'!BZ21,IF(INDIRECT(ADDRESS(SumRef!DP28,SumRef!DP$16,,,SumRef!$E$6))="","",INDIRECT(ADDRESS(SumRef!DP28,SumRef!DP$16,,,SumRef!$E$6))))</f>
        <v/>
      </c>
      <c r="BY22" s="1461" t="str">
        <f ca="1">IF('A-80 DirEntInv'!CA21&lt;&gt;"",'A-80 DirEntInv'!CA21,IF(INDIRECT(ADDRESS(SumRef!DQ28,SumRef!DQ$16,,,SumRef!$E$6))="","",INDIRECT(ADDRESS(SumRef!DQ28,SumRef!DQ$16,,,SumRef!$E$6))))</f>
        <v/>
      </c>
      <c r="BZ22" s="1460" t="str">
        <f ca="1">IF('A-80 DirEntInv'!CB21&lt;&gt;"",'A-80 DirEntInv'!CB21,IF(INDIRECT(ADDRESS(SumRef!DR28,SumRef!DR$16,,,SumRef!$E$6))="","",INDIRECT(ADDRESS(SumRef!DR28,SumRef!DR$16,,,SumRef!$E$6))))</f>
        <v/>
      </c>
      <c r="CA22" s="1462" t="str">
        <f ca="1">IF('A-80 DirEntInv'!CC21&lt;&gt;"",'A-80 DirEntInv'!CC21,IF(INDIRECT(ADDRESS(SumRef!DS28,SumRef!DS$16,,,SumRef!$E$6))="","",INDIRECT(ADDRESS(SumRef!DS28,SumRef!DS$16,,,SumRef!$E$6))))</f>
        <v/>
      </c>
      <c r="CD22" s="1160" t="str">
        <f ca="1">IF('A-80 DirEntInv'!CF21&lt;&gt;"",'A-80 DirEntInv'!CF21,IF(INDIRECT(ADDRESS(SumRef!DV28,SumRef!DV$16,,,SumRef!$E$7))="","",INDIRECT(ADDRESS(SumRef!DV28,SumRef!DV$16,,,SumRef!$E$7))))</f>
        <v/>
      </c>
      <c r="CE22" s="1167" t="str">
        <f ca="1">IF('A-80 DirEntInv'!CG21&lt;&gt;"",'A-80 DirEntInv'!CG21,IF(INDIRECT(ADDRESS(SumRef!DW28,SumRef!DW$16,,,SumRef!$E$7))="","",INDIRECT(ADDRESS(SumRef!DW28,SumRef!DW$16,,,SumRef!$E$7))))</f>
        <v/>
      </c>
      <c r="CF22" s="1167" t="str">
        <f ca="1">IF('A-80 DirEntInv'!CH21&lt;&gt;"",'A-80 DirEntInv'!CH21,IF(INDIRECT(ADDRESS(SumRef!DX28,SumRef!DX$16,,,SumRef!$E$7))="","",INDIRECT(ADDRESS(SumRef!DX28,SumRef!DX$16,,,SumRef!$E$7))))</f>
        <v/>
      </c>
      <c r="CG22" s="1167" t="str">
        <f ca="1">IF('A-80 DirEntInv'!CI21&lt;&gt;"",'A-80 DirEntInv'!CI21,IF(INDIRECT(ADDRESS(SumRef!DY28,SumRef!DY$16,,,SumRef!$E$7))="","",INDIRECT(ADDRESS(SumRef!DY28,SumRef!DY$16,,,SumRef!$E$7))))</f>
        <v/>
      </c>
      <c r="CH22" s="1167" t="str">
        <f ca="1">IF('A-80 DirEntInv'!CJ21&lt;&gt;"",'A-80 DirEntInv'!CJ21,IF(INDIRECT(ADDRESS(SumRef!DZ28,SumRef!DZ$16,,,SumRef!$E$7))="","",INDIRECT(ADDRESS(SumRef!DZ28,SumRef!DZ$16,,,SumRef!$E$7))))</f>
        <v/>
      </c>
      <c r="CI22" s="1167" t="str">
        <f ca="1">IF('A-80 DirEntInv'!CK21&lt;&gt;"",'A-80 DirEntInv'!CK21,IF(INDIRECT(ADDRESS(SumRef!EA28,SumRef!EA$16,,,SumRef!$E$7))="","",INDIRECT(ADDRESS(SumRef!EA28,SumRef!EA$16,,,SumRef!$E$7))))</f>
        <v/>
      </c>
      <c r="CJ22" s="1114" t="str">
        <f ca="1">IF('A-80 DirEntInv'!CL21&lt;&gt;"",'A-80 DirEntInv'!CL21,IF(INDIRECT(ADDRESS(SumRef!EB28,SumRef!EB$16,,,SumRef!$E$7))="","",INDIRECT(ADDRESS(SumRef!EB28,SumRef!EB$16,,,SumRef!$E$7))))</f>
        <v/>
      </c>
      <c r="CK22" s="1114" t="str">
        <f ca="1">IF('A-80 DirEntInv'!CM21&lt;&gt;"",'A-80 DirEntInv'!CM21,IF(INDIRECT(ADDRESS(SumRef!EC28,SumRef!EC$16,,,SumRef!$E$7))="","",INDIRECT(ADDRESS(SumRef!EC28,SumRef!EC$16,,,SumRef!$E$7))))</f>
        <v/>
      </c>
      <c r="CL22" s="1113" t="str">
        <f ca="1">IF('A-80 DirEntInv'!CO21&lt;&gt;"",'A-80 DirEntInv'!CO21,IF(INDIRECT(ADDRESS(SumRef!ED28,SumRef!ED$16,,,SumRef!$E$7))="","",INDIRECT(ADDRESS(SumRef!ED28,SumRef!ED$16,,,SumRef!$E$7))))</f>
        <v/>
      </c>
      <c r="CM22" s="1114" t="str">
        <f ca="1">IF('A-80 DirEntInv'!CP21&lt;&gt;"",'A-80 DirEntInv'!CP21,IF(INDIRECT(ADDRESS(SumRef!EE28,SumRef!EE$16,,,SumRef!$E$7))="","",INDIRECT(ADDRESS(SumRef!EE28,SumRef!EE$16,,,SumRef!$E$7))))</f>
        <v/>
      </c>
      <c r="CN22" s="1114" t="str">
        <f ca="1">IF('A-80 DirEntInv'!CQ21&lt;&gt;"",'A-80 DirEntInv'!CQ21,IF(INDIRECT(ADDRESS(SumRef!EF28,SumRef!EF$16,,,SumRef!$E$7))="","",INDIRECT(ADDRESS(SumRef!EF28,SumRef!EF$16,,,SumRef!$E$7))))</f>
        <v/>
      </c>
      <c r="CO22" s="1113" t="str">
        <f ca="1">IF('A-80 DirEntInv'!CR21&lt;&gt;"",'A-80 DirEntInv'!CR21,IF(INDIRECT(ADDRESS(SumRef!EG28,SumRef!EG$16,,,SumRef!$E$7))="","",INDIRECT(ADDRESS(SumRef!EG28,SumRef!EG$16,,,SumRef!$E$7))))</f>
        <v/>
      </c>
      <c r="CP22" s="1114" t="str">
        <f ca="1">IF('A-80 DirEntInv'!CS21&lt;&gt;"",'A-80 DirEntInv'!CS21,IF(INDIRECT(ADDRESS(SumRef!EH28,SumRef!EH$16,,,SumRef!$E$7))="","",INDIRECT(ADDRESS(SumRef!EH28,SumRef!EH$16,,,SumRef!$E$7))))</f>
        <v/>
      </c>
      <c r="CQ22" s="1346" t="str">
        <f ca="1">IF('A-80 DirEntInv'!CT21&lt;&gt;"",'A-80 DirEntInv'!CT21,IF(INDIRECT(ADDRESS(SumRef!EI28,SumRef!EI$16,,,SumRef!$E$7))="","",INDIRECT(ADDRESS(SumRef!EI28,SumRef!EI$16,,,SumRef!$E$7))))</f>
        <v/>
      </c>
      <c r="CR22" s="1113" t="str">
        <f ca="1">IF('A-80 DirEntInv'!CU21&lt;&gt;"",'A-80 DirEntInv'!CU21,IF(INDIRECT(ADDRESS(SumRef!EJ28,SumRef!EJ$16,,,SumRef!$E$7))="","",INDIRECT(ADDRESS(SumRef!EJ28,SumRef!EJ$16,,,SumRef!$E$7))))</f>
        <v/>
      </c>
      <c r="CS22" s="1346" t="str">
        <f ca="1">IF('A-80 DirEntInv'!CV21&lt;&gt;"",'A-80 DirEntInv'!CV21,IF(INDIRECT(ADDRESS(SumRef!EM28,SumRef!EM$16,,,SumRef!$E$7))="","",INDIRECT(ADDRESS(SumRef!EM28,SumRef!EM$16,,,SumRef!$E$7))))</f>
        <v/>
      </c>
      <c r="CT22" s="1113" t="str">
        <f ca="1">IF('A-80 DirEntInv'!CW21&lt;&gt;"",'A-80 DirEntInv'!CW21,IF(INDIRECT(ADDRESS(SumRef!EN28,SumRef!EN$16,,,SumRef!$E$7))="","",INDIRECT(ADDRESS(SumRef!EN28,SumRef!EN$16,,,SumRef!$E$7))))</f>
        <v/>
      </c>
      <c r="CU22" s="1113" t="str">
        <f ca="1">IF('A-80 DirEntInv'!CX21&lt;&gt;"",'A-80 DirEntInv'!CX21,IF(INDIRECT(ADDRESS(SumRef!EO28,SumRef!EO$16,,,SumRef!$E$7))="","",INDIRECT(ADDRESS(SumRef!EO28,SumRef!EO$16,,,SumRef!$E$7))))</f>
        <v/>
      </c>
      <c r="CV22" s="1113" t="str">
        <f ca="1">IF('A-80 DirEntInv'!CY21&lt;&gt;"",'A-80 DirEntInv'!CY21,IF(INDIRECT(ADDRESS(SumRef!EP28,SumRef!EP$16,,,SumRef!$E$7))="","",INDIRECT(ADDRESS(SumRef!EP28,SumRef!EP$16,,,SumRef!$E$7))))</f>
        <v/>
      </c>
      <c r="CW22" s="1114" t="str">
        <f ca="1">IF('A-80 DirEntInv'!CZ21&lt;&gt;"",'A-80 DirEntInv'!CZ21,IF(INDIRECT(ADDRESS(SumRef!ES28,SumRef!ES$16,,,SumRef!$E$7))="","",INDIRECT(ADDRESS(SumRef!ES28,SumRef!ES$16,,,SumRef!$E$7))))</f>
        <v/>
      </c>
      <c r="CX22" s="1167" t="str">
        <f ca="1">IF('A-80 DirEntInv'!DA21&lt;&gt;"",'A-80 DirEntInv'!DA21,IF(INDIRECT(ADDRESS(SumRef!ET28,SumRef!ET$16,,,SumRef!$E$7))="","",INDIRECT(ADDRESS(SumRef!ET28,SumRef!ET$16,,,SumRef!$E$7))))</f>
        <v/>
      </c>
      <c r="CY22" s="1167" t="str">
        <f ca="1">IF('A-80 DirEntInv'!DB21&lt;&gt;"",'A-80 DirEntInv'!DB21,IF(INDIRECT(ADDRESS(SumRef!EU28,SumRef!EU$16,,,SumRef!$E$7))="","",INDIRECT(ADDRESS(SumRef!EU28,SumRef!EU$16,,,SumRef!$E$7))))</f>
        <v/>
      </c>
      <c r="CZ22" s="1167" t="b">
        <f ca="1">IF('A-80 DirEntInv'!DC21&lt;&gt;"",'A-80 DirEntInv'!DC21,IF(INDIRECT(ADDRESS(SumRef!EV28,SumRef!EV$16,,,SumRef!$E$7))="","",INDIRECT(ADDRESS(SumRef!EV28,SumRef!EV$16,,,SumRef!$E$7))))</f>
        <v>0</v>
      </c>
      <c r="DA22" s="1373" t="str">
        <f ca="1">IF('A-80 DirEntInv'!DD21&lt;&gt;"",'A-80 DirEntInv'!DD21,IF(INDIRECT(ADDRESS(SumRef!EW28,SumRef!EW$16,,,SumRef!$E$7))="","",INDIRECT(ADDRESS(SumRef!EW28,SumRef!EW$16,,,SumRef!$E$7))))</f>
        <v/>
      </c>
      <c r="DB22" s="1373" t="b">
        <f ca="1">IF('A-80 DirEntInv'!DE21&lt;&gt;"",'A-80 DirEntInv'!DE21,IF(INDIRECT(ADDRESS(SumRef!EX28,SumRef!EX$16,,,SumRef!$E$7))="","",INDIRECT(ADDRESS(SumRef!EX28,SumRef!EX$16,,,SumRef!$E$7))))</f>
        <v>0</v>
      </c>
      <c r="DC22" s="1114" t="b">
        <f ca="1">IF('A-80 DirEntInv'!DF21&lt;&gt;"",'A-80 DirEntInv'!DF21,IF(INDIRECT(ADDRESS(SumRef!EY28,SumRef!EY$16,,,SumRef!$E$7))="","",INDIRECT(ADDRESS(SumRef!EY28,SumRef!EY$16,,,SumRef!$E$7))))</f>
        <v>0</v>
      </c>
      <c r="DD22" s="1115" t="str">
        <f ca="1">IF('A-80 DirEntInv'!DG21&lt;&gt;"",'A-80 DirEntInv'!DG21,IF(INDIRECT(ADDRESS(SumRef!EZ28,SumRef!EZ$16,,,SumRef!$E$7))="","",INDIRECT(ADDRESS(SumRef!EZ28,SumRef!EZ$16,,,SumRef!$E$7))))</f>
        <v/>
      </c>
    </row>
    <row r="23" spans="1:108" s="588" customFormat="1" x14ac:dyDescent="0.2">
      <c r="A23" s="589">
        <f t="shared" si="0"/>
        <v>13</v>
      </c>
      <c r="B23" s="1155" t="str">
        <f ca="1">IF('A-80 DirEntInv'!B22&lt;&gt;"",'A-80 DirEntInv'!B22,IF(INDIRECT(ADDRESS(SumRef!AQ29,SumRef!AQ$16,,,SumRef!$B$7))="","",INDIRECT(ADDRESS(SumRef!AQ29,SumRef!AQ$16,,,SumRef!$B$7))))</f>
        <v/>
      </c>
      <c r="C23" s="1097" t="str">
        <f ca="1">IF('A-80 DirEntInv'!C22&lt;&gt;"",'A-80 DirEntInv'!C22,IF(INDIRECT(ADDRESS(SumRef!AR29,SumRef!AR$16,,,SumRef!$B$7))="","",INDIRECT(ADDRESS(SumRef!AR29,SumRef!AR$16,,,SumRef!$B$7))))</f>
        <v/>
      </c>
      <c r="D23" s="1097" t="str">
        <f ca="1">IF('A-80 DirEntInv'!D22&lt;&gt;"",'A-80 DirEntInv'!D22,IF(INDIRECT(ADDRESS(SumRef!AS29,SumRef!AS$16,,,SumRef!$B$7))="","",INDIRECT(ADDRESS(SumRef!AS29,SumRef!AS$16,,,SumRef!$B$7))))</f>
        <v/>
      </c>
      <c r="E23" s="1097" t="str">
        <f ca="1">IF('A-80 DirEntInv'!E22&lt;&gt;"",'A-80 DirEntInv'!E22,IF(INDIRECT(ADDRESS(SumRef!AT29,SumRef!AT$16,,,SumRef!$B$7))="","",INDIRECT(ADDRESS(SumRef!AT29,SumRef!AT$16,,,SumRef!$B$7))))</f>
        <v/>
      </c>
      <c r="F23" s="1097" t="str">
        <f ca="1">IF('A-80 DirEntInv'!F22&lt;&gt;"",'A-80 DirEntInv'!F22,IF(INDIRECT(ADDRESS(SumRef!AU29,SumRef!AU$16,,,SumRef!$B$7))="","",INDIRECT(ADDRESS(SumRef!AU29,SumRef!AU$16,,,SumRef!$B$7))))</f>
        <v/>
      </c>
      <c r="G23" s="1158" t="str">
        <f ca="1">IF('A-80 DirEntInv'!G22&lt;&gt;"",'A-80 DirEntInv'!G22,IF(INDIRECT(ADDRESS(SumRef!AV29,SumRef!AV$16,,,SumRef!$B$7))="","",INDIRECT(ADDRESS(SumRef!AV29,SumRef!AV$16,,,SumRef!$B$7))))</f>
        <v/>
      </c>
      <c r="H23" s="1097" t="str">
        <f ca="1">IF('A-80 DirEntInv'!H22&lt;&gt;"",'A-80 DirEntInv'!H22,IF(INDIRECT(ADDRESS(SumRef!AW29,SumRef!AW$16,,,SumRef!$B$7))="","",INDIRECT(ADDRESS(SumRef!AW29,SumRef!AW$16,,,SumRef!$B$7))))</f>
        <v/>
      </c>
      <c r="I23" s="1097" t="str">
        <f ca="1">IF('A-80 DirEntInv'!I22&lt;&gt;"",'A-80 DirEntInv'!I22,IF(INDIRECT(ADDRESS(SumRef!AX29,SumRef!AX$16,,,SumRef!$B$7))="","",INDIRECT(ADDRESS(SumRef!AX29,SumRef!AX$16,,,SumRef!$B$7))))</f>
        <v/>
      </c>
      <c r="J23" s="1098" t="str">
        <f ca="1">IF('A-80 DirEntInv'!J22&lt;&gt;"",'A-80 DirEntInv'!J22,IF(INDIRECT(ADDRESS(SumRef!AY29,SumRef!AY$16,,,SumRef!$B$7))="","",INDIRECT(ADDRESS(SumRef!AY29,SumRef!AY$16,,,SumRef!$B$7))))</f>
        <v/>
      </c>
      <c r="K23" s="1099" t="str">
        <f ca="1">IF('A-80 DirEntInv'!K22&lt;&gt;"",'A-80 DirEntInv'!K22,IF(INDIRECT(ADDRESS(SumRef!AZ29,SumRef!AZ$16,,,SumRef!$B$7))="","",INDIRECT(ADDRESS(SumRef!AZ29,SumRef!AZ$16,,,SumRef!$B$7))))</f>
        <v/>
      </c>
      <c r="L23" s="1100" t="str">
        <f ca="1">IF('A-80 DirEntInv'!L22&lt;&gt;"",'A-80 DirEntInv'!L22,IF(INDIRECT(ADDRESS(SumRef!BA29,SumRef!BA$16,,,SumRef!$B$7))="","",INDIRECT(ADDRESS(SumRef!BA29,SumRef!BA$16,,,SumRef!$B$7))))</f>
        <v/>
      </c>
      <c r="M23" s="1101" t="str">
        <f ca="1">IF('A-80 DirEntInv'!M22&lt;&gt;"",'A-80 DirEntInv'!M22,IF(INDIRECT(ADDRESS(SumRef!BB29,SumRef!BB$16,,,SumRef!$B$7))="","",INDIRECT(ADDRESS(SumRef!BB29,SumRef!BB$16,,,SumRef!$B$7))))</f>
        <v/>
      </c>
      <c r="N23" s="1098" t="str">
        <f ca="1">IF('A-80 DirEntInv'!N22&lt;&gt;"",'A-80 DirEntInv'!N22,IF(INDIRECT(ADDRESS(SumRef!BC29,SumRef!BC$16,,,SumRef!$B$7))="","",INDIRECT(ADDRESS(SumRef!BC29,SumRef!BC$16,,,SumRef!$B$7))))</f>
        <v/>
      </c>
      <c r="O23" s="1102" t="str">
        <f ca="1">IF('A-80 DirEntInv'!O22&lt;&gt;"",'A-80 DirEntInv'!O22,IF(INDIRECT(ADDRESS(SumRef!BD29,SumRef!BD$16,,,SumRef!$B$7))="","",INDIRECT(ADDRESS(SumRef!BD29,SumRef!BD$16,,,SumRef!$B$7))))</f>
        <v/>
      </c>
      <c r="Q23" s="589"/>
      <c r="R23" s="1103" t="str">
        <f ca="1">IF('A-80 DirEntInv'!R22&lt;&gt;"",'A-80 DirEntInv'!R22,IF(INDIRECT(ADDRESS(SumRef!BH29,SumRef!BH$16,,,SumRef!$B$8))="","",INDIRECT(ADDRESS(SumRef!BH29,SumRef!BH$16,,,SumRef!$B$8))))</f>
        <v/>
      </c>
      <c r="S23" s="1104" t="str">
        <f ca="1">IF('A-80 DirEntInv'!S22&lt;&gt;"",'A-80 DirEntInv'!S22,IF(INDIRECT(ADDRESS(SumRef!BI29,SumRef!BI$16,,,SumRef!$B$8))="","",INDIRECT(ADDRESS(SumRef!BI29,SumRef!BI$16,,,SumRef!$B$8))))</f>
        <v/>
      </c>
      <c r="T23" s="1104" t="str">
        <f ca="1">IF('A-80 DirEntInv'!T22&lt;&gt;"",'A-80 DirEntInv'!T22,IF(INDIRECT(ADDRESS(SumRef!BJ29,SumRef!BJ$16,,,SumRef!$B$8))="","",INDIRECT(ADDRESS(SumRef!BJ29,SumRef!BJ$16,,,SumRef!$B$8))))</f>
        <v/>
      </c>
      <c r="U23" s="1104" t="str">
        <f ca="1">IF('A-80 DirEntInv'!U22&lt;&gt;"",'A-80 DirEntInv'!U22,IF(INDIRECT(ADDRESS(SumRef!BK29,SumRef!BK$16,,,SumRef!$B$8))="","",INDIRECT(ADDRESS(SumRef!BK29,SumRef!BK$16,,,SumRef!$B$8))))</f>
        <v/>
      </c>
      <c r="V23" s="1104" t="str">
        <f ca="1">IF('A-80 DirEntInv'!V22&lt;&gt;"",'A-80 DirEntInv'!V22,IF(INDIRECT(ADDRESS(SumRef!BL29,SumRef!BL$16,,,SumRef!$B$8))="","",INDIRECT(ADDRESS(SumRef!BL29,SumRef!BL$16,,,SumRef!$B$8))))</f>
        <v/>
      </c>
      <c r="W23" s="1354" t="str">
        <f ca="1">IF('A-80 DirEntInv'!W22&lt;&gt;"",'A-80 DirEntInv'!W22,IF(INDIRECT(ADDRESS(SumRef!BM29,SumRef!BM$16,,,SumRef!$B$8))="","",INDIRECT(ADDRESS(SumRef!BM29,SumRef!BM$16,,,SumRef!$B$8))))</f>
        <v/>
      </c>
      <c r="X23" s="1203" t="str">
        <f ca="1">IF('A-80 DirEntInv'!X22&lt;&gt;"",'A-80 DirEntInv'!X22,IF(INDIRECT(ADDRESS(SumRef!BN29,SumRef!BN$16,,,SumRef!$B$8))="","",INDIRECT(ADDRESS(SumRef!BN29,SumRef!BN$16,,,SumRef!$B$8))))</f>
        <v/>
      </c>
      <c r="Y23" s="1203" t="str">
        <f ca="1">IF('A-80 DirEntInv'!Y22&lt;&gt;"",'A-80 DirEntInv'!Y22,IF(INDIRECT(ADDRESS(SumRef!BO29,SumRef!BO$16,,,SumRef!$B$8))="","",INDIRECT(ADDRESS(SumRef!BO29,SumRef!BO$16,,,SumRef!$B$8))))</f>
        <v/>
      </c>
      <c r="Z23" s="1104" t="str">
        <f ca="1">IF('A-80 DirEntInv'!Z22&lt;&gt;"",'A-80 DirEntInv'!Z22,IF(INDIRECT(ADDRESS(SumRef!BP29,SumRef!BP$16,,,SumRef!$B$8))="","",INDIRECT(ADDRESS(SumRef!BP29,SumRef!BP$16,,,SumRef!$B$8))))</f>
        <v/>
      </c>
      <c r="AA23" s="1104" t="str">
        <f ca="1">IF('A-80 DirEntInv'!AA22&lt;&gt;"",'A-80 DirEntInv'!AA22,IF(INDIRECT(ADDRESS(SumRef!BQ29,SumRef!BQ$16,,,SumRef!$B$8))="","",INDIRECT(ADDRESS(SumRef!BQ29,SumRef!BQ$16,,,SumRef!$B$8))))</f>
        <v/>
      </c>
      <c r="AB23" s="1106" t="str">
        <f ca="1">IF('A-80 DirEntInv'!AB22&lt;&gt;"",'A-80 DirEntInv'!AB22,IF(INDIRECT(ADDRESS(SumRef!BR29,SumRef!BR$16,,,SumRef!$B$8))="","",INDIRECT(ADDRESS(SumRef!BR29,SumRef!BR$16,,,SumRef!$B$8))))</f>
        <v/>
      </c>
      <c r="AC23" s="1107" t="str">
        <f ca="1">IF('A-80 DirEntInv'!AC22&lt;&gt;"",'A-80 DirEntInv'!AC22,IF(INDIRECT(ADDRESS(SumRef!BS29,SumRef!BS$16,,,SumRef!$B$8))="","",INDIRECT(ADDRESS(SumRef!BS29,SumRef!BS$16,,,SumRef!$B$8))))</f>
        <v/>
      </c>
      <c r="AD23" s="1349" t="str">
        <f ca="1">IF('A-80 DirEntInv'!AD22&lt;&gt;"",'A-80 DirEntInv'!AD22,IF(INDIRECT(ADDRESS(SumRef!BT29,SumRef!BT$16,,,SumRef!$B$8))="","",INDIRECT(ADDRESS(SumRef!BT29,SumRef!BT$16,,,SumRef!$B$8))))</f>
        <v/>
      </c>
      <c r="AE23" s="1137" t="str">
        <f ca="1">IF('A-80 DirEntInv'!AE22&lt;&gt;"",'A-80 DirEntInv'!AE22,IF(INDIRECT(ADDRESS(SumRef!BU29,SumRef!BU$16,,,SumRef!$B$8))="","",INDIRECT(ADDRESS(SumRef!BU29,SumRef!BU$16,,,SumRef!$B$8))))</f>
        <v/>
      </c>
      <c r="AF23" s="1346" t="str">
        <f ca="1">IF('A-80 DirEntInv'!AF22&lt;&gt;"",'A-80 DirEntInv'!AF22,IF(INDIRECT(ADDRESS(SumRef!BV29,SumRef!BV$16,,,SumRef!$B$8))="","",INDIRECT(ADDRESS(SumRef!BV29,SumRef!BV$16,,,SumRef!$B$8))))</f>
        <v/>
      </c>
      <c r="AG23" s="1105" t="str">
        <f ca="1">IF('A-80 DirEntInv'!AG22&lt;&gt;"",'A-80 DirEntInv'!AG22,IF(INDIRECT(ADDRESS(SumRef!BW29,SumRef!BW$16,,,SumRef!$B$8))="","",INDIRECT(ADDRESS(SumRef!BW29,SumRef!BW$16,,,SumRef!$B$8))))</f>
        <v/>
      </c>
      <c r="AH23" s="1357" t="str">
        <f ca="1">IF('A-80 DirEntInv'!AH22&lt;&gt;"",'A-80 DirEntInv'!AH22,IF(INDIRECT(ADDRESS(SumRef!BX29,SumRef!BX$16,,,SumRef!$B$8))="","",INDIRECT(ADDRESS(SumRef!BX29,SumRef!BX$16,,,SumRef!$B$8))))</f>
        <v/>
      </c>
      <c r="AK23" s="1041" t="str">
        <f>Codes!$C$156</f>
        <v>AG - Automated Guideway (DO)</v>
      </c>
      <c r="AL23" s="1042" t="str">
        <f>Valid!$B$90</f>
        <v>Overhead Contact System/Power Distribution</v>
      </c>
      <c r="AM23" s="1108"/>
      <c r="AN23" s="1042"/>
      <c r="AO23" s="1108"/>
      <c r="AP23" s="1042"/>
      <c r="AQ23" s="1147" t="str">
        <f>IF('A-80 DirEntInv'!AQ22&lt;&gt;"",'A-80 DirEntInv'!AQ22,IF(AK23=summaryref2!B24,summaryref2!G24,IF(Summary!AK23=summaryref2!B38,summaryref2!G38,IF(AK23=summaryref2!B52,summaryref2!G52,IF(AK23=summaryref2!B66,summaryref2!G66,IF(AK23=summaryref2!B80,summaryref2!G80,IF(AK23=summaryref2!B94,summaryref2!G94,IF(AK23=summaryref2!B108,summaryref2!G108,IF(AK23=summaryref2!B122,summaryref2!G122,IF(AK23=summaryref2!B136,summaryref2!G136,IF(AK23=summaryref2!B150,summaryref2!G150,"")))))))))))</f>
        <v/>
      </c>
      <c r="AR23" s="1147" t="str">
        <f>IF('A-80 DirEntInv'!AR22&lt;&gt;"",'A-80 DirEntInv'!AR22,IF(AK23=summaryref2!B24,summaryref2!H24,IF(Summary!AK23=summaryref2!B38,summaryref2!H38,IF(AK23=summaryref2!B52,summaryref2!H52,IF(AK23=summaryref2!B66,summaryref2!H66,IF(AK23=summaryref2!B80,summaryref2!H80,IF(AK23=summaryref2!B94,summaryref2!H94,IF(AK23=summaryref2!B108,summaryref2!H108,IF(AK23=summaryref2!B122,summaryref2!H122,IF(AK23=summaryref2!B136,summaryref2!H136,IF(AK23=summaryref2!B150,summaryref2!H150,"")))))))))))</f>
        <v/>
      </c>
      <c r="AS23" s="1110" t="str">
        <f>IF('A-80 DirEntInv'!AS22&lt;&gt;"",'A-80 DirEntInv'!AS22,IF(AK23=summaryref2!B24,summaryref2!I24,IF(Summary!AK23=summaryref2!B38,summaryref2!I38,IF(AK23=summaryref2!B52,summaryref2!I52,IF(AK23=summaryref2!B66,summaryref2!I66,IF(AK23=summaryref2!B80,summaryref2!I80,IF(AK23=summaryref2!B94,summaryref2!I94,IF(AK23=summaryref2!B108,summaryref2!I108,IF(AK23=summaryref2!B122,summaryref2!I122,IF(AK23=summaryref2!B136,summaryref2!I136,IF(AK23=summaryref2!B150,summaryref2!I150,"")))))))))))</f>
        <v/>
      </c>
      <c r="AT23" s="1110" t="str">
        <f>IF('A-80 DirEntInv'!AT22&lt;&gt;"",'A-80 DirEntInv'!AT22,IF(AK23=summaryref2!B24,summaryref2!J24,IF(Summary!AK23=summaryref2!B38,summaryref2!J38,IF(AK23=summaryref2!B52,summaryref2!J52,IF(AK23=summaryref2!B66,summaryref2!J66,IF(AK23=summaryref2!B80,summaryref2!J80,IF(AK23=summaryref2!B94,summaryref2!J94,IF(AK23=summaryref2!B108,summaryref2!J108,IF(AK23=summaryref2!B122,summaryref2!J122,IF(AK23=summaryref2!B136,summaryref2!J136,IF(AK23=summaryref2!B150,summaryref2!J150,"")))))))))))</f>
        <v/>
      </c>
      <c r="AU23" s="1110" t="str">
        <f>IF('A-80 DirEntInv'!AU22&lt;&gt;"",'A-80 DirEntInv'!AU22,IF(AK23=summaryref2!B24,summaryref2!K24,IF(Summary!AK23=summaryref2!B38,summaryref2!K38,IF(AK23=summaryref2!B52,summaryref2!K52,IF(AK23=summaryref2!B66,summaryref2!K66,IF(AK23=summaryref2!B80,summaryref2!K80,IF(AK23=summaryref2!B94,summaryref2!K94,IF(AK23=summaryref2!B108,summaryref2!K108,IF(AK23=summaryref2!B122,summaryref2!K122,IF(AK23=summaryref2!B136,summaryref2!K136,IF(AK23=summaryref2!B150,summaryref2!K150,"")))))))))))</f>
        <v/>
      </c>
      <c r="AV23" s="1110" t="str">
        <f>IF('A-80 DirEntInv'!AV22&lt;&gt;"",'A-80 DirEntInv'!AV22,IF(AK23=summaryref2!B24,summaryref2!L24,IF(Summary!AK23=summaryref2!B38,summaryref2!L38,IF(AK23=summaryref2!B52,summaryref2!L52,IF(AK23=summaryref2!B66,summaryref2!L66,IF(AK23=summaryref2!B80,summaryref2!L80,IF(AK23=summaryref2!B94,summaryref2!L94,IF(AK23=summaryref2!B108,summaryref2!L108,IF(AK23=summaryref2!B122,summaryref2!L122,IF(AK23=summaryref2!B136,summaryref2!L136,IF(AK23=summaryref2!B150,summaryref2!L150,"")))))))))))</f>
        <v/>
      </c>
      <c r="AW23" s="1110" t="str">
        <f>IF('A-80 DirEntInv'!AW22&lt;&gt;"",'A-80 DirEntInv'!AW22,IF(AK23=summaryref2!B24,summaryref2!M24,IF(Summary!AK23=summaryref2!B38,summaryref2!M38,IF(AK23=summaryref2!B52,summaryref2!M52,IF(AK23=summaryref2!B66,summaryref2!M66,IF(AK23=summaryref2!B80,summaryref2!M80,IF(AK23=summaryref2!B94,summaryref2!M94,IF(AK23=summaryref2!B108,summaryref2!M108,IF(AK23=summaryref2!B122,summaryref2!M122,IF(AK23=summaryref2!B136,summaryref2!M136,IF(AK23=summaryref2!B150,summaryref2!M150,"")))))))))))</f>
        <v/>
      </c>
      <c r="AX23" s="1110" t="str">
        <f>IF('A-80 DirEntInv'!AX22&lt;&gt;"",'A-80 DirEntInv'!AX22,IF(AK23=summaryref2!B24,summaryref2!N24,IF(Summary!AK23=summaryref2!B38,summaryref2!N38,IF(AK23=summaryref2!B52,summaryref2!N52,IF(AK23=summaryref2!B66,summaryref2!N66,IF(AK23=summaryref2!B80,summaryref2!N80,IF(AK23=summaryref2!B94,summaryref2!N94,IF(AK23=summaryref2!B108,summaryref2!N108,IF(AK23=summaryref2!B122,summaryref2!N122,IF(AK23=summaryref2!B136,summaryref2!N136,IF(AK23=summaryref2!B150,summaryref2!N150,"")))))))))))</f>
        <v/>
      </c>
      <c r="AY23" s="1110" t="str">
        <f>IF('A-80 DirEntInv'!AY22&lt;&gt;"",'A-80 DirEntInv'!AY22,IF(AK23=summaryref2!B24,summaryref2!O24,IF(Summary!AK23=summaryref2!B38,summaryref2!O38,IF(AK23=summaryref2!B52,summaryref2!O52,IF(AK23=summaryref2!B66,summaryref2!O66,IF(AK23=summaryref2!B80,summaryref2!O80,IF(AK23=summaryref2!B94,summaryref2!O94,IF(AK23=summaryref2!B108,summaryref2!O108,IF(AK23=summaryref2!B122,summaryref2!O122,IF(AK23=summaryref2!B136,summaryref2!O136,IF(AK23=summaryref2!B150,summaryref2!O150,"")))))))))))</f>
        <v/>
      </c>
      <c r="AZ23" s="1110" t="str">
        <f>IF('A-80 DirEntInv'!AZ22&lt;&gt;"",'A-80 DirEntInv'!AZ22,IF(AK23=summaryref2!B24,summaryref2!P24,IF(Summary!AK23=summaryref2!B38,summaryref2!P38,IF(AK23=summaryref2!B52,summaryref2!P52,IF(AK23=summaryref2!B66,summaryref2!P66,IF(AK23=summaryref2!B80,summaryref2!P80,IF(AK23=summaryref2!B94,summaryref2!P94,IF(AK23=summaryref2!B108,summaryref2!P108,IF(AK23=summaryref2!B122,summaryref2!P122,IF(AK23=summaryref2!B136,summaryref2!P136,IF(AK23=summaryref2!B150,summaryref2!P150,"")))))))))))</f>
        <v/>
      </c>
      <c r="BA23" s="1110" t="str">
        <f>IF('A-80 DirEntInv'!BA22&lt;&gt;"",'A-80 DirEntInv'!BA22,IF(AK23=summaryref2!B24,summaryref2!Q24,IF(Summary!AK23=summaryref2!B38,summaryref2!Q38,IF(AK23=summaryref2!B52,summaryref2!Q52,IF(AK23=summaryref2!B66,summaryref2!Q66,IF(AK23=summaryref2!B80,summaryref2!Q80,IF(AK23=summaryref2!B94,summaryref2!Q94,IF(AK23=summaryref2!B108,summaryref2!Q108,IF(AK23=summaryref2!B122,summaryref2!Q122,IF(AK23=summaryref2!B136,summaryref2!Q136,IF(AK23=summaryref2!B150,summaryref2!Q150,"")))))))))))</f>
        <v/>
      </c>
      <c r="BB23" s="1110" t="str">
        <f>IF('A-80 DirEntInv'!BB22&lt;&gt;"",'A-80 DirEntInv'!BB22,IF(AK23=summaryref2!B24,summaryref2!R24,IF(Summary!AK23=summaryref2!B38,summaryref2!R38,IF(AK23=summaryref2!B52,summaryref2!R52,IF(AK23=summaryref2!B66,summaryref2!R66,IF(AK23=summaryref2!B80,summaryref2!R80,IF(AK23=summaryref2!B94,summaryref2!R94,IF(AK23=summaryref2!B108,summaryref2!R108,IF(AK23=summaryref2!B122,summaryref2!R122,IF(AK23=summaryref2!B136,summaryref2!R136,IF(AK23=summaryref2!B150,summaryref2!R150,"")))))))))))</f>
        <v/>
      </c>
      <c r="BC23" s="1110" t="str">
        <f>IF('A-80 DirEntInv'!BC22&lt;&gt;0,'A-80 DirEntInv'!BC22,IF(AK23=summaryref2!B24,summaryref2!S24,IF(Summary!AK23=summaryref2!B38,summaryref2!S38,IF(AK23=summaryref2!B52,summaryref2!S52,IF(AK23=summaryref2!B66,summaryref2!S66,IF(AK23=summaryref2!B80,summaryref2!S80,IF(AK23=summaryref2!B94,summaryref2!S94,IF(AK23=summaryref2!B108,summaryref2!S108,IF(AK23=summaryref2!B122,summaryref2!S122,IF(AK23=summaryref2!B136,summaryref2!S136,IF(AK23=summaryref2!B150,summaryref2!S150,"")))))))))))</f>
        <v/>
      </c>
      <c r="BD23" s="1111" t="str">
        <f>IF('A-80 DirEntInv'!BD22&lt;&gt;"",'A-80 DirEntInv'!BD22,IF(AK23=summaryref2!B24,summaryref2!T24,IF(Summary!AK23=summaryref2!B38,summaryref2!T38,IF(AK23=summaryref2!B52,summaryref2!T52,IF(AK23=summaryref2!B66,summaryref2!T66,IF(AK23=summaryref2!B80,summaryref2!T80,IF(AK23=summaryref2!B94,summaryref2!T94,IF(AK23=summaryref2!B108,summaryref2!T108,IF(AK23=summaryref2!B122,summaryref2!T122,IF(AK23=summaryref2!B136,summaryref2!T136,IF(AK23=summaryref2!B150,summaryref2!T150,"")))))))))))</f>
        <v/>
      </c>
      <c r="BE23" s="1184" t="str">
        <f>IF('A-80 DirEntInv'!BE22&lt;&gt;"",'A-80 DirEntInv'!BE22,IF(AK23=summaryref2!B24,summaryref2!U24,IF(Summary!AK23=summaryref2!B38,summaryref2!U38,IF(AK23=summaryref2!B52,summaryref2!U52,IF(AK23=summaryref2!B66,summaryref2!U66,IF(AK23=summaryref2!B80,summaryref2!U80,IF(AK23=summaryref2!B94,summaryref2!U94,IF(AK23=summaryref2!B108,summaryref2!U108,IF(AK23=summaryref2!B122,summaryref2!U122,IF(AK23=summaryref2!B136,summaryref2!U136,IF(AK23=summaryref2!B150,summaryref2!U150,"")))))))))))</f>
        <v/>
      </c>
      <c r="BF23" s="1432"/>
      <c r="BG23" s="1432"/>
      <c r="BJ23" s="1041" t="str">
        <f>Codes!$C$157</f>
        <v>AG - Automated Guideway (PT)</v>
      </c>
      <c r="BK23" s="1042" t="str">
        <f>Valid!$B$85</f>
        <v>Single Turnout</v>
      </c>
      <c r="BL23" s="1375" t="str">
        <f>IF('A-80 DirEntInv'!BL22&lt;&gt;"",'A-80 DirEntInv'!BL22,IF(BJ23=summaryref2!X17,summaryref2!Z17,IF(BJ23=summaryref2!X24,summaryref2!Z24,IF(BJ23=summaryref2!X31,summaryref2!Z31,IF(BJ23=summaryref2!X38,summaryref2!Z38,IF(BJ23=summaryref2!X45,summaryref2!Z45,IF(BJ23=summaryref2!X52,summaryref2!Z52,IF(BJ23=summaryref2!X59,summaryref2!Z59,IF(BJ23=summaryref2!X66,summaryref2!Z66,IF(BJ23=summaryref2!X73,summaryref2!Z73,IF(BJ23=summaryref2!X80,summaryref2!Z80,"")))))))))))</f>
        <v/>
      </c>
      <c r="BM23" s="1042" t="str">
        <f>VLOOKUP(BK23,Valid!$B$80:$C$86,2,FALSE)</f>
        <v>Each</v>
      </c>
      <c r="BN23" s="1209" t="str">
        <f>IF('A-80 DirEntInv'!BN22&lt;&gt;"",'A-80 DirEntInv'!BN22,IF(BJ23=summaryref2!X17,summaryref2!AB17,IF(BJ23=summaryref2!X24,summaryref2!AB24,IF(BJ23=summaryref2!X31,summaryref2!AB31,IF(BJ23=summaryref2!X38,summaryref2!AB38,IF(BJ23=summaryref2!X45,summaryref2!AB45,IF(BJ23=summaryref2!X52,summaryref2!AB52,IF(BJ23=summaryref2!X59,summaryref2!AB59,IF(BJ23=summaryref2!X66,summaryref2!AB66,IF(BJ23=summaryref2!X73,summaryref2!AB73,IF(BJ23=summaryref2!X80,summaryref2!AB80,"")))))))))))</f>
        <v/>
      </c>
      <c r="BO23" s="1116" t="str">
        <f>IF('A-80 DirEntInv'!BO22&lt;&gt;"",'A-80 DirEntInv'!BO22,IF(BJ23=summaryref2!X17,summaryref2!AC17,IF(BJ23=summaryref2!X24,summaryref2!AC24,IF(BJ23=summaryref2!X31,summaryref2!AC31,IF(BJ23=summaryref2!X38,summaryref2!AC38,IF(BJ23=summaryref2!X45,summaryref2!AC45,IF(BJ23=summaryref2!X52,summaryref2!AC52,IF(BJ23=summaryref2!X59,summaryref2!AC59,IF(BJ23=summaryref2!X66,summaryref2!AC66,IF(BJ23=summaryref2!X73,summaryref2!AC73,IF(BJ23=summaryref2!X80,summaryref2!AC80,"")))))))))))</f>
        <v/>
      </c>
      <c r="BP23" s="1384" t="str">
        <f>IF('A-80 DirEntInv'!BP22&lt;&gt;"",'A-80 DirEntInv'!BP22,IF(BJ23=summaryref2!X17,summaryref2!AD17,IF(BJ23=summaryref2!X24,summaryref2!AD24,IF(BJ23=summaryref2!X31,summaryref2!AD31,IF(BJ23=summaryref2!X38,summaryref2!AD38,IF(BJ23=summaryref2!X45,summaryref2!AD45,IF(BJ23=summaryref2!X52,summaryref2!AD52,IF(BJ23=summaryref2!X59,summaryref2!AD59,IF(BJ23=summaryref2!X66,summaryref2!AD66,IF(BJ23=summaryref2!X73,summaryref2!AD73,IF(BJ23=summaryref2!X80,summaryref2!AD80,"")))))))))))</f>
        <v/>
      </c>
      <c r="BS23" s="1472" t="str">
        <f ca="1">IF('A-80 DirEntInv'!BU22&lt;&gt;"",'A-80 DirEntInv'!BU22,IF(INDIRECT(ADDRESS(SumRef!DK29,SumRef!DK$16,,,SumRef!$E$6))="","",INDIRECT(ADDRESS(SumRef!DK29,SumRef!DK$16,,,SumRef!$E$6))))</f>
        <v/>
      </c>
      <c r="BT23" s="1458" t="str">
        <f ca="1">IF('A-80 DirEntInv'!BV22&lt;&gt;"",'A-80 DirEntInv'!BV22,IF(INDIRECT(ADDRESS(SumRef!DL29,SumRef!DL$16,,,SumRef!$E$6))="","",INDIRECT(ADDRESS(SumRef!DL29,SumRef!DL$16,,,SumRef!$E$6))))</f>
        <v/>
      </c>
      <c r="BU23" s="1177" t="str">
        <f ca="1">IF('A-80 DirEntInv'!BW22&lt;&gt;"",'A-80 DirEntInv'!BW22,IF(INDIRECT(ADDRESS(SumRef!DM29,SumRef!DM$16,,,SumRef!$E$6))="","",INDIRECT(ADDRESS(SumRef!DM29,SumRef!DM$16,,,SumRef!$E$6))))</f>
        <v/>
      </c>
      <c r="BV23" s="1460" t="str">
        <f ca="1">IF('A-80 DirEntInv'!BX22&lt;&gt;"",'A-80 DirEntInv'!BX22,IF(INDIRECT(ADDRESS(SumRef!DN29,SumRef!DN$16,,,SumRef!$E$6))="","",INDIRECT(ADDRESS(SumRef!DN29,SumRef!DN$16,,,SumRef!$E$6))))</f>
        <v/>
      </c>
      <c r="BW23" s="1460" t="str">
        <f ca="1">IF('A-80 DirEntInv'!BY22&lt;&gt;"",'A-80 DirEntInv'!BY22,IF(INDIRECT(ADDRESS(SumRef!DO29,SumRef!DO$16,,,SumRef!$E$6))="","",INDIRECT(ADDRESS(SumRef!DO29,SumRef!DO$16,,,SumRef!$E$6))))</f>
        <v/>
      </c>
      <c r="BX23" s="1116" t="str">
        <f ca="1">IF('A-80 DirEntInv'!BZ22&lt;&gt;"",'A-80 DirEntInv'!BZ22,IF(INDIRECT(ADDRESS(SumRef!DP29,SumRef!DP$16,,,SumRef!$E$6))="","",INDIRECT(ADDRESS(SumRef!DP29,SumRef!DP$16,,,SumRef!$E$6))))</f>
        <v/>
      </c>
      <c r="BY23" s="1461" t="str">
        <f ca="1">IF('A-80 DirEntInv'!CA22&lt;&gt;"",'A-80 DirEntInv'!CA22,IF(INDIRECT(ADDRESS(SumRef!DQ29,SumRef!DQ$16,,,SumRef!$E$6))="","",INDIRECT(ADDRESS(SumRef!DQ29,SumRef!DQ$16,,,SumRef!$E$6))))</f>
        <v/>
      </c>
      <c r="BZ23" s="1460" t="str">
        <f ca="1">IF('A-80 DirEntInv'!CB22&lt;&gt;"",'A-80 DirEntInv'!CB22,IF(INDIRECT(ADDRESS(SumRef!DR29,SumRef!DR$16,,,SumRef!$E$6))="","",INDIRECT(ADDRESS(SumRef!DR29,SumRef!DR$16,,,SumRef!$E$6))))</f>
        <v/>
      </c>
      <c r="CA23" s="1462" t="str">
        <f ca="1">IF('A-80 DirEntInv'!CC22&lt;&gt;"",'A-80 DirEntInv'!CC22,IF(INDIRECT(ADDRESS(SumRef!DS29,SumRef!DS$16,,,SumRef!$E$6))="","",INDIRECT(ADDRESS(SumRef!DS29,SumRef!DS$16,,,SumRef!$E$6))))</f>
        <v/>
      </c>
      <c r="CD23" s="1160" t="str">
        <f ca="1">IF('A-80 DirEntInv'!CF22&lt;&gt;"",'A-80 DirEntInv'!CF22,IF(INDIRECT(ADDRESS(SumRef!DV29,SumRef!DV$16,,,SumRef!$E$7))="","",INDIRECT(ADDRESS(SumRef!DV29,SumRef!DV$16,,,SumRef!$E$7))))</f>
        <v/>
      </c>
      <c r="CE23" s="1167" t="str">
        <f ca="1">IF('A-80 DirEntInv'!CG22&lt;&gt;"",'A-80 DirEntInv'!CG22,IF(INDIRECT(ADDRESS(SumRef!DW29,SumRef!DW$16,,,SumRef!$E$7))="","",INDIRECT(ADDRESS(SumRef!DW29,SumRef!DW$16,,,SumRef!$E$7))))</f>
        <v/>
      </c>
      <c r="CF23" s="1167" t="str">
        <f ca="1">IF('A-80 DirEntInv'!CH22&lt;&gt;"",'A-80 DirEntInv'!CH22,IF(INDIRECT(ADDRESS(SumRef!DX29,SumRef!DX$16,,,SumRef!$E$7))="","",INDIRECT(ADDRESS(SumRef!DX29,SumRef!DX$16,,,SumRef!$E$7))))</f>
        <v/>
      </c>
      <c r="CG23" s="1167" t="str">
        <f ca="1">IF('A-80 DirEntInv'!CI22&lt;&gt;"",'A-80 DirEntInv'!CI22,IF(INDIRECT(ADDRESS(SumRef!DY29,SumRef!DY$16,,,SumRef!$E$7))="","",INDIRECT(ADDRESS(SumRef!DY29,SumRef!DY$16,,,SumRef!$E$7))))</f>
        <v/>
      </c>
      <c r="CH23" s="1167" t="str">
        <f ca="1">IF('A-80 DirEntInv'!CJ22&lt;&gt;"",'A-80 DirEntInv'!CJ22,IF(INDIRECT(ADDRESS(SumRef!DZ29,SumRef!DZ$16,,,SumRef!$E$7))="","",INDIRECT(ADDRESS(SumRef!DZ29,SumRef!DZ$16,,,SumRef!$E$7))))</f>
        <v/>
      </c>
      <c r="CI23" s="1167" t="str">
        <f ca="1">IF('A-80 DirEntInv'!CK22&lt;&gt;"",'A-80 DirEntInv'!CK22,IF(INDIRECT(ADDRESS(SumRef!EA29,SumRef!EA$16,,,SumRef!$E$7))="","",INDIRECT(ADDRESS(SumRef!EA29,SumRef!EA$16,,,SumRef!$E$7))))</f>
        <v/>
      </c>
      <c r="CJ23" s="1114" t="str">
        <f ca="1">IF('A-80 DirEntInv'!CL22&lt;&gt;"",'A-80 DirEntInv'!CL22,IF(INDIRECT(ADDRESS(SumRef!EB29,SumRef!EB$16,,,SumRef!$E$7))="","",INDIRECT(ADDRESS(SumRef!EB29,SumRef!EB$16,,,SumRef!$E$7))))</f>
        <v/>
      </c>
      <c r="CK23" s="1114" t="str">
        <f ca="1">IF('A-80 DirEntInv'!CM22&lt;&gt;"",'A-80 DirEntInv'!CM22,IF(INDIRECT(ADDRESS(SumRef!EC29,SumRef!EC$16,,,SumRef!$E$7))="","",INDIRECT(ADDRESS(SumRef!EC29,SumRef!EC$16,,,SumRef!$E$7))))</f>
        <v/>
      </c>
      <c r="CL23" s="1113" t="str">
        <f ca="1">IF('A-80 DirEntInv'!CO22&lt;&gt;"",'A-80 DirEntInv'!CO22,IF(INDIRECT(ADDRESS(SumRef!ED29,SumRef!ED$16,,,SumRef!$E$7))="","",INDIRECT(ADDRESS(SumRef!ED29,SumRef!ED$16,,,SumRef!$E$7))))</f>
        <v/>
      </c>
      <c r="CM23" s="1114" t="str">
        <f ca="1">IF('A-80 DirEntInv'!CP22&lt;&gt;"",'A-80 DirEntInv'!CP22,IF(INDIRECT(ADDRESS(SumRef!EE29,SumRef!EE$16,,,SumRef!$E$7))="","",INDIRECT(ADDRESS(SumRef!EE29,SumRef!EE$16,,,SumRef!$E$7))))</f>
        <v/>
      </c>
      <c r="CN23" s="1114" t="str">
        <f ca="1">IF('A-80 DirEntInv'!CQ22&lt;&gt;"",'A-80 DirEntInv'!CQ22,IF(INDIRECT(ADDRESS(SumRef!EF29,SumRef!EF$16,,,SumRef!$E$7))="","",INDIRECT(ADDRESS(SumRef!EF29,SumRef!EF$16,,,SumRef!$E$7))))</f>
        <v/>
      </c>
      <c r="CO23" s="1113" t="str">
        <f ca="1">IF('A-80 DirEntInv'!CR22&lt;&gt;"",'A-80 DirEntInv'!CR22,IF(INDIRECT(ADDRESS(SumRef!EG29,SumRef!EG$16,,,SumRef!$E$7))="","",INDIRECT(ADDRESS(SumRef!EG29,SumRef!EG$16,,,SumRef!$E$7))))</f>
        <v/>
      </c>
      <c r="CP23" s="1114" t="str">
        <f ca="1">IF('A-80 DirEntInv'!CS22&lt;&gt;"",'A-80 DirEntInv'!CS22,IF(INDIRECT(ADDRESS(SumRef!EH29,SumRef!EH$16,,,SumRef!$E$7))="","",INDIRECT(ADDRESS(SumRef!EH29,SumRef!EH$16,,,SumRef!$E$7))))</f>
        <v/>
      </c>
      <c r="CQ23" s="1346" t="str">
        <f ca="1">IF('A-80 DirEntInv'!CT22&lt;&gt;"",'A-80 DirEntInv'!CT22,IF(INDIRECT(ADDRESS(SumRef!EI29,SumRef!EI$16,,,SumRef!$E$7))="","",INDIRECT(ADDRESS(SumRef!EI29,SumRef!EI$16,,,SumRef!$E$7))))</f>
        <v/>
      </c>
      <c r="CR23" s="1113" t="str">
        <f ca="1">IF('A-80 DirEntInv'!CU22&lt;&gt;"",'A-80 DirEntInv'!CU22,IF(INDIRECT(ADDRESS(SumRef!EJ29,SumRef!EJ$16,,,SumRef!$E$7))="","",INDIRECT(ADDRESS(SumRef!EJ29,SumRef!EJ$16,,,SumRef!$E$7))))</f>
        <v/>
      </c>
      <c r="CS23" s="1346" t="str">
        <f ca="1">IF('A-80 DirEntInv'!CV22&lt;&gt;"",'A-80 DirEntInv'!CV22,IF(INDIRECT(ADDRESS(SumRef!EM29,SumRef!EM$16,,,SumRef!$E$7))="","",INDIRECT(ADDRESS(SumRef!EM29,SumRef!EM$16,,,SumRef!$E$7))))</f>
        <v/>
      </c>
      <c r="CT23" s="1113" t="str">
        <f ca="1">IF('A-80 DirEntInv'!CW22&lt;&gt;"",'A-80 DirEntInv'!CW22,IF(INDIRECT(ADDRESS(SumRef!EN29,SumRef!EN$16,,,SumRef!$E$7))="","",INDIRECT(ADDRESS(SumRef!EN29,SumRef!EN$16,,,SumRef!$E$7))))</f>
        <v/>
      </c>
      <c r="CU23" s="1113" t="str">
        <f ca="1">IF('A-80 DirEntInv'!CX22&lt;&gt;"",'A-80 DirEntInv'!CX22,IF(INDIRECT(ADDRESS(SumRef!EO29,SumRef!EO$16,,,SumRef!$E$7))="","",INDIRECT(ADDRESS(SumRef!EO29,SumRef!EO$16,,,SumRef!$E$7))))</f>
        <v/>
      </c>
      <c r="CV23" s="1113" t="str">
        <f ca="1">IF('A-80 DirEntInv'!CY22&lt;&gt;"",'A-80 DirEntInv'!CY22,IF(INDIRECT(ADDRESS(SumRef!EP29,SumRef!EP$16,,,SumRef!$E$7))="","",INDIRECT(ADDRESS(SumRef!EP29,SumRef!EP$16,,,SumRef!$E$7))))</f>
        <v/>
      </c>
      <c r="CW23" s="1114" t="str">
        <f ca="1">IF('A-80 DirEntInv'!CZ22&lt;&gt;"",'A-80 DirEntInv'!CZ22,IF(INDIRECT(ADDRESS(SumRef!ES29,SumRef!ES$16,,,SumRef!$E$7))="","",INDIRECT(ADDRESS(SumRef!ES29,SumRef!ES$16,,,SumRef!$E$7))))</f>
        <v/>
      </c>
      <c r="CX23" s="1167" t="str">
        <f ca="1">IF('A-80 DirEntInv'!DA22&lt;&gt;"",'A-80 DirEntInv'!DA22,IF(INDIRECT(ADDRESS(SumRef!ET29,SumRef!ET$16,,,SumRef!$E$7))="","",INDIRECT(ADDRESS(SumRef!ET29,SumRef!ET$16,,,SumRef!$E$7))))</f>
        <v/>
      </c>
      <c r="CY23" s="1167" t="str">
        <f ca="1">IF('A-80 DirEntInv'!DB22&lt;&gt;"",'A-80 DirEntInv'!DB22,IF(INDIRECT(ADDRESS(SumRef!EU29,SumRef!EU$16,,,SumRef!$E$7))="","",INDIRECT(ADDRESS(SumRef!EU29,SumRef!EU$16,,,SumRef!$E$7))))</f>
        <v/>
      </c>
      <c r="CZ23" s="1167" t="b">
        <f ca="1">IF('A-80 DirEntInv'!DC22&lt;&gt;"",'A-80 DirEntInv'!DC22,IF(INDIRECT(ADDRESS(SumRef!EV29,SumRef!EV$16,,,SumRef!$E$7))="","",INDIRECT(ADDRESS(SumRef!EV29,SumRef!EV$16,,,SumRef!$E$7))))</f>
        <v>0</v>
      </c>
      <c r="DA23" s="1373" t="str">
        <f ca="1">IF('A-80 DirEntInv'!DD22&lt;&gt;"",'A-80 DirEntInv'!DD22,IF(INDIRECT(ADDRESS(SumRef!EW29,SumRef!EW$16,,,SumRef!$E$7))="","",INDIRECT(ADDRESS(SumRef!EW29,SumRef!EW$16,,,SumRef!$E$7))))</f>
        <v/>
      </c>
      <c r="DB23" s="1373" t="b">
        <f ca="1">IF('A-80 DirEntInv'!DE22&lt;&gt;"",'A-80 DirEntInv'!DE22,IF(INDIRECT(ADDRESS(SumRef!EX29,SumRef!EX$16,,,SumRef!$E$7))="","",INDIRECT(ADDRESS(SumRef!EX29,SumRef!EX$16,,,SumRef!$E$7))))</f>
        <v>0</v>
      </c>
      <c r="DC23" s="1114" t="b">
        <f ca="1">IF('A-80 DirEntInv'!DF22&lt;&gt;"",'A-80 DirEntInv'!DF22,IF(INDIRECT(ADDRESS(SumRef!EY29,SumRef!EY$16,,,SumRef!$E$7))="","",INDIRECT(ADDRESS(SumRef!EY29,SumRef!EY$16,,,SumRef!$E$7))))</f>
        <v>0</v>
      </c>
      <c r="DD23" s="1115" t="str">
        <f ca="1">IF('A-80 DirEntInv'!DG22&lt;&gt;"",'A-80 DirEntInv'!DG22,IF(INDIRECT(ADDRESS(SumRef!EZ29,SumRef!EZ$16,,,SumRef!$E$7))="","",INDIRECT(ADDRESS(SumRef!EZ29,SumRef!EZ$16,,,SumRef!$E$7))))</f>
        <v/>
      </c>
    </row>
    <row r="24" spans="1:108" s="588" customFormat="1" ht="13.5" thickBot="1" x14ac:dyDescent="0.25">
      <c r="A24" s="589">
        <f t="shared" si="0"/>
        <v>14</v>
      </c>
      <c r="B24" s="1155" t="str">
        <f ca="1">IF('A-80 DirEntInv'!B23&lt;&gt;"",'A-80 DirEntInv'!B23,IF(INDIRECT(ADDRESS(SumRef!AQ30,SumRef!AQ$16,,,SumRef!$B$7))="","",INDIRECT(ADDRESS(SumRef!AQ30,SumRef!AQ$16,,,SumRef!$B$7))))</f>
        <v/>
      </c>
      <c r="C24" s="1097" t="str">
        <f ca="1">IF('A-80 DirEntInv'!C23&lt;&gt;"",'A-80 DirEntInv'!C23,IF(INDIRECT(ADDRESS(SumRef!AR30,SumRef!AR$16,,,SumRef!$B$7))="","",INDIRECT(ADDRESS(SumRef!AR30,SumRef!AR$16,,,SumRef!$B$7))))</f>
        <v/>
      </c>
      <c r="D24" s="1097" t="str">
        <f ca="1">IF('A-80 DirEntInv'!D23&lt;&gt;"",'A-80 DirEntInv'!D23,IF(INDIRECT(ADDRESS(SumRef!AS30,SumRef!AS$16,,,SumRef!$B$7))="","",INDIRECT(ADDRESS(SumRef!AS30,SumRef!AS$16,,,SumRef!$B$7))))</f>
        <v/>
      </c>
      <c r="E24" s="1097" t="str">
        <f ca="1">IF('A-80 DirEntInv'!E23&lt;&gt;"",'A-80 DirEntInv'!E23,IF(INDIRECT(ADDRESS(SumRef!AT30,SumRef!AT$16,,,SumRef!$B$7))="","",INDIRECT(ADDRESS(SumRef!AT30,SumRef!AT$16,,,SumRef!$B$7))))</f>
        <v/>
      </c>
      <c r="F24" s="1097" t="str">
        <f ca="1">IF('A-80 DirEntInv'!F23&lt;&gt;"",'A-80 DirEntInv'!F23,IF(INDIRECT(ADDRESS(SumRef!AU30,SumRef!AU$16,,,SumRef!$B$7))="","",INDIRECT(ADDRESS(SumRef!AU30,SumRef!AU$16,,,SumRef!$B$7))))</f>
        <v/>
      </c>
      <c r="G24" s="1158" t="str">
        <f ca="1">IF('A-80 DirEntInv'!G23&lt;&gt;"",'A-80 DirEntInv'!G23,IF(INDIRECT(ADDRESS(SumRef!AV30,SumRef!AV$16,,,SumRef!$B$7))="","",INDIRECT(ADDRESS(SumRef!AV30,SumRef!AV$16,,,SumRef!$B$7))))</f>
        <v/>
      </c>
      <c r="H24" s="1097" t="str">
        <f ca="1">IF('A-80 DirEntInv'!H23&lt;&gt;"",'A-80 DirEntInv'!H23,IF(INDIRECT(ADDRESS(SumRef!AW30,SumRef!AW$16,,,SumRef!$B$7))="","",INDIRECT(ADDRESS(SumRef!AW30,SumRef!AW$16,,,SumRef!$B$7))))</f>
        <v/>
      </c>
      <c r="I24" s="1097" t="str">
        <f ca="1">IF('A-80 DirEntInv'!I23&lt;&gt;"",'A-80 DirEntInv'!I23,IF(INDIRECT(ADDRESS(SumRef!AX30,SumRef!AX$16,,,SumRef!$B$7))="","",INDIRECT(ADDRESS(SumRef!AX30,SumRef!AX$16,,,SumRef!$B$7))))</f>
        <v/>
      </c>
      <c r="J24" s="1098" t="str">
        <f ca="1">IF('A-80 DirEntInv'!J23&lt;&gt;"",'A-80 DirEntInv'!J23,IF(INDIRECT(ADDRESS(SumRef!AY30,SumRef!AY$16,,,SumRef!$B$7))="","",INDIRECT(ADDRESS(SumRef!AY30,SumRef!AY$16,,,SumRef!$B$7))))</f>
        <v/>
      </c>
      <c r="K24" s="1099" t="str">
        <f ca="1">IF('A-80 DirEntInv'!K23&lt;&gt;"",'A-80 DirEntInv'!K23,IF(INDIRECT(ADDRESS(SumRef!AZ30,SumRef!AZ$16,,,SumRef!$B$7))="","",INDIRECT(ADDRESS(SumRef!AZ30,SumRef!AZ$16,,,SumRef!$B$7))))</f>
        <v/>
      </c>
      <c r="L24" s="1100" t="str">
        <f ca="1">IF('A-80 DirEntInv'!L23&lt;&gt;"",'A-80 DirEntInv'!L23,IF(INDIRECT(ADDRESS(SumRef!BA30,SumRef!BA$16,,,SumRef!$B$7))="","",INDIRECT(ADDRESS(SumRef!BA30,SumRef!BA$16,,,SumRef!$B$7))))</f>
        <v/>
      </c>
      <c r="M24" s="1101" t="str">
        <f ca="1">IF('A-80 DirEntInv'!M23&lt;&gt;"",'A-80 DirEntInv'!M23,IF(INDIRECT(ADDRESS(SumRef!BB30,SumRef!BB$16,,,SumRef!$B$7))="","",INDIRECT(ADDRESS(SumRef!BB30,SumRef!BB$16,,,SumRef!$B$7))))</f>
        <v/>
      </c>
      <c r="N24" s="1098" t="str">
        <f ca="1">IF('A-80 DirEntInv'!N23&lt;&gt;"",'A-80 DirEntInv'!N23,IF(INDIRECT(ADDRESS(SumRef!BC30,SumRef!BC$16,,,SumRef!$B$7))="","",INDIRECT(ADDRESS(SumRef!BC30,SumRef!BC$16,,,SumRef!$B$7))))</f>
        <v/>
      </c>
      <c r="O24" s="1102" t="str">
        <f ca="1">IF('A-80 DirEntInv'!O23&lt;&gt;"",'A-80 DirEntInv'!O23,IF(INDIRECT(ADDRESS(SumRef!BD30,SumRef!BD$16,,,SumRef!$B$7))="","",INDIRECT(ADDRESS(SumRef!BD30,SumRef!BD$16,,,SumRef!$B$7))))</f>
        <v/>
      </c>
      <c r="Q24" s="589"/>
      <c r="R24" s="1103" t="str">
        <f ca="1">IF('A-80 DirEntInv'!R23&lt;&gt;"",'A-80 DirEntInv'!R23,IF(INDIRECT(ADDRESS(SumRef!BH30,SumRef!BH$16,,,SumRef!$B$8))="","",INDIRECT(ADDRESS(SumRef!BH30,SumRef!BH$16,,,SumRef!$B$8))))</f>
        <v/>
      </c>
      <c r="S24" s="1104" t="str">
        <f ca="1">IF('A-80 DirEntInv'!S23&lt;&gt;"",'A-80 DirEntInv'!S23,IF(INDIRECT(ADDRESS(SumRef!BI30,SumRef!BI$16,,,SumRef!$B$8))="","",INDIRECT(ADDRESS(SumRef!BI30,SumRef!BI$16,,,SumRef!$B$8))))</f>
        <v/>
      </c>
      <c r="T24" s="1104" t="str">
        <f ca="1">IF('A-80 DirEntInv'!T23&lt;&gt;"",'A-80 DirEntInv'!T23,IF(INDIRECT(ADDRESS(SumRef!BJ30,SumRef!BJ$16,,,SumRef!$B$8))="","",INDIRECT(ADDRESS(SumRef!BJ30,SumRef!BJ$16,,,SumRef!$B$8))))</f>
        <v/>
      </c>
      <c r="U24" s="1104" t="str">
        <f ca="1">IF('A-80 DirEntInv'!U23&lt;&gt;"",'A-80 DirEntInv'!U23,IF(INDIRECT(ADDRESS(SumRef!BK30,SumRef!BK$16,,,SumRef!$B$8))="","",INDIRECT(ADDRESS(SumRef!BK30,SumRef!BK$16,,,SumRef!$B$8))))</f>
        <v/>
      </c>
      <c r="V24" s="1104" t="str">
        <f ca="1">IF('A-80 DirEntInv'!V23&lt;&gt;"",'A-80 DirEntInv'!V23,IF(INDIRECT(ADDRESS(SumRef!BL30,SumRef!BL$16,,,SumRef!$B$8))="","",INDIRECT(ADDRESS(SumRef!BL30,SumRef!BL$16,,,SumRef!$B$8))))</f>
        <v/>
      </c>
      <c r="W24" s="1354" t="str">
        <f ca="1">IF('A-80 DirEntInv'!W23&lt;&gt;"",'A-80 DirEntInv'!W23,IF(INDIRECT(ADDRESS(SumRef!BM30,SumRef!BM$16,,,SumRef!$B$8))="","",INDIRECT(ADDRESS(SumRef!BM30,SumRef!BM$16,,,SumRef!$B$8))))</f>
        <v/>
      </c>
      <c r="X24" s="1203" t="str">
        <f ca="1">IF('A-80 DirEntInv'!X23&lt;&gt;"",'A-80 DirEntInv'!X23,IF(INDIRECT(ADDRESS(SumRef!BN30,SumRef!BN$16,,,SumRef!$B$8))="","",INDIRECT(ADDRESS(SumRef!BN30,SumRef!BN$16,,,SumRef!$B$8))))</f>
        <v/>
      </c>
      <c r="Y24" s="1203" t="str">
        <f ca="1">IF('A-80 DirEntInv'!Y23&lt;&gt;"",'A-80 DirEntInv'!Y23,IF(INDIRECT(ADDRESS(SumRef!BO30,SumRef!BO$16,,,SumRef!$B$8))="","",INDIRECT(ADDRESS(SumRef!BO30,SumRef!BO$16,,,SumRef!$B$8))))</f>
        <v/>
      </c>
      <c r="Z24" s="1104" t="str">
        <f ca="1">IF('A-80 DirEntInv'!Z23&lt;&gt;"",'A-80 DirEntInv'!Z23,IF(INDIRECT(ADDRESS(SumRef!BP30,SumRef!BP$16,,,SumRef!$B$8))="","",INDIRECT(ADDRESS(SumRef!BP30,SumRef!BP$16,,,SumRef!$B$8))))</f>
        <v/>
      </c>
      <c r="AA24" s="1104" t="str">
        <f ca="1">IF('A-80 DirEntInv'!AA23&lt;&gt;"",'A-80 DirEntInv'!AA23,IF(INDIRECT(ADDRESS(SumRef!BQ30,SumRef!BQ$16,,,SumRef!$B$8))="","",INDIRECT(ADDRESS(SumRef!BQ30,SumRef!BQ$16,,,SumRef!$B$8))))</f>
        <v/>
      </c>
      <c r="AB24" s="1106" t="str">
        <f ca="1">IF('A-80 DirEntInv'!AB23&lt;&gt;"",'A-80 DirEntInv'!AB23,IF(INDIRECT(ADDRESS(SumRef!BR30,SumRef!BR$16,,,SumRef!$B$8))="","",INDIRECT(ADDRESS(SumRef!BR30,SumRef!BR$16,,,SumRef!$B$8))))</f>
        <v/>
      </c>
      <c r="AC24" s="1107" t="str">
        <f ca="1">IF('A-80 DirEntInv'!AC23&lt;&gt;"",'A-80 DirEntInv'!AC23,IF(INDIRECT(ADDRESS(SumRef!BS30,SumRef!BS$16,,,SumRef!$B$8))="","",INDIRECT(ADDRESS(SumRef!BS30,SumRef!BS$16,,,SumRef!$B$8))))</f>
        <v/>
      </c>
      <c r="AD24" s="1349" t="str">
        <f ca="1">IF('A-80 DirEntInv'!AD23&lt;&gt;"",'A-80 DirEntInv'!AD23,IF(INDIRECT(ADDRESS(SumRef!BT30,SumRef!BT$16,,,SumRef!$B$8))="","",INDIRECT(ADDRESS(SumRef!BT30,SumRef!BT$16,,,SumRef!$B$8))))</f>
        <v/>
      </c>
      <c r="AE24" s="1137" t="str">
        <f ca="1">IF('A-80 DirEntInv'!AE23&lt;&gt;"",'A-80 DirEntInv'!AE23,IF(INDIRECT(ADDRESS(SumRef!BU30,SumRef!BU$16,,,SumRef!$B$8))="","",INDIRECT(ADDRESS(SumRef!BU30,SumRef!BU$16,,,SumRef!$B$8))))</f>
        <v/>
      </c>
      <c r="AF24" s="1346" t="str">
        <f ca="1">IF('A-80 DirEntInv'!AF23&lt;&gt;"",'A-80 DirEntInv'!AF23,IF(INDIRECT(ADDRESS(SumRef!BV30,SumRef!BV$16,,,SumRef!$B$8))="","",INDIRECT(ADDRESS(SumRef!BV30,SumRef!BV$16,,,SumRef!$B$8))))</f>
        <v/>
      </c>
      <c r="AG24" s="1105" t="str">
        <f ca="1">IF('A-80 DirEntInv'!AG23&lt;&gt;"",'A-80 DirEntInv'!AG23,IF(INDIRECT(ADDRESS(SumRef!BW30,SumRef!BW$16,,,SumRef!$B$8))="","",INDIRECT(ADDRESS(SumRef!BW30,SumRef!BW$16,,,SumRef!$B$8))))</f>
        <v/>
      </c>
      <c r="AH24" s="1357" t="str">
        <f ca="1">IF('A-80 DirEntInv'!AH23&lt;&gt;"",'A-80 DirEntInv'!AH23,IF(INDIRECT(ADDRESS(SumRef!BX30,SumRef!BX$16,,,SumRef!$B$8))="","",INDIRECT(ADDRESS(SumRef!BX30,SumRef!BX$16,,,SumRef!$B$8))))</f>
        <v/>
      </c>
      <c r="AK24" s="1047" t="str">
        <f>Codes!$C$156</f>
        <v>AG - Automated Guideway (DO)</v>
      </c>
      <c r="AL24" s="1050" t="str">
        <f>Valid!$B$91</f>
        <v>Train Control &amp; Signaling</v>
      </c>
      <c r="AM24" s="1185"/>
      <c r="AN24" s="1050"/>
      <c r="AO24" s="1185"/>
      <c r="AP24" s="1050"/>
      <c r="AQ24" s="1386" t="str">
        <f>IF('A-80 DirEntInv'!AQ23&lt;&gt;"",'A-80 DirEntInv'!AQ23,IF(AK24=summaryref2!B25,summaryref2!G25,IF(Summary!AK24=summaryref2!B39,summaryref2!G39,IF(AK24=summaryref2!B53,summaryref2!G53,IF(AK24=summaryref2!B67,summaryref2!G67,IF(AK24=summaryref2!B81,summaryref2!G81,IF(AK24=summaryref2!B95,summaryref2!G95,IF(AK24=summaryref2!B109,summaryref2!G109,IF(AK24=summaryref2!B123,summaryref2!G123,IF(AK24=summaryref2!B137,summaryref2!G137,IF(AK24=summaryref2!B151,summaryref2!G151,"")))))))))))</f>
        <v/>
      </c>
      <c r="AR24" s="1386" t="str">
        <f>IF('A-80 DirEntInv'!AR23&lt;&gt;"",'A-80 DirEntInv'!AR23,IF(AK24=summaryref2!B25,summaryref2!H25,IF(Summary!AK24=summaryref2!B39,summaryref2!H39,IF(AK24=summaryref2!B53,summaryref2!H53,IF(AK24=summaryref2!B67,summaryref2!H67,IF(AK24=summaryref2!B81,summaryref2!H81,IF(AK24=summaryref2!B95,summaryref2!H95,IF(AK24=summaryref2!B109,summaryref2!H109,IF(AK24=summaryref2!B123,summaryref2!H123,IF(AK24=summaryref2!B137,summaryref2!H137,IF(AK24=summaryref2!B151,summaryref2!H151,"")))))))))))</f>
        <v/>
      </c>
      <c r="AS24" s="1387" t="str">
        <f>IF('A-80 DirEntInv'!AS23&lt;&gt;"",'A-80 DirEntInv'!AS23,IF(AK24=summaryref2!B25,summaryref2!I25,IF(Summary!AK24=summaryref2!B39,summaryref2!I39,IF(AK24=summaryref2!B53,summaryref2!I53,IF(AK24=summaryref2!B67,summaryref2!I67,IF(AK24=summaryref2!B81,summaryref2!I81,IF(AK24=summaryref2!B95,summaryref2!I95,IF(AK24=summaryref2!B109,summaryref2!I109,IF(AK24=summaryref2!B123,summaryref2!I123,IF(AK24=summaryref2!B137,summaryref2!I137,IF(AK24=summaryref2!B151,summaryref2!I151,"")))))))))))</f>
        <v/>
      </c>
      <c r="AT24" s="1387" t="str">
        <f>IF('A-80 DirEntInv'!AT23&lt;&gt;"",'A-80 DirEntInv'!AT23,IF(AK24=summaryref2!B25,summaryref2!J25,IF(Summary!AK24=summaryref2!B39,summaryref2!J39,IF(AK24=summaryref2!B53,summaryref2!J53,IF(AK24=summaryref2!B67,summaryref2!J67,IF(AK24=summaryref2!B81,summaryref2!J81,IF(AK24=summaryref2!B95,summaryref2!J95,IF(AK24=summaryref2!B109,summaryref2!J109,IF(AK24=summaryref2!B123,summaryref2!J123,IF(AK24=summaryref2!B137,summaryref2!J137,IF(AK24=summaryref2!B151,summaryref2!J151,"")))))))))))</f>
        <v/>
      </c>
      <c r="AU24" s="1387" t="str">
        <f>IF('A-80 DirEntInv'!AU23&lt;&gt;"",'A-80 DirEntInv'!AU23,IF(AK24=summaryref2!B25,summaryref2!K25,IF(Summary!AK24=summaryref2!B39,summaryref2!K39,IF(AK24=summaryref2!B53,summaryref2!K53,IF(AK24=summaryref2!B67,summaryref2!K67,IF(AK24=summaryref2!B81,summaryref2!K81,IF(AK24=summaryref2!B95,summaryref2!K95,IF(AK24=summaryref2!B109,summaryref2!K109,IF(AK24=summaryref2!B123,summaryref2!K123,IF(AK24=summaryref2!B137,summaryref2!K137,IF(AK24=summaryref2!B151,summaryref2!K151,"")))))))))))</f>
        <v/>
      </c>
      <c r="AV24" s="1387" t="str">
        <f>IF('A-80 DirEntInv'!AV23&lt;&gt;"",'A-80 DirEntInv'!AV23,IF(AK24=summaryref2!B25,summaryref2!L25,IF(Summary!AK24=summaryref2!B39,summaryref2!L39,IF(AK24=summaryref2!B53,summaryref2!L53,IF(AK24=summaryref2!B67,summaryref2!L67,IF(AK24=summaryref2!B81,summaryref2!L81,IF(AK24=summaryref2!B95,summaryref2!L95,IF(AK24=summaryref2!B109,summaryref2!L109,IF(AK24=summaryref2!B123,summaryref2!L123,IF(AK24=summaryref2!B137,summaryref2!L137,IF(AK24=summaryref2!B151,summaryref2!L151,"")))))))))))</f>
        <v/>
      </c>
      <c r="AW24" s="1387" t="str">
        <f>IF('A-80 DirEntInv'!AW23&lt;&gt;"",'A-80 DirEntInv'!AW23,IF(AK24=summaryref2!B25,summaryref2!M25,IF(Summary!AK24=summaryref2!B39,summaryref2!M39,IF(AK24=summaryref2!B53,summaryref2!M53,IF(AK24=summaryref2!B67,summaryref2!M67,IF(AK24=summaryref2!B81,summaryref2!M81,IF(AK24=summaryref2!B95,summaryref2!M95,IF(AK24=summaryref2!B109,summaryref2!M109,IF(AK24=summaryref2!B123,summaryref2!M123,IF(AK24=summaryref2!B137,summaryref2!M137,IF(AK24=summaryref2!B151,summaryref2!M151,"")))))))))))</f>
        <v/>
      </c>
      <c r="AX24" s="1387" t="str">
        <f>IF('A-80 DirEntInv'!AX23&lt;&gt;"",'A-80 DirEntInv'!AX23,IF(AK24=summaryref2!B25,summaryref2!N25,IF(Summary!AK24=summaryref2!B39,summaryref2!N39,IF(AK24=summaryref2!B53,summaryref2!N53,IF(AK24=summaryref2!B67,summaryref2!N67,IF(AK24=summaryref2!B81,summaryref2!N81,IF(AK24=summaryref2!B95,summaryref2!N95,IF(AK24=summaryref2!B109,summaryref2!N109,IF(AK24=summaryref2!B123,summaryref2!N123,IF(AK24=summaryref2!B137,summaryref2!N137,IF(AK24=summaryref2!B151,summaryref2!N151,"")))))))))))</f>
        <v/>
      </c>
      <c r="AY24" s="1387" t="str">
        <f>IF('A-80 DirEntInv'!AY23&lt;&gt;"",'A-80 DirEntInv'!AY23,IF(AK24=summaryref2!B25,summaryref2!O25,IF(Summary!AK24=summaryref2!B39,summaryref2!O39,IF(AK24=summaryref2!B53,summaryref2!O53,IF(AK24=summaryref2!B67,summaryref2!O67,IF(AK24=summaryref2!B81,summaryref2!O81,IF(AK24=summaryref2!B95,summaryref2!O95,IF(AK24=summaryref2!B109,summaryref2!O109,IF(AK24=summaryref2!B123,summaryref2!O123,IF(AK24=summaryref2!B137,summaryref2!O137,IF(AK24=summaryref2!B151,summaryref2!O151,"")))))))))))</f>
        <v/>
      </c>
      <c r="AZ24" s="1387" t="str">
        <f>IF('A-80 DirEntInv'!AZ23&lt;&gt;"",'A-80 DirEntInv'!AZ23,IF(AK24=summaryref2!B25,summaryref2!P25,IF(Summary!AK24=summaryref2!B39,summaryref2!P39,IF(AK24=summaryref2!B53,summaryref2!P53,IF(AK24=summaryref2!B67,summaryref2!P67,IF(AK24=summaryref2!B81,summaryref2!P81,IF(AK24=summaryref2!B95,summaryref2!P95,IF(AK24=summaryref2!B109,summaryref2!P109,IF(AK24=summaryref2!B123,summaryref2!P123,IF(AK24=summaryref2!B137,summaryref2!P137,IF(AK24=summaryref2!B151,summaryref2!P151,"")))))))))))</f>
        <v/>
      </c>
      <c r="BA24" s="1387" t="str">
        <f>IF('A-80 DirEntInv'!BA23&lt;&gt;"",'A-80 DirEntInv'!BA23,IF(AK24=summaryref2!B25,summaryref2!Q25,IF(Summary!AK24=summaryref2!B39,summaryref2!Q39,IF(AK24=summaryref2!B53,summaryref2!Q53,IF(AK24=summaryref2!B67,summaryref2!Q67,IF(AK24=summaryref2!B81,summaryref2!Q81,IF(AK24=summaryref2!B95,summaryref2!Q95,IF(AK24=summaryref2!B109,summaryref2!Q109,IF(AK24=summaryref2!B123,summaryref2!Q123,IF(AK24=summaryref2!B137,summaryref2!Q137,IF(AK24=summaryref2!B151,summaryref2!Q151,"")))))))))))</f>
        <v/>
      </c>
      <c r="BB24" s="1387" t="str">
        <f>IF('A-80 DirEntInv'!BB23&lt;&gt;"",'A-80 DirEntInv'!BB23,IF(AK24=summaryref2!B25,summaryref2!R25,IF(Summary!AK24=summaryref2!B39,summaryref2!R39,IF(AK24=summaryref2!B53,summaryref2!R53,IF(AK24=summaryref2!B67,summaryref2!R67,IF(AK24=summaryref2!B81,summaryref2!R81,IF(AK24=summaryref2!B95,summaryref2!R95,IF(AK24=summaryref2!B109,summaryref2!R109,IF(AK24=summaryref2!B123,summaryref2!R123,IF(AK24=summaryref2!B137,summaryref2!R137,IF(AK24=summaryref2!B151,summaryref2!R151,"")))))))))))</f>
        <v/>
      </c>
      <c r="BC24" s="1387" t="str">
        <f>IF('A-80 DirEntInv'!BC23&lt;&gt;0,'A-80 DirEntInv'!BC23,IF(AK24=summaryref2!B25,summaryref2!S25,IF(Summary!AK24=summaryref2!B39,summaryref2!S39,IF(AK24=summaryref2!B53,summaryref2!S53,IF(AK24=summaryref2!B67,summaryref2!S67,IF(AK24=summaryref2!B81,summaryref2!S81,IF(AK24=summaryref2!B95,summaryref2!S95,IF(AK24=summaryref2!B109,summaryref2!S109,IF(AK24=summaryref2!B123,summaryref2!S123,IF(AK24=summaryref2!B137,summaryref2!S137,IF(AK24=summaryref2!B151,summaryref2!S151,"")))))))))))</f>
        <v/>
      </c>
      <c r="BD24" s="1118" t="str">
        <f>IF('A-80 DirEntInv'!BD23&lt;&gt;"",'A-80 DirEntInv'!BD23,IF(AK24=summaryref2!B25,summaryref2!T25,IF(Summary!AK24=summaryref2!B39,summaryref2!T39,IF(AK24=summaryref2!B53,summaryref2!T53,IF(AK24=summaryref2!B67,summaryref2!T67,IF(AK24=summaryref2!B81,summaryref2!T81,IF(AK24=summaryref2!B95,summaryref2!T95,IF(AK24=summaryref2!B109,summaryref2!T109,IF(AK24=summaryref2!B123,summaryref2!T123,IF(AK24=summaryref2!B137,summaryref2!T137,IF(AK24=summaryref2!B151,summaryref2!T151,"")))))))))))</f>
        <v/>
      </c>
      <c r="BE24" s="1186" t="str">
        <f>IF('A-80 DirEntInv'!BE23&lt;&gt;"",'A-80 DirEntInv'!BE23,IF(AK24=summaryref2!B25,summaryref2!U25,IF(Summary!AK24=summaryref2!B39,summaryref2!U39,IF(AK24=summaryref2!B53,summaryref2!U53,IF(AK24=summaryref2!B67,summaryref2!U67,IF(AK24=summaryref2!B81,summaryref2!U81,IF(AK24=summaryref2!B95,summaryref2!U95,IF(AK24=summaryref2!B109,summaryref2!U109,IF(AK24=summaryref2!B123,summaryref2!U123,IF(AK24=summaryref2!B137,summaryref2!U137,IF(AK24=summaryref2!B151,summaryref2!U151,"")))))))))))</f>
        <v/>
      </c>
      <c r="BF24" s="1432"/>
      <c r="BG24" s="1432"/>
      <c r="BJ24" s="1047" t="str">
        <f>Codes!$C$157</f>
        <v>AG - Automated Guideway (PT)</v>
      </c>
      <c r="BK24" s="1050" t="str">
        <f>Valid!$B$86</f>
        <v>Grade Crossings</v>
      </c>
      <c r="BL24" s="1369" t="str">
        <f>IF('A-80 DirEntInv'!BL23&lt;&gt;"",'A-80 DirEntInv'!BL23,IF(BJ24=summaryref2!X18,summaryref2!Z18,IF(BJ24=summaryref2!X25,summaryref2!Z25,IF(BJ24=summaryref2!X32,summaryref2!Z32,IF(BJ24=summaryref2!X39,summaryref2!Z39,IF(BJ24=summaryref2!X46,summaryref2!Z46,IF(BJ24=summaryref2!X53,summaryref2!Z53,IF(BJ24=summaryref2!X60,summaryref2!Z60,IF(BJ24=summaryref2!X67,summaryref2!Z67,IF(BJ24=summaryref2!X74,summaryref2!Z74,IF(BJ24=summaryref2!X81,summaryref2!Z81,"")))))))))))</f>
        <v/>
      </c>
      <c r="BM24" s="1050" t="str">
        <f>VLOOKUP(BK24,Valid!$B$80:$C$86,2,FALSE)</f>
        <v>Each</v>
      </c>
      <c r="BN24" s="1210" t="str">
        <f>IF('A-80 DirEntInv'!BN23&lt;&gt;"",'A-80 DirEntInv'!BN23,IF(BJ24=summaryref2!X18,summaryref2!AB18,IF(BJ24=summaryref2!X25,summaryref2!AB25,IF(BJ24=summaryref2!X32,summaryref2!AB32,IF(BJ24=summaryref2!X39,summaryref2!AB39,IF(BJ24=summaryref2!X46,summaryref2!AB46,IF(BJ24=summaryref2!X53,summaryref2!AB53,IF(BJ24=summaryref2!X60,summaryref2!AB60,IF(BJ24=summaryref2!X67,summaryref2!AB67,IF(BJ24=summaryref2!X74,summaryref2!AB74,IF(BJ24=summaryref2!X81,summaryref2!AB81,"")))))))))))</f>
        <v/>
      </c>
      <c r="BO24" s="1117" t="str">
        <f>IF('A-80 DirEntInv'!BO23&lt;&gt;"",'A-80 DirEntInv'!BO23,IF(BJ24=summaryref2!X18,summaryref2!AC18,IF(BJ24=summaryref2!X25,summaryref2!AC25,IF(BJ24=summaryref2!X32,summaryref2!AC32,IF(BJ24=summaryref2!X39,summaryref2!AC39,IF(BJ24=summaryref2!X46,summaryref2!AC46,IF(BJ24=summaryref2!X53,summaryref2!AC53,IF(BJ24=summaryref2!X60,summaryref2!AC60,IF(BJ24=summaryref2!X67,summaryref2!AC67,IF(BJ24=summaryref2!X74,summaryref2!AC74,IF(BJ24=summaryref2!X81,summaryref2!AC81,"")))))))))))</f>
        <v/>
      </c>
      <c r="BP24" s="1321" t="str">
        <f>IF('A-80 DirEntInv'!BP23&lt;&gt;"",'A-80 DirEntInv'!BP23,IF(BJ24=summaryref2!X18,summaryref2!AD18,IF(BJ24=summaryref2!X25,summaryref2!AD25,IF(BJ24=summaryref2!X32,summaryref2!AD32,IF(BJ24=summaryref2!X39,summaryref2!AD39,IF(BJ24=summaryref2!X46,summaryref2!AD46,IF(BJ24=summaryref2!X53,summaryref2!AD53,IF(BJ24=summaryref2!X60,summaryref2!AD60,IF(BJ24=summaryref2!X67,summaryref2!AD67,IF(BJ24=summaryref2!X74,summaryref2!AD74,IF(BJ24=summaryref2!X81,summaryref2!AD81,"")))))))))))</f>
        <v/>
      </c>
      <c r="BS24" s="1472" t="str">
        <f ca="1">IF('A-80 DirEntInv'!BU23&lt;&gt;"",'A-80 DirEntInv'!BU23,IF(INDIRECT(ADDRESS(SumRef!DK30,SumRef!DK$16,,,SumRef!$E$6))="","",INDIRECT(ADDRESS(SumRef!DK30,SumRef!DK$16,,,SumRef!$E$6))))</f>
        <v/>
      </c>
      <c r="BT24" s="1458" t="str">
        <f ca="1">IF('A-80 DirEntInv'!BV23&lt;&gt;"",'A-80 DirEntInv'!BV23,IF(INDIRECT(ADDRESS(SumRef!DL30,SumRef!DL$16,,,SumRef!$E$6))="","",INDIRECT(ADDRESS(SumRef!DL30,SumRef!DL$16,,,SumRef!$E$6))))</f>
        <v/>
      </c>
      <c r="BU24" s="1177" t="str">
        <f ca="1">IF('A-80 DirEntInv'!BW23&lt;&gt;"",'A-80 DirEntInv'!BW23,IF(INDIRECT(ADDRESS(SumRef!DM30,SumRef!DM$16,,,SumRef!$E$6))="","",INDIRECT(ADDRESS(SumRef!DM30,SumRef!DM$16,,,SumRef!$E$6))))</f>
        <v/>
      </c>
      <c r="BV24" s="1460" t="str">
        <f ca="1">IF('A-80 DirEntInv'!BX23&lt;&gt;"",'A-80 DirEntInv'!BX23,IF(INDIRECT(ADDRESS(SumRef!DN30,SumRef!DN$16,,,SumRef!$E$6))="","",INDIRECT(ADDRESS(SumRef!DN30,SumRef!DN$16,,,SumRef!$E$6))))</f>
        <v/>
      </c>
      <c r="BW24" s="1460" t="str">
        <f ca="1">IF('A-80 DirEntInv'!BY23&lt;&gt;"",'A-80 DirEntInv'!BY23,IF(INDIRECT(ADDRESS(SumRef!DO30,SumRef!DO$16,,,SumRef!$E$6))="","",INDIRECT(ADDRESS(SumRef!DO30,SumRef!DO$16,,,SumRef!$E$6))))</f>
        <v/>
      </c>
      <c r="BX24" s="1116" t="str">
        <f ca="1">IF('A-80 DirEntInv'!BZ23&lt;&gt;"",'A-80 DirEntInv'!BZ23,IF(INDIRECT(ADDRESS(SumRef!DP30,SumRef!DP$16,,,SumRef!$E$6))="","",INDIRECT(ADDRESS(SumRef!DP30,SumRef!DP$16,,,SumRef!$E$6))))</f>
        <v/>
      </c>
      <c r="BY24" s="1461" t="str">
        <f ca="1">IF('A-80 DirEntInv'!CA23&lt;&gt;"",'A-80 DirEntInv'!CA23,IF(INDIRECT(ADDRESS(SumRef!DQ30,SumRef!DQ$16,,,SumRef!$E$6))="","",INDIRECT(ADDRESS(SumRef!DQ30,SumRef!DQ$16,,,SumRef!$E$6))))</f>
        <v/>
      </c>
      <c r="BZ24" s="1460" t="str">
        <f ca="1">IF('A-80 DirEntInv'!CB23&lt;&gt;"",'A-80 DirEntInv'!CB23,IF(INDIRECT(ADDRESS(SumRef!DR30,SumRef!DR$16,,,SumRef!$E$6))="","",INDIRECT(ADDRESS(SumRef!DR30,SumRef!DR$16,,,SumRef!$E$6))))</f>
        <v/>
      </c>
      <c r="CA24" s="1462" t="str">
        <f ca="1">IF('A-80 DirEntInv'!CC23&lt;&gt;"",'A-80 DirEntInv'!CC23,IF(INDIRECT(ADDRESS(SumRef!DS30,SumRef!DS$16,,,SumRef!$E$6))="","",INDIRECT(ADDRESS(SumRef!DS30,SumRef!DS$16,,,SumRef!$E$6))))</f>
        <v/>
      </c>
      <c r="CD24" s="1160" t="str">
        <f ca="1">IF('A-80 DirEntInv'!CF23&lt;&gt;"",'A-80 DirEntInv'!CF23,IF(INDIRECT(ADDRESS(SumRef!DV30,SumRef!DV$16,,,SumRef!$E$7))="","",INDIRECT(ADDRESS(SumRef!DV30,SumRef!DV$16,,,SumRef!$E$7))))</f>
        <v/>
      </c>
      <c r="CE24" s="1167" t="str">
        <f ca="1">IF('A-80 DirEntInv'!CG23&lt;&gt;"",'A-80 DirEntInv'!CG23,IF(INDIRECT(ADDRESS(SumRef!DW30,SumRef!DW$16,,,SumRef!$E$7))="","",INDIRECT(ADDRESS(SumRef!DW30,SumRef!DW$16,,,SumRef!$E$7))))</f>
        <v/>
      </c>
      <c r="CF24" s="1167" t="str">
        <f ca="1">IF('A-80 DirEntInv'!CH23&lt;&gt;"",'A-80 DirEntInv'!CH23,IF(INDIRECT(ADDRESS(SumRef!DX30,SumRef!DX$16,,,SumRef!$E$7))="","",INDIRECT(ADDRESS(SumRef!DX30,SumRef!DX$16,,,SumRef!$E$7))))</f>
        <v/>
      </c>
      <c r="CG24" s="1167" t="str">
        <f ca="1">IF('A-80 DirEntInv'!CI23&lt;&gt;"",'A-80 DirEntInv'!CI23,IF(INDIRECT(ADDRESS(SumRef!DY30,SumRef!DY$16,,,SumRef!$E$7))="","",INDIRECT(ADDRESS(SumRef!DY30,SumRef!DY$16,,,SumRef!$E$7))))</f>
        <v/>
      </c>
      <c r="CH24" s="1167" t="str">
        <f ca="1">IF('A-80 DirEntInv'!CJ23&lt;&gt;"",'A-80 DirEntInv'!CJ23,IF(INDIRECT(ADDRESS(SumRef!DZ30,SumRef!DZ$16,,,SumRef!$E$7))="","",INDIRECT(ADDRESS(SumRef!DZ30,SumRef!DZ$16,,,SumRef!$E$7))))</f>
        <v/>
      </c>
      <c r="CI24" s="1167" t="str">
        <f ca="1">IF('A-80 DirEntInv'!CK23&lt;&gt;"",'A-80 DirEntInv'!CK23,IF(INDIRECT(ADDRESS(SumRef!EA30,SumRef!EA$16,,,SumRef!$E$7))="","",INDIRECT(ADDRESS(SumRef!EA30,SumRef!EA$16,,,SumRef!$E$7))))</f>
        <v/>
      </c>
      <c r="CJ24" s="1114" t="str">
        <f ca="1">IF('A-80 DirEntInv'!CL23&lt;&gt;"",'A-80 DirEntInv'!CL23,IF(INDIRECT(ADDRESS(SumRef!EB30,SumRef!EB$16,,,SumRef!$E$7))="","",INDIRECT(ADDRESS(SumRef!EB30,SumRef!EB$16,,,SumRef!$E$7))))</f>
        <v/>
      </c>
      <c r="CK24" s="1114" t="str">
        <f ca="1">IF('A-80 DirEntInv'!CM23&lt;&gt;"",'A-80 DirEntInv'!CM23,IF(INDIRECT(ADDRESS(SumRef!EC30,SumRef!EC$16,,,SumRef!$E$7))="","",INDIRECT(ADDRESS(SumRef!EC30,SumRef!EC$16,,,SumRef!$E$7))))</f>
        <v/>
      </c>
      <c r="CL24" s="1113" t="str">
        <f ca="1">IF('A-80 DirEntInv'!CO23&lt;&gt;"",'A-80 DirEntInv'!CO23,IF(INDIRECT(ADDRESS(SumRef!ED30,SumRef!ED$16,,,SumRef!$E$7))="","",INDIRECT(ADDRESS(SumRef!ED30,SumRef!ED$16,,,SumRef!$E$7))))</f>
        <v/>
      </c>
      <c r="CM24" s="1114" t="str">
        <f ca="1">IF('A-80 DirEntInv'!CP23&lt;&gt;"",'A-80 DirEntInv'!CP23,IF(INDIRECT(ADDRESS(SumRef!EE30,SumRef!EE$16,,,SumRef!$E$7))="","",INDIRECT(ADDRESS(SumRef!EE30,SumRef!EE$16,,,SumRef!$E$7))))</f>
        <v/>
      </c>
      <c r="CN24" s="1114" t="str">
        <f ca="1">IF('A-80 DirEntInv'!CQ23&lt;&gt;"",'A-80 DirEntInv'!CQ23,IF(INDIRECT(ADDRESS(SumRef!EF30,SumRef!EF$16,,,SumRef!$E$7))="","",INDIRECT(ADDRESS(SumRef!EF30,SumRef!EF$16,,,SumRef!$E$7))))</f>
        <v/>
      </c>
      <c r="CO24" s="1113" t="str">
        <f ca="1">IF('A-80 DirEntInv'!CR23&lt;&gt;"",'A-80 DirEntInv'!CR23,IF(INDIRECT(ADDRESS(SumRef!EG30,SumRef!EG$16,,,SumRef!$E$7))="","",INDIRECT(ADDRESS(SumRef!EG30,SumRef!EG$16,,,SumRef!$E$7))))</f>
        <v/>
      </c>
      <c r="CP24" s="1114" t="str">
        <f ca="1">IF('A-80 DirEntInv'!CS23&lt;&gt;"",'A-80 DirEntInv'!CS23,IF(INDIRECT(ADDRESS(SumRef!EH30,SumRef!EH$16,,,SumRef!$E$7))="","",INDIRECT(ADDRESS(SumRef!EH30,SumRef!EH$16,,,SumRef!$E$7))))</f>
        <v/>
      </c>
      <c r="CQ24" s="1346" t="str">
        <f ca="1">IF('A-80 DirEntInv'!CT23&lt;&gt;"",'A-80 DirEntInv'!CT23,IF(INDIRECT(ADDRESS(SumRef!EI30,SumRef!EI$16,,,SumRef!$E$7))="","",INDIRECT(ADDRESS(SumRef!EI30,SumRef!EI$16,,,SumRef!$E$7))))</f>
        <v/>
      </c>
      <c r="CR24" s="1113" t="str">
        <f ca="1">IF('A-80 DirEntInv'!CU23&lt;&gt;"",'A-80 DirEntInv'!CU23,IF(INDIRECT(ADDRESS(SumRef!EJ30,SumRef!EJ$16,,,SumRef!$E$7))="","",INDIRECT(ADDRESS(SumRef!EJ30,SumRef!EJ$16,,,SumRef!$E$7))))</f>
        <v/>
      </c>
      <c r="CS24" s="1346" t="str">
        <f ca="1">IF('A-80 DirEntInv'!CV23&lt;&gt;"",'A-80 DirEntInv'!CV23,IF(INDIRECT(ADDRESS(SumRef!EM30,SumRef!EM$16,,,SumRef!$E$7))="","",INDIRECT(ADDRESS(SumRef!EM30,SumRef!EM$16,,,SumRef!$E$7))))</f>
        <v/>
      </c>
      <c r="CT24" s="1113" t="str">
        <f ca="1">IF('A-80 DirEntInv'!CW23&lt;&gt;"",'A-80 DirEntInv'!CW23,IF(INDIRECT(ADDRESS(SumRef!EN30,SumRef!EN$16,,,SumRef!$E$7))="","",INDIRECT(ADDRESS(SumRef!EN30,SumRef!EN$16,,,SumRef!$E$7))))</f>
        <v/>
      </c>
      <c r="CU24" s="1113" t="str">
        <f ca="1">IF('A-80 DirEntInv'!CX23&lt;&gt;"",'A-80 DirEntInv'!CX23,IF(INDIRECT(ADDRESS(SumRef!EO30,SumRef!EO$16,,,SumRef!$E$7))="","",INDIRECT(ADDRESS(SumRef!EO30,SumRef!EO$16,,,SumRef!$E$7))))</f>
        <v/>
      </c>
      <c r="CV24" s="1113" t="str">
        <f ca="1">IF('A-80 DirEntInv'!CY23&lt;&gt;"",'A-80 DirEntInv'!CY23,IF(INDIRECT(ADDRESS(SumRef!EP30,SumRef!EP$16,,,SumRef!$E$7))="","",INDIRECT(ADDRESS(SumRef!EP30,SumRef!EP$16,,,SumRef!$E$7))))</f>
        <v/>
      </c>
      <c r="CW24" s="1114" t="str">
        <f ca="1">IF('A-80 DirEntInv'!CZ23&lt;&gt;"",'A-80 DirEntInv'!CZ23,IF(INDIRECT(ADDRESS(SumRef!ES30,SumRef!ES$16,,,SumRef!$E$7))="","",INDIRECT(ADDRESS(SumRef!ES30,SumRef!ES$16,,,SumRef!$E$7))))</f>
        <v/>
      </c>
      <c r="CX24" s="1167" t="str">
        <f ca="1">IF('A-80 DirEntInv'!DA23&lt;&gt;"",'A-80 DirEntInv'!DA23,IF(INDIRECT(ADDRESS(SumRef!ET30,SumRef!ET$16,,,SumRef!$E$7))="","",INDIRECT(ADDRESS(SumRef!ET30,SumRef!ET$16,,,SumRef!$E$7))))</f>
        <v/>
      </c>
      <c r="CY24" s="1167" t="str">
        <f ca="1">IF('A-80 DirEntInv'!DB23&lt;&gt;"",'A-80 DirEntInv'!DB23,IF(INDIRECT(ADDRESS(SumRef!EU30,SumRef!EU$16,,,SumRef!$E$7))="","",INDIRECT(ADDRESS(SumRef!EU30,SumRef!EU$16,,,SumRef!$E$7))))</f>
        <v/>
      </c>
      <c r="CZ24" s="1167" t="b">
        <f ca="1">IF('A-80 DirEntInv'!DC23&lt;&gt;"",'A-80 DirEntInv'!DC23,IF(INDIRECT(ADDRESS(SumRef!EV30,SumRef!EV$16,,,SumRef!$E$7))="","",INDIRECT(ADDRESS(SumRef!EV30,SumRef!EV$16,,,SumRef!$E$7))))</f>
        <v>0</v>
      </c>
      <c r="DA24" s="1373" t="str">
        <f ca="1">IF('A-80 DirEntInv'!DD23&lt;&gt;"",'A-80 DirEntInv'!DD23,IF(INDIRECT(ADDRESS(SumRef!EW30,SumRef!EW$16,,,SumRef!$E$7))="","",INDIRECT(ADDRESS(SumRef!EW30,SumRef!EW$16,,,SumRef!$E$7))))</f>
        <v/>
      </c>
      <c r="DB24" s="1373" t="b">
        <f ca="1">IF('A-80 DirEntInv'!DE23&lt;&gt;"",'A-80 DirEntInv'!DE23,IF(INDIRECT(ADDRESS(SumRef!EX30,SumRef!EX$16,,,SumRef!$E$7))="","",INDIRECT(ADDRESS(SumRef!EX30,SumRef!EX$16,,,SumRef!$E$7))))</f>
        <v>0</v>
      </c>
      <c r="DC24" s="1114" t="b">
        <f ca="1">IF('A-80 DirEntInv'!DF23&lt;&gt;"",'A-80 DirEntInv'!DF23,IF(INDIRECT(ADDRESS(SumRef!EY30,SumRef!EY$16,,,SumRef!$E$7))="","",INDIRECT(ADDRESS(SumRef!EY30,SumRef!EY$16,,,SumRef!$E$7))))</f>
        <v>0</v>
      </c>
      <c r="DD24" s="1115" t="str">
        <f ca="1">IF('A-80 DirEntInv'!DG23&lt;&gt;"",'A-80 DirEntInv'!DG23,IF(INDIRECT(ADDRESS(SumRef!EZ30,SumRef!EZ$16,,,SumRef!$E$7))="","",INDIRECT(ADDRESS(SumRef!EZ30,SumRef!EZ$16,,,SumRef!$E$7))))</f>
        <v/>
      </c>
    </row>
    <row r="25" spans="1:108" s="588" customFormat="1" x14ac:dyDescent="0.2">
      <c r="A25" s="589">
        <f t="shared" si="0"/>
        <v>15</v>
      </c>
      <c r="B25" s="1155" t="str">
        <f ca="1">IF('A-80 DirEntInv'!B24&lt;&gt;"",'A-80 DirEntInv'!B24,IF(INDIRECT(ADDRESS(SumRef!AQ31,SumRef!AQ$16,,,SumRef!$B$7))="","",INDIRECT(ADDRESS(SumRef!AQ31,SumRef!AQ$16,,,SumRef!$B$7))))</f>
        <v/>
      </c>
      <c r="C25" s="1097" t="str">
        <f ca="1">IF('A-80 DirEntInv'!C24&lt;&gt;"",'A-80 DirEntInv'!C24,IF(INDIRECT(ADDRESS(SumRef!AR31,SumRef!AR$16,,,SumRef!$B$7))="","",INDIRECT(ADDRESS(SumRef!AR31,SumRef!AR$16,,,SumRef!$B$7))))</f>
        <v/>
      </c>
      <c r="D25" s="1097" t="str">
        <f ca="1">IF('A-80 DirEntInv'!D24&lt;&gt;"",'A-80 DirEntInv'!D24,IF(INDIRECT(ADDRESS(SumRef!AS31,SumRef!AS$16,,,SumRef!$B$7))="","",INDIRECT(ADDRESS(SumRef!AS31,SumRef!AS$16,,,SumRef!$B$7))))</f>
        <v/>
      </c>
      <c r="E25" s="1097" t="str">
        <f ca="1">IF('A-80 DirEntInv'!E24&lt;&gt;"",'A-80 DirEntInv'!E24,IF(INDIRECT(ADDRESS(SumRef!AT31,SumRef!AT$16,,,SumRef!$B$7))="","",INDIRECT(ADDRESS(SumRef!AT31,SumRef!AT$16,,,SumRef!$B$7))))</f>
        <v/>
      </c>
      <c r="F25" s="1097" t="str">
        <f ca="1">IF('A-80 DirEntInv'!F24&lt;&gt;"",'A-80 DirEntInv'!F24,IF(INDIRECT(ADDRESS(SumRef!AU31,SumRef!AU$16,,,SumRef!$B$7))="","",INDIRECT(ADDRESS(SumRef!AU31,SumRef!AU$16,,,SumRef!$B$7))))</f>
        <v/>
      </c>
      <c r="G25" s="1158" t="str">
        <f ca="1">IF('A-80 DirEntInv'!G24&lt;&gt;"",'A-80 DirEntInv'!G24,IF(INDIRECT(ADDRESS(SumRef!AV31,SumRef!AV$16,,,SumRef!$B$7))="","",INDIRECT(ADDRESS(SumRef!AV31,SumRef!AV$16,,,SumRef!$B$7))))</f>
        <v/>
      </c>
      <c r="H25" s="1097" t="str">
        <f ca="1">IF('A-80 DirEntInv'!H24&lt;&gt;"",'A-80 DirEntInv'!H24,IF(INDIRECT(ADDRESS(SumRef!AW31,SumRef!AW$16,,,SumRef!$B$7))="","",INDIRECT(ADDRESS(SumRef!AW31,SumRef!AW$16,,,SumRef!$B$7))))</f>
        <v/>
      </c>
      <c r="I25" s="1097" t="str">
        <f ca="1">IF('A-80 DirEntInv'!I24&lt;&gt;"",'A-80 DirEntInv'!I24,IF(INDIRECT(ADDRESS(SumRef!AX31,SumRef!AX$16,,,SumRef!$B$7))="","",INDIRECT(ADDRESS(SumRef!AX31,SumRef!AX$16,,,SumRef!$B$7))))</f>
        <v/>
      </c>
      <c r="J25" s="1098" t="str">
        <f ca="1">IF('A-80 DirEntInv'!J24&lt;&gt;"",'A-80 DirEntInv'!J24,IF(INDIRECT(ADDRESS(SumRef!AY31,SumRef!AY$16,,,SumRef!$B$7))="","",INDIRECT(ADDRESS(SumRef!AY31,SumRef!AY$16,,,SumRef!$B$7))))</f>
        <v/>
      </c>
      <c r="K25" s="1099" t="str">
        <f ca="1">IF('A-80 DirEntInv'!K24&lt;&gt;"",'A-80 DirEntInv'!K24,IF(INDIRECT(ADDRESS(SumRef!AZ31,SumRef!AZ$16,,,SumRef!$B$7))="","",INDIRECT(ADDRESS(SumRef!AZ31,SumRef!AZ$16,,,SumRef!$B$7))))</f>
        <v/>
      </c>
      <c r="L25" s="1100" t="str">
        <f ca="1">IF('A-80 DirEntInv'!L24&lt;&gt;"",'A-80 DirEntInv'!L24,IF(INDIRECT(ADDRESS(SumRef!BA31,SumRef!BA$16,,,SumRef!$B$7))="","",INDIRECT(ADDRESS(SumRef!BA31,SumRef!BA$16,,,SumRef!$B$7))))</f>
        <v/>
      </c>
      <c r="M25" s="1101" t="str">
        <f ca="1">IF('A-80 DirEntInv'!M24&lt;&gt;"",'A-80 DirEntInv'!M24,IF(INDIRECT(ADDRESS(SumRef!BB31,SumRef!BB$16,,,SumRef!$B$7))="","",INDIRECT(ADDRESS(SumRef!BB31,SumRef!BB$16,,,SumRef!$B$7))))</f>
        <v/>
      </c>
      <c r="N25" s="1098" t="str">
        <f ca="1">IF('A-80 DirEntInv'!N24&lt;&gt;"",'A-80 DirEntInv'!N24,IF(INDIRECT(ADDRESS(SumRef!BC31,SumRef!BC$16,,,SumRef!$B$7))="","",INDIRECT(ADDRESS(SumRef!BC31,SumRef!BC$16,,,SumRef!$B$7))))</f>
        <v/>
      </c>
      <c r="O25" s="1102" t="str">
        <f ca="1">IF('A-80 DirEntInv'!O24&lt;&gt;"",'A-80 DirEntInv'!O24,IF(INDIRECT(ADDRESS(SumRef!BD31,SumRef!BD$16,,,SumRef!$B$7))="","",INDIRECT(ADDRESS(SumRef!BD31,SumRef!BD$16,,,SumRef!$B$7))))</f>
        <v/>
      </c>
      <c r="Q25" s="589"/>
      <c r="R25" s="1103" t="str">
        <f ca="1">IF('A-80 DirEntInv'!R24&lt;&gt;"",'A-80 DirEntInv'!R24,IF(INDIRECT(ADDRESS(SumRef!BH31,SumRef!BH$16,,,SumRef!$B$8))="","",INDIRECT(ADDRESS(SumRef!BH31,SumRef!BH$16,,,SumRef!$B$8))))</f>
        <v/>
      </c>
      <c r="S25" s="1104" t="str">
        <f ca="1">IF('A-80 DirEntInv'!S24&lt;&gt;"",'A-80 DirEntInv'!S24,IF(INDIRECT(ADDRESS(SumRef!BI31,SumRef!BI$16,,,SumRef!$B$8))="","",INDIRECT(ADDRESS(SumRef!BI31,SumRef!BI$16,,,SumRef!$B$8))))</f>
        <v/>
      </c>
      <c r="T25" s="1104" t="str">
        <f ca="1">IF('A-80 DirEntInv'!T24&lt;&gt;"",'A-80 DirEntInv'!T24,IF(INDIRECT(ADDRESS(SumRef!BJ31,SumRef!BJ$16,,,SumRef!$B$8))="","",INDIRECT(ADDRESS(SumRef!BJ31,SumRef!BJ$16,,,SumRef!$B$8))))</f>
        <v/>
      </c>
      <c r="U25" s="1104" t="str">
        <f ca="1">IF('A-80 DirEntInv'!U24&lt;&gt;"",'A-80 DirEntInv'!U24,IF(INDIRECT(ADDRESS(SumRef!BK31,SumRef!BK$16,,,SumRef!$B$8))="","",INDIRECT(ADDRESS(SumRef!BK31,SumRef!BK$16,,,SumRef!$B$8))))</f>
        <v/>
      </c>
      <c r="V25" s="1104" t="str">
        <f ca="1">IF('A-80 DirEntInv'!V24&lt;&gt;"",'A-80 DirEntInv'!V24,IF(INDIRECT(ADDRESS(SumRef!BL31,SumRef!BL$16,,,SumRef!$B$8))="","",INDIRECT(ADDRESS(SumRef!BL31,SumRef!BL$16,,,SumRef!$B$8))))</f>
        <v/>
      </c>
      <c r="W25" s="1354" t="str">
        <f ca="1">IF('A-80 DirEntInv'!W24&lt;&gt;"",'A-80 DirEntInv'!W24,IF(INDIRECT(ADDRESS(SumRef!BM31,SumRef!BM$16,,,SumRef!$B$8))="","",INDIRECT(ADDRESS(SumRef!BM31,SumRef!BM$16,,,SumRef!$B$8))))</f>
        <v/>
      </c>
      <c r="X25" s="1203" t="str">
        <f ca="1">IF('A-80 DirEntInv'!X24&lt;&gt;"",'A-80 DirEntInv'!X24,IF(INDIRECT(ADDRESS(SumRef!BN31,SumRef!BN$16,,,SumRef!$B$8))="","",INDIRECT(ADDRESS(SumRef!BN31,SumRef!BN$16,,,SumRef!$B$8))))</f>
        <v/>
      </c>
      <c r="Y25" s="1203" t="str">
        <f ca="1">IF('A-80 DirEntInv'!Y24&lt;&gt;"",'A-80 DirEntInv'!Y24,IF(INDIRECT(ADDRESS(SumRef!BO31,SumRef!BO$16,,,SumRef!$B$8))="","",INDIRECT(ADDRESS(SumRef!BO31,SumRef!BO$16,,,SumRef!$B$8))))</f>
        <v/>
      </c>
      <c r="Z25" s="1104" t="str">
        <f ca="1">IF('A-80 DirEntInv'!Z24&lt;&gt;"",'A-80 DirEntInv'!Z24,IF(INDIRECT(ADDRESS(SumRef!BP31,SumRef!BP$16,,,SumRef!$B$8))="","",INDIRECT(ADDRESS(SumRef!BP31,SumRef!BP$16,,,SumRef!$B$8))))</f>
        <v/>
      </c>
      <c r="AA25" s="1104" t="str">
        <f ca="1">IF('A-80 DirEntInv'!AA24&lt;&gt;"",'A-80 DirEntInv'!AA24,IF(INDIRECT(ADDRESS(SumRef!BQ31,SumRef!BQ$16,,,SumRef!$B$8))="","",INDIRECT(ADDRESS(SumRef!BQ31,SumRef!BQ$16,,,SumRef!$B$8))))</f>
        <v/>
      </c>
      <c r="AB25" s="1106" t="str">
        <f ca="1">IF('A-80 DirEntInv'!AB24&lt;&gt;"",'A-80 DirEntInv'!AB24,IF(INDIRECT(ADDRESS(SumRef!BR31,SumRef!BR$16,,,SumRef!$B$8))="","",INDIRECT(ADDRESS(SumRef!BR31,SumRef!BR$16,,,SumRef!$B$8))))</f>
        <v/>
      </c>
      <c r="AC25" s="1107" t="str">
        <f ca="1">IF('A-80 DirEntInv'!AC24&lt;&gt;"",'A-80 DirEntInv'!AC24,IF(INDIRECT(ADDRESS(SumRef!BS31,SumRef!BS$16,,,SumRef!$B$8))="","",INDIRECT(ADDRESS(SumRef!BS31,SumRef!BS$16,,,SumRef!$B$8))))</f>
        <v/>
      </c>
      <c r="AD25" s="1349" t="str">
        <f ca="1">IF('A-80 DirEntInv'!AD24&lt;&gt;"",'A-80 DirEntInv'!AD24,IF(INDIRECT(ADDRESS(SumRef!BT31,SumRef!BT$16,,,SumRef!$B$8))="","",INDIRECT(ADDRESS(SumRef!BT31,SumRef!BT$16,,,SumRef!$B$8))))</f>
        <v/>
      </c>
      <c r="AE25" s="1137" t="str">
        <f ca="1">IF('A-80 DirEntInv'!AE24&lt;&gt;"",'A-80 DirEntInv'!AE24,IF(INDIRECT(ADDRESS(SumRef!BU31,SumRef!BU$16,,,SumRef!$B$8))="","",INDIRECT(ADDRESS(SumRef!BU31,SumRef!BU$16,,,SumRef!$B$8))))</f>
        <v/>
      </c>
      <c r="AF25" s="1346" t="str">
        <f ca="1">IF('A-80 DirEntInv'!AF24&lt;&gt;"",'A-80 DirEntInv'!AF24,IF(INDIRECT(ADDRESS(SumRef!BV31,SumRef!BV$16,,,SumRef!$B$8))="","",INDIRECT(ADDRESS(SumRef!BV31,SumRef!BV$16,,,SumRef!$B$8))))</f>
        <v/>
      </c>
      <c r="AG25" s="1105" t="str">
        <f ca="1">IF('A-80 DirEntInv'!AG24&lt;&gt;"",'A-80 DirEntInv'!AG24,IF(INDIRECT(ADDRESS(SumRef!BW31,SumRef!BW$16,,,SumRef!$B$8))="","",INDIRECT(ADDRESS(SumRef!BW31,SumRef!BW$16,,,SumRef!$B$8))))</f>
        <v/>
      </c>
      <c r="AH25" s="1357" t="str">
        <f ca="1">IF('A-80 DirEntInv'!AH24&lt;&gt;"",'A-80 DirEntInv'!AH24,IF(INDIRECT(ADDRESS(SumRef!BX31,SumRef!BX$16,,,SumRef!$B$8))="","",INDIRECT(ADDRESS(SumRef!BX31,SumRef!BX$16,,,SumRef!$B$8))))</f>
        <v/>
      </c>
      <c r="AK25" s="1043" t="str">
        <f>Codes!$C$157</f>
        <v>AG - Automated Guideway (PT)</v>
      </c>
      <c r="AL25" s="1303" t="str">
        <f>Valid!$B$71</f>
        <v>At-Grade/Ballast (including expressway)</v>
      </c>
      <c r="AM25" s="1092" t="str">
        <f>IF('A-80 DirEntInv'!AM24&lt;&gt;"",'A-80 DirEntInv'!AM24,IF(AK25=summaryref2!B12,summaryref2!D12,IF(Summary!AK25=summaryref2!B26,summaryref2!D26,IF(AK25=summaryref2!B40,summaryref2!D40,IF(AK25=summaryref2!B54,summaryref2!D54,IF(AK25=summaryref2!B68,summaryref2!D68,IF(AK25=summaryref2!B82,summaryref2!D82,IF(AK25=summaryref2!B96,summaryref2!D96,IF(AK25=summaryref2!B110,summaryref2!D110,IF(AK25=summaryref2!B124,summaryref2!D124,IF(AK25=summaryref2!B138,summaryref2!D138,"")))))))))))</f>
        <v/>
      </c>
      <c r="AN25" s="1127" t="str">
        <f ca="1">IF('A-80 DirEntInv'!AN10&lt;&gt;"",'A-80 DirEntInv'!AN10,IF(INDIRECT(ADDRESS(SumRef!#REF!,SumRef!CG$16,,,SumRef!$C$7))="","",INDIRECT(ADDRESS(SumRef!#REF!,SumRef!CG$16,,,SumRef!$C$7))))</f>
        <v>Linear Feet</v>
      </c>
      <c r="AO25" s="1092" t="str">
        <f>IF('A-80 DirEntInv'!AO24&lt;&gt;"",'A-80 DirEntInv'!AO24,IF(AK25=summaryref2!B12,summaryref2!F12,IF(Summary!AK25=summaryref2!B26,summaryref2!F26,IF(AK25=summaryref2!B40,summaryref2!F40,IF(AK25=summaryref2!B54,summaryref2!F54,IF(AK25=summaryref2!B68,summaryref2!F68,IF(AK25=summaryref2!B82,summaryref2!F82,IF(AK25=summaryref2!B96,summaryref2!F96,IF(AK25=summaryref2!B110,summaryref2!F110,IF(AK25=summaryref2!B124,summaryref2!F124,IF(AK25=summaryref2!B138,summaryref2!F138,"")))))))))))</f>
        <v/>
      </c>
      <c r="AP25" s="1127" t="str">
        <f ca="1">IF('A-80 DirEntInv'!AP10&lt;&gt;"",'A-80 DirEntInv'!AP10,IF(INDIRECT(ADDRESS(SumRef!#REF!,SumRef!#REF!,,,SumRef!$C$7))="","",INDIRECT(ADDRESS(SumRef!#REF!,SumRef!#REF!,,,SumRef!$C$7))))</f>
        <v>Track Feet</v>
      </c>
      <c r="AQ25" s="1150" t="str">
        <f>IF('A-80 DirEntInv'!AQ24&lt;&gt;"",'A-80 DirEntInv'!AQ24,IF(AK25=summaryref2!B12,summaryref2!G12,IF(Summary!AK25=summaryref2!B26,summaryref2!G26,IF(AK25=summaryref2!B40,summaryref2!G40,IF(AK25=summaryref2!B54,summaryref2!G54,IF(AK25=summaryref2!B68,summaryref2!G68,IF(AK25=summaryref2!B82,summaryref2!G82,IF(AK25=summaryref2!B96,summaryref2!G96,IF(AK25=summaryref2!B110,summaryref2!G110,IF(AK25=summaryref2!B124,summaryref2!G124,IF(AK25=summaryref2!B138,summaryref2!G138,"")))))))))))</f>
        <v/>
      </c>
      <c r="AR25" s="1150" t="str">
        <f>IF('A-80 DirEntInv'!AR24&lt;&gt;"",'A-80 DirEntInv'!AR24,IF(AK25=summaryref2!B12,summaryref2!H12,IF(Summary!AK25=summaryref2!B26,summaryref2!H26,IF(AK25=summaryref2!B40,summaryref2!H40,IF(AK25=summaryref2!B54,summaryref2!H54,IF(AK25=summaryref2!B68,summaryref2!H68,IF(AK25=summaryref2!B82,summaryref2!H82,IF(AK25=summaryref2!B96,summaryref2!H96,IF(AK25=summaryref2!B110,summaryref2!H110,IF(AK25=summaryref2!B124,summaryref2!H124,IF(AK25=summaryref2!B138,summaryref2!H138,"")))))))))))</f>
        <v/>
      </c>
      <c r="AS25" s="1187" t="str">
        <f>IF('A-80 DirEntInv'!AS24&lt;&gt;"",'A-80 DirEntInv'!AS24,IF(AK25=summaryref2!B12,summaryref2!I12,IF(Summary!AK25=summaryref2!B26,summaryref2!I26,IF(AK25=summaryref2!B40,summaryref2!I40,IF(AK25=summaryref2!B54,summaryref2!I54,IF(AK25=summaryref2!B68,summaryref2!I68,IF(AK25=summaryref2!B82,summaryref2!I82,IF(AK25=summaryref2!B96,summaryref2!I96,IF(AK25=summaryref2!B110,summaryref2!I110,IF(AK25=summaryref2!B124,summaryref2!I124,IF(AK25=summaryref2!B138,summaryref2!I138,"")))))))))))</f>
        <v/>
      </c>
      <c r="AT25" s="1187" t="str">
        <f>IF('A-80 DirEntInv'!AT24&lt;&gt;"",'A-80 DirEntInv'!AT24,IF(AK25=summaryref2!B12,summaryref2!J12,IF(Summary!AK25=summaryref2!B26,summaryref2!J26,IF(AK25=summaryref2!B40,summaryref2!J40,IF(AK25=summaryref2!B54,summaryref2!J54,IF(AK25=summaryref2!B68,summaryref2!J68,IF(AK25=summaryref2!B82,summaryref2!J82,IF(AK25=summaryref2!B96,summaryref2!J96,IF(AK25=summaryref2!B110,summaryref2!J110,IF(AK25=summaryref2!B124,summaryref2!J124,IF(AK25=summaryref2!B138,summaryref2!J138,"")))))))))))</f>
        <v/>
      </c>
      <c r="AU25" s="1187" t="str">
        <f>IF('A-80 DirEntInv'!AU24&lt;&gt;"",'A-80 DirEntInv'!AU24,IF(AK25=summaryref2!B12,summaryref2!K12,IF(Summary!AK25=summaryref2!B26,summaryref2!K26,IF(AK25=summaryref2!B40,summaryref2!K40,IF(AK25=summaryref2!B54,summaryref2!K54,IF(AK25=summaryref2!B68,summaryref2!K68,IF(AK25=summaryref2!B82,summaryref2!K82,IF(AK25=summaryref2!B96,summaryref2!K96,IF(AK25=summaryref2!B110,summaryref2!K110,IF(AK25=summaryref2!B124,summaryref2!K124,IF(AK25=summaryref2!B138,summaryref2!K138,"")))))))))))</f>
        <v/>
      </c>
      <c r="AV25" s="1187" t="str">
        <f>IF('A-80 DirEntInv'!AV24&lt;&gt;"",'A-80 DirEntInv'!AV24,IF(AK25=summaryref2!B12,summaryref2!L12,IF(Summary!AK25=summaryref2!B26,summaryref2!L26,IF(AK25=summaryref2!B40,summaryref2!L40,IF(AK25=summaryref2!B54,summaryref2!L54,IF(AK25=summaryref2!B68,summaryref2!L68,IF(AK25=summaryref2!B82,summaryref2!L82,IF(AK25=summaryref2!B96,summaryref2!L96,IF(AK25=summaryref2!B110,summaryref2!L110,IF(AK25=summaryref2!B124,summaryref2!L124,IF(AK25=summaryref2!B138,summaryref2!L138,"")))))))))))</f>
        <v/>
      </c>
      <c r="AW25" s="1187" t="str">
        <f>IF('A-80 DirEntInv'!AW24&lt;&gt;"",'A-80 DirEntInv'!AW24,IF($AK25=summaryref2!$B$12,summaryref2!M$12,IF(Summary!$AK25=summaryref2!$B$26,summaryref2!M$26,IF($AK25=summaryref2!$B$40,summaryref2!M$40,IF($AK25=summaryref2!$B$54,summaryref2!M$54,IF($AK25=summaryref2!$B$68,summaryref2!M$68,IF($AK25=summaryref2!$B$82,summaryref2!M$82,IF($AK25=summaryref2!$B$96,summaryref2!M$96,IF($AK25=summaryref2!$B$110,summaryref2!M$110,IF($AK25=summaryref2!$B$124,summaryref2!M$124,IF($AK25=summaryref2!$B$138,summaryref2!M$138,"")))))))))))</f>
        <v/>
      </c>
      <c r="AX25" s="1187" t="str">
        <f>IF('A-80 DirEntInv'!AX24&lt;&gt;"",'A-80 DirEntInv'!AX24,IF(AK25=summaryref2!B12,summaryref2!N12,IF(Summary!AK25=summaryref2!B26,summaryref2!N26,IF(AK25=summaryref2!B40,summaryref2!N40,IF(AK25=summaryref2!B54,summaryref2!N54,IF(AK25=summaryref2!B68,summaryref2!N68,IF(AK25=summaryref2!B82,summaryref2!N82,IF(AK25=summaryref2!B96,summaryref2!N96,IF(AK25=summaryref2!B110,summaryref2!N110,IF(AK25=summaryref2!B124,summaryref2!N124,IF(AK25=summaryref2!B138,summaryref2!N138,"")))))))))))</f>
        <v/>
      </c>
      <c r="AY25" s="1187" t="str">
        <f>IF('A-80 DirEntInv'!AY24&lt;&gt;"",'A-80 DirEntInv'!AY24,IF(AK25=summaryref2!B12,summaryref2!O12,IF(Summary!AK25=summaryref2!B26,summaryref2!O26,IF(AK25=summaryref2!B40,summaryref2!O40,IF(AK25=summaryref2!B54,summaryref2!O54,IF(AK25=summaryref2!B68,summaryref2!O68,IF(AK25=summaryref2!B82,summaryref2!O82,IF(AK25=summaryref2!B96,summaryref2!O96,IF(AK25=summaryref2!B110,summaryref2!O110,IF(AK25=summaryref2!B124,summaryref2!O124,IF(AK25=summaryref2!B138,summaryref2!O138,"")))))))))))</f>
        <v/>
      </c>
      <c r="AZ25" s="1187" t="str">
        <f>IF('A-80 DirEntInv'!AZ24&lt;&gt;"",'A-80 DirEntInv'!AZ24,IF(AK25=summaryref2!B12,summaryref2!P12,IF(Summary!AK25=summaryref2!B26,summaryref2!P26,IF(AK25=summaryref2!B40,summaryref2!P40,IF(AK25=summaryref2!B54,summaryref2!P54,IF(AK25=summaryref2!B68,summaryref2!P68,IF(AK25=summaryref2!B82,summaryref2!P82,IF(AK25=summaryref2!B96,summaryref2!P96,IF(AK25=summaryref2!B110,summaryref2!P110,IF(AK25=summaryref2!B124,summaryref2!P124,IF(AK25=summaryref2!B138,summaryref2!P138,"")))))))))))</f>
        <v/>
      </c>
      <c r="BA25" s="1187" t="str">
        <f>IF('A-80 DirEntInv'!BA24&lt;&gt;"",'A-80 DirEntInv'!BA24,IF(AK25=summaryref2!B12,summaryref2!Q12,IF(Summary!AK25=summaryref2!B26,summaryref2!Q26,IF(AK25=summaryref2!B40,summaryref2!Q40,IF(AK25=summaryref2!B54,summaryref2!Q54,IF(AK25=summaryref2!B68,summaryref2!Q68,IF(AK25=summaryref2!B82,summaryref2!Q82,IF(AK25=summaryref2!B96,summaryref2!Q96,IF(AK25=summaryref2!B110,summaryref2!Q110,IF(AK25=summaryref2!B124,summaryref2!Q124,IF(AK25=summaryref2!B138,summaryref2!Q138,"")))))))))))</f>
        <v/>
      </c>
      <c r="BB25" s="1187" t="str">
        <f>IF('A-80 DirEntInv'!BB24&lt;&gt;"",'A-80 DirEntInv'!BB24,IF(AK25=summaryref2!B12,summaryref2!R12,IF(Summary!AK25=summaryref2!B26,summaryref2!R26,IF(AK25=summaryref2!B40,summaryref2!R40,IF(AK25=summaryref2!B54,summaryref2!R54,IF(AK25=summaryref2!B68,summaryref2!R68,IF(AK25=summaryref2!B82,summaryref2!R82,IF(AK25=summaryref2!B96,summaryref2!R96,IF(AK25=summaryref2!B110,summaryref2!R110,IF(AK25=summaryref2!B124,summaryref2!R124,IF(AK25=summaryref2!B138,summaryref2!R138,"")))))))))))</f>
        <v/>
      </c>
      <c r="BC25" s="1187" t="str">
        <f>IF('A-80 DirEntInv'!BC24&lt;&gt;0,'A-80 DirEntInv'!BC24,IF(AK25=summaryref2!B12,summaryref2!S12,IF(Summary!AK25=summaryref2!B26,summaryref2!S26,IF(AK25=summaryref2!B40,summaryref2!S40,IF(AK25=summaryref2!B54,summaryref2!S54,IF(AK25=summaryref2!B68,summaryref2!S68,IF(AK25=summaryref2!B82,summaryref2!S82,IF(AK25=summaryref2!B96,summaryref2!S96,IF(AK25=summaryref2!B110,summaryref2!S110,IF(AK25=summaryref2!B124,summaryref2!S124,IF(AK25=summaryref2!B138,summaryref2!S138,"")))))))))))</f>
        <v/>
      </c>
      <c r="BD25" s="1188" t="str">
        <f>IF('A-80 DirEntInv'!BD24&lt;&gt;"",'A-80 DirEntInv'!BD24,IF(AK25=summaryref2!B12,summaryref2!T12,IF(Summary!AK25=summaryref2!B26,summaryref2!T26,IF(AK25=summaryref2!B40,summaryref2!T40,IF(AK25=summaryref2!B54,summaryref2!T54,IF(AK25=summaryref2!B68,summaryref2!T68,IF(AK25=summaryref2!B82,summaryref2!T82,IF(AK25=summaryref2!B96,summaryref2!T96,IF(AK25=summaryref2!B110,summaryref2!T110,IF(AK25=summaryref2!B124,summaryref2!T124,IF(AK25=summaryref2!B138,summaryref2!T138,"")))))))))))</f>
        <v/>
      </c>
      <c r="BE25" s="1385" t="str">
        <f>IF('A-80 DirEntInv'!BE24&lt;&gt;"",'A-80 DirEntInv'!BE24,IF(AK25=summaryref2!B12,summaryref2!U12,IF(Summary!AK25=summaryref2!B26,summaryref2!U26,IF(AK25=summaryref2!B40,summaryref2!U40,IF(AK25=summaryref2!B54,summaryref2!U54,IF(AK25=summaryref2!B68,summaryref2!U68,IF(AK25=summaryref2!B82,summaryref2!U82,IF(AK25=summaryref2!B96,summaryref2!U96,IF(AK25=summaryref2!B110,summaryref2!U110,IF(AK25=summaryref2!B124,summaryref2!U124,IF(AK25=summaryref2!B138,summaryref2!U138,"")))))))))))</f>
        <v/>
      </c>
      <c r="BF25" s="1431"/>
      <c r="BG25" s="1431"/>
      <c r="BJ25" s="1043" t="str">
        <f>Codes!$C$158</f>
        <v>AR - Alaska Railroad</v>
      </c>
      <c r="BK25" s="1303" t="str">
        <f>Valid!$B$80</f>
        <v>Tangent</v>
      </c>
      <c r="BL25" s="1366" t="str">
        <f>IF('A-80 DirEntInv'!BL24&lt;&gt;"",'A-80 DirEntInv'!BL24,IF(BJ25=summaryref2!X12,summaryref2!Z12,IF(BJ25=summaryref2!X19,summaryref2!Z19,IF(BJ25=summaryref2!X26,summaryref2!Z26,IF(BJ25=summaryref2!X33,summaryref2!Z33,IF(BJ25=summaryref2!X40,summaryref2!Z40,IF(BJ25=summaryref2!X47,summaryref2!Z47,IF(BJ25=summaryref2!X54,summaryref2!Z54,IF(BJ25=summaryref2!X61,summaryref2!Z61,IF(BJ25=summaryref2!X68,summaryref2!Z68,IF(BJ25=summaryref2!X75,summaryref2!Z75,"")))))))))))</f>
        <v/>
      </c>
      <c r="BM25" s="1303" t="str">
        <f>VLOOKUP(BK25,Valid!$B$80:$C$86,2,FALSE)</f>
        <v>Track Feet</v>
      </c>
      <c r="BN25" s="1208" t="str">
        <f>IF('A-80 DirEntInv'!BN24&lt;&gt;"",'A-80 DirEntInv'!BN24,IF(BJ25=summaryref2!X12,summaryref2!AB12,IF(BJ25=summaryref2!X19,summaryref2!AB19,IF(BJ25=summaryref2!X26,summaryref2!AB26,IF(BJ25=summaryref2!X33,summaryref2!AB33,IF(BJ25=summaryref2!X40,summaryref2!AB40,IF(BJ25=summaryref2!X47,summaryref2!AB47,IF(BJ25=summaryref2!X54,summaryref2!AB54,IF(BJ25=summaryref2!X61,summaryref2!AB61,IF(BJ25=summaryref2!X68,summaryref2!AB68,IF(BJ25=summaryref2!X75,summaryref2!AB75,"")))))))))))</f>
        <v/>
      </c>
      <c r="BO25" s="1112" t="str">
        <f>IF('A-80 DirEntInv'!BO24&lt;&gt;"",'A-80 DirEntInv'!BO24,IF(BJ25=summaryref2!X12,summaryref2!AC12,IF(BJ25=summaryref2!X19,summaryref2!AC19,IF(BJ25=summaryref2!X26,summaryref2!AC26,IF(BJ25=summaryref2!X33,summaryref2!AC33,IF(BJ25=summaryref2!X40,summaryref2!AC40,IF(BJ25=summaryref2!X47,summaryref2!AC47,IF(BJ25=summaryref2!X54,summaryref2!AC54,IF(BJ25=summaryref2!X61,summaryref2!AC61,IF(BJ25=summaryref2!X68,summaryref2!AC68,IF(BJ25=summaryref2!X75,summaryref2!AC75,"")))))))))))</f>
        <v/>
      </c>
      <c r="BP25" s="1320" t="str">
        <f>IF('A-80 DirEntInv'!BP24&lt;&gt;"",'A-80 DirEntInv'!BP24,IF(BJ25=summaryref2!X12,summaryref2!AD12,IF(BJ25=summaryref2!X19,summaryref2!AD19,IF(BJ25=summaryref2!X26,summaryref2!AD26,IF(BJ25=summaryref2!X33,summaryref2!AD33,IF(BJ25=summaryref2!X40,summaryref2!AD40,IF(BJ25=summaryref2!X47,summaryref2!AD47,IF(BJ25=summaryref2!X54,summaryref2!AD54,IF(BJ25=summaryref2!X61,summaryref2!AD61,IF(BJ25=summaryref2!X68,summaryref2!AD68,IF(BJ25=summaryref2!X75,summaryref2!AD75,"")))))))))))</f>
        <v/>
      </c>
      <c r="BS25" s="1472" t="str">
        <f ca="1">IF('A-80 DirEntInv'!BU24&lt;&gt;"",'A-80 DirEntInv'!BU24,IF(INDIRECT(ADDRESS(SumRef!DK31,SumRef!DK$16,,,SumRef!$E$6))="","",INDIRECT(ADDRESS(SumRef!DK31,SumRef!DK$16,,,SumRef!$E$6))))</f>
        <v/>
      </c>
      <c r="BT25" s="1458" t="str">
        <f ca="1">IF('A-80 DirEntInv'!BV24&lt;&gt;"",'A-80 DirEntInv'!BV24,IF(INDIRECT(ADDRESS(SumRef!DL31,SumRef!DL$16,,,SumRef!$E$6))="","",INDIRECT(ADDRESS(SumRef!DL31,SumRef!DL$16,,,SumRef!$E$6))))</f>
        <v/>
      </c>
      <c r="BU25" s="1177" t="str">
        <f ca="1">IF('A-80 DirEntInv'!BW24&lt;&gt;"",'A-80 DirEntInv'!BW24,IF(INDIRECT(ADDRESS(SumRef!DM31,SumRef!DM$16,,,SumRef!$E$6))="","",INDIRECT(ADDRESS(SumRef!DM31,SumRef!DM$16,,,SumRef!$E$6))))</f>
        <v/>
      </c>
      <c r="BV25" s="1460" t="str">
        <f ca="1">IF('A-80 DirEntInv'!BX24&lt;&gt;"",'A-80 DirEntInv'!BX24,IF(INDIRECT(ADDRESS(SumRef!DN31,SumRef!DN$16,,,SumRef!$E$6))="","",INDIRECT(ADDRESS(SumRef!DN31,SumRef!DN$16,,,SumRef!$E$6))))</f>
        <v/>
      </c>
      <c r="BW25" s="1460" t="str">
        <f ca="1">IF('A-80 DirEntInv'!BY24&lt;&gt;"",'A-80 DirEntInv'!BY24,IF(INDIRECT(ADDRESS(SumRef!DO31,SumRef!DO$16,,,SumRef!$E$6))="","",INDIRECT(ADDRESS(SumRef!DO31,SumRef!DO$16,,,SumRef!$E$6))))</f>
        <v/>
      </c>
      <c r="BX25" s="1116" t="str">
        <f ca="1">IF('A-80 DirEntInv'!BZ24&lt;&gt;"",'A-80 DirEntInv'!BZ24,IF(INDIRECT(ADDRESS(SumRef!DP31,SumRef!DP$16,,,SumRef!$E$6))="","",INDIRECT(ADDRESS(SumRef!DP31,SumRef!DP$16,,,SumRef!$E$6))))</f>
        <v/>
      </c>
      <c r="BY25" s="1461" t="str">
        <f ca="1">IF('A-80 DirEntInv'!CA24&lt;&gt;"",'A-80 DirEntInv'!CA24,IF(INDIRECT(ADDRESS(SumRef!DQ31,SumRef!DQ$16,,,SumRef!$E$6))="","",INDIRECT(ADDRESS(SumRef!DQ31,SumRef!DQ$16,,,SumRef!$E$6))))</f>
        <v/>
      </c>
      <c r="BZ25" s="1460" t="str">
        <f ca="1">IF('A-80 DirEntInv'!CB24&lt;&gt;"",'A-80 DirEntInv'!CB24,IF(INDIRECT(ADDRESS(SumRef!DR31,SumRef!DR$16,,,SumRef!$E$6))="","",INDIRECT(ADDRESS(SumRef!DR31,SumRef!DR$16,,,SumRef!$E$6))))</f>
        <v/>
      </c>
      <c r="CA25" s="1462" t="str">
        <f ca="1">IF('A-80 DirEntInv'!CC24&lt;&gt;"",'A-80 DirEntInv'!CC24,IF(INDIRECT(ADDRESS(SumRef!DS31,SumRef!DS$16,,,SumRef!$E$6))="","",INDIRECT(ADDRESS(SumRef!DS31,SumRef!DS$16,,,SumRef!$E$6))))</f>
        <v/>
      </c>
      <c r="CD25" s="1160" t="str">
        <f ca="1">IF('A-80 DirEntInv'!CF24&lt;&gt;"",'A-80 DirEntInv'!CF24,IF(INDIRECT(ADDRESS(SumRef!DV31,SumRef!DV$16,,,SumRef!$E$7))="","",INDIRECT(ADDRESS(SumRef!DV31,SumRef!DV$16,,,SumRef!$E$7))))</f>
        <v/>
      </c>
      <c r="CE25" s="1167" t="str">
        <f ca="1">IF('A-80 DirEntInv'!CG24&lt;&gt;"",'A-80 DirEntInv'!CG24,IF(INDIRECT(ADDRESS(SumRef!DW31,SumRef!DW$16,,,SumRef!$E$7))="","",INDIRECT(ADDRESS(SumRef!DW31,SumRef!DW$16,,,SumRef!$E$7))))</f>
        <v/>
      </c>
      <c r="CF25" s="1167" t="str">
        <f ca="1">IF('A-80 DirEntInv'!CH24&lt;&gt;"",'A-80 DirEntInv'!CH24,IF(INDIRECT(ADDRESS(SumRef!DX31,SumRef!DX$16,,,SumRef!$E$7))="","",INDIRECT(ADDRESS(SumRef!DX31,SumRef!DX$16,,,SumRef!$E$7))))</f>
        <v/>
      </c>
      <c r="CG25" s="1167" t="str">
        <f ca="1">IF('A-80 DirEntInv'!CI24&lt;&gt;"",'A-80 DirEntInv'!CI24,IF(INDIRECT(ADDRESS(SumRef!DY31,SumRef!DY$16,,,SumRef!$E$7))="","",INDIRECT(ADDRESS(SumRef!DY31,SumRef!DY$16,,,SumRef!$E$7))))</f>
        <v/>
      </c>
      <c r="CH25" s="1167" t="str">
        <f ca="1">IF('A-80 DirEntInv'!CJ24&lt;&gt;"",'A-80 DirEntInv'!CJ24,IF(INDIRECT(ADDRESS(SumRef!DZ31,SumRef!DZ$16,,,SumRef!$E$7))="","",INDIRECT(ADDRESS(SumRef!DZ31,SumRef!DZ$16,,,SumRef!$E$7))))</f>
        <v/>
      </c>
      <c r="CI25" s="1167" t="str">
        <f ca="1">IF('A-80 DirEntInv'!CK24&lt;&gt;"",'A-80 DirEntInv'!CK24,IF(INDIRECT(ADDRESS(SumRef!EA31,SumRef!EA$16,,,SumRef!$E$7))="","",INDIRECT(ADDRESS(SumRef!EA31,SumRef!EA$16,,,SumRef!$E$7))))</f>
        <v/>
      </c>
      <c r="CJ25" s="1114" t="str">
        <f ca="1">IF('A-80 DirEntInv'!CL24&lt;&gt;"",'A-80 DirEntInv'!CL24,IF(INDIRECT(ADDRESS(SumRef!EB31,SumRef!EB$16,,,SumRef!$E$7))="","",INDIRECT(ADDRESS(SumRef!EB31,SumRef!EB$16,,,SumRef!$E$7))))</f>
        <v/>
      </c>
      <c r="CK25" s="1114" t="str">
        <f ca="1">IF('A-80 DirEntInv'!CM24&lt;&gt;"",'A-80 DirEntInv'!CM24,IF(INDIRECT(ADDRESS(SumRef!EC31,SumRef!EC$16,,,SumRef!$E$7))="","",INDIRECT(ADDRESS(SumRef!EC31,SumRef!EC$16,,,SumRef!$E$7))))</f>
        <v/>
      </c>
      <c r="CL25" s="1113" t="str">
        <f ca="1">IF('A-80 DirEntInv'!CO24&lt;&gt;"",'A-80 DirEntInv'!CO24,IF(INDIRECT(ADDRESS(SumRef!ED31,SumRef!ED$16,,,SumRef!$E$7))="","",INDIRECT(ADDRESS(SumRef!ED31,SumRef!ED$16,,,SumRef!$E$7))))</f>
        <v/>
      </c>
      <c r="CM25" s="1114" t="str">
        <f ca="1">IF('A-80 DirEntInv'!CP24&lt;&gt;"",'A-80 DirEntInv'!CP24,IF(INDIRECT(ADDRESS(SumRef!EE31,SumRef!EE$16,,,SumRef!$E$7))="","",INDIRECT(ADDRESS(SumRef!EE31,SumRef!EE$16,,,SumRef!$E$7))))</f>
        <v/>
      </c>
      <c r="CN25" s="1114" t="str">
        <f ca="1">IF('A-80 DirEntInv'!CQ24&lt;&gt;"",'A-80 DirEntInv'!CQ24,IF(INDIRECT(ADDRESS(SumRef!EF31,SumRef!EF$16,,,SumRef!$E$7))="","",INDIRECT(ADDRESS(SumRef!EF31,SumRef!EF$16,,,SumRef!$E$7))))</f>
        <v/>
      </c>
      <c r="CO25" s="1113" t="str">
        <f ca="1">IF('A-80 DirEntInv'!CR24&lt;&gt;"",'A-80 DirEntInv'!CR24,IF(INDIRECT(ADDRESS(SumRef!EG31,SumRef!EG$16,,,SumRef!$E$7))="","",INDIRECT(ADDRESS(SumRef!EG31,SumRef!EG$16,,,SumRef!$E$7))))</f>
        <v/>
      </c>
      <c r="CP25" s="1114" t="str">
        <f ca="1">IF('A-80 DirEntInv'!CS24&lt;&gt;"",'A-80 DirEntInv'!CS24,IF(INDIRECT(ADDRESS(SumRef!EH31,SumRef!EH$16,,,SumRef!$E$7))="","",INDIRECT(ADDRESS(SumRef!EH31,SumRef!EH$16,,,SumRef!$E$7))))</f>
        <v/>
      </c>
      <c r="CQ25" s="1346" t="str">
        <f ca="1">IF('A-80 DirEntInv'!CT24&lt;&gt;"",'A-80 DirEntInv'!CT24,IF(INDIRECT(ADDRESS(SumRef!EI31,SumRef!EI$16,,,SumRef!$E$7))="","",INDIRECT(ADDRESS(SumRef!EI31,SumRef!EI$16,,,SumRef!$E$7))))</f>
        <v/>
      </c>
      <c r="CR25" s="1113" t="str">
        <f ca="1">IF('A-80 DirEntInv'!CU24&lt;&gt;"",'A-80 DirEntInv'!CU24,IF(INDIRECT(ADDRESS(SumRef!EJ31,SumRef!EJ$16,,,SumRef!$E$7))="","",INDIRECT(ADDRESS(SumRef!EJ31,SumRef!EJ$16,,,SumRef!$E$7))))</f>
        <v/>
      </c>
      <c r="CS25" s="1346" t="str">
        <f ca="1">IF('A-80 DirEntInv'!CV24&lt;&gt;"",'A-80 DirEntInv'!CV24,IF(INDIRECT(ADDRESS(SumRef!EM31,SumRef!EM$16,,,SumRef!$E$7))="","",INDIRECT(ADDRESS(SumRef!EM31,SumRef!EM$16,,,SumRef!$E$7))))</f>
        <v/>
      </c>
      <c r="CT25" s="1113" t="str">
        <f ca="1">IF('A-80 DirEntInv'!CW24&lt;&gt;"",'A-80 DirEntInv'!CW24,IF(INDIRECT(ADDRESS(SumRef!EN31,SumRef!EN$16,,,SumRef!$E$7))="","",INDIRECT(ADDRESS(SumRef!EN31,SumRef!EN$16,,,SumRef!$E$7))))</f>
        <v/>
      </c>
      <c r="CU25" s="1113" t="str">
        <f ca="1">IF('A-80 DirEntInv'!CX24&lt;&gt;"",'A-80 DirEntInv'!CX24,IF(INDIRECT(ADDRESS(SumRef!EO31,SumRef!EO$16,,,SumRef!$E$7))="","",INDIRECT(ADDRESS(SumRef!EO31,SumRef!EO$16,,,SumRef!$E$7))))</f>
        <v/>
      </c>
      <c r="CV25" s="1113" t="str">
        <f ca="1">IF('A-80 DirEntInv'!CY24&lt;&gt;"",'A-80 DirEntInv'!CY24,IF(INDIRECT(ADDRESS(SumRef!EP31,SumRef!EP$16,,,SumRef!$E$7))="","",INDIRECT(ADDRESS(SumRef!EP31,SumRef!EP$16,,,SumRef!$E$7))))</f>
        <v/>
      </c>
      <c r="CW25" s="1114" t="str">
        <f ca="1">IF('A-80 DirEntInv'!CZ24&lt;&gt;"",'A-80 DirEntInv'!CZ24,IF(INDIRECT(ADDRESS(SumRef!ES31,SumRef!ES$16,,,SumRef!$E$7))="","",INDIRECT(ADDRESS(SumRef!ES31,SumRef!ES$16,,,SumRef!$E$7))))</f>
        <v/>
      </c>
      <c r="CX25" s="1167" t="str">
        <f ca="1">IF('A-80 DirEntInv'!DA24&lt;&gt;"",'A-80 DirEntInv'!DA24,IF(INDIRECT(ADDRESS(SumRef!ET31,SumRef!ET$16,,,SumRef!$E$7))="","",INDIRECT(ADDRESS(SumRef!ET31,SumRef!ET$16,,,SumRef!$E$7))))</f>
        <v/>
      </c>
      <c r="CY25" s="1167" t="str">
        <f ca="1">IF('A-80 DirEntInv'!DB24&lt;&gt;"",'A-80 DirEntInv'!DB24,IF(INDIRECT(ADDRESS(SumRef!EU31,SumRef!EU$16,,,SumRef!$E$7))="","",INDIRECT(ADDRESS(SumRef!EU31,SumRef!EU$16,,,SumRef!$E$7))))</f>
        <v/>
      </c>
      <c r="CZ25" s="1167" t="b">
        <f ca="1">IF('A-80 DirEntInv'!DC24&lt;&gt;"",'A-80 DirEntInv'!DC24,IF(INDIRECT(ADDRESS(SumRef!EV31,SumRef!EV$16,,,SumRef!$E$7))="","",INDIRECT(ADDRESS(SumRef!EV31,SumRef!EV$16,,,SumRef!$E$7))))</f>
        <v>0</v>
      </c>
      <c r="DA25" s="1373" t="str">
        <f ca="1">IF('A-80 DirEntInv'!DD24&lt;&gt;"",'A-80 DirEntInv'!DD24,IF(INDIRECT(ADDRESS(SumRef!EW31,SumRef!EW$16,,,SumRef!$E$7))="","",INDIRECT(ADDRESS(SumRef!EW31,SumRef!EW$16,,,SumRef!$E$7))))</f>
        <v/>
      </c>
      <c r="DB25" s="1373" t="b">
        <f ca="1">IF('A-80 DirEntInv'!DE24&lt;&gt;"",'A-80 DirEntInv'!DE24,IF(INDIRECT(ADDRESS(SumRef!EX31,SumRef!EX$16,,,SumRef!$E$7))="","",INDIRECT(ADDRESS(SumRef!EX31,SumRef!EX$16,,,SumRef!$E$7))))</f>
        <v>0</v>
      </c>
      <c r="DC25" s="1114" t="b">
        <f ca="1">IF('A-80 DirEntInv'!DF24&lt;&gt;"",'A-80 DirEntInv'!DF24,IF(INDIRECT(ADDRESS(SumRef!EY31,SumRef!EY$16,,,SumRef!$E$7))="","",INDIRECT(ADDRESS(SumRef!EY31,SumRef!EY$16,,,SumRef!$E$7))))</f>
        <v>0</v>
      </c>
      <c r="DD25" s="1115" t="str">
        <f ca="1">IF('A-80 DirEntInv'!DG24&lt;&gt;"",'A-80 DirEntInv'!DG24,IF(INDIRECT(ADDRESS(SumRef!EZ31,SumRef!EZ$16,,,SumRef!$E$7))="","",INDIRECT(ADDRESS(SumRef!EZ31,SumRef!EZ$16,,,SumRef!$E$7))))</f>
        <v/>
      </c>
    </row>
    <row r="26" spans="1:108" s="588" customFormat="1" ht="13.5" thickBot="1" x14ac:dyDescent="0.25">
      <c r="A26" s="589">
        <f t="shared" si="0"/>
        <v>16</v>
      </c>
      <c r="B26" s="1155" t="str">
        <f ca="1">IF('A-80 DirEntInv'!B25&lt;&gt;"",'A-80 DirEntInv'!B25,IF(INDIRECT(ADDRESS(SumRef!AQ32,SumRef!AQ$16,,,SumRef!$B$7))="","",INDIRECT(ADDRESS(SumRef!AQ32,SumRef!AQ$16,,,SumRef!$B$7))))</f>
        <v/>
      </c>
      <c r="C26" s="1097" t="str">
        <f ca="1">IF('A-80 DirEntInv'!C25&lt;&gt;"",'A-80 DirEntInv'!C25,IF(INDIRECT(ADDRESS(SumRef!AR32,SumRef!AR$16,,,SumRef!$B$7))="","",INDIRECT(ADDRESS(SumRef!AR32,SumRef!AR$16,,,SumRef!$B$7))))</f>
        <v/>
      </c>
      <c r="D26" s="1097" t="str">
        <f ca="1">IF('A-80 DirEntInv'!D25&lt;&gt;"",'A-80 DirEntInv'!D25,IF(INDIRECT(ADDRESS(SumRef!AS32,SumRef!AS$16,,,SumRef!$B$7))="","",INDIRECT(ADDRESS(SumRef!AS32,SumRef!AS$16,,,SumRef!$B$7))))</f>
        <v/>
      </c>
      <c r="E26" s="1097" t="str">
        <f ca="1">IF('A-80 DirEntInv'!E25&lt;&gt;"",'A-80 DirEntInv'!E25,IF(INDIRECT(ADDRESS(SumRef!AT32,SumRef!AT$16,,,SumRef!$B$7))="","",INDIRECT(ADDRESS(SumRef!AT32,SumRef!AT$16,,,SumRef!$B$7))))</f>
        <v/>
      </c>
      <c r="F26" s="1097" t="str">
        <f ca="1">IF('A-80 DirEntInv'!F25&lt;&gt;"",'A-80 DirEntInv'!F25,IF(INDIRECT(ADDRESS(SumRef!AU32,SumRef!AU$16,,,SumRef!$B$7))="","",INDIRECT(ADDRESS(SumRef!AU32,SumRef!AU$16,,,SumRef!$B$7))))</f>
        <v/>
      </c>
      <c r="G26" s="1158" t="str">
        <f ca="1">IF('A-80 DirEntInv'!G25&lt;&gt;"",'A-80 DirEntInv'!G25,IF(INDIRECT(ADDRESS(SumRef!AV32,SumRef!AV$16,,,SumRef!$B$7))="","",INDIRECT(ADDRESS(SumRef!AV32,SumRef!AV$16,,,SumRef!$B$7))))</f>
        <v/>
      </c>
      <c r="H26" s="1097" t="str">
        <f ca="1">IF('A-80 DirEntInv'!H25&lt;&gt;"",'A-80 DirEntInv'!H25,IF(INDIRECT(ADDRESS(SumRef!AW32,SumRef!AW$16,,,SumRef!$B$7))="","",INDIRECT(ADDRESS(SumRef!AW32,SumRef!AW$16,,,SumRef!$B$7))))</f>
        <v/>
      </c>
      <c r="I26" s="1097" t="str">
        <f ca="1">IF('A-80 DirEntInv'!I25&lt;&gt;"",'A-80 DirEntInv'!I25,IF(INDIRECT(ADDRESS(SumRef!AX32,SumRef!AX$16,,,SumRef!$B$7))="","",INDIRECT(ADDRESS(SumRef!AX32,SumRef!AX$16,,,SumRef!$B$7))))</f>
        <v/>
      </c>
      <c r="J26" s="1098" t="str">
        <f ca="1">IF('A-80 DirEntInv'!J25&lt;&gt;"",'A-80 DirEntInv'!J25,IF(INDIRECT(ADDRESS(SumRef!AY32,SumRef!AY$16,,,SumRef!$B$7))="","",INDIRECT(ADDRESS(SumRef!AY32,SumRef!AY$16,,,SumRef!$B$7))))</f>
        <v/>
      </c>
      <c r="K26" s="1099" t="str">
        <f ca="1">IF('A-80 DirEntInv'!K25&lt;&gt;"",'A-80 DirEntInv'!K25,IF(INDIRECT(ADDRESS(SumRef!AZ32,SumRef!AZ$16,,,SumRef!$B$7))="","",INDIRECT(ADDRESS(SumRef!AZ32,SumRef!AZ$16,,,SumRef!$B$7))))</f>
        <v/>
      </c>
      <c r="L26" s="1100" t="str">
        <f ca="1">IF('A-80 DirEntInv'!L25&lt;&gt;"",'A-80 DirEntInv'!L25,IF(INDIRECT(ADDRESS(SumRef!BA32,SumRef!BA$16,,,SumRef!$B$7))="","",INDIRECT(ADDRESS(SumRef!BA32,SumRef!BA$16,,,SumRef!$B$7))))</f>
        <v/>
      </c>
      <c r="M26" s="1101" t="str">
        <f ca="1">IF('A-80 DirEntInv'!M25&lt;&gt;"",'A-80 DirEntInv'!M25,IF(INDIRECT(ADDRESS(SumRef!BB32,SumRef!BB$16,,,SumRef!$B$7))="","",INDIRECT(ADDRESS(SumRef!BB32,SumRef!BB$16,,,SumRef!$B$7))))</f>
        <v/>
      </c>
      <c r="N26" s="1098" t="str">
        <f ca="1">IF('A-80 DirEntInv'!N25&lt;&gt;"",'A-80 DirEntInv'!N25,IF(INDIRECT(ADDRESS(SumRef!BC32,SumRef!BC$16,,,SumRef!$B$7))="","",INDIRECT(ADDRESS(SumRef!BC32,SumRef!BC$16,,,SumRef!$B$7))))</f>
        <v/>
      </c>
      <c r="O26" s="1102" t="str">
        <f ca="1">IF('A-80 DirEntInv'!O25&lt;&gt;"",'A-80 DirEntInv'!O25,IF(INDIRECT(ADDRESS(SumRef!BD32,SumRef!BD$16,,,SumRef!$B$7))="","",INDIRECT(ADDRESS(SumRef!BD32,SumRef!BD$16,,,SumRef!$B$7))))</f>
        <v/>
      </c>
      <c r="Q26" s="589"/>
      <c r="R26" s="1103" t="str">
        <f ca="1">IF('A-80 DirEntInv'!R25&lt;&gt;"",'A-80 DirEntInv'!R25,IF(INDIRECT(ADDRESS(SumRef!BH32,SumRef!BH$16,,,SumRef!$B$8))="","",INDIRECT(ADDRESS(SumRef!BH32,SumRef!BH$16,,,SumRef!$B$8))))</f>
        <v/>
      </c>
      <c r="S26" s="1104" t="str">
        <f ca="1">IF('A-80 DirEntInv'!S25&lt;&gt;"",'A-80 DirEntInv'!S25,IF(INDIRECT(ADDRESS(SumRef!BI32,SumRef!BI$16,,,SumRef!$B$8))="","",INDIRECT(ADDRESS(SumRef!BI32,SumRef!BI$16,,,SumRef!$B$8))))</f>
        <v/>
      </c>
      <c r="T26" s="1104" t="str">
        <f ca="1">IF('A-80 DirEntInv'!T25&lt;&gt;"",'A-80 DirEntInv'!T25,IF(INDIRECT(ADDRESS(SumRef!BJ32,SumRef!BJ$16,,,SumRef!$B$8))="","",INDIRECT(ADDRESS(SumRef!BJ32,SumRef!BJ$16,,,SumRef!$B$8))))</f>
        <v/>
      </c>
      <c r="U26" s="1104" t="str">
        <f ca="1">IF('A-80 DirEntInv'!U25&lt;&gt;"",'A-80 DirEntInv'!U25,IF(INDIRECT(ADDRESS(SumRef!BK32,SumRef!BK$16,,,SumRef!$B$8))="","",INDIRECT(ADDRESS(SumRef!BK32,SumRef!BK$16,,,SumRef!$B$8))))</f>
        <v/>
      </c>
      <c r="V26" s="1104" t="str">
        <f ca="1">IF('A-80 DirEntInv'!V25&lt;&gt;"",'A-80 DirEntInv'!V25,IF(INDIRECT(ADDRESS(SumRef!BL32,SumRef!BL$16,,,SumRef!$B$8))="","",INDIRECT(ADDRESS(SumRef!BL32,SumRef!BL$16,,,SumRef!$B$8))))</f>
        <v/>
      </c>
      <c r="W26" s="1354" t="str">
        <f ca="1">IF('A-80 DirEntInv'!W25&lt;&gt;"",'A-80 DirEntInv'!W25,IF(INDIRECT(ADDRESS(SumRef!BM32,SumRef!BM$16,,,SumRef!$B$8))="","",INDIRECT(ADDRESS(SumRef!BM32,SumRef!BM$16,,,SumRef!$B$8))))</f>
        <v/>
      </c>
      <c r="X26" s="1203" t="str">
        <f ca="1">IF('A-80 DirEntInv'!X25&lt;&gt;"",'A-80 DirEntInv'!X25,IF(INDIRECT(ADDRESS(SumRef!BN32,SumRef!BN$16,,,SumRef!$B$8))="","",INDIRECT(ADDRESS(SumRef!BN32,SumRef!BN$16,,,SumRef!$B$8))))</f>
        <v/>
      </c>
      <c r="Y26" s="1203" t="str">
        <f ca="1">IF('A-80 DirEntInv'!Y25&lt;&gt;"",'A-80 DirEntInv'!Y25,IF(INDIRECT(ADDRESS(SumRef!BO32,SumRef!BO$16,,,SumRef!$B$8))="","",INDIRECT(ADDRESS(SumRef!BO32,SumRef!BO$16,,,SumRef!$B$8))))</f>
        <v/>
      </c>
      <c r="Z26" s="1104" t="str">
        <f ca="1">IF('A-80 DirEntInv'!Z25&lt;&gt;"",'A-80 DirEntInv'!Z25,IF(INDIRECT(ADDRESS(SumRef!BP32,SumRef!BP$16,,,SumRef!$B$8))="","",INDIRECT(ADDRESS(SumRef!BP32,SumRef!BP$16,,,SumRef!$B$8))))</f>
        <v/>
      </c>
      <c r="AA26" s="1104" t="str">
        <f ca="1">IF('A-80 DirEntInv'!AA25&lt;&gt;"",'A-80 DirEntInv'!AA25,IF(INDIRECT(ADDRESS(SumRef!BQ32,SumRef!BQ$16,,,SumRef!$B$8))="","",INDIRECT(ADDRESS(SumRef!BQ32,SumRef!BQ$16,,,SumRef!$B$8))))</f>
        <v/>
      </c>
      <c r="AB26" s="1106" t="str">
        <f ca="1">IF('A-80 DirEntInv'!AB25&lt;&gt;"",'A-80 DirEntInv'!AB25,IF(INDIRECT(ADDRESS(SumRef!BR32,SumRef!BR$16,,,SumRef!$B$8))="","",INDIRECT(ADDRESS(SumRef!BR32,SumRef!BR$16,,,SumRef!$B$8))))</f>
        <v/>
      </c>
      <c r="AC26" s="1107" t="str">
        <f ca="1">IF('A-80 DirEntInv'!AC25&lt;&gt;"",'A-80 DirEntInv'!AC25,IF(INDIRECT(ADDRESS(SumRef!BS32,SumRef!BS$16,,,SumRef!$B$8))="","",INDIRECT(ADDRESS(SumRef!BS32,SumRef!BS$16,,,SumRef!$B$8))))</f>
        <v/>
      </c>
      <c r="AD26" s="1349" t="str">
        <f ca="1">IF('A-80 DirEntInv'!AD25&lt;&gt;"",'A-80 DirEntInv'!AD25,IF(INDIRECT(ADDRESS(SumRef!BT32,SumRef!BT$16,,,SumRef!$B$8))="","",INDIRECT(ADDRESS(SumRef!BT32,SumRef!BT$16,,,SumRef!$B$8))))</f>
        <v/>
      </c>
      <c r="AE26" s="1137" t="str">
        <f ca="1">IF('A-80 DirEntInv'!AE25&lt;&gt;"",'A-80 DirEntInv'!AE25,IF(INDIRECT(ADDRESS(SumRef!BU32,SumRef!BU$16,,,SumRef!$B$8))="","",INDIRECT(ADDRESS(SumRef!BU32,SumRef!BU$16,,,SumRef!$B$8))))</f>
        <v/>
      </c>
      <c r="AF26" s="1346" t="str">
        <f ca="1">IF('A-80 DirEntInv'!AF25&lt;&gt;"",'A-80 DirEntInv'!AF25,IF(INDIRECT(ADDRESS(SumRef!BV32,SumRef!BV$16,,,SumRef!$B$8))="","",INDIRECT(ADDRESS(SumRef!BV32,SumRef!BV$16,,,SumRef!$B$8))))</f>
        <v/>
      </c>
      <c r="AG26" s="1105" t="str">
        <f ca="1">IF('A-80 DirEntInv'!AG25&lt;&gt;"",'A-80 DirEntInv'!AG25,IF(INDIRECT(ADDRESS(SumRef!BW32,SumRef!BW$16,,,SumRef!$B$8))="","",INDIRECT(ADDRESS(SumRef!BW32,SumRef!BW$16,,,SumRef!$B$8))))</f>
        <v/>
      </c>
      <c r="AH26" s="1357" t="str">
        <f ca="1">IF('A-80 DirEntInv'!AH25&lt;&gt;"",'A-80 DirEntInv'!AH25,IF(INDIRECT(ADDRESS(SumRef!BX32,SumRef!BX$16,,,SumRef!$B$8))="","",INDIRECT(ADDRESS(SumRef!BX32,SumRef!BX$16,,,SumRef!$B$8))))</f>
        <v/>
      </c>
      <c r="AK26" s="1041" t="str">
        <f>Codes!$C$157</f>
        <v>AG - Automated Guideway (PT)</v>
      </c>
      <c r="AL26" s="1042" t="str">
        <f>Valid!$B$72</f>
        <v>At-Grade/In-Street/Embedded</v>
      </c>
      <c r="AM26" s="1108" t="str">
        <f>IF('A-80 DirEntInv'!AM25&lt;&gt;"",'A-80 DirEntInv'!AM25,IF(AK26=summaryref2!B13,summaryref2!D13,IF(Summary!AK26=summaryref2!B27,summaryref2!D27,IF(AK26=summaryref2!B41,summaryref2!D41,IF(AK26=summaryref2!B55,summaryref2!D55,IF(AK26=summaryref2!B69,summaryref2!D69,IF(AK26=summaryref2!B83,summaryref2!D83,IF(AK26=summaryref2!B97,summaryref2!D97,IF(AK26=summaryref2!B111,summaryref2!D111,IF(AK26=summaryref2!B125,summaryref2!D125,IF(AK26=summaryref2!B139,summaryref2!D139,"")))))))))))</f>
        <v/>
      </c>
      <c r="AN26" s="1109" t="str">
        <f ca="1">IF('A-80 DirEntInv'!AN25&lt;&gt;"",'A-80 DirEntInv'!AN25,IF(INDIRECT(ADDRESS(SumRef!CG36,SumRef!CG$16,,,SumRef!$C$7))="","",INDIRECT(ADDRESS(SumRef!CG36,SumRef!CG$16,,,SumRef!$C$7))))</f>
        <v>Linear Feet</v>
      </c>
      <c r="AO26" s="1108" t="str">
        <f>IF('A-80 DirEntInv'!AO25&lt;&gt;"",'A-80 DirEntInv'!AO25,IF(AK26=summaryref2!B13,summaryref2!F13,IF(Summary!AK26=summaryref2!B27,summaryref2!F27,IF(AK26=summaryref2!B41,summaryref2!F41,IF(AK26=summaryref2!B55,summaryref2!F55,IF(AK26=summaryref2!B69,summaryref2!F69,IF(AK26=summaryref2!B83,summaryref2!F83,IF(AK26=summaryref2!B97,summaryref2!F97,IF(AK26=summaryref2!B111,summaryref2!F111,IF(AK26=summaryref2!B125,summaryref2!F125,IF(AK26=summaryref2!B139,summaryref2!F139,"")))))))))))</f>
        <v/>
      </c>
      <c r="AP26" s="1109" t="str">
        <f ca="1">IF('A-80 DirEntInv'!AP25&lt;&gt;"",'A-80 DirEntInv'!AP25,IF(INDIRECT(ADDRESS(SumRef!#REF!,SumRef!#REF!,,,SumRef!$C$7))="","",INDIRECT(ADDRESS(SumRef!#REF!,SumRef!#REF!,,,SumRef!$C$7))))</f>
        <v>Track Feet</v>
      </c>
      <c r="AQ26" s="1147" t="str">
        <f>IF('A-80 DirEntInv'!AQ25&lt;&gt;"",'A-80 DirEntInv'!AQ25,IF(AK26=summaryref2!B13,summaryref2!G13,IF(Summary!AK26=summaryref2!B27,summaryref2!G27,IF(AK26=summaryref2!B41,summaryref2!G41,IF(AK26=summaryref2!B55,summaryref2!G55,IF(AK26=summaryref2!B69,summaryref2!G69,IF(AK26=summaryref2!B83,summaryref2!G83,IF(AK26=summaryref2!B97,summaryref2!G97,IF(AK26=summaryref2!B111,summaryref2!G111,IF(AK26=summaryref2!B125,summaryref2!G125,IF(AK26=summaryref2!B139,summaryref2!G139,"")))))))))))</f>
        <v/>
      </c>
      <c r="AR26" s="1147" t="str">
        <f>IF('A-80 DirEntInv'!AR25&lt;&gt;"",'A-80 DirEntInv'!AR25,IF(AK26=summaryref2!B13,summaryref2!H13,IF(Summary!AK26=summaryref2!B27,summaryref2!H27,IF(AK26=summaryref2!B41,summaryref2!H41,IF(AK26=summaryref2!B55,summaryref2!H55,IF(AK26=summaryref2!B69,summaryref2!H69,IF(AK26=summaryref2!B83,summaryref2!H83,IF(AK26=summaryref2!B97,summaryref2!H97,IF(AK26=summaryref2!B111,summaryref2!H111,IF(AK26=summaryref2!B125,summaryref2!H125,IF(AK26=summaryref2!B139,summaryref2!H139,"")))))))))))</f>
        <v/>
      </c>
      <c r="AS26" s="1110" t="str">
        <f>IF('A-80 DirEntInv'!AS25&lt;&gt;"",'A-80 DirEntInv'!AS25,IF(AK26=summaryref2!B13,summaryref2!I13,IF(Summary!AK26=summaryref2!B27,summaryref2!I27,IF(AK26=summaryref2!B41,summaryref2!I41,IF(AK26=summaryref2!B55,summaryref2!I55,IF(AK26=summaryref2!B69,summaryref2!I69,IF(AK26=summaryref2!B83,summaryref2!I83,IF(AK26=summaryref2!B97,summaryref2!I97,IF(AK26=summaryref2!B111,summaryref2!I111,IF(AK26=summaryref2!B125,summaryref2!I125,IF(AK26=summaryref2!B139,summaryref2!I139,"")))))))))))</f>
        <v/>
      </c>
      <c r="AT26" s="1110" t="str">
        <f>IF('A-80 DirEntInv'!AT25&lt;&gt;"",'A-80 DirEntInv'!AT25,IF(AK26=summaryref2!B13,summaryref2!J13,IF(Summary!AK26=summaryref2!B27,summaryref2!J27,IF(AK26=summaryref2!B41,summaryref2!J41,IF(AK26=summaryref2!B55,summaryref2!J55,IF(AK26=summaryref2!B69,summaryref2!J69,IF(AK26=summaryref2!B83,summaryref2!J83,IF(AK26=summaryref2!B97,summaryref2!J97,IF(AK26=summaryref2!B111,summaryref2!J111,IF(AK26=summaryref2!B125,summaryref2!J125,IF(AK26=summaryref2!B139,summaryref2!J139,"")))))))))))</f>
        <v/>
      </c>
      <c r="AU26" s="1110" t="str">
        <f>IF('A-80 DirEntInv'!AU25&lt;&gt;"",'A-80 DirEntInv'!AU25,IF(AK26=summaryref2!B13,summaryref2!K13,IF(Summary!AK26=summaryref2!B27,summaryref2!K27,IF(AK26=summaryref2!B41,summaryref2!K41,IF(AK26=summaryref2!B55,summaryref2!K55,IF(AK26=summaryref2!B69,summaryref2!K69,IF(AK26=summaryref2!B83,summaryref2!K83,IF(AK26=summaryref2!B97,summaryref2!K97,IF(AK26=summaryref2!B111,summaryref2!K111,IF(AK26=summaryref2!B125,summaryref2!K125,IF(AK26=summaryref2!B139,summaryref2!K139,"")))))))))))</f>
        <v/>
      </c>
      <c r="AV26" s="1110" t="str">
        <f>IF('A-80 DirEntInv'!AV25&lt;&gt;"",'A-80 DirEntInv'!AV25,IF(AK26=summaryref2!B13,summaryref2!L13,IF(Summary!AK26=summaryref2!B27,summaryref2!L27,IF(AK26=summaryref2!B41,summaryref2!L41,IF(AK26=summaryref2!B55,summaryref2!L55,IF(AK26=summaryref2!B69,summaryref2!L69,IF(AK26=summaryref2!B83,summaryref2!L83,IF(AK26=summaryref2!B97,summaryref2!L97,IF(AK26=summaryref2!B111,summaryref2!L111,IF(AK26=summaryref2!B125,summaryref2!L125,IF(AK26=summaryref2!B139,summaryref2!L139,"")))))))))))</f>
        <v/>
      </c>
      <c r="AW26" s="1110" t="str">
        <f>IF('A-80 DirEntInv'!AW25&lt;&gt;"",'A-80 DirEntInv'!AW25,IF(AK26=summaryref2!B13,summaryref2!M13,IF(Summary!AK26=summaryref2!B27,summaryref2!M27,IF(AK26=summaryref2!B41,summaryref2!M41,IF(AK26=summaryref2!B55,summaryref2!M55,IF(AK26=summaryref2!B69,summaryref2!M69,IF(AK26=summaryref2!B83,summaryref2!M83,IF(AK26=summaryref2!B97,summaryref2!M97,IF(AK26=summaryref2!B111,summaryref2!M111,IF(AK26=summaryref2!B125,summaryref2!M125,IF(AK26=summaryref2!B139,summaryref2!M139,"")))))))))))</f>
        <v/>
      </c>
      <c r="AX26" s="1110" t="str">
        <f>IF('A-80 DirEntInv'!AX25&lt;&gt;"",'A-80 DirEntInv'!AX25,IF(AK26=summaryref2!B13,summaryref2!N13,IF(Summary!AK26=summaryref2!B27,summaryref2!N27,IF(AK26=summaryref2!B41,summaryref2!N41,IF(AK26=summaryref2!B55,summaryref2!N55,IF(AK26=summaryref2!B69,summaryref2!N69,IF(AK26=summaryref2!B83,summaryref2!N83,IF(AK26=summaryref2!B97,summaryref2!N97,IF(AK26=summaryref2!B111,summaryref2!N111,IF(AK26=summaryref2!B125,summaryref2!N125,IF(AK26=summaryref2!B139,summaryref2!N139,"")))))))))))</f>
        <v/>
      </c>
      <c r="AY26" s="1110" t="str">
        <f>IF('A-80 DirEntInv'!AY25&lt;&gt;"",'A-80 DirEntInv'!AY25,IF(AK26=summaryref2!B13,summaryref2!O13,IF(Summary!AK26=summaryref2!B27,summaryref2!O27,IF(AK26=summaryref2!B41,summaryref2!O41,IF(AK26=summaryref2!B55,summaryref2!O55,IF(AK26=summaryref2!B69,summaryref2!O69,IF(AK26=summaryref2!B83,summaryref2!O83,IF(AK26=summaryref2!B97,summaryref2!O97,IF(AK26=summaryref2!B111,summaryref2!O111,IF(AK26=summaryref2!B125,summaryref2!O125,IF(AK26=summaryref2!B139,summaryref2!O139,"")))))))))))</f>
        <v/>
      </c>
      <c r="AZ26" s="1110" t="str">
        <f>IF('A-80 DirEntInv'!AZ25&lt;&gt;"",'A-80 DirEntInv'!AZ25,IF(AK26=summaryref2!B13,summaryref2!P13,IF(Summary!AK26=summaryref2!B27,summaryref2!P27,IF(AK26=summaryref2!B41,summaryref2!P41,IF(AK26=summaryref2!B55,summaryref2!P55,IF(AK26=summaryref2!B69,summaryref2!P69,IF(AK26=summaryref2!B83,summaryref2!P83,IF(AK26=summaryref2!B97,summaryref2!P97,IF(AK26=summaryref2!B111,summaryref2!P111,IF(AK26=summaryref2!B125,summaryref2!P125,IF(AK26=summaryref2!B139,summaryref2!P139,"")))))))))))</f>
        <v/>
      </c>
      <c r="BA26" s="1110" t="str">
        <f>IF('A-80 DirEntInv'!BA25&lt;&gt;"",'A-80 DirEntInv'!BA25,IF(AK26=summaryref2!B13,summaryref2!Q13,IF(Summary!AK26=summaryref2!B27,summaryref2!Q27,IF(AK26=summaryref2!B41,summaryref2!Q41,IF(AK26=summaryref2!B55,summaryref2!Q55,IF(AK26=summaryref2!B69,summaryref2!Q69,IF(AK26=summaryref2!B83,summaryref2!Q83,IF(AK26=summaryref2!B97,summaryref2!Q97,IF(AK26=summaryref2!B111,summaryref2!Q111,IF(AK26=summaryref2!B125,summaryref2!Q125,IF(AK26=summaryref2!B139,summaryref2!Q139,"")))))))))))</f>
        <v/>
      </c>
      <c r="BB26" s="1110" t="str">
        <f>IF('A-80 DirEntInv'!BB25&lt;&gt;"",'A-80 DirEntInv'!BB25,IF(AK26=summaryref2!B13,summaryref2!R13,IF(Summary!AK26=summaryref2!B27,summaryref2!R27,IF(AK26=summaryref2!B41,summaryref2!R41,IF(AK26=summaryref2!B55,summaryref2!R55,IF(AK26=summaryref2!B69,summaryref2!R69,IF(AK26=summaryref2!B83,summaryref2!R83,IF(AK26=summaryref2!B97,summaryref2!R97,IF(AK26=summaryref2!B111,summaryref2!R111,IF(AK26=summaryref2!B125,summaryref2!R125,IF(AK26=summaryref2!B139,summaryref2!R139,"")))))))))))</f>
        <v/>
      </c>
      <c r="BC26" s="1110" t="str">
        <f>IF('A-80 DirEntInv'!BC25&lt;&gt;0,'A-80 DirEntInv'!BC25,IF(AK26=summaryref2!B13,summaryref2!S13,IF(Summary!AK26=summaryref2!B27,summaryref2!S27,IF(AK26=summaryref2!B41,summaryref2!S41,IF(AK26=summaryref2!B55,summaryref2!S55,IF(AK26=summaryref2!B69,summaryref2!S69,IF(AK26=summaryref2!B83,summaryref2!S83,IF(AK26=summaryref2!B97,summaryref2!S97,IF(AK26=summaryref2!B111,summaryref2!S111,IF(AK26=summaryref2!B125,summaryref2!S125,IF(AK26=summaryref2!B139,summaryref2!S139,"")))))))))))</f>
        <v/>
      </c>
      <c r="BD26" s="1111" t="str">
        <f>IF('A-80 DirEntInv'!BD25&lt;&gt;"",'A-80 DirEntInv'!BD25,IF(AK26=summaryref2!B13,summaryref2!T13,IF(Summary!AK26=summaryref2!B27,summaryref2!T27,IF(AK26=summaryref2!B41,summaryref2!T41,IF(AK26=summaryref2!B55,summaryref2!T55,IF(AK26=summaryref2!B69,summaryref2!T69,IF(AK26=summaryref2!B83,summaryref2!T83,IF(AK26=summaryref2!B97,summaryref2!T97,IF(AK26=summaryref2!B111,summaryref2!T111,IF(AK26=summaryref2!B125,summaryref2!T125,IF(AK26=summaryref2!B139,summaryref2!T139,"")))))))))))</f>
        <v/>
      </c>
      <c r="BE26" s="1184" t="str">
        <f>IF('A-80 DirEntInv'!BE25&lt;&gt;"",'A-80 DirEntInv'!BE25,IF(AK26=summaryref2!B13,summaryref2!U13,IF(Summary!AK26=summaryref2!B27,summaryref2!U27,IF(AK26=summaryref2!B41,summaryref2!U41,IF(AK26=summaryref2!B55,summaryref2!U55,IF(AK26=summaryref2!B69,summaryref2!U69,IF(AK26=summaryref2!B83,summaryref2!U83,IF(AK26=summaryref2!B97,summaryref2!U97,IF(AK26=summaryref2!B111,summaryref2!U111,IF(AK26=summaryref2!B125,summaryref2!U125,IF(AK26=summaryref2!B139,summaryref2!U139,"")))))))))))</f>
        <v/>
      </c>
      <c r="BF26" s="1432"/>
      <c r="BG26" s="1432"/>
      <c r="BJ26" s="1048" t="str">
        <f>Codes!$C$158</f>
        <v>AR - Alaska Railroad</v>
      </c>
      <c r="BK26" s="1049" t="str">
        <f>Valid!$B$81</f>
        <v>Curve</v>
      </c>
      <c r="BL26" s="1367" t="str">
        <f>IF('A-80 DirEntInv'!BL25&lt;&gt;"",'A-80 DirEntInv'!BL25,IF(BJ26=summaryref2!X13,summaryref2!Z13,IF(BJ26=summaryref2!X20,summaryref2!Z20,IF(BJ26=summaryref2!X27,summaryref2!Z27,IF(BJ26=summaryref2!X34,summaryref2!Z34,IF(BJ26=summaryref2!X41,summaryref2!Z41,IF(BJ26=summaryref2!X48,summaryref2!Z48,IF(BJ26=summaryref2!X55,summaryref2!Z55,IF(BJ26=summaryref2!X62,summaryref2!Z62,IF(BJ26=summaryref2!X69,summaryref2!Z69,IF(BJ26=summaryref2!X76,summaryref2!Z76,"")))))))))))</f>
        <v/>
      </c>
      <c r="BM26" s="1049" t="str">
        <f>VLOOKUP(BK26,Valid!$B$80:$C$86,2,FALSE)</f>
        <v>Track Feet</v>
      </c>
      <c r="BN26" s="1324" t="str">
        <f>IF('A-80 DirEntInv'!BN25&lt;&gt;"",'A-80 DirEntInv'!BN25,IF(BJ26=summaryref2!X13,summaryref2!AB13,IF(BJ26=summaryref2!X20,summaryref2!AB20,IF(BJ26=summaryref2!X27,summaryref2!AB27,IF(BJ26=summaryref2!X34,summaryref2!AB34,IF(BJ26=summaryref2!X41,summaryref2!AB41,IF(BJ26=summaryref2!X48,summaryref2!AB48,IF(BJ26=summaryref2!X55,summaryref2!AB55,IF(BJ26=summaryref2!X62,summaryref2!AB62,IF(BJ26=summaryref2!X69,summaryref2!AB69,IF(BJ26=summaryref2!X76,summaryref2!AB76,"")))))))))))</f>
        <v/>
      </c>
      <c r="BO26" s="1326" t="str">
        <f>IF('A-80 DirEntInv'!BO25&lt;&gt;"",'A-80 DirEntInv'!BO25,IF(BJ26=summaryref2!X13,summaryref2!AC13,IF(BJ26=summaryref2!X20,summaryref2!AC20,IF(BJ26=summaryref2!X27,summaryref2!AC27,IF(BJ26=summaryref2!X34,summaryref2!AC34,IF(BJ26=summaryref2!X41,summaryref2!AC41,IF(BJ26=summaryref2!X48,summaryref2!AC48,IF(BJ26=summaryref2!X55,summaryref2!AC55,IF(BJ26=summaryref2!X62,summaryref2!AC62,IF(BJ26=summaryref2!X69,summaryref2!AC69,IF(BJ26=summaryref2!X76,summaryref2!AC76,"")))))))))))</f>
        <v/>
      </c>
      <c r="BP26" s="1323" t="str">
        <f>IF('A-80 DirEntInv'!BP25&lt;&gt;"",'A-80 DirEntInv'!BP25,IF(BJ26=summaryref2!X13,summaryref2!AD13,IF(BJ26=summaryref2!X20,summaryref2!AD20,IF(BJ26=summaryref2!X27,summaryref2!AD27,IF(BJ26=summaryref2!X34,summaryref2!AD34,IF(BJ26=summaryref2!X41,summaryref2!AD41,IF(BJ26=summaryref2!X48,summaryref2!AD48,IF(BJ26=summaryref2!X55,summaryref2!AD55,IF(BJ26=summaryref2!X62,summaryref2!AD62,IF(BJ26=summaryref2!X69,summaryref2!AD69,IF(BJ26=summaryref2!X76,summaryref2!AD76,"")))))))))))</f>
        <v/>
      </c>
      <c r="BS26" s="1472" t="str">
        <f ca="1">IF('A-80 DirEntInv'!BU25&lt;&gt;"",'A-80 DirEntInv'!BU25,IF(INDIRECT(ADDRESS(SumRef!DK32,SumRef!DK$16,,,SumRef!$E$6))="","",INDIRECT(ADDRESS(SumRef!DK32,SumRef!DK$16,,,SumRef!$E$6))))</f>
        <v/>
      </c>
      <c r="BT26" s="1458" t="str">
        <f ca="1">IF('A-80 DirEntInv'!BV25&lt;&gt;"",'A-80 DirEntInv'!BV25,IF(INDIRECT(ADDRESS(SumRef!DL32,SumRef!DL$16,,,SumRef!$E$6))="","",INDIRECT(ADDRESS(SumRef!DL32,SumRef!DL$16,,,SumRef!$E$6))))</f>
        <v/>
      </c>
      <c r="BU26" s="1177" t="str">
        <f ca="1">IF('A-80 DirEntInv'!BW25&lt;&gt;"",'A-80 DirEntInv'!BW25,IF(INDIRECT(ADDRESS(SumRef!DM32,SumRef!DM$16,,,SumRef!$E$6))="","",INDIRECT(ADDRESS(SumRef!DM32,SumRef!DM$16,,,SumRef!$E$6))))</f>
        <v/>
      </c>
      <c r="BV26" s="1460" t="str">
        <f ca="1">IF('A-80 DirEntInv'!BX25&lt;&gt;"",'A-80 DirEntInv'!BX25,IF(INDIRECT(ADDRESS(SumRef!DN32,SumRef!DN$16,,,SumRef!$E$6))="","",INDIRECT(ADDRESS(SumRef!DN32,SumRef!DN$16,,,SumRef!$E$6))))</f>
        <v/>
      </c>
      <c r="BW26" s="1460" t="str">
        <f ca="1">IF('A-80 DirEntInv'!BY25&lt;&gt;"",'A-80 DirEntInv'!BY25,IF(INDIRECT(ADDRESS(SumRef!DO32,SumRef!DO$16,,,SumRef!$E$6))="","",INDIRECT(ADDRESS(SumRef!DO32,SumRef!DO$16,,,SumRef!$E$6))))</f>
        <v/>
      </c>
      <c r="BX26" s="1116" t="str">
        <f ca="1">IF('A-80 DirEntInv'!BZ25&lt;&gt;"",'A-80 DirEntInv'!BZ25,IF(INDIRECT(ADDRESS(SumRef!DP32,SumRef!DP$16,,,SumRef!$E$6))="","",INDIRECT(ADDRESS(SumRef!DP32,SumRef!DP$16,,,SumRef!$E$6))))</f>
        <v/>
      </c>
      <c r="BY26" s="1461" t="str">
        <f ca="1">IF('A-80 DirEntInv'!CA25&lt;&gt;"",'A-80 DirEntInv'!CA25,IF(INDIRECT(ADDRESS(SumRef!DQ32,SumRef!DQ$16,,,SumRef!$E$6))="","",INDIRECT(ADDRESS(SumRef!DQ32,SumRef!DQ$16,,,SumRef!$E$6))))</f>
        <v/>
      </c>
      <c r="BZ26" s="1460" t="str">
        <f ca="1">IF('A-80 DirEntInv'!CB25&lt;&gt;"",'A-80 DirEntInv'!CB25,IF(INDIRECT(ADDRESS(SumRef!DR32,SumRef!DR$16,,,SumRef!$E$6))="","",INDIRECT(ADDRESS(SumRef!DR32,SumRef!DR$16,,,SumRef!$E$6))))</f>
        <v/>
      </c>
      <c r="CA26" s="1462" t="str">
        <f ca="1">IF('A-80 DirEntInv'!CC25&lt;&gt;"",'A-80 DirEntInv'!CC25,IF(INDIRECT(ADDRESS(SumRef!DS32,SumRef!DS$16,,,SumRef!$E$6))="","",INDIRECT(ADDRESS(SumRef!DS32,SumRef!DS$16,,,SumRef!$E$6))))</f>
        <v/>
      </c>
      <c r="CD26" s="1160" t="str">
        <f ca="1">IF('A-80 DirEntInv'!CF25&lt;&gt;"",'A-80 DirEntInv'!CF25,IF(INDIRECT(ADDRESS(SumRef!DV32,SumRef!DV$16,,,SumRef!$E$7))="","",INDIRECT(ADDRESS(SumRef!DV32,SumRef!DV$16,,,SumRef!$E$7))))</f>
        <v/>
      </c>
      <c r="CE26" s="1167" t="str">
        <f ca="1">IF('A-80 DirEntInv'!CG25&lt;&gt;"",'A-80 DirEntInv'!CG25,IF(INDIRECT(ADDRESS(SumRef!DW32,SumRef!DW$16,,,SumRef!$E$7))="","",INDIRECT(ADDRESS(SumRef!DW32,SumRef!DW$16,,,SumRef!$E$7))))</f>
        <v/>
      </c>
      <c r="CF26" s="1167" t="str">
        <f ca="1">IF('A-80 DirEntInv'!CH25&lt;&gt;"",'A-80 DirEntInv'!CH25,IF(INDIRECT(ADDRESS(SumRef!DX32,SumRef!DX$16,,,SumRef!$E$7))="","",INDIRECT(ADDRESS(SumRef!DX32,SumRef!DX$16,,,SumRef!$E$7))))</f>
        <v/>
      </c>
      <c r="CG26" s="1167" t="str">
        <f ca="1">IF('A-80 DirEntInv'!CI25&lt;&gt;"",'A-80 DirEntInv'!CI25,IF(INDIRECT(ADDRESS(SumRef!DY32,SumRef!DY$16,,,SumRef!$E$7))="","",INDIRECT(ADDRESS(SumRef!DY32,SumRef!DY$16,,,SumRef!$E$7))))</f>
        <v/>
      </c>
      <c r="CH26" s="1167" t="str">
        <f ca="1">IF('A-80 DirEntInv'!CJ25&lt;&gt;"",'A-80 DirEntInv'!CJ25,IF(INDIRECT(ADDRESS(SumRef!DZ32,SumRef!DZ$16,,,SumRef!$E$7))="","",INDIRECT(ADDRESS(SumRef!DZ32,SumRef!DZ$16,,,SumRef!$E$7))))</f>
        <v/>
      </c>
      <c r="CI26" s="1167" t="str">
        <f ca="1">IF('A-80 DirEntInv'!CK25&lt;&gt;"",'A-80 DirEntInv'!CK25,IF(INDIRECT(ADDRESS(SumRef!EA32,SumRef!EA$16,,,SumRef!$E$7))="","",INDIRECT(ADDRESS(SumRef!EA32,SumRef!EA$16,,,SumRef!$E$7))))</f>
        <v/>
      </c>
      <c r="CJ26" s="1114" t="str">
        <f ca="1">IF('A-80 DirEntInv'!CL25&lt;&gt;"",'A-80 DirEntInv'!CL25,IF(INDIRECT(ADDRESS(SumRef!EB32,SumRef!EB$16,,,SumRef!$E$7))="","",INDIRECT(ADDRESS(SumRef!EB32,SumRef!EB$16,,,SumRef!$E$7))))</f>
        <v/>
      </c>
      <c r="CK26" s="1114" t="str">
        <f ca="1">IF('A-80 DirEntInv'!CM25&lt;&gt;"",'A-80 DirEntInv'!CM25,IF(INDIRECT(ADDRESS(SumRef!EC32,SumRef!EC$16,,,SumRef!$E$7))="","",INDIRECT(ADDRESS(SumRef!EC32,SumRef!EC$16,,,SumRef!$E$7))))</f>
        <v/>
      </c>
      <c r="CL26" s="1113" t="str">
        <f ca="1">IF('A-80 DirEntInv'!CO25&lt;&gt;"",'A-80 DirEntInv'!CO25,IF(INDIRECT(ADDRESS(SumRef!ED32,SumRef!ED$16,,,SumRef!$E$7))="","",INDIRECT(ADDRESS(SumRef!ED32,SumRef!ED$16,,,SumRef!$E$7))))</f>
        <v/>
      </c>
      <c r="CM26" s="1114" t="str">
        <f ca="1">IF('A-80 DirEntInv'!CP25&lt;&gt;"",'A-80 DirEntInv'!CP25,IF(INDIRECT(ADDRESS(SumRef!EE32,SumRef!EE$16,,,SumRef!$E$7))="","",INDIRECT(ADDRESS(SumRef!EE32,SumRef!EE$16,,,SumRef!$E$7))))</f>
        <v/>
      </c>
      <c r="CN26" s="1114" t="str">
        <f ca="1">IF('A-80 DirEntInv'!CQ25&lt;&gt;"",'A-80 DirEntInv'!CQ25,IF(INDIRECT(ADDRESS(SumRef!EF32,SumRef!EF$16,,,SumRef!$E$7))="","",INDIRECT(ADDRESS(SumRef!EF32,SumRef!EF$16,,,SumRef!$E$7))))</f>
        <v/>
      </c>
      <c r="CO26" s="1113" t="str">
        <f ca="1">IF('A-80 DirEntInv'!CR25&lt;&gt;"",'A-80 DirEntInv'!CR25,IF(INDIRECT(ADDRESS(SumRef!EG32,SumRef!EG$16,,,SumRef!$E$7))="","",INDIRECT(ADDRESS(SumRef!EG32,SumRef!EG$16,,,SumRef!$E$7))))</f>
        <v/>
      </c>
      <c r="CP26" s="1114" t="str">
        <f ca="1">IF('A-80 DirEntInv'!CS25&lt;&gt;"",'A-80 DirEntInv'!CS25,IF(INDIRECT(ADDRESS(SumRef!EH32,SumRef!EH$16,,,SumRef!$E$7))="","",INDIRECT(ADDRESS(SumRef!EH32,SumRef!EH$16,,,SumRef!$E$7))))</f>
        <v/>
      </c>
      <c r="CQ26" s="1346" t="str">
        <f ca="1">IF('A-80 DirEntInv'!CT25&lt;&gt;"",'A-80 DirEntInv'!CT25,IF(INDIRECT(ADDRESS(SumRef!EI32,SumRef!EI$16,,,SumRef!$E$7))="","",INDIRECT(ADDRESS(SumRef!EI32,SumRef!EI$16,,,SumRef!$E$7))))</f>
        <v/>
      </c>
      <c r="CR26" s="1113" t="str">
        <f ca="1">IF('A-80 DirEntInv'!CU25&lt;&gt;"",'A-80 DirEntInv'!CU25,IF(INDIRECT(ADDRESS(SumRef!EJ32,SumRef!EJ$16,,,SumRef!$E$7))="","",INDIRECT(ADDRESS(SumRef!EJ32,SumRef!EJ$16,,,SumRef!$E$7))))</f>
        <v/>
      </c>
      <c r="CS26" s="1346" t="str">
        <f ca="1">IF('A-80 DirEntInv'!CV25&lt;&gt;"",'A-80 DirEntInv'!CV25,IF(INDIRECT(ADDRESS(SumRef!EM32,SumRef!EM$16,,,SumRef!$E$7))="","",INDIRECT(ADDRESS(SumRef!EM32,SumRef!EM$16,,,SumRef!$E$7))))</f>
        <v/>
      </c>
      <c r="CT26" s="1113" t="str">
        <f ca="1">IF('A-80 DirEntInv'!CW25&lt;&gt;"",'A-80 DirEntInv'!CW25,IF(INDIRECT(ADDRESS(SumRef!EN32,SumRef!EN$16,,,SumRef!$E$7))="","",INDIRECT(ADDRESS(SumRef!EN32,SumRef!EN$16,,,SumRef!$E$7))))</f>
        <v/>
      </c>
      <c r="CU26" s="1113" t="str">
        <f ca="1">IF('A-80 DirEntInv'!CX25&lt;&gt;"",'A-80 DirEntInv'!CX25,IF(INDIRECT(ADDRESS(SumRef!EO32,SumRef!EO$16,,,SumRef!$E$7))="","",INDIRECT(ADDRESS(SumRef!EO32,SumRef!EO$16,,,SumRef!$E$7))))</f>
        <v/>
      </c>
      <c r="CV26" s="1113" t="str">
        <f ca="1">IF('A-80 DirEntInv'!CY25&lt;&gt;"",'A-80 DirEntInv'!CY25,IF(INDIRECT(ADDRESS(SumRef!EP32,SumRef!EP$16,,,SumRef!$E$7))="","",INDIRECT(ADDRESS(SumRef!EP32,SumRef!EP$16,,,SumRef!$E$7))))</f>
        <v/>
      </c>
      <c r="CW26" s="1114" t="str">
        <f ca="1">IF('A-80 DirEntInv'!CZ25&lt;&gt;"",'A-80 DirEntInv'!CZ25,IF(INDIRECT(ADDRESS(SumRef!ES32,SumRef!ES$16,,,SumRef!$E$7))="","",INDIRECT(ADDRESS(SumRef!ES32,SumRef!ES$16,,,SumRef!$E$7))))</f>
        <v/>
      </c>
      <c r="CX26" s="1167" t="str">
        <f ca="1">IF('A-80 DirEntInv'!DA25&lt;&gt;"",'A-80 DirEntInv'!DA25,IF(INDIRECT(ADDRESS(SumRef!ET32,SumRef!ET$16,,,SumRef!$E$7))="","",INDIRECT(ADDRESS(SumRef!ET32,SumRef!ET$16,,,SumRef!$E$7))))</f>
        <v/>
      </c>
      <c r="CY26" s="1167" t="str">
        <f ca="1">IF('A-80 DirEntInv'!DB25&lt;&gt;"",'A-80 DirEntInv'!DB25,IF(INDIRECT(ADDRESS(SumRef!EU32,SumRef!EU$16,,,SumRef!$E$7))="","",INDIRECT(ADDRESS(SumRef!EU32,SumRef!EU$16,,,SumRef!$E$7))))</f>
        <v/>
      </c>
      <c r="CZ26" s="1167" t="b">
        <f ca="1">IF('A-80 DirEntInv'!DC25&lt;&gt;"",'A-80 DirEntInv'!DC25,IF(INDIRECT(ADDRESS(SumRef!EV32,SumRef!EV$16,,,SumRef!$E$7))="","",INDIRECT(ADDRESS(SumRef!EV32,SumRef!EV$16,,,SumRef!$E$7))))</f>
        <v>0</v>
      </c>
      <c r="DA26" s="1373" t="str">
        <f ca="1">IF('A-80 DirEntInv'!DD25&lt;&gt;"",'A-80 DirEntInv'!DD25,IF(INDIRECT(ADDRESS(SumRef!EW32,SumRef!EW$16,,,SumRef!$E$7))="","",INDIRECT(ADDRESS(SumRef!EW32,SumRef!EW$16,,,SumRef!$E$7))))</f>
        <v/>
      </c>
      <c r="DB26" s="1373" t="b">
        <f ca="1">IF('A-80 DirEntInv'!DE25&lt;&gt;"",'A-80 DirEntInv'!DE25,IF(INDIRECT(ADDRESS(SumRef!EX32,SumRef!EX$16,,,SumRef!$E$7))="","",INDIRECT(ADDRESS(SumRef!EX32,SumRef!EX$16,,,SumRef!$E$7))))</f>
        <v>0</v>
      </c>
      <c r="DC26" s="1114" t="b">
        <f ca="1">IF('A-80 DirEntInv'!DF25&lt;&gt;"",'A-80 DirEntInv'!DF25,IF(INDIRECT(ADDRESS(SumRef!EY32,SumRef!EY$16,,,SumRef!$E$7))="","",INDIRECT(ADDRESS(SumRef!EY32,SumRef!EY$16,,,SumRef!$E$7))))</f>
        <v>0</v>
      </c>
      <c r="DD26" s="1115" t="str">
        <f ca="1">IF('A-80 DirEntInv'!DG25&lt;&gt;"",'A-80 DirEntInv'!DG25,IF(INDIRECT(ADDRESS(SumRef!EZ32,SumRef!EZ$16,,,SumRef!$E$7))="","",INDIRECT(ADDRESS(SumRef!EZ32,SumRef!EZ$16,,,SumRef!$E$7))))</f>
        <v/>
      </c>
    </row>
    <row r="27" spans="1:108" s="588" customFormat="1" ht="13.5" thickTop="1" x14ac:dyDescent="0.2">
      <c r="A27" s="589">
        <f t="shared" si="0"/>
        <v>17</v>
      </c>
      <c r="B27" s="1155" t="str">
        <f ca="1">IF('A-80 DirEntInv'!B26&lt;&gt;"",'A-80 DirEntInv'!B26,IF(INDIRECT(ADDRESS(SumRef!AQ33,SumRef!AQ$16,,,SumRef!$B$7))="","",INDIRECT(ADDRESS(SumRef!AQ33,SumRef!AQ$16,,,SumRef!$B$7))))</f>
        <v/>
      </c>
      <c r="C27" s="1097" t="str">
        <f ca="1">IF('A-80 DirEntInv'!C26&lt;&gt;"",'A-80 DirEntInv'!C26,IF(INDIRECT(ADDRESS(SumRef!AR33,SumRef!AR$16,,,SumRef!$B$7))="","",INDIRECT(ADDRESS(SumRef!AR33,SumRef!AR$16,,,SumRef!$B$7))))</f>
        <v/>
      </c>
      <c r="D27" s="1097" t="str">
        <f ca="1">IF('A-80 DirEntInv'!D26&lt;&gt;"",'A-80 DirEntInv'!D26,IF(INDIRECT(ADDRESS(SumRef!AS33,SumRef!AS$16,,,SumRef!$B$7))="","",INDIRECT(ADDRESS(SumRef!AS33,SumRef!AS$16,,,SumRef!$B$7))))</f>
        <v/>
      </c>
      <c r="E27" s="1097" t="str">
        <f ca="1">IF('A-80 DirEntInv'!E26&lt;&gt;"",'A-80 DirEntInv'!E26,IF(INDIRECT(ADDRESS(SumRef!AT33,SumRef!AT$16,,,SumRef!$B$7))="","",INDIRECT(ADDRESS(SumRef!AT33,SumRef!AT$16,,,SumRef!$B$7))))</f>
        <v/>
      </c>
      <c r="F27" s="1097" t="str">
        <f ca="1">IF('A-80 DirEntInv'!F26&lt;&gt;"",'A-80 DirEntInv'!F26,IF(INDIRECT(ADDRESS(SumRef!AU33,SumRef!AU$16,,,SumRef!$B$7))="","",INDIRECT(ADDRESS(SumRef!AU33,SumRef!AU$16,,,SumRef!$B$7))))</f>
        <v/>
      </c>
      <c r="G27" s="1158" t="str">
        <f ca="1">IF('A-80 DirEntInv'!G26&lt;&gt;"",'A-80 DirEntInv'!G26,IF(INDIRECT(ADDRESS(SumRef!AV33,SumRef!AV$16,,,SumRef!$B$7))="","",INDIRECT(ADDRESS(SumRef!AV33,SumRef!AV$16,,,SumRef!$B$7))))</f>
        <v/>
      </c>
      <c r="H27" s="1097" t="str">
        <f ca="1">IF('A-80 DirEntInv'!H26&lt;&gt;"",'A-80 DirEntInv'!H26,IF(INDIRECT(ADDRESS(SumRef!AW33,SumRef!AW$16,,,SumRef!$B$7))="","",INDIRECT(ADDRESS(SumRef!AW33,SumRef!AW$16,,,SumRef!$B$7))))</f>
        <v/>
      </c>
      <c r="I27" s="1097" t="str">
        <f ca="1">IF('A-80 DirEntInv'!I26&lt;&gt;"",'A-80 DirEntInv'!I26,IF(INDIRECT(ADDRESS(SumRef!AX33,SumRef!AX$16,,,SumRef!$B$7))="","",INDIRECT(ADDRESS(SumRef!AX33,SumRef!AX$16,,,SumRef!$B$7))))</f>
        <v/>
      </c>
      <c r="J27" s="1098" t="str">
        <f ca="1">IF('A-80 DirEntInv'!J26&lt;&gt;"",'A-80 DirEntInv'!J26,IF(INDIRECT(ADDRESS(SumRef!AY33,SumRef!AY$16,,,SumRef!$B$7))="","",INDIRECT(ADDRESS(SumRef!AY33,SumRef!AY$16,,,SumRef!$B$7))))</f>
        <v/>
      </c>
      <c r="K27" s="1099" t="str">
        <f ca="1">IF('A-80 DirEntInv'!K26&lt;&gt;"",'A-80 DirEntInv'!K26,IF(INDIRECT(ADDRESS(SumRef!AZ33,SumRef!AZ$16,,,SumRef!$B$7))="","",INDIRECT(ADDRESS(SumRef!AZ33,SumRef!AZ$16,,,SumRef!$B$7))))</f>
        <v/>
      </c>
      <c r="L27" s="1100" t="str">
        <f ca="1">IF('A-80 DirEntInv'!L26&lt;&gt;"",'A-80 DirEntInv'!L26,IF(INDIRECT(ADDRESS(SumRef!BA33,SumRef!BA$16,,,SumRef!$B$7))="","",INDIRECT(ADDRESS(SumRef!BA33,SumRef!BA$16,,,SumRef!$B$7))))</f>
        <v/>
      </c>
      <c r="M27" s="1101" t="str">
        <f ca="1">IF('A-80 DirEntInv'!M26&lt;&gt;"",'A-80 DirEntInv'!M26,IF(INDIRECT(ADDRESS(SumRef!BB33,SumRef!BB$16,,,SumRef!$B$7))="","",INDIRECT(ADDRESS(SumRef!BB33,SumRef!BB$16,,,SumRef!$B$7))))</f>
        <v/>
      </c>
      <c r="N27" s="1098" t="str">
        <f ca="1">IF('A-80 DirEntInv'!N26&lt;&gt;"",'A-80 DirEntInv'!N26,IF(INDIRECT(ADDRESS(SumRef!BC33,SumRef!BC$16,,,SumRef!$B$7))="","",INDIRECT(ADDRESS(SumRef!BC33,SumRef!BC$16,,,SumRef!$B$7))))</f>
        <v/>
      </c>
      <c r="O27" s="1102" t="str">
        <f ca="1">IF('A-80 DirEntInv'!O26&lt;&gt;"",'A-80 DirEntInv'!O26,IF(INDIRECT(ADDRESS(SumRef!BD33,SumRef!BD$16,,,SumRef!$B$7))="","",INDIRECT(ADDRESS(SumRef!BD33,SumRef!BD$16,,,SumRef!$B$7))))</f>
        <v/>
      </c>
      <c r="Q27" s="589"/>
      <c r="R27" s="1103" t="str">
        <f ca="1">IF('A-80 DirEntInv'!R26&lt;&gt;"",'A-80 DirEntInv'!R26,IF(INDIRECT(ADDRESS(SumRef!BH33,SumRef!BH$16,,,SumRef!$B$8))="","",INDIRECT(ADDRESS(SumRef!BH33,SumRef!BH$16,,,SumRef!$B$8))))</f>
        <v/>
      </c>
      <c r="S27" s="1104" t="str">
        <f ca="1">IF('A-80 DirEntInv'!S26&lt;&gt;"",'A-80 DirEntInv'!S26,IF(INDIRECT(ADDRESS(SumRef!BI33,SumRef!BI$16,,,SumRef!$B$8))="","",INDIRECT(ADDRESS(SumRef!BI33,SumRef!BI$16,,,SumRef!$B$8))))</f>
        <v/>
      </c>
      <c r="T27" s="1104" t="str">
        <f ca="1">IF('A-80 DirEntInv'!T26&lt;&gt;"",'A-80 DirEntInv'!T26,IF(INDIRECT(ADDRESS(SumRef!BJ33,SumRef!BJ$16,,,SumRef!$B$8))="","",INDIRECT(ADDRESS(SumRef!BJ33,SumRef!BJ$16,,,SumRef!$B$8))))</f>
        <v/>
      </c>
      <c r="U27" s="1104" t="str">
        <f ca="1">IF('A-80 DirEntInv'!U26&lt;&gt;"",'A-80 DirEntInv'!U26,IF(INDIRECT(ADDRESS(SumRef!BK33,SumRef!BK$16,,,SumRef!$B$8))="","",INDIRECT(ADDRESS(SumRef!BK33,SumRef!BK$16,,,SumRef!$B$8))))</f>
        <v/>
      </c>
      <c r="V27" s="1104" t="str">
        <f ca="1">IF('A-80 DirEntInv'!V26&lt;&gt;"",'A-80 DirEntInv'!V26,IF(INDIRECT(ADDRESS(SumRef!BL33,SumRef!BL$16,,,SumRef!$B$8))="","",INDIRECT(ADDRESS(SumRef!BL33,SumRef!BL$16,,,SumRef!$B$8))))</f>
        <v/>
      </c>
      <c r="W27" s="1354" t="str">
        <f ca="1">IF('A-80 DirEntInv'!W26&lt;&gt;"",'A-80 DirEntInv'!W26,IF(INDIRECT(ADDRESS(SumRef!BM33,SumRef!BM$16,,,SumRef!$B$8))="","",INDIRECT(ADDRESS(SumRef!BM33,SumRef!BM$16,,,SumRef!$B$8))))</f>
        <v/>
      </c>
      <c r="X27" s="1203" t="str">
        <f ca="1">IF('A-80 DirEntInv'!X26&lt;&gt;"",'A-80 DirEntInv'!X26,IF(INDIRECT(ADDRESS(SumRef!BN33,SumRef!BN$16,,,SumRef!$B$8))="","",INDIRECT(ADDRESS(SumRef!BN33,SumRef!BN$16,,,SumRef!$B$8))))</f>
        <v/>
      </c>
      <c r="Y27" s="1203" t="str">
        <f ca="1">IF('A-80 DirEntInv'!Y26&lt;&gt;"",'A-80 DirEntInv'!Y26,IF(INDIRECT(ADDRESS(SumRef!BO33,SumRef!BO$16,,,SumRef!$B$8))="","",INDIRECT(ADDRESS(SumRef!BO33,SumRef!BO$16,,,SumRef!$B$8))))</f>
        <v/>
      </c>
      <c r="Z27" s="1104" t="str">
        <f ca="1">IF('A-80 DirEntInv'!Z26&lt;&gt;"",'A-80 DirEntInv'!Z26,IF(INDIRECT(ADDRESS(SumRef!BP33,SumRef!BP$16,,,SumRef!$B$8))="","",INDIRECT(ADDRESS(SumRef!BP33,SumRef!BP$16,,,SumRef!$B$8))))</f>
        <v/>
      </c>
      <c r="AA27" s="1104" t="str">
        <f ca="1">IF('A-80 DirEntInv'!AA26&lt;&gt;"",'A-80 DirEntInv'!AA26,IF(INDIRECT(ADDRESS(SumRef!BQ33,SumRef!BQ$16,,,SumRef!$B$8))="","",INDIRECT(ADDRESS(SumRef!BQ33,SumRef!BQ$16,,,SumRef!$B$8))))</f>
        <v/>
      </c>
      <c r="AB27" s="1106" t="str">
        <f ca="1">IF('A-80 DirEntInv'!AB26&lt;&gt;"",'A-80 DirEntInv'!AB26,IF(INDIRECT(ADDRESS(SumRef!BR33,SumRef!BR$16,,,SumRef!$B$8))="","",INDIRECT(ADDRESS(SumRef!BR33,SumRef!BR$16,,,SumRef!$B$8))))</f>
        <v/>
      </c>
      <c r="AC27" s="1107" t="str">
        <f ca="1">IF('A-80 DirEntInv'!AC26&lt;&gt;"",'A-80 DirEntInv'!AC26,IF(INDIRECT(ADDRESS(SumRef!BS33,SumRef!BS$16,,,SumRef!$B$8))="","",INDIRECT(ADDRESS(SumRef!BS33,SumRef!BS$16,,,SumRef!$B$8))))</f>
        <v/>
      </c>
      <c r="AD27" s="1349" t="str">
        <f ca="1">IF('A-80 DirEntInv'!AD26&lt;&gt;"",'A-80 DirEntInv'!AD26,IF(INDIRECT(ADDRESS(SumRef!BT33,SumRef!BT$16,,,SumRef!$B$8))="","",INDIRECT(ADDRESS(SumRef!BT33,SumRef!BT$16,,,SumRef!$B$8))))</f>
        <v/>
      </c>
      <c r="AE27" s="1137" t="str">
        <f ca="1">IF('A-80 DirEntInv'!AE26&lt;&gt;"",'A-80 DirEntInv'!AE26,IF(INDIRECT(ADDRESS(SumRef!BU33,SumRef!BU$16,,,SumRef!$B$8))="","",INDIRECT(ADDRESS(SumRef!BU33,SumRef!BU$16,,,SumRef!$B$8))))</f>
        <v/>
      </c>
      <c r="AF27" s="1346" t="str">
        <f ca="1">IF('A-80 DirEntInv'!AF26&lt;&gt;"",'A-80 DirEntInv'!AF26,IF(INDIRECT(ADDRESS(SumRef!BV33,SumRef!BV$16,,,SumRef!$B$8))="","",INDIRECT(ADDRESS(SumRef!BV33,SumRef!BV$16,,,SumRef!$B$8))))</f>
        <v/>
      </c>
      <c r="AG27" s="1105" t="str">
        <f ca="1">IF('A-80 DirEntInv'!AG26&lt;&gt;"",'A-80 DirEntInv'!AG26,IF(INDIRECT(ADDRESS(SumRef!BW33,SumRef!BW$16,,,SumRef!$B$8))="","",INDIRECT(ADDRESS(SumRef!BW33,SumRef!BW$16,,,SumRef!$B$8))))</f>
        <v/>
      </c>
      <c r="AH27" s="1357" t="str">
        <f ca="1">IF('A-80 DirEntInv'!AH26&lt;&gt;"",'A-80 DirEntInv'!AH26,IF(INDIRECT(ADDRESS(SumRef!BX33,SumRef!BX$16,,,SumRef!$B$8))="","",INDIRECT(ADDRESS(SumRef!BX33,SumRef!BX$16,,,SumRef!$B$8))))</f>
        <v/>
      </c>
      <c r="AK27" s="1041" t="str">
        <f>Codes!$C$157</f>
        <v>AG - Automated Guideway (PT)</v>
      </c>
      <c r="AL27" s="1042" t="str">
        <f>Valid!$B$73</f>
        <v>Elevated/Retained Fill</v>
      </c>
      <c r="AM27" s="1108" t="str">
        <f>IF('A-80 DirEntInv'!AM26&lt;&gt;"",'A-80 DirEntInv'!AM26,IF(AK27=summaryref2!B14,summaryref2!D14,IF(Summary!AK27=summaryref2!B28,summaryref2!D28,IF(AK27=summaryref2!B42,summaryref2!D42,IF(AK27=summaryref2!B56,summaryref2!D56,IF(AK27=summaryref2!B70,summaryref2!D70,IF(AK27=summaryref2!B84,summaryref2!D84,IF(AK27=summaryref2!B98,summaryref2!D98,IF(AK27=summaryref2!B112,summaryref2!D112,IF(AK27=summaryref2!B126,summaryref2!D126,IF(AK27=summaryref2!B140,summaryref2!D140,"")))))))))))</f>
        <v/>
      </c>
      <c r="AN27" s="1109" t="str">
        <f ca="1">IF('A-80 DirEntInv'!AN26&lt;&gt;"",'A-80 DirEntInv'!AN26,IF(INDIRECT(ADDRESS(SumRef!CG37,SumRef!CG$16,,,SumRef!$C$7))="","",INDIRECT(ADDRESS(SumRef!CG37,SumRef!CG$16,,,SumRef!$C$7))))</f>
        <v>Linear Feet</v>
      </c>
      <c r="AO27" s="1108" t="str">
        <f>IF('A-80 DirEntInv'!AO26&lt;&gt;"",'A-80 DirEntInv'!AO26,IF(AK27=summaryref2!B14,summaryref2!F14,IF(Summary!AK27=summaryref2!B28,summaryref2!F28,IF(AK27=summaryref2!B42,summaryref2!F42,IF(AK27=summaryref2!B56,summaryref2!F56,IF(AK27=summaryref2!B70,summaryref2!F70,IF(AK27=summaryref2!B84,summaryref2!F84,IF(AK27=summaryref2!B98,summaryref2!F98,IF(AK27=summaryref2!B112,summaryref2!F112,IF(AK27=summaryref2!B126,summaryref2!F126,IF(AK27=summaryref2!B140,summaryref2!F140,"")))))))))))</f>
        <v/>
      </c>
      <c r="AP27" s="1109" t="str">
        <f ca="1">IF('A-80 DirEntInv'!AP26&lt;&gt;"",'A-80 DirEntInv'!AP26,IF(INDIRECT(ADDRESS(SumRef!#REF!,SumRef!#REF!,,,SumRef!$C$7))="","",INDIRECT(ADDRESS(SumRef!#REF!,SumRef!#REF!,,,SumRef!$C$7))))</f>
        <v>Track Feet</v>
      </c>
      <c r="AQ27" s="1147" t="str">
        <f>IF('A-80 DirEntInv'!AQ26&lt;&gt;"",'A-80 DirEntInv'!AQ26,IF(AK27=summaryref2!B14,summaryref2!G14,IF(Summary!AK27=summaryref2!B28,summaryref2!G28,IF(AK27=summaryref2!B42,summaryref2!G42,IF(AK27=summaryref2!B56,summaryref2!G56,IF(AK27=summaryref2!B70,summaryref2!G70,IF(AK27=summaryref2!B84,summaryref2!G84,IF(AK27=summaryref2!B98,summaryref2!G98,IF(AK27=summaryref2!B112,summaryref2!G112,IF(AK27=summaryref2!B126,summaryref2!G126,IF(AK27=summaryref2!B140,summaryref2!G140,"")))))))))))</f>
        <v/>
      </c>
      <c r="AR27" s="1147" t="str">
        <f>IF('A-80 DirEntInv'!AR26&lt;&gt;"",'A-80 DirEntInv'!AR26,IF(AK27=summaryref2!B14,summaryref2!H14,IF(Summary!AK27=summaryref2!B28,summaryref2!H28,IF(AK27=summaryref2!B42,summaryref2!H42,IF(AK27=summaryref2!B56,summaryref2!H56,IF(AK27=summaryref2!B70,summaryref2!H70,IF(AK27=summaryref2!B84,summaryref2!H84,IF(AK27=summaryref2!B98,summaryref2!H98,IF(AK27=summaryref2!B112,summaryref2!H112,IF(AK27=summaryref2!B126,summaryref2!H126,IF(AK27=summaryref2!B140,summaryref2!H140,"")))))))))))</f>
        <v/>
      </c>
      <c r="AS27" s="1110" t="str">
        <f>IF('A-80 DirEntInv'!AS26&lt;&gt;"",'A-80 DirEntInv'!AS26,IF(AK27=summaryref2!B14,summaryref2!I14,IF(Summary!AK27=summaryref2!B28,summaryref2!I28,IF(AK27=summaryref2!B42,summaryref2!I42,IF(AK27=summaryref2!B56,summaryref2!I56,IF(AK27=summaryref2!B70,summaryref2!I70,IF(AK27=summaryref2!B84,summaryref2!I84,IF(AK27=summaryref2!B98,summaryref2!I98,IF(AK27=summaryref2!B112,summaryref2!I112,IF(AK27=summaryref2!B126,summaryref2!I126,IF(AK27=summaryref2!B140,summaryref2!I140,"")))))))))))</f>
        <v/>
      </c>
      <c r="AT27" s="1110" t="str">
        <f>IF('A-80 DirEntInv'!AT26&lt;&gt;"",'A-80 DirEntInv'!AT26,IF(AK27=summaryref2!B14,summaryref2!J14,IF(Summary!AK27=summaryref2!B28,summaryref2!J28,IF(AK27=summaryref2!B42,summaryref2!J42,IF(AK27=summaryref2!B56,summaryref2!J56,IF(AK27=summaryref2!B70,summaryref2!J70,IF(AK27=summaryref2!B84,summaryref2!J84,IF(AK27=summaryref2!B98,summaryref2!J98,IF(AK27=summaryref2!B112,summaryref2!J112,IF(AK27=summaryref2!B126,summaryref2!J126,IF(AK27=summaryref2!B140,summaryref2!J140,"")))))))))))</f>
        <v/>
      </c>
      <c r="AU27" s="1110" t="str">
        <f>IF('A-80 DirEntInv'!AU26&lt;&gt;"",'A-80 DirEntInv'!AU26,IF(AK27=summaryref2!B14,summaryref2!K14,IF(Summary!AK27=summaryref2!B28,summaryref2!K28,IF(AK27=summaryref2!B42,summaryref2!K42,IF(AK27=summaryref2!B56,summaryref2!K56,IF(AK27=summaryref2!B70,summaryref2!K70,IF(AK27=summaryref2!B84,summaryref2!K84,IF(AK27=summaryref2!B98,summaryref2!K98,IF(AK27=summaryref2!B112,summaryref2!K112,IF(AK27=summaryref2!B126,summaryref2!K126,IF(AK27=summaryref2!B140,summaryref2!K140,"")))))))))))</f>
        <v/>
      </c>
      <c r="AV27" s="1110" t="str">
        <f>IF('A-80 DirEntInv'!AV26&lt;&gt;"",'A-80 DirEntInv'!AV26,IF(AK27=summaryref2!B14,summaryref2!L14,IF(Summary!AK27=summaryref2!B28,summaryref2!L28,IF(AK27=summaryref2!B42,summaryref2!L42,IF(AK27=summaryref2!B56,summaryref2!L56,IF(AK27=summaryref2!B70,summaryref2!L70,IF(AK27=summaryref2!B84,summaryref2!L84,IF(AK27=summaryref2!B98,summaryref2!L98,IF(AK27=summaryref2!B112,summaryref2!L112,IF(AK27=summaryref2!B126,summaryref2!L126,IF(AK27=summaryref2!B140,summaryref2!L140,"")))))))))))</f>
        <v/>
      </c>
      <c r="AW27" s="1110" t="str">
        <f>IF('A-80 DirEntInv'!AW26&lt;&gt;"",'A-80 DirEntInv'!AW26,IF(AK27=summaryref2!B14,summaryref2!M14,IF(Summary!AK27=summaryref2!B28,summaryref2!M28,IF(AK27=summaryref2!B42,summaryref2!M42,IF(AK27=summaryref2!B56,summaryref2!M56,IF(AK27=summaryref2!B70,summaryref2!M70,IF(AK27=summaryref2!B84,summaryref2!M84,IF(AK27=summaryref2!B98,summaryref2!M98,IF(AK27=summaryref2!B112,summaryref2!M112,IF(AK27=summaryref2!B126,summaryref2!M126,IF(AK27=summaryref2!B140,summaryref2!M140,"")))))))))))</f>
        <v/>
      </c>
      <c r="AX27" s="1110" t="str">
        <f>IF('A-80 DirEntInv'!AX26&lt;&gt;"",'A-80 DirEntInv'!AX26,IF(AK27=summaryref2!B14,summaryref2!N14,IF(Summary!AK27=summaryref2!B28,summaryref2!N28,IF(AK27=summaryref2!B42,summaryref2!N42,IF(AK27=summaryref2!B56,summaryref2!N56,IF(AK27=summaryref2!B70,summaryref2!N70,IF(AK27=summaryref2!B84,summaryref2!N84,IF(AK27=summaryref2!B98,summaryref2!N98,IF(AK27=summaryref2!B112,summaryref2!N112,IF(AK27=summaryref2!B126,summaryref2!N126,IF(AK27=summaryref2!B140,summaryref2!N140,"")))))))))))</f>
        <v/>
      </c>
      <c r="AY27" s="1110" t="str">
        <f>IF('A-80 DirEntInv'!AY26&lt;&gt;"",'A-80 DirEntInv'!AY26,IF(AK27=summaryref2!B14,summaryref2!O14,IF(Summary!AK27=summaryref2!B28,summaryref2!O28,IF(AK27=summaryref2!B42,summaryref2!O42,IF(AK27=summaryref2!B56,summaryref2!O56,IF(AK27=summaryref2!B70,summaryref2!O70,IF(AK27=summaryref2!B84,summaryref2!O84,IF(AK27=summaryref2!B98,summaryref2!O98,IF(AK27=summaryref2!B112,summaryref2!O112,IF(AK27=summaryref2!B126,summaryref2!O126,IF(AK27=summaryref2!B140,summaryref2!O140,"")))))))))))</f>
        <v/>
      </c>
      <c r="AZ27" s="1110" t="str">
        <f>IF('A-80 DirEntInv'!AZ26&lt;&gt;"",'A-80 DirEntInv'!AZ26,IF(AK27=summaryref2!B14,summaryref2!P14,IF(Summary!AK27=summaryref2!B28,summaryref2!P28,IF(AK27=summaryref2!B42,summaryref2!P42,IF(AK27=summaryref2!B56,summaryref2!P56,IF(AK27=summaryref2!B70,summaryref2!P70,IF(AK27=summaryref2!B84,summaryref2!P84,IF(AK27=summaryref2!B98,summaryref2!P98,IF(AK27=summaryref2!B112,summaryref2!P112,IF(AK27=summaryref2!B126,summaryref2!P126,IF(AK27=summaryref2!B140,summaryref2!P140,"")))))))))))</f>
        <v/>
      </c>
      <c r="BA27" s="1110" t="str">
        <f>IF('A-80 DirEntInv'!BA26&lt;&gt;"",'A-80 DirEntInv'!BA26,IF(AK27=summaryref2!B14,summaryref2!Q14,IF(Summary!AK27=summaryref2!B28,summaryref2!Q28,IF(AK27=summaryref2!B42,summaryref2!Q42,IF(AK27=summaryref2!B56,summaryref2!Q56,IF(AK27=summaryref2!B70,summaryref2!Q70,IF(AK27=summaryref2!B84,summaryref2!Q84,IF(AK27=summaryref2!B98,summaryref2!Q98,IF(AK27=summaryref2!B112,summaryref2!Q112,IF(AK27=summaryref2!B126,summaryref2!Q126,IF(AK27=summaryref2!B140,summaryref2!Q140,"")))))))))))</f>
        <v/>
      </c>
      <c r="BB27" s="1110" t="str">
        <f>IF('A-80 DirEntInv'!BB26&lt;&gt;"",'A-80 DirEntInv'!BB26,IF(AK27=summaryref2!B14,summaryref2!R14,IF(Summary!AK27=summaryref2!B28,summaryref2!R28,IF(AK27=summaryref2!B42,summaryref2!R42,IF(AK27=summaryref2!B56,summaryref2!R56,IF(AK27=summaryref2!B70,summaryref2!R70,IF(AK27=summaryref2!B84,summaryref2!R84,IF(AK27=summaryref2!B98,summaryref2!R98,IF(AK27=summaryref2!B112,summaryref2!R112,IF(AK27=summaryref2!B126,summaryref2!R126,IF(AK27=summaryref2!B140,summaryref2!R140,"")))))))))))</f>
        <v/>
      </c>
      <c r="BC27" s="1110" t="str">
        <f>IF('A-80 DirEntInv'!BC26&lt;&gt;0,'A-80 DirEntInv'!BC26,IF(AK27=summaryref2!B14,summaryref2!S14,IF(Summary!AK27=summaryref2!B28,summaryref2!S28,IF(AK27=summaryref2!B42,summaryref2!S42,IF(AK27=summaryref2!B56,summaryref2!S56,IF(AK27=summaryref2!B70,summaryref2!S70,IF(AK27=summaryref2!B84,summaryref2!S84,IF(AK27=summaryref2!B98,summaryref2!S98,IF(AK27=summaryref2!B112,summaryref2!S112,IF(AK27=summaryref2!B126,summaryref2!S126,IF(AK27=summaryref2!B140,summaryref2!S140,"")))))))))))</f>
        <v/>
      </c>
      <c r="BD27" s="1111" t="str">
        <f>IF('A-80 DirEntInv'!BD26&lt;&gt;"",'A-80 DirEntInv'!BD26,IF(AK27=summaryref2!B14,summaryref2!T14,IF(Summary!AK27=summaryref2!B28,summaryref2!T28,IF(AK27=summaryref2!B42,summaryref2!T42,IF(AK27=summaryref2!B56,summaryref2!T56,IF(AK27=summaryref2!B70,summaryref2!T70,IF(AK27=summaryref2!B84,summaryref2!T84,IF(AK27=summaryref2!B98,summaryref2!T98,IF(AK27=summaryref2!B112,summaryref2!T112,IF(AK27=summaryref2!B126,summaryref2!T126,IF(AK27=summaryref2!B140,summaryref2!T140,"")))))))))))</f>
        <v/>
      </c>
      <c r="BE27" s="1184" t="str">
        <f>IF('A-80 DirEntInv'!BE26&lt;&gt;"",'A-80 DirEntInv'!BE26,IF(AK27=summaryref2!B14,summaryref2!U14,IF(Summary!AK27=summaryref2!B28,summaryref2!U28,IF(AK27=summaryref2!B42,summaryref2!U42,IF(AK27=summaryref2!B56,summaryref2!U56,IF(AK27=summaryref2!B70,summaryref2!U70,IF(AK27=summaryref2!B84,summaryref2!U84,IF(AK27=summaryref2!B98,summaryref2!U98,IF(AK27=summaryref2!B112,summaryref2!U112,IF(AK27=summaryref2!B126,summaryref2!U126,IF(AK27=summaryref2!B140,summaryref2!U140,"")))))))))))</f>
        <v/>
      </c>
      <c r="BF27" s="1432"/>
      <c r="BG27" s="1432"/>
      <c r="BJ27" s="1045" t="str">
        <f>Codes!$C$158</f>
        <v>AR - Alaska Railroad</v>
      </c>
      <c r="BK27" s="1046" t="str">
        <f>Valid!$B$82</f>
        <v>Double Diamond Crossover</v>
      </c>
      <c r="BL27" s="1368" t="str">
        <f>IF('A-80 DirEntInv'!BL26&lt;&gt;"",'A-80 DirEntInv'!BL26,IF(BJ27=summaryref2!X14,summaryref2!Z14,IF(BJ27=summaryref2!X21,summaryref2!Z21,IF(BJ27=summaryref2!X28,summaryref2!Z28,IF(BJ27=summaryref2!X35,summaryref2!Z35,IF(BJ27=summaryref2!X42,summaryref2!Z42,IF(BJ27=summaryref2!X49,summaryref2!Z49,IF(BJ27=summaryref2!X56,summaryref2!Z56,IF(BJ27=summaryref2!X63,summaryref2!Z63,IF(BJ27=summaryref2!X70,summaryref2!Z70,IF(BJ27=summaryref2!X77,summaryref2!Z77,"")))))))))))</f>
        <v/>
      </c>
      <c r="BM27" s="1046" t="str">
        <f>VLOOKUP(BK27,Valid!$B$80:$C$86,2,FALSE)</f>
        <v>Each</v>
      </c>
      <c r="BN27" s="1325" t="str">
        <f>IF('A-80 DirEntInv'!BN26&lt;&gt;"",'A-80 DirEntInv'!BN26,IF(BJ27=summaryref2!X14,summaryref2!AB14,IF(BJ27=summaryref2!X21,summaryref2!AB21,IF(BJ27=summaryref2!X28,summaryref2!AB28,IF(BJ27=summaryref2!X35,summaryref2!AB35,IF(BJ27=summaryref2!X42,summaryref2!AB42,IF(BJ27=summaryref2!X49,summaryref2!AB49,IF(BJ27=summaryref2!X56,summaryref2!AB56,IF(BJ27=summaryref2!X63,summaryref2!AB63,IF(BJ27=summaryref2!X70,summaryref2!AB70,IF(BJ27=summaryref2!X77,summaryref2!AB77,"")))))))))))</f>
        <v/>
      </c>
      <c r="BO27" s="1327" t="str">
        <f>IF('A-80 DirEntInv'!BO26&lt;&gt;"",'A-80 DirEntInv'!BO26,IF(BJ27=summaryref2!X14,summaryref2!AC14,IF(BJ27=summaryref2!X21,summaryref2!AC21,IF(BJ27=summaryref2!X28,summaryref2!AC28,IF(BJ27=summaryref2!X35,summaryref2!AC35,IF(BJ27=summaryref2!X42,summaryref2!AC42,IF(BJ27=summaryref2!X49,summaryref2!AC49,IF(BJ27=summaryref2!X56,summaryref2!AC56,IF(BJ27=summaryref2!X63,summaryref2!AC63,IF(BJ27=summaryref2!X70,summaryref2!AC70,IF(BJ27=summaryref2!X77,summaryref2!AC77,"")))))))))))</f>
        <v/>
      </c>
      <c r="BP27" s="1322" t="str">
        <f>IF('A-80 DirEntInv'!BP26&lt;&gt;"",'A-80 DirEntInv'!BP26,IF(BJ27=summaryref2!X14,summaryref2!AD14,IF(BJ27=summaryref2!X21,summaryref2!AD21,IF(BJ27=summaryref2!X28,summaryref2!AD28,IF(BJ27=summaryref2!X35,summaryref2!AD35,IF(BJ27=summaryref2!X42,summaryref2!AD42,IF(BJ27=summaryref2!X49,summaryref2!AD49,IF(BJ27=summaryref2!X56,summaryref2!AD56,IF(BJ27=summaryref2!X63,summaryref2!AD63,IF(BJ27=summaryref2!X70,summaryref2!AD70,IF(BJ27=summaryref2!X77,summaryref2!AD77,"")))))))))))</f>
        <v/>
      </c>
      <c r="BS27" s="1472" t="str">
        <f ca="1">IF('A-80 DirEntInv'!BU26&lt;&gt;"",'A-80 DirEntInv'!BU26,IF(INDIRECT(ADDRESS(SumRef!DK33,SumRef!DK$16,,,SumRef!$E$6))="","",INDIRECT(ADDRESS(SumRef!DK33,SumRef!DK$16,,,SumRef!$E$6))))</f>
        <v/>
      </c>
      <c r="BT27" s="1458" t="str">
        <f ca="1">IF('A-80 DirEntInv'!BV26&lt;&gt;"",'A-80 DirEntInv'!BV26,IF(INDIRECT(ADDRESS(SumRef!DL33,SumRef!DL$16,,,SumRef!$E$6))="","",INDIRECT(ADDRESS(SumRef!DL33,SumRef!DL$16,,,SumRef!$E$6))))</f>
        <v/>
      </c>
      <c r="BU27" s="1177" t="str">
        <f ca="1">IF('A-80 DirEntInv'!BW26&lt;&gt;"",'A-80 DirEntInv'!BW26,IF(INDIRECT(ADDRESS(SumRef!DM33,SumRef!DM$16,,,SumRef!$E$6))="","",INDIRECT(ADDRESS(SumRef!DM33,SumRef!DM$16,,,SumRef!$E$6))))</f>
        <v/>
      </c>
      <c r="BV27" s="1460" t="str">
        <f ca="1">IF('A-80 DirEntInv'!BX26&lt;&gt;"",'A-80 DirEntInv'!BX26,IF(INDIRECT(ADDRESS(SumRef!DN33,SumRef!DN$16,,,SumRef!$E$6))="","",INDIRECT(ADDRESS(SumRef!DN33,SumRef!DN$16,,,SumRef!$E$6))))</f>
        <v/>
      </c>
      <c r="BW27" s="1460" t="str">
        <f ca="1">IF('A-80 DirEntInv'!BY26&lt;&gt;"",'A-80 DirEntInv'!BY26,IF(INDIRECT(ADDRESS(SumRef!DO33,SumRef!DO$16,,,SumRef!$E$6))="","",INDIRECT(ADDRESS(SumRef!DO33,SumRef!DO$16,,,SumRef!$E$6))))</f>
        <v/>
      </c>
      <c r="BX27" s="1116" t="str">
        <f ca="1">IF('A-80 DirEntInv'!BZ26&lt;&gt;"",'A-80 DirEntInv'!BZ26,IF(INDIRECT(ADDRESS(SumRef!DP33,SumRef!DP$16,,,SumRef!$E$6))="","",INDIRECT(ADDRESS(SumRef!DP33,SumRef!DP$16,,,SumRef!$E$6))))</f>
        <v/>
      </c>
      <c r="BY27" s="1461" t="str">
        <f ca="1">IF('A-80 DirEntInv'!CA26&lt;&gt;"",'A-80 DirEntInv'!CA26,IF(INDIRECT(ADDRESS(SumRef!DQ33,SumRef!DQ$16,,,SumRef!$E$6))="","",INDIRECT(ADDRESS(SumRef!DQ33,SumRef!DQ$16,,,SumRef!$E$6))))</f>
        <v/>
      </c>
      <c r="BZ27" s="1460" t="str">
        <f ca="1">IF('A-80 DirEntInv'!CB26&lt;&gt;"",'A-80 DirEntInv'!CB26,IF(INDIRECT(ADDRESS(SumRef!DR33,SumRef!DR$16,,,SumRef!$E$6))="","",INDIRECT(ADDRESS(SumRef!DR33,SumRef!DR$16,,,SumRef!$E$6))))</f>
        <v/>
      </c>
      <c r="CA27" s="1462" t="str">
        <f ca="1">IF('A-80 DirEntInv'!CC26&lt;&gt;"",'A-80 DirEntInv'!CC26,IF(INDIRECT(ADDRESS(SumRef!DS33,SumRef!DS$16,,,SumRef!$E$6))="","",INDIRECT(ADDRESS(SumRef!DS33,SumRef!DS$16,,,SumRef!$E$6))))</f>
        <v/>
      </c>
      <c r="CD27" s="1160" t="str">
        <f ca="1">IF('A-80 DirEntInv'!CF26&lt;&gt;"",'A-80 DirEntInv'!CF26,IF(INDIRECT(ADDRESS(SumRef!DV33,SumRef!DV$16,,,SumRef!$E$7))="","",INDIRECT(ADDRESS(SumRef!DV33,SumRef!DV$16,,,SumRef!$E$7))))</f>
        <v/>
      </c>
      <c r="CE27" s="1167" t="str">
        <f ca="1">IF('A-80 DirEntInv'!CG26&lt;&gt;"",'A-80 DirEntInv'!CG26,IF(INDIRECT(ADDRESS(SumRef!DW33,SumRef!DW$16,,,SumRef!$E$7))="","",INDIRECT(ADDRESS(SumRef!DW33,SumRef!DW$16,,,SumRef!$E$7))))</f>
        <v/>
      </c>
      <c r="CF27" s="1167" t="str">
        <f ca="1">IF('A-80 DirEntInv'!CH26&lt;&gt;"",'A-80 DirEntInv'!CH26,IF(INDIRECT(ADDRESS(SumRef!DX33,SumRef!DX$16,,,SumRef!$E$7))="","",INDIRECT(ADDRESS(SumRef!DX33,SumRef!DX$16,,,SumRef!$E$7))))</f>
        <v/>
      </c>
      <c r="CG27" s="1167" t="str">
        <f ca="1">IF('A-80 DirEntInv'!CI26&lt;&gt;"",'A-80 DirEntInv'!CI26,IF(INDIRECT(ADDRESS(SumRef!DY33,SumRef!DY$16,,,SumRef!$E$7))="","",INDIRECT(ADDRESS(SumRef!DY33,SumRef!DY$16,,,SumRef!$E$7))))</f>
        <v/>
      </c>
      <c r="CH27" s="1167" t="str">
        <f ca="1">IF('A-80 DirEntInv'!CJ26&lt;&gt;"",'A-80 DirEntInv'!CJ26,IF(INDIRECT(ADDRESS(SumRef!DZ33,SumRef!DZ$16,,,SumRef!$E$7))="","",INDIRECT(ADDRESS(SumRef!DZ33,SumRef!DZ$16,,,SumRef!$E$7))))</f>
        <v/>
      </c>
      <c r="CI27" s="1167" t="str">
        <f ca="1">IF('A-80 DirEntInv'!CK26&lt;&gt;"",'A-80 DirEntInv'!CK26,IF(INDIRECT(ADDRESS(SumRef!EA33,SumRef!EA$16,,,SumRef!$E$7))="","",INDIRECT(ADDRESS(SumRef!EA33,SumRef!EA$16,,,SumRef!$E$7))))</f>
        <v/>
      </c>
      <c r="CJ27" s="1114" t="str">
        <f ca="1">IF('A-80 DirEntInv'!CL26&lt;&gt;"",'A-80 DirEntInv'!CL26,IF(INDIRECT(ADDRESS(SumRef!EB33,SumRef!EB$16,,,SumRef!$E$7))="","",INDIRECT(ADDRESS(SumRef!EB33,SumRef!EB$16,,,SumRef!$E$7))))</f>
        <v/>
      </c>
      <c r="CK27" s="1114" t="str">
        <f ca="1">IF('A-80 DirEntInv'!CM26&lt;&gt;"",'A-80 DirEntInv'!CM26,IF(INDIRECT(ADDRESS(SumRef!EC33,SumRef!EC$16,,,SumRef!$E$7))="","",INDIRECT(ADDRESS(SumRef!EC33,SumRef!EC$16,,,SumRef!$E$7))))</f>
        <v/>
      </c>
      <c r="CL27" s="1113" t="str">
        <f ca="1">IF('A-80 DirEntInv'!CO26&lt;&gt;"",'A-80 DirEntInv'!CO26,IF(INDIRECT(ADDRESS(SumRef!ED33,SumRef!ED$16,,,SumRef!$E$7))="","",INDIRECT(ADDRESS(SumRef!ED33,SumRef!ED$16,,,SumRef!$E$7))))</f>
        <v/>
      </c>
      <c r="CM27" s="1114" t="str">
        <f ca="1">IF('A-80 DirEntInv'!CP26&lt;&gt;"",'A-80 DirEntInv'!CP26,IF(INDIRECT(ADDRESS(SumRef!EE33,SumRef!EE$16,,,SumRef!$E$7))="","",INDIRECT(ADDRESS(SumRef!EE33,SumRef!EE$16,,,SumRef!$E$7))))</f>
        <v/>
      </c>
      <c r="CN27" s="1114" t="str">
        <f ca="1">IF('A-80 DirEntInv'!CQ26&lt;&gt;"",'A-80 DirEntInv'!CQ26,IF(INDIRECT(ADDRESS(SumRef!EF33,SumRef!EF$16,,,SumRef!$E$7))="","",INDIRECT(ADDRESS(SumRef!EF33,SumRef!EF$16,,,SumRef!$E$7))))</f>
        <v/>
      </c>
      <c r="CO27" s="1113" t="str">
        <f ca="1">IF('A-80 DirEntInv'!CR26&lt;&gt;"",'A-80 DirEntInv'!CR26,IF(INDIRECT(ADDRESS(SumRef!EG33,SumRef!EG$16,,,SumRef!$E$7))="","",INDIRECT(ADDRESS(SumRef!EG33,SumRef!EG$16,,,SumRef!$E$7))))</f>
        <v/>
      </c>
      <c r="CP27" s="1114" t="str">
        <f ca="1">IF('A-80 DirEntInv'!CS26&lt;&gt;"",'A-80 DirEntInv'!CS26,IF(INDIRECT(ADDRESS(SumRef!EH33,SumRef!EH$16,,,SumRef!$E$7))="","",INDIRECT(ADDRESS(SumRef!EH33,SumRef!EH$16,,,SumRef!$E$7))))</f>
        <v/>
      </c>
      <c r="CQ27" s="1346" t="str">
        <f ca="1">IF('A-80 DirEntInv'!CT26&lt;&gt;"",'A-80 DirEntInv'!CT26,IF(INDIRECT(ADDRESS(SumRef!EI33,SumRef!EI$16,,,SumRef!$E$7))="","",INDIRECT(ADDRESS(SumRef!EI33,SumRef!EI$16,,,SumRef!$E$7))))</f>
        <v/>
      </c>
      <c r="CR27" s="1113" t="str">
        <f ca="1">IF('A-80 DirEntInv'!CU26&lt;&gt;"",'A-80 DirEntInv'!CU26,IF(INDIRECT(ADDRESS(SumRef!EJ33,SumRef!EJ$16,,,SumRef!$E$7))="","",INDIRECT(ADDRESS(SumRef!EJ33,SumRef!EJ$16,,,SumRef!$E$7))))</f>
        <v/>
      </c>
      <c r="CS27" s="1346" t="str">
        <f ca="1">IF('A-80 DirEntInv'!CV26&lt;&gt;"",'A-80 DirEntInv'!CV26,IF(INDIRECT(ADDRESS(SumRef!EM33,SumRef!EM$16,,,SumRef!$E$7))="","",INDIRECT(ADDRESS(SumRef!EM33,SumRef!EM$16,,,SumRef!$E$7))))</f>
        <v/>
      </c>
      <c r="CT27" s="1113" t="str">
        <f ca="1">IF('A-80 DirEntInv'!CW26&lt;&gt;"",'A-80 DirEntInv'!CW26,IF(INDIRECT(ADDRESS(SumRef!EN33,SumRef!EN$16,,,SumRef!$E$7))="","",INDIRECT(ADDRESS(SumRef!EN33,SumRef!EN$16,,,SumRef!$E$7))))</f>
        <v/>
      </c>
      <c r="CU27" s="1113" t="str">
        <f ca="1">IF('A-80 DirEntInv'!CX26&lt;&gt;"",'A-80 DirEntInv'!CX26,IF(INDIRECT(ADDRESS(SumRef!EO33,SumRef!EO$16,,,SumRef!$E$7))="","",INDIRECT(ADDRESS(SumRef!EO33,SumRef!EO$16,,,SumRef!$E$7))))</f>
        <v/>
      </c>
      <c r="CV27" s="1113" t="str">
        <f ca="1">IF('A-80 DirEntInv'!CY26&lt;&gt;"",'A-80 DirEntInv'!CY26,IF(INDIRECT(ADDRESS(SumRef!EP33,SumRef!EP$16,,,SumRef!$E$7))="","",INDIRECT(ADDRESS(SumRef!EP33,SumRef!EP$16,,,SumRef!$E$7))))</f>
        <v/>
      </c>
      <c r="CW27" s="1114" t="str">
        <f ca="1">IF('A-80 DirEntInv'!CZ26&lt;&gt;"",'A-80 DirEntInv'!CZ26,IF(INDIRECT(ADDRESS(SumRef!ES33,SumRef!ES$16,,,SumRef!$E$7))="","",INDIRECT(ADDRESS(SumRef!ES33,SumRef!ES$16,,,SumRef!$E$7))))</f>
        <v/>
      </c>
      <c r="CX27" s="1167" t="str">
        <f ca="1">IF('A-80 DirEntInv'!DA26&lt;&gt;"",'A-80 DirEntInv'!DA26,IF(INDIRECT(ADDRESS(SumRef!ET33,SumRef!ET$16,,,SumRef!$E$7))="","",INDIRECT(ADDRESS(SumRef!ET33,SumRef!ET$16,,,SumRef!$E$7))))</f>
        <v/>
      </c>
      <c r="CY27" s="1167" t="str">
        <f ca="1">IF('A-80 DirEntInv'!DB26&lt;&gt;"",'A-80 DirEntInv'!DB26,IF(INDIRECT(ADDRESS(SumRef!EU33,SumRef!EU$16,,,SumRef!$E$7))="","",INDIRECT(ADDRESS(SumRef!EU33,SumRef!EU$16,,,SumRef!$E$7))))</f>
        <v/>
      </c>
      <c r="CZ27" s="1167" t="b">
        <f ca="1">IF('A-80 DirEntInv'!DC26&lt;&gt;"",'A-80 DirEntInv'!DC26,IF(INDIRECT(ADDRESS(SumRef!EV33,SumRef!EV$16,,,SumRef!$E$7))="","",INDIRECT(ADDRESS(SumRef!EV33,SumRef!EV$16,,,SumRef!$E$7))))</f>
        <v>0</v>
      </c>
      <c r="DA27" s="1373" t="str">
        <f ca="1">IF('A-80 DirEntInv'!DD26&lt;&gt;"",'A-80 DirEntInv'!DD26,IF(INDIRECT(ADDRESS(SumRef!EW33,SumRef!EW$16,,,SumRef!$E$7))="","",INDIRECT(ADDRESS(SumRef!EW33,SumRef!EW$16,,,SumRef!$E$7))))</f>
        <v/>
      </c>
      <c r="DB27" s="1373" t="b">
        <f ca="1">IF('A-80 DirEntInv'!DE26&lt;&gt;"",'A-80 DirEntInv'!DE26,IF(INDIRECT(ADDRESS(SumRef!EX33,SumRef!EX$16,,,SumRef!$E$7))="","",INDIRECT(ADDRESS(SumRef!EX33,SumRef!EX$16,,,SumRef!$E$7))))</f>
        <v>0</v>
      </c>
      <c r="DC27" s="1114" t="b">
        <f ca="1">IF('A-80 DirEntInv'!DF26&lt;&gt;"",'A-80 DirEntInv'!DF26,IF(INDIRECT(ADDRESS(SumRef!EY33,SumRef!EY$16,,,SumRef!$E$7))="","",INDIRECT(ADDRESS(SumRef!EY33,SumRef!EY$16,,,SumRef!$E$7))))</f>
        <v>0</v>
      </c>
      <c r="DD27" s="1115" t="str">
        <f ca="1">IF('A-80 DirEntInv'!DG26&lt;&gt;"",'A-80 DirEntInv'!DG26,IF(INDIRECT(ADDRESS(SumRef!EZ33,SumRef!EZ$16,,,SumRef!$E$7))="","",INDIRECT(ADDRESS(SumRef!EZ33,SumRef!EZ$16,,,SumRef!$E$7))))</f>
        <v/>
      </c>
    </row>
    <row r="28" spans="1:108" s="588" customFormat="1" x14ac:dyDescent="0.2">
      <c r="A28" s="589">
        <f t="shared" si="0"/>
        <v>18</v>
      </c>
      <c r="B28" s="1155" t="str">
        <f ca="1">IF('A-80 DirEntInv'!B27&lt;&gt;"",'A-80 DirEntInv'!B27,IF(INDIRECT(ADDRESS(SumRef!AQ34,SumRef!AQ$16,,,SumRef!$B$7))="","",INDIRECT(ADDRESS(SumRef!AQ34,SumRef!AQ$16,,,SumRef!$B$7))))</f>
        <v/>
      </c>
      <c r="C28" s="1097" t="str">
        <f ca="1">IF('A-80 DirEntInv'!C27&lt;&gt;"",'A-80 DirEntInv'!C27,IF(INDIRECT(ADDRESS(SumRef!AR34,SumRef!AR$16,,,SumRef!$B$7))="","",INDIRECT(ADDRESS(SumRef!AR34,SumRef!AR$16,,,SumRef!$B$7))))</f>
        <v/>
      </c>
      <c r="D28" s="1097" t="str">
        <f ca="1">IF('A-80 DirEntInv'!D27&lt;&gt;"",'A-80 DirEntInv'!D27,IF(INDIRECT(ADDRESS(SumRef!AS34,SumRef!AS$16,,,SumRef!$B$7))="","",INDIRECT(ADDRESS(SumRef!AS34,SumRef!AS$16,,,SumRef!$B$7))))</f>
        <v/>
      </c>
      <c r="E28" s="1097" t="str">
        <f ca="1">IF('A-80 DirEntInv'!E27&lt;&gt;"",'A-80 DirEntInv'!E27,IF(INDIRECT(ADDRESS(SumRef!AT34,SumRef!AT$16,,,SumRef!$B$7))="","",INDIRECT(ADDRESS(SumRef!AT34,SumRef!AT$16,,,SumRef!$B$7))))</f>
        <v/>
      </c>
      <c r="F28" s="1097" t="str">
        <f ca="1">IF('A-80 DirEntInv'!F27&lt;&gt;"",'A-80 DirEntInv'!F27,IF(INDIRECT(ADDRESS(SumRef!AU34,SumRef!AU$16,,,SumRef!$B$7))="","",INDIRECT(ADDRESS(SumRef!AU34,SumRef!AU$16,,,SumRef!$B$7))))</f>
        <v/>
      </c>
      <c r="G28" s="1158" t="str">
        <f ca="1">IF('A-80 DirEntInv'!G27&lt;&gt;"",'A-80 DirEntInv'!G27,IF(INDIRECT(ADDRESS(SumRef!AV34,SumRef!AV$16,,,SumRef!$B$7))="","",INDIRECT(ADDRESS(SumRef!AV34,SumRef!AV$16,,,SumRef!$B$7))))</f>
        <v/>
      </c>
      <c r="H28" s="1097" t="str">
        <f ca="1">IF('A-80 DirEntInv'!H27&lt;&gt;"",'A-80 DirEntInv'!H27,IF(INDIRECT(ADDRESS(SumRef!AW34,SumRef!AW$16,,,SumRef!$B$7))="","",INDIRECT(ADDRESS(SumRef!AW34,SumRef!AW$16,,,SumRef!$B$7))))</f>
        <v/>
      </c>
      <c r="I28" s="1097" t="str">
        <f ca="1">IF('A-80 DirEntInv'!I27&lt;&gt;"",'A-80 DirEntInv'!I27,IF(INDIRECT(ADDRESS(SumRef!AX34,SumRef!AX$16,,,SumRef!$B$7))="","",INDIRECT(ADDRESS(SumRef!AX34,SumRef!AX$16,,,SumRef!$B$7))))</f>
        <v/>
      </c>
      <c r="J28" s="1098" t="str">
        <f ca="1">IF('A-80 DirEntInv'!J27&lt;&gt;"",'A-80 DirEntInv'!J27,IF(INDIRECT(ADDRESS(SumRef!AY34,SumRef!AY$16,,,SumRef!$B$7))="","",INDIRECT(ADDRESS(SumRef!AY34,SumRef!AY$16,,,SumRef!$B$7))))</f>
        <v/>
      </c>
      <c r="K28" s="1099" t="str">
        <f ca="1">IF('A-80 DirEntInv'!K27&lt;&gt;"",'A-80 DirEntInv'!K27,IF(INDIRECT(ADDRESS(SumRef!AZ34,SumRef!AZ$16,,,SumRef!$B$7))="","",INDIRECT(ADDRESS(SumRef!AZ34,SumRef!AZ$16,,,SumRef!$B$7))))</f>
        <v/>
      </c>
      <c r="L28" s="1100" t="str">
        <f ca="1">IF('A-80 DirEntInv'!L27&lt;&gt;"",'A-80 DirEntInv'!L27,IF(INDIRECT(ADDRESS(SumRef!BA34,SumRef!BA$16,,,SumRef!$B$7))="","",INDIRECT(ADDRESS(SumRef!BA34,SumRef!BA$16,,,SumRef!$B$7))))</f>
        <v/>
      </c>
      <c r="M28" s="1101" t="str">
        <f ca="1">IF('A-80 DirEntInv'!M27&lt;&gt;"",'A-80 DirEntInv'!M27,IF(INDIRECT(ADDRESS(SumRef!BB34,SumRef!BB$16,,,SumRef!$B$7))="","",INDIRECT(ADDRESS(SumRef!BB34,SumRef!BB$16,,,SumRef!$B$7))))</f>
        <v/>
      </c>
      <c r="N28" s="1098" t="str">
        <f ca="1">IF('A-80 DirEntInv'!N27&lt;&gt;"",'A-80 DirEntInv'!N27,IF(INDIRECT(ADDRESS(SumRef!BC34,SumRef!BC$16,,,SumRef!$B$7))="","",INDIRECT(ADDRESS(SumRef!BC34,SumRef!BC$16,,,SumRef!$B$7))))</f>
        <v/>
      </c>
      <c r="O28" s="1102" t="str">
        <f ca="1">IF('A-80 DirEntInv'!O27&lt;&gt;"",'A-80 DirEntInv'!O27,IF(INDIRECT(ADDRESS(SumRef!BD34,SumRef!BD$16,,,SumRef!$B$7))="","",INDIRECT(ADDRESS(SumRef!BD34,SumRef!BD$16,,,SumRef!$B$7))))</f>
        <v/>
      </c>
      <c r="Q28" s="589"/>
      <c r="R28" s="1103" t="str">
        <f ca="1">IF('A-80 DirEntInv'!R27&lt;&gt;"",'A-80 DirEntInv'!R27,IF(INDIRECT(ADDRESS(SumRef!BH34,SumRef!BH$16,,,SumRef!$B$8))="","",INDIRECT(ADDRESS(SumRef!BH34,SumRef!BH$16,,,SumRef!$B$8))))</f>
        <v/>
      </c>
      <c r="S28" s="1104" t="str">
        <f ca="1">IF('A-80 DirEntInv'!S27&lt;&gt;"",'A-80 DirEntInv'!S27,IF(INDIRECT(ADDRESS(SumRef!BI34,SumRef!BI$16,,,SumRef!$B$8))="","",INDIRECT(ADDRESS(SumRef!BI34,SumRef!BI$16,,,SumRef!$B$8))))</f>
        <v/>
      </c>
      <c r="T28" s="1104" t="str">
        <f ca="1">IF('A-80 DirEntInv'!T27&lt;&gt;"",'A-80 DirEntInv'!T27,IF(INDIRECT(ADDRESS(SumRef!BJ34,SumRef!BJ$16,,,SumRef!$B$8))="","",INDIRECT(ADDRESS(SumRef!BJ34,SumRef!BJ$16,,,SumRef!$B$8))))</f>
        <v/>
      </c>
      <c r="U28" s="1104" t="str">
        <f ca="1">IF('A-80 DirEntInv'!U27&lt;&gt;"",'A-80 DirEntInv'!U27,IF(INDIRECT(ADDRESS(SumRef!BK34,SumRef!BK$16,,,SumRef!$B$8))="","",INDIRECT(ADDRESS(SumRef!BK34,SumRef!BK$16,,,SumRef!$B$8))))</f>
        <v/>
      </c>
      <c r="V28" s="1104" t="str">
        <f ca="1">IF('A-80 DirEntInv'!V27&lt;&gt;"",'A-80 DirEntInv'!V27,IF(INDIRECT(ADDRESS(SumRef!BL34,SumRef!BL$16,,,SumRef!$B$8))="","",INDIRECT(ADDRESS(SumRef!BL34,SumRef!BL$16,,,SumRef!$B$8))))</f>
        <v/>
      </c>
      <c r="W28" s="1354" t="str">
        <f ca="1">IF('A-80 DirEntInv'!W27&lt;&gt;"",'A-80 DirEntInv'!W27,IF(INDIRECT(ADDRESS(SumRef!BM34,SumRef!BM$16,,,SumRef!$B$8))="","",INDIRECT(ADDRESS(SumRef!BM34,SumRef!BM$16,,,SumRef!$B$8))))</f>
        <v/>
      </c>
      <c r="X28" s="1203" t="str">
        <f ca="1">IF('A-80 DirEntInv'!X27&lt;&gt;"",'A-80 DirEntInv'!X27,IF(INDIRECT(ADDRESS(SumRef!BN34,SumRef!BN$16,,,SumRef!$B$8))="","",INDIRECT(ADDRESS(SumRef!BN34,SumRef!BN$16,,,SumRef!$B$8))))</f>
        <v/>
      </c>
      <c r="Y28" s="1203" t="str">
        <f ca="1">IF('A-80 DirEntInv'!Y27&lt;&gt;"",'A-80 DirEntInv'!Y27,IF(INDIRECT(ADDRESS(SumRef!BO34,SumRef!BO$16,,,SumRef!$B$8))="","",INDIRECT(ADDRESS(SumRef!BO34,SumRef!BO$16,,,SumRef!$B$8))))</f>
        <v/>
      </c>
      <c r="Z28" s="1104" t="str">
        <f ca="1">IF('A-80 DirEntInv'!Z27&lt;&gt;"",'A-80 DirEntInv'!Z27,IF(INDIRECT(ADDRESS(SumRef!BP34,SumRef!BP$16,,,SumRef!$B$8))="","",INDIRECT(ADDRESS(SumRef!BP34,SumRef!BP$16,,,SumRef!$B$8))))</f>
        <v/>
      </c>
      <c r="AA28" s="1104" t="str">
        <f ca="1">IF('A-80 DirEntInv'!AA27&lt;&gt;"",'A-80 DirEntInv'!AA27,IF(INDIRECT(ADDRESS(SumRef!BQ34,SumRef!BQ$16,,,SumRef!$B$8))="","",INDIRECT(ADDRESS(SumRef!BQ34,SumRef!BQ$16,,,SumRef!$B$8))))</f>
        <v/>
      </c>
      <c r="AB28" s="1106" t="str">
        <f ca="1">IF('A-80 DirEntInv'!AB27&lt;&gt;"",'A-80 DirEntInv'!AB27,IF(INDIRECT(ADDRESS(SumRef!BR34,SumRef!BR$16,,,SumRef!$B$8))="","",INDIRECT(ADDRESS(SumRef!BR34,SumRef!BR$16,,,SumRef!$B$8))))</f>
        <v/>
      </c>
      <c r="AC28" s="1107" t="str">
        <f ca="1">IF('A-80 DirEntInv'!AC27&lt;&gt;"",'A-80 DirEntInv'!AC27,IF(INDIRECT(ADDRESS(SumRef!BS34,SumRef!BS$16,,,SumRef!$B$8))="","",INDIRECT(ADDRESS(SumRef!BS34,SumRef!BS$16,,,SumRef!$B$8))))</f>
        <v/>
      </c>
      <c r="AD28" s="1349" t="str">
        <f ca="1">IF('A-80 DirEntInv'!AD27&lt;&gt;"",'A-80 DirEntInv'!AD27,IF(INDIRECT(ADDRESS(SumRef!BT34,SumRef!BT$16,,,SumRef!$B$8))="","",INDIRECT(ADDRESS(SumRef!BT34,SumRef!BT$16,,,SumRef!$B$8))))</f>
        <v/>
      </c>
      <c r="AE28" s="1137" t="str">
        <f ca="1">IF('A-80 DirEntInv'!AE27&lt;&gt;"",'A-80 DirEntInv'!AE27,IF(INDIRECT(ADDRESS(SumRef!BU34,SumRef!BU$16,,,SumRef!$B$8))="","",INDIRECT(ADDRESS(SumRef!BU34,SumRef!BU$16,,,SumRef!$B$8))))</f>
        <v/>
      </c>
      <c r="AF28" s="1346" t="str">
        <f ca="1">IF('A-80 DirEntInv'!AF27&lt;&gt;"",'A-80 DirEntInv'!AF27,IF(INDIRECT(ADDRESS(SumRef!BV34,SumRef!BV$16,,,SumRef!$B$8))="","",INDIRECT(ADDRESS(SumRef!BV34,SumRef!BV$16,,,SumRef!$B$8))))</f>
        <v/>
      </c>
      <c r="AG28" s="1105" t="str">
        <f ca="1">IF('A-80 DirEntInv'!AG27&lt;&gt;"",'A-80 DirEntInv'!AG27,IF(INDIRECT(ADDRESS(SumRef!BW34,SumRef!BW$16,,,SumRef!$B$8))="","",INDIRECT(ADDRESS(SumRef!BW34,SumRef!BW$16,,,SumRef!$B$8))))</f>
        <v/>
      </c>
      <c r="AH28" s="1357" t="str">
        <f ca="1">IF('A-80 DirEntInv'!AH27&lt;&gt;"",'A-80 DirEntInv'!AH27,IF(INDIRECT(ADDRESS(SumRef!BX34,SumRef!BX$16,,,SumRef!$B$8))="","",INDIRECT(ADDRESS(SumRef!BX34,SumRef!BX$16,,,SumRef!$B$8))))</f>
        <v/>
      </c>
      <c r="AK28" s="1041" t="str">
        <f>Codes!$C$157</f>
        <v>AG - Automated Guideway (PT)</v>
      </c>
      <c r="AL28" s="1042" t="str">
        <f>Valid!$B$74</f>
        <v>Elevated/Concrete</v>
      </c>
      <c r="AM28" s="1108" t="str">
        <f>IF('A-80 DirEntInv'!AM27&lt;&gt;"",'A-80 DirEntInv'!AM27,IF(AK28=summaryref2!B15,summaryref2!D15,IF(Summary!AK28=summaryref2!B29,summaryref2!D29,IF(AK28=summaryref2!B43,summaryref2!D43,IF(AK28=summaryref2!B57,summaryref2!D57,IF(AK28=summaryref2!B71,summaryref2!D71,IF(AK28=summaryref2!B85,summaryref2!D85,IF(AK28=summaryref2!B99,summaryref2!D99,IF(AK28=summaryref2!B113,summaryref2!D113,IF(AK28=summaryref2!B127,summaryref2!D127,IF(AK28=summaryref2!B141,summaryref2!D141,"")))))))))))</f>
        <v/>
      </c>
      <c r="AN28" s="1109" t="str">
        <f ca="1">IF('A-80 DirEntInv'!AN27&lt;&gt;"",'A-80 DirEntInv'!AN27,IF(INDIRECT(ADDRESS(SumRef!CG38,SumRef!CG$16,,,SumRef!$C$7))="","",INDIRECT(ADDRESS(SumRef!CG38,SumRef!CG$16,,,SumRef!$C$7))))</f>
        <v>Linear Feet</v>
      </c>
      <c r="AO28" s="1108" t="str">
        <f>IF('A-80 DirEntInv'!AO27&lt;&gt;"",'A-80 DirEntInv'!AO27,IF(AK28=summaryref2!B15,summaryref2!F15,IF(Summary!AK28=summaryref2!B29,summaryref2!F29,IF(AK28=summaryref2!B43,summaryref2!F43,IF(AK28=summaryref2!B57,summaryref2!F57,IF(AK28=summaryref2!B71,summaryref2!F71,IF(AK28=summaryref2!B85,summaryref2!F85,IF(AK28=summaryref2!B99,summaryref2!F99,IF(AK28=summaryref2!B113,summaryref2!F113,IF(AK28=summaryref2!B127,summaryref2!F127,IF(AK28=summaryref2!B141,summaryref2!F141,"")))))))))))</f>
        <v/>
      </c>
      <c r="AP28" s="1109" t="str">
        <f ca="1">IF('A-80 DirEntInv'!AP27&lt;&gt;"",'A-80 DirEntInv'!AP27,IF(INDIRECT(ADDRESS(SumRef!#REF!,SumRef!#REF!,,,SumRef!$C$7))="","",INDIRECT(ADDRESS(SumRef!#REF!,SumRef!#REF!,,,SumRef!$C$7))))</f>
        <v>Track Feet</v>
      </c>
      <c r="AQ28" s="1147" t="str">
        <f>IF('A-80 DirEntInv'!AQ27&lt;&gt;"",'A-80 DirEntInv'!AQ27,IF(AK28=summaryref2!B15,summaryref2!G15,IF(Summary!AK28=summaryref2!B29,summaryref2!G29,IF(AK28=summaryref2!B43,summaryref2!G43,IF(AK28=summaryref2!B57,summaryref2!G57,IF(AK28=summaryref2!B71,summaryref2!G71,IF(AK28=summaryref2!B85,summaryref2!G85,IF(AK28=summaryref2!B99,summaryref2!G99,IF(AK28=summaryref2!B113,summaryref2!G113,IF(AK28=summaryref2!B127,summaryref2!G127,IF(AK28=summaryref2!B141,summaryref2!G141,"")))))))))))</f>
        <v/>
      </c>
      <c r="AR28" s="1147" t="str">
        <f>IF('A-80 DirEntInv'!AR27&lt;&gt;"",'A-80 DirEntInv'!AR27,IF(AK28=summaryref2!B15,summaryref2!H15,IF(Summary!AK28=summaryref2!B29,summaryref2!H29,IF(AK28=summaryref2!B43,summaryref2!H43,IF(AK28=summaryref2!B57,summaryref2!H57,IF(AK28=summaryref2!B71,summaryref2!H71,IF(AK28=summaryref2!B85,summaryref2!H85,IF(AK28=summaryref2!B99,summaryref2!H99,IF(AK28=summaryref2!B113,summaryref2!H113,IF(AK28=summaryref2!B127,summaryref2!H127,IF(AK28=summaryref2!B141,summaryref2!H141,"")))))))))))</f>
        <v/>
      </c>
      <c r="AS28" s="1110" t="str">
        <f>IF('A-80 DirEntInv'!AS27&lt;&gt;"",'A-80 DirEntInv'!AS27,IF(AK28=summaryref2!B15,summaryref2!I15,IF(Summary!AK28=summaryref2!B29,summaryref2!I29,IF(AK28=summaryref2!B43,summaryref2!I43,IF(AK28=summaryref2!B57,summaryref2!I57,IF(AK28=summaryref2!B71,summaryref2!I71,IF(AK28=summaryref2!B85,summaryref2!I85,IF(AK28=summaryref2!B99,summaryref2!I99,IF(AK28=summaryref2!B113,summaryref2!I113,IF(AK28=summaryref2!B127,summaryref2!I127,IF(AK28=summaryref2!B141,summaryref2!I141,"")))))))))))</f>
        <v/>
      </c>
      <c r="AT28" s="1110" t="str">
        <f>IF('A-80 DirEntInv'!AT27&lt;&gt;"",'A-80 DirEntInv'!AT27,IF(AK28=summaryref2!B15,summaryref2!J15,IF(Summary!AK28=summaryref2!B29,summaryref2!J29,IF(AK28=summaryref2!B43,summaryref2!J43,IF(AK28=summaryref2!B57,summaryref2!J57,IF(AK28=summaryref2!B71,summaryref2!J71,IF(AK28=summaryref2!B85,summaryref2!J85,IF(AK28=summaryref2!B99,summaryref2!J99,IF(AK28=summaryref2!B113,summaryref2!J113,IF(AK28=summaryref2!B127,summaryref2!J127,IF(AK28=summaryref2!B141,summaryref2!J141,"")))))))))))</f>
        <v/>
      </c>
      <c r="AU28" s="1110" t="str">
        <f>IF('A-80 DirEntInv'!AU27&lt;&gt;"",'A-80 DirEntInv'!AU27,IF(AK28=summaryref2!B15,summaryref2!K15,IF(Summary!AK28=summaryref2!B29,summaryref2!K29,IF(AK28=summaryref2!B43,summaryref2!K43,IF(AK28=summaryref2!B57,summaryref2!K57,IF(AK28=summaryref2!B71,summaryref2!K71,IF(AK28=summaryref2!B85,summaryref2!K85,IF(AK28=summaryref2!B99,summaryref2!K99,IF(AK28=summaryref2!B113,summaryref2!K113,IF(AK28=summaryref2!B127,summaryref2!K127,IF(AK28=summaryref2!B141,summaryref2!K141,"")))))))))))</f>
        <v/>
      </c>
      <c r="AV28" s="1110" t="str">
        <f>IF('A-80 DirEntInv'!AV27&lt;&gt;"",'A-80 DirEntInv'!AV27,IF(AK28=summaryref2!B15,summaryref2!L15,IF(Summary!AK28=summaryref2!B29,summaryref2!L29,IF(AK28=summaryref2!B43,summaryref2!L43,IF(AK28=summaryref2!B57,summaryref2!L57,IF(AK28=summaryref2!B71,summaryref2!L71,IF(AK28=summaryref2!B85,summaryref2!L85,IF(AK28=summaryref2!B99,summaryref2!L99,IF(AK28=summaryref2!B113,summaryref2!L113,IF(AK28=summaryref2!B127,summaryref2!L127,IF(AK28=summaryref2!B141,summaryref2!L141,"")))))))))))</f>
        <v/>
      </c>
      <c r="AW28" s="1110" t="str">
        <f>IF('A-80 DirEntInv'!AW27&lt;&gt;"",'A-80 DirEntInv'!AW27,IF(AK28=summaryref2!B15,summaryref2!M15,IF(Summary!AK28=summaryref2!B29,summaryref2!M29,IF(AK28=summaryref2!B43,summaryref2!M43,IF(AK28=summaryref2!B57,summaryref2!M57,IF(AK28=summaryref2!B71,summaryref2!M71,IF(AK28=summaryref2!B85,summaryref2!M85,IF(AK28=summaryref2!B99,summaryref2!M99,IF(AK28=summaryref2!B113,summaryref2!M113,IF(AK28=summaryref2!B127,summaryref2!M127,IF(AK28=summaryref2!B141,summaryref2!M141,"")))))))))))</f>
        <v/>
      </c>
      <c r="AX28" s="1110" t="str">
        <f>IF('A-80 DirEntInv'!AX27&lt;&gt;"",'A-80 DirEntInv'!AX27,IF(AK28=summaryref2!B15,summaryref2!N15,IF(Summary!AK28=summaryref2!B29,summaryref2!N29,IF(AK28=summaryref2!B43,summaryref2!N43,IF(AK28=summaryref2!B57,summaryref2!N57,IF(AK28=summaryref2!B71,summaryref2!N71,IF(AK28=summaryref2!B85,summaryref2!N85,IF(AK28=summaryref2!B99,summaryref2!N99,IF(AK28=summaryref2!B113,summaryref2!N113,IF(AK28=summaryref2!B127,summaryref2!N127,IF(AK28=summaryref2!B141,summaryref2!N141,"")))))))))))</f>
        <v/>
      </c>
      <c r="AY28" s="1110" t="str">
        <f>IF('A-80 DirEntInv'!AY27&lt;&gt;"",'A-80 DirEntInv'!AY27,IF(AK28=summaryref2!B15,summaryref2!O15,IF(Summary!AK28=summaryref2!B29,summaryref2!O29,IF(AK28=summaryref2!B43,summaryref2!O43,IF(AK28=summaryref2!B57,summaryref2!O57,IF(AK28=summaryref2!B71,summaryref2!O71,IF(AK28=summaryref2!B85,summaryref2!O85,IF(AK28=summaryref2!B99,summaryref2!O99,IF(AK28=summaryref2!B113,summaryref2!O113,IF(AK28=summaryref2!B127,summaryref2!O127,IF(AK28=summaryref2!B141,summaryref2!O141,"")))))))))))</f>
        <v/>
      </c>
      <c r="AZ28" s="1110" t="str">
        <f>IF('A-80 DirEntInv'!AZ27&lt;&gt;"",'A-80 DirEntInv'!AZ27,IF(AK28=summaryref2!B15,summaryref2!P15,IF(Summary!AK28=summaryref2!B29,summaryref2!P29,IF(AK28=summaryref2!B43,summaryref2!P43,IF(AK28=summaryref2!B57,summaryref2!P57,IF(AK28=summaryref2!B71,summaryref2!P71,IF(AK28=summaryref2!B85,summaryref2!P85,IF(AK28=summaryref2!B99,summaryref2!P99,IF(AK28=summaryref2!B113,summaryref2!P113,IF(AK28=summaryref2!B127,summaryref2!P127,IF(AK28=summaryref2!B141,summaryref2!P141,"")))))))))))</f>
        <v/>
      </c>
      <c r="BA28" s="1110" t="str">
        <f>IF('A-80 DirEntInv'!BA27&lt;&gt;"",'A-80 DirEntInv'!BA27,IF(AK28=summaryref2!B15,summaryref2!Q15,IF(Summary!AK28=summaryref2!B29,summaryref2!Q29,IF(AK28=summaryref2!B43,summaryref2!Q43,IF(AK28=summaryref2!B57,summaryref2!Q57,IF(AK28=summaryref2!B71,summaryref2!Q71,IF(AK28=summaryref2!B85,summaryref2!Q85,IF(AK28=summaryref2!B99,summaryref2!Q99,IF(AK28=summaryref2!B113,summaryref2!Q113,IF(AK28=summaryref2!B127,summaryref2!Q127,IF(AK28=summaryref2!B141,summaryref2!Q141,"")))))))))))</f>
        <v/>
      </c>
      <c r="BB28" s="1110" t="str">
        <f>IF('A-80 DirEntInv'!BB27&lt;&gt;"",'A-80 DirEntInv'!BB27,IF(AK28=summaryref2!B15,summaryref2!R15,IF(Summary!AK28=summaryref2!B29,summaryref2!R29,IF(AK28=summaryref2!B43,summaryref2!R43,IF(AK28=summaryref2!B57,summaryref2!R57,IF(AK28=summaryref2!B71,summaryref2!R71,IF(AK28=summaryref2!B85,summaryref2!R85,IF(AK28=summaryref2!B99,summaryref2!R99,IF(AK28=summaryref2!B113,summaryref2!R113,IF(AK28=summaryref2!B127,summaryref2!R127,IF(AK28=summaryref2!B141,summaryref2!R141,"")))))))))))</f>
        <v/>
      </c>
      <c r="BC28" s="1110" t="str">
        <f>IF('A-80 DirEntInv'!BC27&lt;&gt;0,'A-80 DirEntInv'!BC27,IF(AK28=summaryref2!B15,summaryref2!S15,IF(Summary!AK28=summaryref2!B29,summaryref2!S29,IF(AK28=summaryref2!B43,summaryref2!S43,IF(AK28=summaryref2!B57,summaryref2!S57,IF(AK28=summaryref2!B71,summaryref2!S71,IF(AK28=summaryref2!B85,summaryref2!S85,IF(AK28=summaryref2!B99,summaryref2!S99,IF(AK28=summaryref2!B113,summaryref2!S113,IF(AK28=summaryref2!B127,summaryref2!S127,IF(AK28=summaryref2!B141,summaryref2!S141,"")))))))))))</f>
        <v/>
      </c>
      <c r="BD28" s="1111" t="str">
        <f>IF('A-80 DirEntInv'!BD27&lt;&gt;"",'A-80 DirEntInv'!BD27,IF(AK28=summaryref2!B15,summaryref2!T15,IF(Summary!AK28=summaryref2!B29,summaryref2!T29,IF(AK28=summaryref2!B43,summaryref2!T43,IF(AK28=summaryref2!B57,summaryref2!T57,IF(AK28=summaryref2!B71,summaryref2!T71,IF(AK28=summaryref2!B85,summaryref2!T85,IF(AK28=summaryref2!B99,summaryref2!T99,IF(AK28=summaryref2!B113,summaryref2!T113,IF(AK28=summaryref2!B127,summaryref2!T127,IF(AK28=summaryref2!B141,summaryref2!T141,"")))))))))))</f>
        <v/>
      </c>
      <c r="BE28" s="1184" t="str">
        <f>IF('A-80 DirEntInv'!BE27&lt;&gt;"",'A-80 DirEntInv'!BE27,IF(AK28=summaryref2!B15,summaryref2!U15,IF(Summary!AK28=summaryref2!B29,summaryref2!U29,IF(AK28=summaryref2!B43,summaryref2!U43,IF(AK28=summaryref2!B57,summaryref2!U57,IF(AK28=summaryref2!B71,summaryref2!U71,IF(AK28=summaryref2!B85,summaryref2!U85,IF(AK28=summaryref2!B99,summaryref2!U99,IF(AK28=summaryref2!B113,summaryref2!U113,IF(AK28=summaryref2!B127,summaryref2!U127,IF(AK28=summaryref2!B141,summaryref2!U141,"")))))))))))</f>
        <v/>
      </c>
      <c r="BF28" s="1432"/>
      <c r="BG28" s="1432"/>
      <c r="BJ28" s="1041" t="str">
        <f>Codes!$C$158</f>
        <v>AR - Alaska Railroad</v>
      </c>
      <c r="BK28" s="1042" t="str">
        <f>Valid!$B$83</f>
        <v>Single Crossover</v>
      </c>
      <c r="BL28" s="1375" t="str">
        <f>IF('A-80 DirEntInv'!BL27&lt;&gt;"",'A-80 DirEntInv'!BL27,IF(BJ28=summaryref2!X15,summaryref2!Z15,IF(BJ28=summaryref2!X22,summaryref2!Z22,IF(BJ28=summaryref2!X29,summaryref2!Z29,IF(BJ28=summaryref2!X36,summaryref2!Z36,IF(BJ28=summaryref2!X43,summaryref2!Z43,IF(BJ28=summaryref2!X50,summaryref2!Z50,IF(BJ28=summaryref2!X57,summaryref2!Z57,IF(BJ28=summaryref2!X64,summaryref2!Z64,IF(BJ28=summaryref2!X71,summaryref2!Z71,IF(BJ28=summaryref2!X78,summaryref2!Z78,"")))))))))))</f>
        <v/>
      </c>
      <c r="BM28" s="1042" t="str">
        <f>VLOOKUP(BK28,Valid!$B$80:$C$86,2,FALSE)</f>
        <v>Each</v>
      </c>
      <c r="BN28" s="1209" t="str">
        <f>IF('A-80 DirEntInv'!BN27&lt;&gt;"",'A-80 DirEntInv'!BN27,IF(BJ28=summaryref2!X15,summaryref2!AB15,IF(BJ28=summaryref2!X22,summaryref2!AB22,IF(BJ28=summaryref2!X29,summaryref2!AB29,IF(BJ28=summaryref2!X36,summaryref2!AB36,IF(BJ28=summaryref2!X43,summaryref2!AB43,IF(BJ28=summaryref2!X50,summaryref2!AB50,IF(BJ28=summaryref2!X57,summaryref2!AB57,IF(BJ28=summaryref2!X64,summaryref2!AB64,IF(BJ28=summaryref2!X71,summaryref2!AB71,IF(BJ28=summaryref2!X78,summaryref2!AB78,"")))))))))))</f>
        <v/>
      </c>
      <c r="BO28" s="1116" t="str">
        <f>IF('A-80 DirEntInv'!BO27&lt;&gt;"",'A-80 DirEntInv'!BO27,IF(BJ28=summaryref2!X15,summaryref2!AC15,IF(BJ28=summaryref2!X22,summaryref2!AC22,IF(BJ28=summaryref2!X29,summaryref2!AC29,IF(BJ28=summaryref2!X36,summaryref2!AC36,IF(BJ28=summaryref2!X43,summaryref2!AC43,IF(BJ28=summaryref2!X50,summaryref2!AC50,IF(BJ28=summaryref2!X57,summaryref2!AC57,IF(BJ28=summaryref2!X64,summaryref2!AC64,IF(BJ28=summaryref2!X71,summaryref2!AC71,IF(BJ28=summaryref2!X78,summaryref2!AC78,"")))))))))))</f>
        <v/>
      </c>
      <c r="BP28" s="1384" t="str">
        <f>IF('A-80 DirEntInv'!BP27&lt;&gt;"",'A-80 DirEntInv'!BP27,IF(BJ28=summaryref2!X15,summaryref2!AD15,IF(BJ28=summaryref2!X22,summaryref2!AD22,IF(BJ28=summaryref2!X29,summaryref2!AD29,IF(BJ28=summaryref2!X36,summaryref2!AD36,IF(BJ28=summaryref2!X43,summaryref2!AD43,IF(BJ28=summaryref2!X50,summaryref2!AD50,IF(BJ28=summaryref2!X57,summaryref2!AD57,IF(BJ28=summaryref2!X64,summaryref2!AD64,IF(BJ28=summaryref2!X71,summaryref2!AD71,IF(BJ28=summaryref2!X78,summaryref2!AD78,"")))))))))))</f>
        <v/>
      </c>
      <c r="BS28" s="1472" t="str">
        <f ca="1">IF('A-80 DirEntInv'!BU27&lt;&gt;"",'A-80 DirEntInv'!BU27,IF(INDIRECT(ADDRESS(SumRef!DK34,SumRef!DK$16,,,SumRef!$E$6))="","",INDIRECT(ADDRESS(SumRef!DK34,SumRef!DK$16,,,SumRef!$E$6))))</f>
        <v/>
      </c>
      <c r="BT28" s="1458" t="str">
        <f ca="1">IF('A-80 DirEntInv'!BV27&lt;&gt;"",'A-80 DirEntInv'!BV27,IF(INDIRECT(ADDRESS(SumRef!DL34,SumRef!DL$16,,,SumRef!$E$6))="","",INDIRECT(ADDRESS(SumRef!DL34,SumRef!DL$16,,,SumRef!$E$6))))</f>
        <v/>
      </c>
      <c r="BU28" s="1177" t="str">
        <f ca="1">IF('A-80 DirEntInv'!BW27&lt;&gt;"",'A-80 DirEntInv'!BW27,IF(INDIRECT(ADDRESS(SumRef!DM34,SumRef!DM$16,,,SumRef!$E$6))="","",INDIRECT(ADDRESS(SumRef!DM34,SumRef!DM$16,,,SumRef!$E$6))))</f>
        <v/>
      </c>
      <c r="BV28" s="1460" t="str">
        <f ca="1">IF('A-80 DirEntInv'!BX27&lt;&gt;"",'A-80 DirEntInv'!BX27,IF(INDIRECT(ADDRESS(SumRef!DN34,SumRef!DN$16,,,SumRef!$E$6))="","",INDIRECT(ADDRESS(SumRef!DN34,SumRef!DN$16,,,SumRef!$E$6))))</f>
        <v/>
      </c>
      <c r="BW28" s="1460" t="str">
        <f ca="1">IF('A-80 DirEntInv'!BY27&lt;&gt;"",'A-80 DirEntInv'!BY27,IF(INDIRECT(ADDRESS(SumRef!DO34,SumRef!DO$16,,,SumRef!$E$6))="","",INDIRECT(ADDRESS(SumRef!DO34,SumRef!DO$16,,,SumRef!$E$6))))</f>
        <v/>
      </c>
      <c r="BX28" s="1116" t="str">
        <f ca="1">IF('A-80 DirEntInv'!BZ27&lt;&gt;"",'A-80 DirEntInv'!BZ27,IF(INDIRECT(ADDRESS(SumRef!DP34,SumRef!DP$16,,,SumRef!$E$6))="","",INDIRECT(ADDRESS(SumRef!DP34,SumRef!DP$16,,,SumRef!$E$6))))</f>
        <v/>
      </c>
      <c r="BY28" s="1461" t="str">
        <f ca="1">IF('A-80 DirEntInv'!CA27&lt;&gt;"",'A-80 DirEntInv'!CA27,IF(INDIRECT(ADDRESS(SumRef!DQ34,SumRef!DQ$16,,,SumRef!$E$6))="","",INDIRECT(ADDRESS(SumRef!DQ34,SumRef!DQ$16,,,SumRef!$E$6))))</f>
        <v/>
      </c>
      <c r="BZ28" s="1460" t="str">
        <f ca="1">IF('A-80 DirEntInv'!CB27&lt;&gt;"",'A-80 DirEntInv'!CB27,IF(INDIRECT(ADDRESS(SumRef!DR34,SumRef!DR$16,,,SumRef!$E$6))="","",INDIRECT(ADDRESS(SumRef!DR34,SumRef!DR$16,,,SumRef!$E$6))))</f>
        <v/>
      </c>
      <c r="CA28" s="1462" t="str">
        <f ca="1">IF('A-80 DirEntInv'!CC27&lt;&gt;"",'A-80 DirEntInv'!CC27,IF(INDIRECT(ADDRESS(SumRef!DS34,SumRef!DS$16,,,SumRef!$E$6))="","",INDIRECT(ADDRESS(SumRef!DS34,SumRef!DS$16,,,SumRef!$E$6))))</f>
        <v/>
      </c>
      <c r="CD28" s="1160" t="str">
        <f ca="1">IF('A-80 DirEntInv'!CF27&lt;&gt;"",'A-80 DirEntInv'!CF27,IF(INDIRECT(ADDRESS(SumRef!DV34,SumRef!DV$16,,,SumRef!$E$7))="","",INDIRECT(ADDRESS(SumRef!DV34,SumRef!DV$16,,,SumRef!$E$7))))</f>
        <v/>
      </c>
      <c r="CE28" s="1167" t="str">
        <f ca="1">IF('A-80 DirEntInv'!CG27&lt;&gt;"",'A-80 DirEntInv'!CG27,IF(INDIRECT(ADDRESS(SumRef!DW34,SumRef!DW$16,,,SumRef!$E$7))="","",INDIRECT(ADDRESS(SumRef!DW34,SumRef!DW$16,,,SumRef!$E$7))))</f>
        <v/>
      </c>
      <c r="CF28" s="1167" t="str">
        <f ca="1">IF('A-80 DirEntInv'!CH27&lt;&gt;"",'A-80 DirEntInv'!CH27,IF(INDIRECT(ADDRESS(SumRef!DX34,SumRef!DX$16,,,SumRef!$E$7))="","",INDIRECT(ADDRESS(SumRef!DX34,SumRef!DX$16,,,SumRef!$E$7))))</f>
        <v/>
      </c>
      <c r="CG28" s="1167" t="str">
        <f ca="1">IF('A-80 DirEntInv'!CI27&lt;&gt;"",'A-80 DirEntInv'!CI27,IF(INDIRECT(ADDRESS(SumRef!DY34,SumRef!DY$16,,,SumRef!$E$7))="","",INDIRECT(ADDRESS(SumRef!DY34,SumRef!DY$16,,,SumRef!$E$7))))</f>
        <v/>
      </c>
      <c r="CH28" s="1167" t="str">
        <f ca="1">IF('A-80 DirEntInv'!CJ27&lt;&gt;"",'A-80 DirEntInv'!CJ27,IF(INDIRECT(ADDRESS(SumRef!DZ34,SumRef!DZ$16,,,SumRef!$E$7))="","",INDIRECT(ADDRESS(SumRef!DZ34,SumRef!DZ$16,,,SumRef!$E$7))))</f>
        <v/>
      </c>
      <c r="CI28" s="1167" t="str">
        <f ca="1">IF('A-80 DirEntInv'!CK27&lt;&gt;"",'A-80 DirEntInv'!CK27,IF(INDIRECT(ADDRESS(SumRef!EA34,SumRef!EA$16,,,SumRef!$E$7))="","",INDIRECT(ADDRESS(SumRef!EA34,SumRef!EA$16,,,SumRef!$E$7))))</f>
        <v/>
      </c>
      <c r="CJ28" s="1114" t="str">
        <f ca="1">IF('A-80 DirEntInv'!CL27&lt;&gt;"",'A-80 DirEntInv'!CL27,IF(INDIRECT(ADDRESS(SumRef!EB34,SumRef!EB$16,,,SumRef!$E$7))="","",INDIRECT(ADDRESS(SumRef!EB34,SumRef!EB$16,,,SumRef!$E$7))))</f>
        <v/>
      </c>
      <c r="CK28" s="1114" t="str">
        <f ca="1">IF('A-80 DirEntInv'!CM27&lt;&gt;"",'A-80 DirEntInv'!CM27,IF(INDIRECT(ADDRESS(SumRef!EC34,SumRef!EC$16,,,SumRef!$E$7))="","",INDIRECT(ADDRESS(SumRef!EC34,SumRef!EC$16,,,SumRef!$E$7))))</f>
        <v/>
      </c>
      <c r="CL28" s="1113" t="str">
        <f ca="1">IF('A-80 DirEntInv'!CO27&lt;&gt;"",'A-80 DirEntInv'!CO27,IF(INDIRECT(ADDRESS(SumRef!ED34,SumRef!ED$16,,,SumRef!$E$7))="","",INDIRECT(ADDRESS(SumRef!ED34,SumRef!ED$16,,,SumRef!$E$7))))</f>
        <v/>
      </c>
      <c r="CM28" s="1114" t="str">
        <f ca="1">IF('A-80 DirEntInv'!CP27&lt;&gt;"",'A-80 DirEntInv'!CP27,IF(INDIRECT(ADDRESS(SumRef!EE34,SumRef!EE$16,,,SumRef!$E$7))="","",INDIRECT(ADDRESS(SumRef!EE34,SumRef!EE$16,,,SumRef!$E$7))))</f>
        <v/>
      </c>
      <c r="CN28" s="1114" t="str">
        <f ca="1">IF('A-80 DirEntInv'!CQ27&lt;&gt;"",'A-80 DirEntInv'!CQ27,IF(INDIRECT(ADDRESS(SumRef!EF34,SumRef!EF$16,,,SumRef!$E$7))="","",INDIRECT(ADDRESS(SumRef!EF34,SumRef!EF$16,,,SumRef!$E$7))))</f>
        <v/>
      </c>
      <c r="CO28" s="1113" t="str">
        <f ca="1">IF('A-80 DirEntInv'!CR27&lt;&gt;"",'A-80 DirEntInv'!CR27,IF(INDIRECT(ADDRESS(SumRef!EG34,SumRef!EG$16,,,SumRef!$E$7))="","",INDIRECT(ADDRESS(SumRef!EG34,SumRef!EG$16,,,SumRef!$E$7))))</f>
        <v/>
      </c>
      <c r="CP28" s="1114" t="str">
        <f ca="1">IF('A-80 DirEntInv'!CS27&lt;&gt;"",'A-80 DirEntInv'!CS27,IF(INDIRECT(ADDRESS(SumRef!EH34,SumRef!EH$16,,,SumRef!$E$7))="","",INDIRECT(ADDRESS(SumRef!EH34,SumRef!EH$16,,,SumRef!$E$7))))</f>
        <v/>
      </c>
      <c r="CQ28" s="1346" t="str">
        <f ca="1">IF('A-80 DirEntInv'!CT27&lt;&gt;"",'A-80 DirEntInv'!CT27,IF(INDIRECT(ADDRESS(SumRef!EI34,SumRef!EI$16,,,SumRef!$E$7))="","",INDIRECT(ADDRESS(SumRef!EI34,SumRef!EI$16,,,SumRef!$E$7))))</f>
        <v/>
      </c>
      <c r="CR28" s="1113" t="str">
        <f ca="1">IF('A-80 DirEntInv'!CU27&lt;&gt;"",'A-80 DirEntInv'!CU27,IF(INDIRECT(ADDRESS(SumRef!EJ34,SumRef!EJ$16,,,SumRef!$E$7))="","",INDIRECT(ADDRESS(SumRef!EJ34,SumRef!EJ$16,,,SumRef!$E$7))))</f>
        <v/>
      </c>
      <c r="CS28" s="1346" t="str">
        <f ca="1">IF('A-80 DirEntInv'!CV27&lt;&gt;"",'A-80 DirEntInv'!CV27,IF(INDIRECT(ADDRESS(SumRef!EM34,SumRef!EM$16,,,SumRef!$E$7))="","",INDIRECT(ADDRESS(SumRef!EM34,SumRef!EM$16,,,SumRef!$E$7))))</f>
        <v/>
      </c>
      <c r="CT28" s="1113" t="str">
        <f ca="1">IF('A-80 DirEntInv'!CW27&lt;&gt;"",'A-80 DirEntInv'!CW27,IF(INDIRECT(ADDRESS(SumRef!EN34,SumRef!EN$16,,,SumRef!$E$7))="","",INDIRECT(ADDRESS(SumRef!EN34,SumRef!EN$16,,,SumRef!$E$7))))</f>
        <v/>
      </c>
      <c r="CU28" s="1113" t="str">
        <f ca="1">IF('A-80 DirEntInv'!CX27&lt;&gt;"",'A-80 DirEntInv'!CX27,IF(INDIRECT(ADDRESS(SumRef!EO34,SumRef!EO$16,,,SumRef!$E$7))="","",INDIRECT(ADDRESS(SumRef!EO34,SumRef!EO$16,,,SumRef!$E$7))))</f>
        <v/>
      </c>
      <c r="CV28" s="1113" t="str">
        <f ca="1">IF('A-80 DirEntInv'!CY27&lt;&gt;"",'A-80 DirEntInv'!CY27,IF(INDIRECT(ADDRESS(SumRef!EP34,SumRef!EP$16,,,SumRef!$E$7))="","",INDIRECT(ADDRESS(SumRef!EP34,SumRef!EP$16,,,SumRef!$E$7))))</f>
        <v/>
      </c>
      <c r="CW28" s="1114" t="str">
        <f ca="1">IF('A-80 DirEntInv'!CZ27&lt;&gt;"",'A-80 DirEntInv'!CZ27,IF(INDIRECT(ADDRESS(SumRef!ES34,SumRef!ES$16,,,SumRef!$E$7))="","",INDIRECT(ADDRESS(SumRef!ES34,SumRef!ES$16,,,SumRef!$E$7))))</f>
        <v/>
      </c>
      <c r="CX28" s="1167" t="str">
        <f ca="1">IF('A-80 DirEntInv'!DA27&lt;&gt;"",'A-80 DirEntInv'!DA27,IF(INDIRECT(ADDRESS(SumRef!ET34,SumRef!ET$16,,,SumRef!$E$7))="","",INDIRECT(ADDRESS(SumRef!ET34,SumRef!ET$16,,,SumRef!$E$7))))</f>
        <v/>
      </c>
      <c r="CY28" s="1167" t="str">
        <f ca="1">IF('A-80 DirEntInv'!DB27&lt;&gt;"",'A-80 DirEntInv'!DB27,IF(INDIRECT(ADDRESS(SumRef!EU34,SumRef!EU$16,,,SumRef!$E$7))="","",INDIRECT(ADDRESS(SumRef!EU34,SumRef!EU$16,,,SumRef!$E$7))))</f>
        <v/>
      </c>
      <c r="CZ28" s="1167" t="b">
        <f ca="1">IF('A-80 DirEntInv'!DC27&lt;&gt;"",'A-80 DirEntInv'!DC27,IF(INDIRECT(ADDRESS(SumRef!EV34,SumRef!EV$16,,,SumRef!$E$7))="","",INDIRECT(ADDRESS(SumRef!EV34,SumRef!EV$16,,,SumRef!$E$7))))</f>
        <v>0</v>
      </c>
      <c r="DA28" s="1373" t="str">
        <f ca="1">IF('A-80 DirEntInv'!DD27&lt;&gt;"",'A-80 DirEntInv'!DD27,IF(INDIRECT(ADDRESS(SumRef!EW34,SumRef!EW$16,,,SumRef!$E$7))="","",INDIRECT(ADDRESS(SumRef!EW34,SumRef!EW$16,,,SumRef!$E$7))))</f>
        <v/>
      </c>
      <c r="DB28" s="1373" t="b">
        <f ca="1">IF('A-80 DirEntInv'!DE27&lt;&gt;"",'A-80 DirEntInv'!DE27,IF(INDIRECT(ADDRESS(SumRef!EX34,SumRef!EX$16,,,SumRef!$E$7))="","",INDIRECT(ADDRESS(SumRef!EX34,SumRef!EX$16,,,SumRef!$E$7))))</f>
        <v>0</v>
      </c>
      <c r="DC28" s="1114" t="b">
        <f ca="1">IF('A-80 DirEntInv'!DF27&lt;&gt;"",'A-80 DirEntInv'!DF27,IF(INDIRECT(ADDRESS(SumRef!EY34,SumRef!EY$16,,,SumRef!$E$7))="","",INDIRECT(ADDRESS(SumRef!EY34,SumRef!EY$16,,,SumRef!$E$7))))</f>
        <v>0</v>
      </c>
      <c r="DD28" s="1115" t="str">
        <f ca="1">IF('A-80 DirEntInv'!DG27&lt;&gt;"",'A-80 DirEntInv'!DG27,IF(INDIRECT(ADDRESS(SumRef!EZ34,SumRef!EZ$16,,,SumRef!$E$7))="","",INDIRECT(ADDRESS(SumRef!EZ34,SumRef!EZ$16,,,SumRef!$E$7))))</f>
        <v/>
      </c>
    </row>
    <row r="29" spans="1:108" s="588" customFormat="1" x14ac:dyDescent="0.2">
      <c r="A29" s="589">
        <f t="shared" si="0"/>
        <v>19</v>
      </c>
      <c r="B29" s="1155" t="str">
        <f ca="1">IF('A-80 DirEntInv'!B28&lt;&gt;"",'A-80 DirEntInv'!B28,IF(INDIRECT(ADDRESS(SumRef!AQ35,SumRef!AQ$16,,,SumRef!$B$7))="","",INDIRECT(ADDRESS(SumRef!AQ35,SumRef!AQ$16,,,SumRef!$B$7))))</f>
        <v/>
      </c>
      <c r="C29" s="1097" t="str">
        <f ca="1">IF('A-80 DirEntInv'!C28&lt;&gt;"",'A-80 DirEntInv'!C28,IF(INDIRECT(ADDRESS(SumRef!AR35,SumRef!AR$16,,,SumRef!$B$7))="","",INDIRECT(ADDRESS(SumRef!AR35,SumRef!AR$16,,,SumRef!$B$7))))</f>
        <v/>
      </c>
      <c r="D29" s="1097" t="str">
        <f ca="1">IF('A-80 DirEntInv'!D28&lt;&gt;"",'A-80 DirEntInv'!D28,IF(INDIRECT(ADDRESS(SumRef!AS35,SumRef!AS$16,,,SumRef!$B$7))="","",INDIRECT(ADDRESS(SumRef!AS35,SumRef!AS$16,,,SumRef!$B$7))))</f>
        <v/>
      </c>
      <c r="E29" s="1097" t="str">
        <f ca="1">IF('A-80 DirEntInv'!E28&lt;&gt;"",'A-80 DirEntInv'!E28,IF(INDIRECT(ADDRESS(SumRef!AT35,SumRef!AT$16,,,SumRef!$B$7))="","",INDIRECT(ADDRESS(SumRef!AT35,SumRef!AT$16,,,SumRef!$B$7))))</f>
        <v/>
      </c>
      <c r="F29" s="1097" t="str">
        <f ca="1">IF('A-80 DirEntInv'!F28&lt;&gt;"",'A-80 DirEntInv'!F28,IF(INDIRECT(ADDRESS(SumRef!AU35,SumRef!AU$16,,,SumRef!$B$7))="","",INDIRECT(ADDRESS(SumRef!AU35,SumRef!AU$16,,,SumRef!$B$7))))</f>
        <v/>
      </c>
      <c r="G29" s="1158" t="str">
        <f ca="1">IF('A-80 DirEntInv'!G28&lt;&gt;"",'A-80 DirEntInv'!G28,IF(INDIRECT(ADDRESS(SumRef!AV35,SumRef!AV$16,,,SumRef!$B$7))="","",INDIRECT(ADDRESS(SumRef!AV35,SumRef!AV$16,,,SumRef!$B$7))))</f>
        <v/>
      </c>
      <c r="H29" s="1097" t="str">
        <f ca="1">IF('A-80 DirEntInv'!H28&lt;&gt;"",'A-80 DirEntInv'!H28,IF(INDIRECT(ADDRESS(SumRef!AW35,SumRef!AW$16,,,SumRef!$B$7))="","",INDIRECT(ADDRESS(SumRef!AW35,SumRef!AW$16,,,SumRef!$B$7))))</f>
        <v/>
      </c>
      <c r="I29" s="1097" t="str">
        <f ca="1">IF('A-80 DirEntInv'!I28&lt;&gt;"",'A-80 DirEntInv'!I28,IF(INDIRECT(ADDRESS(SumRef!AX35,SumRef!AX$16,,,SumRef!$B$7))="","",INDIRECT(ADDRESS(SumRef!AX35,SumRef!AX$16,,,SumRef!$B$7))))</f>
        <v/>
      </c>
      <c r="J29" s="1098" t="str">
        <f ca="1">IF('A-80 DirEntInv'!J28&lt;&gt;"",'A-80 DirEntInv'!J28,IF(INDIRECT(ADDRESS(SumRef!AY35,SumRef!AY$16,,,SumRef!$B$7))="","",INDIRECT(ADDRESS(SumRef!AY35,SumRef!AY$16,,,SumRef!$B$7))))</f>
        <v/>
      </c>
      <c r="K29" s="1099" t="str">
        <f ca="1">IF('A-80 DirEntInv'!K28&lt;&gt;"",'A-80 DirEntInv'!K28,IF(INDIRECT(ADDRESS(SumRef!AZ35,SumRef!AZ$16,,,SumRef!$B$7))="","",INDIRECT(ADDRESS(SumRef!AZ35,SumRef!AZ$16,,,SumRef!$B$7))))</f>
        <v/>
      </c>
      <c r="L29" s="1100" t="str">
        <f ca="1">IF('A-80 DirEntInv'!L28&lt;&gt;"",'A-80 DirEntInv'!L28,IF(INDIRECT(ADDRESS(SumRef!BA35,SumRef!BA$16,,,SumRef!$B$7))="","",INDIRECT(ADDRESS(SumRef!BA35,SumRef!BA$16,,,SumRef!$B$7))))</f>
        <v/>
      </c>
      <c r="M29" s="1101" t="str">
        <f ca="1">IF('A-80 DirEntInv'!M28&lt;&gt;"",'A-80 DirEntInv'!M28,IF(INDIRECT(ADDRESS(SumRef!BB35,SumRef!BB$16,,,SumRef!$B$7))="","",INDIRECT(ADDRESS(SumRef!BB35,SumRef!BB$16,,,SumRef!$B$7))))</f>
        <v/>
      </c>
      <c r="N29" s="1098" t="str">
        <f ca="1">IF('A-80 DirEntInv'!N28&lt;&gt;"",'A-80 DirEntInv'!N28,IF(INDIRECT(ADDRESS(SumRef!BC35,SumRef!BC$16,,,SumRef!$B$7))="","",INDIRECT(ADDRESS(SumRef!BC35,SumRef!BC$16,,,SumRef!$B$7))))</f>
        <v/>
      </c>
      <c r="O29" s="1102" t="str">
        <f ca="1">IF('A-80 DirEntInv'!O28&lt;&gt;"",'A-80 DirEntInv'!O28,IF(INDIRECT(ADDRESS(SumRef!BD35,SumRef!BD$16,,,SumRef!$B$7))="","",INDIRECT(ADDRESS(SumRef!BD35,SumRef!BD$16,,,SumRef!$B$7))))</f>
        <v/>
      </c>
      <c r="Q29" s="589"/>
      <c r="R29" s="1103" t="str">
        <f ca="1">IF('A-80 DirEntInv'!R28&lt;&gt;"",'A-80 DirEntInv'!R28,IF(INDIRECT(ADDRESS(SumRef!BH35,SumRef!BH$16,,,SumRef!$B$8))="","",INDIRECT(ADDRESS(SumRef!BH35,SumRef!BH$16,,,SumRef!$B$8))))</f>
        <v/>
      </c>
      <c r="S29" s="1104" t="str">
        <f ca="1">IF('A-80 DirEntInv'!S28&lt;&gt;"",'A-80 DirEntInv'!S28,IF(INDIRECT(ADDRESS(SumRef!BI35,SumRef!BI$16,,,SumRef!$B$8))="","",INDIRECT(ADDRESS(SumRef!BI35,SumRef!BI$16,,,SumRef!$B$8))))</f>
        <v/>
      </c>
      <c r="T29" s="1104" t="str">
        <f ca="1">IF('A-80 DirEntInv'!T28&lt;&gt;"",'A-80 DirEntInv'!T28,IF(INDIRECT(ADDRESS(SumRef!BJ35,SumRef!BJ$16,,,SumRef!$B$8))="","",INDIRECT(ADDRESS(SumRef!BJ35,SumRef!BJ$16,,,SumRef!$B$8))))</f>
        <v/>
      </c>
      <c r="U29" s="1104" t="str">
        <f ca="1">IF('A-80 DirEntInv'!U28&lt;&gt;"",'A-80 DirEntInv'!U28,IF(INDIRECT(ADDRESS(SumRef!BK35,SumRef!BK$16,,,SumRef!$B$8))="","",INDIRECT(ADDRESS(SumRef!BK35,SumRef!BK$16,,,SumRef!$B$8))))</f>
        <v/>
      </c>
      <c r="V29" s="1104" t="str">
        <f ca="1">IF('A-80 DirEntInv'!V28&lt;&gt;"",'A-80 DirEntInv'!V28,IF(INDIRECT(ADDRESS(SumRef!BL35,SumRef!BL$16,,,SumRef!$B$8))="","",INDIRECT(ADDRESS(SumRef!BL35,SumRef!BL$16,,,SumRef!$B$8))))</f>
        <v/>
      </c>
      <c r="W29" s="1354" t="str">
        <f ca="1">IF('A-80 DirEntInv'!W28&lt;&gt;"",'A-80 DirEntInv'!W28,IF(INDIRECT(ADDRESS(SumRef!BM35,SumRef!BM$16,,,SumRef!$B$8))="","",INDIRECT(ADDRESS(SumRef!BM35,SumRef!BM$16,,,SumRef!$B$8))))</f>
        <v/>
      </c>
      <c r="X29" s="1203" t="str">
        <f ca="1">IF('A-80 DirEntInv'!X28&lt;&gt;"",'A-80 DirEntInv'!X28,IF(INDIRECT(ADDRESS(SumRef!BN35,SumRef!BN$16,,,SumRef!$B$8))="","",INDIRECT(ADDRESS(SumRef!BN35,SumRef!BN$16,,,SumRef!$B$8))))</f>
        <v/>
      </c>
      <c r="Y29" s="1203" t="str">
        <f ca="1">IF('A-80 DirEntInv'!Y28&lt;&gt;"",'A-80 DirEntInv'!Y28,IF(INDIRECT(ADDRESS(SumRef!BO35,SumRef!BO$16,,,SumRef!$B$8))="","",INDIRECT(ADDRESS(SumRef!BO35,SumRef!BO$16,,,SumRef!$B$8))))</f>
        <v/>
      </c>
      <c r="Z29" s="1104" t="str">
        <f ca="1">IF('A-80 DirEntInv'!Z28&lt;&gt;"",'A-80 DirEntInv'!Z28,IF(INDIRECT(ADDRESS(SumRef!BP35,SumRef!BP$16,,,SumRef!$B$8))="","",INDIRECT(ADDRESS(SumRef!BP35,SumRef!BP$16,,,SumRef!$B$8))))</f>
        <v/>
      </c>
      <c r="AA29" s="1104" t="str">
        <f ca="1">IF('A-80 DirEntInv'!AA28&lt;&gt;"",'A-80 DirEntInv'!AA28,IF(INDIRECT(ADDRESS(SumRef!BQ35,SumRef!BQ$16,,,SumRef!$B$8))="","",INDIRECT(ADDRESS(SumRef!BQ35,SumRef!BQ$16,,,SumRef!$B$8))))</f>
        <v/>
      </c>
      <c r="AB29" s="1106" t="str">
        <f ca="1">IF('A-80 DirEntInv'!AB28&lt;&gt;"",'A-80 DirEntInv'!AB28,IF(INDIRECT(ADDRESS(SumRef!BR35,SumRef!BR$16,,,SumRef!$B$8))="","",INDIRECT(ADDRESS(SumRef!BR35,SumRef!BR$16,,,SumRef!$B$8))))</f>
        <v/>
      </c>
      <c r="AC29" s="1107" t="str">
        <f ca="1">IF('A-80 DirEntInv'!AC28&lt;&gt;"",'A-80 DirEntInv'!AC28,IF(INDIRECT(ADDRESS(SumRef!BS35,SumRef!BS$16,,,SumRef!$B$8))="","",INDIRECT(ADDRESS(SumRef!BS35,SumRef!BS$16,,,SumRef!$B$8))))</f>
        <v/>
      </c>
      <c r="AD29" s="1349" t="str">
        <f ca="1">IF('A-80 DirEntInv'!AD28&lt;&gt;"",'A-80 DirEntInv'!AD28,IF(INDIRECT(ADDRESS(SumRef!BT35,SumRef!BT$16,,,SumRef!$B$8))="","",INDIRECT(ADDRESS(SumRef!BT35,SumRef!BT$16,,,SumRef!$B$8))))</f>
        <v/>
      </c>
      <c r="AE29" s="1137" t="str">
        <f ca="1">IF('A-80 DirEntInv'!AE28&lt;&gt;"",'A-80 DirEntInv'!AE28,IF(INDIRECT(ADDRESS(SumRef!BU35,SumRef!BU$16,,,SumRef!$B$8))="","",INDIRECT(ADDRESS(SumRef!BU35,SumRef!BU$16,,,SumRef!$B$8))))</f>
        <v/>
      </c>
      <c r="AF29" s="1346" t="str">
        <f ca="1">IF('A-80 DirEntInv'!AF28&lt;&gt;"",'A-80 DirEntInv'!AF28,IF(INDIRECT(ADDRESS(SumRef!BV35,SumRef!BV$16,,,SumRef!$B$8))="","",INDIRECT(ADDRESS(SumRef!BV35,SumRef!BV$16,,,SumRef!$B$8))))</f>
        <v/>
      </c>
      <c r="AG29" s="1105" t="str">
        <f ca="1">IF('A-80 DirEntInv'!AG28&lt;&gt;"",'A-80 DirEntInv'!AG28,IF(INDIRECT(ADDRESS(SumRef!BW35,SumRef!BW$16,,,SumRef!$B$8))="","",INDIRECT(ADDRESS(SumRef!BW35,SumRef!BW$16,,,SumRef!$B$8))))</f>
        <v/>
      </c>
      <c r="AH29" s="1357" t="str">
        <f ca="1">IF('A-80 DirEntInv'!AH28&lt;&gt;"",'A-80 DirEntInv'!AH28,IF(INDIRECT(ADDRESS(SumRef!BX35,SumRef!BX$16,,,SumRef!$B$8))="","",INDIRECT(ADDRESS(SumRef!BX35,SumRef!BX$16,,,SumRef!$B$8))))</f>
        <v/>
      </c>
      <c r="AK29" s="1041" t="str">
        <f>Codes!$C$157</f>
        <v>AG - Automated Guideway (PT)</v>
      </c>
      <c r="AL29" s="1042" t="str">
        <f>Valid!$B$75</f>
        <v>Elevated/Steel Viaduct or Bridge</v>
      </c>
      <c r="AM29" s="1108" t="str">
        <f>IF('A-80 DirEntInv'!AM28&lt;&gt;"",'A-80 DirEntInv'!AM28,IF(AK29=summaryref2!B16,summaryref2!D16,IF(Summary!AK29=summaryref2!B30,summaryref2!D30,IF(AK29=summaryref2!B44,summaryref2!D44,IF(AK29=summaryref2!B58,summaryref2!D58,IF(AK29=summaryref2!B72,summaryref2!D72,IF(AK29=summaryref2!B86,summaryref2!D86,IF(AK29=summaryref2!B100,summaryref2!D100,IF(AK29=summaryref2!B114,summaryref2!D114,IF(AK29=summaryref2!B128,summaryref2!D128,IF(AK29=summaryref2!B142,summaryref2!D142,"")))))))))))</f>
        <v/>
      </c>
      <c r="AN29" s="1109" t="str">
        <f ca="1">IF('A-80 DirEntInv'!AN28&lt;&gt;"",'A-80 DirEntInv'!AN28,IF(INDIRECT(ADDRESS(SumRef!CG39,SumRef!CG$16,,,SumRef!$C$7))="","",INDIRECT(ADDRESS(SumRef!CG39,SumRef!CG$16,,,SumRef!$C$7))))</f>
        <v>Linear Feet</v>
      </c>
      <c r="AO29" s="1108" t="str">
        <f>IF('A-80 DirEntInv'!AO28&lt;&gt;"",'A-80 DirEntInv'!AO28,IF(AK29=summaryref2!B16,summaryref2!F16,IF(Summary!AK29=summaryref2!B30,summaryref2!F30,IF(AK29=summaryref2!B44,summaryref2!F44,IF(AK29=summaryref2!B58,summaryref2!F58,IF(AK29=summaryref2!B72,summaryref2!F72,IF(AK29=summaryref2!B86,summaryref2!F86,IF(AK29=summaryref2!B100,summaryref2!F100,IF(AK29=summaryref2!B114,summaryref2!F114,IF(AK29=summaryref2!B128,summaryref2!F128,IF(AK29=summaryref2!B142,summaryref2!F142,"")))))))))))</f>
        <v/>
      </c>
      <c r="AP29" s="1109" t="str">
        <f ca="1">IF('A-80 DirEntInv'!AP28&lt;&gt;"",'A-80 DirEntInv'!AP28,IF(INDIRECT(ADDRESS(SumRef!#REF!,SumRef!#REF!,,,SumRef!$C$7))="","",INDIRECT(ADDRESS(SumRef!#REF!,SumRef!#REF!,,,SumRef!$C$7))))</f>
        <v>Track Feet</v>
      </c>
      <c r="AQ29" s="1147" t="str">
        <f>IF('A-80 DirEntInv'!AQ28&lt;&gt;"",'A-80 DirEntInv'!AQ28,IF(AK29=summaryref2!B16,summaryref2!G16,IF(Summary!AK29=summaryref2!B30,summaryref2!G30,IF(AK29=summaryref2!B44,summaryref2!G44,IF(AK29=summaryref2!B58,summaryref2!G58,IF(AK29=summaryref2!B72,summaryref2!G72,IF(AK29=summaryref2!B86,summaryref2!G86,IF(AK29=summaryref2!B100,summaryref2!G100,IF(AK29=summaryref2!B114,summaryref2!G114,IF(AK29=summaryref2!B128,summaryref2!G128,IF(AK29=summaryref2!B142,summaryref2!G142,"")))))))))))</f>
        <v/>
      </c>
      <c r="AR29" s="1147" t="str">
        <f>IF('A-80 DirEntInv'!AR28&lt;&gt;"",'A-80 DirEntInv'!AR28,IF(AK29=summaryref2!B16,summaryref2!H16,IF(Summary!AK29=summaryref2!B30,summaryref2!H30,IF(AK29=summaryref2!B44,summaryref2!H44,IF(AK29=summaryref2!B58,summaryref2!H58,IF(AK29=summaryref2!B72,summaryref2!H72,IF(AK29=summaryref2!B86,summaryref2!H86,IF(AK29=summaryref2!B100,summaryref2!H100,IF(AK29=summaryref2!B114,summaryref2!H114,IF(AK29=summaryref2!B128,summaryref2!H128,IF(AK29=summaryref2!B142,summaryref2!H142,"")))))))))))</f>
        <v/>
      </c>
      <c r="AS29" s="1110" t="str">
        <f>IF('A-80 DirEntInv'!AS28&lt;&gt;"",'A-80 DirEntInv'!AS28,IF(AK29=summaryref2!B16,summaryref2!I16,IF(Summary!AK29=summaryref2!B30,summaryref2!I30,IF(AK29=summaryref2!B44,summaryref2!I44,IF(AK29=summaryref2!B58,summaryref2!I58,IF(AK29=summaryref2!B72,summaryref2!I72,IF(AK29=summaryref2!B86,summaryref2!I86,IF(AK29=summaryref2!B100,summaryref2!I100,IF(AK29=summaryref2!B114,summaryref2!I114,IF(AK29=summaryref2!B128,summaryref2!I128,IF(AK29=summaryref2!B142,summaryref2!I142,"")))))))))))</f>
        <v/>
      </c>
      <c r="AT29" s="1110" t="str">
        <f>IF('A-80 DirEntInv'!AT28&lt;&gt;"",'A-80 DirEntInv'!AT28,IF(AK29=summaryref2!B16,summaryref2!J16,IF(Summary!AK29=summaryref2!B30,summaryref2!J30,IF(AK29=summaryref2!B44,summaryref2!J44,IF(AK29=summaryref2!B58,summaryref2!J58,IF(AK29=summaryref2!B72,summaryref2!J72,IF(AK29=summaryref2!B86,summaryref2!J86,IF(AK29=summaryref2!B100,summaryref2!J100,IF(AK29=summaryref2!B114,summaryref2!J114,IF(AK29=summaryref2!B128,summaryref2!J128,IF(AK29=summaryref2!B142,summaryref2!J142,"")))))))))))</f>
        <v/>
      </c>
      <c r="AU29" s="1110" t="str">
        <f>IF('A-80 DirEntInv'!AU28&lt;&gt;"",'A-80 DirEntInv'!AU28,IF(AK29=summaryref2!B16,summaryref2!K16,IF(Summary!AK29=summaryref2!B30,summaryref2!K30,IF(AK29=summaryref2!B44,summaryref2!K44,IF(AK29=summaryref2!B58,summaryref2!K58,IF(AK29=summaryref2!B72,summaryref2!K72,IF(AK29=summaryref2!B86,summaryref2!K86,IF(AK29=summaryref2!B100,summaryref2!K100,IF(AK29=summaryref2!B114,summaryref2!K114,IF(AK29=summaryref2!B128,summaryref2!K128,IF(AK29=summaryref2!B142,summaryref2!K142,"")))))))))))</f>
        <v/>
      </c>
      <c r="AV29" s="1110" t="str">
        <f>IF('A-80 DirEntInv'!AV28&lt;&gt;"",'A-80 DirEntInv'!AV28,IF(AK29=summaryref2!B16,summaryref2!L16,IF(Summary!AK29=summaryref2!B30,summaryref2!L30,IF(AK29=summaryref2!B44,summaryref2!L44,IF(AK29=summaryref2!B58,summaryref2!L58,IF(AK29=summaryref2!B72,summaryref2!L72,IF(AK29=summaryref2!B86,summaryref2!L86,IF(AK29=summaryref2!B100,summaryref2!L100,IF(AK29=summaryref2!B114,summaryref2!L114,IF(AK29=summaryref2!B128,summaryref2!L128,IF(AK29=summaryref2!B142,summaryref2!L142,"")))))))))))</f>
        <v/>
      </c>
      <c r="AW29" s="1110" t="str">
        <f>IF('A-80 DirEntInv'!AW28&lt;&gt;"",'A-80 DirEntInv'!AW28,IF(AK29=summaryref2!B16,summaryref2!M16,IF(Summary!AK29=summaryref2!B30,summaryref2!M30,IF(AK29=summaryref2!B44,summaryref2!M44,IF(AK29=summaryref2!B58,summaryref2!M58,IF(AK29=summaryref2!B72,summaryref2!M72,IF(AK29=summaryref2!B86,summaryref2!M86,IF(AK29=summaryref2!B100,summaryref2!M100,IF(AK29=summaryref2!B114,summaryref2!M114,IF(AK29=summaryref2!B128,summaryref2!M128,IF(AK29=summaryref2!B142,summaryref2!M142,"")))))))))))</f>
        <v/>
      </c>
      <c r="AX29" s="1110" t="str">
        <f>IF('A-80 DirEntInv'!AX28&lt;&gt;"",'A-80 DirEntInv'!AX28,IF(AK29=summaryref2!B16,summaryref2!N16,IF(Summary!AK29=summaryref2!B30,summaryref2!N30,IF(AK29=summaryref2!B44,summaryref2!N44,IF(AK29=summaryref2!B58,summaryref2!N58,IF(AK29=summaryref2!B72,summaryref2!N72,IF(AK29=summaryref2!B86,summaryref2!N86,IF(AK29=summaryref2!B100,summaryref2!N100,IF(AK29=summaryref2!B114,summaryref2!N114,IF(AK29=summaryref2!B128,summaryref2!N128,IF(AK29=summaryref2!B142,summaryref2!N142,"")))))))))))</f>
        <v/>
      </c>
      <c r="AY29" s="1110" t="str">
        <f>IF('A-80 DirEntInv'!AY28&lt;&gt;"",'A-80 DirEntInv'!AY28,IF(AK29=summaryref2!B16,summaryref2!O16,IF(Summary!AK29=summaryref2!B30,summaryref2!O30,IF(AK29=summaryref2!B44,summaryref2!O44,IF(AK29=summaryref2!B58,summaryref2!O58,IF(AK29=summaryref2!B72,summaryref2!O72,IF(AK29=summaryref2!B86,summaryref2!O86,IF(AK29=summaryref2!B100,summaryref2!O100,IF(AK29=summaryref2!B114,summaryref2!O114,IF(AK29=summaryref2!B128,summaryref2!O128,IF(AK29=summaryref2!B142,summaryref2!O142,"")))))))))))</f>
        <v/>
      </c>
      <c r="AZ29" s="1110" t="str">
        <f>IF('A-80 DirEntInv'!AZ28&lt;&gt;"",'A-80 DirEntInv'!AZ28,IF(AK29=summaryref2!B16,summaryref2!P16,IF(Summary!AK29=summaryref2!B30,summaryref2!P30,IF(AK29=summaryref2!B44,summaryref2!P44,IF(AK29=summaryref2!B58,summaryref2!P58,IF(AK29=summaryref2!B72,summaryref2!P72,IF(AK29=summaryref2!B86,summaryref2!P86,IF(AK29=summaryref2!B100,summaryref2!P100,IF(AK29=summaryref2!B114,summaryref2!P114,IF(AK29=summaryref2!B128,summaryref2!P128,IF(AK29=summaryref2!B142,summaryref2!P142,"")))))))))))</f>
        <v/>
      </c>
      <c r="BA29" s="1110" t="str">
        <f>IF('A-80 DirEntInv'!BA28&lt;&gt;"",'A-80 DirEntInv'!BA28,IF(AK29=summaryref2!B16,summaryref2!Q16,IF(Summary!AK29=summaryref2!B30,summaryref2!Q30,IF(AK29=summaryref2!B44,summaryref2!Q44,IF(AK29=summaryref2!B58,summaryref2!Q58,IF(AK29=summaryref2!B72,summaryref2!Q72,IF(AK29=summaryref2!B86,summaryref2!Q86,IF(AK29=summaryref2!B100,summaryref2!Q100,IF(AK29=summaryref2!B114,summaryref2!Q114,IF(AK29=summaryref2!B128,summaryref2!Q128,IF(AK29=summaryref2!B142,summaryref2!Q142,"")))))))))))</f>
        <v/>
      </c>
      <c r="BB29" s="1110" t="str">
        <f>IF('A-80 DirEntInv'!BB28&lt;&gt;"",'A-80 DirEntInv'!BB28,IF(AK29=summaryref2!B16,summaryref2!R16,IF(Summary!AK29=summaryref2!B30,summaryref2!R30,IF(AK29=summaryref2!B44,summaryref2!R44,IF(AK29=summaryref2!B58,summaryref2!R58,IF(AK29=summaryref2!B72,summaryref2!R72,IF(AK29=summaryref2!B86,summaryref2!R86,IF(AK29=summaryref2!B100,summaryref2!R100,IF(AK29=summaryref2!B114,summaryref2!R114,IF(AK29=summaryref2!B128,summaryref2!R128,IF(AK29=summaryref2!B142,summaryref2!R142,"")))))))))))</f>
        <v/>
      </c>
      <c r="BC29" s="1110" t="str">
        <f>IF('A-80 DirEntInv'!BC28&lt;&gt;0,'A-80 DirEntInv'!BC28,IF(AK29=summaryref2!B16,summaryref2!S16,IF(Summary!AK29=summaryref2!B30,summaryref2!S30,IF(AK29=summaryref2!B44,summaryref2!S44,IF(AK29=summaryref2!B58,summaryref2!S58,IF(AK29=summaryref2!B72,summaryref2!S72,IF(AK29=summaryref2!B86,summaryref2!S86,IF(AK29=summaryref2!B100,summaryref2!S100,IF(AK29=summaryref2!B114,summaryref2!S114,IF(AK29=summaryref2!B128,summaryref2!S128,IF(AK29=summaryref2!B142,summaryref2!S142,"")))))))))))</f>
        <v/>
      </c>
      <c r="BD29" s="1111" t="str">
        <f>IF('A-80 DirEntInv'!BD28&lt;&gt;"",'A-80 DirEntInv'!BD28,IF(AK29=summaryref2!B16,summaryref2!T16,IF(Summary!AK29=summaryref2!B30,summaryref2!T30,IF(AK29=summaryref2!B44,summaryref2!T44,IF(AK29=summaryref2!B58,summaryref2!T58,IF(AK29=summaryref2!B72,summaryref2!T72,IF(AK29=summaryref2!B86,summaryref2!T86,IF(AK29=summaryref2!B100,summaryref2!T100,IF(AK29=summaryref2!B114,summaryref2!T114,IF(AK29=summaryref2!B128,summaryref2!T128,IF(AK29=summaryref2!B142,summaryref2!T142,"")))))))))))</f>
        <v/>
      </c>
      <c r="BE29" s="1184" t="str">
        <f>IF('A-80 DirEntInv'!BE28&lt;&gt;"",'A-80 DirEntInv'!BE28,IF(AK29=summaryref2!B16,summaryref2!U16,IF(Summary!AK29=summaryref2!B30,summaryref2!U30,IF(AK29=summaryref2!B44,summaryref2!U44,IF(AK29=summaryref2!B58,summaryref2!U58,IF(AK29=summaryref2!B72,summaryref2!U72,IF(AK29=summaryref2!B86,summaryref2!U86,IF(AK29=summaryref2!B100,summaryref2!U100,IF(AK29=summaryref2!B114,summaryref2!U114,IF(AK29=summaryref2!B128,summaryref2!U128,IF(AK29=summaryref2!B142,summaryref2!U142,"")))))))))))</f>
        <v/>
      </c>
      <c r="BF29" s="1432"/>
      <c r="BG29" s="1432"/>
      <c r="BJ29" s="1041" t="str">
        <f>Codes!$C$158</f>
        <v>AR - Alaska Railroad</v>
      </c>
      <c r="BK29" s="1042" t="str">
        <f>Valid!$B$84</f>
        <v>Half Grand Union</v>
      </c>
      <c r="BL29" s="1375" t="str">
        <f>IF('A-80 DirEntInv'!BL28&lt;&gt;"",'A-80 DirEntInv'!BL28,IF(BJ29=summaryref2!X16,summaryref2!Z16,IF(BJ29=summaryref2!X23,summaryref2!Z23,IF(BJ29=summaryref2!X30,summaryref2!Z30,IF(BJ29=summaryref2!X37,summaryref2!Z37,IF(BJ29=summaryref2!X44,summaryref2!Z44,IF(BJ29=summaryref2!X51,summaryref2!Z51,IF(BJ29=summaryref2!X58,summaryref2!Z58,IF(BJ29=summaryref2!X65,summaryref2!Z65,IF(BJ29=summaryref2!X72,summaryref2!Z72,IF(BJ29=summaryref2!X79,summaryref2!Z79,"")))))))))))</f>
        <v/>
      </c>
      <c r="BM29" s="1042" t="str">
        <f>VLOOKUP(BK29,Valid!$B$80:$C$86,2,FALSE)</f>
        <v>Each</v>
      </c>
      <c r="BN29" s="1209" t="str">
        <f>IF('A-80 DirEntInv'!BN28&lt;&gt;"",'A-80 DirEntInv'!BN28,IF(BJ29=summaryref2!X16,summaryref2!AB16,IF(BJ29=summaryref2!X23,summaryref2!AB23,IF(BJ29=summaryref2!X30,summaryref2!AB30,IF(BJ29=summaryref2!X37,summaryref2!AB37,IF(BJ29=summaryref2!X44,summaryref2!AB44,IF(BJ29=summaryref2!X51,summaryref2!AB51,IF(BJ29=summaryref2!X58,summaryref2!AB58,IF(BJ29=summaryref2!X65,summaryref2!AB65,IF(BJ29=summaryref2!X72,summaryref2!AB72,IF(BJ29=summaryref2!X79,summaryref2!AB79,"")))))))))))</f>
        <v/>
      </c>
      <c r="BO29" s="1116" t="str">
        <f>IF('A-80 DirEntInv'!BO28&lt;&gt;"",'A-80 DirEntInv'!BO28,IF(BJ29=summaryref2!X16,summaryref2!AC16,IF(BJ29=summaryref2!X23,summaryref2!AC23,IF(BJ29=summaryref2!X30,summaryref2!AC30,IF(BJ29=summaryref2!X37,summaryref2!AC37,IF(BJ29=summaryref2!X44,summaryref2!AC44,IF(BJ29=summaryref2!X51,summaryref2!AC51,IF(BJ29=summaryref2!X58,summaryref2!AC58,IF(BJ29=summaryref2!X65,summaryref2!AC65,IF(BJ29=summaryref2!X72,summaryref2!AC72,IF(BJ29=summaryref2!X79,summaryref2!AC79,"")))))))))))</f>
        <v/>
      </c>
      <c r="BP29" s="1384" t="str">
        <f>IF('A-80 DirEntInv'!BP28&lt;&gt;"",'A-80 DirEntInv'!BP28,IF(BJ29=summaryref2!X16,summaryref2!AD16,IF(BJ29=summaryref2!X23,summaryref2!AD23,IF(BJ29=summaryref2!X30,summaryref2!AD30,IF(BJ29=summaryref2!X37,summaryref2!AD37,IF(BJ29=summaryref2!X44,summaryref2!AD44,IF(BJ29=summaryref2!X51,summaryref2!AD51,IF(BJ29=summaryref2!X58,summaryref2!AD58,IF(BJ29=summaryref2!X65,summaryref2!AD65,IF(BJ29=summaryref2!X72,summaryref2!AD72,IF(BJ29=summaryref2!X79,summaryref2!AD79,"")))))))))))</f>
        <v/>
      </c>
      <c r="BS29" s="1472" t="str">
        <f ca="1">IF('A-80 DirEntInv'!BU28&lt;&gt;"",'A-80 DirEntInv'!BU28,IF(INDIRECT(ADDRESS(SumRef!DK35,SumRef!DK$16,,,SumRef!$E$6))="","",INDIRECT(ADDRESS(SumRef!DK35,SumRef!DK$16,,,SumRef!$E$6))))</f>
        <v/>
      </c>
      <c r="BT29" s="1458" t="str">
        <f ca="1">IF('A-80 DirEntInv'!BV28&lt;&gt;"",'A-80 DirEntInv'!BV28,IF(INDIRECT(ADDRESS(SumRef!DL35,SumRef!DL$16,,,SumRef!$E$6))="","",INDIRECT(ADDRESS(SumRef!DL35,SumRef!DL$16,,,SumRef!$E$6))))</f>
        <v/>
      </c>
      <c r="BU29" s="1177" t="str">
        <f ca="1">IF('A-80 DirEntInv'!BW28&lt;&gt;"",'A-80 DirEntInv'!BW28,IF(INDIRECT(ADDRESS(SumRef!DM35,SumRef!DM$16,,,SumRef!$E$6))="","",INDIRECT(ADDRESS(SumRef!DM35,SumRef!DM$16,,,SumRef!$E$6))))</f>
        <v/>
      </c>
      <c r="BV29" s="1460" t="str">
        <f ca="1">IF('A-80 DirEntInv'!BX28&lt;&gt;"",'A-80 DirEntInv'!BX28,IF(INDIRECT(ADDRESS(SumRef!DN35,SumRef!DN$16,,,SumRef!$E$6))="","",INDIRECT(ADDRESS(SumRef!DN35,SumRef!DN$16,,,SumRef!$E$6))))</f>
        <v/>
      </c>
      <c r="BW29" s="1460" t="str">
        <f ca="1">IF('A-80 DirEntInv'!BY28&lt;&gt;"",'A-80 DirEntInv'!BY28,IF(INDIRECT(ADDRESS(SumRef!DO35,SumRef!DO$16,,,SumRef!$E$6))="","",INDIRECT(ADDRESS(SumRef!DO35,SumRef!DO$16,,,SumRef!$E$6))))</f>
        <v/>
      </c>
      <c r="BX29" s="1116" t="str">
        <f ca="1">IF('A-80 DirEntInv'!BZ28&lt;&gt;"",'A-80 DirEntInv'!BZ28,IF(INDIRECT(ADDRESS(SumRef!DP35,SumRef!DP$16,,,SumRef!$E$6))="","",INDIRECT(ADDRESS(SumRef!DP35,SumRef!DP$16,,,SumRef!$E$6))))</f>
        <v/>
      </c>
      <c r="BY29" s="1461" t="str">
        <f ca="1">IF('A-80 DirEntInv'!CA28&lt;&gt;"",'A-80 DirEntInv'!CA28,IF(INDIRECT(ADDRESS(SumRef!DQ35,SumRef!DQ$16,,,SumRef!$E$6))="","",INDIRECT(ADDRESS(SumRef!DQ35,SumRef!DQ$16,,,SumRef!$E$6))))</f>
        <v/>
      </c>
      <c r="BZ29" s="1460" t="str">
        <f ca="1">IF('A-80 DirEntInv'!CB28&lt;&gt;"",'A-80 DirEntInv'!CB28,IF(INDIRECT(ADDRESS(SumRef!DR35,SumRef!DR$16,,,SumRef!$E$6))="","",INDIRECT(ADDRESS(SumRef!DR35,SumRef!DR$16,,,SumRef!$E$6))))</f>
        <v/>
      </c>
      <c r="CA29" s="1462" t="str">
        <f ca="1">IF('A-80 DirEntInv'!CC28&lt;&gt;"",'A-80 DirEntInv'!CC28,IF(INDIRECT(ADDRESS(SumRef!DS35,SumRef!DS$16,,,SumRef!$E$6))="","",INDIRECT(ADDRESS(SumRef!DS35,SumRef!DS$16,,,SumRef!$E$6))))</f>
        <v/>
      </c>
      <c r="CD29" s="1160" t="str">
        <f ca="1">IF('A-80 DirEntInv'!CF28&lt;&gt;"",'A-80 DirEntInv'!CF28,IF(INDIRECT(ADDRESS(SumRef!DV35,SumRef!DV$16,,,SumRef!$E$7))="","",INDIRECT(ADDRESS(SumRef!DV35,SumRef!DV$16,,,SumRef!$E$7))))</f>
        <v/>
      </c>
      <c r="CE29" s="1167" t="str">
        <f ca="1">IF('A-80 DirEntInv'!CG28&lt;&gt;"",'A-80 DirEntInv'!CG28,IF(INDIRECT(ADDRESS(SumRef!DW35,SumRef!DW$16,,,SumRef!$E$7))="","",INDIRECT(ADDRESS(SumRef!DW35,SumRef!DW$16,,,SumRef!$E$7))))</f>
        <v/>
      </c>
      <c r="CF29" s="1167" t="str">
        <f ca="1">IF('A-80 DirEntInv'!CH28&lt;&gt;"",'A-80 DirEntInv'!CH28,IF(INDIRECT(ADDRESS(SumRef!DX35,SumRef!DX$16,,,SumRef!$E$7))="","",INDIRECT(ADDRESS(SumRef!DX35,SumRef!DX$16,,,SumRef!$E$7))))</f>
        <v/>
      </c>
      <c r="CG29" s="1167" t="str">
        <f ca="1">IF('A-80 DirEntInv'!CI28&lt;&gt;"",'A-80 DirEntInv'!CI28,IF(INDIRECT(ADDRESS(SumRef!DY35,SumRef!DY$16,,,SumRef!$E$7))="","",INDIRECT(ADDRESS(SumRef!DY35,SumRef!DY$16,,,SumRef!$E$7))))</f>
        <v/>
      </c>
      <c r="CH29" s="1167" t="str">
        <f ca="1">IF('A-80 DirEntInv'!CJ28&lt;&gt;"",'A-80 DirEntInv'!CJ28,IF(INDIRECT(ADDRESS(SumRef!DZ35,SumRef!DZ$16,,,SumRef!$E$7))="","",INDIRECT(ADDRESS(SumRef!DZ35,SumRef!DZ$16,,,SumRef!$E$7))))</f>
        <v/>
      </c>
      <c r="CI29" s="1167" t="str">
        <f ca="1">IF('A-80 DirEntInv'!CK28&lt;&gt;"",'A-80 DirEntInv'!CK28,IF(INDIRECT(ADDRESS(SumRef!EA35,SumRef!EA$16,,,SumRef!$E$7))="","",INDIRECT(ADDRESS(SumRef!EA35,SumRef!EA$16,,,SumRef!$E$7))))</f>
        <v/>
      </c>
      <c r="CJ29" s="1114" t="str">
        <f ca="1">IF('A-80 DirEntInv'!CL28&lt;&gt;"",'A-80 DirEntInv'!CL28,IF(INDIRECT(ADDRESS(SumRef!EB35,SumRef!EB$16,,,SumRef!$E$7))="","",INDIRECT(ADDRESS(SumRef!EB35,SumRef!EB$16,,,SumRef!$E$7))))</f>
        <v/>
      </c>
      <c r="CK29" s="1114" t="str">
        <f ca="1">IF('A-80 DirEntInv'!CM28&lt;&gt;"",'A-80 DirEntInv'!CM28,IF(INDIRECT(ADDRESS(SumRef!EC35,SumRef!EC$16,,,SumRef!$E$7))="","",INDIRECT(ADDRESS(SumRef!EC35,SumRef!EC$16,,,SumRef!$E$7))))</f>
        <v/>
      </c>
      <c r="CL29" s="1113" t="str">
        <f ca="1">IF('A-80 DirEntInv'!CO28&lt;&gt;"",'A-80 DirEntInv'!CO28,IF(INDIRECT(ADDRESS(SumRef!ED35,SumRef!ED$16,,,SumRef!$E$7))="","",INDIRECT(ADDRESS(SumRef!ED35,SumRef!ED$16,,,SumRef!$E$7))))</f>
        <v/>
      </c>
      <c r="CM29" s="1114" t="str">
        <f ca="1">IF('A-80 DirEntInv'!CP28&lt;&gt;"",'A-80 DirEntInv'!CP28,IF(INDIRECT(ADDRESS(SumRef!EE35,SumRef!EE$16,,,SumRef!$E$7))="","",INDIRECT(ADDRESS(SumRef!EE35,SumRef!EE$16,,,SumRef!$E$7))))</f>
        <v/>
      </c>
      <c r="CN29" s="1114" t="str">
        <f ca="1">IF('A-80 DirEntInv'!CQ28&lt;&gt;"",'A-80 DirEntInv'!CQ28,IF(INDIRECT(ADDRESS(SumRef!EF35,SumRef!EF$16,,,SumRef!$E$7))="","",INDIRECT(ADDRESS(SumRef!EF35,SumRef!EF$16,,,SumRef!$E$7))))</f>
        <v/>
      </c>
      <c r="CO29" s="1113" t="str">
        <f ca="1">IF('A-80 DirEntInv'!CR28&lt;&gt;"",'A-80 DirEntInv'!CR28,IF(INDIRECT(ADDRESS(SumRef!EG35,SumRef!EG$16,,,SumRef!$E$7))="","",INDIRECT(ADDRESS(SumRef!EG35,SumRef!EG$16,,,SumRef!$E$7))))</f>
        <v/>
      </c>
      <c r="CP29" s="1114" t="str">
        <f ca="1">IF('A-80 DirEntInv'!CS28&lt;&gt;"",'A-80 DirEntInv'!CS28,IF(INDIRECT(ADDRESS(SumRef!EH35,SumRef!EH$16,,,SumRef!$E$7))="","",INDIRECT(ADDRESS(SumRef!EH35,SumRef!EH$16,,,SumRef!$E$7))))</f>
        <v/>
      </c>
      <c r="CQ29" s="1346" t="str">
        <f ca="1">IF('A-80 DirEntInv'!CT28&lt;&gt;"",'A-80 DirEntInv'!CT28,IF(INDIRECT(ADDRESS(SumRef!EI35,SumRef!EI$16,,,SumRef!$E$7))="","",INDIRECT(ADDRESS(SumRef!EI35,SumRef!EI$16,,,SumRef!$E$7))))</f>
        <v/>
      </c>
      <c r="CR29" s="1113" t="str">
        <f ca="1">IF('A-80 DirEntInv'!CU28&lt;&gt;"",'A-80 DirEntInv'!CU28,IF(INDIRECT(ADDRESS(SumRef!EJ35,SumRef!EJ$16,,,SumRef!$E$7))="","",INDIRECT(ADDRESS(SumRef!EJ35,SumRef!EJ$16,,,SumRef!$E$7))))</f>
        <v/>
      </c>
      <c r="CS29" s="1346" t="str">
        <f ca="1">IF('A-80 DirEntInv'!CV28&lt;&gt;"",'A-80 DirEntInv'!CV28,IF(INDIRECT(ADDRESS(SumRef!EM35,SumRef!EM$16,,,SumRef!$E$7))="","",INDIRECT(ADDRESS(SumRef!EM35,SumRef!EM$16,,,SumRef!$E$7))))</f>
        <v/>
      </c>
      <c r="CT29" s="1113" t="str">
        <f ca="1">IF('A-80 DirEntInv'!CW28&lt;&gt;"",'A-80 DirEntInv'!CW28,IF(INDIRECT(ADDRESS(SumRef!EN35,SumRef!EN$16,,,SumRef!$E$7))="","",INDIRECT(ADDRESS(SumRef!EN35,SumRef!EN$16,,,SumRef!$E$7))))</f>
        <v/>
      </c>
      <c r="CU29" s="1113" t="str">
        <f ca="1">IF('A-80 DirEntInv'!CX28&lt;&gt;"",'A-80 DirEntInv'!CX28,IF(INDIRECT(ADDRESS(SumRef!EO35,SumRef!EO$16,,,SumRef!$E$7))="","",INDIRECT(ADDRESS(SumRef!EO35,SumRef!EO$16,,,SumRef!$E$7))))</f>
        <v/>
      </c>
      <c r="CV29" s="1113" t="str">
        <f ca="1">IF('A-80 DirEntInv'!CY28&lt;&gt;"",'A-80 DirEntInv'!CY28,IF(INDIRECT(ADDRESS(SumRef!EP35,SumRef!EP$16,,,SumRef!$E$7))="","",INDIRECT(ADDRESS(SumRef!EP35,SumRef!EP$16,,,SumRef!$E$7))))</f>
        <v/>
      </c>
      <c r="CW29" s="1114" t="str">
        <f ca="1">IF('A-80 DirEntInv'!CZ28&lt;&gt;"",'A-80 DirEntInv'!CZ28,IF(INDIRECT(ADDRESS(SumRef!ES35,SumRef!ES$16,,,SumRef!$E$7))="","",INDIRECT(ADDRESS(SumRef!ES35,SumRef!ES$16,,,SumRef!$E$7))))</f>
        <v/>
      </c>
      <c r="CX29" s="1167" t="str">
        <f ca="1">IF('A-80 DirEntInv'!DA28&lt;&gt;"",'A-80 DirEntInv'!DA28,IF(INDIRECT(ADDRESS(SumRef!ET35,SumRef!ET$16,,,SumRef!$E$7))="","",INDIRECT(ADDRESS(SumRef!ET35,SumRef!ET$16,,,SumRef!$E$7))))</f>
        <v/>
      </c>
      <c r="CY29" s="1167" t="str">
        <f ca="1">IF('A-80 DirEntInv'!DB28&lt;&gt;"",'A-80 DirEntInv'!DB28,IF(INDIRECT(ADDRESS(SumRef!EU35,SumRef!EU$16,,,SumRef!$E$7))="","",INDIRECT(ADDRESS(SumRef!EU35,SumRef!EU$16,,,SumRef!$E$7))))</f>
        <v/>
      </c>
      <c r="CZ29" s="1167" t="b">
        <f ca="1">IF('A-80 DirEntInv'!DC28&lt;&gt;"",'A-80 DirEntInv'!DC28,IF(INDIRECT(ADDRESS(SumRef!EV35,SumRef!EV$16,,,SumRef!$E$7))="","",INDIRECT(ADDRESS(SumRef!EV35,SumRef!EV$16,,,SumRef!$E$7))))</f>
        <v>0</v>
      </c>
      <c r="DA29" s="1373" t="str">
        <f ca="1">IF('A-80 DirEntInv'!DD28&lt;&gt;"",'A-80 DirEntInv'!DD28,IF(INDIRECT(ADDRESS(SumRef!EW35,SumRef!EW$16,,,SumRef!$E$7))="","",INDIRECT(ADDRESS(SumRef!EW35,SumRef!EW$16,,,SumRef!$E$7))))</f>
        <v/>
      </c>
      <c r="DB29" s="1373" t="b">
        <f ca="1">IF('A-80 DirEntInv'!DE28&lt;&gt;"",'A-80 DirEntInv'!DE28,IF(INDIRECT(ADDRESS(SumRef!EX35,SumRef!EX$16,,,SumRef!$E$7))="","",INDIRECT(ADDRESS(SumRef!EX35,SumRef!EX$16,,,SumRef!$E$7))))</f>
        <v>0</v>
      </c>
      <c r="DC29" s="1114" t="b">
        <f ca="1">IF('A-80 DirEntInv'!DF28&lt;&gt;"",'A-80 DirEntInv'!DF28,IF(INDIRECT(ADDRESS(SumRef!EY35,SumRef!EY$16,,,SumRef!$E$7))="","",INDIRECT(ADDRESS(SumRef!EY35,SumRef!EY$16,,,SumRef!$E$7))))</f>
        <v>0</v>
      </c>
      <c r="DD29" s="1115" t="str">
        <f ca="1">IF('A-80 DirEntInv'!DG28&lt;&gt;"",'A-80 DirEntInv'!DG28,IF(INDIRECT(ADDRESS(SumRef!EZ35,SumRef!EZ$16,,,SumRef!$E$7))="","",INDIRECT(ADDRESS(SumRef!EZ35,SumRef!EZ$16,,,SumRef!$E$7))))</f>
        <v/>
      </c>
    </row>
    <row r="30" spans="1:108" s="588" customFormat="1" x14ac:dyDescent="0.2">
      <c r="A30" s="589">
        <f t="shared" si="0"/>
        <v>20</v>
      </c>
      <c r="B30" s="1155" t="str">
        <f ca="1">IF('A-80 DirEntInv'!B29&lt;&gt;"",'A-80 DirEntInv'!B29,IF(INDIRECT(ADDRESS(SumRef!AQ36,SumRef!AQ$16,,,SumRef!$B$7))="","",INDIRECT(ADDRESS(SumRef!AQ36,SumRef!AQ$16,,,SumRef!$B$7))))</f>
        <v/>
      </c>
      <c r="C30" s="1097" t="str">
        <f ca="1">IF('A-80 DirEntInv'!C29&lt;&gt;"",'A-80 DirEntInv'!C29,IF(INDIRECT(ADDRESS(SumRef!AR36,SumRef!AR$16,,,SumRef!$B$7))="","",INDIRECT(ADDRESS(SumRef!AR36,SumRef!AR$16,,,SumRef!$B$7))))</f>
        <v/>
      </c>
      <c r="D30" s="1097" t="str">
        <f ca="1">IF('A-80 DirEntInv'!D29&lt;&gt;"",'A-80 DirEntInv'!D29,IF(INDIRECT(ADDRESS(SumRef!AS36,SumRef!AS$16,,,SumRef!$B$7))="","",INDIRECT(ADDRESS(SumRef!AS36,SumRef!AS$16,,,SumRef!$B$7))))</f>
        <v/>
      </c>
      <c r="E30" s="1097" t="str">
        <f ca="1">IF('A-80 DirEntInv'!E29&lt;&gt;"",'A-80 DirEntInv'!E29,IF(INDIRECT(ADDRESS(SumRef!AT36,SumRef!AT$16,,,SumRef!$B$7))="","",INDIRECT(ADDRESS(SumRef!AT36,SumRef!AT$16,,,SumRef!$B$7))))</f>
        <v/>
      </c>
      <c r="F30" s="1097" t="str">
        <f ca="1">IF('A-80 DirEntInv'!F29&lt;&gt;"",'A-80 DirEntInv'!F29,IF(INDIRECT(ADDRESS(SumRef!AU36,SumRef!AU$16,,,SumRef!$B$7))="","",INDIRECT(ADDRESS(SumRef!AU36,SumRef!AU$16,,,SumRef!$B$7))))</f>
        <v/>
      </c>
      <c r="G30" s="1158" t="str">
        <f ca="1">IF('A-80 DirEntInv'!G29&lt;&gt;"",'A-80 DirEntInv'!G29,IF(INDIRECT(ADDRESS(SumRef!AV36,SumRef!AV$16,,,SumRef!$B$7))="","",INDIRECT(ADDRESS(SumRef!AV36,SumRef!AV$16,,,SumRef!$B$7))))</f>
        <v/>
      </c>
      <c r="H30" s="1097" t="str">
        <f ca="1">IF('A-80 DirEntInv'!H29&lt;&gt;"",'A-80 DirEntInv'!H29,IF(INDIRECT(ADDRESS(SumRef!AW36,SumRef!AW$16,,,SumRef!$B$7))="","",INDIRECT(ADDRESS(SumRef!AW36,SumRef!AW$16,,,SumRef!$B$7))))</f>
        <v/>
      </c>
      <c r="I30" s="1097" t="str">
        <f ca="1">IF('A-80 DirEntInv'!I29&lt;&gt;"",'A-80 DirEntInv'!I29,IF(INDIRECT(ADDRESS(SumRef!AX36,SumRef!AX$16,,,SumRef!$B$7))="","",INDIRECT(ADDRESS(SumRef!AX36,SumRef!AX$16,,,SumRef!$B$7))))</f>
        <v/>
      </c>
      <c r="J30" s="1098" t="str">
        <f ca="1">IF('A-80 DirEntInv'!J29&lt;&gt;"",'A-80 DirEntInv'!J29,IF(INDIRECT(ADDRESS(SumRef!AY36,SumRef!AY$16,,,SumRef!$B$7))="","",INDIRECT(ADDRESS(SumRef!AY36,SumRef!AY$16,,,SumRef!$B$7))))</f>
        <v/>
      </c>
      <c r="K30" s="1099" t="str">
        <f ca="1">IF('A-80 DirEntInv'!K29&lt;&gt;"",'A-80 DirEntInv'!K29,IF(INDIRECT(ADDRESS(SumRef!AZ36,SumRef!AZ$16,,,SumRef!$B$7))="","",INDIRECT(ADDRESS(SumRef!AZ36,SumRef!AZ$16,,,SumRef!$B$7))))</f>
        <v/>
      </c>
      <c r="L30" s="1100" t="str">
        <f ca="1">IF('A-80 DirEntInv'!L29&lt;&gt;"",'A-80 DirEntInv'!L29,IF(INDIRECT(ADDRESS(SumRef!BA36,SumRef!BA$16,,,SumRef!$B$7))="","",INDIRECT(ADDRESS(SumRef!BA36,SumRef!BA$16,,,SumRef!$B$7))))</f>
        <v/>
      </c>
      <c r="M30" s="1101" t="str">
        <f ca="1">IF('A-80 DirEntInv'!M29&lt;&gt;"",'A-80 DirEntInv'!M29,IF(INDIRECT(ADDRESS(SumRef!BB36,SumRef!BB$16,,,SumRef!$B$7))="","",INDIRECT(ADDRESS(SumRef!BB36,SumRef!BB$16,,,SumRef!$B$7))))</f>
        <v/>
      </c>
      <c r="N30" s="1098" t="str">
        <f ca="1">IF('A-80 DirEntInv'!N29&lt;&gt;"",'A-80 DirEntInv'!N29,IF(INDIRECT(ADDRESS(SumRef!BC36,SumRef!BC$16,,,SumRef!$B$7))="","",INDIRECT(ADDRESS(SumRef!BC36,SumRef!BC$16,,,SumRef!$B$7))))</f>
        <v/>
      </c>
      <c r="O30" s="1102" t="str">
        <f ca="1">IF('A-80 DirEntInv'!O29&lt;&gt;"",'A-80 DirEntInv'!O29,IF(INDIRECT(ADDRESS(SumRef!BD36,SumRef!BD$16,,,SumRef!$B$7))="","",INDIRECT(ADDRESS(SumRef!BD36,SumRef!BD$16,,,SumRef!$B$7))))</f>
        <v/>
      </c>
      <c r="Q30" s="589"/>
      <c r="R30" s="1103" t="str">
        <f ca="1">IF('A-80 DirEntInv'!R29&lt;&gt;"",'A-80 DirEntInv'!R29,IF(INDIRECT(ADDRESS(SumRef!BH36,SumRef!BH$16,,,SumRef!$B$8))="","",INDIRECT(ADDRESS(SumRef!BH36,SumRef!BH$16,,,SumRef!$B$8))))</f>
        <v/>
      </c>
      <c r="S30" s="1104" t="str">
        <f ca="1">IF('A-80 DirEntInv'!S29&lt;&gt;"",'A-80 DirEntInv'!S29,IF(INDIRECT(ADDRESS(SumRef!BI36,SumRef!BI$16,,,SumRef!$B$8))="","",INDIRECT(ADDRESS(SumRef!BI36,SumRef!BI$16,,,SumRef!$B$8))))</f>
        <v/>
      </c>
      <c r="T30" s="1104" t="str">
        <f ca="1">IF('A-80 DirEntInv'!T29&lt;&gt;"",'A-80 DirEntInv'!T29,IF(INDIRECT(ADDRESS(SumRef!BJ36,SumRef!BJ$16,,,SumRef!$B$8))="","",INDIRECT(ADDRESS(SumRef!BJ36,SumRef!BJ$16,,,SumRef!$B$8))))</f>
        <v/>
      </c>
      <c r="U30" s="1104" t="str">
        <f ca="1">IF('A-80 DirEntInv'!U29&lt;&gt;"",'A-80 DirEntInv'!U29,IF(INDIRECT(ADDRESS(SumRef!BK36,SumRef!BK$16,,,SumRef!$B$8))="","",INDIRECT(ADDRESS(SumRef!BK36,SumRef!BK$16,,,SumRef!$B$8))))</f>
        <v/>
      </c>
      <c r="V30" s="1104" t="str">
        <f ca="1">IF('A-80 DirEntInv'!V29&lt;&gt;"",'A-80 DirEntInv'!V29,IF(INDIRECT(ADDRESS(SumRef!BL36,SumRef!BL$16,,,SumRef!$B$8))="","",INDIRECT(ADDRESS(SumRef!BL36,SumRef!BL$16,,,SumRef!$B$8))))</f>
        <v/>
      </c>
      <c r="W30" s="1354" t="str">
        <f ca="1">IF('A-80 DirEntInv'!W29&lt;&gt;"",'A-80 DirEntInv'!W29,IF(INDIRECT(ADDRESS(SumRef!BM36,SumRef!BM$16,,,SumRef!$B$8))="","",INDIRECT(ADDRESS(SumRef!BM36,SumRef!BM$16,,,SumRef!$B$8))))</f>
        <v/>
      </c>
      <c r="X30" s="1203" t="str">
        <f ca="1">IF('A-80 DirEntInv'!X29&lt;&gt;"",'A-80 DirEntInv'!X29,IF(INDIRECT(ADDRESS(SumRef!BN36,SumRef!BN$16,,,SumRef!$B$8))="","",INDIRECT(ADDRESS(SumRef!BN36,SumRef!BN$16,,,SumRef!$B$8))))</f>
        <v/>
      </c>
      <c r="Y30" s="1203" t="str">
        <f ca="1">IF('A-80 DirEntInv'!Y29&lt;&gt;"",'A-80 DirEntInv'!Y29,IF(INDIRECT(ADDRESS(SumRef!BO36,SumRef!BO$16,,,SumRef!$B$8))="","",INDIRECT(ADDRESS(SumRef!BO36,SumRef!BO$16,,,SumRef!$B$8))))</f>
        <v/>
      </c>
      <c r="Z30" s="1104" t="str">
        <f ca="1">IF('A-80 DirEntInv'!Z29&lt;&gt;"",'A-80 DirEntInv'!Z29,IF(INDIRECT(ADDRESS(SumRef!BP36,SumRef!BP$16,,,SumRef!$B$8))="","",INDIRECT(ADDRESS(SumRef!BP36,SumRef!BP$16,,,SumRef!$B$8))))</f>
        <v/>
      </c>
      <c r="AA30" s="1104" t="str">
        <f ca="1">IF('A-80 DirEntInv'!AA29&lt;&gt;"",'A-80 DirEntInv'!AA29,IF(INDIRECT(ADDRESS(SumRef!BQ36,SumRef!BQ$16,,,SumRef!$B$8))="","",INDIRECT(ADDRESS(SumRef!BQ36,SumRef!BQ$16,,,SumRef!$B$8))))</f>
        <v/>
      </c>
      <c r="AB30" s="1106" t="str">
        <f ca="1">IF('A-80 DirEntInv'!AB29&lt;&gt;"",'A-80 DirEntInv'!AB29,IF(INDIRECT(ADDRESS(SumRef!BR36,SumRef!BR$16,,,SumRef!$B$8))="","",INDIRECT(ADDRESS(SumRef!BR36,SumRef!BR$16,,,SumRef!$B$8))))</f>
        <v/>
      </c>
      <c r="AC30" s="1107" t="str">
        <f ca="1">IF('A-80 DirEntInv'!AC29&lt;&gt;"",'A-80 DirEntInv'!AC29,IF(INDIRECT(ADDRESS(SumRef!BS36,SumRef!BS$16,,,SumRef!$B$8))="","",INDIRECT(ADDRESS(SumRef!BS36,SumRef!BS$16,,,SumRef!$B$8))))</f>
        <v/>
      </c>
      <c r="AD30" s="1349" t="str">
        <f ca="1">IF('A-80 DirEntInv'!AD29&lt;&gt;"",'A-80 DirEntInv'!AD29,IF(INDIRECT(ADDRESS(SumRef!BT36,SumRef!BT$16,,,SumRef!$B$8))="","",INDIRECT(ADDRESS(SumRef!BT36,SumRef!BT$16,,,SumRef!$B$8))))</f>
        <v/>
      </c>
      <c r="AE30" s="1137" t="str">
        <f ca="1">IF('A-80 DirEntInv'!AE29&lt;&gt;"",'A-80 DirEntInv'!AE29,IF(INDIRECT(ADDRESS(SumRef!BU36,SumRef!BU$16,,,SumRef!$B$8))="","",INDIRECT(ADDRESS(SumRef!BU36,SumRef!BU$16,,,SumRef!$B$8))))</f>
        <v/>
      </c>
      <c r="AF30" s="1346" t="str">
        <f ca="1">IF('A-80 DirEntInv'!AF29&lt;&gt;"",'A-80 DirEntInv'!AF29,IF(INDIRECT(ADDRESS(SumRef!BV36,SumRef!BV$16,,,SumRef!$B$8))="","",INDIRECT(ADDRESS(SumRef!BV36,SumRef!BV$16,,,SumRef!$B$8))))</f>
        <v/>
      </c>
      <c r="AG30" s="1105" t="str">
        <f ca="1">IF('A-80 DirEntInv'!AG29&lt;&gt;"",'A-80 DirEntInv'!AG29,IF(INDIRECT(ADDRESS(SumRef!BW36,SumRef!BW$16,,,SumRef!$B$8))="","",INDIRECT(ADDRESS(SumRef!BW36,SumRef!BW$16,,,SumRef!$B$8))))</f>
        <v/>
      </c>
      <c r="AH30" s="1357" t="str">
        <f ca="1">IF('A-80 DirEntInv'!AH29&lt;&gt;"",'A-80 DirEntInv'!AH29,IF(INDIRECT(ADDRESS(SumRef!BX36,SumRef!BX$16,,,SumRef!$B$8))="","",INDIRECT(ADDRESS(SumRef!BX36,SumRef!BX$16,,,SumRef!$B$8))))</f>
        <v/>
      </c>
      <c r="AK30" s="1041" t="str">
        <f>Codes!$C$157</f>
        <v>AG - Automated Guideway (PT)</v>
      </c>
      <c r="AL30" s="1042" t="str">
        <f>Valid!$B$76</f>
        <v>Below-Grade/Retained Cut</v>
      </c>
      <c r="AM30" s="1108" t="str">
        <f>IF('A-80 DirEntInv'!AM29&lt;&gt;"",'A-80 DirEntInv'!AM29,IF(AK30=summaryref2!B17,summaryref2!D17,IF(Summary!AK30=summaryref2!B31,summaryref2!D31,IF(AK30=summaryref2!B45,summaryref2!D45,IF(AK30=summaryref2!B59,summaryref2!D59,IF(AK30=summaryref2!B73,summaryref2!D73,IF(AK30=summaryref2!B87,summaryref2!D87,IF(AK30=summaryref2!B101,summaryref2!D101,IF(AK30=summaryref2!B115,summaryref2!D115,IF(AK30=summaryref2!B129,summaryref2!D129,IF(AK30=summaryref2!B143,summaryref2!D143,"")))))))))))</f>
        <v/>
      </c>
      <c r="AN30" s="1109" t="str">
        <f ca="1">IF('A-80 DirEntInv'!AN29&lt;&gt;"",'A-80 DirEntInv'!AN29,IF(INDIRECT(ADDRESS(SumRef!#REF!,SumRef!CG$16,,,SumRef!$C$7))="","",INDIRECT(ADDRESS(SumRef!#REF!,SumRef!CG$16,,,SumRef!$C$7))))</f>
        <v>Linear Feet</v>
      </c>
      <c r="AO30" s="1108" t="str">
        <f>IF('A-80 DirEntInv'!AO29&lt;&gt;"",'A-80 DirEntInv'!AO29,IF(AK30=summaryref2!B17,summaryref2!F17,IF(Summary!AK30=summaryref2!B31,summaryref2!F31,IF(AK30=summaryref2!B45,summaryref2!F45,IF(AK30=summaryref2!B59,summaryref2!F59,IF(AK30=summaryref2!B73,summaryref2!F73,IF(AK30=summaryref2!B87,summaryref2!F87,IF(AK30=summaryref2!B101,summaryref2!F101,IF(AK30=summaryref2!B115,summaryref2!F115,IF(AK30=summaryref2!B129,summaryref2!F129,IF(AK30=summaryref2!B143,summaryref2!F143,"")))))))))))</f>
        <v/>
      </c>
      <c r="AP30" s="1109" t="str">
        <f ca="1">IF('A-80 DirEntInv'!AP29&lt;&gt;"",'A-80 DirEntInv'!AP29,IF(INDIRECT(ADDRESS(SumRef!#REF!,SumRef!#REF!,,,SumRef!$C$7))="","",INDIRECT(ADDRESS(SumRef!#REF!,SumRef!#REF!,,,SumRef!$C$7))))</f>
        <v>Track Feet</v>
      </c>
      <c r="AQ30" s="1147" t="str">
        <f>IF('A-80 DirEntInv'!AQ29&lt;&gt;"",'A-80 DirEntInv'!AQ29,IF(AK30=summaryref2!B17,summaryref2!G17,IF(Summary!AK30=summaryref2!B31,summaryref2!G31,IF(AK30=summaryref2!B45,summaryref2!G45,IF(AK30=summaryref2!B59,summaryref2!G59,IF(AK30=summaryref2!B73,summaryref2!G73,IF(AK30=summaryref2!B87,summaryref2!G87,IF(AK30=summaryref2!B101,summaryref2!G101,IF(AK30=summaryref2!B115,summaryref2!G115,IF(AK30=summaryref2!B129,summaryref2!G129,IF(AK30=summaryref2!B143,summaryref2!G143,"")))))))))))</f>
        <v/>
      </c>
      <c r="AR30" s="1147" t="str">
        <f>IF('A-80 DirEntInv'!AR29&lt;&gt;"",'A-80 DirEntInv'!AR29,IF(AK30=summaryref2!B17,summaryref2!H17,IF(Summary!AK30=summaryref2!B31,summaryref2!H31,IF(AK30=summaryref2!B45,summaryref2!H45,IF(AK30=summaryref2!B59,summaryref2!H59,IF(AK30=summaryref2!B73,summaryref2!H73,IF(AK30=summaryref2!B87,summaryref2!H87,IF(AK30=summaryref2!B101,summaryref2!H101,IF(AK30=summaryref2!B115,summaryref2!H115,IF(AK30=summaryref2!B129,summaryref2!H129,IF(AK30=summaryref2!B143,summaryref2!H143,"")))))))))))</f>
        <v/>
      </c>
      <c r="AS30" s="1110" t="str">
        <f>IF('A-80 DirEntInv'!AS29&lt;&gt;"",'A-80 DirEntInv'!AS29,IF(AK30=summaryref2!B17,summaryref2!I17,IF(Summary!AK30=summaryref2!B31,summaryref2!I31,IF(AK30=summaryref2!B45,summaryref2!I45,IF(AK30=summaryref2!B59,summaryref2!I59,IF(AK30=summaryref2!B73,summaryref2!I73,IF(AK30=summaryref2!B87,summaryref2!I87,IF(AK30=summaryref2!B101,summaryref2!I101,IF(AK30=summaryref2!B115,summaryref2!I115,IF(AK30=summaryref2!B129,summaryref2!I129,IF(AK30=summaryref2!B143,summaryref2!I143,"")))))))))))</f>
        <v/>
      </c>
      <c r="AT30" s="1110" t="str">
        <f>IF('A-80 DirEntInv'!AT29&lt;&gt;"",'A-80 DirEntInv'!AT29,IF(AK30=summaryref2!B17,summaryref2!J17,IF(Summary!AK30=summaryref2!B31,summaryref2!J31,IF(AK30=summaryref2!B45,summaryref2!J45,IF(AK30=summaryref2!B59,summaryref2!J59,IF(AK30=summaryref2!B73,summaryref2!J73,IF(AK30=summaryref2!B87,summaryref2!J87,IF(AK30=summaryref2!B101,summaryref2!J101,IF(AK30=summaryref2!B115,summaryref2!J115,IF(AK30=summaryref2!B129,summaryref2!J129,IF(AK30=summaryref2!B143,summaryref2!J143,"")))))))))))</f>
        <v/>
      </c>
      <c r="AU30" s="1110" t="str">
        <f>IF('A-80 DirEntInv'!AU29&lt;&gt;"",'A-80 DirEntInv'!AU29,IF(AK30=summaryref2!B17,summaryref2!K17,IF(Summary!AK30=summaryref2!B31,summaryref2!K31,IF(AK30=summaryref2!B45,summaryref2!K45,IF(AK30=summaryref2!B59,summaryref2!K59,IF(AK30=summaryref2!B73,summaryref2!K73,IF(AK30=summaryref2!B87,summaryref2!K87,IF(AK30=summaryref2!B101,summaryref2!K101,IF(AK30=summaryref2!B115,summaryref2!K115,IF(AK30=summaryref2!B129,summaryref2!K129,IF(AK30=summaryref2!B143,summaryref2!K143,"")))))))))))</f>
        <v/>
      </c>
      <c r="AV30" s="1110" t="str">
        <f>IF('A-80 DirEntInv'!AV29&lt;&gt;"",'A-80 DirEntInv'!AV29,IF(AK30=summaryref2!B17,summaryref2!L17,IF(Summary!AK30=summaryref2!B31,summaryref2!L31,IF(AK30=summaryref2!B45,summaryref2!L45,IF(AK30=summaryref2!B59,summaryref2!L59,IF(AK30=summaryref2!B73,summaryref2!L73,IF(AK30=summaryref2!B87,summaryref2!L87,IF(AK30=summaryref2!B101,summaryref2!L101,IF(AK30=summaryref2!B115,summaryref2!L115,IF(AK30=summaryref2!B129,summaryref2!L129,IF(AK30=summaryref2!B143,summaryref2!L143,"")))))))))))</f>
        <v/>
      </c>
      <c r="AW30" s="1110" t="str">
        <f>IF('A-80 DirEntInv'!AW29&lt;&gt;"",'A-80 DirEntInv'!AW29,IF(AK30=summaryref2!B17,summaryref2!M17,IF(Summary!AK30=summaryref2!B31,summaryref2!M31,IF(AK30=summaryref2!B45,summaryref2!M45,IF(AK30=summaryref2!B59,summaryref2!M59,IF(AK30=summaryref2!B73,summaryref2!M73,IF(AK30=summaryref2!B87,summaryref2!M87,IF(AK30=summaryref2!B101,summaryref2!M101,IF(AK30=summaryref2!B115,summaryref2!M115,IF(AK30=summaryref2!B129,summaryref2!M129,IF(AK30=summaryref2!B143,summaryref2!M143,"")))))))))))</f>
        <v/>
      </c>
      <c r="AX30" s="1110" t="str">
        <f>IF('A-80 DirEntInv'!AX29&lt;&gt;"",'A-80 DirEntInv'!AX29,IF(AK30=summaryref2!B17,summaryref2!N17,IF(Summary!AK30=summaryref2!B31,summaryref2!N31,IF(AK30=summaryref2!B45,summaryref2!N45,IF(AK30=summaryref2!B59,summaryref2!N59,IF(AK30=summaryref2!B73,summaryref2!N73,IF(AK30=summaryref2!B87,summaryref2!N87,IF(AK30=summaryref2!B101,summaryref2!N101,IF(AK30=summaryref2!B115,summaryref2!N115,IF(AK30=summaryref2!B129,summaryref2!N129,IF(AK30=summaryref2!B143,summaryref2!N143,"")))))))))))</f>
        <v/>
      </c>
      <c r="AY30" s="1110" t="str">
        <f>IF('A-80 DirEntInv'!AY29&lt;&gt;"",'A-80 DirEntInv'!AY29,IF(AK30=summaryref2!B17,summaryref2!O17,IF(Summary!AK30=summaryref2!B31,summaryref2!O31,IF(AK30=summaryref2!B45,summaryref2!O45,IF(AK30=summaryref2!B59,summaryref2!O59,IF(AK30=summaryref2!B73,summaryref2!O73,IF(AK30=summaryref2!B87,summaryref2!O87,IF(AK30=summaryref2!B101,summaryref2!O101,IF(AK30=summaryref2!B115,summaryref2!O115,IF(AK30=summaryref2!B129,summaryref2!O129,IF(AK30=summaryref2!B143,summaryref2!O143,"")))))))))))</f>
        <v/>
      </c>
      <c r="AZ30" s="1110" t="str">
        <f>IF('A-80 DirEntInv'!AZ29&lt;&gt;"",'A-80 DirEntInv'!AZ29,IF(AK30=summaryref2!B17,summaryref2!P17,IF(Summary!AK30=summaryref2!B31,summaryref2!P31,IF(AK30=summaryref2!B45,summaryref2!P45,IF(AK30=summaryref2!B59,summaryref2!P59,IF(AK30=summaryref2!B73,summaryref2!P73,IF(AK30=summaryref2!B87,summaryref2!P87,IF(AK30=summaryref2!B101,summaryref2!P101,IF(AK30=summaryref2!B115,summaryref2!P115,IF(AK30=summaryref2!B129,summaryref2!P129,IF(AK30=summaryref2!B143,summaryref2!P143,"")))))))))))</f>
        <v/>
      </c>
      <c r="BA30" s="1110" t="str">
        <f>IF('A-80 DirEntInv'!BA29&lt;&gt;"",'A-80 DirEntInv'!BA29,IF(AK30=summaryref2!B17,summaryref2!Q17,IF(Summary!AK30=summaryref2!B31,summaryref2!Q31,IF(AK30=summaryref2!B45,summaryref2!Q45,IF(AK30=summaryref2!B59,summaryref2!Q59,IF(AK30=summaryref2!B73,summaryref2!Q73,IF(AK30=summaryref2!B87,summaryref2!Q87,IF(AK30=summaryref2!B101,summaryref2!Q101,IF(AK30=summaryref2!B115,summaryref2!Q115,IF(AK30=summaryref2!B129,summaryref2!Q129,IF(AK30=summaryref2!B143,summaryref2!Q143,"")))))))))))</f>
        <v/>
      </c>
      <c r="BB30" s="1110" t="str">
        <f>IF('A-80 DirEntInv'!BB29&lt;&gt;"",'A-80 DirEntInv'!BB29,IF(AK30=summaryref2!B17,summaryref2!R17,IF(Summary!AK30=summaryref2!B31,summaryref2!R31,IF(AK30=summaryref2!B45,summaryref2!R45,IF(AK30=summaryref2!B59,summaryref2!R59,IF(AK30=summaryref2!B73,summaryref2!R73,IF(AK30=summaryref2!B87,summaryref2!R87,IF(AK30=summaryref2!B101,summaryref2!R101,IF(AK30=summaryref2!B115,summaryref2!R115,IF(AK30=summaryref2!B129,summaryref2!R129,IF(AK30=summaryref2!B143,summaryref2!R143,"")))))))))))</f>
        <v/>
      </c>
      <c r="BC30" s="1110" t="str">
        <f>IF('A-80 DirEntInv'!BC29&lt;&gt;0,'A-80 DirEntInv'!BC29,IF(AK30=summaryref2!B17,summaryref2!S17,IF(Summary!AK30=summaryref2!B31,summaryref2!S31,IF(AK30=summaryref2!B45,summaryref2!S45,IF(AK30=summaryref2!B59,summaryref2!S59,IF(AK30=summaryref2!B73,summaryref2!S73,IF(AK30=summaryref2!B87,summaryref2!S87,IF(AK30=summaryref2!B101,summaryref2!S101,IF(AK30=summaryref2!B115,summaryref2!S115,IF(AK30=summaryref2!B129,summaryref2!S129,IF(AK30=summaryref2!B143,summaryref2!S143,"")))))))))))</f>
        <v/>
      </c>
      <c r="BD30" s="1111" t="str">
        <f>IF('A-80 DirEntInv'!BD29&lt;&gt;"",'A-80 DirEntInv'!BD29,IF(AK30=summaryref2!B17,summaryref2!T17,IF(Summary!AK30=summaryref2!B31,summaryref2!T31,IF(AK30=summaryref2!B45,summaryref2!T45,IF(AK30=summaryref2!B59,summaryref2!T59,IF(AK30=summaryref2!B73,summaryref2!T73,IF(AK30=summaryref2!B87,summaryref2!T87,IF(AK30=summaryref2!B101,summaryref2!T101,IF(AK30=summaryref2!B115,summaryref2!T115,IF(AK30=summaryref2!B129,summaryref2!T129,IF(AK30=summaryref2!B143,summaryref2!T143,"")))))))))))</f>
        <v/>
      </c>
      <c r="BE30" s="1184" t="str">
        <f>IF('A-80 DirEntInv'!BE29&lt;&gt;"",'A-80 DirEntInv'!BE29,IF(AK30=summaryref2!B17,summaryref2!U17,IF(Summary!AK30=summaryref2!B31,summaryref2!U31,IF(AK30=summaryref2!B45,summaryref2!U45,IF(AK30=summaryref2!B59,summaryref2!U59,IF(AK30=summaryref2!B73,summaryref2!U73,IF(AK30=summaryref2!B87,summaryref2!U87,IF(AK30=summaryref2!B101,summaryref2!U101,IF(AK30=summaryref2!B115,summaryref2!U115,IF(AK30=summaryref2!B129,summaryref2!U129,IF(AK30=summaryref2!B143,summaryref2!U143,"")))))))))))</f>
        <v/>
      </c>
      <c r="BF30" s="1432"/>
      <c r="BG30" s="1432"/>
      <c r="BJ30" s="1041" t="str">
        <f>Codes!$C$158</f>
        <v>AR - Alaska Railroad</v>
      </c>
      <c r="BK30" s="1042" t="str">
        <f>Valid!$B$85</f>
        <v>Single Turnout</v>
      </c>
      <c r="BL30" s="1375" t="str">
        <f>IF('A-80 DirEntInv'!BL29&lt;&gt;"",'A-80 DirEntInv'!BL29,IF(BJ30=summaryref2!X17,summaryref2!Z17,IF(BJ30=summaryref2!X24,summaryref2!Z24,IF(BJ30=summaryref2!X31,summaryref2!Z31,IF(BJ30=summaryref2!X38,summaryref2!Z38,IF(BJ30=summaryref2!X45,summaryref2!Z45,IF(BJ30=summaryref2!X52,summaryref2!Z52,IF(BJ30=summaryref2!X59,summaryref2!Z59,IF(BJ30=summaryref2!X66,summaryref2!Z66,IF(BJ30=summaryref2!X73,summaryref2!Z73,IF(BJ30=summaryref2!X80,summaryref2!Z80,"")))))))))))</f>
        <v/>
      </c>
      <c r="BM30" s="1042" t="str">
        <f>VLOOKUP(BK30,Valid!$B$80:$C$86,2,FALSE)</f>
        <v>Each</v>
      </c>
      <c r="BN30" s="1209" t="str">
        <f>IF('A-80 DirEntInv'!BN29&lt;&gt;"",'A-80 DirEntInv'!BN29,IF(BJ30=summaryref2!X17,summaryref2!AB17,IF(BJ30=summaryref2!X24,summaryref2!AB24,IF(BJ30=summaryref2!X31,summaryref2!AB31,IF(BJ30=summaryref2!X38,summaryref2!AB38,IF(BJ30=summaryref2!X45,summaryref2!AB45,IF(BJ30=summaryref2!X52,summaryref2!AB52,IF(BJ30=summaryref2!X59,summaryref2!AB59,IF(BJ30=summaryref2!X66,summaryref2!AB66,IF(BJ30=summaryref2!X73,summaryref2!AB73,IF(BJ30=summaryref2!X80,summaryref2!AB80,"")))))))))))</f>
        <v/>
      </c>
      <c r="BO30" s="1116" t="str">
        <f>IF('A-80 DirEntInv'!BO29&lt;&gt;"",'A-80 DirEntInv'!BO29,IF(BJ30=summaryref2!X17,summaryref2!AC17,IF(BJ30=summaryref2!X24,summaryref2!AC24,IF(BJ30=summaryref2!X31,summaryref2!AC31,IF(BJ30=summaryref2!X38,summaryref2!AC38,IF(BJ30=summaryref2!X45,summaryref2!AC45,IF(BJ30=summaryref2!X52,summaryref2!AC52,IF(BJ30=summaryref2!X59,summaryref2!AC59,IF(BJ30=summaryref2!X66,summaryref2!AC66,IF(BJ30=summaryref2!X73,summaryref2!AC73,IF(BJ30=summaryref2!X80,summaryref2!AC80,"")))))))))))</f>
        <v/>
      </c>
      <c r="BP30" s="1384" t="str">
        <f>IF('A-80 DirEntInv'!BP29&lt;&gt;"",'A-80 DirEntInv'!BP29,IF(BJ30=summaryref2!X17,summaryref2!AD17,IF(BJ30=summaryref2!X24,summaryref2!AD24,IF(BJ30=summaryref2!X31,summaryref2!AD31,IF(BJ30=summaryref2!X38,summaryref2!AD38,IF(BJ30=summaryref2!X45,summaryref2!AD45,IF(BJ30=summaryref2!X52,summaryref2!AD52,IF(BJ30=summaryref2!X59,summaryref2!AD59,IF(BJ30=summaryref2!X66,summaryref2!AD66,IF(BJ30=summaryref2!X73,summaryref2!AD73,IF(BJ30=summaryref2!X80,summaryref2!AD80,"")))))))))))</f>
        <v/>
      </c>
      <c r="BS30" s="1472" t="str">
        <f ca="1">IF('A-80 DirEntInv'!BU29&lt;&gt;"",'A-80 DirEntInv'!BU29,IF(INDIRECT(ADDRESS(SumRef!DK36,SumRef!DK$16,,,SumRef!$E$6))="","",INDIRECT(ADDRESS(SumRef!DK36,SumRef!DK$16,,,SumRef!$E$6))))</f>
        <v/>
      </c>
      <c r="BT30" s="1458" t="str">
        <f ca="1">IF('A-80 DirEntInv'!BV29&lt;&gt;"",'A-80 DirEntInv'!BV29,IF(INDIRECT(ADDRESS(SumRef!DL36,SumRef!DL$16,,,SumRef!$E$6))="","",INDIRECT(ADDRESS(SumRef!DL36,SumRef!DL$16,,,SumRef!$E$6))))</f>
        <v/>
      </c>
      <c r="BU30" s="1177" t="str">
        <f ca="1">IF('A-80 DirEntInv'!BW29&lt;&gt;"",'A-80 DirEntInv'!BW29,IF(INDIRECT(ADDRESS(SumRef!DM36,SumRef!DM$16,,,SumRef!$E$6))="","",INDIRECT(ADDRESS(SumRef!DM36,SumRef!DM$16,,,SumRef!$E$6))))</f>
        <v/>
      </c>
      <c r="BV30" s="1460" t="str">
        <f ca="1">IF('A-80 DirEntInv'!BX29&lt;&gt;"",'A-80 DirEntInv'!BX29,IF(INDIRECT(ADDRESS(SumRef!DN36,SumRef!DN$16,,,SumRef!$E$6))="","",INDIRECT(ADDRESS(SumRef!DN36,SumRef!DN$16,,,SumRef!$E$6))))</f>
        <v/>
      </c>
      <c r="BW30" s="1460" t="str">
        <f ca="1">IF('A-80 DirEntInv'!BY29&lt;&gt;"",'A-80 DirEntInv'!BY29,IF(INDIRECT(ADDRESS(SumRef!DO36,SumRef!DO$16,,,SumRef!$E$6))="","",INDIRECT(ADDRESS(SumRef!DO36,SumRef!DO$16,,,SumRef!$E$6))))</f>
        <v/>
      </c>
      <c r="BX30" s="1116" t="str">
        <f ca="1">IF('A-80 DirEntInv'!BZ29&lt;&gt;"",'A-80 DirEntInv'!BZ29,IF(INDIRECT(ADDRESS(SumRef!DP36,SumRef!DP$16,,,SumRef!$E$6))="","",INDIRECT(ADDRESS(SumRef!DP36,SumRef!DP$16,,,SumRef!$E$6))))</f>
        <v/>
      </c>
      <c r="BY30" s="1461" t="str">
        <f ca="1">IF('A-80 DirEntInv'!CA29&lt;&gt;"",'A-80 DirEntInv'!CA29,IF(INDIRECT(ADDRESS(SumRef!DQ36,SumRef!DQ$16,,,SumRef!$E$6))="","",INDIRECT(ADDRESS(SumRef!DQ36,SumRef!DQ$16,,,SumRef!$E$6))))</f>
        <v/>
      </c>
      <c r="BZ30" s="1460" t="str">
        <f ca="1">IF('A-80 DirEntInv'!CB29&lt;&gt;"",'A-80 DirEntInv'!CB29,IF(INDIRECT(ADDRESS(SumRef!DR36,SumRef!DR$16,,,SumRef!$E$6))="","",INDIRECT(ADDRESS(SumRef!DR36,SumRef!DR$16,,,SumRef!$E$6))))</f>
        <v/>
      </c>
      <c r="CA30" s="1462" t="str">
        <f ca="1">IF('A-80 DirEntInv'!CC29&lt;&gt;"",'A-80 DirEntInv'!CC29,IF(INDIRECT(ADDRESS(SumRef!DS36,SumRef!DS$16,,,SumRef!$E$6))="","",INDIRECT(ADDRESS(SumRef!DS36,SumRef!DS$16,,,SumRef!$E$6))))</f>
        <v/>
      </c>
      <c r="CD30" s="1160" t="str">
        <f ca="1">IF('A-80 DirEntInv'!CF29&lt;&gt;"",'A-80 DirEntInv'!CF29,IF(INDIRECT(ADDRESS(SumRef!DV36,SumRef!DV$16,,,SumRef!$E$7))="","",INDIRECT(ADDRESS(SumRef!DV36,SumRef!DV$16,,,SumRef!$E$7))))</f>
        <v/>
      </c>
      <c r="CE30" s="1167" t="str">
        <f ca="1">IF('A-80 DirEntInv'!CG29&lt;&gt;"",'A-80 DirEntInv'!CG29,IF(INDIRECT(ADDRESS(SumRef!DW36,SumRef!DW$16,,,SumRef!$E$7))="","",INDIRECT(ADDRESS(SumRef!DW36,SumRef!DW$16,,,SumRef!$E$7))))</f>
        <v/>
      </c>
      <c r="CF30" s="1167" t="str">
        <f ca="1">IF('A-80 DirEntInv'!CH29&lt;&gt;"",'A-80 DirEntInv'!CH29,IF(INDIRECT(ADDRESS(SumRef!DX36,SumRef!DX$16,,,SumRef!$E$7))="","",INDIRECT(ADDRESS(SumRef!DX36,SumRef!DX$16,,,SumRef!$E$7))))</f>
        <v/>
      </c>
      <c r="CG30" s="1167" t="str">
        <f ca="1">IF('A-80 DirEntInv'!CI29&lt;&gt;"",'A-80 DirEntInv'!CI29,IF(INDIRECT(ADDRESS(SumRef!DY36,SumRef!DY$16,,,SumRef!$E$7))="","",INDIRECT(ADDRESS(SumRef!DY36,SumRef!DY$16,,,SumRef!$E$7))))</f>
        <v/>
      </c>
      <c r="CH30" s="1167" t="str">
        <f ca="1">IF('A-80 DirEntInv'!CJ29&lt;&gt;"",'A-80 DirEntInv'!CJ29,IF(INDIRECT(ADDRESS(SumRef!DZ36,SumRef!DZ$16,,,SumRef!$E$7))="","",INDIRECT(ADDRESS(SumRef!DZ36,SumRef!DZ$16,,,SumRef!$E$7))))</f>
        <v/>
      </c>
      <c r="CI30" s="1167" t="str">
        <f ca="1">IF('A-80 DirEntInv'!CK29&lt;&gt;"",'A-80 DirEntInv'!CK29,IF(INDIRECT(ADDRESS(SumRef!EA36,SumRef!EA$16,,,SumRef!$E$7))="","",INDIRECT(ADDRESS(SumRef!EA36,SumRef!EA$16,,,SumRef!$E$7))))</f>
        <v/>
      </c>
      <c r="CJ30" s="1114" t="str">
        <f ca="1">IF('A-80 DirEntInv'!CL29&lt;&gt;"",'A-80 DirEntInv'!CL29,IF(INDIRECT(ADDRESS(SumRef!EB36,SumRef!EB$16,,,SumRef!$E$7))="","",INDIRECT(ADDRESS(SumRef!EB36,SumRef!EB$16,,,SumRef!$E$7))))</f>
        <v/>
      </c>
      <c r="CK30" s="1114" t="str">
        <f ca="1">IF('A-80 DirEntInv'!CM29&lt;&gt;"",'A-80 DirEntInv'!CM29,IF(INDIRECT(ADDRESS(SumRef!EC36,SumRef!EC$16,,,SumRef!$E$7))="","",INDIRECT(ADDRESS(SumRef!EC36,SumRef!EC$16,,,SumRef!$E$7))))</f>
        <v/>
      </c>
      <c r="CL30" s="1113" t="str">
        <f ca="1">IF('A-80 DirEntInv'!CO29&lt;&gt;"",'A-80 DirEntInv'!CO29,IF(INDIRECT(ADDRESS(SumRef!ED36,SumRef!ED$16,,,SumRef!$E$7))="","",INDIRECT(ADDRESS(SumRef!ED36,SumRef!ED$16,,,SumRef!$E$7))))</f>
        <v/>
      </c>
      <c r="CM30" s="1114" t="str">
        <f ca="1">IF('A-80 DirEntInv'!CP29&lt;&gt;"",'A-80 DirEntInv'!CP29,IF(INDIRECT(ADDRESS(SumRef!EE36,SumRef!EE$16,,,SumRef!$E$7))="","",INDIRECT(ADDRESS(SumRef!EE36,SumRef!EE$16,,,SumRef!$E$7))))</f>
        <v/>
      </c>
      <c r="CN30" s="1114" t="str">
        <f ca="1">IF('A-80 DirEntInv'!CQ29&lt;&gt;"",'A-80 DirEntInv'!CQ29,IF(INDIRECT(ADDRESS(SumRef!EF36,SumRef!EF$16,,,SumRef!$E$7))="","",INDIRECT(ADDRESS(SumRef!EF36,SumRef!EF$16,,,SumRef!$E$7))))</f>
        <v/>
      </c>
      <c r="CO30" s="1113" t="str">
        <f ca="1">IF('A-80 DirEntInv'!CR29&lt;&gt;"",'A-80 DirEntInv'!CR29,IF(INDIRECT(ADDRESS(SumRef!EG36,SumRef!EG$16,,,SumRef!$E$7))="","",INDIRECT(ADDRESS(SumRef!EG36,SumRef!EG$16,,,SumRef!$E$7))))</f>
        <v/>
      </c>
      <c r="CP30" s="1114" t="str">
        <f ca="1">IF('A-80 DirEntInv'!CS29&lt;&gt;"",'A-80 DirEntInv'!CS29,IF(INDIRECT(ADDRESS(SumRef!EH36,SumRef!EH$16,,,SumRef!$E$7))="","",INDIRECT(ADDRESS(SumRef!EH36,SumRef!EH$16,,,SumRef!$E$7))))</f>
        <v/>
      </c>
      <c r="CQ30" s="1346" t="str">
        <f ca="1">IF('A-80 DirEntInv'!CT29&lt;&gt;"",'A-80 DirEntInv'!CT29,IF(INDIRECT(ADDRESS(SumRef!EI36,SumRef!EI$16,,,SumRef!$E$7))="","",INDIRECT(ADDRESS(SumRef!EI36,SumRef!EI$16,,,SumRef!$E$7))))</f>
        <v/>
      </c>
      <c r="CR30" s="1113" t="str">
        <f ca="1">IF('A-80 DirEntInv'!CU29&lt;&gt;"",'A-80 DirEntInv'!CU29,IF(INDIRECT(ADDRESS(SumRef!EJ36,SumRef!EJ$16,,,SumRef!$E$7))="","",INDIRECT(ADDRESS(SumRef!EJ36,SumRef!EJ$16,,,SumRef!$E$7))))</f>
        <v/>
      </c>
      <c r="CS30" s="1346" t="str">
        <f ca="1">IF('A-80 DirEntInv'!CV29&lt;&gt;"",'A-80 DirEntInv'!CV29,IF(INDIRECT(ADDRESS(SumRef!EM36,SumRef!EM$16,,,SumRef!$E$7))="","",INDIRECT(ADDRESS(SumRef!EM36,SumRef!EM$16,,,SumRef!$E$7))))</f>
        <v/>
      </c>
      <c r="CT30" s="1113" t="str">
        <f ca="1">IF('A-80 DirEntInv'!CW29&lt;&gt;"",'A-80 DirEntInv'!CW29,IF(INDIRECT(ADDRESS(SumRef!EN36,SumRef!EN$16,,,SumRef!$E$7))="","",INDIRECT(ADDRESS(SumRef!EN36,SumRef!EN$16,,,SumRef!$E$7))))</f>
        <v/>
      </c>
      <c r="CU30" s="1113" t="str">
        <f ca="1">IF('A-80 DirEntInv'!CX29&lt;&gt;"",'A-80 DirEntInv'!CX29,IF(INDIRECT(ADDRESS(SumRef!EO36,SumRef!EO$16,,,SumRef!$E$7))="","",INDIRECT(ADDRESS(SumRef!EO36,SumRef!EO$16,,,SumRef!$E$7))))</f>
        <v/>
      </c>
      <c r="CV30" s="1113" t="str">
        <f ca="1">IF('A-80 DirEntInv'!CY29&lt;&gt;"",'A-80 DirEntInv'!CY29,IF(INDIRECT(ADDRESS(SumRef!EP36,SumRef!EP$16,,,SumRef!$E$7))="","",INDIRECT(ADDRESS(SumRef!EP36,SumRef!EP$16,,,SumRef!$E$7))))</f>
        <v/>
      </c>
      <c r="CW30" s="1114" t="str">
        <f ca="1">IF('A-80 DirEntInv'!CZ29&lt;&gt;"",'A-80 DirEntInv'!CZ29,IF(INDIRECT(ADDRESS(SumRef!ES36,SumRef!ES$16,,,SumRef!$E$7))="","",INDIRECT(ADDRESS(SumRef!ES36,SumRef!ES$16,,,SumRef!$E$7))))</f>
        <v/>
      </c>
      <c r="CX30" s="1167" t="str">
        <f ca="1">IF('A-80 DirEntInv'!DA29&lt;&gt;"",'A-80 DirEntInv'!DA29,IF(INDIRECT(ADDRESS(SumRef!ET36,SumRef!ET$16,,,SumRef!$E$7))="","",INDIRECT(ADDRESS(SumRef!ET36,SumRef!ET$16,,,SumRef!$E$7))))</f>
        <v/>
      </c>
      <c r="CY30" s="1167" t="str">
        <f ca="1">IF('A-80 DirEntInv'!DB29&lt;&gt;"",'A-80 DirEntInv'!DB29,IF(INDIRECT(ADDRESS(SumRef!EU36,SumRef!EU$16,,,SumRef!$E$7))="","",INDIRECT(ADDRESS(SumRef!EU36,SumRef!EU$16,,,SumRef!$E$7))))</f>
        <v/>
      </c>
      <c r="CZ30" s="1167" t="b">
        <f ca="1">IF('A-80 DirEntInv'!DC29&lt;&gt;"",'A-80 DirEntInv'!DC29,IF(INDIRECT(ADDRESS(SumRef!EV36,SumRef!EV$16,,,SumRef!$E$7))="","",INDIRECT(ADDRESS(SumRef!EV36,SumRef!EV$16,,,SumRef!$E$7))))</f>
        <v>0</v>
      </c>
      <c r="DA30" s="1373" t="str">
        <f ca="1">IF('A-80 DirEntInv'!DD29&lt;&gt;"",'A-80 DirEntInv'!DD29,IF(INDIRECT(ADDRESS(SumRef!EW36,SumRef!EW$16,,,SumRef!$E$7))="","",INDIRECT(ADDRESS(SumRef!EW36,SumRef!EW$16,,,SumRef!$E$7))))</f>
        <v/>
      </c>
      <c r="DB30" s="1373" t="b">
        <f ca="1">IF('A-80 DirEntInv'!DE29&lt;&gt;"",'A-80 DirEntInv'!DE29,IF(INDIRECT(ADDRESS(SumRef!EX36,SumRef!EX$16,,,SumRef!$E$7))="","",INDIRECT(ADDRESS(SumRef!EX36,SumRef!EX$16,,,SumRef!$E$7))))</f>
        <v>0</v>
      </c>
      <c r="DC30" s="1114" t="b">
        <f ca="1">IF('A-80 DirEntInv'!DF29&lt;&gt;"",'A-80 DirEntInv'!DF29,IF(INDIRECT(ADDRESS(SumRef!EY36,SumRef!EY$16,,,SumRef!$E$7))="","",INDIRECT(ADDRESS(SumRef!EY36,SumRef!EY$16,,,SumRef!$E$7))))</f>
        <v>0</v>
      </c>
      <c r="DD30" s="1115" t="str">
        <f ca="1">IF('A-80 DirEntInv'!DG29&lt;&gt;"",'A-80 DirEntInv'!DG29,IF(INDIRECT(ADDRESS(SumRef!EZ36,SumRef!EZ$16,,,SumRef!$E$7))="","",INDIRECT(ADDRESS(SumRef!EZ36,SumRef!EZ$16,,,SumRef!$E$7))))</f>
        <v/>
      </c>
    </row>
    <row r="31" spans="1:108" s="588" customFormat="1" ht="13.5" thickBot="1" x14ac:dyDescent="0.25">
      <c r="A31" s="589">
        <f t="shared" si="0"/>
        <v>21</v>
      </c>
      <c r="B31" s="1155" t="str">
        <f ca="1">IF('A-80 DirEntInv'!B30&lt;&gt;"",'A-80 DirEntInv'!B30,IF(INDIRECT(ADDRESS(SumRef!AQ37,SumRef!AQ$16,,,SumRef!$B$7))="","",INDIRECT(ADDRESS(SumRef!AQ37,SumRef!AQ$16,,,SumRef!$B$7))))</f>
        <v/>
      </c>
      <c r="C31" s="1097" t="str">
        <f ca="1">IF('A-80 DirEntInv'!C30&lt;&gt;"",'A-80 DirEntInv'!C30,IF(INDIRECT(ADDRESS(SumRef!AR37,SumRef!AR$16,,,SumRef!$B$7))="","",INDIRECT(ADDRESS(SumRef!AR37,SumRef!AR$16,,,SumRef!$B$7))))</f>
        <v/>
      </c>
      <c r="D31" s="1097" t="str">
        <f ca="1">IF('A-80 DirEntInv'!D30&lt;&gt;"",'A-80 DirEntInv'!D30,IF(INDIRECT(ADDRESS(SumRef!AS37,SumRef!AS$16,,,SumRef!$B$7))="","",INDIRECT(ADDRESS(SumRef!AS37,SumRef!AS$16,,,SumRef!$B$7))))</f>
        <v/>
      </c>
      <c r="E31" s="1097" t="str">
        <f ca="1">IF('A-80 DirEntInv'!E30&lt;&gt;"",'A-80 DirEntInv'!E30,IF(INDIRECT(ADDRESS(SumRef!AT37,SumRef!AT$16,,,SumRef!$B$7))="","",INDIRECT(ADDRESS(SumRef!AT37,SumRef!AT$16,,,SumRef!$B$7))))</f>
        <v/>
      </c>
      <c r="F31" s="1097" t="str">
        <f ca="1">IF('A-80 DirEntInv'!F30&lt;&gt;"",'A-80 DirEntInv'!F30,IF(INDIRECT(ADDRESS(SumRef!AU37,SumRef!AU$16,,,SumRef!$B$7))="","",INDIRECT(ADDRESS(SumRef!AU37,SumRef!AU$16,,,SumRef!$B$7))))</f>
        <v/>
      </c>
      <c r="G31" s="1158" t="str">
        <f ca="1">IF('A-80 DirEntInv'!G30&lt;&gt;"",'A-80 DirEntInv'!G30,IF(INDIRECT(ADDRESS(SumRef!AV37,SumRef!AV$16,,,SumRef!$B$7))="","",INDIRECT(ADDRESS(SumRef!AV37,SumRef!AV$16,,,SumRef!$B$7))))</f>
        <v/>
      </c>
      <c r="H31" s="1097" t="str">
        <f ca="1">IF('A-80 DirEntInv'!H30&lt;&gt;"",'A-80 DirEntInv'!H30,IF(INDIRECT(ADDRESS(SumRef!AW37,SumRef!AW$16,,,SumRef!$B$7))="","",INDIRECT(ADDRESS(SumRef!AW37,SumRef!AW$16,,,SumRef!$B$7))))</f>
        <v/>
      </c>
      <c r="I31" s="1097" t="str">
        <f ca="1">IF('A-80 DirEntInv'!I30&lt;&gt;"",'A-80 DirEntInv'!I30,IF(INDIRECT(ADDRESS(SumRef!AX37,SumRef!AX$16,,,SumRef!$B$7))="","",INDIRECT(ADDRESS(SumRef!AX37,SumRef!AX$16,,,SumRef!$B$7))))</f>
        <v/>
      </c>
      <c r="J31" s="1098" t="str">
        <f ca="1">IF('A-80 DirEntInv'!J30&lt;&gt;"",'A-80 DirEntInv'!J30,IF(INDIRECT(ADDRESS(SumRef!AY37,SumRef!AY$16,,,SumRef!$B$7))="","",INDIRECT(ADDRESS(SumRef!AY37,SumRef!AY$16,,,SumRef!$B$7))))</f>
        <v/>
      </c>
      <c r="K31" s="1099" t="str">
        <f ca="1">IF('A-80 DirEntInv'!K30&lt;&gt;"",'A-80 DirEntInv'!K30,IF(INDIRECT(ADDRESS(SumRef!AZ37,SumRef!AZ$16,,,SumRef!$B$7))="","",INDIRECT(ADDRESS(SumRef!AZ37,SumRef!AZ$16,,,SumRef!$B$7))))</f>
        <v/>
      </c>
      <c r="L31" s="1100" t="str">
        <f ca="1">IF('A-80 DirEntInv'!L30&lt;&gt;"",'A-80 DirEntInv'!L30,IF(INDIRECT(ADDRESS(SumRef!BA37,SumRef!BA$16,,,SumRef!$B$7))="","",INDIRECT(ADDRESS(SumRef!BA37,SumRef!BA$16,,,SumRef!$B$7))))</f>
        <v/>
      </c>
      <c r="M31" s="1101" t="str">
        <f ca="1">IF('A-80 DirEntInv'!M30&lt;&gt;"",'A-80 DirEntInv'!M30,IF(INDIRECT(ADDRESS(SumRef!BB37,SumRef!BB$16,,,SumRef!$B$7))="","",INDIRECT(ADDRESS(SumRef!BB37,SumRef!BB$16,,,SumRef!$B$7))))</f>
        <v/>
      </c>
      <c r="N31" s="1098" t="str">
        <f ca="1">IF('A-80 DirEntInv'!N30&lt;&gt;"",'A-80 DirEntInv'!N30,IF(INDIRECT(ADDRESS(SumRef!BC37,SumRef!BC$16,,,SumRef!$B$7))="","",INDIRECT(ADDRESS(SumRef!BC37,SumRef!BC$16,,,SumRef!$B$7))))</f>
        <v/>
      </c>
      <c r="O31" s="1102" t="str">
        <f ca="1">IF('A-80 DirEntInv'!O30&lt;&gt;"",'A-80 DirEntInv'!O30,IF(INDIRECT(ADDRESS(SumRef!BD37,SumRef!BD$16,,,SumRef!$B$7))="","",INDIRECT(ADDRESS(SumRef!BD37,SumRef!BD$16,,,SumRef!$B$7))))</f>
        <v/>
      </c>
      <c r="Q31" s="589"/>
      <c r="R31" s="1103" t="str">
        <f ca="1">IF('A-80 DirEntInv'!R30&lt;&gt;"",'A-80 DirEntInv'!R30,IF(INDIRECT(ADDRESS(SumRef!BH37,SumRef!BH$16,,,SumRef!$B$8))="","",INDIRECT(ADDRESS(SumRef!BH37,SumRef!BH$16,,,SumRef!$B$8))))</f>
        <v/>
      </c>
      <c r="S31" s="1104" t="str">
        <f ca="1">IF('A-80 DirEntInv'!S30&lt;&gt;"",'A-80 DirEntInv'!S30,IF(INDIRECT(ADDRESS(SumRef!BI37,SumRef!BI$16,,,SumRef!$B$8))="","",INDIRECT(ADDRESS(SumRef!BI37,SumRef!BI$16,,,SumRef!$B$8))))</f>
        <v/>
      </c>
      <c r="T31" s="1104" t="str">
        <f ca="1">IF('A-80 DirEntInv'!T30&lt;&gt;"",'A-80 DirEntInv'!T30,IF(INDIRECT(ADDRESS(SumRef!BJ37,SumRef!BJ$16,,,SumRef!$B$8))="","",INDIRECT(ADDRESS(SumRef!BJ37,SumRef!BJ$16,,,SumRef!$B$8))))</f>
        <v/>
      </c>
      <c r="U31" s="1104" t="str">
        <f ca="1">IF('A-80 DirEntInv'!U30&lt;&gt;"",'A-80 DirEntInv'!U30,IF(INDIRECT(ADDRESS(SumRef!BK37,SumRef!BK$16,,,SumRef!$B$8))="","",INDIRECT(ADDRESS(SumRef!BK37,SumRef!BK$16,,,SumRef!$B$8))))</f>
        <v/>
      </c>
      <c r="V31" s="1104" t="str">
        <f ca="1">IF('A-80 DirEntInv'!V30&lt;&gt;"",'A-80 DirEntInv'!V30,IF(INDIRECT(ADDRESS(SumRef!BL37,SumRef!BL$16,,,SumRef!$B$8))="","",INDIRECT(ADDRESS(SumRef!BL37,SumRef!BL$16,,,SumRef!$B$8))))</f>
        <v/>
      </c>
      <c r="W31" s="1354" t="str">
        <f ca="1">IF('A-80 DirEntInv'!W30&lt;&gt;"",'A-80 DirEntInv'!W30,IF(INDIRECT(ADDRESS(SumRef!BM37,SumRef!BM$16,,,SumRef!$B$8))="","",INDIRECT(ADDRESS(SumRef!BM37,SumRef!BM$16,,,SumRef!$B$8))))</f>
        <v/>
      </c>
      <c r="X31" s="1203" t="str">
        <f ca="1">IF('A-80 DirEntInv'!X30&lt;&gt;"",'A-80 DirEntInv'!X30,IF(INDIRECT(ADDRESS(SumRef!BN37,SumRef!BN$16,,,SumRef!$B$8))="","",INDIRECT(ADDRESS(SumRef!BN37,SumRef!BN$16,,,SumRef!$B$8))))</f>
        <v/>
      </c>
      <c r="Y31" s="1203" t="str">
        <f ca="1">IF('A-80 DirEntInv'!Y30&lt;&gt;"",'A-80 DirEntInv'!Y30,IF(INDIRECT(ADDRESS(SumRef!BO37,SumRef!BO$16,,,SumRef!$B$8))="","",INDIRECT(ADDRESS(SumRef!BO37,SumRef!BO$16,,,SumRef!$B$8))))</f>
        <v/>
      </c>
      <c r="Z31" s="1104" t="str">
        <f ca="1">IF('A-80 DirEntInv'!Z30&lt;&gt;"",'A-80 DirEntInv'!Z30,IF(INDIRECT(ADDRESS(SumRef!BP37,SumRef!BP$16,,,SumRef!$B$8))="","",INDIRECT(ADDRESS(SumRef!BP37,SumRef!BP$16,,,SumRef!$B$8))))</f>
        <v/>
      </c>
      <c r="AA31" s="1104" t="str">
        <f ca="1">IF('A-80 DirEntInv'!AA30&lt;&gt;"",'A-80 DirEntInv'!AA30,IF(INDIRECT(ADDRESS(SumRef!BQ37,SumRef!BQ$16,,,SumRef!$B$8))="","",INDIRECT(ADDRESS(SumRef!BQ37,SumRef!BQ$16,,,SumRef!$B$8))))</f>
        <v/>
      </c>
      <c r="AB31" s="1106" t="str">
        <f ca="1">IF('A-80 DirEntInv'!AB30&lt;&gt;"",'A-80 DirEntInv'!AB30,IF(INDIRECT(ADDRESS(SumRef!BR37,SumRef!BR$16,,,SumRef!$B$8))="","",INDIRECT(ADDRESS(SumRef!BR37,SumRef!BR$16,,,SumRef!$B$8))))</f>
        <v/>
      </c>
      <c r="AC31" s="1107" t="str">
        <f ca="1">IF('A-80 DirEntInv'!AC30&lt;&gt;"",'A-80 DirEntInv'!AC30,IF(INDIRECT(ADDRESS(SumRef!BS37,SumRef!BS$16,,,SumRef!$B$8))="","",INDIRECT(ADDRESS(SumRef!BS37,SumRef!BS$16,,,SumRef!$B$8))))</f>
        <v/>
      </c>
      <c r="AD31" s="1349" t="str">
        <f ca="1">IF('A-80 DirEntInv'!AD30&lt;&gt;"",'A-80 DirEntInv'!AD30,IF(INDIRECT(ADDRESS(SumRef!BT37,SumRef!BT$16,,,SumRef!$B$8))="","",INDIRECT(ADDRESS(SumRef!BT37,SumRef!BT$16,,,SumRef!$B$8))))</f>
        <v/>
      </c>
      <c r="AE31" s="1137" t="str">
        <f ca="1">IF('A-80 DirEntInv'!AE30&lt;&gt;"",'A-80 DirEntInv'!AE30,IF(INDIRECT(ADDRESS(SumRef!BU37,SumRef!BU$16,,,SumRef!$B$8))="","",INDIRECT(ADDRESS(SumRef!BU37,SumRef!BU$16,,,SumRef!$B$8))))</f>
        <v/>
      </c>
      <c r="AF31" s="1346" t="str">
        <f ca="1">IF('A-80 DirEntInv'!AF30&lt;&gt;"",'A-80 DirEntInv'!AF30,IF(INDIRECT(ADDRESS(SumRef!BV37,SumRef!BV$16,,,SumRef!$B$8))="","",INDIRECT(ADDRESS(SumRef!BV37,SumRef!BV$16,,,SumRef!$B$8))))</f>
        <v/>
      </c>
      <c r="AG31" s="1105" t="str">
        <f ca="1">IF('A-80 DirEntInv'!AG30&lt;&gt;"",'A-80 DirEntInv'!AG30,IF(INDIRECT(ADDRESS(SumRef!BW37,SumRef!BW$16,,,SumRef!$B$8))="","",INDIRECT(ADDRESS(SumRef!BW37,SumRef!BW$16,,,SumRef!$B$8))))</f>
        <v/>
      </c>
      <c r="AH31" s="1357" t="str">
        <f ca="1">IF('A-80 DirEntInv'!AH30&lt;&gt;"",'A-80 DirEntInv'!AH30,IF(INDIRECT(ADDRESS(SumRef!BX37,SumRef!BX$16,,,SumRef!$B$8))="","",INDIRECT(ADDRESS(SumRef!BX37,SumRef!BX$16,,,SumRef!$B$8))))</f>
        <v/>
      </c>
      <c r="AK31" s="1041" t="str">
        <f>Codes!$C$157</f>
        <v>AG - Automated Guideway (PT)</v>
      </c>
      <c r="AL31" s="1042" t="str">
        <f>Valid!$B$77</f>
        <v>Below-Grade/Cut-and-Cover Tunnel</v>
      </c>
      <c r="AM31" s="1108" t="str">
        <f>IF('A-80 DirEntInv'!AM30&lt;&gt;"",'A-80 DirEntInv'!AM30,IF(AK31=summaryref2!B18,summaryref2!D18,IF(Summary!AK31=summaryref2!B32,summaryref2!D32,IF(AK31=summaryref2!B46,summaryref2!D46,IF(AK31=summaryref2!B60,summaryref2!D60,IF(AK31=summaryref2!B74,summaryref2!D74,IF(AK31=summaryref2!B88,summaryref2!D88,IF(AK31=summaryref2!B102,summaryref2!D102,IF(AK31=summaryref2!B116,summaryref2!D116,IF(AK31=summaryref2!B130,summaryref2!D130,IF(AK31=summaryref2!B144,summaryref2!D144,"")))))))))))</f>
        <v/>
      </c>
      <c r="AN31" s="1109" t="str">
        <f ca="1">IF('A-80 DirEntInv'!AN30&lt;&gt;"",'A-80 DirEntInv'!AN30,IF(INDIRECT(ADDRESS(SumRef!#REF!,SumRef!CG$16,,,SumRef!$C$7))="","",INDIRECT(ADDRESS(SumRef!#REF!,SumRef!CG$16,,,SumRef!$C$7))))</f>
        <v>Linear Feet</v>
      </c>
      <c r="AO31" s="1108" t="str">
        <f>IF('A-80 DirEntInv'!AO30&lt;&gt;"",'A-80 DirEntInv'!AO30,IF(AK31=summaryref2!B18,summaryref2!F18,IF(Summary!AK31=summaryref2!B32,summaryref2!F32,IF(AK31=summaryref2!B46,summaryref2!F46,IF(AK31=summaryref2!B60,summaryref2!F60,IF(AK31=summaryref2!B74,summaryref2!F74,IF(AK31=summaryref2!B88,summaryref2!F88,IF(AK31=summaryref2!B102,summaryref2!F102,IF(AK31=summaryref2!B116,summaryref2!F116,IF(AK31=summaryref2!B130,summaryref2!F130,IF(AK31=summaryref2!B144,summaryref2!F144,"")))))))))))</f>
        <v/>
      </c>
      <c r="AP31" s="1109" t="str">
        <f ca="1">IF('A-80 DirEntInv'!AP30&lt;&gt;"",'A-80 DirEntInv'!AP30,IF(INDIRECT(ADDRESS(SumRef!#REF!,SumRef!#REF!,,,SumRef!$C$7))="","",INDIRECT(ADDRESS(SumRef!#REF!,SumRef!#REF!,,,SumRef!$C$7))))</f>
        <v>Track Feet</v>
      </c>
      <c r="AQ31" s="1147" t="str">
        <f>IF('A-80 DirEntInv'!AQ30&lt;&gt;"",'A-80 DirEntInv'!AQ30,IF(AK31=summaryref2!B18,summaryref2!G18,IF(Summary!AK31=summaryref2!B32,summaryref2!G32,IF(AK31=summaryref2!B46,summaryref2!G46,IF(AK31=summaryref2!B60,summaryref2!G60,IF(AK31=summaryref2!B74,summaryref2!G74,IF(AK31=summaryref2!B88,summaryref2!G88,IF(AK31=summaryref2!B102,summaryref2!G102,IF(AK31=summaryref2!B116,summaryref2!G116,IF(AK31=summaryref2!B130,summaryref2!G130,IF(AK31=summaryref2!B144,summaryref2!G144,"")))))))))))</f>
        <v/>
      </c>
      <c r="AR31" s="1147" t="str">
        <f>IF('A-80 DirEntInv'!AR30&lt;&gt;"",'A-80 DirEntInv'!AR30,IF(AK31=summaryref2!B18,summaryref2!H18,IF(Summary!AK31=summaryref2!B32,summaryref2!H32,IF(AK31=summaryref2!B46,summaryref2!H46,IF(AK31=summaryref2!B60,summaryref2!H60,IF(AK31=summaryref2!B74,summaryref2!H74,IF(AK31=summaryref2!B88,summaryref2!H88,IF(AK31=summaryref2!B102,summaryref2!H102,IF(AK31=summaryref2!B116,summaryref2!H116,IF(AK31=summaryref2!B130,summaryref2!H130,IF(AK31=summaryref2!B144,summaryref2!H144,"")))))))))))</f>
        <v/>
      </c>
      <c r="AS31" s="1110" t="str">
        <f>IF('A-80 DirEntInv'!AS30&lt;&gt;"",'A-80 DirEntInv'!AS30,IF(AK31=summaryref2!B18,summaryref2!I18,IF(Summary!AK31=summaryref2!B32,summaryref2!I32,IF(AK31=summaryref2!B46,summaryref2!I46,IF(AK31=summaryref2!B60,summaryref2!I60,IF(AK31=summaryref2!B74,summaryref2!I74,IF(AK31=summaryref2!B88,summaryref2!I88,IF(AK31=summaryref2!B102,summaryref2!I102,IF(AK31=summaryref2!B116,summaryref2!I116,IF(AK31=summaryref2!B130,summaryref2!I130,IF(AK31=summaryref2!B144,summaryref2!I144,"")))))))))))</f>
        <v/>
      </c>
      <c r="AT31" s="1110" t="str">
        <f>IF('A-80 DirEntInv'!AT30&lt;&gt;"",'A-80 DirEntInv'!AT30,IF(AK31=summaryref2!B18,summaryref2!J18,IF(Summary!AK31=summaryref2!B32,summaryref2!J32,IF(AK31=summaryref2!B46,summaryref2!J46,IF(AK31=summaryref2!B60,summaryref2!J60,IF(AK31=summaryref2!B74,summaryref2!J74,IF(AK31=summaryref2!B88,summaryref2!J88,IF(AK31=summaryref2!B102,summaryref2!J102,IF(AK31=summaryref2!B116,summaryref2!J116,IF(AK31=summaryref2!B130,summaryref2!J130,IF(AK31=summaryref2!B144,summaryref2!J144,"")))))))))))</f>
        <v/>
      </c>
      <c r="AU31" s="1110" t="str">
        <f>IF('A-80 DirEntInv'!AU30&lt;&gt;"",'A-80 DirEntInv'!AU30,IF(AK31=summaryref2!B18,summaryref2!K18,IF(Summary!AK31=summaryref2!B32,summaryref2!K32,IF(AK31=summaryref2!B46,summaryref2!K46,IF(AK31=summaryref2!B60,summaryref2!K60,IF(AK31=summaryref2!B74,summaryref2!K74,IF(AK31=summaryref2!B88,summaryref2!K88,IF(AK31=summaryref2!B102,summaryref2!K102,IF(AK31=summaryref2!B116,summaryref2!K116,IF(AK31=summaryref2!B130,summaryref2!K130,IF(AK31=summaryref2!B144,summaryref2!K144,"")))))))))))</f>
        <v/>
      </c>
      <c r="AV31" s="1110" t="str">
        <f>IF('A-80 DirEntInv'!AV30&lt;&gt;"",'A-80 DirEntInv'!AV30,IF(AK31=summaryref2!B18,summaryref2!L18,IF(Summary!AK31=summaryref2!B32,summaryref2!L32,IF(AK31=summaryref2!B46,summaryref2!L46,IF(AK31=summaryref2!B60,summaryref2!L60,IF(AK31=summaryref2!B74,summaryref2!L74,IF(AK31=summaryref2!B88,summaryref2!L88,IF(AK31=summaryref2!B102,summaryref2!L102,IF(AK31=summaryref2!B116,summaryref2!L116,IF(AK31=summaryref2!B130,summaryref2!L130,IF(AK31=summaryref2!B144,summaryref2!L144,"")))))))))))</f>
        <v/>
      </c>
      <c r="AW31" s="1110" t="str">
        <f>IF('A-80 DirEntInv'!AW30&lt;&gt;"",'A-80 DirEntInv'!AW30,IF(AK31=summaryref2!B18,summaryref2!M18,IF(Summary!AK31=summaryref2!B32,summaryref2!M32,IF(AK31=summaryref2!B46,summaryref2!M46,IF(AK31=summaryref2!B60,summaryref2!M60,IF(AK31=summaryref2!B74,summaryref2!M74,IF(AK31=summaryref2!B88,summaryref2!M88,IF(AK31=summaryref2!B102,summaryref2!M102,IF(AK31=summaryref2!B116,summaryref2!M116,IF(AK31=summaryref2!B130,summaryref2!M130,IF(AK31=summaryref2!B144,summaryref2!M144,"")))))))))))</f>
        <v/>
      </c>
      <c r="AX31" s="1110" t="str">
        <f>IF('A-80 DirEntInv'!AX30&lt;&gt;"",'A-80 DirEntInv'!AX30,IF(AK31=summaryref2!B18,summaryref2!N18,IF(Summary!AK31=summaryref2!B32,summaryref2!N32,IF(AK31=summaryref2!B46,summaryref2!N46,IF(AK31=summaryref2!B60,summaryref2!N60,IF(AK31=summaryref2!B74,summaryref2!N74,IF(AK31=summaryref2!B88,summaryref2!N88,IF(AK31=summaryref2!B102,summaryref2!N102,IF(AK31=summaryref2!B116,summaryref2!N116,IF(AK31=summaryref2!B130,summaryref2!N130,IF(AK31=summaryref2!B144,summaryref2!N144,"")))))))))))</f>
        <v/>
      </c>
      <c r="AY31" s="1110" t="str">
        <f>IF('A-80 DirEntInv'!AY30&lt;&gt;"",'A-80 DirEntInv'!AY30,IF(AK31=summaryref2!B18,summaryref2!O18,IF(Summary!AK31=summaryref2!B32,summaryref2!O32,IF(AK31=summaryref2!B46,summaryref2!O46,IF(AK31=summaryref2!B60,summaryref2!O60,IF(AK31=summaryref2!B74,summaryref2!O74,IF(AK31=summaryref2!B88,summaryref2!O88,IF(AK31=summaryref2!B102,summaryref2!O102,IF(AK31=summaryref2!B116,summaryref2!O116,IF(AK31=summaryref2!B130,summaryref2!O130,IF(AK31=summaryref2!B144,summaryref2!O144,"")))))))))))</f>
        <v/>
      </c>
      <c r="AZ31" s="1110" t="str">
        <f>IF('A-80 DirEntInv'!AZ30&lt;&gt;"",'A-80 DirEntInv'!AZ30,IF(AK31=summaryref2!B18,summaryref2!P18,IF(Summary!AK31=summaryref2!B32,summaryref2!P32,IF(AK31=summaryref2!B46,summaryref2!P46,IF(AK31=summaryref2!B60,summaryref2!P60,IF(AK31=summaryref2!B74,summaryref2!P74,IF(AK31=summaryref2!B88,summaryref2!P88,IF(AK31=summaryref2!B102,summaryref2!P102,IF(AK31=summaryref2!B116,summaryref2!P116,IF(AK31=summaryref2!B130,summaryref2!P130,IF(AK31=summaryref2!B144,summaryref2!P144,"")))))))))))</f>
        <v/>
      </c>
      <c r="BA31" s="1110" t="str">
        <f>IF('A-80 DirEntInv'!BA30&lt;&gt;"",'A-80 DirEntInv'!BA30,IF(AK31=summaryref2!B18,summaryref2!Q18,IF(Summary!AK31=summaryref2!B32,summaryref2!Q32,IF(AK31=summaryref2!B46,summaryref2!Q46,IF(AK31=summaryref2!B60,summaryref2!Q60,IF(AK31=summaryref2!B74,summaryref2!Q74,IF(AK31=summaryref2!B88,summaryref2!Q88,IF(AK31=summaryref2!B102,summaryref2!Q102,IF(AK31=summaryref2!B116,summaryref2!Q116,IF(AK31=summaryref2!B130,summaryref2!Q130,IF(AK31=summaryref2!B144,summaryref2!Q144,"")))))))))))</f>
        <v/>
      </c>
      <c r="BB31" s="1110" t="str">
        <f>IF('A-80 DirEntInv'!BB30&lt;&gt;"",'A-80 DirEntInv'!BB30,IF(AK31=summaryref2!B18,summaryref2!R18,IF(Summary!AK31=summaryref2!B32,summaryref2!R32,IF(AK31=summaryref2!B46,summaryref2!R46,IF(AK31=summaryref2!B60,summaryref2!R60,IF(AK31=summaryref2!B74,summaryref2!R74,IF(AK31=summaryref2!B88,summaryref2!R88,IF(AK31=summaryref2!B102,summaryref2!R102,IF(AK31=summaryref2!B116,summaryref2!R116,IF(AK31=summaryref2!B130,summaryref2!R130,IF(AK31=summaryref2!B144,summaryref2!R144,"")))))))))))</f>
        <v/>
      </c>
      <c r="BC31" s="1110" t="str">
        <f>IF('A-80 DirEntInv'!BC30&lt;&gt;0,'A-80 DirEntInv'!BC30,IF(AK31=summaryref2!B18,summaryref2!S18,IF(Summary!AK31=summaryref2!B32,summaryref2!S32,IF(AK31=summaryref2!B46,summaryref2!S46,IF(AK31=summaryref2!B60,summaryref2!S60,IF(AK31=summaryref2!B74,summaryref2!S74,IF(AK31=summaryref2!B88,summaryref2!S88,IF(AK31=summaryref2!B102,summaryref2!S102,IF(AK31=summaryref2!B116,summaryref2!S116,IF(AK31=summaryref2!B130,summaryref2!S130,IF(AK31=summaryref2!B144,summaryref2!S144,"")))))))))))</f>
        <v/>
      </c>
      <c r="BD31" s="1111" t="str">
        <f>IF('A-80 DirEntInv'!BD30&lt;&gt;"",'A-80 DirEntInv'!BD30,IF(AK31=summaryref2!B18,summaryref2!T18,IF(Summary!AK31=summaryref2!B32,summaryref2!T32,IF(AK31=summaryref2!B46,summaryref2!T46,IF(AK31=summaryref2!B60,summaryref2!T60,IF(AK31=summaryref2!B74,summaryref2!T74,IF(AK31=summaryref2!B88,summaryref2!T88,IF(AK31=summaryref2!B102,summaryref2!T102,IF(AK31=summaryref2!B116,summaryref2!T116,IF(AK31=summaryref2!B130,summaryref2!T130,IF(AK31=summaryref2!B144,summaryref2!T144,"")))))))))))</f>
        <v/>
      </c>
      <c r="BE31" s="1184" t="str">
        <f>IF('A-80 DirEntInv'!BE30&lt;&gt;"",'A-80 DirEntInv'!BE30,IF(AK31=summaryref2!B18,summaryref2!U18,IF(Summary!AK31=summaryref2!B32,summaryref2!U32,IF(AK31=summaryref2!B46,summaryref2!U46,IF(AK31=summaryref2!B60,summaryref2!U60,IF(AK31=summaryref2!B74,summaryref2!U74,IF(AK31=summaryref2!B88,summaryref2!U88,IF(AK31=summaryref2!B102,summaryref2!U102,IF(AK31=summaryref2!B116,summaryref2!U116,IF(AK31=summaryref2!B130,summaryref2!U130,IF(AK31=summaryref2!B144,summaryref2!U144,"")))))))))))</f>
        <v/>
      </c>
      <c r="BF31" s="1432"/>
      <c r="BG31" s="1432"/>
      <c r="BJ31" s="1047" t="str">
        <f>Codes!$C$158</f>
        <v>AR - Alaska Railroad</v>
      </c>
      <c r="BK31" s="1050" t="str">
        <f>Valid!$B$86</f>
        <v>Grade Crossings</v>
      </c>
      <c r="BL31" s="1369" t="str">
        <f>IF('A-80 DirEntInv'!BL30&lt;&gt;"",'A-80 DirEntInv'!BL30,IF(BJ31=summaryref2!X18,summaryref2!Z18,IF(BJ31=summaryref2!X25,summaryref2!Z25,IF(BJ31=summaryref2!X32,summaryref2!Z32,IF(BJ31=summaryref2!X39,summaryref2!Z39,IF(BJ31=summaryref2!X46,summaryref2!Z46,IF(BJ31=summaryref2!X53,summaryref2!Z53,IF(BJ31=summaryref2!X60,summaryref2!Z60,IF(BJ31=summaryref2!X67,summaryref2!Z67,IF(BJ31=summaryref2!X74,summaryref2!Z74,IF(BJ31=summaryref2!X81,summaryref2!Z81,"")))))))))))</f>
        <v/>
      </c>
      <c r="BM31" s="1050" t="str">
        <f>VLOOKUP(BK31,Valid!$B$80:$C$86,2,FALSE)</f>
        <v>Each</v>
      </c>
      <c r="BN31" s="1210" t="str">
        <f>IF('A-80 DirEntInv'!BN30&lt;&gt;"",'A-80 DirEntInv'!BN30,IF(BJ31=summaryref2!X18,summaryref2!AB18,IF(BJ31=summaryref2!X25,summaryref2!AB25,IF(BJ31=summaryref2!X32,summaryref2!AB32,IF(BJ31=summaryref2!X39,summaryref2!AB39,IF(BJ31=summaryref2!X46,summaryref2!AB46,IF(BJ31=summaryref2!X53,summaryref2!AB53,IF(BJ31=summaryref2!X60,summaryref2!AB60,IF(BJ31=summaryref2!X67,summaryref2!AB67,IF(BJ31=summaryref2!X74,summaryref2!AB74,IF(BJ31=summaryref2!X81,summaryref2!AB81,"")))))))))))</f>
        <v/>
      </c>
      <c r="BO31" s="1117" t="str">
        <f>IF('A-80 DirEntInv'!BO30&lt;&gt;"",'A-80 DirEntInv'!BO30,IF(BJ31=summaryref2!X18,summaryref2!AC18,IF(BJ31=summaryref2!X25,summaryref2!AC25,IF(BJ31=summaryref2!X32,summaryref2!AC32,IF(BJ31=summaryref2!X39,summaryref2!AC39,IF(BJ31=summaryref2!X46,summaryref2!AC46,IF(BJ31=summaryref2!X53,summaryref2!AC53,IF(BJ31=summaryref2!X60,summaryref2!AC60,IF(BJ31=summaryref2!X67,summaryref2!AC67,IF(BJ31=summaryref2!X74,summaryref2!AC74,IF(BJ31=summaryref2!X81,summaryref2!AC81,"")))))))))))</f>
        <v/>
      </c>
      <c r="BP31" s="1321" t="str">
        <f>IF('A-80 DirEntInv'!BP30&lt;&gt;"",'A-80 DirEntInv'!BP30,IF(BJ31=summaryref2!X18,summaryref2!AD18,IF(BJ31=summaryref2!X25,summaryref2!AD25,IF(BJ31=summaryref2!X32,summaryref2!AD32,IF(BJ31=summaryref2!X39,summaryref2!AD39,IF(BJ31=summaryref2!X46,summaryref2!AD46,IF(BJ31=summaryref2!X53,summaryref2!AD53,IF(BJ31=summaryref2!X60,summaryref2!AD60,IF(BJ31=summaryref2!X67,summaryref2!AD67,IF(BJ31=summaryref2!X74,summaryref2!AD74,IF(BJ31=summaryref2!X81,summaryref2!AD81,"")))))))))))</f>
        <v/>
      </c>
      <c r="BS31" s="1472" t="str">
        <f ca="1">IF('A-80 DirEntInv'!BU30&lt;&gt;"",'A-80 DirEntInv'!BU30,IF(INDIRECT(ADDRESS(SumRef!DK37,SumRef!DK$16,,,SumRef!$E$6))="","",INDIRECT(ADDRESS(SumRef!DK37,SumRef!DK$16,,,SumRef!$E$6))))</f>
        <v/>
      </c>
      <c r="BT31" s="1458" t="str">
        <f ca="1">IF('A-80 DirEntInv'!BV30&lt;&gt;"",'A-80 DirEntInv'!BV30,IF(INDIRECT(ADDRESS(SumRef!DL37,SumRef!DL$16,,,SumRef!$E$6))="","",INDIRECT(ADDRESS(SumRef!DL37,SumRef!DL$16,,,SumRef!$E$6))))</f>
        <v/>
      </c>
      <c r="BU31" s="1177" t="str">
        <f ca="1">IF('A-80 DirEntInv'!BW30&lt;&gt;"",'A-80 DirEntInv'!BW30,IF(INDIRECT(ADDRESS(SumRef!DM37,SumRef!DM$16,,,SumRef!$E$6))="","",INDIRECT(ADDRESS(SumRef!DM37,SumRef!DM$16,,,SumRef!$E$6))))</f>
        <v/>
      </c>
      <c r="BV31" s="1460" t="str">
        <f ca="1">IF('A-80 DirEntInv'!BX30&lt;&gt;"",'A-80 DirEntInv'!BX30,IF(INDIRECT(ADDRESS(SumRef!DN37,SumRef!DN$16,,,SumRef!$E$6))="","",INDIRECT(ADDRESS(SumRef!DN37,SumRef!DN$16,,,SumRef!$E$6))))</f>
        <v/>
      </c>
      <c r="BW31" s="1460" t="str">
        <f ca="1">IF('A-80 DirEntInv'!BY30&lt;&gt;"",'A-80 DirEntInv'!BY30,IF(INDIRECT(ADDRESS(SumRef!DO37,SumRef!DO$16,,,SumRef!$E$6))="","",INDIRECT(ADDRESS(SumRef!DO37,SumRef!DO$16,,,SumRef!$E$6))))</f>
        <v/>
      </c>
      <c r="BX31" s="1116" t="str">
        <f ca="1">IF('A-80 DirEntInv'!BZ30&lt;&gt;"",'A-80 DirEntInv'!BZ30,IF(INDIRECT(ADDRESS(SumRef!DP37,SumRef!DP$16,,,SumRef!$E$6))="","",INDIRECT(ADDRESS(SumRef!DP37,SumRef!DP$16,,,SumRef!$E$6))))</f>
        <v/>
      </c>
      <c r="BY31" s="1461" t="str">
        <f ca="1">IF('A-80 DirEntInv'!CA30&lt;&gt;"",'A-80 DirEntInv'!CA30,IF(INDIRECT(ADDRESS(SumRef!DQ37,SumRef!DQ$16,,,SumRef!$E$6))="","",INDIRECT(ADDRESS(SumRef!DQ37,SumRef!DQ$16,,,SumRef!$E$6))))</f>
        <v/>
      </c>
      <c r="BZ31" s="1460" t="str">
        <f ca="1">IF('A-80 DirEntInv'!CB30&lt;&gt;"",'A-80 DirEntInv'!CB30,IF(INDIRECT(ADDRESS(SumRef!DR37,SumRef!DR$16,,,SumRef!$E$6))="","",INDIRECT(ADDRESS(SumRef!DR37,SumRef!DR$16,,,SumRef!$E$6))))</f>
        <v/>
      </c>
      <c r="CA31" s="1462" t="str">
        <f ca="1">IF('A-80 DirEntInv'!CC30&lt;&gt;"",'A-80 DirEntInv'!CC30,IF(INDIRECT(ADDRESS(SumRef!DS37,SumRef!DS$16,,,SumRef!$E$6))="","",INDIRECT(ADDRESS(SumRef!DS37,SumRef!DS$16,,,SumRef!$E$6))))</f>
        <v/>
      </c>
      <c r="CD31" s="1160" t="str">
        <f ca="1">IF('A-80 DirEntInv'!CF30&lt;&gt;"",'A-80 DirEntInv'!CF30,IF(INDIRECT(ADDRESS(SumRef!DV37,SumRef!DV$16,,,SumRef!$E$7))="","",INDIRECT(ADDRESS(SumRef!DV37,SumRef!DV$16,,,SumRef!$E$7))))</f>
        <v/>
      </c>
      <c r="CE31" s="1167" t="str">
        <f ca="1">IF('A-80 DirEntInv'!CG30&lt;&gt;"",'A-80 DirEntInv'!CG30,IF(INDIRECT(ADDRESS(SumRef!DW37,SumRef!DW$16,,,SumRef!$E$7))="","",INDIRECT(ADDRESS(SumRef!DW37,SumRef!DW$16,,,SumRef!$E$7))))</f>
        <v/>
      </c>
      <c r="CF31" s="1167" t="str">
        <f ca="1">IF('A-80 DirEntInv'!CH30&lt;&gt;"",'A-80 DirEntInv'!CH30,IF(INDIRECT(ADDRESS(SumRef!DX37,SumRef!DX$16,,,SumRef!$E$7))="","",INDIRECT(ADDRESS(SumRef!DX37,SumRef!DX$16,,,SumRef!$E$7))))</f>
        <v/>
      </c>
      <c r="CG31" s="1167" t="str">
        <f ca="1">IF('A-80 DirEntInv'!CI30&lt;&gt;"",'A-80 DirEntInv'!CI30,IF(INDIRECT(ADDRESS(SumRef!DY37,SumRef!DY$16,,,SumRef!$E$7))="","",INDIRECT(ADDRESS(SumRef!DY37,SumRef!DY$16,,,SumRef!$E$7))))</f>
        <v/>
      </c>
      <c r="CH31" s="1167" t="str">
        <f ca="1">IF('A-80 DirEntInv'!CJ30&lt;&gt;"",'A-80 DirEntInv'!CJ30,IF(INDIRECT(ADDRESS(SumRef!DZ37,SumRef!DZ$16,,,SumRef!$E$7))="","",INDIRECT(ADDRESS(SumRef!DZ37,SumRef!DZ$16,,,SumRef!$E$7))))</f>
        <v/>
      </c>
      <c r="CI31" s="1167" t="str">
        <f ca="1">IF('A-80 DirEntInv'!CK30&lt;&gt;"",'A-80 DirEntInv'!CK30,IF(INDIRECT(ADDRESS(SumRef!EA37,SumRef!EA$16,,,SumRef!$E$7))="","",INDIRECT(ADDRESS(SumRef!EA37,SumRef!EA$16,,,SumRef!$E$7))))</f>
        <v/>
      </c>
      <c r="CJ31" s="1114" t="str">
        <f ca="1">IF('A-80 DirEntInv'!CL30&lt;&gt;"",'A-80 DirEntInv'!CL30,IF(INDIRECT(ADDRESS(SumRef!EB37,SumRef!EB$16,,,SumRef!$E$7))="","",INDIRECT(ADDRESS(SumRef!EB37,SumRef!EB$16,,,SumRef!$E$7))))</f>
        <v/>
      </c>
      <c r="CK31" s="1114" t="str">
        <f ca="1">IF('A-80 DirEntInv'!CM30&lt;&gt;"",'A-80 DirEntInv'!CM30,IF(INDIRECT(ADDRESS(SumRef!EC37,SumRef!EC$16,,,SumRef!$E$7))="","",INDIRECT(ADDRESS(SumRef!EC37,SumRef!EC$16,,,SumRef!$E$7))))</f>
        <v/>
      </c>
      <c r="CL31" s="1113" t="str">
        <f ca="1">IF('A-80 DirEntInv'!CO30&lt;&gt;"",'A-80 DirEntInv'!CO30,IF(INDIRECT(ADDRESS(SumRef!ED37,SumRef!ED$16,,,SumRef!$E$7))="","",INDIRECT(ADDRESS(SumRef!ED37,SumRef!ED$16,,,SumRef!$E$7))))</f>
        <v/>
      </c>
      <c r="CM31" s="1114" t="str">
        <f ca="1">IF('A-80 DirEntInv'!CP30&lt;&gt;"",'A-80 DirEntInv'!CP30,IF(INDIRECT(ADDRESS(SumRef!EE37,SumRef!EE$16,,,SumRef!$E$7))="","",INDIRECT(ADDRESS(SumRef!EE37,SumRef!EE$16,,,SumRef!$E$7))))</f>
        <v/>
      </c>
      <c r="CN31" s="1114" t="str">
        <f ca="1">IF('A-80 DirEntInv'!CQ30&lt;&gt;"",'A-80 DirEntInv'!CQ30,IF(INDIRECT(ADDRESS(SumRef!EF37,SumRef!EF$16,,,SumRef!$E$7))="","",INDIRECT(ADDRESS(SumRef!EF37,SumRef!EF$16,,,SumRef!$E$7))))</f>
        <v/>
      </c>
      <c r="CO31" s="1113" t="str">
        <f ca="1">IF('A-80 DirEntInv'!CR30&lt;&gt;"",'A-80 DirEntInv'!CR30,IF(INDIRECT(ADDRESS(SumRef!EG37,SumRef!EG$16,,,SumRef!$E$7))="","",INDIRECT(ADDRESS(SumRef!EG37,SumRef!EG$16,,,SumRef!$E$7))))</f>
        <v/>
      </c>
      <c r="CP31" s="1114" t="str">
        <f ca="1">IF('A-80 DirEntInv'!CS30&lt;&gt;"",'A-80 DirEntInv'!CS30,IF(INDIRECT(ADDRESS(SumRef!EH37,SumRef!EH$16,,,SumRef!$E$7))="","",INDIRECT(ADDRESS(SumRef!EH37,SumRef!EH$16,,,SumRef!$E$7))))</f>
        <v/>
      </c>
      <c r="CQ31" s="1346" t="str">
        <f ca="1">IF('A-80 DirEntInv'!CT30&lt;&gt;"",'A-80 DirEntInv'!CT30,IF(INDIRECT(ADDRESS(SumRef!EI37,SumRef!EI$16,,,SumRef!$E$7))="","",INDIRECT(ADDRESS(SumRef!EI37,SumRef!EI$16,,,SumRef!$E$7))))</f>
        <v/>
      </c>
      <c r="CR31" s="1113" t="str">
        <f ca="1">IF('A-80 DirEntInv'!CU30&lt;&gt;"",'A-80 DirEntInv'!CU30,IF(INDIRECT(ADDRESS(SumRef!EJ37,SumRef!EJ$16,,,SumRef!$E$7))="","",INDIRECT(ADDRESS(SumRef!EJ37,SumRef!EJ$16,,,SumRef!$E$7))))</f>
        <v/>
      </c>
      <c r="CS31" s="1346" t="str">
        <f ca="1">IF('A-80 DirEntInv'!CV30&lt;&gt;"",'A-80 DirEntInv'!CV30,IF(INDIRECT(ADDRESS(SumRef!EM37,SumRef!EM$16,,,SumRef!$E$7))="","",INDIRECT(ADDRESS(SumRef!EM37,SumRef!EM$16,,,SumRef!$E$7))))</f>
        <v/>
      </c>
      <c r="CT31" s="1113" t="str">
        <f ca="1">IF('A-80 DirEntInv'!CW30&lt;&gt;"",'A-80 DirEntInv'!CW30,IF(INDIRECT(ADDRESS(SumRef!EN37,SumRef!EN$16,,,SumRef!$E$7))="","",INDIRECT(ADDRESS(SumRef!EN37,SumRef!EN$16,,,SumRef!$E$7))))</f>
        <v/>
      </c>
      <c r="CU31" s="1113" t="str">
        <f ca="1">IF('A-80 DirEntInv'!CX30&lt;&gt;"",'A-80 DirEntInv'!CX30,IF(INDIRECT(ADDRESS(SumRef!EO37,SumRef!EO$16,,,SumRef!$E$7))="","",INDIRECT(ADDRESS(SumRef!EO37,SumRef!EO$16,,,SumRef!$E$7))))</f>
        <v/>
      </c>
      <c r="CV31" s="1113" t="str">
        <f ca="1">IF('A-80 DirEntInv'!CY30&lt;&gt;"",'A-80 DirEntInv'!CY30,IF(INDIRECT(ADDRESS(SumRef!EP37,SumRef!EP$16,,,SumRef!$E$7))="","",INDIRECT(ADDRESS(SumRef!EP37,SumRef!EP$16,,,SumRef!$E$7))))</f>
        <v/>
      </c>
      <c r="CW31" s="1114" t="str">
        <f ca="1">IF('A-80 DirEntInv'!CZ30&lt;&gt;"",'A-80 DirEntInv'!CZ30,IF(INDIRECT(ADDRESS(SumRef!ES37,SumRef!ES$16,,,SumRef!$E$7))="","",INDIRECT(ADDRESS(SumRef!ES37,SumRef!ES$16,,,SumRef!$E$7))))</f>
        <v/>
      </c>
      <c r="CX31" s="1167" t="str">
        <f ca="1">IF('A-80 DirEntInv'!DA30&lt;&gt;"",'A-80 DirEntInv'!DA30,IF(INDIRECT(ADDRESS(SumRef!ET37,SumRef!ET$16,,,SumRef!$E$7))="","",INDIRECT(ADDRESS(SumRef!ET37,SumRef!ET$16,,,SumRef!$E$7))))</f>
        <v/>
      </c>
      <c r="CY31" s="1167" t="str">
        <f ca="1">IF('A-80 DirEntInv'!DB30&lt;&gt;"",'A-80 DirEntInv'!DB30,IF(INDIRECT(ADDRESS(SumRef!EU37,SumRef!EU$16,,,SumRef!$E$7))="","",INDIRECT(ADDRESS(SumRef!EU37,SumRef!EU$16,,,SumRef!$E$7))))</f>
        <v/>
      </c>
      <c r="CZ31" s="1167" t="b">
        <f ca="1">IF('A-80 DirEntInv'!DC30&lt;&gt;"",'A-80 DirEntInv'!DC30,IF(INDIRECT(ADDRESS(SumRef!EV37,SumRef!EV$16,,,SumRef!$E$7))="","",INDIRECT(ADDRESS(SumRef!EV37,SumRef!EV$16,,,SumRef!$E$7))))</f>
        <v>0</v>
      </c>
      <c r="DA31" s="1373" t="str">
        <f ca="1">IF('A-80 DirEntInv'!DD30&lt;&gt;"",'A-80 DirEntInv'!DD30,IF(INDIRECT(ADDRESS(SumRef!EW37,SumRef!EW$16,,,SumRef!$E$7))="","",INDIRECT(ADDRESS(SumRef!EW37,SumRef!EW$16,,,SumRef!$E$7))))</f>
        <v/>
      </c>
      <c r="DB31" s="1373" t="b">
        <f ca="1">IF('A-80 DirEntInv'!DE30&lt;&gt;"",'A-80 DirEntInv'!DE30,IF(INDIRECT(ADDRESS(SumRef!EX37,SumRef!EX$16,,,SumRef!$E$7))="","",INDIRECT(ADDRESS(SumRef!EX37,SumRef!EX$16,,,SumRef!$E$7))))</f>
        <v>0</v>
      </c>
      <c r="DC31" s="1114" t="b">
        <f ca="1">IF('A-80 DirEntInv'!DF30&lt;&gt;"",'A-80 DirEntInv'!DF30,IF(INDIRECT(ADDRESS(SumRef!EY37,SumRef!EY$16,,,SumRef!$E$7))="","",INDIRECT(ADDRESS(SumRef!EY37,SumRef!EY$16,,,SumRef!$E$7))))</f>
        <v>0</v>
      </c>
      <c r="DD31" s="1115" t="str">
        <f ca="1">IF('A-80 DirEntInv'!DG30&lt;&gt;"",'A-80 DirEntInv'!DG30,IF(INDIRECT(ADDRESS(SumRef!EZ37,SumRef!EZ$16,,,SumRef!$E$7))="","",INDIRECT(ADDRESS(SumRef!EZ37,SumRef!EZ$16,,,SumRef!$E$7))))</f>
        <v/>
      </c>
    </row>
    <row r="32" spans="1:108" s="588" customFormat="1" x14ac:dyDescent="0.2">
      <c r="A32" s="589">
        <f t="shared" si="0"/>
        <v>22</v>
      </c>
      <c r="B32" s="1155" t="str">
        <f ca="1">IF('A-80 DirEntInv'!B31&lt;&gt;"",'A-80 DirEntInv'!B31,IF(INDIRECT(ADDRESS(SumRef!AQ38,SumRef!AQ$16,,,SumRef!$B$7))="","",INDIRECT(ADDRESS(SumRef!AQ38,SumRef!AQ$16,,,SumRef!$B$7))))</f>
        <v/>
      </c>
      <c r="C32" s="1097" t="str">
        <f ca="1">IF('A-80 DirEntInv'!C31&lt;&gt;"",'A-80 DirEntInv'!C31,IF(INDIRECT(ADDRESS(SumRef!AR38,SumRef!AR$16,,,SumRef!$B$7))="","",INDIRECT(ADDRESS(SumRef!AR38,SumRef!AR$16,,,SumRef!$B$7))))</f>
        <v/>
      </c>
      <c r="D32" s="1097" t="str">
        <f ca="1">IF('A-80 DirEntInv'!D31&lt;&gt;"",'A-80 DirEntInv'!D31,IF(INDIRECT(ADDRESS(SumRef!AS38,SumRef!AS$16,,,SumRef!$B$7))="","",INDIRECT(ADDRESS(SumRef!AS38,SumRef!AS$16,,,SumRef!$B$7))))</f>
        <v/>
      </c>
      <c r="E32" s="1097" t="str">
        <f ca="1">IF('A-80 DirEntInv'!E31&lt;&gt;"",'A-80 DirEntInv'!E31,IF(INDIRECT(ADDRESS(SumRef!AT38,SumRef!AT$16,,,SumRef!$B$7))="","",INDIRECT(ADDRESS(SumRef!AT38,SumRef!AT$16,,,SumRef!$B$7))))</f>
        <v/>
      </c>
      <c r="F32" s="1097" t="str">
        <f ca="1">IF('A-80 DirEntInv'!F31&lt;&gt;"",'A-80 DirEntInv'!F31,IF(INDIRECT(ADDRESS(SumRef!AU38,SumRef!AU$16,,,SumRef!$B$7))="","",INDIRECT(ADDRESS(SumRef!AU38,SumRef!AU$16,,,SumRef!$B$7))))</f>
        <v/>
      </c>
      <c r="G32" s="1158" t="str">
        <f ca="1">IF('A-80 DirEntInv'!G31&lt;&gt;"",'A-80 DirEntInv'!G31,IF(INDIRECT(ADDRESS(SumRef!AV38,SumRef!AV$16,,,SumRef!$B$7))="","",INDIRECT(ADDRESS(SumRef!AV38,SumRef!AV$16,,,SumRef!$B$7))))</f>
        <v/>
      </c>
      <c r="H32" s="1097" t="str">
        <f ca="1">IF('A-80 DirEntInv'!H31&lt;&gt;"",'A-80 DirEntInv'!H31,IF(INDIRECT(ADDRESS(SumRef!AW38,SumRef!AW$16,,,SumRef!$B$7))="","",INDIRECT(ADDRESS(SumRef!AW38,SumRef!AW$16,,,SumRef!$B$7))))</f>
        <v/>
      </c>
      <c r="I32" s="1097" t="str">
        <f ca="1">IF('A-80 DirEntInv'!I31&lt;&gt;"",'A-80 DirEntInv'!I31,IF(INDIRECT(ADDRESS(SumRef!AX38,SumRef!AX$16,,,SumRef!$B$7))="","",INDIRECT(ADDRESS(SumRef!AX38,SumRef!AX$16,,,SumRef!$B$7))))</f>
        <v/>
      </c>
      <c r="J32" s="1098" t="str">
        <f ca="1">IF('A-80 DirEntInv'!J31&lt;&gt;"",'A-80 DirEntInv'!J31,IF(INDIRECT(ADDRESS(SumRef!AY38,SumRef!AY$16,,,SumRef!$B$7))="","",INDIRECT(ADDRESS(SumRef!AY38,SumRef!AY$16,,,SumRef!$B$7))))</f>
        <v/>
      </c>
      <c r="K32" s="1099" t="str">
        <f ca="1">IF('A-80 DirEntInv'!K31&lt;&gt;"",'A-80 DirEntInv'!K31,IF(INDIRECT(ADDRESS(SumRef!AZ38,SumRef!AZ$16,,,SumRef!$B$7))="","",INDIRECT(ADDRESS(SumRef!AZ38,SumRef!AZ$16,,,SumRef!$B$7))))</f>
        <v/>
      </c>
      <c r="L32" s="1100" t="str">
        <f ca="1">IF('A-80 DirEntInv'!L31&lt;&gt;"",'A-80 DirEntInv'!L31,IF(INDIRECT(ADDRESS(SumRef!BA38,SumRef!BA$16,,,SumRef!$B$7))="","",INDIRECT(ADDRESS(SumRef!BA38,SumRef!BA$16,,,SumRef!$B$7))))</f>
        <v/>
      </c>
      <c r="M32" s="1101" t="str">
        <f ca="1">IF('A-80 DirEntInv'!M31&lt;&gt;"",'A-80 DirEntInv'!M31,IF(INDIRECT(ADDRESS(SumRef!BB38,SumRef!BB$16,,,SumRef!$B$7))="","",INDIRECT(ADDRESS(SumRef!BB38,SumRef!BB$16,,,SumRef!$B$7))))</f>
        <v/>
      </c>
      <c r="N32" s="1098" t="str">
        <f ca="1">IF('A-80 DirEntInv'!N31&lt;&gt;"",'A-80 DirEntInv'!N31,IF(INDIRECT(ADDRESS(SumRef!BC38,SumRef!BC$16,,,SumRef!$B$7))="","",INDIRECT(ADDRESS(SumRef!BC38,SumRef!BC$16,,,SumRef!$B$7))))</f>
        <v/>
      </c>
      <c r="O32" s="1102" t="str">
        <f ca="1">IF('A-80 DirEntInv'!O31&lt;&gt;"",'A-80 DirEntInv'!O31,IF(INDIRECT(ADDRESS(SumRef!BD38,SumRef!BD$16,,,SumRef!$B$7))="","",INDIRECT(ADDRESS(SumRef!BD38,SumRef!BD$16,,,SumRef!$B$7))))</f>
        <v/>
      </c>
      <c r="Q32" s="589"/>
      <c r="R32" s="1103" t="str">
        <f ca="1">IF('A-80 DirEntInv'!R31&lt;&gt;"",'A-80 DirEntInv'!R31,IF(INDIRECT(ADDRESS(SumRef!BH38,SumRef!BH$16,,,SumRef!$B$8))="","",INDIRECT(ADDRESS(SumRef!BH38,SumRef!BH$16,,,SumRef!$B$8))))</f>
        <v/>
      </c>
      <c r="S32" s="1104" t="str">
        <f ca="1">IF('A-80 DirEntInv'!S31&lt;&gt;"",'A-80 DirEntInv'!S31,IF(INDIRECT(ADDRESS(SumRef!BI38,SumRef!BI$16,,,SumRef!$B$8))="","",INDIRECT(ADDRESS(SumRef!BI38,SumRef!BI$16,,,SumRef!$B$8))))</f>
        <v/>
      </c>
      <c r="T32" s="1104" t="str">
        <f ca="1">IF('A-80 DirEntInv'!T31&lt;&gt;"",'A-80 DirEntInv'!T31,IF(INDIRECT(ADDRESS(SumRef!BJ38,SumRef!BJ$16,,,SumRef!$B$8))="","",INDIRECT(ADDRESS(SumRef!BJ38,SumRef!BJ$16,,,SumRef!$B$8))))</f>
        <v/>
      </c>
      <c r="U32" s="1104" t="str">
        <f ca="1">IF('A-80 DirEntInv'!U31&lt;&gt;"",'A-80 DirEntInv'!U31,IF(INDIRECT(ADDRESS(SumRef!BK38,SumRef!BK$16,,,SumRef!$B$8))="","",INDIRECT(ADDRESS(SumRef!BK38,SumRef!BK$16,,,SumRef!$B$8))))</f>
        <v/>
      </c>
      <c r="V32" s="1104" t="str">
        <f ca="1">IF('A-80 DirEntInv'!V31&lt;&gt;"",'A-80 DirEntInv'!V31,IF(INDIRECT(ADDRESS(SumRef!BL38,SumRef!BL$16,,,SumRef!$B$8))="","",INDIRECT(ADDRESS(SumRef!BL38,SumRef!BL$16,,,SumRef!$B$8))))</f>
        <v/>
      </c>
      <c r="W32" s="1354" t="str">
        <f ca="1">IF('A-80 DirEntInv'!W31&lt;&gt;"",'A-80 DirEntInv'!W31,IF(INDIRECT(ADDRESS(SumRef!BM38,SumRef!BM$16,,,SumRef!$B$8))="","",INDIRECT(ADDRESS(SumRef!BM38,SumRef!BM$16,,,SumRef!$B$8))))</f>
        <v/>
      </c>
      <c r="X32" s="1203" t="str">
        <f ca="1">IF('A-80 DirEntInv'!X31&lt;&gt;"",'A-80 DirEntInv'!X31,IF(INDIRECT(ADDRESS(SumRef!BN38,SumRef!BN$16,,,SumRef!$B$8))="","",INDIRECT(ADDRESS(SumRef!BN38,SumRef!BN$16,,,SumRef!$B$8))))</f>
        <v/>
      </c>
      <c r="Y32" s="1203" t="str">
        <f ca="1">IF('A-80 DirEntInv'!Y31&lt;&gt;"",'A-80 DirEntInv'!Y31,IF(INDIRECT(ADDRESS(SumRef!BO38,SumRef!BO$16,,,SumRef!$B$8))="","",INDIRECT(ADDRESS(SumRef!BO38,SumRef!BO$16,,,SumRef!$B$8))))</f>
        <v/>
      </c>
      <c r="Z32" s="1104" t="str">
        <f ca="1">IF('A-80 DirEntInv'!Z31&lt;&gt;"",'A-80 DirEntInv'!Z31,IF(INDIRECT(ADDRESS(SumRef!BP38,SumRef!BP$16,,,SumRef!$B$8))="","",INDIRECT(ADDRESS(SumRef!BP38,SumRef!BP$16,,,SumRef!$B$8))))</f>
        <v/>
      </c>
      <c r="AA32" s="1104" t="str">
        <f ca="1">IF('A-80 DirEntInv'!AA31&lt;&gt;"",'A-80 DirEntInv'!AA31,IF(INDIRECT(ADDRESS(SumRef!BQ38,SumRef!BQ$16,,,SumRef!$B$8))="","",INDIRECT(ADDRESS(SumRef!BQ38,SumRef!BQ$16,,,SumRef!$B$8))))</f>
        <v/>
      </c>
      <c r="AB32" s="1106" t="str">
        <f ca="1">IF('A-80 DirEntInv'!AB31&lt;&gt;"",'A-80 DirEntInv'!AB31,IF(INDIRECT(ADDRESS(SumRef!BR38,SumRef!BR$16,,,SumRef!$B$8))="","",INDIRECT(ADDRESS(SumRef!BR38,SumRef!BR$16,,,SumRef!$B$8))))</f>
        <v/>
      </c>
      <c r="AC32" s="1107" t="str">
        <f ca="1">IF('A-80 DirEntInv'!AC31&lt;&gt;"",'A-80 DirEntInv'!AC31,IF(INDIRECT(ADDRESS(SumRef!BS38,SumRef!BS$16,,,SumRef!$B$8))="","",INDIRECT(ADDRESS(SumRef!BS38,SumRef!BS$16,,,SumRef!$B$8))))</f>
        <v/>
      </c>
      <c r="AD32" s="1349" t="str">
        <f ca="1">IF('A-80 DirEntInv'!AD31&lt;&gt;"",'A-80 DirEntInv'!AD31,IF(INDIRECT(ADDRESS(SumRef!BT38,SumRef!BT$16,,,SumRef!$B$8))="","",INDIRECT(ADDRESS(SumRef!BT38,SumRef!BT$16,,,SumRef!$B$8))))</f>
        <v/>
      </c>
      <c r="AE32" s="1137" t="str">
        <f ca="1">IF('A-80 DirEntInv'!AE31&lt;&gt;"",'A-80 DirEntInv'!AE31,IF(INDIRECT(ADDRESS(SumRef!BU38,SumRef!BU$16,,,SumRef!$B$8))="","",INDIRECT(ADDRESS(SumRef!BU38,SumRef!BU$16,,,SumRef!$B$8))))</f>
        <v/>
      </c>
      <c r="AF32" s="1346" t="str">
        <f ca="1">IF('A-80 DirEntInv'!AF31&lt;&gt;"",'A-80 DirEntInv'!AF31,IF(INDIRECT(ADDRESS(SumRef!BV38,SumRef!BV$16,,,SumRef!$B$8))="","",INDIRECT(ADDRESS(SumRef!BV38,SumRef!BV$16,,,SumRef!$B$8))))</f>
        <v/>
      </c>
      <c r="AG32" s="1105" t="str">
        <f ca="1">IF('A-80 DirEntInv'!AG31&lt;&gt;"",'A-80 DirEntInv'!AG31,IF(INDIRECT(ADDRESS(SumRef!BW38,SumRef!BW$16,,,SumRef!$B$8))="","",INDIRECT(ADDRESS(SumRef!BW38,SumRef!BW$16,,,SumRef!$B$8))))</f>
        <v/>
      </c>
      <c r="AH32" s="1357" t="str">
        <f ca="1">IF('A-80 DirEntInv'!AH31&lt;&gt;"",'A-80 DirEntInv'!AH31,IF(INDIRECT(ADDRESS(SumRef!BX38,SumRef!BX$16,,,SumRef!$B$8))="","",INDIRECT(ADDRESS(SumRef!BX38,SumRef!BX$16,,,SumRef!$B$8))))</f>
        <v/>
      </c>
      <c r="AK32" s="1041" t="str">
        <f>Codes!$C$157</f>
        <v>AG - Automated Guideway (PT)</v>
      </c>
      <c r="AL32" s="1042" t="str">
        <f>Valid!$B$78</f>
        <v>Below-Grade/Bored or Blasted Tunnel</v>
      </c>
      <c r="AM32" s="1108" t="str">
        <f>IF('A-80 DirEntInv'!AM31&lt;&gt;"",'A-80 DirEntInv'!AM31,IF(AK32=summaryref2!B19,summaryref2!D19,IF(Summary!AK32=summaryref2!B33,summaryref2!D33,IF(AK32=summaryref2!B47,summaryref2!D47,IF(AK32=summaryref2!B61,summaryref2!D61,IF(AK32=summaryref2!B75,summaryref2!D75,IF(AK32=summaryref2!B89,summaryref2!D89,IF(AK32=summaryref2!B103,summaryref2!D103,IF(AK32=summaryref2!B117,summaryref2!D117,IF(AK32=summaryref2!B131,summaryref2!D131,IF(AK32=summaryref2!B145,summaryref2!D145,"")))))))))))</f>
        <v/>
      </c>
      <c r="AN32" s="1109" t="str">
        <f ca="1">IF('A-80 DirEntInv'!AN31&lt;&gt;"",'A-80 DirEntInv'!AN31,IF(INDIRECT(ADDRESS(SumRef!#REF!,SumRef!CG$16,,,SumRef!$C$7))="","",INDIRECT(ADDRESS(SumRef!#REF!,SumRef!CG$16,,,SumRef!$C$7))))</f>
        <v>Linear Feet</v>
      </c>
      <c r="AO32" s="1108" t="str">
        <f>IF('A-80 DirEntInv'!AO31&lt;&gt;"",'A-80 DirEntInv'!AO31,IF(AK32=summaryref2!B19,summaryref2!F19,IF(Summary!AK32=summaryref2!B33,summaryref2!F33,IF(AK32=summaryref2!B47,summaryref2!F47,IF(AK32=summaryref2!B61,summaryref2!F61,IF(AK32=summaryref2!B75,summaryref2!F75,IF(AK32=summaryref2!B89,summaryref2!F89,IF(AK32=summaryref2!B103,summaryref2!F103,IF(AK32=summaryref2!B117,summaryref2!F117,IF(AK32=summaryref2!B131,summaryref2!F131,IF(AK32=summaryref2!B145,summaryref2!F145,"")))))))))))</f>
        <v/>
      </c>
      <c r="AP32" s="1109" t="str">
        <f ca="1">IF('A-80 DirEntInv'!AP31&lt;&gt;"",'A-80 DirEntInv'!AP31,IF(INDIRECT(ADDRESS(SumRef!#REF!,SumRef!#REF!,,,SumRef!$C$7))="","",INDIRECT(ADDRESS(SumRef!#REF!,SumRef!#REF!,,,SumRef!$C$7))))</f>
        <v>Track Feet</v>
      </c>
      <c r="AQ32" s="1147" t="str">
        <f>IF('A-80 DirEntInv'!AQ31&lt;&gt;"",'A-80 DirEntInv'!AQ31,IF(AK32=summaryref2!B19,summaryref2!G19,IF(Summary!AK32=summaryref2!B33,summaryref2!G33,IF(AK32=summaryref2!B47,summaryref2!G47,IF(AK32=summaryref2!B61,summaryref2!G61,IF(AK32=summaryref2!B75,summaryref2!G75,IF(AK32=summaryref2!B89,summaryref2!G89,IF(AK32=summaryref2!B103,summaryref2!G103,IF(AK32=summaryref2!B117,summaryref2!G117,IF(AK32=summaryref2!B131,summaryref2!G131,IF(AK32=summaryref2!B145,summaryref2!G145,"")))))))))))</f>
        <v/>
      </c>
      <c r="AR32" s="1147" t="str">
        <f>IF('A-80 DirEntInv'!AR31&lt;&gt;"",'A-80 DirEntInv'!AR31,IF(AK32=summaryref2!B19,summaryref2!H19,IF(Summary!AK32=summaryref2!B33,summaryref2!H33,IF(AK32=summaryref2!B47,summaryref2!H47,IF(AK32=summaryref2!B61,summaryref2!H61,IF(AK32=summaryref2!B75,summaryref2!H75,IF(AK32=summaryref2!B89,summaryref2!H89,IF(AK32=summaryref2!B103,summaryref2!H103,IF(AK32=summaryref2!B117,summaryref2!H117,IF(AK32=summaryref2!B131,summaryref2!H131,IF(AK32=summaryref2!B145,summaryref2!H145,"")))))))))))</f>
        <v/>
      </c>
      <c r="AS32" s="1110" t="str">
        <f>IF('A-80 DirEntInv'!AS31&lt;&gt;"",'A-80 DirEntInv'!AS31,IF(AK32=summaryref2!B19,summaryref2!I19,IF(Summary!AK32=summaryref2!B33,summaryref2!I33,IF(AK32=summaryref2!B47,summaryref2!I47,IF(AK32=summaryref2!B61,summaryref2!I61,IF(AK32=summaryref2!B75,summaryref2!I75,IF(AK32=summaryref2!B89,summaryref2!I89,IF(AK32=summaryref2!B103,summaryref2!I103,IF(AK32=summaryref2!B117,summaryref2!I117,IF(AK32=summaryref2!B131,summaryref2!I131,IF(AK32=summaryref2!B145,summaryref2!I145,"")))))))))))</f>
        <v/>
      </c>
      <c r="AT32" s="1110" t="str">
        <f>IF('A-80 DirEntInv'!AT31&lt;&gt;"",'A-80 DirEntInv'!AT31,IF(AK32=summaryref2!B19,summaryref2!J19,IF(Summary!AK32=summaryref2!B33,summaryref2!J33,IF(AK32=summaryref2!B47,summaryref2!J47,IF(AK32=summaryref2!B61,summaryref2!J61,IF(AK32=summaryref2!B75,summaryref2!J75,IF(AK32=summaryref2!B89,summaryref2!J89,IF(AK32=summaryref2!B103,summaryref2!J103,IF(AK32=summaryref2!B117,summaryref2!J117,IF(AK32=summaryref2!B131,summaryref2!J131,IF(AK32=summaryref2!B145,summaryref2!J145,"")))))))))))</f>
        <v/>
      </c>
      <c r="AU32" s="1110" t="str">
        <f>IF('A-80 DirEntInv'!AU31&lt;&gt;"",'A-80 DirEntInv'!AU31,IF(AK32=summaryref2!B19,summaryref2!K19,IF(Summary!AK32=summaryref2!B33,summaryref2!K33,IF(AK32=summaryref2!B47,summaryref2!K47,IF(AK32=summaryref2!B61,summaryref2!K61,IF(AK32=summaryref2!B75,summaryref2!K75,IF(AK32=summaryref2!B89,summaryref2!K89,IF(AK32=summaryref2!B103,summaryref2!K103,IF(AK32=summaryref2!B117,summaryref2!K117,IF(AK32=summaryref2!B131,summaryref2!K131,IF(AK32=summaryref2!B145,summaryref2!K145,"")))))))))))</f>
        <v/>
      </c>
      <c r="AV32" s="1110" t="str">
        <f>IF('A-80 DirEntInv'!AV31&lt;&gt;"",'A-80 DirEntInv'!AV31,IF(AK32=summaryref2!B19,summaryref2!L19,IF(Summary!AK32=summaryref2!B33,summaryref2!L33,IF(AK32=summaryref2!B47,summaryref2!L47,IF(AK32=summaryref2!B61,summaryref2!L61,IF(AK32=summaryref2!B75,summaryref2!L75,IF(AK32=summaryref2!B89,summaryref2!L89,IF(AK32=summaryref2!B103,summaryref2!L103,IF(AK32=summaryref2!B117,summaryref2!L117,IF(AK32=summaryref2!B131,summaryref2!L131,IF(AK32=summaryref2!B145,summaryref2!L145,"")))))))))))</f>
        <v/>
      </c>
      <c r="AW32" s="1110" t="str">
        <f>IF('A-80 DirEntInv'!AW31&lt;&gt;"",'A-80 DirEntInv'!AW31,IF(AK32=summaryref2!B19,summaryref2!M19,IF(Summary!AK32=summaryref2!B33,summaryref2!M33,IF(AK32=summaryref2!B47,summaryref2!M47,IF(AK32=summaryref2!B61,summaryref2!M61,IF(AK32=summaryref2!B75,summaryref2!M75,IF(AK32=summaryref2!B89,summaryref2!M89,IF(AK32=summaryref2!B103,summaryref2!M103,IF(AK32=summaryref2!B117,summaryref2!M117,IF(AK32=summaryref2!B131,summaryref2!M131,IF(AK32=summaryref2!B145,summaryref2!M145,"")))))))))))</f>
        <v/>
      </c>
      <c r="AX32" s="1110" t="str">
        <f>IF('A-80 DirEntInv'!AX31&lt;&gt;"",'A-80 DirEntInv'!AX31,IF(AK32=summaryref2!B19,summaryref2!N19,IF(Summary!AK32=summaryref2!B33,summaryref2!N33,IF(AK32=summaryref2!B47,summaryref2!N47,IF(AK32=summaryref2!B61,summaryref2!N61,IF(AK32=summaryref2!B75,summaryref2!N75,IF(AK32=summaryref2!B89,summaryref2!N89,IF(AK32=summaryref2!B103,summaryref2!N103,IF(AK32=summaryref2!B117,summaryref2!N117,IF(AK32=summaryref2!B131,summaryref2!N131,IF(AK32=summaryref2!B145,summaryref2!N145,"")))))))))))</f>
        <v/>
      </c>
      <c r="AY32" s="1110" t="str">
        <f>IF('A-80 DirEntInv'!AY31&lt;&gt;"",'A-80 DirEntInv'!AY31,IF(AK32=summaryref2!B19,summaryref2!O19,IF(Summary!AK32=summaryref2!B33,summaryref2!O33,IF(AK32=summaryref2!B47,summaryref2!O47,IF(AK32=summaryref2!B61,summaryref2!O61,IF(AK32=summaryref2!B75,summaryref2!O75,IF(AK32=summaryref2!B89,summaryref2!O89,IF(AK32=summaryref2!B103,summaryref2!O103,IF(AK32=summaryref2!B117,summaryref2!O117,IF(AK32=summaryref2!B131,summaryref2!O131,IF(AK32=summaryref2!B145,summaryref2!O145,"")))))))))))</f>
        <v/>
      </c>
      <c r="AZ32" s="1110" t="str">
        <f>IF('A-80 DirEntInv'!AZ31&lt;&gt;"",'A-80 DirEntInv'!AZ31,IF(AK32=summaryref2!B19,summaryref2!P19,IF(Summary!AK32=summaryref2!B33,summaryref2!P33,IF(AK32=summaryref2!B47,summaryref2!P47,IF(AK32=summaryref2!B61,summaryref2!P61,IF(AK32=summaryref2!B75,summaryref2!P75,IF(AK32=summaryref2!B89,summaryref2!P89,IF(AK32=summaryref2!B103,summaryref2!P103,IF(AK32=summaryref2!B117,summaryref2!P117,IF(AK32=summaryref2!B131,summaryref2!P131,IF(AK32=summaryref2!B145,summaryref2!P145,"")))))))))))</f>
        <v/>
      </c>
      <c r="BA32" s="1110" t="str">
        <f>IF('A-80 DirEntInv'!BA31&lt;&gt;"",'A-80 DirEntInv'!BA31,IF(AK32=summaryref2!B19,summaryref2!Q19,IF(Summary!AK32=summaryref2!B33,summaryref2!Q33,IF(AK32=summaryref2!B47,summaryref2!Q47,IF(AK32=summaryref2!B61,summaryref2!Q61,IF(AK32=summaryref2!B75,summaryref2!Q75,IF(AK32=summaryref2!B89,summaryref2!Q89,IF(AK32=summaryref2!B103,summaryref2!Q103,IF(AK32=summaryref2!B117,summaryref2!Q117,IF(AK32=summaryref2!B131,summaryref2!Q131,IF(AK32=summaryref2!B145,summaryref2!Q145,"")))))))))))</f>
        <v/>
      </c>
      <c r="BB32" s="1110" t="str">
        <f>IF('A-80 DirEntInv'!BB31&lt;&gt;"",'A-80 DirEntInv'!BB31,IF(AK32=summaryref2!B19,summaryref2!R19,IF(Summary!AK32=summaryref2!B33,summaryref2!R33,IF(AK32=summaryref2!B47,summaryref2!R47,IF(AK32=summaryref2!B61,summaryref2!R61,IF(AK32=summaryref2!B75,summaryref2!R75,IF(AK32=summaryref2!B89,summaryref2!R89,IF(AK32=summaryref2!B103,summaryref2!R103,IF(AK32=summaryref2!B117,summaryref2!R117,IF(AK32=summaryref2!B131,summaryref2!R131,IF(AK32=summaryref2!B145,summaryref2!R145,"")))))))))))</f>
        <v/>
      </c>
      <c r="BC32" s="1110" t="str">
        <f>IF('A-80 DirEntInv'!BC31&lt;&gt;0,'A-80 DirEntInv'!BC31,IF(AK32=summaryref2!B19,summaryref2!S19,IF(Summary!AK32=summaryref2!B33,summaryref2!S33,IF(AK32=summaryref2!B47,summaryref2!S47,IF(AK32=summaryref2!B61,summaryref2!S61,IF(AK32=summaryref2!B75,summaryref2!S75,IF(AK32=summaryref2!B89,summaryref2!S89,IF(AK32=summaryref2!B103,summaryref2!S103,IF(AK32=summaryref2!B117,summaryref2!S117,IF(AK32=summaryref2!B131,summaryref2!S131,IF(AK32=summaryref2!B145,summaryref2!S145,"")))))))))))</f>
        <v/>
      </c>
      <c r="BD32" s="1111" t="str">
        <f>IF('A-80 DirEntInv'!BD31&lt;&gt;"",'A-80 DirEntInv'!BD31,IF(AK32=summaryref2!B19,summaryref2!T19,IF(Summary!AK32=summaryref2!B33,summaryref2!T33,IF(AK32=summaryref2!B47,summaryref2!T47,IF(AK32=summaryref2!B61,summaryref2!T61,IF(AK32=summaryref2!B75,summaryref2!T75,IF(AK32=summaryref2!B89,summaryref2!T89,IF(AK32=summaryref2!B103,summaryref2!T103,IF(AK32=summaryref2!B117,summaryref2!T117,IF(AK32=summaryref2!B131,summaryref2!T131,IF(AK32=summaryref2!B145,summaryref2!T145,"")))))))))))</f>
        <v/>
      </c>
      <c r="BE32" s="1184" t="str">
        <f>IF('A-80 DirEntInv'!BE31&lt;&gt;"",'A-80 DirEntInv'!BE31,IF(AK32=summaryref2!B19,summaryref2!U19,IF(Summary!AK32=summaryref2!B33,summaryref2!U33,IF(AK32=summaryref2!B47,summaryref2!U47,IF(AK32=summaryref2!B61,summaryref2!U61,IF(AK32=summaryref2!B75,summaryref2!U75,IF(AK32=summaryref2!B89,summaryref2!U89,IF(AK32=summaryref2!B103,summaryref2!U103,IF(AK32=summaryref2!B117,summaryref2!U117,IF(AK32=summaryref2!B131,summaryref2!U131,IF(AK32=summaryref2!B145,summaryref2!U145,"")))))))))))</f>
        <v/>
      </c>
      <c r="BF32" s="1432"/>
      <c r="BG32" s="1432"/>
      <c r="BJ32" s="1043" t="str">
        <f>Codes!$C$159</f>
        <v>CC - Cable Car (DO)</v>
      </c>
      <c r="BK32" s="1303" t="str">
        <f>Valid!$B$80</f>
        <v>Tangent</v>
      </c>
      <c r="BL32" s="1366" t="str">
        <f>IF('A-80 DirEntInv'!BL31&lt;&gt;"",'A-80 DirEntInv'!BL31,IF(BJ32=summaryref2!X12,summaryref2!Z12,IF(BJ32=summaryref2!X19,summaryref2!Z19,IF(BJ32=summaryref2!X26,summaryref2!Z26,IF(BJ32=summaryref2!X33,summaryref2!Z33,IF(BJ32=summaryref2!X40,summaryref2!Z40,IF(BJ32=summaryref2!X47,summaryref2!Z47,IF(BJ32=summaryref2!X54,summaryref2!Z54,IF(BJ32=summaryref2!X61,summaryref2!Z61,IF(BJ32=summaryref2!X68,summaryref2!Z68,IF(BJ32=summaryref2!X75,summaryref2!Z75,"")))))))))))</f>
        <v/>
      </c>
      <c r="BM32" s="1303" t="str">
        <f>VLOOKUP(BK32,Valid!$B$80:$C$86,2,FALSE)</f>
        <v>Track Feet</v>
      </c>
      <c r="BN32" s="1208" t="str">
        <f>IF('A-80 DirEntInv'!BN31&lt;&gt;"",'A-80 DirEntInv'!BN31,IF(BJ32=summaryref2!X12,summaryref2!AB12,IF(BJ32=summaryref2!X19,summaryref2!AB19,IF(BJ32=summaryref2!X26,summaryref2!AB26,IF(BJ32=summaryref2!X33,summaryref2!AB33,IF(BJ32=summaryref2!X40,summaryref2!AB40,IF(BJ32=summaryref2!X47,summaryref2!AB47,IF(BJ32=summaryref2!X54,summaryref2!AB54,IF(BJ32=summaryref2!X61,summaryref2!AB61,IF(BJ32=summaryref2!X68,summaryref2!AB68,IF(BJ32=summaryref2!X75,summaryref2!AB75,"")))))))))))</f>
        <v/>
      </c>
      <c r="BO32" s="1112" t="str">
        <f>IF('A-80 DirEntInv'!BO31&lt;&gt;"",'A-80 DirEntInv'!BO31,IF(BJ32=summaryref2!X12,summaryref2!AC12,IF(BJ32=summaryref2!X19,summaryref2!AC19,IF(BJ32=summaryref2!X26,summaryref2!AC26,IF(BJ32=summaryref2!X33,summaryref2!AC33,IF(BJ32=summaryref2!X40,summaryref2!AC40,IF(BJ32=summaryref2!X47,summaryref2!AC47,IF(BJ32=summaryref2!X54,summaryref2!AC54,IF(BJ32=summaryref2!X61,summaryref2!AC61,IF(BJ32=summaryref2!X68,summaryref2!AC68,IF(BJ32=summaryref2!X75,summaryref2!AC75,"")))))))))))</f>
        <v/>
      </c>
      <c r="BP32" s="1320" t="str">
        <f>IF('A-80 DirEntInv'!BP31&lt;&gt;"",'A-80 DirEntInv'!BP31,IF(BJ32=summaryref2!X12,summaryref2!AD12,IF(BJ32=summaryref2!X19,summaryref2!AD19,IF(BJ32=summaryref2!X26,summaryref2!AD26,IF(BJ32=summaryref2!X33,summaryref2!AD33,IF(BJ32=summaryref2!X40,summaryref2!AD40,IF(BJ32=summaryref2!X47,summaryref2!AD47,IF(BJ32=summaryref2!X54,summaryref2!AD54,IF(BJ32=summaryref2!X61,summaryref2!AD61,IF(BJ32=summaryref2!X68,summaryref2!AD68,IF(BJ32=summaryref2!X75,summaryref2!AD75,"")))))))))))</f>
        <v/>
      </c>
      <c r="BS32" s="1472" t="str">
        <f ca="1">IF('A-80 DirEntInv'!BU31&lt;&gt;"",'A-80 DirEntInv'!BU31,IF(INDIRECT(ADDRESS(SumRef!DK38,SumRef!DK$16,,,SumRef!$E$6))="","",INDIRECT(ADDRESS(SumRef!DK38,SumRef!DK$16,,,SumRef!$E$6))))</f>
        <v/>
      </c>
      <c r="BT32" s="1458" t="str">
        <f ca="1">IF('A-80 DirEntInv'!BV31&lt;&gt;"",'A-80 DirEntInv'!BV31,IF(INDIRECT(ADDRESS(SumRef!DL38,SumRef!DL$16,,,SumRef!$E$6))="","",INDIRECT(ADDRESS(SumRef!DL38,SumRef!DL$16,,,SumRef!$E$6))))</f>
        <v/>
      </c>
      <c r="BU32" s="1177" t="str">
        <f ca="1">IF('A-80 DirEntInv'!BW31&lt;&gt;"",'A-80 DirEntInv'!BW31,IF(INDIRECT(ADDRESS(SumRef!DM38,SumRef!DM$16,,,SumRef!$E$6))="","",INDIRECT(ADDRESS(SumRef!DM38,SumRef!DM$16,,,SumRef!$E$6))))</f>
        <v/>
      </c>
      <c r="BV32" s="1460" t="str">
        <f ca="1">IF('A-80 DirEntInv'!BX31&lt;&gt;"",'A-80 DirEntInv'!BX31,IF(INDIRECT(ADDRESS(SumRef!DN38,SumRef!DN$16,,,SumRef!$E$6))="","",INDIRECT(ADDRESS(SumRef!DN38,SumRef!DN$16,,,SumRef!$E$6))))</f>
        <v/>
      </c>
      <c r="BW32" s="1460" t="str">
        <f ca="1">IF('A-80 DirEntInv'!BY31&lt;&gt;"",'A-80 DirEntInv'!BY31,IF(INDIRECT(ADDRESS(SumRef!DO38,SumRef!DO$16,,,SumRef!$E$6))="","",INDIRECT(ADDRESS(SumRef!DO38,SumRef!DO$16,,,SumRef!$E$6))))</f>
        <v/>
      </c>
      <c r="BX32" s="1116" t="str">
        <f ca="1">IF('A-80 DirEntInv'!BZ31&lt;&gt;"",'A-80 DirEntInv'!BZ31,IF(INDIRECT(ADDRESS(SumRef!DP38,SumRef!DP$16,,,SumRef!$E$6))="","",INDIRECT(ADDRESS(SumRef!DP38,SumRef!DP$16,,,SumRef!$E$6))))</f>
        <v/>
      </c>
      <c r="BY32" s="1461" t="str">
        <f ca="1">IF('A-80 DirEntInv'!CA31&lt;&gt;"",'A-80 DirEntInv'!CA31,IF(INDIRECT(ADDRESS(SumRef!DQ38,SumRef!DQ$16,,,SumRef!$E$6))="","",INDIRECT(ADDRESS(SumRef!DQ38,SumRef!DQ$16,,,SumRef!$E$6))))</f>
        <v/>
      </c>
      <c r="BZ32" s="1460" t="str">
        <f ca="1">IF('A-80 DirEntInv'!CB31&lt;&gt;"",'A-80 DirEntInv'!CB31,IF(INDIRECT(ADDRESS(SumRef!DR38,SumRef!DR$16,,,SumRef!$E$6))="","",INDIRECT(ADDRESS(SumRef!DR38,SumRef!DR$16,,,SumRef!$E$6))))</f>
        <v/>
      </c>
      <c r="CA32" s="1462" t="str">
        <f ca="1">IF('A-80 DirEntInv'!CC31&lt;&gt;"",'A-80 DirEntInv'!CC31,IF(INDIRECT(ADDRESS(SumRef!DS38,SumRef!DS$16,,,SumRef!$E$6))="","",INDIRECT(ADDRESS(SumRef!DS38,SumRef!DS$16,,,SumRef!$E$6))))</f>
        <v/>
      </c>
      <c r="CD32" s="1160" t="str">
        <f ca="1">IF('A-80 DirEntInv'!CF31&lt;&gt;"",'A-80 DirEntInv'!CF31,IF(INDIRECT(ADDRESS(SumRef!DV38,SumRef!DV$16,,,SumRef!$E$7))="","",INDIRECT(ADDRESS(SumRef!DV38,SumRef!DV$16,,,SumRef!$E$7))))</f>
        <v/>
      </c>
      <c r="CE32" s="1167" t="str">
        <f ca="1">IF('A-80 DirEntInv'!CG31&lt;&gt;"",'A-80 DirEntInv'!CG31,IF(INDIRECT(ADDRESS(SumRef!DW38,SumRef!DW$16,,,SumRef!$E$7))="","",INDIRECT(ADDRESS(SumRef!DW38,SumRef!DW$16,,,SumRef!$E$7))))</f>
        <v/>
      </c>
      <c r="CF32" s="1167" t="str">
        <f ca="1">IF('A-80 DirEntInv'!CH31&lt;&gt;"",'A-80 DirEntInv'!CH31,IF(INDIRECT(ADDRESS(SumRef!DX38,SumRef!DX$16,,,SumRef!$E$7))="","",INDIRECT(ADDRESS(SumRef!DX38,SumRef!DX$16,,,SumRef!$E$7))))</f>
        <v/>
      </c>
      <c r="CG32" s="1167" t="str">
        <f ca="1">IF('A-80 DirEntInv'!CI31&lt;&gt;"",'A-80 DirEntInv'!CI31,IF(INDIRECT(ADDRESS(SumRef!DY38,SumRef!DY$16,,,SumRef!$E$7))="","",INDIRECT(ADDRESS(SumRef!DY38,SumRef!DY$16,,,SumRef!$E$7))))</f>
        <v/>
      </c>
      <c r="CH32" s="1167" t="str">
        <f ca="1">IF('A-80 DirEntInv'!CJ31&lt;&gt;"",'A-80 DirEntInv'!CJ31,IF(INDIRECT(ADDRESS(SumRef!DZ38,SumRef!DZ$16,,,SumRef!$E$7))="","",INDIRECT(ADDRESS(SumRef!DZ38,SumRef!DZ$16,,,SumRef!$E$7))))</f>
        <v/>
      </c>
      <c r="CI32" s="1167" t="str">
        <f ca="1">IF('A-80 DirEntInv'!CK31&lt;&gt;"",'A-80 DirEntInv'!CK31,IF(INDIRECT(ADDRESS(SumRef!EA38,SumRef!EA$16,,,SumRef!$E$7))="","",INDIRECT(ADDRESS(SumRef!EA38,SumRef!EA$16,,,SumRef!$E$7))))</f>
        <v/>
      </c>
      <c r="CJ32" s="1114" t="str">
        <f ca="1">IF('A-80 DirEntInv'!CL31&lt;&gt;"",'A-80 DirEntInv'!CL31,IF(INDIRECT(ADDRESS(SumRef!EB38,SumRef!EB$16,,,SumRef!$E$7))="","",INDIRECT(ADDRESS(SumRef!EB38,SumRef!EB$16,,,SumRef!$E$7))))</f>
        <v/>
      </c>
      <c r="CK32" s="1114" t="str">
        <f ca="1">IF('A-80 DirEntInv'!CM31&lt;&gt;"",'A-80 DirEntInv'!CM31,IF(INDIRECT(ADDRESS(SumRef!EC38,SumRef!EC$16,,,SumRef!$E$7))="","",INDIRECT(ADDRESS(SumRef!EC38,SumRef!EC$16,,,SumRef!$E$7))))</f>
        <v/>
      </c>
      <c r="CL32" s="1113" t="str">
        <f ca="1">IF('A-80 DirEntInv'!CO31&lt;&gt;"",'A-80 DirEntInv'!CO31,IF(INDIRECT(ADDRESS(SumRef!ED38,SumRef!ED$16,,,SumRef!$E$7))="","",INDIRECT(ADDRESS(SumRef!ED38,SumRef!ED$16,,,SumRef!$E$7))))</f>
        <v/>
      </c>
      <c r="CM32" s="1114" t="str">
        <f ca="1">IF('A-80 DirEntInv'!CP31&lt;&gt;"",'A-80 DirEntInv'!CP31,IF(INDIRECT(ADDRESS(SumRef!EE38,SumRef!EE$16,,,SumRef!$E$7))="","",INDIRECT(ADDRESS(SumRef!EE38,SumRef!EE$16,,,SumRef!$E$7))))</f>
        <v/>
      </c>
      <c r="CN32" s="1114" t="str">
        <f ca="1">IF('A-80 DirEntInv'!CQ31&lt;&gt;"",'A-80 DirEntInv'!CQ31,IF(INDIRECT(ADDRESS(SumRef!EF38,SumRef!EF$16,,,SumRef!$E$7))="","",INDIRECT(ADDRESS(SumRef!EF38,SumRef!EF$16,,,SumRef!$E$7))))</f>
        <v/>
      </c>
      <c r="CO32" s="1113" t="str">
        <f ca="1">IF('A-80 DirEntInv'!CR31&lt;&gt;"",'A-80 DirEntInv'!CR31,IF(INDIRECT(ADDRESS(SumRef!EG38,SumRef!EG$16,,,SumRef!$E$7))="","",INDIRECT(ADDRESS(SumRef!EG38,SumRef!EG$16,,,SumRef!$E$7))))</f>
        <v/>
      </c>
      <c r="CP32" s="1114" t="str">
        <f ca="1">IF('A-80 DirEntInv'!CS31&lt;&gt;"",'A-80 DirEntInv'!CS31,IF(INDIRECT(ADDRESS(SumRef!EH38,SumRef!EH$16,,,SumRef!$E$7))="","",INDIRECT(ADDRESS(SumRef!EH38,SumRef!EH$16,,,SumRef!$E$7))))</f>
        <v/>
      </c>
      <c r="CQ32" s="1346" t="str">
        <f ca="1">IF('A-80 DirEntInv'!CT31&lt;&gt;"",'A-80 DirEntInv'!CT31,IF(INDIRECT(ADDRESS(SumRef!EI38,SumRef!EI$16,,,SumRef!$E$7))="","",INDIRECT(ADDRESS(SumRef!EI38,SumRef!EI$16,,,SumRef!$E$7))))</f>
        <v/>
      </c>
      <c r="CR32" s="1113" t="str">
        <f ca="1">IF('A-80 DirEntInv'!CU31&lt;&gt;"",'A-80 DirEntInv'!CU31,IF(INDIRECT(ADDRESS(SumRef!EJ38,SumRef!EJ$16,,,SumRef!$E$7))="","",INDIRECT(ADDRESS(SumRef!EJ38,SumRef!EJ$16,,,SumRef!$E$7))))</f>
        <v/>
      </c>
      <c r="CS32" s="1346" t="str">
        <f ca="1">IF('A-80 DirEntInv'!CV31&lt;&gt;"",'A-80 DirEntInv'!CV31,IF(INDIRECT(ADDRESS(SumRef!EM38,SumRef!EM$16,,,SumRef!$E$7))="","",INDIRECT(ADDRESS(SumRef!EM38,SumRef!EM$16,,,SumRef!$E$7))))</f>
        <v/>
      </c>
      <c r="CT32" s="1113" t="str">
        <f ca="1">IF('A-80 DirEntInv'!CW31&lt;&gt;"",'A-80 DirEntInv'!CW31,IF(INDIRECT(ADDRESS(SumRef!EN38,SumRef!EN$16,,,SumRef!$E$7))="","",INDIRECT(ADDRESS(SumRef!EN38,SumRef!EN$16,,,SumRef!$E$7))))</f>
        <v/>
      </c>
      <c r="CU32" s="1113" t="str">
        <f ca="1">IF('A-80 DirEntInv'!CX31&lt;&gt;"",'A-80 DirEntInv'!CX31,IF(INDIRECT(ADDRESS(SumRef!EO38,SumRef!EO$16,,,SumRef!$E$7))="","",INDIRECT(ADDRESS(SumRef!EO38,SumRef!EO$16,,,SumRef!$E$7))))</f>
        <v/>
      </c>
      <c r="CV32" s="1113" t="str">
        <f ca="1">IF('A-80 DirEntInv'!CY31&lt;&gt;"",'A-80 DirEntInv'!CY31,IF(INDIRECT(ADDRESS(SumRef!EP38,SumRef!EP$16,,,SumRef!$E$7))="","",INDIRECT(ADDRESS(SumRef!EP38,SumRef!EP$16,,,SumRef!$E$7))))</f>
        <v/>
      </c>
      <c r="CW32" s="1114" t="str">
        <f ca="1">IF('A-80 DirEntInv'!CZ31&lt;&gt;"",'A-80 DirEntInv'!CZ31,IF(INDIRECT(ADDRESS(SumRef!ES38,SumRef!ES$16,,,SumRef!$E$7))="","",INDIRECT(ADDRESS(SumRef!ES38,SumRef!ES$16,,,SumRef!$E$7))))</f>
        <v/>
      </c>
      <c r="CX32" s="1167" t="str">
        <f ca="1">IF('A-80 DirEntInv'!DA31&lt;&gt;"",'A-80 DirEntInv'!DA31,IF(INDIRECT(ADDRESS(SumRef!ET38,SumRef!ET$16,,,SumRef!$E$7))="","",INDIRECT(ADDRESS(SumRef!ET38,SumRef!ET$16,,,SumRef!$E$7))))</f>
        <v/>
      </c>
      <c r="CY32" s="1167" t="str">
        <f ca="1">IF('A-80 DirEntInv'!DB31&lt;&gt;"",'A-80 DirEntInv'!DB31,IF(INDIRECT(ADDRESS(SumRef!EU38,SumRef!EU$16,,,SumRef!$E$7))="","",INDIRECT(ADDRESS(SumRef!EU38,SumRef!EU$16,,,SumRef!$E$7))))</f>
        <v/>
      </c>
      <c r="CZ32" s="1167" t="b">
        <f ca="1">IF('A-80 DirEntInv'!DC31&lt;&gt;"",'A-80 DirEntInv'!DC31,IF(INDIRECT(ADDRESS(SumRef!EV38,SumRef!EV$16,,,SumRef!$E$7))="","",INDIRECT(ADDRESS(SumRef!EV38,SumRef!EV$16,,,SumRef!$E$7))))</f>
        <v>0</v>
      </c>
      <c r="DA32" s="1373" t="str">
        <f ca="1">IF('A-80 DirEntInv'!DD31&lt;&gt;"",'A-80 DirEntInv'!DD31,IF(INDIRECT(ADDRESS(SumRef!EW38,SumRef!EW$16,,,SumRef!$E$7))="","",INDIRECT(ADDRESS(SumRef!EW38,SumRef!EW$16,,,SumRef!$E$7))))</f>
        <v/>
      </c>
      <c r="DB32" s="1373" t="b">
        <f ca="1">IF('A-80 DirEntInv'!DE31&lt;&gt;"",'A-80 DirEntInv'!DE31,IF(INDIRECT(ADDRESS(SumRef!EX38,SumRef!EX$16,,,SumRef!$E$7))="","",INDIRECT(ADDRESS(SumRef!EX38,SumRef!EX$16,,,SumRef!$E$7))))</f>
        <v>0</v>
      </c>
      <c r="DC32" s="1114" t="b">
        <f ca="1">IF('A-80 DirEntInv'!DF31&lt;&gt;"",'A-80 DirEntInv'!DF31,IF(INDIRECT(ADDRESS(SumRef!EY38,SumRef!EY$16,,,SumRef!$E$7))="","",INDIRECT(ADDRESS(SumRef!EY38,SumRef!EY$16,,,SumRef!$E$7))))</f>
        <v>0</v>
      </c>
      <c r="DD32" s="1115" t="str">
        <f ca="1">IF('A-80 DirEntInv'!DG31&lt;&gt;"",'A-80 DirEntInv'!DG31,IF(INDIRECT(ADDRESS(SumRef!EZ38,SumRef!EZ$16,,,SumRef!$E$7))="","",INDIRECT(ADDRESS(SumRef!EZ38,SumRef!EZ$16,,,SumRef!$E$7))))</f>
        <v/>
      </c>
    </row>
    <row r="33" spans="1:108" s="588" customFormat="1" ht="13.5" thickBot="1" x14ac:dyDescent="0.25">
      <c r="A33" s="589">
        <f t="shared" si="0"/>
        <v>23</v>
      </c>
      <c r="B33" s="1155" t="str">
        <f ca="1">IF('A-80 DirEntInv'!B32&lt;&gt;"",'A-80 DirEntInv'!B32,IF(INDIRECT(ADDRESS(SumRef!AQ39,SumRef!AQ$16,,,SumRef!$B$7))="","",INDIRECT(ADDRESS(SumRef!AQ39,SumRef!AQ$16,,,SumRef!$B$7))))</f>
        <v/>
      </c>
      <c r="C33" s="1097" t="str">
        <f ca="1">IF('A-80 DirEntInv'!C32&lt;&gt;"",'A-80 DirEntInv'!C32,IF(INDIRECT(ADDRESS(SumRef!AR39,SumRef!AR$16,,,SumRef!$B$7))="","",INDIRECT(ADDRESS(SumRef!AR39,SumRef!AR$16,,,SumRef!$B$7))))</f>
        <v/>
      </c>
      <c r="D33" s="1097" t="str">
        <f ca="1">IF('A-80 DirEntInv'!D32&lt;&gt;"",'A-80 DirEntInv'!D32,IF(INDIRECT(ADDRESS(SumRef!AS39,SumRef!AS$16,,,SumRef!$B$7))="","",INDIRECT(ADDRESS(SumRef!AS39,SumRef!AS$16,,,SumRef!$B$7))))</f>
        <v/>
      </c>
      <c r="E33" s="1097" t="str">
        <f ca="1">IF('A-80 DirEntInv'!E32&lt;&gt;"",'A-80 DirEntInv'!E32,IF(INDIRECT(ADDRESS(SumRef!AT39,SumRef!AT$16,,,SumRef!$B$7))="","",INDIRECT(ADDRESS(SumRef!AT39,SumRef!AT$16,,,SumRef!$B$7))))</f>
        <v/>
      </c>
      <c r="F33" s="1097" t="str">
        <f ca="1">IF('A-80 DirEntInv'!F32&lt;&gt;"",'A-80 DirEntInv'!F32,IF(INDIRECT(ADDRESS(SumRef!AU39,SumRef!AU$16,,,SumRef!$B$7))="","",INDIRECT(ADDRESS(SumRef!AU39,SumRef!AU$16,,,SumRef!$B$7))))</f>
        <v/>
      </c>
      <c r="G33" s="1158" t="str">
        <f ca="1">IF('A-80 DirEntInv'!G32&lt;&gt;"",'A-80 DirEntInv'!G32,IF(INDIRECT(ADDRESS(SumRef!AV39,SumRef!AV$16,,,SumRef!$B$7))="","",INDIRECT(ADDRESS(SumRef!AV39,SumRef!AV$16,,,SumRef!$B$7))))</f>
        <v/>
      </c>
      <c r="H33" s="1097" t="str">
        <f ca="1">IF('A-80 DirEntInv'!H32&lt;&gt;"",'A-80 DirEntInv'!H32,IF(INDIRECT(ADDRESS(SumRef!AW39,SumRef!AW$16,,,SumRef!$B$7))="","",INDIRECT(ADDRESS(SumRef!AW39,SumRef!AW$16,,,SumRef!$B$7))))</f>
        <v/>
      </c>
      <c r="I33" s="1097" t="str">
        <f ca="1">IF('A-80 DirEntInv'!I32&lt;&gt;"",'A-80 DirEntInv'!I32,IF(INDIRECT(ADDRESS(SumRef!AX39,SumRef!AX$16,,,SumRef!$B$7))="","",INDIRECT(ADDRESS(SumRef!AX39,SumRef!AX$16,,,SumRef!$B$7))))</f>
        <v/>
      </c>
      <c r="J33" s="1098" t="str">
        <f ca="1">IF('A-80 DirEntInv'!J32&lt;&gt;"",'A-80 DirEntInv'!J32,IF(INDIRECT(ADDRESS(SumRef!AY39,SumRef!AY$16,,,SumRef!$B$7))="","",INDIRECT(ADDRESS(SumRef!AY39,SumRef!AY$16,,,SumRef!$B$7))))</f>
        <v/>
      </c>
      <c r="K33" s="1099" t="str">
        <f ca="1">IF('A-80 DirEntInv'!K32&lt;&gt;"",'A-80 DirEntInv'!K32,IF(INDIRECT(ADDRESS(SumRef!AZ39,SumRef!AZ$16,,,SumRef!$B$7))="","",INDIRECT(ADDRESS(SumRef!AZ39,SumRef!AZ$16,,,SumRef!$B$7))))</f>
        <v/>
      </c>
      <c r="L33" s="1100" t="str">
        <f ca="1">IF('A-80 DirEntInv'!L32&lt;&gt;"",'A-80 DirEntInv'!L32,IF(INDIRECT(ADDRESS(SumRef!BA39,SumRef!BA$16,,,SumRef!$B$7))="","",INDIRECT(ADDRESS(SumRef!BA39,SumRef!BA$16,,,SumRef!$B$7))))</f>
        <v/>
      </c>
      <c r="M33" s="1101" t="str">
        <f ca="1">IF('A-80 DirEntInv'!M32&lt;&gt;"",'A-80 DirEntInv'!M32,IF(INDIRECT(ADDRESS(SumRef!BB39,SumRef!BB$16,,,SumRef!$B$7))="","",INDIRECT(ADDRESS(SumRef!BB39,SumRef!BB$16,,,SumRef!$B$7))))</f>
        <v/>
      </c>
      <c r="N33" s="1098" t="str">
        <f ca="1">IF('A-80 DirEntInv'!N32&lt;&gt;"",'A-80 DirEntInv'!N32,IF(INDIRECT(ADDRESS(SumRef!BC39,SumRef!BC$16,,,SumRef!$B$7))="","",INDIRECT(ADDRESS(SumRef!BC39,SumRef!BC$16,,,SumRef!$B$7))))</f>
        <v/>
      </c>
      <c r="O33" s="1102" t="str">
        <f ca="1">IF('A-80 DirEntInv'!O32&lt;&gt;"",'A-80 DirEntInv'!O32,IF(INDIRECT(ADDRESS(SumRef!BD39,SumRef!BD$16,,,SumRef!$B$7))="","",INDIRECT(ADDRESS(SumRef!BD39,SumRef!BD$16,,,SumRef!$B$7))))</f>
        <v/>
      </c>
      <c r="Q33" s="589"/>
      <c r="R33" s="1103" t="str">
        <f ca="1">IF('A-80 DirEntInv'!R32&lt;&gt;"",'A-80 DirEntInv'!R32,IF(INDIRECT(ADDRESS(SumRef!BH39,SumRef!BH$16,,,SumRef!$B$8))="","",INDIRECT(ADDRESS(SumRef!BH39,SumRef!BH$16,,,SumRef!$B$8))))</f>
        <v/>
      </c>
      <c r="S33" s="1104" t="str">
        <f ca="1">IF('A-80 DirEntInv'!S32&lt;&gt;"",'A-80 DirEntInv'!S32,IF(INDIRECT(ADDRESS(SumRef!BI39,SumRef!BI$16,,,SumRef!$B$8))="","",INDIRECT(ADDRESS(SumRef!BI39,SumRef!BI$16,,,SumRef!$B$8))))</f>
        <v/>
      </c>
      <c r="T33" s="1104" t="str">
        <f ca="1">IF('A-80 DirEntInv'!T32&lt;&gt;"",'A-80 DirEntInv'!T32,IF(INDIRECT(ADDRESS(SumRef!BJ39,SumRef!BJ$16,,,SumRef!$B$8))="","",INDIRECT(ADDRESS(SumRef!BJ39,SumRef!BJ$16,,,SumRef!$B$8))))</f>
        <v/>
      </c>
      <c r="U33" s="1104" t="str">
        <f ca="1">IF('A-80 DirEntInv'!U32&lt;&gt;"",'A-80 DirEntInv'!U32,IF(INDIRECT(ADDRESS(SumRef!BK39,SumRef!BK$16,,,SumRef!$B$8))="","",INDIRECT(ADDRESS(SumRef!BK39,SumRef!BK$16,,,SumRef!$B$8))))</f>
        <v/>
      </c>
      <c r="V33" s="1104" t="str">
        <f ca="1">IF('A-80 DirEntInv'!V32&lt;&gt;"",'A-80 DirEntInv'!V32,IF(INDIRECT(ADDRESS(SumRef!BL39,SumRef!BL$16,,,SumRef!$B$8))="","",INDIRECT(ADDRESS(SumRef!BL39,SumRef!BL$16,,,SumRef!$B$8))))</f>
        <v/>
      </c>
      <c r="W33" s="1354" t="str">
        <f ca="1">IF('A-80 DirEntInv'!W32&lt;&gt;"",'A-80 DirEntInv'!W32,IF(INDIRECT(ADDRESS(SumRef!BM39,SumRef!BM$16,,,SumRef!$B$8))="","",INDIRECT(ADDRESS(SumRef!BM39,SumRef!BM$16,,,SumRef!$B$8))))</f>
        <v/>
      </c>
      <c r="X33" s="1203" t="str">
        <f ca="1">IF('A-80 DirEntInv'!X32&lt;&gt;"",'A-80 DirEntInv'!X32,IF(INDIRECT(ADDRESS(SumRef!BN39,SumRef!BN$16,,,SumRef!$B$8))="","",INDIRECT(ADDRESS(SumRef!BN39,SumRef!BN$16,,,SumRef!$B$8))))</f>
        <v/>
      </c>
      <c r="Y33" s="1203" t="str">
        <f ca="1">IF('A-80 DirEntInv'!Y32&lt;&gt;"",'A-80 DirEntInv'!Y32,IF(INDIRECT(ADDRESS(SumRef!BO39,SumRef!BO$16,,,SumRef!$B$8))="","",INDIRECT(ADDRESS(SumRef!BO39,SumRef!BO$16,,,SumRef!$B$8))))</f>
        <v/>
      </c>
      <c r="Z33" s="1104" t="str">
        <f ca="1">IF('A-80 DirEntInv'!Z32&lt;&gt;"",'A-80 DirEntInv'!Z32,IF(INDIRECT(ADDRESS(SumRef!BP39,SumRef!BP$16,,,SumRef!$B$8))="","",INDIRECT(ADDRESS(SumRef!BP39,SumRef!BP$16,,,SumRef!$B$8))))</f>
        <v/>
      </c>
      <c r="AA33" s="1104" t="str">
        <f ca="1">IF('A-80 DirEntInv'!AA32&lt;&gt;"",'A-80 DirEntInv'!AA32,IF(INDIRECT(ADDRESS(SumRef!BQ39,SumRef!BQ$16,,,SumRef!$B$8))="","",INDIRECT(ADDRESS(SumRef!BQ39,SumRef!BQ$16,,,SumRef!$B$8))))</f>
        <v/>
      </c>
      <c r="AB33" s="1106" t="str">
        <f ca="1">IF('A-80 DirEntInv'!AB32&lt;&gt;"",'A-80 DirEntInv'!AB32,IF(INDIRECT(ADDRESS(SumRef!BR39,SumRef!BR$16,,,SumRef!$B$8))="","",INDIRECT(ADDRESS(SumRef!BR39,SumRef!BR$16,,,SumRef!$B$8))))</f>
        <v/>
      </c>
      <c r="AC33" s="1107" t="str">
        <f ca="1">IF('A-80 DirEntInv'!AC32&lt;&gt;"",'A-80 DirEntInv'!AC32,IF(INDIRECT(ADDRESS(SumRef!BS39,SumRef!BS$16,,,SumRef!$B$8))="","",INDIRECT(ADDRESS(SumRef!BS39,SumRef!BS$16,,,SumRef!$B$8))))</f>
        <v/>
      </c>
      <c r="AD33" s="1349" t="str">
        <f ca="1">IF('A-80 DirEntInv'!AD32&lt;&gt;"",'A-80 DirEntInv'!AD32,IF(INDIRECT(ADDRESS(SumRef!BT39,SumRef!BT$16,,,SumRef!$B$8))="","",INDIRECT(ADDRESS(SumRef!BT39,SumRef!BT$16,,,SumRef!$B$8))))</f>
        <v/>
      </c>
      <c r="AE33" s="1137" t="str">
        <f ca="1">IF('A-80 DirEntInv'!AE32&lt;&gt;"",'A-80 DirEntInv'!AE32,IF(INDIRECT(ADDRESS(SumRef!BU39,SumRef!BU$16,,,SumRef!$B$8))="","",INDIRECT(ADDRESS(SumRef!BU39,SumRef!BU$16,,,SumRef!$B$8))))</f>
        <v/>
      </c>
      <c r="AF33" s="1346" t="str">
        <f ca="1">IF('A-80 DirEntInv'!AF32&lt;&gt;"",'A-80 DirEntInv'!AF32,IF(INDIRECT(ADDRESS(SumRef!BV39,SumRef!BV$16,,,SumRef!$B$8))="","",INDIRECT(ADDRESS(SumRef!BV39,SumRef!BV$16,,,SumRef!$B$8))))</f>
        <v/>
      </c>
      <c r="AG33" s="1105" t="str">
        <f ca="1">IF('A-80 DirEntInv'!AG32&lt;&gt;"",'A-80 DirEntInv'!AG32,IF(INDIRECT(ADDRESS(SumRef!BW39,SumRef!BW$16,,,SumRef!$B$8))="","",INDIRECT(ADDRESS(SumRef!BW39,SumRef!BW$16,,,SumRef!$B$8))))</f>
        <v/>
      </c>
      <c r="AH33" s="1357" t="str">
        <f ca="1">IF('A-80 DirEntInv'!AH32&lt;&gt;"",'A-80 DirEntInv'!AH32,IF(INDIRECT(ADDRESS(SumRef!BX39,SumRef!BX$16,,,SumRef!$B$8))="","",INDIRECT(ADDRESS(SumRef!BX39,SumRef!BX$16,,,SumRef!$B$8))))</f>
        <v/>
      </c>
      <c r="AK33" s="1048" t="str">
        <f>Codes!$C$157</f>
        <v>AG - Automated Guideway (PT)</v>
      </c>
      <c r="AL33" s="1049" t="str">
        <f>Valid!$B$79</f>
        <v>Below-Grade/Submerged Tube</v>
      </c>
      <c r="AM33" s="1119" t="str">
        <f>IF('A-80 DirEntInv'!AM32&lt;&gt;"",'A-80 DirEntInv'!AM32,IF(AK33=summaryref2!B20,summaryref2!D20,IF(Summary!AK33=summaryref2!B34,summaryref2!D34,IF(AK33=summaryref2!B48,summaryref2!D48,IF(AK33=summaryref2!B62,summaryref2!D62,IF(AK33=summaryref2!B76,summaryref2!D76,IF(AK33=summaryref2!B90,summaryref2!D90,IF(AK33=summaryref2!B104,summaryref2!D104,IF(AK33=summaryref2!B118,summaryref2!D118,IF(AK33=summaryref2!B132,summaryref2!D132,IF(AK33=summaryref2!B146,summaryref2!D146,"")))))))))))</f>
        <v/>
      </c>
      <c r="AN33" s="1120" t="str">
        <f ca="1">IF('A-80 DirEntInv'!AN32&lt;&gt;"",'A-80 DirEntInv'!AN32,IF(INDIRECT(ADDRESS(SumRef!#REF!,SumRef!CG$16,,,SumRef!$C$7))="","",INDIRECT(ADDRESS(SumRef!#REF!,SumRef!CG$16,,,SumRef!$C$7))))</f>
        <v>Linear Feet</v>
      </c>
      <c r="AO33" s="1119" t="str">
        <f>IF('A-80 DirEntInv'!AO32&lt;&gt;"",'A-80 DirEntInv'!AO32,IF(AK33=summaryref2!B20,summaryref2!F20,IF(Summary!AK33=summaryref2!B34,summaryref2!F34,IF(AK33=summaryref2!B48,summaryref2!F48,IF(AK33=summaryref2!B62,summaryref2!F62,IF(AK33=summaryref2!B76,summaryref2!F76,IF(AK33=summaryref2!B90,summaryref2!F90,IF(AK33=summaryref2!B104,summaryref2!F104,IF(AK33=summaryref2!B118,summaryref2!F118,IF(AK33=summaryref2!B132,summaryref2!F132,IF(AK33=summaryref2!B146,summaryref2!F146,"")))))))))))</f>
        <v/>
      </c>
      <c r="AP33" s="1120" t="str">
        <f ca="1">IF('A-80 DirEntInv'!AP32&lt;&gt;"",'A-80 DirEntInv'!AP32,IF(INDIRECT(ADDRESS(SumRef!#REF!,SumRef!#REF!,,,SumRef!$C$7))="","",INDIRECT(ADDRESS(SumRef!#REF!,SumRef!#REF!,,,SumRef!$C$7))))</f>
        <v>Track Feet</v>
      </c>
      <c r="AQ33" s="1148" t="str">
        <f>IF('A-80 DirEntInv'!AQ32&lt;&gt;"",'A-80 DirEntInv'!AQ32,IF(AK33=summaryref2!B20,summaryref2!G20,IF(Summary!AK33=summaryref2!B34,summaryref2!G34,IF(AK33=summaryref2!B48,summaryref2!G48,IF(AK33=summaryref2!B62,summaryref2!G62,IF(AK33=summaryref2!B76,summaryref2!G76,IF(AK33=summaryref2!B90,summaryref2!G90,IF(AK33=summaryref2!B104,summaryref2!G104,IF(AK33=summaryref2!B118,summaryref2!G118,IF(AK33=summaryref2!B132,summaryref2!G132,IF(AK33=summaryref2!B146,summaryref2!G146,"")))))))))))</f>
        <v/>
      </c>
      <c r="AR33" s="1148" t="str">
        <f>IF('A-80 DirEntInv'!AR32&lt;&gt;"",'A-80 DirEntInv'!AR32,IF(AK33=summaryref2!B20,summaryref2!H20,IF(Summary!AK33=summaryref2!B34,summaryref2!H34,IF(AK33=summaryref2!B48,summaryref2!H48,IF(AK33=summaryref2!B62,summaryref2!H62,IF(AK33=summaryref2!B76,summaryref2!H76,IF(AK33=summaryref2!B90,summaryref2!H90,IF(AK33=summaryref2!B104,summaryref2!H104,IF(AK33=summaryref2!B118,summaryref2!H118,IF(AK33=summaryref2!B132,summaryref2!H132,IF(AK33=summaryref2!B146,summaryref2!H146,"")))))))))))</f>
        <v/>
      </c>
      <c r="AS33" s="1121" t="str">
        <f>IF('A-80 DirEntInv'!AS32&lt;&gt;"",'A-80 DirEntInv'!AS32,IF(AK33=summaryref2!B20,summaryref2!I20,IF(Summary!AK33=summaryref2!B34,summaryref2!I34,IF(AK33=summaryref2!B48,summaryref2!I48,IF(AK33=summaryref2!B62,summaryref2!I62,IF(AK33=summaryref2!B76,summaryref2!I76,IF(AK33=summaryref2!B90,summaryref2!I90,IF(AK33=summaryref2!B104,summaryref2!I104,IF(AK33=summaryref2!B118,summaryref2!I118,IF(AK33=summaryref2!B132,summaryref2!I132,IF(AK33=summaryref2!B146,summaryref2!I146,"")))))))))))</f>
        <v/>
      </c>
      <c r="AT33" s="1121" t="str">
        <f>IF('A-80 DirEntInv'!AT32&lt;&gt;"",'A-80 DirEntInv'!AT32,IF(AK33=summaryref2!B20,summaryref2!J20,IF(Summary!AK33=summaryref2!B34,summaryref2!J34,IF(AK33=summaryref2!B48,summaryref2!J48,IF(AK33=summaryref2!B62,summaryref2!J62,IF(AK33=summaryref2!B76,summaryref2!J76,IF(AK33=summaryref2!B90,summaryref2!J90,IF(AK33=summaryref2!B104,summaryref2!J104,IF(AK33=summaryref2!B118,summaryref2!J118,IF(AK33=summaryref2!B132,summaryref2!J132,IF(AK33=summaryref2!B146,summaryref2!J146,"")))))))))))</f>
        <v/>
      </c>
      <c r="AU33" s="1121" t="str">
        <f>IF('A-80 DirEntInv'!AU32&lt;&gt;"",'A-80 DirEntInv'!AU32,IF(AK33=summaryref2!B20,summaryref2!K20,IF(Summary!AK33=summaryref2!B34,summaryref2!K34,IF(AK33=summaryref2!B48,summaryref2!K48,IF(AK33=summaryref2!B62,summaryref2!K62,IF(AK33=summaryref2!B76,summaryref2!K76,IF(AK33=summaryref2!B90,summaryref2!K90,IF(AK33=summaryref2!B104,summaryref2!K104,IF(AK33=summaryref2!B118,summaryref2!K118,IF(AK33=summaryref2!B132,summaryref2!K132,IF(AK33=summaryref2!B146,summaryref2!K146,"")))))))))))</f>
        <v/>
      </c>
      <c r="AV33" s="1121" t="str">
        <f>IF('A-80 DirEntInv'!AV32&lt;&gt;"",'A-80 DirEntInv'!AV32,IF(AK33=summaryref2!B20,summaryref2!L20,IF(Summary!AK33=summaryref2!B34,summaryref2!L34,IF(AK33=summaryref2!B48,summaryref2!L48,IF(AK33=summaryref2!B62,summaryref2!L62,IF(AK33=summaryref2!B76,summaryref2!L76,IF(AK33=summaryref2!B90,summaryref2!L90,IF(AK33=summaryref2!B104,summaryref2!L104,IF(AK33=summaryref2!B118,summaryref2!L118,IF(AK33=summaryref2!B132,summaryref2!L132,IF(AK33=summaryref2!B146,summaryref2!L146,"")))))))))))</f>
        <v/>
      </c>
      <c r="AW33" s="1121" t="str">
        <f>IF('A-80 DirEntInv'!AW32&lt;&gt;"",'A-80 DirEntInv'!AW32,IF(AK33=summaryref2!B20,summaryref2!M20,IF(Summary!AK33=summaryref2!B34,summaryref2!M34,IF(AK33=summaryref2!B48,summaryref2!M48,IF(AK33=summaryref2!B62,summaryref2!M62,IF(AK33=summaryref2!B76,summaryref2!M76,IF(AK33=summaryref2!B90,summaryref2!M90,IF(AK33=summaryref2!B104,summaryref2!M104,IF(AK33=summaryref2!B118,summaryref2!M118,IF(AK33=summaryref2!B132,summaryref2!M132,IF(AK33=summaryref2!B146,summaryref2!M146,"")))))))))))</f>
        <v/>
      </c>
      <c r="AX33" s="1121" t="str">
        <f>IF('A-80 DirEntInv'!AX32&lt;&gt;"",'A-80 DirEntInv'!AX32,IF(AK33=summaryref2!B20,summaryref2!N20,IF(Summary!AK33=summaryref2!B34,summaryref2!N34,IF(AK33=summaryref2!B48,summaryref2!N48,IF(AK33=summaryref2!B62,summaryref2!N62,IF(AK33=summaryref2!B76,summaryref2!N76,IF(AK33=summaryref2!B90,summaryref2!N90,IF(AK33=summaryref2!B104,summaryref2!N104,IF(AK33=summaryref2!B118,summaryref2!N118,IF(AK33=summaryref2!B132,summaryref2!N132,IF(AK33=summaryref2!B146,summaryref2!N146,"")))))))))))</f>
        <v/>
      </c>
      <c r="AY33" s="1121" t="str">
        <f>IF('A-80 DirEntInv'!AY32&lt;&gt;"",'A-80 DirEntInv'!AY32,IF(AK33=summaryref2!B20,summaryref2!O20,IF(Summary!AK33=summaryref2!B34,summaryref2!O34,IF(AK33=summaryref2!B48,summaryref2!O48,IF(AK33=summaryref2!B62,summaryref2!O62,IF(AK33=summaryref2!B76,summaryref2!O76,IF(AK33=summaryref2!B90,summaryref2!O90,IF(AK33=summaryref2!B104,summaryref2!O104,IF(AK33=summaryref2!B118,summaryref2!O118,IF(AK33=summaryref2!B132,summaryref2!O132,IF(AK33=summaryref2!B146,summaryref2!O146,"")))))))))))</f>
        <v/>
      </c>
      <c r="AZ33" s="1121" t="str">
        <f>IF('A-80 DirEntInv'!AZ32&lt;&gt;"",'A-80 DirEntInv'!AZ32,IF(AK33=summaryref2!B20,summaryref2!P20,IF(Summary!AK33=summaryref2!B34,summaryref2!P34,IF(AK33=summaryref2!B48,summaryref2!P48,IF(AK33=summaryref2!B62,summaryref2!P62,IF(AK33=summaryref2!B76,summaryref2!P76,IF(AK33=summaryref2!B90,summaryref2!P90,IF(AK33=summaryref2!B104,summaryref2!P104,IF(AK33=summaryref2!B118,summaryref2!P118,IF(AK33=summaryref2!B132,summaryref2!P132,IF(AK33=summaryref2!B146,summaryref2!P146,"")))))))))))</f>
        <v/>
      </c>
      <c r="BA33" s="1121" t="str">
        <f>IF('A-80 DirEntInv'!BA32&lt;&gt;"",'A-80 DirEntInv'!BA32,IF(AK33=summaryref2!B20,summaryref2!Q20,IF(Summary!AK33=summaryref2!B34,summaryref2!Q34,IF(AK33=summaryref2!B48,summaryref2!Q48,IF(AK33=summaryref2!B62,summaryref2!Q62,IF(AK33=summaryref2!B76,summaryref2!Q76,IF(AK33=summaryref2!B90,summaryref2!Q90,IF(AK33=summaryref2!B104,summaryref2!Q104,IF(AK33=summaryref2!B118,summaryref2!Q118,IF(AK33=summaryref2!B132,summaryref2!Q132,IF(AK33=summaryref2!B146,summaryref2!Q146,"")))))))))))</f>
        <v/>
      </c>
      <c r="BB33" s="1121" t="str">
        <f>IF('A-80 DirEntInv'!BB32&lt;&gt;"",'A-80 DirEntInv'!BB32,IF(AK33=summaryref2!B20,summaryref2!R20,IF(Summary!AK33=summaryref2!B34,summaryref2!R34,IF(AK33=summaryref2!B48,summaryref2!R48,IF(AK33=summaryref2!B62,summaryref2!R62,IF(AK33=summaryref2!B76,summaryref2!R76,IF(AK33=summaryref2!B90,summaryref2!R90,IF(AK33=summaryref2!B104,summaryref2!R104,IF(AK33=summaryref2!B118,summaryref2!R118,IF(AK33=summaryref2!B132,summaryref2!R132,IF(AK33=summaryref2!B146,summaryref2!R146,"")))))))))))</f>
        <v/>
      </c>
      <c r="BC33" s="1121" t="str">
        <f>IF('A-80 DirEntInv'!BC32&lt;&gt;0,'A-80 DirEntInv'!BC32,IF(AK33=summaryref2!B20,summaryref2!S20,IF(Summary!AK33=summaryref2!B34,summaryref2!S34,IF(AK33=summaryref2!B48,summaryref2!S48,IF(AK33=summaryref2!B62,summaryref2!S62,IF(AK33=summaryref2!B76,summaryref2!S76,IF(AK33=summaryref2!B90,summaryref2!S90,IF(AK33=summaryref2!B104,summaryref2!S104,IF(AK33=summaryref2!B118,summaryref2!S118,IF(AK33=summaryref2!B132,summaryref2!S132,IF(AK33=summaryref2!B146,summaryref2!S146,"")))))))))))</f>
        <v/>
      </c>
      <c r="BD33" s="1122" t="str">
        <f>IF('A-80 DirEntInv'!BD32&lt;&gt;"",'A-80 DirEntInv'!BD32,IF(AK33=summaryref2!B20,summaryref2!T20,IF(Summary!AK33=summaryref2!B34,summaryref2!T34,IF(AK33=summaryref2!B48,summaryref2!T48,IF(AK33=summaryref2!B62,summaryref2!T62,IF(AK33=summaryref2!B76,summaryref2!T76,IF(AK33=summaryref2!B90,summaryref2!T90,IF(AK33=summaryref2!B104,summaryref2!T104,IF(AK33=summaryref2!B118,summaryref2!T118,IF(AK33=summaryref2!B132,summaryref2!T132,IF(AK33=summaryref2!B146,summaryref2!T146,"")))))))))))</f>
        <v/>
      </c>
      <c r="BE33" s="1190" t="str">
        <f>IF('A-80 DirEntInv'!BE32&lt;&gt;"",'A-80 DirEntInv'!BE32,IF(AK33=summaryref2!B20,summaryref2!U20,IF(Summary!AK33=summaryref2!B34,summaryref2!U34,IF(AK33=summaryref2!B48,summaryref2!U48,IF(AK33=summaryref2!B62,summaryref2!U62,IF(AK33=summaryref2!B76,summaryref2!U76,IF(AK33=summaryref2!B90,summaryref2!U90,IF(AK33=summaryref2!B104,summaryref2!U104,IF(AK33=summaryref2!B118,summaryref2!U118,IF(AK33=summaryref2!B132,summaryref2!U132,IF(AK33=summaryref2!B146,summaryref2!U146,"")))))))))))</f>
        <v/>
      </c>
      <c r="BF33" s="1432"/>
      <c r="BG33" s="1432"/>
      <c r="BJ33" s="1048" t="str">
        <f>Codes!$C$159</f>
        <v>CC - Cable Car (DO)</v>
      </c>
      <c r="BK33" s="1049" t="str">
        <f>Valid!$B$81</f>
        <v>Curve</v>
      </c>
      <c r="BL33" s="1367" t="str">
        <f>IF('A-80 DirEntInv'!BL32&lt;&gt;"",'A-80 DirEntInv'!BL32,IF(BJ33=summaryref2!X13,summaryref2!Z13,IF(BJ33=summaryref2!X20,summaryref2!Z20,IF(BJ33=summaryref2!X27,summaryref2!Z27,IF(BJ33=summaryref2!X34,summaryref2!Z34,IF(BJ33=summaryref2!X41,summaryref2!Z41,IF(BJ33=summaryref2!X48,summaryref2!Z48,IF(BJ33=summaryref2!X55,summaryref2!Z55,IF(BJ33=summaryref2!X62,summaryref2!Z62,IF(BJ33=summaryref2!X69,summaryref2!Z69,IF(BJ33=summaryref2!X76,summaryref2!Z76,"")))))))))))</f>
        <v/>
      </c>
      <c r="BM33" s="1049" t="str">
        <f>VLOOKUP(BK33,Valid!$B$80:$C$86,2,FALSE)</f>
        <v>Track Feet</v>
      </c>
      <c r="BN33" s="1324" t="str">
        <f>IF('A-80 DirEntInv'!BN32&lt;&gt;"",'A-80 DirEntInv'!BN32,IF(BJ33=summaryref2!X13,summaryref2!AB13,IF(BJ33=summaryref2!X20,summaryref2!AB20,IF(BJ33=summaryref2!X27,summaryref2!AB27,IF(BJ33=summaryref2!X34,summaryref2!AB34,IF(BJ33=summaryref2!X41,summaryref2!AB41,IF(BJ33=summaryref2!X48,summaryref2!AB48,IF(BJ33=summaryref2!X55,summaryref2!AB55,IF(BJ33=summaryref2!X62,summaryref2!AB62,IF(BJ33=summaryref2!X69,summaryref2!AB69,IF(BJ33=summaryref2!X76,summaryref2!AB76,"")))))))))))</f>
        <v/>
      </c>
      <c r="BO33" s="1326" t="str">
        <f>IF('A-80 DirEntInv'!BO32&lt;&gt;"",'A-80 DirEntInv'!BO32,IF(BJ33=summaryref2!X13,summaryref2!AC13,IF(BJ33=summaryref2!X20,summaryref2!AC20,IF(BJ33=summaryref2!X27,summaryref2!AC27,IF(BJ33=summaryref2!X34,summaryref2!AC34,IF(BJ33=summaryref2!X41,summaryref2!AC41,IF(BJ33=summaryref2!X48,summaryref2!AC48,IF(BJ33=summaryref2!X55,summaryref2!AC55,IF(BJ33=summaryref2!X62,summaryref2!AC62,IF(BJ33=summaryref2!X69,summaryref2!AC69,IF(BJ33=summaryref2!X76,summaryref2!AC76,"")))))))))))</f>
        <v/>
      </c>
      <c r="BP33" s="1323" t="str">
        <f>IF('A-80 DirEntInv'!BP32&lt;&gt;"",'A-80 DirEntInv'!BP32,IF(BJ33=summaryref2!X13,summaryref2!AD13,IF(BJ33=summaryref2!X20,summaryref2!AD20,IF(BJ33=summaryref2!X27,summaryref2!AD27,IF(BJ33=summaryref2!X34,summaryref2!AD34,IF(BJ33=summaryref2!X41,summaryref2!AD41,IF(BJ33=summaryref2!X48,summaryref2!AD48,IF(BJ33=summaryref2!X55,summaryref2!AD55,IF(BJ33=summaryref2!X62,summaryref2!AD62,IF(BJ33=summaryref2!X69,summaryref2!AD69,IF(BJ33=summaryref2!X76,summaryref2!AD76,"")))))))))))</f>
        <v/>
      </c>
      <c r="BS33" s="1472" t="str">
        <f ca="1">IF('A-80 DirEntInv'!BU32&lt;&gt;"",'A-80 DirEntInv'!BU32,IF(INDIRECT(ADDRESS(SumRef!DK39,SumRef!DK$16,,,SumRef!$E$6))="","",INDIRECT(ADDRESS(SumRef!DK39,SumRef!DK$16,,,SumRef!$E$6))))</f>
        <v/>
      </c>
      <c r="BT33" s="1458" t="str">
        <f ca="1">IF('A-80 DirEntInv'!BV32&lt;&gt;"",'A-80 DirEntInv'!BV32,IF(INDIRECT(ADDRESS(SumRef!DL39,SumRef!DL$16,,,SumRef!$E$6))="","",INDIRECT(ADDRESS(SumRef!DL39,SumRef!DL$16,,,SumRef!$E$6))))</f>
        <v/>
      </c>
      <c r="BU33" s="1177" t="str">
        <f ca="1">IF('A-80 DirEntInv'!BW32&lt;&gt;"",'A-80 DirEntInv'!BW32,IF(INDIRECT(ADDRESS(SumRef!DM39,SumRef!DM$16,,,SumRef!$E$6))="","",INDIRECT(ADDRESS(SumRef!DM39,SumRef!DM$16,,,SumRef!$E$6))))</f>
        <v/>
      </c>
      <c r="BV33" s="1460" t="str">
        <f ca="1">IF('A-80 DirEntInv'!BX32&lt;&gt;"",'A-80 DirEntInv'!BX32,IF(INDIRECT(ADDRESS(SumRef!DN39,SumRef!DN$16,,,SumRef!$E$6))="","",INDIRECT(ADDRESS(SumRef!DN39,SumRef!DN$16,,,SumRef!$E$6))))</f>
        <v/>
      </c>
      <c r="BW33" s="1460" t="str">
        <f ca="1">IF('A-80 DirEntInv'!BY32&lt;&gt;"",'A-80 DirEntInv'!BY32,IF(INDIRECT(ADDRESS(SumRef!DO39,SumRef!DO$16,,,SumRef!$E$6))="","",INDIRECT(ADDRESS(SumRef!DO39,SumRef!DO$16,,,SumRef!$E$6))))</f>
        <v/>
      </c>
      <c r="BX33" s="1116" t="str">
        <f ca="1">IF('A-80 DirEntInv'!BZ32&lt;&gt;"",'A-80 DirEntInv'!BZ32,IF(INDIRECT(ADDRESS(SumRef!DP39,SumRef!DP$16,,,SumRef!$E$6))="","",INDIRECT(ADDRESS(SumRef!DP39,SumRef!DP$16,,,SumRef!$E$6))))</f>
        <v/>
      </c>
      <c r="BY33" s="1461" t="str">
        <f ca="1">IF('A-80 DirEntInv'!CA32&lt;&gt;"",'A-80 DirEntInv'!CA32,IF(INDIRECT(ADDRESS(SumRef!DQ39,SumRef!DQ$16,,,SumRef!$E$6))="","",INDIRECT(ADDRESS(SumRef!DQ39,SumRef!DQ$16,,,SumRef!$E$6))))</f>
        <v/>
      </c>
      <c r="BZ33" s="1460" t="str">
        <f ca="1">IF('A-80 DirEntInv'!CB32&lt;&gt;"",'A-80 DirEntInv'!CB32,IF(INDIRECT(ADDRESS(SumRef!DR39,SumRef!DR$16,,,SumRef!$E$6))="","",INDIRECT(ADDRESS(SumRef!DR39,SumRef!DR$16,,,SumRef!$E$6))))</f>
        <v/>
      </c>
      <c r="CA33" s="1462" t="str">
        <f ca="1">IF('A-80 DirEntInv'!CC32&lt;&gt;"",'A-80 DirEntInv'!CC32,IF(INDIRECT(ADDRESS(SumRef!DS39,SumRef!DS$16,,,SumRef!$E$6))="","",INDIRECT(ADDRESS(SumRef!DS39,SumRef!DS$16,,,SumRef!$E$6))))</f>
        <v/>
      </c>
      <c r="CD33" s="1160" t="str">
        <f ca="1">IF('A-80 DirEntInv'!CF32&lt;&gt;"",'A-80 DirEntInv'!CF32,IF(INDIRECT(ADDRESS(SumRef!DV39,SumRef!DV$16,,,SumRef!$E$7))="","",INDIRECT(ADDRESS(SumRef!DV39,SumRef!DV$16,,,SumRef!$E$7))))</f>
        <v/>
      </c>
      <c r="CE33" s="1167" t="str">
        <f ca="1">IF('A-80 DirEntInv'!CG32&lt;&gt;"",'A-80 DirEntInv'!CG32,IF(INDIRECT(ADDRESS(SumRef!DW39,SumRef!DW$16,,,SumRef!$E$7))="","",INDIRECT(ADDRESS(SumRef!DW39,SumRef!DW$16,,,SumRef!$E$7))))</f>
        <v/>
      </c>
      <c r="CF33" s="1167" t="str">
        <f ca="1">IF('A-80 DirEntInv'!CH32&lt;&gt;"",'A-80 DirEntInv'!CH32,IF(INDIRECT(ADDRESS(SumRef!DX39,SumRef!DX$16,,,SumRef!$E$7))="","",INDIRECT(ADDRESS(SumRef!DX39,SumRef!DX$16,,,SumRef!$E$7))))</f>
        <v/>
      </c>
      <c r="CG33" s="1167" t="str">
        <f ca="1">IF('A-80 DirEntInv'!CI32&lt;&gt;"",'A-80 DirEntInv'!CI32,IF(INDIRECT(ADDRESS(SumRef!DY39,SumRef!DY$16,,,SumRef!$E$7))="","",INDIRECT(ADDRESS(SumRef!DY39,SumRef!DY$16,,,SumRef!$E$7))))</f>
        <v/>
      </c>
      <c r="CH33" s="1167" t="str">
        <f ca="1">IF('A-80 DirEntInv'!CJ32&lt;&gt;"",'A-80 DirEntInv'!CJ32,IF(INDIRECT(ADDRESS(SumRef!DZ39,SumRef!DZ$16,,,SumRef!$E$7))="","",INDIRECT(ADDRESS(SumRef!DZ39,SumRef!DZ$16,,,SumRef!$E$7))))</f>
        <v/>
      </c>
      <c r="CI33" s="1167" t="str">
        <f ca="1">IF('A-80 DirEntInv'!CK32&lt;&gt;"",'A-80 DirEntInv'!CK32,IF(INDIRECT(ADDRESS(SumRef!EA39,SumRef!EA$16,,,SumRef!$E$7))="","",INDIRECT(ADDRESS(SumRef!EA39,SumRef!EA$16,,,SumRef!$E$7))))</f>
        <v/>
      </c>
      <c r="CJ33" s="1114" t="str">
        <f ca="1">IF('A-80 DirEntInv'!CL32&lt;&gt;"",'A-80 DirEntInv'!CL32,IF(INDIRECT(ADDRESS(SumRef!EB39,SumRef!EB$16,,,SumRef!$E$7))="","",INDIRECT(ADDRESS(SumRef!EB39,SumRef!EB$16,,,SumRef!$E$7))))</f>
        <v/>
      </c>
      <c r="CK33" s="1114" t="str">
        <f ca="1">IF('A-80 DirEntInv'!CM32&lt;&gt;"",'A-80 DirEntInv'!CM32,IF(INDIRECT(ADDRESS(SumRef!EC39,SumRef!EC$16,,,SumRef!$E$7))="","",INDIRECT(ADDRESS(SumRef!EC39,SumRef!EC$16,,,SumRef!$E$7))))</f>
        <v/>
      </c>
      <c r="CL33" s="1113" t="str">
        <f ca="1">IF('A-80 DirEntInv'!CO32&lt;&gt;"",'A-80 DirEntInv'!CO32,IF(INDIRECT(ADDRESS(SumRef!ED39,SumRef!ED$16,,,SumRef!$E$7))="","",INDIRECT(ADDRESS(SumRef!ED39,SumRef!ED$16,,,SumRef!$E$7))))</f>
        <v/>
      </c>
      <c r="CM33" s="1114" t="str">
        <f ca="1">IF('A-80 DirEntInv'!CP32&lt;&gt;"",'A-80 DirEntInv'!CP32,IF(INDIRECT(ADDRESS(SumRef!EE39,SumRef!EE$16,,,SumRef!$E$7))="","",INDIRECT(ADDRESS(SumRef!EE39,SumRef!EE$16,,,SumRef!$E$7))))</f>
        <v/>
      </c>
      <c r="CN33" s="1114" t="str">
        <f ca="1">IF('A-80 DirEntInv'!CQ32&lt;&gt;"",'A-80 DirEntInv'!CQ32,IF(INDIRECT(ADDRESS(SumRef!EF39,SumRef!EF$16,,,SumRef!$E$7))="","",INDIRECT(ADDRESS(SumRef!EF39,SumRef!EF$16,,,SumRef!$E$7))))</f>
        <v/>
      </c>
      <c r="CO33" s="1113" t="str">
        <f ca="1">IF('A-80 DirEntInv'!CR32&lt;&gt;"",'A-80 DirEntInv'!CR32,IF(INDIRECT(ADDRESS(SumRef!EG39,SumRef!EG$16,,,SumRef!$E$7))="","",INDIRECT(ADDRESS(SumRef!EG39,SumRef!EG$16,,,SumRef!$E$7))))</f>
        <v/>
      </c>
      <c r="CP33" s="1114" t="str">
        <f ca="1">IF('A-80 DirEntInv'!CS32&lt;&gt;"",'A-80 DirEntInv'!CS32,IF(INDIRECT(ADDRESS(SumRef!EH39,SumRef!EH$16,,,SumRef!$E$7))="","",INDIRECT(ADDRESS(SumRef!EH39,SumRef!EH$16,,,SumRef!$E$7))))</f>
        <v/>
      </c>
      <c r="CQ33" s="1346" t="str">
        <f ca="1">IF('A-80 DirEntInv'!CT32&lt;&gt;"",'A-80 DirEntInv'!CT32,IF(INDIRECT(ADDRESS(SumRef!EI39,SumRef!EI$16,,,SumRef!$E$7))="","",INDIRECT(ADDRESS(SumRef!EI39,SumRef!EI$16,,,SumRef!$E$7))))</f>
        <v/>
      </c>
      <c r="CR33" s="1113" t="str">
        <f ca="1">IF('A-80 DirEntInv'!CU32&lt;&gt;"",'A-80 DirEntInv'!CU32,IF(INDIRECT(ADDRESS(SumRef!EJ39,SumRef!EJ$16,,,SumRef!$E$7))="","",INDIRECT(ADDRESS(SumRef!EJ39,SumRef!EJ$16,,,SumRef!$E$7))))</f>
        <v/>
      </c>
      <c r="CS33" s="1346" t="str">
        <f ca="1">IF('A-80 DirEntInv'!CV32&lt;&gt;"",'A-80 DirEntInv'!CV32,IF(INDIRECT(ADDRESS(SumRef!EM39,SumRef!EM$16,,,SumRef!$E$7))="","",INDIRECT(ADDRESS(SumRef!EM39,SumRef!EM$16,,,SumRef!$E$7))))</f>
        <v/>
      </c>
      <c r="CT33" s="1113" t="str">
        <f ca="1">IF('A-80 DirEntInv'!CW32&lt;&gt;"",'A-80 DirEntInv'!CW32,IF(INDIRECT(ADDRESS(SumRef!EN39,SumRef!EN$16,,,SumRef!$E$7))="","",INDIRECT(ADDRESS(SumRef!EN39,SumRef!EN$16,,,SumRef!$E$7))))</f>
        <v/>
      </c>
      <c r="CU33" s="1113" t="str">
        <f ca="1">IF('A-80 DirEntInv'!CX32&lt;&gt;"",'A-80 DirEntInv'!CX32,IF(INDIRECT(ADDRESS(SumRef!EO39,SumRef!EO$16,,,SumRef!$E$7))="","",INDIRECT(ADDRESS(SumRef!EO39,SumRef!EO$16,,,SumRef!$E$7))))</f>
        <v/>
      </c>
      <c r="CV33" s="1113" t="str">
        <f ca="1">IF('A-80 DirEntInv'!CY32&lt;&gt;"",'A-80 DirEntInv'!CY32,IF(INDIRECT(ADDRESS(SumRef!EP39,SumRef!EP$16,,,SumRef!$E$7))="","",INDIRECT(ADDRESS(SumRef!EP39,SumRef!EP$16,,,SumRef!$E$7))))</f>
        <v/>
      </c>
      <c r="CW33" s="1114" t="str">
        <f ca="1">IF('A-80 DirEntInv'!CZ32&lt;&gt;"",'A-80 DirEntInv'!CZ32,IF(INDIRECT(ADDRESS(SumRef!ES39,SumRef!ES$16,,,SumRef!$E$7))="","",INDIRECT(ADDRESS(SumRef!ES39,SumRef!ES$16,,,SumRef!$E$7))))</f>
        <v/>
      </c>
      <c r="CX33" s="1167" t="str">
        <f ca="1">IF('A-80 DirEntInv'!DA32&lt;&gt;"",'A-80 DirEntInv'!DA32,IF(INDIRECT(ADDRESS(SumRef!ET39,SumRef!ET$16,,,SumRef!$E$7))="","",INDIRECT(ADDRESS(SumRef!ET39,SumRef!ET$16,,,SumRef!$E$7))))</f>
        <v/>
      </c>
      <c r="CY33" s="1167" t="str">
        <f ca="1">IF('A-80 DirEntInv'!DB32&lt;&gt;"",'A-80 DirEntInv'!DB32,IF(INDIRECT(ADDRESS(SumRef!EU39,SumRef!EU$16,,,SumRef!$E$7))="","",INDIRECT(ADDRESS(SumRef!EU39,SumRef!EU$16,,,SumRef!$E$7))))</f>
        <v/>
      </c>
      <c r="CZ33" s="1167" t="b">
        <f ca="1">IF('A-80 DirEntInv'!DC32&lt;&gt;"",'A-80 DirEntInv'!DC32,IF(INDIRECT(ADDRESS(SumRef!EV39,SumRef!EV$16,,,SumRef!$E$7))="","",INDIRECT(ADDRESS(SumRef!EV39,SumRef!EV$16,,,SumRef!$E$7))))</f>
        <v>0</v>
      </c>
      <c r="DA33" s="1373" t="str">
        <f ca="1">IF('A-80 DirEntInv'!DD32&lt;&gt;"",'A-80 DirEntInv'!DD32,IF(INDIRECT(ADDRESS(SumRef!EW39,SumRef!EW$16,,,SumRef!$E$7))="","",INDIRECT(ADDRESS(SumRef!EW39,SumRef!EW$16,,,SumRef!$E$7))))</f>
        <v/>
      </c>
      <c r="DB33" s="1373" t="b">
        <f ca="1">IF('A-80 DirEntInv'!DE32&lt;&gt;"",'A-80 DirEntInv'!DE32,IF(INDIRECT(ADDRESS(SumRef!EX39,SumRef!EX$16,,,SumRef!$E$7))="","",INDIRECT(ADDRESS(SumRef!EX39,SumRef!EX$16,,,SumRef!$E$7))))</f>
        <v>0</v>
      </c>
      <c r="DC33" s="1114" t="b">
        <f ca="1">IF('A-80 DirEntInv'!DF32&lt;&gt;"",'A-80 DirEntInv'!DF32,IF(INDIRECT(ADDRESS(SumRef!EY39,SumRef!EY$16,,,SumRef!$E$7))="","",INDIRECT(ADDRESS(SumRef!EY39,SumRef!EY$16,,,SumRef!$E$7))))</f>
        <v>0</v>
      </c>
      <c r="DD33" s="1115" t="str">
        <f ca="1">IF('A-80 DirEntInv'!DG32&lt;&gt;"",'A-80 DirEntInv'!DG32,IF(INDIRECT(ADDRESS(SumRef!EZ39,SumRef!EZ$16,,,SumRef!$E$7))="","",INDIRECT(ADDRESS(SumRef!EZ39,SumRef!EZ$16,,,SumRef!$E$7))))</f>
        <v/>
      </c>
    </row>
    <row r="34" spans="1:108" s="588" customFormat="1" ht="13.5" thickTop="1" x14ac:dyDescent="0.2">
      <c r="A34" s="589">
        <f t="shared" si="0"/>
        <v>24</v>
      </c>
      <c r="B34" s="1155" t="str">
        <f ca="1">IF('A-80 DirEntInv'!B33&lt;&gt;"",'A-80 DirEntInv'!B33,IF(INDIRECT(ADDRESS(SumRef!AQ40,SumRef!AQ$16,,,SumRef!$B$7))="","",INDIRECT(ADDRESS(SumRef!AQ40,SumRef!AQ$16,,,SumRef!$B$7))))</f>
        <v/>
      </c>
      <c r="C34" s="1097" t="str">
        <f ca="1">IF('A-80 DirEntInv'!C33&lt;&gt;"",'A-80 DirEntInv'!C33,IF(INDIRECT(ADDRESS(SumRef!AR40,SumRef!AR$16,,,SumRef!$B$7))="","",INDIRECT(ADDRESS(SumRef!AR40,SumRef!AR$16,,,SumRef!$B$7))))</f>
        <v/>
      </c>
      <c r="D34" s="1097" t="str">
        <f ca="1">IF('A-80 DirEntInv'!D33&lt;&gt;"",'A-80 DirEntInv'!D33,IF(INDIRECT(ADDRESS(SumRef!AS40,SumRef!AS$16,,,SumRef!$B$7))="","",INDIRECT(ADDRESS(SumRef!AS40,SumRef!AS$16,,,SumRef!$B$7))))</f>
        <v/>
      </c>
      <c r="E34" s="1097" t="str">
        <f ca="1">IF('A-80 DirEntInv'!E33&lt;&gt;"",'A-80 DirEntInv'!E33,IF(INDIRECT(ADDRESS(SumRef!AT40,SumRef!AT$16,,,SumRef!$B$7))="","",INDIRECT(ADDRESS(SumRef!AT40,SumRef!AT$16,,,SumRef!$B$7))))</f>
        <v/>
      </c>
      <c r="F34" s="1097" t="str">
        <f ca="1">IF('A-80 DirEntInv'!F33&lt;&gt;"",'A-80 DirEntInv'!F33,IF(INDIRECT(ADDRESS(SumRef!AU40,SumRef!AU$16,,,SumRef!$B$7))="","",INDIRECT(ADDRESS(SumRef!AU40,SumRef!AU$16,,,SumRef!$B$7))))</f>
        <v/>
      </c>
      <c r="G34" s="1158" t="str">
        <f ca="1">IF('A-80 DirEntInv'!G33&lt;&gt;"",'A-80 DirEntInv'!G33,IF(INDIRECT(ADDRESS(SumRef!AV40,SumRef!AV$16,,,SumRef!$B$7))="","",INDIRECT(ADDRESS(SumRef!AV40,SumRef!AV$16,,,SumRef!$B$7))))</f>
        <v/>
      </c>
      <c r="H34" s="1097" t="str">
        <f ca="1">IF('A-80 DirEntInv'!H33&lt;&gt;"",'A-80 DirEntInv'!H33,IF(INDIRECT(ADDRESS(SumRef!AW40,SumRef!AW$16,,,SumRef!$B$7))="","",INDIRECT(ADDRESS(SumRef!AW40,SumRef!AW$16,,,SumRef!$B$7))))</f>
        <v/>
      </c>
      <c r="I34" s="1097" t="str">
        <f ca="1">IF('A-80 DirEntInv'!I33&lt;&gt;"",'A-80 DirEntInv'!I33,IF(INDIRECT(ADDRESS(SumRef!AX40,SumRef!AX$16,,,SumRef!$B$7))="","",INDIRECT(ADDRESS(SumRef!AX40,SumRef!AX$16,,,SumRef!$B$7))))</f>
        <v/>
      </c>
      <c r="J34" s="1098" t="str">
        <f ca="1">IF('A-80 DirEntInv'!J33&lt;&gt;"",'A-80 DirEntInv'!J33,IF(INDIRECT(ADDRESS(SumRef!AY40,SumRef!AY$16,,,SumRef!$B$7))="","",INDIRECT(ADDRESS(SumRef!AY40,SumRef!AY$16,,,SumRef!$B$7))))</f>
        <v/>
      </c>
      <c r="K34" s="1099" t="str">
        <f ca="1">IF('A-80 DirEntInv'!K33&lt;&gt;"",'A-80 DirEntInv'!K33,IF(INDIRECT(ADDRESS(SumRef!AZ40,SumRef!AZ$16,,,SumRef!$B$7))="","",INDIRECT(ADDRESS(SumRef!AZ40,SumRef!AZ$16,,,SumRef!$B$7))))</f>
        <v/>
      </c>
      <c r="L34" s="1100" t="str">
        <f ca="1">IF('A-80 DirEntInv'!L33&lt;&gt;"",'A-80 DirEntInv'!L33,IF(INDIRECT(ADDRESS(SumRef!BA40,SumRef!BA$16,,,SumRef!$B$7))="","",INDIRECT(ADDRESS(SumRef!BA40,SumRef!BA$16,,,SumRef!$B$7))))</f>
        <v/>
      </c>
      <c r="M34" s="1101" t="str">
        <f ca="1">IF('A-80 DirEntInv'!M33&lt;&gt;"",'A-80 DirEntInv'!M33,IF(INDIRECT(ADDRESS(SumRef!BB40,SumRef!BB$16,,,SumRef!$B$7))="","",INDIRECT(ADDRESS(SumRef!BB40,SumRef!BB$16,,,SumRef!$B$7))))</f>
        <v/>
      </c>
      <c r="N34" s="1098" t="str">
        <f ca="1">IF('A-80 DirEntInv'!N33&lt;&gt;"",'A-80 DirEntInv'!N33,IF(INDIRECT(ADDRESS(SumRef!BC40,SumRef!BC$16,,,SumRef!$B$7))="","",INDIRECT(ADDRESS(SumRef!BC40,SumRef!BC$16,,,SumRef!$B$7))))</f>
        <v/>
      </c>
      <c r="O34" s="1102" t="str">
        <f ca="1">IF('A-80 DirEntInv'!O33&lt;&gt;"",'A-80 DirEntInv'!O33,IF(INDIRECT(ADDRESS(SumRef!BD40,SumRef!BD$16,,,SumRef!$B$7))="","",INDIRECT(ADDRESS(SumRef!BD40,SumRef!BD$16,,,SumRef!$B$7))))</f>
        <v/>
      </c>
      <c r="Q34" s="589"/>
      <c r="R34" s="1103" t="str">
        <f ca="1">IF('A-80 DirEntInv'!R33&lt;&gt;"",'A-80 DirEntInv'!R33,IF(INDIRECT(ADDRESS(SumRef!BH40,SumRef!BH$16,,,SumRef!$B$8))="","",INDIRECT(ADDRESS(SumRef!BH40,SumRef!BH$16,,,SumRef!$B$8))))</f>
        <v/>
      </c>
      <c r="S34" s="1104" t="str">
        <f ca="1">IF('A-80 DirEntInv'!S33&lt;&gt;"",'A-80 DirEntInv'!S33,IF(INDIRECT(ADDRESS(SumRef!BI40,SumRef!BI$16,,,SumRef!$B$8))="","",INDIRECT(ADDRESS(SumRef!BI40,SumRef!BI$16,,,SumRef!$B$8))))</f>
        <v/>
      </c>
      <c r="T34" s="1104" t="str">
        <f ca="1">IF('A-80 DirEntInv'!T33&lt;&gt;"",'A-80 DirEntInv'!T33,IF(INDIRECT(ADDRESS(SumRef!BJ40,SumRef!BJ$16,,,SumRef!$B$8))="","",INDIRECT(ADDRESS(SumRef!BJ40,SumRef!BJ$16,,,SumRef!$B$8))))</f>
        <v/>
      </c>
      <c r="U34" s="1104" t="str">
        <f ca="1">IF('A-80 DirEntInv'!U33&lt;&gt;"",'A-80 DirEntInv'!U33,IF(INDIRECT(ADDRESS(SumRef!BK40,SumRef!BK$16,,,SumRef!$B$8))="","",INDIRECT(ADDRESS(SumRef!BK40,SumRef!BK$16,,,SumRef!$B$8))))</f>
        <v/>
      </c>
      <c r="V34" s="1104" t="str">
        <f ca="1">IF('A-80 DirEntInv'!V33&lt;&gt;"",'A-80 DirEntInv'!V33,IF(INDIRECT(ADDRESS(SumRef!BL40,SumRef!BL$16,,,SumRef!$B$8))="","",INDIRECT(ADDRESS(SumRef!BL40,SumRef!BL$16,,,SumRef!$B$8))))</f>
        <v/>
      </c>
      <c r="W34" s="1354" t="str">
        <f ca="1">IF('A-80 DirEntInv'!W33&lt;&gt;"",'A-80 DirEntInv'!W33,IF(INDIRECT(ADDRESS(SumRef!BM40,SumRef!BM$16,,,SumRef!$B$8))="","",INDIRECT(ADDRESS(SumRef!BM40,SumRef!BM$16,,,SumRef!$B$8))))</f>
        <v/>
      </c>
      <c r="X34" s="1203" t="str">
        <f ca="1">IF('A-80 DirEntInv'!X33&lt;&gt;"",'A-80 DirEntInv'!X33,IF(INDIRECT(ADDRESS(SumRef!BN40,SumRef!BN$16,,,SumRef!$B$8))="","",INDIRECT(ADDRESS(SumRef!BN40,SumRef!BN$16,,,SumRef!$B$8))))</f>
        <v/>
      </c>
      <c r="Y34" s="1203" t="str">
        <f ca="1">IF('A-80 DirEntInv'!Y33&lt;&gt;"",'A-80 DirEntInv'!Y33,IF(INDIRECT(ADDRESS(SumRef!BO40,SumRef!BO$16,,,SumRef!$B$8))="","",INDIRECT(ADDRESS(SumRef!BO40,SumRef!BO$16,,,SumRef!$B$8))))</f>
        <v/>
      </c>
      <c r="Z34" s="1104" t="str">
        <f ca="1">IF('A-80 DirEntInv'!Z33&lt;&gt;"",'A-80 DirEntInv'!Z33,IF(INDIRECT(ADDRESS(SumRef!BP40,SumRef!BP$16,,,SumRef!$B$8))="","",INDIRECT(ADDRESS(SumRef!BP40,SumRef!BP$16,,,SumRef!$B$8))))</f>
        <v/>
      </c>
      <c r="AA34" s="1104" t="str">
        <f ca="1">IF('A-80 DirEntInv'!AA33&lt;&gt;"",'A-80 DirEntInv'!AA33,IF(INDIRECT(ADDRESS(SumRef!BQ40,SumRef!BQ$16,,,SumRef!$B$8))="","",INDIRECT(ADDRESS(SumRef!BQ40,SumRef!BQ$16,,,SumRef!$B$8))))</f>
        <v/>
      </c>
      <c r="AB34" s="1106" t="str">
        <f ca="1">IF('A-80 DirEntInv'!AB33&lt;&gt;"",'A-80 DirEntInv'!AB33,IF(INDIRECT(ADDRESS(SumRef!BR40,SumRef!BR$16,,,SumRef!$B$8))="","",INDIRECT(ADDRESS(SumRef!BR40,SumRef!BR$16,,,SumRef!$B$8))))</f>
        <v/>
      </c>
      <c r="AC34" s="1107" t="str">
        <f ca="1">IF('A-80 DirEntInv'!AC33&lt;&gt;"",'A-80 DirEntInv'!AC33,IF(INDIRECT(ADDRESS(SumRef!BS40,SumRef!BS$16,,,SumRef!$B$8))="","",INDIRECT(ADDRESS(SumRef!BS40,SumRef!BS$16,,,SumRef!$B$8))))</f>
        <v/>
      </c>
      <c r="AD34" s="1349" t="str">
        <f ca="1">IF('A-80 DirEntInv'!AD33&lt;&gt;"",'A-80 DirEntInv'!AD33,IF(INDIRECT(ADDRESS(SumRef!BT40,SumRef!BT$16,,,SumRef!$B$8))="","",INDIRECT(ADDRESS(SumRef!BT40,SumRef!BT$16,,,SumRef!$B$8))))</f>
        <v/>
      </c>
      <c r="AE34" s="1137" t="str">
        <f ca="1">IF('A-80 DirEntInv'!AE33&lt;&gt;"",'A-80 DirEntInv'!AE33,IF(INDIRECT(ADDRESS(SumRef!BU40,SumRef!BU$16,,,SumRef!$B$8))="","",INDIRECT(ADDRESS(SumRef!BU40,SumRef!BU$16,,,SumRef!$B$8))))</f>
        <v/>
      </c>
      <c r="AF34" s="1346" t="str">
        <f ca="1">IF('A-80 DirEntInv'!AF33&lt;&gt;"",'A-80 DirEntInv'!AF33,IF(INDIRECT(ADDRESS(SumRef!BV40,SumRef!BV$16,,,SumRef!$B$8))="","",INDIRECT(ADDRESS(SumRef!BV40,SumRef!BV$16,,,SumRef!$B$8))))</f>
        <v/>
      </c>
      <c r="AG34" s="1105" t="str">
        <f ca="1">IF('A-80 DirEntInv'!AG33&lt;&gt;"",'A-80 DirEntInv'!AG33,IF(INDIRECT(ADDRESS(SumRef!BW40,SumRef!BW$16,,,SumRef!$B$8))="","",INDIRECT(ADDRESS(SumRef!BW40,SumRef!BW$16,,,SumRef!$B$8))))</f>
        <v/>
      </c>
      <c r="AH34" s="1357" t="str">
        <f ca="1">IF('A-80 DirEntInv'!AH33&lt;&gt;"",'A-80 DirEntInv'!AH33,IF(INDIRECT(ADDRESS(SumRef!BX40,SumRef!BX$16,,,SumRef!$B$8))="","",INDIRECT(ADDRESS(SumRef!BX40,SumRef!BX$16,,,SumRef!$B$8))))</f>
        <v/>
      </c>
      <c r="AK34" s="1181" t="str">
        <f>Codes!$C$157</f>
        <v>AG - Automated Guideway (PT)</v>
      </c>
      <c r="AL34" s="1182" t="str">
        <f>Valid!$B$87</f>
        <v>Substation Building</v>
      </c>
      <c r="AM34" s="1123" t="str">
        <f>IF('A-80 DirEntInv'!AM33&lt;&gt;"",'A-80 DirEntInv'!AM33,IF(AK34=summaryref2!B21,summaryref2!D21,IF(Summary!AK34=summaryref2!B35,summaryref2!D35,IF(AK34=summaryref2!B49,summaryref2!D49,IF(AK34=summaryref2!B63,summaryref2!D63,IF(AK34=summaryref2!B77,summaryref2!D77,IF(AK34=summaryref2!B91,summaryref2!D91,IF(AK34=summaryref2!B105,summaryref2!D105,IF(AK34=summaryref2!B119,summaryref2!D119,IF(AK34=summaryref2!B133,summaryref2!D133,IF(AK34=summaryref2!B197,summaryref2!D147,"")))))))))))</f>
        <v/>
      </c>
      <c r="AN34" s="1124" t="str">
        <f ca="1">IF('A-80 DirEntInv'!AN33&lt;&gt;"",'A-80 DirEntInv'!AN33,IF(INDIRECT(ADDRESS(SumRef!CG72,SumRef!CG$16,,,SumRef!$C$7))="","",INDIRECT(ADDRESS(SumRef!CG72,SumRef!CG$16,,,SumRef!$C$7))))</f>
        <v>Each</v>
      </c>
      <c r="AO34" s="1123"/>
      <c r="AP34" s="1124"/>
      <c r="AQ34" s="1149" t="str">
        <f>IF('A-80 DirEntInv'!AQ33&lt;&gt;"",'A-80 DirEntInv'!AQ33,IF(AK34=summaryref2!B21,summaryref2!G21,IF(Summary!AK34=summaryref2!B35,summaryref2!G35,IF(AK34=summaryref2!B49,summaryref2!G49,IF(AK34=summaryref2!B63,summaryref2!G63,IF(AK34=summaryref2!B77,summaryref2!G77,IF(AK34=summaryref2!B91,summaryref2!G91,IF(AK34=summaryref2!B105,summaryref2!G105,IF(AK34=summaryref2!B119,summaryref2!G119,IF(AK34=summaryref2!B133,summaryref2!G133,IF(AK34=summaryref2!B147,summaryref2!G147,"")))))))))))</f>
        <v/>
      </c>
      <c r="AR34" s="1149" t="str">
        <f>IF('A-80 DirEntInv'!AR33&lt;&gt;"",'A-80 DirEntInv'!AR33,IF(AK34=summaryref2!B21,summaryref2!H21,IF(Summary!AK34=summaryref2!B35,summaryref2!H35,IF(AK34=summaryref2!B49,summaryref2!H49,IF(AK34=summaryref2!B63,summaryref2!H63,IF(AK34=summaryref2!B77,summaryref2!H77,IF(AK34=summaryref2!B91,summaryref2!H91,IF(AK34=summaryref2!B105,summaryref2!H105,IF(AK34=summaryref2!B119,summaryref2!H119,IF(AK34=summaryref2!B133,summaryref2!H133,IF(AK34=summaryref2!B147,summaryref2!H147,"")))))))))))</f>
        <v/>
      </c>
      <c r="AS34" s="1125" t="str">
        <f>IF('A-80 DirEntInv'!AS33&lt;&gt;"",'A-80 DirEntInv'!AS33,IF(AK34=summaryref2!B21,summaryref2!I21,IF(Summary!AK34=summaryref2!B35,summaryref2!I35,IF(AK34=summaryref2!B49,summaryref2!I49,IF(AK34=summaryref2!B63,summaryref2!I63,IF(AK34=summaryref2!B77,summaryref2!I77,IF(AK34=summaryref2!B91,summaryref2!I91,IF(AK34=summaryref2!B105,summaryref2!I105,IF(AK34=summaryref2!B119,summaryref2!I119,IF(AK34=summaryref2!B133,summaryref2!I133,IF(AK34=summaryref2!B147,summaryref2!I147,"")))))))))))</f>
        <v/>
      </c>
      <c r="AT34" s="1125" t="str">
        <f>IF('A-80 DirEntInv'!AT33&lt;&gt;"",'A-80 DirEntInv'!AT33,IF(AK34=summaryref2!B21,summaryref2!J21,IF(Summary!AK34=summaryref2!B35,summaryref2!J35,IF(AK34=summaryref2!B49,summaryref2!J49,IF(AK34=summaryref2!B63,summaryref2!J63,IF(AK34=summaryref2!B77,summaryref2!J77,IF(AK34=summaryref2!B91,summaryref2!J91,IF(AK34=summaryref2!B105,summaryref2!J105,IF(AK34=summaryref2!B119,summaryref2!J119,IF(AK34=summaryref2!B133,summaryref2!J133,IF(AK34=summaryref2!B147,summaryref2!J147,"")))))))))))</f>
        <v/>
      </c>
      <c r="AU34" s="1125" t="str">
        <f>IF('A-80 DirEntInv'!AU33&lt;&gt;"",'A-80 DirEntInv'!AU33,IF(AK34=summaryref2!B21,summaryref2!K21,IF(Summary!AK34=summaryref2!B35,summaryref2!K35,IF(AK34=summaryref2!B49,summaryref2!K49,IF(AK34=summaryref2!B63,summaryref2!K63,IF(AK34=summaryref2!B77,summaryref2!K77,IF(AK34=summaryref2!B91,summaryref2!K91,IF(AK34=summaryref2!B105,summaryref2!K105,IF(AK34=summaryref2!B119,summaryref2!K119,IF(AK34=summaryref2!B133,summaryref2!K133,IF(AK34=summaryref2!B147,summaryref2!K147,"")))))))))))</f>
        <v/>
      </c>
      <c r="AV34" s="1125" t="str">
        <f>IF('A-80 DirEntInv'!AV33&lt;&gt;"",'A-80 DirEntInv'!AV33,IF(AK34=summaryref2!B21,summaryref2!L21,IF(Summary!AK34=summaryref2!B35,summaryref2!L35,IF(AK34=summaryref2!B49,summaryref2!L49,IF(AK34=summaryref2!B63,summaryref2!L63,IF(AK34=summaryref2!B77,summaryref2!L77,IF(AK34=summaryref2!B91,summaryref2!L91,IF(AK34=summaryref2!B105,summaryref2!L105,IF(AK34=summaryref2!B119,summaryref2!L119,IF(AK34=summaryref2!B133,summaryref2!L133,IF(AK34=summaryref2!B147,summaryref2!L147,"")))))))))))</f>
        <v/>
      </c>
      <c r="AW34" s="1125" t="str">
        <f>IF('A-80 DirEntInv'!AW33&lt;&gt;"",'A-80 DirEntInv'!AW33,IF(AK34=summaryref2!B21,summaryref2!M21,IF(Summary!AK34=summaryref2!B35,summaryref2!M35,IF(AK34=summaryref2!B49,summaryref2!M49,IF(AK34=summaryref2!B63,summaryref2!M63,IF(AK34=summaryref2!B77,summaryref2!M77,IF(AK34=summaryref2!B91,summaryref2!M91,IF(AK34=summaryref2!B105,summaryref2!M105,IF(AK34=summaryref2!B119,summaryref2!M119,IF(AK34=summaryref2!B133,summaryref2!M133,IF(AK34=summaryref2!B147,summaryref2!M147,"")))))))))))</f>
        <v/>
      </c>
      <c r="AX34" s="1125" t="str">
        <f>IF('A-80 DirEntInv'!AX33&lt;&gt;"",'A-80 DirEntInv'!AX33,IF(AK34=summaryref2!B21,summaryref2!N21,IF(Summary!AK34=summaryref2!B35,summaryref2!N35,IF(AK34=summaryref2!B49,summaryref2!N49,IF(AK34=summaryref2!B63,summaryref2!N63,IF(AK34=summaryref2!B77,summaryref2!N77,IF(AK34=summaryref2!B91,summaryref2!N91,IF(AK34=summaryref2!B105,summaryref2!N105,IF(AK34=summaryref2!B119,summaryref2!N119,IF(AK34=summaryref2!B133,summaryref2!N133,IF(AK34=summaryref2!B147,summaryref2!N147,"")))))))))))</f>
        <v/>
      </c>
      <c r="AY34" s="1125" t="str">
        <f>IF('A-80 DirEntInv'!AY33&lt;&gt;"",'A-80 DirEntInv'!AY33,IF(AK34=summaryref2!B21,summaryref2!O21,IF(Summary!AK34=summaryref2!B35,summaryref2!O35,IF(AK34=summaryref2!B49,summaryref2!O49,IF(AK34=summaryref2!B63,summaryref2!O63,IF(AK34=summaryref2!B77,summaryref2!O77,IF(AK34=summaryref2!B91,summaryref2!O91,IF(AK34=summaryref2!B105,summaryref2!O105,IF(AK34=summaryref2!B119,summaryref2!O119,IF(AK34=summaryref2!B133,summaryref2!O133,IF(AK34=summaryref2!B147,summaryref2!O147,"")))))))))))</f>
        <v/>
      </c>
      <c r="AZ34" s="1125" t="str">
        <f>IF('A-80 DirEntInv'!AZ33&lt;&gt;"",'A-80 DirEntInv'!AZ33,IF(AK34=summaryref2!B21,summaryref2!P21,IF(Summary!AK34=summaryref2!B35,summaryref2!P35,IF(AK34=summaryref2!B49,summaryref2!P49,IF(AK34=summaryref2!B63,summaryref2!P63,IF(AK34=summaryref2!B77,summaryref2!P77,IF(AK34=summaryref2!B91,summaryref2!P91,IF(AK34=summaryref2!B105,summaryref2!P105,IF(AK34=summaryref2!B119,summaryref2!P119,IF(AK34=summaryref2!B133,summaryref2!P133,IF(AK34=summaryref2!B147,summaryref2!P147,"")))))))))))</f>
        <v/>
      </c>
      <c r="BA34" s="1125" t="str">
        <f>IF('A-80 DirEntInv'!BA33&lt;&gt;"",'A-80 DirEntInv'!BA33,IF(AK34=summaryref2!B21,summaryref2!Q21,IF(Summary!AK34=summaryref2!B35,summaryref2!Q35,IF(AK34=summaryref2!B49,summaryref2!Q49,IF(AK34=summaryref2!B63,summaryref2!Q63,IF(AK34=summaryref2!B77,summaryref2!Q77,IF(AK34=summaryref2!B91,summaryref2!Q91,IF(AK34=summaryref2!B105,summaryref2!Q105,IF(AK34=summaryref2!B119,summaryref2!Q119,IF(AK34=summaryref2!B133,summaryref2!Q133,IF(AK34=summaryref2!B147,summaryref2!Q147,"")))))))))))</f>
        <v/>
      </c>
      <c r="BB34" s="1125" t="str">
        <f>IF('A-80 DirEntInv'!BB33&lt;&gt;"",'A-80 DirEntInv'!BB33,IF(AK34=summaryref2!B21,summaryref2!R21,IF(Summary!AK34=summaryref2!B35,summaryref2!R35,IF(AK34=summaryref2!B49,summaryref2!R49,IF(AK34=summaryref2!B63,summaryref2!R63,IF(AK34=summaryref2!B77,summaryref2!R77,IF(AK34=summaryref2!B91,summaryref2!R91,IF(AK34=summaryref2!B105,summaryref2!R105,IF(AK34=summaryref2!B119,summaryref2!R119,IF(AK34=summaryref2!B133,summaryref2!R133,IF(AK34=summaryref2!B147,summaryref2!R147,"")))))))))))</f>
        <v/>
      </c>
      <c r="BC34" s="1125" t="str">
        <f>IF('A-80 DirEntInv'!BC33&lt;&gt;0,'A-80 DirEntInv'!BC33,IF(AK34=summaryref2!B21,summaryref2!S21,IF(Summary!AK34=summaryref2!B35,summaryref2!S35,IF(AK34=summaryref2!B49,summaryref2!S49,IF(AK34=summaryref2!B63,summaryref2!S63,IF(AK34=summaryref2!B77,summaryref2!S77,IF(AK34=summaryref2!B91,summaryref2!S91,IF(AK34=summaryref2!B105,summaryref2!S105,IF(AK34=summaryref2!B119,summaryref2!S119,IF(AK34=summaryref2!B133,summaryref2!S133,IF(AK34=summaryref2!B147,summaryref2!S147,"")))))))))))</f>
        <v/>
      </c>
      <c r="BD34" s="1126" t="str">
        <f>IF('A-80 DirEntInv'!BD33&lt;&gt;"",'A-80 DirEntInv'!BD33,IF(AK34=summaryref2!B21,summaryref2!T21,IF(Summary!AK34=summaryref2!B35,summaryref2!T35,IF(AK34=summaryref2!B49,summaryref2!T49,IF(AK34=summaryref2!B63,summaryref2!T63,IF(AK34=summaryref2!B77,summaryref2!T77,IF(AK34=summaryref2!B91,summaryref2!T91,IF(AK34=summaryref2!B105,summaryref2!T105,IF(AK34=summaryref2!B119,summaryref2!T119,IF(AK34=summaryref2!B133,summaryref2!T133,IF(AK34=summaryref2!B147,summaryref2!T147,"")))))))))))</f>
        <v/>
      </c>
      <c r="BE34" s="1183" t="str">
        <f>IF('A-80 DirEntInv'!BE33&lt;&gt;"",'A-80 DirEntInv'!BE33,IF(AK34=summaryref2!B21,summaryref2!U21,IF(Summary!AK34=summaryref2!B35,summaryref2!U35,IF(AK34=summaryref2!B49,summaryref2!U49,IF(AK34=summaryref2!B63,summaryref2!U63,IF(AK34=summaryref2!B77,summaryref2!U77,IF(AK34=summaryref2!B91,summaryref2!U91,IF(AK34=summaryref2!B105,summaryref2!U105,IF(AK34=summaryref2!B119,summaryref2!U119,IF(AK34=summaryref2!B133,summaryref2!U133,IF(AK34=summaryref2!B147,summaryref2!U147,"")))))))))))</f>
        <v/>
      </c>
      <c r="BF34" s="1432"/>
      <c r="BG34" s="1432"/>
      <c r="BJ34" s="1045" t="str">
        <f>Codes!$C$159</f>
        <v>CC - Cable Car (DO)</v>
      </c>
      <c r="BK34" s="1046" t="str">
        <f>Valid!$B$82</f>
        <v>Double Diamond Crossover</v>
      </c>
      <c r="BL34" s="1368" t="str">
        <f>IF('A-80 DirEntInv'!BL33&lt;&gt;"",'A-80 DirEntInv'!BL33,IF(BJ34=summaryref2!X14,summaryref2!Z14,IF(BJ34=summaryref2!X21,summaryref2!Z21,IF(BJ34=summaryref2!X28,summaryref2!Z28,IF(BJ34=summaryref2!X35,summaryref2!Z35,IF(BJ34=summaryref2!X42,summaryref2!Z42,IF(BJ34=summaryref2!X49,summaryref2!Z49,IF(BJ34=summaryref2!X56,summaryref2!Z56,IF(BJ34=summaryref2!X63,summaryref2!Z63,IF(BJ34=summaryref2!X70,summaryref2!Z70,IF(BJ34=summaryref2!X77,summaryref2!Z77,"")))))))))))</f>
        <v/>
      </c>
      <c r="BM34" s="1046" t="str">
        <f>VLOOKUP(BK34,Valid!$B$80:$C$86,2,FALSE)</f>
        <v>Each</v>
      </c>
      <c r="BN34" s="1325" t="str">
        <f>IF('A-80 DirEntInv'!BN33&lt;&gt;"",'A-80 DirEntInv'!BN33,IF(BJ34=summaryref2!X14,summaryref2!AB14,IF(BJ34=summaryref2!X21,summaryref2!AB21,IF(BJ34=summaryref2!X28,summaryref2!AB28,IF(BJ34=summaryref2!X35,summaryref2!AB35,IF(BJ34=summaryref2!X42,summaryref2!AB42,IF(BJ34=summaryref2!X49,summaryref2!AB49,IF(BJ34=summaryref2!X56,summaryref2!AB56,IF(BJ34=summaryref2!X63,summaryref2!AB63,IF(BJ34=summaryref2!X70,summaryref2!AB70,IF(BJ34=summaryref2!X77,summaryref2!AB77,"")))))))))))</f>
        <v/>
      </c>
      <c r="BO34" s="1327" t="str">
        <f>IF('A-80 DirEntInv'!BO33&lt;&gt;"",'A-80 DirEntInv'!BO33,IF(BJ34=summaryref2!X14,summaryref2!AC14,IF(BJ34=summaryref2!X21,summaryref2!AC21,IF(BJ34=summaryref2!X28,summaryref2!AC28,IF(BJ34=summaryref2!X35,summaryref2!AC35,IF(BJ34=summaryref2!X42,summaryref2!AC42,IF(BJ34=summaryref2!X49,summaryref2!AC49,IF(BJ34=summaryref2!X56,summaryref2!AC56,IF(BJ34=summaryref2!X63,summaryref2!AC63,IF(BJ34=summaryref2!X70,summaryref2!AC70,IF(BJ34=summaryref2!X77,summaryref2!AC77,"")))))))))))</f>
        <v/>
      </c>
      <c r="BP34" s="1322" t="str">
        <f>IF('A-80 DirEntInv'!BP33&lt;&gt;"",'A-80 DirEntInv'!BP33,IF(BJ34=summaryref2!X14,summaryref2!AD14,IF(BJ34=summaryref2!X21,summaryref2!AD21,IF(BJ34=summaryref2!X28,summaryref2!AD28,IF(BJ34=summaryref2!X35,summaryref2!AD35,IF(BJ34=summaryref2!X42,summaryref2!AD42,IF(BJ34=summaryref2!X49,summaryref2!AD49,IF(BJ34=summaryref2!X56,summaryref2!AD56,IF(BJ34=summaryref2!X63,summaryref2!AD63,IF(BJ34=summaryref2!X70,summaryref2!AD70,IF(BJ34=summaryref2!X77,summaryref2!AD77,"")))))))))))</f>
        <v/>
      </c>
      <c r="BS34" s="1472" t="str">
        <f ca="1">IF('A-80 DirEntInv'!BU33&lt;&gt;"",'A-80 DirEntInv'!BU33,IF(INDIRECT(ADDRESS(SumRef!DK40,SumRef!DK$16,,,SumRef!$E$6))="","",INDIRECT(ADDRESS(SumRef!DK40,SumRef!DK$16,,,SumRef!$E$6))))</f>
        <v/>
      </c>
      <c r="BT34" s="1458" t="str">
        <f ca="1">IF('A-80 DirEntInv'!BV33&lt;&gt;"",'A-80 DirEntInv'!BV33,IF(INDIRECT(ADDRESS(SumRef!DL40,SumRef!DL$16,,,SumRef!$E$6))="","",INDIRECT(ADDRESS(SumRef!DL40,SumRef!DL$16,,,SumRef!$E$6))))</f>
        <v/>
      </c>
      <c r="BU34" s="1177" t="str">
        <f ca="1">IF('A-80 DirEntInv'!BW33&lt;&gt;"",'A-80 DirEntInv'!BW33,IF(INDIRECT(ADDRESS(SumRef!DM40,SumRef!DM$16,,,SumRef!$E$6))="","",INDIRECT(ADDRESS(SumRef!DM40,SumRef!DM$16,,,SumRef!$E$6))))</f>
        <v/>
      </c>
      <c r="BV34" s="1460" t="str">
        <f ca="1">IF('A-80 DirEntInv'!BX33&lt;&gt;"",'A-80 DirEntInv'!BX33,IF(INDIRECT(ADDRESS(SumRef!DN40,SumRef!DN$16,,,SumRef!$E$6))="","",INDIRECT(ADDRESS(SumRef!DN40,SumRef!DN$16,,,SumRef!$E$6))))</f>
        <v/>
      </c>
      <c r="BW34" s="1460" t="str">
        <f ca="1">IF('A-80 DirEntInv'!BY33&lt;&gt;"",'A-80 DirEntInv'!BY33,IF(INDIRECT(ADDRESS(SumRef!DO40,SumRef!DO$16,,,SumRef!$E$6))="","",INDIRECT(ADDRESS(SumRef!DO40,SumRef!DO$16,,,SumRef!$E$6))))</f>
        <v/>
      </c>
      <c r="BX34" s="1116" t="str">
        <f ca="1">IF('A-80 DirEntInv'!BZ33&lt;&gt;"",'A-80 DirEntInv'!BZ33,IF(INDIRECT(ADDRESS(SumRef!DP40,SumRef!DP$16,,,SumRef!$E$6))="","",INDIRECT(ADDRESS(SumRef!DP40,SumRef!DP$16,,,SumRef!$E$6))))</f>
        <v/>
      </c>
      <c r="BY34" s="1461" t="str">
        <f ca="1">IF('A-80 DirEntInv'!CA33&lt;&gt;"",'A-80 DirEntInv'!CA33,IF(INDIRECT(ADDRESS(SumRef!DQ40,SumRef!DQ$16,,,SumRef!$E$6))="","",INDIRECT(ADDRESS(SumRef!DQ40,SumRef!DQ$16,,,SumRef!$E$6))))</f>
        <v/>
      </c>
      <c r="BZ34" s="1460" t="str">
        <f ca="1">IF('A-80 DirEntInv'!CB33&lt;&gt;"",'A-80 DirEntInv'!CB33,IF(INDIRECT(ADDRESS(SumRef!DR40,SumRef!DR$16,,,SumRef!$E$6))="","",INDIRECT(ADDRESS(SumRef!DR40,SumRef!DR$16,,,SumRef!$E$6))))</f>
        <v/>
      </c>
      <c r="CA34" s="1462" t="str">
        <f ca="1">IF('A-80 DirEntInv'!CC33&lt;&gt;"",'A-80 DirEntInv'!CC33,IF(INDIRECT(ADDRESS(SumRef!DS40,SumRef!DS$16,,,SumRef!$E$6))="","",INDIRECT(ADDRESS(SumRef!DS40,SumRef!DS$16,,,SumRef!$E$6))))</f>
        <v/>
      </c>
      <c r="CD34" s="1160" t="str">
        <f ca="1">IF('A-80 DirEntInv'!CF33&lt;&gt;"",'A-80 DirEntInv'!CF33,IF(INDIRECT(ADDRESS(SumRef!DV40,SumRef!DV$16,,,SumRef!$E$7))="","",INDIRECT(ADDRESS(SumRef!DV40,SumRef!DV$16,,,SumRef!$E$7))))</f>
        <v/>
      </c>
      <c r="CE34" s="1167" t="str">
        <f ca="1">IF('A-80 DirEntInv'!CG33&lt;&gt;"",'A-80 DirEntInv'!CG33,IF(INDIRECT(ADDRESS(SumRef!DW40,SumRef!DW$16,,,SumRef!$E$7))="","",INDIRECT(ADDRESS(SumRef!DW40,SumRef!DW$16,,,SumRef!$E$7))))</f>
        <v/>
      </c>
      <c r="CF34" s="1167" t="str">
        <f ca="1">IF('A-80 DirEntInv'!CH33&lt;&gt;"",'A-80 DirEntInv'!CH33,IF(INDIRECT(ADDRESS(SumRef!DX40,SumRef!DX$16,,,SumRef!$E$7))="","",INDIRECT(ADDRESS(SumRef!DX40,SumRef!DX$16,,,SumRef!$E$7))))</f>
        <v/>
      </c>
      <c r="CG34" s="1167" t="str">
        <f ca="1">IF('A-80 DirEntInv'!CI33&lt;&gt;"",'A-80 DirEntInv'!CI33,IF(INDIRECT(ADDRESS(SumRef!DY40,SumRef!DY$16,,,SumRef!$E$7))="","",INDIRECT(ADDRESS(SumRef!DY40,SumRef!DY$16,,,SumRef!$E$7))))</f>
        <v/>
      </c>
      <c r="CH34" s="1167" t="str">
        <f ca="1">IF('A-80 DirEntInv'!CJ33&lt;&gt;"",'A-80 DirEntInv'!CJ33,IF(INDIRECT(ADDRESS(SumRef!DZ40,SumRef!DZ$16,,,SumRef!$E$7))="","",INDIRECT(ADDRESS(SumRef!DZ40,SumRef!DZ$16,,,SumRef!$E$7))))</f>
        <v/>
      </c>
      <c r="CI34" s="1167" t="str">
        <f ca="1">IF('A-80 DirEntInv'!CK33&lt;&gt;"",'A-80 DirEntInv'!CK33,IF(INDIRECT(ADDRESS(SumRef!EA40,SumRef!EA$16,,,SumRef!$E$7))="","",INDIRECT(ADDRESS(SumRef!EA40,SumRef!EA$16,,,SumRef!$E$7))))</f>
        <v/>
      </c>
      <c r="CJ34" s="1114" t="str">
        <f ca="1">IF('A-80 DirEntInv'!CL33&lt;&gt;"",'A-80 DirEntInv'!CL33,IF(INDIRECT(ADDRESS(SumRef!EB40,SumRef!EB$16,,,SumRef!$E$7))="","",INDIRECT(ADDRESS(SumRef!EB40,SumRef!EB$16,,,SumRef!$E$7))))</f>
        <v/>
      </c>
      <c r="CK34" s="1114" t="str">
        <f ca="1">IF('A-80 DirEntInv'!CM33&lt;&gt;"",'A-80 DirEntInv'!CM33,IF(INDIRECT(ADDRESS(SumRef!EC40,SumRef!EC$16,,,SumRef!$E$7))="","",INDIRECT(ADDRESS(SumRef!EC40,SumRef!EC$16,,,SumRef!$E$7))))</f>
        <v/>
      </c>
      <c r="CL34" s="1113" t="str">
        <f ca="1">IF('A-80 DirEntInv'!CO33&lt;&gt;"",'A-80 DirEntInv'!CO33,IF(INDIRECT(ADDRESS(SumRef!ED40,SumRef!ED$16,,,SumRef!$E$7))="","",INDIRECT(ADDRESS(SumRef!ED40,SumRef!ED$16,,,SumRef!$E$7))))</f>
        <v/>
      </c>
      <c r="CM34" s="1114" t="str">
        <f ca="1">IF('A-80 DirEntInv'!CP33&lt;&gt;"",'A-80 DirEntInv'!CP33,IF(INDIRECT(ADDRESS(SumRef!EE40,SumRef!EE$16,,,SumRef!$E$7))="","",INDIRECT(ADDRESS(SumRef!EE40,SumRef!EE$16,,,SumRef!$E$7))))</f>
        <v/>
      </c>
      <c r="CN34" s="1114" t="str">
        <f ca="1">IF('A-80 DirEntInv'!CQ33&lt;&gt;"",'A-80 DirEntInv'!CQ33,IF(INDIRECT(ADDRESS(SumRef!EF40,SumRef!EF$16,,,SumRef!$E$7))="","",INDIRECT(ADDRESS(SumRef!EF40,SumRef!EF$16,,,SumRef!$E$7))))</f>
        <v/>
      </c>
      <c r="CO34" s="1113" t="str">
        <f ca="1">IF('A-80 DirEntInv'!CR33&lt;&gt;"",'A-80 DirEntInv'!CR33,IF(INDIRECT(ADDRESS(SumRef!EG40,SumRef!EG$16,,,SumRef!$E$7))="","",INDIRECT(ADDRESS(SumRef!EG40,SumRef!EG$16,,,SumRef!$E$7))))</f>
        <v/>
      </c>
      <c r="CP34" s="1114" t="str">
        <f ca="1">IF('A-80 DirEntInv'!CS33&lt;&gt;"",'A-80 DirEntInv'!CS33,IF(INDIRECT(ADDRESS(SumRef!EH40,SumRef!EH$16,,,SumRef!$E$7))="","",INDIRECT(ADDRESS(SumRef!EH40,SumRef!EH$16,,,SumRef!$E$7))))</f>
        <v/>
      </c>
      <c r="CQ34" s="1346" t="str">
        <f ca="1">IF('A-80 DirEntInv'!CT33&lt;&gt;"",'A-80 DirEntInv'!CT33,IF(INDIRECT(ADDRESS(SumRef!EI40,SumRef!EI$16,,,SumRef!$E$7))="","",INDIRECT(ADDRESS(SumRef!EI40,SumRef!EI$16,,,SumRef!$E$7))))</f>
        <v/>
      </c>
      <c r="CR34" s="1113" t="str">
        <f ca="1">IF('A-80 DirEntInv'!CU33&lt;&gt;"",'A-80 DirEntInv'!CU33,IF(INDIRECT(ADDRESS(SumRef!EJ40,SumRef!EJ$16,,,SumRef!$E$7))="","",INDIRECT(ADDRESS(SumRef!EJ40,SumRef!EJ$16,,,SumRef!$E$7))))</f>
        <v/>
      </c>
      <c r="CS34" s="1346" t="str">
        <f ca="1">IF('A-80 DirEntInv'!CV33&lt;&gt;"",'A-80 DirEntInv'!CV33,IF(INDIRECT(ADDRESS(SumRef!EM40,SumRef!EM$16,,,SumRef!$E$7))="","",INDIRECT(ADDRESS(SumRef!EM40,SumRef!EM$16,,,SumRef!$E$7))))</f>
        <v/>
      </c>
      <c r="CT34" s="1113" t="str">
        <f ca="1">IF('A-80 DirEntInv'!CW33&lt;&gt;"",'A-80 DirEntInv'!CW33,IF(INDIRECT(ADDRESS(SumRef!EN40,SumRef!EN$16,,,SumRef!$E$7))="","",INDIRECT(ADDRESS(SumRef!EN40,SumRef!EN$16,,,SumRef!$E$7))))</f>
        <v/>
      </c>
      <c r="CU34" s="1113" t="str">
        <f ca="1">IF('A-80 DirEntInv'!CX33&lt;&gt;"",'A-80 DirEntInv'!CX33,IF(INDIRECT(ADDRESS(SumRef!EO40,SumRef!EO$16,,,SumRef!$E$7))="","",INDIRECT(ADDRESS(SumRef!EO40,SumRef!EO$16,,,SumRef!$E$7))))</f>
        <v/>
      </c>
      <c r="CV34" s="1113" t="str">
        <f ca="1">IF('A-80 DirEntInv'!CY33&lt;&gt;"",'A-80 DirEntInv'!CY33,IF(INDIRECT(ADDRESS(SumRef!EP40,SumRef!EP$16,,,SumRef!$E$7))="","",INDIRECT(ADDRESS(SumRef!EP40,SumRef!EP$16,,,SumRef!$E$7))))</f>
        <v/>
      </c>
      <c r="CW34" s="1114" t="str">
        <f ca="1">IF('A-80 DirEntInv'!CZ33&lt;&gt;"",'A-80 DirEntInv'!CZ33,IF(INDIRECT(ADDRESS(SumRef!ES40,SumRef!ES$16,,,SumRef!$E$7))="","",INDIRECT(ADDRESS(SumRef!ES40,SumRef!ES$16,,,SumRef!$E$7))))</f>
        <v/>
      </c>
      <c r="CX34" s="1167" t="str">
        <f ca="1">IF('A-80 DirEntInv'!DA33&lt;&gt;"",'A-80 DirEntInv'!DA33,IF(INDIRECT(ADDRESS(SumRef!ET40,SumRef!ET$16,,,SumRef!$E$7))="","",INDIRECT(ADDRESS(SumRef!ET40,SumRef!ET$16,,,SumRef!$E$7))))</f>
        <v/>
      </c>
      <c r="CY34" s="1167" t="str">
        <f ca="1">IF('A-80 DirEntInv'!DB33&lt;&gt;"",'A-80 DirEntInv'!DB33,IF(INDIRECT(ADDRESS(SumRef!EU40,SumRef!EU$16,,,SumRef!$E$7))="","",INDIRECT(ADDRESS(SumRef!EU40,SumRef!EU$16,,,SumRef!$E$7))))</f>
        <v/>
      </c>
      <c r="CZ34" s="1167" t="b">
        <f ca="1">IF('A-80 DirEntInv'!DC33&lt;&gt;"",'A-80 DirEntInv'!DC33,IF(INDIRECT(ADDRESS(SumRef!EV40,SumRef!EV$16,,,SumRef!$E$7))="","",INDIRECT(ADDRESS(SumRef!EV40,SumRef!EV$16,,,SumRef!$E$7))))</f>
        <v>0</v>
      </c>
      <c r="DA34" s="1373" t="str">
        <f ca="1">IF('A-80 DirEntInv'!DD33&lt;&gt;"",'A-80 DirEntInv'!DD33,IF(INDIRECT(ADDRESS(SumRef!EW40,SumRef!EW$16,,,SumRef!$E$7))="","",INDIRECT(ADDRESS(SumRef!EW40,SumRef!EW$16,,,SumRef!$E$7))))</f>
        <v/>
      </c>
      <c r="DB34" s="1373" t="b">
        <f ca="1">IF('A-80 DirEntInv'!DE33&lt;&gt;"",'A-80 DirEntInv'!DE33,IF(INDIRECT(ADDRESS(SumRef!EX40,SumRef!EX$16,,,SumRef!$E$7))="","",INDIRECT(ADDRESS(SumRef!EX40,SumRef!EX$16,,,SumRef!$E$7))))</f>
        <v>0</v>
      </c>
      <c r="DC34" s="1114" t="b">
        <f ca="1">IF('A-80 DirEntInv'!DF33&lt;&gt;"",'A-80 DirEntInv'!DF33,IF(INDIRECT(ADDRESS(SumRef!EY40,SumRef!EY$16,,,SumRef!$E$7))="","",INDIRECT(ADDRESS(SumRef!EY40,SumRef!EY$16,,,SumRef!$E$7))))</f>
        <v>0</v>
      </c>
      <c r="DD34" s="1115" t="str">
        <f ca="1">IF('A-80 DirEntInv'!DG33&lt;&gt;"",'A-80 DirEntInv'!DG33,IF(INDIRECT(ADDRESS(SumRef!EZ40,SumRef!EZ$16,,,SumRef!$E$7))="","",INDIRECT(ADDRESS(SumRef!EZ40,SumRef!EZ$16,,,SumRef!$E$7))))</f>
        <v/>
      </c>
    </row>
    <row r="35" spans="1:108" s="588" customFormat="1" x14ac:dyDescent="0.2">
      <c r="A35" s="589">
        <f t="shared" si="0"/>
        <v>25</v>
      </c>
      <c r="B35" s="1155" t="str">
        <f ca="1">IF('A-80 DirEntInv'!B34&lt;&gt;"",'A-80 DirEntInv'!B34,IF(INDIRECT(ADDRESS(SumRef!AQ41,SumRef!AQ$16,,,SumRef!$B$7))="","",INDIRECT(ADDRESS(SumRef!AQ41,SumRef!AQ$16,,,SumRef!$B$7))))</f>
        <v/>
      </c>
      <c r="C35" s="1097" t="str">
        <f ca="1">IF('A-80 DirEntInv'!C34&lt;&gt;"",'A-80 DirEntInv'!C34,IF(INDIRECT(ADDRESS(SumRef!AR41,SumRef!AR$16,,,SumRef!$B$7))="","",INDIRECT(ADDRESS(SumRef!AR41,SumRef!AR$16,,,SumRef!$B$7))))</f>
        <v/>
      </c>
      <c r="D35" s="1097" t="str">
        <f ca="1">IF('A-80 DirEntInv'!D34&lt;&gt;"",'A-80 DirEntInv'!D34,IF(INDIRECT(ADDRESS(SumRef!AS41,SumRef!AS$16,,,SumRef!$B$7))="","",INDIRECT(ADDRESS(SumRef!AS41,SumRef!AS$16,,,SumRef!$B$7))))</f>
        <v/>
      </c>
      <c r="E35" s="1097" t="str">
        <f ca="1">IF('A-80 DirEntInv'!E34&lt;&gt;"",'A-80 DirEntInv'!E34,IF(INDIRECT(ADDRESS(SumRef!AT41,SumRef!AT$16,,,SumRef!$B$7))="","",INDIRECT(ADDRESS(SumRef!AT41,SumRef!AT$16,,,SumRef!$B$7))))</f>
        <v/>
      </c>
      <c r="F35" s="1097" t="str">
        <f ca="1">IF('A-80 DirEntInv'!F34&lt;&gt;"",'A-80 DirEntInv'!F34,IF(INDIRECT(ADDRESS(SumRef!AU41,SumRef!AU$16,,,SumRef!$B$7))="","",INDIRECT(ADDRESS(SumRef!AU41,SumRef!AU$16,,,SumRef!$B$7))))</f>
        <v/>
      </c>
      <c r="G35" s="1158" t="str">
        <f ca="1">IF('A-80 DirEntInv'!G34&lt;&gt;"",'A-80 DirEntInv'!G34,IF(INDIRECT(ADDRESS(SumRef!AV41,SumRef!AV$16,,,SumRef!$B$7))="","",INDIRECT(ADDRESS(SumRef!AV41,SumRef!AV$16,,,SumRef!$B$7))))</f>
        <v/>
      </c>
      <c r="H35" s="1097" t="str">
        <f ca="1">IF('A-80 DirEntInv'!H34&lt;&gt;"",'A-80 DirEntInv'!H34,IF(INDIRECT(ADDRESS(SumRef!AW41,SumRef!AW$16,,,SumRef!$B$7))="","",INDIRECT(ADDRESS(SumRef!AW41,SumRef!AW$16,,,SumRef!$B$7))))</f>
        <v/>
      </c>
      <c r="I35" s="1097" t="str">
        <f ca="1">IF('A-80 DirEntInv'!I34&lt;&gt;"",'A-80 DirEntInv'!I34,IF(INDIRECT(ADDRESS(SumRef!AX41,SumRef!AX$16,,,SumRef!$B$7))="","",INDIRECT(ADDRESS(SumRef!AX41,SumRef!AX$16,,,SumRef!$B$7))))</f>
        <v/>
      </c>
      <c r="J35" s="1098" t="str">
        <f ca="1">IF('A-80 DirEntInv'!J34&lt;&gt;"",'A-80 DirEntInv'!J34,IF(INDIRECT(ADDRESS(SumRef!AY41,SumRef!AY$16,,,SumRef!$B$7))="","",INDIRECT(ADDRESS(SumRef!AY41,SumRef!AY$16,,,SumRef!$B$7))))</f>
        <v/>
      </c>
      <c r="K35" s="1099" t="str">
        <f ca="1">IF('A-80 DirEntInv'!K34&lt;&gt;"",'A-80 DirEntInv'!K34,IF(INDIRECT(ADDRESS(SumRef!AZ41,SumRef!AZ$16,,,SumRef!$B$7))="","",INDIRECT(ADDRESS(SumRef!AZ41,SumRef!AZ$16,,,SumRef!$B$7))))</f>
        <v/>
      </c>
      <c r="L35" s="1100" t="str">
        <f ca="1">IF('A-80 DirEntInv'!L34&lt;&gt;"",'A-80 DirEntInv'!L34,IF(INDIRECT(ADDRESS(SumRef!BA41,SumRef!BA$16,,,SumRef!$B$7))="","",INDIRECT(ADDRESS(SumRef!BA41,SumRef!BA$16,,,SumRef!$B$7))))</f>
        <v/>
      </c>
      <c r="M35" s="1101" t="str">
        <f ca="1">IF('A-80 DirEntInv'!M34&lt;&gt;"",'A-80 DirEntInv'!M34,IF(INDIRECT(ADDRESS(SumRef!BB41,SumRef!BB$16,,,SumRef!$B$7))="","",INDIRECT(ADDRESS(SumRef!BB41,SumRef!BB$16,,,SumRef!$B$7))))</f>
        <v/>
      </c>
      <c r="N35" s="1098" t="str">
        <f ca="1">IF('A-80 DirEntInv'!N34&lt;&gt;"",'A-80 DirEntInv'!N34,IF(INDIRECT(ADDRESS(SumRef!BC41,SumRef!BC$16,,,SumRef!$B$7))="","",INDIRECT(ADDRESS(SumRef!BC41,SumRef!BC$16,,,SumRef!$B$7))))</f>
        <v/>
      </c>
      <c r="O35" s="1102" t="str">
        <f ca="1">IF('A-80 DirEntInv'!O34&lt;&gt;"",'A-80 DirEntInv'!O34,IF(INDIRECT(ADDRESS(SumRef!BD41,SumRef!BD$16,,,SumRef!$B$7))="","",INDIRECT(ADDRESS(SumRef!BD41,SumRef!BD$16,,,SumRef!$B$7))))</f>
        <v/>
      </c>
      <c r="Q35" s="589"/>
      <c r="R35" s="1103" t="str">
        <f ca="1">IF('A-80 DirEntInv'!R34&lt;&gt;"",'A-80 DirEntInv'!R34,IF(INDIRECT(ADDRESS(SumRef!BH41,SumRef!BH$16,,,SumRef!$B$8))="","",INDIRECT(ADDRESS(SumRef!BH41,SumRef!BH$16,,,SumRef!$B$8))))</f>
        <v/>
      </c>
      <c r="S35" s="1104" t="str">
        <f ca="1">IF('A-80 DirEntInv'!S34&lt;&gt;"",'A-80 DirEntInv'!S34,IF(INDIRECT(ADDRESS(SumRef!BI41,SumRef!BI$16,,,SumRef!$B$8))="","",INDIRECT(ADDRESS(SumRef!BI41,SumRef!BI$16,,,SumRef!$B$8))))</f>
        <v/>
      </c>
      <c r="T35" s="1104" t="str">
        <f ca="1">IF('A-80 DirEntInv'!T34&lt;&gt;"",'A-80 DirEntInv'!T34,IF(INDIRECT(ADDRESS(SumRef!BJ41,SumRef!BJ$16,,,SumRef!$B$8))="","",INDIRECT(ADDRESS(SumRef!BJ41,SumRef!BJ$16,,,SumRef!$B$8))))</f>
        <v/>
      </c>
      <c r="U35" s="1104" t="str">
        <f ca="1">IF('A-80 DirEntInv'!U34&lt;&gt;"",'A-80 DirEntInv'!U34,IF(INDIRECT(ADDRESS(SumRef!BK41,SumRef!BK$16,,,SumRef!$B$8))="","",INDIRECT(ADDRESS(SumRef!BK41,SumRef!BK$16,,,SumRef!$B$8))))</f>
        <v/>
      </c>
      <c r="V35" s="1104" t="str">
        <f ca="1">IF('A-80 DirEntInv'!V34&lt;&gt;"",'A-80 DirEntInv'!V34,IF(INDIRECT(ADDRESS(SumRef!BL41,SumRef!BL$16,,,SumRef!$B$8))="","",INDIRECT(ADDRESS(SumRef!BL41,SumRef!BL$16,,,SumRef!$B$8))))</f>
        <v/>
      </c>
      <c r="W35" s="1354" t="str">
        <f ca="1">IF('A-80 DirEntInv'!W34&lt;&gt;"",'A-80 DirEntInv'!W34,IF(INDIRECT(ADDRESS(SumRef!BM41,SumRef!BM$16,,,SumRef!$B$8))="","",INDIRECT(ADDRESS(SumRef!BM41,SumRef!BM$16,,,SumRef!$B$8))))</f>
        <v/>
      </c>
      <c r="X35" s="1203" t="str">
        <f ca="1">IF('A-80 DirEntInv'!X34&lt;&gt;"",'A-80 DirEntInv'!X34,IF(INDIRECT(ADDRESS(SumRef!BN41,SumRef!BN$16,,,SumRef!$B$8))="","",INDIRECT(ADDRESS(SumRef!BN41,SumRef!BN$16,,,SumRef!$B$8))))</f>
        <v/>
      </c>
      <c r="Y35" s="1203" t="str">
        <f ca="1">IF('A-80 DirEntInv'!Y34&lt;&gt;"",'A-80 DirEntInv'!Y34,IF(INDIRECT(ADDRESS(SumRef!BO41,SumRef!BO$16,,,SumRef!$B$8))="","",INDIRECT(ADDRESS(SumRef!BO41,SumRef!BO$16,,,SumRef!$B$8))))</f>
        <v/>
      </c>
      <c r="Z35" s="1104" t="str">
        <f ca="1">IF('A-80 DirEntInv'!Z34&lt;&gt;"",'A-80 DirEntInv'!Z34,IF(INDIRECT(ADDRESS(SumRef!BP41,SumRef!BP$16,,,SumRef!$B$8))="","",INDIRECT(ADDRESS(SumRef!BP41,SumRef!BP$16,,,SumRef!$B$8))))</f>
        <v/>
      </c>
      <c r="AA35" s="1104" t="str">
        <f ca="1">IF('A-80 DirEntInv'!AA34&lt;&gt;"",'A-80 DirEntInv'!AA34,IF(INDIRECT(ADDRESS(SumRef!BQ41,SumRef!BQ$16,,,SumRef!$B$8))="","",INDIRECT(ADDRESS(SumRef!BQ41,SumRef!BQ$16,,,SumRef!$B$8))))</f>
        <v/>
      </c>
      <c r="AB35" s="1106" t="str">
        <f ca="1">IF('A-80 DirEntInv'!AB34&lt;&gt;"",'A-80 DirEntInv'!AB34,IF(INDIRECT(ADDRESS(SumRef!BR41,SumRef!BR$16,,,SumRef!$B$8))="","",INDIRECT(ADDRESS(SumRef!BR41,SumRef!BR$16,,,SumRef!$B$8))))</f>
        <v/>
      </c>
      <c r="AC35" s="1107" t="str">
        <f ca="1">IF('A-80 DirEntInv'!AC34&lt;&gt;"",'A-80 DirEntInv'!AC34,IF(INDIRECT(ADDRESS(SumRef!BS41,SumRef!BS$16,,,SumRef!$B$8))="","",INDIRECT(ADDRESS(SumRef!BS41,SumRef!BS$16,,,SumRef!$B$8))))</f>
        <v/>
      </c>
      <c r="AD35" s="1349" t="str">
        <f ca="1">IF('A-80 DirEntInv'!AD34&lt;&gt;"",'A-80 DirEntInv'!AD34,IF(INDIRECT(ADDRESS(SumRef!BT41,SumRef!BT$16,,,SumRef!$B$8))="","",INDIRECT(ADDRESS(SumRef!BT41,SumRef!BT$16,,,SumRef!$B$8))))</f>
        <v/>
      </c>
      <c r="AE35" s="1137" t="str">
        <f ca="1">IF('A-80 DirEntInv'!AE34&lt;&gt;"",'A-80 DirEntInv'!AE34,IF(INDIRECT(ADDRESS(SumRef!BU41,SumRef!BU$16,,,SumRef!$B$8))="","",INDIRECT(ADDRESS(SumRef!BU41,SumRef!BU$16,,,SumRef!$B$8))))</f>
        <v/>
      </c>
      <c r="AF35" s="1346" t="str">
        <f ca="1">IF('A-80 DirEntInv'!AF34&lt;&gt;"",'A-80 DirEntInv'!AF34,IF(INDIRECT(ADDRESS(SumRef!BV41,SumRef!BV$16,,,SumRef!$B$8))="","",INDIRECT(ADDRESS(SumRef!BV41,SumRef!BV$16,,,SumRef!$B$8))))</f>
        <v/>
      </c>
      <c r="AG35" s="1105" t="str">
        <f ca="1">IF('A-80 DirEntInv'!AG34&lt;&gt;"",'A-80 DirEntInv'!AG34,IF(INDIRECT(ADDRESS(SumRef!BW41,SumRef!BW$16,,,SumRef!$B$8))="","",INDIRECT(ADDRESS(SumRef!BW41,SumRef!BW$16,,,SumRef!$B$8))))</f>
        <v/>
      </c>
      <c r="AH35" s="1357" t="str">
        <f ca="1">IF('A-80 DirEntInv'!AH34&lt;&gt;"",'A-80 DirEntInv'!AH34,IF(INDIRECT(ADDRESS(SumRef!BX41,SumRef!BX$16,,,SumRef!$B$8))="","",INDIRECT(ADDRESS(SumRef!BX41,SumRef!BX$16,,,SumRef!$B$8))))</f>
        <v/>
      </c>
      <c r="AK35" s="1041" t="str">
        <f>Codes!$C$157</f>
        <v>AG - Automated Guideway (PT)</v>
      </c>
      <c r="AL35" s="1042" t="str">
        <f>Valid!$B$88</f>
        <v>Substation Equipment</v>
      </c>
      <c r="AM35" s="1187"/>
      <c r="AN35" s="1046"/>
      <c r="AO35" s="1187"/>
      <c r="AP35" s="1046"/>
      <c r="AQ35" s="1147" t="str">
        <f>IF('A-80 DirEntInv'!AQ34&lt;&gt;"",'A-80 DirEntInv'!AQ34,IF(AK35=summaryref2!B22,summaryref2!G22,IF(Summary!AK35=summaryref2!B36,summaryref2!G36,IF(AK35=summaryref2!B50,summaryref2!G50,IF(AK35=summaryref2!B64,summaryref2!G64,IF(AK35=summaryref2!B78,summaryref2!G78,IF(AK35=summaryref2!B92,summaryref2!G92,IF(AK35=summaryref2!B106,summaryref2!G106,IF(AK35=summaryref2!B120,summaryref2!G120,IF(AK35=summaryref2!B134,summaryref2!G134,IF(AK35=summaryref2!B148,summaryref2!G148,"")))))))))))</f>
        <v/>
      </c>
      <c r="AR35" s="1147" t="str">
        <f>IF('A-80 DirEntInv'!AR34&lt;&gt;"",'A-80 DirEntInv'!AR34,IF(AK35=summaryref2!B22,summaryref2!H22,IF(Summary!AK35=summaryref2!B36,summaryref2!H36,IF(AK35=summaryref2!B50,summaryref2!H50,IF(AK35=summaryref2!B64,summaryref2!H64,IF(AK35=summaryref2!B78,summaryref2!H78,IF(AK35=summaryref2!B92,summaryref2!H92,IF(AK35=summaryref2!B106,summaryref2!H106,IF(AK35=summaryref2!B120,summaryref2!H120,IF(AK35=summaryref2!B134,summaryref2!H134,IF(AK35=summaryref2!B148,summaryref2!H148,"")))))))))))</f>
        <v/>
      </c>
      <c r="AS35" s="1110" t="str">
        <f>IF('A-80 DirEntInv'!AS34&lt;&gt;"",'A-80 DirEntInv'!AS34,IF(AK35=summaryref2!B22,summaryref2!I22,IF(Summary!AK35=summaryref2!B36,summaryref2!I36,IF(AK35=summaryref2!B50,summaryref2!I50,IF(AK35=summaryref2!B64,summaryref2!I64,IF(AK35=summaryref2!B78,summaryref2!I78,IF(AK35=summaryref2!B92,summaryref2!I92,IF(AK35=summaryref2!B106,summaryref2!I106,IF(AK35=summaryref2!B120,summaryref2!I120,IF(AK35=summaryref2!B134,summaryref2!I134,IF(AK35=summaryref2!B148,summaryref2!I148,"")))))))))))</f>
        <v/>
      </c>
      <c r="AT35" s="1110" t="str">
        <f>IF('A-80 DirEntInv'!AT34&lt;&gt;"",'A-80 DirEntInv'!AT34,IF(AK35=summaryref2!B22,summaryref2!J22,IF(Summary!AK35=summaryref2!B36,summaryref2!J36,IF(AK35=summaryref2!B50,summaryref2!J50,IF(AK35=summaryref2!B64,summaryref2!J64,IF(AK35=summaryref2!B78,summaryref2!J78,IF(AK35=summaryref2!B92,summaryref2!J92,IF(AK35=summaryref2!B106,summaryref2!J106,IF(AK35=summaryref2!B120,summaryref2!J120,IF(AK35=summaryref2!B134,summaryref2!J134,IF(AK35=summaryref2!B148,summaryref2!J148,"")))))))))))</f>
        <v/>
      </c>
      <c r="AU35" s="1110" t="str">
        <f>IF('A-80 DirEntInv'!AU34&lt;&gt;"",'A-80 DirEntInv'!AU34,IF(AK35=summaryref2!B22,summaryref2!K22,IF(Summary!AK35=summaryref2!B36,summaryref2!K36,IF(AK35=summaryref2!B50,summaryref2!K50,IF(AK35=summaryref2!B64,summaryref2!K64,IF(AK35=summaryref2!B78,summaryref2!K78,IF(AK35=summaryref2!B92,summaryref2!K92,IF(AK35=summaryref2!B106,summaryref2!K106,IF(AK35=summaryref2!B120,summaryref2!K120,IF(AK35=summaryref2!B134,summaryref2!K134,IF(AK35=summaryref2!B148,summaryref2!K148,"")))))))))))</f>
        <v/>
      </c>
      <c r="AV35" s="1110" t="str">
        <f>IF('A-80 DirEntInv'!AV34&lt;&gt;"",'A-80 DirEntInv'!AV34,IF(AK35=summaryref2!B22,summaryref2!L22,IF(Summary!AK35=summaryref2!B36,summaryref2!L36,IF(AK35=summaryref2!B50,summaryref2!L50,IF(AK35=summaryref2!B64,summaryref2!L64,IF(AK35=summaryref2!B78,summaryref2!L78,IF(AK35=summaryref2!B92,summaryref2!L92,IF(AK35=summaryref2!B106,summaryref2!L106,IF(AK35=summaryref2!B120,summaryref2!L120,IF(AK35=summaryref2!B134,summaryref2!L134,IF(AK35=summaryref2!B148,summaryref2!L148,"")))))))))))</f>
        <v/>
      </c>
      <c r="AW35" s="1110" t="str">
        <f>IF('A-80 DirEntInv'!AW34&lt;&gt;"",'A-80 DirEntInv'!AW34,IF(AK35=summaryref2!B22,summaryref2!M22,IF(Summary!AK35=summaryref2!B36,summaryref2!M36,IF(AK35=summaryref2!B50,summaryref2!M50,IF(AK35=summaryref2!B64,summaryref2!M64,IF(AK35=summaryref2!B78,summaryref2!M78,IF(AK35=summaryref2!B92,summaryref2!M92,IF(AK35=summaryref2!B106,summaryref2!M106,IF(AK35=summaryref2!B120,summaryref2!M120,IF(AK35=summaryref2!B134,summaryref2!M134,IF(AK35=summaryref2!B148,summaryref2!M148,"")))))))))))</f>
        <v/>
      </c>
      <c r="AX35" s="1110" t="str">
        <f>IF('A-80 DirEntInv'!AX34&lt;&gt;"",'A-80 DirEntInv'!AX34,IF(AK35=summaryref2!B22,summaryref2!N22,IF(Summary!AK35=summaryref2!B36,summaryref2!N36,IF(AK35=summaryref2!B50,summaryref2!N50,IF(AK35=summaryref2!B64,summaryref2!N64,IF(AK35=summaryref2!B78,summaryref2!N78,IF(AK35=summaryref2!B92,summaryref2!N92,IF(AK35=summaryref2!B106,summaryref2!N106,IF(AK35=summaryref2!B120,summaryref2!N120,IF(AK35=summaryref2!B134,summaryref2!N134,IF(AK35=summaryref2!B148,summaryref2!N148,"")))))))))))</f>
        <v/>
      </c>
      <c r="AY35" s="1110" t="str">
        <f>IF('A-80 DirEntInv'!AY34&lt;&gt;"",'A-80 DirEntInv'!AY34,IF(AK35=summaryref2!B22,summaryref2!O22,IF(Summary!AK35=summaryref2!B36,summaryref2!O36,IF(AK35=summaryref2!B50,summaryref2!O50,IF(AK35=summaryref2!B64,summaryref2!O64,IF(AK35=summaryref2!B78,summaryref2!O78,IF(AK35=summaryref2!B92,summaryref2!O92,IF(AK35=summaryref2!B106,summaryref2!O106,IF(AK35=summaryref2!B120,summaryref2!O120,IF(AK35=summaryref2!B134,summaryref2!O134,IF(AK35=summaryref2!B148,summaryref2!O148,"")))))))))))</f>
        <v/>
      </c>
      <c r="AZ35" s="1110" t="str">
        <f>IF('A-80 DirEntInv'!AZ34&lt;&gt;"",'A-80 DirEntInv'!AZ34,IF(AK35=summaryref2!B22,summaryref2!P22,IF(Summary!AK35=summaryref2!B36,summaryref2!P36,IF(AK35=summaryref2!B50,summaryref2!P50,IF(AK35=summaryref2!B64,summaryref2!P64,IF(AK35=summaryref2!B78,summaryref2!P78,IF(AK35=summaryref2!B92,summaryref2!P92,IF(AK35=summaryref2!B106,summaryref2!P106,IF(AK35=summaryref2!B120,summaryref2!P120,IF(AK35=summaryref2!B134,summaryref2!P134,IF(AK35=summaryref2!B148,summaryref2!P148,"")))))))))))</f>
        <v/>
      </c>
      <c r="BA35" s="1110" t="str">
        <f>IF('A-80 DirEntInv'!BA34&lt;&gt;"",'A-80 DirEntInv'!BA34,IF(AK35=summaryref2!B22,summaryref2!Q22,IF(Summary!AK35=summaryref2!B36,summaryref2!Q36,IF(AK35=summaryref2!B50,summaryref2!Q50,IF(AK35=summaryref2!B64,summaryref2!Q64,IF(AK35=summaryref2!B78,summaryref2!Q78,IF(AK35=summaryref2!B92,summaryref2!Q92,IF(AK35=summaryref2!B106,summaryref2!Q106,IF(AK35=summaryref2!B120,summaryref2!Q120,IF(AK35=summaryref2!B134,summaryref2!Q134,IF(AK35=summaryref2!B148,summaryref2!Q148,"")))))))))))</f>
        <v/>
      </c>
      <c r="BB35" s="1110" t="str">
        <f>IF('A-80 DirEntInv'!BB34&lt;&gt;"",'A-80 DirEntInv'!BB34,IF(AK35=summaryref2!B22,summaryref2!R22,IF(Summary!AK35=summaryref2!B36,summaryref2!R36,IF(AK35=summaryref2!B50,summaryref2!R50,IF(AK35=summaryref2!B64,summaryref2!R64,IF(AK35=summaryref2!B78,summaryref2!R78,IF(AK35=summaryref2!B92,summaryref2!R92,IF(AK35=summaryref2!B106,summaryref2!R106,IF(AK35=summaryref2!B120,summaryref2!R120,IF(AK35=summaryref2!B134,summaryref2!R134,IF(AK35=summaryref2!B148,summaryref2!R148,"")))))))))))</f>
        <v/>
      </c>
      <c r="BC35" s="1110" t="str">
        <f>IF('A-80 DirEntInv'!BC34&lt;&gt;0,'A-80 DirEntInv'!BC34,IF(AK35=summaryref2!B22,summaryref2!S22,IF(Summary!AK35=summaryref2!B36,summaryref2!S36,IF(AK35=summaryref2!B50,summaryref2!S50,IF(AK35=summaryref2!B64,summaryref2!S64,IF(AK35=summaryref2!B78,summaryref2!S78,IF(AK35=summaryref2!B92,summaryref2!S92,IF(AK35=summaryref2!B106,summaryref2!S106,IF(AK35=summaryref2!B120,summaryref2!S120,IF(AK35=summaryref2!B134,summaryref2!S134,IF(AK35=summaryref2!B148,summaryref2!S148,"")))))))))))</f>
        <v/>
      </c>
      <c r="BD35" s="1111" t="str">
        <f>IF('A-80 DirEntInv'!BD34&lt;&gt;"",'A-80 DirEntInv'!BD34,IF(AK35=summaryref2!B22,summaryref2!T22,IF(Summary!AK35=summaryref2!B36,summaryref2!T36,IF(AK35=summaryref2!B50,summaryref2!T50,IF(AK35=summaryref2!B64,summaryref2!T64,IF(AK35=summaryref2!B78,summaryref2!T78,IF(AK35=summaryref2!B92,summaryref2!T92,IF(AK35=summaryref2!B106,summaryref2!T106,IF(AK35=summaryref2!B120,summaryref2!T120,IF(AK35=summaryref2!B134,summaryref2!T134,IF(AK35=summaryref2!B148,summaryref2!T148,"")))))))))))</f>
        <v/>
      </c>
      <c r="BE35" s="1184" t="str">
        <f>IF('A-80 DirEntInv'!BE34&lt;&gt;"",'A-80 DirEntInv'!BE34,IF(AK35=summaryref2!B22,summaryref2!U22,IF(Summary!AK35=summaryref2!B36,summaryref2!U36,IF(AK35=summaryref2!B50,summaryref2!U50,IF(AK35=summaryref2!B64,summaryref2!U64,IF(AK35=summaryref2!B78,summaryref2!U78,IF(AK35=summaryref2!B92,summaryref2!U92,IF(AK35=summaryref2!B106,summaryref2!U106,IF(AK35=summaryref2!B120,summaryref2!U120,IF(AK35=summaryref2!B134,summaryref2!U134,IF(AK35=summaryref2!B148,summaryref2!U148,"")))))))))))</f>
        <v/>
      </c>
      <c r="BF35" s="1432"/>
      <c r="BG35" s="1432"/>
      <c r="BJ35" s="1041" t="str">
        <f>Codes!$C$159</f>
        <v>CC - Cable Car (DO)</v>
      </c>
      <c r="BK35" s="1042" t="str">
        <f>Valid!$B$83</f>
        <v>Single Crossover</v>
      </c>
      <c r="BL35" s="1375" t="str">
        <f>IF('A-80 DirEntInv'!BL34&lt;&gt;"",'A-80 DirEntInv'!BL34,IF(BJ35=summaryref2!X15,summaryref2!Z15,IF(BJ35=summaryref2!X22,summaryref2!Z22,IF(BJ35=summaryref2!X29,summaryref2!Z29,IF(BJ35=summaryref2!X36,summaryref2!Z36,IF(BJ35=summaryref2!X43,summaryref2!Z43,IF(BJ35=summaryref2!X50,summaryref2!Z50,IF(BJ35=summaryref2!X57,summaryref2!Z57,IF(BJ35=summaryref2!X64,summaryref2!Z64,IF(BJ35=summaryref2!X71,summaryref2!Z71,IF(BJ35=summaryref2!X78,summaryref2!Z78,"")))))))))))</f>
        <v/>
      </c>
      <c r="BM35" s="1042" t="str">
        <f>VLOOKUP(BK35,Valid!$B$80:$C$86,2,FALSE)</f>
        <v>Each</v>
      </c>
      <c r="BN35" s="1209" t="str">
        <f>IF('A-80 DirEntInv'!BN34&lt;&gt;"",'A-80 DirEntInv'!BN34,IF(BJ35=summaryref2!X15,summaryref2!AB15,IF(BJ35=summaryref2!X22,summaryref2!AB22,IF(BJ35=summaryref2!X29,summaryref2!AB29,IF(BJ35=summaryref2!X36,summaryref2!AB36,IF(BJ35=summaryref2!X43,summaryref2!AB43,IF(BJ35=summaryref2!X50,summaryref2!AB50,IF(BJ35=summaryref2!X57,summaryref2!AB57,IF(BJ35=summaryref2!X64,summaryref2!AB64,IF(BJ35=summaryref2!X71,summaryref2!AB71,IF(BJ35=summaryref2!X78,summaryref2!AB78,"")))))))))))</f>
        <v/>
      </c>
      <c r="BO35" s="1116" t="str">
        <f>IF('A-80 DirEntInv'!BO34&lt;&gt;"",'A-80 DirEntInv'!BO34,IF(BJ35=summaryref2!X15,summaryref2!AC15,IF(BJ35=summaryref2!X22,summaryref2!AC22,IF(BJ35=summaryref2!X29,summaryref2!AC29,IF(BJ35=summaryref2!X36,summaryref2!AC36,IF(BJ35=summaryref2!X43,summaryref2!AC43,IF(BJ35=summaryref2!X50,summaryref2!AC50,IF(BJ35=summaryref2!X57,summaryref2!AC57,IF(BJ35=summaryref2!X64,summaryref2!AC64,IF(BJ35=summaryref2!X71,summaryref2!AC71,IF(BJ35=summaryref2!X78,summaryref2!AC78,"")))))))))))</f>
        <v/>
      </c>
      <c r="BP35" s="1384" t="str">
        <f>IF('A-80 DirEntInv'!BP34&lt;&gt;"",'A-80 DirEntInv'!BP34,IF(BJ35=summaryref2!X15,summaryref2!AD15,IF(BJ35=summaryref2!X22,summaryref2!AD22,IF(BJ35=summaryref2!X29,summaryref2!AD29,IF(BJ35=summaryref2!X36,summaryref2!AD36,IF(BJ35=summaryref2!X43,summaryref2!AD43,IF(BJ35=summaryref2!X50,summaryref2!AD50,IF(BJ35=summaryref2!X57,summaryref2!AD57,IF(BJ35=summaryref2!X64,summaryref2!AD64,IF(BJ35=summaryref2!X71,summaryref2!AD71,IF(BJ35=summaryref2!X78,summaryref2!AD78,"")))))))))))</f>
        <v/>
      </c>
      <c r="BS35" s="1472" t="str">
        <f ca="1">IF('A-80 DirEntInv'!BU34&lt;&gt;"",'A-80 DirEntInv'!BU34,IF(INDIRECT(ADDRESS(SumRef!DK41,SumRef!DK$16,,,SumRef!$E$6))="","",INDIRECT(ADDRESS(SumRef!DK41,SumRef!DK$16,,,SumRef!$E$6))))</f>
        <v/>
      </c>
      <c r="BT35" s="1458" t="str">
        <f ca="1">IF('A-80 DirEntInv'!BV34&lt;&gt;"",'A-80 DirEntInv'!BV34,IF(INDIRECT(ADDRESS(SumRef!DL41,SumRef!DL$16,,,SumRef!$E$6))="","",INDIRECT(ADDRESS(SumRef!DL41,SumRef!DL$16,,,SumRef!$E$6))))</f>
        <v/>
      </c>
      <c r="BU35" s="1177" t="str">
        <f ca="1">IF('A-80 DirEntInv'!BW34&lt;&gt;"",'A-80 DirEntInv'!BW34,IF(INDIRECT(ADDRESS(SumRef!DM41,SumRef!DM$16,,,SumRef!$E$6))="","",INDIRECT(ADDRESS(SumRef!DM41,SumRef!DM$16,,,SumRef!$E$6))))</f>
        <v/>
      </c>
      <c r="BV35" s="1460" t="str">
        <f ca="1">IF('A-80 DirEntInv'!BX34&lt;&gt;"",'A-80 DirEntInv'!BX34,IF(INDIRECT(ADDRESS(SumRef!DN41,SumRef!DN$16,,,SumRef!$E$6))="","",INDIRECT(ADDRESS(SumRef!DN41,SumRef!DN$16,,,SumRef!$E$6))))</f>
        <v/>
      </c>
      <c r="BW35" s="1460" t="str">
        <f ca="1">IF('A-80 DirEntInv'!BY34&lt;&gt;"",'A-80 DirEntInv'!BY34,IF(INDIRECT(ADDRESS(SumRef!DO41,SumRef!DO$16,,,SumRef!$E$6))="","",INDIRECT(ADDRESS(SumRef!DO41,SumRef!DO$16,,,SumRef!$E$6))))</f>
        <v/>
      </c>
      <c r="BX35" s="1116" t="str">
        <f ca="1">IF('A-80 DirEntInv'!BZ34&lt;&gt;"",'A-80 DirEntInv'!BZ34,IF(INDIRECT(ADDRESS(SumRef!DP41,SumRef!DP$16,,,SumRef!$E$6))="","",INDIRECT(ADDRESS(SumRef!DP41,SumRef!DP$16,,,SumRef!$E$6))))</f>
        <v/>
      </c>
      <c r="BY35" s="1461" t="str">
        <f ca="1">IF('A-80 DirEntInv'!CA34&lt;&gt;"",'A-80 DirEntInv'!CA34,IF(INDIRECT(ADDRESS(SumRef!DQ41,SumRef!DQ$16,,,SumRef!$E$6))="","",INDIRECT(ADDRESS(SumRef!DQ41,SumRef!DQ$16,,,SumRef!$E$6))))</f>
        <v/>
      </c>
      <c r="BZ35" s="1460" t="str">
        <f ca="1">IF('A-80 DirEntInv'!CB34&lt;&gt;"",'A-80 DirEntInv'!CB34,IF(INDIRECT(ADDRESS(SumRef!DR41,SumRef!DR$16,,,SumRef!$E$6))="","",INDIRECT(ADDRESS(SumRef!DR41,SumRef!DR$16,,,SumRef!$E$6))))</f>
        <v/>
      </c>
      <c r="CA35" s="1462" t="str">
        <f ca="1">IF('A-80 DirEntInv'!CC34&lt;&gt;"",'A-80 DirEntInv'!CC34,IF(INDIRECT(ADDRESS(SumRef!DS41,SumRef!DS$16,,,SumRef!$E$6))="","",INDIRECT(ADDRESS(SumRef!DS41,SumRef!DS$16,,,SumRef!$E$6))))</f>
        <v/>
      </c>
      <c r="CD35" s="1160" t="str">
        <f ca="1">IF('A-80 DirEntInv'!CF34&lt;&gt;"",'A-80 DirEntInv'!CF34,IF(INDIRECT(ADDRESS(SumRef!DV41,SumRef!DV$16,,,SumRef!$E$7))="","",INDIRECT(ADDRESS(SumRef!DV41,SumRef!DV$16,,,SumRef!$E$7))))</f>
        <v/>
      </c>
      <c r="CE35" s="1167" t="str">
        <f ca="1">IF('A-80 DirEntInv'!CG34&lt;&gt;"",'A-80 DirEntInv'!CG34,IF(INDIRECT(ADDRESS(SumRef!DW41,SumRef!DW$16,,,SumRef!$E$7))="","",INDIRECT(ADDRESS(SumRef!DW41,SumRef!DW$16,,,SumRef!$E$7))))</f>
        <v/>
      </c>
      <c r="CF35" s="1167" t="str">
        <f ca="1">IF('A-80 DirEntInv'!CH34&lt;&gt;"",'A-80 DirEntInv'!CH34,IF(INDIRECT(ADDRESS(SumRef!DX41,SumRef!DX$16,,,SumRef!$E$7))="","",INDIRECT(ADDRESS(SumRef!DX41,SumRef!DX$16,,,SumRef!$E$7))))</f>
        <v/>
      </c>
      <c r="CG35" s="1167" t="str">
        <f ca="1">IF('A-80 DirEntInv'!CI34&lt;&gt;"",'A-80 DirEntInv'!CI34,IF(INDIRECT(ADDRESS(SumRef!DY41,SumRef!DY$16,,,SumRef!$E$7))="","",INDIRECT(ADDRESS(SumRef!DY41,SumRef!DY$16,,,SumRef!$E$7))))</f>
        <v/>
      </c>
      <c r="CH35" s="1167" t="str">
        <f ca="1">IF('A-80 DirEntInv'!CJ34&lt;&gt;"",'A-80 DirEntInv'!CJ34,IF(INDIRECT(ADDRESS(SumRef!DZ41,SumRef!DZ$16,,,SumRef!$E$7))="","",INDIRECT(ADDRESS(SumRef!DZ41,SumRef!DZ$16,,,SumRef!$E$7))))</f>
        <v/>
      </c>
      <c r="CI35" s="1167" t="str">
        <f ca="1">IF('A-80 DirEntInv'!CK34&lt;&gt;"",'A-80 DirEntInv'!CK34,IF(INDIRECT(ADDRESS(SumRef!EA41,SumRef!EA$16,,,SumRef!$E$7))="","",INDIRECT(ADDRESS(SumRef!EA41,SumRef!EA$16,,,SumRef!$E$7))))</f>
        <v/>
      </c>
      <c r="CJ35" s="1114" t="str">
        <f ca="1">IF('A-80 DirEntInv'!CL34&lt;&gt;"",'A-80 DirEntInv'!CL34,IF(INDIRECT(ADDRESS(SumRef!EB41,SumRef!EB$16,,,SumRef!$E$7))="","",INDIRECT(ADDRESS(SumRef!EB41,SumRef!EB$16,,,SumRef!$E$7))))</f>
        <v/>
      </c>
      <c r="CK35" s="1114" t="str">
        <f ca="1">IF('A-80 DirEntInv'!CM34&lt;&gt;"",'A-80 DirEntInv'!CM34,IF(INDIRECT(ADDRESS(SumRef!EC41,SumRef!EC$16,,,SumRef!$E$7))="","",INDIRECT(ADDRESS(SumRef!EC41,SumRef!EC$16,,,SumRef!$E$7))))</f>
        <v/>
      </c>
      <c r="CL35" s="1113" t="str">
        <f ca="1">IF('A-80 DirEntInv'!CO34&lt;&gt;"",'A-80 DirEntInv'!CO34,IF(INDIRECT(ADDRESS(SumRef!ED41,SumRef!ED$16,,,SumRef!$E$7))="","",INDIRECT(ADDRESS(SumRef!ED41,SumRef!ED$16,,,SumRef!$E$7))))</f>
        <v/>
      </c>
      <c r="CM35" s="1114" t="str">
        <f ca="1">IF('A-80 DirEntInv'!CP34&lt;&gt;"",'A-80 DirEntInv'!CP34,IF(INDIRECT(ADDRESS(SumRef!EE41,SumRef!EE$16,,,SumRef!$E$7))="","",INDIRECT(ADDRESS(SumRef!EE41,SumRef!EE$16,,,SumRef!$E$7))))</f>
        <v/>
      </c>
      <c r="CN35" s="1114" t="str">
        <f ca="1">IF('A-80 DirEntInv'!CQ34&lt;&gt;"",'A-80 DirEntInv'!CQ34,IF(INDIRECT(ADDRESS(SumRef!EF41,SumRef!EF$16,,,SumRef!$E$7))="","",INDIRECT(ADDRESS(SumRef!EF41,SumRef!EF$16,,,SumRef!$E$7))))</f>
        <v/>
      </c>
      <c r="CO35" s="1113" t="str">
        <f ca="1">IF('A-80 DirEntInv'!CR34&lt;&gt;"",'A-80 DirEntInv'!CR34,IF(INDIRECT(ADDRESS(SumRef!EG41,SumRef!EG$16,,,SumRef!$E$7))="","",INDIRECT(ADDRESS(SumRef!EG41,SumRef!EG$16,,,SumRef!$E$7))))</f>
        <v/>
      </c>
      <c r="CP35" s="1114" t="str">
        <f ca="1">IF('A-80 DirEntInv'!CS34&lt;&gt;"",'A-80 DirEntInv'!CS34,IF(INDIRECT(ADDRESS(SumRef!EH41,SumRef!EH$16,,,SumRef!$E$7))="","",INDIRECT(ADDRESS(SumRef!EH41,SumRef!EH$16,,,SumRef!$E$7))))</f>
        <v/>
      </c>
      <c r="CQ35" s="1346" t="str">
        <f ca="1">IF('A-80 DirEntInv'!CT34&lt;&gt;"",'A-80 DirEntInv'!CT34,IF(INDIRECT(ADDRESS(SumRef!EI41,SumRef!EI$16,,,SumRef!$E$7))="","",INDIRECT(ADDRESS(SumRef!EI41,SumRef!EI$16,,,SumRef!$E$7))))</f>
        <v/>
      </c>
      <c r="CR35" s="1113" t="str">
        <f ca="1">IF('A-80 DirEntInv'!CU34&lt;&gt;"",'A-80 DirEntInv'!CU34,IF(INDIRECT(ADDRESS(SumRef!EJ41,SumRef!EJ$16,,,SumRef!$E$7))="","",INDIRECT(ADDRESS(SumRef!EJ41,SumRef!EJ$16,,,SumRef!$E$7))))</f>
        <v/>
      </c>
      <c r="CS35" s="1346" t="str">
        <f ca="1">IF('A-80 DirEntInv'!CV34&lt;&gt;"",'A-80 DirEntInv'!CV34,IF(INDIRECT(ADDRESS(SumRef!EM41,SumRef!EM$16,,,SumRef!$E$7))="","",INDIRECT(ADDRESS(SumRef!EM41,SumRef!EM$16,,,SumRef!$E$7))))</f>
        <v/>
      </c>
      <c r="CT35" s="1113" t="str">
        <f ca="1">IF('A-80 DirEntInv'!CW34&lt;&gt;"",'A-80 DirEntInv'!CW34,IF(INDIRECT(ADDRESS(SumRef!EN41,SumRef!EN$16,,,SumRef!$E$7))="","",INDIRECT(ADDRESS(SumRef!EN41,SumRef!EN$16,,,SumRef!$E$7))))</f>
        <v/>
      </c>
      <c r="CU35" s="1113" t="str">
        <f ca="1">IF('A-80 DirEntInv'!CX34&lt;&gt;"",'A-80 DirEntInv'!CX34,IF(INDIRECT(ADDRESS(SumRef!EO41,SumRef!EO$16,,,SumRef!$E$7))="","",INDIRECT(ADDRESS(SumRef!EO41,SumRef!EO$16,,,SumRef!$E$7))))</f>
        <v/>
      </c>
      <c r="CV35" s="1113" t="str">
        <f ca="1">IF('A-80 DirEntInv'!CY34&lt;&gt;"",'A-80 DirEntInv'!CY34,IF(INDIRECT(ADDRESS(SumRef!EP41,SumRef!EP$16,,,SumRef!$E$7))="","",INDIRECT(ADDRESS(SumRef!EP41,SumRef!EP$16,,,SumRef!$E$7))))</f>
        <v/>
      </c>
      <c r="CW35" s="1114" t="str">
        <f ca="1">IF('A-80 DirEntInv'!CZ34&lt;&gt;"",'A-80 DirEntInv'!CZ34,IF(INDIRECT(ADDRESS(SumRef!ES41,SumRef!ES$16,,,SumRef!$E$7))="","",INDIRECT(ADDRESS(SumRef!ES41,SumRef!ES$16,,,SumRef!$E$7))))</f>
        <v/>
      </c>
      <c r="CX35" s="1167" t="str">
        <f ca="1">IF('A-80 DirEntInv'!DA34&lt;&gt;"",'A-80 DirEntInv'!DA34,IF(INDIRECT(ADDRESS(SumRef!ET41,SumRef!ET$16,,,SumRef!$E$7))="","",INDIRECT(ADDRESS(SumRef!ET41,SumRef!ET$16,,,SumRef!$E$7))))</f>
        <v/>
      </c>
      <c r="CY35" s="1167" t="str">
        <f ca="1">IF('A-80 DirEntInv'!DB34&lt;&gt;"",'A-80 DirEntInv'!DB34,IF(INDIRECT(ADDRESS(SumRef!EU41,SumRef!EU$16,,,SumRef!$E$7))="","",INDIRECT(ADDRESS(SumRef!EU41,SumRef!EU$16,,,SumRef!$E$7))))</f>
        <v/>
      </c>
      <c r="CZ35" s="1167" t="b">
        <f ca="1">IF('A-80 DirEntInv'!DC34&lt;&gt;"",'A-80 DirEntInv'!DC34,IF(INDIRECT(ADDRESS(SumRef!EV41,SumRef!EV$16,,,SumRef!$E$7))="","",INDIRECT(ADDRESS(SumRef!EV41,SumRef!EV$16,,,SumRef!$E$7))))</f>
        <v>0</v>
      </c>
      <c r="DA35" s="1373" t="str">
        <f ca="1">IF('A-80 DirEntInv'!DD34&lt;&gt;"",'A-80 DirEntInv'!DD34,IF(INDIRECT(ADDRESS(SumRef!EW41,SumRef!EW$16,,,SumRef!$E$7))="","",INDIRECT(ADDRESS(SumRef!EW41,SumRef!EW$16,,,SumRef!$E$7))))</f>
        <v/>
      </c>
      <c r="DB35" s="1373" t="b">
        <f ca="1">IF('A-80 DirEntInv'!DE34&lt;&gt;"",'A-80 DirEntInv'!DE34,IF(INDIRECT(ADDRESS(SumRef!EX41,SumRef!EX$16,,,SumRef!$E$7))="","",INDIRECT(ADDRESS(SumRef!EX41,SumRef!EX$16,,,SumRef!$E$7))))</f>
        <v>0</v>
      </c>
      <c r="DC35" s="1114" t="b">
        <f ca="1">IF('A-80 DirEntInv'!DF34&lt;&gt;"",'A-80 DirEntInv'!DF34,IF(INDIRECT(ADDRESS(SumRef!EY41,SumRef!EY$16,,,SumRef!$E$7))="","",INDIRECT(ADDRESS(SumRef!EY41,SumRef!EY$16,,,SumRef!$E$7))))</f>
        <v>0</v>
      </c>
      <c r="DD35" s="1115" t="str">
        <f ca="1">IF('A-80 DirEntInv'!DG34&lt;&gt;"",'A-80 DirEntInv'!DG34,IF(INDIRECT(ADDRESS(SumRef!EZ41,SumRef!EZ$16,,,SumRef!$E$7))="","",INDIRECT(ADDRESS(SumRef!EZ41,SumRef!EZ$16,,,SumRef!$E$7))))</f>
        <v/>
      </c>
    </row>
    <row r="36" spans="1:108" s="588" customFormat="1" x14ac:dyDescent="0.2">
      <c r="A36" s="589">
        <f t="shared" si="0"/>
        <v>26</v>
      </c>
      <c r="B36" s="1155" t="str">
        <f ca="1">IF('A-80 DirEntInv'!B35&lt;&gt;"",'A-80 DirEntInv'!B35,IF(INDIRECT(ADDRESS(SumRef!AQ42,SumRef!AQ$16,,,SumRef!$B$7))="","",INDIRECT(ADDRESS(SumRef!AQ42,SumRef!AQ$16,,,SumRef!$B$7))))</f>
        <v/>
      </c>
      <c r="C36" s="1097" t="str">
        <f ca="1">IF('A-80 DirEntInv'!C35&lt;&gt;"",'A-80 DirEntInv'!C35,IF(INDIRECT(ADDRESS(SumRef!AR42,SumRef!AR$16,,,SumRef!$B$7))="","",INDIRECT(ADDRESS(SumRef!AR42,SumRef!AR$16,,,SumRef!$B$7))))</f>
        <v/>
      </c>
      <c r="D36" s="1097" t="str">
        <f ca="1">IF('A-80 DirEntInv'!D35&lt;&gt;"",'A-80 DirEntInv'!D35,IF(INDIRECT(ADDRESS(SumRef!AS42,SumRef!AS$16,,,SumRef!$B$7))="","",INDIRECT(ADDRESS(SumRef!AS42,SumRef!AS$16,,,SumRef!$B$7))))</f>
        <v/>
      </c>
      <c r="E36" s="1097" t="str">
        <f ca="1">IF('A-80 DirEntInv'!E35&lt;&gt;"",'A-80 DirEntInv'!E35,IF(INDIRECT(ADDRESS(SumRef!AT42,SumRef!AT$16,,,SumRef!$B$7))="","",INDIRECT(ADDRESS(SumRef!AT42,SumRef!AT$16,,,SumRef!$B$7))))</f>
        <v/>
      </c>
      <c r="F36" s="1097" t="str">
        <f ca="1">IF('A-80 DirEntInv'!F35&lt;&gt;"",'A-80 DirEntInv'!F35,IF(INDIRECT(ADDRESS(SumRef!AU42,SumRef!AU$16,,,SumRef!$B$7))="","",INDIRECT(ADDRESS(SumRef!AU42,SumRef!AU$16,,,SumRef!$B$7))))</f>
        <v/>
      </c>
      <c r="G36" s="1158" t="str">
        <f ca="1">IF('A-80 DirEntInv'!G35&lt;&gt;"",'A-80 DirEntInv'!G35,IF(INDIRECT(ADDRESS(SumRef!AV42,SumRef!AV$16,,,SumRef!$B$7))="","",INDIRECT(ADDRESS(SumRef!AV42,SumRef!AV$16,,,SumRef!$B$7))))</f>
        <v/>
      </c>
      <c r="H36" s="1097" t="str">
        <f ca="1">IF('A-80 DirEntInv'!H35&lt;&gt;"",'A-80 DirEntInv'!H35,IF(INDIRECT(ADDRESS(SumRef!AW42,SumRef!AW$16,,,SumRef!$B$7))="","",INDIRECT(ADDRESS(SumRef!AW42,SumRef!AW$16,,,SumRef!$B$7))))</f>
        <v/>
      </c>
      <c r="I36" s="1097" t="str">
        <f ca="1">IF('A-80 DirEntInv'!I35&lt;&gt;"",'A-80 DirEntInv'!I35,IF(INDIRECT(ADDRESS(SumRef!AX42,SumRef!AX$16,,,SumRef!$B$7))="","",INDIRECT(ADDRESS(SumRef!AX42,SumRef!AX$16,,,SumRef!$B$7))))</f>
        <v/>
      </c>
      <c r="J36" s="1098" t="str">
        <f ca="1">IF('A-80 DirEntInv'!J35&lt;&gt;"",'A-80 DirEntInv'!J35,IF(INDIRECT(ADDRESS(SumRef!AY42,SumRef!AY$16,,,SumRef!$B$7))="","",INDIRECT(ADDRESS(SumRef!AY42,SumRef!AY$16,,,SumRef!$B$7))))</f>
        <v/>
      </c>
      <c r="K36" s="1099" t="str">
        <f ca="1">IF('A-80 DirEntInv'!K35&lt;&gt;"",'A-80 DirEntInv'!K35,IF(INDIRECT(ADDRESS(SumRef!AZ42,SumRef!AZ$16,,,SumRef!$B$7))="","",INDIRECT(ADDRESS(SumRef!AZ42,SumRef!AZ$16,,,SumRef!$B$7))))</f>
        <v/>
      </c>
      <c r="L36" s="1100" t="str">
        <f ca="1">IF('A-80 DirEntInv'!L35&lt;&gt;"",'A-80 DirEntInv'!L35,IF(INDIRECT(ADDRESS(SumRef!BA42,SumRef!BA$16,,,SumRef!$B$7))="","",INDIRECT(ADDRESS(SumRef!BA42,SumRef!BA$16,,,SumRef!$B$7))))</f>
        <v/>
      </c>
      <c r="M36" s="1101" t="str">
        <f ca="1">IF('A-80 DirEntInv'!M35&lt;&gt;"",'A-80 DirEntInv'!M35,IF(INDIRECT(ADDRESS(SumRef!BB42,SumRef!BB$16,,,SumRef!$B$7))="","",INDIRECT(ADDRESS(SumRef!BB42,SumRef!BB$16,,,SumRef!$B$7))))</f>
        <v/>
      </c>
      <c r="N36" s="1098" t="str">
        <f ca="1">IF('A-80 DirEntInv'!N35&lt;&gt;"",'A-80 DirEntInv'!N35,IF(INDIRECT(ADDRESS(SumRef!BC42,SumRef!BC$16,,,SumRef!$B$7))="","",INDIRECT(ADDRESS(SumRef!BC42,SumRef!BC$16,,,SumRef!$B$7))))</f>
        <v/>
      </c>
      <c r="O36" s="1102" t="str">
        <f ca="1">IF('A-80 DirEntInv'!O35&lt;&gt;"",'A-80 DirEntInv'!O35,IF(INDIRECT(ADDRESS(SumRef!BD42,SumRef!BD$16,,,SumRef!$B$7))="","",INDIRECT(ADDRESS(SumRef!BD42,SumRef!BD$16,,,SumRef!$B$7))))</f>
        <v/>
      </c>
      <c r="Q36" s="589"/>
      <c r="R36" s="1103" t="str">
        <f ca="1">IF('A-80 DirEntInv'!R35&lt;&gt;"",'A-80 DirEntInv'!R35,IF(INDIRECT(ADDRESS(SumRef!BH42,SumRef!BH$16,,,SumRef!$B$8))="","",INDIRECT(ADDRESS(SumRef!BH42,SumRef!BH$16,,,SumRef!$B$8))))</f>
        <v/>
      </c>
      <c r="S36" s="1104" t="str">
        <f ca="1">IF('A-80 DirEntInv'!S35&lt;&gt;"",'A-80 DirEntInv'!S35,IF(INDIRECT(ADDRESS(SumRef!BI42,SumRef!BI$16,,,SumRef!$B$8))="","",INDIRECT(ADDRESS(SumRef!BI42,SumRef!BI$16,,,SumRef!$B$8))))</f>
        <v/>
      </c>
      <c r="T36" s="1104" t="str">
        <f ca="1">IF('A-80 DirEntInv'!T35&lt;&gt;"",'A-80 DirEntInv'!T35,IF(INDIRECT(ADDRESS(SumRef!BJ42,SumRef!BJ$16,,,SumRef!$B$8))="","",INDIRECT(ADDRESS(SumRef!BJ42,SumRef!BJ$16,,,SumRef!$B$8))))</f>
        <v/>
      </c>
      <c r="U36" s="1104" t="str">
        <f ca="1">IF('A-80 DirEntInv'!U35&lt;&gt;"",'A-80 DirEntInv'!U35,IF(INDIRECT(ADDRESS(SumRef!BK42,SumRef!BK$16,,,SumRef!$B$8))="","",INDIRECT(ADDRESS(SumRef!BK42,SumRef!BK$16,,,SumRef!$B$8))))</f>
        <v/>
      </c>
      <c r="V36" s="1104" t="str">
        <f ca="1">IF('A-80 DirEntInv'!V35&lt;&gt;"",'A-80 DirEntInv'!V35,IF(INDIRECT(ADDRESS(SumRef!BL42,SumRef!BL$16,,,SumRef!$B$8))="","",INDIRECT(ADDRESS(SumRef!BL42,SumRef!BL$16,,,SumRef!$B$8))))</f>
        <v/>
      </c>
      <c r="W36" s="1354" t="str">
        <f ca="1">IF('A-80 DirEntInv'!W35&lt;&gt;"",'A-80 DirEntInv'!W35,IF(INDIRECT(ADDRESS(SumRef!BM42,SumRef!BM$16,,,SumRef!$B$8))="","",INDIRECT(ADDRESS(SumRef!BM42,SumRef!BM$16,,,SumRef!$B$8))))</f>
        <v/>
      </c>
      <c r="X36" s="1203" t="str">
        <f ca="1">IF('A-80 DirEntInv'!X35&lt;&gt;"",'A-80 DirEntInv'!X35,IF(INDIRECT(ADDRESS(SumRef!BN42,SumRef!BN$16,,,SumRef!$B$8))="","",INDIRECT(ADDRESS(SumRef!BN42,SumRef!BN$16,,,SumRef!$B$8))))</f>
        <v/>
      </c>
      <c r="Y36" s="1203" t="str">
        <f ca="1">IF('A-80 DirEntInv'!Y35&lt;&gt;"",'A-80 DirEntInv'!Y35,IF(INDIRECT(ADDRESS(SumRef!BO42,SumRef!BO$16,,,SumRef!$B$8))="","",INDIRECT(ADDRESS(SumRef!BO42,SumRef!BO$16,,,SumRef!$B$8))))</f>
        <v/>
      </c>
      <c r="Z36" s="1104" t="str">
        <f ca="1">IF('A-80 DirEntInv'!Z35&lt;&gt;"",'A-80 DirEntInv'!Z35,IF(INDIRECT(ADDRESS(SumRef!BP42,SumRef!BP$16,,,SumRef!$B$8))="","",INDIRECT(ADDRESS(SumRef!BP42,SumRef!BP$16,,,SumRef!$B$8))))</f>
        <v/>
      </c>
      <c r="AA36" s="1104" t="str">
        <f ca="1">IF('A-80 DirEntInv'!AA35&lt;&gt;"",'A-80 DirEntInv'!AA35,IF(INDIRECT(ADDRESS(SumRef!BQ42,SumRef!BQ$16,,,SumRef!$B$8))="","",INDIRECT(ADDRESS(SumRef!BQ42,SumRef!BQ$16,,,SumRef!$B$8))))</f>
        <v/>
      </c>
      <c r="AB36" s="1106" t="str">
        <f ca="1">IF('A-80 DirEntInv'!AB35&lt;&gt;"",'A-80 DirEntInv'!AB35,IF(INDIRECT(ADDRESS(SumRef!BR42,SumRef!BR$16,,,SumRef!$B$8))="","",INDIRECT(ADDRESS(SumRef!BR42,SumRef!BR$16,,,SumRef!$B$8))))</f>
        <v/>
      </c>
      <c r="AC36" s="1107" t="str">
        <f ca="1">IF('A-80 DirEntInv'!AC35&lt;&gt;"",'A-80 DirEntInv'!AC35,IF(INDIRECT(ADDRESS(SumRef!BS42,SumRef!BS$16,,,SumRef!$B$8))="","",INDIRECT(ADDRESS(SumRef!BS42,SumRef!BS$16,,,SumRef!$B$8))))</f>
        <v/>
      </c>
      <c r="AD36" s="1349" t="str">
        <f ca="1">IF('A-80 DirEntInv'!AD35&lt;&gt;"",'A-80 DirEntInv'!AD35,IF(INDIRECT(ADDRESS(SumRef!BT42,SumRef!BT$16,,,SumRef!$B$8))="","",INDIRECT(ADDRESS(SumRef!BT42,SumRef!BT$16,,,SumRef!$B$8))))</f>
        <v/>
      </c>
      <c r="AE36" s="1137" t="str">
        <f ca="1">IF('A-80 DirEntInv'!AE35&lt;&gt;"",'A-80 DirEntInv'!AE35,IF(INDIRECT(ADDRESS(SumRef!BU42,SumRef!BU$16,,,SumRef!$B$8))="","",INDIRECT(ADDRESS(SumRef!BU42,SumRef!BU$16,,,SumRef!$B$8))))</f>
        <v/>
      </c>
      <c r="AF36" s="1346" t="str">
        <f ca="1">IF('A-80 DirEntInv'!AF35&lt;&gt;"",'A-80 DirEntInv'!AF35,IF(INDIRECT(ADDRESS(SumRef!BV42,SumRef!BV$16,,,SumRef!$B$8))="","",INDIRECT(ADDRESS(SumRef!BV42,SumRef!BV$16,,,SumRef!$B$8))))</f>
        <v/>
      </c>
      <c r="AG36" s="1105" t="str">
        <f ca="1">IF('A-80 DirEntInv'!AG35&lt;&gt;"",'A-80 DirEntInv'!AG35,IF(INDIRECT(ADDRESS(SumRef!BW42,SumRef!BW$16,,,SumRef!$B$8))="","",INDIRECT(ADDRESS(SumRef!BW42,SumRef!BW$16,,,SumRef!$B$8))))</f>
        <v/>
      </c>
      <c r="AH36" s="1357" t="str">
        <f ca="1">IF('A-80 DirEntInv'!AH35&lt;&gt;"",'A-80 DirEntInv'!AH35,IF(INDIRECT(ADDRESS(SumRef!BX42,SumRef!BX$16,,,SumRef!$B$8))="","",INDIRECT(ADDRESS(SumRef!BX42,SumRef!BX$16,,,SumRef!$B$8))))</f>
        <v/>
      </c>
      <c r="AK36" s="1041" t="str">
        <f>Codes!$C$157</f>
        <v>AG - Automated Guideway (PT)</v>
      </c>
      <c r="AL36" s="1042" t="str">
        <f>Valid!$B$89</f>
        <v>Third Rail/Power Distribution</v>
      </c>
      <c r="AM36" s="1108"/>
      <c r="AN36" s="1042"/>
      <c r="AO36" s="1108"/>
      <c r="AP36" s="1042"/>
      <c r="AQ36" s="1147" t="str">
        <f>IF('A-80 DirEntInv'!AQ35&lt;&gt;"",'A-80 DirEntInv'!AQ35,IF(AK36=summaryref2!B23,summaryref2!G23,IF(Summary!AK36=summaryref2!B37,summaryref2!G37,IF(AK36=summaryref2!B51,summaryref2!G51,IF(AK36=summaryref2!B65,summaryref2!G65,IF(AK36=summaryref2!B79,summaryref2!G79,IF(AK36=summaryref2!B93,summaryref2!G93,IF(AK36=summaryref2!B107,summaryref2!G107,IF(AK36=summaryref2!B121,summaryref2!G121,IF(AK36=summaryref2!B135,summaryref2!G135,IF(AK36=summaryref2!B149,summaryref2!G149,"")))))))))))</f>
        <v/>
      </c>
      <c r="AR36" s="1147" t="str">
        <f>IF('A-80 DirEntInv'!AR35&lt;&gt;"",'A-80 DirEntInv'!AR35,IF(AK36=summaryref2!B23,summaryref2!H23,IF(Summary!AK36=summaryref2!B37,summaryref2!H37,IF(AK36=summaryref2!B51,summaryref2!H51,IF(AK36=summaryref2!B65,summaryref2!H65,IF(AK36=summaryref2!B79,summaryref2!H79,IF(AK36=summaryref2!B93,summaryref2!H93,IF(AK36=summaryref2!B107,summaryref2!H107,IF(AK36=summaryref2!B121,summaryref2!H121,IF(AK36=summaryref2!B135,summaryref2!H135,IF(AK36=summaryref2!B149,summaryref2!H149,"")))))))))))</f>
        <v/>
      </c>
      <c r="AS36" s="1110" t="str">
        <f>IF('A-80 DirEntInv'!AS35&lt;&gt;"",'A-80 DirEntInv'!AS35,IF(AK36=summaryref2!B23,summaryref2!I23,IF(Summary!AK36=summaryref2!B37,summaryref2!I37,IF(AK36=summaryref2!B51,summaryref2!I51,IF(AK36=summaryref2!B65,summaryref2!I65,IF(AK36=summaryref2!B79,summaryref2!I79,IF(AK36=summaryref2!B93,summaryref2!I93,IF(AK36=summaryref2!B107,summaryref2!I107,IF(AK36=summaryref2!B121,summaryref2!I121,IF(AK36=summaryref2!B135,summaryref2!I135,IF(AK36=summaryref2!B149,summaryref2!I149,"")))))))))))</f>
        <v/>
      </c>
      <c r="AT36" s="1110" t="str">
        <f>IF('A-80 DirEntInv'!AT35&lt;&gt;"",'A-80 DirEntInv'!AT35,IF(AK36=summaryref2!B23,summaryref2!J23,IF(Summary!AK36=summaryref2!B37,summaryref2!J37,IF(AK36=summaryref2!B51,summaryref2!J51,IF(AK36=summaryref2!B65,summaryref2!J65,IF(AK36=summaryref2!B79,summaryref2!J79,IF(AK36=summaryref2!B93,summaryref2!J93,IF(AK36=summaryref2!B107,summaryref2!J107,IF(AK36=summaryref2!B121,summaryref2!J121,IF(AK36=summaryref2!B135,summaryref2!J135,IF(AK36=summaryref2!B149,summaryref2!J149,"")))))))))))</f>
        <v/>
      </c>
      <c r="AU36" s="1110" t="str">
        <f>IF('A-80 DirEntInv'!AU35&lt;&gt;"",'A-80 DirEntInv'!AU35,IF(AK36=summaryref2!B23,summaryref2!K23,IF(Summary!AK36=summaryref2!B37,summaryref2!K37,IF(AK36=summaryref2!B51,summaryref2!K51,IF(AK36=summaryref2!B65,summaryref2!K65,IF(AK36=summaryref2!B79,summaryref2!K79,IF(AK36=summaryref2!B93,summaryref2!K93,IF(AK36=summaryref2!B107,summaryref2!K107,IF(AK36=summaryref2!B121,summaryref2!K121,IF(AK36=summaryref2!B135,summaryref2!K135,IF(AK36=summaryref2!B149,summaryref2!K149,"")))))))))))</f>
        <v/>
      </c>
      <c r="AV36" s="1110" t="str">
        <f>IF('A-80 DirEntInv'!AV35&lt;&gt;"",'A-80 DirEntInv'!AV35,IF(AK36=summaryref2!B23,summaryref2!L23,IF(Summary!AK36=summaryref2!B37,summaryref2!L37,IF(AK36=summaryref2!B51,summaryref2!L51,IF(AK36=summaryref2!B65,summaryref2!L65,IF(AK36=summaryref2!B79,summaryref2!L79,IF(AK36=summaryref2!B93,summaryref2!L93,IF(AK36=summaryref2!B107,summaryref2!L107,IF(AK36=summaryref2!B121,summaryref2!L121,IF(AK36=summaryref2!B135,summaryref2!L135,IF(AK36=summaryref2!B149,summaryref2!L149,"")))))))))))</f>
        <v/>
      </c>
      <c r="AW36" s="1110" t="str">
        <f>IF('A-80 DirEntInv'!AW35&lt;&gt;"",'A-80 DirEntInv'!AW35,IF(AK36=summaryref2!B23,summaryref2!M23,IF(Summary!AK36=summaryref2!B37,summaryref2!M37,IF(AK36=summaryref2!B51,summaryref2!M51,IF(AK36=summaryref2!B65,summaryref2!M65,IF(AK36=summaryref2!B79,summaryref2!M79,IF(AK36=summaryref2!B93,summaryref2!M93,IF(AK36=summaryref2!B107,summaryref2!M107,IF(AK36=summaryref2!B121,summaryref2!M121,IF(AK36=summaryref2!B135,summaryref2!M135,IF(AK36=summaryref2!B149,summaryref2!M149,"")))))))))))</f>
        <v/>
      </c>
      <c r="AX36" s="1110" t="str">
        <f>IF('A-80 DirEntInv'!AX35&lt;&gt;"",'A-80 DirEntInv'!AX35,IF(AK36=summaryref2!B23,summaryref2!N23,IF(Summary!AK36=summaryref2!B37,summaryref2!N37,IF(AK36=summaryref2!B51,summaryref2!N51,IF(AK36=summaryref2!B65,summaryref2!N65,IF(AK36=summaryref2!B79,summaryref2!N79,IF(AK36=summaryref2!B93,summaryref2!N93,IF(AK36=summaryref2!B107,summaryref2!N107,IF(AK36=summaryref2!B121,summaryref2!N121,IF(AK36=summaryref2!B135,summaryref2!N135,IF(AK36=summaryref2!B149,summaryref2!N149,"")))))))))))</f>
        <v/>
      </c>
      <c r="AY36" s="1110" t="str">
        <f>IF('A-80 DirEntInv'!AY35&lt;&gt;"",'A-80 DirEntInv'!AY35,IF(AK36=summaryref2!B23,summaryref2!O23,IF(Summary!AK36=summaryref2!B37,summaryref2!O37,IF(AK36=summaryref2!B51,summaryref2!O51,IF(AK36=summaryref2!B65,summaryref2!O65,IF(AK36=summaryref2!B79,summaryref2!O79,IF(AK36=summaryref2!B93,summaryref2!O93,IF(AK36=summaryref2!B107,summaryref2!O107,IF(AK36=summaryref2!B121,summaryref2!O121,IF(AK36=summaryref2!B135,summaryref2!O135,IF(AK36=summaryref2!B149,summaryref2!O149,"")))))))))))</f>
        <v/>
      </c>
      <c r="AZ36" s="1110" t="str">
        <f>IF('A-80 DirEntInv'!AZ35&lt;&gt;"",'A-80 DirEntInv'!AZ35,IF(AK36=summaryref2!B23,summaryref2!P23,IF(Summary!AK36=summaryref2!B37,summaryref2!P37,IF(AK36=summaryref2!B51,summaryref2!P51,IF(AK36=summaryref2!B65,summaryref2!P65,IF(AK36=summaryref2!B79,summaryref2!P79,IF(AK36=summaryref2!B93,summaryref2!P93,IF(AK36=summaryref2!B107,summaryref2!P107,IF(AK36=summaryref2!B121,summaryref2!P121,IF(AK36=summaryref2!B135,summaryref2!P135,IF(AK36=summaryref2!B149,summaryref2!P149,"")))))))))))</f>
        <v/>
      </c>
      <c r="BA36" s="1110" t="str">
        <f>IF('A-80 DirEntInv'!BA35&lt;&gt;"",'A-80 DirEntInv'!BA35,IF(AK36=summaryref2!B23,summaryref2!Q23,IF(Summary!AK36=summaryref2!B37,summaryref2!Q37,IF(AK36=summaryref2!B51,summaryref2!Q51,IF(AK36=summaryref2!B65,summaryref2!Q65,IF(AK36=summaryref2!B79,summaryref2!Q79,IF(AK36=summaryref2!B93,summaryref2!Q93,IF(AK36=summaryref2!B107,summaryref2!Q107,IF(AK36=summaryref2!B121,summaryref2!Q121,IF(AK36=summaryref2!B135,summaryref2!Q135,IF(AK36=summaryref2!B149,summaryref2!Q149,"")))))))))))</f>
        <v/>
      </c>
      <c r="BB36" s="1110" t="str">
        <f>IF('A-80 DirEntInv'!BB35&lt;&gt;"",'A-80 DirEntInv'!BB35,IF(AK36=summaryref2!B23,summaryref2!R23,IF(Summary!AK36=summaryref2!B37,summaryref2!R37,IF(AK36=summaryref2!B51,summaryref2!R51,IF(AK36=summaryref2!B65,summaryref2!R65,IF(AK36=summaryref2!B79,summaryref2!R79,IF(AK36=summaryref2!B93,summaryref2!R93,IF(AK36=summaryref2!B107,summaryref2!R107,IF(AK36=summaryref2!B121,summaryref2!R121,IF(AK36=summaryref2!B135,summaryref2!R135,IF(AK36=summaryref2!B149,summaryref2!R149,"")))))))))))</f>
        <v/>
      </c>
      <c r="BC36" s="1110" t="str">
        <f>IF('A-80 DirEntInv'!BC35&lt;&gt;0,'A-80 DirEntInv'!BC35,IF(AK36=summaryref2!B23,summaryref2!S23,IF(Summary!AK36=summaryref2!B37,summaryref2!S37,IF(AK36=summaryref2!B51,summaryref2!S51,IF(AK36=summaryref2!B65,summaryref2!S65,IF(AK36=summaryref2!B79,summaryref2!S79,IF(AK36=summaryref2!B93,summaryref2!S93,IF(AK36=summaryref2!B107,summaryref2!S107,IF(AK36=summaryref2!B121,summaryref2!S121,IF(AK36=summaryref2!B135,summaryref2!S135,IF(AK36=summaryref2!B149,summaryref2!S149,"")))))))))))</f>
        <v/>
      </c>
      <c r="BD36" s="1111" t="str">
        <f>IF('A-80 DirEntInv'!BD35&lt;&gt;"",'A-80 DirEntInv'!BD35,IF(AK36=summaryref2!B23,summaryref2!T23,IF(Summary!AK36=summaryref2!B37,summaryref2!T37,IF(AK36=summaryref2!B51,summaryref2!T51,IF(AK36=summaryref2!B65,summaryref2!T65,IF(AK36=summaryref2!B79,summaryref2!T79,IF(AK36=summaryref2!B93,summaryref2!T93,IF(AK36=summaryref2!B107,summaryref2!T107,IF(AK36=summaryref2!B121,summaryref2!T121,IF(AK36=summaryref2!B135,summaryref2!T135,IF(AK36=summaryref2!B149,summaryref2!T149,"")))))))))))</f>
        <v/>
      </c>
      <c r="BE36" s="1184" t="str">
        <f>IF('A-80 DirEntInv'!BE35&lt;&gt;"",'A-80 DirEntInv'!BE35,IF(AK36=summaryref2!B23,summaryref2!U23,IF(Summary!AK36=summaryref2!B37,summaryref2!U37,IF(AK36=summaryref2!B51,summaryref2!U51,IF(AK36=summaryref2!B65,summaryref2!U65,IF(AK36=summaryref2!B79,summaryref2!U79,IF(AK36=summaryref2!B93,summaryref2!U93,IF(AK36=summaryref2!B107,summaryref2!U107,IF(AK36=summaryref2!B121,summaryref2!U121,IF(AK36=summaryref2!B135,summaryref2!U135,IF(AK36=summaryref2!B149,summaryref2!U149,"")))))))))))</f>
        <v/>
      </c>
      <c r="BF36" s="1432"/>
      <c r="BG36" s="1432"/>
      <c r="BJ36" s="1041" t="str">
        <f>Codes!$C$159</f>
        <v>CC - Cable Car (DO)</v>
      </c>
      <c r="BK36" s="1042" t="str">
        <f>Valid!$B$84</f>
        <v>Half Grand Union</v>
      </c>
      <c r="BL36" s="1375" t="str">
        <f>IF('A-80 DirEntInv'!BL35&lt;&gt;"",'A-80 DirEntInv'!BL35,IF(BJ36=summaryref2!X16,summaryref2!Z16,IF(BJ36=summaryref2!X23,summaryref2!Z23,IF(BJ36=summaryref2!X30,summaryref2!Z30,IF(BJ36=summaryref2!X37,summaryref2!Z37,IF(BJ36=summaryref2!X44,summaryref2!Z44,IF(BJ36=summaryref2!X51,summaryref2!Z51,IF(BJ36=summaryref2!X58,summaryref2!Z58,IF(BJ36=summaryref2!X65,summaryref2!Z65,IF(BJ36=summaryref2!X72,summaryref2!Z72,IF(BJ36=summaryref2!X79,summaryref2!Z79,"")))))))))))</f>
        <v/>
      </c>
      <c r="BM36" s="1042" t="str">
        <f>VLOOKUP(BK36,Valid!$B$80:$C$86,2,FALSE)</f>
        <v>Each</v>
      </c>
      <c r="BN36" s="1209" t="str">
        <f>IF('A-80 DirEntInv'!BN35&lt;&gt;"",'A-80 DirEntInv'!BN35,IF(BJ36=summaryref2!X16,summaryref2!AB16,IF(BJ36=summaryref2!X23,summaryref2!AB23,IF(BJ36=summaryref2!X30,summaryref2!AB30,IF(BJ36=summaryref2!X37,summaryref2!AB37,IF(BJ36=summaryref2!X44,summaryref2!AB44,IF(BJ36=summaryref2!X51,summaryref2!AB51,IF(BJ36=summaryref2!X58,summaryref2!AB58,IF(BJ36=summaryref2!X65,summaryref2!AB65,IF(BJ36=summaryref2!X72,summaryref2!AB72,IF(BJ36=summaryref2!X79,summaryref2!AB79,"")))))))))))</f>
        <v/>
      </c>
      <c r="BO36" s="1116" t="str">
        <f>IF('A-80 DirEntInv'!BO35&lt;&gt;"",'A-80 DirEntInv'!BO35,IF(BJ36=summaryref2!X16,summaryref2!AC16,IF(BJ36=summaryref2!X23,summaryref2!AC23,IF(BJ36=summaryref2!X30,summaryref2!AC30,IF(BJ36=summaryref2!X37,summaryref2!AC37,IF(BJ36=summaryref2!X44,summaryref2!AC44,IF(BJ36=summaryref2!X51,summaryref2!AC51,IF(BJ36=summaryref2!X58,summaryref2!AC58,IF(BJ36=summaryref2!X65,summaryref2!AC65,IF(BJ36=summaryref2!X72,summaryref2!AC72,IF(BJ36=summaryref2!X79,summaryref2!AC79,"")))))))))))</f>
        <v/>
      </c>
      <c r="BP36" s="1384" t="str">
        <f>IF('A-80 DirEntInv'!BP35&lt;&gt;"",'A-80 DirEntInv'!BP35,IF(BJ36=summaryref2!X16,summaryref2!AD16,IF(BJ36=summaryref2!X23,summaryref2!AD23,IF(BJ36=summaryref2!X30,summaryref2!AD30,IF(BJ36=summaryref2!X37,summaryref2!AD37,IF(BJ36=summaryref2!X44,summaryref2!AD44,IF(BJ36=summaryref2!X51,summaryref2!AD51,IF(BJ36=summaryref2!X58,summaryref2!AD58,IF(BJ36=summaryref2!X65,summaryref2!AD65,IF(BJ36=summaryref2!X72,summaryref2!AD72,IF(BJ36=summaryref2!X79,summaryref2!AD79,"")))))))))))</f>
        <v/>
      </c>
      <c r="BS36" s="1472" t="str">
        <f ca="1">IF('A-80 DirEntInv'!BU35&lt;&gt;"",'A-80 DirEntInv'!BU35,IF(INDIRECT(ADDRESS(SumRef!DK42,SumRef!DK$16,,,SumRef!$E$6))="","",INDIRECT(ADDRESS(SumRef!DK42,SumRef!DK$16,,,SumRef!$E$6))))</f>
        <v/>
      </c>
      <c r="BT36" s="1458" t="str">
        <f ca="1">IF('A-80 DirEntInv'!BV35&lt;&gt;"",'A-80 DirEntInv'!BV35,IF(INDIRECT(ADDRESS(SumRef!DL42,SumRef!DL$16,,,SumRef!$E$6))="","",INDIRECT(ADDRESS(SumRef!DL42,SumRef!DL$16,,,SumRef!$E$6))))</f>
        <v/>
      </c>
      <c r="BU36" s="1177" t="str">
        <f ca="1">IF('A-80 DirEntInv'!BW35&lt;&gt;"",'A-80 DirEntInv'!BW35,IF(INDIRECT(ADDRESS(SumRef!DM42,SumRef!DM$16,,,SumRef!$E$6))="","",INDIRECT(ADDRESS(SumRef!DM42,SumRef!DM$16,,,SumRef!$E$6))))</f>
        <v/>
      </c>
      <c r="BV36" s="1460" t="str">
        <f ca="1">IF('A-80 DirEntInv'!BX35&lt;&gt;"",'A-80 DirEntInv'!BX35,IF(INDIRECT(ADDRESS(SumRef!DN42,SumRef!DN$16,,,SumRef!$E$6))="","",INDIRECT(ADDRESS(SumRef!DN42,SumRef!DN$16,,,SumRef!$E$6))))</f>
        <v/>
      </c>
      <c r="BW36" s="1460" t="str">
        <f ca="1">IF('A-80 DirEntInv'!BY35&lt;&gt;"",'A-80 DirEntInv'!BY35,IF(INDIRECT(ADDRESS(SumRef!DO42,SumRef!DO$16,,,SumRef!$E$6))="","",INDIRECT(ADDRESS(SumRef!DO42,SumRef!DO$16,,,SumRef!$E$6))))</f>
        <v/>
      </c>
      <c r="BX36" s="1116" t="str">
        <f ca="1">IF('A-80 DirEntInv'!BZ35&lt;&gt;"",'A-80 DirEntInv'!BZ35,IF(INDIRECT(ADDRESS(SumRef!DP42,SumRef!DP$16,,,SumRef!$E$6))="","",INDIRECT(ADDRESS(SumRef!DP42,SumRef!DP$16,,,SumRef!$E$6))))</f>
        <v/>
      </c>
      <c r="BY36" s="1461" t="str">
        <f ca="1">IF('A-80 DirEntInv'!CA35&lt;&gt;"",'A-80 DirEntInv'!CA35,IF(INDIRECT(ADDRESS(SumRef!DQ42,SumRef!DQ$16,,,SumRef!$E$6))="","",INDIRECT(ADDRESS(SumRef!DQ42,SumRef!DQ$16,,,SumRef!$E$6))))</f>
        <v/>
      </c>
      <c r="BZ36" s="1460" t="str">
        <f ca="1">IF('A-80 DirEntInv'!CB35&lt;&gt;"",'A-80 DirEntInv'!CB35,IF(INDIRECT(ADDRESS(SumRef!DR42,SumRef!DR$16,,,SumRef!$E$6))="","",INDIRECT(ADDRESS(SumRef!DR42,SumRef!DR$16,,,SumRef!$E$6))))</f>
        <v/>
      </c>
      <c r="CA36" s="1462" t="str">
        <f ca="1">IF('A-80 DirEntInv'!CC35&lt;&gt;"",'A-80 DirEntInv'!CC35,IF(INDIRECT(ADDRESS(SumRef!DS42,SumRef!DS$16,,,SumRef!$E$6))="","",INDIRECT(ADDRESS(SumRef!DS42,SumRef!DS$16,,,SumRef!$E$6))))</f>
        <v/>
      </c>
      <c r="CD36" s="1160" t="str">
        <f ca="1">IF('A-80 DirEntInv'!CF35&lt;&gt;"",'A-80 DirEntInv'!CF35,IF(INDIRECT(ADDRESS(SumRef!DV42,SumRef!DV$16,,,SumRef!$E$7))="","",INDIRECT(ADDRESS(SumRef!DV42,SumRef!DV$16,,,SumRef!$E$7))))</f>
        <v/>
      </c>
      <c r="CE36" s="1167" t="str">
        <f ca="1">IF('A-80 DirEntInv'!CG35&lt;&gt;"",'A-80 DirEntInv'!CG35,IF(INDIRECT(ADDRESS(SumRef!DW42,SumRef!DW$16,,,SumRef!$E$7))="","",INDIRECT(ADDRESS(SumRef!DW42,SumRef!DW$16,,,SumRef!$E$7))))</f>
        <v/>
      </c>
      <c r="CF36" s="1167" t="str">
        <f ca="1">IF('A-80 DirEntInv'!CH35&lt;&gt;"",'A-80 DirEntInv'!CH35,IF(INDIRECT(ADDRESS(SumRef!DX42,SumRef!DX$16,,,SumRef!$E$7))="","",INDIRECT(ADDRESS(SumRef!DX42,SumRef!DX$16,,,SumRef!$E$7))))</f>
        <v/>
      </c>
      <c r="CG36" s="1167" t="str">
        <f ca="1">IF('A-80 DirEntInv'!CI35&lt;&gt;"",'A-80 DirEntInv'!CI35,IF(INDIRECT(ADDRESS(SumRef!DY42,SumRef!DY$16,,,SumRef!$E$7))="","",INDIRECT(ADDRESS(SumRef!DY42,SumRef!DY$16,,,SumRef!$E$7))))</f>
        <v/>
      </c>
      <c r="CH36" s="1167" t="str">
        <f ca="1">IF('A-80 DirEntInv'!CJ35&lt;&gt;"",'A-80 DirEntInv'!CJ35,IF(INDIRECT(ADDRESS(SumRef!DZ42,SumRef!DZ$16,,,SumRef!$E$7))="","",INDIRECT(ADDRESS(SumRef!DZ42,SumRef!DZ$16,,,SumRef!$E$7))))</f>
        <v/>
      </c>
      <c r="CI36" s="1167" t="str">
        <f ca="1">IF('A-80 DirEntInv'!CK35&lt;&gt;"",'A-80 DirEntInv'!CK35,IF(INDIRECT(ADDRESS(SumRef!EA42,SumRef!EA$16,,,SumRef!$E$7))="","",INDIRECT(ADDRESS(SumRef!EA42,SumRef!EA$16,,,SumRef!$E$7))))</f>
        <v/>
      </c>
      <c r="CJ36" s="1114" t="str">
        <f ca="1">IF('A-80 DirEntInv'!CL35&lt;&gt;"",'A-80 DirEntInv'!CL35,IF(INDIRECT(ADDRESS(SumRef!EB42,SumRef!EB$16,,,SumRef!$E$7))="","",INDIRECT(ADDRESS(SumRef!EB42,SumRef!EB$16,,,SumRef!$E$7))))</f>
        <v/>
      </c>
      <c r="CK36" s="1114" t="str">
        <f ca="1">IF('A-80 DirEntInv'!CM35&lt;&gt;"",'A-80 DirEntInv'!CM35,IF(INDIRECT(ADDRESS(SumRef!EC42,SumRef!EC$16,,,SumRef!$E$7))="","",INDIRECT(ADDRESS(SumRef!EC42,SumRef!EC$16,,,SumRef!$E$7))))</f>
        <v/>
      </c>
      <c r="CL36" s="1113" t="str">
        <f ca="1">IF('A-80 DirEntInv'!CO35&lt;&gt;"",'A-80 DirEntInv'!CO35,IF(INDIRECT(ADDRESS(SumRef!ED42,SumRef!ED$16,,,SumRef!$E$7))="","",INDIRECT(ADDRESS(SumRef!ED42,SumRef!ED$16,,,SumRef!$E$7))))</f>
        <v/>
      </c>
      <c r="CM36" s="1114" t="str">
        <f ca="1">IF('A-80 DirEntInv'!CP35&lt;&gt;"",'A-80 DirEntInv'!CP35,IF(INDIRECT(ADDRESS(SumRef!EE42,SumRef!EE$16,,,SumRef!$E$7))="","",INDIRECT(ADDRESS(SumRef!EE42,SumRef!EE$16,,,SumRef!$E$7))))</f>
        <v/>
      </c>
      <c r="CN36" s="1114" t="str">
        <f ca="1">IF('A-80 DirEntInv'!CQ35&lt;&gt;"",'A-80 DirEntInv'!CQ35,IF(INDIRECT(ADDRESS(SumRef!EF42,SumRef!EF$16,,,SumRef!$E$7))="","",INDIRECT(ADDRESS(SumRef!EF42,SumRef!EF$16,,,SumRef!$E$7))))</f>
        <v/>
      </c>
      <c r="CO36" s="1113" t="str">
        <f ca="1">IF('A-80 DirEntInv'!CR35&lt;&gt;"",'A-80 DirEntInv'!CR35,IF(INDIRECT(ADDRESS(SumRef!EG42,SumRef!EG$16,,,SumRef!$E$7))="","",INDIRECT(ADDRESS(SumRef!EG42,SumRef!EG$16,,,SumRef!$E$7))))</f>
        <v/>
      </c>
      <c r="CP36" s="1114" t="str">
        <f ca="1">IF('A-80 DirEntInv'!CS35&lt;&gt;"",'A-80 DirEntInv'!CS35,IF(INDIRECT(ADDRESS(SumRef!EH42,SumRef!EH$16,,,SumRef!$E$7))="","",INDIRECT(ADDRESS(SumRef!EH42,SumRef!EH$16,,,SumRef!$E$7))))</f>
        <v/>
      </c>
      <c r="CQ36" s="1346" t="str">
        <f ca="1">IF('A-80 DirEntInv'!CT35&lt;&gt;"",'A-80 DirEntInv'!CT35,IF(INDIRECT(ADDRESS(SumRef!EI42,SumRef!EI$16,,,SumRef!$E$7))="","",INDIRECT(ADDRESS(SumRef!EI42,SumRef!EI$16,,,SumRef!$E$7))))</f>
        <v/>
      </c>
      <c r="CR36" s="1113" t="str">
        <f ca="1">IF('A-80 DirEntInv'!CU35&lt;&gt;"",'A-80 DirEntInv'!CU35,IF(INDIRECT(ADDRESS(SumRef!EJ42,SumRef!EJ$16,,,SumRef!$E$7))="","",INDIRECT(ADDRESS(SumRef!EJ42,SumRef!EJ$16,,,SumRef!$E$7))))</f>
        <v/>
      </c>
      <c r="CS36" s="1346" t="str">
        <f ca="1">IF('A-80 DirEntInv'!CV35&lt;&gt;"",'A-80 DirEntInv'!CV35,IF(INDIRECT(ADDRESS(SumRef!EM42,SumRef!EM$16,,,SumRef!$E$7))="","",INDIRECT(ADDRESS(SumRef!EM42,SumRef!EM$16,,,SumRef!$E$7))))</f>
        <v/>
      </c>
      <c r="CT36" s="1113" t="str">
        <f ca="1">IF('A-80 DirEntInv'!CW35&lt;&gt;"",'A-80 DirEntInv'!CW35,IF(INDIRECT(ADDRESS(SumRef!EN42,SumRef!EN$16,,,SumRef!$E$7))="","",INDIRECT(ADDRESS(SumRef!EN42,SumRef!EN$16,,,SumRef!$E$7))))</f>
        <v/>
      </c>
      <c r="CU36" s="1113" t="str">
        <f ca="1">IF('A-80 DirEntInv'!CX35&lt;&gt;"",'A-80 DirEntInv'!CX35,IF(INDIRECT(ADDRESS(SumRef!EO42,SumRef!EO$16,,,SumRef!$E$7))="","",INDIRECT(ADDRESS(SumRef!EO42,SumRef!EO$16,,,SumRef!$E$7))))</f>
        <v/>
      </c>
      <c r="CV36" s="1113" t="str">
        <f ca="1">IF('A-80 DirEntInv'!CY35&lt;&gt;"",'A-80 DirEntInv'!CY35,IF(INDIRECT(ADDRESS(SumRef!EP42,SumRef!EP$16,,,SumRef!$E$7))="","",INDIRECT(ADDRESS(SumRef!EP42,SumRef!EP$16,,,SumRef!$E$7))))</f>
        <v/>
      </c>
      <c r="CW36" s="1114" t="str">
        <f ca="1">IF('A-80 DirEntInv'!CZ35&lt;&gt;"",'A-80 DirEntInv'!CZ35,IF(INDIRECT(ADDRESS(SumRef!ES42,SumRef!ES$16,,,SumRef!$E$7))="","",INDIRECT(ADDRESS(SumRef!ES42,SumRef!ES$16,,,SumRef!$E$7))))</f>
        <v/>
      </c>
      <c r="CX36" s="1167" t="str">
        <f ca="1">IF('A-80 DirEntInv'!DA35&lt;&gt;"",'A-80 DirEntInv'!DA35,IF(INDIRECT(ADDRESS(SumRef!ET42,SumRef!ET$16,,,SumRef!$E$7))="","",INDIRECT(ADDRESS(SumRef!ET42,SumRef!ET$16,,,SumRef!$E$7))))</f>
        <v/>
      </c>
      <c r="CY36" s="1167" t="str">
        <f ca="1">IF('A-80 DirEntInv'!DB35&lt;&gt;"",'A-80 DirEntInv'!DB35,IF(INDIRECT(ADDRESS(SumRef!EU42,SumRef!EU$16,,,SumRef!$E$7))="","",INDIRECT(ADDRESS(SumRef!EU42,SumRef!EU$16,,,SumRef!$E$7))))</f>
        <v/>
      </c>
      <c r="CZ36" s="1167" t="b">
        <f ca="1">IF('A-80 DirEntInv'!DC35&lt;&gt;"",'A-80 DirEntInv'!DC35,IF(INDIRECT(ADDRESS(SumRef!EV42,SumRef!EV$16,,,SumRef!$E$7))="","",INDIRECT(ADDRESS(SumRef!EV42,SumRef!EV$16,,,SumRef!$E$7))))</f>
        <v>0</v>
      </c>
      <c r="DA36" s="1373" t="str">
        <f ca="1">IF('A-80 DirEntInv'!DD35&lt;&gt;"",'A-80 DirEntInv'!DD35,IF(INDIRECT(ADDRESS(SumRef!EW42,SumRef!EW$16,,,SumRef!$E$7))="","",INDIRECT(ADDRESS(SumRef!EW42,SumRef!EW$16,,,SumRef!$E$7))))</f>
        <v/>
      </c>
      <c r="DB36" s="1373" t="b">
        <f ca="1">IF('A-80 DirEntInv'!DE35&lt;&gt;"",'A-80 DirEntInv'!DE35,IF(INDIRECT(ADDRESS(SumRef!EX42,SumRef!EX$16,,,SumRef!$E$7))="","",INDIRECT(ADDRESS(SumRef!EX42,SumRef!EX$16,,,SumRef!$E$7))))</f>
        <v>0</v>
      </c>
      <c r="DC36" s="1114" t="b">
        <f ca="1">IF('A-80 DirEntInv'!DF35&lt;&gt;"",'A-80 DirEntInv'!DF35,IF(INDIRECT(ADDRESS(SumRef!EY42,SumRef!EY$16,,,SumRef!$E$7))="","",INDIRECT(ADDRESS(SumRef!EY42,SumRef!EY$16,,,SumRef!$E$7))))</f>
        <v>0</v>
      </c>
      <c r="DD36" s="1115" t="str">
        <f ca="1">IF('A-80 DirEntInv'!DG35&lt;&gt;"",'A-80 DirEntInv'!DG35,IF(INDIRECT(ADDRESS(SumRef!EZ42,SumRef!EZ$16,,,SumRef!$E$7))="","",INDIRECT(ADDRESS(SumRef!EZ42,SumRef!EZ$16,,,SumRef!$E$7))))</f>
        <v/>
      </c>
    </row>
    <row r="37" spans="1:108" s="588" customFormat="1" x14ac:dyDescent="0.2">
      <c r="A37" s="589">
        <f t="shared" si="0"/>
        <v>27</v>
      </c>
      <c r="B37" s="1155" t="str">
        <f ca="1">IF('A-80 DirEntInv'!B36&lt;&gt;"",'A-80 DirEntInv'!B36,IF(INDIRECT(ADDRESS(SumRef!AQ43,SumRef!AQ$16,,,SumRef!$B$7))="","",INDIRECT(ADDRESS(SumRef!AQ43,SumRef!AQ$16,,,SumRef!$B$7))))</f>
        <v/>
      </c>
      <c r="C37" s="1097" t="str">
        <f ca="1">IF('A-80 DirEntInv'!C36&lt;&gt;"",'A-80 DirEntInv'!C36,IF(INDIRECT(ADDRESS(SumRef!AR43,SumRef!AR$16,,,SumRef!$B$7))="","",INDIRECT(ADDRESS(SumRef!AR43,SumRef!AR$16,,,SumRef!$B$7))))</f>
        <v/>
      </c>
      <c r="D37" s="1097" t="str">
        <f ca="1">IF('A-80 DirEntInv'!D36&lt;&gt;"",'A-80 DirEntInv'!D36,IF(INDIRECT(ADDRESS(SumRef!AS43,SumRef!AS$16,,,SumRef!$B$7))="","",INDIRECT(ADDRESS(SumRef!AS43,SumRef!AS$16,,,SumRef!$B$7))))</f>
        <v/>
      </c>
      <c r="E37" s="1097" t="str">
        <f ca="1">IF('A-80 DirEntInv'!E36&lt;&gt;"",'A-80 DirEntInv'!E36,IF(INDIRECT(ADDRESS(SumRef!AT43,SumRef!AT$16,,,SumRef!$B$7))="","",INDIRECT(ADDRESS(SumRef!AT43,SumRef!AT$16,,,SumRef!$B$7))))</f>
        <v/>
      </c>
      <c r="F37" s="1097" t="str">
        <f ca="1">IF('A-80 DirEntInv'!F36&lt;&gt;"",'A-80 DirEntInv'!F36,IF(INDIRECT(ADDRESS(SumRef!AU43,SumRef!AU$16,,,SumRef!$B$7))="","",INDIRECT(ADDRESS(SumRef!AU43,SumRef!AU$16,,,SumRef!$B$7))))</f>
        <v/>
      </c>
      <c r="G37" s="1158" t="str">
        <f ca="1">IF('A-80 DirEntInv'!G36&lt;&gt;"",'A-80 DirEntInv'!G36,IF(INDIRECT(ADDRESS(SumRef!AV43,SumRef!AV$16,,,SumRef!$B$7))="","",INDIRECT(ADDRESS(SumRef!AV43,SumRef!AV$16,,,SumRef!$B$7))))</f>
        <v/>
      </c>
      <c r="H37" s="1097" t="str">
        <f ca="1">IF('A-80 DirEntInv'!H36&lt;&gt;"",'A-80 DirEntInv'!H36,IF(INDIRECT(ADDRESS(SumRef!AW43,SumRef!AW$16,,,SumRef!$B$7))="","",INDIRECT(ADDRESS(SumRef!AW43,SumRef!AW$16,,,SumRef!$B$7))))</f>
        <v/>
      </c>
      <c r="I37" s="1097" t="str">
        <f ca="1">IF('A-80 DirEntInv'!I36&lt;&gt;"",'A-80 DirEntInv'!I36,IF(INDIRECT(ADDRESS(SumRef!AX43,SumRef!AX$16,,,SumRef!$B$7))="","",INDIRECT(ADDRESS(SumRef!AX43,SumRef!AX$16,,,SumRef!$B$7))))</f>
        <v/>
      </c>
      <c r="J37" s="1098" t="str">
        <f ca="1">IF('A-80 DirEntInv'!J36&lt;&gt;"",'A-80 DirEntInv'!J36,IF(INDIRECT(ADDRESS(SumRef!AY43,SumRef!AY$16,,,SumRef!$B$7))="","",INDIRECT(ADDRESS(SumRef!AY43,SumRef!AY$16,,,SumRef!$B$7))))</f>
        <v/>
      </c>
      <c r="K37" s="1099" t="str">
        <f ca="1">IF('A-80 DirEntInv'!K36&lt;&gt;"",'A-80 DirEntInv'!K36,IF(INDIRECT(ADDRESS(SumRef!AZ43,SumRef!AZ$16,,,SumRef!$B$7))="","",INDIRECT(ADDRESS(SumRef!AZ43,SumRef!AZ$16,,,SumRef!$B$7))))</f>
        <v/>
      </c>
      <c r="L37" s="1100" t="str">
        <f ca="1">IF('A-80 DirEntInv'!L36&lt;&gt;"",'A-80 DirEntInv'!L36,IF(INDIRECT(ADDRESS(SumRef!BA43,SumRef!BA$16,,,SumRef!$B$7))="","",INDIRECT(ADDRESS(SumRef!BA43,SumRef!BA$16,,,SumRef!$B$7))))</f>
        <v/>
      </c>
      <c r="M37" s="1101" t="str">
        <f ca="1">IF('A-80 DirEntInv'!M36&lt;&gt;"",'A-80 DirEntInv'!M36,IF(INDIRECT(ADDRESS(SumRef!BB43,SumRef!BB$16,,,SumRef!$B$7))="","",INDIRECT(ADDRESS(SumRef!BB43,SumRef!BB$16,,,SumRef!$B$7))))</f>
        <v/>
      </c>
      <c r="N37" s="1098" t="str">
        <f ca="1">IF('A-80 DirEntInv'!N36&lt;&gt;"",'A-80 DirEntInv'!N36,IF(INDIRECT(ADDRESS(SumRef!BC43,SumRef!BC$16,,,SumRef!$B$7))="","",INDIRECT(ADDRESS(SumRef!BC43,SumRef!BC$16,,,SumRef!$B$7))))</f>
        <v/>
      </c>
      <c r="O37" s="1102" t="str">
        <f ca="1">IF('A-80 DirEntInv'!O36&lt;&gt;"",'A-80 DirEntInv'!O36,IF(INDIRECT(ADDRESS(SumRef!BD43,SumRef!BD$16,,,SumRef!$B$7))="","",INDIRECT(ADDRESS(SumRef!BD43,SumRef!BD$16,,,SumRef!$B$7))))</f>
        <v/>
      </c>
      <c r="Q37" s="589"/>
      <c r="R37" s="1103" t="str">
        <f ca="1">IF('A-80 DirEntInv'!R36&lt;&gt;"",'A-80 DirEntInv'!R36,IF(INDIRECT(ADDRESS(SumRef!BH43,SumRef!BH$16,,,SumRef!$B$8))="","",INDIRECT(ADDRESS(SumRef!BH43,SumRef!BH$16,,,SumRef!$B$8))))</f>
        <v/>
      </c>
      <c r="S37" s="1104" t="str">
        <f ca="1">IF('A-80 DirEntInv'!S36&lt;&gt;"",'A-80 DirEntInv'!S36,IF(INDIRECT(ADDRESS(SumRef!BI43,SumRef!BI$16,,,SumRef!$B$8))="","",INDIRECT(ADDRESS(SumRef!BI43,SumRef!BI$16,,,SumRef!$B$8))))</f>
        <v/>
      </c>
      <c r="T37" s="1104" t="str">
        <f ca="1">IF('A-80 DirEntInv'!T36&lt;&gt;"",'A-80 DirEntInv'!T36,IF(INDIRECT(ADDRESS(SumRef!BJ43,SumRef!BJ$16,,,SumRef!$B$8))="","",INDIRECT(ADDRESS(SumRef!BJ43,SumRef!BJ$16,,,SumRef!$B$8))))</f>
        <v/>
      </c>
      <c r="U37" s="1104" t="str">
        <f ca="1">IF('A-80 DirEntInv'!U36&lt;&gt;"",'A-80 DirEntInv'!U36,IF(INDIRECT(ADDRESS(SumRef!BK43,SumRef!BK$16,,,SumRef!$B$8))="","",INDIRECT(ADDRESS(SumRef!BK43,SumRef!BK$16,,,SumRef!$B$8))))</f>
        <v/>
      </c>
      <c r="V37" s="1104" t="str">
        <f ca="1">IF('A-80 DirEntInv'!V36&lt;&gt;"",'A-80 DirEntInv'!V36,IF(INDIRECT(ADDRESS(SumRef!BL43,SumRef!BL$16,,,SumRef!$B$8))="","",INDIRECT(ADDRESS(SumRef!BL43,SumRef!BL$16,,,SumRef!$B$8))))</f>
        <v/>
      </c>
      <c r="W37" s="1354" t="str">
        <f ca="1">IF('A-80 DirEntInv'!W36&lt;&gt;"",'A-80 DirEntInv'!W36,IF(INDIRECT(ADDRESS(SumRef!BM43,SumRef!BM$16,,,SumRef!$B$8))="","",INDIRECT(ADDRESS(SumRef!BM43,SumRef!BM$16,,,SumRef!$B$8))))</f>
        <v/>
      </c>
      <c r="X37" s="1203" t="str">
        <f ca="1">IF('A-80 DirEntInv'!X36&lt;&gt;"",'A-80 DirEntInv'!X36,IF(INDIRECT(ADDRESS(SumRef!BN43,SumRef!BN$16,,,SumRef!$B$8))="","",INDIRECT(ADDRESS(SumRef!BN43,SumRef!BN$16,,,SumRef!$B$8))))</f>
        <v/>
      </c>
      <c r="Y37" s="1203" t="str">
        <f ca="1">IF('A-80 DirEntInv'!Y36&lt;&gt;"",'A-80 DirEntInv'!Y36,IF(INDIRECT(ADDRESS(SumRef!BO43,SumRef!BO$16,,,SumRef!$B$8))="","",INDIRECT(ADDRESS(SumRef!BO43,SumRef!BO$16,,,SumRef!$B$8))))</f>
        <v/>
      </c>
      <c r="Z37" s="1104" t="str">
        <f ca="1">IF('A-80 DirEntInv'!Z36&lt;&gt;"",'A-80 DirEntInv'!Z36,IF(INDIRECT(ADDRESS(SumRef!BP43,SumRef!BP$16,,,SumRef!$B$8))="","",INDIRECT(ADDRESS(SumRef!BP43,SumRef!BP$16,,,SumRef!$B$8))))</f>
        <v/>
      </c>
      <c r="AA37" s="1104" t="str">
        <f ca="1">IF('A-80 DirEntInv'!AA36&lt;&gt;"",'A-80 DirEntInv'!AA36,IF(INDIRECT(ADDRESS(SumRef!BQ43,SumRef!BQ$16,,,SumRef!$B$8))="","",INDIRECT(ADDRESS(SumRef!BQ43,SumRef!BQ$16,,,SumRef!$B$8))))</f>
        <v/>
      </c>
      <c r="AB37" s="1106" t="str">
        <f ca="1">IF('A-80 DirEntInv'!AB36&lt;&gt;"",'A-80 DirEntInv'!AB36,IF(INDIRECT(ADDRESS(SumRef!BR43,SumRef!BR$16,,,SumRef!$B$8))="","",INDIRECT(ADDRESS(SumRef!BR43,SumRef!BR$16,,,SumRef!$B$8))))</f>
        <v/>
      </c>
      <c r="AC37" s="1107" t="str">
        <f ca="1">IF('A-80 DirEntInv'!AC36&lt;&gt;"",'A-80 DirEntInv'!AC36,IF(INDIRECT(ADDRESS(SumRef!BS43,SumRef!BS$16,,,SumRef!$B$8))="","",INDIRECT(ADDRESS(SumRef!BS43,SumRef!BS$16,,,SumRef!$B$8))))</f>
        <v/>
      </c>
      <c r="AD37" s="1349" t="str">
        <f ca="1">IF('A-80 DirEntInv'!AD36&lt;&gt;"",'A-80 DirEntInv'!AD36,IF(INDIRECT(ADDRESS(SumRef!BT43,SumRef!BT$16,,,SumRef!$B$8))="","",INDIRECT(ADDRESS(SumRef!BT43,SumRef!BT$16,,,SumRef!$B$8))))</f>
        <v/>
      </c>
      <c r="AE37" s="1137" t="str">
        <f ca="1">IF('A-80 DirEntInv'!AE36&lt;&gt;"",'A-80 DirEntInv'!AE36,IF(INDIRECT(ADDRESS(SumRef!BU43,SumRef!BU$16,,,SumRef!$B$8))="","",INDIRECT(ADDRESS(SumRef!BU43,SumRef!BU$16,,,SumRef!$B$8))))</f>
        <v/>
      </c>
      <c r="AF37" s="1346" t="str">
        <f ca="1">IF('A-80 DirEntInv'!AF36&lt;&gt;"",'A-80 DirEntInv'!AF36,IF(INDIRECT(ADDRESS(SumRef!BV43,SumRef!BV$16,,,SumRef!$B$8))="","",INDIRECT(ADDRESS(SumRef!BV43,SumRef!BV$16,,,SumRef!$B$8))))</f>
        <v/>
      </c>
      <c r="AG37" s="1105" t="str">
        <f ca="1">IF('A-80 DirEntInv'!AG36&lt;&gt;"",'A-80 DirEntInv'!AG36,IF(INDIRECT(ADDRESS(SumRef!BW43,SumRef!BW$16,,,SumRef!$B$8))="","",INDIRECT(ADDRESS(SumRef!BW43,SumRef!BW$16,,,SumRef!$B$8))))</f>
        <v/>
      </c>
      <c r="AH37" s="1357" t="str">
        <f ca="1">IF('A-80 DirEntInv'!AH36&lt;&gt;"",'A-80 DirEntInv'!AH36,IF(INDIRECT(ADDRESS(SumRef!BX43,SumRef!BX$16,,,SumRef!$B$8))="","",INDIRECT(ADDRESS(SumRef!BX43,SumRef!BX$16,,,SumRef!$B$8))))</f>
        <v/>
      </c>
      <c r="AK37" s="1041" t="str">
        <f>Codes!$C$157</f>
        <v>AG - Automated Guideway (PT)</v>
      </c>
      <c r="AL37" s="1042" t="str">
        <f>Valid!$B$90</f>
        <v>Overhead Contact System/Power Distribution</v>
      </c>
      <c r="AM37" s="1108"/>
      <c r="AN37" s="1042"/>
      <c r="AO37" s="1108"/>
      <c r="AP37" s="1042"/>
      <c r="AQ37" s="1147" t="str">
        <f>IF('A-80 DirEntInv'!AQ36&lt;&gt;"",'A-80 DirEntInv'!AQ36,IF(AK37=summaryref2!B24,summaryref2!G24,IF(Summary!AK37=summaryref2!B38,summaryref2!G38,IF(AK37=summaryref2!B52,summaryref2!G52,IF(AK37=summaryref2!B66,summaryref2!G66,IF(AK37=summaryref2!B80,summaryref2!G80,IF(AK37=summaryref2!B94,summaryref2!G94,IF(AK37=summaryref2!B108,summaryref2!G108,IF(AK37=summaryref2!B122,summaryref2!G122,IF(AK37=summaryref2!B136,summaryref2!G136,IF(AK37=summaryref2!B150,summaryref2!G150,"")))))))))))</f>
        <v/>
      </c>
      <c r="AR37" s="1147" t="str">
        <f>IF('A-80 DirEntInv'!AR36&lt;&gt;"",'A-80 DirEntInv'!AR36,IF(AK37=summaryref2!B24,summaryref2!H24,IF(Summary!AK37=summaryref2!B38,summaryref2!H38,IF(AK37=summaryref2!B52,summaryref2!H52,IF(AK37=summaryref2!B66,summaryref2!H66,IF(AK37=summaryref2!B80,summaryref2!H80,IF(AK37=summaryref2!B94,summaryref2!H94,IF(AK37=summaryref2!B108,summaryref2!H108,IF(AK37=summaryref2!B122,summaryref2!H122,IF(AK37=summaryref2!B136,summaryref2!H136,IF(AK37=summaryref2!B150,summaryref2!H150,"")))))))))))</f>
        <v/>
      </c>
      <c r="AS37" s="1110" t="str">
        <f>IF('A-80 DirEntInv'!AS36&lt;&gt;"",'A-80 DirEntInv'!AS36,IF(AK37=summaryref2!B24,summaryref2!I24,IF(Summary!AK37=summaryref2!B38,summaryref2!I38,IF(AK37=summaryref2!B52,summaryref2!I52,IF(AK37=summaryref2!B66,summaryref2!I66,IF(AK37=summaryref2!B80,summaryref2!I80,IF(AK37=summaryref2!B94,summaryref2!I94,IF(AK37=summaryref2!B108,summaryref2!I108,IF(AK37=summaryref2!B122,summaryref2!I122,IF(AK37=summaryref2!B136,summaryref2!I136,IF(AK37=summaryref2!B150,summaryref2!I150,"")))))))))))</f>
        <v/>
      </c>
      <c r="AT37" s="1110" t="str">
        <f>IF('A-80 DirEntInv'!AT36&lt;&gt;"",'A-80 DirEntInv'!AT36,IF(AK37=summaryref2!B24,summaryref2!J24,IF(Summary!AK37=summaryref2!B38,summaryref2!J38,IF(AK37=summaryref2!B52,summaryref2!J52,IF(AK37=summaryref2!B66,summaryref2!J66,IF(AK37=summaryref2!B80,summaryref2!J80,IF(AK37=summaryref2!B94,summaryref2!J94,IF(AK37=summaryref2!B108,summaryref2!J108,IF(AK37=summaryref2!B122,summaryref2!J122,IF(AK37=summaryref2!B136,summaryref2!J136,IF(AK37=summaryref2!B150,summaryref2!J150,"")))))))))))</f>
        <v/>
      </c>
      <c r="AU37" s="1110" t="str">
        <f>IF('A-80 DirEntInv'!AU36&lt;&gt;"",'A-80 DirEntInv'!AU36,IF(AK37=summaryref2!B24,summaryref2!K24,IF(Summary!AK37=summaryref2!B38,summaryref2!K38,IF(AK37=summaryref2!B52,summaryref2!K52,IF(AK37=summaryref2!B66,summaryref2!K66,IF(AK37=summaryref2!B80,summaryref2!K80,IF(AK37=summaryref2!B94,summaryref2!K94,IF(AK37=summaryref2!B108,summaryref2!K108,IF(AK37=summaryref2!B122,summaryref2!K122,IF(AK37=summaryref2!B136,summaryref2!K136,IF(AK37=summaryref2!B150,summaryref2!K150,"")))))))))))</f>
        <v/>
      </c>
      <c r="AV37" s="1110" t="str">
        <f>IF('A-80 DirEntInv'!AV36&lt;&gt;"",'A-80 DirEntInv'!AV36,IF(AK37=summaryref2!B24,summaryref2!L24,IF(Summary!AK37=summaryref2!B38,summaryref2!L38,IF(AK37=summaryref2!B52,summaryref2!L52,IF(AK37=summaryref2!B66,summaryref2!L66,IF(AK37=summaryref2!B80,summaryref2!L80,IF(AK37=summaryref2!B94,summaryref2!L94,IF(AK37=summaryref2!B108,summaryref2!L108,IF(AK37=summaryref2!B122,summaryref2!L122,IF(AK37=summaryref2!B136,summaryref2!L136,IF(AK37=summaryref2!B150,summaryref2!L150,"")))))))))))</f>
        <v/>
      </c>
      <c r="AW37" s="1110" t="str">
        <f>IF('A-80 DirEntInv'!AW36&lt;&gt;"",'A-80 DirEntInv'!AW36,IF(AK37=summaryref2!B24,summaryref2!M24,IF(Summary!AK37=summaryref2!B38,summaryref2!M38,IF(AK37=summaryref2!B52,summaryref2!M52,IF(AK37=summaryref2!B66,summaryref2!M66,IF(AK37=summaryref2!B80,summaryref2!M80,IF(AK37=summaryref2!B94,summaryref2!M94,IF(AK37=summaryref2!B108,summaryref2!M108,IF(AK37=summaryref2!B122,summaryref2!M122,IF(AK37=summaryref2!B136,summaryref2!M136,IF(AK37=summaryref2!B150,summaryref2!M150,"")))))))))))</f>
        <v/>
      </c>
      <c r="AX37" s="1110" t="str">
        <f>IF('A-80 DirEntInv'!AX36&lt;&gt;"",'A-80 DirEntInv'!AX36,IF(AK37=summaryref2!B24,summaryref2!N24,IF(Summary!AK37=summaryref2!B38,summaryref2!N38,IF(AK37=summaryref2!B52,summaryref2!N52,IF(AK37=summaryref2!B66,summaryref2!N66,IF(AK37=summaryref2!B80,summaryref2!N80,IF(AK37=summaryref2!B94,summaryref2!N94,IF(AK37=summaryref2!B108,summaryref2!N108,IF(AK37=summaryref2!B122,summaryref2!N122,IF(AK37=summaryref2!B136,summaryref2!N136,IF(AK37=summaryref2!B150,summaryref2!N150,"")))))))))))</f>
        <v/>
      </c>
      <c r="AY37" s="1110" t="str">
        <f>IF('A-80 DirEntInv'!AY36&lt;&gt;"",'A-80 DirEntInv'!AY36,IF(AK37=summaryref2!B24,summaryref2!O24,IF(Summary!AK37=summaryref2!B38,summaryref2!O38,IF(AK37=summaryref2!B52,summaryref2!O52,IF(AK37=summaryref2!B66,summaryref2!O66,IF(AK37=summaryref2!B80,summaryref2!O80,IF(AK37=summaryref2!B94,summaryref2!O94,IF(AK37=summaryref2!B108,summaryref2!O108,IF(AK37=summaryref2!B122,summaryref2!O122,IF(AK37=summaryref2!B136,summaryref2!O136,IF(AK37=summaryref2!B150,summaryref2!O150,"")))))))))))</f>
        <v/>
      </c>
      <c r="AZ37" s="1110" t="str">
        <f>IF('A-80 DirEntInv'!AZ36&lt;&gt;"",'A-80 DirEntInv'!AZ36,IF(AK37=summaryref2!B24,summaryref2!P24,IF(Summary!AK37=summaryref2!B38,summaryref2!P38,IF(AK37=summaryref2!B52,summaryref2!P52,IF(AK37=summaryref2!B66,summaryref2!P66,IF(AK37=summaryref2!B80,summaryref2!P80,IF(AK37=summaryref2!B94,summaryref2!P94,IF(AK37=summaryref2!B108,summaryref2!P108,IF(AK37=summaryref2!B122,summaryref2!P122,IF(AK37=summaryref2!B136,summaryref2!P136,IF(AK37=summaryref2!B150,summaryref2!P150,"")))))))))))</f>
        <v/>
      </c>
      <c r="BA37" s="1110" t="str">
        <f>IF('A-80 DirEntInv'!BA36&lt;&gt;"",'A-80 DirEntInv'!BA36,IF(AK37=summaryref2!B24,summaryref2!Q24,IF(Summary!AK37=summaryref2!B38,summaryref2!Q38,IF(AK37=summaryref2!B52,summaryref2!Q52,IF(AK37=summaryref2!B66,summaryref2!Q66,IF(AK37=summaryref2!B80,summaryref2!Q80,IF(AK37=summaryref2!B94,summaryref2!Q94,IF(AK37=summaryref2!B108,summaryref2!Q108,IF(AK37=summaryref2!B122,summaryref2!Q122,IF(AK37=summaryref2!B136,summaryref2!Q136,IF(AK37=summaryref2!B150,summaryref2!Q150,"")))))))))))</f>
        <v/>
      </c>
      <c r="BB37" s="1110" t="str">
        <f>IF('A-80 DirEntInv'!BB36&lt;&gt;"",'A-80 DirEntInv'!BB36,IF(AK37=summaryref2!B24,summaryref2!R24,IF(Summary!AK37=summaryref2!B38,summaryref2!R38,IF(AK37=summaryref2!B52,summaryref2!R52,IF(AK37=summaryref2!B66,summaryref2!R66,IF(AK37=summaryref2!B80,summaryref2!R80,IF(AK37=summaryref2!B94,summaryref2!R94,IF(AK37=summaryref2!B108,summaryref2!R108,IF(AK37=summaryref2!B122,summaryref2!R122,IF(AK37=summaryref2!B136,summaryref2!R136,IF(AK37=summaryref2!B150,summaryref2!R150,"")))))))))))</f>
        <v/>
      </c>
      <c r="BC37" s="1110" t="str">
        <f>IF('A-80 DirEntInv'!BC36&lt;&gt;0,'A-80 DirEntInv'!BC36,IF(AK37=summaryref2!B24,summaryref2!S24,IF(Summary!AK37=summaryref2!B38,summaryref2!S38,IF(AK37=summaryref2!B52,summaryref2!S52,IF(AK37=summaryref2!B66,summaryref2!S66,IF(AK37=summaryref2!B80,summaryref2!S80,IF(AK37=summaryref2!B94,summaryref2!S94,IF(AK37=summaryref2!B108,summaryref2!S108,IF(AK37=summaryref2!B122,summaryref2!S122,IF(AK37=summaryref2!B136,summaryref2!S136,IF(AK37=summaryref2!B150,summaryref2!S150,"")))))))))))</f>
        <v/>
      </c>
      <c r="BD37" s="1111" t="str">
        <f>IF('A-80 DirEntInv'!BD36&lt;&gt;"",'A-80 DirEntInv'!BD36,IF(AK37=summaryref2!B24,summaryref2!T24,IF(Summary!AK37=summaryref2!B38,summaryref2!T38,IF(AK37=summaryref2!B52,summaryref2!T52,IF(AK37=summaryref2!B66,summaryref2!T66,IF(AK37=summaryref2!B80,summaryref2!T80,IF(AK37=summaryref2!B94,summaryref2!T94,IF(AK37=summaryref2!B108,summaryref2!T108,IF(AK37=summaryref2!B122,summaryref2!T122,IF(AK37=summaryref2!B136,summaryref2!T136,IF(AK37=summaryref2!B150,summaryref2!T150,"")))))))))))</f>
        <v/>
      </c>
      <c r="BE37" s="1184" t="str">
        <f>IF('A-80 DirEntInv'!BE36&lt;&gt;"",'A-80 DirEntInv'!BE36,IF(AK37=summaryref2!B24,summaryref2!U24,IF(Summary!AK37=summaryref2!B38,summaryref2!U38,IF(AK37=summaryref2!B52,summaryref2!U52,IF(AK37=summaryref2!B66,summaryref2!U66,IF(AK37=summaryref2!B80,summaryref2!U80,IF(AK37=summaryref2!B94,summaryref2!U94,IF(AK37=summaryref2!B108,summaryref2!U108,IF(AK37=summaryref2!B122,summaryref2!U122,IF(AK37=summaryref2!B136,summaryref2!U136,IF(AK37=summaryref2!B150,summaryref2!U150,"")))))))))))</f>
        <v/>
      </c>
      <c r="BF37" s="1432"/>
      <c r="BG37" s="1432"/>
      <c r="BJ37" s="1041" t="str">
        <f>Codes!$C$159</f>
        <v>CC - Cable Car (DO)</v>
      </c>
      <c r="BK37" s="1042" t="str">
        <f>Valid!$B$85</f>
        <v>Single Turnout</v>
      </c>
      <c r="BL37" s="1375" t="str">
        <f>IF('A-80 DirEntInv'!BL36&lt;&gt;"",'A-80 DirEntInv'!BL36,IF(BJ37=summaryref2!X17,summaryref2!Z17,IF(BJ37=summaryref2!X24,summaryref2!Z24,IF(BJ37=summaryref2!X31,summaryref2!Z31,IF(BJ37=summaryref2!X38,summaryref2!Z38,IF(BJ37=summaryref2!X45,summaryref2!Z45,IF(BJ37=summaryref2!X52,summaryref2!Z52,IF(BJ37=summaryref2!X59,summaryref2!Z59,IF(BJ37=summaryref2!X66,summaryref2!Z66,IF(BJ37=summaryref2!X73,summaryref2!Z73,IF(BJ37=summaryref2!X80,summaryref2!Z80,"")))))))))))</f>
        <v/>
      </c>
      <c r="BM37" s="1042" t="str">
        <f>VLOOKUP(BK37,Valid!$B$80:$C$86,2,FALSE)</f>
        <v>Each</v>
      </c>
      <c r="BN37" s="1209" t="str">
        <f>IF('A-80 DirEntInv'!BN36&lt;&gt;"",'A-80 DirEntInv'!BN36,IF(BJ37=summaryref2!X17,summaryref2!AB17,IF(BJ37=summaryref2!X24,summaryref2!AB24,IF(BJ37=summaryref2!X31,summaryref2!AB31,IF(BJ37=summaryref2!X38,summaryref2!AB38,IF(BJ37=summaryref2!X45,summaryref2!AB45,IF(BJ37=summaryref2!X52,summaryref2!AB52,IF(BJ37=summaryref2!X59,summaryref2!AB59,IF(BJ37=summaryref2!X66,summaryref2!AB66,IF(BJ37=summaryref2!X73,summaryref2!AB73,IF(BJ37=summaryref2!X80,summaryref2!AB80,"")))))))))))</f>
        <v/>
      </c>
      <c r="BO37" s="1116" t="str">
        <f>IF('A-80 DirEntInv'!BO36&lt;&gt;"",'A-80 DirEntInv'!BO36,IF(BJ37=summaryref2!X17,summaryref2!AC17,IF(BJ37=summaryref2!X24,summaryref2!AC24,IF(BJ37=summaryref2!X31,summaryref2!AC31,IF(BJ37=summaryref2!X38,summaryref2!AC38,IF(BJ37=summaryref2!X45,summaryref2!AC45,IF(BJ37=summaryref2!X52,summaryref2!AC52,IF(BJ37=summaryref2!X59,summaryref2!AC59,IF(BJ37=summaryref2!X66,summaryref2!AC66,IF(BJ37=summaryref2!X73,summaryref2!AC73,IF(BJ37=summaryref2!X80,summaryref2!AC80,"")))))))))))</f>
        <v/>
      </c>
      <c r="BP37" s="1384" t="str">
        <f>IF('A-80 DirEntInv'!BP36&lt;&gt;"",'A-80 DirEntInv'!BP36,IF(BJ37=summaryref2!X17,summaryref2!AD17,IF(BJ37=summaryref2!X24,summaryref2!AD24,IF(BJ37=summaryref2!X31,summaryref2!AD31,IF(BJ37=summaryref2!X38,summaryref2!AD38,IF(BJ37=summaryref2!X45,summaryref2!AD45,IF(BJ37=summaryref2!X52,summaryref2!AD52,IF(BJ37=summaryref2!X59,summaryref2!AD59,IF(BJ37=summaryref2!X66,summaryref2!AD66,IF(BJ37=summaryref2!X73,summaryref2!AD73,IF(BJ37=summaryref2!X80,summaryref2!AD80,"")))))))))))</f>
        <v/>
      </c>
      <c r="BS37" s="1472" t="str">
        <f ca="1">IF('A-80 DirEntInv'!BU36&lt;&gt;"",'A-80 DirEntInv'!BU36,IF(INDIRECT(ADDRESS(SumRef!DK43,SumRef!DK$16,,,SumRef!$E$6))="","",INDIRECT(ADDRESS(SumRef!DK43,SumRef!DK$16,,,SumRef!$E$6))))</f>
        <v/>
      </c>
      <c r="BT37" s="1458" t="str">
        <f ca="1">IF('A-80 DirEntInv'!BV36&lt;&gt;"",'A-80 DirEntInv'!BV36,IF(INDIRECT(ADDRESS(SumRef!DL43,SumRef!DL$16,,,SumRef!$E$6))="","",INDIRECT(ADDRESS(SumRef!DL43,SumRef!DL$16,,,SumRef!$E$6))))</f>
        <v/>
      </c>
      <c r="BU37" s="1177" t="str">
        <f ca="1">IF('A-80 DirEntInv'!BW36&lt;&gt;"",'A-80 DirEntInv'!BW36,IF(INDIRECT(ADDRESS(SumRef!DM43,SumRef!DM$16,,,SumRef!$E$6))="","",INDIRECT(ADDRESS(SumRef!DM43,SumRef!DM$16,,,SumRef!$E$6))))</f>
        <v/>
      </c>
      <c r="BV37" s="1460" t="str">
        <f ca="1">IF('A-80 DirEntInv'!BX36&lt;&gt;"",'A-80 DirEntInv'!BX36,IF(INDIRECT(ADDRESS(SumRef!DN43,SumRef!DN$16,,,SumRef!$E$6))="","",INDIRECT(ADDRESS(SumRef!DN43,SumRef!DN$16,,,SumRef!$E$6))))</f>
        <v/>
      </c>
      <c r="BW37" s="1460" t="str">
        <f ca="1">IF('A-80 DirEntInv'!BY36&lt;&gt;"",'A-80 DirEntInv'!BY36,IF(INDIRECT(ADDRESS(SumRef!DO43,SumRef!DO$16,,,SumRef!$E$6))="","",INDIRECT(ADDRESS(SumRef!DO43,SumRef!DO$16,,,SumRef!$E$6))))</f>
        <v/>
      </c>
      <c r="BX37" s="1116" t="str">
        <f ca="1">IF('A-80 DirEntInv'!BZ36&lt;&gt;"",'A-80 DirEntInv'!BZ36,IF(INDIRECT(ADDRESS(SumRef!DP43,SumRef!DP$16,,,SumRef!$E$6))="","",INDIRECT(ADDRESS(SumRef!DP43,SumRef!DP$16,,,SumRef!$E$6))))</f>
        <v/>
      </c>
      <c r="BY37" s="1461" t="str">
        <f ca="1">IF('A-80 DirEntInv'!CA36&lt;&gt;"",'A-80 DirEntInv'!CA36,IF(INDIRECT(ADDRESS(SumRef!DQ43,SumRef!DQ$16,,,SumRef!$E$6))="","",INDIRECT(ADDRESS(SumRef!DQ43,SumRef!DQ$16,,,SumRef!$E$6))))</f>
        <v/>
      </c>
      <c r="BZ37" s="1460" t="str">
        <f ca="1">IF('A-80 DirEntInv'!CB36&lt;&gt;"",'A-80 DirEntInv'!CB36,IF(INDIRECT(ADDRESS(SumRef!DR43,SumRef!DR$16,,,SumRef!$E$6))="","",INDIRECT(ADDRESS(SumRef!DR43,SumRef!DR$16,,,SumRef!$E$6))))</f>
        <v/>
      </c>
      <c r="CA37" s="1462" t="str">
        <f ca="1">IF('A-80 DirEntInv'!CC36&lt;&gt;"",'A-80 DirEntInv'!CC36,IF(INDIRECT(ADDRESS(SumRef!DS43,SumRef!DS$16,,,SumRef!$E$6))="","",INDIRECT(ADDRESS(SumRef!DS43,SumRef!DS$16,,,SumRef!$E$6))))</f>
        <v/>
      </c>
      <c r="CD37" s="1160" t="str">
        <f ca="1">IF('A-80 DirEntInv'!CF36&lt;&gt;"",'A-80 DirEntInv'!CF36,IF(INDIRECT(ADDRESS(SumRef!DV43,SumRef!DV$16,,,SumRef!$E$7))="","",INDIRECT(ADDRESS(SumRef!DV43,SumRef!DV$16,,,SumRef!$E$7))))</f>
        <v/>
      </c>
      <c r="CE37" s="1167" t="str">
        <f ca="1">IF('A-80 DirEntInv'!CG36&lt;&gt;"",'A-80 DirEntInv'!CG36,IF(INDIRECT(ADDRESS(SumRef!DW43,SumRef!DW$16,,,SumRef!$E$7))="","",INDIRECT(ADDRESS(SumRef!DW43,SumRef!DW$16,,,SumRef!$E$7))))</f>
        <v/>
      </c>
      <c r="CF37" s="1167" t="str">
        <f ca="1">IF('A-80 DirEntInv'!CH36&lt;&gt;"",'A-80 DirEntInv'!CH36,IF(INDIRECT(ADDRESS(SumRef!DX43,SumRef!DX$16,,,SumRef!$E$7))="","",INDIRECT(ADDRESS(SumRef!DX43,SumRef!DX$16,,,SumRef!$E$7))))</f>
        <v/>
      </c>
      <c r="CG37" s="1167" t="str">
        <f ca="1">IF('A-80 DirEntInv'!CI36&lt;&gt;"",'A-80 DirEntInv'!CI36,IF(INDIRECT(ADDRESS(SumRef!DY43,SumRef!DY$16,,,SumRef!$E$7))="","",INDIRECT(ADDRESS(SumRef!DY43,SumRef!DY$16,,,SumRef!$E$7))))</f>
        <v/>
      </c>
      <c r="CH37" s="1167" t="str">
        <f ca="1">IF('A-80 DirEntInv'!CJ36&lt;&gt;"",'A-80 DirEntInv'!CJ36,IF(INDIRECT(ADDRESS(SumRef!DZ43,SumRef!DZ$16,,,SumRef!$E$7))="","",INDIRECT(ADDRESS(SumRef!DZ43,SumRef!DZ$16,,,SumRef!$E$7))))</f>
        <v/>
      </c>
      <c r="CI37" s="1167" t="str">
        <f ca="1">IF('A-80 DirEntInv'!CK36&lt;&gt;"",'A-80 DirEntInv'!CK36,IF(INDIRECT(ADDRESS(SumRef!EA43,SumRef!EA$16,,,SumRef!$E$7))="","",INDIRECT(ADDRESS(SumRef!EA43,SumRef!EA$16,,,SumRef!$E$7))))</f>
        <v/>
      </c>
      <c r="CJ37" s="1114" t="str">
        <f ca="1">IF('A-80 DirEntInv'!CL36&lt;&gt;"",'A-80 DirEntInv'!CL36,IF(INDIRECT(ADDRESS(SumRef!EB43,SumRef!EB$16,,,SumRef!$E$7))="","",INDIRECT(ADDRESS(SumRef!EB43,SumRef!EB$16,,,SumRef!$E$7))))</f>
        <v/>
      </c>
      <c r="CK37" s="1114" t="str">
        <f ca="1">IF('A-80 DirEntInv'!CM36&lt;&gt;"",'A-80 DirEntInv'!CM36,IF(INDIRECT(ADDRESS(SumRef!EC43,SumRef!EC$16,,,SumRef!$E$7))="","",INDIRECT(ADDRESS(SumRef!EC43,SumRef!EC$16,,,SumRef!$E$7))))</f>
        <v/>
      </c>
      <c r="CL37" s="1113" t="str">
        <f ca="1">IF('A-80 DirEntInv'!CO36&lt;&gt;"",'A-80 DirEntInv'!CO36,IF(INDIRECT(ADDRESS(SumRef!ED43,SumRef!ED$16,,,SumRef!$E$7))="","",INDIRECT(ADDRESS(SumRef!ED43,SumRef!ED$16,,,SumRef!$E$7))))</f>
        <v/>
      </c>
      <c r="CM37" s="1114" t="str">
        <f ca="1">IF('A-80 DirEntInv'!CP36&lt;&gt;"",'A-80 DirEntInv'!CP36,IF(INDIRECT(ADDRESS(SumRef!EE43,SumRef!EE$16,,,SumRef!$E$7))="","",INDIRECT(ADDRESS(SumRef!EE43,SumRef!EE$16,,,SumRef!$E$7))))</f>
        <v/>
      </c>
      <c r="CN37" s="1114" t="str">
        <f ca="1">IF('A-80 DirEntInv'!CQ36&lt;&gt;"",'A-80 DirEntInv'!CQ36,IF(INDIRECT(ADDRESS(SumRef!EF43,SumRef!EF$16,,,SumRef!$E$7))="","",INDIRECT(ADDRESS(SumRef!EF43,SumRef!EF$16,,,SumRef!$E$7))))</f>
        <v/>
      </c>
      <c r="CO37" s="1113" t="str">
        <f ca="1">IF('A-80 DirEntInv'!CR36&lt;&gt;"",'A-80 DirEntInv'!CR36,IF(INDIRECT(ADDRESS(SumRef!EG43,SumRef!EG$16,,,SumRef!$E$7))="","",INDIRECT(ADDRESS(SumRef!EG43,SumRef!EG$16,,,SumRef!$E$7))))</f>
        <v/>
      </c>
      <c r="CP37" s="1114" t="str">
        <f ca="1">IF('A-80 DirEntInv'!CS36&lt;&gt;"",'A-80 DirEntInv'!CS36,IF(INDIRECT(ADDRESS(SumRef!EH43,SumRef!EH$16,,,SumRef!$E$7))="","",INDIRECT(ADDRESS(SumRef!EH43,SumRef!EH$16,,,SumRef!$E$7))))</f>
        <v/>
      </c>
      <c r="CQ37" s="1346" t="str">
        <f ca="1">IF('A-80 DirEntInv'!CT36&lt;&gt;"",'A-80 DirEntInv'!CT36,IF(INDIRECT(ADDRESS(SumRef!EI43,SumRef!EI$16,,,SumRef!$E$7))="","",INDIRECT(ADDRESS(SumRef!EI43,SumRef!EI$16,,,SumRef!$E$7))))</f>
        <v/>
      </c>
      <c r="CR37" s="1113" t="str">
        <f ca="1">IF('A-80 DirEntInv'!CU36&lt;&gt;"",'A-80 DirEntInv'!CU36,IF(INDIRECT(ADDRESS(SumRef!EJ43,SumRef!EJ$16,,,SumRef!$E$7))="","",INDIRECT(ADDRESS(SumRef!EJ43,SumRef!EJ$16,,,SumRef!$E$7))))</f>
        <v/>
      </c>
      <c r="CS37" s="1346" t="str">
        <f ca="1">IF('A-80 DirEntInv'!CV36&lt;&gt;"",'A-80 DirEntInv'!CV36,IF(INDIRECT(ADDRESS(SumRef!EM43,SumRef!EM$16,,,SumRef!$E$7))="","",INDIRECT(ADDRESS(SumRef!EM43,SumRef!EM$16,,,SumRef!$E$7))))</f>
        <v/>
      </c>
      <c r="CT37" s="1113" t="str">
        <f ca="1">IF('A-80 DirEntInv'!CW36&lt;&gt;"",'A-80 DirEntInv'!CW36,IF(INDIRECT(ADDRESS(SumRef!EN43,SumRef!EN$16,,,SumRef!$E$7))="","",INDIRECT(ADDRESS(SumRef!EN43,SumRef!EN$16,,,SumRef!$E$7))))</f>
        <v/>
      </c>
      <c r="CU37" s="1113" t="str">
        <f ca="1">IF('A-80 DirEntInv'!CX36&lt;&gt;"",'A-80 DirEntInv'!CX36,IF(INDIRECT(ADDRESS(SumRef!EO43,SumRef!EO$16,,,SumRef!$E$7))="","",INDIRECT(ADDRESS(SumRef!EO43,SumRef!EO$16,,,SumRef!$E$7))))</f>
        <v/>
      </c>
      <c r="CV37" s="1113" t="str">
        <f ca="1">IF('A-80 DirEntInv'!CY36&lt;&gt;"",'A-80 DirEntInv'!CY36,IF(INDIRECT(ADDRESS(SumRef!EP43,SumRef!EP$16,,,SumRef!$E$7))="","",INDIRECT(ADDRESS(SumRef!EP43,SumRef!EP$16,,,SumRef!$E$7))))</f>
        <v/>
      </c>
      <c r="CW37" s="1114" t="str">
        <f ca="1">IF('A-80 DirEntInv'!CZ36&lt;&gt;"",'A-80 DirEntInv'!CZ36,IF(INDIRECT(ADDRESS(SumRef!ES43,SumRef!ES$16,,,SumRef!$E$7))="","",INDIRECT(ADDRESS(SumRef!ES43,SumRef!ES$16,,,SumRef!$E$7))))</f>
        <v/>
      </c>
      <c r="CX37" s="1167" t="str">
        <f ca="1">IF('A-80 DirEntInv'!DA36&lt;&gt;"",'A-80 DirEntInv'!DA36,IF(INDIRECT(ADDRESS(SumRef!ET43,SumRef!ET$16,,,SumRef!$E$7))="","",INDIRECT(ADDRESS(SumRef!ET43,SumRef!ET$16,,,SumRef!$E$7))))</f>
        <v/>
      </c>
      <c r="CY37" s="1167" t="str">
        <f ca="1">IF('A-80 DirEntInv'!DB36&lt;&gt;"",'A-80 DirEntInv'!DB36,IF(INDIRECT(ADDRESS(SumRef!EU43,SumRef!EU$16,,,SumRef!$E$7))="","",INDIRECT(ADDRESS(SumRef!EU43,SumRef!EU$16,,,SumRef!$E$7))))</f>
        <v/>
      </c>
      <c r="CZ37" s="1167" t="b">
        <f ca="1">IF('A-80 DirEntInv'!DC36&lt;&gt;"",'A-80 DirEntInv'!DC36,IF(INDIRECT(ADDRESS(SumRef!EV43,SumRef!EV$16,,,SumRef!$E$7))="","",INDIRECT(ADDRESS(SumRef!EV43,SumRef!EV$16,,,SumRef!$E$7))))</f>
        <v>0</v>
      </c>
      <c r="DA37" s="1373" t="str">
        <f ca="1">IF('A-80 DirEntInv'!DD36&lt;&gt;"",'A-80 DirEntInv'!DD36,IF(INDIRECT(ADDRESS(SumRef!EW43,SumRef!EW$16,,,SumRef!$E$7))="","",INDIRECT(ADDRESS(SumRef!EW43,SumRef!EW$16,,,SumRef!$E$7))))</f>
        <v/>
      </c>
      <c r="DB37" s="1373" t="b">
        <f ca="1">IF('A-80 DirEntInv'!DE36&lt;&gt;"",'A-80 DirEntInv'!DE36,IF(INDIRECT(ADDRESS(SumRef!EX43,SumRef!EX$16,,,SumRef!$E$7))="","",INDIRECT(ADDRESS(SumRef!EX43,SumRef!EX$16,,,SumRef!$E$7))))</f>
        <v>0</v>
      </c>
      <c r="DC37" s="1114" t="b">
        <f ca="1">IF('A-80 DirEntInv'!DF36&lt;&gt;"",'A-80 DirEntInv'!DF36,IF(INDIRECT(ADDRESS(SumRef!EY43,SumRef!EY$16,,,SumRef!$E$7))="","",INDIRECT(ADDRESS(SumRef!EY43,SumRef!EY$16,,,SumRef!$E$7))))</f>
        <v>0</v>
      </c>
      <c r="DD37" s="1115" t="str">
        <f ca="1">IF('A-80 DirEntInv'!DG36&lt;&gt;"",'A-80 DirEntInv'!DG36,IF(INDIRECT(ADDRESS(SumRef!EZ43,SumRef!EZ$16,,,SumRef!$E$7))="","",INDIRECT(ADDRESS(SumRef!EZ43,SumRef!EZ$16,,,SumRef!$E$7))))</f>
        <v/>
      </c>
    </row>
    <row r="38" spans="1:108" s="588" customFormat="1" ht="13.5" thickBot="1" x14ac:dyDescent="0.25">
      <c r="A38" s="589">
        <f t="shared" si="0"/>
        <v>28</v>
      </c>
      <c r="B38" s="1155" t="str">
        <f ca="1">IF('A-80 DirEntInv'!B37&lt;&gt;"",'A-80 DirEntInv'!B37,IF(INDIRECT(ADDRESS(SumRef!AQ44,SumRef!AQ$16,,,SumRef!$B$7))="","",INDIRECT(ADDRESS(SumRef!AQ44,SumRef!AQ$16,,,SumRef!$B$7))))</f>
        <v/>
      </c>
      <c r="C38" s="1097" t="str">
        <f ca="1">IF('A-80 DirEntInv'!C37&lt;&gt;"",'A-80 DirEntInv'!C37,IF(INDIRECT(ADDRESS(SumRef!AR44,SumRef!AR$16,,,SumRef!$B$7))="","",INDIRECT(ADDRESS(SumRef!AR44,SumRef!AR$16,,,SumRef!$B$7))))</f>
        <v/>
      </c>
      <c r="D38" s="1097" t="str">
        <f ca="1">IF('A-80 DirEntInv'!D37&lt;&gt;"",'A-80 DirEntInv'!D37,IF(INDIRECT(ADDRESS(SumRef!AS44,SumRef!AS$16,,,SumRef!$B$7))="","",INDIRECT(ADDRESS(SumRef!AS44,SumRef!AS$16,,,SumRef!$B$7))))</f>
        <v/>
      </c>
      <c r="E38" s="1097" t="str">
        <f ca="1">IF('A-80 DirEntInv'!E37&lt;&gt;"",'A-80 DirEntInv'!E37,IF(INDIRECT(ADDRESS(SumRef!AT44,SumRef!AT$16,,,SumRef!$B$7))="","",INDIRECT(ADDRESS(SumRef!AT44,SumRef!AT$16,,,SumRef!$B$7))))</f>
        <v/>
      </c>
      <c r="F38" s="1097" t="str">
        <f ca="1">IF('A-80 DirEntInv'!F37&lt;&gt;"",'A-80 DirEntInv'!F37,IF(INDIRECT(ADDRESS(SumRef!AU44,SumRef!AU$16,,,SumRef!$B$7))="","",INDIRECT(ADDRESS(SumRef!AU44,SumRef!AU$16,,,SumRef!$B$7))))</f>
        <v/>
      </c>
      <c r="G38" s="1158" t="str">
        <f ca="1">IF('A-80 DirEntInv'!G37&lt;&gt;"",'A-80 DirEntInv'!G37,IF(INDIRECT(ADDRESS(SumRef!AV44,SumRef!AV$16,,,SumRef!$B$7))="","",INDIRECT(ADDRESS(SumRef!AV44,SumRef!AV$16,,,SumRef!$B$7))))</f>
        <v/>
      </c>
      <c r="H38" s="1097" t="str">
        <f ca="1">IF('A-80 DirEntInv'!H37&lt;&gt;"",'A-80 DirEntInv'!H37,IF(INDIRECT(ADDRESS(SumRef!AW44,SumRef!AW$16,,,SumRef!$B$7))="","",INDIRECT(ADDRESS(SumRef!AW44,SumRef!AW$16,,,SumRef!$B$7))))</f>
        <v/>
      </c>
      <c r="I38" s="1097" t="str">
        <f ca="1">IF('A-80 DirEntInv'!I37&lt;&gt;"",'A-80 DirEntInv'!I37,IF(INDIRECT(ADDRESS(SumRef!AX44,SumRef!AX$16,,,SumRef!$B$7))="","",INDIRECT(ADDRESS(SumRef!AX44,SumRef!AX$16,,,SumRef!$B$7))))</f>
        <v/>
      </c>
      <c r="J38" s="1098" t="str">
        <f ca="1">IF('A-80 DirEntInv'!J37&lt;&gt;"",'A-80 DirEntInv'!J37,IF(INDIRECT(ADDRESS(SumRef!AY44,SumRef!AY$16,,,SumRef!$B$7))="","",INDIRECT(ADDRESS(SumRef!AY44,SumRef!AY$16,,,SumRef!$B$7))))</f>
        <v/>
      </c>
      <c r="K38" s="1099" t="str">
        <f ca="1">IF('A-80 DirEntInv'!K37&lt;&gt;"",'A-80 DirEntInv'!K37,IF(INDIRECT(ADDRESS(SumRef!AZ44,SumRef!AZ$16,,,SumRef!$B$7))="","",INDIRECT(ADDRESS(SumRef!AZ44,SumRef!AZ$16,,,SumRef!$B$7))))</f>
        <v/>
      </c>
      <c r="L38" s="1100" t="str">
        <f ca="1">IF('A-80 DirEntInv'!L37&lt;&gt;"",'A-80 DirEntInv'!L37,IF(INDIRECT(ADDRESS(SumRef!BA44,SumRef!BA$16,,,SumRef!$B$7))="","",INDIRECT(ADDRESS(SumRef!BA44,SumRef!BA$16,,,SumRef!$B$7))))</f>
        <v/>
      </c>
      <c r="M38" s="1101" t="str">
        <f ca="1">IF('A-80 DirEntInv'!M37&lt;&gt;"",'A-80 DirEntInv'!M37,IF(INDIRECT(ADDRESS(SumRef!BB44,SumRef!BB$16,,,SumRef!$B$7))="","",INDIRECT(ADDRESS(SumRef!BB44,SumRef!BB$16,,,SumRef!$B$7))))</f>
        <v/>
      </c>
      <c r="N38" s="1098" t="str">
        <f ca="1">IF('A-80 DirEntInv'!N37&lt;&gt;"",'A-80 DirEntInv'!N37,IF(INDIRECT(ADDRESS(SumRef!BC44,SumRef!BC$16,,,SumRef!$B$7))="","",INDIRECT(ADDRESS(SumRef!BC44,SumRef!BC$16,,,SumRef!$B$7))))</f>
        <v/>
      </c>
      <c r="O38" s="1102" t="str">
        <f ca="1">IF('A-80 DirEntInv'!O37&lt;&gt;"",'A-80 DirEntInv'!O37,IF(INDIRECT(ADDRESS(SumRef!BD44,SumRef!BD$16,,,SumRef!$B$7))="","",INDIRECT(ADDRESS(SumRef!BD44,SumRef!BD$16,,,SumRef!$B$7))))</f>
        <v/>
      </c>
      <c r="Q38" s="589"/>
      <c r="R38" s="1103" t="str">
        <f ca="1">IF('A-80 DirEntInv'!R37&lt;&gt;"",'A-80 DirEntInv'!R37,IF(INDIRECT(ADDRESS(SumRef!BH44,SumRef!BH$16,,,SumRef!$B$8))="","",INDIRECT(ADDRESS(SumRef!BH44,SumRef!BH$16,,,SumRef!$B$8))))</f>
        <v/>
      </c>
      <c r="S38" s="1104" t="str">
        <f ca="1">IF('A-80 DirEntInv'!S37&lt;&gt;"",'A-80 DirEntInv'!S37,IF(INDIRECT(ADDRESS(SumRef!BI44,SumRef!BI$16,,,SumRef!$B$8))="","",INDIRECT(ADDRESS(SumRef!BI44,SumRef!BI$16,,,SumRef!$B$8))))</f>
        <v/>
      </c>
      <c r="T38" s="1104" t="str">
        <f ca="1">IF('A-80 DirEntInv'!T37&lt;&gt;"",'A-80 DirEntInv'!T37,IF(INDIRECT(ADDRESS(SumRef!BJ44,SumRef!BJ$16,,,SumRef!$B$8))="","",INDIRECT(ADDRESS(SumRef!BJ44,SumRef!BJ$16,,,SumRef!$B$8))))</f>
        <v/>
      </c>
      <c r="U38" s="1104" t="str">
        <f ca="1">IF('A-80 DirEntInv'!U37&lt;&gt;"",'A-80 DirEntInv'!U37,IF(INDIRECT(ADDRESS(SumRef!BK44,SumRef!BK$16,,,SumRef!$B$8))="","",INDIRECT(ADDRESS(SumRef!BK44,SumRef!BK$16,,,SumRef!$B$8))))</f>
        <v/>
      </c>
      <c r="V38" s="1104" t="str">
        <f ca="1">IF('A-80 DirEntInv'!V37&lt;&gt;"",'A-80 DirEntInv'!V37,IF(INDIRECT(ADDRESS(SumRef!BL44,SumRef!BL$16,,,SumRef!$B$8))="","",INDIRECT(ADDRESS(SumRef!BL44,SumRef!BL$16,,,SumRef!$B$8))))</f>
        <v/>
      </c>
      <c r="W38" s="1354" t="str">
        <f ca="1">IF('A-80 DirEntInv'!W37&lt;&gt;"",'A-80 DirEntInv'!W37,IF(INDIRECT(ADDRESS(SumRef!BM44,SumRef!BM$16,,,SumRef!$B$8))="","",INDIRECT(ADDRESS(SumRef!BM44,SumRef!BM$16,,,SumRef!$B$8))))</f>
        <v/>
      </c>
      <c r="X38" s="1203" t="str">
        <f ca="1">IF('A-80 DirEntInv'!X37&lt;&gt;"",'A-80 DirEntInv'!X37,IF(INDIRECT(ADDRESS(SumRef!BN44,SumRef!BN$16,,,SumRef!$B$8))="","",INDIRECT(ADDRESS(SumRef!BN44,SumRef!BN$16,,,SumRef!$B$8))))</f>
        <v/>
      </c>
      <c r="Y38" s="1203" t="str">
        <f ca="1">IF('A-80 DirEntInv'!Y37&lt;&gt;"",'A-80 DirEntInv'!Y37,IF(INDIRECT(ADDRESS(SumRef!BO44,SumRef!BO$16,,,SumRef!$B$8))="","",INDIRECT(ADDRESS(SumRef!BO44,SumRef!BO$16,,,SumRef!$B$8))))</f>
        <v/>
      </c>
      <c r="Z38" s="1104" t="str">
        <f ca="1">IF('A-80 DirEntInv'!Z37&lt;&gt;"",'A-80 DirEntInv'!Z37,IF(INDIRECT(ADDRESS(SumRef!BP44,SumRef!BP$16,,,SumRef!$B$8))="","",INDIRECT(ADDRESS(SumRef!BP44,SumRef!BP$16,,,SumRef!$B$8))))</f>
        <v/>
      </c>
      <c r="AA38" s="1104" t="str">
        <f ca="1">IF('A-80 DirEntInv'!AA37&lt;&gt;"",'A-80 DirEntInv'!AA37,IF(INDIRECT(ADDRESS(SumRef!BQ44,SumRef!BQ$16,,,SumRef!$B$8))="","",INDIRECT(ADDRESS(SumRef!BQ44,SumRef!BQ$16,,,SumRef!$B$8))))</f>
        <v/>
      </c>
      <c r="AB38" s="1106" t="str">
        <f ca="1">IF('A-80 DirEntInv'!AB37&lt;&gt;"",'A-80 DirEntInv'!AB37,IF(INDIRECT(ADDRESS(SumRef!BR44,SumRef!BR$16,,,SumRef!$B$8))="","",INDIRECT(ADDRESS(SumRef!BR44,SumRef!BR$16,,,SumRef!$B$8))))</f>
        <v/>
      </c>
      <c r="AC38" s="1107" t="str">
        <f ca="1">IF('A-80 DirEntInv'!AC37&lt;&gt;"",'A-80 DirEntInv'!AC37,IF(INDIRECT(ADDRESS(SumRef!BS44,SumRef!BS$16,,,SumRef!$B$8))="","",INDIRECT(ADDRESS(SumRef!BS44,SumRef!BS$16,,,SumRef!$B$8))))</f>
        <v/>
      </c>
      <c r="AD38" s="1349" t="str">
        <f ca="1">IF('A-80 DirEntInv'!AD37&lt;&gt;"",'A-80 DirEntInv'!AD37,IF(INDIRECT(ADDRESS(SumRef!BT44,SumRef!BT$16,,,SumRef!$B$8))="","",INDIRECT(ADDRESS(SumRef!BT44,SumRef!BT$16,,,SumRef!$B$8))))</f>
        <v/>
      </c>
      <c r="AE38" s="1137" t="str">
        <f ca="1">IF('A-80 DirEntInv'!AE37&lt;&gt;"",'A-80 DirEntInv'!AE37,IF(INDIRECT(ADDRESS(SumRef!BU44,SumRef!BU$16,,,SumRef!$B$8))="","",INDIRECT(ADDRESS(SumRef!BU44,SumRef!BU$16,,,SumRef!$B$8))))</f>
        <v/>
      </c>
      <c r="AF38" s="1346" t="str">
        <f ca="1">IF('A-80 DirEntInv'!AF37&lt;&gt;"",'A-80 DirEntInv'!AF37,IF(INDIRECT(ADDRESS(SumRef!BV44,SumRef!BV$16,,,SumRef!$B$8))="","",INDIRECT(ADDRESS(SumRef!BV44,SumRef!BV$16,,,SumRef!$B$8))))</f>
        <v/>
      </c>
      <c r="AG38" s="1105" t="str">
        <f ca="1">IF('A-80 DirEntInv'!AG37&lt;&gt;"",'A-80 DirEntInv'!AG37,IF(INDIRECT(ADDRESS(SumRef!BW44,SumRef!BW$16,,,SumRef!$B$8))="","",INDIRECT(ADDRESS(SumRef!BW44,SumRef!BW$16,,,SumRef!$B$8))))</f>
        <v/>
      </c>
      <c r="AH38" s="1357" t="str">
        <f ca="1">IF('A-80 DirEntInv'!AH37&lt;&gt;"",'A-80 DirEntInv'!AH37,IF(INDIRECT(ADDRESS(SumRef!BX44,SumRef!BX$16,,,SumRef!$B$8))="","",INDIRECT(ADDRESS(SumRef!BX44,SumRef!BX$16,,,SumRef!$B$8))))</f>
        <v/>
      </c>
      <c r="AK38" s="1047" t="str">
        <f>Codes!$C$157</f>
        <v>AG - Automated Guideway (PT)</v>
      </c>
      <c r="AL38" s="1050" t="str">
        <f>Valid!$B$91</f>
        <v>Train Control &amp; Signaling</v>
      </c>
      <c r="AM38" s="1185"/>
      <c r="AN38" s="1050"/>
      <c r="AO38" s="1185"/>
      <c r="AP38" s="1050"/>
      <c r="AQ38" s="1386" t="str">
        <f>IF('A-80 DirEntInv'!AQ37&lt;&gt;"",'A-80 DirEntInv'!AQ37,IF(AK38=summaryref2!B25,summaryref2!G25,IF(Summary!AK38=summaryref2!B39,summaryref2!G39,IF(AK38=summaryref2!B53,summaryref2!G53,IF(AK38=summaryref2!B67,summaryref2!G67,IF(AK38=summaryref2!B81,summaryref2!G81,IF(AK38=summaryref2!B95,summaryref2!G95,IF(AK38=summaryref2!B109,summaryref2!G109,IF(AK38=summaryref2!B123,summaryref2!G123,IF(AK38=summaryref2!B137,summaryref2!G137,IF(AK38=summaryref2!B151,summaryref2!G151,"")))))))))))</f>
        <v/>
      </c>
      <c r="AR38" s="1386" t="str">
        <f>IF('A-80 DirEntInv'!AR37&lt;&gt;"",'A-80 DirEntInv'!AR37,IF(AK38=summaryref2!B25,summaryref2!H25,IF(Summary!AK38=summaryref2!B39,summaryref2!H39,IF(AK38=summaryref2!B53,summaryref2!H53,IF(AK38=summaryref2!B67,summaryref2!H67,IF(AK38=summaryref2!B81,summaryref2!H81,IF(AK38=summaryref2!B95,summaryref2!H95,IF(AK38=summaryref2!B109,summaryref2!H109,IF(AK38=summaryref2!B123,summaryref2!H123,IF(AK38=summaryref2!B137,summaryref2!H137,IF(AK38=summaryref2!B151,summaryref2!H151,"")))))))))))</f>
        <v/>
      </c>
      <c r="AS38" s="1387" t="str">
        <f>IF('A-80 DirEntInv'!AS37&lt;&gt;"",'A-80 DirEntInv'!AS37,IF(AK38=summaryref2!B25,summaryref2!I25,IF(Summary!AK38=summaryref2!B39,summaryref2!I39,IF(AK38=summaryref2!B53,summaryref2!I53,IF(AK38=summaryref2!B67,summaryref2!I67,IF(AK38=summaryref2!B81,summaryref2!I81,IF(AK38=summaryref2!B95,summaryref2!I95,IF(AK38=summaryref2!B109,summaryref2!I109,IF(AK38=summaryref2!B123,summaryref2!I123,IF(AK38=summaryref2!B137,summaryref2!I137,IF(AK38=summaryref2!B151,summaryref2!I151,"")))))))))))</f>
        <v/>
      </c>
      <c r="AT38" s="1387" t="str">
        <f>IF('A-80 DirEntInv'!AT37&lt;&gt;"",'A-80 DirEntInv'!AT37,IF(AK38=summaryref2!B25,summaryref2!J25,IF(Summary!AK38=summaryref2!B39,summaryref2!J39,IF(AK38=summaryref2!B53,summaryref2!J53,IF(AK38=summaryref2!B67,summaryref2!J67,IF(AK38=summaryref2!B81,summaryref2!J81,IF(AK38=summaryref2!B95,summaryref2!J95,IF(AK38=summaryref2!B109,summaryref2!J109,IF(AK38=summaryref2!B123,summaryref2!J123,IF(AK38=summaryref2!B137,summaryref2!J137,IF(AK38=summaryref2!B151,summaryref2!J151,"")))))))))))</f>
        <v/>
      </c>
      <c r="AU38" s="1387" t="str">
        <f>IF('A-80 DirEntInv'!AU37&lt;&gt;"",'A-80 DirEntInv'!AU37,IF(AK38=summaryref2!B25,summaryref2!K25,IF(Summary!AK38=summaryref2!B39,summaryref2!K39,IF(AK38=summaryref2!B53,summaryref2!K53,IF(AK38=summaryref2!B67,summaryref2!K67,IF(AK38=summaryref2!B81,summaryref2!K81,IF(AK38=summaryref2!B95,summaryref2!K95,IF(AK38=summaryref2!B109,summaryref2!K109,IF(AK38=summaryref2!B123,summaryref2!K123,IF(AK38=summaryref2!B137,summaryref2!K137,IF(AK38=summaryref2!B151,summaryref2!K151,"")))))))))))</f>
        <v/>
      </c>
      <c r="AV38" s="1387" t="str">
        <f>IF('A-80 DirEntInv'!AV37&lt;&gt;"",'A-80 DirEntInv'!AV37,IF(AK38=summaryref2!B25,summaryref2!L25,IF(Summary!AK38=summaryref2!B39,summaryref2!L39,IF(AK38=summaryref2!B53,summaryref2!L53,IF(AK38=summaryref2!B67,summaryref2!L67,IF(AK38=summaryref2!B81,summaryref2!L81,IF(AK38=summaryref2!B95,summaryref2!L95,IF(AK38=summaryref2!B109,summaryref2!L109,IF(AK38=summaryref2!B123,summaryref2!L123,IF(AK38=summaryref2!B137,summaryref2!L137,IF(AK38=summaryref2!B151,summaryref2!L151,"")))))))))))</f>
        <v/>
      </c>
      <c r="AW38" s="1387" t="str">
        <f>IF('A-80 DirEntInv'!AW37&lt;&gt;"",'A-80 DirEntInv'!AW37,IF(AK38=summaryref2!B25,summaryref2!M25,IF(Summary!AK38=summaryref2!B39,summaryref2!M39,IF(AK38=summaryref2!B53,summaryref2!M53,IF(AK38=summaryref2!B67,summaryref2!M67,IF(AK38=summaryref2!B81,summaryref2!M81,IF(AK38=summaryref2!B95,summaryref2!M95,IF(AK38=summaryref2!B109,summaryref2!M109,IF(AK38=summaryref2!B123,summaryref2!M123,IF(AK38=summaryref2!B137,summaryref2!M137,IF(AK38=summaryref2!B151,summaryref2!M151,"")))))))))))</f>
        <v/>
      </c>
      <c r="AX38" s="1387" t="str">
        <f>IF('A-80 DirEntInv'!AX37&lt;&gt;"",'A-80 DirEntInv'!AX37,IF(AK38=summaryref2!B25,summaryref2!N25,IF(Summary!AK38=summaryref2!B39,summaryref2!N39,IF(AK38=summaryref2!B53,summaryref2!N53,IF(AK38=summaryref2!B67,summaryref2!N67,IF(AK38=summaryref2!B81,summaryref2!N81,IF(AK38=summaryref2!B95,summaryref2!N95,IF(AK38=summaryref2!B109,summaryref2!N109,IF(AK38=summaryref2!B123,summaryref2!N123,IF(AK38=summaryref2!B137,summaryref2!N137,IF(AK38=summaryref2!B151,summaryref2!N151,"")))))))))))</f>
        <v/>
      </c>
      <c r="AY38" s="1387" t="str">
        <f>IF('A-80 DirEntInv'!AY37&lt;&gt;"",'A-80 DirEntInv'!AY37,IF(AK38=summaryref2!B25,summaryref2!O25,IF(Summary!AK38=summaryref2!B39,summaryref2!O39,IF(AK38=summaryref2!B53,summaryref2!O53,IF(AK38=summaryref2!B67,summaryref2!O67,IF(AK38=summaryref2!B81,summaryref2!O81,IF(AK38=summaryref2!B95,summaryref2!O95,IF(AK38=summaryref2!B109,summaryref2!O109,IF(AK38=summaryref2!B123,summaryref2!O123,IF(AK38=summaryref2!B137,summaryref2!O137,IF(AK38=summaryref2!B151,summaryref2!O151,"")))))))))))</f>
        <v/>
      </c>
      <c r="AZ38" s="1387" t="str">
        <f>IF('A-80 DirEntInv'!AZ37&lt;&gt;"",'A-80 DirEntInv'!AZ37,IF(AK38=summaryref2!B25,summaryref2!P25,IF(Summary!AK38=summaryref2!B39,summaryref2!P39,IF(AK38=summaryref2!B53,summaryref2!P53,IF(AK38=summaryref2!B67,summaryref2!P67,IF(AK38=summaryref2!B81,summaryref2!P81,IF(AK38=summaryref2!B95,summaryref2!P95,IF(AK38=summaryref2!B109,summaryref2!P109,IF(AK38=summaryref2!B123,summaryref2!P123,IF(AK38=summaryref2!B137,summaryref2!P137,IF(AK38=summaryref2!B151,summaryref2!P151,"")))))))))))</f>
        <v/>
      </c>
      <c r="BA38" s="1387" t="str">
        <f>IF('A-80 DirEntInv'!BA37&lt;&gt;"",'A-80 DirEntInv'!BA37,IF(AK38=summaryref2!B25,summaryref2!Q25,IF(Summary!AK38=summaryref2!B39,summaryref2!Q39,IF(AK38=summaryref2!B53,summaryref2!Q53,IF(AK38=summaryref2!B67,summaryref2!Q67,IF(AK38=summaryref2!B81,summaryref2!Q81,IF(AK38=summaryref2!B95,summaryref2!Q95,IF(AK38=summaryref2!B109,summaryref2!Q109,IF(AK38=summaryref2!B123,summaryref2!Q123,IF(AK38=summaryref2!B137,summaryref2!Q137,IF(AK38=summaryref2!B151,summaryref2!Q151,"")))))))))))</f>
        <v/>
      </c>
      <c r="BB38" s="1387" t="str">
        <f>IF('A-80 DirEntInv'!BB37&lt;&gt;"",'A-80 DirEntInv'!BB37,IF(AK38=summaryref2!B25,summaryref2!R25,IF(Summary!AK38=summaryref2!B39,summaryref2!R39,IF(AK38=summaryref2!B53,summaryref2!R53,IF(AK38=summaryref2!B67,summaryref2!R67,IF(AK38=summaryref2!B81,summaryref2!R81,IF(AK38=summaryref2!B95,summaryref2!R95,IF(AK38=summaryref2!B109,summaryref2!R109,IF(AK38=summaryref2!B123,summaryref2!R123,IF(AK38=summaryref2!B137,summaryref2!R137,IF(AK38=summaryref2!B151,summaryref2!R151,"")))))))))))</f>
        <v/>
      </c>
      <c r="BC38" s="1387" t="str">
        <f>IF('A-80 DirEntInv'!BC37&lt;&gt;0,'A-80 DirEntInv'!BC37,IF(AK38=summaryref2!B25,summaryref2!S25,IF(Summary!AK38=summaryref2!B39,summaryref2!S39,IF(AK38=summaryref2!B53,summaryref2!S53,IF(AK38=summaryref2!B67,summaryref2!S67,IF(AK38=summaryref2!B81,summaryref2!S81,IF(AK38=summaryref2!B95,summaryref2!S95,IF(AK38=summaryref2!B109,summaryref2!S109,IF(AK38=summaryref2!B123,summaryref2!S123,IF(AK38=summaryref2!B137,summaryref2!S137,IF(AK38=summaryref2!B151,summaryref2!S151,"")))))))))))</f>
        <v/>
      </c>
      <c r="BD38" s="1118" t="str">
        <f>IF('A-80 DirEntInv'!BD37&lt;&gt;"",'A-80 DirEntInv'!BD37,IF(AK38=summaryref2!B25,summaryref2!T25,IF(Summary!AK38=summaryref2!B39,summaryref2!T39,IF(AK38=summaryref2!B53,summaryref2!T53,IF(AK38=summaryref2!B67,summaryref2!T67,IF(AK38=summaryref2!B81,summaryref2!T81,IF(AK38=summaryref2!B95,summaryref2!T95,IF(AK38=summaryref2!B109,summaryref2!T109,IF(AK38=summaryref2!B123,summaryref2!T123,IF(AK38=summaryref2!B137,summaryref2!T137,IF(AK38=summaryref2!B151,summaryref2!T151,"")))))))))))</f>
        <v/>
      </c>
      <c r="BE38" s="1186" t="str">
        <f>IF('A-80 DirEntInv'!BE37&lt;&gt;"",'A-80 DirEntInv'!BE37,IF(AK38=summaryref2!B25,summaryref2!U25,IF(Summary!AK38=summaryref2!B39,summaryref2!U39,IF(AK38=summaryref2!B53,summaryref2!U53,IF(AK38=summaryref2!B67,summaryref2!U67,IF(AK38=summaryref2!B81,summaryref2!U81,IF(AK38=summaryref2!B95,summaryref2!U95,IF(AK38=summaryref2!B109,summaryref2!U109,IF(AK38=summaryref2!B123,summaryref2!U123,IF(AK38=summaryref2!B137,summaryref2!U137,IF(AK38=summaryref2!B151,summaryref2!U151,"")))))))))))</f>
        <v/>
      </c>
      <c r="BF38" s="1432"/>
      <c r="BG38" s="1432"/>
      <c r="BJ38" s="1047" t="str">
        <f>Codes!$C$159</f>
        <v>CC - Cable Car (DO)</v>
      </c>
      <c r="BK38" s="1050" t="str">
        <f>Valid!$B$86</f>
        <v>Grade Crossings</v>
      </c>
      <c r="BL38" s="1369" t="str">
        <f>IF('A-80 DirEntInv'!BL37&lt;&gt;"",'A-80 DirEntInv'!BL37,IF(BJ38=summaryref2!X18,summaryref2!Z18,IF(BJ38=summaryref2!X25,summaryref2!Z25,IF(BJ38=summaryref2!X32,summaryref2!Z32,IF(BJ38=summaryref2!X39,summaryref2!Z39,IF(BJ38=summaryref2!X46,summaryref2!Z46,IF(BJ38=summaryref2!X53,summaryref2!Z53,IF(BJ38=summaryref2!X60,summaryref2!Z60,IF(BJ38=summaryref2!X67,summaryref2!Z67,IF(BJ38=summaryref2!X74,summaryref2!Z74,IF(BJ38=summaryref2!X81,summaryref2!Z81,"")))))))))))</f>
        <v/>
      </c>
      <c r="BM38" s="1050" t="str">
        <f>VLOOKUP(BK38,Valid!$B$80:$C$86,2,FALSE)</f>
        <v>Each</v>
      </c>
      <c r="BN38" s="1210" t="str">
        <f>IF('A-80 DirEntInv'!BN37&lt;&gt;"",'A-80 DirEntInv'!BN37,IF(BJ38=summaryref2!X18,summaryref2!AB18,IF(BJ38=summaryref2!X25,summaryref2!AB25,IF(BJ38=summaryref2!X32,summaryref2!AB32,IF(BJ38=summaryref2!X39,summaryref2!AB39,IF(BJ38=summaryref2!X46,summaryref2!AB46,IF(BJ38=summaryref2!X53,summaryref2!AB53,IF(BJ38=summaryref2!X60,summaryref2!AB60,IF(BJ38=summaryref2!X67,summaryref2!AB67,IF(BJ38=summaryref2!X74,summaryref2!AB74,IF(BJ38=summaryref2!X81,summaryref2!AB81,"")))))))))))</f>
        <v/>
      </c>
      <c r="BO38" s="1117" t="str">
        <f>IF('A-80 DirEntInv'!BO37&lt;&gt;"",'A-80 DirEntInv'!BO37,IF(BJ38=summaryref2!X18,summaryref2!AC18,IF(BJ38=summaryref2!X25,summaryref2!AC25,IF(BJ38=summaryref2!X32,summaryref2!AC32,IF(BJ38=summaryref2!X39,summaryref2!AC39,IF(BJ38=summaryref2!X46,summaryref2!AC46,IF(BJ38=summaryref2!X53,summaryref2!AC53,IF(BJ38=summaryref2!X60,summaryref2!AC60,IF(BJ38=summaryref2!X67,summaryref2!AC67,IF(BJ38=summaryref2!X74,summaryref2!AC74,IF(BJ38=summaryref2!X81,summaryref2!AC81,"")))))))))))</f>
        <v/>
      </c>
      <c r="BP38" s="1321" t="str">
        <f>IF('A-80 DirEntInv'!BP37&lt;&gt;"",'A-80 DirEntInv'!BP37,IF(BJ38=summaryref2!X18,summaryref2!AD18,IF(BJ38=summaryref2!X25,summaryref2!AD25,IF(BJ38=summaryref2!X32,summaryref2!AD32,IF(BJ38=summaryref2!X39,summaryref2!AD39,IF(BJ38=summaryref2!X46,summaryref2!AD46,IF(BJ38=summaryref2!X53,summaryref2!AD53,IF(BJ38=summaryref2!X60,summaryref2!AD60,IF(BJ38=summaryref2!X67,summaryref2!AD67,IF(BJ38=summaryref2!X74,summaryref2!AD74,IF(BJ38=summaryref2!X81,summaryref2!AD81,"")))))))))))</f>
        <v/>
      </c>
      <c r="BS38" s="1472" t="str">
        <f ca="1">IF('A-80 DirEntInv'!BU37&lt;&gt;"",'A-80 DirEntInv'!BU37,IF(INDIRECT(ADDRESS(SumRef!DK44,SumRef!DK$16,,,SumRef!$E$6))="","",INDIRECT(ADDRESS(SumRef!DK44,SumRef!DK$16,,,SumRef!$E$6))))</f>
        <v/>
      </c>
      <c r="BT38" s="1458" t="str">
        <f ca="1">IF('A-80 DirEntInv'!BV37&lt;&gt;"",'A-80 DirEntInv'!BV37,IF(INDIRECT(ADDRESS(SumRef!DL44,SumRef!DL$16,,,SumRef!$E$6))="","",INDIRECT(ADDRESS(SumRef!DL44,SumRef!DL$16,,,SumRef!$E$6))))</f>
        <v/>
      </c>
      <c r="BU38" s="1177" t="str">
        <f ca="1">IF('A-80 DirEntInv'!BW37&lt;&gt;"",'A-80 DirEntInv'!BW37,IF(INDIRECT(ADDRESS(SumRef!DM44,SumRef!DM$16,,,SumRef!$E$6))="","",INDIRECT(ADDRESS(SumRef!DM44,SumRef!DM$16,,,SumRef!$E$6))))</f>
        <v/>
      </c>
      <c r="BV38" s="1460" t="str">
        <f ca="1">IF('A-80 DirEntInv'!BX37&lt;&gt;"",'A-80 DirEntInv'!BX37,IF(INDIRECT(ADDRESS(SumRef!DN44,SumRef!DN$16,,,SumRef!$E$6))="","",INDIRECT(ADDRESS(SumRef!DN44,SumRef!DN$16,,,SumRef!$E$6))))</f>
        <v/>
      </c>
      <c r="BW38" s="1460" t="str">
        <f ca="1">IF('A-80 DirEntInv'!BY37&lt;&gt;"",'A-80 DirEntInv'!BY37,IF(INDIRECT(ADDRESS(SumRef!DO44,SumRef!DO$16,,,SumRef!$E$6))="","",INDIRECT(ADDRESS(SumRef!DO44,SumRef!DO$16,,,SumRef!$E$6))))</f>
        <v/>
      </c>
      <c r="BX38" s="1116" t="str">
        <f ca="1">IF('A-80 DirEntInv'!BZ37&lt;&gt;"",'A-80 DirEntInv'!BZ37,IF(INDIRECT(ADDRESS(SumRef!DP44,SumRef!DP$16,,,SumRef!$E$6))="","",INDIRECT(ADDRESS(SumRef!DP44,SumRef!DP$16,,,SumRef!$E$6))))</f>
        <v/>
      </c>
      <c r="BY38" s="1461" t="str">
        <f ca="1">IF('A-80 DirEntInv'!CA37&lt;&gt;"",'A-80 DirEntInv'!CA37,IF(INDIRECT(ADDRESS(SumRef!DQ44,SumRef!DQ$16,,,SumRef!$E$6))="","",INDIRECT(ADDRESS(SumRef!DQ44,SumRef!DQ$16,,,SumRef!$E$6))))</f>
        <v/>
      </c>
      <c r="BZ38" s="1460" t="str">
        <f ca="1">IF('A-80 DirEntInv'!CB37&lt;&gt;"",'A-80 DirEntInv'!CB37,IF(INDIRECT(ADDRESS(SumRef!DR44,SumRef!DR$16,,,SumRef!$E$6))="","",INDIRECT(ADDRESS(SumRef!DR44,SumRef!DR$16,,,SumRef!$E$6))))</f>
        <v/>
      </c>
      <c r="CA38" s="1462" t="str">
        <f ca="1">IF('A-80 DirEntInv'!CC37&lt;&gt;"",'A-80 DirEntInv'!CC37,IF(INDIRECT(ADDRESS(SumRef!DS44,SumRef!DS$16,,,SumRef!$E$6))="","",INDIRECT(ADDRESS(SumRef!DS44,SumRef!DS$16,,,SumRef!$E$6))))</f>
        <v/>
      </c>
      <c r="CD38" s="1160" t="str">
        <f ca="1">IF('A-80 DirEntInv'!CF37&lt;&gt;"",'A-80 DirEntInv'!CF37,IF(INDIRECT(ADDRESS(SumRef!DV44,SumRef!DV$16,,,SumRef!$E$7))="","",INDIRECT(ADDRESS(SumRef!DV44,SumRef!DV$16,,,SumRef!$E$7))))</f>
        <v/>
      </c>
      <c r="CE38" s="1167" t="str">
        <f ca="1">IF('A-80 DirEntInv'!CG37&lt;&gt;"",'A-80 DirEntInv'!CG37,IF(INDIRECT(ADDRESS(SumRef!DW44,SumRef!DW$16,,,SumRef!$E$7))="","",INDIRECT(ADDRESS(SumRef!DW44,SumRef!DW$16,,,SumRef!$E$7))))</f>
        <v/>
      </c>
      <c r="CF38" s="1167" t="str">
        <f ca="1">IF('A-80 DirEntInv'!CH37&lt;&gt;"",'A-80 DirEntInv'!CH37,IF(INDIRECT(ADDRESS(SumRef!DX44,SumRef!DX$16,,,SumRef!$E$7))="","",INDIRECT(ADDRESS(SumRef!DX44,SumRef!DX$16,,,SumRef!$E$7))))</f>
        <v/>
      </c>
      <c r="CG38" s="1167" t="str">
        <f ca="1">IF('A-80 DirEntInv'!CI37&lt;&gt;"",'A-80 DirEntInv'!CI37,IF(INDIRECT(ADDRESS(SumRef!DY44,SumRef!DY$16,,,SumRef!$E$7))="","",INDIRECT(ADDRESS(SumRef!DY44,SumRef!DY$16,,,SumRef!$E$7))))</f>
        <v/>
      </c>
      <c r="CH38" s="1167" t="str">
        <f ca="1">IF('A-80 DirEntInv'!CJ37&lt;&gt;"",'A-80 DirEntInv'!CJ37,IF(INDIRECT(ADDRESS(SumRef!DZ44,SumRef!DZ$16,,,SumRef!$E$7))="","",INDIRECT(ADDRESS(SumRef!DZ44,SumRef!DZ$16,,,SumRef!$E$7))))</f>
        <v/>
      </c>
      <c r="CI38" s="1167" t="str">
        <f ca="1">IF('A-80 DirEntInv'!CK37&lt;&gt;"",'A-80 DirEntInv'!CK37,IF(INDIRECT(ADDRESS(SumRef!EA44,SumRef!EA$16,,,SumRef!$E$7))="","",INDIRECT(ADDRESS(SumRef!EA44,SumRef!EA$16,,,SumRef!$E$7))))</f>
        <v/>
      </c>
      <c r="CJ38" s="1114" t="str">
        <f ca="1">IF('A-80 DirEntInv'!CL37&lt;&gt;"",'A-80 DirEntInv'!CL37,IF(INDIRECT(ADDRESS(SumRef!EB44,SumRef!EB$16,,,SumRef!$E$7))="","",INDIRECT(ADDRESS(SumRef!EB44,SumRef!EB$16,,,SumRef!$E$7))))</f>
        <v/>
      </c>
      <c r="CK38" s="1114" t="str">
        <f ca="1">IF('A-80 DirEntInv'!CM37&lt;&gt;"",'A-80 DirEntInv'!CM37,IF(INDIRECT(ADDRESS(SumRef!EC44,SumRef!EC$16,,,SumRef!$E$7))="","",INDIRECT(ADDRESS(SumRef!EC44,SumRef!EC$16,,,SumRef!$E$7))))</f>
        <v/>
      </c>
      <c r="CL38" s="1113" t="str">
        <f ca="1">IF('A-80 DirEntInv'!CO37&lt;&gt;"",'A-80 DirEntInv'!CO37,IF(INDIRECT(ADDRESS(SumRef!ED44,SumRef!ED$16,,,SumRef!$E$7))="","",INDIRECT(ADDRESS(SumRef!ED44,SumRef!ED$16,,,SumRef!$E$7))))</f>
        <v/>
      </c>
      <c r="CM38" s="1114" t="str">
        <f ca="1">IF('A-80 DirEntInv'!CP37&lt;&gt;"",'A-80 DirEntInv'!CP37,IF(INDIRECT(ADDRESS(SumRef!EE44,SumRef!EE$16,,,SumRef!$E$7))="","",INDIRECT(ADDRESS(SumRef!EE44,SumRef!EE$16,,,SumRef!$E$7))))</f>
        <v/>
      </c>
      <c r="CN38" s="1114" t="str">
        <f ca="1">IF('A-80 DirEntInv'!CQ37&lt;&gt;"",'A-80 DirEntInv'!CQ37,IF(INDIRECT(ADDRESS(SumRef!EF44,SumRef!EF$16,,,SumRef!$E$7))="","",INDIRECT(ADDRESS(SumRef!EF44,SumRef!EF$16,,,SumRef!$E$7))))</f>
        <v/>
      </c>
      <c r="CO38" s="1113" t="str">
        <f ca="1">IF('A-80 DirEntInv'!CR37&lt;&gt;"",'A-80 DirEntInv'!CR37,IF(INDIRECT(ADDRESS(SumRef!EG44,SumRef!EG$16,,,SumRef!$E$7))="","",INDIRECT(ADDRESS(SumRef!EG44,SumRef!EG$16,,,SumRef!$E$7))))</f>
        <v/>
      </c>
      <c r="CP38" s="1114" t="str">
        <f ca="1">IF('A-80 DirEntInv'!CS37&lt;&gt;"",'A-80 DirEntInv'!CS37,IF(INDIRECT(ADDRESS(SumRef!EH44,SumRef!EH$16,,,SumRef!$E$7))="","",INDIRECT(ADDRESS(SumRef!EH44,SumRef!EH$16,,,SumRef!$E$7))))</f>
        <v/>
      </c>
      <c r="CQ38" s="1346" t="str">
        <f ca="1">IF('A-80 DirEntInv'!CT37&lt;&gt;"",'A-80 DirEntInv'!CT37,IF(INDIRECT(ADDRESS(SumRef!EI44,SumRef!EI$16,,,SumRef!$E$7))="","",INDIRECT(ADDRESS(SumRef!EI44,SumRef!EI$16,,,SumRef!$E$7))))</f>
        <v/>
      </c>
      <c r="CR38" s="1113" t="str">
        <f ca="1">IF('A-80 DirEntInv'!CU37&lt;&gt;"",'A-80 DirEntInv'!CU37,IF(INDIRECT(ADDRESS(SumRef!EJ44,SumRef!EJ$16,,,SumRef!$E$7))="","",INDIRECT(ADDRESS(SumRef!EJ44,SumRef!EJ$16,,,SumRef!$E$7))))</f>
        <v/>
      </c>
      <c r="CS38" s="1346" t="str">
        <f ca="1">IF('A-80 DirEntInv'!CV37&lt;&gt;"",'A-80 DirEntInv'!CV37,IF(INDIRECT(ADDRESS(SumRef!EM44,SumRef!EM$16,,,SumRef!$E$7))="","",INDIRECT(ADDRESS(SumRef!EM44,SumRef!EM$16,,,SumRef!$E$7))))</f>
        <v/>
      </c>
      <c r="CT38" s="1113" t="str">
        <f ca="1">IF('A-80 DirEntInv'!CW37&lt;&gt;"",'A-80 DirEntInv'!CW37,IF(INDIRECT(ADDRESS(SumRef!EN44,SumRef!EN$16,,,SumRef!$E$7))="","",INDIRECT(ADDRESS(SumRef!EN44,SumRef!EN$16,,,SumRef!$E$7))))</f>
        <v/>
      </c>
      <c r="CU38" s="1113" t="str">
        <f ca="1">IF('A-80 DirEntInv'!CX37&lt;&gt;"",'A-80 DirEntInv'!CX37,IF(INDIRECT(ADDRESS(SumRef!EO44,SumRef!EO$16,,,SumRef!$E$7))="","",INDIRECT(ADDRESS(SumRef!EO44,SumRef!EO$16,,,SumRef!$E$7))))</f>
        <v/>
      </c>
      <c r="CV38" s="1113" t="str">
        <f ca="1">IF('A-80 DirEntInv'!CY37&lt;&gt;"",'A-80 DirEntInv'!CY37,IF(INDIRECT(ADDRESS(SumRef!EP44,SumRef!EP$16,,,SumRef!$E$7))="","",INDIRECT(ADDRESS(SumRef!EP44,SumRef!EP$16,,,SumRef!$E$7))))</f>
        <v/>
      </c>
      <c r="CW38" s="1114" t="str">
        <f ca="1">IF('A-80 DirEntInv'!CZ37&lt;&gt;"",'A-80 DirEntInv'!CZ37,IF(INDIRECT(ADDRESS(SumRef!ES44,SumRef!ES$16,,,SumRef!$E$7))="","",INDIRECT(ADDRESS(SumRef!ES44,SumRef!ES$16,,,SumRef!$E$7))))</f>
        <v/>
      </c>
      <c r="CX38" s="1167" t="str">
        <f ca="1">IF('A-80 DirEntInv'!DA37&lt;&gt;"",'A-80 DirEntInv'!DA37,IF(INDIRECT(ADDRESS(SumRef!ET44,SumRef!ET$16,,,SumRef!$E$7))="","",INDIRECT(ADDRESS(SumRef!ET44,SumRef!ET$16,,,SumRef!$E$7))))</f>
        <v/>
      </c>
      <c r="CY38" s="1167" t="str">
        <f ca="1">IF('A-80 DirEntInv'!DB37&lt;&gt;"",'A-80 DirEntInv'!DB37,IF(INDIRECT(ADDRESS(SumRef!EU44,SumRef!EU$16,,,SumRef!$E$7))="","",INDIRECT(ADDRESS(SumRef!EU44,SumRef!EU$16,,,SumRef!$E$7))))</f>
        <v/>
      </c>
      <c r="CZ38" s="1167" t="b">
        <f ca="1">IF('A-80 DirEntInv'!DC37&lt;&gt;"",'A-80 DirEntInv'!DC37,IF(INDIRECT(ADDRESS(SumRef!EV44,SumRef!EV$16,,,SumRef!$E$7))="","",INDIRECT(ADDRESS(SumRef!EV44,SumRef!EV$16,,,SumRef!$E$7))))</f>
        <v>0</v>
      </c>
      <c r="DA38" s="1373" t="str">
        <f ca="1">IF('A-80 DirEntInv'!DD37&lt;&gt;"",'A-80 DirEntInv'!DD37,IF(INDIRECT(ADDRESS(SumRef!EW44,SumRef!EW$16,,,SumRef!$E$7))="","",INDIRECT(ADDRESS(SumRef!EW44,SumRef!EW$16,,,SumRef!$E$7))))</f>
        <v/>
      </c>
      <c r="DB38" s="1373" t="b">
        <f ca="1">IF('A-80 DirEntInv'!DE37&lt;&gt;"",'A-80 DirEntInv'!DE37,IF(INDIRECT(ADDRESS(SumRef!EX44,SumRef!EX$16,,,SumRef!$E$7))="","",INDIRECT(ADDRESS(SumRef!EX44,SumRef!EX$16,,,SumRef!$E$7))))</f>
        <v>0</v>
      </c>
      <c r="DC38" s="1114" t="b">
        <f ca="1">IF('A-80 DirEntInv'!DF37&lt;&gt;"",'A-80 DirEntInv'!DF37,IF(INDIRECT(ADDRESS(SumRef!EY44,SumRef!EY$16,,,SumRef!$E$7))="","",INDIRECT(ADDRESS(SumRef!EY44,SumRef!EY$16,,,SumRef!$E$7))))</f>
        <v>0</v>
      </c>
      <c r="DD38" s="1115" t="str">
        <f ca="1">IF('A-80 DirEntInv'!DG37&lt;&gt;"",'A-80 DirEntInv'!DG37,IF(INDIRECT(ADDRESS(SumRef!EZ44,SumRef!EZ$16,,,SumRef!$E$7))="","",INDIRECT(ADDRESS(SumRef!EZ44,SumRef!EZ$16,,,SumRef!$E$7))))</f>
        <v/>
      </c>
    </row>
    <row r="39" spans="1:108" s="588" customFormat="1" x14ac:dyDescent="0.2">
      <c r="A39" s="589">
        <f t="shared" si="0"/>
        <v>29</v>
      </c>
      <c r="B39" s="1155" t="str">
        <f ca="1">IF('A-80 DirEntInv'!B38&lt;&gt;"",'A-80 DirEntInv'!B38,IF(INDIRECT(ADDRESS(SumRef!AQ45,SumRef!AQ$16,,,SumRef!$B$7))="","",INDIRECT(ADDRESS(SumRef!AQ45,SumRef!AQ$16,,,SumRef!$B$7))))</f>
        <v/>
      </c>
      <c r="C39" s="1097" t="str">
        <f ca="1">IF('A-80 DirEntInv'!C38&lt;&gt;"",'A-80 DirEntInv'!C38,IF(INDIRECT(ADDRESS(SumRef!AR45,SumRef!AR$16,,,SumRef!$B$7))="","",INDIRECT(ADDRESS(SumRef!AR45,SumRef!AR$16,,,SumRef!$B$7))))</f>
        <v/>
      </c>
      <c r="D39" s="1097" t="str">
        <f ca="1">IF('A-80 DirEntInv'!D38&lt;&gt;"",'A-80 DirEntInv'!D38,IF(INDIRECT(ADDRESS(SumRef!AS45,SumRef!AS$16,,,SumRef!$B$7))="","",INDIRECT(ADDRESS(SumRef!AS45,SumRef!AS$16,,,SumRef!$B$7))))</f>
        <v/>
      </c>
      <c r="E39" s="1097" t="str">
        <f ca="1">IF('A-80 DirEntInv'!E38&lt;&gt;"",'A-80 DirEntInv'!E38,IF(INDIRECT(ADDRESS(SumRef!AT45,SumRef!AT$16,,,SumRef!$B$7))="","",INDIRECT(ADDRESS(SumRef!AT45,SumRef!AT$16,,,SumRef!$B$7))))</f>
        <v/>
      </c>
      <c r="F39" s="1097" t="str">
        <f ca="1">IF('A-80 DirEntInv'!F38&lt;&gt;"",'A-80 DirEntInv'!F38,IF(INDIRECT(ADDRESS(SumRef!AU45,SumRef!AU$16,,,SumRef!$B$7))="","",INDIRECT(ADDRESS(SumRef!AU45,SumRef!AU$16,,,SumRef!$B$7))))</f>
        <v/>
      </c>
      <c r="G39" s="1158" t="str">
        <f ca="1">IF('A-80 DirEntInv'!G38&lt;&gt;"",'A-80 DirEntInv'!G38,IF(INDIRECT(ADDRESS(SumRef!AV45,SumRef!AV$16,,,SumRef!$B$7))="","",INDIRECT(ADDRESS(SumRef!AV45,SumRef!AV$16,,,SumRef!$B$7))))</f>
        <v/>
      </c>
      <c r="H39" s="1097" t="str">
        <f ca="1">IF('A-80 DirEntInv'!H38&lt;&gt;"",'A-80 DirEntInv'!H38,IF(INDIRECT(ADDRESS(SumRef!AW45,SumRef!AW$16,,,SumRef!$B$7))="","",INDIRECT(ADDRESS(SumRef!AW45,SumRef!AW$16,,,SumRef!$B$7))))</f>
        <v/>
      </c>
      <c r="I39" s="1097" t="str">
        <f ca="1">IF('A-80 DirEntInv'!I38&lt;&gt;"",'A-80 DirEntInv'!I38,IF(INDIRECT(ADDRESS(SumRef!AX45,SumRef!AX$16,,,SumRef!$B$7))="","",INDIRECT(ADDRESS(SumRef!AX45,SumRef!AX$16,,,SumRef!$B$7))))</f>
        <v/>
      </c>
      <c r="J39" s="1098" t="str">
        <f ca="1">IF('A-80 DirEntInv'!J38&lt;&gt;"",'A-80 DirEntInv'!J38,IF(INDIRECT(ADDRESS(SumRef!AY45,SumRef!AY$16,,,SumRef!$B$7))="","",INDIRECT(ADDRESS(SumRef!AY45,SumRef!AY$16,,,SumRef!$B$7))))</f>
        <v/>
      </c>
      <c r="K39" s="1099" t="str">
        <f ca="1">IF('A-80 DirEntInv'!K38&lt;&gt;"",'A-80 DirEntInv'!K38,IF(INDIRECT(ADDRESS(SumRef!AZ45,SumRef!AZ$16,,,SumRef!$B$7))="","",INDIRECT(ADDRESS(SumRef!AZ45,SumRef!AZ$16,,,SumRef!$B$7))))</f>
        <v/>
      </c>
      <c r="L39" s="1100" t="str">
        <f ca="1">IF('A-80 DirEntInv'!L38&lt;&gt;"",'A-80 DirEntInv'!L38,IF(INDIRECT(ADDRESS(SumRef!BA45,SumRef!BA$16,,,SumRef!$B$7))="","",INDIRECT(ADDRESS(SumRef!BA45,SumRef!BA$16,,,SumRef!$B$7))))</f>
        <v/>
      </c>
      <c r="M39" s="1101" t="str">
        <f ca="1">IF('A-80 DirEntInv'!M38&lt;&gt;"",'A-80 DirEntInv'!M38,IF(INDIRECT(ADDRESS(SumRef!BB45,SumRef!BB$16,,,SumRef!$B$7))="","",INDIRECT(ADDRESS(SumRef!BB45,SumRef!BB$16,,,SumRef!$B$7))))</f>
        <v/>
      </c>
      <c r="N39" s="1098" t="str">
        <f ca="1">IF('A-80 DirEntInv'!N38&lt;&gt;"",'A-80 DirEntInv'!N38,IF(INDIRECT(ADDRESS(SumRef!BC45,SumRef!BC$16,,,SumRef!$B$7))="","",INDIRECT(ADDRESS(SumRef!BC45,SumRef!BC$16,,,SumRef!$B$7))))</f>
        <v/>
      </c>
      <c r="O39" s="1102" t="str">
        <f ca="1">IF('A-80 DirEntInv'!O38&lt;&gt;"",'A-80 DirEntInv'!O38,IF(INDIRECT(ADDRESS(SumRef!BD45,SumRef!BD$16,,,SumRef!$B$7))="","",INDIRECT(ADDRESS(SumRef!BD45,SumRef!BD$16,,,SumRef!$B$7))))</f>
        <v/>
      </c>
      <c r="Q39" s="589"/>
      <c r="R39" s="1103" t="str">
        <f ca="1">IF('A-80 DirEntInv'!R38&lt;&gt;"",'A-80 DirEntInv'!R38,IF(INDIRECT(ADDRESS(SumRef!BH45,SumRef!BH$16,,,SumRef!$B$8))="","",INDIRECT(ADDRESS(SumRef!BH45,SumRef!BH$16,,,SumRef!$B$8))))</f>
        <v/>
      </c>
      <c r="S39" s="1104" t="str">
        <f ca="1">IF('A-80 DirEntInv'!S38&lt;&gt;"",'A-80 DirEntInv'!S38,IF(INDIRECT(ADDRESS(SumRef!BI45,SumRef!BI$16,,,SumRef!$B$8))="","",INDIRECT(ADDRESS(SumRef!BI45,SumRef!BI$16,,,SumRef!$B$8))))</f>
        <v/>
      </c>
      <c r="T39" s="1104" t="str">
        <f ca="1">IF('A-80 DirEntInv'!T38&lt;&gt;"",'A-80 DirEntInv'!T38,IF(INDIRECT(ADDRESS(SumRef!BJ45,SumRef!BJ$16,,,SumRef!$B$8))="","",INDIRECT(ADDRESS(SumRef!BJ45,SumRef!BJ$16,,,SumRef!$B$8))))</f>
        <v/>
      </c>
      <c r="U39" s="1104" t="str">
        <f ca="1">IF('A-80 DirEntInv'!U38&lt;&gt;"",'A-80 DirEntInv'!U38,IF(INDIRECT(ADDRESS(SumRef!BK45,SumRef!BK$16,,,SumRef!$B$8))="","",INDIRECT(ADDRESS(SumRef!BK45,SumRef!BK$16,,,SumRef!$B$8))))</f>
        <v/>
      </c>
      <c r="V39" s="1104" t="str">
        <f ca="1">IF('A-80 DirEntInv'!V38&lt;&gt;"",'A-80 DirEntInv'!V38,IF(INDIRECT(ADDRESS(SumRef!BL45,SumRef!BL$16,,,SumRef!$B$8))="","",INDIRECT(ADDRESS(SumRef!BL45,SumRef!BL$16,,,SumRef!$B$8))))</f>
        <v/>
      </c>
      <c r="W39" s="1354" t="str">
        <f ca="1">IF('A-80 DirEntInv'!W38&lt;&gt;"",'A-80 DirEntInv'!W38,IF(INDIRECT(ADDRESS(SumRef!BM45,SumRef!BM$16,,,SumRef!$B$8))="","",INDIRECT(ADDRESS(SumRef!BM45,SumRef!BM$16,,,SumRef!$B$8))))</f>
        <v/>
      </c>
      <c r="X39" s="1203" t="str">
        <f ca="1">IF('A-80 DirEntInv'!X38&lt;&gt;"",'A-80 DirEntInv'!X38,IF(INDIRECT(ADDRESS(SumRef!BN45,SumRef!BN$16,,,SumRef!$B$8))="","",INDIRECT(ADDRESS(SumRef!BN45,SumRef!BN$16,,,SumRef!$B$8))))</f>
        <v/>
      </c>
      <c r="Y39" s="1203" t="str">
        <f ca="1">IF('A-80 DirEntInv'!Y38&lt;&gt;"",'A-80 DirEntInv'!Y38,IF(INDIRECT(ADDRESS(SumRef!BO45,SumRef!BO$16,,,SumRef!$B$8))="","",INDIRECT(ADDRESS(SumRef!BO45,SumRef!BO$16,,,SumRef!$B$8))))</f>
        <v/>
      </c>
      <c r="Z39" s="1104" t="str">
        <f ca="1">IF('A-80 DirEntInv'!Z38&lt;&gt;"",'A-80 DirEntInv'!Z38,IF(INDIRECT(ADDRESS(SumRef!BP45,SumRef!BP$16,,,SumRef!$B$8))="","",INDIRECT(ADDRESS(SumRef!BP45,SumRef!BP$16,,,SumRef!$B$8))))</f>
        <v/>
      </c>
      <c r="AA39" s="1104" t="str">
        <f ca="1">IF('A-80 DirEntInv'!AA38&lt;&gt;"",'A-80 DirEntInv'!AA38,IF(INDIRECT(ADDRESS(SumRef!BQ45,SumRef!BQ$16,,,SumRef!$B$8))="","",INDIRECT(ADDRESS(SumRef!BQ45,SumRef!BQ$16,,,SumRef!$B$8))))</f>
        <v/>
      </c>
      <c r="AB39" s="1106" t="str">
        <f ca="1">IF('A-80 DirEntInv'!AB38&lt;&gt;"",'A-80 DirEntInv'!AB38,IF(INDIRECT(ADDRESS(SumRef!BR45,SumRef!BR$16,,,SumRef!$B$8))="","",INDIRECT(ADDRESS(SumRef!BR45,SumRef!BR$16,,,SumRef!$B$8))))</f>
        <v/>
      </c>
      <c r="AC39" s="1107" t="str">
        <f ca="1">IF('A-80 DirEntInv'!AC38&lt;&gt;"",'A-80 DirEntInv'!AC38,IF(INDIRECT(ADDRESS(SumRef!BS45,SumRef!BS$16,,,SumRef!$B$8))="","",INDIRECT(ADDRESS(SumRef!BS45,SumRef!BS$16,,,SumRef!$B$8))))</f>
        <v/>
      </c>
      <c r="AD39" s="1349" t="str">
        <f ca="1">IF('A-80 DirEntInv'!AD38&lt;&gt;"",'A-80 DirEntInv'!AD38,IF(INDIRECT(ADDRESS(SumRef!BT45,SumRef!BT$16,,,SumRef!$B$8))="","",INDIRECT(ADDRESS(SumRef!BT45,SumRef!BT$16,,,SumRef!$B$8))))</f>
        <v/>
      </c>
      <c r="AE39" s="1137" t="str">
        <f ca="1">IF('A-80 DirEntInv'!AE38&lt;&gt;"",'A-80 DirEntInv'!AE38,IF(INDIRECT(ADDRESS(SumRef!BU45,SumRef!BU$16,,,SumRef!$B$8))="","",INDIRECT(ADDRESS(SumRef!BU45,SumRef!BU$16,,,SumRef!$B$8))))</f>
        <v/>
      </c>
      <c r="AF39" s="1346" t="str">
        <f ca="1">IF('A-80 DirEntInv'!AF38&lt;&gt;"",'A-80 DirEntInv'!AF38,IF(INDIRECT(ADDRESS(SumRef!BV45,SumRef!BV$16,,,SumRef!$B$8))="","",INDIRECT(ADDRESS(SumRef!BV45,SumRef!BV$16,,,SumRef!$B$8))))</f>
        <v/>
      </c>
      <c r="AG39" s="1105" t="str">
        <f ca="1">IF('A-80 DirEntInv'!AG38&lt;&gt;"",'A-80 DirEntInv'!AG38,IF(INDIRECT(ADDRESS(SumRef!BW45,SumRef!BW$16,,,SumRef!$B$8))="","",INDIRECT(ADDRESS(SumRef!BW45,SumRef!BW$16,,,SumRef!$B$8))))</f>
        <v/>
      </c>
      <c r="AH39" s="1357" t="str">
        <f ca="1">IF('A-80 DirEntInv'!AH38&lt;&gt;"",'A-80 DirEntInv'!AH38,IF(INDIRECT(ADDRESS(SumRef!BX45,SumRef!BX$16,,,SumRef!$B$8))="","",INDIRECT(ADDRESS(SumRef!BX45,SumRef!BX$16,,,SumRef!$B$8))))</f>
        <v/>
      </c>
      <c r="AK39" s="1043" t="str">
        <f>Codes!$C$158</f>
        <v>AR - Alaska Railroad</v>
      </c>
      <c r="AL39" s="1303" t="str">
        <f>Valid!$B$71</f>
        <v>At-Grade/Ballast (including expressway)</v>
      </c>
      <c r="AM39" s="1092" t="str">
        <f>IF('A-80 DirEntInv'!AM38&lt;&gt;"",'A-80 DirEntInv'!AM38,IF($AK$11=summaryref2!$B$12,summaryref2!D40,IF(Summary!$AK$11=summaryref2!$B$26,summaryref2!D54,IF($AK$11=summaryref2!$B$40,summaryref2!D68,IF($AK$11=summaryref2!$B$54,summaryref2!D82,IF($AK$11=summaryref2!$B$68,summaryref2!D96,IF($AK$11=summaryref2!$B$82,summaryref2!D110,IF($AK$11=summaryref2!$B$96,summaryref2!D124,IF($AK$11=summaryref2!$B$110,summaryref2!D138,IF($AK$11=summaryref2!$B$124,summaryref2!D202,IF($AK$11=summaryref2!$B$138,summaryref2!D237,"")))))))))))</f>
        <v/>
      </c>
      <c r="AN39" s="1127" t="str">
        <f ca="1">IF('A-80 DirEntInv'!AN38&lt;&gt;"",'A-80 DirEntInv'!AN38,IF(INDIRECT(ADDRESS(SumRef!CG77,SumRef!CG$16,,,SumRef!$C$7))="","",INDIRECT(ADDRESS(SumRef!CG77,SumRef!CG$16,,,SumRef!$C$7))))</f>
        <v>Linear Feet</v>
      </c>
      <c r="AO39" s="1092" t="str">
        <f>IF('A-80 DirEntInv'!AO38&lt;&gt;"",'A-80 DirEntInv'!AO38,IF(AK39=summaryref2!B12,summaryref2!F12,IF(Summary!AK39=summaryref2!B26,summaryref2!F26,IF(AK39=summaryref2!B40,summaryref2!F40,IF(AK39=summaryref2!B54,summaryref2!F54,IF(AK39=summaryref2!B68,summaryref2!F68,IF(AK39=summaryref2!B82,summaryref2!F82,IF(AK39=summaryref2!B96,summaryref2!F96,IF(AK39=summaryref2!B110,summaryref2!F110,IF(AK39=summaryref2!B124,summaryref2!F124,IF(AK39=summaryref2!B138,summaryref2!F138,"")))))))))))</f>
        <v/>
      </c>
      <c r="AP39" s="1127" t="str">
        <f ca="1">IF('A-80 DirEntInv'!AP38&lt;&gt;"",'A-80 DirEntInv'!AP38,IF(INDIRECT(ADDRESS(SumRef!#REF!,SumRef!#REF!,,,SumRef!$C$7))="","",INDIRECT(ADDRESS(SumRef!#REF!,SumRef!#REF!,,,SumRef!$C$7))))</f>
        <v>Track Feet</v>
      </c>
      <c r="AQ39" s="1146" t="str">
        <f>IF('A-80 DirEntInv'!AQ38&lt;&gt;"",'A-80 DirEntInv'!AQ38,IF(AK39=summaryref2!$B$12,summaryref2!$G$12,IF(Summary!AK39=summaryref2!$B$26,summaryref2!$G$26,IF(AK39=summaryref2!$B$40,summaryref2!$G$40,IF(AK39=summaryref2!$B$54,summaryref2!$G$54,IF(AK39=summaryref2!$B$68,summaryref2!$G$68,IF(AK39=summaryref2!$B$82,summaryref2!$G$82,IF(AK39=summaryref2!$B$96,summaryref2!$G$96,IF(AK39=summaryref2!$B$110,summaryref2!$G$110,IF(AK39=summaryref2!$B$124,summaryref2!$G$124,IF(AK39=summaryref2!$B$138,summaryref2!$G$138,"")))))))))))</f>
        <v/>
      </c>
      <c r="AR39" s="1146" t="str">
        <f>IF('A-80 DirEntInv'!AR38&lt;&gt;"",'A-80 DirEntInv'!AR38,IF(AK39=summaryref2!B12,summaryref2!H12,IF(Summary!AK39=summaryref2!B26,summaryref2!H26,IF(AK39=summaryref2!B40,summaryref2!H40,IF(AK39=summaryref2!B54,summaryref2!H54,IF(AK39=summaryref2!B68,summaryref2!H68,IF(AK39=summaryref2!B82,summaryref2!H82,IF(AK39=summaryref2!B96,summaryref2!H96,IF(AK39=summaryref2!B110,summaryref2!H110,IF(AK39=summaryref2!B124,summaryref2!H124,IF(AK39=summaryref2!B138,summaryref2!H138,"")))))))))))</f>
        <v/>
      </c>
      <c r="AS39" s="1092" t="str">
        <f>IF('A-80 DirEntInv'!AS38&lt;&gt;"",'A-80 DirEntInv'!AS38,IF(AK39=summaryref2!$B$12,summaryref2!$I$12,IF(Summary!AK39=summaryref2!$B$26,summaryref2!$I$26,IF(AK39=summaryref2!$B$40,summaryref2!$I$40,IF(AK39=summaryref2!$B$54,summaryref2!$I$54,IF(AK39=summaryref2!$B$68,summaryref2!$I$68,IF(AK39=summaryref2!$B$82,summaryref2!$I$82,IF(AK39=summaryref2!$B$96,summaryref2!$I$96,IF(AK39=summaryref2!$B$110,summaryref2!$I$110,IF(AK39=summaryref2!$B$124,summaryref2!$I$124,IF(AK39=summaryref2!$B$138,summaryref2!$I$138,"")))))))))))</f>
        <v/>
      </c>
      <c r="AT39" s="1092" t="str">
        <f>IF('A-80 DirEntInv'!AT38&lt;&gt;"",'A-80 DirEntInv'!AT38,IF(AK39=summaryref2!$B$12,summaryref2!$J$12,IF(Summary!AK39=summaryref2!$B$26,summaryref2!$J$26,IF(AK39=summaryref2!$B$40,summaryref2!$J$40,IF(AK39=summaryref2!$B$54,summaryref2!$J$54,IF(AK39=summaryref2!$B$68,summaryref2!$J$68,IF(AK39=summaryref2!$B$82,summaryref2!$J$82,IF(AK39=summaryref2!$B$96,summaryref2!$J$96,IF(AK39=summaryref2!$B$110,summaryref2!$J$110,IF(AK39=summaryref2!$B$124,summaryref2!$J$124,IF(AK39=summaryref2!$B$138,summaryref2!$J$138,"")))))))))))</f>
        <v/>
      </c>
      <c r="AU39" s="1092" t="str">
        <f>IF('A-80 DirEntInv'!AU38&lt;&gt;"",'A-80 DirEntInv'!AU38,IF(AK39=summaryref2!$B$12,summaryref2!$K$12,IF(Summary!AK39=summaryref2!$B$26,summaryref2!$K$26,IF(AK39=summaryref2!$B$40,summaryref2!$K$40,IF(AK39=summaryref2!$B$54,summaryref2!$K$54,IF(AK39=summaryref2!$B$68,summaryref2!$K$68,IF(AK39=summaryref2!$B$82,summaryref2!$K$82,IF(AK39=summaryref2!$B$96,summaryref2!$K$96,IF(AK39=summaryref2!$B$110,summaryref2!$K$110,IF(AK39=summaryref2!$B$124,summaryref2!$K$124,IF(AK39=summaryref2!$B$138,summaryref2!$K$138,"")))))))))))</f>
        <v/>
      </c>
      <c r="AV39" s="1092" t="str">
        <f>IF('A-80 DirEntInv'!AV38&lt;&gt;"",'A-80 DirEntInv'!AV38,IF(AK39=summaryref2!$B$12,summaryref2!$L$12,IF(Summary!AK39=summaryref2!$B$26,summaryref2!$L$26,IF(AK39=summaryref2!$B$40,summaryref2!$L$40,IF(AK39=summaryref2!$B$54,summaryref2!$L$54,IF(AK39=summaryref2!$B$68,summaryref2!$L$68,IF(AK39=summaryref2!$B$82,summaryref2!$L$82,IF(AK39=summaryref2!$B$96,summaryref2!$L$96,IF(AK39=summaryref2!$B$110,summaryref2!$L$110,IF(AK39=summaryref2!$B$124,summaryref2!$L$124,IF(AK39=summaryref2!$B$138,summaryref2!$L$138,"")))))))))))</f>
        <v/>
      </c>
      <c r="AW39" s="1092" t="str">
        <f>IF('A-80 DirEntInv'!AW38&lt;&gt;"",'A-80 DirEntInv'!AW38,IF($AK39=summaryref2!$B$12,summaryref2!M$12,IF(Summary!$AK39=summaryref2!$B$26,summaryref2!M$26,IF($AK39=summaryref2!$B$40,summaryref2!M$40,IF($AK39=summaryref2!$B$54,summaryref2!M$54,IF($AK39=summaryref2!$B$68,summaryref2!M$68,IF($AK39=summaryref2!$B$82,summaryref2!M$82,IF($AK39=summaryref2!$B$96,summaryref2!M$96,IF($AK39=summaryref2!$B$110,summaryref2!M$110,IF($AK39=summaryref2!$B$124,summaryref2!M$124,IF($AK39=summaryref2!$B$138,summaryref2!M$138,"")))))))))))</f>
        <v/>
      </c>
      <c r="AX39" s="1092" t="str">
        <f>IF('A-80 DirEntInv'!AX38&lt;&gt;"",'A-80 DirEntInv'!AX38,IF(AK39=summaryref2!B12,summaryref2!N12,IF(Summary!AK39=summaryref2!B26,summaryref2!N26,IF(AK39=summaryref2!B40,summaryref2!N40,IF(AK39=summaryref2!B54,summaryref2!N54,IF(AK39=summaryref2!B68,summaryref2!N68,IF(AK39=summaryref2!B82,summaryref2!N82,IF(AK39=summaryref2!B96,summaryref2!N96,IF(AK39=summaryref2!B110,summaryref2!N110,IF(AK39=summaryref2!B124,summaryref2!N124,IF(AK39=summaryref2!B138,summaryref2!N138,"")))))))))))</f>
        <v/>
      </c>
      <c r="AY39" s="1092" t="str">
        <f>IF('A-80 DirEntInv'!AY38&lt;&gt;"",'A-80 DirEntInv'!AY38,IF(AK39=summaryref2!B12,summaryref2!O12,IF(Summary!AK39=summaryref2!B26,summaryref2!O26,IF(AK39=summaryref2!B40,summaryref2!O40,IF(AK39=summaryref2!B54,summaryref2!O54,IF(AK39=summaryref2!B68,summaryref2!O68,IF(AK39=summaryref2!B82,summaryref2!O82,IF(AK39=summaryref2!B96,summaryref2!O96,IF(AK39=summaryref2!B110,summaryref2!O110,IF(AK39=summaryref2!B124,summaryref2!O124,IF(AK39=summaryref2!B138,summaryref2!O138,"")))))))))))</f>
        <v/>
      </c>
      <c r="AZ39" s="1092" t="str">
        <f>IF('A-80 DirEntInv'!AZ38&lt;&gt;"",'A-80 DirEntInv'!AZ38,IF(AK39=summaryref2!B12,summaryref2!P12,IF(Summary!AK39=summaryref2!B26,summaryref2!P26,IF(AK39=summaryref2!B40,summaryref2!P40,IF(AK39=summaryref2!B54,summaryref2!P54,IF(AK39=summaryref2!B68,summaryref2!P68,IF(AK39=summaryref2!B82,summaryref2!P82,IF(AK39=summaryref2!B96,summaryref2!P96,IF(AK39=summaryref2!B110,summaryref2!P110,IF(AK39=summaryref2!B124,summaryref2!P124,IF(AK39=summaryref2!B138,summaryref2!P138,"")))))))))))</f>
        <v/>
      </c>
      <c r="BA39" s="1092" t="str">
        <f>IF('A-80 DirEntInv'!BA38&lt;&gt;"",'A-80 DirEntInv'!BA38,IF(AK39=summaryref2!B12,summaryref2!Q12,IF(Summary!AK39=summaryref2!B26,summaryref2!Q26,IF(AK39=summaryref2!B40,summaryref2!Q40,IF(AK39=summaryref2!B54,summaryref2!Q54,IF(AK39=summaryref2!B68,summaryref2!Q68,IF(AK39=summaryref2!B82,summaryref2!Q82,IF(AK39=summaryref2!B96,summaryref2!Q96,IF(AK39=summaryref2!B110,summaryref2!Q110,IF(AK39=summaryref2!B124,summaryref2!Q124,IF(AK39=summaryref2!B138,summaryref2!Q138,"")))))))))))</f>
        <v/>
      </c>
      <c r="BB39" s="1092" t="str">
        <f>IF('A-80 DirEntInv'!BB38&lt;&gt;"",'A-80 DirEntInv'!BB38,IF(AK39=summaryref2!B12,summaryref2!R12,IF(Summary!AK39=summaryref2!B26,summaryref2!R26,IF(AK39=summaryref2!B40,summaryref2!R40,IF(AK39=summaryref2!B54,summaryref2!R54,IF(AK39=summaryref2!B68,summaryref2!R68,IF(AK39=summaryref2!B82,summaryref2!R82,IF(AK39=summaryref2!B96,summaryref2!R96,IF(AK39=summaryref2!B110,summaryref2!R110,IF(AK39=summaryref2!B124,summaryref2!R124,IF(AK39=summaryref2!B138,summaryref2!R138,"")))))))))))</f>
        <v/>
      </c>
      <c r="BC39" s="1092" t="str">
        <f>IF('A-80 DirEntInv'!BC38&lt;&gt;0,'A-80 DirEntInv'!BC38,IF(AK39=summaryref2!B40,summaryref2!S40,IF(Summary!AK39=summaryref2!B54,summaryref2!S54,IF(AK39=summaryref2!B68,summaryref2!S68,IF(AK39=summaryref2!B82,summaryref2!S82,IF(AK39=summaryref2!B96,summaryref2!S96,IF(AK39=summaryref2!B110,summaryref2!S110,IF(AK39=summaryref2!B124,summaryref2!S124,IF(AK39=summaryref2!B138,summaryref2!S138,IF(AK39=summaryref2!B202,summaryref2!S202,IF(AK39=summaryref2!B237,summaryref2!S237,"")))))))))))</f>
        <v/>
      </c>
      <c r="BD39" s="1093" t="str">
        <f>IF('A-80 DirEntInv'!BD38&lt;&gt;"",'A-80 DirEntInv'!BD38,IF(AK39=summaryref2!$B$12,summaryref2!$T$12,IF(Summary!AK39=summaryref2!$B$26,summaryref2!$T$26,IF(AK39=summaryref2!$B$40,summaryref2!$T$40,IF(AK39=summaryref2!$B$54,summaryref2!$T$54,IF(AK39=summaryref2!$B$68,summaryref2!$T$68,IF(AK39=summaryref2!$B$82,summaryref2!$T$82,IF(AK39=summaryref2!$B$96,summaryref2!$T$96,IF(AK39=summaryref2!$B$110,summaryref2!$T$110,IF(AK39=summaryref2!$B$124,summaryref2!$T$124,IF(AK39=summaryref2!$B$138,summaryref2!$T$138,"")))))))))))</f>
        <v/>
      </c>
      <c r="BE39" s="1189" t="str">
        <f>IF('A-80 DirEntInv'!BE38&lt;&gt;"",'A-80 DirEntInv'!BE38,IF(AK39=summaryref2!$B$12,summaryref2!$U$12,IF(Summary!AK39=summaryref2!$B$26,summaryref2!$U$26,IF(AK39=summaryref2!$B$40,summaryref2!$U$40,IF(AK39=summaryref2!$B$54,summaryref2!$U$54,IF(AK39=summaryref2!$B$68,summaryref2!$U$68,IF(AK39=summaryref2!$B$82,summaryref2!$U$82,IF(AK39=summaryref2!$B$96,summaryref2!$U$96,IF(AK39=summaryref2!$B$110,summaryref2!$U$110,IF(AK39=summaryref2!$B$124,summaryref2!$U$124,IF(AK39=summaryref2!$B$138,summaryref2!$U$138,"")))))))))))</f>
        <v/>
      </c>
      <c r="BF39" s="1431"/>
      <c r="BG39" s="1431"/>
      <c r="BJ39" s="1043" t="str">
        <f>Codes!$C$160</f>
        <v>CC - Cable Car (PT)</v>
      </c>
      <c r="BK39" s="1303" t="str">
        <f>Valid!$B$80</f>
        <v>Tangent</v>
      </c>
      <c r="BL39" s="1366" t="str">
        <f>IF('A-80 DirEntInv'!BL38&lt;&gt;"",'A-80 DirEntInv'!BL38,IF(BJ39=summaryref2!X12,summaryref2!Z12,IF(BJ39=summaryref2!X19,summaryref2!Z19,IF(BJ39=summaryref2!X26,summaryref2!Z26,IF(BJ39=summaryref2!X33,summaryref2!Z33,IF(BJ39=summaryref2!X40,summaryref2!Z40,IF(BJ39=summaryref2!X47,summaryref2!Z47,IF(BJ39=summaryref2!X54,summaryref2!Z54,IF(BJ39=summaryref2!X61,summaryref2!Z61,IF(BJ39=summaryref2!X68,summaryref2!Z68,IF(BJ39=summaryref2!X75,summaryref2!Z75,"")))))))))))</f>
        <v/>
      </c>
      <c r="BM39" s="1303" t="str">
        <f>VLOOKUP(BK39,Valid!$B$80:$C$86,2,FALSE)</f>
        <v>Track Feet</v>
      </c>
      <c r="BN39" s="1208" t="str">
        <f>IF('A-80 DirEntInv'!BN38&lt;&gt;"",'A-80 DirEntInv'!BN38,IF(BJ39=summaryref2!X12,summaryref2!AB12,IF(BJ39=summaryref2!X19,summaryref2!AB19,IF(BJ39=summaryref2!X26,summaryref2!AB26,IF(BJ39=summaryref2!X33,summaryref2!AB33,IF(BJ39=summaryref2!X40,summaryref2!AB40,IF(BJ39=summaryref2!X47,summaryref2!AB47,IF(BJ39=summaryref2!X54,summaryref2!AB54,IF(BJ39=summaryref2!X61,summaryref2!AB61,IF(BJ39=summaryref2!X68,summaryref2!AB68,IF(BJ39=summaryref2!X75,summaryref2!AB75,"")))))))))))</f>
        <v/>
      </c>
      <c r="BO39" s="1112" t="str">
        <f>IF('A-80 DirEntInv'!BO38&lt;&gt;"",'A-80 DirEntInv'!BO38,IF(BJ39=summaryref2!X12,summaryref2!AC12,IF(BJ39=summaryref2!X19,summaryref2!AC19,IF(BJ39=summaryref2!X26,summaryref2!AC26,IF(BJ39=summaryref2!X33,summaryref2!AC33,IF(BJ39=summaryref2!X40,summaryref2!AC40,IF(BJ39=summaryref2!X47,summaryref2!AC47,IF(BJ39=summaryref2!X54,summaryref2!AC54,IF(BJ39=summaryref2!X61,summaryref2!AC61,IF(BJ39=summaryref2!X68,summaryref2!AC68,IF(BJ39=summaryref2!X75,summaryref2!AC75,"")))))))))))</f>
        <v/>
      </c>
      <c r="BP39" s="1320" t="str">
        <f>IF('A-80 DirEntInv'!BP38&lt;&gt;"",'A-80 DirEntInv'!BP38,IF(BJ39=summaryref2!X12,summaryref2!AD12,IF(BJ39=summaryref2!X19,summaryref2!AD19,IF(BJ39=summaryref2!X26,summaryref2!AD26,IF(BJ39=summaryref2!X33,summaryref2!AD33,IF(BJ39=summaryref2!X40,summaryref2!AD40,IF(BJ39=summaryref2!X47,summaryref2!AD47,IF(BJ39=summaryref2!X54,summaryref2!AD54,IF(BJ39=summaryref2!X61,summaryref2!AD61,IF(BJ39=summaryref2!X68,summaryref2!AD68,IF(BJ39=summaryref2!X75,summaryref2!AD75,"")))))))))))</f>
        <v/>
      </c>
      <c r="BS39" s="1472" t="str">
        <f ca="1">IF('A-80 DirEntInv'!BU38&lt;&gt;"",'A-80 DirEntInv'!BU38,IF(INDIRECT(ADDRESS(SumRef!DK45,SumRef!DK$16,,,SumRef!$E$6))="","",INDIRECT(ADDRESS(SumRef!DK45,SumRef!DK$16,,,SumRef!$E$6))))</f>
        <v/>
      </c>
      <c r="BT39" s="1458" t="str">
        <f ca="1">IF('A-80 DirEntInv'!BV38&lt;&gt;"",'A-80 DirEntInv'!BV38,IF(INDIRECT(ADDRESS(SumRef!DL45,SumRef!DL$16,,,SumRef!$E$6))="","",INDIRECT(ADDRESS(SumRef!DL45,SumRef!DL$16,,,SumRef!$E$6))))</f>
        <v/>
      </c>
      <c r="BU39" s="1177" t="str">
        <f ca="1">IF('A-80 DirEntInv'!BW38&lt;&gt;"",'A-80 DirEntInv'!BW38,IF(INDIRECT(ADDRESS(SumRef!DM45,SumRef!DM$16,,,SumRef!$E$6))="","",INDIRECT(ADDRESS(SumRef!DM45,SumRef!DM$16,,,SumRef!$E$6))))</f>
        <v/>
      </c>
      <c r="BV39" s="1460" t="str">
        <f ca="1">IF('A-80 DirEntInv'!BX38&lt;&gt;"",'A-80 DirEntInv'!BX38,IF(INDIRECT(ADDRESS(SumRef!DN45,SumRef!DN$16,,,SumRef!$E$6))="","",INDIRECT(ADDRESS(SumRef!DN45,SumRef!DN$16,,,SumRef!$E$6))))</f>
        <v/>
      </c>
      <c r="BW39" s="1460" t="str">
        <f ca="1">IF('A-80 DirEntInv'!BY38&lt;&gt;"",'A-80 DirEntInv'!BY38,IF(INDIRECT(ADDRESS(SumRef!DO45,SumRef!DO$16,,,SumRef!$E$6))="","",INDIRECT(ADDRESS(SumRef!DO45,SumRef!DO$16,,,SumRef!$E$6))))</f>
        <v/>
      </c>
      <c r="BX39" s="1116" t="str">
        <f ca="1">IF('A-80 DirEntInv'!BZ38&lt;&gt;"",'A-80 DirEntInv'!BZ38,IF(INDIRECT(ADDRESS(SumRef!DP45,SumRef!DP$16,,,SumRef!$E$6))="","",INDIRECT(ADDRESS(SumRef!DP45,SumRef!DP$16,,,SumRef!$E$6))))</f>
        <v/>
      </c>
      <c r="BY39" s="1461" t="str">
        <f ca="1">IF('A-80 DirEntInv'!CA38&lt;&gt;"",'A-80 DirEntInv'!CA38,IF(INDIRECT(ADDRESS(SumRef!DQ45,SumRef!DQ$16,,,SumRef!$E$6))="","",INDIRECT(ADDRESS(SumRef!DQ45,SumRef!DQ$16,,,SumRef!$E$6))))</f>
        <v/>
      </c>
      <c r="BZ39" s="1460" t="str">
        <f ca="1">IF('A-80 DirEntInv'!CB38&lt;&gt;"",'A-80 DirEntInv'!CB38,IF(INDIRECT(ADDRESS(SumRef!DR45,SumRef!DR$16,,,SumRef!$E$6))="","",INDIRECT(ADDRESS(SumRef!DR45,SumRef!DR$16,,,SumRef!$E$6))))</f>
        <v/>
      </c>
      <c r="CA39" s="1462" t="str">
        <f ca="1">IF('A-80 DirEntInv'!CC38&lt;&gt;"",'A-80 DirEntInv'!CC38,IF(INDIRECT(ADDRESS(SumRef!DS45,SumRef!DS$16,,,SumRef!$E$6))="","",INDIRECT(ADDRESS(SumRef!DS45,SumRef!DS$16,,,SumRef!$E$6))))</f>
        <v/>
      </c>
      <c r="CD39" s="1160" t="str">
        <f ca="1">IF('A-80 DirEntInv'!CF38&lt;&gt;"",'A-80 DirEntInv'!CF38,IF(INDIRECT(ADDRESS(SumRef!DV45,SumRef!DV$16,,,SumRef!$E$7))="","",INDIRECT(ADDRESS(SumRef!DV45,SumRef!DV$16,,,SumRef!$E$7))))</f>
        <v/>
      </c>
      <c r="CE39" s="1167" t="str">
        <f ca="1">IF('A-80 DirEntInv'!CG38&lt;&gt;"",'A-80 DirEntInv'!CG38,IF(INDIRECT(ADDRESS(SumRef!DW45,SumRef!DW$16,,,SumRef!$E$7))="","",INDIRECT(ADDRESS(SumRef!DW45,SumRef!DW$16,,,SumRef!$E$7))))</f>
        <v/>
      </c>
      <c r="CF39" s="1167" t="str">
        <f ca="1">IF('A-80 DirEntInv'!CH38&lt;&gt;"",'A-80 DirEntInv'!CH38,IF(INDIRECT(ADDRESS(SumRef!DX45,SumRef!DX$16,,,SumRef!$E$7))="","",INDIRECT(ADDRESS(SumRef!DX45,SumRef!DX$16,,,SumRef!$E$7))))</f>
        <v/>
      </c>
      <c r="CG39" s="1167" t="str">
        <f ca="1">IF('A-80 DirEntInv'!CI38&lt;&gt;"",'A-80 DirEntInv'!CI38,IF(INDIRECT(ADDRESS(SumRef!DY45,SumRef!DY$16,,,SumRef!$E$7))="","",INDIRECT(ADDRESS(SumRef!DY45,SumRef!DY$16,,,SumRef!$E$7))))</f>
        <v/>
      </c>
      <c r="CH39" s="1167" t="str">
        <f ca="1">IF('A-80 DirEntInv'!CJ38&lt;&gt;"",'A-80 DirEntInv'!CJ38,IF(INDIRECT(ADDRESS(SumRef!DZ45,SumRef!DZ$16,,,SumRef!$E$7))="","",INDIRECT(ADDRESS(SumRef!DZ45,SumRef!DZ$16,,,SumRef!$E$7))))</f>
        <v/>
      </c>
      <c r="CI39" s="1167" t="str">
        <f ca="1">IF('A-80 DirEntInv'!CK38&lt;&gt;"",'A-80 DirEntInv'!CK38,IF(INDIRECT(ADDRESS(SumRef!EA45,SumRef!EA$16,,,SumRef!$E$7))="","",INDIRECT(ADDRESS(SumRef!EA45,SumRef!EA$16,,,SumRef!$E$7))))</f>
        <v/>
      </c>
      <c r="CJ39" s="1114" t="str">
        <f ca="1">IF('A-80 DirEntInv'!CL38&lt;&gt;"",'A-80 DirEntInv'!CL38,IF(INDIRECT(ADDRESS(SumRef!EB45,SumRef!EB$16,,,SumRef!$E$7))="","",INDIRECT(ADDRESS(SumRef!EB45,SumRef!EB$16,,,SumRef!$E$7))))</f>
        <v/>
      </c>
      <c r="CK39" s="1114" t="str">
        <f ca="1">IF('A-80 DirEntInv'!CM38&lt;&gt;"",'A-80 DirEntInv'!CM38,IF(INDIRECT(ADDRESS(SumRef!EC45,SumRef!EC$16,,,SumRef!$E$7))="","",INDIRECT(ADDRESS(SumRef!EC45,SumRef!EC$16,,,SumRef!$E$7))))</f>
        <v/>
      </c>
      <c r="CL39" s="1113" t="str">
        <f ca="1">IF('A-80 DirEntInv'!CO38&lt;&gt;"",'A-80 DirEntInv'!CO38,IF(INDIRECT(ADDRESS(SumRef!ED45,SumRef!ED$16,,,SumRef!$E$7))="","",INDIRECT(ADDRESS(SumRef!ED45,SumRef!ED$16,,,SumRef!$E$7))))</f>
        <v/>
      </c>
      <c r="CM39" s="1114" t="str">
        <f ca="1">IF('A-80 DirEntInv'!CP38&lt;&gt;"",'A-80 DirEntInv'!CP38,IF(INDIRECT(ADDRESS(SumRef!EE45,SumRef!EE$16,,,SumRef!$E$7))="","",INDIRECT(ADDRESS(SumRef!EE45,SumRef!EE$16,,,SumRef!$E$7))))</f>
        <v/>
      </c>
      <c r="CN39" s="1114" t="str">
        <f ca="1">IF('A-80 DirEntInv'!CQ38&lt;&gt;"",'A-80 DirEntInv'!CQ38,IF(INDIRECT(ADDRESS(SumRef!EF45,SumRef!EF$16,,,SumRef!$E$7))="","",INDIRECT(ADDRESS(SumRef!EF45,SumRef!EF$16,,,SumRef!$E$7))))</f>
        <v/>
      </c>
      <c r="CO39" s="1113" t="str">
        <f ca="1">IF('A-80 DirEntInv'!CR38&lt;&gt;"",'A-80 DirEntInv'!CR38,IF(INDIRECT(ADDRESS(SumRef!EG45,SumRef!EG$16,,,SumRef!$E$7))="","",INDIRECT(ADDRESS(SumRef!EG45,SumRef!EG$16,,,SumRef!$E$7))))</f>
        <v/>
      </c>
      <c r="CP39" s="1114" t="str">
        <f ca="1">IF('A-80 DirEntInv'!CS38&lt;&gt;"",'A-80 DirEntInv'!CS38,IF(INDIRECT(ADDRESS(SumRef!EH45,SumRef!EH$16,,,SumRef!$E$7))="","",INDIRECT(ADDRESS(SumRef!EH45,SumRef!EH$16,,,SumRef!$E$7))))</f>
        <v/>
      </c>
      <c r="CQ39" s="1346" t="str">
        <f ca="1">IF('A-80 DirEntInv'!CT38&lt;&gt;"",'A-80 DirEntInv'!CT38,IF(INDIRECT(ADDRESS(SumRef!EI45,SumRef!EI$16,,,SumRef!$E$7))="","",INDIRECT(ADDRESS(SumRef!EI45,SumRef!EI$16,,,SumRef!$E$7))))</f>
        <v/>
      </c>
      <c r="CR39" s="1113" t="str">
        <f ca="1">IF('A-80 DirEntInv'!CU38&lt;&gt;"",'A-80 DirEntInv'!CU38,IF(INDIRECT(ADDRESS(SumRef!EJ45,SumRef!EJ$16,,,SumRef!$E$7))="","",INDIRECT(ADDRESS(SumRef!EJ45,SumRef!EJ$16,,,SumRef!$E$7))))</f>
        <v/>
      </c>
      <c r="CS39" s="1346" t="str">
        <f ca="1">IF('A-80 DirEntInv'!CV38&lt;&gt;"",'A-80 DirEntInv'!CV38,IF(INDIRECT(ADDRESS(SumRef!EM45,SumRef!EM$16,,,SumRef!$E$7))="","",INDIRECT(ADDRESS(SumRef!EM45,SumRef!EM$16,,,SumRef!$E$7))))</f>
        <v/>
      </c>
      <c r="CT39" s="1113" t="str">
        <f ca="1">IF('A-80 DirEntInv'!CW38&lt;&gt;"",'A-80 DirEntInv'!CW38,IF(INDIRECT(ADDRESS(SumRef!EN45,SumRef!EN$16,,,SumRef!$E$7))="","",INDIRECT(ADDRESS(SumRef!EN45,SumRef!EN$16,,,SumRef!$E$7))))</f>
        <v/>
      </c>
      <c r="CU39" s="1113" t="str">
        <f ca="1">IF('A-80 DirEntInv'!CX38&lt;&gt;"",'A-80 DirEntInv'!CX38,IF(INDIRECT(ADDRESS(SumRef!EO45,SumRef!EO$16,,,SumRef!$E$7))="","",INDIRECT(ADDRESS(SumRef!EO45,SumRef!EO$16,,,SumRef!$E$7))))</f>
        <v/>
      </c>
      <c r="CV39" s="1113" t="str">
        <f ca="1">IF('A-80 DirEntInv'!CY38&lt;&gt;"",'A-80 DirEntInv'!CY38,IF(INDIRECT(ADDRESS(SumRef!EP45,SumRef!EP$16,,,SumRef!$E$7))="","",INDIRECT(ADDRESS(SumRef!EP45,SumRef!EP$16,,,SumRef!$E$7))))</f>
        <v/>
      </c>
      <c r="CW39" s="1114" t="str">
        <f ca="1">IF('A-80 DirEntInv'!CZ38&lt;&gt;"",'A-80 DirEntInv'!CZ38,IF(INDIRECT(ADDRESS(SumRef!ES45,SumRef!ES$16,,,SumRef!$E$7))="","",INDIRECT(ADDRESS(SumRef!ES45,SumRef!ES$16,,,SumRef!$E$7))))</f>
        <v/>
      </c>
      <c r="CX39" s="1167" t="str">
        <f ca="1">IF('A-80 DirEntInv'!DA38&lt;&gt;"",'A-80 DirEntInv'!DA38,IF(INDIRECT(ADDRESS(SumRef!ET45,SumRef!ET$16,,,SumRef!$E$7))="","",INDIRECT(ADDRESS(SumRef!ET45,SumRef!ET$16,,,SumRef!$E$7))))</f>
        <v/>
      </c>
      <c r="CY39" s="1167" t="str">
        <f ca="1">IF('A-80 DirEntInv'!DB38&lt;&gt;"",'A-80 DirEntInv'!DB38,IF(INDIRECT(ADDRESS(SumRef!EU45,SumRef!EU$16,,,SumRef!$E$7))="","",INDIRECT(ADDRESS(SumRef!EU45,SumRef!EU$16,,,SumRef!$E$7))))</f>
        <v/>
      </c>
      <c r="CZ39" s="1167" t="b">
        <f ca="1">IF('A-80 DirEntInv'!DC38&lt;&gt;"",'A-80 DirEntInv'!DC38,IF(INDIRECT(ADDRESS(SumRef!EV45,SumRef!EV$16,,,SumRef!$E$7))="","",INDIRECT(ADDRESS(SumRef!EV45,SumRef!EV$16,,,SumRef!$E$7))))</f>
        <v>0</v>
      </c>
      <c r="DA39" s="1373" t="str">
        <f ca="1">IF('A-80 DirEntInv'!DD38&lt;&gt;"",'A-80 DirEntInv'!DD38,IF(INDIRECT(ADDRESS(SumRef!EW45,SumRef!EW$16,,,SumRef!$E$7))="","",INDIRECT(ADDRESS(SumRef!EW45,SumRef!EW$16,,,SumRef!$E$7))))</f>
        <v/>
      </c>
      <c r="DB39" s="1373" t="b">
        <f ca="1">IF('A-80 DirEntInv'!DE38&lt;&gt;"",'A-80 DirEntInv'!DE38,IF(INDIRECT(ADDRESS(SumRef!EX45,SumRef!EX$16,,,SumRef!$E$7))="","",INDIRECT(ADDRESS(SumRef!EX45,SumRef!EX$16,,,SumRef!$E$7))))</f>
        <v>0</v>
      </c>
      <c r="DC39" s="1114" t="b">
        <f ca="1">IF('A-80 DirEntInv'!DF38&lt;&gt;"",'A-80 DirEntInv'!DF38,IF(INDIRECT(ADDRESS(SumRef!EY45,SumRef!EY$16,,,SumRef!$E$7))="","",INDIRECT(ADDRESS(SumRef!EY45,SumRef!EY$16,,,SumRef!$E$7))))</f>
        <v>0</v>
      </c>
      <c r="DD39" s="1115" t="str">
        <f ca="1">IF('A-80 DirEntInv'!DG38&lt;&gt;"",'A-80 DirEntInv'!DG38,IF(INDIRECT(ADDRESS(SumRef!EZ45,SumRef!EZ$16,,,SumRef!$E$7))="","",INDIRECT(ADDRESS(SumRef!EZ45,SumRef!EZ$16,,,SumRef!$E$7))))</f>
        <v/>
      </c>
    </row>
    <row r="40" spans="1:108" s="588" customFormat="1" ht="13.5" thickBot="1" x14ac:dyDescent="0.25">
      <c r="A40" s="589">
        <f t="shared" si="0"/>
        <v>30</v>
      </c>
      <c r="B40" s="1155" t="str">
        <f ca="1">IF('A-80 DirEntInv'!B39&lt;&gt;"",'A-80 DirEntInv'!B39,IF(INDIRECT(ADDRESS(SumRef!AQ46,SumRef!AQ$16,,,SumRef!$B$7))="","",INDIRECT(ADDRESS(SumRef!AQ46,SumRef!AQ$16,,,SumRef!$B$7))))</f>
        <v/>
      </c>
      <c r="C40" s="1097" t="str">
        <f ca="1">IF('A-80 DirEntInv'!C39&lt;&gt;"",'A-80 DirEntInv'!C39,IF(INDIRECT(ADDRESS(SumRef!AR46,SumRef!AR$16,,,SumRef!$B$7))="","",INDIRECT(ADDRESS(SumRef!AR46,SumRef!AR$16,,,SumRef!$B$7))))</f>
        <v/>
      </c>
      <c r="D40" s="1097" t="str">
        <f ca="1">IF('A-80 DirEntInv'!D39&lt;&gt;"",'A-80 DirEntInv'!D39,IF(INDIRECT(ADDRESS(SumRef!AS46,SumRef!AS$16,,,SumRef!$B$7))="","",INDIRECT(ADDRESS(SumRef!AS46,SumRef!AS$16,,,SumRef!$B$7))))</f>
        <v/>
      </c>
      <c r="E40" s="1097" t="str">
        <f ca="1">IF('A-80 DirEntInv'!E39&lt;&gt;"",'A-80 DirEntInv'!E39,IF(INDIRECT(ADDRESS(SumRef!AT46,SumRef!AT$16,,,SumRef!$B$7))="","",INDIRECT(ADDRESS(SumRef!AT46,SumRef!AT$16,,,SumRef!$B$7))))</f>
        <v/>
      </c>
      <c r="F40" s="1097" t="str">
        <f ca="1">IF('A-80 DirEntInv'!F39&lt;&gt;"",'A-80 DirEntInv'!F39,IF(INDIRECT(ADDRESS(SumRef!AU46,SumRef!AU$16,,,SumRef!$B$7))="","",INDIRECT(ADDRESS(SumRef!AU46,SumRef!AU$16,,,SumRef!$B$7))))</f>
        <v/>
      </c>
      <c r="G40" s="1158" t="str">
        <f ca="1">IF('A-80 DirEntInv'!G39&lt;&gt;"",'A-80 DirEntInv'!G39,IF(INDIRECT(ADDRESS(SumRef!AV46,SumRef!AV$16,,,SumRef!$B$7))="","",INDIRECT(ADDRESS(SumRef!AV46,SumRef!AV$16,,,SumRef!$B$7))))</f>
        <v/>
      </c>
      <c r="H40" s="1097" t="str">
        <f ca="1">IF('A-80 DirEntInv'!H39&lt;&gt;"",'A-80 DirEntInv'!H39,IF(INDIRECT(ADDRESS(SumRef!AW46,SumRef!AW$16,,,SumRef!$B$7))="","",INDIRECT(ADDRESS(SumRef!AW46,SumRef!AW$16,,,SumRef!$B$7))))</f>
        <v/>
      </c>
      <c r="I40" s="1097" t="str">
        <f ca="1">IF('A-80 DirEntInv'!I39&lt;&gt;"",'A-80 DirEntInv'!I39,IF(INDIRECT(ADDRESS(SumRef!AX46,SumRef!AX$16,,,SumRef!$B$7))="","",INDIRECT(ADDRESS(SumRef!AX46,SumRef!AX$16,,,SumRef!$B$7))))</f>
        <v/>
      </c>
      <c r="J40" s="1098" t="str">
        <f ca="1">IF('A-80 DirEntInv'!J39&lt;&gt;"",'A-80 DirEntInv'!J39,IF(INDIRECT(ADDRESS(SumRef!AY46,SumRef!AY$16,,,SumRef!$B$7))="","",INDIRECT(ADDRESS(SumRef!AY46,SumRef!AY$16,,,SumRef!$B$7))))</f>
        <v/>
      </c>
      <c r="K40" s="1099" t="str">
        <f ca="1">IF('A-80 DirEntInv'!K39&lt;&gt;"",'A-80 DirEntInv'!K39,IF(INDIRECT(ADDRESS(SumRef!AZ46,SumRef!AZ$16,,,SumRef!$B$7))="","",INDIRECT(ADDRESS(SumRef!AZ46,SumRef!AZ$16,,,SumRef!$B$7))))</f>
        <v/>
      </c>
      <c r="L40" s="1100" t="str">
        <f ca="1">IF('A-80 DirEntInv'!L39&lt;&gt;"",'A-80 DirEntInv'!L39,IF(INDIRECT(ADDRESS(SumRef!BA46,SumRef!BA$16,,,SumRef!$B$7))="","",INDIRECT(ADDRESS(SumRef!BA46,SumRef!BA$16,,,SumRef!$B$7))))</f>
        <v/>
      </c>
      <c r="M40" s="1101" t="str">
        <f ca="1">IF('A-80 DirEntInv'!M39&lt;&gt;"",'A-80 DirEntInv'!M39,IF(INDIRECT(ADDRESS(SumRef!BB46,SumRef!BB$16,,,SumRef!$B$7))="","",INDIRECT(ADDRESS(SumRef!BB46,SumRef!BB$16,,,SumRef!$B$7))))</f>
        <v/>
      </c>
      <c r="N40" s="1098" t="str">
        <f ca="1">IF('A-80 DirEntInv'!N39&lt;&gt;"",'A-80 DirEntInv'!N39,IF(INDIRECT(ADDRESS(SumRef!BC46,SumRef!BC$16,,,SumRef!$B$7))="","",INDIRECT(ADDRESS(SumRef!BC46,SumRef!BC$16,,,SumRef!$B$7))))</f>
        <v/>
      </c>
      <c r="O40" s="1102" t="str">
        <f ca="1">IF('A-80 DirEntInv'!O39&lt;&gt;"",'A-80 DirEntInv'!O39,IF(INDIRECT(ADDRESS(SumRef!BD46,SumRef!BD$16,,,SumRef!$B$7))="","",INDIRECT(ADDRESS(SumRef!BD46,SumRef!BD$16,,,SumRef!$B$7))))</f>
        <v/>
      </c>
      <c r="Q40" s="589"/>
      <c r="R40" s="1103" t="str">
        <f ca="1">IF('A-80 DirEntInv'!R39&lt;&gt;"",'A-80 DirEntInv'!R39,IF(INDIRECT(ADDRESS(SumRef!BH46,SumRef!BH$16,,,SumRef!$B$8))="","",INDIRECT(ADDRESS(SumRef!BH46,SumRef!BH$16,,,SumRef!$B$8))))</f>
        <v/>
      </c>
      <c r="S40" s="1104" t="str">
        <f ca="1">IF('A-80 DirEntInv'!S39&lt;&gt;"",'A-80 DirEntInv'!S39,IF(INDIRECT(ADDRESS(SumRef!BI46,SumRef!BI$16,,,SumRef!$B$8))="","",INDIRECT(ADDRESS(SumRef!BI46,SumRef!BI$16,,,SumRef!$B$8))))</f>
        <v/>
      </c>
      <c r="T40" s="1104" t="str">
        <f ca="1">IF('A-80 DirEntInv'!T39&lt;&gt;"",'A-80 DirEntInv'!T39,IF(INDIRECT(ADDRESS(SumRef!BJ46,SumRef!BJ$16,,,SumRef!$B$8))="","",INDIRECT(ADDRESS(SumRef!BJ46,SumRef!BJ$16,,,SumRef!$B$8))))</f>
        <v/>
      </c>
      <c r="U40" s="1104" t="str">
        <f ca="1">IF('A-80 DirEntInv'!U39&lt;&gt;"",'A-80 DirEntInv'!U39,IF(INDIRECT(ADDRESS(SumRef!BK46,SumRef!BK$16,,,SumRef!$B$8))="","",INDIRECT(ADDRESS(SumRef!BK46,SumRef!BK$16,,,SumRef!$B$8))))</f>
        <v/>
      </c>
      <c r="V40" s="1104" t="str">
        <f ca="1">IF('A-80 DirEntInv'!V39&lt;&gt;"",'A-80 DirEntInv'!V39,IF(INDIRECT(ADDRESS(SumRef!BL46,SumRef!BL$16,,,SumRef!$B$8))="","",INDIRECT(ADDRESS(SumRef!BL46,SumRef!BL$16,,,SumRef!$B$8))))</f>
        <v/>
      </c>
      <c r="W40" s="1354" t="str">
        <f ca="1">IF('A-80 DirEntInv'!W39&lt;&gt;"",'A-80 DirEntInv'!W39,IF(INDIRECT(ADDRESS(SumRef!BM46,SumRef!BM$16,,,SumRef!$B$8))="","",INDIRECT(ADDRESS(SumRef!BM46,SumRef!BM$16,,,SumRef!$B$8))))</f>
        <v/>
      </c>
      <c r="X40" s="1203" t="str">
        <f ca="1">IF('A-80 DirEntInv'!X39&lt;&gt;"",'A-80 DirEntInv'!X39,IF(INDIRECT(ADDRESS(SumRef!BN46,SumRef!BN$16,,,SumRef!$B$8))="","",INDIRECT(ADDRESS(SumRef!BN46,SumRef!BN$16,,,SumRef!$B$8))))</f>
        <v/>
      </c>
      <c r="Y40" s="1203" t="str">
        <f ca="1">IF('A-80 DirEntInv'!Y39&lt;&gt;"",'A-80 DirEntInv'!Y39,IF(INDIRECT(ADDRESS(SumRef!BO46,SumRef!BO$16,,,SumRef!$B$8))="","",INDIRECT(ADDRESS(SumRef!BO46,SumRef!BO$16,,,SumRef!$B$8))))</f>
        <v/>
      </c>
      <c r="Z40" s="1104" t="str">
        <f ca="1">IF('A-80 DirEntInv'!Z39&lt;&gt;"",'A-80 DirEntInv'!Z39,IF(INDIRECT(ADDRESS(SumRef!BP46,SumRef!BP$16,,,SumRef!$B$8))="","",INDIRECT(ADDRESS(SumRef!BP46,SumRef!BP$16,,,SumRef!$B$8))))</f>
        <v/>
      </c>
      <c r="AA40" s="1104" t="str">
        <f ca="1">IF('A-80 DirEntInv'!AA39&lt;&gt;"",'A-80 DirEntInv'!AA39,IF(INDIRECT(ADDRESS(SumRef!BQ46,SumRef!BQ$16,,,SumRef!$B$8))="","",INDIRECT(ADDRESS(SumRef!BQ46,SumRef!BQ$16,,,SumRef!$B$8))))</f>
        <v/>
      </c>
      <c r="AB40" s="1106" t="str">
        <f ca="1">IF('A-80 DirEntInv'!AB39&lt;&gt;"",'A-80 DirEntInv'!AB39,IF(INDIRECT(ADDRESS(SumRef!BR46,SumRef!BR$16,,,SumRef!$B$8))="","",INDIRECT(ADDRESS(SumRef!BR46,SumRef!BR$16,,,SumRef!$B$8))))</f>
        <v/>
      </c>
      <c r="AC40" s="1107" t="str">
        <f ca="1">IF('A-80 DirEntInv'!AC39&lt;&gt;"",'A-80 DirEntInv'!AC39,IF(INDIRECT(ADDRESS(SumRef!BS46,SumRef!BS$16,,,SumRef!$B$8))="","",INDIRECT(ADDRESS(SumRef!BS46,SumRef!BS$16,,,SumRef!$B$8))))</f>
        <v/>
      </c>
      <c r="AD40" s="1349" t="str">
        <f ca="1">IF('A-80 DirEntInv'!AD39&lt;&gt;"",'A-80 DirEntInv'!AD39,IF(INDIRECT(ADDRESS(SumRef!BT46,SumRef!BT$16,,,SumRef!$B$8))="","",INDIRECT(ADDRESS(SumRef!BT46,SumRef!BT$16,,,SumRef!$B$8))))</f>
        <v/>
      </c>
      <c r="AE40" s="1137" t="str">
        <f ca="1">IF('A-80 DirEntInv'!AE39&lt;&gt;"",'A-80 DirEntInv'!AE39,IF(INDIRECT(ADDRESS(SumRef!BU46,SumRef!BU$16,,,SumRef!$B$8))="","",INDIRECT(ADDRESS(SumRef!BU46,SumRef!BU$16,,,SumRef!$B$8))))</f>
        <v/>
      </c>
      <c r="AF40" s="1346" t="str">
        <f ca="1">IF('A-80 DirEntInv'!AF39&lt;&gt;"",'A-80 DirEntInv'!AF39,IF(INDIRECT(ADDRESS(SumRef!BV46,SumRef!BV$16,,,SumRef!$B$8))="","",INDIRECT(ADDRESS(SumRef!BV46,SumRef!BV$16,,,SumRef!$B$8))))</f>
        <v/>
      </c>
      <c r="AG40" s="1105" t="str">
        <f ca="1">IF('A-80 DirEntInv'!AG39&lt;&gt;"",'A-80 DirEntInv'!AG39,IF(INDIRECT(ADDRESS(SumRef!BW46,SumRef!BW$16,,,SumRef!$B$8))="","",INDIRECT(ADDRESS(SumRef!BW46,SumRef!BW$16,,,SumRef!$B$8))))</f>
        <v/>
      </c>
      <c r="AH40" s="1357" t="str">
        <f ca="1">IF('A-80 DirEntInv'!AH39&lt;&gt;"",'A-80 DirEntInv'!AH39,IF(INDIRECT(ADDRESS(SumRef!BX46,SumRef!BX$16,,,SumRef!$B$8))="","",INDIRECT(ADDRESS(SumRef!BX46,SumRef!BX$16,,,SumRef!$B$8))))</f>
        <v/>
      </c>
      <c r="AK40" s="1041" t="str">
        <f>Codes!$C$158</f>
        <v>AR - Alaska Railroad</v>
      </c>
      <c r="AL40" s="1042" t="str">
        <f>Valid!$B$72</f>
        <v>At-Grade/In-Street/Embedded</v>
      </c>
      <c r="AM40" s="1108" t="str">
        <f>IF('A-80 DirEntInv'!AM39&lt;&gt;"",'A-80 DirEntInv'!AM39,IF(AK40=summaryref2!B13,summaryref2!D13,IF(Summary!AK40=summaryref2!B27,summaryref2!D27,IF(AK40=summaryref2!B41,summaryref2!D41,IF(AK40=summaryref2!B55,summaryref2!D55,IF(AK40=summaryref2!B69,summaryref2!D69,IF(AK40=summaryref2!B83,summaryref2!D83,IF(AK40=summaryref2!B97,summaryref2!D97,IF(AK40=summaryref2!B111,summaryref2!D111,IF(AK40=summaryref2!B125,summaryref2!D125,IF(AK40=summaryref2!B139,summaryref2!D139,"")))))))))))</f>
        <v/>
      </c>
      <c r="AN40" s="1109" t="str">
        <f ca="1">IF('A-80 DirEntInv'!AN39&lt;&gt;"",'A-80 DirEntInv'!AN39,IF(INDIRECT(ADDRESS(SumRef!CG32,SumRef!CG$16,,,SumRef!$C$7))="","",INDIRECT(ADDRESS(SumRef!CG32,SumRef!CG$16,,,SumRef!$C$7))))</f>
        <v>Linear Feet</v>
      </c>
      <c r="AO40" s="1108" t="str">
        <f>IF('A-80 DirEntInv'!AO39&lt;&gt;"",'A-80 DirEntInv'!AO39,IF(AK40=summaryref2!B13,summaryref2!F13,IF(Summary!AK40=summaryref2!B27,summaryref2!F27,IF(AK40=summaryref2!B41,summaryref2!F41,IF(AK40=summaryref2!B55,summaryref2!F55,IF(AK40=summaryref2!B69,summaryref2!F69,IF(AK40=summaryref2!B83,summaryref2!F83,IF(AK40=summaryref2!B97,summaryref2!F97,IF(AK40=summaryref2!B111,summaryref2!F111,IF(AK40=summaryref2!B125,summaryref2!F125,IF(AK40=summaryref2!B139,summaryref2!F139,"")))))))))))</f>
        <v/>
      </c>
      <c r="AP40" s="1109" t="str">
        <f ca="1">IF('A-80 DirEntInv'!AP39&lt;&gt;"",'A-80 DirEntInv'!AP39,IF(INDIRECT(ADDRESS(SumRef!#REF!,SumRef!#REF!,,,SumRef!$C$7))="","",INDIRECT(ADDRESS(SumRef!#REF!,SumRef!#REF!,,,SumRef!$C$7))))</f>
        <v>Track Feet</v>
      </c>
      <c r="AQ40" s="1147" t="str">
        <f>IF('A-80 DirEntInv'!AQ39&lt;&gt;"",'A-80 DirEntInv'!AQ39,IF(AK40=summaryref2!B13,summaryref2!G13,IF(Summary!AK40=summaryref2!B27,summaryref2!G27,IF(AK40=summaryref2!B41,summaryref2!G41,IF(AK40=summaryref2!B55,summaryref2!G55,IF(AK40=summaryref2!B69,summaryref2!G69,IF(AK40=summaryref2!B83,summaryref2!G83,IF(AK40=summaryref2!B97,summaryref2!G97,IF(AK40=summaryref2!B111,summaryref2!G111,IF(AK40=summaryref2!B125,summaryref2!G125,IF(AK40=summaryref2!B139,summaryref2!G139,"")))))))))))</f>
        <v/>
      </c>
      <c r="AR40" s="1147" t="str">
        <f>IF('A-80 DirEntInv'!AR39&lt;&gt;"",'A-80 DirEntInv'!AR39,IF(AK40=summaryref2!B13,summaryref2!H13,IF(Summary!AK40=summaryref2!B27,summaryref2!H27,IF(AK40=summaryref2!B41,summaryref2!H41,IF(AK40=summaryref2!B55,summaryref2!H55,IF(AK40=summaryref2!B69,summaryref2!H69,IF(AK40=summaryref2!B83,summaryref2!H83,IF(AK40=summaryref2!B97,summaryref2!H97,IF(AK40=summaryref2!B111,summaryref2!H111,IF(AK40=summaryref2!B125,summaryref2!H125,IF(AK40=summaryref2!B139,summaryref2!H139,"")))))))))))</f>
        <v/>
      </c>
      <c r="AS40" s="1110" t="str">
        <f>IF('A-80 DirEntInv'!AS39&lt;&gt;"",'A-80 DirEntInv'!AS39,IF(AK40=summaryref2!B13,summaryref2!I13,IF(Summary!AK40=summaryref2!B27,summaryref2!I27,IF(AK40=summaryref2!B41,summaryref2!I41,IF(AK40=summaryref2!B55,summaryref2!I55,IF(AK40=summaryref2!B69,summaryref2!I69,IF(AK40=summaryref2!B83,summaryref2!I83,IF(AK40=summaryref2!B97,summaryref2!I97,IF(AK40=summaryref2!B111,summaryref2!I111,IF(AK40=summaryref2!B125,summaryref2!I125,IF(AK40=summaryref2!B139,summaryref2!I139,"")))))))))))</f>
        <v/>
      </c>
      <c r="AT40" s="1110" t="str">
        <f>IF('A-80 DirEntInv'!AT39&lt;&gt;"",'A-80 DirEntInv'!AT39,IF(AK40=summaryref2!B13,summaryref2!J13,IF(Summary!AK40=summaryref2!B27,summaryref2!J27,IF(AK40=summaryref2!B41,summaryref2!J41,IF(AK40=summaryref2!B55,summaryref2!J55,IF(AK40=summaryref2!B69,summaryref2!J69,IF(AK40=summaryref2!B83,summaryref2!J83,IF(AK40=summaryref2!B97,summaryref2!J97,IF(AK40=summaryref2!B111,summaryref2!J111,IF(AK40=summaryref2!B125,summaryref2!J125,IF(AK40=summaryref2!B139,summaryref2!J139,"")))))))))))</f>
        <v/>
      </c>
      <c r="AU40" s="1110" t="str">
        <f>IF('A-80 DirEntInv'!AU39&lt;&gt;"",'A-80 DirEntInv'!AU39,IF(AK40=summaryref2!B13,summaryref2!K13,IF(Summary!AK40=summaryref2!B27,summaryref2!K27,IF(AK40=summaryref2!B41,summaryref2!K41,IF(AK40=summaryref2!B55,summaryref2!K55,IF(AK40=summaryref2!B69,summaryref2!K69,IF(AK40=summaryref2!B83,summaryref2!K83,IF(AK40=summaryref2!B97,summaryref2!K97,IF(AK40=summaryref2!B111,summaryref2!K111,IF(AK40=summaryref2!B125,summaryref2!K125,IF(AK40=summaryref2!B139,summaryref2!K139,"")))))))))))</f>
        <v/>
      </c>
      <c r="AV40" s="1110" t="str">
        <f>IF('A-80 DirEntInv'!AV39&lt;&gt;"",'A-80 DirEntInv'!AV39,IF(AK40=summaryref2!B13,summaryref2!L13,IF(Summary!AK40=summaryref2!B27,summaryref2!L27,IF(AK40=summaryref2!B41,summaryref2!L41,IF(AK40=summaryref2!B55,summaryref2!L55,IF(AK40=summaryref2!B69,summaryref2!L69,IF(AK40=summaryref2!B83,summaryref2!L83,IF(AK40=summaryref2!B97,summaryref2!L97,IF(AK40=summaryref2!B111,summaryref2!L111,IF(AK40=summaryref2!B125,summaryref2!L125,IF(AK40=summaryref2!B139,summaryref2!L139,"")))))))))))</f>
        <v/>
      </c>
      <c r="AW40" s="1110" t="str">
        <f>IF('A-80 DirEntInv'!AW39&lt;&gt;"",'A-80 DirEntInv'!AW39,IF(AK40=summaryref2!B13,summaryref2!M13,IF(Summary!AK40=summaryref2!B27,summaryref2!M27,IF(AK40=summaryref2!B41,summaryref2!M41,IF(AK40=summaryref2!B55,summaryref2!M55,IF(AK40=summaryref2!B69,summaryref2!M69,IF(AK40=summaryref2!B83,summaryref2!M83,IF(AK40=summaryref2!B97,summaryref2!M97,IF(AK40=summaryref2!B111,summaryref2!M111,IF(AK40=summaryref2!B125,summaryref2!M125,IF(AK40=summaryref2!B139,summaryref2!M139,"")))))))))))</f>
        <v/>
      </c>
      <c r="AX40" s="1110" t="str">
        <f>IF('A-80 DirEntInv'!AX39&lt;&gt;"",'A-80 DirEntInv'!AX39,IF(AK40=summaryref2!B13,summaryref2!N13,IF(Summary!AK40=summaryref2!B27,summaryref2!N27,IF(AK40=summaryref2!B41,summaryref2!N41,IF(AK40=summaryref2!B55,summaryref2!N55,IF(AK40=summaryref2!B69,summaryref2!N69,IF(AK40=summaryref2!B83,summaryref2!N83,IF(AK40=summaryref2!B97,summaryref2!N97,IF(AK40=summaryref2!B111,summaryref2!N111,IF(AK40=summaryref2!B125,summaryref2!N125,IF(AK40=summaryref2!B139,summaryref2!N139,"")))))))))))</f>
        <v/>
      </c>
      <c r="AY40" s="1110" t="str">
        <f>IF('A-80 DirEntInv'!AY39&lt;&gt;"",'A-80 DirEntInv'!AY39,IF(AK40=summaryref2!B13,summaryref2!O13,IF(Summary!AK40=summaryref2!B27,summaryref2!O27,IF(AK40=summaryref2!B41,summaryref2!O41,IF(AK40=summaryref2!B55,summaryref2!O55,IF(AK40=summaryref2!B69,summaryref2!O69,IF(AK40=summaryref2!B83,summaryref2!O83,IF(AK40=summaryref2!B97,summaryref2!O97,IF(AK40=summaryref2!B111,summaryref2!O111,IF(AK40=summaryref2!B125,summaryref2!O125,IF(AK40=summaryref2!B139,summaryref2!O139,"")))))))))))</f>
        <v/>
      </c>
      <c r="AZ40" s="1110" t="str">
        <f>IF('A-80 DirEntInv'!AZ39&lt;&gt;"",'A-80 DirEntInv'!AZ39,IF(AK40=summaryref2!B13,summaryref2!P13,IF(Summary!AK40=summaryref2!B27,summaryref2!P27,IF(AK40=summaryref2!B41,summaryref2!P41,IF(AK40=summaryref2!B55,summaryref2!P55,IF(AK40=summaryref2!B69,summaryref2!P69,IF(AK40=summaryref2!B83,summaryref2!P83,IF(AK40=summaryref2!B97,summaryref2!P97,IF(AK40=summaryref2!B111,summaryref2!P111,IF(AK40=summaryref2!B125,summaryref2!P125,IF(AK40=summaryref2!B139,summaryref2!P139,"")))))))))))</f>
        <v/>
      </c>
      <c r="BA40" s="1110" t="str">
        <f>IF('A-80 DirEntInv'!BA39&lt;&gt;"",'A-80 DirEntInv'!BA39,IF(AK40=summaryref2!B13,summaryref2!Q13,IF(Summary!AK40=summaryref2!B27,summaryref2!Q27,IF(AK40=summaryref2!B41,summaryref2!Q41,IF(AK40=summaryref2!B55,summaryref2!Q55,IF(AK40=summaryref2!B69,summaryref2!Q69,IF(AK40=summaryref2!B83,summaryref2!Q83,IF(AK40=summaryref2!B97,summaryref2!Q97,IF(AK40=summaryref2!B111,summaryref2!Q111,IF(AK40=summaryref2!B125,summaryref2!Q125,IF(AK40=summaryref2!B139,summaryref2!Q139,"")))))))))))</f>
        <v/>
      </c>
      <c r="BB40" s="1110" t="str">
        <f>IF('A-80 DirEntInv'!BB39&lt;&gt;"",'A-80 DirEntInv'!BB39,IF(AK40=summaryref2!B13,summaryref2!R13,IF(Summary!AK40=summaryref2!B27,summaryref2!R27,IF(AK40=summaryref2!B41,summaryref2!R41,IF(AK40=summaryref2!B55,summaryref2!R55,IF(AK40=summaryref2!B69,summaryref2!R69,IF(AK40=summaryref2!B83,summaryref2!R83,IF(AK40=summaryref2!B97,summaryref2!R97,IF(AK40=summaryref2!B111,summaryref2!R111,IF(AK40=summaryref2!B125,summaryref2!R125,IF(AK40=summaryref2!B139,summaryref2!R139,"")))))))))))</f>
        <v/>
      </c>
      <c r="BC40" s="1110" t="str">
        <f>IF('A-80 DirEntInv'!BC39&lt;&gt;0,'A-80 DirEntInv'!BC39,IF(AK40=summaryref2!B13,summaryref2!S13,IF(Summary!AK40=summaryref2!B27,summaryref2!S27,IF(AK40=summaryref2!B41,summaryref2!S41,IF(AK40=summaryref2!B55,summaryref2!S55,IF(AK40=summaryref2!B69,summaryref2!S69,IF(AK40=summaryref2!B83,summaryref2!S83,IF(AK40=summaryref2!B97,summaryref2!S97,IF(AK40=summaryref2!B111,summaryref2!S111,IF(AK40=summaryref2!B125,summaryref2!S125,IF(AK40=summaryref2!B139,summaryref2!S139,"")))))))))))</f>
        <v/>
      </c>
      <c r="BD40" s="1111" t="str">
        <f>IF('A-80 DirEntInv'!BD39&lt;&gt;"",'A-80 DirEntInv'!BD39,IF(AK40=summaryref2!B13,summaryref2!T13,IF(Summary!AK40=summaryref2!B27,summaryref2!T27,IF(AK40=summaryref2!B41,summaryref2!T41,IF(AK40=summaryref2!B55,summaryref2!T55,IF(AK40=summaryref2!B69,summaryref2!T69,IF(AK40=summaryref2!B83,summaryref2!T83,IF(AK40=summaryref2!B97,summaryref2!T97,IF(AK40=summaryref2!B111,summaryref2!T111,IF(AK40=summaryref2!B125,summaryref2!T125,IF(AK40=summaryref2!B139,summaryref2!T139,"")))))))))))</f>
        <v/>
      </c>
      <c r="BE40" s="1184" t="str">
        <f>IF('A-80 DirEntInv'!BE39&lt;&gt;"",'A-80 DirEntInv'!BE39,IF(AK40=summaryref2!B13,summaryref2!U13,IF(Summary!AK40=summaryref2!B27,summaryref2!U27,IF(AK40=summaryref2!B41,summaryref2!U41,IF(AK40=summaryref2!B55,summaryref2!U55,IF(AK40=summaryref2!B69,summaryref2!U69,IF(AK40=summaryref2!B83,summaryref2!U83,IF(AK40=summaryref2!B97,summaryref2!U97,IF(AK40=summaryref2!B111,summaryref2!U111,IF(AK40=summaryref2!B125,summaryref2!U125,IF(AK40=summaryref2!B139,summaryref2!U139,"")))))))))))</f>
        <v/>
      </c>
      <c r="BF40" s="1432"/>
      <c r="BG40" s="1432"/>
      <c r="BJ40" s="1048" t="str">
        <f>Codes!$C$160</f>
        <v>CC - Cable Car (PT)</v>
      </c>
      <c r="BK40" s="1049" t="str">
        <f>Valid!$B$81</f>
        <v>Curve</v>
      </c>
      <c r="BL40" s="1367" t="str">
        <f>IF('A-80 DirEntInv'!BL39&lt;&gt;"",'A-80 DirEntInv'!BL39,IF(BJ40=summaryref2!X13,summaryref2!Z13,IF(BJ40=summaryref2!X20,summaryref2!Z20,IF(BJ40=summaryref2!X27,summaryref2!Z27,IF(BJ40=summaryref2!X34,summaryref2!Z34,IF(BJ40=summaryref2!X41,summaryref2!Z41,IF(BJ40=summaryref2!X48,summaryref2!Z48,IF(BJ40=summaryref2!X55,summaryref2!Z55,IF(BJ40=summaryref2!X62,summaryref2!Z62,IF(BJ40=summaryref2!X69,summaryref2!Z69,IF(BJ40=summaryref2!X76,summaryref2!Z76,"")))))))))))</f>
        <v/>
      </c>
      <c r="BM40" s="1049" t="str">
        <f>VLOOKUP(BK40,Valid!$B$80:$C$86,2,FALSE)</f>
        <v>Track Feet</v>
      </c>
      <c r="BN40" s="1324" t="str">
        <f>IF('A-80 DirEntInv'!BN39&lt;&gt;"",'A-80 DirEntInv'!BN39,IF(BJ40=summaryref2!X13,summaryref2!AB13,IF(BJ40=summaryref2!X20,summaryref2!AB20,IF(BJ40=summaryref2!X27,summaryref2!AB27,IF(BJ40=summaryref2!X34,summaryref2!AB34,IF(BJ40=summaryref2!X41,summaryref2!AB41,IF(BJ40=summaryref2!X48,summaryref2!AB48,IF(BJ40=summaryref2!X55,summaryref2!AB55,IF(BJ40=summaryref2!X62,summaryref2!AB62,IF(BJ40=summaryref2!X69,summaryref2!AB69,IF(BJ40=summaryref2!X76,summaryref2!AB76,"")))))))))))</f>
        <v/>
      </c>
      <c r="BO40" s="1326" t="str">
        <f>IF('A-80 DirEntInv'!BO39&lt;&gt;"",'A-80 DirEntInv'!BO39,IF(BJ40=summaryref2!X13,summaryref2!AC13,IF(BJ40=summaryref2!X20,summaryref2!AC20,IF(BJ40=summaryref2!X27,summaryref2!AC27,IF(BJ40=summaryref2!X34,summaryref2!AC34,IF(BJ40=summaryref2!X41,summaryref2!AC41,IF(BJ40=summaryref2!X48,summaryref2!AC48,IF(BJ40=summaryref2!X55,summaryref2!AC55,IF(BJ40=summaryref2!X62,summaryref2!AC62,IF(BJ40=summaryref2!X69,summaryref2!AC69,IF(BJ40=summaryref2!X76,summaryref2!AC76,"")))))))))))</f>
        <v/>
      </c>
      <c r="BP40" s="1323" t="str">
        <f>IF('A-80 DirEntInv'!BP39&lt;&gt;"",'A-80 DirEntInv'!BP39,IF(BJ40=summaryref2!X13,summaryref2!AD13,IF(BJ40=summaryref2!X20,summaryref2!AD20,IF(BJ40=summaryref2!X27,summaryref2!AD27,IF(BJ40=summaryref2!X34,summaryref2!AD34,IF(BJ40=summaryref2!X41,summaryref2!AD41,IF(BJ40=summaryref2!X48,summaryref2!AD48,IF(BJ40=summaryref2!X55,summaryref2!AD55,IF(BJ40=summaryref2!X62,summaryref2!AD62,IF(BJ40=summaryref2!X69,summaryref2!AD69,IF(BJ40=summaryref2!X76,summaryref2!AD76,"")))))))))))</f>
        <v/>
      </c>
      <c r="BS40" s="1472" t="str">
        <f ca="1">IF('A-80 DirEntInv'!BU39&lt;&gt;"",'A-80 DirEntInv'!BU39,IF(INDIRECT(ADDRESS(SumRef!DK46,SumRef!DK$16,,,SumRef!$E$6))="","",INDIRECT(ADDRESS(SumRef!DK46,SumRef!DK$16,,,SumRef!$E$6))))</f>
        <v/>
      </c>
      <c r="BT40" s="1458" t="str">
        <f ca="1">IF('A-80 DirEntInv'!BV39&lt;&gt;"",'A-80 DirEntInv'!BV39,IF(INDIRECT(ADDRESS(SumRef!DL46,SumRef!DL$16,,,SumRef!$E$6))="","",INDIRECT(ADDRESS(SumRef!DL46,SumRef!DL$16,,,SumRef!$E$6))))</f>
        <v/>
      </c>
      <c r="BU40" s="1177" t="str">
        <f ca="1">IF('A-80 DirEntInv'!BW39&lt;&gt;"",'A-80 DirEntInv'!BW39,IF(INDIRECT(ADDRESS(SumRef!DM46,SumRef!DM$16,,,SumRef!$E$6))="","",INDIRECT(ADDRESS(SumRef!DM46,SumRef!DM$16,,,SumRef!$E$6))))</f>
        <v/>
      </c>
      <c r="BV40" s="1460" t="str">
        <f ca="1">IF('A-80 DirEntInv'!BX39&lt;&gt;"",'A-80 DirEntInv'!BX39,IF(INDIRECT(ADDRESS(SumRef!DN46,SumRef!DN$16,,,SumRef!$E$6))="","",INDIRECT(ADDRESS(SumRef!DN46,SumRef!DN$16,,,SumRef!$E$6))))</f>
        <v/>
      </c>
      <c r="BW40" s="1460" t="str">
        <f ca="1">IF('A-80 DirEntInv'!BY39&lt;&gt;"",'A-80 DirEntInv'!BY39,IF(INDIRECT(ADDRESS(SumRef!DO46,SumRef!DO$16,,,SumRef!$E$6))="","",INDIRECT(ADDRESS(SumRef!DO46,SumRef!DO$16,,,SumRef!$E$6))))</f>
        <v/>
      </c>
      <c r="BX40" s="1116" t="str">
        <f ca="1">IF('A-80 DirEntInv'!BZ39&lt;&gt;"",'A-80 DirEntInv'!BZ39,IF(INDIRECT(ADDRESS(SumRef!DP46,SumRef!DP$16,,,SumRef!$E$6))="","",INDIRECT(ADDRESS(SumRef!DP46,SumRef!DP$16,,,SumRef!$E$6))))</f>
        <v/>
      </c>
      <c r="BY40" s="1461" t="str">
        <f ca="1">IF('A-80 DirEntInv'!CA39&lt;&gt;"",'A-80 DirEntInv'!CA39,IF(INDIRECT(ADDRESS(SumRef!DQ46,SumRef!DQ$16,,,SumRef!$E$6))="","",INDIRECT(ADDRESS(SumRef!DQ46,SumRef!DQ$16,,,SumRef!$E$6))))</f>
        <v/>
      </c>
      <c r="BZ40" s="1460" t="str">
        <f ca="1">IF('A-80 DirEntInv'!CB39&lt;&gt;"",'A-80 DirEntInv'!CB39,IF(INDIRECT(ADDRESS(SumRef!DR46,SumRef!DR$16,,,SumRef!$E$6))="","",INDIRECT(ADDRESS(SumRef!DR46,SumRef!DR$16,,,SumRef!$E$6))))</f>
        <v/>
      </c>
      <c r="CA40" s="1462" t="str">
        <f ca="1">IF('A-80 DirEntInv'!CC39&lt;&gt;"",'A-80 DirEntInv'!CC39,IF(INDIRECT(ADDRESS(SumRef!DS46,SumRef!DS$16,,,SumRef!$E$6))="","",INDIRECT(ADDRESS(SumRef!DS46,SumRef!DS$16,,,SumRef!$E$6))))</f>
        <v/>
      </c>
      <c r="CD40" s="1160" t="str">
        <f ca="1">IF('A-80 DirEntInv'!CF39&lt;&gt;"",'A-80 DirEntInv'!CF39,IF(INDIRECT(ADDRESS(SumRef!DV46,SumRef!DV$16,,,SumRef!$E$7))="","",INDIRECT(ADDRESS(SumRef!DV46,SumRef!DV$16,,,SumRef!$E$7))))</f>
        <v/>
      </c>
      <c r="CE40" s="1167" t="str">
        <f ca="1">IF('A-80 DirEntInv'!CG39&lt;&gt;"",'A-80 DirEntInv'!CG39,IF(INDIRECT(ADDRESS(SumRef!DW46,SumRef!DW$16,,,SumRef!$E$7))="","",INDIRECT(ADDRESS(SumRef!DW46,SumRef!DW$16,,,SumRef!$E$7))))</f>
        <v/>
      </c>
      <c r="CF40" s="1167" t="str">
        <f ca="1">IF('A-80 DirEntInv'!CH39&lt;&gt;"",'A-80 DirEntInv'!CH39,IF(INDIRECT(ADDRESS(SumRef!DX46,SumRef!DX$16,,,SumRef!$E$7))="","",INDIRECT(ADDRESS(SumRef!DX46,SumRef!DX$16,,,SumRef!$E$7))))</f>
        <v/>
      </c>
      <c r="CG40" s="1167" t="str">
        <f ca="1">IF('A-80 DirEntInv'!CI39&lt;&gt;"",'A-80 DirEntInv'!CI39,IF(INDIRECT(ADDRESS(SumRef!DY46,SumRef!DY$16,,,SumRef!$E$7))="","",INDIRECT(ADDRESS(SumRef!DY46,SumRef!DY$16,,,SumRef!$E$7))))</f>
        <v/>
      </c>
      <c r="CH40" s="1167" t="str">
        <f ca="1">IF('A-80 DirEntInv'!CJ39&lt;&gt;"",'A-80 DirEntInv'!CJ39,IF(INDIRECT(ADDRESS(SumRef!DZ46,SumRef!DZ$16,,,SumRef!$E$7))="","",INDIRECT(ADDRESS(SumRef!DZ46,SumRef!DZ$16,,,SumRef!$E$7))))</f>
        <v/>
      </c>
      <c r="CI40" s="1167" t="str">
        <f ca="1">IF('A-80 DirEntInv'!CK39&lt;&gt;"",'A-80 DirEntInv'!CK39,IF(INDIRECT(ADDRESS(SumRef!EA46,SumRef!EA$16,,,SumRef!$E$7))="","",INDIRECT(ADDRESS(SumRef!EA46,SumRef!EA$16,,,SumRef!$E$7))))</f>
        <v/>
      </c>
      <c r="CJ40" s="1114" t="str">
        <f ca="1">IF('A-80 DirEntInv'!CL39&lt;&gt;"",'A-80 DirEntInv'!CL39,IF(INDIRECT(ADDRESS(SumRef!EB46,SumRef!EB$16,,,SumRef!$E$7))="","",INDIRECT(ADDRESS(SumRef!EB46,SumRef!EB$16,,,SumRef!$E$7))))</f>
        <v/>
      </c>
      <c r="CK40" s="1114" t="str">
        <f ca="1">IF('A-80 DirEntInv'!CM39&lt;&gt;"",'A-80 DirEntInv'!CM39,IF(INDIRECT(ADDRESS(SumRef!EC46,SumRef!EC$16,,,SumRef!$E$7))="","",INDIRECT(ADDRESS(SumRef!EC46,SumRef!EC$16,,,SumRef!$E$7))))</f>
        <v/>
      </c>
      <c r="CL40" s="1113" t="str">
        <f ca="1">IF('A-80 DirEntInv'!CO39&lt;&gt;"",'A-80 DirEntInv'!CO39,IF(INDIRECT(ADDRESS(SumRef!ED46,SumRef!ED$16,,,SumRef!$E$7))="","",INDIRECT(ADDRESS(SumRef!ED46,SumRef!ED$16,,,SumRef!$E$7))))</f>
        <v/>
      </c>
      <c r="CM40" s="1114" t="str">
        <f ca="1">IF('A-80 DirEntInv'!CP39&lt;&gt;"",'A-80 DirEntInv'!CP39,IF(INDIRECT(ADDRESS(SumRef!EE46,SumRef!EE$16,,,SumRef!$E$7))="","",INDIRECT(ADDRESS(SumRef!EE46,SumRef!EE$16,,,SumRef!$E$7))))</f>
        <v/>
      </c>
      <c r="CN40" s="1114" t="str">
        <f ca="1">IF('A-80 DirEntInv'!CQ39&lt;&gt;"",'A-80 DirEntInv'!CQ39,IF(INDIRECT(ADDRESS(SumRef!EF46,SumRef!EF$16,,,SumRef!$E$7))="","",INDIRECT(ADDRESS(SumRef!EF46,SumRef!EF$16,,,SumRef!$E$7))))</f>
        <v/>
      </c>
      <c r="CO40" s="1113" t="str">
        <f ca="1">IF('A-80 DirEntInv'!CR39&lt;&gt;"",'A-80 DirEntInv'!CR39,IF(INDIRECT(ADDRESS(SumRef!EG46,SumRef!EG$16,,,SumRef!$E$7))="","",INDIRECT(ADDRESS(SumRef!EG46,SumRef!EG$16,,,SumRef!$E$7))))</f>
        <v/>
      </c>
      <c r="CP40" s="1114" t="str">
        <f ca="1">IF('A-80 DirEntInv'!CS39&lt;&gt;"",'A-80 DirEntInv'!CS39,IF(INDIRECT(ADDRESS(SumRef!EH46,SumRef!EH$16,,,SumRef!$E$7))="","",INDIRECT(ADDRESS(SumRef!EH46,SumRef!EH$16,,,SumRef!$E$7))))</f>
        <v/>
      </c>
      <c r="CQ40" s="1346" t="str">
        <f ca="1">IF('A-80 DirEntInv'!CT39&lt;&gt;"",'A-80 DirEntInv'!CT39,IF(INDIRECT(ADDRESS(SumRef!EI46,SumRef!EI$16,,,SumRef!$E$7))="","",INDIRECT(ADDRESS(SumRef!EI46,SumRef!EI$16,,,SumRef!$E$7))))</f>
        <v/>
      </c>
      <c r="CR40" s="1113" t="str">
        <f ca="1">IF('A-80 DirEntInv'!CU39&lt;&gt;"",'A-80 DirEntInv'!CU39,IF(INDIRECT(ADDRESS(SumRef!EJ46,SumRef!EJ$16,,,SumRef!$E$7))="","",INDIRECT(ADDRESS(SumRef!EJ46,SumRef!EJ$16,,,SumRef!$E$7))))</f>
        <v/>
      </c>
      <c r="CS40" s="1346" t="str">
        <f ca="1">IF('A-80 DirEntInv'!CV39&lt;&gt;"",'A-80 DirEntInv'!CV39,IF(INDIRECT(ADDRESS(SumRef!EM46,SumRef!EM$16,,,SumRef!$E$7))="","",INDIRECT(ADDRESS(SumRef!EM46,SumRef!EM$16,,,SumRef!$E$7))))</f>
        <v/>
      </c>
      <c r="CT40" s="1113" t="str">
        <f ca="1">IF('A-80 DirEntInv'!CW39&lt;&gt;"",'A-80 DirEntInv'!CW39,IF(INDIRECT(ADDRESS(SumRef!EN46,SumRef!EN$16,,,SumRef!$E$7))="","",INDIRECT(ADDRESS(SumRef!EN46,SumRef!EN$16,,,SumRef!$E$7))))</f>
        <v/>
      </c>
      <c r="CU40" s="1113" t="str">
        <f ca="1">IF('A-80 DirEntInv'!CX39&lt;&gt;"",'A-80 DirEntInv'!CX39,IF(INDIRECT(ADDRESS(SumRef!EO46,SumRef!EO$16,,,SumRef!$E$7))="","",INDIRECT(ADDRESS(SumRef!EO46,SumRef!EO$16,,,SumRef!$E$7))))</f>
        <v/>
      </c>
      <c r="CV40" s="1113" t="str">
        <f ca="1">IF('A-80 DirEntInv'!CY39&lt;&gt;"",'A-80 DirEntInv'!CY39,IF(INDIRECT(ADDRESS(SumRef!EP46,SumRef!EP$16,,,SumRef!$E$7))="","",INDIRECT(ADDRESS(SumRef!EP46,SumRef!EP$16,,,SumRef!$E$7))))</f>
        <v/>
      </c>
      <c r="CW40" s="1114" t="str">
        <f ca="1">IF('A-80 DirEntInv'!CZ39&lt;&gt;"",'A-80 DirEntInv'!CZ39,IF(INDIRECT(ADDRESS(SumRef!ES46,SumRef!ES$16,,,SumRef!$E$7))="","",INDIRECT(ADDRESS(SumRef!ES46,SumRef!ES$16,,,SumRef!$E$7))))</f>
        <v/>
      </c>
      <c r="CX40" s="1167" t="str">
        <f ca="1">IF('A-80 DirEntInv'!DA39&lt;&gt;"",'A-80 DirEntInv'!DA39,IF(INDIRECT(ADDRESS(SumRef!ET46,SumRef!ET$16,,,SumRef!$E$7))="","",INDIRECT(ADDRESS(SumRef!ET46,SumRef!ET$16,,,SumRef!$E$7))))</f>
        <v/>
      </c>
      <c r="CY40" s="1167" t="str">
        <f ca="1">IF('A-80 DirEntInv'!DB39&lt;&gt;"",'A-80 DirEntInv'!DB39,IF(INDIRECT(ADDRESS(SumRef!EU46,SumRef!EU$16,,,SumRef!$E$7))="","",INDIRECT(ADDRESS(SumRef!EU46,SumRef!EU$16,,,SumRef!$E$7))))</f>
        <v/>
      </c>
      <c r="CZ40" s="1167" t="b">
        <f ca="1">IF('A-80 DirEntInv'!DC39&lt;&gt;"",'A-80 DirEntInv'!DC39,IF(INDIRECT(ADDRESS(SumRef!EV46,SumRef!EV$16,,,SumRef!$E$7))="","",INDIRECT(ADDRESS(SumRef!EV46,SumRef!EV$16,,,SumRef!$E$7))))</f>
        <v>0</v>
      </c>
      <c r="DA40" s="1373" t="str">
        <f ca="1">IF('A-80 DirEntInv'!DD39&lt;&gt;"",'A-80 DirEntInv'!DD39,IF(INDIRECT(ADDRESS(SumRef!EW46,SumRef!EW$16,,,SumRef!$E$7))="","",INDIRECT(ADDRESS(SumRef!EW46,SumRef!EW$16,,,SumRef!$E$7))))</f>
        <v/>
      </c>
      <c r="DB40" s="1373" t="b">
        <f ca="1">IF('A-80 DirEntInv'!DE39&lt;&gt;"",'A-80 DirEntInv'!DE39,IF(INDIRECT(ADDRESS(SumRef!EX46,SumRef!EX$16,,,SumRef!$E$7))="","",INDIRECT(ADDRESS(SumRef!EX46,SumRef!EX$16,,,SumRef!$E$7))))</f>
        <v>0</v>
      </c>
      <c r="DC40" s="1114" t="b">
        <f ca="1">IF('A-80 DirEntInv'!DF39&lt;&gt;"",'A-80 DirEntInv'!DF39,IF(INDIRECT(ADDRESS(SumRef!EY46,SumRef!EY$16,,,SumRef!$E$7))="","",INDIRECT(ADDRESS(SumRef!EY46,SumRef!EY$16,,,SumRef!$E$7))))</f>
        <v>0</v>
      </c>
      <c r="DD40" s="1115" t="str">
        <f ca="1">IF('A-80 DirEntInv'!DG39&lt;&gt;"",'A-80 DirEntInv'!DG39,IF(INDIRECT(ADDRESS(SumRef!EZ46,SumRef!EZ$16,,,SumRef!$E$7))="","",INDIRECT(ADDRESS(SumRef!EZ46,SumRef!EZ$16,,,SumRef!$E$7))))</f>
        <v/>
      </c>
    </row>
    <row r="41" spans="1:108" s="588" customFormat="1" ht="13.5" thickTop="1" x14ac:dyDescent="0.2">
      <c r="A41" s="589">
        <f>A40+1</f>
        <v>31</v>
      </c>
      <c r="B41" s="1155" t="str">
        <f ca="1">IF('A-80 DirEntInv'!B40&lt;&gt;"",'A-80 DirEntInv'!B40,IF(INDIRECT(ADDRESS(SumRef!AQ47,SumRef!AQ$16,,,SumRef!$B$7))="","",INDIRECT(ADDRESS(SumRef!AQ47,SumRef!AQ$16,,,SumRef!$B$7))))</f>
        <v/>
      </c>
      <c r="C41" s="1097" t="str">
        <f ca="1">IF('A-80 DirEntInv'!C40&lt;&gt;"",'A-80 DirEntInv'!C40,IF(INDIRECT(ADDRESS(SumRef!AR47,SumRef!AR$16,,,SumRef!$B$7))="","",INDIRECT(ADDRESS(SumRef!AR47,SumRef!AR$16,,,SumRef!$B$7))))</f>
        <v/>
      </c>
      <c r="D41" s="1097" t="str">
        <f ca="1">IF('A-80 DirEntInv'!D40&lt;&gt;"",'A-80 DirEntInv'!D40,IF(INDIRECT(ADDRESS(SumRef!AS47,SumRef!AS$16,,,SumRef!$B$7))="","",INDIRECT(ADDRESS(SumRef!AS47,SumRef!AS$16,,,SumRef!$B$7))))</f>
        <v/>
      </c>
      <c r="E41" s="1097" t="str">
        <f ca="1">IF('A-80 DirEntInv'!E40&lt;&gt;"",'A-80 DirEntInv'!E40,IF(INDIRECT(ADDRESS(SumRef!AT47,SumRef!AT$16,,,SumRef!$B$7))="","",INDIRECT(ADDRESS(SumRef!AT47,SumRef!AT$16,,,SumRef!$B$7))))</f>
        <v/>
      </c>
      <c r="F41" s="1097" t="str">
        <f ca="1">IF('A-80 DirEntInv'!F40&lt;&gt;"",'A-80 DirEntInv'!F40,IF(INDIRECT(ADDRESS(SumRef!AU47,SumRef!AU$16,,,SumRef!$B$7))="","",INDIRECT(ADDRESS(SumRef!AU47,SumRef!AU$16,,,SumRef!$B$7))))</f>
        <v/>
      </c>
      <c r="G41" s="1158" t="str">
        <f ca="1">IF('A-80 DirEntInv'!G40&lt;&gt;"",'A-80 DirEntInv'!G40,IF(INDIRECT(ADDRESS(SumRef!AV47,SumRef!AV$16,,,SumRef!$B$7))="","",INDIRECT(ADDRESS(SumRef!AV47,SumRef!AV$16,,,SumRef!$B$7))))</f>
        <v/>
      </c>
      <c r="H41" s="1097" t="str">
        <f ca="1">IF('A-80 DirEntInv'!H40&lt;&gt;"",'A-80 DirEntInv'!H40,IF(INDIRECT(ADDRESS(SumRef!AW47,SumRef!AW$16,,,SumRef!$B$7))="","",INDIRECT(ADDRESS(SumRef!AW47,SumRef!AW$16,,,SumRef!$B$7))))</f>
        <v/>
      </c>
      <c r="I41" s="1097" t="str">
        <f ca="1">IF('A-80 DirEntInv'!I40&lt;&gt;"",'A-80 DirEntInv'!I40,IF(INDIRECT(ADDRESS(SumRef!AX47,SumRef!AX$16,,,SumRef!$B$7))="","",INDIRECT(ADDRESS(SumRef!AX47,SumRef!AX$16,,,SumRef!$B$7))))</f>
        <v/>
      </c>
      <c r="J41" s="1098" t="str">
        <f ca="1">IF('A-80 DirEntInv'!J40&lt;&gt;"",'A-80 DirEntInv'!J40,IF(INDIRECT(ADDRESS(SumRef!AY47,SumRef!AY$16,,,SumRef!$B$7))="","",INDIRECT(ADDRESS(SumRef!AY47,SumRef!AY$16,,,SumRef!$B$7))))</f>
        <v/>
      </c>
      <c r="K41" s="1099" t="str">
        <f ca="1">IF('A-80 DirEntInv'!K40&lt;&gt;"",'A-80 DirEntInv'!K40,IF(INDIRECT(ADDRESS(SumRef!AZ47,SumRef!AZ$16,,,SumRef!$B$7))="","",INDIRECT(ADDRESS(SumRef!AZ47,SumRef!AZ$16,,,SumRef!$B$7))))</f>
        <v/>
      </c>
      <c r="L41" s="1100" t="str">
        <f ca="1">IF('A-80 DirEntInv'!L40&lt;&gt;"",'A-80 DirEntInv'!L40,IF(INDIRECT(ADDRESS(SumRef!BA47,SumRef!BA$16,,,SumRef!$B$7))="","",INDIRECT(ADDRESS(SumRef!BA47,SumRef!BA$16,,,SumRef!$B$7))))</f>
        <v/>
      </c>
      <c r="M41" s="1101" t="str">
        <f ca="1">IF('A-80 DirEntInv'!M40&lt;&gt;"",'A-80 DirEntInv'!M40,IF(INDIRECT(ADDRESS(SumRef!BB47,SumRef!BB$16,,,SumRef!$B$7))="","",INDIRECT(ADDRESS(SumRef!BB47,SumRef!BB$16,,,SumRef!$B$7))))</f>
        <v/>
      </c>
      <c r="N41" s="1098" t="str">
        <f ca="1">IF('A-80 DirEntInv'!N40&lt;&gt;"",'A-80 DirEntInv'!N40,IF(INDIRECT(ADDRESS(SumRef!BC47,SumRef!BC$16,,,SumRef!$B$7))="","",INDIRECT(ADDRESS(SumRef!BC47,SumRef!BC$16,,,SumRef!$B$7))))</f>
        <v/>
      </c>
      <c r="O41" s="1102" t="str">
        <f ca="1">IF('A-80 DirEntInv'!O40&lt;&gt;"",'A-80 DirEntInv'!O40,IF(INDIRECT(ADDRESS(SumRef!BD47,SumRef!BD$16,,,SumRef!$B$7))="","",INDIRECT(ADDRESS(SumRef!BD47,SumRef!BD$16,,,SumRef!$B$7))))</f>
        <v/>
      </c>
      <c r="Q41" s="589"/>
      <c r="R41" s="1103" t="str">
        <f ca="1">IF('A-80 DirEntInv'!R40&lt;&gt;"",'A-80 DirEntInv'!R40,IF(INDIRECT(ADDRESS(SumRef!BH47,SumRef!BH$16,,,SumRef!$B$8))="","",INDIRECT(ADDRESS(SumRef!BH47,SumRef!BH$16,,,SumRef!$B$8))))</f>
        <v/>
      </c>
      <c r="S41" s="1104" t="str">
        <f ca="1">IF('A-80 DirEntInv'!S40&lt;&gt;"",'A-80 DirEntInv'!S40,IF(INDIRECT(ADDRESS(SumRef!BI47,SumRef!BI$16,,,SumRef!$B$8))="","",INDIRECT(ADDRESS(SumRef!BI47,SumRef!BI$16,,,SumRef!$B$8))))</f>
        <v/>
      </c>
      <c r="T41" s="1104" t="str">
        <f ca="1">IF('A-80 DirEntInv'!T40&lt;&gt;"",'A-80 DirEntInv'!T40,IF(INDIRECT(ADDRESS(SumRef!BJ47,SumRef!BJ$16,,,SumRef!$B$8))="","",INDIRECT(ADDRESS(SumRef!BJ47,SumRef!BJ$16,,,SumRef!$B$8))))</f>
        <v/>
      </c>
      <c r="U41" s="1104" t="str">
        <f ca="1">IF('A-80 DirEntInv'!U40&lt;&gt;"",'A-80 DirEntInv'!U40,IF(INDIRECT(ADDRESS(SumRef!BK47,SumRef!BK$16,,,SumRef!$B$8))="","",INDIRECT(ADDRESS(SumRef!BK47,SumRef!BK$16,,,SumRef!$B$8))))</f>
        <v/>
      </c>
      <c r="V41" s="1104" t="str">
        <f ca="1">IF('A-80 DirEntInv'!V40&lt;&gt;"",'A-80 DirEntInv'!V40,IF(INDIRECT(ADDRESS(SumRef!BL47,SumRef!BL$16,,,SumRef!$B$8))="","",INDIRECT(ADDRESS(SumRef!BL47,SumRef!BL$16,,,SumRef!$B$8))))</f>
        <v/>
      </c>
      <c r="W41" s="1354" t="str">
        <f ca="1">IF('A-80 DirEntInv'!W40&lt;&gt;"",'A-80 DirEntInv'!W40,IF(INDIRECT(ADDRESS(SumRef!BM47,SumRef!BM$16,,,SumRef!$B$8))="","",INDIRECT(ADDRESS(SumRef!BM47,SumRef!BM$16,,,SumRef!$B$8))))</f>
        <v/>
      </c>
      <c r="X41" s="1203" t="str">
        <f ca="1">IF('A-80 DirEntInv'!X40&lt;&gt;"",'A-80 DirEntInv'!X40,IF(INDIRECT(ADDRESS(SumRef!BN47,SumRef!BN$16,,,SumRef!$B$8))="","",INDIRECT(ADDRESS(SumRef!BN47,SumRef!BN$16,,,SumRef!$B$8))))</f>
        <v/>
      </c>
      <c r="Y41" s="1203" t="str">
        <f ca="1">IF('A-80 DirEntInv'!Y40&lt;&gt;"",'A-80 DirEntInv'!Y40,IF(INDIRECT(ADDRESS(SumRef!BO47,SumRef!BO$16,,,SumRef!$B$8))="","",INDIRECT(ADDRESS(SumRef!BO47,SumRef!BO$16,,,SumRef!$B$8))))</f>
        <v/>
      </c>
      <c r="Z41" s="1104" t="str">
        <f ca="1">IF('A-80 DirEntInv'!Z40&lt;&gt;"",'A-80 DirEntInv'!Z40,IF(INDIRECT(ADDRESS(SumRef!BP47,SumRef!BP$16,,,SumRef!$B$8))="","",INDIRECT(ADDRESS(SumRef!BP47,SumRef!BP$16,,,SumRef!$B$8))))</f>
        <v/>
      </c>
      <c r="AA41" s="1104" t="str">
        <f ca="1">IF('A-80 DirEntInv'!AA40&lt;&gt;"",'A-80 DirEntInv'!AA40,IF(INDIRECT(ADDRESS(SumRef!BQ47,SumRef!BQ$16,,,SumRef!$B$8))="","",INDIRECT(ADDRESS(SumRef!BQ47,SumRef!BQ$16,,,SumRef!$B$8))))</f>
        <v/>
      </c>
      <c r="AB41" s="1106" t="str">
        <f ca="1">IF('A-80 DirEntInv'!AB40&lt;&gt;"",'A-80 DirEntInv'!AB40,IF(INDIRECT(ADDRESS(SumRef!BR47,SumRef!BR$16,,,SumRef!$B$8))="","",INDIRECT(ADDRESS(SumRef!BR47,SumRef!BR$16,,,SumRef!$B$8))))</f>
        <v/>
      </c>
      <c r="AC41" s="1107" t="str">
        <f ca="1">IF('A-80 DirEntInv'!AC40&lt;&gt;"",'A-80 DirEntInv'!AC40,IF(INDIRECT(ADDRESS(SumRef!BS47,SumRef!BS$16,,,SumRef!$B$8))="","",INDIRECT(ADDRESS(SumRef!BS47,SumRef!BS$16,,,SumRef!$B$8))))</f>
        <v/>
      </c>
      <c r="AD41" s="1349" t="str">
        <f ca="1">IF('A-80 DirEntInv'!AD40&lt;&gt;"",'A-80 DirEntInv'!AD40,IF(INDIRECT(ADDRESS(SumRef!BT47,SumRef!BT$16,,,SumRef!$B$8))="","",INDIRECT(ADDRESS(SumRef!BT47,SumRef!BT$16,,,SumRef!$B$8))))</f>
        <v/>
      </c>
      <c r="AE41" s="1137" t="str">
        <f ca="1">IF('A-80 DirEntInv'!AE40&lt;&gt;"",'A-80 DirEntInv'!AE40,IF(INDIRECT(ADDRESS(SumRef!BU47,SumRef!BU$16,,,SumRef!$B$8))="","",INDIRECT(ADDRESS(SumRef!BU47,SumRef!BU$16,,,SumRef!$B$8))))</f>
        <v/>
      </c>
      <c r="AF41" s="1346" t="str">
        <f ca="1">IF('A-80 DirEntInv'!AF40&lt;&gt;"",'A-80 DirEntInv'!AF40,IF(INDIRECT(ADDRESS(SumRef!BV47,SumRef!BV$16,,,SumRef!$B$8))="","",INDIRECT(ADDRESS(SumRef!BV47,SumRef!BV$16,,,SumRef!$B$8))))</f>
        <v/>
      </c>
      <c r="AG41" s="1105" t="str">
        <f ca="1">IF('A-80 DirEntInv'!AG40&lt;&gt;"",'A-80 DirEntInv'!AG40,IF(INDIRECT(ADDRESS(SumRef!BW47,SumRef!BW$16,,,SumRef!$B$8))="","",INDIRECT(ADDRESS(SumRef!BW47,SumRef!BW$16,,,SumRef!$B$8))))</f>
        <v/>
      </c>
      <c r="AH41" s="1357" t="str">
        <f ca="1">IF('A-80 DirEntInv'!AH40&lt;&gt;"",'A-80 DirEntInv'!AH40,IF(INDIRECT(ADDRESS(SumRef!BX47,SumRef!BX$16,,,SumRef!$B$8))="","",INDIRECT(ADDRESS(SumRef!BX47,SumRef!BX$16,,,SumRef!$B$8))))</f>
        <v/>
      </c>
      <c r="AJ41" s="589"/>
      <c r="AK41" s="1041" t="str">
        <f>Codes!$C$158</f>
        <v>AR - Alaska Railroad</v>
      </c>
      <c r="AL41" s="1042" t="str">
        <f>Valid!$B$73</f>
        <v>Elevated/Retained Fill</v>
      </c>
      <c r="AM41" s="1108" t="str">
        <f>IF('A-80 DirEntInv'!AM40&lt;&gt;"",'A-80 DirEntInv'!AM40,IF(AK41=summaryref2!B14,summaryref2!D14,IF(Summary!AK41=summaryref2!B28,summaryref2!D28,IF(AK41=summaryref2!B42,summaryref2!D42,IF(AK41=summaryref2!B56,summaryref2!D56,IF(AK41=summaryref2!B70,summaryref2!D70,IF(AK41=summaryref2!B84,summaryref2!D84,IF(AK41=summaryref2!B98,summaryref2!D98,IF(AK41=summaryref2!B112,summaryref2!D112,IF(AK41=summaryref2!B126,summaryref2!D126,IF(AK41=summaryref2!B140,summaryref2!D140,"")))))))))))</f>
        <v/>
      </c>
      <c r="AN41" s="1109" t="str">
        <f ca="1">IF('A-80 DirEntInv'!AN40&lt;&gt;"",'A-80 DirEntInv'!AN40,IF(INDIRECT(ADDRESS(SumRef!CG33,SumRef!CG$16,,,SumRef!$C$7))="","",INDIRECT(ADDRESS(SumRef!CG33,SumRef!CG$16,,,SumRef!$C$7))))</f>
        <v>Linear Feet</v>
      </c>
      <c r="AO41" s="1108" t="str">
        <f>IF('A-80 DirEntInv'!AO40&lt;&gt;"",'A-80 DirEntInv'!AO40,IF(AK41=summaryref2!B14,summaryref2!F14,IF(Summary!AK41=summaryref2!B28,summaryref2!F28,IF(AK41=summaryref2!B42,summaryref2!F42,IF(AK41=summaryref2!B56,summaryref2!F56,IF(AK41=summaryref2!B70,summaryref2!F70,IF(AK41=summaryref2!B84,summaryref2!F84,IF(AK41=summaryref2!B98,summaryref2!F98,IF(AK41=summaryref2!B112,summaryref2!F112,IF(AK41=summaryref2!B126,summaryref2!F126,IF(AK41=summaryref2!B140,summaryref2!F140,"")))))))))))</f>
        <v/>
      </c>
      <c r="AP41" s="1109" t="str">
        <f ca="1">IF('A-80 DirEntInv'!AP40&lt;&gt;"",'A-80 DirEntInv'!AP40,IF(INDIRECT(ADDRESS(SumRef!#REF!,SumRef!#REF!,,,SumRef!$C$7))="","",INDIRECT(ADDRESS(SumRef!#REF!,SumRef!#REF!,,,SumRef!$C$7))))</f>
        <v>Track Feet</v>
      </c>
      <c r="AQ41" s="1147" t="str">
        <f>IF('A-80 DirEntInv'!AQ40&lt;&gt;"",'A-80 DirEntInv'!AQ40,IF(AK41=summaryref2!B14,summaryref2!G14,IF(Summary!AK41=summaryref2!B28,summaryref2!G28,IF(AK41=summaryref2!B42,summaryref2!G42,IF(AK41=summaryref2!B56,summaryref2!G56,IF(AK41=summaryref2!B70,summaryref2!G70,IF(AK41=summaryref2!B84,summaryref2!G84,IF(AK41=summaryref2!B98,summaryref2!G98,IF(AK41=summaryref2!B112,summaryref2!G112,IF(AK41=summaryref2!B126,summaryref2!G126,IF(AK41=summaryref2!B140,summaryref2!G140,"")))))))))))</f>
        <v/>
      </c>
      <c r="AR41" s="1147" t="str">
        <f>IF('A-80 DirEntInv'!AR40&lt;&gt;"",'A-80 DirEntInv'!AR40,IF(AK41=summaryref2!B14,summaryref2!H14,IF(Summary!AK41=summaryref2!B28,summaryref2!H28,IF(AK41=summaryref2!B42,summaryref2!H42,IF(AK41=summaryref2!B56,summaryref2!H56,IF(AK41=summaryref2!B70,summaryref2!H70,IF(AK41=summaryref2!B84,summaryref2!H84,IF(AK41=summaryref2!B98,summaryref2!H98,IF(AK41=summaryref2!B112,summaryref2!H112,IF(AK41=summaryref2!B126,summaryref2!H126,IF(AK41=summaryref2!B140,summaryref2!H140,"")))))))))))</f>
        <v/>
      </c>
      <c r="AS41" s="1110" t="str">
        <f>IF('A-80 DirEntInv'!AS40&lt;&gt;"",'A-80 DirEntInv'!AS40,IF(AK41=summaryref2!B14,summaryref2!I14,IF(Summary!AK41=summaryref2!B28,summaryref2!I28,IF(AK41=summaryref2!B42,summaryref2!I42,IF(AK41=summaryref2!B56,summaryref2!I56,IF(AK41=summaryref2!B70,summaryref2!I70,IF(AK41=summaryref2!B84,summaryref2!I84,IF(AK41=summaryref2!B98,summaryref2!I98,IF(AK41=summaryref2!B112,summaryref2!I112,IF(AK41=summaryref2!B126,summaryref2!I126,IF(AK41=summaryref2!B140,summaryref2!I140,"")))))))))))</f>
        <v/>
      </c>
      <c r="AT41" s="1110" t="str">
        <f>IF('A-80 DirEntInv'!AT40&lt;&gt;"",'A-80 DirEntInv'!AT40,IF(AK41=summaryref2!B14,summaryref2!J14,IF(Summary!AK41=summaryref2!B28,summaryref2!J28,IF(AK41=summaryref2!B42,summaryref2!J42,IF(AK41=summaryref2!B56,summaryref2!J56,IF(AK41=summaryref2!B70,summaryref2!J70,IF(AK41=summaryref2!B84,summaryref2!J84,IF(AK41=summaryref2!B98,summaryref2!J98,IF(AK41=summaryref2!B112,summaryref2!J112,IF(AK41=summaryref2!B126,summaryref2!J126,IF(AK41=summaryref2!B140,summaryref2!J140,"")))))))))))</f>
        <v/>
      </c>
      <c r="AU41" s="1110" t="str">
        <f>IF('A-80 DirEntInv'!AU40&lt;&gt;"",'A-80 DirEntInv'!AU40,IF(AK41=summaryref2!B14,summaryref2!K14,IF(Summary!AK41=summaryref2!B28,summaryref2!K28,IF(AK41=summaryref2!B42,summaryref2!K42,IF(AK41=summaryref2!B56,summaryref2!K56,IF(AK41=summaryref2!B70,summaryref2!K70,IF(AK41=summaryref2!B84,summaryref2!K84,IF(AK41=summaryref2!B98,summaryref2!K98,IF(AK41=summaryref2!B112,summaryref2!K112,IF(AK41=summaryref2!B126,summaryref2!K126,IF(AK41=summaryref2!B140,summaryref2!K140,"")))))))))))</f>
        <v/>
      </c>
      <c r="AV41" s="1110" t="str">
        <f>IF('A-80 DirEntInv'!AV40&lt;&gt;"",'A-80 DirEntInv'!AV40,IF(AK41=summaryref2!B14,summaryref2!L14,IF(Summary!AK41=summaryref2!B28,summaryref2!L28,IF(AK41=summaryref2!B42,summaryref2!L42,IF(AK41=summaryref2!B56,summaryref2!L56,IF(AK41=summaryref2!B70,summaryref2!L70,IF(AK41=summaryref2!B84,summaryref2!L84,IF(AK41=summaryref2!B98,summaryref2!L98,IF(AK41=summaryref2!B112,summaryref2!L112,IF(AK41=summaryref2!B126,summaryref2!L126,IF(AK41=summaryref2!B140,summaryref2!L140,"")))))))))))</f>
        <v/>
      </c>
      <c r="AW41" s="1110" t="str">
        <f>IF('A-80 DirEntInv'!AW40&lt;&gt;"",'A-80 DirEntInv'!AW40,IF(AK41=summaryref2!B14,summaryref2!M14,IF(Summary!AK41=summaryref2!B28,summaryref2!M28,IF(AK41=summaryref2!B42,summaryref2!M42,IF(AK41=summaryref2!B56,summaryref2!M56,IF(AK41=summaryref2!B70,summaryref2!M70,IF(AK41=summaryref2!B84,summaryref2!M84,IF(AK41=summaryref2!B98,summaryref2!M98,IF(AK41=summaryref2!B112,summaryref2!M112,IF(AK41=summaryref2!B126,summaryref2!M126,IF(AK41=summaryref2!B140,summaryref2!M140,"")))))))))))</f>
        <v/>
      </c>
      <c r="AX41" s="1110" t="str">
        <f>IF('A-80 DirEntInv'!AX40&lt;&gt;"",'A-80 DirEntInv'!AX40,IF(AK41=summaryref2!B14,summaryref2!N14,IF(Summary!AK41=summaryref2!B28,summaryref2!N28,IF(AK41=summaryref2!B42,summaryref2!N42,IF(AK41=summaryref2!B56,summaryref2!N56,IF(AK41=summaryref2!B70,summaryref2!N70,IF(AK41=summaryref2!B84,summaryref2!N84,IF(AK41=summaryref2!B98,summaryref2!N98,IF(AK41=summaryref2!B112,summaryref2!N112,IF(AK41=summaryref2!B126,summaryref2!N126,IF(AK41=summaryref2!B140,summaryref2!N140,"")))))))))))</f>
        <v/>
      </c>
      <c r="AY41" s="1110" t="str">
        <f>IF('A-80 DirEntInv'!AY40&lt;&gt;"",'A-80 DirEntInv'!AY40,IF(AK41=summaryref2!B14,summaryref2!O14,IF(Summary!AK41=summaryref2!B28,summaryref2!O28,IF(AK41=summaryref2!B42,summaryref2!O42,IF(AK41=summaryref2!B56,summaryref2!O56,IF(AK41=summaryref2!B70,summaryref2!O70,IF(AK41=summaryref2!B84,summaryref2!O84,IF(AK41=summaryref2!B98,summaryref2!O98,IF(AK41=summaryref2!B112,summaryref2!O112,IF(AK41=summaryref2!B126,summaryref2!O126,IF(AK41=summaryref2!B140,summaryref2!O140,"")))))))))))</f>
        <v/>
      </c>
      <c r="AZ41" s="1110" t="str">
        <f>IF('A-80 DirEntInv'!AZ40&lt;&gt;"",'A-80 DirEntInv'!AZ40,IF(AK41=summaryref2!B14,summaryref2!P14,IF(Summary!AK41=summaryref2!B28,summaryref2!P28,IF(AK41=summaryref2!B42,summaryref2!P42,IF(AK41=summaryref2!B56,summaryref2!P56,IF(AK41=summaryref2!B70,summaryref2!P70,IF(AK41=summaryref2!B84,summaryref2!P84,IF(AK41=summaryref2!B98,summaryref2!P98,IF(AK41=summaryref2!B112,summaryref2!P112,IF(AK41=summaryref2!B126,summaryref2!P126,IF(AK41=summaryref2!B140,summaryref2!P140,"")))))))))))</f>
        <v/>
      </c>
      <c r="BA41" s="1110" t="str">
        <f>IF('A-80 DirEntInv'!BA40&lt;&gt;"",'A-80 DirEntInv'!BA40,IF(AK41=summaryref2!B14,summaryref2!Q14,IF(Summary!AK41=summaryref2!B28,summaryref2!Q28,IF(AK41=summaryref2!B42,summaryref2!Q42,IF(AK41=summaryref2!B56,summaryref2!Q56,IF(AK41=summaryref2!B70,summaryref2!Q70,IF(AK41=summaryref2!B84,summaryref2!Q84,IF(AK41=summaryref2!B98,summaryref2!Q98,IF(AK41=summaryref2!B112,summaryref2!Q112,IF(AK41=summaryref2!B126,summaryref2!Q126,IF(AK41=summaryref2!B140,summaryref2!Q140,"")))))))))))</f>
        <v/>
      </c>
      <c r="BB41" s="1110" t="str">
        <f>IF('A-80 DirEntInv'!BB40&lt;&gt;"",'A-80 DirEntInv'!BB40,IF(AK41=summaryref2!B14,summaryref2!R14,IF(Summary!AK41=summaryref2!B28,summaryref2!R28,IF(AK41=summaryref2!B42,summaryref2!R42,IF(AK41=summaryref2!B56,summaryref2!R56,IF(AK41=summaryref2!B70,summaryref2!R70,IF(AK41=summaryref2!B84,summaryref2!R84,IF(AK41=summaryref2!B98,summaryref2!R98,IF(AK41=summaryref2!B112,summaryref2!R112,IF(AK41=summaryref2!B126,summaryref2!R126,IF(AK41=summaryref2!B140,summaryref2!R140,"")))))))))))</f>
        <v/>
      </c>
      <c r="BC41" s="1110" t="str">
        <f>IF('A-80 DirEntInv'!BC40&lt;&gt;0,'A-80 DirEntInv'!BC40,IF(AK41=summaryref2!B14,summaryref2!S14,IF(Summary!AK41=summaryref2!B28,summaryref2!S28,IF(AK41=summaryref2!B42,summaryref2!S42,IF(AK41=summaryref2!B56,summaryref2!S56,IF(AK41=summaryref2!B70,summaryref2!S70,IF(AK41=summaryref2!B84,summaryref2!S84,IF(AK41=summaryref2!B98,summaryref2!S98,IF(AK41=summaryref2!B112,summaryref2!S112,IF(AK41=summaryref2!B126,summaryref2!S126,IF(AK41=summaryref2!B140,summaryref2!S140,"")))))))))))</f>
        <v/>
      </c>
      <c r="BD41" s="1111" t="str">
        <f>IF('A-80 DirEntInv'!BD40&lt;&gt;"",'A-80 DirEntInv'!BD40,IF(AK41=summaryref2!B14,summaryref2!T14,IF(Summary!AK41=summaryref2!B28,summaryref2!T28,IF(AK41=summaryref2!B42,summaryref2!T42,IF(AK41=summaryref2!B56,summaryref2!T56,IF(AK41=summaryref2!B70,summaryref2!T70,IF(AK41=summaryref2!B84,summaryref2!T84,IF(AK41=summaryref2!B98,summaryref2!T98,IF(AK41=summaryref2!B112,summaryref2!T112,IF(AK41=summaryref2!B126,summaryref2!T126,IF(AK41=summaryref2!B140,summaryref2!T140,"")))))))))))</f>
        <v/>
      </c>
      <c r="BE41" s="1184" t="str">
        <f>IF('A-80 DirEntInv'!BE40&lt;&gt;"",'A-80 DirEntInv'!BE40,IF(AK41=summaryref2!B14,summaryref2!U14,IF(Summary!AK41=summaryref2!B28,summaryref2!U28,IF(AK41=summaryref2!B42,summaryref2!U42,IF(AK41=summaryref2!B56,summaryref2!U56,IF(AK41=summaryref2!B70,summaryref2!U70,IF(AK41=summaryref2!B84,summaryref2!U84,IF(AK41=summaryref2!B98,summaryref2!U98,IF(AK41=summaryref2!B112,summaryref2!U112,IF(AK41=summaryref2!B126,summaryref2!U126,IF(AK41=summaryref2!B140,summaryref2!U140,"")))))))))))</f>
        <v/>
      </c>
      <c r="BF41" s="1432"/>
      <c r="BG41" s="1432"/>
      <c r="BJ41" s="1045" t="str">
        <f>Codes!$C$160</f>
        <v>CC - Cable Car (PT)</v>
      </c>
      <c r="BK41" s="1046" t="str">
        <f>Valid!$B$82</f>
        <v>Double Diamond Crossover</v>
      </c>
      <c r="BL41" s="1368" t="str">
        <f>IF('A-80 DirEntInv'!BL40&lt;&gt;"",'A-80 DirEntInv'!BL40,IF(BJ41=summaryref2!X14,summaryref2!Z14,IF(BJ41=summaryref2!X21,summaryref2!Z21,IF(BJ41=summaryref2!X28,summaryref2!Z28,IF(BJ41=summaryref2!X35,summaryref2!Z35,IF(BJ41=summaryref2!X42,summaryref2!Z42,IF(BJ41=summaryref2!X49,summaryref2!Z49,IF(BJ41=summaryref2!X56,summaryref2!Z56,IF(BJ41=summaryref2!X63,summaryref2!Z63,IF(BJ41=summaryref2!X70,summaryref2!Z70,IF(BJ41=summaryref2!X77,summaryref2!Z77,"")))))))))))</f>
        <v/>
      </c>
      <c r="BM41" s="1046" t="str">
        <f>VLOOKUP(BK41,Valid!$B$80:$C$86,2,FALSE)</f>
        <v>Each</v>
      </c>
      <c r="BN41" s="1325" t="str">
        <f>IF('A-80 DirEntInv'!BN40&lt;&gt;"",'A-80 DirEntInv'!BN40,IF(BJ41=summaryref2!X14,summaryref2!AB14,IF(BJ41=summaryref2!X21,summaryref2!AB21,IF(BJ41=summaryref2!X28,summaryref2!AB28,IF(BJ41=summaryref2!X35,summaryref2!AB35,IF(BJ41=summaryref2!X42,summaryref2!AB42,IF(BJ41=summaryref2!X49,summaryref2!AB49,IF(BJ41=summaryref2!X56,summaryref2!AB56,IF(BJ41=summaryref2!X63,summaryref2!AB63,IF(BJ41=summaryref2!X70,summaryref2!AB70,IF(BJ41=summaryref2!X77,summaryref2!AB77,"")))))))))))</f>
        <v/>
      </c>
      <c r="BO41" s="1327" t="str">
        <f>IF('A-80 DirEntInv'!BO40&lt;&gt;"",'A-80 DirEntInv'!BO40,IF(BJ41=summaryref2!X14,summaryref2!AC14,IF(BJ41=summaryref2!X21,summaryref2!AC21,IF(BJ41=summaryref2!X28,summaryref2!AC28,IF(BJ41=summaryref2!X35,summaryref2!AC35,IF(BJ41=summaryref2!X42,summaryref2!AC42,IF(BJ41=summaryref2!X49,summaryref2!AC49,IF(BJ41=summaryref2!X56,summaryref2!AC56,IF(BJ41=summaryref2!X63,summaryref2!AC63,IF(BJ41=summaryref2!X70,summaryref2!AC70,IF(BJ41=summaryref2!X77,summaryref2!AC77,"")))))))))))</f>
        <v/>
      </c>
      <c r="BP41" s="1322" t="str">
        <f>IF('A-80 DirEntInv'!BP40&lt;&gt;"",'A-80 DirEntInv'!BP40,IF(BJ41=summaryref2!X14,summaryref2!AD14,IF(BJ41=summaryref2!X21,summaryref2!AD21,IF(BJ41=summaryref2!X28,summaryref2!AD28,IF(BJ41=summaryref2!X35,summaryref2!AD35,IF(BJ41=summaryref2!X42,summaryref2!AD42,IF(BJ41=summaryref2!X49,summaryref2!AD49,IF(BJ41=summaryref2!X56,summaryref2!AD56,IF(BJ41=summaryref2!X63,summaryref2!AD63,IF(BJ41=summaryref2!X70,summaryref2!AD70,IF(BJ41=summaryref2!X77,summaryref2!AD77,"")))))))))))</f>
        <v/>
      </c>
      <c r="BS41" s="1472" t="str">
        <f ca="1">IF('A-80 DirEntInv'!BU40&lt;&gt;"",'A-80 DirEntInv'!BU40,IF(INDIRECT(ADDRESS(SumRef!DK47,SumRef!DK$16,,,SumRef!$E$6))="","",INDIRECT(ADDRESS(SumRef!DK47,SumRef!DK$16,,,SumRef!$E$6))))</f>
        <v/>
      </c>
      <c r="BT41" s="1458" t="str">
        <f ca="1">IF('A-80 DirEntInv'!BV40&lt;&gt;"",'A-80 DirEntInv'!BV40,IF(INDIRECT(ADDRESS(SumRef!DL47,SumRef!DL$16,,,SumRef!$E$6))="","",INDIRECT(ADDRESS(SumRef!DL47,SumRef!DL$16,,,SumRef!$E$6))))</f>
        <v/>
      </c>
      <c r="BU41" s="1177" t="str">
        <f ca="1">IF('A-80 DirEntInv'!BW40&lt;&gt;"",'A-80 DirEntInv'!BW40,IF(INDIRECT(ADDRESS(SumRef!DM47,SumRef!DM$16,,,SumRef!$E$6))="","",INDIRECT(ADDRESS(SumRef!DM47,SumRef!DM$16,,,SumRef!$E$6))))</f>
        <v/>
      </c>
      <c r="BV41" s="1460" t="str">
        <f ca="1">IF('A-80 DirEntInv'!BX40&lt;&gt;"",'A-80 DirEntInv'!BX40,IF(INDIRECT(ADDRESS(SumRef!DN47,SumRef!DN$16,,,SumRef!$E$6))="","",INDIRECT(ADDRESS(SumRef!DN47,SumRef!DN$16,,,SumRef!$E$6))))</f>
        <v/>
      </c>
      <c r="BW41" s="1460" t="str">
        <f ca="1">IF('A-80 DirEntInv'!BY40&lt;&gt;"",'A-80 DirEntInv'!BY40,IF(INDIRECT(ADDRESS(SumRef!DO47,SumRef!DO$16,,,SumRef!$E$6))="","",INDIRECT(ADDRESS(SumRef!DO47,SumRef!DO$16,,,SumRef!$E$6))))</f>
        <v/>
      </c>
      <c r="BX41" s="1116" t="str">
        <f ca="1">IF('A-80 DirEntInv'!BZ40&lt;&gt;"",'A-80 DirEntInv'!BZ40,IF(INDIRECT(ADDRESS(SumRef!DP47,SumRef!DP$16,,,SumRef!$E$6))="","",INDIRECT(ADDRESS(SumRef!DP47,SumRef!DP$16,,,SumRef!$E$6))))</f>
        <v/>
      </c>
      <c r="BY41" s="1461" t="str">
        <f ca="1">IF('A-80 DirEntInv'!CA40&lt;&gt;"",'A-80 DirEntInv'!CA40,IF(INDIRECT(ADDRESS(SumRef!DQ47,SumRef!DQ$16,,,SumRef!$E$6))="","",INDIRECT(ADDRESS(SumRef!DQ47,SumRef!DQ$16,,,SumRef!$E$6))))</f>
        <v/>
      </c>
      <c r="BZ41" s="1460" t="str">
        <f ca="1">IF('A-80 DirEntInv'!CB40&lt;&gt;"",'A-80 DirEntInv'!CB40,IF(INDIRECT(ADDRESS(SumRef!DR47,SumRef!DR$16,,,SumRef!$E$6))="","",INDIRECT(ADDRESS(SumRef!DR47,SumRef!DR$16,,,SumRef!$E$6))))</f>
        <v/>
      </c>
      <c r="CA41" s="1462" t="str">
        <f ca="1">IF('A-80 DirEntInv'!CC40&lt;&gt;"",'A-80 DirEntInv'!CC40,IF(INDIRECT(ADDRESS(SumRef!DS47,SumRef!DS$16,,,SumRef!$E$6))="","",INDIRECT(ADDRESS(SumRef!DS47,SumRef!DS$16,,,SumRef!$E$6))))</f>
        <v/>
      </c>
      <c r="CD41" s="1160" t="str">
        <f ca="1">IF('A-80 DirEntInv'!CF40&lt;&gt;"",'A-80 DirEntInv'!CF40,IF(INDIRECT(ADDRESS(SumRef!DV47,SumRef!DV$16,,,SumRef!$E$7))="","",INDIRECT(ADDRESS(SumRef!DV47,SumRef!DV$16,,,SumRef!$E$7))))</f>
        <v/>
      </c>
      <c r="CE41" s="1167" t="str">
        <f ca="1">IF('A-80 DirEntInv'!CG40&lt;&gt;"",'A-80 DirEntInv'!CG40,IF(INDIRECT(ADDRESS(SumRef!DW47,SumRef!DW$16,,,SumRef!$E$7))="","",INDIRECT(ADDRESS(SumRef!DW47,SumRef!DW$16,,,SumRef!$E$7))))</f>
        <v/>
      </c>
      <c r="CF41" s="1167" t="str">
        <f ca="1">IF('A-80 DirEntInv'!CH40&lt;&gt;"",'A-80 DirEntInv'!CH40,IF(INDIRECT(ADDRESS(SumRef!DX47,SumRef!DX$16,,,SumRef!$E$7))="","",INDIRECT(ADDRESS(SumRef!DX47,SumRef!DX$16,,,SumRef!$E$7))))</f>
        <v/>
      </c>
      <c r="CG41" s="1167" t="str">
        <f ca="1">IF('A-80 DirEntInv'!CI40&lt;&gt;"",'A-80 DirEntInv'!CI40,IF(INDIRECT(ADDRESS(SumRef!DY47,SumRef!DY$16,,,SumRef!$E$7))="","",INDIRECT(ADDRESS(SumRef!DY47,SumRef!DY$16,,,SumRef!$E$7))))</f>
        <v/>
      </c>
      <c r="CH41" s="1167" t="str">
        <f ca="1">IF('A-80 DirEntInv'!CJ40&lt;&gt;"",'A-80 DirEntInv'!CJ40,IF(INDIRECT(ADDRESS(SumRef!DZ47,SumRef!DZ$16,,,SumRef!$E$7))="","",INDIRECT(ADDRESS(SumRef!DZ47,SumRef!DZ$16,,,SumRef!$E$7))))</f>
        <v/>
      </c>
      <c r="CI41" s="1167" t="str">
        <f ca="1">IF('A-80 DirEntInv'!CK40&lt;&gt;"",'A-80 DirEntInv'!CK40,IF(INDIRECT(ADDRESS(SumRef!EA47,SumRef!EA$16,,,SumRef!$E$7))="","",INDIRECT(ADDRESS(SumRef!EA47,SumRef!EA$16,,,SumRef!$E$7))))</f>
        <v/>
      </c>
      <c r="CJ41" s="1114" t="str">
        <f ca="1">IF('A-80 DirEntInv'!CL40&lt;&gt;"",'A-80 DirEntInv'!CL40,IF(INDIRECT(ADDRESS(SumRef!EB47,SumRef!EB$16,,,SumRef!$E$7))="","",INDIRECT(ADDRESS(SumRef!EB47,SumRef!EB$16,,,SumRef!$E$7))))</f>
        <v/>
      </c>
      <c r="CK41" s="1114" t="str">
        <f ca="1">IF('A-80 DirEntInv'!CM40&lt;&gt;"",'A-80 DirEntInv'!CM40,IF(INDIRECT(ADDRESS(SumRef!EC47,SumRef!EC$16,,,SumRef!$E$7))="","",INDIRECT(ADDRESS(SumRef!EC47,SumRef!EC$16,,,SumRef!$E$7))))</f>
        <v/>
      </c>
      <c r="CL41" s="1113" t="str">
        <f ca="1">IF('A-80 DirEntInv'!CO40&lt;&gt;"",'A-80 DirEntInv'!CO40,IF(INDIRECT(ADDRESS(SumRef!ED47,SumRef!ED$16,,,SumRef!$E$7))="","",INDIRECT(ADDRESS(SumRef!ED47,SumRef!ED$16,,,SumRef!$E$7))))</f>
        <v/>
      </c>
      <c r="CM41" s="1114" t="str">
        <f ca="1">IF('A-80 DirEntInv'!CP40&lt;&gt;"",'A-80 DirEntInv'!CP40,IF(INDIRECT(ADDRESS(SumRef!EE47,SumRef!EE$16,,,SumRef!$E$7))="","",INDIRECT(ADDRESS(SumRef!EE47,SumRef!EE$16,,,SumRef!$E$7))))</f>
        <v/>
      </c>
      <c r="CN41" s="1114" t="str">
        <f ca="1">IF('A-80 DirEntInv'!CQ40&lt;&gt;"",'A-80 DirEntInv'!CQ40,IF(INDIRECT(ADDRESS(SumRef!EF47,SumRef!EF$16,,,SumRef!$E$7))="","",INDIRECT(ADDRESS(SumRef!EF47,SumRef!EF$16,,,SumRef!$E$7))))</f>
        <v/>
      </c>
      <c r="CO41" s="1113" t="str">
        <f ca="1">IF('A-80 DirEntInv'!CR40&lt;&gt;"",'A-80 DirEntInv'!CR40,IF(INDIRECT(ADDRESS(SumRef!EG47,SumRef!EG$16,,,SumRef!$E$7))="","",INDIRECT(ADDRESS(SumRef!EG47,SumRef!EG$16,,,SumRef!$E$7))))</f>
        <v/>
      </c>
      <c r="CP41" s="1114" t="str">
        <f ca="1">IF('A-80 DirEntInv'!CS40&lt;&gt;"",'A-80 DirEntInv'!CS40,IF(INDIRECT(ADDRESS(SumRef!EH47,SumRef!EH$16,,,SumRef!$E$7))="","",INDIRECT(ADDRESS(SumRef!EH47,SumRef!EH$16,,,SumRef!$E$7))))</f>
        <v/>
      </c>
      <c r="CQ41" s="1346" t="str">
        <f ca="1">IF('A-80 DirEntInv'!CT40&lt;&gt;"",'A-80 DirEntInv'!CT40,IF(INDIRECT(ADDRESS(SumRef!EI47,SumRef!EI$16,,,SumRef!$E$7))="","",INDIRECT(ADDRESS(SumRef!EI47,SumRef!EI$16,,,SumRef!$E$7))))</f>
        <v/>
      </c>
      <c r="CR41" s="1113" t="str">
        <f ca="1">IF('A-80 DirEntInv'!CU40&lt;&gt;"",'A-80 DirEntInv'!CU40,IF(INDIRECT(ADDRESS(SumRef!EJ47,SumRef!EJ$16,,,SumRef!$E$7))="","",INDIRECT(ADDRESS(SumRef!EJ47,SumRef!EJ$16,,,SumRef!$E$7))))</f>
        <v/>
      </c>
      <c r="CS41" s="1346" t="str">
        <f ca="1">IF('A-80 DirEntInv'!CV40&lt;&gt;"",'A-80 DirEntInv'!CV40,IF(INDIRECT(ADDRESS(SumRef!EM47,SumRef!EM$16,,,SumRef!$E$7))="","",INDIRECT(ADDRESS(SumRef!EM47,SumRef!EM$16,,,SumRef!$E$7))))</f>
        <v/>
      </c>
      <c r="CT41" s="1113" t="str">
        <f ca="1">IF('A-80 DirEntInv'!CW40&lt;&gt;"",'A-80 DirEntInv'!CW40,IF(INDIRECT(ADDRESS(SumRef!EN47,SumRef!EN$16,,,SumRef!$E$7))="","",INDIRECT(ADDRESS(SumRef!EN47,SumRef!EN$16,,,SumRef!$E$7))))</f>
        <v/>
      </c>
      <c r="CU41" s="1113" t="str">
        <f ca="1">IF('A-80 DirEntInv'!CX40&lt;&gt;"",'A-80 DirEntInv'!CX40,IF(INDIRECT(ADDRESS(SumRef!EO47,SumRef!EO$16,,,SumRef!$E$7))="","",INDIRECT(ADDRESS(SumRef!EO47,SumRef!EO$16,,,SumRef!$E$7))))</f>
        <v/>
      </c>
      <c r="CV41" s="1113" t="str">
        <f ca="1">IF('A-80 DirEntInv'!CY40&lt;&gt;"",'A-80 DirEntInv'!CY40,IF(INDIRECT(ADDRESS(SumRef!EP47,SumRef!EP$16,,,SumRef!$E$7))="","",INDIRECT(ADDRESS(SumRef!EP47,SumRef!EP$16,,,SumRef!$E$7))))</f>
        <v/>
      </c>
      <c r="CW41" s="1114" t="str">
        <f ca="1">IF('A-80 DirEntInv'!CZ40&lt;&gt;"",'A-80 DirEntInv'!CZ40,IF(INDIRECT(ADDRESS(SumRef!ES47,SumRef!ES$16,,,SumRef!$E$7))="","",INDIRECT(ADDRESS(SumRef!ES47,SumRef!ES$16,,,SumRef!$E$7))))</f>
        <v/>
      </c>
      <c r="CX41" s="1167" t="str">
        <f ca="1">IF('A-80 DirEntInv'!DA40&lt;&gt;"",'A-80 DirEntInv'!DA40,IF(INDIRECT(ADDRESS(SumRef!ET47,SumRef!ET$16,,,SumRef!$E$7))="","",INDIRECT(ADDRESS(SumRef!ET47,SumRef!ET$16,,,SumRef!$E$7))))</f>
        <v/>
      </c>
      <c r="CY41" s="1167" t="str">
        <f ca="1">IF('A-80 DirEntInv'!DB40&lt;&gt;"",'A-80 DirEntInv'!DB40,IF(INDIRECT(ADDRESS(SumRef!EU47,SumRef!EU$16,,,SumRef!$E$7))="","",INDIRECT(ADDRESS(SumRef!EU47,SumRef!EU$16,,,SumRef!$E$7))))</f>
        <v/>
      </c>
      <c r="CZ41" s="1167" t="b">
        <f ca="1">IF('A-80 DirEntInv'!DC40&lt;&gt;"",'A-80 DirEntInv'!DC40,IF(INDIRECT(ADDRESS(SumRef!EV47,SumRef!EV$16,,,SumRef!$E$7))="","",INDIRECT(ADDRESS(SumRef!EV47,SumRef!EV$16,,,SumRef!$E$7))))</f>
        <v>0</v>
      </c>
      <c r="DA41" s="1373" t="str">
        <f ca="1">IF('A-80 DirEntInv'!DD40&lt;&gt;"",'A-80 DirEntInv'!DD40,IF(INDIRECT(ADDRESS(SumRef!EW47,SumRef!EW$16,,,SumRef!$E$7))="","",INDIRECT(ADDRESS(SumRef!EW47,SumRef!EW$16,,,SumRef!$E$7))))</f>
        <v/>
      </c>
      <c r="DB41" s="1373" t="b">
        <f ca="1">IF('A-80 DirEntInv'!DE40&lt;&gt;"",'A-80 DirEntInv'!DE40,IF(INDIRECT(ADDRESS(SumRef!EX47,SumRef!EX$16,,,SumRef!$E$7))="","",INDIRECT(ADDRESS(SumRef!EX47,SumRef!EX$16,,,SumRef!$E$7))))</f>
        <v>0</v>
      </c>
      <c r="DC41" s="1114" t="b">
        <f ca="1">IF('A-80 DirEntInv'!DF40&lt;&gt;"",'A-80 DirEntInv'!DF40,IF(INDIRECT(ADDRESS(SumRef!EY47,SumRef!EY$16,,,SumRef!$E$7))="","",INDIRECT(ADDRESS(SumRef!EY47,SumRef!EY$16,,,SumRef!$E$7))))</f>
        <v>0</v>
      </c>
      <c r="DD41" s="1115" t="str">
        <f ca="1">IF('A-80 DirEntInv'!DG40&lt;&gt;"",'A-80 DirEntInv'!DG40,IF(INDIRECT(ADDRESS(SumRef!EZ47,SumRef!EZ$16,,,SumRef!$E$7))="","",INDIRECT(ADDRESS(SumRef!EZ47,SumRef!EZ$16,,,SumRef!$E$7))))</f>
        <v/>
      </c>
    </row>
    <row r="42" spans="1:108" s="588" customFormat="1" x14ac:dyDescent="0.2">
      <c r="A42" s="589">
        <f t="shared" si="0"/>
        <v>32</v>
      </c>
      <c r="B42" s="1155" t="str">
        <f ca="1">IF('A-80 DirEntInv'!B41&lt;&gt;"",'A-80 DirEntInv'!B41,IF(INDIRECT(ADDRESS(SumRef!AQ48,SumRef!AQ$16,,,SumRef!$B$7))="","",INDIRECT(ADDRESS(SumRef!AQ48,SumRef!AQ$16,,,SumRef!$B$7))))</f>
        <v/>
      </c>
      <c r="C42" s="1097" t="str">
        <f ca="1">IF('A-80 DirEntInv'!C41&lt;&gt;"",'A-80 DirEntInv'!C41,IF(INDIRECT(ADDRESS(SumRef!AR48,SumRef!AR$16,,,SumRef!$B$7))="","",INDIRECT(ADDRESS(SumRef!AR48,SumRef!AR$16,,,SumRef!$B$7))))</f>
        <v/>
      </c>
      <c r="D42" s="1097" t="str">
        <f ca="1">IF('A-80 DirEntInv'!D41&lt;&gt;"",'A-80 DirEntInv'!D41,IF(INDIRECT(ADDRESS(SumRef!AS48,SumRef!AS$16,,,SumRef!$B$7))="","",INDIRECT(ADDRESS(SumRef!AS48,SumRef!AS$16,,,SumRef!$B$7))))</f>
        <v/>
      </c>
      <c r="E42" s="1097" t="str">
        <f ca="1">IF('A-80 DirEntInv'!E41&lt;&gt;"",'A-80 DirEntInv'!E41,IF(INDIRECT(ADDRESS(SumRef!AT48,SumRef!AT$16,,,SumRef!$B$7))="","",INDIRECT(ADDRESS(SumRef!AT48,SumRef!AT$16,,,SumRef!$B$7))))</f>
        <v/>
      </c>
      <c r="F42" s="1097" t="str">
        <f ca="1">IF('A-80 DirEntInv'!F41&lt;&gt;"",'A-80 DirEntInv'!F41,IF(INDIRECT(ADDRESS(SumRef!AU48,SumRef!AU$16,,,SumRef!$B$7))="","",INDIRECT(ADDRESS(SumRef!AU48,SumRef!AU$16,,,SumRef!$B$7))))</f>
        <v/>
      </c>
      <c r="G42" s="1158" t="str">
        <f ca="1">IF('A-80 DirEntInv'!G41&lt;&gt;"",'A-80 DirEntInv'!G41,IF(INDIRECT(ADDRESS(SumRef!AV48,SumRef!AV$16,,,SumRef!$B$7))="","",INDIRECT(ADDRESS(SumRef!AV48,SumRef!AV$16,,,SumRef!$B$7))))</f>
        <v/>
      </c>
      <c r="H42" s="1097" t="str">
        <f ca="1">IF('A-80 DirEntInv'!H41&lt;&gt;"",'A-80 DirEntInv'!H41,IF(INDIRECT(ADDRESS(SumRef!AW48,SumRef!AW$16,,,SumRef!$B$7))="","",INDIRECT(ADDRESS(SumRef!AW48,SumRef!AW$16,,,SumRef!$B$7))))</f>
        <v/>
      </c>
      <c r="I42" s="1097" t="str">
        <f ca="1">IF('A-80 DirEntInv'!I41&lt;&gt;"",'A-80 DirEntInv'!I41,IF(INDIRECT(ADDRESS(SumRef!AX48,SumRef!AX$16,,,SumRef!$B$7))="","",INDIRECT(ADDRESS(SumRef!AX48,SumRef!AX$16,,,SumRef!$B$7))))</f>
        <v/>
      </c>
      <c r="J42" s="1098" t="str">
        <f ca="1">IF('A-80 DirEntInv'!J41&lt;&gt;"",'A-80 DirEntInv'!J41,IF(INDIRECT(ADDRESS(SumRef!AY48,SumRef!AY$16,,,SumRef!$B$7))="","",INDIRECT(ADDRESS(SumRef!AY48,SumRef!AY$16,,,SumRef!$B$7))))</f>
        <v/>
      </c>
      <c r="K42" s="1099" t="str">
        <f ca="1">IF('A-80 DirEntInv'!K41&lt;&gt;"",'A-80 DirEntInv'!K41,IF(INDIRECT(ADDRESS(SumRef!AZ48,SumRef!AZ$16,,,SumRef!$B$7))="","",INDIRECT(ADDRESS(SumRef!AZ48,SumRef!AZ$16,,,SumRef!$B$7))))</f>
        <v/>
      </c>
      <c r="L42" s="1100" t="str">
        <f ca="1">IF('A-80 DirEntInv'!L41&lt;&gt;"",'A-80 DirEntInv'!L41,IF(INDIRECT(ADDRESS(SumRef!BA48,SumRef!BA$16,,,SumRef!$B$7))="","",INDIRECT(ADDRESS(SumRef!BA48,SumRef!BA$16,,,SumRef!$B$7))))</f>
        <v/>
      </c>
      <c r="M42" s="1101" t="str">
        <f ca="1">IF('A-80 DirEntInv'!M41&lt;&gt;"",'A-80 DirEntInv'!M41,IF(INDIRECT(ADDRESS(SumRef!BB48,SumRef!BB$16,,,SumRef!$B$7))="","",INDIRECT(ADDRESS(SumRef!BB48,SumRef!BB$16,,,SumRef!$B$7))))</f>
        <v/>
      </c>
      <c r="N42" s="1098" t="str">
        <f ca="1">IF('A-80 DirEntInv'!N41&lt;&gt;"",'A-80 DirEntInv'!N41,IF(INDIRECT(ADDRESS(SumRef!BC48,SumRef!BC$16,,,SumRef!$B$7))="","",INDIRECT(ADDRESS(SumRef!BC48,SumRef!BC$16,,,SumRef!$B$7))))</f>
        <v/>
      </c>
      <c r="O42" s="1102" t="str">
        <f ca="1">IF('A-80 DirEntInv'!O41&lt;&gt;"",'A-80 DirEntInv'!O41,IF(INDIRECT(ADDRESS(SumRef!BD48,SumRef!BD$16,,,SumRef!$B$7))="","",INDIRECT(ADDRESS(SumRef!BD48,SumRef!BD$16,,,SumRef!$B$7))))</f>
        <v/>
      </c>
      <c r="Q42" s="589"/>
      <c r="R42" s="1103" t="str">
        <f ca="1">IF('A-80 DirEntInv'!R41&lt;&gt;"",'A-80 DirEntInv'!R41,IF(INDIRECT(ADDRESS(SumRef!BH48,SumRef!BH$16,,,SumRef!$B$8))="","",INDIRECT(ADDRESS(SumRef!BH48,SumRef!BH$16,,,SumRef!$B$8))))</f>
        <v/>
      </c>
      <c r="S42" s="1104" t="str">
        <f ca="1">IF('A-80 DirEntInv'!S41&lt;&gt;"",'A-80 DirEntInv'!S41,IF(INDIRECT(ADDRESS(SumRef!BI48,SumRef!BI$16,,,SumRef!$B$8))="","",INDIRECT(ADDRESS(SumRef!BI48,SumRef!BI$16,,,SumRef!$B$8))))</f>
        <v/>
      </c>
      <c r="T42" s="1104" t="str">
        <f ca="1">IF('A-80 DirEntInv'!T41&lt;&gt;"",'A-80 DirEntInv'!T41,IF(INDIRECT(ADDRESS(SumRef!BJ48,SumRef!BJ$16,,,SumRef!$B$8))="","",INDIRECT(ADDRESS(SumRef!BJ48,SumRef!BJ$16,,,SumRef!$B$8))))</f>
        <v/>
      </c>
      <c r="U42" s="1104" t="str">
        <f ca="1">IF('A-80 DirEntInv'!U41&lt;&gt;"",'A-80 DirEntInv'!U41,IF(INDIRECT(ADDRESS(SumRef!BK48,SumRef!BK$16,,,SumRef!$B$8))="","",INDIRECT(ADDRESS(SumRef!BK48,SumRef!BK$16,,,SumRef!$B$8))))</f>
        <v/>
      </c>
      <c r="V42" s="1104" t="str">
        <f ca="1">IF('A-80 DirEntInv'!V41&lt;&gt;"",'A-80 DirEntInv'!V41,IF(INDIRECT(ADDRESS(SumRef!BL48,SumRef!BL$16,,,SumRef!$B$8))="","",INDIRECT(ADDRESS(SumRef!BL48,SumRef!BL$16,,,SumRef!$B$8))))</f>
        <v/>
      </c>
      <c r="W42" s="1354" t="str">
        <f ca="1">IF('A-80 DirEntInv'!W41&lt;&gt;"",'A-80 DirEntInv'!W41,IF(INDIRECT(ADDRESS(SumRef!BM48,SumRef!BM$16,,,SumRef!$B$8))="","",INDIRECT(ADDRESS(SumRef!BM48,SumRef!BM$16,,,SumRef!$B$8))))</f>
        <v/>
      </c>
      <c r="X42" s="1203" t="str">
        <f ca="1">IF('A-80 DirEntInv'!X41&lt;&gt;"",'A-80 DirEntInv'!X41,IF(INDIRECT(ADDRESS(SumRef!BN48,SumRef!BN$16,,,SumRef!$B$8))="","",INDIRECT(ADDRESS(SumRef!BN48,SumRef!BN$16,,,SumRef!$B$8))))</f>
        <v/>
      </c>
      <c r="Y42" s="1203" t="str">
        <f ca="1">IF('A-80 DirEntInv'!Y41&lt;&gt;"",'A-80 DirEntInv'!Y41,IF(INDIRECT(ADDRESS(SumRef!BO48,SumRef!BO$16,,,SumRef!$B$8))="","",INDIRECT(ADDRESS(SumRef!BO48,SumRef!BO$16,,,SumRef!$B$8))))</f>
        <v/>
      </c>
      <c r="Z42" s="1104" t="str">
        <f ca="1">IF('A-80 DirEntInv'!Z41&lt;&gt;"",'A-80 DirEntInv'!Z41,IF(INDIRECT(ADDRESS(SumRef!BP48,SumRef!BP$16,,,SumRef!$B$8))="","",INDIRECT(ADDRESS(SumRef!BP48,SumRef!BP$16,,,SumRef!$B$8))))</f>
        <v/>
      </c>
      <c r="AA42" s="1104" t="str">
        <f ca="1">IF('A-80 DirEntInv'!AA41&lt;&gt;"",'A-80 DirEntInv'!AA41,IF(INDIRECT(ADDRESS(SumRef!BQ48,SumRef!BQ$16,,,SumRef!$B$8))="","",INDIRECT(ADDRESS(SumRef!BQ48,SumRef!BQ$16,,,SumRef!$B$8))))</f>
        <v/>
      </c>
      <c r="AB42" s="1106" t="str">
        <f ca="1">IF('A-80 DirEntInv'!AB41&lt;&gt;"",'A-80 DirEntInv'!AB41,IF(INDIRECT(ADDRESS(SumRef!BR48,SumRef!BR$16,,,SumRef!$B$8))="","",INDIRECT(ADDRESS(SumRef!BR48,SumRef!BR$16,,,SumRef!$B$8))))</f>
        <v/>
      </c>
      <c r="AC42" s="1107" t="str">
        <f ca="1">IF('A-80 DirEntInv'!AC41&lt;&gt;"",'A-80 DirEntInv'!AC41,IF(INDIRECT(ADDRESS(SumRef!BS48,SumRef!BS$16,,,SumRef!$B$8))="","",INDIRECT(ADDRESS(SumRef!BS48,SumRef!BS$16,,,SumRef!$B$8))))</f>
        <v/>
      </c>
      <c r="AD42" s="1349" t="str">
        <f ca="1">IF('A-80 DirEntInv'!AD41&lt;&gt;"",'A-80 DirEntInv'!AD41,IF(INDIRECT(ADDRESS(SumRef!BT48,SumRef!BT$16,,,SumRef!$B$8))="","",INDIRECT(ADDRESS(SumRef!BT48,SumRef!BT$16,,,SumRef!$B$8))))</f>
        <v/>
      </c>
      <c r="AE42" s="1137" t="str">
        <f ca="1">IF('A-80 DirEntInv'!AE41&lt;&gt;"",'A-80 DirEntInv'!AE41,IF(INDIRECT(ADDRESS(SumRef!BU48,SumRef!BU$16,,,SumRef!$B$8))="","",INDIRECT(ADDRESS(SumRef!BU48,SumRef!BU$16,,,SumRef!$B$8))))</f>
        <v/>
      </c>
      <c r="AF42" s="1346" t="str">
        <f ca="1">IF('A-80 DirEntInv'!AF41&lt;&gt;"",'A-80 DirEntInv'!AF41,IF(INDIRECT(ADDRESS(SumRef!BV48,SumRef!BV$16,,,SumRef!$B$8))="","",INDIRECT(ADDRESS(SumRef!BV48,SumRef!BV$16,,,SumRef!$B$8))))</f>
        <v/>
      </c>
      <c r="AG42" s="1105" t="str">
        <f ca="1">IF('A-80 DirEntInv'!AG41&lt;&gt;"",'A-80 DirEntInv'!AG41,IF(INDIRECT(ADDRESS(SumRef!BW48,SumRef!BW$16,,,SumRef!$B$8))="","",INDIRECT(ADDRESS(SumRef!BW48,SumRef!BW$16,,,SumRef!$B$8))))</f>
        <v/>
      </c>
      <c r="AH42" s="1357" t="str">
        <f ca="1">IF('A-80 DirEntInv'!AH41&lt;&gt;"",'A-80 DirEntInv'!AH41,IF(INDIRECT(ADDRESS(SumRef!BX48,SumRef!BX$16,,,SumRef!$B$8))="","",INDIRECT(ADDRESS(SumRef!BX48,SumRef!BX$16,,,SumRef!$B$8))))</f>
        <v/>
      </c>
      <c r="AK42" s="1041" t="str">
        <f>Codes!$C$158</f>
        <v>AR - Alaska Railroad</v>
      </c>
      <c r="AL42" s="1042" t="str">
        <f>Valid!$B$74</f>
        <v>Elevated/Concrete</v>
      </c>
      <c r="AM42" s="1108" t="str">
        <f>IF('A-80 DirEntInv'!AM41&lt;&gt;"",'A-80 DirEntInv'!AM41,IF(AK42=summaryref2!B15,summaryref2!D15,IF(Summary!AK42=summaryref2!B29,summaryref2!D29,IF(AK42=summaryref2!B43,summaryref2!D43,IF(AK42=summaryref2!B57,summaryref2!D57,IF(AK42=summaryref2!B71,summaryref2!D71,IF(AK42=summaryref2!B85,summaryref2!D85,IF(AK42=summaryref2!B99,summaryref2!D99,IF(AK42=summaryref2!B113,summaryref2!D113,IF(AK42=summaryref2!B127,summaryref2!D127,IF(AK42=summaryref2!B141,summaryref2!D141,"")))))))))))</f>
        <v/>
      </c>
      <c r="AN42" s="1109" t="str">
        <f ca="1">IF('A-80 DirEntInv'!AN41&lt;&gt;"",'A-80 DirEntInv'!AN41,IF(INDIRECT(ADDRESS(SumRef!CG34,SumRef!CG$16,,,SumRef!$C$7))="","",INDIRECT(ADDRESS(SumRef!CG34,SumRef!CG$16,,,SumRef!$C$7))))</f>
        <v>Linear Feet</v>
      </c>
      <c r="AO42" s="1108" t="str">
        <f>IF('A-80 DirEntInv'!AO41&lt;&gt;"",'A-80 DirEntInv'!AO41,IF(AK42=summaryref2!B15,summaryref2!F15,IF(Summary!AK42=summaryref2!B29,summaryref2!F29,IF(AK42=summaryref2!B43,summaryref2!F43,IF(AK42=summaryref2!B57,summaryref2!F57,IF(AK42=summaryref2!B71,summaryref2!F71,IF(AK42=summaryref2!B85,summaryref2!F85,IF(AK42=summaryref2!B99,summaryref2!F99,IF(AK42=summaryref2!B113,summaryref2!F113,IF(AK42=summaryref2!B127,summaryref2!F127,IF(AK42=summaryref2!B141,summaryref2!F141,"")))))))))))</f>
        <v/>
      </c>
      <c r="AP42" s="1109" t="str">
        <f ca="1">IF('A-80 DirEntInv'!AP41&lt;&gt;"",'A-80 DirEntInv'!AP41,IF(INDIRECT(ADDRESS(SumRef!#REF!,SumRef!#REF!,,,SumRef!$C$7))="","",INDIRECT(ADDRESS(SumRef!#REF!,SumRef!#REF!,,,SumRef!$C$7))))</f>
        <v>Track Feet</v>
      </c>
      <c r="AQ42" s="1147" t="str">
        <f>IF('A-80 DirEntInv'!AQ41&lt;&gt;"",'A-80 DirEntInv'!AQ41,IF(AK42=summaryref2!B15,summaryref2!G15,IF(Summary!AK42=summaryref2!B29,summaryref2!G29,IF(AK42=summaryref2!B43,summaryref2!G43,IF(AK42=summaryref2!B57,summaryref2!G57,IF(AK42=summaryref2!B71,summaryref2!G71,IF(AK42=summaryref2!B85,summaryref2!G85,IF(AK42=summaryref2!B99,summaryref2!G99,IF(AK42=summaryref2!B113,summaryref2!G113,IF(AK42=summaryref2!B127,summaryref2!G127,IF(AK42=summaryref2!B141,summaryref2!G141,"")))))))))))</f>
        <v/>
      </c>
      <c r="AR42" s="1147" t="str">
        <f>IF('A-80 DirEntInv'!AR41&lt;&gt;"",'A-80 DirEntInv'!AR41,IF(AK42=summaryref2!B15,summaryref2!H15,IF(Summary!AK42=summaryref2!B29,summaryref2!H29,IF(AK42=summaryref2!B43,summaryref2!H43,IF(AK42=summaryref2!B57,summaryref2!H57,IF(AK42=summaryref2!B71,summaryref2!H71,IF(AK42=summaryref2!B85,summaryref2!H85,IF(AK42=summaryref2!B99,summaryref2!H99,IF(AK42=summaryref2!B113,summaryref2!H113,IF(AK42=summaryref2!B127,summaryref2!H127,IF(AK42=summaryref2!B141,summaryref2!H141,"")))))))))))</f>
        <v/>
      </c>
      <c r="AS42" s="1110" t="str">
        <f>IF('A-80 DirEntInv'!AS41&lt;&gt;"",'A-80 DirEntInv'!AS41,IF(AK42=summaryref2!B15,summaryref2!I15,IF(Summary!AK42=summaryref2!B29,summaryref2!I29,IF(AK42=summaryref2!B43,summaryref2!I43,IF(AK42=summaryref2!B57,summaryref2!I57,IF(AK42=summaryref2!B71,summaryref2!I71,IF(AK42=summaryref2!B85,summaryref2!I85,IF(AK42=summaryref2!B99,summaryref2!I99,IF(AK42=summaryref2!B113,summaryref2!I113,IF(AK42=summaryref2!B127,summaryref2!I127,IF(AK42=summaryref2!B141,summaryref2!I141,"")))))))))))</f>
        <v/>
      </c>
      <c r="AT42" s="1110" t="str">
        <f>IF('A-80 DirEntInv'!AT41&lt;&gt;"",'A-80 DirEntInv'!AT41,IF(AK42=summaryref2!B15,summaryref2!J15,IF(Summary!AK42=summaryref2!B29,summaryref2!J29,IF(AK42=summaryref2!B43,summaryref2!J43,IF(AK42=summaryref2!B57,summaryref2!J57,IF(AK42=summaryref2!B71,summaryref2!J71,IF(AK42=summaryref2!B85,summaryref2!J85,IF(AK42=summaryref2!B99,summaryref2!J99,IF(AK42=summaryref2!B113,summaryref2!J113,IF(AK42=summaryref2!B127,summaryref2!J127,IF(AK42=summaryref2!B141,summaryref2!J141,"")))))))))))</f>
        <v/>
      </c>
      <c r="AU42" s="1110" t="str">
        <f>IF('A-80 DirEntInv'!AU41&lt;&gt;"",'A-80 DirEntInv'!AU41,IF(AK42=summaryref2!B15,summaryref2!K15,IF(Summary!AK42=summaryref2!B29,summaryref2!K29,IF(AK42=summaryref2!B43,summaryref2!K43,IF(AK42=summaryref2!B57,summaryref2!K57,IF(AK42=summaryref2!B71,summaryref2!K71,IF(AK42=summaryref2!B85,summaryref2!K85,IF(AK42=summaryref2!B99,summaryref2!K99,IF(AK42=summaryref2!B113,summaryref2!K113,IF(AK42=summaryref2!B127,summaryref2!K127,IF(AK42=summaryref2!B141,summaryref2!K141,"")))))))))))</f>
        <v/>
      </c>
      <c r="AV42" s="1110" t="str">
        <f>IF('A-80 DirEntInv'!AV41&lt;&gt;"",'A-80 DirEntInv'!AV41,IF(AK42=summaryref2!B15,summaryref2!L15,IF(Summary!AK42=summaryref2!B29,summaryref2!L29,IF(AK42=summaryref2!B43,summaryref2!L43,IF(AK42=summaryref2!B57,summaryref2!L57,IF(AK42=summaryref2!B71,summaryref2!L71,IF(AK42=summaryref2!B85,summaryref2!L85,IF(AK42=summaryref2!B99,summaryref2!L99,IF(AK42=summaryref2!B113,summaryref2!L113,IF(AK42=summaryref2!B127,summaryref2!L127,IF(AK42=summaryref2!B141,summaryref2!L141,"")))))))))))</f>
        <v/>
      </c>
      <c r="AW42" s="1110" t="str">
        <f>IF('A-80 DirEntInv'!AW41&lt;&gt;"",'A-80 DirEntInv'!AW41,IF(AK42=summaryref2!B15,summaryref2!M15,IF(Summary!AK42=summaryref2!B29,summaryref2!M29,IF(AK42=summaryref2!B43,summaryref2!M43,IF(AK42=summaryref2!B57,summaryref2!M57,IF(AK42=summaryref2!B71,summaryref2!M71,IF(AK42=summaryref2!B85,summaryref2!M85,IF(AK42=summaryref2!B99,summaryref2!M99,IF(AK42=summaryref2!B113,summaryref2!M113,IF(AK42=summaryref2!B127,summaryref2!M127,IF(AK42=summaryref2!B141,summaryref2!M141,"")))))))))))</f>
        <v/>
      </c>
      <c r="AX42" s="1110" t="str">
        <f>IF('A-80 DirEntInv'!AX41&lt;&gt;"",'A-80 DirEntInv'!AX41,IF(AK42=summaryref2!B15,summaryref2!N15,IF(Summary!AK42=summaryref2!B29,summaryref2!N29,IF(AK42=summaryref2!B43,summaryref2!N43,IF(AK42=summaryref2!B57,summaryref2!N57,IF(AK42=summaryref2!B71,summaryref2!N71,IF(AK42=summaryref2!B85,summaryref2!N85,IF(AK42=summaryref2!B99,summaryref2!N99,IF(AK42=summaryref2!B113,summaryref2!N113,IF(AK42=summaryref2!B127,summaryref2!N127,IF(AK42=summaryref2!B141,summaryref2!N141,"")))))))))))</f>
        <v/>
      </c>
      <c r="AY42" s="1110" t="str">
        <f>IF('A-80 DirEntInv'!AY41&lt;&gt;"",'A-80 DirEntInv'!AY41,IF(AK42=summaryref2!B15,summaryref2!O15,IF(Summary!AK42=summaryref2!B29,summaryref2!O29,IF(AK42=summaryref2!B43,summaryref2!O43,IF(AK42=summaryref2!B57,summaryref2!O57,IF(AK42=summaryref2!B71,summaryref2!O71,IF(AK42=summaryref2!B85,summaryref2!O85,IF(AK42=summaryref2!B99,summaryref2!O99,IF(AK42=summaryref2!B113,summaryref2!O113,IF(AK42=summaryref2!B127,summaryref2!O127,IF(AK42=summaryref2!B141,summaryref2!O141,"")))))))))))</f>
        <v/>
      </c>
      <c r="AZ42" s="1110" t="str">
        <f>IF('A-80 DirEntInv'!AZ41&lt;&gt;"",'A-80 DirEntInv'!AZ41,IF(AK42=summaryref2!B15,summaryref2!P15,IF(Summary!AK42=summaryref2!B29,summaryref2!P29,IF(AK42=summaryref2!B43,summaryref2!P43,IF(AK42=summaryref2!B57,summaryref2!P57,IF(AK42=summaryref2!B71,summaryref2!P71,IF(AK42=summaryref2!B85,summaryref2!P85,IF(AK42=summaryref2!B99,summaryref2!P99,IF(AK42=summaryref2!B113,summaryref2!P113,IF(AK42=summaryref2!B127,summaryref2!P127,IF(AK42=summaryref2!B141,summaryref2!P141,"")))))))))))</f>
        <v/>
      </c>
      <c r="BA42" s="1110" t="str">
        <f>IF('A-80 DirEntInv'!BA41&lt;&gt;"",'A-80 DirEntInv'!BA41,IF(AK42=summaryref2!B15,summaryref2!Q15,IF(Summary!AK42=summaryref2!B29,summaryref2!Q29,IF(AK42=summaryref2!B43,summaryref2!Q43,IF(AK42=summaryref2!B57,summaryref2!Q57,IF(AK42=summaryref2!B71,summaryref2!Q71,IF(AK42=summaryref2!B85,summaryref2!Q85,IF(AK42=summaryref2!B99,summaryref2!Q99,IF(AK42=summaryref2!B113,summaryref2!Q113,IF(AK42=summaryref2!B127,summaryref2!Q127,IF(AK42=summaryref2!B141,summaryref2!Q141,"")))))))))))</f>
        <v/>
      </c>
      <c r="BB42" s="1110" t="str">
        <f>IF('A-80 DirEntInv'!BB41&lt;&gt;"",'A-80 DirEntInv'!BB41,IF(AK42=summaryref2!B15,summaryref2!R15,IF(Summary!AK42=summaryref2!B29,summaryref2!R29,IF(AK42=summaryref2!B43,summaryref2!R43,IF(AK42=summaryref2!B57,summaryref2!R57,IF(AK42=summaryref2!B71,summaryref2!R71,IF(AK42=summaryref2!B85,summaryref2!R85,IF(AK42=summaryref2!B99,summaryref2!R99,IF(AK42=summaryref2!B113,summaryref2!R113,IF(AK42=summaryref2!B127,summaryref2!R127,IF(AK42=summaryref2!B141,summaryref2!R141,"")))))))))))</f>
        <v/>
      </c>
      <c r="BC42" s="1110" t="str">
        <f>IF('A-80 DirEntInv'!BC41&lt;&gt;0,'A-80 DirEntInv'!BC41,IF(AK42=summaryref2!B15,summaryref2!S15,IF(Summary!AK42=summaryref2!B29,summaryref2!S29,IF(AK42=summaryref2!B43,summaryref2!S43,IF(AK42=summaryref2!B57,summaryref2!S57,IF(AK42=summaryref2!B71,summaryref2!S71,IF(AK42=summaryref2!B85,summaryref2!S85,IF(AK42=summaryref2!B99,summaryref2!S99,IF(AK42=summaryref2!B113,summaryref2!S113,IF(AK42=summaryref2!B127,summaryref2!S127,IF(AK42=summaryref2!B141,summaryref2!S141,"")))))))))))</f>
        <v/>
      </c>
      <c r="BD42" s="1111" t="str">
        <f>IF('A-80 DirEntInv'!BD41&lt;&gt;"",'A-80 DirEntInv'!BD41,IF(AK42=summaryref2!B15,summaryref2!T15,IF(Summary!AK42=summaryref2!B29,summaryref2!T29,IF(AK42=summaryref2!B43,summaryref2!T43,IF(AK42=summaryref2!B57,summaryref2!T57,IF(AK42=summaryref2!B71,summaryref2!T71,IF(AK42=summaryref2!B85,summaryref2!T85,IF(AK42=summaryref2!B99,summaryref2!T99,IF(AK42=summaryref2!B113,summaryref2!T113,IF(AK42=summaryref2!B127,summaryref2!T127,IF(AK42=summaryref2!B141,summaryref2!T141,"")))))))))))</f>
        <v/>
      </c>
      <c r="BE42" s="1184" t="str">
        <f>IF('A-80 DirEntInv'!BE41&lt;&gt;"",'A-80 DirEntInv'!BE41,IF(AK42=summaryref2!B15,summaryref2!U15,IF(Summary!AK42=summaryref2!B29,summaryref2!U29,IF(AK42=summaryref2!B43,summaryref2!U43,IF(AK42=summaryref2!B57,summaryref2!U57,IF(AK42=summaryref2!B71,summaryref2!U71,IF(AK42=summaryref2!B85,summaryref2!U85,IF(AK42=summaryref2!B99,summaryref2!U99,IF(AK42=summaryref2!B113,summaryref2!U113,IF(AK42=summaryref2!B127,summaryref2!U127,IF(AK42=summaryref2!B141,summaryref2!U141,"")))))))))))</f>
        <v/>
      </c>
      <c r="BF42" s="1432"/>
      <c r="BG42" s="1432"/>
      <c r="BJ42" s="1041" t="str">
        <f>Codes!$C$160</f>
        <v>CC - Cable Car (PT)</v>
      </c>
      <c r="BK42" s="1042" t="str">
        <f>Valid!$B$83</f>
        <v>Single Crossover</v>
      </c>
      <c r="BL42" s="1375" t="str">
        <f>IF('A-80 DirEntInv'!BL41&lt;&gt;"",'A-80 DirEntInv'!BL41,IF(BJ42=summaryref2!X15,summaryref2!Z15,IF(BJ42=summaryref2!X22,summaryref2!Z22,IF(BJ42=summaryref2!X29,summaryref2!Z29,IF(BJ42=summaryref2!X36,summaryref2!Z36,IF(BJ42=summaryref2!X43,summaryref2!Z43,IF(BJ42=summaryref2!X50,summaryref2!Z50,IF(BJ42=summaryref2!X57,summaryref2!Z57,IF(BJ42=summaryref2!X64,summaryref2!Z64,IF(BJ42=summaryref2!X71,summaryref2!Z71,IF(BJ42=summaryref2!X78,summaryref2!Z78,"")))))))))))</f>
        <v/>
      </c>
      <c r="BM42" s="1042" t="str">
        <f>VLOOKUP(BK42,Valid!$B$80:$C$86,2,FALSE)</f>
        <v>Each</v>
      </c>
      <c r="BN42" s="1209" t="str">
        <f>IF('A-80 DirEntInv'!BN41&lt;&gt;"",'A-80 DirEntInv'!BN41,IF(BJ42=summaryref2!X15,summaryref2!AB15,IF(BJ42=summaryref2!X22,summaryref2!AB22,IF(BJ42=summaryref2!X29,summaryref2!AB29,IF(BJ42=summaryref2!X36,summaryref2!AB36,IF(BJ42=summaryref2!X43,summaryref2!AB43,IF(BJ42=summaryref2!X50,summaryref2!AB50,IF(BJ42=summaryref2!X57,summaryref2!AB57,IF(BJ42=summaryref2!X64,summaryref2!AB64,IF(BJ42=summaryref2!X71,summaryref2!AB71,IF(BJ42=summaryref2!X78,summaryref2!AB78,"")))))))))))</f>
        <v/>
      </c>
      <c r="BO42" s="1116" t="str">
        <f>IF('A-80 DirEntInv'!BO41&lt;&gt;"",'A-80 DirEntInv'!BO41,IF(BJ42=summaryref2!X15,summaryref2!AC15,IF(BJ42=summaryref2!X22,summaryref2!AC22,IF(BJ42=summaryref2!X29,summaryref2!AC29,IF(BJ42=summaryref2!X36,summaryref2!AC36,IF(BJ42=summaryref2!X43,summaryref2!AC43,IF(BJ42=summaryref2!X50,summaryref2!AC50,IF(BJ42=summaryref2!X57,summaryref2!AC57,IF(BJ42=summaryref2!X64,summaryref2!AC64,IF(BJ42=summaryref2!X71,summaryref2!AC71,IF(BJ42=summaryref2!X78,summaryref2!AC78,"")))))))))))</f>
        <v/>
      </c>
      <c r="BP42" s="1384" t="str">
        <f>IF('A-80 DirEntInv'!BP41&lt;&gt;"",'A-80 DirEntInv'!BP41,IF(BJ42=summaryref2!X15,summaryref2!AD15,IF(BJ42=summaryref2!X22,summaryref2!AD22,IF(BJ42=summaryref2!X29,summaryref2!AD29,IF(BJ42=summaryref2!X36,summaryref2!AD36,IF(BJ42=summaryref2!X43,summaryref2!AD43,IF(BJ42=summaryref2!X50,summaryref2!AD50,IF(BJ42=summaryref2!X57,summaryref2!AD57,IF(BJ42=summaryref2!X64,summaryref2!AD64,IF(BJ42=summaryref2!X71,summaryref2!AD71,IF(BJ42=summaryref2!X78,summaryref2!AD78,"")))))))))))</f>
        <v/>
      </c>
      <c r="BS42" s="1472" t="str">
        <f ca="1">IF('A-80 DirEntInv'!BU41&lt;&gt;"",'A-80 DirEntInv'!BU41,IF(INDIRECT(ADDRESS(SumRef!DK48,SumRef!DK$16,,,SumRef!$E$6))="","",INDIRECT(ADDRESS(SumRef!DK48,SumRef!DK$16,,,SumRef!$E$6))))</f>
        <v/>
      </c>
      <c r="BT42" s="1458" t="str">
        <f ca="1">IF('A-80 DirEntInv'!BV41&lt;&gt;"",'A-80 DirEntInv'!BV41,IF(INDIRECT(ADDRESS(SumRef!DL48,SumRef!DL$16,,,SumRef!$E$6))="","",INDIRECT(ADDRESS(SumRef!DL48,SumRef!DL$16,,,SumRef!$E$6))))</f>
        <v/>
      </c>
      <c r="BU42" s="1177" t="str">
        <f ca="1">IF('A-80 DirEntInv'!BW41&lt;&gt;"",'A-80 DirEntInv'!BW41,IF(INDIRECT(ADDRESS(SumRef!DM48,SumRef!DM$16,,,SumRef!$E$6))="","",INDIRECT(ADDRESS(SumRef!DM48,SumRef!DM$16,,,SumRef!$E$6))))</f>
        <v/>
      </c>
      <c r="BV42" s="1460" t="str">
        <f ca="1">IF('A-80 DirEntInv'!BX41&lt;&gt;"",'A-80 DirEntInv'!BX41,IF(INDIRECT(ADDRESS(SumRef!DN48,SumRef!DN$16,,,SumRef!$E$6))="","",INDIRECT(ADDRESS(SumRef!DN48,SumRef!DN$16,,,SumRef!$E$6))))</f>
        <v/>
      </c>
      <c r="BW42" s="1460" t="str">
        <f ca="1">IF('A-80 DirEntInv'!BY41&lt;&gt;"",'A-80 DirEntInv'!BY41,IF(INDIRECT(ADDRESS(SumRef!DO48,SumRef!DO$16,,,SumRef!$E$6))="","",INDIRECT(ADDRESS(SumRef!DO48,SumRef!DO$16,,,SumRef!$E$6))))</f>
        <v/>
      </c>
      <c r="BX42" s="1116" t="str">
        <f ca="1">IF('A-80 DirEntInv'!BZ41&lt;&gt;"",'A-80 DirEntInv'!BZ41,IF(INDIRECT(ADDRESS(SumRef!DP48,SumRef!DP$16,,,SumRef!$E$6))="","",INDIRECT(ADDRESS(SumRef!DP48,SumRef!DP$16,,,SumRef!$E$6))))</f>
        <v/>
      </c>
      <c r="BY42" s="1461" t="str">
        <f ca="1">IF('A-80 DirEntInv'!CA41&lt;&gt;"",'A-80 DirEntInv'!CA41,IF(INDIRECT(ADDRESS(SumRef!DQ48,SumRef!DQ$16,,,SumRef!$E$6))="","",INDIRECT(ADDRESS(SumRef!DQ48,SumRef!DQ$16,,,SumRef!$E$6))))</f>
        <v/>
      </c>
      <c r="BZ42" s="1460" t="str">
        <f ca="1">IF('A-80 DirEntInv'!CB41&lt;&gt;"",'A-80 DirEntInv'!CB41,IF(INDIRECT(ADDRESS(SumRef!DR48,SumRef!DR$16,,,SumRef!$E$6))="","",INDIRECT(ADDRESS(SumRef!DR48,SumRef!DR$16,,,SumRef!$E$6))))</f>
        <v/>
      </c>
      <c r="CA42" s="1462" t="str">
        <f ca="1">IF('A-80 DirEntInv'!CC41&lt;&gt;"",'A-80 DirEntInv'!CC41,IF(INDIRECT(ADDRESS(SumRef!DS48,SumRef!DS$16,,,SumRef!$E$6))="","",INDIRECT(ADDRESS(SumRef!DS48,SumRef!DS$16,,,SumRef!$E$6))))</f>
        <v/>
      </c>
      <c r="CD42" s="1160" t="str">
        <f ca="1">IF('A-80 DirEntInv'!CF41&lt;&gt;"",'A-80 DirEntInv'!CF41,IF(INDIRECT(ADDRESS(SumRef!DV48,SumRef!DV$16,,,SumRef!$E$7))="","",INDIRECT(ADDRESS(SumRef!DV48,SumRef!DV$16,,,SumRef!$E$7))))</f>
        <v/>
      </c>
      <c r="CE42" s="1167" t="str">
        <f ca="1">IF('A-80 DirEntInv'!CG41&lt;&gt;"",'A-80 DirEntInv'!CG41,IF(INDIRECT(ADDRESS(SumRef!DW48,SumRef!DW$16,,,SumRef!$E$7))="","",INDIRECT(ADDRESS(SumRef!DW48,SumRef!DW$16,,,SumRef!$E$7))))</f>
        <v/>
      </c>
      <c r="CF42" s="1167" t="str">
        <f ca="1">IF('A-80 DirEntInv'!CH41&lt;&gt;"",'A-80 DirEntInv'!CH41,IF(INDIRECT(ADDRESS(SumRef!DX48,SumRef!DX$16,,,SumRef!$E$7))="","",INDIRECT(ADDRESS(SumRef!DX48,SumRef!DX$16,,,SumRef!$E$7))))</f>
        <v/>
      </c>
      <c r="CG42" s="1167" t="str">
        <f ca="1">IF('A-80 DirEntInv'!CI41&lt;&gt;"",'A-80 DirEntInv'!CI41,IF(INDIRECT(ADDRESS(SumRef!DY48,SumRef!DY$16,,,SumRef!$E$7))="","",INDIRECT(ADDRESS(SumRef!DY48,SumRef!DY$16,,,SumRef!$E$7))))</f>
        <v/>
      </c>
      <c r="CH42" s="1167" t="str">
        <f ca="1">IF('A-80 DirEntInv'!CJ41&lt;&gt;"",'A-80 DirEntInv'!CJ41,IF(INDIRECT(ADDRESS(SumRef!DZ48,SumRef!DZ$16,,,SumRef!$E$7))="","",INDIRECT(ADDRESS(SumRef!DZ48,SumRef!DZ$16,,,SumRef!$E$7))))</f>
        <v/>
      </c>
      <c r="CI42" s="1167" t="str">
        <f ca="1">IF('A-80 DirEntInv'!CK41&lt;&gt;"",'A-80 DirEntInv'!CK41,IF(INDIRECT(ADDRESS(SumRef!EA48,SumRef!EA$16,,,SumRef!$E$7))="","",INDIRECT(ADDRESS(SumRef!EA48,SumRef!EA$16,,,SumRef!$E$7))))</f>
        <v/>
      </c>
      <c r="CJ42" s="1114" t="str">
        <f ca="1">IF('A-80 DirEntInv'!CL41&lt;&gt;"",'A-80 DirEntInv'!CL41,IF(INDIRECT(ADDRESS(SumRef!EB48,SumRef!EB$16,,,SumRef!$E$7))="","",INDIRECT(ADDRESS(SumRef!EB48,SumRef!EB$16,,,SumRef!$E$7))))</f>
        <v/>
      </c>
      <c r="CK42" s="1114" t="str">
        <f ca="1">IF('A-80 DirEntInv'!CM41&lt;&gt;"",'A-80 DirEntInv'!CM41,IF(INDIRECT(ADDRESS(SumRef!EC48,SumRef!EC$16,,,SumRef!$E$7))="","",INDIRECT(ADDRESS(SumRef!EC48,SumRef!EC$16,,,SumRef!$E$7))))</f>
        <v/>
      </c>
      <c r="CL42" s="1113" t="str">
        <f ca="1">IF('A-80 DirEntInv'!CO41&lt;&gt;"",'A-80 DirEntInv'!CO41,IF(INDIRECT(ADDRESS(SumRef!ED48,SumRef!ED$16,,,SumRef!$E$7))="","",INDIRECT(ADDRESS(SumRef!ED48,SumRef!ED$16,,,SumRef!$E$7))))</f>
        <v/>
      </c>
      <c r="CM42" s="1114" t="str">
        <f ca="1">IF('A-80 DirEntInv'!CP41&lt;&gt;"",'A-80 DirEntInv'!CP41,IF(INDIRECT(ADDRESS(SumRef!EE48,SumRef!EE$16,,,SumRef!$E$7))="","",INDIRECT(ADDRESS(SumRef!EE48,SumRef!EE$16,,,SumRef!$E$7))))</f>
        <v/>
      </c>
      <c r="CN42" s="1114" t="str">
        <f ca="1">IF('A-80 DirEntInv'!CQ41&lt;&gt;"",'A-80 DirEntInv'!CQ41,IF(INDIRECT(ADDRESS(SumRef!EF48,SumRef!EF$16,,,SumRef!$E$7))="","",INDIRECT(ADDRESS(SumRef!EF48,SumRef!EF$16,,,SumRef!$E$7))))</f>
        <v/>
      </c>
      <c r="CO42" s="1113" t="str">
        <f ca="1">IF('A-80 DirEntInv'!CR41&lt;&gt;"",'A-80 DirEntInv'!CR41,IF(INDIRECT(ADDRESS(SumRef!EG48,SumRef!EG$16,,,SumRef!$E$7))="","",INDIRECT(ADDRESS(SumRef!EG48,SumRef!EG$16,,,SumRef!$E$7))))</f>
        <v/>
      </c>
      <c r="CP42" s="1114" t="str">
        <f ca="1">IF('A-80 DirEntInv'!CS41&lt;&gt;"",'A-80 DirEntInv'!CS41,IF(INDIRECT(ADDRESS(SumRef!EH48,SumRef!EH$16,,,SumRef!$E$7))="","",INDIRECT(ADDRESS(SumRef!EH48,SumRef!EH$16,,,SumRef!$E$7))))</f>
        <v/>
      </c>
      <c r="CQ42" s="1346" t="str">
        <f ca="1">IF('A-80 DirEntInv'!CT41&lt;&gt;"",'A-80 DirEntInv'!CT41,IF(INDIRECT(ADDRESS(SumRef!EI48,SumRef!EI$16,,,SumRef!$E$7))="","",INDIRECT(ADDRESS(SumRef!EI48,SumRef!EI$16,,,SumRef!$E$7))))</f>
        <v/>
      </c>
      <c r="CR42" s="1113" t="str">
        <f ca="1">IF('A-80 DirEntInv'!CU41&lt;&gt;"",'A-80 DirEntInv'!CU41,IF(INDIRECT(ADDRESS(SumRef!EJ48,SumRef!EJ$16,,,SumRef!$E$7))="","",INDIRECT(ADDRESS(SumRef!EJ48,SumRef!EJ$16,,,SumRef!$E$7))))</f>
        <v/>
      </c>
      <c r="CS42" s="1346" t="str">
        <f ca="1">IF('A-80 DirEntInv'!CV41&lt;&gt;"",'A-80 DirEntInv'!CV41,IF(INDIRECT(ADDRESS(SumRef!EM48,SumRef!EM$16,,,SumRef!$E$7))="","",INDIRECT(ADDRESS(SumRef!EM48,SumRef!EM$16,,,SumRef!$E$7))))</f>
        <v/>
      </c>
      <c r="CT42" s="1113" t="str">
        <f ca="1">IF('A-80 DirEntInv'!CW41&lt;&gt;"",'A-80 DirEntInv'!CW41,IF(INDIRECT(ADDRESS(SumRef!EN48,SumRef!EN$16,,,SumRef!$E$7))="","",INDIRECT(ADDRESS(SumRef!EN48,SumRef!EN$16,,,SumRef!$E$7))))</f>
        <v/>
      </c>
      <c r="CU42" s="1113" t="str">
        <f ca="1">IF('A-80 DirEntInv'!CX41&lt;&gt;"",'A-80 DirEntInv'!CX41,IF(INDIRECT(ADDRESS(SumRef!EO48,SumRef!EO$16,,,SumRef!$E$7))="","",INDIRECT(ADDRESS(SumRef!EO48,SumRef!EO$16,,,SumRef!$E$7))))</f>
        <v/>
      </c>
      <c r="CV42" s="1113" t="str">
        <f ca="1">IF('A-80 DirEntInv'!CY41&lt;&gt;"",'A-80 DirEntInv'!CY41,IF(INDIRECT(ADDRESS(SumRef!EP48,SumRef!EP$16,,,SumRef!$E$7))="","",INDIRECT(ADDRESS(SumRef!EP48,SumRef!EP$16,,,SumRef!$E$7))))</f>
        <v/>
      </c>
      <c r="CW42" s="1114" t="str">
        <f ca="1">IF('A-80 DirEntInv'!CZ41&lt;&gt;"",'A-80 DirEntInv'!CZ41,IF(INDIRECT(ADDRESS(SumRef!ES48,SumRef!ES$16,,,SumRef!$E$7))="","",INDIRECT(ADDRESS(SumRef!ES48,SumRef!ES$16,,,SumRef!$E$7))))</f>
        <v/>
      </c>
      <c r="CX42" s="1167" t="str">
        <f ca="1">IF('A-80 DirEntInv'!DA41&lt;&gt;"",'A-80 DirEntInv'!DA41,IF(INDIRECT(ADDRESS(SumRef!ET48,SumRef!ET$16,,,SumRef!$E$7))="","",INDIRECT(ADDRESS(SumRef!ET48,SumRef!ET$16,,,SumRef!$E$7))))</f>
        <v/>
      </c>
      <c r="CY42" s="1167" t="str">
        <f ca="1">IF('A-80 DirEntInv'!DB41&lt;&gt;"",'A-80 DirEntInv'!DB41,IF(INDIRECT(ADDRESS(SumRef!EU48,SumRef!EU$16,,,SumRef!$E$7))="","",INDIRECT(ADDRESS(SumRef!EU48,SumRef!EU$16,,,SumRef!$E$7))))</f>
        <v/>
      </c>
      <c r="CZ42" s="1167" t="b">
        <f ca="1">IF('A-80 DirEntInv'!DC41&lt;&gt;"",'A-80 DirEntInv'!DC41,IF(INDIRECT(ADDRESS(SumRef!EV48,SumRef!EV$16,,,SumRef!$E$7))="","",INDIRECT(ADDRESS(SumRef!EV48,SumRef!EV$16,,,SumRef!$E$7))))</f>
        <v>0</v>
      </c>
      <c r="DA42" s="1373" t="str">
        <f ca="1">IF('A-80 DirEntInv'!DD41&lt;&gt;"",'A-80 DirEntInv'!DD41,IF(INDIRECT(ADDRESS(SumRef!EW48,SumRef!EW$16,,,SumRef!$E$7))="","",INDIRECT(ADDRESS(SumRef!EW48,SumRef!EW$16,,,SumRef!$E$7))))</f>
        <v/>
      </c>
      <c r="DB42" s="1373" t="b">
        <f ca="1">IF('A-80 DirEntInv'!DE41&lt;&gt;"",'A-80 DirEntInv'!DE41,IF(INDIRECT(ADDRESS(SumRef!EX48,SumRef!EX$16,,,SumRef!$E$7))="","",INDIRECT(ADDRESS(SumRef!EX48,SumRef!EX$16,,,SumRef!$E$7))))</f>
        <v>0</v>
      </c>
      <c r="DC42" s="1114" t="b">
        <f ca="1">IF('A-80 DirEntInv'!DF41&lt;&gt;"",'A-80 DirEntInv'!DF41,IF(INDIRECT(ADDRESS(SumRef!EY48,SumRef!EY$16,,,SumRef!$E$7))="","",INDIRECT(ADDRESS(SumRef!EY48,SumRef!EY$16,,,SumRef!$E$7))))</f>
        <v>0</v>
      </c>
      <c r="DD42" s="1115" t="str">
        <f ca="1">IF('A-80 DirEntInv'!DG41&lt;&gt;"",'A-80 DirEntInv'!DG41,IF(INDIRECT(ADDRESS(SumRef!EZ48,SumRef!EZ$16,,,SumRef!$E$7))="","",INDIRECT(ADDRESS(SumRef!EZ48,SumRef!EZ$16,,,SumRef!$E$7))))</f>
        <v/>
      </c>
    </row>
    <row r="43" spans="1:108" s="588" customFormat="1" x14ac:dyDescent="0.2">
      <c r="A43" s="589">
        <f t="shared" si="0"/>
        <v>33</v>
      </c>
      <c r="B43" s="1155" t="str">
        <f ca="1">IF('A-80 DirEntInv'!B42&lt;&gt;"",'A-80 DirEntInv'!B42,IF(INDIRECT(ADDRESS(SumRef!AQ49,SumRef!AQ$16,,,SumRef!$B$7))="","",INDIRECT(ADDRESS(SumRef!AQ49,SumRef!AQ$16,,,SumRef!$B$7))))</f>
        <v/>
      </c>
      <c r="C43" s="1097" t="str">
        <f ca="1">IF('A-80 DirEntInv'!C42&lt;&gt;"",'A-80 DirEntInv'!C42,IF(INDIRECT(ADDRESS(SumRef!AR49,SumRef!AR$16,,,SumRef!$B$7))="","",INDIRECT(ADDRESS(SumRef!AR49,SumRef!AR$16,,,SumRef!$B$7))))</f>
        <v/>
      </c>
      <c r="D43" s="1097" t="str">
        <f ca="1">IF('A-80 DirEntInv'!D42&lt;&gt;"",'A-80 DirEntInv'!D42,IF(INDIRECT(ADDRESS(SumRef!AS49,SumRef!AS$16,,,SumRef!$B$7))="","",INDIRECT(ADDRESS(SumRef!AS49,SumRef!AS$16,,,SumRef!$B$7))))</f>
        <v/>
      </c>
      <c r="E43" s="1097" t="str">
        <f ca="1">IF('A-80 DirEntInv'!E42&lt;&gt;"",'A-80 DirEntInv'!E42,IF(INDIRECT(ADDRESS(SumRef!AT49,SumRef!AT$16,,,SumRef!$B$7))="","",INDIRECT(ADDRESS(SumRef!AT49,SumRef!AT$16,,,SumRef!$B$7))))</f>
        <v/>
      </c>
      <c r="F43" s="1097" t="str">
        <f ca="1">IF('A-80 DirEntInv'!F42&lt;&gt;"",'A-80 DirEntInv'!F42,IF(INDIRECT(ADDRESS(SumRef!AU49,SumRef!AU$16,,,SumRef!$B$7))="","",INDIRECT(ADDRESS(SumRef!AU49,SumRef!AU$16,,,SumRef!$B$7))))</f>
        <v/>
      </c>
      <c r="G43" s="1158" t="str">
        <f ca="1">IF('A-80 DirEntInv'!G42&lt;&gt;"",'A-80 DirEntInv'!G42,IF(INDIRECT(ADDRESS(SumRef!AV49,SumRef!AV$16,,,SumRef!$B$7))="","",INDIRECT(ADDRESS(SumRef!AV49,SumRef!AV$16,,,SumRef!$B$7))))</f>
        <v/>
      </c>
      <c r="H43" s="1097" t="str">
        <f ca="1">IF('A-80 DirEntInv'!H42&lt;&gt;"",'A-80 DirEntInv'!H42,IF(INDIRECT(ADDRESS(SumRef!AW49,SumRef!AW$16,,,SumRef!$B$7))="","",INDIRECT(ADDRESS(SumRef!AW49,SumRef!AW$16,,,SumRef!$B$7))))</f>
        <v/>
      </c>
      <c r="I43" s="1097" t="str">
        <f ca="1">IF('A-80 DirEntInv'!I42&lt;&gt;"",'A-80 DirEntInv'!I42,IF(INDIRECT(ADDRESS(SumRef!AX49,SumRef!AX$16,,,SumRef!$B$7))="","",INDIRECT(ADDRESS(SumRef!AX49,SumRef!AX$16,,,SumRef!$B$7))))</f>
        <v/>
      </c>
      <c r="J43" s="1098" t="str">
        <f ca="1">IF('A-80 DirEntInv'!J42&lt;&gt;"",'A-80 DirEntInv'!J42,IF(INDIRECT(ADDRESS(SumRef!AY49,SumRef!AY$16,,,SumRef!$B$7))="","",INDIRECT(ADDRESS(SumRef!AY49,SumRef!AY$16,,,SumRef!$B$7))))</f>
        <v/>
      </c>
      <c r="K43" s="1099" t="str">
        <f ca="1">IF('A-80 DirEntInv'!K42&lt;&gt;"",'A-80 DirEntInv'!K42,IF(INDIRECT(ADDRESS(SumRef!AZ49,SumRef!AZ$16,,,SumRef!$B$7))="","",INDIRECT(ADDRESS(SumRef!AZ49,SumRef!AZ$16,,,SumRef!$B$7))))</f>
        <v/>
      </c>
      <c r="L43" s="1100" t="str">
        <f ca="1">IF('A-80 DirEntInv'!L42&lt;&gt;"",'A-80 DirEntInv'!L42,IF(INDIRECT(ADDRESS(SumRef!BA49,SumRef!BA$16,,,SumRef!$B$7))="","",INDIRECT(ADDRESS(SumRef!BA49,SumRef!BA$16,,,SumRef!$B$7))))</f>
        <v/>
      </c>
      <c r="M43" s="1101" t="str">
        <f ca="1">IF('A-80 DirEntInv'!M42&lt;&gt;"",'A-80 DirEntInv'!M42,IF(INDIRECT(ADDRESS(SumRef!BB49,SumRef!BB$16,,,SumRef!$B$7))="","",INDIRECT(ADDRESS(SumRef!BB49,SumRef!BB$16,,,SumRef!$B$7))))</f>
        <v/>
      </c>
      <c r="N43" s="1098" t="str">
        <f ca="1">IF('A-80 DirEntInv'!N42&lt;&gt;"",'A-80 DirEntInv'!N42,IF(INDIRECT(ADDRESS(SumRef!BC49,SumRef!BC$16,,,SumRef!$B$7))="","",INDIRECT(ADDRESS(SumRef!BC49,SumRef!BC$16,,,SumRef!$B$7))))</f>
        <v/>
      </c>
      <c r="O43" s="1102" t="str">
        <f ca="1">IF('A-80 DirEntInv'!O42&lt;&gt;"",'A-80 DirEntInv'!O42,IF(INDIRECT(ADDRESS(SumRef!BD49,SumRef!BD$16,,,SumRef!$B$7))="","",INDIRECT(ADDRESS(SumRef!BD49,SumRef!BD$16,,,SumRef!$B$7))))</f>
        <v/>
      </c>
      <c r="Q43" s="589"/>
      <c r="R43" s="1103" t="str">
        <f ca="1">IF('A-80 DirEntInv'!R42&lt;&gt;"",'A-80 DirEntInv'!R42,IF(INDIRECT(ADDRESS(SumRef!BH49,SumRef!BH$16,,,SumRef!$B$8))="","",INDIRECT(ADDRESS(SumRef!BH49,SumRef!BH$16,,,SumRef!$B$8))))</f>
        <v/>
      </c>
      <c r="S43" s="1104" t="str">
        <f ca="1">IF('A-80 DirEntInv'!S42&lt;&gt;"",'A-80 DirEntInv'!S42,IF(INDIRECT(ADDRESS(SumRef!BI49,SumRef!BI$16,,,SumRef!$B$8))="","",INDIRECT(ADDRESS(SumRef!BI49,SumRef!BI$16,,,SumRef!$B$8))))</f>
        <v/>
      </c>
      <c r="T43" s="1104" t="str">
        <f ca="1">IF('A-80 DirEntInv'!T42&lt;&gt;"",'A-80 DirEntInv'!T42,IF(INDIRECT(ADDRESS(SumRef!BJ49,SumRef!BJ$16,,,SumRef!$B$8))="","",INDIRECT(ADDRESS(SumRef!BJ49,SumRef!BJ$16,,,SumRef!$B$8))))</f>
        <v/>
      </c>
      <c r="U43" s="1104" t="str">
        <f ca="1">IF('A-80 DirEntInv'!U42&lt;&gt;"",'A-80 DirEntInv'!U42,IF(INDIRECT(ADDRESS(SumRef!BK49,SumRef!BK$16,,,SumRef!$B$8))="","",INDIRECT(ADDRESS(SumRef!BK49,SumRef!BK$16,,,SumRef!$B$8))))</f>
        <v/>
      </c>
      <c r="V43" s="1104" t="str">
        <f ca="1">IF('A-80 DirEntInv'!V42&lt;&gt;"",'A-80 DirEntInv'!V42,IF(INDIRECT(ADDRESS(SumRef!BL49,SumRef!BL$16,,,SumRef!$B$8))="","",INDIRECT(ADDRESS(SumRef!BL49,SumRef!BL$16,,,SumRef!$B$8))))</f>
        <v/>
      </c>
      <c r="W43" s="1354" t="str">
        <f ca="1">IF('A-80 DirEntInv'!W42&lt;&gt;"",'A-80 DirEntInv'!W42,IF(INDIRECT(ADDRESS(SumRef!BM49,SumRef!BM$16,,,SumRef!$B$8))="","",INDIRECT(ADDRESS(SumRef!BM49,SumRef!BM$16,,,SumRef!$B$8))))</f>
        <v/>
      </c>
      <c r="X43" s="1203" t="str">
        <f ca="1">IF('A-80 DirEntInv'!X42&lt;&gt;"",'A-80 DirEntInv'!X42,IF(INDIRECT(ADDRESS(SumRef!BN49,SumRef!BN$16,,,SumRef!$B$8))="","",INDIRECT(ADDRESS(SumRef!BN49,SumRef!BN$16,,,SumRef!$B$8))))</f>
        <v/>
      </c>
      <c r="Y43" s="1203" t="str">
        <f ca="1">IF('A-80 DirEntInv'!Y42&lt;&gt;"",'A-80 DirEntInv'!Y42,IF(INDIRECT(ADDRESS(SumRef!BO49,SumRef!BO$16,,,SumRef!$B$8))="","",INDIRECT(ADDRESS(SumRef!BO49,SumRef!BO$16,,,SumRef!$B$8))))</f>
        <v/>
      </c>
      <c r="Z43" s="1104" t="str">
        <f ca="1">IF('A-80 DirEntInv'!Z42&lt;&gt;"",'A-80 DirEntInv'!Z42,IF(INDIRECT(ADDRESS(SumRef!BP49,SumRef!BP$16,,,SumRef!$B$8))="","",INDIRECT(ADDRESS(SumRef!BP49,SumRef!BP$16,,,SumRef!$B$8))))</f>
        <v/>
      </c>
      <c r="AA43" s="1104" t="str">
        <f ca="1">IF('A-80 DirEntInv'!AA42&lt;&gt;"",'A-80 DirEntInv'!AA42,IF(INDIRECT(ADDRESS(SumRef!BQ49,SumRef!BQ$16,,,SumRef!$B$8))="","",INDIRECT(ADDRESS(SumRef!BQ49,SumRef!BQ$16,,,SumRef!$B$8))))</f>
        <v/>
      </c>
      <c r="AB43" s="1106" t="str">
        <f ca="1">IF('A-80 DirEntInv'!AB42&lt;&gt;"",'A-80 DirEntInv'!AB42,IF(INDIRECT(ADDRESS(SumRef!BR49,SumRef!BR$16,,,SumRef!$B$8))="","",INDIRECT(ADDRESS(SumRef!BR49,SumRef!BR$16,,,SumRef!$B$8))))</f>
        <v/>
      </c>
      <c r="AC43" s="1107" t="str">
        <f ca="1">IF('A-80 DirEntInv'!AC42&lt;&gt;"",'A-80 DirEntInv'!AC42,IF(INDIRECT(ADDRESS(SumRef!BS49,SumRef!BS$16,,,SumRef!$B$8))="","",INDIRECT(ADDRESS(SumRef!BS49,SumRef!BS$16,,,SumRef!$B$8))))</f>
        <v/>
      </c>
      <c r="AD43" s="1349" t="str">
        <f ca="1">IF('A-80 DirEntInv'!AD42&lt;&gt;"",'A-80 DirEntInv'!AD42,IF(INDIRECT(ADDRESS(SumRef!BT49,SumRef!BT$16,,,SumRef!$B$8))="","",INDIRECT(ADDRESS(SumRef!BT49,SumRef!BT$16,,,SumRef!$B$8))))</f>
        <v/>
      </c>
      <c r="AE43" s="1137" t="str">
        <f ca="1">IF('A-80 DirEntInv'!AE42&lt;&gt;"",'A-80 DirEntInv'!AE42,IF(INDIRECT(ADDRESS(SumRef!BU49,SumRef!BU$16,,,SumRef!$B$8))="","",INDIRECT(ADDRESS(SumRef!BU49,SumRef!BU$16,,,SumRef!$B$8))))</f>
        <v/>
      </c>
      <c r="AF43" s="1346" t="str">
        <f ca="1">IF('A-80 DirEntInv'!AF42&lt;&gt;"",'A-80 DirEntInv'!AF42,IF(INDIRECT(ADDRESS(SumRef!BV49,SumRef!BV$16,,,SumRef!$B$8))="","",INDIRECT(ADDRESS(SumRef!BV49,SumRef!BV$16,,,SumRef!$B$8))))</f>
        <v/>
      </c>
      <c r="AG43" s="1105" t="str">
        <f ca="1">IF('A-80 DirEntInv'!AG42&lt;&gt;"",'A-80 DirEntInv'!AG42,IF(INDIRECT(ADDRESS(SumRef!BW49,SumRef!BW$16,,,SumRef!$B$8))="","",INDIRECT(ADDRESS(SumRef!BW49,SumRef!BW$16,,,SumRef!$B$8))))</f>
        <v/>
      </c>
      <c r="AH43" s="1357" t="str">
        <f ca="1">IF('A-80 DirEntInv'!AH42&lt;&gt;"",'A-80 DirEntInv'!AH42,IF(INDIRECT(ADDRESS(SumRef!BX49,SumRef!BX$16,,,SumRef!$B$8))="","",INDIRECT(ADDRESS(SumRef!BX49,SumRef!BX$16,,,SumRef!$B$8))))</f>
        <v/>
      </c>
      <c r="AK43" s="1041" t="str">
        <f>Codes!$C$158</f>
        <v>AR - Alaska Railroad</v>
      </c>
      <c r="AL43" s="1042" t="str">
        <f>Valid!$B$75</f>
        <v>Elevated/Steel Viaduct or Bridge</v>
      </c>
      <c r="AM43" s="1108" t="str">
        <f>IF('A-80 DirEntInv'!AM42&lt;&gt;"",'A-80 DirEntInv'!AM42,IF(AK43=summaryref2!B16,summaryref2!D16,IF(Summary!AK43=summaryref2!B30,summaryref2!D30,IF(AK43=summaryref2!B44,summaryref2!D44,IF(AK43=summaryref2!B58,summaryref2!D58,IF(AK43=summaryref2!B72,summaryref2!D72,IF(AK43=summaryref2!B86,summaryref2!D86,IF(AK43=summaryref2!B100,summaryref2!D100,IF(AK43=summaryref2!B114,summaryref2!D114,IF(AK43=summaryref2!B128,summaryref2!D128,IF(AK43=summaryref2!B142,summaryref2!D142,"")))))))))))</f>
        <v/>
      </c>
      <c r="AN43" s="1109" t="str">
        <f ca="1">IF('A-80 DirEntInv'!AN42&lt;&gt;"",'A-80 DirEntInv'!AN42,IF(INDIRECT(ADDRESS(SumRef!CG35,SumRef!CG$16,,,SumRef!$C$7))="","",INDIRECT(ADDRESS(SumRef!CG35,SumRef!CG$16,,,SumRef!$C$7))))</f>
        <v>Linear Feet</v>
      </c>
      <c r="AO43" s="1108" t="str">
        <f>IF('A-80 DirEntInv'!AO42&lt;&gt;"",'A-80 DirEntInv'!AO42,IF(AK43=summaryref2!B16,summaryref2!F16,IF(Summary!AK43=summaryref2!B30,summaryref2!F30,IF(AK43=summaryref2!B44,summaryref2!F44,IF(AK43=summaryref2!B58,summaryref2!F58,IF(AK43=summaryref2!B72,summaryref2!F72,IF(AK43=summaryref2!B86,summaryref2!F86,IF(AK43=summaryref2!B100,summaryref2!F100,IF(AK43=summaryref2!B114,summaryref2!F114,IF(AK43=summaryref2!B128,summaryref2!F128,IF(AK43=summaryref2!B142,summaryref2!F142,"")))))))))))</f>
        <v/>
      </c>
      <c r="AP43" s="1109" t="str">
        <f ca="1">IF('A-80 DirEntInv'!AP42&lt;&gt;"",'A-80 DirEntInv'!AP42,IF(INDIRECT(ADDRESS(SumRef!#REF!,SumRef!#REF!,,,SumRef!$C$7))="","",INDIRECT(ADDRESS(SumRef!#REF!,SumRef!#REF!,,,SumRef!$C$7))))</f>
        <v>Track Feet</v>
      </c>
      <c r="AQ43" s="1147" t="str">
        <f>IF('A-80 DirEntInv'!AQ42&lt;&gt;"",'A-80 DirEntInv'!AQ42,IF(AK43=summaryref2!B16,summaryref2!G16,IF(Summary!AK43=summaryref2!B30,summaryref2!G30,IF(AK43=summaryref2!B44,summaryref2!G44,IF(AK43=summaryref2!B58,summaryref2!G58,IF(AK43=summaryref2!B72,summaryref2!G72,IF(AK43=summaryref2!B86,summaryref2!G86,IF(AK43=summaryref2!B100,summaryref2!G100,IF(AK43=summaryref2!B114,summaryref2!G114,IF(AK43=summaryref2!B128,summaryref2!G128,IF(AK43=summaryref2!B142,summaryref2!G142,"")))))))))))</f>
        <v/>
      </c>
      <c r="AR43" s="1147" t="str">
        <f>IF('A-80 DirEntInv'!AR42&lt;&gt;"",'A-80 DirEntInv'!AR42,IF(AK43=summaryref2!B16,summaryref2!H16,IF(Summary!AK43=summaryref2!B30,summaryref2!H30,IF(AK43=summaryref2!B44,summaryref2!H44,IF(AK43=summaryref2!B58,summaryref2!H58,IF(AK43=summaryref2!B72,summaryref2!H72,IF(AK43=summaryref2!B86,summaryref2!H86,IF(AK43=summaryref2!B100,summaryref2!H100,IF(AK43=summaryref2!B114,summaryref2!H114,IF(AK43=summaryref2!B128,summaryref2!H128,IF(AK43=summaryref2!B142,summaryref2!H142,"")))))))))))</f>
        <v/>
      </c>
      <c r="AS43" s="1110" t="str">
        <f>IF('A-80 DirEntInv'!AS42&lt;&gt;"",'A-80 DirEntInv'!AS42,IF(AK43=summaryref2!B16,summaryref2!I16,IF(Summary!AK43=summaryref2!B30,summaryref2!I30,IF(AK43=summaryref2!B44,summaryref2!I44,IF(AK43=summaryref2!B58,summaryref2!I58,IF(AK43=summaryref2!B72,summaryref2!I72,IF(AK43=summaryref2!B86,summaryref2!I86,IF(AK43=summaryref2!B100,summaryref2!I100,IF(AK43=summaryref2!B114,summaryref2!I114,IF(AK43=summaryref2!B128,summaryref2!I128,IF(AK43=summaryref2!B142,summaryref2!I142,"")))))))))))</f>
        <v/>
      </c>
      <c r="AT43" s="1110" t="str">
        <f>IF('A-80 DirEntInv'!AT42&lt;&gt;"",'A-80 DirEntInv'!AT42,IF(AK43=summaryref2!B16,summaryref2!J16,IF(Summary!AK43=summaryref2!B30,summaryref2!J30,IF(AK43=summaryref2!B44,summaryref2!J44,IF(AK43=summaryref2!B58,summaryref2!J58,IF(AK43=summaryref2!B72,summaryref2!J72,IF(AK43=summaryref2!B86,summaryref2!J86,IF(AK43=summaryref2!B100,summaryref2!J100,IF(AK43=summaryref2!B114,summaryref2!J114,IF(AK43=summaryref2!B128,summaryref2!J128,IF(AK43=summaryref2!B142,summaryref2!J142,"")))))))))))</f>
        <v/>
      </c>
      <c r="AU43" s="1110" t="str">
        <f>IF('A-80 DirEntInv'!AU42&lt;&gt;"",'A-80 DirEntInv'!AU42,IF(AK43=summaryref2!B16,summaryref2!K16,IF(Summary!AK43=summaryref2!B30,summaryref2!K30,IF(AK43=summaryref2!B44,summaryref2!K44,IF(AK43=summaryref2!B58,summaryref2!K58,IF(AK43=summaryref2!B72,summaryref2!K72,IF(AK43=summaryref2!B86,summaryref2!K86,IF(AK43=summaryref2!B100,summaryref2!K100,IF(AK43=summaryref2!B114,summaryref2!K114,IF(AK43=summaryref2!B128,summaryref2!K128,IF(AK43=summaryref2!B142,summaryref2!K142,"")))))))))))</f>
        <v/>
      </c>
      <c r="AV43" s="1110" t="str">
        <f>IF('A-80 DirEntInv'!AV42&lt;&gt;"",'A-80 DirEntInv'!AV42,IF(AK43=summaryref2!B16,summaryref2!L16,IF(Summary!AK43=summaryref2!B30,summaryref2!L30,IF(AK43=summaryref2!B44,summaryref2!L44,IF(AK43=summaryref2!B58,summaryref2!L58,IF(AK43=summaryref2!B72,summaryref2!L72,IF(AK43=summaryref2!B86,summaryref2!L86,IF(AK43=summaryref2!B100,summaryref2!L100,IF(AK43=summaryref2!B114,summaryref2!L114,IF(AK43=summaryref2!B128,summaryref2!L128,IF(AK43=summaryref2!B142,summaryref2!L142,"")))))))))))</f>
        <v/>
      </c>
      <c r="AW43" s="1110" t="str">
        <f>IF('A-80 DirEntInv'!AW42&lt;&gt;"",'A-80 DirEntInv'!AW42,IF(AK43=summaryref2!B16,summaryref2!M16,IF(Summary!AK43=summaryref2!B30,summaryref2!M30,IF(AK43=summaryref2!B44,summaryref2!M44,IF(AK43=summaryref2!B58,summaryref2!M58,IF(AK43=summaryref2!B72,summaryref2!M72,IF(AK43=summaryref2!B86,summaryref2!M86,IF(AK43=summaryref2!B100,summaryref2!M100,IF(AK43=summaryref2!B114,summaryref2!M114,IF(AK43=summaryref2!B128,summaryref2!M128,IF(AK43=summaryref2!B142,summaryref2!M142,"")))))))))))</f>
        <v/>
      </c>
      <c r="AX43" s="1110" t="str">
        <f>IF('A-80 DirEntInv'!AX42&lt;&gt;"",'A-80 DirEntInv'!AX42,IF(AK43=summaryref2!B16,summaryref2!N16,IF(Summary!AK43=summaryref2!B30,summaryref2!N30,IF(AK43=summaryref2!B44,summaryref2!N44,IF(AK43=summaryref2!B58,summaryref2!N58,IF(AK43=summaryref2!B72,summaryref2!N72,IF(AK43=summaryref2!B86,summaryref2!N86,IF(AK43=summaryref2!B100,summaryref2!N100,IF(AK43=summaryref2!B114,summaryref2!N114,IF(AK43=summaryref2!B128,summaryref2!N128,IF(AK43=summaryref2!B142,summaryref2!N142,"")))))))))))</f>
        <v/>
      </c>
      <c r="AY43" s="1110" t="str">
        <f>IF('A-80 DirEntInv'!AY42&lt;&gt;"",'A-80 DirEntInv'!AY42,IF(AK43=summaryref2!B16,summaryref2!O16,IF(Summary!AK43=summaryref2!B30,summaryref2!O30,IF(AK43=summaryref2!B44,summaryref2!O44,IF(AK43=summaryref2!B58,summaryref2!O58,IF(AK43=summaryref2!B72,summaryref2!O72,IF(AK43=summaryref2!B86,summaryref2!O86,IF(AK43=summaryref2!B100,summaryref2!O100,IF(AK43=summaryref2!B114,summaryref2!O114,IF(AK43=summaryref2!B128,summaryref2!O128,IF(AK43=summaryref2!B142,summaryref2!O142,"")))))))))))</f>
        <v/>
      </c>
      <c r="AZ43" s="1110" t="str">
        <f>IF('A-80 DirEntInv'!AZ42&lt;&gt;"",'A-80 DirEntInv'!AZ42,IF(AK43=summaryref2!B16,summaryref2!P16,IF(Summary!AK43=summaryref2!B30,summaryref2!P30,IF(AK43=summaryref2!B44,summaryref2!P44,IF(AK43=summaryref2!B58,summaryref2!P58,IF(AK43=summaryref2!B72,summaryref2!P72,IF(AK43=summaryref2!B86,summaryref2!P86,IF(AK43=summaryref2!B100,summaryref2!P100,IF(AK43=summaryref2!B114,summaryref2!P114,IF(AK43=summaryref2!B128,summaryref2!P128,IF(AK43=summaryref2!B142,summaryref2!P142,"")))))))))))</f>
        <v/>
      </c>
      <c r="BA43" s="1110" t="str">
        <f>IF('A-80 DirEntInv'!BA42&lt;&gt;"",'A-80 DirEntInv'!BA42,IF(AK43=summaryref2!B16,summaryref2!Q16,IF(Summary!AK43=summaryref2!B30,summaryref2!Q30,IF(AK43=summaryref2!B44,summaryref2!Q44,IF(AK43=summaryref2!B58,summaryref2!Q58,IF(AK43=summaryref2!B72,summaryref2!Q72,IF(AK43=summaryref2!B86,summaryref2!Q86,IF(AK43=summaryref2!B100,summaryref2!Q100,IF(AK43=summaryref2!B114,summaryref2!Q114,IF(AK43=summaryref2!B128,summaryref2!Q128,IF(AK43=summaryref2!B142,summaryref2!Q142,"")))))))))))</f>
        <v/>
      </c>
      <c r="BB43" s="1110" t="str">
        <f>IF('A-80 DirEntInv'!BB42&lt;&gt;"",'A-80 DirEntInv'!BB42,IF(AK43=summaryref2!B16,summaryref2!R16,IF(Summary!AK43=summaryref2!B30,summaryref2!R30,IF(AK43=summaryref2!B44,summaryref2!R44,IF(AK43=summaryref2!B58,summaryref2!R58,IF(AK43=summaryref2!B72,summaryref2!R72,IF(AK43=summaryref2!B86,summaryref2!R86,IF(AK43=summaryref2!B100,summaryref2!R100,IF(AK43=summaryref2!B114,summaryref2!R114,IF(AK43=summaryref2!B128,summaryref2!R128,IF(AK43=summaryref2!B142,summaryref2!R142,"")))))))))))</f>
        <v/>
      </c>
      <c r="BC43" s="1110" t="str">
        <f>IF('A-80 DirEntInv'!BC42&lt;&gt;0,'A-80 DirEntInv'!BC42,IF(AK43=summaryref2!B16,summaryref2!S16,IF(Summary!AK43=summaryref2!B30,summaryref2!S30,IF(AK43=summaryref2!B44,summaryref2!S44,IF(AK43=summaryref2!B58,summaryref2!S58,IF(AK43=summaryref2!B72,summaryref2!S72,IF(AK43=summaryref2!B86,summaryref2!S86,IF(AK43=summaryref2!B100,summaryref2!S100,IF(AK43=summaryref2!B114,summaryref2!S114,IF(AK43=summaryref2!B128,summaryref2!S128,IF(AK43=summaryref2!B142,summaryref2!S142,"")))))))))))</f>
        <v/>
      </c>
      <c r="BD43" s="1111" t="str">
        <f>IF('A-80 DirEntInv'!BD42&lt;&gt;"",'A-80 DirEntInv'!BD42,IF(AK43=summaryref2!B16,summaryref2!T16,IF(Summary!AK43=summaryref2!B30,summaryref2!T30,IF(AK43=summaryref2!B44,summaryref2!T44,IF(AK43=summaryref2!B58,summaryref2!T58,IF(AK43=summaryref2!B72,summaryref2!T72,IF(AK43=summaryref2!B86,summaryref2!T86,IF(AK43=summaryref2!B100,summaryref2!T100,IF(AK43=summaryref2!B114,summaryref2!T114,IF(AK43=summaryref2!B128,summaryref2!T128,IF(AK43=summaryref2!B142,summaryref2!T142,"")))))))))))</f>
        <v/>
      </c>
      <c r="BE43" s="1184" t="str">
        <f>IF('A-80 DirEntInv'!BE42&lt;&gt;"",'A-80 DirEntInv'!BE42,IF(AK43=summaryref2!B16,summaryref2!U16,IF(Summary!AK43=summaryref2!B30,summaryref2!U30,IF(AK43=summaryref2!B44,summaryref2!U44,IF(AK43=summaryref2!B58,summaryref2!U58,IF(AK43=summaryref2!B72,summaryref2!U72,IF(AK43=summaryref2!B86,summaryref2!U86,IF(AK43=summaryref2!B100,summaryref2!U100,IF(AK43=summaryref2!B114,summaryref2!U114,IF(AK43=summaryref2!B128,summaryref2!U128,IF(AK43=summaryref2!B142,summaryref2!U142,"")))))))))))</f>
        <v/>
      </c>
      <c r="BF43" s="1432"/>
      <c r="BG43" s="1432"/>
      <c r="BJ43" s="1041" t="str">
        <f>Codes!$C$160</f>
        <v>CC - Cable Car (PT)</v>
      </c>
      <c r="BK43" s="1042" t="str">
        <f>Valid!$B$84</f>
        <v>Half Grand Union</v>
      </c>
      <c r="BL43" s="1375" t="str">
        <f>IF('A-80 DirEntInv'!BL42&lt;&gt;"",'A-80 DirEntInv'!BL42,IF(BJ43=summaryref2!X16,summaryref2!Z16,IF(BJ43=summaryref2!X23,summaryref2!Z23,IF(BJ43=summaryref2!X30,summaryref2!Z30,IF(BJ43=summaryref2!X37,summaryref2!Z37,IF(BJ43=summaryref2!X44,summaryref2!Z44,IF(BJ43=summaryref2!X51,summaryref2!Z51,IF(BJ43=summaryref2!X58,summaryref2!Z58,IF(BJ43=summaryref2!X65,summaryref2!Z65,IF(BJ43=summaryref2!X72,summaryref2!Z72,IF(BJ43=summaryref2!X79,summaryref2!Z79,"")))))))))))</f>
        <v/>
      </c>
      <c r="BM43" s="1042" t="str">
        <f>VLOOKUP(BK43,Valid!$B$80:$C$86,2,FALSE)</f>
        <v>Each</v>
      </c>
      <c r="BN43" s="1209" t="str">
        <f>IF('A-80 DirEntInv'!BN42&lt;&gt;"",'A-80 DirEntInv'!BN42,IF(BJ43=summaryref2!X16,summaryref2!AB16,IF(BJ43=summaryref2!X23,summaryref2!AB23,IF(BJ43=summaryref2!X30,summaryref2!AB30,IF(BJ43=summaryref2!X37,summaryref2!AB37,IF(BJ43=summaryref2!X44,summaryref2!AB44,IF(BJ43=summaryref2!X51,summaryref2!AB51,IF(BJ43=summaryref2!X58,summaryref2!AB58,IF(BJ43=summaryref2!X65,summaryref2!AB65,IF(BJ43=summaryref2!X72,summaryref2!AB72,IF(BJ43=summaryref2!X79,summaryref2!AB79,"")))))))))))</f>
        <v/>
      </c>
      <c r="BO43" s="1116" t="str">
        <f>IF('A-80 DirEntInv'!BO42&lt;&gt;"",'A-80 DirEntInv'!BO42,IF(BJ43=summaryref2!X16,summaryref2!AC16,IF(BJ43=summaryref2!X23,summaryref2!AC23,IF(BJ43=summaryref2!X30,summaryref2!AC30,IF(BJ43=summaryref2!X37,summaryref2!AC37,IF(BJ43=summaryref2!X44,summaryref2!AC44,IF(BJ43=summaryref2!X51,summaryref2!AC51,IF(BJ43=summaryref2!X58,summaryref2!AC58,IF(BJ43=summaryref2!X65,summaryref2!AC65,IF(BJ43=summaryref2!X72,summaryref2!AC72,IF(BJ43=summaryref2!X79,summaryref2!AC79,"")))))))))))</f>
        <v/>
      </c>
      <c r="BP43" s="1384" t="str">
        <f>IF('A-80 DirEntInv'!BP42&lt;&gt;"",'A-80 DirEntInv'!BP42,IF(BJ43=summaryref2!X16,summaryref2!AD16,IF(BJ43=summaryref2!X23,summaryref2!AD23,IF(BJ43=summaryref2!X30,summaryref2!AD30,IF(BJ43=summaryref2!X37,summaryref2!AD37,IF(BJ43=summaryref2!X44,summaryref2!AD44,IF(BJ43=summaryref2!X51,summaryref2!AD51,IF(BJ43=summaryref2!X58,summaryref2!AD58,IF(BJ43=summaryref2!X65,summaryref2!AD65,IF(BJ43=summaryref2!X72,summaryref2!AD72,IF(BJ43=summaryref2!X79,summaryref2!AD79,"")))))))))))</f>
        <v/>
      </c>
      <c r="BS43" s="1472" t="str">
        <f ca="1">IF('A-80 DirEntInv'!BU42&lt;&gt;"",'A-80 DirEntInv'!BU42,IF(INDIRECT(ADDRESS(SumRef!DK49,SumRef!DK$16,,,SumRef!$E$6))="","",INDIRECT(ADDRESS(SumRef!DK49,SumRef!DK$16,,,SumRef!$E$6))))</f>
        <v/>
      </c>
      <c r="BT43" s="1458" t="str">
        <f ca="1">IF('A-80 DirEntInv'!BV42&lt;&gt;"",'A-80 DirEntInv'!BV42,IF(INDIRECT(ADDRESS(SumRef!DL49,SumRef!DL$16,,,SumRef!$E$6))="","",INDIRECT(ADDRESS(SumRef!DL49,SumRef!DL$16,,,SumRef!$E$6))))</f>
        <v/>
      </c>
      <c r="BU43" s="1177" t="str">
        <f ca="1">IF('A-80 DirEntInv'!BW42&lt;&gt;"",'A-80 DirEntInv'!BW42,IF(INDIRECT(ADDRESS(SumRef!DM49,SumRef!DM$16,,,SumRef!$E$6))="","",INDIRECT(ADDRESS(SumRef!DM49,SumRef!DM$16,,,SumRef!$E$6))))</f>
        <v/>
      </c>
      <c r="BV43" s="1460" t="str">
        <f ca="1">IF('A-80 DirEntInv'!BX42&lt;&gt;"",'A-80 DirEntInv'!BX42,IF(INDIRECT(ADDRESS(SumRef!DN49,SumRef!DN$16,,,SumRef!$E$6))="","",INDIRECT(ADDRESS(SumRef!DN49,SumRef!DN$16,,,SumRef!$E$6))))</f>
        <v/>
      </c>
      <c r="BW43" s="1460" t="str">
        <f ca="1">IF('A-80 DirEntInv'!BY42&lt;&gt;"",'A-80 DirEntInv'!BY42,IF(INDIRECT(ADDRESS(SumRef!DO49,SumRef!DO$16,,,SumRef!$E$6))="","",INDIRECT(ADDRESS(SumRef!DO49,SumRef!DO$16,,,SumRef!$E$6))))</f>
        <v/>
      </c>
      <c r="BX43" s="1116" t="str">
        <f ca="1">IF('A-80 DirEntInv'!BZ42&lt;&gt;"",'A-80 DirEntInv'!BZ42,IF(INDIRECT(ADDRESS(SumRef!DP49,SumRef!DP$16,,,SumRef!$E$6))="","",INDIRECT(ADDRESS(SumRef!DP49,SumRef!DP$16,,,SumRef!$E$6))))</f>
        <v/>
      </c>
      <c r="BY43" s="1461" t="str">
        <f ca="1">IF('A-80 DirEntInv'!CA42&lt;&gt;"",'A-80 DirEntInv'!CA42,IF(INDIRECT(ADDRESS(SumRef!DQ49,SumRef!DQ$16,,,SumRef!$E$6))="","",INDIRECT(ADDRESS(SumRef!DQ49,SumRef!DQ$16,,,SumRef!$E$6))))</f>
        <v/>
      </c>
      <c r="BZ43" s="1460" t="str">
        <f ca="1">IF('A-80 DirEntInv'!CB42&lt;&gt;"",'A-80 DirEntInv'!CB42,IF(INDIRECT(ADDRESS(SumRef!DR49,SumRef!DR$16,,,SumRef!$E$6))="","",INDIRECT(ADDRESS(SumRef!DR49,SumRef!DR$16,,,SumRef!$E$6))))</f>
        <v/>
      </c>
      <c r="CA43" s="1462" t="str">
        <f ca="1">IF('A-80 DirEntInv'!CC42&lt;&gt;"",'A-80 DirEntInv'!CC42,IF(INDIRECT(ADDRESS(SumRef!DS49,SumRef!DS$16,,,SumRef!$E$6))="","",INDIRECT(ADDRESS(SumRef!DS49,SumRef!DS$16,,,SumRef!$E$6))))</f>
        <v/>
      </c>
      <c r="CD43" s="1160" t="str">
        <f ca="1">IF('A-80 DirEntInv'!CF42&lt;&gt;"",'A-80 DirEntInv'!CF42,IF(INDIRECT(ADDRESS(SumRef!DV49,SumRef!DV$16,,,SumRef!$E$7))="","",INDIRECT(ADDRESS(SumRef!DV49,SumRef!DV$16,,,SumRef!$E$7))))</f>
        <v/>
      </c>
      <c r="CE43" s="1167" t="str">
        <f ca="1">IF('A-80 DirEntInv'!CG42&lt;&gt;"",'A-80 DirEntInv'!CG42,IF(INDIRECT(ADDRESS(SumRef!DW49,SumRef!DW$16,,,SumRef!$E$7))="","",INDIRECT(ADDRESS(SumRef!DW49,SumRef!DW$16,,,SumRef!$E$7))))</f>
        <v/>
      </c>
      <c r="CF43" s="1167" t="str">
        <f ca="1">IF('A-80 DirEntInv'!CH42&lt;&gt;"",'A-80 DirEntInv'!CH42,IF(INDIRECT(ADDRESS(SumRef!DX49,SumRef!DX$16,,,SumRef!$E$7))="","",INDIRECT(ADDRESS(SumRef!DX49,SumRef!DX$16,,,SumRef!$E$7))))</f>
        <v/>
      </c>
      <c r="CG43" s="1167" t="str">
        <f ca="1">IF('A-80 DirEntInv'!CI42&lt;&gt;"",'A-80 DirEntInv'!CI42,IF(INDIRECT(ADDRESS(SumRef!DY49,SumRef!DY$16,,,SumRef!$E$7))="","",INDIRECT(ADDRESS(SumRef!DY49,SumRef!DY$16,,,SumRef!$E$7))))</f>
        <v/>
      </c>
      <c r="CH43" s="1167" t="str">
        <f ca="1">IF('A-80 DirEntInv'!CJ42&lt;&gt;"",'A-80 DirEntInv'!CJ42,IF(INDIRECT(ADDRESS(SumRef!DZ49,SumRef!DZ$16,,,SumRef!$E$7))="","",INDIRECT(ADDRESS(SumRef!DZ49,SumRef!DZ$16,,,SumRef!$E$7))))</f>
        <v/>
      </c>
      <c r="CI43" s="1167" t="str">
        <f ca="1">IF('A-80 DirEntInv'!CK42&lt;&gt;"",'A-80 DirEntInv'!CK42,IF(INDIRECT(ADDRESS(SumRef!EA49,SumRef!EA$16,,,SumRef!$E$7))="","",INDIRECT(ADDRESS(SumRef!EA49,SumRef!EA$16,,,SumRef!$E$7))))</f>
        <v/>
      </c>
      <c r="CJ43" s="1114" t="str">
        <f ca="1">IF('A-80 DirEntInv'!CL42&lt;&gt;"",'A-80 DirEntInv'!CL42,IF(INDIRECT(ADDRESS(SumRef!EB49,SumRef!EB$16,,,SumRef!$E$7))="","",INDIRECT(ADDRESS(SumRef!EB49,SumRef!EB$16,,,SumRef!$E$7))))</f>
        <v/>
      </c>
      <c r="CK43" s="1114" t="str">
        <f ca="1">IF('A-80 DirEntInv'!CM42&lt;&gt;"",'A-80 DirEntInv'!CM42,IF(INDIRECT(ADDRESS(SumRef!EC49,SumRef!EC$16,,,SumRef!$E$7))="","",INDIRECT(ADDRESS(SumRef!EC49,SumRef!EC$16,,,SumRef!$E$7))))</f>
        <v/>
      </c>
      <c r="CL43" s="1113" t="str">
        <f ca="1">IF('A-80 DirEntInv'!CO42&lt;&gt;"",'A-80 DirEntInv'!CO42,IF(INDIRECT(ADDRESS(SumRef!ED49,SumRef!ED$16,,,SumRef!$E$7))="","",INDIRECT(ADDRESS(SumRef!ED49,SumRef!ED$16,,,SumRef!$E$7))))</f>
        <v/>
      </c>
      <c r="CM43" s="1114" t="str">
        <f ca="1">IF('A-80 DirEntInv'!CP42&lt;&gt;"",'A-80 DirEntInv'!CP42,IF(INDIRECT(ADDRESS(SumRef!EE49,SumRef!EE$16,,,SumRef!$E$7))="","",INDIRECT(ADDRESS(SumRef!EE49,SumRef!EE$16,,,SumRef!$E$7))))</f>
        <v/>
      </c>
      <c r="CN43" s="1114" t="str">
        <f ca="1">IF('A-80 DirEntInv'!CQ42&lt;&gt;"",'A-80 DirEntInv'!CQ42,IF(INDIRECT(ADDRESS(SumRef!EF49,SumRef!EF$16,,,SumRef!$E$7))="","",INDIRECT(ADDRESS(SumRef!EF49,SumRef!EF$16,,,SumRef!$E$7))))</f>
        <v/>
      </c>
      <c r="CO43" s="1113" t="str">
        <f ca="1">IF('A-80 DirEntInv'!CR42&lt;&gt;"",'A-80 DirEntInv'!CR42,IF(INDIRECT(ADDRESS(SumRef!EG49,SumRef!EG$16,,,SumRef!$E$7))="","",INDIRECT(ADDRESS(SumRef!EG49,SumRef!EG$16,,,SumRef!$E$7))))</f>
        <v/>
      </c>
      <c r="CP43" s="1114" t="str">
        <f ca="1">IF('A-80 DirEntInv'!CS42&lt;&gt;"",'A-80 DirEntInv'!CS42,IF(INDIRECT(ADDRESS(SumRef!EH49,SumRef!EH$16,,,SumRef!$E$7))="","",INDIRECT(ADDRESS(SumRef!EH49,SumRef!EH$16,,,SumRef!$E$7))))</f>
        <v/>
      </c>
      <c r="CQ43" s="1346" t="str">
        <f ca="1">IF('A-80 DirEntInv'!CT42&lt;&gt;"",'A-80 DirEntInv'!CT42,IF(INDIRECT(ADDRESS(SumRef!EI49,SumRef!EI$16,,,SumRef!$E$7))="","",INDIRECT(ADDRESS(SumRef!EI49,SumRef!EI$16,,,SumRef!$E$7))))</f>
        <v/>
      </c>
      <c r="CR43" s="1113" t="str">
        <f ca="1">IF('A-80 DirEntInv'!CU42&lt;&gt;"",'A-80 DirEntInv'!CU42,IF(INDIRECT(ADDRESS(SumRef!EJ49,SumRef!EJ$16,,,SumRef!$E$7))="","",INDIRECT(ADDRESS(SumRef!EJ49,SumRef!EJ$16,,,SumRef!$E$7))))</f>
        <v/>
      </c>
      <c r="CS43" s="1346" t="str">
        <f ca="1">IF('A-80 DirEntInv'!CV42&lt;&gt;"",'A-80 DirEntInv'!CV42,IF(INDIRECT(ADDRESS(SumRef!EM49,SumRef!EM$16,,,SumRef!$E$7))="","",INDIRECT(ADDRESS(SumRef!EM49,SumRef!EM$16,,,SumRef!$E$7))))</f>
        <v/>
      </c>
      <c r="CT43" s="1113" t="str">
        <f ca="1">IF('A-80 DirEntInv'!CW42&lt;&gt;"",'A-80 DirEntInv'!CW42,IF(INDIRECT(ADDRESS(SumRef!EN49,SumRef!EN$16,,,SumRef!$E$7))="","",INDIRECT(ADDRESS(SumRef!EN49,SumRef!EN$16,,,SumRef!$E$7))))</f>
        <v/>
      </c>
      <c r="CU43" s="1113" t="str">
        <f ca="1">IF('A-80 DirEntInv'!CX42&lt;&gt;"",'A-80 DirEntInv'!CX42,IF(INDIRECT(ADDRESS(SumRef!EO49,SumRef!EO$16,,,SumRef!$E$7))="","",INDIRECT(ADDRESS(SumRef!EO49,SumRef!EO$16,,,SumRef!$E$7))))</f>
        <v/>
      </c>
      <c r="CV43" s="1113" t="str">
        <f ca="1">IF('A-80 DirEntInv'!CY42&lt;&gt;"",'A-80 DirEntInv'!CY42,IF(INDIRECT(ADDRESS(SumRef!EP49,SumRef!EP$16,,,SumRef!$E$7))="","",INDIRECT(ADDRESS(SumRef!EP49,SumRef!EP$16,,,SumRef!$E$7))))</f>
        <v/>
      </c>
      <c r="CW43" s="1114" t="str">
        <f ca="1">IF('A-80 DirEntInv'!CZ42&lt;&gt;"",'A-80 DirEntInv'!CZ42,IF(INDIRECT(ADDRESS(SumRef!ES49,SumRef!ES$16,,,SumRef!$E$7))="","",INDIRECT(ADDRESS(SumRef!ES49,SumRef!ES$16,,,SumRef!$E$7))))</f>
        <v/>
      </c>
      <c r="CX43" s="1167" t="str">
        <f ca="1">IF('A-80 DirEntInv'!DA42&lt;&gt;"",'A-80 DirEntInv'!DA42,IF(INDIRECT(ADDRESS(SumRef!ET49,SumRef!ET$16,,,SumRef!$E$7))="","",INDIRECT(ADDRESS(SumRef!ET49,SumRef!ET$16,,,SumRef!$E$7))))</f>
        <v/>
      </c>
      <c r="CY43" s="1167" t="str">
        <f ca="1">IF('A-80 DirEntInv'!DB42&lt;&gt;"",'A-80 DirEntInv'!DB42,IF(INDIRECT(ADDRESS(SumRef!EU49,SumRef!EU$16,,,SumRef!$E$7))="","",INDIRECT(ADDRESS(SumRef!EU49,SumRef!EU$16,,,SumRef!$E$7))))</f>
        <v/>
      </c>
      <c r="CZ43" s="1167" t="b">
        <f ca="1">IF('A-80 DirEntInv'!DC42&lt;&gt;"",'A-80 DirEntInv'!DC42,IF(INDIRECT(ADDRESS(SumRef!EV49,SumRef!EV$16,,,SumRef!$E$7))="","",INDIRECT(ADDRESS(SumRef!EV49,SumRef!EV$16,,,SumRef!$E$7))))</f>
        <v>0</v>
      </c>
      <c r="DA43" s="1373" t="str">
        <f ca="1">IF('A-80 DirEntInv'!DD42&lt;&gt;"",'A-80 DirEntInv'!DD42,IF(INDIRECT(ADDRESS(SumRef!EW49,SumRef!EW$16,,,SumRef!$E$7))="","",INDIRECT(ADDRESS(SumRef!EW49,SumRef!EW$16,,,SumRef!$E$7))))</f>
        <v/>
      </c>
      <c r="DB43" s="1373" t="b">
        <f ca="1">IF('A-80 DirEntInv'!DE42&lt;&gt;"",'A-80 DirEntInv'!DE42,IF(INDIRECT(ADDRESS(SumRef!EX49,SumRef!EX$16,,,SumRef!$E$7))="","",INDIRECT(ADDRESS(SumRef!EX49,SumRef!EX$16,,,SumRef!$E$7))))</f>
        <v>0</v>
      </c>
      <c r="DC43" s="1114" t="b">
        <f ca="1">IF('A-80 DirEntInv'!DF42&lt;&gt;"",'A-80 DirEntInv'!DF42,IF(INDIRECT(ADDRESS(SumRef!EY49,SumRef!EY$16,,,SumRef!$E$7))="","",INDIRECT(ADDRESS(SumRef!EY49,SumRef!EY$16,,,SumRef!$E$7))))</f>
        <v>0</v>
      </c>
      <c r="DD43" s="1115" t="str">
        <f ca="1">IF('A-80 DirEntInv'!DG42&lt;&gt;"",'A-80 DirEntInv'!DG42,IF(INDIRECT(ADDRESS(SumRef!EZ49,SumRef!EZ$16,,,SumRef!$E$7))="","",INDIRECT(ADDRESS(SumRef!EZ49,SumRef!EZ$16,,,SumRef!$E$7))))</f>
        <v/>
      </c>
    </row>
    <row r="44" spans="1:108" s="588" customFormat="1" x14ac:dyDescent="0.2">
      <c r="A44" s="589">
        <f t="shared" si="0"/>
        <v>34</v>
      </c>
      <c r="B44" s="1155" t="str">
        <f ca="1">IF('A-80 DirEntInv'!B43&lt;&gt;"",'A-80 DirEntInv'!B43,IF(INDIRECT(ADDRESS(SumRef!AQ50,SumRef!AQ$16,,,SumRef!$B$7))="","",INDIRECT(ADDRESS(SumRef!AQ50,SumRef!AQ$16,,,SumRef!$B$7))))</f>
        <v/>
      </c>
      <c r="C44" s="1097" t="str">
        <f ca="1">IF('A-80 DirEntInv'!C43&lt;&gt;"",'A-80 DirEntInv'!C43,IF(INDIRECT(ADDRESS(SumRef!AR50,SumRef!AR$16,,,SumRef!$B$7))="","",INDIRECT(ADDRESS(SumRef!AR50,SumRef!AR$16,,,SumRef!$B$7))))</f>
        <v/>
      </c>
      <c r="D44" s="1097" t="str">
        <f ca="1">IF('A-80 DirEntInv'!D43&lt;&gt;"",'A-80 DirEntInv'!D43,IF(INDIRECT(ADDRESS(SumRef!AS50,SumRef!AS$16,,,SumRef!$B$7))="","",INDIRECT(ADDRESS(SumRef!AS50,SumRef!AS$16,,,SumRef!$B$7))))</f>
        <v/>
      </c>
      <c r="E44" s="1097" t="str">
        <f ca="1">IF('A-80 DirEntInv'!E43&lt;&gt;"",'A-80 DirEntInv'!E43,IF(INDIRECT(ADDRESS(SumRef!AT50,SumRef!AT$16,,,SumRef!$B$7))="","",INDIRECT(ADDRESS(SumRef!AT50,SumRef!AT$16,,,SumRef!$B$7))))</f>
        <v/>
      </c>
      <c r="F44" s="1097" t="str">
        <f ca="1">IF('A-80 DirEntInv'!F43&lt;&gt;"",'A-80 DirEntInv'!F43,IF(INDIRECT(ADDRESS(SumRef!AU50,SumRef!AU$16,,,SumRef!$B$7))="","",INDIRECT(ADDRESS(SumRef!AU50,SumRef!AU$16,,,SumRef!$B$7))))</f>
        <v/>
      </c>
      <c r="G44" s="1158" t="str">
        <f ca="1">IF('A-80 DirEntInv'!G43&lt;&gt;"",'A-80 DirEntInv'!G43,IF(INDIRECT(ADDRESS(SumRef!AV50,SumRef!AV$16,,,SumRef!$B$7))="","",INDIRECT(ADDRESS(SumRef!AV50,SumRef!AV$16,,,SumRef!$B$7))))</f>
        <v/>
      </c>
      <c r="H44" s="1097" t="str">
        <f ca="1">IF('A-80 DirEntInv'!H43&lt;&gt;"",'A-80 DirEntInv'!H43,IF(INDIRECT(ADDRESS(SumRef!AW50,SumRef!AW$16,,,SumRef!$B$7))="","",INDIRECT(ADDRESS(SumRef!AW50,SumRef!AW$16,,,SumRef!$B$7))))</f>
        <v/>
      </c>
      <c r="I44" s="1097" t="str">
        <f ca="1">IF('A-80 DirEntInv'!I43&lt;&gt;"",'A-80 DirEntInv'!I43,IF(INDIRECT(ADDRESS(SumRef!AX50,SumRef!AX$16,,,SumRef!$B$7))="","",INDIRECT(ADDRESS(SumRef!AX50,SumRef!AX$16,,,SumRef!$B$7))))</f>
        <v/>
      </c>
      <c r="J44" s="1098" t="str">
        <f ca="1">IF('A-80 DirEntInv'!J43&lt;&gt;"",'A-80 DirEntInv'!J43,IF(INDIRECT(ADDRESS(SumRef!AY50,SumRef!AY$16,,,SumRef!$B$7))="","",INDIRECT(ADDRESS(SumRef!AY50,SumRef!AY$16,,,SumRef!$B$7))))</f>
        <v/>
      </c>
      <c r="K44" s="1099" t="str">
        <f ca="1">IF('A-80 DirEntInv'!K43&lt;&gt;"",'A-80 DirEntInv'!K43,IF(INDIRECT(ADDRESS(SumRef!AZ50,SumRef!AZ$16,,,SumRef!$B$7))="","",INDIRECT(ADDRESS(SumRef!AZ50,SumRef!AZ$16,,,SumRef!$B$7))))</f>
        <v/>
      </c>
      <c r="L44" s="1100" t="str">
        <f ca="1">IF('A-80 DirEntInv'!L43&lt;&gt;"",'A-80 DirEntInv'!L43,IF(INDIRECT(ADDRESS(SumRef!BA50,SumRef!BA$16,,,SumRef!$B$7))="","",INDIRECT(ADDRESS(SumRef!BA50,SumRef!BA$16,,,SumRef!$B$7))))</f>
        <v/>
      </c>
      <c r="M44" s="1101" t="str">
        <f ca="1">IF('A-80 DirEntInv'!M43&lt;&gt;"",'A-80 DirEntInv'!M43,IF(INDIRECT(ADDRESS(SumRef!BB50,SumRef!BB$16,,,SumRef!$B$7))="","",INDIRECT(ADDRESS(SumRef!BB50,SumRef!BB$16,,,SumRef!$B$7))))</f>
        <v/>
      </c>
      <c r="N44" s="1098" t="str">
        <f ca="1">IF('A-80 DirEntInv'!N43&lt;&gt;"",'A-80 DirEntInv'!N43,IF(INDIRECT(ADDRESS(SumRef!BC50,SumRef!BC$16,,,SumRef!$B$7))="","",INDIRECT(ADDRESS(SumRef!BC50,SumRef!BC$16,,,SumRef!$B$7))))</f>
        <v/>
      </c>
      <c r="O44" s="1102" t="str">
        <f ca="1">IF('A-80 DirEntInv'!O43&lt;&gt;"",'A-80 DirEntInv'!O43,IF(INDIRECT(ADDRESS(SumRef!BD50,SumRef!BD$16,,,SumRef!$B$7))="","",INDIRECT(ADDRESS(SumRef!BD50,SumRef!BD$16,,,SumRef!$B$7))))</f>
        <v/>
      </c>
      <c r="Q44" s="589"/>
      <c r="R44" s="1103" t="str">
        <f ca="1">IF('A-80 DirEntInv'!R43&lt;&gt;"",'A-80 DirEntInv'!R43,IF(INDIRECT(ADDRESS(SumRef!BH50,SumRef!BH$16,,,SumRef!$B$8))="","",INDIRECT(ADDRESS(SumRef!BH50,SumRef!BH$16,,,SumRef!$B$8))))</f>
        <v/>
      </c>
      <c r="S44" s="1104" t="str">
        <f ca="1">IF('A-80 DirEntInv'!S43&lt;&gt;"",'A-80 DirEntInv'!S43,IF(INDIRECT(ADDRESS(SumRef!BI50,SumRef!BI$16,,,SumRef!$B$8))="","",INDIRECT(ADDRESS(SumRef!BI50,SumRef!BI$16,,,SumRef!$B$8))))</f>
        <v/>
      </c>
      <c r="T44" s="1104" t="str">
        <f ca="1">IF('A-80 DirEntInv'!T43&lt;&gt;"",'A-80 DirEntInv'!T43,IF(INDIRECT(ADDRESS(SumRef!BJ50,SumRef!BJ$16,,,SumRef!$B$8))="","",INDIRECT(ADDRESS(SumRef!BJ50,SumRef!BJ$16,,,SumRef!$B$8))))</f>
        <v/>
      </c>
      <c r="U44" s="1104" t="str">
        <f ca="1">IF('A-80 DirEntInv'!U43&lt;&gt;"",'A-80 DirEntInv'!U43,IF(INDIRECT(ADDRESS(SumRef!BK50,SumRef!BK$16,,,SumRef!$B$8))="","",INDIRECT(ADDRESS(SumRef!BK50,SumRef!BK$16,,,SumRef!$B$8))))</f>
        <v/>
      </c>
      <c r="V44" s="1104" t="str">
        <f ca="1">IF('A-80 DirEntInv'!V43&lt;&gt;"",'A-80 DirEntInv'!V43,IF(INDIRECT(ADDRESS(SumRef!BL50,SumRef!BL$16,,,SumRef!$B$8))="","",INDIRECT(ADDRESS(SumRef!BL50,SumRef!BL$16,,,SumRef!$B$8))))</f>
        <v/>
      </c>
      <c r="W44" s="1354" t="str">
        <f ca="1">IF('A-80 DirEntInv'!W43&lt;&gt;"",'A-80 DirEntInv'!W43,IF(INDIRECT(ADDRESS(SumRef!BM50,SumRef!BM$16,,,SumRef!$B$8))="","",INDIRECT(ADDRESS(SumRef!BM50,SumRef!BM$16,,,SumRef!$B$8))))</f>
        <v/>
      </c>
      <c r="X44" s="1203" t="str">
        <f ca="1">IF('A-80 DirEntInv'!X43&lt;&gt;"",'A-80 DirEntInv'!X43,IF(INDIRECT(ADDRESS(SumRef!BN50,SumRef!BN$16,,,SumRef!$B$8))="","",INDIRECT(ADDRESS(SumRef!BN50,SumRef!BN$16,,,SumRef!$B$8))))</f>
        <v/>
      </c>
      <c r="Y44" s="1203" t="str">
        <f ca="1">IF('A-80 DirEntInv'!Y43&lt;&gt;"",'A-80 DirEntInv'!Y43,IF(INDIRECT(ADDRESS(SumRef!BO50,SumRef!BO$16,,,SumRef!$B$8))="","",INDIRECT(ADDRESS(SumRef!BO50,SumRef!BO$16,,,SumRef!$B$8))))</f>
        <v/>
      </c>
      <c r="Z44" s="1104" t="str">
        <f ca="1">IF('A-80 DirEntInv'!Z43&lt;&gt;"",'A-80 DirEntInv'!Z43,IF(INDIRECT(ADDRESS(SumRef!BP50,SumRef!BP$16,,,SumRef!$B$8))="","",INDIRECT(ADDRESS(SumRef!BP50,SumRef!BP$16,,,SumRef!$B$8))))</f>
        <v/>
      </c>
      <c r="AA44" s="1104" t="str">
        <f ca="1">IF('A-80 DirEntInv'!AA43&lt;&gt;"",'A-80 DirEntInv'!AA43,IF(INDIRECT(ADDRESS(SumRef!BQ50,SumRef!BQ$16,,,SumRef!$B$8))="","",INDIRECT(ADDRESS(SumRef!BQ50,SumRef!BQ$16,,,SumRef!$B$8))))</f>
        <v/>
      </c>
      <c r="AB44" s="1106" t="str">
        <f ca="1">IF('A-80 DirEntInv'!AB43&lt;&gt;"",'A-80 DirEntInv'!AB43,IF(INDIRECT(ADDRESS(SumRef!BR50,SumRef!BR$16,,,SumRef!$B$8))="","",INDIRECT(ADDRESS(SumRef!BR50,SumRef!BR$16,,,SumRef!$B$8))))</f>
        <v/>
      </c>
      <c r="AC44" s="1107" t="str">
        <f ca="1">IF('A-80 DirEntInv'!AC43&lt;&gt;"",'A-80 DirEntInv'!AC43,IF(INDIRECT(ADDRESS(SumRef!BS50,SumRef!BS$16,,,SumRef!$B$8))="","",INDIRECT(ADDRESS(SumRef!BS50,SumRef!BS$16,,,SumRef!$B$8))))</f>
        <v/>
      </c>
      <c r="AD44" s="1349" t="str">
        <f ca="1">IF('A-80 DirEntInv'!AD43&lt;&gt;"",'A-80 DirEntInv'!AD43,IF(INDIRECT(ADDRESS(SumRef!BT50,SumRef!BT$16,,,SumRef!$B$8))="","",INDIRECT(ADDRESS(SumRef!BT50,SumRef!BT$16,,,SumRef!$B$8))))</f>
        <v/>
      </c>
      <c r="AE44" s="1137" t="str">
        <f ca="1">IF('A-80 DirEntInv'!AE43&lt;&gt;"",'A-80 DirEntInv'!AE43,IF(INDIRECT(ADDRESS(SumRef!BU50,SumRef!BU$16,,,SumRef!$B$8))="","",INDIRECT(ADDRESS(SumRef!BU50,SumRef!BU$16,,,SumRef!$B$8))))</f>
        <v/>
      </c>
      <c r="AF44" s="1346" t="str">
        <f ca="1">IF('A-80 DirEntInv'!AF43&lt;&gt;"",'A-80 DirEntInv'!AF43,IF(INDIRECT(ADDRESS(SumRef!BV50,SumRef!BV$16,,,SumRef!$B$8))="","",INDIRECT(ADDRESS(SumRef!BV50,SumRef!BV$16,,,SumRef!$B$8))))</f>
        <v/>
      </c>
      <c r="AG44" s="1105" t="str">
        <f ca="1">IF('A-80 DirEntInv'!AG43&lt;&gt;"",'A-80 DirEntInv'!AG43,IF(INDIRECT(ADDRESS(SumRef!BW50,SumRef!BW$16,,,SumRef!$B$8))="","",INDIRECT(ADDRESS(SumRef!BW50,SumRef!BW$16,,,SumRef!$B$8))))</f>
        <v/>
      </c>
      <c r="AH44" s="1357" t="str">
        <f ca="1">IF('A-80 DirEntInv'!AH43&lt;&gt;"",'A-80 DirEntInv'!AH43,IF(INDIRECT(ADDRESS(SumRef!BX50,SumRef!BX$16,,,SumRef!$B$8))="","",INDIRECT(ADDRESS(SumRef!BX50,SumRef!BX$16,,,SumRef!$B$8))))</f>
        <v/>
      </c>
      <c r="AK44" s="1041" t="str">
        <f>Codes!$C$158</f>
        <v>AR - Alaska Railroad</v>
      </c>
      <c r="AL44" s="1042" t="str">
        <f>Valid!$B$76</f>
        <v>Below-Grade/Retained Cut</v>
      </c>
      <c r="AM44" s="1108" t="str">
        <f>IF('A-80 DirEntInv'!AM43&lt;&gt;"",'A-80 DirEntInv'!AM43,IF(AK44=summaryref2!B17,summaryref2!D17,IF(Summary!AK44=summaryref2!B31,summaryref2!D31,IF(AK44=summaryref2!B45,summaryref2!D45,IF(AK44=summaryref2!B59,summaryref2!D59,IF(AK44=summaryref2!B73,summaryref2!D73,IF(AK44=summaryref2!B87,summaryref2!D87,IF(AK44=summaryref2!B101,summaryref2!D101,IF(AK44=summaryref2!B115,summaryref2!D115,IF(AK44=summaryref2!B129,summaryref2!D129,IF(AK44=summaryref2!B143,summaryref2!D143,"")))))))))))</f>
        <v/>
      </c>
      <c r="AN44" s="1109" t="str">
        <f ca="1">IF('A-80 DirEntInv'!AN43&lt;&gt;"",'A-80 DirEntInv'!AN43,IF(INDIRECT(ADDRESS(SumRef!CG36,SumRef!CG$16,,,SumRef!$C$7))="","",INDIRECT(ADDRESS(SumRef!CG36,SumRef!CG$16,,,SumRef!$C$7))))</f>
        <v>Linear Feet</v>
      </c>
      <c r="AO44" s="1108" t="str">
        <f>IF('A-80 DirEntInv'!AO43&lt;&gt;"",'A-80 DirEntInv'!AO43,IF(AK44=summaryref2!B17,summaryref2!F17,IF(Summary!AK44=summaryref2!B31,summaryref2!F31,IF(AK44=summaryref2!B45,summaryref2!F45,IF(AK44=summaryref2!B59,summaryref2!F59,IF(AK44=summaryref2!B73,summaryref2!F73,IF(AK44=summaryref2!B87,summaryref2!F87,IF(AK44=summaryref2!B101,summaryref2!F101,IF(AK44=summaryref2!B115,summaryref2!F115,IF(AK44=summaryref2!B129,summaryref2!F129,IF(AK44=summaryref2!B143,summaryref2!F143,"")))))))))))</f>
        <v/>
      </c>
      <c r="AP44" s="1109" t="str">
        <f ca="1">IF('A-80 DirEntInv'!AP43&lt;&gt;"",'A-80 DirEntInv'!AP43,IF(INDIRECT(ADDRESS(SumRef!#REF!,SumRef!#REF!,,,SumRef!$C$7))="","",INDIRECT(ADDRESS(SumRef!#REF!,SumRef!#REF!,,,SumRef!$C$7))))</f>
        <v>Track Feet</v>
      </c>
      <c r="AQ44" s="1147" t="str">
        <f>IF('A-80 DirEntInv'!AQ43&lt;&gt;"",'A-80 DirEntInv'!AQ43,IF(AK44=summaryref2!B17,summaryref2!G17,IF(Summary!AK44=summaryref2!B31,summaryref2!G31,IF(AK44=summaryref2!B45,summaryref2!G45,IF(AK44=summaryref2!B59,summaryref2!G59,IF(AK44=summaryref2!B73,summaryref2!G73,IF(AK44=summaryref2!B87,summaryref2!G87,IF(AK44=summaryref2!B101,summaryref2!G101,IF(AK44=summaryref2!B115,summaryref2!G115,IF(AK44=summaryref2!B129,summaryref2!G129,IF(AK44=summaryref2!B143,summaryref2!G143,"")))))))))))</f>
        <v/>
      </c>
      <c r="AR44" s="1147" t="str">
        <f>IF('A-80 DirEntInv'!AR43&lt;&gt;"",'A-80 DirEntInv'!AR43,IF(AK44=summaryref2!B17,summaryref2!H17,IF(Summary!AK44=summaryref2!B31,summaryref2!H31,IF(AK44=summaryref2!B45,summaryref2!H45,IF(AK44=summaryref2!B59,summaryref2!H59,IF(AK44=summaryref2!B73,summaryref2!H73,IF(AK44=summaryref2!B87,summaryref2!H87,IF(AK44=summaryref2!B101,summaryref2!H101,IF(AK44=summaryref2!B115,summaryref2!H115,IF(AK44=summaryref2!B129,summaryref2!H129,IF(AK44=summaryref2!B143,summaryref2!H143,"")))))))))))</f>
        <v/>
      </c>
      <c r="AS44" s="1110" t="str">
        <f>IF('A-80 DirEntInv'!AS43&lt;&gt;"",'A-80 DirEntInv'!AS43,IF(AK44=summaryref2!B17,summaryref2!I17,IF(Summary!AK44=summaryref2!B31,summaryref2!I31,IF(AK44=summaryref2!B45,summaryref2!I45,IF(AK44=summaryref2!B59,summaryref2!I59,IF(AK44=summaryref2!B73,summaryref2!I73,IF(AK44=summaryref2!B87,summaryref2!I87,IF(AK44=summaryref2!B101,summaryref2!I101,IF(AK44=summaryref2!B115,summaryref2!I115,IF(AK44=summaryref2!B129,summaryref2!I129,IF(AK44=summaryref2!B143,summaryref2!I143,"")))))))))))</f>
        <v/>
      </c>
      <c r="AT44" s="1110" t="str">
        <f>IF('A-80 DirEntInv'!AT43&lt;&gt;"",'A-80 DirEntInv'!AT43,IF(AK44=summaryref2!B17,summaryref2!J17,IF(Summary!AK44=summaryref2!B31,summaryref2!J31,IF(AK44=summaryref2!B45,summaryref2!J45,IF(AK44=summaryref2!B59,summaryref2!J59,IF(AK44=summaryref2!B73,summaryref2!J73,IF(AK44=summaryref2!B87,summaryref2!J87,IF(AK44=summaryref2!B101,summaryref2!J101,IF(AK44=summaryref2!B115,summaryref2!J115,IF(AK44=summaryref2!B129,summaryref2!J129,IF(AK44=summaryref2!B143,summaryref2!J143,"")))))))))))</f>
        <v/>
      </c>
      <c r="AU44" s="1110" t="str">
        <f>IF('A-80 DirEntInv'!AU43&lt;&gt;"",'A-80 DirEntInv'!AU43,IF(AK44=summaryref2!B17,summaryref2!K17,IF(Summary!AK44=summaryref2!B31,summaryref2!K31,IF(AK44=summaryref2!B45,summaryref2!K45,IF(AK44=summaryref2!B59,summaryref2!K59,IF(AK44=summaryref2!B73,summaryref2!K73,IF(AK44=summaryref2!B87,summaryref2!K87,IF(AK44=summaryref2!B101,summaryref2!K101,IF(AK44=summaryref2!B115,summaryref2!K115,IF(AK44=summaryref2!B129,summaryref2!K129,IF(AK44=summaryref2!B143,summaryref2!K143,"")))))))))))</f>
        <v/>
      </c>
      <c r="AV44" s="1110" t="str">
        <f>IF('A-80 DirEntInv'!AV43&lt;&gt;"",'A-80 DirEntInv'!AV43,IF(AK44=summaryref2!B17,summaryref2!L17,IF(Summary!AK44=summaryref2!B31,summaryref2!L31,IF(AK44=summaryref2!B45,summaryref2!L45,IF(AK44=summaryref2!B59,summaryref2!L59,IF(AK44=summaryref2!B73,summaryref2!L73,IF(AK44=summaryref2!B87,summaryref2!L87,IF(AK44=summaryref2!B101,summaryref2!L101,IF(AK44=summaryref2!B115,summaryref2!L115,IF(AK44=summaryref2!B129,summaryref2!L129,IF(AK44=summaryref2!B143,summaryref2!L143,"")))))))))))</f>
        <v/>
      </c>
      <c r="AW44" s="1110" t="str">
        <f>IF('A-80 DirEntInv'!AW43&lt;&gt;"",'A-80 DirEntInv'!AW43,IF(AK44=summaryref2!B17,summaryref2!M17,IF(Summary!AK44=summaryref2!B31,summaryref2!M31,IF(AK44=summaryref2!B45,summaryref2!M45,IF(AK44=summaryref2!B59,summaryref2!M59,IF(AK44=summaryref2!B73,summaryref2!M73,IF(AK44=summaryref2!B87,summaryref2!M87,IF(AK44=summaryref2!B101,summaryref2!M101,IF(AK44=summaryref2!B115,summaryref2!M115,IF(AK44=summaryref2!B129,summaryref2!M129,IF(AK44=summaryref2!B143,summaryref2!M143,"")))))))))))</f>
        <v/>
      </c>
      <c r="AX44" s="1110" t="str">
        <f>IF('A-80 DirEntInv'!AX43&lt;&gt;"",'A-80 DirEntInv'!AX43,IF(AK44=summaryref2!B17,summaryref2!N17,IF(Summary!AK44=summaryref2!B31,summaryref2!N31,IF(AK44=summaryref2!B45,summaryref2!N45,IF(AK44=summaryref2!B59,summaryref2!N59,IF(AK44=summaryref2!B73,summaryref2!N73,IF(AK44=summaryref2!B87,summaryref2!N87,IF(AK44=summaryref2!B101,summaryref2!N101,IF(AK44=summaryref2!B115,summaryref2!N115,IF(AK44=summaryref2!B129,summaryref2!N129,IF(AK44=summaryref2!B143,summaryref2!N143,"")))))))))))</f>
        <v/>
      </c>
      <c r="AY44" s="1110" t="str">
        <f>IF('A-80 DirEntInv'!AY43&lt;&gt;"",'A-80 DirEntInv'!AY43,IF(AK44=summaryref2!B17,summaryref2!O17,IF(Summary!AK44=summaryref2!B31,summaryref2!O31,IF(AK44=summaryref2!B45,summaryref2!O45,IF(AK44=summaryref2!B59,summaryref2!O59,IF(AK44=summaryref2!B73,summaryref2!O73,IF(AK44=summaryref2!B87,summaryref2!O87,IF(AK44=summaryref2!B101,summaryref2!O101,IF(AK44=summaryref2!B115,summaryref2!O115,IF(AK44=summaryref2!B129,summaryref2!O129,IF(AK44=summaryref2!B143,summaryref2!O143,"")))))))))))</f>
        <v/>
      </c>
      <c r="AZ44" s="1110" t="str">
        <f>IF('A-80 DirEntInv'!AZ43&lt;&gt;"",'A-80 DirEntInv'!AZ43,IF(AK44=summaryref2!B17,summaryref2!P17,IF(Summary!AK44=summaryref2!B31,summaryref2!P31,IF(AK44=summaryref2!B45,summaryref2!P45,IF(AK44=summaryref2!B59,summaryref2!P59,IF(AK44=summaryref2!B73,summaryref2!P73,IF(AK44=summaryref2!B87,summaryref2!P87,IF(AK44=summaryref2!B101,summaryref2!P101,IF(AK44=summaryref2!B115,summaryref2!P115,IF(AK44=summaryref2!B129,summaryref2!P129,IF(AK44=summaryref2!B143,summaryref2!P143,"")))))))))))</f>
        <v/>
      </c>
      <c r="BA44" s="1110" t="str">
        <f>IF('A-80 DirEntInv'!BA43&lt;&gt;"",'A-80 DirEntInv'!BA43,IF(AK44=summaryref2!B17,summaryref2!Q17,IF(Summary!AK44=summaryref2!B31,summaryref2!Q31,IF(AK44=summaryref2!B45,summaryref2!Q45,IF(AK44=summaryref2!B59,summaryref2!Q59,IF(AK44=summaryref2!B73,summaryref2!Q73,IF(AK44=summaryref2!B87,summaryref2!Q87,IF(AK44=summaryref2!B101,summaryref2!Q101,IF(AK44=summaryref2!B115,summaryref2!Q115,IF(AK44=summaryref2!B129,summaryref2!Q129,IF(AK44=summaryref2!B143,summaryref2!Q143,"")))))))))))</f>
        <v/>
      </c>
      <c r="BB44" s="1110" t="str">
        <f>IF('A-80 DirEntInv'!BB43&lt;&gt;"",'A-80 DirEntInv'!BB43,IF(AK44=summaryref2!B17,summaryref2!R17,IF(Summary!AK44=summaryref2!B31,summaryref2!R31,IF(AK44=summaryref2!B45,summaryref2!R45,IF(AK44=summaryref2!B59,summaryref2!R59,IF(AK44=summaryref2!B73,summaryref2!R73,IF(AK44=summaryref2!B87,summaryref2!R87,IF(AK44=summaryref2!B101,summaryref2!R101,IF(AK44=summaryref2!B115,summaryref2!R115,IF(AK44=summaryref2!B129,summaryref2!R129,IF(AK44=summaryref2!B143,summaryref2!R143,"")))))))))))</f>
        <v/>
      </c>
      <c r="BC44" s="1110" t="str">
        <f>IF('A-80 DirEntInv'!BC43&lt;&gt;0,'A-80 DirEntInv'!BC43,IF(AK44=summaryref2!B17,summaryref2!S17,IF(Summary!AK44=summaryref2!B31,summaryref2!S31,IF(AK44=summaryref2!B45,summaryref2!S45,IF(AK44=summaryref2!B59,summaryref2!S59,IF(AK44=summaryref2!B73,summaryref2!S73,IF(AK44=summaryref2!B87,summaryref2!S87,IF(AK44=summaryref2!B101,summaryref2!S101,IF(AK44=summaryref2!B115,summaryref2!S115,IF(AK44=summaryref2!B129,summaryref2!S129,IF(AK44=summaryref2!B143,summaryref2!S143,"")))))))))))</f>
        <v/>
      </c>
      <c r="BD44" s="1111" t="str">
        <f>IF('A-80 DirEntInv'!BD43&lt;&gt;"",'A-80 DirEntInv'!BD43,IF(AK44=summaryref2!B17,summaryref2!T17,IF(Summary!AK44=summaryref2!B31,summaryref2!T31,IF(AK44=summaryref2!B45,summaryref2!T45,IF(AK44=summaryref2!B59,summaryref2!T59,IF(AK44=summaryref2!B73,summaryref2!T73,IF(AK44=summaryref2!B87,summaryref2!T87,IF(AK44=summaryref2!B101,summaryref2!T101,IF(AK44=summaryref2!B115,summaryref2!T115,IF(AK44=summaryref2!B129,summaryref2!T129,IF(AK44=summaryref2!B143,summaryref2!T143,"")))))))))))</f>
        <v/>
      </c>
      <c r="BE44" s="1184" t="str">
        <f>IF('A-80 DirEntInv'!BE43&lt;&gt;"",'A-80 DirEntInv'!BE43,IF(AK44=summaryref2!B17,summaryref2!U17,IF(Summary!AK44=summaryref2!B31,summaryref2!U31,IF(AK44=summaryref2!B45,summaryref2!U45,IF(AK44=summaryref2!B59,summaryref2!U59,IF(AK44=summaryref2!B73,summaryref2!U73,IF(AK44=summaryref2!B87,summaryref2!U87,IF(AK44=summaryref2!B101,summaryref2!U101,IF(AK44=summaryref2!B115,summaryref2!U115,IF(AK44=summaryref2!B129,summaryref2!U129,IF(AK44=summaryref2!B143,summaryref2!U143,"")))))))))))</f>
        <v/>
      </c>
      <c r="BF44" s="1432"/>
      <c r="BG44" s="1432"/>
      <c r="BJ44" s="1041" t="str">
        <f>Codes!$C$160</f>
        <v>CC - Cable Car (PT)</v>
      </c>
      <c r="BK44" s="1042" t="str">
        <f>Valid!$B$85</f>
        <v>Single Turnout</v>
      </c>
      <c r="BL44" s="1375" t="str">
        <f>IF('A-80 DirEntInv'!BL43&lt;&gt;"",'A-80 DirEntInv'!BL43,IF(BJ44=summaryref2!X17,summaryref2!Z17,IF(BJ44=summaryref2!X24,summaryref2!Z24,IF(BJ44=summaryref2!X31,summaryref2!Z31,IF(BJ44=summaryref2!X38,summaryref2!Z38,IF(BJ44=summaryref2!X45,summaryref2!Z45,IF(BJ44=summaryref2!X52,summaryref2!Z52,IF(BJ44=summaryref2!X59,summaryref2!Z59,IF(BJ44=summaryref2!X66,summaryref2!Z66,IF(BJ44=summaryref2!X73,summaryref2!Z73,IF(BJ44=summaryref2!X80,summaryref2!Z80,"")))))))))))</f>
        <v/>
      </c>
      <c r="BM44" s="1042" t="str">
        <f>VLOOKUP(BK44,Valid!$B$80:$C$86,2,FALSE)</f>
        <v>Each</v>
      </c>
      <c r="BN44" s="1209" t="str">
        <f>IF('A-80 DirEntInv'!BN43&lt;&gt;"",'A-80 DirEntInv'!BN43,IF(BJ44=summaryref2!X17,summaryref2!AB17,IF(BJ44=summaryref2!X24,summaryref2!AB24,IF(BJ44=summaryref2!X31,summaryref2!AB31,IF(BJ44=summaryref2!X38,summaryref2!AB38,IF(BJ44=summaryref2!X45,summaryref2!AB45,IF(BJ44=summaryref2!X52,summaryref2!AB52,IF(BJ44=summaryref2!X59,summaryref2!AB59,IF(BJ44=summaryref2!X66,summaryref2!AB66,IF(BJ44=summaryref2!X73,summaryref2!AB73,IF(BJ44=summaryref2!X80,summaryref2!AB80,"")))))))))))</f>
        <v/>
      </c>
      <c r="BO44" s="1116" t="str">
        <f>IF('A-80 DirEntInv'!BO43&lt;&gt;"",'A-80 DirEntInv'!BO43,IF(BJ44=summaryref2!X17,summaryref2!AC17,IF(BJ44=summaryref2!X24,summaryref2!AC24,IF(BJ44=summaryref2!X31,summaryref2!AC31,IF(BJ44=summaryref2!X38,summaryref2!AC38,IF(BJ44=summaryref2!X45,summaryref2!AC45,IF(BJ44=summaryref2!X52,summaryref2!AC52,IF(BJ44=summaryref2!X59,summaryref2!AC59,IF(BJ44=summaryref2!X66,summaryref2!AC66,IF(BJ44=summaryref2!X73,summaryref2!AC73,IF(BJ44=summaryref2!X80,summaryref2!AC80,"")))))))))))</f>
        <v/>
      </c>
      <c r="BP44" s="1384" t="str">
        <f>IF('A-80 DirEntInv'!BP43&lt;&gt;"",'A-80 DirEntInv'!BP43,IF(BJ44=summaryref2!X17,summaryref2!AD17,IF(BJ44=summaryref2!X24,summaryref2!AD24,IF(BJ44=summaryref2!X31,summaryref2!AD31,IF(BJ44=summaryref2!X38,summaryref2!AD38,IF(BJ44=summaryref2!X45,summaryref2!AD45,IF(BJ44=summaryref2!X52,summaryref2!AD52,IF(BJ44=summaryref2!X59,summaryref2!AD59,IF(BJ44=summaryref2!X66,summaryref2!AD66,IF(BJ44=summaryref2!X73,summaryref2!AD73,IF(BJ44=summaryref2!X80,summaryref2!AD80,"")))))))))))</f>
        <v/>
      </c>
      <c r="BS44" s="1472" t="str">
        <f ca="1">IF('A-80 DirEntInv'!BU43&lt;&gt;"",'A-80 DirEntInv'!BU43,IF(INDIRECT(ADDRESS(SumRef!DK50,SumRef!DK$16,,,SumRef!$E$6))="","",INDIRECT(ADDRESS(SumRef!DK50,SumRef!DK$16,,,SumRef!$E$6))))</f>
        <v/>
      </c>
      <c r="BT44" s="1458" t="str">
        <f ca="1">IF('A-80 DirEntInv'!BV43&lt;&gt;"",'A-80 DirEntInv'!BV43,IF(INDIRECT(ADDRESS(SumRef!DL50,SumRef!DL$16,,,SumRef!$E$6))="","",INDIRECT(ADDRESS(SumRef!DL50,SumRef!DL$16,,,SumRef!$E$6))))</f>
        <v/>
      </c>
      <c r="BU44" s="1177" t="str">
        <f ca="1">IF('A-80 DirEntInv'!BW43&lt;&gt;"",'A-80 DirEntInv'!BW43,IF(INDIRECT(ADDRESS(SumRef!DM50,SumRef!DM$16,,,SumRef!$E$6))="","",INDIRECT(ADDRESS(SumRef!DM50,SumRef!DM$16,,,SumRef!$E$6))))</f>
        <v/>
      </c>
      <c r="BV44" s="1460" t="str">
        <f ca="1">IF('A-80 DirEntInv'!BX43&lt;&gt;"",'A-80 DirEntInv'!BX43,IF(INDIRECT(ADDRESS(SumRef!DN50,SumRef!DN$16,,,SumRef!$E$6))="","",INDIRECT(ADDRESS(SumRef!DN50,SumRef!DN$16,,,SumRef!$E$6))))</f>
        <v/>
      </c>
      <c r="BW44" s="1460" t="str">
        <f ca="1">IF('A-80 DirEntInv'!BY43&lt;&gt;"",'A-80 DirEntInv'!BY43,IF(INDIRECT(ADDRESS(SumRef!DO50,SumRef!DO$16,,,SumRef!$E$6))="","",INDIRECT(ADDRESS(SumRef!DO50,SumRef!DO$16,,,SumRef!$E$6))))</f>
        <v/>
      </c>
      <c r="BX44" s="1116" t="str">
        <f ca="1">IF('A-80 DirEntInv'!BZ43&lt;&gt;"",'A-80 DirEntInv'!BZ43,IF(INDIRECT(ADDRESS(SumRef!DP50,SumRef!DP$16,,,SumRef!$E$6))="","",INDIRECT(ADDRESS(SumRef!DP50,SumRef!DP$16,,,SumRef!$E$6))))</f>
        <v/>
      </c>
      <c r="BY44" s="1461" t="str">
        <f ca="1">IF('A-80 DirEntInv'!CA43&lt;&gt;"",'A-80 DirEntInv'!CA43,IF(INDIRECT(ADDRESS(SumRef!DQ50,SumRef!DQ$16,,,SumRef!$E$6))="","",INDIRECT(ADDRESS(SumRef!DQ50,SumRef!DQ$16,,,SumRef!$E$6))))</f>
        <v/>
      </c>
      <c r="BZ44" s="1460" t="str">
        <f ca="1">IF('A-80 DirEntInv'!CB43&lt;&gt;"",'A-80 DirEntInv'!CB43,IF(INDIRECT(ADDRESS(SumRef!DR50,SumRef!DR$16,,,SumRef!$E$6))="","",INDIRECT(ADDRESS(SumRef!DR50,SumRef!DR$16,,,SumRef!$E$6))))</f>
        <v/>
      </c>
      <c r="CA44" s="1462" t="str">
        <f ca="1">IF('A-80 DirEntInv'!CC43&lt;&gt;"",'A-80 DirEntInv'!CC43,IF(INDIRECT(ADDRESS(SumRef!DS50,SumRef!DS$16,,,SumRef!$E$6))="","",INDIRECT(ADDRESS(SumRef!DS50,SumRef!DS$16,,,SumRef!$E$6))))</f>
        <v/>
      </c>
      <c r="CD44" s="1160" t="str">
        <f ca="1">IF('A-80 DirEntInv'!CF43&lt;&gt;"",'A-80 DirEntInv'!CF43,IF(INDIRECT(ADDRESS(SumRef!DV50,SumRef!DV$16,,,SumRef!$E$7))="","",INDIRECT(ADDRESS(SumRef!DV50,SumRef!DV$16,,,SumRef!$E$7))))</f>
        <v/>
      </c>
      <c r="CE44" s="1167" t="str">
        <f ca="1">IF('A-80 DirEntInv'!CG43&lt;&gt;"",'A-80 DirEntInv'!CG43,IF(INDIRECT(ADDRESS(SumRef!DW50,SumRef!DW$16,,,SumRef!$E$7))="","",INDIRECT(ADDRESS(SumRef!DW50,SumRef!DW$16,,,SumRef!$E$7))))</f>
        <v/>
      </c>
      <c r="CF44" s="1167" t="str">
        <f ca="1">IF('A-80 DirEntInv'!CH43&lt;&gt;"",'A-80 DirEntInv'!CH43,IF(INDIRECT(ADDRESS(SumRef!DX50,SumRef!DX$16,,,SumRef!$E$7))="","",INDIRECT(ADDRESS(SumRef!DX50,SumRef!DX$16,,,SumRef!$E$7))))</f>
        <v/>
      </c>
      <c r="CG44" s="1167" t="str">
        <f ca="1">IF('A-80 DirEntInv'!CI43&lt;&gt;"",'A-80 DirEntInv'!CI43,IF(INDIRECT(ADDRESS(SumRef!DY50,SumRef!DY$16,,,SumRef!$E$7))="","",INDIRECT(ADDRESS(SumRef!DY50,SumRef!DY$16,,,SumRef!$E$7))))</f>
        <v/>
      </c>
      <c r="CH44" s="1167" t="str">
        <f ca="1">IF('A-80 DirEntInv'!CJ43&lt;&gt;"",'A-80 DirEntInv'!CJ43,IF(INDIRECT(ADDRESS(SumRef!DZ50,SumRef!DZ$16,,,SumRef!$E$7))="","",INDIRECT(ADDRESS(SumRef!DZ50,SumRef!DZ$16,,,SumRef!$E$7))))</f>
        <v/>
      </c>
      <c r="CI44" s="1167" t="str">
        <f ca="1">IF('A-80 DirEntInv'!CK43&lt;&gt;"",'A-80 DirEntInv'!CK43,IF(INDIRECT(ADDRESS(SumRef!EA50,SumRef!EA$16,,,SumRef!$E$7))="","",INDIRECT(ADDRESS(SumRef!EA50,SumRef!EA$16,,,SumRef!$E$7))))</f>
        <v/>
      </c>
      <c r="CJ44" s="1114" t="str">
        <f ca="1">IF('A-80 DirEntInv'!CL43&lt;&gt;"",'A-80 DirEntInv'!CL43,IF(INDIRECT(ADDRESS(SumRef!EB50,SumRef!EB$16,,,SumRef!$E$7))="","",INDIRECT(ADDRESS(SumRef!EB50,SumRef!EB$16,,,SumRef!$E$7))))</f>
        <v/>
      </c>
      <c r="CK44" s="1114" t="str">
        <f ca="1">IF('A-80 DirEntInv'!CM43&lt;&gt;"",'A-80 DirEntInv'!CM43,IF(INDIRECT(ADDRESS(SumRef!EC50,SumRef!EC$16,,,SumRef!$E$7))="","",INDIRECT(ADDRESS(SumRef!EC50,SumRef!EC$16,,,SumRef!$E$7))))</f>
        <v/>
      </c>
      <c r="CL44" s="1113" t="str">
        <f ca="1">IF('A-80 DirEntInv'!CO43&lt;&gt;"",'A-80 DirEntInv'!CO43,IF(INDIRECT(ADDRESS(SumRef!ED50,SumRef!ED$16,,,SumRef!$E$7))="","",INDIRECT(ADDRESS(SumRef!ED50,SumRef!ED$16,,,SumRef!$E$7))))</f>
        <v/>
      </c>
      <c r="CM44" s="1114" t="str">
        <f ca="1">IF('A-80 DirEntInv'!CP43&lt;&gt;"",'A-80 DirEntInv'!CP43,IF(INDIRECT(ADDRESS(SumRef!EE50,SumRef!EE$16,,,SumRef!$E$7))="","",INDIRECT(ADDRESS(SumRef!EE50,SumRef!EE$16,,,SumRef!$E$7))))</f>
        <v/>
      </c>
      <c r="CN44" s="1114" t="str">
        <f ca="1">IF('A-80 DirEntInv'!CQ43&lt;&gt;"",'A-80 DirEntInv'!CQ43,IF(INDIRECT(ADDRESS(SumRef!EF50,SumRef!EF$16,,,SumRef!$E$7))="","",INDIRECT(ADDRESS(SumRef!EF50,SumRef!EF$16,,,SumRef!$E$7))))</f>
        <v/>
      </c>
      <c r="CO44" s="1113" t="str">
        <f ca="1">IF('A-80 DirEntInv'!CR43&lt;&gt;"",'A-80 DirEntInv'!CR43,IF(INDIRECT(ADDRESS(SumRef!EG50,SumRef!EG$16,,,SumRef!$E$7))="","",INDIRECT(ADDRESS(SumRef!EG50,SumRef!EG$16,,,SumRef!$E$7))))</f>
        <v/>
      </c>
      <c r="CP44" s="1114" t="str">
        <f ca="1">IF('A-80 DirEntInv'!CS43&lt;&gt;"",'A-80 DirEntInv'!CS43,IF(INDIRECT(ADDRESS(SumRef!EH50,SumRef!EH$16,,,SumRef!$E$7))="","",INDIRECT(ADDRESS(SumRef!EH50,SumRef!EH$16,,,SumRef!$E$7))))</f>
        <v/>
      </c>
      <c r="CQ44" s="1346" t="str">
        <f ca="1">IF('A-80 DirEntInv'!CT43&lt;&gt;"",'A-80 DirEntInv'!CT43,IF(INDIRECT(ADDRESS(SumRef!EI50,SumRef!EI$16,,,SumRef!$E$7))="","",INDIRECT(ADDRESS(SumRef!EI50,SumRef!EI$16,,,SumRef!$E$7))))</f>
        <v/>
      </c>
      <c r="CR44" s="1113" t="str">
        <f ca="1">IF('A-80 DirEntInv'!CU43&lt;&gt;"",'A-80 DirEntInv'!CU43,IF(INDIRECT(ADDRESS(SumRef!EJ50,SumRef!EJ$16,,,SumRef!$E$7))="","",INDIRECT(ADDRESS(SumRef!EJ50,SumRef!EJ$16,,,SumRef!$E$7))))</f>
        <v/>
      </c>
      <c r="CS44" s="1346" t="str">
        <f ca="1">IF('A-80 DirEntInv'!CV43&lt;&gt;"",'A-80 DirEntInv'!CV43,IF(INDIRECT(ADDRESS(SumRef!EM50,SumRef!EM$16,,,SumRef!$E$7))="","",INDIRECT(ADDRESS(SumRef!EM50,SumRef!EM$16,,,SumRef!$E$7))))</f>
        <v/>
      </c>
      <c r="CT44" s="1113" t="str">
        <f ca="1">IF('A-80 DirEntInv'!CW43&lt;&gt;"",'A-80 DirEntInv'!CW43,IF(INDIRECT(ADDRESS(SumRef!EN50,SumRef!EN$16,,,SumRef!$E$7))="","",INDIRECT(ADDRESS(SumRef!EN50,SumRef!EN$16,,,SumRef!$E$7))))</f>
        <v/>
      </c>
      <c r="CU44" s="1113" t="str">
        <f ca="1">IF('A-80 DirEntInv'!CX43&lt;&gt;"",'A-80 DirEntInv'!CX43,IF(INDIRECT(ADDRESS(SumRef!EO50,SumRef!EO$16,,,SumRef!$E$7))="","",INDIRECT(ADDRESS(SumRef!EO50,SumRef!EO$16,,,SumRef!$E$7))))</f>
        <v/>
      </c>
      <c r="CV44" s="1113" t="str">
        <f ca="1">IF('A-80 DirEntInv'!CY43&lt;&gt;"",'A-80 DirEntInv'!CY43,IF(INDIRECT(ADDRESS(SumRef!EP50,SumRef!EP$16,,,SumRef!$E$7))="","",INDIRECT(ADDRESS(SumRef!EP50,SumRef!EP$16,,,SumRef!$E$7))))</f>
        <v/>
      </c>
      <c r="CW44" s="1114" t="str">
        <f ca="1">IF('A-80 DirEntInv'!CZ43&lt;&gt;"",'A-80 DirEntInv'!CZ43,IF(INDIRECT(ADDRESS(SumRef!ES50,SumRef!ES$16,,,SumRef!$E$7))="","",INDIRECT(ADDRESS(SumRef!ES50,SumRef!ES$16,,,SumRef!$E$7))))</f>
        <v/>
      </c>
      <c r="CX44" s="1167" t="str">
        <f ca="1">IF('A-80 DirEntInv'!DA43&lt;&gt;"",'A-80 DirEntInv'!DA43,IF(INDIRECT(ADDRESS(SumRef!ET50,SumRef!ET$16,,,SumRef!$E$7))="","",INDIRECT(ADDRESS(SumRef!ET50,SumRef!ET$16,,,SumRef!$E$7))))</f>
        <v/>
      </c>
      <c r="CY44" s="1167" t="str">
        <f ca="1">IF('A-80 DirEntInv'!DB43&lt;&gt;"",'A-80 DirEntInv'!DB43,IF(INDIRECT(ADDRESS(SumRef!EU50,SumRef!EU$16,,,SumRef!$E$7))="","",INDIRECT(ADDRESS(SumRef!EU50,SumRef!EU$16,,,SumRef!$E$7))))</f>
        <v/>
      </c>
      <c r="CZ44" s="1167" t="b">
        <f ca="1">IF('A-80 DirEntInv'!DC43&lt;&gt;"",'A-80 DirEntInv'!DC43,IF(INDIRECT(ADDRESS(SumRef!EV50,SumRef!EV$16,,,SumRef!$E$7))="","",INDIRECT(ADDRESS(SumRef!EV50,SumRef!EV$16,,,SumRef!$E$7))))</f>
        <v>0</v>
      </c>
      <c r="DA44" s="1373" t="str">
        <f ca="1">IF('A-80 DirEntInv'!DD43&lt;&gt;"",'A-80 DirEntInv'!DD43,IF(INDIRECT(ADDRESS(SumRef!EW50,SumRef!EW$16,,,SumRef!$E$7))="","",INDIRECT(ADDRESS(SumRef!EW50,SumRef!EW$16,,,SumRef!$E$7))))</f>
        <v/>
      </c>
      <c r="DB44" s="1373" t="b">
        <f ca="1">IF('A-80 DirEntInv'!DE43&lt;&gt;"",'A-80 DirEntInv'!DE43,IF(INDIRECT(ADDRESS(SumRef!EX50,SumRef!EX$16,,,SumRef!$E$7))="","",INDIRECT(ADDRESS(SumRef!EX50,SumRef!EX$16,,,SumRef!$E$7))))</f>
        <v>0</v>
      </c>
      <c r="DC44" s="1114" t="b">
        <f ca="1">IF('A-80 DirEntInv'!DF43&lt;&gt;"",'A-80 DirEntInv'!DF43,IF(INDIRECT(ADDRESS(SumRef!EY50,SumRef!EY$16,,,SumRef!$E$7))="","",INDIRECT(ADDRESS(SumRef!EY50,SumRef!EY$16,,,SumRef!$E$7))))</f>
        <v>0</v>
      </c>
      <c r="DD44" s="1115" t="str">
        <f ca="1">IF('A-80 DirEntInv'!DG43&lt;&gt;"",'A-80 DirEntInv'!DG43,IF(INDIRECT(ADDRESS(SumRef!EZ50,SumRef!EZ$16,,,SumRef!$E$7))="","",INDIRECT(ADDRESS(SumRef!EZ50,SumRef!EZ$16,,,SumRef!$E$7))))</f>
        <v/>
      </c>
    </row>
    <row r="45" spans="1:108" s="588" customFormat="1" ht="13.5" thickBot="1" x14ac:dyDescent="0.25">
      <c r="A45" s="589">
        <f t="shared" si="0"/>
        <v>35</v>
      </c>
      <c r="B45" s="1155" t="str">
        <f ca="1">IF('A-80 DirEntInv'!B44&lt;&gt;"",'A-80 DirEntInv'!B44,IF(INDIRECT(ADDRESS(SumRef!AQ51,SumRef!AQ$16,,,SumRef!$B$7))="","",INDIRECT(ADDRESS(SumRef!AQ51,SumRef!AQ$16,,,SumRef!$B$7))))</f>
        <v/>
      </c>
      <c r="C45" s="1097" t="str">
        <f ca="1">IF('A-80 DirEntInv'!C44&lt;&gt;"",'A-80 DirEntInv'!C44,IF(INDIRECT(ADDRESS(SumRef!AR51,SumRef!AR$16,,,SumRef!$B$7))="","",INDIRECT(ADDRESS(SumRef!AR51,SumRef!AR$16,,,SumRef!$B$7))))</f>
        <v/>
      </c>
      <c r="D45" s="1097" t="str">
        <f ca="1">IF('A-80 DirEntInv'!D44&lt;&gt;"",'A-80 DirEntInv'!D44,IF(INDIRECT(ADDRESS(SumRef!AS51,SumRef!AS$16,,,SumRef!$B$7))="","",INDIRECT(ADDRESS(SumRef!AS51,SumRef!AS$16,,,SumRef!$B$7))))</f>
        <v/>
      </c>
      <c r="E45" s="1097" t="str">
        <f ca="1">IF('A-80 DirEntInv'!E44&lt;&gt;"",'A-80 DirEntInv'!E44,IF(INDIRECT(ADDRESS(SumRef!AT51,SumRef!AT$16,,,SumRef!$B$7))="","",INDIRECT(ADDRESS(SumRef!AT51,SumRef!AT$16,,,SumRef!$B$7))))</f>
        <v/>
      </c>
      <c r="F45" s="1097" t="str">
        <f ca="1">IF('A-80 DirEntInv'!F44&lt;&gt;"",'A-80 DirEntInv'!F44,IF(INDIRECT(ADDRESS(SumRef!AU51,SumRef!AU$16,,,SumRef!$B$7))="","",INDIRECT(ADDRESS(SumRef!AU51,SumRef!AU$16,,,SumRef!$B$7))))</f>
        <v/>
      </c>
      <c r="G45" s="1158" t="str">
        <f ca="1">IF('A-80 DirEntInv'!G44&lt;&gt;"",'A-80 DirEntInv'!G44,IF(INDIRECT(ADDRESS(SumRef!AV51,SumRef!AV$16,,,SumRef!$B$7))="","",INDIRECT(ADDRESS(SumRef!AV51,SumRef!AV$16,,,SumRef!$B$7))))</f>
        <v/>
      </c>
      <c r="H45" s="1097" t="str">
        <f ca="1">IF('A-80 DirEntInv'!H44&lt;&gt;"",'A-80 DirEntInv'!H44,IF(INDIRECT(ADDRESS(SumRef!AW51,SumRef!AW$16,,,SumRef!$B$7))="","",INDIRECT(ADDRESS(SumRef!AW51,SumRef!AW$16,,,SumRef!$B$7))))</f>
        <v/>
      </c>
      <c r="I45" s="1097" t="str">
        <f ca="1">IF('A-80 DirEntInv'!I44&lt;&gt;"",'A-80 DirEntInv'!I44,IF(INDIRECT(ADDRESS(SumRef!AX51,SumRef!AX$16,,,SumRef!$B$7))="","",INDIRECT(ADDRESS(SumRef!AX51,SumRef!AX$16,,,SumRef!$B$7))))</f>
        <v/>
      </c>
      <c r="J45" s="1098" t="str">
        <f ca="1">IF('A-80 DirEntInv'!J44&lt;&gt;"",'A-80 DirEntInv'!J44,IF(INDIRECT(ADDRESS(SumRef!AY51,SumRef!AY$16,,,SumRef!$B$7))="","",INDIRECT(ADDRESS(SumRef!AY51,SumRef!AY$16,,,SumRef!$B$7))))</f>
        <v/>
      </c>
      <c r="K45" s="1099" t="str">
        <f ca="1">IF('A-80 DirEntInv'!K44&lt;&gt;"",'A-80 DirEntInv'!K44,IF(INDIRECT(ADDRESS(SumRef!AZ51,SumRef!AZ$16,,,SumRef!$B$7))="","",INDIRECT(ADDRESS(SumRef!AZ51,SumRef!AZ$16,,,SumRef!$B$7))))</f>
        <v/>
      </c>
      <c r="L45" s="1100" t="str">
        <f ca="1">IF('A-80 DirEntInv'!L44&lt;&gt;"",'A-80 DirEntInv'!L44,IF(INDIRECT(ADDRESS(SumRef!BA51,SumRef!BA$16,,,SumRef!$B$7))="","",INDIRECT(ADDRESS(SumRef!BA51,SumRef!BA$16,,,SumRef!$B$7))))</f>
        <v/>
      </c>
      <c r="M45" s="1101" t="str">
        <f ca="1">IF('A-80 DirEntInv'!M44&lt;&gt;"",'A-80 DirEntInv'!M44,IF(INDIRECT(ADDRESS(SumRef!BB51,SumRef!BB$16,,,SumRef!$B$7))="","",INDIRECT(ADDRESS(SumRef!BB51,SumRef!BB$16,,,SumRef!$B$7))))</f>
        <v/>
      </c>
      <c r="N45" s="1098" t="str">
        <f ca="1">IF('A-80 DirEntInv'!N44&lt;&gt;"",'A-80 DirEntInv'!N44,IF(INDIRECT(ADDRESS(SumRef!BC51,SumRef!BC$16,,,SumRef!$B$7))="","",INDIRECT(ADDRESS(SumRef!BC51,SumRef!BC$16,,,SumRef!$B$7))))</f>
        <v/>
      </c>
      <c r="O45" s="1102" t="str">
        <f ca="1">IF('A-80 DirEntInv'!O44&lt;&gt;"",'A-80 DirEntInv'!O44,IF(INDIRECT(ADDRESS(SumRef!BD51,SumRef!BD$16,,,SumRef!$B$7))="","",INDIRECT(ADDRESS(SumRef!BD51,SumRef!BD$16,,,SumRef!$B$7))))</f>
        <v/>
      </c>
      <c r="Q45" s="589"/>
      <c r="R45" s="1103" t="str">
        <f ca="1">IF('A-80 DirEntInv'!R44&lt;&gt;"",'A-80 DirEntInv'!R44,IF(INDIRECT(ADDRESS(SumRef!BH51,SumRef!BH$16,,,SumRef!$B$8))="","",INDIRECT(ADDRESS(SumRef!BH51,SumRef!BH$16,,,SumRef!$B$8))))</f>
        <v/>
      </c>
      <c r="S45" s="1104" t="str">
        <f ca="1">IF('A-80 DirEntInv'!S44&lt;&gt;"",'A-80 DirEntInv'!S44,IF(INDIRECT(ADDRESS(SumRef!BI51,SumRef!BI$16,,,SumRef!$B$8))="","",INDIRECT(ADDRESS(SumRef!BI51,SumRef!BI$16,,,SumRef!$B$8))))</f>
        <v/>
      </c>
      <c r="T45" s="1104" t="str">
        <f ca="1">IF('A-80 DirEntInv'!T44&lt;&gt;"",'A-80 DirEntInv'!T44,IF(INDIRECT(ADDRESS(SumRef!BJ51,SumRef!BJ$16,,,SumRef!$B$8))="","",INDIRECT(ADDRESS(SumRef!BJ51,SumRef!BJ$16,,,SumRef!$B$8))))</f>
        <v/>
      </c>
      <c r="U45" s="1104" t="str">
        <f ca="1">IF('A-80 DirEntInv'!U44&lt;&gt;"",'A-80 DirEntInv'!U44,IF(INDIRECT(ADDRESS(SumRef!BK51,SumRef!BK$16,,,SumRef!$B$8))="","",INDIRECT(ADDRESS(SumRef!BK51,SumRef!BK$16,,,SumRef!$B$8))))</f>
        <v/>
      </c>
      <c r="V45" s="1104" t="str">
        <f ca="1">IF('A-80 DirEntInv'!V44&lt;&gt;"",'A-80 DirEntInv'!V44,IF(INDIRECT(ADDRESS(SumRef!BL51,SumRef!BL$16,,,SumRef!$B$8))="","",INDIRECT(ADDRESS(SumRef!BL51,SumRef!BL$16,,,SumRef!$B$8))))</f>
        <v/>
      </c>
      <c r="W45" s="1354" t="str">
        <f ca="1">IF('A-80 DirEntInv'!W44&lt;&gt;"",'A-80 DirEntInv'!W44,IF(INDIRECT(ADDRESS(SumRef!BM51,SumRef!BM$16,,,SumRef!$B$8))="","",INDIRECT(ADDRESS(SumRef!BM51,SumRef!BM$16,,,SumRef!$B$8))))</f>
        <v/>
      </c>
      <c r="X45" s="1203" t="str">
        <f ca="1">IF('A-80 DirEntInv'!X44&lt;&gt;"",'A-80 DirEntInv'!X44,IF(INDIRECT(ADDRESS(SumRef!BN51,SumRef!BN$16,,,SumRef!$B$8))="","",INDIRECT(ADDRESS(SumRef!BN51,SumRef!BN$16,,,SumRef!$B$8))))</f>
        <v/>
      </c>
      <c r="Y45" s="1203" t="str">
        <f ca="1">IF('A-80 DirEntInv'!Y44&lt;&gt;"",'A-80 DirEntInv'!Y44,IF(INDIRECT(ADDRESS(SumRef!BO51,SumRef!BO$16,,,SumRef!$B$8))="","",INDIRECT(ADDRESS(SumRef!BO51,SumRef!BO$16,,,SumRef!$B$8))))</f>
        <v/>
      </c>
      <c r="Z45" s="1104" t="str">
        <f ca="1">IF('A-80 DirEntInv'!Z44&lt;&gt;"",'A-80 DirEntInv'!Z44,IF(INDIRECT(ADDRESS(SumRef!BP51,SumRef!BP$16,,,SumRef!$B$8))="","",INDIRECT(ADDRESS(SumRef!BP51,SumRef!BP$16,,,SumRef!$B$8))))</f>
        <v/>
      </c>
      <c r="AA45" s="1104" t="str">
        <f ca="1">IF('A-80 DirEntInv'!AA44&lt;&gt;"",'A-80 DirEntInv'!AA44,IF(INDIRECT(ADDRESS(SumRef!BQ51,SumRef!BQ$16,,,SumRef!$B$8))="","",INDIRECT(ADDRESS(SumRef!BQ51,SumRef!BQ$16,,,SumRef!$B$8))))</f>
        <v/>
      </c>
      <c r="AB45" s="1106" t="str">
        <f ca="1">IF('A-80 DirEntInv'!AB44&lt;&gt;"",'A-80 DirEntInv'!AB44,IF(INDIRECT(ADDRESS(SumRef!BR51,SumRef!BR$16,,,SumRef!$B$8))="","",INDIRECT(ADDRESS(SumRef!BR51,SumRef!BR$16,,,SumRef!$B$8))))</f>
        <v/>
      </c>
      <c r="AC45" s="1107" t="str">
        <f ca="1">IF('A-80 DirEntInv'!AC44&lt;&gt;"",'A-80 DirEntInv'!AC44,IF(INDIRECT(ADDRESS(SumRef!BS51,SumRef!BS$16,,,SumRef!$B$8))="","",INDIRECT(ADDRESS(SumRef!BS51,SumRef!BS$16,,,SumRef!$B$8))))</f>
        <v/>
      </c>
      <c r="AD45" s="1349" t="str">
        <f ca="1">IF('A-80 DirEntInv'!AD44&lt;&gt;"",'A-80 DirEntInv'!AD44,IF(INDIRECT(ADDRESS(SumRef!BT51,SumRef!BT$16,,,SumRef!$B$8))="","",INDIRECT(ADDRESS(SumRef!BT51,SumRef!BT$16,,,SumRef!$B$8))))</f>
        <v/>
      </c>
      <c r="AE45" s="1137" t="str">
        <f ca="1">IF('A-80 DirEntInv'!AE44&lt;&gt;"",'A-80 DirEntInv'!AE44,IF(INDIRECT(ADDRESS(SumRef!BU51,SumRef!BU$16,,,SumRef!$B$8))="","",INDIRECT(ADDRESS(SumRef!BU51,SumRef!BU$16,,,SumRef!$B$8))))</f>
        <v/>
      </c>
      <c r="AF45" s="1346" t="str">
        <f ca="1">IF('A-80 DirEntInv'!AF44&lt;&gt;"",'A-80 DirEntInv'!AF44,IF(INDIRECT(ADDRESS(SumRef!BV51,SumRef!BV$16,,,SumRef!$B$8))="","",INDIRECT(ADDRESS(SumRef!BV51,SumRef!BV$16,,,SumRef!$B$8))))</f>
        <v/>
      </c>
      <c r="AG45" s="1105" t="str">
        <f ca="1">IF('A-80 DirEntInv'!AG44&lt;&gt;"",'A-80 DirEntInv'!AG44,IF(INDIRECT(ADDRESS(SumRef!BW51,SumRef!BW$16,,,SumRef!$B$8))="","",INDIRECT(ADDRESS(SumRef!BW51,SumRef!BW$16,,,SumRef!$B$8))))</f>
        <v/>
      </c>
      <c r="AH45" s="1357" t="str">
        <f ca="1">IF('A-80 DirEntInv'!AH44&lt;&gt;"",'A-80 DirEntInv'!AH44,IF(INDIRECT(ADDRESS(SumRef!BX51,SumRef!BX$16,,,SumRef!$B$8))="","",INDIRECT(ADDRESS(SumRef!BX51,SumRef!BX$16,,,SumRef!$B$8))))</f>
        <v/>
      </c>
      <c r="AK45" s="1041" t="str">
        <f>Codes!$C$158</f>
        <v>AR - Alaska Railroad</v>
      </c>
      <c r="AL45" s="1042" t="str">
        <f>Valid!$B$77</f>
        <v>Below-Grade/Cut-and-Cover Tunnel</v>
      </c>
      <c r="AM45" s="1108" t="str">
        <f>IF('A-80 DirEntInv'!AM44&lt;&gt;"",'A-80 DirEntInv'!AM44,IF(AK45=summaryref2!B18,summaryref2!D18,IF(Summary!AK45=summaryref2!B32,summaryref2!D32,IF(AK45=summaryref2!B46,summaryref2!D46,IF(AK45=summaryref2!B60,summaryref2!D60,IF(AK45=summaryref2!B74,summaryref2!D74,IF(AK45=summaryref2!B88,summaryref2!D88,IF(AK45=summaryref2!B102,summaryref2!D102,IF(AK45=summaryref2!B116,summaryref2!D116,IF(AK45=summaryref2!B130,summaryref2!D130,IF(AK45=summaryref2!B144,summaryref2!D144,"")))))))))))</f>
        <v/>
      </c>
      <c r="AN45" s="1109" t="str">
        <f ca="1">IF('A-80 DirEntInv'!AN44&lt;&gt;"",'A-80 DirEntInv'!AN44,IF(INDIRECT(ADDRESS(SumRef!CG37,SumRef!CG$16,,,SumRef!$C$7))="","",INDIRECT(ADDRESS(SumRef!CG37,SumRef!CG$16,,,SumRef!$C$7))))</f>
        <v>Linear Feet</v>
      </c>
      <c r="AO45" s="1108" t="str">
        <f>IF('A-80 DirEntInv'!AO44&lt;&gt;"",'A-80 DirEntInv'!AO44,IF(AK45=summaryref2!B18,summaryref2!F18,IF(Summary!AK45=summaryref2!B32,summaryref2!F32,IF(AK45=summaryref2!B46,summaryref2!F46,IF(AK45=summaryref2!B60,summaryref2!F60,IF(AK45=summaryref2!B74,summaryref2!F74,IF(AK45=summaryref2!B88,summaryref2!F88,IF(AK45=summaryref2!B102,summaryref2!F102,IF(AK45=summaryref2!B116,summaryref2!F116,IF(AK45=summaryref2!B130,summaryref2!F130,IF(AK45=summaryref2!B144,summaryref2!F144,"")))))))))))</f>
        <v/>
      </c>
      <c r="AP45" s="1109" t="str">
        <f ca="1">IF('A-80 DirEntInv'!AP44&lt;&gt;"",'A-80 DirEntInv'!AP44,IF(INDIRECT(ADDRESS(SumRef!#REF!,SumRef!#REF!,,,SumRef!$C$7))="","",INDIRECT(ADDRESS(SumRef!#REF!,SumRef!#REF!,,,SumRef!$C$7))))</f>
        <v>Track Feet</v>
      </c>
      <c r="AQ45" s="1147" t="str">
        <f>IF('A-80 DirEntInv'!AQ44&lt;&gt;"",'A-80 DirEntInv'!AQ44,IF(AK45=summaryref2!B18,summaryref2!G18,IF(Summary!AK45=summaryref2!B32,summaryref2!G32,IF(AK45=summaryref2!B46,summaryref2!G46,IF(AK45=summaryref2!B60,summaryref2!G60,IF(AK45=summaryref2!B74,summaryref2!G74,IF(AK45=summaryref2!B88,summaryref2!G88,IF(AK45=summaryref2!B102,summaryref2!G102,IF(AK45=summaryref2!B116,summaryref2!G116,IF(AK45=summaryref2!B130,summaryref2!G130,IF(AK45=summaryref2!B144,summaryref2!G144,"")))))))))))</f>
        <v/>
      </c>
      <c r="AR45" s="1147" t="str">
        <f>IF('A-80 DirEntInv'!AR44&lt;&gt;"",'A-80 DirEntInv'!AR44,IF(AK45=summaryref2!B18,summaryref2!H18,IF(Summary!AK45=summaryref2!B32,summaryref2!H32,IF(AK45=summaryref2!B46,summaryref2!H46,IF(AK45=summaryref2!B60,summaryref2!H60,IF(AK45=summaryref2!B74,summaryref2!H74,IF(AK45=summaryref2!B88,summaryref2!H88,IF(AK45=summaryref2!B102,summaryref2!H102,IF(AK45=summaryref2!B116,summaryref2!H116,IF(AK45=summaryref2!B130,summaryref2!H130,IF(AK45=summaryref2!B144,summaryref2!H144,"")))))))))))</f>
        <v/>
      </c>
      <c r="AS45" s="1110" t="str">
        <f>IF('A-80 DirEntInv'!AS44&lt;&gt;"",'A-80 DirEntInv'!AS44,IF(AK45=summaryref2!B18,summaryref2!I18,IF(Summary!AK45=summaryref2!B32,summaryref2!I32,IF(AK45=summaryref2!B46,summaryref2!I46,IF(AK45=summaryref2!B60,summaryref2!I60,IF(AK45=summaryref2!B74,summaryref2!I74,IF(AK45=summaryref2!B88,summaryref2!I88,IF(AK45=summaryref2!B102,summaryref2!I102,IF(AK45=summaryref2!B116,summaryref2!I116,IF(AK45=summaryref2!B130,summaryref2!I130,IF(AK45=summaryref2!B144,summaryref2!I144,"")))))))))))</f>
        <v/>
      </c>
      <c r="AT45" s="1110" t="str">
        <f>IF('A-80 DirEntInv'!AT44&lt;&gt;"",'A-80 DirEntInv'!AT44,IF(AK45=summaryref2!B18,summaryref2!J18,IF(Summary!AK45=summaryref2!B32,summaryref2!J32,IF(AK45=summaryref2!B46,summaryref2!J46,IF(AK45=summaryref2!B60,summaryref2!J60,IF(AK45=summaryref2!B74,summaryref2!J74,IF(AK45=summaryref2!B88,summaryref2!J88,IF(AK45=summaryref2!B102,summaryref2!J102,IF(AK45=summaryref2!B116,summaryref2!J116,IF(AK45=summaryref2!B130,summaryref2!J130,IF(AK45=summaryref2!B144,summaryref2!J144,"")))))))))))</f>
        <v/>
      </c>
      <c r="AU45" s="1110" t="str">
        <f>IF('A-80 DirEntInv'!AU44&lt;&gt;"",'A-80 DirEntInv'!AU44,IF(AK45=summaryref2!B18,summaryref2!K18,IF(Summary!AK45=summaryref2!B32,summaryref2!K32,IF(AK45=summaryref2!B46,summaryref2!K46,IF(AK45=summaryref2!B60,summaryref2!K60,IF(AK45=summaryref2!B74,summaryref2!K74,IF(AK45=summaryref2!B88,summaryref2!K88,IF(AK45=summaryref2!B102,summaryref2!K102,IF(AK45=summaryref2!B116,summaryref2!K116,IF(AK45=summaryref2!B130,summaryref2!K130,IF(AK45=summaryref2!B144,summaryref2!K144,"")))))))))))</f>
        <v/>
      </c>
      <c r="AV45" s="1110" t="str">
        <f>IF('A-80 DirEntInv'!AV44&lt;&gt;"",'A-80 DirEntInv'!AV44,IF(AK45=summaryref2!B18,summaryref2!L18,IF(Summary!AK45=summaryref2!B32,summaryref2!L32,IF(AK45=summaryref2!B46,summaryref2!L46,IF(AK45=summaryref2!B60,summaryref2!L60,IF(AK45=summaryref2!B74,summaryref2!L74,IF(AK45=summaryref2!B88,summaryref2!L88,IF(AK45=summaryref2!B102,summaryref2!L102,IF(AK45=summaryref2!B116,summaryref2!L116,IF(AK45=summaryref2!B130,summaryref2!L130,IF(AK45=summaryref2!B144,summaryref2!L144,"")))))))))))</f>
        <v/>
      </c>
      <c r="AW45" s="1110" t="str">
        <f>IF('A-80 DirEntInv'!AW44&lt;&gt;"",'A-80 DirEntInv'!AW44,IF(AK45=summaryref2!B18,summaryref2!M18,IF(Summary!AK45=summaryref2!B32,summaryref2!M32,IF(AK45=summaryref2!B46,summaryref2!M46,IF(AK45=summaryref2!B60,summaryref2!M60,IF(AK45=summaryref2!B74,summaryref2!M74,IF(AK45=summaryref2!B88,summaryref2!M88,IF(AK45=summaryref2!B102,summaryref2!M102,IF(AK45=summaryref2!B116,summaryref2!M116,IF(AK45=summaryref2!B130,summaryref2!M130,IF(AK45=summaryref2!B144,summaryref2!M144,"")))))))))))</f>
        <v/>
      </c>
      <c r="AX45" s="1110" t="str">
        <f>IF('A-80 DirEntInv'!AX44&lt;&gt;"",'A-80 DirEntInv'!AX44,IF(AK45=summaryref2!B18,summaryref2!N18,IF(Summary!AK45=summaryref2!B32,summaryref2!N32,IF(AK45=summaryref2!B46,summaryref2!N46,IF(AK45=summaryref2!B60,summaryref2!N60,IF(AK45=summaryref2!B74,summaryref2!N74,IF(AK45=summaryref2!B88,summaryref2!N88,IF(AK45=summaryref2!B102,summaryref2!N102,IF(AK45=summaryref2!B116,summaryref2!N116,IF(AK45=summaryref2!B130,summaryref2!N130,IF(AK45=summaryref2!B144,summaryref2!N144,"")))))))))))</f>
        <v/>
      </c>
      <c r="AY45" s="1110" t="str">
        <f>IF('A-80 DirEntInv'!AY44&lt;&gt;"",'A-80 DirEntInv'!AY44,IF(AK45=summaryref2!B18,summaryref2!O18,IF(Summary!AK45=summaryref2!B32,summaryref2!O32,IF(AK45=summaryref2!B46,summaryref2!O46,IF(AK45=summaryref2!B60,summaryref2!O60,IF(AK45=summaryref2!B74,summaryref2!O74,IF(AK45=summaryref2!B88,summaryref2!O88,IF(AK45=summaryref2!B102,summaryref2!O102,IF(AK45=summaryref2!B116,summaryref2!O116,IF(AK45=summaryref2!B130,summaryref2!O130,IF(AK45=summaryref2!B144,summaryref2!O144,"")))))))))))</f>
        <v/>
      </c>
      <c r="AZ45" s="1110" t="str">
        <f>IF('A-80 DirEntInv'!AZ44&lt;&gt;"",'A-80 DirEntInv'!AZ44,IF(AK45=summaryref2!B18,summaryref2!P18,IF(Summary!AK45=summaryref2!B32,summaryref2!P32,IF(AK45=summaryref2!B46,summaryref2!P46,IF(AK45=summaryref2!B60,summaryref2!P60,IF(AK45=summaryref2!B74,summaryref2!P74,IF(AK45=summaryref2!B88,summaryref2!P88,IF(AK45=summaryref2!B102,summaryref2!P102,IF(AK45=summaryref2!B116,summaryref2!P116,IF(AK45=summaryref2!B130,summaryref2!P130,IF(AK45=summaryref2!B144,summaryref2!P144,"")))))))))))</f>
        <v/>
      </c>
      <c r="BA45" s="1110" t="str">
        <f>IF('A-80 DirEntInv'!BA44&lt;&gt;"",'A-80 DirEntInv'!BA44,IF(AK45=summaryref2!B18,summaryref2!Q18,IF(Summary!AK45=summaryref2!B32,summaryref2!Q32,IF(AK45=summaryref2!B46,summaryref2!Q46,IF(AK45=summaryref2!B60,summaryref2!Q60,IF(AK45=summaryref2!B74,summaryref2!Q74,IF(AK45=summaryref2!B88,summaryref2!Q88,IF(AK45=summaryref2!B102,summaryref2!Q102,IF(AK45=summaryref2!B116,summaryref2!Q116,IF(AK45=summaryref2!B130,summaryref2!Q130,IF(AK45=summaryref2!B144,summaryref2!Q144,"")))))))))))</f>
        <v/>
      </c>
      <c r="BB45" s="1110" t="str">
        <f>IF('A-80 DirEntInv'!BB44&lt;&gt;"",'A-80 DirEntInv'!BB44,IF(AK45=summaryref2!B18,summaryref2!R18,IF(Summary!AK45=summaryref2!B32,summaryref2!R32,IF(AK45=summaryref2!B46,summaryref2!R46,IF(AK45=summaryref2!B60,summaryref2!R60,IF(AK45=summaryref2!B74,summaryref2!R74,IF(AK45=summaryref2!B88,summaryref2!R88,IF(AK45=summaryref2!B102,summaryref2!R102,IF(AK45=summaryref2!B116,summaryref2!R116,IF(AK45=summaryref2!B130,summaryref2!R130,IF(AK45=summaryref2!B144,summaryref2!R144,"")))))))))))</f>
        <v/>
      </c>
      <c r="BC45" s="1110" t="str">
        <f>IF('A-80 DirEntInv'!BC44&lt;&gt;0,'A-80 DirEntInv'!BC44,IF(AK45=summaryref2!B18,summaryref2!S18,IF(Summary!AK45=summaryref2!B32,summaryref2!S32,IF(AK45=summaryref2!B46,summaryref2!S46,IF(AK45=summaryref2!B60,summaryref2!S60,IF(AK45=summaryref2!B74,summaryref2!S74,IF(AK45=summaryref2!B88,summaryref2!S88,IF(AK45=summaryref2!B102,summaryref2!S102,IF(AK45=summaryref2!B116,summaryref2!S116,IF(AK45=summaryref2!B130,summaryref2!S130,IF(AK45=summaryref2!B144,summaryref2!S144,"")))))))))))</f>
        <v/>
      </c>
      <c r="BD45" s="1111" t="str">
        <f>IF('A-80 DirEntInv'!BD44&lt;&gt;"",'A-80 DirEntInv'!BD44,IF(AK45=summaryref2!B18,summaryref2!T18,IF(Summary!AK45=summaryref2!B32,summaryref2!T32,IF(AK45=summaryref2!B46,summaryref2!T46,IF(AK45=summaryref2!B60,summaryref2!T60,IF(AK45=summaryref2!B74,summaryref2!T74,IF(AK45=summaryref2!B88,summaryref2!T88,IF(AK45=summaryref2!B102,summaryref2!T102,IF(AK45=summaryref2!B116,summaryref2!T116,IF(AK45=summaryref2!B130,summaryref2!T130,IF(AK45=summaryref2!B144,summaryref2!T144,"")))))))))))</f>
        <v/>
      </c>
      <c r="BE45" s="1184" t="str">
        <f>IF('A-80 DirEntInv'!BE44&lt;&gt;"",'A-80 DirEntInv'!BE44,IF(AK45=summaryref2!B18,summaryref2!U18,IF(Summary!AK45=summaryref2!B32,summaryref2!U32,IF(AK45=summaryref2!B46,summaryref2!U46,IF(AK45=summaryref2!B60,summaryref2!U60,IF(AK45=summaryref2!B74,summaryref2!U74,IF(AK45=summaryref2!B88,summaryref2!U88,IF(AK45=summaryref2!B102,summaryref2!U102,IF(AK45=summaryref2!B116,summaryref2!U116,IF(AK45=summaryref2!B130,summaryref2!U130,IF(AK45=summaryref2!B144,summaryref2!U144,"")))))))))))</f>
        <v/>
      </c>
      <c r="BF45" s="1432"/>
      <c r="BG45" s="1432"/>
      <c r="BJ45" s="1047" t="str">
        <f>Codes!$C$160</f>
        <v>CC - Cable Car (PT)</v>
      </c>
      <c r="BK45" s="1050" t="str">
        <f>Valid!$B$86</f>
        <v>Grade Crossings</v>
      </c>
      <c r="BL45" s="1369" t="str">
        <f>IF('A-80 DirEntInv'!BL44&lt;&gt;"",'A-80 DirEntInv'!BL44,IF(BJ45=summaryref2!X18,summaryref2!Z18,IF(BJ45=summaryref2!X25,summaryref2!Z25,IF(BJ45=summaryref2!X32,summaryref2!Z32,IF(BJ45=summaryref2!X39,summaryref2!Z39,IF(BJ45=summaryref2!X46,summaryref2!Z46,IF(BJ45=summaryref2!X53,summaryref2!Z53,IF(BJ45=summaryref2!X60,summaryref2!Z60,IF(BJ45=summaryref2!X67,summaryref2!Z67,IF(BJ45=summaryref2!X74,summaryref2!Z74,IF(BJ45=summaryref2!X81,summaryref2!Z81,"")))))))))))</f>
        <v/>
      </c>
      <c r="BM45" s="1050" t="str">
        <f>VLOOKUP(BK45,Valid!$B$80:$C$86,2,FALSE)</f>
        <v>Each</v>
      </c>
      <c r="BN45" s="1210" t="str">
        <f>IF('A-80 DirEntInv'!BN44&lt;&gt;"",'A-80 DirEntInv'!BN44,IF(BJ45=summaryref2!X18,summaryref2!AB18,IF(BJ45=summaryref2!X25,summaryref2!AB25,IF(BJ45=summaryref2!X32,summaryref2!AB32,IF(BJ45=summaryref2!X39,summaryref2!AB39,IF(BJ45=summaryref2!X46,summaryref2!AB46,IF(BJ45=summaryref2!X53,summaryref2!AB53,IF(BJ45=summaryref2!X60,summaryref2!AB60,IF(BJ45=summaryref2!X67,summaryref2!AB67,IF(BJ45=summaryref2!X74,summaryref2!AB74,IF(BJ45=summaryref2!X81,summaryref2!AB81,"")))))))))))</f>
        <v/>
      </c>
      <c r="BO45" s="1117" t="str">
        <f>IF('A-80 DirEntInv'!BO44&lt;&gt;"",'A-80 DirEntInv'!BO44,IF(BJ45=summaryref2!X18,summaryref2!AC18,IF(BJ45=summaryref2!X25,summaryref2!AC25,IF(BJ45=summaryref2!X32,summaryref2!AC32,IF(BJ45=summaryref2!X39,summaryref2!AC39,IF(BJ45=summaryref2!X46,summaryref2!AC46,IF(BJ45=summaryref2!X53,summaryref2!AC53,IF(BJ45=summaryref2!X60,summaryref2!AC60,IF(BJ45=summaryref2!X67,summaryref2!AC67,IF(BJ45=summaryref2!X74,summaryref2!AC74,IF(BJ45=summaryref2!X81,summaryref2!AC81,"")))))))))))</f>
        <v/>
      </c>
      <c r="BP45" s="1321" t="str">
        <f>IF('A-80 DirEntInv'!BP44&lt;&gt;"",'A-80 DirEntInv'!BP44,IF(BJ45=summaryref2!X18,summaryref2!AD18,IF(BJ45=summaryref2!X25,summaryref2!AD25,IF(BJ45=summaryref2!X32,summaryref2!AD32,IF(BJ45=summaryref2!X39,summaryref2!AD39,IF(BJ45=summaryref2!X46,summaryref2!AD46,IF(BJ45=summaryref2!X53,summaryref2!AD53,IF(BJ45=summaryref2!X60,summaryref2!AD60,IF(BJ45=summaryref2!X67,summaryref2!AD67,IF(BJ45=summaryref2!X74,summaryref2!AD74,IF(BJ45=summaryref2!X81,summaryref2!AD81,"")))))))))))</f>
        <v/>
      </c>
      <c r="BS45" s="1472" t="str">
        <f ca="1">IF('A-80 DirEntInv'!BU44&lt;&gt;"",'A-80 DirEntInv'!BU44,IF(INDIRECT(ADDRESS(SumRef!DK51,SumRef!DK$16,,,SumRef!$E$6))="","",INDIRECT(ADDRESS(SumRef!DK51,SumRef!DK$16,,,SumRef!$E$6))))</f>
        <v/>
      </c>
      <c r="BT45" s="1458" t="str">
        <f ca="1">IF('A-80 DirEntInv'!BV44&lt;&gt;"",'A-80 DirEntInv'!BV44,IF(INDIRECT(ADDRESS(SumRef!DL51,SumRef!DL$16,,,SumRef!$E$6))="","",INDIRECT(ADDRESS(SumRef!DL51,SumRef!DL$16,,,SumRef!$E$6))))</f>
        <v/>
      </c>
      <c r="BU45" s="1177" t="str">
        <f ca="1">IF('A-80 DirEntInv'!BW44&lt;&gt;"",'A-80 DirEntInv'!BW44,IF(INDIRECT(ADDRESS(SumRef!DM51,SumRef!DM$16,,,SumRef!$E$6))="","",INDIRECT(ADDRESS(SumRef!DM51,SumRef!DM$16,,,SumRef!$E$6))))</f>
        <v/>
      </c>
      <c r="BV45" s="1460" t="str">
        <f ca="1">IF('A-80 DirEntInv'!BX44&lt;&gt;"",'A-80 DirEntInv'!BX44,IF(INDIRECT(ADDRESS(SumRef!DN51,SumRef!DN$16,,,SumRef!$E$6))="","",INDIRECT(ADDRESS(SumRef!DN51,SumRef!DN$16,,,SumRef!$E$6))))</f>
        <v/>
      </c>
      <c r="BW45" s="1460" t="str">
        <f ca="1">IF('A-80 DirEntInv'!BY44&lt;&gt;"",'A-80 DirEntInv'!BY44,IF(INDIRECT(ADDRESS(SumRef!DO51,SumRef!DO$16,,,SumRef!$E$6))="","",INDIRECT(ADDRESS(SumRef!DO51,SumRef!DO$16,,,SumRef!$E$6))))</f>
        <v/>
      </c>
      <c r="BX45" s="1116" t="str">
        <f ca="1">IF('A-80 DirEntInv'!BZ44&lt;&gt;"",'A-80 DirEntInv'!BZ44,IF(INDIRECT(ADDRESS(SumRef!DP51,SumRef!DP$16,,,SumRef!$E$6))="","",INDIRECT(ADDRESS(SumRef!DP51,SumRef!DP$16,,,SumRef!$E$6))))</f>
        <v/>
      </c>
      <c r="BY45" s="1461" t="str">
        <f ca="1">IF('A-80 DirEntInv'!CA44&lt;&gt;"",'A-80 DirEntInv'!CA44,IF(INDIRECT(ADDRESS(SumRef!DQ51,SumRef!DQ$16,,,SumRef!$E$6))="","",INDIRECT(ADDRESS(SumRef!DQ51,SumRef!DQ$16,,,SumRef!$E$6))))</f>
        <v/>
      </c>
      <c r="BZ45" s="1460" t="str">
        <f ca="1">IF('A-80 DirEntInv'!CB44&lt;&gt;"",'A-80 DirEntInv'!CB44,IF(INDIRECT(ADDRESS(SumRef!DR51,SumRef!DR$16,,,SumRef!$E$6))="","",INDIRECT(ADDRESS(SumRef!DR51,SumRef!DR$16,,,SumRef!$E$6))))</f>
        <v/>
      </c>
      <c r="CA45" s="1462" t="str">
        <f ca="1">IF('A-80 DirEntInv'!CC44&lt;&gt;"",'A-80 DirEntInv'!CC44,IF(INDIRECT(ADDRESS(SumRef!DS51,SumRef!DS$16,,,SumRef!$E$6))="","",INDIRECT(ADDRESS(SumRef!DS51,SumRef!DS$16,,,SumRef!$E$6))))</f>
        <v/>
      </c>
      <c r="CD45" s="1160" t="str">
        <f ca="1">IF('A-80 DirEntInv'!CF44&lt;&gt;"",'A-80 DirEntInv'!CF44,IF(INDIRECT(ADDRESS(SumRef!DV51,SumRef!DV$16,,,SumRef!$E$7))="","",INDIRECT(ADDRESS(SumRef!DV51,SumRef!DV$16,,,SumRef!$E$7))))</f>
        <v/>
      </c>
      <c r="CE45" s="1167" t="str">
        <f ca="1">IF('A-80 DirEntInv'!CG44&lt;&gt;"",'A-80 DirEntInv'!CG44,IF(INDIRECT(ADDRESS(SumRef!DW51,SumRef!DW$16,,,SumRef!$E$7))="","",INDIRECT(ADDRESS(SumRef!DW51,SumRef!DW$16,,,SumRef!$E$7))))</f>
        <v/>
      </c>
      <c r="CF45" s="1167" t="str">
        <f ca="1">IF('A-80 DirEntInv'!CH44&lt;&gt;"",'A-80 DirEntInv'!CH44,IF(INDIRECT(ADDRESS(SumRef!DX51,SumRef!DX$16,,,SumRef!$E$7))="","",INDIRECT(ADDRESS(SumRef!DX51,SumRef!DX$16,,,SumRef!$E$7))))</f>
        <v/>
      </c>
      <c r="CG45" s="1167" t="str">
        <f ca="1">IF('A-80 DirEntInv'!CI44&lt;&gt;"",'A-80 DirEntInv'!CI44,IF(INDIRECT(ADDRESS(SumRef!DY51,SumRef!DY$16,,,SumRef!$E$7))="","",INDIRECT(ADDRESS(SumRef!DY51,SumRef!DY$16,,,SumRef!$E$7))))</f>
        <v/>
      </c>
      <c r="CH45" s="1167" t="str">
        <f ca="1">IF('A-80 DirEntInv'!CJ44&lt;&gt;"",'A-80 DirEntInv'!CJ44,IF(INDIRECT(ADDRESS(SumRef!DZ51,SumRef!DZ$16,,,SumRef!$E$7))="","",INDIRECT(ADDRESS(SumRef!DZ51,SumRef!DZ$16,,,SumRef!$E$7))))</f>
        <v/>
      </c>
      <c r="CI45" s="1167" t="str">
        <f ca="1">IF('A-80 DirEntInv'!CK44&lt;&gt;"",'A-80 DirEntInv'!CK44,IF(INDIRECT(ADDRESS(SumRef!EA51,SumRef!EA$16,,,SumRef!$E$7))="","",INDIRECT(ADDRESS(SumRef!EA51,SumRef!EA$16,,,SumRef!$E$7))))</f>
        <v/>
      </c>
      <c r="CJ45" s="1114" t="str">
        <f ca="1">IF('A-80 DirEntInv'!CL44&lt;&gt;"",'A-80 DirEntInv'!CL44,IF(INDIRECT(ADDRESS(SumRef!EB51,SumRef!EB$16,,,SumRef!$E$7))="","",INDIRECT(ADDRESS(SumRef!EB51,SumRef!EB$16,,,SumRef!$E$7))))</f>
        <v/>
      </c>
      <c r="CK45" s="1114" t="str">
        <f ca="1">IF('A-80 DirEntInv'!CM44&lt;&gt;"",'A-80 DirEntInv'!CM44,IF(INDIRECT(ADDRESS(SumRef!EC51,SumRef!EC$16,,,SumRef!$E$7))="","",INDIRECT(ADDRESS(SumRef!EC51,SumRef!EC$16,,,SumRef!$E$7))))</f>
        <v/>
      </c>
      <c r="CL45" s="1113" t="str">
        <f ca="1">IF('A-80 DirEntInv'!CO44&lt;&gt;"",'A-80 DirEntInv'!CO44,IF(INDIRECT(ADDRESS(SumRef!ED51,SumRef!ED$16,,,SumRef!$E$7))="","",INDIRECT(ADDRESS(SumRef!ED51,SumRef!ED$16,,,SumRef!$E$7))))</f>
        <v/>
      </c>
      <c r="CM45" s="1114" t="str">
        <f ca="1">IF('A-80 DirEntInv'!CP44&lt;&gt;"",'A-80 DirEntInv'!CP44,IF(INDIRECT(ADDRESS(SumRef!EE51,SumRef!EE$16,,,SumRef!$E$7))="","",INDIRECT(ADDRESS(SumRef!EE51,SumRef!EE$16,,,SumRef!$E$7))))</f>
        <v/>
      </c>
      <c r="CN45" s="1114" t="str">
        <f ca="1">IF('A-80 DirEntInv'!CQ44&lt;&gt;"",'A-80 DirEntInv'!CQ44,IF(INDIRECT(ADDRESS(SumRef!EF51,SumRef!EF$16,,,SumRef!$E$7))="","",INDIRECT(ADDRESS(SumRef!EF51,SumRef!EF$16,,,SumRef!$E$7))))</f>
        <v/>
      </c>
      <c r="CO45" s="1113" t="str">
        <f ca="1">IF('A-80 DirEntInv'!CR44&lt;&gt;"",'A-80 DirEntInv'!CR44,IF(INDIRECT(ADDRESS(SumRef!EG51,SumRef!EG$16,,,SumRef!$E$7))="","",INDIRECT(ADDRESS(SumRef!EG51,SumRef!EG$16,,,SumRef!$E$7))))</f>
        <v/>
      </c>
      <c r="CP45" s="1114" t="str">
        <f ca="1">IF('A-80 DirEntInv'!CS44&lt;&gt;"",'A-80 DirEntInv'!CS44,IF(INDIRECT(ADDRESS(SumRef!EH51,SumRef!EH$16,,,SumRef!$E$7))="","",INDIRECT(ADDRESS(SumRef!EH51,SumRef!EH$16,,,SumRef!$E$7))))</f>
        <v/>
      </c>
      <c r="CQ45" s="1346" t="str">
        <f ca="1">IF('A-80 DirEntInv'!CT44&lt;&gt;"",'A-80 DirEntInv'!CT44,IF(INDIRECT(ADDRESS(SumRef!EI51,SumRef!EI$16,,,SumRef!$E$7))="","",INDIRECT(ADDRESS(SumRef!EI51,SumRef!EI$16,,,SumRef!$E$7))))</f>
        <v/>
      </c>
      <c r="CR45" s="1113" t="str">
        <f ca="1">IF('A-80 DirEntInv'!CU44&lt;&gt;"",'A-80 DirEntInv'!CU44,IF(INDIRECT(ADDRESS(SumRef!EJ51,SumRef!EJ$16,,,SumRef!$E$7))="","",INDIRECT(ADDRESS(SumRef!EJ51,SumRef!EJ$16,,,SumRef!$E$7))))</f>
        <v/>
      </c>
      <c r="CS45" s="1346" t="str">
        <f ca="1">IF('A-80 DirEntInv'!CV44&lt;&gt;"",'A-80 DirEntInv'!CV44,IF(INDIRECT(ADDRESS(SumRef!EM51,SumRef!EM$16,,,SumRef!$E$7))="","",INDIRECT(ADDRESS(SumRef!EM51,SumRef!EM$16,,,SumRef!$E$7))))</f>
        <v/>
      </c>
      <c r="CT45" s="1113" t="str">
        <f ca="1">IF('A-80 DirEntInv'!CW44&lt;&gt;"",'A-80 DirEntInv'!CW44,IF(INDIRECT(ADDRESS(SumRef!EN51,SumRef!EN$16,,,SumRef!$E$7))="","",INDIRECT(ADDRESS(SumRef!EN51,SumRef!EN$16,,,SumRef!$E$7))))</f>
        <v/>
      </c>
      <c r="CU45" s="1113" t="str">
        <f ca="1">IF('A-80 DirEntInv'!CX44&lt;&gt;"",'A-80 DirEntInv'!CX44,IF(INDIRECT(ADDRESS(SumRef!EO51,SumRef!EO$16,,,SumRef!$E$7))="","",INDIRECT(ADDRESS(SumRef!EO51,SumRef!EO$16,,,SumRef!$E$7))))</f>
        <v/>
      </c>
      <c r="CV45" s="1113" t="str">
        <f ca="1">IF('A-80 DirEntInv'!CY44&lt;&gt;"",'A-80 DirEntInv'!CY44,IF(INDIRECT(ADDRESS(SumRef!EP51,SumRef!EP$16,,,SumRef!$E$7))="","",INDIRECT(ADDRESS(SumRef!EP51,SumRef!EP$16,,,SumRef!$E$7))))</f>
        <v/>
      </c>
      <c r="CW45" s="1114" t="str">
        <f ca="1">IF('A-80 DirEntInv'!CZ44&lt;&gt;"",'A-80 DirEntInv'!CZ44,IF(INDIRECT(ADDRESS(SumRef!ES51,SumRef!ES$16,,,SumRef!$E$7))="","",INDIRECT(ADDRESS(SumRef!ES51,SumRef!ES$16,,,SumRef!$E$7))))</f>
        <v/>
      </c>
      <c r="CX45" s="1167" t="str">
        <f ca="1">IF('A-80 DirEntInv'!DA44&lt;&gt;"",'A-80 DirEntInv'!DA44,IF(INDIRECT(ADDRESS(SumRef!ET51,SumRef!ET$16,,,SumRef!$E$7))="","",INDIRECT(ADDRESS(SumRef!ET51,SumRef!ET$16,,,SumRef!$E$7))))</f>
        <v/>
      </c>
      <c r="CY45" s="1167" t="str">
        <f ca="1">IF('A-80 DirEntInv'!DB44&lt;&gt;"",'A-80 DirEntInv'!DB44,IF(INDIRECT(ADDRESS(SumRef!EU51,SumRef!EU$16,,,SumRef!$E$7))="","",INDIRECT(ADDRESS(SumRef!EU51,SumRef!EU$16,,,SumRef!$E$7))))</f>
        <v/>
      </c>
      <c r="CZ45" s="1167" t="b">
        <f ca="1">IF('A-80 DirEntInv'!DC44&lt;&gt;"",'A-80 DirEntInv'!DC44,IF(INDIRECT(ADDRESS(SumRef!EV51,SumRef!EV$16,,,SumRef!$E$7))="","",INDIRECT(ADDRESS(SumRef!EV51,SumRef!EV$16,,,SumRef!$E$7))))</f>
        <v>0</v>
      </c>
      <c r="DA45" s="1373" t="str">
        <f ca="1">IF('A-80 DirEntInv'!DD44&lt;&gt;"",'A-80 DirEntInv'!DD44,IF(INDIRECT(ADDRESS(SumRef!EW51,SumRef!EW$16,,,SumRef!$E$7))="","",INDIRECT(ADDRESS(SumRef!EW51,SumRef!EW$16,,,SumRef!$E$7))))</f>
        <v/>
      </c>
      <c r="DB45" s="1373" t="b">
        <f ca="1">IF('A-80 DirEntInv'!DE44&lt;&gt;"",'A-80 DirEntInv'!DE44,IF(INDIRECT(ADDRESS(SumRef!EX51,SumRef!EX$16,,,SumRef!$E$7))="","",INDIRECT(ADDRESS(SumRef!EX51,SumRef!EX$16,,,SumRef!$E$7))))</f>
        <v>0</v>
      </c>
      <c r="DC45" s="1114" t="b">
        <f ca="1">IF('A-80 DirEntInv'!DF44&lt;&gt;"",'A-80 DirEntInv'!DF44,IF(INDIRECT(ADDRESS(SumRef!EY51,SumRef!EY$16,,,SumRef!$E$7))="","",INDIRECT(ADDRESS(SumRef!EY51,SumRef!EY$16,,,SumRef!$E$7))))</f>
        <v>0</v>
      </c>
      <c r="DD45" s="1115" t="str">
        <f ca="1">IF('A-80 DirEntInv'!DG44&lt;&gt;"",'A-80 DirEntInv'!DG44,IF(INDIRECT(ADDRESS(SumRef!EZ51,SumRef!EZ$16,,,SumRef!$E$7))="","",INDIRECT(ADDRESS(SumRef!EZ51,SumRef!EZ$16,,,SumRef!$E$7))))</f>
        <v/>
      </c>
    </row>
    <row r="46" spans="1:108" s="588" customFormat="1" x14ac:dyDescent="0.2">
      <c r="A46" s="589">
        <f t="shared" si="0"/>
        <v>36</v>
      </c>
      <c r="B46" s="1155" t="str">
        <f ca="1">IF('A-80 DirEntInv'!B45&lt;&gt;"",'A-80 DirEntInv'!B45,IF(INDIRECT(ADDRESS(SumRef!AQ52,SumRef!AQ$16,,,SumRef!$B$7))="","",INDIRECT(ADDRESS(SumRef!AQ52,SumRef!AQ$16,,,SumRef!$B$7))))</f>
        <v/>
      </c>
      <c r="C46" s="1097" t="str">
        <f ca="1">IF('A-80 DirEntInv'!C45&lt;&gt;"",'A-80 DirEntInv'!C45,IF(INDIRECT(ADDRESS(SumRef!AR52,SumRef!AR$16,,,SumRef!$B$7))="","",INDIRECT(ADDRESS(SumRef!AR52,SumRef!AR$16,,,SumRef!$B$7))))</f>
        <v/>
      </c>
      <c r="D46" s="1097" t="str">
        <f ca="1">IF('A-80 DirEntInv'!D45&lt;&gt;"",'A-80 DirEntInv'!D45,IF(INDIRECT(ADDRESS(SumRef!AS52,SumRef!AS$16,,,SumRef!$B$7))="","",INDIRECT(ADDRESS(SumRef!AS52,SumRef!AS$16,,,SumRef!$B$7))))</f>
        <v/>
      </c>
      <c r="E46" s="1097" t="str">
        <f ca="1">IF('A-80 DirEntInv'!E45&lt;&gt;"",'A-80 DirEntInv'!E45,IF(INDIRECT(ADDRESS(SumRef!AT52,SumRef!AT$16,,,SumRef!$B$7))="","",INDIRECT(ADDRESS(SumRef!AT52,SumRef!AT$16,,,SumRef!$B$7))))</f>
        <v/>
      </c>
      <c r="F46" s="1097" t="str">
        <f ca="1">IF('A-80 DirEntInv'!F45&lt;&gt;"",'A-80 DirEntInv'!F45,IF(INDIRECT(ADDRESS(SumRef!AU52,SumRef!AU$16,,,SumRef!$B$7))="","",INDIRECT(ADDRESS(SumRef!AU52,SumRef!AU$16,,,SumRef!$B$7))))</f>
        <v/>
      </c>
      <c r="G46" s="1158" t="str">
        <f ca="1">IF('A-80 DirEntInv'!G45&lt;&gt;"",'A-80 DirEntInv'!G45,IF(INDIRECT(ADDRESS(SumRef!AV52,SumRef!AV$16,,,SumRef!$B$7))="","",INDIRECT(ADDRESS(SumRef!AV52,SumRef!AV$16,,,SumRef!$B$7))))</f>
        <v/>
      </c>
      <c r="H46" s="1097" t="str">
        <f ca="1">IF('A-80 DirEntInv'!H45&lt;&gt;"",'A-80 DirEntInv'!H45,IF(INDIRECT(ADDRESS(SumRef!AW52,SumRef!AW$16,,,SumRef!$B$7))="","",INDIRECT(ADDRESS(SumRef!AW52,SumRef!AW$16,,,SumRef!$B$7))))</f>
        <v/>
      </c>
      <c r="I46" s="1097" t="str">
        <f ca="1">IF('A-80 DirEntInv'!I45&lt;&gt;"",'A-80 DirEntInv'!I45,IF(INDIRECT(ADDRESS(SumRef!AX52,SumRef!AX$16,,,SumRef!$B$7))="","",INDIRECT(ADDRESS(SumRef!AX52,SumRef!AX$16,,,SumRef!$B$7))))</f>
        <v/>
      </c>
      <c r="J46" s="1098" t="str">
        <f ca="1">IF('A-80 DirEntInv'!J45&lt;&gt;"",'A-80 DirEntInv'!J45,IF(INDIRECT(ADDRESS(SumRef!AY52,SumRef!AY$16,,,SumRef!$B$7))="","",INDIRECT(ADDRESS(SumRef!AY52,SumRef!AY$16,,,SumRef!$B$7))))</f>
        <v/>
      </c>
      <c r="K46" s="1099" t="str">
        <f ca="1">IF('A-80 DirEntInv'!K45&lt;&gt;"",'A-80 DirEntInv'!K45,IF(INDIRECT(ADDRESS(SumRef!AZ52,SumRef!AZ$16,,,SumRef!$B$7))="","",INDIRECT(ADDRESS(SumRef!AZ52,SumRef!AZ$16,,,SumRef!$B$7))))</f>
        <v/>
      </c>
      <c r="L46" s="1100" t="str">
        <f ca="1">IF('A-80 DirEntInv'!L45&lt;&gt;"",'A-80 DirEntInv'!L45,IF(INDIRECT(ADDRESS(SumRef!BA52,SumRef!BA$16,,,SumRef!$B$7))="","",INDIRECT(ADDRESS(SumRef!BA52,SumRef!BA$16,,,SumRef!$B$7))))</f>
        <v/>
      </c>
      <c r="M46" s="1101" t="str">
        <f ca="1">IF('A-80 DirEntInv'!M45&lt;&gt;"",'A-80 DirEntInv'!M45,IF(INDIRECT(ADDRESS(SumRef!BB52,SumRef!BB$16,,,SumRef!$B$7))="","",INDIRECT(ADDRESS(SumRef!BB52,SumRef!BB$16,,,SumRef!$B$7))))</f>
        <v/>
      </c>
      <c r="N46" s="1098" t="str">
        <f ca="1">IF('A-80 DirEntInv'!N45&lt;&gt;"",'A-80 DirEntInv'!N45,IF(INDIRECT(ADDRESS(SumRef!BC52,SumRef!BC$16,,,SumRef!$B$7))="","",INDIRECT(ADDRESS(SumRef!BC52,SumRef!BC$16,,,SumRef!$B$7))))</f>
        <v/>
      </c>
      <c r="O46" s="1102" t="str">
        <f ca="1">IF('A-80 DirEntInv'!O45&lt;&gt;"",'A-80 DirEntInv'!O45,IF(INDIRECT(ADDRESS(SumRef!BD52,SumRef!BD$16,,,SumRef!$B$7))="","",INDIRECT(ADDRESS(SumRef!BD52,SumRef!BD$16,,,SumRef!$B$7))))</f>
        <v/>
      </c>
      <c r="Q46" s="589"/>
      <c r="R46" s="1103" t="str">
        <f ca="1">IF('A-80 DirEntInv'!R45&lt;&gt;"",'A-80 DirEntInv'!R45,IF(INDIRECT(ADDRESS(SumRef!BH52,SumRef!BH$16,,,SumRef!$B$8))="","",INDIRECT(ADDRESS(SumRef!BH52,SumRef!BH$16,,,SumRef!$B$8))))</f>
        <v/>
      </c>
      <c r="S46" s="1104" t="str">
        <f ca="1">IF('A-80 DirEntInv'!S45&lt;&gt;"",'A-80 DirEntInv'!S45,IF(INDIRECT(ADDRESS(SumRef!BI52,SumRef!BI$16,,,SumRef!$B$8))="","",INDIRECT(ADDRESS(SumRef!BI52,SumRef!BI$16,,,SumRef!$B$8))))</f>
        <v/>
      </c>
      <c r="T46" s="1104" t="str">
        <f ca="1">IF('A-80 DirEntInv'!T45&lt;&gt;"",'A-80 DirEntInv'!T45,IF(INDIRECT(ADDRESS(SumRef!BJ52,SumRef!BJ$16,,,SumRef!$B$8))="","",INDIRECT(ADDRESS(SumRef!BJ52,SumRef!BJ$16,,,SumRef!$B$8))))</f>
        <v/>
      </c>
      <c r="U46" s="1104" t="str">
        <f ca="1">IF('A-80 DirEntInv'!U45&lt;&gt;"",'A-80 DirEntInv'!U45,IF(INDIRECT(ADDRESS(SumRef!BK52,SumRef!BK$16,,,SumRef!$B$8))="","",INDIRECT(ADDRESS(SumRef!BK52,SumRef!BK$16,,,SumRef!$B$8))))</f>
        <v/>
      </c>
      <c r="V46" s="1104" t="str">
        <f ca="1">IF('A-80 DirEntInv'!V45&lt;&gt;"",'A-80 DirEntInv'!V45,IF(INDIRECT(ADDRESS(SumRef!BL52,SumRef!BL$16,,,SumRef!$B$8))="","",INDIRECT(ADDRESS(SumRef!BL52,SumRef!BL$16,,,SumRef!$B$8))))</f>
        <v/>
      </c>
      <c r="W46" s="1354" t="str">
        <f ca="1">IF('A-80 DirEntInv'!W45&lt;&gt;"",'A-80 DirEntInv'!W45,IF(INDIRECT(ADDRESS(SumRef!BM52,SumRef!BM$16,,,SumRef!$B$8))="","",INDIRECT(ADDRESS(SumRef!BM52,SumRef!BM$16,,,SumRef!$B$8))))</f>
        <v/>
      </c>
      <c r="X46" s="1203" t="str">
        <f ca="1">IF('A-80 DirEntInv'!X45&lt;&gt;"",'A-80 DirEntInv'!X45,IF(INDIRECT(ADDRESS(SumRef!BN52,SumRef!BN$16,,,SumRef!$B$8))="","",INDIRECT(ADDRESS(SumRef!BN52,SumRef!BN$16,,,SumRef!$B$8))))</f>
        <v/>
      </c>
      <c r="Y46" s="1203" t="str">
        <f ca="1">IF('A-80 DirEntInv'!Y45&lt;&gt;"",'A-80 DirEntInv'!Y45,IF(INDIRECT(ADDRESS(SumRef!BO52,SumRef!BO$16,,,SumRef!$B$8))="","",INDIRECT(ADDRESS(SumRef!BO52,SumRef!BO$16,,,SumRef!$B$8))))</f>
        <v/>
      </c>
      <c r="Z46" s="1104" t="str">
        <f ca="1">IF('A-80 DirEntInv'!Z45&lt;&gt;"",'A-80 DirEntInv'!Z45,IF(INDIRECT(ADDRESS(SumRef!BP52,SumRef!BP$16,,,SumRef!$B$8))="","",INDIRECT(ADDRESS(SumRef!BP52,SumRef!BP$16,,,SumRef!$B$8))))</f>
        <v/>
      </c>
      <c r="AA46" s="1104" t="str">
        <f ca="1">IF('A-80 DirEntInv'!AA45&lt;&gt;"",'A-80 DirEntInv'!AA45,IF(INDIRECT(ADDRESS(SumRef!BQ52,SumRef!BQ$16,,,SumRef!$B$8))="","",INDIRECT(ADDRESS(SumRef!BQ52,SumRef!BQ$16,,,SumRef!$B$8))))</f>
        <v/>
      </c>
      <c r="AB46" s="1106" t="str">
        <f ca="1">IF('A-80 DirEntInv'!AB45&lt;&gt;"",'A-80 DirEntInv'!AB45,IF(INDIRECT(ADDRESS(SumRef!BR52,SumRef!BR$16,,,SumRef!$B$8))="","",INDIRECT(ADDRESS(SumRef!BR52,SumRef!BR$16,,,SumRef!$B$8))))</f>
        <v/>
      </c>
      <c r="AC46" s="1107" t="str">
        <f ca="1">IF('A-80 DirEntInv'!AC45&lt;&gt;"",'A-80 DirEntInv'!AC45,IF(INDIRECT(ADDRESS(SumRef!BS52,SumRef!BS$16,,,SumRef!$B$8))="","",INDIRECT(ADDRESS(SumRef!BS52,SumRef!BS$16,,,SumRef!$B$8))))</f>
        <v/>
      </c>
      <c r="AD46" s="1349" t="str">
        <f ca="1">IF('A-80 DirEntInv'!AD45&lt;&gt;"",'A-80 DirEntInv'!AD45,IF(INDIRECT(ADDRESS(SumRef!BT52,SumRef!BT$16,,,SumRef!$B$8))="","",INDIRECT(ADDRESS(SumRef!BT52,SumRef!BT$16,,,SumRef!$B$8))))</f>
        <v/>
      </c>
      <c r="AE46" s="1137" t="str">
        <f ca="1">IF('A-80 DirEntInv'!AE45&lt;&gt;"",'A-80 DirEntInv'!AE45,IF(INDIRECT(ADDRESS(SumRef!BU52,SumRef!BU$16,,,SumRef!$B$8))="","",INDIRECT(ADDRESS(SumRef!BU52,SumRef!BU$16,,,SumRef!$B$8))))</f>
        <v/>
      </c>
      <c r="AF46" s="1346" t="str">
        <f ca="1">IF('A-80 DirEntInv'!AF45&lt;&gt;"",'A-80 DirEntInv'!AF45,IF(INDIRECT(ADDRESS(SumRef!BV52,SumRef!BV$16,,,SumRef!$B$8))="","",INDIRECT(ADDRESS(SumRef!BV52,SumRef!BV$16,,,SumRef!$B$8))))</f>
        <v/>
      </c>
      <c r="AG46" s="1105" t="str">
        <f ca="1">IF('A-80 DirEntInv'!AG45&lt;&gt;"",'A-80 DirEntInv'!AG45,IF(INDIRECT(ADDRESS(SumRef!BW52,SumRef!BW$16,,,SumRef!$B$8))="","",INDIRECT(ADDRESS(SumRef!BW52,SumRef!BW$16,,,SumRef!$B$8))))</f>
        <v/>
      </c>
      <c r="AH46" s="1357" t="str">
        <f ca="1">IF('A-80 DirEntInv'!AH45&lt;&gt;"",'A-80 DirEntInv'!AH45,IF(INDIRECT(ADDRESS(SumRef!BX52,SumRef!BX$16,,,SumRef!$B$8))="","",INDIRECT(ADDRESS(SumRef!BX52,SumRef!BX$16,,,SumRef!$B$8))))</f>
        <v/>
      </c>
      <c r="AK46" s="1041" t="str">
        <f>Codes!$C$158</f>
        <v>AR - Alaska Railroad</v>
      </c>
      <c r="AL46" s="1042" t="str">
        <f>Valid!$B$78</f>
        <v>Below-Grade/Bored or Blasted Tunnel</v>
      </c>
      <c r="AM46" s="1108" t="str">
        <f>IF('A-80 DirEntInv'!AM45&lt;&gt;"",'A-80 DirEntInv'!AM45,IF(AK46=summaryref2!B19,summaryref2!D19,IF(Summary!AK46=summaryref2!B33,summaryref2!D33,IF(AK46=summaryref2!B47,summaryref2!D47,IF(AK46=summaryref2!B61,summaryref2!D61,IF(AK46=summaryref2!B75,summaryref2!D75,IF(AK46=summaryref2!B89,summaryref2!D89,IF(AK46=summaryref2!B103,summaryref2!D103,IF(AK46=summaryref2!B117,summaryref2!D117,IF(AK46=summaryref2!B131,summaryref2!D131,IF(AK46=summaryref2!B145,summaryref2!D145,"")))))))))))</f>
        <v/>
      </c>
      <c r="AN46" s="1109" t="str">
        <f ca="1">IF('A-80 DirEntInv'!AN45&lt;&gt;"",'A-80 DirEntInv'!AN45,IF(INDIRECT(ADDRESS(SumRef!CG38,SumRef!CG$16,,,SumRef!$C$7))="","",INDIRECT(ADDRESS(SumRef!CG38,SumRef!CG$16,,,SumRef!$C$7))))</f>
        <v>Linear Feet</v>
      </c>
      <c r="AO46" s="1108" t="str">
        <f>IF('A-80 DirEntInv'!AO45&lt;&gt;"",'A-80 DirEntInv'!AO45,IF(AK46=summaryref2!B19,summaryref2!F19,IF(Summary!AK46=summaryref2!B33,summaryref2!F33,IF(AK46=summaryref2!B47,summaryref2!F47,IF(AK46=summaryref2!B61,summaryref2!F61,IF(AK46=summaryref2!B75,summaryref2!F75,IF(AK46=summaryref2!B89,summaryref2!F89,IF(AK46=summaryref2!B103,summaryref2!F103,IF(AK46=summaryref2!B117,summaryref2!F117,IF(AK46=summaryref2!B131,summaryref2!F131,IF(AK46=summaryref2!B145,summaryref2!F145,"")))))))))))</f>
        <v/>
      </c>
      <c r="AP46" s="1109" t="str">
        <f ca="1">IF('A-80 DirEntInv'!AP45&lt;&gt;"",'A-80 DirEntInv'!AP45,IF(INDIRECT(ADDRESS(SumRef!#REF!,SumRef!#REF!,,,SumRef!$C$7))="","",INDIRECT(ADDRESS(SumRef!#REF!,SumRef!#REF!,,,SumRef!$C$7))))</f>
        <v>Track Feet</v>
      </c>
      <c r="AQ46" s="1147" t="str">
        <f>IF('A-80 DirEntInv'!AQ45&lt;&gt;"",'A-80 DirEntInv'!AQ45,IF(AK46=summaryref2!B19,summaryref2!G19,IF(Summary!AK46=summaryref2!B33,summaryref2!G33,IF(AK46=summaryref2!B47,summaryref2!G47,IF(AK46=summaryref2!B61,summaryref2!G61,IF(AK46=summaryref2!B75,summaryref2!G75,IF(AK46=summaryref2!B89,summaryref2!G89,IF(AK46=summaryref2!B103,summaryref2!G103,IF(AK46=summaryref2!B117,summaryref2!G117,IF(AK46=summaryref2!B131,summaryref2!G131,IF(AK46=summaryref2!B145,summaryref2!G145,"")))))))))))</f>
        <v/>
      </c>
      <c r="AR46" s="1147" t="str">
        <f>IF('A-80 DirEntInv'!AR45&lt;&gt;"",'A-80 DirEntInv'!AR45,IF(AK46=summaryref2!B19,summaryref2!H19,IF(Summary!AK46=summaryref2!B33,summaryref2!H33,IF(AK46=summaryref2!B47,summaryref2!H47,IF(AK46=summaryref2!B61,summaryref2!H61,IF(AK46=summaryref2!B75,summaryref2!H75,IF(AK46=summaryref2!B89,summaryref2!H89,IF(AK46=summaryref2!B103,summaryref2!H103,IF(AK46=summaryref2!B117,summaryref2!H117,IF(AK46=summaryref2!B131,summaryref2!H131,IF(AK46=summaryref2!B145,summaryref2!H145,"")))))))))))</f>
        <v/>
      </c>
      <c r="AS46" s="1110" t="str">
        <f>IF('A-80 DirEntInv'!AS45&lt;&gt;"",'A-80 DirEntInv'!AS45,IF(AK46=summaryref2!B19,summaryref2!I19,IF(Summary!AK46=summaryref2!B33,summaryref2!I33,IF(AK46=summaryref2!B47,summaryref2!I47,IF(AK46=summaryref2!B61,summaryref2!I61,IF(AK46=summaryref2!B75,summaryref2!I75,IF(AK46=summaryref2!B89,summaryref2!I89,IF(AK46=summaryref2!B103,summaryref2!I103,IF(AK46=summaryref2!B117,summaryref2!I117,IF(AK46=summaryref2!B131,summaryref2!I131,IF(AK46=summaryref2!B145,summaryref2!I145,"")))))))))))</f>
        <v/>
      </c>
      <c r="AT46" s="1110" t="str">
        <f>IF('A-80 DirEntInv'!AT45&lt;&gt;"",'A-80 DirEntInv'!AT45,IF(AK46=summaryref2!B19,summaryref2!J19,IF(Summary!AK46=summaryref2!B33,summaryref2!J33,IF(AK46=summaryref2!B47,summaryref2!J47,IF(AK46=summaryref2!B61,summaryref2!J61,IF(AK46=summaryref2!B75,summaryref2!J75,IF(AK46=summaryref2!B89,summaryref2!J89,IF(AK46=summaryref2!B103,summaryref2!J103,IF(AK46=summaryref2!B117,summaryref2!J117,IF(AK46=summaryref2!B131,summaryref2!J131,IF(AK46=summaryref2!B145,summaryref2!J145,"")))))))))))</f>
        <v/>
      </c>
      <c r="AU46" s="1110" t="str">
        <f>IF('A-80 DirEntInv'!AU45&lt;&gt;"",'A-80 DirEntInv'!AU45,IF(AK46=summaryref2!B19,summaryref2!K19,IF(Summary!AK46=summaryref2!B33,summaryref2!K33,IF(AK46=summaryref2!B47,summaryref2!K47,IF(AK46=summaryref2!B61,summaryref2!K61,IF(AK46=summaryref2!B75,summaryref2!K75,IF(AK46=summaryref2!B89,summaryref2!K89,IF(AK46=summaryref2!B103,summaryref2!K103,IF(AK46=summaryref2!B117,summaryref2!K117,IF(AK46=summaryref2!B131,summaryref2!K131,IF(AK46=summaryref2!B145,summaryref2!K145,"")))))))))))</f>
        <v/>
      </c>
      <c r="AV46" s="1110" t="str">
        <f>IF('A-80 DirEntInv'!AV45&lt;&gt;"",'A-80 DirEntInv'!AV45,IF(AK46=summaryref2!B19,summaryref2!L19,IF(Summary!AK46=summaryref2!B33,summaryref2!L33,IF(AK46=summaryref2!B47,summaryref2!L47,IF(AK46=summaryref2!B61,summaryref2!L61,IF(AK46=summaryref2!B75,summaryref2!L75,IF(AK46=summaryref2!B89,summaryref2!L89,IF(AK46=summaryref2!B103,summaryref2!L103,IF(AK46=summaryref2!B117,summaryref2!L117,IF(AK46=summaryref2!B131,summaryref2!L131,IF(AK46=summaryref2!B145,summaryref2!L145,"")))))))))))</f>
        <v/>
      </c>
      <c r="AW46" s="1110" t="str">
        <f>IF('A-80 DirEntInv'!AW45&lt;&gt;"",'A-80 DirEntInv'!AW45,IF(AK46=summaryref2!B19,summaryref2!M19,IF(Summary!AK46=summaryref2!B33,summaryref2!M33,IF(AK46=summaryref2!B47,summaryref2!M47,IF(AK46=summaryref2!B61,summaryref2!M61,IF(AK46=summaryref2!B75,summaryref2!M75,IF(AK46=summaryref2!B89,summaryref2!M89,IF(AK46=summaryref2!B103,summaryref2!M103,IF(AK46=summaryref2!B117,summaryref2!M117,IF(AK46=summaryref2!B131,summaryref2!M131,IF(AK46=summaryref2!B145,summaryref2!M145,"")))))))))))</f>
        <v/>
      </c>
      <c r="AX46" s="1110" t="str">
        <f>IF('A-80 DirEntInv'!AX45&lt;&gt;"",'A-80 DirEntInv'!AX45,IF(AK46=summaryref2!B19,summaryref2!N19,IF(Summary!AK46=summaryref2!B33,summaryref2!N33,IF(AK46=summaryref2!B47,summaryref2!N47,IF(AK46=summaryref2!B61,summaryref2!N61,IF(AK46=summaryref2!B75,summaryref2!N75,IF(AK46=summaryref2!B89,summaryref2!N89,IF(AK46=summaryref2!B103,summaryref2!N103,IF(AK46=summaryref2!B117,summaryref2!N117,IF(AK46=summaryref2!B131,summaryref2!N131,IF(AK46=summaryref2!B145,summaryref2!N145,"")))))))))))</f>
        <v/>
      </c>
      <c r="AY46" s="1110" t="str">
        <f>IF('A-80 DirEntInv'!AY45&lt;&gt;"",'A-80 DirEntInv'!AY45,IF(AK46=summaryref2!B19,summaryref2!O19,IF(Summary!AK46=summaryref2!B33,summaryref2!O33,IF(AK46=summaryref2!B47,summaryref2!O47,IF(AK46=summaryref2!B61,summaryref2!O61,IF(AK46=summaryref2!B75,summaryref2!O75,IF(AK46=summaryref2!B89,summaryref2!O89,IF(AK46=summaryref2!B103,summaryref2!O103,IF(AK46=summaryref2!B117,summaryref2!O117,IF(AK46=summaryref2!B131,summaryref2!O131,IF(AK46=summaryref2!B145,summaryref2!O145,"")))))))))))</f>
        <v/>
      </c>
      <c r="AZ46" s="1110" t="str">
        <f>IF('A-80 DirEntInv'!AZ45&lt;&gt;"",'A-80 DirEntInv'!AZ45,IF(AK46=summaryref2!B19,summaryref2!P19,IF(Summary!AK46=summaryref2!B33,summaryref2!P33,IF(AK46=summaryref2!B47,summaryref2!P47,IF(AK46=summaryref2!B61,summaryref2!P61,IF(AK46=summaryref2!B75,summaryref2!P75,IF(AK46=summaryref2!B89,summaryref2!P89,IF(AK46=summaryref2!B103,summaryref2!P103,IF(AK46=summaryref2!B117,summaryref2!P117,IF(AK46=summaryref2!B131,summaryref2!P131,IF(AK46=summaryref2!B145,summaryref2!P145,"")))))))))))</f>
        <v/>
      </c>
      <c r="BA46" s="1110" t="str">
        <f>IF('A-80 DirEntInv'!BA45&lt;&gt;"",'A-80 DirEntInv'!BA45,IF(AK46=summaryref2!B19,summaryref2!Q19,IF(Summary!AK46=summaryref2!B33,summaryref2!Q33,IF(AK46=summaryref2!B47,summaryref2!Q47,IF(AK46=summaryref2!B61,summaryref2!Q61,IF(AK46=summaryref2!B75,summaryref2!Q75,IF(AK46=summaryref2!B89,summaryref2!Q89,IF(AK46=summaryref2!B103,summaryref2!Q103,IF(AK46=summaryref2!B117,summaryref2!Q117,IF(AK46=summaryref2!B131,summaryref2!Q131,IF(AK46=summaryref2!B145,summaryref2!Q145,"")))))))))))</f>
        <v/>
      </c>
      <c r="BB46" s="1110" t="str">
        <f>IF('A-80 DirEntInv'!BB45&lt;&gt;"",'A-80 DirEntInv'!BB45,IF(AK46=summaryref2!B19,summaryref2!R19,IF(Summary!AK46=summaryref2!B33,summaryref2!R33,IF(AK46=summaryref2!B47,summaryref2!R47,IF(AK46=summaryref2!B61,summaryref2!R61,IF(AK46=summaryref2!B75,summaryref2!R75,IF(AK46=summaryref2!B89,summaryref2!R89,IF(AK46=summaryref2!B103,summaryref2!R103,IF(AK46=summaryref2!B117,summaryref2!R117,IF(AK46=summaryref2!B131,summaryref2!R131,IF(AK46=summaryref2!B145,summaryref2!R145,"")))))))))))</f>
        <v/>
      </c>
      <c r="BC46" s="1110" t="str">
        <f>IF('A-80 DirEntInv'!BC45&lt;&gt;0,'A-80 DirEntInv'!BC45,IF(AK46=summaryref2!B19,summaryref2!S19,IF(Summary!AK46=summaryref2!B33,summaryref2!S33,IF(AK46=summaryref2!B47,summaryref2!S47,IF(AK46=summaryref2!B61,summaryref2!S61,IF(AK46=summaryref2!B75,summaryref2!S75,IF(AK46=summaryref2!B89,summaryref2!S89,IF(AK46=summaryref2!B103,summaryref2!S103,IF(AK46=summaryref2!B117,summaryref2!S117,IF(AK46=summaryref2!B131,summaryref2!S131,IF(AK46=summaryref2!B145,summaryref2!S145,"")))))))))))</f>
        <v/>
      </c>
      <c r="BD46" s="1111" t="str">
        <f>IF('A-80 DirEntInv'!BD45&lt;&gt;"",'A-80 DirEntInv'!BD45,IF(AK46=summaryref2!B19,summaryref2!T19,IF(Summary!AK46=summaryref2!B33,summaryref2!T33,IF(AK46=summaryref2!B47,summaryref2!T47,IF(AK46=summaryref2!B61,summaryref2!T61,IF(AK46=summaryref2!B75,summaryref2!T75,IF(AK46=summaryref2!B89,summaryref2!T89,IF(AK46=summaryref2!B103,summaryref2!T103,IF(AK46=summaryref2!B117,summaryref2!T117,IF(AK46=summaryref2!B131,summaryref2!T131,IF(AK46=summaryref2!B145,summaryref2!T145,"")))))))))))</f>
        <v/>
      </c>
      <c r="BE46" s="1184" t="str">
        <f>IF('A-80 DirEntInv'!BE45&lt;&gt;"",'A-80 DirEntInv'!BE45,IF(AK46=summaryref2!B19,summaryref2!U19,IF(Summary!AK46=summaryref2!B33,summaryref2!U33,IF(AK46=summaryref2!B47,summaryref2!U47,IF(AK46=summaryref2!B61,summaryref2!U61,IF(AK46=summaryref2!B75,summaryref2!U75,IF(AK46=summaryref2!B89,summaryref2!U89,IF(AK46=summaryref2!B103,summaryref2!U103,IF(AK46=summaryref2!B117,summaryref2!U117,IF(AK46=summaryref2!B131,summaryref2!U131,IF(AK46=summaryref2!B145,summaryref2!U145,"")))))))))))</f>
        <v/>
      </c>
      <c r="BF46" s="1432"/>
      <c r="BG46" s="1432"/>
      <c r="BJ46" s="1043" t="str">
        <f>Codes!$C$161</f>
        <v>CR - Commuter Rail (DO)</v>
      </c>
      <c r="BK46" s="1303" t="str">
        <f>Valid!$B$80</f>
        <v>Tangent</v>
      </c>
      <c r="BL46" s="1366" t="str">
        <f>IF('A-80 DirEntInv'!BL45&lt;&gt;"",'A-80 DirEntInv'!BL45,IF(BJ46=summaryref2!X12,summaryref2!Z12,IF(BJ46=summaryref2!X19,summaryref2!Z19,IF(BJ46=summaryref2!X26,summaryref2!Z26,IF(BJ46=summaryref2!X33,summaryref2!Z33,IF(BJ46=summaryref2!X40,summaryref2!Z40,IF(BJ46=summaryref2!X47,summaryref2!Z47,IF(BJ46=summaryref2!X54,summaryref2!Z54,IF(BJ46=summaryref2!X61,summaryref2!Z61,IF(BJ46=summaryref2!X68,summaryref2!Z68,IF(BJ46=summaryref2!X75,summaryref2!Z75,"")))))))))))</f>
        <v/>
      </c>
      <c r="BM46" s="1303" t="str">
        <f>VLOOKUP(BK46,Valid!$B$80:$C$86,2,FALSE)</f>
        <v>Track Feet</v>
      </c>
      <c r="BN46" s="1208" t="str">
        <f>IF('A-80 DirEntInv'!BN45&lt;&gt;"",'A-80 DirEntInv'!BN45,IF(BJ46=summaryref2!X12,summaryref2!AB12,IF(BJ46=summaryref2!X19,summaryref2!AB19,IF(BJ46=summaryref2!X26,summaryref2!AB26,IF(BJ46=summaryref2!X33,summaryref2!AB33,IF(BJ46=summaryref2!X40,summaryref2!AB40,IF(BJ46=summaryref2!X47,summaryref2!AB47,IF(BJ46=summaryref2!X54,summaryref2!AB54,IF(BJ46=summaryref2!X61,summaryref2!AB61,IF(BJ46=summaryref2!X68,summaryref2!AB68,IF(BJ46=summaryref2!X75,summaryref2!AB75,"")))))))))))</f>
        <v/>
      </c>
      <c r="BO46" s="1112" t="str">
        <f>IF('A-80 DirEntInv'!BO45&lt;&gt;"",'A-80 DirEntInv'!BO45,IF(BJ46=summaryref2!X12,summaryref2!AC12,IF(BJ46=summaryref2!X19,summaryref2!AC19,IF(BJ46=summaryref2!X26,summaryref2!AC26,IF(BJ46=summaryref2!X33,summaryref2!AC33,IF(BJ46=summaryref2!X40,summaryref2!AC40,IF(BJ46=summaryref2!X47,summaryref2!AC47,IF(BJ46=summaryref2!X54,summaryref2!AC54,IF(BJ46=summaryref2!X61,summaryref2!AC61,IF(BJ46=summaryref2!X68,summaryref2!AC68,IF(BJ46=summaryref2!X75,summaryref2!AC75,"")))))))))))</f>
        <v/>
      </c>
      <c r="BP46" s="1320" t="str">
        <f>IF('A-80 DirEntInv'!BP45&lt;&gt;"",'A-80 DirEntInv'!BP45,IF(BJ46=summaryref2!X12,summaryref2!AD12,IF(BJ46=summaryref2!X19,summaryref2!AD19,IF(BJ46=summaryref2!X26,summaryref2!AD26,IF(BJ46=summaryref2!X33,summaryref2!AD33,IF(BJ46=summaryref2!X40,summaryref2!AD40,IF(BJ46=summaryref2!X47,summaryref2!AD47,IF(BJ46=summaryref2!X54,summaryref2!AD54,IF(BJ46=summaryref2!X61,summaryref2!AD61,IF(BJ46=summaryref2!X68,summaryref2!AD68,IF(BJ46=summaryref2!X75,summaryref2!AD75,"")))))))))))</f>
        <v/>
      </c>
      <c r="BS46" s="1472" t="str">
        <f ca="1">IF('A-80 DirEntInv'!BU45&lt;&gt;"",'A-80 DirEntInv'!BU45,IF(INDIRECT(ADDRESS(SumRef!DK52,SumRef!DK$16,,,SumRef!$E$6))="","",INDIRECT(ADDRESS(SumRef!DK52,SumRef!DK$16,,,SumRef!$E$6))))</f>
        <v/>
      </c>
      <c r="BT46" s="1458" t="str">
        <f ca="1">IF('A-80 DirEntInv'!BV45&lt;&gt;"",'A-80 DirEntInv'!BV45,IF(INDIRECT(ADDRESS(SumRef!DL52,SumRef!DL$16,,,SumRef!$E$6))="","",INDIRECT(ADDRESS(SumRef!DL52,SumRef!DL$16,,,SumRef!$E$6))))</f>
        <v/>
      </c>
      <c r="BU46" s="1177" t="str">
        <f ca="1">IF('A-80 DirEntInv'!BW45&lt;&gt;"",'A-80 DirEntInv'!BW45,IF(INDIRECT(ADDRESS(SumRef!DM52,SumRef!DM$16,,,SumRef!$E$6))="","",INDIRECT(ADDRESS(SumRef!DM52,SumRef!DM$16,,,SumRef!$E$6))))</f>
        <v/>
      </c>
      <c r="BV46" s="1460" t="str">
        <f ca="1">IF('A-80 DirEntInv'!BX45&lt;&gt;"",'A-80 DirEntInv'!BX45,IF(INDIRECT(ADDRESS(SumRef!DN52,SumRef!DN$16,,,SumRef!$E$6))="","",INDIRECT(ADDRESS(SumRef!DN52,SumRef!DN$16,,,SumRef!$E$6))))</f>
        <v/>
      </c>
      <c r="BW46" s="1460" t="str">
        <f ca="1">IF('A-80 DirEntInv'!BY45&lt;&gt;"",'A-80 DirEntInv'!BY45,IF(INDIRECT(ADDRESS(SumRef!DO52,SumRef!DO$16,,,SumRef!$E$6))="","",INDIRECT(ADDRESS(SumRef!DO52,SumRef!DO$16,,,SumRef!$E$6))))</f>
        <v/>
      </c>
      <c r="BX46" s="1116" t="str">
        <f ca="1">IF('A-80 DirEntInv'!BZ45&lt;&gt;"",'A-80 DirEntInv'!BZ45,IF(INDIRECT(ADDRESS(SumRef!DP52,SumRef!DP$16,,,SumRef!$E$6))="","",INDIRECT(ADDRESS(SumRef!DP52,SumRef!DP$16,,,SumRef!$E$6))))</f>
        <v/>
      </c>
      <c r="BY46" s="1461" t="str">
        <f ca="1">IF('A-80 DirEntInv'!CA45&lt;&gt;"",'A-80 DirEntInv'!CA45,IF(INDIRECT(ADDRESS(SumRef!DQ52,SumRef!DQ$16,,,SumRef!$E$6))="","",INDIRECT(ADDRESS(SumRef!DQ52,SumRef!DQ$16,,,SumRef!$E$6))))</f>
        <v/>
      </c>
      <c r="BZ46" s="1460" t="str">
        <f ca="1">IF('A-80 DirEntInv'!CB45&lt;&gt;"",'A-80 DirEntInv'!CB45,IF(INDIRECT(ADDRESS(SumRef!DR52,SumRef!DR$16,,,SumRef!$E$6))="","",INDIRECT(ADDRESS(SumRef!DR52,SumRef!DR$16,,,SumRef!$E$6))))</f>
        <v/>
      </c>
      <c r="CA46" s="1462" t="str">
        <f ca="1">IF('A-80 DirEntInv'!CC45&lt;&gt;"",'A-80 DirEntInv'!CC45,IF(INDIRECT(ADDRESS(SumRef!DS52,SumRef!DS$16,,,SumRef!$E$6))="","",INDIRECT(ADDRESS(SumRef!DS52,SumRef!DS$16,,,SumRef!$E$6))))</f>
        <v/>
      </c>
      <c r="CD46" s="1160" t="str">
        <f ca="1">IF('A-80 DirEntInv'!CF45&lt;&gt;"",'A-80 DirEntInv'!CF45,IF(INDIRECT(ADDRESS(SumRef!DV52,SumRef!DV$16,,,SumRef!$E$7))="","",INDIRECT(ADDRESS(SumRef!DV52,SumRef!DV$16,,,SumRef!$E$7))))</f>
        <v/>
      </c>
      <c r="CE46" s="1167" t="str">
        <f ca="1">IF('A-80 DirEntInv'!CG45&lt;&gt;"",'A-80 DirEntInv'!CG45,IF(INDIRECT(ADDRESS(SumRef!DW52,SumRef!DW$16,,,SumRef!$E$7))="","",INDIRECT(ADDRESS(SumRef!DW52,SumRef!DW$16,,,SumRef!$E$7))))</f>
        <v/>
      </c>
      <c r="CF46" s="1167" t="str">
        <f ca="1">IF('A-80 DirEntInv'!CH45&lt;&gt;"",'A-80 DirEntInv'!CH45,IF(INDIRECT(ADDRESS(SumRef!DX52,SumRef!DX$16,,,SumRef!$E$7))="","",INDIRECT(ADDRESS(SumRef!DX52,SumRef!DX$16,,,SumRef!$E$7))))</f>
        <v/>
      </c>
      <c r="CG46" s="1167" t="str">
        <f ca="1">IF('A-80 DirEntInv'!CI45&lt;&gt;"",'A-80 DirEntInv'!CI45,IF(INDIRECT(ADDRESS(SumRef!DY52,SumRef!DY$16,,,SumRef!$E$7))="","",INDIRECT(ADDRESS(SumRef!DY52,SumRef!DY$16,,,SumRef!$E$7))))</f>
        <v/>
      </c>
      <c r="CH46" s="1167" t="str">
        <f ca="1">IF('A-80 DirEntInv'!CJ45&lt;&gt;"",'A-80 DirEntInv'!CJ45,IF(INDIRECT(ADDRESS(SumRef!DZ52,SumRef!DZ$16,,,SumRef!$E$7))="","",INDIRECT(ADDRESS(SumRef!DZ52,SumRef!DZ$16,,,SumRef!$E$7))))</f>
        <v/>
      </c>
      <c r="CI46" s="1167" t="str">
        <f ca="1">IF('A-80 DirEntInv'!CK45&lt;&gt;"",'A-80 DirEntInv'!CK45,IF(INDIRECT(ADDRESS(SumRef!EA52,SumRef!EA$16,,,SumRef!$E$7))="","",INDIRECT(ADDRESS(SumRef!EA52,SumRef!EA$16,,,SumRef!$E$7))))</f>
        <v/>
      </c>
      <c r="CJ46" s="1114" t="str">
        <f ca="1">IF('A-80 DirEntInv'!CL45&lt;&gt;"",'A-80 DirEntInv'!CL45,IF(INDIRECT(ADDRESS(SumRef!EB52,SumRef!EB$16,,,SumRef!$E$7))="","",INDIRECT(ADDRESS(SumRef!EB52,SumRef!EB$16,,,SumRef!$E$7))))</f>
        <v/>
      </c>
      <c r="CK46" s="1114" t="str">
        <f ca="1">IF('A-80 DirEntInv'!CM45&lt;&gt;"",'A-80 DirEntInv'!CM45,IF(INDIRECT(ADDRESS(SumRef!EC52,SumRef!EC$16,,,SumRef!$E$7))="","",INDIRECT(ADDRESS(SumRef!EC52,SumRef!EC$16,,,SumRef!$E$7))))</f>
        <v/>
      </c>
      <c r="CL46" s="1113" t="str">
        <f ca="1">IF('A-80 DirEntInv'!CO45&lt;&gt;"",'A-80 DirEntInv'!CO45,IF(INDIRECT(ADDRESS(SumRef!ED52,SumRef!ED$16,,,SumRef!$E$7))="","",INDIRECT(ADDRESS(SumRef!ED52,SumRef!ED$16,,,SumRef!$E$7))))</f>
        <v/>
      </c>
      <c r="CM46" s="1114" t="str">
        <f ca="1">IF('A-80 DirEntInv'!CP45&lt;&gt;"",'A-80 DirEntInv'!CP45,IF(INDIRECT(ADDRESS(SumRef!EE52,SumRef!EE$16,,,SumRef!$E$7))="","",INDIRECT(ADDRESS(SumRef!EE52,SumRef!EE$16,,,SumRef!$E$7))))</f>
        <v/>
      </c>
      <c r="CN46" s="1114" t="str">
        <f ca="1">IF('A-80 DirEntInv'!CQ45&lt;&gt;"",'A-80 DirEntInv'!CQ45,IF(INDIRECT(ADDRESS(SumRef!EF52,SumRef!EF$16,,,SumRef!$E$7))="","",INDIRECT(ADDRESS(SumRef!EF52,SumRef!EF$16,,,SumRef!$E$7))))</f>
        <v/>
      </c>
      <c r="CO46" s="1113" t="str">
        <f ca="1">IF('A-80 DirEntInv'!CR45&lt;&gt;"",'A-80 DirEntInv'!CR45,IF(INDIRECT(ADDRESS(SumRef!EG52,SumRef!EG$16,,,SumRef!$E$7))="","",INDIRECT(ADDRESS(SumRef!EG52,SumRef!EG$16,,,SumRef!$E$7))))</f>
        <v/>
      </c>
      <c r="CP46" s="1114" t="str">
        <f ca="1">IF('A-80 DirEntInv'!CS45&lt;&gt;"",'A-80 DirEntInv'!CS45,IF(INDIRECT(ADDRESS(SumRef!EH52,SumRef!EH$16,,,SumRef!$E$7))="","",INDIRECT(ADDRESS(SumRef!EH52,SumRef!EH$16,,,SumRef!$E$7))))</f>
        <v/>
      </c>
      <c r="CQ46" s="1346" t="str">
        <f ca="1">IF('A-80 DirEntInv'!CT45&lt;&gt;"",'A-80 DirEntInv'!CT45,IF(INDIRECT(ADDRESS(SumRef!EI52,SumRef!EI$16,,,SumRef!$E$7))="","",INDIRECT(ADDRESS(SumRef!EI52,SumRef!EI$16,,,SumRef!$E$7))))</f>
        <v/>
      </c>
      <c r="CR46" s="1113" t="str">
        <f ca="1">IF('A-80 DirEntInv'!CU45&lt;&gt;"",'A-80 DirEntInv'!CU45,IF(INDIRECT(ADDRESS(SumRef!EJ52,SumRef!EJ$16,,,SumRef!$E$7))="","",INDIRECT(ADDRESS(SumRef!EJ52,SumRef!EJ$16,,,SumRef!$E$7))))</f>
        <v/>
      </c>
      <c r="CS46" s="1346" t="str">
        <f ca="1">IF('A-80 DirEntInv'!CV45&lt;&gt;"",'A-80 DirEntInv'!CV45,IF(INDIRECT(ADDRESS(SumRef!EM52,SumRef!EM$16,,,SumRef!$E$7))="","",INDIRECT(ADDRESS(SumRef!EM52,SumRef!EM$16,,,SumRef!$E$7))))</f>
        <v/>
      </c>
      <c r="CT46" s="1113" t="str">
        <f ca="1">IF('A-80 DirEntInv'!CW45&lt;&gt;"",'A-80 DirEntInv'!CW45,IF(INDIRECT(ADDRESS(SumRef!EN52,SumRef!EN$16,,,SumRef!$E$7))="","",INDIRECT(ADDRESS(SumRef!EN52,SumRef!EN$16,,,SumRef!$E$7))))</f>
        <v/>
      </c>
      <c r="CU46" s="1113" t="str">
        <f ca="1">IF('A-80 DirEntInv'!CX45&lt;&gt;"",'A-80 DirEntInv'!CX45,IF(INDIRECT(ADDRESS(SumRef!EO52,SumRef!EO$16,,,SumRef!$E$7))="","",INDIRECT(ADDRESS(SumRef!EO52,SumRef!EO$16,,,SumRef!$E$7))))</f>
        <v/>
      </c>
      <c r="CV46" s="1113" t="str">
        <f ca="1">IF('A-80 DirEntInv'!CY45&lt;&gt;"",'A-80 DirEntInv'!CY45,IF(INDIRECT(ADDRESS(SumRef!EP52,SumRef!EP$16,,,SumRef!$E$7))="","",INDIRECT(ADDRESS(SumRef!EP52,SumRef!EP$16,,,SumRef!$E$7))))</f>
        <v/>
      </c>
      <c r="CW46" s="1114" t="str">
        <f ca="1">IF('A-80 DirEntInv'!CZ45&lt;&gt;"",'A-80 DirEntInv'!CZ45,IF(INDIRECT(ADDRESS(SumRef!ES52,SumRef!ES$16,,,SumRef!$E$7))="","",INDIRECT(ADDRESS(SumRef!ES52,SumRef!ES$16,,,SumRef!$E$7))))</f>
        <v/>
      </c>
      <c r="CX46" s="1167" t="str">
        <f ca="1">IF('A-80 DirEntInv'!DA45&lt;&gt;"",'A-80 DirEntInv'!DA45,IF(INDIRECT(ADDRESS(SumRef!ET52,SumRef!ET$16,,,SumRef!$E$7))="","",INDIRECT(ADDRESS(SumRef!ET52,SumRef!ET$16,,,SumRef!$E$7))))</f>
        <v/>
      </c>
      <c r="CY46" s="1167" t="str">
        <f ca="1">IF('A-80 DirEntInv'!DB45&lt;&gt;"",'A-80 DirEntInv'!DB45,IF(INDIRECT(ADDRESS(SumRef!EU52,SumRef!EU$16,,,SumRef!$E$7))="","",INDIRECT(ADDRESS(SumRef!EU52,SumRef!EU$16,,,SumRef!$E$7))))</f>
        <v/>
      </c>
      <c r="CZ46" s="1167" t="b">
        <f ca="1">IF('A-80 DirEntInv'!DC45&lt;&gt;"",'A-80 DirEntInv'!DC45,IF(INDIRECT(ADDRESS(SumRef!EV52,SumRef!EV$16,,,SumRef!$E$7))="","",INDIRECT(ADDRESS(SumRef!EV52,SumRef!EV$16,,,SumRef!$E$7))))</f>
        <v>0</v>
      </c>
      <c r="DA46" s="1373" t="str">
        <f ca="1">IF('A-80 DirEntInv'!DD45&lt;&gt;"",'A-80 DirEntInv'!DD45,IF(INDIRECT(ADDRESS(SumRef!EW52,SumRef!EW$16,,,SumRef!$E$7))="","",INDIRECT(ADDRESS(SumRef!EW52,SumRef!EW$16,,,SumRef!$E$7))))</f>
        <v/>
      </c>
      <c r="DB46" s="1373" t="b">
        <f ca="1">IF('A-80 DirEntInv'!DE45&lt;&gt;"",'A-80 DirEntInv'!DE45,IF(INDIRECT(ADDRESS(SumRef!EX52,SumRef!EX$16,,,SumRef!$E$7))="","",INDIRECT(ADDRESS(SumRef!EX52,SumRef!EX$16,,,SumRef!$E$7))))</f>
        <v>0</v>
      </c>
      <c r="DC46" s="1114" t="b">
        <f ca="1">IF('A-80 DirEntInv'!DF45&lt;&gt;"",'A-80 DirEntInv'!DF45,IF(INDIRECT(ADDRESS(SumRef!EY52,SumRef!EY$16,,,SumRef!$E$7))="","",INDIRECT(ADDRESS(SumRef!EY52,SumRef!EY$16,,,SumRef!$E$7))))</f>
        <v>0</v>
      </c>
      <c r="DD46" s="1115" t="str">
        <f ca="1">IF('A-80 DirEntInv'!DG45&lt;&gt;"",'A-80 DirEntInv'!DG45,IF(INDIRECT(ADDRESS(SumRef!EZ52,SumRef!EZ$16,,,SumRef!$E$7))="","",INDIRECT(ADDRESS(SumRef!EZ52,SumRef!EZ$16,,,SumRef!$E$7))))</f>
        <v/>
      </c>
    </row>
    <row r="47" spans="1:108" s="588" customFormat="1" ht="13.5" thickBot="1" x14ac:dyDescent="0.25">
      <c r="A47" s="589">
        <f t="shared" si="0"/>
        <v>37</v>
      </c>
      <c r="B47" s="1155" t="str">
        <f ca="1">IF('A-80 DirEntInv'!B46&lt;&gt;"",'A-80 DirEntInv'!B46,IF(INDIRECT(ADDRESS(SumRef!AQ53,SumRef!AQ$16,,,SumRef!$B$7))="","",INDIRECT(ADDRESS(SumRef!AQ53,SumRef!AQ$16,,,SumRef!$B$7))))</f>
        <v/>
      </c>
      <c r="C47" s="1097" t="str">
        <f ca="1">IF('A-80 DirEntInv'!C46&lt;&gt;"",'A-80 DirEntInv'!C46,IF(INDIRECT(ADDRESS(SumRef!AR53,SumRef!AR$16,,,SumRef!$B$7))="","",INDIRECT(ADDRESS(SumRef!AR53,SumRef!AR$16,,,SumRef!$B$7))))</f>
        <v/>
      </c>
      <c r="D47" s="1097" t="str">
        <f ca="1">IF('A-80 DirEntInv'!D46&lt;&gt;"",'A-80 DirEntInv'!D46,IF(INDIRECT(ADDRESS(SumRef!AS53,SumRef!AS$16,,,SumRef!$B$7))="","",INDIRECT(ADDRESS(SumRef!AS53,SumRef!AS$16,,,SumRef!$B$7))))</f>
        <v/>
      </c>
      <c r="E47" s="1097" t="str">
        <f ca="1">IF('A-80 DirEntInv'!E46&lt;&gt;"",'A-80 DirEntInv'!E46,IF(INDIRECT(ADDRESS(SumRef!AT53,SumRef!AT$16,,,SumRef!$B$7))="","",INDIRECT(ADDRESS(SumRef!AT53,SumRef!AT$16,,,SumRef!$B$7))))</f>
        <v/>
      </c>
      <c r="F47" s="1097" t="str">
        <f ca="1">IF('A-80 DirEntInv'!F46&lt;&gt;"",'A-80 DirEntInv'!F46,IF(INDIRECT(ADDRESS(SumRef!AU53,SumRef!AU$16,,,SumRef!$B$7))="","",INDIRECT(ADDRESS(SumRef!AU53,SumRef!AU$16,,,SumRef!$B$7))))</f>
        <v/>
      </c>
      <c r="G47" s="1158" t="str">
        <f ca="1">IF('A-80 DirEntInv'!G46&lt;&gt;"",'A-80 DirEntInv'!G46,IF(INDIRECT(ADDRESS(SumRef!AV53,SumRef!AV$16,,,SumRef!$B$7))="","",INDIRECT(ADDRESS(SumRef!AV53,SumRef!AV$16,,,SumRef!$B$7))))</f>
        <v/>
      </c>
      <c r="H47" s="1097" t="str">
        <f ca="1">IF('A-80 DirEntInv'!H46&lt;&gt;"",'A-80 DirEntInv'!H46,IF(INDIRECT(ADDRESS(SumRef!AW53,SumRef!AW$16,,,SumRef!$B$7))="","",INDIRECT(ADDRESS(SumRef!AW53,SumRef!AW$16,,,SumRef!$B$7))))</f>
        <v/>
      </c>
      <c r="I47" s="1097" t="str">
        <f ca="1">IF('A-80 DirEntInv'!I46&lt;&gt;"",'A-80 DirEntInv'!I46,IF(INDIRECT(ADDRESS(SumRef!AX53,SumRef!AX$16,,,SumRef!$B$7))="","",INDIRECT(ADDRESS(SumRef!AX53,SumRef!AX$16,,,SumRef!$B$7))))</f>
        <v/>
      </c>
      <c r="J47" s="1098" t="str">
        <f ca="1">IF('A-80 DirEntInv'!J46&lt;&gt;"",'A-80 DirEntInv'!J46,IF(INDIRECT(ADDRESS(SumRef!AY53,SumRef!AY$16,,,SumRef!$B$7))="","",INDIRECT(ADDRESS(SumRef!AY53,SumRef!AY$16,,,SumRef!$B$7))))</f>
        <v/>
      </c>
      <c r="K47" s="1099" t="str">
        <f ca="1">IF('A-80 DirEntInv'!K46&lt;&gt;"",'A-80 DirEntInv'!K46,IF(INDIRECT(ADDRESS(SumRef!AZ53,SumRef!AZ$16,,,SumRef!$B$7))="","",INDIRECT(ADDRESS(SumRef!AZ53,SumRef!AZ$16,,,SumRef!$B$7))))</f>
        <v/>
      </c>
      <c r="L47" s="1100" t="str">
        <f ca="1">IF('A-80 DirEntInv'!L46&lt;&gt;"",'A-80 DirEntInv'!L46,IF(INDIRECT(ADDRESS(SumRef!BA53,SumRef!BA$16,,,SumRef!$B$7))="","",INDIRECT(ADDRESS(SumRef!BA53,SumRef!BA$16,,,SumRef!$B$7))))</f>
        <v/>
      </c>
      <c r="M47" s="1101" t="str">
        <f ca="1">IF('A-80 DirEntInv'!M46&lt;&gt;"",'A-80 DirEntInv'!M46,IF(INDIRECT(ADDRESS(SumRef!BB53,SumRef!BB$16,,,SumRef!$B$7))="","",INDIRECT(ADDRESS(SumRef!BB53,SumRef!BB$16,,,SumRef!$B$7))))</f>
        <v/>
      </c>
      <c r="N47" s="1098" t="str">
        <f ca="1">IF('A-80 DirEntInv'!N46&lt;&gt;"",'A-80 DirEntInv'!N46,IF(INDIRECT(ADDRESS(SumRef!BC53,SumRef!BC$16,,,SumRef!$B$7))="","",INDIRECT(ADDRESS(SumRef!BC53,SumRef!BC$16,,,SumRef!$B$7))))</f>
        <v/>
      </c>
      <c r="O47" s="1102" t="str">
        <f ca="1">IF('A-80 DirEntInv'!O46&lt;&gt;"",'A-80 DirEntInv'!O46,IF(INDIRECT(ADDRESS(SumRef!BD53,SumRef!BD$16,,,SumRef!$B$7))="","",INDIRECT(ADDRESS(SumRef!BD53,SumRef!BD$16,,,SumRef!$B$7))))</f>
        <v/>
      </c>
      <c r="Q47" s="589"/>
      <c r="R47" s="1103" t="str">
        <f ca="1">IF('A-80 DirEntInv'!R46&lt;&gt;"",'A-80 DirEntInv'!R46,IF(INDIRECT(ADDRESS(SumRef!BH53,SumRef!BH$16,,,SumRef!$B$8))="","",INDIRECT(ADDRESS(SumRef!BH53,SumRef!BH$16,,,SumRef!$B$8))))</f>
        <v/>
      </c>
      <c r="S47" s="1104" t="str">
        <f ca="1">IF('A-80 DirEntInv'!S46&lt;&gt;"",'A-80 DirEntInv'!S46,IF(INDIRECT(ADDRESS(SumRef!BI53,SumRef!BI$16,,,SumRef!$B$8))="","",INDIRECT(ADDRESS(SumRef!BI53,SumRef!BI$16,,,SumRef!$B$8))))</f>
        <v/>
      </c>
      <c r="T47" s="1104" t="str">
        <f ca="1">IF('A-80 DirEntInv'!T46&lt;&gt;"",'A-80 DirEntInv'!T46,IF(INDIRECT(ADDRESS(SumRef!BJ53,SumRef!BJ$16,,,SumRef!$B$8))="","",INDIRECT(ADDRESS(SumRef!BJ53,SumRef!BJ$16,,,SumRef!$B$8))))</f>
        <v/>
      </c>
      <c r="U47" s="1104" t="str">
        <f ca="1">IF('A-80 DirEntInv'!U46&lt;&gt;"",'A-80 DirEntInv'!U46,IF(INDIRECT(ADDRESS(SumRef!BK53,SumRef!BK$16,,,SumRef!$B$8))="","",INDIRECT(ADDRESS(SumRef!BK53,SumRef!BK$16,,,SumRef!$B$8))))</f>
        <v/>
      </c>
      <c r="V47" s="1104" t="str">
        <f ca="1">IF('A-80 DirEntInv'!V46&lt;&gt;"",'A-80 DirEntInv'!V46,IF(INDIRECT(ADDRESS(SumRef!BL53,SumRef!BL$16,,,SumRef!$B$8))="","",INDIRECT(ADDRESS(SumRef!BL53,SumRef!BL$16,,,SumRef!$B$8))))</f>
        <v/>
      </c>
      <c r="W47" s="1354" t="str">
        <f ca="1">IF('A-80 DirEntInv'!W46&lt;&gt;"",'A-80 DirEntInv'!W46,IF(INDIRECT(ADDRESS(SumRef!BM53,SumRef!BM$16,,,SumRef!$B$8))="","",INDIRECT(ADDRESS(SumRef!BM53,SumRef!BM$16,,,SumRef!$B$8))))</f>
        <v/>
      </c>
      <c r="X47" s="1203" t="str">
        <f ca="1">IF('A-80 DirEntInv'!X46&lt;&gt;"",'A-80 DirEntInv'!X46,IF(INDIRECT(ADDRESS(SumRef!BN53,SumRef!BN$16,,,SumRef!$B$8))="","",INDIRECT(ADDRESS(SumRef!BN53,SumRef!BN$16,,,SumRef!$B$8))))</f>
        <v/>
      </c>
      <c r="Y47" s="1203" t="str">
        <f ca="1">IF('A-80 DirEntInv'!Y46&lt;&gt;"",'A-80 DirEntInv'!Y46,IF(INDIRECT(ADDRESS(SumRef!BO53,SumRef!BO$16,,,SumRef!$B$8))="","",INDIRECT(ADDRESS(SumRef!BO53,SumRef!BO$16,,,SumRef!$B$8))))</f>
        <v/>
      </c>
      <c r="Z47" s="1104" t="str">
        <f ca="1">IF('A-80 DirEntInv'!Z46&lt;&gt;"",'A-80 DirEntInv'!Z46,IF(INDIRECT(ADDRESS(SumRef!BP53,SumRef!BP$16,,,SumRef!$B$8))="","",INDIRECT(ADDRESS(SumRef!BP53,SumRef!BP$16,,,SumRef!$B$8))))</f>
        <v/>
      </c>
      <c r="AA47" s="1104" t="str">
        <f ca="1">IF('A-80 DirEntInv'!AA46&lt;&gt;"",'A-80 DirEntInv'!AA46,IF(INDIRECT(ADDRESS(SumRef!BQ53,SumRef!BQ$16,,,SumRef!$B$8))="","",INDIRECT(ADDRESS(SumRef!BQ53,SumRef!BQ$16,,,SumRef!$B$8))))</f>
        <v/>
      </c>
      <c r="AB47" s="1106" t="str">
        <f ca="1">IF('A-80 DirEntInv'!AB46&lt;&gt;"",'A-80 DirEntInv'!AB46,IF(INDIRECT(ADDRESS(SumRef!BR53,SumRef!BR$16,,,SumRef!$B$8))="","",INDIRECT(ADDRESS(SumRef!BR53,SumRef!BR$16,,,SumRef!$B$8))))</f>
        <v/>
      </c>
      <c r="AC47" s="1107" t="str">
        <f ca="1">IF('A-80 DirEntInv'!AC46&lt;&gt;"",'A-80 DirEntInv'!AC46,IF(INDIRECT(ADDRESS(SumRef!BS53,SumRef!BS$16,,,SumRef!$B$8))="","",INDIRECT(ADDRESS(SumRef!BS53,SumRef!BS$16,,,SumRef!$B$8))))</f>
        <v/>
      </c>
      <c r="AD47" s="1349" t="str">
        <f ca="1">IF('A-80 DirEntInv'!AD46&lt;&gt;"",'A-80 DirEntInv'!AD46,IF(INDIRECT(ADDRESS(SumRef!BT53,SumRef!BT$16,,,SumRef!$B$8))="","",INDIRECT(ADDRESS(SumRef!BT53,SumRef!BT$16,,,SumRef!$B$8))))</f>
        <v/>
      </c>
      <c r="AE47" s="1137" t="str">
        <f ca="1">IF('A-80 DirEntInv'!AE46&lt;&gt;"",'A-80 DirEntInv'!AE46,IF(INDIRECT(ADDRESS(SumRef!BU53,SumRef!BU$16,,,SumRef!$B$8))="","",INDIRECT(ADDRESS(SumRef!BU53,SumRef!BU$16,,,SumRef!$B$8))))</f>
        <v/>
      </c>
      <c r="AF47" s="1346" t="str">
        <f ca="1">IF('A-80 DirEntInv'!AF46&lt;&gt;"",'A-80 DirEntInv'!AF46,IF(INDIRECT(ADDRESS(SumRef!BV53,SumRef!BV$16,,,SumRef!$B$8))="","",INDIRECT(ADDRESS(SumRef!BV53,SumRef!BV$16,,,SumRef!$B$8))))</f>
        <v/>
      </c>
      <c r="AG47" s="1105" t="str">
        <f ca="1">IF('A-80 DirEntInv'!AG46&lt;&gt;"",'A-80 DirEntInv'!AG46,IF(INDIRECT(ADDRESS(SumRef!BW53,SumRef!BW$16,,,SumRef!$B$8))="","",INDIRECT(ADDRESS(SumRef!BW53,SumRef!BW$16,,,SumRef!$B$8))))</f>
        <v/>
      </c>
      <c r="AH47" s="1357" t="str">
        <f ca="1">IF('A-80 DirEntInv'!AH46&lt;&gt;"",'A-80 DirEntInv'!AH46,IF(INDIRECT(ADDRESS(SumRef!BX53,SumRef!BX$16,,,SumRef!$B$8))="","",INDIRECT(ADDRESS(SumRef!BX53,SumRef!BX$16,,,SumRef!$B$8))))</f>
        <v/>
      </c>
      <c r="AK47" s="1048" t="str">
        <f>Codes!$C$158</f>
        <v>AR - Alaska Railroad</v>
      </c>
      <c r="AL47" s="1049" t="str">
        <f>Valid!$B$79</f>
        <v>Below-Grade/Submerged Tube</v>
      </c>
      <c r="AM47" s="1119" t="str">
        <f>IF('A-80 DirEntInv'!AM46&lt;&gt;"",'A-80 DirEntInv'!AM46,IF(AK47=summaryref2!B20,summaryref2!D20,IF(Summary!AK47=summaryref2!B34,summaryref2!D34,IF(AK47=summaryref2!B48,summaryref2!D48,IF(AK47=summaryref2!B62,summaryref2!D62,IF(AK47=summaryref2!B76,summaryref2!D76,IF(AK47=summaryref2!B90,summaryref2!D90,IF(AK47=summaryref2!B104,summaryref2!D104,IF(AK47=summaryref2!B118,summaryref2!D118,IF(AK47=summaryref2!B132,summaryref2!D132,IF(AK47=summaryref2!B146,summaryref2!D146,"")))))))))))</f>
        <v/>
      </c>
      <c r="AN47" s="1120" t="str">
        <f ca="1">IF('A-80 DirEntInv'!AN46&lt;&gt;"",'A-80 DirEntInv'!AN46,IF(INDIRECT(ADDRESS(SumRef!CG39,SumRef!CG$16,,,SumRef!$C$7))="","",INDIRECT(ADDRESS(SumRef!CG39,SumRef!CG$16,,,SumRef!$C$7))))</f>
        <v>Linear Feet</v>
      </c>
      <c r="AO47" s="1119" t="str">
        <f>IF('A-80 DirEntInv'!AO46&lt;&gt;"",'A-80 DirEntInv'!AO46,IF(AK47=summaryref2!B20,summaryref2!F20,IF(Summary!AK47=summaryref2!B34,summaryref2!F34,IF(AK47=summaryref2!B48,summaryref2!F48,IF(AK47=summaryref2!B62,summaryref2!F62,IF(AK47=summaryref2!B76,summaryref2!F76,IF(AK47=summaryref2!B90,summaryref2!F90,IF(AK47=summaryref2!B104,summaryref2!F104,IF(AK47=summaryref2!B118,summaryref2!F118,IF(AK47=summaryref2!B132,summaryref2!F132,IF(AK47=summaryref2!B146,summaryref2!F146,"")))))))))))</f>
        <v/>
      </c>
      <c r="AP47" s="1120" t="str">
        <f ca="1">IF('A-80 DirEntInv'!AP46&lt;&gt;"",'A-80 DirEntInv'!AP46,IF(INDIRECT(ADDRESS(SumRef!#REF!,SumRef!#REF!,,,SumRef!$C$7))="","",INDIRECT(ADDRESS(SumRef!#REF!,SumRef!#REF!,,,SumRef!$C$7))))</f>
        <v>Track Feet</v>
      </c>
      <c r="AQ47" s="1148" t="str">
        <f>IF('A-80 DirEntInv'!AQ46&lt;&gt;"",'A-80 DirEntInv'!AQ46,IF(AK47=summaryref2!B20,summaryref2!G20,IF(Summary!AK47=summaryref2!B34,summaryref2!G34,IF(AK47=summaryref2!B48,summaryref2!G48,IF(AK47=summaryref2!B62,summaryref2!G62,IF(AK47=summaryref2!B76,summaryref2!G76,IF(AK47=summaryref2!B90,summaryref2!G90,IF(AK47=summaryref2!B104,summaryref2!G104,IF(AK47=summaryref2!B118,summaryref2!G118,IF(AK47=summaryref2!B132,summaryref2!G132,IF(AK47=summaryref2!B146,summaryref2!G146,"")))))))))))</f>
        <v/>
      </c>
      <c r="AR47" s="1148" t="str">
        <f>IF('A-80 DirEntInv'!AR46&lt;&gt;"",'A-80 DirEntInv'!AR46,IF(AK47=summaryref2!B20,summaryref2!H20,IF(Summary!AK47=summaryref2!B34,summaryref2!H34,IF(AK47=summaryref2!B48,summaryref2!H48,IF(AK47=summaryref2!B62,summaryref2!H62,IF(AK47=summaryref2!B76,summaryref2!H76,IF(AK47=summaryref2!B90,summaryref2!H90,IF(AK47=summaryref2!B104,summaryref2!H104,IF(AK47=summaryref2!B118,summaryref2!H118,IF(AK47=summaryref2!B132,summaryref2!H132,IF(AK47=summaryref2!B146,summaryref2!H146,"")))))))))))</f>
        <v/>
      </c>
      <c r="AS47" s="1121" t="str">
        <f>IF('A-80 DirEntInv'!AS46&lt;&gt;"",'A-80 DirEntInv'!AS46,IF(AK47=summaryref2!B20,summaryref2!I20,IF(Summary!AK47=summaryref2!B34,summaryref2!I34,IF(AK47=summaryref2!B48,summaryref2!I48,IF(AK47=summaryref2!B62,summaryref2!I62,IF(AK47=summaryref2!B76,summaryref2!I76,IF(AK47=summaryref2!B90,summaryref2!I90,IF(AK47=summaryref2!B104,summaryref2!I104,IF(AK47=summaryref2!B118,summaryref2!I118,IF(AK47=summaryref2!B132,summaryref2!I132,IF(AK47=summaryref2!B146,summaryref2!I146,"")))))))))))</f>
        <v/>
      </c>
      <c r="AT47" s="1121" t="str">
        <f>IF('A-80 DirEntInv'!AT46&lt;&gt;"",'A-80 DirEntInv'!AT46,IF(AK47=summaryref2!B20,summaryref2!J20,IF(Summary!AK47=summaryref2!B34,summaryref2!J34,IF(AK47=summaryref2!B48,summaryref2!J48,IF(AK47=summaryref2!B62,summaryref2!J62,IF(AK47=summaryref2!B76,summaryref2!J76,IF(AK47=summaryref2!B90,summaryref2!J90,IF(AK47=summaryref2!B104,summaryref2!J104,IF(AK47=summaryref2!B118,summaryref2!J118,IF(AK47=summaryref2!B132,summaryref2!J132,IF(AK47=summaryref2!B146,summaryref2!J146,"")))))))))))</f>
        <v/>
      </c>
      <c r="AU47" s="1121" t="str">
        <f>IF('A-80 DirEntInv'!AU46&lt;&gt;"",'A-80 DirEntInv'!AU46,IF(AK47=summaryref2!B20,summaryref2!K20,IF(Summary!AK47=summaryref2!B34,summaryref2!K34,IF(AK47=summaryref2!B48,summaryref2!K48,IF(AK47=summaryref2!B62,summaryref2!K62,IF(AK47=summaryref2!B76,summaryref2!K76,IF(AK47=summaryref2!B90,summaryref2!K90,IF(AK47=summaryref2!B104,summaryref2!K104,IF(AK47=summaryref2!B118,summaryref2!K118,IF(AK47=summaryref2!B132,summaryref2!K132,IF(AK47=summaryref2!B146,summaryref2!K146,"")))))))))))</f>
        <v/>
      </c>
      <c r="AV47" s="1121" t="str">
        <f>IF('A-80 DirEntInv'!AV46&lt;&gt;"",'A-80 DirEntInv'!AV46,IF(AK47=summaryref2!B20,summaryref2!L20,IF(Summary!AK47=summaryref2!B34,summaryref2!L34,IF(AK47=summaryref2!B48,summaryref2!L48,IF(AK47=summaryref2!B62,summaryref2!L62,IF(AK47=summaryref2!B76,summaryref2!L76,IF(AK47=summaryref2!B90,summaryref2!L90,IF(AK47=summaryref2!B104,summaryref2!L104,IF(AK47=summaryref2!B118,summaryref2!L118,IF(AK47=summaryref2!B132,summaryref2!L132,IF(AK47=summaryref2!B146,summaryref2!L146,"")))))))))))</f>
        <v/>
      </c>
      <c r="AW47" s="1121" t="str">
        <f>IF('A-80 DirEntInv'!AW46&lt;&gt;"",'A-80 DirEntInv'!AW46,IF(AK47=summaryref2!B20,summaryref2!M20,IF(Summary!AK47=summaryref2!B34,summaryref2!M34,IF(AK47=summaryref2!B48,summaryref2!M48,IF(AK47=summaryref2!B62,summaryref2!M62,IF(AK47=summaryref2!B76,summaryref2!M76,IF(AK47=summaryref2!B90,summaryref2!M90,IF(AK47=summaryref2!B104,summaryref2!M104,IF(AK47=summaryref2!B118,summaryref2!M118,IF(AK47=summaryref2!B132,summaryref2!M132,IF(AK47=summaryref2!B146,summaryref2!M146,"")))))))))))</f>
        <v/>
      </c>
      <c r="AX47" s="1121" t="str">
        <f>IF('A-80 DirEntInv'!AX46&lt;&gt;"",'A-80 DirEntInv'!AX46,IF(AK47=summaryref2!B20,summaryref2!N20,IF(Summary!AK47=summaryref2!B34,summaryref2!N34,IF(AK47=summaryref2!B48,summaryref2!N48,IF(AK47=summaryref2!B62,summaryref2!N62,IF(AK47=summaryref2!B76,summaryref2!N76,IF(AK47=summaryref2!B90,summaryref2!N90,IF(AK47=summaryref2!B104,summaryref2!N104,IF(AK47=summaryref2!B118,summaryref2!N118,IF(AK47=summaryref2!B132,summaryref2!N132,IF(AK47=summaryref2!B146,summaryref2!N146,"")))))))))))</f>
        <v/>
      </c>
      <c r="AY47" s="1121" t="str">
        <f>IF('A-80 DirEntInv'!AY46&lt;&gt;"",'A-80 DirEntInv'!AY46,IF(AK47=summaryref2!B20,summaryref2!O20,IF(Summary!AK47=summaryref2!B34,summaryref2!O34,IF(AK47=summaryref2!B48,summaryref2!O48,IF(AK47=summaryref2!B62,summaryref2!O62,IF(AK47=summaryref2!B76,summaryref2!O76,IF(AK47=summaryref2!B90,summaryref2!O90,IF(AK47=summaryref2!B104,summaryref2!O104,IF(AK47=summaryref2!B118,summaryref2!O118,IF(AK47=summaryref2!B132,summaryref2!O132,IF(AK47=summaryref2!B146,summaryref2!O146,"")))))))))))</f>
        <v/>
      </c>
      <c r="AZ47" s="1121" t="str">
        <f>IF('A-80 DirEntInv'!AZ46&lt;&gt;"",'A-80 DirEntInv'!AZ46,IF(AK47=summaryref2!B20,summaryref2!P20,IF(Summary!AK47=summaryref2!B34,summaryref2!P34,IF(AK47=summaryref2!B48,summaryref2!P48,IF(AK47=summaryref2!B62,summaryref2!P62,IF(AK47=summaryref2!B76,summaryref2!P76,IF(AK47=summaryref2!B90,summaryref2!P90,IF(AK47=summaryref2!B104,summaryref2!P104,IF(AK47=summaryref2!B118,summaryref2!P118,IF(AK47=summaryref2!B132,summaryref2!P132,IF(AK47=summaryref2!B146,summaryref2!P146,"")))))))))))</f>
        <v/>
      </c>
      <c r="BA47" s="1121" t="str">
        <f>IF('A-80 DirEntInv'!BA46&lt;&gt;"",'A-80 DirEntInv'!BA46,IF(AK47=summaryref2!B20,summaryref2!Q20,IF(Summary!AK47=summaryref2!B34,summaryref2!Q34,IF(AK47=summaryref2!B48,summaryref2!Q48,IF(AK47=summaryref2!B62,summaryref2!Q62,IF(AK47=summaryref2!B76,summaryref2!Q76,IF(AK47=summaryref2!B90,summaryref2!Q90,IF(AK47=summaryref2!B104,summaryref2!Q104,IF(AK47=summaryref2!B118,summaryref2!Q118,IF(AK47=summaryref2!B132,summaryref2!Q132,IF(AK47=summaryref2!B146,summaryref2!Q146,"")))))))))))</f>
        <v/>
      </c>
      <c r="BB47" s="1121" t="str">
        <f>IF('A-80 DirEntInv'!BB46&lt;&gt;"",'A-80 DirEntInv'!BB46,IF(AK47=summaryref2!B20,summaryref2!R20,IF(Summary!AK47=summaryref2!B34,summaryref2!R34,IF(AK47=summaryref2!B48,summaryref2!R48,IF(AK47=summaryref2!B62,summaryref2!R62,IF(AK47=summaryref2!B76,summaryref2!R76,IF(AK47=summaryref2!B90,summaryref2!R90,IF(AK47=summaryref2!B104,summaryref2!R104,IF(AK47=summaryref2!B118,summaryref2!R118,IF(AK47=summaryref2!B132,summaryref2!R132,IF(AK47=summaryref2!B146,summaryref2!R146,"")))))))))))</f>
        <v/>
      </c>
      <c r="BC47" s="1121" t="str">
        <f>IF('A-80 DirEntInv'!BC46&lt;&gt;0,'A-80 DirEntInv'!BC46,IF(AK47=summaryref2!B20,summaryref2!S20,IF(Summary!AK47=summaryref2!B34,summaryref2!S34,IF(AK47=summaryref2!B48,summaryref2!S48,IF(AK47=summaryref2!B62,summaryref2!S62,IF(AK47=summaryref2!B76,summaryref2!S76,IF(AK47=summaryref2!B90,summaryref2!S90,IF(AK47=summaryref2!B104,summaryref2!S104,IF(AK47=summaryref2!B118,summaryref2!S118,IF(AK47=summaryref2!B132,summaryref2!S132,IF(AK47=summaryref2!B146,summaryref2!S146,"")))))))))))</f>
        <v/>
      </c>
      <c r="BD47" s="1122" t="str">
        <f>IF('A-80 DirEntInv'!BD46&lt;&gt;"",'A-80 DirEntInv'!BD46,IF(AK47=summaryref2!B20,summaryref2!T20,IF(Summary!AK47=summaryref2!B34,summaryref2!T34,IF(AK47=summaryref2!B48,summaryref2!T48,IF(AK47=summaryref2!B62,summaryref2!T62,IF(AK47=summaryref2!B76,summaryref2!T76,IF(AK47=summaryref2!B90,summaryref2!T90,IF(AK47=summaryref2!B104,summaryref2!T104,IF(AK47=summaryref2!B118,summaryref2!T118,IF(AK47=summaryref2!B132,summaryref2!T132,IF(AK47=summaryref2!B146,summaryref2!T146,"")))))))))))</f>
        <v/>
      </c>
      <c r="BE47" s="1190" t="str">
        <f>IF('A-80 DirEntInv'!BE46&lt;&gt;"",'A-80 DirEntInv'!BE46,IF(AK47=summaryref2!B20,summaryref2!U20,IF(Summary!AK47=summaryref2!B34,summaryref2!U34,IF(AK47=summaryref2!B48,summaryref2!U48,IF(AK47=summaryref2!B62,summaryref2!U62,IF(AK47=summaryref2!B76,summaryref2!U76,IF(AK47=summaryref2!B90,summaryref2!U90,IF(AK47=summaryref2!B104,summaryref2!U104,IF(AK47=summaryref2!B118,summaryref2!U118,IF(AK47=summaryref2!B132,summaryref2!U132,IF(AK47=summaryref2!B146,summaryref2!U146,"")))))))))))</f>
        <v/>
      </c>
      <c r="BF47" s="1432"/>
      <c r="BG47" s="1432"/>
      <c r="BJ47" s="1048" t="str">
        <f>Codes!$C$161</f>
        <v>CR - Commuter Rail (DO)</v>
      </c>
      <c r="BK47" s="1049" t="str">
        <f>Valid!$B$81</f>
        <v>Curve</v>
      </c>
      <c r="BL47" s="1367" t="str">
        <f>IF('A-80 DirEntInv'!BL46&lt;&gt;"",'A-80 DirEntInv'!BL46,IF(BJ47=summaryref2!X13,summaryref2!Z13,IF(BJ47=summaryref2!X20,summaryref2!Z20,IF(BJ47=summaryref2!X27,summaryref2!Z27,IF(BJ47=summaryref2!X34,summaryref2!Z34,IF(BJ47=summaryref2!X41,summaryref2!Z41,IF(BJ47=summaryref2!X48,summaryref2!Z48,IF(BJ47=summaryref2!X55,summaryref2!Z55,IF(BJ47=summaryref2!X62,summaryref2!Z62,IF(BJ47=summaryref2!X69,summaryref2!Z69,IF(BJ47=summaryref2!X76,summaryref2!Z76,"")))))))))))</f>
        <v/>
      </c>
      <c r="BM47" s="1049" t="str">
        <f>VLOOKUP(BK47,Valid!$B$80:$C$86,2,FALSE)</f>
        <v>Track Feet</v>
      </c>
      <c r="BN47" s="1324" t="str">
        <f>IF('A-80 DirEntInv'!BN46&lt;&gt;"",'A-80 DirEntInv'!BN46,IF(BJ47=summaryref2!X13,summaryref2!AB13,IF(BJ47=summaryref2!X20,summaryref2!AB20,IF(BJ47=summaryref2!X27,summaryref2!AB27,IF(BJ47=summaryref2!X34,summaryref2!AB34,IF(BJ47=summaryref2!X41,summaryref2!AB41,IF(BJ47=summaryref2!X48,summaryref2!AB48,IF(BJ47=summaryref2!X55,summaryref2!AB55,IF(BJ47=summaryref2!X62,summaryref2!AB62,IF(BJ47=summaryref2!X69,summaryref2!AB69,IF(BJ47=summaryref2!X76,summaryref2!AB76,"")))))))))))</f>
        <v/>
      </c>
      <c r="BO47" s="1326" t="str">
        <f>IF('A-80 DirEntInv'!BO46&lt;&gt;"",'A-80 DirEntInv'!BO46,IF(BJ47=summaryref2!X13,summaryref2!AC13,IF(BJ47=summaryref2!X20,summaryref2!AC20,IF(BJ47=summaryref2!X27,summaryref2!AC27,IF(BJ47=summaryref2!X34,summaryref2!AC34,IF(BJ47=summaryref2!X41,summaryref2!AC41,IF(BJ47=summaryref2!X48,summaryref2!AC48,IF(BJ47=summaryref2!X55,summaryref2!AC55,IF(BJ47=summaryref2!X62,summaryref2!AC62,IF(BJ47=summaryref2!X69,summaryref2!AC69,IF(BJ47=summaryref2!X76,summaryref2!AC76,"")))))))))))</f>
        <v/>
      </c>
      <c r="BP47" s="1323" t="str">
        <f>IF('A-80 DirEntInv'!BP46&lt;&gt;"",'A-80 DirEntInv'!BP46,IF(BJ47=summaryref2!X13,summaryref2!AD13,IF(BJ47=summaryref2!X20,summaryref2!AD20,IF(BJ47=summaryref2!X27,summaryref2!AD27,IF(BJ47=summaryref2!X34,summaryref2!AD34,IF(BJ47=summaryref2!X41,summaryref2!AD41,IF(BJ47=summaryref2!X48,summaryref2!AD48,IF(BJ47=summaryref2!X55,summaryref2!AD55,IF(BJ47=summaryref2!X62,summaryref2!AD62,IF(BJ47=summaryref2!X69,summaryref2!AD69,IF(BJ47=summaryref2!X76,summaryref2!AD76,"")))))))))))</f>
        <v/>
      </c>
      <c r="BS47" s="1472" t="str">
        <f ca="1">IF('A-80 DirEntInv'!BU46&lt;&gt;"",'A-80 DirEntInv'!BU46,IF(INDIRECT(ADDRESS(SumRef!DK53,SumRef!DK$16,,,SumRef!$E$6))="","",INDIRECT(ADDRESS(SumRef!DK53,SumRef!DK$16,,,SumRef!$E$6))))</f>
        <v/>
      </c>
      <c r="BT47" s="1458" t="str">
        <f ca="1">IF('A-80 DirEntInv'!BV46&lt;&gt;"",'A-80 DirEntInv'!BV46,IF(INDIRECT(ADDRESS(SumRef!DL53,SumRef!DL$16,,,SumRef!$E$6))="","",INDIRECT(ADDRESS(SumRef!DL53,SumRef!DL$16,,,SumRef!$E$6))))</f>
        <v/>
      </c>
      <c r="BU47" s="1177" t="str">
        <f ca="1">IF('A-80 DirEntInv'!BW46&lt;&gt;"",'A-80 DirEntInv'!BW46,IF(INDIRECT(ADDRESS(SumRef!DM53,SumRef!DM$16,,,SumRef!$E$6))="","",INDIRECT(ADDRESS(SumRef!DM53,SumRef!DM$16,,,SumRef!$E$6))))</f>
        <v/>
      </c>
      <c r="BV47" s="1460" t="str">
        <f ca="1">IF('A-80 DirEntInv'!BX46&lt;&gt;"",'A-80 DirEntInv'!BX46,IF(INDIRECT(ADDRESS(SumRef!DN53,SumRef!DN$16,,,SumRef!$E$6))="","",INDIRECT(ADDRESS(SumRef!DN53,SumRef!DN$16,,,SumRef!$E$6))))</f>
        <v/>
      </c>
      <c r="BW47" s="1460" t="str">
        <f ca="1">IF('A-80 DirEntInv'!BY46&lt;&gt;"",'A-80 DirEntInv'!BY46,IF(INDIRECT(ADDRESS(SumRef!DO53,SumRef!DO$16,,,SumRef!$E$6))="","",INDIRECT(ADDRESS(SumRef!DO53,SumRef!DO$16,,,SumRef!$E$6))))</f>
        <v/>
      </c>
      <c r="BX47" s="1116" t="str">
        <f ca="1">IF('A-80 DirEntInv'!BZ46&lt;&gt;"",'A-80 DirEntInv'!BZ46,IF(INDIRECT(ADDRESS(SumRef!DP53,SumRef!DP$16,,,SumRef!$E$6))="","",INDIRECT(ADDRESS(SumRef!DP53,SumRef!DP$16,,,SumRef!$E$6))))</f>
        <v/>
      </c>
      <c r="BY47" s="1461" t="str">
        <f ca="1">IF('A-80 DirEntInv'!CA46&lt;&gt;"",'A-80 DirEntInv'!CA46,IF(INDIRECT(ADDRESS(SumRef!DQ53,SumRef!DQ$16,,,SumRef!$E$6))="","",INDIRECT(ADDRESS(SumRef!DQ53,SumRef!DQ$16,,,SumRef!$E$6))))</f>
        <v/>
      </c>
      <c r="BZ47" s="1460" t="str">
        <f ca="1">IF('A-80 DirEntInv'!CB46&lt;&gt;"",'A-80 DirEntInv'!CB46,IF(INDIRECT(ADDRESS(SumRef!DR53,SumRef!DR$16,,,SumRef!$E$6))="","",INDIRECT(ADDRESS(SumRef!DR53,SumRef!DR$16,,,SumRef!$E$6))))</f>
        <v/>
      </c>
      <c r="CA47" s="1462" t="str">
        <f ca="1">IF('A-80 DirEntInv'!CC46&lt;&gt;"",'A-80 DirEntInv'!CC46,IF(INDIRECT(ADDRESS(SumRef!DS53,SumRef!DS$16,,,SumRef!$E$6))="","",INDIRECT(ADDRESS(SumRef!DS53,SumRef!DS$16,,,SumRef!$E$6))))</f>
        <v/>
      </c>
      <c r="CD47" s="1160" t="str">
        <f ca="1">IF('A-80 DirEntInv'!CF46&lt;&gt;"",'A-80 DirEntInv'!CF46,IF(INDIRECT(ADDRESS(SumRef!DV53,SumRef!DV$16,,,SumRef!$E$7))="","",INDIRECT(ADDRESS(SumRef!DV53,SumRef!DV$16,,,SumRef!$E$7))))</f>
        <v/>
      </c>
      <c r="CE47" s="1167" t="str">
        <f ca="1">IF('A-80 DirEntInv'!CG46&lt;&gt;"",'A-80 DirEntInv'!CG46,IF(INDIRECT(ADDRESS(SumRef!DW53,SumRef!DW$16,,,SumRef!$E$7))="","",INDIRECT(ADDRESS(SumRef!DW53,SumRef!DW$16,,,SumRef!$E$7))))</f>
        <v/>
      </c>
      <c r="CF47" s="1167" t="str">
        <f ca="1">IF('A-80 DirEntInv'!CH46&lt;&gt;"",'A-80 DirEntInv'!CH46,IF(INDIRECT(ADDRESS(SumRef!DX53,SumRef!DX$16,,,SumRef!$E$7))="","",INDIRECT(ADDRESS(SumRef!DX53,SumRef!DX$16,,,SumRef!$E$7))))</f>
        <v/>
      </c>
      <c r="CG47" s="1167" t="str">
        <f ca="1">IF('A-80 DirEntInv'!CI46&lt;&gt;"",'A-80 DirEntInv'!CI46,IF(INDIRECT(ADDRESS(SumRef!DY53,SumRef!DY$16,,,SumRef!$E$7))="","",INDIRECT(ADDRESS(SumRef!DY53,SumRef!DY$16,,,SumRef!$E$7))))</f>
        <v/>
      </c>
      <c r="CH47" s="1167" t="str">
        <f ca="1">IF('A-80 DirEntInv'!CJ46&lt;&gt;"",'A-80 DirEntInv'!CJ46,IF(INDIRECT(ADDRESS(SumRef!DZ53,SumRef!DZ$16,,,SumRef!$E$7))="","",INDIRECT(ADDRESS(SumRef!DZ53,SumRef!DZ$16,,,SumRef!$E$7))))</f>
        <v/>
      </c>
      <c r="CI47" s="1167" t="str">
        <f ca="1">IF('A-80 DirEntInv'!CK46&lt;&gt;"",'A-80 DirEntInv'!CK46,IF(INDIRECT(ADDRESS(SumRef!EA53,SumRef!EA$16,,,SumRef!$E$7))="","",INDIRECT(ADDRESS(SumRef!EA53,SumRef!EA$16,,,SumRef!$E$7))))</f>
        <v/>
      </c>
      <c r="CJ47" s="1114" t="str">
        <f ca="1">IF('A-80 DirEntInv'!CL46&lt;&gt;"",'A-80 DirEntInv'!CL46,IF(INDIRECT(ADDRESS(SumRef!EB53,SumRef!EB$16,,,SumRef!$E$7))="","",INDIRECT(ADDRESS(SumRef!EB53,SumRef!EB$16,,,SumRef!$E$7))))</f>
        <v/>
      </c>
      <c r="CK47" s="1114" t="str">
        <f ca="1">IF('A-80 DirEntInv'!CM46&lt;&gt;"",'A-80 DirEntInv'!CM46,IF(INDIRECT(ADDRESS(SumRef!EC53,SumRef!EC$16,,,SumRef!$E$7))="","",INDIRECT(ADDRESS(SumRef!EC53,SumRef!EC$16,,,SumRef!$E$7))))</f>
        <v/>
      </c>
      <c r="CL47" s="1113" t="str">
        <f ca="1">IF('A-80 DirEntInv'!CO46&lt;&gt;"",'A-80 DirEntInv'!CO46,IF(INDIRECT(ADDRESS(SumRef!ED53,SumRef!ED$16,,,SumRef!$E$7))="","",INDIRECT(ADDRESS(SumRef!ED53,SumRef!ED$16,,,SumRef!$E$7))))</f>
        <v/>
      </c>
      <c r="CM47" s="1114" t="str">
        <f ca="1">IF('A-80 DirEntInv'!CP46&lt;&gt;"",'A-80 DirEntInv'!CP46,IF(INDIRECT(ADDRESS(SumRef!EE53,SumRef!EE$16,,,SumRef!$E$7))="","",INDIRECT(ADDRESS(SumRef!EE53,SumRef!EE$16,,,SumRef!$E$7))))</f>
        <v/>
      </c>
      <c r="CN47" s="1114" t="str">
        <f ca="1">IF('A-80 DirEntInv'!CQ46&lt;&gt;"",'A-80 DirEntInv'!CQ46,IF(INDIRECT(ADDRESS(SumRef!EF53,SumRef!EF$16,,,SumRef!$E$7))="","",INDIRECT(ADDRESS(SumRef!EF53,SumRef!EF$16,,,SumRef!$E$7))))</f>
        <v/>
      </c>
      <c r="CO47" s="1113" t="str">
        <f ca="1">IF('A-80 DirEntInv'!CR46&lt;&gt;"",'A-80 DirEntInv'!CR46,IF(INDIRECT(ADDRESS(SumRef!EG53,SumRef!EG$16,,,SumRef!$E$7))="","",INDIRECT(ADDRESS(SumRef!EG53,SumRef!EG$16,,,SumRef!$E$7))))</f>
        <v/>
      </c>
      <c r="CP47" s="1114" t="str">
        <f ca="1">IF('A-80 DirEntInv'!CS46&lt;&gt;"",'A-80 DirEntInv'!CS46,IF(INDIRECT(ADDRESS(SumRef!EH53,SumRef!EH$16,,,SumRef!$E$7))="","",INDIRECT(ADDRESS(SumRef!EH53,SumRef!EH$16,,,SumRef!$E$7))))</f>
        <v/>
      </c>
      <c r="CQ47" s="1346" t="str">
        <f ca="1">IF('A-80 DirEntInv'!CT46&lt;&gt;"",'A-80 DirEntInv'!CT46,IF(INDIRECT(ADDRESS(SumRef!EI53,SumRef!EI$16,,,SumRef!$E$7))="","",INDIRECT(ADDRESS(SumRef!EI53,SumRef!EI$16,,,SumRef!$E$7))))</f>
        <v/>
      </c>
      <c r="CR47" s="1113" t="str">
        <f ca="1">IF('A-80 DirEntInv'!CU46&lt;&gt;"",'A-80 DirEntInv'!CU46,IF(INDIRECT(ADDRESS(SumRef!EJ53,SumRef!EJ$16,,,SumRef!$E$7))="","",INDIRECT(ADDRESS(SumRef!EJ53,SumRef!EJ$16,,,SumRef!$E$7))))</f>
        <v/>
      </c>
      <c r="CS47" s="1346" t="str">
        <f ca="1">IF('A-80 DirEntInv'!CV46&lt;&gt;"",'A-80 DirEntInv'!CV46,IF(INDIRECT(ADDRESS(SumRef!EM53,SumRef!EM$16,,,SumRef!$E$7))="","",INDIRECT(ADDRESS(SumRef!EM53,SumRef!EM$16,,,SumRef!$E$7))))</f>
        <v/>
      </c>
      <c r="CT47" s="1113" t="str">
        <f ca="1">IF('A-80 DirEntInv'!CW46&lt;&gt;"",'A-80 DirEntInv'!CW46,IF(INDIRECT(ADDRESS(SumRef!EN53,SumRef!EN$16,,,SumRef!$E$7))="","",INDIRECT(ADDRESS(SumRef!EN53,SumRef!EN$16,,,SumRef!$E$7))))</f>
        <v/>
      </c>
      <c r="CU47" s="1113" t="str">
        <f ca="1">IF('A-80 DirEntInv'!CX46&lt;&gt;"",'A-80 DirEntInv'!CX46,IF(INDIRECT(ADDRESS(SumRef!EO53,SumRef!EO$16,,,SumRef!$E$7))="","",INDIRECT(ADDRESS(SumRef!EO53,SumRef!EO$16,,,SumRef!$E$7))))</f>
        <v/>
      </c>
      <c r="CV47" s="1113" t="str">
        <f ca="1">IF('A-80 DirEntInv'!CY46&lt;&gt;"",'A-80 DirEntInv'!CY46,IF(INDIRECT(ADDRESS(SumRef!EP53,SumRef!EP$16,,,SumRef!$E$7))="","",INDIRECT(ADDRESS(SumRef!EP53,SumRef!EP$16,,,SumRef!$E$7))))</f>
        <v/>
      </c>
      <c r="CW47" s="1114" t="str">
        <f ca="1">IF('A-80 DirEntInv'!CZ46&lt;&gt;"",'A-80 DirEntInv'!CZ46,IF(INDIRECT(ADDRESS(SumRef!ES53,SumRef!ES$16,,,SumRef!$E$7))="","",INDIRECT(ADDRESS(SumRef!ES53,SumRef!ES$16,,,SumRef!$E$7))))</f>
        <v/>
      </c>
      <c r="CX47" s="1167" t="str">
        <f ca="1">IF('A-80 DirEntInv'!DA46&lt;&gt;"",'A-80 DirEntInv'!DA46,IF(INDIRECT(ADDRESS(SumRef!ET53,SumRef!ET$16,,,SumRef!$E$7))="","",INDIRECT(ADDRESS(SumRef!ET53,SumRef!ET$16,,,SumRef!$E$7))))</f>
        <v/>
      </c>
      <c r="CY47" s="1167" t="str">
        <f ca="1">IF('A-80 DirEntInv'!DB46&lt;&gt;"",'A-80 DirEntInv'!DB46,IF(INDIRECT(ADDRESS(SumRef!EU53,SumRef!EU$16,,,SumRef!$E$7))="","",INDIRECT(ADDRESS(SumRef!EU53,SumRef!EU$16,,,SumRef!$E$7))))</f>
        <v/>
      </c>
      <c r="CZ47" s="1167" t="b">
        <f ca="1">IF('A-80 DirEntInv'!DC46&lt;&gt;"",'A-80 DirEntInv'!DC46,IF(INDIRECT(ADDRESS(SumRef!EV53,SumRef!EV$16,,,SumRef!$E$7))="","",INDIRECT(ADDRESS(SumRef!EV53,SumRef!EV$16,,,SumRef!$E$7))))</f>
        <v>0</v>
      </c>
      <c r="DA47" s="1373" t="str">
        <f ca="1">IF('A-80 DirEntInv'!DD46&lt;&gt;"",'A-80 DirEntInv'!DD46,IF(INDIRECT(ADDRESS(SumRef!EW53,SumRef!EW$16,,,SumRef!$E$7))="","",INDIRECT(ADDRESS(SumRef!EW53,SumRef!EW$16,,,SumRef!$E$7))))</f>
        <v/>
      </c>
      <c r="DB47" s="1373" t="b">
        <f ca="1">IF('A-80 DirEntInv'!DE46&lt;&gt;"",'A-80 DirEntInv'!DE46,IF(INDIRECT(ADDRESS(SumRef!EX53,SumRef!EX$16,,,SumRef!$E$7))="","",INDIRECT(ADDRESS(SumRef!EX53,SumRef!EX$16,,,SumRef!$E$7))))</f>
        <v>0</v>
      </c>
      <c r="DC47" s="1114" t="b">
        <f ca="1">IF('A-80 DirEntInv'!DF46&lt;&gt;"",'A-80 DirEntInv'!DF46,IF(INDIRECT(ADDRESS(SumRef!EY53,SumRef!EY$16,,,SumRef!$E$7))="","",INDIRECT(ADDRESS(SumRef!EY53,SumRef!EY$16,,,SumRef!$E$7))))</f>
        <v>0</v>
      </c>
      <c r="DD47" s="1115" t="str">
        <f ca="1">IF('A-80 DirEntInv'!DG46&lt;&gt;"",'A-80 DirEntInv'!DG46,IF(INDIRECT(ADDRESS(SumRef!EZ53,SumRef!EZ$16,,,SumRef!$E$7))="","",INDIRECT(ADDRESS(SumRef!EZ53,SumRef!EZ$16,,,SumRef!$E$7))))</f>
        <v/>
      </c>
    </row>
    <row r="48" spans="1:108" s="588" customFormat="1" ht="13.5" thickTop="1" x14ac:dyDescent="0.2">
      <c r="A48" s="589">
        <f t="shared" si="0"/>
        <v>38</v>
      </c>
      <c r="B48" s="1155" t="str">
        <f ca="1">IF('A-80 DirEntInv'!B47&lt;&gt;"",'A-80 DirEntInv'!B47,IF(INDIRECT(ADDRESS(SumRef!AQ54,SumRef!AQ$16,,,SumRef!$B$7))="","",INDIRECT(ADDRESS(SumRef!AQ54,SumRef!AQ$16,,,SumRef!$B$7))))</f>
        <v/>
      </c>
      <c r="C48" s="1097" t="str">
        <f ca="1">IF('A-80 DirEntInv'!C47&lt;&gt;"",'A-80 DirEntInv'!C47,IF(INDIRECT(ADDRESS(SumRef!AR54,SumRef!AR$16,,,SumRef!$B$7))="","",INDIRECT(ADDRESS(SumRef!AR54,SumRef!AR$16,,,SumRef!$B$7))))</f>
        <v/>
      </c>
      <c r="D48" s="1097" t="str">
        <f ca="1">IF('A-80 DirEntInv'!D47&lt;&gt;"",'A-80 DirEntInv'!D47,IF(INDIRECT(ADDRESS(SumRef!AS54,SumRef!AS$16,,,SumRef!$B$7))="","",INDIRECT(ADDRESS(SumRef!AS54,SumRef!AS$16,,,SumRef!$B$7))))</f>
        <v/>
      </c>
      <c r="E48" s="1097" t="str">
        <f ca="1">IF('A-80 DirEntInv'!E47&lt;&gt;"",'A-80 DirEntInv'!E47,IF(INDIRECT(ADDRESS(SumRef!AT54,SumRef!AT$16,,,SumRef!$B$7))="","",INDIRECT(ADDRESS(SumRef!AT54,SumRef!AT$16,,,SumRef!$B$7))))</f>
        <v/>
      </c>
      <c r="F48" s="1097" t="str">
        <f ca="1">IF('A-80 DirEntInv'!F47&lt;&gt;"",'A-80 DirEntInv'!F47,IF(INDIRECT(ADDRESS(SumRef!AU54,SumRef!AU$16,,,SumRef!$B$7))="","",INDIRECT(ADDRESS(SumRef!AU54,SumRef!AU$16,,,SumRef!$B$7))))</f>
        <v/>
      </c>
      <c r="G48" s="1158" t="str">
        <f ca="1">IF('A-80 DirEntInv'!G47&lt;&gt;"",'A-80 DirEntInv'!G47,IF(INDIRECT(ADDRESS(SumRef!AV54,SumRef!AV$16,,,SumRef!$B$7))="","",INDIRECT(ADDRESS(SumRef!AV54,SumRef!AV$16,,,SumRef!$B$7))))</f>
        <v/>
      </c>
      <c r="H48" s="1097" t="str">
        <f ca="1">IF('A-80 DirEntInv'!H47&lt;&gt;"",'A-80 DirEntInv'!H47,IF(INDIRECT(ADDRESS(SumRef!AW54,SumRef!AW$16,,,SumRef!$B$7))="","",INDIRECT(ADDRESS(SumRef!AW54,SumRef!AW$16,,,SumRef!$B$7))))</f>
        <v/>
      </c>
      <c r="I48" s="1097" t="str">
        <f ca="1">IF('A-80 DirEntInv'!I47&lt;&gt;"",'A-80 DirEntInv'!I47,IF(INDIRECT(ADDRESS(SumRef!AX54,SumRef!AX$16,,,SumRef!$B$7))="","",INDIRECT(ADDRESS(SumRef!AX54,SumRef!AX$16,,,SumRef!$B$7))))</f>
        <v/>
      </c>
      <c r="J48" s="1098" t="str">
        <f ca="1">IF('A-80 DirEntInv'!J47&lt;&gt;"",'A-80 DirEntInv'!J47,IF(INDIRECT(ADDRESS(SumRef!AY54,SumRef!AY$16,,,SumRef!$B$7))="","",INDIRECT(ADDRESS(SumRef!AY54,SumRef!AY$16,,,SumRef!$B$7))))</f>
        <v/>
      </c>
      <c r="K48" s="1099" t="str">
        <f ca="1">IF('A-80 DirEntInv'!K47&lt;&gt;"",'A-80 DirEntInv'!K47,IF(INDIRECT(ADDRESS(SumRef!AZ54,SumRef!AZ$16,,,SumRef!$B$7))="","",INDIRECT(ADDRESS(SumRef!AZ54,SumRef!AZ$16,,,SumRef!$B$7))))</f>
        <v/>
      </c>
      <c r="L48" s="1100" t="str">
        <f ca="1">IF('A-80 DirEntInv'!L47&lt;&gt;"",'A-80 DirEntInv'!L47,IF(INDIRECT(ADDRESS(SumRef!BA54,SumRef!BA$16,,,SumRef!$B$7))="","",INDIRECT(ADDRESS(SumRef!BA54,SumRef!BA$16,,,SumRef!$B$7))))</f>
        <v/>
      </c>
      <c r="M48" s="1101" t="str">
        <f ca="1">IF('A-80 DirEntInv'!M47&lt;&gt;"",'A-80 DirEntInv'!M47,IF(INDIRECT(ADDRESS(SumRef!BB54,SumRef!BB$16,,,SumRef!$B$7))="","",INDIRECT(ADDRESS(SumRef!BB54,SumRef!BB$16,,,SumRef!$B$7))))</f>
        <v/>
      </c>
      <c r="N48" s="1098" t="str">
        <f ca="1">IF('A-80 DirEntInv'!N47&lt;&gt;"",'A-80 DirEntInv'!N47,IF(INDIRECT(ADDRESS(SumRef!BC54,SumRef!BC$16,,,SumRef!$B$7))="","",INDIRECT(ADDRESS(SumRef!BC54,SumRef!BC$16,,,SumRef!$B$7))))</f>
        <v/>
      </c>
      <c r="O48" s="1102" t="str">
        <f ca="1">IF('A-80 DirEntInv'!O47&lt;&gt;"",'A-80 DirEntInv'!O47,IF(INDIRECT(ADDRESS(SumRef!BD54,SumRef!BD$16,,,SumRef!$B$7))="","",INDIRECT(ADDRESS(SumRef!BD54,SumRef!BD$16,,,SumRef!$B$7))))</f>
        <v/>
      </c>
      <c r="Q48" s="589"/>
      <c r="R48" s="1103" t="str">
        <f ca="1">IF('A-80 DirEntInv'!R47&lt;&gt;"",'A-80 DirEntInv'!R47,IF(INDIRECT(ADDRESS(SumRef!BH54,SumRef!BH$16,,,SumRef!$B$8))="","",INDIRECT(ADDRESS(SumRef!BH54,SumRef!BH$16,,,SumRef!$B$8))))</f>
        <v/>
      </c>
      <c r="S48" s="1104" t="str">
        <f ca="1">IF('A-80 DirEntInv'!S47&lt;&gt;"",'A-80 DirEntInv'!S47,IF(INDIRECT(ADDRESS(SumRef!BI54,SumRef!BI$16,,,SumRef!$B$8))="","",INDIRECT(ADDRESS(SumRef!BI54,SumRef!BI$16,,,SumRef!$B$8))))</f>
        <v/>
      </c>
      <c r="T48" s="1104" t="str">
        <f ca="1">IF('A-80 DirEntInv'!T47&lt;&gt;"",'A-80 DirEntInv'!T47,IF(INDIRECT(ADDRESS(SumRef!BJ54,SumRef!BJ$16,,,SumRef!$B$8))="","",INDIRECT(ADDRESS(SumRef!BJ54,SumRef!BJ$16,,,SumRef!$B$8))))</f>
        <v/>
      </c>
      <c r="U48" s="1104" t="str">
        <f ca="1">IF('A-80 DirEntInv'!U47&lt;&gt;"",'A-80 DirEntInv'!U47,IF(INDIRECT(ADDRESS(SumRef!BK54,SumRef!BK$16,,,SumRef!$B$8))="","",INDIRECT(ADDRESS(SumRef!BK54,SumRef!BK$16,,,SumRef!$B$8))))</f>
        <v/>
      </c>
      <c r="V48" s="1104" t="str">
        <f ca="1">IF('A-80 DirEntInv'!V47&lt;&gt;"",'A-80 DirEntInv'!V47,IF(INDIRECT(ADDRESS(SumRef!BL54,SumRef!BL$16,,,SumRef!$B$8))="","",INDIRECT(ADDRESS(SumRef!BL54,SumRef!BL$16,,,SumRef!$B$8))))</f>
        <v/>
      </c>
      <c r="W48" s="1354" t="str">
        <f ca="1">IF('A-80 DirEntInv'!W47&lt;&gt;"",'A-80 DirEntInv'!W47,IF(INDIRECT(ADDRESS(SumRef!BM54,SumRef!BM$16,,,SumRef!$B$8))="","",INDIRECT(ADDRESS(SumRef!BM54,SumRef!BM$16,,,SumRef!$B$8))))</f>
        <v/>
      </c>
      <c r="X48" s="1203" t="str">
        <f ca="1">IF('A-80 DirEntInv'!X47&lt;&gt;"",'A-80 DirEntInv'!X47,IF(INDIRECT(ADDRESS(SumRef!BN54,SumRef!BN$16,,,SumRef!$B$8))="","",INDIRECT(ADDRESS(SumRef!BN54,SumRef!BN$16,,,SumRef!$B$8))))</f>
        <v/>
      </c>
      <c r="Y48" s="1203" t="str">
        <f ca="1">IF('A-80 DirEntInv'!Y47&lt;&gt;"",'A-80 DirEntInv'!Y47,IF(INDIRECT(ADDRESS(SumRef!BO54,SumRef!BO$16,,,SumRef!$B$8))="","",INDIRECT(ADDRESS(SumRef!BO54,SumRef!BO$16,,,SumRef!$B$8))))</f>
        <v/>
      </c>
      <c r="Z48" s="1104" t="str">
        <f ca="1">IF('A-80 DirEntInv'!Z47&lt;&gt;"",'A-80 DirEntInv'!Z47,IF(INDIRECT(ADDRESS(SumRef!BP54,SumRef!BP$16,,,SumRef!$B$8))="","",INDIRECT(ADDRESS(SumRef!BP54,SumRef!BP$16,,,SumRef!$B$8))))</f>
        <v/>
      </c>
      <c r="AA48" s="1104" t="str">
        <f ca="1">IF('A-80 DirEntInv'!AA47&lt;&gt;"",'A-80 DirEntInv'!AA47,IF(INDIRECT(ADDRESS(SumRef!BQ54,SumRef!BQ$16,,,SumRef!$B$8))="","",INDIRECT(ADDRESS(SumRef!BQ54,SumRef!BQ$16,,,SumRef!$B$8))))</f>
        <v/>
      </c>
      <c r="AB48" s="1106" t="str">
        <f ca="1">IF('A-80 DirEntInv'!AB47&lt;&gt;"",'A-80 DirEntInv'!AB47,IF(INDIRECT(ADDRESS(SumRef!BR54,SumRef!BR$16,,,SumRef!$B$8))="","",INDIRECT(ADDRESS(SumRef!BR54,SumRef!BR$16,,,SumRef!$B$8))))</f>
        <v/>
      </c>
      <c r="AC48" s="1107" t="str">
        <f ca="1">IF('A-80 DirEntInv'!AC47&lt;&gt;"",'A-80 DirEntInv'!AC47,IF(INDIRECT(ADDRESS(SumRef!BS54,SumRef!BS$16,,,SumRef!$B$8))="","",INDIRECT(ADDRESS(SumRef!BS54,SumRef!BS$16,,,SumRef!$B$8))))</f>
        <v/>
      </c>
      <c r="AD48" s="1349" t="str">
        <f ca="1">IF('A-80 DirEntInv'!AD47&lt;&gt;"",'A-80 DirEntInv'!AD47,IF(INDIRECT(ADDRESS(SumRef!BT54,SumRef!BT$16,,,SumRef!$B$8))="","",INDIRECT(ADDRESS(SumRef!BT54,SumRef!BT$16,,,SumRef!$B$8))))</f>
        <v/>
      </c>
      <c r="AE48" s="1137" t="str">
        <f ca="1">IF('A-80 DirEntInv'!AE47&lt;&gt;"",'A-80 DirEntInv'!AE47,IF(INDIRECT(ADDRESS(SumRef!BU54,SumRef!BU$16,,,SumRef!$B$8))="","",INDIRECT(ADDRESS(SumRef!BU54,SumRef!BU$16,,,SumRef!$B$8))))</f>
        <v/>
      </c>
      <c r="AF48" s="1346" t="str">
        <f ca="1">IF('A-80 DirEntInv'!AF47&lt;&gt;"",'A-80 DirEntInv'!AF47,IF(INDIRECT(ADDRESS(SumRef!BV54,SumRef!BV$16,,,SumRef!$B$8))="","",INDIRECT(ADDRESS(SumRef!BV54,SumRef!BV$16,,,SumRef!$B$8))))</f>
        <v/>
      </c>
      <c r="AG48" s="1105" t="str">
        <f ca="1">IF('A-80 DirEntInv'!AG47&lt;&gt;"",'A-80 DirEntInv'!AG47,IF(INDIRECT(ADDRESS(SumRef!BW54,SumRef!BW$16,,,SumRef!$B$8))="","",INDIRECT(ADDRESS(SumRef!BW54,SumRef!BW$16,,,SumRef!$B$8))))</f>
        <v/>
      </c>
      <c r="AH48" s="1357" t="str">
        <f ca="1">IF('A-80 DirEntInv'!AH47&lt;&gt;"",'A-80 DirEntInv'!AH47,IF(INDIRECT(ADDRESS(SumRef!BX54,SumRef!BX$16,,,SumRef!$B$8))="","",INDIRECT(ADDRESS(SumRef!BX54,SumRef!BX$16,,,SumRef!$B$8))))</f>
        <v/>
      </c>
      <c r="AK48" s="1181" t="str">
        <f>Codes!$C$158</f>
        <v>AR - Alaska Railroad</v>
      </c>
      <c r="AL48" s="1182" t="str">
        <f>Valid!$B$87</f>
        <v>Substation Building</v>
      </c>
      <c r="AM48" s="1123" t="str">
        <f>IF('A-80 DirEntInv'!AM47&lt;&gt;"",'A-80 DirEntInv'!AM47,IF(AK48=summaryref2!B21,summaryref2!D21,IF(Summary!AK48=summaryref2!B35,summaryref2!D35,IF(AK48=summaryref2!B49,summaryref2!D49,IF(AK48=summaryref2!B63,summaryref2!D63,IF(AK48=summaryref2!B77,summaryref2!D77,IF(AK48=summaryref2!B91,summaryref2!D91,IF(AK48=summaryref2!B105,summaryref2!D105,IF(AK48=summaryref2!B119,summaryref2!D119,IF(AK48=summaryref2!B133,summaryref2!D133,IF(AK48=summaryref2!B197,summaryref2!D147,"")))))))))))</f>
        <v/>
      </c>
      <c r="AN48" s="1124" t="str">
        <f ca="1">IF('A-80 DirEntInv'!AN47&lt;&gt;"",'A-80 DirEntInv'!AN47,IF(INDIRECT(ADDRESS(SumRef!#REF!,SumRef!CG$16,,,SumRef!$C$7))="","",INDIRECT(ADDRESS(SumRef!#REF!,SumRef!CG$16,,,SumRef!$C$7))))</f>
        <v>Each</v>
      </c>
      <c r="AO48" s="1123"/>
      <c r="AP48" s="1124"/>
      <c r="AQ48" s="1149" t="str">
        <f>IF('A-80 DirEntInv'!AQ47&lt;&gt;"",'A-80 DirEntInv'!AQ47,IF(AK48=summaryref2!B21,summaryref2!G21,IF(Summary!AK48=summaryref2!B35,summaryref2!G35,IF(AK48=summaryref2!B49,summaryref2!G49,IF(AK48=summaryref2!B63,summaryref2!G63,IF(AK48=summaryref2!B77,summaryref2!G77,IF(AK48=summaryref2!B91,summaryref2!G91,IF(AK48=summaryref2!B105,summaryref2!G105,IF(AK48=summaryref2!B119,summaryref2!G119,IF(AK48=summaryref2!B133,summaryref2!G133,IF(AK48=summaryref2!B147,summaryref2!G147,"")))))))))))</f>
        <v/>
      </c>
      <c r="AR48" s="1149" t="str">
        <f>IF('A-80 DirEntInv'!AR47&lt;&gt;"",'A-80 DirEntInv'!AR47,IF(AK48=summaryref2!B21,summaryref2!H21,IF(Summary!AK48=summaryref2!B35,summaryref2!H35,IF(AK48=summaryref2!B49,summaryref2!H49,IF(AK48=summaryref2!B63,summaryref2!H63,IF(AK48=summaryref2!B77,summaryref2!H77,IF(AK48=summaryref2!B91,summaryref2!H91,IF(AK48=summaryref2!B105,summaryref2!H105,IF(AK48=summaryref2!B119,summaryref2!H119,IF(AK48=summaryref2!B133,summaryref2!H133,IF(AK48=summaryref2!B147,summaryref2!H147,"")))))))))))</f>
        <v/>
      </c>
      <c r="AS48" s="1125" t="str">
        <f>IF('A-80 DirEntInv'!AS47&lt;&gt;"",'A-80 DirEntInv'!AS47,IF(AK48=summaryref2!B21,summaryref2!I21,IF(Summary!AK48=summaryref2!B35,summaryref2!I35,IF(AK48=summaryref2!B49,summaryref2!I49,IF(AK48=summaryref2!B63,summaryref2!I63,IF(AK48=summaryref2!B77,summaryref2!I77,IF(AK48=summaryref2!B91,summaryref2!I91,IF(AK48=summaryref2!B105,summaryref2!I105,IF(AK48=summaryref2!B119,summaryref2!I119,IF(AK48=summaryref2!B133,summaryref2!I133,IF(AK48=summaryref2!B147,summaryref2!I147,"")))))))))))</f>
        <v/>
      </c>
      <c r="AT48" s="1125" t="str">
        <f>IF('A-80 DirEntInv'!AT47&lt;&gt;"",'A-80 DirEntInv'!AT47,IF(AK48=summaryref2!B21,summaryref2!J21,IF(Summary!AK48=summaryref2!B35,summaryref2!J35,IF(AK48=summaryref2!B49,summaryref2!J49,IF(AK48=summaryref2!B63,summaryref2!J63,IF(AK48=summaryref2!B77,summaryref2!J77,IF(AK48=summaryref2!B91,summaryref2!J91,IF(AK48=summaryref2!B105,summaryref2!J105,IF(AK48=summaryref2!B119,summaryref2!J119,IF(AK48=summaryref2!B133,summaryref2!J133,IF(AK48=summaryref2!B147,summaryref2!J147,"")))))))))))</f>
        <v/>
      </c>
      <c r="AU48" s="1125" t="str">
        <f>IF('A-80 DirEntInv'!AU47&lt;&gt;"",'A-80 DirEntInv'!AU47,IF(AK48=summaryref2!B21,summaryref2!K21,IF(Summary!AK48=summaryref2!B35,summaryref2!K35,IF(AK48=summaryref2!B49,summaryref2!K49,IF(AK48=summaryref2!B63,summaryref2!K63,IF(AK48=summaryref2!B77,summaryref2!K77,IF(AK48=summaryref2!B91,summaryref2!K91,IF(AK48=summaryref2!B105,summaryref2!K105,IF(AK48=summaryref2!B119,summaryref2!K119,IF(AK48=summaryref2!B133,summaryref2!K133,IF(AK48=summaryref2!B147,summaryref2!K147,"")))))))))))</f>
        <v/>
      </c>
      <c r="AV48" s="1125" t="str">
        <f>IF('A-80 DirEntInv'!AV47&lt;&gt;"",'A-80 DirEntInv'!AV47,IF(AK48=summaryref2!B21,summaryref2!L21,IF(Summary!AK48=summaryref2!B35,summaryref2!L35,IF(AK48=summaryref2!B49,summaryref2!L49,IF(AK48=summaryref2!B63,summaryref2!L63,IF(AK48=summaryref2!B77,summaryref2!L77,IF(AK48=summaryref2!B91,summaryref2!L91,IF(AK48=summaryref2!B105,summaryref2!L105,IF(AK48=summaryref2!B119,summaryref2!L119,IF(AK48=summaryref2!B133,summaryref2!L133,IF(AK48=summaryref2!B147,summaryref2!L147,"")))))))))))</f>
        <v/>
      </c>
      <c r="AW48" s="1125" t="str">
        <f>IF('A-80 DirEntInv'!AW47&lt;&gt;"",'A-80 DirEntInv'!AW47,IF(AK48=summaryref2!B21,summaryref2!M21,IF(Summary!AK48=summaryref2!B35,summaryref2!M35,IF(AK48=summaryref2!B49,summaryref2!M49,IF(AK48=summaryref2!B63,summaryref2!M63,IF(AK48=summaryref2!B77,summaryref2!M77,IF(AK48=summaryref2!B91,summaryref2!M91,IF(AK48=summaryref2!B105,summaryref2!M105,IF(AK48=summaryref2!B119,summaryref2!M119,IF(AK48=summaryref2!B133,summaryref2!M133,IF(AK48=summaryref2!B147,summaryref2!M147,"")))))))))))</f>
        <v/>
      </c>
      <c r="AX48" s="1125" t="str">
        <f>IF('A-80 DirEntInv'!AX47&lt;&gt;"",'A-80 DirEntInv'!AX47,IF(AK48=summaryref2!B21,summaryref2!N21,IF(Summary!AK48=summaryref2!B35,summaryref2!N35,IF(AK48=summaryref2!B49,summaryref2!N49,IF(AK48=summaryref2!B63,summaryref2!N63,IF(AK48=summaryref2!B77,summaryref2!N77,IF(AK48=summaryref2!B91,summaryref2!N91,IF(AK48=summaryref2!B105,summaryref2!N105,IF(AK48=summaryref2!B119,summaryref2!N119,IF(AK48=summaryref2!B133,summaryref2!N133,IF(AK48=summaryref2!B147,summaryref2!N147,"")))))))))))</f>
        <v/>
      </c>
      <c r="AY48" s="1125" t="str">
        <f>IF('A-80 DirEntInv'!AY47&lt;&gt;"",'A-80 DirEntInv'!AY47,IF(AK48=summaryref2!B21,summaryref2!O21,IF(Summary!AK48=summaryref2!B35,summaryref2!O35,IF(AK48=summaryref2!B49,summaryref2!O49,IF(AK48=summaryref2!B63,summaryref2!O63,IF(AK48=summaryref2!B77,summaryref2!O77,IF(AK48=summaryref2!B91,summaryref2!O91,IF(AK48=summaryref2!B105,summaryref2!O105,IF(AK48=summaryref2!B119,summaryref2!O119,IF(AK48=summaryref2!B133,summaryref2!O133,IF(AK48=summaryref2!B147,summaryref2!O147,"")))))))))))</f>
        <v/>
      </c>
      <c r="AZ48" s="1125" t="str">
        <f>IF('A-80 DirEntInv'!AZ47&lt;&gt;"",'A-80 DirEntInv'!AZ47,IF(AK48=summaryref2!B21,summaryref2!P21,IF(Summary!AK48=summaryref2!B35,summaryref2!P35,IF(AK48=summaryref2!B49,summaryref2!P49,IF(AK48=summaryref2!B63,summaryref2!P63,IF(AK48=summaryref2!B77,summaryref2!P77,IF(AK48=summaryref2!B91,summaryref2!P91,IF(AK48=summaryref2!B105,summaryref2!P105,IF(AK48=summaryref2!B119,summaryref2!P119,IF(AK48=summaryref2!B133,summaryref2!P133,IF(AK48=summaryref2!B147,summaryref2!P147,"")))))))))))</f>
        <v/>
      </c>
      <c r="BA48" s="1125" t="str">
        <f>IF('A-80 DirEntInv'!BA47&lt;&gt;"",'A-80 DirEntInv'!BA47,IF(AK48=summaryref2!B21,summaryref2!Q21,IF(Summary!AK48=summaryref2!B35,summaryref2!Q35,IF(AK48=summaryref2!B49,summaryref2!Q49,IF(AK48=summaryref2!B63,summaryref2!Q63,IF(AK48=summaryref2!B77,summaryref2!Q77,IF(AK48=summaryref2!B91,summaryref2!Q91,IF(AK48=summaryref2!B105,summaryref2!Q105,IF(AK48=summaryref2!B119,summaryref2!Q119,IF(AK48=summaryref2!B133,summaryref2!Q133,IF(AK48=summaryref2!B147,summaryref2!Q147,"")))))))))))</f>
        <v/>
      </c>
      <c r="BB48" s="1125" t="str">
        <f>IF('A-80 DirEntInv'!BB47&lt;&gt;"",'A-80 DirEntInv'!BB47,IF(AK48=summaryref2!B21,summaryref2!R21,IF(Summary!AK48=summaryref2!B35,summaryref2!R35,IF(AK48=summaryref2!B49,summaryref2!R49,IF(AK48=summaryref2!B63,summaryref2!R63,IF(AK48=summaryref2!B77,summaryref2!R77,IF(AK48=summaryref2!B91,summaryref2!R91,IF(AK48=summaryref2!B105,summaryref2!R105,IF(AK48=summaryref2!B119,summaryref2!R119,IF(AK48=summaryref2!B133,summaryref2!R133,IF(AK48=summaryref2!B147,summaryref2!R147,"")))))))))))</f>
        <v/>
      </c>
      <c r="BC48" s="1125" t="str">
        <f>IF('A-80 DirEntInv'!BC47&lt;&gt;0,'A-80 DirEntInv'!BC47,IF(AK48=summaryref2!B21,summaryref2!S21,IF(Summary!AK48=summaryref2!B35,summaryref2!S35,IF(AK48=summaryref2!B49,summaryref2!S49,IF(AK48=summaryref2!B63,summaryref2!S63,IF(AK48=summaryref2!B77,summaryref2!S77,IF(AK48=summaryref2!B91,summaryref2!S91,IF(AK48=summaryref2!B105,summaryref2!S105,IF(AK48=summaryref2!B119,summaryref2!S119,IF(AK48=summaryref2!B133,summaryref2!S133,IF(AK48=summaryref2!B147,summaryref2!S147,"")))))))))))</f>
        <v/>
      </c>
      <c r="BD48" s="1126" t="str">
        <f>IF('A-80 DirEntInv'!BD47&lt;&gt;"",'A-80 DirEntInv'!BD47,IF(AK48=summaryref2!B21,summaryref2!T21,IF(Summary!AK48=summaryref2!B35,summaryref2!T35,IF(AK48=summaryref2!B49,summaryref2!T49,IF(AK48=summaryref2!B63,summaryref2!T63,IF(AK48=summaryref2!B77,summaryref2!T77,IF(AK48=summaryref2!B91,summaryref2!T91,IF(AK48=summaryref2!B105,summaryref2!T105,IF(AK48=summaryref2!B119,summaryref2!T119,IF(AK48=summaryref2!B133,summaryref2!T133,IF(AK48=summaryref2!B147,summaryref2!T147,"")))))))))))</f>
        <v/>
      </c>
      <c r="BE48" s="1183" t="str">
        <f>IF('A-80 DirEntInv'!BE47&lt;&gt;"",'A-80 DirEntInv'!BE47,IF(AK48=summaryref2!B21,summaryref2!U21,IF(Summary!AK48=summaryref2!B35,summaryref2!U35,IF(AK48=summaryref2!B49,summaryref2!U49,IF(AK48=summaryref2!B63,summaryref2!U63,IF(AK48=summaryref2!B77,summaryref2!U77,IF(AK48=summaryref2!B91,summaryref2!U91,IF(AK48=summaryref2!B105,summaryref2!U105,IF(AK48=summaryref2!B119,summaryref2!U119,IF(AK48=summaryref2!B133,summaryref2!U133,IF(AK48=summaryref2!B147,summaryref2!U147,"")))))))))))</f>
        <v/>
      </c>
      <c r="BF48" s="1432"/>
      <c r="BG48" s="1432"/>
      <c r="BJ48" s="1045" t="str">
        <f>Codes!$C$161</f>
        <v>CR - Commuter Rail (DO)</v>
      </c>
      <c r="BK48" s="1046" t="str">
        <f>Valid!$B$82</f>
        <v>Double Diamond Crossover</v>
      </c>
      <c r="BL48" s="1368" t="str">
        <f>IF('A-80 DirEntInv'!BL47&lt;&gt;"",'A-80 DirEntInv'!BL47,IF(BJ48=summaryref2!X14,summaryref2!Z14,IF(BJ48=summaryref2!X21,summaryref2!Z21,IF(BJ48=summaryref2!X28,summaryref2!Z28,IF(BJ48=summaryref2!X35,summaryref2!Z35,IF(BJ48=summaryref2!X42,summaryref2!Z42,IF(BJ48=summaryref2!X49,summaryref2!Z49,IF(BJ48=summaryref2!X56,summaryref2!Z56,IF(BJ48=summaryref2!X63,summaryref2!Z63,IF(BJ48=summaryref2!X70,summaryref2!Z70,IF(BJ48=summaryref2!X77,summaryref2!Z77,"")))))))))))</f>
        <v/>
      </c>
      <c r="BM48" s="1046" t="str">
        <f>VLOOKUP(BK48,Valid!$B$80:$C$86,2,FALSE)</f>
        <v>Each</v>
      </c>
      <c r="BN48" s="1325" t="str">
        <f>IF('A-80 DirEntInv'!BN47&lt;&gt;"",'A-80 DirEntInv'!BN47,IF(BJ48=summaryref2!X14,summaryref2!AB14,IF(BJ48=summaryref2!X21,summaryref2!AB21,IF(BJ48=summaryref2!X28,summaryref2!AB28,IF(BJ48=summaryref2!X35,summaryref2!AB35,IF(BJ48=summaryref2!X42,summaryref2!AB42,IF(BJ48=summaryref2!X49,summaryref2!AB49,IF(BJ48=summaryref2!X56,summaryref2!AB56,IF(BJ48=summaryref2!X63,summaryref2!AB63,IF(BJ48=summaryref2!X70,summaryref2!AB70,IF(BJ48=summaryref2!X77,summaryref2!AB77,"")))))))))))</f>
        <v/>
      </c>
      <c r="BO48" s="1327" t="str">
        <f>IF('A-80 DirEntInv'!BO47&lt;&gt;"",'A-80 DirEntInv'!BO47,IF(BJ48=summaryref2!X14,summaryref2!AC14,IF(BJ48=summaryref2!X21,summaryref2!AC21,IF(BJ48=summaryref2!X28,summaryref2!AC28,IF(BJ48=summaryref2!X35,summaryref2!AC35,IF(BJ48=summaryref2!X42,summaryref2!AC42,IF(BJ48=summaryref2!X49,summaryref2!AC49,IF(BJ48=summaryref2!X56,summaryref2!AC56,IF(BJ48=summaryref2!X63,summaryref2!AC63,IF(BJ48=summaryref2!X70,summaryref2!AC70,IF(BJ48=summaryref2!X77,summaryref2!AC77,"")))))))))))</f>
        <v/>
      </c>
      <c r="BP48" s="1322" t="str">
        <f>IF('A-80 DirEntInv'!BP47&lt;&gt;"",'A-80 DirEntInv'!BP47,IF(BJ48=summaryref2!X14,summaryref2!AD14,IF(BJ48=summaryref2!X21,summaryref2!AD21,IF(BJ48=summaryref2!X28,summaryref2!AD28,IF(BJ48=summaryref2!X35,summaryref2!AD35,IF(BJ48=summaryref2!X42,summaryref2!AD42,IF(BJ48=summaryref2!X49,summaryref2!AD49,IF(BJ48=summaryref2!X56,summaryref2!AD56,IF(BJ48=summaryref2!X63,summaryref2!AD63,IF(BJ48=summaryref2!X70,summaryref2!AD70,IF(BJ48=summaryref2!X77,summaryref2!AD77,"")))))))))))</f>
        <v/>
      </c>
      <c r="BS48" s="1472" t="str">
        <f ca="1">IF('A-80 DirEntInv'!BU47&lt;&gt;"",'A-80 DirEntInv'!BU47,IF(INDIRECT(ADDRESS(SumRef!DK54,SumRef!DK$16,,,SumRef!$E$6))="","",INDIRECT(ADDRESS(SumRef!DK54,SumRef!DK$16,,,SumRef!$E$6))))</f>
        <v/>
      </c>
      <c r="BT48" s="1458" t="str">
        <f ca="1">IF('A-80 DirEntInv'!BV47&lt;&gt;"",'A-80 DirEntInv'!BV47,IF(INDIRECT(ADDRESS(SumRef!DL54,SumRef!DL$16,,,SumRef!$E$6))="","",INDIRECT(ADDRESS(SumRef!DL54,SumRef!DL$16,,,SumRef!$E$6))))</f>
        <v/>
      </c>
      <c r="BU48" s="1177" t="str">
        <f ca="1">IF('A-80 DirEntInv'!BW47&lt;&gt;"",'A-80 DirEntInv'!BW47,IF(INDIRECT(ADDRESS(SumRef!DM54,SumRef!DM$16,,,SumRef!$E$6))="","",INDIRECT(ADDRESS(SumRef!DM54,SumRef!DM$16,,,SumRef!$E$6))))</f>
        <v/>
      </c>
      <c r="BV48" s="1460" t="str">
        <f ca="1">IF('A-80 DirEntInv'!BX47&lt;&gt;"",'A-80 DirEntInv'!BX47,IF(INDIRECT(ADDRESS(SumRef!DN54,SumRef!DN$16,,,SumRef!$E$6))="","",INDIRECT(ADDRESS(SumRef!DN54,SumRef!DN$16,,,SumRef!$E$6))))</f>
        <v/>
      </c>
      <c r="BW48" s="1460" t="str">
        <f ca="1">IF('A-80 DirEntInv'!BY47&lt;&gt;"",'A-80 DirEntInv'!BY47,IF(INDIRECT(ADDRESS(SumRef!DO54,SumRef!DO$16,,,SumRef!$E$6))="","",INDIRECT(ADDRESS(SumRef!DO54,SumRef!DO$16,,,SumRef!$E$6))))</f>
        <v/>
      </c>
      <c r="BX48" s="1116" t="str">
        <f ca="1">IF('A-80 DirEntInv'!BZ47&lt;&gt;"",'A-80 DirEntInv'!BZ47,IF(INDIRECT(ADDRESS(SumRef!DP54,SumRef!DP$16,,,SumRef!$E$6))="","",INDIRECT(ADDRESS(SumRef!DP54,SumRef!DP$16,,,SumRef!$E$6))))</f>
        <v/>
      </c>
      <c r="BY48" s="1461" t="str">
        <f ca="1">IF('A-80 DirEntInv'!CA47&lt;&gt;"",'A-80 DirEntInv'!CA47,IF(INDIRECT(ADDRESS(SumRef!DQ54,SumRef!DQ$16,,,SumRef!$E$6))="","",INDIRECT(ADDRESS(SumRef!DQ54,SumRef!DQ$16,,,SumRef!$E$6))))</f>
        <v/>
      </c>
      <c r="BZ48" s="1460" t="str">
        <f ca="1">IF('A-80 DirEntInv'!CB47&lt;&gt;"",'A-80 DirEntInv'!CB47,IF(INDIRECT(ADDRESS(SumRef!DR54,SumRef!DR$16,,,SumRef!$E$6))="","",INDIRECT(ADDRESS(SumRef!DR54,SumRef!DR$16,,,SumRef!$E$6))))</f>
        <v/>
      </c>
      <c r="CA48" s="1462" t="str">
        <f ca="1">IF('A-80 DirEntInv'!CC47&lt;&gt;"",'A-80 DirEntInv'!CC47,IF(INDIRECT(ADDRESS(SumRef!DS54,SumRef!DS$16,,,SumRef!$E$6))="","",INDIRECT(ADDRESS(SumRef!DS54,SumRef!DS$16,,,SumRef!$E$6))))</f>
        <v/>
      </c>
      <c r="CD48" s="1160" t="str">
        <f ca="1">IF('A-80 DirEntInv'!CF47&lt;&gt;"",'A-80 DirEntInv'!CF47,IF(INDIRECT(ADDRESS(SumRef!DV54,SumRef!DV$16,,,SumRef!$E$7))="","",INDIRECT(ADDRESS(SumRef!DV54,SumRef!DV$16,,,SumRef!$E$7))))</f>
        <v/>
      </c>
      <c r="CE48" s="1167" t="str">
        <f ca="1">IF('A-80 DirEntInv'!CG47&lt;&gt;"",'A-80 DirEntInv'!CG47,IF(INDIRECT(ADDRESS(SumRef!DW54,SumRef!DW$16,,,SumRef!$E$7))="","",INDIRECT(ADDRESS(SumRef!DW54,SumRef!DW$16,,,SumRef!$E$7))))</f>
        <v/>
      </c>
      <c r="CF48" s="1167" t="str">
        <f ca="1">IF('A-80 DirEntInv'!CH47&lt;&gt;"",'A-80 DirEntInv'!CH47,IF(INDIRECT(ADDRESS(SumRef!DX54,SumRef!DX$16,,,SumRef!$E$7))="","",INDIRECT(ADDRESS(SumRef!DX54,SumRef!DX$16,,,SumRef!$E$7))))</f>
        <v/>
      </c>
      <c r="CG48" s="1167" t="str">
        <f ca="1">IF('A-80 DirEntInv'!CI47&lt;&gt;"",'A-80 DirEntInv'!CI47,IF(INDIRECT(ADDRESS(SumRef!DY54,SumRef!DY$16,,,SumRef!$E$7))="","",INDIRECT(ADDRESS(SumRef!DY54,SumRef!DY$16,,,SumRef!$E$7))))</f>
        <v/>
      </c>
      <c r="CH48" s="1167" t="str">
        <f ca="1">IF('A-80 DirEntInv'!CJ47&lt;&gt;"",'A-80 DirEntInv'!CJ47,IF(INDIRECT(ADDRESS(SumRef!DZ54,SumRef!DZ$16,,,SumRef!$E$7))="","",INDIRECT(ADDRESS(SumRef!DZ54,SumRef!DZ$16,,,SumRef!$E$7))))</f>
        <v/>
      </c>
      <c r="CI48" s="1167" t="str">
        <f ca="1">IF('A-80 DirEntInv'!CK47&lt;&gt;"",'A-80 DirEntInv'!CK47,IF(INDIRECT(ADDRESS(SumRef!EA54,SumRef!EA$16,,,SumRef!$E$7))="","",INDIRECT(ADDRESS(SumRef!EA54,SumRef!EA$16,,,SumRef!$E$7))))</f>
        <v/>
      </c>
      <c r="CJ48" s="1114" t="str">
        <f ca="1">IF('A-80 DirEntInv'!CL47&lt;&gt;"",'A-80 DirEntInv'!CL47,IF(INDIRECT(ADDRESS(SumRef!EB54,SumRef!EB$16,,,SumRef!$E$7))="","",INDIRECT(ADDRESS(SumRef!EB54,SumRef!EB$16,,,SumRef!$E$7))))</f>
        <v/>
      </c>
      <c r="CK48" s="1114" t="str">
        <f ca="1">IF('A-80 DirEntInv'!CM47&lt;&gt;"",'A-80 DirEntInv'!CM47,IF(INDIRECT(ADDRESS(SumRef!EC54,SumRef!EC$16,,,SumRef!$E$7))="","",INDIRECT(ADDRESS(SumRef!EC54,SumRef!EC$16,,,SumRef!$E$7))))</f>
        <v/>
      </c>
      <c r="CL48" s="1113" t="str">
        <f ca="1">IF('A-80 DirEntInv'!CO47&lt;&gt;"",'A-80 DirEntInv'!CO47,IF(INDIRECT(ADDRESS(SumRef!ED54,SumRef!ED$16,,,SumRef!$E$7))="","",INDIRECT(ADDRESS(SumRef!ED54,SumRef!ED$16,,,SumRef!$E$7))))</f>
        <v/>
      </c>
      <c r="CM48" s="1114" t="str">
        <f ca="1">IF('A-80 DirEntInv'!CP47&lt;&gt;"",'A-80 DirEntInv'!CP47,IF(INDIRECT(ADDRESS(SumRef!EE54,SumRef!EE$16,,,SumRef!$E$7))="","",INDIRECT(ADDRESS(SumRef!EE54,SumRef!EE$16,,,SumRef!$E$7))))</f>
        <v/>
      </c>
      <c r="CN48" s="1114" t="str">
        <f ca="1">IF('A-80 DirEntInv'!CQ47&lt;&gt;"",'A-80 DirEntInv'!CQ47,IF(INDIRECT(ADDRESS(SumRef!EF54,SumRef!EF$16,,,SumRef!$E$7))="","",INDIRECT(ADDRESS(SumRef!EF54,SumRef!EF$16,,,SumRef!$E$7))))</f>
        <v/>
      </c>
      <c r="CO48" s="1113" t="str">
        <f ca="1">IF('A-80 DirEntInv'!CR47&lt;&gt;"",'A-80 DirEntInv'!CR47,IF(INDIRECT(ADDRESS(SumRef!EG54,SumRef!EG$16,,,SumRef!$E$7))="","",INDIRECT(ADDRESS(SumRef!EG54,SumRef!EG$16,,,SumRef!$E$7))))</f>
        <v/>
      </c>
      <c r="CP48" s="1114" t="str">
        <f ca="1">IF('A-80 DirEntInv'!CS47&lt;&gt;"",'A-80 DirEntInv'!CS47,IF(INDIRECT(ADDRESS(SumRef!EH54,SumRef!EH$16,,,SumRef!$E$7))="","",INDIRECT(ADDRESS(SumRef!EH54,SumRef!EH$16,,,SumRef!$E$7))))</f>
        <v/>
      </c>
      <c r="CQ48" s="1346" t="str">
        <f ca="1">IF('A-80 DirEntInv'!CT47&lt;&gt;"",'A-80 DirEntInv'!CT47,IF(INDIRECT(ADDRESS(SumRef!EI54,SumRef!EI$16,,,SumRef!$E$7))="","",INDIRECT(ADDRESS(SumRef!EI54,SumRef!EI$16,,,SumRef!$E$7))))</f>
        <v/>
      </c>
      <c r="CR48" s="1113" t="str">
        <f ca="1">IF('A-80 DirEntInv'!CU47&lt;&gt;"",'A-80 DirEntInv'!CU47,IF(INDIRECT(ADDRESS(SumRef!EJ54,SumRef!EJ$16,,,SumRef!$E$7))="","",INDIRECT(ADDRESS(SumRef!EJ54,SumRef!EJ$16,,,SumRef!$E$7))))</f>
        <v/>
      </c>
      <c r="CS48" s="1346" t="str">
        <f ca="1">IF('A-80 DirEntInv'!CV47&lt;&gt;"",'A-80 DirEntInv'!CV47,IF(INDIRECT(ADDRESS(SumRef!EM54,SumRef!EM$16,,,SumRef!$E$7))="","",INDIRECT(ADDRESS(SumRef!EM54,SumRef!EM$16,,,SumRef!$E$7))))</f>
        <v/>
      </c>
      <c r="CT48" s="1113" t="str">
        <f ca="1">IF('A-80 DirEntInv'!CW47&lt;&gt;"",'A-80 DirEntInv'!CW47,IF(INDIRECT(ADDRESS(SumRef!EN54,SumRef!EN$16,,,SumRef!$E$7))="","",INDIRECT(ADDRESS(SumRef!EN54,SumRef!EN$16,,,SumRef!$E$7))))</f>
        <v/>
      </c>
      <c r="CU48" s="1113" t="str">
        <f ca="1">IF('A-80 DirEntInv'!CX47&lt;&gt;"",'A-80 DirEntInv'!CX47,IF(INDIRECT(ADDRESS(SumRef!EO54,SumRef!EO$16,,,SumRef!$E$7))="","",INDIRECT(ADDRESS(SumRef!EO54,SumRef!EO$16,,,SumRef!$E$7))))</f>
        <v/>
      </c>
      <c r="CV48" s="1113" t="str">
        <f ca="1">IF('A-80 DirEntInv'!CY47&lt;&gt;"",'A-80 DirEntInv'!CY47,IF(INDIRECT(ADDRESS(SumRef!EP54,SumRef!EP$16,,,SumRef!$E$7))="","",INDIRECT(ADDRESS(SumRef!EP54,SumRef!EP$16,,,SumRef!$E$7))))</f>
        <v/>
      </c>
      <c r="CW48" s="1114" t="str">
        <f ca="1">IF('A-80 DirEntInv'!CZ47&lt;&gt;"",'A-80 DirEntInv'!CZ47,IF(INDIRECT(ADDRESS(SumRef!ES54,SumRef!ES$16,,,SumRef!$E$7))="","",INDIRECT(ADDRESS(SumRef!ES54,SumRef!ES$16,,,SumRef!$E$7))))</f>
        <v/>
      </c>
      <c r="CX48" s="1167" t="str">
        <f ca="1">IF('A-80 DirEntInv'!DA47&lt;&gt;"",'A-80 DirEntInv'!DA47,IF(INDIRECT(ADDRESS(SumRef!ET54,SumRef!ET$16,,,SumRef!$E$7))="","",INDIRECT(ADDRESS(SumRef!ET54,SumRef!ET$16,,,SumRef!$E$7))))</f>
        <v/>
      </c>
      <c r="CY48" s="1167" t="str">
        <f ca="1">IF('A-80 DirEntInv'!DB47&lt;&gt;"",'A-80 DirEntInv'!DB47,IF(INDIRECT(ADDRESS(SumRef!EU54,SumRef!EU$16,,,SumRef!$E$7))="","",INDIRECT(ADDRESS(SumRef!EU54,SumRef!EU$16,,,SumRef!$E$7))))</f>
        <v/>
      </c>
      <c r="CZ48" s="1167" t="b">
        <f ca="1">IF('A-80 DirEntInv'!DC47&lt;&gt;"",'A-80 DirEntInv'!DC47,IF(INDIRECT(ADDRESS(SumRef!EV54,SumRef!EV$16,,,SumRef!$E$7))="","",INDIRECT(ADDRESS(SumRef!EV54,SumRef!EV$16,,,SumRef!$E$7))))</f>
        <v>0</v>
      </c>
      <c r="DA48" s="1373" t="str">
        <f ca="1">IF('A-80 DirEntInv'!DD47&lt;&gt;"",'A-80 DirEntInv'!DD47,IF(INDIRECT(ADDRESS(SumRef!EW54,SumRef!EW$16,,,SumRef!$E$7))="","",INDIRECT(ADDRESS(SumRef!EW54,SumRef!EW$16,,,SumRef!$E$7))))</f>
        <v/>
      </c>
      <c r="DB48" s="1373" t="b">
        <f ca="1">IF('A-80 DirEntInv'!DE47&lt;&gt;"",'A-80 DirEntInv'!DE47,IF(INDIRECT(ADDRESS(SumRef!EX54,SumRef!EX$16,,,SumRef!$E$7))="","",INDIRECT(ADDRESS(SumRef!EX54,SumRef!EX$16,,,SumRef!$E$7))))</f>
        <v>0</v>
      </c>
      <c r="DC48" s="1114" t="b">
        <f ca="1">IF('A-80 DirEntInv'!DF47&lt;&gt;"",'A-80 DirEntInv'!DF47,IF(INDIRECT(ADDRESS(SumRef!EY54,SumRef!EY$16,,,SumRef!$E$7))="","",INDIRECT(ADDRESS(SumRef!EY54,SumRef!EY$16,,,SumRef!$E$7))))</f>
        <v>0</v>
      </c>
      <c r="DD48" s="1115" t="str">
        <f ca="1">IF('A-80 DirEntInv'!DG47&lt;&gt;"",'A-80 DirEntInv'!DG47,IF(INDIRECT(ADDRESS(SumRef!EZ54,SumRef!EZ$16,,,SumRef!$E$7))="","",INDIRECT(ADDRESS(SumRef!EZ54,SumRef!EZ$16,,,SumRef!$E$7))))</f>
        <v/>
      </c>
    </row>
    <row r="49" spans="1:108" s="588" customFormat="1" x14ac:dyDescent="0.2">
      <c r="A49" s="589">
        <f t="shared" si="0"/>
        <v>39</v>
      </c>
      <c r="B49" s="1155" t="str">
        <f ca="1">IF('A-80 DirEntInv'!B48&lt;&gt;"",'A-80 DirEntInv'!B48,IF(INDIRECT(ADDRESS(SumRef!AQ55,SumRef!AQ$16,,,SumRef!$B$7))="","",INDIRECT(ADDRESS(SumRef!AQ55,SumRef!AQ$16,,,SumRef!$B$7))))</f>
        <v/>
      </c>
      <c r="C49" s="1097" t="str">
        <f ca="1">IF('A-80 DirEntInv'!C48&lt;&gt;"",'A-80 DirEntInv'!C48,IF(INDIRECT(ADDRESS(SumRef!AR55,SumRef!AR$16,,,SumRef!$B$7))="","",INDIRECT(ADDRESS(SumRef!AR55,SumRef!AR$16,,,SumRef!$B$7))))</f>
        <v/>
      </c>
      <c r="D49" s="1097" t="str">
        <f ca="1">IF('A-80 DirEntInv'!D48&lt;&gt;"",'A-80 DirEntInv'!D48,IF(INDIRECT(ADDRESS(SumRef!AS55,SumRef!AS$16,,,SumRef!$B$7))="","",INDIRECT(ADDRESS(SumRef!AS55,SumRef!AS$16,,,SumRef!$B$7))))</f>
        <v/>
      </c>
      <c r="E49" s="1097" t="str">
        <f ca="1">IF('A-80 DirEntInv'!E48&lt;&gt;"",'A-80 DirEntInv'!E48,IF(INDIRECT(ADDRESS(SumRef!AT55,SumRef!AT$16,,,SumRef!$B$7))="","",INDIRECT(ADDRESS(SumRef!AT55,SumRef!AT$16,,,SumRef!$B$7))))</f>
        <v/>
      </c>
      <c r="F49" s="1097" t="str">
        <f ca="1">IF('A-80 DirEntInv'!F48&lt;&gt;"",'A-80 DirEntInv'!F48,IF(INDIRECT(ADDRESS(SumRef!AU55,SumRef!AU$16,,,SumRef!$B$7))="","",INDIRECT(ADDRESS(SumRef!AU55,SumRef!AU$16,,,SumRef!$B$7))))</f>
        <v/>
      </c>
      <c r="G49" s="1158" t="str">
        <f ca="1">IF('A-80 DirEntInv'!G48&lt;&gt;"",'A-80 DirEntInv'!G48,IF(INDIRECT(ADDRESS(SumRef!AV55,SumRef!AV$16,,,SumRef!$B$7))="","",INDIRECT(ADDRESS(SumRef!AV55,SumRef!AV$16,,,SumRef!$B$7))))</f>
        <v/>
      </c>
      <c r="H49" s="1097" t="str">
        <f ca="1">IF('A-80 DirEntInv'!H48&lt;&gt;"",'A-80 DirEntInv'!H48,IF(INDIRECT(ADDRESS(SumRef!AW55,SumRef!AW$16,,,SumRef!$B$7))="","",INDIRECT(ADDRESS(SumRef!AW55,SumRef!AW$16,,,SumRef!$B$7))))</f>
        <v/>
      </c>
      <c r="I49" s="1097" t="str">
        <f ca="1">IF('A-80 DirEntInv'!I48&lt;&gt;"",'A-80 DirEntInv'!I48,IF(INDIRECT(ADDRESS(SumRef!AX55,SumRef!AX$16,,,SumRef!$B$7))="","",INDIRECT(ADDRESS(SumRef!AX55,SumRef!AX$16,,,SumRef!$B$7))))</f>
        <v/>
      </c>
      <c r="J49" s="1098" t="str">
        <f ca="1">IF('A-80 DirEntInv'!J48&lt;&gt;"",'A-80 DirEntInv'!J48,IF(INDIRECT(ADDRESS(SumRef!AY55,SumRef!AY$16,,,SumRef!$B$7))="","",INDIRECT(ADDRESS(SumRef!AY55,SumRef!AY$16,,,SumRef!$B$7))))</f>
        <v/>
      </c>
      <c r="K49" s="1099" t="str">
        <f ca="1">IF('A-80 DirEntInv'!K48&lt;&gt;"",'A-80 DirEntInv'!K48,IF(INDIRECT(ADDRESS(SumRef!AZ55,SumRef!AZ$16,,,SumRef!$B$7))="","",INDIRECT(ADDRESS(SumRef!AZ55,SumRef!AZ$16,,,SumRef!$B$7))))</f>
        <v/>
      </c>
      <c r="L49" s="1100" t="str">
        <f ca="1">IF('A-80 DirEntInv'!L48&lt;&gt;"",'A-80 DirEntInv'!L48,IF(INDIRECT(ADDRESS(SumRef!BA55,SumRef!BA$16,,,SumRef!$B$7))="","",INDIRECT(ADDRESS(SumRef!BA55,SumRef!BA$16,,,SumRef!$B$7))))</f>
        <v/>
      </c>
      <c r="M49" s="1101" t="str">
        <f ca="1">IF('A-80 DirEntInv'!M48&lt;&gt;"",'A-80 DirEntInv'!M48,IF(INDIRECT(ADDRESS(SumRef!BB55,SumRef!BB$16,,,SumRef!$B$7))="","",INDIRECT(ADDRESS(SumRef!BB55,SumRef!BB$16,,,SumRef!$B$7))))</f>
        <v/>
      </c>
      <c r="N49" s="1098" t="str">
        <f ca="1">IF('A-80 DirEntInv'!N48&lt;&gt;"",'A-80 DirEntInv'!N48,IF(INDIRECT(ADDRESS(SumRef!BC55,SumRef!BC$16,,,SumRef!$B$7))="","",INDIRECT(ADDRESS(SumRef!BC55,SumRef!BC$16,,,SumRef!$B$7))))</f>
        <v/>
      </c>
      <c r="O49" s="1102" t="str">
        <f ca="1">IF('A-80 DirEntInv'!O48&lt;&gt;"",'A-80 DirEntInv'!O48,IF(INDIRECT(ADDRESS(SumRef!BD55,SumRef!BD$16,,,SumRef!$B$7))="","",INDIRECT(ADDRESS(SumRef!BD55,SumRef!BD$16,,,SumRef!$B$7))))</f>
        <v/>
      </c>
      <c r="Q49" s="589"/>
      <c r="R49" s="1103" t="str">
        <f ca="1">IF('A-80 DirEntInv'!R48&lt;&gt;"",'A-80 DirEntInv'!R48,IF(INDIRECT(ADDRESS(SumRef!BH55,SumRef!BH$16,,,SumRef!$B$8))="","",INDIRECT(ADDRESS(SumRef!BH55,SumRef!BH$16,,,SumRef!$B$8))))</f>
        <v/>
      </c>
      <c r="S49" s="1104" t="str">
        <f ca="1">IF('A-80 DirEntInv'!S48&lt;&gt;"",'A-80 DirEntInv'!S48,IF(INDIRECT(ADDRESS(SumRef!BI55,SumRef!BI$16,,,SumRef!$B$8))="","",INDIRECT(ADDRESS(SumRef!BI55,SumRef!BI$16,,,SumRef!$B$8))))</f>
        <v/>
      </c>
      <c r="T49" s="1104" t="str">
        <f ca="1">IF('A-80 DirEntInv'!T48&lt;&gt;"",'A-80 DirEntInv'!T48,IF(INDIRECT(ADDRESS(SumRef!BJ55,SumRef!BJ$16,,,SumRef!$B$8))="","",INDIRECT(ADDRESS(SumRef!BJ55,SumRef!BJ$16,,,SumRef!$B$8))))</f>
        <v/>
      </c>
      <c r="U49" s="1104" t="str">
        <f ca="1">IF('A-80 DirEntInv'!U48&lt;&gt;"",'A-80 DirEntInv'!U48,IF(INDIRECT(ADDRESS(SumRef!BK55,SumRef!BK$16,,,SumRef!$B$8))="","",INDIRECT(ADDRESS(SumRef!BK55,SumRef!BK$16,,,SumRef!$B$8))))</f>
        <v/>
      </c>
      <c r="V49" s="1104" t="str">
        <f ca="1">IF('A-80 DirEntInv'!V48&lt;&gt;"",'A-80 DirEntInv'!V48,IF(INDIRECT(ADDRESS(SumRef!BL55,SumRef!BL$16,,,SumRef!$B$8))="","",INDIRECT(ADDRESS(SumRef!BL55,SumRef!BL$16,,,SumRef!$B$8))))</f>
        <v/>
      </c>
      <c r="W49" s="1354" t="str">
        <f ca="1">IF('A-80 DirEntInv'!W48&lt;&gt;"",'A-80 DirEntInv'!W48,IF(INDIRECT(ADDRESS(SumRef!BM55,SumRef!BM$16,,,SumRef!$B$8))="","",INDIRECT(ADDRESS(SumRef!BM55,SumRef!BM$16,,,SumRef!$B$8))))</f>
        <v/>
      </c>
      <c r="X49" s="1203" t="str">
        <f ca="1">IF('A-80 DirEntInv'!X48&lt;&gt;"",'A-80 DirEntInv'!X48,IF(INDIRECT(ADDRESS(SumRef!BN55,SumRef!BN$16,,,SumRef!$B$8))="","",INDIRECT(ADDRESS(SumRef!BN55,SumRef!BN$16,,,SumRef!$B$8))))</f>
        <v/>
      </c>
      <c r="Y49" s="1203" t="str">
        <f ca="1">IF('A-80 DirEntInv'!Y48&lt;&gt;"",'A-80 DirEntInv'!Y48,IF(INDIRECT(ADDRESS(SumRef!BO55,SumRef!BO$16,,,SumRef!$B$8))="","",INDIRECT(ADDRESS(SumRef!BO55,SumRef!BO$16,,,SumRef!$B$8))))</f>
        <v/>
      </c>
      <c r="Z49" s="1104" t="str">
        <f ca="1">IF('A-80 DirEntInv'!Z48&lt;&gt;"",'A-80 DirEntInv'!Z48,IF(INDIRECT(ADDRESS(SumRef!BP55,SumRef!BP$16,,,SumRef!$B$8))="","",INDIRECT(ADDRESS(SumRef!BP55,SumRef!BP$16,,,SumRef!$B$8))))</f>
        <v/>
      </c>
      <c r="AA49" s="1104" t="str">
        <f ca="1">IF('A-80 DirEntInv'!AA48&lt;&gt;"",'A-80 DirEntInv'!AA48,IF(INDIRECT(ADDRESS(SumRef!BQ55,SumRef!BQ$16,,,SumRef!$B$8))="","",INDIRECT(ADDRESS(SumRef!BQ55,SumRef!BQ$16,,,SumRef!$B$8))))</f>
        <v/>
      </c>
      <c r="AB49" s="1106" t="str">
        <f ca="1">IF('A-80 DirEntInv'!AB48&lt;&gt;"",'A-80 DirEntInv'!AB48,IF(INDIRECT(ADDRESS(SumRef!BR55,SumRef!BR$16,,,SumRef!$B$8))="","",INDIRECT(ADDRESS(SumRef!BR55,SumRef!BR$16,,,SumRef!$B$8))))</f>
        <v/>
      </c>
      <c r="AC49" s="1107" t="str">
        <f ca="1">IF('A-80 DirEntInv'!AC48&lt;&gt;"",'A-80 DirEntInv'!AC48,IF(INDIRECT(ADDRESS(SumRef!BS55,SumRef!BS$16,,,SumRef!$B$8))="","",INDIRECT(ADDRESS(SumRef!BS55,SumRef!BS$16,,,SumRef!$B$8))))</f>
        <v/>
      </c>
      <c r="AD49" s="1349" t="str">
        <f ca="1">IF('A-80 DirEntInv'!AD48&lt;&gt;"",'A-80 DirEntInv'!AD48,IF(INDIRECT(ADDRESS(SumRef!BT55,SumRef!BT$16,,,SumRef!$B$8))="","",INDIRECT(ADDRESS(SumRef!BT55,SumRef!BT$16,,,SumRef!$B$8))))</f>
        <v/>
      </c>
      <c r="AE49" s="1137" t="str">
        <f ca="1">IF('A-80 DirEntInv'!AE48&lt;&gt;"",'A-80 DirEntInv'!AE48,IF(INDIRECT(ADDRESS(SumRef!BU55,SumRef!BU$16,,,SumRef!$B$8))="","",INDIRECT(ADDRESS(SumRef!BU55,SumRef!BU$16,,,SumRef!$B$8))))</f>
        <v/>
      </c>
      <c r="AF49" s="1346" t="str">
        <f ca="1">IF('A-80 DirEntInv'!AF48&lt;&gt;"",'A-80 DirEntInv'!AF48,IF(INDIRECT(ADDRESS(SumRef!BV55,SumRef!BV$16,,,SumRef!$B$8))="","",INDIRECT(ADDRESS(SumRef!BV55,SumRef!BV$16,,,SumRef!$B$8))))</f>
        <v/>
      </c>
      <c r="AG49" s="1105" t="str">
        <f ca="1">IF('A-80 DirEntInv'!AG48&lt;&gt;"",'A-80 DirEntInv'!AG48,IF(INDIRECT(ADDRESS(SumRef!BW55,SumRef!BW$16,,,SumRef!$B$8))="","",INDIRECT(ADDRESS(SumRef!BW55,SumRef!BW$16,,,SumRef!$B$8))))</f>
        <v/>
      </c>
      <c r="AH49" s="1357" t="str">
        <f ca="1">IF('A-80 DirEntInv'!AH48&lt;&gt;"",'A-80 DirEntInv'!AH48,IF(INDIRECT(ADDRESS(SumRef!BX55,SumRef!BX$16,,,SumRef!$B$8))="","",INDIRECT(ADDRESS(SumRef!BX55,SumRef!BX$16,,,SumRef!$B$8))))</f>
        <v/>
      </c>
      <c r="AK49" s="1041" t="str">
        <f>Codes!$C$158</f>
        <v>AR - Alaska Railroad</v>
      </c>
      <c r="AL49" s="1042" t="str">
        <f>Valid!$B$88</f>
        <v>Substation Equipment</v>
      </c>
      <c r="AM49" s="1187"/>
      <c r="AN49" s="1046"/>
      <c r="AO49" s="1187"/>
      <c r="AP49" s="1046"/>
      <c r="AQ49" s="1147" t="str">
        <f>IF('A-80 DirEntInv'!AQ48&lt;&gt;"",'A-80 DirEntInv'!AQ48,IF(AK49=summaryref2!B22,summaryref2!G22,IF(Summary!AK49=summaryref2!B36,summaryref2!G36,IF(AK49=summaryref2!B50,summaryref2!G50,IF(AK49=summaryref2!B64,summaryref2!G64,IF(AK49=summaryref2!B78,summaryref2!G78,IF(AK49=summaryref2!B92,summaryref2!G92,IF(AK49=summaryref2!B106,summaryref2!G106,IF(AK49=summaryref2!B120,summaryref2!G120,IF(AK49=summaryref2!B134,summaryref2!G134,IF(AK49=summaryref2!B148,summaryref2!G148,"")))))))))))</f>
        <v/>
      </c>
      <c r="AR49" s="1147" t="str">
        <f>IF('A-80 DirEntInv'!AR48&lt;&gt;"",'A-80 DirEntInv'!AR48,IF(AK49=summaryref2!B22,summaryref2!H22,IF(Summary!AK49=summaryref2!B36,summaryref2!H36,IF(AK49=summaryref2!B50,summaryref2!H50,IF(AK49=summaryref2!B64,summaryref2!H64,IF(AK49=summaryref2!B78,summaryref2!H78,IF(AK49=summaryref2!B92,summaryref2!H92,IF(AK49=summaryref2!B106,summaryref2!H106,IF(AK49=summaryref2!B120,summaryref2!H120,IF(AK49=summaryref2!B134,summaryref2!H134,IF(AK49=summaryref2!B148,summaryref2!H148,"")))))))))))</f>
        <v/>
      </c>
      <c r="AS49" s="1110" t="str">
        <f>IF('A-80 DirEntInv'!AS48&lt;&gt;"",'A-80 DirEntInv'!AS48,IF(AK49=summaryref2!B22,summaryref2!I22,IF(Summary!AK49=summaryref2!B36,summaryref2!I36,IF(AK49=summaryref2!B50,summaryref2!I50,IF(AK49=summaryref2!B64,summaryref2!I64,IF(AK49=summaryref2!B78,summaryref2!I78,IF(AK49=summaryref2!B92,summaryref2!I92,IF(AK49=summaryref2!B106,summaryref2!I106,IF(AK49=summaryref2!B120,summaryref2!I120,IF(AK49=summaryref2!B134,summaryref2!I134,IF(AK49=summaryref2!B148,summaryref2!I148,"")))))))))))</f>
        <v/>
      </c>
      <c r="AT49" s="1110" t="str">
        <f>IF('A-80 DirEntInv'!AT48&lt;&gt;"",'A-80 DirEntInv'!AT48,IF(AK49=summaryref2!B22,summaryref2!J22,IF(Summary!AK49=summaryref2!B36,summaryref2!J36,IF(AK49=summaryref2!B50,summaryref2!J50,IF(AK49=summaryref2!B64,summaryref2!J64,IF(AK49=summaryref2!B78,summaryref2!J78,IF(AK49=summaryref2!B92,summaryref2!J92,IF(AK49=summaryref2!B106,summaryref2!J106,IF(AK49=summaryref2!B120,summaryref2!J120,IF(AK49=summaryref2!B134,summaryref2!J134,IF(AK49=summaryref2!B148,summaryref2!J148,"")))))))))))</f>
        <v/>
      </c>
      <c r="AU49" s="1110" t="str">
        <f>IF('A-80 DirEntInv'!AU48&lt;&gt;"",'A-80 DirEntInv'!AU48,IF(AK49=summaryref2!B22,summaryref2!K22,IF(Summary!AK49=summaryref2!B36,summaryref2!K36,IF(AK49=summaryref2!B50,summaryref2!K50,IF(AK49=summaryref2!B64,summaryref2!K64,IF(AK49=summaryref2!B78,summaryref2!K78,IF(AK49=summaryref2!B92,summaryref2!K92,IF(AK49=summaryref2!B106,summaryref2!K106,IF(AK49=summaryref2!B120,summaryref2!K120,IF(AK49=summaryref2!B134,summaryref2!K134,IF(AK49=summaryref2!B148,summaryref2!K148,"")))))))))))</f>
        <v/>
      </c>
      <c r="AV49" s="1110" t="str">
        <f>IF('A-80 DirEntInv'!AV48&lt;&gt;"",'A-80 DirEntInv'!AV48,IF(AK49=summaryref2!B22,summaryref2!L22,IF(Summary!AK49=summaryref2!B36,summaryref2!L36,IF(AK49=summaryref2!B50,summaryref2!L50,IF(AK49=summaryref2!B64,summaryref2!L64,IF(AK49=summaryref2!B78,summaryref2!L78,IF(AK49=summaryref2!B92,summaryref2!L92,IF(AK49=summaryref2!B106,summaryref2!L106,IF(AK49=summaryref2!B120,summaryref2!L120,IF(AK49=summaryref2!B134,summaryref2!L134,IF(AK49=summaryref2!B148,summaryref2!L148,"")))))))))))</f>
        <v/>
      </c>
      <c r="AW49" s="1110" t="str">
        <f>IF('A-80 DirEntInv'!AW48&lt;&gt;"",'A-80 DirEntInv'!AW48,IF(AK49=summaryref2!B22,summaryref2!M22,IF(Summary!AK49=summaryref2!B36,summaryref2!M36,IF(AK49=summaryref2!B50,summaryref2!M50,IF(AK49=summaryref2!B64,summaryref2!M64,IF(AK49=summaryref2!B78,summaryref2!M78,IF(AK49=summaryref2!B92,summaryref2!M92,IF(AK49=summaryref2!B106,summaryref2!M106,IF(AK49=summaryref2!B120,summaryref2!M120,IF(AK49=summaryref2!B134,summaryref2!M134,IF(AK49=summaryref2!B148,summaryref2!M148,"")))))))))))</f>
        <v/>
      </c>
      <c r="AX49" s="1110" t="str">
        <f>IF('A-80 DirEntInv'!AX48&lt;&gt;"",'A-80 DirEntInv'!AX48,IF(AK49=summaryref2!B22,summaryref2!N22,IF(Summary!AK49=summaryref2!B36,summaryref2!N36,IF(AK49=summaryref2!B50,summaryref2!N50,IF(AK49=summaryref2!B64,summaryref2!N64,IF(AK49=summaryref2!B78,summaryref2!N78,IF(AK49=summaryref2!B92,summaryref2!N92,IF(AK49=summaryref2!B106,summaryref2!N106,IF(AK49=summaryref2!B120,summaryref2!N120,IF(AK49=summaryref2!B134,summaryref2!N134,IF(AK49=summaryref2!B148,summaryref2!N148,"")))))))))))</f>
        <v/>
      </c>
      <c r="AY49" s="1110" t="str">
        <f>IF('A-80 DirEntInv'!AY48&lt;&gt;"",'A-80 DirEntInv'!AY48,IF(AK49=summaryref2!B22,summaryref2!O22,IF(Summary!AK49=summaryref2!B36,summaryref2!O36,IF(AK49=summaryref2!B50,summaryref2!O50,IF(AK49=summaryref2!B64,summaryref2!O64,IF(AK49=summaryref2!B78,summaryref2!O78,IF(AK49=summaryref2!B92,summaryref2!O92,IF(AK49=summaryref2!B106,summaryref2!O106,IF(AK49=summaryref2!B120,summaryref2!O120,IF(AK49=summaryref2!B134,summaryref2!O134,IF(AK49=summaryref2!B148,summaryref2!O148,"")))))))))))</f>
        <v/>
      </c>
      <c r="AZ49" s="1110" t="str">
        <f>IF('A-80 DirEntInv'!AZ48&lt;&gt;"",'A-80 DirEntInv'!AZ48,IF(AK49=summaryref2!B22,summaryref2!P22,IF(Summary!AK49=summaryref2!B36,summaryref2!P36,IF(AK49=summaryref2!B50,summaryref2!P50,IF(AK49=summaryref2!B64,summaryref2!P64,IF(AK49=summaryref2!B78,summaryref2!P78,IF(AK49=summaryref2!B92,summaryref2!P92,IF(AK49=summaryref2!B106,summaryref2!P106,IF(AK49=summaryref2!B120,summaryref2!P120,IF(AK49=summaryref2!B134,summaryref2!P134,IF(AK49=summaryref2!B148,summaryref2!P148,"")))))))))))</f>
        <v/>
      </c>
      <c r="BA49" s="1110" t="str">
        <f>IF('A-80 DirEntInv'!BA48&lt;&gt;"",'A-80 DirEntInv'!BA48,IF(AK49=summaryref2!B22,summaryref2!Q22,IF(Summary!AK49=summaryref2!B36,summaryref2!Q36,IF(AK49=summaryref2!B50,summaryref2!Q50,IF(AK49=summaryref2!B64,summaryref2!Q64,IF(AK49=summaryref2!B78,summaryref2!Q78,IF(AK49=summaryref2!B92,summaryref2!Q92,IF(AK49=summaryref2!B106,summaryref2!Q106,IF(AK49=summaryref2!B120,summaryref2!Q120,IF(AK49=summaryref2!B134,summaryref2!Q134,IF(AK49=summaryref2!B148,summaryref2!Q148,"")))))))))))</f>
        <v/>
      </c>
      <c r="BB49" s="1110" t="str">
        <f>IF('A-80 DirEntInv'!BB48&lt;&gt;"",'A-80 DirEntInv'!BB48,IF(AK49=summaryref2!B22,summaryref2!R22,IF(Summary!AK49=summaryref2!B36,summaryref2!R36,IF(AK49=summaryref2!B50,summaryref2!R50,IF(AK49=summaryref2!B64,summaryref2!R64,IF(AK49=summaryref2!B78,summaryref2!R78,IF(AK49=summaryref2!B92,summaryref2!R92,IF(AK49=summaryref2!B106,summaryref2!R106,IF(AK49=summaryref2!B120,summaryref2!R120,IF(AK49=summaryref2!B134,summaryref2!R134,IF(AK49=summaryref2!B148,summaryref2!R148,"")))))))))))</f>
        <v/>
      </c>
      <c r="BC49" s="1110" t="str">
        <f>IF('A-80 DirEntInv'!BC48&lt;&gt;0,'A-80 DirEntInv'!BC48,IF(AK49=summaryref2!B22,summaryref2!S22,IF(Summary!AK49=summaryref2!B36,summaryref2!S36,IF(AK49=summaryref2!B50,summaryref2!S50,IF(AK49=summaryref2!B64,summaryref2!S64,IF(AK49=summaryref2!B78,summaryref2!S78,IF(AK49=summaryref2!B92,summaryref2!S92,IF(AK49=summaryref2!B106,summaryref2!S106,IF(AK49=summaryref2!B120,summaryref2!S120,IF(AK49=summaryref2!B134,summaryref2!S134,IF(AK49=summaryref2!B148,summaryref2!S148,"")))))))))))</f>
        <v/>
      </c>
      <c r="BD49" s="1111" t="str">
        <f>IF('A-80 DirEntInv'!BD48&lt;&gt;"",'A-80 DirEntInv'!BD48,IF(AK49=summaryref2!B22,summaryref2!T22,IF(Summary!AK49=summaryref2!B36,summaryref2!T36,IF(AK49=summaryref2!B50,summaryref2!T50,IF(AK49=summaryref2!B64,summaryref2!T64,IF(AK49=summaryref2!B78,summaryref2!T78,IF(AK49=summaryref2!B92,summaryref2!T92,IF(AK49=summaryref2!B106,summaryref2!T106,IF(AK49=summaryref2!B120,summaryref2!T120,IF(AK49=summaryref2!B134,summaryref2!T134,IF(AK49=summaryref2!B148,summaryref2!T148,"")))))))))))</f>
        <v/>
      </c>
      <c r="BE49" s="1184" t="str">
        <f>IF('A-80 DirEntInv'!BE48&lt;&gt;"",'A-80 DirEntInv'!BE48,IF(AK49=summaryref2!B22,summaryref2!U22,IF(Summary!AK49=summaryref2!B36,summaryref2!U36,IF(AK49=summaryref2!B50,summaryref2!U50,IF(AK49=summaryref2!B64,summaryref2!U64,IF(AK49=summaryref2!B78,summaryref2!U78,IF(AK49=summaryref2!B92,summaryref2!U92,IF(AK49=summaryref2!B106,summaryref2!U106,IF(AK49=summaryref2!B120,summaryref2!U120,IF(AK49=summaryref2!B134,summaryref2!U134,IF(AK49=summaryref2!B148,summaryref2!U148,"")))))))))))</f>
        <v/>
      </c>
      <c r="BF49" s="1432"/>
      <c r="BG49" s="1432"/>
      <c r="BJ49" s="1041" t="str">
        <f>Codes!$C$161</f>
        <v>CR - Commuter Rail (DO)</v>
      </c>
      <c r="BK49" s="1042" t="str">
        <f>Valid!$B$83</f>
        <v>Single Crossover</v>
      </c>
      <c r="BL49" s="1375" t="str">
        <f>IF('A-80 DirEntInv'!BL48&lt;&gt;"",'A-80 DirEntInv'!BL48,IF(BJ49=summaryref2!X15,summaryref2!Z15,IF(BJ49=summaryref2!X22,summaryref2!Z22,IF(BJ49=summaryref2!X29,summaryref2!Z29,IF(BJ49=summaryref2!X36,summaryref2!Z36,IF(BJ49=summaryref2!X43,summaryref2!Z43,IF(BJ49=summaryref2!X50,summaryref2!Z50,IF(BJ49=summaryref2!X57,summaryref2!Z57,IF(BJ49=summaryref2!X64,summaryref2!Z64,IF(BJ49=summaryref2!X71,summaryref2!Z71,IF(BJ49=summaryref2!X78,summaryref2!Z78,"")))))))))))</f>
        <v/>
      </c>
      <c r="BM49" s="1042" t="str">
        <f>VLOOKUP(BK49,Valid!$B$80:$C$86,2,FALSE)</f>
        <v>Each</v>
      </c>
      <c r="BN49" s="1209" t="str">
        <f>IF('A-80 DirEntInv'!BN48&lt;&gt;"",'A-80 DirEntInv'!BN48,IF(BJ49=summaryref2!X15,summaryref2!AB15,IF(BJ49=summaryref2!X22,summaryref2!AB22,IF(BJ49=summaryref2!X29,summaryref2!AB29,IF(BJ49=summaryref2!X36,summaryref2!AB36,IF(BJ49=summaryref2!X43,summaryref2!AB43,IF(BJ49=summaryref2!X50,summaryref2!AB50,IF(BJ49=summaryref2!X57,summaryref2!AB57,IF(BJ49=summaryref2!X64,summaryref2!AB64,IF(BJ49=summaryref2!X71,summaryref2!AB71,IF(BJ49=summaryref2!X78,summaryref2!AB78,"")))))))))))</f>
        <v/>
      </c>
      <c r="BO49" s="1116" t="str">
        <f>IF('A-80 DirEntInv'!BO48&lt;&gt;"",'A-80 DirEntInv'!BO48,IF(BJ49=summaryref2!X15,summaryref2!AC15,IF(BJ49=summaryref2!X22,summaryref2!AC22,IF(BJ49=summaryref2!X29,summaryref2!AC29,IF(BJ49=summaryref2!X36,summaryref2!AC36,IF(BJ49=summaryref2!X43,summaryref2!AC43,IF(BJ49=summaryref2!X50,summaryref2!AC50,IF(BJ49=summaryref2!X57,summaryref2!AC57,IF(BJ49=summaryref2!X64,summaryref2!AC64,IF(BJ49=summaryref2!X71,summaryref2!AC71,IF(BJ49=summaryref2!X78,summaryref2!AC78,"")))))))))))</f>
        <v/>
      </c>
      <c r="BP49" s="1384" t="str">
        <f>IF('A-80 DirEntInv'!BP48&lt;&gt;"",'A-80 DirEntInv'!BP48,IF(BJ49=summaryref2!X15,summaryref2!AD15,IF(BJ49=summaryref2!X22,summaryref2!AD22,IF(BJ49=summaryref2!X29,summaryref2!AD29,IF(BJ49=summaryref2!X36,summaryref2!AD36,IF(BJ49=summaryref2!X43,summaryref2!AD43,IF(BJ49=summaryref2!X50,summaryref2!AD50,IF(BJ49=summaryref2!X57,summaryref2!AD57,IF(BJ49=summaryref2!X64,summaryref2!AD64,IF(BJ49=summaryref2!X71,summaryref2!AD71,IF(BJ49=summaryref2!X78,summaryref2!AD78,"")))))))))))</f>
        <v/>
      </c>
      <c r="BS49" s="1472" t="str">
        <f ca="1">IF('A-80 DirEntInv'!BU48&lt;&gt;"",'A-80 DirEntInv'!BU48,IF(INDIRECT(ADDRESS(SumRef!DK55,SumRef!DK$16,,,SumRef!$E$6))="","",INDIRECT(ADDRESS(SumRef!DK55,SumRef!DK$16,,,SumRef!$E$6))))</f>
        <v/>
      </c>
      <c r="BT49" s="1458" t="str">
        <f ca="1">IF('A-80 DirEntInv'!BV48&lt;&gt;"",'A-80 DirEntInv'!BV48,IF(INDIRECT(ADDRESS(SumRef!DL55,SumRef!DL$16,,,SumRef!$E$6))="","",INDIRECT(ADDRESS(SumRef!DL55,SumRef!DL$16,,,SumRef!$E$6))))</f>
        <v/>
      </c>
      <c r="BU49" s="1177" t="str">
        <f ca="1">IF('A-80 DirEntInv'!BW48&lt;&gt;"",'A-80 DirEntInv'!BW48,IF(INDIRECT(ADDRESS(SumRef!DM55,SumRef!DM$16,,,SumRef!$E$6))="","",INDIRECT(ADDRESS(SumRef!DM55,SumRef!DM$16,,,SumRef!$E$6))))</f>
        <v/>
      </c>
      <c r="BV49" s="1460" t="str">
        <f ca="1">IF('A-80 DirEntInv'!BX48&lt;&gt;"",'A-80 DirEntInv'!BX48,IF(INDIRECT(ADDRESS(SumRef!DN55,SumRef!DN$16,,,SumRef!$E$6))="","",INDIRECT(ADDRESS(SumRef!DN55,SumRef!DN$16,,,SumRef!$E$6))))</f>
        <v/>
      </c>
      <c r="BW49" s="1460" t="str">
        <f ca="1">IF('A-80 DirEntInv'!BY48&lt;&gt;"",'A-80 DirEntInv'!BY48,IF(INDIRECT(ADDRESS(SumRef!DO55,SumRef!DO$16,,,SumRef!$E$6))="","",INDIRECT(ADDRESS(SumRef!DO55,SumRef!DO$16,,,SumRef!$E$6))))</f>
        <v/>
      </c>
      <c r="BX49" s="1116" t="str">
        <f ca="1">IF('A-80 DirEntInv'!BZ48&lt;&gt;"",'A-80 DirEntInv'!BZ48,IF(INDIRECT(ADDRESS(SumRef!DP55,SumRef!DP$16,,,SumRef!$E$6))="","",INDIRECT(ADDRESS(SumRef!DP55,SumRef!DP$16,,,SumRef!$E$6))))</f>
        <v/>
      </c>
      <c r="BY49" s="1461" t="str">
        <f ca="1">IF('A-80 DirEntInv'!CA48&lt;&gt;"",'A-80 DirEntInv'!CA48,IF(INDIRECT(ADDRESS(SumRef!DQ55,SumRef!DQ$16,,,SumRef!$E$6))="","",INDIRECT(ADDRESS(SumRef!DQ55,SumRef!DQ$16,,,SumRef!$E$6))))</f>
        <v/>
      </c>
      <c r="BZ49" s="1460" t="str">
        <f ca="1">IF('A-80 DirEntInv'!CB48&lt;&gt;"",'A-80 DirEntInv'!CB48,IF(INDIRECT(ADDRESS(SumRef!DR55,SumRef!DR$16,,,SumRef!$E$6))="","",INDIRECT(ADDRESS(SumRef!DR55,SumRef!DR$16,,,SumRef!$E$6))))</f>
        <v/>
      </c>
      <c r="CA49" s="1462" t="str">
        <f ca="1">IF('A-80 DirEntInv'!CC48&lt;&gt;"",'A-80 DirEntInv'!CC48,IF(INDIRECT(ADDRESS(SumRef!DS55,SumRef!DS$16,,,SumRef!$E$6))="","",INDIRECT(ADDRESS(SumRef!DS55,SumRef!DS$16,,,SumRef!$E$6))))</f>
        <v/>
      </c>
      <c r="CD49" s="1160" t="str">
        <f ca="1">IF('A-80 DirEntInv'!CF48&lt;&gt;"",'A-80 DirEntInv'!CF48,IF(INDIRECT(ADDRESS(SumRef!DV55,SumRef!DV$16,,,SumRef!$E$7))="","",INDIRECT(ADDRESS(SumRef!DV55,SumRef!DV$16,,,SumRef!$E$7))))</f>
        <v/>
      </c>
      <c r="CE49" s="1167" t="str">
        <f ca="1">IF('A-80 DirEntInv'!CG48&lt;&gt;"",'A-80 DirEntInv'!CG48,IF(INDIRECT(ADDRESS(SumRef!DW55,SumRef!DW$16,,,SumRef!$E$7))="","",INDIRECT(ADDRESS(SumRef!DW55,SumRef!DW$16,,,SumRef!$E$7))))</f>
        <v/>
      </c>
      <c r="CF49" s="1167" t="str">
        <f ca="1">IF('A-80 DirEntInv'!CH48&lt;&gt;"",'A-80 DirEntInv'!CH48,IF(INDIRECT(ADDRESS(SumRef!DX55,SumRef!DX$16,,,SumRef!$E$7))="","",INDIRECT(ADDRESS(SumRef!DX55,SumRef!DX$16,,,SumRef!$E$7))))</f>
        <v/>
      </c>
      <c r="CG49" s="1167" t="str">
        <f ca="1">IF('A-80 DirEntInv'!CI48&lt;&gt;"",'A-80 DirEntInv'!CI48,IF(INDIRECT(ADDRESS(SumRef!DY55,SumRef!DY$16,,,SumRef!$E$7))="","",INDIRECT(ADDRESS(SumRef!DY55,SumRef!DY$16,,,SumRef!$E$7))))</f>
        <v/>
      </c>
      <c r="CH49" s="1167" t="str">
        <f ca="1">IF('A-80 DirEntInv'!CJ48&lt;&gt;"",'A-80 DirEntInv'!CJ48,IF(INDIRECT(ADDRESS(SumRef!DZ55,SumRef!DZ$16,,,SumRef!$E$7))="","",INDIRECT(ADDRESS(SumRef!DZ55,SumRef!DZ$16,,,SumRef!$E$7))))</f>
        <v/>
      </c>
      <c r="CI49" s="1167" t="str">
        <f ca="1">IF('A-80 DirEntInv'!CK48&lt;&gt;"",'A-80 DirEntInv'!CK48,IF(INDIRECT(ADDRESS(SumRef!EA55,SumRef!EA$16,,,SumRef!$E$7))="","",INDIRECT(ADDRESS(SumRef!EA55,SumRef!EA$16,,,SumRef!$E$7))))</f>
        <v/>
      </c>
      <c r="CJ49" s="1114" t="str">
        <f ca="1">IF('A-80 DirEntInv'!CL48&lt;&gt;"",'A-80 DirEntInv'!CL48,IF(INDIRECT(ADDRESS(SumRef!EB55,SumRef!EB$16,,,SumRef!$E$7))="","",INDIRECT(ADDRESS(SumRef!EB55,SumRef!EB$16,,,SumRef!$E$7))))</f>
        <v/>
      </c>
      <c r="CK49" s="1114" t="str">
        <f ca="1">IF('A-80 DirEntInv'!CM48&lt;&gt;"",'A-80 DirEntInv'!CM48,IF(INDIRECT(ADDRESS(SumRef!EC55,SumRef!EC$16,,,SumRef!$E$7))="","",INDIRECT(ADDRESS(SumRef!EC55,SumRef!EC$16,,,SumRef!$E$7))))</f>
        <v/>
      </c>
      <c r="CL49" s="1113" t="str">
        <f ca="1">IF('A-80 DirEntInv'!CO48&lt;&gt;"",'A-80 DirEntInv'!CO48,IF(INDIRECT(ADDRESS(SumRef!ED55,SumRef!ED$16,,,SumRef!$E$7))="","",INDIRECT(ADDRESS(SumRef!ED55,SumRef!ED$16,,,SumRef!$E$7))))</f>
        <v/>
      </c>
      <c r="CM49" s="1114" t="str">
        <f ca="1">IF('A-80 DirEntInv'!CP48&lt;&gt;"",'A-80 DirEntInv'!CP48,IF(INDIRECT(ADDRESS(SumRef!EE55,SumRef!EE$16,,,SumRef!$E$7))="","",INDIRECT(ADDRESS(SumRef!EE55,SumRef!EE$16,,,SumRef!$E$7))))</f>
        <v/>
      </c>
      <c r="CN49" s="1114" t="str">
        <f ca="1">IF('A-80 DirEntInv'!CQ48&lt;&gt;"",'A-80 DirEntInv'!CQ48,IF(INDIRECT(ADDRESS(SumRef!EF55,SumRef!EF$16,,,SumRef!$E$7))="","",INDIRECT(ADDRESS(SumRef!EF55,SumRef!EF$16,,,SumRef!$E$7))))</f>
        <v/>
      </c>
      <c r="CO49" s="1113" t="str">
        <f ca="1">IF('A-80 DirEntInv'!CR48&lt;&gt;"",'A-80 DirEntInv'!CR48,IF(INDIRECT(ADDRESS(SumRef!EG55,SumRef!EG$16,,,SumRef!$E$7))="","",INDIRECT(ADDRESS(SumRef!EG55,SumRef!EG$16,,,SumRef!$E$7))))</f>
        <v/>
      </c>
      <c r="CP49" s="1114" t="str">
        <f ca="1">IF('A-80 DirEntInv'!CS48&lt;&gt;"",'A-80 DirEntInv'!CS48,IF(INDIRECT(ADDRESS(SumRef!EH55,SumRef!EH$16,,,SumRef!$E$7))="","",INDIRECT(ADDRESS(SumRef!EH55,SumRef!EH$16,,,SumRef!$E$7))))</f>
        <v/>
      </c>
      <c r="CQ49" s="1346" t="str">
        <f ca="1">IF('A-80 DirEntInv'!CT48&lt;&gt;"",'A-80 DirEntInv'!CT48,IF(INDIRECT(ADDRESS(SumRef!EI55,SumRef!EI$16,,,SumRef!$E$7))="","",INDIRECT(ADDRESS(SumRef!EI55,SumRef!EI$16,,,SumRef!$E$7))))</f>
        <v/>
      </c>
      <c r="CR49" s="1113" t="str">
        <f ca="1">IF('A-80 DirEntInv'!CU48&lt;&gt;"",'A-80 DirEntInv'!CU48,IF(INDIRECT(ADDRESS(SumRef!EJ55,SumRef!EJ$16,,,SumRef!$E$7))="","",INDIRECT(ADDRESS(SumRef!EJ55,SumRef!EJ$16,,,SumRef!$E$7))))</f>
        <v/>
      </c>
      <c r="CS49" s="1346" t="str">
        <f ca="1">IF('A-80 DirEntInv'!CV48&lt;&gt;"",'A-80 DirEntInv'!CV48,IF(INDIRECT(ADDRESS(SumRef!EM55,SumRef!EM$16,,,SumRef!$E$7))="","",INDIRECT(ADDRESS(SumRef!EM55,SumRef!EM$16,,,SumRef!$E$7))))</f>
        <v/>
      </c>
      <c r="CT49" s="1113" t="str">
        <f ca="1">IF('A-80 DirEntInv'!CW48&lt;&gt;"",'A-80 DirEntInv'!CW48,IF(INDIRECT(ADDRESS(SumRef!EN55,SumRef!EN$16,,,SumRef!$E$7))="","",INDIRECT(ADDRESS(SumRef!EN55,SumRef!EN$16,,,SumRef!$E$7))))</f>
        <v/>
      </c>
      <c r="CU49" s="1113" t="str">
        <f ca="1">IF('A-80 DirEntInv'!CX48&lt;&gt;"",'A-80 DirEntInv'!CX48,IF(INDIRECT(ADDRESS(SumRef!EO55,SumRef!EO$16,,,SumRef!$E$7))="","",INDIRECT(ADDRESS(SumRef!EO55,SumRef!EO$16,,,SumRef!$E$7))))</f>
        <v/>
      </c>
      <c r="CV49" s="1113" t="str">
        <f ca="1">IF('A-80 DirEntInv'!CY48&lt;&gt;"",'A-80 DirEntInv'!CY48,IF(INDIRECT(ADDRESS(SumRef!EP55,SumRef!EP$16,,,SumRef!$E$7))="","",INDIRECT(ADDRESS(SumRef!EP55,SumRef!EP$16,,,SumRef!$E$7))))</f>
        <v/>
      </c>
      <c r="CW49" s="1114" t="str">
        <f ca="1">IF('A-80 DirEntInv'!CZ48&lt;&gt;"",'A-80 DirEntInv'!CZ48,IF(INDIRECT(ADDRESS(SumRef!ES55,SumRef!ES$16,,,SumRef!$E$7))="","",INDIRECT(ADDRESS(SumRef!ES55,SumRef!ES$16,,,SumRef!$E$7))))</f>
        <v/>
      </c>
      <c r="CX49" s="1167" t="str">
        <f ca="1">IF('A-80 DirEntInv'!DA48&lt;&gt;"",'A-80 DirEntInv'!DA48,IF(INDIRECT(ADDRESS(SumRef!ET55,SumRef!ET$16,,,SumRef!$E$7))="","",INDIRECT(ADDRESS(SumRef!ET55,SumRef!ET$16,,,SumRef!$E$7))))</f>
        <v/>
      </c>
      <c r="CY49" s="1167" t="str">
        <f ca="1">IF('A-80 DirEntInv'!DB48&lt;&gt;"",'A-80 DirEntInv'!DB48,IF(INDIRECT(ADDRESS(SumRef!EU55,SumRef!EU$16,,,SumRef!$E$7))="","",INDIRECT(ADDRESS(SumRef!EU55,SumRef!EU$16,,,SumRef!$E$7))))</f>
        <v/>
      </c>
      <c r="CZ49" s="1167" t="b">
        <f ca="1">IF('A-80 DirEntInv'!DC48&lt;&gt;"",'A-80 DirEntInv'!DC48,IF(INDIRECT(ADDRESS(SumRef!EV55,SumRef!EV$16,,,SumRef!$E$7))="","",INDIRECT(ADDRESS(SumRef!EV55,SumRef!EV$16,,,SumRef!$E$7))))</f>
        <v>0</v>
      </c>
      <c r="DA49" s="1373" t="str">
        <f ca="1">IF('A-80 DirEntInv'!DD48&lt;&gt;"",'A-80 DirEntInv'!DD48,IF(INDIRECT(ADDRESS(SumRef!EW55,SumRef!EW$16,,,SumRef!$E$7))="","",INDIRECT(ADDRESS(SumRef!EW55,SumRef!EW$16,,,SumRef!$E$7))))</f>
        <v/>
      </c>
      <c r="DB49" s="1373" t="b">
        <f ca="1">IF('A-80 DirEntInv'!DE48&lt;&gt;"",'A-80 DirEntInv'!DE48,IF(INDIRECT(ADDRESS(SumRef!EX55,SumRef!EX$16,,,SumRef!$E$7))="","",INDIRECT(ADDRESS(SumRef!EX55,SumRef!EX$16,,,SumRef!$E$7))))</f>
        <v>0</v>
      </c>
      <c r="DC49" s="1114" t="b">
        <f ca="1">IF('A-80 DirEntInv'!DF48&lt;&gt;"",'A-80 DirEntInv'!DF48,IF(INDIRECT(ADDRESS(SumRef!EY55,SumRef!EY$16,,,SumRef!$E$7))="","",INDIRECT(ADDRESS(SumRef!EY55,SumRef!EY$16,,,SumRef!$E$7))))</f>
        <v>0</v>
      </c>
      <c r="DD49" s="1115" t="str">
        <f ca="1">IF('A-80 DirEntInv'!DG48&lt;&gt;"",'A-80 DirEntInv'!DG48,IF(INDIRECT(ADDRESS(SumRef!EZ55,SumRef!EZ$16,,,SumRef!$E$7))="","",INDIRECT(ADDRESS(SumRef!EZ55,SumRef!EZ$16,,,SumRef!$E$7))))</f>
        <v/>
      </c>
    </row>
    <row r="50" spans="1:108" s="588" customFormat="1" x14ac:dyDescent="0.2">
      <c r="A50" s="589">
        <f t="shared" si="0"/>
        <v>40</v>
      </c>
      <c r="B50" s="1155" t="str">
        <f ca="1">IF('A-80 DirEntInv'!B49&lt;&gt;"",'A-80 DirEntInv'!B49,IF(INDIRECT(ADDRESS(SumRef!AQ56,SumRef!AQ$16,,,SumRef!$B$7))="","",INDIRECT(ADDRESS(SumRef!AQ56,SumRef!AQ$16,,,SumRef!$B$7))))</f>
        <v/>
      </c>
      <c r="C50" s="1097" t="str">
        <f ca="1">IF('A-80 DirEntInv'!C49&lt;&gt;"",'A-80 DirEntInv'!C49,IF(INDIRECT(ADDRESS(SumRef!AR56,SumRef!AR$16,,,SumRef!$B$7))="","",INDIRECT(ADDRESS(SumRef!AR56,SumRef!AR$16,,,SumRef!$B$7))))</f>
        <v/>
      </c>
      <c r="D50" s="1097" t="str">
        <f ca="1">IF('A-80 DirEntInv'!D49&lt;&gt;"",'A-80 DirEntInv'!D49,IF(INDIRECT(ADDRESS(SumRef!AS56,SumRef!AS$16,,,SumRef!$B$7))="","",INDIRECT(ADDRESS(SumRef!AS56,SumRef!AS$16,,,SumRef!$B$7))))</f>
        <v/>
      </c>
      <c r="E50" s="1097" t="str">
        <f ca="1">IF('A-80 DirEntInv'!E49&lt;&gt;"",'A-80 DirEntInv'!E49,IF(INDIRECT(ADDRESS(SumRef!AT56,SumRef!AT$16,,,SumRef!$B$7))="","",INDIRECT(ADDRESS(SumRef!AT56,SumRef!AT$16,,,SumRef!$B$7))))</f>
        <v/>
      </c>
      <c r="F50" s="1097" t="str">
        <f ca="1">IF('A-80 DirEntInv'!F49&lt;&gt;"",'A-80 DirEntInv'!F49,IF(INDIRECT(ADDRESS(SumRef!AU56,SumRef!AU$16,,,SumRef!$B$7))="","",INDIRECT(ADDRESS(SumRef!AU56,SumRef!AU$16,,,SumRef!$B$7))))</f>
        <v/>
      </c>
      <c r="G50" s="1158" t="str">
        <f ca="1">IF('A-80 DirEntInv'!G49&lt;&gt;"",'A-80 DirEntInv'!G49,IF(INDIRECT(ADDRESS(SumRef!AV56,SumRef!AV$16,,,SumRef!$B$7))="","",INDIRECT(ADDRESS(SumRef!AV56,SumRef!AV$16,,,SumRef!$B$7))))</f>
        <v/>
      </c>
      <c r="H50" s="1097" t="str">
        <f ca="1">IF('A-80 DirEntInv'!H49&lt;&gt;"",'A-80 DirEntInv'!H49,IF(INDIRECT(ADDRESS(SumRef!AW56,SumRef!AW$16,,,SumRef!$B$7))="","",INDIRECT(ADDRESS(SumRef!AW56,SumRef!AW$16,,,SumRef!$B$7))))</f>
        <v/>
      </c>
      <c r="I50" s="1097" t="str">
        <f ca="1">IF('A-80 DirEntInv'!I49&lt;&gt;"",'A-80 DirEntInv'!I49,IF(INDIRECT(ADDRESS(SumRef!AX56,SumRef!AX$16,,,SumRef!$B$7))="","",INDIRECT(ADDRESS(SumRef!AX56,SumRef!AX$16,,,SumRef!$B$7))))</f>
        <v/>
      </c>
      <c r="J50" s="1098" t="str">
        <f ca="1">IF('A-80 DirEntInv'!J49&lt;&gt;"",'A-80 DirEntInv'!J49,IF(INDIRECT(ADDRESS(SumRef!AY56,SumRef!AY$16,,,SumRef!$B$7))="","",INDIRECT(ADDRESS(SumRef!AY56,SumRef!AY$16,,,SumRef!$B$7))))</f>
        <v/>
      </c>
      <c r="K50" s="1099" t="str">
        <f ca="1">IF('A-80 DirEntInv'!K49&lt;&gt;"",'A-80 DirEntInv'!K49,IF(INDIRECT(ADDRESS(SumRef!AZ56,SumRef!AZ$16,,,SumRef!$B$7))="","",INDIRECT(ADDRESS(SumRef!AZ56,SumRef!AZ$16,,,SumRef!$B$7))))</f>
        <v/>
      </c>
      <c r="L50" s="1100" t="str">
        <f ca="1">IF('A-80 DirEntInv'!L49&lt;&gt;"",'A-80 DirEntInv'!L49,IF(INDIRECT(ADDRESS(SumRef!BA56,SumRef!BA$16,,,SumRef!$B$7))="","",INDIRECT(ADDRESS(SumRef!BA56,SumRef!BA$16,,,SumRef!$B$7))))</f>
        <v/>
      </c>
      <c r="M50" s="1101" t="str">
        <f ca="1">IF('A-80 DirEntInv'!M49&lt;&gt;"",'A-80 DirEntInv'!M49,IF(INDIRECT(ADDRESS(SumRef!BB56,SumRef!BB$16,,,SumRef!$B$7))="","",INDIRECT(ADDRESS(SumRef!BB56,SumRef!BB$16,,,SumRef!$B$7))))</f>
        <v/>
      </c>
      <c r="N50" s="1098" t="str">
        <f ca="1">IF('A-80 DirEntInv'!N49&lt;&gt;"",'A-80 DirEntInv'!N49,IF(INDIRECT(ADDRESS(SumRef!BC56,SumRef!BC$16,,,SumRef!$B$7))="","",INDIRECT(ADDRESS(SumRef!BC56,SumRef!BC$16,,,SumRef!$B$7))))</f>
        <v/>
      </c>
      <c r="O50" s="1102" t="str">
        <f ca="1">IF('A-80 DirEntInv'!O49&lt;&gt;"",'A-80 DirEntInv'!O49,IF(INDIRECT(ADDRESS(SumRef!BD56,SumRef!BD$16,,,SumRef!$B$7))="","",INDIRECT(ADDRESS(SumRef!BD56,SumRef!BD$16,,,SumRef!$B$7))))</f>
        <v/>
      </c>
      <c r="Q50" s="589"/>
      <c r="R50" s="1103" t="str">
        <f ca="1">IF('A-80 DirEntInv'!R49&lt;&gt;"",'A-80 DirEntInv'!R49,IF(INDIRECT(ADDRESS(SumRef!BH56,SumRef!BH$16,,,SumRef!$B$8))="","",INDIRECT(ADDRESS(SumRef!BH56,SumRef!BH$16,,,SumRef!$B$8))))</f>
        <v/>
      </c>
      <c r="S50" s="1104" t="str">
        <f ca="1">IF('A-80 DirEntInv'!S49&lt;&gt;"",'A-80 DirEntInv'!S49,IF(INDIRECT(ADDRESS(SumRef!BI56,SumRef!BI$16,,,SumRef!$B$8))="","",INDIRECT(ADDRESS(SumRef!BI56,SumRef!BI$16,,,SumRef!$B$8))))</f>
        <v/>
      </c>
      <c r="T50" s="1104" t="str">
        <f ca="1">IF('A-80 DirEntInv'!T49&lt;&gt;"",'A-80 DirEntInv'!T49,IF(INDIRECT(ADDRESS(SumRef!BJ56,SumRef!BJ$16,,,SumRef!$B$8))="","",INDIRECT(ADDRESS(SumRef!BJ56,SumRef!BJ$16,,,SumRef!$B$8))))</f>
        <v/>
      </c>
      <c r="U50" s="1104" t="str">
        <f ca="1">IF('A-80 DirEntInv'!U49&lt;&gt;"",'A-80 DirEntInv'!U49,IF(INDIRECT(ADDRESS(SumRef!BK56,SumRef!BK$16,,,SumRef!$B$8))="","",INDIRECT(ADDRESS(SumRef!BK56,SumRef!BK$16,,,SumRef!$B$8))))</f>
        <v/>
      </c>
      <c r="V50" s="1104" t="str">
        <f ca="1">IF('A-80 DirEntInv'!V49&lt;&gt;"",'A-80 DirEntInv'!V49,IF(INDIRECT(ADDRESS(SumRef!BL56,SumRef!BL$16,,,SumRef!$B$8))="","",INDIRECT(ADDRESS(SumRef!BL56,SumRef!BL$16,,,SumRef!$B$8))))</f>
        <v/>
      </c>
      <c r="W50" s="1354" t="str">
        <f ca="1">IF('A-80 DirEntInv'!W49&lt;&gt;"",'A-80 DirEntInv'!W49,IF(INDIRECT(ADDRESS(SumRef!BM56,SumRef!BM$16,,,SumRef!$B$8))="","",INDIRECT(ADDRESS(SumRef!BM56,SumRef!BM$16,,,SumRef!$B$8))))</f>
        <v/>
      </c>
      <c r="X50" s="1203" t="str">
        <f ca="1">IF('A-80 DirEntInv'!X49&lt;&gt;"",'A-80 DirEntInv'!X49,IF(INDIRECT(ADDRESS(SumRef!BN56,SumRef!BN$16,,,SumRef!$B$8))="","",INDIRECT(ADDRESS(SumRef!BN56,SumRef!BN$16,,,SumRef!$B$8))))</f>
        <v/>
      </c>
      <c r="Y50" s="1203" t="str">
        <f ca="1">IF('A-80 DirEntInv'!Y49&lt;&gt;"",'A-80 DirEntInv'!Y49,IF(INDIRECT(ADDRESS(SumRef!BO56,SumRef!BO$16,,,SumRef!$B$8))="","",INDIRECT(ADDRESS(SumRef!BO56,SumRef!BO$16,,,SumRef!$B$8))))</f>
        <v/>
      </c>
      <c r="Z50" s="1104" t="str">
        <f ca="1">IF('A-80 DirEntInv'!Z49&lt;&gt;"",'A-80 DirEntInv'!Z49,IF(INDIRECT(ADDRESS(SumRef!BP56,SumRef!BP$16,,,SumRef!$B$8))="","",INDIRECT(ADDRESS(SumRef!BP56,SumRef!BP$16,,,SumRef!$B$8))))</f>
        <v/>
      </c>
      <c r="AA50" s="1104" t="str">
        <f ca="1">IF('A-80 DirEntInv'!AA49&lt;&gt;"",'A-80 DirEntInv'!AA49,IF(INDIRECT(ADDRESS(SumRef!BQ56,SumRef!BQ$16,,,SumRef!$B$8))="","",INDIRECT(ADDRESS(SumRef!BQ56,SumRef!BQ$16,,,SumRef!$B$8))))</f>
        <v/>
      </c>
      <c r="AB50" s="1106" t="str">
        <f ca="1">IF('A-80 DirEntInv'!AB49&lt;&gt;"",'A-80 DirEntInv'!AB49,IF(INDIRECT(ADDRESS(SumRef!BR56,SumRef!BR$16,,,SumRef!$B$8))="","",INDIRECT(ADDRESS(SumRef!BR56,SumRef!BR$16,,,SumRef!$B$8))))</f>
        <v/>
      </c>
      <c r="AC50" s="1107" t="str">
        <f ca="1">IF('A-80 DirEntInv'!AC49&lt;&gt;"",'A-80 DirEntInv'!AC49,IF(INDIRECT(ADDRESS(SumRef!BS56,SumRef!BS$16,,,SumRef!$B$8))="","",INDIRECT(ADDRESS(SumRef!BS56,SumRef!BS$16,,,SumRef!$B$8))))</f>
        <v/>
      </c>
      <c r="AD50" s="1349" t="str">
        <f ca="1">IF('A-80 DirEntInv'!AD49&lt;&gt;"",'A-80 DirEntInv'!AD49,IF(INDIRECT(ADDRESS(SumRef!BT56,SumRef!BT$16,,,SumRef!$B$8))="","",INDIRECT(ADDRESS(SumRef!BT56,SumRef!BT$16,,,SumRef!$B$8))))</f>
        <v/>
      </c>
      <c r="AE50" s="1137" t="str">
        <f ca="1">IF('A-80 DirEntInv'!AE49&lt;&gt;"",'A-80 DirEntInv'!AE49,IF(INDIRECT(ADDRESS(SumRef!BU56,SumRef!BU$16,,,SumRef!$B$8))="","",INDIRECT(ADDRESS(SumRef!BU56,SumRef!BU$16,,,SumRef!$B$8))))</f>
        <v/>
      </c>
      <c r="AF50" s="1346" t="str">
        <f ca="1">IF('A-80 DirEntInv'!AF49&lt;&gt;"",'A-80 DirEntInv'!AF49,IF(INDIRECT(ADDRESS(SumRef!BV56,SumRef!BV$16,,,SumRef!$B$8))="","",INDIRECT(ADDRESS(SumRef!BV56,SumRef!BV$16,,,SumRef!$B$8))))</f>
        <v/>
      </c>
      <c r="AG50" s="1105" t="str">
        <f ca="1">IF('A-80 DirEntInv'!AG49&lt;&gt;"",'A-80 DirEntInv'!AG49,IF(INDIRECT(ADDRESS(SumRef!BW56,SumRef!BW$16,,,SumRef!$B$8))="","",INDIRECT(ADDRESS(SumRef!BW56,SumRef!BW$16,,,SumRef!$B$8))))</f>
        <v/>
      </c>
      <c r="AH50" s="1357" t="str">
        <f ca="1">IF('A-80 DirEntInv'!AH49&lt;&gt;"",'A-80 DirEntInv'!AH49,IF(INDIRECT(ADDRESS(SumRef!BX56,SumRef!BX$16,,,SumRef!$B$8))="","",INDIRECT(ADDRESS(SumRef!BX56,SumRef!BX$16,,,SumRef!$B$8))))</f>
        <v/>
      </c>
      <c r="AK50" s="1041" t="str">
        <f>Codes!$C$158</f>
        <v>AR - Alaska Railroad</v>
      </c>
      <c r="AL50" s="1042" t="str">
        <f>Valid!$B$89</f>
        <v>Third Rail/Power Distribution</v>
      </c>
      <c r="AM50" s="1108"/>
      <c r="AN50" s="1042"/>
      <c r="AO50" s="1108"/>
      <c r="AP50" s="1042"/>
      <c r="AQ50" s="1147" t="str">
        <f>IF('A-80 DirEntInv'!AQ49&lt;&gt;"",'A-80 DirEntInv'!AQ49,IF(AK50=summaryref2!B23,summaryref2!G23,IF(Summary!AK50=summaryref2!B37,summaryref2!G37,IF(AK50=summaryref2!B51,summaryref2!G51,IF(AK50=summaryref2!B65,summaryref2!G65,IF(AK50=summaryref2!B79,summaryref2!G79,IF(AK50=summaryref2!B93,summaryref2!G93,IF(AK50=summaryref2!B107,summaryref2!G107,IF(AK50=summaryref2!B121,summaryref2!G121,IF(AK50=summaryref2!B135,summaryref2!G135,IF(AK50=summaryref2!B149,summaryref2!G149,"")))))))))))</f>
        <v/>
      </c>
      <c r="AR50" s="1147" t="str">
        <f>IF('A-80 DirEntInv'!AR49&lt;&gt;"",'A-80 DirEntInv'!AR49,IF(AK50=summaryref2!B23,summaryref2!H23,IF(Summary!AK50=summaryref2!B37,summaryref2!H37,IF(AK50=summaryref2!B51,summaryref2!H51,IF(AK50=summaryref2!B65,summaryref2!H65,IF(AK50=summaryref2!B79,summaryref2!H79,IF(AK50=summaryref2!B93,summaryref2!H93,IF(AK50=summaryref2!B107,summaryref2!H107,IF(AK50=summaryref2!B121,summaryref2!H121,IF(AK50=summaryref2!B135,summaryref2!H135,IF(AK50=summaryref2!B149,summaryref2!H149,"")))))))))))</f>
        <v/>
      </c>
      <c r="AS50" s="1110" t="str">
        <f>IF('A-80 DirEntInv'!AS49&lt;&gt;"",'A-80 DirEntInv'!AS49,IF(AK50=summaryref2!B23,summaryref2!I23,IF(Summary!AK50=summaryref2!B37,summaryref2!I37,IF(AK50=summaryref2!B51,summaryref2!I51,IF(AK50=summaryref2!B65,summaryref2!I65,IF(AK50=summaryref2!B79,summaryref2!I79,IF(AK50=summaryref2!B93,summaryref2!I93,IF(AK50=summaryref2!B107,summaryref2!I107,IF(AK50=summaryref2!B121,summaryref2!I121,IF(AK50=summaryref2!B135,summaryref2!I135,IF(AK50=summaryref2!B149,summaryref2!I149,"")))))))))))</f>
        <v/>
      </c>
      <c r="AT50" s="1110" t="str">
        <f>IF('A-80 DirEntInv'!AT49&lt;&gt;"",'A-80 DirEntInv'!AT49,IF(AK50=summaryref2!B23,summaryref2!J23,IF(Summary!AK50=summaryref2!B37,summaryref2!J37,IF(AK50=summaryref2!B51,summaryref2!J51,IF(AK50=summaryref2!B65,summaryref2!J65,IF(AK50=summaryref2!B79,summaryref2!J79,IF(AK50=summaryref2!B93,summaryref2!J93,IF(AK50=summaryref2!B107,summaryref2!J107,IF(AK50=summaryref2!B121,summaryref2!J121,IF(AK50=summaryref2!B135,summaryref2!J135,IF(AK50=summaryref2!B149,summaryref2!J149,"")))))))))))</f>
        <v/>
      </c>
      <c r="AU50" s="1110" t="str">
        <f>IF('A-80 DirEntInv'!AU49&lt;&gt;"",'A-80 DirEntInv'!AU49,IF(AK50=summaryref2!B23,summaryref2!K23,IF(Summary!AK50=summaryref2!B37,summaryref2!K37,IF(AK50=summaryref2!B51,summaryref2!K51,IF(AK50=summaryref2!B65,summaryref2!K65,IF(AK50=summaryref2!B79,summaryref2!K79,IF(AK50=summaryref2!B93,summaryref2!K93,IF(AK50=summaryref2!B107,summaryref2!K107,IF(AK50=summaryref2!B121,summaryref2!K121,IF(AK50=summaryref2!B135,summaryref2!K135,IF(AK50=summaryref2!B149,summaryref2!K149,"")))))))))))</f>
        <v/>
      </c>
      <c r="AV50" s="1110" t="str">
        <f>IF('A-80 DirEntInv'!AV49&lt;&gt;"",'A-80 DirEntInv'!AV49,IF(AK50=summaryref2!B23,summaryref2!L23,IF(Summary!AK50=summaryref2!B37,summaryref2!L37,IF(AK50=summaryref2!B51,summaryref2!L51,IF(AK50=summaryref2!B65,summaryref2!L65,IF(AK50=summaryref2!B79,summaryref2!L79,IF(AK50=summaryref2!B93,summaryref2!L93,IF(AK50=summaryref2!B107,summaryref2!L107,IF(AK50=summaryref2!B121,summaryref2!L121,IF(AK50=summaryref2!B135,summaryref2!L135,IF(AK50=summaryref2!B149,summaryref2!L149,"")))))))))))</f>
        <v/>
      </c>
      <c r="AW50" s="1110" t="str">
        <f>IF('A-80 DirEntInv'!AW49&lt;&gt;"",'A-80 DirEntInv'!AW49,IF(AK50=summaryref2!B23,summaryref2!M23,IF(Summary!AK50=summaryref2!B37,summaryref2!M37,IF(AK50=summaryref2!B51,summaryref2!M51,IF(AK50=summaryref2!B65,summaryref2!M65,IF(AK50=summaryref2!B79,summaryref2!M79,IF(AK50=summaryref2!B93,summaryref2!M93,IF(AK50=summaryref2!B107,summaryref2!M107,IF(AK50=summaryref2!B121,summaryref2!M121,IF(AK50=summaryref2!B135,summaryref2!M135,IF(AK50=summaryref2!B149,summaryref2!M149,"")))))))))))</f>
        <v/>
      </c>
      <c r="AX50" s="1110" t="str">
        <f>IF('A-80 DirEntInv'!AX49&lt;&gt;"",'A-80 DirEntInv'!AX49,IF(AK50=summaryref2!B23,summaryref2!N23,IF(Summary!AK50=summaryref2!B37,summaryref2!N37,IF(AK50=summaryref2!B51,summaryref2!N51,IF(AK50=summaryref2!B65,summaryref2!N65,IF(AK50=summaryref2!B79,summaryref2!N79,IF(AK50=summaryref2!B93,summaryref2!N93,IF(AK50=summaryref2!B107,summaryref2!N107,IF(AK50=summaryref2!B121,summaryref2!N121,IF(AK50=summaryref2!B135,summaryref2!N135,IF(AK50=summaryref2!B149,summaryref2!N149,"")))))))))))</f>
        <v/>
      </c>
      <c r="AY50" s="1110" t="str">
        <f>IF('A-80 DirEntInv'!AY49&lt;&gt;"",'A-80 DirEntInv'!AY49,IF(AK50=summaryref2!B23,summaryref2!O23,IF(Summary!AK50=summaryref2!B37,summaryref2!O37,IF(AK50=summaryref2!B51,summaryref2!O51,IF(AK50=summaryref2!B65,summaryref2!O65,IF(AK50=summaryref2!B79,summaryref2!O79,IF(AK50=summaryref2!B93,summaryref2!O93,IF(AK50=summaryref2!B107,summaryref2!O107,IF(AK50=summaryref2!B121,summaryref2!O121,IF(AK50=summaryref2!B135,summaryref2!O135,IF(AK50=summaryref2!B149,summaryref2!O149,"")))))))))))</f>
        <v/>
      </c>
      <c r="AZ50" s="1110" t="str">
        <f>IF('A-80 DirEntInv'!AZ49&lt;&gt;"",'A-80 DirEntInv'!AZ49,IF(AK50=summaryref2!B23,summaryref2!P23,IF(Summary!AK50=summaryref2!B37,summaryref2!P37,IF(AK50=summaryref2!B51,summaryref2!P51,IF(AK50=summaryref2!B65,summaryref2!P65,IF(AK50=summaryref2!B79,summaryref2!P79,IF(AK50=summaryref2!B93,summaryref2!P93,IF(AK50=summaryref2!B107,summaryref2!P107,IF(AK50=summaryref2!B121,summaryref2!P121,IF(AK50=summaryref2!B135,summaryref2!P135,IF(AK50=summaryref2!B149,summaryref2!P149,"")))))))))))</f>
        <v/>
      </c>
      <c r="BA50" s="1110" t="str">
        <f>IF('A-80 DirEntInv'!BA49&lt;&gt;"",'A-80 DirEntInv'!BA49,IF(AK50=summaryref2!B23,summaryref2!Q23,IF(Summary!AK50=summaryref2!B37,summaryref2!Q37,IF(AK50=summaryref2!B51,summaryref2!Q51,IF(AK50=summaryref2!B65,summaryref2!Q65,IF(AK50=summaryref2!B79,summaryref2!Q79,IF(AK50=summaryref2!B93,summaryref2!Q93,IF(AK50=summaryref2!B107,summaryref2!Q107,IF(AK50=summaryref2!B121,summaryref2!Q121,IF(AK50=summaryref2!B135,summaryref2!Q135,IF(AK50=summaryref2!B149,summaryref2!Q149,"")))))))))))</f>
        <v/>
      </c>
      <c r="BB50" s="1110" t="str">
        <f>IF('A-80 DirEntInv'!BB49&lt;&gt;"",'A-80 DirEntInv'!BB49,IF(AK50=summaryref2!B23,summaryref2!R23,IF(Summary!AK50=summaryref2!B37,summaryref2!R37,IF(AK50=summaryref2!B51,summaryref2!R51,IF(AK50=summaryref2!B65,summaryref2!R65,IF(AK50=summaryref2!B79,summaryref2!R79,IF(AK50=summaryref2!B93,summaryref2!R93,IF(AK50=summaryref2!B107,summaryref2!R107,IF(AK50=summaryref2!B121,summaryref2!R121,IF(AK50=summaryref2!B135,summaryref2!R135,IF(AK50=summaryref2!B149,summaryref2!R149,"")))))))))))</f>
        <v/>
      </c>
      <c r="BC50" s="1110" t="str">
        <f>IF('A-80 DirEntInv'!BC49&lt;&gt;0,'A-80 DirEntInv'!BC49,IF(AK50=summaryref2!B23,summaryref2!S23,IF(Summary!AK50=summaryref2!B37,summaryref2!S37,IF(AK50=summaryref2!B51,summaryref2!S51,IF(AK50=summaryref2!B65,summaryref2!S65,IF(AK50=summaryref2!B79,summaryref2!S79,IF(AK50=summaryref2!B93,summaryref2!S93,IF(AK50=summaryref2!B107,summaryref2!S107,IF(AK50=summaryref2!B121,summaryref2!S121,IF(AK50=summaryref2!B135,summaryref2!S135,IF(AK50=summaryref2!B149,summaryref2!S149,"")))))))))))</f>
        <v/>
      </c>
      <c r="BD50" s="1111" t="str">
        <f>IF('A-80 DirEntInv'!BD49&lt;&gt;"",'A-80 DirEntInv'!BD49,IF(AK50=summaryref2!B23,summaryref2!T23,IF(Summary!AK50=summaryref2!B37,summaryref2!T37,IF(AK50=summaryref2!B51,summaryref2!T51,IF(AK50=summaryref2!B65,summaryref2!T65,IF(AK50=summaryref2!B79,summaryref2!T79,IF(AK50=summaryref2!B93,summaryref2!T93,IF(AK50=summaryref2!B107,summaryref2!T107,IF(AK50=summaryref2!B121,summaryref2!T121,IF(AK50=summaryref2!B135,summaryref2!T135,IF(AK50=summaryref2!B149,summaryref2!T149,"")))))))))))</f>
        <v/>
      </c>
      <c r="BE50" s="1184" t="str">
        <f>IF('A-80 DirEntInv'!BE49&lt;&gt;"",'A-80 DirEntInv'!BE49,IF(AK50=summaryref2!B23,summaryref2!U23,IF(Summary!AK50=summaryref2!B37,summaryref2!U37,IF(AK50=summaryref2!B51,summaryref2!U51,IF(AK50=summaryref2!B65,summaryref2!U65,IF(AK50=summaryref2!B79,summaryref2!U79,IF(AK50=summaryref2!B93,summaryref2!U93,IF(AK50=summaryref2!B107,summaryref2!U107,IF(AK50=summaryref2!B121,summaryref2!U121,IF(AK50=summaryref2!B135,summaryref2!U135,IF(AK50=summaryref2!B149,summaryref2!U149,"")))))))))))</f>
        <v/>
      </c>
      <c r="BF50" s="1432"/>
      <c r="BG50" s="1432"/>
      <c r="BJ50" s="1041" t="str">
        <f>Codes!$C$161</f>
        <v>CR - Commuter Rail (DO)</v>
      </c>
      <c r="BK50" s="1042" t="str">
        <f>Valid!$B$84</f>
        <v>Half Grand Union</v>
      </c>
      <c r="BL50" s="1375" t="str">
        <f>IF('A-80 DirEntInv'!BL49&lt;&gt;"",'A-80 DirEntInv'!BL49,IF(BJ50=summaryref2!X16,summaryref2!Z16,IF(BJ50=summaryref2!X23,summaryref2!Z23,IF(BJ50=summaryref2!X30,summaryref2!Z30,IF(BJ50=summaryref2!X37,summaryref2!Z37,IF(BJ50=summaryref2!X44,summaryref2!Z44,IF(BJ50=summaryref2!X51,summaryref2!Z51,IF(BJ50=summaryref2!X58,summaryref2!Z58,IF(BJ50=summaryref2!X65,summaryref2!Z65,IF(BJ50=summaryref2!X72,summaryref2!Z72,IF(BJ50=summaryref2!X79,summaryref2!Z79,"")))))))))))</f>
        <v/>
      </c>
      <c r="BM50" s="1042" t="str">
        <f>VLOOKUP(BK50,Valid!$B$80:$C$86,2,FALSE)</f>
        <v>Each</v>
      </c>
      <c r="BN50" s="1209" t="str">
        <f>IF('A-80 DirEntInv'!BN49&lt;&gt;"",'A-80 DirEntInv'!BN49,IF(BJ50=summaryref2!X16,summaryref2!AB16,IF(BJ50=summaryref2!X23,summaryref2!AB23,IF(BJ50=summaryref2!X30,summaryref2!AB30,IF(BJ50=summaryref2!X37,summaryref2!AB37,IF(BJ50=summaryref2!X44,summaryref2!AB44,IF(BJ50=summaryref2!X51,summaryref2!AB51,IF(BJ50=summaryref2!X58,summaryref2!AB58,IF(BJ50=summaryref2!X65,summaryref2!AB65,IF(BJ50=summaryref2!X72,summaryref2!AB72,IF(BJ50=summaryref2!X79,summaryref2!AB79,"")))))))))))</f>
        <v/>
      </c>
      <c r="BO50" s="1116" t="str">
        <f>IF('A-80 DirEntInv'!BO49&lt;&gt;"",'A-80 DirEntInv'!BO49,IF(BJ50=summaryref2!X16,summaryref2!AC16,IF(BJ50=summaryref2!X23,summaryref2!AC23,IF(BJ50=summaryref2!X30,summaryref2!AC30,IF(BJ50=summaryref2!X37,summaryref2!AC37,IF(BJ50=summaryref2!X44,summaryref2!AC44,IF(BJ50=summaryref2!X51,summaryref2!AC51,IF(BJ50=summaryref2!X58,summaryref2!AC58,IF(BJ50=summaryref2!X65,summaryref2!AC65,IF(BJ50=summaryref2!X72,summaryref2!AC72,IF(BJ50=summaryref2!X79,summaryref2!AC79,"")))))))))))</f>
        <v/>
      </c>
      <c r="BP50" s="1384" t="str">
        <f>IF('A-80 DirEntInv'!BP49&lt;&gt;"",'A-80 DirEntInv'!BP49,IF(BJ50=summaryref2!X16,summaryref2!AD16,IF(BJ50=summaryref2!X23,summaryref2!AD23,IF(BJ50=summaryref2!X30,summaryref2!AD30,IF(BJ50=summaryref2!X37,summaryref2!AD37,IF(BJ50=summaryref2!X44,summaryref2!AD44,IF(BJ50=summaryref2!X51,summaryref2!AD51,IF(BJ50=summaryref2!X58,summaryref2!AD58,IF(BJ50=summaryref2!X65,summaryref2!AD65,IF(BJ50=summaryref2!X72,summaryref2!AD72,IF(BJ50=summaryref2!X79,summaryref2!AD79,"")))))))))))</f>
        <v/>
      </c>
      <c r="BS50" s="1472" t="str">
        <f ca="1">IF('A-80 DirEntInv'!BU49&lt;&gt;"",'A-80 DirEntInv'!BU49,IF(INDIRECT(ADDRESS(SumRef!DK56,SumRef!DK$16,,,SumRef!$E$6))="","",INDIRECT(ADDRESS(SumRef!DK56,SumRef!DK$16,,,SumRef!$E$6))))</f>
        <v/>
      </c>
      <c r="BT50" s="1458" t="str">
        <f ca="1">IF('A-80 DirEntInv'!BV49&lt;&gt;"",'A-80 DirEntInv'!BV49,IF(INDIRECT(ADDRESS(SumRef!DL56,SumRef!DL$16,,,SumRef!$E$6))="","",INDIRECT(ADDRESS(SumRef!DL56,SumRef!DL$16,,,SumRef!$E$6))))</f>
        <v/>
      </c>
      <c r="BU50" s="1177" t="str">
        <f ca="1">IF('A-80 DirEntInv'!BW49&lt;&gt;"",'A-80 DirEntInv'!BW49,IF(INDIRECT(ADDRESS(SumRef!DM56,SumRef!DM$16,,,SumRef!$E$6))="","",INDIRECT(ADDRESS(SumRef!DM56,SumRef!DM$16,,,SumRef!$E$6))))</f>
        <v/>
      </c>
      <c r="BV50" s="1460" t="str">
        <f ca="1">IF('A-80 DirEntInv'!BX49&lt;&gt;"",'A-80 DirEntInv'!BX49,IF(INDIRECT(ADDRESS(SumRef!DN56,SumRef!DN$16,,,SumRef!$E$6))="","",INDIRECT(ADDRESS(SumRef!DN56,SumRef!DN$16,,,SumRef!$E$6))))</f>
        <v/>
      </c>
      <c r="BW50" s="1460" t="str">
        <f ca="1">IF('A-80 DirEntInv'!BY49&lt;&gt;"",'A-80 DirEntInv'!BY49,IF(INDIRECT(ADDRESS(SumRef!DO56,SumRef!DO$16,,,SumRef!$E$6))="","",INDIRECT(ADDRESS(SumRef!DO56,SumRef!DO$16,,,SumRef!$E$6))))</f>
        <v/>
      </c>
      <c r="BX50" s="1116" t="str">
        <f ca="1">IF('A-80 DirEntInv'!BZ49&lt;&gt;"",'A-80 DirEntInv'!BZ49,IF(INDIRECT(ADDRESS(SumRef!DP56,SumRef!DP$16,,,SumRef!$E$6))="","",INDIRECT(ADDRESS(SumRef!DP56,SumRef!DP$16,,,SumRef!$E$6))))</f>
        <v/>
      </c>
      <c r="BY50" s="1461" t="str">
        <f ca="1">IF('A-80 DirEntInv'!CA49&lt;&gt;"",'A-80 DirEntInv'!CA49,IF(INDIRECT(ADDRESS(SumRef!DQ56,SumRef!DQ$16,,,SumRef!$E$6))="","",INDIRECT(ADDRESS(SumRef!DQ56,SumRef!DQ$16,,,SumRef!$E$6))))</f>
        <v/>
      </c>
      <c r="BZ50" s="1460" t="str">
        <f ca="1">IF('A-80 DirEntInv'!CB49&lt;&gt;"",'A-80 DirEntInv'!CB49,IF(INDIRECT(ADDRESS(SumRef!DR56,SumRef!DR$16,,,SumRef!$E$6))="","",INDIRECT(ADDRESS(SumRef!DR56,SumRef!DR$16,,,SumRef!$E$6))))</f>
        <v/>
      </c>
      <c r="CA50" s="1462" t="str">
        <f ca="1">IF('A-80 DirEntInv'!CC49&lt;&gt;"",'A-80 DirEntInv'!CC49,IF(INDIRECT(ADDRESS(SumRef!DS56,SumRef!DS$16,,,SumRef!$E$6))="","",INDIRECT(ADDRESS(SumRef!DS56,SumRef!DS$16,,,SumRef!$E$6))))</f>
        <v/>
      </c>
      <c r="CD50" s="1160" t="str">
        <f ca="1">IF('A-80 DirEntInv'!CF49&lt;&gt;"",'A-80 DirEntInv'!CF49,IF(INDIRECT(ADDRESS(SumRef!DV56,SumRef!DV$16,,,SumRef!$E$7))="","",INDIRECT(ADDRESS(SumRef!DV56,SumRef!DV$16,,,SumRef!$E$7))))</f>
        <v/>
      </c>
      <c r="CE50" s="1167" t="str">
        <f ca="1">IF('A-80 DirEntInv'!CG49&lt;&gt;"",'A-80 DirEntInv'!CG49,IF(INDIRECT(ADDRESS(SumRef!DW56,SumRef!DW$16,,,SumRef!$E$7))="","",INDIRECT(ADDRESS(SumRef!DW56,SumRef!DW$16,,,SumRef!$E$7))))</f>
        <v/>
      </c>
      <c r="CF50" s="1167" t="str">
        <f ca="1">IF('A-80 DirEntInv'!CH49&lt;&gt;"",'A-80 DirEntInv'!CH49,IF(INDIRECT(ADDRESS(SumRef!DX56,SumRef!DX$16,,,SumRef!$E$7))="","",INDIRECT(ADDRESS(SumRef!DX56,SumRef!DX$16,,,SumRef!$E$7))))</f>
        <v/>
      </c>
      <c r="CG50" s="1167" t="str">
        <f ca="1">IF('A-80 DirEntInv'!CI49&lt;&gt;"",'A-80 DirEntInv'!CI49,IF(INDIRECT(ADDRESS(SumRef!DY56,SumRef!DY$16,,,SumRef!$E$7))="","",INDIRECT(ADDRESS(SumRef!DY56,SumRef!DY$16,,,SumRef!$E$7))))</f>
        <v/>
      </c>
      <c r="CH50" s="1167" t="str">
        <f ca="1">IF('A-80 DirEntInv'!CJ49&lt;&gt;"",'A-80 DirEntInv'!CJ49,IF(INDIRECT(ADDRESS(SumRef!DZ56,SumRef!DZ$16,,,SumRef!$E$7))="","",INDIRECT(ADDRESS(SumRef!DZ56,SumRef!DZ$16,,,SumRef!$E$7))))</f>
        <v/>
      </c>
      <c r="CI50" s="1167" t="str">
        <f ca="1">IF('A-80 DirEntInv'!CK49&lt;&gt;"",'A-80 DirEntInv'!CK49,IF(INDIRECT(ADDRESS(SumRef!EA56,SumRef!EA$16,,,SumRef!$E$7))="","",INDIRECT(ADDRESS(SumRef!EA56,SumRef!EA$16,,,SumRef!$E$7))))</f>
        <v/>
      </c>
      <c r="CJ50" s="1114" t="str">
        <f ca="1">IF('A-80 DirEntInv'!CL49&lt;&gt;"",'A-80 DirEntInv'!CL49,IF(INDIRECT(ADDRESS(SumRef!EB56,SumRef!EB$16,,,SumRef!$E$7))="","",INDIRECT(ADDRESS(SumRef!EB56,SumRef!EB$16,,,SumRef!$E$7))))</f>
        <v/>
      </c>
      <c r="CK50" s="1114" t="str">
        <f ca="1">IF('A-80 DirEntInv'!CM49&lt;&gt;"",'A-80 DirEntInv'!CM49,IF(INDIRECT(ADDRESS(SumRef!EC56,SumRef!EC$16,,,SumRef!$E$7))="","",INDIRECT(ADDRESS(SumRef!EC56,SumRef!EC$16,,,SumRef!$E$7))))</f>
        <v/>
      </c>
      <c r="CL50" s="1113" t="str">
        <f ca="1">IF('A-80 DirEntInv'!CO49&lt;&gt;"",'A-80 DirEntInv'!CO49,IF(INDIRECT(ADDRESS(SumRef!ED56,SumRef!ED$16,,,SumRef!$E$7))="","",INDIRECT(ADDRESS(SumRef!ED56,SumRef!ED$16,,,SumRef!$E$7))))</f>
        <v/>
      </c>
      <c r="CM50" s="1114" t="str">
        <f ca="1">IF('A-80 DirEntInv'!CP49&lt;&gt;"",'A-80 DirEntInv'!CP49,IF(INDIRECT(ADDRESS(SumRef!EE56,SumRef!EE$16,,,SumRef!$E$7))="","",INDIRECT(ADDRESS(SumRef!EE56,SumRef!EE$16,,,SumRef!$E$7))))</f>
        <v/>
      </c>
      <c r="CN50" s="1114" t="str">
        <f ca="1">IF('A-80 DirEntInv'!CQ49&lt;&gt;"",'A-80 DirEntInv'!CQ49,IF(INDIRECT(ADDRESS(SumRef!EF56,SumRef!EF$16,,,SumRef!$E$7))="","",INDIRECT(ADDRESS(SumRef!EF56,SumRef!EF$16,,,SumRef!$E$7))))</f>
        <v/>
      </c>
      <c r="CO50" s="1113" t="str">
        <f ca="1">IF('A-80 DirEntInv'!CR49&lt;&gt;"",'A-80 DirEntInv'!CR49,IF(INDIRECT(ADDRESS(SumRef!EG56,SumRef!EG$16,,,SumRef!$E$7))="","",INDIRECT(ADDRESS(SumRef!EG56,SumRef!EG$16,,,SumRef!$E$7))))</f>
        <v/>
      </c>
      <c r="CP50" s="1114" t="str">
        <f ca="1">IF('A-80 DirEntInv'!CS49&lt;&gt;"",'A-80 DirEntInv'!CS49,IF(INDIRECT(ADDRESS(SumRef!EH56,SumRef!EH$16,,,SumRef!$E$7))="","",INDIRECT(ADDRESS(SumRef!EH56,SumRef!EH$16,,,SumRef!$E$7))))</f>
        <v/>
      </c>
      <c r="CQ50" s="1346" t="str">
        <f ca="1">IF('A-80 DirEntInv'!CT49&lt;&gt;"",'A-80 DirEntInv'!CT49,IF(INDIRECT(ADDRESS(SumRef!EI56,SumRef!EI$16,,,SumRef!$E$7))="","",INDIRECT(ADDRESS(SumRef!EI56,SumRef!EI$16,,,SumRef!$E$7))))</f>
        <v/>
      </c>
      <c r="CR50" s="1113" t="str">
        <f ca="1">IF('A-80 DirEntInv'!CU49&lt;&gt;"",'A-80 DirEntInv'!CU49,IF(INDIRECT(ADDRESS(SumRef!EJ56,SumRef!EJ$16,,,SumRef!$E$7))="","",INDIRECT(ADDRESS(SumRef!EJ56,SumRef!EJ$16,,,SumRef!$E$7))))</f>
        <v/>
      </c>
      <c r="CS50" s="1346" t="str">
        <f ca="1">IF('A-80 DirEntInv'!CV49&lt;&gt;"",'A-80 DirEntInv'!CV49,IF(INDIRECT(ADDRESS(SumRef!EM56,SumRef!EM$16,,,SumRef!$E$7))="","",INDIRECT(ADDRESS(SumRef!EM56,SumRef!EM$16,,,SumRef!$E$7))))</f>
        <v/>
      </c>
      <c r="CT50" s="1113" t="str">
        <f ca="1">IF('A-80 DirEntInv'!CW49&lt;&gt;"",'A-80 DirEntInv'!CW49,IF(INDIRECT(ADDRESS(SumRef!EN56,SumRef!EN$16,,,SumRef!$E$7))="","",INDIRECT(ADDRESS(SumRef!EN56,SumRef!EN$16,,,SumRef!$E$7))))</f>
        <v/>
      </c>
      <c r="CU50" s="1113" t="str">
        <f ca="1">IF('A-80 DirEntInv'!CX49&lt;&gt;"",'A-80 DirEntInv'!CX49,IF(INDIRECT(ADDRESS(SumRef!EO56,SumRef!EO$16,,,SumRef!$E$7))="","",INDIRECT(ADDRESS(SumRef!EO56,SumRef!EO$16,,,SumRef!$E$7))))</f>
        <v/>
      </c>
      <c r="CV50" s="1113" t="str">
        <f ca="1">IF('A-80 DirEntInv'!CY49&lt;&gt;"",'A-80 DirEntInv'!CY49,IF(INDIRECT(ADDRESS(SumRef!EP56,SumRef!EP$16,,,SumRef!$E$7))="","",INDIRECT(ADDRESS(SumRef!EP56,SumRef!EP$16,,,SumRef!$E$7))))</f>
        <v/>
      </c>
      <c r="CW50" s="1114" t="str">
        <f ca="1">IF('A-80 DirEntInv'!CZ49&lt;&gt;"",'A-80 DirEntInv'!CZ49,IF(INDIRECT(ADDRESS(SumRef!ES56,SumRef!ES$16,,,SumRef!$E$7))="","",INDIRECT(ADDRESS(SumRef!ES56,SumRef!ES$16,,,SumRef!$E$7))))</f>
        <v/>
      </c>
      <c r="CX50" s="1167" t="str">
        <f ca="1">IF('A-80 DirEntInv'!DA49&lt;&gt;"",'A-80 DirEntInv'!DA49,IF(INDIRECT(ADDRESS(SumRef!ET56,SumRef!ET$16,,,SumRef!$E$7))="","",INDIRECT(ADDRESS(SumRef!ET56,SumRef!ET$16,,,SumRef!$E$7))))</f>
        <v/>
      </c>
      <c r="CY50" s="1167" t="str">
        <f ca="1">IF('A-80 DirEntInv'!DB49&lt;&gt;"",'A-80 DirEntInv'!DB49,IF(INDIRECT(ADDRESS(SumRef!EU56,SumRef!EU$16,,,SumRef!$E$7))="","",INDIRECT(ADDRESS(SumRef!EU56,SumRef!EU$16,,,SumRef!$E$7))))</f>
        <v/>
      </c>
      <c r="CZ50" s="1167" t="b">
        <f ca="1">IF('A-80 DirEntInv'!DC49&lt;&gt;"",'A-80 DirEntInv'!DC49,IF(INDIRECT(ADDRESS(SumRef!EV56,SumRef!EV$16,,,SumRef!$E$7))="","",INDIRECT(ADDRESS(SumRef!EV56,SumRef!EV$16,,,SumRef!$E$7))))</f>
        <v>0</v>
      </c>
      <c r="DA50" s="1373" t="str">
        <f ca="1">IF('A-80 DirEntInv'!DD49&lt;&gt;"",'A-80 DirEntInv'!DD49,IF(INDIRECT(ADDRESS(SumRef!EW56,SumRef!EW$16,,,SumRef!$E$7))="","",INDIRECT(ADDRESS(SumRef!EW56,SumRef!EW$16,,,SumRef!$E$7))))</f>
        <v/>
      </c>
      <c r="DB50" s="1373" t="b">
        <f ca="1">IF('A-80 DirEntInv'!DE49&lt;&gt;"",'A-80 DirEntInv'!DE49,IF(INDIRECT(ADDRESS(SumRef!EX56,SumRef!EX$16,,,SumRef!$E$7))="","",INDIRECT(ADDRESS(SumRef!EX56,SumRef!EX$16,,,SumRef!$E$7))))</f>
        <v>0</v>
      </c>
      <c r="DC50" s="1114" t="b">
        <f ca="1">IF('A-80 DirEntInv'!DF49&lt;&gt;"",'A-80 DirEntInv'!DF49,IF(INDIRECT(ADDRESS(SumRef!EY56,SumRef!EY$16,,,SumRef!$E$7))="","",INDIRECT(ADDRESS(SumRef!EY56,SumRef!EY$16,,,SumRef!$E$7))))</f>
        <v>0</v>
      </c>
      <c r="DD50" s="1115" t="str">
        <f ca="1">IF('A-80 DirEntInv'!DG49&lt;&gt;"",'A-80 DirEntInv'!DG49,IF(INDIRECT(ADDRESS(SumRef!EZ56,SumRef!EZ$16,,,SumRef!$E$7))="","",INDIRECT(ADDRESS(SumRef!EZ56,SumRef!EZ$16,,,SumRef!$E$7))))</f>
        <v/>
      </c>
    </row>
    <row r="51" spans="1:108" s="588" customFormat="1" x14ac:dyDescent="0.2">
      <c r="A51" s="589">
        <f t="shared" si="0"/>
        <v>41</v>
      </c>
      <c r="B51" s="1155" t="str">
        <f ca="1">IF('A-80 DirEntInv'!B50&lt;&gt;"",'A-80 DirEntInv'!B50,IF(INDIRECT(ADDRESS(SumRef!AQ57,SumRef!AQ$16,,,SumRef!$B$7))="","",INDIRECT(ADDRESS(SumRef!AQ57,SumRef!AQ$16,,,SumRef!$B$7))))</f>
        <v/>
      </c>
      <c r="C51" s="1097" t="str">
        <f ca="1">IF('A-80 DirEntInv'!C50&lt;&gt;"",'A-80 DirEntInv'!C50,IF(INDIRECT(ADDRESS(SumRef!AR57,SumRef!AR$16,,,SumRef!$B$7))="","",INDIRECT(ADDRESS(SumRef!AR57,SumRef!AR$16,,,SumRef!$B$7))))</f>
        <v/>
      </c>
      <c r="D51" s="1097" t="str">
        <f ca="1">IF('A-80 DirEntInv'!D50&lt;&gt;"",'A-80 DirEntInv'!D50,IF(INDIRECT(ADDRESS(SumRef!AS57,SumRef!AS$16,,,SumRef!$B$7))="","",INDIRECT(ADDRESS(SumRef!AS57,SumRef!AS$16,,,SumRef!$B$7))))</f>
        <v/>
      </c>
      <c r="E51" s="1097" t="str">
        <f ca="1">IF('A-80 DirEntInv'!E50&lt;&gt;"",'A-80 DirEntInv'!E50,IF(INDIRECT(ADDRESS(SumRef!AT57,SumRef!AT$16,,,SumRef!$B$7))="","",INDIRECT(ADDRESS(SumRef!AT57,SumRef!AT$16,,,SumRef!$B$7))))</f>
        <v/>
      </c>
      <c r="F51" s="1097" t="str">
        <f ca="1">IF('A-80 DirEntInv'!F50&lt;&gt;"",'A-80 DirEntInv'!F50,IF(INDIRECT(ADDRESS(SumRef!AU57,SumRef!AU$16,,,SumRef!$B$7))="","",INDIRECT(ADDRESS(SumRef!AU57,SumRef!AU$16,,,SumRef!$B$7))))</f>
        <v/>
      </c>
      <c r="G51" s="1158" t="str">
        <f ca="1">IF('A-80 DirEntInv'!G50&lt;&gt;"",'A-80 DirEntInv'!G50,IF(INDIRECT(ADDRESS(SumRef!AV57,SumRef!AV$16,,,SumRef!$B$7))="","",INDIRECT(ADDRESS(SumRef!AV57,SumRef!AV$16,,,SumRef!$B$7))))</f>
        <v/>
      </c>
      <c r="H51" s="1097" t="str">
        <f ca="1">IF('A-80 DirEntInv'!H50&lt;&gt;"",'A-80 DirEntInv'!H50,IF(INDIRECT(ADDRESS(SumRef!AW57,SumRef!AW$16,,,SumRef!$B$7))="","",INDIRECT(ADDRESS(SumRef!AW57,SumRef!AW$16,,,SumRef!$B$7))))</f>
        <v/>
      </c>
      <c r="I51" s="1097" t="str">
        <f ca="1">IF('A-80 DirEntInv'!I50&lt;&gt;"",'A-80 DirEntInv'!I50,IF(INDIRECT(ADDRESS(SumRef!AX57,SumRef!AX$16,,,SumRef!$B$7))="","",INDIRECT(ADDRESS(SumRef!AX57,SumRef!AX$16,,,SumRef!$B$7))))</f>
        <v/>
      </c>
      <c r="J51" s="1098" t="str">
        <f ca="1">IF('A-80 DirEntInv'!J50&lt;&gt;"",'A-80 DirEntInv'!J50,IF(INDIRECT(ADDRESS(SumRef!AY57,SumRef!AY$16,,,SumRef!$B$7))="","",INDIRECT(ADDRESS(SumRef!AY57,SumRef!AY$16,,,SumRef!$B$7))))</f>
        <v/>
      </c>
      <c r="K51" s="1099" t="str">
        <f ca="1">IF('A-80 DirEntInv'!K50&lt;&gt;"",'A-80 DirEntInv'!K50,IF(INDIRECT(ADDRESS(SumRef!AZ57,SumRef!AZ$16,,,SumRef!$B$7))="","",INDIRECT(ADDRESS(SumRef!AZ57,SumRef!AZ$16,,,SumRef!$B$7))))</f>
        <v/>
      </c>
      <c r="L51" s="1100" t="str">
        <f ca="1">IF('A-80 DirEntInv'!L50&lt;&gt;"",'A-80 DirEntInv'!L50,IF(INDIRECT(ADDRESS(SumRef!BA57,SumRef!BA$16,,,SumRef!$B$7))="","",INDIRECT(ADDRESS(SumRef!BA57,SumRef!BA$16,,,SumRef!$B$7))))</f>
        <v/>
      </c>
      <c r="M51" s="1101" t="str">
        <f ca="1">IF('A-80 DirEntInv'!M50&lt;&gt;"",'A-80 DirEntInv'!M50,IF(INDIRECT(ADDRESS(SumRef!BB57,SumRef!BB$16,,,SumRef!$B$7))="","",INDIRECT(ADDRESS(SumRef!BB57,SumRef!BB$16,,,SumRef!$B$7))))</f>
        <v/>
      </c>
      <c r="N51" s="1098" t="str">
        <f ca="1">IF('A-80 DirEntInv'!N50&lt;&gt;"",'A-80 DirEntInv'!N50,IF(INDIRECT(ADDRESS(SumRef!BC57,SumRef!BC$16,,,SumRef!$B$7))="","",INDIRECT(ADDRESS(SumRef!BC57,SumRef!BC$16,,,SumRef!$B$7))))</f>
        <v/>
      </c>
      <c r="O51" s="1102" t="str">
        <f ca="1">IF('A-80 DirEntInv'!O50&lt;&gt;"",'A-80 DirEntInv'!O50,IF(INDIRECT(ADDRESS(SumRef!BD57,SumRef!BD$16,,,SumRef!$B$7))="","",INDIRECT(ADDRESS(SumRef!BD57,SumRef!BD$16,,,SumRef!$B$7))))</f>
        <v/>
      </c>
      <c r="Q51" s="589"/>
      <c r="R51" s="1103" t="str">
        <f ca="1">IF('A-80 DirEntInv'!R50&lt;&gt;"",'A-80 DirEntInv'!R50,IF(INDIRECT(ADDRESS(SumRef!BH57,SumRef!BH$16,,,SumRef!$B$8))="","",INDIRECT(ADDRESS(SumRef!BH57,SumRef!BH$16,,,SumRef!$B$8))))</f>
        <v/>
      </c>
      <c r="S51" s="1104" t="str">
        <f ca="1">IF('A-80 DirEntInv'!S50&lt;&gt;"",'A-80 DirEntInv'!S50,IF(INDIRECT(ADDRESS(SumRef!BI57,SumRef!BI$16,,,SumRef!$B$8))="","",INDIRECT(ADDRESS(SumRef!BI57,SumRef!BI$16,,,SumRef!$B$8))))</f>
        <v/>
      </c>
      <c r="T51" s="1104" t="str">
        <f ca="1">IF('A-80 DirEntInv'!T50&lt;&gt;"",'A-80 DirEntInv'!T50,IF(INDIRECT(ADDRESS(SumRef!BJ57,SumRef!BJ$16,,,SumRef!$B$8))="","",INDIRECT(ADDRESS(SumRef!BJ57,SumRef!BJ$16,,,SumRef!$B$8))))</f>
        <v/>
      </c>
      <c r="U51" s="1104" t="str">
        <f ca="1">IF('A-80 DirEntInv'!U50&lt;&gt;"",'A-80 DirEntInv'!U50,IF(INDIRECT(ADDRESS(SumRef!BK57,SumRef!BK$16,,,SumRef!$B$8))="","",INDIRECT(ADDRESS(SumRef!BK57,SumRef!BK$16,,,SumRef!$B$8))))</f>
        <v/>
      </c>
      <c r="V51" s="1104" t="str">
        <f ca="1">IF('A-80 DirEntInv'!V50&lt;&gt;"",'A-80 DirEntInv'!V50,IF(INDIRECT(ADDRESS(SumRef!BL57,SumRef!BL$16,,,SumRef!$B$8))="","",INDIRECT(ADDRESS(SumRef!BL57,SumRef!BL$16,,,SumRef!$B$8))))</f>
        <v/>
      </c>
      <c r="W51" s="1354" t="str">
        <f ca="1">IF('A-80 DirEntInv'!W50&lt;&gt;"",'A-80 DirEntInv'!W50,IF(INDIRECT(ADDRESS(SumRef!BM57,SumRef!BM$16,,,SumRef!$B$8))="","",INDIRECT(ADDRESS(SumRef!BM57,SumRef!BM$16,,,SumRef!$B$8))))</f>
        <v/>
      </c>
      <c r="X51" s="1203" t="str">
        <f ca="1">IF('A-80 DirEntInv'!X50&lt;&gt;"",'A-80 DirEntInv'!X50,IF(INDIRECT(ADDRESS(SumRef!BN57,SumRef!BN$16,,,SumRef!$B$8))="","",INDIRECT(ADDRESS(SumRef!BN57,SumRef!BN$16,,,SumRef!$B$8))))</f>
        <v/>
      </c>
      <c r="Y51" s="1203" t="str">
        <f ca="1">IF('A-80 DirEntInv'!Y50&lt;&gt;"",'A-80 DirEntInv'!Y50,IF(INDIRECT(ADDRESS(SumRef!BO57,SumRef!BO$16,,,SumRef!$B$8))="","",INDIRECT(ADDRESS(SumRef!BO57,SumRef!BO$16,,,SumRef!$B$8))))</f>
        <v/>
      </c>
      <c r="Z51" s="1104" t="str">
        <f ca="1">IF('A-80 DirEntInv'!Z50&lt;&gt;"",'A-80 DirEntInv'!Z50,IF(INDIRECT(ADDRESS(SumRef!BP57,SumRef!BP$16,,,SumRef!$B$8))="","",INDIRECT(ADDRESS(SumRef!BP57,SumRef!BP$16,,,SumRef!$B$8))))</f>
        <v/>
      </c>
      <c r="AA51" s="1104" t="str">
        <f ca="1">IF('A-80 DirEntInv'!AA50&lt;&gt;"",'A-80 DirEntInv'!AA50,IF(INDIRECT(ADDRESS(SumRef!BQ57,SumRef!BQ$16,,,SumRef!$B$8))="","",INDIRECT(ADDRESS(SumRef!BQ57,SumRef!BQ$16,,,SumRef!$B$8))))</f>
        <v/>
      </c>
      <c r="AB51" s="1106" t="str">
        <f ca="1">IF('A-80 DirEntInv'!AB50&lt;&gt;"",'A-80 DirEntInv'!AB50,IF(INDIRECT(ADDRESS(SumRef!BR57,SumRef!BR$16,,,SumRef!$B$8))="","",INDIRECT(ADDRESS(SumRef!BR57,SumRef!BR$16,,,SumRef!$B$8))))</f>
        <v/>
      </c>
      <c r="AC51" s="1107" t="str">
        <f ca="1">IF('A-80 DirEntInv'!AC50&lt;&gt;"",'A-80 DirEntInv'!AC50,IF(INDIRECT(ADDRESS(SumRef!BS57,SumRef!BS$16,,,SumRef!$B$8))="","",INDIRECT(ADDRESS(SumRef!BS57,SumRef!BS$16,,,SumRef!$B$8))))</f>
        <v/>
      </c>
      <c r="AD51" s="1349" t="str">
        <f ca="1">IF('A-80 DirEntInv'!AD50&lt;&gt;"",'A-80 DirEntInv'!AD50,IF(INDIRECT(ADDRESS(SumRef!BT57,SumRef!BT$16,,,SumRef!$B$8))="","",INDIRECT(ADDRESS(SumRef!BT57,SumRef!BT$16,,,SumRef!$B$8))))</f>
        <v/>
      </c>
      <c r="AE51" s="1137" t="str">
        <f ca="1">IF('A-80 DirEntInv'!AE50&lt;&gt;"",'A-80 DirEntInv'!AE50,IF(INDIRECT(ADDRESS(SumRef!BU57,SumRef!BU$16,,,SumRef!$B$8))="","",INDIRECT(ADDRESS(SumRef!BU57,SumRef!BU$16,,,SumRef!$B$8))))</f>
        <v/>
      </c>
      <c r="AF51" s="1346" t="str">
        <f ca="1">IF('A-80 DirEntInv'!AF50&lt;&gt;"",'A-80 DirEntInv'!AF50,IF(INDIRECT(ADDRESS(SumRef!BV57,SumRef!BV$16,,,SumRef!$B$8))="","",INDIRECT(ADDRESS(SumRef!BV57,SumRef!BV$16,,,SumRef!$B$8))))</f>
        <v/>
      </c>
      <c r="AG51" s="1105" t="str">
        <f ca="1">IF('A-80 DirEntInv'!AG50&lt;&gt;"",'A-80 DirEntInv'!AG50,IF(INDIRECT(ADDRESS(SumRef!BW57,SumRef!BW$16,,,SumRef!$B$8))="","",INDIRECT(ADDRESS(SumRef!BW57,SumRef!BW$16,,,SumRef!$B$8))))</f>
        <v/>
      </c>
      <c r="AH51" s="1357" t="str">
        <f ca="1">IF('A-80 DirEntInv'!AH50&lt;&gt;"",'A-80 DirEntInv'!AH50,IF(INDIRECT(ADDRESS(SumRef!BX57,SumRef!BX$16,,,SumRef!$B$8))="","",INDIRECT(ADDRESS(SumRef!BX57,SumRef!BX$16,,,SumRef!$B$8))))</f>
        <v/>
      </c>
      <c r="AK51" s="1041" t="str">
        <f>Codes!$C$158</f>
        <v>AR - Alaska Railroad</v>
      </c>
      <c r="AL51" s="1042" t="str">
        <f>Valid!$B$90</f>
        <v>Overhead Contact System/Power Distribution</v>
      </c>
      <c r="AM51" s="1108"/>
      <c r="AN51" s="1042"/>
      <c r="AO51" s="1108"/>
      <c r="AP51" s="1042"/>
      <c r="AQ51" s="1147" t="str">
        <f>IF('A-80 DirEntInv'!AQ50&lt;&gt;"",'A-80 DirEntInv'!AQ50,IF(AK51=summaryref2!B24,summaryref2!G24,IF(Summary!AK51=summaryref2!B38,summaryref2!G38,IF(AK51=summaryref2!B52,summaryref2!G52,IF(AK51=summaryref2!B66,summaryref2!G66,IF(AK51=summaryref2!B80,summaryref2!G80,IF(AK51=summaryref2!B94,summaryref2!G94,IF(AK51=summaryref2!B108,summaryref2!G108,IF(AK51=summaryref2!B122,summaryref2!G122,IF(AK51=summaryref2!B136,summaryref2!G136,IF(AK51=summaryref2!B150,summaryref2!G150,"")))))))))))</f>
        <v/>
      </c>
      <c r="AR51" s="1147" t="str">
        <f>IF('A-80 DirEntInv'!AR50&lt;&gt;"",'A-80 DirEntInv'!AR50,IF(AK51=summaryref2!B24,summaryref2!H24,IF(Summary!AK51=summaryref2!B38,summaryref2!H38,IF(AK51=summaryref2!B52,summaryref2!H52,IF(AK51=summaryref2!B66,summaryref2!H66,IF(AK51=summaryref2!B80,summaryref2!H80,IF(AK51=summaryref2!B94,summaryref2!H94,IF(AK51=summaryref2!B108,summaryref2!H108,IF(AK51=summaryref2!B122,summaryref2!H122,IF(AK51=summaryref2!B136,summaryref2!H136,IF(AK51=summaryref2!B150,summaryref2!H150,"")))))))))))</f>
        <v/>
      </c>
      <c r="AS51" s="1110" t="str">
        <f>IF('A-80 DirEntInv'!AS50&lt;&gt;"",'A-80 DirEntInv'!AS50,IF(AK51=summaryref2!B24,summaryref2!I24,IF(Summary!AK51=summaryref2!B38,summaryref2!I38,IF(AK51=summaryref2!B52,summaryref2!I52,IF(AK51=summaryref2!B66,summaryref2!I66,IF(AK51=summaryref2!B80,summaryref2!I80,IF(AK51=summaryref2!B94,summaryref2!I94,IF(AK51=summaryref2!B108,summaryref2!I108,IF(AK51=summaryref2!B122,summaryref2!I122,IF(AK51=summaryref2!B136,summaryref2!I136,IF(AK51=summaryref2!B150,summaryref2!I150,"")))))))))))</f>
        <v/>
      </c>
      <c r="AT51" s="1110" t="str">
        <f>IF('A-80 DirEntInv'!AT50&lt;&gt;"",'A-80 DirEntInv'!AT50,IF(AK51=summaryref2!B24,summaryref2!J24,IF(Summary!AK51=summaryref2!B38,summaryref2!J38,IF(AK51=summaryref2!B52,summaryref2!J52,IF(AK51=summaryref2!B66,summaryref2!J66,IF(AK51=summaryref2!B80,summaryref2!J80,IF(AK51=summaryref2!B94,summaryref2!J94,IF(AK51=summaryref2!B108,summaryref2!J108,IF(AK51=summaryref2!B122,summaryref2!J122,IF(AK51=summaryref2!B136,summaryref2!J136,IF(AK51=summaryref2!B150,summaryref2!J150,"")))))))))))</f>
        <v/>
      </c>
      <c r="AU51" s="1110" t="str">
        <f>IF('A-80 DirEntInv'!AU50&lt;&gt;"",'A-80 DirEntInv'!AU50,IF(AK51=summaryref2!B24,summaryref2!K24,IF(Summary!AK51=summaryref2!B38,summaryref2!K38,IF(AK51=summaryref2!B52,summaryref2!K52,IF(AK51=summaryref2!B66,summaryref2!K66,IF(AK51=summaryref2!B80,summaryref2!K80,IF(AK51=summaryref2!B94,summaryref2!K94,IF(AK51=summaryref2!B108,summaryref2!K108,IF(AK51=summaryref2!B122,summaryref2!K122,IF(AK51=summaryref2!B136,summaryref2!K136,IF(AK51=summaryref2!B150,summaryref2!K150,"")))))))))))</f>
        <v/>
      </c>
      <c r="AV51" s="1110" t="str">
        <f>IF('A-80 DirEntInv'!AV50&lt;&gt;"",'A-80 DirEntInv'!AV50,IF(AK51=summaryref2!B24,summaryref2!L24,IF(Summary!AK51=summaryref2!B38,summaryref2!L38,IF(AK51=summaryref2!B52,summaryref2!L52,IF(AK51=summaryref2!B66,summaryref2!L66,IF(AK51=summaryref2!B80,summaryref2!L80,IF(AK51=summaryref2!B94,summaryref2!L94,IF(AK51=summaryref2!B108,summaryref2!L108,IF(AK51=summaryref2!B122,summaryref2!L122,IF(AK51=summaryref2!B136,summaryref2!L136,IF(AK51=summaryref2!B150,summaryref2!L150,"")))))))))))</f>
        <v/>
      </c>
      <c r="AW51" s="1110" t="str">
        <f>IF('A-80 DirEntInv'!AW50&lt;&gt;"",'A-80 DirEntInv'!AW50,IF(AK51=summaryref2!B24,summaryref2!M24,IF(Summary!AK51=summaryref2!B38,summaryref2!M38,IF(AK51=summaryref2!B52,summaryref2!M52,IF(AK51=summaryref2!B66,summaryref2!M66,IF(AK51=summaryref2!B80,summaryref2!M80,IF(AK51=summaryref2!B94,summaryref2!M94,IF(AK51=summaryref2!B108,summaryref2!M108,IF(AK51=summaryref2!B122,summaryref2!M122,IF(AK51=summaryref2!B136,summaryref2!M136,IF(AK51=summaryref2!B150,summaryref2!M150,"")))))))))))</f>
        <v/>
      </c>
      <c r="AX51" s="1110" t="str">
        <f>IF('A-80 DirEntInv'!AX50&lt;&gt;"",'A-80 DirEntInv'!AX50,IF(AK51=summaryref2!B24,summaryref2!N24,IF(Summary!AK51=summaryref2!B38,summaryref2!N38,IF(AK51=summaryref2!B52,summaryref2!N52,IF(AK51=summaryref2!B66,summaryref2!N66,IF(AK51=summaryref2!B80,summaryref2!N80,IF(AK51=summaryref2!B94,summaryref2!N94,IF(AK51=summaryref2!B108,summaryref2!N108,IF(AK51=summaryref2!B122,summaryref2!N122,IF(AK51=summaryref2!B136,summaryref2!N136,IF(AK51=summaryref2!B150,summaryref2!N150,"")))))))))))</f>
        <v/>
      </c>
      <c r="AY51" s="1110" t="str">
        <f>IF('A-80 DirEntInv'!AY50&lt;&gt;"",'A-80 DirEntInv'!AY50,IF(AK51=summaryref2!B24,summaryref2!O24,IF(Summary!AK51=summaryref2!B38,summaryref2!O38,IF(AK51=summaryref2!B52,summaryref2!O52,IF(AK51=summaryref2!B66,summaryref2!O66,IF(AK51=summaryref2!B80,summaryref2!O80,IF(AK51=summaryref2!B94,summaryref2!O94,IF(AK51=summaryref2!B108,summaryref2!O108,IF(AK51=summaryref2!B122,summaryref2!O122,IF(AK51=summaryref2!B136,summaryref2!O136,IF(AK51=summaryref2!B150,summaryref2!O150,"")))))))))))</f>
        <v/>
      </c>
      <c r="AZ51" s="1110" t="str">
        <f>IF('A-80 DirEntInv'!AZ50&lt;&gt;"",'A-80 DirEntInv'!AZ50,IF(AK51=summaryref2!B24,summaryref2!P24,IF(Summary!AK51=summaryref2!B38,summaryref2!P38,IF(AK51=summaryref2!B52,summaryref2!P52,IF(AK51=summaryref2!B66,summaryref2!P66,IF(AK51=summaryref2!B80,summaryref2!P80,IF(AK51=summaryref2!B94,summaryref2!P94,IF(AK51=summaryref2!B108,summaryref2!P108,IF(AK51=summaryref2!B122,summaryref2!P122,IF(AK51=summaryref2!B136,summaryref2!P136,IF(AK51=summaryref2!B150,summaryref2!P150,"")))))))))))</f>
        <v/>
      </c>
      <c r="BA51" s="1110" t="str">
        <f>IF('A-80 DirEntInv'!BA50&lt;&gt;"",'A-80 DirEntInv'!BA50,IF(AK51=summaryref2!B24,summaryref2!Q24,IF(Summary!AK51=summaryref2!B38,summaryref2!Q38,IF(AK51=summaryref2!B52,summaryref2!Q52,IF(AK51=summaryref2!B66,summaryref2!Q66,IF(AK51=summaryref2!B80,summaryref2!Q80,IF(AK51=summaryref2!B94,summaryref2!Q94,IF(AK51=summaryref2!B108,summaryref2!Q108,IF(AK51=summaryref2!B122,summaryref2!Q122,IF(AK51=summaryref2!B136,summaryref2!Q136,IF(AK51=summaryref2!B150,summaryref2!Q150,"")))))))))))</f>
        <v/>
      </c>
      <c r="BB51" s="1110" t="str">
        <f>IF('A-80 DirEntInv'!BB50&lt;&gt;"",'A-80 DirEntInv'!BB50,IF(AK51=summaryref2!B24,summaryref2!R24,IF(Summary!AK51=summaryref2!B38,summaryref2!R38,IF(AK51=summaryref2!B52,summaryref2!R52,IF(AK51=summaryref2!B66,summaryref2!R66,IF(AK51=summaryref2!B80,summaryref2!R80,IF(AK51=summaryref2!B94,summaryref2!R94,IF(AK51=summaryref2!B108,summaryref2!R108,IF(AK51=summaryref2!B122,summaryref2!R122,IF(AK51=summaryref2!B136,summaryref2!R136,IF(AK51=summaryref2!B150,summaryref2!R150,"")))))))))))</f>
        <v/>
      </c>
      <c r="BC51" s="1110" t="str">
        <f>IF('A-80 DirEntInv'!BC50&lt;&gt;0,'A-80 DirEntInv'!BC50,IF(AK51=summaryref2!B24,summaryref2!S24,IF(Summary!AK51=summaryref2!B38,summaryref2!S38,IF(AK51=summaryref2!B52,summaryref2!S52,IF(AK51=summaryref2!B66,summaryref2!S66,IF(AK51=summaryref2!B80,summaryref2!S80,IF(AK51=summaryref2!B94,summaryref2!S94,IF(AK51=summaryref2!B108,summaryref2!S108,IF(AK51=summaryref2!B122,summaryref2!S122,IF(AK51=summaryref2!B136,summaryref2!S136,IF(AK51=summaryref2!B150,summaryref2!S150,"")))))))))))</f>
        <v/>
      </c>
      <c r="BD51" s="1111" t="str">
        <f>IF('A-80 DirEntInv'!BD50&lt;&gt;"",'A-80 DirEntInv'!BD50,IF(AK51=summaryref2!B24,summaryref2!T24,IF(Summary!AK51=summaryref2!B38,summaryref2!T38,IF(AK51=summaryref2!B52,summaryref2!T52,IF(AK51=summaryref2!B66,summaryref2!T66,IF(AK51=summaryref2!B80,summaryref2!T80,IF(AK51=summaryref2!B94,summaryref2!T94,IF(AK51=summaryref2!B108,summaryref2!T108,IF(AK51=summaryref2!B122,summaryref2!T122,IF(AK51=summaryref2!B136,summaryref2!T136,IF(AK51=summaryref2!B150,summaryref2!T150,"")))))))))))</f>
        <v/>
      </c>
      <c r="BE51" s="1184" t="str">
        <f>IF('A-80 DirEntInv'!BE50&lt;&gt;"",'A-80 DirEntInv'!BE50,IF(AK51=summaryref2!B24,summaryref2!U24,IF(Summary!AK51=summaryref2!B38,summaryref2!U38,IF(AK51=summaryref2!B52,summaryref2!U52,IF(AK51=summaryref2!B66,summaryref2!U66,IF(AK51=summaryref2!B80,summaryref2!U80,IF(AK51=summaryref2!B94,summaryref2!U94,IF(AK51=summaryref2!B108,summaryref2!U108,IF(AK51=summaryref2!B122,summaryref2!U122,IF(AK51=summaryref2!B136,summaryref2!U136,IF(AK51=summaryref2!B150,summaryref2!U150,"")))))))))))</f>
        <v/>
      </c>
      <c r="BF51" s="1432"/>
      <c r="BG51" s="1432"/>
      <c r="BJ51" s="1041" t="str">
        <f>Codes!$C$161</f>
        <v>CR - Commuter Rail (DO)</v>
      </c>
      <c r="BK51" s="1042" t="str">
        <f>Valid!$B$85</f>
        <v>Single Turnout</v>
      </c>
      <c r="BL51" s="1375" t="str">
        <f>IF('A-80 DirEntInv'!BL50&lt;&gt;"",'A-80 DirEntInv'!BL50,IF(BJ51=summaryref2!X17,summaryref2!Z17,IF(BJ51=summaryref2!X24,summaryref2!Z24,IF(BJ51=summaryref2!X31,summaryref2!Z31,IF(BJ51=summaryref2!X38,summaryref2!Z38,IF(BJ51=summaryref2!X45,summaryref2!Z45,IF(BJ51=summaryref2!X52,summaryref2!Z52,IF(BJ51=summaryref2!X59,summaryref2!Z59,IF(BJ51=summaryref2!X66,summaryref2!Z66,IF(BJ51=summaryref2!X73,summaryref2!Z73,IF(BJ51=summaryref2!X80,summaryref2!Z80,"")))))))))))</f>
        <v/>
      </c>
      <c r="BM51" s="1042" t="str">
        <f>VLOOKUP(BK51,Valid!$B$80:$C$86,2,FALSE)</f>
        <v>Each</v>
      </c>
      <c r="BN51" s="1209" t="str">
        <f>IF('A-80 DirEntInv'!BN50&lt;&gt;"",'A-80 DirEntInv'!BN50,IF(BJ51=summaryref2!X17,summaryref2!AB17,IF(BJ51=summaryref2!X24,summaryref2!AB24,IF(BJ51=summaryref2!X31,summaryref2!AB31,IF(BJ51=summaryref2!X38,summaryref2!AB38,IF(BJ51=summaryref2!X45,summaryref2!AB45,IF(BJ51=summaryref2!X52,summaryref2!AB52,IF(BJ51=summaryref2!X59,summaryref2!AB59,IF(BJ51=summaryref2!X66,summaryref2!AB66,IF(BJ51=summaryref2!X73,summaryref2!AB73,IF(BJ51=summaryref2!X80,summaryref2!AB80,"")))))))))))</f>
        <v/>
      </c>
      <c r="BO51" s="1116" t="str">
        <f>IF('A-80 DirEntInv'!BO50&lt;&gt;"",'A-80 DirEntInv'!BO50,IF(BJ51=summaryref2!X17,summaryref2!AC17,IF(BJ51=summaryref2!X24,summaryref2!AC24,IF(BJ51=summaryref2!X31,summaryref2!AC31,IF(BJ51=summaryref2!X38,summaryref2!AC38,IF(BJ51=summaryref2!X45,summaryref2!AC45,IF(BJ51=summaryref2!X52,summaryref2!AC52,IF(BJ51=summaryref2!X59,summaryref2!AC59,IF(BJ51=summaryref2!X66,summaryref2!AC66,IF(BJ51=summaryref2!X73,summaryref2!AC73,IF(BJ51=summaryref2!X80,summaryref2!AC80,"")))))))))))</f>
        <v/>
      </c>
      <c r="BP51" s="1384" t="str">
        <f>IF('A-80 DirEntInv'!BP50&lt;&gt;"",'A-80 DirEntInv'!BP50,IF(BJ51=summaryref2!X17,summaryref2!AD17,IF(BJ51=summaryref2!X24,summaryref2!AD24,IF(BJ51=summaryref2!X31,summaryref2!AD31,IF(BJ51=summaryref2!X38,summaryref2!AD38,IF(BJ51=summaryref2!X45,summaryref2!AD45,IF(BJ51=summaryref2!X52,summaryref2!AD52,IF(BJ51=summaryref2!X59,summaryref2!AD59,IF(BJ51=summaryref2!X66,summaryref2!AD66,IF(BJ51=summaryref2!X73,summaryref2!AD73,IF(BJ51=summaryref2!X80,summaryref2!AD80,"")))))))))))</f>
        <v/>
      </c>
      <c r="BS51" s="1472" t="str">
        <f ca="1">IF('A-80 DirEntInv'!BU50&lt;&gt;"",'A-80 DirEntInv'!BU50,IF(INDIRECT(ADDRESS(SumRef!DK57,SumRef!DK$16,,,SumRef!$E$6))="","",INDIRECT(ADDRESS(SumRef!DK57,SumRef!DK$16,,,SumRef!$E$6))))</f>
        <v/>
      </c>
      <c r="BT51" s="1458" t="str">
        <f ca="1">IF('A-80 DirEntInv'!BV50&lt;&gt;"",'A-80 DirEntInv'!BV50,IF(INDIRECT(ADDRESS(SumRef!DL57,SumRef!DL$16,,,SumRef!$E$6))="","",INDIRECT(ADDRESS(SumRef!DL57,SumRef!DL$16,,,SumRef!$E$6))))</f>
        <v/>
      </c>
      <c r="BU51" s="1177" t="str">
        <f ca="1">IF('A-80 DirEntInv'!BW50&lt;&gt;"",'A-80 DirEntInv'!BW50,IF(INDIRECT(ADDRESS(SumRef!DM57,SumRef!DM$16,,,SumRef!$E$6))="","",INDIRECT(ADDRESS(SumRef!DM57,SumRef!DM$16,,,SumRef!$E$6))))</f>
        <v/>
      </c>
      <c r="BV51" s="1460" t="str">
        <f ca="1">IF('A-80 DirEntInv'!BX50&lt;&gt;"",'A-80 DirEntInv'!BX50,IF(INDIRECT(ADDRESS(SumRef!DN57,SumRef!DN$16,,,SumRef!$E$6))="","",INDIRECT(ADDRESS(SumRef!DN57,SumRef!DN$16,,,SumRef!$E$6))))</f>
        <v/>
      </c>
      <c r="BW51" s="1460" t="str">
        <f ca="1">IF('A-80 DirEntInv'!BY50&lt;&gt;"",'A-80 DirEntInv'!BY50,IF(INDIRECT(ADDRESS(SumRef!DO57,SumRef!DO$16,,,SumRef!$E$6))="","",INDIRECT(ADDRESS(SumRef!DO57,SumRef!DO$16,,,SumRef!$E$6))))</f>
        <v/>
      </c>
      <c r="BX51" s="1116" t="str">
        <f ca="1">IF('A-80 DirEntInv'!BZ50&lt;&gt;"",'A-80 DirEntInv'!BZ50,IF(INDIRECT(ADDRESS(SumRef!DP57,SumRef!DP$16,,,SumRef!$E$6))="","",INDIRECT(ADDRESS(SumRef!DP57,SumRef!DP$16,,,SumRef!$E$6))))</f>
        <v/>
      </c>
      <c r="BY51" s="1461" t="str">
        <f ca="1">IF('A-80 DirEntInv'!CA50&lt;&gt;"",'A-80 DirEntInv'!CA50,IF(INDIRECT(ADDRESS(SumRef!DQ57,SumRef!DQ$16,,,SumRef!$E$6))="","",INDIRECT(ADDRESS(SumRef!DQ57,SumRef!DQ$16,,,SumRef!$E$6))))</f>
        <v/>
      </c>
      <c r="BZ51" s="1460" t="str">
        <f ca="1">IF('A-80 DirEntInv'!CB50&lt;&gt;"",'A-80 DirEntInv'!CB50,IF(INDIRECT(ADDRESS(SumRef!DR57,SumRef!DR$16,,,SumRef!$E$6))="","",INDIRECT(ADDRESS(SumRef!DR57,SumRef!DR$16,,,SumRef!$E$6))))</f>
        <v/>
      </c>
      <c r="CA51" s="1462" t="str">
        <f ca="1">IF('A-80 DirEntInv'!CC50&lt;&gt;"",'A-80 DirEntInv'!CC50,IF(INDIRECT(ADDRESS(SumRef!DS57,SumRef!DS$16,,,SumRef!$E$6))="","",INDIRECT(ADDRESS(SumRef!DS57,SumRef!DS$16,,,SumRef!$E$6))))</f>
        <v/>
      </c>
      <c r="CD51" s="1160" t="str">
        <f ca="1">IF('A-80 DirEntInv'!CF50&lt;&gt;"",'A-80 DirEntInv'!CF50,IF(INDIRECT(ADDRESS(SumRef!DV57,SumRef!DV$16,,,SumRef!$E$7))="","",INDIRECT(ADDRESS(SumRef!DV57,SumRef!DV$16,,,SumRef!$E$7))))</f>
        <v/>
      </c>
      <c r="CE51" s="1167" t="str">
        <f ca="1">IF('A-80 DirEntInv'!CG50&lt;&gt;"",'A-80 DirEntInv'!CG50,IF(INDIRECT(ADDRESS(SumRef!DW57,SumRef!DW$16,,,SumRef!$E$7))="","",INDIRECT(ADDRESS(SumRef!DW57,SumRef!DW$16,,,SumRef!$E$7))))</f>
        <v/>
      </c>
      <c r="CF51" s="1167" t="str">
        <f ca="1">IF('A-80 DirEntInv'!CH50&lt;&gt;"",'A-80 DirEntInv'!CH50,IF(INDIRECT(ADDRESS(SumRef!DX57,SumRef!DX$16,,,SumRef!$E$7))="","",INDIRECT(ADDRESS(SumRef!DX57,SumRef!DX$16,,,SumRef!$E$7))))</f>
        <v/>
      </c>
      <c r="CG51" s="1167" t="str">
        <f ca="1">IF('A-80 DirEntInv'!CI50&lt;&gt;"",'A-80 DirEntInv'!CI50,IF(INDIRECT(ADDRESS(SumRef!DY57,SumRef!DY$16,,,SumRef!$E$7))="","",INDIRECT(ADDRESS(SumRef!DY57,SumRef!DY$16,,,SumRef!$E$7))))</f>
        <v/>
      </c>
      <c r="CH51" s="1167" t="str">
        <f ca="1">IF('A-80 DirEntInv'!CJ50&lt;&gt;"",'A-80 DirEntInv'!CJ50,IF(INDIRECT(ADDRESS(SumRef!DZ57,SumRef!DZ$16,,,SumRef!$E$7))="","",INDIRECT(ADDRESS(SumRef!DZ57,SumRef!DZ$16,,,SumRef!$E$7))))</f>
        <v/>
      </c>
      <c r="CI51" s="1167" t="str">
        <f ca="1">IF('A-80 DirEntInv'!CK50&lt;&gt;"",'A-80 DirEntInv'!CK50,IF(INDIRECT(ADDRESS(SumRef!EA57,SumRef!EA$16,,,SumRef!$E$7))="","",INDIRECT(ADDRESS(SumRef!EA57,SumRef!EA$16,,,SumRef!$E$7))))</f>
        <v/>
      </c>
      <c r="CJ51" s="1114" t="str">
        <f ca="1">IF('A-80 DirEntInv'!CL50&lt;&gt;"",'A-80 DirEntInv'!CL50,IF(INDIRECT(ADDRESS(SumRef!EB57,SumRef!EB$16,,,SumRef!$E$7))="","",INDIRECT(ADDRESS(SumRef!EB57,SumRef!EB$16,,,SumRef!$E$7))))</f>
        <v/>
      </c>
      <c r="CK51" s="1114" t="str">
        <f ca="1">IF('A-80 DirEntInv'!CM50&lt;&gt;"",'A-80 DirEntInv'!CM50,IF(INDIRECT(ADDRESS(SumRef!EC57,SumRef!EC$16,,,SumRef!$E$7))="","",INDIRECT(ADDRESS(SumRef!EC57,SumRef!EC$16,,,SumRef!$E$7))))</f>
        <v/>
      </c>
      <c r="CL51" s="1113" t="str">
        <f ca="1">IF('A-80 DirEntInv'!CO50&lt;&gt;"",'A-80 DirEntInv'!CO50,IF(INDIRECT(ADDRESS(SumRef!ED57,SumRef!ED$16,,,SumRef!$E$7))="","",INDIRECT(ADDRESS(SumRef!ED57,SumRef!ED$16,,,SumRef!$E$7))))</f>
        <v/>
      </c>
      <c r="CM51" s="1114" t="str">
        <f ca="1">IF('A-80 DirEntInv'!CP50&lt;&gt;"",'A-80 DirEntInv'!CP50,IF(INDIRECT(ADDRESS(SumRef!EE57,SumRef!EE$16,,,SumRef!$E$7))="","",INDIRECT(ADDRESS(SumRef!EE57,SumRef!EE$16,,,SumRef!$E$7))))</f>
        <v/>
      </c>
      <c r="CN51" s="1114" t="str">
        <f ca="1">IF('A-80 DirEntInv'!CQ50&lt;&gt;"",'A-80 DirEntInv'!CQ50,IF(INDIRECT(ADDRESS(SumRef!EF57,SumRef!EF$16,,,SumRef!$E$7))="","",INDIRECT(ADDRESS(SumRef!EF57,SumRef!EF$16,,,SumRef!$E$7))))</f>
        <v/>
      </c>
      <c r="CO51" s="1113" t="str">
        <f ca="1">IF('A-80 DirEntInv'!CR50&lt;&gt;"",'A-80 DirEntInv'!CR50,IF(INDIRECT(ADDRESS(SumRef!EG57,SumRef!EG$16,,,SumRef!$E$7))="","",INDIRECT(ADDRESS(SumRef!EG57,SumRef!EG$16,,,SumRef!$E$7))))</f>
        <v/>
      </c>
      <c r="CP51" s="1114" t="str">
        <f ca="1">IF('A-80 DirEntInv'!CS50&lt;&gt;"",'A-80 DirEntInv'!CS50,IF(INDIRECT(ADDRESS(SumRef!EH57,SumRef!EH$16,,,SumRef!$E$7))="","",INDIRECT(ADDRESS(SumRef!EH57,SumRef!EH$16,,,SumRef!$E$7))))</f>
        <v/>
      </c>
      <c r="CQ51" s="1346" t="str">
        <f ca="1">IF('A-80 DirEntInv'!CT50&lt;&gt;"",'A-80 DirEntInv'!CT50,IF(INDIRECT(ADDRESS(SumRef!EI57,SumRef!EI$16,,,SumRef!$E$7))="","",INDIRECT(ADDRESS(SumRef!EI57,SumRef!EI$16,,,SumRef!$E$7))))</f>
        <v/>
      </c>
      <c r="CR51" s="1113" t="str">
        <f ca="1">IF('A-80 DirEntInv'!CU50&lt;&gt;"",'A-80 DirEntInv'!CU50,IF(INDIRECT(ADDRESS(SumRef!EJ57,SumRef!EJ$16,,,SumRef!$E$7))="","",INDIRECT(ADDRESS(SumRef!EJ57,SumRef!EJ$16,,,SumRef!$E$7))))</f>
        <v/>
      </c>
      <c r="CS51" s="1346" t="str">
        <f ca="1">IF('A-80 DirEntInv'!CV50&lt;&gt;"",'A-80 DirEntInv'!CV50,IF(INDIRECT(ADDRESS(SumRef!EM57,SumRef!EM$16,,,SumRef!$E$7))="","",INDIRECT(ADDRESS(SumRef!EM57,SumRef!EM$16,,,SumRef!$E$7))))</f>
        <v/>
      </c>
      <c r="CT51" s="1113" t="str">
        <f ca="1">IF('A-80 DirEntInv'!CW50&lt;&gt;"",'A-80 DirEntInv'!CW50,IF(INDIRECT(ADDRESS(SumRef!EN57,SumRef!EN$16,,,SumRef!$E$7))="","",INDIRECT(ADDRESS(SumRef!EN57,SumRef!EN$16,,,SumRef!$E$7))))</f>
        <v/>
      </c>
      <c r="CU51" s="1113" t="str">
        <f ca="1">IF('A-80 DirEntInv'!CX50&lt;&gt;"",'A-80 DirEntInv'!CX50,IF(INDIRECT(ADDRESS(SumRef!EO57,SumRef!EO$16,,,SumRef!$E$7))="","",INDIRECT(ADDRESS(SumRef!EO57,SumRef!EO$16,,,SumRef!$E$7))))</f>
        <v/>
      </c>
      <c r="CV51" s="1113" t="str">
        <f ca="1">IF('A-80 DirEntInv'!CY50&lt;&gt;"",'A-80 DirEntInv'!CY50,IF(INDIRECT(ADDRESS(SumRef!EP57,SumRef!EP$16,,,SumRef!$E$7))="","",INDIRECT(ADDRESS(SumRef!EP57,SumRef!EP$16,,,SumRef!$E$7))))</f>
        <v/>
      </c>
      <c r="CW51" s="1114" t="str">
        <f ca="1">IF('A-80 DirEntInv'!CZ50&lt;&gt;"",'A-80 DirEntInv'!CZ50,IF(INDIRECT(ADDRESS(SumRef!ES57,SumRef!ES$16,,,SumRef!$E$7))="","",INDIRECT(ADDRESS(SumRef!ES57,SumRef!ES$16,,,SumRef!$E$7))))</f>
        <v/>
      </c>
      <c r="CX51" s="1167" t="str">
        <f ca="1">IF('A-80 DirEntInv'!DA50&lt;&gt;"",'A-80 DirEntInv'!DA50,IF(INDIRECT(ADDRESS(SumRef!ET57,SumRef!ET$16,,,SumRef!$E$7))="","",INDIRECT(ADDRESS(SumRef!ET57,SumRef!ET$16,,,SumRef!$E$7))))</f>
        <v/>
      </c>
      <c r="CY51" s="1167" t="str">
        <f ca="1">IF('A-80 DirEntInv'!DB50&lt;&gt;"",'A-80 DirEntInv'!DB50,IF(INDIRECT(ADDRESS(SumRef!EU57,SumRef!EU$16,,,SumRef!$E$7))="","",INDIRECT(ADDRESS(SumRef!EU57,SumRef!EU$16,,,SumRef!$E$7))))</f>
        <v/>
      </c>
      <c r="CZ51" s="1167" t="b">
        <f ca="1">IF('A-80 DirEntInv'!DC50&lt;&gt;"",'A-80 DirEntInv'!DC50,IF(INDIRECT(ADDRESS(SumRef!EV57,SumRef!EV$16,,,SumRef!$E$7))="","",INDIRECT(ADDRESS(SumRef!EV57,SumRef!EV$16,,,SumRef!$E$7))))</f>
        <v>0</v>
      </c>
      <c r="DA51" s="1373" t="str">
        <f ca="1">IF('A-80 DirEntInv'!DD50&lt;&gt;"",'A-80 DirEntInv'!DD50,IF(INDIRECT(ADDRESS(SumRef!EW57,SumRef!EW$16,,,SumRef!$E$7))="","",INDIRECT(ADDRESS(SumRef!EW57,SumRef!EW$16,,,SumRef!$E$7))))</f>
        <v/>
      </c>
      <c r="DB51" s="1373" t="b">
        <f ca="1">IF('A-80 DirEntInv'!DE50&lt;&gt;"",'A-80 DirEntInv'!DE50,IF(INDIRECT(ADDRESS(SumRef!EX57,SumRef!EX$16,,,SumRef!$E$7))="","",INDIRECT(ADDRESS(SumRef!EX57,SumRef!EX$16,,,SumRef!$E$7))))</f>
        <v>0</v>
      </c>
      <c r="DC51" s="1114" t="b">
        <f ca="1">IF('A-80 DirEntInv'!DF50&lt;&gt;"",'A-80 DirEntInv'!DF50,IF(INDIRECT(ADDRESS(SumRef!EY57,SumRef!EY$16,,,SumRef!$E$7))="","",INDIRECT(ADDRESS(SumRef!EY57,SumRef!EY$16,,,SumRef!$E$7))))</f>
        <v>0</v>
      </c>
      <c r="DD51" s="1115" t="str">
        <f ca="1">IF('A-80 DirEntInv'!DG50&lt;&gt;"",'A-80 DirEntInv'!DG50,IF(INDIRECT(ADDRESS(SumRef!EZ57,SumRef!EZ$16,,,SumRef!$E$7))="","",INDIRECT(ADDRESS(SumRef!EZ57,SumRef!EZ$16,,,SumRef!$E$7))))</f>
        <v/>
      </c>
    </row>
    <row r="52" spans="1:108" s="588" customFormat="1" ht="13.5" thickBot="1" x14ac:dyDescent="0.25">
      <c r="A52" s="589">
        <f t="shared" si="0"/>
        <v>42</v>
      </c>
      <c r="B52" s="1155" t="str">
        <f ca="1">IF('A-80 DirEntInv'!B51&lt;&gt;"",'A-80 DirEntInv'!B51,IF(INDIRECT(ADDRESS(SumRef!AQ58,SumRef!AQ$16,,,SumRef!$B$7))="","",INDIRECT(ADDRESS(SumRef!AQ58,SumRef!AQ$16,,,SumRef!$B$7))))</f>
        <v/>
      </c>
      <c r="C52" s="1097" t="str">
        <f ca="1">IF('A-80 DirEntInv'!C51&lt;&gt;"",'A-80 DirEntInv'!C51,IF(INDIRECT(ADDRESS(SumRef!AR58,SumRef!AR$16,,,SumRef!$B$7))="","",INDIRECT(ADDRESS(SumRef!AR58,SumRef!AR$16,,,SumRef!$B$7))))</f>
        <v/>
      </c>
      <c r="D52" s="1097" t="str">
        <f ca="1">IF('A-80 DirEntInv'!D51&lt;&gt;"",'A-80 DirEntInv'!D51,IF(INDIRECT(ADDRESS(SumRef!AS58,SumRef!AS$16,,,SumRef!$B$7))="","",INDIRECT(ADDRESS(SumRef!AS58,SumRef!AS$16,,,SumRef!$B$7))))</f>
        <v/>
      </c>
      <c r="E52" s="1097" t="str">
        <f ca="1">IF('A-80 DirEntInv'!E51&lt;&gt;"",'A-80 DirEntInv'!E51,IF(INDIRECT(ADDRESS(SumRef!AT58,SumRef!AT$16,,,SumRef!$B$7))="","",INDIRECT(ADDRESS(SumRef!AT58,SumRef!AT$16,,,SumRef!$B$7))))</f>
        <v/>
      </c>
      <c r="F52" s="1097" t="str">
        <f ca="1">IF('A-80 DirEntInv'!F51&lt;&gt;"",'A-80 DirEntInv'!F51,IF(INDIRECT(ADDRESS(SumRef!AU58,SumRef!AU$16,,,SumRef!$B$7))="","",INDIRECT(ADDRESS(SumRef!AU58,SumRef!AU$16,,,SumRef!$B$7))))</f>
        <v/>
      </c>
      <c r="G52" s="1158" t="str">
        <f ca="1">IF('A-80 DirEntInv'!G51&lt;&gt;"",'A-80 DirEntInv'!G51,IF(INDIRECT(ADDRESS(SumRef!AV58,SumRef!AV$16,,,SumRef!$B$7))="","",INDIRECT(ADDRESS(SumRef!AV58,SumRef!AV$16,,,SumRef!$B$7))))</f>
        <v/>
      </c>
      <c r="H52" s="1097" t="str">
        <f ca="1">IF('A-80 DirEntInv'!H51&lt;&gt;"",'A-80 DirEntInv'!H51,IF(INDIRECT(ADDRESS(SumRef!AW58,SumRef!AW$16,,,SumRef!$B$7))="","",INDIRECT(ADDRESS(SumRef!AW58,SumRef!AW$16,,,SumRef!$B$7))))</f>
        <v/>
      </c>
      <c r="I52" s="1097" t="str">
        <f ca="1">IF('A-80 DirEntInv'!I51&lt;&gt;"",'A-80 DirEntInv'!I51,IF(INDIRECT(ADDRESS(SumRef!AX58,SumRef!AX$16,,,SumRef!$B$7))="","",INDIRECT(ADDRESS(SumRef!AX58,SumRef!AX$16,,,SumRef!$B$7))))</f>
        <v/>
      </c>
      <c r="J52" s="1098" t="str">
        <f ca="1">IF('A-80 DirEntInv'!J51&lt;&gt;"",'A-80 DirEntInv'!J51,IF(INDIRECT(ADDRESS(SumRef!AY58,SumRef!AY$16,,,SumRef!$B$7))="","",INDIRECT(ADDRESS(SumRef!AY58,SumRef!AY$16,,,SumRef!$B$7))))</f>
        <v/>
      </c>
      <c r="K52" s="1099" t="str">
        <f ca="1">IF('A-80 DirEntInv'!K51&lt;&gt;"",'A-80 DirEntInv'!K51,IF(INDIRECT(ADDRESS(SumRef!AZ58,SumRef!AZ$16,,,SumRef!$B$7))="","",INDIRECT(ADDRESS(SumRef!AZ58,SumRef!AZ$16,,,SumRef!$B$7))))</f>
        <v/>
      </c>
      <c r="L52" s="1100" t="str">
        <f ca="1">IF('A-80 DirEntInv'!L51&lt;&gt;"",'A-80 DirEntInv'!L51,IF(INDIRECT(ADDRESS(SumRef!BA58,SumRef!BA$16,,,SumRef!$B$7))="","",INDIRECT(ADDRESS(SumRef!BA58,SumRef!BA$16,,,SumRef!$B$7))))</f>
        <v/>
      </c>
      <c r="M52" s="1101" t="str">
        <f ca="1">IF('A-80 DirEntInv'!M51&lt;&gt;"",'A-80 DirEntInv'!M51,IF(INDIRECT(ADDRESS(SumRef!BB58,SumRef!BB$16,,,SumRef!$B$7))="","",INDIRECT(ADDRESS(SumRef!BB58,SumRef!BB$16,,,SumRef!$B$7))))</f>
        <v/>
      </c>
      <c r="N52" s="1098" t="str">
        <f ca="1">IF('A-80 DirEntInv'!N51&lt;&gt;"",'A-80 DirEntInv'!N51,IF(INDIRECT(ADDRESS(SumRef!BC58,SumRef!BC$16,,,SumRef!$B$7))="","",INDIRECT(ADDRESS(SumRef!BC58,SumRef!BC$16,,,SumRef!$B$7))))</f>
        <v/>
      </c>
      <c r="O52" s="1102" t="str">
        <f ca="1">IF('A-80 DirEntInv'!O51&lt;&gt;"",'A-80 DirEntInv'!O51,IF(INDIRECT(ADDRESS(SumRef!BD58,SumRef!BD$16,,,SumRef!$B$7))="","",INDIRECT(ADDRESS(SumRef!BD58,SumRef!BD$16,,,SumRef!$B$7))))</f>
        <v/>
      </c>
      <c r="Q52" s="589"/>
      <c r="R52" s="1103" t="str">
        <f ca="1">IF('A-80 DirEntInv'!R51&lt;&gt;"",'A-80 DirEntInv'!R51,IF(INDIRECT(ADDRESS(SumRef!BH58,SumRef!BH$16,,,SumRef!$B$8))="","",INDIRECT(ADDRESS(SumRef!BH58,SumRef!BH$16,,,SumRef!$B$8))))</f>
        <v/>
      </c>
      <c r="S52" s="1104" t="str">
        <f ca="1">IF('A-80 DirEntInv'!S51&lt;&gt;"",'A-80 DirEntInv'!S51,IF(INDIRECT(ADDRESS(SumRef!BI58,SumRef!BI$16,,,SumRef!$B$8))="","",INDIRECT(ADDRESS(SumRef!BI58,SumRef!BI$16,,,SumRef!$B$8))))</f>
        <v/>
      </c>
      <c r="T52" s="1104" t="str">
        <f ca="1">IF('A-80 DirEntInv'!T51&lt;&gt;"",'A-80 DirEntInv'!T51,IF(INDIRECT(ADDRESS(SumRef!BJ58,SumRef!BJ$16,,,SumRef!$B$8))="","",INDIRECT(ADDRESS(SumRef!BJ58,SumRef!BJ$16,,,SumRef!$B$8))))</f>
        <v/>
      </c>
      <c r="U52" s="1104" t="str">
        <f ca="1">IF('A-80 DirEntInv'!U51&lt;&gt;"",'A-80 DirEntInv'!U51,IF(INDIRECT(ADDRESS(SumRef!BK58,SumRef!BK$16,,,SumRef!$B$8))="","",INDIRECT(ADDRESS(SumRef!BK58,SumRef!BK$16,,,SumRef!$B$8))))</f>
        <v/>
      </c>
      <c r="V52" s="1104" t="str">
        <f ca="1">IF('A-80 DirEntInv'!V51&lt;&gt;"",'A-80 DirEntInv'!V51,IF(INDIRECT(ADDRESS(SumRef!BL58,SumRef!BL$16,,,SumRef!$B$8))="","",INDIRECT(ADDRESS(SumRef!BL58,SumRef!BL$16,,,SumRef!$B$8))))</f>
        <v/>
      </c>
      <c r="W52" s="1354" t="str">
        <f ca="1">IF('A-80 DirEntInv'!W51&lt;&gt;"",'A-80 DirEntInv'!W51,IF(INDIRECT(ADDRESS(SumRef!BM58,SumRef!BM$16,,,SumRef!$B$8))="","",INDIRECT(ADDRESS(SumRef!BM58,SumRef!BM$16,,,SumRef!$B$8))))</f>
        <v/>
      </c>
      <c r="X52" s="1203" t="str">
        <f ca="1">IF('A-80 DirEntInv'!X51&lt;&gt;"",'A-80 DirEntInv'!X51,IF(INDIRECT(ADDRESS(SumRef!BN58,SumRef!BN$16,,,SumRef!$B$8))="","",INDIRECT(ADDRESS(SumRef!BN58,SumRef!BN$16,,,SumRef!$B$8))))</f>
        <v/>
      </c>
      <c r="Y52" s="1203" t="str">
        <f ca="1">IF('A-80 DirEntInv'!Y51&lt;&gt;"",'A-80 DirEntInv'!Y51,IF(INDIRECT(ADDRESS(SumRef!BO58,SumRef!BO$16,,,SumRef!$B$8))="","",INDIRECT(ADDRESS(SumRef!BO58,SumRef!BO$16,,,SumRef!$B$8))))</f>
        <v/>
      </c>
      <c r="Z52" s="1104" t="str">
        <f ca="1">IF('A-80 DirEntInv'!Z51&lt;&gt;"",'A-80 DirEntInv'!Z51,IF(INDIRECT(ADDRESS(SumRef!BP58,SumRef!BP$16,,,SumRef!$B$8))="","",INDIRECT(ADDRESS(SumRef!BP58,SumRef!BP$16,,,SumRef!$B$8))))</f>
        <v/>
      </c>
      <c r="AA52" s="1104" t="str">
        <f ca="1">IF('A-80 DirEntInv'!AA51&lt;&gt;"",'A-80 DirEntInv'!AA51,IF(INDIRECT(ADDRESS(SumRef!BQ58,SumRef!BQ$16,,,SumRef!$B$8))="","",INDIRECT(ADDRESS(SumRef!BQ58,SumRef!BQ$16,,,SumRef!$B$8))))</f>
        <v/>
      </c>
      <c r="AB52" s="1106" t="str">
        <f ca="1">IF('A-80 DirEntInv'!AB51&lt;&gt;"",'A-80 DirEntInv'!AB51,IF(INDIRECT(ADDRESS(SumRef!BR58,SumRef!BR$16,,,SumRef!$B$8))="","",INDIRECT(ADDRESS(SumRef!BR58,SumRef!BR$16,,,SumRef!$B$8))))</f>
        <v/>
      </c>
      <c r="AC52" s="1107" t="str">
        <f ca="1">IF('A-80 DirEntInv'!AC51&lt;&gt;"",'A-80 DirEntInv'!AC51,IF(INDIRECT(ADDRESS(SumRef!BS58,SumRef!BS$16,,,SumRef!$B$8))="","",INDIRECT(ADDRESS(SumRef!BS58,SumRef!BS$16,,,SumRef!$B$8))))</f>
        <v/>
      </c>
      <c r="AD52" s="1349" t="str">
        <f ca="1">IF('A-80 DirEntInv'!AD51&lt;&gt;"",'A-80 DirEntInv'!AD51,IF(INDIRECT(ADDRESS(SumRef!BT58,SumRef!BT$16,,,SumRef!$B$8))="","",INDIRECT(ADDRESS(SumRef!BT58,SumRef!BT$16,,,SumRef!$B$8))))</f>
        <v/>
      </c>
      <c r="AE52" s="1137" t="str">
        <f ca="1">IF('A-80 DirEntInv'!AE51&lt;&gt;"",'A-80 DirEntInv'!AE51,IF(INDIRECT(ADDRESS(SumRef!BU58,SumRef!BU$16,,,SumRef!$B$8))="","",INDIRECT(ADDRESS(SumRef!BU58,SumRef!BU$16,,,SumRef!$B$8))))</f>
        <v/>
      </c>
      <c r="AF52" s="1346" t="str">
        <f ca="1">IF('A-80 DirEntInv'!AF51&lt;&gt;"",'A-80 DirEntInv'!AF51,IF(INDIRECT(ADDRESS(SumRef!BV58,SumRef!BV$16,,,SumRef!$B$8))="","",INDIRECT(ADDRESS(SumRef!BV58,SumRef!BV$16,,,SumRef!$B$8))))</f>
        <v/>
      </c>
      <c r="AG52" s="1105" t="str">
        <f ca="1">IF('A-80 DirEntInv'!AG51&lt;&gt;"",'A-80 DirEntInv'!AG51,IF(INDIRECT(ADDRESS(SumRef!BW58,SumRef!BW$16,,,SumRef!$B$8))="","",INDIRECT(ADDRESS(SumRef!BW58,SumRef!BW$16,,,SumRef!$B$8))))</f>
        <v/>
      </c>
      <c r="AH52" s="1357" t="str">
        <f ca="1">IF('A-80 DirEntInv'!AH51&lt;&gt;"",'A-80 DirEntInv'!AH51,IF(INDIRECT(ADDRESS(SumRef!BX58,SumRef!BX$16,,,SumRef!$B$8))="","",INDIRECT(ADDRESS(SumRef!BX58,SumRef!BX$16,,,SumRef!$B$8))))</f>
        <v/>
      </c>
      <c r="AK52" s="1047" t="str">
        <f>Codes!$C$158</f>
        <v>AR - Alaska Railroad</v>
      </c>
      <c r="AL52" s="1050" t="str">
        <f>Valid!$B$91</f>
        <v>Train Control &amp; Signaling</v>
      </c>
      <c r="AM52" s="1185"/>
      <c r="AN52" s="1050"/>
      <c r="AO52" s="1185"/>
      <c r="AP52" s="1050"/>
      <c r="AQ52" s="1386" t="str">
        <f>IF('A-80 DirEntInv'!AQ51&lt;&gt;"",'A-80 DirEntInv'!AQ51,IF(AK52=summaryref2!B25,summaryref2!G25,IF(Summary!AK52=summaryref2!B39,summaryref2!G39,IF(AK52=summaryref2!B53,summaryref2!G53,IF(AK52=summaryref2!B67,summaryref2!G67,IF(AK52=summaryref2!B81,summaryref2!G81,IF(AK52=summaryref2!B95,summaryref2!G95,IF(AK52=summaryref2!B109,summaryref2!G109,IF(AK52=summaryref2!B123,summaryref2!G123,IF(AK52=summaryref2!B137,summaryref2!G137,IF(AK52=summaryref2!B151,summaryref2!G151,"")))))))))))</f>
        <v/>
      </c>
      <c r="AR52" s="1386" t="str">
        <f>IF('A-80 DirEntInv'!AR51&lt;&gt;"",'A-80 DirEntInv'!AR51,IF(AK52=summaryref2!B25,summaryref2!H25,IF(Summary!AK52=summaryref2!B39,summaryref2!H39,IF(AK52=summaryref2!B53,summaryref2!H53,IF(AK52=summaryref2!B67,summaryref2!H67,IF(AK52=summaryref2!B81,summaryref2!H81,IF(AK52=summaryref2!B95,summaryref2!H95,IF(AK52=summaryref2!B109,summaryref2!H109,IF(AK52=summaryref2!B123,summaryref2!H123,IF(AK52=summaryref2!B137,summaryref2!H137,IF(AK52=summaryref2!B151,summaryref2!H151,"")))))))))))</f>
        <v/>
      </c>
      <c r="AS52" s="1387" t="str">
        <f>IF('A-80 DirEntInv'!AS51&lt;&gt;"",'A-80 DirEntInv'!AS51,IF(AK52=summaryref2!B25,summaryref2!I25,IF(Summary!AK52=summaryref2!B39,summaryref2!I39,IF(AK52=summaryref2!B53,summaryref2!I53,IF(AK52=summaryref2!B67,summaryref2!I67,IF(AK52=summaryref2!B81,summaryref2!I81,IF(AK52=summaryref2!B95,summaryref2!I95,IF(AK52=summaryref2!B109,summaryref2!I109,IF(AK52=summaryref2!B123,summaryref2!I123,IF(AK52=summaryref2!B137,summaryref2!I137,IF(AK52=summaryref2!B151,summaryref2!I151,"")))))))))))</f>
        <v/>
      </c>
      <c r="AT52" s="1387" t="str">
        <f>IF('A-80 DirEntInv'!AT51&lt;&gt;"",'A-80 DirEntInv'!AT51,IF(AK52=summaryref2!B25,summaryref2!J25,IF(Summary!AK52=summaryref2!B39,summaryref2!J39,IF(AK52=summaryref2!B53,summaryref2!J53,IF(AK52=summaryref2!B67,summaryref2!J67,IF(AK52=summaryref2!B81,summaryref2!J81,IF(AK52=summaryref2!B95,summaryref2!J95,IF(AK52=summaryref2!B109,summaryref2!J109,IF(AK52=summaryref2!B123,summaryref2!J123,IF(AK52=summaryref2!B137,summaryref2!J137,IF(AK52=summaryref2!B151,summaryref2!J151,"")))))))))))</f>
        <v/>
      </c>
      <c r="AU52" s="1387" t="str">
        <f>IF('A-80 DirEntInv'!AU51&lt;&gt;"",'A-80 DirEntInv'!AU51,IF(AK52=summaryref2!B25,summaryref2!K25,IF(Summary!AK52=summaryref2!B39,summaryref2!K39,IF(AK52=summaryref2!B53,summaryref2!K53,IF(AK52=summaryref2!B67,summaryref2!K67,IF(AK52=summaryref2!B81,summaryref2!K81,IF(AK52=summaryref2!B95,summaryref2!K95,IF(AK52=summaryref2!B109,summaryref2!K109,IF(AK52=summaryref2!B123,summaryref2!K123,IF(AK52=summaryref2!B137,summaryref2!K137,IF(AK52=summaryref2!B151,summaryref2!K151,"")))))))))))</f>
        <v/>
      </c>
      <c r="AV52" s="1387" t="str">
        <f>IF('A-80 DirEntInv'!AV51&lt;&gt;"",'A-80 DirEntInv'!AV51,IF(AK52=summaryref2!B25,summaryref2!L25,IF(Summary!AK52=summaryref2!B39,summaryref2!L39,IF(AK52=summaryref2!B53,summaryref2!L53,IF(AK52=summaryref2!B67,summaryref2!L67,IF(AK52=summaryref2!B81,summaryref2!L81,IF(AK52=summaryref2!B95,summaryref2!L95,IF(AK52=summaryref2!B109,summaryref2!L109,IF(AK52=summaryref2!B123,summaryref2!L123,IF(AK52=summaryref2!B137,summaryref2!L137,IF(AK52=summaryref2!B151,summaryref2!L151,"")))))))))))</f>
        <v/>
      </c>
      <c r="AW52" s="1387" t="str">
        <f>IF('A-80 DirEntInv'!AW51&lt;&gt;"",'A-80 DirEntInv'!AW51,IF(AK52=summaryref2!B25,summaryref2!M25,IF(Summary!AK52=summaryref2!B39,summaryref2!M39,IF(AK52=summaryref2!B53,summaryref2!M53,IF(AK52=summaryref2!B67,summaryref2!M67,IF(AK52=summaryref2!B81,summaryref2!M81,IF(AK52=summaryref2!B95,summaryref2!M95,IF(AK52=summaryref2!B109,summaryref2!M109,IF(AK52=summaryref2!B123,summaryref2!M123,IF(AK52=summaryref2!B137,summaryref2!M137,IF(AK52=summaryref2!B151,summaryref2!M151,"")))))))))))</f>
        <v/>
      </c>
      <c r="AX52" s="1387" t="str">
        <f>IF('A-80 DirEntInv'!AX51&lt;&gt;"",'A-80 DirEntInv'!AX51,IF(AK52=summaryref2!B25,summaryref2!N25,IF(Summary!AK52=summaryref2!B39,summaryref2!N39,IF(AK52=summaryref2!B53,summaryref2!N53,IF(AK52=summaryref2!B67,summaryref2!N67,IF(AK52=summaryref2!B81,summaryref2!N81,IF(AK52=summaryref2!B95,summaryref2!N95,IF(AK52=summaryref2!B109,summaryref2!N109,IF(AK52=summaryref2!B123,summaryref2!N123,IF(AK52=summaryref2!B137,summaryref2!N137,IF(AK52=summaryref2!B151,summaryref2!N151,"")))))))))))</f>
        <v/>
      </c>
      <c r="AY52" s="1387" t="str">
        <f>IF('A-80 DirEntInv'!AY51&lt;&gt;"",'A-80 DirEntInv'!AY51,IF(AK52=summaryref2!B25,summaryref2!O25,IF(Summary!AK52=summaryref2!B39,summaryref2!O39,IF(AK52=summaryref2!B53,summaryref2!O53,IF(AK52=summaryref2!B67,summaryref2!O67,IF(AK52=summaryref2!B81,summaryref2!O81,IF(AK52=summaryref2!B95,summaryref2!O95,IF(AK52=summaryref2!B109,summaryref2!O109,IF(AK52=summaryref2!B123,summaryref2!O123,IF(AK52=summaryref2!B137,summaryref2!O137,IF(AK52=summaryref2!B151,summaryref2!O151,"")))))))))))</f>
        <v/>
      </c>
      <c r="AZ52" s="1387" t="str">
        <f>IF('A-80 DirEntInv'!AZ51&lt;&gt;"",'A-80 DirEntInv'!AZ51,IF(AK52=summaryref2!B25,summaryref2!P25,IF(Summary!AK52=summaryref2!B39,summaryref2!P39,IF(AK52=summaryref2!B53,summaryref2!P53,IF(AK52=summaryref2!B67,summaryref2!P67,IF(AK52=summaryref2!B81,summaryref2!P81,IF(AK52=summaryref2!B95,summaryref2!P95,IF(AK52=summaryref2!B109,summaryref2!P109,IF(AK52=summaryref2!B123,summaryref2!P123,IF(AK52=summaryref2!B137,summaryref2!P137,IF(AK52=summaryref2!B151,summaryref2!P151,"")))))))))))</f>
        <v/>
      </c>
      <c r="BA52" s="1387" t="str">
        <f>IF('A-80 DirEntInv'!BA51&lt;&gt;"",'A-80 DirEntInv'!BA51,IF(AK52=summaryref2!B25,summaryref2!Q25,IF(Summary!AK52=summaryref2!B39,summaryref2!Q39,IF(AK52=summaryref2!B53,summaryref2!Q53,IF(AK52=summaryref2!B67,summaryref2!Q67,IF(AK52=summaryref2!B81,summaryref2!Q81,IF(AK52=summaryref2!B95,summaryref2!Q95,IF(AK52=summaryref2!B109,summaryref2!Q109,IF(AK52=summaryref2!B123,summaryref2!Q123,IF(AK52=summaryref2!B137,summaryref2!Q137,IF(AK52=summaryref2!B151,summaryref2!Q151,"")))))))))))</f>
        <v/>
      </c>
      <c r="BB52" s="1387" t="str">
        <f>IF('A-80 DirEntInv'!BB51&lt;&gt;"",'A-80 DirEntInv'!BB51,IF(AK52=summaryref2!B25,summaryref2!R25,IF(Summary!AK52=summaryref2!B39,summaryref2!R39,IF(AK52=summaryref2!B53,summaryref2!R53,IF(AK52=summaryref2!B67,summaryref2!R67,IF(AK52=summaryref2!B81,summaryref2!R81,IF(AK52=summaryref2!B95,summaryref2!R95,IF(AK52=summaryref2!B109,summaryref2!R109,IF(AK52=summaryref2!B123,summaryref2!R123,IF(AK52=summaryref2!B137,summaryref2!R137,IF(AK52=summaryref2!B151,summaryref2!R151,"")))))))))))</f>
        <v/>
      </c>
      <c r="BC52" s="1387" t="str">
        <f>IF('A-80 DirEntInv'!BC51&lt;&gt;0,'A-80 DirEntInv'!BC51,IF(AK52=summaryref2!B25,summaryref2!S25,IF(Summary!AK52=summaryref2!B39,summaryref2!S39,IF(AK52=summaryref2!B53,summaryref2!S53,IF(AK52=summaryref2!B67,summaryref2!S67,IF(AK52=summaryref2!B81,summaryref2!S81,IF(AK52=summaryref2!B95,summaryref2!S95,IF(AK52=summaryref2!B109,summaryref2!S109,IF(AK52=summaryref2!B123,summaryref2!S123,IF(AK52=summaryref2!B137,summaryref2!S137,IF(AK52=summaryref2!B151,summaryref2!S151,"")))))))))))</f>
        <v/>
      </c>
      <c r="BD52" s="1118" t="str">
        <f>IF('A-80 DirEntInv'!BD51&lt;&gt;"",'A-80 DirEntInv'!BD51,IF(AK52=summaryref2!B25,summaryref2!T25,IF(Summary!AK52=summaryref2!B39,summaryref2!T39,IF(AK52=summaryref2!B53,summaryref2!T53,IF(AK52=summaryref2!B67,summaryref2!T67,IF(AK52=summaryref2!B81,summaryref2!T81,IF(AK52=summaryref2!B95,summaryref2!T95,IF(AK52=summaryref2!B109,summaryref2!T109,IF(AK52=summaryref2!B123,summaryref2!T123,IF(AK52=summaryref2!B137,summaryref2!T137,IF(AK52=summaryref2!B151,summaryref2!T151,"")))))))))))</f>
        <v/>
      </c>
      <c r="BE52" s="1186" t="str">
        <f>IF('A-80 DirEntInv'!BE51&lt;&gt;"",'A-80 DirEntInv'!BE51,IF(AK52=summaryref2!B25,summaryref2!U25,IF(Summary!AK52=summaryref2!B39,summaryref2!U39,IF(AK52=summaryref2!B53,summaryref2!U53,IF(AK52=summaryref2!B67,summaryref2!U67,IF(AK52=summaryref2!B81,summaryref2!U81,IF(AK52=summaryref2!B95,summaryref2!U95,IF(AK52=summaryref2!B109,summaryref2!U109,IF(AK52=summaryref2!B123,summaryref2!U123,IF(AK52=summaryref2!B137,summaryref2!U137,IF(AK52=summaryref2!B151,summaryref2!U151,"")))))))))))</f>
        <v/>
      </c>
      <c r="BF52" s="1432"/>
      <c r="BG52" s="1432"/>
      <c r="BJ52" s="1047" t="str">
        <f>Codes!$C$161</f>
        <v>CR - Commuter Rail (DO)</v>
      </c>
      <c r="BK52" s="1050" t="str">
        <f>Valid!$B$86</f>
        <v>Grade Crossings</v>
      </c>
      <c r="BL52" s="1369" t="str">
        <f>IF('A-80 DirEntInv'!BL51&lt;&gt;"",'A-80 DirEntInv'!BL51,IF(BJ52=summaryref2!X18,summaryref2!Z18,IF(BJ52=summaryref2!X25,summaryref2!Z25,IF(BJ52=summaryref2!X32,summaryref2!Z32,IF(BJ52=summaryref2!X39,summaryref2!Z39,IF(BJ52=summaryref2!X46,summaryref2!Z46,IF(BJ52=summaryref2!X53,summaryref2!Z53,IF(BJ52=summaryref2!X60,summaryref2!Z60,IF(BJ52=summaryref2!X67,summaryref2!Z67,IF(BJ52=summaryref2!X74,summaryref2!Z74,IF(BJ52=summaryref2!X81,summaryref2!Z81,"")))))))))))</f>
        <v/>
      </c>
      <c r="BM52" s="1050" t="str">
        <f>VLOOKUP(BK52,Valid!$B$80:$C$86,2,FALSE)</f>
        <v>Each</v>
      </c>
      <c r="BN52" s="1210" t="str">
        <f>IF('A-80 DirEntInv'!BN51&lt;&gt;"",'A-80 DirEntInv'!BN51,IF(BJ52=summaryref2!X18,summaryref2!AB18,IF(BJ52=summaryref2!X25,summaryref2!AB25,IF(BJ52=summaryref2!X32,summaryref2!AB32,IF(BJ52=summaryref2!X39,summaryref2!AB39,IF(BJ52=summaryref2!X46,summaryref2!AB46,IF(BJ52=summaryref2!X53,summaryref2!AB53,IF(BJ52=summaryref2!X60,summaryref2!AB60,IF(BJ52=summaryref2!X67,summaryref2!AB67,IF(BJ52=summaryref2!X74,summaryref2!AB74,IF(BJ52=summaryref2!X81,summaryref2!AB81,"")))))))))))</f>
        <v/>
      </c>
      <c r="BO52" s="1117" t="str">
        <f>IF('A-80 DirEntInv'!BO51&lt;&gt;"",'A-80 DirEntInv'!BO51,IF(BJ52=summaryref2!X18,summaryref2!AC18,IF(BJ52=summaryref2!X25,summaryref2!AC25,IF(BJ52=summaryref2!X32,summaryref2!AC32,IF(BJ52=summaryref2!X39,summaryref2!AC39,IF(BJ52=summaryref2!X46,summaryref2!AC46,IF(BJ52=summaryref2!X53,summaryref2!AC53,IF(BJ52=summaryref2!X60,summaryref2!AC60,IF(BJ52=summaryref2!X67,summaryref2!AC67,IF(BJ52=summaryref2!X74,summaryref2!AC74,IF(BJ52=summaryref2!X81,summaryref2!AC81,"")))))))))))</f>
        <v/>
      </c>
      <c r="BP52" s="1321" t="str">
        <f>IF('A-80 DirEntInv'!BP51&lt;&gt;"",'A-80 DirEntInv'!BP51,IF(BJ52=summaryref2!X18,summaryref2!AD18,IF(BJ52=summaryref2!X25,summaryref2!AD25,IF(BJ52=summaryref2!X32,summaryref2!AD32,IF(BJ52=summaryref2!X39,summaryref2!AD39,IF(BJ52=summaryref2!X46,summaryref2!AD46,IF(BJ52=summaryref2!X53,summaryref2!AD53,IF(BJ52=summaryref2!X60,summaryref2!AD60,IF(BJ52=summaryref2!X67,summaryref2!AD67,IF(BJ52=summaryref2!X74,summaryref2!AD74,IF(BJ52=summaryref2!X81,summaryref2!AD81,"")))))))))))</f>
        <v/>
      </c>
      <c r="BS52" s="1472" t="str">
        <f ca="1">IF('A-80 DirEntInv'!BU51&lt;&gt;"",'A-80 DirEntInv'!BU51,IF(INDIRECT(ADDRESS(SumRef!DK58,SumRef!DK$16,,,SumRef!$E$6))="","",INDIRECT(ADDRESS(SumRef!DK58,SumRef!DK$16,,,SumRef!$E$6))))</f>
        <v/>
      </c>
      <c r="BT52" s="1458" t="str">
        <f ca="1">IF('A-80 DirEntInv'!BV51&lt;&gt;"",'A-80 DirEntInv'!BV51,IF(INDIRECT(ADDRESS(SumRef!DL58,SumRef!DL$16,,,SumRef!$E$6))="","",INDIRECT(ADDRESS(SumRef!DL58,SumRef!DL$16,,,SumRef!$E$6))))</f>
        <v/>
      </c>
      <c r="BU52" s="1177" t="str">
        <f ca="1">IF('A-80 DirEntInv'!BW51&lt;&gt;"",'A-80 DirEntInv'!BW51,IF(INDIRECT(ADDRESS(SumRef!DM58,SumRef!DM$16,,,SumRef!$E$6))="","",INDIRECT(ADDRESS(SumRef!DM58,SumRef!DM$16,,,SumRef!$E$6))))</f>
        <v/>
      </c>
      <c r="BV52" s="1460" t="str">
        <f ca="1">IF('A-80 DirEntInv'!BX51&lt;&gt;"",'A-80 DirEntInv'!BX51,IF(INDIRECT(ADDRESS(SumRef!DN58,SumRef!DN$16,,,SumRef!$E$6))="","",INDIRECT(ADDRESS(SumRef!DN58,SumRef!DN$16,,,SumRef!$E$6))))</f>
        <v/>
      </c>
      <c r="BW52" s="1460" t="str">
        <f ca="1">IF('A-80 DirEntInv'!BY51&lt;&gt;"",'A-80 DirEntInv'!BY51,IF(INDIRECT(ADDRESS(SumRef!DO58,SumRef!DO$16,,,SumRef!$E$6))="","",INDIRECT(ADDRESS(SumRef!DO58,SumRef!DO$16,,,SumRef!$E$6))))</f>
        <v/>
      </c>
      <c r="BX52" s="1116" t="str">
        <f ca="1">IF('A-80 DirEntInv'!BZ51&lt;&gt;"",'A-80 DirEntInv'!BZ51,IF(INDIRECT(ADDRESS(SumRef!DP58,SumRef!DP$16,,,SumRef!$E$6))="","",INDIRECT(ADDRESS(SumRef!DP58,SumRef!DP$16,,,SumRef!$E$6))))</f>
        <v/>
      </c>
      <c r="BY52" s="1461" t="str">
        <f ca="1">IF('A-80 DirEntInv'!CA51&lt;&gt;"",'A-80 DirEntInv'!CA51,IF(INDIRECT(ADDRESS(SumRef!DQ58,SumRef!DQ$16,,,SumRef!$E$6))="","",INDIRECT(ADDRESS(SumRef!DQ58,SumRef!DQ$16,,,SumRef!$E$6))))</f>
        <v/>
      </c>
      <c r="BZ52" s="1460" t="str">
        <f ca="1">IF('A-80 DirEntInv'!CB51&lt;&gt;"",'A-80 DirEntInv'!CB51,IF(INDIRECT(ADDRESS(SumRef!DR58,SumRef!DR$16,,,SumRef!$E$6))="","",INDIRECT(ADDRESS(SumRef!DR58,SumRef!DR$16,,,SumRef!$E$6))))</f>
        <v/>
      </c>
      <c r="CA52" s="1462" t="str">
        <f ca="1">IF('A-80 DirEntInv'!CC51&lt;&gt;"",'A-80 DirEntInv'!CC51,IF(INDIRECT(ADDRESS(SumRef!DS58,SumRef!DS$16,,,SumRef!$E$6))="","",INDIRECT(ADDRESS(SumRef!DS58,SumRef!DS$16,,,SumRef!$E$6))))</f>
        <v/>
      </c>
      <c r="CD52" s="1160" t="str">
        <f ca="1">IF('A-80 DirEntInv'!CF51&lt;&gt;"",'A-80 DirEntInv'!CF51,IF(INDIRECT(ADDRESS(SumRef!DV58,SumRef!DV$16,,,SumRef!$E$7))="","",INDIRECT(ADDRESS(SumRef!DV58,SumRef!DV$16,,,SumRef!$E$7))))</f>
        <v/>
      </c>
      <c r="CE52" s="1167" t="str">
        <f ca="1">IF('A-80 DirEntInv'!CG51&lt;&gt;"",'A-80 DirEntInv'!CG51,IF(INDIRECT(ADDRESS(SumRef!DW58,SumRef!DW$16,,,SumRef!$E$7))="","",INDIRECT(ADDRESS(SumRef!DW58,SumRef!DW$16,,,SumRef!$E$7))))</f>
        <v/>
      </c>
      <c r="CF52" s="1167" t="str">
        <f ca="1">IF('A-80 DirEntInv'!CH51&lt;&gt;"",'A-80 DirEntInv'!CH51,IF(INDIRECT(ADDRESS(SumRef!DX58,SumRef!DX$16,,,SumRef!$E$7))="","",INDIRECT(ADDRESS(SumRef!DX58,SumRef!DX$16,,,SumRef!$E$7))))</f>
        <v/>
      </c>
      <c r="CG52" s="1167" t="str">
        <f ca="1">IF('A-80 DirEntInv'!CI51&lt;&gt;"",'A-80 DirEntInv'!CI51,IF(INDIRECT(ADDRESS(SumRef!DY58,SumRef!DY$16,,,SumRef!$E$7))="","",INDIRECT(ADDRESS(SumRef!DY58,SumRef!DY$16,,,SumRef!$E$7))))</f>
        <v/>
      </c>
      <c r="CH52" s="1167" t="str">
        <f ca="1">IF('A-80 DirEntInv'!CJ51&lt;&gt;"",'A-80 DirEntInv'!CJ51,IF(INDIRECT(ADDRESS(SumRef!DZ58,SumRef!DZ$16,,,SumRef!$E$7))="","",INDIRECT(ADDRESS(SumRef!DZ58,SumRef!DZ$16,,,SumRef!$E$7))))</f>
        <v/>
      </c>
      <c r="CI52" s="1167" t="str">
        <f ca="1">IF('A-80 DirEntInv'!CK51&lt;&gt;"",'A-80 DirEntInv'!CK51,IF(INDIRECT(ADDRESS(SumRef!EA58,SumRef!EA$16,,,SumRef!$E$7))="","",INDIRECT(ADDRESS(SumRef!EA58,SumRef!EA$16,,,SumRef!$E$7))))</f>
        <v/>
      </c>
      <c r="CJ52" s="1114" t="str">
        <f ca="1">IF('A-80 DirEntInv'!CL51&lt;&gt;"",'A-80 DirEntInv'!CL51,IF(INDIRECT(ADDRESS(SumRef!EB58,SumRef!EB$16,,,SumRef!$E$7))="","",INDIRECT(ADDRESS(SumRef!EB58,SumRef!EB$16,,,SumRef!$E$7))))</f>
        <v/>
      </c>
      <c r="CK52" s="1114" t="str">
        <f ca="1">IF('A-80 DirEntInv'!CM51&lt;&gt;"",'A-80 DirEntInv'!CM51,IF(INDIRECT(ADDRESS(SumRef!EC58,SumRef!EC$16,,,SumRef!$E$7))="","",INDIRECT(ADDRESS(SumRef!EC58,SumRef!EC$16,,,SumRef!$E$7))))</f>
        <v/>
      </c>
      <c r="CL52" s="1113" t="str">
        <f ca="1">IF('A-80 DirEntInv'!CO51&lt;&gt;"",'A-80 DirEntInv'!CO51,IF(INDIRECT(ADDRESS(SumRef!ED58,SumRef!ED$16,,,SumRef!$E$7))="","",INDIRECT(ADDRESS(SumRef!ED58,SumRef!ED$16,,,SumRef!$E$7))))</f>
        <v/>
      </c>
      <c r="CM52" s="1114" t="str">
        <f ca="1">IF('A-80 DirEntInv'!CP51&lt;&gt;"",'A-80 DirEntInv'!CP51,IF(INDIRECT(ADDRESS(SumRef!EE58,SumRef!EE$16,,,SumRef!$E$7))="","",INDIRECT(ADDRESS(SumRef!EE58,SumRef!EE$16,,,SumRef!$E$7))))</f>
        <v/>
      </c>
      <c r="CN52" s="1114" t="str">
        <f ca="1">IF('A-80 DirEntInv'!CQ51&lt;&gt;"",'A-80 DirEntInv'!CQ51,IF(INDIRECT(ADDRESS(SumRef!EF58,SumRef!EF$16,,,SumRef!$E$7))="","",INDIRECT(ADDRESS(SumRef!EF58,SumRef!EF$16,,,SumRef!$E$7))))</f>
        <v/>
      </c>
      <c r="CO52" s="1113" t="str">
        <f ca="1">IF('A-80 DirEntInv'!CR51&lt;&gt;"",'A-80 DirEntInv'!CR51,IF(INDIRECT(ADDRESS(SumRef!EG58,SumRef!EG$16,,,SumRef!$E$7))="","",INDIRECT(ADDRESS(SumRef!EG58,SumRef!EG$16,,,SumRef!$E$7))))</f>
        <v/>
      </c>
      <c r="CP52" s="1114" t="str">
        <f ca="1">IF('A-80 DirEntInv'!CS51&lt;&gt;"",'A-80 DirEntInv'!CS51,IF(INDIRECT(ADDRESS(SumRef!EH58,SumRef!EH$16,,,SumRef!$E$7))="","",INDIRECT(ADDRESS(SumRef!EH58,SumRef!EH$16,,,SumRef!$E$7))))</f>
        <v/>
      </c>
      <c r="CQ52" s="1346" t="str">
        <f ca="1">IF('A-80 DirEntInv'!CT51&lt;&gt;"",'A-80 DirEntInv'!CT51,IF(INDIRECT(ADDRESS(SumRef!EI58,SumRef!EI$16,,,SumRef!$E$7))="","",INDIRECT(ADDRESS(SumRef!EI58,SumRef!EI$16,,,SumRef!$E$7))))</f>
        <v/>
      </c>
      <c r="CR52" s="1113" t="str">
        <f ca="1">IF('A-80 DirEntInv'!CU51&lt;&gt;"",'A-80 DirEntInv'!CU51,IF(INDIRECT(ADDRESS(SumRef!EJ58,SumRef!EJ$16,,,SumRef!$E$7))="","",INDIRECT(ADDRESS(SumRef!EJ58,SumRef!EJ$16,,,SumRef!$E$7))))</f>
        <v/>
      </c>
      <c r="CS52" s="1346" t="str">
        <f ca="1">IF('A-80 DirEntInv'!CV51&lt;&gt;"",'A-80 DirEntInv'!CV51,IF(INDIRECT(ADDRESS(SumRef!EM58,SumRef!EM$16,,,SumRef!$E$7))="","",INDIRECT(ADDRESS(SumRef!EM58,SumRef!EM$16,,,SumRef!$E$7))))</f>
        <v/>
      </c>
      <c r="CT52" s="1113" t="str">
        <f ca="1">IF('A-80 DirEntInv'!CW51&lt;&gt;"",'A-80 DirEntInv'!CW51,IF(INDIRECT(ADDRESS(SumRef!EN58,SumRef!EN$16,,,SumRef!$E$7))="","",INDIRECT(ADDRESS(SumRef!EN58,SumRef!EN$16,,,SumRef!$E$7))))</f>
        <v/>
      </c>
      <c r="CU52" s="1113" t="str">
        <f ca="1">IF('A-80 DirEntInv'!CX51&lt;&gt;"",'A-80 DirEntInv'!CX51,IF(INDIRECT(ADDRESS(SumRef!EO58,SumRef!EO$16,,,SumRef!$E$7))="","",INDIRECT(ADDRESS(SumRef!EO58,SumRef!EO$16,,,SumRef!$E$7))))</f>
        <v/>
      </c>
      <c r="CV52" s="1113" t="str">
        <f ca="1">IF('A-80 DirEntInv'!CY51&lt;&gt;"",'A-80 DirEntInv'!CY51,IF(INDIRECT(ADDRESS(SumRef!EP58,SumRef!EP$16,,,SumRef!$E$7))="","",INDIRECT(ADDRESS(SumRef!EP58,SumRef!EP$16,,,SumRef!$E$7))))</f>
        <v/>
      </c>
      <c r="CW52" s="1114" t="str">
        <f ca="1">IF('A-80 DirEntInv'!CZ51&lt;&gt;"",'A-80 DirEntInv'!CZ51,IF(INDIRECT(ADDRESS(SumRef!ES58,SumRef!ES$16,,,SumRef!$E$7))="","",INDIRECT(ADDRESS(SumRef!ES58,SumRef!ES$16,,,SumRef!$E$7))))</f>
        <v/>
      </c>
      <c r="CX52" s="1167" t="str">
        <f ca="1">IF('A-80 DirEntInv'!DA51&lt;&gt;"",'A-80 DirEntInv'!DA51,IF(INDIRECT(ADDRESS(SumRef!ET58,SumRef!ET$16,,,SumRef!$E$7))="","",INDIRECT(ADDRESS(SumRef!ET58,SumRef!ET$16,,,SumRef!$E$7))))</f>
        <v/>
      </c>
      <c r="CY52" s="1167" t="str">
        <f ca="1">IF('A-80 DirEntInv'!DB51&lt;&gt;"",'A-80 DirEntInv'!DB51,IF(INDIRECT(ADDRESS(SumRef!EU58,SumRef!EU$16,,,SumRef!$E$7))="","",INDIRECT(ADDRESS(SumRef!EU58,SumRef!EU$16,,,SumRef!$E$7))))</f>
        <v/>
      </c>
      <c r="CZ52" s="1167" t="b">
        <f ca="1">IF('A-80 DirEntInv'!DC51&lt;&gt;"",'A-80 DirEntInv'!DC51,IF(INDIRECT(ADDRESS(SumRef!EV58,SumRef!EV$16,,,SumRef!$E$7))="","",INDIRECT(ADDRESS(SumRef!EV58,SumRef!EV$16,,,SumRef!$E$7))))</f>
        <v>0</v>
      </c>
      <c r="DA52" s="1373" t="str">
        <f ca="1">IF('A-80 DirEntInv'!DD51&lt;&gt;"",'A-80 DirEntInv'!DD51,IF(INDIRECT(ADDRESS(SumRef!EW58,SumRef!EW$16,,,SumRef!$E$7))="","",INDIRECT(ADDRESS(SumRef!EW58,SumRef!EW$16,,,SumRef!$E$7))))</f>
        <v/>
      </c>
      <c r="DB52" s="1373" t="b">
        <f ca="1">IF('A-80 DirEntInv'!DE51&lt;&gt;"",'A-80 DirEntInv'!DE51,IF(INDIRECT(ADDRESS(SumRef!EX58,SumRef!EX$16,,,SumRef!$E$7))="","",INDIRECT(ADDRESS(SumRef!EX58,SumRef!EX$16,,,SumRef!$E$7))))</f>
        <v>0</v>
      </c>
      <c r="DC52" s="1114" t="b">
        <f ca="1">IF('A-80 DirEntInv'!DF51&lt;&gt;"",'A-80 DirEntInv'!DF51,IF(INDIRECT(ADDRESS(SumRef!EY58,SumRef!EY$16,,,SumRef!$E$7))="","",INDIRECT(ADDRESS(SumRef!EY58,SumRef!EY$16,,,SumRef!$E$7))))</f>
        <v>0</v>
      </c>
      <c r="DD52" s="1115" t="str">
        <f ca="1">IF('A-80 DirEntInv'!DG51&lt;&gt;"",'A-80 DirEntInv'!DG51,IF(INDIRECT(ADDRESS(SumRef!EZ58,SumRef!EZ$16,,,SumRef!$E$7))="","",INDIRECT(ADDRESS(SumRef!EZ58,SumRef!EZ$16,,,SumRef!$E$7))))</f>
        <v/>
      </c>
    </row>
    <row r="53" spans="1:108" s="588" customFormat="1" x14ac:dyDescent="0.2">
      <c r="A53" s="589">
        <f t="shared" si="0"/>
        <v>43</v>
      </c>
      <c r="B53" s="1155" t="str">
        <f ca="1">IF('A-80 DirEntInv'!B52&lt;&gt;"",'A-80 DirEntInv'!B52,IF(INDIRECT(ADDRESS(SumRef!AQ59,SumRef!AQ$16,,,SumRef!$B$7))="","",INDIRECT(ADDRESS(SumRef!AQ59,SumRef!AQ$16,,,SumRef!$B$7))))</f>
        <v/>
      </c>
      <c r="C53" s="1097" t="str">
        <f ca="1">IF('A-80 DirEntInv'!C52&lt;&gt;"",'A-80 DirEntInv'!C52,IF(INDIRECT(ADDRESS(SumRef!AR59,SumRef!AR$16,,,SumRef!$B$7))="","",INDIRECT(ADDRESS(SumRef!AR59,SumRef!AR$16,,,SumRef!$B$7))))</f>
        <v/>
      </c>
      <c r="D53" s="1097" t="str">
        <f ca="1">IF('A-80 DirEntInv'!D52&lt;&gt;"",'A-80 DirEntInv'!D52,IF(INDIRECT(ADDRESS(SumRef!AS59,SumRef!AS$16,,,SumRef!$B$7))="","",INDIRECT(ADDRESS(SumRef!AS59,SumRef!AS$16,,,SumRef!$B$7))))</f>
        <v/>
      </c>
      <c r="E53" s="1097" t="str">
        <f ca="1">IF('A-80 DirEntInv'!E52&lt;&gt;"",'A-80 DirEntInv'!E52,IF(INDIRECT(ADDRESS(SumRef!AT59,SumRef!AT$16,,,SumRef!$B$7))="","",INDIRECT(ADDRESS(SumRef!AT59,SumRef!AT$16,,,SumRef!$B$7))))</f>
        <v/>
      </c>
      <c r="F53" s="1097" t="str">
        <f ca="1">IF('A-80 DirEntInv'!F52&lt;&gt;"",'A-80 DirEntInv'!F52,IF(INDIRECT(ADDRESS(SumRef!AU59,SumRef!AU$16,,,SumRef!$B$7))="","",INDIRECT(ADDRESS(SumRef!AU59,SumRef!AU$16,,,SumRef!$B$7))))</f>
        <v/>
      </c>
      <c r="G53" s="1158" t="str">
        <f ca="1">IF('A-80 DirEntInv'!G52&lt;&gt;"",'A-80 DirEntInv'!G52,IF(INDIRECT(ADDRESS(SumRef!AV59,SumRef!AV$16,,,SumRef!$B$7))="","",INDIRECT(ADDRESS(SumRef!AV59,SumRef!AV$16,,,SumRef!$B$7))))</f>
        <v/>
      </c>
      <c r="H53" s="1097" t="str">
        <f ca="1">IF('A-80 DirEntInv'!H52&lt;&gt;"",'A-80 DirEntInv'!H52,IF(INDIRECT(ADDRESS(SumRef!AW59,SumRef!AW$16,,,SumRef!$B$7))="","",INDIRECT(ADDRESS(SumRef!AW59,SumRef!AW$16,,,SumRef!$B$7))))</f>
        <v/>
      </c>
      <c r="I53" s="1097" t="str">
        <f ca="1">IF('A-80 DirEntInv'!I52&lt;&gt;"",'A-80 DirEntInv'!I52,IF(INDIRECT(ADDRESS(SumRef!AX59,SumRef!AX$16,,,SumRef!$B$7))="","",INDIRECT(ADDRESS(SumRef!AX59,SumRef!AX$16,,,SumRef!$B$7))))</f>
        <v/>
      </c>
      <c r="J53" s="1098" t="str">
        <f ca="1">IF('A-80 DirEntInv'!J52&lt;&gt;"",'A-80 DirEntInv'!J52,IF(INDIRECT(ADDRESS(SumRef!AY59,SumRef!AY$16,,,SumRef!$B$7))="","",INDIRECT(ADDRESS(SumRef!AY59,SumRef!AY$16,,,SumRef!$B$7))))</f>
        <v/>
      </c>
      <c r="K53" s="1099" t="str">
        <f ca="1">IF('A-80 DirEntInv'!K52&lt;&gt;"",'A-80 DirEntInv'!K52,IF(INDIRECT(ADDRESS(SumRef!AZ59,SumRef!AZ$16,,,SumRef!$B$7))="","",INDIRECT(ADDRESS(SumRef!AZ59,SumRef!AZ$16,,,SumRef!$B$7))))</f>
        <v/>
      </c>
      <c r="L53" s="1100" t="str">
        <f ca="1">IF('A-80 DirEntInv'!L52&lt;&gt;"",'A-80 DirEntInv'!L52,IF(INDIRECT(ADDRESS(SumRef!BA59,SumRef!BA$16,,,SumRef!$B$7))="","",INDIRECT(ADDRESS(SumRef!BA59,SumRef!BA$16,,,SumRef!$B$7))))</f>
        <v/>
      </c>
      <c r="M53" s="1101" t="str">
        <f ca="1">IF('A-80 DirEntInv'!M52&lt;&gt;"",'A-80 DirEntInv'!M52,IF(INDIRECT(ADDRESS(SumRef!BB59,SumRef!BB$16,,,SumRef!$B$7))="","",INDIRECT(ADDRESS(SumRef!BB59,SumRef!BB$16,,,SumRef!$B$7))))</f>
        <v/>
      </c>
      <c r="N53" s="1098" t="str">
        <f ca="1">IF('A-80 DirEntInv'!N52&lt;&gt;"",'A-80 DirEntInv'!N52,IF(INDIRECT(ADDRESS(SumRef!BC59,SumRef!BC$16,,,SumRef!$B$7))="","",INDIRECT(ADDRESS(SumRef!BC59,SumRef!BC$16,,,SumRef!$B$7))))</f>
        <v/>
      </c>
      <c r="O53" s="1102" t="str">
        <f ca="1">IF('A-80 DirEntInv'!O52&lt;&gt;"",'A-80 DirEntInv'!O52,IF(INDIRECT(ADDRESS(SumRef!BD59,SumRef!BD$16,,,SumRef!$B$7))="","",INDIRECT(ADDRESS(SumRef!BD59,SumRef!BD$16,,,SumRef!$B$7))))</f>
        <v/>
      </c>
      <c r="Q53" s="589"/>
      <c r="R53" s="1103" t="str">
        <f ca="1">IF('A-80 DirEntInv'!R52&lt;&gt;"",'A-80 DirEntInv'!R52,IF(INDIRECT(ADDRESS(SumRef!BH59,SumRef!BH$16,,,SumRef!$B$8))="","",INDIRECT(ADDRESS(SumRef!BH59,SumRef!BH$16,,,SumRef!$B$8))))</f>
        <v/>
      </c>
      <c r="S53" s="1104" t="str">
        <f ca="1">IF('A-80 DirEntInv'!S52&lt;&gt;"",'A-80 DirEntInv'!S52,IF(INDIRECT(ADDRESS(SumRef!BI59,SumRef!BI$16,,,SumRef!$B$8))="","",INDIRECT(ADDRESS(SumRef!BI59,SumRef!BI$16,,,SumRef!$B$8))))</f>
        <v/>
      </c>
      <c r="T53" s="1104" t="str">
        <f ca="1">IF('A-80 DirEntInv'!T52&lt;&gt;"",'A-80 DirEntInv'!T52,IF(INDIRECT(ADDRESS(SumRef!BJ59,SumRef!BJ$16,,,SumRef!$B$8))="","",INDIRECT(ADDRESS(SumRef!BJ59,SumRef!BJ$16,,,SumRef!$B$8))))</f>
        <v/>
      </c>
      <c r="U53" s="1104" t="str">
        <f ca="1">IF('A-80 DirEntInv'!U52&lt;&gt;"",'A-80 DirEntInv'!U52,IF(INDIRECT(ADDRESS(SumRef!BK59,SumRef!BK$16,,,SumRef!$B$8))="","",INDIRECT(ADDRESS(SumRef!BK59,SumRef!BK$16,,,SumRef!$B$8))))</f>
        <v/>
      </c>
      <c r="V53" s="1104" t="str">
        <f ca="1">IF('A-80 DirEntInv'!V52&lt;&gt;"",'A-80 DirEntInv'!V52,IF(INDIRECT(ADDRESS(SumRef!BL59,SumRef!BL$16,,,SumRef!$B$8))="","",INDIRECT(ADDRESS(SumRef!BL59,SumRef!BL$16,,,SumRef!$B$8))))</f>
        <v/>
      </c>
      <c r="W53" s="1354" t="str">
        <f ca="1">IF('A-80 DirEntInv'!W52&lt;&gt;"",'A-80 DirEntInv'!W52,IF(INDIRECT(ADDRESS(SumRef!BM59,SumRef!BM$16,,,SumRef!$B$8))="","",INDIRECT(ADDRESS(SumRef!BM59,SumRef!BM$16,,,SumRef!$B$8))))</f>
        <v/>
      </c>
      <c r="X53" s="1203" t="str">
        <f ca="1">IF('A-80 DirEntInv'!X52&lt;&gt;"",'A-80 DirEntInv'!X52,IF(INDIRECT(ADDRESS(SumRef!BN59,SumRef!BN$16,,,SumRef!$B$8))="","",INDIRECT(ADDRESS(SumRef!BN59,SumRef!BN$16,,,SumRef!$B$8))))</f>
        <v/>
      </c>
      <c r="Y53" s="1203" t="str">
        <f ca="1">IF('A-80 DirEntInv'!Y52&lt;&gt;"",'A-80 DirEntInv'!Y52,IF(INDIRECT(ADDRESS(SumRef!BO59,SumRef!BO$16,,,SumRef!$B$8))="","",INDIRECT(ADDRESS(SumRef!BO59,SumRef!BO$16,,,SumRef!$B$8))))</f>
        <v/>
      </c>
      <c r="Z53" s="1104" t="str">
        <f ca="1">IF('A-80 DirEntInv'!Z52&lt;&gt;"",'A-80 DirEntInv'!Z52,IF(INDIRECT(ADDRESS(SumRef!BP59,SumRef!BP$16,,,SumRef!$B$8))="","",INDIRECT(ADDRESS(SumRef!BP59,SumRef!BP$16,,,SumRef!$B$8))))</f>
        <v/>
      </c>
      <c r="AA53" s="1104" t="str">
        <f ca="1">IF('A-80 DirEntInv'!AA52&lt;&gt;"",'A-80 DirEntInv'!AA52,IF(INDIRECT(ADDRESS(SumRef!BQ59,SumRef!BQ$16,,,SumRef!$B$8))="","",INDIRECT(ADDRESS(SumRef!BQ59,SumRef!BQ$16,,,SumRef!$B$8))))</f>
        <v/>
      </c>
      <c r="AB53" s="1106" t="str">
        <f ca="1">IF('A-80 DirEntInv'!AB52&lt;&gt;"",'A-80 DirEntInv'!AB52,IF(INDIRECT(ADDRESS(SumRef!BR59,SumRef!BR$16,,,SumRef!$B$8))="","",INDIRECT(ADDRESS(SumRef!BR59,SumRef!BR$16,,,SumRef!$B$8))))</f>
        <v/>
      </c>
      <c r="AC53" s="1107" t="str">
        <f ca="1">IF('A-80 DirEntInv'!AC52&lt;&gt;"",'A-80 DirEntInv'!AC52,IF(INDIRECT(ADDRESS(SumRef!BS59,SumRef!BS$16,,,SumRef!$B$8))="","",INDIRECT(ADDRESS(SumRef!BS59,SumRef!BS$16,,,SumRef!$B$8))))</f>
        <v/>
      </c>
      <c r="AD53" s="1349" t="str">
        <f ca="1">IF('A-80 DirEntInv'!AD52&lt;&gt;"",'A-80 DirEntInv'!AD52,IF(INDIRECT(ADDRESS(SumRef!BT59,SumRef!BT$16,,,SumRef!$B$8))="","",INDIRECT(ADDRESS(SumRef!BT59,SumRef!BT$16,,,SumRef!$B$8))))</f>
        <v/>
      </c>
      <c r="AE53" s="1137" t="str">
        <f ca="1">IF('A-80 DirEntInv'!AE52&lt;&gt;"",'A-80 DirEntInv'!AE52,IF(INDIRECT(ADDRESS(SumRef!BU59,SumRef!BU$16,,,SumRef!$B$8))="","",INDIRECT(ADDRESS(SumRef!BU59,SumRef!BU$16,,,SumRef!$B$8))))</f>
        <v/>
      </c>
      <c r="AF53" s="1346" t="str">
        <f ca="1">IF('A-80 DirEntInv'!AF52&lt;&gt;"",'A-80 DirEntInv'!AF52,IF(INDIRECT(ADDRESS(SumRef!BV59,SumRef!BV$16,,,SumRef!$B$8))="","",INDIRECT(ADDRESS(SumRef!BV59,SumRef!BV$16,,,SumRef!$B$8))))</f>
        <v/>
      </c>
      <c r="AG53" s="1105" t="str">
        <f ca="1">IF('A-80 DirEntInv'!AG52&lt;&gt;"",'A-80 DirEntInv'!AG52,IF(INDIRECT(ADDRESS(SumRef!BW59,SumRef!BW$16,,,SumRef!$B$8))="","",INDIRECT(ADDRESS(SumRef!BW59,SumRef!BW$16,,,SumRef!$B$8))))</f>
        <v/>
      </c>
      <c r="AH53" s="1357" t="str">
        <f ca="1">IF('A-80 DirEntInv'!AH52&lt;&gt;"",'A-80 DirEntInv'!AH52,IF(INDIRECT(ADDRESS(SumRef!BX59,SumRef!BX$16,,,SumRef!$B$8))="","",INDIRECT(ADDRESS(SumRef!BX59,SumRef!BX$16,,,SumRef!$B$8))))</f>
        <v/>
      </c>
      <c r="AK53" s="1043" t="str">
        <f>Codes!$C$159</f>
        <v>CC - Cable Car (DO)</v>
      </c>
      <c r="AL53" s="1303" t="str">
        <f>Valid!$B$71</f>
        <v>At-Grade/Ballast (including expressway)</v>
      </c>
      <c r="AM53" s="1092" t="str">
        <f>IF('A-80 DirEntInv'!AM52&lt;&gt;"",'A-80 DirEntInv'!#REF!,IF(AK53=summaryref2!B12,summaryref2!D12,IF(Summary!AK53=summaryref2!B26,summaryref2!D26,IF(AK53=summaryref2!B40,summaryref2!D40,IF(AK53=summaryref2!B54,summaryref2!D54,IF(AK53=summaryref2!B68,summaryref2!D68,IF(AK53=summaryref2!B82,summaryref2!D82,IF(AK53=summaryref2!B96,summaryref2!D96,IF(AK53=summaryref2!B110,summaryref2!D110,IF(AK53=summaryref2!B124,summaryref2!D124,IF(AK53=summaryref2!B138,summaryref2!D138,"")))))))))))</f>
        <v/>
      </c>
      <c r="AN53" s="1127" t="str">
        <f ca="1">IF('A-80 DirEntInv'!AN38&lt;&gt;"",'A-80 DirEntInv'!AN38,IF(INDIRECT(ADDRESS(SumRef!#REF!,SumRef!CG$16,,,SumRef!$C$7))="","",INDIRECT(ADDRESS(SumRef!#REF!,SumRef!CG$16,,,SumRef!$C$7))))</f>
        <v>Linear Feet</v>
      </c>
      <c r="AO53" s="1092" t="str">
        <f>IF('A-80 DirEntInv'!AO52&lt;&gt;"",'A-80 DirEntInv'!AO52,IF(AK53=summaryref2!B12,summaryref2!F12,IF(Summary!AK53=summaryref2!B26,summaryref2!F26,IF(AK53=summaryref2!B40,summaryref2!F40,IF(AK53=summaryref2!B54,summaryref2!F54,IF(AK53=summaryref2!B68,summaryref2!F68,IF(AK53=summaryref2!B82,summaryref2!F82,IF(AK53=summaryref2!B96,summaryref2!F96,IF(AK53=summaryref2!B110,summaryref2!F110,IF(AK53=summaryref2!B124,summaryref2!F124,IF(AK53=summaryref2!B138,summaryref2!F138,"")))))))))))</f>
        <v/>
      </c>
      <c r="AP53" s="1127" t="str">
        <f ca="1">IF('A-80 DirEntInv'!AP38&lt;&gt;"",'A-80 DirEntInv'!AP38,IF(INDIRECT(ADDRESS(SumRef!#REF!,SumRef!#REF!,,,SumRef!$C$7))="","",INDIRECT(ADDRESS(SumRef!#REF!,SumRef!#REF!,,,SumRef!$C$7))))</f>
        <v>Track Feet</v>
      </c>
      <c r="AQ53" s="1146" t="str">
        <f>IF('A-80 DirEntInv'!AQ52&lt;&gt;"",'A-80 DirEntInv'!AQ52,IF(AK53=summaryref2!B12,summaryref2!G12,IF(Summary!AK53=summaryref2!B26,summaryref2!G26,IF(AK53=summaryref2!B40,summaryref2!G40,IF(AK53=summaryref2!B54,summaryref2!G54,IF(AK53=summaryref2!B68,summaryref2!G68,IF(AK53=summaryref2!B82,summaryref2!G82,IF(AK53=summaryref2!B96,summaryref2!G96,IF(AK53=summaryref2!B110,summaryref2!G110,IF(AK53=summaryref2!B124,summaryref2!G124,IF(AK53=summaryref2!B138,summaryref2!G138,"")))))))))))</f>
        <v/>
      </c>
      <c r="AR53" s="1146" t="str">
        <f>IF('A-80 DirEntInv'!AR52&lt;&gt;"",'A-80 DirEntInv'!AR52,IF(AK53=summaryref2!B12,summaryref2!H12,IF(Summary!AK53=summaryref2!B26,summaryref2!H26,IF(AK53=summaryref2!B40,summaryref2!H40,IF(AK53=summaryref2!B54,summaryref2!H54,IF(AK53=summaryref2!B68,summaryref2!H68,IF(AK53=summaryref2!B82,summaryref2!H82,IF(AK53=summaryref2!B96,summaryref2!H96,IF(AK53=summaryref2!B110,summaryref2!H110,IF(AK53=summaryref2!B124,summaryref2!H124,IF(AK53=summaryref2!B138,summaryref2!H138,"")))))))))))</f>
        <v/>
      </c>
      <c r="AS53" s="1092" t="str">
        <f>IF('A-80 DirEntInv'!AS52&lt;&gt;"",'A-80 DirEntInv'!AS52,IF(AK53=summaryref2!B12,summaryref2!I12,IF(Summary!AK53=summaryref2!B26,summaryref2!I26,IF(AK53=summaryref2!B40,summaryref2!I40,IF(AK53=summaryref2!B54,summaryref2!I54,IF(AK53=summaryref2!B68,summaryref2!I68,IF(AK53=summaryref2!B82,summaryref2!I82,IF(AK53=summaryref2!B96,summaryref2!I96,IF(AK53=summaryref2!B110,summaryref2!I110,IF(AK53=summaryref2!B124,summaryref2!I124,IF(AK53=summaryref2!B138,summaryref2!I138,"")))))))))))</f>
        <v/>
      </c>
      <c r="AT53" s="1092" t="str">
        <f>IF('A-80 DirEntInv'!AT52&lt;&gt;"",'A-80 DirEntInv'!AT52,IF(AK53=summaryref2!B12,summaryref2!J12,IF(Summary!AK53=summaryref2!B26,summaryref2!J26,IF(AK53=summaryref2!B40,summaryref2!J40,IF(AK53=summaryref2!B54,summaryref2!J54,IF(AK53=summaryref2!B68,summaryref2!J68,IF(AK53=summaryref2!B82,summaryref2!J82,IF(AK53=summaryref2!B96,summaryref2!J96,IF(AK53=summaryref2!B110,summaryref2!J110,IF(AK53=summaryref2!B124,summaryref2!J124,IF(AK53=summaryref2!B138,summaryref2!J138,"")))))))))))</f>
        <v/>
      </c>
      <c r="AU53" s="1092" t="str">
        <f>IF('A-80 DirEntInv'!AU52&lt;&gt;"",'A-80 DirEntInv'!AU52,IF(AK53=summaryref2!B12,summaryref2!K12,IF(Summary!AK53=summaryref2!B26,summaryref2!K26,IF(AK53=summaryref2!B40,summaryref2!K40,IF(AK53=summaryref2!B54,summaryref2!K54,IF(AK53=summaryref2!B68,summaryref2!K68,IF(AK53=summaryref2!B82,summaryref2!K82,IF(AK53=summaryref2!B96,summaryref2!K96,IF(AK53=summaryref2!B110,summaryref2!K110,IF(AK53=summaryref2!B124,summaryref2!K124,IF(AK53=summaryref2!B138,summaryref2!K138,"")))))))))))</f>
        <v/>
      </c>
      <c r="AV53" s="1092" t="str">
        <f>IF('A-80 DirEntInv'!AV52&lt;&gt;"",'A-80 DirEntInv'!AV52,IF(AK53=summaryref2!B12,summaryref2!L12,IF(Summary!AK53=summaryref2!B26,summaryref2!L26,IF(AK53=summaryref2!B40,summaryref2!L40,IF(AK53=summaryref2!B54,summaryref2!L54,IF(AK53=summaryref2!B68,summaryref2!L68,IF(AK53=summaryref2!B82,summaryref2!L82,IF(AK53=summaryref2!B96,summaryref2!L96,IF(AK53=summaryref2!B110,summaryref2!L110,IF(AK53=summaryref2!B124,summaryref2!L124,IF(AK53=summaryref2!B138,summaryref2!L138,"")))))))))))</f>
        <v/>
      </c>
      <c r="AW53" s="1092" t="str">
        <f>IF('A-80 DirEntInv'!AW52&lt;&gt;"",'A-80 DirEntInv'!AW52,IF($AK53=summaryref2!$B$12,summaryref2!M$12,IF(Summary!$AK53=summaryref2!$B$26,summaryref2!M$26,IF($AK53=summaryref2!$B$40,summaryref2!M$40,IF($AK53=summaryref2!$B$54,summaryref2!M$54,IF($AK53=summaryref2!$B$68,summaryref2!M$68,IF($AK53=summaryref2!$B$82,summaryref2!M$82,IF($AK53=summaryref2!$B$96,summaryref2!M$96,IF($AK53=summaryref2!$B$110,summaryref2!M$110,IF($AK53=summaryref2!$B$124,summaryref2!M$124,IF($AK53=summaryref2!$B$138,summaryref2!M$138,"")))))))))))</f>
        <v/>
      </c>
      <c r="AX53" s="1092" t="str">
        <f>IF('A-80 DirEntInv'!AX52&lt;&gt;"",'A-80 DirEntInv'!AX52,IF(AK53=summaryref2!B12,summaryref2!N12,IF(Summary!AK53=summaryref2!B26,summaryref2!N26,IF(AK53=summaryref2!B40,summaryref2!N40,IF(AK53=summaryref2!B54,summaryref2!N54,IF(AK53=summaryref2!B68,summaryref2!N68,IF(AK53=summaryref2!B82,summaryref2!N82,IF(AK53=summaryref2!B96,summaryref2!N96,IF(AK53=summaryref2!B110,summaryref2!N110,IF(AK53=summaryref2!B124,summaryref2!N124,IF(AK53=summaryref2!B138,summaryref2!N138,"")))))))))))</f>
        <v/>
      </c>
      <c r="AY53" s="1092" t="str">
        <f>IF('A-80 DirEntInv'!AY52&lt;&gt;"",'A-80 DirEntInv'!AY52,IF(AK53=summaryref2!B12,summaryref2!O12,IF(Summary!AK53=summaryref2!B26,summaryref2!O26,IF(AK53=summaryref2!B40,summaryref2!O40,IF(AK53=summaryref2!B54,summaryref2!O54,IF(AK53=summaryref2!B68,summaryref2!O68,IF(AK53=summaryref2!B82,summaryref2!O82,IF(AK53=summaryref2!B96,summaryref2!O96,IF(AK53=summaryref2!B110,summaryref2!O110,IF(AK53=summaryref2!B124,summaryref2!O124,IF(AK53=summaryref2!B138,summaryref2!O138,"")))))))))))</f>
        <v/>
      </c>
      <c r="AZ53" s="1092" t="str">
        <f>IF('A-80 DirEntInv'!AZ52&lt;&gt;"",'A-80 DirEntInv'!AZ52,IF(AK53=summaryref2!B12,summaryref2!P12,IF(Summary!AK53=summaryref2!B26,summaryref2!P26,IF(AK53=summaryref2!B40,summaryref2!P40,IF(AK53=summaryref2!B54,summaryref2!P54,IF(AK53=summaryref2!B68,summaryref2!P68,IF(AK53=summaryref2!B82,summaryref2!P82,IF(AK53=summaryref2!B96,summaryref2!P96,IF(AK53=summaryref2!B110,summaryref2!P110,IF(AK53=summaryref2!B124,summaryref2!P124,IF(AK53=summaryref2!B138,summaryref2!P138,"")))))))))))</f>
        <v/>
      </c>
      <c r="BA53" s="1092" t="str">
        <f>IF('A-80 DirEntInv'!BA52&lt;&gt;"",'A-80 DirEntInv'!BA52,IF(AK53=summaryref2!B12,summaryref2!Q12,IF(Summary!AK53=summaryref2!B26,summaryref2!Q26,IF(AK53=summaryref2!B40,summaryref2!Q40,IF(AK53=summaryref2!B54,summaryref2!Q54,IF(AK53=summaryref2!B68,summaryref2!Q68,IF(AK53=summaryref2!B82,summaryref2!Q82,IF(AK53=summaryref2!B96,summaryref2!Q96,IF(AK53=summaryref2!B110,summaryref2!Q110,IF(AK53=summaryref2!B124,summaryref2!Q124,IF(AK53=summaryref2!B138,summaryref2!Q138,"")))))))))))</f>
        <v/>
      </c>
      <c r="BB53" s="1092" t="str">
        <f>IF('A-80 DirEntInv'!BB52&lt;&gt;"",'A-80 DirEntInv'!BB52,IF(AK53=summaryref2!B12,summaryref2!R12,IF(Summary!AK53=summaryref2!B26,summaryref2!R26,IF(AK53=summaryref2!B40,summaryref2!R40,IF(AK53=summaryref2!B54,summaryref2!R54,IF(AK53=summaryref2!B68,summaryref2!R68,IF(AK53=summaryref2!B82,summaryref2!R82,IF(AK53=summaryref2!B96,summaryref2!R96,IF(AK53=summaryref2!B110,summaryref2!R110,IF(AK53=summaryref2!B124,summaryref2!R124,IF(AK53=summaryref2!B138,summaryref2!R138,"")))))))))))</f>
        <v/>
      </c>
      <c r="BC53" s="1092" t="str">
        <f>IF('A-80 DirEntInv'!BC52&lt;&gt;0,'A-80 DirEntInv'!BC52,IF(AK53=summaryref2!B12,summaryref2!S12,IF(Summary!AK53=summaryref2!B26,summaryref2!S26,IF(AK53=summaryref2!B40,summaryref2!S40,IF(AK53=summaryref2!B54,summaryref2!S54,IF(AK53=summaryref2!B68,summaryref2!S68,IF(AK53=summaryref2!B82,summaryref2!S82,IF(AK53=summaryref2!B96,summaryref2!S96,IF(AK53=summaryref2!B110,summaryref2!S110,IF(AK53=summaryref2!B124,summaryref2!S124,IF(AK53=summaryref2!B138,summaryref2!S138,"")))))))))))</f>
        <v/>
      </c>
      <c r="BD53" s="1093" t="str">
        <f>IF('A-80 DirEntInv'!BD52&lt;&gt;"",'A-80 DirEntInv'!BD52,IF(AK53=summaryref2!B12,summaryref2!T12,IF(Summary!AK53=summaryref2!B26,summaryref2!T26,IF(AK53=summaryref2!B40,summaryref2!T40,IF(AK53=summaryref2!B54,summaryref2!T54,IF(AK53=summaryref2!B68,summaryref2!T68,IF(AK53=summaryref2!B82,summaryref2!T82,IF(AK53=summaryref2!B96,summaryref2!T96,IF(AK53=summaryref2!B110,summaryref2!T110,IF(AK53=summaryref2!B124,summaryref2!T124,IF(AK53=summaryref2!B138,summaryref2!T138,"")))))))))))</f>
        <v/>
      </c>
      <c r="BE53" s="1189" t="str">
        <f>IF('A-80 DirEntInv'!BE52&lt;&gt;"",'A-80 DirEntInv'!BE52,IF(AK53=summaryref2!B12,summaryref2!U12,IF(Summary!AK53=summaryref2!B26,summaryref2!U26,IF(AK53=summaryref2!B40,summaryref2!U40,IF(AK53=summaryref2!B54,summaryref2!U54,IF(AK53=summaryref2!B68,summaryref2!U68,IF(AK53=summaryref2!B82,summaryref2!U82,IF(AK53=summaryref2!B96,summaryref2!U96,IF(AK53=summaryref2!B110,summaryref2!U110,IF(AK53=summaryref2!B124,summaryref2!U124,IF(AK53=summaryref2!B138,summaryref2!U138,"")))))))))))</f>
        <v/>
      </c>
      <c r="BF53" s="1431"/>
      <c r="BG53" s="1431"/>
      <c r="BJ53" s="1043" t="str">
        <f>Codes!$C$162</f>
        <v>CR - Commuter Rail (PT)</v>
      </c>
      <c r="BK53" s="1303" t="str">
        <f>Valid!$B$80</f>
        <v>Tangent</v>
      </c>
      <c r="BL53" s="1366" t="str">
        <f>IF('A-80 DirEntInv'!BL52&lt;&gt;"",'A-80 DirEntInv'!BL52,IF(BJ53=summaryref2!X12,summaryref2!Z12,IF(BJ53=summaryref2!X19,summaryref2!Z19,IF(BJ53=summaryref2!X26,summaryref2!Z26,IF(BJ53=summaryref2!X33,summaryref2!Z33,IF(BJ53=summaryref2!X40,summaryref2!Z40,IF(BJ53=summaryref2!X47,summaryref2!Z47,IF(BJ53=summaryref2!X54,summaryref2!Z54,IF(BJ53=summaryref2!X61,summaryref2!Z61,IF(BJ53=summaryref2!X68,summaryref2!Z68,IF(BJ53=summaryref2!X75,summaryref2!Z75,"")))))))))))</f>
        <v/>
      </c>
      <c r="BM53" s="1303" t="str">
        <f>VLOOKUP(BK53,Valid!$B$80:$C$86,2,FALSE)</f>
        <v>Track Feet</v>
      </c>
      <c r="BN53" s="1208" t="str">
        <f>IF('A-80 DirEntInv'!BN52&lt;&gt;"",'A-80 DirEntInv'!BN52,IF(BJ53=summaryref2!X12,summaryref2!AB12,IF(BJ53=summaryref2!X19,summaryref2!AB19,IF(BJ53=summaryref2!X26,summaryref2!AB26,IF(BJ53=summaryref2!X33,summaryref2!AB33,IF(BJ53=summaryref2!X40,summaryref2!AB40,IF(BJ53=summaryref2!X47,summaryref2!AB47,IF(BJ53=summaryref2!X54,summaryref2!AB54,IF(BJ53=summaryref2!X61,summaryref2!AB61,IF(BJ53=summaryref2!X68,summaryref2!AB68,IF(BJ53=summaryref2!X75,summaryref2!AB75,"")))))))))))</f>
        <v/>
      </c>
      <c r="BO53" s="1112" t="str">
        <f>IF('A-80 DirEntInv'!BO52&lt;&gt;"",'A-80 DirEntInv'!BO52,IF(BJ53=summaryref2!X12,summaryref2!AC12,IF(BJ53=summaryref2!X19,summaryref2!AC19,IF(BJ53=summaryref2!X26,summaryref2!AC26,IF(BJ53=summaryref2!X33,summaryref2!AC33,IF(BJ53=summaryref2!X40,summaryref2!AC40,IF(BJ53=summaryref2!X47,summaryref2!AC47,IF(BJ53=summaryref2!X54,summaryref2!AC54,IF(BJ53=summaryref2!X61,summaryref2!AC61,IF(BJ53=summaryref2!X68,summaryref2!AC68,IF(BJ53=summaryref2!X75,summaryref2!AC75,"")))))))))))</f>
        <v/>
      </c>
      <c r="BP53" s="1320" t="str">
        <f>IF('A-80 DirEntInv'!BP52&lt;&gt;"",'A-80 DirEntInv'!BP52,IF(BJ53=summaryref2!X12,summaryref2!AD12,IF(BJ53=summaryref2!X19,summaryref2!AD19,IF(BJ53=summaryref2!X26,summaryref2!AD26,IF(BJ53=summaryref2!X33,summaryref2!AD33,IF(BJ53=summaryref2!X40,summaryref2!AD40,IF(BJ53=summaryref2!X47,summaryref2!AD47,IF(BJ53=summaryref2!X54,summaryref2!AD54,IF(BJ53=summaryref2!X61,summaryref2!AD61,IF(BJ53=summaryref2!X68,summaryref2!AD68,IF(BJ53=summaryref2!X75,summaryref2!AD75,"")))))))))))</f>
        <v/>
      </c>
      <c r="BS53" s="1472" t="str">
        <f ca="1">IF('A-80 DirEntInv'!BU52&lt;&gt;"",'A-80 DirEntInv'!BU52,IF(INDIRECT(ADDRESS(SumRef!DK59,SumRef!DK$16,,,SumRef!$E$6))="","",INDIRECT(ADDRESS(SumRef!DK59,SumRef!DK$16,,,SumRef!$E$6))))</f>
        <v/>
      </c>
      <c r="BT53" s="1458" t="str">
        <f ca="1">IF('A-80 DirEntInv'!BV52&lt;&gt;"",'A-80 DirEntInv'!BV52,IF(INDIRECT(ADDRESS(SumRef!DL59,SumRef!DL$16,,,SumRef!$E$6))="","",INDIRECT(ADDRESS(SumRef!DL59,SumRef!DL$16,,,SumRef!$E$6))))</f>
        <v/>
      </c>
      <c r="BU53" s="1177" t="str">
        <f ca="1">IF('A-80 DirEntInv'!BW52&lt;&gt;"",'A-80 DirEntInv'!BW52,IF(INDIRECT(ADDRESS(SumRef!DM59,SumRef!DM$16,,,SumRef!$E$6))="","",INDIRECT(ADDRESS(SumRef!DM59,SumRef!DM$16,,,SumRef!$E$6))))</f>
        <v/>
      </c>
      <c r="BV53" s="1460" t="str">
        <f ca="1">IF('A-80 DirEntInv'!BX52&lt;&gt;"",'A-80 DirEntInv'!BX52,IF(INDIRECT(ADDRESS(SumRef!DN59,SumRef!DN$16,,,SumRef!$E$6))="","",INDIRECT(ADDRESS(SumRef!DN59,SumRef!DN$16,,,SumRef!$E$6))))</f>
        <v/>
      </c>
      <c r="BW53" s="1460" t="str">
        <f ca="1">IF('A-80 DirEntInv'!BY52&lt;&gt;"",'A-80 DirEntInv'!BY52,IF(INDIRECT(ADDRESS(SumRef!DO59,SumRef!DO$16,,,SumRef!$E$6))="","",INDIRECT(ADDRESS(SumRef!DO59,SumRef!DO$16,,,SumRef!$E$6))))</f>
        <v/>
      </c>
      <c r="BX53" s="1116" t="str">
        <f ca="1">IF('A-80 DirEntInv'!BZ52&lt;&gt;"",'A-80 DirEntInv'!BZ52,IF(INDIRECT(ADDRESS(SumRef!DP59,SumRef!DP$16,,,SumRef!$E$6))="","",INDIRECT(ADDRESS(SumRef!DP59,SumRef!DP$16,,,SumRef!$E$6))))</f>
        <v/>
      </c>
      <c r="BY53" s="1461" t="str">
        <f ca="1">IF('A-80 DirEntInv'!CA52&lt;&gt;"",'A-80 DirEntInv'!CA52,IF(INDIRECT(ADDRESS(SumRef!DQ59,SumRef!DQ$16,,,SumRef!$E$6))="","",INDIRECT(ADDRESS(SumRef!DQ59,SumRef!DQ$16,,,SumRef!$E$6))))</f>
        <v/>
      </c>
      <c r="BZ53" s="1460" t="str">
        <f ca="1">IF('A-80 DirEntInv'!CB52&lt;&gt;"",'A-80 DirEntInv'!CB52,IF(INDIRECT(ADDRESS(SumRef!DR59,SumRef!DR$16,,,SumRef!$E$6))="","",INDIRECT(ADDRESS(SumRef!DR59,SumRef!DR$16,,,SumRef!$E$6))))</f>
        <v/>
      </c>
      <c r="CA53" s="1462" t="str">
        <f ca="1">IF('A-80 DirEntInv'!CC52&lt;&gt;"",'A-80 DirEntInv'!CC52,IF(INDIRECT(ADDRESS(SumRef!DS59,SumRef!DS$16,,,SumRef!$E$6))="","",INDIRECT(ADDRESS(SumRef!DS59,SumRef!DS$16,,,SumRef!$E$6))))</f>
        <v/>
      </c>
      <c r="CD53" s="1160" t="str">
        <f ca="1">IF('A-80 DirEntInv'!CF52&lt;&gt;"",'A-80 DirEntInv'!CF52,IF(INDIRECT(ADDRESS(SumRef!DV59,SumRef!DV$16,,,SumRef!$E$7))="","",INDIRECT(ADDRESS(SumRef!DV59,SumRef!DV$16,,,SumRef!$E$7))))</f>
        <v/>
      </c>
      <c r="CE53" s="1167" t="str">
        <f ca="1">IF('A-80 DirEntInv'!CG52&lt;&gt;"",'A-80 DirEntInv'!CG52,IF(INDIRECT(ADDRESS(SumRef!DW59,SumRef!DW$16,,,SumRef!$E$7))="","",INDIRECT(ADDRESS(SumRef!DW59,SumRef!DW$16,,,SumRef!$E$7))))</f>
        <v/>
      </c>
      <c r="CF53" s="1167" t="str">
        <f ca="1">IF('A-80 DirEntInv'!CH52&lt;&gt;"",'A-80 DirEntInv'!CH52,IF(INDIRECT(ADDRESS(SumRef!DX59,SumRef!DX$16,,,SumRef!$E$7))="","",INDIRECT(ADDRESS(SumRef!DX59,SumRef!DX$16,,,SumRef!$E$7))))</f>
        <v/>
      </c>
      <c r="CG53" s="1167" t="str">
        <f ca="1">IF('A-80 DirEntInv'!CI52&lt;&gt;"",'A-80 DirEntInv'!CI52,IF(INDIRECT(ADDRESS(SumRef!DY59,SumRef!DY$16,,,SumRef!$E$7))="","",INDIRECT(ADDRESS(SumRef!DY59,SumRef!DY$16,,,SumRef!$E$7))))</f>
        <v/>
      </c>
      <c r="CH53" s="1167" t="str">
        <f ca="1">IF('A-80 DirEntInv'!CJ52&lt;&gt;"",'A-80 DirEntInv'!CJ52,IF(INDIRECT(ADDRESS(SumRef!DZ59,SumRef!DZ$16,,,SumRef!$E$7))="","",INDIRECT(ADDRESS(SumRef!DZ59,SumRef!DZ$16,,,SumRef!$E$7))))</f>
        <v/>
      </c>
      <c r="CI53" s="1167" t="str">
        <f ca="1">IF('A-80 DirEntInv'!CK52&lt;&gt;"",'A-80 DirEntInv'!CK52,IF(INDIRECT(ADDRESS(SumRef!EA59,SumRef!EA$16,,,SumRef!$E$7))="","",INDIRECT(ADDRESS(SumRef!EA59,SumRef!EA$16,,,SumRef!$E$7))))</f>
        <v/>
      </c>
      <c r="CJ53" s="1114" t="str">
        <f ca="1">IF('A-80 DirEntInv'!CL52&lt;&gt;"",'A-80 DirEntInv'!CL52,IF(INDIRECT(ADDRESS(SumRef!EB59,SumRef!EB$16,,,SumRef!$E$7))="","",INDIRECT(ADDRESS(SumRef!EB59,SumRef!EB$16,,,SumRef!$E$7))))</f>
        <v/>
      </c>
      <c r="CK53" s="1114" t="str">
        <f ca="1">IF('A-80 DirEntInv'!CM52&lt;&gt;"",'A-80 DirEntInv'!CM52,IF(INDIRECT(ADDRESS(SumRef!EC59,SumRef!EC$16,,,SumRef!$E$7))="","",INDIRECT(ADDRESS(SumRef!EC59,SumRef!EC$16,,,SumRef!$E$7))))</f>
        <v/>
      </c>
      <c r="CL53" s="1113" t="str">
        <f ca="1">IF('A-80 DirEntInv'!CO52&lt;&gt;"",'A-80 DirEntInv'!CO52,IF(INDIRECT(ADDRESS(SumRef!ED59,SumRef!ED$16,,,SumRef!$E$7))="","",INDIRECT(ADDRESS(SumRef!ED59,SumRef!ED$16,,,SumRef!$E$7))))</f>
        <v/>
      </c>
      <c r="CM53" s="1114" t="str">
        <f ca="1">IF('A-80 DirEntInv'!CP52&lt;&gt;"",'A-80 DirEntInv'!CP52,IF(INDIRECT(ADDRESS(SumRef!EE59,SumRef!EE$16,,,SumRef!$E$7))="","",INDIRECT(ADDRESS(SumRef!EE59,SumRef!EE$16,,,SumRef!$E$7))))</f>
        <v/>
      </c>
      <c r="CN53" s="1114" t="str">
        <f ca="1">IF('A-80 DirEntInv'!CQ52&lt;&gt;"",'A-80 DirEntInv'!CQ52,IF(INDIRECT(ADDRESS(SumRef!EF59,SumRef!EF$16,,,SumRef!$E$7))="","",INDIRECT(ADDRESS(SumRef!EF59,SumRef!EF$16,,,SumRef!$E$7))))</f>
        <v/>
      </c>
      <c r="CO53" s="1113" t="str">
        <f ca="1">IF('A-80 DirEntInv'!CR52&lt;&gt;"",'A-80 DirEntInv'!CR52,IF(INDIRECT(ADDRESS(SumRef!EG59,SumRef!EG$16,,,SumRef!$E$7))="","",INDIRECT(ADDRESS(SumRef!EG59,SumRef!EG$16,,,SumRef!$E$7))))</f>
        <v/>
      </c>
      <c r="CP53" s="1114" t="str">
        <f ca="1">IF('A-80 DirEntInv'!CS52&lt;&gt;"",'A-80 DirEntInv'!CS52,IF(INDIRECT(ADDRESS(SumRef!EH59,SumRef!EH$16,,,SumRef!$E$7))="","",INDIRECT(ADDRESS(SumRef!EH59,SumRef!EH$16,,,SumRef!$E$7))))</f>
        <v/>
      </c>
      <c r="CQ53" s="1346" t="str">
        <f ca="1">IF('A-80 DirEntInv'!CT52&lt;&gt;"",'A-80 DirEntInv'!CT52,IF(INDIRECT(ADDRESS(SumRef!EI59,SumRef!EI$16,,,SumRef!$E$7))="","",INDIRECT(ADDRESS(SumRef!EI59,SumRef!EI$16,,,SumRef!$E$7))))</f>
        <v/>
      </c>
      <c r="CR53" s="1113" t="str">
        <f ca="1">IF('A-80 DirEntInv'!CU52&lt;&gt;"",'A-80 DirEntInv'!CU52,IF(INDIRECT(ADDRESS(SumRef!EJ59,SumRef!EJ$16,,,SumRef!$E$7))="","",INDIRECT(ADDRESS(SumRef!EJ59,SumRef!EJ$16,,,SumRef!$E$7))))</f>
        <v/>
      </c>
      <c r="CS53" s="1346" t="str">
        <f ca="1">IF('A-80 DirEntInv'!CV52&lt;&gt;"",'A-80 DirEntInv'!CV52,IF(INDIRECT(ADDRESS(SumRef!EM59,SumRef!EM$16,,,SumRef!$E$7))="","",INDIRECT(ADDRESS(SumRef!EM59,SumRef!EM$16,,,SumRef!$E$7))))</f>
        <v/>
      </c>
      <c r="CT53" s="1113" t="str">
        <f ca="1">IF('A-80 DirEntInv'!CW52&lt;&gt;"",'A-80 DirEntInv'!CW52,IF(INDIRECT(ADDRESS(SumRef!EN59,SumRef!EN$16,,,SumRef!$E$7))="","",INDIRECT(ADDRESS(SumRef!EN59,SumRef!EN$16,,,SumRef!$E$7))))</f>
        <v/>
      </c>
      <c r="CU53" s="1113" t="str">
        <f ca="1">IF('A-80 DirEntInv'!CX52&lt;&gt;"",'A-80 DirEntInv'!CX52,IF(INDIRECT(ADDRESS(SumRef!EO59,SumRef!EO$16,,,SumRef!$E$7))="","",INDIRECT(ADDRESS(SumRef!EO59,SumRef!EO$16,,,SumRef!$E$7))))</f>
        <v/>
      </c>
      <c r="CV53" s="1113" t="str">
        <f ca="1">IF('A-80 DirEntInv'!CY52&lt;&gt;"",'A-80 DirEntInv'!CY52,IF(INDIRECT(ADDRESS(SumRef!EP59,SumRef!EP$16,,,SumRef!$E$7))="","",INDIRECT(ADDRESS(SumRef!EP59,SumRef!EP$16,,,SumRef!$E$7))))</f>
        <v/>
      </c>
      <c r="CW53" s="1114" t="str">
        <f ca="1">IF('A-80 DirEntInv'!CZ52&lt;&gt;"",'A-80 DirEntInv'!CZ52,IF(INDIRECT(ADDRESS(SumRef!ES59,SumRef!ES$16,,,SumRef!$E$7))="","",INDIRECT(ADDRESS(SumRef!ES59,SumRef!ES$16,,,SumRef!$E$7))))</f>
        <v/>
      </c>
      <c r="CX53" s="1167" t="str">
        <f ca="1">IF('A-80 DirEntInv'!DA52&lt;&gt;"",'A-80 DirEntInv'!DA52,IF(INDIRECT(ADDRESS(SumRef!ET59,SumRef!ET$16,,,SumRef!$E$7))="","",INDIRECT(ADDRESS(SumRef!ET59,SumRef!ET$16,,,SumRef!$E$7))))</f>
        <v/>
      </c>
      <c r="CY53" s="1167" t="str">
        <f ca="1">IF('A-80 DirEntInv'!DB52&lt;&gt;"",'A-80 DirEntInv'!DB52,IF(INDIRECT(ADDRESS(SumRef!EU59,SumRef!EU$16,,,SumRef!$E$7))="","",INDIRECT(ADDRESS(SumRef!EU59,SumRef!EU$16,,,SumRef!$E$7))))</f>
        <v/>
      </c>
      <c r="CZ53" s="1167" t="b">
        <f ca="1">IF('A-80 DirEntInv'!DC52&lt;&gt;"",'A-80 DirEntInv'!DC52,IF(INDIRECT(ADDRESS(SumRef!EV59,SumRef!EV$16,,,SumRef!$E$7))="","",INDIRECT(ADDRESS(SumRef!EV59,SumRef!EV$16,,,SumRef!$E$7))))</f>
        <v>0</v>
      </c>
      <c r="DA53" s="1373" t="str">
        <f ca="1">IF('A-80 DirEntInv'!DD52&lt;&gt;"",'A-80 DirEntInv'!DD52,IF(INDIRECT(ADDRESS(SumRef!EW59,SumRef!EW$16,,,SumRef!$E$7))="","",INDIRECT(ADDRESS(SumRef!EW59,SumRef!EW$16,,,SumRef!$E$7))))</f>
        <v/>
      </c>
      <c r="DB53" s="1373" t="b">
        <f ca="1">IF('A-80 DirEntInv'!DE52&lt;&gt;"",'A-80 DirEntInv'!DE52,IF(INDIRECT(ADDRESS(SumRef!EX59,SumRef!EX$16,,,SumRef!$E$7))="","",INDIRECT(ADDRESS(SumRef!EX59,SumRef!EX$16,,,SumRef!$E$7))))</f>
        <v>0</v>
      </c>
      <c r="DC53" s="1114" t="b">
        <f ca="1">IF('A-80 DirEntInv'!DF52&lt;&gt;"",'A-80 DirEntInv'!DF52,IF(INDIRECT(ADDRESS(SumRef!EY59,SumRef!EY$16,,,SumRef!$E$7))="","",INDIRECT(ADDRESS(SumRef!EY59,SumRef!EY$16,,,SumRef!$E$7))))</f>
        <v>0</v>
      </c>
      <c r="DD53" s="1115" t="str">
        <f ca="1">IF('A-80 DirEntInv'!DG52&lt;&gt;"",'A-80 DirEntInv'!DG52,IF(INDIRECT(ADDRESS(SumRef!EZ59,SumRef!EZ$16,,,SumRef!$E$7))="","",INDIRECT(ADDRESS(SumRef!EZ59,SumRef!EZ$16,,,SumRef!$E$7))))</f>
        <v/>
      </c>
    </row>
    <row r="54" spans="1:108" s="588" customFormat="1" ht="13.5" thickBot="1" x14ac:dyDescent="0.25">
      <c r="A54" s="589">
        <f t="shared" si="0"/>
        <v>44</v>
      </c>
      <c r="B54" s="1155" t="str">
        <f ca="1">IF('A-80 DirEntInv'!B53&lt;&gt;"",'A-80 DirEntInv'!B53,IF(INDIRECT(ADDRESS(SumRef!AQ60,SumRef!AQ$16,,,SumRef!$B$7))="","",INDIRECT(ADDRESS(SumRef!AQ60,SumRef!AQ$16,,,SumRef!$B$7))))</f>
        <v/>
      </c>
      <c r="C54" s="1097" t="str">
        <f ca="1">IF('A-80 DirEntInv'!C53&lt;&gt;"",'A-80 DirEntInv'!C53,IF(INDIRECT(ADDRESS(SumRef!AR60,SumRef!AR$16,,,SumRef!$B$7))="","",INDIRECT(ADDRESS(SumRef!AR60,SumRef!AR$16,,,SumRef!$B$7))))</f>
        <v/>
      </c>
      <c r="D54" s="1097" t="str">
        <f ca="1">IF('A-80 DirEntInv'!D53&lt;&gt;"",'A-80 DirEntInv'!D53,IF(INDIRECT(ADDRESS(SumRef!AS60,SumRef!AS$16,,,SumRef!$B$7))="","",INDIRECT(ADDRESS(SumRef!AS60,SumRef!AS$16,,,SumRef!$B$7))))</f>
        <v/>
      </c>
      <c r="E54" s="1097" t="str">
        <f ca="1">IF('A-80 DirEntInv'!E53&lt;&gt;"",'A-80 DirEntInv'!E53,IF(INDIRECT(ADDRESS(SumRef!AT60,SumRef!AT$16,,,SumRef!$B$7))="","",INDIRECT(ADDRESS(SumRef!AT60,SumRef!AT$16,,,SumRef!$B$7))))</f>
        <v/>
      </c>
      <c r="F54" s="1097" t="str">
        <f ca="1">IF('A-80 DirEntInv'!F53&lt;&gt;"",'A-80 DirEntInv'!F53,IF(INDIRECT(ADDRESS(SumRef!AU60,SumRef!AU$16,,,SumRef!$B$7))="","",INDIRECT(ADDRESS(SumRef!AU60,SumRef!AU$16,,,SumRef!$B$7))))</f>
        <v/>
      </c>
      <c r="G54" s="1158" t="str">
        <f ca="1">IF('A-80 DirEntInv'!G53&lt;&gt;"",'A-80 DirEntInv'!G53,IF(INDIRECT(ADDRESS(SumRef!AV60,SumRef!AV$16,,,SumRef!$B$7))="","",INDIRECT(ADDRESS(SumRef!AV60,SumRef!AV$16,,,SumRef!$B$7))))</f>
        <v/>
      </c>
      <c r="H54" s="1097" t="str">
        <f ca="1">IF('A-80 DirEntInv'!H53&lt;&gt;"",'A-80 DirEntInv'!H53,IF(INDIRECT(ADDRESS(SumRef!AW60,SumRef!AW$16,,,SumRef!$B$7))="","",INDIRECT(ADDRESS(SumRef!AW60,SumRef!AW$16,,,SumRef!$B$7))))</f>
        <v/>
      </c>
      <c r="I54" s="1097" t="str">
        <f ca="1">IF('A-80 DirEntInv'!I53&lt;&gt;"",'A-80 DirEntInv'!I53,IF(INDIRECT(ADDRESS(SumRef!AX60,SumRef!AX$16,,,SumRef!$B$7))="","",INDIRECT(ADDRESS(SumRef!AX60,SumRef!AX$16,,,SumRef!$B$7))))</f>
        <v/>
      </c>
      <c r="J54" s="1098" t="str">
        <f ca="1">IF('A-80 DirEntInv'!J53&lt;&gt;"",'A-80 DirEntInv'!J53,IF(INDIRECT(ADDRESS(SumRef!AY60,SumRef!AY$16,,,SumRef!$B$7))="","",INDIRECT(ADDRESS(SumRef!AY60,SumRef!AY$16,,,SumRef!$B$7))))</f>
        <v/>
      </c>
      <c r="K54" s="1099" t="str">
        <f ca="1">IF('A-80 DirEntInv'!K53&lt;&gt;"",'A-80 DirEntInv'!K53,IF(INDIRECT(ADDRESS(SumRef!AZ60,SumRef!AZ$16,,,SumRef!$B$7))="","",INDIRECT(ADDRESS(SumRef!AZ60,SumRef!AZ$16,,,SumRef!$B$7))))</f>
        <v/>
      </c>
      <c r="L54" s="1100" t="str">
        <f ca="1">IF('A-80 DirEntInv'!L53&lt;&gt;"",'A-80 DirEntInv'!L53,IF(INDIRECT(ADDRESS(SumRef!BA60,SumRef!BA$16,,,SumRef!$B$7))="","",INDIRECT(ADDRESS(SumRef!BA60,SumRef!BA$16,,,SumRef!$B$7))))</f>
        <v/>
      </c>
      <c r="M54" s="1101" t="str">
        <f ca="1">IF('A-80 DirEntInv'!M53&lt;&gt;"",'A-80 DirEntInv'!M53,IF(INDIRECT(ADDRESS(SumRef!BB60,SumRef!BB$16,,,SumRef!$B$7))="","",INDIRECT(ADDRESS(SumRef!BB60,SumRef!BB$16,,,SumRef!$B$7))))</f>
        <v/>
      </c>
      <c r="N54" s="1098" t="str">
        <f ca="1">IF('A-80 DirEntInv'!N53&lt;&gt;"",'A-80 DirEntInv'!N53,IF(INDIRECT(ADDRESS(SumRef!BC60,SumRef!BC$16,,,SumRef!$B$7))="","",INDIRECT(ADDRESS(SumRef!BC60,SumRef!BC$16,,,SumRef!$B$7))))</f>
        <v/>
      </c>
      <c r="O54" s="1102" t="str">
        <f ca="1">IF('A-80 DirEntInv'!O53&lt;&gt;"",'A-80 DirEntInv'!O53,IF(INDIRECT(ADDRESS(SumRef!BD60,SumRef!BD$16,,,SumRef!$B$7))="","",INDIRECT(ADDRESS(SumRef!BD60,SumRef!BD$16,,,SumRef!$B$7))))</f>
        <v/>
      </c>
      <c r="Q54" s="589"/>
      <c r="R54" s="1103" t="str">
        <f ca="1">IF('A-80 DirEntInv'!R53&lt;&gt;"",'A-80 DirEntInv'!R53,IF(INDIRECT(ADDRESS(SumRef!BH60,SumRef!BH$16,,,SumRef!$B$8))="","",INDIRECT(ADDRESS(SumRef!BH60,SumRef!BH$16,,,SumRef!$B$8))))</f>
        <v/>
      </c>
      <c r="S54" s="1104" t="str">
        <f ca="1">IF('A-80 DirEntInv'!S53&lt;&gt;"",'A-80 DirEntInv'!S53,IF(INDIRECT(ADDRESS(SumRef!BI60,SumRef!BI$16,,,SumRef!$B$8))="","",INDIRECT(ADDRESS(SumRef!BI60,SumRef!BI$16,,,SumRef!$B$8))))</f>
        <v/>
      </c>
      <c r="T54" s="1104" t="str">
        <f ca="1">IF('A-80 DirEntInv'!T53&lt;&gt;"",'A-80 DirEntInv'!T53,IF(INDIRECT(ADDRESS(SumRef!BJ60,SumRef!BJ$16,,,SumRef!$B$8))="","",INDIRECT(ADDRESS(SumRef!BJ60,SumRef!BJ$16,,,SumRef!$B$8))))</f>
        <v/>
      </c>
      <c r="U54" s="1104" t="str">
        <f ca="1">IF('A-80 DirEntInv'!U53&lt;&gt;"",'A-80 DirEntInv'!U53,IF(INDIRECT(ADDRESS(SumRef!BK60,SumRef!BK$16,,,SumRef!$B$8))="","",INDIRECT(ADDRESS(SumRef!BK60,SumRef!BK$16,,,SumRef!$B$8))))</f>
        <v/>
      </c>
      <c r="V54" s="1104" t="str">
        <f ca="1">IF('A-80 DirEntInv'!V53&lt;&gt;"",'A-80 DirEntInv'!V53,IF(INDIRECT(ADDRESS(SumRef!BL60,SumRef!BL$16,,,SumRef!$B$8))="","",INDIRECT(ADDRESS(SumRef!BL60,SumRef!BL$16,,,SumRef!$B$8))))</f>
        <v/>
      </c>
      <c r="W54" s="1354" t="str">
        <f ca="1">IF('A-80 DirEntInv'!W53&lt;&gt;"",'A-80 DirEntInv'!W53,IF(INDIRECT(ADDRESS(SumRef!BM60,SumRef!BM$16,,,SumRef!$B$8))="","",INDIRECT(ADDRESS(SumRef!BM60,SumRef!BM$16,,,SumRef!$B$8))))</f>
        <v/>
      </c>
      <c r="X54" s="1203" t="str">
        <f ca="1">IF('A-80 DirEntInv'!X53&lt;&gt;"",'A-80 DirEntInv'!X53,IF(INDIRECT(ADDRESS(SumRef!BN60,SumRef!BN$16,,,SumRef!$B$8))="","",INDIRECT(ADDRESS(SumRef!BN60,SumRef!BN$16,,,SumRef!$B$8))))</f>
        <v/>
      </c>
      <c r="Y54" s="1203" t="str">
        <f ca="1">IF('A-80 DirEntInv'!Y53&lt;&gt;"",'A-80 DirEntInv'!Y53,IF(INDIRECT(ADDRESS(SumRef!BO60,SumRef!BO$16,,,SumRef!$B$8))="","",INDIRECT(ADDRESS(SumRef!BO60,SumRef!BO$16,,,SumRef!$B$8))))</f>
        <v/>
      </c>
      <c r="Z54" s="1104" t="str">
        <f ca="1">IF('A-80 DirEntInv'!Z53&lt;&gt;"",'A-80 DirEntInv'!Z53,IF(INDIRECT(ADDRESS(SumRef!BP60,SumRef!BP$16,,,SumRef!$B$8))="","",INDIRECT(ADDRESS(SumRef!BP60,SumRef!BP$16,,,SumRef!$B$8))))</f>
        <v/>
      </c>
      <c r="AA54" s="1104" t="str">
        <f ca="1">IF('A-80 DirEntInv'!AA53&lt;&gt;"",'A-80 DirEntInv'!AA53,IF(INDIRECT(ADDRESS(SumRef!BQ60,SumRef!BQ$16,,,SumRef!$B$8))="","",INDIRECT(ADDRESS(SumRef!BQ60,SumRef!BQ$16,,,SumRef!$B$8))))</f>
        <v/>
      </c>
      <c r="AB54" s="1106" t="str">
        <f ca="1">IF('A-80 DirEntInv'!AB53&lt;&gt;"",'A-80 DirEntInv'!AB53,IF(INDIRECT(ADDRESS(SumRef!BR60,SumRef!BR$16,,,SumRef!$B$8))="","",INDIRECT(ADDRESS(SumRef!BR60,SumRef!BR$16,,,SumRef!$B$8))))</f>
        <v/>
      </c>
      <c r="AC54" s="1107" t="str">
        <f ca="1">IF('A-80 DirEntInv'!AC53&lt;&gt;"",'A-80 DirEntInv'!AC53,IF(INDIRECT(ADDRESS(SumRef!BS60,SumRef!BS$16,,,SumRef!$B$8))="","",INDIRECT(ADDRESS(SumRef!BS60,SumRef!BS$16,,,SumRef!$B$8))))</f>
        <v/>
      </c>
      <c r="AD54" s="1349" t="str">
        <f ca="1">IF('A-80 DirEntInv'!AD53&lt;&gt;"",'A-80 DirEntInv'!AD53,IF(INDIRECT(ADDRESS(SumRef!BT60,SumRef!BT$16,,,SumRef!$B$8))="","",INDIRECT(ADDRESS(SumRef!BT60,SumRef!BT$16,,,SumRef!$B$8))))</f>
        <v/>
      </c>
      <c r="AE54" s="1137" t="str">
        <f ca="1">IF('A-80 DirEntInv'!AE53&lt;&gt;"",'A-80 DirEntInv'!AE53,IF(INDIRECT(ADDRESS(SumRef!BU60,SumRef!BU$16,,,SumRef!$B$8))="","",INDIRECT(ADDRESS(SumRef!BU60,SumRef!BU$16,,,SumRef!$B$8))))</f>
        <v/>
      </c>
      <c r="AF54" s="1346" t="str">
        <f ca="1">IF('A-80 DirEntInv'!AF53&lt;&gt;"",'A-80 DirEntInv'!AF53,IF(INDIRECT(ADDRESS(SumRef!BV60,SumRef!BV$16,,,SumRef!$B$8))="","",INDIRECT(ADDRESS(SumRef!BV60,SumRef!BV$16,,,SumRef!$B$8))))</f>
        <v/>
      </c>
      <c r="AG54" s="1105" t="str">
        <f ca="1">IF('A-80 DirEntInv'!AG53&lt;&gt;"",'A-80 DirEntInv'!AG53,IF(INDIRECT(ADDRESS(SumRef!BW60,SumRef!BW$16,,,SumRef!$B$8))="","",INDIRECT(ADDRESS(SumRef!BW60,SumRef!BW$16,,,SumRef!$B$8))))</f>
        <v/>
      </c>
      <c r="AH54" s="1357" t="str">
        <f ca="1">IF('A-80 DirEntInv'!AH53&lt;&gt;"",'A-80 DirEntInv'!AH53,IF(INDIRECT(ADDRESS(SumRef!BX60,SumRef!BX$16,,,SumRef!$B$8))="","",INDIRECT(ADDRESS(SumRef!BX60,SumRef!BX$16,,,SumRef!$B$8))))</f>
        <v/>
      </c>
      <c r="AK54" s="1041" t="str">
        <f>Codes!$C$159</f>
        <v>CC - Cable Car (DO)</v>
      </c>
      <c r="AL54" s="1042" t="str">
        <f>Valid!$B$72</f>
        <v>At-Grade/In-Street/Embedded</v>
      </c>
      <c r="AM54" s="1108" t="str">
        <f>IF('A-80 DirEntInv'!AM53&lt;&gt;"",'A-80 DirEntInv'!#REF!,IF(AK54=summaryref2!B13,summaryref2!D13,IF(Summary!AK54=summaryref2!B27,summaryref2!D27,IF(AK54=summaryref2!B41,summaryref2!D41,IF(AK54=summaryref2!B55,summaryref2!D55,IF(AK54=summaryref2!B69,summaryref2!D69,IF(AK54=summaryref2!B83,summaryref2!D83,IF(AK54=summaryref2!B97,summaryref2!D97,IF(AK54=summaryref2!B111,summaryref2!D111,IF(AK54=summaryref2!B125,summaryref2!D125,IF(AK54=summaryref2!B139,summaryref2!D139,"")))))))))))</f>
        <v/>
      </c>
      <c r="AN54" s="1109" t="str">
        <f ca="1">IF('A-80 DirEntInv'!AN53&lt;&gt;"",'A-80 DirEntInv'!AN53,IF(INDIRECT(ADDRESS(SumRef!CG74,SumRef!CG$16,,,SumRef!$C$7))="","",INDIRECT(ADDRESS(SumRef!CG74,SumRef!CG$16,,,SumRef!$C$7))))</f>
        <v>Linear Feet</v>
      </c>
      <c r="AO54" s="1108" t="str">
        <f>IF('A-80 DirEntInv'!AO53&lt;&gt;"",'A-80 DirEntInv'!AO53,IF(AK54=summaryref2!B13,summaryref2!F13,IF(Summary!AK54=summaryref2!B27,summaryref2!F27,IF(AK54=summaryref2!B41,summaryref2!F41,IF(AK54=summaryref2!B55,summaryref2!F55,IF(AK54=summaryref2!B69,summaryref2!F69,IF(AK54=summaryref2!B83,summaryref2!F83,IF(AK54=summaryref2!B97,summaryref2!F97,IF(AK54=summaryref2!B111,summaryref2!F111,IF(AK54=summaryref2!B125,summaryref2!F125,IF(AK54=summaryref2!B139,summaryref2!F139,"")))))))))))</f>
        <v/>
      </c>
      <c r="AP54" s="1109" t="str">
        <f ca="1">IF('A-80 DirEntInv'!AP53&lt;&gt;"",'A-80 DirEntInv'!AP53,IF(INDIRECT(ADDRESS(SumRef!#REF!,SumRef!#REF!,,,SumRef!$C$7))="","",INDIRECT(ADDRESS(SumRef!#REF!,SumRef!#REF!,,,SumRef!$C$7))))</f>
        <v>Track Feet</v>
      </c>
      <c r="AQ54" s="1147" t="str">
        <f>IF('A-80 DirEntInv'!AQ53&lt;&gt;"",'A-80 DirEntInv'!AQ53,IF(AK54=summaryref2!B13,summaryref2!G13,IF(Summary!AK54=summaryref2!B27,summaryref2!G27,IF(AK54=summaryref2!B41,summaryref2!G41,IF(AK54=summaryref2!B55,summaryref2!G55,IF(AK54=summaryref2!B69,summaryref2!G69,IF(AK54=summaryref2!B83,summaryref2!G83,IF(AK54=summaryref2!B97,summaryref2!G97,IF(AK54=summaryref2!B111,summaryref2!G111,IF(AK54=summaryref2!B125,summaryref2!G125,IF(AK54=summaryref2!B139,summaryref2!G139,"")))))))))))</f>
        <v/>
      </c>
      <c r="AR54" s="1147" t="str">
        <f>IF('A-80 DirEntInv'!AR53&lt;&gt;"",'A-80 DirEntInv'!AR53,IF(AK54=summaryref2!B13,summaryref2!H13,IF(Summary!AK54=summaryref2!B27,summaryref2!H27,IF(AK54=summaryref2!B41,summaryref2!H41,IF(AK54=summaryref2!B55,summaryref2!H55,IF(AK54=summaryref2!B69,summaryref2!H69,IF(AK54=summaryref2!B83,summaryref2!H83,IF(AK54=summaryref2!B97,summaryref2!H97,IF(AK54=summaryref2!B111,summaryref2!H111,IF(AK54=summaryref2!B125,summaryref2!H125,IF(AK54=summaryref2!B139,summaryref2!H139,"")))))))))))</f>
        <v/>
      </c>
      <c r="AS54" s="1110" t="str">
        <f>IF('A-80 DirEntInv'!AS53&lt;&gt;"",'A-80 DirEntInv'!AS53,IF(AK54=summaryref2!B13,summaryref2!I13,IF(Summary!AK54=summaryref2!B27,summaryref2!I27,IF(AK54=summaryref2!B41,summaryref2!I41,IF(AK54=summaryref2!B55,summaryref2!I55,IF(AK54=summaryref2!B69,summaryref2!I69,IF(AK54=summaryref2!B83,summaryref2!I83,IF(AK54=summaryref2!B97,summaryref2!I97,IF(AK54=summaryref2!B111,summaryref2!I111,IF(AK54=summaryref2!B125,summaryref2!I125,IF(AK54=summaryref2!B139,summaryref2!I139,"")))))))))))</f>
        <v/>
      </c>
      <c r="AT54" s="1110" t="str">
        <f>IF('A-80 DirEntInv'!AT53&lt;&gt;"",'A-80 DirEntInv'!AT53,IF(AK54=summaryref2!B13,summaryref2!J13,IF(Summary!AK54=summaryref2!B27,summaryref2!J27,IF(AK54=summaryref2!B41,summaryref2!J41,IF(AK54=summaryref2!B55,summaryref2!J55,IF(AK54=summaryref2!B69,summaryref2!J69,IF(AK54=summaryref2!B83,summaryref2!J83,IF(AK54=summaryref2!B97,summaryref2!J97,IF(AK54=summaryref2!B111,summaryref2!J111,IF(AK54=summaryref2!B125,summaryref2!J125,IF(AK54=summaryref2!B139,summaryref2!J139,"")))))))))))</f>
        <v/>
      </c>
      <c r="AU54" s="1110" t="str">
        <f>IF('A-80 DirEntInv'!AU53&lt;&gt;"",'A-80 DirEntInv'!AU53,IF(AK54=summaryref2!B13,summaryref2!K13,IF(Summary!AK54=summaryref2!B27,summaryref2!K27,IF(AK54=summaryref2!B41,summaryref2!K41,IF(AK54=summaryref2!B55,summaryref2!K55,IF(AK54=summaryref2!B69,summaryref2!K69,IF(AK54=summaryref2!B83,summaryref2!K83,IF(AK54=summaryref2!B97,summaryref2!K97,IF(AK54=summaryref2!B111,summaryref2!K111,IF(AK54=summaryref2!B125,summaryref2!K125,IF(AK54=summaryref2!B139,summaryref2!K139,"")))))))))))</f>
        <v/>
      </c>
      <c r="AV54" s="1110" t="str">
        <f>IF('A-80 DirEntInv'!AV53&lt;&gt;"",'A-80 DirEntInv'!AV53,IF(AK54=summaryref2!B13,summaryref2!L13,IF(Summary!AK54=summaryref2!B27,summaryref2!L27,IF(AK54=summaryref2!B41,summaryref2!L41,IF(AK54=summaryref2!B55,summaryref2!L55,IF(AK54=summaryref2!B69,summaryref2!L69,IF(AK54=summaryref2!B83,summaryref2!L83,IF(AK54=summaryref2!B97,summaryref2!L97,IF(AK54=summaryref2!B111,summaryref2!L111,IF(AK54=summaryref2!B125,summaryref2!L125,IF(AK54=summaryref2!B139,summaryref2!L139,"")))))))))))</f>
        <v/>
      </c>
      <c r="AW54" s="1110" t="str">
        <f>IF('A-80 DirEntInv'!AW53&lt;&gt;"",'A-80 DirEntInv'!AW53,IF(AK54=summaryref2!B13,summaryref2!M13,IF(Summary!AK54=summaryref2!B27,summaryref2!M27,IF(AK54=summaryref2!B41,summaryref2!M41,IF(AK54=summaryref2!B55,summaryref2!M55,IF(AK54=summaryref2!B69,summaryref2!M69,IF(AK54=summaryref2!B83,summaryref2!M83,IF(AK54=summaryref2!B97,summaryref2!M97,IF(AK54=summaryref2!B111,summaryref2!M111,IF(AK54=summaryref2!B125,summaryref2!M125,IF(AK54=summaryref2!B139,summaryref2!M139,"")))))))))))</f>
        <v/>
      </c>
      <c r="AX54" s="1110" t="str">
        <f>IF('A-80 DirEntInv'!AX53&lt;&gt;"",'A-80 DirEntInv'!AX53,IF(AK54=summaryref2!B13,summaryref2!N13,IF(Summary!AK54=summaryref2!B27,summaryref2!N27,IF(AK54=summaryref2!B41,summaryref2!N41,IF(AK54=summaryref2!B55,summaryref2!N55,IF(AK54=summaryref2!B69,summaryref2!N69,IF(AK54=summaryref2!B83,summaryref2!N83,IF(AK54=summaryref2!B97,summaryref2!N97,IF(AK54=summaryref2!B111,summaryref2!N111,IF(AK54=summaryref2!B125,summaryref2!N125,IF(AK54=summaryref2!B139,summaryref2!N139,"")))))))))))</f>
        <v/>
      </c>
      <c r="AY54" s="1110" t="str">
        <f>IF('A-80 DirEntInv'!AY53&lt;&gt;"",'A-80 DirEntInv'!AY53,IF(AK54=summaryref2!B13,summaryref2!O13,IF(Summary!AK54=summaryref2!B27,summaryref2!O27,IF(AK54=summaryref2!B41,summaryref2!O41,IF(AK54=summaryref2!B55,summaryref2!O55,IF(AK54=summaryref2!B69,summaryref2!O69,IF(AK54=summaryref2!B83,summaryref2!O83,IF(AK54=summaryref2!B97,summaryref2!O97,IF(AK54=summaryref2!B111,summaryref2!O111,IF(AK54=summaryref2!B125,summaryref2!O125,IF(AK54=summaryref2!B139,summaryref2!O139,"")))))))))))</f>
        <v/>
      </c>
      <c r="AZ54" s="1110" t="str">
        <f>IF('A-80 DirEntInv'!AZ53&lt;&gt;"",'A-80 DirEntInv'!AZ53,IF(AK54=summaryref2!B13,summaryref2!P13,IF(Summary!AK54=summaryref2!B27,summaryref2!P27,IF(AK54=summaryref2!B41,summaryref2!P41,IF(AK54=summaryref2!B55,summaryref2!P55,IF(AK54=summaryref2!B69,summaryref2!P69,IF(AK54=summaryref2!B83,summaryref2!P83,IF(AK54=summaryref2!B97,summaryref2!P97,IF(AK54=summaryref2!B111,summaryref2!P111,IF(AK54=summaryref2!B125,summaryref2!P125,IF(AK54=summaryref2!B139,summaryref2!P139,"")))))))))))</f>
        <v/>
      </c>
      <c r="BA54" s="1110" t="str">
        <f>IF('A-80 DirEntInv'!BA53&lt;&gt;"",'A-80 DirEntInv'!BA53,IF(AK54=summaryref2!B13,summaryref2!Q13,IF(Summary!AK54=summaryref2!B27,summaryref2!Q27,IF(AK54=summaryref2!B41,summaryref2!Q41,IF(AK54=summaryref2!B55,summaryref2!Q55,IF(AK54=summaryref2!B69,summaryref2!Q69,IF(AK54=summaryref2!B83,summaryref2!Q83,IF(AK54=summaryref2!B97,summaryref2!Q97,IF(AK54=summaryref2!B111,summaryref2!Q111,IF(AK54=summaryref2!B125,summaryref2!Q125,IF(AK54=summaryref2!B139,summaryref2!Q139,"")))))))))))</f>
        <v/>
      </c>
      <c r="BB54" s="1110" t="str">
        <f>IF('A-80 DirEntInv'!BB53&lt;&gt;"",'A-80 DirEntInv'!BB53,IF(AK54=summaryref2!B13,summaryref2!R13,IF(Summary!AK54=summaryref2!B27,summaryref2!R27,IF(AK54=summaryref2!B41,summaryref2!R41,IF(AK54=summaryref2!B55,summaryref2!R55,IF(AK54=summaryref2!B69,summaryref2!R69,IF(AK54=summaryref2!B83,summaryref2!R83,IF(AK54=summaryref2!B97,summaryref2!R97,IF(AK54=summaryref2!B111,summaryref2!R111,IF(AK54=summaryref2!B125,summaryref2!R125,IF(AK54=summaryref2!B139,summaryref2!R139,"")))))))))))</f>
        <v/>
      </c>
      <c r="BC54" s="1110" t="str">
        <f>IF('A-80 DirEntInv'!BC53&lt;&gt;0,'A-80 DirEntInv'!BC53,IF(AK54=summaryref2!B13,summaryref2!S13,IF(Summary!AK54=summaryref2!B27,summaryref2!S27,IF(AK54=summaryref2!B41,summaryref2!S41,IF(AK54=summaryref2!B55,summaryref2!S55,IF(AK54=summaryref2!B69,summaryref2!S69,IF(AK54=summaryref2!B83,summaryref2!S83,IF(AK54=summaryref2!B97,summaryref2!S97,IF(AK54=summaryref2!B111,summaryref2!S111,IF(AK54=summaryref2!B125,summaryref2!S125,IF(AK54=summaryref2!B139,summaryref2!S139,"")))))))))))</f>
        <v/>
      </c>
      <c r="BD54" s="1111" t="str">
        <f>IF('A-80 DirEntInv'!BD53&lt;&gt;"",'A-80 DirEntInv'!BD53,IF(AK54=summaryref2!B13,summaryref2!T13,IF(Summary!AK54=summaryref2!B27,summaryref2!T27,IF(AK54=summaryref2!B41,summaryref2!T41,IF(AK54=summaryref2!B55,summaryref2!T55,IF(AK54=summaryref2!B69,summaryref2!T69,IF(AK54=summaryref2!B83,summaryref2!T83,IF(AK54=summaryref2!B97,summaryref2!T97,IF(AK54=summaryref2!B111,summaryref2!T111,IF(AK54=summaryref2!B125,summaryref2!T125,IF(AK54=summaryref2!B139,summaryref2!T139,"")))))))))))</f>
        <v/>
      </c>
      <c r="BE54" s="1184" t="str">
        <f>IF('A-80 DirEntInv'!BE53&lt;&gt;"",'A-80 DirEntInv'!BE53,IF(AK54=summaryref2!B13,summaryref2!U13,IF(Summary!AK54=summaryref2!B27,summaryref2!U27,IF(AK54=summaryref2!B41,summaryref2!U41,IF(AK54=summaryref2!B55,summaryref2!U55,IF(AK54=summaryref2!B69,summaryref2!U69,IF(AK54=summaryref2!B83,summaryref2!U83,IF(AK54=summaryref2!B97,summaryref2!U97,IF(AK54=summaryref2!B111,summaryref2!U111,IF(AK54=summaryref2!B125,summaryref2!U125,IF(AK54=summaryref2!B139,summaryref2!U139,"")))))))))))</f>
        <v/>
      </c>
      <c r="BF54" s="1432"/>
      <c r="BG54" s="1432"/>
      <c r="BJ54" s="1048" t="str">
        <f>Codes!$C$162</f>
        <v>CR - Commuter Rail (PT)</v>
      </c>
      <c r="BK54" s="1049" t="str">
        <f>Valid!$B$81</f>
        <v>Curve</v>
      </c>
      <c r="BL54" s="1367" t="str">
        <f>IF('A-80 DirEntInv'!BL53&lt;&gt;"",'A-80 DirEntInv'!BL53,IF(BJ54=summaryref2!X13,summaryref2!Z13,IF(BJ54=summaryref2!X20,summaryref2!Z20,IF(BJ54=summaryref2!X27,summaryref2!Z27,IF(BJ54=summaryref2!X34,summaryref2!Z34,IF(BJ54=summaryref2!X41,summaryref2!Z41,IF(BJ54=summaryref2!X48,summaryref2!Z48,IF(BJ54=summaryref2!X55,summaryref2!Z55,IF(BJ54=summaryref2!X62,summaryref2!Z62,IF(BJ54=summaryref2!X69,summaryref2!Z69,IF(BJ54=summaryref2!X76,summaryref2!Z76,"")))))))))))</f>
        <v/>
      </c>
      <c r="BM54" s="1049" t="str">
        <f>VLOOKUP(BK54,Valid!$B$80:$C$86,2,FALSE)</f>
        <v>Track Feet</v>
      </c>
      <c r="BN54" s="1324" t="str">
        <f>IF('A-80 DirEntInv'!BN53&lt;&gt;"",'A-80 DirEntInv'!BN53,IF(BJ54=summaryref2!X13,summaryref2!AB13,IF(BJ54=summaryref2!X20,summaryref2!AB20,IF(BJ54=summaryref2!X27,summaryref2!AB27,IF(BJ54=summaryref2!X34,summaryref2!AB34,IF(BJ54=summaryref2!X41,summaryref2!AB41,IF(BJ54=summaryref2!X48,summaryref2!AB48,IF(BJ54=summaryref2!X55,summaryref2!AB55,IF(BJ54=summaryref2!X62,summaryref2!AB62,IF(BJ54=summaryref2!X69,summaryref2!AB69,IF(BJ54=summaryref2!X76,summaryref2!AB76,"")))))))))))</f>
        <v/>
      </c>
      <c r="BO54" s="1326" t="str">
        <f>IF('A-80 DirEntInv'!BO53&lt;&gt;"",'A-80 DirEntInv'!BO53,IF(BJ54=summaryref2!X13,summaryref2!AC13,IF(BJ54=summaryref2!X20,summaryref2!AC20,IF(BJ54=summaryref2!X27,summaryref2!AC27,IF(BJ54=summaryref2!X34,summaryref2!AC34,IF(BJ54=summaryref2!X41,summaryref2!AC41,IF(BJ54=summaryref2!X48,summaryref2!AC48,IF(BJ54=summaryref2!X55,summaryref2!AC55,IF(BJ54=summaryref2!X62,summaryref2!AC62,IF(BJ54=summaryref2!X69,summaryref2!AC69,IF(BJ54=summaryref2!X76,summaryref2!AC76,"")))))))))))</f>
        <v/>
      </c>
      <c r="BP54" s="1323" t="str">
        <f>IF('A-80 DirEntInv'!BP53&lt;&gt;"",'A-80 DirEntInv'!BP53,IF(BJ54=summaryref2!X13,summaryref2!AD13,IF(BJ54=summaryref2!X20,summaryref2!AD20,IF(BJ54=summaryref2!X27,summaryref2!AD27,IF(BJ54=summaryref2!X34,summaryref2!AD34,IF(BJ54=summaryref2!X41,summaryref2!AD41,IF(BJ54=summaryref2!X48,summaryref2!AD48,IF(BJ54=summaryref2!X55,summaryref2!AD55,IF(BJ54=summaryref2!X62,summaryref2!AD62,IF(BJ54=summaryref2!X69,summaryref2!AD69,IF(BJ54=summaryref2!X76,summaryref2!AD76,"")))))))))))</f>
        <v/>
      </c>
      <c r="BS54" s="1472" t="str">
        <f ca="1">IF('A-80 DirEntInv'!BU53&lt;&gt;"",'A-80 DirEntInv'!BU53,IF(INDIRECT(ADDRESS(SumRef!DK60,SumRef!DK$16,,,SumRef!$E$6))="","",INDIRECT(ADDRESS(SumRef!DK60,SumRef!DK$16,,,SumRef!$E$6))))</f>
        <v/>
      </c>
      <c r="BT54" s="1458" t="str">
        <f ca="1">IF('A-80 DirEntInv'!BV53&lt;&gt;"",'A-80 DirEntInv'!BV53,IF(INDIRECT(ADDRESS(SumRef!DL60,SumRef!DL$16,,,SumRef!$E$6))="","",INDIRECT(ADDRESS(SumRef!DL60,SumRef!DL$16,,,SumRef!$E$6))))</f>
        <v/>
      </c>
      <c r="BU54" s="1177" t="str">
        <f ca="1">IF('A-80 DirEntInv'!BW53&lt;&gt;"",'A-80 DirEntInv'!BW53,IF(INDIRECT(ADDRESS(SumRef!DM60,SumRef!DM$16,,,SumRef!$E$6))="","",INDIRECT(ADDRESS(SumRef!DM60,SumRef!DM$16,,,SumRef!$E$6))))</f>
        <v/>
      </c>
      <c r="BV54" s="1460" t="str">
        <f ca="1">IF('A-80 DirEntInv'!BX53&lt;&gt;"",'A-80 DirEntInv'!BX53,IF(INDIRECT(ADDRESS(SumRef!DN60,SumRef!DN$16,,,SumRef!$E$6))="","",INDIRECT(ADDRESS(SumRef!DN60,SumRef!DN$16,,,SumRef!$E$6))))</f>
        <v/>
      </c>
      <c r="BW54" s="1460" t="str">
        <f ca="1">IF('A-80 DirEntInv'!BY53&lt;&gt;"",'A-80 DirEntInv'!BY53,IF(INDIRECT(ADDRESS(SumRef!DO60,SumRef!DO$16,,,SumRef!$E$6))="","",INDIRECT(ADDRESS(SumRef!DO60,SumRef!DO$16,,,SumRef!$E$6))))</f>
        <v/>
      </c>
      <c r="BX54" s="1116" t="str">
        <f ca="1">IF('A-80 DirEntInv'!BZ53&lt;&gt;"",'A-80 DirEntInv'!BZ53,IF(INDIRECT(ADDRESS(SumRef!DP60,SumRef!DP$16,,,SumRef!$E$6))="","",INDIRECT(ADDRESS(SumRef!DP60,SumRef!DP$16,,,SumRef!$E$6))))</f>
        <v/>
      </c>
      <c r="BY54" s="1461" t="str">
        <f ca="1">IF('A-80 DirEntInv'!CA53&lt;&gt;"",'A-80 DirEntInv'!CA53,IF(INDIRECT(ADDRESS(SumRef!DQ60,SumRef!DQ$16,,,SumRef!$E$6))="","",INDIRECT(ADDRESS(SumRef!DQ60,SumRef!DQ$16,,,SumRef!$E$6))))</f>
        <v/>
      </c>
      <c r="BZ54" s="1460" t="str">
        <f ca="1">IF('A-80 DirEntInv'!CB53&lt;&gt;"",'A-80 DirEntInv'!CB53,IF(INDIRECT(ADDRESS(SumRef!DR60,SumRef!DR$16,,,SumRef!$E$6))="","",INDIRECT(ADDRESS(SumRef!DR60,SumRef!DR$16,,,SumRef!$E$6))))</f>
        <v/>
      </c>
      <c r="CA54" s="1462" t="str">
        <f ca="1">IF('A-80 DirEntInv'!CC53&lt;&gt;"",'A-80 DirEntInv'!CC53,IF(INDIRECT(ADDRESS(SumRef!DS60,SumRef!DS$16,,,SumRef!$E$6))="","",INDIRECT(ADDRESS(SumRef!DS60,SumRef!DS$16,,,SumRef!$E$6))))</f>
        <v/>
      </c>
      <c r="CD54" s="1160" t="str">
        <f ca="1">IF('A-80 DirEntInv'!CF53&lt;&gt;"",'A-80 DirEntInv'!CF53,IF(INDIRECT(ADDRESS(SumRef!DV60,SumRef!DV$16,,,SumRef!$E$7))="","",INDIRECT(ADDRESS(SumRef!DV60,SumRef!DV$16,,,SumRef!$E$7))))</f>
        <v/>
      </c>
      <c r="CE54" s="1167" t="str">
        <f ca="1">IF('A-80 DirEntInv'!CG53&lt;&gt;"",'A-80 DirEntInv'!CG53,IF(INDIRECT(ADDRESS(SumRef!DW60,SumRef!DW$16,,,SumRef!$E$7))="","",INDIRECT(ADDRESS(SumRef!DW60,SumRef!DW$16,,,SumRef!$E$7))))</f>
        <v/>
      </c>
      <c r="CF54" s="1167" t="str">
        <f ca="1">IF('A-80 DirEntInv'!CH53&lt;&gt;"",'A-80 DirEntInv'!CH53,IF(INDIRECT(ADDRESS(SumRef!DX60,SumRef!DX$16,,,SumRef!$E$7))="","",INDIRECT(ADDRESS(SumRef!DX60,SumRef!DX$16,,,SumRef!$E$7))))</f>
        <v/>
      </c>
      <c r="CG54" s="1167" t="str">
        <f ca="1">IF('A-80 DirEntInv'!CI53&lt;&gt;"",'A-80 DirEntInv'!CI53,IF(INDIRECT(ADDRESS(SumRef!DY60,SumRef!DY$16,,,SumRef!$E$7))="","",INDIRECT(ADDRESS(SumRef!DY60,SumRef!DY$16,,,SumRef!$E$7))))</f>
        <v/>
      </c>
      <c r="CH54" s="1167" t="str">
        <f ca="1">IF('A-80 DirEntInv'!CJ53&lt;&gt;"",'A-80 DirEntInv'!CJ53,IF(INDIRECT(ADDRESS(SumRef!DZ60,SumRef!DZ$16,,,SumRef!$E$7))="","",INDIRECT(ADDRESS(SumRef!DZ60,SumRef!DZ$16,,,SumRef!$E$7))))</f>
        <v/>
      </c>
      <c r="CI54" s="1167" t="str">
        <f ca="1">IF('A-80 DirEntInv'!CK53&lt;&gt;"",'A-80 DirEntInv'!CK53,IF(INDIRECT(ADDRESS(SumRef!EA60,SumRef!EA$16,,,SumRef!$E$7))="","",INDIRECT(ADDRESS(SumRef!EA60,SumRef!EA$16,,,SumRef!$E$7))))</f>
        <v/>
      </c>
      <c r="CJ54" s="1114" t="str">
        <f ca="1">IF('A-80 DirEntInv'!CL53&lt;&gt;"",'A-80 DirEntInv'!CL53,IF(INDIRECT(ADDRESS(SumRef!EB60,SumRef!EB$16,,,SumRef!$E$7))="","",INDIRECT(ADDRESS(SumRef!EB60,SumRef!EB$16,,,SumRef!$E$7))))</f>
        <v/>
      </c>
      <c r="CK54" s="1114" t="str">
        <f ca="1">IF('A-80 DirEntInv'!CM53&lt;&gt;"",'A-80 DirEntInv'!CM53,IF(INDIRECT(ADDRESS(SumRef!EC60,SumRef!EC$16,,,SumRef!$E$7))="","",INDIRECT(ADDRESS(SumRef!EC60,SumRef!EC$16,,,SumRef!$E$7))))</f>
        <v/>
      </c>
      <c r="CL54" s="1113" t="str">
        <f ca="1">IF('A-80 DirEntInv'!CO53&lt;&gt;"",'A-80 DirEntInv'!CO53,IF(INDIRECT(ADDRESS(SumRef!ED60,SumRef!ED$16,,,SumRef!$E$7))="","",INDIRECT(ADDRESS(SumRef!ED60,SumRef!ED$16,,,SumRef!$E$7))))</f>
        <v/>
      </c>
      <c r="CM54" s="1114" t="str">
        <f ca="1">IF('A-80 DirEntInv'!CP53&lt;&gt;"",'A-80 DirEntInv'!CP53,IF(INDIRECT(ADDRESS(SumRef!EE60,SumRef!EE$16,,,SumRef!$E$7))="","",INDIRECT(ADDRESS(SumRef!EE60,SumRef!EE$16,,,SumRef!$E$7))))</f>
        <v/>
      </c>
      <c r="CN54" s="1114" t="str">
        <f ca="1">IF('A-80 DirEntInv'!CQ53&lt;&gt;"",'A-80 DirEntInv'!CQ53,IF(INDIRECT(ADDRESS(SumRef!EF60,SumRef!EF$16,,,SumRef!$E$7))="","",INDIRECT(ADDRESS(SumRef!EF60,SumRef!EF$16,,,SumRef!$E$7))))</f>
        <v/>
      </c>
      <c r="CO54" s="1113" t="str">
        <f ca="1">IF('A-80 DirEntInv'!CR53&lt;&gt;"",'A-80 DirEntInv'!CR53,IF(INDIRECT(ADDRESS(SumRef!EG60,SumRef!EG$16,,,SumRef!$E$7))="","",INDIRECT(ADDRESS(SumRef!EG60,SumRef!EG$16,,,SumRef!$E$7))))</f>
        <v/>
      </c>
      <c r="CP54" s="1114" t="str">
        <f ca="1">IF('A-80 DirEntInv'!CS53&lt;&gt;"",'A-80 DirEntInv'!CS53,IF(INDIRECT(ADDRESS(SumRef!EH60,SumRef!EH$16,,,SumRef!$E$7))="","",INDIRECT(ADDRESS(SumRef!EH60,SumRef!EH$16,,,SumRef!$E$7))))</f>
        <v/>
      </c>
      <c r="CQ54" s="1346" t="str">
        <f ca="1">IF('A-80 DirEntInv'!CT53&lt;&gt;"",'A-80 DirEntInv'!CT53,IF(INDIRECT(ADDRESS(SumRef!EI60,SumRef!EI$16,,,SumRef!$E$7))="","",INDIRECT(ADDRESS(SumRef!EI60,SumRef!EI$16,,,SumRef!$E$7))))</f>
        <v/>
      </c>
      <c r="CR54" s="1113" t="str">
        <f ca="1">IF('A-80 DirEntInv'!CU53&lt;&gt;"",'A-80 DirEntInv'!CU53,IF(INDIRECT(ADDRESS(SumRef!EJ60,SumRef!EJ$16,,,SumRef!$E$7))="","",INDIRECT(ADDRESS(SumRef!EJ60,SumRef!EJ$16,,,SumRef!$E$7))))</f>
        <v/>
      </c>
      <c r="CS54" s="1346" t="str">
        <f ca="1">IF('A-80 DirEntInv'!CV53&lt;&gt;"",'A-80 DirEntInv'!CV53,IF(INDIRECT(ADDRESS(SumRef!EM60,SumRef!EM$16,,,SumRef!$E$7))="","",INDIRECT(ADDRESS(SumRef!EM60,SumRef!EM$16,,,SumRef!$E$7))))</f>
        <v/>
      </c>
      <c r="CT54" s="1113" t="str">
        <f ca="1">IF('A-80 DirEntInv'!CW53&lt;&gt;"",'A-80 DirEntInv'!CW53,IF(INDIRECT(ADDRESS(SumRef!EN60,SumRef!EN$16,,,SumRef!$E$7))="","",INDIRECT(ADDRESS(SumRef!EN60,SumRef!EN$16,,,SumRef!$E$7))))</f>
        <v/>
      </c>
      <c r="CU54" s="1113" t="str">
        <f ca="1">IF('A-80 DirEntInv'!CX53&lt;&gt;"",'A-80 DirEntInv'!CX53,IF(INDIRECT(ADDRESS(SumRef!EO60,SumRef!EO$16,,,SumRef!$E$7))="","",INDIRECT(ADDRESS(SumRef!EO60,SumRef!EO$16,,,SumRef!$E$7))))</f>
        <v/>
      </c>
      <c r="CV54" s="1113" t="str">
        <f ca="1">IF('A-80 DirEntInv'!CY53&lt;&gt;"",'A-80 DirEntInv'!CY53,IF(INDIRECT(ADDRESS(SumRef!EP60,SumRef!EP$16,,,SumRef!$E$7))="","",INDIRECT(ADDRESS(SumRef!EP60,SumRef!EP$16,,,SumRef!$E$7))))</f>
        <v/>
      </c>
      <c r="CW54" s="1114" t="str">
        <f ca="1">IF('A-80 DirEntInv'!CZ53&lt;&gt;"",'A-80 DirEntInv'!CZ53,IF(INDIRECT(ADDRESS(SumRef!ES60,SumRef!ES$16,,,SumRef!$E$7))="","",INDIRECT(ADDRESS(SumRef!ES60,SumRef!ES$16,,,SumRef!$E$7))))</f>
        <v/>
      </c>
      <c r="CX54" s="1167" t="str">
        <f ca="1">IF('A-80 DirEntInv'!DA53&lt;&gt;"",'A-80 DirEntInv'!DA53,IF(INDIRECT(ADDRESS(SumRef!ET60,SumRef!ET$16,,,SumRef!$E$7))="","",INDIRECT(ADDRESS(SumRef!ET60,SumRef!ET$16,,,SumRef!$E$7))))</f>
        <v/>
      </c>
      <c r="CY54" s="1167" t="str">
        <f ca="1">IF('A-80 DirEntInv'!DB53&lt;&gt;"",'A-80 DirEntInv'!DB53,IF(INDIRECT(ADDRESS(SumRef!EU60,SumRef!EU$16,,,SumRef!$E$7))="","",INDIRECT(ADDRESS(SumRef!EU60,SumRef!EU$16,,,SumRef!$E$7))))</f>
        <v/>
      </c>
      <c r="CZ54" s="1167" t="b">
        <f ca="1">IF('A-80 DirEntInv'!DC53&lt;&gt;"",'A-80 DirEntInv'!DC53,IF(INDIRECT(ADDRESS(SumRef!EV60,SumRef!EV$16,,,SumRef!$E$7))="","",INDIRECT(ADDRESS(SumRef!EV60,SumRef!EV$16,,,SumRef!$E$7))))</f>
        <v>0</v>
      </c>
      <c r="DA54" s="1373" t="str">
        <f ca="1">IF('A-80 DirEntInv'!DD53&lt;&gt;"",'A-80 DirEntInv'!DD53,IF(INDIRECT(ADDRESS(SumRef!EW60,SumRef!EW$16,,,SumRef!$E$7))="","",INDIRECT(ADDRESS(SumRef!EW60,SumRef!EW$16,,,SumRef!$E$7))))</f>
        <v/>
      </c>
      <c r="DB54" s="1373" t="b">
        <f ca="1">IF('A-80 DirEntInv'!DE53&lt;&gt;"",'A-80 DirEntInv'!DE53,IF(INDIRECT(ADDRESS(SumRef!EX60,SumRef!EX$16,,,SumRef!$E$7))="","",INDIRECT(ADDRESS(SumRef!EX60,SumRef!EX$16,,,SumRef!$E$7))))</f>
        <v>0</v>
      </c>
      <c r="DC54" s="1114" t="b">
        <f ca="1">IF('A-80 DirEntInv'!DF53&lt;&gt;"",'A-80 DirEntInv'!DF53,IF(INDIRECT(ADDRESS(SumRef!EY60,SumRef!EY$16,,,SumRef!$E$7))="","",INDIRECT(ADDRESS(SumRef!EY60,SumRef!EY$16,,,SumRef!$E$7))))</f>
        <v>0</v>
      </c>
      <c r="DD54" s="1115" t="str">
        <f ca="1">IF('A-80 DirEntInv'!DG53&lt;&gt;"",'A-80 DirEntInv'!DG53,IF(INDIRECT(ADDRESS(SumRef!EZ60,SumRef!EZ$16,,,SumRef!$E$7))="","",INDIRECT(ADDRESS(SumRef!EZ60,SumRef!EZ$16,,,SumRef!$E$7))))</f>
        <v/>
      </c>
    </row>
    <row r="55" spans="1:108" s="588" customFormat="1" ht="13.5" thickTop="1" x14ac:dyDescent="0.2">
      <c r="A55" s="589">
        <f t="shared" si="0"/>
        <v>45</v>
      </c>
      <c r="B55" s="1155" t="str">
        <f ca="1">IF('A-80 DirEntInv'!B54&lt;&gt;"",'A-80 DirEntInv'!B54,IF(INDIRECT(ADDRESS(SumRef!AQ61,SumRef!AQ$16,,,SumRef!$B$7))="","",INDIRECT(ADDRESS(SumRef!AQ61,SumRef!AQ$16,,,SumRef!$B$7))))</f>
        <v/>
      </c>
      <c r="C55" s="1097" t="str">
        <f ca="1">IF('A-80 DirEntInv'!C54&lt;&gt;"",'A-80 DirEntInv'!C54,IF(INDIRECT(ADDRESS(SumRef!AR61,SumRef!AR$16,,,SumRef!$B$7))="","",INDIRECT(ADDRESS(SumRef!AR61,SumRef!AR$16,,,SumRef!$B$7))))</f>
        <v/>
      </c>
      <c r="D55" s="1097" t="str">
        <f ca="1">IF('A-80 DirEntInv'!D54&lt;&gt;"",'A-80 DirEntInv'!D54,IF(INDIRECT(ADDRESS(SumRef!AS61,SumRef!AS$16,,,SumRef!$B$7))="","",INDIRECT(ADDRESS(SumRef!AS61,SumRef!AS$16,,,SumRef!$B$7))))</f>
        <v/>
      </c>
      <c r="E55" s="1097" t="str">
        <f ca="1">IF('A-80 DirEntInv'!E54&lt;&gt;"",'A-80 DirEntInv'!E54,IF(INDIRECT(ADDRESS(SumRef!AT61,SumRef!AT$16,,,SumRef!$B$7))="","",INDIRECT(ADDRESS(SumRef!AT61,SumRef!AT$16,,,SumRef!$B$7))))</f>
        <v/>
      </c>
      <c r="F55" s="1097" t="str">
        <f ca="1">IF('A-80 DirEntInv'!F54&lt;&gt;"",'A-80 DirEntInv'!F54,IF(INDIRECT(ADDRESS(SumRef!AU61,SumRef!AU$16,,,SumRef!$B$7))="","",INDIRECT(ADDRESS(SumRef!AU61,SumRef!AU$16,,,SumRef!$B$7))))</f>
        <v/>
      </c>
      <c r="G55" s="1158" t="str">
        <f ca="1">IF('A-80 DirEntInv'!G54&lt;&gt;"",'A-80 DirEntInv'!G54,IF(INDIRECT(ADDRESS(SumRef!AV61,SumRef!AV$16,,,SumRef!$B$7))="","",INDIRECT(ADDRESS(SumRef!AV61,SumRef!AV$16,,,SumRef!$B$7))))</f>
        <v/>
      </c>
      <c r="H55" s="1097" t="str">
        <f ca="1">IF('A-80 DirEntInv'!H54&lt;&gt;"",'A-80 DirEntInv'!H54,IF(INDIRECT(ADDRESS(SumRef!AW61,SumRef!AW$16,,,SumRef!$B$7))="","",INDIRECT(ADDRESS(SumRef!AW61,SumRef!AW$16,,,SumRef!$B$7))))</f>
        <v/>
      </c>
      <c r="I55" s="1097" t="str">
        <f ca="1">IF('A-80 DirEntInv'!I54&lt;&gt;"",'A-80 DirEntInv'!I54,IF(INDIRECT(ADDRESS(SumRef!AX61,SumRef!AX$16,,,SumRef!$B$7))="","",INDIRECT(ADDRESS(SumRef!AX61,SumRef!AX$16,,,SumRef!$B$7))))</f>
        <v/>
      </c>
      <c r="J55" s="1098" t="str">
        <f ca="1">IF('A-80 DirEntInv'!J54&lt;&gt;"",'A-80 DirEntInv'!J54,IF(INDIRECT(ADDRESS(SumRef!AY61,SumRef!AY$16,,,SumRef!$B$7))="","",INDIRECT(ADDRESS(SumRef!AY61,SumRef!AY$16,,,SumRef!$B$7))))</f>
        <v/>
      </c>
      <c r="K55" s="1099" t="str">
        <f ca="1">IF('A-80 DirEntInv'!K54&lt;&gt;"",'A-80 DirEntInv'!K54,IF(INDIRECT(ADDRESS(SumRef!AZ61,SumRef!AZ$16,,,SumRef!$B$7))="","",INDIRECT(ADDRESS(SumRef!AZ61,SumRef!AZ$16,,,SumRef!$B$7))))</f>
        <v/>
      </c>
      <c r="L55" s="1100" t="str">
        <f ca="1">IF('A-80 DirEntInv'!L54&lt;&gt;"",'A-80 DirEntInv'!L54,IF(INDIRECT(ADDRESS(SumRef!BA61,SumRef!BA$16,,,SumRef!$B$7))="","",INDIRECT(ADDRESS(SumRef!BA61,SumRef!BA$16,,,SumRef!$B$7))))</f>
        <v/>
      </c>
      <c r="M55" s="1101" t="str">
        <f ca="1">IF('A-80 DirEntInv'!M54&lt;&gt;"",'A-80 DirEntInv'!M54,IF(INDIRECT(ADDRESS(SumRef!BB61,SumRef!BB$16,,,SumRef!$B$7))="","",INDIRECT(ADDRESS(SumRef!BB61,SumRef!BB$16,,,SumRef!$B$7))))</f>
        <v/>
      </c>
      <c r="N55" s="1098" t="str">
        <f ca="1">IF('A-80 DirEntInv'!N54&lt;&gt;"",'A-80 DirEntInv'!N54,IF(INDIRECT(ADDRESS(SumRef!BC61,SumRef!BC$16,,,SumRef!$B$7))="","",INDIRECT(ADDRESS(SumRef!BC61,SumRef!BC$16,,,SumRef!$B$7))))</f>
        <v/>
      </c>
      <c r="O55" s="1102" t="str">
        <f ca="1">IF('A-80 DirEntInv'!O54&lt;&gt;"",'A-80 DirEntInv'!O54,IF(INDIRECT(ADDRESS(SumRef!BD61,SumRef!BD$16,,,SumRef!$B$7))="","",INDIRECT(ADDRESS(SumRef!BD61,SumRef!BD$16,,,SumRef!$B$7))))</f>
        <v/>
      </c>
      <c r="Q55" s="589"/>
      <c r="R55" s="1103" t="str">
        <f ca="1">IF('A-80 DirEntInv'!R54&lt;&gt;"",'A-80 DirEntInv'!R54,IF(INDIRECT(ADDRESS(SumRef!BH61,SumRef!BH$16,,,SumRef!$B$8))="","",INDIRECT(ADDRESS(SumRef!BH61,SumRef!BH$16,,,SumRef!$B$8))))</f>
        <v/>
      </c>
      <c r="S55" s="1104" t="str">
        <f ca="1">IF('A-80 DirEntInv'!S54&lt;&gt;"",'A-80 DirEntInv'!S54,IF(INDIRECT(ADDRESS(SumRef!BI61,SumRef!BI$16,,,SumRef!$B$8))="","",INDIRECT(ADDRESS(SumRef!BI61,SumRef!BI$16,,,SumRef!$B$8))))</f>
        <v/>
      </c>
      <c r="T55" s="1104" t="str">
        <f ca="1">IF('A-80 DirEntInv'!T54&lt;&gt;"",'A-80 DirEntInv'!T54,IF(INDIRECT(ADDRESS(SumRef!BJ61,SumRef!BJ$16,,,SumRef!$B$8))="","",INDIRECT(ADDRESS(SumRef!BJ61,SumRef!BJ$16,,,SumRef!$B$8))))</f>
        <v/>
      </c>
      <c r="U55" s="1104" t="str">
        <f ca="1">IF('A-80 DirEntInv'!U54&lt;&gt;"",'A-80 DirEntInv'!U54,IF(INDIRECT(ADDRESS(SumRef!BK61,SumRef!BK$16,,,SumRef!$B$8))="","",INDIRECT(ADDRESS(SumRef!BK61,SumRef!BK$16,,,SumRef!$B$8))))</f>
        <v/>
      </c>
      <c r="V55" s="1104" t="str">
        <f ca="1">IF('A-80 DirEntInv'!V54&lt;&gt;"",'A-80 DirEntInv'!V54,IF(INDIRECT(ADDRESS(SumRef!BL61,SumRef!BL$16,,,SumRef!$B$8))="","",INDIRECT(ADDRESS(SumRef!BL61,SumRef!BL$16,,,SumRef!$B$8))))</f>
        <v/>
      </c>
      <c r="W55" s="1354" t="str">
        <f ca="1">IF('A-80 DirEntInv'!W54&lt;&gt;"",'A-80 DirEntInv'!W54,IF(INDIRECT(ADDRESS(SumRef!BM61,SumRef!BM$16,,,SumRef!$B$8))="","",INDIRECT(ADDRESS(SumRef!BM61,SumRef!BM$16,,,SumRef!$B$8))))</f>
        <v/>
      </c>
      <c r="X55" s="1203" t="str">
        <f ca="1">IF('A-80 DirEntInv'!X54&lt;&gt;"",'A-80 DirEntInv'!X54,IF(INDIRECT(ADDRESS(SumRef!BN61,SumRef!BN$16,,,SumRef!$B$8))="","",INDIRECT(ADDRESS(SumRef!BN61,SumRef!BN$16,,,SumRef!$B$8))))</f>
        <v/>
      </c>
      <c r="Y55" s="1203" t="str">
        <f ca="1">IF('A-80 DirEntInv'!Y54&lt;&gt;"",'A-80 DirEntInv'!Y54,IF(INDIRECT(ADDRESS(SumRef!BO61,SumRef!BO$16,,,SumRef!$B$8))="","",INDIRECT(ADDRESS(SumRef!BO61,SumRef!BO$16,,,SumRef!$B$8))))</f>
        <v/>
      </c>
      <c r="Z55" s="1104" t="str">
        <f ca="1">IF('A-80 DirEntInv'!Z54&lt;&gt;"",'A-80 DirEntInv'!Z54,IF(INDIRECT(ADDRESS(SumRef!BP61,SumRef!BP$16,,,SumRef!$B$8))="","",INDIRECT(ADDRESS(SumRef!BP61,SumRef!BP$16,,,SumRef!$B$8))))</f>
        <v/>
      </c>
      <c r="AA55" s="1104" t="str">
        <f ca="1">IF('A-80 DirEntInv'!AA54&lt;&gt;"",'A-80 DirEntInv'!AA54,IF(INDIRECT(ADDRESS(SumRef!BQ61,SumRef!BQ$16,,,SumRef!$B$8))="","",INDIRECT(ADDRESS(SumRef!BQ61,SumRef!BQ$16,,,SumRef!$B$8))))</f>
        <v/>
      </c>
      <c r="AB55" s="1106" t="str">
        <f ca="1">IF('A-80 DirEntInv'!AB54&lt;&gt;"",'A-80 DirEntInv'!AB54,IF(INDIRECT(ADDRESS(SumRef!BR61,SumRef!BR$16,,,SumRef!$B$8))="","",INDIRECT(ADDRESS(SumRef!BR61,SumRef!BR$16,,,SumRef!$B$8))))</f>
        <v/>
      </c>
      <c r="AC55" s="1107" t="str">
        <f ca="1">IF('A-80 DirEntInv'!AC54&lt;&gt;"",'A-80 DirEntInv'!AC54,IF(INDIRECT(ADDRESS(SumRef!BS61,SumRef!BS$16,,,SumRef!$B$8))="","",INDIRECT(ADDRESS(SumRef!BS61,SumRef!BS$16,,,SumRef!$B$8))))</f>
        <v/>
      </c>
      <c r="AD55" s="1349" t="str">
        <f ca="1">IF('A-80 DirEntInv'!AD54&lt;&gt;"",'A-80 DirEntInv'!AD54,IF(INDIRECT(ADDRESS(SumRef!BT61,SumRef!BT$16,,,SumRef!$B$8))="","",INDIRECT(ADDRESS(SumRef!BT61,SumRef!BT$16,,,SumRef!$B$8))))</f>
        <v/>
      </c>
      <c r="AE55" s="1137" t="str">
        <f ca="1">IF('A-80 DirEntInv'!AE54&lt;&gt;"",'A-80 DirEntInv'!AE54,IF(INDIRECT(ADDRESS(SumRef!BU61,SumRef!BU$16,,,SumRef!$B$8))="","",INDIRECT(ADDRESS(SumRef!BU61,SumRef!BU$16,,,SumRef!$B$8))))</f>
        <v/>
      </c>
      <c r="AF55" s="1346" t="str">
        <f ca="1">IF('A-80 DirEntInv'!AF54&lt;&gt;"",'A-80 DirEntInv'!AF54,IF(INDIRECT(ADDRESS(SumRef!BV61,SumRef!BV$16,,,SumRef!$B$8))="","",INDIRECT(ADDRESS(SumRef!BV61,SumRef!BV$16,,,SumRef!$B$8))))</f>
        <v/>
      </c>
      <c r="AG55" s="1105" t="str">
        <f ca="1">IF('A-80 DirEntInv'!AG54&lt;&gt;"",'A-80 DirEntInv'!AG54,IF(INDIRECT(ADDRESS(SumRef!BW61,SumRef!BW$16,,,SumRef!$B$8))="","",INDIRECT(ADDRESS(SumRef!BW61,SumRef!BW$16,,,SumRef!$B$8))))</f>
        <v/>
      </c>
      <c r="AH55" s="1357" t="str">
        <f ca="1">IF('A-80 DirEntInv'!AH54&lt;&gt;"",'A-80 DirEntInv'!AH54,IF(INDIRECT(ADDRESS(SumRef!BX61,SumRef!BX$16,,,SumRef!$B$8))="","",INDIRECT(ADDRESS(SumRef!BX61,SumRef!BX$16,,,SumRef!$B$8))))</f>
        <v/>
      </c>
      <c r="AK55" s="1041" t="str">
        <f>Codes!$C$159</f>
        <v>CC - Cable Car (DO)</v>
      </c>
      <c r="AL55" s="1042" t="str">
        <f>Valid!$B$73</f>
        <v>Elevated/Retained Fill</v>
      </c>
      <c r="AM55" s="1108" t="str">
        <f>IF('A-80 DirEntInv'!AM54&lt;&gt;"",'A-80 DirEntInv'!#REF!,IF(AK55=summaryref2!B14,summaryref2!D14,IF(Summary!AK55=summaryref2!B28,summaryref2!D28,IF(AK55=summaryref2!B42,summaryref2!D42,IF(AK55=summaryref2!B56,summaryref2!D56,IF(AK55=summaryref2!B70,summaryref2!D70,IF(AK55=summaryref2!B84,summaryref2!D84,IF(AK55=summaryref2!B98,summaryref2!D98,IF(AK55=summaryref2!B112,summaryref2!D112,IF(AK55=summaryref2!B126,summaryref2!D126,IF(AK55=summaryref2!B140,summaryref2!D140,"")))))))))))</f>
        <v/>
      </c>
      <c r="AN55" s="1109" t="str">
        <f ca="1">IF('A-80 DirEntInv'!AN54&lt;&gt;"",'A-80 DirEntInv'!AN54,IF(INDIRECT(ADDRESS(SumRef!CG75,SumRef!CG$16,,,SumRef!$C$7))="","",INDIRECT(ADDRESS(SumRef!CG75,SumRef!CG$16,,,SumRef!$C$7))))</f>
        <v>Linear Feet</v>
      </c>
      <c r="AO55" s="1108" t="str">
        <f>IF('A-80 DirEntInv'!AO54&lt;&gt;"",'A-80 DirEntInv'!AO54,IF(AK55=summaryref2!B14,summaryref2!F14,IF(Summary!AK55=summaryref2!B28,summaryref2!F28,IF(AK55=summaryref2!B42,summaryref2!F42,IF(AK55=summaryref2!B56,summaryref2!F56,IF(AK55=summaryref2!B70,summaryref2!F70,IF(AK55=summaryref2!B84,summaryref2!F84,IF(AK55=summaryref2!B98,summaryref2!F98,IF(AK55=summaryref2!B112,summaryref2!F112,IF(AK55=summaryref2!B126,summaryref2!F126,IF(AK55=summaryref2!B140,summaryref2!F140,"")))))))))))</f>
        <v/>
      </c>
      <c r="AP55" s="1109" t="str">
        <f ca="1">IF('A-80 DirEntInv'!AP54&lt;&gt;"",'A-80 DirEntInv'!AP54,IF(INDIRECT(ADDRESS(SumRef!#REF!,SumRef!#REF!,,,SumRef!$C$7))="","",INDIRECT(ADDRESS(SumRef!#REF!,SumRef!#REF!,,,SumRef!$C$7))))</f>
        <v>Track Feet</v>
      </c>
      <c r="AQ55" s="1147" t="str">
        <f>IF('A-80 DirEntInv'!AQ54&lt;&gt;"",'A-80 DirEntInv'!AQ54,IF(AK55=summaryref2!B14,summaryref2!G14,IF(Summary!AK55=summaryref2!B28,summaryref2!G28,IF(AK55=summaryref2!B42,summaryref2!G42,IF(AK55=summaryref2!B56,summaryref2!G56,IF(AK55=summaryref2!B70,summaryref2!G70,IF(AK55=summaryref2!B84,summaryref2!G84,IF(AK55=summaryref2!B98,summaryref2!G98,IF(AK55=summaryref2!B112,summaryref2!G112,IF(AK55=summaryref2!B126,summaryref2!G126,IF(AK55=summaryref2!B140,summaryref2!G140,"")))))))))))</f>
        <v/>
      </c>
      <c r="AR55" s="1147" t="str">
        <f>IF('A-80 DirEntInv'!AR54&lt;&gt;"",'A-80 DirEntInv'!AR54,IF(AK55=summaryref2!B14,summaryref2!H14,IF(Summary!AK55=summaryref2!B28,summaryref2!H28,IF(AK55=summaryref2!B42,summaryref2!H42,IF(AK55=summaryref2!B56,summaryref2!H56,IF(AK55=summaryref2!B70,summaryref2!H70,IF(AK55=summaryref2!B84,summaryref2!H84,IF(AK55=summaryref2!B98,summaryref2!H98,IF(AK55=summaryref2!B112,summaryref2!H112,IF(AK55=summaryref2!B126,summaryref2!H126,IF(AK55=summaryref2!B140,summaryref2!H140,"")))))))))))</f>
        <v/>
      </c>
      <c r="AS55" s="1110" t="str">
        <f>IF('A-80 DirEntInv'!AS54&lt;&gt;"",'A-80 DirEntInv'!AS54,IF(AK55=summaryref2!B14,summaryref2!I14,IF(Summary!AK55=summaryref2!B28,summaryref2!I28,IF(AK55=summaryref2!B42,summaryref2!I42,IF(AK55=summaryref2!B56,summaryref2!I56,IF(AK55=summaryref2!B70,summaryref2!I70,IF(AK55=summaryref2!B84,summaryref2!I84,IF(AK55=summaryref2!B98,summaryref2!I98,IF(AK55=summaryref2!B112,summaryref2!I112,IF(AK55=summaryref2!B126,summaryref2!I126,IF(AK55=summaryref2!B140,summaryref2!I140,"")))))))))))</f>
        <v/>
      </c>
      <c r="AT55" s="1110" t="str">
        <f>IF('A-80 DirEntInv'!AT54&lt;&gt;"",'A-80 DirEntInv'!AT54,IF(AK55=summaryref2!B14,summaryref2!J14,IF(Summary!AK55=summaryref2!B28,summaryref2!J28,IF(AK55=summaryref2!B42,summaryref2!J42,IF(AK55=summaryref2!B56,summaryref2!J56,IF(AK55=summaryref2!B70,summaryref2!J70,IF(AK55=summaryref2!B84,summaryref2!J84,IF(AK55=summaryref2!B98,summaryref2!J98,IF(AK55=summaryref2!B112,summaryref2!J112,IF(AK55=summaryref2!B126,summaryref2!J126,IF(AK55=summaryref2!B140,summaryref2!J140,"")))))))))))</f>
        <v/>
      </c>
      <c r="AU55" s="1110" t="str">
        <f>IF('A-80 DirEntInv'!AU54&lt;&gt;"",'A-80 DirEntInv'!AU54,IF(AK55=summaryref2!B14,summaryref2!K14,IF(Summary!AK55=summaryref2!B28,summaryref2!K28,IF(AK55=summaryref2!B42,summaryref2!K42,IF(AK55=summaryref2!B56,summaryref2!K56,IF(AK55=summaryref2!B70,summaryref2!K70,IF(AK55=summaryref2!B84,summaryref2!K84,IF(AK55=summaryref2!B98,summaryref2!K98,IF(AK55=summaryref2!B112,summaryref2!K112,IF(AK55=summaryref2!B126,summaryref2!K126,IF(AK55=summaryref2!B140,summaryref2!K140,"")))))))))))</f>
        <v/>
      </c>
      <c r="AV55" s="1110" t="str">
        <f>IF('A-80 DirEntInv'!AV54&lt;&gt;"",'A-80 DirEntInv'!AV54,IF(AK55=summaryref2!B14,summaryref2!L14,IF(Summary!AK55=summaryref2!B28,summaryref2!L28,IF(AK55=summaryref2!B42,summaryref2!L42,IF(AK55=summaryref2!B56,summaryref2!L56,IF(AK55=summaryref2!B70,summaryref2!L70,IF(AK55=summaryref2!B84,summaryref2!L84,IF(AK55=summaryref2!B98,summaryref2!L98,IF(AK55=summaryref2!B112,summaryref2!L112,IF(AK55=summaryref2!B126,summaryref2!L126,IF(AK55=summaryref2!B140,summaryref2!L140,"")))))))))))</f>
        <v/>
      </c>
      <c r="AW55" s="1110" t="str">
        <f>IF('A-80 DirEntInv'!AW54&lt;&gt;"",'A-80 DirEntInv'!AW54,IF(AK55=summaryref2!B14,summaryref2!M14,IF(Summary!AK55=summaryref2!B28,summaryref2!M28,IF(AK55=summaryref2!B42,summaryref2!M42,IF(AK55=summaryref2!B56,summaryref2!M56,IF(AK55=summaryref2!B70,summaryref2!M70,IF(AK55=summaryref2!B84,summaryref2!M84,IF(AK55=summaryref2!B98,summaryref2!M98,IF(AK55=summaryref2!B112,summaryref2!M112,IF(AK55=summaryref2!B126,summaryref2!M126,IF(AK55=summaryref2!B140,summaryref2!M140,"")))))))))))</f>
        <v/>
      </c>
      <c r="AX55" s="1110" t="str">
        <f>IF('A-80 DirEntInv'!AX54&lt;&gt;"",'A-80 DirEntInv'!AX54,IF(AK55=summaryref2!B14,summaryref2!N14,IF(Summary!AK55=summaryref2!B28,summaryref2!N28,IF(AK55=summaryref2!B42,summaryref2!N42,IF(AK55=summaryref2!B56,summaryref2!N56,IF(AK55=summaryref2!B70,summaryref2!N70,IF(AK55=summaryref2!B84,summaryref2!N84,IF(AK55=summaryref2!B98,summaryref2!N98,IF(AK55=summaryref2!B112,summaryref2!N112,IF(AK55=summaryref2!B126,summaryref2!N126,IF(AK55=summaryref2!B140,summaryref2!N140,"")))))))))))</f>
        <v/>
      </c>
      <c r="AY55" s="1110" t="str">
        <f>IF('A-80 DirEntInv'!AY54&lt;&gt;"",'A-80 DirEntInv'!AY54,IF(AK55=summaryref2!B14,summaryref2!O14,IF(Summary!AK55=summaryref2!B28,summaryref2!O28,IF(AK55=summaryref2!B42,summaryref2!O42,IF(AK55=summaryref2!B56,summaryref2!O56,IF(AK55=summaryref2!B70,summaryref2!O70,IF(AK55=summaryref2!B84,summaryref2!O84,IF(AK55=summaryref2!B98,summaryref2!O98,IF(AK55=summaryref2!B112,summaryref2!O112,IF(AK55=summaryref2!B126,summaryref2!O126,IF(AK55=summaryref2!B140,summaryref2!O140,"")))))))))))</f>
        <v/>
      </c>
      <c r="AZ55" s="1110" t="str">
        <f>IF('A-80 DirEntInv'!AZ54&lt;&gt;"",'A-80 DirEntInv'!AZ54,IF(AK55=summaryref2!B14,summaryref2!P14,IF(Summary!AK55=summaryref2!B28,summaryref2!P28,IF(AK55=summaryref2!B42,summaryref2!P42,IF(AK55=summaryref2!B56,summaryref2!P56,IF(AK55=summaryref2!B70,summaryref2!P70,IF(AK55=summaryref2!B84,summaryref2!P84,IF(AK55=summaryref2!B98,summaryref2!P98,IF(AK55=summaryref2!B112,summaryref2!P112,IF(AK55=summaryref2!B126,summaryref2!P126,IF(AK55=summaryref2!B140,summaryref2!P140,"")))))))))))</f>
        <v/>
      </c>
      <c r="BA55" s="1110" t="str">
        <f>IF('A-80 DirEntInv'!BA54&lt;&gt;"",'A-80 DirEntInv'!BA54,IF(AK55=summaryref2!B14,summaryref2!Q14,IF(Summary!AK55=summaryref2!B28,summaryref2!Q28,IF(AK55=summaryref2!B42,summaryref2!Q42,IF(AK55=summaryref2!B56,summaryref2!Q56,IF(AK55=summaryref2!B70,summaryref2!Q70,IF(AK55=summaryref2!B84,summaryref2!Q84,IF(AK55=summaryref2!B98,summaryref2!Q98,IF(AK55=summaryref2!B112,summaryref2!Q112,IF(AK55=summaryref2!B126,summaryref2!Q126,IF(AK55=summaryref2!B140,summaryref2!Q140,"")))))))))))</f>
        <v/>
      </c>
      <c r="BB55" s="1110" t="str">
        <f>IF('A-80 DirEntInv'!BB54&lt;&gt;"",'A-80 DirEntInv'!BB54,IF(AK55=summaryref2!B14,summaryref2!R14,IF(Summary!AK55=summaryref2!B28,summaryref2!R28,IF(AK55=summaryref2!B42,summaryref2!R42,IF(AK55=summaryref2!B56,summaryref2!R56,IF(AK55=summaryref2!B70,summaryref2!R70,IF(AK55=summaryref2!B84,summaryref2!R84,IF(AK55=summaryref2!B98,summaryref2!R98,IF(AK55=summaryref2!B112,summaryref2!R112,IF(AK55=summaryref2!B126,summaryref2!R126,IF(AK55=summaryref2!B140,summaryref2!R140,"")))))))))))</f>
        <v/>
      </c>
      <c r="BC55" s="1110" t="str">
        <f>IF('A-80 DirEntInv'!BC54&lt;&gt;0,'A-80 DirEntInv'!BC54,IF(AK55=summaryref2!B14,summaryref2!S14,IF(Summary!AK55=summaryref2!B28,summaryref2!S28,IF(AK55=summaryref2!B42,summaryref2!S42,IF(AK55=summaryref2!B56,summaryref2!S56,IF(AK55=summaryref2!B70,summaryref2!S70,IF(AK55=summaryref2!B84,summaryref2!S84,IF(AK55=summaryref2!B98,summaryref2!S98,IF(AK55=summaryref2!B112,summaryref2!S112,IF(AK55=summaryref2!B126,summaryref2!S126,IF(AK55=summaryref2!B140,summaryref2!S140,"")))))))))))</f>
        <v/>
      </c>
      <c r="BD55" s="1111" t="str">
        <f>IF('A-80 DirEntInv'!BD54&lt;&gt;"",'A-80 DirEntInv'!BD54,IF(AK55=summaryref2!B14,summaryref2!T14,IF(Summary!AK55=summaryref2!B28,summaryref2!T28,IF(AK55=summaryref2!B42,summaryref2!T42,IF(AK55=summaryref2!B56,summaryref2!T56,IF(AK55=summaryref2!B70,summaryref2!T70,IF(AK55=summaryref2!B84,summaryref2!T84,IF(AK55=summaryref2!B98,summaryref2!T98,IF(AK55=summaryref2!B112,summaryref2!T112,IF(AK55=summaryref2!B126,summaryref2!T126,IF(AK55=summaryref2!B140,summaryref2!T140,"")))))))))))</f>
        <v/>
      </c>
      <c r="BE55" s="1184" t="str">
        <f>IF('A-80 DirEntInv'!BE54&lt;&gt;"",'A-80 DirEntInv'!BE54,IF(AK55=summaryref2!B14,summaryref2!U14,IF(Summary!AK55=summaryref2!B28,summaryref2!U28,IF(AK55=summaryref2!B42,summaryref2!U42,IF(AK55=summaryref2!B56,summaryref2!U56,IF(AK55=summaryref2!B70,summaryref2!U70,IF(AK55=summaryref2!B84,summaryref2!U84,IF(AK55=summaryref2!B98,summaryref2!U98,IF(AK55=summaryref2!B112,summaryref2!U112,IF(AK55=summaryref2!B126,summaryref2!U126,IF(AK55=summaryref2!B140,summaryref2!U140,"")))))))))))</f>
        <v/>
      </c>
      <c r="BF55" s="1432"/>
      <c r="BG55" s="1432"/>
      <c r="BJ55" s="1045" t="str">
        <f>Codes!$C$162</f>
        <v>CR - Commuter Rail (PT)</v>
      </c>
      <c r="BK55" s="1046" t="str">
        <f>Valid!$B$82</f>
        <v>Double Diamond Crossover</v>
      </c>
      <c r="BL55" s="1368" t="str">
        <f>IF('A-80 DirEntInv'!BL54&lt;&gt;"",'A-80 DirEntInv'!BL54,IF(BJ55=summaryref2!X14,summaryref2!Z14,IF(BJ55=summaryref2!X21,summaryref2!Z21,IF(BJ55=summaryref2!X28,summaryref2!Z28,IF(BJ55=summaryref2!X35,summaryref2!Z35,IF(BJ55=summaryref2!X42,summaryref2!Z42,IF(BJ55=summaryref2!X49,summaryref2!Z49,IF(BJ55=summaryref2!X56,summaryref2!Z56,IF(BJ55=summaryref2!X63,summaryref2!Z63,IF(BJ55=summaryref2!X70,summaryref2!Z70,IF(BJ55=summaryref2!X77,summaryref2!Z77,"")))))))))))</f>
        <v/>
      </c>
      <c r="BM55" s="1046" t="str">
        <f>VLOOKUP(BK55,Valid!$B$80:$C$86,2,FALSE)</f>
        <v>Each</v>
      </c>
      <c r="BN55" s="1325" t="str">
        <f>IF('A-80 DirEntInv'!BN54&lt;&gt;"",'A-80 DirEntInv'!BN54,IF(BJ55=summaryref2!X14,summaryref2!AB14,IF(BJ55=summaryref2!X21,summaryref2!AB21,IF(BJ55=summaryref2!X28,summaryref2!AB28,IF(BJ55=summaryref2!X35,summaryref2!AB35,IF(BJ55=summaryref2!X42,summaryref2!AB42,IF(BJ55=summaryref2!X49,summaryref2!AB49,IF(BJ55=summaryref2!X56,summaryref2!AB56,IF(BJ55=summaryref2!X63,summaryref2!AB63,IF(BJ55=summaryref2!X70,summaryref2!AB70,IF(BJ55=summaryref2!X77,summaryref2!AB77,"")))))))))))</f>
        <v/>
      </c>
      <c r="BO55" s="1327" t="str">
        <f>IF('A-80 DirEntInv'!BO54&lt;&gt;"",'A-80 DirEntInv'!BO54,IF(BJ55=summaryref2!X14,summaryref2!AC14,IF(BJ55=summaryref2!X21,summaryref2!AC21,IF(BJ55=summaryref2!X28,summaryref2!AC28,IF(BJ55=summaryref2!X35,summaryref2!AC35,IF(BJ55=summaryref2!X42,summaryref2!AC42,IF(BJ55=summaryref2!X49,summaryref2!AC49,IF(BJ55=summaryref2!X56,summaryref2!AC56,IF(BJ55=summaryref2!X63,summaryref2!AC63,IF(BJ55=summaryref2!X70,summaryref2!AC70,IF(BJ55=summaryref2!X77,summaryref2!AC77,"")))))))))))</f>
        <v/>
      </c>
      <c r="BP55" s="1322" t="str">
        <f>IF('A-80 DirEntInv'!BP54&lt;&gt;"",'A-80 DirEntInv'!BP54,IF(BJ55=summaryref2!X14,summaryref2!AD14,IF(BJ55=summaryref2!X21,summaryref2!AD21,IF(BJ55=summaryref2!X28,summaryref2!AD28,IF(BJ55=summaryref2!X35,summaryref2!AD35,IF(BJ55=summaryref2!X42,summaryref2!AD42,IF(BJ55=summaryref2!X49,summaryref2!AD49,IF(BJ55=summaryref2!X56,summaryref2!AD56,IF(BJ55=summaryref2!X63,summaryref2!AD63,IF(BJ55=summaryref2!X70,summaryref2!AD70,IF(BJ55=summaryref2!X77,summaryref2!AD77,"")))))))))))</f>
        <v/>
      </c>
      <c r="BS55" s="1472" t="str">
        <f ca="1">IF('A-80 DirEntInv'!BU54&lt;&gt;"",'A-80 DirEntInv'!BU54,IF(INDIRECT(ADDRESS(SumRef!DK61,SumRef!DK$16,,,SumRef!$E$6))="","",INDIRECT(ADDRESS(SumRef!DK61,SumRef!DK$16,,,SumRef!$E$6))))</f>
        <v/>
      </c>
      <c r="BT55" s="1458" t="str">
        <f ca="1">IF('A-80 DirEntInv'!BV54&lt;&gt;"",'A-80 DirEntInv'!BV54,IF(INDIRECT(ADDRESS(SumRef!DL61,SumRef!DL$16,,,SumRef!$E$6))="","",INDIRECT(ADDRESS(SumRef!DL61,SumRef!DL$16,,,SumRef!$E$6))))</f>
        <v/>
      </c>
      <c r="BU55" s="1177" t="str">
        <f ca="1">IF('A-80 DirEntInv'!BW54&lt;&gt;"",'A-80 DirEntInv'!BW54,IF(INDIRECT(ADDRESS(SumRef!DM61,SumRef!DM$16,,,SumRef!$E$6))="","",INDIRECT(ADDRESS(SumRef!DM61,SumRef!DM$16,,,SumRef!$E$6))))</f>
        <v/>
      </c>
      <c r="BV55" s="1460" t="str">
        <f ca="1">IF('A-80 DirEntInv'!BX54&lt;&gt;"",'A-80 DirEntInv'!BX54,IF(INDIRECT(ADDRESS(SumRef!DN61,SumRef!DN$16,,,SumRef!$E$6))="","",INDIRECT(ADDRESS(SumRef!DN61,SumRef!DN$16,,,SumRef!$E$6))))</f>
        <v/>
      </c>
      <c r="BW55" s="1460" t="str">
        <f ca="1">IF('A-80 DirEntInv'!BY54&lt;&gt;"",'A-80 DirEntInv'!BY54,IF(INDIRECT(ADDRESS(SumRef!DO61,SumRef!DO$16,,,SumRef!$E$6))="","",INDIRECT(ADDRESS(SumRef!DO61,SumRef!DO$16,,,SumRef!$E$6))))</f>
        <v/>
      </c>
      <c r="BX55" s="1116" t="str">
        <f ca="1">IF('A-80 DirEntInv'!BZ54&lt;&gt;"",'A-80 DirEntInv'!BZ54,IF(INDIRECT(ADDRESS(SumRef!DP61,SumRef!DP$16,,,SumRef!$E$6))="","",INDIRECT(ADDRESS(SumRef!DP61,SumRef!DP$16,,,SumRef!$E$6))))</f>
        <v/>
      </c>
      <c r="BY55" s="1461" t="str">
        <f ca="1">IF('A-80 DirEntInv'!CA54&lt;&gt;"",'A-80 DirEntInv'!CA54,IF(INDIRECT(ADDRESS(SumRef!DQ61,SumRef!DQ$16,,,SumRef!$E$6))="","",INDIRECT(ADDRESS(SumRef!DQ61,SumRef!DQ$16,,,SumRef!$E$6))))</f>
        <v/>
      </c>
      <c r="BZ55" s="1460" t="str">
        <f ca="1">IF('A-80 DirEntInv'!CB54&lt;&gt;"",'A-80 DirEntInv'!CB54,IF(INDIRECT(ADDRESS(SumRef!DR61,SumRef!DR$16,,,SumRef!$E$6))="","",INDIRECT(ADDRESS(SumRef!DR61,SumRef!DR$16,,,SumRef!$E$6))))</f>
        <v/>
      </c>
      <c r="CA55" s="1462" t="str">
        <f ca="1">IF('A-80 DirEntInv'!CC54&lt;&gt;"",'A-80 DirEntInv'!CC54,IF(INDIRECT(ADDRESS(SumRef!DS61,SumRef!DS$16,,,SumRef!$E$6))="","",INDIRECT(ADDRESS(SumRef!DS61,SumRef!DS$16,,,SumRef!$E$6))))</f>
        <v/>
      </c>
      <c r="CD55" s="1160" t="str">
        <f ca="1">IF('A-80 DirEntInv'!CF54&lt;&gt;"",'A-80 DirEntInv'!CF54,IF(INDIRECT(ADDRESS(SumRef!DV61,SumRef!DV$16,,,SumRef!$E$7))="","",INDIRECT(ADDRESS(SumRef!DV61,SumRef!DV$16,,,SumRef!$E$7))))</f>
        <v/>
      </c>
      <c r="CE55" s="1167" t="str">
        <f ca="1">IF('A-80 DirEntInv'!CG54&lt;&gt;"",'A-80 DirEntInv'!CG54,IF(INDIRECT(ADDRESS(SumRef!DW61,SumRef!DW$16,,,SumRef!$E$7))="","",INDIRECT(ADDRESS(SumRef!DW61,SumRef!DW$16,,,SumRef!$E$7))))</f>
        <v/>
      </c>
      <c r="CF55" s="1167" t="str">
        <f ca="1">IF('A-80 DirEntInv'!CH54&lt;&gt;"",'A-80 DirEntInv'!CH54,IF(INDIRECT(ADDRESS(SumRef!DX61,SumRef!DX$16,,,SumRef!$E$7))="","",INDIRECT(ADDRESS(SumRef!DX61,SumRef!DX$16,,,SumRef!$E$7))))</f>
        <v/>
      </c>
      <c r="CG55" s="1167" t="str">
        <f ca="1">IF('A-80 DirEntInv'!CI54&lt;&gt;"",'A-80 DirEntInv'!CI54,IF(INDIRECT(ADDRESS(SumRef!DY61,SumRef!DY$16,,,SumRef!$E$7))="","",INDIRECT(ADDRESS(SumRef!DY61,SumRef!DY$16,,,SumRef!$E$7))))</f>
        <v/>
      </c>
      <c r="CH55" s="1167" t="str">
        <f ca="1">IF('A-80 DirEntInv'!CJ54&lt;&gt;"",'A-80 DirEntInv'!CJ54,IF(INDIRECT(ADDRESS(SumRef!DZ61,SumRef!DZ$16,,,SumRef!$E$7))="","",INDIRECT(ADDRESS(SumRef!DZ61,SumRef!DZ$16,,,SumRef!$E$7))))</f>
        <v/>
      </c>
      <c r="CI55" s="1167" t="str">
        <f ca="1">IF('A-80 DirEntInv'!CK54&lt;&gt;"",'A-80 DirEntInv'!CK54,IF(INDIRECT(ADDRESS(SumRef!EA61,SumRef!EA$16,,,SumRef!$E$7))="","",INDIRECT(ADDRESS(SumRef!EA61,SumRef!EA$16,,,SumRef!$E$7))))</f>
        <v/>
      </c>
      <c r="CJ55" s="1114" t="str">
        <f ca="1">IF('A-80 DirEntInv'!CL54&lt;&gt;"",'A-80 DirEntInv'!CL54,IF(INDIRECT(ADDRESS(SumRef!EB61,SumRef!EB$16,,,SumRef!$E$7))="","",INDIRECT(ADDRESS(SumRef!EB61,SumRef!EB$16,,,SumRef!$E$7))))</f>
        <v/>
      </c>
      <c r="CK55" s="1114" t="str">
        <f ca="1">IF('A-80 DirEntInv'!CM54&lt;&gt;"",'A-80 DirEntInv'!CM54,IF(INDIRECT(ADDRESS(SumRef!EC61,SumRef!EC$16,,,SumRef!$E$7))="","",INDIRECT(ADDRESS(SumRef!EC61,SumRef!EC$16,,,SumRef!$E$7))))</f>
        <v/>
      </c>
      <c r="CL55" s="1113" t="str">
        <f ca="1">IF('A-80 DirEntInv'!CO54&lt;&gt;"",'A-80 DirEntInv'!CO54,IF(INDIRECT(ADDRESS(SumRef!ED61,SumRef!ED$16,,,SumRef!$E$7))="","",INDIRECT(ADDRESS(SumRef!ED61,SumRef!ED$16,,,SumRef!$E$7))))</f>
        <v/>
      </c>
      <c r="CM55" s="1114" t="str">
        <f ca="1">IF('A-80 DirEntInv'!CP54&lt;&gt;"",'A-80 DirEntInv'!CP54,IF(INDIRECT(ADDRESS(SumRef!EE61,SumRef!EE$16,,,SumRef!$E$7))="","",INDIRECT(ADDRESS(SumRef!EE61,SumRef!EE$16,,,SumRef!$E$7))))</f>
        <v/>
      </c>
      <c r="CN55" s="1114" t="str">
        <f ca="1">IF('A-80 DirEntInv'!CQ54&lt;&gt;"",'A-80 DirEntInv'!CQ54,IF(INDIRECT(ADDRESS(SumRef!EF61,SumRef!EF$16,,,SumRef!$E$7))="","",INDIRECT(ADDRESS(SumRef!EF61,SumRef!EF$16,,,SumRef!$E$7))))</f>
        <v/>
      </c>
      <c r="CO55" s="1113" t="str">
        <f ca="1">IF('A-80 DirEntInv'!CR54&lt;&gt;"",'A-80 DirEntInv'!CR54,IF(INDIRECT(ADDRESS(SumRef!EG61,SumRef!EG$16,,,SumRef!$E$7))="","",INDIRECT(ADDRESS(SumRef!EG61,SumRef!EG$16,,,SumRef!$E$7))))</f>
        <v/>
      </c>
      <c r="CP55" s="1114" t="str">
        <f ca="1">IF('A-80 DirEntInv'!CS54&lt;&gt;"",'A-80 DirEntInv'!CS54,IF(INDIRECT(ADDRESS(SumRef!EH61,SumRef!EH$16,,,SumRef!$E$7))="","",INDIRECT(ADDRESS(SumRef!EH61,SumRef!EH$16,,,SumRef!$E$7))))</f>
        <v/>
      </c>
      <c r="CQ55" s="1346" t="str">
        <f ca="1">IF('A-80 DirEntInv'!CT54&lt;&gt;"",'A-80 DirEntInv'!CT54,IF(INDIRECT(ADDRESS(SumRef!EI61,SumRef!EI$16,,,SumRef!$E$7))="","",INDIRECT(ADDRESS(SumRef!EI61,SumRef!EI$16,,,SumRef!$E$7))))</f>
        <v/>
      </c>
      <c r="CR55" s="1113" t="str">
        <f ca="1">IF('A-80 DirEntInv'!CU54&lt;&gt;"",'A-80 DirEntInv'!CU54,IF(INDIRECT(ADDRESS(SumRef!EJ61,SumRef!EJ$16,,,SumRef!$E$7))="","",INDIRECT(ADDRESS(SumRef!EJ61,SumRef!EJ$16,,,SumRef!$E$7))))</f>
        <v/>
      </c>
      <c r="CS55" s="1346" t="str">
        <f ca="1">IF('A-80 DirEntInv'!CV54&lt;&gt;"",'A-80 DirEntInv'!CV54,IF(INDIRECT(ADDRESS(SumRef!EM61,SumRef!EM$16,,,SumRef!$E$7))="","",INDIRECT(ADDRESS(SumRef!EM61,SumRef!EM$16,,,SumRef!$E$7))))</f>
        <v/>
      </c>
      <c r="CT55" s="1113" t="str">
        <f ca="1">IF('A-80 DirEntInv'!CW54&lt;&gt;"",'A-80 DirEntInv'!CW54,IF(INDIRECT(ADDRESS(SumRef!EN61,SumRef!EN$16,,,SumRef!$E$7))="","",INDIRECT(ADDRESS(SumRef!EN61,SumRef!EN$16,,,SumRef!$E$7))))</f>
        <v/>
      </c>
      <c r="CU55" s="1113" t="str">
        <f ca="1">IF('A-80 DirEntInv'!CX54&lt;&gt;"",'A-80 DirEntInv'!CX54,IF(INDIRECT(ADDRESS(SumRef!EO61,SumRef!EO$16,,,SumRef!$E$7))="","",INDIRECT(ADDRESS(SumRef!EO61,SumRef!EO$16,,,SumRef!$E$7))))</f>
        <v/>
      </c>
      <c r="CV55" s="1113" t="str">
        <f ca="1">IF('A-80 DirEntInv'!CY54&lt;&gt;"",'A-80 DirEntInv'!CY54,IF(INDIRECT(ADDRESS(SumRef!EP61,SumRef!EP$16,,,SumRef!$E$7))="","",INDIRECT(ADDRESS(SumRef!EP61,SumRef!EP$16,,,SumRef!$E$7))))</f>
        <v/>
      </c>
      <c r="CW55" s="1114" t="str">
        <f ca="1">IF('A-80 DirEntInv'!CZ54&lt;&gt;"",'A-80 DirEntInv'!CZ54,IF(INDIRECT(ADDRESS(SumRef!ES61,SumRef!ES$16,,,SumRef!$E$7))="","",INDIRECT(ADDRESS(SumRef!ES61,SumRef!ES$16,,,SumRef!$E$7))))</f>
        <v/>
      </c>
      <c r="CX55" s="1167" t="str">
        <f ca="1">IF('A-80 DirEntInv'!DA54&lt;&gt;"",'A-80 DirEntInv'!DA54,IF(INDIRECT(ADDRESS(SumRef!ET61,SumRef!ET$16,,,SumRef!$E$7))="","",INDIRECT(ADDRESS(SumRef!ET61,SumRef!ET$16,,,SumRef!$E$7))))</f>
        <v/>
      </c>
      <c r="CY55" s="1167" t="str">
        <f ca="1">IF('A-80 DirEntInv'!DB54&lt;&gt;"",'A-80 DirEntInv'!DB54,IF(INDIRECT(ADDRESS(SumRef!EU61,SumRef!EU$16,,,SumRef!$E$7))="","",INDIRECT(ADDRESS(SumRef!EU61,SumRef!EU$16,,,SumRef!$E$7))))</f>
        <v/>
      </c>
      <c r="CZ55" s="1167" t="b">
        <f ca="1">IF('A-80 DirEntInv'!DC54&lt;&gt;"",'A-80 DirEntInv'!DC54,IF(INDIRECT(ADDRESS(SumRef!EV61,SumRef!EV$16,,,SumRef!$E$7))="","",INDIRECT(ADDRESS(SumRef!EV61,SumRef!EV$16,,,SumRef!$E$7))))</f>
        <v>0</v>
      </c>
      <c r="DA55" s="1373" t="str">
        <f ca="1">IF('A-80 DirEntInv'!DD54&lt;&gt;"",'A-80 DirEntInv'!DD54,IF(INDIRECT(ADDRESS(SumRef!EW61,SumRef!EW$16,,,SumRef!$E$7))="","",INDIRECT(ADDRESS(SumRef!EW61,SumRef!EW$16,,,SumRef!$E$7))))</f>
        <v/>
      </c>
      <c r="DB55" s="1373" t="b">
        <f ca="1">IF('A-80 DirEntInv'!DE54&lt;&gt;"",'A-80 DirEntInv'!DE54,IF(INDIRECT(ADDRESS(SumRef!EX61,SumRef!EX$16,,,SumRef!$E$7))="","",INDIRECT(ADDRESS(SumRef!EX61,SumRef!EX$16,,,SumRef!$E$7))))</f>
        <v>0</v>
      </c>
      <c r="DC55" s="1114" t="b">
        <f ca="1">IF('A-80 DirEntInv'!DF54&lt;&gt;"",'A-80 DirEntInv'!DF54,IF(INDIRECT(ADDRESS(SumRef!EY61,SumRef!EY$16,,,SumRef!$E$7))="","",INDIRECT(ADDRESS(SumRef!EY61,SumRef!EY$16,,,SumRef!$E$7))))</f>
        <v>0</v>
      </c>
      <c r="DD55" s="1115" t="str">
        <f ca="1">IF('A-80 DirEntInv'!DG54&lt;&gt;"",'A-80 DirEntInv'!DG54,IF(INDIRECT(ADDRESS(SumRef!EZ61,SumRef!EZ$16,,,SumRef!$E$7))="","",INDIRECT(ADDRESS(SumRef!EZ61,SumRef!EZ$16,,,SumRef!$E$7))))</f>
        <v/>
      </c>
    </row>
    <row r="56" spans="1:108" s="588" customFormat="1" x14ac:dyDescent="0.2">
      <c r="A56" s="589">
        <f t="shared" si="0"/>
        <v>46</v>
      </c>
      <c r="B56" s="1155" t="str">
        <f ca="1">IF('A-80 DirEntInv'!B55&lt;&gt;"",'A-80 DirEntInv'!B55,IF(INDIRECT(ADDRESS(SumRef!AQ62,SumRef!AQ$16,,,SumRef!$B$7))="","",INDIRECT(ADDRESS(SumRef!AQ62,SumRef!AQ$16,,,SumRef!$B$7))))</f>
        <v/>
      </c>
      <c r="C56" s="1097" t="str">
        <f ca="1">IF('A-80 DirEntInv'!C55&lt;&gt;"",'A-80 DirEntInv'!C55,IF(INDIRECT(ADDRESS(SumRef!AR62,SumRef!AR$16,,,SumRef!$B$7))="","",INDIRECT(ADDRESS(SumRef!AR62,SumRef!AR$16,,,SumRef!$B$7))))</f>
        <v/>
      </c>
      <c r="D56" s="1097" t="str">
        <f ca="1">IF('A-80 DirEntInv'!D55&lt;&gt;"",'A-80 DirEntInv'!D55,IF(INDIRECT(ADDRESS(SumRef!AS62,SumRef!AS$16,,,SumRef!$B$7))="","",INDIRECT(ADDRESS(SumRef!AS62,SumRef!AS$16,,,SumRef!$B$7))))</f>
        <v/>
      </c>
      <c r="E56" s="1097" t="str">
        <f ca="1">IF('A-80 DirEntInv'!E55&lt;&gt;"",'A-80 DirEntInv'!E55,IF(INDIRECT(ADDRESS(SumRef!AT62,SumRef!AT$16,,,SumRef!$B$7))="","",INDIRECT(ADDRESS(SumRef!AT62,SumRef!AT$16,,,SumRef!$B$7))))</f>
        <v/>
      </c>
      <c r="F56" s="1097" t="str">
        <f ca="1">IF('A-80 DirEntInv'!F55&lt;&gt;"",'A-80 DirEntInv'!F55,IF(INDIRECT(ADDRESS(SumRef!AU62,SumRef!AU$16,,,SumRef!$B$7))="","",INDIRECT(ADDRESS(SumRef!AU62,SumRef!AU$16,,,SumRef!$B$7))))</f>
        <v/>
      </c>
      <c r="G56" s="1158" t="str">
        <f ca="1">IF('A-80 DirEntInv'!G55&lt;&gt;"",'A-80 DirEntInv'!G55,IF(INDIRECT(ADDRESS(SumRef!AV62,SumRef!AV$16,,,SumRef!$B$7))="","",INDIRECT(ADDRESS(SumRef!AV62,SumRef!AV$16,,,SumRef!$B$7))))</f>
        <v/>
      </c>
      <c r="H56" s="1097" t="str">
        <f ca="1">IF('A-80 DirEntInv'!H55&lt;&gt;"",'A-80 DirEntInv'!H55,IF(INDIRECT(ADDRESS(SumRef!AW62,SumRef!AW$16,,,SumRef!$B$7))="","",INDIRECT(ADDRESS(SumRef!AW62,SumRef!AW$16,,,SumRef!$B$7))))</f>
        <v/>
      </c>
      <c r="I56" s="1097" t="str">
        <f ca="1">IF('A-80 DirEntInv'!I55&lt;&gt;"",'A-80 DirEntInv'!I55,IF(INDIRECT(ADDRESS(SumRef!AX62,SumRef!AX$16,,,SumRef!$B$7))="","",INDIRECT(ADDRESS(SumRef!AX62,SumRef!AX$16,,,SumRef!$B$7))))</f>
        <v/>
      </c>
      <c r="J56" s="1098" t="str">
        <f ca="1">IF('A-80 DirEntInv'!J55&lt;&gt;"",'A-80 DirEntInv'!J55,IF(INDIRECT(ADDRESS(SumRef!AY62,SumRef!AY$16,,,SumRef!$B$7))="","",INDIRECT(ADDRESS(SumRef!AY62,SumRef!AY$16,,,SumRef!$B$7))))</f>
        <v/>
      </c>
      <c r="K56" s="1099" t="str">
        <f ca="1">IF('A-80 DirEntInv'!K55&lt;&gt;"",'A-80 DirEntInv'!K55,IF(INDIRECT(ADDRESS(SumRef!AZ62,SumRef!AZ$16,,,SumRef!$B$7))="","",INDIRECT(ADDRESS(SumRef!AZ62,SumRef!AZ$16,,,SumRef!$B$7))))</f>
        <v/>
      </c>
      <c r="L56" s="1100" t="str">
        <f ca="1">IF('A-80 DirEntInv'!L55&lt;&gt;"",'A-80 DirEntInv'!L55,IF(INDIRECT(ADDRESS(SumRef!BA62,SumRef!BA$16,,,SumRef!$B$7))="","",INDIRECT(ADDRESS(SumRef!BA62,SumRef!BA$16,,,SumRef!$B$7))))</f>
        <v/>
      </c>
      <c r="M56" s="1101" t="str">
        <f ca="1">IF('A-80 DirEntInv'!M55&lt;&gt;"",'A-80 DirEntInv'!M55,IF(INDIRECT(ADDRESS(SumRef!BB62,SumRef!BB$16,,,SumRef!$B$7))="","",INDIRECT(ADDRESS(SumRef!BB62,SumRef!BB$16,,,SumRef!$B$7))))</f>
        <v/>
      </c>
      <c r="N56" s="1098" t="str">
        <f ca="1">IF('A-80 DirEntInv'!N55&lt;&gt;"",'A-80 DirEntInv'!N55,IF(INDIRECT(ADDRESS(SumRef!BC62,SumRef!BC$16,,,SumRef!$B$7))="","",INDIRECT(ADDRESS(SumRef!BC62,SumRef!BC$16,,,SumRef!$B$7))))</f>
        <v/>
      </c>
      <c r="O56" s="1102" t="str">
        <f ca="1">IF('A-80 DirEntInv'!O55&lt;&gt;"",'A-80 DirEntInv'!O55,IF(INDIRECT(ADDRESS(SumRef!BD62,SumRef!BD$16,,,SumRef!$B$7))="","",INDIRECT(ADDRESS(SumRef!BD62,SumRef!BD$16,,,SumRef!$B$7))))</f>
        <v/>
      </c>
      <c r="Q56" s="589"/>
      <c r="R56" s="1103" t="str">
        <f ca="1">IF('A-80 DirEntInv'!R55&lt;&gt;"",'A-80 DirEntInv'!R55,IF(INDIRECT(ADDRESS(SumRef!BH62,SumRef!BH$16,,,SumRef!$B$8))="","",INDIRECT(ADDRESS(SumRef!BH62,SumRef!BH$16,,,SumRef!$B$8))))</f>
        <v/>
      </c>
      <c r="S56" s="1104" t="str">
        <f ca="1">IF('A-80 DirEntInv'!S55&lt;&gt;"",'A-80 DirEntInv'!S55,IF(INDIRECT(ADDRESS(SumRef!BI62,SumRef!BI$16,,,SumRef!$B$8))="","",INDIRECT(ADDRESS(SumRef!BI62,SumRef!BI$16,,,SumRef!$B$8))))</f>
        <v/>
      </c>
      <c r="T56" s="1104" t="str">
        <f ca="1">IF('A-80 DirEntInv'!T55&lt;&gt;"",'A-80 DirEntInv'!T55,IF(INDIRECT(ADDRESS(SumRef!BJ62,SumRef!BJ$16,,,SumRef!$B$8))="","",INDIRECT(ADDRESS(SumRef!BJ62,SumRef!BJ$16,,,SumRef!$B$8))))</f>
        <v/>
      </c>
      <c r="U56" s="1104" t="str">
        <f ca="1">IF('A-80 DirEntInv'!U55&lt;&gt;"",'A-80 DirEntInv'!U55,IF(INDIRECT(ADDRESS(SumRef!BK62,SumRef!BK$16,,,SumRef!$B$8))="","",INDIRECT(ADDRESS(SumRef!BK62,SumRef!BK$16,,,SumRef!$B$8))))</f>
        <v/>
      </c>
      <c r="V56" s="1104" t="str">
        <f ca="1">IF('A-80 DirEntInv'!V55&lt;&gt;"",'A-80 DirEntInv'!V55,IF(INDIRECT(ADDRESS(SumRef!BL62,SumRef!BL$16,,,SumRef!$B$8))="","",INDIRECT(ADDRESS(SumRef!BL62,SumRef!BL$16,,,SumRef!$B$8))))</f>
        <v/>
      </c>
      <c r="W56" s="1354" t="str">
        <f ca="1">IF('A-80 DirEntInv'!W55&lt;&gt;"",'A-80 DirEntInv'!W55,IF(INDIRECT(ADDRESS(SumRef!BM62,SumRef!BM$16,,,SumRef!$B$8))="","",INDIRECT(ADDRESS(SumRef!BM62,SumRef!BM$16,,,SumRef!$B$8))))</f>
        <v/>
      </c>
      <c r="X56" s="1203" t="str">
        <f ca="1">IF('A-80 DirEntInv'!X55&lt;&gt;"",'A-80 DirEntInv'!X55,IF(INDIRECT(ADDRESS(SumRef!BN62,SumRef!BN$16,,,SumRef!$B$8))="","",INDIRECT(ADDRESS(SumRef!BN62,SumRef!BN$16,,,SumRef!$B$8))))</f>
        <v/>
      </c>
      <c r="Y56" s="1203" t="str">
        <f ca="1">IF('A-80 DirEntInv'!Y55&lt;&gt;"",'A-80 DirEntInv'!Y55,IF(INDIRECT(ADDRESS(SumRef!BO62,SumRef!BO$16,,,SumRef!$B$8))="","",INDIRECT(ADDRESS(SumRef!BO62,SumRef!BO$16,,,SumRef!$B$8))))</f>
        <v/>
      </c>
      <c r="Z56" s="1104" t="str">
        <f ca="1">IF('A-80 DirEntInv'!Z55&lt;&gt;"",'A-80 DirEntInv'!Z55,IF(INDIRECT(ADDRESS(SumRef!BP62,SumRef!BP$16,,,SumRef!$B$8))="","",INDIRECT(ADDRESS(SumRef!BP62,SumRef!BP$16,,,SumRef!$B$8))))</f>
        <v/>
      </c>
      <c r="AA56" s="1104" t="str">
        <f ca="1">IF('A-80 DirEntInv'!AA55&lt;&gt;"",'A-80 DirEntInv'!AA55,IF(INDIRECT(ADDRESS(SumRef!BQ62,SumRef!BQ$16,,,SumRef!$B$8))="","",INDIRECT(ADDRESS(SumRef!BQ62,SumRef!BQ$16,,,SumRef!$B$8))))</f>
        <v/>
      </c>
      <c r="AB56" s="1106" t="str">
        <f ca="1">IF('A-80 DirEntInv'!AB55&lt;&gt;"",'A-80 DirEntInv'!AB55,IF(INDIRECT(ADDRESS(SumRef!BR62,SumRef!BR$16,,,SumRef!$B$8))="","",INDIRECT(ADDRESS(SumRef!BR62,SumRef!BR$16,,,SumRef!$B$8))))</f>
        <v/>
      </c>
      <c r="AC56" s="1107" t="str">
        <f ca="1">IF('A-80 DirEntInv'!AC55&lt;&gt;"",'A-80 DirEntInv'!AC55,IF(INDIRECT(ADDRESS(SumRef!BS62,SumRef!BS$16,,,SumRef!$B$8))="","",INDIRECT(ADDRESS(SumRef!BS62,SumRef!BS$16,,,SumRef!$B$8))))</f>
        <v/>
      </c>
      <c r="AD56" s="1349" t="str">
        <f ca="1">IF('A-80 DirEntInv'!AD55&lt;&gt;"",'A-80 DirEntInv'!AD55,IF(INDIRECT(ADDRESS(SumRef!BT62,SumRef!BT$16,,,SumRef!$B$8))="","",INDIRECT(ADDRESS(SumRef!BT62,SumRef!BT$16,,,SumRef!$B$8))))</f>
        <v/>
      </c>
      <c r="AE56" s="1137" t="str">
        <f ca="1">IF('A-80 DirEntInv'!AE55&lt;&gt;"",'A-80 DirEntInv'!AE55,IF(INDIRECT(ADDRESS(SumRef!BU62,SumRef!BU$16,,,SumRef!$B$8))="","",INDIRECT(ADDRESS(SumRef!BU62,SumRef!BU$16,,,SumRef!$B$8))))</f>
        <v/>
      </c>
      <c r="AF56" s="1346" t="str">
        <f ca="1">IF('A-80 DirEntInv'!AF55&lt;&gt;"",'A-80 DirEntInv'!AF55,IF(INDIRECT(ADDRESS(SumRef!BV62,SumRef!BV$16,,,SumRef!$B$8))="","",INDIRECT(ADDRESS(SumRef!BV62,SumRef!BV$16,,,SumRef!$B$8))))</f>
        <v/>
      </c>
      <c r="AG56" s="1105" t="str">
        <f ca="1">IF('A-80 DirEntInv'!AG55&lt;&gt;"",'A-80 DirEntInv'!AG55,IF(INDIRECT(ADDRESS(SumRef!BW62,SumRef!BW$16,,,SumRef!$B$8))="","",INDIRECT(ADDRESS(SumRef!BW62,SumRef!BW$16,,,SumRef!$B$8))))</f>
        <v/>
      </c>
      <c r="AH56" s="1357" t="str">
        <f ca="1">IF('A-80 DirEntInv'!AH55&lt;&gt;"",'A-80 DirEntInv'!AH55,IF(INDIRECT(ADDRESS(SumRef!BX62,SumRef!BX$16,,,SumRef!$B$8))="","",INDIRECT(ADDRESS(SumRef!BX62,SumRef!BX$16,,,SumRef!$B$8))))</f>
        <v/>
      </c>
      <c r="AK56" s="1041" t="str">
        <f>Codes!$C$159</f>
        <v>CC - Cable Car (DO)</v>
      </c>
      <c r="AL56" s="1042" t="str">
        <f>Valid!$B$74</f>
        <v>Elevated/Concrete</v>
      </c>
      <c r="AM56" s="1108" t="str">
        <f>IF('A-80 DirEntInv'!AM55&lt;&gt;"",'A-80 DirEntInv'!#REF!,IF(AK56=summaryref2!B15,summaryref2!D15,IF(Summary!AK56=summaryref2!B29,summaryref2!D29,IF(AK56=summaryref2!B43,summaryref2!D43,IF(AK56=summaryref2!B57,summaryref2!D57,IF(AK56=summaryref2!B71,summaryref2!D71,IF(AK56=summaryref2!B85,summaryref2!D85,IF(AK56=summaryref2!B99,summaryref2!D99,IF(AK56=summaryref2!B113,summaryref2!D113,IF(AK56=summaryref2!B127,summaryref2!D127,IF(AK56=summaryref2!B141,summaryref2!D141,"")))))))))))</f>
        <v/>
      </c>
      <c r="AN56" s="1109" t="str">
        <f ca="1">IF('A-80 DirEntInv'!AN55&lt;&gt;"",'A-80 DirEntInv'!AN55,IF(INDIRECT(ADDRESS(SumRef!CG76,SumRef!CG$16,,,SumRef!$C$7))="","",INDIRECT(ADDRESS(SumRef!CG76,SumRef!CG$16,,,SumRef!$C$7))))</f>
        <v>Linear Feet</v>
      </c>
      <c r="AO56" s="1108" t="str">
        <f>IF('A-80 DirEntInv'!AO55&lt;&gt;"",'A-80 DirEntInv'!AO55,IF(AK56=summaryref2!B15,summaryref2!F15,IF(Summary!AK56=summaryref2!B29,summaryref2!F29,IF(AK56=summaryref2!B43,summaryref2!F43,IF(AK56=summaryref2!B57,summaryref2!F57,IF(AK56=summaryref2!B71,summaryref2!F71,IF(AK56=summaryref2!B85,summaryref2!F85,IF(AK56=summaryref2!B99,summaryref2!F99,IF(AK56=summaryref2!B113,summaryref2!F113,IF(AK56=summaryref2!B127,summaryref2!F127,IF(AK56=summaryref2!B141,summaryref2!F141,"")))))))))))</f>
        <v/>
      </c>
      <c r="AP56" s="1109" t="str">
        <f ca="1">IF('A-80 DirEntInv'!AP55&lt;&gt;"",'A-80 DirEntInv'!AP55,IF(INDIRECT(ADDRESS(SumRef!#REF!,SumRef!#REF!,,,SumRef!$C$7))="","",INDIRECT(ADDRESS(SumRef!#REF!,SumRef!#REF!,,,SumRef!$C$7))))</f>
        <v>Track Feet</v>
      </c>
      <c r="AQ56" s="1147" t="str">
        <f>IF('A-80 DirEntInv'!AQ55&lt;&gt;"",'A-80 DirEntInv'!AQ55,IF(AK56=summaryref2!B15,summaryref2!G15,IF(Summary!AK56=summaryref2!B29,summaryref2!G29,IF(AK56=summaryref2!B43,summaryref2!G43,IF(AK56=summaryref2!B57,summaryref2!G57,IF(AK56=summaryref2!B71,summaryref2!G71,IF(AK56=summaryref2!B85,summaryref2!G85,IF(AK56=summaryref2!B99,summaryref2!G99,IF(AK56=summaryref2!B113,summaryref2!G113,IF(AK56=summaryref2!B127,summaryref2!G127,IF(AK56=summaryref2!B141,summaryref2!G141,"")))))))))))</f>
        <v/>
      </c>
      <c r="AR56" s="1147" t="str">
        <f>IF('A-80 DirEntInv'!AR55&lt;&gt;"",'A-80 DirEntInv'!AR55,IF(AK56=summaryref2!B15,summaryref2!H15,IF(Summary!AK56=summaryref2!B29,summaryref2!H29,IF(AK56=summaryref2!B43,summaryref2!H43,IF(AK56=summaryref2!B57,summaryref2!H57,IF(AK56=summaryref2!B71,summaryref2!H71,IF(AK56=summaryref2!B85,summaryref2!H85,IF(AK56=summaryref2!B99,summaryref2!H99,IF(AK56=summaryref2!B113,summaryref2!H113,IF(AK56=summaryref2!B127,summaryref2!H127,IF(AK56=summaryref2!B141,summaryref2!H141,"")))))))))))</f>
        <v/>
      </c>
      <c r="AS56" s="1110" t="str">
        <f>IF('A-80 DirEntInv'!AS55&lt;&gt;"",'A-80 DirEntInv'!AS55,IF(AK56=summaryref2!B15,summaryref2!I15,IF(Summary!AK56=summaryref2!B29,summaryref2!I29,IF(AK56=summaryref2!B43,summaryref2!I43,IF(AK56=summaryref2!B57,summaryref2!I57,IF(AK56=summaryref2!B71,summaryref2!I71,IF(AK56=summaryref2!B85,summaryref2!I85,IF(AK56=summaryref2!B99,summaryref2!I99,IF(AK56=summaryref2!B113,summaryref2!I113,IF(AK56=summaryref2!B127,summaryref2!I127,IF(AK56=summaryref2!B141,summaryref2!I141,"")))))))))))</f>
        <v/>
      </c>
      <c r="AT56" s="1110" t="str">
        <f>IF('A-80 DirEntInv'!AT55&lt;&gt;"",'A-80 DirEntInv'!AT55,IF(AK56=summaryref2!B15,summaryref2!J15,IF(Summary!AK56=summaryref2!B29,summaryref2!J29,IF(AK56=summaryref2!B43,summaryref2!J43,IF(AK56=summaryref2!B57,summaryref2!J57,IF(AK56=summaryref2!B71,summaryref2!J71,IF(AK56=summaryref2!B85,summaryref2!J85,IF(AK56=summaryref2!B99,summaryref2!J99,IF(AK56=summaryref2!B113,summaryref2!J113,IF(AK56=summaryref2!B127,summaryref2!J127,IF(AK56=summaryref2!B141,summaryref2!J141,"")))))))))))</f>
        <v/>
      </c>
      <c r="AU56" s="1110" t="str">
        <f>IF('A-80 DirEntInv'!AU55&lt;&gt;"",'A-80 DirEntInv'!AU55,IF(AK56=summaryref2!B15,summaryref2!K15,IF(Summary!AK56=summaryref2!B29,summaryref2!K29,IF(AK56=summaryref2!B43,summaryref2!K43,IF(AK56=summaryref2!B57,summaryref2!K57,IF(AK56=summaryref2!B71,summaryref2!K71,IF(AK56=summaryref2!B85,summaryref2!K85,IF(AK56=summaryref2!B99,summaryref2!K99,IF(AK56=summaryref2!B113,summaryref2!K113,IF(AK56=summaryref2!B127,summaryref2!K127,IF(AK56=summaryref2!B141,summaryref2!K141,"")))))))))))</f>
        <v/>
      </c>
      <c r="AV56" s="1110" t="str">
        <f>IF('A-80 DirEntInv'!AV55&lt;&gt;"",'A-80 DirEntInv'!AV55,IF(AK56=summaryref2!B15,summaryref2!L15,IF(Summary!AK56=summaryref2!B29,summaryref2!L29,IF(AK56=summaryref2!B43,summaryref2!L43,IF(AK56=summaryref2!B57,summaryref2!L57,IF(AK56=summaryref2!B71,summaryref2!L71,IF(AK56=summaryref2!B85,summaryref2!L85,IF(AK56=summaryref2!B99,summaryref2!L99,IF(AK56=summaryref2!B113,summaryref2!L113,IF(AK56=summaryref2!B127,summaryref2!L127,IF(AK56=summaryref2!B141,summaryref2!L141,"")))))))))))</f>
        <v/>
      </c>
      <c r="AW56" s="1110" t="str">
        <f>IF('A-80 DirEntInv'!AW55&lt;&gt;"",'A-80 DirEntInv'!AW55,IF(AK56=summaryref2!B15,summaryref2!M15,IF(Summary!AK56=summaryref2!B29,summaryref2!M29,IF(AK56=summaryref2!B43,summaryref2!M43,IF(AK56=summaryref2!B57,summaryref2!M57,IF(AK56=summaryref2!B71,summaryref2!M71,IF(AK56=summaryref2!B85,summaryref2!M85,IF(AK56=summaryref2!B99,summaryref2!M99,IF(AK56=summaryref2!B113,summaryref2!M113,IF(AK56=summaryref2!B127,summaryref2!M127,IF(AK56=summaryref2!B141,summaryref2!M141,"")))))))))))</f>
        <v/>
      </c>
      <c r="AX56" s="1110" t="str">
        <f>IF('A-80 DirEntInv'!AX55&lt;&gt;"",'A-80 DirEntInv'!AX55,IF(AK56=summaryref2!B15,summaryref2!N15,IF(Summary!AK56=summaryref2!B29,summaryref2!N29,IF(AK56=summaryref2!B43,summaryref2!N43,IF(AK56=summaryref2!B57,summaryref2!N57,IF(AK56=summaryref2!B71,summaryref2!N71,IF(AK56=summaryref2!B85,summaryref2!N85,IF(AK56=summaryref2!B99,summaryref2!N99,IF(AK56=summaryref2!B113,summaryref2!N113,IF(AK56=summaryref2!B127,summaryref2!N127,IF(AK56=summaryref2!B141,summaryref2!N141,"")))))))))))</f>
        <v/>
      </c>
      <c r="AY56" s="1110" t="str">
        <f>IF('A-80 DirEntInv'!AY55&lt;&gt;"",'A-80 DirEntInv'!AY55,IF(AK56=summaryref2!B15,summaryref2!O15,IF(Summary!AK56=summaryref2!B29,summaryref2!O29,IF(AK56=summaryref2!B43,summaryref2!O43,IF(AK56=summaryref2!B57,summaryref2!O57,IF(AK56=summaryref2!B71,summaryref2!O71,IF(AK56=summaryref2!B85,summaryref2!O85,IF(AK56=summaryref2!B99,summaryref2!O99,IF(AK56=summaryref2!B113,summaryref2!O113,IF(AK56=summaryref2!B127,summaryref2!O127,IF(AK56=summaryref2!B141,summaryref2!O141,"")))))))))))</f>
        <v/>
      </c>
      <c r="AZ56" s="1110" t="str">
        <f>IF('A-80 DirEntInv'!AZ55&lt;&gt;"",'A-80 DirEntInv'!AZ55,IF(AK56=summaryref2!B15,summaryref2!P15,IF(Summary!AK56=summaryref2!B29,summaryref2!P29,IF(AK56=summaryref2!B43,summaryref2!P43,IF(AK56=summaryref2!B57,summaryref2!P57,IF(AK56=summaryref2!B71,summaryref2!P71,IF(AK56=summaryref2!B85,summaryref2!P85,IF(AK56=summaryref2!B99,summaryref2!P99,IF(AK56=summaryref2!B113,summaryref2!P113,IF(AK56=summaryref2!B127,summaryref2!P127,IF(AK56=summaryref2!B141,summaryref2!P141,"")))))))))))</f>
        <v/>
      </c>
      <c r="BA56" s="1110" t="str">
        <f>IF('A-80 DirEntInv'!BA55&lt;&gt;"",'A-80 DirEntInv'!BA55,IF(AK56=summaryref2!B15,summaryref2!Q15,IF(Summary!AK56=summaryref2!B29,summaryref2!Q29,IF(AK56=summaryref2!B43,summaryref2!Q43,IF(AK56=summaryref2!B57,summaryref2!Q57,IF(AK56=summaryref2!B71,summaryref2!Q71,IF(AK56=summaryref2!B85,summaryref2!Q85,IF(AK56=summaryref2!B99,summaryref2!Q99,IF(AK56=summaryref2!B113,summaryref2!Q113,IF(AK56=summaryref2!B127,summaryref2!Q127,IF(AK56=summaryref2!B141,summaryref2!Q141,"")))))))))))</f>
        <v/>
      </c>
      <c r="BB56" s="1110" t="str">
        <f>IF('A-80 DirEntInv'!BB55&lt;&gt;"",'A-80 DirEntInv'!BB55,IF(AK56=summaryref2!B15,summaryref2!R15,IF(Summary!AK56=summaryref2!B29,summaryref2!R29,IF(AK56=summaryref2!B43,summaryref2!R43,IF(AK56=summaryref2!B57,summaryref2!R57,IF(AK56=summaryref2!B71,summaryref2!R71,IF(AK56=summaryref2!B85,summaryref2!R85,IF(AK56=summaryref2!B99,summaryref2!R99,IF(AK56=summaryref2!B113,summaryref2!R113,IF(AK56=summaryref2!B127,summaryref2!R127,IF(AK56=summaryref2!B141,summaryref2!R141,"")))))))))))</f>
        <v/>
      </c>
      <c r="BC56" s="1110" t="str">
        <f>IF('A-80 DirEntInv'!BC55&lt;&gt;0,'A-80 DirEntInv'!BC55,IF(AK56=summaryref2!B15,summaryref2!S15,IF(Summary!AK56=summaryref2!B29,summaryref2!S29,IF(AK56=summaryref2!B43,summaryref2!S43,IF(AK56=summaryref2!B57,summaryref2!S57,IF(AK56=summaryref2!B71,summaryref2!S71,IF(AK56=summaryref2!B85,summaryref2!S85,IF(AK56=summaryref2!B99,summaryref2!S99,IF(AK56=summaryref2!B113,summaryref2!S113,IF(AK56=summaryref2!B127,summaryref2!S127,IF(AK56=summaryref2!B141,summaryref2!S141,"")))))))))))</f>
        <v/>
      </c>
      <c r="BD56" s="1111" t="str">
        <f>IF('A-80 DirEntInv'!BD55&lt;&gt;"",'A-80 DirEntInv'!BD55,IF(AK56=summaryref2!B15,summaryref2!T15,IF(Summary!AK56=summaryref2!B29,summaryref2!T29,IF(AK56=summaryref2!B43,summaryref2!T43,IF(AK56=summaryref2!B57,summaryref2!T57,IF(AK56=summaryref2!B71,summaryref2!T71,IF(AK56=summaryref2!B85,summaryref2!T85,IF(AK56=summaryref2!B99,summaryref2!T99,IF(AK56=summaryref2!B113,summaryref2!T113,IF(AK56=summaryref2!B127,summaryref2!T127,IF(AK56=summaryref2!B141,summaryref2!T141,"")))))))))))</f>
        <v/>
      </c>
      <c r="BE56" s="1184" t="str">
        <f>IF('A-80 DirEntInv'!BE55&lt;&gt;"",'A-80 DirEntInv'!BE55,IF(AK56=summaryref2!B15,summaryref2!U15,IF(Summary!AK56=summaryref2!B29,summaryref2!U29,IF(AK56=summaryref2!B43,summaryref2!U43,IF(AK56=summaryref2!B57,summaryref2!U57,IF(AK56=summaryref2!B71,summaryref2!U71,IF(AK56=summaryref2!B85,summaryref2!U85,IF(AK56=summaryref2!B99,summaryref2!U99,IF(AK56=summaryref2!B113,summaryref2!U113,IF(AK56=summaryref2!B127,summaryref2!U127,IF(AK56=summaryref2!B141,summaryref2!U141,"")))))))))))</f>
        <v/>
      </c>
      <c r="BF56" s="1432"/>
      <c r="BG56" s="1432"/>
      <c r="BJ56" s="1041" t="str">
        <f>Codes!$C$162</f>
        <v>CR - Commuter Rail (PT)</v>
      </c>
      <c r="BK56" s="1042" t="str">
        <f>Valid!$B$83</f>
        <v>Single Crossover</v>
      </c>
      <c r="BL56" s="1375" t="str">
        <f>IF('A-80 DirEntInv'!BL55&lt;&gt;"",'A-80 DirEntInv'!BL55,IF(BJ56=summaryref2!X15,summaryref2!Z15,IF(BJ56=summaryref2!X22,summaryref2!Z22,IF(BJ56=summaryref2!X29,summaryref2!Z29,IF(BJ56=summaryref2!X36,summaryref2!Z36,IF(BJ56=summaryref2!X43,summaryref2!Z43,IF(BJ56=summaryref2!X50,summaryref2!Z50,IF(BJ56=summaryref2!X57,summaryref2!Z57,IF(BJ56=summaryref2!X64,summaryref2!Z64,IF(BJ56=summaryref2!X71,summaryref2!Z71,IF(BJ56=summaryref2!X78,summaryref2!Z78,"")))))))))))</f>
        <v/>
      </c>
      <c r="BM56" s="1042" t="str">
        <f>VLOOKUP(BK56,Valid!$B$80:$C$86,2,FALSE)</f>
        <v>Each</v>
      </c>
      <c r="BN56" s="1209" t="str">
        <f>IF('A-80 DirEntInv'!BN55&lt;&gt;"",'A-80 DirEntInv'!BN55,IF(BJ56=summaryref2!X15,summaryref2!AB15,IF(BJ56=summaryref2!X22,summaryref2!AB22,IF(BJ56=summaryref2!X29,summaryref2!AB29,IF(BJ56=summaryref2!X36,summaryref2!AB36,IF(BJ56=summaryref2!X43,summaryref2!AB43,IF(BJ56=summaryref2!X50,summaryref2!AB50,IF(BJ56=summaryref2!X57,summaryref2!AB57,IF(BJ56=summaryref2!X64,summaryref2!AB64,IF(BJ56=summaryref2!X71,summaryref2!AB71,IF(BJ56=summaryref2!X78,summaryref2!AB78,"")))))))))))</f>
        <v/>
      </c>
      <c r="BO56" s="1116" t="str">
        <f>IF('A-80 DirEntInv'!BO55&lt;&gt;"",'A-80 DirEntInv'!BO55,IF(BJ56=summaryref2!X15,summaryref2!AC15,IF(BJ56=summaryref2!X22,summaryref2!AC22,IF(BJ56=summaryref2!X29,summaryref2!AC29,IF(BJ56=summaryref2!X36,summaryref2!AC36,IF(BJ56=summaryref2!X43,summaryref2!AC43,IF(BJ56=summaryref2!X50,summaryref2!AC50,IF(BJ56=summaryref2!X57,summaryref2!AC57,IF(BJ56=summaryref2!X64,summaryref2!AC64,IF(BJ56=summaryref2!X71,summaryref2!AC71,IF(BJ56=summaryref2!X78,summaryref2!AC78,"")))))))))))</f>
        <v/>
      </c>
      <c r="BP56" s="1384" t="str">
        <f>IF('A-80 DirEntInv'!BP55&lt;&gt;"",'A-80 DirEntInv'!BP55,IF(BJ56=summaryref2!X15,summaryref2!AD15,IF(BJ56=summaryref2!X22,summaryref2!AD22,IF(BJ56=summaryref2!X29,summaryref2!AD29,IF(BJ56=summaryref2!X36,summaryref2!AD36,IF(BJ56=summaryref2!X43,summaryref2!AD43,IF(BJ56=summaryref2!X50,summaryref2!AD50,IF(BJ56=summaryref2!X57,summaryref2!AD57,IF(BJ56=summaryref2!X64,summaryref2!AD64,IF(BJ56=summaryref2!X71,summaryref2!AD71,IF(BJ56=summaryref2!X78,summaryref2!AD78,"")))))))))))</f>
        <v/>
      </c>
      <c r="BS56" s="1472" t="str">
        <f ca="1">IF('A-80 DirEntInv'!BU55&lt;&gt;"",'A-80 DirEntInv'!BU55,IF(INDIRECT(ADDRESS(SumRef!DK62,SumRef!DK$16,,,SumRef!$E$6))="","",INDIRECT(ADDRESS(SumRef!DK62,SumRef!DK$16,,,SumRef!$E$6))))</f>
        <v/>
      </c>
      <c r="BT56" s="1458" t="str">
        <f ca="1">IF('A-80 DirEntInv'!BV55&lt;&gt;"",'A-80 DirEntInv'!BV55,IF(INDIRECT(ADDRESS(SumRef!DL62,SumRef!DL$16,,,SumRef!$E$6))="","",INDIRECT(ADDRESS(SumRef!DL62,SumRef!DL$16,,,SumRef!$E$6))))</f>
        <v/>
      </c>
      <c r="BU56" s="1177" t="str">
        <f ca="1">IF('A-80 DirEntInv'!BW55&lt;&gt;"",'A-80 DirEntInv'!BW55,IF(INDIRECT(ADDRESS(SumRef!DM62,SumRef!DM$16,,,SumRef!$E$6))="","",INDIRECT(ADDRESS(SumRef!DM62,SumRef!DM$16,,,SumRef!$E$6))))</f>
        <v/>
      </c>
      <c r="BV56" s="1460" t="str">
        <f ca="1">IF('A-80 DirEntInv'!BX55&lt;&gt;"",'A-80 DirEntInv'!BX55,IF(INDIRECT(ADDRESS(SumRef!DN62,SumRef!DN$16,,,SumRef!$E$6))="","",INDIRECT(ADDRESS(SumRef!DN62,SumRef!DN$16,,,SumRef!$E$6))))</f>
        <v/>
      </c>
      <c r="BW56" s="1460" t="str">
        <f ca="1">IF('A-80 DirEntInv'!BY55&lt;&gt;"",'A-80 DirEntInv'!BY55,IF(INDIRECT(ADDRESS(SumRef!DO62,SumRef!DO$16,,,SumRef!$E$6))="","",INDIRECT(ADDRESS(SumRef!DO62,SumRef!DO$16,,,SumRef!$E$6))))</f>
        <v/>
      </c>
      <c r="BX56" s="1116" t="str">
        <f ca="1">IF('A-80 DirEntInv'!BZ55&lt;&gt;"",'A-80 DirEntInv'!BZ55,IF(INDIRECT(ADDRESS(SumRef!DP62,SumRef!DP$16,,,SumRef!$E$6))="","",INDIRECT(ADDRESS(SumRef!DP62,SumRef!DP$16,,,SumRef!$E$6))))</f>
        <v/>
      </c>
      <c r="BY56" s="1461" t="str">
        <f ca="1">IF('A-80 DirEntInv'!CA55&lt;&gt;"",'A-80 DirEntInv'!CA55,IF(INDIRECT(ADDRESS(SumRef!DQ62,SumRef!DQ$16,,,SumRef!$E$6))="","",INDIRECT(ADDRESS(SumRef!DQ62,SumRef!DQ$16,,,SumRef!$E$6))))</f>
        <v/>
      </c>
      <c r="BZ56" s="1460" t="str">
        <f ca="1">IF('A-80 DirEntInv'!CB55&lt;&gt;"",'A-80 DirEntInv'!CB55,IF(INDIRECT(ADDRESS(SumRef!DR62,SumRef!DR$16,,,SumRef!$E$6))="","",INDIRECT(ADDRESS(SumRef!DR62,SumRef!DR$16,,,SumRef!$E$6))))</f>
        <v/>
      </c>
      <c r="CA56" s="1462" t="str">
        <f ca="1">IF('A-80 DirEntInv'!CC55&lt;&gt;"",'A-80 DirEntInv'!CC55,IF(INDIRECT(ADDRESS(SumRef!DS62,SumRef!DS$16,,,SumRef!$E$6))="","",INDIRECT(ADDRESS(SumRef!DS62,SumRef!DS$16,,,SumRef!$E$6))))</f>
        <v/>
      </c>
      <c r="CD56" s="1160" t="str">
        <f ca="1">IF('A-80 DirEntInv'!CF55&lt;&gt;"",'A-80 DirEntInv'!CF55,IF(INDIRECT(ADDRESS(SumRef!DV62,SumRef!DV$16,,,SumRef!$E$7))="","",INDIRECT(ADDRESS(SumRef!DV62,SumRef!DV$16,,,SumRef!$E$7))))</f>
        <v/>
      </c>
      <c r="CE56" s="1167" t="str">
        <f ca="1">IF('A-80 DirEntInv'!CG55&lt;&gt;"",'A-80 DirEntInv'!CG55,IF(INDIRECT(ADDRESS(SumRef!DW62,SumRef!DW$16,,,SumRef!$E$7))="","",INDIRECT(ADDRESS(SumRef!DW62,SumRef!DW$16,,,SumRef!$E$7))))</f>
        <v/>
      </c>
      <c r="CF56" s="1167" t="str">
        <f ca="1">IF('A-80 DirEntInv'!CH55&lt;&gt;"",'A-80 DirEntInv'!CH55,IF(INDIRECT(ADDRESS(SumRef!DX62,SumRef!DX$16,,,SumRef!$E$7))="","",INDIRECT(ADDRESS(SumRef!DX62,SumRef!DX$16,,,SumRef!$E$7))))</f>
        <v/>
      </c>
      <c r="CG56" s="1167" t="str">
        <f ca="1">IF('A-80 DirEntInv'!CI55&lt;&gt;"",'A-80 DirEntInv'!CI55,IF(INDIRECT(ADDRESS(SumRef!DY62,SumRef!DY$16,,,SumRef!$E$7))="","",INDIRECT(ADDRESS(SumRef!DY62,SumRef!DY$16,,,SumRef!$E$7))))</f>
        <v/>
      </c>
      <c r="CH56" s="1167" t="str">
        <f ca="1">IF('A-80 DirEntInv'!CJ55&lt;&gt;"",'A-80 DirEntInv'!CJ55,IF(INDIRECT(ADDRESS(SumRef!DZ62,SumRef!DZ$16,,,SumRef!$E$7))="","",INDIRECT(ADDRESS(SumRef!DZ62,SumRef!DZ$16,,,SumRef!$E$7))))</f>
        <v/>
      </c>
      <c r="CI56" s="1167" t="str">
        <f ca="1">IF('A-80 DirEntInv'!CK55&lt;&gt;"",'A-80 DirEntInv'!CK55,IF(INDIRECT(ADDRESS(SumRef!EA62,SumRef!EA$16,,,SumRef!$E$7))="","",INDIRECT(ADDRESS(SumRef!EA62,SumRef!EA$16,,,SumRef!$E$7))))</f>
        <v/>
      </c>
      <c r="CJ56" s="1114" t="str">
        <f ca="1">IF('A-80 DirEntInv'!CL55&lt;&gt;"",'A-80 DirEntInv'!CL55,IF(INDIRECT(ADDRESS(SumRef!EB62,SumRef!EB$16,,,SumRef!$E$7))="","",INDIRECT(ADDRESS(SumRef!EB62,SumRef!EB$16,,,SumRef!$E$7))))</f>
        <v/>
      </c>
      <c r="CK56" s="1114" t="str">
        <f ca="1">IF('A-80 DirEntInv'!CM55&lt;&gt;"",'A-80 DirEntInv'!CM55,IF(INDIRECT(ADDRESS(SumRef!EC62,SumRef!EC$16,,,SumRef!$E$7))="","",INDIRECT(ADDRESS(SumRef!EC62,SumRef!EC$16,,,SumRef!$E$7))))</f>
        <v/>
      </c>
      <c r="CL56" s="1113" t="str">
        <f ca="1">IF('A-80 DirEntInv'!CO55&lt;&gt;"",'A-80 DirEntInv'!CO55,IF(INDIRECT(ADDRESS(SumRef!ED62,SumRef!ED$16,,,SumRef!$E$7))="","",INDIRECT(ADDRESS(SumRef!ED62,SumRef!ED$16,,,SumRef!$E$7))))</f>
        <v/>
      </c>
      <c r="CM56" s="1114" t="str">
        <f ca="1">IF('A-80 DirEntInv'!CP55&lt;&gt;"",'A-80 DirEntInv'!CP55,IF(INDIRECT(ADDRESS(SumRef!EE62,SumRef!EE$16,,,SumRef!$E$7))="","",INDIRECT(ADDRESS(SumRef!EE62,SumRef!EE$16,,,SumRef!$E$7))))</f>
        <v/>
      </c>
      <c r="CN56" s="1114" t="str">
        <f ca="1">IF('A-80 DirEntInv'!CQ55&lt;&gt;"",'A-80 DirEntInv'!CQ55,IF(INDIRECT(ADDRESS(SumRef!EF62,SumRef!EF$16,,,SumRef!$E$7))="","",INDIRECT(ADDRESS(SumRef!EF62,SumRef!EF$16,,,SumRef!$E$7))))</f>
        <v/>
      </c>
      <c r="CO56" s="1113" t="str">
        <f ca="1">IF('A-80 DirEntInv'!CR55&lt;&gt;"",'A-80 DirEntInv'!CR55,IF(INDIRECT(ADDRESS(SumRef!EG62,SumRef!EG$16,,,SumRef!$E$7))="","",INDIRECT(ADDRESS(SumRef!EG62,SumRef!EG$16,,,SumRef!$E$7))))</f>
        <v/>
      </c>
      <c r="CP56" s="1114" t="str">
        <f ca="1">IF('A-80 DirEntInv'!CS55&lt;&gt;"",'A-80 DirEntInv'!CS55,IF(INDIRECT(ADDRESS(SumRef!EH62,SumRef!EH$16,,,SumRef!$E$7))="","",INDIRECT(ADDRESS(SumRef!EH62,SumRef!EH$16,,,SumRef!$E$7))))</f>
        <v/>
      </c>
      <c r="CQ56" s="1346" t="str">
        <f ca="1">IF('A-80 DirEntInv'!CT55&lt;&gt;"",'A-80 DirEntInv'!CT55,IF(INDIRECT(ADDRESS(SumRef!EI62,SumRef!EI$16,,,SumRef!$E$7))="","",INDIRECT(ADDRESS(SumRef!EI62,SumRef!EI$16,,,SumRef!$E$7))))</f>
        <v/>
      </c>
      <c r="CR56" s="1113" t="str">
        <f ca="1">IF('A-80 DirEntInv'!CU55&lt;&gt;"",'A-80 DirEntInv'!CU55,IF(INDIRECT(ADDRESS(SumRef!EJ62,SumRef!EJ$16,,,SumRef!$E$7))="","",INDIRECT(ADDRESS(SumRef!EJ62,SumRef!EJ$16,,,SumRef!$E$7))))</f>
        <v/>
      </c>
      <c r="CS56" s="1346" t="str">
        <f ca="1">IF('A-80 DirEntInv'!CV55&lt;&gt;"",'A-80 DirEntInv'!CV55,IF(INDIRECT(ADDRESS(SumRef!EM62,SumRef!EM$16,,,SumRef!$E$7))="","",INDIRECT(ADDRESS(SumRef!EM62,SumRef!EM$16,,,SumRef!$E$7))))</f>
        <v/>
      </c>
      <c r="CT56" s="1113" t="str">
        <f ca="1">IF('A-80 DirEntInv'!CW55&lt;&gt;"",'A-80 DirEntInv'!CW55,IF(INDIRECT(ADDRESS(SumRef!EN62,SumRef!EN$16,,,SumRef!$E$7))="","",INDIRECT(ADDRESS(SumRef!EN62,SumRef!EN$16,,,SumRef!$E$7))))</f>
        <v/>
      </c>
      <c r="CU56" s="1113" t="str">
        <f ca="1">IF('A-80 DirEntInv'!CX55&lt;&gt;"",'A-80 DirEntInv'!CX55,IF(INDIRECT(ADDRESS(SumRef!EO62,SumRef!EO$16,,,SumRef!$E$7))="","",INDIRECT(ADDRESS(SumRef!EO62,SumRef!EO$16,,,SumRef!$E$7))))</f>
        <v/>
      </c>
      <c r="CV56" s="1113" t="str">
        <f ca="1">IF('A-80 DirEntInv'!CY55&lt;&gt;"",'A-80 DirEntInv'!CY55,IF(INDIRECT(ADDRESS(SumRef!EP62,SumRef!EP$16,,,SumRef!$E$7))="","",INDIRECT(ADDRESS(SumRef!EP62,SumRef!EP$16,,,SumRef!$E$7))))</f>
        <v/>
      </c>
      <c r="CW56" s="1114" t="str">
        <f ca="1">IF('A-80 DirEntInv'!CZ55&lt;&gt;"",'A-80 DirEntInv'!CZ55,IF(INDIRECT(ADDRESS(SumRef!ES62,SumRef!ES$16,,,SumRef!$E$7))="","",INDIRECT(ADDRESS(SumRef!ES62,SumRef!ES$16,,,SumRef!$E$7))))</f>
        <v/>
      </c>
      <c r="CX56" s="1167" t="str">
        <f ca="1">IF('A-80 DirEntInv'!DA55&lt;&gt;"",'A-80 DirEntInv'!DA55,IF(INDIRECT(ADDRESS(SumRef!ET62,SumRef!ET$16,,,SumRef!$E$7))="","",INDIRECT(ADDRESS(SumRef!ET62,SumRef!ET$16,,,SumRef!$E$7))))</f>
        <v/>
      </c>
      <c r="CY56" s="1167" t="str">
        <f ca="1">IF('A-80 DirEntInv'!DB55&lt;&gt;"",'A-80 DirEntInv'!DB55,IF(INDIRECT(ADDRESS(SumRef!EU62,SumRef!EU$16,,,SumRef!$E$7))="","",INDIRECT(ADDRESS(SumRef!EU62,SumRef!EU$16,,,SumRef!$E$7))))</f>
        <v/>
      </c>
      <c r="CZ56" s="1167" t="b">
        <f ca="1">IF('A-80 DirEntInv'!DC55&lt;&gt;"",'A-80 DirEntInv'!DC55,IF(INDIRECT(ADDRESS(SumRef!EV62,SumRef!EV$16,,,SumRef!$E$7))="","",INDIRECT(ADDRESS(SumRef!EV62,SumRef!EV$16,,,SumRef!$E$7))))</f>
        <v>0</v>
      </c>
      <c r="DA56" s="1373" t="str">
        <f ca="1">IF('A-80 DirEntInv'!DD55&lt;&gt;"",'A-80 DirEntInv'!DD55,IF(INDIRECT(ADDRESS(SumRef!EW62,SumRef!EW$16,,,SumRef!$E$7))="","",INDIRECT(ADDRESS(SumRef!EW62,SumRef!EW$16,,,SumRef!$E$7))))</f>
        <v/>
      </c>
      <c r="DB56" s="1373" t="b">
        <f ca="1">IF('A-80 DirEntInv'!DE55&lt;&gt;"",'A-80 DirEntInv'!DE55,IF(INDIRECT(ADDRESS(SumRef!EX62,SumRef!EX$16,,,SumRef!$E$7))="","",INDIRECT(ADDRESS(SumRef!EX62,SumRef!EX$16,,,SumRef!$E$7))))</f>
        <v>0</v>
      </c>
      <c r="DC56" s="1114" t="b">
        <f ca="1">IF('A-80 DirEntInv'!DF55&lt;&gt;"",'A-80 DirEntInv'!DF55,IF(INDIRECT(ADDRESS(SumRef!EY62,SumRef!EY$16,,,SumRef!$E$7))="","",INDIRECT(ADDRESS(SumRef!EY62,SumRef!EY$16,,,SumRef!$E$7))))</f>
        <v>0</v>
      </c>
      <c r="DD56" s="1115" t="str">
        <f ca="1">IF('A-80 DirEntInv'!DG55&lt;&gt;"",'A-80 DirEntInv'!DG55,IF(INDIRECT(ADDRESS(SumRef!EZ62,SumRef!EZ$16,,,SumRef!$E$7))="","",INDIRECT(ADDRESS(SumRef!EZ62,SumRef!EZ$16,,,SumRef!$E$7))))</f>
        <v/>
      </c>
    </row>
    <row r="57" spans="1:108" s="588" customFormat="1" x14ac:dyDescent="0.2">
      <c r="A57" s="589">
        <f t="shared" si="0"/>
        <v>47</v>
      </c>
      <c r="B57" s="1155" t="str">
        <f ca="1">IF('A-80 DirEntInv'!B56&lt;&gt;"",'A-80 DirEntInv'!B56,IF(INDIRECT(ADDRESS(SumRef!AQ63,SumRef!AQ$16,,,SumRef!$B$7))="","",INDIRECT(ADDRESS(SumRef!AQ63,SumRef!AQ$16,,,SumRef!$B$7))))</f>
        <v/>
      </c>
      <c r="C57" s="1097" t="str">
        <f ca="1">IF('A-80 DirEntInv'!C56&lt;&gt;"",'A-80 DirEntInv'!C56,IF(INDIRECT(ADDRESS(SumRef!AR63,SumRef!AR$16,,,SumRef!$B$7))="","",INDIRECT(ADDRESS(SumRef!AR63,SumRef!AR$16,,,SumRef!$B$7))))</f>
        <v/>
      </c>
      <c r="D57" s="1097" t="str">
        <f ca="1">IF('A-80 DirEntInv'!D56&lt;&gt;"",'A-80 DirEntInv'!D56,IF(INDIRECT(ADDRESS(SumRef!AS63,SumRef!AS$16,,,SumRef!$B$7))="","",INDIRECT(ADDRESS(SumRef!AS63,SumRef!AS$16,,,SumRef!$B$7))))</f>
        <v/>
      </c>
      <c r="E57" s="1097" t="str">
        <f ca="1">IF('A-80 DirEntInv'!E56&lt;&gt;"",'A-80 DirEntInv'!E56,IF(INDIRECT(ADDRESS(SumRef!AT63,SumRef!AT$16,,,SumRef!$B$7))="","",INDIRECT(ADDRESS(SumRef!AT63,SumRef!AT$16,,,SumRef!$B$7))))</f>
        <v/>
      </c>
      <c r="F57" s="1097" t="str">
        <f ca="1">IF('A-80 DirEntInv'!F56&lt;&gt;"",'A-80 DirEntInv'!F56,IF(INDIRECT(ADDRESS(SumRef!AU63,SumRef!AU$16,,,SumRef!$B$7))="","",INDIRECT(ADDRESS(SumRef!AU63,SumRef!AU$16,,,SumRef!$B$7))))</f>
        <v/>
      </c>
      <c r="G57" s="1158" t="str">
        <f ca="1">IF('A-80 DirEntInv'!G56&lt;&gt;"",'A-80 DirEntInv'!G56,IF(INDIRECT(ADDRESS(SumRef!AV63,SumRef!AV$16,,,SumRef!$B$7))="","",INDIRECT(ADDRESS(SumRef!AV63,SumRef!AV$16,,,SumRef!$B$7))))</f>
        <v/>
      </c>
      <c r="H57" s="1097" t="str">
        <f ca="1">IF('A-80 DirEntInv'!H56&lt;&gt;"",'A-80 DirEntInv'!H56,IF(INDIRECT(ADDRESS(SumRef!AW63,SumRef!AW$16,,,SumRef!$B$7))="","",INDIRECT(ADDRESS(SumRef!AW63,SumRef!AW$16,,,SumRef!$B$7))))</f>
        <v/>
      </c>
      <c r="I57" s="1097" t="str">
        <f ca="1">IF('A-80 DirEntInv'!I56&lt;&gt;"",'A-80 DirEntInv'!I56,IF(INDIRECT(ADDRESS(SumRef!AX63,SumRef!AX$16,,,SumRef!$B$7))="","",INDIRECT(ADDRESS(SumRef!AX63,SumRef!AX$16,,,SumRef!$B$7))))</f>
        <v/>
      </c>
      <c r="J57" s="1098" t="str">
        <f ca="1">IF('A-80 DirEntInv'!J56&lt;&gt;"",'A-80 DirEntInv'!J56,IF(INDIRECT(ADDRESS(SumRef!AY63,SumRef!AY$16,,,SumRef!$B$7))="","",INDIRECT(ADDRESS(SumRef!AY63,SumRef!AY$16,,,SumRef!$B$7))))</f>
        <v/>
      </c>
      <c r="K57" s="1099" t="str">
        <f ca="1">IF('A-80 DirEntInv'!K56&lt;&gt;"",'A-80 DirEntInv'!K56,IF(INDIRECT(ADDRESS(SumRef!AZ63,SumRef!AZ$16,,,SumRef!$B$7))="","",INDIRECT(ADDRESS(SumRef!AZ63,SumRef!AZ$16,,,SumRef!$B$7))))</f>
        <v/>
      </c>
      <c r="L57" s="1100" t="str">
        <f ca="1">IF('A-80 DirEntInv'!L56&lt;&gt;"",'A-80 DirEntInv'!L56,IF(INDIRECT(ADDRESS(SumRef!BA63,SumRef!BA$16,,,SumRef!$B$7))="","",INDIRECT(ADDRESS(SumRef!BA63,SumRef!BA$16,,,SumRef!$B$7))))</f>
        <v/>
      </c>
      <c r="M57" s="1101" t="str">
        <f ca="1">IF('A-80 DirEntInv'!M56&lt;&gt;"",'A-80 DirEntInv'!M56,IF(INDIRECT(ADDRESS(SumRef!BB63,SumRef!BB$16,,,SumRef!$B$7))="","",INDIRECT(ADDRESS(SumRef!BB63,SumRef!BB$16,,,SumRef!$B$7))))</f>
        <v/>
      </c>
      <c r="N57" s="1098" t="str">
        <f ca="1">IF('A-80 DirEntInv'!N56&lt;&gt;"",'A-80 DirEntInv'!N56,IF(INDIRECT(ADDRESS(SumRef!BC63,SumRef!BC$16,,,SumRef!$B$7))="","",INDIRECT(ADDRESS(SumRef!BC63,SumRef!BC$16,,,SumRef!$B$7))))</f>
        <v/>
      </c>
      <c r="O57" s="1102" t="str">
        <f ca="1">IF('A-80 DirEntInv'!O56&lt;&gt;"",'A-80 DirEntInv'!O56,IF(INDIRECT(ADDRESS(SumRef!BD63,SumRef!BD$16,,,SumRef!$B$7))="","",INDIRECT(ADDRESS(SumRef!BD63,SumRef!BD$16,,,SumRef!$B$7))))</f>
        <v/>
      </c>
      <c r="Q57" s="589"/>
      <c r="R57" s="1103" t="str">
        <f ca="1">IF('A-80 DirEntInv'!R56&lt;&gt;"",'A-80 DirEntInv'!R56,IF(INDIRECT(ADDRESS(SumRef!BH63,SumRef!BH$16,,,SumRef!$B$8))="","",INDIRECT(ADDRESS(SumRef!BH63,SumRef!BH$16,,,SumRef!$B$8))))</f>
        <v/>
      </c>
      <c r="S57" s="1104" t="str">
        <f ca="1">IF('A-80 DirEntInv'!S56&lt;&gt;"",'A-80 DirEntInv'!S56,IF(INDIRECT(ADDRESS(SumRef!BI63,SumRef!BI$16,,,SumRef!$B$8))="","",INDIRECT(ADDRESS(SumRef!BI63,SumRef!BI$16,,,SumRef!$B$8))))</f>
        <v/>
      </c>
      <c r="T57" s="1104" t="str">
        <f ca="1">IF('A-80 DirEntInv'!T56&lt;&gt;"",'A-80 DirEntInv'!T56,IF(INDIRECT(ADDRESS(SumRef!BJ63,SumRef!BJ$16,,,SumRef!$B$8))="","",INDIRECT(ADDRESS(SumRef!BJ63,SumRef!BJ$16,,,SumRef!$B$8))))</f>
        <v/>
      </c>
      <c r="U57" s="1104" t="str">
        <f ca="1">IF('A-80 DirEntInv'!U56&lt;&gt;"",'A-80 DirEntInv'!U56,IF(INDIRECT(ADDRESS(SumRef!BK63,SumRef!BK$16,,,SumRef!$B$8))="","",INDIRECT(ADDRESS(SumRef!BK63,SumRef!BK$16,,,SumRef!$B$8))))</f>
        <v/>
      </c>
      <c r="V57" s="1104" t="str">
        <f ca="1">IF('A-80 DirEntInv'!V56&lt;&gt;"",'A-80 DirEntInv'!V56,IF(INDIRECT(ADDRESS(SumRef!BL63,SumRef!BL$16,,,SumRef!$B$8))="","",INDIRECT(ADDRESS(SumRef!BL63,SumRef!BL$16,,,SumRef!$B$8))))</f>
        <v/>
      </c>
      <c r="W57" s="1354" t="str">
        <f ca="1">IF('A-80 DirEntInv'!W56&lt;&gt;"",'A-80 DirEntInv'!W56,IF(INDIRECT(ADDRESS(SumRef!BM63,SumRef!BM$16,,,SumRef!$B$8))="","",INDIRECT(ADDRESS(SumRef!BM63,SumRef!BM$16,,,SumRef!$B$8))))</f>
        <v/>
      </c>
      <c r="X57" s="1203" t="str">
        <f ca="1">IF('A-80 DirEntInv'!X56&lt;&gt;"",'A-80 DirEntInv'!X56,IF(INDIRECT(ADDRESS(SumRef!BN63,SumRef!BN$16,,,SumRef!$B$8))="","",INDIRECT(ADDRESS(SumRef!BN63,SumRef!BN$16,,,SumRef!$B$8))))</f>
        <v/>
      </c>
      <c r="Y57" s="1203" t="str">
        <f ca="1">IF('A-80 DirEntInv'!Y56&lt;&gt;"",'A-80 DirEntInv'!Y56,IF(INDIRECT(ADDRESS(SumRef!BO63,SumRef!BO$16,,,SumRef!$B$8))="","",INDIRECT(ADDRESS(SumRef!BO63,SumRef!BO$16,,,SumRef!$B$8))))</f>
        <v/>
      </c>
      <c r="Z57" s="1104" t="str">
        <f ca="1">IF('A-80 DirEntInv'!Z56&lt;&gt;"",'A-80 DirEntInv'!Z56,IF(INDIRECT(ADDRESS(SumRef!BP63,SumRef!BP$16,,,SumRef!$B$8))="","",INDIRECT(ADDRESS(SumRef!BP63,SumRef!BP$16,,,SumRef!$B$8))))</f>
        <v/>
      </c>
      <c r="AA57" s="1104" t="str">
        <f ca="1">IF('A-80 DirEntInv'!AA56&lt;&gt;"",'A-80 DirEntInv'!AA56,IF(INDIRECT(ADDRESS(SumRef!BQ63,SumRef!BQ$16,,,SumRef!$B$8))="","",INDIRECT(ADDRESS(SumRef!BQ63,SumRef!BQ$16,,,SumRef!$B$8))))</f>
        <v/>
      </c>
      <c r="AB57" s="1106" t="str">
        <f ca="1">IF('A-80 DirEntInv'!AB56&lt;&gt;"",'A-80 DirEntInv'!AB56,IF(INDIRECT(ADDRESS(SumRef!BR63,SumRef!BR$16,,,SumRef!$B$8))="","",INDIRECT(ADDRESS(SumRef!BR63,SumRef!BR$16,,,SumRef!$B$8))))</f>
        <v/>
      </c>
      <c r="AC57" s="1107" t="str">
        <f ca="1">IF('A-80 DirEntInv'!AC56&lt;&gt;"",'A-80 DirEntInv'!AC56,IF(INDIRECT(ADDRESS(SumRef!BS63,SumRef!BS$16,,,SumRef!$B$8))="","",INDIRECT(ADDRESS(SumRef!BS63,SumRef!BS$16,,,SumRef!$B$8))))</f>
        <v/>
      </c>
      <c r="AD57" s="1349" t="str">
        <f ca="1">IF('A-80 DirEntInv'!AD56&lt;&gt;"",'A-80 DirEntInv'!AD56,IF(INDIRECT(ADDRESS(SumRef!BT63,SumRef!BT$16,,,SumRef!$B$8))="","",INDIRECT(ADDRESS(SumRef!BT63,SumRef!BT$16,,,SumRef!$B$8))))</f>
        <v/>
      </c>
      <c r="AE57" s="1137" t="str">
        <f ca="1">IF('A-80 DirEntInv'!AE56&lt;&gt;"",'A-80 DirEntInv'!AE56,IF(INDIRECT(ADDRESS(SumRef!BU63,SumRef!BU$16,,,SumRef!$B$8))="","",INDIRECT(ADDRESS(SumRef!BU63,SumRef!BU$16,,,SumRef!$B$8))))</f>
        <v/>
      </c>
      <c r="AF57" s="1346" t="str">
        <f ca="1">IF('A-80 DirEntInv'!AF56&lt;&gt;"",'A-80 DirEntInv'!AF56,IF(INDIRECT(ADDRESS(SumRef!BV63,SumRef!BV$16,,,SumRef!$B$8))="","",INDIRECT(ADDRESS(SumRef!BV63,SumRef!BV$16,,,SumRef!$B$8))))</f>
        <v/>
      </c>
      <c r="AG57" s="1105" t="str">
        <f ca="1">IF('A-80 DirEntInv'!AG56&lt;&gt;"",'A-80 DirEntInv'!AG56,IF(INDIRECT(ADDRESS(SumRef!BW63,SumRef!BW$16,,,SumRef!$B$8))="","",INDIRECT(ADDRESS(SumRef!BW63,SumRef!BW$16,,,SumRef!$B$8))))</f>
        <v/>
      </c>
      <c r="AH57" s="1357" t="str">
        <f ca="1">IF('A-80 DirEntInv'!AH56&lt;&gt;"",'A-80 DirEntInv'!AH56,IF(INDIRECT(ADDRESS(SumRef!BX63,SumRef!BX$16,,,SumRef!$B$8))="","",INDIRECT(ADDRESS(SumRef!BX63,SumRef!BX$16,,,SumRef!$B$8))))</f>
        <v/>
      </c>
      <c r="AK57" s="1041" t="str">
        <f>Codes!$C$159</f>
        <v>CC - Cable Car (DO)</v>
      </c>
      <c r="AL57" s="1042" t="str">
        <f>Valid!$B$75</f>
        <v>Elevated/Steel Viaduct or Bridge</v>
      </c>
      <c r="AM57" s="1108" t="str">
        <f>IF('A-80 DirEntInv'!AM56&lt;&gt;"",'A-80 DirEntInv'!#REF!,IF(AK57=summaryref2!B16,summaryref2!D16,IF(Summary!AK57=summaryref2!B30,summaryref2!D30,IF(AK57=summaryref2!B44,summaryref2!D44,IF(AK57=summaryref2!B58,summaryref2!D58,IF(AK57=summaryref2!B72,summaryref2!D72,IF(AK57=summaryref2!B86,summaryref2!D86,IF(AK57=summaryref2!B100,summaryref2!D100,IF(AK57=summaryref2!B114,summaryref2!D114,IF(AK57=summaryref2!B128,summaryref2!D128,IF(AK57=summaryref2!B142,summaryref2!D142,"")))))))))))</f>
        <v/>
      </c>
      <c r="AN57" s="1109" t="str">
        <f ca="1">IF('A-80 DirEntInv'!AN56&lt;&gt;"",'A-80 DirEntInv'!AN56,IF(INDIRECT(ADDRESS(SumRef!CG77,SumRef!CG$16,,,SumRef!$C$7))="","",INDIRECT(ADDRESS(SumRef!CG77,SumRef!CG$16,,,SumRef!$C$7))))</f>
        <v>Linear Feet</v>
      </c>
      <c r="AO57" s="1108" t="str">
        <f>IF('A-80 DirEntInv'!AO56&lt;&gt;"",'A-80 DirEntInv'!AO56,IF(AK57=summaryref2!B16,summaryref2!F16,IF(Summary!AK57=summaryref2!B30,summaryref2!F30,IF(AK57=summaryref2!B44,summaryref2!F44,IF(AK57=summaryref2!B58,summaryref2!F58,IF(AK57=summaryref2!B72,summaryref2!F72,IF(AK57=summaryref2!B86,summaryref2!F86,IF(AK57=summaryref2!B100,summaryref2!F100,IF(AK57=summaryref2!B114,summaryref2!F114,IF(AK57=summaryref2!B128,summaryref2!F128,IF(AK57=summaryref2!B142,summaryref2!F142,"")))))))))))</f>
        <v/>
      </c>
      <c r="AP57" s="1109" t="str">
        <f ca="1">IF('A-80 DirEntInv'!AP56&lt;&gt;"",'A-80 DirEntInv'!AP56,IF(INDIRECT(ADDRESS(SumRef!#REF!,SumRef!#REF!,,,SumRef!$C$7))="","",INDIRECT(ADDRESS(SumRef!#REF!,SumRef!#REF!,,,SumRef!$C$7))))</f>
        <v>Track Feet</v>
      </c>
      <c r="AQ57" s="1147" t="str">
        <f>IF('A-80 DirEntInv'!AQ56&lt;&gt;"",'A-80 DirEntInv'!AQ56,IF(AK57=summaryref2!B16,summaryref2!G16,IF(Summary!AK57=summaryref2!B30,summaryref2!G30,IF(AK57=summaryref2!B44,summaryref2!G44,IF(AK57=summaryref2!B58,summaryref2!G58,IF(AK57=summaryref2!B72,summaryref2!G72,IF(AK57=summaryref2!B86,summaryref2!G86,IF(AK57=summaryref2!B100,summaryref2!G100,IF(AK57=summaryref2!B114,summaryref2!G114,IF(AK57=summaryref2!B128,summaryref2!G128,IF(AK57=summaryref2!B142,summaryref2!G142,"")))))))))))</f>
        <v/>
      </c>
      <c r="AR57" s="1147" t="str">
        <f>IF('A-80 DirEntInv'!AR56&lt;&gt;"",'A-80 DirEntInv'!AR56,IF(AK57=summaryref2!B16,summaryref2!H16,IF(Summary!AK57=summaryref2!B30,summaryref2!H30,IF(AK57=summaryref2!B44,summaryref2!H44,IF(AK57=summaryref2!B58,summaryref2!H58,IF(AK57=summaryref2!B72,summaryref2!H72,IF(AK57=summaryref2!B86,summaryref2!H86,IF(AK57=summaryref2!B100,summaryref2!H100,IF(AK57=summaryref2!B114,summaryref2!H114,IF(AK57=summaryref2!B128,summaryref2!H128,IF(AK57=summaryref2!B142,summaryref2!H142,"")))))))))))</f>
        <v/>
      </c>
      <c r="AS57" s="1110" t="str">
        <f>IF('A-80 DirEntInv'!AS56&lt;&gt;"",'A-80 DirEntInv'!AS56,IF(AK57=summaryref2!B16,summaryref2!I16,IF(Summary!AK57=summaryref2!B30,summaryref2!I30,IF(AK57=summaryref2!B44,summaryref2!I44,IF(AK57=summaryref2!B58,summaryref2!I58,IF(AK57=summaryref2!B72,summaryref2!I72,IF(AK57=summaryref2!B86,summaryref2!I86,IF(AK57=summaryref2!B100,summaryref2!I100,IF(AK57=summaryref2!B114,summaryref2!I114,IF(AK57=summaryref2!B128,summaryref2!I128,IF(AK57=summaryref2!B142,summaryref2!I142,"")))))))))))</f>
        <v/>
      </c>
      <c r="AT57" s="1110" t="str">
        <f>IF('A-80 DirEntInv'!AT56&lt;&gt;"",'A-80 DirEntInv'!AT56,IF(AK57=summaryref2!B16,summaryref2!J16,IF(Summary!AK57=summaryref2!B30,summaryref2!J30,IF(AK57=summaryref2!B44,summaryref2!J44,IF(AK57=summaryref2!B58,summaryref2!J58,IF(AK57=summaryref2!B72,summaryref2!J72,IF(AK57=summaryref2!B86,summaryref2!J86,IF(AK57=summaryref2!B100,summaryref2!J100,IF(AK57=summaryref2!B114,summaryref2!J114,IF(AK57=summaryref2!B128,summaryref2!J128,IF(AK57=summaryref2!B142,summaryref2!J142,"")))))))))))</f>
        <v/>
      </c>
      <c r="AU57" s="1110" t="str">
        <f>IF('A-80 DirEntInv'!AU56&lt;&gt;"",'A-80 DirEntInv'!AU56,IF(AK57=summaryref2!B16,summaryref2!K16,IF(Summary!AK57=summaryref2!B30,summaryref2!K30,IF(AK57=summaryref2!B44,summaryref2!K44,IF(AK57=summaryref2!B58,summaryref2!K58,IF(AK57=summaryref2!B72,summaryref2!K72,IF(AK57=summaryref2!B86,summaryref2!K86,IF(AK57=summaryref2!B100,summaryref2!K100,IF(AK57=summaryref2!B114,summaryref2!K114,IF(AK57=summaryref2!B128,summaryref2!K128,IF(AK57=summaryref2!B142,summaryref2!K142,"")))))))))))</f>
        <v/>
      </c>
      <c r="AV57" s="1110" t="str">
        <f>IF('A-80 DirEntInv'!AV56&lt;&gt;"",'A-80 DirEntInv'!AV56,IF(AK57=summaryref2!B16,summaryref2!L16,IF(Summary!AK57=summaryref2!B30,summaryref2!L30,IF(AK57=summaryref2!B44,summaryref2!L44,IF(AK57=summaryref2!B58,summaryref2!L58,IF(AK57=summaryref2!B72,summaryref2!L72,IF(AK57=summaryref2!B86,summaryref2!L86,IF(AK57=summaryref2!B100,summaryref2!L100,IF(AK57=summaryref2!B114,summaryref2!L114,IF(AK57=summaryref2!B128,summaryref2!L128,IF(AK57=summaryref2!B142,summaryref2!L142,"")))))))))))</f>
        <v/>
      </c>
      <c r="AW57" s="1110" t="str">
        <f>IF('A-80 DirEntInv'!AW56&lt;&gt;"",'A-80 DirEntInv'!AW56,IF(AK57=summaryref2!B16,summaryref2!M16,IF(Summary!AK57=summaryref2!B30,summaryref2!M30,IF(AK57=summaryref2!B44,summaryref2!M44,IF(AK57=summaryref2!B58,summaryref2!M58,IF(AK57=summaryref2!B72,summaryref2!M72,IF(AK57=summaryref2!B86,summaryref2!M86,IF(AK57=summaryref2!B100,summaryref2!M100,IF(AK57=summaryref2!B114,summaryref2!M114,IF(AK57=summaryref2!B128,summaryref2!M128,IF(AK57=summaryref2!B142,summaryref2!M142,"")))))))))))</f>
        <v/>
      </c>
      <c r="AX57" s="1110" t="str">
        <f>IF('A-80 DirEntInv'!AX56&lt;&gt;"",'A-80 DirEntInv'!AX56,IF(AK57=summaryref2!B16,summaryref2!N16,IF(Summary!AK57=summaryref2!B30,summaryref2!N30,IF(AK57=summaryref2!B44,summaryref2!N44,IF(AK57=summaryref2!B58,summaryref2!N58,IF(AK57=summaryref2!B72,summaryref2!N72,IF(AK57=summaryref2!B86,summaryref2!N86,IF(AK57=summaryref2!B100,summaryref2!N100,IF(AK57=summaryref2!B114,summaryref2!N114,IF(AK57=summaryref2!B128,summaryref2!N128,IF(AK57=summaryref2!B142,summaryref2!N142,"")))))))))))</f>
        <v/>
      </c>
      <c r="AY57" s="1110" t="str">
        <f>IF('A-80 DirEntInv'!AY56&lt;&gt;"",'A-80 DirEntInv'!AY56,IF(AK57=summaryref2!B16,summaryref2!O16,IF(Summary!AK57=summaryref2!B30,summaryref2!O30,IF(AK57=summaryref2!B44,summaryref2!O44,IF(AK57=summaryref2!B58,summaryref2!O58,IF(AK57=summaryref2!B72,summaryref2!O72,IF(AK57=summaryref2!B86,summaryref2!O86,IF(AK57=summaryref2!B100,summaryref2!O100,IF(AK57=summaryref2!B114,summaryref2!O114,IF(AK57=summaryref2!B128,summaryref2!O128,IF(AK57=summaryref2!B142,summaryref2!O142,"")))))))))))</f>
        <v/>
      </c>
      <c r="AZ57" s="1110" t="str">
        <f>IF('A-80 DirEntInv'!AZ56&lt;&gt;"",'A-80 DirEntInv'!AZ56,IF(AK57=summaryref2!B16,summaryref2!P16,IF(Summary!AK57=summaryref2!B30,summaryref2!P30,IF(AK57=summaryref2!B44,summaryref2!P44,IF(AK57=summaryref2!B58,summaryref2!P58,IF(AK57=summaryref2!B72,summaryref2!P72,IF(AK57=summaryref2!B86,summaryref2!P86,IF(AK57=summaryref2!B100,summaryref2!P100,IF(AK57=summaryref2!B114,summaryref2!P114,IF(AK57=summaryref2!B128,summaryref2!P128,IF(AK57=summaryref2!B142,summaryref2!P142,"")))))))))))</f>
        <v/>
      </c>
      <c r="BA57" s="1110" t="str">
        <f>IF('A-80 DirEntInv'!BA56&lt;&gt;"",'A-80 DirEntInv'!BA56,IF(AK57=summaryref2!B16,summaryref2!Q16,IF(Summary!AK57=summaryref2!B30,summaryref2!Q30,IF(AK57=summaryref2!B44,summaryref2!Q44,IF(AK57=summaryref2!B58,summaryref2!Q58,IF(AK57=summaryref2!B72,summaryref2!Q72,IF(AK57=summaryref2!B86,summaryref2!Q86,IF(AK57=summaryref2!B100,summaryref2!Q100,IF(AK57=summaryref2!B114,summaryref2!Q114,IF(AK57=summaryref2!B128,summaryref2!Q128,IF(AK57=summaryref2!B142,summaryref2!Q142,"")))))))))))</f>
        <v/>
      </c>
      <c r="BB57" s="1110" t="str">
        <f>IF('A-80 DirEntInv'!BB56&lt;&gt;"",'A-80 DirEntInv'!BB56,IF(AK57=summaryref2!B16,summaryref2!R16,IF(Summary!AK57=summaryref2!B30,summaryref2!R30,IF(AK57=summaryref2!B44,summaryref2!R44,IF(AK57=summaryref2!B58,summaryref2!R58,IF(AK57=summaryref2!B72,summaryref2!R72,IF(AK57=summaryref2!B86,summaryref2!R86,IF(AK57=summaryref2!B100,summaryref2!R100,IF(AK57=summaryref2!B114,summaryref2!R114,IF(AK57=summaryref2!B128,summaryref2!R128,IF(AK57=summaryref2!B142,summaryref2!R142,"")))))))))))</f>
        <v/>
      </c>
      <c r="BC57" s="1110" t="str">
        <f>IF('A-80 DirEntInv'!BC56&lt;&gt;0,'A-80 DirEntInv'!BC56,IF(AK57=summaryref2!B16,summaryref2!S16,IF(Summary!AK57=summaryref2!B30,summaryref2!S30,IF(AK57=summaryref2!B44,summaryref2!S44,IF(AK57=summaryref2!B58,summaryref2!S58,IF(AK57=summaryref2!B72,summaryref2!S72,IF(AK57=summaryref2!B86,summaryref2!S86,IF(AK57=summaryref2!B100,summaryref2!S100,IF(AK57=summaryref2!B114,summaryref2!S114,IF(AK57=summaryref2!B128,summaryref2!S128,IF(AK57=summaryref2!B142,summaryref2!S142,"")))))))))))</f>
        <v/>
      </c>
      <c r="BD57" s="1111" t="str">
        <f>IF('A-80 DirEntInv'!BD56&lt;&gt;"",'A-80 DirEntInv'!BD56,IF(AK57=summaryref2!B16,summaryref2!T16,IF(Summary!AK57=summaryref2!B30,summaryref2!T30,IF(AK57=summaryref2!B44,summaryref2!T44,IF(AK57=summaryref2!B58,summaryref2!T58,IF(AK57=summaryref2!B72,summaryref2!T72,IF(AK57=summaryref2!B86,summaryref2!T86,IF(AK57=summaryref2!B100,summaryref2!T100,IF(AK57=summaryref2!B114,summaryref2!T114,IF(AK57=summaryref2!B128,summaryref2!T128,IF(AK57=summaryref2!B142,summaryref2!T142,"")))))))))))</f>
        <v/>
      </c>
      <c r="BE57" s="1184" t="str">
        <f>IF('A-80 DirEntInv'!BE56&lt;&gt;"",'A-80 DirEntInv'!BE56,IF(AK57=summaryref2!B16,summaryref2!U16,IF(Summary!AK57=summaryref2!B30,summaryref2!U30,IF(AK57=summaryref2!B44,summaryref2!U44,IF(AK57=summaryref2!B58,summaryref2!U58,IF(AK57=summaryref2!B72,summaryref2!U72,IF(AK57=summaryref2!B86,summaryref2!U86,IF(AK57=summaryref2!B100,summaryref2!U100,IF(AK57=summaryref2!B114,summaryref2!U114,IF(AK57=summaryref2!B128,summaryref2!U128,IF(AK57=summaryref2!B142,summaryref2!U142,"")))))))))))</f>
        <v/>
      </c>
      <c r="BF57" s="1432"/>
      <c r="BG57" s="1432"/>
      <c r="BJ57" s="1041" t="str">
        <f>Codes!$C$162</f>
        <v>CR - Commuter Rail (PT)</v>
      </c>
      <c r="BK57" s="1042" t="str">
        <f>Valid!$B$84</f>
        <v>Half Grand Union</v>
      </c>
      <c r="BL57" s="1375" t="str">
        <f>IF('A-80 DirEntInv'!BL56&lt;&gt;"",'A-80 DirEntInv'!BL56,IF(BJ57=summaryref2!X16,summaryref2!Z16,IF(BJ57=summaryref2!X23,summaryref2!Z23,IF(BJ57=summaryref2!X30,summaryref2!Z30,IF(BJ57=summaryref2!X37,summaryref2!Z37,IF(BJ57=summaryref2!X44,summaryref2!Z44,IF(BJ57=summaryref2!X51,summaryref2!Z51,IF(BJ57=summaryref2!X58,summaryref2!Z58,IF(BJ57=summaryref2!X65,summaryref2!Z65,IF(BJ57=summaryref2!X72,summaryref2!Z72,IF(BJ57=summaryref2!X79,summaryref2!Z79,"")))))))))))</f>
        <v/>
      </c>
      <c r="BM57" s="1042" t="str">
        <f>VLOOKUP(BK57,Valid!$B$80:$C$86,2,FALSE)</f>
        <v>Each</v>
      </c>
      <c r="BN57" s="1209" t="str">
        <f>IF('A-80 DirEntInv'!BN56&lt;&gt;"",'A-80 DirEntInv'!BN56,IF(BJ57=summaryref2!X16,summaryref2!AB16,IF(BJ57=summaryref2!X23,summaryref2!AB23,IF(BJ57=summaryref2!X30,summaryref2!AB30,IF(BJ57=summaryref2!X37,summaryref2!AB37,IF(BJ57=summaryref2!X44,summaryref2!AB44,IF(BJ57=summaryref2!X51,summaryref2!AB51,IF(BJ57=summaryref2!X58,summaryref2!AB58,IF(BJ57=summaryref2!X65,summaryref2!AB65,IF(BJ57=summaryref2!X72,summaryref2!AB72,IF(BJ57=summaryref2!X79,summaryref2!AB79,"")))))))))))</f>
        <v/>
      </c>
      <c r="BO57" s="1116" t="str">
        <f>IF('A-80 DirEntInv'!BO56&lt;&gt;"",'A-80 DirEntInv'!BO56,IF(BJ57=summaryref2!X16,summaryref2!AC16,IF(BJ57=summaryref2!X23,summaryref2!AC23,IF(BJ57=summaryref2!X30,summaryref2!AC30,IF(BJ57=summaryref2!X37,summaryref2!AC37,IF(BJ57=summaryref2!X44,summaryref2!AC44,IF(BJ57=summaryref2!X51,summaryref2!AC51,IF(BJ57=summaryref2!X58,summaryref2!AC58,IF(BJ57=summaryref2!X65,summaryref2!AC65,IF(BJ57=summaryref2!X72,summaryref2!AC72,IF(BJ57=summaryref2!X79,summaryref2!AC79,"")))))))))))</f>
        <v/>
      </c>
      <c r="BP57" s="1384" t="str">
        <f>IF('A-80 DirEntInv'!BP56&lt;&gt;"",'A-80 DirEntInv'!BP56,IF(BJ57=summaryref2!X16,summaryref2!AD16,IF(BJ57=summaryref2!X23,summaryref2!AD23,IF(BJ57=summaryref2!X30,summaryref2!AD30,IF(BJ57=summaryref2!X37,summaryref2!AD37,IF(BJ57=summaryref2!X44,summaryref2!AD44,IF(BJ57=summaryref2!X51,summaryref2!AD51,IF(BJ57=summaryref2!X58,summaryref2!AD58,IF(BJ57=summaryref2!X65,summaryref2!AD65,IF(BJ57=summaryref2!X72,summaryref2!AD72,IF(BJ57=summaryref2!X79,summaryref2!AD79,"")))))))))))</f>
        <v/>
      </c>
      <c r="BS57" s="1472" t="str">
        <f ca="1">IF('A-80 DirEntInv'!BU56&lt;&gt;"",'A-80 DirEntInv'!BU56,IF(INDIRECT(ADDRESS(SumRef!DK63,SumRef!DK$16,,,SumRef!$E$6))="","",INDIRECT(ADDRESS(SumRef!DK63,SumRef!DK$16,,,SumRef!$E$6))))</f>
        <v/>
      </c>
      <c r="BT57" s="1458" t="str">
        <f ca="1">IF('A-80 DirEntInv'!BV56&lt;&gt;"",'A-80 DirEntInv'!BV56,IF(INDIRECT(ADDRESS(SumRef!DL63,SumRef!DL$16,,,SumRef!$E$6))="","",INDIRECT(ADDRESS(SumRef!DL63,SumRef!DL$16,,,SumRef!$E$6))))</f>
        <v/>
      </c>
      <c r="BU57" s="1177" t="str">
        <f ca="1">IF('A-80 DirEntInv'!BW56&lt;&gt;"",'A-80 DirEntInv'!BW56,IF(INDIRECT(ADDRESS(SumRef!DM63,SumRef!DM$16,,,SumRef!$E$6))="","",INDIRECT(ADDRESS(SumRef!DM63,SumRef!DM$16,,,SumRef!$E$6))))</f>
        <v/>
      </c>
      <c r="BV57" s="1460" t="str">
        <f ca="1">IF('A-80 DirEntInv'!BX56&lt;&gt;"",'A-80 DirEntInv'!BX56,IF(INDIRECT(ADDRESS(SumRef!DN63,SumRef!DN$16,,,SumRef!$E$6))="","",INDIRECT(ADDRESS(SumRef!DN63,SumRef!DN$16,,,SumRef!$E$6))))</f>
        <v/>
      </c>
      <c r="BW57" s="1460" t="str">
        <f ca="1">IF('A-80 DirEntInv'!BY56&lt;&gt;"",'A-80 DirEntInv'!BY56,IF(INDIRECT(ADDRESS(SumRef!DO63,SumRef!DO$16,,,SumRef!$E$6))="","",INDIRECT(ADDRESS(SumRef!DO63,SumRef!DO$16,,,SumRef!$E$6))))</f>
        <v/>
      </c>
      <c r="BX57" s="1116" t="str">
        <f ca="1">IF('A-80 DirEntInv'!BZ56&lt;&gt;"",'A-80 DirEntInv'!BZ56,IF(INDIRECT(ADDRESS(SumRef!DP63,SumRef!DP$16,,,SumRef!$E$6))="","",INDIRECT(ADDRESS(SumRef!DP63,SumRef!DP$16,,,SumRef!$E$6))))</f>
        <v/>
      </c>
      <c r="BY57" s="1461" t="str">
        <f ca="1">IF('A-80 DirEntInv'!CA56&lt;&gt;"",'A-80 DirEntInv'!CA56,IF(INDIRECT(ADDRESS(SumRef!DQ63,SumRef!DQ$16,,,SumRef!$E$6))="","",INDIRECT(ADDRESS(SumRef!DQ63,SumRef!DQ$16,,,SumRef!$E$6))))</f>
        <v/>
      </c>
      <c r="BZ57" s="1460" t="str">
        <f ca="1">IF('A-80 DirEntInv'!CB56&lt;&gt;"",'A-80 DirEntInv'!CB56,IF(INDIRECT(ADDRESS(SumRef!DR63,SumRef!DR$16,,,SumRef!$E$6))="","",INDIRECT(ADDRESS(SumRef!DR63,SumRef!DR$16,,,SumRef!$E$6))))</f>
        <v/>
      </c>
      <c r="CA57" s="1462" t="str">
        <f ca="1">IF('A-80 DirEntInv'!CC56&lt;&gt;"",'A-80 DirEntInv'!CC56,IF(INDIRECT(ADDRESS(SumRef!DS63,SumRef!DS$16,,,SumRef!$E$6))="","",INDIRECT(ADDRESS(SumRef!DS63,SumRef!DS$16,,,SumRef!$E$6))))</f>
        <v/>
      </c>
      <c r="CD57" s="1160" t="str">
        <f ca="1">IF('A-80 DirEntInv'!CF56&lt;&gt;"",'A-80 DirEntInv'!CF56,IF(INDIRECT(ADDRESS(SumRef!DV63,SumRef!DV$16,,,SumRef!$E$7))="","",INDIRECT(ADDRESS(SumRef!DV63,SumRef!DV$16,,,SumRef!$E$7))))</f>
        <v/>
      </c>
      <c r="CE57" s="1167" t="str">
        <f ca="1">IF('A-80 DirEntInv'!CG56&lt;&gt;"",'A-80 DirEntInv'!CG56,IF(INDIRECT(ADDRESS(SumRef!DW63,SumRef!DW$16,,,SumRef!$E$7))="","",INDIRECT(ADDRESS(SumRef!DW63,SumRef!DW$16,,,SumRef!$E$7))))</f>
        <v/>
      </c>
      <c r="CF57" s="1167" t="str">
        <f ca="1">IF('A-80 DirEntInv'!CH56&lt;&gt;"",'A-80 DirEntInv'!CH56,IF(INDIRECT(ADDRESS(SumRef!DX63,SumRef!DX$16,,,SumRef!$E$7))="","",INDIRECT(ADDRESS(SumRef!DX63,SumRef!DX$16,,,SumRef!$E$7))))</f>
        <v/>
      </c>
      <c r="CG57" s="1167" t="str">
        <f ca="1">IF('A-80 DirEntInv'!CI56&lt;&gt;"",'A-80 DirEntInv'!CI56,IF(INDIRECT(ADDRESS(SumRef!DY63,SumRef!DY$16,,,SumRef!$E$7))="","",INDIRECT(ADDRESS(SumRef!DY63,SumRef!DY$16,,,SumRef!$E$7))))</f>
        <v/>
      </c>
      <c r="CH57" s="1167" t="str">
        <f ca="1">IF('A-80 DirEntInv'!CJ56&lt;&gt;"",'A-80 DirEntInv'!CJ56,IF(INDIRECT(ADDRESS(SumRef!DZ63,SumRef!DZ$16,,,SumRef!$E$7))="","",INDIRECT(ADDRESS(SumRef!DZ63,SumRef!DZ$16,,,SumRef!$E$7))))</f>
        <v/>
      </c>
      <c r="CI57" s="1167" t="str">
        <f ca="1">IF('A-80 DirEntInv'!CK56&lt;&gt;"",'A-80 DirEntInv'!CK56,IF(INDIRECT(ADDRESS(SumRef!EA63,SumRef!EA$16,,,SumRef!$E$7))="","",INDIRECT(ADDRESS(SumRef!EA63,SumRef!EA$16,,,SumRef!$E$7))))</f>
        <v/>
      </c>
      <c r="CJ57" s="1114" t="str">
        <f ca="1">IF('A-80 DirEntInv'!CL56&lt;&gt;"",'A-80 DirEntInv'!CL56,IF(INDIRECT(ADDRESS(SumRef!EB63,SumRef!EB$16,,,SumRef!$E$7))="","",INDIRECT(ADDRESS(SumRef!EB63,SumRef!EB$16,,,SumRef!$E$7))))</f>
        <v/>
      </c>
      <c r="CK57" s="1114" t="str">
        <f ca="1">IF('A-80 DirEntInv'!CM56&lt;&gt;"",'A-80 DirEntInv'!CM56,IF(INDIRECT(ADDRESS(SumRef!EC63,SumRef!EC$16,,,SumRef!$E$7))="","",INDIRECT(ADDRESS(SumRef!EC63,SumRef!EC$16,,,SumRef!$E$7))))</f>
        <v/>
      </c>
      <c r="CL57" s="1113" t="str">
        <f ca="1">IF('A-80 DirEntInv'!CO56&lt;&gt;"",'A-80 DirEntInv'!CO56,IF(INDIRECT(ADDRESS(SumRef!ED63,SumRef!ED$16,,,SumRef!$E$7))="","",INDIRECT(ADDRESS(SumRef!ED63,SumRef!ED$16,,,SumRef!$E$7))))</f>
        <v/>
      </c>
      <c r="CM57" s="1114" t="str">
        <f ca="1">IF('A-80 DirEntInv'!CP56&lt;&gt;"",'A-80 DirEntInv'!CP56,IF(INDIRECT(ADDRESS(SumRef!EE63,SumRef!EE$16,,,SumRef!$E$7))="","",INDIRECT(ADDRESS(SumRef!EE63,SumRef!EE$16,,,SumRef!$E$7))))</f>
        <v/>
      </c>
      <c r="CN57" s="1114" t="str">
        <f ca="1">IF('A-80 DirEntInv'!CQ56&lt;&gt;"",'A-80 DirEntInv'!CQ56,IF(INDIRECT(ADDRESS(SumRef!EF63,SumRef!EF$16,,,SumRef!$E$7))="","",INDIRECT(ADDRESS(SumRef!EF63,SumRef!EF$16,,,SumRef!$E$7))))</f>
        <v/>
      </c>
      <c r="CO57" s="1113" t="str">
        <f ca="1">IF('A-80 DirEntInv'!CR56&lt;&gt;"",'A-80 DirEntInv'!CR56,IF(INDIRECT(ADDRESS(SumRef!EG63,SumRef!EG$16,,,SumRef!$E$7))="","",INDIRECT(ADDRESS(SumRef!EG63,SumRef!EG$16,,,SumRef!$E$7))))</f>
        <v/>
      </c>
      <c r="CP57" s="1114" t="str">
        <f ca="1">IF('A-80 DirEntInv'!CS56&lt;&gt;"",'A-80 DirEntInv'!CS56,IF(INDIRECT(ADDRESS(SumRef!EH63,SumRef!EH$16,,,SumRef!$E$7))="","",INDIRECT(ADDRESS(SumRef!EH63,SumRef!EH$16,,,SumRef!$E$7))))</f>
        <v/>
      </c>
      <c r="CQ57" s="1346" t="str">
        <f ca="1">IF('A-80 DirEntInv'!CT56&lt;&gt;"",'A-80 DirEntInv'!CT56,IF(INDIRECT(ADDRESS(SumRef!EI63,SumRef!EI$16,,,SumRef!$E$7))="","",INDIRECT(ADDRESS(SumRef!EI63,SumRef!EI$16,,,SumRef!$E$7))))</f>
        <v/>
      </c>
      <c r="CR57" s="1113" t="str">
        <f ca="1">IF('A-80 DirEntInv'!CU56&lt;&gt;"",'A-80 DirEntInv'!CU56,IF(INDIRECT(ADDRESS(SumRef!EJ63,SumRef!EJ$16,,,SumRef!$E$7))="","",INDIRECT(ADDRESS(SumRef!EJ63,SumRef!EJ$16,,,SumRef!$E$7))))</f>
        <v/>
      </c>
      <c r="CS57" s="1346" t="str">
        <f ca="1">IF('A-80 DirEntInv'!CV56&lt;&gt;"",'A-80 DirEntInv'!CV56,IF(INDIRECT(ADDRESS(SumRef!EM63,SumRef!EM$16,,,SumRef!$E$7))="","",INDIRECT(ADDRESS(SumRef!EM63,SumRef!EM$16,,,SumRef!$E$7))))</f>
        <v/>
      </c>
      <c r="CT57" s="1113" t="str">
        <f ca="1">IF('A-80 DirEntInv'!CW56&lt;&gt;"",'A-80 DirEntInv'!CW56,IF(INDIRECT(ADDRESS(SumRef!EN63,SumRef!EN$16,,,SumRef!$E$7))="","",INDIRECT(ADDRESS(SumRef!EN63,SumRef!EN$16,,,SumRef!$E$7))))</f>
        <v/>
      </c>
      <c r="CU57" s="1113" t="str">
        <f ca="1">IF('A-80 DirEntInv'!CX56&lt;&gt;"",'A-80 DirEntInv'!CX56,IF(INDIRECT(ADDRESS(SumRef!EO63,SumRef!EO$16,,,SumRef!$E$7))="","",INDIRECT(ADDRESS(SumRef!EO63,SumRef!EO$16,,,SumRef!$E$7))))</f>
        <v/>
      </c>
      <c r="CV57" s="1113" t="str">
        <f ca="1">IF('A-80 DirEntInv'!CY56&lt;&gt;"",'A-80 DirEntInv'!CY56,IF(INDIRECT(ADDRESS(SumRef!EP63,SumRef!EP$16,,,SumRef!$E$7))="","",INDIRECT(ADDRESS(SumRef!EP63,SumRef!EP$16,,,SumRef!$E$7))))</f>
        <v/>
      </c>
      <c r="CW57" s="1114" t="str">
        <f ca="1">IF('A-80 DirEntInv'!CZ56&lt;&gt;"",'A-80 DirEntInv'!CZ56,IF(INDIRECT(ADDRESS(SumRef!ES63,SumRef!ES$16,,,SumRef!$E$7))="","",INDIRECT(ADDRESS(SumRef!ES63,SumRef!ES$16,,,SumRef!$E$7))))</f>
        <v/>
      </c>
      <c r="CX57" s="1167" t="str">
        <f ca="1">IF('A-80 DirEntInv'!DA56&lt;&gt;"",'A-80 DirEntInv'!DA56,IF(INDIRECT(ADDRESS(SumRef!ET63,SumRef!ET$16,,,SumRef!$E$7))="","",INDIRECT(ADDRESS(SumRef!ET63,SumRef!ET$16,,,SumRef!$E$7))))</f>
        <v/>
      </c>
      <c r="CY57" s="1167" t="str">
        <f ca="1">IF('A-80 DirEntInv'!DB56&lt;&gt;"",'A-80 DirEntInv'!DB56,IF(INDIRECT(ADDRESS(SumRef!EU63,SumRef!EU$16,,,SumRef!$E$7))="","",INDIRECT(ADDRESS(SumRef!EU63,SumRef!EU$16,,,SumRef!$E$7))))</f>
        <v/>
      </c>
      <c r="CZ57" s="1167" t="b">
        <f ca="1">IF('A-80 DirEntInv'!DC56&lt;&gt;"",'A-80 DirEntInv'!DC56,IF(INDIRECT(ADDRESS(SumRef!EV63,SumRef!EV$16,,,SumRef!$E$7))="","",INDIRECT(ADDRESS(SumRef!EV63,SumRef!EV$16,,,SumRef!$E$7))))</f>
        <v>0</v>
      </c>
      <c r="DA57" s="1373" t="str">
        <f ca="1">IF('A-80 DirEntInv'!DD56&lt;&gt;"",'A-80 DirEntInv'!DD56,IF(INDIRECT(ADDRESS(SumRef!EW63,SumRef!EW$16,,,SumRef!$E$7))="","",INDIRECT(ADDRESS(SumRef!EW63,SumRef!EW$16,,,SumRef!$E$7))))</f>
        <v/>
      </c>
      <c r="DB57" s="1373" t="b">
        <f ca="1">IF('A-80 DirEntInv'!DE56&lt;&gt;"",'A-80 DirEntInv'!DE56,IF(INDIRECT(ADDRESS(SumRef!EX63,SumRef!EX$16,,,SumRef!$E$7))="","",INDIRECT(ADDRESS(SumRef!EX63,SumRef!EX$16,,,SumRef!$E$7))))</f>
        <v>0</v>
      </c>
      <c r="DC57" s="1114" t="b">
        <f ca="1">IF('A-80 DirEntInv'!DF56&lt;&gt;"",'A-80 DirEntInv'!DF56,IF(INDIRECT(ADDRESS(SumRef!EY63,SumRef!EY$16,,,SumRef!$E$7))="","",INDIRECT(ADDRESS(SumRef!EY63,SumRef!EY$16,,,SumRef!$E$7))))</f>
        <v>0</v>
      </c>
      <c r="DD57" s="1115" t="str">
        <f ca="1">IF('A-80 DirEntInv'!DG56&lt;&gt;"",'A-80 DirEntInv'!DG56,IF(INDIRECT(ADDRESS(SumRef!EZ63,SumRef!EZ$16,,,SumRef!$E$7))="","",INDIRECT(ADDRESS(SumRef!EZ63,SumRef!EZ$16,,,SumRef!$E$7))))</f>
        <v/>
      </c>
    </row>
    <row r="58" spans="1:108" s="588" customFormat="1" x14ac:dyDescent="0.2">
      <c r="A58" s="589">
        <f t="shared" si="0"/>
        <v>48</v>
      </c>
      <c r="B58" s="1155" t="str">
        <f ca="1">IF('A-80 DirEntInv'!B57&lt;&gt;"",'A-80 DirEntInv'!B57,IF(INDIRECT(ADDRESS(SumRef!AQ64,SumRef!AQ$16,,,SumRef!$B$7))="","",INDIRECT(ADDRESS(SumRef!AQ64,SumRef!AQ$16,,,SumRef!$B$7))))</f>
        <v/>
      </c>
      <c r="C58" s="1097" t="str">
        <f ca="1">IF('A-80 DirEntInv'!C57&lt;&gt;"",'A-80 DirEntInv'!C57,IF(INDIRECT(ADDRESS(SumRef!AR64,SumRef!AR$16,,,SumRef!$B$7))="","",INDIRECT(ADDRESS(SumRef!AR64,SumRef!AR$16,,,SumRef!$B$7))))</f>
        <v/>
      </c>
      <c r="D58" s="1097" t="str">
        <f ca="1">IF('A-80 DirEntInv'!D57&lt;&gt;"",'A-80 DirEntInv'!D57,IF(INDIRECT(ADDRESS(SumRef!AS64,SumRef!AS$16,,,SumRef!$B$7))="","",INDIRECT(ADDRESS(SumRef!AS64,SumRef!AS$16,,,SumRef!$B$7))))</f>
        <v/>
      </c>
      <c r="E58" s="1097" t="str">
        <f ca="1">IF('A-80 DirEntInv'!E57&lt;&gt;"",'A-80 DirEntInv'!E57,IF(INDIRECT(ADDRESS(SumRef!AT64,SumRef!AT$16,,,SumRef!$B$7))="","",INDIRECT(ADDRESS(SumRef!AT64,SumRef!AT$16,,,SumRef!$B$7))))</f>
        <v/>
      </c>
      <c r="F58" s="1097" t="str">
        <f ca="1">IF('A-80 DirEntInv'!F57&lt;&gt;"",'A-80 DirEntInv'!F57,IF(INDIRECT(ADDRESS(SumRef!AU64,SumRef!AU$16,,,SumRef!$B$7))="","",INDIRECT(ADDRESS(SumRef!AU64,SumRef!AU$16,,,SumRef!$B$7))))</f>
        <v/>
      </c>
      <c r="G58" s="1158" t="str">
        <f ca="1">IF('A-80 DirEntInv'!G57&lt;&gt;"",'A-80 DirEntInv'!G57,IF(INDIRECT(ADDRESS(SumRef!AV64,SumRef!AV$16,,,SumRef!$B$7))="","",INDIRECT(ADDRESS(SumRef!AV64,SumRef!AV$16,,,SumRef!$B$7))))</f>
        <v/>
      </c>
      <c r="H58" s="1097" t="str">
        <f ca="1">IF('A-80 DirEntInv'!H57&lt;&gt;"",'A-80 DirEntInv'!H57,IF(INDIRECT(ADDRESS(SumRef!AW64,SumRef!AW$16,,,SumRef!$B$7))="","",INDIRECT(ADDRESS(SumRef!AW64,SumRef!AW$16,,,SumRef!$B$7))))</f>
        <v/>
      </c>
      <c r="I58" s="1097" t="str">
        <f ca="1">IF('A-80 DirEntInv'!I57&lt;&gt;"",'A-80 DirEntInv'!I57,IF(INDIRECT(ADDRESS(SumRef!AX64,SumRef!AX$16,,,SumRef!$B$7))="","",INDIRECT(ADDRESS(SumRef!AX64,SumRef!AX$16,,,SumRef!$B$7))))</f>
        <v/>
      </c>
      <c r="J58" s="1098" t="str">
        <f ca="1">IF('A-80 DirEntInv'!J57&lt;&gt;"",'A-80 DirEntInv'!J57,IF(INDIRECT(ADDRESS(SumRef!AY64,SumRef!AY$16,,,SumRef!$B$7))="","",INDIRECT(ADDRESS(SumRef!AY64,SumRef!AY$16,,,SumRef!$B$7))))</f>
        <v/>
      </c>
      <c r="K58" s="1099" t="str">
        <f ca="1">IF('A-80 DirEntInv'!K57&lt;&gt;"",'A-80 DirEntInv'!K57,IF(INDIRECT(ADDRESS(SumRef!AZ64,SumRef!AZ$16,,,SumRef!$B$7))="","",INDIRECT(ADDRESS(SumRef!AZ64,SumRef!AZ$16,,,SumRef!$B$7))))</f>
        <v/>
      </c>
      <c r="L58" s="1100" t="str">
        <f ca="1">IF('A-80 DirEntInv'!L57&lt;&gt;"",'A-80 DirEntInv'!L57,IF(INDIRECT(ADDRESS(SumRef!BA64,SumRef!BA$16,,,SumRef!$B$7))="","",INDIRECT(ADDRESS(SumRef!BA64,SumRef!BA$16,,,SumRef!$B$7))))</f>
        <v/>
      </c>
      <c r="M58" s="1101" t="str">
        <f ca="1">IF('A-80 DirEntInv'!M57&lt;&gt;"",'A-80 DirEntInv'!M57,IF(INDIRECT(ADDRESS(SumRef!BB64,SumRef!BB$16,,,SumRef!$B$7))="","",INDIRECT(ADDRESS(SumRef!BB64,SumRef!BB$16,,,SumRef!$B$7))))</f>
        <v/>
      </c>
      <c r="N58" s="1098" t="str">
        <f ca="1">IF('A-80 DirEntInv'!N57&lt;&gt;"",'A-80 DirEntInv'!N57,IF(INDIRECT(ADDRESS(SumRef!BC64,SumRef!BC$16,,,SumRef!$B$7))="","",INDIRECT(ADDRESS(SumRef!BC64,SumRef!BC$16,,,SumRef!$B$7))))</f>
        <v/>
      </c>
      <c r="O58" s="1102" t="str">
        <f ca="1">IF('A-80 DirEntInv'!O57&lt;&gt;"",'A-80 DirEntInv'!O57,IF(INDIRECT(ADDRESS(SumRef!BD64,SumRef!BD$16,,,SumRef!$B$7))="","",INDIRECT(ADDRESS(SumRef!BD64,SumRef!BD$16,,,SumRef!$B$7))))</f>
        <v/>
      </c>
      <c r="Q58" s="589"/>
      <c r="R58" s="1103" t="str">
        <f ca="1">IF('A-80 DirEntInv'!R57&lt;&gt;"",'A-80 DirEntInv'!R57,IF(INDIRECT(ADDRESS(SumRef!BH64,SumRef!BH$16,,,SumRef!$B$8))="","",INDIRECT(ADDRESS(SumRef!BH64,SumRef!BH$16,,,SumRef!$B$8))))</f>
        <v/>
      </c>
      <c r="S58" s="1104" t="str">
        <f ca="1">IF('A-80 DirEntInv'!S57&lt;&gt;"",'A-80 DirEntInv'!S57,IF(INDIRECT(ADDRESS(SumRef!BI64,SumRef!BI$16,,,SumRef!$B$8))="","",INDIRECT(ADDRESS(SumRef!BI64,SumRef!BI$16,,,SumRef!$B$8))))</f>
        <v/>
      </c>
      <c r="T58" s="1104" t="str">
        <f ca="1">IF('A-80 DirEntInv'!T57&lt;&gt;"",'A-80 DirEntInv'!T57,IF(INDIRECT(ADDRESS(SumRef!BJ64,SumRef!BJ$16,,,SumRef!$B$8))="","",INDIRECT(ADDRESS(SumRef!BJ64,SumRef!BJ$16,,,SumRef!$B$8))))</f>
        <v/>
      </c>
      <c r="U58" s="1104" t="str">
        <f ca="1">IF('A-80 DirEntInv'!U57&lt;&gt;"",'A-80 DirEntInv'!U57,IF(INDIRECT(ADDRESS(SumRef!BK64,SumRef!BK$16,,,SumRef!$B$8))="","",INDIRECT(ADDRESS(SumRef!BK64,SumRef!BK$16,,,SumRef!$B$8))))</f>
        <v/>
      </c>
      <c r="V58" s="1104" t="str">
        <f ca="1">IF('A-80 DirEntInv'!V57&lt;&gt;"",'A-80 DirEntInv'!V57,IF(INDIRECT(ADDRESS(SumRef!BL64,SumRef!BL$16,,,SumRef!$B$8))="","",INDIRECT(ADDRESS(SumRef!BL64,SumRef!BL$16,,,SumRef!$B$8))))</f>
        <v/>
      </c>
      <c r="W58" s="1354" t="str">
        <f ca="1">IF('A-80 DirEntInv'!W57&lt;&gt;"",'A-80 DirEntInv'!W57,IF(INDIRECT(ADDRESS(SumRef!BM64,SumRef!BM$16,,,SumRef!$B$8))="","",INDIRECT(ADDRESS(SumRef!BM64,SumRef!BM$16,,,SumRef!$B$8))))</f>
        <v/>
      </c>
      <c r="X58" s="1203" t="str">
        <f ca="1">IF('A-80 DirEntInv'!X57&lt;&gt;"",'A-80 DirEntInv'!X57,IF(INDIRECT(ADDRESS(SumRef!BN64,SumRef!BN$16,,,SumRef!$B$8))="","",INDIRECT(ADDRESS(SumRef!BN64,SumRef!BN$16,,,SumRef!$B$8))))</f>
        <v/>
      </c>
      <c r="Y58" s="1203" t="str">
        <f ca="1">IF('A-80 DirEntInv'!Y57&lt;&gt;"",'A-80 DirEntInv'!Y57,IF(INDIRECT(ADDRESS(SumRef!BO64,SumRef!BO$16,,,SumRef!$B$8))="","",INDIRECT(ADDRESS(SumRef!BO64,SumRef!BO$16,,,SumRef!$B$8))))</f>
        <v/>
      </c>
      <c r="Z58" s="1104" t="str">
        <f ca="1">IF('A-80 DirEntInv'!Z57&lt;&gt;"",'A-80 DirEntInv'!Z57,IF(INDIRECT(ADDRESS(SumRef!BP64,SumRef!BP$16,,,SumRef!$B$8))="","",INDIRECT(ADDRESS(SumRef!BP64,SumRef!BP$16,,,SumRef!$B$8))))</f>
        <v/>
      </c>
      <c r="AA58" s="1104" t="str">
        <f ca="1">IF('A-80 DirEntInv'!AA57&lt;&gt;"",'A-80 DirEntInv'!AA57,IF(INDIRECT(ADDRESS(SumRef!BQ64,SumRef!BQ$16,,,SumRef!$B$8))="","",INDIRECT(ADDRESS(SumRef!BQ64,SumRef!BQ$16,,,SumRef!$B$8))))</f>
        <v/>
      </c>
      <c r="AB58" s="1106" t="str">
        <f ca="1">IF('A-80 DirEntInv'!AB57&lt;&gt;"",'A-80 DirEntInv'!AB57,IF(INDIRECT(ADDRESS(SumRef!BR64,SumRef!BR$16,,,SumRef!$B$8))="","",INDIRECT(ADDRESS(SumRef!BR64,SumRef!BR$16,,,SumRef!$B$8))))</f>
        <v/>
      </c>
      <c r="AC58" s="1107" t="str">
        <f ca="1">IF('A-80 DirEntInv'!AC57&lt;&gt;"",'A-80 DirEntInv'!AC57,IF(INDIRECT(ADDRESS(SumRef!BS64,SumRef!BS$16,,,SumRef!$B$8))="","",INDIRECT(ADDRESS(SumRef!BS64,SumRef!BS$16,,,SumRef!$B$8))))</f>
        <v/>
      </c>
      <c r="AD58" s="1349" t="str">
        <f ca="1">IF('A-80 DirEntInv'!AD57&lt;&gt;"",'A-80 DirEntInv'!AD57,IF(INDIRECT(ADDRESS(SumRef!BT64,SumRef!BT$16,,,SumRef!$B$8))="","",INDIRECT(ADDRESS(SumRef!BT64,SumRef!BT$16,,,SumRef!$B$8))))</f>
        <v/>
      </c>
      <c r="AE58" s="1137" t="str">
        <f ca="1">IF('A-80 DirEntInv'!AE57&lt;&gt;"",'A-80 DirEntInv'!AE57,IF(INDIRECT(ADDRESS(SumRef!BU64,SumRef!BU$16,,,SumRef!$B$8))="","",INDIRECT(ADDRESS(SumRef!BU64,SumRef!BU$16,,,SumRef!$B$8))))</f>
        <v/>
      </c>
      <c r="AF58" s="1346" t="str">
        <f ca="1">IF('A-80 DirEntInv'!AF57&lt;&gt;"",'A-80 DirEntInv'!AF57,IF(INDIRECT(ADDRESS(SumRef!BV64,SumRef!BV$16,,,SumRef!$B$8))="","",INDIRECT(ADDRESS(SumRef!BV64,SumRef!BV$16,,,SumRef!$B$8))))</f>
        <v/>
      </c>
      <c r="AG58" s="1105" t="str">
        <f ca="1">IF('A-80 DirEntInv'!AG57&lt;&gt;"",'A-80 DirEntInv'!AG57,IF(INDIRECT(ADDRESS(SumRef!BW64,SumRef!BW$16,,,SumRef!$B$8))="","",INDIRECT(ADDRESS(SumRef!BW64,SumRef!BW$16,,,SumRef!$B$8))))</f>
        <v/>
      </c>
      <c r="AH58" s="1357" t="str">
        <f ca="1">IF('A-80 DirEntInv'!AH57&lt;&gt;"",'A-80 DirEntInv'!AH57,IF(INDIRECT(ADDRESS(SumRef!BX64,SumRef!BX$16,,,SumRef!$B$8))="","",INDIRECT(ADDRESS(SumRef!BX64,SumRef!BX$16,,,SumRef!$B$8))))</f>
        <v/>
      </c>
      <c r="AK58" s="1041" t="str">
        <f>Codes!$C$159</f>
        <v>CC - Cable Car (DO)</v>
      </c>
      <c r="AL58" s="1042" t="str">
        <f>Valid!$B$76</f>
        <v>Below-Grade/Retained Cut</v>
      </c>
      <c r="AM58" s="1108" t="str">
        <f>IF('A-80 DirEntInv'!AM57&lt;&gt;"",'A-80 DirEntInv'!#REF!,IF(AK58=summaryref2!B17,summaryref2!D17,IF(Summary!AK58=summaryref2!B31,summaryref2!D31,IF(AK58=summaryref2!B45,summaryref2!D45,IF(AK58=summaryref2!B59,summaryref2!D59,IF(AK58=summaryref2!B73,summaryref2!D73,IF(AK58=summaryref2!B87,summaryref2!D87,IF(AK58=summaryref2!B101,summaryref2!D101,IF(AK58=summaryref2!B115,summaryref2!D115,IF(AK58=summaryref2!B129,summaryref2!D129,IF(AK58=summaryref2!B143,summaryref2!D143,"")))))))))))</f>
        <v/>
      </c>
      <c r="AN58" s="1109" t="str">
        <f ca="1">IF('A-80 DirEntInv'!AN57&lt;&gt;"",'A-80 DirEntInv'!AN57,IF(INDIRECT(ADDRESS(SumRef!CG79,SumRef!CG$16,,,SumRef!$C$7))="","",INDIRECT(ADDRESS(SumRef!CG79,SumRef!CG$16,,,SumRef!$C$7))))</f>
        <v>Linear Feet</v>
      </c>
      <c r="AO58" s="1108" t="str">
        <f>IF('A-80 DirEntInv'!AO57&lt;&gt;"",'A-80 DirEntInv'!AO57,IF(AK58=summaryref2!B17,summaryref2!F17,IF(Summary!AK58=summaryref2!B31,summaryref2!F31,IF(AK58=summaryref2!B45,summaryref2!F45,IF(AK58=summaryref2!B59,summaryref2!F59,IF(AK58=summaryref2!B73,summaryref2!F73,IF(AK58=summaryref2!B87,summaryref2!F87,IF(AK58=summaryref2!B101,summaryref2!F101,IF(AK58=summaryref2!B115,summaryref2!F115,IF(AK58=summaryref2!B129,summaryref2!F129,IF(AK58=summaryref2!B143,summaryref2!F143,"")))))))))))</f>
        <v/>
      </c>
      <c r="AP58" s="1109" t="str">
        <f ca="1">IF('A-80 DirEntInv'!AP57&lt;&gt;"",'A-80 DirEntInv'!AP57,IF(INDIRECT(ADDRESS(SumRef!#REF!,SumRef!#REF!,,,SumRef!$C$7))="","",INDIRECT(ADDRESS(SumRef!#REF!,SumRef!#REF!,,,SumRef!$C$7))))</f>
        <v>Track Feet</v>
      </c>
      <c r="AQ58" s="1147" t="str">
        <f>IF('A-80 DirEntInv'!AQ57&lt;&gt;"",'A-80 DirEntInv'!AQ57,IF(AK58=summaryref2!B17,summaryref2!G17,IF(Summary!AK58=summaryref2!B31,summaryref2!G31,IF(AK58=summaryref2!B45,summaryref2!G45,IF(AK58=summaryref2!B59,summaryref2!G59,IF(AK58=summaryref2!B73,summaryref2!G73,IF(AK58=summaryref2!B87,summaryref2!G87,IF(AK58=summaryref2!B101,summaryref2!G101,IF(AK58=summaryref2!B115,summaryref2!G115,IF(AK58=summaryref2!B129,summaryref2!G129,IF(AK58=summaryref2!B143,summaryref2!G143,"")))))))))))</f>
        <v/>
      </c>
      <c r="AR58" s="1147" t="str">
        <f>IF('A-80 DirEntInv'!AR57&lt;&gt;"",'A-80 DirEntInv'!AR57,IF(AK58=summaryref2!B17,summaryref2!H17,IF(Summary!AK58=summaryref2!B31,summaryref2!H31,IF(AK58=summaryref2!B45,summaryref2!H45,IF(AK58=summaryref2!B59,summaryref2!H59,IF(AK58=summaryref2!B73,summaryref2!H73,IF(AK58=summaryref2!B87,summaryref2!H87,IF(AK58=summaryref2!B101,summaryref2!H101,IF(AK58=summaryref2!B115,summaryref2!H115,IF(AK58=summaryref2!B129,summaryref2!H129,IF(AK58=summaryref2!B143,summaryref2!H143,"")))))))))))</f>
        <v/>
      </c>
      <c r="AS58" s="1110" t="str">
        <f>IF('A-80 DirEntInv'!AS57&lt;&gt;"",'A-80 DirEntInv'!AS57,IF(AK58=summaryref2!B17,summaryref2!I17,IF(Summary!AK58=summaryref2!B31,summaryref2!I31,IF(AK58=summaryref2!B45,summaryref2!I45,IF(AK58=summaryref2!B59,summaryref2!I59,IF(AK58=summaryref2!B73,summaryref2!I73,IF(AK58=summaryref2!B87,summaryref2!I87,IF(AK58=summaryref2!B101,summaryref2!I101,IF(AK58=summaryref2!B115,summaryref2!I115,IF(AK58=summaryref2!B129,summaryref2!I129,IF(AK58=summaryref2!B143,summaryref2!I143,"")))))))))))</f>
        <v/>
      </c>
      <c r="AT58" s="1110" t="str">
        <f>IF('A-80 DirEntInv'!AT57&lt;&gt;"",'A-80 DirEntInv'!AT57,IF(AK58=summaryref2!B17,summaryref2!J17,IF(Summary!AK58=summaryref2!B31,summaryref2!J31,IF(AK58=summaryref2!B45,summaryref2!J45,IF(AK58=summaryref2!B59,summaryref2!J59,IF(AK58=summaryref2!B73,summaryref2!J73,IF(AK58=summaryref2!B87,summaryref2!J87,IF(AK58=summaryref2!B101,summaryref2!J101,IF(AK58=summaryref2!B115,summaryref2!J115,IF(AK58=summaryref2!B129,summaryref2!J129,IF(AK58=summaryref2!B143,summaryref2!J143,"")))))))))))</f>
        <v/>
      </c>
      <c r="AU58" s="1110" t="str">
        <f>IF('A-80 DirEntInv'!AU57&lt;&gt;"",'A-80 DirEntInv'!AU57,IF(AK58=summaryref2!B17,summaryref2!K17,IF(Summary!AK58=summaryref2!B31,summaryref2!K31,IF(AK58=summaryref2!B45,summaryref2!K45,IF(AK58=summaryref2!B59,summaryref2!K59,IF(AK58=summaryref2!B73,summaryref2!K73,IF(AK58=summaryref2!B87,summaryref2!K87,IF(AK58=summaryref2!B101,summaryref2!K101,IF(AK58=summaryref2!B115,summaryref2!K115,IF(AK58=summaryref2!B129,summaryref2!K129,IF(AK58=summaryref2!B143,summaryref2!K143,"")))))))))))</f>
        <v/>
      </c>
      <c r="AV58" s="1110" t="str">
        <f>IF('A-80 DirEntInv'!AV57&lt;&gt;"",'A-80 DirEntInv'!AV57,IF(AK58=summaryref2!B17,summaryref2!L17,IF(Summary!AK58=summaryref2!B31,summaryref2!L31,IF(AK58=summaryref2!B45,summaryref2!L45,IF(AK58=summaryref2!B59,summaryref2!L59,IF(AK58=summaryref2!B73,summaryref2!L73,IF(AK58=summaryref2!B87,summaryref2!L87,IF(AK58=summaryref2!B101,summaryref2!L101,IF(AK58=summaryref2!B115,summaryref2!L115,IF(AK58=summaryref2!B129,summaryref2!L129,IF(AK58=summaryref2!B143,summaryref2!L143,"")))))))))))</f>
        <v/>
      </c>
      <c r="AW58" s="1110" t="str">
        <f>IF('A-80 DirEntInv'!AW57&lt;&gt;"",'A-80 DirEntInv'!AW57,IF(AK58=summaryref2!B17,summaryref2!M17,IF(Summary!AK58=summaryref2!B31,summaryref2!M31,IF(AK58=summaryref2!B45,summaryref2!M45,IF(AK58=summaryref2!B59,summaryref2!M59,IF(AK58=summaryref2!B73,summaryref2!M73,IF(AK58=summaryref2!B87,summaryref2!M87,IF(AK58=summaryref2!B101,summaryref2!M101,IF(AK58=summaryref2!B115,summaryref2!M115,IF(AK58=summaryref2!B129,summaryref2!M129,IF(AK58=summaryref2!B143,summaryref2!M143,"")))))))))))</f>
        <v/>
      </c>
      <c r="AX58" s="1110" t="str">
        <f>IF('A-80 DirEntInv'!AX57&lt;&gt;"",'A-80 DirEntInv'!AX57,IF(AK58=summaryref2!B17,summaryref2!N17,IF(Summary!AK58=summaryref2!B31,summaryref2!N31,IF(AK58=summaryref2!B45,summaryref2!N45,IF(AK58=summaryref2!B59,summaryref2!N59,IF(AK58=summaryref2!B73,summaryref2!N73,IF(AK58=summaryref2!B87,summaryref2!N87,IF(AK58=summaryref2!B101,summaryref2!N101,IF(AK58=summaryref2!B115,summaryref2!N115,IF(AK58=summaryref2!B129,summaryref2!N129,IF(AK58=summaryref2!B143,summaryref2!N143,"")))))))))))</f>
        <v/>
      </c>
      <c r="AY58" s="1110" t="str">
        <f>IF('A-80 DirEntInv'!AY57&lt;&gt;"",'A-80 DirEntInv'!AY57,IF(AK58=summaryref2!B17,summaryref2!O17,IF(Summary!AK58=summaryref2!B31,summaryref2!O31,IF(AK58=summaryref2!B45,summaryref2!O45,IF(AK58=summaryref2!B59,summaryref2!O59,IF(AK58=summaryref2!B73,summaryref2!O73,IF(AK58=summaryref2!B87,summaryref2!O87,IF(AK58=summaryref2!B101,summaryref2!O101,IF(AK58=summaryref2!B115,summaryref2!O115,IF(AK58=summaryref2!B129,summaryref2!O129,IF(AK58=summaryref2!B143,summaryref2!O143,"")))))))))))</f>
        <v/>
      </c>
      <c r="AZ58" s="1110" t="str">
        <f>IF('A-80 DirEntInv'!AZ57&lt;&gt;"",'A-80 DirEntInv'!AZ57,IF(AK58=summaryref2!B17,summaryref2!P17,IF(Summary!AK58=summaryref2!B31,summaryref2!P31,IF(AK58=summaryref2!B45,summaryref2!P45,IF(AK58=summaryref2!B59,summaryref2!P59,IF(AK58=summaryref2!B73,summaryref2!P73,IF(AK58=summaryref2!B87,summaryref2!P87,IF(AK58=summaryref2!B101,summaryref2!P101,IF(AK58=summaryref2!B115,summaryref2!P115,IF(AK58=summaryref2!B129,summaryref2!P129,IF(AK58=summaryref2!B143,summaryref2!P143,"")))))))))))</f>
        <v/>
      </c>
      <c r="BA58" s="1110" t="str">
        <f>IF('A-80 DirEntInv'!BA57&lt;&gt;"",'A-80 DirEntInv'!BA57,IF(AK58=summaryref2!B17,summaryref2!Q17,IF(Summary!AK58=summaryref2!B31,summaryref2!Q31,IF(AK58=summaryref2!B45,summaryref2!Q45,IF(AK58=summaryref2!B59,summaryref2!Q59,IF(AK58=summaryref2!B73,summaryref2!Q73,IF(AK58=summaryref2!B87,summaryref2!Q87,IF(AK58=summaryref2!B101,summaryref2!Q101,IF(AK58=summaryref2!B115,summaryref2!Q115,IF(AK58=summaryref2!B129,summaryref2!Q129,IF(AK58=summaryref2!B143,summaryref2!Q143,"")))))))))))</f>
        <v/>
      </c>
      <c r="BB58" s="1110" t="str">
        <f>IF('A-80 DirEntInv'!BB57&lt;&gt;"",'A-80 DirEntInv'!BB57,IF(AK58=summaryref2!B17,summaryref2!R17,IF(Summary!AK58=summaryref2!B31,summaryref2!R31,IF(AK58=summaryref2!B45,summaryref2!R45,IF(AK58=summaryref2!B59,summaryref2!R59,IF(AK58=summaryref2!B73,summaryref2!R73,IF(AK58=summaryref2!B87,summaryref2!R87,IF(AK58=summaryref2!B101,summaryref2!R101,IF(AK58=summaryref2!B115,summaryref2!R115,IF(AK58=summaryref2!B129,summaryref2!R129,IF(AK58=summaryref2!B143,summaryref2!R143,"")))))))))))</f>
        <v/>
      </c>
      <c r="BC58" s="1110" t="str">
        <f>IF('A-80 DirEntInv'!BC57&lt;&gt;0,'A-80 DirEntInv'!BC57,IF(AK58=summaryref2!B17,summaryref2!S17,IF(Summary!AK58=summaryref2!B31,summaryref2!S31,IF(AK58=summaryref2!B45,summaryref2!S45,IF(AK58=summaryref2!B59,summaryref2!S59,IF(AK58=summaryref2!B73,summaryref2!S73,IF(AK58=summaryref2!B87,summaryref2!S87,IF(AK58=summaryref2!B101,summaryref2!S101,IF(AK58=summaryref2!B115,summaryref2!S115,IF(AK58=summaryref2!B129,summaryref2!S129,IF(AK58=summaryref2!B143,summaryref2!S143,"")))))))))))</f>
        <v/>
      </c>
      <c r="BD58" s="1111" t="str">
        <f>IF('A-80 DirEntInv'!BD57&lt;&gt;"",'A-80 DirEntInv'!BD57,IF(AK58=summaryref2!B17,summaryref2!T17,IF(Summary!AK58=summaryref2!B31,summaryref2!T31,IF(AK58=summaryref2!B45,summaryref2!T45,IF(AK58=summaryref2!B59,summaryref2!T59,IF(AK58=summaryref2!B73,summaryref2!T73,IF(AK58=summaryref2!B87,summaryref2!T87,IF(AK58=summaryref2!B101,summaryref2!T101,IF(AK58=summaryref2!B115,summaryref2!T115,IF(AK58=summaryref2!B129,summaryref2!T129,IF(AK58=summaryref2!B143,summaryref2!T143,"")))))))))))</f>
        <v/>
      </c>
      <c r="BE58" s="1184" t="str">
        <f>IF('A-80 DirEntInv'!BE57&lt;&gt;"",'A-80 DirEntInv'!BE57,IF(AK58=summaryref2!B17,summaryref2!U17,IF(Summary!AK58=summaryref2!B31,summaryref2!U31,IF(AK58=summaryref2!B45,summaryref2!U45,IF(AK58=summaryref2!B59,summaryref2!U59,IF(AK58=summaryref2!B73,summaryref2!U73,IF(AK58=summaryref2!B87,summaryref2!U87,IF(AK58=summaryref2!B101,summaryref2!U101,IF(AK58=summaryref2!B115,summaryref2!U115,IF(AK58=summaryref2!B129,summaryref2!U129,IF(AK58=summaryref2!B143,summaryref2!U143,"")))))))))))</f>
        <v/>
      </c>
      <c r="BF58" s="1432"/>
      <c r="BG58" s="1432"/>
      <c r="BJ58" s="1041" t="str">
        <f>Codes!$C$162</f>
        <v>CR - Commuter Rail (PT)</v>
      </c>
      <c r="BK58" s="1042" t="str">
        <f>Valid!$B$85</f>
        <v>Single Turnout</v>
      </c>
      <c r="BL58" s="1375" t="str">
        <f>IF('A-80 DirEntInv'!BL57&lt;&gt;"",'A-80 DirEntInv'!BL57,IF(BJ58=summaryref2!X17,summaryref2!Z17,IF(BJ58=summaryref2!X24,summaryref2!Z24,IF(BJ58=summaryref2!X31,summaryref2!Z31,IF(BJ58=summaryref2!X38,summaryref2!Z38,IF(BJ58=summaryref2!X45,summaryref2!Z45,IF(BJ58=summaryref2!X52,summaryref2!Z52,IF(BJ58=summaryref2!X59,summaryref2!Z59,IF(BJ58=summaryref2!X66,summaryref2!Z66,IF(BJ58=summaryref2!X73,summaryref2!Z73,IF(BJ58=summaryref2!X80,summaryref2!Z80,"")))))))))))</f>
        <v/>
      </c>
      <c r="BM58" s="1042" t="str">
        <f>VLOOKUP(BK58,Valid!$B$80:$C$86,2,FALSE)</f>
        <v>Each</v>
      </c>
      <c r="BN58" s="1209" t="str">
        <f>IF('A-80 DirEntInv'!BN57&lt;&gt;"",'A-80 DirEntInv'!BN57,IF(BJ58=summaryref2!X17,summaryref2!AB17,IF(BJ58=summaryref2!X24,summaryref2!AB24,IF(BJ58=summaryref2!X31,summaryref2!AB31,IF(BJ58=summaryref2!X38,summaryref2!AB38,IF(BJ58=summaryref2!X45,summaryref2!AB45,IF(BJ58=summaryref2!X52,summaryref2!AB52,IF(BJ58=summaryref2!X59,summaryref2!AB59,IF(BJ58=summaryref2!X66,summaryref2!AB66,IF(BJ58=summaryref2!X73,summaryref2!AB73,IF(BJ58=summaryref2!X80,summaryref2!AB80,"")))))))))))</f>
        <v/>
      </c>
      <c r="BO58" s="1116" t="str">
        <f>IF('A-80 DirEntInv'!BO57&lt;&gt;"",'A-80 DirEntInv'!BO57,IF(BJ58=summaryref2!X17,summaryref2!AC17,IF(BJ58=summaryref2!X24,summaryref2!AC24,IF(BJ58=summaryref2!X31,summaryref2!AC31,IF(BJ58=summaryref2!X38,summaryref2!AC38,IF(BJ58=summaryref2!X45,summaryref2!AC45,IF(BJ58=summaryref2!X52,summaryref2!AC52,IF(BJ58=summaryref2!X59,summaryref2!AC59,IF(BJ58=summaryref2!X66,summaryref2!AC66,IF(BJ58=summaryref2!X73,summaryref2!AC73,IF(BJ58=summaryref2!X80,summaryref2!AC80,"")))))))))))</f>
        <v/>
      </c>
      <c r="BP58" s="1384" t="str">
        <f>IF('A-80 DirEntInv'!BP57&lt;&gt;"",'A-80 DirEntInv'!BP57,IF(BJ58=summaryref2!X17,summaryref2!AD17,IF(BJ58=summaryref2!X24,summaryref2!AD24,IF(BJ58=summaryref2!X31,summaryref2!AD31,IF(BJ58=summaryref2!X38,summaryref2!AD38,IF(BJ58=summaryref2!X45,summaryref2!AD45,IF(BJ58=summaryref2!X52,summaryref2!AD52,IF(BJ58=summaryref2!X59,summaryref2!AD59,IF(BJ58=summaryref2!X66,summaryref2!AD66,IF(BJ58=summaryref2!X73,summaryref2!AD73,IF(BJ58=summaryref2!X80,summaryref2!AD80,"")))))))))))</f>
        <v/>
      </c>
      <c r="BS58" s="1472" t="str">
        <f ca="1">IF('A-80 DirEntInv'!BU57&lt;&gt;"",'A-80 DirEntInv'!BU57,IF(INDIRECT(ADDRESS(SumRef!DK64,SumRef!DK$16,,,SumRef!$E$6))="","",INDIRECT(ADDRESS(SumRef!DK64,SumRef!DK$16,,,SumRef!$E$6))))</f>
        <v/>
      </c>
      <c r="BT58" s="1458" t="str">
        <f ca="1">IF('A-80 DirEntInv'!BV57&lt;&gt;"",'A-80 DirEntInv'!BV57,IF(INDIRECT(ADDRESS(SumRef!DL64,SumRef!DL$16,,,SumRef!$E$6))="","",INDIRECT(ADDRESS(SumRef!DL64,SumRef!DL$16,,,SumRef!$E$6))))</f>
        <v/>
      </c>
      <c r="BU58" s="1177" t="str">
        <f ca="1">IF('A-80 DirEntInv'!BW57&lt;&gt;"",'A-80 DirEntInv'!BW57,IF(INDIRECT(ADDRESS(SumRef!DM64,SumRef!DM$16,,,SumRef!$E$6))="","",INDIRECT(ADDRESS(SumRef!DM64,SumRef!DM$16,,,SumRef!$E$6))))</f>
        <v/>
      </c>
      <c r="BV58" s="1460" t="str">
        <f ca="1">IF('A-80 DirEntInv'!BX57&lt;&gt;"",'A-80 DirEntInv'!BX57,IF(INDIRECT(ADDRESS(SumRef!DN64,SumRef!DN$16,,,SumRef!$E$6))="","",INDIRECT(ADDRESS(SumRef!DN64,SumRef!DN$16,,,SumRef!$E$6))))</f>
        <v/>
      </c>
      <c r="BW58" s="1460" t="str">
        <f ca="1">IF('A-80 DirEntInv'!BY57&lt;&gt;"",'A-80 DirEntInv'!BY57,IF(INDIRECT(ADDRESS(SumRef!DO64,SumRef!DO$16,,,SumRef!$E$6))="","",INDIRECT(ADDRESS(SumRef!DO64,SumRef!DO$16,,,SumRef!$E$6))))</f>
        <v/>
      </c>
      <c r="BX58" s="1116" t="str">
        <f ca="1">IF('A-80 DirEntInv'!BZ57&lt;&gt;"",'A-80 DirEntInv'!BZ57,IF(INDIRECT(ADDRESS(SumRef!DP64,SumRef!DP$16,,,SumRef!$E$6))="","",INDIRECT(ADDRESS(SumRef!DP64,SumRef!DP$16,,,SumRef!$E$6))))</f>
        <v/>
      </c>
      <c r="BY58" s="1461" t="str">
        <f ca="1">IF('A-80 DirEntInv'!CA57&lt;&gt;"",'A-80 DirEntInv'!CA57,IF(INDIRECT(ADDRESS(SumRef!DQ64,SumRef!DQ$16,,,SumRef!$E$6))="","",INDIRECT(ADDRESS(SumRef!DQ64,SumRef!DQ$16,,,SumRef!$E$6))))</f>
        <v/>
      </c>
      <c r="BZ58" s="1460" t="str">
        <f ca="1">IF('A-80 DirEntInv'!CB57&lt;&gt;"",'A-80 DirEntInv'!CB57,IF(INDIRECT(ADDRESS(SumRef!DR64,SumRef!DR$16,,,SumRef!$E$6))="","",INDIRECT(ADDRESS(SumRef!DR64,SumRef!DR$16,,,SumRef!$E$6))))</f>
        <v/>
      </c>
      <c r="CA58" s="1462" t="str">
        <f ca="1">IF('A-80 DirEntInv'!CC57&lt;&gt;"",'A-80 DirEntInv'!CC57,IF(INDIRECT(ADDRESS(SumRef!DS64,SumRef!DS$16,,,SumRef!$E$6))="","",INDIRECT(ADDRESS(SumRef!DS64,SumRef!DS$16,,,SumRef!$E$6))))</f>
        <v/>
      </c>
      <c r="CD58" s="1160" t="str">
        <f ca="1">IF('A-80 DirEntInv'!CF57&lt;&gt;"",'A-80 DirEntInv'!CF57,IF(INDIRECT(ADDRESS(SumRef!DV64,SumRef!DV$16,,,SumRef!$E$7))="","",INDIRECT(ADDRESS(SumRef!DV64,SumRef!DV$16,,,SumRef!$E$7))))</f>
        <v/>
      </c>
      <c r="CE58" s="1167" t="str">
        <f ca="1">IF('A-80 DirEntInv'!CG57&lt;&gt;"",'A-80 DirEntInv'!CG57,IF(INDIRECT(ADDRESS(SumRef!DW64,SumRef!DW$16,,,SumRef!$E$7))="","",INDIRECT(ADDRESS(SumRef!DW64,SumRef!DW$16,,,SumRef!$E$7))))</f>
        <v/>
      </c>
      <c r="CF58" s="1167" t="str">
        <f ca="1">IF('A-80 DirEntInv'!CH57&lt;&gt;"",'A-80 DirEntInv'!CH57,IF(INDIRECT(ADDRESS(SumRef!DX64,SumRef!DX$16,,,SumRef!$E$7))="","",INDIRECT(ADDRESS(SumRef!DX64,SumRef!DX$16,,,SumRef!$E$7))))</f>
        <v/>
      </c>
      <c r="CG58" s="1167" t="str">
        <f ca="1">IF('A-80 DirEntInv'!CI57&lt;&gt;"",'A-80 DirEntInv'!CI57,IF(INDIRECT(ADDRESS(SumRef!DY64,SumRef!DY$16,,,SumRef!$E$7))="","",INDIRECT(ADDRESS(SumRef!DY64,SumRef!DY$16,,,SumRef!$E$7))))</f>
        <v/>
      </c>
      <c r="CH58" s="1167" t="str">
        <f ca="1">IF('A-80 DirEntInv'!CJ57&lt;&gt;"",'A-80 DirEntInv'!CJ57,IF(INDIRECT(ADDRESS(SumRef!DZ64,SumRef!DZ$16,,,SumRef!$E$7))="","",INDIRECT(ADDRESS(SumRef!DZ64,SumRef!DZ$16,,,SumRef!$E$7))))</f>
        <v/>
      </c>
      <c r="CI58" s="1167" t="str">
        <f ca="1">IF('A-80 DirEntInv'!CK57&lt;&gt;"",'A-80 DirEntInv'!CK57,IF(INDIRECT(ADDRESS(SumRef!EA64,SumRef!EA$16,,,SumRef!$E$7))="","",INDIRECT(ADDRESS(SumRef!EA64,SumRef!EA$16,,,SumRef!$E$7))))</f>
        <v/>
      </c>
      <c r="CJ58" s="1114" t="str">
        <f ca="1">IF('A-80 DirEntInv'!CL57&lt;&gt;"",'A-80 DirEntInv'!CL57,IF(INDIRECT(ADDRESS(SumRef!EB64,SumRef!EB$16,,,SumRef!$E$7))="","",INDIRECT(ADDRESS(SumRef!EB64,SumRef!EB$16,,,SumRef!$E$7))))</f>
        <v/>
      </c>
      <c r="CK58" s="1114" t="str">
        <f ca="1">IF('A-80 DirEntInv'!CM57&lt;&gt;"",'A-80 DirEntInv'!CM57,IF(INDIRECT(ADDRESS(SumRef!EC64,SumRef!EC$16,,,SumRef!$E$7))="","",INDIRECT(ADDRESS(SumRef!EC64,SumRef!EC$16,,,SumRef!$E$7))))</f>
        <v/>
      </c>
      <c r="CL58" s="1113" t="str">
        <f ca="1">IF('A-80 DirEntInv'!CO57&lt;&gt;"",'A-80 DirEntInv'!CO57,IF(INDIRECT(ADDRESS(SumRef!ED64,SumRef!ED$16,,,SumRef!$E$7))="","",INDIRECT(ADDRESS(SumRef!ED64,SumRef!ED$16,,,SumRef!$E$7))))</f>
        <v/>
      </c>
      <c r="CM58" s="1114" t="str">
        <f ca="1">IF('A-80 DirEntInv'!CP57&lt;&gt;"",'A-80 DirEntInv'!CP57,IF(INDIRECT(ADDRESS(SumRef!EE64,SumRef!EE$16,,,SumRef!$E$7))="","",INDIRECT(ADDRESS(SumRef!EE64,SumRef!EE$16,,,SumRef!$E$7))))</f>
        <v/>
      </c>
      <c r="CN58" s="1114" t="str">
        <f ca="1">IF('A-80 DirEntInv'!CQ57&lt;&gt;"",'A-80 DirEntInv'!CQ57,IF(INDIRECT(ADDRESS(SumRef!EF64,SumRef!EF$16,,,SumRef!$E$7))="","",INDIRECT(ADDRESS(SumRef!EF64,SumRef!EF$16,,,SumRef!$E$7))))</f>
        <v/>
      </c>
      <c r="CO58" s="1113" t="str">
        <f ca="1">IF('A-80 DirEntInv'!CR57&lt;&gt;"",'A-80 DirEntInv'!CR57,IF(INDIRECT(ADDRESS(SumRef!EG64,SumRef!EG$16,,,SumRef!$E$7))="","",INDIRECT(ADDRESS(SumRef!EG64,SumRef!EG$16,,,SumRef!$E$7))))</f>
        <v/>
      </c>
      <c r="CP58" s="1114" t="str">
        <f ca="1">IF('A-80 DirEntInv'!CS57&lt;&gt;"",'A-80 DirEntInv'!CS57,IF(INDIRECT(ADDRESS(SumRef!EH64,SumRef!EH$16,,,SumRef!$E$7))="","",INDIRECT(ADDRESS(SumRef!EH64,SumRef!EH$16,,,SumRef!$E$7))))</f>
        <v/>
      </c>
      <c r="CQ58" s="1346" t="str">
        <f ca="1">IF('A-80 DirEntInv'!CT57&lt;&gt;"",'A-80 DirEntInv'!CT57,IF(INDIRECT(ADDRESS(SumRef!EI64,SumRef!EI$16,,,SumRef!$E$7))="","",INDIRECT(ADDRESS(SumRef!EI64,SumRef!EI$16,,,SumRef!$E$7))))</f>
        <v/>
      </c>
      <c r="CR58" s="1113" t="str">
        <f ca="1">IF('A-80 DirEntInv'!CU57&lt;&gt;"",'A-80 DirEntInv'!CU57,IF(INDIRECT(ADDRESS(SumRef!EJ64,SumRef!EJ$16,,,SumRef!$E$7))="","",INDIRECT(ADDRESS(SumRef!EJ64,SumRef!EJ$16,,,SumRef!$E$7))))</f>
        <v/>
      </c>
      <c r="CS58" s="1346" t="str">
        <f ca="1">IF('A-80 DirEntInv'!CV57&lt;&gt;"",'A-80 DirEntInv'!CV57,IF(INDIRECT(ADDRESS(SumRef!EM64,SumRef!EM$16,,,SumRef!$E$7))="","",INDIRECT(ADDRESS(SumRef!EM64,SumRef!EM$16,,,SumRef!$E$7))))</f>
        <v/>
      </c>
      <c r="CT58" s="1113" t="str">
        <f ca="1">IF('A-80 DirEntInv'!CW57&lt;&gt;"",'A-80 DirEntInv'!CW57,IF(INDIRECT(ADDRESS(SumRef!EN64,SumRef!EN$16,,,SumRef!$E$7))="","",INDIRECT(ADDRESS(SumRef!EN64,SumRef!EN$16,,,SumRef!$E$7))))</f>
        <v/>
      </c>
      <c r="CU58" s="1113" t="str">
        <f ca="1">IF('A-80 DirEntInv'!CX57&lt;&gt;"",'A-80 DirEntInv'!CX57,IF(INDIRECT(ADDRESS(SumRef!EO64,SumRef!EO$16,,,SumRef!$E$7))="","",INDIRECT(ADDRESS(SumRef!EO64,SumRef!EO$16,,,SumRef!$E$7))))</f>
        <v/>
      </c>
      <c r="CV58" s="1113" t="str">
        <f ca="1">IF('A-80 DirEntInv'!CY57&lt;&gt;"",'A-80 DirEntInv'!CY57,IF(INDIRECT(ADDRESS(SumRef!EP64,SumRef!EP$16,,,SumRef!$E$7))="","",INDIRECT(ADDRESS(SumRef!EP64,SumRef!EP$16,,,SumRef!$E$7))))</f>
        <v/>
      </c>
      <c r="CW58" s="1114" t="str">
        <f ca="1">IF('A-80 DirEntInv'!CZ57&lt;&gt;"",'A-80 DirEntInv'!CZ57,IF(INDIRECT(ADDRESS(SumRef!ES64,SumRef!ES$16,,,SumRef!$E$7))="","",INDIRECT(ADDRESS(SumRef!ES64,SumRef!ES$16,,,SumRef!$E$7))))</f>
        <v/>
      </c>
      <c r="CX58" s="1167" t="str">
        <f ca="1">IF('A-80 DirEntInv'!DA57&lt;&gt;"",'A-80 DirEntInv'!DA57,IF(INDIRECT(ADDRESS(SumRef!ET64,SumRef!ET$16,,,SumRef!$E$7))="","",INDIRECT(ADDRESS(SumRef!ET64,SumRef!ET$16,,,SumRef!$E$7))))</f>
        <v/>
      </c>
      <c r="CY58" s="1167" t="str">
        <f ca="1">IF('A-80 DirEntInv'!DB57&lt;&gt;"",'A-80 DirEntInv'!DB57,IF(INDIRECT(ADDRESS(SumRef!EU64,SumRef!EU$16,,,SumRef!$E$7))="","",INDIRECT(ADDRESS(SumRef!EU64,SumRef!EU$16,,,SumRef!$E$7))))</f>
        <v/>
      </c>
      <c r="CZ58" s="1167" t="b">
        <f ca="1">IF('A-80 DirEntInv'!DC57&lt;&gt;"",'A-80 DirEntInv'!DC57,IF(INDIRECT(ADDRESS(SumRef!EV64,SumRef!EV$16,,,SumRef!$E$7))="","",INDIRECT(ADDRESS(SumRef!EV64,SumRef!EV$16,,,SumRef!$E$7))))</f>
        <v>0</v>
      </c>
      <c r="DA58" s="1373" t="str">
        <f ca="1">IF('A-80 DirEntInv'!DD57&lt;&gt;"",'A-80 DirEntInv'!DD57,IF(INDIRECT(ADDRESS(SumRef!EW64,SumRef!EW$16,,,SumRef!$E$7))="","",INDIRECT(ADDRESS(SumRef!EW64,SumRef!EW$16,,,SumRef!$E$7))))</f>
        <v/>
      </c>
      <c r="DB58" s="1373" t="b">
        <f ca="1">IF('A-80 DirEntInv'!DE57&lt;&gt;"",'A-80 DirEntInv'!DE57,IF(INDIRECT(ADDRESS(SumRef!EX64,SumRef!EX$16,,,SumRef!$E$7))="","",INDIRECT(ADDRESS(SumRef!EX64,SumRef!EX$16,,,SumRef!$E$7))))</f>
        <v>0</v>
      </c>
      <c r="DC58" s="1114" t="b">
        <f ca="1">IF('A-80 DirEntInv'!DF57&lt;&gt;"",'A-80 DirEntInv'!DF57,IF(INDIRECT(ADDRESS(SumRef!EY64,SumRef!EY$16,,,SumRef!$E$7))="","",INDIRECT(ADDRESS(SumRef!EY64,SumRef!EY$16,,,SumRef!$E$7))))</f>
        <v>0</v>
      </c>
      <c r="DD58" s="1115" t="str">
        <f ca="1">IF('A-80 DirEntInv'!DG57&lt;&gt;"",'A-80 DirEntInv'!DG57,IF(INDIRECT(ADDRESS(SumRef!EZ64,SumRef!EZ$16,,,SumRef!$E$7))="","",INDIRECT(ADDRESS(SumRef!EZ64,SumRef!EZ$16,,,SumRef!$E$7))))</f>
        <v/>
      </c>
    </row>
    <row r="59" spans="1:108" s="588" customFormat="1" ht="13.5" thickBot="1" x14ac:dyDescent="0.25">
      <c r="A59" s="589">
        <f t="shared" si="0"/>
        <v>49</v>
      </c>
      <c r="B59" s="1155" t="str">
        <f ca="1">IF('A-80 DirEntInv'!B58&lt;&gt;"",'A-80 DirEntInv'!B58,IF(INDIRECT(ADDRESS(SumRef!AQ65,SumRef!AQ$16,,,SumRef!$B$7))="","",INDIRECT(ADDRESS(SumRef!AQ65,SumRef!AQ$16,,,SumRef!$B$7))))</f>
        <v/>
      </c>
      <c r="C59" s="1097" t="str">
        <f ca="1">IF('A-80 DirEntInv'!C58&lt;&gt;"",'A-80 DirEntInv'!C58,IF(INDIRECT(ADDRESS(SumRef!AR65,SumRef!AR$16,,,SumRef!$B$7))="","",INDIRECT(ADDRESS(SumRef!AR65,SumRef!AR$16,,,SumRef!$B$7))))</f>
        <v/>
      </c>
      <c r="D59" s="1097" t="str">
        <f ca="1">IF('A-80 DirEntInv'!D58&lt;&gt;"",'A-80 DirEntInv'!D58,IF(INDIRECT(ADDRESS(SumRef!AS65,SumRef!AS$16,,,SumRef!$B$7))="","",INDIRECT(ADDRESS(SumRef!AS65,SumRef!AS$16,,,SumRef!$B$7))))</f>
        <v/>
      </c>
      <c r="E59" s="1097" t="str">
        <f ca="1">IF('A-80 DirEntInv'!E58&lt;&gt;"",'A-80 DirEntInv'!E58,IF(INDIRECT(ADDRESS(SumRef!AT65,SumRef!AT$16,,,SumRef!$B$7))="","",INDIRECT(ADDRESS(SumRef!AT65,SumRef!AT$16,,,SumRef!$B$7))))</f>
        <v/>
      </c>
      <c r="F59" s="1097" t="str">
        <f ca="1">IF('A-80 DirEntInv'!F58&lt;&gt;"",'A-80 DirEntInv'!F58,IF(INDIRECT(ADDRESS(SumRef!AU65,SumRef!AU$16,,,SumRef!$B$7))="","",INDIRECT(ADDRESS(SumRef!AU65,SumRef!AU$16,,,SumRef!$B$7))))</f>
        <v/>
      </c>
      <c r="G59" s="1158" t="str">
        <f ca="1">IF('A-80 DirEntInv'!G58&lt;&gt;"",'A-80 DirEntInv'!G58,IF(INDIRECT(ADDRESS(SumRef!AV65,SumRef!AV$16,,,SumRef!$B$7))="","",INDIRECT(ADDRESS(SumRef!AV65,SumRef!AV$16,,,SumRef!$B$7))))</f>
        <v/>
      </c>
      <c r="H59" s="1097" t="str">
        <f ca="1">IF('A-80 DirEntInv'!H58&lt;&gt;"",'A-80 DirEntInv'!H58,IF(INDIRECT(ADDRESS(SumRef!AW65,SumRef!AW$16,,,SumRef!$B$7))="","",INDIRECT(ADDRESS(SumRef!AW65,SumRef!AW$16,,,SumRef!$B$7))))</f>
        <v/>
      </c>
      <c r="I59" s="1097" t="str">
        <f ca="1">IF('A-80 DirEntInv'!I58&lt;&gt;"",'A-80 DirEntInv'!I58,IF(INDIRECT(ADDRESS(SumRef!AX65,SumRef!AX$16,,,SumRef!$B$7))="","",INDIRECT(ADDRESS(SumRef!AX65,SumRef!AX$16,,,SumRef!$B$7))))</f>
        <v/>
      </c>
      <c r="J59" s="1098" t="str">
        <f ca="1">IF('A-80 DirEntInv'!J58&lt;&gt;"",'A-80 DirEntInv'!J58,IF(INDIRECT(ADDRESS(SumRef!AY65,SumRef!AY$16,,,SumRef!$B$7))="","",INDIRECT(ADDRESS(SumRef!AY65,SumRef!AY$16,,,SumRef!$B$7))))</f>
        <v/>
      </c>
      <c r="K59" s="1099" t="str">
        <f ca="1">IF('A-80 DirEntInv'!K58&lt;&gt;"",'A-80 DirEntInv'!K58,IF(INDIRECT(ADDRESS(SumRef!AZ65,SumRef!AZ$16,,,SumRef!$B$7))="","",INDIRECT(ADDRESS(SumRef!AZ65,SumRef!AZ$16,,,SumRef!$B$7))))</f>
        <v/>
      </c>
      <c r="L59" s="1100" t="str">
        <f ca="1">IF('A-80 DirEntInv'!L58&lt;&gt;"",'A-80 DirEntInv'!L58,IF(INDIRECT(ADDRESS(SumRef!BA65,SumRef!BA$16,,,SumRef!$B$7))="","",INDIRECT(ADDRESS(SumRef!BA65,SumRef!BA$16,,,SumRef!$B$7))))</f>
        <v/>
      </c>
      <c r="M59" s="1101" t="str">
        <f ca="1">IF('A-80 DirEntInv'!M58&lt;&gt;"",'A-80 DirEntInv'!M58,IF(INDIRECT(ADDRESS(SumRef!BB65,SumRef!BB$16,,,SumRef!$B$7))="","",INDIRECT(ADDRESS(SumRef!BB65,SumRef!BB$16,,,SumRef!$B$7))))</f>
        <v/>
      </c>
      <c r="N59" s="1098" t="str">
        <f ca="1">IF('A-80 DirEntInv'!N58&lt;&gt;"",'A-80 DirEntInv'!N58,IF(INDIRECT(ADDRESS(SumRef!BC65,SumRef!BC$16,,,SumRef!$B$7))="","",INDIRECT(ADDRESS(SumRef!BC65,SumRef!BC$16,,,SumRef!$B$7))))</f>
        <v/>
      </c>
      <c r="O59" s="1102" t="str">
        <f ca="1">IF('A-80 DirEntInv'!O58&lt;&gt;"",'A-80 DirEntInv'!O58,IF(INDIRECT(ADDRESS(SumRef!BD65,SumRef!BD$16,,,SumRef!$B$7))="","",INDIRECT(ADDRESS(SumRef!BD65,SumRef!BD$16,,,SumRef!$B$7))))</f>
        <v/>
      </c>
      <c r="Q59" s="589"/>
      <c r="R59" s="1103" t="str">
        <f ca="1">IF('A-80 DirEntInv'!R58&lt;&gt;"",'A-80 DirEntInv'!R58,IF(INDIRECT(ADDRESS(SumRef!BH65,SumRef!BH$16,,,SumRef!$B$8))="","",INDIRECT(ADDRESS(SumRef!BH65,SumRef!BH$16,,,SumRef!$B$8))))</f>
        <v/>
      </c>
      <c r="S59" s="1104" t="str">
        <f ca="1">IF('A-80 DirEntInv'!S58&lt;&gt;"",'A-80 DirEntInv'!S58,IF(INDIRECT(ADDRESS(SumRef!BI65,SumRef!BI$16,,,SumRef!$B$8))="","",INDIRECT(ADDRESS(SumRef!BI65,SumRef!BI$16,,,SumRef!$B$8))))</f>
        <v/>
      </c>
      <c r="T59" s="1104" t="str">
        <f ca="1">IF('A-80 DirEntInv'!T58&lt;&gt;"",'A-80 DirEntInv'!T58,IF(INDIRECT(ADDRESS(SumRef!BJ65,SumRef!BJ$16,,,SumRef!$B$8))="","",INDIRECT(ADDRESS(SumRef!BJ65,SumRef!BJ$16,,,SumRef!$B$8))))</f>
        <v/>
      </c>
      <c r="U59" s="1104" t="str">
        <f ca="1">IF('A-80 DirEntInv'!U58&lt;&gt;"",'A-80 DirEntInv'!U58,IF(INDIRECT(ADDRESS(SumRef!BK65,SumRef!BK$16,,,SumRef!$B$8))="","",INDIRECT(ADDRESS(SumRef!BK65,SumRef!BK$16,,,SumRef!$B$8))))</f>
        <v/>
      </c>
      <c r="V59" s="1104" t="str">
        <f ca="1">IF('A-80 DirEntInv'!V58&lt;&gt;"",'A-80 DirEntInv'!V58,IF(INDIRECT(ADDRESS(SumRef!BL65,SumRef!BL$16,,,SumRef!$B$8))="","",INDIRECT(ADDRESS(SumRef!BL65,SumRef!BL$16,,,SumRef!$B$8))))</f>
        <v/>
      </c>
      <c r="W59" s="1354" t="str">
        <f ca="1">IF('A-80 DirEntInv'!W58&lt;&gt;"",'A-80 DirEntInv'!W58,IF(INDIRECT(ADDRESS(SumRef!BM65,SumRef!BM$16,,,SumRef!$B$8))="","",INDIRECT(ADDRESS(SumRef!BM65,SumRef!BM$16,,,SumRef!$B$8))))</f>
        <v/>
      </c>
      <c r="X59" s="1203" t="str">
        <f ca="1">IF('A-80 DirEntInv'!X58&lt;&gt;"",'A-80 DirEntInv'!X58,IF(INDIRECT(ADDRESS(SumRef!BN65,SumRef!BN$16,,,SumRef!$B$8))="","",INDIRECT(ADDRESS(SumRef!BN65,SumRef!BN$16,,,SumRef!$B$8))))</f>
        <v/>
      </c>
      <c r="Y59" s="1203" t="str">
        <f ca="1">IF('A-80 DirEntInv'!Y58&lt;&gt;"",'A-80 DirEntInv'!Y58,IF(INDIRECT(ADDRESS(SumRef!BO65,SumRef!BO$16,,,SumRef!$B$8))="","",INDIRECT(ADDRESS(SumRef!BO65,SumRef!BO$16,,,SumRef!$B$8))))</f>
        <v/>
      </c>
      <c r="Z59" s="1104" t="str">
        <f ca="1">IF('A-80 DirEntInv'!Z58&lt;&gt;"",'A-80 DirEntInv'!Z58,IF(INDIRECT(ADDRESS(SumRef!BP65,SumRef!BP$16,,,SumRef!$B$8))="","",INDIRECT(ADDRESS(SumRef!BP65,SumRef!BP$16,,,SumRef!$B$8))))</f>
        <v/>
      </c>
      <c r="AA59" s="1104" t="str">
        <f ca="1">IF('A-80 DirEntInv'!AA58&lt;&gt;"",'A-80 DirEntInv'!AA58,IF(INDIRECT(ADDRESS(SumRef!BQ65,SumRef!BQ$16,,,SumRef!$B$8))="","",INDIRECT(ADDRESS(SumRef!BQ65,SumRef!BQ$16,,,SumRef!$B$8))))</f>
        <v/>
      </c>
      <c r="AB59" s="1106" t="str">
        <f ca="1">IF('A-80 DirEntInv'!AB58&lt;&gt;"",'A-80 DirEntInv'!AB58,IF(INDIRECT(ADDRESS(SumRef!BR65,SumRef!BR$16,,,SumRef!$B$8))="","",INDIRECT(ADDRESS(SumRef!BR65,SumRef!BR$16,,,SumRef!$B$8))))</f>
        <v/>
      </c>
      <c r="AC59" s="1107" t="str">
        <f ca="1">IF('A-80 DirEntInv'!AC58&lt;&gt;"",'A-80 DirEntInv'!AC58,IF(INDIRECT(ADDRESS(SumRef!BS65,SumRef!BS$16,,,SumRef!$B$8))="","",INDIRECT(ADDRESS(SumRef!BS65,SumRef!BS$16,,,SumRef!$B$8))))</f>
        <v/>
      </c>
      <c r="AD59" s="1349" t="str">
        <f ca="1">IF('A-80 DirEntInv'!AD58&lt;&gt;"",'A-80 DirEntInv'!AD58,IF(INDIRECT(ADDRESS(SumRef!BT65,SumRef!BT$16,,,SumRef!$B$8))="","",INDIRECT(ADDRESS(SumRef!BT65,SumRef!BT$16,,,SumRef!$B$8))))</f>
        <v/>
      </c>
      <c r="AE59" s="1137" t="str">
        <f ca="1">IF('A-80 DirEntInv'!AE58&lt;&gt;"",'A-80 DirEntInv'!AE58,IF(INDIRECT(ADDRESS(SumRef!BU65,SumRef!BU$16,,,SumRef!$B$8))="","",INDIRECT(ADDRESS(SumRef!BU65,SumRef!BU$16,,,SumRef!$B$8))))</f>
        <v/>
      </c>
      <c r="AF59" s="1346" t="str">
        <f ca="1">IF('A-80 DirEntInv'!AF58&lt;&gt;"",'A-80 DirEntInv'!AF58,IF(INDIRECT(ADDRESS(SumRef!BV65,SumRef!BV$16,,,SumRef!$B$8))="","",INDIRECT(ADDRESS(SumRef!BV65,SumRef!BV$16,,,SumRef!$B$8))))</f>
        <v/>
      </c>
      <c r="AG59" s="1105" t="str">
        <f ca="1">IF('A-80 DirEntInv'!AG58&lt;&gt;"",'A-80 DirEntInv'!AG58,IF(INDIRECT(ADDRESS(SumRef!BW65,SumRef!BW$16,,,SumRef!$B$8))="","",INDIRECT(ADDRESS(SumRef!BW65,SumRef!BW$16,,,SumRef!$B$8))))</f>
        <v/>
      </c>
      <c r="AH59" s="1357" t="str">
        <f ca="1">IF('A-80 DirEntInv'!AH58&lt;&gt;"",'A-80 DirEntInv'!AH58,IF(INDIRECT(ADDRESS(SumRef!BX65,SumRef!BX$16,,,SumRef!$B$8))="","",INDIRECT(ADDRESS(SumRef!BX65,SumRef!BX$16,,,SumRef!$B$8))))</f>
        <v/>
      </c>
      <c r="AK59" s="1041" t="str">
        <f>Codes!$C$159</f>
        <v>CC - Cable Car (DO)</v>
      </c>
      <c r="AL59" s="1042" t="str">
        <f>Valid!$B$77</f>
        <v>Below-Grade/Cut-and-Cover Tunnel</v>
      </c>
      <c r="AM59" s="1108" t="str">
        <f>IF('A-80 DirEntInv'!AM58&lt;&gt;"",'A-80 DirEntInv'!#REF!,IF(AK59=summaryref2!B18,summaryref2!D18,IF(Summary!AK59=summaryref2!B32,summaryref2!D32,IF(AK59=summaryref2!B46,summaryref2!D46,IF(AK59=summaryref2!B60,summaryref2!D60,IF(AK59=summaryref2!B74,summaryref2!D74,IF(AK59=summaryref2!B88,summaryref2!D88,IF(AK59=summaryref2!B102,summaryref2!D102,IF(AK59=summaryref2!B116,summaryref2!D116,IF(AK59=summaryref2!B130,summaryref2!D130,IF(AK59=summaryref2!B144,summaryref2!D144,"")))))))))))</f>
        <v/>
      </c>
      <c r="AN59" s="1109" t="str">
        <f ca="1">IF('A-80 DirEntInv'!AN58&lt;&gt;"",'A-80 DirEntInv'!AN58,IF(INDIRECT(ADDRESS(SumRef!CG80,SumRef!CG$16,,,SumRef!$C$7))="","",INDIRECT(ADDRESS(SumRef!CG80,SumRef!CG$16,,,SumRef!$C$7))))</f>
        <v>Linear Feet</v>
      </c>
      <c r="AO59" s="1108" t="str">
        <f>IF('A-80 DirEntInv'!AO58&lt;&gt;"",'A-80 DirEntInv'!AO58,IF(AK59=summaryref2!B18,summaryref2!F18,IF(Summary!AK59=summaryref2!B32,summaryref2!F32,IF(AK59=summaryref2!B46,summaryref2!F46,IF(AK59=summaryref2!B60,summaryref2!F60,IF(AK59=summaryref2!B74,summaryref2!F74,IF(AK59=summaryref2!B88,summaryref2!F88,IF(AK59=summaryref2!B102,summaryref2!F102,IF(AK59=summaryref2!B116,summaryref2!F116,IF(AK59=summaryref2!B130,summaryref2!F130,IF(AK59=summaryref2!B144,summaryref2!F144,"")))))))))))</f>
        <v/>
      </c>
      <c r="AP59" s="1109" t="str">
        <f ca="1">IF('A-80 DirEntInv'!AP58&lt;&gt;"",'A-80 DirEntInv'!AP58,IF(INDIRECT(ADDRESS(SumRef!#REF!,SumRef!#REF!,,,SumRef!$C$7))="","",INDIRECT(ADDRESS(SumRef!#REF!,SumRef!#REF!,,,SumRef!$C$7))))</f>
        <v>Track Feet</v>
      </c>
      <c r="AQ59" s="1147" t="str">
        <f>IF('A-80 DirEntInv'!AQ58&lt;&gt;"",'A-80 DirEntInv'!AQ58,IF(AK59=summaryref2!B18,summaryref2!G18,IF(Summary!AK59=summaryref2!B32,summaryref2!G32,IF(AK59=summaryref2!B46,summaryref2!G46,IF(AK59=summaryref2!B60,summaryref2!G60,IF(AK59=summaryref2!B74,summaryref2!G74,IF(AK59=summaryref2!B88,summaryref2!G88,IF(AK59=summaryref2!B102,summaryref2!G102,IF(AK59=summaryref2!B116,summaryref2!G116,IF(AK59=summaryref2!B130,summaryref2!G130,IF(AK59=summaryref2!B144,summaryref2!G144,"")))))))))))</f>
        <v/>
      </c>
      <c r="AR59" s="1147" t="str">
        <f>IF('A-80 DirEntInv'!AR58&lt;&gt;"",'A-80 DirEntInv'!AR58,IF(AK59=summaryref2!B18,summaryref2!H18,IF(Summary!AK59=summaryref2!B32,summaryref2!H32,IF(AK59=summaryref2!B46,summaryref2!H46,IF(AK59=summaryref2!B60,summaryref2!H60,IF(AK59=summaryref2!B74,summaryref2!H74,IF(AK59=summaryref2!B88,summaryref2!H88,IF(AK59=summaryref2!B102,summaryref2!H102,IF(AK59=summaryref2!B116,summaryref2!H116,IF(AK59=summaryref2!B130,summaryref2!H130,IF(AK59=summaryref2!B144,summaryref2!H144,"")))))))))))</f>
        <v/>
      </c>
      <c r="AS59" s="1110" t="str">
        <f>IF('A-80 DirEntInv'!AS58&lt;&gt;"",'A-80 DirEntInv'!AS58,IF(AK59=summaryref2!B18,summaryref2!I18,IF(Summary!AK59=summaryref2!B32,summaryref2!I32,IF(AK59=summaryref2!B46,summaryref2!I46,IF(AK59=summaryref2!B60,summaryref2!I60,IF(AK59=summaryref2!B74,summaryref2!I74,IF(AK59=summaryref2!B88,summaryref2!I88,IF(AK59=summaryref2!B102,summaryref2!I102,IF(AK59=summaryref2!B116,summaryref2!I116,IF(AK59=summaryref2!B130,summaryref2!I130,IF(AK59=summaryref2!B144,summaryref2!I144,"")))))))))))</f>
        <v/>
      </c>
      <c r="AT59" s="1110" t="str">
        <f>IF('A-80 DirEntInv'!AT58&lt;&gt;"",'A-80 DirEntInv'!AT58,IF(AK59=summaryref2!B18,summaryref2!J18,IF(Summary!AK59=summaryref2!B32,summaryref2!J32,IF(AK59=summaryref2!B46,summaryref2!J46,IF(AK59=summaryref2!B60,summaryref2!J60,IF(AK59=summaryref2!B74,summaryref2!J74,IF(AK59=summaryref2!B88,summaryref2!J88,IF(AK59=summaryref2!B102,summaryref2!J102,IF(AK59=summaryref2!B116,summaryref2!J116,IF(AK59=summaryref2!B130,summaryref2!J130,IF(AK59=summaryref2!B144,summaryref2!J144,"")))))))))))</f>
        <v/>
      </c>
      <c r="AU59" s="1110" t="str">
        <f>IF('A-80 DirEntInv'!AU58&lt;&gt;"",'A-80 DirEntInv'!AU58,IF(AK59=summaryref2!B18,summaryref2!K18,IF(Summary!AK59=summaryref2!B32,summaryref2!K32,IF(AK59=summaryref2!B46,summaryref2!K46,IF(AK59=summaryref2!B60,summaryref2!K60,IF(AK59=summaryref2!B74,summaryref2!K74,IF(AK59=summaryref2!B88,summaryref2!K88,IF(AK59=summaryref2!B102,summaryref2!K102,IF(AK59=summaryref2!B116,summaryref2!K116,IF(AK59=summaryref2!B130,summaryref2!K130,IF(AK59=summaryref2!B144,summaryref2!K144,"")))))))))))</f>
        <v/>
      </c>
      <c r="AV59" s="1110" t="str">
        <f>IF('A-80 DirEntInv'!AV58&lt;&gt;"",'A-80 DirEntInv'!AV58,IF(AK59=summaryref2!B18,summaryref2!L18,IF(Summary!AK59=summaryref2!B32,summaryref2!L32,IF(AK59=summaryref2!B46,summaryref2!L46,IF(AK59=summaryref2!B60,summaryref2!L60,IF(AK59=summaryref2!B74,summaryref2!L74,IF(AK59=summaryref2!B88,summaryref2!L88,IF(AK59=summaryref2!B102,summaryref2!L102,IF(AK59=summaryref2!B116,summaryref2!L116,IF(AK59=summaryref2!B130,summaryref2!L130,IF(AK59=summaryref2!B144,summaryref2!L144,"")))))))))))</f>
        <v/>
      </c>
      <c r="AW59" s="1110" t="str">
        <f>IF('A-80 DirEntInv'!AW58&lt;&gt;"",'A-80 DirEntInv'!AW58,IF(AK59=summaryref2!B18,summaryref2!M18,IF(Summary!AK59=summaryref2!B32,summaryref2!M32,IF(AK59=summaryref2!B46,summaryref2!M46,IF(AK59=summaryref2!B60,summaryref2!M60,IF(AK59=summaryref2!B74,summaryref2!M74,IF(AK59=summaryref2!B88,summaryref2!M88,IF(AK59=summaryref2!B102,summaryref2!M102,IF(AK59=summaryref2!B116,summaryref2!M116,IF(AK59=summaryref2!B130,summaryref2!M130,IF(AK59=summaryref2!B144,summaryref2!M144,"")))))))))))</f>
        <v/>
      </c>
      <c r="AX59" s="1110" t="str">
        <f>IF('A-80 DirEntInv'!AX58&lt;&gt;"",'A-80 DirEntInv'!AX58,IF(AK59=summaryref2!B18,summaryref2!N18,IF(Summary!AK59=summaryref2!B32,summaryref2!N32,IF(AK59=summaryref2!B46,summaryref2!N46,IF(AK59=summaryref2!B60,summaryref2!N60,IF(AK59=summaryref2!B74,summaryref2!N74,IF(AK59=summaryref2!B88,summaryref2!N88,IF(AK59=summaryref2!B102,summaryref2!N102,IF(AK59=summaryref2!B116,summaryref2!N116,IF(AK59=summaryref2!B130,summaryref2!N130,IF(AK59=summaryref2!B144,summaryref2!N144,"")))))))))))</f>
        <v/>
      </c>
      <c r="AY59" s="1110" t="str">
        <f>IF('A-80 DirEntInv'!AY58&lt;&gt;"",'A-80 DirEntInv'!AY58,IF(AK59=summaryref2!B18,summaryref2!O18,IF(Summary!AK59=summaryref2!B32,summaryref2!O32,IF(AK59=summaryref2!B46,summaryref2!O46,IF(AK59=summaryref2!B60,summaryref2!O60,IF(AK59=summaryref2!B74,summaryref2!O74,IF(AK59=summaryref2!B88,summaryref2!O88,IF(AK59=summaryref2!B102,summaryref2!O102,IF(AK59=summaryref2!B116,summaryref2!O116,IF(AK59=summaryref2!B130,summaryref2!O130,IF(AK59=summaryref2!B144,summaryref2!O144,"")))))))))))</f>
        <v/>
      </c>
      <c r="AZ59" s="1110" t="str">
        <f>IF('A-80 DirEntInv'!AZ58&lt;&gt;"",'A-80 DirEntInv'!AZ58,IF(AK59=summaryref2!B18,summaryref2!P18,IF(Summary!AK59=summaryref2!B32,summaryref2!P32,IF(AK59=summaryref2!B46,summaryref2!P46,IF(AK59=summaryref2!B60,summaryref2!P60,IF(AK59=summaryref2!B74,summaryref2!P74,IF(AK59=summaryref2!B88,summaryref2!P88,IF(AK59=summaryref2!B102,summaryref2!P102,IF(AK59=summaryref2!B116,summaryref2!P116,IF(AK59=summaryref2!B130,summaryref2!P130,IF(AK59=summaryref2!B144,summaryref2!P144,"")))))))))))</f>
        <v/>
      </c>
      <c r="BA59" s="1110" t="str">
        <f>IF('A-80 DirEntInv'!BA58&lt;&gt;"",'A-80 DirEntInv'!BA58,IF(AK59=summaryref2!B18,summaryref2!Q18,IF(Summary!AK59=summaryref2!B32,summaryref2!Q32,IF(AK59=summaryref2!B46,summaryref2!Q46,IF(AK59=summaryref2!B60,summaryref2!Q60,IF(AK59=summaryref2!B74,summaryref2!Q74,IF(AK59=summaryref2!B88,summaryref2!Q88,IF(AK59=summaryref2!B102,summaryref2!Q102,IF(AK59=summaryref2!B116,summaryref2!Q116,IF(AK59=summaryref2!B130,summaryref2!Q130,IF(AK59=summaryref2!B144,summaryref2!Q144,"")))))))))))</f>
        <v/>
      </c>
      <c r="BB59" s="1110" t="str">
        <f>IF('A-80 DirEntInv'!BB58&lt;&gt;"",'A-80 DirEntInv'!BB58,IF(AK59=summaryref2!B18,summaryref2!R18,IF(Summary!AK59=summaryref2!B32,summaryref2!R32,IF(AK59=summaryref2!B46,summaryref2!R46,IF(AK59=summaryref2!B60,summaryref2!R60,IF(AK59=summaryref2!B74,summaryref2!R74,IF(AK59=summaryref2!B88,summaryref2!R88,IF(AK59=summaryref2!B102,summaryref2!R102,IF(AK59=summaryref2!B116,summaryref2!R116,IF(AK59=summaryref2!B130,summaryref2!R130,IF(AK59=summaryref2!B144,summaryref2!R144,"")))))))))))</f>
        <v/>
      </c>
      <c r="BC59" s="1110" t="str">
        <f>IF('A-80 DirEntInv'!BC58&lt;&gt;0,'A-80 DirEntInv'!BC58,IF(AK59=summaryref2!B18,summaryref2!S18,IF(Summary!AK59=summaryref2!B32,summaryref2!S32,IF(AK59=summaryref2!B46,summaryref2!S46,IF(AK59=summaryref2!B60,summaryref2!S60,IF(AK59=summaryref2!B74,summaryref2!S74,IF(AK59=summaryref2!B88,summaryref2!S88,IF(AK59=summaryref2!B102,summaryref2!S102,IF(AK59=summaryref2!B116,summaryref2!S116,IF(AK59=summaryref2!B130,summaryref2!S130,IF(AK59=summaryref2!B144,summaryref2!S144,"")))))))))))</f>
        <v/>
      </c>
      <c r="BD59" s="1111" t="str">
        <f>IF('A-80 DirEntInv'!BD58&lt;&gt;"",'A-80 DirEntInv'!BD58,IF(AK59=summaryref2!B18,summaryref2!T18,IF(Summary!AK59=summaryref2!B32,summaryref2!T32,IF(AK59=summaryref2!B46,summaryref2!T46,IF(AK59=summaryref2!B60,summaryref2!T60,IF(AK59=summaryref2!B74,summaryref2!T74,IF(AK59=summaryref2!B88,summaryref2!T88,IF(AK59=summaryref2!B102,summaryref2!T102,IF(AK59=summaryref2!B116,summaryref2!T116,IF(AK59=summaryref2!B130,summaryref2!T130,IF(AK59=summaryref2!B144,summaryref2!T144,"")))))))))))</f>
        <v/>
      </c>
      <c r="BE59" s="1184" t="str">
        <f>IF('A-80 DirEntInv'!BE58&lt;&gt;"",'A-80 DirEntInv'!BE58,IF(AK59=summaryref2!B18,summaryref2!U18,IF(Summary!AK59=summaryref2!B32,summaryref2!U32,IF(AK59=summaryref2!B46,summaryref2!U46,IF(AK59=summaryref2!B60,summaryref2!U60,IF(AK59=summaryref2!B74,summaryref2!U74,IF(AK59=summaryref2!B88,summaryref2!U88,IF(AK59=summaryref2!B102,summaryref2!U102,IF(AK59=summaryref2!B116,summaryref2!U116,IF(AK59=summaryref2!B130,summaryref2!U130,IF(AK59=summaryref2!B144,summaryref2!U144,"")))))))))))</f>
        <v/>
      </c>
      <c r="BF59" s="1432"/>
      <c r="BG59" s="1432"/>
      <c r="BJ59" s="1047" t="str">
        <f>Codes!$C$162</f>
        <v>CR - Commuter Rail (PT)</v>
      </c>
      <c r="BK59" s="1050" t="str">
        <f>Valid!$B$86</f>
        <v>Grade Crossings</v>
      </c>
      <c r="BL59" s="1369" t="str">
        <f>IF('A-80 DirEntInv'!BL58&lt;&gt;"",'A-80 DirEntInv'!BL58,IF(BJ59=summaryref2!X18,summaryref2!Z18,IF(BJ59=summaryref2!X25,summaryref2!Z25,IF(BJ59=summaryref2!X32,summaryref2!Z32,IF(BJ59=summaryref2!X39,summaryref2!Z39,IF(BJ59=summaryref2!X46,summaryref2!Z46,IF(BJ59=summaryref2!X53,summaryref2!Z53,IF(BJ59=summaryref2!X60,summaryref2!Z60,IF(BJ59=summaryref2!X67,summaryref2!Z67,IF(BJ59=summaryref2!X74,summaryref2!Z74,IF(BJ59=summaryref2!X81,summaryref2!Z81,"")))))))))))</f>
        <v/>
      </c>
      <c r="BM59" s="1050" t="str">
        <f>VLOOKUP(BK59,Valid!$B$80:$C$86,2,FALSE)</f>
        <v>Each</v>
      </c>
      <c r="BN59" s="1210" t="str">
        <f>IF('A-80 DirEntInv'!BN58&lt;&gt;"",'A-80 DirEntInv'!BN58,IF(BJ59=summaryref2!X18,summaryref2!AB18,IF(BJ59=summaryref2!X25,summaryref2!AB25,IF(BJ59=summaryref2!X32,summaryref2!AB32,IF(BJ59=summaryref2!X39,summaryref2!AB39,IF(BJ59=summaryref2!X46,summaryref2!AB46,IF(BJ59=summaryref2!X53,summaryref2!AB53,IF(BJ59=summaryref2!X60,summaryref2!AB60,IF(BJ59=summaryref2!X67,summaryref2!AB67,IF(BJ59=summaryref2!X74,summaryref2!AB74,IF(BJ59=summaryref2!X81,summaryref2!AB81,"")))))))))))</f>
        <v/>
      </c>
      <c r="BO59" s="1117" t="str">
        <f>IF('A-80 DirEntInv'!BO58&lt;&gt;"",'A-80 DirEntInv'!BO58,IF(BJ59=summaryref2!X18,summaryref2!AC18,IF(BJ59=summaryref2!X25,summaryref2!AC25,IF(BJ59=summaryref2!X32,summaryref2!AC32,IF(BJ59=summaryref2!X39,summaryref2!AC39,IF(BJ59=summaryref2!X46,summaryref2!AC46,IF(BJ59=summaryref2!X53,summaryref2!AC53,IF(BJ59=summaryref2!X60,summaryref2!AC60,IF(BJ59=summaryref2!X67,summaryref2!AC67,IF(BJ59=summaryref2!X74,summaryref2!AC74,IF(BJ59=summaryref2!X81,summaryref2!AC81,"")))))))))))</f>
        <v/>
      </c>
      <c r="BP59" s="1321" t="str">
        <f>IF('A-80 DirEntInv'!BP58&lt;&gt;"",'A-80 DirEntInv'!BP58,IF(BJ59=summaryref2!X18,summaryref2!AD18,IF(BJ59=summaryref2!X25,summaryref2!AD25,IF(BJ59=summaryref2!X32,summaryref2!AD32,IF(BJ59=summaryref2!X39,summaryref2!AD39,IF(BJ59=summaryref2!X46,summaryref2!AD46,IF(BJ59=summaryref2!X53,summaryref2!AD53,IF(BJ59=summaryref2!X60,summaryref2!AD60,IF(BJ59=summaryref2!X67,summaryref2!AD67,IF(BJ59=summaryref2!X74,summaryref2!AD74,IF(BJ59=summaryref2!X81,summaryref2!AD81,"")))))))))))</f>
        <v/>
      </c>
      <c r="BS59" s="1472" t="str">
        <f ca="1">IF('A-80 DirEntInv'!BU58&lt;&gt;"",'A-80 DirEntInv'!BU58,IF(INDIRECT(ADDRESS(SumRef!DK65,SumRef!DK$16,,,SumRef!$E$6))="","",INDIRECT(ADDRESS(SumRef!DK65,SumRef!DK$16,,,SumRef!$E$6))))</f>
        <v/>
      </c>
      <c r="BT59" s="1458" t="str">
        <f ca="1">IF('A-80 DirEntInv'!BV58&lt;&gt;"",'A-80 DirEntInv'!BV58,IF(INDIRECT(ADDRESS(SumRef!DL65,SumRef!DL$16,,,SumRef!$E$6))="","",INDIRECT(ADDRESS(SumRef!DL65,SumRef!DL$16,,,SumRef!$E$6))))</f>
        <v/>
      </c>
      <c r="BU59" s="1177" t="str">
        <f ca="1">IF('A-80 DirEntInv'!BW58&lt;&gt;"",'A-80 DirEntInv'!BW58,IF(INDIRECT(ADDRESS(SumRef!DM65,SumRef!DM$16,,,SumRef!$E$6))="","",INDIRECT(ADDRESS(SumRef!DM65,SumRef!DM$16,,,SumRef!$E$6))))</f>
        <v/>
      </c>
      <c r="BV59" s="1460" t="str">
        <f ca="1">IF('A-80 DirEntInv'!BX58&lt;&gt;"",'A-80 DirEntInv'!BX58,IF(INDIRECT(ADDRESS(SumRef!DN65,SumRef!DN$16,,,SumRef!$E$6))="","",INDIRECT(ADDRESS(SumRef!DN65,SumRef!DN$16,,,SumRef!$E$6))))</f>
        <v/>
      </c>
      <c r="BW59" s="1460" t="str">
        <f ca="1">IF('A-80 DirEntInv'!BY58&lt;&gt;"",'A-80 DirEntInv'!BY58,IF(INDIRECT(ADDRESS(SumRef!DO65,SumRef!DO$16,,,SumRef!$E$6))="","",INDIRECT(ADDRESS(SumRef!DO65,SumRef!DO$16,,,SumRef!$E$6))))</f>
        <v/>
      </c>
      <c r="BX59" s="1116" t="str">
        <f ca="1">IF('A-80 DirEntInv'!BZ58&lt;&gt;"",'A-80 DirEntInv'!BZ58,IF(INDIRECT(ADDRESS(SumRef!DP65,SumRef!DP$16,,,SumRef!$E$6))="","",INDIRECT(ADDRESS(SumRef!DP65,SumRef!DP$16,,,SumRef!$E$6))))</f>
        <v/>
      </c>
      <c r="BY59" s="1461" t="str">
        <f ca="1">IF('A-80 DirEntInv'!CA58&lt;&gt;"",'A-80 DirEntInv'!CA58,IF(INDIRECT(ADDRESS(SumRef!DQ65,SumRef!DQ$16,,,SumRef!$E$6))="","",INDIRECT(ADDRESS(SumRef!DQ65,SumRef!DQ$16,,,SumRef!$E$6))))</f>
        <v/>
      </c>
      <c r="BZ59" s="1460" t="str">
        <f ca="1">IF('A-80 DirEntInv'!CB58&lt;&gt;"",'A-80 DirEntInv'!CB58,IF(INDIRECT(ADDRESS(SumRef!DR65,SumRef!DR$16,,,SumRef!$E$6))="","",INDIRECT(ADDRESS(SumRef!DR65,SumRef!DR$16,,,SumRef!$E$6))))</f>
        <v/>
      </c>
      <c r="CA59" s="1462" t="str">
        <f ca="1">IF('A-80 DirEntInv'!CC58&lt;&gt;"",'A-80 DirEntInv'!CC58,IF(INDIRECT(ADDRESS(SumRef!DS65,SumRef!DS$16,,,SumRef!$E$6))="","",INDIRECT(ADDRESS(SumRef!DS65,SumRef!DS$16,,,SumRef!$E$6))))</f>
        <v/>
      </c>
      <c r="CD59" s="1160" t="str">
        <f ca="1">IF('A-80 DirEntInv'!CF58&lt;&gt;"",'A-80 DirEntInv'!CF58,IF(INDIRECT(ADDRESS(SumRef!DV65,SumRef!DV$16,,,SumRef!$E$7))="","",INDIRECT(ADDRESS(SumRef!DV65,SumRef!DV$16,,,SumRef!$E$7))))</f>
        <v/>
      </c>
      <c r="CE59" s="1167" t="str">
        <f ca="1">IF('A-80 DirEntInv'!CG58&lt;&gt;"",'A-80 DirEntInv'!CG58,IF(INDIRECT(ADDRESS(SumRef!DW65,SumRef!DW$16,,,SumRef!$E$7))="","",INDIRECT(ADDRESS(SumRef!DW65,SumRef!DW$16,,,SumRef!$E$7))))</f>
        <v/>
      </c>
      <c r="CF59" s="1167" t="str">
        <f ca="1">IF('A-80 DirEntInv'!CH58&lt;&gt;"",'A-80 DirEntInv'!CH58,IF(INDIRECT(ADDRESS(SumRef!DX65,SumRef!DX$16,,,SumRef!$E$7))="","",INDIRECT(ADDRESS(SumRef!DX65,SumRef!DX$16,,,SumRef!$E$7))))</f>
        <v/>
      </c>
      <c r="CG59" s="1167" t="str">
        <f ca="1">IF('A-80 DirEntInv'!CI58&lt;&gt;"",'A-80 DirEntInv'!CI58,IF(INDIRECT(ADDRESS(SumRef!DY65,SumRef!DY$16,,,SumRef!$E$7))="","",INDIRECT(ADDRESS(SumRef!DY65,SumRef!DY$16,,,SumRef!$E$7))))</f>
        <v/>
      </c>
      <c r="CH59" s="1167" t="str">
        <f ca="1">IF('A-80 DirEntInv'!CJ58&lt;&gt;"",'A-80 DirEntInv'!CJ58,IF(INDIRECT(ADDRESS(SumRef!DZ65,SumRef!DZ$16,,,SumRef!$E$7))="","",INDIRECT(ADDRESS(SumRef!DZ65,SumRef!DZ$16,,,SumRef!$E$7))))</f>
        <v/>
      </c>
      <c r="CI59" s="1167" t="str">
        <f ca="1">IF('A-80 DirEntInv'!CK58&lt;&gt;"",'A-80 DirEntInv'!CK58,IF(INDIRECT(ADDRESS(SumRef!EA65,SumRef!EA$16,,,SumRef!$E$7))="","",INDIRECT(ADDRESS(SumRef!EA65,SumRef!EA$16,,,SumRef!$E$7))))</f>
        <v/>
      </c>
      <c r="CJ59" s="1114" t="str">
        <f ca="1">IF('A-80 DirEntInv'!CL58&lt;&gt;"",'A-80 DirEntInv'!CL58,IF(INDIRECT(ADDRESS(SumRef!EB65,SumRef!EB$16,,,SumRef!$E$7))="","",INDIRECT(ADDRESS(SumRef!EB65,SumRef!EB$16,,,SumRef!$E$7))))</f>
        <v/>
      </c>
      <c r="CK59" s="1114" t="str">
        <f ca="1">IF('A-80 DirEntInv'!CM58&lt;&gt;"",'A-80 DirEntInv'!CM58,IF(INDIRECT(ADDRESS(SumRef!EC65,SumRef!EC$16,,,SumRef!$E$7))="","",INDIRECT(ADDRESS(SumRef!EC65,SumRef!EC$16,,,SumRef!$E$7))))</f>
        <v/>
      </c>
      <c r="CL59" s="1113" t="str">
        <f ca="1">IF('A-80 DirEntInv'!CO58&lt;&gt;"",'A-80 DirEntInv'!CO58,IF(INDIRECT(ADDRESS(SumRef!ED65,SumRef!ED$16,,,SumRef!$E$7))="","",INDIRECT(ADDRESS(SumRef!ED65,SumRef!ED$16,,,SumRef!$E$7))))</f>
        <v/>
      </c>
      <c r="CM59" s="1114" t="str">
        <f ca="1">IF('A-80 DirEntInv'!CP58&lt;&gt;"",'A-80 DirEntInv'!CP58,IF(INDIRECT(ADDRESS(SumRef!EE65,SumRef!EE$16,,,SumRef!$E$7))="","",INDIRECT(ADDRESS(SumRef!EE65,SumRef!EE$16,,,SumRef!$E$7))))</f>
        <v/>
      </c>
      <c r="CN59" s="1114" t="str">
        <f ca="1">IF('A-80 DirEntInv'!CQ58&lt;&gt;"",'A-80 DirEntInv'!CQ58,IF(INDIRECT(ADDRESS(SumRef!EF65,SumRef!EF$16,,,SumRef!$E$7))="","",INDIRECT(ADDRESS(SumRef!EF65,SumRef!EF$16,,,SumRef!$E$7))))</f>
        <v/>
      </c>
      <c r="CO59" s="1113" t="str">
        <f ca="1">IF('A-80 DirEntInv'!CR58&lt;&gt;"",'A-80 DirEntInv'!CR58,IF(INDIRECT(ADDRESS(SumRef!EG65,SumRef!EG$16,,,SumRef!$E$7))="","",INDIRECT(ADDRESS(SumRef!EG65,SumRef!EG$16,,,SumRef!$E$7))))</f>
        <v/>
      </c>
      <c r="CP59" s="1114" t="str">
        <f ca="1">IF('A-80 DirEntInv'!CS58&lt;&gt;"",'A-80 DirEntInv'!CS58,IF(INDIRECT(ADDRESS(SumRef!EH65,SumRef!EH$16,,,SumRef!$E$7))="","",INDIRECT(ADDRESS(SumRef!EH65,SumRef!EH$16,,,SumRef!$E$7))))</f>
        <v/>
      </c>
      <c r="CQ59" s="1346" t="str">
        <f ca="1">IF('A-80 DirEntInv'!CT58&lt;&gt;"",'A-80 DirEntInv'!CT58,IF(INDIRECT(ADDRESS(SumRef!EI65,SumRef!EI$16,,,SumRef!$E$7))="","",INDIRECT(ADDRESS(SumRef!EI65,SumRef!EI$16,,,SumRef!$E$7))))</f>
        <v/>
      </c>
      <c r="CR59" s="1113" t="str">
        <f ca="1">IF('A-80 DirEntInv'!CU58&lt;&gt;"",'A-80 DirEntInv'!CU58,IF(INDIRECT(ADDRESS(SumRef!EJ65,SumRef!EJ$16,,,SumRef!$E$7))="","",INDIRECT(ADDRESS(SumRef!EJ65,SumRef!EJ$16,,,SumRef!$E$7))))</f>
        <v/>
      </c>
      <c r="CS59" s="1346" t="str">
        <f ca="1">IF('A-80 DirEntInv'!CV58&lt;&gt;"",'A-80 DirEntInv'!CV58,IF(INDIRECT(ADDRESS(SumRef!EM65,SumRef!EM$16,,,SumRef!$E$7))="","",INDIRECT(ADDRESS(SumRef!EM65,SumRef!EM$16,,,SumRef!$E$7))))</f>
        <v/>
      </c>
      <c r="CT59" s="1113" t="str">
        <f ca="1">IF('A-80 DirEntInv'!CW58&lt;&gt;"",'A-80 DirEntInv'!CW58,IF(INDIRECT(ADDRESS(SumRef!EN65,SumRef!EN$16,,,SumRef!$E$7))="","",INDIRECT(ADDRESS(SumRef!EN65,SumRef!EN$16,,,SumRef!$E$7))))</f>
        <v/>
      </c>
      <c r="CU59" s="1113" t="str">
        <f ca="1">IF('A-80 DirEntInv'!CX58&lt;&gt;"",'A-80 DirEntInv'!CX58,IF(INDIRECT(ADDRESS(SumRef!EO65,SumRef!EO$16,,,SumRef!$E$7))="","",INDIRECT(ADDRESS(SumRef!EO65,SumRef!EO$16,,,SumRef!$E$7))))</f>
        <v/>
      </c>
      <c r="CV59" s="1113" t="str">
        <f ca="1">IF('A-80 DirEntInv'!CY58&lt;&gt;"",'A-80 DirEntInv'!CY58,IF(INDIRECT(ADDRESS(SumRef!EP65,SumRef!EP$16,,,SumRef!$E$7))="","",INDIRECT(ADDRESS(SumRef!EP65,SumRef!EP$16,,,SumRef!$E$7))))</f>
        <v/>
      </c>
      <c r="CW59" s="1114" t="str">
        <f ca="1">IF('A-80 DirEntInv'!CZ58&lt;&gt;"",'A-80 DirEntInv'!CZ58,IF(INDIRECT(ADDRESS(SumRef!ES65,SumRef!ES$16,,,SumRef!$E$7))="","",INDIRECT(ADDRESS(SumRef!ES65,SumRef!ES$16,,,SumRef!$E$7))))</f>
        <v/>
      </c>
      <c r="CX59" s="1167" t="str">
        <f ca="1">IF('A-80 DirEntInv'!DA58&lt;&gt;"",'A-80 DirEntInv'!DA58,IF(INDIRECT(ADDRESS(SumRef!ET65,SumRef!ET$16,,,SumRef!$E$7))="","",INDIRECT(ADDRESS(SumRef!ET65,SumRef!ET$16,,,SumRef!$E$7))))</f>
        <v/>
      </c>
      <c r="CY59" s="1167" t="str">
        <f ca="1">IF('A-80 DirEntInv'!DB58&lt;&gt;"",'A-80 DirEntInv'!DB58,IF(INDIRECT(ADDRESS(SumRef!EU65,SumRef!EU$16,,,SumRef!$E$7))="","",INDIRECT(ADDRESS(SumRef!EU65,SumRef!EU$16,,,SumRef!$E$7))))</f>
        <v/>
      </c>
      <c r="CZ59" s="1167" t="b">
        <f ca="1">IF('A-80 DirEntInv'!DC58&lt;&gt;"",'A-80 DirEntInv'!DC58,IF(INDIRECT(ADDRESS(SumRef!EV65,SumRef!EV$16,,,SumRef!$E$7))="","",INDIRECT(ADDRESS(SumRef!EV65,SumRef!EV$16,,,SumRef!$E$7))))</f>
        <v>0</v>
      </c>
      <c r="DA59" s="1373" t="str">
        <f ca="1">IF('A-80 DirEntInv'!DD58&lt;&gt;"",'A-80 DirEntInv'!DD58,IF(INDIRECT(ADDRESS(SumRef!EW65,SumRef!EW$16,,,SumRef!$E$7))="","",INDIRECT(ADDRESS(SumRef!EW65,SumRef!EW$16,,,SumRef!$E$7))))</f>
        <v/>
      </c>
      <c r="DB59" s="1373" t="b">
        <f ca="1">IF('A-80 DirEntInv'!DE58&lt;&gt;"",'A-80 DirEntInv'!DE58,IF(INDIRECT(ADDRESS(SumRef!EX65,SumRef!EX$16,,,SumRef!$E$7))="","",INDIRECT(ADDRESS(SumRef!EX65,SumRef!EX$16,,,SumRef!$E$7))))</f>
        <v>0</v>
      </c>
      <c r="DC59" s="1114" t="b">
        <f ca="1">IF('A-80 DirEntInv'!DF58&lt;&gt;"",'A-80 DirEntInv'!DF58,IF(INDIRECT(ADDRESS(SumRef!EY65,SumRef!EY$16,,,SumRef!$E$7))="","",INDIRECT(ADDRESS(SumRef!EY65,SumRef!EY$16,,,SumRef!$E$7))))</f>
        <v>0</v>
      </c>
      <c r="DD59" s="1115" t="str">
        <f ca="1">IF('A-80 DirEntInv'!DG58&lt;&gt;"",'A-80 DirEntInv'!DG58,IF(INDIRECT(ADDRESS(SumRef!EZ65,SumRef!EZ$16,,,SumRef!$E$7))="","",INDIRECT(ADDRESS(SumRef!EZ65,SumRef!EZ$16,,,SumRef!$E$7))))</f>
        <v/>
      </c>
    </row>
    <row r="60" spans="1:108" s="588" customFormat="1" x14ac:dyDescent="0.2">
      <c r="A60" s="589">
        <f t="shared" si="0"/>
        <v>50</v>
      </c>
      <c r="B60" s="1155" t="str">
        <f ca="1">IF('A-80 DirEntInv'!B59&lt;&gt;"",'A-80 DirEntInv'!B59,IF(INDIRECT(ADDRESS(SumRef!AQ66,SumRef!AQ$16,,,SumRef!$B$7))="","",INDIRECT(ADDRESS(SumRef!AQ66,SumRef!AQ$16,,,SumRef!$B$7))))</f>
        <v/>
      </c>
      <c r="C60" s="1097" t="str">
        <f ca="1">IF('A-80 DirEntInv'!C59&lt;&gt;"",'A-80 DirEntInv'!C59,IF(INDIRECT(ADDRESS(SumRef!AR66,SumRef!AR$16,,,SumRef!$B$7))="","",INDIRECT(ADDRESS(SumRef!AR66,SumRef!AR$16,,,SumRef!$B$7))))</f>
        <v/>
      </c>
      <c r="D60" s="1097" t="str">
        <f ca="1">IF('A-80 DirEntInv'!D59&lt;&gt;"",'A-80 DirEntInv'!D59,IF(INDIRECT(ADDRESS(SumRef!AS66,SumRef!AS$16,,,SumRef!$B$7))="","",INDIRECT(ADDRESS(SumRef!AS66,SumRef!AS$16,,,SumRef!$B$7))))</f>
        <v/>
      </c>
      <c r="E60" s="1097" t="str">
        <f ca="1">IF('A-80 DirEntInv'!E59&lt;&gt;"",'A-80 DirEntInv'!E59,IF(INDIRECT(ADDRESS(SumRef!AT66,SumRef!AT$16,,,SumRef!$B$7))="","",INDIRECT(ADDRESS(SumRef!AT66,SumRef!AT$16,,,SumRef!$B$7))))</f>
        <v/>
      </c>
      <c r="F60" s="1097" t="str">
        <f ca="1">IF('A-80 DirEntInv'!F59&lt;&gt;"",'A-80 DirEntInv'!F59,IF(INDIRECT(ADDRESS(SumRef!AU66,SumRef!AU$16,,,SumRef!$B$7))="","",INDIRECT(ADDRESS(SumRef!AU66,SumRef!AU$16,,,SumRef!$B$7))))</f>
        <v/>
      </c>
      <c r="G60" s="1158" t="str">
        <f ca="1">IF('A-80 DirEntInv'!G59&lt;&gt;"",'A-80 DirEntInv'!G59,IF(INDIRECT(ADDRESS(SumRef!AV66,SumRef!AV$16,,,SumRef!$B$7))="","",INDIRECT(ADDRESS(SumRef!AV66,SumRef!AV$16,,,SumRef!$B$7))))</f>
        <v/>
      </c>
      <c r="H60" s="1097" t="str">
        <f ca="1">IF('A-80 DirEntInv'!H59&lt;&gt;"",'A-80 DirEntInv'!H59,IF(INDIRECT(ADDRESS(SumRef!AW66,SumRef!AW$16,,,SumRef!$B$7))="","",INDIRECT(ADDRESS(SumRef!AW66,SumRef!AW$16,,,SumRef!$B$7))))</f>
        <v/>
      </c>
      <c r="I60" s="1097" t="str">
        <f ca="1">IF('A-80 DirEntInv'!I59&lt;&gt;"",'A-80 DirEntInv'!I59,IF(INDIRECT(ADDRESS(SumRef!AX66,SumRef!AX$16,,,SumRef!$B$7))="","",INDIRECT(ADDRESS(SumRef!AX66,SumRef!AX$16,,,SumRef!$B$7))))</f>
        <v/>
      </c>
      <c r="J60" s="1098" t="str">
        <f ca="1">IF('A-80 DirEntInv'!J59&lt;&gt;"",'A-80 DirEntInv'!J59,IF(INDIRECT(ADDRESS(SumRef!AY66,SumRef!AY$16,,,SumRef!$B$7))="","",INDIRECT(ADDRESS(SumRef!AY66,SumRef!AY$16,,,SumRef!$B$7))))</f>
        <v/>
      </c>
      <c r="K60" s="1099" t="str">
        <f ca="1">IF('A-80 DirEntInv'!K59&lt;&gt;"",'A-80 DirEntInv'!K59,IF(INDIRECT(ADDRESS(SumRef!AZ66,SumRef!AZ$16,,,SumRef!$B$7))="","",INDIRECT(ADDRESS(SumRef!AZ66,SumRef!AZ$16,,,SumRef!$B$7))))</f>
        <v/>
      </c>
      <c r="L60" s="1100" t="str">
        <f ca="1">IF('A-80 DirEntInv'!L59&lt;&gt;"",'A-80 DirEntInv'!L59,IF(INDIRECT(ADDRESS(SumRef!BA66,SumRef!BA$16,,,SumRef!$B$7))="","",INDIRECT(ADDRESS(SumRef!BA66,SumRef!BA$16,,,SumRef!$B$7))))</f>
        <v/>
      </c>
      <c r="M60" s="1101" t="str">
        <f ca="1">IF('A-80 DirEntInv'!M59&lt;&gt;"",'A-80 DirEntInv'!M59,IF(INDIRECT(ADDRESS(SumRef!BB66,SumRef!BB$16,,,SumRef!$B$7))="","",INDIRECT(ADDRESS(SumRef!BB66,SumRef!BB$16,,,SumRef!$B$7))))</f>
        <v/>
      </c>
      <c r="N60" s="1098" t="str">
        <f ca="1">IF('A-80 DirEntInv'!N59&lt;&gt;"",'A-80 DirEntInv'!N59,IF(INDIRECT(ADDRESS(SumRef!BC66,SumRef!BC$16,,,SumRef!$B$7))="","",INDIRECT(ADDRESS(SumRef!BC66,SumRef!BC$16,,,SumRef!$B$7))))</f>
        <v/>
      </c>
      <c r="O60" s="1102" t="str">
        <f ca="1">IF('A-80 DirEntInv'!O59&lt;&gt;"",'A-80 DirEntInv'!O59,IF(INDIRECT(ADDRESS(SumRef!BD66,SumRef!BD$16,,,SumRef!$B$7))="","",INDIRECT(ADDRESS(SumRef!BD66,SumRef!BD$16,,,SumRef!$B$7))))</f>
        <v/>
      </c>
      <c r="Q60" s="589"/>
      <c r="R60" s="1103" t="str">
        <f ca="1">IF('A-80 DirEntInv'!R59&lt;&gt;"",'A-80 DirEntInv'!R59,IF(INDIRECT(ADDRESS(SumRef!BH66,SumRef!BH$16,,,SumRef!$B$8))="","",INDIRECT(ADDRESS(SumRef!BH66,SumRef!BH$16,,,SumRef!$B$8))))</f>
        <v/>
      </c>
      <c r="S60" s="1104" t="str">
        <f ca="1">IF('A-80 DirEntInv'!S59&lt;&gt;"",'A-80 DirEntInv'!S59,IF(INDIRECT(ADDRESS(SumRef!BI66,SumRef!BI$16,,,SumRef!$B$8))="","",INDIRECT(ADDRESS(SumRef!BI66,SumRef!BI$16,,,SumRef!$B$8))))</f>
        <v/>
      </c>
      <c r="T60" s="1104" t="str">
        <f ca="1">IF('A-80 DirEntInv'!T59&lt;&gt;"",'A-80 DirEntInv'!T59,IF(INDIRECT(ADDRESS(SumRef!BJ66,SumRef!BJ$16,,,SumRef!$B$8))="","",INDIRECT(ADDRESS(SumRef!BJ66,SumRef!BJ$16,,,SumRef!$B$8))))</f>
        <v/>
      </c>
      <c r="U60" s="1104" t="str">
        <f ca="1">IF('A-80 DirEntInv'!U59&lt;&gt;"",'A-80 DirEntInv'!U59,IF(INDIRECT(ADDRESS(SumRef!BK66,SumRef!BK$16,,,SumRef!$B$8))="","",INDIRECT(ADDRESS(SumRef!BK66,SumRef!BK$16,,,SumRef!$B$8))))</f>
        <v/>
      </c>
      <c r="V60" s="1104" t="str">
        <f ca="1">IF('A-80 DirEntInv'!V59&lt;&gt;"",'A-80 DirEntInv'!V59,IF(INDIRECT(ADDRESS(SumRef!BL66,SumRef!BL$16,,,SumRef!$B$8))="","",INDIRECT(ADDRESS(SumRef!BL66,SumRef!BL$16,,,SumRef!$B$8))))</f>
        <v/>
      </c>
      <c r="W60" s="1354" t="str">
        <f ca="1">IF('A-80 DirEntInv'!W59&lt;&gt;"",'A-80 DirEntInv'!W59,IF(INDIRECT(ADDRESS(SumRef!BM66,SumRef!BM$16,,,SumRef!$B$8))="","",INDIRECT(ADDRESS(SumRef!BM66,SumRef!BM$16,,,SumRef!$B$8))))</f>
        <v/>
      </c>
      <c r="X60" s="1203" t="str">
        <f ca="1">IF('A-80 DirEntInv'!X59&lt;&gt;"",'A-80 DirEntInv'!X59,IF(INDIRECT(ADDRESS(SumRef!BN66,SumRef!BN$16,,,SumRef!$B$8))="","",INDIRECT(ADDRESS(SumRef!BN66,SumRef!BN$16,,,SumRef!$B$8))))</f>
        <v/>
      </c>
      <c r="Y60" s="1203" t="str">
        <f ca="1">IF('A-80 DirEntInv'!Y59&lt;&gt;"",'A-80 DirEntInv'!Y59,IF(INDIRECT(ADDRESS(SumRef!BO66,SumRef!BO$16,,,SumRef!$B$8))="","",INDIRECT(ADDRESS(SumRef!BO66,SumRef!BO$16,,,SumRef!$B$8))))</f>
        <v/>
      </c>
      <c r="Z60" s="1104" t="str">
        <f ca="1">IF('A-80 DirEntInv'!Z59&lt;&gt;"",'A-80 DirEntInv'!Z59,IF(INDIRECT(ADDRESS(SumRef!BP66,SumRef!BP$16,,,SumRef!$B$8))="","",INDIRECT(ADDRESS(SumRef!BP66,SumRef!BP$16,,,SumRef!$B$8))))</f>
        <v/>
      </c>
      <c r="AA60" s="1104" t="str">
        <f ca="1">IF('A-80 DirEntInv'!AA59&lt;&gt;"",'A-80 DirEntInv'!AA59,IF(INDIRECT(ADDRESS(SumRef!BQ66,SumRef!BQ$16,,,SumRef!$B$8))="","",INDIRECT(ADDRESS(SumRef!BQ66,SumRef!BQ$16,,,SumRef!$B$8))))</f>
        <v/>
      </c>
      <c r="AB60" s="1106" t="str">
        <f ca="1">IF('A-80 DirEntInv'!AB59&lt;&gt;"",'A-80 DirEntInv'!AB59,IF(INDIRECT(ADDRESS(SumRef!BR66,SumRef!BR$16,,,SumRef!$B$8))="","",INDIRECT(ADDRESS(SumRef!BR66,SumRef!BR$16,,,SumRef!$B$8))))</f>
        <v/>
      </c>
      <c r="AC60" s="1107" t="str">
        <f ca="1">IF('A-80 DirEntInv'!AC59&lt;&gt;"",'A-80 DirEntInv'!AC59,IF(INDIRECT(ADDRESS(SumRef!BS66,SumRef!BS$16,,,SumRef!$B$8))="","",INDIRECT(ADDRESS(SumRef!BS66,SumRef!BS$16,,,SumRef!$B$8))))</f>
        <v/>
      </c>
      <c r="AD60" s="1349" t="str">
        <f ca="1">IF('A-80 DirEntInv'!AD59&lt;&gt;"",'A-80 DirEntInv'!AD59,IF(INDIRECT(ADDRESS(SumRef!BT66,SumRef!BT$16,,,SumRef!$B$8))="","",INDIRECT(ADDRESS(SumRef!BT66,SumRef!BT$16,,,SumRef!$B$8))))</f>
        <v/>
      </c>
      <c r="AE60" s="1137" t="str">
        <f ca="1">IF('A-80 DirEntInv'!AE59&lt;&gt;"",'A-80 DirEntInv'!AE59,IF(INDIRECT(ADDRESS(SumRef!BU66,SumRef!BU$16,,,SumRef!$B$8))="","",INDIRECT(ADDRESS(SumRef!BU66,SumRef!BU$16,,,SumRef!$B$8))))</f>
        <v/>
      </c>
      <c r="AF60" s="1346" t="str">
        <f ca="1">IF('A-80 DirEntInv'!AF59&lt;&gt;"",'A-80 DirEntInv'!AF59,IF(INDIRECT(ADDRESS(SumRef!BV66,SumRef!BV$16,,,SumRef!$B$8))="","",INDIRECT(ADDRESS(SumRef!BV66,SumRef!BV$16,,,SumRef!$B$8))))</f>
        <v/>
      </c>
      <c r="AG60" s="1105" t="str">
        <f ca="1">IF('A-80 DirEntInv'!AG59&lt;&gt;"",'A-80 DirEntInv'!AG59,IF(INDIRECT(ADDRESS(SumRef!BW66,SumRef!BW$16,,,SumRef!$B$8))="","",INDIRECT(ADDRESS(SumRef!BW66,SumRef!BW$16,,,SumRef!$B$8))))</f>
        <v/>
      </c>
      <c r="AH60" s="1357" t="str">
        <f ca="1">IF('A-80 DirEntInv'!AH59&lt;&gt;"",'A-80 DirEntInv'!AH59,IF(INDIRECT(ADDRESS(SumRef!BX66,SumRef!BX$16,,,SumRef!$B$8))="","",INDIRECT(ADDRESS(SumRef!BX66,SumRef!BX$16,,,SumRef!$B$8))))</f>
        <v/>
      </c>
      <c r="AK60" s="1041" t="str">
        <f>Codes!$C$159</f>
        <v>CC - Cable Car (DO)</v>
      </c>
      <c r="AL60" s="1042" t="str">
        <f>Valid!$B$78</f>
        <v>Below-Grade/Bored or Blasted Tunnel</v>
      </c>
      <c r="AM60" s="1108" t="str">
        <f>IF('A-80 DirEntInv'!AM59&lt;&gt;"",'A-80 DirEntInv'!#REF!,IF(AK60=summaryref2!B19,summaryref2!D19,IF(Summary!AK60=summaryref2!B33,summaryref2!D33,IF(AK60=summaryref2!B47,summaryref2!D47,IF(AK60=summaryref2!B61,summaryref2!D61,IF(AK60=summaryref2!B75,summaryref2!D75,IF(AK60=summaryref2!B89,summaryref2!D89,IF(AK60=summaryref2!B103,summaryref2!D103,IF(AK60=summaryref2!B117,summaryref2!D117,IF(AK60=summaryref2!B131,summaryref2!D131,IF(AK60=summaryref2!B145,summaryref2!D145,"")))))))))))</f>
        <v/>
      </c>
      <c r="AN60" s="1109" t="str">
        <f ca="1">IF('A-80 DirEntInv'!AN59&lt;&gt;"",'A-80 DirEntInv'!AN59,IF(INDIRECT(ADDRESS(SumRef!CG81,SumRef!CG$16,,,SumRef!$C$7))="","",INDIRECT(ADDRESS(SumRef!CG81,SumRef!CG$16,,,SumRef!$C$7))))</f>
        <v>Linear Feet</v>
      </c>
      <c r="AO60" s="1108" t="str">
        <f>IF('A-80 DirEntInv'!AO59&lt;&gt;"",'A-80 DirEntInv'!AO59,IF(AK60=summaryref2!B19,summaryref2!F19,IF(Summary!AK60=summaryref2!B33,summaryref2!F33,IF(AK60=summaryref2!B47,summaryref2!F47,IF(AK60=summaryref2!B61,summaryref2!F61,IF(AK60=summaryref2!B75,summaryref2!F75,IF(AK60=summaryref2!B89,summaryref2!F89,IF(AK60=summaryref2!B103,summaryref2!F103,IF(AK60=summaryref2!B117,summaryref2!F117,IF(AK60=summaryref2!B131,summaryref2!F131,IF(AK60=summaryref2!B145,summaryref2!F145,"")))))))))))</f>
        <v/>
      </c>
      <c r="AP60" s="1109" t="str">
        <f ca="1">IF('A-80 DirEntInv'!AP59&lt;&gt;"",'A-80 DirEntInv'!AP59,IF(INDIRECT(ADDRESS(SumRef!#REF!,SumRef!#REF!,,,SumRef!$C$7))="","",INDIRECT(ADDRESS(SumRef!#REF!,SumRef!#REF!,,,SumRef!$C$7))))</f>
        <v>Track Feet</v>
      </c>
      <c r="AQ60" s="1147" t="str">
        <f>IF('A-80 DirEntInv'!AQ59&lt;&gt;"",'A-80 DirEntInv'!AQ59,IF(AK60=summaryref2!B19,summaryref2!G19,IF(Summary!AK60=summaryref2!B33,summaryref2!G33,IF(AK60=summaryref2!B47,summaryref2!G47,IF(AK60=summaryref2!B61,summaryref2!G61,IF(AK60=summaryref2!B75,summaryref2!G75,IF(AK60=summaryref2!B89,summaryref2!G89,IF(AK60=summaryref2!B103,summaryref2!G103,IF(AK60=summaryref2!B117,summaryref2!G117,IF(AK60=summaryref2!B131,summaryref2!G131,IF(AK60=summaryref2!B145,summaryref2!G145,"")))))))))))</f>
        <v/>
      </c>
      <c r="AR60" s="1147" t="str">
        <f>IF('A-80 DirEntInv'!AR59&lt;&gt;"",'A-80 DirEntInv'!AR59,IF(AK60=summaryref2!B19,summaryref2!H19,IF(Summary!AK60=summaryref2!B33,summaryref2!H33,IF(AK60=summaryref2!B47,summaryref2!H47,IF(AK60=summaryref2!B61,summaryref2!H61,IF(AK60=summaryref2!B75,summaryref2!H75,IF(AK60=summaryref2!B89,summaryref2!H89,IF(AK60=summaryref2!B103,summaryref2!H103,IF(AK60=summaryref2!B117,summaryref2!H117,IF(AK60=summaryref2!B131,summaryref2!H131,IF(AK60=summaryref2!B145,summaryref2!H145,"")))))))))))</f>
        <v/>
      </c>
      <c r="AS60" s="1110" t="str">
        <f>IF('A-80 DirEntInv'!AS59&lt;&gt;"",'A-80 DirEntInv'!AS59,IF(AK60=summaryref2!B19,summaryref2!I19,IF(Summary!AK60=summaryref2!B33,summaryref2!I33,IF(AK60=summaryref2!B47,summaryref2!I47,IF(AK60=summaryref2!B61,summaryref2!I61,IF(AK60=summaryref2!B75,summaryref2!I75,IF(AK60=summaryref2!B89,summaryref2!I89,IF(AK60=summaryref2!B103,summaryref2!I103,IF(AK60=summaryref2!B117,summaryref2!I117,IF(AK60=summaryref2!B131,summaryref2!I131,IF(AK60=summaryref2!B145,summaryref2!I145,"")))))))))))</f>
        <v/>
      </c>
      <c r="AT60" s="1110" t="str">
        <f>IF('A-80 DirEntInv'!AT59&lt;&gt;"",'A-80 DirEntInv'!AT59,IF(AK60=summaryref2!B19,summaryref2!J19,IF(Summary!AK60=summaryref2!B33,summaryref2!J33,IF(AK60=summaryref2!B47,summaryref2!J47,IF(AK60=summaryref2!B61,summaryref2!J61,IF(AK60=summaryref2!B75,summaryref2!J75,IF(AK60=summaryref2!B89,summaryref2!J89,IF(AK60=summaryref2!B103,summaryref2!J103,IF(AK60=summaryref2!B117,summaryref2!J117,IF(AK60=summaryref2!B131,summaryref2!J131,IF(AK60=summaryref2!B145,summaryref2!J145,"")))))))))))</f>
        <v/>
      </c>
      <c r="AU60" s="1110" t="str">
        <f>IF('A-80 DirEntInv'!AU59&lt;&gt;"",'A-80 DirEntInv'!AU59,IF(AK60=summaryref2!B19,summaryref2!K19,IF(Summary!AK60=summaryref2!B33,summaryref2!K33,IF(AK60=summaryref2!B47,summaryref2!K47,IF(AK60=summaryref2!B61,summaryref2!K61,IF(AK60=summaryref2!B75,summaryref2!K75,IF(AK60=summaryref2!B89,summaryref2!K89,IF(AK60=summaryref2!B103,summaryref2!K103,IF(AK60=summaryref2!B117,summaryref2!K117,IF(AK60=summaryref2!B131,summaryref2!K131,IF(AK60=summaryref2!B145,summaryref2!K145,"")))))))))))</f>
        <v/>
      </c>
      <c r="AV60" s="1110" t="str">
        <f>IF('A-80 DirEntInv'!AV59&lt;&gt;"",'A-80 DirEntInv'!AV59,IF(AK60=summaryref2!B19,summaryref2!L19,IF(Summary!AK60=summaryref2!B33,summaryref2!L33,IF(AK60=summaryref2!B47,summaryref2!L47,IF(AK60=summaryref2!B61,summaryref2!L61,IF(AK60=summaryref2!B75,summaryref2!L75,IF(AK60=summaryref2!B89,summaryref2!L89,IF(AK60=summaryref2!B103,summaryref2!L103,IF(AK60=summaryref2!B117,summaryref2!L117,IF(AK60=summaryref2!B131,summaryref2!L131,IF(AK60=summaryref2!B145,summaryref2!L145,"")))))))))))</f>
        <v/>
      </c>
      <c r="AW60" s="1110" t="str">
        <f>IF('A-80 DirEntInv'!AW59&lt;&gt;"",'A-80 DirEntInv'!AW59,IF(AK60=summaryref2!B19,summaryref2!M19,IF(Summary!AK60=summaryref2!B33,summaryref2!M33,IF(AK60=summaryref2!B47,summaryref2!M47,IF(AK60=summaryref2!B61,summaryref2!M61,IF(AK60=summaryref2!B75,summaryref2!M75,IF(AK60=summaryref2!B89,summaryref2!M89,IF(AK60=summaryref2!B103,summaryref2!M103,IF(AK60=summaryref2!B117,summaryref2!M117,IF(AK60=summaryref2!B131,summaryref2!M131,IF(AK60=summaryref2!B145,summaryref2!M145,"")))))))))))</f>
        <v/>
      </c>
      <c r="AX60" s="1110" t="str">
        <f>IF('A-80 DirEntInv'!AX59&lt;&gt;"",'A-80 DirEntInv'!AX59,IF(AK60=summaryref2!B19,summaryref2!N19,IF(Summary!AK60=summaryref2!B33,summaryref2!N33,IF(AK60=summaryref2!B47,summaryref2!N47,IF(AK60=summaryref2!B61,summaryref2!N61,IF(AK60=summaryref2!B75,summaryref2!N75,IF(AK60=summaryref2!B89,summaryref2!N89,IF(AK60=summaryref2!B103,summaryref2!N103,IF(AK60=summaryref2!B117,summaryref2!N117,IF(AK60=summaryref2!B131,summaryref2!N131,IF(AK60=summaryref2!B145,summaryref2!N145,"")))))))))))</f>
        <v/>
      </c>
      <c r="AY60" s="1110" t="str">
        <f>IF('A-80 DirEntInv'!AY59&lt;&gt;"",'A-80 DirEntInv'!AY59,IF(AK60=summaryref2!B19,summaryref2!O19,IF(Summary!AK60=summaryref2!B33,summaryref2!O33,IF(AK60=summaryref2!B47,summaryref2!O47,IF(AK60=summaryref2!B61,summaryref2!O61,IF(AK60=summaryref2!B75,summaryref2!O75,IF(AK60=summaryref2!B89,summaryref2!O89,IF(AK60=summaryref2!B103,summaryref2!O103,IF(AK60=summaryref2!B117,summaryref2!O117,IF(AK60=summaryref2!B131,summaryref2!O131,IF(AK60=summaryref2!B145,summaryref2!O145,"")))))))))))</f>
        <v/>
      </c>
      <c r="AZ60" s="1110" t="str">
        <f>IF('A-80 DirEntInv'!AZ59&lt;&gt;"",'A-80 DirEntInv'!AZ59,IF(AK60=summaryref2!B19,summaryref2!P19,IF(Summary!AK60=summaryref2!B33,summaryref2!P33,IF(AK60=summaryref2!B47,summaryref2!P47,IF(AK60=summaryref2!B61,summaryref2!P61,IF(AK60=summaryref2!B75,summaryref2!P75,IF(AK60=summaryref2!B89,summaryref2!P89,IF(AK60=summaryref2!B103,summaryref2!P103,IF(AK60=summaryref2!B117,summaryref2!P117,IF(AK60=summaryref2!B131,summaryref2!P131,IF(AK60=summaryref2!B145,summaryref2!P145,"")))))))))))</f>
        <v/>
      </c>
      <c r="BA60" s="1110" t="str">
        <f>IF('A-80 DirEntInv'!BA59&lt;&gt;"",'A-80 DirEntInv'!BA59,IF(AK60=summaryref2!B19,summaryref2!Q19,IF(Summary!AK60=summaryref2!B33,summaryref2!Q33,IF(AK60=summaryref2!B47,summaryref2!Q47,IF(AK60=summaryref2!B61,summaryref2!Q61,IF(AK60=summaryref2!B75,summaryref2!Q75,IF(AK60=summaryref2!B89,summaryref2!Q89,IF(AK60=summaryref2!B103,summaryref2!Q103,IF(AK60=summaryref2!B117,summaryref2!Q117,IF(AK60=summaryref2!B131,summaryref2!Q131,IF(AK60=summaryref2!B145,summaryref2!Q145,"")))))))))))</f>
        <v/>
      </c>
      <c r="BB60" s="1110" t="str">
        <f>IF('A-80 DirEntInv'!BB59&lt;&gt;"",'A-80 DirEntInv'!BB59,IF(AK60=summaryref2!B19,summaryref2!R19,IF(Summary!AK60=summaryref2!B33,summaryref2!R33,IF(AK60=summaryref2!B47,summaryref2!R47,IF(AK60=summaryref2!B61,summaryref2!R61,IF(AK60=summaryref2!B75,summaryref2!R75,IF(AK60=summaryref2!B89,summaryref2!R89,IF(AK60=summaryref2!B103,summaryref2!R103,IF(AK60=summaryref2!B117,summaryref2!R117,IF(AK60=summaryref2!B131,summaryref2!R131,IF(AK60=summaryref2!B145,summaryref2!R145,"")))))))))))</f>
        <v/>
      </c>
      <c r="BC60" s="1110" t="str">
        <f>IF('A-80 DirEntInv'!BC59&lt;&gt;0,'A-80 DirEntInv'!BC59,IF(AK60=summaryref2!B19,summaryref2!S19,IF(Summary!AK60=summaryref2!B33,summaryref2!S33,IF(AK60=summaryref2!B47,summaryref2!S47,IF(AK60=summaryref2!B61,summaryref2!S61,IF(AK60=summaryref2!B75,summaryref2!S75,IF(AK60=summaryref2!B89,summaryref2!S89,IF(AK60=summaryref2!B103,summaryref2!S103,IF(AK60=summaryref2!B117,summaryref2!S117,IF(AK60=summaryref2!B131,summaryref2!S131,IF(AK60=summaryref2!B145,summaryref2!S145,"")))))))))))</f>
        <v/>
      </c>
      <c r="BD60" s="1111" t="str">
        <f>IF('A-80 DirEntInv'!BD59&lt;&gt;"",'A-80 DirEntInv'!BD59,IF(AK60=summaryref2!B19,summaryref2!T19,IF(Summary!AK60=summaryref2!B33,summaryref2!T33,IF(AK60=summaryref2!B47,summaryref2!T47,IF(AK60=summaryref2!B61,summaryref2!T61,IF(AK60=summaryref2!B75,summaryref2!T75,IF(AK60=summaryref2!B89,summaryref2!T89,IF(AK60=summaryref2!B103,summaryref2!T103,IF(AK60=summaryref2!B117,summaryref2!T117,IF(AK60=summaryref2!B131,summaryref2!T131,IF(AK60=summaryref2!B145,summaryref2!T145,"")))))))))))</f>
        <v/>
      </c>
      <c r="BE60" s="1184" t="str">
        <f>IF('A-80 DirEntInv'!BE59&lt;&gt;"",'A-80 DirEntInv'!BE59,IF(AK60=summaryref2!B19,summaryref2!U19,IF(Summary!AK60=summaryref2!B33,summaryref2!U33,IF(AK60=summaryref2!B47,summaryref2!U47,IF(AK60=summaryref2!B61,summaryref2!U61,IF(AK60=summaryref2!B75,summaryref2!U75,IF(AK60=summaryref2!B89,summaryref2!U89,IF(AK60=summaryref2!B103,summaryref2!U103,IF(AK60=summaryref2!B117,summaryref2!U117,IF(AK60=summaryref2!B131,summaryref2!U131,IF(AK60=summaryref2!B145,summaryref2!U145,"")))))))))))</f>
        <v/>
      </c>
      <c r="BF60" s="1432"/>
      <c r="BG60" s="1432"/>
      <c r="BJ60" s="1043" t="str">
        <f>Codes!$C$163</f>
        <v>HR - Heavy Rail (DO)</v>
      </c>
      <c r="BK60" s="1303" t="str">
        <f>Valid!$B$80</f>
        <v>Tangent</v>
      </c>
      <c r="BL60" s="1366" t="str">
        <f>IF('A-80 DirEntInv'!BL59&lt;&gt;"",'A-80 DirEntInv'!BL59,IF(BJ60=summaryref2!X12,summaryref2!Z12,IF(BJ60=summaryref2!X19,summaryref2!Z19,IF(BJ60=summaryref2!X26,summaryref2!Z26,IF(BJ60=summaryref2!X33,summaryref2!Z33,IF(BJ60=summaryref2!X40,summaryref2!Z40,IF(BJ60=summaryref2!X47,summaryref2!Z47,IF(BJ60=summaryref2!X54,summaryref2!Z54,IF(BJ60=summaryref2!X61,summaryref2!Z61,IF(BJ60=summaryref2!X68,summaryref2!Z68,IF(BJ60=summaryref2!X75,summaryref2!Z75,"")))))))))))</f>
        <v/>
      </c>
      <c r="BM60" s="1303" t="str">
        <f>VLOOKUP(BK60,Valid!$B$80:$C$86,2,FALSE)</f>
        <v>Track Feet</v>
      </c>
      <c r="BN60" s="1208" t="str">
        <f>IF('A-80 DirEntInv'!BN59&lt;&gt;"",'A-80 DirEntInv'!BN59,IF(BJ60=summaryref2!X12,summaryref2!AB12,IF(BJ60=summaryref2!X19,summaryref2!AB19,IF(BJ60=summaryref2!X26,summaryref2!AB26,IF(BJ60=summaryref2!X33,summaryref2!AB33,IF(BJ60=summaryref2!X40,summaryref2!AB40,IF(BJ60=summaryref2!X47,summaryref2!AB47,IF(BJ60=summaryref2!X54,summaryref2!AB54,IF(BJ60=summaryref2!X61,summaryref2!AB61,IF(BJ60=summaryref2!X68,summaryref2!AB68,IF(BJ60=summaryref2!X75,summaryref2!AB75,"")))))))))))</f>
        <v/>
      </c>
      <c r="BO60" s="1112" t="str">
        <f>IF('A-80 DirEntInv'!BO59&lt;&gt;"",'A-80 DirEntInv'!BO59,IF(BJ60=summaryref2!X12,summaryref2!AC12,IF(BJ60=summaryref2!X19,summaryref2!AC19,IF(BJ60=summaryref2!X26,summaryref2!AC26,IF(BJ60=summaryref2!X33,summaryref2!AC33,IF(BJ60=summaryref2!X40,summaryref2!AC40,IF(BJ60=summaryref2!X47,summaryref2!AC47,IF(BJ60=summaryref2!X54,summaryref2!AC54,IF(BJ60=summaryref2!X61,summaryref2!AC61,IF(BJ60=summaryref2!X68,summaryref2!AC68,IF(BJ60=summaryref2!X75,summaryref2!AC75,"")))))))))))</f>
        <v/>
      </c>
      <c r="BP60" s="1320" t="str">
        <f>IF('A-80 DirEntInv'!BP59&lt;&gt;"",'A-80 DirEntInv'!BP59,IF(BJ60=summaryref2!X12,summaryref2!AD12,IF(BJ60=summaryref2!X19,summaryref2!AD19,IF(BJ60=summaryref2!X26,summaryref2!AD26,IF(BJ60=summaryref2!X33,summaryref2!AD33,IF(BJ60=summaryref2!X40,summaryref2!AD40,IF(BJ60=summaryref2!X47,summaryref2!AD47,IF(BJ60=summaryref2!X54,summaryref2!AD54,IF(BJ60=summaryref2!X61,summaryref2!AD61,IF(BJ60=summaryref2!X68,summaryref2!AD68,IF(BJ60=summaryref2!X75,summaryref2!AD75,"")))))))))))</f>
        <v/>
      </c>
      <c r="BS60" s="1472" t="str">
        <f ca="1">IF('A-80 DirEntInv'!BU59&lt;&gt;"",'A-80 DirEntInv'!BU59,IF(INDIRECT(ADDRESS(SumRef!DK66,SumRef!DK$16,,,SumRef!$E$6))="","",INDIRECT(ADDRESS(SumRef!DK66,SumRef!DK$16,,,SumRef!$E$6))))</f>
        <v/>
      </c>
      <c r="BT60" s="1458" t="str">
        <f ca="1">IF('A-80 DirEntInv'!BV59&lt;&gt;"",'A-80 DirEntInv'!BV59,IF(INDIRECT(ADDRESS(SumRef!DL66,SumRef!DL$16,,,SumRef!$E$6))="","",INDIRECT(ADDRESS(SumRef!DL66,SumRef!DL$16,,,SumRef!$E$6))))</f>
        <v/>
      </c>
      <c r="BU60" s="1177" t="str">
        <f ca="1">IF('A-80 DirEntInv'!BW59&lt;&gt;"",'A-80 DirEntInv'!BW59,IF(INDIRECT(ADDRESS(SumRef!DM66,SumRef!DM$16,,,SumRef!$E$6))="","",INDIRECT(ADDRESS(SumRef!DM66,SumRef!DM$16,,,SumRef!$E$6))))</f>
        <v/>
      </c>
      <c r="BV60" s="1460" t="str">
        <f ca="1">IF('A-80 DirEntInv'!BX59&lt;&gt;"",'A-80 DirEntInv'!BX59,IF(INDIRECT(ADDRESS(SumRef!DN66,SumRef!DN$16,,,SumRef!$E$6))="","",INDIRECT(ADDRESS(SumRef!DN66,SumRef!DN$16,,,SumRef!$E$6))))</f>
        <v/>
      </c>
      <c r="BW60" s="1460" t="str">
        <f ca="1">IF('A-80 DirEntInv'!BY59&lt;&gt;"",'A-80 DirEntInv'!BY59,IF(INDIRECT(ADDRESS(SumRef!DO66,SumRef!DO$16,,,SumRef!$E$6))="","",INDIRECT(ADDRESS(SumRef!DO66,SumRef!DO$16,,,SumRef!$E$6))))</f>
        <v/>
      </c>
      <c r="BX60" s="1116" t="str">
        <f ca="1">IF('A-80 DirEntInv'!BZ59&lt;&gt;"",'A-80 DirEntInv'!BZ59,IF(INDIRECT(ADDRESS(SumRef!DP66,SumRef!DP$16,,,SumRef!$E$6))="","",INDIRECT(ADDRESS(SumRef!DP66,SumRef!DP$16,,,SumRef!$E$6))))</f>
        <v/>
      </c>
      <c r="BY60" s="1461" t="str">
        <f ca="1">IF('A-80 DirEntInv'!CA59&lt;&gt;"",'A-80 DirEntInv'!CA59,IF(INDIRECT(ADDRESS(SumRef!DQ66,SumRef!DQ$16,,,SumRef!$E$6))="","",INDIRECT(ADDRESS(SumRef!DQ66,SumRef!DQ$16,,,SumRef!$E$6))))</f>
        <v/>
      </c>
      <c r="BZ60" s="1460" t="str">
        <f ca="1">IF('A-80 DirEntInv'!CB59&lt;&gt;"",'A-80 DirEntInv'!CB59,IF(INDIRECT(ADDRESS(SumRef!DR66,SumRef!DR$16,,,SumRef!$E$6))="","",INDIRECT(ADDRESS(SumRef!DR66,SumRef!DR$16,,,SumRef!$E$6))))</f>
        <v/>
      </c>
      <c r="CA60" s="1462" t="str">
        <f ca="1">IF('A-80 DirEntInv'!CC59&lt;&gt;"",'A-80 DirEntInv'!CC59,IF(INDIRECT(ADDRESS(SumRef!DS66,SumRef!DS$16,,,SumRef!$E$6))="","",INDIRECT(ADDRESS(SumRef!DS66,SumRef!DS$16,,,SumRef!$E$6))))</f>
        <v/>
      </c>
      <c r="CD60" s="1160" t="str">
        <f ca="1">IF('A-80 DirEntInv'!CF59&lt;&gt;"",'A-80 DirEntInv'!CF59,IF(INDIRECT(ADDRESS(SumRef!DV66,SumRef!DV$16,,,SumRef!$E$7))="","",INDIRECT(ADDRESS(SumRef!DV66,SumRef!DV$16,,,SumRef!$E$7))))</f>
        <v/>
      </c>
      <c r="CE60" s="1167" t="str">
        <f ca="1">IF('A-80 DirEntInv'!CG59&lt;&gt;"",'A-80 DirEntInv'!CG59,IF(INDIRECT(ADDRESS(SumRef!DW66,SumRef!DW$16,,,SumRef!$E$7))="","",INDIRECT(ADDRESS(SumRef!DW66,SumRef!DW$16,,,SumRef!$E$7))))</f>
        <v/>
      </c>
      <c r="CF60" s="1167" t="str">
        <f ca="1">IF('A-80 DirEntInv'!CH59&lt;&gt;"",'A-80 DirEntInv'!CH59,IF(INDIRECT(ADDRESS(SumRef!DX66,SumRef!DX$16,,,SumRef!$E$7))="","",INDIRECT(ADDRESS(SumRef!DX66,SumRef!DX$16,,,SumRef!$E$7))))</f>
        <v/>
      </c>
      <c r="CG60" s="1167" t="str">
        <f ca="1">IF('A-80 DirEntInv'!CI59&lt;&gt;"",'A-80 DirEntInv'!CI59,IF(INDIRECT(ADDRESS(SumRef!DY66,SumRef!DY$16,,,SumRef!$E$7))="","",INDIRECT(ADDRESS(SumRef!DY66,SumRef!DY$16,,,SumRef!$E$7))))</f>
        <v/>
      </c>
      <c r="CH60" s="1167" t="str">
        <f ca="1">IF('A-80 DirEntInv'!CJ59&lt;&gt;"",'A-80 DirEntInv'!CJ59,IF(INDIRECT(ADDRESS(SumRef!DZ66,SumRef!DZ$16,,,SumRef!$E$7))="","",INDIRECT(ADDRESS(SumRef!DZ66,SumRef!DZ$16,,,SumRef!$E$7))))</f>
        <v/>
      </c>
      <c r="CI60" s="1167" t="str">
        <f ca="1">IF('A-80 DirEntInv'!CK59&lt;&gt;"",'A-80 DirEntInv'!CK59,IF(INDIRECT(ADDRESS(SumRef!EA66,SumRef!EA$16,,,SumRef!$E$7))="","",INDIRECT(ADDRESS(SumRef!EA66,SumRef!EA$16,,,SumRef!$E$7))))</f>
        <v/>
      </c>
      <c r="CJ60" s="1114" t="str">
        <f ca="1">IF('A-80 DirEntInv'!CL59&lt;&gt;"",'A-80 DirEntInv'!CL59,IF(INDIRECT(ADDRESS(SumRef!EB66,SumRef!EB$16,,,SumRef!$E$7))="","",INDIRECT(ADDRESS(SumRef!EB66,SumRef!EB$16,,,SumRef!$E$7))))</f>
        <v/>
      </c>
      <c r="CK60" s="1114" t="str">
        <f ca="1">IF('A-80 DirEntInv'!CM59&lt;&gt;"",'A-80 DirEntInv'!CM59,IF(INDIRECT(ADDRESS(SumRef!EC66,SumRef!EC$16,,,SumRef!$E$7))="","",INDIRECT(ADDRESS(SumRef!EC66,SumRef!EC$16,,,SumRef!$E$7))))</f>
        <v/>
      </c>
      <c r="CL60" s="1113" t="str">
        <f ca="1">IF('A-80 DirEntInv'!CO59&lt;&gt;"",'A-80 DirEntInv'!CO59,IF(INDIRECT(ADDRESS(SumRef!ED66,SumRef!ED$16,,,SumRef!$E$7))="","",INDIRECT(ADDRESS(SumRef!ED66,SumRef!ED$16,,,SumRef!$E$7))))</f>
        <v/>
      </c>
      <c r="CM60" s="1114" t="str">
        <f ca="1">IF('A-80 DirEntInv'!CP59&lt;&gt;"",'A-80 DirEntInv'!CP59,IF(INDIRECT(ADDRESS(SumRef!EE66,SumRef!EE$16,,,SumRef!$E$7))="","",INDIRECT(ADDRESS(SumRef!EE66,SumRef!EE$16,,,SumRef!$E$7))))</f>
        <v/>
      </c>
      <c r="CN60" s="1114" t="str">
        <f ca="1">IF('A-80 DirEntInv'!CQ59&lt;&gt;"",'A-80 DirEntInv'!CQ59,IF(INDIRECT(ADDRESS(SumRef!EF66,SumRef!EF$16,,,SumRef!$E$7))="","",INDIRECT(ADDRESS(SumRef!EF66,SumRef!EF$16,,,SumRef!$E$7))))</f>
        <v/>
      </c>
      <c r="CO60" s="1113" t="str">
        <f ca="1">IF('A-80 DirEntInv'!CR59&lt;&gt;"",'A-80 DirEntInv'!CR59,IF(INDIRECT(ADDRESS(SumRef!EG66,SumRef!EG$16,,,SumRef!$E$7))="","",INDIRECT(ADDRESS(SumRef!EG66,SumRef!EG$16,,,SumRef!$E$7))))</f>
        <v/>
      </c>
      <c r="CP60" s="1114" t="str">
        <f ca="1">IF('A-80 DirEntInv'!CS59&lt;&gt;"",'A-80 DirEntInv'!CS59,IF(INDIRECT(ADDRESS(SumRef!EH66,SumRef!EH$16,,,SumRef!$E$7))="","",INDIRECT(ADDRESS(SumRef!EH66,SumRef!EH$16,,,SumRef!$E$7))))</f>
        <v/>
      </c>
      <c r="CQ60" s="1346" t="str">
        <f ca="1">IF('A-80 DirEntInv'!CT59&lt;&gt;"",'A-80 DirEntInv'!CT59,IF(INDIRECT(ADDRESS(SumRef!EI66,SumRef!EI$16,,,SumRef!$E$7))="","",INDIRECT(ADDRESS(SumRef!EI66,SumRef!EI$16,,,SumRef!$E$7))))</f>
        <v/>
      </c>
      <c r="CR60" s="1113" t="str">
        <f ca="1">IF('A-80 DirEntInv'!CU59&lt;&gt;"",'A-80 DirEntInv'!CU59,IF(INDIRECT(ADDRESS(SumRef!EJ66,SumRef!EJ$16,,,SumRef!$E$7))="","",INDIRECT(ADDRESS(SumRef!EJ66,SumRef!EJ$16,,,SumRef!$E$7))))</f>
        <v/>
      </c>
      <c r="CS60" s="1346" t="str">
        <f ca="1">IF('A-80 DirEntInv'!CV59&lt;&gt;"",'A-80 DirEntInv'!CV59,IF(INDIRECT(ADDRESS(SumRef!EM66,SumRef!EM$16,,,SumRef!$E$7))="","",INDIRECT(ADDRESS(SumRef!EM66,SumRef!EM$16,,,SumRef!$E$7))))</f>
        <v/>
      </c>
      <c r="CT60" s="1113" t="str">
        <f ca="1">IF('A-80 DirEntInv'!CW59&lt;&gt;"",'A-80 DirEntInv'!CW59,IF(INDIRECT(ADDRESS(SumRef!EN66,SumRef!EN$16,,,SumRef!$E$7))="","",INDIRECT(ADDRESS(SumRef!EN66,SumRef!EN$16,,,SumRef!$E$7))))</f>
        <v/>
      </c>
      <c r="CU60" s="1113" t="str">
        <f ca="1">IF('A-80 DirEntInv'!CX59&lt;&gt;"",'A-80 DirEntInv'!CX59,IF(INDIRECT(ADDRESS(SumRef!EO66,SumRef!EO$16,,,SumRef!$E$7))="","",INDIRECT(ADDRESS(SumRef!EO66,SumRef!EO$16,,,SumRef!$E$7))))</f>
        <v/>
      </c>
      <c r="CV60" s="1113" t="str">
        <f ca="1">IF('A-80 DirEntInv'!CY59&lt;&gt;"",'A-80 DirEntInv'!CY59,IF(INDIRECT(ADDRESS(SumRef!EP66,SumRef!EP$16,,,SumRef!$E$7))="","",INDIRECT(ADDRESS(SumRef!EP66,SumRef!EP$16,,,SumRef!$E$7))))</f>
        <v/>
      </c>
      <c r="CW60" s="1114" t="str">
        <f ca="1">IF('A-80 DirEntInv'!CZ59&lt;&gt;"",'A-80 DirEntInv'!CZ59,IF(INDIRECT(ADDRESS(SumRef!ES66,SumRef!ES$16,,,SumRef!$E$7))="","",INDIRECT(ADDRESS(SumRef!ES66,SumRef!ES$16,,,SumRef!$E$7))))</f>
        <v/>
      </c>
      <c r="CX60" s="1167" t="str">
        <f ca="1">IF('A-80 DirEntInv'!DA59&lt;&gt;"",'A-80 DirEntInv'!DA59,IF(INDIRECT(ADDRESS(SumRef!ET66,SumRef!ET$16,,,SumRef!$E$7))="","",INDIRECT(ADDRESS(SumRef!ET66,SumRef!ET$16,,,SumRef!$E$7))))</f>
        <v/>
      </c>
      <c r="CY60" s="1167" t="str">
        <f ca="1">IF('A-80 DirEntInv'!DB59&lt;&gt;"",'A-80 DirEntInv'!DB59,IF(INDIRECT(ADDRESS(SumRef!EU66,SumRef!EU$16,,,SumRef!$E$7))="","",INDIRECT(ADDRESS(SumRef!EU66,SumRef!EU$16,,,SumRef!$E$7))))</f>
        <v/>
      </c>
      <c r="CZ60" s="1167" t="b">
        <f ca="1">IF('A-80 DirEntInv'!DC59&lt;&gt;"",'A-80 DirEntInv'!DC59,IF(INDIRECT(ADDRESS(SumRef!EV66,SumRef!EV$16,,,SumRef!$E$7))="","",INDIRECT(ADDRESS(SumRef!EV66,SumRef!EV$16,,,SumRef!$E$7))))</f>
        <v>0</v>
      </c>
      <c r="DA60" s="1373" t="str">
        <f ca="1">IF('A-80 DirEntInv'!DD59&lt;&gt;"",'A-80 DirEntInv'!DD59,IF(INDIRECT(ADDRESS(SumRef!EW66,SumRef!EW$16,,,SumRef!$E$7))="","",INDIRECT(ADDRESS(SumRef!EW66,SumRef!EW$16,,,SumRef!$E$7))))</f>
        <v/>
      </c>
      <c r="DB60" s="1373" t="b">
        <f ca="1">IF('A-80 DirEntInv'!DE59&lt;&gt;"",'A-80 DirEntInv'!DE59,IF(INDIRECT(ADDRESS(SumRef!EX66,SumRef!EX$16,,,SumRef!$E$7))="","",INDIRECT(ADDRESS(SumRef!EX66,SumRef!EX$16,,,SumRef!$E$7))))</f>
        <v>0</v>
      </c>
      <c r="DC60" s="1114" t="b">
        <f ca="1">IF('A-80 DirEntInv'!DF59&lt;&gt;"",'A-80 DirEntInv'!DF59,IF(INDIRECT(ADDRESS(SumRef!EY66,SumRef!EY$16,,,SumRef!$E$7))="","",INDIRECT(ADDRESS(SumRef!EY66,SumRef!EY$16,,,SumRef!$E$7))))</f>
        <v>0</v>
      </c>
      <c r="DD60" s="1115" t="str">
        <f ca="1">IF('A-80 DirEntInv'!DG59&lt;&gt;"",'A-80 DirEntInv'!DG59,IF(INDIRECT(ADDRESS(SumRef!EZ66,SumRef!EZ$16,,,SumRef!$E$7))="","",INDIRECT(ADDRESS(SumRef!EZ66,SumRef!EZ$16,,,SumRef!$E$7))))</f>
        <v/>
      </c>
    </row>
    <row r="61" spans="1:108" s="588" customFormat="1" ht="13.5" thickBot="1" x14ac:dyDescent="0.25">
      <c r="A61" s="589">
        <f t="shared" si="0"/>
        <v>51</v>
      </c>
      <c r="B61" s="1155" t="str">
        <f ca="1">IF('A-80 DirEntInv'!B60&lt;&gt;"",'A-80 DirEntInv'!B60,IF(INDIRECT(ADDRESS(SumRef!AQ67,SumRef!AQ$16,,,SumRef!$B$7))="","",INDIRECT(ADDRESS(SumRef!AQ67,SumRef!AQ$16,,,SumRef!$B$7))))</f>
        <v/>
      </c>
      <c r="C61" s="1097" t="str">
        <f ca="1">IF('A-80 DirEntInv'!C60&lt;&gt;"",'A-80 DirEntInv'!C60,IF(INDIRECT(ADDRESS(SumRef!AR67,SumRef!AR$16,,,SumRef!$B$7))="","",INDIRECT(ADDRESS(SumRef!AR67,SumRef!AR$16,,,SumRef!$B$7))))</f>
        <v/>
      </c>
      <c r="D61" s="1097" t="str">
        <f ca="1">IF('A-80 DirEntInv'!D60&lt;&gt;"",'A-80 DirEntInv'!D60,IF(INDIRECT(ADDRESS(SumRef!AS67,SumRef!AS$16,,,SumRef!$B$7))="","",INDIRECT(ADDRESS(SumRef!AS67,SumRef!AS$16,,,SumRef!$B$7))))</f>
        <v/>
      </c>
      <c r="E61" s="1097" t="str">
        <f ca="1">IF('A-80 DirEntInv'!E60&lt;&gt;"",'A-80 DirEntInv'!E60,IF(INDIRECT(ADDRESS(SumRef!AT67,SumRef!AT$16,,,SumRef!$B$7))="","",INDIRECT(ADDRESS(SumRef!AT67,SumRef!AT$16,,,SumRef!$B$7))))</f>
        <v/>
      </c>
      <c r="F61" s="1097" t="str">
        <f ca="1">IF('A-80 DirEntInv'!F60&lt;&gt;"",'A-80 DirEntInv'!F60,IF(INDIRECT(ADDRESS(SumRef!AU67,SumRef!AU$16,,,SumRef!$B$7))="","",INDIRECT(ADDRESS(SumRef!AU67,SumRef!AU$16,,,SumRef!$B$7))))</f>
        <v/>
      </c>
      <c r="G61" s="1158" t="str">
        <f ca="1">IF('A-80 DirEntInv'!G60&lt;&gt;"",'A-80 DirEntInv'!G60,IF(INDIRECT(ADDRESS(SumRef!AV67,SumRef!AV$16,,,SumRef!$B$7))="","",INDIRECT(ADDRESS(SumRef!AV67,SumRef!AV$16,,,SumRef!$B$7))))</f>
        <v/>
      </c>
      <c r="H61" s="1097" t="str">
        <f ca="1">IF('A-80 DirEntInv'!H60&lt;&gt;"",'A-80 DirEntInv'!H60,IF(INDIRECT(ADDRESS(SumRef!AW67,SumRef!AW$16,,,SumRef!$B$7))="","",INDIRECT(ADDRESS(SumRef!AW67,SumRef!AW$16,,,SumRef!$B$7))))</f>
        <v/>
      </c>
      <c r="I61" s="1097" t="str">
        <f ca="1">IF('A-80 DirEntInv'!I60&lt;&gt;"",'A-80 DirEntInv'!I60,IF(INDIRECT(ADDRESS(SumRef!AX67,SumRef!AX$16,,,SumRef!$B$7))="","",INDIRECT(ADDRESS(SumRef!AX67,SumRef!AX$16,,,SumRef!$B$7))))</f>
        <v/>
      </c>
      <c r="J61" s="1098" t="str">
        <f ca="1">IF('A-80 DirEntInv'!J60&lt;&gt;"",'A-80 DirEntInv'!J60,IF(INDIRECT(ADDRESS(SumRef!AY67,SumRef!AY$16,,,SumRef!$B$7))="","",INDIRECT(ADDRESS(SumRef!AY67,SumRef!AY$16,,,SumRef!$B$7))))</f>
        <v/>
      </c>
      <c r="K61" s="1099" t="str">
        <f ca="1">IF('A-80 DirEntInv'!K60&lt;&gt;"",'A-80 DirEntInv'!K60,IF(INDIRECT(ADDRESS(SumRef!AZ67,SumRef!AZ$16,,,SumRef!$B$7))="","",INDIRECT(ADDRESS(SumRef!AZ67,SumRef!AZ$16,,,SumRef!$B$7))))</f>
        <v/>
      </c>
      <c r="L61" s="1100" t="str">
        <f ca="1">IF('A-80 DirEntInv'!L60&lt;&gt;"",'A-80 DirEntInv'!L60,IF(INDIRECT(ADDRESS(SumRef!BA67,SumRef!BA$16,,,SumRef!$B$7))="","",INDIRECT(ADDRESS(SumRef!BA67,SumRef!BA$16,,,SumRef!$B$7))))</f>
        <v/>
      </c>
      <c r="M61" s="1101" t="str">
        <f ca="1">IF('A-80 DirEntInv'!M60&lt;&gt;"",'A-80 DirEntInv'!M60,IF(INDIRECT(ADDRESS(SumRef!BB67,SumRef!BB$16,,,SumRef!$B$7))="","",INDIRECT(ADDRESS(SumRef!BB67,SumRef!BB$16,,,SumRef!$B$7))))</f>
        <v/>
      </c>
      <c r="N61" s="1098" t="str">
        <f ca="1">IF('A-80 DirEntInv'!N60&lt;&gt;"",'A-80 DirEntInv'!N60,IF(INDIRECT(ADDRESS(SumRef!BC67,SumRef!BC$16,,,SumRef!$B$7))="","",INDIRECT(ADDRESS(SumRef!BC67,SumRef!BC$16,,,SumRef!$B$7))))</f>
        <v/>
      </c>
      <c r="O61" s="1102" t="str">
        <f ca="1">IF('A-80 DirEntInv'!O60&lt;&gt;"",'A-80 DirEntInv'!O60,IF(INDIRECT(ADDRESS(SumRef!BD67,SumRef!BD$16,,,SumRef!$B$7))="","",INDIRECT(ADDRESS(SumRef!BD67,SumRef!BD$16,,,SumRef!$B$7))))</f>
        <v/>
      </c>
      <c r="Q61" s="589"/>
      <c r="R61" s="1103" t="str">
        <f ca="1">IF('A-80 DirEntInv'!R60&lt;&gt;"",'A-80 DirEntInv'!R60,IF(INDIRECT(ADDRESS(SumRef!BH67,SumRef!BH$16,,,SumRef!$B$8))="","",INDIRECT(ADDRESS(SumRef!BH67,SumRef!BH$16,,,SumRef!$B$8))))</f>
        <v/>
      </c>
      <c r="S61" s="1104" t="str">
        <f ca="1">IF('A-80 DirEntInv'!S60&lt;&gt;"",'A-80 DirEntInv'!S60,IF(INDIRECT(ADDRESS(SumRef!BI67,SumRef!BI$16,,,SumRef!$B$8))="","",INDIRECT(ADDRESS(SumRef!BI67,SumRef!BI$16,,,SumRef!$B$8))))</f>
        <v/>
      </c>
      <c r="T61" s="1104" t="str">
        <f ca="1">IF('A-80 DirEntInv'!T60&lt;&gt;"",'A-80 DirEntInv'!T60,IF(INDIRECT(ADDRESS(SumRef!BJ67,SumRef!BJ$16,,,SumRef!$B$8))="","",INDIRECT(ADDRESS(SumRef!BJ67,SumRef!BJ$16,,,SumRef!$B$8))))</f>
        <v/>
      </c>
      <c r="U61" s="1104" t="str">
        <f ca="1">IF('A-80 DirEntInv'!U60&lt;&gt;"",'A-80 DirEntInv'!U60,IF(INDIRECT(ADDRESS(SumRef!BK67,SumRef!BK$16,,,SumRef!$B$8))="","",INDIRECT(ADDRESS(SumRef!BK67,SumRef!BK$16,,,SumRef!$B$8))))</f>
        <v/>
      </c>
      <c r="V61" s="1104" t="str">
        <f ca="1">IF('A-80 DirEntInv'!V60&lt;&gt;"",'A-80 DirEntInv'!V60,IF(INDIRECT(ADDRESS(SumRef!BL67,SumRef!BL$16,,,SumRef!$B$8))="","",INDIRECT(ADDRESS(SumRef!BL67,SumRef!BL$16,,,SumRef!$B$8))))</f>
        <v/>
      </c>
      <c r="W61" s="1354" t="str">
        <f ca="1">IF('A-80 DirEntInv'!W60&lt;&gt;"",'A-80 DirEntInv'!W60,IF(INDIRECT(ADDRESS(SumRef!BM67,SumRef!BM$16,,,SumRef!$B$8))="","",INDIRECT(ADDRESS(SumRef!BM67,SumRef!BM$16,,,SumRef!$B$8))))</f>
        <v/>
      </c>
      <c r="X61" s="1203" t="str">
        <f ca="1">IF('A-80 DirEntInv'!X60&lt;&gt;"",'A-80 DirEntInv'!X60,IF(INDIRECT(ADDRESS(SumRef!BN67,SumRef!BN$16,,,SumRef!$B$8))="","",INDIRECT(ADDRESS(SumRef!BN67,SumRef!BN$16,,,SumRef!$B$8))))</f>
        <v/>
      </c>
      <c r="Y61" s="1203" t="str">
        <f ca="1">IF('A-80 DirEntInv'!Y60&lt;&gt;"",'A-80 DirEntInv'!Y60,IF(INDIRECT(ADDRESS(SumRef!BO67,SumRef!BO$16,,,SumRef!$B$8))="","",INDIRECT(ADDRESS(SumRef!BO67,SumRef!BO$16,,,SumRef!$B$8))))</f>
        <v/>
      </c>
      <c r="Z61" s="1104" t="str">
        <f ca="1">IF('A-80 DirEntInv'!Z60&lt;&gt;"",'A-80 DirEntInv'!Z60,IF(INDIRECT(ADDRESS(SumRef!BP67,SumRef!BP$16,,,SumRef!$B$8))="","",INDIRECT(ADDRESS(SumRef!BP67,SumRef!BP$16,,,SumRef!$B$8))))</f>
        <v/>
      </c>
      <c r="AA61" s="1104" t="str">
        <f ca="1">IF('A-80 DirEntInv'!AA60&lt;&gt;"",'A-80 DirEntInv'!AA60,IF(INDIRECT(ADDRESS(SumRef!BQ67,SumRef!BQ$16,,,SumRef!$B$8))="","",INDIRECT(ADDRESS(SumRef!BQ67,SumRef!BQ$16,,,SumRef!$B$8))))</f>
        <v/>
      </c>
      <c r="AB61" s="1106" t="str">
        <f ca="1">IF('A-80 DirEntInv'!AB60&lt;&gt;"",'A-80 DirEntInv'!AB60,IF(INDIRECT(ADDRESS(SumRef!BR67,SumRef!BR$16,,,SumRef!$B$8))="","",INDIRECT(ADDRESS(SumRef!BR67,SumRef!BR$16,,,SumRef!$B$8))))</f>
        <v/>
      </c>
      <c r="AC61" s="1107" t="str">
        <f ca="1">IF('A-80 DirEntInv'!AC60&lt;&gt;"",'A-80 DirEntInv'!AC60,IF(INDIRECT(ADDRESS(SumRef!BS67,SumRef!BS$16,,,SumRef!$B$8))="","",INDIRECT(ADDRESS(SumRef!BS67,SumRef!BS$16,,,SumRef!$B$8))))</f>
        <v/>
      </c>
      <c r="AD61" s="1349" t="str">
        <f ca="1">IF('A-80 DirEntInv'!AD60&lt;&gt;"",'A-80 DirEntInv'!AD60,IF(INDIRECT(ADDRESS(SumRef!BT67,SumRef!BT$16,,,SumRef!$B$8))="","",INDIRECT(ADDRESS(SumRef!BT67,SumRef!BT$16,,,SumRef!$B$8))))</f>
        <v/>
      </c>
      <c r="AE61" s="1137" t="str">
        <f ca="1">IF('A-80 DirEntInv'!AE60&lt;&gt;"",'A-80 DirEntInv'!AE60,IF(INDIRECT(ADDRESS(SumRef!BU67,SumRef!BU$16,,,SumRef!$B$8))="","",INDIRECT(ADDRESS(SumRef!BU67,SumRef!BU$16,,,SumRef!$B$8))))</f>
        <v/>
      </c>
      <c r="AF61" s="1346" t="str">
        <f ca="1">IF('A-80 DirEntInv'!AF60&lt;&gt;"",'A-80 DirEntInv'!AF60,IF(INDIRECT(ADDRESS(SumRef!BV67,SumRef!BV$16,,,SumRef!$B$8))="","",INDIRECT(ADDRESS(SumRef!BV67,SumRef!BV$16,,,SumRef!$B$8))))</f>
        <v/>
      </c>
      <c r="AG61" s="1105" t="str">
        <f ca="1">IF('A-80 DirEntInv'!AG60&lt;&gt;"",'A-80 DirEntInv'!AG60,IF(INDIRECT(ADDRESS(SumRef!BW67,SumRef!BW$16,,,SumRef!$B$8))="","",INDIRECT(ADDRESS(SumRef!BW67,SumRef!BW$16,,,SumRef!$B$8))))</f>
        <v/>
      </c>
      <c r="AH61" s="1357" t="str">
        <f ca="1">IF('A-80 DirEntInv'!AH60&lt;&gt;"",'A-80 DirEntInv'!AH60,IF(INDIRECT(ADDRESS(SumRef!BX67,SumRef!BX$16,,,SumRef!$B$8))="","",INDIRECT(ADDRESS(SumRef!BX67,SumRef!BX$16,,,SumRef!$B$8))))</f>
        <v/>
      </c>
      <c r="AK61" s="1048" t="str">
        <f>Codes!$C$159</f>
        <v>CC - Cable Car (DO)</v>
      </c>
      <c r="AL61" s="1049" t="str">
        <f>Valid!$B$79</f>
        <v>Below-Grade/Submerged Tube</v>
      </c>
      <c r="AM61" s="1119" t="str">
        <f>IF('A-80 DirEntInv'!AM60&lt;&gt;"",'A-80 DirEntInv'!#REF!,IF(AK61=summaryref2!B20,summaryref2!D20,IF(Summary!AK61=summaryref2!B34,summaryref2!D34,IF(AK61=summaryref2!B48,summaryref2!D48,IF(AK61=summaryref2!B62,summaryref2!D62,IF(AK61=summaryref2!B76,summaryref2!D76,IF(AK61=summaryref2!B90,summaryref2!D90,IF(AK61=summaryref2!B104,summaryref2!D104,IF(AK61=summaryref2!B118,summaryref2!D118,IF(AK61=summaryref2!B132,summaryref2!D132,IF(AK61=summaryref2!B146,summaryref2!D146,"")))))))))))</f>
        <v/>
      </c>
      <c r="AN61" s="1120" t="str">
        <f ca="1">IF('A-80 DirEntInv'!AN60&lt;&gt;"",'A-80 DirEntInv'!AN60,IF(INDIRECT(ADDRESS(SumRef!#REF!,SumRef!CG$16,,,SumRef!$C$7))="","",INDIRECT(ADDRESS(SumRef!#REF!,SumRef!CG$16,,,SumRef!$C$7))))</f>
        <v>Linear Feet</v>
      </c>
      <c r="AO61" s="1119" t="str">
        <f>IF('A-80 DirEntInv'!AO60&lt;&gt;"",'A-80 DirEntInv'!AO60,IF(AK61=summaryref2!B20,summaryref2!F20,IF(Summary!AK61=summaryref2!B34,summaryref2!F34,IF(AK61=summaryref2!B48,summaryref2!F48,IF(AK61=summaryref2!B62,summaryref2!F62,IF(AK61=summaryref2!B76,summaryref2!F76,IF(AK61=summaryref2!B90,summaryref2!F90,IF(AK61=summaryref2!B104,summaryref2!F104,IF(AK61=summaryref2!B118,summaryref2!F118,IF(AK61=summaryref2!B132,summaryref2!F132,IF(AK61=summaryref2!B146,summaryref2!F146,"")))))))))))</f>
        <v/>
      </c>
      <c r="AP61" s="1120" t="str">
        <f ca="1">IF('A-80 DirEntInv'!AP60&lt;&gt;"",'A-80 DirEntInv'!AP60,IF(INDIRECT(ADDRESS(SumRef!#REF!,SumRef!#REF!,,,SumRef!$C$7))="","",INDIRECT(ADDRESS(SumRef!#REF!,SumRef!#REF!,,,SumRef!$C$7))))</f>
        <v>Track Feet</v>
      </c>
      <c r="AQ61" s="1148" t="str">
        <f>IF('A-80 DirEntInv'!AQ60&lt;&gt;"",'A-80 DirEntInv'!AQ60,IF(AK61=summaryref2!B20,summaryref2!G20,IF(Summary!AK61=summaryref2!B34,summaryref2!G34,IF(AK61=summaryref2!B48,summaryref2!G48,IF(AK61=summaryref2!B62,summaryref2!G62,IF(AK61=summaryref2!B76,summaryref2!G76,IF(AK61=summaryref2!B90,summaryref2!G90,IF(AK61=summaryref2!B104,summaryref2!G104,IF(AK61=summaryref2!B118,summaryref2!G118,IF(AK61=summaryref2!B132,summaryref2!G132,IF(AK61=summaryref2!B146,summaryref2!G146,"")))))))))))</f>
        <v/>
      </c>
      <c r="AR61" s="1148" t="str">
        <f>IF('A-80 DirEntInv'!AR60&lt;&gt;"",'A-80 DirEntInv'!AR60,IF(AK61=summaryref2!B20,summaryref2!H20,IF(Summary!AK61=summaryref2!B34,summaryref2!H34,IF(AK61=summaryref2!B48,summaryref2!H48,IF(AK61=summaryref2!B62,summaryref2!H62,IF(AK61=summaryref2!B76,summaryref2!H76,IF(AK61=summaryref2!B90,summaryref2!H90,IF(AK61=summaryref2!B104,summaryref2!H104,IF(AK61=summaryref2!B118,summaryref2!H118,IF(AK61=summaryref2!B132,summaryref2!H132,IF(AK61=summaryref2!B146,summaryref2!H146,"")))))))))))</f>
        <v/>
      </c>
      <c r="AS61" s="1121" t="str">
        <f>IF('A-80 DirEntInv'!AS60&lt;&gt;"",'A-80 DirEntInv'!AS60,IF(AK61=summaryref2!B20,summaryref2!I20,IF(Summary!AK61=summaryref2!B34,summaryref2!I34,IF(AK61=summaryref2!B48,summaryref2!I48,IF(AK61=summaryref2!B62,summaryref2!I62,IF(AK61=summaryref2!B76,summaryref2!I76,IF(AK61=summaryref2!B90,summaryref2!I90,IF(AK61=summaryref2!B104,summaryref2!I104,IF(AK61=summaryref2!B118,summaryref2!I118,IF(AK61=summaryref2!B132,summaryref2!I132,IF(AK61=summaryref2!B146,summaryref2!I146,"")))))))))))</f>
        <v/>
      </c>
      <c r="AT61" s="1121" t="str">
        <f>IF('A-80 DirEntInv'!AT60&lt;&gt;"",'A-80 DirEntInv'!AT60,IF(AK61=summaryref2!B20,summaryref2!J20,IF(Summary!AK61=summaryref2!B34,summaryref2!J34,IF(AK61=summaryref2!B48,summaryref2!J48,IF(AK61=summaryref2!B62,summaryref2!J62,IF(AK61=summaryref2!B76,summaryref2!J76,IF(AK61=summaryref2!B90,summaryref2!J90,IF(AK61=summaryref2!B104,summaryref2!J104,IF(AK61=summaryref2!B118,summaryref2!J118,IF(AK61=summaryref2!B132,summaryref2!J132,IF(AK61=summaryref2!B146,summaryref2!J146,"")))))))))))</f>
        <v/>
      </c>
      <c r="AU61" s="1121" t="str">
        <f>IF('A-80 DirEntInv'!AU60&lt;&gt;"",'A-80 DirEntInv'!AU60,IF(AK61=summaryref2!B20,summaryref2!K20,IF(Summary!AK61=summaryref2!B34,summaryref2!K34,IF(AK61=summaryref2!B48,summaryref2!K48,IF(AK61=summaryref2!B62,summaryref2!K62,IF(AK61=summaryref2!B76,summaryref2!K76,IF(AK61=summaryref2!B90,summaryref2!K90,IF(AK61=summaryref2!B104,summaryref2!K104,IF(AK61=summaryref2!B118,summaryref2!K118,IF(AK61=summaryref2!B132,summaryref2!K132,IF(AK61=summaryref2!B146,summaryref2!K146,"")))))))))))</f>
        <v/>
      </c>
      <c r="AV61" s="1121" t="str">
        <f>IF('A-80 DirEntInv'!AV60&lt;&gt;"",'A-80 DirEntInv'!AV60,IF(AK61=summaryref2!B20,summaryref2!L20,IF(Summary!AK61=summaryref2!B34,summaryref2!L34,IF(AK61=summaryref2!B48,summaryref2!L48,IF(AK61=summaryref2!B62,summaryref2!L62,IF(AK61=summaryref2!B76,summaryref2!L76,IF(AK61=summaryref2!B90,summaryref2!L90,IF(AK61=summaryref2!B104,summaryref2!L104,IF(AK61=summaryref2!B118,summaryref2!L118,IF(AK61=summaryref2!B132,summaryref2!L132,IF(AK61=summaryref2!B146,summaryref2!L146,"")))))))))))</f>
        <v/>
      </c>
      <c r="AW61" s="1121" t="str">
        <f>IF('A-80 DirEntInv'!AW60&lt;&gt;"",'A-80 DirEntInv'!AW60,IF(AK61=summaryref2!B20,summaryref2!M20,IF(Summary!AK61=summaryref2!B34,summaryref2!M34,IF(AK61=summaryref2!B48,summaryref2!M48,IF(AK61=summaryref2!B62,summaryref2!M62,IF(AK61=summaryref2!B76,summaryref2!M76,IF(AK61=summaryref2!B90,summaryref2!M90,IF(AK61=summaryref2!B104,summaryref2!M104,IF(AK61=summaryref2!B118,summaryref2!M118,IF(AK61=summaryref2!B132,summaryref2!M132,IF(AK61=summaryref2!B146,summaryref2!M146,"")))))))))))</f>
        <v/>
      </c>
      <c r="AX61" s="1121" t="str">
        <f>IF('A-80 DirEntInv'!AX60&lt;&gt;"",'A-80 DirEntInv'!AX60,IF(AK61=summaryref2!B20,summaryref2!N20,IF(Summary!AK61=summaryref2!B34,summaryref2!N34,IF(AK61=summaryref2!B48,summaryref2!N48,IF(AK61=summaryref2!B62,summaryref2!N62,IF(AK61=summaryref2!B76,summaryref2!N76,IF(AK61=summaryref2!B90,summaryref2!N90,IF(AK61=summaryref2!B104,summaryref2!N104,IF(AK61=summaryref2!B118,summaryref2!N118,IF(AK61=summaryref2!B132,summaryref2!N132,IF(AK61=summaryref2!B146,summaryref2!N146,"")))))))))))</f>
        <v/>
      </c>
      <c r="AY61" s="1121" t="str">
        <f>IF('A-80 DirEntInv'!AY60&lt;&gt;"",'A-80 DirEntInv'!AY60,IF(AK61=summaryref2!B20,summaryref2!O20,IF(Summary!AK61=summaryref2!B34,summaryref2!O34,IF(AK61=summaryref2!B48,summaryref2!O48,IF(AK61=summaryref2!B62,summaryref2!O62,IF(AK61=summaryref2!B76,summaryref2!O76,IF(AK61=summaryref2!B90,summaryref2!O90,IF(AK61=summaryref2!B104,summaryref2!O104,IF(AK61=summaryref2!B118,summaryref2!O118,IF(AK61=summaryref2!B132,summaryref2!O132,IF(AK61=summaryref2!B146,summaryref2!O146,"")))))))))))</f>
        <v/>
      </c>
      <c r="AZ61" s="1121" t="str">
        <f>IF('A-80 DirEntInv'!AZ60&lt;&gt;"",'A-80 DirEntInv'!AZ60,IF(AK61=summaryref2!B20,summaryref2!P20,IF(Summary!AK61=summaryref2!B34,summaryref2!P34,IF(AK61=summaryref2!B48,summaryref2!P48,IF(AK61=summaryref2!B62,summaryref2!P62,IF(AK61=summaryref2!B76,summaryref2!P76,IF(AK61=summaryref2!B90,summaryref2!P90,IF(AK61=summaryref2!B104,summaryref2!P104,IF(AK61=summaryref2!B118,summaryref2!P118,IF(AK61=summaryref2!B132,summaryref2!P132,IF(AK61=summaryref2!B146,summaryref2!P146,"")))))))))))</f>
        <v/>
      </c>
      <c r="BA61" s="1121" t="str">
        <f>IF('A-80 DirEntInv'!BA60&lt;&gt;"",'A-80 DirEntInv'!BA60,IF(AK61=summaryref2!B20,summaryref2!Q20,IF(Summary!AK61=summaryref2!B34,summaryref2!Q34,IF(AK61=summaryref2!B48,summaryref2!Q48,IF(AK61=summaryref2!B62,summaryref2!Q62,IF(AK61=summaryref2!B76,summaryref2!Q76,IF(AK61=summaryref2!B90,summaryref2!Q90,IF(AK61=summaryref2!B104,summaryref2!Q104,IF(AK61=summaryref2!B118,summaryref2!Q118,IF(AK61=summaryref2!B132,summaryref2!Q132,IF(AK61=summaryref2!B146,summaryref2!Q146,"")))))))))))</f>
        <v/>
      </c>
      <c r="BB61" s="1121" t="str">
        <f>IF('A-80 DirEntInv'!BB60&lt;&gt;"",'A-80 DirEntInv'!BB60,IF(AK61=summaryref2!B20,summaryref2!R20,IF(Summary!AK61=summaryref2!B34,summaryref2!R34,IF(AK61=summaryref2!B48,summaryref2!R48,IF(AK61=summaryref2!B62,summaryref2!R62,IF(AK61=summaryref2!B76,summaryref2!R76,IF(AK61=summaryref2!B90,summaryref2!R90,IF(AK61=summaryref2!B104,summaryref2!R104,IF(AK61=summaryref2!B118,summaryref2!R118,IF(AK61=summaryref2!B132,summaryref2!R132,IF(AK61=summaryref2!B146,summaryref2!R146,"")))))))))))</f>
        <v/>
      </c>
      <c r="BC61" s="1121" t="str">
        <f>IF('A-80 DirEntInv'!BC60&lt;&gt;0,'A-80 DirEntInv'!BC60,IF(AK61=summaryref2!B20,summaryref2!S20,IF(Summary!AK61=summaryref2!B34,summaryref2!S34,IF(AK61=summaryref2!B48,summaryref2!S48,IF(AK61=summaryref2!B62,summaryref2!S62,IF(AK61=summaryref2!B76,summaryref2!S76,IF(AK61=summaryref2!B90,summaryref2!S90,IF(AK61=summaryref2!B104,summaryref2!S104,IF(AK61=summaryref2!B118,summaryref2!S118,IF(AK61=summaryref2!B132,summaryref2!S132,IF(AK61=summaryref2!B146,summaryref2!S146,"")))))))))))</f>
        <v/>
      </c>
      <c r="BD61" s="1122" t="str">
        <f>IF('A-80 DirEntInv'!BD60&lt;&gt;"",'A-80 DirEntInv'!BD60,IF(AK61=summaryref2!B20,summaryref2!T20,IF(Summary!AK61=summaryref2!B34,summaryref2!T34,IF(AK61=summaryref2!B48,summaryref2!T48,IF(AK61=summaryref2!B62,summaryref2!T62,IF(AK61=summaryref2!B76,summaryref2!T76,IF(AK61=summaryref2!B90,summaryref2!T90,IF(AK61=summaryref2!B104,summaryref2!T104,IF(AK61=summaryref2!B118,summaryref2!T118,IF(AK61=summaryref2!B132,summaryref2!T132,IF(AK61=summaryref2!B146,summaryref2!T146,"")))))))))))</f>
        <v/>
      </c>
      <c r="BE61" s="1190" t="str">
        <f>IF('A-80 DirEntInv'!BE60&lt;&gt;"",'A-80 DirEntInv'!BE60,IF(AK61=summaryref2!B20,summaryref2!U20,IF(Summary!AK61=summaryref2!B34,summaryref2!U34,IF(AK61=summaryref2!B48,summaryref2!U48,IF(AK61=summaryref2!B62,summaryref2!U62,IF(AK61=summaryref2!B76,summaryref2!U76,IF(AK61=summaryref2!B90,summaryref2!U90,IF(AK61=summaryref2!B104,summaryref2!U104,IF(AK61=summaryref2!B118,summaryref2!U118,IF(AK61=summaryref2!B132,summaryref2!U132,IF(AK61=summaryref2!B146,summaryref2!U146,"")))))))))))</f>
        <v/>
      </c>
      <c r="BF61" s="1432"/>
      <c r="BG61" s="1432"/>
      <c r="BJ61" s="1048" t="str">
        <f>Codes!$C$163</f>
        <v>HR - Heavy Rail (DO)</v>
      </c>
      <c r="BK61" s="1049" t="str">
        <f>Valid!$B$81</f>
        <v>Curve</v>
      </c>
      <c r="BL61" s="1367" t="str">
        <f>IF('A-80 DirEntInv'!BL60&lt;&gt;"",'A-80 DirEntInv'!BL60,IF(BJ61=summaryref2!X13,summaryref2!Z13,IF(BJ61=summaryref2!X20,summaryref2!Z20,IF(BJ61=summaryref2!X27,summaryref2!Z27,IF(BJ61=summaryref2!X34,summaryref2!Z34,IF(BJ61=summaryref2!X41,summaryref2!Z41,IF(BJ61=summaryref2!X48,summaryref2!Z48,IF(BJ61=summaryref2!X55,summaryref2!Z55,IF(BJ61=summaryref2!X62,summaryref2!Z62,IF(BJ61=summaryref2!X69,summaryref2!Z69,IF(BJ61=summaryref2!X76,summaryref2!Z76,"")))))))))))</f>
        <v/>
      </c>
      <c r="BM61" s="1049" t="str">
        <f>VLOOKUP(BK61,Valid!$B$80:$C$86,2,FALSE)</f>
        <v>Track Feet</v>
      </c>
      <c r="BN61" s="1324" t="str">
        <f>IF('A-80 DirEntInv'!BN60&lt;&gt;"",'A-80 DirEntInv'!BN60,IF(BJ61=summaryref2!X13,summaryref2!AB13,IF(BJ61=summaryref2!X20,summaryref2!AB20,IF(BJ61=summaryref2!X27,summaryref2!AB27,IF(BJ61=summaryref2!X34,summaryref2!AB34,IF(BJ61=summaryref2!X41,summaryref2!AB41,IF(BJ61=summaryref2!X48,summaryref2!AB48,IF(BJ61=summaryref2!X55,summaryref2!AB55,IF(BJ61=summaryref2!X62,summaryref2!AB62,IF(BJ61=summaryref2!X69,summaryref2!AB69,IF(BJ61=summaryref2!X76,summaryref2!AB76,"")))))))))))</f>
        <v/>
      </c>
      <c r="BO61" s="1326" t="str">
        <f>IF('A-80 DirEntInv'!BO60&lt;&gt;"",'A-80 DirEntInv'!BO60,IF(BJ61=summaryref2!X13,summaryref2!AC13,IF(BJ61=summaryref2!X20,summaryref2!AC20,IF(BJ61=summaryref2!X27,summaryref2!AC27,IF(BJ61=summaryref2!X34,summaryref2!AC34,IF(BJ61=summaryref2!X41,summaryref2!AC41,IF(BJ61=summaryref2!X48,summaryref2!AC48,IF(BJ61=summaryref2!X55,summaryref2!AC55,IF(BJ61=summaryref2!X62,summaryref2!AC62,IF(BJ61=summaryref2!X69,summaryref2!AC69,IF(BJ61=summaryref2!X76,summaryref2!AC76,"")))))))))))</f>
        <v/>
      </c>
      <c r="BP61" s="1323" t="str">
        <f>IF('A-80 DirEntInv'!BP60&lt;&gt;"",'A-80 DirEntInv'!BP60,IF(BJ61=summaryref2!X13,summaryref2!AD13,IF(BJ61=summaryref2!X20,summaryref2!AD20,IF(BJ61=summaryref2!X27,summaryref2!AD27,IF(BJ61=summaryref2!X34,summaryref2!AD34,IF(BJ61=summaryref2!X41,summaryref2!AD41,IF(BJ61=summaryref2!X48,summaryref2!AD48,IF(BJ61=summaryref2!X55,summaryref2!AD55,IF(BJ61=summaryref2!X62,summaryref2!AD62,IF(BJ61=summaryref2!X69,summaryref2!AD69,IF(BJ61=summaryref2!X76,summaryref2!AD76,"")))))))))))</f>
        <v/>
      </c>
      <c r="BS61" s="1472" t="str">
        <f ca="1">IF('A-80 DirEntInv'!BU60&lt;&gt;"",'A-80 DirEntInv'!BU60,IF(INDIRECT(ADDRESS(SumRef!DK67,SumRef!DK$16,,,SumRef!$E$6))="","",INDIRECT(ADDRESS(SumRef!DK67,SumRef!DK$16,,,SumRef!$E$6))))</f>
        <v/>
      </c>
      <c r="BT61" s="1458" t="str">
        <f ca="1">IF('A-80 DirEntInv'!BV60&lt;&gt;"",'A-80 DirEntInv'!BV60,IF(INDIRECT(ADDRESS(SumRef!DL67,SumRef!DL$16,,,SumRef!$E$6))="","",INDIRECT(ADDRESS(SumRef!DL67,SumRef!DL$16,,,SumRef!$E$6))))</f>
        <v/>
      </c>
      <c r="BU61" s="1177" t="str">
        <f ca="1">IF('A-80 DirEntInv'!BW60&lt;&gt;"",'A-80 DirEntInv'!BW60,IF(INDIRECT(ADDRESS(SumRef!DM67,SumRef!DM$16,,,SumRef!$E$6))="","",INDIRECT(ADDRESS(SumRef!DM67,SumRef!DM$16,,,SumRef!$E$6))))</f>
        <v/>
      </c>
      <c r="BV61" s="1460" t="str">
        <f ca="1">IF('A-80 DirEntInv'!BX60&lt;&gt;"",'A-80 DirEntInv'!BX60,IF(INDIRECT(ADDRESS(SumRef!DN67,SumRef!DN$16,,,SumRef!$E$6))="","",INDIRECT(ADDRESS(SumRef!DN67,SumRef!DN$16,,,SumRef!$E$6))))</f>
        <v/>
      </c>
      <c r="BW61" s="1460" t="str">
        <f ca="1">IF('A-80 DirEntInv'!BY60&lt;&gt;"",'A-80 DirEntInv'!BY60,IF(INDIRECT(ADDRESS(SumRef!DO67,SumRef!DO$16,,,SumRef!$E$6))="","",INDIRECT(ADDRESS(SumRef!DO67,SumRef!DO$16,,,SumRef!$E$6))))</f>
        <v/>
      </c>
      <c r="BX61" s="1116" t="str">
        <f ca="1">IF('A-80 DirEntInv'!BZ60&lt;&gt;"",'A-80 DirEntInv'!BZ60,IF(INDIRECT(ADDRESS(SumRef!DP67,SumRef!DP$16,,,SumRef!$E$6))="","",INDIRECT(ADDRESS(SumRef!DP67,SumRef!DP$16,,,SumRef!$E$6))))</f>
        <v/>
      </c>
      <c r="BY61" s="1461" t="str">
        <f ca="1">IF('A-80 DirEntInv'!CA60&lt;&gt;"",'A-80 DirEntInv'!CA60,IF(INDIRECT(ADDRESS(SumRef!DQ67,SumRef!DQ$16,,,SumRef!$E$6))="","",INDIRECT(ADDRESS(SumRef!DQ67,SumRef!DQ$16,,,SumRef!$E$6))))</f>
        <v/>
      </c>
      <c r="BZ61" s="1460" t="str">
        <f ca="1">IF('A-80 DirEntInv'!CB60&lt;&gt;"",'A-80 DirEntInv'!CB60,IF(INDIRECT(ADDRESS(SumRef!DR67,SumRef!DR$16,,,SumRef!$E$6))="","",INDIRECT(ADDRESS(SumRef!DR67,SumRef!DR$16,,,SumRef!$E$6))))</f>
        <v/>
      </c>
      <c r="CA61" s="1462" t="str">
        <f ca="1">IF('A-80 DirEntInv'!CC60&lt;&gt;"",'A-80 DirEntInv'!CC60,IF(INDIRECT(ADDRESS(SumRef!DS67,SumRef!DS$16,,,SumRef!$E$6))="","",INDIRECT(ADDRESS(SumRef!DS67,SumRef!DS$16,,,SumRef!$E$6))))</f>
        <v/>
      </c>
      <c r="CD61" s="1160" t="str">
        <f ca="1">IF('A-80 DirEntInv'!CF60&lt;&gt;"",'A-80 DirEntInv'!CF60,IF(INDIRECT(ADDRESS(SumRef!DV67,SumRef!DV$16,,,SumRef!$E$7))="","",INDIRECT(ADDRESS(SumRef!DV67,SumRef!DV$16,,,SumRef!$E$7))))</f>
        <v/>
      </c>
      <c r="CE61" s="1167" t="str">
        <f ca="1">IF('A-80 DirEntInv'!CG60&lt;&gt;"",'A-80 DirEntInv'!CG60,IF(INDIRECT(ADDRESS(SumRef!DW67,SumRef!DW$16,,,SumRef!$E$7))="","",INDIRECT(ADDRESS(SumRef!DW67,SumRef!DW$16,,,SumRef!$E$7))))</f>
        <v/>
      </c>
      <c r="CF61" s="1167" t="str">
        <f ca="1">IF('A-80 DirEntInv'!CH60&lt;&gt;"",'A-80 DirEntInv'!CH60,IF(INDIRECT(ADDRESS(SumRef!DX67,SumRef!DX$16,,,SumRef!$E$7))="","",INDIRECT(ADDRESS(SumRef!DX67,SumRef!DX$16,,,SumRef!$E$7))))</f>
        <v/>
      </c>
      <c r="CG61" s="1167" t="str">
        <f ca="1">IF('A-80 DirEntInv'!CI60&lt;&gt;"",'A-80 DirEntInv'!CI60,IF(INDIRECT(ADDRESS(SumRef!DY67,SumRef!DY$16,,,SumRef!$E$7))="","",INDIRECT(ADDRESS(SumRef!DY67,SumRef!DY$16,,,SumRef!$E$7))))</f>
        <v/>
      </c>
      <c r="CH61" s="1167" t="str">
        <f ca="1">IF('A-80 DirEntInv'!CJ60&lt;&gt;"",'A-80 DirEntInv'!CJ60,IF(INDIRECT(ADDRESS(SumRef!DZ67,SumRef!DZ$16,,,SumRef!$E$7))="","",INDIRECT(ADDRESS(SumRef!DZ67,SumRef!DZ$16,,,SumRef!$E$7))))</f>
        <v/>
      </c>
      <c r="CI61" s="1167" t="str">
        <f ca="1">IF('A-80 DirEntInv'!CK60&lt;&gt;"",'A-80 DirEntInv'!CK60,IF(INDIRECT(ADDRESS(SumRef!EA67,SumRef!EA$16,,,SumRef!$E$7))="","",INDIRECT(ADDRESS(SumRef!EA67,SumRef!EA$16,,,SumRef!$E$7))))</f>
        <v/>
      </c>
      <c r="CJ61" s="1114" t="str">
        <f ca="1">IF('A-80 DirEntInv'!CL60&lt;&gt;"",'A-80 DirEntInv'!CL60,IF(INDIRECT(ADDRESS(SumRef!EB67,SumRef!EB$16,,,SumRef!$E$7))="","",INDIRECT(ADDRESS(SumRef!EB67,SumRef!EB$16,,,SumRef!$E$7))))</f>
        <v/>
      </c>
      <c r="CK61" s="1114" t="str">
        <f ca="1">IF('A-80 DirEntInv'!CM60&lt;&gt;"",'A-80 DirEntInv'!CM60,IF(INDIRECT(ADDRESS(SumRef!EC67,SumRef!EC$16,,,SumRef!$E$7))="","",INDIRECT(ADDRESS(SumRef!EC67,SumRef!EC$16,,,SumRef!$E$7))))</f>
        <v/>
      </c>
      <c r="CL61" s="1113" t="str">
        <f ca="1">IF('A-80 DirEntInv'!CO60&lt;&gt;"",'A-80 DirEntInv'!CO60,IF(INDIRECT(ADDRESS(SumRef!ED67,SumRef!ED$16,,,SumRef!$E$7))="","",INDIRECT(ADDRESS(SumRef!ED67,SumRef!ED$16,,,SumRef!$E$7))))</f>
        <v/>
      </c>
      <c r="CM61" s="1114" t="str">
        <f ca="1">IF('A-80 DirEntInv'!CP60&lt;&gt;"",'A-80 DirEntInv'!CP60,IF(INDIRECT(ADDRESS(SumRef!EE67,SumRef!EE$16,,,SumRef!$E$7))="","",INDIRECT(ADDRESS(SumRef!EE67,SumRef!EE$16,,,SumRef!$E$7))))</f>
        <v/>
      </c>
      <c r="CN61" s="1114" t="str">
        <f ca="1">IF('A-80 DirEntInv'!CQ60&lt;&gt;"",'A-80 DirEntInv'!CQ60,IF(INDIRECT(ADDRESS(SumRef!EF67,SumRef!EF$16,,,SumRef!$E$7))="","",INDIRECT(ADDRESS(SumRef!EF67,SumRef!EF$16,,,SumRef!$E$7))))</f>
        <v/>
      </c>
      <c r="CO61" s="1113" t="str">
        <f ca="1">IF('A-80 DirEntInv'!CR60&lt;&gt;"",'A-80 DirEntInv'!CR60,IF(INDIRECT(ADDRESS(SumRef!EG67,SumRef!EG$16,,,SumRef!$E$7))="","",INDIRECT(ADDRESS(SumRef!EG67,SumRef!EG$16,,,SumRef!$E$7))))</f>
        <v/>
      </c>
      <c r="CP61" s="1114" t="str">
        <f ca="1">IF('A-80 DirEntInv'!CS60&lt;&gt;"",'A-80 DirEntInv'!CS60,IF(INDIRECT(ADDRESS(SumRef!EH67,SumRef!EH$16,,,SumRef!$E$7))="","",INDIRECT(ADDRESS(SumRef!EH67,SumRef!EH$16,,,SumRef!$E$7))))</f>
        <v/>
      </c>
      <c r="CQ61" s="1346" t="str">
        <f ca="1">IF('A-80 DirEntInv'!CT60&lt;&gt;"",'A-80 DirEntInv'!CT60,IF(INDIRECT(ADDRESS(SumRef!EI67,SumRef!EI$16,,,SumRef!$E$7))="","",INDIRECT(ADDRESS(SumRef!EI67,SumRef!EI$16,,,SumRef!$E$7))))</f>
        <v/>
      </c>
      <c r="CR61" s="1113" t="str">
        <f ca="1">IF('A-80 DirEntInv'!CU60&lt;&gt;"",'A-80 DirEntInv'!CU60,IF(INDIRECT(ADDRESS(SumRef!EJ67,SumRef!EJ$16,,,SumRef!$E$7))="","",INDIRECT(ADDRESS(SumRef!EJ67,SumRef!EJ$16,,,SumRef!$E$7))))</f>
        <v/>
      </c>
      <c r="CS61" s="1346" t="str">
        <f ca="1">IF('A-80 DirEntInv'!CV60&lt;&gt;"",'A-80 DirEntInv'!CV60,IF(INDIRECT(ADDRESS(SumRef!EM67,SumRef!EM$16,,,SumRef!$E$7))="","",INDIRECT(ADDRESS(SumRef!EM67,SumRef!EM$16,,,SumRef!$E$7))))</f>
        <v/>
      </c>
      <c r="CT61" s="1113" t="str">
        <f ca="1">IF('A-80 DirEntInv'!CW60&lt;&gt;"",'A-80 DirEntInv'!CW60,IF(INDIRECT(ADDRESS(SumRef!EN67,SumRef!EN$16,,,SumRef!$E$7))="","",INDIRECT(ADDRESS(SumRef!EN67,SumRef!EN$16,,,SumRef!$E$7))))</f>
        <v/>
      </c>
      <c r="CU61" s="1113" t="str">
        <f ca="1">IF('A-80 DirEntInv'!CX60&lt;&gt;"",'A-80 DirEntInv'!CX60,IF(INDIRECT(ADDRESS(SumRef!EO67,SumRef!EO$16,,,SumRef!$E$7))="","",INDIRECT(ADDRESS(SumRef!EO67,SumRef!EO$16,,,SumRef!$E$7))))</f>
        <v/>
      </c>
      <c r="CV61" s="1113" t="str">
        <f ca="1">IF('A-80 DirEntInv'!CY60&lt;&gt;"",'A-80 DirEntInv'!CY60,IF(INDIRECT(ADDRESS(SumRef!EP67,SumRef!EP$16,,,SumRef!$E$7))="","",INDIRECT(ADDRESS(SumRef!EP67,SumRef!EP$16,,,SumRef!$E$7))))</f>
        <v/>
      </c>
      <c r="CW61" s="1114" t="str">
        <f ca="1">IF('A-80 DirEntInv'!CZ60&lt;&gt;"",'A-80 DirEntInv'!CZ60,IF(INDIRECT(ADDRESS(SumRef!ES67,SumRef!ES$16,,,SumRef!$E$7))="","",INDIRECT(ADDRESS(SumRef!ES67,SumRef!ES$16,,,SumRef!$E$7))))</f>
        <v/>
      </c>
      <c r="CX61" s="1167" t="str">
        <f ca="1">IF('A-80 DirEntInv'!DA60&lt;&gt;"",'A-80 DirEntInv'!DA60,IF(INDIRECT(ADDRESS(SumRef!ET67,SumRef!ET$16,,,SumRef!$E$7))="","",INDIRECT(ADDRESS(SumRef!ET67,SumRef!ET$16,,,SumRef!$E$7))))</f>
        <v/>
      </c>
      <c r="CY61" s="1167" t="str">
        <f ca="1">IF('A-80 DirEntInv'!DB60&lt;&gt;"",'A-80 DirEntInv'!DB60,IF(INDIRECT(ADDRESS(SumRef!EU67,SumRef!EU$16,,,SumRef!$E$7))="","",INDIRECT(ADDRESS(SumRef!EU67,SumRef!EU$16,,,SumRef!$E$7))))</f>
        <v/>
      </c>
      <c r="CZ61" s="1167" t="b">
        <f ca="1">IF('A-80 DirEntInv'!DC60&lt;&gt;"",'A-80 DirEntInv'!DC60,IF(INDIRECT(ADDRESS(SumRef!EV67,SumRef!EV$16,,,SumRef!$E$7))="","",INDIRECT(ADDRESS(SumRef!EV67,SumRef!EV$16,,,SumRef!$E$7))))</f>
        <v>0</v>
      </c>
      <c r="DA61" s="1373" t="str">
        <f ca="1">IF('A-80 DirEntInv'!DD60&lt;&gt;"",'A-80 DirEntInv'!DD60,IF(INDIRECT(ADDRESS(SumRef!EW67,SumRef!EW$16,,,SumRef!$E$7))="","",INDIRECT(ADDRESS(SumRef!EW67,SumRef!EW$16,,,SumRef!$E$7))))</f>
        <v/>
      </c>
      <c r="DB61" s="1373" t="b">
        <f ca="1">IF('A-80 DirEntInv'!DE60&lt;&gt;"",'A-80 DirEntInv'!DE60,IF(INDIRECT(ADDRESS(SumRef!EX67,SumRef!EX$16,,,SumRef!$E$7))="","",INDIRECT(ADDRESS(SumRef!EX67,SumRef!EX$16,,,SumRef!$E$7))))</f>
        <v>0</v>
      </c>
      <c r="DC61" s="1114" t="b">
        <f ca="1">IF('A-80 DirEntInv'!DF60&lt;&gt;"",'A-80 DirEntInv'!DF60,IF(INDIRECT(ADDRESS(SumRef!EY67,SumRef!EY$16,,,SumRef!$E$7))="","",INDIRECT(ADDRESS(SumRef!EY67,SumRef!EY$16,,,SumRef!$E$7))))</f>
        <v>0</v>
      </c>
      <c r="DD61" s="1115" t="str">
        <f ca="1">IF('A-80 DirEntInv'!DG60&lt;&gt;"",'A-80 DirEntInv'!DG60,IF(INDIRECT(ADDRESS(SumRef!EZ67,SumRef!EZ$16,,,SumRef!$E$7))="","",INDIRECT(ADDRESS(SumRef!EZ67,SumRef!EZ$16,,,SumRef!$E$7))))</f>
        <v/>
      </c>
    </row>
    <row r="62" spans="1:108" s="588" customFormat="1" ht="13.5" thickTop="1" x14ac:dyDescent="0.2">
      <c r="A62" s="589">
        <f t="shared" si="0"/>
        <v>52</v>
      </c>
      <c r="B62" s="1155" t="str">
        <f ca="1">IF('A-80 DirEntInv'!B61&lt;&gt;"",'A-80 DirEntInv'!B61,IF(INDIRECT(ADDRESS(SumRef!AQ68,SumRef!AQ$16,,,SumRef!$B$7))="","",INDIRECT(ADDRESS(SumRef!AQ68,SumRef!AQ$16,,,SumRef!$B$7))))</f>
        <v/>
      </c>
      <c r="C62" s="1097" t="str">
        <f ca="1">IF('A-80 DirEntInv'!C61&lt;&gt;"",'A-80 DirEntInv'!C61,IF(INDIRECT(ADDRESS(SumRef!AR68,SumRef!AR$16,,,SumRef!$B$7))="","",INDIRECT(ADDRESS(SumRef!AR68,SumRef!AR$16,,,SumRef!$B$7))))</f>
        <v/>
      </c>
      <c r="D62" s="1097" t="str">
        <f ca="1">IF('A-80 DirEntInv'!D61&lt;&gt;"",'A-80 DirEntInv'!D61,IF(INDIRECT(ADDRESS(SumRef!AS68,SumRef!AS$16,,,SumRef!$B$7))="","",INDIRECT(ADDRESS(SumRef!AS68,SumRef!AS$16,,,SumRef!$B$7))))</f>
        <v/>
      </c>
      <c r="E62" s="1097" t="str">
        <f ca="1">IF('A-80 DirEntInv'!E61&lt;&gt;"",'A-80 DirEntInv'!E61,IF(INDIRECT(ADDRESS(SumRef!AT68,SumRef!AT$16,,,SumRef!$B$7))="","",INDIRECT(ADDRESS(SumRef!AT68,SumRef!AT$16,,,SumRef!$B$7))))</f>
        <v/>
      </c>
      <c r="F62" s="1097" t="str">
        <f ca="1">IF('A-80 DirEntInv'!F61&lt;&gt;"",'A-80 DirEntInv'!F61,IF(INDIRECT(ADDRESS(SumRef!AU68,SumRef!AU$16,,,SumRef!$B$7))="","",INDIRECT(ADDRESS(SumRef!AU68,SumRef!AU$16,,,SumRef!$B$7))))</f>
        <v/>
      </c>
      <c r="G62" s="1158" t="str">
        <f ca="1">IF('A-80 DirEntInv'!G61&lt;&gt;"",'A-80 DirEntInv'!G61,IF(INDIRECT(ADDRESS(SumRef!AV68,SumRef!AV$16,,,SumRef!$B$7))="","",INDIRECT(ADDRESS(SumRef!AV68,SumRef!AV$16,,,SumRef!$B$7))))</f>
        <v/>
      </c>
      <c r="H62" s="1097" t="str">
        <f ca="1">IF('A-80 DirEntInv'!H61&lt;&gt;"",'A-80 DirEntInv'!H61,IF(INDIRECT(ADDRESS(SumRef!AW68,SumRef!AW$16,,,SumRef!$B$7))="","",INDIRECT(ADDRESS(SumRef!AW68,SumRef!AW$16,,,SumRef!$B$7))))</f>
        <v/>
      </c>
      <c r="I62" s="1097" t="str">
        <f ca="1">IF('A-80 DirEntInv'!I61&lt;&gt;"",'A-80 DirEntInv'!I61,IF(INDIRECT(ADDRESS(SumRef!AX68,SumRef!AX$16,,,SumRef!$B$7))="","",INDIRECT(ADDRESS(SumRef!AX68,SumRef!AX$16,,,SumRef!$B$7))))</f>
        <v/>
      </c>
      <c r="J62" s="1098" t="str">
        <f ca="1">IF('A-80 DirEntInv'!J61&lt;&gt;"",'A-80 DirEntInv'!J61,IF(INDIRECT(ADDRESS(SumRef!AY68,SumRef!AY$16,,,SumRef!$B$7))="","",INDIRECT(ADDRESS(SumRef!AY68,SumRef!AY$16,,,SumRef!$B$7))))</f>
        <v/>
      </c>
      <c r="K62" s="1099" t="str">
        <f ca="1">IF('A-80 DirEntInv'!K61&lt;&gt;"",'A-80 DirEntInv'!K61,IF(INDIRECT(ADDRESS(SumRef!AZ68,SumRef!AZ$16,,,SumRef!$B$7))="","",INDIRECT(ADDRESS(SumRef!AZ68,SumRef!AZ$16,,,SumRef!$B$7))))</f>
        <v/>
      </c>
      <c r="L62" s="1100" t="str">
        <f ca="1">IF('A-80 DirEntInv'!L61&lt;&gt;"",'A-80 DirEntInv'!L61,IF(INDIRECT(ADDRESS(SumRef!BA68,SumRef!BA$16,,,SumRef!$B$7))="","",INDIRECT(ADDRESS(SumRef!BA68,SumRef!BA$16,,,SumRef!$B$7))))</f>
        <v/>
      </c>
      <c r="M62" s="1101" t="str">
        <f ca="1">IF('A-80 DirEntInv'!M61&lt;&gt;"",'A-80 DirEntInv'!M61,IF(INDIRECT(ADDRESS(SumRef!BB68,SumRef!BB$16,,,SumRef!$B$7))="","",INDIRECT(ADDRESS(SumRef!BB68,SumRef!BB$16,,,SumRef!$B$7))))</f>
        <v/>
      </c>
      <c r="N62" s="1098" t="str">
        <f ca="1">IF('A-80 DirEntInv'!N61&lt;&gt;"",'A-80 DirEntInv'!N61,IF(INDIRECT(ADDRESS(SumRef!BC68,SumRef!BC$16,,,SumRef!$B$7))="","",INDIRECT(ADDRESS(SumRef!BC68,SumRef!BC$16,,,SumRef!$B$7))))</f>
        <v/>
      </c>
      <c r="O62" s="1102" t="str">
        <f ca="1">IF('A-80 DirEntInv'!O61&lt;&gt;"",'A-80 DirEntInv'!O61,IF(INDIRECT(ADDRESS(SumRef!BD68,SumRef!BD$16,,,SumRef!$B$7))="","",INDIRECT(ADDRESS(SumRef!BD68,SumRef!BD$16,,,SumRef!$B$7))))</f>
        <v/>
      </c>
      <c r="Q62" s="589"/>
      <c r="R62" s="1103" t="str">
        <f ca="1">IF('A-80 DirEntInv'!R61&lt;&gt;"",'A-80 DirEntInv'!R61,IF(INDIRECT(ADDRESS(SumRef!BH68,SumRef!BH$16,,,SumRef!$B$8))="","",INDIRECT(ADDRESS(SumRef!BH68,SumRef!BH$16,,,SumRef!$B$8))))</f>
        <v/>
      </c>
      <c r="S62" s="1104" t="str">
        <f ca="1">IF('A-80 DirEntInv'!S61&lt;&gt;"",'A-80 DirEntInv'!S61,IF(INDIRECT(ADDRESS(SumRef!BI68,SumRef!BI$16,,,SumRef!$B$8))="","",INDIRECT(ADDRESS(SumRef!BI68,SumRef!BI$16,,,SumRef!$B$8))))</f>
        <v/>
      </c>
      <c r="T62" s="1104" t="str">
        <f ca="1">IF('A-80 DirEntInv'!T61&lt;&gt;"",'A-80 DirEntInv'!T61,IF(INDIRECT(ADDRESS(SumRef!BJ68,SumRef!BJ$16,,,SumRef!$B$8))="","",INDIRECT(ADDRESS(SumRef!BJ68,SumRef!BJ$16,,,SumRef!$B$8))))</f>
        <v/>
      </c>
      <c r="U62" s="1104" t="str">
        <f ca="1">IF('A-80 DirEntInv'!U61&lt;&gt;"",'A-80 DirEntInv'!U61,IF(INDIRECT(ADDRESS(SumRef!BK68,SumRef!BK$16,,,SumRef!$B$8))="","",INDIRECT(ADDRESS(SumRef!BK68,SumRef!BK$16,,,SumRef!$B$8))))</f>
        <v/>
      </c>
      <c r="V62" s="1104" t="str">
        <f ca="1">IF('A-80 DirEntInv'!V61&lt;&gt;"",'A-80 DirEntInv'!V61,IF(INDIRECT(ADDRESS(SumRef!BL68,SumRef!BL$16,,,SumRef!$B$8))="","",INDIRECT(ADDRESS(SumRef!BL68,SumRef!BL$16,,,SumRef!$B$8))))</f>
        <v/>
      </c>
      <c r="W62" s="1354" t="str">
        <f ca="1">IF('A-80 DirEntInv'!W61&lt;&gt;"",'A-80 DirEntInv'!W61,IF(INDIRECT(ADDRESS(SumRef!BM68,SumRef!BM$16,,,SumRef!$B$8))="","",INDIRECT(ADDRESS(SumRef!BM68,SumRef!BM$16,,,SumRef!$B$8))))</f>
        <v/>
      </c>
      <c r="X62" s="1203" t="str">
        <f ca="1">IF('A-80 DirEntInv'!X61&lt;&gt;"",'A-80 DirEntInv'!X61,IF(INDIRECT(ADDRESS(SumRef!BN68,SumRef!BN$16,,,SumRef!$B$8))="","",INDIRECT(ADDRESS(SumRef!BN68,SumRef!BN$16,,,SumRef!$B$8))))</f>
        <v/>
      </c>
      <c r="Y62" s="1203" t="str">
        <f ca="1">IF('A-80 DirEntInv'!Y61&lt;&gt;"",'A-80 DirEntInv'!Y61,IF(INDIRECT(ADDRESS(SumRef!BO68,SumRef!BO$16,,,SumRef!$B$8))="","",INDIRECT(ADDRESS(SumRef!BO68,SumRef!BO$16,,,SumRef!$B$8))))</f>
        <v/>
      </c>
      <c r="Z62" s="1104" t="str">
        <f ca="1">IF('A-80 DirEntInv'!Z61&lt;&gt;"",'A-80 DirEntInv'!Z61,IF(INDIRECT(ADDRESS(SumRef!BP68,SumRef!BP$16,,,SumRef!$B$8))="","",INDIRECT(ADDRESS(SumRef!BP68,SumRef!BP$16,,,SumRef!$B$8))))</f>
        <v/>
      </c>
      <c r="AA62" s="1104" t="str">
        <f ca="1">IF('A-80 DirEntInv'!AA61&lt;&gt;"",'A-80 DirEntInv'!AA61,IF(INDIRECT(ADDRESS(SumRef!BQ68,SumRef!BQ$16,,,SumRef!$B$8))="","",INDIRECT(ADDRESS(SumRef!BQ68,SumRef!BQ$16,,,SumRef!$B$8))))</f>
        <v/>
      </c>
      <c r="AB62" s="1106" t="str">
        <f ca="1">IF('A-80 DirEntInv'!AB61&lt;&gt;"",'A-80 DirEntInv'!AB61,IF(INDIRECT(ADDRESS(SumRef!BR68,SumRef!BR$16,,,SumRef!$B$8))="","",INDIRECT(ADDRESS(SumRef!BR68,SumRef!BR$16,,,SumRef!$B$8))))</f>
        <v/>
      </c>
      <c r="AC62" s="1107" t="str">
        <f ca="1">IF('A-80 DirEntInv'!AC61&lt;&gt;"",'A-80 DirEntInv'!AC61,IF(INDIRECT(ADDRESS(SumRef!BS68,SumRef!BS$16,,,SumRef!$B$8))="","",INDIRECT(ADDRESS(SumRef!BS68,SumRef!BS$16,,,SumRef!$B$8))))</f>
        <v/>
      </c>
      <c r="AD62" s="1349" t="str">
        <f ca="1">IF('A-80 DirEntInv'!AD61&lt;&gt;"",'A-80 DirEntInv'!AD61,IF(INDIRECT(ADDRESS(SumRef!BT68,SumRef!BT$16,,,SumRef!$B$8))="","",INDIRECT(ADDRESS(SumRef!BT68,SumRef!BT$16,,,SumRef!$B$8))))</f>
        <v/>
      </c>
      <c r="AE62" s="1137" t="str">
        <f ca="1">IF('A-80 DirEntInv'!AE61&lt;&gt;"",'A-80 DirEntInv'!AE61,IF(INDIRECT(ADDRESS(SumRef!BU68,SumRef!BU$16,,,SumRef!$B$8))="","",INDIRECT(ADDRESS(SumRef!BU68,SumRef!BU$16,,,SumRef!$B$8))))</f>
        <v/>
      </c>
      <c r="AF62" s="1346" t="str">
        <f ca="1">IF('A-80 DirEntInv'!AF61&lt;&gt;"",'A-80 DirEntInv'!AF61,IF(INDIRECT(ADDRESS(SumRef!BV68,SumRef!BV$16,,,SumRef!$B$8))="","",INDIRECT(ADDRESS(SumRef!BV68,SumRef!BV$16,,,SumRef!$B$8))))</f>
        <v/>
      </c>
      <c r="AG62" s="1105" t="str">
        <f ca="1">IF('A-80 DirEntInv'!AG61&lt;&gt;"",'A-80 DirEntInv'!AG61,IF(INDIRECT(ADDRESS(SumRef!BW68,SumRef!BW$16,,,SumRef!$B$8))="","",INDIRECT(ADDRESS(SumRef!BW68,SumRef!BW$16,,,SumRef!$B$8))))</f>
        <v/>
      </c>
      <c r="AH62" s="1357" t="str">
        <f ca="1">IF('A-80 DirEntInv'!AH61&lt;&gt;"",'A-80 DirEntInv'!AH61,IF(INDIRECT(ADDRESS(SumRef!BX68,SumRef!BX$16,,,SumRef!$B$8))="","",INDIRECT(ADDRESS(SumRef!BX68,SumRef!BX$16,,,SumRef!$B$8))))</f>
        <v/>
      </c>
      <c r="AK62" s="1181" t="str">
        <f>Codes!$C$159</f>
        <v>CC - Cable Car (DO)</v>
      </c>
      <c r="AL62" s="1182" t="str">
        <f>Valid!$B$87</f>
        <v>Substation Building</v>
      </c>
      <c r="AM62" s="1123" t="str">
        <f>IF('A-80 DirEntInv'!AM61&lt;&gt;"",'A-80 DirEntInv'!#REF!,IF(AK62=summaryref2!B21,summaryref2!D21,IF(Summary!AK62=summaryref2!B35,summaryref2!D35,IF(AK62=summaryref2!B49,summaryref2!D49,IF(AK62=summaryref2!B63,summaryref2!D63,IF(AK62=summaryref2!B77,summaryref2!D77,IF(AK62=summaryref2!B91,summaryref2!D91,IF(AK62=summaryref2!B105,summaryref2!D105,IF(AK62=summaryref2!B119,summaryref2!D119,IF(AK62=summaryref2!B133,summaryref2!D133,IF(AK62=summaryref2!B197,summaryref2!D147,"")))))))))))</f>
        <v/>
      </c>
      <c r="AN62" s="1124" t="s">
        <v>13</v>
      </c>
      <c r="AO62" s="1123"/>
      <c r="AP62" s="1124"/>
      <c r="AQ62" s="1149" t="str">
        <f>IF('A-80 DirEntInv'!AQ61&lt;&gt;"",'A-80 DirEntInv'!AQ61,IF(AK62=summaryref2!B21,summaryref2!G21,IF(Summary!AK62=summaryref2!B35,summaryref2!G35,IF(AK62=summaryref2!B49,summaryref2!G49,IF(AK62=summaryref2!B63,summaryref2!G63,IF(AK62=summaryref2!B77,summaryref2!G77,IF(AK62=summaryref2!B91,summaryref2!G91,IF(AK62=summaryref2!B105,summaryref2!G105,IF(AK62=summaryref2!B119,summaryref2!G119,IF(AK62=summaryref2!B133,summaryref2!G133,IF(AK62=summaryref2!B147,summaryref2!G147,"")))))))))))</f>
        <v/>
      </c>
      <c r="AR62" s="1149" t="str">
        <f>IF('A-80 DirEntInv'!AR61&lt;&gt;"",'A-80 DirEntInv'!AR61,IF(AK62=summaryref2!B21,summaryref2!H21,IF(Summary!AK62=summaryref2!B35,summaryref2!H35,IF(AK62=summaryref2!B49,summaryref2!H49,IF(AK62=summaryref2!B63,summaryref2!H63,IF(AK62=summaryref2!B77,summaryref2!H77,IF(AK62=summaryref2!B91,summaryref2!H91,IF(AK62=summaryref2!B105,summaryref2!H105,IF(AK62=summaryref2!B119,summaryref2!H119,IF(AK62=summaryref2!B133,summaryref2!H133,IF(AK62=summaryref2!B147,summaryref2!H147,"")))))))))))</f>
        <v/>
      </c>
      <c r="AS62" s="1125" t="str">
        <f>IF('A-80 DirEntInv'!AS61&lt;&gt;"",'A-80 DirEntInv'!AS61,IF(AK62=summaryref2!B21,summaryref2!I21,IF(Summary!AK62=summaryref2!B35,summaryref2!I35,IF(AK62=summaryref2!B49,summaryref2!I49,IF(AK62=summaryref2!B63,summaryref2!I63,IF(AK62=summaryref2!B77,summaryref2!I77,IF(AK62=summaryref2!B91,summaryref2!I91,IF(AK62=summaryref2!B105,summaryref2!I105,IF(AK62=summaryref2!B119,summaryref2!I119,IF(AK62=summaryref2!B133,summaryref2!I133,IF(AK62=summaryref2!B147,summaryref2!I147,"")))))))))))</f>
        <v/>
      </c>
      <c r="AT62" s="1125" t="str">
        <f>IF('A-80 DirEntInv'!AT61&lt;&gt;"",'A-80 DirEntInv'!AT61,IF(AK62=summaryref2!B21,summaryref2!J21,IF(Summary!AK62=summaryref2!B35,summaryref2!J35,IF(AK62=summaryref2!B49,summaryref2!J49,IF(AK62=summaryref2!B63,summaryref2!J63,IF(AK62=summaryref2!B77,summaryref2!J77,IF(AK62=summaryref2!B91,summaryref2!J91,IF(AK62=summaryref2!B105,summaryref2!J105,IF(AK62=summaryref2!B119,summaryref2!J119,IF(AK62=summaryref2!B133,summaryref2!J133,IF(AK62=summaryref2!B147,summaryref2!J147,"")))))))))))</f>
        <v/>
      </c>
      <c r="AU62" s="1125" t="str">
        <f>IF('A-80 DirEntInv'!AU61&lt;&gt;"",'A-80 DirEntInv'!AU61,IF(AK62=summaryref2!B21,summaryref2!K21,IF(Summary!AK62=summaryref2!B35,summaryref2!K35,IF(AK62=summaryref2!B49,summaryref2!K49,IF(AK62=summaryref2!B63,summaryref2!K63,IF(AK62=summaryref2!B77,summaryref2!K77,IF(AK62=summaryref2!B91,summaryref2!K91,IF(AK62=summaryref2!B105,summaryref2!K105,IF(AK62=summaryref2!B119,summaryref2!K119,IF(AK62=summaryref2!B133,summaryref2!K133,IF(AK62=summaryref2!B147,summaryref2!K147,"")))))))))))</f>
        <v/>
      </c>
      <c r="AV62" s="1125" t="str">
        <f>IF('A-80 DirEntInv'!AV61&lt;&gt;"",'A-80 DirEntInv'!AV61,IF(AK62=summaryref2!B21,summaryref2!L21,IF(Summary!AK62=summaryref2!B35,summaryref2!L35,IF(AK62=summaryref2!B49,summaryref2!L49,IF(AK62=summaryref2!B63,summaryref2!L63,IF(AK62=summaryref2!B77,summaryref2!L77,IF(AK62=summaryref2!B91,summaryref2!L91,IF(AK62=summaryref2!B105,summaryref2!L105,IF(AK62=summaryref2!B119,summaryref2!L119,IF(AK62=summaryref2!B133,summaryref2!L133,IF(AK62=summaryref2!B147,summaryref2!L147,"")))))))))))</f>
        <v/>
      </c>
      <c r="AW62" s="1125" t="str">
        <f>IF('A-80 DirEntInv'!AW61&lt;&gt;"",'A-80 DirEntInv'!AW61,IF(AK62=summaryref2!B21,summaryref2!M21,IF(Summary!AK62=summaryref2!B35,summaryref2!M35,IF(AK62=summaryref2!B49,summaryref2!M49,IF(AK62=summaryref2!B63,summaryref2!M63,IF(AK62=summaryref2!B77,summaryref2!M77,IF(AK62=summaryref2!B91,summaryref2!M91,IF(AK62=summaryref2!B105,summaryref2!M105,IF(AK62=summaryref2!B119,summaryref2!M119,IF(AK62=summaryref2!B133,summaryref2!M133,IF(AK62=summaryref2!B147,summaryref2!M147,"")))))))))))</f>
        <v/>
      </c>
      <c r="AX62" s="1125" t="str">
        <f>IF('A-80 DirEntInv'!AX61&lt;&gt;"",'A-80 DirEntInv'!AX61,IF(AK62=summaryref2!B21,summaryref2!N21,IF(Summary!AK62=summaryref2!B35,summaryref2!N35,IF(AK62=summaryref2!B49,summaryref2!N49,IF(AK62=summaryref2!B63,summaryref2!N63,IF(AK62=summaryref2!B77,summaryref2!N77,IF(AK62=summaryref2!B91,summaryref2!N91,IF(AK62=summaryref2!B105,summaryref2!N105,IF(AK62=summaryref2!B119,summaryref2!N119,IF(AK62=summaryref2!B133,summaryref2!N133,IF(AK62=summaryref2!B147,summaryref2!N147,"")))))))))))</f>
        <v/>
      </c>
      <c r="AY62" s="1125" t="str">
        <f>IF('A-80 DirEntInv'!AY61&lt;&gt;"",'A-80 DirEntInv'!AY61,IF(AK62=summaryref2!B21,summaryref2!O21,IF(Summary!AK62=summaryref2!B35,summaryref2!O35,IF(AK62=summaryref2!B49,summaryref2!O49,IF(AK62=summaryref2!B63,summaryref2!O63,IF(AK62=summaryref2!B77,summaryref2!O77,IF(AK62=summaryref2!B91,summaryref2!O91,IF(AK62=summaryref2!B105,summaryref2!O105,IF(AK62=summaryref2!B119,summaryref2!O119,IF(AK62=summaryref2!B133,summaryref2!O133,IF(AK62=summaryref2!B147,summaryref2!O147,"")))))))))))</f>
        <v/>
      </c>
      <c r="AZ62" s="1125" t="str">
        <f>IF('A-80 DirEntInv'!AZ61&lt;&gt;"",'A-80 DirEntInv'!AZ61,IF(AK62=summaryref2!B21,summaryref2!P21,IF(Summary!AK62=summaryref2!B35,summaryref2!P35,IF(AK62=summaryref2!B49,summaryref2!P49,IF(AK62=summaryref2!B63,summaryref2!P63,IF(AK62=summaryref2!B77,summaryref2!P77,IF(AK62=summaryref2!B91,summaryref2!P91,IF(AK62=summaryref2!B105,summaryref2!P105,IF(AK62=summaryref2!B119,summaryref2!P119,IF(AK62=summaryref2!B133,summaryref2!P133,IF(AK62=summaryref2!B147,summaryref2!P147,"")))))))))))</f>
        <v/>
      </c>
      <c r="BA62" s="1125" t="str">
        <f>IF('A-80 DirEntInv'!BA61&lt;&gt;"",'A-80 DirEntInv'!BA61,IF(AK62=summaryref2!B21,summaryref2!Q21,IF(Summary!AK62=summaryref2!B35,summaryref2!Q35,IF(AK62=summaryref2!B49,summaryref2!Q49,IF(AK62=summaryref2!B63,summaryref2!Q63,IF(AK62=summaryref2!B77,summaryref2!Q77,IF(AK62=summaryref2!B91,summaryref2!Q91,IF(AK62=summaryref2!B105,summaryref2!Q105,IF(AK62=summaryref2!B119,summaryref2!Q119,IF(AK62=summaryref2!B133,summaryref2!Q133,IF(AK62=summaryref2!B147,summaryref2!Q147,"")))))))))))</f>
        <v/>
      </c>
      <c r="BB62" s="1125" t="str">
        <f>IF('A-80 DirEntInv'!BB61&lt;&gt;"",'A-80 DirEntInv'!BB61,IF(AK62=summaryref2!B21,summaryref2!R21,IF(Summary!AK62=summaryref2!B35,summaryref2!R35,IF(AK62=summaryref2!B49,summaryref2!R49,IF(AK62=summaryref2!B63,summaryref2!R63,IF(AK62=summaryref2!B77,summaryref2!R77,IF(AK62=summaryref2!B91,summaryref2!R91,IF(AK62=summaryref2!B105,summaryref2!R105,IF(AK62=summaryref2!B119,summaryref2!R119,IF(AK62=summaryref2!B133,summaryref2!R133,IF(AK62=summaryref2!B147,summaryref2!R147,"")))))))))))</f>
        <v/>
      </c>
      <c r="BC62" s="1125" t="str">
        <f>IF('A-80 DirEntInv'!BC61&lt;&gt;0,'A-80 DirEntInv'!BC61,IF(AK62=summaryref2!B21,summaryref2!S21,IF(Summary!AK62=summaryref2!B35,summaryref2!S35,IF(AK62=summaryref2!B49,summaryref2!S49,IF(AK62=summaryref2!B63,summaryref2!S63,IF(AK62=summaryref2!B77,summaryref2!S77,IF(AK62=summaryref2!B91,summaryref2!S91,IF(AK62=summaryref2!B105,summaryref2!S105,IF(AK62=summaryref2!B119,summaryref2!S119,IF(AK62=summaryref2!B133,summaryref2!S133,IF(AK62=summaryref2!B147,summaryref2!S147,"")))))))))))</f>
        <v/>
      </c>
      <c r="BD62" s="1126" t="str">
        <f>IF('A-80 DirEntInv'!BD61&lt;&gt;"",'A-80 DirEntInv'!BD61,IF(AK62=summaryref2!B21,summaryref2!T21,IF(Summary!AK62=summaryref2!B35,summaryref2!T35,IF(AK62=summaryref2!B49,summaryref2!T49,IF(AK62=summaryref2!B63,summaryref2!T63,IF(AK62=summaryref2!B77,summaryref2!T77,IF(AK62=summaryref2!B91,summaryref2!T91,IF(AK62=summaryref2!B105,summaryref2!T105,IF(AK62=summaryref2!B119,summaryref2!T119,IF(AK62=summaryref2!B133,summaryref2!T133,IF(AK62=summaryref2!B147,summaryref2!T147,"")))))))))))</f>
        <v/>
      </c>
      <c r="BE62" s="1183" t="str">
        <f>IF('A-80 DirEntInv'!BE61&lt;&gt;"",'A-80 DirEntInv'!BE61,IF(AK62=summaryref2!B21,summaryref2!U21,IF(Summary!AK62=summaryref2!B35,summaryref2!U35,IF(AK62=summaryref2!B49,summaryref2!U49,IF(AK62=summaryref2!B63,summaryref2!U63,IF(AK62=summaryref2!B77,summaryref2!U77,IF(AK62=summaryref2!B91,summaryref2!U91,IF(AK62=summaryref2!B105,summaryref2!U105,IF(AK62=summaryref2!B119,summaryref2!U119,IF(AK62=summaryref2!B133,summaryref2!U133,IF(AK62=summaryref2!B147,summaryref2!U147,"")))))))))))</f>
        <v/>
      </c>
      <c r="BF62" s="1432"/>
      <c r="BG62" s="1432"/>
      <c r="BJ62" s="1045" t="str">
        <f>Codes!$C$163</f>
        <v>HR - Heavy Rail (DO)</v>
      </c>
      <c r="BK62" s="1046" t="str">
        <f>Valid!$B$82</f>
        <v>Double Diamond Crossover</v>
      </c>
      <c r="BL62" s="1368" t="str">
        <f>IF('A-80 DirEntInv'!BL61&lt;&gt;"",'A-80 DirEntInv'!BL61,IF(BJ62=summaryref2!X14,summaryref2!Z14,IF(BJ62=summaryref2!X21,summaryref2!Z21,IF(BJ62=summaryref2!X28,summaryref2!Z28,IF(BJ62=summaryref2!X35,summaryref2!Z35,IF(BJ62=summaryref2!X42,summaryref2!Z42,IF(BJ62=summaryref2!X49,summaryref2!Z49,IF(BJ62=summaryref2!X56,summaryref2!Z56,IF(BJ62=summaryref2!X63,summaryref2!Z63,IF(BJ62=summaryref2!X70,summaryref2!Z70,IF(BJ62=summaryref2!X77,summaryref2!Z77,"")))))))))))</f>
        <v/>
      </c>
      <c r="BM62" s="1046" t="str">
        <f>VLOOKUP(BK62,Valid!$B$80:$C$86,2,FALSE)</f>
        <v>Each</v>
      </c>
      <c r="BN62" s="1325" t="str">
        <f>IF('A-80 DirEntInv'!BN61&lt;&gt;"",'A-80 DirEntInv'!BN61,IF(BJ62=summaryref2!X14,summaryref2!AB14,IF(BJ62=summaryref2!X21,summaryref2!AB21,IF(BJ62=summaryref2!X28,summaryref2!AB28,IF(BJ62=summaryref2!X35,summaryref2!AB35,IF(BJ62=summaryref2!X42,summaryref2!AB42,IF(BJ62=summaryref2!X49,summaryref2!AB49,IF(BJ62=summaryref2!X56,summaryref2!AB56,IF(BJ62=summaryref2!X63,summaryref2!AB63,IF(BJ62=summaryref2!X70,summaryref2!AB70,IF(BJ62=summaryref2!X77,summaryref2!AB77,"")))))))))))</f>
        <v/>
      </c>
      <c r="BO62" s="1327" t="str">
        <f>IF('A-80 DirEntInv'!BO61&lt;&gt;"",'A-80 DirEntInv'!BO61,IF(BJ62=summaryref2!X14,summaryref2!AC14,IF(BJ62=summaryref2!X21,summaryref2!AC21,IF(BJ62=summaryref2!X28,summaryref2!AC28,IF(BJ62=summaryref2!X35,summaryref2!AC35,IF(BJ62=summaryref2!X42,summaryref2!AC42,IF(BJ62=summaryref2!X49,summaryref2!AC49,IF(BJ62=summaryref2!X56,summaryref2!AC56,IF(BJ62=summaryref2!X63,summaryref2!AC63,IF(BJ62=summaryref2!X70,summaryref2!AC70,IF(BJ62=summaryref2!X77,summaryref2!AC77,"")))))))))))</f>
        <v/>
      </c>
      <c r="BP62" s="1322" t="str">
        <f>IF('A-80 DirEntInv'!BP61&lt;&gt;"",'A-80 DirEntInv'!BP61,IF(BJ62=summaryref2!X14,summaryref2!AD14,IF(BJ62=summaryref2!X21,summaryref2!AD21,IF(BJ62=summaryref2!X28,summaryref2!AD28,IF(BJ62=summaryref2!X35,summaryref2!AD35,IF(BJ62=summaryref2!X42,summaryref2!AD42,IF(BJ62=summaryref2!X49,summaryref2!AD49,IF(BJ62=summaryref2!X56,summaryref2!AD56,IF(BJ62=summaryref2!X63,summaryref2!AD63,IF(BJ62=summaryref2!X70,summaryref2!AD70,IF(BJ62=summaryref2!X77,summaryref2!AD77,"")))))))))))</f>
        <v/>
      </c>
      <c r="BS62" s="1472" t="str">
        <f ca="1">IF('A-80 DirEntInv'!BU61&lt;&gt;"",'A-80 DirEntInv'!BU61,IF(INDIRECT(ADDRESS(SumRef!DK68,SumRef!DK$16,,,SumRef!$E$6))="","",INDIRECT(ADDRESS(SumRef!DK68,SumRef!DK$16,,,SumRef!$E$6))))</f>
        <v/>
      </c>
      <c r="BT62" s="1458" t="str">
        <f ca="1">IF('A-80 DirEntInv'!BV61&lt;&gt;"",'A-80 DirEntInv'!BV61,IF(INDIRECT(ADDRESS(SumRef!DL68,SumRef!DL$16,,,SumRef!$E$6))="","",INDIRECT(ADDRESS(SumRef!DL68,SumRef!DL$16,,,SumRef!$E$6))))</f>
        <v/>
      </c>
      <c r="BU62" s="1177" t="str">
        <f ca="1">IF('A-80 DirEntInv'!BW61&lt;&gt;"",'A-80 DirEntInv'!BW61,IF(INDIRECT(ADDRESS(SumRef!DM68,SumRef!DM$16,,,SumRef!$E$6))="","",INDIRECT(ADDRESS(SumRef!DM68,SumRef!DM$16,,,SumRef!$E$6))))</f>
        <v/>
      </c>
      <c r="BV62" s="1460" t="str">
        <f ca="1">IF('A-80 DirEntInv'!BX61&lt;&gt;"",'A-80 DirEntInv'!BX61,IF(INDIRECT(ADDRESS(SumRef!DN68,SumRef!DN$16,,,SumRef!$E$6))="","",INDIRECT(ADDRESS(SumRef!DN68,SumRef!DN$16,,,SumRef!$E$6))))</f>
        <v/>
      </c>
      <c r="BW62" s="1460" t="str">
        <f ca="1">IF('A-80 DirEntInv'!BY61&lt;&gt;"",'A-80 DirEntInv'!BY61,IF(INDIRECT(ADDRESS(SumRef!DO68,SumRef!DO$16,,,SumRef!$E$6))="","",INDIRECT(ADDRESS(SumRef!DO68,SumRef!DO$16,,,SumRef!$E$6))))</f>
        <v/>
      </c>
      <c r="BX62" s="1116" t="str">
        <f ca="1">IF('A-80 DirEntInv'!BZ61&lt;&gt;"",'A-80 DirEntInv'!BZ61,IF(INDIRECT(ADDRESS(SumRef!DP68,SumRef!DP$16,,,SumRef!$E$6))="","",INDIRECT(ADDRESS(SumRef!DP68,SumRef!DP$16,,,SumRef!$E$6))))</f>
        <v/>
      </c>
      <c r="BY62" s="1461" t="str">
        <f ca="1">IF('A-80 DirEntInv'!CA61&lt;&gt;"",'A-80 DirEntInv'!CA61,IF(INDIRECT(ADDRESS(SumRef!DQ68,SumRef!DQ$16,,,SumRef!$E$6))="","",INDIRECT(ADDRESS(SumRef!DQ68,SumRef!DQ$16,,,SumRef!$E$6))))</f>
        <v/>
      </c>
      <c r="BZ62" s="1460" t="str">
        <f ca="1">IF('A-80 DirEntInv'!CB61&lt;&gt;"",'A-80 DirEntInv'!CB61,IF(INDIRECT(ADDRESS(SumRef!DR68,SumRef!DR$16,,,SumRef!$E$6))="","",INDIRECT(ADDRESS(SumRef!DR68,SumRef!DR$16,,,SumRef!$E$6))))</f>
        <v/>
      </c>
      <c r="CA62" s="1462" t="str">
        <f ca="1">IF('A-80 DirEntInv'!CC61&lt;&gt;"",'A-80 DirEntInv'!CC61,IF(INDIRECT(ADDRESS(SumRef!DS68,SumRef!DS$16,,,SumRef!$E$6))="","",INDIRECT(ADDRESS(SumRef!DS68,SumRef!DS$16,,,SumRef!$E$6))))</f>
        <v/>
      </c>
      <c r="CD62" s="1160" t="str">
        <f ca="1">IF('A-80 DirEntInv'!CF61&lt;&gt;"",'A-80 DirEntInv'!CF61,IF(INDIRECT(ADDRESS(SumRef!DV68,SumRef!DV$16,,,SumRef!$E$7))="","",INDIRECT(ADDRESS(SumRef!DV68,SumRef!DV$16,,,SumRef!$E$7))))</f>
        <v/>
      </c>
      <c r="CE62" s="1167" t="str">
        <f ca="1">IF('A-80 DirEntInv'!CG61&lt;&gt;"",'A-80 DirEntInv'!CG61,IF(INDIRECT(ADDRESS(SumRef!DW68,SumRef!DW$16,,,SumRef!$E$7))="","",INDIRECT(ADDRESS(SumRef!DW68,SumRef!DW$16,,,SumRef!$E$7))))</f>
        <v/>
      </c>
      <c r="CF62" s="1167" t="str">
        <f ca="1">IF('A-80 DirEntInv'!CH61&lt;&gt;"",'A-80 DirEntInv'!CH61,IF(INDIRECT(ADDRESS(SumRef!DX68,SumRef!DX$16,,,SumRef!$E$7))="","",INDIRECT(ADDRESS(SumRef!DX68,SumRef!DX$16,,,SumRef!$E$7))))</f>
        <v/>
      </c>
      <c r="CG62" s="1167" t="str">
        <f ca="1">IF('A-80 DirEntInv'!CI61&lt;&gt;"",'A-80 DirEntInv'!CI61,IF(INDIRECT(ADDRESS(SumRef!DY68,SumRef!DY$16,,,SumRef!$E$7))="","",INDIRECT(ADDRESS(SumRef!DY68,SumRef!DY$16,,,SumRef!$E$7))))</f>
        <v/>
      </c>
      <c r="CH62" s="1167" t="str">
        <f ca="1">IF('A-80 DirEntInv'!CJ61&lt;&gt;"",'A-80 DirEntInv'!CJ61,IF(INDIRECT(ADDRESS(SumRef!DZ68,SumRef!DZ$16,,,SumRef!$E$7))="","",INDIRECT(ADDRESS(SumRef!DZ68,SumRef!DZ$16,,,SumRef!$E$7))))</f>
        <v/>
      </c>
      <c r="CI62" s="1167" t="str">
        <f ca="1">IF('A-80 DirEntInv'!CK61&lt;&gt;"",'A-80 DirEntInv'!CK61,IF(INDIRECT(ADDRESS(SumRef!EA68,SumRef!EA$16,,,SumRef!$E$7))="","",INDIRECT(ADDRESS(SumRef!EA68,SumRef!EA$16,,,SumRef!$E$7))))</f>
        <v/>
      </c>
      <c r="CJ62" s="1114" t="str">
        <f ca="1">IF('A-80 DirEntInv'!CL61&lt;&gt;"",'A-80 DirEntInv'!CL61,IF(INDIRECT(ADDRESS(SumRef!EB68,SumRef!EB$16,,,SumRef!$E$7))="","",INDIRECT(ADDRESS(SumRef!EB68,SumRef!EB$16,,,SumRef!$E$7))))</f>
        <v/>
      </c>
      <c r="CK62" s="1114" t="str">
        <f ca="1">IF('A-80 DirEntInv'!CM61&lt;&gt;"",'A-80 DirEntInv'!CM61,IF(INDIRECT(ADDRESS(SumRef!EC68,SumRef!EC$16,,,SumRef!$E$7))="","",INDIRECT(ADDRESS(SumRef!EC68,SumRef!EC$16,,,SumRef!$E$7))))</f>
        <v/>
      </c>
      <c r="CL62" s="1113" t="str">
        <f ca="1">IF('A-80 DirEntInv'!CO61&lt;&gt;"",'A-80 DirEntInv'!CO61,IF(INDIRECT(ADDRESS(SumRef!ED68,SumRef!ED$16,,,SumRef!$E$7))="","",INDIRECT(ADDRESS(SumRef!ED68,SumRef!ED$16,,,SumRef!$E$7))))</f>
        <v/>
      </c>
      <c r="CM62" s="1114" t="str">
        <f ca="1">IF('A-80 DirEntInv'!CP61&lt;&gt;"",'A-80 DirEntInv'!CP61,IF(INDIRECT(ADDRESS(SumRef!EE68,SumRef!EE$16,,,SumRef!$E$7))="","",INDIRECT(ADDRESS(SumRef!EE68,SumRef!EE$16,,,SumRef!$E$7))))</f>
        <v/>
      </c>
      <c r="CN62" s="1114" t="str">
        <f ca="1">IF('A-80 DirEntInv'!CQ61&lt;&gt;"",'A-80 DirEntInv'!CQ61,IF(INDIRECT(ADDRESS(SumRef!EF68,SumRef!EF$16,,,SumRef!$E$7))="","",INDIRECT(ADDRESS(SumRef!EF68,SumRef!EF$16,,,SumRef!$E$7))))</f>
        <v/>
      </c>
      <c r="CO62" s="1113" t="str">
        <f ca="1">IF('A-80 DirEntInv'!CR61&lt;&gt;"",'A-80 DirEntInv'!CR61,IF(INDIRECT(ADDRESS(SumRef!EG68,SumRef!EG$16,,,SumRef!$E$7))="","",INDIRECT(ADDRESS(SumRef!EG68,SumRef!EG$16,,,SumRef!$E$7))))</f>
        <v/>
      </c>
      <c r="CP62" s="1114" t="str">
        <f ca="1">IF('A-80 DirEntInv'!CS61&lt;&gt;"",'A-80 DirEntInv'!CS61,IF(INDIRECT(ADDRESS(SumRef!EH68,SumRef!EH$16,,,SumRef!$E$7))="","",INDIRECT(ADDRESS(SumRef!EH68,SumRef!EH$16,,,SumRef!$E$7))))</f>
        <v/>
      </c>
      <c r="CQ62" s="1346" t="str">
        <f ca="1">IF('A-80 DirEntInv'!CT61&lt;&gt;"",'A-80 DirEntInv'!CT61,IF(INDIRECT(ADDRESS(SumRef!EI68,SumRef!EI$16,,,SumRef!$E$7))="","",INDIRECT(ADDRESS(SumRef!EI68,SumRef!EI$16,,,SumRef!$E$7))))</f>
        <v/>
      </c>
      <c r="CR62" s="1113" t="str">
        <f ca="1">IF('A-80 DirEntInv'!CU61&lt;&gt;"",'A-80 DirEntInv'!CU61,IF(INDIRECT(ADDRESS(SumRef!EJ68,SumRef!EJ$16,,,SumRef!$E$7))="","",INDIRECT(ADDRESS(SumRef!EJ68,SumRef!EJ$16,,,SumRef!$E$7))))</f>
        <v/>
      </c>
      <c r="CS62" s="1346" t="str">
        <f ca="1">IF('A-80 DirEntInv'!CV61&lt;&gt;"",'A-80 DirEntInv'!CV61,IF(INDIRECT(ADDRESS(SumRef!EM68,SumRef!EM$16,,,SumRef!$E$7))="","",INDIRECT(ADDRESS(SumRef!EM68,SumRef!EM$16,,,SumRef!$E$7))))</f>
        <v/>
      </c>
      <c r="CT62" s="1113" t="str">
        <f ca="1">IF('A-80 DirEntInv'!CW61&lt;&gt;"",'A-80 DirEntInv'!CW61,IF(INDIRECT(ADDRESS(SumRef!EN68,SumRef!EN$16,,,SumRef!$E$7))="","",INDIRECT(ADDRESS(SumRef!EN68,SumRef!EN$16,,,SumRef!$E$7))))</f>
        <v/>
      </c>
      <c r="CU62" s="1113" t="str">
        <f ca="1">IF('A-80 DirEntInv'!CX61&lt;&gt;"",'A-80 DirEntInv'!CX61,IF(INDIRECT(ADDRESS(SumRef!EO68,SumRef!EO$16,,,SumRef!$E$7))="","",INDIRECT(ADDRESS(SumRef!EO68,SumRef!EO$16,,,SumRef!$E$7))))</f>
        <v/>
      </c>
      <c r="CV62" s="1113" t="str">
        <f ca="1">IF('A-80 DirEntInv'!CY61&lt;&gt;"",'A-80 DirEntInv'!CY61,IF(INDIRECT(ADDRESS(SumRef!EP68,SumRef!EP$16,,,SumRef!$E$7))="","",INDIRECT(ADDRESS(SumRef!EP68,SumRef!EP$16,,,SumRef!$E$7))))</f>
        <v/>
      </c>
      <c r="CW62" s="1114" t="str">
        <f ca="1">IF('A-80 DirEntInv'!CZ61&lt;&gt;"",'A-80 DirEntInv'!CZ61,IF(INDIRECT(ADDRESS(SumRef!ES68,SumRef!ES$16,,,SumRef!$E$7))="","",INDIRECT(ADDRESS(SumRef!ES68,SumRef!ES$16,,,SumRef!$E$7))))</f>
        <v/>
      </c>
      <c r="CX62" s="1167" t="str">
        <f ca="1">IF('A-80 DirEntInv'!DA61&lt;&gt;"",'A-80 DirEntInv'!DA61,IF(INDIRECT(ADDRESS(SumRef!ET68,SumRef!ET$16,,,SumRef!$E$7))="","",INDIRECT(ADDRESS(SumRef!ET68,SumRef!ET$16,,,SumRef!$E$7))))</f>
        <v/>
      </c>
      <c r="CY62" s="1167" t="str">
        <f ca="1">IF('A-80 DirEntInv'!DB61&lt;&gt;"",'A-80 DirEntInv'!DB61,IF(INDIRECT(ADDRESS(SumRef!EU68,SumRef!EU$16,,,SumRef!$E$7))="","",INDIRECT(ADDRESS(SumRef!EU68,SumRef!EU$16,,,SumRef!$E$7))))</f>
        <v/>
      </c>
      <c r="CZ62" s="1167" t="b">
        <f ca="1">IF('A-80 DirEntInv'!DC61&lt;&gt;"",'A-80 DirEntInv'!DC61,IF(INDIRECT(ADDRESS(SumRef!EV68,SumRef!EV$16,,,SumRef!$E$7))="","",INDIRECT(ADDRESS(SumRef!EV68,SumRef!EV$16,,,SumRef!$E$7))))</f>
        <v>0</v>
      </c>
      <c r="DA62" s="1373" t="str">
        <f ca="1">IF('A-80 DirEntInv'!DD61&lt;&gt;"",'A-80 DirEntInv'!DD61,IF(INDIRECT(ADDRESS(SumRef!EW68,SumRef!EW$16,,,SumRef!$E$7))="","",INDIRECT(ADDRESS(SumRef!EW68,SumRef!EW$16,,,SumRef!$E$7))))</f>
        <v/>
      </c>
      <c r="DB62" s="1373" t="b">
        <f ca="1">IF('A-80 DirEntInv'!DE61&lt;&gt;"",'A-80 DirEntInv'!DE61,IF(INDIRECT(ADDRESS(SumRef!EX68,SumRef!EX$16,,,SumRef!$E$7))="","",INDIRECT(ADDRESS(SumRef!EX68,SumRef!EX$16,,,SumRef!$E$7))))</f>
        <v>0</v>
      </c>
      <c r="DC62" s="1114" t="b">
        <f ca="1">IF('A-80 DirEntInv'!DF61&lt;&gt;"",'A-80 DirEntInv'!DF61,IF(INDIRECT(ADDRESS(SumRef!EY68,SumRef!EY$16,,,SumRef!$E$7))="","",INDIRECT(ADDRESS(SumRef!EY68,SumRef!EY$16,,,SumRef!$E$7))))</f>
        <v>0</v>
      </c>
      <c r="DD62" s="1115" t="str">
        <f ca="1">IF('A-80 DirEntInv'!DG61&lt;&gt;"",'A-80 DirEntInv'!DG61,IF(INDIRECT(ADDRESS(SumRef!EZ68,SumRef!EZ$16,,,SumRef!$E$7))="","",INDIRECT(ADDRESS(SumRef!EZ68,SumRef!EZ$16,,,SumRef!$E$7))))</f>
        <v/>
      </c>
    </row>
    <row r="63" spans="1:108" s="588" customFormat="1" x14ac:dyDescent="0.2">
      <c r="A63" s="589">
        <f t="shared" si="0"/>
        <v>53</v>
      </c>
      <c r="B63" s="1155" t="str">
        <f ca="1">IF('A-80 DirEntInv'!B62&lt;&gt;"",'A-80 DirEntInv'!B62,IF(INDIRECT(ADDRESS(SumRef!AQ69,SumRef!AQ$16,,,SumRef!$B$7))="","",INDIRECT(ADDRESS(SumRef!AQ69,SumRef!AQ$16,,,SumRef!$B$7))))</f>
        <v/>
      </c>
      <c r="C63" s="1097" t="str">
        <f ca="1">IF('A-80 DirEntInv'!C62&lt;&gt;"",'A-80 DirEntInv'!C62,IF(INDIRECT(ADDRESS(SumRef!AR69,SumRef!AR$16,,,SumRef!$B$7))="","",INDIRECT(ADDRESS(SumRef!AR69,SumRef!AR$16,,,SumRef!$B$7))))</f>
        <v/>
      </c>
      <c r="D63" s="1097" t="str">
        <f ca="1">IF('A-80 DirEntInv'!D62&lt;&gt;"",'A-80 DirEntInv'!D62,IF(INDIRECT(ADDRESS(SumRef!AS69,SumRef!AS$16,,,SumRef!$B$7))="","",INDIRECT(ADDRESS(SumRef!AS69,SumRef!AS$16,,,SumRef!$B$7))))</f>
        <v/>
      </c>
      <c r="E63" s="1097" t="str">
        <f ca="1">IF('A-80 DirEntInv'!E62&lt;&gt;"",'A-80 DirEntInv'!E62,IF(INDIRECT(ADDRESS(SumRef!AT69,SumRef!AT$16,,,SumRef!$B$7))="","",INDIRECT(ADDRESS(SumRef!AT69,SumRef!AT$16,,,SumRef!$B$7))))</f>
        <v/>
      </c>
      <c r="F63" s="1097" t="str">
        <f ca="1">IF('A-80 DirEntInv'!F62&lt;&gt;"",'A-80 DirEntInv'!F62,IF(INDIRECT(ADDRESS(SumRef!AU69,SumRef!AU$16,,,SumRef!$B$7))="","",INDIRECT(ADDRESS(SumRef!AU69,SumRef!AU$16,,,SumRef!$B$7))))</f>
        <v/>
      </c>
      <c r="G63" s="1158" t="str">
        <f ca="1">IF('A-80 DirEntInv'!G62&lt;&gt;"",'A-80 DirEntInv'!G62,IF(INDIRECT(ADDRESS(SumRef!AV69,SumRef!AV$16,,,SumRef!$B$7))="","",INDIRECT(ADDRESS(SumRef!AV69,SumRef!AV$16,,,SumRef!$B$7))))</f>
        <v/>
      </c>
      <c r="H63" s="1097" t="str">
        <f ca="1">IF('A-80 DirEntInv'!H62&lt;&gt;"",'A-80 DirEntInv'!H62,IF(INDIRECT(ADDRESS(SumRef!AW69,SumRef!AW$16,,,SumRef!$B$7))="","",INDIRECT(ADDRESS(SumRef!AW69,SumRef!AW$16,,,SumRef!$B$7))))</f>
        <v/>
      </c>
      <c r="I63" s="1097" t="str">
        <f ca="1">IF('A-80 DirEntInv'!I62&lt;&gt;"",'A-80 DirEntInv'!I62,IF(INDIRECT(ADDRESS(SumRef!AX69,SumRef!AX$16,,,SumRef!$B$7))="","",INDIRECT(ADDRESS(SumRef!AX69,SumRef!AX$16,,,SumRef!$B$7))))</f>
        <v/>
      </c>
      <c r="J63" s="1098" t="str">
        <f ca="1">IF('A-80 DirEntInv'!J62&lt;&gt;"",'A-80 DirEntInv'!J62,IF(INDIRECT(ADDRESS(SumRef!AY69,SumRef!AY$16,,,SumRef!$B$7))="","",INDIRECT(ADDRESS(SumRef!AY69,SumRef!AY$16,,,SumRef!$B$7))))</f>
        <v/>
      </c>
      <c r="K63" s="1099" t="str">
        <f ca="1">IF('A-80 DirEntInv'!K62&lt;&gt;"",'A-80 DirEntInv'!K62,IF(INDIRECT(ADDRESS(SumRef!AZ69,SumRef!AZ$16,,,SumRef!$B$7))="","",INDIRECT(ADDRESS(SumRef!AZ69,SumRef!AZ$16,,,SumRef!$B$7))))</f>
        <v/>
      </c>
      <c r="L63" s="1100" t="str">
        <f ca="1">IF('A-80 DirEntInv'!L62&lt;&gt;"",'A-80 DirEntInv'!L62,IF(INDIRECT(ADDRESS(SumRef!BA69,SumRef!BA$16,,,SumRef!$B$7))="","",INDIRECT(ADDRESS(SumRef!BA69,SumRef!BA$16,,,SumRef!$B$7))))</f>
        <v/>
      </c>
      <c r="M63" s="1101" t="str">
        <f ca="1">IF('A-80 DirEntInv'!M62&lt;&gt;"",'A-80 DirEntInv'!M62,IF(INDIRECT(ADDRESS(SumRef!BB69,SumRef!BB$16,,,SumRef!$B$7))="","",INDIRECT(ADDRESS(SumRef!BB69,SumRef!BB$16,,,SumRef!$B$7))))</f>
        <v/>
      </c>
      <c r="N63" s="1098" t="str">
        <f ca="1">IF('A-80 DirEntInv'!N62&lt;&gt;"",'A-80 DirEntInv'!N62,IF(INDIRECT(ADDRESS(SumRef!BC69,SumRef!BC$16,,,SumRef!$B$7))="","",INDIRECT(ADDRESS(SumRef!BC69,SumRef!BC$16,,,SumRef!$B$7))))</f>
        <v/>
      </c>
      <c r="O63" s="1102" t="str">
        <f ca="1">IF('A-80 DirEntInv'!O62&lt;&gt;"",'A-80 DirEntInv'!O62,IF(INDIRECT(ADDRESS(SumRef!BD69,SumRef!BD$16,,,SumRef!$B$7))="","",INDIRECT(ADDRESS(SumRef!BD69,SumRef!BD$16,,,SumRef!$B$7))))</f>
        <v/>
      </c>
      <c r="Q63" s="589"/>
      <c r="R63" s="1103" t="str">
        <f ca="1">IF('A-80 DirEntInv'!R62&lt;&gt;"",'A-80 DirEntInv'!R62,IF(INDIRECT(ADDRESS(SumRef!BH69,SumRef!BH$16,,,SumRef!$B$8))="","",INDIRECT(ADDRESS(SumRef!BH69,SumRef!BH$16,,,SumRef!$B$8))))</f>
        <v/>
      </c>
      <c r="S63" s="1104" t="str">
        <f ca="1">IF('A-80 DirEntInv'!S62&lt;&gt;"",'A-80 DirEntInv'!S62,IF(INDIRECT(ADDRESS(SumRef!BI69,SumRef!BI$16,,,SumRef!$B$8))="","",INDIRECT(ADDRESS(SumRef!BI69,SumRef!BI$16,,,SumRef!$B$8))))</f>
        <v/>
      </c>
      <c r="T63" s="1104" t="str">
        <f ca="1">IF('A-80 DirEntInv'!T62&lt;&gt;"",'A-80 DirEntInv'!T62,IF(INDIRECT(ADDRESS(SumRef!BJ69,SumRef!BJ$16,,,SumRef!$B$8))="","",INDIRECT(ADDRESS(SumRef!BJ69,SumRef!BJ$16,,,SumRef!$B$8))))</f>
        <v/>
      </c>
      <c r="U63" s="1104" t="str">
        <f ca="1">IF('A-80 DirEntInv'!U62&lt;&gt;"",'A-80 DirEntInv'!U62,IF(INDIRECT(ADDRESS(SumRef!BK69,SumRef!BK$16,,,SumRef!$B$8))="","",INDIRECT(ADDRESS(SumRef!BK69,SumRef!BK$16,,,SumRef!$B$8))))</f>
        <v/>
      </c>
      <c r="V63" s="1104" t="str">
        <f ca="1">IF('A-80 DirEntInv'!V62&lt;&gt;"",'A-80 DirEntInv'!V62,IF(INDIRECT(ADDRESS(SumRef!BL69,SumRef!BL$16,,,SumRef!$B$8))="","",INDIRECT(ADDRESS(SumRef!BL69,SumRef!BL$16,,,SumRef!$B$8))))</f>
        <v/>
      </c>
      <c r="W63" s="1354" t="str">
        <f ca="1">IF('A-80 DirEntInv'!W62&lt;&gt;"",'A-80 DirEntInv'!W62,IF(INDIRECT(ADDRESS(SumRef!BM69,SumRef!BM$16,,,SumRef!$B$8))="","",INDIRECT(ADDRESS(SumRef!BM69,SumRef!BM$16,,,SumRef!$B$8))))</f>
        <v/>
      </c>
      <c r="X63" s="1203" t="str">
        <f ca="1">IF('A-80 DirEntInv'!X62&lt;&gt;"",'A-80 DirEntInv'!X62,IF(INDIRECT(ADDRESS(SumRef!BN69,SumRef!BN$16,,,SumRef!$B$8))="","",INDIRECT(ADDRESS(SumRef!BN69,SumRef!BN$16,,,SumRef!$B$8))))</f>
        <v/>
      </c>
      <c r="Y63" s="1203" t="str">
        <f ca="1">IF('A-80 DirEntInv'!Y62&lt;&gt;"",'A-80 DirEntInv'!Y62,IF(INDIRECT(ADDRESS(SumRef!BO69,SumRef!BO$16,,,SumRef!$B$8))="","",INDIRECT(ADDRESS(SumRef!BO69,SumRef!BO$16,,,SumRef!$B$8))))</f>
        <v/>
      </c>
      <c r="Z63" s="1104" t="str">
        <f ca="1">IF('A-80 DirEntInv'!Z62&lt;&gt;"",'A-80 DirEntInv'!Z62,IF(INDIRECT(ADDRESS(SumRef!BP69,SumRef!BP$16,,,SumRef!$B$8))="","",INDIRECT(ADDRESS(SumRef!BP69,SumRef!BP$16,,,SumRef!$B$8))))</f>
        <v/>
      </c>
      <c r="AA63" s="1104" t="str">
        <f ca="1">IF('A-80 DirEntInv'!AA62&lt;&gt;"",'A-80 DirEntInv'!AA62,IF(INDIRECT(ADDRESS(SumRef!BQ69,SumRef!BQ$16,,,SumRef!$B$8))="","",INDIRECT(ADDRESS(SumRef!BQ69,SumRef!BQ$16,,,SumRef!$B$8))))</f>
        <v/>
      </c>
      <c r="AB63" s="1106" t="str">
        <f ca="1">IF('A-80 DirEntInv'!AB62&lt;&gt;"",'A-80 DirEntInv'!AB62,IF(INDIRECT(ADDRESS(SumRef!BR69,SumRef!BR$16,,,SumRef!$B$8))="","",INDIRECT(ADDRESS(SumRef!BR69,SumRef!BR$16,,,SumRef!$B$8))))</f>
        <v/>
      </c>
      <c r="AC63" s="1107" t="str">
        <f ca="1">IF('A-80 DirEntInv'!AC62&lt;&gt;"",'A-80 DirEntInv'!AC62,IF(INDIRECT(ADDRESS(SumRef!BS69,SumRef!BS$16,,,SumRef!$B$8))="","",INDIRECT(ADDRESS(SumRef!BS69,SumRef!BS$16,,,SumRef!$B$8))))</f>
        <v/>
      </c>
      <c r="AD63" s="1349" t="str">
        <f ca="1">IF('A-80 DirEntInv'!AD62&lt;&gt;"",'A-80 DirEntInv'!AD62,IF(INDIRECT(ADDRESS(SumRef!BT69,SumRef!BT$16,,,SumRef!$B$8))="","",INDIRECT(ADDRESS(SumRef!BT69,SumRef!BT$16,,,SumRef!$B$8))))</f>
        <v/>
      </c>
      <c r="AE63" s="1137" t="str">
        <f ca="1">IF('A-80 DirEntInv'!AE62&lt;&gt;"",'A-80 DirEntInv'!AE62,IF(INDIRECT(ADDRESS(SumRef!BU69,SumRef!BU$16,,,SumRef!$B$8))="","",INDIRECT(ADDRESS(SumRef!BU69,SumRef!BU$16,,,SumRef!$B$8))))</f>
        <v/>
      </c>
      <c r="AF63" s="1346" t="str">
        <f ca="1">IF('A-80 DirEntInv'!AF62&lt;&gt;"",'A-80 DirEntInv'!AF62,IF(INDIRECT(ADDRESS(SumRef!BV69,SumRef!BV$16,,,SumRef!$B$8))="","",INDIRECT(ADDRESS(SumRef!BV69,SumRef!BV$16,,,SumRef!$B$8))))</f>
        <v/>
      </c>
      <c r="AG63" s="1105" t="str">
        <f ca="1">IF('A-80 DirEntInv'!AG62&lt;&gt;"",'A-80 DirEntInv'!AG62,IF(INDIRECT(ADDRESS(SumRef!BW69,SumRef!BW$16,,,SumRef!$B$8))="","",INDIRECT(ADDRESS(SumRef!BW69,SumRef!BW$16,,,SumRef!$B$8))))</f>
        <v/>
      </c>
      <c r="AH63" s="1357" t="str">
        <f ca="1">IF('A-80 DirEntInv'!AH62&lt;&gt;"",'A-80 DirEntInv'!AH62,IF(INDIRECT(ADDRESS(SumRef!BX69,SumRef!BX$16,,,SumRef!$B$8))="","",INDIRECT(ADDRESS(SumRef!BX69,SumRef!BX$16,,,SumRef!$B$8))))</f>
        <v/>
      </c>
      <c r="AK63" s="1041" t="str">
        <f>Codes!$C$159</f>
        <v>CC - Cable Car (DO)</v>
      </c>
      <c r="AL63" s="1042" t="str">
        <f>Valid!$B$88</f>
        <v>Substation Equipment</v>
      </c>
      <c r="AM63" s="1187"/>
      <c r="AN63" s="1046"/>
      <c r="AO63" s="1187"/>
      <c r="AP63" s="1046"/>
      <c r="AQ63" s="1147" t="str">
        <f>IF('A-80 DirEntInv'!AQ62&lt;&gt;"",'A-80 DirEntInv'!AQ62,IF(AK63=summaryref2!B22,summaryref2!G22,IF(Summary!AK63=summaryref2!B36,summaryref2!G36,IF(AK63=summaryref2!B50,summaryref2!G50,IF(AK63=summaryref2!B64,summaryref2!G64,IF(AK63=summaryref2!B78,summaryref2!G78,IF(AK63=summaryref2!B92,summaryref2!G92,IF(AK63=summaryref2!B106,summaryref2!G106,IF(AK63=summaryref2!B120,summaryref2!G120,IF(AK63=summaryref2!B134,summaryref2!G134,IF(AK63=summaryref2!B148,summaryref2!G148,"")))))))))))</f>
        <v/>
      </c>
      <c r="AR63" s="1147" t="str">
        <f>IF('A-80 DirEntInv'!AR62&lt;&gt;"",'A-80 DirEntInv'!AR62,IF(AK63=summaryref2!B22,summaryref2!H22,IF(Summary!AK63=summaryref2!B36,summaryref2!H36,IF(AK63=summaryref2!B50,summaryref2!H50,IF(AK63=summaryref2!B64,summaryref2!H64,IF(AK63=summaryref2!B78,summaryref2!H78,IF(AK63=summaryref2!B92,summaryref2!H92,IF(AK63=summaryref2!B106,summaryref2!H106,IF(AK63=summaryref2!B120,summaryref2!H120,IF(AK63=summaryref2!B134,summaryref2!H134,IF(AK63=summaryref2!B148,summaryref2!H148,"")))))))))))</f>
        <v/>
      </c>
      <c r="AS63" s="1110" t="str">
        <f>IF('A-80 DirEntInv'!AS62&lt;&gt;"",'A-80 DirEntInv'!AS62,IF(AK63=summaryref2!B22,summaryref2!I22,IF(Summary!AK63=summaryref2!B36,summaryref2!I36,IF(AK63=summaryref2!B50,summaryref2!I50,IF(AK63=summaryref2!B64,summaryref2!I64,IF(AK63=summaryref2!B78,summaryref2!I78,IF(AK63=summaryref2!B92,summaryref2!I92,IF(AK63=summaryref2!B106,summaryref2!I106,IF(AK63=summaryref2!B120,summaryref2!I120,IF(AK63=summaryref2!B134,summaryref2!I134,IF(AK63=summaryref2!B148,summaryref2!I148,"")))))))))))</f>
        <v/>
      </c>
      <c r="AT63" s="1110" t="str">
        <f>IF('A-80 DirEntInv'!AT62&lt;&gt;"",'A-80 DirEntInv'!AT62,IF(AK63=summaryref2!B22,summaryref2!J22,IF(Summary!AK63=summaryref2!B36,summaryref2!J36,IF(AK63=summaryref2!B50,summaryref2!J50,IF(AK63=summaryref2!B64,summaryref2!J64,IF(AK63=summaryref2!B78,summaryref2!J78,IF(AK63=summaryref2!B92,summaryref2!J92,IF(AK63=summaryref2!B106,summaryref2!J106,IF(AK63=summaryref2!B120,summaryref2!J120,IF(AK63=summaryref2!B134,summaryref2!J134,IF(AK63=summaryref2!B148,summaryref2!J148,"")))))))))))</f>
        <v/>
      </c>
      <c r="AU63" s="1110" t="str">
        <f>IF('A-80 DirEntInv'!AU62&lt;&gt;"",'A-80 DirEntInv'!AU62,IF(AK63=summaryref2!B22,summaryref2!K22,IF(Summary!AK63=summaryref2!B36,summaryref2!K36,IF(AK63=summaryref2!B50,summaryref2!K50,IF(AK63=summaryref2!B64,summaryref2!K64,IF(AK63=summaryref2!B78,summaryref2!K78,IF(AK63=summaryref2!B92,summaryref2!K92,IF(AK63=summaryref2!B106,summaryref2!K106,IF(AK63=summaryref2!B120,summaryref2!K120,IF(AK63=summaryref2!B134,summaryref2!K134,IF(AK63=summaryref2!B148,summaryref2!K148,"")))))))))))</f>
        <v/>
      </c>
      <c r="AV63" s="1110" t="str">
        <f>IF('A-80 DirEntInv'!AV62&lt;&gt;"",'A-80 DirEntInv'!AV62,IF(AK63=summaryref2!B22,summaryref2!L22,IF(Summary!AK63=summaryref2!B36,summaryref2!L36,IF(AK63=summaryref2!B50,summaryref2!L50,IF(AK63=summaryref2!B64,summaryref2!L64,IF(AK63=summaryref2!B78,summaryref2!L78,IF(AK63=summaryref2!B92,summaryref2!L92,IF(AK63=summaryref2!B106,summaryref2!L106,IF(AK63=summaryref2!B120,summaryref2!L120,IF(AK63=summaryref2!B134,summaryref2!L134,IF(AK63=summaryref2!B148,summaryref2!L148,"")))))))))))</f>
        <v/>
      </c>
      <c r="AW63" s="1110" t="str">
        <f>IF('A-80 DirEntInv'!AW62&lt;&gt;"",'A-80 DirEntInv'!AW62,IF(AK63=summaryref2!B22,summaryref2!M22,IF(Summary!AK63=summaryref2!B36,summaryref2!M36,IF(AK63=summaryref2!B50,summaryref2!M50,IF(AK63=summaryref2!B64,summaryref2!M64,IF(AK63=summaryref2!B78,summaryref2!M78,IF(AK63=summaryref2!B92,summaryref2!M92,IF(AK63=summaryref2!B106,summaryref2!M106,IF(AK63=summaryref2!B120,summaryref2!M120,IF(AK63=summaryref2!B134,summaryref2!M134,IF(AK63=summaryref2!B148,summaryref2!M148,"")))))))))))</f>
        <v/>
      </c>
      <c r="AX63" s="1110" t="str">
        <f>IF('A-80 DirEntInv'!AX62&lt;&gt;"",'A-80 DirEntInv'!AX62,IF(AK63=summaryref2!B22,summaryref2!N22,IF(Summary!AK63=summaryref2!B36,summaryref2!N36,IF(AK63=summaryref2!B50,summaryref2!N50,IF(AK63=summaryref2!B64,summaryref2!N64,IF(AK63=summaryref2!B78,summaryref2!N78,IF(AK63=summaryref2!B92,summaryref2!N92,IF(AK63=summaryref2!B106,summaryref2!N106,IF(AK63=summaryref2!B120,summaryref2!N120,IF(AK63=summaryref2!B134,summaryref2!N134,IF(AK63=summaryref2!B148,summaryref2!N148,"")))))))))))</f>
        <v/>
      </c>
      <c r="AY63" s="1110" t="str">
        <f>IF('A-80 DirEntInv'!AY62&lt;&gt;"",'A-80 DirEntInv'!AY62,IF(AK63=summaryref2!B22,summaryref2!O22,IF(Summary!AK63=summaryref2!B36,summaryref2!O36,IF(AK63=summaryref2!B50,summaryref2!O50,IF(AK63=summaryref2!B64,summaryref2!O64,IF(AK63=summaryref2!B78,summaryref2!O78,IF(AK63=summaryref2!B92,summaryref2!O92,IF(AK63=summaryref2!B106,summaryref2!O106,IF(AK63=summaryref2!B120,summaryref2!O120,IF(AK63=summaryref2!B134,summaryref2!O134,IF(AK63=summaryref2!B148,summaryref2!O148,"")))))))))))</f>
        <v/>
      </c>
      <c r="AZ63" s="1110" t="str">
        <f>IF('A-80 DirEntInv'!AZ62&lt;&gt;"",'A-80 DirEntInv'!AZ62,IF(AK63=summaryref2!B22,summaryref2!P22,IF(Summary!AK63=summaryref2!B36,summaryref2!P36,IF(AK63=summaryref2!B50,summaryref2!P50,IF(AK63=summaryref2!B64,summaryref2!P64,IF(AK63=summaryref2!B78,summaryref2!P78,IF(AK63=summaryref2!B92,summaryref2!P92,IF(AK63=summaryref2!B106,summaryref2!P106,IF(AK63=summaryref2!B120,summaryref2!P120,IF(AK63=summaryref2!B134,summaryref2!P134,IF(AK63=summaryref2!B148,summaryref2!P148,"")))))))))))</f>
        <v/>
      </c>
      <c r="BA63" s="1110" t="str">
        <f>IF('A-80 DirEntInv'!BA62&lt;&gt;"",'A-80 DirEntInv'!BA62,IF(AK63=summaryref2!B22,summaryref2!Q22,IF(Summary!AK63=summaryref2!B36,summaryref2!Q36,IF(AK63=summaryref2!B50,summaryref2!Q50,IF(AK63=summaryref2!B64,summaryref2!Q64,IF(AK63=summaryref2!B78,summaryref2!Q78,IF(AK63=summaryref2!B92,summaryref2!Q92,IF(AK63=summaryref2!B106,summaryref2!Q106,IF(AK63=summaryref2!B120,summaryref2!Q120,IF(AK63=summaryref2!B134,summaryref2!Q134,IF(AK63=summaryref2!B148,summaryref2!Q148,"")))))))))))</f>
        <v/>
      </c>
      <c r="BB63" s="1110" t="str">
        <f>IF('A-80 DirEntInv'!BB62&lt;&gt;"",'A-80 DirEntInv'!BB62,IF(AK63=summaryref2!B22,summaryref2!R22,IF(Summary!AK63=summaryref2!B36,summaryref2!R36,IF(AK63=summaryref2!B50,summaryref2!R50,IF(AK63=summaryref2!B64,summaryref2!R64,IF(AK63=summaryref2!B78,summaryref2!R78,IF(AK63=summaryref2!B92,summaryref2!R92,IF(AK63=summaryref2!B106,summaryref2!R106,IF(AK63=summaryref2!B120,summaryref2!R120,IF(AK63=summaryref2!B134,summaryref2!R134,IF(AK63=summaryref2!B148,summaryref2!R148,"")))))))))))</f>
        <v/>
      </c>
      <c r="BC63" s="1110" t="str">
        <f>IF('A-80 DirEntInv'!BC62&lt;&gt;0,'A-80 DirEntInv'!BC62,IF(AK63=summaryref2!B22,summaryref2!S22,IF(Summary!AK63=summaryref2!B36,summaryref2!S36,IF(AK63=summaryref2!B50,summaryref2!S50,IF(AK63=summaryref2!B64,summaryref2!S64,IF(AK63=summaryref2!B78,summaryref2!S78,IF(AK63=summaryref2!B92,summaryref2!S92,IF(AK63=summaryref2!B106,summaryref2!S106,IF(AK63=summaryref2!B120,summaryref2!S120,IF(AK63=summaryref2!B134,summaryref2!S134,IF(AK63=summaryref2!B148,summaryref2!S148,"")))))))))))</f>
        <v/>
      </c>
      <c r="BD63" s="1111" t="str">
        <f>IF('A-80 DirEntInv'!BD62&lt;&gt;"",'A-80 DirEntInv'!BD62,IF(AK63=summaryref2!B22,summaryref2!T22,IF(Summary!AK63=summaryref2!B36,summaryref2!T36,IF(AK63=summaryref2!B50,summaryref2!T50,IF(AK63=summaryref2!B64,summaryref2!T64,IF(AK63=summaryref2!B78,summaryref2!T78,IF(AK63=summaryref2!B92,summaryref2!T92,IF(AK63=summaryref2!B106,summaryref2!T106,IF(AK63=summaryref2!B120,summaryref2!T120,IF(AK63=summaryref2!B134,summaryref2!T134,IF(AK63=summaryref2!B148,summaryref2!T148,"")))))))))))</f>
        <v/>
      </c>
      <c r="BE63" s="1184" t="str">
        <f>IF('A-80 DirEntInv'!BE62&lt;&gt;"",'A-80 DirEntInv'!BE62,IF(AK63=summaryref2!B22,summaryref2!U22,IF(Summary!AK63=summaryref2!B36,summaryref2!U36,IF(AK63=summaryref2!B50,summaryref2!U50,IF(AK63=summaryref2!B64,summaryref2!U64,IF(AK63=summaryref2!B78,summaryref2!U78,IF(AK63=summaryref2!B92,summaryref2!U92,IF(AK63=summaryref2!B106,summaryref2!U106,IF(AK63=summaryref2!B120,summaryref2!U120,IF(AK63=summaryref2!B134,summaryref2!U134,IF(AK63=summaryref2!B148,summaryref2!U148,"")))))))))))</f>
        <v/>
      </c>
      <c r="BF63" s="1432"/>
      <c r="BG63" s="1432"/>
      <c r="BJ63" s="1041" t="str">
        <f>Codes!$C$163</f>
        <v>HR - Heavy Rail (DO)</v>
      </c>
      <c r="BK63" s="1042" t="str">
        <f>Valid!$B$83</f>
        <v>Single Crossover</v>
      </c>
      <c r="BL63" s="1375" t="str">
        <f>IF('A-80 DirEntInv'!BL62&lt;&gt;"",'A-80 DirEntInv'!BL62,IF(BJ63=summaryref2!X15,summaryref2!Z15,IF(BJ63=summaryref2!X22,summaryref2!Z22,IF(BJ63=summaryref2!X29,summaryref2!Z29,IF(BJ63=summaryref2!X36,summaryref2!Z36,IF(BJ63=summaryref2!X43,summaryref2!Z43,IF(BJ63=summaryref2!X50,summaryref2!Z50,IF(BJ63=summaryref2!X57,summaryref2!Z57,IF(BJ63=summaryref2!X64,summaryref2!Z64,IF(BJ63=summaryref2!X71,summaryref2!Z71,IF(BJ63=summaryref2!X78,summaryref2!Z78,"")))))))))))</f>
        <v/>
      </c>
      <c r="BM63" s="1042" t="str">
        <f>VLOOKUP(BK63,Valid!$B$80:$C$86,2,FALSE)</f>
        <v>Each</v>
      </c>
      <c r="BN63" s="1209" t="str">
        <f>IF('A-80 DirEntInv'!BN62&lt;&gt;"",'A-80 DirEntInv'!BN62,IF(BJ63=summaryref2!X15,summaryref2!AB15,IF(BJ63=summaryref2!X22,summaryref2!AB22,IF(BJ63=summaryref2!X29,summaryref2!AB29,IF(BJ63=summaryref2!X36,summaryref2!AB36,IF(BJ63=summaryref2!X43,summaryref2!AB43,IF(BJ63=summaryref2!X50,summaryref2!AB50,IF(BJ63=summaryref2!X57,summaryref2!AB57,IF(BJ63=summaryref2!X64,summaryref2!AB64,IF(BJ63=summaryref2!X71,summaryref2!AB71,IF(BJ63=summaryref2!X78,summaryref2!AB78,"")))))))))))</f>
        <v/>
      </c>
      <c r="BO63" s="1116" t="str">
        <f>IF('A-80 DirEntInv'!BO62&lt;&gt;"",'A-80 DirEntInv'!BO62,IF(BJ63=summaryref2!X15,summaryref2!AC15,IF(BJ63=summaryref2!X22,summaryref2!AC22,IF(BJ63=summaryref2!X29,summaryref2!AC29,IF(BJ63=summaryref2!X36,summaryref2!AC36,IF(BJ63=summaryref2!X43,summaryref2!AC43,IF(BJ63=summaryref2!X50,summaryref2!AC50,IF(BJ63=summaryref2!X57,summaryref2!AC57,IF(BJ63=summaryref2!X64,summaryref2!AC64,IF(BJ63=summaryref2!X71,summaryref2!AC71,IF(BJ63=summaryref2!X78,summaryref2!AC78,"")))))))))))</f>
        <v/>
      </c>
      <c r="BP63" s="1384" t="str">
        <f>IF('A-80 DirEntInv'!BP62&lt;&gt;"",'A-80 DirEntInv'!BP62,IF(BJ63=summaryref2!X15,summaryref2!AD15,IF(BJ63=summaryref2!X22,summaryref2!AD22,IF(BJ63=summaryref2!X29,summaryref2!AD29,IF(BJ63=summaryref2!X36,summaryref2!AD36,IF(BJ63=summaryref2!X43,summaryref2!AD43,IF(BJ63=summaryref2!X50,summaryref2!AD50,IF(BJ63=summaryref2!X57,summaryref2!AD57,IF(BJ63=summaryref2!X64,summaryref2!AD64,IF(BJ63=summaryref2!X71,summaryref2!AD71,IF(BJ63=summaryref2!X78,summaryref2!AD78,"")))))))))))</f>
        <v/>
      </c>
      <c r="BS63" s="1472" t="str">
        <f ca="1">IF('A-80 DirEntInv'!BU62&lt;&gt;"",'A-80 DirEntInv'!BU62,IF(INDIRECT(ADDRESS(SumRef!DK69,SumRef!DK$16,,,SumRef!$E$6))="","",INDIRECT(ADDRESS(SumRef!DK69,SumRef!DK$16,,,SumRef!$E$6))))</f>
        <v/>
      </c>
      <c r="BT63" s="1458" t="str">
        <f ca="1">IF('A-80 DirEntInv'!BV62&lt;&gt;"",'A-80 DirEntInv'!BV62,IF(INDIRECT(ADDRESS(SumRef!DL69,SumRef!DL$16,,,SumRef!$E$6))="","",INDIRECT(ADDRESS(SumRef!DL69,SumRef!DL$16,,,SumRef!$E$6))))</f>
        <v/>
      </c>
      <c r="BU63" s="1177" t="str">
        <f ca="1">IF('A-80 DirEntInv'!BW62&lt;&gt;"",'A-80 DirEntInv'!BW62,IF(INDIRECT(ADDRESS(SumRef!DM69,SumRef!DM$16,,,SumRef!$E$6))="","",INDIRECT(ADDRESS(SumRef!DM69,SumRef!DM$16,,,SumRef!$E$6))))</f>
        <v/>
      </c>
      <c r="BV63" s="1460" t="str">
        <f ca="1">IF('A-80 DirEntInv'!BX62&lt;&gt;"",'A-80 DirEntInv'!BX62,IF(INDIRECT(ADDRESS(SumRef!DN69,SumRef!DN$16,,,SumRef!$E$6))="","",INDIRECT(ADDRESS(SumRef!DN69,SumRef!DN$16,,,SumRef!$E$6))))</f>
        <v/>
      </c>
      <c r="BW63" s="1460" t="str">
        <f ca="1">IF('A-80 DirEntInv'!BY62&lt;&gt;"",'A-80 DirEntInv'!BY62,IF(INDIRECT(ADDRESS(SumRef!DO69,SumRef!DO$16,,,SumRef!$E$6))="","",INDIRECT(ADDRESS(SumRef!DO69,SumRef!DO$16,,,SumRef!$E$6))))</f>
        <v/>
      </c>
      <c r="BX63" s="1116" t="str">
        <f ca="1">IF('A-80 DirEntInv'!BZ62&lt;&gt;"",'A-80 DirEntInv'!BZ62,IF(INDIRECT(ADDRESS(SumRef!DP69,SumRef!DP$16,,,SumRef!$E$6))="","",INDIRECT(ADDRESS(SumRef!DP69,SumRef!DP$16,,,SumRef!$E$6))))</f>
        <v/>
      </c>
      <c r="BY63" s="1461" t="str">
        <f ca="1">IF('A-80 DirEntInv'!CA62&lt;&gt;"",'A-80 DirEntInv'!CA62,IF(INDIRECT(ADDRESS(SumRef!DQ69,SumRef!DQ$16,,,SumRef!$E$6))="","",INDIRECT(ADDRESS(SumRef!DQ69,SumRef!DQ$16,,,SumRef!$E$6))))</f>
        <v/>
      </c>
      <c r="BZ63" s="1460" t="str">
        <f ca="1">IF('A-80 DirEntInv'!CB62&lt;&gt;"",'A-80 DirEntInv'!CB62,IF(INDIRECT(ADDRESS(SumRef!DR69,SumRef!DR$16,,,SumRef!$E$6))="","",INDIRECT(ADDRESS(SumRef!DR69,SumRef!DR$16,,,SumRef!$E$6))))</f>
        <v/>
      </c>
      <c r="CA63" s="1462" t="str">
        <f ca="1">IF('A-80 DirEntInv'!CC62&lt;&gt;"",'A-80 DirEntInv'!CC62,IF(INDIRECT(ADDRESS(SumRef!DS69,SumRef!DS$16,,,SumRef!$E$6))="","",INDIRECT(ADDRESS(SumRef!DS69,SumRef!DS$16,,,SumRef!$E$6))))</f>
        <v/>
      </c>
      <c r="CD63" s="1160" t="str">
        <f ca="1">IF('A-80 DirEntInv'!CF62&lt;&gt;"",'A-80 DirEntInv'!CF62,IF(INDIRECT(ADDRESS(SumRef!DV69,SumRef!DV$16,,,SumRef!$E$7))="","",INDIRECT(ADDRESS(SumRef!DV69,SumRef!DV$16,,,SumRef!$E$7))))</f>
        <v/>
      </c>
      <c r="CE63" s="1167" t="str">
        <f ca="1">IF('A-80 DirEntInv'!CG62&lt;&gt;"",'A-80 DirEntInv'!CG62,IF(INDIRECT(ADDRESS(SumRef!DW69,SumRef!DW$16,,,SumRef!$E$7))="","",INDIRECT(ADDRESS(SumRef!DW69,SumRef!DW$16,,,SumRef!$E$7))))</f>
        <v/>
      </c>
      <c r="CF63" s="1167" t="str">
        <f ca="1">IF('A-80 DirEntInv'!CH62&lt;&gt;"",'A-80 DirEntInv'!CH62,IF(INDIRECT(ADDRESS(SumRef!DX69,SumRef!DX$16,,,SumRef!$E$7))="","",INDIRECT(ADDRESS(SumRef!DX69,SumRef!DX$16,,,SumRef!$E$7))))</f>
        <v/>
      </c>
      <c r="CG63" s="1167" t="str">
        <f ca="1">IF('A-80 DirEntInv'!CI62&lt;&gt;"",'A-80 DirEntInv'!CI62,IF(INDIRECT(ADDRESS(SumRef!DY69,SumRef!DY$16,,,SumRef!$E$7))="","",INDIRECT(ADDRESS(SumRef!DY69,SumRef!DY$16,,,SumRef!$E$7))))</f>
        <v/>
      </c>
      <c r="CH63" s="1167" t="str">
        <f ca="1">IF('A-80 DirEntInv'!CJ62&lt;&gt;"",'A-80 DirEntInv'!CJ62,IF(INDIRECT(ADDRESS(SumRef!DZ69,SumRef!DZ$16,,,SumRef!$E$7))="","",INDIRECT(ADDRESS(SumRef!DZ69,SumRef!DZ$16,,,SumRef!$E$7))))</f>
        <v/>
      </c>
      <c r="CI63" s="1167" t="str">
        <f ca="1">IF('A-80 DirEntInv'!CK62&lt;&gt;"",'A-80 DirEntInv'!CK62,IF(INDIRECT(ADDRESS(SumRef!EA69,SumRef!EA$16,,,SumRef!$E$7))="","",INDIRECT(ADDRESS(SumRef!EA69,SumRef!EA$16,,,SumRef!$E$7))))</f>
        <v/>
      </c>
      <c r="CJ63" s="1114" t="str">
        <f ca="1">IF('A-80 DirEntInv'!CL62&lt;&gt;"",'A-80 DirEntInv'!CL62,IF(INDIRECT(ADDRESS(SumRef!EB69,SumRef!EB$16,,,SumRef!$E$7))="","",INDIRECT(ADDRESS(SumRef!EB69,SumRef!EB$16,,,SumRef!$E$7))))</f>
        <v/>
      </c>
      <c r="CK63" s="1114" t="str">
        <f ca="1">IF('A-80 DirEntInv'!CM62&lt;&gt;"",'A-80 DirEntInv'!CM62,IF(INDIRECT(ADDRESS(SumRef!EC69,SumRef!EC$16,,,SumRef!$E$7))="","",INDIRECT(ADDRESS(SumRef!EC69,SumRef!EC$16,,,SumRef!$E$7))))</f>
        <v/>
      </c>
      <c r="CL63" s="1113" t="str">
        <f ca="1">IF('A-80 DirEntInv'!CO62&lt;&gt;"",'A-80 DirEntInv'!CO62,IF(INDIRECT(ADDRESS(SumRef!ED69,SumRef!ED$16,,,SumRef!$E$7))="","",INDIRECT(ADDRESS(SumRef!ED69,SumRef!ED$16,,,SumRef!$E$7))))</f>
        <v/>
      </c>
      <c r="CM63" s="1114" t="str">
        <f ca="1">IF('A-80 DirEntInv'!CP62&lt;&gt;"",'A-80 DirEntInv'!CP62,IF(INDIRECT(ADDRESS(SumRef!EE69,SumRef!EE$16,,,SumRef!$E$7))="","",INDIRECT(ADDRESS(SumRef!EE69,SumRef!EE$16,,,SumRef!$E$7))))</f>
        <v/>
      </c>
      <c r="CN63" s="1114" t="str">
        <f ca="1">IF('A-80 DirEntInv'!CQ62&lt;&gt;"",'A-80 DirEntInv'!CQ62,IF(INDIRECT(ADDRESS(SumRef!EF69,SumRef!EF$16,,,SumRef!$E$7))="","",INDIRECT(ADDRESS(SumRef!EF69,SumRef!EF$16,,,SumRef!$E$7))))</f>
        <v/>
      </c>
      <c r="CO63" s="1113" t="str">
        <f ca="1">IF('A-80 DirEntInv'!CR62&lt;&gt;"",'A-80 DirEntInv'!CR62,IF(INDIRECT(ADDRESS(SumRef!EG69,SumRef!EG$16,,,SumRef!$E$7))="","",INDIRECT(ADDRESS(SumRef!EG69,SumRef!EG$16,,,SumRef!$E$7))))</f>
        <v/>
      </c>
      <c r="CP63" s="1114" t="str">
        <f ca="1">IF('A-80 DirEntInv'!CS62&lt;&gt;"",'A-80 DirEntInv'!CS62,IF(INDIRECT(ADDRESS(SumRef!EH69,SumRef!EH$16,,,SumRef!$E$7))="","",INDIRECT(ADDRESS(SumRef!EH69,SumRef!EH$16,,,SumRef!$E$7))))</f>
        <v/>
      </c>
      <c r="CQ63" s="1346" t="str">
        <f ca="1">IF('A-80 DirEntInv'!CT62&lt;&gt;"",'A-80 DirEntInv'!CT62,IF(INDIRECT(ADDRESS(SumRef!EI69,SumRef!EI$16,,,SumRef!$E$7))="","",INDIRECT(ADDRESS(SumRef!EI69,SumRef!EI$16,,,SumRef!$E$7))))</f>
        <v/>
      </c>
      <c r="CR63" s="1113" t="str">
        <f ca="1">IF('A-80 DirEntInv'!CU62&lt;&gt;"",'A-80 DirEntInv'!CU62,IF(INDIRECT(ADDRESS(SumRef!EJ69,SumRef!EJ$16,,,SumRef!$E$7))="","",INDIRECT(ADDRESS(SumRef!EJ69,SumRef!EJ$16,,,SumRef!$E$7))))</f>
        <v/>
      </c>
      <c r="CS63" s="1346" t="str">
        <f ca="1">IF('A-80 DirEntInv'!CV62&lt;&gt;"",'A-80 DirEntInv'!CV62,IF(INDIRECT(ADDRESS(SumRef!EM69,SumRef!EM$16,,,SumRef!$E$7))="","",INDIRECT(ADDRESS(SumRef!EM69,SumRef!EM$16,,,SumRef!$E$7))))</f>
        <v/>
      </c>
      <c r="CT63" s="1113" t="str">
        <f ca="1">IF('A-80 DirEntInv'!CW62&lt;&gt;"",'A-80 DirEntInv'!CW62,IF(INDIRECT(ADDRESS(SumRef!EN69,SumRef!EN$16,,,SumRef!$E$7))="","",INDIRECT(ADDRESS(SumRef!EN69,SumRef!EN$16,,,SumRef!$E$7))))</f>
        <v/>
      </c>
      <c r="CU63" s="1113" t="str">
        <f ca="1">IF('A-80 DirEntInv'!CX62&lt;&gt;"",'A-80 DirEntInv'!CX62,IF(INDIRECT(ADDRESS(SumRef!EO69,SumRef!EO$16,,,SumRef!$E$7))="","",INDIRECT(ADDRESS(SumRef!EO69,SumRef!EO$16,,,SumRef!$E$7))))</f>
        <v/>
      </c>
      <c r="CV63" s="1113" t="str">
        <f ca="1">IF('A-80 DirEntInv'!CY62&lt;&gt;"",'A-80 DirEntInv'!CY62,IF(INDIRECT(ADDRESS(SumRef!EP69,SumRef!EP$16,,,SumRef!$E$7))="","",INDIRECT(ADDRESS(SumRef!EP69,SumRef!EP$16,,,SumRef!$E$7))))</f>
        <v/>
      </c>
      <c r="CW63" s="1114" t="str">
        <f ca="1">IF('A-80 DirEntInv'!CZ62&lt;&gt;"",'A-80 DirEntInv'!CZ62,IF(INDIRECT(ADDRESS(SumRef!ES69,SumRef!ES$16,,,SumRef!$E$7))="","",INDIRECT(ADDRESS(SumRef!ES69,SumRef!ES$16,,,SumRef!$E$7))))</f>
        <v/>
      </c>
      <c r="CX63" s="1167" t="str">
        <f ca="1">IF('A-80 DirEntInv'!DA62&lt;&gt;"",'A-80 DirEntInv'!DA62,IF(INDIRECT(ADDRESS(SumRef!ET69,SumRef!ET$16,,,SumRef!$E$7))="","",INDIRECT(ADDRESS(SumRef!ET69,SumRef!ET$16,,,SumRef!$E$7))))</f>
        <v/>
      </c>
      <c r="CY63" s="1167" t="str">
        <f ca="1">IF('A-80 DirEntInv'!DB62&lt;&gt;"",'A-80 DirEntInv'!DB62,IF(INDIRECT(ADDRESS(SumRef!EU69,SumRef!EU$16,,,SumRef!$E$7))="","",INDIRECT(ADDRESS(SumRef!EU69,SumRef!EU$16,,,SumRef!$E$7))))</f>
        <v/>
      </c>
      <c r="CZ63" s="1167" t="b">
        <f ca="1">IF('A-80 DirEntInv'!DC62&lt;&gt;"",'A-80 DirEntInv'!DC62,IF(INDIRECT(ADDRESS(SumRef!EV69,SumRef!EV$16,,,SumRef!$E$7))="","",INDIRECT(ADDRESS(SumRef!EV69,SumRef!EV$16,,,SumRef!$E$7))))</f>
        <v>0</v>
      </c>
      <c r="DA63" s="1373" t="str">
        <f ca="1">IF('A-80 DirEntInv'!DD62&lt;&gt;"",'A-80 DirEntInv'!DD62,IF(INDIRECT(ADDRESS(SumRef!EW69,SumRef!EW$16,,,SumRef!$E$7))="","",INDIRECT(ADDRESS(SumRef!EW69,SumRef!EW$16,,,SumRef!$E$7))))</f>
        <v/>
      </c>
      <c r="DB63" s="1373" t="b">
        <f ca="1">IF('A-80 DirEntInv'!DE62&lt;&gt;"",'A-80 DirEntInv'!DE62,IF(INDIRECT(ADDRESS(SumRef!EX69,SumRef!EX$16,,,SumRef!$E$7))="","",INDIRECT(ADDRESS(SumRef!EX69,SumRef!EX$16,,,SumRef!$E$7))))</f>
        <v>0</v>
      </c>
      <c r="DC63" s="1114" t="b">
        <f ca="1">IF('A-80 DirEntInv'!DF62&lt;&gt;"",'A-80 DirEntInv'!DF62,IF(INDIRECT(ADDRESS(SumRef!EY69,SumRef!EY$16,,,SumRef!$E$7))="","",INDIRECT(ADDRESS(SumRef!EY69,SumRef!EY$16,,,SumRef!$E$7))))</f>
        <v>0</v>
      </c>
      <c r="DD63" s="1115" t="str">
        <f ca="1">IF('A-80 DirEntInv'!DG62&lt;&gt;"",'A-80 DirEntInv'!DG62,IF(INDIRECT(ADDRESS(SumRef!EZ69,SumRef!EZ$16,,,SumRef!$E$7))="","",INDIRECT(ADDRESS(SumRef!EZ69,SumRef!EZ$16,,,SumRef!$E$7))))</f>
        <v/>
      </c>
    </row>
    <row r="64" spans="1:108" s="588" customFormat="1" x14ac:dyDescent="0.2">
      <c r="A64" s="589">
        <f t="shared" si="0"/>
        <v>54</v>
      </c>
      <c r="B64" s="1155" t="str">
        <f ca="1">IF('A-80 DirEntInv'!B63&lt;&gt;"",'A-80 DirEntInv'!B63,IF(INDIRECT(ADDRESS(SumRef!AQ70,SumRef!AQ$16,,,SumRef!$B$7))="","",INDIRECT(ADDRESS(SumRef!AQ70,SumRef!AQ$16,,,SumRef!$B$7))))</f>
        <v/>
      </c>
      <c r="C64" s="1097" t="str">
        <f ca="1">IF('A-80 DirEntInv'!C63&lt;&gt;"",'A-80 DirEntInv'!C63,IF(INDIRECT(ADDRESS(SumRef!AR70,SumRef!AR$16,,,SumRef!$B$7))="","",INDIRECT(ADDRESS(SumRef!AR70,SumRef!AR$16,,,SumRef!$B$7))))</f>
        <v/>
      </c>
      <c r="D64" s="1097" t="str">
        <f ca="1">IF('A-80 DirEntInv'!D63&lt;&gt;"",'A-80 DirEntInv'!D63,IF(INDIRECT(ADDRESS(SumRef!AS70,SumRef!AS$16,,,SumRef!$B$7))="","",INDIRECT(ADDRESS(SumRef!AS70,SumRef!AS$16,,,SumRef!$B$7))))</f>
        <v/>
      </c>
      <c r="E64" s="1097" t="str">
        <f ca="1">IF('A-80 DirEntInv'!E63&lt;&gt;"",'A-80 DirEntInv'!E63,IF(INDIRECT(ADDRESS(SumRef!AT70,SumRef!AT$16,,,SumRef!$B$7))="","",INDIRECT(ADDRESS(SumRef!AT70,SumRef!AT$16,,,SumRef!$B$7))))</f>
        <v/>
      </c>
      <c r="F64" s="1097" t="str">
        <f ca="1">IF('A-80 DirEntInv'!F63&lt;&gt;"",'A-80 DirEntInv'!F63,IF(INDIRECT(ADDRESS(SumRef!AU70,SumRef!AU$16,,,SumRef!$B$7))="","",INDIRECT(ADDRESS(SumRef!AU70,SumRef!AU$16,,,SumRef!$B$7))))</f>
        <v/>
      </c>
      <c r="G64" s="1158" t="str">
        <f ca="1">IF('A-80 DirEntInv'!G63&lt;&gt;"",'A-80 DirEntInv'!G63,IF(INDIRECT(ADDRESS(SumRef!AV70,SumRef!AV$16,,,SumRef!$B$7))="","",INDIRECT(ADDRESS(SumRef!AV70,SumRef!AV$16,,,SumRef!$B$7))))</f>
        <v/>
      </c>
      <c r="H64" s="1097" t="str">
        <f ca="1">IF('A-80 DirEntInv'!H63&lt;&gt;"",'A-80 DirEntInv'!H63,IF(INDIRECT(ADDRESS(SumRef!AW70,SumRef!AW$16,,,SumRef!$B$7))="","",INDIRECT(ADDRESS(SumRef!AW70,SumRef!AW$16,,,SumRef!$B$7))))</f>
        <v/>
      </c>
      <c r="I64" s="1097" t="str">
        <f ca="1">IF('A-80 DirEntInv'!I63&lt;&gt;"",'A-80 DirEntInv'!I63,IF(INDIRECT(ADDRESS(SumRef!AX70,SumRef!AX$16,,,SumRef!$B$7))="","",INDIRECT(ADDRESS(SumRef!AX70,SumRef!AX$16,,,SumRef!$B$7))))</f>
        <v/>
      </c>
      <c r="J64" s="1098" t="str">
        <f ca="1">IF('A-80 DirEntInv'!J63&lt;&gt;"",'A-80 DirEntInv'!J63,IF(INDIRECT(ADDRESS(SumRef!AY70,SumRef!AY$16,,,SumRef!$B$7))="","",INDIRECT(ADDRESS(SumRef!AY70,SumRef!AY$16,,,SumRef!$B$7))))</f>
        <v/>
      </c>
      <c r="K64" s="1099" t="str">
        <f ca="1">IF('A-80 DirEntInv'!K63&lt;&gt;"",'A-80 DirEntInv'!K63,IF(INDIRECT(ADDRESS(SumRef!AZ70,SumRef!AZ$16,,,SumRef!$B$7))="","",INDIRECT(ADDRESS(SumRef!AZ70,SumRef!AZ$16,,,SumRef!$B$7))))</f>
        <v/>
      </c>
      <c r="L64" s="1100" t="str">
        <f ca="1">IF('A-80 DirEntInv'!L63&lt;&gt;"",'A-80 DirEntInv'!L63,IF(INDIRECT(ADDRESS(SumRef!BA70,SumRef!BA$16,,,SumRef!$B$7))="","",INDIRECT(ADDRESS(SumRef!BA70,SumRef!BA$16,,,SumRef!$B$7))))</f>
        <v/>
      </c>
      <c r="M64" s="1101" t="str">
        <f ca="1">IF('A-80 DirEntInv'!M63&lt;&gt;"",'A-80 DirEntInv'!M63,IF(INDIRECT(ADDRESS(SumRef!BB70,SumRef!BB$16,,,SumRef!$B$7))="","",INDIRECT(ADDRESS(SumRef!BB70,SumRef!BB$16,,,SumRef!$B$7))))</f>
        <v/>
      </c>
      <c r="N64" s="1098" t="str">
        <f ca="1">IF('A-80 DirEntInv'!N63&lt;&gt;"",'A-80 DirEntInv'!N63,IF(INDIRECT(ADDRESS(SumRef!BC70,SumRef!BC$16,,,SumRef!$B$7))="","",INDIRECT(ADDRESS(SumRef!BC70,SumRef!BC$16,,,SumRef!$B$7))))</f>
        <v/>
      </c>
      <c r="O64" s="1102" t="str">
        <f ca="1">IF('A-80 DirEntInv'!O63&lt;&gt;"",'A-80 DirEntInv'!O63,IF(INDIRECT(ADDRESS(SumRef!BD70,SumRef!BD$16,,,SumRef!$B$7))="","",INDIRECT(ADDRESS(SumRef!BD70,SumRef!BD$16,,,SumRef!$B$7))))</f>
        <v/>
      </c>
      <c r="Q64" s="589"/>
      <c r="R64" s="1103" t="str">
        <f ca="1">IF('A-80 DirEntInv'!R63&lt;&gt;"",'A-80 DirEntInv'!R63,IF(INDIRECT(ADDRESS(SumRef!BH70,SumRef!BH$16,,,SumRef!$B$8))="","",INDIRECT(ADDRESS(SumRef!BH70,SumRef!BH$16,,,SumRef!$B$8))))</f>
        <v/>
      </c>
      <c r="S64" s="1104" t="str">
        <f ca="1">IF('A-80 DirEntInv'!S63&lt;&gt;"",'A-80 DirEntInv'!S63,IF(INDIRECT(ADDRESS(SumRef!BI70,SumRef!BI$16,,,SumRef!$B$8))="","",INDIRECT(ADDRESS(SumRef!BI70,SumRef!BI$16,,,SumRef!$B$8))))</f>
        <v/>
      </c>
      <c r="T64" s="1104" t="str">
        <f ca="1">IF('A-80 DirEntInv'!T63&lt;&gt;"",'A-80 DirEntInv'!T63,IF(INDIRECT(ADDRESS(SumRef!BJ70,SumRef!BJ$16,,,SumRef!$B$8))="","",INDIRECT(ADDRESS(SumRef!BJ70,SumRef!BJ$16,,,SumRef!$B$8))))</f>
        <v/>
      </c>
      <c r="U64" s="1104" t="str">
        <f ca="1">IF('A-80 DirEntInv'!U63&lt;&gt;"",'A-80 DirEntInv'!U63,IF(INDIRECT(ADDRESS(SumRef!BK70,SumRef!BK$16,,,SumRef!$B$8))="","",INDIRECT(ADDRESS(SumRef!BK70,SumRef!BK$16,,,SumRef!$B$8))))</f>
        <v/>
      </c>
      <c r="V64" s="1104" t="str">
        <f ca="1">IF('A-80 DirEntInv'!V63&lt;&gt;"",'A-80 DirEntInv'!V63,IF(INDIRECT(ADDRESS(SumRef!BL70,SumRef!BL$16,,,SumRef!$B$8))="","",INDIRECT(ADDRESS(SumRef!BL70,SumRef!BL$16,,,SumRef!$B$8))))</f>
        <v/>
      </c>
      <c r="W64" s="1354" t="str">
        <f ca="1">IF('A-80 DirEntInv'!W63&lt;&gt;"",'A-80 DirEntInv'!W63,IF(INDIRECT(ADDRESS(SumRef!BM70,SumRef!BM$16,,,SumRef!$B$8))="","",INDIRECT(ADDRESS(SumRef!BM70,SumRef!BM$16,,,SumRef!$B$8))))</f>
        <v/>
      </c>
      <c r="X64" s="1203" t="str">
        <f ca="1">IF('A-80 DirEntInv'!X63&lt;&gt;"",'A-80 DirEntInv'!X63,IF(INDIRECT(ADDRESS(SumRef!BN70,SumRef!BN$16,,,SumRef!$B$8))="","",INDIRECT(ADDRESS(SumRef!BN70,SumRef!BN$16,,,SumRef!$B$8))))</f>
        <v/>
      </c>
      <c r="Y64" s="1203" t="str">
        <f ca="1">IF('A-80 DirEntInv'!Y63&lt;&gt;"",'A-80 DirEntInv'!Y63,IF(INDIRECT(ADDRESS(SumRef!BO70,SumRef!BO$16,,,SumRef!$B$8))="","",INDIRECT(ADDRESS(SumRef!BO70,SumRef!BO$16,,,SumRef!$B$8))))</f>
        <v/>
      </c>
      <c r="Z64" s="1104" t="str">
        <f ca="1">IF('A-80 DirEntInv'!Z63&lt;&gt;"",'A-80 DirEntInv'!Z63,IF(INDIRECT(ADDRESS(SumRef!BP70,SumRef!BP$16,,,SumRef!$B$8))="","",INDIRECT(ADDRESS(SumRef!BP70,SumRef!BP$16,,,SumRef!$B$8))))</f>
        <v/>
      </c>
      <c r="AA64" s="1104" t="str">
        <f ca="1">IF('A-80 DirEntInv'!AA63&lt;&gt;"",'A-80 DirEntInv'!AA63,IF(INDIRECT(ADDRESS(SumRef!BQ70,SumRef!BQ$16,,,SumRef!$B$8))="","",INDIRECT(ADDRESS(SumRef!BQ70,SumRef!BQ$16,,,SumRef!$B$8))))</f>
        <v/>
      </c>
      <c r="AB64" s="1106" t="str">
        <f ca="1">IF('A-80 DirEntInv'!AB63&lt;&gt;"",'A-80 DirEntInv'!AB63,IF(INDIRECT(ADDRESS(SumRef!BR70,SumRef!BR$16,,,SumRef!$B$8))="","",INDIRECT(ADDRESS(SumRef!BR70,SumRef!BR$16,,,SumRef!$B$8))))</f>
        <v/>
      </c>
      <c r="AC64" s="1107" t="str">
        <f ca="1">IF('A-80 DirEntInv'!AC63&lt;&gt;"",'A-80 DirEntInv'!AC63,IF(INDIRECT(ADDRESS(SumRef!BS70,SumRef!BS$16,,,SumRef!$B$8))="","",INDIRECT(ADDRESS(SumRef!BS70,SumRef!BS$16,,,SumRef!$B$8))))</f>
        <v/>
      </c>
      <c r="AD64" s="1349" t="str">
        <f ca="1">IF('A-80 DirEntInv'!AD63&lt;&gt;"",'A-80 DirEntInv'!AD63,IF(INDIRECT(ADDRESS(SumRef!BT70,SumRef!BT$16,,,SumRef!$B$8))="","",INDIRECT(ADDRESS(SumRef!BT70,SumRef!BT$16,,,SumRef!$B$8))))</f>
        <v/>
      </c>
      <c r="AE64" s="1137" t="str">
        <f ca="1">IF('A-80 DirEntInv'!AE63&lt;&gt;"",'A-80 DirEntInv'!AE63,IF(INDIRECT(ADDRESS(SumRef!BU70,SumRef!BU$16,,,SumRef!$B$8))="","",INDIRECT(ADDRESS(SumRef!BU70,SumRef!BU$16,,,SumRef!$B$8))))</f>
        <v/>
      </c>
      <c r="AF64" s="1346" t="str">
        <f ca="1">IF('A-80 DirEntInv'!AF63&lt;&gt;"",'A-80 DirEntInv'!AF63,IF(INDIRECT(ADDRESS(SumRef!BV70,SumRef!BV$16,,,SumRef!$B$8))="","",INDIRECT(ADDRESS(SumRef!BV70,SumRef!BV$16,,,SumRef!$B$8))))</f>
        <v/>
      </c>
      <c r="AG64" s="1105" t="str">
        <f ca="1">IF('A-80 DirEntInv'!AG63&lt;&gt;"",'A-80 DirEntInv'!AG63,IF(INDIRECT(ADDRESS(SumRef!BW70,SumRef!BW$16,,,SumRef!$B$8))="","",INDIRECT(ADDRESS(SumRef!BW70,SumRef!BW$16,,,SumRef!$B$8))))</f>
        <v/>
      </c>
      <c r="AH64" s="1357" t="str">
        <f ca="1">IF('A-80 DirEntInv'!AH63&lt;&gt;"",'A-80 DirEntInv'!AH63,IF(INDIRECT(ADDRESS(SumRef!BX70,SumRef!BX$16,,,SumRef!$B$8))="","",INDIRECT(ADDRESS(SumRef!BX70,SumRef!BX$16,,,SumRef!$B$8))))</f>
        <v/>
      </c>
      <c r="AK64" s="1041" t="str">
        <f>Codes!$C$159</f>
        <v>CC - Cable Car (DO)</v>
      </c>
      <c r="AL64" s="1042" t="str">
        <f>Valid!$B$89</f>
        <v>Third Rail/Power Distribution</v>
      </c>
      <c r="AM64" s="1108"/>
      <c r="AN64" s="1042"/>
      <c r="AO64" s="1108"/>
      <c r="AP64" s="1042"/>
      <c r="AQ64" s="1147" t="str">
        <f>IF('A-80 DirEntInv'!AQ63&lt;&gt;"",'A-80 DirEntInv'!AQ63,IF(AK64=summaryref2!B23,summaryref2!G23,IF(Summary!AK64=summaryref2!B37,summaryref2!G37,IF(AK64=summaryref2!B51,summaryref2!G51,IF(AK64=summaryref2!B65,summaryref2!G65,IF(AK64=summaryref2!B79,summaryref2!G79,IF(AK64=summaryref2!B93,summaryref2!G93,IF(AK64=summaryref2!B107,summaryref2!G107,IF(AK64=summaryref2!B121,summaryref2!G121,IF(AK64=summaryref2!B135,summaryref2!G135,IF(AK64=summaryref2!B149,summaryref2!G149,"")))))))))))</f>
        <v/>
      </c>
      <c r="AR64" s="1147" t="str">
        <f>IF('A-80 DirEntInv'!AR63&lt;&gt;"",'A-80 DirEntInv'!AR63,IF(AK64=summaryref2!B23,summaryref2!H23,IF(Summary!AK64=summaryref2!B37,summaryref2!H37,IF(AK64=summaryref2!B51,summaryref2!H51,IF(AK64=summaryref2!B65,summaryref2!H65,IF(AK64=summaryref2!B79,summaryref2!H79,IF(AK64=summaryref2!B93,summaryref2!H93,IF(AK64=summaryref2!B107,summaryref2!H107,IF(AK64=summaryref2!B121,summaryref2!H121,IF(AK64=summaryref2!B135,summaryref2!H135,IF(AK64=summaryref2!B149,summaryref2!H149,"")))))))))))</f>
        <v/>
      </c>
      <c r="AS64" s="1110" t="str">
        <f>IF('A-80 DirEntInv'!AS63&lt;&gt;"",'A-80 DirEntInv'!AS63,IF(AK64=summaryref2!B23,summaryref2!I23,IF(Summary!AK64=summaryref2!B37,summaryref2!I37,IF(AK64=summaryref2!B51,summaryref2!I51,IF(AK64=summaryref2!B65,summaryref2!I65,IF(AK64=summaryref2!B79,summaryref2!I79,IF(AK64=summaryref2!B93,summaryref2!I93,IF(AK64=summaryref2!B107,summaryref2!I107,IF(AK64=summaryref2!B121,summaryref2!I121,IF(AK64=summaryref2!B135,summaryref2!I135,IF(AK64=summaryref2!B149,summaryref2!I149,"")))))))))))</f>
        <v/>
      </c>
      <c r="AT64" s="1110" t="str">
        <f>IF('A-80 DirEntInv'!AT63&lt;&gt;"",'A-80 DirEntInv'!AT63,IF(AK64=summaryref2!B23,summaryref2!J23,IF(Summary!AK64=summaryref2!B37,summaryref2!J37,IF(AK64=summaryref2!B51,summaryref2!J51,IF(AK64=summaryref2!B65,summaryref2!J65,IF(AK64=summaryref2!B79,summaryref2!J79,IF(AK64=summaryref2!B93,summaryref2!J93,IF(AK64=summaryref2!B107,summaryref2!J107,IF(AK64=summaryref2!B121,summaryref2!J121,IF(AK64=summaryref2!B135,summaryref2!J135,IF(AK64=summaryref2!B149,summaryref2!J149,"")))))))))))</f>
        <v/>
      </c>
      <c r="AU64" s="1110" t="str">
        <f>IF('A-80 DirEntInv'!AU63&lt;&gt;"",'A-80 DirEntInv'!AU63,IF(AK64=summaryref2!B23,summaryref2!K23,IF(Summary!AK64=summaryref2!B37,summaryref2!K37,IF(AK64=summaryref2!B51,summaryref2!K51,IF(AK64=summaryref2!B65,summaryref2!K65,IF(AK64=summaryref2!B79,summaryref2!K79,IF(AK64=summaryref2!B93,summaryref2!K93,IF(AK64=summaryref2!B107,summaryref2!K107,IF(AK64=summaryref2!B121,summaryref2!K121,IF(AK64=summaryref2!B135,summaryref2!K135,IF(AK64=summaryref2!B149,summaryref2!K149,"")))))))))))</f>
        <v/>
      </c>
      <c r="AV64" s="1110" t="str">
        <f>IF('A-80 DirEntInv'!AV63&lt;&gt;"",'A-80 DirEntInv'!AV63,IF(AK64=summaryref2!B23,summaryref2!L23,IF(Summary!AK64=summaryref2!B37,summaryref2!L37,IF(AK64=summaryref2!B51,summaryref2!L51,IF(AK64=summaryref2!B65,summaryref2!L65,IF(AK64=summaryref2!B79,summaryref2!L79,IF(AK64=summaryref2!B93,summaryref2!L93,IF(AK64=summaryref2!B107,summaryref2!L107,IF(AK64=summaryref2!B121,summaryref2!L121,IF(AK64=summaryref2!B135,summaryref2!L135,IF(AK64=summaryref2!B149,summaryref2!L149,"")))))))))))</f>
        <v/>
      </c>
      <c r="AW64" s="1110" t="str">
        <f>IF('A-80 DirEntInv'!AW63&lt;&gt;"",'A-80 DirEntInv'!AW63,IF(AK64=summaryref2!B23,summaryref2!M23,IF(Summary!AK64=summaryref2!B37,summaryref2!M37,IF(AK64=summaryref2!B51,summaryref2!M51,IF(AK64=summaryref2!B65,summaryref2!M65,IF(AK64=summaryref2!B79,summaryref2!M79,IF(AK64=summaryref2!B93,summaryref2!M93,IF(AK64=summaryref2!B107,summaryref2!M107,IF(AK64=summaryref2!B121,summaryref2!M121,IF(AK64=summaryref2!B135,summaryref2!M135,IF(AK64=summaryref2!B149,summaryref2!M149,"")))))))))))</f>
        <v/>
      </c>
      <c r="AX64" s="1110" t="str">
        <f>IF('A-80 DirEntInv'!AX63&lt;&gt;"",'A-80 DirEntInv'!AX63,IF(AK64=summaryref2!B23,summaryref2!N23,IF(Summary!AK64=summaryref2!B37,summaryref2!N37,IF(AK64=summaryref2!B51,summaryref2!N51,IF(AK64=summaryref2!B65,summaryref2!N65,IF(AK64=summaryref2!B79,summaryref2!N79,IF(AK64=summaryref2!B93,summaryref2!N93,IF(AK64=summaryref2!B107,summaryref2!N107,IF(AK64=summaryref2!B121,summaryref2!N121,IF(AK64=summaryref2!B135,summaryref2!N135,IF(AK64=summaryref2!B149,summaryref2!N149,"")))))))))))</f>
        <v/>
      </c>
      <c r="AY64" s="1110" t="str">
        <f>IF('A-80 DirEntInv'!AY63&lt;&gt;"",'A-80 DirEntInv'!AY63,IF(AK64=summaryref2!B23,summaryref2!O23,IF(Summary!AK64=summaryref2!B37,summaryref2!O37,IF(AK64=summaryref2!B51,summaryref2!O51,IF(AK64=summaryref2!B65,summaryref2!O65,IF(AK64=summaryref2!B79,summaryref2!O79,IF(AK64=summaryref2!B93,summaryref2!O93,IF(AK64=summaryref2!B107,summaryref2!O107,IF(AK64=summaryref2!B121,summaryref2!O121,IF(AK64=summaryref2!B135,summaryref2!O135,IF(AK64=summaryref2!B149,summaryref2!O149,"")))))))))))</f>
        <v/>
      </c>
      <c r="AZ64" s="1110" t="str">
        <f>IF('A-80 DirEntInv'!AZ63&lt;&gt;"",'A-80 DirEntInv'!AZ63,IF(AK64=summaryref2!B23,summaryref2!P23,IF(Summary!AK64=summaryref2!B37,summaryref2!P37,IF(AK64=summaryref2!B51,summaryref2!P51,IF(AK64=summaryref2!B65,summaryref2!P65,IF(AK64=summaryref2!B79,summaryref2!P79,IF(AK64=summaryref2!B93,summaryref2!P93,IF(AK64=summaryref2!B107,summaryref2!P107,IF(AK64=summaryref2!B121,summaryref2!P121,IF(AK64=summaryref2!B135,summaryref2!P135,IF(AK64=summaryref2!B149,summaryref2!P149,"")))))))))))</f>
        <v/>
      </c>
      <c r="BA64" s="1110" t="str">
        <f>IF('A-80 DirEntInv'!BA63&lt;&gt;"",'A-80 DirEntInv'!BA63,IF(AK64=summaryref2!B23,summaryref2!Q23,IF(Summary!AK64=summaryref2!B37,summaryref2!Q37,IF(AK64=summaryref2!B51,summaryref2!Q51,IF(AK64=summaryref2!B65,summaryref2!Q65,IF(AK64=summaryref2!B79,summaryref2!Q79,IF(AK64=summaryref2!B93,summaryref2!Q93,IF(AK64=summaryref2!B107,summaryref2!Q107,IF(AK64=summaryref2!B121,summaryref2!Q121,IF(AK64=summaryref2!B135,summaryref2!Q135,IF(AK64=summaryref2!B149,summaryref2!Q149,"")))))))))))</f>
        <v/>
      </c>
      <c r="BB64" s="1110" t="str">
        <f>IF('A-80 DirEntInv'!BB63&lt;&gt;"",'A-80 DirEntInv'!BB63,IF(AK64=summaryref2!B23,summaryref2!R23,IF(Summary!AK64=summaryref2!B37,summaryref2!R37,IF(AK64=summaryref2!B51,summaryref2!R51,IF(AK64=summaryref2!B65,summaryref2!R65,IF(AK64=summaryref2!B79,summaryref2!R79,IF(AK64=summaryref2!B93,summaryref2!R93,IF(AK64=summaryref2!B107,summaryref2!R107,IF(AK64=summaryref2!B121,summaryref2!R121,IF(AK64=summaryref2!B135,summaryref2!R135,IF(AK64=summaryref2!B149,summaryref2!R149,"")))))))))))</f>
        <v/>
      </c>
      <c r="BC64" s="1110" t="str">
        <f>IF('A-80 DirEntInv'!BC63&lt;&gt;0,'A-80 DirEntInv'!BC63,IF(AK64=summaryref2!B23,summaryref2!S23,IF(Summary!AK64=summaryref2!B37,summaryref2!S37,IF(AK64=summaryref2!B51,summaryref2!S51,IF(AK64=summaryref2!B65,summaryref2!S65,IF(AK64=summaryref2!B79,summaryref2!S79,IF(AK64=summaryref2!B93,summaryref2!S93,IF(AK64=summaryref2!B107,summaryref2!S107,IF(AK64=summaryref2!B121,summaryref2!S121,IF(AK64=summaryref2!B135,summaryref2!S135,IF(AK64=summaryref2!B149,summaryref2!S149,"")))))))))))</f>
        <v/>
      </c>
      <c r="BD64" s="1111" t="str">
        <f>IF('A-80 DirEntInv'!BD63&lt;&gt;"",'A-80 DirEntInv'!BD63,IF(AK64=summaryref2!B23,summaryref2!T23,IF(Summary!AK64=summaryref2!B37,summaryref2!T37,IF(AK64=summaryref2!B51,summaryref2!T51,IF(AK64=summaryref2!B65,summaryref2!T65,IF(AK64=summaryref2!B79,summaryref2!T79,IF(AK64=summaryref2!B93,summaryref2!T93,IF(AK64=summaryref2!B107,summaryref2!T107,IF(AK64=summaryref2!B121,summaryref2!T121,IF(AK64=summaryref2!B135,summaryref2!T135,IF(AK64=summaryref2!B149,summaryref2!T149,"")))))))))))</f>
        <v/>
      </c>
      <c r="BE64" s="1184" t="str">
        <f>IF('A-80 DirEntInv'!BE63&lt;&gt;"",'A-80 DirEntInv'!BE63,IF(AK64=summaryref2!B23,summaryref2!U23,IF(Summary!AK64=summaryref2!B37,summaryref2!U37,IF(AK64=summaryref2!B51,summaryref2!U51,IF(AK64=summaryref2!B65,summaryref2!U65,IF(AK64=summaryref2!B79,summaryref2!U79,IF(AK64=summaryref2!B93,summaryref2!U93,IF(AK64=summaryref2!B107,summaryref2!U107,IF(AK64=summaryref2!B121,summaryref2!U121,IF(AK64=summaryref2!B135,summaryref2!U135,IF(AK64=summaryref2!B149,summaryref2!U149,"")))))))))))</f>
        <v/>
      </c>
      <c r="BF64" s="1432"/>
      <c r="BG64" s="1432"/>
      <c r="BJ64" s="1041" t="str">
        <f>Codes!$C$163</f>
        <v>HR - Heavy Rail (DO)</v>
      </c>
      <c r="BK64" s="1042" t="str">
        <f>Valid!$B$84</f>
        <v>Half Grand Union</v>
      </c>
      <c r="BL64" s="1375" t="str">
        <f>IF('A-80 DirEntInv'!BL63&lt;&gt;"",'A-80 DirEntInv'!BL63,IF(BJ64=summaryref2!X16,summaryref2!Z16,IF(BJ64=summaryref2!X23,summaryref2!Z23,IF(BJ64=summaryref2!X30,summaryref2!Z30,IF(BJ64=summaryref2!X37,summaryref2!Z37,IF(BJ64=summaryref2!X44,summaryref2!Z44,IF(BJ64=summaryref2!X51,summaryref2!Z51,IF(BJ64=summaryref2!X58,summaryref2!Z58,IF(BJ64=summaryref2!X65,summaryref2!Z65,IF(BJ64=summaryref2!X72,summaryref2!Z72,IF(BJ64=summaryref2!X79,summaryref2!Z79,"")))))))))))</f>
        <v/>
      </c>
      <c r="BM64" s="1042" t="str">
        <f>VLOOKUP(BK64,Valid!$B$80:$C$86,2,FALSE)</f>
        <v>Each</v>
      </c>
      <c r="BN64" s="1209" t="str">
        <f>IF('A-80 DirEntInv'!BN63&lt;&gt;"",'A-80 DirEntInv'!BN63,IF(BJ64=summaryref2!X16,summaryref2!AB16,IF(BJ64=summaryref2!X23,summaryref2!AB23,IF(BJ64=summaryref2!X30,summaryref2!AB30,IF(BJ64=summaryref2!X37,summaryref2!AB37,IF(BJ64=summaryref2!X44,summaryref2!AB44,IF(BJ64=summaryref2!X51,summaryref2!AB51,IF(BJ64=summaryref2!X58,summaryref2!AB58,IF(BJ64=summaryref2!X65,summaryref2!AB65,IF(BJ64=summaryref2!X72,summaryref2!AB72,IF(BJ64=summaryref2!X79,summaryref2!AB79,"")))))))))))</f>
        <v/>
      </c>
      <c r="BO64" s="1116" t="str">
        <f>IF('A-80 DirEntInv'!BO63&lt;&gt;"",'A-80 DirEntInv'!BO63,IF(BJ64=summaryref2!X16,summaryref2!AC16,IF(BJ64=summaryref2!X23,summaryref2!AC23,IF(BJ64=summaryref2!X30,summaryref2!AC30,IF(BJ64=summaryref2!X37,summaryref2!AC37,IF(BJ64=summaryref2!X44,summaryref2!AC44,IF(BJ64=summaryref2!X51,summaryref2!AC51,IF(BJ64=summaryref2!X58,summaryref2!AC58,IF(BJ64=summaryref2!X65,summaryref2!AC65,IF(BJ64=summaryref2!X72,summaryref2!AC72,IF(BJ64=summaryref2!X79,summaryref2!AC79,"")))))))))))</f>
        <v/>
      </c>
      <c r="BP64" s="1384" t="str">
        <f>IF('A-80 DirEntInv'!BP63&lt;&gt;"",'A-80 DirEntInv'!BP63,IF(BJ64=summaryref2!X16,summaryref2!AD16,IF(BJ64=summaryref2!X23,summaryref2!AD23,IF(BJ64=summaryref2!X30,summaryref2!AD30,IF(BJ64=summaryref2!X37,summaryref2!AD37,IF(BJ64=summaryref2!X44,summaryref2!AD44,IF(BJ64=summaryref2!X51,summaryref2!AD51,IF(BJ64=summaryref2!X58,summaryref2!AD58,IF(BJ64=summaryref2!X65,summaryref2!AD65,IF(BJ64=summaryref2!X72,summaryref2!AD72,IF(BJ64=summaryref2!X79,summaryref2!AD79,"")))))))))))</f>
        <v/>
      </c>
      <c r="BS64" s="1472" t="str">
        <f ca="1">IF('A-80 DirEntInv'!BU63&lt;&gt;"",'A-80 DirEntInv'!BU63,IF(INDIRECT(ADDRESS(SumRef!DK70,SumRef!DK$16,,,SumRef!$E$6))="","",INDIRECT(ADDRESS(SumRef!DK70,SumRef!DK$16,,,SumRef!$E$6))))</f>
        <v/>
      </c>
      <c r="BT64" s="1458" t="str">
        <f ca="1">IF('A-80 DirEntInv'!BV63&lt;&gt;"",'A-80 DirEntInv'!BV63,IF(INDIRECT(ADDRESS(SumRef!DL70,SumRef!DL$16,,,SumRef!$E$6))="","",INDIRECT(ADDRESS(SumRef!DL70,SumRef!DL$16,,,SumRef!$E$6))))</f>
        <v/>
      </c>
      <c r="BU64" s="1177" t="str">
        <f ca="1">IF('A-80 DirEntInv'!BW63&lt;&gt;"",'A-80 DirEntInv'!BW63,IF(INDIRECT(ADDRESS(SumRef!DM70,SumRef!DM$16,,,SumRef!$E$6))="","",INDIRECT(ADDRESS(SumRef!DM70,SumRef!DM$16,,,SumRef!$E$6))))</f>
        <v/>
      </c>
      <c r="BV64" s="1460" t="str">
        <f ca="1">IF('A-80 DirEntInv'!BX63&lt;&gt;"",'A-80 DirEntInv'!BX63,IF(INDIRECT(ADDRESS(SumRef!DN70,SumRef!DN$16,,,SumRef!$E$6))="","",INDIRECT(ADDRESS(SumRef!DN70,SumRef!DN$16,,,SumRef!$E$6))))</f>
        <v/>
      </c>
      <c r="BW64" s="1460" t="str">
        <f ca="1">IF('A-80 DirEntInv'!BY63&lt;&gt;"",'A-80 DirEntInv'!BY63,IF(INDIRECT(ADDRESS(SumRef!DO70,SumRef!DO$16,,,SumRef!$E$6))="","",INDIRECT(ADDRESS(SumRef!DO70,SumRef!DO$16,,,SumRef!$E$6))))</f>
        <v/>
      </c>
      <c r="BX64" s="1116" t="str">
        <f ca="1">IF('A-80 DirEntInv'!BZ63&lt;&gt;"",'A-80 DirEntInv'!BZ63,IF(INDIRECT(ADDRESS(SumRef!DP70,SumRef!DP$16,,,SumRef!$E$6))="","",INDIRECT(ADDRESS(SumRef!DP70,SumRef!DP$16,,,SumRef!$E$6))))</f>
        <v/>
      </c>
      <c r="BY64" s="1461" t="str">
        <f ca="1">IF('A-80 DirEntInv'!CA63&lt;&gt;"",'A-80 DirEntInv'!CA63,IF(INDIRECT(ADDRESS(SumRef!DQ70,SumRef!DQ$16,,,SumRef!$E$6))="","",INDIRECT(ADDRESS(SumRef!DQ70,SumRef!DQ$16,,,SumRef!$E$6))))</f>
        <v/>
      </c>
      <c r="BZ64" s="1460" t="str">
        <f ca="1">IF('A-80 DirEntInv'!CB63&lt;&gt;"",'A-80 DirEntInv'!CB63,IF(INDIRECT(ADDRESS(SumRef!DR70,SumRef!DR$16,,,SumRef!$E$6))="","",INDIRECT(ADDRESS(SumRef!DR70,SumRef!DR$16,,,SumRef!$E$6))))</f>
        <v/>
      </c>
      <c r="CA64" s="1462" t="str">
        <f ca="1">IF('A-80 DirEntInv'!CC63&lt;&gt;"",'A-80 DirEntInv'!CC63,IF(INDIRECT(ADDRESS(SumRef!DS70,SumRef!DS$16,,,SumRef!$E$6))="","",INDIRECT(ADDRESS(SumRef!DS70,SumRef!DS$16,,,SumRef!$E$6))))</f>
        <v/>
      </c>
      <c r="CD64" s="1160" t="str">
        <f ca="1">IF('A-80 DirEntInv'!CF63&lt;&gt;"",'A-80 DirEntInv'!CF63,IF(INDIRECT(ADDRESS(SumRef!DV70,SumRef!DV$16,,,SumRef!$E$7))="","",INDIRECT(ADDRESS(SumRef!DV70,SumRef!DV$16,,,SumRef!$E$7))))</f>
        <v/>
      </c>
      <c r="CE64" s="1167" t="str">
        <f ca="1">IF('A-80 DirEntInv'!CG63&lt;&gt;"",'A-80 DirEntInv'!CG63,IF(INDIRECT(ADDRESS(SumRef!DW70,SumRef!DW$16,,,SumRef!$E$7))="","",INDIRECT(ADDRESS(SumRef!DW70,SumRef!DW$16,,,SumRef!$E$7))))</f>
        <v/>
      </c>
      <c r="CF64" s="1167" t="str">
        <f ca="1">IF('A-80 DirEntInv'!CH63&lt;&gt;"",'A-80 DirEntInv'!CH63,IF(INDIRECT(ADDRESS(SumRef!DX70,SumRef!DX$16,,,SumRef!$E$7))="","",INDIRECT(ADDRESS(SumRef!DX70,SumRef!DX$16,,,SumRef!$E$7))))</f>
        <v/>
      </c>
      <c r="CG64" s="1167" t="str">
        <f ca="1">IF('A-80 DirEntInv'!CI63&lt;&gt;"",'A-80 DirEntInv'!CI63,IF(INDIRECT(ADDRESS(SumRef!DY70,SumRef!DY$16,,,SumRef!$E$7))="","",INDIRECT(ADDRESS(SumRef!DY70,SumRef!DY$16,,,SumRef!$E$7))))</f>
        <v/>
      </c>
      <c r="CH64" s="1167" t="str">
        <f ca="1">IF('A-80 DirEntInv'!CJ63&lt;&gt;"",'A-80 DirEntInv'!CJ63,IF(INDIRECT(ADDRESS(SumRef!DZ70,SumRef!DZ$16,,,SumRef!$E$7))="","",INDIRECT(ADDRESS(SumRef!DZ70,SumRef!DZ$16,,,SumRef!$E$7))))</f>
        <v/>
      </c>
      <c r="CI64" s="1167" t="str">
        <f ca="1">IF('A-80 DirEntInv'!CK63&lt;&gt;"",'A-80 DirEntInv'!CK63,IF(INDIRECT(ADDRESS(SumRef!EA70,SumRef!EA$16,,,SumRef!$E$7))="","",INDIRECT(ADDRESS(SumRef!EA70,SumRef!EA$16,,,SumRef!$E$7))))</f>
        <v/>
      </c>
      <c r="CJ64" s="1114" t="str">
        <f ca="1">IF('A-80 DirEntInv'!CL63&lt;&gt;"",'A-80 DirEntInv'!CL63,IF(INDIRECT(ADDRESS(SumRef!EB70,SumRef!EB$16,,,SumRef!$E$7))="","",INDIRECT(ADDRESS(SumRef!EB70,SumRef!EB$16,,,SumRef!$E$7))))</f>
        <v/>
      </c>
      <c r="CK64" s="1114" t="str">
        <f ca="1">IF('A-80 DirEntInv'!CM63&lt;&gt;"",'A-80 DirEntInv'!CM63,IF(INDIRECT(ADDRESS(SumRef!EC70,SumRef!EC$16,,,SumRef!$E$7))="","",INDIRECT(ADDRESS(SumRef!EC70,SumRef!EC$16,,,SumRef!$E$7))))</f>
        <v/>
      </c>
      <c r="CL64" s="1113" t="str">
        <f ca="1">IF('A-80 DirEntInv'!CO63&lt;&gt;"",'A-80 DirEntInv'!CO63,IF(INDIRECT(ADDRESS(SumRef!ED70,SumRef!ED$16,,,SumRef!$E$7))="","",INDIRECT(ADDRESS(SumRef!ED70,SumRef!ED$16,,,SumRef!$E$7))))</f>
        <v/>
      </c>
      <c r="CM64" s="1114" t="str">
        <f ca="1">IF('A-80 DirEntInv'!CP63&lt;&gt;"",'A-80 DirEntInv'!CP63,IF(INDIRECT(ADDRESS(SumRef!EE70,SumRef!EE$16,,,SumRef!$E$7))="","",INDIRECT(ADDRESS(SumRef!EE70,SumRef!EE$16,,,SumRef!$E$7))))</f>
        <v/>
      </c>
      <c r="CN64" s="1114" t="str">
        <f ca="1">IF('A-80 DirEntInv'!CQ63&lt;&gt;"",'A-80 DirEntInv'!CQ63,IF(INDIRECT(ADDRESS(SumRef!EF70,SumRef!EF$16,,,SumRef!$E$7))="","",INDIRECT(ADDRESS(SumRef!EF70,SumRef!EF$16,,,SumRef!$E$7))))</f>
        <v/>
      </c>
      <c r="CO64" s="1113" t="str">
        <f ca="1">IF('A-80 DirEntInv'!CR63&lt;&gt;"",'A-80 DirEntInv'!CR63,IF(INDIRECT(ADDRESS(SumRef!EG70,SumRef!EG$16,,,SumRef!$E$7))="","",INDIRECT(ADDRESS(SumRef!EG70,SumRef!EG$16,,,SumRef!$E$7))))</f>
        <v/>
      </c>
      <c r="CP64" s="1114" t="str">
        <f ca="1">IF('A-80 DirEntInv'!CS63&lt;&gt;"",'A-80 DirEntInv'!CS63,IF(INDIRECT(ADDRESS(SumRef!EH70,SumRef!EH$16,,,SumRef!$E$7))="","",INDIRECT(ADDRESS(SumRef!EH70,SumRef!EH$16,,,SumRef!$E$7))))</f>
        <v/>
      </c>
      <c r="CQ64" s="1346" t="str">
        <f ca="1">IF('A-80 DirEntInv'!CT63&lt;&gt;"",'A-80 DirEntInv'!CT63,IF(INDIRECT(ADDRESS(SumRef!EI70,SumRef!EI$16,,,SumRef!$E$7))="","",INDIRECT(ADDRESS(SumRef!EI70,SumRef!EI$16,,,SumRef!$E$7))))</f>
        <v/>
      </c>
      <c r="CR64" s="1113" t="str">
        <f ca="1">IF('A-80 DirEntInv'!CU63&lt;&gt;"",'A-80 DirEntInv'!CU63,IF(INDIRECT(ADDRESS(SumRef!EJ70,SumRef!EJ$16,,,SumRef!$E$7))="","",INDIRECT(ADDRESS(SumRef!EJ70,SumRef!EJ$16,,,SumRef!$E$7))))</f>
        <v/>
      </c>
      <c r="CS64" s="1346" t="str">
        <f ca="1">IF('A-80 DirEntInv'!CV63&lt;&gt;"",'A-80 DirEntInv'!CV63,IF(INDIRECT(ADDRESS(SumRef!EM70,SumRef!EM$16,,,SumRef!$E$7))="","",INDIRECT(ADDRESS(SumRef!EM70,SumRef!EM$16,,,SumRef!$E$7))))</f>
        <v/>
      </c>
      <c r="CT64" s="1113" t="str">
        <f ca="1">IF('A-80 DirEntInv'!CW63&lt;&gt;"",'A-80 DirEntInv'!CW63,IF(INDIRECT(ADDRESS(SumRef!EN70,SumRef!EN$16,,,SumRef!$E$7))="","",INDIRECT(ADDRESS(SumRef!EN70,SumRef!EN$16,,,SumRef!$E$7))))</f>
        <v/>
      </c>
      <c r="CU64" s="1113" t="str">
        <f ca="1">IF('A-80 DirEntInv'!CX63&lt;&gt;"",'A-80 DirEntInv'!CX63,IF(INDIRECT(ADDRESS(SumRef!EO70,SumRef!EO$16,,,SumRef!$E$7))="","",INDIRECT(ADDRESS(SumRef!EO70,SumRef!EO$16,,,SumRef!$E$7))))</f>
        <v/>
      </c>
      <c r="CV64" s="1113" t="str">
        <f ca="1">IF('A-80 DirEntInv'!CY63&lt;&gt;"",'A-80 DirEntInv'!CY63,IF(INDIRECT(ADDRESS(SumRef!EP70,SumRef!EP$16,,,SumRef!$E$7))="","",INDIRECT(ADDRESS(SumRef!EP70,SumRef!EP$16,,,SumRef!$E$7))))</f>
        <v/>
      </c>
      <c r="CW64" s="1114" t="str">
        <f ca="1">IF('A-80 DirEntInv'!CZ63&lt;&gt;"",'A-80 DirEntInv'!CZ63,IF(INDIRECT(ADDRESS(SumRef!ES70,SumRef!ES$16,,,SumRef!$E$7))="","",INDIRECT(ADDRESS(SumRef!ES70,SumRef!ES$16,,,SumRef!$E$7))))</f>
        <v/>
      </c>
      <c r="CX64" s="1167" t="str">
        <f ca="1">IF('A-80 DirEntInv'!DA63&lt;&gt;"",'A-80 DirEntInv'!DA63,IF(INDIRECT(ADDRESS(SumRef!ET70,SumRef!ET$16,,,SumRef!$E$7))="","",INDIRECT(ADDRESS(SumRef!ET70,SumRef!ET$16,,,SumRef!$E$7))))</f>
        <v/>
      </c>
      <c r="CY64" s="1167" t="str">
        <f ca="1">IF('A-80 DirEntInv'!DB63&lt;&gt;"",'A-80 DirEntInv'!DB63,IF(INDIRECT(ADDRESS(SumRef!EU70,SumRef!EU$16,,,SumRef!$E$7))="","",INDIRECT(ADDRESS(SumRef!EU70,SumRef!EU$16,,,SumRef!$E$7))))</f>
        <v/>
      </c>
      <c r="CZ64" s="1167" t="b">
        <f ca="1">IF('A-80 DirEntInv'!DC63&lt;&gt;"",'A-80 DirEntInv'!DC63,IF(INDIRECT(ADDRESS(SumRef!EV70,SumRef!EV$16,,,SumRef!$E$7))="","",INDIRECT(ADDRESS(SumRef!EV70,SumRef!EV$16,,,SumRef!$E$7))))</f>
        <v>0</v>
      </c>
      <c r="DA64" s="1373" t="str">
        <f ca="1">IF('A-80 DirEntInv'!DD63&lt;&gt;"",'A-80 DirEntInv'!DD63,IF(INDIRECT(ADDRESS(SumRef!EW70,SumRef!EW$16,,,SumRef!$E$7))="","",INDIRECT(ADDRESS(SumRef!EW70,SumRef!EW$16,,,SumRef!$E$7))))</f>
        <v/>
      </c>
      <c r="DB64" s="1373" t="b">
        <f ca="1">IF('A-80 DirEntInv'!DE63&lt;&gt;"",'A-80 DirEntInv'!DE63,IF(INDIRECT(ADDRESS(SumRef!EX70,SumRef!EX$16,,,SumRef!$E$7))="","",INDIRECT(ADDRESS(SumRef!EX70,SumRef!EX$16,,,SumRef!$E$7))))</f>
        <v>0</v>
      </c>
      <c r="DC64" s="1114" t="b">
        <f ca="1">IF('A-80 DirEntInv'!DF63&lt;&gt;"",'A-80 DirEntInv'!DF63,IF(INDIRECT(ADDRESS(SumRef!EY70,SumRef!EY$16,,,SumRef!$E$7))="","",INDIRECT(ADDRESS(SumRef!EY70,SumRef!EY$16,,,SumRef!$E$7))))</f>
        <v>0</v>
      </c>
      <c r="DD64" s="1115" t="str">
        <f ca="1">IF('A-80 DirEntInv'!DG63&lt;&gt;"",'A-80 DirEntInv'!DG63,IF(INDIRECT(ADDRESS(SumRef!EZ70,SumRef!EZ$16,,,SumRef!$E$7))="","",INDIRECT(ADDRESS(SumRef!EZ70,SumRef!EZ$16,,,SumRef!$E$7))))</f>
        <v/>
      </c>
    </row>
    <row r="65" spans="1:108" s="588" customFormat="1" x14ac:dyDescent="0.2">
      <c r="A65" s="589">
        <f t="shared" si="0"/>
        <v>55</v>
      </c>
      <c r="B65" s="1155" t="str">
        <f ca="1">IF('A-80 DirEntInv'!B64&lt;&gt;"",'A-80 DirEntInv'!B64,IF(INDIRECT(ADDRESS(SumRef!AQ71,SumRef!AQ$16,,,SumRef!$B$7))="","",INDIRECT(ADDRESS(SumRef!AQ71,SumRef!AQ$16,,,SumRef!$B$7))))</f>
        <v/>
      </c>
      <c r="C65" s="1097" t="str">
        <f ca="1">IF('A-80 DirEntInv'!C64&lt;&gt;"",'A-80 DirEntInv'!C64,IF(INDIRECT(ADDRESS(SumRef!AR71,SumRef!AR$16,,,SumRef!$B$7))="","",INDIRECT(ADDRESS(SumRef!AR71,SumRef!AR$16,,,SumRef!$B$7))))</f>
        <v/>
      </c>
      <c r="D65" s="1097" t="str">
        <f ca="1">IF('A-80 DirEntInv'!D64&lt;&gt;"",'A-80 DirEntInv'!D64,IF(INDIRECT(ADDRESS(SumRef!AS71,SumRef!AS$16,,,SumRef!$B$7))="","",INDIRECT(ADDRESS(SumRef!AS71,SumRef!AS$16,,,SumRef!$B$7))))</f>
        <v/>
      </c>
      <c r="E65" s="1097" t="str">
        <f ca="1">IF('A-80 DirEntInv'!E64&lt;&gt;"",'A-80 DirEntInv'!E64,IF(INDIRECT(ADDRESS(SumRef!AT71,SumRef!AT$16,,,SumRef!$B$7))="","",INDIRECT(ADDRESS(SumRef!AT71,SumRef!AT$16,,,SumRef!$B$7))))</f>
        <v/>
      </c>
      <c r="F65" s="1097" t="str">
        <f ca="1">IF('A-80 DirEntInv'!F64&lt;&gt;"",'A-80 DirEntInv'!F64,IF(INDIRECT(ADDRESS(SumRef!AU71,SumRef!AU$16,,,SumRef!$B$7))="","",INDIRECT(ADDRESS(SumRef!AU71,SumRef!AU$16,,,SumRef!$B$7))))</f>
        <v/>
      </c>
      <c r="G65" s="1158" t="str">
        <f ca="1">IF('A-80 DirEntInv'!G64&lt;&gt;"",'A-80 DirEntInv'!G64,IF(INDIRECT(ADDRESS(SumRef!AV71,SumRef!AV$16,,,SumRef!$B$7))="","",INDIRECT(ADDRESS(SumRef!AV71,SumRef!AV$16,,,SumRef!$B$7))))</f>
        <v/>
      </c>
      <c r="H65" s="1097" t="str">
        <f ca="1">IF('A-80 DirEntInv'!H64&lt;&gt;"",'A-80 DirEntInv'!H64,IF(INDIRECT(ADDRESS(SumRef!AW71,SumRef!AW$16,,,SumRef!$B$7))="","",INDIRECT(ADDRESS(SumRef!AW71,SumRef!AW$16,,,SumRef!$B$7))))</f>
        <v/>
      </c>
      <c r="I65" s="1097" t="str">
        <f ca="1">IF('A-80 DirEntInv'!I64&lt;&gt;"",'A-80 DirEntInv'!I64,IF(INDIRECT(ADDRESS(SumRef!AX71,SumRef!AX$16,,,SumRef!$B$7))="","",INDIRECT(ADDRESS(SumRef!AX71,SumRef!AX$16,,,SumRef!$B$7))))</f>
        <v/>
      </c>
      <c r="J65" s="1098" t="str">
        <f ca="1">IF('A-80 DirEntInv'!J64&lt;&gt;"",'A-80 DirEntInv'!J64,IF(INDIRECT(ADDRESS(SumRef!AY71,SumRef!AY$16,,,SumRef!$B$7))="","",INDIRECT(ADDRESS(SumRef!AY71,SumRef!AY$16,,,SumRef!$B$7))))</f>
        <v/>
      </c>
      <c r="K65" s="1099" t="str">
        <f ca="1">IF('A-80 DirEntInv'!K64&lt;&gt;"",'A-80 DirEntInv'!K64,IF(INDIRECT(ADDRESS(SumRef!AZ71,SumRef!AZ$16,,,SumRef!$B$7))="","",INDIRECT(ADDRESS(SumRef!AZ71,SumRef!AZ$16,,,SumRef!$B$7))))</f>
        <v/>
      </c>
      <c r="L65" s="1100" t="str">
        <f ca="1">IF('A-80 DirEntInv'!L64&lt;&gt;"",'A-80 DirEntInv'!L64,IF(INDIRECT(ADDRESS(SumRef!BA71,SumRef!BA$16,,,SumRef!$B$7))="","",INDIRECT(ADDRESS(SumRef!BA71,SumRef!BA$16,,,SumRef!$B$7))))</f>
        <v/>
      </c>
      <c r="M65" s="1101" t="str">
        <f ca="1">IF('A-80 DirEntInv'!M64&lt;&gt;"",'A-80 DirEntInv'!M64,IF(INDIRECT(ADDRESS(SumRef!BB71,SumRef!BB$16,,,SumRef!$B$7))="","",INDIRECT(ADDRESS(SumRef!BB71,SumRef!BB$16,,,SumRef!$B$7))))</f>
        <v/>
      </c>
      <c r="N65" s="1098" t="str">
        <f ca="1">IF('A-80 DirEntInv'!N64&lt;&gt;"",'A-80 DirEntInv'!N64,IF(INDIRECT(ADDRESS(SumRef!BC71,SumRef!BC$16,,,SumRef!$B$7))="","",INDIRECT(ADDRESS(SumRef!BC71,SumRef!BC$16,,,SumRef!$B$7))))</f>
        <v/>
      </c>
      <c r="O65" s="1102" t="str">
        <f ca="1">IF('A-80 DirEntInv'!O64&lt;&gt;"",'A-80 DirEntInv'!O64,IF(INDIRECT(ADDRESS(SumRef!BD71,SumRef!BD$16,,,SumRef!$B$7))="","",INDIRECT(ADDRESS(SumRef!BD71,SumRef!BD$16,,,SumRef!$B$7))))</f>
        <v/>
      </c>
      <c r="Q65" s="589"/>
      <c r="R65" s="1103" t="str">
        <f ca="1">IF('A-80 DirEntInv'!R64&lt;&gt;"",'A-80 DirEntInv'!R64,IF(INDIRECT(ADDRESS(SumRef!BH71,SumRef!BH$16,,,SumRef!$B$8))="","",INDIRECT(ADDRESS(SumRef!BH71,SumRef!BH$16,,,SumRef!$B$8))))</f>
        <v/>
      </c>
      <c r="S65" s="1104" t="str">
        <f ca="1">IF('A-80 DirEntInv'!S64&lt;&gt;"",'A-80 DirEntInv'!S64,IF(INDIRECT(ADDRESS(SumRef!BI71,SumRef!BI$16,,,SumRef!$B$8))="","",INDIRECT(ADDRESS(SumRef!BI71,SumRef!BI$16,,,SumRef!$B$8))))</f>
        <v/>
      </c>
      <c r="T65" s="1104" t="str">
        <f ca="1">IF('A-80 DirEntInv'!T64&lt;&gt;"",'A-80 DirEntInv'!T64,IF(INDIRECT(ADDRESS(SumRef!BJ71,SumRef!BJ$16,,,SumRef!$B$8))="","",INDIRECT(ADDRESS(SumRef!BJ71,SumRef!BJ$16,,,SumRef!$B$8))))</f>
        <v/>
      </c>
      <c r="U65" s="1104" t="str">
        <f ca="1">IF('A-80 DirEntInv'!U64&lt;&gt;"",'A-80 DirEntInv'!U64,IF(INDIRECT(ADDRESS(SumRef!BK71,SumRef!BK$16,,,SumRef!$B$8))="","",INDIRECT(ADDRESS(SumRef!BK71,SumRef!BK$16,,,SumRef!$B$8))))</f>
        <v/>
      </c>
      <c r="V65" s="1104" t="str">
        <f ca="1">IF('A-80 DirEntInv'!V64&lt;&gt;"",'A-80 DirEntInv'!V64,IF(INDIRECT(ADDRESS(SumRef!BL71,SumRef!BL$16,,,SumRef!$B$8))="","",INDIRECT(ADDRESS(SumRef!BL71,SumRef!BL$16,,,SumRef!$B$8))))</f>
        <v/>
      </c>
      <c r="W65" s="1354" t="str">
        <f ca="1">IF('A-80 DirEntInv'!W64&lt;&gt;"",'A-80 DirEntInv'!W64,IF(INDIRECT(ADDRESS(SumRef!BM71,SumRef!BM$16,,,SumRef!$B$8))="","",INDIRECT(ADDRESS(SumRef!BM71,SumRef!BM$16,,,SumRef!$B$8))))</f>
        <v/>
      </c>
      <c r="X65" s="1203" t="str">
        <f ca="1">IF('A-80 DirEntInv'!X64&lt;&gt;"",'A-80 DirEntInv'!X64,IF(INDIRECT(ADDRESS(SumRef!BN71,SumRef!BN$16,,,SumRef!$B$8))="","",INDIRECT(ADDRESS(SumRef!BN71,SumRef!BN$16,,,SumRef!$B$8))))</f>
        <v/>
      </c>
      <c r="Y65" s="1203" t="str">
        <f ca="1">IF('A-80 DirEntInv'!Y64&lt;&gt;"",'A-80 DirEntInv'!Y64,IF(INDIRECT(ADDRESS(SumRef!BO71,SumRef!BO$16,,,SumRef!$B$8))="","",INDIRECT(ADDRESS(SumRef!BO71,SumRef!BO$16,,,SumRef!$B$8))))</f>
        <v/>
      </c>
      <c r="Z65" s="1104" t="str">
        <f ca="1">IF('A-80 DirEntInv'!Z64&lt;&gt;"",'A-80 DirEntInv'!Z64,IF(INDIRECT(ADDRESS(SumRef!BP71,SumRef!BP$16,,,SumRef!$B$8))="","",INDIRECT(ADDRESS(SumRef!BP71,SumRef!BP$16,,,SumRef!$B$8))))</f>
        <v/>
      </c>
      <c r="AA65" s="1104" t="str">
        <f ca="1">IF('A-80 DirEntInv'!AA64&lt;&gt;"",'A-80 DirEntInv'!AA64,IF(INDIRECT(ADDRESS(SumRef!BQ71,SumRef!BQ$16,,,SumRef!$B$8))="","",INDIRECT(ADDRESS(SumRef!BQ71,SumRef!BQ$16,,,SumRef!$B$8))))</f>
        <v/>
      </c>
      <c r="AB65" s="1106" t="str">
        <f ca="1">IF('A-80 DirEntInv'!AB64&lt;&gt;"",'A-80 DirEntInv'!AB64,IF(INDIRECT(ADDRESS(SumRef!BR71,SumRef!BR$16,,,SumRef!$B$8))="","",INDIRECT(ADDRESS(SumRef!BR71,SumRef!BR$16,,,SumRef!$B$8))))</f>
        <v/>
      </c>
      <c r="AC65" s="1107" t="str">
        <f ca="1">IF('A-80 DirEntInv'!AC64&lt;&gt;"",'A-80 DirEntInv'!AC64,IF(INDIRECT(ADDRESS(SumRef!BS71,SumRef!BS$16,,,SumRef!$B$8))="","",INDIRECT(ADDRESS(SumRef!BS71,SumRef!BS$16,,,SumRef!$B$8))))</f>
        <v/>
      </c>
      <c r="AD65" s="1349" t="str">
        <f ca="1">IF('A-80 DirEntInv'!AD64&lt;&gt;"",'A-80 DirEntInv'!AD64,IF(INDIRECT(ADDRESS(SumRef!BT71,SumRef!BT$16,,,SumRef!$B$8))="","",INDIRECT(ADDRESS(SumRef!BT71,SumRef!BT$16,,,SumRef!$B$8))))</f>
        <v/>
      </c>
      <c r="AE65" s="1137" t="str">
        <f ca="1">IF('A-80 DirEntInv'!AE64&lt;&gt;"",'A-80 DirEntInv'!AE64,IF(INDIRECT(ADDRESS(SumRef!BU71,SumRef!BU$16,,,SumRef!$B$8))="","",INDIRECT(ADDRESS(SumRef!BU71,SumRef!BU$16,,,SumRef!$B$8))))</f>
        <v/>
      </c>
      <c r="AF65" s="1346" t="str">
        <f ca="1">IF('A-80 DirEntInv'!AF64&lt;&gt;"",'A-80 DirEntInv'!AF64,IF(INDIRECT(ADDRESS(SumRef!BV71,SumRef!BV$16,,,SumRef!$B$8))="","",INDIRECT(ADDRESS(SumRef!BV71,SumRef!BV$16,,,SumRef!$B$8))))</f>
        <v/>
      </c>
      <c r="AG65" s="1105" t="str">
        <f ca="1">IF('A-80 DirEntInv'!AG64&lt;&gt;"",'A-80 DirEntInv'!AG64,IF(INDIRECT(ADDRESS(SumRef!BW71,SumRef!BW$16,,,SumRef!$B$8))="","",INDIRECT(ADDRESS(SumRef!BW71,SumRef!BW$16,,,SumRef!$B$8))))</f>
        <v/>
      </c>
      <c r="AH65" s="1357" t="str">
        <f ca="1">IF('A-80 DirEntInv'!AH64&lt;&gt;"",'A-80 DirEntInv'!AH64,IF(INDIRECT(ADDRESS(SumRef!BX71,SumRef!BX$16,,,SumRef!$B$8))="","",INDIRECT(ADDRESS(SumRef!BX71,SumRef!BX$16,,,SumRef!$B$8))))</f>
        <v/>
      </c>
      <c r="AK65" s="1041" t="str">
        <f>Codes!$C$159</f>
        <v>CC - Cable Car (DO)</v>
      </c>
      <c r="AL65" s="1042" t="str">
        <f>Valid!$B$90</f>
        <v>Overhead Contact System/Power Distribution</v>
      </c>
      <c r="AM65" s="1108"/>
      <c r="AN65" s="1042"/>
      <c r="AO65" s="1108"/>
      <c r="AP65" s="1042"/>
      <c r="AQ65" s="1147" t="str">
        <f>IF('A-80 DirEntInv'!AQ64&lt;&gt;"",'A-80 DirEntInv'!AQ64,IF(AK65=summaryref2!B24,summaryref2!G24,IF(Summary!AK65=summaryref2!B38,summaryref2!G38,IF(AK65=summaryref2!B52,summaryref2!G52,IF(AK65=summaryref2!B66,summaryref2!G66,IF(AK65=summaryref2!B80,summaryref2!G80,IF(AK65=summaryref2!B94,summaryref2!G94,IF(AK65=summaryref2!B108,summaryref2!G108,IF(AK65=summaryref2!B122,summaryref2!G122,IF(AK65=summaryref2!B136,summaryref2!G136,IF(AK65=summaryref2!B150,summaryref2!G150,"")))))))))))</f>
        <v/>
      </c>
      <c r="AR65" s="1147" t="str">
        <f>IF('A-80 DirEntInv'!AR64&lt;&gt;"",'A-80 DirEntInv'!AR64,IF(AK65=summaryref2!B24,summaryref2!H24,IF(Summary!AK65=summaryref2!B38,summaryref2!H38,IF(AK65=summaryref2!B52,summaryref2!H52,IF(AK65=summaryref2!B66,summaryref2!H66,IF(AK65=summaryref2!B80,summaryref2!H80,IF(AK65=summaryref2!B94,summaryref2!H94,IF(AK65=summaryref2!B108,summaryref2!H108,IF(AK65=summaryref2!B122,summaryref2!H122,IF(AK65=summaryref2!B136,summaryref2!H136,IF(AK65=summaryref2!B150,summaryref2!H150,"")))))))))))</f>
        <v/>
      </c>
      <c r="AS65" s="1110" t="str">
        <f>IF('A-80 DirEntInv'!AS64&lt;&gt;"",'A-80 DirEntInv'!AS64,IF(AK65=summaryref2!B24,summaryref2!I24,IF(Summary!AK65=summaryref2!B38,summaryref2!I38,IF(AK65=summaryref2!B52,summaryref2!I52,IF(AK65=summaryref2!B66,summaryref2!I66,IF(AK65=summaryref2!B80,summaryref2!I80,IF(AK65=summaryref2!B94,summaryref2!I94,IF(AK65=summaryref2!B108,summaryref2!I108,IF(AK65=summaryref2!B122,summaryref2!I122,IF(AK65=summaryref2!B136,summaryref2!I136,IF(AK65=summaryref2!B150,summaryref2!I150,"")))))))))))</f>
        <v/>
      </c>
      <c r="AT65" s="1110" t="str">
        <f>IF('A-80 DirEntInv'!AT64&lt;&gt;"",'A-80 DirEntInv'!AT64,IF(AK65=summaryref2!B24,summaryref2!J24,IF(Summary!AK65=summaryref2!B38,summaryref2!J38,IF(AK65=summaryref2!B52,summaryref2!J52,IF(AK65=summaryref2!B66,summaryref2!J66,IF(AK65=summaryref2!B80,summaryref2!J80,IF(AK65=summaryref2!B94,summaryref2!J94,IF(AK65=summaryref2!B108,summaryref2!J108,IF(AK65=summaryref2!B122,summaryref2!J122,IF(AK65=summaryref2!B136,summaryref2!J136,IF(AK65=summaryref2!B150,summaryref2!J150,"")))))))))))</f>
        <v/>
      </c>
      <c r="AU65" s="1110" t="str">
        <f>IF('A-80 DirEntInv'!AU64&lt;&gt;"",'A-80 DirEntInv'!AU64,IF(AK65=summaryref2!B24,summaryref2!K24,IF(Summary!AK65=summaryref2!B38,summaryref2!K38,IF(AK65=summaryref2!B52,summaryref2!K52,IF(AK65=summaryref2!B66,summaryref2!K66,IF(AK65=summaryref2!B80,summaryref2!K80,IF(AK65=summaryref2!B94,summaryref2!K94,IF(AK65=summaryref2!B108,summaryref2!K108,IF(AK65=summaryref2!B122,summaryref2!K122,IF(AK65=summaryref2!B136,summaryref2!K136,IF(AK65=summaryref2!B150,summaryref2!K150,"")))))))))))</f>
        <v/>
      </c>
      <c r="AV65" s="1110" t="str">
        <f>IF('A-80 DirEntInv'!AV64&lt;&gt;"",'A-80 DirEntInv'!AV64,IF(AK65=summaryref2!B24,summaryref2!L24,IF(Summary!AK65=summaryref2!B38,summaryref2!L38,IF(AK65=summaryref2!B52,summaryref2!L52,IF(AK65=summaryref2!B66,summaryref2!L66,IF(AK65=summaryref2!B80,summaryref2!L80,IF(AK65=summaryref2!B94,summaryref2!L94,IF(AK65=summaryref2!B108,summaryref2!L108,IF(AK65=summaryref2!B122,summaryref2!L122,IF(AK65=summaryref2!B136,summaryref2!L136,IF(AK65=summaryref2!B150,summaryref2!L150,"")))))))))))</f>
        <v/>
      </c>
      <c r="AW65" s="1110" t="str">
        <f>IF('A-80 DirEntInv'!AW64&lt;&gt;"",'A-80 DirEntInv'!AW64,IF(AK65=summaryref2!B24,summaryref2!M24,IF(Summary!AK65=summaryref2!B38,summaryref2!M38,IF(AK65=summaryref2!B52,summaryref2!M52,IF(AK65=summaryref2!B66,summaryref2!M66,IF(AK65=summaryref2!B80,summaryref2!M80,IF(AK65=summaryref2!B94,summaryref2!M94,IF(AK65=summaryref2!B108,summaryref2!M108,IF(AK65=summaryref2!B122,summaryref2!M122,IF(AK65=summaryref2!B136,summaryref2!M136,IF(AK65=summaryref2!B150,summaryref2!M150,"")))))))))))</f>
        <v/>
      </c>
      <c r="AX65" s="1110" t="str">
        <f>IF('A-80 DirEntInv'!AX64&lt;&gt;"",'A-80 DirEntInv'!AX64,IF(AK65=summaryref2!B24,summaryref2!N24,IF(Summary!AK65=summaryref2!B38,summaryref2!N38,IF(AK65=summaryref2!B52,summaryref2!N52,IF(AK65=summaryref2!B66,summaryref2!N66,IF(AK65=summaryref2!B80,summaryref2!N80,IF(AK65=summaryref2!B94,summaryref2!N94,IF(AK65=summaryref2!B108,summaryref2!N108,IF(AK65=summaryref2!B122,summaryref2!N122,IF(AK65=summaryref2!B136,summaryref2!N136,IF(AK65=summaryref2!B150,summaryref2!N150,"")))))))))))</f>
        <v/>
      </c>
      <c r="AY65" s="1110" t="str">
        <f>IF('A-80 DirEntInv'!AY64&lt;&gt;"",'A-80 DirEntInv'!AY64,IF(AK65=summaryref2!B24,summaryref2!O24,IF(Summary!AK65=summaryref2!B38,summaryref2!O38,IF(AK65=summaryref2!B52,summaryref2!O52,IF(AK65=summaryref2!B66,summaryref2!O66,IF(AK65=summaryref2!B80,summaryref2!O80,IF(AK65=summaryref2!B94,summaryref2!O94,IF(AK65=summaryref2!B108,summaryref2!O108,IF(AK65=summaryref2!B122,summaryref2!O122,IF(AK65=summaryref2!B136,summaryref2!O136,IF(AK65=summaryref2!B150,summaryref2!O150,"")))))))))))</f>
        <v/>
      </c>
      <c r="AZ65" s="1110" t="str">
        <f>IF('A-80 DirEntInv'!AZ64&lt;&gt;"",'A-80 DirEntInv'!AZ64,IF(AK65=summaryref2!B24,summaryref2!P24,IF(Summary!AK65=summaryref2!B38,summaryref2!P38,IF(AK65=summaryref2!B52,summaryref2!P52,IF(AK65=summaryref2!B66,summaryref2!P66,IF(AK65=summaryref2!B80,summaryref2!P80,IF(AK65=summaryref2!B94,summaryref2!P94,IF(AK65=summaryref2!B108,summaryref2!P108,IF(AK65=summaryref2!B122,summaryref2!P122,IF(AK65=summaryref2!B136,summaryref2!P136,IF(AK65=summaryref2!B150,summaryref2!P150,"")))))))))))</f>
        <v/>
      </c>
      <c r="BA65" s="1110" t="str">
        <f>IF('A-80 DirEntInv'!BA64&lt;&gt;"",'A-80 DirEntInv'!BA64,IF(AK65=summaryref2!B24,summaryref2!Q24,IF(Summary!AK65=summaryref2!B38,summaryref2!Q38,IF(AK65=summaryref2!B52,summaryref2!Q52,IF(AK65=summaryref2!B66,summaryref2!Q66,IF(AK65=summaryref2!B80,summaryref2!Q80,IF(AK65=summaryref2!B94,summaryref2!Q94,IF(AK65=summaryref2!B108,summaryref2!Q108,IF(AK65=summaryref2!B122,summaryref2!Q122,IF(AK65=summaryref2!B136,summaryref2!Q136,IF(AK65=summaryref2!B150,summaryref2!Q150,"")))))))))))</f>
        <v/>
      </c>
      <c r="BB65" s="1110" t="str">
        <f>IF('A-80 DirEntInv'!BB64&lt;&gt;"",'A-80 DirEntInv'!BB64,IF(AK65=summaryref2!B24,summaryref2!R24,IF(Summary!AK65=summaryref2!B38,summaryref2!R38,IF(AK65=summaryref2!B52,summaryref2!R52,IF(AK65=summaryref2!B66,summaryref2!R66,IF(AK65=summaryref2!B80,summaryref2!R80,IF(AK65=summaryref2!B94,summaryref2!R94,IF(AK65=summaryref2!B108,summaryref2!R108,IF(AK65=summaryref2!B122,summaryref2!R122,IF(AK65=summaryref2!B136,summaryref2!R136,IF(AK65=summaryref2!B150,summaryref2!R150,"")))))))))))</f>
        <v/>
      </c>
      <c r="BC65" s="1110" t="str">
        <f>IF('A-80 DirEntInv'!BC64&lt;&gt;0,'A-80 DirEntInv'!BC64,IF(AK65=summaryref2!B24,summaryref2!S24,IF(Summary!AK65=summaryref2!B38,summaryref2!S38,IF(AK65=summaryref2!B52,summaryref2!S52,IF(AK65=summaryref2!B66,summaryref2!S66,IF(AK65=summaryref2!B80,summaryref2!S80,IF(AK65=summaryref2!B94,summaryref2!S94,IF(AK65=summaryref2!B108,summaryref2!S108,IF(AK65=summaryref2!B122,summaryref2!S122,IF(AK65=summaryref2!B136,summaryref2!S136,IF(AK65=summaryref2!B150,summaryref2!S150,"")))))))))))</f>
        <v/>
      </c>
      <c r="BD65" s="1111" t="str">
        <f>IF('A-80 DirEntInv'!BD64&lt;&gt;"",'A-80 DirEntInv'!BD64,IF(AK65=summaryref2!B24,summaryref2!T24,IF(Summary!AK65=summaryref2!B38,summaryref2!T38,IF(AK65=summaryref2!B52,summaryref2!T52,IF(AK65=summaryref2!B66,summaryref2!T66,IF(AK65=summaryref2!B80,summaryref2!T80,IF(AK65=summaryref2!B94,summaryref2!T94,IF(AK65=summaryref2!B108,summaryref2!T108,IF(AK65=summaryref2!B122,summaryref2!T122,IF(AK65=summaryref2!B136,summaryref2!T136,IF(AK65=summaryref2!B150,summaryref2!T150,"")))))))))))</f>
        <v/>
      </c>
      <c r="BE65" s="1184" t="str">
        <f>IF('A-80 DirEntInv'!BE64&lt;&gt;"",'A-80 DirEntInv'!BE64,IF(AK65=summaryref2!B24,summaryref2!U24,IF(Summary!AK65=summaryref2!B38,summaryref2!U38,IF(AK65=summaryref2!B52,summaryref2!U52,IF(AK65=summaryref2!B66,summaryref2!U66,IF(AK65=summaryref2!B80,summaryref2!U80,IF(AK65=summaryref2!B94,summaryref2!U94,IF(AK65=summaryref2!B108,summaryref2!U108,IF(AK65=summaryref2!B122,summaryref2!U122,IF(AK65=summaryref2!B136,summaryref2!U136,IF(AK65=summaryref2!B150,summaryref2!U150,"")))))))))))</f>
        <v/>
      </c>
      <c r="BF65" s="1432"/>
      <c r="BG65" s="1432"/>
      <c r="BJ65" s="1041" t="str">
        <f>Codes!$C$163</f>
        <v>HR - Heavy Rail (DO)</v>
      </c>
      <c r="BK65" s="1042" t="str">
        <f>Valid!$B$85</f>
        <v>Single Turnout</v>
      </c>
      <c r="BL65" s="1375" t="str">
        <f>IF('A-80 DirEntInv'!BL64&lt;&gt;"",'A-80 DirEntInv'!BL64,IF(BJ65=summaryref2!X17,summaryref2!Z17,IF(BJ65=summaryref2!X24,summaryref2!Z24,IF(BJ65=summaryref2!X31,summaryref2!Z31,IF(BJ65=summaryref2!X38,summaryref2!Z38,IF(BJ65=summaryref2!X45,summaryref2!Z45,IF(BJ65=summaryref2!X52,summaryref2!Z52,IF(BJ65=summaryref2!X59,summaryref2!Z59,IF(BJ65=summaryref2!X66,summaryref2!Z66,IF(BJ65=summaryref2!X73,summaryref2!Z73,IF(BJ65=summaryref2!X80,summaryref2!Z80,"")))))))))))</f>
        <v/>
      </c>
      <c r="BM65" s="1042" t="str">
        <f>VLOOKUP(BK65,Valid!$B$80:$C$86,2,FALSE)</f>
        <v>Each</v>
      </c>
      <c r="BN65" s="1209" t="str">
        <f>IF('A-80 DirEntInv'!BN64&lt;&gt;"",'A-80 DirEntInv'!BN64,IF(BJ65=summaryref2!X17,summaryref2!AB17,IF(BJ65=summaryref2!X24,summaryref2!AB24,IF(BJ65=summaryref2!X31,summaryref2!AB31,IF(BJ65=summaryref2!X38,summaryref2!AB38,IF(BJ65=summaryref2!X45,summaryref2!AB45,IF(BJ65=summaryref2!X52,summaryref2!AB52,IF(BJ65=summaryref2!X59,summaryref2!AB59,IF(BJ65=summaryref2!X66,summaryref2!AB66,IF(BJ65=summaryref2!X73,summaryref2!AB73,IF(BJ65=summaryref2!X80,summaryref2!AB80,"")))))))))))</f>
        <v/>
      </c>
      <c r="BO65" s="1116" t="str">
        <f>IF('A-80 DirEntInv'!BO64&lt;&gt;"",'A-80 DirEntInv'!BO64,IF(BJ65=summaryref2!X17,summaryref2!AC17,IF(BJ65=summaryref2!X24,summaryref2!AC24,IF(BJ65=summaryref2!X31,summaryref2!AC31,IF(BJ65=summaryref2!X38,summaryref2!AC38,IF(BJ65=summaryref2!X45,summaryref2!AC45,IF(BJ65=summaryref2!X52,summaryref2!AC52,IF(BJ65=summaryref2!X59,summaryref2!AC59,IF(BJ65=summaryref2!X66,summaryref2!AC66,IF(BJ65=summaryref2!X73,summaryref2!AC73,IF(BJ65=summaryref2!X80,summaryref2!AC80,"")))))))))))</f>
        <v/>
      </c>
      <c r="BP65" s="1384" t="str">
        <f>IF('A-80 DirEntInv'!BP64&lt;&gt;"",'A-80 DirEntInv'!BP64,IF(BJ65=summaryref2!X17,summaryref2!AD17,IF(BJ65=summaryref2!X24,summaryref2!AD24,IF(BJ65=summaryref2!X31,summaryref2!AD31,IF(BJ65=summaryref2!X38,summaryref2!AD38,IF(BJ65=summaryref2!X45,summaryref2!AD45,IF(BJ65=summaryref2!X52,summaryref2!AD52,IF(BJ65=summaryref2!X59,summaryref2!AD59,IF(BJ65=summaryref2!X66,summaryref2!AD66,IF(BJ65=summaryref2!X73,summaryref2!AD73,IF(BJ65=summaryref2!X80,summaryref2!AD80,"")))))))))))</f>
        <v/>
      </c>
      <c r="BS65" s="1472" t="str">
        <f ca="1">IF('A-80 DirEntInv'!BU64&lt;&gt;"",'A-80 DirEntInv'!BU64,IF(INDIRECT(ADDRESS(SumRef!DK71,SumRef!DK$16,,,SumRef!$E$6))="","",INDIRECT(ADDRESS(SumRef!DK71,SumRef!DK$16,,,SumRef!$E$6))))</f>
        <v/>
      </c>
      <c r="BT65" s="1458" t="str">
        <f ca="1">IF('A-80 DirEntInv'!BV64&lt;&gt;"",'A-80 DirEntInv'!BV64,IF(INDIRECT(ADDRESS(SumRef!DL71,SumRef!DL$16,,,SumRef!$E$6))="","",INDIRECT(ADDRESS(SumRef!DL71,SumRef!DL$16,,,SumRef!$E$6))))</f>
        <v/>
      </c>
      <c r="BU65" s="1177" t="str">
        <f ca="1">IF('A-80 DirEntInv'!BW64&lt;&gt;"",'A-80 DirEntInv'!BW64,IF(INDIRECT(ADDRESS(SumRef!DM71,SumRef!DM$16,,,SumRef!$E$6))="","",INDIRECT(ADDRESS(SumRef!DM71,SumRef!DM$16,,,SumRef!$E$6))))</f>
        <v/>
      </c>
      <c r="BV65" s="1460" t="str">
        <f ca="1">IF('A-80 DirEntInv'!BX64&lt;&gt;"",'A-80 DirEntInv'!BX64,IF(INDIRECT(ADDRESS(SumRef!DN71,SumRef!DN$16,,,SumRef!$E$6))="","",INDIRECT(ADDRESS(SumRef!DN71,SumRef!DN$16,,,SumRef!$E$6))))</f>
        <v/>
      </c>
      <c r="BW65" s="1460" t="str">
        <f ca="1">IF('A-80 DirEntInv'!BY64&lt;&gt;"",'A-80 DirEntInv'!BY64,IF(INDIRECT(ADDRESS(SumRef!DO71,SumRef!DO$16,,,SumRef!$E$6))="","",INDIRECT(ADDRESS(SumRef!DO71,SumRef!DO$16,,,SumRef!$E$6))))</f>
        <v/>
      </c>
      <c r="BX65" s="1116" t="str">
        <f ca="1">IF('A-80 DirEntInv'!BZ64&lt;&gt;"",'A-80 DirEntInv'!BZ64,IF(INDIRECT(ADDRESS(SumRef!DP71,SumRef!DP$16,,,SumRef!$E$6))="","",INDIRECT(ADDRESS(SumRef!DP71,SumRef!DP$16,,,SumRef!$E$6))))</f>
        <v/>
      </c>
      <c r="BY65" s="1461" t="str">
        <f ca="1">IF('A-80 DirEntInv'!CA64&lt;&gt;"",'A-80 DirEntInv'!CA64,IF(INDIRECT(ADDRESS(SumRef!DQ71,SumRef!DQ$16,,,SumRef!$E$6))="","",INDIRECT(ADDRESS(SumRef!DQ71,SumRef!DQ$16,,,SumRef!$E$6))))</f>
        <v/>
      </c>
      <c r="BZ65" s="1460" t="str">
        <f ca="1">IF('A-80 DirEntInv'!CB64&lt;&gt;"",'A-80 DirEntInv'!CB64,IF(INDIRECT(ADDRESS(SumRef!DR71,SumRef!DR$16,,,SumRef!$E$6))="","",INDIRECT(ADDRESS(SumRef!DR71,SumRef!DR$16,,,SumRef!$E$6))))</f>
        <v/>
      </c>
      <c r="CA65" s="1462" t="str">
        <f ca="1">IF('A-80 DirEntInv'!CC64&lt;&gt;"",'A-80 DirEntInv'!CC64,IF(INDIRECT(ADDRESS(SumRef!DS71,SumRef!DS$16,,,SumRef!$E$6))="","",INDIRECT(ADDRESS(SumRef!DS71,SumRef!DS$16,,,SumRef!$E$6))))</f>
        <v/>
      </c>
      <c r="CD65" s="1160" t="str">
        <f ca="1">IF('A-80 DirEntInv'!CF64&lt;&gt;"",'A-80 DirEntInv'!CF64,IF(INDIRECT(ADDRESS(SumRef!DV71,SumRef!DV$16,,,SumRef!$E$7))="","",INDIRECT(ADDRESS(SumRef!DV71,SumRef!DV$16,,,SumRef!$E$7))))</f>
        <v/>
      </c>
      <c r="CE65" s="1167" t="str">
        <f ca="1">IF('A-80 DirEntInv'!CG64&lt;&gt;"",'A-80 DirEntInv'!CG64,IF(INDIRECT(ADDRESS(SumRef!DW71,SumRef!DW$16,,,SumRef!$E$7))="","",INDIRECT(ADDRESS(SumRef!DW71,SumRef!DW$16,,,SumRef!$E$7))))</f>
        <v/>
      </c>
      <c r="CF65" s="1167" t="str">
        <f ca="1">IF('A-80 DirEntInv'!CH64&lt;&gt;"",'A-80 DirEntInv'!CH64,IF(INDIRECT(ADDRESS(SumRef!DX71,SumRef!DX$16,,,SumRef!$E$7))="","",INDIRECT(ADDRESS(SumRef!DX71,SumRef!DX$16,,,SumRef!$E$7))))</f>
        <v/>
      </c>
      <c r="CG65" s="1167" t="str">
        <f ca="1">IF('A-80 DirEntInv'!CI64&lt;&gt;"",'A-80 DirEntInv'!CI64,IF(INDIRECT(ADDRESS(SumRef!DY71,SumRef!DY$16,,,SumRef!$E$7))="","",INDIRECT(ADDRESS(SumRef!DY71,SumRef!DY$16,,,SumRef!$E$7))))</f>
        <v/>
      </c>
      <c r="CH65" s="1167" t="str">
        <f ca="1">IF('A-80 DirEntInv'!CJ64&lt;&gt;"",'A-80 DirEntInv'!CJ64,IF(INDIRECT(ADDRESS(SumRef!DZ71,SumRef!DZ$16,,,SumRef!$E$7))="","",INDIRECT(ADDRESS(SumRef!DZ71,SumRef!DZ$16,,,SumRef!$E$7))))</f>
        <v/>
      </c>
      <c r="CI65" s="1167" t="str">
        <f ca="1">IF('A-80 DirEntInv'!CK64&lt;&gt;"",'A-80 DirEntInv'!CK64,IF(INDIRECT(ADDRESS(SumRef!EA71,SumRef!EA$16,,,SumRef!$E$7))="","",INDIRECT(ADDRESS(SumRef!EA71,SumRef!EA$16,,,SumRef!$E$7))))</f>
        <v/>
      </c>
      <c r="CJ65" s="1114" t="str">
        <f ca="1">IF('A-80 DirEntInv'!CL64&lt;&gt;"",'A-80 DirEntInv'!CL64,IF(INDIRECT(ADDRESS(SumRef!EB71,SumRef!EB$16,,,SumRef!$E$7))="","",INDIRECT(ADDRESS(SumRef!EB71,SumRef!EB$16,,,SumRef!$E$7))))</f>
        <v/>
      </c>
      <c r="CK65" s="1114" t="str">
        <f ca="1">IF('A-80 DirEntInv'!CM64&lt;&gt;"",'A-80 DirEntInv'!CM64,IF(INDIRECT(ADDRESS(SumRef!EC71,SumRef!EC$16,,,SumRef!$E$7))="","",INDIRECT(ADDRESS(SumRef!EC71,SumRef!EC$16,,,SumRef!$E$7))))</f>
        <v/>
      </c>
      <c r="CL65" s="1113" t="str">
        <f ca="1">IF('A-80 DirEntInv'!CO64&lt;&gt;"",'A-80 DirEntInv'!CO64,IF(INDIRECT(ADDRESS(SumRef!ED71,SumRef!ED$16,,,SumRef!$E$7))="","",INDIRECT(ADDRESS(SumRef!ED71,SumRef!ED$16,,,SumRef!$E$7))))</f>
        <v/>
      </c>
      <c r="CM65" s="1114" t="str">
        <f ca="1">IF('A-80 DirEntInv'!CP64&lt;&gt;"",'A-80 DirEntInv'!CP64,IF(INDIRECT(ADDRESS(SumRef!EE71,SumRef!EE$16,,,SumRef!$E$7))="","",INDIRECT(ADDRESS(SumRef!EE71,SumRef!EE$16,,,SumRef!$E$7))))</f>
        <v/>
      </c>
      <c r="CN65" s="1114" t="str">
        <f ca="1">IF('A-80 DirEntInv'!CQ64&lt;&gt;"",'A-80 DirEntInv'!CQ64,IF(INDIRECT(ADDRESS(SumRef!EF71,SumRef!EF$16,,,SumRef!$E$7))="","",INDIRECT(ADDRESS(SumRef!EF71,SumRef!EF$16,,,SumRef!$E$7))))</f>
        <v/>
      </c>
      <c r="CO65" s="1113" t="str">
        <f ca="1">IF('A-80 DirEntInv'!CR64&lt;&gt;"",'A-80 DirEntInv'!CR64,IF(INDIRECT(ADDRESS(SumRef!EG71,SumRef!EG$16,,,SumRef!$E$7))="","",INDIRECT(ADDRESS(SumRef!EG71,SumRef!EG$16,,,SumRef!$E$7))))</f>
        <v/>
      </c>
      <c r="CP65" s="1114" t="str">
        <f ca="1">IF('A-80 DirEntInv'!CS64&lt;&gt;"",'A-80 DirEntInv'!CS64,IF(INDIRECT(ADDRESS(SumRef!EH71,SumRef!EH$16,,,SumRef!$E$7))="","",INDIRECT(ADDRESS(SumRef!EH71,SumRef!EH$16,,,SumRef!$E$7))))</f>
        <v/>
      </c>
      <c r="CQ65" s="1346" t="str">
        <f ca="1">IF('A-80 DirEntInv'!CT64&lt;&gt;"",'A-80 DirEntInv'!CT64,IF(INDIRECT(ADDRESS(SumRef!EI71,SumRef!EI$16,,,SumRef!$E$7))="","",INDIRECT(ADDRESS(SumRef!EI71,SumRef!EI$16,,,SumRef!$E$7))))</f>
        <v/>
      </c>
      <c r="CR65" s="1113" t="str">
        <f ca="1">IF('A-80 DirEntInv'!CU64&lt;&gt;"",'A-80 DirEntInv'!CU64,IF(INDIRECT(ADDRESS(SumRef!EJ71,SumRef!EJ$16,,,SumRef!$E$7))="","",INDIRECT(ADDRESS(SumRef!EJ71,SumRef!EJ$16,,,SumRef!$E$7))))</f>
        <v/>
      </c>
      <c r="CS65" s="1346" t="str">
        <f ca="1">IF('A-80 DirEntInv'!CV64&lt;&gt;"",'A-80 DirEntInv'!CV64,IF(INDIRECT(ADDRESS(SumRef!EM71,SumRef!EM$16,,,SumRef!$E$7))="","",INDIRECT(ADDRESS(SumRef!EM71,SumRef!EM$16,,,SumRef!$E$7))))</f>
        <v/>
      </c>
      <c r="CT65" s="1113" t="str">
        <f ca="1">IF('A-80 DirEntInv'!CW64&lt;&gt;"",'A-80 DirEntInv'!CW64,IF(INDIRECT(ADDRESS(SumRef!EN71,SumRef!EN$16,,,SumRef!$E$7))="","",INDIRECT(ADDRESS(SumRef!EN71,SumRef!EN$16,,,SumRef!$E$7))))</f>
        <v/>
      </c>
      <c r="CU65" s="1113" t="str">
        <f ca="1">IF('A-80 DirEntInv'!CX64&lt;&gt;"",'A-80 DirEntInv'!CX64,IF(INDIRECT(ADDRESS(SumRef!EO71,SumRef!EO$16,,,SumRef!$E$7))="","",INDIRECT(ADDRESS(SumRef!EO71,SumRef!EO$16,,,SumRef!$E$7))))</f>
        <v/>
      </c>
      <c r="CV65" s="1113" t="str">
        <f ca="1">IF('A-80 DirEntInv'!CY64&lt;&gt;"",'A-80 DirEntInv'!CY64,IF(INDIRECT(ADDRESS(SumRef!EP71,SumRef!EP$16,,,SumRef!$E$7))="","",INDIRECT(ADDRESS(SumRef!EP71,SumRef!EP$16,,,SumRef!$E$7))))</f>
        <v/>
      </c>
      <c r="CW65" s="1114" t="str">
        <f ca="1">IF('A-80 DirEntInv'!CZ64&lt;&gt;"",'A-80 DirEntInv'!CZ64,IF(INDIRECT(ADDRESS(SumRef!ES71,SumRef!ES$16,,,SumRef!$E$7))="","",INDIRECT(ADDRESS(SumRef!ES71,SumRef!ES$16,,,SumRef!$E$7))))</f>
        <v/>
      </c>
      <c r="CX65" s="1167" t="str">
        <f ca="1">IF('A-80 DirEntInv'!DA64&lt;&gt;"",'A-80 DirEntInv'!DA64,IF(INDIRECT(ADDRESS(SumRef!ET71,SumRef!ET$16,,,SumRef!$E$7))="","",INDIRECT(ADDRESS(SumRef!ET71,SumRef!ET$16,,,SumRef!$E$7))))</f>
        <v/>
      </c>
      <c r="CY65" s="1167" t="str">
        <f ca="1">IF('A-80 DirEntInv'!DB64&lt;&gt;"",'A-80 DirEntInv'!DB64,IF(INDIRECT(ADDRESS(SumRef!EU71,SumRef!EU$16,,,SumRef!$E$7))="","",INDIRECT(ADDRESS(SumRef!EU71,SumRef!EU$16,,,SumRef!$E$7))))</f>
        <v/>
      </c>
      <c r="CZ65" s="1167" t="b">
        <f ca="1">IF('A-80 DirEntInv'!DC64&lt;&gt;"",'A-80 DirEntInv'!DC64,IF(INDIRECT(ADDRESS(SumRef!EV71,SumRef!EV$16,,,SumRef!$E$7))="","",INDIRECT(ADDRESS(SumRef!EV71,SumRef!EV$16,,,SumRef!$E$7))))</f>
        <v>0</v>
      </c>
      <c r="DA65" s="1373" t="str">
        <f ca="1">IF('A-80 DirEntInv'!DD64&lt;&gt;"",'A-80 DirEntInv'!DD64,IF(INDIRECT(ADDRESS(SumRef!EW71,SumRef!EW$16,,,SumRef!$E$7))="","",INDIRECT(ADDRESS(SumRef!EW71,SumRef!EW$16,,,SumRef!$E$7))))</f>
        <v/>
      </c>
      <c r="DB65" s="1373" t="b">
        <f ca="1">IF('A-80 DirEntInv'!DE64&lt;&gt;"",'A-80 DirEntInv'!DE64,IF(INDIRECT(ADDRESS(SumRef!EX71,SumRef!EX$16,,,SumRef!$E$7))="","",INDIRECT(ADDRESS(SumRef!EX71,SumRef!EX$16,,,SumRef!$E$7))))</f>
        <v>0</v>
      </c>
      <c r="DC65" s="1114" t="b">
        <f ca="1">IF('A-80 DirEntInv'!DF64&lt;&gt;"",'A-80 DirEntInv'!DF64,IF(INDIRECT(ADDRESS(SumRef!EY71,SumRef!EY$16,,,SumRef!$E$7))="","",INDIRECT(ADDRESS(SumRef!EY71,SumRef!EY$16,,,SumRef!$E$7))))</f>
        <v>0</v>
      </c>
      <c r="DD65" s="1115" t="str">
        <f ca="1">IF('A-80 DirEntInv'!DG64&lt;&gt;"",'A-80 DirEntInv'!DG64,IF(INDIRECT(ADDRESS(SumRef!EZ71,SumRef!EZ$16,,,SumRef!$E$7))="","",INDIRECT(ADDRESS(SumRef!EZ71,SumRef!EZ$16,,,SumRef!$E$7))))</f>
        <v/>
      </c>
    </row>
    <row r="66" spans="1:108" s="588" customFormat="1" ht="13.5" thickBot="1" x14ac:dyDescent="0.25">
      <c r="A66" s="589">
        <f t="shared" si="0"/>
        <v>56</v>
      </c>
      <c r="B66" s="1155" t="str">
        <f ca="1">IF('A-80 DirEntInv'!B65&lt;&gt;"",'A-80 DirEntInv'!B65,IF(INDIRECT(ADDRESS(SumRef!AQ72,SumRef!AQ$16,,,SumRef!$B$7))="","",INDIRECT(ADDRESS(SumRef!AQ72,SumRef!AQ$16,,,SumRef!$B$7))))</f>
        <v/>
      </c>
      <c r="C66" s="1097" t="str">
        <f ca="1">IF('A-80 DirEntInv'!C65&lt;&gt;"",'A-80 DirEntInv'!C65,IF(INDIRECT(ADDRESS(SumRef!AR72,SumRef!AR$16,,,SumRef!$B$7))="","",INDIRECT(ADDRESS(SumRef!AR72,SumRef!AR$16,,,SumRef!$B$7))))</f>
        <v/>
      </c>
      <c r="D66" s="1097" t="str">
        <f ca="1">IF('A-80 DirEntInv'!D65&lt;&gt;"",'A-80 DirEntInv'!D65,IF(INDIRECT(ADDRESS(SumRef!AS72,SumRef!AS$16,,,SumRef!$B$7))="","",INDIRECT(ADDRESS(SumRef!AS72,SumRef!AS$16,,,SumRef!$B$7))))</f>
        <v/>
      </c>
      <c r="E66" s="1097" t="str">
        <f ca="1">IF('A-80 DirEntInv'!E65&lt;&gt;"",'A-80 DirEntInv'!E65,IF(INDIRECT(ADDRESS(SumRef!AT72,SumRef!AT$16,,,SumRef!$B$7))="","",INDIRECT(ADDRESS(SumRef!AT72,SumRef!AT$16,,,SumRef!$B$7))))</f>
        <v/>
      </c>
      <c r="F66" s="1097" t="str">
        <f ca="1">IF('A-80 DirEntInv'!F65&lt;&gt;"",'A-80 DirEntInv'!F65,IF(INDIRECT(ADDRESS(SumRef!AU72,SumRef!AU$16,,,SumRef!$B$7))="","",INDIRECT(ADDRESS(SumRef!AU72,SumRef!AU$16,,,SumRef!$B$7))))</f>
        <v/>
      </c>
      <c r="G66" s="1158" t="str">
        <f ca="1">IF('A-80 DirEntInv'!G65&lt;&gt;"",'A-80 DirEntInv'!G65,IF(INDIRECT(ADDRESS(SumRef!AV72,SumRef!AV$16,,,SumRef!$B$7))="","",INDIRECT(ADDRESS(SumRef!AV72,SumRef!AV$16,,,SumRef!$B$7))))</f>
        <v/>
      </c>
      <c r="H66" s="1097" t="str">
        <f ca="1">IF('A-80 DirEntInv'!H65&lt;&gt;"",'A-80 DirEntInv'!H65,IF(INDIRECT(ADDRESS(SumRef!AW72,SumRef!AW$16,,,SumRef!$B$7))="","",INDIRECT(ADDRESS(SumRef!AW72,SumRef!AW$16,,,SumRef!$B$7))))</f>
        <v/>
      </c>
      <c r="I66" s="1097" t="str">
        <f ca="1">IF('A-80 DirEntInv'!I65&lt;&gt;"",'A-80 DirEntInv'!I65,IF(INDIRECT(ADDRESS(SumRef!AX72,SumRef!AX$16,,,SumRef!$B$7))="","",INDIRECT(ADDRESS(SumRef!AX72,SumRef!AX$16,,,SumRef!$B$7))))</f>
        <v/>
      </c>
      <c r="J66" s="1098" t="str">
        <f ca="1">IF('A-80 DirEntInv'!J65&lt;&gt;"",'A-80 DirEntInv'!J65,IF(INDIRECT(ADDRESS(SumRef!AY72,SumRef!AY$16,,,SumRef!$B$7))="","",INDIRECT(ADDRESS(SumRef!AY72,SumRef!AY$16,,,SumRef!$B$7))))</f>
        <v/>
      </c>
      <c r="K66" s="1099" t="str">
        <f ca="1">IF('A-80 DirEntInv'!K65&lt;&gt;"",'A-80 DirEntInv'!K65,IF(INDIRECT(ADDRESS(SumRef!AZ72,SumRef!AZ$16,,,SumRef!$B$7))="","",INDIRECT(ADDRESS(SumRef!AZ72,SumRef!AZ$16,,,SumRef!$B$7))))</f>
        <v/>
      </c>
      <c r="L66" s="1100" t="str">
        <f ca="1">IF('A-80 DirEntInv'!L65&lt;&gt;"",'A-80 DirEntInv'!L65,IF(INDIRECT(ADDRESS(SumRef!BA72,SumRef!BA$16,,,SumRef!$B$7))="","",INDIRECT(ADDRESS(SumRef!BA72,SumRef!BA$16,,,SumRef!$B$7))))</f>
        <v/>
      </c>
      <c r="M66" s="1101" t="str">
        <f ca="1">IF('A-80 DirEntInv'!M65&lt;&gt;"",'A-80 DirEntInv'!M65,IF(INDIRECT(ADDRESS(SumRef!BB72,SumRef!BB$16,,,SumRef!$B$7))="","",INDIRECT(ADDRESS(SumRef!BB72,SumRef!BB$16,,,SumRef!$B$7))))</f>
        <v/>
      </c>
      <c r="N66" s="1098" t="str">
        <f ca="1">IF('A-80 DirEntInv'!N65&lt;&gt;"",'A-80 DirEntInv'!N65,IF(INDIRECT(ADDRESS(SumRef!BC72,SumRef!BC$16,,,SumRef!$B$7))="","",INDIRECT(ADDRESS(SumRef!BC72,SumRef!BC$16,,,SumRef!$B$7))))</f>
        <v/>
      </c>
      <c r="O66" s="1102" t="str">
        <f ca="1">IF('A-80 DirEntInv'!O65&lt;&gt;"",'A-80 DirEntInv'!O65,IF(INDIRECT(ADDRESS(SumRef!BD72,SumRef!BD$16,,,SumRef!$B$7))="","",INDIRECT(ADDRESS(SumRef!BD72,SumRef!BD$16,,,SumRef!$B$7))))</f>
        <v/>
      </c>
      <c r="Q66" s="589"/>
      <c r="R66" s="1103" t="str">
        <f ca="1">IF('A-80 DirEntInv'!R65&lt;&gt;"",'A-80 DirEntInv'!R65,IF(INDIRECT(ADDRESS(SumRef!BH72,SumRef!BH$16,,,SumRef!$B$8))="","",INDIRECT(ADDRESS(SumRef!BH72,SumRef!BH$16,,,SumRef!$B$8))))</f>
        <v/>
      </c>
      <c r="S66" s="1104" t="str">
        <f ca="1">IF('A-80 DirEntInv'!S65&lt;&gt;"",'A-80 DirEntInv'!S65,IF(INDIRECT(ADDRESS(SumRef!BI72,SumRef!BI$16,,,SumRef!$B$8))="","",INDIRECT(ADDRESS(SumRef!BI72,SumRef!BI$16,,,SumRef!$B$8))))</f>
        <v/>
      </c>
      <c r="T66" s="1104" t="str">
        <f ca="1">IF('A-80 DirEntInv'!T65&lt;&gt;"",'A-80 DirEntInv'!T65,IF(INDIRECT(ADDRESS(SumRef!BJ72,SumRef!BJ$16,,,SumRef!$B$8))="","",INDIRECT(ADDRESS(SumRef!BJ72,SumRef!BJ$16,,,SumRef!$B$8))))</f>
        <v/>
      </c>
      <c r="U66" s="1104" t="str">
        <f ca="1">IF('A-80 DirEntInv'!U65&lt;&gt;"",'A-80 DirEntInv'!U65,IF(INDIRECT(ADDRESS(SumRef!BK72,SumRef!BK$16,,,SumRef!$B$8))="","",INDIRECT(ADDRESS(SumRef!BK72,SumRef!BK$16,,,SumRef!$B$8))))</f>
        <v/>
      </c>
      <c r="V66" s="1104" t="str">
        <f ca="1">IF('A-80 DirEntInv'!V65&lt;&gt;"",'A-80 DirEntInv'!V65,IF(INDIRECT(ADDRESS(SumRef!BL72,SumRef!BL$16,,,SumRef!$B$8))="","",INDIRECT(ADDRESS(SumRef!BL72,SumRef!BL$16,,,SumRef!$B$8))))</f>
        <v/>
      </c>
      <c r="W66" s="1354" t="str">
        <f ca="1">IF('A-80 DirEntInv'!W65&lt;&gt;"",'A-80 DirEntInv'!W65,IF(INDIRECT(ADDRESS(SumRef!BM72,SumRef!BM$16,,,SumRef!$B$8))="","",INDIRECT(ADDRESS(SumRef!BM72,SumRef!BM$16,,,SumRef!$B$8))))</f>
        <v/>
      </c>
      <c r="X66" s="1203" t="str">
        <f ca="1">IF('A-80 DirEntInv'!X65&lt;&gt;"",'A-80 DirEntInv'!X65,IF(INDIRECT(ADDRESS(SumRef!BN72,SumRef!BN$16,,,SumRef!$B$8))="","",INDIRECT(ADDRESS(SumRef!BN72,SumRef!BN$16,,,SumRef!$B$8))))</f>
        <v/>
      </c>
      <c r="Y66" s="1203" t="str">
        <f ca="1">IF('A-80 DirEntInv'!Y65&lt;&gt;"",'A-80 DirEntInv'!Y65,IF(INDIRECT(ADDRESS(SumRef!BO72,SumRef!BO$16,,,SumRef!$B$8))="","",INDIRECT(ADDRESS(SumRef!BO72,SumRef!BO$16,,,SumRef!$B$8))))</f>
        <v/>
      </c>
      <c r="Z66" s="1104" t="str">
        <f ca="1">IF('A-80 DirEntInv'!Z65&lt;&gt;"",'A-80 DirEntInv'!Z65,IF(INDIRECT(ADDRESS(SumRef!BP72,SumRef!BP$16,,,SumRef!$B$8))="","",INDIRECT(ADDRESS(SumRef!BP72,SumRef!BP$16,,,SumRef!$B$8))))</f>
        <v/>
      </c>
      <c r="AA66" s="1104" t="str">
        <f ca="1">IF('A-80 DirEntInv'!AA65&lt;&gt;"",'A-80 DirEntInv'!AA65,IF(INDIRECT(ADDRESS(SumRef!BQ72,SumRef!BQ$16,,,SumRef!$B$8))="","",INDIRECT(ADDRESS(SumRef!BQ72,SumRef!BQ$16,,,SumRef!$B$8))))</f>
        <v/>
      </c>
      <c r="AB66" s="1106" t="str">
        <f ca="1">IF('A-80 DirEntInv'!AB65&lt;&gt;"",'A-80 DirEntInv'!AB65,IF(INDIRECT(ADDRESS(SumRef!BR72,SumRef!BR$16,,,SumRef!$B$8))="","",INDIRECT(ADDRESS(SumRef!BR72,SumRef!BR$16,,,SumRef!$B$8))))</f>
        <v/>
      </c>
      <c r="AC66" s="1107" t="str">
        <f ca="1">IF('A-80 DirEntInv'!AC65&lt;&gt;"",'A-80 DirEntInv'!AC65,IF(INDIRECT(ADDRESS(SumRef!BS72,SumRef!BS$16,,,SumRef!$B$8))="","",INDIRECT(ADDRESS(SumRef!BS72,SumRef!BS$16,,,SumRef!$B$8))))</f>
        <v/>
      </c>
      <c r="AD66" s="1349" t="str">
        <f ca="1">IF('A-80 DirEntInv'!AD65&lt;&gt;"",'A-80 DirEntInv'!AD65,IF(INDIRECT(ADDRESS(SumRef!BT72,SumRef!BT$16,,,SumRef!$B$8))="","",INDIRECT(ADDRESS(SumRef!BT72,SumRef!BT$16,,,SumRef!$B$8))))</f>
        <v/>
      </c>
      <c r="AE66" s="1137" t="str">
        <f ca="1">IF('A-80 DirEntInv'!AE65&lt;&gt;"",'A-80 DirEntInv'!AE65,IF(INDIRECT(ADDRESS(SumRef!BU72,SumRef!BU$16,,,SumRef!$B$8))="","",INDIRECT(ADDRESS(SumRef!BU72,SumRef!BU$16,,,SumRef!$B$8))))</f>
        <v/>
      </c>
      <c r="AF66" s="1346" t="str">
        <f ca="1">IF('A-80 DirEntInv'!AF65&lt;&gt;"",'A-80 DirEntInv'!AF65,IF(INDIRECT(ADDRESS(SumRef!BV72,SumRef!BV$16,,,SumRef!$B$8))="","",INDIRECT(ADDRESS(SumRef!BV72,SumRef!BV$16,,,SumRef!$B$8))))</f>
        <v/>
      </c>
      <c r="AG66" s="1105" t="str">
        <f ca="1">IF('A-80 DirEntInv'!AG65&lt;&gt;"",'A-80 DirEntInv'!AG65,IF(INDIRECT(ADDRESS(SumRef!BW72,SumRef!BW$16,,,SumRef!$B$8))="","",INDIRECT(ADDRESS(SumRef!BW72,SumRef!BW$16,,,SumRef!$B$8))))</f>
        <v/>
      </c>
      <c r="AH66" s="1357" t="str">
        <f ca="1">IF('A-80 DirEntInv'!AH65&lt;&gt;"",'A-80 DirEntInv'!AH65,IF(INDIRECT(ADDRESS(SumRef!BX72,SumRef!BX$16,,,SumRef!$B$8))="","",INDIRECT(ADDRESS(SumRef!BX72,SumRef!BX$16,,,SumRef!$B$8))))</f>
        <v/>
      </c>
      <c r="AK66" s="1047" t="str">
        <f>Codes!$C$159</f>
        <v>CC - Cable Car (DO)</v>
      </c>
      <c r="AL66" s="1050" t="str">
        <f>Valid!$B$91</f>
        <v>Train Control &amp; Signaling</v>
      </c>
      <c r="AM66" s="1185"/>
      <c r="AN66" s="1050"/>
      <c r="AO66" s="1185"/>
      <c r="AP66" s="1050"/>
      <c r="AQ66" s="1386" t="str">
        <f>IF('A-80 DirEntInv'!AQ65&lt;&gt;"",'A-80 DirEntInv'!AQ65,IF(AK66=summaryref2!B25,summaryref2!G25,IF(Summary!AK66=summaryref2!B39,summaryref2!G39,IF(AK66=summaryref2!B53,summaryref2!G53,IF(AK66=summaryref2!B67,summaryref2!G67,IF(AK66=summaryref2!B81,summaryref2!G81,IF(AK66=summaryref2!B95,summaryref2!G95,IF(AK66=summaryref2!B109,summaryref2!G109,IF(AK66=summaryref2!B123,summaryref2!G123,IF(AK66=summaryref2!B137,summaryref2!G137,IF(AK66=summaryref2!B151,summaryref2!G151,"")))))))))))</f>
        <v/>
      </c>
      <c r="AR66" s="1386" t="str">
        <f>IF('A-80 DirEntInv'!AR65&lt;&gt;"",'A-80 DirEntInv'!AR65,IF(AK66=summaryref2!B25,summaryref2!H25,IF(Summary!AK66=summaryref2!B39,summaryref2!H39,IF(AK66=summaryref2!B53,summaryref2!H53,IF(AK66=summaryref2!B67,summaryref2!H67,IF(AK66=summaryref2!B81,summaryref2!H81,IF(AK66=summaryref2!B95,summaryref2!H95,IF(AK66=summaryref2!B109,summaryref2!H109,IF(AK66=summaryref2!B123,summaryref2!H123,IF(AK66=summaryref2!B137,summaryref2!H137,IF(AK66=summaryref2!B151,summaryref2!H151,"")))))))))))</f>
        <v/>
      </c>
      <c r="AS66" s="1387" t="str">
        <f>IF('A-80 DirEntInv'!AS65&lt;&gt;"",'A-80 DirEntInv'!AS65,IF(AK66=summaryref2!B25,summaryref2!I25,IF(Summary!AK66=summaryref2!B39,summaryref2!I39,IF(AK66=summaryref2!B53,summaryref2!I53,IF(AK66=summaryref2!B67,summaryref2!I67,IF(AK66=summaryref2!B81,summaryref2!I81,IF(AK66=summaryref2!B95,summaryref2!I95,IF(AK66=summaryref2!B109,summaryref2!I109,IF(AK66=summaryref2!B123,summaryref2!I123,IF(AK66=summaryref2!B137,summaryref2!I137,IF(AK66=summaryref2!B151,summaryref2!I151,"")))))))))))</f>
        <v/>
      </c>
      <c r="AT66" s="1387" t="str">
        <f>IF('A-80 DirEntInv'!AT65&lt;&gt;"",'A-80 DirEntInv'!AT65,IF(AK66=summaryref2!B25,summaryref2!J25,IF(Summary!AK66=summaryref2!B39,summaryref2!J39,IF(AK66=summaryref2!B53,summaryref2!J53,IF(AK66=summaryref2!B67,summaryref2!J67,IF(AK66=summaryref2!B81,summaryref2!J81,IF(AK66=summaryref2!B95,summaryref2!J95,IF(AK66=summaryref2!B109,summaryref2!J109,IF(AK66=summaryref2!B123,summaryref2!J123,IF(AK66=summaryref2!B137,summaryref2!J137,IF(AK66=summaryref2!B151,summaryref2!J151,"")))))))))))</f>
        <v/>
      </c>
      <c r="AU66" s="1387" t="str">
        <f>IF('A-80 DirEntInv'!AU65&lt;&gt;"",'A-80 DirEntInv'!AU65,IF(AK66=summaryref2!B25,summaryref2!K25,IF(Summary!AK66=summaryref2!B39,summaryref2!K39,IF(AK66=summaryref2!B53,summaryref2!K53,IF(AK66=summaryref2!B67,summaryref2!K67,IF(AK66=summaryref2!B81,summaryref2!K81,IF(AK66=summaryref2!B95,summaryref2!K95,IF(AK66=summaryref2!B109,summaryref2!K109,IF(AK66=summaryref2!B123,summaryref2!K123,IF(AK66=summaryref2!B137,summaryref2!K137,IF(AK66=summaryref2!B151,summaryref2!K151,"")))))))))))</f>
        <v/>
      </c>
      <c r="AV66" s="1387" t="str">
        <f>IF('A-80 DirEntInv'!AV65&lt;&gt;"",'A-80 DirEntInv'!AV65,IF(AK66=summaryref2!B25,summaryref2!L25,IF(Summary!AK66=summaryref2!B39,summaryref2!L39,IF(AK66=summaryref2!B53,summaryref2!L53,IF(AK66=summaryref2!B67,summaryref2!L67,IF(AK66=summaryref2!B81,summaryref2!L81,IF(AK66=summaryref2!B95,summaryref2!L95,IF(AK66=summaryref2!B109,summaryref2!L109,IF(AK66=summaryref2!B123,summaryref2!L123,IF(AK66=summaryref2!B137,summaryref2!L137,IF(AK66=summaryref2!B151,summaryref2!L151,"")))))))))))</f>
        <v/>
      </c>
      <c r="AW66" s="1387" t="str">
        <f>IF('A-80 DirEntInv'!AW65&lt;&gt;"",'A-80 DirEntInv'!AW65,IF(AK66=summaryref2!B25,summaryref2!M25,IF(Summary!AK66=summaryref2!B39,summaryref2!M39,IF(AK66=summaryref2!B53,summaryref2!M53,IF(AK66=summaryref2!B67,summaryref2!M67,IF(AK66=summaryref2!B81,summaryref2!M81,IF(AK66=summaryref2!B95,summaryref2!M95,IF(AK66=summaryref2!B109,summaryref2!M109,IF(AK66=summaryref2!B123,summaryref2!M123,IF(AK66=summaryref2!B137,summaryref2!M137,IF(AK66=summaryref2!B151,summaryref2!M151,"")))))))))))</f>
        <v/>
      </c>
      <c r="AX66" s="1387" t="str">
        <f>IF('A-80 DirEntInv'!AX65&lt;&gt;"",'A-80 DirEntInv'!AX65,IF(AK66=summaryref2!B25,summaryref2!N25,IF(Summary!AK66=summaryref2!B39,summaryref2!N39,IF(AK66=summaryref2!B53,summaryref2!N53,IF(AK66=summaryref2!B67,summaryref2!N67,IF(AK66=summaryref2!B81,summaryref2!N81,IF(AK66=summaryref2!B95,summaryref2!N95,IF(AK66=summaryref2!B109,summaryref2!N109,IF(AK66=summaryref2!B123,summaryref2!N123,IF(AK66=summaryref2!B137,summaryref2!N137,IF(AK66=summaryref2!B151,summaryref2!N151,"")))))))))))</f>
        <v/>
      </c>
      <c r="AY66" s="1387" t="str">
        <f>IF('A-80 DirEntInv'!AY65&lt;&gt;"",'A-80 DirEntInv'!AY65,IF(AK66=summaryref2!B25,summaryref2!O25,IF(Summary!AK66=summaryref2!B39,summaryref2!O39,IF(AK66=summaryref2!B53,summaryref2!O53,IF(AK66=summaryref2!B67,summaryref2!O67,IF(AK66=summaryref2!B81,summaryref2!O81,IF(AK66=summaryref2!B95,summaryref2!O95,IF(AK66=summaryref2!B109,summaryref2!O109,IF(AK66=summaryref2!B123,summaryref2!O123,IF(AK66=summaryref2!B137,summaryref2!O137,IF(AK66=summaryref2!B151,summaryref2!O151,"")))))))))))</f>
        <v/>
      </c>
      <c r="AZ66" s="1387" t="str">
        <f>IF('A-80 DirEntInv'!AZ65&lt;&gt;"",'A-80 DirEntInv'!AZ65,IF(AK66=summaryref2!B25,summaryref2!P25,IF(Summary!AK66=summaryref2!B39,summaryref2!P39,IF(AK66=summaryref2!B53,summaryref2!P53,IF(AK66=summaryref2!B67,summaryref2!P67,IF(AK66=summaryref2!B81,summaryref2!P81,IF(AK66=summaryref2!B95,summaryref2!P95,IF(AK66=summaryref2!B109,summaryref2!P109,IF(AK66=summaryref2!B123,summaryref2!P123,IF(AK66=summaryref2!B137,summaryref2!P137,IF(AK66=summaryref2!B151,summaryref2!P151,"")))))))))))</f>
        <v/>
      </c>
      <c r="BA66" s="1387" t="str">
        <f>IF('A-80 DirEntInv'!BA65&lt;&gt;"",'A-80 DirEntInv'!BA65,IF(AK66=summaryref2!B25,summaryref2!Q25,IF(Summary!AK66=summaryref2!B39,summaryref2!Q39,IF(AK66=summaryref2!B53,summaryref2!Q53,IF(AK66=summaryref2!B67,summaryref2!Q67,IF(AK66=summaryref2!B81,summaryref2!Q81,IF(AK66=summaryref2!B95,summaryref2!Q95,IF(AK66=summaryref2!B109,summaryref2!Q109,IF(AK66=summaryref2!B123,summaryref2!Q123,IF(AK66=summaryref2!B137,summaryref2!Q137,IF(AK66=summaryref2!B151,summaryref2!Q151,"")))))))))))</f>
        <v/>
      </c>
      <c r="BB66" s="1387" t="str">
        <f>IF('A-80 DirEntInv'!BB65&lt;&gt;"",'A-80 DirEntInv'!BB65,IF(AK66=summaryref2!B25,summaryref2!R25,IF(Summary!AK66=summaryref2!B39,summaryref2!R39,IF(AK66=summaryref2!B53,summaryref2!R53,IF(AK66=summaryref2!B67,summaryref2!R67,IF(AK66=summaryref2!B81,summaryref2!R81,IF(AK66=summaryref2!B95,summaryref2!R95,IF(AK66=summaryref2!B109,summaryref2!R109,IF(AK66=summaryref2!B123,summaryref2!R123,IF(AK66=summaryref2!B137,summaryref2!R137,IF(AK66=summaryref2!B151,summaryref2!R151,"")))))))))))</f>
        <v/>
      </c>
      <c r="BC66" s="1387" t="str">
        <f>IF('A-80 DirEntInv'!BC65&lt;&gt;0,'A-80 DirEntInv'!BC65,IF(AK66=summaryref2!B25,summaryref2!S25,IF(Summary!AK66=summaryref2!B39,summaryref2!S39,IF(AK66=summaryref2!B53,summaryref2!S53,IF(AK66=summaryref2!B67,summaryref2!S67,IF(AK66=summaryref2!B81,summaryref2!S81,IF(AK66=summaryref2!B95,summaryref2!S95,IF(AK66=summaryref2!B109,summaryref2!S109,IF(AK66=summaryref2!B123,summaryref2!S123,IF(AK66=summaryref2!B137,summaryref2!S137,IF(AK66=summaryref2!B151,summaryref2!S151,"")))))))))))</f>
        <v/>
      </c>
      <c r="BD66" s="1118" t="str">
        <f>IF('A-80 DirEntInv'!BD65&lt;&gt;"",'A-80 DirEntInv'!BD65,IF(AK66=summaryref2!B25,summaryref2!T25,IF(Summary!AK66=summaryref2!B39,summaryref2!T39,IF(AK66=summaryref2!B53,summaryref2!T53,IF(AK66=summaryref2!B67,summaryref2!T67,IF(AK66=summaryref2!B81,summaryref2!T81,IF(AK66=summaryref2!B95,summaryref2!T95,IF(AK66=summaryref2!B109,summaryref2!T109,IF(AK66=summaryref2!B123,summaryref2!T123,IF(AK66=summaryref2!B137,summaryref2!T137,IF(AK66=summaryref2!B151,summaryref2!T151,"")))))))))))</f>
        <v/>
      </c>
      <c r="BE66" s="1186" t="str">
        <f>IF('A-80 DirEntInv'!BE65&lt;&gt;"",'A-80 DirEntInv'!BE65,IF(AK66=summaryref2!B25,summaryref2!U25,IF(Summary!AK66=summaryref2!B39,summaryref2!U39,IF(AK66=summaryref2!B53,summaryref2!U53,IF(AK66=summaryref2!B67,summaryref2!U67,IF(AK66=summaryref2!B81,summaryref2!U81,IF(AK66=summaryref2!B95,summaryref2!U95,IF(AK66=summaryref2!B109,summaryref2!U109,IF(AK66=summaryref2!B123,summaryref2!U123,IF(AK66=summaryref2!B137,summaryref2!U137,IF(AK66=summaryref2!B151,summaryref2!U151,"")))))))))))</f>
        <v/>
      </c>
      <c r="BF66" s="1432"/>
      <c r="BG66" s="1432"/>
      <c r="BJ66" s="1047" t="str">
        <f>Codes!$C$163</f>
        <v>HR - Heavy Rail (DO)</v>
      </c>
      <c r="BK66" s="1050" t="str">
        <f>Valid!$B$86</f>
        <v>Grade Crossings</v>
      </c>
      <c r="BL66" s="1369" t="str">
        <f>IF('A-80 DirEntInv'!BL65&lt;&gt;"",'A-80 DirEntInv'!BL65,IF(BJ66=summaryref2!X18,summaryref2!Z18,IF(BJ66=summaryref2!X25,summaryref2!Z25,IF(BJ66=summaryref2!X32,summaryref2!Z32,IF(BJ66=summaryref2!X39,summaryref2!Z39,IF(BJ66=summaryref2!X46,summaryref2!Z46,IF(BJ66=summaryref2!X53,summaryref2!Z53,IF(BJ66=summaryref2!X60,summaryref2!Z60,IF(BJ66=summaryref2!X67,summaryref2!Z67,IF(BJ66=summaryref2!X74,summaryref2!Z74,IF(BJ66=summaryref2!X81,summaryref2!Z81,"")))))))))))</f>
        <v/>
      </c>
      <c r="BM66" s="1050" t="str">
        <f>VLOOKUP(BK66,Valid!$B$80:$C$86,2,FALSE)</f>
        <v>Each</v>
      </c>
      <c r="BN66" s="1210" t="str">
        <f>IF('A-80 DirEntInv'!BN65&lt;&gt;"",'A-80 DirEntInv'!BN65,IF(BJ66=summaryref2!X18,summaryref2!AB18,IF(BJ66=summaryref2!X25,summaryref2!AB25,IF(BJ66=summaryref2!X32,summaryref2!AB32,IF(BJ66=summaryref2!X39,summaryref2!AB39,IF(BJ66=summaryref2!X46,summaryref2!AB46,IF(BJ66=summaryref2!X53,summaryref2!AB53,IF(BJ66=summaryref2!X60,summaryref2!AB60,IF(BJ66=summaryref2!X67,summaryref2!AB67,IF(BJ66=summaryref2!X74,summaryref2!AB74,IF(BJ66=summaryref2!X81,summaryref2!AB81,"")))))))))))</f>
        <v/>
      </c>
      <c r="BO66" s="1117" t="str">
        <f>IF('A-80 DirEntInv'!BO65&lt;&gt;"",'A-80 DirEntInv'!BO65,IF(BJ66=summaryref2!X18,summaryref2!AC18,IF(BJ66=summaryref2!X25,summaryref2!AC25,IF(BJ66=summaryref2!X32,summaryref2!AC32,IF(BJ66=summaryref2!X39,summaryref2!AC39,IF(BJ66=summaryref2!X46,summaryref2!AC46,IF(BJ66=summaryref2!X53,summaryref2!AC53,IF(BJ66=summaryref2!X60,summaryref2!AC60,IF(BJ66=summaryref2!X67,summaryref2!AC67,IF(BJ66=summaryref2!X74,summaryref2!AC74,IF(BJ66=summaryref2!X81,summaryref2!AC81,"")))))))))))</f>
        <v/>
      </c>
      <c r="BP66" s="1321" t="str">
        <f>IF('A-80 DirEntInv'!BP65&lt;&gt;"",'A-80 DirEntInv'!BP65,IF(BJ66=summaryref2!X18,summaryref2!AD18,IF(BJ66=summaryref2!X25,summaryref2!AD25,IF(BJ66=summaryref2!X32,summaryref2!AD32,IF(BJ66=summaryref2!X39,summaryref2!AD39,IF(BJ66=summaryref2!X46,summaryref2!AD46,IF(BJ66=summaryref2!X53,summaryref2!AD53,IF(BJ66=summaryref2!X60,summaryref2!AD60,IF(BJ66=summaryref2!X67,summaryref2!AD67,IF(BJ66=summaryref2!X74,summaryref2!AD74,IF(BJ66=summaryref2!X81,summaryref2!AD81,"")))))))))))</f>
        <v/>
      </c>
      <c r="BS66" s="1472" t="str">
        <f ca="1">IF('A-80 DirEntInv'!BU65&lt;&gt;"",'A-80 DirEntInv'!BU65,IF(INDIRECT(ADDRESS(SumRef!DK72,SumRef!DK$16,,,SumRef!$E$6))="","",INDIRECT(ADDRESS(SumRef!DK72,SumRef!DK$16,,,SumRef!$E$6))))</f>
        <v/>
      </c>
      <c r="BT66" s="1458" t="str">
        <f ca="1">IF('A-80 DirEntInv'!BV65&lt;&gt;"",'A-80 DirEntInv'!BV65,IF(INDIRECT(ADDRESS(SumRef!DL72,SumRef!DL$16,,,SumRef!$E$6))="","",INDIRECT(ADDRESS(SumRef!DL72,SumRef!DL$16,,,SumRef!$E$6))))</f>
        <v/>
      </c>
      <c r="BU66" s="1177" t="str">
        <f ca="1">IF('A-80 DirEntInv'!BW65&lt;&gt;"",'A-80 DirEntInv'!BW65,IF(INDIRECT(ADDRESS(SumRef!DM72,SumRef!DM$16,,,SumRef!$E$6))="","",INDIRECT(ADDRESS(SumRef!DM72,SumRef!DM$16,,,SumRef!$E$6))))</f>
        <v/>
      </c>
      <c r="BV66" s="1460" t="str">
        <f ca="1">IF('A-80 DirEntInv'!BX65&lt;&gt;"",'A-80 DirEntInv'!BX65,IF(INDIRECT(ADDRESS(SumRef!DN72,SumRef!DN$16,,,SumRef!$E$6))="","",INDIRECT(ADDRESS(SumRef!DN72,SumRef!DN$16,,,SumRef!$E$6))))</f>
        <v/>
      </c>
      <c r="BW66" s="1460" t="str">
        <f ca="1">IF('A-80 DirEntInv'!BY65&lt;&gt;"",'A-80 DirEntInv'!BY65,IF(INDIRECT(ADDRESS(SumRef!DO72,SumRef!DO$16,,,SumRef!$E$6))="","",INDIRECT(ADDRESS(SumRef!DO72,SumRef!DO$16,,,SumRef!$E$6))))</f>
        <v/>
      </c>
      <c r="BX66" s="1116" t="str">
        <f ca="1">IF('A-80 DirEntInv'!BZ65&lt;&gt;"",'A-80 DirEntInv'!BZ65,IF(INDIRECT(ADDRESS(SumRef!DP72,SumRef!DP$16,,,SumRef!$E$6))="","",INDIRECT(ADDRESS(SumRef!DP72,SumRef!DP$16,,,SumRef!$E$6))))</f>
        <v/>
      </c>
      <c r="BY66" s="1461" t="str">
        <f ca="1">IF('A-80 DirEntInv'!CA65&lt;&gt;"",'A-80 DirEntInv'!CA65,IF(INDIRECT(ADDRESS(SumRef!DQ72,SumRef!DQ$16,,,SumRef!$E$6))="","",INDIRECT(ADDRESS(SumRef!DQ72,SumRef!DQ$16,,,SumRef!$E$6))))</f>
        <v/>
      </c>
      <c r="BZ66" s="1460" t="str">
        <f ca="1">IF('A-80 DirEntInv'!CB65&lt;&gt;"",'A-80 DirEntInv'!CB65,IF(INDIRECT(ADDRESS(SumRef!DR72,SumRef!DR$16,,,SumRef!$E$6))="","",INDIRECT(ADDRESS(SumRef!DR72,SumRef!DR$16,,,SumRef!$E$6))))</f>
        <v/>
      </c>
      <c r="CA66" s="1462" t="str">
        <f ca="1">IF('A-80 DirEntInv'!CC65&lt;&gt;"",'A-80 DirEntInv'!CC65,IF(INDIRECT(ADDRESS(SumRef!DS72,SumRef!DS$16,,,SumRef!$E$6))="","",INDIRECT(ADDRESS(SumRef!DS72,SumRef!DS$16,,,SumRef!$E$6))))</f>
        <v/>
      </c>
      <c r="CD66" s="1160" t="str">
        <f ca="1">IF('A-80 DirEntInv'!CF65&lt;&gt;"",'A-80 DirEntInv'!CF65,IF(INDIRECT(ADDRESS(SumRef!DV72,SumRef!DV$16,,,SumRef!$E$7))="","",INDIRECT(ADDRESS(SumRef!DV72,SumRef!DV$16,,,SumRef!$E$7))))</f>
        <v/>
      </c>
      <c r="CE66" s="1167" t="str">
        <f ca="1">IF('A-80 DirEntInv'!CG65&lt;&gt;"",'A-80 DirEntInv'!CG65,IF(INDIRECT(ADDRESS(SumRef!DW72,SumRef!DW$16,,,SumRef!$E$7))="","",INDIRECT(ADDRESS(SumRef!DW72,SumRef!DW$16,,,SumRef!$E$7))))</f>
        <v/>
      </c>
      <c r="CF66" s="1167" t="str">
        <f ca="1">IF('A-80 DirEntInv'!CH65&lt;&gt;"",'A-80 DirEntInv'!CH65,IF(INDIRECT(ADDRESS(SumRef!DX72,SumRef!DX$16,,,SumRef!$E$7))="","",INDIRECT(ADDRESS(SumRef!DX72,SumRef!DX$16,,,SumRef!$E$7))))</f>
        <v/>
      </c>
      <c r="CG66" s="1167" t="str">
        <f ca="1">IF('A-80 DirEntInv'!CI65&lt;&gt;"",'A-80 DirEntInv'!CI65,IF(INDIRECT(ADDRESS(SumRef!DY72,SumRef!DY$16,,,SumRef!$E$7))="","",INDIRECT(ADDRESS(SumRef!DY72,SumRef!DY$16,,,SumRef!$E$7))))</f>
        <v/>
      </c>
      <c r="CH66" s="1167" t="str">
        <f ca="1">IF('A-80 DirEntInv'!CJ65&lt;&gt;"",'A-80 DirEntInv'!CJ65,IF(INDIRECT(ADDRESS(SumRef!DZ72,SumRef!DZ$16,,,SumRef!$E$7))="","",INDIRECT(ADDRESS(SumRef!DZ72,SumRef!DZ$16,,,SumRef!$E$7))))</f>
        <v/>
      </c>
      <c r="CI66" s="1167" t="str">
        <f ca="1">IF('A-80 DirEntInv'!CK65&lt;&gt;"",'A-80 DirEntInv'!CK65,IF(INDIRECT(ADDRESS(SumRef!EA72,SumRef!EA$16,,,SumRef!$E$7))="","",INDIRECT(ADDRESS(SumRef!EA72,SumRef!EA$16,,,SumRef!$E$7))))</f>
        <v/>
      </c>
      <c r="CJ66" s="1114" t="str">
        <f ca="1">IF('A-80 DirEntInv'!CL65&lt;&gt;"",'A-80 DirEntInv'!CL65,IF(INDIRECT(ADDRESS(SumRef!EB72,SumRef!EB$16,,,SumRef!$E$7))="","",INDIRECT(ADDRESS(SumRef!EB72,SumRef!EB$16,,,SumRef!$E$7))))</f>
        <v/>
      </c>
      <c r="CK66" s="1114" t="str">
        <f ca="1">IF('A-80 DirEntInv'!CM65&lt;&gt;"",'A-80 DirEntInv'!CM65,IF(INDIRECT(ADDRESS(SumRef!EC72,SumRef!EC$16,,,SumRef!$E$7))="","",INDIRECT(ADDRESS(SumRef!EC72,SumRef!EC$16,,,SumRef!$E$7))))</f>
        <v/>
      </c>
      <c r="CL66" s="1113" t="str">
        <f ca="1">IF('A-80 DirEntInv'!CO65&lt;&gt;"",'A-80 DirEntInv'!CO65,IF(INDIRECT(ADDRESS(SumRef!ED72,SumRef!ED$16,,,SumRef!$E$7))="","",INDIRECT(ADDRESS(SumRef!ED72,SumRef!ED$16,,,SumRef!$E$7))))</f>
        <v/>
      </c>
      <c r="CM66" s="1114" t="str">
        <f ca="1">IF('A-80 DirEntInv'!CP65&lt;&gt;"",'A-80 DirEntInv'!CP65,IF(INDIRECT(ADDRESS(SumRef!EE72,SumRef!EE$16,,,SumRef!$E$7))="","",INDIRECT(ADDRESS(SumRef!EE72,SumRef!EE$16,,,SumRef!$E$7))))</f>
        <v/>
      </c>
      <c r="CN66" s="1114" t="str">
        <f ca="1">IF('A-80 DirEntInv'!CQ65&lt;&gt;"",'A-80 DirEntInv'!CQ65,IF(INDIRECT(ADDRESS(SumRef!EF72,SumRef!EF$16,,,SumRef!$E$7))="","",INDIRECT(ADDRESS(SumRef!EF72,SumRef!EF$16,,,SumRef!$E$7))))</f>
        <v/>
      </c>
      <c r="CO66" s="1113" t="str">
        <f ca="1">IF('A-80 DirEntInv'!CR65&lt;&gt;"",'A-80 DirEntInv'!CR65,IF(INDIRECT(ADDRESS(SumRef!EG72,SumRef!EG$16,,,SumRef!$E$7))="","",INDIRECT(ADDRESS(SumRef!EG72,SumRef!EG$16,,,SumRef!$E$7))))</f>
        <v/>
      </c>
      <c r="CP66" s="1114" t="str">
        <f ca="1">IF('A-80 DirEntInv'!CS65&lt;&gt;"",'A-80 DirEntInv'!CS65,IF(INDIRECT(ADDRESS(SumRef!EH72,SumRef!EH$16,,,SumRef!$E$7))="","",INDIRECT(ADDRESS(SumRef!EH72,SumRef!EH$16,,,SumRef!$E$7))))</f>
        <v/>
      </c>
      <c r="CQ66" s="1346" t="str">
        <f ca="1">IF('A-80 DirEntInv'!CT65&lt;&gt;"",'A-80 DirEntInv'!CT65,IF(INDIRECT(ADDRESS(SumRef!EI72,SumRef!EI$16,,,SumRef!$E$7))="","",INDIRECT(ADDRESS(SumRef!EI72,SumRef!EI$16,,,SumRef!$E$7))))</f>
        <v/>
      </c>
      <c r="CR66" s="1113" t="str">
        <f ca="1">IF('A-80 DirEntInv'!CU65&lt;&gt;"",'A-80 DirEntInv'!CU65,IF(INDIRECT(ADDRESS(SumRef!EJ72,SumRef!EJ$16,,,SumRef!$E$7))="","",INDIRECT(ADDRESS(SumRef!EJ72,SumRef!EJ$16,,,SumRef!$E$7))))</f>
        <v/>
      </c>
      <c r="CS66" s="1346" t="str">
        <f ca="1">IF('A-80 DirEntInv'!CV65&lt;&gt;"",'A-80 DirEntInv'!CV65,IF(INDIRECT(ADDRESS(SumRef!EM72,SumRef!EM$16,,,SumRef!$E$7))="","",INDIRECT(ADDRESS(SumRef!EM72,SumRef!EM$16,,,SumRef!$E$7))))</f>
        <v/>
      </c>
      <c r="CT66" s="1113" t="str">
        <f ca="1">IF('A-80 DirEntInv'!CW65&lt;&gt;"",'A-80 DirEntInv'!CW65,IF(INDIRECT(ADDRESS(SumRef!EN72,SumRef!EN$16,,,SumRef!$E$7))="","",INDIRECT(ADDRESS(SumRef!EN72,SumRef!EN$16,,,SumRef!$E$7))))</f>
        <v/>
      </c>
      <c r="CU66" s="1113" t="str">
        <f ca="1">IF('A-80 DirEntInv'!CX65&lt;&gt;"",'A-80 DirEntInv'!CX65,IF(INDIRECT(ADDRESS(SumRef!EO72,SumRef!EO$16,,,SumRef!$E$7))="","",INDIRECT(ADDRESS(SumRef!EO72,SumRef!EO$16,,,SumRef!$E$7))))</f>
        <v/>
      </c>
      <c r="CV66" s="1113" t="str">
        <f ca="1">IF('A-80 DirEntInv'!CY65&lt;&gt;"",'A-80 DirEntInv'!CY65,IF(INDIRECT(ADDRESS(SumRef!EP72,SumRef!EP$16,,,SumRef!$E$7))="","",INDIRECT(ADDRESS(SumRef!EP72,SumRef!EP$16,,,SumRef!$E$7))))</f>
        <v/>
      </c>
      <c r="CW66" s="1114" t="str">
        <f ca="1">IF('A-80 DirEntInv'!CZ65&lt;&gt;"",'A-80 DirEntInv'!CZ65,IF(INDIRECT(ADDRESS(SumRef!ES72,SumRef!ES$16,,,SumRef!$E$7))="","",INDIRECT(ADDRESS(SumRef!ES72,SumRef!ES$16,,,SumRef!$E$7))))</f>
        <v/>
      </c>
      <c r="CX66" s="1167" t="str">
        <f ca="1">IF('A-80 DirEntInv'!DA65&lt;&gt;"",'A-80 DirEntInv'!DA65,IF(INDIRECT(ADDRESS(SumRef!ET72,SumRef!ET$16,,,SumRef!$E$7))="","",INDIRECT(ADDRESS(SumRef!ET72,SumRef!ET$16,,,SumRef!$E$7))))</f>
        <v/>
      </c>
      <c r="CY66" s="1167" t="str">
        <f ca="1">IF('A-80 DirEntInv'!DB65&lt;&gt;"",'A-80 DirEntInv'!DB65,IF(INDIRECT(ADDRESS(SumRef!EU72,SumRef!EU$16,,,SumRef!$E$7))="","",INDIRECT(ADDRESS(SumRef!EU72,SumRef!EU$16,,,SumRef!$E$7))))</f>
        <v/>
      </c>
      <c r="CZ66" s="1167" t="b">
        <f ca="1">IF('A-80 DirEntInv'!DC65&lt;&gt;"",'A-80 DirEntInv'!DC65,IF(INDIRECT(ADDRESS(SumRef!EV72,SumRef!EV$16,,,SumRef!$E$7))="","",INDIRECT(ADDRESS(SumRef!EV72,SumRef!EV$16,,,SumRef!$E$7))))</f>
        <v>0</v>
      </c>
      <c r="DA66" s="1373" t="str">
        <f ca="1">IF('A-80 DirEntInv'!DD65&lt;&gt;"",'A-80 DirEntInv'!DD65,IF(INDIRECT(ADDRESS(SumRef!EW72,SumRef!EW$16,,,SumRef!$E$7))="","",INDIRECT(ADDRESS(SumRef!EW72,SumRef!EW$16,,,SumRef!$E$7))))</f>
        <v/>
      </c>
      <c r="DB66" s="1373" t="b">
        <f ca="1">IF('A-80 DirEntInv'!DE65&lt;&gt;"",'A-80 DirEntInv'!DE65,IF(INDIRECT(ADDRESS(SumRef!EX72,SumRef!EX$16,,,SumRef!$E$7))="","",INDIRECT(ADDRESS(SumRef!EX72,SumRef!EX$16,,,SumRef!$E$7))))</f>
        <v>0</v>
      </c>
      <c r="DC66" s="1114" t="b">
        <f ca="1">IF('A-80 DirEntInv'!DF65&lt;&gt;"",'A-80 DirEntInv'!DF65,IF(INDIRECT(ADDRESS(SumRef!EY72,SumRef!EY$16,,,SumRef!$E$7))="","",INDIRECT(ADDRESS(SumRef!EY72,SumRef!EY$16,,,SumRef!$E$7))))</f>
        <v>0</v>
      </c>
      <c r="DD66" s="1115" t="str">
        <f ca="1">IF('A-80 DirEntInv'!DG65&lt;&gt;"",'A-80 DirEntInv'!DG65,IF(INDIRECT(ADDRESS(SumRef!EZ72,SumRef!EZ$16,,,SumRef!$E$7))="","",INDIRECT(ADDRESS(SumRef!EZ72,SumRef!EZ$16,,,SumRef!$E$7))))</f>
        <v/>
      </c>
    </row>
    <row r="67" spans="1:108" s="588" customFormat="1" x14ac:dyDescent="0.2">
      <c r="A67" s="589">
        <f t="shared" si="0"/>
        <v>57</v>
      </c>
      <c r="B67" s="1155" t="str">
        <f ca="1">IF('A-80 DirEntInv'!B66&lt;&gt;"",'A-80 DirEntInv'!B66,IF(INDIRECT(ADDRESS(SumRef!AQ73,SumRef!AQ$16,,,SumRef!$B$7))="","",INDIRECT(ADDRESS(SumRef!AQ73,SumRef!AQ$16,,,SumRef!$B$7))))</f>
        <v/>
      </c>
      <c r="C67" s="1097" t="str">
        <f ca="1">IF('A-80 DirEntInv'!C66&lt;&gt;"",'A-80 DirEntInv'!C66,IF(INDIRECT(ADDRESS(SumRef!AR73,SumRef!AR$16,,,SumRef!$B$7))="","",INDIRECT(ADDRESS(SumRef!AR73,SumRef!AR$16,,,SumRef!$B$7))))</f>
        <v/>
      </c>
      <c r="D67" s="1097" t="str">
        <f ca="1">IF('A-80 DirEntInv'!D66&lt;&gt;"",'A-80 DirEntInv'!D66,IF(INDIRECT(ADDRESS(SumRef!AS73,SumRef!AS$16,,,SumRef!$B$7))="","",INDIRECT(ADDRESS(SumRef!AS73,SumRef!AS$16,,,SumRef!$B$7))))</f>
        <v/>
      </c>
      <c r="E67" s="1097" t="str">
        <f ca="1">IF('A-80 DirEntInv'!E66&lt;&gt;"",'A-80 DirEntInv'!E66,IF(INDIRECT(ADDRESS(SumRef!AT73,SumRef!AT$16,,,SumRef!$B$7))="","",INDIRECT(ADDRESS(SumRef!AT73,SumRef!AT$16,,,SumRef!$B$7))))</f>
        <v/>
      </c>
      <c r="F67" s="1097" t="str">
        <f ca="1">IF('A-80 DirEntInv'!F66&lt;&gt;"",'A-80 DirEntInv'!F66,IF(INDIRECT(ADDRESS(SumRef!AU73,SumRef!AU$16,,,SumRef!$B$7))="","",INDIRECT(ADDRESS(SumRef!AU73,SumRef!AU$16,,,SumRef!$B$7))))</f>
        <v/>
      </c>
      <c r="G67" s="1158" t="str">
        <f ca="1">IF('A-80 DirEntInv'!G66&lt;&gt;"",'A-80 DirEntInv'!G66,IF(INDIRECT(ADDRESS(SumRef!AV73,SumRef!AV$16,,,SumRef!$B$7))="","",INDIRECT(ADDRESS(SumRef!AV73,SumRef!AV$16,,,SumRef!$B$7))))</f>
        <v/>
      </c>
      <c r="H67" s="1097" t="str">
        <f ca="1">IF('A-80 DirEntInv'!H66&lt;&gt;"",'A-80 DirEntInv'!H66,IF(INDIRECT(ADDRESS(SumRef!AW73,SumRef!AW$16,,,SumRef!$B$7))="","",INDIRECT(ADDRESS(SumRef!AW73,SumRef!AW$16,,,SumRef!$B$7))))</f>
        <v/>
      </c>
      <c r="I67" s="1097" t="str">
        <f ca="1">IF('A-80 DirEntInv'!I66&lt;&gt;"",'A-80 DirEntInv'!I66,IF(INDIRECT(ADDRESS(SumRef!AX73,SumRef!AX$16,,,SumRef!$B$7))="","",INDIRECT(ADDRESS(SumRef!AX73,SumRef!AX$16,,,SumRef!$B$7))))</f>
        <v/>
      </c>
      <c r="J67" s="1098" t="str">
        <f ca="1">IF('A-80 DirEntInv'!J66&lt;&gt;"",'A-80 DirEntInv'!J66,IF(INDIRECT(ADDRESS(SumRef!AY73,SumRef!AY$16,,,SumRef!$B$7))="","",INDIRECT(ADDRESS(SumRef!AY73,SumRef!AY$16,,,SumRef!$B$7))))</f>
        <v/>
      </c>
      <c r="K67" s="1099" t="str">
        <f ca="1">IF('A-80 DirEntInv'!K66&lt;&gt;"",'A-80 DirEntInv'!K66,IF(INDIRECT(ADDRESS(SumRef!AZ73,SumRef!AZ$16,,,SumRef!$B$7))="","",INDIRECT(ADDRESS(SumRef!AZ73,SumRef!AZ$16,,,SumRef!$B$7))))</f>
        <v/>
      </c>
      <c r="L67" s="1100" t="str">
        <f ca="1">IF('A-80 DirEntInv'!L66&lt;&gt;"",'A-80 DirEntInv'!L66,IF(INDIRECT(ADDRESS(SumRef!BA73,SumRef!BA$16,,,SumRef!$B$7))="","",INDIRECT(ADDRESS(SumRef!BA73,SumRef!BA$16,,,SumRef!$B$7))))</f>
        <v/>
      </c>
      <c r="M67" s="1101" t="str">
        <f ca="1">IF('A-80 DirEntInv'!M66&lt;&gt;"",'A-80 DirEntInv'!M66,IF(INDIRECT(ADDRESS(SumRef!BB73,SumRef!BB$16,,,SumRef!$B$7))="","",INDIRECT(ADDRESS(SumRef!BB73,SumRef!BB$16,,,SumRef!$B$7))))</f>
        <v/>
      </c>
      <c r="N67" s="1098" t="str">
        <f ca="1">IF('A-80 DirEntInv'!N66&lt;&gt;"",'A-80 DirEntInv'!N66,IF(INDIRECT(ADDRESS(SumRef!BC73,SumRef!BC$16,,,SumRef!$B$7))="","",INDIRECT(ADDRESS(SumRef!BC73,SumRef!BC$16,,,SumRef!$B$7))))</f>
        <v/>
      </c>
      <c r="O67" s="1102" t="str">
        <f ca="1">IF('A-80 DirEntInv'!O66&lt;&gt;"",'A-80 DirEntInv'!O66,IF(INDIRECT(ADDRESS(SumRef!BD73,SumRef!BD$16,,,SumRef!$B$7))="","",INDIRECT(ADDRESS(SumRef!BD73,SumRef!BD$16,,,SumRef!$B$7))))</f>
        <v/>
      </c>
      <c r="Q67" s="589"/>
      <c r="R67" s="1103" t="str">
        <f ca="1">IF('A-80 DirEntInv'!R66&lt;&gt;"",'A-80 DirEntInv'!R66,IF(INDIRECT(ADDRESS(SumRef!BH73,SumRef!BH$16,,,SumRef!$B$8))="","",INDIRECT(ADDRESS(SumRef!BH73,SumRef!BH$16,,,SumRef!$B$8))))</f>
        <v/>
      </c>
      <c r="S67" s="1104" t="str">
        <f ca="1">IF('A-80 DirEntInv'!S66&lt;&gt;"",'A-80 DirEntInv'!S66,IF(INDIRECT(ADDRESS(SumRef!BI73,SumRef!BI$16,,,SumRef!$B$8))="","",INDIRECT(ADDRESS(SumRef!BI73,SumRef!BI$16,,,SumRef!$B$8))))</f>
        <v/>
      </c>
      <c r="T67" s="1104" t="str">
        <f ca="1">IF('A-80 DirEntInv'!T66&lt;&gt;"",'A-80 DirEntInv'!T66,IF(INDIRECT(ADDRESS(SumRef!BJ73,SumRef!BJ$16,,,SumRef!$B$8))="","",INDIRECT(ADDRESS(SumRef!BJ73,SumRef!BJ$16,,,SumRef!$B$8))))</f>
        <v/>
      </c>
      <c r="U67" s="1104" t="str">
        <f ca="1">IF('A-80 DirEntInv'!U66&lt;&gt;"",'A-80 DirEntInv'!U66,IF(INDIRECT(ADDRESS(SumRef!BK73,SumRef!BK$16,,,SumRef!$B$8))="","",INDIRECT(ADDRESS(SumRef!BK73,SumRef!BK$16,,,SumRef!$B$8))))</f>
        <v/>
      </c>
      <c r="V67" s="1104" t="str">
        <f ca="1">IF('A-80 DirEntInv'!V66&lt;&gt;"",'A-80 DirEntInv'!V66,IF(INDIRECT(ADDRESS(SumRef!BL73,SumRef!BL$16,,,SumRef!$B$8))="","",INDIRECT(ADDRESS(SumRef!BL73,SumRef!BL$16,,,SumRef!$B$8))))</f>
        <v/>
      </c>
      <c r="W67" s="1354" t="str">
        <f ca="1">IF('A-80 DirEntInv'!W66&lt;&gt;"",'A-80 DirEntInv'!W66,IF(INDIRECT(ADDRESS(SumRef!BM73,SumRef!BM$16,,,SumRef!$B$8))="","",INDIRECT(ADDRESS(SumRef!BM73,SumRef!BM$16,,,SumRef!$B$8))))</f>
        <v/>
      </c>
      <c r="X67" s="1203" t="str">
        <f ca="1">IF('A-80 DirEntInv'!X66&lt;&gt;"",'A-80 DirEntInv'!X66,IF(INDIRECT(ADDRESS(SumRef!BN73,SumRef!BN$16,,,SumRef!$B$8))="","",INDIRECT(ADDRESS(SumRef!BN73,SumRef!BN$16,,,SumRef!$B$8))))</f>
        <v/>
      </c>
      <c r="Y67" s="1203" t="str">
        <f ca="1">IF('A-80 DirEntInv'!Y66&lt;&gt;"",'A-80 DirEntInv'!Y66,IF(INDIRECT(ADDRESS(SumRef!BO73,SumRef!BO$16,,,SumRef!$B$8))="","",INDIRECT(ADDRESS(SumRef!BO73,SumRef!BO$16,,,SumRef!$B$8))))</f>
        <v/>
      </c>
      <c r="Z67" s="1104" t="str">
        <f ca="1">IF('A-80 DirEntInv'!Z66&lt;&gt;"",'A-80 DirEntInv'!Z66,IF(INDIRECT(ADDRESS(SumRef!BP73,SumRef!BP$16,,,SumRef!$B$8))="","",INDIRECT(ADDRESS(SumRef!BP73,SumRef!BP$16,,,SumRef!$B$8))))</f>
        <v/>
      </c>
      <c r="AA67" s="1104" t="str">
        <f ca="1">IF('A-80 DirEntInv'!AA66&lt;&gt;"",'A-80 DirEntInv'!AA66,IF(INDIRECT(ADDRESS(SumRef!BQ73,SumRef!BQ$16,,,SumRef!$B$8))="","",INDIRECT(ADDRESS(SumRef!BQ73,SumRef!BQ$16,,,SumRef!$B$8))))</f>
        <v/>
      </c>
      <c r="AB67" s="1106" t="str">
        <f ca="1">IF('A-80 DirEntInv'!AB66&lt;&gt;"",'A-80 DirEntInv'!AB66,IF(INDIRECT(ADDRESS(SumRef!BR73,SumRef!BR$16,,,SumRef!$B$8))="","",INDIRECT(ADDRESS(SumRef!BR73,SumRef!BR$16,,,SumRef!$B$8))))</f>
        <v/>
      </c>
      <c r="AC67" s="1107" t="str">
        <f ca="1">IF('A-80 DirEntInv'!AC66&lt;&gt;"",'A-80 DirEntInv'!AC66,IF(INDIRECT(ADDRESS(SumRef!BS73,SumRef!BS$16,,,SumRef!$B$8))="","",INDIRECT(ADDRESS(SumRef!BS73,SumRef!BS$16,,,SumRef!$B$8))))</f>
        <v/>
      </c>
      <c r="AD67" s="1349" t="str">
        <f ca="1">IF('A-80 DirEntInv'!AD66&lt;&gt;"",'A-80 DirEntInv'!AD66,IF(INDIRECT(ADDRESS(SumRef!BT73,SumRef!BT$16,,,SumRef!$B$8))="","",INDIRECT(ADDRESS(SumRef!BT73,SumRef!BT$16,,,SumRef!$B$8))))</f>
        <v/>
      </c>
      <c r="AE67" s="1137" t="str">
        <f ca="1">IF('A-80 DirEntInv'!AE66&lt;&gt;"",'A-80 DirEntInv'!AE66,IF(INDIRECT(ADDRESS(SumRef!BU73,SumRef!BU$16,,,SumRef!$B$8))="","",INDIRECT(ADDRESS(SumRef!BU73,SumRef!BU$16,,,SumRef!$B$8))))</f>
        <v/>
      </c>
      <c r="AF67" s="1346" t="str">
        <f ca="1">IF('A-80 DirEntInv'!AF66&lt;&gt;"",'A-80 DirEntInv'!AF66,IF(INDIRECT(ADDRESS(SumRef!BV73,SumRef!BV$16,,,SumRef!$B$8))="","",INDIRECT(ADDRESS(SumRef!BV73,SumRef!BV$16,,,SumRef!$B$8))))</f>
        <v/>
      </c>
      <c r="AG67" s="1105" t="str">
        <f ca="1">IF('A-80 DirEntInv'!AG66&lt;&gt;"",'A-80 DirEntInv'!AG66,IF(INDIRECT(ADDRESS(SumRef!BW73,SumRef!BW$16,,,SumRef!$B$8))="","",INDIRECT(ADDRESS(SumRef!BW73,SumRef!BW$16,,,SumRef!$B$8))))</f>
        <v/>
      </c>
      <c r="AH67" s="1357" t="str">
        <f ca="1">IF('A-80 DirEntInv'!AH66&lt;&gt;"",'A-80 DirEntInv'!AH66,IF(INDIRECT(ADDRESS(SumRef!BX73,SumRef!BX$16,,,SumRef!$B$8))="","",INDIRECT(ADDRESS(SumRef!BX73,SumRef!BX$16,,,SumRef!$B$8))))</f>
        <v/>
      </c>
      <c r="AK67" s="1043" t="str">
        <f>Codes!$C$160</f>
        <v>CC - Cable Car (PT)</v>
      </c>
      <c r="AL67" s="1303" t="str">
        <f>Valid!$B$71</f>
        <v>At-Grade/Ballast (including expressway)</v>
      </c>
      <c r="AM67" s="1092" t="str">
        <f>IF('A-80 DirEntInv'!AM66&lt;&gt;"",'A-80 DirEntInv'!AM66,IF(AK67=summaryref2!B12,summaryref2!D12,IF(Summary!AK67=summaryref2!B26,summaryref2!D26,IF(AK67=summaryref2!B40,summaryref2!D40,IF(AK67=summaryref2!B54,summaryref2!D54,IF(AK67=summaryref2!B68,summaryref2!D68,IF(AK67=summaryref2!B82,summaryref2!D82,IF(AK67=summaryref2!B96,summaryref2!D96,IF(AK67=summaryref2!B110,summaryref2!D110,IF(AK67=summaryref2!B124,summaryref2!D124,IF(AK67=summaryref2!B138,summaryref2!D138,"")))))))))))</f>
        <v/>
      </c>
      <c r="AN67" s="1127" t="str">
        <f ca="1">IF('A-80 DirEntInv'!AN52&lt;&gt;"",'A-80 DirEntInv'!AN52,IF(INDIRECT(ADDRESS(SumRef!#REF!,SumRef!CG$16,,,SumRef!$C$7))="","",INDIRECT(ADDRESS(SumRef!#REF!,SumRef!CG$16,,,SumRef!$C$7))))</f>
        <v>Linear Feet</v>
      </c>
      <c r="AO67" s="1092" t="str">
        <f>IF('A-80 DirEntInv'!AO66&lt;&gt;"",'A-80 DirEntInv'!AO66,IF(AK67=summaryref2!B12,summaryref2!F12,IF(Summary!AK67=summaryref2!B26,summaryref2!F26,IF(AK67=summaryref2!B40,summaryref2!F40,IF(AK67=summaryref2!B54,summaryref2!F54,IF(AK67=summaryref2!B68,summaryref2!F68,IF(AK67=summaryref2!B82,summaryref2!F82,IF(AK67=summaryref2!B96,summaryref2!F96,IF(AK67=summaryref2!B110,summaryref2!F110,IF(AK67=summaryref2!B124,summaryref2!F124,IF(AK67=summaryref2!B138,summaryref2!F138,"")))))))))))</f>
        <v/>
      </c>
      <c r="AP67" s="1127" t="str">
        <f ca="1">IF('A-80 DirEntInv'!AP52&lt;&gt;"",'A-80 DirEntInv'!AP52,IF(INDIRECT(ADDRESS(SumRef!#REF!,SumRef!#REF!,,,SumRef!$C$7))="","",INDIRECT(ADDRESS(SumRef!#REF!,SumRef!#REF!,,,SumRef!$C$7))))</f>
        <v>Track Feet</v>
      </c>
      <c r="AQ67" s="1146" t="str">
        <f>IF('A-80 DirEntInv'!AQ66&lt;&gt;"",'A-80 DirEntInv'!AQ66,IF(AK67=summaryref2!B12,summaryref2!G12,IF(Summary!AK67=summaryref2!B26,summaryref2!G26,IF(AK67=summaryref2!B40,summaryref2!G40,IF(AK67=summaryref2!B54,summaryref2!G54,IF(AK67=summaryref2!B68,summaryref2!G68,IF(AK67=summaryref2!B82,summaryref2!G82,IF(AK67=summaryref2!B96,summaryref2!G96,IF(AK67=summaryref2!B110,summaryref2!G110,IF(AK67=summaryref2!B124,summaryref2!G124,IF(AK67=summaryref2!B138,summaryref2!G138,"")))))))))))</f>
        <v/>
      </c>
      <c r="AR67" s="1146" t="str">
        <f>IF('A-80 DirEntInv'!AR66&lt;&gt;"",'A-80 DirEntInv'!AR66,IF(AK67=summaryref2!B12,summaryref2!H12,IF(Summary!AK67=summaryref2!B26,summaryref2!H26,IF(AK67=summaryref2!B40,summaryref2!H40,IF(AK67=summaryref2!B54,summaryref2!H54,IF(AK67=summaryref2!B68,summaryref2!H68,IF(AK67=summaryref2!B82,summaryref2!H82,IF(AK67=summaryref2!B96,summaryref2!H96,IF(AK67=summaryref2!B110,summaryref2!H110,IF(AK67=summaryref2!B124,summaryref2!H124,IF(AK67=summaryref2!B138,summaryref2!H138,"")))))))))))</f>
        <v/>
      </c>
      <c r="AS67" s="1092" t="str">
        <f>IF('A-80 DirEntInv'!AS66&lt;&gt;"",'A-80 DirEntInv'!AS66,IF(AK67=summaryref2!B12,summaryref2!I12,IF(Summary!AK67=summaryref2!B26,summaryref2!I26,IF(AK67=summaryref2!B40,summaryref2!I40,IF(AK67=summaryref2!B54,summaryref2!I54,IF(AK67=summaryref2!B68,summaryref2!I68,IF(AK67=summaryref2!B82,summaryref2!I82,IF(AK67=summaryref2!B96,summaryref2!I96,IF(AK67=summaryref2!B110,summaryref2!I110,IF(AK67=summaryref2!B124,summaryref2!I124,IF(AK67=summaryref2!B138,summaryref2!I138,"")))))))))))</f>
        <v/>
      </c>
      <c r="AT67" s="1092" t="str">
        <f>IF('A-80 DirEntInv'!AT66&lt;&gt;"",'A-80 DirEntInv'!AT66,IF(AK67=summaryref2!B12,summaryref2!J12,IF(Summary!AK67=summaryref2!B26,summaryref2!J26,IF(AK67=summaryref2!B40,summaryref2!J40,IF(AK67=summaryref2!B54,summaryref2!J54,IF(AK67=summaryref2!B68,summaryref2!J68,IF(AK67=summaryref2!B82,summaryref2!J82,IF(AK67=summaryref2!B96,summaryref2!J96,IF(AK67=summaryref2!B110,summaryref2!J110,IF(AK67=summaryref2!B124,summaryref2!J124,IF(AK67=summaryref2!B138,summaryref2!J138,"")))))))))))</f>
        <v/>
      </c>
      <c r="AU67" s="1092" t="str">
        <f>IF('A-80 DirEntInv'!AU66&lt;&gt;"",'A-80 DirEntInv'!AU66,IF(AK67=summaryref2!B12,summaryref2!K12,IF(Summary!AK67=summaryref2!B26,summaryref2!K26,IF(AK67=summaryref2!B40,summaryref2!K40,IF(AK67=summaryref2!B54,summaryref2!K54,IF(AK67=summaryref2!B68,summaryref2!K68,IF(AK67=summaryref2!B82,summaryref2!K82,IF(AK67=summaryref2!B96,summaryref2!K96,IF(AK67=summaryref2!B110,summaryref2!K110,IF(AK67=summaryref2!B124,summaryref2!K124,IF(AK67=summaryref2!B138,summaryref2!K138,"")))))))))))</f>
        <v/>
      </c>
      <c r="AV67" s="1092" t="str">
        <f>IF('A-80 DirEntInv'!AV66&lt;&gt;"",'A-80 DirEntInv'!AV66,IF(AK67=summaryref2!B12,summaryref2!L12,IF(Summary!AK67=summaryref2!B26,summaryref2!L26,IF(AK67=summaryref2!B40,summaryref2!L40,IF(AK67=summaryref2!B54,summaryref2!L54,IF(AK67=summaryref2!B68,summaryref2!L68,IF(AK67=summaryref2!B82,summaryref2!L82,IF(AK67=summaryref2!B96,summaryref2!L96,IF(AK67=summaryref2!B110,summaryref2!L110,IF(AK67=summaryref2!B124,summaryref2!L124,IF(AK67=summaryref2!B138,summaryref2!L138,"")))))))))))</f>
        <v/>
      </c>
      <c r="AW67" s="1092" t="str">
        <f>IF('A-80 DirEntInv'!AW66&lt;&gt;"",'A-80 DirEntInv'!AW66,IF($AK67=summaryref2!$B$12,summaryref2!M$12,IF(Summary!$AK67=summaryref2!$B$26,summaryref2!M$26,IF($AK67=summaryref2!$B$40,summaryref2!M$40,IF($AK67=summaryref2!$B$54,summaryref2!M$54,IF($AK67=summaryref2!$B$68,summaryref2!M$68,IF($AK67=summaryref2!$B$82,summaryref2!M$82,IF($AK67=summaryref2!$B$96,summaryref2!M$96,IF($AK67=summaryref2!$B$110,summaryref2!M$110,IF($AK67=summaryref2!$B$124,summaryref2!M$124,IF($AK67=summaryref2!$B$138,summaryref2!M$138,"")))))))))))</f>
        <v/>
      </c>
      <c r="AX67" s="1092" t="str">
        <f>IF('A-80 DirEntInv'!AX66&lt;&gt;"",'A-80 DirEntInv'!AX66,IF(AK67=summaryref2!B12,summaryref2!N12,IF(Summary!AK67=summaryref2!B26,summaryref2!N26,IF(AK67=summaryref2!B40,summaryref2!N40,IF(AK67=summaryref2!B54,summaryref2!N54,IF(AK67=summaryref2!B68,summaryref2!N68,IF(AK67=summaryref2!B82,summaryref2!N82,IF(AK67=summaryref2!B96,summaryref2!N96,IF(AK67=summaryref2!B110,summaryref2!N110,IF(AK67=summaryref2!B124,summaryref2!N124,IF(AK67=summaryref2!B138,summaryref2!N138,"")))))))))))</f>
        <v/>
      </c>
      <c r="AY67" s="1092" t="str">
        <f>IF('A-80 DirEntInv'!AY66&lt;&gt;"",'A-80 DirEntInv'!AY66,IF(AK67=summaryref2!B12,summaryref2!O12,IF(Summary!AK67=summaryref2!B26,summaryref2!O26,IF(AK67=summaryref2!B40,summaryref2!O40,IF(AK67=summaryref2!B54,summaryref2!O54,IF(AK67=summaryref2!B68,summaryref2!O68,IF(AK67=summaryref2!B82,summaryref2!O82,IF(AK67=summaryref2!B96,summaryref2!O96,IF(AK67=summaryref2!B110,summaryref2!O110,IF(AK67=summaryref2!B124,summaryref2!O124,IF(AK67=summaryref2!B138,summaryref2!O138,"")))))))))))</f>
        <v/>
      </c>
      <c r="AZ67" s="1092" t="str">
        <f>IF('A-80 DirEntInv'!AZ66&lt;&gt;"",'A-80 DirEntInv'!AZ66,IF(AK67=summaryref2!B12,summaryref2!P12,IF(Summary!AK67=summaryref2!B26,summaryref2!P26,IF(AK67=summaryref2!B40,summaryref2!P40,IF(AK67=summaryref2!B54,summaryref2!P54,IF(AK67=summaryref2!B68,summaryref2!P68,IF(AK67=summaryref2!B82,summaryref2!P82,IF(AK67=summaryref2!B96,summaryref2!P96,IF(AK67=summaryref2!B110,summaryref2!P110,IF(AK67=summaryref2!B124,summaryref2!P124,IF(AK67=summaryref2!B138,summaryref2!P138,"")))))))))))</f>
        <v/>
      </c>
      <c r="BA67" s="1092" t="str">
        <f>IF('A-80 DirEntInv'!BA66&lt;&gt;"",'A-80 DirEntInv'!BA66,IF(AK67=summaryref2!B12,summaryref2!Q12,IF(Summary!AK67=summaryref2!B26,summaryref2!Q26,IF(AK67=summaryref2!B40,summaryref2!Q40,IF(AK67=summaryref2!B54,summaryref2!Q54,IF(AK67=summaryref2!B68,summaryref2!Q68,IF(AK67=summaryref2!B82,summaryref2!Q82,IF(AK67=summaryref2!B96,summaryref2!Q96,IF(AK67=summaryref2!B110,summaryref2!Q110,IF(AK67=summaryref2!B124,summaryref2!Q124,IF(AK67=summaryref2!B138,summaryref2!Q138,"")))))))))))</f>
        <v/>
      </c>
      <c r="BB67" s="1092" t="str">
        <f>IF('A-80 DirEntInv'!BB66&lt;&gt;"",'A-80 DirEntInv'!BB66,IF(AK67=summaryref2!B12,summaryref2!R12,IF(Summary!AK67=summaryref2!B26,summaryref2!R26,IF(AK67=summaryref2!B40,summaryref2!R40,IF(AK67=summaryref2!B54,summaryref2!R54,IF(AK67=summaryref2!B68,summaryref2!R68,IF(AK67=summaryref2!B82,summaryref2!R82,IF(AK67=summaryref2!B96,summaryref2!R96,IF(AK67=summaryref2!B110,summaryref2!R110,IF(AK67=summaryref2!B124,summaryref2!R124,IF(AK67=summaryref2!B138,summaryref2!R138,"")))))))))))</f>
        <v/>
      </c>
      <c r="BC67" s="1092" t="str">
        <f>IF('A-80 DirEntInv'!BC66&lt;&gt;0,'A-80 DirEntInv'!BC66,IF(AK67=summaryref2!B12,summaryref2!S12,IF(Summary!AK67=summaryref2!B26,summaryref2!S26,IF(AK67=summaryref2!B40,summaryref2!S40,IF(AK67=summaryref2!B54,summaryref2!S54,IF(AK67=summaryref2!B68,summaryref2!S68,IF(AK67=summaryref2!B82,summaryref2!S82,IF(AK67=summaryref2!B96,summaryref2!S96,IF(AK67=summaryref2!B110,summaryref2!S110,IF(AK67=summaryref2!B124,summaryref2!S124,IF(AK67=summaryref2!B138,summaryref2!S138,"")))))))))))</f>
        <v/>
      </c>
      <c r="BD67" s="1093" t="str">
        <f>IF('A-80 DirEntInv'!BD66&lt;&gt;"",'A-80 DirEntInv'!BD66,IF(AK67=summaryref2!B12,summaryref2!T12,IF(Summary!AK67=summaryref2!B26,summaryref2!T26,IF(AK67=summaryref2!B40,summaryref2!T40,IF(AK67=summaryref2!B54,summaryref2!T54,IF(AK67=summaryref2!B68,summaryref2!T68,IF(AK67=summaryref2!B82,summaryref2!T82,IF(AK67=summaryref2!B96,summaryref2!T96,IF(AK67=summaryref2!B110,summaryref2!T110,IF(AK67=summaryref2!B124,summaryref2!T124,IF(AK67=summaryref2!B138,summaryref2!T138,"")))))))))))</f>
        <v/>
      </c>
      <c r="BE67" s="1189" t="str">
        <f>IF('A-80 DirEntInv'!BE66&lt;&gt;"",'A-80 DirEntInv'!BE66,IF(AK67=summaryref2!B12,summaryref2!U12,IF(Summary!AK67=summaryref2!B26,summaryref2!U26,IF(AK67=summaryref2!B40,summaryref2!U40,IF(AK67=summaryref2!B54,summaryref2!U54,IF(AK67=summaryref2!B68,summaryref2!U68,IF(AK67=summaryref2!B82,summaryref2!U82,IF(AK67=summaryref2!B96,summaryref2!U96,IF(AK67=summaryref2!B110,summaryref2!U110,IF(AK67=summaryref2!B124,summaryref2!U124,IF(AK67=summaryref2!B138,summaryref2!U138,"")))))))))))</f>
        <v/>
      </c>
      <c r="BF67" s="1431"/>
      <c r="BG67" s="1431"/>
      <c r="BJ67" s="1043" t="str">
        <f>Codes!$C$164</f>
        <v>HR - Heavy Rail (PT)</v>
      </c>
      <c r="BK67" s="1303" t="str">
        <f>Valid!$B$80</f>
        <v>Tangent</v>
      </c>
      <c r="BL67" s="1366" t="str">
        <f>IF('A-80 DirEntInv'!BL66&lt;&gt;"",'A-80 DirEntInv'!BL66,IF(BJ67=summaryref2!X12,summaryref2!Z12,IF(BJ67=summaryref2!X19,summaryref2!Z19,IF(BJ67=summaryref2!X26,summaryref2!Z26,IF(BJ67=summaryref2!X33,summaryref2!Z33,IF(BJ67=summaryref2!X40,summaryref2!Z40,IF(BJ67=summaryref2!X47,summaryref2!Z47,IF(BJ67=summaryref2!X54,summaryref2!Z54,IF(BJ67=summaryref2!X61,summaryref2!Z61,IF(BJ67=summaryref2!X68,summaryref2!Z68,IF(BJ67=summaryref2!X75,summaryref2!Z75,"")))))))))))</f>
        <v/>
      </c>
      <c r="BM67" s="1303" t="str">
        <f>VLOOKUP(BK67,Valid!$B$80:$C$86,2,FALSE)</f>
        <v>Track Feet</v>
      </c>
      <c r="BN67" s="1208" t="str">
        <f>IF('A-80 DirEntInv'!BN66&lt;&gt;"",'A-80 DirEntInv'!BN66,IF(BJ67=summaryref2!X12,summaryref2!AB12,IF(BJ67=summaryref2!X19,summaryref2!AB19,IF(BJ67=summaryref2!X26,summaryref2!AB26,IF(BJ67=summaryref2!X33,summaryref2!AB33,IF(BJ67=summaryref2!X40,summaryref2!AB40,IF(BJ67=summaryref2!X47,summaryref2!AB47,IF(BJ67=summaryref2!X54,summaryref2!AB54,IF(BJ67=summaryref2!X61,summaryref2!AB61,IF(BJ67=summaryref2!X68,summaryref2!AB68,IF(BJ67=summaryref2!X75,summaryref2!AB75,"")))))))))))</f>
        <v/>
      </c>
      <c r="BO67" s="1112" t="str">
        <f>IF('A-80 DirEntInv'!BO66&lt;&gt;"",'A-80 DirEntInv'!BO66,IF(BJ67=summaryref2!X12,summaryref2!AC12,IF(BJ67=summaryref2!X19,summaryref2!AC19,IF(BJ67=summaryref2!X26,summaryref2!AC26,IF(BJ67=summaryref2!X33,summaryref2!AC33,IF(BJ67=summaryref2!X40,summaryref2!AC40,IF(BJ67=summaryref2!X47,summaryref2!AC47,IF(BJ67=summaryref2!X54,summaryref2!AC54,IF(BJ67=summaryref2!X61,summaryref2!AC61,IF(BJ67=summaryref2!X68,summaryref2!AC68,IF(BJ67=summaryref2!X75,summaryref2!AC75,"")))))))))))</f>
        <v/>
      </c>
      <c r="BP67" s="1320" t="str">
        <f>IF('A-80 DirEntInv'!BP66&lt;&gt;"",'A-80 DirEntInv'!BP66,IF(BJ67=summaryref2!X12,summaryref2!AD12,IF(BJ67=summaryref2!X19,summaryref2!AD19,IF(BJ67=summaryref2!X26,summaryref2!AD26,IF(BJ67=summaryref2!X33,summaryref2!AD33,IF(BJ67=summaryref2!X40,summaryref2!AD40,IF(BJ67=summaryref2!X47,summaryref2!AD47,IF(BJ67=summaryref2!X54,summaryref2!AD54,IF(BJ67=summaryref2!X61,summaryref2!AD61,IF(BJ67=summaryref2!X68,summaryref2!AD68,IF(BJ67=summaryref2!X75,summaryref2!AD75,"")))))))))))</f>
        <v/>
      </c>
      <c r="BS67" s="1472" t="str">
        <f ca="1">IF('A-80 DirEntInv'!BU66&lt;&gt;"",'A-80 DirEntInv'!BU66,IF(INDIRECT(ADDRESS(SumRef!DK73,SumRef!DK$16,,,SumRef!$E$6))="","",INDIRECT(ADDRESS(SumRef!DK73,SumRef!DK$16,,,SumRef!$E$6))))</f>
        <v/>
      </c>
      <c r="BT67" s="1458" t="str">
        <f ca="1">IF('A-80 DirEntInv'!BV66&lt;&gt;"",'A-80 DirEntInv'!BV66,IF(INDIRECT(ADDRESS(SumRef!DL73,SumRef!DL$16,,,SumRef!$E$6))="","",INDIRECT(ADDRESS(SumRef!DL73,SumRef!DL$16,,,SumRef!$E$6))))</f>
        <v/>
      </c>
      <c r="BU67" s="1177" t="str">
        <f ca="1">IF('A-80 DirEntInv'!BW66&lt;&gt;"",'A-80 DirEntInv'!BW66,IF(INDIRECT(ADDRESS(SumRef!DM73,SumRef!DM$16,,,SumRef!$E$6))="","",INDIRECT(ADDRESS(SumRef!DM73,SumRef!DM$16,,,SumRef!$E$6))))</f>
        <v/>
      </c>
      <c r="BV67" s="1460" t="str">
        <f ca="1">IF('A-80 DirEntInv'!BX66&lt;&gt;"",'A-80 DirEntInv'!BX66,IF(INDIRECT(ADDRESS(SumRef!DN73,SumRef!DN$16,,,SumRef!$E$6))="","",INDIRECT(ADDRESS(SumRef!DN73,SumRef!DN$16,,,SumRef!$E$6))))</f>
        <v/>
      </c>
      <c r="BW67" s="1460" t="str">
        <f ca="1">IF('A-80 DirEntInv'!BY66&lt;&gt;"",'A-80 DirEntInv'!BY66,IF(INDIRECT(ADDRESS(SumRef!DO73,SumRef!DO$16,,,SumRef!$E$6))="","",INDIRECT(ADDRESS(SumRef!DO73,SumRef!DO$16,,,SumRef!$E$6))))</f>
        <v/>
      </c>
      <c r="BX67" s="1116" t="str">
        <f ca="1">IF('A-80 DirEntInv'!BZ66&lt;&gt;"",'A-80 DirEntInv'!BZ66,IF(INDIRECT(ADDRESS(SumRef!DP73,SumRef!DP$16,,,SumRef!$E$6))="","",INDIRECT(ADDRESS(SumRef!DP73,SumRef!DP$16,,,SumRef!$E$6))))</f>
        <v/>
      </c>
      <c r="BY67" s="1461" t="str">
        <f ca="1">IF('A-80 DirEntInv'!CA66&lt;&gt;"",'A-80 DirEntInv'!CA66,IF(INDIRECT(ADDRESS(SumRef!DQ73,SumRef!DQ$16,,,SumRef!$E$6))="","",INDIRECT(ADDRESS(SumRef!DQ73,SumRef!DQ$16,,,SumRef!$E$6))))</f>
        <v/>
      </c>
      <c r="BZ67" s="1460" t="str">
        <f ca="1">IF('A-80 DirEntInv'!CB66&lt;&gt;"",'A-80 DirEntInv'!CB66,IF(INDIRECT(ADDRESS(SumRef!DR73,SumRef!DR$16,,,SumRef!$E$6))="","",INDIRECT(ADDRESS(SumRef!DR73,SumRef!DR$16,,,SumRef!$E$6))))</f>
        <v/>
      </c>
      <c r="CA67" s="1462" t="str">
        <f ca="1">IF('A-80 DirEntInv'!CC66&lt;&gt;"",'A-80 DirEntInv'!CC66,IF(INDIRECT(ADDRESS(SumRef!DS73,SumRef!DS$16,,,SumRef!$E$6))="","",INDIRECT(ADDRESS(SumRef!DS73,SumRef!DS$16,,,SumRef!$E$6))))</f>
        <v/>
      </c>
      <c r="CD67" s="1160" t="str">
        <f ca="1">IF('A-80 DirEntInv'!CF66&lt;&gt;"",'A-80 DirEntInv'!CF66,IF(INDIRECT(ADDRESS(SumRef!DV73,SumRef!DV$16,,,SumRef!$E$7))="","",INDIRECT(ADDRESS(SumRef!DV73,SumRef!DV$16,,,SumRef!$E$7))))</f>
        <v/>
      </c>
      <c r="CE67" s="1167" t="str">
        <f ca="1">IF('A-80 DirEntInv'!CG66&lt;&gt;"",'A-80 DirEntInv'!CG66,IF(INDIRECT(ADDRESS(SumRef!DW73,SumRef!DW$16,,,SumRef!$E$7))="","",INDIRECT(ADDRESS(SumRef!DW73,SumRef!DW$16,,,SumRef!$E$7))))</f>
        <v/>
      </c>
      <c r="CF67" s="1167" t="str">
        <f ca="1">IF('A-80 DirEntInv'!CH66&lt;&gt;"",'A-80 DirEntInv'!CH66,IF(INDIRECT(ADDRESS(SumRef!DX73,SumRef!DX$16,,,SumRef!$E$7))="","",INDIRECT(ADDRESS(SumRef!DX73,SumRef!DX$16,,,SumRef!$E$7))))</f>
        <v/>
      </c>
      <c r="CG67" s="1167" t="str">
        <f ca="1">IF('A-80 DirEntInv'!CI66&lt;&gt;"",'A-80 DirEntInv'!CI66,IF(INDIRECT(ADDRESS(SumRef!DY73,SumRef!DY$16,,,SumRef!$E$7))="","",INDIRECT(ADDRESS(SumRef!DY73,SumRef!DY$16,,,SumRef!$E$7))))</f>
        <v/>
      </c>
      <c r="CH67" s="1167" t="str">
        <f ca="1">IF('A-80 DirEntInv'!CJ66&lt;&gt;"",'A-80 DirEntInv'!CJ66,IF(INDIRECT(ADDRESS(SumRef!DZ73,SumRef!DZ$16,,,SumRef!$E$7))="","",INDIRECT(ADDRESS(SumRef!DZ73,SumRef!DZ$16,,,SumRef!$E$7))))</f>
        <v/>
      </c>
      <c r="CI67" s="1167" t="str">
        <f ca="1">IF('A-80 DirEntInv'!CK66&lt;&gt;"",'A-80 DirEntInv'!CK66,IF(INDIRECT(ADDRESS(SumRef!EA73,SumRef!EA$16,,,SumRef!$E$7))="","",INDIRECT(ADDRESS(SumRef!EA73,SumRef!EA$16,,,SumRef!$E$7))))</f>
        <v/>
      </c>
      <c r="CJ67" s="1114" t="str">
        <f ca="1">IF('A-80 DirEntInv'!CL66&lt;&gt;"",'A-80 DirEntInv'!CL66,IF(INDIRECT(ADDRESS(SumRef!EB73,SumRef!EB$16,,,SumRef!$E$7))="","",INDIRECT(ADDRESS(SumRef!EB73,SumRef!EB$16,,,SumRef!$E$7))))</f>
        <v/>
      </c>
      <c r="CK67" s="1114" t="str">
        <f ca="1">IF('A-80 DirEntInv'!CM66&lt;&gt;"",'A-80 DirEntInv'!CM66,IF(INDIRECT(ADDRESS(SumRef!EC73,SumRef!EC$16,,,SumRef!$E$7))="","",INDIRECT(ADDRESS(SumRef!EC73,SumRef!EC$16,,,SumRef!$E$7))))</f>
        <v/>
      </c>
      <c r="CL67" s="1113" t="str">
        <f ca="1">IF('A-80 DirEntInv'!CO66&lt;&gt;"",'A-80 DirEntInv'!CO66,IF(INDIRECT(ADDRESS(SumRef!ED73,SumRef!ED$16,,,SumRef!$E$7))="","",INDIRECT(ADDRESS(SumRef!ED73,SumRef!ED$16,,,SumRef!$E$7))))</f>
        <v/>
      </c>
      <c r="CM67" s="1114" t="str">
        <f ca="1">IF('A-80 DirEntInv'!CP66&lt;&gt;"",'A-80 DirEntInv'!CP66,IF(INDIRECT(ADDRESS(SumRef!EE73,SumRef!EE$16,,,SumRef!$E$7))="","",INDIRECT(ADDRESS(SumRef!EE73,SumRef!EE$16,,,SumRef!$E$7))))</f>
        <v/>
      </c>
      <c r="CN67" s="1114" t="str">
        <f ca="1">IF('A-80 DirEntInv'!CQ66&lt;&gt;"",'A-80 DirEntInv'!CQ66,IF(INDIRECT(ADDRESS(SumRef!EF73,SumRef!EF$16,,,SumRef!$E$7))="","",INDIRECT(ADDRESS(SumRef!EF73,SumRef!EF$16,,,SumRef!$E$7))))</f>
        <v/>
      </c>
      <c r="CO67" s="1113" t="str">
        <f ca="1">IF('A-80 DirEntInv'!CR66&lt;&gt;"",'A-80 DirEntInv'!CR66,IF(INDIRECT(ADDRESS(SumRef!EG73,SumRef!EG$16,,,SumRef!$E$7))="","",INDIRECT(ADDRESS(SumRef!EG73,SumRef!EG$16,,,SumRef!$E$7))))</f>
        <v/>
      </c>
      <c r="CP67" s="1114" t="str">
        <f ca="1">IF('A-80 DirEntInv'!CS66&lt;&gt;"",'A-80 DirEntInv'!CS66,IF(INDIRECT(ADDRESS(SumRef!EH73,SumRef!EH$16,,,SumRef!$E$7))="","",INDIRECT(ADDRESS(SumRef!EH73,SumRef!EH$16,,,SumRef!$E$7))))</f>
        <v/>
      </c>
      <c r="CQ67" s="1346" t="str">
        <f ca="1">IF('A-80 DirEntInv'!CT66&lt;&gt;"",'A-80 DirEntInv'!CT66,IF(INDIRECT(ADDRESS(SumRef!EI73,SumRef!EI$16,,,SumRef!$E$7))="","",INDIRECT(ADDRESS(SumRef!EI73,SumRef!EI$16,,,SumRef!$E$7))))</f>
        <v/>
      </c>
      <c r="CR67" s="1113" t="str">
        <f ca="1">IF('A-80 DirEntInv'!CU66&lt;&gt;"",'A-80 DirEntInv'!CU66,IF(INDIRECT(ADDRESS(SumRef!EJ73,SumRef!EJ$16,,,SumRef!$E$7))="","",INDIRECT(ADDRESS(SumRef!EJ73,SumRef!EJ$16,,,SumRef!$E$7))))</f>
        <v/>
      </c>
      <c r="CS67" s="1346" t="str">
        <f ca="1">IF('A-80 DirEntInv'!CV66&lt;&gt;"",'A-80 DirEntInv'!CV66,IF(INDIRECT(ADDRESS(SumRef!EM73,SumRef!EM$16,,,SumRef!$E$7))="","",INDIRECT(ADDRESS(SumRef!EM73,SumRef!EM$16,,,SumRef!$E$7))))</f>
        <v/>
      </c>
      <c r="CT67" s="1113" t="str">
        <f ca="1">IF('A-80 DirEntInv'!CW66&lt;&gt;"",'A-80 DirEntInv'!CW66,IF(INDIRECT(ADDRESS(SumRef!EN73,SumRef!EN$16,,,SumRef!$E$7))="","",INDIRECT(ADDRESS(SumRef!EN73,SumRef!EN$16,,,SumRef!$E$7))))</f>
        <v/>
      </c>
      <c r="CU67" s="1113" t="str">
        <f ca="1">IF('A-80 DirEntInv'!CX66&lt;&gt;"",'A-80 DirEntInv'!CX66,IF(INDIRECT(ADDRESS(SumRef!EO73,SumRef!EO$16,,,SumRef!$E$7))="","",INDIRECT(ADDRESS(SumRef!EO73,SumRef!EO$16,,,SumRef!$E$7))))</f>
        <v/>
      </c>
      <c r="CV67" s="1113" t="str">
        <f ca="1">IF('A-80 DirEntInv'!CY66&lt;&gt;"",'A-80 DirEntInv'!CY66,IF(INDIRECT(ADDRESS(SumRef!EP73,SumRef!EP$16,,,SumRef!$E$7))="","",INDIRECT(ADDRESS(SumRef!EP73,SumRef!EP$16,,,SumRef!$E$7))))</f>
        <v/>
      </c>
      <c r="CW67" s="1114" t="str">
        <f ca="1">IF('A-80 DirEntInv'!CZ66&lt;&gt;"",'A-80 DirEntInv'!CZ66,IF(INDIRECT(ADDRESS(SumRef!ES73,SumRef!ES$16,,,SumRef!$E$7))="","",INDIRECT(ADDRESS(SumRef!ES73,SumRef!ES$16,,,SumRef!$E$7))))</f>
        <v/>
      </c>
      <c r="CX67" s="1167" t="str">
        <f ca="1">IF('A-80 DirEntInv'!DA66&lt;&gt;"",'A-80 DirEntInv'!DA66,IF(INDIRECT(ADDRESS(SumRef!ET73,SumRef!ET$16,,,SumRef!$E$7))="","",INDIRECT(ADDRESS(SumRef!ET73,SumRef!ET$16,,,SumRef!$E$7))))</f>
        <v/>
      </c>
      <c r="CY67" s="1167" t="str">
        <f ca="1">IF('A-80 DirEntInv'!DB66&lt;&gt;"",'A-80 DirEntInv'!DB66,IF(INDIRECT(ADDRESS(SumRef!EU73,SumRef!EU$16,,,SumRef!$E$7))="","",INDIRECT(ADDRESS(SumRef!EU73,SumRef!EU$16,,,SumRef!$E$7))))</f>
        <v/>
      </c>
      <c r="CZ67" s="1167" t="b">
        <f ca="1">IF('A-80 DirEntInv'!DC66&lt;&gt;"",'A-80 DirEntInv'!DC66,IF(INDIRECT(ADDRESS(SumRef!EV73,SumRef!EV$16,,,SumRef!$E$7))="","",INDIRECT(ADDRESS(SumRef!EV73,SumRef!EV$16,,,SumRef!$E$7))))</f>
        <v>0</v>
      </c>
      <c r="DA67" s="1373" t="str">
        <f ca="1">IF('A-80 DirEntInv'!DD66&lt;&gt;"",'A-80 DirEntInv'!DD66,IF(INDIRECT(ADDRESS(SumRef!EW73,SumRef!EW$16,,,SumRef!$E$7))="","",INDIRECT(ADDRESS(SumRef!EW73,SumRef!EW$16,,,SumRef!$E$7))))</f>
        <v/>
      </c>
      <c r="DB67" s="1373" t="b">
        <f ca="1">IF('A-80 DirEntInv'!DE66&lt;&gt;"",'A-80 DirEntInv'!DE66,IF(INDIRECT(ADDRESS(SumRef!EX73,SumRef!EX$16,,,SumRef!$E$7))="","",INDIRECT(ADDRESS(SumRef!EX73,SumRef!EX$16,,,SumRef!$E$7))))</f>
        <v>0</v>
      </c>
      <c r="DC67" s="1114" t="b">
        <f ca="1">IF('A-80 DirEntInv'!DF66&lt;&gt;"",'A-80 DirEntInv'!DF66,IF(INDIRECT(ADDRESS(SumRef!EY73,SumRef!EY$16,,,SumRef!$E$7))="","",INDIRECT(ADDRESS(SumRef!EY73,SumRef!EY$16,,,SumRef!$E$7))))</f>
        <v>0</v>
      </c>
      <c r="DD67" s="1115" t="str">
        <f ca="1">IF('A-80 DirEntInv'!DG66&lt;&gt;"",'A-80 DirEntInv'!DG66,IF(INDIRECT(ADDRESS(SumRef!EZ73,SumRef!EZ$16,,,SumRef!$E$7))="","",INDIRECT(ADDRESS(SumRef!EZ73,SumRef!EZ$16,,,SumRef!$E$7))))</f>
        <v/>
      </c>
    </row>
    <row r="68" spans="1:108" s="588" customFormat="1" ht="13.5" thickBot="1" x14ac:dyDescent="0.25">
      <c r="A68" s="589">
        <f t="shared" si="0"/>
        <v>58</v>
      </c>
      <c r="B68" s="1155" t="str">
        <f ca="1">IF('A-80 DirEntInv'!B67&lt;&gt;"",'A-80 DirEntInv'!B67,IF(INDIRECT(ADDRESS(SumRef!AQ74,SumRef!AQ$16,,,SumRef!$B$7))="","",INDIRECT(ADDRESS(SumRef!AQ74,SumRef!AQ$16,,,SumRef!$B$7))))</f>
        <v/>
      </c>
      <c r="C68" s="1097" t="str">
        <f ca="1">IF('A-80 DirEntInv'!C67&lt;&gt;"",'A-80 DirEntInv'!C67,IF(INDIRECT(ADDRESS(SumRef!AR74,SumRef!AR$16,,,SumRef!$B$7))="","",INDIRECT(ADDRESS(SumRef!AR74,SumRef!AR$16,,,SumRef!$B$7))))</f>
        <v/>
      </c>
      <c r="D68" s="1097" t="str">
        <f ca="1">IF('A-80 DirEntInv'!D67&lt;&gt;"",'A-80 DirEntInv'!D67,IF(INDIRECT(ADDRESS(SumRef!AS74,SumRef!AS$16,,,SumRef!$B$7))="","",INDIRECT(ADDRESS(SumRef!AS74,SumRef!AS$16,,,SumRef!$B$7))))</f>
        <v/>
      </c>
      <c r="E68" s="1097" t="str">
        <f ca="1">IF('A-80 DirEntInv'!E67&lt;&gt;"",'A-80 DirEntInv'!E67,IF(INDIRECT(ADDRESS(SumRef!AT74,SumRef!AT$16,,,SumRef!$B$7))="","",INDIRECT(ADDRESS(SumRef!AT74,SumRef!AT$16,,,SumRef!$B$7))))</f>
        <v/>
      </c>
      <c r="F68" s="1097" t="str">
        <f ca="1">IF('A-80 DirEntInv'!F67&lt;&gt;"",'A-80 DirEntInv'!F67,IF(INDIRECT(ADDRESS(SumRef!AU74,SumRef!AU$16,,,SumRef!$B$7))="","",INDIRECT(ADDRESS(SumRef!AU74,SumRef!AU$16,,,SumRef!$B$7))))</f>
        <v/>
      </c>
      <c r="G68" s="1158" t="str">
        <f ca="1">IF('A-80 DirEntInv'!G67&lt;&gt;"",'A-80 DirEntInv'!G67,IF(INDIRECT(ADDRESS(SumRef!AV74,SumRef!AV$16,,,SumRef!$B$7))="","",INDIRECT(ADDRESS(SumRef!AV74,SumRef!AV$16,,,SumRef!$B$7))))</f>
        <v/>
      </c>
      <c r="H68" s="1097" t="str">
        <f ca="1">IF('A-80 DirEntInv'!H67&lt;&gt;"",'A-80 DirEntInv'!H67,IF(INDIRECT(ADDRESS(SumRef!AW74,SumRef!AW$16,,,SumRef!$B$7))="","",INDIRECT(ADDRESS(SumRef!AW74,SumRef!AW$16,,,SumRef!$B$7))))</f>
        <v/>
      </c>
      <c r="I68" s="1097" t="str">
        <f ca="1">IF('A-80 DirEntInv'!I67&lt;&gt;"",'A-80 DirEntInv'!I67,IF(INDIRECT(ADDRESS(SumRef!AX74,SumRef!AX$16,,,SumRef!$B$7))="","",INDIRECT(ADDRESS(SumRef!AX74,SumRef!AX$16,,,SumRef!$B$7))))</f>
        <v/>
      </c>
      <c r="J68" s="1098" t="str">
        <f ca="1">IF('A-80 DirEntInv'!J67&lt;&gt;"",'A-80 DirEntInv'!J67,IF(INDIRECT(ADDRESS(SumRef!AY74,SumRef!AY$16,,,SumRef!$B$7))="","",INDIRECT(ADDRESS(SumRef!AY74,SumRef!AY$16,,,SumRef!$B$7))))</f>
        <v/>
      </c>
      <c r="K68" s="1099" t="str">
        <f ca="1">IF('A-80 DirEntInv'!K67&lt;&gt;"",'A-80 DirEntInv'!K67,IF(INDIRECT(ADDRESS(SumRef!AZ74,SumRef!AZ$16,,,SumRef!$B$7))="","",INDIRECT(ADDRESS(SumRef!AZ74,SumRef!AZ$16,,,SumRef!$B$7))))</f>
        <v/>
      </c>
      <c r="L68" s="1100" t="str">
        <f ca="1">IF('A-80 DirEntInv'!L67&lt;&gt;"",'A-80 DirEntInv'!L67,IF(INDIRECT(ADDRESS(SumRef!BA74,SumRef!BA$16,,,SumRef!$B$7))="","",INDIRECT(ADDRESS(SumRef!BA74,SumRef!BA$16,,,SumRef!$B$7))))</f>
        <v/>
      </c>
      <c r="M68" s="1101" t="str">
        <f ca="1">IF('A-80 DirEntInv'!M67&lt;&gt;"",'A-80 DirEntInv'!M67,IF(INDIRECT(ADDRESS(SumRef!BB74,SumRef!BB$16,,,SumRef!$B$7))="","",INDIRECT(ADDRESS(SumRef!BB74,SumRef!BB$16,,,SumRef!$B$7))))</f>
        <v/>
      </c>
      <c r="N68" s="1098" t="str">
        <f ca="1">IF('A-80 DirEntInv'!N67&lt;&gt;"",'A-80 DirEntInv'!N67,IF(INDIRECT(ADDRESS(SumRef!BC74,SumRef!BC$16,,,SumRef!$B$7))="","",INDIRECT(ADDRESS(SumRef!BC74,SumRef!BC$16,,,SumRef!$B$7))))</f>
        <v/>
      </c>
      <c r="O68" s="1102" t="str">
        <f ca="1">IF('A-80 DirEntInv'!O67&lt;&gt;"",'A-80 DirEntInv'!O67,IF(INDIRECT(ADDRESS(SumRef!BD74,SumRef!BD$16,,,SumRef!$B$7))="","",INDIRECT(ADDRESS(SumRef!BD74,SumRef!BD$16,,,SumRef!$B$7))))</f>
        <v/>
      </c>
      <c r="Q68" s="589"/>
      <c r="R68" s="1103" t="str">
        <f ca="1">IF('A-80 DirEntInv'!R67&lt;&gt;"",'A-80 DirEntInv'!R67,IF(INDIRECT(ADDRESS(SumRef!BH74,SumRef!BH$16,,,SumRef!$B$8))="","",INDIRECT(ADDRESS(SumRef!BH74,SumRef!BH$16,,,SumRef!$B$8))))</f>
        <v/>
      </c>
      <c r="S68" s="1104" t="str">
        <f ca="1">IF('A-80 DirEntInv'!S67&lt;&gt;"",'A-80 DirEntInv'!S67,IF(INDIRECT(ADDRESS(SumRef!BI74,SumRef!BI$16,,,SumRef!$B$8))="","",INDIRECT(ADDRESS(SumRef!BI74,SumRef!BI$16,,,SumRef!$B$8))))</f>
        <v/>
      </c>
      <c r="T68" s="1104" t="str">
        <f ca="1">IF('A-80 DirEntInv'!T67&lt;&gt;"",'A-80 DirEntInv'!T67,IF(INDIRECT(ADDRESS(SumRef!BJ74,SumRef!BJ$16,,,SumRef!$B$8))="","",INDIRECT(ADDRESS(SumRef!BJ74,SumRef!BJ$16,,,SumRef!$B$8))))</f>
        <v/>
      </c>
      <c r="U68" s="1104" t="str">
        <f ca="1">IF('A-80 DirEntInv'!U67&lt;&gt;"",'A-80 DirEntInv'!U67,IF(INDIRECT(ADDRESS(SumRef!BK74,SumRef!BK$16,,,SumRef!$B$8))="","",INDIRECT(ADDRESS(SumRef!BK74,SumRef!BK$16,,,SumRef!$B$8))))</f>
        <v/>
      </c>
      <c r="V68" s="1104" t="str">
        <f ca="1">IF('A-80 DirEntInv'!V67&lt;&gt;"",'A-80 DirEntInv'!V67,IF(INDIRECT(ADDRESS(SumRef!BL74,SumRef!BL$16,,,SumRef!$B$8))="","",INDIRECT(ADDRESS(SumRef!BL74,SumRef!BL$16,,,SumRef!$B$8))))</f>
        <v/>
      </c>
      <c r="W68" s="1354" t="str">
        <f ca="1">IF('A-80 DirEntInv'!W67&lt;&gt;"",'A-80 DirEntInv'!W67,IF(INDIRECT(ADDRESS(SumRef!BM74,SumRef!BM$16,,,SumRef!$B$8))="","",INDIRECT(ADDRESS(SumRef!BM74,SumRef!BM$16,,,SumRef!$B$8))))</f>
        <v/>
      </c>
      <c r="X68" s="1203" t="str">
        <f ca="1">IF('A-80 DirEntInv'!X67&lt;&gt;"",'A-80 DirEntInv'!X67,IF(INDIRECT(ADDRESS(SumRef!BN74,SumRef!BN$16,,,SumRef!$B$8))="","",INDIRECT(ADDRESS(SumRef!BN74,SumRef!BN$16,,,SumRef!$B$8))))</f>
        <v/>
      </c>
      <c r="Y68" s="1203" t="str">
        <f ca="1">IF('A-80 DirEntInv'!Y67&lt;&gt;"",'A-80 DirEntInv'!Y67,IF(INDIRECT(ADDRESS(SumRef!BO74,SumRef!BO$16,,,SumRef!$B$8))="","",INDIRECT(ADDRESS(SumRef!BO74,SumRef!BO$16,,,SumRef!$B$8))))</f>
        <v/>
      </c>
      <c r="Z68" s="1104" t="str">
        <f ca="1">IF('A-80 DirEntInv'!Z67&lt;&gt;"",'A-80 DirEntInv'!Z67,IF(INDIRECT(ADDRESS(SumRef!BP74,SumRef!BP$16,,,SumRef!$B$8))="","",INDIRECT(ADDRESS(SumRef!BP74,SumRef!BP$16,,,SumRef!$B$8))))</f>
        <v/>
      </c>
      <c r="AA68" s="1104" t="str">
        <f ca="1">IF('A-80 DirEntInv'!AA67&lt;&gt;"",'A-80 DirEntInv'!AA67,IF(INDIRECT(ADDRESS(SumRef!BQ74,SumRef!BQ$16,,,SumRef!$B$8))="","",INDIRECT(ADDRESS(SumRef!BQ74,SumRef!BQ$16,,,SumRef!$B$8))))</f>
        <v/>
      </c>
      <c r="AB68" s="1106" t="str">
        <f ca="1">IF('A-80 DirEntInv'!AB67&lt;&gt;"",'A-80 DirEntInv'!AB67,IF(INDIRECT(ADDRESS(SumRef!BR74,SumRef!BR$16,,,SumRef!$B$8))="","",INDIRECT(ADDRESS(SumRef!BR74,SumRef!BR$16,,,SumRef!$B$8))))</f>
        <v/>
      </c>
      <c r="AC68" s="1107" t="str">
        <f ca="1">IF('A-80 DirEntInv'!AC67&lt;&gt;"",'A-80 DirEntInv'!AC67,IF(INDIRECT(ADDRESS(SumRef!BS74,SumRef!BS$16,,,SumRef!$B$8))="","",INDIRECT(ADDRESS(SumRef!BS74,SumRef!BS$16,,,SumRef!$B$8))))</f>
        <v/>
      </c>
      <c r="AD68" s="1349" t="str">
        <f ca="1">IF('A-80 DirEntInv'!AD67&lt;&gt;"",'A-80 DirEntInv'!AD67,IF(INDIRECT(ADDRESS(SumRef!BT74,SumRef!BT$16,,,SumRef!$B$8))="","",INDIRECT(ADDRESS(SumRef!BT74,SumRef!BT$16,,,SumRef!$B$8))))</f>
        <v/>
      </c>
      <c r="AE68" s="1137" t="str">
        <f ca="1">IF('A-80 DirEntInv'!AE67&lt;&gt;"",'A-80 DirEntInv'!AE67,IF(INDIRECT(ADDRESS(SumRef!BU74,SumRef!BU$16,,,SumRef!$B$8))="","",INDIRECT(ADDRESS(SumRef!BU74,SumRef!BU$16,,,SumRef!$B$8))))</f>
        <v/>
      </c>
      <c r="AF68" s="1346" t="str">
        <f ca="1">IF('A-80 DirEntInv'!AF67&lt;&gt;"",'A-80 DirEntInv'!AF67,IF(INDIRECT(ADDRESS(SumRef!BV74,SumRef!BV$16,,,SumRef!$B$8))="","",INDIRECT(ADDRESS(SumRef!BV74,SumRef!BV$16,,,SumRef!$B$8))))</f>
        <v/>
      </c>
      <c r="AG68" s="1105" t="str">
        <f ca="1">IF('A-80 DirEntInv'!AG67&lt;&gt;"",'A-80 DirEntInv'!AG67,IF(INDIRECT(ADDRESS(SumRef!BW74,SumRef!BW$16,,,SumRef!$B$8))="","",INDIRECT(ADDRESS(SumRef!BW74,SumRef!BW$16,,,SumRef!$B$8))))</f>
        <v/>
      </c>
      <c r="AH68" s="1357" t="str">
        <f ca="1">IF('A-80 DirEntInv'!AH67&lt;&gt;"",'A-80 DirEntInv'!AH67,IF(INDIRECT(ADDRESS(SumRef!BX74,SumRef!BX$16,,,SumRef!$B$8))="","",INDIRECT(ADDRESS(SumRef!BX74,SumRef!BX$16,,,SumRef!$B$8))))</f>
        <v/>
      </c>
      <c r="AK68" s="1041" t="str">
        <f>Codes!$C$160</f>
        <v>CC - Cable Car (PT)</v>
      </c>
      <c r="AL68" s="1042" t="str">
        <f>Valid!$B$72</f>
        <v>At-Grade/In-Street/Embedded</v>
      </c>
      <c r="AM68" s="1108" t="str">
        <f>IF('A-80 DirEntInv'!AM67&lt;&gt;"",'A-80 DirEntInv'!AM67,IF(AK68=summaryref2!B13,summaryref2!D13,IF(Summary!AK68=summaryref2!B27,summaryref2!D27,IF(AK68=summaryref2!B41,summaryref2!D41,IF(AK68=summaryref2!B55,summaryref2!D55,IF(AK68=summaryref2!B69,summaryref2!D69,IF(AK68=summaryref2!B83,summaryref2!D83,IF(AK68=summaryref2!B97,summaryref2!D97,IF(AK68=summaryref2!B111,summaryref2!D111,IF(AK68=summaryref2!B125,summaryref2!D125,IF(AK68=summaryref2!B139,summaryref2!D139,"")))))))))))</f>
        <v/>
      </c>
      <c r="AN68" s="1109" t="str">
        <f ca="1">IF('A-80 DirEntInv'!AN53&lt;&gt;"",'A-80 DirEntInv'!AN53,IF(INDIRECT(ADDRESS(SumRef!CG69,SumRef!CG$16,,,SumRef!$C$7))="","",INDIRECT(ADDRESS(SumRef!CG69,SumRef!CG$16,,,SumRef!$C$7))))</f>
        <v>Linear Feet</v>
      </c>
      <c r="AO68" s="1108" t="str">
        <f>IF('A-80 DirEntInv'!AO67&lt;&gt;"",'A-80 DirEntInv'!AO67,IF(AK68=summaryref2!B13,summaryref2!F13,IF(Summary!AK68=summaryref2!B27,summaryref2!F27,IF(AK68=summaryref2!B41,summaryref2!F41,IF(AK68=summaryref2!B55,summaryref2!F55,IF(AK68=summaryref2!B69,summaryref2!F69,IF(AK68=summaryref2!B83,summaryref2!F83,IF(AK68=summaryref2!B97,summaryref2!F97,IF(AK68=summaryref2!B111,summaryref2!F111,IF(AK68=summaryref2!B125,summaryref2!F125,IF(AK68=summaryref2!B139,summaryref2!F139,"")))))))))))</f>
        <v/>
      </c>
      <c r="AP68" s="1109" t="str">
        <f ca="1">IF('A-80 DirEntInv'!AP53&lt;&gt;"",'A-80 DirEntInv'!AP53,IF(INDIRECT(ADDRESS(SumRef!#REF!,SumRef!#REF!,,,SumRef!$C$7))="","",INDIRECT(ADDRESS(SumRef!#REF!,SumRef!#REF!,,,SumRef!$C$7))))</f>
        <v>Track Feet</v>
      </c>
      <c r="AQ68" s="1147" t="str">
        <f>IF('A-80 DirEntInv'!AQ67&lt;&gt;"",'A-80 DirEntInv'!AQ67,IF(AK68=summaryref2!B13,summaryref2!G13,IF(Summary!AK68=summaryref2!B27,summaryref2!G27,IF(AK68=summaryref2!B41,summaryref2!G41,IF(AK68=summaryref2!B55,summaryref2!G55,IF(AK68=summaryref2!B69,summaryref2!G69,IF(AK68=summaryref2!B83,summaryref2!G83,IF(AK68=summaryref2!B97,summaryref2!G97,IF(AK68=summaryref2!B111,summaryref2!G111,IF(AK68=summaryref2!B125,summaryref2!G125,IF(AK68=summaryref2!B139,summaryref2!G139,"")))))))))))</f>
        <v/>
      </c>
      <c r="AR68" s="1147" t="str">
        <f>IF('A-80 DirEntInv'!AR67&lt;&gt;"",'A-80 DirEntInv'!AR67,IF(AK68=summaryref2!B13,summaryref2!H13,IF(Summary!AK68=summaryref2!B27,summaryref2!H27,IF(AK68=summaryref2!B41,summaryref2!H41,IF(AK68=summaryref2!B55,summaryref2!H55,IF(AK68=summaryref2!B69,summaryref2!H69,IF(AK68=summaryref2!B83,summaryref2!H83,IF(AK68=summaryref2!B97,summaryref2!H97,IF(AK68=summaryref2!B111,summaryref2!H111,IF(AK68=summaryref2!B125,summaryref2!H125,IF(AK68=summaryref2!B139,summaryref2!H139,"")))))))))))</f>
        <v/>
      </c>
      <c r="AS68" s="1110" t="str">
        <f>IF('A-80 DirEntInv'!AS67&lt;&gt;"",'A-80 DirEntInv'!AS67,IF(AK68=summaryref2!B13,summaryref2!I13,IF(Summary!AK68=summaryref2!B27,summaryref2!I27,IF(AK68=summaryref2!B41,summaryref2!I41,IF(AK68=summaryref2!B55,summaryref2!I55,IF(AK68=summaryref2!B69,summaryref2!I69,IF(AK68=summaryref2!B83,summaryref2!I83,IF(AK68=summaryref2!B97,summaryref2!I97,IF(AK68=summaryref2!B111,summaryref2!I111,IF(AK68=summaryref2!B125,summaryref2!I125,IF(AK68=summaryref2!B139,summaryref2!I139,"")))))))))))</f>
        <v/>
      </c>
      <c r="AT68" s="1110" t="str">
        <f>IF('A-80 DirEntInv'!AT67&lt;&gt;"",'A-80 DirEntInv'!AT67,IF(AK68=summaryref2!B13,summaryref2!J13,IF(Summary!AK68=summaryref2!B27,summaryref2!J27,IF(AK68=summaryref2!B41,summaryref2!J41,IF(AK68=summaryref2!B55,summaryref2!J55,IF(AK68=summaryref2!B69,summaryref2!J69,IF(AK68=summaryref2!B83,summaryref2!J83,IF(AK68=summaryref2!B97,summaryref2!J97,IF(AK68=summaryref2!B111,summaryref2!J111,IF(AK68=summaryref2!B125,summaryref2!J125,IF(AK68=summaryref2!B139,summaryref2!J139,"")))))))))))</f>
        <v/>
      </c>
      <c r="AU68" s="1110" t="str">
        <f>IF('A-80 DirEntInv'!AU67&lt;&gt;"",'A-80 DirEntInv'!AU67,IF(AK68=summaryref2!B13,summaryref2!K13,IF(Summary!AK68=summaryref2!B27,summaryref2!K27,IF(AK68=summaryref2!B41,summaryref2!K41,IF(AK68=summaryref2!B55,summaryref2!K55,IF(AK68=summaryref2!B69,summaryref2!K69,IF(AK68=summaryref2!B83,summaryref2!K83,IF(AK68=summaryref2!B97,summaryref2!K97,IF(AK68=summaryref2!B111,summaryref2!K111,IF(AK68=summaryref2!B125,summaryref2!K125,IF(AK68=summaryref2!B139,summaryref2!K139,"")))))))))))</f>
        <v/>
      </c>
      <c r="AV68" s="1110" t="str">
        <f>IF('A-80 DirEntInv'!AV67&lt;&gt;"",'A-80 DirEntInv'!AV67,IF(AK68=summaryref2!B13,summaryref2!L13,IF(Summary!AK68=summaryref2!B27,summaryref2!L27,IF(AK68=summaryref2!B41,summaryref2!L41,IF(AK68=summaryref2!B55,summaryref2!L55,IF(AK68=summaryref2!B69,summaryref2!L69,IF(AK68=summaryref2!B83,summaryref2!L83,IF(AK68=summaryref2!B97,summaryref2!L97,IF(AK68=summaryref2!B111,summaryref2!L111,IF(AK68=summaryref2!B125,summaryref2!L125,IF(AK68=summaryref2!B139,summaryref2!L139,"")))))))))))</f>
        <v/>
      </c>
      <c r="AW68" s="1110" t="str">
        <f>IF('A-80 DirEntInv'!AW67&lt;&gt;"",'A-80 DirEntInv'!AW67,IF(AK68=summaryref2!B13,summaryref2!M13,IF(Summary!AK68=summaryref2!B27,summaryref2!M27,IF(AK68=summaryref2!B41,summaryref2!M41,IF(AK68=summaryref2!B55,summaryref2!M55,IF(AK68=summaryref2!B69,summaryref2!M69,IF(AK68=summaryref2!B83,summaryref2!M83,IF(AK68=summaryref2!B97,summaryref2!M97,IF(AK68=summaryref2!B111,summaryref2!M111,IF(AK68=summaryref2!B125,summaryref2!M125,IF(AK68=summaryref2!B139,summaryref2!M139,"")))))))))))</f>
        <v/>
      </c>
      <c r="AX68" s="1110" t="str">
        <f>IF('A-80 DirEntInv'!AX67&lt;&gt;"",'A-80 DirEntInv'!AX67,IF(AK68=summaryref2!B13,summaryref2!N13,IF(Summary!AK68=summaryref2!B27,summaryref2!N27,IF(AK68=summaryref2!B41,summaryref2!N41,IF(AK68=summaryref2!B55,summaryref2!N55,IF(AK68=summaryref2!B69,summaryref2!N69,IF(AK68=summaryref2!B83,summaryref2!N83,IF(AK68=summaryref2!B97,summaryref2!N97,IF(AK68=summaryref2!B111,summaryref2!N111,IF(AK68=summaryref2!B125,summaryref2!N125,IF(AK68=summaryref2!B139,summaryref2!N139,"")))))))))))</f>
        <v/>
      </c>
      <c r="AY68" s="1110" t="str">
        <f>IF('A-80 DirEntInv'!AY67&lt;&gt;"",'A-80 DirEntInv'!AY67,IF(AK68=summaryref2!B13,summaryref2!O13,IF(Summary!AK68=summaryref2!B27,summaryref2!O27,IF(AK68=summaryref2!B41,summaryref2!O41,IF(AK68=summaryref2!B55,summaryref2!O55,IF(AK68=summaryref2!B69,summaryref2!O69,IF(AK68=summaryref2!B83,summaryref2!O83,IF(AK68=summaryref2!B97,summaryref2!O97,IF(AK68=summaryref2!B111,summaryref2!O111,IF(AK68=summaryref2!B125,summaryref2!O125,IF(AK68=summaryref2!B139,summaryref2!O139,"")))))))))))</f>
        <v/>
      </c>
      <c r="AZ68" s="1110" t="str">
        <f>IF('A-80 DirEntInv'!AZ67&lt;&gt;"",'A-80 DirEntInv'!AZ67,IF(AK68=summaryref2!B13,summaryref2!P13,IF(Summary!AK68=summaryref2!B27,summaryref2!P27,IF(AK68=summaryref2!B41,summaryref2!P41,IF(AK68=summaryref2!B55,summaryref2!P55,IF(AK68=summaryref2!B69,summaryref2!P69,IF(AK68=summaryref2!B83,summaryref2!P83,IF(AK68=summaryref2!B97,summaryref2!P97,IF(AK68=summaryref2!B111,summaryref2!P111,IF(AK68=summaryref2!B125,summaryref2!P125,IF(AK68=summaryref2!B139,summaryref2!P139,"")))))))))))</f>
        <v/>
      </c>
      <c r="BA68" s="1110" t="str">
        <f>IF('A-80 DirEntInv'!BA67&lt;&gt;"",'A-80 DirEntInv'!BA67,IF(AK68=summaryref2!B13,summaryref2!Q13,IF(Summary!AK68=summaryref2!B27,summaryref2!Q27,IF(AK68=summaryref2!B41,summaryref2!Q41,IF(AK68=summaryref2!B55,summaryref2!Q55,IF(AK68=summaryref2!B69,summaryref2!Q69,IF(AK68=summaryref2!B83,summaryref2!Q83,IF(AK68=summaryref2!B97,summaryref2!Q97,IF(AK68=summaryref2!B111,summaryref2!Q111,IF(AK68=summaryref2!B125,summaryref2!Q125,IF(AK68=summaryref2!B139,summaryref2!Q139,"")))))))))))</f>
        <v/>
      </c>
      <c r="BB68" s="1110" t="str">
        <f>IF('A-80 DirEntInv'!BB67&lt;&gt;"",'A-80 DirEntInv'!BB67,IF(AK68=summaryref2!B13,summaryref2!R13,IF(Summary!AK68=summaryref2!B27,summaryref2!R27,IF(AK68=summaryref2!B41,summaryref2!R41,IF(AK68=summaryref2!B55,summaryref2!R55,IF(AK68=summaryref2!B69,summaryref2!R69,IF(AK68=summaryref2!B83,summaryref2!R83,IF(AK68=summaryref2!B97,summaryref2!R97,IF(AK68=summaryref2!B111,summaryref2!R111,IF(AK68=summaryref2!B125,summaryref2!R125,IF(AK68=summaryref2!B139,summaryref2!R139,"")))))))))))</f>
        <v/>
      </c>
      <c r="BC68" s="1110" t="str">
        <f>IF('A-80 DirEntInv'!BC67&lt;&gt;0,'A-80 DirEntInv'!BC67,IF(AK68=summaryref2!B13,summaryref2!S13,IF(Summary!AK68=summaryref2!B27,summaryref2!S27,IF(AK68=summaryref2!B41,summaryref2!S41,IF(AK68=summaryref2!B55,summaryref2!S55,IF(AK68=summaryref2!B69,summaryref2!S69,IF(AK68=summaryref2!B83,summaryref2!S83,IF(AK68=summaryref2!B97,summaryref2!S97,IF(AK68=summaryref2!B111,summaryref2!S111,IF(AK68=summaryref2!B125,summaryref2!S125,IF(AK68=summaryref2!B139,summaryref2!S139,"")))))))))))</f>
        <v/>
      </c>
      <c r="BD68" s="1111" t="str">
        <f>IF('A-80 DirEntInv'!BD67&lt;&gt;"",'A-80 DirEntInv'!BD67,IF(AK68=summaryref2!B13,summaryref2!T13,IF(Summary!AK68=summaryref2!B27,summaryref2!T27,IF(AK68=summaryref2!B41,summaryref2!T41,IF(AK68=summaryref2!B55,summaryref2!T55,IF(AK68=summaryref2!B69,summaryref2!T69,IF(AK68=summaryref2!B83,summaryref2!T83,IF(AK68=summaryref2!B97,summaryref2!T97,IF(AK68=summaryref2!B111,summaryref2!T111,IF(AK68=summaryref2!B125,summaryref2!T125,IF(AK68=summaryref2!B139,summaryref2!T139,"")))))))))))</f>
        <v/>
      </c>
      <c r="BE68" s="1184" t="str">
        <f>IF('A-80 DirEntInv'!BE67&lt;&gt;"",'A-80 DirEntInv'!BE67,IF(AK68=summaryref2!B13,summaryref2!U13,IF(Summary!AK68=summaryref2!B27,summaryref2!U27,IF(AK68=summaryref2!B41,summaryref2!U41,IF(AK68=summaryref2!B55,summaryref2!U55,IF(AK68=summaryref2!B69,summaryref2!U69,IF(AK68=summaryref2!B83,summaryref2!U83,IF(AK68=summaryref2!B97,summaryref2!U97,IF(AK68=summaryref2!B111,summaryref2!U111,IF(AK68=summaryref2!B125,summaryref2!U125,IF(AK68=summaryref2!B139,summaryref2!U139,"")))))))))))</f>
        <v/>
      </c>
      <c r="BF68" s="1432"/>
      <c r="BG68" s="1432"/>
      <c r="BJ68" s="1048" t="str">
        <f>Codes!$C$164</f>
        <v>HR - Heavy Rail (PT)</v>
      </c>
      <c r="BK68" s="1049" t="str">
        <f>Valid!$B$81</f>
        <v>Curve</v>
      </c>
      <c r="BL68" s="1367" t="str">
        <f>IF('A-80 DirEntInv'!BL67&lt;&gt;"",'A-80 DirEntInv'!BL67,IF(BJ68=summaryref2!X13,summaryref2!Z13,IF(BJ68=summaryref2!X20,summaryref2!Z20,IF(BJ68=summaryref2!X27,summaryref2!Z27,IF(BJ68=summaryref2!X34,summaryref2!Z34,IF(BJ68=summaryref2!X41,summaryref2!Z41,IF(BJ68=summaryref2!X48,summaryref2!Z48,IF(BJ68=summaryref2!X55,summaryref2!Z55,IF(BJ68=summaryref2!X62,summaryref2!Z62,IF(BJ68=summaryref2!X69,summaryref2!Z69,IF(BJ68=summaryref2!X76,summaryref2!Z76,"")))))))))))</f>
        <v/>
      </c>
      <c r="BM68" s="1049" t="str">
        <f>VLOOKUP(BK68,Valid!$B$80:$C$86,2,FALSE)</f>
        <v>Track Feet</v>
      </c>
      <c r="BN68" s="1324" t="str">
        <f>IF('A-80 DirEntInv'!BN67&lt;&gt;"",'A-80 DirEntInv'!BN67,IF(BJ68=summaryref2!X13,summaryref2!AB13,IF(BJ68=summaryref2!X20,summaryref2!AB20,IF(BJ68=summaryref2!X27,summaryref2!AB27,IF(BJ68=summaryref2!X34,summaryref2!AB34,IF(BJ68=summaryref2!X41,summaryref2!AB41,IF(BJ68=summaryref2!X48,summaryref2!AB48,IF(BJ68=summaryref2!X55,summaryref2!AB55,IF(BJ68=summaryref2!X62,summaryref2!AB62,IF(BJ68=summaryref2!X69,summaryref2!AB69,IF(BJ68=summaryref2!X76,summaryref2!AB76,"")))))))))))</f>
        <v/>
      </c>
      <c r="BO68" s="1326" t="str">
        <f>IF('A-80 DirEntInv'!BO67&lt;&gt;"",'A-80 DirEntInv'!BO67,IF(BJ68=summaryref2!X13,summaryref2!AC13,IF(BJ68=summaryref2!X20,summaryref2!AC20,IF(BJ68=summaryref2!X27,summaryref2!AC27,IF(BJ68=summaryref2!X34,summaryref2!AC34,IF(BJ68=summaryref2!X41,summaryref2!AC41,IF(BJ68=summaryref2!X48,summaryref2!AC48,IF(BJ68=summaryref2!X55,summaryref2!AC55,IF(BJ68=summaryref2!X62,summaryref2!AC62,IF(BJ68=summaryref2!X69,summaryref2!AC69,IF(BJ68=summaryref2!X76,summaryref2!AC76,"")))))))))))</f>
        <v/>
      </c>
      <c r="BP68" s="1323" t="str">
        <f>IF('A-80 DirEntInv'!BP67&lt;&gt;"",'A-80 DirEntInv'!BP67,IF(BJ68=summaryref2!X13,summaryref2!AD13,IF(BJ68=summaryref2!X20,summaryref2!AD20,IF(BJ68=summaryref2!X27,summaryref2!AD27,IF(BJ68=summaryref2!X34,summaryref2!AD34,IF(BJ68=summaryref2!X41,summaryref2!AD41,IF(BJ68=summaryref2!X48,summaryref2!AD48,IF(BJ68=summaryref2!X55,summaryref2!AD55,IF(BJ68=summaryref2!X62,summaryref2!AD62,IF(BJ68=summaryref2!X69,summaryref2!AD69,IF(BJ68=summaryref2!X76,summaryref2!AD76,"")))))))))))</f>
        <v/>
      </c>
      <c r="BS68" s="1472" t="str">
        <f ca="1">IF('A-80 DirEntInv'!BU67&lt;&gt;"",'A-80 DirEntInv'!BU67,IF(INDIRECT(ADDRESS(SumRef!DK74,SumRef!DK$16,,,SumRef!$E$6))="","",INDIRECT(ADDRESS(SumRef!DK74,SumRef!DK$16,,,SumRef!$E$6))))</f>
        <v/>
      </c>
      <c r="BT68" s="1458" t="str">
        <f ca="1">IF('A-80 DirEntInv'!BV67&lt;&gt;"",'A-80 DirEntInv'!BV67,IF(INDIRECT(ADDRESS(SumRef!DL74,SumRef!DL$16,,,SumRef!$E$6))="","",INDIRECT(ADDRESS(SumRef!DL74,SumRef!DL$16,,,SumRef!$E$6))))</f>
        <v/>
      </c>
      <c r="BU68" s="1177" t="str">
        <f ca="1">IF('A-80 DirEntInv'!BW67&lt;&gt;"",'A-80 DirEntInv'!BW67,IF(INDIRECT(ADDRESS(SumRef!DM74,SumRef!DM$16,,,SumRef!$E$6))="","",INDIRECT(ADDRESS(SumRef!DM74,SumRef!DM$16,,,SumRef!$E$6))))</f>
        <v/>
      </c>
      <c r="BV68" s="1460" t="str">
        <f ca="1">IF('A-80 DirEntInv'!BX67&lt;&gt;"",'A-80 DirEntInv'!BX67,IF(INDIRECT(ADDRESS(SumRef!DN74,SumRef!DN$16,,,SumRef!$E$6))="","",INDIRECT(ADDRESS(SumRef!DN74,SumRef!DN$16,,,SumRef!$E$6))))</f>
        <v/>
      </c>
      <c r="BW68" s="1460" t="str">
        <f ca="1">IF('A-80 DirEntInv'!BY67&lt;&gt;"",'A-80 DirEntInv'!BY67,IF(INDIRECT(ADDRESS(SumRef!DO74,SumRef!DO$16,,,SumRef!$E$6))="","",INDIRECT(ADDRESS(SumRef!DO74,SumRef!DO$16,,,SumRef!$E$6))))</f>
        <v/>
      </c>
      <c r="BX68" s="1116" t="str">
        <f ca="1">IF('A-80 DirEntInv'!BZ67&lt;&gt;"",'A-80 DirEntInv'!BZ67,IF(INDIRECT(ADDRESS(SumRef!DP74,SumRef!DP$16,,,SumRef!$E$6))="","",INDIRECT(ADDRESS(SumRef!DP74,SumRef!DP$16,,,SumRef!$E$6))))</f>
        <v/>
      </c>
      <c r="BY68" s="1461" t="str">
        <f ca="1">IF('A-80 DirEntInv'!CA67&lt;&gt;"",'A-80 DirEntInv'!CA67,IF(INDIRECT(ADDRESS(SumRef!DQ74,SumRef!DQ$16,,,SumRef!$E$6))="","",INDIRECT(ADDRESS(SumRef!DQ74,SumRef!DQ$16,,,SumRef!$E$6))))</f>
        <v/>
      </c>
      <c r="BZ68" s="1460" t="str">
        <f ca="1">IF('A-80 DirEntInv'!CB67&lt;&gt;"",'A-80 DirEntInv'!CB67,IF(INDIRECT(ADDRESS(SumRef!DR74,SumRef!DR$16,,,SumRef!$E$6))="","",INDIRECT(ADDRESS(SumRef!DR74,SumRef!DR$16,,,SumRef!$E$6))))</f>
        <v/>
      </c>
      <c r="CA68" s="1462" t="str">
        <f ca="1">IF('A-80 DirEntInv'!CC67&lt;&gt;"",'A-80 DirEntInv'!CC67,IF(INDIRECT(ADDRESS(SumRef!DS74,SumRef!DS$16,,,SumRef!$E$6))="","",INDIRECT(ADDRESS(SumRef!DS74,SumRef!DS$16,,,SumRef!$E$6))))</f>
        <v/>
      </c>
      <c r="CD68" s="1160" t="str">
        <f ca="1">IF('A-80 DirEntInv'!CF67&lt;&gt;"",'A-80 DirEntInv'!CF67,IF(INDIRECT(ADDRESS(SumRef!DV74,SumRef!DV$16,,,SumRef!$E$7))="","",INDIRECT(ADDRESS(SumRef!DV74,SumRef!DV$16,,,SumRef!$E$7))))</f>
        <v/>
      </c>
      <c r="CE68" s="1167" t="str">
        <f ca="1">IF('A-80 DirEntInv'!CG67&lt;&gt;"",'A-80 DirEntInv'!CG67,IF(INDIRECT(ADDRESS(SumRef!DW74,SumRef!DW$16,,,SumRef!$E$7))="","",INDIRECT(ADDRESS(SumRef!DW74,SumRef!DW$16,,,SumRef!$E$7))))</f>
        <v/>
      </c>
      <c r="CF68" s="1167" t="str">
        <f ca="1">IF('A-80 DirEntInv'!CH67&lt;&gt;"",'A-80 DirEntInv'!CH67,IF(INDIRECT(ADDRESS(SumRef!DX74,SumRef!DX$16,,,SumRef!$E$7))="","",INDIRECT(ADDRESS(SumRef!DX74,SumRef!DX$16,,,SumRef!$E$7))))</f>
        <v/>
      </c>
      <c r="CG68" s="1167" t="str">
        <f ca="1">IF('A-80 DirEntInv'!CI67&lt;&gt;"",'A-80 DirEntInv'!CI67,IF(INDIRECT(ADDRESS(SumRef!DY74,SumRef!DY$16,,,SumRef!$E$7))="","",INDIRECT(ADDRESS(SumRef!DY74,SumRef!DY$16,,,SumRef!$E$7))))</f>
        <v/>
      </c>
      <c r="CH68" s="1167" t="str">
        <f ca="1">IF('A-80 DirEntInv'!CJ67&lt;&gt;"",'A-80 DirEntInv'!CJ67,IF(INDIRECT(ADDRESS(SumRef!DZ74,SumRef!DZ$16,,,SumRef!$E$7))="","",INDIRECT(ADDRESS(SumRef!DZ74,SumRef!DZ$16,,,SumRef!$E$7))))</f>
        <v/>
      </c>
      <c r="CI68" s="1167" t="str">
        <f ca="1">IF('A-80 DirEntInv'!CK67&lt;&gt;"",'A-80 DirEntInv'!CK67,IF(INDIRECT(ADDRESS(SumRef!EA74,SumRef!EA$16,,,SumRef!$E$7))="","",INDIRECT(ADDRESS(SumRef!EA74,SumRef!EA$16,,,SumRef!$E$7))))</f>
        <v/>
      </c>
      <c r="CJ68" s="1114" t="str">
        <f ca="1">IF('A-80 DirEntInv'!CL67&lt;&gt;"",'A-80 DirEntInv'!CL67,IF(INDIRECT(ADDRESS(SumRef!EB74,SumRef!EB$16,,,SumRef!$E$7))="","",INDIRECT(ADDRESS(SumRef!EB74,SumRef!EB$16,,,SumRef!$E$7))))</f>
        <v/>
      </c>
      <c r="CK68" s="1114" t="str">
        <f ca="1">IF('A-80 DirEntInv'!CM67&lt;&gt;"",'A-80 DirEntInv'!CM67,IF(INDIRECT(ADDRESS(SumRef!EC74,SumRef!EC$16,,,SumRef!$E$7))="","",INDIRECT(ADDRESS(SumRef!EC74,SumRef!EC$16,,,SumRef!$E$7))))</f>
        <v/>
      </c>
      <c r="CL68" s="1113" t="str">
        <f ca="1">IF('A-80 DirEntInv'!CO67&lt;&gt;"",'A-80 DirEntInv'!CO67,IF(INDIRECT(ADDRESS(SumRef!ED74,SumRef!ED$16,,,SumRef!$E$7))="","",INDIRECT(ADDRESS(SumRef!ED74,SumRef!ED$16,,,SumRef!$E$7))))</f>
        <v/>
      </c>
      <c r="CM68" s="1114" t="str">
        <f ca="1">IF('A-80 DirEntInv'!CP67&lt;&gt;"",'A-80 DirEntInv'!CP67,IF(INDIRECT(ADDRESS(SumRef!EE74,SumRef!EE$16,,,SumRef!$E$7))="","",INDIRECT(ADDRESS(SumRef!EE74,SumRef!EE$16,,,SumRef!$E$7))))</f>
        <v/>
      </c>
      <c r="CN68" s="1114" t="str">
        <f ca="1">IF('A-80 DirEntInv'!CQ67&lt;&gt;"",'A-80 DirEntInv'!CQ67,IF(INDIRECT(ADDRESS(SumRef!EF74,SumRef!EF$16,,,SumRef!$E$7))="","",INDIRECT(ADDRESS(SumRef!EF74,SumRef!EF$16,,,SumRef!$E$7))))</f>
        <v/>
      </c>
      <c r="CO68" s="1113" t="str">
        <f ca="1">IF('A-80 DirEntInv'!CR67&lt;&gt;"",'A-80 DirEntInv'!CR67,IF(INDIRECT(ADDRESS(SumRef!EG74,SumRef!EG$16,,,SumRef!$E$7))="","",INDIRECT(ADDRESS(SumRef!EG74,SumRef!EG$16,,,SumRef!$E$7))))</f>
        <v/>
      </c>
      <c r="CP68" s="1114" t="str">
        <f ca="1">IF('A-80 DirEntInv'!CS67&lt;&gt;"",'A-80 DirEntInv'!CS67,IF(INDIRECT(ADDRESS(SumRef!EH74,SumRef!EH$16,,,SumRef!$E$7))="","",INDIRECT(ADDRESS(SumRef!EH74,SumRef!EH$16,,,SumRef!$E$7))))</f>
        <v/>
      </c>
      <c r="CQ68" s="1346" t="str">
        <f ca="1">IF('A-80 DirEntInv'!CT67&lt;&gt;"",'A-80 DirEntInv'!CT67,IF(INDIRECT(ADDRESS(SumRef!EI74,SumRef!EI$16,,,SumRef!$E$7))="","",INDIRECT(ADDRESS(SumRef!EI74,SumRef!EI$16,,,SumRef!$E$7))))</f>
        <v/>
      </c>
      <c r="CR68" s="1113" t="str">
        <f ca="1">IF('A-80 DirEntInv'!CU67&lt;&gt;"",'A-80 DirEntInv'!CU67,IF(INDIRECT(ADDRESS(SumRef!EJ74,SumRef!EJ$16,,,SumRef!$E$7))="","",INDIRECT(ADDRESS(SumRef!EJ74,SumRef!EJ$16,,,SumRef!$E$7))))</f>
        <v/>
      </c>
      <c r="CS68" s="1346" t="str">
        <f ca="1">IF('A-80 DirEntInv'!CV67&lt;&gt;"",'A-80 DirEntInv'!CV67,IF(INDIRECT(ADDRESS(SumRef!EM74,SumRef!EM$16,,,SumRef!$E$7))="","",INDIRECT(ADDRESS(SumRef!EM74,SumRef!EM$16,,,SumRef!$E$7))))</f>
        <v/>
      </c>
      <c r="CT68" s="1113" t="str">
        <f ca="1">IF('A-80 DirEntInv'!CW67&lt;&gt;"",'A-80 DirEntInv'!CW67,IF(INDIRECT(ADDRESS(SumRef!EN74,SumRef!EN$16,,,SumRef!$E$7))="","",INDIRECT(ADDRESS(SumRef!EN74,SumRef!EN$16,,,SumRef!$E$7))))</f>
        <v/>
      </c>
      <c r="CU68" s="1113" t="str">
        <f ca="1">IF('A-80 DirEntInv'!CX67&lt;&gt;"",'A-80 DirEntInv'!CX67,IF(INDIRECT(ADDRESS(SumRef!EO74,SumRef!EO$16,,,SumRef!$E$7))="","",INDIRECT(ADDRESS(SumRef!EO74,SumRef!EO$16,,,SumRef!$E$7))))</f>
        <v/>
      </c>
      <c r="CV68" s="1113" t="str">
        <f ca="1">IF('A-80 DirEntInv'!CY67&lt;&gt;"",'A-80 DirEntInv'!CY67,IF(INDIRECT(ADDRESS(SumRef!EP74,SumRef!EP$16,,,SumRef!$E$7))="","",INDIRECT(ADDRESS(SumRef!EP74,SumRef!EP$16,,,SumRef!$E$7))))</f>
        <v/>
      </c>
      <c r="CW68" s="1114" t="str">
        <f ca="1">IF('A-80 DirEntInv'!CZ67&lt;&gt;"",'A-80 DirEntInv'!CZ67,IF(INDIRECT(ADDRESS(SumRef!ES74,SumRef!ES$16,,,SumRef!$E$7))="","",INDIRECT(ADDRESS(SumRef!ES74,SumRef!ES$16,,,SumRef!$E$7))))</f>
        <v/>
      </c>
      <c r="CX68" s="1167" t="str">
        <f ca="1">IF('A-80 DirEntInv'!DA67&lt;&gt;"",'A-80 DirEntInv'!DA67,IF(INDIRECT(ADDRESS(SumRef!ET74,SumRef!ET$16,,,SumRef!$E$7))="","",INDIRECT(ADDRESS(SumRef!ET74,SumRef!ET$16,,,SumRef!$E$7))))</f>
        <v/>
      </c>
      <c r="CY68" s="1167" t="str">
        <f ca="1">IF('A-80 DirEntInv'!DB67&lt;&gt;"",'A-80 DirEntInv'!DB67,IF(INDIRECT(ADDRESS(SumRef!EU74,SumRef!EU$16,,,SumRef!$E$7))="","",INDIRECT(ADDRESS(SumRef!EU74,SumRef!EU$16,,,SumRef!$E$7))))</f>
        <v/>
      </c>
      <c r="CZ68" s="1167" t="b">
        <f ca="1">IF('A-80 DirEntInv'!DC67&lt;&gt;"",'A-80 DirEntInv'!DC67,IF(INDIRECT(ADDRESS(SumRef!EV74,SumRef!EV$16,,,SumRef!$E$7))="","",INDIRECT(ADDRESS(SumRef!EV74,SumRef!EV$16,,,SumRef!$E$7))))</f>
        <v>0</v>
      </c>
      <c r="DA68" s="1373" t="str">
        <f ca="1">IF('A-80 DirEntInv'!DD67&lt;&gt;"",'A-80 DirEntInv'!DD67,IF(INDIRECT(ADDRESS(SumRef!EW74,SumRef!EW$16,,,SumRef!$E$7))="","",INDIRECT(ADDRESS(SumRef!EW74,SumRef!EW$16,,,SumRef!$E$7))))</f>
        <v/>
      </c>
      <c r="DB68" s="1373" t="b">
        <f ca="1">IF('A-80 DirEntInv'!DE67&lt;&gt;"",'A-80 DirEntInv'!DE67,IF(INDIRECT(ADDRESS(SumRef!EX74,SumRef!EX$16,,,SumRef!$E$7))="","",INDIRECT(ADDRESS(SumRef!EX74,SumRef!EX$16,,,SumRef!$E$7))))</f>
        <v>0</v>
      </c>
      <c r="DC68" s="1114" t="b">
        <f ca="1">IF('A-80 DirEntInv'!DF67&lt;&gt;"",'A-80 DirEntInv'!DF67,IF(INDIRECT(ADDRESS(SumRef!EY74,SumRef!EY$16,,,SumRef!$E$7))="","",INDIRECT(ADDRESS(SumRef!EY74,SumRef!EY$16,,,SumRef!$E$7))))</f>
        <v>0</v>
      </c>
      <c r="DD68" s="1115" t="str">
        <f ca="1">IF('A-80 DirEntInv'!DG67&lt;&gt;"",'A-80 DirEntInv'!DG67,IF(INDIRECT(ADDRESS(SumRef!EZ74,SumRef!EZ$16,,,SumRef!$E$7))="","",INDIRECT(ADDRESS(SumRef!EZ74,SumRef!EZ$16,,,SumRef!$E$7))))</f>
        <v/>
      </c>
    </row>
    <row r="69" spans="1:108" s="588" customFormat="1" ht="13.5" thickTop="1" x14ac:dyDescent="0.2">
      <c r="A69" s="589">
        <f t="shared" si="0"/>
        <v>59</v>
      </c>
      <c r="B69" s="1155" t="str">
        <f ca="1">IF('A-80 DirEntInv'!B68&lt;&gt;"",'A-80 DirEntInv'!B68,IF(INDIRECT(ADDRESS(SumRef!AQ75,SumRef!AQ$16,,,SumRef!$B$7))="","",INDIRECT(ADDRESS(SumRef!AQ75,SumRef!AQ$16,,,SumRef!$B$7))))</f>
        <v/>
      </c>
      <c r="C69" s="1097" t="str">
        <f ca="1">IF('A-80 DirEntInv'!C68&lt;&gt;"",'A-80 DirEntInv'!C68,IF(INDIRECT(ADDRESS(SumRef!AR75,SumRef!AR$16,,,SumRef!$B$7))="","",INDIRECT(ADDRESS(SumRef!AR75,SumRef!AR$16,,,SumRef!$B$7))))</f>
        <v/>
      </c>
      <c r="D69" s="1097" t="str">
        <f ca="1">IF('A-80 DirEntInv'!D68&lt;&gt;"",'A-80 DirEntInv'!D68,IF(INDIRECT(ADDRESS(SumRef!AS75,SumRef!AS$16,,,SumRef!$B$7))="","",INDIRECT(ADDRESS(SumRef!AS75,SumRef!AS$16,,,SumRef!$B$7))))</f>
        <v/>
      </c>
      <c r="E69" s="1097" t="str">
        <f ca="1">IF('A-80 DirEntInv'!E68&lt;&gt;"",'A-80 DirEntInv'!E68,IF(INDIRECT(ADDRESS(SumRef!AT75,SumRef!AT$16,,,SumRef!$B$7))="","",INDIRECT(ADDRESS(SumRef!AT75,SumRef!AT$16,,,SumRef!$B$7))))</f>
        <v/>
      </c>
      <c r="F69" s="1097" t="str">
        <f ca="1">IF('A-80 DirEntInv'!F68&lt;&gt;"",'A-80 DirEntInv'!F68,IF(INDIRECT(ADDRESS(SumRef!AU75,SumRef!AU$16,,,SumRef!$B$7))="","",INDIRECT(ADDRESS(SumRef!AU75,SumRef!AU$16,,,SumRef!$B$7))))</f>
        <v/>
      </c>
      <c r="G69" s="1158" t="str">
        <f ca="1">IF('A-80 DirEntInv'!G68&lt;&gt;"",'A-80 DirEntInv'!G68,IF(INDIRECT(ADDRESS(SumRef!AV75,SumRef!AV$16,,,SumRef!$B$7))="","",INDIRECT(ADDRESS(SumRef!AV75,SumRef!AV$16,,,SumRef!$B$7))))</f>
        <v/>
      </c>
      <c r="H69" s="1097" t="str">
        <f ca="1">IF('A-80 DirEntInv'!H68&lt;&gt;"",'A-80 DirEntInv'!H68,IF(INDIRECT(ADDRESS(SumRef!AW75,SumRef!AW$16,,,SumRef!$B$7))="","",INDIRECT(ADDRESS(SumRef!AW75,SumRef!AW$16,,,SumRef!$B$7))))</f>
        <v/>
      </c>
      <c r="I69" s="1097" t="str">
        <f ca="1">IF('A-80 DirEntInv'!I68&lt;&gt;"",'A-80 DirEntInv'!I68,IF(INDIRECT(ADDRESS(SumRef!AX75,SumRef!AX$16,,,SumRef!$B$7))="","",INDIRECT(ADDRESS(SumRef!AX75,SumRef!AX$16,,,SumRef!$B$7))))</f>
        <v/>
      </c>
      <c r="J69" s="1098" t="str">
        <f ca="1">IF('A-80 DirEntInv'!J68&lt;&gt;"",'A-80 DirEntInv'!J68,IF(INDIRECT(ADDRESS(SumRef!AY75,SumRef!AY$16,,,SumRef!$B$7))="","",INDIRECT(ADDRESS(SumRef!AY75,SumRef!AY$16,,,SumRef!$B$7))))</f>
        <v/>
      </c>
      <c r="K69" s="1099" t="str">
        <f ca="1">IF('A-80 DirEntInv'!K68&lt;&gt;"",'A-80 DirEntInv'!K68,IF(INDIRECT(ADDRESS(SumRef!AZ75,SumRef!AZ$16,,,SumRef!$B$7))="","",INDIRECT(ADDRESS(SumRef!AZ75,SumRef!AZ$16,,,SumRef!$B$7))))</f>
        <v/>
      </c>
      <c r="L69" s="1100" t="str">
        <f ca="1">IF('A-80 DirEntInv'!L68&lt;&gt;"",'A-80 DirEntInv'!L68,IF(INDIRECT(ADDRESS(SumRef!BA75,SumRef!BA$16,,,SumRef!$B$7))="","",INDIRECT(ADDRESS(SumRef!BA75,SumRef!BA$16,,,SumRef!$B$7))))</f>
        <v/>
      </c>
      <c r="M69" s="1101" t="str">
        <f ca="1">IF('A-80 DirEntInv'!M68&lt;&gt;"",'A-80 DirEntInv'!M68,IF(INDIRECT(ADDRESS(SumRef!BB75,SumRef!BB$16,,,SumRef!$B$7))="","",INDIRECT(ADDRESS(SumRef!BB75,SumRef!BB$16,,,SumRef!$B$7))))</f>
        <v/>
      </c>
      <c r="N69" s="1098" t="str">
        <f ca="1">IF('A-80 DirEntInv'!N68&lt;&gt;"",'A-80 DirEntInv'!N68,IF(INDIRECT(ADDRESS(SumRef!BC75,SumRef!BC$16,,,SumRef!$B$7))="","",INDIRECT(ADDRESS(SumRef!BC75,SumRef!BC$16,,,SumRef!$B$7))))</f>
        <v/>
      </c>
      <c r="O69" s="1102" t="str">
        <f ca="1">IF('A-80 DirEntInv'!O68&lt;&gt;"",'A-80 DirEntInv'!O68,IF(INDIRECT(ADDRESS(SumRef!BD75,SumRef!BD$16,,,SumRef!$B$7))="","",INDIRECT(ADDRESS(SumRef!BD75,SumRef!BD$16,,,SumRef!$B$7))))</f>
        <v/>
      </c>
      <c r="Q69" s="589"/>
      <c r="R69" s="1103" t="str">
        <f ca="1">IF('A-80 DirEntInv'!R68&lt;&gt;"",'A-80 DirEntInv'!R68,IF(INDIRECT(ADDRESS(SumRef!BH75,SumRef!BH$16,,,SumRef!$B$8))="","",INDIRECT(ADDRESS(SumRef!BH75,SumRef!BH$16,,,SumRef!$B$8))))</f>
        <v/>
      </c>
      <c r="S69" s="1104" t="str">
        <f ca="1">IF('A-80 DirEntInv'!S68&lt;&gt;"",'A-80 DirEntInv'!S68,IF(INDIRECT(ADDRESS(SumRef!BI75,SumRef!BI$16,,,SumRef!$B$8))="","",INDIRECT(ADDRESS(SumRef!BI75,SumRef!BI$16,,,SumRef!$B$8))))</f>
        <v/>
      </c>
      <c r="T69" s="1104" t="str">
        <f ca="1">IF('A-80 DirEntInv'!T68&lt;&gt;"",'A-80 DirEntInv'!T68,IF(INDIRECT(ADDRESS(SumRef!BJ75,SumRef!BJ$16,,,SumRef!$B$8))="","",INDIRECT(ADDRESS(SumRef!BJ75,SumRef!BJ$16,,,SumRef!$B$8))))</f>
        <v/>
      </c>
      <c r="U69" s="1104" t="str">
        <f ca="1">IF('A-80 DirEntInv'!U68&lt;&gt;"",'A-80 DirEntInv'!U68,IF(INDIRECT(ADDRESS(SumRef!BK75,SumRef!BK$16,,,SumRef!$B$8))="","",INDIRECT(ADDRESS(SumRef!BK75,SumRef!BK$16,,,SumRef!$B$8))))</f>
        <v/>
      </c>
      <c r="V69" s="1104" t="str">
        <f ca="1">IF('A-80 DirEntInv'!V68&lt;&gt;"",'A-80 DirEntInv'!V68,IF(INDIRECT(ADDRESS(SumRef!BL75,SumRef!BL$16,,,SumRef!$B$8))="","",INDIRECT(ADDRESS(SumRef!BL75,SumRef!BL$16,,,SumRef!$B$8))))</f>
        <v/>
      </c>
      <c r="W69" s="1354" t="str">
        <f ca="1">IF('A-80 DirEntInv'!W68&lt;&gt;"",'A-80 DirEntInv'!W68,IF(INDIRECT(ADDRESS(SumRef!BM75,SumRef!BM$16,,,SumRef!$B$8))="","",INDIRECT(ADDRESS(SumRef!BM75,SumRef!BM$16,,,SumRef!$B$8))))</f>
        <v/>
      </c>
      <c r="X69" s="1203" t="str">
        <f ca="1">IF('A-80 DirEntInv'!X68&lt;&gt;"",'A-80 DirEntInv'!X68,IF(INDIRECT(ADDRESS(SumRef!BN75,SumRef!BN$16,,,SumRef!$B$8))="","",INDIRECT(ADDRESS(SumRef!BN75,SumRef!BN$16,,,SumRef!$B$8))))</f>
        <v/>
      </c>
      <c r="Y69" s="1203" t="str">
        <f ca="1">IF('A-80 DirEntInv'!Y68&lt;&gt;"",'A-80 DirEntInv'!Y68,IF(INDIRECT(ADDRESS(SumRef!BO75,SumRef!BO$16,,,SumRef!$B$8))="","",INDIRECT(ADDRESS(SumRef!BO75,SumRef!BO$16,,,SumRef!$B$8))))</f>
        <v/>
      </c>
      <c r="Z69" s="1104" t="str">
        <f ca="1">IF('A-80 DirEntInv'!Z68&lt;&gt;"",'A-80 DirEntInv'!Z68,IF(INDIRECT(ADDRESS(SumRef!BP75,SumRef!BP$16,,,SumRef!$B$8))="","",INDIRECT(ADDRESS(SumRef!BP75,SumRef!BP$16,,,SumRef!$B$8))))</f>
        <v/>
      </c>
      <c r="AA69" s="1104" t="str">
        <f ca="1">IF('A-80 DirEntInv'!AA68&lt;&gt;"",'A-80 DirEntInv'!AA68,IF(INDIRECT(ADDRESS(SumRef!BQ75,SumRef!BQ$16,,,SumRef!$B$8))="","",INDIRECT(ADDRESS(SumRef!BQ75,SumRef!BQ$16,,,SumRef!$B$8))))</f>
        <v/>
      </c>
      <c r="AB69" s="1106" t="str">
        <f ca="1">IF('A-80 DirEntInv'!AB68&lt;&gt;"",'A-80 DirEntInv'!AB68,IF(INDIRECT(ADDRESS(SumRef!BR75,SumRef!BR$16,,,SumRef!$B$8))="","",INDIRECT(ADDRESS(SumRef!BR75,SumRef!BR$16,,,SumRef!$B$8))))</f>
        <v/>
      </c>
      <c r="AC69" s="1107" t="str">
        <f ca="1">IF('A-80 DirEntInv'!AC68&lt;&gt;"",'A-80 DirEntInv'!AC68,IF(INDIRECT(ADDRESS(SumRef!BS75,SumRef!BS$16,,,SumRef!$B$8))="","",INDIRECT(ADDRESS(SumRef!BS75,SumRef!BS$16,,,SumRef!$B$8))))</f>
        <v/>
      </c>
      <c r="AD69" s="1349" t="str">
        <f ca="1">IF('A-80 DirEntInv'!AD68&lt;&gt;"",'A-80 DirEntInv'!AD68,IF(INDIRECT(ADDRESS(SumRef!BT75,SumRef!BT$16,,,SumRef!$B$8))="","",INDIRECT(ADDRESS(SumRef!BT75,SumRef!BT$16,,,SumRef!$B$8))))</f>
        <v/>
      </c>
      <c r="AE69" s="1137" t="str">
        <f ca="1">IF('A-80 DirEntInv'!AE68&lt;&gt;"",'A-80 DirEntInv'!AE68,IF(INDIRECT(ADDRESS(SumRef!BU75,SumRef!BU$16,,,SumRef!$B$8))="","",INDIRECT(ADDRESS(SumRef!BU75,SumRef!BU$16,,,SumRef!$B$8))))</f>
        <v/>
      </c>
      <c r="AF69" s="1346" t="str">
        <f ca="1">IF('A-80 DirEntInv'!AF68&lt;&gt;"",'A-80 DirEntInv'!AF68,IF(INDIRECT(ADDRESS(SumRef!BV75,SumRef!BV$16,,,SumRef!$B$8))="","",INDIRECT(ADDRESS(SumRef!BV75,SumRef!BV$16,,,SumRef!$B$8))))</f>
        <v/>
      </c>
      <c r="AG69" s="1105" t="str">
        <f ca="1">IF('A-80 DirEntInv'!AG68&lt;&gt;"",'A-80 DirEntInv'!AG68,IF(INDIRECT(ADDRESS(SumRef!BW75,SumRef!BW$16,,,SumRef!$B$8))="","",INDIRECT(ADDRESS(SumRef!BW75,SumRef!BW$16,,,SumRef!$B$8))))</f>
        <v/>
      </c>
      <c r="AH69" s="1357" t="str">
        <f ca="1">IF('A-80 DirEntInv'!AH68&lt;&gt;"",'A-80 DirEntInv'!AH68,IF(INDIRECT(ADDRESS(SumRef!BX75,SumRef!BX$16,,,SumRef!$B$8))="","",INDIRECT(ADDRESS(SumRef!BX75,SumRef!BX$16,,,SumRef!$B$8))))</f>
        <v/>
      </c>
      <c r="AK69" s="1041" t="str">
        <f>Codes!$C$160</f>
        <v>CC - Cable Car (PT)</v>
      </c>
      <c r="AL69" s="1042" t="str">
        <f>Valid!$B$73</f>
        <v>Elevated/Retained Fill</v>
      </c>
      <c r="AM69" s="1108" t="str">
        <f>IF('A-80 DirEntInv'!AM68&lt;&gt;"",'A-80 DirEntInv'!AM68,IF(AK69=summaryref2!B14,summaryref2!D14,IF(Summary!AK69=summaryref2!B28,summaryref2!D28,IF(AK69=summaryref2!B42,summaryref2!D42,IF(AK69=summaryref2!B56,summaryref2!D56,IF(AK69=summaryref2!B70,summaryref2!D70,IF(AK69=summaryref2!B84,summaryref2!D84,IF(AK69=summaryref2!B98,summaryref2!D98,IF(AK69=summaryref2!B112,summaryref2!D112,IF(AK69=summaryref2!B126,summaryref2!D126,IF(AK69=summaryref2!B140,summaryref2!D140,"")))))))))))</f>
        <v/>
      </c>
      <c r="AN69" s="1109" t="str">
        <f ca="1">IF('A-80 DirEntInv'!AN54&lt;&gt;"",'A-80 DirEntInv'!AN54,IF(INDIRECT(ADDRESS(SumRef!CG70,SumRef!CG$16,,,SumRef!$C$7))="","",INDIRECT(ADDRESS(SumRef!CG70,SumRef!CG$16,,,SumRef!$C$7))))</f>
        <v>Linear Feet</v>
      </c>
      <c r="AO69" s="1108" t="str">
        <f>IF('A-80 DirEntInv'!AO68&lt;&gt;"",'A-80 DirEntInv'!AO68,IF(AK69=summaryref2!B14,summaryref2!F14,IF(Summary!AK69=summaryref2!B28,summaryref2!F28,IF(AK69=summaryref2!B42,summaryref2!F42,IF(AK69=summaryref2!B56,summaryref2!F56,IF(AK69=summaryref2!B70,summaryref2!F70,IF(AK69=summaryref2!B84,summaryref2!F84,IF(AK69=summaryref2!B98,summaryref2!F98,IF(AK69=summaryref2!B112,summaryref2!F112,IF(AK69=summaryref2!B126,summaryref2!F126,IF(AK69=summaryref2!B140,summaryref2!F140,"")))))))))))</f>
        <v/>
      </c>
      <c r="AP69" s="1109" t="str">
        <f ca="1">IF('A-80 DirEntInv'!AP54&lt;&gt;"",'A-80 DirEntInv'!AP54,IF(INDIRECT(ADDRESS(SumRef!#REF!,SumRef!#REF!,,,SumRef!$C$7))="","",INDIRECT(ADDRESS(SumRef!#REF!,SumRef!#REF!,,,SumRef!$C$7))))</f>
        <v>Track Feet</v>
      </c>
      <c r="AQ69" s="1147" t="str">
        <f>IF('A-80 DirEntInv'!AQ68&lt;&gt;"",'A-80 DirEntInv'!AQ68,IF(AK69=summaryref2!B14,summaryref2!G14,IF(Summary!AK69=summaryref2!B28,summaryref2!G28,IF(AK69=summaryref2!B42,summaryref2!G42,IF(AK69=summaryref2!B56,summaryref2!G56,IF(AK69=summaryref2!B70,summaryref2!G70,IF(AK69=summaryref2!B84,summaryref2!G84,IF(AK69=summaryref2!B98,summaryref2!G98,IF(AK69=summaryref2!B112,summaryref2!G112,IF(AK69=summaryref2!B126,summaryref2!G126,IF(AK69=summaryref2!B140,summaryref2!G140,"")))))))))))</f>
        <v/>
      </c>
      <c r="AR69" s="1147" t="str">
        <f>IF('A-80 DirEntInv'!AR68&lt;&gt;"",'A-80 DirEntInv'!AR68,IF(AK69=summaryref2!B14,summaryref2!H14,IF(Summary!AK69=summaryref2!B28,summaryref2!H28,IF(AK69=summaryref2!B42,summaryref2!H42,IF(AK69=summaryref2!B56,summaryref2!H56,IF(AK69=summaryref2!B70,summaryref2!H70,IF(AK69=summaryref2!B84,summaryref2!H84,IF(AK69=summaryref2!B98,summaryref2!H98,IF(AK69=summaryref2!B112,summaryref2!H112,IF(AK69=summaryref2!B126,summaryref2!H126,IF(AK69=summaryref2!B140,summaryref2!H140,"")))))))))))</f>
        <v/>
      </c>
      <c r="AS69" s="1110" t="str">
        <f>IF('A-80 DirEntInv'!AS68&lt;&gt;"",'A-80 DirEntInv'!AS68,IF(AK69=summaryref2!B14,summaryref2!I14,IF(Summary!AK69=summaryref2!B28,summaryref2!I28,IF(AK69=summaryref2!B42,summaryref2!I42,IF(AK69=summaryref2!B56,summaryref2!I56,IF(AK69=summaryref2!B70,summaryref2!I70,IF(AK69=summaryref2!B84,summaryref2!I84,IF(AK69=summaryref2!B98,summaryref2!I98,IF(AK69=summaryref2!B112,summaryref2!I112,IF(AK69=summaryref2!B126,summaryref2!I126,IF(AK69=summaryref2!B140,summaryref2!I140,"")))))))))))</f>
        <v/>
      </c>
      <c r="AT69" s="1110" t="str">
        <f>IF('A-80 DirEntInv'!AT68&lt;&gt;"",'A-80 DirEntInv'!AT68,IF(AK69=summaryref2!B14,summaryref2!J14,IF(Summary!AK69=summaryref2!B28,summaryref2!J28,IF(AK69=summaryref2!B42,summaryref2!J42,IF(AK69=summaryref2!B56,summaryref2!J56,IF(AK69=summaryref2!B70,summaryref2!J70,IF(AK69=summaryref2!B84,summaryref2!J84,IF(AK69=summaryref2!B98,summaryref2!J98,IF(AK69=summaryref2!B112,summaryref2!J112,IF(AK69=summaryref2!B126,summaryref2!J126,IF(AK69=summaryref2!B140,summaryref2!J140,"")))))))))))</f>
        <v/>
      </c>
      <c r="AU69" s="1110" t="str">
        <f>IF('A-80 DirEntInv'!AU68&lt;&gt;"",'A-80 DirEntInv'!AU68,IF(AK69=summaryref2!B14,summaryref2!K14,IF(Summary!AK69=summaryref2!B28,summaryref2!K28,IF(AK69=summaryref2!B42,summaryref2!K42,IF(AK69=summaryref2!B56,summaryref2!K56,IF(AK69=summaryref2!B70,summaryref2!K70,IF(AK69=summaryref2!B84,summaryref2!K84,IF(AK69=summaryref2!B98,summaryref2!K98,IF(AK69=summaryref2!B112,summaryref2!K112,IF(AK69=summaryref2!B126,summaryref2!K126,IF(AK69=summaryref2!B140,summaryref2!K140,"")))))))))))</f>
        <v/>
      </c>
      <c r="AV69" s="1110" t="str">
        <f>IF('A-80 DirEntInv'!AV68&lt;&gt;"",'A-80 DirEntInv'!AV68,IF(AK69=summaryref2!B14,summaryref2!L14,IF(Summary!AK69=summaryref2!B28,summaryref2!L28,IF(AK69=summaryref2!B42,summaryref2!L42,IF(AK69=summaryref2!B56,summaryref2!L56,IF(AK69=summaryref2!B70,summaryref2!L70,IF(AK69=summaryref2!B84,summaryref2!L84,IF(AK69=summaryref2!B98,summaryref2!L98,IF(AK69=summaryref2!B112,summaryref2!L112,IF(AK69=summaryref2!B126,summaryref2!L126,IF(AK69=summaryref2!B140,summaryref2!L140,"")))))))))))</f>
        <v/>
      </c>
      <c r="AW69" s="1110" t="str">
        <f>IF('A-80 DirEntInv'!AW68&lt;&gt;"",'A-80 DirEntInv'!AW68,IF(AK69=summaryref2!B14,summaryref2!M14,IF(Summary!AK69=summaryref2!B28,summaryref2!M28,IF(AK69=summaryref2!B42,summaryref2!M42,IF(AK69=summaryref2!B56,summaryref2!M56,IF(AK69=summaryref2!B70,summaryref2!M70,IF(AK69=summaryref2!B84,summaryref2!M84,IF(AK69=summaryref2!B98,summaryref2!M98,IF(AK69=summaryref2!B112,summaryref2!M112,IF(AK69=summaryref2!B126,summaryref2!M126,IF(AK69=summaryref2!B140,summaryref2!M140,"")))))))))))</f>
        <v/>
      </c>
      <c r="AX69" s="1110" t="str">
        <f>IF('A-80 DirEntInv'!AX68&lt;&gt;"",'A-80 DirEntInv'!AX68,IF(AK69=summaryref2!B14,summaryref2!N14,IF(Summary!AK69=summaryref2!B28,summaryref2!N28,IF(AK69=summaryref2!B42,summaryref2!N42,IF(AK69=summaryref2!B56,summaryref2!N56,IF(AK69=summaryref2!B70,summaryref2!N70,IF(AK69=summaryref2!B84,summaryref2!N84,IF(AK69=summaryref2!B98,summaryref2!N98,IF(AK69=summaryref2!B112,summaryref2!N112,IF(AK69=summaryref2!B126,summaryref2!N126,IF(AK69=summaryref2!B140,summaryref2!N140,"")))))))))))</f>
        <v/>
      </c>
      <c r="AY69" s="1110" t="str">
        <f>IF('A-80 DirEntInv'!AY68&lt;&gt;"",'A-80 DirEntInv'!AY68,IF(AK69=summaryref2!B14,summaryref2!O14,IF(Summary!AK69=summaryref2!B28,summaryref2!O28,IF(AK69=summaryref2!B42,summaryref2!O42,IF(AK69=summaryref2!B56,summaryref2!O56,IF(AK69=summaryref2!B70,summaryref2!O70,IF(AK69=summaryref2!B84,summaryref2!O84,IF(AK69=summaryref2!B98,summaryref2!O98,IF(AK69=summaryref2!B112,summaryref2!O112,IF(AK69=summaryref2!B126,summaryref2!O126,IF(AK69=summaryref2!B140,summaryref2!O140,"")))))))))))</f>
        <v/>
      </c>
      <c r="AZ69" s="1110" t="str">
        <f>IF('A-80 DirEntInv'!AZ68&lt;&gt;"",'A-80 DirEntInv'!AZ68,IF(AK69=summaryref2!B14,summaryref2!P14,IF(Summary!AK69=summaryref2!B28,summaryref2!P28,IF(AK69=summaryref2!B42,summaryref2!P42,IF(AK69=summaryref2!B56,summaryref2!P56,IF(AK69=summaryref2!B70,summaryref2!P70,IF(AK69=summaryref2!B84,summaryref2!P84,IF(AK69=summaryref2!B98,summaryref2!P98,IF(AK69=summaryref2!B112,summaryref2!P112,IF(AK69=summaryref2!B126,summaryref2!P126,IF(AK69=summaryref2!B140,summaryref2!P140,"")))))))))))</f>
        <v/>
      </c>
      <c r="BA69" s="1110" t="str">
        <f>IF('A-80 DirEntInv'!BA68&lt;&gt;"",'A-80 DirEntInv'!BA68,IF(AK69=summaryref2!B14,summaryref2!Q14,IF(Summary!AK69=summaryref2!B28,summaryref2!Q28,IF(AK69=summaryref2!B42,summaryref2!Q42,IF(AK69=summaryref2!B56,summaryref2!Q56,IF(AK69=summaryref2!B70,summaryref2!Q70,IF(AK69=summaryref2!B84,summaryref2!Q84,IF(AK69=summaryref2!B98,summaryref2!Q98,IF(AK69=summaryref2!B112,summaryref2!Q112,IF(AK69=summaryref2!B126,summaryref2!Q126,IF(AK69=summaryref2!B140,summaryref2!Q140,"")))))))))))</f>
        <v/>
      </c>
      <c r="BB69" s="1110" t="str">
        <f>IF('A-80 DirEntInv'!BB68&lt;&gt;"",'A-80 DirEntInv'!BB68,IF(AK69=summaryref2!B14,summaryref2!R14,IF(Summary!AK69=summaryref2!B28,summaryref2!R28,IF(AK69=summaryref2!B42,summaryref2!R42,IF(AK69=summaryref2!B56,summaryref2!R56,IF(AK69=summaryref2!B70,summaryref2!R70,IF(AK69=summaryref2!B84,summaryref2!R84,IF(AK69=summaryref2!B98,summaryref2!R98,IF(AK69=summaryref2!B112,summaryref2!R112,IF(AK69=summaryref2!B126,summaryref2!R126,IF(AK69=summaryref2!B140,summaryref2!R140,"")))))))))))</f>
        <v/>
      </c>
      <c r="BC69" s="1110" t="str">
        <f>IF('A-80 DirEntInv'!BC68&lt;&gt;0,'A-80 DirEntInv'!BC68,IF(AK69=summaryref2!B14,summaryref2!S14,IF(Summary!AK69=summaryref2!B28,summaryref2!S28,IF(AK69=summaryref2!B42,summaryref2!S42,IF(AK69=summaryref2!B56,summaryref2!S56,IF(AK69=summaryref2!B70,summaryref2!S70,IF(AK69=summaryref2!B84,summaryref2!S84,IF(AK69=summaryref2!B98,summaryref2!S98,IF(AK69=summaryref2!B112,summaryref2!S112,IF(AK69=summaryref2!B126,summaryref2!S126,IF(AK69=summaryref2!B140,summaryref2!S140,"")))))))))))</f>
        <v/>
      </c>
      <c r="BD69" s="1111" t="str">
        <f>IF('A-80 DirEntInv'!BD68&lt;&gt;"",'A-80 DirEntInv'!BD68,IF(AK69=summaryref2!B14,summaryref2!T14,IF(Summary!AK69=summaryref2!B28,summaryref2!T28,IF(AK69=summaryref2!B42,summaryref2!T42,IF(AK69=summaryref2!B56,summaryref2!T56,IF(AK69=summaryref2!B70,summaryref2!T70,IF(AK69=summaryref2!B84,summaryref2!T84,IF(AK69=summaryref2!B98,summaryref2!T98,IF(AK69=summaryref2!B112,summaryref2!T112,IF(AK69=summaryref2!B126,summaryref2!T126,IF(AK69=summaryref2!B140,summaryref2!T140,"")))))))))))</f>
        <v/>
      </c>
      <c r="BE69" s="1184" t="str">
        <f>IF('A-80 DirEntInv'!BE68&lt;&gt;"",'A-80 DirEntInv'!BE68,IF(AK69=summaryref2!B14,summaryref2!U14,IF(Summary!AK69=summaryref2!B28,summaryref2!U28,IF(AK69=summaryref2!B42,summaryref2!U42,IF(AK69=summaryref2!B56,summaryref2!U56,IF(AK69=summaryref2!B70,summaryref2!U70,IF(AK69=summaryref2!B84,summaryref2!U84,IF(AK69=summaryref2!B98,summaryref2!U98,IF(AK69=summaryref2!B112,summaryref2!U112,IF(AK69=summaryref2!B126,summaryref2!U126,IF(AK69=summaryref2!B140,summaryref2!U140,"")))))))))))</f>
        <v/>
      </c>
      <c r="BF69" s="1432"/>
      <c r="BG69" s="1432"/>
      <c r="BJ69" s="1045" t="str">
        <f>Codes!$C$164</f>
        <v>HR - Heavy Rail (PT)</v>
      </c>
      <c r="BK69" s="1046" t="str">
        <f>Valid!$B$82</f>
        <v>Double Diamond Crossover</v>
      </c>
      <c r="BL69" s="1368" t="str">
        <f>IF('A-80 DirEntInv'!BL68&lt;&gt;"",'A-80 DirEntInv'!BL68,IF(BJ69=summaryref2!X14,summaryref2!Z14,IF(BJ69=summaryref2!X21,summaryref2!Z21,IF(BJ69=summaryref2!X28,summaryref2!Z28,IF(BJ69=summaryref2!X35,summaryref2!Z35,IF(BJ69=summaryref2!X42,summaryref2!Z42,IF(BJ69=summaryref2!X49,summaryref2!Z49,IF(BJ69=summaryref2!X56,summaryref2!Z56,IF(BJ69=summaryref2!X63,summaryref2!Z63,IF(BJ69=summaryref2!X70,summaryref2!Z70,IF(BJ69=summaryref2!X77,summaryref2!Z77,"")))))))))))</f>
        <v/>
      </c>
      <c r="BM69" s="1046" t="str">
        <f>VLOOKUP(BK69,Valid!$B$80:$C$86,2,FALSE)</f>
        <v>Each</v>
      </c>
      <c r="BN69" s="1325" t="str">
        <f>IF('A-80 DirEntInv'!BN68&lt;&gt;"",'A-80 DirEntInv'!BN68,IF(BJ69=summaryref2!X14,summaryref2!AB14,IF(BJ69=summaryref2!X21,summaryref2!AB21,IF(BJ69=summaryref2!X28,summaryref2!AB28,IF(BJ69=summaryref2!X35,summaryref2!AB35,IF(BJ69=summaryref2!X42,summaryref2!AB42,IF(BJ69=summaryref2!X49,summaryref2!AB49,IF(BJ69=summaryref2!X56,summaryref2!AB56,IF(BJ69=summaryref2!X63,summaryref2!AB63,IF(BJ69=summaryref2!X70,summaryref2!AB70,IF(BJ69=summaryref2!X77,summaryref2!AB77,"")))))))))))</f>
        <v/>
      </c>
      <c r="BO69" s="1327" t="str">
        <f>IF('A-80 DirEntInv'!BO68&lt;&gt;"",'A-80 DirEntInv'!BO68,IF(BJ69=summaryref2!X14,summaryref2!AC14,IF(BJ69=summaryref2!X21,summaryref2!AC21,IF(BJ69=summaryref2!X28,summaryref2!AC28,IF(BJ69=summaryref2!X35,summaryref2!AC35,IF(BJ69=summaryref2!X42,summaryref2!AC42,IF(BJ69=summaryref2!X49,summaryref2!AC49,IF(BJ69=summaryref2!X56,summaryref2!AC56,IF(BJ69=summaryref2!X63,summaryref2!AC63,IF(BJ69=summaryref2!X70,summaryref2!AC70,IF(BJ69=summaryref2!X77,summaryref2!AC77,"")))))))))))</f>
        <v/>
      </c>
      <c r="BP69" s="1322" t="str">
        <f>IF('A-80 DirEntInv'!BP68&lt;&gt;"",'A-80 DirEntInv'!BP68,IF(BJ69=summaryref2!X14,summaryref2!AD14,IF(BJ69=summaryref2!X21,summaryref2!AD21,IF(BJ69=summaryref2!X28,summaryref2!AD28,IF(BJ69=summaryref2!X35,summaryref2!AD35,IF(BJ69=summaryref2!X42,summaryref2!AD42,IF(BJ69=summaryref2!X49,summaryref2!AD49,IF(BJ69=summaryref2!X56,summaryref2!AD56,IF(BJ69=summaryref2!X63,summaryref2!AD63,IF(BJ69=summaryref2!X70,summaryref2!AD70,IF(BJ69=summaryref2!X77,summaryref2!AD77,"")))))))))))</f>
        <v/>
      </c>
      <c r="BS69" s="1472" t="str">
        <f ca="1">IF('A-80 DirEntInv'!BU68&lt;&gt;"",'A-80 DirEntInv'!BU68,IF(INDIRECT(ADDRESS(SumRef!DK75,SumRef!DK$16,,,SumRef!$E$6))="","",INDIRECT(ADDRESS(SumRef!DK75,SumRef!DK$16,,,SumRef!$E$6))))</f>
        <v/>
      </c>
      <c r="BT69" s="1458" t="str">
        <f ca="1">IF('A-80 DirEntInv'!BV68&lt;&gt;"",'A-80 DirEntInv'!BV68,IF(INDIRECT(ADDRESS(SumRef!DL75,SumRef!DL$16,,,SumRef!$E$6))="","",INDIRECT(ADDRESS(SumRef!DL75,SumRef!DL$16,,,SumRef!$E$6))))</f>
        <v/>
      </c>
      <c r="BU69" s="1177" t="str">
        <f ca="1">IF('A-80 DirEntInv'!BW68&lt;&gt;"",'A-80 DirEntInv'!BW68,IF(INDIRECT(ADDRESS(SumRef!DM75,SumRef!DM$16,,,SumRef!$E$6))="","",INDIRECT(ADDRESS(SumRef!DM75,SumRef!DM$16,,,SumRef!$E$6))))</f>
        <v/>
      </c>
      <c r="BV69" s="1460" t="str">
        <f ca="1">IF('A-80 DirEntInv'!BX68&lt;&gt;"",'A-80 DirEntInv'!BX68,IF(INDIRECT(ADDRESS(SumRef!DN75,SumRef!DN$16,,,SumRef!$E$6))="","",INDIRECT(ADDRESS(SumRef!DN75,SumRef!DN$16,,,SumRef!$E$6))))</f>
        <v/>
      </c>
      <c r="BW69" s="1460" t="str">
        <f ca="1">IF('A-80 DirEntInv'!BY68&lt;&gt;"",'A-80 DirEntInv'!BY68,IF(INDIRECT(ADDRESS(SumRef!DO75,SumRef!DO$16,,,SumRef!$E$6))="","",INDIRECT(ADDRESS(SumRef!DO75,SumRef!DO$16,,,SumRef!$E$6))))</f>
        <v/>
      </c>
      <c r="BX69" s="1116" t="str">
        <f ca="1">IF('A-80 DirEntInv'!BZ68&lt;&gt;"",'A-80 DirEntInv'!BZ68,IF(INDIRECT(ADDRESS(SumRef!DP75,SumRef!DP$16,,,SumRef!$E$6))="","",INDIRECT(ADDRESS(SumRef!DP75,SumRef!DP$16,,,SumRef!$E$6))))</f>
        <v/>
      </c>
      <c r="BY69" s="1461" t="str">
        <f ca="1">IF('A-80 DirEntInv'!CA68&lt;&gt;"",'A-80 DirEntInv'!CA68,IF(INDIRECT(ADDRESS(SumRef!DQ75,SumRef!DQ$16,,,SumRef!$E$6))="","",INDIRECT(ADDRESS(SumRef!DQ75,SumRef!DQ$16,,,SumRef!$E$6))))</f>
        <v/>
      </c>
      <c r="BZ69" s="1460" t="str">
        <f ca="1">IF('A-80 DirEntInv'!CB68&lt;&gt;"",'A-80 DirEntInv'!CB68,IF(INDIRECT(ADDRESS(SumRef!DR75,SumRef!DR$16,,,SumRef!$E$6))="","",INDIRECT(ADDRESS(SumRef!DR75,SumRef!DR$16,,,SumRef!$E$6))))</f>
        <v/>
      </c>
      <c r="CA69" s="1462" t="str">
        <f ca="1">IF('A-80 DirEntInv'!CC68&lt;&gt;"",'A-80 DirEntInv'!CC68,IF(INDIRECT(ADDRESS(SumRef!DS75,SumRef!DS$16,,,SumRef!$E$6))="","",INDIRECT(ADDRESS(SumRef!DS75,SumRef!DS$16,,,SumRef!$E$6))))</f>
        <v/>
      </c>
      <c r="CD69" s="1160" t="str">
        <f ca="1">IF('A-80 DirEntInv'!CF68&lt;&gt;"",'A-80 DirEntInv'!CF68,IF(INDIRECT(ADDRESS(SumRef!DV75,SumRef!DV$16,,,SumRef!$E$7))="","",INDIRECT(ADDRESS(SumRef!DV75,SumRef!DV$16,,,SumRef!$E$7))))</f>
        <v/>
      </c>
      <c r="CE69" s="1167" t="str">
        <f ca="1">IF('A-80 DirEntInv'!CG68&lt;&gt;"",'A-80 DirEntInv'!CG68,IF(INDIRECT(ADDRESS(SumRef!DW75,SumRef!DW$16,,,SumRef!$E$7))="","",INDIRECT(ADDRESS(SumRef!DW75,SumRef!DW$16,,,SumRef!$E$7))))</f>
        <v/>
      </c>
      <c r="CF69" s="1167" t="str">
        <f ca="1">IF('A-80 DirEntInv'!CH68&lt;&gt;"",'A-80 DirEntInv'!CH68,IF(INDIRECT(ADDRESS(SumRef!DX75,SumRef!DX$16,,,SumRef!$E$7))="","",INDIRECT(ADDRESS(SumRef!DX75,SumRef!DX$16,,,SumRef!$E$7))))</f>
        <v/>
      </c>
      <c r="CG69" s="1167" t="str">
        <f ca="1">IF('A-80 DirEntInv'!CI68&lt;&gt;"",'A-80 DirEntInv'!CI68,IF(INDIRECT(ADDRESS(SumRef!DY75,SumRef!DY$16,,,SumRef!$E$7))="","",INDIRECT(ADDRESS(SumRef!DY75,SumRef!DY$16,,,SumRef!$E$7))))</f>
        <v/>
      </c>
      <c r="CH69" s="1167" t="str">
        <f ca="1">IF('A-80 DirEntInv'!CJ68&lt;&gt;"",'A-80 DirEntInv'!CJ68,IF(INDIRECT(ADDRESS(SumRef!DZ75,SumRef!DZ$16,,,SumRef!$E$7))="","",INDIRECT(ADDRESS(SumRef!DZ75,SumRef!DZ$16,,,SumRef!$E$7))))</f>
        <v/>
      </c>
      <c r="CI69" s="1167" t="str">
        <f ca="1">IF('A-80 DirEntInv'!CK68&lt;&gt;"",'A-80 DirEntInv'!CK68,IF(INDIRECT(ADDRESS(SumRef!EA75,SumRef!EA$16,,,SumRef!$E$7))="","",INDIRECT(ADDRESS(SumRef!EA75,SumRef!EA$16,,,SumRef!$E$7))))</f>
        <v/>
      </c>
      <c r="CJ69" s="1114" t="str">
        <f ca="1">IF('A-80 DirEntInv'!CL68&lt;&gt;"",'A-80 DirEntInv'!CL68,IF(INDIRECT(ADDRESS(SumRef!EB75,SumRef!EB$16,,,SumRef!$E$7))="","",INDIRECT(ADDRESS(SumRef!EB75,SumRef!EB$16,,,SumRef!$E$7))))</f>
        <v/>
      </c>
      <c r="CK69" s="1114" t="str">
        <f ca="1">IF('A-80 DirEntInv'!CM68&lt;&gt;"",'A-80 DirEntInv'!CM68,IF(INDIRECT(ADDRESS(SumRef!EC75,SumRef!EC$16,,,SumRef!$E$7))="","",INDIRECT(ADDRESS(SumRef!EC75,SumRef!EC$16,,,SumRef!$E$7))))</f>
        <v/>
      </c>
      <c r="CL69" s="1113" t="str">
        <f ca="1">IF('A-80 DirEntInv'!CO68&lt;&gt;"",'A-80 DirEntInv'!CO68,IF(INDIRECT(ADDRESS(SumRef!ED75,SumRef!ED$16,,,SumRef!$E$7))="","",INDIRECT(ADDRESS(SumRef!ED75,SumRef!ED$16,,,SumRef!$E$7))))</f>
        <v/>
      </c>
      <c r="CM69" s="1114" t="str">
        <f ca="1">IF('A-80 DirEntInv'!CP68&lt;&gt;"",'A-80 DirEntInv'!CP68,IF(INDIRECT(ADDRESS(SumRef!EE75,SumRef!EE$16,,,SumRef!$E$7))="","",INDIRECT(ADDRESS(SumRef!EE75,SumRef!EE$16,,,SumRef!$E$7))))</f>
        <v/>
      </c>
      <c r="CN69" s="1114" t="str">
        <f ca="1">IF('A-80 DirEntInv'!CQ68&lt;&gt;"",'A-80 DirEntInv'!CQ68,IF(INDIRECT(ADDRESS(SumRef!EF75,SumRef!EF$16,,,SumRef!$E$7))="","",INDIRECT(ADDRESS(SumRef!EF75,SumRef!EF$16,,,SumRef!$E$7))))</f>
        <v/>
      </c>
      <c r="CO69" s="1113" t="str">
        <f ca="1">IF('A-80 DirEntInv'!CR68&lt;&gt;"",'A-80 DirEntInv'!CR68,IF(INDIRECT(ADDRESS(SumRef!EG75,SumRef!EG$16,,,SumRef!$E$7))="","",INDIRECT(ADDRESS(SumRef!EG75,SumRef!EG$16,,,SumRef!$E$7))))</f>
        <v/>
      </c>
      <c r="CP69" s="1114" t="str">
        <f ca="1">IF('A-80 DirEntInv'!CS68&lt;&gt;"",'A-80 DirEntInv'!CS68,IF(INDIRECT(ADDRESS(SumRef!EH75,SumRef!EH$16,,,SumRef!$E$7))="","",INDIRECT(ADDRESS(SumRef!EH75,SumRef!EH$16,,,SumRef!$E$7))))</f>
        <v/>
      </c>
      <c r="CQ69" s="1346" t="str">
        <f ca="1">IF('A-80 DirEntInv'!CT68&lt;&gt;"",'A-80 DirEntInv'!CT68,IF(INDIRECT(ADDRESS(SumRef!EI75,SumRef!EI$16,,,SumRef!$E$7))="","",INDIRECT(ADDRESS(SumRef!EI75,SumRef!EI$16,,,SumRef!$E$7))))</f>
        <v/>
      </c>
      <c r="CR69" s="1113" t="str">
        <f ca="1">IF('A-80 DirEntInv'!CU68&lt;&gt;"",'A-80 DirEntInv'!CU68,IF(INDIRECT(ADDRESS(SumRef!EJ75,SumRef!EJ$16,,,SumRef!$E$7))="","",INDIRECT(ADDRESS(SumRef!EJ75,SumRef!EJ$16,,,SumRef!$E$7))))</f>
        <v/>
      </c>
      <c r="CS69" s="1346" t="str">
        <f ca="1">IF('A-80 DirEntInv'!CV68&lt;&gt;"",'A-80 DirEntInv'!CV68,IF(INDIRECT(ADDRESS(SumRef!EM75,SumRef!EM$16,,,SumRef!$E$7))="","",INDIRECT(ADDRESS(SumRef!EM75,SumRef!EM$16,,,SumRef!$E$7))))</f>
        <v/>
      </c>
      <c r="CT69" s="1113" t="str">
        <f ca="1">IF('A-80 DirEntInv'!CW68&lt;&gt;"",'A-80 DirEntInv'!CW68,IF(INDIRECT(ADDRESS(SumRef!EN75,SumRef!EN$16,,,SumRef!$E$7))="","",INDIRECT(ADDRESS(SumRef!EN75,SumRef!EN$16,,,SumRef!$E$7))))</f>
        <v/>
      </c>
      <c r="CU69" s="1113" t="str">
        <f ca="1">IF('A-80 DirEntInv'!CX68&lt;&gt;"",'A-80 DirEntInv'!CX68,IF(INDIRECT(ADDRESS(SumRef!EO75,SumRef!EO$16,,,SumRef!$E$7))="","",INDIRECT(ADDRESS(SumRef!EO75,SumRef!EO$16,,,SumRef!$E$7))))</f>
        <v/>
      </c>
      <c r="CV69" s="1113" t="str">
        <f ca="1">IF('A-80 DirEntInv'!CY68&lt;&gt;"",'A-80 DirEntInv'!CY68,IF(INDIRECT(ADDRESS(SumRef!EP75,SumRef!EP$16,,,SumRef!$E$7))="","",INDIRECT(ADDRESS(SumRef!EP75,SumRef!EP$16,,,SumRef!$E$7))))</f>
        <v/>
      </c>
      <c r="CW69" s="1114" t="str">
        <f ca="1">IF('A-80 DirEntInv'!CZ68&lt;&gt;"",'A-80 DirEntInv'!CZ68,IF(INDIRECT(ADDRESS(SumRef!ES75,SumRef!ES$16,,,SumRef!$E$7))="","",INDIRECT(ADDRESS(SumRef!ES75,SumRef!ES$16,,,SumRef!$E$7))))</f>
        <v/>
      </c>
      <c r="CX69" s="1167" t="str">
        <f ca="1">IF('A-80 DirEntInv'!DA68&lt;&gt;"",'A-80 DirEntInv'!DA68,IF(INDIRECT(ADDRESS(SumRef!ET75,SumRef!ET$16,,,SumRef!$E$7))="","",INDIRECT(ADDRESS(SumRef!ET75,SumRef!ET$16,,,SumRef!$E$7))))</f>
        <v/>
      </c>
      <c r="CY69" s="1167" t="str">
        <f ca="1">IF('A-80 DirEntInv'!DB68&lt;&gt;"",'A-80 DirEntInv'!DB68,IF(INDIRECT(ADDRESS(SumRef!EU75,SumRef!EU$16,,,SumRef!$E$7))="","",INDIRECT(ADDRESS(SumRef!EU75,SumRef!EU$16,,,SumRef!$E$7))))</f>
        <v/>
      </c>
      <c r="CZ69" s="1167" t="b">
        <f ca="1">IF('A-80 DirEntInv'!DC68&lt;&gt;"",'A-80 DirEntInv'!DC68,IF(INDIRECT(ADDRESS(SumRef!EV75,SumRef!EV$16,,,SumRef!$E$7))="","",INDIRECT(ADDRESS(SumRef!EV75,SumRef!EV$16,,,SumRef!$E$7))))</f>
        <v>0</v>
      </c>
      <c r="DA69" s="1373" t="str">
        <f ca="1">IF('A-80 DirEntInv'!DD68&lt;&gt;"",'A-80 DirEntInv'!DD68,IF(INDIRECT(ADDRESS(SumRef!EW75,SumRef!EW$16,,,SumRef!$E$7))="","",INDIRECT(ADDRESS(SumRef!EW75,SumRef!EW$16,,,SumRef!$E$7))))</f>
        <v/>
      </c>
      <c r="DB69" s="1373" t="b">
        <f ca="1">IF('A-80 DirEntInv'!DE68&lt;&gt;"",'A-80 DirEntInv'!DE68,IF(INDIRECT(ADDRESS(SumRef!EX75,SumRef!EX$16,,,SumRef!$E$7))="","",INDIRECT(ADDRESS(SumRef!EX75,SumRef!EX$16,,,SumRef!$E$7))))</f>
        <v>0</v>
      </c>
      <c r="DC69" s="1114" t="b">
        <f ca="1">IF('A-80 DirEntInv'!DF68&lt;&gt;"",'A-80 DirEntInv'!DF68,IF(INDIRECT(ADDRESS(SumRef!EY75,SumRef!EY$16,,,SumRef!$E$7))="","",INDIRECT(ADDRESS(SumRef!EY75,SumRef!EY$16,,,SumRef!$E$7))))</f>
        <v>0</v>
      </c>
      <c r="DD69" s="1115" t="str">
        <f ca="1">IF('A-80 DirEntInv'!DG68&lt;&gt;"",'A-80 DirEntInv'!DG68,IF(INDIRECT(ADDRESS(SumRef!EZ75,SumRef!EZ$16,,,SumRef!$E$7))="","",INDIRECT(ADDRESS(SumRef!EZ75,SumRef!EZ$16,,,SumRef!$E$7))))</f>
        <v/>
      </c>
    </row>
    <row r="70" spans="1:108" s="588" customFormat="1" x14ac:dyDescent="0.2">
      <c r="A70" s="589">
        <f t="shared" si="0"/>
        <v>60</v>
      </c>
      <c r="B70" s="1155" t="str">
        <f ca="1">IF('A-80 DirEntInv'!B69&lt;&gt;"",'A-80 DirEntInv'!B69,IF(INDIRECT(ADDRESS(SumRef!AQ76,SumRef!AQ$16,,,SumRef!$B$7))="","",INDIRECT(ADDRESS(SumRef!AQ76,SumRef!AQ$16,,,SumRef!$B$7))))</f>
        <v/>
      </c>
      <c r="C70" s="1097" t="str">
        <f ca="1">IF('A-80 DirEntInv'!C69&lt;&gt;"",'A-80 DirEntInv'!C69,IF(INDIRECT(ADDRESS(SumRef!AR76,SumRef!AR$16,,,SumRef!$B$7))="","",INDIRECT(ADDRESS(SumRef!AR76,SumRef!AR$16,,,SumRef!$B$7))))</f>
        <v/>
      </c>
      <c r="D70" s="1097" t="str">
        <f ca="1">IF('A-80 DirEntInv'!D69&lt;&gt;"",'A-80 DirEntInv'!D69,IF(INDIRECT(ADDRESS(SumRef!AS76,SumRef!AS$16,,,SumRef!$B$7))="","",INDIRECT(ADDRESS(SumRef!AS76,SumRef!AS$16,,,SumRef!$B$7))))</f>
        <v/>
      </c>
      <c r="E70" s="1097" t="str">
        <f ca="1">IF('A-80 DirEntInv'!E69&lt;&gt;"",'A-80 DirEntInv'!E69,IF(INDIRECT(ADDRESS(SumRef!AT76,SumRef!AT$16,,,SumRef!$B$7))="","",INDIRECT(ADDRESS(SumRef!AT76,SumRef!AT$16,,,SumRef!$B$7))))</f>
        <v/>
      </c>
      <c r="F70" s="1097" t="str">
        <f ca="1">IF('A-80 DirEntInv'!F69&lt;&gt;"",'A-80 DirEntInv'!F69,IF(INDIRECT(ADDRESS(SumRef!AU76,SumRef!AU$16,,,SumRef!$B$7))="","",INDIRECT(ADDRESS(SumRef!AU76,SumRef!AU$16,,,SumRef!$B$7))))</f>
        <v/>
      </c>
      <c r="G70" s="1158" t="str">
        <f ca="1">IF('A-80 DirEntInv'!G69&lt;&gt;"",'A-80 DirEntInv'!G69,IF(INDIRECT(ADDRESS(SumRef!AV76,SumRef!AV$16,,,SumRef!$B$7))="","",INDIRECT(ADDRESS(SumRef!AV76,SumRef!AV$16,,,SumRef!$B$7))))</f>
        <v/>
      </c>
      <c r="H70" s="1097" t="str">
        <f ca="1">IF('A-80 DirEntInv'!H69&lt;&gt;"",'A-80 DirEntInv'!H69,IF(INDIRECT(ADDRESS(SumRef!AW76,SumRef!AW$16,,,SumRef!$B$7))="","",INDIRECT(ADDRESS(SumRef!AW76,SumRef!AW$16,,,SumRef!$B$7))))</f>
        <v/>
      </c>
      <c r="I70" s="1097" t="str">
        <f ca="1">IF('A-80 DirEntInv'!I69&lt;&gt;"",'A-80 DirEntInv'!I69,IF(INDIRECT(ADDRESS(SumRef!AX76,SumRef!AX$16,,,SumRef!$B$7))="","",INDIRECT(ADDRESS(SumRef!AX76,SumRef!AX$16,,,SumRef!$B$7))))</f>
        <v/>
      </c>
      <c r="J70" s="1098" t="str">
        <f ca="1">IF('A-80 DirEntInv'!J69&lt;&gt;"",'A-80 DirEntInv'!J69,IF(INDIRECT(ADDRESS(SumRef!AY76,SumRef!AY$16,,,SumRef!$B$7))="","",INDIRECT(ADDRESS(SumRef!AY76,SumRef!AY$16,,,SumRef!$B$7))))</f>
        <v/>
      </c>
      <c r="K70" s="1099" t="str">
        <f ca="1">IF('A-80 DirEntInv'!K69&lt;&gt;"",'A-80 DirEntInv'!K69,IF(INDIRECT(ADDRESS(SumRef!AZ76,SumRef!AZ$16,,,SumRef!$B$7))="","",INDIRECT(ADDRESS(SumRef!AZ76,SumRef!AZ$16,,,SumRef!$B$7))))</f>
        <v/>
      </c>
      <c r="L70" s="1100" t="str">
        <f ca="1">IF('A-80 DirEntInv'!L69&lt;&gt;"",'A-80 DirEntInv'!L69,IF(INDIRECT(ADDRESS(SumRef!BA76,SumRef!BA$16,,,SumRef!$B$7))="","",INDIRECT(ADDRESS(SumRef!BA76,SumRef!BA$16,,,SumRef!$B$7))))</f>
        <v/>
      </c>
      <c r="M70" s="1101" t="str">
        <f ca="1">IF('A-80 DirEntInv'!M69&lt;&gt;"",'A-80 DirEntInv'!M69,IF(INDIRECT(ADDRESS(SumRef!BB76,SumRef!BB$16,,,SumRef!$B$7))="","",INDIRECT(ADDRESS(SumRef!BB76,SumRef!BB$16,,,SumRef!$B$7))))</f>
        <v/>
      </c>
      <c r="N70" s="1098" t="str">
        <f ca="1">IF('A-80 DirEntInv'!N69&lt;&gt;"",'A-80 DirEntInv'!N69,IF(INDIRECT(ADDRESS(SumRef!BC76,SumRef!BC$16,,,SumRef!$B$7))="","",INDIRECT(ADDRESS(SumRef!BC76,SumRef!BC$16,,,SumRef!$B$7))))</f>
        <v/>
      </c>
      <c r="O70" s="1102" t="str">
        <f ca="1">IF('A-80 DirEntInv'!O69&lt;&gt;"",'A-80 DirEntInv'!O69,IF(INDIRECT(ADDRESS(SumRef!BD76,SumRef!BD$16,,,SumRef!$B$7))="","",INDIRECT(ADDRESS(SumRef!BD76,SumRef!BD$16,,,SumRef!$B$7))))</f>
        <v/>
      </c>
      <c r="Q70" s="589"/>
      <c r="R70" s="1103" t="str">
        <f ca="1">IF('A-80 DirEntInv'!R69&lt;&gt;"",'A-80 DirEntInv'!R69,IF(INDIRECT(ADDRESS(SumRef!BH76,SumRef!BH$16,,,SumRef!$B$8))="","",INDIRECT(ADDRESS(SumRef!BH76,SumRef!BH$16,,,SumRef!$B$8))))</f>
        <v/>
      </c>
      <c r="S70" s="1104" t="str">
        <f ca="1">IF('A-80 DirEntInv'!S69&lt;&gt;"",'A-80 DirEntInv'!S69,IF(INDIRECT(ADDRESS(SumRef!BI76,SumRef!BI$16,,,SumRef!$B$8))="","",INDIRECT(ADDRESS(SumRef!BI76,SumRef!BI$16,,,SumRef!$B$8))))</f>
        <v/>
      </c>
      <c r="T70" s="1104" t="str">
        <f ca="1">IF('A-80 DirEntInv'!T69&lt;&gt;"",'A-80 DirEntInv'!T69,IF(INDIRECT(ADDRESS(SumRef!BJ76,SumRef!BJ$16,,,SumRef!$B$8))="","",INDIRECT(ADDRESS(SumRef!BJ76,SumRef!BJ$16,,,SumRef!$B$8))))</f>
        <v/>
      </c>
      <c r="U70" s="1104" t="str">
        <f ca="1">IF('A-80 DirEntInv'!U69&lt;&gt;"",'A-80 DirEntInv'!U69,IF(INDIRECT(ADDRESS(SumRef!BK76,SumRef!BK$16,,,SumRef!$B$8))="","",INDIRECT(ADDRESS(SumRef!BK76,SumRef!BK$16,,,SumRef!$B$8))))</f>
        <v/>
      </c>
      <c r="V70" s="1104" t="str">
        <f ca="1">IF('A-80 DirEntInv'!V69&lt;&gt;"",'A-80 DirEntInv'!V69,IF(INDIRECT(ADDRESS(SumRef!BL76,SumRef!BL$16,,,SumRef!$B$8))="","",INDIRECT(ADDRESS(SumRef!BL76,SumRef!BL$16,,,SumRef!$B$8))))</f>
        <v/>
      </c>
      <c r="W70" s="1354" t="str">
        <f ca="1">IF('A-80 DirEntInv'!W69&lt;&gt;"",'A-80 DirEntInv'!W69,IF(INDIRECT(ADDRESS(SumRef!BM76,SumRef!BM$16,,,SumRef!$B$8))="","",INDIRECT(ADDRESS(SumRef!BM76,SumRef!BM$16,,,SumRef!$B$8))))</f>
        <v/>
      </c>
      <c r="X70" s="1203" t="str">
        <f ca="1">IF('A-80 DirEntInv'!X69&lt;&gt;"",'A-80 DirEntInv'!X69,IF(INDIRECT(ADDRESS(SumRef!BN76,SumRef!BN$16,,,SumRef!$B$8))="","",INDIRECT(ADDRESS(SumRef!BN76,SumRef!BN$16,,,SumRef!$B$8))))</f>
        <v/>
      </c>
      <c r="Y70" s="1203" t="str">
        <f ca="1">IF('A-80 DirEntInv'!Y69&lt;&gt;"",'A-80 DirEntInv'!Y69,IF(INDIRECT(ADDRESS(SumRef!BO76,SumRef!BO$16,,,SumRef!$B$8))="","",INDIRECT(ADDRESS(SumRef!BO76,SumRef!BO$16,,,SumRef!$B$8))))</f>
        <v/>
      </c>
      <c r="Z70" s="1104" t="str">
        <f ca="1">IF('A-80 DirEntInv'!Z69&lt;&gt;"",'A-80 DirEntInv'!Z69,IF(INDIRECT(ADDRESS(SumRef!BP76,SumRef!BP$16,,,SumRef!$B$8))="","",INDIRECT(ADDRESS(SumRef!BP76,SumRef!BP$16,,,SumRef!$B$8))))</f>
        <v/>
      </c>
      <c r="AA70" s="1104" t="str">
        <f ca="1">IF('A-80 DirEntInv'!AA69&lt;&gt;"",'A-80 DirEntInv'!AA69,IF(INDIRECT(ADDRESS(SumRef!BQ76,SumRef!BQ$16,,,SumRef!$B$8))="","",INDIRECT(ADDRESS(SumRef!BQ76,SumRef!BQ$16,,,SumRef!$B$8))))</f>
        <v/>
      </c>
      <c r="AB70" s="1106" t="str">
        <f ca="1">IF('A-80 DirEntInv'!AB69&lt;&gt;"",'A-80 DirEntInv'!AB69,IF(INDIRECT(ADDRESS(SumRef!BR76,SumRef!BR$16,,,SumRef!$B$8))="","",INDIRECT(ADDRESS(SumRef!BR76,SumRef!BR$16,,,SumRef!$B$8))))</f>
        <v/>
      </c>
      <c r="AC70" s="1107" t="str">
        <f ca="1">IF('A-80 DirEntInv'!AC69&lt;&gt;"",'A-80 DirEntInv'!AC69,IF(INDIRECT(ADDRESS(SumRef!BS76,SumRef!BS$16,,,SumRef!$B$8))="","",INDIRECT(ADDRESS(SumRef!BS76,SumRef!BS$16,,,SumRef!$B$8))))</f>
        <v/>
      </c>
      <c r="AD70" s="1349" t="str">
        <f ca="1">IF('A-80 DirEntInv'!AD69&lt;&gt;"",'A-80 DirEntInv'!AD69,IF(INDIRECT(ADDRESS(SumRef!BT76,SumRef!BT$16,,,SumRef!$B$8))="","",INDIRECT(ADDRESS(SumRef!BT76,SumRef!BT$16,,,SumRef!$B$8))))</f>
        <v/>
      </c>
      <c r="AE70" s="1137" t="str">
        <f ca="1">IF('A-80 DirEntInv'!AE69&lt;&gt;"",'A-80 DirEntInv'!AE69,IF(INDIRECT(ADDRESS(SumRef!BU76,SumRef!BU$16,,,SumRef!$B$8))="","",INDIRECT(ADDRESS(SumRef!BU76,SumRef!BU$16,,,SumRef!$B$8))))</f>
        <v/>
      </c>
      <c r="AF70" s="1346" t="str">
        <f ca="1">IF('A-80 DirEntInv'!AF69&lt;&gt;"",'A-80 DirEntInv'!AF69,IF(INDIRECT(ADDRESS(SumRef!BV76,SumRef!BV$16,,,SumRef!$B$8))="","",INDIRECT(ADDRESS(SumRef!BV76,SumRef!BV$16,,,SumRef!$B$8))))</f>
        <v/>
      </c>
      <c r="AG70" s="1105" t="str">
        <f ca="1">IF('A-80 DirEntInv'!AG69&lt;&gt;"",'A-80 DirEntInv'!AG69,IF(INDIRECT(ADDRESS(SumRef!BW76,SumRef!BW$16,,,SumRef!$B$8))="","",INDIRECT(ADDRESS(SumRef!BW76,SumRef!BW$16,,,SumRef!$B$8))))</f>
        <v/>
      </c>
      <c r="AH70" s="1357" t="str">
        <f ca="1">IF('A-80 DirEntInv'!AH69&lt;&gt;"",'A-80 DirEntInv'!AH69,IF(INDIRECT(ADDRESS(SumRef!BX76,SumRef!BX$16,,,SumRef!$B$8))="","",INDIRECT(ADDRESS(SumRef!BX76,SumRef!BX$16,,,SumRef!$B$8))))</f>
        <v/>
      </c>
      <c r="AK70" s="1041" t="str">
        <f>Codes!$C$160</f>
        <v>CC - Cable Car (PT)</v>
      </c>
      <c r="AL70" s="1042" t="str">
        <f>Valid!$B$74</f>
        <v>Elevated/Concrete</v>
      </c>
      <c r="AM70" s="1108" t="str">
        <f>IF('A-80 DirEntInv'!AM69&lt;&gt;"",'A-80 DirEntInv'!AM69,IF(AK70=summaryref2!B15,summaryref2!D15,IF(Summary!AK70=summaryref2!B29,summaryref2!D29,IF(AK70=summaryref2!B43,summaryref2!D43,IF(AK70=summaryref2!B57,summaryref2!D57,IF(AK70=summaryref2!B71,summaryref2!D71,IF(AK70=summaryref2!B85,summaryref2!D85,IF(AK70=summaryref2!B99,summaryref2!D99,IF(AK70=summaryref2!B113,summaryref2!D113,IF(AK70=summaryref2!B127,summaryref2!D127,IF(AK70=summaryref2!B141,summaryref2!D141,"")))))))))))</f>
        <v/>
      </c>
      <c r="AN70" s="1109" t="str">
        <f ca="1">IF('A-80 DirEntInv'!AN55&lt;&gt;"",'A-80 DirEntInv'!AN55,IF(INDIRECT(ADDRESS(SumRef!CG71,SumRef!CG$16,,,SumRef!$C$7))="","",INDIRECT(ADDRESS(SumRef!CG71,SumRef!CG$16,,,SumRef!$C$7))))</f>
        <v>Linear Feet</v>
      </c>
      <c r="AO70" s="1108" t="str">
        <f>IF('A-80 DirEntInv'!AO69&lt;&gt;"",'A-80 DirEntInv'!AO69,IF(AK70=summaryref2!B15,summaryref2!F15,IF(Summary!AK70=summaryref2!B29,summaryref2!F29,IF(AK70=summaryref2!B43,summaryref2!F43,IF(AK70=summaryref2!B57,summaryref2!F57,IF(AK70=summaryref2!B71,summaryref2!F71,IF(AK70=summaryref2!B85,summaryref2!F85,IF(AK70=summaryref2!B99,summaryref2!F99,IF(AK70=summaryref2!B113,summaryref2!F113,IF(AK70=summaryref2!B127,summaryref2!F127,IF(AK70=summaryref2!B141,summaryref2!F141,"")))))))))))</f>
        <v/>
      </c>
      <c r="AP70" s="1109" t="str">
        <f ca="1">IF('A-80 DirEntInv'!AP55&lt;&gt;"",'A-80 DirEntInv'!AP55,IF(INDIRECT(ADDRESS(SumRef!#REF!,SumRef!#REF!,,,SumRef!$C$7))="","",INDIRECT(ADDRESS(SumRef!#REF!,SumRef!#REF!,,,SumRef!$C$7))))</f>
        <v>Track Feet</v>
      </c>
      <c r="AQ70" s="1147" t="str">
        <f>IF('A-80 DirEntInv'!AQ69&lt;&gt;"",'A-80 DirEntInv'!AQ69,IF(AK70=summaryref2!B15,summaryref2!G15,IF(Summary!AK70=summaryref2!B29,summaryref2!G29,IF(AK70=summaryref2!B43,summaryref2!G43,IF(AK70=summaryref2!B57,summaryref2!G57,IF(AK70=summaryref2!B71,summaryref2!G71,IF(AK70=summaryref2!B85,summaryref2!G85,IF(AK70=summaryref2!B99,summaryref2!G99,IF(AK70=summaryref2!B113,summaryref2!G113,IF(AK70=summaryref2!B127,summaryref2!G127,IF(AK70=summaryref2!B141,summaryref2!G141,"")))))))))))</f>
        <v/>
      </c>
      <c r="AR70" s="1147" t="str">
        <f>IF('A-80 DirEntInv'!AR69&lt;&gt;"",'A-80 DirEntInv'!AR69,IF(AK70=summaryref2!B15,summaryref2!H15,IF(Summary!AK70=summaryref2!B29,summaryref2!H29,IF(AK70=summaryref2!B43,summaryref2!H43,IF(AK70=summaryref2!B57,summaryref2!H57,IF(AK70=summaryref2!B71,summaryref2!H71,IF(AK70=summaryref2!B85,summaryref2!H85,IF(AK70=summaryref2!B99,summaryref2!H99,IF(AK70=summaryref2!B113,summaryref2!H113,IF(AK70=summaryref2!B127,summaryref2!H127,IF(AK70=summaryref2!B141,summaryref2!H141,"")))))))))))</f>
        <v/>
      </c>
      <c r="AS70" s="1110" t="str">
        <f>IF('A-80 DirEntInv'!AS69&lt;&gt;"",'A-80 DirEntInv'!AS69,IF(AK70=summaryref2!B15,summaryref2!I15,IF(Summary!AK70=summaryref2!B29,summaryref2!I29,IF(AK70=summaryref2!B43,summaryref2!I43,IF(AK70=summaryref2!B57,summaryref2!I57,IF(AK70=summaryref2!B71,summaryref2!I71,IF(AK70=summaryref2!B85,summaryref2!I85,IF(AK70=summaryref2!B99,summaryref2!I99,IF(AK70=summaryref2!B113,summaryref2!I113,IF(AK70=summaryref2!B127,summaryref2!I127,IF(AK70=summaryref2!B141,summaryref2!I141,"")))))))))))</f>
        <v/>
      </c>
      <c r="AT70" s="1110" t="str">
        <f>IF('A-80 DirEntInv'!AT69&lt;&gt;"",'A-80 DirEntInv'!AT69,IF(AK70=summaryref2!B15,summaryref2!J15,IF(Summary!AK70=summaryref2!B29,summaryref2!J29,IF(AK70=summaryref2!B43,summaryref2!J43,IF(AK70=summaryref2!B57,summaryref2!J57,IF(AK70=summaryref2!B71,summaryref2!J71,IF(AK70=summaryref2!B85,summaryref2!J85,IF(AK70=summaryref2!B99,summaryref2!J99,IF(AK70=summaryref2!B113,summaryref2!J113,IF(AK70=summaryref2!B127,summaryref2!J127,IF(AK70=summaryref2!B141,summaryref2!J141,"")))))))))))</f>
        <v/>
      </c>
      <c r="AU70" s="1110" t="str">
        <f>IF('A-80 DirEntInv'!AU69&lt;&gt;"",'A-80 DirEntInv'!AU69,IF(AK70=summaryref2!B15,summaryref2!K15,IF(Summary!AK70=summaryref2!B29,summaryref2!K29,IF(AK70=summaryref2!B43,summaryref2!K43,IF(AK70=summaryref2!B57,summaryref2!K57,IF(AK70=summaryref2!B71,summaryref2!K71,IF(AK70=summaryref2!B85,summaryref2!K85,IF(AK70=summaryref2!B99,summaryref2!K99,IF(AK70=summaryref2!B113,summaryref2!K113,IF(AK70=summaryref2!B127,summaryref2!K127,IF(AK70=summaryref2!B141,summaryref2!K141,"")))))))))))</f>
        <v/>
      </c>
      <c r="AV70" s="1110" t="str">
        <f>IF('A-80 DirEntInv'!AV69&lt;&gt;"",'A-80 DirEntInv'!AV69,IF(AK70=summaryref2!B15,summaryref2!L15,IF(Summary!AK70=summaryref2!B29,summaryref2!L29,IF(AK70=summaryref2!B43,summaryref2!L43,IF(AK70=summaryref2!B57,summaryref2!L57,IF(AK70=summaryref2!B71,summaryref2!L71,IF(AK70=summaryref2!B85,summaryref2!L85,IF(AK70=summaryref2!B99,summaryref2!L99,IF(AK70=summaryref2!B113,summaryref2!L113,IF(AK70=summaryref2!B127,summaryref2!L127,IF(AK70=summaryref2!B141,summaryref2!L141,"")))))))))))</f>
        <v/>
      </c>
      <c r="AW70" s="1110" t="str">
        <f>IF('A-80 DirEntInv'!AW69&lt;&gt;"",'A-80 DirEntInv'!AW69,IF(AK70=summaryref2!B15,summaryref2!M15,IF(Summary!AK70=summaryref2!B29,summaryref2!M29,IF(AK70=summaryref2!B43,summaryref2!M43,IF(AK70=summaryref2!B57,summaryref2!M57,IF(AK70=summaryref2!B71,summaryref2!M71,IF(AK70=summaryref2!B85,summaryref2!M85,IF(AK70=summaryref2!B99,summaryref2!M99,IF(AK70=summaryref2!B113,summaryref2!M113,IF(AK70=summaryref2!B127,summaryref2!M127,IF(AK70=summaryref2!B141,summaryref2!M141,"")))))))))))</f>
        <v/>
      </c>
      <c r="AX70" s="1110" t="str">
        <f>IF('A-80 DirEntInv'!AX69&lt;&gt;"",'A-80 DirEntInv'!AX69,IF(AK70=summaryref2!B15,summaryref2!N15,IF(Summary!AK70=summaryref2!B29,summaryref2!N29,IF(AK70=summaryref2!B43,summaryref2!N43,IF(AK70=summaryref2!B57,summaryref2!N57,IF(AK70=summaryref2!B71,summaryref2!N71,IF(AK70=summaryref2!B85,summaryref2!N85,IF(AK70=summaryref2!B99,summaryref2!N99,IF(AK70=summaryref2!B113,summaryref2!N113,IF(AK70=summaryref2!B127,summaryref2!N127,IF(AK70=summaryref2!B141,summaryref2!N141,"")))))))))))</f>
        <v/>
      </c>
      <c r="AY70" s="1110" t="str">
        <f>IF('A-80 DirEntInv'!AY69&lt;&gt;"",'A-80 DirEntInv'!AY69,IF(AK70=summaryref2!B15,summaryref2!O15,IF(Summary!AK70=summaryref2!B29,summaryref2!O29,IF(AK70=summaryref2!B43,summaryref2!O43,IF(AK70=summaryref2!B57,summaryref2!O57,IF(AK70=summaryref2!B71,summaryref2!O71,IF(AK70=summaryref2!B85,summaryref2!O85,IF(AK70=summaryref2!B99,summaryref2!O99,IF(AK70=summaryref2!B113,summaryref2!O113,IF(AK70=summaryref2!B127,summaryref2!O127,IF(AK70=summaryref2!B141,summaryref2!O141,"")))))))))))</f>
        <v/>
      </c>
      <c r="AZ70" s="1110" t="str">
        <f>IF('A-80 DirEntInv'!AZ69&lt;&gt;"",'A-80 DirEntInv'!AZ69,IF(AK70=summaryref2!B15,summaryref2!P15,IF(Summary!AK70=summaryref2!B29,summaryref2!P29,IF(AK70=summaryref2!B43,summaryref2!P43,IF(AK70=summaryref2!B57,summaryref2!P57,IF(AK70=summaryref2!B71,summaryref2!P71,IF(AK70=summaryref2!B85,summaryref2!P85,IF(AK70=summaryref2!B99,summaryref2!P99,IF(AK70=summaryref2!B113,summaryref2!P113,IF(AK70=summaryref2!B127,summaryref2!P127,IF(AK70=summaryref2!B141,summaryref2!P141,"")))))))))))</f>
        <v/>
      </c>
      <c r="BA70" s="1110" t="str">
        <f>IF('A-80 DirEntInv'!BA69&lt;&gt;"",'A-80 DirEntInv'!BA69,IF(AK70=summaryref2!B15,summaryref2!Q15,IF(Summary!AK70=summaryref2!B29,summaryref2!Q29,IF(AK70=summaryref2!B43,summaryref2!Q43,IF(AK70=summaryref2!B57,summaryref2!Q57,IF(AK70=summaryref2!B71,summaryref2!Q71,IF(AK70=summaryref2!B85,summaryref2!Q85,IF(AK70=summaryref2!B99,summaryref2!Q99,IF(AK70=summaryref2!B113,summaryref2!Q113,IF(AK70=summaryref2!B127,summaryref2!Q127,IF(AK70=summaryref2!B141,summaryref2!Q141,"")))))))))))</f>
        <v/>
      </c>
      <c r="BB70" s="1110" t="str">
        <f>IF('A-80 DirEntInv'!BB69&lt;&gt;"",'A-80 DirEntInv'!BB69,IF(AK70=summaryref2!B15,summaryref2!R15,IF(Summary!AK70=summaryref2!B29,summaryref2!R29,IF(AK70=summaryref2!B43,summaryref2!R43,IF(AK70=summaryref2!B57,summaryref2!R57,IF(AK70=summaryref2!B71,summaryref2!R71,IF(AK70=summaryref2!B85,summaryref2!R85,IF(AK70=summaryref2!B99,summaryref2!R99,IF(AK70=summaryref2!B113,summaryref2!R113,IF(AK70=summaryref2!B127,summaryref2!R127,IF(AK70=summaryref2!B141,summaryref2!R141,"")))))))))))</f>
        <v/>
      </c>
      <c r="BC70" s="1110" t="str">
        <f>IF('A-80 DirEntInv'!BC69&lt;&gt;0,'A-80 DirEntInv'!BC69,IF(AK70=summaryref2!B15,summaryref2!S15,IF(Summary!AK70=summaryref2!B29,summaryref2!S29,IF(AK70=summaryref2!B43,summaryref2!S43,IF(AK70=summaryref2!B57,summaryref2!S57,IF(AK70=summaryref2!B71,summaryref2!S71,IF(AK70=summaryref2!B85,summaryref2!S85,IF(AK70=summaryref2!B99,summaryref2!S99,IF(AK70=summaryref2!B113,summaryref2!S113,IF(AK70=summaryref2!B127,summaryref2!S127,IF(AK70=summaryref2!B141,summaryref2!S141,"")))))))))))</f>
        <v/>
      </c>
      <c r="BD70" s="1111" t="str">
        <f>IF('A-80 DirEntInv'!BD69&lt;&gt;"",'A-80 DirEntInv'!BD69,IF(AK70=summaryref2!B15,summaryref2!T15,IF(Summary!AK70=summaryref2!B29,summaryref2!T29,IF(AK70=summaryref2!B43,summaryref2!T43,IF(AK70=summaryref2!B57,summaryref2!T57,IF(AK70=summaryref2!B71,summaryref2!T71,IF(AK70=summaryref2!B85,summaryref2!T85,IF(AK70=summaryref2!B99,summaryref2!T99,IF(AK70=summaryref2!B113,summaryref2!T113,IF(AK70=summaryref2!B127,summaryref2!T127,IF(AK70=summaryref2!B141,summaryref2!T141,"")))))))))))</f>
        <v/>
      </c>
      <c r="BE70" s="1184" t="str">
        <f>IF('A-80 DirEntInv'!BE69&lt;&gt;"",'A-80 DirEntInv'!BE69,IF(AK70=summaryref2!B15,summaryref2!U15,IF(Summary!AK70=summaryref2!B29,summaryref2!U29,IF(AK70=summaryref2!B43,summaryref2!U43,IF(AK70=summaryref2!B57,summaryref2!U57,IF(AK70=summaryref2!B71,summaryref2!U71,IF(AK70=summaryref2!B85,summaryref2!U85,IF(AK70=summaryref2!B99,summaryref2!U99,IF(AK70=summaryref2!B113,summaryref2!U113,IF(AK70=summaryref2!B127,summaryref2!U127,IF(AK70=summaryref2!B141,summaryref2!U141,"")))))))))))</f>
        <v/>
      </c>
      <c r="BF70" s="1432"/>
      <c r="BG70" s="1432"/>
      <c r="BJ70" s="1041" t="str">
        <f>Codes!$C$164</f>
        <v>HR - Heavy Rail (PT)</v>
      </c>
      <c r="BK70" s="1042" t="str">
        <f>Valid!$B$83</f>
        <v>Single Crossover</v>
      </c>
      <c r="BL70" s="1375" t="str">
        <f>IF('A-80 DirEntInv'!BL69&lt;&gt;"",'A-80 DirEntInv'!BL69,IF(BJ70=summaryref2!X15,summaryref2!Z15,IF(BJ70=summaryref2!X22,summaryref2!Z22,IF(BJ70=summaryref2!X29,summaryref2!Z29,IF(BJ70=summaryref2!X36,summaryref2!Z36,IF(BJ70=summaryref2!X43,summaryref2!Z43,IF(BJ70=summaryref2!X50,summaryref2!Z50,IF(BJ70=summaryref2!X57,summaryref2!Z57,IF(BJ70=summaryref2!X64,summaryref2!Z64,IF(BJ70=summaryref2!X71,summaryref2!Z71,IF(BJ70=summaryref2!X78,summaryref2!Z78,"")))))))))))</f>
        <v/>
      </c>
      <c r="BM70" s="1042" t="str">
        <f>VLOOKUP(BK70,Valid!$B$80:$C$86,2,FALSE)</f>
        <v>Each</v>
      </c>
      <c r="BN70" s="1209" t="str">
        <f>IF('A-80 DirEntInv'!BN69&lt;&gt;"",'A-80 DirEntInv'!BN69,IF(BJ70=summaryref2!X15,summaryref2!AB15,IF(BJ70=summaryref2!X22,summaryref2!AB22,IF(BJ70=summaryref2!X29,summaryref2!AB29,IF(BJ70=summaryref2!X36,summaryref2!AB36,IF(BJ70=summaryref2!X43,summaryref2!AB43,IF(BJ70=summaryref2!X50,summaryref2!AB50,IF(BJ70=summaryref2!X57,summaryref2!AB57,IF(BJ70=summaryref2!X64,summaryref2!AB64,IF(BJ70=summaryref2!X71,summaryref2!AB71,IF(BJ70=summaryref2!X78,summaryref2!AB78,"")))))))))))</f>
        <v/>
      </c>
      <c r="BO70" s="1116" t="str">
        <f>IF('A-80 DirEntInv'!BO69&lt;&gt;"",'A-80 DirEntInv'!BO69,IF(BJ70=summaryref2!X15,summaryref2!AC15,IF(BJ70=summaryref2!X22,summaryref2!AC22,IF(BJ70=summaryref2!X29,summaryref2!AC29,IF(BJ70=summaryref2!X36,summaryref2!AC36,IF(BJ70=summaryref2!X43,summaryref2!AC43,IF(BJ70=summaryref2!X50,summaryref2!AC50,IF(BJ70=summaryref2!X57,summaryref2!AC57,IF(BJ70=summaryref2!X64,summaryref2!AC64,IF(BJ70=summaryref2!X71,summaryref2!AC71,IF(BJ70=summaryref2!X78,summaryref2!AC78,"")))))))))))</f>
        <v/>
      </c>
      <c r="BP70" s="1384" t="str">
        <f>IF('A-80 DirEntInv'!BP69&lt;&gt;"",'A-80 DirEntInv'!BP69,IF(BJ70=summaryref2!X15,summaryref2!AD15,IF(BJ70=summaryref2!X22,summaryref2!AD22,IF(BJ70=summaryref2!X29,summaryref2!AD29,IF(BJ70=summaryref2!X36,summaryref2!AD36,IF(BJ70=summaryref2!X43,summaryref2!AD43,IF(BJ70=summaryref2!X50,summaryref2!AD50,IF(BJ70=summaryref2!X57,summaryref2!AD57,IF(BJ70=summaryref2!X64,summaryref2!AD64,IF(BJ70=summaryref2!X71,summaryref2!AD71,IF(BJ70=summaryref2!X78,summaryref2!AD78,"")))))))))))</f>
        <v/>
      </c>
      <c r="BS70" s="1472" t="str">
        <f ca="1">IF('A-80 DirEntInv'!BU69&lt;&gt;"",'A-80 DirEntInv'!BU69,IF(INDIRECT(ADDRESS(SumRef!DK76,SumRef!DK$16,,,SumRef!$E$6))="","",INDIRECT(ADDRESS(SumRef!DK76,SumRef!DK$16,,,SumRef!$E$6))))</f>
        <v/>
      </c>
      <c r="BT70" s="1458" t="str">
        <f ca="1">IF('A-80 DirEntInv'!BV69&lt;&gt;"",'A-80 DirEntInv'!BV69,IF(INDIRECT(ADDRESS(SumRef!DL76,SumRef!DL$16,,,SumRef!$E$6))="","",INDIRECT(ADDRESS(SumRef!DL76,SumRef!DL$16,,,SumRef!$E$6))))</f>
        <v/>
      </c>
      <c r="BU70" s="1177" t="str">
        <f ca="1">IF('A-80 DirEntInv'!BW69&lt;&gt;"",'A-80 DirEntInv'!BW69,IF(INDIRECT(ADDRESS(SumRef!DM76,SumRef!DM$16,,,SumRef!$E$6))="","",INDIRECT(ADDRESS(SumRef!DM76,SumRef!DM$16,,,SumRef!$E$6))))</f>
        <v/>
      </c>
      <c r="BV70" s="1460" t="str">
        <f ca="1">IF('A-80 DirEntInv'!BX69&lt;&gt;"",'A-80 DirEntInv'!BX69,IF(INDIRECT(ADDRESS(SumRef!DN76,SumRef!DN$16,,,SumRef!$E$6))="","",INDIRECT(ADDRESS(SumRef!DN76,SumRef!DN$16,,,SumRef!$E$6))))</f>
        <v/>
      </c>
      <c r="BW70" s="1460" t="str">
        <f ca="1">IF('A-80 DirEntInv'!BY69&lt;&gt;"",'A-80 DirEntInv'!BY69,IF(INDIRECT(ADDRESS(SumRef!DO76,SumRef!DO$16,,,SumRef!$E$6))="","",INDIRECT(ADDRESS(SumRef!DO76,SumRef!DO$16,,,SumRef!$E$6))))</f>
        <v/>
      </c>
      <c r="BX70" s="1116" t="str">
        <f ca="1">IF('A-80 DirEntInv'!BZ69&lt;&gt;"",'A-80 DirEntInv'!BZ69,IF(INDIRECT(ADDRESS(SumRef!DP76,SumRef!DP$16,,,SumRef!$E$6))="","",INDIRECT(ADDRESS(SumRef!DP76,SumRef!DP$16,,,SumRef!$E$6))))</f>
        <v/>
      </c>
      <c r="BY70" s="1461" t="str">
        <f ca="1">IF('A-80 DirEntInv'!CA69&lt;&gt;"",'A-80 DirEntInv'!CA69,IF(INDIRECT(ADDRESS(SumRef!DQ76,SumRef!DQ$16,,,SumRef!$E$6))="","",INDIRECT(ADDRESS(SumRef!DQ76,SumRef!DQ$16,,,SumRef!$E$6))))</f>
        <v/>
      </c>
      <c r="BZ70" s="1460" t="str">
        <f ca="1">IF('A-80 DirEntInv'!CB69&lt;&gt;"",'A-80 DirEntInv'!CB69,IF(INDIRECT(ADDRESS(SumRef!DR76,SumRef!DR$16,,,SumRef!$E$6))="","",INDIRECT(ADDRESS(SumRef!DR76,SumRef!DR$16,,,SumRef!$E$6))))</f>
        <v/>
      </c>
      <c r="CA70" s="1462" t="str">
        <f ca="1">IF('A-80 DirEntInv'!CC69&lt;&gt;"",'A-80 DirEntInv'!CC69,IF(INDIRECT(ADDRESS(SumRef!DS76,SumRef!DS$16,,,SumRef!$E$6))="","",INDIRECT(ADDRESS(SumRef!DS76,SumRef!DS$16,,,SumRef!$E$6))))</f>
        <v/>
      </c>
      <c r="CD70" s="1160" t="str">
        <f ca="1">IF('A-80 DirEntInv'!CF69&lt;&gt;"",'A-80 DirEntInv'!CF69,IF(INDIRECT(ADDRESS(SumRef!DV76,SumRef!DV$16,,,SumRef!$E$7))="","",INDIRECT(ADDRESS(SumRef!DV76,SumRef!DV$16,,,SumRef!$E$7))))</f>
        <v/>
      </c>
      <c r="CE70" s="1167" t="str">
        <f ca="1">IF('A-80 DirEntInv'!CG69&lt;&gt;"",'A-80 DirEntInv'!CG69,IF(INDIRECT(ADDRESS(SumRef!DW76,SumRef!DW$16,,,SumRef!$E$7))="","",INDIRECT(ADDRESS(SumRef!DW76,SumRef!DW$16,,,SumRef!$E$7))))</f>
        <v/>
      </c>
      <c r="CF70" s="1167" t="str">
        <f ca="1">IF('A-80 DirEntInv'!CH69&lt;&gt;"",'A-80 DirEntInv'!CH69,IF(INDIRECT(ADDRESS(SumRef!DX76,SumRef!DX$16,,,SumRef!$E$7))="","",INDIRECT(ADDRESS(SumRef!DX76,SumRef!DX$16,,,SumRef!$E$7))))</f>
        <v/>
      </c>
      <c r="CG70" s="1167" t="str">
        <f ca="1">IF('A-80 DirEntInv'!CI69&lt;&gt;"",'A-80 DirEntInv'!CI69,IF(INDIRECT(ADDRESS(SumRef!DY76,SumRef!DY$16,,,SumRef!$E$7))="","",INDIRECT(ADDRESS(SumRef!DY76,SumRef!DY$16,,,SumRef!$E$7))))</f>
        <v/>
      </c>
      <c r="CH70" s="1167" t="str">
        <f ca="1">IF('A-80 DirEntInv'!CJ69&lt;&gt;"",'A-80 DirEntInv'!CJ69,IF(INDIRECT(ADDRESS(SumRef!DZ76,SumRef!DZ$16,,,SumRef!$E$7))="","",INDIRECT(ADDRESS(SumRef!DZ76,SumRef!DZ$16,,,SumRef!$E$7))))</f>
        <v/>
      </c>
      <c r="CI70" s="1167" t="str">
        <f ca="1">IF('A-80 DirEntInv'!CK69&lt;&gt;"",'A-80 DirEntInv'!CK69,IF(INDIRECT(ADDRESS(SumRef!EA76,SumRef!EA$16,,,SumRef!$E$7))="","",INDIRECT(ADDRESS(SumRef!EA76,SumRef!EA$16,,,SumRef!$E$7))))</f>
        <v/>
      </c>
      <c r="CJ70" s="1114" t="str">
        <f ca="1">IF('A-80 DirEntInv'!CL69&lt;&gt;"",'A-80 DirEntInv'!CL69,IF(INDIRECT(ADDRESS(SumRef!EB76,SumRef!EB$16,,,SumRef!$E$7))="","",INDIRECT(ADDRESS(SumRef!EB76,SumRef!EB$16,,,SumRef!$E$7))))</f>
        <v/>
      </c>
      <c r="CK70" s="1114" t="str">
        <f ca="1">IF('A-80 DirEntInv'!CM69&lt;&gt;"",'A-80 DirEntInv'!CM69,IF(INDIRECT(ADDRESS(SumRef!EC76,SumRef!EC$16,,,SumRef!$E$7))="","",INDIRECT(ADDRESS(SumRef!EC76,SumRef!EC$16,,,SumRef!$E$7))))</f>
        <v/>
      </c>
      <c r="CL70" s="1113" t="str">
        <f ca="1">IF('A-80 DirEntInv'!CO69&lt;&gt;"",'A-80 DirEntInv'!CO69,IF(INDIRECT(ADDRESS(SumRef!ED76,SumRef!ED$16,,,SumRef!$E$7))="","",INDIRECT(ADDRESS(SumRef!ED76,SumRef!ED$16,,,SumRef!$E$7))))</f>
        <v/>
      </c>
      <c r="CM70" s="1114" t="str">
        <f ca="1">IF('A-80 DirEntInv'!CP69&lt;&gt;"",'A-80 DirEntInv'!CP69,IF(INDIRECT(ADDRESS(SumRef!EE76,SumRef!EE$16,,,SumRef!$E$7))="","",INDIRECT(ADDRESS(SumRef!EE76,SumRef!EE$16,,,SumRef!$E$7))))</f>
        <v/>
      </c>
      <c r="CN70" s="1114" t="str">
        <f ca="1">IF('A-80 DirEntInv'!CQ69&lt;&gt;"",'A-80 DirEntInv'!CQ69,IF(INDIRECT(ADDRESS(SumRef!EF76,SumRef!EF$16,,,SumRef!$E$7))="","",INDIRECT(ADDRESS(SumRef!EF76,SumRef!EF$16,,,SumRef!$E$7))))</f>
        <v/>
      </c>
      <c r="CO70" s="1113" t="str">
        <f ca="1">IF('A-80 DirEntInv'!CR69&lt;&gt;"",'A-80 DirEntInv'!CR69,IF(INDIRECT(ADDRESS(SumRef!EG76,SumRef!EG$16,,,SumRef!$E$7))="","",INDIRECT(ADDRESS(SumRef!EG76,SumRef!EG$16,,,SumRef!$E$7))))</f>
        <v/>
      </c>
      <c r="CP70" s="1114" t="str">
        <f ca="1">IF('A-80 DirEntInv'!CS69&lt;&gt;"",'A-80 DirEntInv'!CS69,IF(INDIRECT(ADDRESS(SumRef!EH76,SumRef!EH$16,,,SumRef!$E$7))="","",INDIRECT(ADDRESS(SumRef!EH76,SumRef!EH$16,,,SumRef!$E$7))))</f>
        <v/>
      </c>
      <c r="CQ70" s="1346" t="str">
        <f ca="1">IF('A-80 DirEntInv'!CT69&lt;&gt;"",'A-80 DirEntInv'!CT69,IF(INDIRECT(ADDRESS(SumRef!EI76,SumRef!EI$16,,,SumRef!$E$7))="","",INDIRECT(ADDRESS(SumRef!EI76,SumRef!EI$16,,,SumRef!$E$7))))</f>
        <v/>
      </c>
      <c r="CR70" s="1113" t="str">
        <f ca="1">IF('A-80 DirEntInv'!CU69&lt;&gt;"",'A-80 DirEntInv'!CU69,IF(INDIRECT(ADDRESS(SumRef!EJ76,SumRef!EJ$16,,,SumRef!$E$7))="","",INDIRECT(ADDRESS(SumRef!EJ76,SumRef!EJ$16,,,SumRef!$E$7))))</f>
        <v/>
      </c>
      <c r="CS70" s="1346" t="str">
        <f ca="1">IF('A-80 DirEntInv'!CV69&lt;&gt;"",'A-80 DirEntInv'!CV69,IF(INDIRECT(ADDRESS(SumRef!EM76,SumRef!EM$16,,,SumRef!$E$7))="","",INDIRECT(ADDRESS(SumRef!EM76,SumRef!EM$16,,,SumRef!$E$7))))</f>
        <v/>
      </c>
      <c r="CT70" s="1113" t="str">
        <f ca="1">IF('A-80 DirEntInv'!CW69&lt;&gt;"",'A-80 DirEntInv'!CW69,IF(INDIRECT(ADDRESS(SumRef!EN76,SumRef!EN$16,,,SumRef!$E$7))="","",INDIRECT(ADDRESS(SumRef!EN76,SumRef!EN$16,,,SumRef!$E$7))))</f>
        <v/>
      </c>
      <c r="CU70" s="1113" t="str">
        <f ca="1">IF('A-80 DirEntInv'!CX69&lt;&gt;"",'A-80 DirEntInv'!CX69,IF(INDIRECT(ADDRESS(SumRef!EO76,SumRef!EO$16,,,SumRef!$E$7))="","",INDIRECT(ADDRESS(SumRef!EO76,SumRef!EO$16,,,SumRef!$E$7))))</f>
        <v/>
      </c>
      <c r="CV70" s="1113" t="str">
        <f ca="1">IF('A-80 DirEntInv'!CY69&lt;&gt;"",'A-80 DirEntInv'!CY69,IF(INDIRECT(ADDRESS(SumRef!EP76,SumRef!EP$16,,,SumRef!$E$7))="","",INDIRECT(ADDRESS(SumRef!EP76,SumRef!EP$16,,,SumRef!$E$7))))</f>
        <v/>
      </c>
      <c r="CW70" s="1114" t="str">
        <f ca="1">IF('A-80 DirEntInv'!CZ69&lt;&gt;"",'A-80 DirEntInv'!CZ69,IF(INDIRECT(ADDRESS(SumRef!ES76,SumRef!ES$16,,,SumRef!$E$7))="","",INDIRECT(ADDRESS(SumRef!ES76,SumRef!ES$16,,,SumRef!$E$7))))</f>
        <v/>
      </c>
      <c r="CX70" s="1167" t="str">
        <f ca="1">IF('A-80 DirEntInv'!DA69&lt;&gt;"",'A-80 DirEntInv'!DA69,IF(INDIRECT(ADDRESS(SumRef!ET76,SumRef!ET$16,,,SumRef!$E$7))="","",INDIRECT(ADDRESS(SumRef!ET76,SumRef!ET$16,,,SumRef!$E$7))))</f>
        <v/>
      </c>
      <c r="CY70" s="1167" t="str">
        <f ca="1">IF('A-80 DirEntInv'!DB69&lt;&gt;"",'A-80 DirEntInv'!DB69,IF(INDIRECT(ADDRESS(SumRef!EU76,SumRef!EU$16,,,SumRef!$E$7))="","",INDIRECT(ADDRESS(SumRef!EU76,SumRef!EU$16,,,SumRef!$E$7))))</f>
        <v/>
      </c>
      <c r="CZ70" s="1167" t="b">
        <f ca="1">IF('A-80 DirEntInv'!DC69&lt;&gt;"",'A-80 DirEntInv'!DC69,IF(INDIRECT(ADDRESS(SumRef!EV76,SumRef!EV$16,,,SumRef!$E$7))="","",INDIRECT(ADDRESS(SumRef!EV76,SumRef!EV$16,,,SumRef!$E$7))))</f>
        <v>0</v>
      </c>
      <c r="DA70" s="1373" t="str">
        <f ca="1">IF('A-80 DirEntInv'!DD69&lt;&gt;"",'A-80 DirEntInv'!DD69,IF(INDIRECT(ADDRESS(SumRef!EW76,SumRef!EW$16,,,SumRef!$E$7))="","",INDIRECT(ADDRESS(SumRef!EW76,SumRef!EW$16,,,SumRef!$E$7))))</f>
        <v/>
      </c>
      <c r="DB70" s="1373" t="b">
        <f ca="1">IF('A-80 DirEntInv'!DE69&lt;&gt;"",'A-80 DirEntInv'!DE69,IF(INDIRECT(ADDRESS(SumRef!EX76,SumRef!EX$16,,,SumRef!$E$7))="","",INDIRECT(ADDRESS(SumRef!EX76,SumRef!EX$16,,,SumRef!$E$7))))</f>
        <v>0</v>
      </c>
      <c r="DC70" s="1114" t="b">
        <f ca="1">IF('A-80 DirEntInv'!DF69&lt;&gt;"",'A-80 DirEntInv'!DF69,IF(INDIRECT(ADDRESS(SumRef!EY76,SumRef!EY$16,,,SumRef!$E$7))="","",INDIRECT(ADDRESS(SumRef!EY76,SumRef!EY$16,,,SumRef!$E$7))))</f>
        <v>0</v>
      </c>
      <c r="DD70" s="1115" t="str">
        <f ca="1">IF('A-80 DirEntInv'!DG69&lt;&gt;"",'A-80 DirEntInv'!DG69,IF(INDIRECT(ADDRESS(SumRef!EZ76,SumRef!EZ$16,,,SumRef!$E$7))="","",INDIRECT(ADDRESS(SumRef!EZ76,SumRef!EZ$16,,,SumRef!$E$7))))</f>
        <v/>
      </c>
    </row>
    <row r="71" spans="1:108" s="588" customFormat="1" x14ac:dyDescent="0.2">
      <c r="A71" s="589">
        <f>A70+1</f>
        <v>61</v>
      </c>
      <c r="B71" s="1155" t="str">
        <f ca="1">IF('A-80 DirEntInv'!B70&lt;&gt;"",'A-80 DirEntInv'!B70,IF(INDIRECT(ADDRESS(SumRef!AQ77,SumRef!AQ$16,,,SumRef!$B$7))="","",INDIRECT(ADDRESS(SumRef!AQ77,SumRef!AQ$16,,,SumRef!$B$7))))</f>
        <v/>
      </c>
      <c r="C71" s="1097" t="str">
        <f ca="1">IF('A-80 DirEntInv'!C70&lt;&gt;"",'A-80 DirEntInv'!C70,IF(INDIRECT(ADDRESS(SumRef!AR77,SumRef!AR$16,,,SumRef!$B$7))="","",INDIRECT(ADDRESS(SumRef!AR77,SumRef!AR$16,,,SumRef!$B$7))))</f>
        <v/>
      </c>
      <c r="D71" s="1097" t="str">
        <f ca="1">IF('A-80 DirEntInv'!D70&lt;&gt;"",'A-80 DirEntInv'!D70,IF(INDIRECT(ADDRESS(SumRef!AS77,SumRef!AS$16,,,SumRef!$B$7))="","",INDIRECT(ADDRESS(SumRef!AS77,SumRef!AS$16,,,SumRef!$B$7))))</f>
        <v/>
      </c>
      <c r="E71" s="1097" t="str">
        <f ca="1">IF('A-80 DirEntInv'!E70&lt;&gt;"",'A-80 DirEntInv'!E70,IF(INDIRECT(ADDRESS(SumRef!AT77,SumRef!AT$16,,,SumRef!$B$7))="","",INDIRECT(ADDRESS(SumRef!AT77,SumRef!AT$16,,,SumRef!$B$7))))</f>
        <v/>
      </c>
      <c r="F71" s="1097" t="str">
        <f ca="1">IF('A-80 DirEntInv'!F70&lt;&gt;"",'A-80 DirEntInv'!F70,IF(INDIRECT(ADDRESS(SumRef!AU77,SumRef!AU$16,,,SumRef!$B$7))="","",INDIRECT(ADDRESS(SumRef!AU77,SumRef!AU$16,,,SumRef!$B$7))))</f>
        <v/>
      </c>
      <c r="G71" s="1158" t="str">
        <f ca="1">IF('A-80 DirEntInv'!G70&lt;&gt;"",'A-80 DirEntInv'!G70,IF(INDIRECT(ADDRESS(SumRef!AV77,SumRef!AV$16,,,SumRef!$B$7))="","",INDIRECT(ADDRESS(SumRef!AV77,SumRef!AV$16,,,SumRef!$B$7))))</f>
        <v/>
      </c>
      <c r="H71" s="1097" t="str">
        <f ca="1">IF('A-80 DirEntInv'!H70&lt;&gt;"",'A-80 DirEntInv'!H70,IF(INDIRECT(ADDRESS(SumRef!AW77,SumRef!AW$16,,,SumRef!$B$7))="","",INDIRECT(ADDRESS(SumRef!AW77,SumRef!AW$16,,,SumRef!$B$7))))</f>
        <v/>
      </c>
      <c r="I71" s="1097" t="str">
        <f ca="1">IF('A-80 DirEntInv'!I70&lt;&gt;"",'A-80 DirEntInv'!I70,IF(INDIRECT(ADDRESS(SumRef!AX77,SumRef!AX$16,,,SumRef!$B$7))="","",INDIRECT(ADDRESS(SumRef!AX77,SumRef!AX$16,,,SumRef!$B$7))))</f>
        <v/>
      </c>
      <c r="J71" s="1098" t="str">
        <f ca="1">IF('A-80 DirEntInv'!J70&lt;&gt;"",'A-80 DirEntInv'!J70,IF(INDIRECT(ADDRESS(SumRef!AY77,SumRef!AY$16,,,SumRef!$B$7))="","",INDIRECT(ADDRESS(SumRef!AY77,SumRef!AY$16,,,SumRef!$B$7))))</f>
        <v/>
      </c>
      <c r="K71" s="1099" t="str">
        <f ca="1">IF('A-80 DirEntInv'!K70&lt;&gt;"",'A-80 DirEntInv'!K70,IF(INDIRECT(ADDRESS(SumRef!AZ77,SumRef!AZ$16,,,SumRef!$B$7))="","",INDIRECT(ADDRESS(SumRef!AZ77,SumRef!AZ$16,,,SumRef!$B$7))))</f>
        <v/>
      </c>
      <c r="L71" s="1100" t="str">
        <f ca="1">IF('A-80 DirEntInv'!L70&lt;&gt;"",'A-80 DirEntInv'!L70,IF(INDIRECT(ADDRESS(SumRef!BA77,SumRef!BA$16,,,SumRef!$B$7))="","",INDIRECT(ADDRESS(SumRef!BA77,SumRef!BA$16,,,SumRef!$B$7))))</f>
        <v/>
      </c>
      <c r="M71" s="1101" t="str">
        <f ca="1">IF('A-80 DirEntInv'!M70&lt;&gt;"",'A-80 DirEntInv'!M70,IF(INDIRECT(ADDRESS(SumRef!BB77,SumRef!BB$16,,,SumRef!$B$7))="","",INDIRECT(ADDRESS(SumRef!BB77,SumRef!BB$16,,,SumRef!$B$7))))</f>
        <v/>
      </c>
      <c r="N71" s="1098" t="str">
        <f ca="1">IF('A-80 DirEntInv'!N70&lt;&gt;"",'A-80 DirEntInv'!N70,IF(INDIRECT(ADDRESS(SumRef!BC77,SumRef!BC$16,,,SumRef!$B$7))="","",INDIRECT(ADDRESS(SumRef!BC77,SumRef!BC$16,,,SumRef!$B$7))))</f>
        <v/>
      </c>
      <c r="O71" s="1102" t="str">
        <f ca="1">IF('A-80 DirEntInv'!O70&lt;&gt;"",'A-80 DirEntInv'!O70,IF(INDIRECT(ADDRESS(SumRef!BD77,SumRef!BD$16,,,SumRef!$B$7))="","",INDIRECT(ADDRESS(SumRef!BD77,SumRef!BD$16,,,SumRef!$B$7))))</f>
        <v/>
      </c>
      <c r="Q71" s="589"/>
      <c r="R71" s="1103" t="str">
        <f ca="1">IF('A-80 DirEntInv'!R70&lt;&gt;"",'A-80 DirEntInv'!R70,IF(INDIRECT(ADDRESS(SumRef!BH77,SumRef!BH$16,,,SumRef!$B$8))="","",INDIRECT(ADDRESS(SumRef!BH77,SumRef!BH$16,,,SumRef!$B$8))))</f>
        <v/>
      </c>
      <c r="S71" s="1104" t="str">
        <f ca="1">IF('A-80 DirEntInv'!S70&lt;&gt;"",'A-80 DirEntInv'!S70,IF(INDIRECT(ADDRESS(SumRef!BI77,SumRef!BI$16,,,SumRef!$B$8))="","",INDIRECT(ADDRESS(SumRef!BI77,SumRef!BI$16,,,SumRef!$B$8))))</f>
        <v/>
      </c>
      <c r="T71" s="1104" t="str">
        <f ca="1">IF('A-80 DirEntInv'!T70&lt;&gt;"",'A-80 DirEntInv'!T70,IF(INDIRECT(ADDRESS(SumRef!BJ77,SumRef!BJ$16,,,SumRef!$B$8))="","",INDIRECT(ADDRESS(SumRef!BJ77,SumRef!BJ$16,,,SumRef!$B$8))))</f>
        <v/>
      </c>
      <c r="U71" s="1104" t="str">
        <f ca="1">IF('A-80 DirEntInv'!U70&lt;&gt;"",'A-80 DirEntInv'!U70,IF(INDIRECT(ADDRESS(SumRef!BK77,SumRef!BK$16,,,SumRef!$B$8))="","",INDIRECT(ADDRESS(SumRef!BK77,SumRef!BK$16,,,SumRef!$B$8))))</f>
        <v/>
      </c>
      <c r="V71" s="1104" t="str">
        <f ca="1">IF('A-80 DirEntInv'!V70&lt;&gt;"",'A-80 DirEntInv'!V70,IF(INDIRECT(ADDRESS(SumRef!BL77,SumRef!BL$16,,,SumRef!$B$8))="","",INDIRECT(ADDRESS(SumRef!BL77,SumRef!BL$16,,,SumRef!$B$8))))</f>
        <v/>
      </c>
      <c r="W71" s="1354" t="str">
        <f ca="1">IF('A-80 DirEntInv'!W70&lt;&gt;"",'A-80 DirEntInv'!W70,IF(INDIRECT(ADDRESS(SumRef!BM77,SumRef!BM$16,,,SumRef!$B$8))="","",INDIRECT(ADDRESS(SumRef!BM77,SumRef!BM$16,,,SumRef!$B$8))))</f>
        <v/>
      </c>
      <c r="X71" s="1203" t="str">
        <f ca="1">IF('A-80 DirEntInv'!X70&lt;&gt;"",'A-80 DirEntInv'!X70,IF(INDIRECT(ADDRESS(SumRef!BN77,SumRef!BN$16,,,SumRef!$B$8))="","",INDIRECT(ADDRESS(SumRef!BN77,SumRef!BN$16,,,SumRef!$B$8))))</f>
        <v/>
      </c>
      <c r="Y71" s="1203" t="str">
        <f ca="1">IF('A-80 DirEntInv'!Y70&lt;&gt;"",'A-80 DirEntInv'!Y70,IF(INDIRECT(ADDRESS(SumRef!BO77,SumRef!BO$16,,,SumRef!$B$8))="","",INDIRECT(ADDRESS(SumRef!BO77,SumRef!BO$16,,,SumRef!$B$8))))</f>
        <v/>
      </c>
      <c r="Z71" s="1104" t="str">
        <f ca="1">IF('A-80 DirEntInv'!Z70&lt;&gt;"",'A-80 DirEntInv'!Z70,IF(INDIRECT(ADDRESS(SumRef!BP77,SumRef!BP$16,,,SumRef!$B$8))="","",INDIRECT(ADDRESS(SumRef!BP77,SumRef!BP$16,,,SumRef!$B$8))))</f>
        <v/>
      </c>
      <c r="AA71" s="1104" t="str">
        <f ca="1">IF('A-80 DirEntInv'!AA70&lt;&gt;"",'A-80 DirEntInv'!AA70,IF(INDIRECT(ADDRESS(SumRef!BQ77,SumRef!BQ$16,,,SumRef!$B$8))="","",INDIRECT(ADDRESS(SumRef!BQ77,SumRef!BQ$16,,,SumRef!$B$8))))</f>
        <v/>
      </c>
      <c r="AB71" s="1106" t="str">
        <f ca="1">IF('A-80 DirEntInv'!AB70&lt;&gt;"",'A-80 DirEntInv'!AB70,IF(INDIRECT(ADDRESS(SumRef!BR77,SumRef!BR$16,,,SumRef!$B$8))="","",INDIRECT(ADDRESS(SumRef!BR77,SumRef!BR$16,,,SumRef!$B$8))))</f>
        <v/>
      </c>
      <c r="AC71" s="1107" t="str">
        <f ca="1">IF('A-80 DirEntInv'!AC70&lt;&gt;"",'A-80 DirEntInv'!AC70,IF(INDIRECT(ADDRESS(SumRef!BS77,SumRef!BS$16,,,SumRef!$B$8))="","",INDIRECT(ADDRESS(SumRef!BS77,SumRef!BS$16,,,SumRef!$B$8))))</f>
        <v/>
      </c>
      <c r="AD71" s="1349" t="str">
        <f ca="1">IF('A-80 DirEntInv'!AD70&lt;&gt;"",'A-80 DirEntInv'!AD70,IF(INDIRECT(ADDRESS(SumRef!BT77,SumRef!BT$16,,,SumRef!$B$8))="","",INDIRECT(ADDRESS(SumRef!BT77,SumRef!BT$16,,,SumRef!$B$8))))</f>
        <v/>
      </c>
      <c r="AE71" s="1137" t="str">
        <f ca="1">IF('A-80 DirEntInv'!AE70&lt;&gt;"",'A-80 DirEntInv'!AE70,IF(INDIRECT(ADDRESS(SumRef!BU77,SumRef!BU$16,,,SumRef!$B$8))="","",INDIRECT(ADDRESS(SumRef!BU77,SumRef!BU$16,,,SumRef!$B$8))))</f>
        <v/>
      </c>
      <c r="AF71" s="1346" t="str">
        <f ca="1">IF('A-80 DirEntInv'!AF70&lt;&gt;"",'A-80 DirEntInv'!AF70,IF(INDIRECT(ADDRESS(SumRef!BV77,SumRef!BV$16,,,SumRef!$B$8))="","",INDIRECT(ADDRESS(SumRef!BV77,SumRef!BV$16,,,SumRef!$B$8))))</f>
        <v/>
      </c>
      <c r="AG71" s="1105" t="str">
        <f ca="1">IF('A-80 DirEntInv'!AG70&lt;&gt;"",'A-80 DirEntInv'!AG70,IF(INDIRECT(ADDRESS(SumRef!BW77,SumRef!BW$16,,,SumRef!$B$8))="","",INDIRECT(ADDRESS(SumRef!BW77,SumRef!BW$16,,,SumRef!$B$8))))</f>
        <v/>
      </c>
      <c r="AH71" s="1357" t="str">
        <f ca="1">IF('A-80 DirEntInv'!AH70&lt;&gt;"",'A-80 DirEntInv'!AH70,IF(INDIRECT(ADDRESS(SumRef!BX77,SumRef!BX$16,,,SumRef!$B$8))="","",INDIRECT(ADDRESS(SumRef!BX77,SumRef!BX$16,,,SumRef!$B$8))))</f>
        <v/>
      </c>
      <c r="AJ71" s="589"/>
      <c r="AK71" s="1041" t="str">
        <f>Codes!$C$160</f>
        <v>CC - Cable Car (PT)</v>
      </c>
      <c r="AL71" s="1042" t="str">
        <f>Valid!$B$75</f>
        <v>Elevated/Steel Viaduct or Bridge</v>
      </c>
      <c r="AM71" s="1108" t="str">
        <f>IF('A-80 DirEntInv'!AM70&lt;&gt;"",'A-80 DirEntInv'!AM70,IF(AK71=summaryref2!B16,summaryref2!D16,IF(Summary!AK71=summaryref2!B30,summaryref2!D30,IF(AK71=summaryref2!B44,summaryref2!D44,IF(AK71=summaryref2!B58,summaryref2!D58,IF(AK71=summaryref2!B72,summaryref2!D72,IF(AK71=summaryref2!B86,summaryref2!D86,IF(AK71=summaryref2!B100,summaryref2!D100,IF(AK71=summaryref2!B114,summaryref2!D114,IF(AK71=summaryref2!B128,summaryref2!D128,IF(AK71=summaryref2!B142,summaryref2!D142,"")))))))))))</f>
        <v/>
      </c>
      <c r="AN71" s="1109" t="str">
        <f ca="1">IF('A-80 DirEntInv'!AN56&lt;&gt;"",'A-80 DirEntInv'!AN56,IF(INDIRECT(ADDRESS(SumRef!CG72,SumRef!CG$16,,,SumRef!$C$7))="","",INDIRECT(ADDRESS(SumRef!CG72,SumRef!CG$16,,,SumRef!$C$7))))</f>
        <v>Linear Feet</v>
      </c>
      <c r="AO71" s="1108" t="str">
        <f>IF('A-80 DirEntInv'!AO70&lt;&gt;"",'A-80 DirEntInv'!AO70,IF(AK71=summaryref2!B16,summaryref2!F16,IF(Summary!AK71=summaryref2!B30,summaryref2!F30,IF(AK71=summaryref2!B44,summaryref2!F44,IF(AK71=summaryref2!B58,summaryref2!F58,IF(AK71=summaryref2!B72,summaryref2!F72,IF(AK71=summaryref2!B86,summaryref2!F86,IF(AK71=summaryref2!B100,summaryref2!F100,IF(AK71=summaryref2!B114,summaryref2!F114,IF(AK71=summaryref2!B128,summaryref2!F128,IF(AK71=summaryref2!B142,summaryref2!F142,"")))))))))))</f>
        <v/>
      </c>
      <c r="AP71" s="1109" t="str">
        <f ca="1">IF('A-80 DirEntInv'!AP56&lt;&gt;"",'A-80 DirEntInv'!AP56,IF(INDIRECT(ADDRESS(SumRef!#REF!,SumRef!#REF!,,,SumRef!$C$7))="","",INDIRECT(ADDRESS(SumRef!#REF!,SumRef!#REF!,,,SumRef!$C$7))))</f>
        <v>Track Feet</v>
      </c>
      <c r="AQ71" s="1147" t="str">
        <f>IF('A-80 DirEntInv'!AQ70&lt;&gt;"",'A-80 DirEntInv'!AQ70,IF(AK71=summaryref2!B16,summaryref2!G16,IF(Summary!AK71=summaryref2!B30,summaryref2!G30,IF(AK71=summaryref2!B44,summaryref2!G44,IF(AK71=summaryref2!B58,summaryref2!G58,IF(AK71=summaryref2!B72,summaryref2!G72,IF(AK71=summaryref2!B86,summaryref2!G86,IF(AK71=summaryref2!B100,summaryref2!G100,IF(AK71=summaryref2!B114,summaryref2!G114,IF(AK71=summaryref2!B128,summaryref2!G128,IF(AK71=summaryref2!B142,summaryref2!G142,"")))))))))))</f>
        <v/>
      </c>
      <c r="AR71" s="1147" t="str">
        <f>IF('A-80 DirEntInv'!AR70&lt;&gt;"",'A-80 DirEntInv'!AR70,IF(AK71=summaryref2!B16,summaryref2!H16,IF(Summary!AK71=summaryref2!B30,summaryref2!H30,IF(AK71=summaryref2!B44,summaryref2!H44,IF(AK71=summaryref2!B58,summaryref2!H58,IF(AK71=summaryref2!B72,summaryref2!H72,IF(AK71=summaryref2!B86,summaryref2!H86,IF(AK71=summaryref2!B100,summaryref2!H100,IF(AK71=summaryref2!B114,summaryref2!H114,IF(AK71=summaryref2!B128,summaryref2!H128,IF(AK71=summaryref2!B142,summaryref2!H142,"")))))))))))</f>
        <v/>
      </c>
      <c r="AS71" s="1110" t="str">
        <f>IF('A-80 DirEntInv'!AS70&lt;&gt;"",'A-80 DirEntInv'!AS70,IF(AK71=summaryref2!B16,summaryref2!I16,IF(Summary!AK71=summaryref2!B30,summaryref2!I30,IF(AK71=summaryref2!B44,summaryref2!I44,IF(AK71=summaryref2!B58,summaryref2!I58,IF(AK71=summaryref2!B72,summaryref2!I72,IF(AK71=summaryref2!B86,summaryref2!I86,IF(AK71=summaryref2!B100,summaryref2!I100,IF(AK71=summaryref2!B114,summaryref2!I114,IF(AK71=summaryref2!B128,summaryref2!I128,IF(AK71=summaryref2!B142,summaryref2!I142,"")))))))))))</f>
        <v/>
      </c>
      <c r="AT71" s="1110" t="str">
        <f>IF('A-80 DirEntInv'!AT70&lt;&gt;"",'A-80 DirEntInv'!AT70,IF(AK71=summaryref2!B16,summaryref2!J16,IF(Summary!AK71=summaryref2!B30,summaryref2!J30,IF(AK71=summaryref2!B44,summaryref2!J44,IF(AK71=summaryref2!B58,summaryref2!J58,IF(AK71=summaryref2!B72,summaryref2!J72,IF(AK71=summaryref2!B86,summaryref2!J86,IF(AK71=summaryref2!B100,summaryref2!J100,IF(AK71=summaryref2!B114,summaryref2!J114,IF(AK71=summaryref2!B128,summaryref2!J128,IF(AK71=summaryref2!B142,summaryref2!J142,"")))))))))))</f>
        <v/>
      </c>
      <c r="AU71" s="1110" t="str">
        <f>IF('A-80 DirEntInv'!AU70&lt;&gt;"",'A-80 DirEntInv'!AU70,IF(AK71=summaryref2!B16,summaryref2!K16,IF(Summary!AK71=summaryref2!B30,summaryref2!K30,IF(AK71=summaryref2!B44,summaryref2!K44,IF(AK71=summaryref2!B58,summaryref2!K58,IF(AK71=summaryref2!B72,summaryref2!K72,IF(AK71=summaryref2!B86,summaryref2!K86,IF(AK71=summaryref2!B100,summaryref2!K100,IF(AK71=summaryref2!B114,summaryref2!K114,IF(AK71=summaryref2!B128,summaryref2!K128,IF(AK71=summaryref2!B142,summaryref2!K142,"")))))))))))</f>
        <v/>
      </c>
      <c r="AV71" s="1110" t="str">
        <f>IF('A-80 DirEntInv'!AV70&lt;&gt;"",'A-80 DirEntInv'!AV70,IF(AK71=summaryref2!B16,summaryref2!L16,IF(Summary!AK71=summaryref2!B30,summaryref2!L30,IF(AK71=summaryref2!B44,summaryref2!L44,IF(AK71=summaryref2!B58,summaryref2!L58,IF(AK71=summaryref2!B72,summaryref2!L72,IF(AK71=summaryref2!B86,summaryref2!L86,IF(AK71=summaryref2!B100,summaryref2!L100,IF(AK71=summaryref2!B114,summaryref2!L114,IF(AK71=summaryref2!B128,summaryref2!L128,IF(AK71=summaryref2!B142,summaryref2!L142,"")))))))))))</f>
        <v/>
      </c>
      <c r="AW71" s="1110" t="str">
        <f>IF('A-80 DirEntInv'!AW70&lt;&gt;"",'A-80 DirEntInv'!AW70,IF(AK71=summaryref2!B16,summaryref2!M16,IF(Summary!AK71=summaryref2!B30,summaryref2!M30,IF(AK71=summaryref2!B44,summaryref2!M44,IF(AK71=summaryref2!B58,summaryref2!M58,IF(AK71=summaryref2!B72,summaryref2!M72,IF(AK71=summaryref2!B86,summaryref2!M86,IF(AK71=summaryref2!B100,summaryref2!M100,IF(AK71=summaryref2!B114,summaryref2!M114,IF(AK71=summaryref2!B128,summaryref2!M128,IF(AK71=summaryref2!B142,summaryref2!M142,"")))))))))))</f>
        <v/>
      </c>
      <c r="AX71" s="1110" t="str">
        <f>IF('A-80 DirEntInv'!AX70&lt;&gt;"",'A-80 DirEntInv'!AX70,IF(AK71=summaryref2!B16,summaryref2!N16,IF(Summary!AK71=summaryref2!B30,summaryref2!N30,IF(AK71=summaryref2!B44,summaryref2!N44,IF(AK71=summaryref2!B58,summaryref2!N58,IF(AK71=summaryref2!B72,summaryref2!N72,IF(AK71=summaryref2!B86,summaryref2!N86,IF(AK71=summaryref2!B100,summaryref2!N100,IF(AK71=summaryref2!B114,summaryref2!N114,IF(AK71=summaryref2!B128,summaryref2!N128,IF(AK71=summaryref2!B142,summaryref2!N142,"")))))))))))</f>
        <v/>
      </c>
      <c r="AY71" s="1110" t="str">
        <f>IF('A-80 DirEntInv'!AY70&lt;&gt;"",'A-80 DirEntInv'!AY70,IF(AK71=summaryref2!B16,summaryref2!O16,IF(Summary!AK71=summaryref2!B30,summaryref2!O30,IF(AK71=summaryref2!B44,summaryref2!O44,IF(AK71=summaryref2!B58,summaryref2!O58,IF(AK71=summaryref2!B72,summaryref2!O72,IF(AK71=summaryref2!B86,summaryref2!O86,IF(AK71=summaryref2!B100,summaryref2!O100,IF(AK71=summaryref2!B114,summaryref2!O114,IF(AK71=summaryref2!B128,summaryref2!O128,IF(AK71=summaryref2!B142,summaryref2!O142,"")))))))))))</f>
        <v/>
      </c>
      <c r="AZ71" s="1110" t="str">
        <f>IF('A-80 DirEntInv'!AZ70&lt;&gt;"",'A-80 DirEntInv'!AZ70,IF(AK71=summaryref2!B16,summaryref2!P16,IF(Summary!AK71=summaryref2!B30,summaryref2!P30,IF(AK71=summaryref2!B44,summaryref2!P44,IF(AK71=summaryref2!B58,summaryref2!P58,IF(AK71=summaryref2!B72,summaryref2!P72,IF(AK71=summaryref2!B86,summaryref2!P86,IF(AK71=summaryref2!B100,summaryref2!P100,IF(AK71=summaryref2!B114,summaryref2!P114,IF(AK71=summaryref2!B128,summaryref2!P128,IF(AK71=summaryref2!B142,summaryref2!P142,"")))))))))))</f>
        <v/>
      </c>
      <c r="BA71" s="1110" t="str">
        <f>IF('A-80 DirEntInv'!BA70&lt;&gt;"",'A-80 DirEntInv'!BA70,IF(AK71=summaryref2!B16,summaryref2!Q16,IF(Summary!AK71=summaryref2!B30,summaryref2!Q30,IF(AK71=summaryref2!B44,summaryref2!Q44,IF(AK71=summaryref2!B58,summaryref2!Q58,IF(AK71=summaryref2!B72,summaryref2!Q72,IF(AK71=summaryref2!B86,summaryref2!Q86,IF(AK71=summaryref2!B100,summaryref2!Q100,IF(AK71=summaryref2!B114,summaryref2!Q114,IF(AK71=summaryref2!B128,summaryref2!Q128,IF(AK71=summaryref2!B142,summaryref2!Q142,"")))))))))))</f>
        <v/>
      </c>
      <c r="BB71" s="1110" t="str">
        <f>IF('A-80 DirEntInv'!BB70&lt;&gt;"",'A-80 DirEntInv'!BB70,IF(AK71=summaryref2!B16,summaryref2!R16,IF(Summary!AK71=summaryref2!B30,summaryref2!R30,IF(AK71=summaryref2!B44,summaryref2!R44,IF(AK71=summaryref2!B58,summaryref2!R58,IF(AK71=summaryref2!B72,summaryref2!R72,IF(AK71=summaryref2!B86,summaryref2!R86,IF(AK71=summaryref2!B100,summaryref2!R100,IF(AK71=summaryref2!B114,summaryref2!R114,IF(AK71=summaryref2!B128,summaryref2!R128,IF(AK71=summaryref2!B142,summaryref2!R142,"")))))))))))</f>
        <v/>
      </c>
      <c r="BC71" s="1110" t="str">
        <f>IF('A-80 DirEntInv'!BC70&lt;&gt;0,'A-80 DirEntInv'!BC70,IF(AK71=summaryref2!B16,summaryref2!S16,IF(Summary!AK71=summaryref2!B30,summaryref2!S30,IF(AK71=summaryref2!B44,summaryref2!S44,IF(AK71=summaryref2!B58,summaryref2!S58,IF(AK71=summaryref2!B72,summaryref2!S72,IF(AK71=summaryref2!B86,summaryref2!S86,IF(AK71=summaryref2!B100,summaryref2!S100,IF(AK71=summaryref2!B114,summaryref2!S114,IF(AK71=summaryref2!B128,summaryref2!S128,IF(AK71=summaryref2!B142,summaryref2!S142,"")))))))))))</f>
        <v/>
      </c>
      <c r="BD71" s="1111" t="str">
        <f>IF('A-80 DirEntInv'!BD70&lt;&gt;"",'A-80 DirEntInv'!BD70,IF(AK71=summaryref2!B16,summaryref2!T16,IF(Summary!AK71=summaryref2!B30,summaryref2!T30,IF(AK71=summaryref2!B44,summaryref2!T44,IF(AK71=summaryref2!B58,summaryref2!T58,IF(AK71=summaryref2!B72,summaryref2!T72,IF(AK71=summaryref2!B86,summaryref2!T86,IF(AK71=summaryref2!B100,summaryref2!T100,IF(AK71=summaryref2!B114,summaryref2!T114,IF(AK71=summaryref2!B128,summaryref2!T128,IF(AK71=summaryref2!B142,summaryref2!T142,"")))))))))))</f>
        <v/>
      </c>
      <c r="BE71" s="1184" t="str">
        <f>IF('A-80 DirEntInv'!BE70&lt;&gt;"",'A-80 DirEntInv'!BE70,IF(AK71=summaryref2!B16,summaryref2!U16,IF(Summary!AK71=summaryref2!B30,summaryref2!U30,IF(AK71=summaryref2!B44,summaryref2!U44,IF(AK71=summaryref2!B58,summaryref2!U58,IF(AK71=summaryref2!B72,summaryref2!U72,IF(AK71=summaryref2!B86,summaryref2!U86,IF(AK71=summaryref2!B100,summaryref2!U100,IF(AK71=summaryref2!B114,summaryref2!U114,IF(AK71=summaryref2!B128,summaryref2!U128,IF(AK71=summaryref2!B142,summaryref2!U142,"")))))))))))</f>
        <v/>
      </c>
      <c r="BF71" s="1432"/>
      <c r="BG71" s="1432"/>
      <c r="BJ71" s="1041" t="str">
        <f>Codes!$C$164</f>
        <v>HR - Heavy Rail (PT)</v>
      </c>
      <c r="BK71" s="1042" t="str">
        <f>Valid!$B$84</f>
        <v>Half Grand Union</v>
      </c>
      <c r="BL71" s="1375" t="str">
        <f>IF('A-80 DirEntInv'!BL70&lt;&gt;"",'A-80 DirEntInv'!BL70,IF(BJ71=summaryref2!X16,summaryref2!Z16,IF(BJ71=summaryref2!X23,summaryref2!Z23,IF(BJ71=summaryref2!X30,summaryref2!Z30,IF(BJ71=summaryref2!X37,summaryref2!Z37,IF(BJ71=summaryref2!X44,summaryref2!Z44,IF(BJ71=summaryref2!X51,summaryref2!Z51,IF(BJ71=summaryref2!X58,summaryref2!Z58,IF(BJ71=summaryref2!X65,summaryref2!Z65,IF(BJ71=summaryref2!X72,summaryref2!Z72,IF(BJ71=summaryref2!X79,summaryref2!Z79,"")))))))))))</f>
        <v/>
      </c>
      <c r="BM71" s="1042" t="str">
        <f>VLOOKUP(BK71,Valid!$B$80:$C$86,2,FALSE)</f>
        <v>Each</v>
      </c>
      <c r="BN71" s="1209" t="str">
        <f>IF('A-80 DirEntInv'!BN70&lt;&gt;"",'A-80 DirEntInv'!BN70,IF(BJ71=summaryref2!X16,summaryref2!AB16,IF(BJ71=summaryref2!X23,summaryref2!AB23,IF(BJ71=summaryref2!X30,summaryref2!AB30,IF(BJ71=summaryref2!X37,summaryref2!AB37,IF(BJ71=summaryref2!X44,summaryref2!AB44,IF(BJ71=summaryref2!X51,summaryref2!AB51,IF(BJ71=summaryref2!X58,summaryref2!AB58,IF(BJ71=summaryref2!X65,summaryref2!AB65,IF(BJ71=summaryref2!X72,summaryref2!AB72,IF(BJ71=summaryref2!X79,summaryref2!AB79,"")))))))))))</f>
        <v/>
      </c>
      <c r="BO71" s="1116" t="str">
        <f>IF('A-80 DirEntInv'!BO70&lt;&gt;"",'A-80 DirEntInv'!BO70,IF(BJ71=summaryref2!X16,summaryref2!AC16,IF(BJ71=summaryref2!X23,summaryref2!AC23,IF(BJ71=summaryref2!X30,summaryref2!AC30,IF(BJ71=summaryref2!X37,summaryref2!AC37,IF(BJ71=summaryref2!X44,summaryref2!AC44,IF(BJ71=summaryref2!X51,summaryref2!AC51,IF(BJ71=summaryref2!X58,summaryref2!AC58,IF(BJ71=summaryref2!X65,summaryref2!AC65,IF(BJ71=summaryref2!X72,summaryref2!AC72,IF(BJ71=summaryref2!X79,summaryref2!AC79,"")))))))))))</f>
        <v/>
      </c>
      <c r="BP71" s="1384" t="str">
        <f>IF('A-80 DirEntInv'!BP70&lt;&gt;"",'A-80 DirEntInv'!BP70,IF(BJ71=summaryref2!X16,summaryref2!AD16,IF(BJ71=summaryref2!X23,summaryref2!AD23,IF(BJ71=summaryref2!X30,summaryref2!AD30,IF(BJ71=summaryref2!X37,summaryref2!AD37,IF(BJ71=summaryref2!X44,summaryref2!AD44,IF(BJ71=summaryref2!X51,summaryref2!AD51,IF(BJ71=summaryref2!X58,summaryref2!AD58,IF(BJ71=summaryref2!X65,summaryref2!AD65,IF(BJ71=summaryref2!X72,summaryref2!AD72,IF(BJ71=summaryref2!X79,summaryref2!AD79,"")))))))))))</f>
        <v/>
      </c>
      <c r="BS71" s="1472" t="str">
        <f ca="1">IF('A-80 DirEntInv'!BU70&lt;&gt;"",'A-80 DirEntInv'!BU70,IF(INDIRECT(ADDRESS(SumRef!DK77,SumRef!DK$16,,,SumRef!$E$6))="","",INDIRECT(ADDRESS(SumRef!DK77,SumRef!DK$16,,,SumRef!$E$6))))</f>
        <v/>
      </c>
      <c r="BT71" s="1458" t="str">
        <f ca="1">IF('A-80 DirEntInv'!BV70&lt;&gt;"",'A-80 DirEntInv'!BV70,IF(INDIRECT(ADDRESS(SumRef!DL77,SumRef!DL$16,,,SumRef!$E$6))="","",INDIRECT(ADDRESS(SumRef!DL77,SumRef!DL$16,,,SumRef!$E$6))))</f>
        <v/>
      </c>
      <c r="BU71" s="1177" t="str">
        <f ca="1">IF('A-80 DirEntInv'!BW70&lt;&gt;"",'A-80 DirEntInv'!BW70,IF(INDIRECT(ADDRESS(SumRef!DM77,SumRef!DM$16,,,SumRef!$E$6))="","",INDIRECT(ADDRESS(SumRef!DM77,SumRef!DM$16,,,SumRef!$E$6))))</f>
        <v/>
      </c>
      <c r="BV71" s="1460" t="str">
        <f ca="1">IF('A-80 DirEntInv'!BX70&lt;&gt;"",'A-80 DirEntInv'!BX70,IF(INDIRECT(ADDRESS(SumRef!DN77,SumRef!DN$16,,,SumRef!$E$6))="","",INDIRECT(ADDRESS(SumRef!DN77,SumRef!DN$16,,,SumRef!$E$6))))</f>
        <v/>
      </c>
      <c r="BW71" s="1460" t="str">
        <f ca="1">IF('A-80 DirEntInv'!BY70&lt;&gt;"",'A-80 DirEntInv'!BY70,IF(INDIRECT(ADDRESS(SumRef!DO77,SumRef!DO$16,,,SumRef!$E$6))="","",INDIRECT(ADDRESS(SumRef!DO77,SumRef!DO$16,,,SumRef!$E$6))))</f>
        <v/>
      </c>
      <c r="BX71" s="1116" t="str">
        <f ca="1">IF('A-80 DirEntInv'!BZ70&lt;&gt;"",'A-80 DirEntInv'!BZ70,IF(INDIRECT(ADDRESS(SumRef!DP77,SumRef!DP$16,,,SumRef!$E$6))="","",INDIRECT(ADDRESS(SumRef!DP77,SumRef!DP$16,,,SumRef!$E$6))))</f>
        <v/>
      </c>
      <c r="BY71" s="1461" t="str">
        <f ca="1">IF('A-80 DirEntInv'!CA70&lt;&gt;"",'A-80 DirEntInv'!CA70,IF(INDIRECT(ADDRESS(SumRef!DQ77,SumRef!DQ$16,,,SumRef!$E$6))="","",INDIRECT(ADDRESS(SumRef!DQ77,SumRef!DQ$16,,,SumRef!$E$6))))</f>
        <v/>
      </c>
      <c r="BZ71" s="1460" t="str">
        <f ca="1">IF('A-80 DirEntInv'!CB70&lt;&gt;"",'A-80 DirEntInv'!CB70,IF(INDIRECT(ADDRESS(SumRef!DR77,SumRef!DR$16,,,SumRef!$E$6))="","",INDIRECT(ADDRESS(SumRef!DR77,SumRef!DR$16,,,SumRef!$E$6))))</f>
        <v/>
      </c>
      <c r="CA71" s="1462" t="str">
        <f ca="1">IF('A-80 DirEntInv'!CC70&lt;&gt;"",'A-80 DirEntInv'!CC70,IF(INDIRECT(ADDRESS(SumRef!DS77,SumRef!DS$16,,,SumRef!$E$6))="","",INDIRECT(ADDRESS(SumRef!DS77,SumRef!DS$16,,,SumRef!$E$6))))</f>
        <v/>
      </c>
      <c r="CD71" s="1160" t="str">
        <f ca="1">IF('A-80 DirEntInv'!CF70&lt;&gt;"",'A-80 DirEntInv'!CF70,IF(INDIRECT(ADDRESS(SumRef!DV77,SumRef!DV$16,,,SumRef!$E$7))="","",INDIRECT(ADDRESS(SumRef!DV77,SumRef!DV$16,,,SumRef!$E$7))))</f>
        <v/>
      </c>
      <c r="CE71" s="1167" t="str">
        <f ca="1">IF('A-80 DirEntInv'!CG70&lt;&gt;"",'A-80 DirEntInv'!CG70,IF(INDIRECT(ADDRESS(SumRef!DW77,SumRef!DW$16,,,SumRef!$E$7))="","",INDIRECT(ADDRESS(SumRef!DW77,SumRef!DW$16,,,SumRef!$E$7))))</f>
        <v/>
      </c>
      <c r="CF71" s="1167" t="str">
        <f ca="1">IF('A-80 DirEntInv'!CH70&lt;&gt;"",'A-80 DirEntInv'!CH70,IF(INDIRECT(ADDRESS(SumRef!DX77,SumRef!DX$16,,,SumRef!$E$7))="","",INDIRECT(ADDRESS(SumRef!DX77,SumRef!DX$16,,,SumRef!$E$7))))</f>
        <v/>
      </c>
      <c r="CG71" s="1167" t="str">
        <f ca="1">IF('A-80 DirEntInv'!CI70&lt;&gt;"",'A-80 DirEntInv'!CI70,IF(INDIRECT(ADDRESS(SumRef!DY77,SumRef!DY$16,,,SumRef!$E$7))="","",INDIRECT(ADDRESS(SumRef!DY77,SumRef!DY$16,,,SumRef!$E$7))))</f>
        <v/>
      </c>
      <c r="CH71" s="1167" t="str">
        <f ca="1">IF('A-80 DirEntInv'!CJ70&lt;&gt;"",'A-80 DirEntInv'!CJ70,IF(INDIRECT(ADDRESS(SumRef!DZ77,SumRef!DZ$16,,,SumRef!$E$7))="","",INDIRECT(ADDRESS(SumRef!DZ77,SumRef!DZ$16,,,SumRef!$E$7))))</f>
        <v/>
      </c>
      <c r="CI71" s="1167" t="str">
        <f ca="1">IF('A-80 DirEntInv'!CK70&lt;&gt;"",'A-80 DirEntInv'!CK70,IF(INDIRECT(ADDRESS(SumRef!EA77,SumRef!EA$16,,,SumRef!$E$7))="","",INDIRECT(ADDRESS(SumRef!EA77,SumRef!EA$16,,,SumRef!$E$7))))</f>
        <v/>
      </c>
      <c r="CJ71" s="1114" t="str">
        <f ca="1">IF('A-80 DirEntInv'!CL70&lt;&gt;"",'A-80 DirEntInv'!CL70,IF(INDIRECT(ADDRESS(SumRef!EB77,SumRef!EB$16,,,SumRef!$E$7))="","",INDIRECT(ADDRESS(SumRef!EB77,SumRef!EB$16,,,SumRef!$E$7))))</f>
        <v/>
      </c>
      <c r="CK71" s="1114" t="str">
        <f ca="1">IF('A-80 DirEntInv'!CM70&lt;&gt;"",'A-80 DirEntInv'!CM70,IF(INDIRECT(ADDRESS(SumRef!EC77,SumRef!EC$16,,,SumRef!$E$7))="","",INDIRECT(ADDRESS(SumRef!EC77,SumRef!EC$16,,,SumRef!$E$7))))</f>
        <v/>
      </c>
      <c r="CL71" s="1113" t="str">
        <f ca="1">IF('A-80 DirEntInv'!CO70&lt;&gt;"",'A-80 DirEntInv'!CO70,IF(INDIRECT(ADDRESS(SumRef!ED77,SumRef!ED$16,,,SumRef!$E$7))="","",INDIRECT(ADDRESS(SumRef!ED77,SumRef!ED$16,,,SumRef!$E$7))))</f>
        <v/>
      </c>
      <c r="CM71" s="1114" t="str">
        <f ca="1">IF('A-80 DirEntInv'!CP70&lt;&gt;"",'A-80 DirEntInv'!CP70,IF(INDIRECT(ADDRESS(SumRef!EE77,SumRef!EE$16,,,SumRef!$E$7))="","",INDIRECT(ADDRESS(SumRef!EE77,SumRef!EE$16,,,SumRef!$E$7))))</f>
        <v/>
      </c>
      <c r="CN71" s="1114" t="str">
        <f ca="1">IF('A-80 DirEntInv'!CQ70&lt;&gt;"",'A-80 DirEntInv'!CQ70,IF(INDIRECT(ADDRESS(SumRef!EF77,SumRef!EF$16,,,SumRef!$E$7))="","",INDIRECT(ADDRESS(SumRef!EF77,SumRef!EF$16,,,SumRef!$E$7))))</f>
        <v/>
      </c>
      <c r="CO71" s="1113" t="str">
        <f ca="1">IF('A-80 DirEntInv'!CR70&lt;&gt;"",'A-80 DirEntInv'!CR70,IF(INDIRECT(ADDRESS(SumRef!EG77,SumRef!EG$16,,,SumRef!$E$7))="","",INDIRECT(ADDRESS(SumRef!EG77,SumRef!EG$16,,,SumRef!$E$7))))</f>
        <v/>
      </c>
      <c r="CP71" s="1114" t="str">
        <f ca="1">IF('A-80 DirEntInv'!CS70&lt;&gt;"",'A-80 DirEntInv'!CS70,IF(INDIRECT(ADDRESS(SumRef!EH77,SumRef!EH$16,,,SumRef!$E$7))="","",INDIRECT(ADDRESS(SumRef!EH77,SumRef!EH$16,,,SumRef!$E$7))))</f>
        <v/>
      </c>
      <c r="CQ71" s="1346" t="str">
        <f ca="1">IF('A-80 DirEntInv'!CT70&lt;&gt;"",'A-80 DirEntInv'!CT70,IF(INDIRECT(ADDRESS(SumRef!EI77,SumRef!EI$16,,,SumRef!$E$7))="","",INDIRECT(ADDRESS(SumRef!EI77,SumRef!EI$16,,,SumRef!$E$7))))</f>
        <v/>
      </c>
      <c r="CR71" s="1113" t="str">
        <f ca="1">IF('A-80 DirEntInv'!CU70&lt;&gt;"",'A-80 DirEntInv'!CU70,IF(INDIRECT(ADDRESS(SumRef!EJ77,SumRef!EJ$16,,,SumRef!$E$7))="","",INDIRECT(ADDRESS(SumRef!EJ77,SumRef!EJ$16,,,SumRef!$E$7))))</f>
        <v/>
      </c>
      <c r="CS71" s="1346" t="str">
        <f ca="1">IF('A-80 DirEntInv'!CV70&lt;&gt;"",'A-80 DirEntInv'!CV70,IF(INDIRECT(ADDRESS(SumRef!EM77,SumRef!EM$16,,,SumRef!$E$7))="","",INDIRECT(ADDRESS(SumRef!EM77,SumRef!EM$16,,,SumRef!$E$7))))</f>
        <v/>
      </c>
      <c r="CT71" s="1113" t="str">
        <f ca="1">IF('A-80 DirEntInv'!CW70&lt;&gt;"",'A-80 DirEntInv'!CW70,IF(INDIRECT(ADDRESS(SumRef!EN77,SumRef!EN$16,,,SumRef!$E$7))="","",INDIRECT(ADDRESS(SumRef!EN77,SumRef!EN$16,,,SumRef!$E$7))))</f>
        <v/>
      </c>
      <c r="CU71" s="1113" t="str">
        <f ca="1">IF('A-80 DirEntInv'!CX70&lt;&gt;"",'A-80 DirEntInv'!CX70,IF(INDIRECT(ADDRESS(SumRef!EO77,SumRef!EO$16,,,SumRef!$E$7))="","",INDIRECT(ADDRESS(SumRef!EO77,SumRef!EO$16,,,SumRef!$E$7))))</f>
        <v/>
      </c>
      <c r="CV71" s="1113" t="str">
        <f ca="1">IF('A-80 DirEntInv'!CY70&lt;&gt;"",'A-80 DirEntInv'!CY70,IF(INDIRECT(ADDRESS(SumRef!EP77,SumRef!EP$16,,,SumRef!$E$7))="","",INDIRECT(ADDRESS(SumRef!EP77,SumRef!EP$16,,,SumRef!$E$7))))</f>
        <v/>
      </c>
      <c r="CW71" s="1114" t="str">
        <f ca="1">IF('A-80 DirEntInv'!CZ70&lt;&gt;"",'A-80 DirEntInv'!CZ70,IF(INDIRECT(ADDRESS(SumRef!ES77,SumRef!ES$16,,,SumRef!$E$7))="","",INDIRECT(ADDRESS(SumRef!ES77,SumRef!ES$16,,,SumRef!$E$7))))</f>
        <v/>
      </c>
      <c r="CX71" s="1167" t="str">
        <f ca="1">IF('A-80 DirEntInv'!DA70&lt;&gt;"",'A-80 DirEntInv'!DA70,IF(INDIRECT(ADDRESS(SumRef!ET77,SumRef!ET$16,,,SumRef!$E$7))="","",INDIRECT(ADDRESS(SumRef!ET77,SumRef!ET$16,,,SumRef!$E$7))))</f>
        <v/>
      </c>
      <c r="CY71" s="1167" t="str">
        <f ca="1">IF('A-80 DirEntInv'!DB70&lt;&gt;"",'A-80 DirEntInv'!DB70,IF(INDIRECT(ADDRESS(SumRef!EU77,SumRef!EU$16,,,SumRef!$E$7))="","",INDIRECT(ADDRESS(SumRef!EU77,SumRef!EU$16,,,SumRef!$E$7))))</f>
        <v/>
      </c>
      <c r="CZ71" s="1167" t="b">
        <f ca="1">IF('A-80 DirEntInv'!DC70&lt;&gt;"",'A-80 DirEntInv'!DC70,IF(INDIRECT(ADDRESS(SumRef!EV77,SumRef!EV$16,,,SumRef!$E$7))="","",INDIRECT(ADDRESS(SumRef!EV77,SumRef!EV$16,,,SumRef!$E$7))))</f>
        <v>0</v>
      </c>
      <c r="DA71" s="1373" t="str">
        <f ca="1">IF('A-80 DirEntInv'!DD70&lt;&gt;"",'A-80 DirEntInv'!DD70,IF(INDIRECT(ADDRESS(SumRef!EW77,SumRef!EW$16,,,SumRef!$E$7))="","",INDIRECT(ADDRESS(SumRef!EW77,SumRef!EW$16,,,SumRef!$E$7))))</f>
        <v/>
      </c>
      <c r="DB71" s="1373" t="b">
        <f ca="1">IF('A-80 DirEntInv'!DE70&lt;&gt;"",'A-80 DirEntInv'!DE70,IF(INDIRECT(ADDRESS(SumRef!EX77,SumRef!EX$16,,,SumRef!$E$7))="","",INDIRECT(ADDRESS(SumRef!EX77,SumRef!EX$16,,,SumRef!$E$7))))</f>
        <v>0</v>
      </c>
      <c r="DC71" s="1114" t="b">
        <f ca="1">IF('A-80 DirEntInv'!DF70&lt;&gt;"",'A-80 DirEntInv'!DF70,IF(INDIRECT(ADDRESS(SumRef!EY77,SumRef!EY$16,,,SumRef!$E$7))="","",INDIRECT(ADDRESS(SumRef!EY77,SumRef!EY$16,,,SumRef!$E$7))))</f>
        <v>0</v>
      </c>
      <c r="DD71" s="1115" t="str">
        <f ca="1">IF('A-80 DirEntInv'!DG70&lt;&gt;"",'A-80 DirEntInv'!DG70,IF(INDIRECT(ADDRESS(SumRef!EZ77,SumRef!EZ$16,,,SumRef!$E$7))="","",INDIRECT(ADDRESS(SumRef!EZ77,SumRef!EZ$16,,,SumRef!$E$7))))</f>
        <v/>
      </c>
    </row>
    <row r="72" spans="1:108" s="588" customFormat="1" x14ac:dyDescent="0.2">
      <c r="A72" s="589">
        <f t="shared" si="0"/>
        <v>62</v>
      </c>
      <c r="B72" s="1155" t="str">
        <f ca="1">IF('A-80 DirEntInv'!B71&lt;&gt;"",'A-80 DirEntInv'!B71,IF(INDIRECT(ADDRESS(SumRef!AQ78,SumRef!AQ$16,,,SumRef!$B$7))="","",INDIRECT(ADDRESS(SumRef!AQ78,SumRef!AQ$16,,,SumRef!$B$7))))</f>
        <v/>
      </c>
      <c r="C72" s="1097" t="str">
        <f ca="1">IF('A-80 DirEntInv'!C71&lt;&gt;"",'A-80 DirEntInv'!C71,IF(INDIRECT(ADDRESS(SumRef!AR78,SumRef!AR$16,,,SumRef!$B$7))="","",INDIRECT(ADDRESS(SumRef!AR78,SumRef!AR$16,,,SumRef!$B$7))))</f>
        <v/>
      </c>
      <c r="D72" s="1097" t="str">
        <f ca="1">IF('A-80 DirEntInv'!D71&lt;&gt;"",'A-80 DirEntInv'!D71,IF(INDIRECT(ADDRESS(SumRef!AS78,SumRef!AS$16,,,SumRef!$B$7))="","",INDIRECT(ADDRESS(SumRef!AS78,SumRef!AS$16,,,SumRef!$B$7))))</f>
        <v/>
      </c>
      <c r="E72" s="1097" t="str">
        <f ca="1">IF('A-80 DirEntInv'!E71&lt;&gt;"",'A-80 DirEntInv'!E71,IF(INDIRECT(ADDRESS(SumRef!AT78,SumRef!AT$16,,,SumRef!$B$7))="","",INDIRECT(ADDRESS(SumRef!AT78,SumRef!AT$16,,,SumRef!$B$7))))</f>
        <v/>
      </c>
      <c r="F72" s="1097" t="str">
        <f ca="1">IF('A-80 DirEntInv'!F71&lt;&gt;"",'A-80 DirEntInv'!F71,IF(INDIRECT(ADDRESS(SumRef!AU78,SumRef!AU$16,,,SumRef!$B$7))="","",INDIRECT(ADDRESS(SumRef!AU78,SumRef!AU$16,,,SumRef!$B$7))))</f>
        <v/>
      </c>
      <c r="G72" s="1158" t="str">
        <f ca="1">IF('A-80 DirEntInv'!G71&lt;&gt;"",'A-80 DirEntInv'!G71,IF(INDIRECT(ADDRESS(SumRef!AV78,SumRef!AV$16,,,SumRef!$B$7))="","",INDIRECT(ADDRESS(SumRef!AV78,SumRef!AV$16,,,SumRef!$B$7))))</f>
        <v/>
      </c>
      <c r="H72" s="1097" t="str">
        <f ca="1">IF('A-80 DirEntInv'!H71&lt;&gt;"",'A-80 DirEntInv'!H71,IF(INDIRECT(ADDRESS(SumRef!AW78,SumRef!AW$16,,,SumRef!$B$7))="","",INDIRECT(ADDRESS(SumRef!AW78,SumRef!AW$16,,,SumRef!$B$7))))</f>
        <v/>
      </c>
      <c r="I72" s="1097" t="str">
        <f ca="1">IF('A-80 DirEntInv'!I71&lt;&gt;"",'A-80 DirEntInv'!I71,IF(INDIRECT(ADDRESS(SumRef!AX78,SumRef!AX$16,,,SumRef!$B$7))="","",INDIRECT(ADDRESS(SumRef!AX78,SumRef!AX$16,,,SumRef!$B$7))))</f>
        <v/>
      </c>
      <c r="J72" s="1098" t="str">
        <f ca="1">IF('A-80 DirEntInv'!J71&lt;&gt;"",'A-80 DirEntInv'!J71,IF(INDIRECT(ADDRESS(SumRef!AY78,SumRef!AY$16,,,SumRef!$B$7))="","",INDIRECT(ADDRESS(SumRef!AY78,SumRef!AY$16,,,SumRef!$B$7))))</f>
        <v/>
      </c>
      <c r="K72" s="1099" t="str">
        <f ca="1">IF('A-80 DirEntInv'!K71&lt;&gt;"",'A-80 DirEntInv'!K71,IF(INDIRECT(ADDRESS(SumRef!AZ78,SumRef!AZ$16,,,SumRef!$B$7))="","",INDIRECT(ADDRESS(SumRef!AZ78,SumRef!AZ$16,,,SumRef!$B$7))))</f>
        <v/>
      </c>
      <c r="L72" s="1100" t="str">
        <f ca="1">IF('A-80 DirEntInv'!L71&lt;&gt;"",'A-80 DirEntInv'!L71,IF(INDIRECT(ADDRESS(SumRef!BA78,SumRef!BA$16,,,SumRef!$B$7))="","",INDIRECT(ADDRESS(SumRef!BA78,SumRef!BA$16,,,SumRef!$B$7))))</f>
        <v/>
      </c>
      <c r="M72" s="1101" t="str">
        <f ca="1">IF('A-80 DirEntInv'!M71&lt;&gt;"",'A-80 DirEntInv'!M71,IF(INDIRECT(ADDRESS(SumRef!BB78,SumRef!BB$16,,,SumRef!$B$7))="","",INDIRECT(ADDRESS(SumRef!BB78,SumRef!BB$16,,,SumRef!$B$7))))</f>
        <v/>
      </c>
      <c r="N72" s="1098" t="str">
        <f ca="1">IF('A-80 DirEntInv'!N71&lt;&gt;"",'A-80 DirEntInv'!N71,IF(INDIRECT(ADDRESS(SumRef!BC78,SumRef!BC$16,,,SumRef!$B$7))="","",INDIRECT(ADDRESS(SumRef!BC78,SumRef!BC$16,,,SumRef!$B$7))))</f>
        <v/>
      </c>
      <c r="O72" s="1102" t="str">
        <f ca="1">IF('A-80 DirEntInv'!O71&lt;&gt;"",'A-80 DirEntInv'!O71,IF(INDIRECT(ADDRESS(SumRef!BD78,SumRef!BD$16,,,SumRef!$B$7))="","",INDIRECT(ADDRESS(SumRef!BD78,SumRef!BD$16,,,SumRef!$B$7))))</f>
        <v/>
      </c>
      <c r="Q72" s="589"/>
      <c r="R72" s="1103" t="str">
        <f ca="1">IF('A-80 DirEntInv'!R71&lt;&gt;"",'A-80 DirEntInv'!R71,IF(INDIRECT(ADDRESS(SumRef!BH78,SumRef!BH$16,,,SumRef!$B$8))="","",INDIRECT(ADDRESS(SumRef!BH78,SumRef!BH$16,,,SumRef!$B$8))))</f>
        <v/>
      </c>
      <c r="S72" s="1104" t="str">
        <f ca="1">IF('A-80 DirEntInv'!S71&lt;&gt;"",'A-80 DirEntInv'!S71,IF(INDIRECT(ADDRESS(SumRef!BI78,SumRef!BI$16,,,SumRef!$B$8))="","",INDIRECT(ADDRESS(SumRef!BI78,SumRef!BI$16,,,SumRef!$B$8))))</f>
        <v/>
      </c>
      <c r="T72" s="1104" t="str">
        <f ca="1">IF('A-80 DirEntInv'!T71&lt;&gt;"",'A-80 DirEntInv'!T71,IF(INDIRECT(ADDRESS(SumRef!BJ78,SumRef!BJ$16,,,SumRef!$B$8))="","",INDIRECT(ADDRESS(SumRef!BJ78,SumRef!BJ$16,,,SumRef!$B$8))))</f>
        <v/>
      </c>
      <c r="U72" s="1104" t="str">
        <f ca="1">IF('A-80 DirEntInv'!U71&lt;&gt;"",'A-80 DirEntInv'!U71,IF(INDIRECT(ADDRESS(SumRef!BK78,SumRef!BK$16,,,SumRef!$B$8))="","",INDIRECT(ADDRESS(SumRef!BK78,SumRef!BK$16,,,SumRef!$B$8))))</f>
        <v/>
      </c>
      <c r="V72" s="1104" t="str">
        <f ca="1">IF('A-80 DirEntInv'!V71&lt;&gt;"",'A-80 DirEntInv'!V71,IF(INDIRECT(ADDRESS(SumRef!BL78,SumRef!BL$16,,,SumRef!$B$8))="","",INDIRECT(ADDRESS(SumRef!BL78,SumRef!BL$16,,,SumRef!$B$8))))</f>
        <v/>
      </c>
      <c r="W72" s="1354" t="str">
        <f ca="1">IF('A-80 DirEntInv'!W71&lt;&gt;"",'A-80 DirEntInv'!W71,IF(INDIRECT(ADDRESS(SumRef!BM78,SumRef!BM$16,,,SumRef!$B$8))="","",INDIRECT(ADDRESS(SumRef!BM78,SumRef!BM$16,,,SumRef!$B$8))))</f>
        <v/>
      </c>
      <c r="X72" s="1203" t="str">
        <f ca="1">IF('A-80 DirEntInv'!X71&lt;&gt;"",'A-80 DirEntInv'!X71,IF(INDIRECT(ADDRESS(SumRef!BN78,SumRef!BN$16,,,SumRef!$B$8))="","",INDIRECT(ADDRESS(SumRef!BN78,SumRef!BN$16,,,SumRef!$B$8))))</f>
        <v/>
      </c>
      <c r="Y72" s="1203" t="str">
        <f ca="1">IF('A-80 DirEntInv'!Y71&lt;&gt;"",'A-80 DirEntInv'!Y71,IF(INDIRECT(ADDRESS(SumRef!BO78,SumRef!BO$16,,,SumRef!$B$8))="","",INDIRECT(ADDRESS(SumRef!BO78,SumRef!BO$16,,,SumRef!$B$8))))</f>
        <v/>
      </c>
      <c r="Z72" s="1104" t="str">
        <f ca="1">IF('A-80 DirEntInv'!Z71&lt;&gt;"",'A-80 DirEntInv'!Z71,IF(INDIRECT(ADDRESS(SumRef!BP78,SumRef!BP$16,,,SumRef!$B$8))="","",INDIRECT(ADDRESS(SumRef!BP78,SumRef!BP$16,,,SumRef!$B$8))))</f>
        <v/>
      </c>
      <c r="AA72" s="1104" t="str">
        <f ca="1">IF('A-80 DirEntInv'!AA71&lt;&gt;"",'A-80 DirEntInv'!AA71,IF(INDIRECT(ADDRESS(SumRef!BQ78,SumRef!BQ$16,,,SumRef!$B$8))="","",INDIRECT(ADDRESS(SumRef!BQ78,SumRef!BQ$16,,,SumRef!$B$8))))</f>
        <v/>
      </c>
      <c r="AB72" s="1106" t="str">
        <f ca="1">IF('A-80 DirEntInv'!AB71&lt;&gt;"",'A-80 DirEntInv'!AB71,IF(INDIRECT(ADDRESS(SumRef!BR78,SumRef!BR$16,,,SumRef!$B$8))="","",INDIRECT(ADDRESS(SumRef!BR78,SumRef!BR$16,,,SumRef!$B$8))))</f>
        <v/>
      </c>
      <c r="AC72" s="1107" t="str">
        <f ca="1">IF('A-80 DirEntInv'!AC71&lt;&gt;"",'A-80 DirEntInv'!AC71,IF(INDIRECT(ADDRESS(SumRef!BS78,SumRef!BS$16,,,SumRef!$B$8))="","",INDIRECT(ADDRESS(SumRef!BS78,SumRef!BS$16,,,SumRef!$B$8))))</f>
        <v/>
      </c>
      <c r="AD72" s="1349" t="str">
        <f ca="1">IF('A-80 DirEntInv'!AD71&lt;&gt;"",'A-80 DirEntInv'!AD71,IF(INDIRECT(ADDRESS(SumRef!BT78,SumRef!BT$16,,,SumRef!$B$8))="","",INDIRECT(ADDRESS(SumRef!BT78,SumRef!BT$16,,,SumRef!$B$8))))</f>
        <v/>
      </c>
      <c r="AE72" s="1137" t="str">
        <f ca="1">IF('A-80 DirEntInv'!AE71&lt;&gt;"",'A-80 DirEntInv'!AE71,IF(INDIRECT(ADDRESS(SumRef!BU78,SumRef!BU$16,,,SumRef!$B$8))="","",INDIRECT(ADDRESS(SumRef!BU78,SumRef!BU$16,,,SumRef!$B$8))))</f>
        <v/>
      </c>
      <c r="AF72" s="1346" t="str">
        <f ca="1">IF('A-80 DirEntInv'!AF71&lt;&gt;"",'A-80 DirEntInv'!AF71,IF(INDIRECT(ADDRESS(SumRef!BV78,SumRef!BV$16,,,SumRef!$B$8))="","",INDIRECT(ADDRESS(SumRef!BV78,SumRef!BV$16,,,SumRef!$B$8))))</f>
        <v/>
      </c>
      <c r="AG72" s="1105" t="str">
        <f ca="1">IF('A-80 DirEntInv'!AG71&lt;&gt;"",'A-80 DirEntInv'!AG71,IF(INDIRECT(ADDRESS(SumRef!BW78,SumRef!BW$16,,,SumRef!$B$8))="","",INDIRECT(ADDRESS(SumRef!BW78,SumRef!BW$16,,,SumRef!$B$8))))</f>
        <v/>
      </c>
      <c r="AH72" s="1357" t="str">
        <f ca="1">IF('A-80 DirEntInv'!AH71&lt;&gt;"",'A-80 DirEntInv'!AH71,IF(INDIRECT(ADDRESS(SumRef!BX78,SumRef!BX$16,,,SumRef!$B$8))="","",INDIRECT(ADDRESS(SumRef!BX78,SumRef!BX$16,,,SumRef!$B$8))))</f>
        <v/>
      </c>
      <c r="AK72" s="1041" t="str">
        <f>Codes!$C$160</f>
        <v>CC - Cable Car (PT)</v>
      </c>
      <c r="AL72" s="1042" t="str">
        <f>Valid!$B$76</f>
        <v>Below-Grade/Retained Cut</v>
      </c>
      <c r="AM72" s="1108" t="str">
        <f>IF('A-80 DirEntInv'!AM71&lt;&gt;"",'A-80 DirEntInv'!AM71,IF(AK72=summaryref2!B17,summaryref2!D17,IF(Summary!AK72=summaryref2!B31,summaryref2!D31,IF(AK72=summaryref2!B45,summaryref2!D45,IF(AK72=summaryref2!B59,summaryref2!D59,IF(AK72=summaryref2!B73,summaryref2!D73,IF(AK72=summaryref2!B87,summaryref2!D87,IF(AK72=summaryref2!B101,summaryref2!D101,IF(AK72=summaryref2!B115,summaryref2!D115,IF(AK72=summaryref2!B129,summaryref2!D129,IF(AK72=summaryref2!B143,summaryref2!D143,"")))))))))))</f>
        <v/>
      </c>
      <c r="AN72" s="1109" t="str">
        <f ca="1">IF('A-80 DirEntInv'!AN57&lt;&gt;"",'A-80 DirEntInv'!AN57,IF(INDIRECT(ADDRESS(SumRef!CG74,SumRef!CG$16,,,SumRef!$C$7))="","",INDIRECT(ADDRESS(SumRef!CG74,SumRef!CG$16,,,SumRef!$C$7))))</f>
        <v>Linear Feet</v>
      </c>
      <c r="AO72" s="1108" t="str">
        <f>IF('A-80 DirEntInv'!AO71&lt;&gt;"",'A-80 DirEntInv'!AO71,IF(AK72=summaryref2!B17,summaryref2!F17,IF(Summary!AK72=summaryref2!B31,summaryref2!F31,IF(AK72=summaryref2!B45,summaryref2!F45,IF(AK72=summaryref2!B59,summaryref2!F59,IF(AK72=summaryref2!B73,summaryref2!F73,IF(AK72=summaryref2!B87,summaryref2!F87,IF(AK72=summaryref2!B101,summaryref2!F101,IF(AK72=summaryref2!B115,summaryref2!F115,IF(AK72=summaryref2!B129,summaryref2!F129,IF(AK72=summaryref2!B143,summaryref2!F143,"")))))))))))</f>
        <v/>
      </c>
      <c r="AP72" s="1109" t="str">
        <f ca="1">IF('A-80 DirEntInv'!AP57&lt;&gt;"",'A-80 DirEntInv'!AP57,IF(INDIRECT(ADDRESS(SumRef!#REF!,SumRef!#REF!,,,SumRef!$C$7))="","",INDIRECT(ADDRESS(SumRef!#REF!,SumRef!#REF!,,,SumRef!$C$7))))</f>
        <v>Track Feet</v>
      </c>
      <c r="AQ72" s="1147" t="str">
        <f>IF('A-80 DirEntInv'!AQ71&lt;&gt;"",'A-80 DirEntInv'!AQ71,IF(AK72=summaryref2!B17,summaryref2!G17,IF(Summary!AK72=summaryref2!B31,summaryref2!G31,IF(AK72=summaryref2!B45,summaryref2!G45,IF(AK72=summaryref2!B59,summaryref2!G59,IF(AK72=summaryref2!B73,summaryref2!G73,IF(AK72=summaryref2!B87,summaryref2!G87,IF(AK72=summaryref2!B101,summaryref2!G101,IF(AK72=summaryref2!B115,summaryref2!G115,IF(AK72=summaryref2!B129,summaryref2!G129,IF(AK72=summaryref2!B143,summaryref2!G143,"")))))))))))</f>
        <v/>
      </c>
      <c r="AR72" s="1147" t="str">
        <f>IF('A-80 DirEntInv'!AR71&lt;&gt;"",'A-80 DirEntInv'!AR71,IF(AK72=summaryref2!B17,summaryref2!H17,IF(Summary!AK72=summaryref2!B31,summaryref2!H31,IF(AK72=summaryref2!B45,summaryref2!H45,IF(AK72=summaryref2!B59,summaryref2!H59,IF(AK72=summaryref2!B73,summaryref2!H73,IF(AK72=summaryref2!B87,summaryref2!H87,IF(AK72=summaryref2!B101,summaryref2!H101,IF(AK72=summaryref2!B115,summaryref2!H115,IF(AK72=summaryref2!B129,summaryref2!H129,IF(AK72=summaryref2!B143,summaryref2!H143,"")))))))))))</f>
        <v/>
      </c>
      <c r="AS72" s="1110" t="str">
        <f>IF('A-80 DirEntInv'!AS71&lt;&gt;"",'A-80 DirEntInv'!AS71,IF(AK72=summaryref2!B17,summaryref2!I17,IF(Summary!AK72=summaryref2!B31,summaryref2!I31,IF(AK72=summaryref2!B45,summaryref2!I45,IF(AK72=summaryref2!B59,summaryref2!I59,IF(AK72=summaryref2!B73,summaryref2!I73,IF(AK72=summaryref2!B87,summaryref2!I87,IF(AK72=summaryref2!B101,summaryref2!I101,IF(AK72=summaryref2!B115,summaryref2!I115,IF(AK72=summaryref2!B129,summaryref2!I129,IF(AK72=summaryref2!B143,summaryref2!I143,"")))))))))))</f>
        <v/>
      </c>
      <c r="AT72" s="1110" t="str">
        <f>IF('A-80 DirEntInv'!AT71&lt;&gt;"",'A-80 DirEntInv'!AT71,IF(AK72=summaryref2!B17,summaryref2!J17,IF(Summary!AK72=summaryref2!B31,summaryref2!J31,IF(AK72=summaryref2!B45,summaryref2!J45,IF(AK72=summaryref2!B59,summaryref2!J59,IF(AK72=summaryref2!B73,summaryref2!J73,IF(AK72=summaryref2!B87,summaryref2!J87,IF(AK72=summaryref2!B101,summaryref2!J101,IF(AK72=summaryref2!B115,summaryref2!J115,IF(AK72=summaryref2!B129,summaryref2!J129,IF(AK72=summaryref2!B143,summaryref2!J143,"")))))))))))</f>
        <v/>
      </c>
      <c r="AU72" s="1110" t="str">
        <f>IF('A-80 DirEntInv'!AU71&lt;&gt;"",'A-80 DirEntInv'!AU71,IF(AK72=summaryref2!B17,summaryref2!K17,IF(Summary!AK72=summaryref2!B31,summaryref2!K31,IF(AK72=summaryref2!B45,summaryref2!K45,IF(AK72=summaryref2!B59,summaryref2!K59,IF(AK72=summaryref2!B73,summaryref2!K73,IF(AK72=summaryref2!B87,summaryref2!K87,IF(AK72=summaryref2!B101,summaryref2!K101,IF(AK72=summaryref2!B115,summaryref2!K115,IF(AK72=summaryref2!B129,summaryref2!K129,IF(AK72=summaryref2!B143,summaryref2!K143,"")))))))))))</f>
        <v/>
      </c>
      <c r="AV72" s="1110" t="str">
        <f>IF('A-80 DirEntInv'!AV71&lt;&gt;"",'A-80 DirEntInv'!AV71,IF(AK72=summaryref2!B17,summaryref2!L17,IF(Summary!AK72=summaryref2!B31,summaryref2!L31,IF(AK72=summaryref2!B45,summaryref2!L45,IF(AK72=summaryref2!B59,summaryref2!L59,IF(AK72=summaryref2!B73,summaryref2!L73,IF(AK72=summaryref2!B87,summaryref2!L87,IF(AK72=summaryref2!B101,summaryref2!L101,IF(AK72=summaryref2!B115,summaryref2!L115,IF(AK72=summaryref2!B129,summaryref2!L129,IF(AK72=summaryref2!B143,summaryref2!L143,"")))))))))))</f>
        <v/>
      </c>
      <c r="AW72" s="1110" t="str">
        <f>IF('A-80 DirEntInv'!AW71&lt;&gt;"",'A-80 DirEntInv'!AW71,IF(AK72=summaryref2!B17,summaryref2!M17,IF(Summary!AK72=summaryref2!B31,summaryref2!M31,IF(AK72=summaryref2!B45,summaryref2!M45,IF(AK72=summaryref2!B59,summaryref2!M59,IF(AK72=summaryref2!B73,summaryref2!M73,IF(AK72=summaryref2!B87,summaryref2!M87,IF(AK72=summaryref2!B101,summaryref2!M101,IF(AK72=summaryref2!B115,summaryref2!M115,IF(AK72=summaryref2!B129,summaryref2!M129,IF(AK72=summaryref2!B143,summaryref2!M143,"")))))))))))</f>
        <v/>
      </c>
      <c r="AX72" s="1110" t="str">
        <f>IF('A-80 DirEntInv'!AX71&lt;&gt;"",'A-80 DirEntInv'!AX71,IF(AK72=summaryref2!B17,summaryref2!N17,IF(Summary!AK72=summaryref2!B31,summaryref2!N31,IF(AK72=summaryref2!B45,summaryref2!N45,IF(AK72=summaryref2!B59,summaryref2!N59,IF(AK72=summaryref2!B73,summaryref2!N73,IF(AK72=summaryref2!B87,summaryref2!N87,IF(AK72=summaryref2!B101,summaryref2!N101,IF(AK72=summaryref2!B115,summaryref2!N115,IF(AK72=summaryref2!B129,summaryref2!N129,IF(AK72=summaryref2!B143,summaryref2!N143,"")))))))))))</f>
        <v/>
      </c>
      <c r="AY72" s="1110" t="str">
        <f>IF('A-80 DirEntInv'!AY71&lt;&gt;"",'A-80 DirEntInv'!AY71,IF(AK72=summaryref2!B17,summaryref2!O17,IF(Summary!AK72=summaryref2!B31,summaryref2!O31,IF(AK72=summaryref2!B45,summaryref2!O45,IF(AK72=summaryref2!B59,summaryref2!O59,IF(AK72=summaryref2!B73,summaryref2!O73,IF(AK72=summaryref2!B87,summaryref2!O87,IF(AK72=summaryref2!B101,summaryref2!O101,IF(AK72=summaryref2!B115,summaryref2!O115,IF(AK72=summaryref2!B129,summaryref2!O129,IF(AK72=summaryref2!B143,summaryref2!O143,"")))))))))))</f>
        <v/>
      </c>
      <c r="AZ72" s="1110" t="str">
        <f>IF('A-80 DirEntInv'!AZ71&lt;&gt;"",'A-80 DirEntInv'!AZ71,IF(AK72=summaryref2!B17,summaryref2!P17,IF(Summary!AK72=summaryref2!B31,summaryref2!P31,IF(AK72=summaryref2!B45,summaryref2!P45,IF(AK72=summaryref2!B59,summaryref2!P59,IF(AK72=summaryref2!B73,summaryref2!P73,IF(AK72=summaryref2!B87,summaryref2!P87,IF(AK72=summaryref2!B101,summaryref2!P101,IF(AK72=summaryref2!B115,summaryref2!P115,IF(AK72=summaryref2!B129,summaryref2!P129,IF(AK72=summaryref2!B143,summaryref2!P143,"")))))))))))</f>
        <v/>
      </c>
      <c r="BA72" s="1110" t="str">
        <f>IF('A-80 DirEntInv'!BA71&lt;&gt;"",'A-80 DirEntInv'!BA71,IF(AK72=summaryref2!B17,summaryref2!Q17,IF(Summary!AK72=summaryref2!B31,summaryref2!Q31,IF(AK72=summaryref2!B45,summaryref2!Q45,IF(AK72=summaryref2!B59,summaryref2!Q59,IF(AK72=summaryref2!B73,summaryref2!Q73,IF(AK72=summaryref2!B87,summaryref2!Q87,IF(AK72=summaryref2!B101,summaryref2!Q101,IF(AK72=summaryref2!B115,summaryref2!Q115,IF(AK72=summaryref2!B129,summaryref2!Q129,IF(AK72=summaryref2!B143,summaryref2!Q143,"")))))))))))</f>
        <v/>
      </c>
      <c r="BB72" s="1110" t="str">
        <f>IF('A-80 DirEntInv'!BB71&lt;&gt;"",'A-80 DirEntInv'!BB71,IF(AK72=summaryref2!B17,summaryref2!R17,IF(Summary!AK72=summaryref2!B31,summaryref2!R31,IF(AK72=summaryref2!B45,summaryref2!R45,IF(AK72=summaryref2!B59,summaryref2!R59,IF(AK72=summaryref2!B73,summaryref2!R73,IF(AK72=summaryref2!B87,summaryref2!R87,IF(AK72=summaryref2!B101,summaryref2!R101,IF(AK72=summaryref2!B115,summaryref2!R115,IF(AK72=summaryref2!B129,summaryref2!R129,IF(AK72=summaryref2!B143,summaryref2!R143,"")))))))))))</f>
        <v/>
      </c>
      <c r="BC72" s="1110" t="str">
        <f>IF('A-80 DirEntInv'!BC71&lt;&gt;0,'A-80 DirEntInv'!BC71,IF(AK72=summaryref2!B17,summaryref2!S17,IF(Summary!AK72=summaryref2!B31,summaryref2!S31,IF(AK72=summaryref2!B45,summaryref2!S45,IF(AK72=summaryref2!B59,summaryref2!S59,IF(AK72=summaryref2!B73,summaryref2!S73,IF(AK72=summaryref2!B87,summaryref2!S87,IF(AK72=summaryref2!B101,summaryref2!S101,IF(AK72=summaryref2!B115,summaryref2!S115,IF(AK72=summaryref2!B129,summaryref2!S129,IF(AK72=summaryref2!B143,summaryref2!S143,"")))))))))))</f>
        <v/>
      </c>
      <c r="BD72" s="1111" t="str">
        <f>IF('A-80 DirEntInv'!BD71&lt;&gt;"",'A-80 DirEntInv'!BD71,IF(AK72=summaryref2!B17,summaryref2!T17,IF(Summary!AK72=summaryref2!B31,summaryref2!T31,IF(AK72=summaryref2!B45,summaryref2!T45,IF(AK72=summaryref2!B59,summaryref2!T59,IF(AK72=summaryref2!B73,summaryref2!T73,IF(AK72=summaryref2!B87,summaryref2!T87,IF(AK72=summaryref2!B101,summaryref2!T101,IF(AK72=summaryref2!B115,summaryref2!T115,IF(AK72=summaryref2!B129,summaryref2!T129,IF(AK72=summaryref2!B143,summaryref2!T143,"")))))))))))</f>
        <v/>
      </c>
      <c r="BE72" s="1184" t="str">
        <f>IF('A-80 DirEntInv'!BE71&lt;&gt;"",'A-80 DirEntInv'!BE71,IF(AK72=summaryref2!B17,summaryref2!U17,IF(Summary!AK72=summaryref2!B31,summaryref2!U31,IF(AK72=summaryref2!B45,summaryref2!U45,IF(AK72=summaryref2!B59,summaryref2!U59,IF(AK72=summaryref2!B73,summaryref2!U73,IF(AK72=summaryref2!B87,summaryref2!U87,IF(AK72=summaryref2!B101,summaryref2!U101,IF(AK72=summaryref2!B115,summaryref2!U115,IF(AK72=summaryref2!B129,summaryref2!U129,IF(AK72=summaryref2!B143,summaryref2!U143,"")))))))))))</f>
        <v/>
      </c>
      <c r="BF72" s="1432"/>
      <c r="BG72" s="1432"/>
      <c r="BJ72" s="1041" t="str">
        <f>Codes!$C$164</f>
        <v>HR - Heavy Rail (PT)</v>
      </c>
      <c r="BK72" s="1042" t="str">
        <f>Valid!$B$85</f>
        <v>Single Turnout</v>
      </c>
      <c r="BL72" s="1375" t="str">
        <f>IF('A-80 DirEntInv'!BL71&lt;&gt;"",'A-80 DirEntInv'!BL71,IF(BJ72=summaryref2!X17,summaryref2!Z17,IF(BJ72=summaryref2!X24,summaryref2!Z24,IF(BJ72=summaryref2!X31,summaryref2!Z31,IF(BJ72=summaryref2!X38,summaryref2!Z38,IF(BJ72=summaryref2!X45,summaryref2!Z45,IF(BJ72=summaryref2!X52,summaryref2!Z52,IF(BJ72=summaryref2!X59,summaryref2!Z59,IF(BJ72=summaryref2!X66,summaryref2!Z66,IF(BJ72=summaryref2!X73,summaryref2!Z73,IF(BJ72=summaryref2!X80,summaryref2!Z80,"")))))))))))</f>
        <v/>
      </c>
      <c r="BM72" s="1042" t="str">
        <f>VLOOKUP(BK72,Valid!$B$80:$C$86,2,FALSE)</f>
        <v>Each</v>
      </c>
      <c r="BN72" s="1209" t="str">
        <f>IF('A-80 DirEntInv'!BN71&lt;&gt;"",'A-80 DirEntInv'!BN71,IF(BJ72=summaryref2!X17,summaryref2!AB17,IF(BJ72=summaryref2!X24,summaryref2!AB24,IF(BJ72=summaryref2!X31,summaryref2!AB31,IF(BJ72=summaryref2!X38,summaryref2!AB38,IF(BJ72=summaryref2!X45,summaryref2!AB45,IF(BJ72=summaryref2!X52,summaryref2!AB52,IF(BJ72=summaryref2!X59,summaryref2!AB59,IF(BJ72=summaryref2!X66,summaryref2!AB66,IF(BJ72=summaryref2!X73,summaryref2!AB73,IF(BJ72=summaryref2!X80,summaryref2!AB80,"")))))))))))</f>
        <v/>
      </c>
      <c r="BO72" s="1116" t="str">
        <f>IF('A-80 DirEntInv'!BO71&lt;&gt;"",'A-80 DirEntInv'!BO71,IF(BJ72=summaryref2!X17,summaryref2!AC17,IF(BJ72=summaryref2!X24,summaryref2!AC24,IF(BJ72=summaryref2!X31,summaryref2!AC31,IF(BJ72=summaryref2!X38,summaryref2!AC38,IF(BJ72=summaryref2!X45,summaryref2!AC45,IF(BJ72=summaryref2!X52,summaryref2!AC52,IF(BJ72=summaryref2!X59,summaryref2!AC59,IF(BJ72=summaryref2!X66,summaryref2!AC66,IF(BJ72=summaryref2!X73,summaryref2!AC73,IF(BJ72=summaryref2!X80,summaryref2!AC80,"")))))))))))</f>
        <v/>
      </c>
      <c r="BP72" s="1384" t="str">
        <f>IF('A-80 DirEntInv'!BP71&lt;&gt;"",'A-80 DirEntInv'!BP71,IF(BJ72=summaryref2!X17,summaryref2!AD17,IF(BJ72=summaryref2!X24,summaryref2!AD24,IF(BJ72=summaryref2!X31,summaryref2!AD31,IF(BJ72=summaryref2!X38,summaryref2!AD38,IF(BJ72=summaryref2!X45,summaryref2!AD45,IF(BJ72=summaryref2!X52,summaryref2!AD52,IF(BJ72=summaryref2!X59,summaryref2!AD59,IF(BJ72=summaryref2!X66,summaryref2!AD66,IF(BJ72=summaryref2!X73,summaryref2!AD73,IF(BJ72=summaryref2!X80,summaryref2!AD80,"")))))))))))</f>
        <v/>
      </c>
      <c r="BS72" s="1472" t="str">
        <f ca="1">IF('A-80 DirEntInv'!BU71&lt;&gt;"",'A-80 DirEntInv'!BU71,IF(INDIRECT(ADDRESS(SumRef!DK78,SumRef!DK$16,,,SumRef!$E$6))="","",INDIRECT(ADDRESS(SumRef!DK78,SumRef!DK$16,,,SumRef!$E$6))))</f>
        <v/>
      </c>
      <c r="BT72" s="1458" t="str">
        <f ca="1">IF('A-80 DirEntInv'!BV71&lt;&gt;"",'A-80 DirEntInv'!BV71,IF(INDIRECT(ADDRESS(SumRef!DL78,SumRef!DL$16,,,SumRef!$E$6))="","",INDIRECT(ADDRESS(SumRef!DL78,SumRef!DL$16,,,SumRef!$E$6))))</f>
        <v/>
      </c>
      <c r="BU72" s="1177" t="str">
        <f ca="1">IF('A-80 DirEntInv'!BW71&lt;&gt;"",'A-80 DirEntInv'!BW71,IF(INDIRECT(ADDRESS(SumRef!DM78,SumRef!DM$16,,,SumRef!$E$6))="","",INDIRECT(ADDRESS(SumRef!DM78,SumRef!DM$16,,,SumRef!$E$6))))</f>
        <v/>
      </c>
      <c r="BV72" s="1460" t="str">
        <f ca="1">IF('A-80 DirEntInv'!BX71&lt;&gt;"",'A-80 DirEntInv'!BX71,IF(INDIRECT(ADDRESS(SumRef!DN78,SumRef!DN$16,,,SumRef!$E$6))="","",INDIRECT(ADDRESS(SumRef!DN78,SumRef!DN$16,,,SumRef!$E$6))))</f>
        <v/>
      </c>
      <c r="BW72" s="1460" t="str">
        <f ca="1">IF('A-80 DirEntInv'!BY71&lt;&gt;"",'A-80 DirEntInv'!BY71,IF(INDIRECT(ADDRESS(SumRef!DO78,SumRef!DO$16,,,SumRef!$E$6))="","",INDIRECT(ADDRESS(SumRef!DO78,SumRef!DO$16,,,SumRef!$E$6))))</f>
        <v/>
      </c>
      <c r="BX72" s="1116" t="str">
        <f ca="1">IF('A-80 DirEntInv'!BZ71&lt;&gt;"",'A-80 DirEntInv'!BZ71,IF(INDIRECT(ADDRESS(SumRef!DP78,SumRef!DP$16,,,SumRef!$E$6))="","",INDIRECT(ADDRESS(SumRef!DP78,SumRef!DP$16,,,SumRef!$E$6))))</f>
        <v/>
      </c>
      <c r="BY72" s="1461" t="str">
        <f ca="1">IF('A-80 DirEntInv'!CA71&lt;&gt;"",'A-80 DirEntInv'!CA71,IF(INDIRECT(ADDRESS(SumRef!DQ78,SumRef!DQ$16,,,SumRef!$E$6))="","",INDIRECT(ADDRESS(SumRef!DQ78,SumRef!DQ$16,,,SumRef!$E$6))))</f>
        <v/>
      </c>
      <c r="BZ72" s="1460" t="str">
        <f ca="1">IF('A-80 DirEntInv'!CB71&lt;&gt;"",'A-80 DirEntInv'!CB71,IF(INDIRECT(ADDRESS(SumRef!DR78,SumRef!DR$16,,,SumRef!$E$6))="","",INDIRECT(ADDRESS(SumRef!DR78,SumRef!DR$16,,,SumRef!$E$6))))</f>
        <v/>
      </c>
      <c r="CA72" s="1462" t="str">
        <f ca="1">IF('A-80 DirEntInv'!CC71&lt;&gt;"",'A-80 DirEntInv'!CC71,IF(INDIRECT(ADDRESS(SumRef!DS78,SumRef!DS$16,,,SumRef!$E$6))="","",INDIRECT(ADDRESS(SumRef!DS78,SumRef!DS$16,,,SumRef!$E$6))))</f>
        <v/>
      </c>
      <c r="CD72" s="1160" t="str">
        <f ca="1">IF('A-80 DirEntInv'!CF71&lt;&gt;"",'A-80 DirEntInv'!CF71,IF(INDIRECT(ADDRESS(SumRef!DV78,SumRef!DV$16,,,SumRef!$E$7))="","",INDIRECT(ADDRESS(SumRef!DV78,SumRef!DV$16,,,SumRef!$E$7))))</f>
        <v/>
      </c>
      <c r="CE72" s="1167" t="str">
        <f ca="1">IF('A-80 DirEntInv'!CG71&lt;&gt;"",'A-80 DirEntInv'!CG71,IF(INDIRECT(ADDRESS(SumRef!DW78,SumRef!DW$16,,,SumRef!$E$7))="","",INDIRECT(ADDRESS(SumRef!DW78,SumRef!DW$16,,,SumRef!$E$7))))</f>
        <v/>
      </c>
      <c r="CF72" s="1167" t="str">
        <f ca="1">IF('A-80 DirEntInv'!CH71&lt;&gt;"",'A-80 DirEntInv'!CH71,IF(INDIRECT(ADDRESS(SumRef!DX78,SumRef!DX$16,,,SumRef!$E$7))="","",INDIRECT(ADDRESS(SumRef!DX78,SumRef!DX$16,,,SumRef!$E$7))))</f>
        <v/>
      </c>
      <c r="CG72" s="1167" t="str">
        <f ca="1">IF('A-80 DirEntInv'!CI71&lt;&gt;"",'A-80 DirEntInv'!CI71,IF(INDIRECT(ADDRESS(SumRef!DY78,SumRef!DY$16,,,SumRef!$E$7))="","",INDIRECT(ADDRESS(SumRef!DY78,SumRef!DY$16,,,SumRef!$E$7))))</f>
        <v/>
      </c>
      <c r="CH72" s="1167" t="str">
        <f ca="1">IF('A-80 DirEntInv'!CJ71&lt;&gt;"",'A-80 DirEntInv'!CJ71,IF(INDIRECT(ADDRESS(SumRef!DZ78,SumRef!DZ$16,,,SumRef!$E$7))="","",INDIRECT(ADDRESS(SumRef!DZ78,SumRef!DZ$16,,,SumRef!$E$7))))</f>
        <v/>
      </c>
      <c r="CI72" s="1167" t="str">
        <f ca="1">IF('A-80 DirEntInv'!CK71&lt;&gt;"",'A-80 DirEntInv'!CK71,IF(INDIRECT(ADDRESS(SumRef!EA78,SumRef!EA$16,,,SumRef!$E$7))="","",INDIRECT(ADDRESS(SumRef!EA78,SumRef!EA$16,,,SumRef!$E$7))))</f>
        <v/>
      </c>
      <c r="CJ72" s="1114" t="str">
        <f ca="1">IF('A-80 DirEntInv'!CL71&lt;&gt;"",'A-80 DirEntInv'!CL71,IF(INDIRECT(ADDRESS(SumRef!EB78,SumRef!EB$16,,,SumRef!$E$7))="","",INDIRECT(ADDRESS(SumRef!EB78,SumRef!EB$16,,,SumRef!$E$7))))</f>
        <v/>
      </c>
      <c r="CK72" s="1114" t="str">
        <f ca="1">IF('A-80 DirEntInv'!CM71&lt;&gt;"",'A-80 DirEntInv'!CM71,IF(INDIRECT(ADDRESS(SumRef!EC78,SumRef!EC$16,,,SumRef!$E$7))="","",INDIRECT(ADDRESS(SumRef!EC78,SumRef!EC$16,,,SumRef!$E$7))))</f>
        <v/>
      </c>
      <c r="CL72" s="1113" t="str">
        <f ca="1">IF('A-80 DirEntInv'!CO71&lt;&gt;"",'A-80 DirEntInv'!CO71,IF(INDIRECT(ADDRESS(SumRef!ED78,SumRef!ED$16,,,SumRef!$E$7))="","",INDIRECT(ADDRESS(SumRef!ED78,SumRef!ED$16,,,SumRef!$E$7))))</f>
        <v/>
      </c>
      <c r="CM72" s="1114" t="str">
        <f ca="1">IF('A-80 DirEntInv'!CP71&lt;&gt;"",'A-80 DirEntInv'!CP71,IF(INDIRECT(ADDRESS(SumRef!EE78,SumRef!EE$16,,,SumRef!$E$7))="","",INDIRECT(ADDRESS(SumRef!EE78,SumRef!EE$16,,,SumRef!$E$7))))</f>
        <v/>
      </c>
      <c r="CN72" s="1114" t="str">
        <f ca="1">IF('A-80 DirEntInv'!CQ71&lt;&gt;"",'A-80 DirEntInv'!CQ71,IF(INDIRECT(ADDRESS(SumRef!EF78,SumRef!EF$16,,,SumRef!$E$7))="","",INDIRECT(ADDRESS(SumRef!EF78,SumRef!EF$16,,,SumRef!$E$7))))</f>
        <v/>
      </c>
      <c r="CO72" s="1113" t="str">
        <f ca="1">IF('A-80 DirEntInv'!CR71&lt;&gt;"",'A-80 DirEntInv'!CR71,IF(INDIRECT(ADDRESS(SumRef!EG78,SumRef!EG$16,,,SumRef!$E$7))="","",INDIRECT(ADDRESS(SumRef!EG78,SumRef!EG$16,,,SumRef!$E$7))))</f>
        <v/>
      </c>
      <c r="CP72" s="1114" t="str">
        <f ca="1">IF('A-80 DirEntInv'!CS71&lt;&gt;"",'A-80 DirEntInv'!CS71,IF(INDIRECT(ADDRESS(SumRef!EH78,SumRef!EH$16,,,SumRef!$E$7))="","",INDIRECT(ADDRESS(SumRef!EH78,SumRef!EH$16,,,SumRef!$E$7))))</f>
        <v/>
      </c>
      <c r="CQ72" s="1346" t="str">
        <f ca="1">IF('A-80 DirEntInv'!CT71&lt;&gt;"",'A-80 DirEntInv'!CT71,IF(INDIRECT(ADDRESS(SumRef!EI78,SumRef!EI$16,,,SumRef!$E$7))="","",INDIRECT(ADDRESS(SumRef!EI78,SumRef!EI$16,,,SumRef!$E$7))))</f>
        <v/>
      </c>
      <c r="CR72" s="1113" t="str">
        <f ca="1">IF('A-80 DirEntInv'!CU71&lt;&gt;"",'A-80 DirEntInv'!CU71,IF(INDIRECT(ADDRESS(SumRef!EJ78,SumRef!EJ$16,,,SumRef!$E$7))="","",INDIRECT(ADDRESS(SumRef!EJ78,SumRef!EJ$16,,,SumRef!$E$7))))</f>
        <v/>
      </c>
      <c r="CS72" s="1346" t="str">
        <f ca="1">IF('A-80 DirEntInv'!CV71&lt;&gt;"",'A-80 DirEntInv'!CV71,IF(INDIRECT(ADDRESS(SumRef!EM78,SumRef!EM$16,,,SumRef!$E$7))="","",INDIRECT(ADDRESS(SumRef!EM78,SumRef!EM$16,,,SumRef!$E$7))))</f>
        <v/>
      </c>
      <c r="CT72" s="1113" t="str">
        <f ca="1">IF('A-80 DirEntInv'!CW71&lt;&gt;"",'A-80 DirEntInv'!CW71,IF(INDIRECT(ADDRESS(SumRef!EN78,SumRef!EN$16,,,SumRef!$E$7))="","",INDIRECT(ADDRESS(SumRef!EN78,SumRef!EN$16,,,SumRef!$E$7))))</f>
        <v/>
      </c>
      <c r="CU72" s="1113" t="str">
        <f ca="1">IF('A-80 DirEntInv'!CX71&lt;&gt;"",'A-80 DirEntInv'!CX71,IF(INDIRECT(ADDRESS(SumRef!EO78,SumRef!EO$16,,,SumRef!$E$7))="","",INDIRECT(ADDRESS(SumRef!EO78,SumRef!EO$16,,,SumRef!$E$7))))</f>
        <v/>
      </c>
      <c r="CV72" s="1113" t="str">
        <f ca="1">IF('A-80 DirEntInv'!CY71&lt;&gt;"",'A-80 DirEntInv'!CY71,IF(INDIRECT(ADDRESS(SumRef!EP78,SumRef!EP$16,,,SumRef!$E$7))="","",INDIRECT(ADDRESS(SumRef!EP78,SumRef!EP$16,,,SumRef!$E$7))))</f>
        <v/>
      </c>
      <c r="CW72" s="1114" t="str">
        <f ca="1">IF('A-80 DirEntInv'!CZ71&lt;&gt;"",'A-80 DirEntInv'!CZ71,IF(INDIRECT(ADDRESS(SumRef!ES78,SumRef!ES$16,,,SumRef!$E$7))="","",INDIRECT(ADDRESS(SumRef!ES78,SumRef!ES$16,,,SumRef!$E$7))))</f>
        <v/>
      </c>
      <c r="CX72" s="1167" t="str">
        <f ca="1">IF('A-80 DirEntInv'!DA71&lt;&gt;"",'A-80 DirEntInv'!DA71,IF(INDIRECT(ADDRESS(SumRef!ET78,SumRef!ET$16,,,SumRef!$E$7))="","",INDIRECT(ADDRESS(SumRef!ET78,SumRef!ET$16,,,SumRef!$E$7))))</f>
        <v/>
      </c>
      <c r="CY72" s="1167" t="str">
        <f ca="1">IF('A-80 DirEntInv'!DB71&lt;&gt;"",'A-80 DirEntInv'!DB71,IF(INDIRECT(ADDRESS(SumRef!EU78,SumRef!EU$16,,,SumRef!$E$7))="","",INDIRECT(ADDRESS(SumRef!EU78,SumRef!EU$16,,,SumRef!$E$7))))</f>
        <v/>
      </c>
      <c r="CZ72" s="1167" t="b">
        <f ca="1">IF('A-80 DirEntInv'!DC71&lt;&gt;"",'A-80 DirEntInv'!DC71,IF(INDIRECT(ADDRESS(SumRef!EV78,SumRef!EV$16,,,SumRef!$E$7))="","",INDIRECT(ADDRESS(SumRef!EV78,SumRef!EV$16,,,SumRef!$E$7))))</f>
        <v>0</v>
      </c>
      <c r="DA72" s="1373" t="str">
        <f ca="1">IF('A-80 DirEntInv'!DD71&lt;&gt;"",'A-80 DirEntInv'!DD71,IF(INDIRECT(ADDRESS(SumRef!EW78,SumRef!EW$16,,,SumRef!$E$7))="","",INDIRECT(ADDRESS(SumRef!EW78,SumRef!EW$16,,,SumRef!$E$7))))</f>
        <v/>
      </c>
      <c r="DB72" s="1373" t="b">
        <f ca="1">IF('A-80 DirEntInv'!DE71&lt;&gt;"",'A-80 DirEntInv'!DE71,IF(INDIRECT(ADDRESS(SumRef!EX78,SumRef!EX$16,,,SumRef!$E$7))="","",INDIRECT(ADDRESS(SumRef!EX78,SumRef!EX$16,,,SumRef!$E$7))))</f>
        <v>0</v>
      </c>
      <c r="DC72" s="1114" t="b">
        <f ca="1">IF('A-80 DirEntInv'!DF71&lt;&gt;"",'A-80 DirEntInv'!DF71,IF(INDIRECT(ADDRESS(SumRef!EY78,SumRef!EY$16,,,SumRef!$E$7))="","",INDIRECT(ADDRESS(SumRef!EY78,SumRef!EY$16,,,SumRef!$E$7))))</f>
        <v>0</v>
      </c>
      <c r="DD72" s="1115" t="str">
        <f ca="1">IF('A-80 DirEntInv'!DG71&lt;&gt;"",'A-80 DirEntInv'!DG71,IF(INDIRECT(ADDRESS(SumRef!EZ78,SumRef!EZ$16,,,SumRef!$E$7))="","",INDIRECT(ADDRESS(SumRef!EZ78,SumRef!EZ$16,,,SumRef!$E$7))))</f>
        <v/>
      </c>
    </row>
    <row r="73" spans="1:108" s="588" customFormat="1" ht="13.5" thickBot="1" x14ac:dyDescent="0.25">
      <c r="A73" s="589">
        <f t="shared" si="0"/>
        <v>63</v>
      </c>
      <c r="B73" s="1155" t="str">
        <f ca="1">IF('A-80 DirEntInv'!B72&lt;&gt;"",'A-80 DirEntInv'!B72,IF(INDIRECT(ADDRESS(SumRef!AQ79,SumRef!AQ$16,,,SumRef!$B$7))="","",INDIRECT(ADDRESS(SumRef!AQ79,SumRef!AQ$16,,,SumRef!$B$7))))</f>
        <v/>
      </c>
      <c r="C73" s="1097" t="str">
        <f ca="1">IF('A-80 DirEntInv'!C72&lt;&gt;"",'A-80 DirEntInv'!C72,IF(INDIRECT(ADDRESS(SumRef!AR79,SumRef!AR$16,,,SumRef!$B$7))="","",INDIRECT(ADDRESS(SumRef!AR79,SumRef!AR$16,,,SumRef!$B$7))))</f>
        <v/>
      </c>
      <c r="D73" s="1097" t="str">
        <f ca="1">IF('A-80 DirEntInv'!D72&lt;&gt;"",'A-80 DirEntInv'!D72,IF(INDIRECT(ADDRESS(SumRef!AS79,SumRef!AS$16,,,SumRef!$B$7))="","",INDIRECT(ADDRESS(SumRef!AS79,SumRef!AS$16,,,SumRef!$B$7))))</f>
        <v/>
      </c>
      <c r="E73" s="1097" t="str">
        <f ca="1">IF('A-80 DirEntInv'!E72&lt;&gt;"",'A-80 DirEntInv'!E72,IF(INDIRECT(ADDRESS(SumRef!AT79,SumRef!AT$16,,,SumRef!$B$7))="","",INDIRECT(ADDRESS(SumRef!AT79,SumRef!AT$16,,,SumRef!$B$7))))</f>
        <v/>
      </c>
      <c r="F73" s="1097" t="str">
        <f ca="1">IF('A-80 DirEntInv'!F72&lt;&gt;"",'A-80 DirEntInv'!F72,IF(INDIRECT(ADDRESS(SumRef!AU79,SumRef!AU$16,,,SumRef!$B$7))="","",INDIRECT(ADDRESS(SumRef!AU79,SumRef!AU$16,,,SumRef!$B$7))))</f>
        <v/>
      </c>
      <c r="G73" s="1158" t="str">
        <f ca="1">IF('A-80 DirEntInv'!G72&lt;&gt;"",'A-80 DirEntInv'!G72,IF(INDIRECT(ADDRESS(SumRef!AV79,SumRef!AV$16,,,SumRef!$B$7))="","",INDIRECT(ADDRESS(SumRef!AV79,SumRef!AV$16,,,SumRef!$B$7))))</f>
        <v/>
      </c>
      <c r="H73" s="1097" t="str">
        <f ca="1">IF('A-80 DirEntInv'!H72&lt;&gt;"",'A-80 DirEntInv'!H72,IF(INDIRECT(ADDRESS(SumRef!AW79,SumRef!AW$16,,,SumRef!$B$7))="","",INDIRECT(ADDRESS(SumRef!AW79,SumRef!AW$16,,,SumRef!$B$7))))</f>
        <v/>
      </c>
      <c r="I73" s="1097" t="str">
        <f ca="1">IF('A-80 DirEntInv'!I72&lt;&gt;"",'A-80 DirEntInv'!I72,IF(INDIRECT(ADDRESS(SumRef!AX79,SumRef!AX$16,,,SumRef!$B$7))="","",INDIRECT(ADDRESS(SumRef!AX79,SumRef!AX$16,,,SumRef!$B$7))))</f>
        <v/>
      </c>
      <c r="J73" s="1098" t="str">
        <f ca="1">IF('A-80 DirEntInv'!J72&lt;&gt;"",'A-80 DirEntInv'!J72,IF(INDIRECT(ADDRESS(SumRef!AY79,SumRef!AY$16,,,SumRef!$B$7))="","",INDIRECT(ADDRESS(SumRef!AY79,SumRef!AY$16,,,SumRef!$B$7))))</f>
        <v/>
      </c>
      <c r="K73" s="1099" t="str">
        <f ca="1">IF('A-80 DirEntInv'!K72&lt;&gt;"",'A-80 DirEntInv'!K72,IF(INDIRECT(ADDRESS(SumRef!AZ79,SumRef!AZ$16,,,SumRef!$B$7))="","",INDIRECT(ADDRESS(SumRef!AZ79,SumRef!AZ$16,,,SumRef!$B$7))))</f>
        <v/>
      </c>
      <c r="L73" s="1100" t="str">
        <f ca="1">IF('A-80 DirEntInv'!L72&lt;&gt;"",'A-80 DirEntInv'!L72,IF(INDIRECT(ADDRESS(SumRef!BA79,SumRef!BA$16,,,SumRef!$B$7))="","",INDIRECT(ADDRESS(SumRef!BA79,SumRef!BA$16,,,SumRef!$B$7))))</f>
        <v/>
      </c>
      <c r="M73" s="1101" t="str">
        <f ca="1">IF('A-80 DirEntInv'!M72&lt;&gt;"",'A-80 DirEntInv'!M72,IF(INDIRECT(ADDRESS(SumRef!BB79,SumRef!BB$16,,,SumRef!$B$7))="","",INDIRECT(ADDRESS(SumRef!BB79,SumRef!BB$16,,,SumRef!$B$7))))</f>
        <v/>
      </c>
      <c r="N73" s="1098" t="str">
        <f ca="1">IF('A-80 DirEntInv'!N72&lt;&gt;"",'A-80 DirEntInv'!N72,IF(INDIRECT(ADDRESS(SumRef!BC79,SumRef!BC$16,,,SumRef!$B$7))="","",INDIRECT(ADDRESS(SumRef!BC79,SumRef!BC$16,,,SumRef!$B$7))))</f>
        <v/>
      </c>
      <c r="O73" s="1102" t="str">
        <f ca="1">IF('A-80 DirEntInv'!O72&lt;&gt;"",'A-80 DirEntInv'!O72,IF(INDIRECT(ADDRESS(SumRef!BD79,SumRef!BD$16,,,SumRef!$B$7))="","",INDIRECT(ADDRESS(SumRef!BD79,SumRef!BD$16,,,SumRef!$B$7))))</f>
        <v/>
      </c>
      <c r="Q73" s="589"/>
      <c r="R73" s="1103" t="str">
        <f ca="1">IF('A-80 DirEntInv'!R72&lt;&gt;"",'A-80 DirEntInv'!R72,IF(INDIRECT(ADDRESS(SumRef!BH79,SumRef!BH$16,,,SumRef!$B$8))="","",INDIRECT(ADDRESS(SumRef!BH79,SumRef!BH$16,,,SumRef!$B$8))))</f>
        <v/>
      </c>
      <c r="S73" s="1104" t="str">
        <f ca="1">IF('A-80 DirEntInv'!S72&lt;&gt;"",'A-80 DirEntInv'!S72,IF(INDIRECT(ADDRESS(SumRef!BI79,SumRef!BI$16,,,SumRef!$B$8))="","",INDIRECT(ADDRESS(SumRef!BI79,SumRef!BI$16,,,SumRef!$B$8))))</f>
        <v/>
      </c>
      <c r="T73" s="1104" t="str">
        <f ca="1">IF('A-80 DirEntInv'!T72&lt;&gt;"",'A-80 DirEntInv'!T72,IF(INDIRECT(ADDRESS(SumRef!BJ79,SumRef!BJ$16,,,SumRef!$B$8))="","",INDIRECT(ADDRESS(SumRef!BJ79,SumRef!BJ$16,,,SumRef!$B$8))))</f>
        <v/>
      </c>
      <c r="U73" s="1104" t="str">
        <f ca="1">IF('A-80 DirEntInv'!U72&lt;&gt;"",'A-80 DirEntInv'!U72,IF(INDIRECT(ADDRESS(SumRef!BK79,SumRef!BK$16,,,SumRef!$B$8))="","",INDIRECT(ADDRESS(SumRef!BK79,SumRef!BK$16,,,SumRef!$B$8))))</f>
        <v/>
      </c>
      <c r="V73" s="1104" t="str">
        <f ca="1">IF('A-80 DirEntInv'!V72&lt;&gt;"",'A-80 DirEntInv'!V72,IF(INDIRECT(ADDRESS(SumRef!BL79,SumRef!BL$16,,,SumRef!$B$8))="","",INDIRECT(ADDRESS(SumRef!BL79,SumRef!BL$16,,,SumRef!$B$8))))</f>
        <v/>
      </c>
      <c r="W73" s="1354" t="str">
        <f ca="1">IF('A-80 DirEntInv'!W72&lt;&gt;"",'A-80 DirEntInv'!W72,IF(INDIRECT(ADDRESS(SumRef!BM79,SumRef!BM$16,,,SumRef!$B$8))="","",INDIRECT(ADDRESS(SumRef!BM79,SumRef!BM$16,,,SumRef!$B$8))))</f>
        <v/>
      </c>
      <c r="X73" s="1203" t="str">
        <f ca="1">IF('A-80 DirEntInv'!X72&lt;&gt;"",'A-80 DirEntInv'!X72,IF(INDIRECT(ADDRESS(SumRef!BN79,SumRef!BN$16,,,SumRef!$B$8))="","",INDIRECT(ADDRESS(SumRef!BN79,SumRef!BN$16,,,SumRef!$B$8))))</f>
        <v/>
      </c>
      <c r="Y73" s="1203" t="str">
        <f ca="1">IF('A-80 DirEntInv'!Y72&lt;&gt;"",'A-80 DirEntInv'!Y72,IF(INDIRECT(ADDRESS(SumRef!BO79,SumRef!BO$16,,,SumRef!$B$8))="","",INDIRECT(ADDRESS(SumRef!BO79,SumRef!BO$16,,,SumRef!$B$8))))</f>
        <v/>
      </c>
      <c r="Z73" s="1104" t="str">
        <f ca="1">IF('A-80 DirEntInv'!Z72&lt;&gt;"",'A-80 DirEntInv'!Z72,IF(INDIRECT(ADDRESS(SumRef!BP79,SumRef!BP$16,,,SumRef!$B$8))="","",INDIRECT(ADDRESS(SumRef!BP79,SumRef!BP$16,,,SumRef!$B$8))))</f>
        <v/>
      </c>
      <c r="AA73" s="1104" t="str">
        <f ca="1">IF('A-80 DirEntInv'!AA72&lt;&gt;"",'A-80 DirEntInv'!AA72,IF(INDIRECT(ADDRESS(SumRef!BQ79,SumRef!BQ$16,,,SumRef!$B$8))="","",INDIRECT(ADDRESS(SumRef!BQ79,SumRef!BQ$16,,,SumRef!$B$8))))</f>
        <v/>
      </c>
      <c r="AB73" s="1106" t="str">
        <f ca="1">IF('A-80 DirEntInv'!AB72&lt;&gt;"",'A-80 DirEntInv'!AB72,IF(INDIRECT(ADDRESS(SumRef!BR79,SumRef!BR$16,,,SumRef!$B$8))="","",INDIRECT(ADDRESS(SumRef!BR79,SumRef!BR$16,,,SumRef!$B$8))))</f>
        <v/>
      </c>
      <c r="AC73" s="1107" t="str">
        <f ca="1">IF('A-80 DirEntInv'!AC72&lt;&gt;"",'A-80 DirEntInv'!AC72,IF(INDIRECT(ADDRESS(SumRef!BS79,SumRef!BS$16,,,SumRef!$B$8))="","",INDIRECT(ADDRESS(SumRef!BS79,SumRef!BS$16,,,SumRef!$B$8))))</f>
        <v/>
      </c>
      <c r="AD73" s="1349" t="str">
        <f ca="1">IF('A-80 DirEntInv'!AD72&lt;&gt;"",'A-80 DirEntInv'!AD72,IF(INDIRECT(ADDRESS(SumRef!BT79,SumRef!BT$16,,,SumRef!$B$8))="","",INDIRECT(ADDRESS(SumRef!BT79,SumRef!BT$16,,,SumRef!$B$8))))</f>
        <v/>
      </c>
      <c r="AE73" s="1137" t="str">
        <f ca="1">IF('A-80 DirEntInv'!AE72&lt;&gt;"",'A-80 DirEntInv'!AE72,IF(INDIRECT(ADDRESS(SumRef!BU79,SumRef!BU$16,,,SumRef!$B$8))="","",INDIRECT(ADDRESS(SumRef!BU79,SumRef!BU$16,,,SumRef!$B$8))))</f>
        <v/>
      </c>
      <c r="AF73" s="1346" t="str">
        <f ca="1">IF('A-80 DirEntInv'!AF72&lt;&gt;"",'A-80 DirEntInv'!AF72,IF(INDIRECT(ADDRESS(SumRef!BV79,SumRef!BV$16,,,SumRef!$B$8))="","",INDIRECT(ADDRESS(SumRef!BV79,SumRef!BV$16,,,SumRef!$B$8))))</f>
        <v/>
      </c>
      <c r="AG73" s="1105" t="str">
        <f ca="1">IF('A-80 DirEntInv'!AG72&lt;&gt;"",'A-80 DirEntInv'!AG72,IF(INDIRECT(ADDRESS(SumRef!BW79,SumRef!BW$16,,,SumRef!$B$8))="","",INDIRECT(ADDRESS(SumRef!BW79,SumRef!BW$16,,,SumRef!$B$8))))</f>
        <v/>
      </c>
      <c r="AH73" s="1357" t="str">
        <f ca="1">IF('A-80 DirEntInv'!AH72&lt;&gt;"",'A-80 DirEntInv'!AH72,IF(INDIRECT(ADDRESS(SumRef!BX79,SumRef!BX$16,,,SumRef!$B$8))="","",INDIRECT(ADDRESS(SumRef!BX79,SumRef!BX$16,,,SumRef!$B$8))))</f>
        <v/>
      </c>
      <c r="AK73" s="1041" t="str">
        <f>Codes!$C$160</f>
        <v>CC - Cable Car (PT)</v>
      </c>
      <c r="AL73" s="1042" t="str">
        <f>Valid!$B$77</f>
        <v>Below-Grade/Cut-and-Cover Tunnel</v>
      </c>
      <c r="AM73" s="1108" t="str">
        <f>IF('A-80 DirEntInv'!AM72&lt;&gt;"",'A-80 DirEntInv'!AM72,IF(AK73=summaryref2!B18,summaryref2!D18,IF(Summary!AK73=summaryref2!B32,summaryref2!D32,IF(AK73=summaryref2!B46,summaryref2!D46,IF(AK73=summaryref2!B60,summaryref2!D60,IF(AK73=summaryref2!B74,summaryref2!D74,IF(AK73=summaryref2!B88,summaryref2!D88,IF(AK73=summaryref2!B102,summaryref2!D102,IF(AK73=summaryref2!B116,summaryref2!D116,IF(AK73=summaryref2!B130,summaryref2!D130,IF(AK73=summaryref2!B144,summaryref2!D144,"")))))))))))</f>
        <v/>
      </c>
      <c r="AN73" s="1109" t="str">
        <f ca="1">IF('A-80 DirEntInv'!AN58&lt;&gt;"",'A-80 DirEntInv'!AN58,IF(INDIRECT(ADDRESS(SumRef!CG75,SumRef!CG$16,,,SumRef!$C$7))="","",INDIRECT(ADDRESS(SumRef!CG75,SumRef!CG$16,,,SumRef!$C$7))))</f>
        <v>Linear Feet</v>
      </c>
      <c r="AO73" s="1108" t="str">
        <f>IF('A-80 DirEntInv'!AO72&lt;&gt;"",'A-80 DirEntInv'!AO72,IF(AK73=summaryref2!B18,summaryref2!F18,IF(Summary!AK73=summaryref2!B32,summaryref2!F32,IF(AK73=summaryref2!B46,summaryref2!F46,IF(AK73=summaryref2!B60,summaryref2!F60,IF(AK73=summaryref2!B74,summaryref2!F74,IF(AK73=summaryref2!B88,summaryref2!F88,IF(AK73=summaryref2!B102,summaryref2!F102,IF(AK73=summaryref2!B116,summaryref2!F116,IF(AK73=summaryref2!B130,summaryref2!F130,IF(AK73=summaryref2!B144,summaryref2!F144,"")))))))))))</f>
        <v/>
      </c>
      <c r="AP73" s="1109" t="str">
        <f ca="1">IF('A-80 DirEntInv'!AP58&lt;&gt;"",'A-80 DirEntInv'!AP58,IF(INDIRECT(ADDRESS(SumRef!#REF!,SumRef!#REF!,,,SumRef!$C$7))="","",INDIRECT(ADDRESS(SumRef!#REF!,SumRef!#REF!,,,SumRef!$C$7))))</f>
        <v>Track Feet</v>
      </c>
      <c r="AQ73" s="1147" t="str">
        <f>IF('A-80 DirEntInv'!AQ72&lt;&gt;"",'A-80 DirEntInv'!AQ72,IF(AK73=summaryref2!B18,summaryref2!G18,IF(Summary!AK73=summaryref2!B32,summaryref2!G32,IF(AK73=summaryref2!B46,summaryref2!G46,IF(AK73=summaryref2!B60,summaryref2!G60,IF(AK73=summaryref2!B74,summaryref2!G74,IF(AK73=summaryref2!B88,summaryref2!G88,IF(AK73=summaryref2!B102,summaryref2!G102,IF(AK73=summaryref2!B116,summaryref2!G116,IF(AK73=summaryref2!B130,summaryref2!G130,IF(AK73=summaryref2!B144,summaryref2!G144,"")))))))))))</f>
        <v/>
      </c>
      <c r="AR73" s="1147" t="str">
        <f>IF('A-80 DirEntInv'!AR72&lt;&gt;"",'A-80 DirEntInv'!AR72,IF(AK73=summaryref2!B18,summaryref2!H18,IF(Summary!AK73=summaryref2!B32,summaryref2!H32,IF(AK73=summaryref2!B46,summaryref2!H46,IF(AK73=summaryref2!B60,summaryref2!H60,IF(AK73=summaryref2!B74,summaryref2!H74,IF(AK73=summaryref2!B88,summaryref2!H88,IF(AK73=summaryref2!B102,summaryref2!H102,IF(AK73=summaryref2!B116,summaryref2!H116,IF(AK73=summaryref2!B130,summaryref2!H130,IF(AK73=summaryref2!B144,summaryref2!H144,"")))))))))))</f>
        <v/>
      </c>
      <c r="AS73" s="1110" t="str">
        <f>IF('A-80 DirEntInv'!AS72&lt;&gt;"",'A-80 DirEntInv'!AS72,IF(AK73=summaryref2!B18,summaryref2!I18,IF(Summary!AK73=summaryref2!B32,summaryref2!I32,IF(AK73=summaryref2!B46,summaryref2!I46,IF(AK73=summaryref2!B60,summaryref2!I60,IF(AK73=summaryref2!B74,summaryref2!I74,IF(AK73=summaryref2!B88,summaryref2!I88,IF(AK73=summaryref2!B102,summaryref2!I102,IF(AK73=summaryref2!B116,summaryref2!I116,IF(AK73=summaryref2!B130,summaryref2!I130,IF(AK73=summaryref2!B144,summaryref2!I144,"")))))))))))</f>
        <v/>
      </c>
      <c r="AT73" s="1110" t="str">
        <f>IF('A-80 DirEntInv'!AT72&lt;&gt;"",'A-80 DirEntInv'!AT72,IF(AK73=summaryref2!B18,summaryref2!J18,IF(Summary!AK73=summaryref2!B32,summaryref2!J32,IF(AK73=summaryref2!B46,summaryref2!J46,IF(AK73=summaryref2!B60,summaryref2!J60,IF(AK73=summaryref2!B74,summaryref2!J74,IF(AK73=summaryref2!B88,summaryref2!J88,IF(AK73=summaryref2!B102,summaryref2!J102,IF(AK73=summaryref2!B116,summaryref2!J116,IF(AK73=summaryref2!B130,summaryref2!J130,IF(AK73=summaryref2!B144,summaryref2!J144,"")))))))))))</f>
        <v/>
      </c>
      <c r="AU73" s="1110" t="str">
        <f>IF('A-80 DirEntInv'!AU72&lt;&gt;"",'A-80 DirEntInv'!AU72,IF(AK73=summaryref2!B18,summaryref2!K18,IF(Summary!AK73=summaryref2!B32,summaryref2!K32,IF(AK73=summaryref2!B46,summaryref2!K46,IF(AK73=summaryref2!B60,summaryref2!K60,IF(AK73=summaryref2!B74,summaryref2!K74,IF(AK73=summaryref2!B88,summaryref2!K88,IF(AK73=summaryref2!B102,summaryref2!K102,IF(AK73=summaryref2!B116,summaryref2!K116,IF(AK73=summaryref2!B130,summaryref2!K130,IF(AK73=summaryref2!B144,summaryref2!K144,"")))))))))))</f>
        <v/>
      </c>
      <c r="AV73" s="1110" t="str">
        <f>IF('A-80 DirEntInv'!AV72&lt;&gt;"",'A-80 DirEntInv'!AV72,IF(AK73=summaryref2!B18,summaryref2!L18,IF(Summary!AK73=summaryref2!B32,summaryref2!L32,IF(AK73=summaryref2!B46,summaryref2!L46,IF(AK73=summaryref2!B60,summaryref2!L60,IF(AK73=summaryref2!B74,summaryref2!L74,IF(AK73=summaryref2!B88,summaryref2!L88,IF(AK73=summaryref2!B102,summaryref2!L102,IF(AK73=summaryref2!B116,summaryref2!L116,IF(AK73=summaryref2!B130,summaryref2!L130,IF(AK73=summaryref2!B144,summaryref2!L144,"")))))))))))</f>
        <v/>
      </c>
      <c r="AW73" s="1110" t="str">
        <f>IF('A-80 DirEntInv'!AW72&lt;&gt;"",'A-80 DirEntInv'!AW72,IF(AK73=summaryref2!B18,summaryref2!M18,IF(Summary!AK73=summaryref2!B32,summaryref2!M32,IF(AK73=summaryref2!B46,summaryref2!M46,IF(AK73=summaryref2!B60,summaryref2!M60,IF(AK73=summaryref2!B74,summaryref2!M74,IF(AK73=summaryref2!B88,summaryref2!M88,IF(AK73=summaryref2!B102,summaryref2!M102,IF(AK73=summaryref2!B116,summaryref2!M116,IF(AK73=summaryref2!B130,summaryref2!M130,IF(AK73=summaryref2!B144,summaryref2!M144,"")))))))))))</f>
        <v/>
      </c>
      <c r="AX73" s="1110" t="str">
        <f>IF('A-80 DirEntInv'!AX72&lt;&gt;"",'A-80 DirEntInv'!AX72,IF(AK73=summaryref2!B18,summaryref2!N18,IF(Summary!AK73=summaryref2!B32,summaryref2!N32,IF(AK73=summaryref2!B46,summaryref2!N46,IF(AK73=summaryref2!B60,summaryref2!N60,IF(AK73=summaryref2!B74,summaryref2!N74,IF(AK73=summaryref2!B88,summaryref2!N88,IF(AK73=summaryref2!B102,summaryref2!N102,IF(AK73=summaryref2!B116,summaryref2!N116,IF(AK73=summaryref2!B130,summaryref2!N130,IF(AK73=summaryref2!B144,summaryref2!N144,"")))))))))))</f>
        <v/>
      </c>
      <c r="AY73" s="1110" t="str">
        <f>IF('A-80 DirEntInv'!AY72&lt;&gt;"",'A-80 DirEntInv'!AY72,IF(AK73=summaryref2!B18,summaryref2!O18,IF(Summary!AK73=summaryref2!B32,summaryref2!O32,IF(AK73=summaryref2!B46,summaryref2!O46,IF(AK73=summaryref2!B60,summaryref2!O60,IF(AK73=summaryref2!B74,summaryref2!O74,IF(AK73=summaryref2!B88,summaryref2!O88,IF(AK73=summaryref2!B102,summaryref2!O102,IF(AK73=summaryref2!B116,summaryref2!O116,IF(AK73=summaryref2!B130,summaryref2!O130,IF(AK73=summaryref2!B144,summaryref2!O144,"")))))))))))</f>
        <v/>
      </c>
      <c r="AZ73" s="1110" t="str">
        <f>IF('A-80 DirEntInv'!AZ72&lt;&gt;"",'A-80 DirEntInv'!AZ72,IF(AK73=summaryref2!B18,summaryref2!P18,IF(Summary!AK73=summaryref2!B32,summaryref2!P32,IF(AK73=summaryref2!B46,summaryref2!P46,IF(AK73=summaryref2!B60,summaryref2!P60,IF(AK73=summaryref2!B74,summaryref2!P74,IF(AK73=summaryref2!B88,summaryref2!P88,IF(AK73=summaryref2!B102,summaryref2!P102,IF(AK73=summaryref2!B116,summaryref2!P116,IF(AK73=summaryref2!B130,summaryref2!P130,IF(AK73=summaryref2!B144,summaryref2!P144,"")))))))))))</f>
        <v/>
      </c>
      <c r="BA73" s="1110" t="str">
        <f>IF('A-80 DirEntInv'!BA72&lt;&gt;"",'A-80 DirEntInv'!BA72,IF(AK73=summaryref2!B18,summaryref2!Q18,IF(Summary!AK73=summaryref2!B32,summaryref2!Q32,IF(AK73=summaryref2!B46,summaryref2!Q46,IF(AK73=summaryref2!B60,summaryref2!Q60,IF(AK73=summaryref2!B74,summaryref2!Q74,IF(AK73=summaryref2!B88,summaryref2!Q88,IF(AK73=summaryref2!B102,summaryref2!Q102,IF(AK73=summaryref2!B116,summaryref2!Q116,IF(AK73=summaryref2!B130,summaryref2!Q130,IF(AK73=summaryref2!B144,summaryref2!Q144,"")))))))))))</f>
        <v/>
      </c>
      <c r="BB73" s="1110" t="str">
        <f>IF('A-80 DirEntInv'!BB72&lt;&gt;"",'A-80 DirEntInv'!BB72,IF(AK73=summaryref2!B18,summaryref2!R18,IF(Summary!AK73=summaryref2!B32,summaryref2!R32,IF(AK73=summaryref2!B46,summaryref2!R46,IF(AK73=summaryref2!B60,summaryref2!R60,IF(AK73=summaryref2!B74,summaryref2!R74,IF(AK73=summaryref2!B88,summaryref2!R88,IF(AK73=summaryref2!B102,summaryref2!R102,IF(AK73=summaryref2!B116,summaryref2!R116,IF(AK73=summaryref2!B130,summaryref2!R130,IF(AK73=summaryref2!B144,summaryref2!R144,"")))))))))))</f>
        <v/>
      </c>
      <c r="BC73" s="1110" t="str">
        <f>IF('A-80 DirEntInv'!BC72&lt;&gt;0,'A-80 DirEntInv'!BC72,IF(AK73=summaryref2!B18,summaryref2!S18,IF(Summary!AK73=summaryref2!B32,summaryref2!S32,IF(AK73=summaryref2!B46,summaryref2!S46,IF(AK73=summaryref2!B60,summaryref2!S60,IF(AK73=summaryref2!B74,summaryref2!S74,IF(AK73=summaryref2!B88,summaryref2!S88,IF(AK73=summaryref2!B102,summaryref2!S102,IF(AK73=summaryref2!B116,summaryref2!S116,IF(AK73=summaryref2!B130,summaryref2!S130,IF(AK73=summaryref2!B144,summaryref2!S144,"")))))))))))</f>
        <v/>
      </c>
      <c r="BD73" s="1111" t="str">
        <f>IF('A-80 DirEntInv'!BD72&lt;&gt;"",'A-80 DirEntInv'!BD72,IF(AK73=summaryref2!B18,summaryref2!T18,IF(Summary!AK73=summaryref2!B32,summaryref2!T32,IF(AK73=summaryref2!B46,summaryref2!T46,IF(AK73=summaryref2!B60,summaryref2!T60,IF(AK73=summaryref2!B74,summaryref2!T74,IF(AK73=summaryref2!B88,summaryref2!T88,IF(AK73=summaryref2!B102,summaryref2!T102,IF(AK73=summaryref2!B116,summaryref2!T116,IF(AK73=summaryref2!B130,summaryref2!T130,IF(AK73=summaryref2!B144,summaryref2!T144,"")))))))))))</f>
        <v/>
      </c>
      <c r="BE73" s="1184" t="str">
        <f>IF('A-80 DirEntInv'!BE72&lt;&gt;"",'A-80 DirEntInv'!BE72,IF(AK73=summaryref2!B18,summaryref2!U18,IF(Summary!AK73=summaryref2!B32,summaryref2!U32,IF(AK73=summaryref2!B46,summaryref2!U46,IF(AK73=summaryref2!B60,summaryref2!U60,IF(AK73=summaryref2!B74,summaryref2!U74,IF(AK73=summaryref2!B88,summaryref2!U88,IF(AK73=summaryref2!B102,summaryref2!U102,IF(AK73=summaryref2!B116,summaryref2!U116,IF(AK73=summaryref2!B130,summaryref2!U130,IF(AK73=summaryref2!B144,summaryref2!U144,"")))))))))))</f>
        <v/>
      </c>
      <c r="BF73" s="1432"/>
      <c r="BG73" s="1432"/>
      <c r="BJ73" s="1047" t="str">
        <f>Codes!$C$164</f>
        <v>HR - Heavy Rail (PT)</v>
      </c>
      <c r="BK73" s="1050" t="str">
        <f>Valid!$B$86</f>
        <v>Grade Crossings</v>
      </c>
      <c r="BL73" s="1369" t="str">
        <f>IF('A-80 DirEntInv'!BL72&lt;&gt;"",'A-80 DirEntInv'!BL72,IF(BJ73=summaryref2!X18,summaryref2!Z18,IF(BJ73=summaryref2!X25,summaryref2!Z25,IF(BJ73=summaryref2!X32,summaryref2!Z32,IF(BJ73=summaryref2!X39,summaryref2!Z39,IF(BJ73=summaryref2!X46,summaryref2!Z46,IF(BJ73=summaryref2!X53,summaryref2!Z53,IF(BJ73=summaryref2!X60,summaryref2!Z60,IF(BJ73=summaryref2!X67,summaryref2!Z67,IF(BJ73=summaryref2!X74,summaryref2!Z74,IF(BJ73=summaryref2!X81,summaryref2!Z81,"")))))))))))</f>
        <v/>
      </c>
      <c r="BM73" s="1050" t="str">
        <f>VLOOKUP(BK73,Valid!$B$80:$C$86,2,FALSE)</f>
        <v>Each</v>
      </c>
      <c r="BN73" s="1210" t="str">
        <f>IF('A-80 DirEntInv'!BN72&lt;&gt;"",'A-80 DirEntInv'!BN72,IF(BJ73=summaryref2!X18,summaryref2!AB18,IF(BJ73=summaryref2!X25,summaryref2!AB25,IF(BJ73=summaryref2!X32,summaryref2!AB32,IF(BJ73=summaryref2!X39,summaryref2!AB39,IF(BJ73=summaryref2!X46,summaryref2!AB46,IF(BJ73=summaryref2!X53,summaryref2!AB53,IF(BJ73=summaryref2!X60,summaryref2!AB60,IF(BJ73=summaryref2!X67,summaryref2!AB67,IF(BJ73=summaryref2!X74,summaryref2!AB74,IF(BJ73=summaryref2!X81,summaryref2!AB81,"")))))))))))</f>
        <v/>
      </c>
      <c r="BO73" s="1117" t="str">
        <f>IF('A-80 DirEntInv'!BO72&lt;&gt;"",'A-80 DirEntInv'!BO72,IF(BJ73=summaryref2!X18,summaryref2!AC18,IF(BJ73=summaryref2!X25,summaryref2!AC25,IF(BJ73=summaryref2!X32,summaryref2!AC32,IF(BJ73=summaryref2!X39,summaryref2!AC39,IF(BJ73=summaryref2!X46,summaryref2!AC46,IF(BJ73=summaryref2!X53,summaryref2!AC53,IF(BJ73=summaryref2!X60,summaryref2!AC60,IF(BJ73=summaryref2!X67,summaryref2!AC67,IF(BJ73=summaryref2!X74,summaryref2!AC74,IF(BJ73=summaryref2!X81,summaryref2!AC81,"")))))))))))</f>
        <v/>
      </c>
      <c r="BP73" s="1321" t="str">
        <f>IF('A-80 DirEntInv'!BP72&lt;&gt;"",'A-80 DirEntInv'!BP72,IF(BJ73=summaryref2!X18,summaryref2!AD18,IF(BJ73=summaryref2!X25,summaryref2!AD25,IF(BJ73=summaryref2!X32,summaryref2!AD32,IF(BJ73=summaryref2!X39,summaryref2!AD39,IF(BJ73=summaryref2!X46,summaryref2!AD46,IF(BJ73=summaryref2!X53,summaryref2!AD53,IF(BJ73=summaryref2!X60,summaryref2!AD60,IF(BJ73=summaryref2!X67,summaryref2!AD67,IF(BJ73=summaryref2!X74,summaryref2!AD74,IF(BJ73=summaryref2!X81,summaryref2!AD81,"")))))))))))</f>
        <v/>
      </c>
      <c r="BS73" s="1472" t="str">
        <f ca="1">IF('A-80 DirEntInv'!BU72&lt;&gt;"",'A-80 DirEntInv'!BU72,IF(INDIRECT(ADDRESS(SumRef!DK79,SumRef!DK$16,,,SumRef!$E$6))="","",INDIRECT(ADDRESS(SumRef!DK79,SumRef!DK$16,,,SumRef!$E$6))))</f>
        <v/>
      </c>
      <c r="BT73" s="1458" t="str">
        <f ca="1">IF('A-80 DirEntInv'!BV72&lt;&gt;"",'A-80 DirEntInv'!BV72,IF(INDIRECT(ADDRESS(SumRef!DL79,SumRef!DL$16,,,SumRef!$E$6))="","",INDIRECT(ADDRESS(SumRef!DL79,SumRef!DL$16,,,SumRef!$E$6))))</f>
        <v/>
      </c>
      <c r="BU73" s="1177" t="str">
        <f ca="1">IF('A-80 DirEntInv'!BW72&lt;&gt;"",'A-80 DirEntInv'!BW72,IF(INDIRECT(ADDRESS(SumRef!DM79,SumRef!DM$16,,,SumRef!$E$6))="","",INDIRECT(ADDRESS(SumRef!DM79,SumRef!DM$16,,,SumRef!$E$6))))</f>
        <v/>
      </c>
      <c r="BV73" s="1460" t="str">
        <f ca="1">IF('A-80 DirEntInv'!BX72&lt;&gt;"",'A-80 DirEntInv'!BX72,IF(INDIRECT(ADDRESS(SumRef!DN79,SumRef!DN$16,,,SumRef!$E$6))="","",INDIRECT(ADDRESS(SumRef!DN79,SumRef!DN$16,,,SumRef!$E$6))))</f>
        <v/>
      </c>
      <c r="BW73" s="1460" t="str">
        <f ca="1">IF('A-80 DirEntInv'!BY72&lt;&gt;"",'A-80 DirEntInv'!BY72,IF(INDIRECT(ADDRESS(SumRef!DO79,SumRef!DO$16,,,SumRef!$E$6))="","",INDIRECT(ADDRESS(SumRef!DO79,SumRef!DO$16,,,SumRef!$E$6))))</f>
        <v/>
      </c>
      <c r="BX73" s="1116" t="str">
        <f ca="1">IF('A-80 DirEntInv'!BZ72&lt;&gt;"",'A-80 DirEntInv'!BZ72,IF(INDIRECT(ADDRESS(SumRef!DP79,SumRef!DP$16,,,SumRef!$E$6))="","",INDIRECT(ADDRESS(SumRef!DP79,SumRef!DP$16,,,SumRef!$E$6))))</f>
        <v/>
      </c>
      <c r="BY73" s="1461" t="str">
        <f ca="1">IF('A-80 DirEntInv'!CA72&lt;&gt;"",'A-80 DirEntInv'!CA72,IF(INDIRECT(ADDRESS(SumRef!DQ79,SumRef!DQ$16,,,SumRef!$E$6))="","",INDIRECT(ADDRESS(SumRef!DQ79,SumRef!DQ$16,,,SumRef!$E$6))))</f>
        <v/>
      </c>
      <c r="BZ73" s="1460" t="str">
        <f ca="1">IF('A-80 DirEntInv'!CB72&lt;&gt;"",'A-80 DirEntInv'!CB72,IF(INDIRECT(ADDRESS(SumRef!DR79,SumRef!DR$16,,,SumRef!$E$6))="","",INDIRECT(ADDRESS(SumRef!DR79,SumRef!DR$16,,,SumRef!$E$6))))</f>
        <v/>
      </c>
      <c r="CA73" s="1462" t="str">
        <f ca="1">IF('A-80 DirEntInv'!CC72&lt;&gt;"",'A-80 DirEntInv'!CC72,IF(INDIRECT(ADDRESS(SumRef!DS79,SumRef!DS$16,,,SumRef!$E$6))="","",INDIRECT(ADDRESS(SumRef!DS79,SumRef!DS$16,,,SumRef!$E$6))))</f>
        <v/>
      </c>
      <c r="CD73" s="1160" t="str">
        <f ca="1">IF('A-80 DirEntInv'!CF72&lt;&gt;"",'A-80 DirEntInv'!CF72,IF(INDIRECT(ADDRESS(SumRef!DV79,SumRef!DV$16,,,SumRef!$E$7))="","",INDIRECT(ADDRESS(SumRef!DV79,SumRef!DV$16,,,SumRef!$E$7))))</f>
        <v/>
      </c>
      <c r="CE73" s="1167" t="str">
        <f ca="1">IF('A-80 DirEntInv'!CG72&lt;&gt;"",'A-80 DirEntInv'!CG72,IF(INDIRECT(ADDRESS(SumRef!DW79,SumRef!DW$16,,,SumRef!$E$7))="","",INDIRECT(ADDRESS(SumRef!DW79,SumRef!DW$16,,,SumRef!$E$7))))</f>
        <v/>
      </c>
      <c r="CF73" s="1167" t="str">
        <f ca="1">IF('A-80 DirEntInv'!CH72&lt;&gt;"",'A-80 DirEntInv'!CH72,IF(INDIRECT(ADDRESS(SumRef!DX79,SumRef!DX$16,,,SumRef!$E$7))="","",INDIRECT(ADDRESS(SumRef!DX79,SumRef!DX$16,,,SumRef!$E$7))))</f>
        <v/>
      </c>
      <c r="CG73" s="1167" t="str">
        <f ca="1">IF('A-80 DirEntInv'!CI72&lt;&gt;"",'A-80 DirEntInv'!CI72,IF(INDIRECT(ADDRESS(SumRef!DY79,SumRef!DY$16,,,SumRef!$E$7))="","",INDIRECT(ADDRESS(SumRef!DY79,SumRef!DY$16,,,SumRef!$E$7))))</f>
        <v/>
      </c>
      <c r="CH73" s="1167" t="str">
        <f ca="1">IF('A-80 DirEntInv'!CJ72&lt;&gt;"",'A-80 DirEntInv'!CJ72,IF(INDIRECT(ADDRESS(SumRef!DZ79,SumRef!DZ$16,,,SumRef!$E$7))="","",INDIRECT(ADDRESS(SumRef!DZ79,SumRef!DZ$16,,,SumRef!$E$7))))</f>
        <v/>
      </c>
      <c r="CI73" s="1167" t="str">
        <f ca="1">IF('A-80 DirEntInv'!CK72&lt;&gt;"",'A-80 DirEntInv'!CK72,IF(INDIRECT(ADDRESS(SumRef!EA79,SumRef!EA$16,,,SumRef!$E$7))="","",INDIRECT(ADDRESS(SumRef!EA79,SumRef!EA$16,,,SumRef!$E$7))))</f>
        <v/>
      </c>
      <c r="CJ73" s="1114" t="str">
        <f ca="1">IF('A-80 DirEntInv'!CL72&lt;&gt;"",'A-80 DirEntInv'!CL72,IF(INDIRECT(ADDRESS(SumRef!EB79,SumRef!EB$16,,,SumRef!$E$7))="","",INDIRECT(ADDRESS(SumRef!EB79,SumRef!EB$16,,,SumRef!$E$7))))</f>
        <v/>
      </c>
      <c r="CK73" s="1114" t="str">
        <f ca="1">IF('A-80 DirEntInv'!CM72&lt;&gt;"",'A-80 DirEntInv'!CM72,IF(INDIRECT(ADDRESS(SumRef!EC79,SumRef!EC$16,,,SumRef!$E$7))="","",INDIRECT(ADDRESS(SumRef!EC79,SumRef!EC$16,,,SumRef!$E$7))))</f>
        <v/>
      </c>
      <c r="CL73" s="1113" t="str">
        <f ca="1">IF('A-80 DirEntInv'!CO72&lt;&gt;"",'A-80 DirEntInv'!CO72,IF(INDIRECT(ADDRESS(SumRef!ED79,SumRef!ED$16,,,SumRef!$E$7))="","",INDIRECT(ADDRESS(SumRef!ED79,SumRef!ED$16,,,SumRef!$E$7))))</f>
        <v/>
      </c>
      <c r="CM73" s="1114" t="str">
        <f ca="1">IF('A-80 DirEntInv'!CP72&lt;&gt;"",'A-80 DirEntInv'!CP72,IF(INDIRECT(ADDRESS(SumRef!EE79,SumRef!EE$16,,,SumRef!$E$7))="","",INDIRECT(ADDRESS(SumRef!EE79,SumRef!EE$16,,,SumRef!$E$7))))</f>
        <v/>
      </c>
      <c r="CN73" s="1114" t="str">
        <f ca="1">IF('A-80 DirEntInv'!CQ72&lt;&gt;"",'A-80 DirEntInv'!CQ72,IF(INDIRECT(ADDRESS(SumRef!EF79,SumRef!EF$16,,,SumRef!$E$7))="","",INDIRECT(ADDRESS(SumRef!EF79,SumRef!EF$16,,,SumRef!$E$7))))</f>
        <v/>
      </c>
      <c r="CO73" s="1113" t="str">
        <f ca="1">IF('A-80 DirEntInv'!CR72&lt;&gt;"",'A-80 DirEntInv'!CR72,IF(INDIRECT(ADDRESS(SumRef!EG79,SumRef!EG$16,,,SumRef!$E$7))="","",INDIRECT(ADDRESS(SumRef!EG79,SumRef!EG$16,,,SumRef!$E$7))))</f>
        <v/>
      </c>
      <c r="CP73" s="1114" t="str">
        <f ca="1">IF('A-80 DirEntInv'!CS72&lt;&gt;"",'A-80 DirEntInv'!CS72,IF(INDIRECT(ADDRESS(SumRef!EH79,SumRef!EH$16,,,SumRef!$E$7))="","",INDIRECT(ADDRESS(SumRef!EH79,SumRef!EH$16,,,SumRef!$E$7))))</f>
        <v/>
      </c>
      <c r="CQ73" s="1346" t="str">
        <f ca="1">IF('A-80 DirEntInv'!CT72&lt;&gt;"",'A-80 DirEntInv'!CT72,IF(INDIRECT(ADDRESS(SumRef!EI79,SumRef!EI$16,,,SumRef!$E$7))="","",INDIRECT(ADDRESS(SumRef!EI79,SumRef!EI$16,,,SumRef!$E$7))))</f>
        <v/>
      </c>
      <c r="CR73" s="1113" t="str">
        <f ca="1">IF('A-80 DirEntInv'!CU72&lt;&gt;"",'A-80 DirEntInv'!CU72,IF(INDIRECT(ADDRESS(SumRef!EJ79,SumRef!EJ$16,,,SumRef!$E$7))="","",INDIRECT(ADDRESS(SumRef!EJ79,SumRef!EJ$16,,,SumRef!$E$7))))</f>
        <v/>
      </c>
      <c r="CS73" s="1346" t="str">
        <f ca="1">IF('A-80 DirEntInv'!CV72&lt;&gt;"",'A-80 DirEntInv'!CV72,IF(INDIRECT(ADDRESS(SumRef!EM79,SumRef!EM$16,,,SumRef!$E$7))="","",INDIRECT(ADDRESS(SumRef!EM79,SumRef!EM$16,,,SumRef!$E$7))))</f>
        <v/>
      </c>
      <c r="CT73" s="1113" t="str">
        <f ca="1">IF('A-80 DirEntInv'!CW72&lt;&gt;"",'A-80 DirEntInv'!CW72,IF(INDIRECT(ADDRESS(SumRef!EN79,SumRef!EN$16,,,SumRef!$E$7))="","",INDIRECT(ADDRESS(SumRef!EN79,SumRef!EN$16,,,SumRef!$E$7))))</f>
        <v/>
      </c>
      <c r="CU73" s="1113" t="str">
        <f ca="1">IF('A-80 DirEntInv'!CX72&lt;&gt;"",'A-80 DirEntInv'!CX72,IF(INDIRECT(ADDRESS(SumRef!EO79,SumRef!EO$16,,,SumRef!$E$7))="","",INDIRECT(ADDRESS(SumRef!EO79,SumRef!EO$16,,,SumRef!$E$7))))</f>
        <v/>
      </c>
      <c r="CV73" s="1113" t="str">
        <f ca="1">IF('A-80 DirEntInv'!CY72&lt;&gt;"",'A-80 DirEntInv'!CY72,IF(INDIRECT(ADDRESS(SumRef!EP79,SumRef!EP$16,,,SumRef!$E$7))="","",INDIRECT(ADDRESS(SumRef!EP79,SumRef!EP$16,,,SumRef!$E$7))))</f>
        <v/>
      </c>
      <c r="CW73" s="1114" t="str">
        <f ca="1">IF('A-80 DirEntInv'!CZ72&lt;&gt;"",'A-80 DirEntInv'!CZ72,IF(INDIRECT(ADDRESS(SumRef!ES79,SumRef!ES$16,,,SumRef!$E$7))="","",INDIRECT(ADDRESS(SumRef!ES79,SumRef!ES$16,,,SumRef!$E$7))))</f>
        <v/>
      </c>
      <c r="CX73" s="1167" t="str">
        <f ca="1">IF('A-80 DirEntInv'!DA72&lt;&gt;"",'A-80 DirEntInv'!DA72,IF(INDIRECT(ADDRESS(SumRef!ET79,SumRef!ET$16,,,SumRef!$E$7))="","",INDIRECT(ADDRESS(SumRef!ET79,SumRef!ET$16,,,SumRef!$E$7))))</f>
        <v/>
      </c>
      <c r="CY73" s="1167" t="str">
        <f ca="1">IF('A-80 DirEntInv'!DB72&lt;&gt;"",'A-80 DirEntInv'!DB72,IF(INDIRECT(ADDRESS(SumRef!EU79,SumRef!EU$16,,,SumRef!$E$7))="","",INDIRECT(ADDRESS(SumRef!EU79,SumRef!EU$16,,,SumRef!$E$7))))</f>
        <v/>
      </c>
      <c r="CZ73" s="1167" t="b">
        <f ca="1">IF('A-80 DirEntInv'!DC72&lt;&gt;"",'A-80 DirEntInv'!DC72,IF(INDIRECT(ADDRESS(SumRef!EV79,SumRef!EV$16,,,SumRef!$E$7))="","",INDIRECT(ADDRESS(SumRef!EV79,SumRef!EV$16,,,SumRef!$E$7))))</f>
        <v>0</v>
      </c>
      <c r="DA73" s="1373" t="str">
        <f ca="1">IF('A-80 DirEntInv'!DD72&lt;&gt;"",'A-80 DirEntInv'!DD72,IF(INDIRECT(ADDRESS(SumRef!EW79,SumRef!EW$16,,,SumRef!$E$7))="","",INDIRECT(ADDRESS(SumRef!EW79,SumRef!EW$16,,,SumRef!$E$7))))</f>
        <v/>
      </c>
      <c r="DB73" s="1373" t="b">
        <f ca="1">IF('A-80 DirEntInv'!DE72&lt;&gt;"",'A-80 DirEntInv'!DE72,IF(INDIRECT(ADDRESS(SumRef!EX79,SumRef!EX$16,,,SumRef!$E$7))="","",INDIRECT(ADDRESS(SumRef!EX79,SumRef!EX$16,,,SumRef!$E$7))))</f>
        <v>0</v>
      </c>
      <c r="DC73" s="1114" t="b">
        <f ca="1">IF('A-80 DirEntInv'!DF72&lt;&gt;"",'A-80 DirEntInv'!DF72,IF(INDIRECT(ADDRESS(SumRef!EY79,SumRef!EY$16,,,SumRef!$E$7))="","",INDIRECT(ADDRESS(SumRef!EY79,SumRef!EY$16,,,SumRef!$E$7))))</f>
        <v>0</v>
      </c>
      <c r="DD73" s="1115" t="str">
        <f ca="1">IF('A-80 DirEntInv'!DG72&lt;&gt;"",'A-80 DirEntInv'!DG72,IF(INDIRECT(ADDRESS(SumRef!EZ79,SumRef!EZ$16,,,SumRef!$E$7))="","",INDIRECT(ADDRESS(SumRef!EZ79,SumRef!EZ$16,,,SumRef!$E$7))))</f>
        <v/>
      </c>
    </row>
    <row r="74" spans="1:108" s="588" customFormat="1" x14ac:dyDescent="0.2">
      <c r="A74" s="589">
        <f t="shared" si="0"/>
        <v>64</v>
      </c>
      <c r="B74" s="1155" t="str">
        <f ca="1">IF('A-80 DirEntInv'!B73&lt;&gt;"",'A-80 DirEntInv'!B73,IF(INDIRECT(ADDRESS(SumRef!AQ80,SumRef!AQ$16,,,SumRef!$B$7))="","",INDIRECT(ADDRESS(SumRef!AQ80,SumRef!AQ$16,,,SumRef!$B$7))))</f>
        <v/>
      </c>
      <c r="C74" s="1097" t="str">
        <f ca="1">IF('A-80 DirEntInv'!C73&lt;&gt;"",'A-80 DirEntInv'!C73,IF(INDIRECT(ADDRESS(SumRef!AR80,SumRef!AR$16,,,SumRef!$B$7))="","",INDIRECT(ADDRESS(SumRef!AR80,SumRef!AR$16,,,SumRef!$B$7))))</f>
        <v/>
      </c>
      <c r="D74" s="1097" t="str">
        <f ca="1">IF('A-80 DirEntInv'!D73&lt;&gt;"",'A-80 DirEntInv'!D73,IF(INDIRECT(ADDRESS(SumRef!AS80,SumRef!AS$16,,,SumRef!$B$7))="","",INDIRECT(ADDRESS(SumRef!AS80,SumRef!AS$16,,,SumRef!$B$7))))</f>
        <v/>
      </c>
      <c r="E74" s="1097" t="str">
        <f ca="1">IF('A-80 DirEntInv'!E73&lt;&gt;"",'A-80 DirEntInv'!E73,IF(INDIRECT(ADDRESS(SumRef!AT80,SumRef!AT$16,,,SumRef!$B$7))="","",INDIRECT(ADDRESS(SumRef!AT80,SumRef!AT$16,,,SumRef!$B$7))))</f>
        <v/>
      </c>
      <c r="F74" s="1097" t="str">
        <f ca="1">IF('A-80 DirEntInv'!F73&lt;&gt;"",'A-80 DirEntInv'!F73,IF(INDIRECT(ADDRESS(SumRef!AU80,SumRef!AU$16,,,SumRef!$B$7))="","",INDIRECT(ADDRESS(SumRef!AU80,SumRef!AU$16,,,SumRef!$B$7))))</f>
        <v/>
      </c>
      <c r="G74" s="1158" t="str">
        <f ca="1">IF('A-80 DirEntInv'!G73&lt;&gt;"",'A-80 DirEntInv'!G73,IF(INDIRECT(ADDRESS(SumRef!AV80,SumRef!AV$16,,,SumRef!$B$7))="","",INDIRECT(ADDRESS(SumRef!AV80,SumRef!AV$16,,,SumRef!$B$7))))</f>
        <v/>
      </c>
      <c r="H74" s="1097" t="str">
        <f ca="1">IF('A-80 DirEntInv'!H73&lt;&gt;"",'A-80 DirEntInv'!H73,IF(INDIRECT(ADDRESS(SumRef!AW80,SumRef!AW$16,,,SumRef!$B$7))="","",INDIRECT(ADDRESS(SumRef!AW80,SumRef!AW$16,,,SumRef!$B$7))))</f>
        <v/>
      </c>
      <c r="I74" s="1097" t="str">
        <f ca="1">IF('A-80 DirEntInv'!I73&lt;&gt;"",'A-80 DirEntInv'!I73,IF(INDIRECT(ADDRESS(SumRef!AX80,SumRef!AX$16,,,SumRef!$B$7))="","",INDIRECT(ADDRESS(SumRef!AX80,SumRef!AX$16,,,SumRef!$B$7))))</f>
        <v/>
      </c>
      <c r="J74" s="1098" t="str">
        <f ca="1">IF('A-80 DirEntInv'!J73&lt;&gt;"",'A-80 DirEntInv'!J73,IF(INDIRECT(ADDRESS(SumRef!AY80,SumRef!AY$16,,,SumRef!$B$7))="","",INDIRECT(ADDRESS(SumRef!AY80,SumRef!AY$16,,,SumRef!$B$7))))</f>
        <v/>
      </c>
      <c r="K74" s="1099" t="str">
        <f ca="1">IF('A-80 DirEntInv'!K73&lt;&gt;"",'A-80 DirEntInv'!K73,IF(INDIRECT(ADDRESS(SumRef!AZ80,SumRef!AZ$16,,,SumRef!$B$7))="","",INDIRECT(ADDRESS(SumRef!AZ80,SumRef!AZ$16,,,SumRef!$B$7))))</f>
        <v/>
      </c>
      <c r="L74" s="1100" t="str">
        <f ca="1">IF('A-80 DirEntInv'!L73&lt;&gt;"",'A-80 DirEntInv'!L73,IF(INDIRECT(ADDRESS(SumRef!BA80,SumRef!BA$16,,,SumRef!$B$7))="","",INDIRECT(ADDRESS(SumRef!BA80,SumRef!BA$16,,,SumRef!$B$7))))</f>
        <v/>
      </c>
      <c r="M74" s="1101" t="str">
        <f ca="1">IF('A-80 DirEntInv'!M73&lt;&gt;"",'A-80 DirEntInv'!M73,IF(INDIRECT(ADDRESS(SumRef!BB80,SumRef!BB$16,,,SumRef!$B$7))="","",INDIRECT(ADDRESS(SumRef!BB80,SumRef!BB$16,,,SumRef!$B$7))))</f>
        <v/>
      </c>
      <c r="N74" s="1098" t="str">
        <f ca="1">IF('A-80 DirEntInv'!N73&lt;&gt;"",'A-80 DirEntInv'!N73,IF(INDIRECT(ADDRESS(SumRef!BC80,SumRef!BC$16,,,SumRef!$B$7))="","",INDIRECT(ADDRESS(SumRef!BC80,SumRef!BC$16,,,SumRef!$B$7))))</f>
        <v/>
      </c>
      <c r="O74" s="1102" t="str">
        <f ca="1">IF('A-80 DirEntInv'!O73&lt;&gt;"",'A-80 DirEntInv'!O73,IF(INDIRECT(ADDRESS(SumRef!BD80,SumRef!BD$16,,,SumRef!$B$7))="","",INDIRECT(ADDRESS(SumRef!BD80,SumRef!BD$16,,,SumRef!$B$7))))</f>
        <v/>
      </c>
      <c r="Q74" s="589"/>
      <c r="R74" s="1103" t="str">
        <f ca="1">IF('A-80 DirEntInv'!R73&lt;&gt;"",'A-80 DirEntInv'!R73,IF(INDIRECT(ADDRESS(SumRef!BH80,SumRef!BH$16,,,SumRef!$B$8))="","",INDIRECT(ADDRESS(SumRef!BH80,SumRef!BH$16,,,SumRef!$B$8))))</f>
        <v/>
      </c>
      <c r="S74" s="1104" t="str">
        <f ca="1">IF('A-80 DirEntInv'!S73&lt;&gt;"",'A-80 DirEntInv'!S73,IF(INDIRECT(ADDRESS(SumRef!BI80,SumRef!BI$16,,,SumRef!$B$8))="","",INDIRECT(ADDRESS(SumRef!BI80,SumRef!BI$16,,,SumRef!$B$8))))</f>
        <v/>
      </c>
      <c r="T74" s="1104" t="str">
        <f ca="1">IF('A-80 DirEntInv'!T73&lt;&gt;"",'A-80 DirEntInv'!T73,IF(INDIRECT(ADDRESS(SumRef!BJ80,SumRef!BJ$16,,,SumRef!$B$8))="","",INDIRECT(ADDRESS(SumRef!BJ80,SumRef!BJ$16,,,SumRef!$B$8))))</f>
        <v/>
      </c>
      <c r="U74" s="1104" t="str">
        <f ca="1">IF('A-80 DirEntInv'!U73&lt;&gt;"",'A-80 DirEntInv'!U73,IF(INDIRECT(ADDRESS(SumRef!BK80,SumRef!BK$16,,,SumRef!$B$8))="","",INDIRECT(ADDRESS(SumRef!BK80,SumRef!BK$16,,,SumRef!$B$8))))</f>
        <v/>
      </c>
      <c r="V74" s="1104" t="str">
        <f ca="1">IF('A-80 DirEntInv'!V73&lt;&gt;"",'A-80 DirEntInv'!V73,IF(INDIRECT(ADDRESS(SumRef!BL80,SumRef!BL$16,,,SumRef!$B$8))="","",INDIRECT(ADDRESS(SumRef!BL80,SumRef!BL$16,,,SumRef!$B$8))))</f>
        <v/>
      </c>
      <c r="W74" s="1354" t="str">
        <f ca="1">IF('A-80 DirEntInv'!W73&lt;&gt;"",'A-80 DirEntInv'!W73,IF(INDIRECT(ADDRESS(SumRef!BM80,SumRef!BM$16,,,SumRef!$B$8))="","",INDIRECT(ADDRESS(SumRef!BM80,SumRef!BM$16,,,SumRef!$B$8))))</f>
        <v/>
      </c>
      <c r="X74" s="1203" t="str">
        <f ca="1">IF('A-80 DirEntInv'!X73&lt;&gt;"",'A-80 DirEntInv'!X73,IF(INDIRECT(ADDRESS(SumRef!BN80,SumRef!BN$16,,,SumRef!$B$8))="","",INDIRECT(ADDRESS(SumRef!BN80,SumRef!BN$16,,,SumRef!$B$8))))</f>
        <v/>
      </c>
      <c r="Y74" s="1203" t="str">
        <f ca="1">IF('A-80 DirEntInv'!Y73&lt;&gt;"",'A-80 DirEntInv'!Y73,IF(INDIRECT(ADDRESS(SumRef!BO80,SumRef!BO$16,,,SumRef!$B$8))="","",INDIRECT(ADDRESS(SumRef!BO80,SumRef!BO$16,,,SumRef!$B$8))))</f>
        <v/>
      </c>
      <c r="Z74" s="1104" t="str">
        <f ca="1">IF('A-80 DirEntInv'!Z73&lt;&gt;"",'A-80 DirEntInv'!Z73,IF(INDIRECT(ADDRESS(SumRef!BP80,SumRef!BP$16,,,SumRef!$B$8))="","",INDIRECT(ADDRESS(SumRef!BP80,SumRef!BP$16,,,SumRef!$B$8))))</f>
        <v/>
      </c>
      <c r="AA74" s="1104" t="str">
        <f ca="1">IF('A-80 DirEntInv'!AA73&lt;&gt;"",'A-80 DirEntInv'!AA73,IF(INDIRECT(ADDRESS(SumRef!BQ80,SumRef!BQ$16,,,SumRef!$B$8))="","",INDIRECT(ADDRESS(SumRef!BQ80,SumRef!BQ$16,,,SumRef!$B$8))))</f>
        <v/>
      </c>
      <c r="AB74" s="1106" t="str">
        <f ca="1">IF('A-80 DirEntInv'!AB73&lt;&gt;"",'A-80 DirEntInv'!AB73,IF(INDIRECT(ADDRESS(SumRef!BR80,SumRef!BR$16,,,SumRef!$B$8))="","",INDIRECT(ADDRESS(SumRef!BR80,SumRef!BR$16,,,SumRef!$B$8))))</f>
        <v/>
      </c>
      <c r="AC74" s="1107" t="str">
        <f ca="1">IF('A-80 DirEntInv'!AC73&lt;&gt;"",'A-80 DirEntInv'!AC73,IF(INDIRECT(ADDRESS(SumRef!BS80,SumRef!BS$16,,,SumRef!$B$8))="","",INDIRECT(ADDRESS(SumRef!BS80,SumRef!BS$16,,,SumRef!$B$8))))</f>
        <v/>
      </c>
      <c r="AD74" s="1349" t="str">
        <f ca="1">IF('A-80 DirEntInv'!AD73&lt;&gt;"",'A-80 DirEntInv'!AD73,IF(INDIRECT(ADDRESS(SumRef!BT80,SumRef!BT$16,,,SumRef!$B$8))="","",INDIRECT(ADDRESS(SumRef!BT80,SumRef!BT$16,,,SumRef!$B$8))))</f>
        <v/>
      </c>
      <c r="AE74" s="1137" t="str">
        <f ca="1">IF('A-80 DirEntInv'!AE73&lt;&gt;"",'A-80 DirEntInv'!AE73,IF(INDIRECT(ADDRESS(SumRef!BU80,SumRef!BU$16,,,SumRef!$B$8))="","",INDIRECT(ADDRESS(SumRef!BU80,SumRef!BU$16,,,SumRef!$B$8))))</f>
        <v/>
      </c>
      <c r="AF74" s="1346" t="str">
        <f ca="1">IF('A-80 DirEntInv'!AF73&lt;&gt;"",'A-80 DirEntInv'!AF73,IF(INDIRECT(ADDRESS(SumRef!BV80,SumRef!BV$16,,,SumRef!$B$8))="","",INDIRECT(ADDRESS(SumRef!BV80,SumRef!BV$16,,,SumRef!$B$8))))</f>
        <v/>
      </c>
      <c r="AG74" s="1105" t="str">
        <f ca="1">IF('A-80 DirEntInv'!AG73&lt;&gt;"",'A-80 DirEntInv'!AG73,IF(INDIRECT(ADDRESS(SumRef!BW80,SumRef!BW$16,,,SumRef!$B$8))="","",INDIRECT(ADDRESS(SumRef!BW80,SumRef!BW$16,,,SumRef!$B$8))))</f>
        <v/>
      </c>
      <c r="AH74" s="1357" t="str">
        <f ca="1">IF('A-80 DirEntInv'!AH73&lt;&gt;"",'A-80 DirEntInv'!AH73,IF(INDIRECT(ADDRESS(SumRef!BX80,SumRef!BX$16,,,SumRef!$B$8))="","",INDIRECT(ADDRESS(SumRef!BX80,SumRef!BX$16,,,SumRef!$B$8))))</f>
        <v/>
      </c>
      <c r="AK74" s="1041" t="str">
        <f>Codes!$C$160</f>
        <v>CC - Cable Car (PT)</v>
      </c>
      <c r="AL74" s="1042" t="str">
        <f>Valid!$B$78</f>
        <v>Below-Grade/Bored or Blasted Tunnel</v>
      </c>
      <c r="AM74" s="1108" t="str">
        <f>IF('A-80 DirEntInv'!AM73&lt;&gt;"",'A-80 DirEntInv'!AM73,IF(AK74=summaryref2!B19,summaryref2!D19,IF(Summary!AK74=summaryref2!B33,summaryref2!D33,IF(AK74=summaryref2!B47,summaryref2!D47,IF(AK74=summaryref2!B61,summaryref2!D61,IF(AK74=summaryref2!B75,summaryref2!D75,IF(AK74=summaryref2!B89,summaryref2!D89,IF(AK74=summaryref2!B103,summaryref2!D103,IF(AK74=summaryref2!B117,summaryref2!D117,IF(AK74=summaryref2!B131,summaryref2!D131,IF(AK74=summaryref2!B145,summaryref2!D145,"")))))))))))</f>
        <v/>
      </c>
      <c r="AN74" s="1109" t="str">
        <f ca="1">IF('A-80 DirEntInv'!AN59&lt;&gt;"",'A-80 DirEntInv'!AN59,IF(INDIRECT(ADDRESS(SumRef!CG76,SumRef!CG$16,,,SumRef!$C$7))="","",INDIRECT(ADDRESS(SumRef!CG76,SumRef!CG$16,,,SumRef!$C$7))))</f>
        <v>Linear Feet</v>
      </c>
      <c r="AO74" s="1108" t="str">
        <f>IF('A-80 DirEntInv'!AO73&lt;&gt;"",'A-80 DirEntInv'!AO73,IF(AK74=summaryref2!B19,summaryref2!F19,IF(Summary!AK74=summaryref2!B33,summaryref2!F33,IF(AK74=summaryref2!B47,summaryref2!F47,IF(AK74=summaryref2!B61,summaryref2!F61,IF(AK74=summaryref2!B75,summaryref2!F75,IF(AK74=summaryref2!B89,summaryref2!F89,IF(AK74=summaryref2!B103,summaryref2!F103,IF(AK74=summaryref2!B117,summaryref2!F117,IF(AK74=summaryref2!B131,summaryref2!F131,IF(AK74=summaryref2!B145,summaryref2!F145,"")))))))))))</f>
        <v/>
      </c>
      <c r="AP74" s="1109" t="str">
        <f ca="1">IF('A-80 DirEntInv'!AP59&lt;&gt;"",'A-80 DirEntInv'!AP59,IF(INDIRECT(ADDRESS(SumRef!#REF!,SumRef!#REF!,,,SumRef!$C$7))="","",INDIRECT(ADDRESS(SumRef!#REF!,SumRef!#REF!,,,SumRef!$C$7))))</f>
        <v>Track Feet</v>
      </c>
      <c r="AQ74" s="1147" t="str">
        <f>IF('A-80 DirEntInv'!AQ73&lt;&gt;"",'A-80 DirEntInv'!AQ73,IF(AK74=summaryref2!B19,summaryref2!G19,IF(Summary!AK74=summaryref2!B33,summaryref2!G33,IF(AK74=summaryref2!B47,summaryref2!G47,IF(AK74=summaryref2!B61,summaryref2!G61,IF(AK74=summaryref2!B75,summaryref2!G75,IF(AK74=summaryref2!B89,summaryref2!G89,IF(AK74=summaryref2!B103,summaryref2!G103,IF(AK74=summaryref2!B117,summaryref2!G117,IF(AK74=summaryref2!B131,summaryref2!G131,IF(AK74=summaryref2!B145,summaryref2!G145,"")))))))))))</f>
        <v/>
      </c>
      <c r="AR74" s="1147" t="str">
        <f>IF('A-80 DirEntInv'!AR73&lt;&gt;"",'A-80 DirEntInv'!AR73,IF(AK74=summaryref2!B19,summaryref2!H19,IF(Summary!AK74=summaryref2!B33,summaryref2!H33,IF(AK74=summaryref2!B47,summaryref2!H47,IF(AK74=summaryref2!B61,summaryref2!H61,IF(AK74=summaryref2!B75,summaryref2!H75,IF(AK74=summaryref2!B89,summaryref2!H89,IF(AK74=summaryref2!B103,summaryref2!H103,IF(AK74=summaryref2!B117,summaryref2!H117,IF(AK74=summaryref2!B131,summaryref2!H131,IF(AK74=summaryref2!B145,summaryref2!H145,"")))))))))))</f>
        <v/>
      </c>
      <c r="AS74" s="1110" t="str">
        <f>IF('A-80 DirEntInv'!AS73&lt;&gt;"",'A-80 DirEntInv'!AS73,IF(AK74=summaryref2!B19,summaryref2!I19,IF(Summary!AK74=summaryref2!B33,summaryref2!I33,IF(AK74=summaryref2!B47,summaryref2!I47,IF(AK74=summaryref2!B61,summaryref2!I61,IF(AK74=summaryref2!B75,summaryref2!I75,IF(AK74=summaryref2!B89,summaryref2!I89,IF(AK74=summaryref2!B103,summaryref2!I103,IF(AK74=summaryref2!B117,summaryref2!I117,IF(AK74=summaryref2!B131,summaryref2!I131,IF(AK74=summaryref2!B145,summaryref2!I145,"")))))))))))</f>
        <v/>
      </c>
      <c r="AT74" s="1110" t="str">
        <f>IF('A-80 DirEntInv'!AT73&lt;&gt;"",'A-80 DirEntInv'!AT73,IF(AK74=summaryref2!B19,summaryref2!J19,IF(Summary!AK74=summaryref2!B33,summaryref2!J33,IF(AK74=summaryref2!B47,summaryref2!J47,IF(AK74=summaryref2!B61,summaryref2!J61,IF(AK74=summaryref2!B75,summaryref2!J75,IF(AK74=summaryref2!B89,summaryref2!J89,IF(AK74=summaryref2!B103,summaryref2!J103,IF(AK74=summaryref2!B117,summaryref2!J117,IF(AK74=summaryref2!B131,summaryref2!J131,IF(AK74=summaryref2!B145,summaryref2!J145,"")))))))))))</f>
        <v/>
      </c>
      <c r="AU74" s="1110" t="str">
        <f>IF('A-80 DirEntInv'!AU73&lt;&gt;"",'A-80 DirEntInv'!AU73,IF(AK74=summaryref2!B19,summaryref2!K19,IF(Summary!AK74=summaryref2!B33,summaryref2!K33,IF(AK74=summaryref2!B47,summaryref2!K47,IF(AK74=summaryref2!B61,summaryref2!K61,IF(AK74=summaryref2!B75,summaryref2!K75,IF(AK74=summaryref2!B89,summaryref2!K89,IF(AK74=summaryref2!B103,summaryref2!K103,IF(AK74=summaryref2!B117,summaryref2!K117,IF(AK74=summaryref2!B131,summaryref2!K131,IF(AK74=summaryref2!B145,summaryref2!K145,"")))))))))))</f>
        <v/>
      </c>
      <c r="AV74" s="1110" t="str">
        <f>IF('A-80 DirEntInv'!AV73&lt;&gt;"",'A-80 DirEntInv'!AV73,IF(AK74=summaryref2!B19,summaryref2!L19,IF(Summary!AK74=summaryref2!B33,summaryref2!L33,IF(AK74=summaryref2!B47,summaryref2!L47,IF(AK74=summaryref2!B61,summaryref2!L61,IF(AK74=summaryref2!B75,summaryref2!L75,IF(AK74=summaryref2!B89,summaryref2!L89,IF(AK74=summaryref2!B103,summaryref2!L103,IF(AK74=summaryref2!B117,summaryref2!L117,IF(AK74=summaryref2!B131,summaryref2!L131,IF(AK74=summaryref2!B145,summaryref2!L145,"")))))))))))</f>
        <v/>
      </c>
      <c r="AW74" s="1110" t="str">
        <f>IF('A-80 DirEntInv'!AW73&lt;&gt;"",'A-80 DirEntInv'!AW73,IF(AK74=summaryref2!B19,summaryref2!M19,IF(Summary!AK74=summaryref2!B33,summaryref2!M33,IF(AK74=summaryref2!B47,summaryref2!M47,IF(AK74=summaryref2!B61,summaryref2!M61,IF(AK74=summaryref2!B75,summaryref2!M75,IF(AK74=summaryref2!B89,summaryref2!M89,IF(AK74=summaryref2!B103,summaryref2!M103,IF(AK74=summaryref2!B117,summaryref2!M117,IF(AK74=summaryref2!B131,summaryref2!M131,IF(AK74=summaryref2!B145,summaryref2!M145,"")))))))))))</f>
        <v/>
      </c>
      <c r="AX74" s="1110" t="str">
        <f>IF('A-80 DirEntInv'!AX73&lt;&gt;"",'A-80 DirEntInv'!AX73,IF(AK74=summaryref2!B19,summaryref2!N19,IF(Summary!AK74=summaryref2!B33,summaryref2!N33,IF(AK74=summaryref2!B47,summaryref2!N47,IF(AK74=summaryref2!B61,summaryref2!N61,IF(AK74=summaryref2!B75,summaryref2!N75,IF(AK74=summaryref2!B89,summaryref2!N89,IF(AK74=summaryref2!B103,summaryref2!N103,IF(AK74=summaryref2!B117,summaryref2!N117,IF(AK74=summaryref2!B131,summaryref2!N131,IF(AK74=summaryref2!B145,summaryref2!N145,"")))))))))))</f>
        <v/>
      </c>
      <c r="AY74" s="1110" t="str">
        <f>IF('A-80 DirEntInv'!AY73&lt;&gt;"",'A-80 DirEntInv'!AY73,IF(AK74=summaryref2!B19,summaryref2!O19,IF(Summary!AK74=summaryref2!B33,summaryref2!O33,IF(AK74=summaryref2!B47,summaryref2!O47,IF(AK74=summaryref2!B61,summaryref2!O61,IF(AK74=summaryref2!B75,summaryref2!O75,IF(AK74=summaryref2!B89,summaryref2!O89,IF(AK74=summaryref2!B103,summaryref2!O103,IF(AK74=summaryref2!B117,summaryref2!O117,IF(AK74=summaryref2!B131,summaryref2!O131,IF(AK74=summaryref2!B145,summaryref2!O145,"")))))))))))</f>
        <v/>
      </c>
      <c r="AZ74" s="1110" t="str">
        <f>IF('A-80 DirEntInv'!AZ73&lt;&gt;"",'A-80 DirEntInv'!AZ73,IF(AK74=summaryref2!B19,summaryref2!P19,IF(Summary!AK74=summaryref2!B33,summaryref2!P33,IF(AK74=summaryref2!B47,summaryref2!P47,IF(AK74=summaryref2!B61,summaryref2!P61,IF(AK74=summaryref2!B75,summaryref2!P75,IF(AK74=summaryref2!B89,summaryref2!P89,IF(AK74=summaryref2!B103,summaryref2!P103,IF(AK74=summaryref2!B117,summaryref2!P117,IF(AK74=summaryref2!B131,summaryref2!P131,IF(AK74=summaryref2!B145,summaryref2!P145,"")))))))))))</f>
        <v/>
      </c>
      <c r="BA74" s="1110" t="str">
        <f>IF('A-80 DirEntInv'!BA73&lt;&gt;"",'A-80 DirEntInv'!BA73,IF(AK74=summaryref2!B19,summaryref2!Q19,IF(Summary!AK74=summaryref2!B33,summaryref2!Q33,IF(AK74=summaryref2!B47,summaryref2!Q47,IF(AK74=summaryref2!B61,summaryref2!Q61,IF(AK74=summaryref2!B75,summaryref2!Q75,IF(AK74=summaryref2!B89,summaryref2!Q89,IF(AK74=summaryref2!B103,summaryref2!Q103,IF(AK74=summaryref2!B117,summaryref2!Q117,IF(AK74=summaryref2!B131,summaryref2!Q131,IF(AK74=summaryref2!B145,summaryref2!Q145,"")))))))))))</f>
        <v/>
      </c>
      <c r="BB74" s="1110" t="str">
        <f>IF('A-80 DirEntInv'!BB73&lt;&gt;"",'A-80 DirEntInv'!BB73,IF(AK74=summaryref2!B19,summaryref2!R19,IF(Summary!AK74=summaryref2!B33,summaryref2!R33,IF(AK74=summaryref2!B47,summaryref2!R47,IF(AK74=summaryref2!B61,summaryref2!R61,IF(AK74=summaryref2!B75,summaryref2!R75,IF(AK74=summaryref2!B89,summaryref2!R89,IF(AK74=summaryref2!B103,summaryref2!R103,IF(AK74=summaryref2!B117,summaryref2!R117,IF(AK74=summaryref2!B131,summaryref2!R131,IF(AK74=summaryref2!B145,summaryref2!R145,"")))))))))))</f>
        <v/>
      </c>
      <c r="BC74" s="1110" t="str">
        <f>IF('A-80 DirEntInv'!BC73&lt;&gt;0,'A-80 DirEntInv'!BC73,IF(AK74=summaryref2!B19,summaryref2!S19,IF(Summary!AK74=summaryref2!B33,summaryref2!S33,IF(AK74=summaryref2!B47,summaryref2!S47,IF(AK74=summaryref2!B61,summaryref2!S61,IF(AK74=summaryref2!B75,summaryref2!S75,IF(AK74=summaryref2!B89,summaryref2!S89,IF(AK74=summaryref2!B103,summaryref2!S103,IF(AK74=summaryref2!B117,summaryref2!S117,IF(AK74=summaryref2!B131,summaryref2!S131,IF(AK74=summaryref2!B145,summaryref2!S145,"")))))))))))</f>
        <v/>
      </c>
      <c r="BD74" s="1111" t="str">
        <f>IF('A-80 DirEntInv'!BD73&lt;&gt;"",'A-80 DirEntInv'!BD73,IF(AK74=summaryref2!B19,summaryref2!T19,IF(Summary!AK74=summaryref2!B33,summaryref2!T33,IF(AK74=summaryref2!B47,summaryref2!T47,IF(AK74=summaryref2!B61,summaryref2!T61,IF(AK74=summaryref2!B75,summaryref2!T75,IF(AK74=summaryref2!B89,summaryref2!T89,IF(AK74=summaryref2!B103,summaryref2!T103,IF(AK74=summaryref2!B117,summaryref2!T117,IF(AK74=summaryref2!B131,summaryref2!T131,IF(AK74=summaryref2!B145,summaryref2!T145,"")))))))))))</f>
        <v/>
      </c>
      <c r="BE74" s="1184" t="str">
        <f>IF('A-80 DirEntInv'!BE73&lt;&gt;"",'A-80 DirEntInv'!BE73,IF(AK74=summaryref2!B19,summaryref2!U19,IF(Summary!AK74=summaryref2!B33,summaryref2!U33,IF(AK74=summaryref2!B47,summaryref2!U47,IF(AK74=summaryref2!B61,summaryref2!U61,IF(AK74=summaryref2!B75,summaryref2!U75,IF(AK74=summaryref2!B89,summaryref2!U89,IF(AK74=summaryref2!B103,summaryref2!U103,IF(AK74=summaryref2!B117,summaryref2!U117,IF(AK74=summaryref2!B131,summaryref2!U131,IF(AK74=summaryref2!B145,summaryref2!U145,"")))))))))))</f>
        <v/>
      </c>
      <c r="BF74" s="1432"/>
      <c r="BG74" s="1432"/>
      <c r="BJ74" s="1043" t="str">
        <f>Codes!$C$165</f>
        <v>LR - Light Rail (DO)</v>
      </c>
      <c r="BK74" s="1303" t="str">
        <f>Valid!$B$80</f>
        <v>Tangent</v>
      </c>
      <c r="BL74" s="1366" t="str">
        <f>IF('A-80 DirEntInv'!BL73&lt;&gt;"",'A-80 DirEntInv'!BL73,IF(BJ74=summaryref2!X12,summaryref2!Z12,IF(BJ74=summaryref2!X19,summaryref2!Z19,IF(BJ74=summaryref2!X26,summaryref2!Z26,IF(BJ74=summaryref2!X33,summaryref2!Z33,IF(BJ74=summaryref2!X40,summaryref2!Z40,IF(BJ74=summaryref2!X47,summaryref2!Z47,IF(BJ74=summaryref2!X54,summaryref2!Z54,IF(BJ74=summaryref2!X61,summaryref2!Z61,IF(BJ74=summaryref2!X68,summaryref2!Z68,IF(BJ74=summaryref2!X75,summaryref2!Z75,"")))))))))))</f>
        <v/>
      </c>
      <c r="BM74" s="1303" t="str">
        <f>VLOOKUP(BK74,Valid!$B$80:$C$86,2,FALSE)</f>
        <v>Track Feet</v>
      </c>
      <c r="BN74" s="1208" t="str">
        <f>IF('A-80 DirEntInv'!BN73&lt;&gt;"",'A-80 DirEntInv'!BN73,IF(BJ74=summaryref2!X12,summaryref2!AB12,IF(BJ74=summaryref2!X19,summaryref2!AB19,IF(BJ74=summaryref2!X26,summaryref2!AB26,IF(BJ74=summaryref2!X33,summaryref2!AB33,IF(BJ74=summaryref2!X40,summaryref2!AB40,IF(BJ74=summaryref2!X47,summaryref2!AB47,IF(BJ74=summaryref2!X54,summaryref2!AB54,IF(BJ74=summaryref2!X61,summaryref2!AB61,IF(BJ74=summaryref2!X68,summaryref2!AB68,IF(BJ74=summaryref2!X75,summaryref2!AB75,"")))))))))))</f>
        <v/>
      </c>
      <c r="BO74" s="1112" t="str">
        <f>IF('A-80 DirEntInv'!BO73&lt;&gt;"",'A-80 DirEntInv'!BO73,IF(BJ74=summaryref2!X12,summaryref2!AC12,IF(BJ74=summaryref2!X19,summaryref2!AC19,IF(BJ74=summaryref2!X26,summaryref2!AC26,IF(BJ74=summaryref2!X33,summaryref2!AC33,IF(BJ74=summaryref2!X40,summaryref2!AC40,IF(BJ74=summaryref2!X47,summaryref2!AC47,IF(BJ74=summaryref2!X54,summaryref2!AC54,IF(BJ74=summaryref2!X61,summaryref2!AC61,IF(BJ74=summaryref2!X68,summaryref2!AC68,IF(BJ74=summaryref2!X75,summaryref2!AC75,"")))))))))))</f>
        <v/>
      </c>
      <c r="BP74" s="1320" t="str">
        <f>IF('A-80 DirEntInv'!BP73&lt;&gt;"",'A-80 DirEntInv'!BP73,IF(BJ74=summaryref2!X12,summaryref2!AD12,IF(BJ74=summaryref2!X19,summaryref2!AD19,IF(BJ74=summaryref2!X26,summaryref2!AD26,IF(BJ74=summaryref2!X33,summaryref2!AD33,IF(BJ74=summaryref2!X40,summaryref2!AD40,IF(BJ74=summaryref2!X47,summaryref2!AD47,IF(BJ74=summaryref2!X54,summaryref2!AD54,IF(BJ74=summaryref2!X61,summaryref2!AD61,IF(BJ74=summaryref2!X68,summaryref2!AD68,IF(BJ74=summaryref2!X75,summaryref2!AD75,"")))))))))))</f>
        <v/>
      </c>
      <c r="BS74" s="1472" t="str">
        <f ca="1">IF('A-80 DirEntInv'!BU73&lt;&gt;"",'A-80 DirEntInv'!BU73,IF(INDIRECT(ADDRESS(SumRef!DK80,SumRef!DK$16,,,SumRef!$E$6))="","",INDIRECT(ADDRESS(SumRef!DK80,SumRef!DK$16,,,SumRef!$E$6))))</f>
        <v/>
      </c>
      <c r="BT74" s="1458" t="str">
        <f ca="1">IF('A-80 DirEntInv'!BV73&lt;&gt;"",'A-80 DirEntInv'!BV73,IF(INDIRECT(ADDRESS(SumRef!DL80,SumRef!DL$16,,,SumRef!$E$6))="","",INDIRECT(ADDRESS(SumRef!DL80,SumRef!DL$16,,,SumRef!$E$6))))</f>
        <v/>
      </c>
      <c r="BU74" s="1177" t="str">
        <f ca="1">IF('A-80 DirEntInv'!BW73&lt;&gt;"",'A-80 DirEntInv'!BW73,IF(INDIRECT(ADDRESS(SumRef!DM80,SumRef!DM$16,,,SumRef!$E$6))="","",INDIRECT(ADDRESS(SumRef!DM80,SumRef!DM$16,,,SumRef!$E$6))))</f>
        <v/>
      </c>
      <c r="BV74" s="1460" t="str">
        <f ca="1">IF('A-80 DirEntInv'!BX73&lt;&gt;"",'A-80 DirEntInv'!BX73,IF(INDIRECT(ADDRESS(SumRef!DN80,SumRef!DN$16,,,SumRef!$E$6))="","",INDIRECT(ADDRESS(SumRef!DN80,SumRef!DN$16,,,SumRef!$E$6))))</f>
        <v/>
      </c>
      <c r="BW74" s="1460" t="str">
        <f ca="1">IF('A-80 DirEntInv'!BY73&lt;&gt;"",'A-80 DirEntInv'!BY73,IF(INDIRECT(ADDRESS(SumRef!DO80,SumRef!DO$16,,,SumRef!$E$6))="","",INDIRECT(ADDRESS(SumRef!DO80,SumRef!DO$16,,,SumRef!$E$6))))</f>
        <v/>
      </c>
      <c r="BX74" s="1116" t="str">
        <f ca="1">IF('A-80 DirEntInv'!BZ73&lt;&gt;"",'A-80 DirEntInv'!BZ73,IF(INDIRECT(ADDRESS(SumRef!DP80,SumRef!DP$16,,,SumRef!$E$6))="","",INDIRECT(ADDRESS(SumRef!DP80,SumRef!DP$16,,,SumRef!$E$6))))</f>
        <v/>
      </c>
      <c r="BY74" s="1461" t="str">
        <f ca="1">IF('A-80 DirEntInv'!CA73&lt;&gt;"",'A-80 DirEntInv'!CA73,IF(INDIRECT(ADDRESS(SumRef!DQ80,SumRef!DQ$16,,,SumRef!$E$6))="","",INDIRECT(ADDRESS(SumRef!DQ80,SumRef!DQ$16,,,SumRef!$E$6))))</f>
        <v/>
      </c>
      <c r="BZ74" s="1460" t="str">
        <f ca="1">IF('A-80 DirEntInv'!CB73&lt;&gt;"",'A-80 DirEntInv'!CB73,IF(INDIRECT(ADDRESS(SumRef!DR80,SumRef!DR$16,,,SumRef!$E$6))="","",INDIRECT(ADDRESS(SumRef!DR80,SumRef!DR$16,,,SumRef!$E$6))))</f>
        <v/>
      </c>
      <c r="CA74" s="1462" t="str">
        <f ca="1">IF('A-80 DirEntInv'!CC73&lt;&gt;"",'A-80 DirEntInv'!CC73,IF(INDIRECT(ADDRESS(SumRef!DS80,SumRef!DS$16,,,SumRef!$E$6))="","",INDIRECT(ADDRESS(SumRef!DS80,SumRef!DS$16,,,SumRef!$E$6))))</f>
        <v/>
      </c>
      <c r="CD74" s="1160" t="str">
        <f ca="1">IF('A-80 DirEntInv'!CF73&lt;&gt;"",'A-80 DirEntInv'!CF73,IF(INDIRECT(ADDRESS(SumRef!DV80,SumRef!DV$16,,,SumRef!$E$7))="","",INDIRECT(ADDRESS(SumRef!DV80,SumRef!DV$16,,,SumRef!$E$7))))</f>
        <v/>
      </c>
      <c r="CE74" s="1167" t="str">
        <f ca="1">IF('A-80 DirEntInv'!CG73&lt;&gt;"",'A-80 DirEntInv'!CG73,IF(INDIRECT(ADDRESS(SumRef!DW80,SumRef!DW$16,,,SumRef!$E$7))="","",INDIRECT(ADDRESS(SumRef!DW80,SumRef!DW$16,,,SumRef!$E$7))))</f>
        <v/>
      </c>
      <c r="CF74" s="1167" t="str">
        <f ca="1">IF('A-80 DirEntInv'!CH73&lt;&gt;"",'A-80 DirEntInv'!CH73,IF(INDIRECT(ADDRESS(SumRef!DX80,SumRef!DX$16,,,SumRef!$E$7))="","",INDIRECT(ADDRESS(SumRef!DX80,SumRef!DX$16,,,SumRef!$E$7))))</f>
        <v/>
      </c>
      <c r="CG74" s="1167" t="str">
        <f ca="1">IF('A-80 DirEntInv'!CI73&lt;&gt;"",'A-80 DirEntInv'!CI73,IF(INDIRECT(ADDRESS(SumRef!DY80,SumRef!DY$16,,,SumRef!$E$7))="","",INDIRECT(ADDRESS(SumRef!DY80,SumRef!DY$16,,,SumRef!$E$7))))</f>
        <v/>
      </c>
      <c r="CH74" s="1167" t="str">
        <f ca="1">IF('A-80 DirEntInv'!CJ73&lt;&gt;"",'A-80 DirEntInv'!CJ73,IF(INDIRECT(ADDRESS(SumRef!DZ80,SumRef!DZ$16,,,SumRef!$E$7))="","",INDIRECT(ADDRESS(SumRef!DZ80,SumRef!DZ$16,,,SumRef!$E$7))))</f>
        <v/>
      </c>
      <c r="CI74" s="1167" t="str">
        <f ca="1">IF('A-80 DirEntInv'!CK73&lt;&gt;"",'A-80 DirEntInv'!CK73,IF(INDIRECT(ADDRESS(SumRef!EA80,SumRef!EA$16,,,SumRef!$E$7))="","",INDIRECT(ADDRESS(SumRef!EA80,SumRef!EA$16,,,SumRef!$E$7))))</f>
        <v/>
      </c>
      <c r="CJ74" s="1114" t="str">
        <f ca="1">IF('A-80 DirEntInv'!CL73&lt;&gt;"",'A-80 DirEntInv'!CL73,IF(INDIRECT(ADDRESS(SumRef!EB80,SumRef!EB$16,,,SumRef!$E$7))="","",INDIRECT(ADDRESS(SumRef!EB80,SumRef!EB$16,,,SumRef!$E$7))))</f>
        <v/>
      </c>
      <c r="CK74" s="1114" t="str">
        <f ca="1">IF('A-80 DirEntInv'!CM73&lt;&gt;"",'A-80 DirEntInv'!CM73,IF(INDIRECT(ADDRESS(SumRef!EC80,SumRef!EC$16,,,SumRef!$E$7))="","",INDIRECT(ADDRESS(SumRef!EC80,SumRef!EC$16,,,SumRef!$E$7))))</f>
        <v/>
      </c>
      <c r="CL74" s="1113" t="str">
        <f ca="1">IF('A-80 DirEntInv'!CO73&lt;&gt;"",'A-80 DirEntInv'!CO73,IF(INDIRECT(ADDRESS(SumRef!ED80,SumRef!ED$16,,,SumRef!$E$7))="","",INDIRECT(ADDRESS(SumRef!ED80,SumRef!ED$16,,,SumRef!$E$7))))</f>
        <v/>
      </c>
      <c r="CM74" s="1114" t="str">
        <f ca="1">IF('A-80 DirEntInv'!CP73&lt;&gt;"",'A-80 DirEntInv'!CP73,IF(INDIRECT(ADDRESS(SumRef!EE80,SumRef!EE$16,,,SumRef!$E$7))="","",INDIRECT(ADDRESS(SumRef!EE80,SumRef!EE$16,,,SumRef!$E$7))))</f>
        <v/>
      </c>
      <c r="CN74" s="1114" t="str">
        <f ca="1">IF('A-80 DirEntInv'!CQ73&lt;&gt;"",'A-80 DirEntInv'!CQ73,IF(INDIRECT(ADDRESS(SumRef!EF80,SumRef!EF$16,,,SumRef!$E$7))="","",INDIRECT(ADDRESS(SumRef!EF80,SumRef!EF$16,,,SumRef!$E$7))))</f>
        <v/>
      </c>
      <c r="CO74" s="1113" t="str">
        <f ca="1">IF('A-80 DirEntInv'!CR73&lt;&gt;"",'A-80 DirEntInv'!CR73,IF(INDIRECT(ADDRESS(SumRef!EG80,SumRef!EG$16,,,SumRef!$E$7))="","",INDIRECT(ADDRESS(SumRef!EG80,SumRef!EG$16,,,SumRef!$E$7))))</f>
        <v/>
      </c>
      <c r="CP74" s="1114" t="str">
        <f ca="1">IF('A-80 DirEntInv'!CS73&lt;&gt;"",'A-80 DirEntInv'!CS73,IF(INDIRECT(ADDRESS(SumRef!EH80,SumRef!EH$16,,,SumRef!$E$7))="","",INDIRECT(ADDRESS(SumRef!EH80,SumRef!EH$16,,,SumRef!$E$7))))</f>
        <v/>
      </c>
      <c r="CQ74" s="1346" t="str">
        <f ca="1">IF('A-80 DirEntInv'!CT73&lt;&gt;"",'A-80 DirEntInv'!CT73,IF(INDIRECT(ADDRESS(SumRef!EI80,SumRef!EI$16,,,SumRef!$E$7))="","",INDIRECT(ADDRESS(SumRef!EI80,SumRef!EI$16,,,SumRef!$E$7))))</f>
        <v/>
      </c>
      <c r="CR74" s="1113" t="str">
        <f ca="1">IF('A-80 DirEntInv'!CU73&lt;&gt;"",'A-80 DirEntInv'!CU73,IF(INDIRECT(ADDRESS(SumRef!EJ80,SumRef!EJ$16,,,SumRef!$E$7))="","",INDIRECT(ADDRESS(SumRef!EJ80,SumRef!EJ$16,,,SumRef!$E$7))))</f>
        <v/>
      </c>
      <c r="CS74" s="1346" t="str">
        <f ca="1">IF('A-80 DirEntInv'!CV73&lt;&gt;"",'A-80 DirEntInv'!CV73,IF(INDIRECT(ADDRESS(SumRef!EM80,SumRef!EM$16,,,SumRef!$E$7))="","",INDIRECT(ADDRESS(SumRef!EM80,SumRef!EM$16,,,SumRef!$E$7))))</f>
        <v/>
      </c>
      <c r="CT74" s="1113" t="str">
        <f ca="1">IF('A-80 DirEntInv'!CW73&lt;&gt;"",'A-80 DirEntInv'!CW73,IF(INDIRECT(ADDRESS(SumRef!EN80,SumRef!EN$16,,,SumRef!$E$7))="","",INDIRECT(ADDRESS(SumRef!EN80,SumRef!EN$16,,,SumRef!$E$7))))</f>
        <v/>
      </c>
      <c r="CU74" s="1113" t="str">
        <f ca="1">IF('A-80 DirEntInv'!CX73&lt;&gt;"",'A-80 DirEntInv'!CX73,IF(INDIRECT(ADDRESS(SumRef!EO80,SumRef!EO$16,,,SumRef!$E$7))="","",INDIRECT(ADDRESS(SumRef!EO80,SumRef!EO$16,,,SumRef!$E$7))))</f>
        <v/>
      </c>
      <c r="CV74" s="1113" t="str">
        <f ca="1">IF('A-80 DirEntInv'!CY73&lt;&gt;"",'A-80 DirEntInv'!CY73,IF(INDIRECT(ADDRESS(SumRef!EP80,SumRef!EP$16,,,SumRef!$E$7))="","",INDIRECT(ADDRESS(SumRef!EP80,SumRef!EP$16,,,SumRef!$E$7))))</f>
        <v/>
      </c>
      <c r="CW74" s="1114" t="str">
        <f ca="1">IF('A-80 DirEntInv'!CZ73&lt;&gt;"",'A-80 DirEntInv'!CZ73,IF(INDIRECT(ADDRESS(SumRef!ES80,SumRef!ES$16,,,SumRef!$E$7))="","",INDIRECT(ADDRESS(SumRef!ES80,SumRef!ES$16,,,SumRef!$E$7))))</f>
        <v/>
      </c>
      <c r="CX74" s="1167" t="str">
        <f ca="1">IF('A-80 DirEntInv'!DA73&lt;&gt;"",'A-80 DirEntInv'!DA73,IF(INDIRECT(ADDRESS(SumRef!ET80,SumRef!ET$16,,,SumRef!$E$7))="","",INDIRECT(ADDRESS(SumRef!ET80,SumRef!ET$16,,,SumRef!$E$7))))</f>
        <v/>
      </c>
      <c r="CY74" s="1167" t="str">
        <f ca="1">IF('A-80 DirEntInv'!DB73&lt;&gt;"",'A-80 DirEntInv'!DB73,IF(INDIRECT(ADDRESS(SumRef!EU80,SumRef!EU$16,,,SumRef!$E$7))="","",INDIRECT(ADDRESS(SumRef!EU80,SumRef!EU$16,,,SumRef!$E$7))))</f>
        <v/>
      </c>
      <c r="CZ74" s="1167" t="b">
        <f ca="1">IF('A-80 DirEntInv'!DC73&lt;&gt;"",'A-80 DirEntInv'!DC73,IF(INDIRECT(ADDRESS(SumRef!EV80,SumRef!EV$16,,,SumRef!$E$7))="","",INDIRECT(ADDRESS(SumRef!EV80,SumRef!EV$16,,,SumRef!$E$7))))</f>
        <v>0</v>
      </c>
      <c r="DA74" s="1373" t="str">
        <f ca="1">IF('A-80 DirEntInv'!DD73&lt;&gt;"",'A-80 DirEntInv'!DD73,IF(INDIRECT(ADDRESS(SumRef!EW80,SumRef!EW$16,,,SumRef!$E$7))="","",INDIRECT(ADDRESS(SumRef!EW80,SumRef!EW$16,,,SumRef!$E$7))))</f>
        <v/>
      </c>
      <c r="DB74" s="1373" t="b">
        <f ca="1">IF('A-80 DirEntInv'!DE73&lt;&gt;"",'A-80 DirEntInv'!DE73,IF(INDIRECT(ADDRESS(SumRef!EX80,SumRef!EX$16,,,SumRef!$E$7))="","",INDIRECT(ADDRESS(SumRef!EX80,SumRef!EX$16,,,SumRef!$E$7))))</f>
        <v>0</v>
      </c>
      <c r="DC74" s="1114" t="b">
        <f ca="1">IF('A-80 DirEntInv'!DF73&lt;&gt;"",'A-80 DirEntInv'!DF73,IF(INDIRECT(ADDRESS(SumRef!EY80,SumRef!EY$16,,,SumRef!$E$7))="","",INDIRECT(ADDRESS(SumRef!EY80,SumRef!EY$16,,,SumRef!$E$7))))</f>
        <v>0</v>
      </c>
      <c r="DD74" s="1115" t="str">
        <f ca="1">IF('A-80 DirEntInv'!DG73&lt;&gt;"",'A-80 DirEntInv'!DG73,IF(INDIRECT(ADDRESS(SumRef!EZ80,SumRef!EZ$16,,,SumRef!$E$7))="","",INDIRECT(ADDRESS(SumRef!EZ80,SumRef!EZ$16,,,SumRef!$E$7))))</f>
        <v/>
      </c>
    </row>
    <row r="75" spans="1:108" s="588" customFormat="1" ht="13.5" thickBot="1" x14ac:dyDescent="0.25">
      <c r="A75" s="589">
        <f t="shared" si="0"/>
        <v>65</v>
      </c>
      <c r="B75" s="1155" t="str">
        <f ca="1">IF('A-80 DirEntInv'!B74&lt;&gt;"",'A-80 DirEntInv'!B74,IF(INDIRECT(ADDRESS(SumRef!AQ81,SumRef!AQ$16,,,SumRef!$B$7))="","",INDIRECT(ADDRESS(SumRef!AQ81,SumRef!AQ$16,,,SumRef!$B$7))))</f>
        <v/>
      </c>
      <c r="C75" s="1097" t="str">
        <f ca="1">IF('A-80 DirEntInv'!C74&lt;&gt;"",'A-80 DirEntInv'!C74,IF(INDIRECT(ADDRESS(SumRef!AR81,SumRef!AR$16,,,SumRef!$B$7))="","",INDIRECT(ADDRESS(SumRef!AR81,SumRef!AR$16,,,SumRef!$B$7))))</f>
        <v/>
      </c>
      <c r="D75" s="1097" t="str">
        <f ca="1">IF('A-80 DirEntInv'!D74&lt;&gt;"",'A-80 DirEntInv'!D74,IF(INDIRECT(ADDRESS(SumRef!AS81,SumRef!AS$16,,,SumRef!$B$7))="","",INDIRECT(ADDRESS(SumRef!AS81,SumRef!AS$16,,,SumRef!$B$7))))</f>
        <v/>
      </c>
      <c r="E75" s="1097" t="str">
        <f ca="1">IF('A-80 DirEntInv'!E74&lt;&gt;"",'A-80 DirEntInv'!E74,IF(INDIRECT(ADDRESS(SumRef!AT81,SumRef!AT$16,,,SumRef!$B$7))="","",INDIRECT(ADDRESS(SumRef!AT81,SumRef!AT$16,,,SumRef!$B$7))))</f>
        <v/>
      </c>
      <c r="F75" s="1097" t="str">
        <f ca="1">IF('A-80 DirEntInv'!F74&lt;&gt;"",'A-80 DirEntInv'!F74,IF(INDIRECT(ADDRESS(SumRef!AU81,SumRef!AU$16,,,SumRef!$B$7))="","",INDIRECT(ADDRESS(SumRef!AU81,SumRef!AU$16,,,SumRef!$B$7))))</f>
        <v/>
      </c>
      <c r="G75" s="1158" t="str">
        <f ca="1">IF('A-80 DirEntInv'!G74&lt;&gt;"",'A-80 DirEntInv'!G74,IF(INDIRECT(ADDRESS(SumRef!AV81,SumRef!AV$16,,,SumRef!$B$7))="","",INDIRECT(ADDRESS(SumRef!AV81,SumRef!AV$16,,,SumRef!$B$7))))</f>
        <v/>
      </c>
      <c r="H75" s="1097" t="str">
        <f ca="1">IF('A-80 DirEntInv'!H74&lt;&gt;"",'A-80 DirEntInv'!H74,IF(INDIRECT(ADDRESS(SumRef!AW81,SumRef!AW$16,,,SumRef!$B$7))="","",INDIRECT(ADDRESS(SumRef!AW81,SumRef!AW$16,,,SumRef!$B$7))))</f>
        <v/>
      </c>
      <c r="I75" s="1097" t="str">
        <f ca="1">IF('A-80 DirEntInv'!I74&lt;&gt;"",'A-80 DirEntInv'!I74,IF(INDIRECT(ADDRESS(SumRef!AX81,SumRef!AX$16,,,SumRef!$B$7))="","",INDIRECT(ADDRESS(SumRef!AX81,SumRef!AX$16,,,SumRef!$B$7))))</f>
        <v/>
      </c>
      <c r="J75" s="1098" t="str">
        <f ca="1">IF('A-80 DirEntInv'!J74&lt;&gt;"",'A-80 DirEntInv'!J74,IF(INDIRECT(ADDRESS(SumRef!AY81,SumRef!AY$16,,,SumRef!$B$7))="","",INDIRECT(ADDRESS(SumRef!AY81,SumRef!AY$16,,,SumRef!$B$7))))</f>
        <v/>
      </c>
      <c r="K75" s="1099" t="str">
        <f ca="1">IF('A-80 DirEntInv'!K74&lt;&gt;"",'A-80 DirEntInv'!K74,IF(INDIRECT(ADDRESS(SumRef!AZ81,SumRef!AZ$16,,,SumRef!$B$7))="","",INDIRECT(ADDRESS(SumRef!AZ81,SumRef!AZ$16,,,SumRef!$B$7))))</f>
        <v/>
      </c>
      <c r="L75" s="1100" t="str">
        <f ca="1">IF('A-80 DirEntInv'!L74&lt;&gt;"",'A-80 DirEntInv'!L74,IF(INDIRECT(ADDRESS(SumRef!BA81,SumRef!BA$16,,,SumRef!$B$7))="","",INDIRECT(ADDRESS(SumRef!BA81,SumRef!BA$16,,,SumRef!$B$7))))</f>
        <v/>
      </c>
      <c r="M75" s="1101" t="str">
        <f ca="1">IF('A-80 DirEntInv'!M74&lt;&gt;"",'A-80 DirEntInv'!M74,IF(INDIRECT(ADDRESS(SumRef!BB81,SumRef!BB$16,,,SumRef!$B$7))="","",INDIRECT(ADDRESS(SumRef!BB81,SumRef!BB$16,,,SumRef!$B$7))))</f>
        <v/>
      </c>
      <c r="N75" s="1098" t="str">
        <f ca="1">IF('A-80 DirEntInv'!N74&lt;&gt;"",'A-80 DirEntInv'!N74,IF(INDIRECT(ADDRESS(SumRef!BC81,SumRef!BC$16,,,SumRef!$B$7))="","",INDIRECT(ADDRESS(SumRef!BC81,SumRef!BC$16,,,SumRef!$B$7))))</f>
        <v/>
      </c>
      <c r="O75" s="1102" t="str">
        <f ca="1">IF('A-80 DirEntInv'!O74&lt;&gt;"",'A-80 DirEntInv'!O74,IF(INDIRECT(ADDRESS(SumRef!BD81,SumRef!BD$16,,,SumRef!$B$7))="","",INDIRECT(ADDRESS(SumRef!BD81,SumRef!BD$16,,,SumRef!$B$7))))</f>
        <v/>
      </c>
      <c r="Q75" s="589"/>
      <c r="R75" s="1103" t="str">
        <f ca="1">IF('A-80 DirEntInv'!R74&lt;&gt;"",'A-80 DirEntInv'!R74,IF(INDIRECT(ADDRESS(SumRef!BH81,SumRef!BH$16,,,SumRef!$B$8))="","",INDIRECT(ADDRESS(SumRef!BH81,SumRef!BH$16,,,SumRef!$B$8))))</f>
        <v/>
      </c>
      <c r="S75" s="1104" t="str">
        <f ca="1">IF('A-80 DirEntInv'!S74&lt;&gt;"",'A-80 DirEntInv'!S74,IF(INDIRECT(ADDRESS(SumRef!BI81,SumRef!BI$16,,,SumRef!$B$8))="","",INDIRECT(ADDRESS(SumRef!BI81,SumRef!BI$16,,,SumRef!$B$8))))</f>
        <v/>
      </c>
      <c r="T75" s="1104" t="str">
        <f ca="1">IF('A-80 DirEntInv'!T74&lt;&gt;"",'A-80 DirEntInv'!T74,IF(INDIRECT(ADDRESS(SumRef!BJ81,SumRef!BJ$16,,,SumRef!$B$8))="","",INDIRECT(ADDRESS(SumRef!BJ81,SumRef!BJ$16,,,SumRef!$B$8))))</f>
        <v/>
      </c>
      <c r="U75" s="1104" t="str">
        <f ca="1">IF('A-80 DirEntInv'!U74&lt;&gt;"",'A-80 DirEntInv'!U74,IF(INDIRECT(ADDRESS(SumRef!BK81,SumRef!BK$16,,,SumRef!$B$8))="","",INDIRECT(ADDRESS(SumRef!BK81,SumRef!BK$16,,,SumRef!$B$8))))</f>
        <v/>
      </c>
      <c r="V75" s="1104" t="str">
        <f ca="1">IF('A-80 DirEntInv'!V74&lt;&gt;"",'A-80 DirEntInv'!V74,IF(INDIRECT(ADDRESS(SumRef!BL81,SumRef!BL$16,,,SumRef!$B$8))="","",INDIRECT(ADDRESS(SumRef!BL81,SumRef!BL$16,,,SumRef!$B$8))))</f>
        <v/>
      </c>
      <c r="W75" s="1354" t="str">
        <f ca="1">IF('A-80 DirEntInv'!W74&lt;&gt;"",'A-80 DirEntInv'!W74,IF(INDIRECT(ADDRESS(SumRef!BM81,SumRef!BM$16,,,SumRef!$B$8))="","",INDIRECT(ADDRESS(SumRef!BM81,SumRef!BM$16,,,SumRef!$B$8))))</f>
        <v/>
      </c>
      <c r="X75" s="1203" t="str">
        <f ca="1">IF('A-80 DirEntInv'!X74&lt;&gt;"",'A-80 DirEntInv'!X74,IF(INDIRECT(ADDRESS(SumRef!BN81,SumRef!BN$16,,,SumRef!$B$8))="","",INDIRECT(ADDRESS(SumRef!BN81,SumRef!BN$16,,,SumRef!$B$8))))</f>
        <v/>
      </c>
      <c r="Y75" s="1203" t="str">
        <f ca="1">IF('A-80 DirEntInv'!Y74&lt;&gt;"",'A-80 DirEntInv'!Y74,IF(INDIRECT(ADDRESS(SumRef!BO81,SumRef!BO$16,,,SumRef!$B$8))="","",INDIRECT(ADDRESS(SumRef!BO81,SumRef!BO$16,,,SumRef!$B$8))))</f>
        <v/>
      </c>
      <c r="Z75" s="1104" t="str">
        <f ca="1">IF('A-80 DirEntInv'!Z74&lt;&gt;"",'A-80 DirEntInv'!Z74,IF(INDIRECT(ADDRESS(SumRef!BP81,SumRef!BP$16,,,SumRef!$B$8))="","",INDIRECT(ADDRESS(SumRef!BP81,SumRef!BP$16,,,SumRef!$B$8))))</f>
        <v/>
      </c>
      <c r="AA75" s="1104" t="str">
        <f ca="1">IF('A-80 DirEntInv'!AA74&lt;&gt;"",'A-80 DirEntInv'!AA74,IF(INDIRECT(ADDRESS(SumRef!BQ81,SumRef!BQ$16,,,SumRef!$B$8))="","",INDIRECT(ADDRESS(SumRef!BQ81,SumRef!BQ$16,,,SumRef!$B$8))))</f>
        <v/>
      </c>
      <c r="AB75" s="1106" t="str">
        <f ca="1">IF('A-80 DirEntInv'!AB74&lt;&gt;"",'A-80 DirEntInv'!AB74,IF(INDIRECT(ADDRESS(SumRef!BR81,SumRef!BR$16,,,SumRef!$B$8))="","",INDIRECT(ADDRESS(SumRef!BR81,SumRef!BR$16,,,SumRef!$B$8))))</f>
        <v/>
      </c>
      <c r="AC75" s="1107" t="str">
        <f ca="1">IF('A-80 DirEntInv'!AC74&lt;&gt;"",'A-80 DirEntInv'!AC74,IF(INDIRECT(ADDRESS(SumRef!BS81,SumRef!BS$16,,,SumRef!$B$8))="","",INDIRECT(ADDRESS(SumRef!BS81,SumRef!BS$16,,,SumRef!$B$8))))</f>
        <v/>
      </c>
      <c r="AD75" s="1349" t="str">
        <f ca="1">IF('A-80 DirEntInv'!AD74&lt;&gt;"",'A-80 DirEntInv'!AD74,IF(INDIRECT(ADDRESS(SumRef!BT81,SumRef!BT$16,,,SumRef!$B$8))="","",INDIRECT(ADDRESS(SumRef!BT81,SumRef!BT$16,,,SumRef!$B$8))))</f>
        <v/>
      </c>
      <c r="AE75" s="1137" t="str">
        <f ca="1">IF('A-80 DirEntInv'!AE74&lt;&gt;"",'A-80 DirEntInv'!AE74,IF(INDIRECT(ADDRESS(SumRef!BU81,SumRef!BU$16,,,SumRef!$B$8))="","",INDIRECT(ADDRESS(SumRef!BU81,SumRef!BU$16,,,SumRef!$B$8))))</f>
        <v/>
      </c>
      <c r="AF75" s="1346" t="str">
        <f ca="1">IF('A-80 DirEntInv'!AF74&lt;&gt;"",'A-80 DirEntInv'!AF74,IF(INDIRECT(ADDRESS(SumRef!BV81,SumRef!BV$16,,,SumRef!$B$8))="","",INDIRECT(ADDRESS(SumRef!BV81,SumRef!BV$16,,,SumRef!$B$8))))</f>
        <v/>
      </c>
      <c r="AG75" s="1105" t="str">
        <f ca="1">IF('A-80 DirEntInv'!AG74&lt;&gt;"",'A-80 DirEntInv'!AG74,IF(INDIRECT(ADDRESS(SumRef!BW81,SumRef!BW$16,,,SumRef!$B$8))="","",INDIRECT(ADDRESS(SumRef!BW81,SumRef!BW$16,,,SumRef!$B$8))))</f>
        <v/>
      </c>
      <c r="AH75" s="1357" t="str">
        <f ca="1">IF('A-80 DirEntInv'!AH74&lt;&gt;"",'A-80 DirEntInv'!AH74,IF(INDIRECT(ADDRESS(SumRef!BX81,SumRef!BX$16,,,SumRef!$B$8))="","",INDIRECT(ADDRESS(SumRef!BX81,SumRef!BX$16,,,SumRef!$B$8))))</f>
        <v/>
      </c>
      <c r="AK75" s="1048" t="str">
        <f>Codes!$C$160</f>
        <v>CC - Cable Car (PT)</v>
      </c>
      <c r="AL75" s="1049" t="str">
        <f>Valid!$B$79</f>
        <v>Below-Grade/Submerged Tube</v>
      </c>
      <c r="AM75" s="1119" t="str">
        <f>IF('A-80 DirEntInv'!AM74&lt;&gt;"",'A-80 DirEntInv'!AM74,IF(AK75=summaryref2!B20,summaryref2!D20,IF(Summary!AK75=summaryref2!B34,summaryref2!D34,IF(AK75=summaryref2!B48,summaryref2!D48,IF(AK75=summaryref2!B62,summaryref2!D62,IF(AK75=summaryref2!B76,summaryref2!D76,IF(AK75=summaryref2!B90,summaryref2!D90,IF(AK75=summaryref2!B104,summaryref2!D104,IF(AK75=summaryref2!B118,summaryref2!D118,IF(AK75=summaryref2!B132,summaryref2!D132,IF(AK75=summaryref2!B146,summaryref2!D146,"")))))))))))</f>
        <v/>
      </c>
      <c r="AN75" s="1120" t="str">
        <f ca="1">IF('A-80 DirEntInv'!AN60&lt;&gt;"",'A-80 DirEntInv'!AN60,IF(INDIRECT(ADDRESS(SumRef!CG77,SumRef!CG$16,,,SumRef!$C$7))="","",INDIRECT(ADDRESS(SumRef!CG77,SumRef!CG$16,,,SumRef!$C$7))))</f>
        <v>Linear Feet</v>
      </c>
      <c r="AO75" s="1119" t="str">
        <f>IF('A-80 DirEntInv'!AO74&lt;&gt;"",'A-80 DirEntInv'!AO74,IF(AK75=summaryref2!B20,summaryref2!F20,IF(Summary!AK75=summaryref2!B34,summaryref2!F34,IF(AK75=summaryref2!B48,summaryref2!F48,IF(AK75=summaryref2!B62,summaryref2!F62,IF(AK75=summaryref2!B76,summaryref2!F76,IF(AK75=summaryref2!B90,summaryref2!F90,IF(AK75=summaryref2!B104,summaryref2!F104,IF(AK75=summaryref2!B118,summaryref2!F118,IF(AK75=summaryref2!B132,summaryref2!F132,IF(AK75=summaryref2!B146,summaryref2!F146,"")))))))))))</f>
        <v/>
      </c>
      <c r="AP75" s="1120" t="str">
        <f ca="1">IF('A-80 DirEntInv'!AP60&lt;&gt;"",'A-80 DirEntInv'!AP60,IF(INDIRECT(ADDRESS(SumRef!#REF!,SumRef!#REF!,,,SumRef!$C$7))="","",INDIRECT(ADDRESS(SumRef!#REF!,SumRef!#REF!,,,SumRef!$C$7))))</f>
        <v>Track Feet</v>
      </c>
      <c r="AQ75" s="1148" t="str">
        <f>IF('A-80 DirEntInv'!AQ74&lt;&gt;"",'A-80 DirEntInv'!AQ74,IF(AK75=summaryref2!B20,summaryref2!G20,IF(Summary!AK75=summaryref2!B34,summaryref2!G34,IF(AK75=summaryref2!B48,summaryref2!G48,IF(AK75=summaryref2!B62,summaryref2!G62,IF(AK75=summaryref2!B76,summaryref2!G76,IF(AK75=summaryref2!B90,summaryref2!G90,IF(AK75=summaryref2!B104,summaryref2!G104,IF(AK75=summaryref2!B118,summaryref2!G118,IF(AK75=summaryref2!B132,summaryref2!G132,IF(AK75=summaryref2!B146,summaryref2!G146,"")))))))))))</f>
        <v/>
      </c>
      <c r="AR75" s="1148" t="str">
        <f>IF('A-80 DirEntInv'!AR74&lt;&gt;"",'A-80 DirEntInv'!AR74,IF(AK75=summaryref2!B20,summaryref2!H20,IF(Summary!AK75=summaryref2!B34,summaryref2!H34,IF(AK75=summaryref2!B48,summaryref2!H48,IF(AK75=summaryref2!B62,summaryref2!H62,IF(AK75=summaryref2!B76,summaryref2!H76,IF(AK75=summaryref2!B90,summaryref2!H90,IF(AK75=summaryref2!B104,summaryref2!H104,IF(AK75=summaryref2!B118,summaryref2!H118,IF(AK75=summaryref2!B132,summaryref2!H132,IF(AK75=summaryref2!B146,summaryref2!H146,"")))))))))))</f>
        <v/>
      </c>
      <c r="AS75" s="1121" t="str">
        <f>IF('A-80 DirEntInv'!AS74&lt;&gt;"",'A-80 DirEntInv'!AS74,IF(AK75=summaryref2!B20,summaryref2!I20,IF(Summary!AK75=summaryref2!B34,summaryref2!I34,IF(AK75=summaryref2!B48,summaryref2!I48,IF(AK75=summaryref2!B62,summaryref2!I62,IF(AK75=summaryref2!B76,summaryref2!I76,IF(AK75=summaryref2!B90,summaryref2!I90,IF(AK75=summaryref2!B104,summaryref2!I104,IF(AK75=summaryref2!B118,summaryref2!I118,IF(AK75=summaryref2!B132,summaryref2!I132,IF(AK75=summaryref2!B146,summaryref2!I146,"")))))))))))</f>
        <v/>
      </c>
      <c r="AT75" s="1121" t="str">
        <f>IF('A-80 DirEntInv'!AT74&lt;&gt;"",'A-80 DirEntInv'!AT74,IF(AK75=summaryref2!B20,summaryref2!J20,IF(Summary!AK75=summaryref2!B34,summaryref2!J34,IF(AK75=summaryref2!B48,summaryref2!J48,IF(AK75=summaryref2!B62,summaryref2!J62,IF(AK75=summaryref2!B76,summaryref2!J76,IF(AK75=summaryref2!B90,summaryref2!J90,IF(AK75=summaryref2!B104,summaryref2!J104,IF(AK75=summaryref2!B118,summaryref2!J118,IF(AK75=summaryref2!B132,summaryref2!J132,IF(AK75=summaryref2!B146,summaryref2!J146,"")))))))))))</f>
        <v/>
      </c>
      <c r="AU75" s="1121" t="str">
        <f>IF('A-80 DirEntInv'!AU74&lt;&gt;"",'A-80 DirEntInv'!AU74,IF(AK75=summaryref2!B20,summaryref2!K20,IF(Summary!AK75=summaryref2!B34,summaryref2!K34,IF(AK75=summaryref2!B48,summaryref2!K48,IF(AK75=summaryref2!B62,summaryref2!K62,IF(AK75=summaryref2!B76,summaryref2!K76,IF(AK75=summaryref2!B90,summaryref2!K90,IF(AK75=summaryref2!B104,summaryref2!K104,IF(AK75=summaryref2!B118,summaryref2!K118,IF(AK75=summaryref2!B132,summaryref2!K132,IF(AK75=summaryref2!B146,summaryref2!K146,"")))))))))))</f>
        <v/>
      </c>
      <c r="AV75" s="1121" t="str">
        <f>IF('A-80 DirEntInv'!AV74&lt;&gt;"",'A-80 DirEntInv'!AV74,IF(AK75=summaryref2!B20,summaryref2!L20,IF(Summary!AK75=summaryref2!B34,summaryref2!L34,IF(AK75=summaryref2!B48,summaryref2!L48,IF(AK75=summaryref2!B62,summaryref2!L62,IF(AK75=summaryref2!B76,summaryref2!L76,IF(AK75=summaryref2!B90,summaryref2!L90,IF(AK75=summaryref2!B104,summaryref2!L104,IF(AK75=summaryref2!B118,summaryref2!L118,IF(AK75=summaryref2!B132,summaryref2!L132,IF(AK75=summaryref2!B146,summaryref2!L146,"")))))))))))</f>
        <v/>
      </c>
      <c r="AW75" s="1121" t="str">
        <f>IF('A-80 DirEntInv'!AW74&lt;&gt;"",'A-80 DirEntInv'!AW74,IF(AK75=summaryref2!B20,summaryref2!M20,IF(Summary!AK75=summaryref2!B34,summaryref2!M34,IF(AK75=summaryref2!B48,summaryref2!M48,IF(AK75=summaryref2!B62,summaryref2!M62,IF(AK75=summaryref2!B76,summaryref2!M76,IF(AK75=summaryref2!B90,summaryref2!M90,IF(AK75=summaryref2!B104,summaryref2!M104,IF(AK75=summaryref2!B118,summaryref2!M118,IF(AK75=summaryref2!B132,summaryref2!M132,IF(AK75=summaryref2!B146,summaryref2!M146,"")))))))))))</f>
        <v/>
      </c>
      <c r="AX75" s="1121" t="str">
        <f>IF('A-80 DirEntInv'!AX74&lt;&gt;"",'A-80 DirEntInv'!AX74,IF(AK75=summaryref2!B20,summaryref2!N20,IF(Summary!AK75=summaryref2!B34,summaryref2!N34,IF(AK75=summaryref2!B48,summaryref2!N48,IF(AK75=summaryref2!B62,summaryref2!N62,IF(AK75=summaryref2!B76,summaryref2!N76,IF(AK75=summaryref2!B90,summaryref2!N90,IF(AK75=summaryref2!B104,summaryref2!N104,IF(AK75=summaryref2!B118,summaryref2!N118,IF(AK75=summaryref2!B132,summaryref2!N132,IF(AK75=summaryref2!B146,summaryref2!N146,"")))))))))))</f>
        <v/>
      </c>
      <c r="AY75" s="1121" t="str">
        <f>IF('A-80 DirEntInv'!AY74&lt;&gt;"",'A-80 DirEntInv'!AY74,IF(AK75=summaryref2!B20,summaryref2!O20,IF(Summary!AK75=summaryref2!B34,summaryref2!O34,IF(AK75=summaryref2!B48,summaryref2!O48,IF(AK75=summaryref2!B62,summaryref2!O62,IF(AK75=summaryref2!B76,summaryref2!O76,IF(AK75=summaryref2!B90,summaryref2!O90,IF(AK75=summaryref2!B104,summaryref2!O104,IF(AK75=summaryref2!B118,summaryref2!O118,IF(AK75=summaryref2!B132,summaryref2!O132,IF(AK75=summaryref2!B146,summaryref2!O146,"")))))))))))</f>
        <v/>
      </c>
      <c r="AZ75" s="1121" t="str">
        <f>IF('A-80 DirEntInv'!AZ74&lt;&gt;"",'A-80 DirEntInv'!AZ74,IF(AK75=summaryref2!B20,summaryref2!P20,IF(Summary!AK75=summaryref2!B34,summaryref2!P34,IF(AK75=summaryref2!B48,summaryref2!P48,IF(AK75=summaryref2!B62,summaryref2!P62,IF(AK75=summaryref2!B76,summaryref2!P76,IF(AK75=summaryref2!B90,summaryref2!P90,IF(AK75=summaryref2!B104,summaryref2!P104,IF(AK75=summaryref2!B118,summaryref2!P118,IF(AK75=summaryref2!B132,summaryref2!P132,IF(AK75=summaryref2!B146,summaryref2!P146,"")))))))))))</f>
        <v/>
      </c>
      <c r="BA75" s="1121" t="str">
        <f>IF('A-80 DirEntInv'!BA74&lt;&gt;"",'A-80 DirEntInv'!BA74,IF(AK75=summaryref2!B20,summaryref2!Q20,IF(Summary!AK75=summaryref2!B34,summaryref2!Q34,IF(AK75=summaryref2!B48,summaryref2!Q48,IF(AK75=summaryref2!B62,summaryref2!Q62,IF(AK75=summaryref2!B76,summaryref2!Q76,IF(AK75=summaryref2!B90,summaryref2!Q90,IF(AK75=summaryref2!B104,summaryref2!Q104,IF(AK75=summaryref2!B118,summaryref2!Q118,IF(AK75=summaryref2!B132,summaryref2!Q132,IF(AK75=summaryref2!B146,summaryref2!Q146,"")))))))))))</f>
        <v/>
      </c>
      <c r="BB75" s="1121" t="str">
        <f>IF('A-80 DirEntInv'!BB74&lt;&gt;"",'A-80 DirEntInv'!BB74,IF(AK75=summaryref2!B20,summaryref2!R20,IF(Summary!AK75=summaryref2!B34,summaryref2!R34,IF(AK75=summaryref2!B48,summaryref2!R48,IF(AK75=summaryref2!B62,summaryref2!R62,IF(AK75=summaryref2!B76,summaryref2!R76,IF(AK75=summaryref2!B90,summaryref2!R90,IF(AK75=summaryref2!B104,summaryref2!R104,IF(AK75=summaryref2!B118,summaryref2!R118,IF(AK75=summaryref2!B132,summaryref2!R132,IF(AK75=summaryref2!B146,summaryref2!R146,"")))))))))))</f>
        <v/>
      </c>
      <c r="BC75" s="1121" t="str">
        <f>IF('A-80 DirEntInv'!BC74&lt;&gt;0,'A-80 DirEntInv'!BC74,IF(AK75=summaryref2!B20,summaryref2!S20,IF(Summary!AK75=summaryref2!B34,summaryref2!S34,IF(AK75=summaryref2!B48,summaryref2!S48,IF(AK75=summaryref2!B62,summaryref2!S62,IF(AK75=summaryref2!B76,summaryref2!S76,IF(AK75=summaryref2!B90,summaryref2!S90,IF(AK75=summaryref2!B104,summaryref2!S104,IF(AK75=summaryref2!B118,summaryref2!S118,IF(AK75=summaryref2!B132,summaryref2!S132,IF(AK75=summaryref2!B146,summaryref2!S146,"")))))))))))</f>
        <v/>
      </c>
      <c r="BD75" s="1122" t="str">
        <f>IF('A-80 DirEntInv'!BD74&lt;&gt;"",'A-80 DirEntInv'!BD74,IF(AK75=summaryref2!B20,summaryref2!T20,IF(Summary!AK75=summaryref2!B34,summaryref2!T34,IF(AK75=summaryref2!B48,summaryref2!T48,IF(AK75=summaryref2!B62,summaryref2!T62,IF(AK75=summaryref2!B76,summaryref2!T76,IF(AK75=summaryref2!B90,summaryref2!T90,IF(AK75=summaryref2!B104,summaryref2!T104,IF(AK75=summaryref2!B118,summaryref2!T118,IF(AK75=summaryref2!B132,summaryref2!T132,IF(AK75=summaryref2!B146,summaryref2!T146,"")))))))))))</f>
        <v/>
      </c>
      <c r="BE75" s="1190" t="str">
        <f>IF('A-80 DirEntInv'!BE74&lt;&gt;"",'A-80 DirEntInv'!BE74,IF(AK75=summaryref2!B20,summaryref2!U20,IF(Summary!AK75=summaryref2!B34,summaryref2!U34,IF(AK75=summaryref2!B48,summaryref2!U48,IF(AK75=summaryref2!B62,summaryref2!U62,IF(AK75=summaryref2!B76,summaryref2!U76,IF(AK75=summaryref2!B90,summaryref2!U90,IF(AK75=summaryref2!B104,summaryref2!U104,IF(AK75=summaryref2!B118,summaryref2!U118,IF(AK75=summaryref2!B132,summaryref2!U132,IF(AK75=summaryref2!B146,summaryref2!U146,"")))))))))))</f>
        <v/>
      </c>
      <c r="BF75" s="1432"/>
      <c r="BG75" s="1432"/>
      <c r="BJ75" s="1048" t="str">
        <f>Codes!$C$165</f>
        <v>LR - Light Rail (DO)</v>
      </c>
      <c r="BK75" s="1049" t="str">
        <f>Valid!$B$81</f>
        <v>Curve</v>
      </c>
      <c r="BL75" s="1367" t="str">
        <f>IF('A-80 DirEntInv'!BL74&lt;&gt;"",'A-80 DirEntInv'!BL74,IF(BJ75=summaryref2!X13,summaryref2!Z13,IF(BJ75=summaryref2!X20,summaryref2!Z20,IF(BJ75=summaryref2!X27,summaryref2!Z27,IF(BJ75=summaryref2!X34,summaryref2!Z34,IF(BJ75=summaryref2!X41,summaryref2!Z41,IF(BJ75=summaryref2!X48,summaryref2!Z48,IF(BJ75=summaryref2!X55,summaryref2!Z55,IF(BJ75=summaryref2!X62,summaryref2!Z62,IF(BJ75=summaryref2!X69,summaryref2!Z69,IF(BJ75=summaryref2!X76,summaryref2!Z76,"")))))))))))</f>
        <v/>
      </c>
      <c r="BM75" s="1049" t="str">
        <f>VLOOKUP(BK75,Valid!$B$80:$C$86,2,FALSE)</f>
        <v>Track Feet</v>
      </c>
      <c r="BN75" s="1324" t="str">
        <f>IF('A-80 DirEntInv'!BN74&lt;&gt;"",'A-80 DirEntInv'!BN74,IF(BJ75=summaryref2!X13,summaryref2!AB13,IF(BJ75=summaryref2!X20,summaryref2!AB20,IF(BJ75=summaryref2!X27,summaryref2!AB27,IF(BJ75=summaryref2!X34,summaryref2!AB34,IF(BJ75=summaryref2!X41,summaryref2!AB41,IF(BJ75=summaryref2!X48,summaryref2!AB48,IF(BJ75=summaryref2!X55,summaryref2!AB55,IF(BJ75=summaryref2!X62,summaryref2!AB62,IF(BJ75=summaryref2!X69,summaryref2!AB69,IF(BJ75=summaryref2!X76,summaryref2!AB76,"")))))))))))</f>
        <v/>
      </c>
      <c r="BO75" s="1326" t="str">
        <f>IF('A-80 DirEntInv'!BO74&lt;&gt;"",'A-80 DirEntInv'!BO74,IF(BJ75=summaryref2!X13,summaryref2!AC13,IF(BJ75=summaryref2!X20,summaryref2!AC20,IF(BJ75=summaryref2!X27,summaryref2!AC27,IF(BJ75=summaryref2!X34,summaryref2!AC34,IF(BJ75=summaryref2!X41,summaryref2!AC41,IF(BJ75=summaryref2!X48,summaryref2!AC48,IF(BJ75=summaryref2!X55,summaryref2!AC55,IF(BJ75=summaryref2!X62,summaryref2!AC62,IF(BJ75=summaryref2!X69,summaryref2!AC69,IF(BJ75=summaryref2!X76,summaryref2!AC76,"")))))))))))</f>
        <v/>
      </c>
      <c r="BP75" s="1323" t="str">
        <f>IF('A-80 DirEntInv'!BP74&lt;&gt;"",'A-80 DirEntInv'!BP74,IF(BJ75=summaryref2!X13,summaryref2!AD13,IF(BJ75=summaryref2!X20,summaryref2!AD20,IF(BJ75=summaryref2!X27,summaryref2!AD27,IF(BJ75=summaryref2!X34,summaryref2!AD34,IF(BJ75=summaryref2!X41,summaryref2!AD41,IF(BJ75=summaryref2!X48,summaryref2!AD48,IF(BJ75=summaryref2!X55,summaryref2!AD55,IF(BJ75=summaryref2!X62,summaryref2!AD62,IF(BJ75=summaryref2!X69,summaryref2!AD69,IF(BJ75=summaryref2!X76,summaryref2!AD76,"")))))))))))</f>
        <v/>
      </c>
      <c r="BS75" s="1472" t="str">
        <f ca="1">IF('A-80 DirEntInv'!BU74&lt;&gt;"",'A-80 DirEntInv'!BU74,IF(INDIRECT(ADDRESS(SumRef!DK81,SumRef!DK$16,,,SumRef!$E$6))="","",INDIRECT(ADDRESS(SumRef!DK81,SumRef!DK$16,,,SumRef!$E$6))))</f>
        <v/>
      </c>
      <c r="BT75" s="1458" t="str">
        <f ca="1">IF('A-80 DirEntInv'!BV74&lt;&gt;"",'A-80 DirEntInv'!BV74,IF(INDIRECT(ADDRESS(SumRef!DL81,SumRef!DL$16,,,SumRef!$E$6))="","",INDIRECT(ADDRESS(SumRef!DL81,SumRef!DL$16,,,SumRef!$E$6))))</f>
        <v/>
      </c>
      <c r="BU75" s="1177" t="str">
        <f ca="1">IF('A-80 DirEntInv'!BW74&lt;&gt;"",'A-80 DirEntInv'!BW74,IF(INDIRECT(ADDRESS(SumRef!DM81,SumRef!DM$16,,,SumRef!$E$6))="","",INDIRECT(ADDRESS(SumRef!DM81,SumRef!DM$16,,,SumRef!$E$6))))</f>
        <v/>
      </c>
      <c r="BV75" s="1460" t="str">
        <f ca="1">IF('A-80 DirEntInv'!BX74&lt;&gt;"",'A-80 DirEntInv'!BX74,IF(INDIRECT(ADDRESS(SumRef!DN81,SumRef!DN$16,,,SumRef!$E$6))="","",INDIRECT(ADDRESS(SumRef!DN81,SumRef!DN$16,,,SumRef!$E$6))))</f>
        <v/>
      </c>
      <c r="BW75" s="1460" t="str">
        <f ca="1">IF('A-80 DirEntInv'!BY74&lt;&gt;"",'A-80 DirEntInv'!BY74,IF(INDIRECT(ADDRESS(SumRef!DO81,SumRef!DO$16,,,SumRef!$E$6))="","",INDIRECT(ADDRESS(SumRef!DO81,SumRef!DO$16,,,SumRef!$E$6))))</f>
        <v/>
      </c>
      <c r="BX75" s="1116" t="str">
        <f ca="1">IF('A-80 DirEntInv'!BZ74&lt;&gt;"",'A-80 DirEntInv'!BZ74,IF(INDIRECT(ADDRESS(SumRef!DP81,SumRef!DP$16,,,SumRef!$E$6))="","",INDIRECT(ADDRESS(SumRef!DP81,SumRef!DP$16,,,SumRef!$E$6))))</f>
        <v/>
      </c>
      <c r="BY75" s="1461" t="str">
        <f ca="1">IF('A-80 DirEntInv'!CA74&lt;&gt;"",'A-80 DirEntInv'!CA74,IF(INDIRECT(ADDRESS(SumRef!DQ81,SumRef!DQ$16,,,SumRef!$E$6))="","",INDIRECT(ADDRESS(SumRef!DQ81,SumRef!DQ$16,,,SumRef!$E$6))))</f>
        <v/>
      </c>
      <c r="BZ75" s="1460" t="str">
        <f ca="1">IF('A-80 DirEntInv'!CB74&lt;&gt;"",'A-80 DirEntInv'!CB74,IF(INDIRECT(ADDRESS(SumRef!DR81,SumRef!DR$16,,,SumRef!$E$6))="","",INDIRECT(ADDRESS(SumRef!DR81,SumRef!DR$16,,,SumRef!$E$6))))</f>
        <v/>
      </c>
      <c r="CA75" s="1462" t="str">
        <f ca="1">IF('A-80 DirEntInv'!CC74&lt;&gt;"",'A-80 DirEntInv'!CC74,IF(INDIRECT(ADDRESS(SumRef!DS81,SumRef!DS$16,,,SumRef!$E$6))="","",INDIRECT(ADDRESS(SumRef!DS81,SumRef!DS$16,,,SumRef!$E$6))))</f>
        <v/>
      </c>
      <c r="CD75" s="1160" t="str">
        <f ca="1">IF('A-80 DirEntInv'!CF74&lt;&gt;"",'A-80 DirEntInv'!CF74,IF(INDIRECT(ADDRESS(SumRef!DV81,SumRef!DV$16,,,SumRef!$E$7))="","",INDIRECT(ADDRESS(SumRef!DV81,SumRef!DV$16,,,SumRef!$E$7))))</f>
        <v/>
      </c>
      <c r="CE75" s="1167" t="str">
        <f ca="1">IF('A-80 DirEntInv'!CG74&lt;&gt;"",'A-80 DirEntInv'!CG74,IF(INDIRECT(ADDRESS(SumRef!DW81,SumRef!DW$16,,,SumRef!$E$7))="","",INDIRECT(ADDRESS(SumRef!DW81,SumRef!DW$16,,,SumRef!$E$7))))</f>
        <v/>
      </c>
      <c r="CF75" s="1167" t="str">
        <f ca="1">IF('A-80 DirEntInv'!CH74&lt;&gt;"",'A-80 DirEntInv'!CH74,IF(INDIRECT(ADDRESS(SumRef!DX81,SumRef!DX$16,,,SumRef!$E$7))="","",INDIRECT(ADDRESS(SumRef!DX81,SumRef!DX$16,,,SumRef!$E$7))))</f>
        <v/>
      </c>
      <c r="CG75" s="1167" t="str">
        <f ca="1">IF('A-80 DirEntInv'!CI74&lt;&gt;"",'A-80 DirEntInv'!CI74,IF(INDIRECT(ADDRESS(SumRef!DY81,SumRef!DY$16,,,SumRef!$E$7))="","",INDIRECT(ADDRESS(SumRef!DY81,SumRef!DY$16,,,SumRef!$E$7))))</f>
        <v/>
      </c>
      <c r="CH75" s="1167" t="str">
        <f ca="1">IF('A-80 DirEntInv'!CJ74&lt;&gt;"",'A-80 DirEntInv'!CJ74,IF(INDIRECT(ADDRESS(SumRef!DZ81,SumRef!DZ$16,,,SumRef!$E$7))="","",INDIRECT(ADDRESS(SumRef!DZ81,SumRef!DZ$16,,,SumRef!$E$7))))</f>
        <v/>
      </c>
      <c r="CI75" s="1167" t="str">
        <f ca="1">IF('A-80 DirEntInv'!CK74&lt;&gt;"",'A-80 DirEntInv'!CK74,IF(INDIRECT(ADDRESS(SumRef!EA81,SumRef!EA$16,,,SumRef!$E$7))="","",INDIRECT(ADDRESS(SumRef!EA81,SumRef!EA$16,,,SumRef!$E$7))))</f>
        <v/>
      </c>
      <c r="CJ75" s="1114" t="str">
        <f ca="1">IF('A-80 DirEntInv'!CL74&lt;&gt;"",'A-80 DirEntInv'!CL74,IF(INDIRECT(ADDRESS(SumRef!EB81,SumRef!EB$16,,,SumRef!$E$7))="","",INDIRECT(ADDRESS(SumRef!EB81,SumRef!EB$16,,,SumRef!$E$7))))</f>
        <v/>
      </c>
      <c r="CK75" s="1114" t="str">
        <f ca="1">IF('A-80 DirEntInv'!CM74&lt;&gt;"",'A-80 DirEntInv'!CM74,IF(INDIRECT(ADDRESS(SumRef!EC81,SumRef!EC$16,,,SumRef!$E$7))="","",INDIRECT(ADDRESS(SumRef!EC81,SumRef!EC$16,,,SumRef!$E$7))))</f>
        <v/>
      </c>
      <c r="CL75" s="1113" t="str">
        <f ca="1">IF('A-80 DirEntInv'!CO74&lt;&gt;"",'A-80 DirEntInv'!CO74,IF(INDIRECT(ADDRESS(SumRef!ED81,SumRef!ED$16,,,SumRef!$E$7))="","",INDIRECT(ADDRESS(SumRef!ED81,SumRef!ED$16,,,SumRef!$E$7))))</f>
        <v/>
      </c>
      <c r="CM75" s="1114" t="str">
        <f ca="1">IF('A-80 DirEntInv'!CP74&lt;&gt;"",'A-80 DirEntInv'!CP74,IF(INDIRECT(ADDRESS(SumRef!EE81,SumRef!EE$16,,,SumRef!$E$7))="","",INDIRECT(ADDRESS(SumRef!EE81,SumRef!EE$16,,,SumRef!$E$7))))</f>
        <v/>
      </c>
      <c r="CN75" s="1114" t="str">
        <f ca="1">IF('A-80 DirEntInv'!CQ74&lt;&gt;"",'A-80 DirEntInv'!CQ74,IF(INDIRECT(ADDRESS(SumRef!EF81,SumRef!EF$16,,,SumRef!$E$7))="","",INDIRECT(ADDRESS(SumRef!EF81,SumRef!EF$16,,,SumRef!$E$7))))</f>
        <v/>
      </c>
      <c r="CO75" s="1113" t="str">
        <f ca="1">IF('A-80 DirEntInv'!CR74&lt;&gt;"",'A-80 DirEntInv'!CR74,IF(INDIRECT(ADDRESS(SumRef!EG81,SumRef!EG$16,,,SumRef!$E$7))="","",INDIRECT(ADDRESS(SumRef!EG81,SumRef!EG$16,,,SumRef!$E$7))))</f>
        <v/>
      </c>
      <c r="CP75" s="1114" t="str">
        <f ca="1">IF('A-80 DirEntInv'!CS74&lt;&gt;"",'A-80 DirEntInv'!CS74,IF(INDIRECT(ADDRESS(SumRef!EH81,SumRef!EH$16,,,SumRef!$E$7))="","",INDIRECT(ADDRESS(SumRef!EH81,SumRef!EH$16,,,SumRef!$E$7))))</f>
        <v/>
      </c>
      <c r="CQ75" s="1346" t="str">
        <f ca="1">IF('A-80 DirEntInv'!CT74&lt;&gt;"",'A-80 DirEntInv'!CT74,IF(INDIRECT(ADDRESS(SumRef!EI81,SumRef!EI$16,,,SumRef!$E$7))="","",INDIRECT(ADDRESS(SumRef!EI81,SumRef!EI$16,,,SumRef!$E$7))))</f>
        <v/>
      </c>
      <c r="CR75" s="1113" t="str">
        <f ca="1">IF('A-80 DirEntInv'!CU74&lt;&gt;"",'A-80 DirEntInv'!CU74,IF(INDIRECT(ADDRESS(SumRef!EJ81,SumRef!EJ$16,,,SumRef!$E$7))="","",INDIRECT(ADDRESS(SumRef!EJ81,SumRef!EJ$16,,,SumRef!$E$7))))</f>
        <v/>
      </c>
      <c r="CS75" s="1346" t="str">
        <f ca="1">IF('A-80 DirEntInv'!CV74&lt;&gt;"",'A-80 DirEntInv'!CV74,IF(INDIRECT(ADDRESS(SumRef!EM81,SumRef!EM$16,,,SumRef!$E$7))="","",INDIRECT(ADDRESS(SumRef!EM81,SumRef!EM$16,,,SumRef!$E$7))))</f>
        <v/>
      </c>
      <c r="CT75" s="1113" t="str">
        <f ca="1">IF('A-80 DirEntInv'!CW74&lt;&gt;"",'A-80 DirEntInv'!CW74,IF(INDIRECT(ADDRESS(SumRef!EN81,SumRef!EN$16,,,SumRef!$E$7))="","",INDIRECT(ADDRESS(SumRef!EN81,SumRef!EN$16,,,SumRef!$E$7))))</f>
        <v/>
      </c>
      <c r="CU75" s="1113" t="str">
        <f ca="1">IF('A-80 DirEntInv'!CX74&lt;&gt;"",'A-80 DirEntInv'!CX74,IF(INDIRECT(ADDRESS(SumRef!EO81,SumRef!EO$16,,,SumRef!$E$7))="","",INDIRECT(ADDRESS(SumRef!EO81,SumRef!EO$16,,,SumRef!$E$7))))</f>
        <v/>
      </c>
      <c r="CV75" s="1113" t="str">
        <f ca="1">IF('A-80 DirEntInv'!CY74&lt;&gt;"",'A-80 DirEntInv'!CY74,IF(INDIRECT(ADDRESS(SumRef!EP81,SumRef!EP$16,,,SumRef!$E$7))="","",INDIRECT(ADDRESS(SumRef!EP81,SumRef!EP$16,,,SumRef!$E$7))))</f>
        <v/>
      </c>
      <c r="CW75" s="1114" t="str">
        <f ca="1">IF('A-80 DirEntInv'!CZ74&lt;&gt;"",'A-80 DirEntInv'!CZ74,IF(INDIRECT(ADDRESS(SumRef!ES81,SumRef!ES$16,,,SumRef!$E$7))="","",INDIRECT(ADDRESS(SumRef!ES81,SumRef!ES$16,,,SumRef!$E$7))))</f>
        <v/>
      </c>
      <c r="CX75" s="1167" t="str">
        <f ca="1">IF('A-80 DirEntInv'!DA74&lt;&gt;"",'A-80 DirEntInv'!DA74,IF(INDIRECT(ADDRESS(SumRef!ET81,SumRef!ET$16,,,SumRef!$E$7))="","",INDIRECT(ADDRESS(SumRef!ET81,SumRef!ET$16,,,SumRef!$E$7))))</f>
        <v/>
      </c>
      <c r="CY75" s="1167" t="str">
        <f ca="1">IF('A-80 DirEntInv'!DB74&lt;&gt;"",'A-80 DirEntInv'!DB74,IF(INDIRECT(ADDRESS(SumRef!EU81,SumRef!EU$16,,,SumRef!$E$7))="","",INDIRECT(ADDRESS(SumRef!EU81,SumRef!EU$16,,,SumRef!$E$7))))</f>
        <v/>
      </c>
      <c r="CZ75" s="1167" t="b">
        <f ca="1">IF('A-80 DirEntInv'!DC74&lt;&gt;"",'A-80 DirEntInv'!DC74,IF(INDIRECT(ADDRESS(SumRef!EV81,SumRef!EV$16,,,SumRef!$E$7))="","",INDIRECT(ADDRESS(SumRef!EV81,SumRef!EV$16,,,SumRef!$E$7))))</f>
        <v>0</v>
      </c>
      <c r="DA75" s="1373" t="str">
        <f ca="1">IF('A-80 DirEntInv'!DD74&lt;&gt;"",'A-80 DirEntInv'!DD74,IF(INDIRECT(ADDRESS(SumRef!EW81,SumRef!EW$16,,,SumRef!$E$7))="","",INDIRECT(ADDRESS(SumRef!EW81,SumRef!EW$16,,,SumRef!$E$7))))</f>
        <v/>
      </c>
      <c r="DB75" s="1373" t="b">
        <f ca="1">IF('A-80 DirEntInv'!DE74&lt;&gt;"",'A-80 DirEntInv'!DE74,IF(INDIRECT(ADDRESS(SumRef!EX81,SumRef!EX$16,,,SumRef!$E$7))="","",INDIRECT(ADDRESS(SumRef!EX81,SumRef!EX$16,,,SumRef!$E$7))))</f>
        <v>0</v>
      </c>
      <c r="DC75" s="1114" t="b">
        <f ca="1">IF('A-80 DirEntInv'!DF74&lt;&gt;"",'A-80 DirEntInv'!DF74,IF(INDIRECT(ADDRESS(SumRef!EY81,SumRef!EY$16,,,SumRef!$E$7))="","",INDIRECT(ADDRESS(SumRef!EY81,SumRef!EY$16,,,SumRef!$E$7))))</f>
        <v>0</v>
      </c>
      <c r="DD75" s="1115" t="str">
        <f ca="1">IF('A-80 DirEntInv'!DG74&lt;&gt;"",'A-80 DirEntInv'!DG74,IF(INDIRECT(ADDRESS(SumRef!EZ81,SumRef!EZ$16,,,SumRef!$E$7))="","",INDIRECT(ADDRESS(SumRef!EZ81,SumRef!EZ$16,,,SumRef!$E$7))))</f>
        <v/>
      </c>
    </row>
    <row r="76" spans="1:108" s="588" customFormat="1" ht="13.5" thickTop="1" x14ac:dyDescent="0.2">
      <c r="A76" s="589">
        <f t="shared" si="0"/>
        <v>66</v>
      </c>
      <c r="B76" s="1155" t="str">
        <f ca="1">IF('A-80 DirEntInv'!B75&lt;&gt;"",'A-80 DirEntInv'!B75,IF(INDIRECT(ADDRESS(SumRef!AQ82,SumRef!AQ$16,,,SumRef!$B$7))="","",INDIRECT(ADDRESS(SumRef!AQ82,SumRef!AQ$16,,,SumRef!$B$7))))</f>
        <v/>
      </c>
      <c r="C76" s="1097" t="str">
        <f ca="1">IF('A-80 DirEntInv'!C75&lt;&gt;"",'A-80 DirEntInv'!C75,IF(INDIRECT(ADDRESS(SumRef!AR82,SumRef!AR$16,,,SumRef!$B$7))="","",INDIRECT(ADDRESS(SumRef!AR82,SumRef!AR$16,,,SumRef!$B$7))))</f>
        <v/>
      </c>
      <c r="D76" s="1097" t="str">
        <f ca="1">IF('A-80 DirEntInv'!D75&lt;&gt;"",'A-80 DirEntInv'!D75,IF(INDIRECT(ADDRESS(SumRef!AS82,SumRef!AS$16,,,SumRef!$B$7))="","",INDIRECT(ADDRESS(SumRef!AS82,SumRef!AS$16,,,SumRef!$B$7))))</f>
        <v/>
      </c>
      <c r="E76" s="1097" t="str">
        <f ca="1">IF('A-80 DirEntInv'!E75&lt;&gt;"",'A-80 DirEntInv'!E75,IF(INDIRECT(ADDRESS(SumRef!AT82,SumRef!AT$16,,,SumRef!$B$7))="","",INDIRECT(ADDRESS(SumRef!AT82,SumRef!AT$16,,,SumRef!$B$7))))</f>
        <v/>
      </c>
      <c r="F76" s="1097" t="str">
        <f ca="1">IF('A-80 DirEntInv'!F75&lt;&gt;"",'A-80 DirEntInv'!F75,IF(INDIRECT(ADDRESS(SumRef!AU82,SumRef!AU$16,,,SumRef!$B$7))="","",INDIRECT(ADDRESS(SumRef!AU82,SumRef!AU$16,,,SumRef!$B$7))))</f>
        <v/>
      </c>
      <c r="G76" s="1158" t="str">
        <f ca="1">IF('A-80 DirEntInv'!G75&lt;&gt;"",'A-80 DirEntInv'!G75,IF(INDIRECT(ADDRESS(SumRef!AV82,SumRef!AV$16,,,SumRef!$B$7))="","",INDIRECT(ADDRESS(SumRef!AV82,SumRef!AV$16,,,SumRef!$B$7))))</f>
        <v/>
      </c>
      <c r="H76" s="1097" t="str">
        <f ca="1">IF('A-80 DirEntInv'!H75&lt;&gt;"",'A-80 DirEntInv'!H75,IF(INDIRECT(ADDRESS(SumRef!AW82,SumRef!AW$16,,,SumRef!$B$7))="","",INDIRECT(ADDRESS(SumRef!AW82,SumRef!AW$16,,,SumRef!$B$7))))</f>
        <v/>
      </c>
      <c r="I76" s="1097" t="str">
        <f ca="1">IF('A-80 DirEntInv'!I75&lt;&gt;"",'A-80 DirEntInv'!I75,IF(INDIRECT(ADDRESS(SumRef!AX82,SumRef!AX$16,,,SumRef!$B$7))="","",INDIRECT(ADDRESS(SumRef!AX82,SumRef!AX$16,,,SumRef!$B$7))))</f>
        <v/>
      </c>
      <c r="J76" s="1098" t="str">
        <f ca="1">IF('A-80 DirEntInv'!J75&lt;&gt;"",'A-80 DirEntInv'!J75,IF(INDIRECT(ADDRESS(SumRef!AY82,SumRef!AY$16,,,SumRef!$B$7))="","",INDIRECT(ADDRESS(SumRef!AY82,SumRef!AY$16,,,SumRef!$B$7))))</f>
        <v/>
      </c>
      <c r="K76" s="1099" t="str">
        <f ca="1">IF('A-80 DirEntInv'!K75&lt;&gt;"",'A-80 DirEntInv'!K75,IF(INDIRECT(ADDRESS(SumRef!AZ82,SumRef!AZ$16,,,SumRef!$B$7))="","",INDIRECT(ADDRESS(SumRef!AZ82,SumRef!AZ$16,,,SumRef!$B$7))))</f>
        <v/>
      </c>
      <c r="L76" s="1100" t="str">
        <f ca="1">IF('A-80 DirEntInv'!L75&lt;&gt;"",'A-80 DirEntInv'!L75,IF(INDIRECT(ADDRESS(SumRef!BA82,SumRef!BA$16,,,SumRef!$B$7))="","",INDIRECT(ADDRESS(SumRef!BA82,SumRef!BA$16,,,SumRef!$B$7))))</f>
        <v/>
      </c>
      <c r="M76" s="1101" t="str">
        <f ca="1">IF('A-80 DirEntInv'!M75&lt;&gt;"",'A-80 DirEntInv'!M75,IF(INDIRECT(ADDRESS(SumRef!BB82,SumRef!BB$16,,,SumRef!$B$7))="","",INDIRECT(ADDRESS(SumRef!BB82,SumRef!BB$16,,,SumRef!$B$7))))</f>
        <v/>
      </c>
      <c r="N76" s="1098" t="str">
        <f ca="1">IF('A-80 DirEntInv'!N75&lt;&gt;"",'A-80 DirEntInv'!N75,IF(INDIRECT(ADDRESS(SumRef!BC82,SumRef!BC$16,,,SumRef!$B$7))="","",INDIRECT(ADDRESS(SumRef!BC82,SumRef!BC$16,,,SumRef!$B$7))))</f>
        <v/>
      </c>
      <c r="O76" s="1102" t="str">
        <f ca="1">IF('A-80 DirEntInv'!O75&lt;&gt;"",'A-80 DirEntInv'!O75,IF(INDIRECT(ADDRESS(SumRef!BD82,SumRef!BD$16,,,SumRef!$B$7))="","",INDIRECT(ADDRESS(SumRef!BD82,SumRef!BD$16,,,SumRef!$B$7))))</f>
        <v/>
      </c>
      <c r="Q76" s="589"/>
      <c r="R76" s="1103" t="str">
        <f ca="1">IF('A-80 DirEntInv'!R75&lt;&gt;"",'A-80 DirEntInv'!R75,IF(INDIRECT(ADDRESS(SumRef!BH82,SumRef!BH$16,,,SumRef!$B$8))="","",INDIRECT(ADDRESS(SumRef!BH82,SumRef!BH$16,,,SumRef!$B$8))))</f>
        <v/>
      </c>
      <c r="S76" s="1104" t="str">
        <f ca="1">IF('A-80 DirEntInv'!S75&lt;&gt;"",'A-80 DirEntInv'!S75,IF(INDIRECT(ADDRESS(SumRef!BI82,SumRef!BI$16,,,SumRef!$B$8))="","",INDIRECT(ADDRESS(SumRef!BI82,SumRef!BI$16,,,SumRef!$B$8))))</f>
        <v/>
      </c>
      <c r="T76" s="1104" t="str">
        <f ca="1">IF('A-80 DirEntInv'!T75&lt;&gt;"",'A-80 DirEntInv'!T75,IF(INDIRECT(ADDRESS(SumRef!BJ82,SumRef!BJ$16,,,SumRef!$B$8))="","",INDIRECT(ADDRESS(SumRef!BJ82,SumRef!BJ$16,,,SumRef!$B$8))))</f>
        <v/>
      </c>
      <c r="U76" s="1104" t="str">
        <f ca="1">IF('A-80 DirEntInv'!U75&lt;&gt;"",'A-80 DirEntInv'!U75,IF(INDIRECT(ADDRESS(SumRef!BK82,SumRef!BK$16,,,SumRef!$B$8))="","",INDIRECT(ADDRESS(SumRef!BK82,SumRef!BK$16,,,SumRef!$B$8))))</f>
        <v/>
      </c>
      <c r="V76" s="1104" t="str">
        <f ca="1">IF('A-80 DirEntInv'!V75&lt;&gt;"",'A-80 DirEntInv'!V75,IF(INDIRECT(ADDRESS(SumRef!BL82,SumRef!BL$16,,,SumRef!$B$8))="","",INDIRECT(ADDRESS(SumRef!BL82,SumRef!BL$16,,,SumRef!$B$8))))</f>
        <v/>
      </c>
      <c r="W76" s="1354" t="str">
        <f ca="1">IF('A-80 DirEntInv'!W75&lt;&gt;"",'A-80 DirEntInv'!W75,IF(INDIRECT(ADDRESS(SumRef!BM82,SumRef!BM$16,,,SumRef!$B$8))="","",INDIRECT(ADDRESS(SumRef!BM82,SumRef!BM$16,,,SumRef!$B$8))))</f>
        <v/>
      </c>
      <c r="X76" s="1203" t="str">
        <f ca="1">IF('A-80 DirEntInv'!X75&lt;&gt;"",'A-80 DirEntInv'!X75,IF(INDIRECT(ADDRESS(SumRef!BN82,SumRef!BN$16,,,SumRef!$B$8))="","",INDIRECT(ADDRESS(SumRef!BN82,SumRef!BN$16,,,SumRef!$B$8))))</f>
        <v/>
      </c>
      <c r="Y76" s="1203" t="str">
        <f ca="1">IF('A-80 DirEntInv'!Y75&lt;&gt;"",'A-80 DirEntInv'!Y75,IF(INDIRECT(ADDRESS(SumRef!BO82,SumRef!BO$16,,,SumRef!$B$8))="","",INDIRECT(ADDRESS(SumRef!BO82,SumRef!BO$16,,,SumRef!$B$8))))</f>
        <v/>
      </c>
      <c r="Z76" s="1104" t="str">
        <f ca="1">IF('A-80 DirEntInv'!Z75&lt;&gt;"",'A-80 DirEntInv'!Z75,IF(INDIRECT(ADDRESS(SumRef!BP82,SumRef!BP$16,,,SumRef!$B$8))="","",INDIRECT(ADDRESS(SumRef!BP82,SumRef!BP$16,,,SumRef!$B$8))))</f>
        <v/>
      </c>
      <c r="AA76" s="1104" t="str">
        <f ca="1">IF('A-80 DirEntInv'!AA75&lt;&gt;"",'A-80 DirEntInv'!AA75,IF(INDIRECT(ADDRESS(SumRef!BQ82,SumRef!BQ$16,,,SumRef!$B$8))="","",INDIRECT(ADDRESS(SumRef!BQ82,SumRef!BQ$16,,,SumRef!$B$8))))</f>
        <v/>
      </c>
      <c r="AB76" s="1106" t="str">
        <f ca="1">IF('A-80 DirEntInv'!AB75&lt;&gt;"",'A-80 DirEntInv'!AB75,IF(INDIRECT(ADDRESS(SumRef!BR82,SumRef!BR$16,,,SumRef!$B$8))="","",INDIRECT(ADDRESS(SumRef!BR82,SumRef!BR$16,,,SumRef!$B$8))))</f>
        <v/>
      </c>
      <c r="AC76" s="1107" t="str">
        <f ca="1">IF('A-80 DirEntInv'!AC75&lt;&gt;"",'A-80 DirEntInv'!AC75,IF(INDIRECT(ADDRESS(SumRef!BS82,SumRef!BS$16,,,SumRef!$B$8))="","",INDIRECT(ADDRESS(SumRef!BS82,SumRef!BS$16,,,SumRef!$B$8))))</f>
        <v/>
      </c>
      <c r="AD76" s="1349" t="str">
        <f ca="1">IF('A-80 DirEntInv'!AD75&lt;&gt;"",'A-80 DirEntInv'!AD75,IF(INDIRECT(ADDRESS(SumRef!BT82,SumRef!BT$16,,,SumRef!$B$8))="","",INDIRECT(ADDRESS(SumRef!BT82,SumRef!BT$16,,,SumRef!$B$8))))</f>
        <v/>
      </c>
      <c r="AE76" s="1137" t="str">
        <f ca="1">IF('A-80 DirEntInv'!AE75&lt;&gt;"",'A-80 DirEntInv'!AE75,IF(INDIRECT(ADDRESS(SumRef!BU82,SumRef!BU$16,,,SumRef!$B$8))="","",INDIRECT(ADDRESS(SumRef!BU82,SumRef!BU$16,,,SumRef!$B$8))))</f>
        <v/>
      </c>
      <c r="AF76" s="1346" t="str">
        <f ca="1">IF('A-80 DirEntInv'!AF75&lt;&gt;"",'A-80 DirEntInv'!AF75,IF(INDIRECT(ADDRESS(SumRef!BV82,SumRef!BV$16,,,SumRef!$B$8))="","",INDIRECT(ADDRESS(SumRef!BV82,SumRef!BV$16,,,SumRef!$B$8))))</f>
        <v/>
      </c>
      <c r="AG76" s="1105" t="str">
        <f ca="1">IF('A-80 DirEntInv'!AG75&lt;&gt;"",'A-80 DirEntInv'!AG75,IF(INDIRECT(ADDRESS(SumRef!BW82,SumRef!BW$16,,,SumRef!$B$8))="","",INDIRECT(ADDRESS(SumRef!BW82,SumRef!BW$16,,,SumRef!$B$8))))</f>
        <v/>
      </c>
      <c r="AH76" s="1357" t="str">
        <f ca="1">IF('A-80 DirEntInv'!AH75&lt;&gt;"",'A-80 DirEntInv'!AH75,IF(INDIRECT(ADDRESS(SumRef!BX82,SumRef!BX$16,,,SumRef!$B$8))="","",INDIRECT(ADDRESS(SumRef!BX82,SumRef!BX$16,,,SumRef!$B$8))))</f>
        <v/>
      </c>
      <c r="AK76" s="1181" t="str">
        <f>Codes!$C$160</f>
        <v>CC - Cable Car (PT)</v>
      </c>
      <c r="AL76" s="1182" t="str">
        <f>Valid!$B$87</f>
        <v>Substation Building</v>
      </c>
      <c r="AM76" s="1123" t="str">
        <f>IF('A-80 DirEntInv'!AM75&lt;&gt;"",'A-80 DirEntInv'!AM75,IF(AK76=summaryref2!B21,summaryref2!D21,IF(Summary!AK76=summaryref2!B35,summaryref2!D35,IF(AK76=summaryref2!B49,summaryref2!D49,IF(AK76=summaryref2!B63,summaryref2!D63,IF(AK76=summaryref2!B77,summaryref2!D77,IF(AK76=summaryref2!B91,summaryref2!D91,IF(AK76=summaryref2!B105,summaryref2!D105,IF(AK76=summaryref2!B119,summaryref2!D119,IF(AK76=summaryref2!B133,summaryref2!D133,IF(AK76=summaryref2!B197,summaryref2!D147,"")))))))))))</f>
        <v/>
      </c>
      <c r="AN76" s="1124" t="s">
        <v>13</v>
      </c>
      <c r="AO76" s="1123"/>
      <c r="AP76" s="1124"/>
      <c r="AQ76" s="1149" t="str">
        <f>IF('A-80 DirEntInv'!AQ75&lt;&gt;"",'A-80 DirEntInv'!AQ75,IF(AK76=summaryref2!B21,summaryref2!G21,IF(Summary!AK76=summaryref2!B35,summaryref2!G35,IF(AK76=summaryref2!B49,summaryref2!G49,IF(AK76=summaryref2!B63,summaryref2!G63,IF(AK76=summaryref2!B77,summaryref2!G77,IF(AK76=summaryref2!B91,summaryref2!G91,IF(AK76=summaryref2!B105,summaryref2!G105,IF(AK76=summaryref2!B119,summaryref2!G119,IF(AK76=summaryref2!B133,summaryref2!G133,IF(AK76=summaryref2!B147,summaryref2!G147,"")))))))))))</f>
        <v/>
      </c>
      <c r="AR76" s="1149" t="str">
        <f>IF('A-80 DirEntInv'!AR75&lt;&gt;"",'A-80 DirEntInv'!AR75,IF(AK76=summaryref2!B21,summaryref2!H21,IF(Summary!AK76=summaryref2!B35,summaryref2!H35,IF(AK76=summaryref2!B49,summaryref2!H49,IF(AK76=summaryref2!B63,summaryref2!H63,IF(AK76=summaryref2!B77,summaryref2!H77,IF(AK76=summaryref2!B91,summaryref2!H91,IF(AK76=summaryref2!B105,summaryref2!H105,IF(AK76=summaryref2!B119,summaryref2!H119,IF(AK76=summaryref2!B133,summaryref2!H133,IF(AK76=summaryref2!B147,summaryref2!H147,"")))))))))))</f>
        <v/>
      </c>
      <c r="AS76" s="1125" t="str">
        <f>IF('A-80 DirEntInv'!AS75&lt;&gt;"",'A-80 DirEntInv'!AS75,IF(AK76=summaryref2!B21,summaryref2!I21,IF(Summary!AK76=summaryref2!B35,summaryref2!I35,IF(AK76=summaryref2!B49,summaryref2!I49,IF(AK76=summaryref2!B63,summaryref2!I63,IF(AK76=summaryref2!B77,summaryref2!I77,IF(AK76=summaryref2!B91,summaryref2!I91,IF(AK76=summaryref2!B105,summaryref2!I105,IF(AK76=summaryref2!B119,summaryref2!I119,IF(AK76=summaryref2!B133,summaryref2!I133,IF(AK76=summaryref2!B147,summaryref2!I147,"")))))))))))</f>
        <v/>
      </c>
      <c r="AT76" s="1125" t="str">
        <f>IF('A-80 DirEntInv'!AT75&lt;&gt;"",'A-80 DirEntInv'!AT75,IF(AK76=summaryref2!B21,summaryref2!J21,IF(Summary!AK76=summaryref2!B35,summaryref2!J35,IF(AK76=summaryref2!B49,summaryref2!J49,IF(AK76=summaryref2!B63,summaryref2!J63,IF(AK76=summaryref2!B77,summaryref2!J77,IF(AK76=summaryref2!B91,summaryref2!J91,IF(AK76=summaryref2!B105,summaryref2!J105,IF(AK76=summaryref2!B119,summaryref2!J119,IF(AK76=summaryref2!B133,summaryref2!J133,IF(AK76=summaryref2!B147,summaryref2!J147,"")))))))))))</f>
        <v/>
      </c>
      <c r="AU76" s="1125" t="str">
        <f>IF('A-80 DirEntInv'!AU75&lt;&gt;"",'A-80 DirEntInv'!AU75,IF(AK76=summaryref2!B21,summaryref2!K21,IF(Summary!AK76=summaryref2!B35,summaryref2!K35,IF(AK76=summaryref2!B49,summaryref2!K49,IF(AK76=summaryref2!B63,summaryref2!K63,IF(AK76=summaryref2!B77,summaryref2!K77,IF(AK76=summaryref2!B91,summaryref2!K91,IF(AK76=summaryref2!B105,summaryref2!K105,IF(AK76=summaryref2!B119,summaryref2!K119,IF(AK76=summaryref2!B133,summaryref2!K133,IF(AK76=summaryref2!B147,summaryref2!K147,"")))))))))))</f>
        <v/>
      </c>
      <c r="AV76" s="1125" t="str">
        <f>IF('A-80 DirEntInv'!AV75&lt;&gt;"",'A-80 DirEntInv'!AV75,IF(AK76=summaryref2!B21,summaryref2!L21,IF(Summary!AK76=summaryref2!B35,summaryref2!L35,IF(AK76=summaryref2!B49,summaryref2!L49,IF(AK76=summaryref2!B63,summaryref2!L63,IF(AK76=summaryref2!B77,summaryref2!L77,IF(AK76=summaryref2!B91,summaryref2!L91,IF(AK76=summaryref2!B105,summaryref2!L105,IF(AK76=summaryref2!B119,summaryref2!L119,IF(AK76=summaryref2!B133,summaryref2!L133,IF(AK76=summaryref2!B147,summaryref2!L147,"")))))))))))</f>
        <v/>
      </c>
      <c r="AW76" s="1125" t="str">
        <f>IF('A-80 DirEntInv'!AW75&lt;&gt;"",'A-80 DirEntInv'!AW75,IF(AK76=summaryref2!B21,summaryref2!M21,IF(Summary!AK76=summaryref2!B35,summaryref2!M35,IF(AK76=summaryref2!B49,summaryref2!M49,IF(AK76=summaryref2!B63,summaryref2!M63,IF(AK76=summaryref2!B77,summaryref2!M77,IF(AK76=summaryref2!B91,summaryref2!M91,IF(AK76=summaryref2!B105,summaryref2!M105,IF(AK76=summaryref2!B119,summaryref2!M119,IF(AK76=summaryref2!B133,summaryref2!M133,IF(AK76=summaryref2!B147,summaryref2!M147,"")))))))))))</f>
        <v/>
      </c>
      <c r="AX76" s="1125" t="str">
        <f>IF('A-80 DirEntInv'!AX75&lt;&gt;"",'A-80 DirEntInv'!AX75,IF(AK76=summaryref2!B21,summaryref2!N21,IF(Summary!AK76=summaryref2!B35,summaryref2!N35,IF(AK76=summaryref2!B49,summaryref2!N49,IF(AK76=summaryref2!B63,summaryref2!N63,IF(AK76=summaryref2!B77,summaryref2!N77,IF(AK76=summaryref2!B91,summaryref2!N91,IF(AK76=summaryref2!B105,summaryref2!N105,IF(AK76=summaryref2!B119,summaryref2!N119,IF(AK76=summaryref2!B133,summaryref2!N133,IF(AK76=summaryref2!B147,summaryref2!N147,"")))))))))))</f>
        <v/>
      </c>
      <c r="AY76" s="1125" t="str">
        <f>IF('A-80 DirEntInv'!AY75&lt;&gt;"",'A-80 DirEntInv'!AY75,IF(AK76=summaryref2!B21,summaryref2!O21,IF(Summary!AK76=summaryref2!B35,summaryref2!O35,IF(AK76=summaryref2!B49,summaryref2!O49,IF(AK76=summaryref2!B63,summaryref2!O63,IF(AK76=summaryref2!B77,summaryref2!O77,IF(AK76=summaryref2!B91,summaryref2!O91,IF(AK76=summaryref2!B105,summaryref2!O105,IF(AK76=summaryref2!B119,summaryref2!O119,IF(AK76=summaryref2!B133,summaryref2!O133,IF(AK76=summaryref2!B147,summaryref2!O147,"")))))))))))</f>
        <v/>
      </c>
      <c r="AZ76" s="1125" t="str">
        <f>IF('A-80 DirEntInv'!AZ75&lt;&gt;"",'A-80 DirEntInv'!AZ75,IF(AK76=summaryref2!B21,summaryref2!P21,IF(Summary!AK76=summaryref2!B35,summaryref2!P35,IF(AK76=summaryref2!B49,summaryref2!P49,IF(AK76=summaryref2!B63,summaryref2!P63,IF(AK76=summaryref2!B77,summaryref2!P77,IF(AK76=summaryref2!B91,summaryref2!P91,IF(AK76=summaryref2!B105,summaryref2!P105,IF(AK76=summaryref2!B119,summaryref2!P119,IF(AK76=summaryref2!B133,summaryref2!P133,IF(AK76=summaryref2!B147,summaryref2!P147,"")))))))))))</f>
        <v/>
      </c>
      <c r="BA76" s="1125" t="str">
        <f>IF('A-80 DirEntInv'!BA75&lt;&gt;"",'A-80 DirEntInv'!BA75,IF(AK76=summaryref2!B21,summaryref2!Q21,IF(Summary!AK76=summaryref2!B35,summaryref2!Q35,IF(AK76=summaryref2!B49,summaryref2!Q49,IF(AK76=summaryref2!B63,summaryref2!Q63,IF(AK76=summaryref2!B77,summaryref2!Q77,IF(AK76=summaryref2!B91,summaryref2!Q91,IF(AK76=summaryref2!B105,summaryref2!Q105,IF(AK76=summaryref2!B119,summaryref2!Q119,IF(AK76=summaryref2!B133,summaryref2!Q133,IF(AK76=summaryref2!B147,summaryref2!Q147,"")))))))))))</f>
        <v/>
      </c>
      <c r="BB76" s="1125" t="str">
        <f>IF('A-80 DirEntInv'!BB75&lt;&gt;"",'A-80 DirEntInv'!BB75,IF(AK76=summaryref2!B21,summaryref2!R21,IF(Summary!AK76=summaryref2!B35,summaryref2!R35,IF(AK76=summaryref2!B49,summaryref2!R49,IF(AK76=summaryref2!B63,summaryref2!R63,IF(AK76=summaryref2!B77,summaryref2!R77,IF(AK76=summaryref2!B91,summaryref2!R91,IF(AK76=summaryref2!B105,summaryref2!R105,IF(AK76=summaryref2!B119,summaryref2!R119,IF(AK76=summaryref2!B133,summaryref2!R133,IF(AK76=summaryref2!B147,summaryref2!R147,"")))))))))))</f>
        <v/>
      </c>
      <c r="BC76" s="1125" t="str">
        <f>IF('A-80 DirEntInv'!BC75&lt;&gt;0,'A-80 DirEntInv'!BC75,IF(AK76=summaryref2!B21,summaryref2!S21,IF(Summary!AK76=summaryref2!B35,summaryref2!S35,IF(AK76=summaryref2!B49,summaryref2!S49,IF(AK76=summaryref2!B63,summaryref2!S63,IF(AK76=summaryref2!B77,summaryref2!S77,IF(AK76=summaryref2!B91,summaryref2!S91,IF(AK76=summaryref2!B105,summaryref2!S105,IF(AK76=summaryref2!B119,summaryref2!S119,IF(AK76=summaryref2!B133,summaryref2!S133,IF(AK76=summaryref2!B147,summaryref2!S147,"")))))))))))</f>
        <v/>
      </c>
      <c r="BD76" s="1126" t="str">
        <f>IF('A-80 DirEntInv'!BD75&lt;&gt;"",'A-80 DirEntInv'!BD75,IF(AK76=summaryref2!B21,summaryref2!T21,IF(Summary!AK76=summaryref2!B35,summaryref2!T35,IF(AK76=summaryref2!B49,summaryref2!T49,IF(AK76=summaryref2!B63,summaryref2!T63,IF(AK76=summaryref2!B77,summaryref2!T77,IF(AK76=summaryref2!B91,summaryref2!T91,IF(AK76=summaryref2!B105,summaryref2!T105,IF(AK76=summaryref2!B119,summaryref2!T119,IF(AK76=summaryref2!B133,summaryref2!T133,IF(AK76=summaryref2!B147,summaryref2!T147,"")))))))))))</f>
        <v/>
      </c>
      <c r="BE76" s="1183" t="str">
        <f>IF('A-80 DirEntInv'!BE75&lt;&gt;"",'A-80 DirEntInv'!BE75,IF(AK76=summaryref2!B21,summaryref2!U21,IF(Summary!AK76=summaryref2!B35,summaryref2!U35,IF(AK76=summaryref2!B49,summaryref2!U49,IF(AK76=summaryref2!B63,summaryref2!U63,IF(AK76=summaryref2!B77,summaryref2!U77,IF(AK76=summaryref2!B91,summaryref2!U91,IF(AK76=summaryref2!B105,summaryref2!U105,IF(AK76=summaryref2!B119,summaryref2!U119,IF(AK76=summaryref2!B133,summaryref2!U133,IF(AK76=summaryref2!B147,summaryref2!U147,"")))))))))))</f>
        <v/>
      </c>
      <c r="BF76" s="1432"/>
      <c r="BG76" s="1432"/>
      <c r="BJ76" s="1045" t="str">
        <f>Codes!$C$165</f>
        <v>LR - Light Rail (DO)</v>
      </c>
      <c r="BK76" s="1046" t="str">
        <f>Valid!$B$82</f>
        <v>Double Diamond Crossover</v>
      </c>
      <c r="BL76" s="1368" t="str">
        <f>IF('A-80 DirEntInv'!BL75&lt;&gt;"",'A-80 DirEntInv'!BL75,IF(BJ76=summaryref2!X14,summaryref2!Z14,IF(BJ76=summaryref2!X21,summaryref2!Z21,IF(BJ76=summaryref2!X28,summaryref2!Z28,IF(BJ76=summaryref2!X35,summaryref2!Z35,IF(BJ76=summaryref2!X42,summaryref2!Z42,IF(BJ76=summaryref2!X49,summaryref2!Z49,IF(BJ76=summaryref2!X56,summaryref2!Z56,IF(BJ76=summaryref2!X63,summaryref2!Z63,IF(BJ76=summaryref2!X70,summaryref2!Z70,IF(BJ76=summaryref2!X77,summaryref2!Z77,"")))))))))))</f>
        <v/>
      </c>
      <c r="BM76" s="1046" t="str">
        <f>VLOOKUP(BK76,Valid!$B$80:$C$86,2,FALSE)</f>
        <v>Each</v>
      </c>
      <c r="BN76" s="1325" t="str">
        <f>IF('A-80 DirEntInv'!BN75&lt;&gt;"",'A-80 DirEntInv'!BN75,IF(BJ76=summaryref2!X14,summaryref2!AB14,IF(BJ76=summaryref2!X21,summaryref2!AB21,IF(BJ76=summaryref2!X28,summaryref2!AB28,IF(BJ76=summaryref2!X35,summaryref2!AB35,IF(BJ76=summaryref2!X42,summaryref2!AB42,IF(BJ76=summaryref2!X49,summaryref2!AB49,IF(BJ76=summaryref2!X56,summaryref2!AB56,IF(BJ76=summaryref2!X63,summaryref2!AB63,IF(BJ76=summaryref2!X70,summaryref2!AB70,IF(BJ76=summaryref2!X77,summaryref2!AB77,"")))))))))))</f>
        <v/>
      </c>
      <c r="BO76" s="1327" t="str">
        <f>IF('A-80 DirEntInv'!BO75&lt;&gt;"",'A-80 DirEntInv'!BO75,IF(BJ76=summaryref2!X14,summaryref2!AC14,IF(BJ76=summaryref2!X21,summaryref2!AC21,IF(BJ76=summaryref2!X28,summaryref2!AC28,IF(BJ76=summaryref2!X35,summaryref2!AC35,IF(BJ76=summaryref2!X42,summaryref2!AC42,IF(BJ76=summaryref2!X49,summaryref2!AC49,IF(BJ76=summaryref2!X56,summaryref2!AC56,IF(BJ76=summaryref2!X63,summaryref2!AC63,IF(BJ76=summaryref2!X70,summaryref2!AC70,IF(BJ76=summaryref2!X77,summaryref2!AC77,"")))))))))))</f>
        <v/>
      </c>
      <c r="BP76" s="1322" t="str">
        <f>IF('A-80 DirEntInv'!BP75&lt;&gt;"",'A-80 DirEntInv'!BP75,IF(BJ76=summaryref2!X14,summaryref2!AD14,IF(BJ76=summaryref2!X21,summaryref2!AD21,IF(BJ76=summaryref2!X28,summaryref2!AD28,IF(BJ76=summaryref2!X35,summaryref2!AD35,IF(BJ76=summaryref2!X42,summaryref2!AD42,IF(BJ76=summaryref2!X49,summaryref2!AD49,IF(BJ76=summaryref2!X56,summaryref2!AD56,IF(BJ76=summaryref2!X63,summaryref2!AD63,IF(BJ76=summaryref2!X70,summaryref2!AD70,IF(BJ76=summaryref2!X77,summaryref2!AD77,"")))))))))))</f>
        <v/>
      </c>
      <c r="BS76" s="1472" t="str">
        <f ca="1">IF('A-80 DirEntInv'!BU75&lt;&gt;"",'A-80 DirEntInv'!BU75,IF(INDIRECT(ADDRESS(SumRef!DK82,SumRef!DK$16,,,SumRef!$E$6))="","",INDIRECT(ADDRESS(SumRef!DK82,SumRef!DK$16,,,SumRef!$E$6))))</f>
        <v/>
      </c>
      <c r="BT76" s="1458" t="str">
        <f ca="1">IF('A-80 DirEntInv'!BV75&lt;&gt;"",'A-80 DirEntInv'!BV75,IF(INDIRECT(ADDRESS(SumRef!DL82,SumRef!DL$16,,,SumRef!$E$6))="","",INDIRECT(ADDRESS(SumRef!DL82,SumRef!DL$16,,,SumRef!$E$6))))</f>
        <v/>
      </c>
      <c r="BU76" s="1177" t="str">
        <f ca="1">IF('A-80 DirEntInv'!BW75&lt;&gt;"",'A-80 DirEntInv'!BW75,IF(INDIRECT(ADDRESS(SumRef!DM82,SumRef!DM$16,,,SumRef!$E$6))="","",INDIRECT(ADDRESS(SumRef!DM82,SumRef!DM$16,,,SumRef!$E$6))))</f>
        <v/>
      </c>
      <c r="BV76" s="1460" t="str">
        <f ca="1">IF('A-80 DirEntInv'!BX75&lt;&gt;"",'A-80 DirEntInv'!BX75,IF(INDIRECT(ADDRESS(SumRef!DN82,SumRef!DN$16,,,SumRef!$E$6))="","",INDIRECT(ADDRESS(SumRef!DN82,SumRef!DN$16,,,SumRef!$E$6))))</f>
        <v/>
      </c>
      <c r="BW76" s="1460" t="str">
        <f ca="1">IF('A-80 DirEntInv'!BY75&lt;&gt;"",'A-80 DirEntInv'!BY75,IF(INDIRECT(ADDRESS(SumRef!DO82,SumRef!DO$16,,,SumRef!$E$6))="","",INDIRECT(ADDRESS(SumRef!DO82,SumRef!DO$16,,,SumRef!$E$6))))</f>
        <v/>
      </c>
      <c r="BX76" s="1116" t="str">
        <f ca="1">IF('A-80 DirEntInv'!BZ75&lt;&gt;"",'A-80 DirEntInv'!BZ75,IF(INDIRECT(ADDRESS(SumRef!DP82,SumRef!DP$16,,,SumRef!$E$6))="","",INDIRECT(ADDRESS(SumRef!DP82,SumRef!DP$16,,,SumRef!$E$6))))</f>
        <v/>
      </c>
      <c r="BY76" s="1461" t="str">
        <f ca="1">IF('A-80 DirEntInv'!CA75&lt;&gt;"",'A-80 DirEntInv'!CA75,IF(INDIRECT(ADDRESS(SumRef!DQ82,SumRef!DQ$16,,,SumRef!$E$6))="","",INDIRECT(ADDRESS(SumRef!DQ82,SumRef!DQ$16,,,SumRef!$E$6))))</f>
        <v/>
      </c>
      <c r="BZ76" s="1460" t="str">
        <f ca="1">IF('A-80 DirEntInv'!CB75&lt;&gt;"",'A-80 DirEntInv'!CB75,IF(INDIRECT(ADDRESS(SumRef!DR82,SumRef!DR$16,,,SumRef!$E$6))="","",INDIRECT(ADDRESS(SumRef!DR82,SumRef!DR$16,,,SumRef!$E$6))))</f>
        <v/>
      </c>
      <c r="CA76" s="1462" t="str">
        <f ca="1">IF('A-80 DirEntInv'!CC75&lt;&gt;"",'A-80 DirEntInv'!CC75,IF(INDIRECT(ADDRESS(SumRef!DS82,SumRef!DS$16,,,SumRef!$E$6))="","",INDIRECT(ADDRESS(SumRef!DS82,SumRef!DS$16,,,SumRef!$E$6))))</f>
        <v/>
      </c>
      <c r="CD76" s="1160" t="str">
        <f ca="1">IF('A-80 DirEntInv'!CF75&lt;&gt;"",'A-80 DirEntInv'!CF75,IF(INDIRECT(ADDRESS(SumRef!DV82,SumRef!DV$16,,,SumRef!$E$7))="","",INDIRECT(ADDRESS(SumRef!DV82,SumRef!DV$16,,,SumRef!$E$7))))</f>
        <v/>
      </c>
      <c r="CE76" s="1167" t="str">
        <f ca="1">IF('A-80 DirEntInv'!CG75&lt;&gt;"",'A-80 DirEntInv'!CG75,IF(INDIRECT(ADDRESS(SumRef!DW82,SumRef!DW$16,,,SumRef!$E$7))="","",INDIRECT(ADDRESS(SumRef!DW82,SumRef!DW$16,,,SumRef!$E$7))))</f>
        <v/>
      </c>
      <c r="CF76" s="1167" t="str">
        <f ca="1">IF('A-80 DirEntInv'!CH75&lt;&gt;"",'A-80 DirEntInv'!CH75,IF(INDIRECT(ADDRESS(SumRef!DX82,SumRef!DX$16,,,SumRef!$E$7))="","",INDIRECT(ADDRESS(SumRef!DX82,SumRef!DX$16,,,SumRef!$E$7))))</f>
        <v/>
      </c>
      <c r="CG76" s="1167" t="str">
        <f ca="1">IF('A-80 DirEntInv'!CI75&lt;&gt;"",'A-80 DirEntInv'!CI75,IF(INDIRECT(ADDRESS(SumRef!DY82,SumRef!DY$16,,,SumRef!$E$7))="","",INDIRECT(ADDRESS(SumRef!DY82,SumRef!DY$16,,,SumRef!$E$7))))</f>
        <v/>
      </c>
      <c r="CH76" s="1167" t="str">
        <f ca="1">IF('A-80 DirEntInv'!CJ75&lt;&gt;"",'A-80 DirEntInv'!CJ75,IF(INDIRECT(ADDRESS(SumRef!DZ82,SumRef!DZ$16,,,SumRef!$E$7))="","",INDIRECT(ADDRESS(SumRef!DZ82,SumRef!DZ$16,,,SumRef!$E$7))))</f>
        <v/>
      </c>
      <c r="CI76" s="1167" t="str">
        <f ca="1">IF('A-80 DirEntInv'!CK75&lt;&gt;"",'A-80 DirEntInv'!CK75,IF(INDIRECT(ADDRESS(SumRef!EA82,SumRef!EA$16,,,SumRef!$E$7))="","",INDIRECT(ADDRESS(SumRef!EA82,SumRef!EA$16,,,SumRef!$E$7))))</f>
        <v/>
      </c>
      <c r="CJ76" s="1114" t="str">
        <f ca="1">IF('A-80 DirEntInv'!CL75&lt;&gt;"",'A-80 DirEntInv'!CL75,IF(INDIRECT(ADDRESS(SumRef!EB82,SumRef!EB$16,,,SumRef!$E$7))="","",INDIRECT(ADDRESS(SumRef!EB82,SumRef!EB$16,,,SumRef!$E$7))))</f>
        <v/>
      </c>
      <c r="CK76" s="1114" t="str">
        <f ca="1">IF('A-80 DirEntInv'!CM75&lt;&gt;"",'A-80 DirEntInv'!CM75,IF(INDIRECT(ADDRESS(SumRef!EC82,SumRef!EC$16,,,SumRef!$E$7))="","",INDIRECT(ADDRESS(SumRef!EC82,SumRef!EC$16,,,SumRef!$E$7))))</f>
        <v/>
      </c>
      <c r="CL76" s="1113" t="str">
        <f ca="1">IF('A-80 DirEntInv'!CO75&lt;&gt;"",'A-80 DirEntInv'!CO75,IF(INDIRECT(ADDRESS(SumRef!ED82,SumRef!ED$16,,,SumRef!$E$7))="","",INDIRECT(ADDRESS(SumRef!ED82,SumRef!ED$16,,,SumRef!$E$7))))</f>
        <v/>
      </c>
      <c r="CM76" s="1114" t="str">
        <f ca="1">IF('A-80 DirEntInv'!CP75&lt;&gt;"",'A-80 DirEntInv'!CP75,IF(INDIRECT(ADDRESS(SumRef!EE82,SumRef!EE$16,,,SumRef!$E$7))="","",INDIRECT(ADDRESS(SumRef!EE82,SumRef!EE$16,,,SumRef!$E$7))))</f>
        <v/>
      </c>
      <c r="CN76" s="1114" t="str">
        <f ca="1">IF('A-80 DirEntInv'!CQ75&lt;&gt;"",'A-80 DirEntInv'!CQ75,IF(INDIRECT(ADDRESS(SumRef!EF82,SumRef!EF$16,,,SumRef!$E$7))="","",INDIRECT(ADDRESS(SumRef!EF82,SumRef!EF$16,,,SumRef!$E$7))))</f>
        <v/>
      </c>
      <c r="CO76" s="1113" t="str">
        <f ca="1">IF('A-80 DirEntInv'!CR75&lt;&gt;"",'A-80 DirEntInv'!CR75,IF(INDIRECT(ADDRESS(SumRef!EG82,SumRef!EG$16,,,SumRef!$E$7))="","",INDIRECT(ADDRESS(SumRef!EG82,SumRef!EG$16,,,SumRef!$E$7))))</f>
        <v/>
      </c>
      <c r="CP76" s="1114" t="str">
        <f ca="1">IF('A-80 DirEntInv'!CS75&lt;&gt;"",'A-80 DirEntInv'!CS75,IF(INDIRECT(ADDRESS(SumRef!EH82,SumRef!EH$16,,,SumRef!$E$7))="","",INDIRECT(ADDRESS(SumRef!EH82,SumRef!EH$16,,,SumRef!$E$7))))</f>
        <v/>
      </c>
      <c r="CQ76" s="1346" t="str">
        <f ca="1">IF('A-80 DirEntInv'!CT75&lt;&gt;"",'A-80 DirEntInv'!CT75,IF(INDIRECT(ADDRESS(SumRef!EI82,SumRef!EI$16,,,SumRef!$E$7))="","",INDIRECT(ADDRESS(SumRef!EI82,SumRef!EI$16,,,SumRef!$E$7))))</f>
        <v/>
      </c>
      <c r="CR76" s="1113" t="str">
        <f ca="1">IF('A-80 DirEntInv'!CU75&lt;&gt;"",'A-80 DirEntInv'!CU75,IF(INDIRECT(ADDRESS(SumRef!EJ82,SumRef!EJ$16,,,SumRef!$E$7))="","",INDIRECT(ADDRESS(SumRef!EJ82,SumRef!EJ$16,,,SumRef!$E$7))))</f>
        <v/>
      </c>
      <c r="CS76" s="1346" t="str">
        <f ca="1">IF('A-80 DirEntInv'!CV75&lt;&gt;"",'A-80 DirEntInv'!CV75,IF(INDIRECT(ADDRESS(SumRef!EM82,SumRef!EM$16,,,SumRef!$E$7))="","",INDIRECT(ADDRESS(SumRef!EM82,SumRef!EM$16,,,SumRef!$E$7))))</f>
        <v/>
      </c>
      <c r="CT76" s="1113" t="str">
        <f ca="1">IF('A-80 DirEntInv'!CW75&lt;&gt;"",'A-80 DirEntInv'!CW75,IF(INDIRECT(ADDRESS(SumRef!EN82,SumRef!EN$16,,,SumRef!$E$7))="","",INDIRECT(ADDRESS(SumRef!EN82,SumRef!EN$16,,,SumRef!$E$7))))</f>
        <v/>
      </c>
      <c r="CU76" s="1113" t="str">
        <f ca="1">IF('A-80 DirEntInv'!CX75&lt;&gt;"",'A-80 DirEntInv'!CX75,IF(INDIRECT(ADDRESS(SumRef!EO82,SumRef!EO$16,,,SumRef!$E$7))="","",INDIRECT(ADDRESS(SumRef!EO82,SumRef!EO$16,,,SumRef!$E$7))))</f>
        <v/>
      </c>
      <c r="CV76" s="1113" t="str">
        <f ca="1">IF('A-80 DirEntInv'!CY75&lt;&gt;"",'A-80 DirEntInv'!CY75,IF(INDIRECT(ADDRESS(SumRef!EP82,SumRef!EP$16,,,SumRef!$E$7))="","",INDIRECT(ADDRESS(SumRef!EP82,SumRef!EP$16,,,SumRef!$E$7))))</f>
        <v/>
      </c>
      <c r="CW76" s="1114" t="str">
        <f ca="1">IF('A-80 DirEntInv'!CZ75&lt;&gt;"",'A-80 DirEntInv'!CZ75,IF(INDIRECT(ADDRESS(SumRef!ES82,SumRef!ES$16,,,SumRef!$E$7))="","",INDIRECT(ADDRESS(SumRef!ES82,SumRef!ES$16,,,SumRef!$E$7))))</f>
        <v/>
      </c>
      <c r="CX76" s="1167" t="str">
        <f ca="1">IF('A-80 DirEntInv'!DA75&lt;&gt;"",'A-80 DirEntInv'!DA75,IF(INDIRECT(ADDRESS(SumRef!ET82,SumRef!ET$16,,,SumRef!$E$7))="","",INDIRECT(ADDRESS(SumRef!ET82,SumRef!ET$16,,,SumRef!$E$7))))</f>
        <v/>
      </c>
      <c r="CY76" s="1167" t="str">
        <f ca="1">IF('A-80 DirEntInv'!DB75&lt;&gt;"",'A-80 DirEntInv'!DB75,IF(INDIRECT(ADDRESS(SumRef!EU82,SumRef!EU$16,,,SumRef!$E$7))="","",INDIRECT(ADDRESS(SumRef!EU82,SumRef!EU$16,,,SumRef!$E$7))))</f>
        <v/>
      </c>
      <c r="CZ76" s="1167" t="b">
        <f ca="1">IF('A-80 DirEntInv'!DC75&lt;&gt;"",'A-80 DirEntInv'!DC75,IF(INDIRECT(ADDRESS(SumRef!EV82,SumRef!EV$16,,,SumRef!$E$7))="","",INDIRECT(ADDRESS(SumRef!EV82,SumRef!EV$16,,,SumRef!$E$7))))</f>
        <v>0</v>
      </c>
      <c r="DA76" s="1373" t="str">
        <f ca="1">IF('A-80 DirEntInv'!DD75&lt;&gt;"",'A-80 DirEntInv'!DD75,IF(INDIRECT(ADDRESS(SumRef!EW82,SumRef!EW$16,,,SumRef!$E$7))="","",INDIRECT(ADDRESS(SumRef!EW82,SumRef!EW$16,,,SumRef!$E$7))))</f>
        <v/>
      </c>
      <c r="DB76" s="1373" t="b">
        <f ca="1">IF('A-80 DirEntInv'!DE75&lt;&gt;"",'A-80 DirEntInv'!DE75,IF(INDIRECT(ADDRESS(SumRef!EX82,SumRef!EX$16,,,SumRef!$E$7))="","",INDIRECT(ADDRESS(SumRef!EX82,SumRef!EX$16,,,SumRef!$E$7))))</f>
        <v>0</v>
      </c>
      <c r="DC76" s="1114" t="b">
        <f ca="1">IF('A-80 DirEntInv'!DF75&lt;&gt;"",'A-80 DirEntInv'!DF75,IF(INDIRECT(ADDRESS(SumRef!EY82,SumRef!EY$16,,,SumRef!$E$7))="","",INDIRECT(ADDRESS(SumRef!EY82,SumRef!EY$16,,,SumRef!$E$7))))</f>
        <v>0</v>
      </c>
      <c r="DD76" s="1115" t="str">
        <f ca="1">IF('A-80 DirEntInv'!DG75&lt;&gt;"",'A-80 DirEntInv'!DG75,IF(INDIRECT(ADDRESS(SumRef!EZ82,SumRef!EZ$16,,,SumRef!$E$7))="","",INDIRECT(ADDRESS(SumRef!EZ82,SumRef!EZ$16,,,SumRef!$E$7))))</f>
        <v/>
      </c>
    </row>
    <row r="77" spans="1:108" s="588" customFormat="1" x14ac:dyDescent="0.2">
      <c r="A77" s="589">
        <f t="shared" ref="A77:A140" si="1">A76+1</f>
        <v>67</v>
      </c>
      <c r="B77" s="1155" t="str">
        <f ca="1">IF('A-80 DirEntInv'!B76&lt;&gt;"",'A-80 DirEntInv'!B76,IF(INDIRECT(ADDRESS(SumRef!AQ83,SumRef!AQ$16,,,SumRef!$B$7))="","",INDIRECT(ADDRESS(SumRef!AQ83,SumRef!AQ$16,,,SumRef!$B$7))))</f>
        <v/>
      </c>
      <c r="C77" s="1097" t="str">
        <f ca="1">IF('A-80 DirEntInv'!C76&lt;&gt;"",'A-80 DirEntInv'!C76,IF(INDIRECT(ADDRESS(SumRef!AR83,SumRef!AR$16,,,SumRef!$B$7))="","",INDIRECT(ADDRESS(SumRef!AR83,SumRef!AR$16,,,SumRef!$B$7))))</f>
        <v/>
      </c>
      <c r="D77" s="1097" t="str">
        <f ca="1">IF('A-80 DirEntInv'!D76&lt;&gt;"",'A-80 DirEntInv'!D76,IF(INDIRECT(ADDRESS(SumRef!AS83,SumRef!AS$16,,,SumRef!$B$7))="","",INDIRECT(ADDRESS(SumRef!AS83,SumRef!AS$16,,,SumRef!$B$7))))</f>
        <v/>
      </c>
      <c r="E77" s="1097" t="str">
        <f ca="1">IF('A-80 DirEntInv'!E76&lt;&gt;"",'A-80 DirEntInv'!E76,IF(INDIRECT(ADDRESS(SumRef!AT83,SumRef!AT$16,,,SumRef!$B$7))="","",INDIRECT(ADDRESS(SumRef!AT83,SumRef!AT$16,,,SumRef!$B$7))))</f>
        <v/>
      </c>
      <c r="F77" s="1097" t="str">
        <f ca="1">IF('A-80 DirEntInv'!F76&lt;&gt;"",'A-80 DirEntInv'!F76,IF(INDIRECT(ADDRESS(SumRef!AU83,SumRef!AU$16,,,SumRef!$B$7))="","",INDIRECT(ADDRESS(SumRef!AU83,SumRef!AU$16,,,SumRef!$B$7))))</f>
        <v/>
      </c>
      <c r="G77" s="1158" t="str">
        <f ca="1">IF('A-80 DirEntInv'!G76&lt;&gt;"",'A-80 DirEntInv'!G76,IF(INDIRECT(ADDRESS(SumRef!AV83,SumRef!AV$16,,,SumRef!$B$7))="","",INDIRECT(ADDRESS(SumRef!AV83,SumRef!AV$16,,,SumRef!$B$7))))</f>
        <v/>
      </c>
      <c r="H77" s="1097" t="str">
        <f ca="1">IF('A-80 DirEntInv'!H76&lt;&gt;"",'A-80 DirEntInv'!H76,IF(INDIRECT(ADDRESS(SumRef!AW83,SumRef!AW$16,,,SumRef!$B$7))="","",INDIRECT(ADDRESS(SumRef!AW83,SumRef!AW$16,,,SumRef!$B$7))))</f>
        <v/>
      </c>
      <c r="I77" s="1097" t="str">
        <f ca="1">IF('A-80 DirEntInv'!I76&lt;&gt;"",'A-80 DirEntInv'!I76,IF(INDIRECT(ADDRESS(SumRef!AX83,SumRef!AX$16,,,SumRef!$B$7))="","",INDIRECT(ADDRESS(SumRef!AX83,SumRef!AX$16,,,SumRef!$B$7))))</f>
        <v/>
      </c>
      <c r="J77" s="1098" t="str">
        <f ca="1">IF('A-80 DirEntInv'!J76&lt;&gt;"",'A-80 DirEntInv'!J76,IF(INDIRECT(ADDRESS(SumRef!AY83,SumRef!AY$16,,,SumRef!$B$7))="","",INDIRECT(ADDRESS(SumRef!AY83,SumRef!AY$16,,,SumRef!$B$7))))</f>
        <v/>
      </c>
      <c r="K77" s="1099" t="str">
        <f ca="1">IF('A-80 DirEntInv'!K76&lt;&gt;"",'A-80 DirEntInv'!K76,IF(INDIRECT(ADDRESS(SumRef!AZ83,SumRef!AZ$16,,,SumRef!$B$7))="","",INDIRECT(ADDRESS(SumRef!AZ83,SumRef!AZ$16,,,SumRef!$B$7))))</f>
        <v/>
      </c>
      <c r="L77" s="1100" t="str">
        <f ca="1">IF('A-80 DirEntInv'!L76&lt;&gt;"",'A-80 DirEntInv'!L76,IF(INDIRECT(ADDRESS(SumRef!BA83,SumRef!BA$16,,,SumRef!$B$7))="","",INDIRECT(ADDRESS(SumRef!BA83,SumRef!BA$16,,,SumRef!$B$7))))</f>
        <v/>
      </c>
      <c r="M77" s="1101" t="str">
        <f ca="1">IF('A-80 DirEntInv'!M76&lt;&gt;"",'A-80 DirEntInv'!M76,IF(INDIRECT(ADDRESS(SumRef!BB83,SumRef!BB$16,,,SumRef!$B$7))="","",INDIRECT(ADDRESS(SumRef!BB83,SumRef!BB$16,,,SumRef!$B$7))))</f>
        <v/>
      </c>
      <c r="N77" s="1098" t="str">
        <f ca="1">IF('A-80 DirEntInv'!N76&lt;&gt;"",'A-80 DirEntInv'!N76,IF(INDIRECT(ADDRESS(SumRef!BC83,SumRef!BC$16,,,SumRef!$B$7))="","",INDIRECT(ADDRESS(SumRef!BC83,SumRef!BC$16,,,SumRef!$B$7))))</f>
        <v/>
      </c>
      <c r="O77" s="1102" t="str">
        <f ca="1">IF('A-80 DirEntInv'!O76&lt;&gt;"",'A-80 DirEntInv'!O76,IF(INDIRECT(ADDRESS(SumRef!BD83,SumRef!BD$16,,,SumRef!$B$7))="","",INDIRECT(ADDRESS(SumRef!BD83,SumRef!BD$16,,,SumRef!$B$7))))</f>
        <v/>
      </c>
      <c r="Q77" s="589"/>
      <c r="R77" s="1103" t="str">
        <f ca="1">IF('A-80 DirEntInv'!R76&lt;&gt;"",'A-80 DirEntInv'!R76,IF(INDIRECT(ADDRESS(SumRef!BH83,SumRef!BH$16,,,SumRef!$B$8))="","",INDIRECT(ADDRESS(SumRef!BH83,SumRef!BH$16,,,SumRef!$B$8))))</f>
        <v/>
      </c>
      <c r="S77" s="1104" t="str">
        <f ca="1">IF('A-80 DirEntInv'!S76&lt;&gt;"",'A-80 DirEntInv'!S76,IF(INDIRECT(ADDRESS(SumRef!BI83,SumRef!BI$16,,,SumRef!$B$8))="","",INDIRECT(ADDRESS(SumRef!BI83,SumRef!BI$16,,,SumRef!$B$8))))</f>
        <v/>
      </c>
      <c r="T77" s="1104" t="str">
        <f ca="1">IF('A-80 DirEntInv'!T76&lt;&gt;"",'A-80 DirEntInv'!T76,IF(INDIRECT(ADDRESS(SumRef!BJ83,SumRef!BJ$16,,,SumRef!$B$8))="","",INDIRECT(ADDRESS(SumRef!BJ83,SumRef!BJ$16,,,SumRef!$B$8))))</f>
        <v/>
      </c>
      <c r="U77" s="1104" t="str">
        <f ca="1">IF('A-80 DirEntInv'!U76&lt;&gt;"",'A-80 DirEntInv'!U76,IF(INDIRECT(ADDRESS(SumRef!BK83,SumRef!BK$16,,,SumRef!$B$8))="","",INDIRECT(ADDRESS(SumRef!BK83,SumRef!BK$16,,,SumRef!$B$8))))</f>
        <v/>
      </c>
      <c r="V77" s="1104" t="str">
        <f ca="1">IF('A-80 DirEntInv'!V76&lt;&gt;"",'A-80 DirEntInv'!V76,IF(INDIRECT(ADDRESS(SumRef!BL83,SumRef!BL$16,,,SumRef!$B$8))="","",INDIRECT(ADDRESS(SumRef!BL83,SumRef!BL$16,,,SumRef!$B$8))))</f>
        <v/>
      </c>
      <c r="W77" s="1354" t="str">
        <f ca="1">IF('A-80 DirEntInv'!W76&lt;&gt;"",'A-80 DirEntInv'!W76,IF(INDIRECT(ADDRESS(SumRef!BM83,SumRef!BM$16,,,SumRef!$B$8))="","",INDIRECT(ADDRESS(SumRef!BM83,SumRef!BM$16,,,SumRef!$B$8))))</f>
        <v/>
      </c>
      <c r="X77" s="1203" t="str">
        <f ca="1">IF('A-80 DirEntInv'!X76&lt;&gt;"",'A-80 DirEntInv'!X76,IF(INDIRECT(ADDRESS(SumRef!BN83,SumRef!BN$16,,,SumRef!$B$8))="","",INDIRECT(ADDRESS(SumRef!BN83,SumRef!BN$16,,,SumRef!$B$8))))</f>
        <v/>
      </c>
      <c r="Y77" s="1203" t="str">
        <f ca="1">IF('A-80 DirEntInv'!Y76&lt;&gt;"",'A-80 DirEntInv'!Y76,IF(INDIRECT(ADDRESS(SumRef!BO83,SumRef!BO$16,,,SumRef!$B$8))="","",INDIRECT(ADDRESS(SumRef!BO83,SumRef!BO$16,,,SumRef!$B$8))))</f>
        <v/>
      </c>
      <c r="Z77" s="1104" t="str">
        <f ca="1">IF('A-80 DirEntInv'!Z76&lt;&gt;"",'A-80 DirEntInv'!Z76,IF(INDIRECT(ADDRESS(SumRef!BP83,SumRef!BP$16,,,SumRef!$B$8))="","",INDIRECT(ADDRESS(SumRef!BP83,SumRef!BP$16,,,SumRef!$B$8))))</f>
        <v/>
      </c>
      <c r="AA77" s="1104" t="str">
        <f ca="1">IF('A-80 DirEntInv'!AA76&lt;&gt;"",'A-80 DirEntInv'!AA76,IF(INDIRECT(ADDRESS(SumRef!BQ83,SumRef!BQ$16,,,SumRef!$B$8))="","",INDIRECT(ADDRESS(SumRef!BQ83,SumRef!BQ$16,,,SumRef!$B$8))))</f>
        <v/>
      </c>
      <c r="AB77" s="1106" t="str">
        <f ca="1">IF('A-80 DirEntInv'!AB76&lt;&gt;"",'A-80 DirEntInv'!AB76,IF(INDIRECT(ADDRESS(SumRef!BR83,SumRef!BR$16,,,SumRef!$B$8))="","",INDIRECT(ADDRESS(SumRef!BR83,SumRef!BR$16,,,SumRef!$B$8))))</f>
        <v/>
      </c>
      <c r="AC77" s="1107" t="str">
        <f ca="1">IF('A-80 DirEntInv'!AC76&lt;&gt;"",'A-80 DirEntInv'!AC76,IF(INDIRECT(ADDRESS(SumRef!BS83,SumRef!BS$16,,,SumRef!$B$8))="","",INDIRECT(ADDRESS(SumRef!BS83,SumRef!BS$16,,,SumRef!$B$8))))</f>
        <v/>
      </c>
      <c r="AD77" s="1349" t="str">
        <f ca="1">IF('A-80 DirEntInv'!AD76&lt;&gt;"",'A-80 DirEntInv'!AD76,IF(INDIRECT(ADDRESS(SumRef!BT83,SumRef!BT$16,,,SumRef!$B$8))="","",INDIRECT(ADDRESS(SumRef!BT83,SumRef!BT$16,,,SumRef!$B$8))))</f>
        <v/>
      </c>
      <c r="AE77" s="1137" t="str">
        <f ca="1">IF('A-80 DirEntInv'!AE76&lt;&gt;"",'A-80 DirEntInv'!AE76,IF(INDIRECT(ADDRESS(SumRef!BU83,SumRef!BU$16,,,SumRef!$B$8))="","",INDIRECT(ADDRESS(SumRef!BU83,SumRef!BU$16,,,SumRef!$B$8))))</f>
        <v/>
      </c>
      <c r="AF77" s="1346" t="str">
        <f ca="1">IF('A-80 DirEntInv'!AF76&lt;&gt;"",'A-80 DirEntInv'!AF76,IF(INDIRECT(ADDRESS(SumRef!BV83,SumRef!BV$16,,,SumRef!$B$8))="","",INDIRECT(ADDRESS(SumRef!BV83,SumRef!BV$16,,,SumRef!$B$8))))</f>
        <v/>
      </c>
      <c r="AG77" s="1105" t="str">
        <f ca="1">IF('A-80 DirEntInv'!AG76&lt;&gt;"",'A-80 DirEntInv'!AG76,IF(INDIRECT(ADDRESS(SumRef!BW83,SumRef!BW$16,,,SumRef!$B$8))="","",INDIRECT(ADDRESS(SumRef!BW83,SumRef!BW$16,,,SumRef!$B$8))))</f>
        <v/>
      </c>
      <c r="AH77" s="1357" t="str">
        <f ca="1">IF('A-80 DirEntInv'!AH76&lt;&gt;"",'A-80 DirEntInv'!AH76,IF(INDIRECT(ADDRESS(SumRef!BX83,SumRef!BX$16,,,SumRef!$B$8))="","",INDIRECT(ADDRESS(SumRef!BX83,SumRef!BX$16,,,SumRef!$B$8))))</f>
        <v/>
      </c>
      <c r="AK77" s="1041" t="str">
        <f>Codes!$C$160</f>
        <v>CC - Cable Car (PT)</v>
      </c>
      <c r="AL77" s="1042" t="str">
        <f>Valid!$B$88</f>
        <v>Substation Equipment</v>
      </c>
      <c r="AM77" s="1187"/>
      <c r="AN77" s="1046"/>
      <c r="AO77" s="1187"/>
      <c r="AP77" s="1046"/>
      <c r="AQ77" s="1147" t="str">
        <f>IF('A-80 DirEntInv'!AQ76&lt;&gt;"",'A-80 DirEntInv'!AQ76,IF(AK77=summaryref2!B22,summaryref2!G22,IF(Summary!AK77=summaryref2!B36,summaryref2!G36,IF(AK77=summaryref2!B50,summaryref2!G50,IF(AK77=summaryref2!B64,summaryref2!G64,IF(AK77=summaryref2!B78,summaryref2!G78,IF(AK77=summaryref2!B92,summaryref2!G92,IF(AK77=summaryref2!B106,summaryref2!G106,IF(AK77=summaryref2!B120,summaryref2!G120,IF(AK77=summaryref2!B134,summaryref2!G134,IF(AK77=summaryref2!B148,summaryref2!G148,"")))))))))))</f>
        <v/>
      </c>
      <c r="AR77" s="1147" t="str">
        <f>IF('A-80 DirEntInv'!AR76&lt;&gt;"",'A-80 DirEntInv'!AR76,IF(AK77=summaryref2!B22,summaryref2!H22,IF(Summary!AK77=summaryref2!B36,summaryref2!H36,IF(AK77=summaryref2!B50,summaryref2!H50,IF(AK77=summaryref2!B64,summaryref2!H64,IF(AK77=summaryref2!B78,summaryref2!H78,IF(AK77=summaryref2!B92,summaryref2!H92,IF(AK77=summaryref2!B106,summaryref2!H106,IF(AK77=summaryref2!B120,summaryref2!H120,IF(AK77=summaryref2!B134,summaryref2!H134,IF(AK77=summaryref2!B148,summaryref2!H148,"")))))))))))</f>
        <v/>
      </c>
      <c r="AS77" s="1110" t="str">
        <f>IF('A-80 DirEntInv'!AS76&lt;&gt;"",'A-80 DirEntInv'!AS76,IF(AK77=summaryref2!B22,summaryref2!I22,IF(Summary!AK77=summaryref2!B36,summaryref2!I36,IF(AK77=summaryref2!B50,summaryref2!I50,IF(AK77=summaryref2!B64,summaryref2!I64,IF(AK77=summaryref2!B78,summaryref2!I78,IF(AK77=summaryref2!B92,summaryref2!I92,IF(AK77=summaryref2!B106,summaryref2!I106,IF(AK77=summaryref2!B120,summaryref2!I120,IF(AK77=summaryref2!B134,summaryref2!I134,IF(AK77=summaryref2!B148,summaryref2!I148,"")))))))))))</f>
        <v/>
      </c>
      <c r="AT77" s="1110" t="str">
        <f>IF('A-80 DirEntInv'!AT76&lt;&gt;"",'A-80 DirEntInv'!AT76,IF(AK77=summaryref2!B22,summaryref2!J22,IF(Summary!AK77=summaryref2!B36,summaryref2!J36,IF(AK77=summaryref2!B50,summaryref2!J50,IF(AK77=summaryref2!B64,summaryref2!J64,IF(AK77=summaryref2!B78,summaryref2!J78,IF(AK77=summaryref2!B92,summaryref2!J92,IF(AK77=summaryref2!B106,summaryref2!J106,IF(AK77=summaryref2!B120,summaryref2!J120,IF(AK77=summaryref2!B134,summaryref2!J134,IF(AK77=summaryref2!B148,summaryref2!J148,"")))))))))))</f>
        <v/>
      </c>
      <c r="AU77" s="1110" t="str">
        <f>IF('A-80 DirEntInv'!AU76&lt;&gt;"",'A-80 DirEntInv'!AU76,IF(AK77=summaryref2!B22,summaryref2!K22,IF(Summary!AK77=summaryref2!B36,summaryref2!K36,IF(AK77=summaryref2!B50,summaryref2!K50,IF(AK77=summaryref2!B64,summaryref2!K64,IF(AK77=summaryref2!B78,summaryref2!K78,IF(AK77=summaryref2!B92,summaryref2!K92,IF(AK77=summaryref2!B106,summaryref2!K106,IF(AK77=summaryref2!B120,summaryref2!K120,IF(AK77=summaryref2!B134,summaryref2!K134,IF(AK77=summaryref2!B148,summaryref2!K148,"")))))))))))</f>
        <v/>
      </c>
      <c r="AV77" s="1110" t="str">
        <f>IF('A-80 DirEntInv'!AV76&lt;&gt;"",'A-80 DirEntInv'!AV76,IF(AK77=summaryref2!B22,summaryref2!L22,IF(Summary!AK77=summaryref2!B36,summaryref2!L36,IF(AK77=summaryref2!B50,summaryref2!L50,IF(AK77=summaryref2!B64,summaryref2!L64,IF(AK77=summaryref2!B78,summaryref2!L78,IF(AK77=summaryref2!B92,summaryref2!L92,IF(AK77=summaryref2!B106,summaryref2!L106,IF(AK77=summaryref2!B120,summaryref2!L120,IF(AK77=summaryref2!B134,summaryref2!L134,IF(AK77=summaryref2!B148,summaryref2!L148,"")))))))))))</f>
        <v/>
      </c>
      <c r="AW77" s="1110" t="str">
        <f>IF('A-80 DirEntInv'!AW76&lt;&gt;"",'A-80 DirEntInv'!AW76,IF(AK77=summaryref2!B22,summaryref2!M22,IF(Summary!AK77=summaryref2!B36,summaryref2!M36,IF(AK77=summaryref2!B50,summaryref2!M50,IF(AK77=summaryref2!B64,summaryref2!M64,IF(AK77=summaryref2!B78,summaryref2!M78,IF(AK77=summaryref2!B92,summaryref2!M92,IF(AK77=summaryref2!B106,summaryref2!M106,IF(AK77=summaryref2!B120,summaryref2!M120,IF(AK77=summaryref2!B134,summaryref2!M134,IF(AK77=summaryref2!B148,summaryref2!M148,"")))))))))))</f>
        <v/>
      </c>
      <c r="AX77" s="1110" t="str">
        <f>IF('A-80 DirEntInv'!AX76&lt;&gt;"",'A-80 DirEntInv'!AX76,IF(AK77=summaryref2!B22,summaryref2!N22,IF(Summary!AK77=summaryref2!B36,summaryref2!N36,IF(AK77=summaryref2!B50,summaryref2!N50,IF(AK77=summaryref2!B64,summaryref2!N64,IF(AK77=summaryref2!B78,summaryref2!N78,IF(AK77=summaryref2!B92,summaryref2!N92,IF(AK77=summaryref2!B106,summaryref2!N106,IF(AK77=summaryref2!B120,summaryref2!N120,IF(AK77=summaryref2!B134,summaryref2!N134,IF(AK77=summaryref2!B148,summaryref2!N148,"")))))))))))</f>
        <v/>
      </c>
      <c r="AY77" s="1110" t="str">
        <f>IF('A-80 DirEntInv'!AY76&lt;&gt;"",'A-80 DirEntInv'!AY76,IF(AK77=summaryref2!B22,summaryref2!O22,IF(Summary!AK77=summaryref2!B36,summaryref2!O36,IF(AK77=summaryref2!B50,summaryref2!O50,IF(AK77=summaryref2!B64,summaryref2!O64,IF(AK77=summaryref2!B78,summaryref2!O78,IF(AK77=summaryref2!B92,summaryref2!O92,IF(AK77=summaryref2!B106,summaryref2!O106,IF(AK77=summaryref2!B120,summaryref2!O120,IF(AK77=summaryref2!B134,summaryref2!O134,IF(AK77=summaryref2!B148,summaryref2!O148,"")))))))))))</f>
        <v/>
      </c>
      <c r="AZ77" s="1110" t="str">
        <f>IF('A-80 DirEntInv'!AZ76&lt;&gt;"",'A-80 DirEntInv'!AZ76,IF(AK77=summaryref2!B22,summaryref2!P22,IF(Summary!AK77=summaryref2!B36,summaryref2!P36,IF(AK77=summaryref2!B50,summaryref2!P50,IF(AK77=summaryref2!B64,summaryref2!P64,IF(AK77=summaryref2!B78,summaryref2!P78,IF(AK77=summaryref2!B92,summaryref2!P92,IF(AK77=summaryref2!B106,summaryref2!P106,IF(AK77=summaryref2!B120,summaryref2!P120,IF(AK77=summaryref2!B134,summaryref2!P134,IF(AK77=summaryref2!B148,summaryref2!P148,"")))))))))))</f>
        <v/>
      </c>
      <c r="BA77" s="1110" t="str">
        <f>IF('A-80 DirEntInv'!BA76&lt;&gt;"",'A-80 DirEntInv'!BA76,IF(AK77=summaryref2!B22,summaryref2!Q22,IF(Summary!AK77=summaryref2!B36,summaryref2!Q36,IF(AK77=summaryref2!B50,summaryref2!Q50,IF(AK77=summaryref2!B64,summaryref2!Q64,IF(AK77=summaryref2!B78,summaryref2!Q78,IF(AK77=summaryref2!B92,summaryref2!Q92,IF(AK77=summaryref2!B106,summaryref2!Q106,IF(AK77=summaryref2!B120,summaryref2!Q120,IF(AK77=summaryref2!B134,summaryref2!Q134,IF(AK77=summaryref2!B148,summaryref2!Q148,"")))))))))))</f>
        <v/>
      </c>
      <c r="BB77" s="1110" t="str">
        <f>IF('A-80 DirEntInv'!BB76&lt;&gt;"",'A-80 DirEntInv'!BB76,IF(AK77=summaryref2!B22,summaryref2!R22,IF(Summary!AK77=summaryref2!B36,summaryref2!R36,IF(AK77=summaryref2!B50,summaryref2!R50,IF(AK77=summaryref2!B64,summaryref2!R64,IF(AK77=summaryref2!B78,summaryref2!R78,IF(AK77=summaryref2!B92,summaryref2!R92,IF(AK77=summaryref2!B106,summaryref2!R106,IF(AK77=summaryref2!B120,summaryref2!R120,IF(AK77=summaryref2!B134,summaryref2!R134,IF(AK77=summaryref2!B148,summaryref2!R148,"")))))))))))</f>
        <v/>
      </c>
      <c r="BC77" s="1110" t="str">
        <f>IF('A-80 DirEntInv'!BC76&lt;&gt;0,'A-80 DirEntInv'!BC76,IF(AK77=summaryref2!B22,summaryref2!S22,IF(Summary!AK77=summaryref2!B36,summaryref2!S36,IF(AK77=summaryref2!B50,summaryref2!S50,IF(AK77=summaryref2!B64,summaryref2!S64,IF(AK77=summaryref2!B78,summaryref2!S78,IF(AK77=summaryref2!B92,summaryref2!S92,IF(AK77=summaryref2!B106,summaryref2!S106,IF(AK77=summaryref2!B120,summaryref2!S120,IF(AK77=summaryref2!B134,summaryref2!S134,IF(AK77=summaryref2!B148,summaryref2!S148,"")))))))))))</f>
        <v/>
      </c>
      <c r="BD77" s="1111" t="str">
        <f>IF('A-80 DirEntInv'!BD76&lt;&gt;"",'A-80 DirEntInv'!BD76,IF(AK77=summaryref2!B22,summaryref2!T22,IF(Summary!AK77=summaryref2!B36,summaryref2!T36,IF(AK77=summaryref2!B50,summaryref2!T50,IF(AK77=summaryref2!B64,summaryref2!T64,IF(AK77=summaryref2!B78,summaryref2!T78,IF(AK77=summaryref2!B92,summaryref2!T92,IF(AK77=summaryref2!B106,summaryref2!T106,IF(AK77=summaryref2!B120,summaryref2!T120,IF(AK77=summaryref2!B134,summaryref2!T134,IF(AK77=summaryref2!B148,summaryref2!T148,"")))))))))))</f>
        <v/>
      </c>
      <c r="BE77" s="1184" t="str">
        <f>IF('A-80 DirEntInv'!BE76&lt;&gt;"",'A-80 DirEntInv'!BE76,IF(AK77=summaryref2!B22,summaryref2!U22,IF(Summary!AK77=summaryref2!B36,summaryref2!U36,IF(AK77=summaryref2!B50,summaryref2!U50,IF(AK77=summaryref2!B64,summaryref2!U64,IF(AK77=summaryref2!B78,summaryref2!U78,IF(AK77=summaryref2!B92,summaryref2!U92,IF(AK77=summaryref2!B106,summaryref2!U106,IF(AK77=summaryref2!B120,summaryref2!U120,IF(AK77=summaryref2!B134,summaryref2!U134,IF(AK77=summaryref2!B148,summaryref2!U148,"")))))))))))</f>
        <v/>
      </c>
      <c r="BF77" s="1432"/>
      <c r="BG77" s="1432"/>
      <c r="BJ77" s="1041" t="str">
        <f>Codes!$C$165</f>
        <v>LR - Light Rail (DO)</v>
      </c>
      <c r="BK77" s="1042" t="str">
        <f>Valid!$B$83</f>
        <v>Single Crossover</v>
      </c>
      <c r="BL77" s="1375" t="str">
        <f>IF('A-80 DirEntInv'!BL76&lt;&gt;"",'A-80 DirEntInv'!BL76,IF(BJ77=summaryref2!X15,summaryref2!Z15,IF(BJ77=summaryref2!X22,summaryref2!Z22,IF(BJ77=summaryref2!X29,summaryref2!Z29,IF(BJ77=summaryref2!X36,summaryref2!Z36,IF(BJ77=summaryref2!X43,summaryref2!Z43,IF(BJ77=summaryref2!X50,summaryref2!Z50,IF(BJ77=summaryref2!X57,summaryref2!Z57,IF(BJ77=summaryref2!X64,summaryref2!Z64,IF(BJ77=summaryref2!X71,summaryref2!Z71,IF(BJ77=summaryref2!X78,summaryref2!Z78,"")))))))))))</f>
        <v/>
      </c>
      <c r="BM77" s="1042" t="str">
        <f>VLOOKUP(BK77,Valid!$B$80:$C$86,2,FALSE)</f>
        <v>Each</v>
      </c>
      <c r="BN77" s="1209" t="str">
        <f>IF('A-80 DirEntInv'!BN76&lt;&gt;"",'A-80 DirEntInv'!BN76,IF(BJ77=summaryref2!X15,summaryref2!AB15,IF(BJ77=summaryref2!X22,summaryref2!AB22,IF(BJ77=summaryref2!X29,summaryref2!AB29,IF(BJ77=summaryref2!X36,summaryref2!AB36,IF(BJ77=summaryref2!X43,summaryref2!AB43,IF(BJ77=summaryref2!X50,summaryref2!AB50,IF(BJ77=summaryref2!X57,summaryref2!AB57,IF(BJ77=summaryref2!X64,summaryref2!AB64,IF(BJ77=summaryref2!X71,summaryref2!AB71,IF(BJ77=summaryref2!X78,summaryref2!AB78,"")))))))))))</f>
        <v/>
      </c>
      <c r="BO77" s="1116" t="str">
        <f>IF('A-80 DirEntInv'!BO76&lt;&gt;"",'A-80 DirEntInv'!BO76,IF(BJ77=summaryref2!X15,summaryref2!AC15,IF(BJ77=summaryref2!X22,summaryref2!AC22,IF(BJ77=summaryref2!X29,summaryref2!AC29,IF(BJ77=summaryref2!X36,summaryref2!AC36,IF(BJ77=summaryref2!X43,summaryref2!AC43,IF(BJ77=summaryref2!X50,summaryref2!AC50,IF(BJ77=summaryref2!X57,summaryref2!AC57,IF(BJ77=summaryref2!X64,summaryref2!AC64,IF(BJ77=summaryref2!X71,summaryref2!AC71,IF(BJ77=summaryref2!X78,summaryref2!AC78,"")))))))))))</f>
        <v/>
      </c>
      <c r="BP77" s="1384" t="str">
        <f>IF('A-80 DirEntInv'!BP76&lt;&gt;"",'A-80 DirEntInv'!BP76,IF(BJ77=summaryref2!X15,summaryref2!AD15,IF(BJ77=summaryref2!X22,summaryref2!AD22,IF(BJ77=summaryref2!X29,summaryref2!AD29,IF(BJ77=summaryref2!X36,summaryref2!AD36,IF(BJ77=summaryref2!X43,summaryref2!AD43,IF(BJ77=summaryref2!X50,summaryref2!AD50,IF(BJ77=summaryref2!X57,summaryref2!AD57,IF(BJ77=summaryref2!X64,summaryref2!AD64,IF(BJ77=summaryref2!X71,summaryref2!AD71,IF(BJ77=summaryref2!X78,summaryref2!AD78,"")))))))))))</f>
        <v/>
      </c>
      <c r="BS77" s="1472" t="str">
        <f ca="1">IF('A-80 DirEntInv'!BU76&lt;&gt;"",'A-80 DirEntInv'!BU76,IF(INDIRECT(ADDRESS(SumRef!DK83,SumRef!DK$16,,,SumRef!$E$6))="","",INDIRECT(ADDRESS(SumRef!DK83,SumRef!DK$16,,,SumRef!$E$6))))</f>
        <v/>
      </c>
      <c r="BT77" s="1458" t="str">
        <f ca="1">IF('A-80 DirEntInv'!BV76&lt;&gt;"",'A-80 DirEntInv'!BV76,IF(INDIRECT(ADDRESS(SumRef!DL83,SumRef!DL$16,,,SumRef!$E$6))="","",INDIRECT(ADDRESS(SumRef!DL83,SumRef!DL$16,,,SumRef!$E$6))))</f>
        <v/>
      </c>
      <c r="BU77" s="1177" t="str">
        <f ca="1">IF('A-80 DirEntInv'!BW76&lt;&gt;"",'A-80 DirEntInv'!BW76,IF(INDIRECT(ADDRESS(SumRef!DM83,SumRef!DM$16,,,SumRef!$E$6))="","",INDIRECT(ADDRESS(SumRef!DM83,SumRef!DM$16,,,SumRef!$E$6))))</f>
        <v/>
      </c>
      <c r="BV77" s="1460" t="str">
        <f ca="1">IF('A-80 DirEntInv'!BX76&lt;&gt;"",'A-80 DirEntInv'!BX76,IF(INDIRECT(ADDRESS(SumRef!DN83,SumRef!DN$16,,,SumRef!$E$6))="","",INDIRECT(ADDRESS(SumRef!DN83,SumRef!DN$16,,,SumRef!$E$6))))</f>
        <v/>
      </c>
      <c r="BW77" s="1460" t="str">
        <f ca="1">IF('A-80 DirEntInv'!BY76&lt;&gt;"",'A-80 DirEntInv'!BY76,IF(INDIRECT(ADDRESS(SumRef!DO83,SumRef!DO$16,,,SumRef!$E$6))="","",INDIRECT(ADDRESS(SumRef!DO83,SumRef!DO$16,,,SumRef!$E$6))))</f>
        <v/>
      </c>
      <c r="BX77" s="1116" t="str">
        <f ca="1">IF('A-80 DirEntInv'!BZ76&lt;&gt;"",'A-80 DirEntInv'!BZ76,IF(INDIRECT(ADDRESS(SumRef!DP83,SumRef!DP$16,,,SumRef!$E$6))="","",INDIRECT(ADDRESS(SumRef!DP83,SumRef!DP$16,,,SumRef!$E$6))))</f>
        <v/>
      </c>
      <c r="BY77" s="1461" t="str">
        <f ca="1">IF('A-80 DirEntInv'!CA76&lt;&gt;"",'A-80 DirEntInv'!CA76,IF(INDIRECT(ADDRESS(SumRef!DQ83,SumRef!DQ$16,,,SumRef!$E$6))="","",INDIRECT(ADDRESS(SumRef!DQ83,SumRef!DQ$16,,,SumRef!$E$6))))</f>
        <v/>
      </c>
      <c r="BZ77" s="1460" t="str">
        <f ca="1">IF('A-80 DirEntInv'!CB76&lt;&gt;"",'A-80 DirEntInv'!CB76,IF(INDIRECT(ADDRESS(SumRef!DR83,SumRef!DR$16,,,SumRef!$E$6))="","",INDIRECT(ADDRESS(SumRef!DR83,SumRef!DR$16,,,SumRef!$E$6))))</f>
        <v/>
      </c>
      <c r="CA77" s="1462" t="str">
        <f ca="1">IF('A-80 DirEntInv'!CC76&lt;&gt;"",'A-80 DirEntInv'!CC76,IF(INDIRECT(ADDRESS(SumRef!DS83,SumRef!DS$16,,,SumRef!$E$6))="","",INDIRECT(ADDRESS(SumRef!DS83,SumRef!DS$16,,,SumRef!$E$6))))</f>
        <v/>
      </c>
      <c r="CD77" s="1160" t="str">
        <f ca="1">IF('A-80 DirEntInv'!CF76&lt;&gt;"",'A-80 DirEntInv'!CF76,IF(INDIRECT(ADDRESS(SumRef!DV83,SumRef!DV$16,,,SumRef!$E$7))="","",INDIRECT(ADDRESS(SumRef!DV83,SumRef!DV$16,,,SumRef!$E$7))))</f>
        <v/>
      </c>
      <c r="CE77" s="1167" t="str">
        <f ca="1">IF('A-80 DirEntInv'!CG76&lt;&gt;"",'A-80 DirEntInv'!CG76,IF(INDIRECT(ADDRESS(SumRef!DW83,SumRef!DW$16,,,SumRef!$E$7))="","",INDIRECT(ADDRESS(SumRef!DW83,SumRef!DW$16,,,SumRef!$E$7))))</f>
        <v/>
      </c>
      <c r="CF77" s="1167" t="str">
        <f ca="1">IF('A-80 DirEntInv'!CH76&lt;&gt;"",'A-80 DirEntInv'!CH76,IF(INDIRECT(ADDRESS(SumRef!DX83,SumRef!DX$16,,,SumRef!$E$7))="","",INDIRECT(ADDRESS(SumRef!DX83,SumRef!DX$16,,,SumRef!$E$7))))</f>
        <v/>
      </c>
      <c r="CG77" s="1167" t="str">
        <f ca="1">IF('A-80 DirEntInv'!CI76&lt;&gt;"",'A-80 DirEntInv'!CI76,IF(INDIRECT(ADDRESS(SumRef!DY83,SumRef!DY$16,,,SumRef!$E$7))="","",INDIRECT(ADDRESS(SumRef!DY83,SumRef!DY$16,,,SumRef!$E$7))))</f>
        <v/>
      </c>
      <c r="CH77" s="1167" t="str">
        <f ca="1">IF('A-80 DirEntInv'!CJ76&lt;&gt;"",'A-80 DirEntInv'!CJ76,IF(INDIRECT(ADDRESS(SumRef!DZ83,SumRef!DZ$16,,,SumRef!$E$7))="","",INDIRECT(ADDRESS(SumRef!DZ83,SumRef!DZ$16,,,SumRef!$E$7))))</f>
        <v/>
      </c>
      <c r="CI77" s="1167" t="str">
        <f ca="1">IF('A-80 DirEntInv'!CK76&lt;&gt;"",'A-80 DirEntInv'!CK76,IF(INDIRECT(ADDRESS(SumRef!EA83,SumRef!EA$16,,,SumRef!$E$7))="","",INDIRECT(ADDRESS(SumRef!EA83,SumRef!EA$16,,,SumRef!$E$7))))</f>
        <v/>
      </c>
      <c r="CJ77" s="1114" t="str">
        <f ca="1">IF('A-80 DirEntInv'!CL76&lt;&gt;"",'A-80 DirEntInv'!CL76,IF(INDIRECT(ADDRESS(SumRef!EB83,SumRef!EB$16,,,SumRef!$E$7))="","",INDIRECT(ADDRESS(SumRef!EB83,SumRef!EB$16,,,SumRef!$E$7))))</f>
        <v/>
      </c>
      <c r="CK77" s="1114" t="str">
        <f ca="1">IF('A-80 DirEntInv'!CM76&lt;&gt;"",'A-80 DirEntInv'!CM76,IF(INDIRECT(ADDRESS(SumRef!EC83,SumRef!EC$16,,,SumRef!$E$7))="","",INDIRECT(ADDRESS(SumRef!EC83,SumRef!EC$16,,,SumRef!$E$7))))</f>
        <v/>
      </c>
      <c r="CL77" s="1113" t="str">
        <f ca="1">IF('A-80 DirEntInv'!CO76&lt;&gt;"",'A-80 DirEntInv'!CO76,IF(INDIRECT(ADDRESS(SumRef!ED83,SumRef!ED$16,,,SumRef!$E$7))="","",INDIRECT(ADDRESS(SumRef!ED83,SumRef!ED$16,,,SumRef!$E$7))))</f>
        <v/>
      </c>
      <c r="CM77" s="1114" t="str">
        <f ca="1">IF('A-80 DirEntInv'!CP76&lt;&gt;"",'A-80 DirEntInv'!CP76,IF(INDIRECT(ADDRESS(SumRef!EE83,SumRef!EE$16,,,SumRef!$E$7))="","",INDIRECT(ADDRESS(SumRef!EE83,SumRef!EE$16,,,SumRef!$E$7))))</f>
        <v/>
      </c>
      <c r="CN77" s="1114" t="str">
        <f ca="1">IF('A-80 DirEntInv'!CQ76&lt;&gt;"",'A-80 DirEntInv'!CQ76,IF(INDIRECT(ADDRESS(SumRef!EF83,SumRef!EF$16,,,SumRef!$E$7))="","",INDIRECT(ADDRESS(SumRef!EF83,SumRef!EF$16,,,SumRef!$E$7))))</f>
        <v/>
      </c>
      <c r="CO77" s="1113" t="str">
        <f ca="1">IF('A-80 DirEntInv'!CR76&lt;&gt;"",'A-80 DirEntInv'!CR76,IF(INDIRECT(ADDRESS(SumRef!EG83,SumRef!EG$16,,,SumRef!$E$7))="","",INDIRECT(ADDRESS(SumRef!EG83,SumRef!EG$16,,,SumRef!$E$7))))</f>
        <v/>
      </c>
      <c r="CP77" s="1114" t="str">
        <f ca="1">IF('A-80 DirEntInv'!CS76&lt;&gt;"",'A-80 DirEntInv'!CS76,IF(INDIRECT(ADDRESS(SumRef!EH83,SumRef!EH$16,,,SumRef!$E$7))="","",INDIRECT(ADDRESS(SumRef!EH83,SumRef!EH$16,,,SumRef!$E$7))))</f>
        <v/>
      </c>
      <c r="CQ77" s="1346" t="str">
        <f ca="1">IF('A-80 DirEntInv'!CT76&lt;&gt;"",'A-80 DirEntInv'!CT76,IF(INDIRECT(ADDRESS(SumRef!EI83,SumRef!EI$16,,,SumRef!$E$7))="","",INDIRECT(ADDRESS(SumRef!EI83,SumRef!EI$16,,,SumRef!$E$7))))</f>
        <v/>
      </c>
      <c r="CR77" s="1113" t="str">
        <f ca="1">IF('A-80 DirEntInv'!CU76&lt;&gt;"",'A-80 DirEntInv'!CU76,IF(INDIRECT(ADDRESS(SumRef!EJ83,SumRef!EJ$16,,,SumRef!$E$7))="","",INDIRECT(ADDRESS(SumRef!EJ83,SumRef!EJ$16,,,SumRef!$E$7))))</f>
        <v/>
      </c>
      <c r="CS77" s="1346" t="str">
        <f ca="1">IF('A-80 DirEntInv'!CV76&lt;&gt;"",'A-80 DirEntInv'!CV76,IF(INDIRECT(ADDRESS(SumRef!EM83,SumRef!EM$16,,,SumRef!$E$7))="","",INDIRECT(ADDRESS(SumRef!EM83,SumRef!EM$16,,,SumRef!$E$7))))</f>
        <v/>
      </c>
      <c r="CT77" s="1113" t="str">
        <f ca="1">IF('A-80 DirEntInv'!CW76&lt;&gt;"",'A-80 DirEntInv'!CW76,IF(INDIRECT(ADDRESS(SumRef!EN83,SumRef!EN$16,,,SumRef!$E$7))="","",INDIRECT(ADDRESS(SumRef!EN83,SumRef!EN$16,,,SumRef!$E$7))))</f>
        <v/>
      </c>
      <c r="CU77" s="1113" t="str">
        <f ca="1">IF('A-80 DirEntInv'!CX76&lt;&gt;"",'A-80 DirEntInv'!CX76,IF(INDIRECT(ADDRESS(SumRef!EO83,SumRef!EO$16,,,SumRef!$E$7))="","",INDIRECT(ADDRESS(SumRef!EO83,SumRef!EO$16,,,SumRef!$E$7))))</f>
        <v/>
      </c>
      <c r="CV77" s="1113" t="str">
        <f ca="1">IF('A-80 DirEntInv'!CY76&lt;&gt;"",'A-80 DirEntInv'!CY76,IF(INDIRECT(ADDRESS(SumRef!EP83,SumRef!EP$16,,,SumRef!$E$7))="","",INDIRECT(ADDRESS(SumRef!EP83,SumRef!EP$16,,,SumRef!$E$7))))</f>
        <v/>
      </c>
      <c r="CW77" s="1114" t="str">
        <f ca="1">IF('A-80 DirEntInv'!CZ76&lt;&gt;"",'A-80 DirEntInv'!CZ76,IF(INDIRECT(ADDRESS(SumRef!ES83,SumRef!ES$16,,,SumRef!$E$7))="","",INDIRECT(ADDRESS(SumRef!ES83,SumRef!ES$16,,,SumRef!$E$7))))</f>
        <v/>
      </c>
      <c r="CX77" s="1167" t="str">
        <f ca="1">IF('A-80 DirEntInv'!DA76&lt;&gt;"",'A-80 DirEntInv'!DA76,IF(INDIRECT(ADDRESS(SumRef!ET83,SumRef!ET$16,,,SumRef!$E$7))="","",INDIRECT(ADDRESS(SumRef!ET83,SumRef!ET$16,,,SumRef!$E$7))))</f>
        <v/>
      </c>
      <c r="CY77" s="1167" t="str">
        <f ca="1">IF('A-80 DirEntInv'!DB76&lt;&gt;"",'A-80 DirEntInv'!DB76,IF(INDIRECT(ADDRESS(SumRef!EU83,SumRef!EU$16,,,SumRef!$E$7))="","",INDIRECT(ADDRESS(SumRef!EU83,SumRef!EU$16,,,SumRef!$E$7))))</f>
        <v/>
      </c>
      <c r="CZ77" s="1167" t="b">
        <f ca="1">IF('A-80 DirEntInv'!DC76&lt;&gt;"",'A-80 DirEntInv'!DC76,IF(INDIRECT(ADDRESS(SumRef!EV83,SumRef!EV$16,,,SumRef!$E$7))="","",INDIRECT(ADDRESS(SumRef!EV83,SumRef!EV$16,,,SumRef!$E$7))))</f>
        <v>0</v>
      </c>
      <c r="DA77" s="1373" t="str">
        <f ca="1">IF('A-80 DirEntInv'!DD76&lt;&gt;"",'A-80 DirEntInv'!DD76,IF(INDIRECT(ADDRESS(SumRef!EW83,SumRef!EW$16,,,SumRef!$E$7))="","",INDIRECT(ADDRESS(SumRef!EW83,SumRef!EW$16,,,SumRef!$E$7))))</f>
        <v/>
      </c>
      <c r="DB77" s="1373" t="b">
        <f ca="1">IF('A-80 DirEntInv'!DE76&lt;&gt;"",'A-80 DirEntInv'!DE76,IF(INDIRECT(ADDRESS(SumRef!EX83,SumRef!EX$16,,,SumRef!$E$7))="","",INDIRECT(ADDRESS(SumRef!EX83,SumRef!EX$16,,,SumRef!$E$7))))</f>
        <v>0</v>
      </c>
      <c r="DC77" s="1114" t="b">
        <f ca="1">IF('A-80 DirEntInv'!DF76&lt;&gt;"",'A-80 DirEntInv'!DF76,IF(INDIRECT(ADDRESS(SumRef!EY83,SumRef!EY$16,,,SumRef!$E$7))="","",INDIRECT(ADDRESS(SumRef!EY83,SumRef!EY$16,,,SumRef!$E$7))))</f>
        <v>0</v>
      </c>
      <c r="DD77" s="1115" t="str">
        <f ca="1">IF('A-80 DirEntInv'!DG76&lt;&gt;"",'A-80 DirEntInv'!DG76,IF(INDIRECT(ADDRESS(SumRef!EZ83,SumRef!EZ$16,,,SumRef!$E$7))="","",INDIRECT(ADDRESS(SumRef!EZ83,SumRef!EZ$16,,,SumRef!$E$7))))</f>
        <v/>
      </c>
    </row>
    <row r="78" spans="1:108" s="588" customFormat="1" x14ac:dyDescent="0.2">
      <c r="A78" s="589">
        <f t="shared" si="1"/>
        <v>68</v>
      </c>
      <c r="B78" s="1155" t="str">
        <f ca="1">IF('A-80 DirEntInv'!B77&lt;&gt;"",'A-80 DirEntInv'!B77,IF(INDIRECT(ADDRESS(SumRef!AQ84,SumRef!AQ$16,,,SumRef!$B$7))="","",INDIRECT(ADDRESS(SumRef!AQ84,SumRef!AQ$16,,,SumRef!$B$7))))</f>
        <v/>
      </c>
      <c r="C78" s="1097" t="str">
        <f ca="1">IF('A-80 DirEntInv'!C77&lt;&gt;"",'A-80 DirEntInv'!C77,IF(INDIRECT(ADDRESS(SumRef!AR84,SumRef!AR$16,,,SumRef!$B$7))="","",INDIRECT(ADDRESS(SumRef!AR84,SumRef!AR$16,,,SumRef!$B$7))))</f>
        <v/>
      </c>
      <c r="D78" s="1097" t="str">
        <f ca="1">IF('A-80 DirEntInv'!D77&lt;&gt;"",'A-80 DirEntInv'!D77,IF(INDIRECT(ADDRESS(SumRef!AS84,SumRef!AS$16,,,SumRef!$B$7))="","",INDIRECT(ADDRESS(SumRef!AS84,SumRef!AS$16,,,SumRef!$B$7))))</f>
        <v/>
      </c>
      <c r="E78" s="1097" t="str">
        <f ca="1">IF('A-80 DirEntInv'!E77&lt;&gt;"",'A-80 DirEntInv'!E77,IF(INDIRECT(ADDRESS(SumRef!AT84,SumRef!AT$16,,,SumRef!$B$7))="","",INDIRECT(ADDRESS(SumRef!AT84,SumRef!AT$16,,,SumRef!$B$7))))</f>
        <v/>
      </c>
      <c r="F78" s="1097" t="str">
        <f ca="1">IF('A-80 DirEntInv'!F77&lt;&gt;"",'A-80 DirEntInv'!F77,IF(INDIRECT(ADDRESS(SumRef!AU84,SumRef!AU$16,,,SumRef!$B$7))="","",INDIRECT(ADDRESS(SumRef!AU84,SumRef!AU$16,,,SumRef!$B$7))))</f>
        <v/>
      </c>
      <c r="G78" s="1158" t="str">
        <f ca="1">IF('A-80 DirEntInv'!G77&lt;&gt;"",'A-80 DirEntInv'!G77,IF(INDIRECT(ADDRESS(SumRef!AV84,SumRef!AV$16,,,SumRef!$B$7))="","",INDIRECT(ADDRESS(SumRef!AV84,SumRef!AV$16,,,SumRef!$B$7))))</f>
        <v/>
      </c>
      <c r="H78" s="1097" t="str">
        <f ca="1">IF('A-80 DirEntInv'!H77&lt;&gt;"",'A-80 DirEntInv'!H77,IF(INDIRECT(ADDRESS(SumRef!AW84,SumRef!AW$16,,,SumRef!$B$7))="","",INDIRECT(ADDRESS(SumRef!AW84,SumRef!AW$16,,,SumRef!$B$7))))</f>
        <v/>
      </c>
      <c r="I78" s="1097" t="str">
        <f ca="1">IF('A-80 DirEntInv'!I77&lt;&gt;"",'A-80 DirEntInv'!I77,IF(INDIRECT(ADDRESS(SumRef!AX84,SumRef!AX$16,,,SumRef!$B$7))="","",INDIRECT(ADDRESS(SumRef!AX84,SumRef!AX$16,,,SumRef!$B$7))))</f>
        <v/>
      </c>
      <c r="J78" s="1098" t="str">
        <f ca="1">IF('A-80 DirEntInv'!J77&lt;&gt;"",'A-80 DirEntInv'!J77,IF(INDIRECT(ADDRESS(SumRef!AY84,SumRef!AY$16,,,SumRef!$B$7))="","",INDIRECT(ADDRESS(SumRef!AY84,SumRef!AY$16,,,SumRef!$B$7))))</f>
        <v/>
      </c>
      <c r="K78" s="1099" t="str">
        <f ca="1">IF('A-80 DirEntInv'!K77&lt;&gt;"",'A-80 DirEntInv'!K77,IF(INDIRECT(ADDRESS(SumRef!AZ84,SumRef!AZ$16,,,SumRef!$B$7))="","",INDIRECT(ADDRESS(SumRef!AZ84,SumRef!AZ$16,,,SumRef!$B$7))))</f>
        <v/>
      </c>
      <c r="L78" s="1100" t="str">
        <f ca="1">IF('A-80 DirEntInv'!L77&lt;&gt;"",'A-80 DirEntInv'!L77,IF(INDIRECT(ADDRESS(SumRef!BA84,SumRef!BA$16,,,SumRef!$B$7))="","",INDIRECT(ADDRESS(SumRef!BA84,SumRef!BA$16,,,SumRef!$B$7))))</f>
        <v/>
      </c>
      <c r="M78" s="1101" t="str">
        <f ca="1">IF('A-80 DirEntInv'!M77&lt;&gt;"",'A-80 DirEntInv'!M77,IF(INDIRECT(ADDRESS(SumRef!BB84,SumRef!BB$16,,,SumRef!$B$7))="","",INDIRECT(ADDRESS(SumRef!BB84,SumRef!BB$16,,,SumRef!$B$7))))</f>
        <v/>
      </c>
      <c r="N78" s="1098" t="str">
        <f ca="1">IF('A-80 DirEntInv'!N77&lt;&gt;"",'A-80 DirEntInv'!N77,IF(INDIRECT(ADDRESS(SumRef!BC84,SumRef!BC$16,,,SumRef!$B$7))="","",INDIRECT(ADDRESS(SumRef!BC84,SumRef!BC$16,,,SumRef!$B$7))))</f>
        <v/>
      </c>
      <c r="O78" s="1102" t="str">
        <f ca="1">IF('A-80 DirEntInv'!O77&lt;&gt;"",'A-80 DirEntInv'!O77,IF(INDIRECT(ADDRESS(SumRef!BD84,SumRef!BD$16,,,SumRef!$B$7))="","",INDIRECT(ADDRESS(SumRef!BD84,SumRef!BD$16,,,SumRef!$B$7))))</f>
        <v/>
      </c>
      <c r="Q78" s="589"/>
      <c r="R78" s="1103" t="str">
        <f ca="1">IF('A-80 DirEntInv'!R77&lt;&gt;"",'A-80 DirEntInv'!R77,IF(INDIRECT(ADDRESS(SumRef!BH84,SumRef!BH$16,,,SumRef!$B$8))="","",INDIRECT(ADDRESS(SumRef!BH84,SumRef!BH$16,,,SumRef!$B$8))))</f>
        <v/>
      </c>
      <c r="S78" s="1104" t="str">
        <f ca="1">IF('A-80 DirEntInv'!S77&lt;&gt;"",'A-80 DirEntInv'!S77,IF(INDIRECT(ADDRESS(SumRef!BI84,SumRef!BI$16,,,SumRef!$B$8))="","",INDIRECT(ADDRESS(SumRef!BI84,SumRef!BI$16,,,SumRef!$B$8))))</f>
        <v/>
      </c>
      <c r="T78" s="1104" t="str">
        <f ca="1">IF('A-80 DirEntInv'!T77&lt;&gt;"",'A-80 DirEntInv'!T77,IF(INDIRECT(ADDRESS(SumRef!BJ84,SumRef!BJ$16,,,SumRef!$B$8))="","",INDIRECT(ADDRESS(SumRef!BJ84,SumRef!BJ$16,,,SumRef!$B$8))))</f>
        <v/>
      </c>
      <c r="U78" s="1104" t="str">
        <f ca="1">IF('A-80 DirEntInv'!U77&lt;&gt;"",'A-80 DirEntInv'!U77,IF(INDIRECT(ADDRESS(SumRef!BK84,SumRef!BK$16,,,SumRef!$B$8))="","",INDIRECT(ADDRESS(SumRef!BK84,SumRef!BK$16,,,SumRef!$B$8))))</f>
        <v/>
      </c>
      <c r="V78" s="1104" t="str">
        <f ca="1">IF('A-80 DirEntInv'!V77&lt;&gt;"",'A-80 DirEntInv'!V77,IF(INDIRECT(ADDRESS(SumRef!BL84,SumRef!BL$16,,,SumRef!$B$8))="","",INDIRECT(ADDRESS(SumRef!BL84,SumRef!BL$16,,,SumRef!$B$8))))</f>
        <v/>
      </c>
      <c r="W78" s="1354" t="str">
        <f ca="1">IF('A-80 DirEntInv'!W77&lt;&gt;"",'A-80 DirEntInv'!W77,IF(INDIRECT(ADDRESS(SumRef!BM84,SumRef!BM$16,,,SumRef!$B$8))="","",INDIRECT(ADDRESS(SumRef!BM84,SumRef!BM$16,,,SumRef!$B$8))))</f>
        <v/>
      </c>
      <c r="X78" s="1203" t="str">
        <f ca="1">IF('A-80 DirEntInv'!X77&lt;&gt;"",'A-80 DirEntInv'!X77,IF(INDIRECT(ADDRESS(SumRef!BN84,SumRef!BN$16,,,SumRef!$B$8))="","",INDIRECT(ADDRESS(SumRef!BN84,SumRef!BN$16,,,SumRef!$B$8))))</f>
        <v/>
      </c>
      <c r="Y78" s="1203" t="str">
        <f ca="1">IF('A-80 DirEntInv'!Y77&lt;&gt;"",'A-80 DirEntInv'!Y77,IF(INDIRECT(ADDRESS(SumRef!BO84,SumRef!BO$16,,,SumRef!$B$8))="","",INDIRECT(ADDRESS(SumRef!BO84,SumRef!BO$16,,,SumRef!$B$8))))</f>
        <v/>
      </c>
      <c r="Z78" s="1104" t="str">
        <f ca="1">IF('A-80 DirEntInv'!Z77&lt;&gt;"",'A-80 DirEntInv'!Z77,IF(INDIRECT(ADDRESS(SumRef!BP84,SumRef!BP$16,,,SumRef!$B$8))="","",INDIRECT(ADDRESS(SumRef!BP84,SumRef!BP$16,,,SumRef!$B$8))))</f>
        <v/>
      </c>
      <c r="AA78" s="1104" t="str">
        <f ca="1">IF('A-80 DirEntInv'!AA77&lt;&gt;"",'A-80 DirEntInv'!AA77,IF(INDIRECT(ADDRESS(SumRef!BQ84,SumRef!BQ$16,,,SumRef!$B$8))="","",INDIRECT(ADDRESS(SumRef!BQ84,SumRef!BQ$16,,,SumRef!$B$8))))</f>
        <v/>
      </c>
      <c r="AB78" s="1106" t="str">
        <f ca="1">IF('A-80 DirEntInv'!AB77&lt;&gt;"",'A-80 DirEntInv'!AB77,IF(INDIRECT(ADDRESS(SumRef!BR84,SumRef!BR$16,,,SumRef!$B$8))="","",INDIRECT(ADDRESS(SumRef!BR84,SumRef!BR$16,,,SumRef!$B$8))))</f>
        <v/>
      </c>
      <c r="AC78" s="1107" t="str">
        <f ca="1">IF('A-80 DirEntInv'!AC77&lt;&gt;"",'A-80 DirEntInv'!AC77,IF(INDIRECT(ADDRESS(SumRef!BS84,SumRef!BS$16,,,SumRef!$B$8))="","",INDIRECT(ADDRESS(SumRef!BS84,SumRef!BS$16,,,SumRef!$B$8))))</f>
        <v/>
      </c>
      <c r="AD78" s="1349" t="str">
        <f ca="1">IF('A-80 DirEntInv'!AD77&lt;&gt;"",'A-80 DirEntInv'!AD77,IF(INDIRECT(ADDRESS(SumRef!BT84,SumRef!BT$16,,,SumRef!$B$8))="","",INDIRECT(ADDRESS(SumRef!BT84,SumRef!BT$16,,,SumRef!$B$8))))</f>
        <v/>
      </c>
      <c r="AE78" s="1137" t="str">
        <f ca="1">IF('A-80 DirEntInv'!AE77&lt;&gt;"",'A-80 DirEntInv'!AE77,IF(INDIRECT(ADDRESS(SumRef!BU84,SumRef!BU$16,,,SumRef!$B$8))="","",INDIRECT(ADDRESS(SumRef!BU84,SumRef!BU$16,,,SumRef!$B$8))))</f>
        <v/>
      </c>
      <c r="AF78" s="1346" t="str">
        <f ca="1">IF('A-80 DirEntInv'!AF77&lt;&gt;"",'A-80 DirEntInv'!AF77,IF(INDIRECT(ADDRESS(SumRef!BV84,SumRef!BV$16,,,SumRef!$B$8))="","",INDIRECT(ADDRESS(SumRef!BV84,SumRef!BV$16,,,SumRef!$B$8))))</f>
        <v/>
      </c>
      <c r="AG78" s="1105" t="str">
        <f ca="1">IF('A-80 DirEntInv'!AG77&lt;&gt;"",'A-80 DirEntInv'!AG77,IF(INDIRECT(ADDRESS(SumRef!BW84,SumRef!BW$16,,,SumRef!$B$8))="","",INDIRECT(ADDRESS(SumRef!BW84,SumRef!BW$16,,,SumRef!$B$8))))</f>
        <v/>
      </c>
      <c r="AH78" s="1357" t="str">
        <f ca="1">IF('A-80 DirEntInv'!AH77&lt;&gt;"",'A-80 DirEntInv'!AH77,IF(INDIRECT(ADDRESS(SumRef!BX84,SumRef!BX$16,,,SumRef!$B$8))="","",INDIRECT(ADDRESS(SumRef!BX84,SumRef!BX$16,,,SumRef!$B$8))))</f>
        <v/>
      </c>
      <c r="AK78" s="1041" t="str">
        <f>Codes!$C$160</f>
        <v>CC - Cable Car (PT)</v>
      </c>
      <c r="AL78" s="1042" t="str">
        <f>Valid!$B$89</f>
        <v>Third Rail/Power Distribution</v>
      </c>
      <c r="AM78" s="1108"/>
      <c r="AN78" s="1042"/>
      <c r="AO78" s="1108"/>
      <c r="AP78" s="1042"/>
      <c r="AQ78" s="1147" t="str">
        <f>IF('A-80 DirEntInv'!AQ77&lt;&gt;"",'A-80 DirEntInv'!AQ77,IF(AK78=summaryref2!B23,summaryref2!G23,IF(Summary!AK78=summaryref2!B37,summaryref2!G37,IF(AK78=summaryref2!B51,summaryref2!G51,IF(AK78=summaryref2!B65,summaryref2!G65,IF(AK78=summaryref2!B79,summaryref2!G79,IF(AK78=summaryref2!B93,summaryref2!G93,IF(AK78=summaryref2!B107,summaryref2!G107,IF(AK78=summaryref2!B121,summaryref2!G121,IF(AK78=summaryref2!B135,summaryref2!G135,IF(AK78=summaryref2!B149,summaryref2!G149,"")))))))))))</f>
        <v/>
      </c>
      <c r="AR78" s="1147" t="str">
        <f>IF('A-80 DirEntInv'!AR77&lt;&gt;"",'A-80 DirEntInv'!AR77,IF(AK78=summaryref2!B23,summaryref2!H23,IF(Summary!AK78=summaryref2!B37,summaryref2!H37,IF(AK78=summaryref2!B51,summaryref2!H51,IF(AK78=summaryref2!B65,summaryref2!H65,IF(AK78=summaryref2!B79,summaryref2!H79,IF(AK78=summaryref2!B93,summaryref2!H93,IF(AK78=summaryref2!B107,summaryref2!H107,IF(AK78=summaryref2!B121,summaryref2!H121,IF(AK78=summaryref2!B135,summaryref2!H135,IF(AK78=summaryref2!B149,summaryref2!H149,"")))))))))))</f>
        <v/>
      </c>
      <c r="AS78" s="1110" t="str">
        <f>IF('A-80 DirEntInv'!AS77&lt;&gt;"",'A-80 DirEntInv'!AS77,IF(AK78=summaryref2!B23,summaryref2!I23,IF(Summary!AK78=summaryref2!B37,summaryref2!I37,IF(AK78=summaryref2!B51,summaryref2!I51,IF(AK78=summaryref2!B65,summaryref2!I65,IF(AK78=summaryref2!B79,summaryref2!I79,IF(AK78=summaryref2!B93,summaryref2!I93,IF(AK78=summaryref2!B107,summaryref2!I107,IF(AK78=summaryref2!B121,summaryref2!I121,IF(AK78=summaryref2!B135,summaryref2!I135,IF(AK78=summaryref2!B149,summaryref2!I149,"")))))))))))</f>
        <v/>
      </c>
      <c r="AT78" s="1110" t="str">
        <f>IF('A-80 DirEntInv'!AT77&lt;&gt;"",'A-80 DirEntInv'!AT77,IF(AK78=summaryref2!B23,summaryref2!J23,IF(Summary!AK78=summaryref2!B37,summaryref2!J37,IF(AK78=summaryref2!B51,summaryref2!J51,IF(AK78=summaryref2!B65,summaryref2!J65,IF(AK78=summaryref2!B79,summaryref2!J79,IF(AK78=summaryref2!B93,summaryref2!J93,IF(AK78=summaryref2!B107,summaryref2!J107,IF(AK78=summaryref2!B121,summaryref2!J121,IF(AK78=summaryref2!B135,summaryref2!J135,IF(AK78=summaryref2!B149,summaryref2!J149,"")))))))))))</f>
        <v/>
      </c>
      <c r="AU78" s="1110" t="str">
        <f>IF('A-80 DirEntInv'!AU77&lt;&gt;"",'A-80 DirEntInv'!AU77,IF(AK78=summaryref2!B23,summaryref2!K23,IF(Summary!AK78=summaryref2!B37,summaryref2!K37,IF(AK78=summaryref2!B51,summaryref2!K51,IF(AK78=summaryref2!B65,summaryref2!K65,IF(AK78=summaryref2!B79,summaryref2!K79,IF(AK78=summaryref2!B93,summaryref2!K93,IF(AK78=summaryref2!B107,summaryref2!K107,IF(AK78=summaryref2!B121,summaryref2!K121,IF(AK78=summaryref2!B135,summaryref2!K135,IF(AK78=summaryref2!B149,summaryref2!K149,"")))))))))))</f>
        <v/>
      </c>
      <c r="AV78" s="1110" t="str">
        <f>IF('A-80 DirEntInv'!AV77&lt;&gt;"",'A-80 DirEntInv'!AV77,IF(AK78=summaryref2!B23,summaryref2!L23,IF(Summary!AK78=summaryref2!B37,summaryref2!L37,IF(AK78=summaryref2!B51,summaryref2!L51,IF(AK78=summaryref2!B65,summaryref2!L65,IF(AK78=summaryref2!B79,summaryref2!L79,IF(AK78=summaryref2!B93,summaryref2!L93,IF(AK78=summaryref2!B107,summaryref2!L107,IF(AK78=summaryref2!B121,summaryref2!L121,IF(AK78=summaryref2!B135,summaryref2!L135,IF(AK78=summaryref2!B149,summaryref2!L149,"")))))))))))</f>
        <v/>
      </c>
      <c r="AW78" s="1110" t="str">
        <f>IF('A-80 DirEntInv'!AW77&lt;&gt;"",'A-80 DirEntInv'!AW77,IF(AK78=summaryref2!B23,summaryref2!M23,IF(Summary!AK78=summaryref2!B37,summaryref2!M37,IF(AK78=summaryref2!B51,summaryref2!M51,IF(AK78=summaryref2!B65,summaryref2!M65,IF(AK78=summaryref2!B79,summaryref2!M79,IF(AK78=summaryref2!B93,summaryref2!M93,IF(AK78=summaryref2!B107,summaryref2!M107,IF(AK78=summaryref2!B121,summaryref2!M121,IF(AK78=summaryref2!B135,summaryref2!M135,IF(AK78=summaryref2!B149,summaryref2!M149,"")))))))))))</f>
        <v/>
      </c>
      <c r="AX78" s="1110" t="str">
        <f>IF('A-80 DirEntInv'!AX77&lt;&gt;"",'A-80 DirEntInv'!AX77,IF(AK78=summaryref2!B23,summaryref2!N23,IF(Summary!AK78=summaryref2!B37,summaryref2!N37,IF(AK78=summaryref2!B51,summaryref2!N51,IF(AK78=summaryref2!B65,summaryref2!N65,IF(AK78=summaryref2!B79,summaryref2!N79,IF(AK78=summaryref2!B93,summaryref2!N93,IF(AK78=summaryref2!B107,summaryref2!N107,IF(AK78=summaryref2!B121,summaryref2!N121,IF(AK78=summaryref2!B135,summaryref2!N135,IF(AK78=summaryref2!B149,summaryref2!N149,"")))))))))))</f>
        <v/>
      </c>
      <c r="AY78" s="1110" t="str">
        <f>IF('A-80 DirEntInv'!AY77&lt;&gt;"",'A-80 DirEntInv'!AY77,IF(AK78=summaryref2!B23,summaryref2!O23,IF(Summary!AK78=summaryref2!B37,summaryref2!O37,IF(AK78=summaryref2!B51,summaryref2!O51,IF(AK78=summaryref2!B65,summaryref2!O65,IF(AK78=summaryref2!B79,summaryref2!O79,IF(AK78=summaryref2!B93,summaryref2!O93,IF(AK78=summaryref2!B107,summaryref2!O107,IF(AK78=summaryref2!B121,summaryref2!O121,IF(AK78=summaryref2!B135,summaryref2!O135,IF(AK78=summaryref2!B149,summaryref2!O149,"")))))))))))</f>
        <v/>
      </c>
      <c r="AZ78" s="1110" t="str">
        <f>IF('A-80 DirEntInv'!AZ77&lt;&gt;"",'A-80 DirEntInv'!AZ77,IF(AK78=summaryref2!B23,summaryref2!P23,IF(Summary!AK78=summaryref2!B37,summaryref2!P37,IF(AK78=summaryref2!B51,summaryref2!P51,IF(AK78=summaryref2!B65,summaryref2!P65,IF(AK78=summaryref2!B79,summaryref2!P79,IF(AK78=summaryref2!B93,summaryref2!P93,IF(AK78=summaryref2!B107,summaryref2!P107,IF(AK78=summaryref2!B121,summaryref2!P121,IF(AK78=summaryref2!B135,summaryref2!P135,IF(AK78=summaryref2!B149,summaryref2!P149,"")))))))))))</f>
        <v/>
      </c>
      <c r="BA78" s="1110" t="str">
        <f>IF('A-80 DirEntInv'!BA77&lt;&gt;"",'A-80 DirEntInv'!BA77,IF(AK78=summaryref2!B23,summaryref2!Q23,IF(Summary!AK78=summaryref2!B37,summaryref2!Q37,IF(AK78=summaryref2!B51,summaryref2!Q51,IF(AK78=summaryref2!B65,summaryref2!Q65,IF(AK78=summaryref2!B79,summaryref2!Q79,IF(AK78=summaryref2!B93,summaryref2!Q93,IF(AK78=summaryref2!B107,summaryref2!Q107,IF(AK78=summaryref2!B121,summaryref2!Q121,IF(AK78=summaryref2!B135,summaryref2!Q135,IF(AK78=summaryref2!B149,summaryref2!Q149,"")))))))))))</f>
        <v/>
      </c>
      <c r="BB78" s="1110" t="str">
        <f>IF('A-80 DirEntInv'!BB77&lt;&gt;"",'A-80 DirEntInv'!BB77,IF(AK78=summaryref2!B23,summaryref2!R23,IF(Summary!AK78=summaryref2!B37,summaryref2!R37,IF(AK78=summaryref2!B51,summaryref2!R51,IF(AK78=summaryref2!B65,summaryref2!R65,IF(AK78=summaryref2!B79,summaryref2!R79,IF(AK78=summaryref2!B93,summaryref2!R93,IF(AK78=summaryref2!B107,summaryref2!R107,IF(AK78=summaryref2!B121,summaryref2!R121,IF(AK78=summaryref2!B135,summaryref2!R135,IF(AK78=summaryref2!B149,summaryref2!R149,"")))))))))))</f>
        <v/>
      </c>
      <c r="BC78" s="1110" t="str">
        <f>IF('A-80 DirEntInv'!BC77&lt;&gt;0,'A-80 DirEntInv'!BC77,IF(AK78=summaryref2!B23,summaryref2!S23,IF(Summary!AK78=summaryref2!B37,summaryref2!S37,IF(AK78=summaryref2!B51,summaryref2!S51,IF(AK78=summaryref2!B65,summaryref2!S65,IF(AK78=summaryref2!B79,summaryref2!S79,IF(AK78=summaryref2!B93,summaryref2!S93,IF(AK78=summaryref2!B107,summaryref2!S107,IF(AK78=summaryref2!B121,summaryref2!S121,IF(AK78=summaryref2!B135,summaryref2!S135,IF(AK78=summaryref2!B149,summaryref2!S149,"")))))))))))</f>
        <v/>
      </c>
      <c r="BD78" s="1111" t="str">
        <f>IF('A-80 DirEntInv'!BD77&lt;&gt;"",'A-80 DirEntInv'!BD77,IF(AK78=summaryref2!B23,summaryref2!T23,IF(Summary!AK78=summaryref2!B37,summaryref2!T37,IF(AK78=summaryref2!B51,summaryref2!T51,IF(AK78=summaryref2!B65,summaryref2!T65,IF(AK78=summaryref2!B79,summaryref2!T79,IF(AK78=summaryref2!B93,summaryref2!T93,IF(AK78=summaryref2!B107,summaryref2!T107,IF(AK78=summaryref2!B121,summaryref2!T121,IF(AK78=summaryref2!B135,summaryref2!T135,IF(AK78=summaryref2!B149,summaryref2!T149,"")))))))))))</f>
        <v/>
      </c>
      <c r="BE78" s="1184" t="str">
        <f>IF('A-80 DirEntInv'!BE77&lt;&gt;"",'A-80 DirEntInv'!BE77,IF(AK78=summaryref2!B23,summaryref2!U23,IF(Summary!AK78=summaryref2!B37,summaryref2!U37,IF(AK78=summaryref2!B51,summaryref2!U51,IF(AK78=summaryref2!B65,summaryref2!U65,IF(AK78=summaryref2!B79,summaryref2!U79,IF(AK78=summaryref2!B93,summaryref2!U93,IF(AK78=summaryref2!B107,summaryref2!U107,IF(AK78=summaryref2!B121,summaryref2!U121,IF(AK78=summaryref2!B135,summaryref2!U135,IF(AK78=summaryref2!B149,summaryref2!U149,"")))))))))))</f>
        <v/>
      </c>
      <c r="BF78" s="1432"/>
      <c r="BG78" s="1432"/>
      <c r="BJ78" s="1041" t="str">
        <f>Codes!$C$165</f>
        <v>LR - Light Rail (DO)</v>
      </c>
      <c r="BK78" s="1042" t="str">
        <f>Valid!$B$84</f>
        <v>Half Grand Union</v>
      </c>
      <c r="BL78" s="1375" t="str">
        <f>IF('A-80 DirEntInv'!BL77&lt;&gt;"",'A-80 DirEntInv'!BL77,IF(BJ78=summaryref2!X16,summaryref2!Z16,IF(BJ78=summaryref2!X23,summaryref2!Z23,IF(BJ78=summaryref2!X30,summaryref2!Z30,IF(BJ78=summaryref2!X37,summaryref2!Z37,IF(BJ78=summaryref2!X44,summaryref2!Z44,IF(BJ78=summaryref2!X51,summaryref2!Z51,IF(BJ78=summaryref2!X58,summaryref2!Z58,IF(BJ78=summaryref2!X65,summaryref2!Z65,IF(BJ78=summaryref2!X72,summaryref2!Z72,IF(BJ78=summaryref2!X79,summaryref2!Z79,"")))))))))))</f>
        <v/>
      </c>
      <c r="BM78" s="1042" t="str">
        <f>VLOOKUP(BK78,Valid!$B$80:$C$86,2,FALSE)</f>
        <v>Each</v>
      </c>
      <c r="BN78" s="1209" t="str">
        <f>IF('A-80 DirEntInv'!BN77&lt;&gt;"",'A-80 DirEntInv'!BN77,IF(BJ78=summaryref2!X16,summaryref2!AB16,IF(BJ78=summaryref2!X23,summaryref2!AB23,IF(BJ78=summaryref2!X30,summaryref2!AB30,IF(BJ78=summaryref2!X37,summaryref2!AB37,IF(BJ78=summaryref2!X44,summaryref2!AB44,IF(BJ78=summaryref2!X51,summaryref2!AB51,IF(BJ78=summaryref2!X58,summaryref2!AB58,IF(BJ78=summaryref2!X65,summaryref2!AB65,IF(BJ78=summaryref2!X72,summaryref2!AB72,IF(BJ78=summaryref2!X79,summaryref2!AB79,"")))))))))))</f>
        <v/>
      </c>
      <c r="BO78" s="1116" t="str">
        <f>IF('A-80 DirEntInv'!BO77&lt;&gt;"",'A-80 DirEntInv'!BO77,IF(BJ78=summaryref2!X16,summaryref2!AC16,IF(BJ78=summaryref2!X23,summaryref2!AC23,IF(BJ78=summaryref2!X30,summaryref2!AC30,IF(BJ78=summaryref2!X37,summaryref2!AC37,IF(BJ78=summaryref2!X44,summaryref2!AC44,IF(BJ78=summaryref2!X51,summaryref2!AC51,IF(BJ78=summaryref2!X58,summaryref2!AC58,IF(BJ78=summaryref2!X65,summaryref2!AC65,IF(BJ78=summaryref2!X72,summaryref2!AC72,IF(BJ78=summaryref2!X79,summaryref2!AC79,"")))))))))))</f>
        <v/>
      </c>
      <c r="BP78" s="1384" t="str">
        <f>IF('A-80 DirEntInv'!BP77&lt;&gt;"",'A-80 DirEntInv'!BP77,IF(BJ78=summaryref2!X16,summaryref2!AD16,IF(BJ78=summaryref2!X23,summaryref2!AD23,IF(BJ78=summaryref2!X30,summaryref2!AD30,IF(BJ78=summaryref2!X37,summaryref2!AD37,IF(BJ78=summaryref2!X44,summaryref2!AD44,IF(BJ78=summaryref2!X51,summaryref2!AD51,IF(BJ78=summaryref2!X58,summaryref2!AD58,IF(BJ78=summaryref2!X65,summaryref2!AD65,IF(BJ78=summaryref2!X72,summaryref2!AD72,IF(BJ78=summaryref2!X79,summaryref2!AD79,"")))))))))))</f>
        <v/>
      </c>
      <c r="BS78" s="1472" t="str">
        <f ca="1">IF('A-80 DirEntInv'!BU77&lt;&gt;"",'A-80 DirEntInv'!BU77,IF(INDIRECT(ADDRESS(SumRef!DK84,SumRef!DK$16,,,SumRef!$E$6))="","",INDIRECT(ADDRESS(SumRef!DK84,SumRef!DK$16,,,SumRef!$E$6))))</f>
        <v/>
      </c>
      <c r="BT78" s="1458" t="str">
        <f ca="1">IF('A-80 DirEntInv'!BV77&lt;&gt;"",'A-80 DirEntInv'!BV77,IF(INDIRECT(ADDRESS(SumRef!DL84,SumRef!DL$16,,,SumRef!$E$6))="","",INDIRECT(ADDRESS(SumRef!DL84,SumRef!DL$16,,,SumRef!$E$6))))</f>
        <v/>
      </c>
      <c r="BU78" s="1177" t="str">
        <f ca="1">IF('A-80 DirEntInv'!BW77&lt;&gt;"",'A-80 DirEntInv'!BW77,IF(INDIRECT(ADDRESS(SumRef!DM84,SumRef!DM$16,,,SumRef!$E$6))="","",INDIRECT(ADDRESS(SumRef!DM84,SumRef!DM$16,,,SumRef!$E$6))))</f>
        <v/>
      </c>
      <c r="BV78" s="1460" t="str">
        <f ca="1">IF('A-80 DirEntInv'!BX77&lt;&gt;"",'A-80 DirEntInv'!BX77,IF(INDIRECT(ADDRESS(SumRef!DN84,SumRef!DN$16,,,SumRef!$E$6))="","",INDIRECT(ADDRESS(SumRef!DN84,SumRef!DN$16,,,SumRef!$E$6))))</f>
        <v/>
      </c>
      <c r="BW78" s="1460" t="str">
        <f ca="1">IF('A-80 DirEntInv'!BY77&lt;&gt;"",'A-80 DirEntInv'!BY77,IF(INDIRECT(ADDRESS(SumRef!DO84,SumRef!DO$16,,,SumRef!$E$6))="","",INDIRECT(ADDRESS(SumRef!DO84,SumRef!DO$16,,,SumRef!$E$6))))</f>
        <v/>
      </c>
      <c r="BX78" s="1116" t="str">
        <f ca="1">IF('A-80 DirEntInv'!BZ77&lt;&gt;"",'A-80 DirEntInv'!BZ77,IF(INDIRECT(ADDRESS(SumRef!DP84,SumRef!DP$16,,,SumRef!$E$6))="","",INDIRECT(ADDRESS(SumRef!DP84,SumRef!DP$16,,,SumRef!$E$6))))</f>
        <v/>
      </c>
      <c r="BY78" s="1461" t="str">
        <f ca="1">IF('A-80 DirEntInv'!CA77&lt;&gt;"",'A-80 DirEntInv'!CA77,IF(INDIRECT(ADDRESS(SumRef!DQ84,SumRef!DQ$16,,,SumRef!$E$6))="","",INDIRECT(ADDRESS(SumRef!DQ84,SumRef!DQ$16,,,SumRef!$E$6))))</f>
        <v/>
      </c>
      <c r="BZ78" s="1460" t="str">
        <f ca="1">IF('A-80 DirEntInv'!CB77&lt;&gt;"",'A-80 DirEntInv'!CB77,IF(INDIRECT(ADDRESS(SumRef!DR84,SumRef!DR$16,,,SumRef!$E$6))="","",INDIRECT(ADDRESS(SumRef!DR84,SumRef!DR$16,,,SumRef!$E$6))))</f>
        <v/>
      </c>
      <c r="CA78" s="1462" t="str">
        <f ca="1">IF('A-80 DirEntInv'!CC77&lt;&gt;"",'A-80 DirEntInv'!CC77,IF(INDIRECT(ADDRESS(SumRef!DS84,SumRef!DS$16,,,SumRef!$E$6))="","",INDIRECT(ADDRESS(SumRef!DS84,SumRef!DS$16,,,SumRef!$E$6))))</f>
        <v/>
      </c>
      <c r="CD78" s="1160" t="str">
        <f ca="1">IF('A-80 DirEntInv'!CF77&lt;&gt;"",'A-80 DirEntInv'!CF77,IF(INDIRECT(ADDRESS(SumRef!DV84,SumRef!DV$16,,,SumRef!$E$7))="","",INDIRECT(ADDRESS(SumRef!DV84,SumRef!DV$16,,,SumRef!$E$7))))</f>
        <v/>
      </c>
      <c r="CE78" s="1167" t="str">
        <f ca="1">IF('A-80 DirEntInv'!CG77&lt;&gt;"",'A-80 DirEntInv'!CG77,IF(INDIRECT(ADDRESS(SumRef!DW84,SumRef!DW$16,,,SumRef!$E$7))="","",INDIRECT(ADDRESS(SumRef!DW84,SumRef!DW$16,,,SumRef!$E$7))))</f>
        <v/>
      </c>
      <c r="CF78" s="1167" t="str">
        <f ca="1">IF('A-80 DirEntInv'!CH77&lt;&gt;"",'A-80 DirEntInv'!CH77,IF(INDIRECT(ADDRESS(SumRef!DX84,SumRef!DX$16,,,SumRef!$E$7))="","",INDIRECT(ADDRESS(SumRef!DX84,SumRef!DX$16,,,SumRef!$E$7))))</f>
        <v/>
      </c>
      <c r="CG78" s="1167" t="str">
        <f ca="1">IF('A-80 DirEntInv'!CI77&lt;&gt;"",'A-80 DirEntInv'!CI77,IF(INDIRECT(ADDRESS(SumRef!DY84,SumRef!DY$16,,,SumRef!$E$7))="","",INDIRECT(ADDRESS(SumRef!DY84,SumRef!DY$16,,,SumRef!$E$7))))</f>
        <v/>
      </c>
      <c r="CH78" s="1167" t="str">
        <f ca="1">IF('A-80 DirEntInv'!CJ77&lt;&gt;"",'A-80 DirEntInv'!CJ77,IF(INDIRECT(ADDRESS(SumRef!DZ84,SumRef!DZ$16,,,SumRef!$E$7))="","",INDIRECT(ADDRESS(SumRef!DZ84,SumRef!DZ$16,,,SumRef!$E$7))))</f>
        <v/>
      </c>
      <c r="CI78" s="1167" t="str">
        <f ca="1">IF('A-80 DirEntInv'!CK77&lt;&gt;"",'A-80 DirEntInv'!CK77,IF(INDIRECT(ADDRESS(SumRef!EA84,SumRef!EA$16,,,SumRef!$E$7))="","",INDIRECT(ADDRESS(SumRef!EA84,SumRef!EA$16,,,SumRef!$E$7))))</f>
        <v/>
      </c>
      <c r="CJ78" s="1114" t="str">
        <f ca="1">IF('A-80 DirEntInv'!CL77&lt;&gt;"",'A-80 DirEntInv'!CL77,IF(INDIRECT(ADDRESS(SumRef!EB84,SumRef!EB$16,,,SumRef!$E$7))="","",INDIRECT(ADDRESS(SumRef!EB84,SumRef!EB$16,,,SumRef!$E$7))))</f>
        <v/>
      </c>
      <c r="CK78" s="1114" t="str">
        <f ca="1">IF('A-80 DirEntInv'!CM77&lt;&gt;"",'A-80 DirEntInv'!CM77,IF(INDIRECT(ADDRESS(SumRef!EC84,SumRef!EC$16,,,SumRef!$E$7))="","",INDIRECT(ADDRESS(SumRef!EC84,SumRef!EC$16,,,SumRef!$E$7))))</f>
        <v/>
      </c>
      <c r="CL78" s="1113" t="str">
        <f ca="1">IF('A-80 DirEntInv'!CO77&lt;&gt;"",'A-80 DirEntInv'!CO77,IF(INDIRECT(ADDRESS(SumRef!ED84,SumRef!ED$16,,,SumRef!$E$7))="","",INDIRECT(ADDRESS(SumRef!ED84,SumRef!ED$16,,,SumRef!$E$7))))</f>
        <v/>
      </c>
      <c r="CM78" s="1114" t="str">
        <f ca="1">IF('A-80 DirEntInv'!CP77&lt;&gt;"",'A-80 DirEntInv'!CP77,IF(INDIRECT(ADDRESS(SumRef!EE84,SumRef!EE$16,,,SumRef!$E$7))="","",INDIRECT(ADDRESS(SumRef!EE84,SumRef!EE$16,,,SumRef!$E$7))))</f>
        <v/>
      </c>
      <c r="CN78" s="1114" t="str">
        <f ca="1">IF('A-80 DirEntInv'!CQ77&lt;&gt;"",'A-80 DirEntInv'!CQ77,IF(INDIRECT(ADDRESS(SumRef!EF84,SumRef!EF$16,,,SumRef!$E$7))="","",INDIRECT(ADDRESS(SumRef!EF84,SumRef!EF$16,,,SumRef!$E$7))))</f>
        <v/>
      </c>
      <c r="CO78" s="1113" t="str">
        <f ca="1">IF('A-80 DirEntInv'!CR77&lt;&gt;"",'A-80 DirEntInv'!CR77,IF(INDIRECT(ADDRESS(SumRef!EG84,SumRef!EG$16,,,SumRef!$E$7))="","",INDIRECT(ADDRESS(SumRef!EG84,SumRef!EG$16,,,SumRef!$E$7))))</f>
        <v/>
      </c>
      <c r="CP78" s="1114" t="str">
        <f ca="1">IF('A-80 DirEntInv'!CS77&lt;&gt;"",'A-80 DirEntInv'!CS77,IF(INDIRECT(ADDRESS(SumRef!EH84,SumRef!EH$16,,,SumRef!$E$7))="","",INDIRECT(ADDRESS(SumRef!EH84,SumRef!EH$16,,,SumRef!$E$7))))</f>
        <v/>
      </c>
      <c r="CQ78" s="1346" t="str">
        <f ca="1">IF('A-80 DirEntInv'!CT77&lt;&gt;"",'A-80 DirEntInv'!CT77,IF(INDIRECT(ADDRESS(SumRef!EI84,SumRef!EI$16,,,SumRef!$E$7))="","",INDIRECT(ADDRESS(SumRef!EI84,SumRef!EI$16,,,SumRef!$E$7))))</f>
        <v/>
      </c>
      <c r="CR78" s="1113" t="str">
        <f ca="1">IF('A-80 DirEntInv'!CU77&lt;&gt;"",'A-80 DirEntInv'!CU77,IF(INDIRECT(ADDRESS(SumRef!EJ84,SumRef!EJ$16,,,SumRef!$E$7))="","",INDIRECT(ADDRESS(SumRef!EJ84,SumRef!EJ$16,,,SumRef!$E$7))))</f>
        <v/>
      </c>
      <c r="CS78" s="1346" t="str">
        <f ca="1">IF('A-80 DirEntInv'!CV77&lt;&gt;"",'A-80 DirEntInv'!CV77,IF(INDIRECT(ADDRESS(SumRef!EM84,SumRef!EM$16,,,SumRef!$E$7))="","",INDIRECT(ADDRESS(SumRef!EM84,SumRef!EM$16,,,SumRef!$E$7))))</f>
        <v/>
      </c>
      <c r="CT78" s="1113" t="str">
        <f ca="1">IF('A-80 DirEntInv'!CW77&lt;&gt;"",'A-80 DirEntInv'!CW77,IF(INDIRECT(ADDRESS(SumRef!EN84,SumRef!EN$16,,,SumRef!$E$7))="","",INDIRECT(ADDRESS(SumRef!EN84,SumRef!EN$16,,,SumRef!$E$7))))</f>
        <v/>
      </c>
      <c r="CU78" s="1113" t="str">
        <f ca="1">IF('A-80 DirEntInv'!CX77&lt;&gt;"",'A-80 DirEntInv'!CX77,IF(INDIRECT(ADDRESS(SumRef!EO84,SumRef!EO$16,,,SumRef!$E$7))="","",INDIRECT(ADDRESS(SumRef!EO84,SumRef!EO$16,,,SumRef!$E$7))))</f>
        <v/>
      </c>
      <c r="CV78" s="1113" t="str">
        <f ca="1">IF('A-80 DirEntInv'!CY77&lt;&gt;"",'A-80 DirEntInv'!CY77,IF(INDIRECT(ADDRESS(SumRef!EP84,SumRef!EP$16,,,SumRef!$E$7))="","",INDIRECT(ADDRESS(SumRef!EP84,SumRef!EP$16,,,SumRef!$E$7))))</f>
        <v/>
      </c>
      <c r="CW78" s="1114" t="str">
        <f ca="1">IF('A-80 DirEntInv'!CZ77&lt;&gt;"",'A-80 DirEntInv'!CZ77,IF(INDIRECT(ADDRESS(SumRef!ES84,SumRef!ES$16,,,SumRef!$E$7))="","",INDIRECT(ADDRESS(SumRef!ES84,SumRef!ES$16,,,SumRef!$E$7))))</f>
        <v/>
      </c>
      <c r="CX78" s="1167" t="str">
        <f ca="1">IF('A-80 DirEntInv'!DA77&lt;&gt;"",'A-80 DirEntInv'!DA77,IF(INDIRECT(ADDRESS(SumRef!ET84,SumRef!ET$16,,,SumRef!$E$7))="","",INDIRECT(ADDRESS(SumRef!ET84,SumRef!ET$16,,,SumRef!$E$7))))</f>
        <v/>
      </c>
      <c r="CY78" s="1167" t="str">
        <f ca="1">IF('A-80 DirEntInv'!DB77&lt;&gt;"",'A-80 DirEntInv'!DB77,IF(INDIRECT(ADDRESS(SumRef!EU84,SumRef!EU$16,,,SumRef!$E$7))="","",INDIRECT(ADDRESS(SumRef!EU84,SumRef!EU$16,,,SumRef!$E$7))))</f>
        <v/>
      </c>
      <c r="CZ78" s="1167" t="b">
        <f ca="1">IF('A-80 DirEntInv'!DC77&lt;&gt;"",'A-80 DirEntInv'!DC77,IF(INDIRECT(ADDRESS(SumRef!EV84,SumRef!EV$16,,,SumRef!$E$7))="","",INDIRECT(ADDRESS(SumRef!EV84,SumRef!EV$16,,,SumRef!$E$7))))</f>
        <v>0</v>
      </c>
      <c r="DA78" s="1373" t="str">
        <f ca="1">IF('A-80 DirEntInv'!DD77&lt;&gt;"",'A-80 DirEntInv'!DD77,IF(INDIRECT(ADDRESS(SumRef!EW84,SumRef!EW$16,,,SumRef!$E$7))="","",INDIRECT(ADDRESS(SumRef!EW84,SumRef!EW$16,,,SumRef!$E$7))))</f>
        <v/>
      </c>
      <c r="DB78" s="1373" t="b">
        <f ca="1">IF('A-80 DirEntInv'!DE77&lt;&gt;"",'A-80 DirEntInv'!DE77,IF(INDIRECT(ADDRESS(SumRef!EX84,SumRef!EX$16,,,SumRef!$E$7))="","",INDIRECT(ADDRESS(SumRef!EX84,SumRef!EX$16,,,SumRef!$E$7))))</f>
        <v>0</v>
      </c>
      <c r="DC78" s="1114" t="b">
        <f ca="1">IF('A-80 DirEntInv'!DF77&lt;&gt;"",'A-80 DirEntInv'!DF77,IF(INDIRECT(ADDRESS(SumRef!EY84,SumRef!EY$16,,,SumRef!$E$7))="","",INDIRECT(ADDRESS(SumRef!EY84,SumRef!EY$16,,,SumRef!$E$7))))</f>
        <v>0</v>
      </c>
      <c r="DD78" s="1115" t="str">
        <f ca="1">IF('A-80 DirEntInv'!DG77&lt;&gt;"",'A-80 DirEntInv'!DG77,IF(INDIRECT(ADDRESS(SumRef!EZ84,SumRef!EZ$16,,,SumRef!$E$7))="","",INDIRECT(ADDRESS(SumRef!EZ84,SumRef!EZ$16,,,SumRef!$E$7))))</f>
        <v/>
      </c>
    </row>
    <row r="79" spans="1:108" s="588" customFormat="1" x14ac:dyDescent="0.2">
      <c r="A79" s="589">
        <f t="shared" si="1"/>
        <v>69</v>
      </c>
      <c r="B79" s="1155" t="str">
        <f ca="1">IF('A-80 DirEntInv'!B78&lt;&gt;"",'A-80 DirEntInv'!B78,IF(INDIRECT(ADDRESS(SumRef!AQ85,SumRef!AQ$16,,,SumRef!$B$7))="","",INDIRECT(ADDRESS(SumRef!AQ85,SumRef!AQ$16,,,SumRef!$B$7))))</f>
        <v/>
      </c>
      <c r="C79" s="1097" t="str">
        <f ca="1">IF('A-80 DirEntInv'!C78&lt;&gt;"",'A-80 DirEntInv'!C78,IF(INDIRECT(ADDRESS(SumRef!AR85,SumRef!AR$16,,,SumRef!$B$7))="","",INDIRECT(ADDRESS(SumRef!AR85,SumRef!AR$16,,,SumRef!$B$7))))</f>
        <v/>
      </c>
      <c r="D79" s="1097" t="str">
        <f ca="1">IF('A-80 DirEntInv'!D78&lt;&gt;"",'A-80 DirEntInv'!D78,IF(INDIRECT(ADDRESS(SumRef!AS85,SumRef!AS$16,,,SumRef!$B$7))="","",INDIRECT(ADDRESS(SumRef!AS85,SumRef!AS$16,,,SumRef!$B$7))))</f>
        <v/>
      </c>
      <c r="E79" s="1097" t="str">
        <f ca="1">IF('A-80 DirEntInv'!E78&lt;&gt;"",'A-80 DirEntInv'!E78,IF(INDIRECT(ADDRESS(SumRef!AT85,SumRef!AT$16,,,SumRef!$B$7))="","",INDIRECT(ADDRESS(SumRef!AT85,SumRef!AT$16,,,SumRef!$B$7))))</f>
        <v/>
      </c>
      <c r="F79" s="1097" t="str">
        <f ca="1">IF('A-80 DirEntInv'!F78&lt;&gt;"",'A-80 DirEntInv'!F78,IF(INDIRECT(ADDRESS(SumRef!AU85,SumRef!AU$16,,,SumRef!$B$7))="","",INDIRECT(ADDRESS(SumRef!AU85,SumRef!AU$16,,,SumRef!$B$7))))</f>
        <v/>
      </c>
      <c r="G79" s="1158" t="str">
        <f ca="1">IF('A-80 DirEntInv'!G78&lt;&gt;"",'A-80 DirEntInv'!G78,IF(INDIRECT(ADDRESS(SumRef!AV85,SumRef!AV$16,,,SumRef!$B$7))="","",INDIRECT(ADDRESS(SumRef!AV85,SumRef!AV$16,,,SumRef!$B$7))))</f>
        <v/>
      </c>
      <c r="H79" s="1097" t="str">
        <f ca="1">IF('A-80 DirEntInv'!H78&lt;&gt;"",'A-80 DirEntInv'!H78,IF(INDIRECT(ADDRESS(SumRef!AW85,SumRef!AW$16,,,SumRef!$B$7))="","",INDIRECT(ADDRESS(SumRef!AW85,SumRef!AW$16,,,SumRef!$B$7))))</f>
        <v/>
      </c>
      <c r="I79" s="1097" t="str">
        <f ca="1">IF('A-80 DirEntInv'!I78&lt;&gt;"",'A-80 DirEntInv'!I78,IF(INDIRECT(ADDRESS(SumRef!AX85,SumRef!AX$16,,,SumRef!$B$7))="","",INDIRECT(ADDRESS(SumRef!AX85,SumRef!AX$16,,,SumRef!$B$7))))</f>
        <v/>
      </c>
      <c r="J79" s="1098" t="str">
        <f ca="1">IF('A-80 DirEntInv'!J78&lt;&gt;"",'A-80 DirEntInv'!J78,IF(INDIRECT(ADDRESS(SumRef!AY85,SumRef!AY$16,,,SumRef!$B$7))="","",INDIRECT(ADDRESS(SumRef!AY85,SumRef!AY$16,,,SumRef!$B$7))))</f>
        <v/>
      </c>
      <c r="K79" s="1099" t="str">
        <f ca="1">IF('A-80 DirEntInv'!K78&lt;&gt;"",'A-80 DirEntInv'!K78,IF(INDIRECT(ADDRESS(SumRef!AZ85,SumRef!AZ$16,,,SumRef!$B$7))="","",INDIRECT(ADDRESS(SumRef!AZ85,SumRef!AZ$16,,,SumRef!$B$7))))</f>
        <v/>
      </c>
      <c r="L79" s="1100" t="str">
        <f ca="1">IF('A-80 DirEntInv'!L78&lt;&gt;"",'A-80 DirEntInv'!L78,IF(INDIRECT(ADDRESS(SumRef!BA85,SumRef!BA$16,,,SumRef!$B$7))="","",INDIRECT(ADDRESS(SumRef!BA85,SumRef!BA$16,,,SumRef!$B$7))))</f>
        <v/>
      </c>
      <c r="M79" s="1101" t="str">
        <f ca="1">IF('A-80 DirEntInv'!M78&lt;&gt;"",'A-80 DirEntInv'!M78,IF(INDIRECT(ADDRESS(SumRef!BB85,SumRef!BB$16,,,SumRef!$B$7))="","",INDIRECT(ADDRESS(SumRef!BB85,SumRef!BB$16,,,SumRef!$B$7))))</f>
        <v/>
      </c>
      <c r="N79" s="1098" t="str">
        <f ca="1">IF('A-80 DirEntInv'!N78&lt;&gt;"",'A-80 DirEntInv'!N78,IF(INDIRECT(ADDRESS(SumRef!BC85,SumRef!BC$16,,,SumRef!$B$7))="","",INDIRECT(ADDRESS(SumRef!BC85,SumRef!BC$16,,,SumRef!$B$7))))</f>
        <v/>
      </c>
      <c r="O79" s="1102" t="str">
        <f ca="1">IF('A-80 DirEntInv'!O78&lt;&gt;"",'A-80 DirEntInv'!O78,IF(INDIRECT(ADDRESS(SumRef!BD85,SumRef!BD$16,,,SumRef!$B$7))="","",INDIRECT(ADDRESS(SumRef!BD85,SumRef!BD$16,,,SumRef!$B$7))))</f>
        <v/>
      </c>
      <c r="Q79" s="589"/>
      <c r="R79" s="1103" t="str">
        <f ca="1">IF('A-80 DirEntInv'!R78&lt;&gt;"",'A-80 DirEntInv'!R78,IF(INDIRECT(ADDRESS(SumRef!BH85,SumRef!BH$16,,,SumRef!$B$8))="","",INDIRECT(ADDRESS(SumRef!BH85,SumRef!BH$16,,,SumRef!$B$8))))</f>
        <v/>
      </c>
      <c r="S79" s="1104" t="str">
        <f ca="1">IF('A-80 DirEntInv'!S78&lt;&gt;"",'A-80 DirEntInv'!S78,IF(INDIRECT(ADDRESS(SumRef!BI85,SumRef!BI$16,,,SumRef!$B$8))="","",INDIRECT(ADDRESS(SumRef!BI85,SumRef!BI$16,,,SumRef!$B$8))))</f>
        <v/>
      </c>
      <c r="T79" s="1104" t="str">
        <f ca="1">IF('A-80 DirEntInv'!T78&lt;&gt;"",'A-80 DirEntInv'!T78,IF(INDIRECT(ADDRESS(SumRef!BJ85,SumRef!BJ$16,,,SumRef!$B$8))="","",INDIRECT(ADDRESS(SumRef!BJ85,SumRef!BJ$16,,,SumRef!$B$8))))</f>
        <v/>
      </c>
      <c r="U79" s="1104" t="str">
        <f ca="1">IF('A-80 DirEntInv'!U78&lt;&gt;"",'A-80 DirEntInv'!U78,IF(INDIRECT(ADDRESS(SumRef!BK85,SumRef!BK$16,,,SumRef!$B$8))="","",INDIRECT(ADDRESS(SumRef!BK85,SumRef!BK$16,,,SumRef!$B$8))))</f>
        <v/>
      </c>
      <c r="V79" s="1104" t="str">
        <f ca="1">IF('A-80 DirEntInv'!V78&lt;&gt;"",'A-80 DirEntInv'!V78,IF(INDIRECT(ADDRESS(SumRef!BL85,SumRef!BL$16,,,SumRef!$B$8))="","",INDIRECT(ADDRESS(SumRef!BL85,SumRef!BL$16,,,SumRef!$B$8))))</f>
        <v/>
      </c>
      <c r="W79" s="1354" t="str">
        <f ca="1">IF('A-80 DirEntInv'!W78&lt;&gt;"",'A-80 DirEntInv'!W78,IF(INDIRECT(ADDRESS(SumRef!BM85,SumRef!BM$16,,,SumRef!$B$8))="","",INDIRECT(ADDRESS(SumRef!BM85,SumRef!BM$16,,,SumRef!$B$8))))</f>
        <v/>
      </c>
      <c r="X79" s="1203" t="str">
        <f ca="1">IF('A-80 DirEntInv'!X78&lt;&gt;"",'A-80 DirEntInv'!X78,IF(INDIRECT(ADDRESS(SumRef!BN85,SumRef!BN$16,,,SumRef!$B$8))="","",INDIRECT(ADDRESS(SumRef!BN85,SumRef!BN$16,,,SumRef!$B$8))))</f>
        <v/>
      </c>
      <c r="Y79" s="1203" t="str">
        <f ca="1">IF('A-80 DirEntInv'!Y78&lt;&gt;"",'A-80 DirEntInv'!Y78,IF(INDIRECT(ADDRESS(SumRef!BO85,SumRef!BO$16,,,SumRef!$B$8))="","",INDIRECT(ADDRESS(SumRef!BO85,SumRef!BO$16,,,SumRef!$B$8))))</f>
        <v/>
      </c>
      <c r="Z79" s="1104" t="str">
        <f ca="1">IF('A-80 DirEntInv'!Z78&lt;&gt;"",'A-80 DirEntInv'!Z78,IF(INDIRECT(ADDRESS(SumRef!BP85,SumRef!BP$16,,,SumRef!$B$8))="","",INDIRECT(ADDRESS(SumRef!BP85,SumRef!BP$16,,,SumRef!$B$8))))</f>
        <v/>
      </c>
      <c r="AA79" s="1104" t="str">
        <f ca="1">IF('A-80 DirEntInv'!AA78&lt;&gt;"",'A-80 DirEntInv'!AA78,IF(INDIRECT(ADDRESS(SumRef!BQ85,SumRef!BQ$16,,,SumRef!$B$8))="","",INDIRECT(ADDRESS(SumRef!BQ85,SumRef!BQ$16,,,SumRef!$B$8))))</f>
        <v/>
      </c>
      <c r="AB79" s="1106" t="str">
        <f ca="1">IF('A-80 DirEntInv'!AB78&lt;&gt;"",'A-80 DirEntInv'!AB78,IF(INDIRECT(ADDRESS(SumRef!BR85,SumRef!BR$16,,,SumRef!$B$8))="","",INDIRECT(ADDRESS(SumRef!BR85,SumRef!BR$16,,,SumRef!$B$8))))</f>
        <v/>
      </c>
      <c r="AC79" s="1107" t="str">
        <f ca="1">IF('A-80 DirEntInv'!AC78&lt;&gt;"",'A-80 DirEntInv'!AC78,IF(INDIRECT(ADDRESS(SumRef!BS85,SumRef!BS$16,,,SumRef!$B$8))="","",INDIRECT(ADDRESS(SumRef!BS85,SumRef!BS$16,,,SumRef!$B$8))))</f>
        <v/>
      </c>
      <c r="AD79" s="1349" t="str">
        <f ca="1">IF('A-80 DirEntInv'!AD78&lt;&gt;"",'A-80 DirEntInv'!AD78,IF(INDIRECT(ADDRESS(SumRef!BT85,SumRef!BT$16,,,SumRef!$B$8))="","",INDIRECT(ADDRESS(SumRef!BT85,SumRef!BT$16,,,SumRef!$B$8))))</f>
        <v/>
      </c>
      <c r="AE79" s="1137" t="str">
        <f ca="1">IF('A-80 DirEntInv'!AE78&lt;&gt;"",'A-80 DirEntInv'!AE78,IF(INDIRECT(ADDRESS(SumRef!BU85,SumRef!BU$16,,,SumRef!$B$8))="","",INDIRECT(ADDRESS(SumRef!BU85,SumRef!BU$16,,,SumRef!$B$8))))</f>
        <v/>
      </c>
      <c r="AF79" s="1346" t="str">
        <f ca="1">IF('A-80 DirEntInv'!AF78&lt;&gt;"",'A-80 DirEntInv'!AF78,IF(INDIRECT(ADDRESS(SumRef!BV85,SumRef!BV$16,,,SumRef!$B$8))="","",INDIRECT(ADDRESS(SumRef!BV85,SumRef!BV$16,,,SumRef!$B$8))))</f>
        <v/>
      </c>
      <c r="AG79" s="1105" t="str">
        <f ca="1">IF('A-80 DirEntInv'!AG78&lt;&gt;"",'A-80 DirEntInv'!AG78,IF(INDIRECT(ADDRESS(SumRef!BW85,SumRef!BW$16,,,SumRef!$B$8))="","",INDIRECT(ADDRESS(SumRef!BW85,SumRef!BW$16,,,SumRef!$B$8))))</f>
        <v/>
      </c>
      <c r="AH79" s="1357" t="str">
        <f ca="1">IF('A-80 DirEntInv'!AH78&lt;&gt;"",'A-80 DirEntInv'!AH78,IF(INDIRECT(ADDRESS(SumRef!BX85,SumRef!BX$16,,,SumRef!$B$8))="","",INDIRECT(ADDRESS(SumRef!BX85,SumRef!BX$16,,,SumRef!$B$8))))</f>
        <v/>
      </c>
      <c r="AK79" s="1041" t="str">
        <f>Codes!$C$160</f>
        <v>CC - Cable Car (PT)</v>
      </c>
      <c r="AL79" s="1042" t="str">
        <f>Valid!$B$90</f>
        <v>Overhead Contact System/Power Distribution</v>
      </c>
      <c r="AM79" s="1108"/>
      <c r="AN79" s="1042"/>
      <c r="AO79" s="1108"/>
      <c r="AP79" s="1042"/>
      <c r="AQ79" s="1147" t="str">
        <f>IF('A-80 DirEntInv'!AQ78&lt;&gt;"",'A-80 DirEntInv'!AQ78,IF(AK79=summaryref2!B24,summaryref2!G24,IF(Summary!AK79=summaryref2!B38,summaryref2!G38,IF(AK79=summaryref2!B52,summaryref2!G52,IF(AK79=summaryref2!B66,summaryref2!G66,IF(AK79=summaryref2!B80,summaryref2!G80,IF(AK79=summaryref2!B94,summaryref2!G94,IF(AK79=summaryref2!B108,summaryref2!G108,IF(AK79=summaryref2!B122,summaryref2!G122,IF(AK79=summaryref2!B136,summaryref2!G136,IF(AK79=summaryref2!B150,summaryref2!G150,"")))))))))))</f>
        <v/>
      </c>
      <c r="AR79" s="1147" t="str">
        <f>IF('A-80 DirEntInv'!AR78&lt;&gt;"",'A-80 DirEntInv'!AR78,IF(AK79=summaryref2!B24,summaryref2!H24,IF(Summary!AK79=summaryref2!B38,summaryref2!H38,IF(AK79=summaryref2!B52,summaryref2!H52,IF(AK79=summaryref2!B66,summaryref2!H66,IF(AK79=summaryref2!B80,summaryref2!H80,IF(AK79=summaryref2!B94,summaryref2!H94,IF(AK79=summaryref2!B108,summaryref2!H108,IF(AK79=summaryref2!B122,summaryref2!H122,IF(AK79=summaryref2!B136,summaryref2!H136,IF(AK79=summaryref2!B150,summaryref2!H150,"")))))))))))</f>
        <v/>
      </c>
      <c r="AS79" s="1110" t="str">
        <f>IF('A-80 DirEntInv'!AS78&lt;&gt;"",'A-80 DirEntInv'!AS78,IF(AK79=summaryref2!B24,summaryref2!I24,IF(Summary!AK79=summaryref2!B38,summaryref2!I38,IF(AK79=summaryref2!B52,summaryref2!I52,IF(AK79=summaryref2!B66,summaryref2!I66,IF(AK79=summaryref2!B80,summaryref2!I80,IF(AK79=summaryref2!B94,summaryref2!I94,IF(AK79=summaryref2!B108,summaryref2!I108,IF(AK79=summaryref2!B122,summaryref2!I122,IF(AK79=summaryref2!B136,summaryref2!I136,IF(AK79=summaryref2!B150,summaryref2!I150,"")))))))))))</f>
        <v/>
      </c>
      <c r="AT79" s="1110" t="str">
        <f>IF('A-80 DirEntInv'!AT78&lt;&gt;"",'A-80 DirEntInv'!AT78,IF(AK79=summaryref2!B24,summaryref2!J24,IF(Summary!AK79=summaryref2!B38,summaryref2!J38,IF(AK79=summaryref2!B52,summaryref2!J52,IF(AK79=summaryref2!B66,summaryref2!J66,IF(AK79=summaryref2!B80,summaryref2!J80,IF(AK79=summaryref2!B94,summaryref2!J94,IF(AK79=summaryref2!B108,summaryref2!J108,IF(AK79=summaryref2!B122,summaryref2!J122,IF(AK79=summaryref2!B136,summaryref2!J136,IF(AK79=summaryref2!B150,summaryref2!J150,"")))))))))))</f>
        <v/>
      </c>
      <c r="AU79" s="1110" t="str">
        <f>IF('A-80 DirEntInv'!AU78&lt;&gt;"",'A-80 DirEntInv'!AU78,IF(AK79=summaryref2!B24,summaryref2!K24,IF(Summary!AK79=summaryref2!B38,summaryref2!K38,IF(AK79=summaryref2!B52,summaryref2!K52,IF(AK79=summaryref2!B66,summaryref2!K66,IF(AK79=summaryref2!B80,summaryref2!K80,IF(AK79=summaryref2!B94,summaryref2!K94,IF(AK79=summaryref2!B108,summaryref2!K108,IF(AK79=summaryref2!B122,summaryref2!K122,IF(AK79=summaryref2!B136,summaryref2!K136,IF(AK79=summaryref2!B150,summaryref2!K150,"")))))))))))</f>
        <v/>
      </c>
      <c r="AV79" s="1110" t="str">
        <f>IF('A-80 DirEntInv'!AV78&lt;&gt;"",'A-80 DirEntInv'!AV78,IF(AK79=summaryref2!B24,summaryref2!L24,IF(Summary!AK79=summaryref2!B38,summaryref2!L38,IF(AK79=summaryref2!B52,summaryref2!L52,IF(AK79=summaryref2!B66,summaryref2!L66,IF(AK79=summaryref2!B80,summaryref2!L80,IF(AK79=summaryref2!B94,summaryref2!L94,IF(AK79=summaryref2!B108,summaryref2!L108,IF(AK79=summaryref2!B122,summaryref2!L122,IF(AK79=summaryref2!B136,summaryref2!L136,IF(AK79=summaryref2!B150,summaryref2!L150,"")))))))))))</f>
        <v/>
      </c>
      <c r="AW79" s="1110" t="str">
        <f>IF('A-80 DirEntInv'!AW78&lt;&gt;"",'A-80 DirEntInv'!AW78,IF(AK79=summaryref2!B24,summaryref2!M24,IF(Summary!AK79=summaryref2!B38,summaryref2!M38,IF(AK79=summaryref2!B52,summaryref2!M52,IF(AK79=summaryref2!B66,summaryref2!M66,IF(AK79=summaryref2!B80,summaryref2!M80,IF(AK79=summaryref2!B94,summaryref2!M94,IF(AK79=summaryref2!B108,summaryref2!M108,IF(AK79=summaryref2!B122,summaryref2!M122,IF(AK79=summaryref2!B136,summaryref2!M136,IF(AK79=summaryref2!B150,summaryref2!M150,"")))))))))))</f>
        <v/>
      </c>
      <c r="AX79" s="1110" t="str">
        <f>IF('A-80 DirEntInv'!AX78&lt;&gt;"",'A-80 DirEntInv'!AX78,IF(AK79=summaryref2!B24,summaryref2!N24,IF(Summary!AK79=summaryref2!B38,summaryref2!N38,IF(AK79=summaryref2!B52,summaryref2!N52,IF(AK79=summaryref2!B66,summaryref2!N66,IF(AK79=summaryref2!B80,summaryref2!N80,IF(AK79=summaryref2!B94,summaryref2!N94,IF(AK79=summaryref2!B108,summaryref2!N108,IF(AK79=summaryref2!B122,summaryref2!N122,IF(AK79=summaryref2!B136,summaryref2!N136,IF(AK79=summaryref2!B150,summaryref2!N150,"")))))))))))</f>
        <v/>
      </c>
      <c r="AY79" s="1110" t="str">
        <f>IF('A-80 DirEntInv'!AY78&lt;&gt;"",'A-80 DirEntInv'!AY78,IF(AK79=summaryref2!B24,summaryref2!O24,IF(Summary!AK79=summaryref2!B38,summaryref2!O38,IF(AK79=summaryref2!B52,summaryref2!O52,IF(AK79=summaryref2!B66,summaryref2!O66,IF(AK79=summaryref2!B80,summaryref2!O80,IF(AK79=summaryref2!B94,summaryref2!O94,IF(AK79=summaryref2!B108,summaryref2!O108,IF(AK79=summaryref2!B122,summaryref2!O122,IF(AK79=summaryref2!B136,summaryref2!O136,IF(AK79=summaryref2!B150,summaryref2!O150,"")))))))))))</f>
        <v/>
      </c>
      <c r="AZ79" s="1110" t="str">
        <f>IF('A-80 DirEntInv'!AZ78&lt;&gt;"",'A-80 DirEntInv'!AZ78,IF(AK79=summaryref2!B24,summaryref2!P24,IF(Summary!AK79=summaryref2!B38,summaryref2!P38,IF(AK79=summaryref2!B52,summaryref2!P52,IF(AK79=summaryref2!B66,summaryref2!P66,IF(AK79=summaryref2!B80,summaryref2!P80,IF(AK79=summaryref2!B94,summaryref2!P94,IF(AK79=summaryref2!B108,summaryref2!P108,IF(AK79=summaryref2!B122,summaryref2!P122,IF(AK79=summaryref2!B136,summaryref2!P136,IF(AK79=summaryref2!B150,summaryref2!P150,"")))))))))))</f>
        <v/>
      </c>
      <c r="BA79" s="1110" t="str">
        <f>IF('A-80 DirEntInv'!BA78&lt;&gt;"",'A-80 DirEntInv'!BA78,IF(AK79=summaryref2!B24,summaryref2!Q24,IF(Summary!AK79=summaryref2!B38,summaryref2!Q38,IF(AK79=summaryref2!B52,summaryref2!Q52,IF(AK79=summaryref2!B66,summaryref2!Q66,IF(AK79=summaryref2!B80,summaryref2!Q80,IF(AK79=summaryref2!B94,summaryref2!Q94,IF(AK79=summaryref2!B108,summaryref2!Q108,IF(AK79=summaryref2!B122,summaryref2!Q122,IF(AK79=summaryref2!B136,summaryref2!Q136,IF(AK79=summaryref2!B150,summaryref2!Q150,"")))))))))))</f>
        <v/>
      </c>
      <c r="BB79" s="1110" t="str">
        <f>IF('A-80 DirEntInv'!BB78&lt;&gt;"",'A-80 DirEntInv'!BB78,IF(AK79=summaryref2!B24,summaryref2!R24,IF(Summary!AK79=summaryref2!B38,summaryref2!R38,IF(AK79=summaryref2!B52,summaryref2!R52,IF(AK79=summaryref2!B66,summaryref2!R66,IF(AK79=summaryref2!B80,summaryref2!R80,IF(AK79=summaryref2!B94,summaryref2!R94,IF(AK79=summaryref2!B108,summaryref2!R108,IF(AK79=summaryref2!B122,summaryref2!R122,IF(AK79=summaryref2!B136,summaryref2!R136,IF(AK79=summaryref2!B150,summaryref2!R150,"")))))))))))</f>
        <v/>
      </c>
      <c r="BC79" s="1110" t="str">
        <f>IF('A-80 DirEntInv'!BC78&lt;&gt;0,'A-80 DirEntInv'!BC78,IF(AK79=summaryref2!B24,summaryref2!S24,IF(Summary!AK79=summaryref2!B38,summaryref2!S38,IF(AK79=summaryref2!B52,summaryref2!S52,IF(AK79=summaryref2!B66,summaryref2!S66,IF(AK79=summaryref2!B80,summaryref2!S80,IF(AK79=summaryref2!B94,summaryref2!S94,IF(AK79=summaryref2!B108,summaryref2!S108,IF(AK79=summaryref2!B122,summaryref2!S122,IF(AK79=summaryref2!B136,summaryref2!S136,IF(AK79=summaryref2!B150,summaryref2!S150,"")))))))))))</f>
        <v/>
      </c>
      <c r="BD79" s="1111" t="str">
        <f>IF('A-80 DirEntInv'!BD78&lt;&gt;"",'A-80 DirEntInv'!BD78,IF(AK79=summaryref2!B24,summaryref2!T24,IF(Summary!AK79=summaryref2!B38,summaryref2!T38,IF(AK79=summaryref2!B52,summaryref2!T52,IF(AK79=summaryref2!B66,summaryref2!T66,IF(AK79=summaryref2!B80,summaryref2!T80,IF(AK79=summaryref2!B94,summaryref2!T94,IF(AK79=summaryref2!B108,summaryref2!T108,IF(AK79=summaryref2!B122,summaryref2!T122,IF(AK79=summaryref2!B136,summaryref2!T136,IF(AK79=summaryref2!B150,summaryref2!T150,"")))))))))))</f>
        <v/>
      </c>
      <c r="BE79" s="1184" t="str">
        <f>IF('A-80 DirEntInv'!BE78&lt;&gt;"",'A-80 DirEntInv'!BE78,IF(AK79=summaryref2!B24,summaryref2!U24,IF(Summary!AK79=summaryref2!B38,summaryref2!U38,IF(AK79=summaryref2!B52,summaryref2!U52,IF(AK79=summaryref2!B66,summaryref2!U66,IF(AK79=summaryref2!B80,summaryref2!U80,IF(AK79=summaryref2!B94,summaryref2!U94,IF(AK79=summaryref2!B108,summaryref2!U108,IF(AK79=summaryref2!B122,summaryref2!U122,IF(AK79=summaryref2!B136,summaryref2!U136,IF(AK79=summaryref2!B150,summaryref2!U150,"")))))))))))</f>
        <v/>
      </c>
      <c r="BF79" s="1432"/>
      <c r="BG79" s="1432"/>
      <c r="BJ79" s="1041" t="str">
        <f>Codes!$C$165</f>
        <v>LR - Light Rail (DO)</v>
      </c>
      <c r="BK79" s="1042" t="str">
        <f>Valid!$B$85</f>
        <v>Single Turnout</v>
      </c>
      <c r="BL79" s="1375" t="str">
        <f>IF('A-80 DirEntInv'!BL78&lt;&gt;"",'A-80 DirEntInv'!BL78,IF(BJ79=summaryref2!X17,summaryref2!Z17,IF(BJ79=summaryref2!X24,summaryref2!Z24,IF(BJ79=summaryref2!X31,summaryref2!Z31,IF(BJ79=summaryref2!X38,summaryref2!Z38,IF(BJ79=summaryref2!X45,summaryref2!Z45,IF(BJ79=summaryref2!X52,summaryref2!Z52,IF(BJ79=summaryref2!X59,summaryref2!Z59,IF(BJ79=summaryref2!X66,summaryref2!Z66,IF(BJ79=summaryref2!X73,summaryref2!Z73,IF(BJ79=summaryref2!X80,summaryref2!Z80,"")))))))))))</f>
        <v/>
      </c>
      <c r="BM79" s="1042" t="str">
        <f>VLOOKUP(BK79,Valid!$B$80:$C$86,2,FALSE)</f>
        <v>Each</v>
      </c>
      <c r="BN79" s="1209" t="str">
        <f>IF('A-80 DirEntInv'!BN78&lt;&gt;"",'A-80 DirEntInv'!BN78,IF(BJ79=summaryref2!X17,summaryref2!AB17,IF(BJ79=summaryref2!X24,summaryref2!AB24,IF(BJ79=summaryref2!X31,summaryref2!AB31,IF(BJ79=summaryref2!X38,summaryref2!AB38,IF(BJ79=summaryref2!X45,summaryref2!AB45,IF(BJ79=summaryref2!X52,summaryref2!AB52,IF(BJ79=summaryref2!X59,summaryref2!AB59,IF(BJ79=summaryref2!X66,summaryref2!AB66,IF(BJ79=summaryref2!X73,summaryref2!AB73,IF(BJ79=summaryref2!X80,summaryref2!AB80,"")))))))))))</f>
        <v/>
      </c>
      <c r="BO79" s="1116" t="str">
        <f>IF('A-80 DirEntInv'!BO78&lt;&gt;"",'A-80 DirEntInv'!BO78,IF(BJ79=summaryref2!X17,summaryref2!AC17,IF(BJ79=summaryref2!X24,summaryref2!AC24,IF(BJ79=summaryref2!X31,summaryref2!AC31,IF(BJ79=summaryref2!X38,summaryref2!AC38,IF(BJ79=summaryref2!X45,summaryref2!AC45,IF(BJ79=summaryref2!X52,summaryref2!AC52,IF(BJ79=summaryref2!X59,summaryref2!AC59,IF(BJ79=summaryref2!X66,summaryref2!AC66,IF(BJ79=summaryref2!X73,summaryref2!AC73,IF(BJ79=summaryref2!X80,summaryref2!AC80,"")))))))))))</f>
        <v/>
      </c>
      <c r="BP79" s="1384" t="str">
        <f>IF('A-80 DirEntInv'!BP78&lt;&gt;"",'A-80 DirEntInv'!BP78,IF(BJ79=summaryref2!X17,summaryref2!AD17,IF(BJ79=summaryref2!X24,summaryref2!AD24,IF(BJ79=summaryref2!X31,summaryref2!AD31,IF(BJ79=summaryref2!X38,summaryref2!AD38,IF(BJ79=summaryref2!X45,summaryref2!AD45,IF(BJ79=summaryref2!X52,summaryref2!AD52,IF(BJ79=summaryref2!X59,summaryref2!AD59,IF(BJ79=summaryref2!X66,summaryref2!AD66,IF(BJ79=summaryref2!X73,summaryref2!AD73,IF(BJ79=summaryref2!X80,summaryref2!AD80,"")))))))))))</f>
        <v/>
      </c>
      <c r="BS79" s="1472" t="str">
        <f ca="1">IF('A-80 DirEntInv'!BU78&lt;&gt;"",'A-80 DirEntInv'!BU78,IF(INDIRECT(ADDRESS(SumRef!DK85,SumRef!DK$16,,,SumRef!$E$6))="","",INDIRECT(ADDRESS(SumRef!DK85,SumRef!DK$16,,,SumRef!$E$6))))</f>
        <v/>
      </c>
      <c r="BT79" s="1458" t="str">
        <f ca="1">IF('A-80 DirEntInv'!BV78&lt;&gt;"",'A-80 DirEntInv'!BV78,IF(INDIRECT(ADDRESS(SumRef!DL85,SumRef!DL$16,,,SumRef!$E$6))="","",INDIRECT(ADDRESS(SumRef!DL85,SumRef!DL$16,,,SumRef!$E$6))))</f>
        <v/>
      </c>
      <c r="BU79" s="1177" t="str">
        <f ca="1">IF('A-80 DirEntInv'!BW78&lt;&gt;"",'A-80 DirEntInv'!BW78,IF(INDIRECT(ADDRESS(SumRef!DM85,SumRef!DM$16,,,SumRef!$E$6))="","",INDIRECT(ADDRESS(SumRef!DM85,SumRef!DM$16,,,SumRef!$E$6))))</f>
        <v/>
      </c>
      <c r="BV79" s="1460" t="str">
        <f ca="1">IF('A-80 DirEntInv'!BX78&lt;&gt;"",'A-80 DirEntInv'!BX78,IF(INDIRECT(ADDRESS(SumRef!DN85,SumRef!DN$16,,,SumRef!$E$6))="","",INDIRECT(ADDRESS(SumRef!DN85,SumRef!DN$16,,,SumRef!$E$6))))</f>
        <v/>
      </c>
      <c r="BW79" s="1460" t="str">
        <f ca="1">IF('A-80 DirEntInv'!BY78&lt;&gt;"",'A-80 DirEntInv'!BY78,IF(INDIRECT(ADDRESS(SumRef!DO85,SumRef!DO$16,,,SumRef!$E$6))="","",INDIRECT(ADDRESS(SumRef!DO85,SumRef!DO$16,,,SumRef!$E$6))))</f>
        <v/>
      </c>
      <c r="BX79" s="1116" t="str">
        <f ca="1">IF('A-80 DirEntInv'!BZ78&lt;&gt;"",'A-80 DirEntInv'!BZ78,IF(INDIRECT(ADDRESS(SumRef!DP85,SumRef!DP$16,,,SumRef!$E$6))="","",INDIRECT(ADDRESS(SumRef!DP85,SumRef!DP$16,,,SumRef!$E$6))))</f>
        <v/>
      </c>
      <c r="BY79" s="1461" t="str">
        <f ca="1">IF('A-80 DirEntInv'!CA78&lt;&gt;"",'A-80 DirEntInv'!CA78,IF(INDIRECT(ADDRESS(SumRef!DQ85,SumRef!DQ$16,,,SumRef!$E$6))="","",INDIRECT(ADDRESS(SumRef!DQ85,SumRef!DQ$16,,,SumRef!$E$6))))</f>
        <v/>
      </c>
      <c r="BZ79" s="1460" t="str">
        <f ca="1">IF('A-80 DirEntInv'!CB78&lt;&gt;"",'A-80 DirEntInv'!CB78,IF(INDIRECT(ADDRESS(SumRef!DR85,SumRef!DR$16,,,SumRef!$E$6))="","",INDIRECT(ADDRESS(SumRef!DR85,SumRef!DR$16,,,SumRef!$E$6))))</f>
        <v/>
      </c>
      <c r="CA79" s="1462" t="str">
        <f ca="1">IF('A-80 DirEntInv'!CC78&lt;&gt;"",'A-80 DirEntInv'!CC78,IF(INDIRECT(ADDRESS(SumRef!DS85,SumRef!DS$16,,,SumRef!$E$6))="","",INDIRECT(ADDRESS(SumRef!DS85,SumRef!DS$16,,,SumRef!$E$6))))</f>
        <v/>
      </c>
      <c r="CD79" s="1160" t="str">
        <f ca="1">IF('A-80 DirEntInv'!CF78&lt;&gt;"",'A-80 DirEntInv'!CF78,IF(INDIRECT(ADDRESS(SumRef!DV85,SumRef!DV$16,,,SumRef!$E$7))="","",INDIRECT(ADDRESS(SumRef!DV85,SumRef!DV$16,,,SumRef!$E$7))))</f>
        <v/>
      </c>
      <c r="CE79" s="1167" t="str">
        <f ca="1">IF('A-80 DirEntInv'!CG78&lt;&gt;"",'A-80 DirEntInv'!CG78,IF(INDIRECT(ADDRESS(SumRef!DW85,SumRef!DW$16,,,SumRef!$E$7))="","",INDIRECT(ADDRESS(SumRef!DW85,SumRef!DW$16,,,SumRef!$E$7))))</f>
        <v/>
      </c>
      <c r="CF79" s="1167" t="str">
        <f ca="1">IF('A-80 DirEntInv'!CH78&lt;&gt;"",'A-80 DirEntInv'!CH78,IF(INDIRECT(ADDRESS(SumRef!DX85,SumRef!DX$16,,,SumRef!$E$7))="","",INDIRECT(ADDRESS(SumRef!DX85,SumRef!DX$16,,,SumRef!$E$7))))</f>
        <v/>
      </c>
      <c r="CG79" s="1167" t="str">
        <f ca="1">IF('A-80 DirEntInv'!CI78&lt;&gt;"",'A-80 DirEntInv'!CI78,IF(INDIRECT(ADDRESS(SumRef!DY85,SumRef!DY$16,,,SumRef!$E$7))="","",INDIRECT(ADDRESS(SumRef!DY85,SumRef!DY$16,,,SumRef!$E$7))))</f>
        <v/>
      </c>
      <c r="CH79" s="1167" t="str">
        <f ca="1">IF('A-80 DirEntInv'!CJ78&lt;&gt;"",'A-80 DirEntInv'!CJ78,IF(INDIRECT(ADDRESS(SumRef!DZ85,SumRef!DZ$16,,,SumRef!$E$7))="","",INDIRECT(ADDRESS(SumRef!DZ85,SumRef!DZ$16,,,SumRef!$E$7))))</f>
        <v/>
      </c>
      <c r="CI79" s="1167" t="str">
        <f ca="1">IF('A-80 DirEntInv'!CK78&lt;&gt;"",'A-80 DirEntInv'!CK78,IF(INDIRECT(ADDRESS(SumRef!EA85,SumRef!EA$16,,,SumRef!$E$7))="","",INDIRECT(ADDRESS(SumRef!EA85,SumRef!EA$16,,,SumRef!$E$7))))</f>
        <v/>
      </c>
      <c r="CJ79" s="1114" t="str">
        <f ca="1">IF('A-80 DirEntInv'!CL78&lt;&gt;"",'A-80 DirEntInv'!CL78,IF(INDIRECT(ADDRESS(SumRef!EB85,SumRef!EB$16,,,SumRef!$E$7))="","",INDIRECT(ADDRESS(SumRef!EB85,SumRef!EB$16,,,SumRef!$E$7))))</f>
        <v/>
      </c>
      <c r="CK79" s="1114" t="str">
        <f ca="1">IF('A-80 DirEntInv'!CM78&lt;&gt;"",'A-80 DirEntInv'!CM78,IF(INDIRECT(ADDRESS(SumRef!EC85,SumRef!EC$16,,,SumRef!$E$7))="","",INDIRECT(ADDRESS(SumRef!EC85,SumRef!EC$16,,,SumRef!$E$7))))</f>
        <v/>
      </c>
      <c r="CL79" s="1113" t="str">
        <f ca="1">IF('A-80 DirEntInv'!CO78&lt;&gt;"",'A-80 DirEntInv'!CO78,IF(INDIRECT(ADDRESS(SumRef!ED85,SumRef!ED$16,,,SumRef!$E$7))="","",INDIRECT(ADDRESS(SumRef!ED85,SumRef!ED$16,,,SumRef!$E$7))))</f>
        <v/>
      </c>
      <c r="CM79" s="1114" t="str">
        <f ca="1">IF('A-80 DirEntInv'!CP78&lt;&gt;"",'A-80 DirEntInv'!CP78,IF(INDIRECT(ADDRESS(SumRef!EE85,SumRef!EE$16,,,SumRef!$E$7))="","",INDIRECT(ADDRESS(SumRef!EE85,SumRef!EE$16,,,SumRef!$E$7))))</f>
        <v/>
      </c>
      <c r="CN79" s="1114" t="str">
        <f ca="1">IF('A-80 DirEntInv'!CQ78&lt;&gt;"",'A-80 DirEntInv'!CQ78,IF(INDIRECT(ADDRESS(SumRef!EF85,SumRef!EF$16,,,SumRef!$E$7))="","",INDIRECT(ADDRESS(SumRef!EF85,SumRef!EF$16,,,SumRef!$E$7))))</f>
        <v/>
      </c>
      <c r="CO79" s="1113" t="str">
        <f ca="1">IF('A-80 DirEntInv'!CR78&lt;&gt;"",'A-80 DirEntInv'!CR78,IF(INDIRECT(ADDRESS(SumRef!EG85,SumRef!EG$16,,,SumRef!$E$7))="","",INDIRECT(ADDRESS(SumRef!EG85,SumRef!EG$16,,,SumRef!$E$7))))</f>
        <v/>
      </c>
      <c r="CP79" s="1114" t="str">
        <f ca="1">IF('A-80 DirEntInv'!CS78&lt;&gt;"",'A-80 DirEntInv'!CS78,IF(INDIRECT(ADDRESS(SumRef!EH85,SumRef!EH$16,,,SumRef!$E$7))="","",INDIRECT(ADDRESS(SumRef!EH85,SumRef!EH$16,,,SumRef!$E$7))))</f>
        <v/>
      </c>
      <c r="CQ79" s="1346" t="str">
        <f ca="1">IF('A-80 DirEntInv'!CT78&lt;&gt;"",'A-80 DirEntInv'!CT78,IF(INDIRECT(ADDRESS(SumRef!EI85,SumRef!EI$16,,,SumRef!$E$7))="","",INDIRECT(ADDRESS(SumRef!EI85,SumRef!EI$16,,,SumRef!$E$7))))</f>
        <v/>
      </c>
      <c r="CR79" s="1113" t="str">
        <f ca="1">IF('A-80 DirEntInv'!CU78&lt;&gt;"",'A-80 DirEntInv'!CU78,IF(INDIRECT(ADDRESS(SumRef!EJ85,SumRef!EJ$16,,,SumRef!$E$7))="","",INDIRECT(ADDRESS(SumRef!EJ85,SumRef!EJ$16,,,SumRef!$E$7))))</f>
        <v/>
      </c>
      <c r="CS79" s="1346" t="str">
        <f ca="1">IF('A-80 DirEntInv'!CV78&lt;&gt;"",'A-80 DirEntInv'!CV78,IF(INDIRECT(ADDRESS(SumRef!EM85,SumRef!EM$16,,,SumRef!$E$7))="","",INDIRECT(ADDRESS(SumRef!EM85,SumRef!EM$16,,,SumRef!$E$7))))</f>
        <v/>
      </c>
      <c r="CT79" s="1113" t="str">
        <f ca="1">IF('A-80 DirEntInv'!CW78&lt;&gt;"",'A-80 DirEntInv'!CW78,IF(INDIRECT(ADDRESS(SumRef!EN85,SumRef!EN$16,,,SumRef!$E$7))="","",INDIRECT(ADDRESS(SumRef!EN85,SumRef!EN$16,,,SumRef!$E$7))))</f>
        <v/>
      </c>
      <c r="CU79" s="1113" t="str">
        <f ca="1">IF('A-80 DirEntInv'!CX78&lt;&gt;"",'A-80 DirEntInv'!CX78,IF(INDIRECT(ADDRESS(SumRef!EO85,SumRef!EO$16,,,SumRef!$E$7))="","",INDIRECT(ADDRESS(SumRef!EO85,SumRef!EO$16,,,SumRef!$E$7))))</f>
        <v/>
      </c>
      <c r="CV79" s="1113" t="str">
        <f ca="1">IF('A-80 DirEntInv'!CY78&lt;&gt;"",'A-80 DirEntInv'!CY78,IF(INDIRECT(ADDRESS(SumRef!EP85,SumRef!EP$16,,,SumRef!$E$7))="","",INDIRECT(ADDRESS(SumRef!EP85,SumRef!EP$16,,,SumRef!$E$7))))</f>
        <v/>
      </c>
      <c r="CW79" s="1114" t="str">
        <f ca="1">IF('A-80 DirEntInv'!CZ78&lt;&gt;"",'A-80 DirEntInv'!CZ78,IF(INDIRECT(ADDRESS(SumRef!ES85,SumRef!ES$16,,,SumRef!$E$7))="","",INDIRECT(ADDRESS(SumRef!ES85,SumRef!ES$16,,,SumRef!$E$7))))</f>
        <v/>
      </c>
      <c r="CX79" s="1167" t="str">
        <f ca="1">IF('A-80 DirEntInv'!DA78&lt;&gt;"",'A-80 DirEntInv'!DA78,IF(INDIRECT(ADDRESS(SumRef!ET85,SumRef!ET$16,,,SumRef!$E$7))="","",INDIRECT(ADDRESS(SumRef!ET85,SumRef!ET$16,,,SumRef!$E$7))))</f>
        <v/>
      </c>
      <c r="CY79" s="1167" t="str">
        <f ca="1">IF('A-80 DirEntInv'!DB78&lt;&gt;"",'A-80 DirEntInv'!DB78,IF(INDIRECT(ADDRESS(SumRef!EU85,SumRef!EU$16,,,SumRef!$E$7))="","",INDIRECT(ADDRESS(SumRef!EU85,SumRef!EU$16,,,SumRef!$E$7))))</f>
        <v/>
      </c>
      <c r="CZ79" s="1167" t="b">
        <f ca="1">IF('A-80 DirEntInv'!DC78&lt;&gt;"",'A-80 DirEntInv'!DC78,IF(INDIRECT(ADDRESS(SumRef!EV85,SumRef!EV$16,,,SumRef!$E$7))="","",INDIRECT(ADDRESS(SumRef!EV85,SumRef!EV$16,,,SumRef!$E$7))))</f>
        <v>0</v>
      </c>
      <c r="DA79" s="1373" t="str">
        <f ca="1">IF('A-80 DirEntInv'!DD78&lt;&gt;"",'A-80 DirEntInv'!DD78,IF(INDIRECT(ADDRESS(SumRef!EW85,SumRef!EW$16,,,SumRef!$E$7))="","",INDIRECT(ADDRESS(SumRef!EW85,SumRef!EW$16,,,SumRef!$E$7))))</f>
        <v/>
      </c>
      <c r="DB79" s="1373" t="b">
        <f ca="1">IF('A-80 DirEntInv'!DE78&lt;&gt;"",'A-80 DirEntInv'!DE78,IF(INDIRECT(ADDRESS(SumRef!EX85,SumRef!EX$16,,,SumRef!$E$7))="","",INDIRECT(ADDRESS(SumRef!EX85,SumRef!EX$16,,,SumRef!$E$7))))</f>
        <v>0</v>
      </c>
      <c r="DC79" s="1114" t="b">
        <f ca="1">IF('A-80 DirEntInv'!DF78&lt;&gt;"",'A-80 DirEntInv'!DF78,IF(INDIRECT(ADDRESS(SumRef!EY85,SumRef!EY$16,,,SumRef!$E$7))="","",INDIRECT(ADDRESS(SumRef!EY85,SumRef!EY$16,,,SumRef!$E$7))))</f>
        <v>0</v>
      </c>
      <c r="DD79" s="1115" t="str">
        <f ca="1">IF('A-80 DirEntInv'!DG78&lt;&gt;"",'A-80 DirEntInv'!DG78,IF(INDIRECT(ADDRESS(SumRef!EZ85,SumRef!EZ$16,,,SumRef!$E$7))="","",INDIRECT(ADDRESS(SumRef!EZ85,SumRef!EZ$16,,,SumRef!$E$7))))</f>
        <v/>
      </c>
    </row>
    <row r="80" spans="1:108" s="588" customFormat="1" ht="13.5" thickBot="1" x14ac:dyDescent="0.25">
      <c r="A80" s="589">
        <f t="shared" si="1"/>
        <v>70</v>
      </c>
      <c r="B80" s="1155" t="str">
        <f ca="1">IF('A-80 DirEntInv'!B79&lt;&gt;"",'A-80 DirEntInv'!B79,IF(INDIRECT(ADDRESS(SumRef!AQ86,SumRef!AQ$16,,,SumRef!$B$7))="","",INDIRECT(ADDRESS(SumRef!AQ86,SumRef!AQ$16,,,SumRef!$B$7))))</f>
        <v/>
      </c>
      <c r="C80" s="1097" t="str">
        <f ca="1">IF('A-80 DirEntInv'!C79&lt;&gt;"",'A-80 DirEntInv'!C79,IF(INDIRECT(ADDRESS(SumRef!AR86,SumRef!AR$16,,,SumRef!$B$7))="","",INDIRECT(ADDRESS(SumRef!AR86,SumRef!AR$16,,,SumRef!$B$7))))</f>
        <v/>
      </c>
      <c r="D80" s="1097" t="str">
        <f ca="1">IF('A-80 DirEntInv'!D79&lt;&gt;"",'A-80 DirEntInv'!D79,IF(INDIRECT(ADDRESS(SumRef!AS86,SumRef!AS$16,,,SumRef!$B$7))="","",INDIRECT(ADDRESS(SumRef!AS86,SumRef!AS$16,,,SumRef!$B$7))))</f>
        <v/>
      </c>
      <c r="E80" s="1097" t="str">
        <f ca="1">IF('A-80 DirEntInv'!E79&lt;&gt;"",'A-80 DirEntInv'!E79,IF(INDIRECT(ADDRESS(SumRef!AT86,SumRef!AT$16,,,SumRef!$B$7))="","",INDIRECT(ADDRESS(SumRef!AT86,SumRef!AT$16,,,SumRef!$B$7))))</f>
        <v/>
      </c>
      <c r="F80" s="1097" t="str">
        <f ca="1">IF('A-80 DirEntInv'!F79&lt;&gt;"",'A-80 DirEntInv'!F79,IF(INDIRECT(ADDRESS(SumRef!AU86,SumRef!AU$16,,,SumRef!$B$7))="","",INDIRECT(ADDRESS(SumRef!AU86,SumRef!AU$16,,,SumRef!$B$7))))</f>
        <v/>
      </c>
      <c r="G80" s="1158" t="str">
        <f ca="1">IF('A-80 DirEntInv'!G79&lt;&gt;"",'A-80 DirEntInv'!G79,IF(INDIRECT(ADDRESS(SumRef!AV86,SumRef!AV$16,,,SumRef!$B$7))="","",INDIRECT(ADDRESS(SumRef!AV86,SumRef!AV$16,,,SumRef!$B$7))))</f>
        <v/>
      </c>
      <c r="H80" s="1097" t="str">
        <f ca="1">IF('A-80 DirEntInv'!H79&lt;&gt;"",'A-80 DirEntInv'!H79,IF(INDIRECT(ADDRESS(SumRef!AW86,SumRef!AW$16,,,SumRef!$B$7))="","",INDIRECT(ADDRESS(SumRef!AW86,SumRef!AW$16,,,SumRef!$B$7))))</f>
        <v/>
      </c>
      <c r="I80" s="1097" t="str">
        <f ca="1">IF('A-80 DirEntInv'!I79&lt;&gt;"",'A-80 DirEntInv'!I79,IF(INDIRECT(ADDRESS(SumRef!AX86,SumRef!AX$16,,,SumRef!$B$7))="","",INDIRECT(ADDRESS(SumRef!AX86,SumRef!AX$16,,,SumRef!$B$7))))</f>
        <v/>
      </c>
      <c r="J80" s="1098" t="str">
        <f ca="1">IF('A-80 DirEntInv'!J79&lt;&gt;"",'A-80 DirEntInv'!J79,IF(INDIRECT(ADDRESS(SumRef!AY86,SumRef!AY$16,,,SumRef!$B$7))="","",INDIRECT(ADDRESS(SumRef!AY86,SumRef!AY$16,,,SumRef!$B$7))))</f>
        <v/>
      </c>
      <c r="K80" s="1099" t="str">
        <f ca="1">IF('A-80 DirEntInv'!K79&lt;&gt;"",'A-80 DirEntInv'!K79,IF(INDIRECT(ADDRESS(SumRef!AZ86,SumRef!AZ$16,,,SumRef!$B$7))="","",INDIRECT(ADDRESS(SumRef!AZ86,SumRef!AZ$16,,,SumRef!$B$7))))</f>
        <v/>
      </c>
      <c r="L80" s="1100" t="str">
        <f ca="1">IF('A-80 DirEntInv'!L79&lt;&gt;"",'A-80 DirEntInv'!L79,IF(INDIRECT(ADDRESS(SumRef!BA86,SumRef!BA$16,,,SumRef!$B$7))="","",INDIRECT(ADDRESS(SumRef!BA86,SumRef!BA$16,,,SumRef!$B$7))))</f>
        <v/>
      </c>
      <c r="M80" s="1101" t="str">
        <f ca="1">IF('A-80 DirEntInv'!M79&lt;&gt;"",'A-80 DirEntInv'!M79,IF(INDIRECT(ADDRESS(SumRef!BB86,SumRef!BB$16,,,SumRef!$B$7))="","",INDIRECT(ADDRESS(SumRef!BB86,SumRef!BB$16,,,SumRef!$B$7))))</f>
        <v/>
      </c>
      <c r="N80" s="1098" t="str">
        <f ca="1">IF('A-80 DirEntInv'!N79&lt;&gt;"",'A-80 DirEntInv'!N79,IF(INDIRECT(ADDRESS(SumRef!BC86,SumRef!BC$16,,,SumRef!$B$7))="","",INDIRECT(ADDRESS(SumRef!BC86,SumRef!BC$16,,,SumRef!$B$7))))</f>
        <v/>
      </c>
      <c r="O80" s="1102" t="str">
        <f ca="1">IF('A-80 DirEntInv'!O79&lt;&gt;"",'A-80 DirEntInv'!O79,IF(INDIRECT(ADDRESS(SumRef!BD86,SumRef!BD$16,,,SumRef!$B$7))="","",INDIRECT(ADDRESS(SumRef!BD86,SumRef!BD$16,,,SumRef!$B$7))))</f>
        <v/>
      </c>
      <c r="Q80" s="589"/>
      <c r="R80" s="1103" t="str">
        <f ca="1">IF('A-80 DirEntInv'!R79&lt;&gt;"",'A-80 DirEntInv'!R79,IF(INDIRECT(ADDRESS(SumRef!BH86,SumRef!BH$16,,,SumRef!$B$8))="","",INDIRECT(ADDRESS(SumRef!BH86,SumRef!BH$16,,,SumRef!$B$8))))</f>
        <v/>
      </c>
      <c r="S80" s="1104" t="str">
        <f ca="1">IF('A-80 DirEntInv'!S79&lt;&gt;"",'A-80 DirEntInv'!S79,IF(INDIRECT(ADDRESS(SumRef!BI86,SumRef!BI$16,,,SumRef!$B$8))="","",INDIRECT(ADDRESS(SumRef!BI86,SumRef!BI$16,,,SumRef!$B$8))))</f>
        <v/>
      </c>
      <c r="T80" s="1104" t="str">
        <f ca="1">IF('A-80 DirEntInv'!T79&lt;&gt;"",'A-80 DirEntInv'!T79,IF(INDIRECT(ADDRESS(SumRef!BJ86,SumRef!BJ$16,,,SumRef!$B$8))="","",INDIRECT(ADDRESS(SumRef!BJ86,SumRef!BJ$16,,,SumRef!$B$8))))</f>
        <v/>
      </c>
      <c r="U80" s="1104" t="str">
        <f ca="1">IF('A-80 DirEntInv'!U79&lt;&gt;"",'A-80 DirEntInv'!U79,IF(INDIRECT(ADDRESS(SumRef!BK86,SumRef!BK$16,,,SumRef!$B$8))="","",INDIRECT(ADDRESS(SumRef!BK86,SumRef!BK$16,,,SumRef!$B$8))))</f>
        <v/>
      </c>
      <c r="V80" s="1104" t="str">
        <f ca="1">IF('A-80 DirEntInv'!V79&lt;&gt;"",'A-80 DirEntInv'!V79,IF(INDIRECT(ADDRESS(SumRef!BL86,SumRef!BL$16,,,SumRef!$B$8))="","",INDIRECT(ADDRESS(SumRef!BL86,SumRef!BL$16,,,SumRef!$B$8))))</f>
        <v/>
      </c>
      <c r="W80" s="1354" t="str">
        <f ca="1">IF('A-80 DirEntInv'!W79&lt;&gt;"",'A-80 DirEntInv'!W79,IF(INDIRECT(ADDRESS(SumRef!BM86,SumRef!BM$16,,,SumRef!$B$8))="","",INDIRECT(ADDRESS(SumRef!BM86,SumRef!BM$16,,,SumRef!$B$8))))</f>
        <v/>
      </c>
      <c r="X80" s="1203" t="str">
        <f ca="1">IF('A-80 DirEntInv'!X79&lt;&gt;"",'A-80 DirEntInv'!X79,IF(INDIRECT(ADDRESS(SumRef!BN86,SumRef!BN$16,,,SumRef!$B$8))="","",INDIRECT(ADDRESS(SumRef!BN86,SumRef!BN$16,,,SumRef!$B$8))))</f>
        <v/>
      </c>
      <c r="Y80" s="1203" t="str">
        <f ca="1">IF('A-80 DirEntInv'!Y79&lt;&gt;"",'A-80 DirEntInv'!Y79,IF(INDIRECT(ADDRESS(SumRef!BO86,SumRef!BO$16,,,SumRef!$B$8))="","",INDIRECT(ADDRESS(SumRef!BO86,SumRef!BO$16,,,SumRef!$B$8))))</f>
        <v/>
      </c>
      <c r="Z80" s="1104" t="str">
        <f ca="1">IF('A-80 DirEntInv'!Z79&lt;&gt;"",'A-80 DirEntInv'!Z79,IF(INDIRECT(ADDRESS(SumRef!BP86,SumRef!BP$16,,,SumRef!$B$8))="","",INDIRECT(ADDRESS(SumRef!BP86,SumRef!BP$16,,,SumRef!$B$8))))</f>
        <v/>
      </c>
      <c r="AA80" s="1104" t="str">
        <f ca="1">IF('A-80 DirEntInv'!AA79&lt;&gt;"",'A-80 DirEntInv'!AA79,IF(INDIRECT(ADDRESS(SumRef!BQ86,SumRef!BQ$16,,,SumRef!$B$8))="","",INDIRECT(ADDRESS(SumRef!BQ86,SumRef!BQ$16,,,SumRef!$B$8))))</f>
        <v/>
      </c>
      <c r="AB80" s="1106" t="str">
        <f ca="1">IF('A-80 DirEntInv'!AB79&lt;&gt;"",'A-80 DirEntInv'!AB79,IF(INDIRECT(ADDRESS(SumRef!BR86,SumRef!BR$16,,,SumRef!$B$8))="","",INDIRECT(ADDRESS(SumRef!BR86,SumRef!BR$16,,,SumRef!$B$8))))</f>
        <v/>
      </c>
      <c r="AC80" s="1107" t="str">
        <f ca="1">IF('A-80 DirEntInv'!AC79&lt;&gt;"",'A-80 DirEntInv'!AC79,IF(INDIRECT(ADDRESS(SumRef!BS86,SumRef!BS$16,,,SumRef!$B$8))="","",INDIRECT(ADDRESS(SumRef!BS86,SumRef!BS$16,,,SumRef!$B$8))))</f>
        <v/>
      </c>
      <c r="AD80" s="1349" t="str">
        <f ca="1">IF('A-80 DirEntInv'!AD79&lt;&gt;"",'A-80 DirEntInv'!AD79,IF(INDIRECT(ADDRESS(SumRef!BT86,SumRef!BT$16,,,SumRef!$B$8))="","",INDIRECT(ADDRESS(SumRef!BT86,SumRef!BT$16,,,SumRef!$B$8))))</f>
        <v/>
      </c>
      <c r="AE80" s="1137" t="str">
        <f ca="1">IF('A-80 DirEntInv'!AE79&lt;&gt;"",'A-80 DirEntInv'!AE79,IF(INDIRECT(ADDRESS(SumRef!BU86,SumRef!BU$16,,,SumRef!$B$8))="","",INDIRECT(ADDRESS(SumRef!BU86,SumRef!BU$16,,,SumRef!$B$8))))</f>
        <v/>
      </c>
      <c r="AF80" s="1346" t="str">
        <f ca="1">IF('A-80 DirEntInv'!AF79&lt;&gt;"",'A-80 DirEntInv'!AF79,IF(INDIRECT(ADDRESS(SumRef!BV86,SumRef!BV$16,,,SumRef!$B$8))="","",INDIRECT(ADDRESS(SumRef!BV86,SumRef!BV$16,,,SumRef!$B$8))))</f>
        <v/>
      </c>
      <c r="AG80" s="1105" t="str">
        <f ca="1">IF('A-80 DirEntInv'!AG79&lt;&gt;"",'A-80 DirEntInv'!AG79,IF(INDIRECT(ADDRESS(SumRef!BW86,SumRef!BW$16,,,SumRef!$B$8))="","",INDIRECT(ADDRESS(SumRef!BW86,SumRef!BW$16,,,SumRef!$B$8))))</f>
        <v/>
      </c>
      <c r="AH80" s="1357" t="str">
        <f ca="1">IF('A-80 DirEntInv'!AH79&lt;&gt;"",'A-80 DirEntInv'!AH79,IF(INDIRECT(ADDRESS(SumRef!BX86,SumRef!BX$16,,,SumRef!$B$8))="","",INDIRECT(ADDRESS(SumRef!BX86,SumRef!BX$16,,,SumRef!$B$8))))</f>
        <v/>
      </c>
      <c r="AK80" s="1047" t="str">
        <f>Codes!$C$160</f>
        <v>CC - Cable Car (PT)</v>
      </c>
      <c r="AL80" s="1050" t="str">
        <f>Valid!$B$91</f>
        <v>Train Control &amp; Signaling</v>
      </c>
      <c r="AM80" s="1185"/>
      <c r="AN80" s="1050"/>
      <c r="AO80" s="1185"/>
      <c r="AP80" s="1050"/>
      <c r="AQ80" s="1386" t="str">
        <f>IF('A-80 DirEntInv'!AQ79&lt;&gt;"",'A-80 DirEntInv'!AQ79,IF(AK80=summaryref2!B25,summaryref2!G25,IF(Summary!AK80=summaryref2!B39,summaryref2!G39,IF(AK80=summaryref2!B53,summaryref2!G53,IF(AK80=summaryref2!B67,summaryref2!G67,IF(AK80=summaryref2!B81,summaryref2!G81,IF(AK80=summaryref2!B95,summaryref2!G95,IF(AK80=summaryref2!B109,summaryref2!G109,IF(AK80=summaryref2!B123,summaryref2!G123,IF(AK80=summaryref2!B137,summaryref2!G137,IF(AK80=summaryref2!B151,summaryref2!G151,"")))))))))))</f>
        <v/>
      </c>
      <c r="AR80" s="1386" t="str">
        <f>IF('A-80 DirEntInv'!AR79&lt;&gt;"",'A-80 DirEntInv'!AR79,IF(AK80=summaryref2!B25,summaryref2!H25,IF(Summary!AK80=summaryref2!B39,summaryref2!H39,IF(AK80=summaryref2!B53,summaryref2!H53,IF(AK80=summaryref2!B67,summaryref2!H67,IF(AK80=summaryref2!B81,summaryref2!H81,IF(AK80=summaryref2!B95,summaryref2!H95,IF(AK80=summaryref2!B109,summaryref2!H109,IF(AK80=summaryref2!B123,summaryref2!H123,IF(AK80=summaryref2!B137,summaryref2!H137,IF(AK80=summaryref2!B151,summaryref2!H151,"")))))))))))</f>
        <v/>
      </c>
      <c r="AS80" s="1387" t="str">
        <f>IF('A-80 DirEntInv'!AS79&lt;&gt;"",'A-80 DirEntInv'!AS79,IF(AK80=summaryref2!B25,summaryref2!I25,IF(Summary!AK80=summaryref2!B39,summaryref2!I39,IF(AK80=summaryref2!B53,summaryref2!I53,IF(AK80=summaryref2!B67,summaryref2!I67,IF(AK80=summaryref2!B81,summaryref2!I81,IF(AK80=summaryref2!B95,summaryref2!I95,IF(AK80=summaryref2!B109,summaryref2!I109,IF(AK80=summaryref2!B123,summaryref2!I123,IF(AK80=summaryref2!B137,summaryref2!I137,IF(AK80=summaryref2!B151,summaryref2!I151,"")))))))))))</f>
        <v/>
      </c>
      <c r="AT80" s="1387" t="str">
        <f>IF('A-80 DirEntInv'!AT79&lt;&gt;"",'A-80 DirEntInv'!AT79,IF(AK80=summaryref2!B25,summaryref2!J25,IF(Summary!AK80=summaryref2!B39,summaryref2!J39,IF(AK80=summaryref2!B53,summaryref2!J53,IF(AK80=summaryref2!B67,summaryref2!J67,IF(AK80=summaryref2!B81,summaryref2!J81,IF(AK80=summaryref2!B95,summaryref2!J95,IF(AK80=summaryref2!B109,summaryref2!J109,IF(AK80=summaryref2!B123,summaryref2!J123,IF(AK80=summaryref2!B137,summaryref2!J137,IF(AK80=summaryref2!B151,summaryref2!J151,"")))))))))))</f>
        <v/>
      </c>
      <c r="AU80" s="1387" t="str">
        <f>IF('A-80 DirEntInv'!AU79&lt;&gt;"",'A-80 DirEntInv'!AU79,IF(AK80=summaryref2!B25,summaryref2!K25,IF(Summary!AK80=summaryref2!B39,summaryref2!K39,IF(AK80=summaryref2!B53,summaryref2!K53,IF(AK80=summaryref2!B67,summaryref2!K67,IF(AK80=summaryref2!B81,summaryref2!K81,IF(AK80=summaryref2!B95,summaryref2!K95,IF(AK80=summaryref2!B109,summaryref2!K109,IF(AK80=summaryref2!B123,summaryref2!K123,IF(AK80=summaryref2!B137,summaryref2!K137,IF(AK80=summaryref2!B151,summaryref2!K151,"")))))))))))</f>
        <v/>
      </c>
      <c r="AV80" s="1387" t="str">
        <f>IF('A-80 DirEntInv'!AV79&lt;&gt;"",'A-80 DirEntInv'!AV79,IF(AK80=summaryref2!B25,summaryref2!L25,IF(Summary!AK80=summaryref2!B39,summaryref2!L39,IF(AK80=summaryref2!B53,summaryref2!L53,IF(AK80=summaryref2!B67,summaryref2!L67,IF(AK80=summaryref2!B81,summaryref2!L81,IF(AK80=summaryref2!B95,summaryref2!L95,IF(AK80=summaryref2!B109,summaryref2!L109,IF(AK80=summaryref2!B123,summaryref2!L123,IF(AK80=summaryref2!B137,summaryref2!L137,IF(AK80=summaryref2!B151,summaryref2!L151,"")))))))))))</f>
        <v/>
      </c>
      <c r="AW80" s="1387" t="str">
        <f>IF('A-80 DirEntInv'!AW79&lt;&gt;"",'A-80 DirEntInv'!AW79,IF(AK80=summaryref2!B25,summaryref2!M25,IF(Summary!AK80=summaryref2!B39,summaryref2!M39,IF(AK80=summaryref2!B53,summaryref2!M53,IF(AK80=summaryref2!B67,summaryref2!M67,IF(AK80=summaryref2!B81,summaryref2!M81,IF(AK80=summaryref2!B95,summaryref2!M95,IF(AK80=summaryref2!B109,summaryref2!M109,IF(AK80=summaryref2!B123,summaryref2!M123,IF(AK80=summaryref2!B137,summaryref2!M137,IF(AK80=summaryref2!B151,summaryref2!M151,"")))))))))))</f>
        <v/>
      </c>
      <c r="AX80" s="1387" t="str">
        <f>IF('A-80 DirEntInv'!AX79&lt;&gt;"",'A-80 DirEntInv'!AX79,IF(AK80=summaryref2!B25,summaryref2!N25,IF(Summary!AK80=summaryref2!B39,summaryref2!N39,IF(AK80=summaryref2!B53,summaryref2!N53,IF(AK80=summaryref2!B67,summaryref2!N67,IF(AK80=summaryref2!B81,summaryref2!N81,IF(AK80=summaryref2!B95,summaryref2!N95,IF(AK80=summaryref2!B109,summaryref2!N109,IF(AK80=summaryref2!B123,summaryref2!N123,IF(AK80=summaryref2!B137,summaryref2!N137,IF(AK80=summaryref2!B151,summaryref2!N151,"")))))))))))</f>
        <v/>
      </c>
      <c r="AY80" s="1387" t="str">
        <f>IF('A-80 DirEntInv'!AY79&lt;&gt;"",'A-80 DirEntInv'!AY79,IF(AK80=summaryref2!B25,summaryref2!O25,IF(Summary!AK80=summaryref2!B39,summaryref2!O39,IF(AK80=summaryref2!B53,summaryref2!O53,IF(AK80=summaryref2!B67,summaryref2!O67,IF(AK80=summaryref2!B81,summaryref2!O81,IF(AK80=summaryref2!B95,summaryref2!O95,IF(AK80=summaryref2!B109,summaryref2!O109,IF(AK80=summaryref2!B123,summaryref2!O123,IF(AK80=summaryref2!B137,summaryref2!O137,IF(AK80=summaryref2!B151,summaryref2!O151,"")))))))))))</f>
        <v/>
      </c>
      <c r="AZ80" s="1387" t="str">
        <f>IF('A-80 DirEntInv'!AZ79&lt;&gt;"",'A-80 DirEntInv'!AZ79,IF(AK80=summaryref2!B25,summaryref2!P25,IF(Summary!AK80=summaryref2!B39,summaryref2!P39,IF(AK80=summaryref2!B53,summaryref2!P53,IF(AK80=summaryref2!B67,summaryref2!P67,IF(AK80=summaryref2!B81,summaryref2!P81,IF(AK80=summaryref2!B95,summaryref2!P95,IF(AK80=summaryref2!B109,summaryref2!P109,IF(AK80=summaryref2!B123,summaryref2!P123,IF(AK80=summaryref2!B137,summaryref2!P137,IF(AK80=summaryref2!B151,summaryref2!P151,"")))))))))))</f>
        <v/>
      </c>
      <c r="BA80" s="1387" t="str">
        <f>IF('A-80 DirEntInv'!BA79&lt;&gt;"",'A-80 DirEntInv'!BA79,IF(AK80=summaryref2!B25,summaryref2!Q25,IF(Summary!AK80=summaryref2!B39,summaryref2!Q39,IF(AK80=summaryref2!B53,summaryref2!Q53,IF(AK80=summaryref2!B67,summaryref2!Q67,IF(AK80=summaryref2!B81,summaryref2!Q81,IF(AK80=summaryref2!B95,summaryref2!Q95,IF(AK80=summaryref2!B109,summaryref2!Q109,IF(AK80=summaryref2!B123,summaryref2!Q123,IF(AK80=summaryref2!B137,summaryref2!Q137,IF(AK80=summaryref2!B151,summaryref2!Q151,"")))))))))))</f>
        <v/>
      </c>
      <c r="BB80" s="1387" t="str">
        <f>IF('A-80 DirEntInv'!BB79&lt;&gt;"",'A-80 DirEntInv'!BB79,IF(AK80=summaryref2!B25,summaryref2!R25,IF(Summary!AK80=summaryref2!B39,summaryref2!R39,IF(AK80=summaryref2!B53,summaryref2!R53,IF(AK80=summaryref2!B67,summaryref2!R67,IF(AK80=summaryref2!B81,summaryref2!R81,IF(AK80=summaryref2!B95,summaryref2!R95,IF(AK80=summaryref2!B109,summaryref2!R109,IF(AK80=summaryref2!B123,summaryref2!R123,IF(AK80=summaryref2!B137,summaryref2!R137,IF(AK80=summaryref2!B151,summaryref2!R151,"")))))))))))</f>
        <v/>
      </c>
      <c r="BC80" s="1387" t="str">
        <f>IF('A-80 DirEntInv'!BC79&lt;&gt;0,'A-80 DirEntInv'!BC79,IF(AK80=summaryref2!B25,summaryref2!S25,IF(Summary!AK80=summaryref2!B39,summaryref2!S39,IF(AK80=summaryref2!B53,summaryref2!S53,IF(AK80=summaryref2!B67,summaryref2!S67,IF(AK80=summaryref2!B81,summaryref2!S81,IF(AK80=summaryref2!B95,summaryref2!S95,IF(AK80=summaryref2!B109,summaryref2!S109,IF(AK80=summaryref2!B123,summaryref2!S123,IF(AK80=summaryref2!B137,summaryref2!S137,IF(AK80=summaryref2!B151,summaryref2!S151,"")))))))))))</f>
        <v/>
      </c>
      <c r="BD80" s="1118" t="str">
        <f>IF('A-80 DirEntInv'!BD79&lt;&gt;"",'A-80 DirEntInv'!BD79,IF(AK80=summaryref2!B25,summaryref2!T25,IF(Summary!AK80=summaryref2!B39,summaryref2!T39,IF(AK80=summaryref2!B53,summaryref2!T53,IF(AK80=summaryref2!B67,summaryref2!T67,IF(AK80=summaryref2!B81,summaryref2!T81,IF(AK80=summaryref2!B95,summaryref2!T95,IF(AK80=summaryref2!B109,summaryref2!T109,IF(AK80=summaryref2!B123,summaryref2!T123,IF(AK80=summaryref2!B137,summaryref2!T137,IF(AK80=summaryref2!B151,summaryref2!T151,"")))))))))))</f>
        <v/>
      </c>
      <c r="BE80" s="1186" t="str">
        <f>IF('A-80 DirEntInv'!BE79&lt;&gt;"",'A-80 DirEntInv'!BE79,IF(AK80=summaryref2!B25,summaryref2!U25,IF(Summary!AK80=summaryref2!B39,summaryref2!U39,IF(AK80=summaryref2!B53,summaryref2!U53,IF(AK80=summaryref2!B67,summaryref2!U67,IF(AK80=summaryref2!B81,summaryref2!U81,IF(AK80=summaryref2!B95,summaryref2!U95,IF(AK80=summaryref2!B109,summaryref2!U109,IF(AK80=summaryref2!B123,summaryref2!U123,IF(AK80=summaryref2!B137,summaryref2!U137,IF(AK80=summaryref2!B151,summaryref2!U151,"")))))))))))</f>
        <v/>
      </c>
      <c r="BF80" s="1432"/>
      <c r="BG80" s="1432"/>
      <c r="BJ80" s="1047" t="str">
        <f>Codes!$C$165</f>
        <v>LR - Light Rail (DO)</v>
      </c>
      <c r="BK80" s="1050" t="str">
        <f>Valid!$B$86</f>
        <v>Grade Crossings</v>
      </c>
      <c r="BL80" s="1369" t="str">
        <f>IF('A-80 DirEntInv'!BL79&lt;&gt;"",'A-80 DirEntInv'!BL79,IF(BJ80=summaryref2!X18,summaryref2!Z18,IF(BJ80=summaryref2!X25,summaryref2!Z25,IF(BJ80=summaryref2!X32,summaryref2!Z32,IF(BJ80=summaryref2!X39,summaryref2!Z39,IF(BJ80=summaryref2!X46,summaryref2!Z46,IF(BJ80=summaryref2!X53,summaryref2!Z53,IF(BJ80=summaryref2!X60,summaryref2!Z60,IF(BJ80=summaryref2!X67,summaryref2!Z67,IF(BJ80=summaryref2!X74,summaryref2!Z74,IF(BJ80=summaryref2!X81,summaryref2!Z81,"")))))))))))</f>
        <v/>
      </c>
      <c r="BM80" s="1050" t="str">
        <f>VLOOKUP(BK80,Valid!$B$80:$C$86,2,FALSE)</f>
        <v>Each</v>
      </c>
      <c r="BN80" s="1210" t="str">
        <f>IF('A-80 DirEntInv'!BN79&lt;&gt;"",'A-80 DirEntInv'!BN79,IF(BJ80=summaryref2!X18,summaryref2!AB18,IF(BJ80=summaryref2!X25,summaryref2!AB25,IF(BJ80=summaryref2!X32,summaryref2!AB32,IF(BJ80=summaryref2!X39,summaryref2!AB39,IF(BJ80=summaryref2!X46,summaryref2!AB46,IF(BJ80=summaryref2!X53,summaryref2!AB53,IF(BJ80=summaryref2!X60,summaryref2!AB60,IF(BJ80=summaryref2!X67,summaryref2!AB67,IF(BJ80=summaryref2!X74,summaryref2!AB74,IF(BJ80=summaryref2!X81,summaryref2!AB81,"")))))))))))</f>
        <v/>
      </c>
      <c r="BO80" s="1117" t="str">
        <f>IF('A-80 DirEntInv'!BO79&lt;&gt;"",'A-80 DirEntInv'!BO79,IF(BJ80=summaryref2!X18,summaryref2!AC18,IF(BJ80=summaryref2!X25,summaryref2!AC25,IF(BJ80=summaryref2!X32,summaryref2!AC32,IF(BJ80=summaryref2!X39,summaryref2!AC39,IF(BJ80=summaryref2!X46,summaryref2!AC46,IF(BJ80=summaryref2!X53,summaryref2!AC53,IF(BJ80=summaryref2!X60,summaryref2!AC60,IF(BJ80=summaryref2!X67,summaryref2!AC67,IF(BJ80=summaryref2!X74,summaryref2!AC74,IF(BJ80=summaryref2!X81,summaryref2!AC81,"")))))))))))</f>
        <v/>
      </c>
      <c r="BP80" s="1321" t="str">
        <f>IF('A-80 DirEntInv'!BP79&lt;&gt;"",'A-80 DirEntInv'!BP79,IF(BJ80=summaryref2!X18,summaryref2!AD18,IF(BJ80=summaryref2!X25,summaryref2!AD25,IF(BJ80=summaryref2!X32,summaryref2!AD32,IF(BJ80=summaryref2!X39,summaryref2!AD39,IF(BJ80=summaryref2!X46,summaryref2!AD46,IF(BJ80=summaryref2!X53,summaryref2!AD53,IF(BJ80=summaryref2!X60,summaryref2!AD60,IF(BJ80=summaryref2!X67,summaryref2!AD67,IF(BJ80=summaryref2!X74,summaryref2!AD74,IF(BJ80=summaryref2!X81,summaryref2!AD81,"")))))))))))</f>
        <v/>
      </c>
      <c r="BS80" s="1472" t="str">
        <f ca="1">IF('A-80 DirEntInv'!BU79&lt;&gt;"",'A-80 DirEntInv'!BU79,IF(INDIRECT(ADDRESS(SumRef!DK86,SumRef!DK$16,,,SumRef!$E$6))="","",INDIRECT(ADDRESS(SumRef!DK86,SumRef!DK$16,,,SumRef!$E$6))))</f>
        <v/>
      </c>
      <c r="BT80" s="1458" t="str">
        <f ca="1">IF('A-80 DirEntInv'!BV79&lt;&gt;"",'A-80 DirEntInv'!BV79,IF(INDIRECT(ADDRESS(SumRef!DL86,SumRef!DL$16,,,SumRef!$E$6))="","",INDIRECT(ADDRESS(SumRef!DL86,SumRef!DL$16,,,SumRef!$E$6))))</f>
        <v/>
      </c>
      <c r="BU80" s="1177" t="str">
        <f ca="1">IF('A-80 DirEntInv'!BW79&lt;&gt;"",'A-80 DirEntInv'!BW79,IF(INDIRECT(ADDRESS(SumRef!DM86,SumRef!DM$16,,,SumRef!$E$6))="","",INDIRECT(ADDRESS(SumRef!DM86,SumRef!DM$16,,,SumRef!$E$6))))</f>
        <v/>
      </c>
      <c r="BV80" s="1460" t="str">
        <f ca="1">IF('A-80 DirEntInv'!BX79&lt;&gt;"",'A-80 DirEntInv'!BX79,IF(INDIRECT(ADDRESS(SumRef!DN86,SumRef!DN$16,,,SumRef!$E$6))="","",INDIRECT(ADDRESS(SumRef!DN86,SumRef!DN$16,,,SumRef!$E$6))))</f>
        <v/>
      </c>
      <c r="BW80" s="1460" t="str">
        <f ca="1">IF('A-80 DirEntInv'!BY79&lt;&gt;"",'A-80 DirEntInv'!BY79,IF(INDIRECT(ADDRESS(SumRef!DO86,SumRef!DO$16,,,SumRef!$E$6))="","",INDIRECT(ADDRESS(SumRef!DO86,SumRef!DO$16,,,SumRef!$E$6))))</f>
        <v/>
      </c>
      <c r="BX80" s="1116" t="str">
        <f ca="1">IF('A-80 DirEntInv'!BZ79&lt;&gt;"",'A-80 DirEntInv'!BZ79,IF(INDIRECT(ADDRESS(SumRef!DP86,SumRef!DP$16,,,SumRef!$E$6))="","",INDIRECT(ADDRESS(SumRef!DP86,SumRef!DP$16,,,SumRef!$E$6))))</f>
        <v/>
      </c>
      <c r="BY80" s="1461" t="str">
        <f ca="1">IF('A-80 DirEntInv'!CA79&lt;&gt;"",'A-80 DirEntInv'!CA79,IF(INDIRECT(ADDRESS(SumRef!DQ86,SumRef!DQ$16,,,SumRef!$E$6))="","",INDIRECT(ADDRESS(SumRef!DQ86,SumRef!DQ$16,,,SumRef!$E$6))))</f>
        <v/>
      </c>
      <c r="BZ80" s="1460" t="str">
        <f ca="1">IF('A-80 DirEntInv'!CB79&lt;&gt;"",'A-80 DirEntInv'!CB79,IF(INDIRECT(ADDRESS(SumRef!DR86,SumRef!DR$16,,,SumRef!$E$6))="","",INDIRECT(ADDRESS(SumRef!DR86,SumRef!DR$16,,,SumRef!$E$6))))</f>
        <v/>
      </c>
      <c r="CA80" s="1462" t="str">
        <f ca="1">IF('A-80 DirEntInv'!CC79&lt;&gt;"",'A-80 DirEntInv'!CC79,IF(INDIRECT(ADDRESS(SumRef!DS86,SumRef!DS$16,,,SumRef!$E$6))="","",INDIRECT(ADDRESS(SumRef!DS86,SumRef!DS$16,,,SumRef!$E$6))))</f>
        <v/>
      </c>
      <c r="CD80" s="1160" t="str">
        <f ca="1">IF('A-80 DirEntInv'!CF79&lt;&gt;"",'A-80 DirEntInv'!CF79,IF(INDIRECT(ADDRESS(SumRef!DV86,SumRef!DV$16,,,SumRef!$E$7))="","",INDIRECT(ADDRESS(SumRef!DV86,SumRef!DV$16,,,SumRef!$E$7))))</f>
        <v/>
      </c>
      <c r="CE80" s="1167" t="str">
        <f ca="1">IF('A-80 DirEntInv'!CG79&lt;&gt;"",'A-80 DirEntInv'!CG79,IF(INDIRECT(ADDRESS(SumRef!DW86,SumRef!DW$16,,,SumRef!$E$7))="","",INDIRECT(ADDRESS(SumRef!DW86,SumRef!DW$16,,,SumRef!$E$7))))</f>
        <v/>
      </c>
      <c r="CF80" s="1167" t="str">
        <f ca="1">IF('A-80 DirEntInv'!CH79&lt;&gt;"",'A-80 DirEntInv'!CH79,IF(INDIRECT(ADDRESS(SumRef!DX86,SumRef!DX$16,,,SumRef!$E$7))="","",INDIRECT(ADDRESS(SumRef!DX86,SumRef!DX$16,,,SumRef!$E$7))))</f>
        <v/>
      </c>
      <c r="CG80" s="1167" t="str">
        <f ca="1">IF('A-80 DirEntInv'!CI79&lt;&gt;"",'A-80 DirEntInv'!CI79,IF(INDIRECT(ADDRESS(SumRef!DY86,SumRef!DY$16,,,SumRef!$E$7))="","",INDIRECT(ADDRESS(SumRef!DY86,SumRef!DY$16,,,SumRef!$E$7))))</f>
        <v/>
      </c>
      <c r="CH80" s="1167" t="str">
        <f ca="1">IF('A-80 DirEntInv'!CJ79&lt;&gt;"",'A-80 DirEntInv'!CJ79,IF(INDIRECT(ADDRESS(SumRef!DZ86,SumRef!DZ$16,,,SumRef!$E$7))="","",INDIRECT(ADDRESS(SumRef!DZ86,SumRef!DZ$16,,,SumRef!$E$7))))</f>
        <v/>
      </c>
      <c r="CI80" s="1167" t="str">
        <f ca="1">IF('A-80 DirEntInv'!CK79&lt;&gt;"",'A-80 DirEntInv'!CK79,IF(INDIRECT(ADDRESS(SumRef!EA86,SumRef!EA$16,,,SumRef!$E$7))="","",INDIRECT(ADDRESS(SumRef!EA86,SumRef!EA$16,,,SumRef!$E$7))))</f>
        <v/>
      </c>
      <c r="CJ80" s="1114" t="str">
        <f ca="1">IF('A-80 DirEntInv'!CL79&lt;&gt;"",'A-80 DirEntInv'!CL79,IF(INDIRECT(ADDRESS(SumRef!EB86,SumRef!EB$16,,,SumRef!$E$7))="","",INDIRECT(ADDRESS(SumRef!EB86,SumRef!EB$16,,,SumRef!$E$7))))</f>
        <v/>
      </c>
      <c r="CK80" s="1114" t="str">
        <f ca="1">IF('A-80 DirEntInv'!CM79&lt;&gt;"",'A-80 DirEntInv'!CM79,IF(INDIRECT(ADDRESS(SumRef!EC86,SumRef!EC$16,,,SumRef!$E$7))="","",INDIRECT(ADDRESS(SumRef!EC86,SumRef!EC$16,,,SumRef!$E$7))))</f>
        <v/>
      </c>
      <c r="CL80" s="1113" t="str">
        <f ca="1">IF('A-80 DirEntInv'!CO79&lt;&gt;"",'A-80 DirEntInv'!CO79,IF(INDIRECT(ADDRESS(SumRef!ED86,SumRef!ED$16,,,SumRef!$E$7))="","",INDIRECT(ADDRESS(SumRef!ED86,SumRef!ED$16,,,SumRef!$E$7))))</f>
        <v/>
      </c>
      <c r="CM80" s="1114" t="str">
        <f ca="1">IF('A-80 DirEntInv'!CP79&lt;&gt;"",'A-80 DirEntInv'!CP79,IF(INDIRECT(ADDRESS(SumRef!EE86,SumRef!EE$16,,,SumRef!$E$7))="","",INDIRECT(ADDRESS(SumRef!EE86,SumRef!EE$16,,,SumRef!$E$7))))</f>
        <v/>
      </c>
      <c r="CN80" s="1114" t="str">
        <f ca="1">IF('A-80 DirEntInv'!CQ79&lt;&gt;"",'A-80 DirEntInv'!CQ79,IF(INDIRECT(ADDRESS(SumRef!EF86,SumRef!EF$16,,,SumRef!$E$7))="","",INDIRECT(ADDRESS(SumRef!EF86,SumRef!EF$16,,,SumRef!$E$7))))</f>
        <v/>
      </c>
      <c r="CO80" s="1113" t="str">
        <f ca="1">IF('A-80 DirEntInv'!CR79&lt;&gt;"",'A-80 DirEntInv'!CR79,IF(INDIRECT(ADDRESS(SumRef!EG86,SumRef!EG$16,,,SumRef!$E$7))="","",INDIRECT(ADDRESS(SumRef!EG86,SumRef!EG$16,,,SumRef!$E$7))))</f>
        <v/>
      </c>
      <c r="CP80" s="1114" t="str">
        <f ca="1">IF('A-80 DirEntInv'!CS79&lt;&gt;"",'A-80 DirEntInv'!CS79,IF(INDIRECT(ADDRESS(SumRef!EH86,SumRef!EH$16,,,SumRef!$E$7))="","",INDIRECT(ADDRESS(SumRef!EH86,SumRef!EH$16,,,SumRef!$E$7))))</f>
        <v/>
      </c>
      <c r="CQ80" s="1346" t="str">
        <f ca="1">IF('A-80 DirEntInv'!CT79&lt;&gt;"",'A-80 DirEntInv'!CT79,IF(INDIRECT(ADDRESS(SumRef!EI86,SumRef!EI$16,,,SumRef!$E$7))="","",INDIRECT(ADDRESS(SumRef!EI86,SumRef!EI$16,,,SumRef!$E$7))))</f>
        <v/>
      </c>
      <c r="CR80" s="1113" t="str">
        <f ca="1">IF('A-80 DirEntInv'!CU79&lt;&gt;"",'A-80 DirEntInv'!CU79,IF(INDIRECT(ADDRESS(SumRef!EJ86,SumRef!EJ$16,,,SumRef!$E$7))="","",INDIRECT(ADDRESS(SumRef!EJ86,SumRef!EJ$16,,,SumRef!$E$7))))</f>
        <v/>
      </c>
      <c r="CS80" s="1346" t="str">
        <f ca="1">IF('A-80 DirEntInv'!CV79&lt;&gt;"",'A-80 DirEntInv'!CV79,IF(INDIRECT(ADDRESS(SumRef!EM86,SumRef!EM$16,,,SumRef!$E$7))="","",INDIRECT(ADDRESS(SumRef!EM86,SumRef!EM$16,,,SumRef!$E$7))))</f>
        <v/>
      </c>
      <c r="CT80" s="1113" t="str">
        <f ca="1">IF('A-80 DirEntInv'!CW79&lt;&gt;"",'A-80 DirEntInv'!CW79,IF(INDIRECT(ADDRESS(SumRef!EN86,SumRef!EN$16,,,SumRef!$E$7))="","",INDIRECT(ADDRESS(SumRef!EN86,SumRef!EN$16,,,SumRef!$E$7))))</f>
        <v/>
      </c>
      <c r="CU80" s="1113" t="str">
        <f ca="1">IF('A-80 DirEntInv'!CX79&lt;&gt;"",'A-80 DirEntInv'!CX79,IF(INDIRECT(ADDRESS(SumRef!EO86,SumRef!EO$16,,,SumRef!$E$7))="","",INDIRECT(ADDRESS(SumRef!EO86,SumRef!EO$16,,,SumRef!$E$7))))</f>
        <v/>
      </c>
      <c r="CV80" s="1113" t="str">
        <f ca="1">IF('A-80 DirEntInv'!CY79&lt;&gt;"",'A-80 DirEntInv'!CY79,IF(INDIRECT(ADDRESS(SumRef!EP86,SumRef!EP$16,,,SumRef!$E$7))="","",INDIRECT(ADDRESS(SumRef!EP86,SumRef!EP$16,,,SumRef!$E$7))))</f>
        <v/>
      </c>
      <c r="CW80" s="1114" t="str">
        <f ca="1">IF('A-80 DirEntInv'!CZ79&lt;&gt;"",'A-80 DirEntInv'!CZ79,IF(INDIRECT(ADDRESS(SumRef!ES86,SumRef!ES$16,,,SumRef!$E$7))="","",INDIRECT(ADDRESS(SumRef!ES86,SumRef!ES$16,,,SumRef!$E$7))))</f>
        <v/>
      </c>
      <c r="CX80" s="1167" t="str">
        <f ca="1">IF('A-80 DirEntInv'!DA79&lt;&gt;"",'A-80 DirEntInv'!DA79,IF(INDIRECT(ADDRESS(SumRef!ET86,SumRef!ET$16,,,SumRef!$E$7))="","",INDIRECT(ADDRESS(SumRef!ET86,SumRef!ET$16,,,SumRef!$E$7))))</f>
        <v/>
      </c>
      <c r="CY80" s="1167" t="str">
        <f ca="1">IF('A-80 DirEntInv'!DB79&lt;&gt;"",'A-80 DirEntInv'!DB79,IF(INDIRECT(ADDRESS(SumRef!EU86,SumRef!EU$16,,,SumRef!$E$7))="","",INDIRECT(ADDRESS(SumRef!EU86,SumRef!EU$16,,,SumRef!$E$7))))</f>
        <v/>
      </c>
      <c r="CZ80" s="1167" t="b">
        <f ca="1">IF('A-80 DirEntInv'!DC79&lt;&gt;"",'A-80 DirEntInv'!DC79,IF(INDIRECT(ADDRESS(SumRef!EV86,SumRef!EV$16,,,SumRef!$E$7))="","",INDIRECT(ADDRESS(SumRef!EV86,SumRef!EV$16,,,SumRef!$E$7))))</f>
        <v>0</v>
      </c>
      <c r="DA80" s="1373" t="str">
        <f ca="1">IF('A-80 DirEntInv'!DD79&lt;&gt;"",'A-80 DirEntInv'!DD79,IF(INDIRECT(ADDRESS(SumRef!EW86,SumRef!EW$16,,,SumRef!$E$7))="","",INDIRECT(ADDRESS(SumRef!EW86,SumRef!EW$16,,,SumRef!$E$7))))</f>
        <v/>
      </c>
      <c r="DB80" s="1373" t="b">
        <f ca="1">IF('A-80 DirEntInv'!DE79&lt;&gt;"",'A-80 DirEntInv'!DE79,IF(INDIRECT(ADDRESS(SumRef!EX86,SumRef!EX$16,,,SumRef!$E$7))="","",INDIRECT(ADDRESS(SumRef!EX86,SumRef!EX$16,,,SumRef!$E$7))))</f>
        <v>0</v>
      </c>
      <c r="DC80" s="1114" t="b">
        <f ca="1">IF('A-80 DirEntInv'!DF79&lt;&gt;"",'A-80 DirEntInv'!DF79,IF(INDIRECT(ADDRESS(SumRef!EY86,SumRef!EY$16,,,SumRef!$E$7))="","",INDIRECT(ADDRESS(SumRef!EY86,SumRef!EY$16,,,SumRef!$E$7))))</f>
        <v>0</v>
      </c>
      <c r="DD80" s="1115" t="str">
        <f ca="1">IF('A-80 DirEntInv'!DG79&lt;&gt;"",'A-80 DirEntInv'!DG79,IF(INDIRECT(ADDRESS(SumRef!EZ86,SumRef!EZ$16,,,SumRef!$E$7))="","",INDIRECT(ADDRESS(SumRef!EZ86,SumRef!EZ$16,,,SumRef!$E$7))))</f>
        <v/>
      </c>
    </row>
    <row r="81" spans="1:108" s="588" customFormat="1" x14ac:dyDescent="0.2">
      <c r="A81" s="589">
        <f t="shared" si="1"/>
        <v>71</v>
      </c>
      <c r="B81" s="1155" t="str">
        <f ca="1">IF('A-80 DirEntInv'!B80&lt;&gt;"",'A-80 DirEntInv'!B80,IF(INDIRECT(ADDRESS(SumRef!AQ87,SumRef!AQ$16,,,SumRef!$B$7))="","",INDIRECT(ADDRESS(SumRef!AQ87,SumRef!AQ$16,,,SumRef!$B$7))))</f>
        <v/>
      </c>
      <c r="C81" s="1097" t="str">
        <f ca="1">IF('A-80 DirEntInv'!C80&lt;&gt;"",'A-80 DirEntInv'!C80,IF(INDIRECT(ADDRESS(SumRef!AR87,SumRef!AR$16,,,SumRef!$B$7))="","",INDIRECT(ADDRESS(SumRef!AR87,SumRef!AR$16,,,SumRef!$B$7))))</f>
        <v/>
      </c>
      <c r="D81" s="1097" t="str">
        <f ca="1">IF('A-80 DirEntInv'!D80&lt;&gt;"",'A-80 DirEntInv'!D80,IF(INDIRECT(ADDRESS(SumRef!AS87,SumRef!AS$16,,,SumRef!$B$7))="","",INDIRECT(ADDRESS(SumRef!AS87,SumRef!AS$16,,,SumRef!$B$7))))</f>
        <v/>
      </c>
      <c r="E81" s="1097" t="str">
        <f ca="1">IF('A-80 DirEntInv'!E80&lt;&gt;"",'A-80 DirEntInv'!E80,IF(INDIRECT(ADDRESS(SumRef!AT87,SumRef!AT$16,,,SumRef!$B$7))="","",INDIRECT(ADDRESS(SumRef!AT87,SumRef!AT$16,,,SumRef!$B$7))))</f>
        <v/>
      </c>
      <c r="F81" s="1097" t="str">
        <f ca="1">IF('A-80 DirEntInv'!F80&lt;&gt;"",'A-80 DirEntInv'!F80,IF(INDIRECT(ADDRESS(SumRef!AU87,SumRef!AU$16,,,SumRef!$B$7))="","",INDIRECT(ADDRESS(SumRef!AU87,SumRef!AU$16,,,SumRef!$B$7))))</f>
        <v/>
      </c>
      <c r="G81" s="1158" t="str">
        <f ca="1">IF('A-80 DirEntInv'!G80&lt;&gt;"",'A-80 DirEntInv'!G80,IF(INDIRECT(ADDRESS(SumRef!AV87,SumRef!AV$16,,,SumRef!$B$7))="","",INDIRECT(ADDRESS(SumRef!AV87,SumRef!AV$16,,,SumRef!$B$7))))</f>
        <v/>
      </c>
      <c r="H81" s="1097" t="str">
        <f ca="1">IF('A-80 DirEntInv'!H80&lt;&gt;"",'A-80 DirEntInv'!H80,IF(INDIRECT(ADDRESS(SumRef!AW87,SumRef!AW$16,,,SumRef!$B$7))="","",INDIRECT(ADDRESS(SumRef!AW87,SumRef!AW$16,,,SumRef!$B$7))))</f>
        <v/>
      </c>
      <c r="I81" s="1097" t="str">
        <f ca="1">IF('A-80 DirEntInv'!I80&lt;&gt;"",'A-80 DirEntInv'!I80,IF(INDIRECT(ADDRESS(SumRef!AX87,SumRef!AX$16,,,SumRef!$B$7))="","",INDIRECT(ADDRESS(SumRef!AX87,SumRef!AX$16,,,SumRef!$B$7))))</f>
        <v/>
      </c>
      <c r="J81" s="1098" t="str">
        <f ca="1">IF('A-80 DirEntInv'!J80&lt;&gt;"",'A-80 DirEntInv'!J80,IF(INDIRECT(ADDRESS(SumRef!AY87,SumRef!AY$16,,,SumRef!$B$7))="","",INDIRECT(ADDRESS(SumRef!AY87,SumRef!AY$16,,,SumRef!$B$7))))</f>
        <v/>
      </c>
      <c r="K81" s="1099" t="str">
        <f ca="1">IF('A-80 DirEntInv'!K80&lt;&gt;"",'A-80 DirEntInv'!K80,IF(INDIRECT(ADDRESS(SumRef!AZ87,SumRef!AZ$16,,,SumRef!$B$7))="","",INDIRECT(ADDRESS(SumRef!AZ87,SumRef!AZ$16,,,SumRef!$B$7))))</f>
        <v/>
      </c>
      <c r="L81" s="1100" t="str">
        <f ca="1">IF('A-80 DirEntInv'!L80&lt;&gt;"",'A-80 DirEntInv'!L80,IF(INDIRECT(ADDRESS(SumRef!BA87,SumRef!BA$16,,,SumRef!$B$7))="","",INDIRECT(ADDRESS(SumRef!BA87,SumRef!BA$16,,,SumRef!$B$7))))</f>
        <v/>
      </c>
      <c r="M81" s="1101" t="str">
        <f ca="1">IF('A-80 DirEntInv'!M80&lt;&gt;"",'A-80 DirEntInv'!M80,IF(INDIRECT(ADDRESS(SumRef!BB87,SumRef!BB$16,,,SumRef!$B$7))="","",INDIRECT(ADDRESS(SumRef!BB87,SumRef!BB$16,,,SumRef!$B$7))))</f>
        <v/>
      </c>
      <c r="N81" s="1098" t="str">
        <f ca="1">IF('A-80 DirEntInv'!N80&lt;&gt;"",'A-80 DirEntInv'!N80,IF(INDIRECT(ADDRESS(SumRef!BC87,SumRef!BC$16,,,SumRef!$B$7))="","",INDIRECT(ADDRESS(SumRef!BC87,SumRef!BC$16,,,SumRef!$B$7))))</f>
        <v/>
      </c>
      <c r="O81" s="1102" t="str">
        <f ca="1">IF('A-80 DirEntInv'!O80&lt;&gt;"",'A-80 DirEntInv'!O80,IF(INDIRECT(ADDRESS(SumRef!BD87,SumRef!BD$16,,,SumRef!$B$7))="","",INDIRECT(ADDRESS(SumRef!BD87,SumRef!BD$16,,,SumRef!$B$7))))</f>
        <v/>
      </c>
      <c r="Q81" s="589"/>
      <c r="R81" s="1103" t="str">
        <f ca="1">IF('A-80 DirEntInv'!R80&lt;&gt;"",'A-80 DirEntInv'!R80,IF(INDIRECT(ADDRESS(SumRef!BH87,SumRef!BH$16,,,SumRef!$B$8))="","",INDIRECT(ADDRESS(SumRef!BH87,SumRef!BH$16,,,SumRef!$B$8))))</f>
        <v/>
      </c>
      <c r="S81" s="1104" t="str">
        <f ca="1">IF('A-80 DirEntInv'!S80&lt;&gt;"",'A-80 DirEntInv'!S80,IF(INDIRECT(ADDRESS(SumRef!BI87,SumRef!BI$16,,,SumRef!$B$8))="","",INDIRECT(ADDRESS(SumRef!BI87,SumRef!BI$16,,,SumRef!$B$8))))</f>
        <v/>
      </c>
      <c r="T81" s="1104" t="str">
        <f ca="1">IF('A-80 DirEntInv'!T80&lt;&gt;"",'A-80 DirEntInv'!T80,IF(INDIRECT(ADDRESS(SumRef!BJ87,SumRef!BJ$16,,,SumRef!$B$8))="","",INDIRECT(ADDRESS(SumRef!BJ87,SumRef!BJ$16,,,SumRef!$B$8))))</f>
        <v/>
      </c>
      <c r="U81" s="1104" t="str">
        <f ca="1">IF('A-80 DirEntInv'!U80&lt;&gt;"",'A-80 DirEntInv'!U80,IF(INDIRECT(ADDRESS(SumRef!BK87,SumRef!BK$16,,,SumRef!$B$8))="","",INDIRECT(ADDRESS(SumRef!BK87,SumRef!BK$16,,,SumRef!$B$8))))</f>
        <v/>
      </c>
      <c r="V81" s="1104" t="str">
        <f ca="1">IF('A-80 DirEntInv'!V80&lt;&gt;"",'A-80 DirEntInv'!V80,IF(INDIRECT(ADDRESS(SumRef!BL87,SumRef!BL$16,,,SumRef!$B$8))="","",INDIRECT(ADDRESS(SumRef!BL87,SumRef!BL$16,,,SumRef!$B$8))))</f>
        <v/>
      </c>
      <c r="W81" s="1354" t="str">
        <f ca="1">IF('A-80 DirEntInv'!W80&lt;&gt;"",'A-80 DirEntInv'!W80,IF(INDIRECT(ADDRESS(SumRef!BM87,SumRef!BM$16,,,SumRef!$B$8))="","",INDIRECT(ADDRESS(SumRef!BM87,SumRef!BM$16,,,SumRef!$B$8))))</f>
        <v/>
      </c>
      <c r="X81" s="1203" t="str">
        <f ca="1">IF('A-80 DirEntInv'!X80&lt;&gt;"",'A-80 DirEntInv'!X80,IF(INDIRECT(ADDRESS(SumRef!BN87,SumRef!BN$16,,,SumRef!$B$8))="","",INDIRECT(ADDRESS(SumRef!BN87,SumRef!BN$16,,,SumRef!$B$8))))</f>
        <v/>
      </c>
      <c r="Y81" s="1203" t="str">
        <f ca="1">IF('A-80 DirEntInv'!Y80&lt;&gt;"",'A-80 DirEntInv'!Y80,IF(INDIRECT(ADDRESS(SumRef!BO87,SumRef!BO$16,,,SumRef!$B$8))="","",INDIRECT(ADDRESS(SumRef!BO87,SumRef!BO$16,,,SumRef!$B$8))))</f>
        <v/>
      </c>
      <c r="Z81" s="1104" t="str">
        <f ca="1">IF('A-80 DirEntInv'!Z80&lt;&gt;"",'A-80 DirEntInv'!Z80,IF(INDIRECT(ADDRESS(SumRef!BP87,SumRef!BP$16,,,SumRef!$B$8))="","",INDIRECT(ADDRESS(SumRef!BP87,SumRef!BP$16,,,SumRef!$B$8))))</f>
        <v/>
      </c>
      <c r="AA81" s="1104" t="str">
        <f ca="1">IF('A-80 DirEntInv'!AA80&lt;&gt;"",'A-80 DirEntInv'!AA80,IF(INDIRECT(ADDRESS(SumRef!BQ87,SumRef!BQ$16,,,SumRef!$B$8))="","",INDIRECT(ADDRESS(SumRef!BQ87,SumRef!BQ$16,,,SumRef!$B$8))))</f>
        <v/>
      </c>
      <c r="AB81" s="1106" t="str">
        <f ca="1">IF('A-80 DirEntInv'!AB80&lt;&gt;"",'A-80 DirEntInv'!AB80,IF(INDIRECT(ADDRESS(SumRef!BR87,SumRef!BR$16,,,SumRef!$B$8))="","",INDIRECT(ADDRESS(SumRef!BR87,SumRef!BR$16,,,SumRef!$B$8))))</f>
        <v/>
      </c>
      <c r="AC81" s="1107" t="str">
        <f ca="1">IF('A-80 DirEntInv'!AC80&lt;&gt;"",'A-80 DirEntInv'!AC80,IF(INDIRECT(ADDRESS(SumRef!BS87,SumRef!BS$16,,,SumRef!$B$8))="","",INDIRECT(ADDRESS(SumRef!BS87,SumRef!BS$16,,,SumRef!$B$8))))</f>
        <v/>
      </c>
      <c r="AD81" s="1349" t="str">
        <f ca="1">IF('A-80 DirEntInv'!AD80&lt;&gt;"",'A-80 DirEntInv'!AD80,IF(INDIRECT(ADDRESS(SumRef!BT87,SumRef!BT$16,,,SumRef!$B$8))="","",INDIRECT(ADDRESS(SumRef!BT87,SumRef!BT$16,,,SumRef!$B$8))))</f>
        <v/>
      </c>
      <c r="AE81" s="1137" t="str">
        <f ca="1">IF('A-80 DirEntInv'!AE80&lt;&gt;"",'A-80 DirEntInv'!AE80,IF(INDIRECT(ADDRESS(SumRef!BU87,SumRef!BU$16,,,SumRef!$B$8))="","",INDIRECT(ADDRESS(SumRef!BU87,SumRef!BU$16,,,SumRef!$B$8))))</f>
        <v/>
      </c>
      <c r="AF81" s="1346" t="str">
        <f ca="1">IF('A-80 DirEntInv'!AF80&lt;&gt;"",'A-80 DirEntInv'!AF80,IF(INDIRECT(ADDRESS(SumRef!BV87,SumRef!BV$16,,,SumRef!$B$8))="","",INDIRECT(ADDRESS(SumRef!BV87,SumRef!BV$16,,,SumRef!$B$8))))</f>
        <v/>
      </c>
      <c r="AG81" s="1105" t="str">
        <f ca="1">IF('A-80 DirEntInv'!AG80&lt;&gt;"",'A-80 DirEntInv'!AG80,IF(INDIRECT(ADDRESS(SumRef!BW87,SumRef!BW$16,,,SumRef!$B$8))="","",INDIRECT(ADDRESS(SumRef!BW87,SumRef!BW$16,,,SumRef!$B$8))))</f>
        <v/>
      </c>
      <c r="AH81" s="1357" t="str">
        <f ca="1">IF('A-80 DirEntInv'!AH80&lt;&gt;"",'A-80 DirEntInv'!AH80,IF(INDIRECT(ADDRESS(SumRef!BX87,SumRef!BX$16,,,SumRef!$B$8))="","",INDIRECT(ADDRESS(SumRef!BX87,SumRef!BX$16,,,SumRef!$B$8))))</f>
        <v/>
      </c>
      <c r="AK81" s="1043" t="str">
        <f>Codes!$C$161</f>
        <v>CR - Commuter Rail (DO)</v>
      </c>
      <c r="AL81" s="1303" t="str">
        <f>Valid!$B$71</f>
        <v>At-Grade/Ballast (including expressway)</v>
      </c>
      <c r="AM81" s="1092" t="str">
        <f>IF('A-80 DirEntInv'!AM80&lt;&gt;"",'A-80 DirEntInv'!AM80,IF(AK81=summaryref2!B12,summaryref2!D12,IF(Summary!AK81=summaryref2!B26,summaryref2!D26,IF(AK81=summaryref2!B40,summaryref2!D40,IF(AK81=summaryref2!B54,summaryref2!D54,IF(AK81=summaryref2!B68,summaryref2!D68,IF(AK81=summaryref2!B82,summaryref2!D82,IF(AK81=summaryref2!B96,summaryref2!D96,IF(AK81=summaryref2!B110,summaryref2!D110,IF(AK81=summaryref2!B124,summaryref2!D124,IF(AK81=summaryref2!B138,summaryref2!D138,"")))))))))))</f>
        <v/>
      </c>
      <c r="AN81" s="1127" t="str">
        <f ca="1">IF('A-80 DirEntInv'!AN66&lt;&gt;"",'A-80 DirEntInv'!AN66,IF(INDIRECT(ADDRESS(SumRef!#REF!,SumRef!CG$16,,,SumRef!$C$7))="","",INDIRECT(ADDRESS(SumRef!#REF!,SumRef!CG$16,,,SumRef!$C$7))))</f>
        <v>Linear Feet</v>
      </c>
      <c r="AO81" s="1092" t="str">
        <f>IF('A-80 DirEntInv'!AO80&lt;&gt;"",'A-80 DirEntInv'!AO80,IF(AK81=summaryref2!B12,summaryref2!F12,IF(Summary!AK81=summaryref2!B26,summaryref2!F26,IF(AK81=summaryref2!B40,summaryref2!F40,IF(AK81=summaryref2!B54,summaryref2!F54,IF(AK81=summaryref2!B68,summaryref2!F68,IF(AK81=summaryref2!B82,summaryref2!F82,IF(AK81=summaryref2!B96,summaryref2!F96,IF(AK81=summaryref2!B110,summaryref2!F110,IF(AK81=summaryref2!B124,summaryref2!F124,IF(AK81=summaryref2!B138,summaryref2!F138,"")))))))))))</f>
        <v/>
      </c>
      <c r="AP81" s="1127" t="str">
        <f ca="1">IF('A-80 DirEntInv'!AP66&lt;&gt;"",'A-80 DirEntInv'!AP66,IF(INDIRECT(ADDRESS(SumRef!#REF!,SumRef!#REF!,,,SumRef!$C$7))="","",INDIRECT(ADDRESS(SumRef!#REF!,SumRef!#REF!,,,SumRef!$C$7))))</f>
        <v>Track Feet</v>
      </c>
      <c r="AQ81" s="1146" t="str">
        <f>IF('A-80 DirEntInv'!AQ80&lt;&gt;"",'A-80 DirEntInv'!AQ80,IF(AK81=summaryref2!B12,summaryref2!G12,IF(Summary!AK81=summaryref2!B26,summaryref2!G26,IF(AK81=summaryref2!B40,summaryref2!G40,IF(AK81=summaryref2!B54,summaryref2!G54,IF(AK81=summaryref2!B68,summaryref2!G68,IF(AK81=summaryref2!B82,summaryref2!G82,IF(AK81=summaryref2!B96,summaryref2!G96,IF(AK81=summaryref2!B110,summaryref2!G110,IF(AK81=summaryref2!B124,summaryref2!G124,IF(AK81=summaryref2!B138,summaryref2!G138,"")))))))))))</f>
        <v/>
      </c>
      <c r="AR81" s="1146" t="str">
        <f>IF('A-80 DirEntInv'!AR80&lt;&gt;"",'A-80 DirEntInv'!AR80,IF(AK81=summaryref2!B12,summaryref2!H12,IF(Summary!AK81=summaryref2!B26,summaryref2!H26,IF(AK81=summaryref2!B40,summaryref2!H40,IF(AK81=summaryref2!B54,summaryref2!H54,IF(AK81=summaryref2!B68,summaryref2!H68,IF(AK81=summaryref2!B82,summaryref2!H82,IF(AK81=summaryref2!B96,summaryref2!H96,IF(AK81=summaryref2!B110,summaryref2!H110,IF(AK81=summaryref2!B124,summaryref2!H124,IF(AK81=summaryref2!B138,summaryref2!H138,"")))))))))))</f>
        <v/>
      </c>
      <c r="AS81" s="1092" t="str">
        <f>IF('A-80 DirEntInv'!AS80&lt;&gt;"",'A-80 DirEntInv'!AS80,IF(AK81=summaryref2!B12,summaryref2!I12,IF(Summary!AK81=summaryref2!B26,summaryref2!I26,IF(AK81=summaryref2!B40,summaryref2!I40,IF(AK81=summaryref2!B54,summaryref2!I54,IF(AK81=summaryref2!B68,summaryref2!I68,IF(AK81=summaryref2!B82,summaryref2!I82,IF(AK81=summaryref2!B96,summaryref2!I96,IF(AK81=summaryref2!B110,summaryref2!I110,IF(AK81=summaryref2!B124,summaryref2!I124,IF(AK81=summaryref2!B138,summaryref2!I138,"")))))))))))</f>
        <v/>
      </c>
      <c r="AT81" s="1092" t="str">
        <f>IF('A-80 DirEntInv'!AT80&lt;&gt;"",'A-80 DirEntInv'!AT80,IF(AK81=summaryref2!B12,summaryref2!J12,IF(Summary!AK81=summaryref2!B26,summaryref2!J26,IF(AK81=summaryref2!B40,summaryref2!J40,IF(AK81=summaryref2!B54,summaryref2!J54,IF(AK81=summaryref2!B68,summaryref2!J68,IF(AK81=summaryref2!B82,summaryref2!J82,IF(AK81=summaryref2!B96,summaryref2!J96,IF(AK81=summaryref2!B110,summaryref2!J110,IF(AK81=summaryref2!B124,summaryref2!J124,IF(AK81=summaryref2!B138,summaryref2!J138,"")))))))))))</f>
        <v/>
      </c>
      <c r="AU81" s="1092" t="str">
        <f>IF('A-80 DirEntInv'!AU80&lt;&gt;"",'A-80 DirEntInv'!AU80,IF(AK81=summaryref2!B12,summaryref2!K12,IF(Summary!AK81=summaryref2!B26,summaryref2!K26,IF(AK81=summaryref2!B40,summaryref2!K40,IF(AK81=summaryref2!B54,summaryref2!K54,IF(AK81=summaryref2!B68,summaryref2!K68,IF(AK81=summaryref2!B82,summaryref2!K82,IF(AK81=summaryref2!B96,summaryref2!K96,IF(AK81=summaryref2!B110,summaryref2!K110,IF(AK81=summaryref2!B124,summaryref2!K124,IF(AK81=summaryref2!B138,summaryref2!K138,"")))))))))))</f>
        <v/>
      </c>
      <c r="AV81" s="1092" t="str">
        <f>IF('A-80 DirEntInv'!AV80&lt;&gt;"",'A-80 DirEntInv'!AV80,IF(AK81=summaryref2!B12,summaryref2!L12,IF(Summary!AK81=summaryref2!B26,summaryref2!L26,IF(AK81=summaryref2!B40,summaryref2!L40,IF(AK81=summaryref2!B54,summaryref2!L54,IF(AK81=summaryref2!B68,summaryref2!L68,IF(AK81=summaryref2!B82,summaryref2!L82,IF(AK81=summaryref2!B96,summaryref2!L96,IF(AK81=summaryref2!B110,summaryref2!L110,IF(AK81=summaryref2!B124,summaryref2!L124,IF(AK81=summaryref2!B138,summaryref2!L138,"")))))))))))</f>
        <v/>
      </c>
      <c r="AW81" s="1092" t="str">
        <f>IF('A-80 DirEntInv'!AW80&lt;&gt;"",'A-80 DirEntInv'!AW80,IF($AK81=summaryref2!$B$12,summaryref2!M$12,IF(Summary!$AK81=summaryref2!$B$26,summaryref2!M$26,IF($AK81=summaryref2!$B$40,summaryref2!M$40,IF($AK81=summaryref2!$B$54,summaryref2!M$54,IF($AK81=summaryref2!$B$68,summaryref2!M$68,IF($AK81=summaryref2!$B$82,summaryref2!M$82,IF($AK81=summaryref2!$B$96,summaryref2!M$96,IF($AK81=summaryref2!$B$110,summaryref2!M$110,IF($AK81=summaryref2!$B$124,summaryref2!M$124,IF($AK81=summaryref2!$B$138,summaryref2!M$138,"")))))))))))</f>
        <v/>
      </c>
      <c r="AX81" s="1092" t="str">
        <f>IF('A-80 DirEntInv'!AX80&lt;&gt;"",'A-80 DirEntInv'!AX80,IF(AK81=summaryref2!B12,summaryref2!N12,IF(Summary!AK81=summaryref2!B26,summaryref2!N26,IF(AK81=summaryref2!B40,summaryref2!N40,IF(AK81=summaryref2!B54,summaryref2!N54,IF(AK81=summaryref2!B68,summaryref2!N68,IF(AK81=summaryref2!B82,summaryref2!N82,IF(AK81=summaryref2!B96,summaryref2!N96,IF(AK81=summaryref2!B110,summaryref2!N110,IF(AK81=summaryref2!B124,summaryref2!N124,IF(AK81=summaryref2!B138,summaryref2!N138,"")))))))))))</f>
        <v/>
      </c>
      <c r="AY81" s="1092" t="str">
        <f>IF('A-80 DirEntInv'!AY80&lt;&gt;"",'A-80 DirEntInv'!AY80,IF(AK81=summaryref2!B12,summaryref2!O12,IF(Summary!AK81=summaryref2!B26,summaryref2!O26,IF(AK81=summaryref2!B40,summaryref2!O40,IF(AK81=summaryref2!B54,summaryref2!O54,IF(AK81=summaryref2!B68,summaryref2!O68,IF(AK81=summaryref2!B82,summaryref2!O82,IF(AK81=summaryref2!B96,summaryref2!O96,IF(AK81=summaryref2!B110,summaryref2!O110,IF(AK81=summaryref2!B124,summaryref2!O124,IF(AK81=summaryref2!B138,summaryref2!O138,"")))))))))))</f>
        <v/>
      </c>
      <c r="AZ81" s="1092" t="str">
        <f>IF('A-80 DirEntInv'!AZ80&lt;&gt;"",'A-80 DirEntInv'!AZ80,IF(AK81=summaryref2!B12,summaryref2!P12,IF(Summary!AK81=summaryref2!B26,summaryref2!P26,IF(AK81=summaryref2!B40,summaryref2!P40,IF(AK81=summaryref2!B54,summaryref2!P54,IF(AK81=summaryref2!B68,summaryref2!P68,IF(AK81=summaryref2!B82,summaryref2!P82,IF(AK81=summaryref2!B96,summaryref2!P96,IF(AK81=summaryref2!B110,summaryref2!P110,IF(AK81=summaryref2!B124,summaryref2!P124,IF(AK81=summaryref2!B138,summaryref2!P138,"")))))))))))</f>
        <v/>
      </c>
      <c r="BA81" s="1092" t="str">
        <f>IF('A-80 DirEntInv'!BA80&lt;&gt;"",'A-80 DirEntInv'!BA80,IF(AK81=summaryref2!B12,summaryref2!Q12,IF(Summary!AK81=summaryref2!B26,summaryref2!Q26,IF(AK81=summaryref2!B40,summaryref2!Q40,IF(AK81=summaryref2!B54,summaryref2!Q54,IF(AK81=summaryref2!B68,summaryref2!Q68,IF(AK81=summaryref2!B82,summaryref2!Q82,IF(AK81=summaryref2!B96,summaryref2!Q96,IF(AK81=summaryref2!B110,summaryref2!Q110,IF(AK81=summaryref2!B124,summaryref2!Q124,IF(AK81=summaryref2!B138,summaryref2!Q138,"")))))))))))</f>
        <v/>
      </c>
      <c r="BB81" s="1092" t="str">
        <f>IF('A-80 DirEntInv'!BB80&lt;&gt;"",'A-80 DirEntInv'!BB80,IF(AK81=summaryref2!B12,summaryref2!R12,IF(Summary!AK81=summaryref2!B26,summaryref2!R26,IF(AK81=summaryref2!B40,summaryref2!R40,IF(AK81=summaryref2!B54,summaryref2!R54,IF(AK81=summaryref2!B68,summaryref2!R68,IF(AK81=summaryref2!B82,summaryref2!R82,IF(AK81=summaryref2!B96,summaryref2!R96,IF(AK81=summaryref2!B110,summaryref2!R110,IF(AK81=summaryref2!B124,summaryref2!R124,IF(AK81=summaryref2!B138,summaryref2!R138,"")))))))))))</f>
        <v/>
      </c>
      <c r="BC81" s="1092" t="str">
        <f>IF('A-80 DirEntInv'!BC80&lt;&gt;0,'A-80 DirEntInv'!BC80,IF(AK81=summaryref2!B12,summaryref2!S12,IF(Summary!AK81=summaryref2!B26,summaryref2!S26,IF(AK81=summaryref2!B40,summaryref2!S40,IF(AK81=summaryref2!B54,summaryref2!S54,IF(AK81=summaryref2!B68,summaryref2!S68,IF(AK81=summaryref2!B82,summaryref2!S82,IF(AK81=summaryref2!B96,summaryref2!S96,IF(AK81=summaryref2!B110,summaryref2!S110,IF(AK81=summaryref2!B124,summaryref2!S124,IF(AK81=summaryref2!B138,summaryref2!S138,"")))))))))))</f>
        <v/>
      </c>
      <c r="BD81" s="1093" t="str">
        <f>IF('A-80 DirEntInv'!BD80&lt;&gt;"",'A-80 DirEntInv'!BD80,IF(AK81=summaryref2!B12,summaryref2!T12,IF(Summary!AK81=summaryref2!B26,summaryref2!T26,IF(AK81=summaryref2!B40,summaryref2!T40,IF(AK81=summaryref2!B54,summaryref2!T54,IF(AK81=summaryref2!B68,summaryref2!T68,IF(AK81=summaryref2!B82,summaryref2!T82,IF(AK81=summaryref2!B96,summaryref2!T96,IF(AK81=summaryref2!B110,summaryref2!T110,IF(AK81=summaryref2!B124,summaryref2!T124,IF(AK81=summaryref2!B138,summaryref2!T138,"")))))))))))</f>
        <v/>
      </c>
      <c r="BE81" s="1189" t="str">
        <f>IF('A-80 DirEntInv'!BE80&lt;&gt;"",'A-80 DirEntInv'!BE80,IF(AK81=summaryref2!B12,summaryref2!U12,IF(Summary!AK81=summaryref2!B26,summaryref2!U26,IF(AK81=summaryref2!B40,summaryref2!U40,IF(AK81=summaryref2!B54,summaryref2!U54,IF(AK81=summaryref2!B68,summaryref2!U68,IF(AK81=summaryref2!B82,summaryref2!U82,IF(AK81=summaryref2!B96,summaryref2!U96,IF(AK81=summaryref2!B110,summaryref2!U110,IF(AK81=summaryref2!B124,summaryref2!U124,IF(AK81=summaryref2!B138,summaryref2!U138,"")))))))))))</f>
        <v/>
      </c>
      <c r="BF81" s="1431"/>
      <c r="BG81" s="1431"/>
      <c r="BJ81" s="1043" t="str">
        <f>Codes!$C$166</f>
        <v>LR - Light Rail (PT)</v>
      </c>
      <c r="BK81" s="1303" t="str">
        <f>Valid!$B$80</f>
        <v>Tangent</v>
      </c>
      <c r="BL81" s="1366" t="str">
        <f>IF('A-80 DirEntInv'!BL80&lt;&gt;"",'A-80 DirEntInv'!BL80,IF(BJ81=summaryref2!X12,summaryref2!Z12,IF(BJ81=summaryref2!X19,summaryref2!Z19,IF(BJ81=summaryref2!X26,summaryref2!Z26,IF(BJ81=summaryref2!X33,summaryref2!Z33,IF(BJ81=summaryref2!X40,summaryref2!Z40,IF(BJ81=summaryref2!X47,summaryref2!Z47,IF(BJ81=summaryref2!X54,summaryref2!Z54,IF(BJ81=summaryref2!X61,summaryref2!Z61,IF(BJ81=summaryref2!X68,summaryref2!Z68,IF(BJ81=summaryref2!X75,summaryref2!Z75,"")))))))))))</f>
        <v/>
      </c>
      <c r="BM81" s="1303" t="str">
        <f>VLOOKUP(BK81,Valid!$B$80:$C$86,2,FALSE)</f>
        <v>Track Feet</v>
      </c>
      <c r="BN81" s="1208" t="str">
        <f>IF('A-80 DirEntInv'!BN80&lt;&gt;"",'A-80 DirEntInv'!BN80,IF(BJ81=summaryref2!X12,summaryref2!AB12,IF(BJ81=summaryref2!X19,summaryref2!AB19,IF(BJ81=summaryref2!X26,summaryref2!AB26,IF(BJ81=summaryref2!X33,summaryref2!AB33,IF(BJ81=summaryref2!X40,summaryref2!AB40,IF(BJ81=summaryref2!X47,summaryref2!AB47,IF(BJ81=summaryref2!X54,summaryref2!AB54,IF(BJ81=summaryref2!X61,summaryref2!AB61,IF(BJ81=summaryref2!X68,summaryref2!AB68,IF(BJ81=summaryref2!X75,summaryref2!AB75,"")))))))))))</f>
        <v/>
      </c>
      <c r="BO81" s="1112" t="str">
        <f>IF('A-80 DirEntInv'!BO80&lt;&gt;"",'A-80 DirEntInv'!BO80,IF(BJ81=summaryref2!X12,summaryref2!AC12,IF(BJ81=summaryref2!X19,summaryref2!AC19,IF(BJ81=summaryref2!X26,summaryref2!AC26,IF(BJ81=summaryref2!X33,summaryref2!AC33,IF(BJ81=summaryref2!X40,summaryref2!AC40,IF(BJ81=summaryref2!X47,summaryref2!AC47,IF(BJ81=summaryref2!X54,summaryref2!AC54,IF(BJ81=summaryref2!X61,summaryref2!AC61,IF(BJ81=summaryref2!X68,summaryref2!AC68,IF(BJ81=summaryref2!X75,summaryref2!AC75,"")))))))))))</f>
        <v/>
      </c>
      <c r="BP81" s="1320" t="str">
        <f>IF('A-80 DirEntInv'!BP80&lt;&gt;"",'A-80 DirEntInv'!BP80,IF(BJ81=summaryref2!X12,summaryref2!AD12,IF(BJ81=summaryref2!X19,summaryref2!AD19,IF(BJ81=summaryref2!X26,summaryref2!AD26,IF(BJ81=summaryref2!X33,summaryref2!AD33,IF(BJ81=summaryref2!X40,summaryref2!AD40,IF(BJ81=summaryref2!X47,summaryref2!AD47,IF(BJ81=summaryref2!X54,summaryref2!AD54,IF(BJ81=summaryref2!X61,summaryref2!AD61,IF(BJ81=summaryref2!X68,summaryref2!AD68,IF(BJ81=summaryref2!X75,summaryref2!AD75,"")))))))))))</f>
        <v/>
      </c>
      <c r="BS81" s="1472" t="str">
        <f ca="1">IF('A-80 DirEntInv'!BU80&lt;&gt;"",'A-80 DirEntInv'!BU80,IF(INDIRECT(ADDRESS(SumRef!DK87,SumRef!DK$16,,,SumRef!$E$6))="","",INDIRECT(ADDRESS(SumRef!DK87,SumRef!DK$16,,,SumRef!$E$6))))</f>
        <v/>
      </c>
      <c r="BT81" s="1458" t="str">
        <f ca="1">IF('A-80 DirEntInv'!BV80&lt;&gt;"",'A-80 DirEntInv'!BV80,IF(INDIRECT(ADDRESS(SumRef!DL87,SumRef!DL$16,,,SumRef!$E$6))="","",INDIRECT(ADDRESS(SumRef!DL87,SumRef!DL$16,,,SumRef!$E$6))))</f>
        <v/>
      </c>
      <c r="BU81" s="1177" t="str">
        <f ca="1">IF('A-80 DirEntInv'!BW80&lt;&gt;"",'A-80 DirEntInv'!BW80,IF(INDIRECT(ADDRESS(SumRef!DM87,SumRef!DM$16,,,SumRef!$E$6))="","",INDIRECT(ADDRESS(SumRef!DM87,SumRef!DM$16,,,SumRef!$E$6))))</f>
        <v/>
      </c>
      <c r="BV81" s="1460" t="str">
        <f ca="1">IF('A-80 DirEntInv'!BX80&lt;&gt;"",'A-80 DirEntInv'!BX80,IF(INDIRECT(ADDRESS(SumRef!DN87,SumRef!DN$16,,,SumRef!$E$6))="","",INDIRECT(ADDRESS(SumRef!DN87,SumRef!DN$16,,,SumRef!$E$6))))</f>
        <v/>
      </c>
      <c r="BW81" s="1460" t="str">
        <f ca="1">IF('A-80 DirEntInv'!BY80&lt;&gt;"",'A-80 DirEntInv'!BY80,IF(INDIRECT(ADDRESS(SumRef!DO87,SumRef!DO$16,,,SumRef!$E$6))="","",INDIRECT(ADDRESS(SumRef!DO87,SumRef!DO$16,,,SumRef!$E$6))))</f>
        <v/>
      </c>
      <c r="BX81" s="1116" t="str">
        <f ca="1">IF('A-80 DirEntInv'!BZ80&lt;&gt;"",'A-80 DirEntInv'!BZ80,IF(INDIRECT(ADDRESS(SumRef!DP87,SumRef!DP$16,,,SumRef!$E$6))="","",INDIRECT(ADDRESS(SumRef!DP87,SumRef!DP$16,,,SumRef!$E$6))))</f>
        <v/>
      </c>
      <c r="BY81" s="1461" t="str">
        <f ca="1">IF('A-80 DirEntInv'!CA80&lt;&gt;"",'A-80 DirEntInv'!CA80,IF(INDIRECT(ADDRESS(SumRef!DQ87,SumRef!DQ$16,,,SumRef!$E$6))="","",INDIRECT(ADDRESS(SumRef!DQ87,SumRef!DQ$16,,,SumRef!$E$6))))</f>
        <v/>
      </c>
      <c r="BZ81" s="1460" t="str">
        <f ca="1">IF('A-80 DirEntInv'!CB80&lt;&gt;"",'A-80 DirEntInv'!CB80,IF(INDIRECT(ADDRESS(SumRef!DR87,SumRef!DR$16,,,SumRef!$E$6))="","",INDIRECT(ADDRESS(SumRef!DR87,SumRef!DR$16,,,SumRef!$E$6))))</f>
        <v/>
      </c>
      <c r="CA81" s="1462" t="str">
        <f ca="1">IF('A-80 DirEntInv'!CC80&lt;&gt;"",'A-80 DirEntInv'!CC80,IF(INDIRECT(ADDRESS(SumRef!DS87,SumRef!DS$16,,,SumRef!$E$6))="","",INDIRECT(ADDRESS(SumRef!DS87,SumRef!DS$16,,,SumRef!$E$6))))</f>
        <v/>
      </c>
      <c r="CD81" s="1160" t="str">
        <f ca="1">IF('A-80 DirEntInv'!CF80&lt;&gt;"",'A-80 DirEntInv'!CF80,IF(INDIRECT(ADDRESS(SumRef!DV87,SumRef!DV$16,,,SumRef!$E$7))="","",INDIRECT(ADDRESS(SumRef!DV87,SumRef!DV$16,,,SumRef!$E$7))))</f>
        <v/>
      </c>
      <c r="CE81" s="1167" t="str">
        <f ca="1">IF('A-80 DirEntInv'!CG80&lt;&gt;"",'A-80 DirEntInv'!CG80,IF(INDIRECT(ADDRESS(SumRef!DW87,SumRef!DW$16,,,SumRef!$E$7))="","",INDIRECT(ADDRESS(SumRef!DW87,SumRef!DW$16,,,SumRef!$E$7))))</f>
        <v/>
      </c>
      <c r="CF81" s="1167" t="str">
        <f ca="1">IF('A-80 DirEntInv'!CH80&lt;&gt;"",'A-80 DirEntInv'!CH80,IF(INDIRECT(ADDRESS(SumRef!DX87,SumRef!DX$16,,,SumRef!$E$7))="","",INDIRECT(ADDRESS(SumRef!DX87,SumRef!DX$16,,,SumRef!$E$7))))</f>
        <v/>
      </c>
      <c r="CG81" s="1167" t="str">
        <f ca="1">IF('A-80 DirEntInv'!CI80&lt;&gt;"",'A-80 DirEntInv'!CI80,IF(INDIRECT(ADDRESS(SumRef!DY87,SumRef!DY$16,,,SumRef!$E$7))="","",INDIRECT(ADDRESS(SumRef!DY87,SumRef!DY$16,,,SumRef!$E$7))))</f>
        <v/>
      </c>
      <c r="CH81" s="1167" t="str">
        <f ca="1">IF('A-80 DirEntInv'!CJ80&lt;&gt;"",'A-80 DirEntInv'!CJ80,IF(INDIRECT(ADDRESS(SumRef!DZ87,SumRef!DZ$16,,,SumRef!$E$7))="","",INDIRECT(ADDRESS(SumRef!DZ87,SumRef!DZ$16,,,SumRef!$E$7))))</f>
        <v/>
      </c>
      <c r="CI81" s="1167" t="str">
        <f ca="1">IF('A-80 DirEntInv'!CK80&lt;&gt;"",'A-80 DirEntInv'!CK80,IF(INDIRECT(ADDRESS(SumRef!EA87,SumRef!EA$16,,,SumRef!$E$7))="","",INDIRECT(ADDRESS(SumRef!EA87,SumRef!EA$16,,,SumRef!$E$7))))</f>
        <v/>
      </c>
      <c r="CJ81" s="1114" t="str">
        <f ca="1">IF('A-80 DirEntInv'!CL80&lt;&gt;"",'A-80 DirEntInv'!CL80,IF(INDIRECT(ADDRESS(SumRef!EB87,SumRef!EB$16,,,SumRef!$E$7))="","",INDIRECT(ADDRESS(SumRef!EB87,SumRef!EB$16,,,SumRef!$E$7))))</f>
        <v/>
      </c>
      <c r="CK81" s="1114" t="str">
        <f ca="1">IF('A-80 DirEntInv'!CM80&lt;&gt;"",'A-80 DirEntInv'!CM80,IF(INDIRECT(ADDRESS(SumRef!EC87,SumRef!EC$16,,,SumRef!$E$7))="","",INDIRECT(ADDRESS(SumRef!EC87,SumRef!EC$16,,,SumRef!$E$7))))</f>
        <v/>
      </c>
      <c r="CL81" s="1113" t="str">
        <f ca="1">IF('A-80 DirEntInv'!CO80&lt;&gt;"",'A-80 DirEntInv'!CO80,IF(INDIRECT(ADDRESS(SumRef!ED87,SumRef!ED$16,,,SumRef!$E$7))="","",INDIRECT(ADDRESS(SumRef!ED87,SumRef!ED$16,,,SumRef!$E$7))))</f>
        <v/>
      </c>
      <c r="CM81" s="1114" t="str">
        <f ca="1">IF('A-80 DirEntInv'!CP80&lt;&gt;"",'A-80 DirEntInv'!CP80,IF(INDIRECT(ADDRESS(SumRef!EE87,SumRef!EE$16,,,SumRef!$E$7))="","",INDIRECT(ADDRESS(SumRef!EE87,SumRef!EE$16,,,SumRef!$E$7))))</f>
        <v/>
      </c>
      <c r="CN81" s="1114" t="str">
        <f ca="1">IF('A-80 DirEntInv'!CQ80&lt;&gt;"",'A-80 DirEntInv'!CQ80,IF(INDIRECT(ADDRESS(SumRef!EF87,SumRef!EF$16,,,SumRef!$E$7))="","",INDIRECT(ADDRESS(SumRef!EF87,SumRef!EF$16,,,SumRef!$E$7))))</f>
        <v/>
      </c>
      <c r="CO81" s="1113" t="str">
        <f ca="1">IF('A-80 DirEntInv'!CR80&lt;&gt;"",'A-80 DirEntInv'!CR80,IF(INDIRECT(ADDRESS(SumRef!EG87,SumRef!EG$16,,,SumRef!$E$7))="","",INDIRECT(ADDRESS(SumRef!EG87,SumRef!EG$16,,,SumRef!$E$7))))</f>
        <v/>
      </c>
      <c r="CP81" s="1114" t="str">
        <f ca="1">IF('A-80 DirEntInv'!CS80&lt;&gt;"",'A-80 DirEntInv'!CS80,IF(INDIRECT(ADDRESS(SumRef!EH87,SumRef!EH$16,,,SumRef!$E$7))="","",INDIRECT(ADDRESS(SumRef!EH87,SumRef!EH$16,,,SumRef!$E$7))))</f>
        <v/>
      </c>
      <c r="CQ81" s="1346" t="str">
        <f ca="1">IF('A-80 DirEntInv'!CT80&lt;&gt;"",'A-80 DirEntInv'!CT80,IF(INDIRECT(ADDRESS(SumRef!EI87,SumRef!EI$16,,,SumRef!$E$7))="","",INDIRECT(ADDRESS(SumRef!EI87,SumRef!EI$16,,,SumRef!$E$7))))</f>
        <v/>
      </c>
      <c r="CR81" s="1113" t="str">
        <f ca="1">IF('A-80 DirEntInv'!CU80&lt;&gt;"",'A-80 DirEntInv'!CU80,IF(INDIRECT(ADDRESS(SumRef!EJ87,SumRef!EJ$16,,,SumRef!$E$7))="","",INDIRECT(ADDRESS(SumRef!EJ87,SumRef!EJ$16,,,SumRef!$E$7))))</f>
        <v/>
      </c>
      <c r="CS81" s="1346" t="str">
        <f ca="1">IF('A-80 DirEntInv'!CV80&lt;&gt;"",'A-80 DirEntInv'!CV80,IF(INDIRECT(ADDRESS(SumRef!EM87,SumRef!EM$16,,,SumRef!$E$7))="","",INDIRECT(ADDRESS(SumRef!EM87,SumRef!EM$16,,,SumRef!$E$7))))</f>
        <v/>
      </c>
      <c r="CT81" s="1113" t="str">
        <f ca="1">IF('A-80 DirEntInv'!CW80&lt;&gt;"",'A-80 DirEntInv'!CW80,IF(INDIRECT(ADDRESS(SumRef!EN87,SumRef!EN$16,,,SumRef!$E$7))="","",INDIRECT(ADDRESS(SumRef!EN87,SumRef!EN$16,,,SumRef!$E$7))))</f>
        <v/>
      </c>
      <c r="CU81" s="1113" t="str">
        <f ca="1">IF('A-80 DirEntInv'!CX80&lt;&gt;"",'A-80 DirEntInv'!CX80,IF(INDIRECT(ADDRESS(SumRef!EO87,SumRef!EO$16,,,SumRef!$E$7))="","",INDIRECT(ADDRESS(SumRef!EO87,SumRef!EO$16,,,SumRef!$E$7))))</f>
        <v/>
      </c>
      <c r="CV81" s="1113" t="str">
        <f ca="1">IF('A-80 DirEntInv'!CY80&lt;&gt;"",'A-80 DirEntInv'!CY80,IF(INDIRECT(ADDRESS(SumRef!EP87,SumRef!EP$16,,,SumRef!$E$7))="","",INDIRECT(ADDRESS(SumRef!EP87,SumRef!EP$16,,,SumRef!$E$7))))</f>
        <v/>
      </c>
      <c r="CW81" s="1114" t="str">
        <f ca="1">IF('A-80 DirEntInv'!CZ80&lt;&gt;"",'A-80 DirEntInv'!CZ80,IF(INDIRECT(ADDRESS(SumRef!ES87,SumRef!ES$16,,,SumRef!$E$7))="","",INDIRECT(ADDRESS(SumRef!ES87,SumRef!ES$16,,,SumRef!$E$7))))</f>
        <v/>
      </c>
      <c r="CX81" s="1167" t="str">
        <f ca="1">IF('A-80 DirEntInv'!DA80&lt;&gt;"",'A-80 DirEntInv'!DA80,IF(INDIRECT(ADDRESS(SumRef!ET87,SumRef!ET$16,,,SumRef!$E$7))="","",INDIRECT(ADDRESS(SumRef!ET87,SumRef!ET$16,,,SumRef!$E$7))))</f>
        <v/>
      </c>
      <c r="CY81" s="1167" t="str">
        <f ca="1">IF('A-80 DirEntInv'!DB80&lt;&gt;"",'A-80 DirEntInv'!DB80,IF(INDIRECT(ADDRESS(SumRef!EU87,SumRef!EU$16,,,SumRef!$E$7))="","",INDIRECT(ADDRESS(SumRef!EU87,SumRef!EU$16,,,SumRef!$E$7))))</f>
        <v/>
      </c>
      <c r="CZ81" s="1167" t="b">
        <f ca="1">IF('A-80 DirEntInv'!DC80&lt;&gt;"",'A-80 DirEntInv'!DC80,IF(INDIRECT(ADDRESS(SumRef!EV87,SumRef!EV$16,,,SumRef!$E$7))="","",INDIRECT(ADDRESS(SumRef!EV87,SumRef!EV$16,,,SumRef!$E$7))))</f>
        <v>0</v>
      </c>
      <c r="DA81" s="1373" t="str">
        <f ca="1">IF('A-80 DirEntInv'!DD80&lt;&gt;"",'A-80 DirEntInv'!DD80,IF(INDIRECT(ADDRESS(SumRef!EW87,SumRef!EW$16,,,SumRef!$E$7))="","",INDIRECT(ADDRESS(SumRef!EW87,SumRef!EW$16,,,SumRef!$E$7))))</f>
        <v/>
      </c>
      <c r="DB81" s="1373" t="b">
        <f ca="1">IF('A-80 DirEntInv'!DE80&lt;&gt;"",'A-80 DirEntInv'!DE80,IF(INDIRECT(ADDRESS(SumRef!EX87,SumRef!EX$16,,,SumRef!$E$7))="","",INDIRECT(ADDRESS(SumRef!EX87,SumRef!EX$16,,,SumRef!$E$7))))</f>
        <v>0</v>
      </c>
      <c r="DC81" s="1114" t="b">
        <f ca="1">IF('A-80 DirEntInv'!DF80&lt;&gt;"",'A-80 DirEntInv'!DF80,IF(INDIRECT(ADDRESS(SumRef!EY87,SumRef!EY$16,,,SumRef!$E$7))="","",INDIRECT(ADDRESS(SumRef!EY87,SumRef!EY$16,,,SumRef!$E$7))))</f>
        <v>0</v>
      </c>
      <c r="DD81" s="1115" t="str">
        <f ca="1">IF('A-80 DirEntInv'!DG80&lt;&gt;"",'A-80 DirEntInv'!DG80,IF(INDIRECT(ADDRESS(SumRef!EZ87,SumRef!EZ$16,,,SumRef!$E$7))="","",INDIRECT(ADDRESS(SumRef!EZ87,SumRef!EZ$16,,,SumRef!$E$7))))</f>
        <v/>
      </c>
    </row>
    <row r="82" spans="1:108" s="588" customFormat="1" ht="13.5" thickBot="1" x14ac:dyDescent="0.25">
      <c r="A82" s="589">
        <f t="shared" si="1"/>
        <v>72</v>
      </c>
      <c r="B82" s="1155" t="str">
        <f ca="1">IF('A-80 DirEntInv'!B81&lt;&gt;"",'A-80 DirEntInv'!B81,IF(INDIRECT(ADDRESS(SumRef!AQ88,SumRef!AQ$16,,,SumRef!$B$7))="","",INDIRECT(ADDRESS(SumRef!AQ88,SumRef!AQ$16,,,SumRef!$B$7))))</f>
        <v/>
      </c>
      <c r="C82" s="1097" t="str">
        <f ca="1">IF('A-80 DirEntInv'!C81&lt;&gt;"",'A-80 DirEntInv'!C81,IF(INDIRECT(ADDRESS(SumRef!AR88,SumRef!AR$16,,,SumRef!$B$7))="","",INDIRECT(ADDRESS(SumRef!AR88,SumRef!AR$16,,,SumRef!$B$7))))</f>
        <v/>
      </c>
      <c r="D82" s="1097" t="str">
        <f ca="1">IF('A-80 DirEntInv'!D81&lt;&gt;"",'A-80 DirEntInv'!D81,IF(INDIRECT(ADDRESS(SumRef!AS88,SumRef!AS$16,,,SumRef!$B$7))="","",INDIRECT(ADDRESS(SumRef!AS88,SumRef!AS$16,,,SumRef!$B$7))))</f>
        <v/>
      </c>
      <c r="E82" s="1097" t="str">
        <f ca="1">IF('A-80 DirEntInv'!E81&lt;&gt;"",'A-80 DirEntInv'!E81,IF(INDIRECT(ADDRESS(SumRef!AT88,SumRef!AT$16,,,SumRef!$B$7))="","",INDIRECT(ADDRESS(SumRef!AT88,SumRef!AT$16,,,SumRef!$B$7))))</f>
        <v/>
      </c>
      <c r="F82" s="1097" t="str">
        <f ca="1">IF('A-80 DirEntInv'!F81&lt;&gt;"",'A-80 DirEntInv'!F81,IF(INDIRECT(ADDRESS(SumRef!AU88,SumRef!AU$16,,,SumRef!$B$7))="","",INDIRECT(ADDRESS(SumRef!AU88,SumRef!AU$16,,,SumRef!$B$7))))</f>
        <v/>
      </c>
      <c r="G82" s="1158" t="str">
        <f ca="1">IF('A-80 DirEntInv'!G81&lt;&gt;"",'A-80 DirEntInv'!G81,IF(INDIRECT(ADDRESS(SumRef!AV88,SumRef!AV$16,,,SumRef!$B$7))="","",INDIRECT(ADDRESS(SumRef!AV88,SumRef!AV$16,,,SumRef!$B$7))))</f>
        <v/>
      </c>
      <c r="H82" s="1097" t="str">
        <f ca="1">IF('A-80 DirEntInv'!H81&lt;&gt;"",'A-80 DirEntInv'!H81,IF(INDIRECT(ADDRESS(SumRef!AW88,SumRef!AW$16,,,SumRef!$B$7))="","",INDIRECT(ADDRESS(SumRef!AW88,SumRef!AW$16,,,SumRef!$B$7))))</f>
        <v/>
      </c>
      <c r="I82" s="1097" t="str">
        <f ca="1">IF('A-80 DirEntInv'!I81&lt;&gt;"",'A-80 DirEntInv'!I81,IF(INDIRECT(ADDRESS(SumRef!AX88,SumRef!AX$16,,,SumRef!$B$7))="","",INDIRECT(ADDRESS(SumRef!AX88,SumRef!AX$16,,,SumRef!$B$7))))</f>
        <v/>
      </c>
      <c r="J82" s="1098" t="str">
        <f ca="1">IF('A-80 DirEntInv'!J81&lt;&gt;"",'A-80 DirEntInv'!J81,IF(INDIRECT(ADDRESS(SumRef!AY88,SumRef!AY$16,,,SumRef!$B$7))="","",INDIRECT(ADDRESS(SumRef!AY88,SumRef!AY$16,,,SumRef!$B$7))))</f>
        <v/>
      </c>
      <c r="K82" s="1099" t="str">
        <f ca="1">IF('A-80 DirEntInv'!K81&lt;&gt;"",'A-80 DirEntInv'!K81,IF(INDIRECT(ADDRESS(SumRef!AZ88,SumRef!AZ$16,,,SumRef!$B$7))="","",INDIRECT(ADDRESS(SumRef!AZ88,SumRef!AZ$16,,,SumRef!$B$7))))</f>
        <v/>
      </c>
      <c r="L82" s="1100" t="str">
        <f ca="1">IF('A-80 DirEntInv'!L81&lt;&gt;"",'A-80 DirEntInv'!L81,IF(INDIRECT(ADDRESS(SumRef!BA88,SumRef!BA$16,,,SumRef!$B$7))="","",INDIRECT(ADDRESS(SumRef!BA88,SumRef!BA$16,,,SumRef!$B$7))))</f>
        <v/>
      </c>
      <c r="M82" s="1101" t="str">
        <f ca="1">IF('A-80 DirEntInv'!M81&lt;&gt;"",'A-80 DirEntInv'!M81,IF(INDIRECT(ADDRESS(SumRef!BB88,SumRef!BB$16,,,SumRef!$B$7))="","",INDIRECT(ADDRESS(SumRef!BB88,SumRef!BB$16,,,SumRef!$B$7))))</f>
        <v/>
      </c>
      <c r="N82" s="1098" t="str">
        <f ca="1">IF('A-80 DirEntInv'!N81&lt;&gt;"",'A-80 DirEntInv'!N81,IF(INDIRECT(ADDRESS(SumRef!BC88,SumRef!BC$16,,,SumRef!$B$7))="","",INDIRECT(ADDRESS(SumRef!BC88,SumRef!BC$16,,,SumRef!$B$7))))</f>
        <v/>
      </c>
      <c r="O82" s="1102" t="str">
        <f ca="1">IF('A-80 DirEntInv'!O81&lt;&gt;"",'A-80 DirEntInv'!O81,IF(INDIRECT(ADDRESS(SumRef!BD88,SumRef!BD$16,,,SumRef!$B$7))="","",INDIRECT(ADDRESS(SumRef!BD88,SumRef!BD$16,,,SumRef!$B$7))))</f>
        <v/>
      </c>
      <c r="Q82" s="589"/>
      <c r="R82" s="1103" t="str">
        <f ca="1">IF('A-80 DirEntInv'!R81&lt;&gt;"",'A-80 DirEntInv'!R81,IF(INDIRECT(ADDRESS(SumRef!BH88,SumRef!BH$16,,,SumRef!$B$8))="","",INDIRECT(ADDRESS(SumRef!BH88,SumRef!BH$16,,,SumRef!$B$8))))</f>
        <v/>
      </c>
      <c r="S82" s="1104" t="str">
        <f ca="1">IF('A-80 DirEntInv'!S81&lt;&gt;"",'A-80 DirEntInv'!S81,IF(INDIRECT(ADDRESS(SumRef!BI88,SumRef!BI$16,,,SumRef!$B$8))="","",INDIRECT(ADDRESS(SumRef!BI88,SumRef!BI$16,,,SumRef!$B$8))))</f>
        <v/>
      </c>
      <c r="T82" s="1104" t="str">
        <f ca="1">IF('A-80 DirEntInv'!T81&lt;&gt;"",'A-80 DirEntInv'!T81,IF(INDIRECT(ADDRESS(SumRef!BJ88,SumRef!BJ$16,,,SumRef!$B$8))="","",INDIRECT(ADDRESS(SumRef!BJ88,SumRef!BJ$16,,,SumRef!$B$8))))</f>
        <v/>
      </c>
      <c r="U82" s="1104" t="str">
        <f ca="1">IF('A-80 DirEntInv'!U81&lt;&gt;"",'A-80 DirEntInv'!U81,IF(INDIRECT(ADDRESS(SumRef!BK88,SumRef!BK$16,,,SumRef!$B$8))="","",INDIRECT(ADDRESS(SumRef!BK88,SumRef!BK$16,,,SumRef!$B$8))))</f>
        <v/>
      </c>
      <c r="V82" s="1104" t="str">
        <f ca="1">IF('A-80 DirEntInv'!V81&lt;&gt;"",'A-80 DirEntInv'!V81,IF(INDIRECT(ADDRESS(SumRef!BL88,SumRef!BL$16,,,SumRef!$B$8))="","",INDIRECT(ADDRESS(SumRef!BL88,SumRef!BL$16,,,SumRef!$B$8))))</f>
        <v/>
      </c>
      <c r="W82" s="1354" t="str">
        <f ca="1">IF('A-80 DirEntInv'!W81&lt;&gt;"",'A-80 DirEntInv'!W81,IF(INDIRECT(ADDRESS(SumRef!BM88,SumRef!BM$16,,,SumRef!$B$8))="","",INDIRECT(ADDRESS(SumRef!BM88,SumRef!BM$16,,,SumRef!$B$8))))</f>
        <v/>
      </c>
      <c r="X82" s="1203" t="str">
        <f ca="1">IF('A-80 DirEntInv'!X81&lt;&gt;"",'A-80 DirEntInv'!X81,IF(INDIRECT(ADDRESS(SumRef!BN88,SumRef!BN$16,,,SumRef!$B$8))="","",INDIRECT(ADDRESS(SumRef!BN88,SumRef!BN$16,,,SumRef!$B$8))))</f>
        <v/>
      </c>
      <c r="Y82" s="1203" t="str">
        <f ca="1">IF('A-80 DirEntInv'!Y81&lt;&gt;"",'A-80 DirEntInv'!Y81,IF(INDIRECT(ADDRESS(SumRef!BO88,SumRef!BO$16,,,SumRef!$B$8))="","",INDIRECT(ADDRESS(SumRef!BO88,SumRef!BO$16,,,SumRef!$B$8))))</f>
        <v/>
      </c>
      <c r="Z82" s="1104" t="str">
        <f ca="1">IF('A-80 DirEntInv'!Z81&lt;&gt;"",'A-80 DirEntInv'!Z81,IF(INDIRECT(ADDRESS(SumRef!BP88,SumRef!BP$16,,,SumRef!$B$8))="","",INDIRECT(ADDRESS(SumRef!BP88,SumRef!BP$16,,,SumRef!$B$8))))</f>
        <v/>
      </c>
      <c r="AA82" s="1104" t="str">
        <f ca="1">IF('A-80 DirEntInv'!AA81&lt;&gt;"",'A-80 DirEntInv'!AA81,IF(INDIRECT(ADDRESS(SumRef!BQ88,SumRef!BQ$16,,,SumRef!$B$8))="","",INDIRECT(ADDRESS(SumRef!BQ88,SumRef!BQ$16,,,SumRef!$B$8))))</f>
        <v/>
      </c>
      <c r="AB82" s="1106" t="str">
        <f ca="1">IF('A-80 DirEntInv'!AB81&lt;&gt;"",'A-80 DirEntInv'!AB81,IF(INDIRECT(ADDRESS(SumRef!BR88,SumRef!BR$16,,,SumRef!$B$8))="","",INDIRECT(ADDRESS(SumRef!BR88,SumRef!BR$16,,,SumRef!$B$8))))</f>
        <v/>
      </c>
      <c r="AC82" s="1107" t="str">
        <f ca="1">IF('A-80 DirEntInv'!AC81&lt;&gt;"",'A-80 DirEntInv'!AC81,IF(INDIRECT(ADDRESS(SumRef!BS88,SumRef!BS$16,,,SumRef!$B$8))="","",INDIRECT(ADDRESS(SumRef!BS88,SumRef!BS$16,,,SumRef!$B$8))))</f>
        <v/>
      </c>
      <c r="AD82" s="1349" t="str">
        <f ca="1">IF('A-80 DirEntInv'!AD81&lt;&gt;"",'A-80 DirEntInv'!AD81,IF(INDIRECT(ADDRESS(SumRef!BT88,SumRef!BT$16,,,SumRef!$B$8))="","",INDIRECT(ADDRESS(SumRef!BT88,SumRef!BT$16,,,SumRef!$B$8))))</f>
        <v/>
      </c>
      <c r="AE82" s="1137" t="str">
        <f ca="1">IF('A-80 DirEntInv'!AE81&lt;&gt;"",'A-80 DirEntInv'!AE81,IF(INDIRECT(ADDRESS(SumRef!BU88,SumRef!BU$16,,,SumRef!$B$8))="","",INDIRECT(ADDRESS(SumRef!BU88,SumRef!BU$16,,,SumRef!$B$8))))</f>
        <v/>
      </c>
      <c r="AF82" s="1346" t="str">
        <f ca="1">IF('A-80 DirEntInv'!AF81&lt;&gt;"",'A-80 DirEntInv'!AF81,IF(INDIRECT(ADDRESS(SumRef!BV88,SumRef!BV$16,,,SumRef!$B$8))="","",INDIRECT(ADDRESS(SumRef!BV88,SumRef!BV$16,,,SumRef!$B$8))))</f>
        <v/>
      </c>
      <c r="AG82" s="1105" t="str">
        <f ca="1">IF('A-80 DirEntInv'!AG81&lt;&gt;"",'A-80 DirEntInv'!AG81,IF(INDIRECT(ADDRESS(SumRef!BW88,SumRef!BW$16,,,SumRef!$B$8))="","",INDIRECT(ADDRESS(SumRef!BW88,SumRef!BW$16,,,SumRef!$B$8))))</f>
        <v/>
      </c>
      <c r="AH82" s="1357" t="str">
        <f ca="1">IF('A-80 DirEntInv'!AH81&lt;&gt;"",'A-80 DirEntInv'!AH81,IF(INDIRECT(ADDRESS(SumRef!BX88,SumRef!BX$16,,,SumRef!$B$8))="","",INDIRECT(ADDRESS(SumRef!BX88,SumRef!BX$16,,,SumRef!$B$8))))</f>
        <v/>
      </c>
      <c r="AK82" s="1041" t="str">
        <f>Codes!$C$161</f>
        <v>CR - Commuter Rail (DO)</v>
      </c>
      <c r="AL82" s="1042" t="str">
        <f>Valid!$B$72</f>
        <v>At-Grade/In-Street/Embedded</v>
      </c>
      <c r="AM82" s="1108" t="str">
        <f>IF('A-80 DirEntInv'!AM81&lt;&gt;"",'A-80 DirEntInv'!AM81,IF(AK82=summaryref2!B13,summaryref2!D13,IF(Summary!AK82=summaryref2!B27,summaryref2!D27,IF(AK82=summaryref2!B41,summaryref2!D41,IF(AK82=summaryref2!B55,summaryref2!D55,IF(AK82=summaryref2!B69,summaryref2!D69,IF(AK82=summaryref2!B83,summaryref2!D83,IF(AK82=summaryref2!B97,summaryref2!D97,IF(AK82=summaryref2!B111,summaryref2!D111,IF(AK82=summaryref2!B125,summaryref2!D125,IF(AK82=summaryref2!B139,summaryref2!D139,"")))))))))))</f>
        <v/>
      </c>
      <c r="AN82" s="1109" t="str">
        <f ca="1">IF('A-80 DirEntInv'!AN81&lt;&gt;"",'A-80 DirEntInv'!AN81,IF(INDIRECT(ADDRESS(SumRef!CG134,SumRef!CG$16,,,SumRef!$C$7))="","",INDIRECT(ADDRESS(SumRef!CG134,SumRef!CG$16,,,SumRef!$C$7))))</f>
        <v>Linear Feet</v>
      </c>
      <c r="AO82" s="1108" t="str">
        <f>IF('A-80 DirEntInv'!AO81&lt;&gt;"",'A-80 DirEntInv'!AO81,IF(AK82=summaryref2!B13,summaryref2!F13,IF(Summary!AK82=summaryref2!B27,summaryref2!F27,IF(AK82=summaryref2!B41,summaryref2!F41,IF(AK82=summaryref2!B55,summaryref2!F55,IF(AK82=summaryref2!B69,summaryref2!F69,IF(AK82=summaryref2!B83,summaryref2!F83,IF(AK82=summaryref2!B97,summaryref2!F97,IF(AK82=summaryref2!B111,summaryref2!F111,IF(AK82=summaryref2!B125,summaryref2!F125,IF(AK82=summaryref2!B139,summaryref2!F139,"")))))))))))</f>
        <v/>
      </c>
      <c r="AP82" s="1109" t="str">
        <f ca="1">IF('A-80 DirEntInv'!AP81&lt;&gt;"",'A-80 DirEntInv'!AP81,IF(INDIRECT(ADDRESS(SumRef!#REF!,SumRef!#REF!,,,SumRef!$C$7))="","",INDIRECT(ADDRESS(SumRef!#REF!,SumRef!#REF!,,,SumRef!$C$7))))</f>
        <v>Track Feet</v>
      </c>
      <c r="AQ82" s="1147" t="str">
        <f>IF('A-80 DirEntInv'!AQ81&lt;&gt;"",'A-80 DirEntInv'!AQ81,IF(AK82=summaryref2!B13,summaryref2!G13,IF(Summary!AK82=summaryref2!B27,summaryref2!G27,IF(AK82=summaryref2!B41,summaryref2!G41,IF(AK82=summaryref2!B55,summaryref2!G55,IF(AK82=summaryref2!B69,summaryref2!G69,IF(AK82=summaryref2!B83,summaryref2!G83,IF(AK82=summaryref2!B97,summaryref2!G97,IF(AK82=summaryref2!B111,summaryref2!G111,IF(AK82=summaryref2!B125,summaryref2!G125,IF(AK82=summaryref2!B139,summaryref2!G139,"")))))))))))</f>
        <v/>
      </c>
      <c r="AR82" s="1147" t="str">
        <f>IF('A-80 DirEntInv'!AR81&lt;&gt;"",'A-80 DirEntInv'!AR81,IF(AK82=summaryref2!B13,summaryref2!H13,IF(Summary!AK82=summaryref2!B27,summaryref2!H27,IF(AK82=summaryref2!B41,summaryref2!H41,IF(AK82=summaryref2!B55,summaryref2!H55,IF(AK82=summaryref2!B69,summaryref2!H69,IF(AK82=summaryref2!B83,summaryref2!H83,IF(AK82=summaryref2!B97,summaryref2!H97,IF(AK82=summaryref2!B111,summaryref2!H111,IF(AK82=summaryref2!B125,summaryref2!H125,IF(AK82=summaryref2!B139,summaryref2!H139,"")))))))))))</f>
        <v/>
      </c>
      <c r="AS82" s="1110" t="str">
        <f>IF('A-80 DirEntInv'!AS81&lt;&gt;"",'A-80 DirEntInv'!AS81,IF(AK82=summaryref2!B13,summaryref2!I13,IF(Summary!AK82=summaryref2!B27,summaryref2!I27,IF(AK82=summaryref2!B41,summaryref2!I41,IF(AK82=summaryref2!B55,summaryref2!I55,IF(AK82=summaryref2!B69,summaryref2!I69,IF(AK82=summaryref2!B83,summaryref2!I83,IF(AK82=summaryref2!B97,summaryref2!I97,IF(AK82=summaryref2!B111,summaryref2!I111,IF(AK82=summaryref2!B125,summaryref2!I125,IF(AK82=summaryref2!B139,summaryref2!I139,"")))))))))))</f>
        <v/>
      </c>
      <c r="AT82" s="1110" t="str">
        <f>IF('A-80 DirEntInv'!AT81&lt;&gt;"",'A-80 DirEntInv'!AT81,IF(AK82=summaryref2!B13,summaryref2!J13,IF(Summary!AK82=summaryref2!B27,summaryref2!J27,IF(AK82=summaryref2!B41,summaryref2!J41,IF(AK82=summaryref2!B55,summaryref2!J55,IF(AK82=summaryref2!B69,summaryref2!J69,IF(AK82=summaryref2!B83,summaryref2!J83,IF(AK82=summaryref2!B97,summaryref2!J97,IF(AK82=summaryref2!B111,summaryref2!J111,IF(AK82=summaryref2!B125,summaryref2!J125,IF(AK82=summaryref2!B139,summaryref2!J139,"")))))))))))</f>
        <v/>
      </c>
      <c r="AU82" s="1110" t="str">
        <f>IF('A-80 DirEntInv'!AU81&lt;&gt;"",'A-80 DirEntInv'!AU81,IF(AK82=summaryref2!B13,summaryref2!K13,IF(Summary!AK82=summaryref2!B27,summaryref2!K27,IF(AK82=summaryref2!B41,summaryref2!K41,IF(AK82=summaryref2!B55,summaryref2!K55,IF(AK82=summaryref2!B69,summaryref2!K69,IF(AK82=summaryref2!B83,summaryref2!K83,IF(AK82=summaryref2!B97,summaryref2!K97,IF(AK82=summaryref2!B111,summaryref2!K111,IF(AK82=summaryref2!B125,summaryref2!K125,IF(AK82=summaryref2!B139,summaryref2!K139,"")))))))))))</f>
        <v/>
      </c>
      <c r="AV82" s="1110" t="str">
        <f>IF('A-80 DirEntInv'!AV81&lt;&gt;"",'A-80 DirEntInv'!AV81,IF(AK82=summaryref2!B13,summaryref2!L13,IF(Summary!AK82=summaryref2!B27,summaryref2!L27,IF(AK82=summaryref2!B41,summaryref2!L41,IF(AK82=summaryref2!B55,summaryref2!L55,IF(AK82=summaryref2!B69,summaryref2!L69,IF(AK82=summaryref2!B83,summaryref2!L83,IF(AK82=summaryref2!B97,summaryref2!L97,IF(AK82=summaryref2!B111,summaryref2!L111,IF(AK82=summaryref2!B125,summaryref2!L125,IF(AK82=summaryref2!B139,summaryref2!L139,"")))))))))))</f>
        <v/>
      </c>
      <c r="AW82" s="1110" t="str">
        <f>IF('A-80 DirEntInv'!AW81&lt;&gt;"",'A-80 DirEntInv'!AW81,IF(AK82=summaryref2!B13,summaryref2!M13,IF(Summary!AK82=summaryref2!B27,summaryref2!M27,IF(AK82=summaryref2!B41,summaryref2!M41,IF(AK82=summaryref2!B55,summaryref2!M55,IF(AK82=summaryref2!B69,summaryref2!M69,IF(AK82=summaryref2!B83,summaryref2!M83,IF(AK82=summaryref2!B97,summaryref2!M97,IF(AK82=summaryref2!B111,summaryref2!M111,IF(AK82=summaryref2!B125,summaryref2!M125,IF(AK82=summaryref2!B139,summaryref2!M139,"")))))))))))</f>
        <v/>
      </c>
      <c r="AX82" s="1110" t="str">
        <f>IF('A-80 DirEntInv'!AX81&lt;&gt;"",'A-80 DirEntInv'!AX81,IF(AK82=summaryref2!B13,summaryref2!N13,IF(Summary!AK82=summaryref2!B27,summaryref2!N27,IF(AK82=summaryref2!B41,summaryref2!N41,IF(AK82=summaryref2!B55,summaryref2!N55,IF(AK82=summaryref2!B69,summaryref2!N69,IF(AK82=summaryref2!B83,summaryref2!N83,IF(AK82=summaryref2!B97,summaryref2!N97,IF(AK82=summaryref2!B111,summaryref2!N111,IF(AK82=summaryref2!B125,summaryref2!N125,IF(AK82=summaryref2!B139,summaryref2!N139,"")))))))))))</f>
        <v/>
      </c>
      <c r="AY82" s="1110" t="str">
        <f>IF('A-80 DirEntInv'!AY81&lt;&gt;"",'A-80 DirEntInv'!AY81,IF(AK82=summaryref2!B13,summaryref2!O13,IF(Summary!AK82=summaryref2!B27,summaryref2!O27,IF(AK82=summaryref2!B41,summaryref2!O41,IF(AK82=summaryref2!B55,summaryref2!O55,IF(AK82=summaryref2!B69,summaryref2!O69,IF(AK82=summaryref2!B83,summaryref2!O83,IF(AK82=summaryref2!B97,summaryref2!O97,IF(AK82=summaryref2!B111,summaryref2!O111,IF(AK82=summaryref2!B125,summaryref2!O125,IF(AK82=summaryref2!B139,summaryref2!O139,"")))))))))))</f>
        <v/>
      </c>
      <c r="AZ82" s="1110" t="str">
        <f>IF('A-80 DirEntInv'!AZ81&lt;&gt;"",'A-80 DirEntInv'!AZ81,IF(AK82=summaryref2!B13,summaryref2!P13,IF(Summary!AK82=summaryref2!B27,summaryref2!P27,IF(AK82=summaryref2!B41,summaryref2!P41,IF(AK82=summaryref2!B55,summaryref2!P55,IF(AK82=summaryref2!B69,summaryref2!P69,IF(AK82=summaryref2!B83,summaryref2!P83,IF(AK82=summaryref2!B97,summaryref2!P97,IF(AK82=summaryref2!B111,summaryref2!P111,IF(AK82=summaryref2!B125,summaryref2!P125,IF(AK82=summaryref2!B139,summaryref2!P139,"")))))))))))</f>
        <v/>
      </c>
      <c r="BA82" s="1110" t="str">
        <f>IF('A-80 DirEntInv'!BA81&lt;&gt;"",'A-80 DirEntInv'!BA81,IF(AK82=summaryref2!B13,summaryref2!Q13,IF(Summary!AK82=summaryref2!B27,summaryref2!Q27,IF(AK82=summaryref2!B41,summaryref2!Q41,IF(AK82=summaryref2!B55,summaryref2!Q55,IF(AK82=summaryref2!B69,summaryref2!Q69,IF(AK82=summaryref2!B83,summaryref2!Q83,IF(AK82=summaryref2!B97,summaryref2!Q97,IF(AK82=summaryref2!B111,summaryref2!Q111,IF(AK82=summaryref2!B125,summaryref2!Q125,IF(AK82=summaryref2!B139,summaryref2!Q139,"")))))))))))</f>
        <v/>
      </c>
      <c r="BB82" s="1110" t="str">
        <f>IF('A-80 DirEntInv'!BB81&lt;&gt;"",'A-80 DirEntInv'!BB81,IF(AK82=summaryref2!B13,summaryref2!R13,IF(Summary!AK82=summaryref2!B27,summaryref2!R27,IF(AK82=summaryref2!B41,summaryref2!R41,IF(AK82=summaryref2!B55,summaryref2!R55,IF(AK82=summaryref2!B69,summaryref2!R69,IF(AK82=summaryref2!B83,summaryref2!R83,IF(AK82=summaryref2!B97,summaryref2!R97,IF(AK82=summaryref2!B111,summaryref2!R111,IF(AK82=summaryref2!B125,summaryref2!R125,IF(AK82=summaryref2!B139,summaryref2!R139,"")))))))))))</f>
        <v/>
      </c>
      <c r="BC82" s="1110" t="str">
        <f>IF('A-80 DirEntInv'!BC81&lt;&gt;0,'A-80 DirEntInv'!BC81,IF(AK82=summaryref2!B13,summaryref2!S13,IF(Summary!AK82=summaryref2!B27,summaryref2!S27,IF(AK82=summaryref2!B41,summaryref2!S41,IF(AK82=summaryref2!B55,summaryref2!S55,IF(AK82=summaryref2!B69,summaryref2!S69,IF(AK82=summaryref2!B83,summaryref2!S83,IF(AK82=summaryref2!B97,summaryref2!S97,IF(AK82=summaryref2!B111,summaryref2!S111,IF(AK82=summaryref2!B125,summaryref2!S125,IF(AK82=summaryref2!B139,summaryref2!S139,"")))))))))))</f>
        <v/>
      </c>
      <c r="BD82" s="1111" t="str">
        <f>IF('A-80 DirEntInv'!BD81&lt;&gt;"",'A-80 DirEntInv'!BD81,IF(AK82=summaryref2!B13,summaryref2!T13,IF(Summary!AK82=summaryref2!B27,summaryref2!T27,IF(AK82=summaryref2!B41,summaryref2!T41,IF(AK82=summaryref2!B55,summaryref2!T55,IF(AK82=summaryref2!B69,summaryref2!T69,IF(AK82=summaryref2!B83,summaryref2!T83,IF(AK82=summaryref2!B97,summaryref2!T97,IF(AK82=summaryref2!B111,summaryref2!T111,IF(AK82=summaryref2!B125,summaryref2!T125,IF(AK82=summaryref2!B139,summaryref2!T139,"")))))))))))</f>
        <v/>
      </c>
      <c r="BE82" s="1184" t="str">
        <f>IF('A-80 DirEntInv'!BE81&lt;&gt;"",'A-80 DirEntInv'!BE81,IF(AK82=summaryref2!B13,summaryref2!U13,IF(Summary!AK82=summaryref2!B27,summaryref2!U27,IF(AK82=summaryref2!B41,summaryref2!U41,IF(AK82=summaryref2!B55,summaryref2!U55,IF(AK82=summaryref2!B69,summaryref2!U69,IF(AK82=summaryref2!B83,summaryref2!U83,IF(AK82=summaryref2!B97,summaryref2!U97,IF(AK82=summaryref2!B111,summaryref2!U111,IF(AK82=summaryref2!B125,summaryref2!U125,IF(AK82=summaryref2!B139,summaryref2!U139,"")))))))))))</f>
        <v/>
      </c>
      <c r="BF82" s="1432"/>
      <c r="BG82" s="1432"/>
      <c r="BJ82" s="1048" t="str">
        <f>Codes!$C$166</f>
        <v>LR - Light Rail (PT)</v>
      </c>
      <c r="BK82" s="1049" t="str">
        <f>Valid!$B$81</f>
        <v>Curve</v>
      </c>
      <c r="BL82" s="1367" t="str">
        <f>IF('A-80 DirEntInv'!BL81&lt;&gt;"",'A-80 DirEntInv'!BL81,IF(BJ82=summaryref2!X13,summaryref2!Z13,IF(BJ82=summaryref2!X20,summaryref2!Z20,IF(BJ82=summaryref2!X27,summaryref2!Z27,IF(BJ82=summaryref2!X34,summaryref2!Z34,IF(BJ82=summaryref2!X41,summaryref2!Z41,IF(BJ82=summaryref2!X48,summaryref2!Z48,IF(BJ82=summaryref2!X55,summaryref2!Z55,IF(BJ82=summaryref2!X62,summaryref2!Z62,IF(BJ82=summaryref2!X69,summaryref2!Z69,IF(BJ82=summaryref2!X76,summaryref2!Z76,"")))))))))))</f>
        <v/>
      </c>
      <c r="BM82" s="1049" t="str">
        <f>VLOOKUP(BK82,Valid!$B$80:$C$86,2,FALSE)</f>
        <v>Track Feet</v>
      </c>
      <c r="BN82" s="1324" t="str">
        <f>IF('A-80 DirEntInv'!BN81&lt;&gt;"",'A-80 DirEntInv'!BN81,IF(BJ82=summaryref2!X13,summaryref2!AB13,IF(BJ82=summaryref2!X20,summaryref2!AB20,IF(BJ82=summaryref2!X27,summaryref2!AB27,IF(BJ82=summaryref2!X34,summaryref2!AB34,IF(BJ82=summaryref2!X41,summaryref2!AB41,IF(BJ82=summaryref2!X48,summaryref2!AB48,IF(BJ82=summaryref2!X55,summaryref2!AB55,IF(BJ82=summaryref2!X62,summaryref2!AB62,IF(BJ82=summaryref2!X69,summaryref2!AB69,IF(BJ82=summaryref2!X76,summaryref2!AB76,"")))))))))))</f>
        <v/>
      </c>
      <c r="BO82" s="1326" t="str">
        <f>IF('A-80 DirEntInv'!BO81&lt;&gt;"",'A-80 DirEntInv'!BO81,IF(BJ82=summaryref2!X13,summaryref2!AC13,IF(BJ82=summaryref2!X20,summaryref2!AC20,IF(BJ82=summaryref2!X27,summaryref2!AC27,IF(BJ82=summaryref2!X34,summaryref2!AC34,IF(BJ82=summaryref2!X41,summaryref2!AC41,IF(BJ82=summaryref2!X48,summaryref2!AC48,IF(BJ82=summaryref2!X55,summaryref2!AC55,IF(BJ82=summaryref2!X62,summaryref2!AC62,IF(BJ82=summaryref2!X69,summaryref2!AC69,IF(BJ82=summaryref2!X76,summaryref2!AC76,"")))))))))))</f>
        <v/>
      </c>
      <c r="BP82" s="1323" t="str">
        <f>IF('A-80 DirEntInv'!BP81&lt;&gt;"",'A-80 DirEntInv'!BP81,IF(BJ82=summaryref2!X13,summaryref2!AD13,IF(BJ82=summaryref2!X20,summaryref2!AD20,IF(BJ82=summaryref2!X27,summaryref2!AD27,IF(BJ82=summaryref2!X34,summaryref2!AD34,IF(BJ82=summaryref2!X41,summaryref2!AD41,IF(BJ82=summaryref2!X48,summaryref2!AD48,IF(BJ82=summaryref2!X55,summaryref2!AD55,IF(BJ82=summaryref2!X62,summaryref2!AD62,IF(BJ82=summaryref2!X69,summaryref2!AD69,IF(BJ82=summaryref2!X76,summaryref2!AD76,"")))))))))))</f>
        <v/>
      </c>
      <c r="BS82" s="1472" t="str">
        <f ca="1">IF('A-80 DirEntInv'!BU81&lt;&gt;"",'A-80 DirEntInv'!BU81,IF(INDIRECT(ADDRESS(SumRef!DK88,SumRef!DK$16,,,SumRef!$E$6))="","",INDIRECT(ADDRESS(SumRef!DK88,SumRef!DK$16,,,SumRef!$E$6))))</f>
        <v/>
      </c>
      <c r="BT82" s="1458" t="str">
        <f ca="1">IF('A-80 DirEntInv'!BV81&lt;&gt;"",'A-80 DirEntInv'!BV81,IF(INDIRECT(ADDRESS(SumRef!DL88,SumRef!DL$16,,,SumRef!$E$6))="","",INDIRECT(ADDRESS(SumRef!DL88,SumRef!DL$16,,,SumRef!$E$6))))</f>
        <v/>
      </c>
      <c r="BU82" s="1177" t="str">
        <f ca="1">IF('A-80 DirEntInv'!BW81&lt;&gt;"",'A-80 DirEntInv'!BW81,IF(INDIRECT(ADDRESS(SumRef!DM88,SumRef!DM$16,,,SumRef!$E$6))="","",INDIRECT(ADDRESS(SumRef!DM88,SumRef!DM$16,,,SumRef!$E$6))))</f>
        <v/>
      </c>
      <c r="BV82" s="1460" t="str">
        <f ca="1">IF('A-80 DirEntInv'!BX81&lt;&gt;"",'A-80 DirEntInv'!BX81,IF(INDIRECT(ADDRESS(SumRef!DN88,SumRef!DN$16,,,SumRef!$E$6))="","",INDIRECT(ADDRESS(SumRef!DN88,SumRef!DN$16,,,SumRef!$E$6))))</f>
        <v/>
      </c>
      <c r="BW82" s="1460" t="str">
        <f ca="1">IF('A-80 DirEntInv'!BY81&lt;&gt;"",'A-80 DirEntInv'!BY81,IF(INDIRECT(ADDRESS(SumRef!DO88,SumRef!DO$16,,,SumRef!$E$6))="","",INDIRECT(ADDRESS(SumRef!DO88,SumRef!DO$16,,,SumRef!$E$6))))</f>
        <v/>
      </c>
      <c r="BX82" s="1116" t="str">
        <f ca="1">IF('A-80 DirEntInv'!BZ81&lt;&gt;"",'A-80 DirEntInv'!BZ81,IF(INDIRECT(ADDRESS(SumRef!DP88,SumRef!DP$16,,,SumRef!$E$6))="","",INDIRECT(ADDRESS(SumRef!DP88,SumRef!DP$16,,,SumRef!$E$6))))</f>
        <v/>
      </c>
      <c r="BY82" s="1461" t="str">
        <f ca="1">IF('A-80 DirEntInv'!CA81&lt;&gt;"",'A-80 DirEntInv'!CA81,IF(INDIRECT(ADDRESS(SumRef!DQ88,SumRef!DQ$16,,,SumRef!$E$6))="","",INDIRECT(ADDRESS(SumRef!DQ88,SumRef!DQ$16,,,SumRef!$E$6))))</f>
        <v/>
      </c>
      <c r="BZ82" s="1460" t="str">
        <f ca="1">IF('A-80 DirEntInv'!CB81&lt;&gt;"",'A-80 DirEntInv'!CB81,IF(INDIRECT(ADDRESS(SumRef!DR88,SumRef!DR$16,,,SumRef!$E$6))="","",INDIRECT(ADDRESS(SumRef!DR88,SumRef!DR$16,,,SumRef!$E$6))))</f>
        <v/>
      </c>
      <c r="CA82" s="1462" t="str">
        <f ca="1">IF('A-80 DirEntInv'!CC81&lt;&gt;"",'A-80 DirEntInv'!CC81,IF(INDIRECT(ADDRESS(SumRef!DS88,SumRef!DS$16,,,SumRef!$E$6))="","",INDIRECT(ADDRESS(SumRef!DS88,SumRef!DS$16,,,SumRef!$E$6))))</f>
        <v/>
      </c>
      <c r="CD82" s="1160" t="str">
        <f ca="1">IF('A-80 DirEntInv'!CF81&lt;&gt;"",'A-80 DirEntInv'!CF81,IF(INDIRECT(ADDRESS(SumRef!DV88,SumRef!DV$16,,,SumRef!$E$7))="","",INDIRECT(ADDRESS(SumRef!DV88,SumRef!DV$16,,,SumRef!$E$7))))</f>
        <v/>
      </c>
      <c r="CE82" s="1167" t="str">
        <f ca="1">IF('A-80 DirEntInv'!CG81&lt;&gt;"",'A-80 DirEntInv'!CG81,IF(INDIRECT(ADDRESS(SumRef!DW88,SumRef!DW$16,,,SumRef!$E$7))="","",INDIRECT(ADDRESS(SumRef!DW88,SumRef!DW$16,,,SumRef!$E$7))))</f>
        <v/>
      </c>
      <c r="CF82" s="1167" t="str">
        <f ca="1">IF('A-80 DirEntInv'!CH81&lt;&gt;"",'A-80 DirEntInv'!CH81,IF(INDIRECT(ADDRESS(SumRef!DX88,SumRef!DX$16,,,SumRef!$E$7))="","",INDIRECT(ADDRESS(SumRef!DX88,SumRef!DX$16,,,SumRef!$E$7))))</f>
        <v/>
      </c>
      <c r="CG82" s="1167" t="str">
        <f ca="1">IF('A-80 DirEntInv'!CI81&lt;&gt;"",'A-80 DirEntInv'!CI81,IF(INDIRECT(ADDRESS(SumRef!DY88,SumRef!DY$16,,,SumRef!$E$7))="","",INDIRECT(ADDRESS(SumRef!DY88,SumRef!DY$16,,,SumRef!$E$7))))</f>
        <v/>
      </c>
      <c r="CH82" s="1167" t="str">
        <f ca="1">IF('A-80 DirEntInv'!CJ81&lt;&gt;"",'A-80 DirEntInv'!CJ81,IF(INDIRECT(ADDRESS(SumRef!DZ88,SumRef!DZ$16,,,SumRef!$E$7))="","",INDIRECT(ADDRESS(SumRef!DZ88,SumRef!DZ$16,,,SumRef!$E$7))))</f>
        <v/>
      </c>
      <c r="CI82" s="1167" t="str">
        <f ca="1">IF('A-80 DirEntInv'!CK81&lt;&gt;"",'A-80 DirEntInv'!CK81,IF(INDIRECT(ADDRESS(SumRef!EA88,SumRef!EA$16,,,SumRef!$E$7))="","",INDIRECT(ADDRESS(SumRef!EA88,SumRef!EA$16,,,SumRef!$E$7))))</f>
        <v/>
      </c>
      <c r="CJ82" s="1114" t="str">
        <f ca="1">IF('A-80 DirEntInv'!CL81&lt;&gt;"",'A-80 DirEntInv'!CL81,IF(INDIRECT(ADDRESS(SumRef!EB88,SumRef!EB$16,,,SumRef!$E$7))="","",INDIRECT(ADDRESS(SumRef!EB88,SumRef!EB$16,,,SumRef!$E$7))))</f>
        <v/>
      </c>
      <c r="CK82" s="1114" t="str">
        <f ca="1">IF('A-80 DirEntInv'!CM81&lt;&gt;"",'A-80 DirEntInv'!CM81,IF(INDIRECT(ADDRESS(SumRef!EC88,SumRef!EC$16,,,SumRef!$E$7))="","",INDIRECT(ADDRESS(SumRef!EC88,SumRef!EC$16,,,SumRef!$E$7))))</f>
        <v/>
      </c>
      <c r="CL82" s="1113" t="str">
        <f ca="1">IF('A-80 DirEntInv'!CO81&lt;&gt;"",'A-80 DirEntInv'!CO81,IF(INDIRECT(ADDRESS(SumRef!ED88,SumRef!ED$16,,,SumRef!$E$7))="","",INDIRECT(ADDRESS(SumRef!ED88,SumRef!ED$16,,,SumRef!$E$7))))</f>
        <v/>
      </c>
      <c r="CM82" s="1114" t="str">
        <f ca="1">IF('A-80 DirEntInv'!CP81&lt;&gt;"",'A-80 DirEntInv'!CP81,IF(INDIRECT(ADDRESS(SumRef!EE88,SumRef!EE$16,,,SumRef!$E$7))="","",INDIRECT(ADDRESS(SumRef!EE88,SumRef!EE$16,,,SumRef!$E$7))))</f>
        <v/>
      </c>
      <c r="CN82" s="1114" t="str">
        <f ca="1">IF('A-80 DirEntInv'!CQ81&lt;&gt;"",'A-80 DirEntInv'!CQ81,IF(INDIRECT(ADDRESS(SumRef!EF88,SumRef!EF$16,,,SumRef!$E$7))="","",INDIRECT(ADDRESS(SumRef!EF88,SumRef!EF$16,,,SumRef!$E$7))))</f>
        <v/>
      </c>
      <c r="CO82" s="1113" t="str">
        <f ca="1">IF('A-80 DirEntInv'!CR81&lt;&gt;"",'A-80 DirEntInv'!CR81,IF(INDIRECT(ADDRESS(SumRef!EG88,SumRef!EG$16,,,SumRef!$E$7))="","",INDIRECT(ADDRESS(SumRef!EG88,SumRef!EG$16,,,SumRef!$E$7))))</f>
        <v/>
      </c>
      <c r="CP82" s="1114" t="str">
        <f ca="1">IF('A-80 DirEntInv'!CS81&lt;&gt;"",'A-80 DirEntInv'!CS81,IF(INDIRECT(ADDRESS(SumRef!EH88,SumRef!EH$16,,,SumRef!$E$7))="","",INDIRECT(ADDRESS(SumRef!EH88,SumRef!EH$16,,,SumRef!$E$7))))</f>
        <v/>
      </c>
      <c r="CQ82" s="1346" t="str">
        <f ca="1">IF('A-80 DirEntInv'!CT81&lt;&gt;"",'A-80 DirEntInv'!CT81,IF(INDIRECT(ADDRESS(SumRef!EI88,SumRef!EI$16,,,SumRef!$E$7))="","",INDIRECT(ADDRESS(SumRef!EI88,SumRef!EI$16,,,SumRef!$E$7))))</f>
        <v/>
      </c>
      <c r="CR82" s="1113" t="str">
        <f ca="1">IF('A-80 DirEntInv'!CU81&lt;&gt;"",'A-80 DirEntInv'!CU81,IF(INDIRECT(ADDRESS(SumRef!EJ88,SumRef!EJ$16,,,SumRef!$E$7))="","",INDIRECT(ADDRESS(SumRef!EJ88,SumRef!EJ$16,,,SumRef!$E$7))))</f>
        <v/>
      </c>
      <c r="CS82" s="1346" t="str">
        <f ca="1">IF('A-80 DirEntInv'!CV81&lt;&gt;"",'A-80 DirEntInv'!CV81,IF(INDIRECT(ADDRESS(SumRef!EM88,SumRef!EM$16,,,SumRef!$E$7))="","",INDIRECT(ADDRESS(SumRef!EM88,SumRef!EM$16,,,SumRef!$E$7))))</f>
        <v/>
      </c>
      <c r="CT82" s="1113" t="str">
        <f ca="1">IF('A-80 DirEntInv'!CW81&lt;&gt;"",'A-80 DirEntInv'!CW81,IF(INDIRECT(ADDRESS(SumRef!EN88,SumRef!EN$16,,,SumRef!$E$7))="","",INDIRECT(ADDRESS(SumRef!EN88,SumRef!EN$16,,,SumRef!$E$7))))</f>
        <v/>
      </c>
      <c r="CU82" s="1113" t="str">
        <f ca="1">IF('A-80 DirEntInv'!CX81&lt;&gt;"",'A-80 DirEntInv'!CX81,IF(INDIRECT(ADDRESS(SumRef!EO88,SumRef!EO$16,,,SumRef!$E$7))="","",INDIRECT(ADDRESS(SumRef!EO88,SumRef!EO$16,,,SumRef!$E$7))))</f>
        <v/>
      </c>
      <c r="CV82" s="1113" t="str">
        <f ca="1">IF('A-80 DirEntInv'!CY81&lt;&gt;"",'A-80 DirEntInv'!CY81,IF(INDIRECT(ADDRESS(SumRef!EP88,SumRef!EP$16,,,SumRef!$E$7))="","",INDIRECT(ADDRESS(SumRef!EP88,SumRef!EP$16,,,SumRef!$E$7))))</f>
        <v/>
      </c>
      <c r="CW82" s="1114" t="str">
        <f ca="1">IF('A-80 DirEntInv'!CZ81&lt;&gt;"",'A-80 DirEntInv'!CZ81,IF(INDIRECT(ADDRESS(SumRef!ES88,SumRef!ES$16,,,SumRef!$E$7))="","",INDIRECT(ADDRESS(SumRef!ES88,SumRef!ES$16,,,SumRef!$E$7))))</f>
        <v/>
      </c>
      <c r="CX82" s="1167" t="str">
        <f ca="1">IF('A-80 DirEntInv'!DA81&lt;&gt;"",'A-80 DirEntInv'!DA81,IF(INDIRECT(ADDRESS(SumRef!ET88,SumRef!ET$16,,,SumRef!$E$7))="","",INDIRECT(ADDRESS(SumRef!ET88,SumRef!ET$16,,,SumRef!$E$7))))</f>
        <v/>
      </c>
      <c r="CY82" s="1167" t="str">
        <f ca="1">IF('A-80 DirEntInv'!DB81&lt;&gt;"",'A-80 DirEntInv'!DB81,IF(INDIRECT(ADDRESS(SumRef!EU88,SumRef!EU$16,,,SumRef!$E$7))="","",INDIRECT(ADDRESS(SumRef!EU88,SumRef!EU$16,,,SumRef!$E$7))))</f>
        <v/>
      </c>
      <c r="CZ82" s="1167" t="b">
        <f ca="1">IF('A-80 DirEntInv'!DC81&lt;&gt;"",'A-80 DirEntInv'!DC81,IF(INDIRECT(ADDRESS(SumRef!EV88,SumRef!EV$16,,,SumRef!$E$7))="","",INDIRECT(ADDRESS(SumRef!EV88,SumRef!EV$16,,,SumRef!$E$7))))</f>
        <v>0</v>
      </c>
      <c r="DA82" s="1373" t="str">
        <f ca="1">IF('A-80 DirEntInv'!DD81&lt;&gt;"",'A-80 DirEntInv'!DD81,IF(INDIRECT(ADDRESS(SumRef!EW88,SumRef!EW$16,,,SumRef!$E$7))="","",INDIRECT(ADDRESS(SumRef!EW88,SumRef!EW$16,,,SumRef!$E$7))))</f>
        <v/>
      </c>
      <c r="DB82" s="1373" t="b">
        <f ca="1">IF('A-80 DirEntInv'!DE81&lt;&gt;"",'A-80 DirEntInv'!DE81,IF(INDIRECT(ADDRESS(SumRef!EX88,SumRef!EX$16,,,SumRef!$E$7))="","",INDIRECT(ADDRESS(SumRef!EX88,SumRef!EX$16,,,SumRef!$E$7))))</f>
        <v>0</v>
      </c>
      <c r="DC82" s="1114" t="b">
        <f ca="1">IF('A-80 DirEntInv'!DF81&lt;&gt;"",'A-80 DirEntInv'!DF81,IF(INDIRECT(ADDRESS(SumRef!EY88,SumRef!EY$16,,,SumRef!$E$7))="","",INDIRECT(ADDRESS(SumRef!EY88,SumRef!EY$16,,,SumRef!$E$7))))</f>
        <v>0</v>
      </c>
      <c r="DD82" s="1115" t="str">
        <f ca="1">IF('A-80 DirEntInv'!DG81&lt;&gt;"",'A-80 DirEntInv'!DG81,IF(INDIRECT(ADDRESS(SumRef!EZ88,SumRef!EZ$16,,,SumRef!$E$7))="","",INDIRECT(ADDRESS(SumRef!EZ88,SumRef!EZ$16,,,SumRef!$E$7))))</f>
        <v/>
      </c>
    </row>
    <row r="83" spans="1:108" s="588" customFormat="1" ht="13.5" thickTop="1" x14ac:dyDescent="0.2">
      <c r="A83" s="589">
        <f t="shared" si="1"/>
        <v>73</v>
      </c>
      <c r="B83" s="1155" t="str">
        <f ca="1">IF('A-80 DirEntInv'!B82&lt;&gt;"",'A-80 DirEntInv'!B82,IF(INDIRECT(ADDRESS(SumRef!AQ89,SumRef!AQ$16,,,SumRef!$B$7))="","",INDIRECT(ADDRESS(SumRef!AQ89,SumRef!AQ$16,,,SumRef!$B$7))))</f>
        <v/>
      </c>
      <c r="C83" s="1097" t="str">
        <f ca="1">IF('A-80 DirEntInv'!C82&lt;&gt;"",'A-80 DirEntInv'!C82,IF(INDIRECT(ADDRESS(SumRef!AR89,SumRef!AR$16,,,SumRef!$B$7))="","",INDIRECT(ADDRESS(SumRef!AR89,SumRef!AR$16,,,SumRef!$B$7))))</f>
        <v/>
      </c>
      <c r="D83" s="1097" t="str">
        <f ca="1">IF('A-80 DirEntInv'!D82&lt;&gt;"",'A-80 DirEntInv'!D82,IF(INDIRECT(ADDRESS(SumRef!AS89,SumRef!AS$16,,,SumRef!$B$7))="","",INDIRECT(ADDRESS(SumRef!AS89,SumRef!AS$16,,,SumRef!$B$7))))</f>
        <v/>
      </c>
      <c r="E83" s="1097" t="str">
        <f ca="1">IF('A-80 DirEntInv'!E82&lt;&gt;"",'A-80 DirEntInv'!E82,IF(INDIRECT(ADDRESS(SumRef!AT89,SumRef!AT$16,,,SumRef!$B$7))="","",INDIRECT(ADDRESS(SumRef!AT89,SumRef!AT$16,,,SumRef!$B$7))))</f>
        <v/>
      </c>
      <c r="F83" s="1097" t="str">
        <f ca="1">IF('A-80 DirEntInv'!F82&lt;&gt;"",'A-80 DirEntInv'!F82,IF(INDIRECT(ADDRESS(SumRef!AU89,SumRef!AU$16,,,SumRef!$B$7))="","",INDIRECT(ADDRESS(SumRef!AU89,SumRef!AU$16,,,SumRef!$B$7))))</f>
        <v/>
      </c>
      <c r="G83" s="1158" t="str">
        <f ca="1">IF('A-80 DirEntInv'!G82&lt;&gt;"",'A-80 DirEntInv'!G82,IF(INDIRECT(ADDRESS(SumRef!AV89,SumRef!AV$16,,,SumRef!$B$7))="","",INDIRECT(ADDRESS(SumRef!AV89,SumRef!AV$16,,,SumRef!$B$7))))</f>
        <v/>
      </c>
      <c r="H83" s="1097" t="str">
        <f ca="1">IF('A-80 DirEntInv'!H82&lt;&gt;"",'A-80 DirEntInv'!H82,IF(INDIRECT(ADDRESS(SumRef!AW89,SumRef!AW$16,,,SumRef!$B$7))="","",INDIRECT(ADDRESS(SumRef!AW89,SumRef!AW$16,,,SumRef!$B$7))))</f>
        <v/>
      </c>
      <c r="I83" s="1097" t="str">
        <f ca="1">IF('A-80 DirEntInv'!I82&lt;&gt;"",'A-80 DirEntInv'!I82,IF(INDIRECT(ADDRESS(SumRef!AX89,SumRef!AX$16,,,SumRef!$B$7))="","",INDIRECT(ADDRESS(SumRef!AX89,SumRef!AX$16,,,SumRef!$B$7))))</f>
        <v/>
      </c>
      <c r="J83" s="1098" t="str">
        <f ca="1">IF('A-80 DirEntInv'!J82&lt;&gt;"",'A-80 DirEntInv'!J82,IF(INDIRECT(ADDRESS(SumRef!AY89,SumRef!AY$16,,,SumRef!$B$7))="","",INDIRECT(ADDRESS(SumRef!AY89,SumRef!AY$16,,,SumRef!$B$7))))</f>
        <v/>
      </c>
      <c r="K83" s="1099" t="str">
        <f ca="1">IF('A-80 DirEntInv'!K82&lt;&gt;"",'A-80 DirEntInv'!K82,IF(INDIRECT(ADDRESS(SumRef!AZ89,SumRef!AZ$16,,,SumRef!$B$7))="","",INDIRECT(ADDRESS(SumRef!AZ89,SumRef!AZ$16,,,SumRef!$B$7))))</f>
        <v/>
      </c>
      <c r="L83" s="1100" t="str">
        <f ca="1">IF('A-80 DirEntInv'!L82&lt;&gt;"",'A-80 DirEntInv'!L82,IF(INDIRECT(ADDRESS(SumRef!BA89,SumRef!BA$16,,,SumRef!$B$7))="","",INDIRECT(ADDRESS(SumRef!BA89,SumRef!BA$16,,,SumRef!$B$7))))</f>
        <v/>
      </c>
      <c r="M83" s="1101" t="str">
        <f ca="1">IF('A-80 DirEntInv'!M82&lt;&gt;"",'A-80 DirEntInv'!M82,IF(INDIRECT(ADDRESS(SumRef!BB89,SumRef!BB$16,,,SumRef!$B$7))="","",INDIRECT(ADDRESS(SumRef!BB89,SumRef!BB$16,,,SumRef!$B$7))))</f>
        <v/>
      </c>
      <c r="N83" s="1098" t="str">
        <f ca="1">IF('A-80 DirEntInv'!N82&lt;&gt;"",'A-80 DirEntInv'!N82,IF(INDIRECT(ADDRESS(SumRef!BC89,SumRef!BC$16,,,SumRef!$B$7))="","",INDIRECT(ADDRESS(SumRef!BC89,SumRef!BC$16,,,SumRef!$B$7))))</f>
        <v/>
      </c>
      <c r="O83" s="1102" t="str">
        <f ca="1">IF('A-80 DirEntInv'!O82&lt;&gt;"",'A-80 DirEntInv'!O82,IF(INDIRECT(ADDRESS(SumRef!BD89,SumRef!BD$16,,,SumRef!$B$7))="","",INDIRECT(ADDRESS(SumRef!BD89,SumRef!BD$16,,,SumRef!$B$7))))</f>
        <v/>
      </c>
      <c r="Q83" s="589"/>
      <c r="R83" s="1103" t="str">
        <f ca="1">IF('A-80 DirEntInv'!R82&lt;&gt;"",'A-80 DirEntInv'!R82,IF(INDIRECT(ADDRESS(SumRef!BH89,SumRef!BH$16,,,SumRef!$B$8))="","",INDIRECT(ADDRESS(SumRef!BH89,SumRef!BH$16,,,SumRef!$B$8))))</f>
        <v/>
      </c>
      <c r="S83" s="1104" t="str">
        <f ca="1">IF('A-80 DirEntInv'!S82&lt;&gt;"",'A-80 DirEntInv'!S82,IF(INDIRECT(ADDRESS(SumRef!BI89,SumRef!BI$16,,,SumRef!$B$8))="","",INDIRECT(ADDRESS(SumRef!BI89,SumRef!BI$16,,,SumRef!$B$8))))</f>
        <v/>
      </c>
      <c r="T83" s="1104" t="str">
        <f ca="1">IF('A-80 DirEntInv'!T82&lt;&gt;"",'A-80 DirEntInv'!T82,IF(INDIRECT(ADDRESS(SumRef!BJ89,SumRef!BJ$16,,,SumRef!$B$8))="","",INDIRECT(ADDRESS(SumRef!BJ89,SumRef!BJ$16,,,SumRef!$B$8))))</f>
        <v/>
      </c>
      <c r="U83" s="1104" t="str">
        <f ca="1">IF('A-80 DirEntInv'!U82&lt;&gt;"",'A-80 DirEntInv'!U82,IF(INDIRECT(ADDRESS(SumRef!BK89,SumRef!BK$16,,,SumRef!$B$8))="","",INDIRECT(ADDRESS(SumRef!BK89,SumRef!BK$16,,,SumRef!$B$8))))</f>
        <v/>
      </c>
      <c r="V83" s="1104" t="str">
        <f ca="1">IF('A-80 DirEntInv'!V82&lt;&gt;"",'A-80 DirEntInv'!V82,IF(INDIRECT(ADDRESS(SumRef!BL89,SumRef!BL$16,,,SumRef!$B$8))="","",INDIRECT(ADDRESS(SumRef!BL89,SumRef!BL$16,,,SumRef!$B$8))))</f>
        <v/>
      </c>
      <c r="W83" s="1354" t="str">
        <f ca="1">IF('A-80 DirEntInv'!W82&lt;&gt;"",'A-80 DirEntInv'!W82,IF(INDIRECT(ADDRESS(SumRef!BM89,SumRef!BM$16,,,SumRef!$B$8))="","",INDIRECT(ADDRESS(SumRef!BM89,SumRef!BM$16,,,SumRef!$B$8))))</f>
        <v/>
      </c>
      <c r="X83" s="1203" t="str">
        <f ca="1">IF('A-80 DirEntInv'!X82&lt;&gt;"",'A-80 DirEntInv'!X82,IF(INDIRECT(ADDRESS(SumRef!BN89,SumRef!BN$16,,,SumRef!$B$8))="","",INDIRECT(ADDRESS(SumRef!BN89,SumRef!BN$16,,,SumRef!$B$8))))</f>
        <v/>
      </c>
      <c r="Y83" s="1203" t="str">
        <f ca="1">IF('A-80 DirEntInv'!Y82&lt;&gt;"",'A-80 DirEntInv'!Y82,IF(INDIRECT(ADDRESS(SumRef!BO89,SumRef!BO$16,,,SumRef!$B$8))="","",INDIRECT(ADDRESS(SumRef!BO89,SumRef!BO$16,,,SumRef!$B$8))))</f>
        <v/>
      </c>
      <c r="Z83" s="1104" t="str">
        <f ca="1">IF('A-80 DirEntInv'!Z82&lt;&gt;"",'A-80 DirEntInv'!Z82,IF(INDIRECT(ADDRESS(SumRef!BP89,SumRef!BP$16,,,SumRef!$B$8))="","",INDIRECT(ADDRESS(SumRef!BP89,SumRef!BP$16,,,SumRef!$B$8))))</f>
        <v/>
      </c>
      <c r="AA83" s="1104" t="str">
        <f ca="1">IF('A-80 DirEntInv'!AA82&lt;&gt;"",'A-80 DirEntInv'!AA82,IF(INDIRECT(ADDRESS(SumRef!BQ89,SumRef!BQ$16,,,SumRef!$B$8))="","",INDIRECT(ADDRESS(SumRef!BQ89,SumRef!BQ$16,,,SumRef!$B$8))))</f>
        <v/>
      </c>
      <c r="AB83" s="1106" t="str">
        <f ca="1">IF('A-80 DirEntInv'!AB82&lt;&gt;"",'A-80 DirEntInv'!AB82,IF(INDIRECT(ADDRESS(SumRef!BR89,SumRef!BR$16,,,SumRef!$B$8))="","",INDIRECT(ADDRESS(SumRef!BR89,SumRef!BR$16,,,SumRef!$B$8))))</f>
        <v/>
      </c>
      <c r="AC83" s="1107" t="str">
        <f ca="1">IF('A-80 DirEntInv'!AC82&lt;&gt;"",'A-80 DirEntInv'!AC82,IF(INDIRECT(ADDRESS(SumRef!BS89,SumRef!BS$16,,,SumRef!$B$8))="","",INDIRECT(ADDRESS(SumRef!BS89,SumRef!BS$16,,,SumRef!$B$8))))</f>
        <v/>
      </c>
      <c r="AD83" s="1349" t="str">
        <f ca="1">IF('A-80 DirEntInv'!AD82&lt;&gt;"",'A-80 DirEntInv'!AD82,IF(INDIRECT(ADDRESS(SumRef!BT89,SumRef!BT$16,,,SumRef!$B$8))="","",INDIRECT(ADDRESS(SumRef!BT89,SumRef!BT$16,,,SumRef!$B$8))))</f>
        <v/>
      </c>
      <c r="AE83" s="1137" t="str">
        <f ca="1">IF('A-80 DirEntInv'!AE82&lt;&gt;"",'A-80 DirEntInv'!AE82,IF(INDIRECT(ADDRESS(SumRef!BU89,SumRef!BU$16,,,SumRef!$B$8))="","",INDIRECT(ADDRESS(SumRef!BU89,SumRef!BU$16,,,SumRef!$B$8))))</f>
        <v/>
      </c>
      <c r="AF83" s="1346" t="str">
        <f ca="1">IF('A-80 DirEntInv'!AF82&lt;&gt;"",'A-80 DirEntInv'!AF82,IF(INDIRECT(ADDRESS(SumRef!BV89,SumRef!BV$16,,,SumRef!$B$8))="","",INDIRECT(ADDRESS(SumRef!BV89,SumRef!BV$16,,,SumRef!$B$8))))</f>
        <v/>
      </c>
      <c r="AG83" s="1105" t="str">
        <f ca="1">IF('A-80 DirEntInv'!AG82&lt;&gt;"",'A-80 DirEntInv'!AG82,IF(INDIRECT(ADDRESS(SumRef!BW89,SumRef!BW$16,,,SumRef!$B$8))="","",INDIRECT(ADDRESS(SumRef!BW89,SumRef!BW$16,,,SumRef!$B$8))))</f>
        <v/>
      </c>
      <c r="AH83" s="1357" t="str">
        <f ca="1">IF('A-80 DirEntInv'!AH82&lt;&gt;"",'A-80 DirEntInv'!AH82,IF(INDIRECT(ADDRESS(SumRef!BX89,SumRef!BX$16,,,SumRef!$B$8))="","",INDIRECT(ADDRESS(SumRef!BX89,SumRef!BX$16,,,SumRef!$B$8))))</f>
        <v/>
      </c>
      <c r="AK83" s="1041" t="str">
        <f>Codes!$C$161</f>
        <v>CR - Commuter Rail (DO)</v>
      </c>
      <c r="AL83" s="1042" t="str">
        <f>Valid!$B$73</f>
        <v>Elevated/Retained Fill</v>
      </c>
      <c r="AM83" s="1108" t="str">
        <f>IF('A-80 DirEntInv'!AM82&lt;&gt;"",'A-80 DirEntInv'!AM82,IF(AK83=summaryref2!B14,summaryref2!D14,IF(Summary!AK83=summaryref2!B28,summaryref2!D28,IF(AK83=summaryref2!B42,summaryref2!D42,IF(AK83=summaryref2!B56,summaryref2!D56,IF(AK83=summaryref2!B70,summaryref2!D70,IF(AK83=summaryref2!B84,summaryref2!D84,IF(AK83=summaryref2!B98,summaryref2!D98,IF(AK83=summaryref2!B112,summaryref2!D112,IF(AK83=summaryref2!B126,summaryref2!D126,IF(AK83=summaryref2!B140,summaryref2!D140,"")))))))))))</f>
        <v/>
      </c>
      <c r="AN83" s="1109" t="str">
        <f ca="1">IF('A-80 DirEntInv'!AN82&lt;&gt;"",'A-80 DirEntInv'!AN82,IF(INDIRECT(ADDRESS(SumRef!CG135,SumRef!CG$16,,,SumRef!$C$7))="","",INDIRECT(ADDRESS(SumRef!CG135,SumRef!CG$16,,,SumRef!$C$7))))</f>
        <v>Linear Feet</v>
      </c>
      <c r="AO83" s="1108" t="str">
        <f>IF('A-80 DirEntInv'!AO82&lt;&gt;"",'A-80 DirEntInv'!AO82,IF(AK83=summaryref2!B14,summaryref2!F14,IF(Summary!AK83=summaryref2!B28,summaryref2!F28,IF(AK83=summaryref2!B42,summaryref2!F42,IF(AK83=summaryref2!B56,summaryref2!F56,IF(AK83=summaryref2!B70,summaryref2!F70,IF(AK83=summaryref2!B84,summaryref2!F84,IF(AK83=summaryref2!B98,summaryref2!F98,IF(AK83=summaryref2!B112,summaryref2!F112,IF(AK83=summaryref2!B126,summaryref2!F126,IF(AK83=summaryref2!B140,summaryref2!F140,"")))))))))))</f>
        <v/>
      </c>
      <c r="AP83" s="1109" t="str">
        <f ca="1">IF('A-80 DirEntInv'!AP82&lt;&gt;"",'A-80 DirEntInv'!AP82,IF(INDIRECT(ADDRESS(SumRef!#REF!,SumRef!#REF!,,,SumRef!$C$7))="","",INDIRECT(ADDRESS(SumRef!#REF!,SumRef!#REF!,,,SumRef!$C$7))))</f>
        <v>Track Feet</v>
      </c>
      <c r="AQ83" s="1147" t="str">
        <f>IF('A-80 DirEntInv'!AQ82&lt;&gt;"",'A-80 DirEntInv'!AQ82,IF(AK83=summaryref2!B14,summaryref2!G14,IF(Summary!AK83=summaryref2!B28,summaryref2!G28,IF(AK83=summaryref2!B42,summaryref2!G42,IF(AK83=summaryref2!B56,summaryref2!G56,IF(AK83=summaryref2!B70,summaryref2!G70,IF(AK83=summaryref2!B84,summaryref2!G84,IF(AK83=summaryref2!B98,summaryref2!G98,IF(AK83=summaryref2!B112,summaryref2!G112,IF(AK83=summaryref2!B126,summaryref2!G126,IF(AK83=summaryref2!B140,summaryref2!G140,"")))))))))))</f>
        <v/>
      </c>
      <c r="AR83" s="1147" t="str">
        <f>IF('A-80 DirEntInv'!AR82&lt;&gt;"",'A-80 DirEntInv'!AR82,IF(AK83=summaryref2!B14,summaryref2!H14,IF(Summary!AK83=summaryref2!B28,summaryref2!H28,IF(AK83=summaryref2!B42,summaryref2!H42,IF(AK83=summaryref2!B56,summaryref2!H56,IF(AK83=summaryref2!B70,summaryref2!H70,IF(AK83=summaryref2!B84,summaryref2!H84,IF(AK83=summaryref2!B98,summaryref2!H98,IF(AK83=summaryref2!B112,summaryref2!H112,IF(AK83=summaryref2!B126,summaryref2!H126,IF(AK83=summaryref2!B140,summaryref2!H140,"")))))))))))</f>
        <v/>
      </c>
      <c r="AS83" s="1110" t="str">
        <f>IF('A-80 DirEntInv'!AS82&lt;&gt;"",'A-80 DirEntInv'!AS82,IF(AK83=summaryref2!B14,summaryref2!I14,IF(Summary!AK83=summaryref2!B28,summaryref2!I28,IF(AK83=summaryref2!B42,summaryref2!I42,IF(AK83=summaryref2!B56,summaryref2!I56,IF(AK83=summaryref2!B70,summaryref2!I70,IF(AK83=summaryref2!B84,summaryref2!I84,IF(AK83=summaryref2!B98,summaryref2!I98,IF(AK83=summaryref2!B112,summaryref2!I112,IF(AK83=summaryref2!B126,summaryref2!I126,IF(AK83=summaryref2!B140,summaryref2!I140,"")))))))))))</f>
        <v/>
      </c>
      <c r="AT83" s="1110" t="str">
        <f>IF('A-80 DirEntInv'!AT82&lt;&gt;"",'A-80 DirEntInv'!AT82,IF(AK83=summaryref2!B14,summaryref2!J14,IF(Summary!AK83=summaryref2!B28,summaryref2!J28,IF(AK83=summaryref2!B42,summaryref2!J42,IF(AK83=summaryref2!B56,summaryref2!J56,IF(AK83=summaryref2!B70,summaryref2!J70,IF(AK83=summaryref2!B84,summaryref2!J84,IF(AK83=summaryref2!B98,summaryref2!J98,IF(AK83=summaryref2!B112,summaryref2!J112,IF(AK83=summaryref2!B126,summaryref2!J126,IF(AK83=summaryref2!B140,summaryref2!J140,"")))))))))))</f>
        <v/>
      </c>
      <c r="AU83" s="1110" t="str">
        <f>IF('A-80 DirEntInv'!AU82&lt;&gt;"",'A-80 DirEntInv'!AU82,IF(AK83=summaryref2!B14,summaryref2!K14,IF(Summary!AK83=summaryref2!B28,summaryref2!K28,IF(AK83=summaryref2!B42,summaryref2!K42,IF(AK83=summaryref2!B56,summaryref2!K56,IF(AK83=summaryref2!B70,summaryref2!K70,IF(AK83=summaryref2!B84,summaryref2!K84,IF(AK83=summaryref2!B98,summaryref2!K98,IF(AK83=summaryref2!B112,summaryref2!K112,IF(AK83=summaryref2!B126,summaryref2!K126,IF(AK83=summaryref2!B140,summaryref2!K140,"")))))))))))</f>
        <v/>
      </c>
      <c r="AV83" s="1110" t="str">
        <f>IF('A-80 DirEntInv'!AV82&lt;&gt;"",'A-80 DirEntInv'!AV82,IF(AK83=summaryref2!B14,summaryref2!L14,IF(Summary!AK83=summaryref2!B28,summaryref2!L28,IF(AK83=summaryref2!B42,summaryref2!L42,IF(AK83=summaryref2!B56,summaryref2!L56,IF(AK83=summaryref2!B70,summaryref2!L70,IF(AK83=summaryref2!B84,summaryref2!L84,IF(AK83=summaryref2!B98,summaryref2!L98,IF(AK83=summaryref2!B112,summaryref2!L112,IF(AK83=summaryref2!B126,summaryref2!L126,IF(AK83=summaryref2!B140,summaryref2!L140,"")))))))))))</f>
        <v/>
      </c>
      <c r="AW83" s="1110" t="str">
        <f>IF('A-80 DirEntInv'!AW82&lt;&gt;"",'A-80 DirEntInv'!AW82,IF(AK83=summaryref2!B14,summaryref2!M14,IF(Summary!AK83=summaryref2!B28,summaryref2!M28,IF(AK83=summaryref2!B42,summaryref2!M42,IF(AK83=summaryref2!B56,summaryref2!M56,IF(AK83=summaryref2!B70,summaryref2!M70,IF(AK83=summaryref2!B84,summaryref2!M84,IF(AK83=summaryref2!B98,summaryref2!M98,IF(AK83=summaryref2!B112,summaryref2!M112,IF(AK83=summaryref2!B126,summaryref2!M126,IF(AK83=summaryref2!B140,summaryref2!M140,"")))))))))))</f>
        <v/>
      </c>
      <c r="AX83" s="1110" t="str">
        <f>IF('A-80 DirEntInv'!AX82&lt;&gt;"",'A-80 DirEntInv'!AX82,IF(AK83=summaryref2!B14,summaryref2!N14,IF(Summary!AK83=summaryref2!B28,summaryref2!N28,IF(AK83=summaryref2!B42,summaryref2!N42,IF(AK83=summaryref2!B56,summaryref2!N56,IF(AK83=summaryref2!B70,summaryref2!N70,IF(AK83=summaryref2!B84,summaryref2!N84,IF(AK83=summaryref2!B98,summaryref2!N98,IF(AK83=summaryref2!B112,summaryref2!N112,IF(AK83=summaryref2!B126,summaryref2!N126,IF(AK83=summaryref2!B140,summaryref2!N140,"")))))))))))</f>
        <v/>
      </c>
      <c r="AY83" s="1110" t="str">
        <f>IF('A-80 DirEntInv'!AY82&lt;&gt;"",'A-80 DirEntInv'!AY82,IF(AK83=summaryref2!B14,summaryref2!O14,IF(Summary!AK83=summaryref2!B28,summaryref2!O28,IF(AK83=summaryref2!B42,summaryref2!O42,IF(AK83=summaryref2!B56,summaryref2!O56,IF(AK83=summaryref2!B70,summaryref2!O70,IF(AK83=summaryref2!B84,summaryref2!O84,IF(AK83=summaryref2!B98,summaryref2!O98,IF(AK83=summaryref2!B112,summaryref2!O112,IF(AK83=summaryref2!B126,summaryref2!O126,IF(AK83=summaryref2!B140,summaryref2!O140,"")))))))))))</f>
        <v/>
      </c>
      <c r="AZ83" s="1110" t="str">
        <f>IF('A-80 DirEntInv'!AZ82&lt;&gt;"",'A-80 DirEntInv'!AZ82,IF(AK83=summaryref2!B14,summaryref2!P14,IF(Summary!AK83=summaryref2!B28,summaryref2!P28,IF(AK83=summaryref2!B42,summaryref2!P42,IF(AK83=summaryref2!B56,summaryref2!P56,IF(AK83=summaryref2!B70,summaryref2!P70,IF(AK83=summaryref2!B84,summaryref2!P84,IF(AK83=summaryref2!B98,summaryref2!P98,IF(AK83=summaryref2!B112,summaryref2!P112,IF(AK83=summaryref2!B126,summaryref2!P126,IF(AK83=summaryref2!B140,summaryref2!P140,"")))))))))))</f>
        <v/>
      </c>
      <c r="BA83" s="1110" t="str">
        <f>IF('A-80 DirEntInv'!BA82&lt;&gt;"",'A-80 DirEntInv'!BA82,IF(AK83=summaryref2!B14,summaryref2!Q14,IF(Summary!AK83=summaryref2!B28,summaryref2!Q28,IF(AK83=summaryref2!B42,summaryref2!Q42,IF(AK83=summaryref2!B56,summaryref2!Q56,IF(AK83=summaryref2!B70,summaryref2!Q70,IF(AK83=summaryref2!B84,summaryref2!Q84,IF(AK83=summaryref2!B98,summaryref2!Q98,IF(AK83=summaryref2!B112,summaryref2!Q112,IF(AK83=summaryref2!B126,summaryref2!Q126,IF(AK83=summaryref2!B140,summaryref2!Q140,"")))))))))))</f>
        <v/>
      </c>
      <c r="BB83" s="1110" t="str">
        <f>IF('A-80 DirEntInv'!BB82&lt;&gt;"",'A-80 DirEntInv'!BB82,IF(AK83=summaryref2!B14,summaryref2!R14,IF(Summary!AK83=summaryref2!B28,summaryref2!R28,IF(AK83=summaryref2!B42,summaryref2!R42,IF(AK83=summaryref2!B56,summaryref2!R56,IF(AK83=summaryref2!B70,summaryref2!R70,IF(AK83=summaryref2!B84,summaryref2!R84,IF(AK83=summaryref2!B98,summaryref2!R98,IF(AK83=summaryref2!B112,summaryref2!R112,IF(AK83=summaryref2!B126,summaryref2!R126,IF(AK83=summaryref2!B140,summaryref2!R140,"")))))))))))</f>
        <v/>
      </c>
      <c r="BC83" s="1110" t="str">
        <f>IF('A-80 DirEntInv'!BC82&lt;&gt;0,'A-80 DirEntInv'!BC82,IF(AK83=summaryref2!B14,summaryref2!S14,IF(Summary!AK83=summaryref2!B28,summaryref2!S28,IF(AK83=summaryref2!B42,summaryref2!S42,IF(AK83=summaryref2!B56,summaryref2!S56,IF(AK83=summaryref2!B70,summaryref2!S70,IF(AK83=summaryref2!B84,summaryref2!S84,IF(AK83=summaryref2!B98,summaryref2!S98,IF(AK83=summaryref2!B112,summaryref2!S112,IF(AK83=summaryref2!B126,summaryref2!S126,IF(AK83=summaryref2!B140,summaryref2!S140,"")))))))))))</f>
        <v/>
      </c>
      <c r="BD83" s="1111" t="str">
        <f>IF('A-80 DirEntInv'!BD82&lt;&gt;"",'A-80 DirEntInv'!BD82,IF(AK83=summaryref2!B14,summaryref2!T14,IF(Summary!AK83=summaryref2!B28,summaryref2!T28,IF(AK83=summaryref2!B42,summaryref2!T42,IF(AK83=summaryref2!B56,summaryref2!T56,IF(AK83=summaryref2!B70,summaryref2!T70,IF(AK83=summaryref2!B84,summaryref2!T84,IF(AK83=summaryref2!B98,summaryref2!T98,IF(AK83=summaryref2!B112,summaryref2!T112,IF(AK83=summaryref2!B126,summaryref2!T126,IF(AK83=summaryref2!B140,summaryref2!T140,"")))))))))))</f>
        <v/>
      </c>
      <c r="BE83" s="1184" t="str">
        <f>IF('A-80 DirEntInv'!BE82&lt;&gt;"",'A-80 DirEntInv'!BE82,IF(AK83=summaryref2!B14,summaryref2!U14,IF(Summary!AK83=summaryref2!B28,summaryref2!U28,IF(AK83=summaryref2!B42,summaryref2!U42,IF(AK83=summaryref2!B56,summaryref2!U56,IF(AK83=summaryref2!B70,summaryref2!U70,IF(AK83=summaryref2!B84,summaryref2!U84,IF(AK83=summaryref2!B98,summaryref2!U98,IF(AK83=summaryref2!B112,summaryref2!U112,IF(AK83=summaryref2!B126,summaryref2!U126,IF(AK83=summaryref2!B140,summaryref2!U140,"")))))))))))</f>
        <v/>
      </c>
      <c r="BF83" s="1432"/>
      <c r="BG83" s="1432"/>
      <c r="BJ83" s="1045" t="str">
        <f>Codes!$C$166</f>
        <v>LR - Light Rail (PT)</v>
      </c>
      <c r="BK83" s="1046" t="str">
        <f>Valid!$B$82</f>
        <v>Double Diamond Crossover</v>
      </c>
      <c r="BL83" s="1368" t="str">
        <f>IF('A-80 DirEntInv'!BL82&lt;&gt;"",'A-80 DirEntInv'!BL82,IF(BJ83=summaryref2!X14,summaryref2!Z14,IF(BJ83=summaryref2!X21,summaryref2!Z21,IF(BJ83=summaryref2!X28,summaryref2!Z28,IF(BJ83=summaryref2!X35,summaryref2!Z35,IF(BJ83=summaryref2!X42,summaryref2!Z42,IF(BJ83=summaryref2!X49,summaryref2!Z49,IF(BJ83=summaryref2!X56,summaryref2!Z56,IF(BJ83=summaryref2!X63,summaryref2!Z63,IF(BJ83=summaryref2!X70,summaryref2!Z70,IF(BJ83=summaryref2!X77,summaryref2!Z77,"")))))))))))</f>
        <v/>
      </c>
      <c r="BM83" s="1046" t="str">
        <f>VLOOKUP(BK83,Valid!$B$80:$C$86,2,FALSE)</f>
        <v>Each</v>
      </c>
      <c r="BN83" s="1325" t="str">
        <f>IF('A-80 DirEntInv'!BN82&lt;&gt;"",'A-80 DirEntInv'!BN82,IF(BJ83=summaryref2!X14,summaryref2!AB14,IF(BJ83=summaryref2!X21,summaryref2!AB21,IF(BJ83=summaryref2!X28,summaryref2!AB28,IF(BJ83=summaryref2!X35,summaryref2!AB35,IF(BJ83=summaryref2!X42,summaryref2!AB42,IF(BJ83=summaryref2!X49,summaryref2!AB49,IF(BJ83=summaryref2!X56,summaryref2!AB56,IF(BJ83=summaryref2!X63,summaryref2!AB63,IF(BJ83=summaryref2!X70,summaryref2!AB70,IF(BJ83=summaryref2!X77,summaryref2!AB77,"")))))))))))</f>
        <v/>
      </c>
      <c r="BO83" s="1327" t="str">
        <f>IF('A-80 DirEntInv'!BO82&lt;&gt;"",'A-80 DirEntInv'!BO82,IF(BJ83=summaryref2!X14,summaryref2!AC14,IF(BJ83=summaryref2!X21,summaryref2!AC21,IF(BJ83=summaryref2!X28,summaryref2!AC28,IF(BJ83=summaryref2!X35,summaryref2!AC35,IF(BJ83=summaryref2!X42,summaryref2!AC42,IF(BJ83=summaryref2!X49,summaryref2!AC49,IF(BJ83=summaryref2!X56,summaryref2!AC56,IF(BJ83=summaryref2!X63,summaryref2!AC63,IF(BJ83=summaryref2!X70,summaryref2!AC70,IF(BJ83=summaryref2!X77,summaryref2!AC77,"")))))))))))</f>
        <v/>
      </c>
      <c r="BP83" s="1322" t="str">
        <f>IF('A-80 DirEntInv'!BP82&lt;&gt;"",'A-80 DirEntInv'!BP82,IF(BJ83=summaryref2!X14,summaryref2!AD14,IF(BJ83=summaryref2!X21,summaryref2!AD21,IF(BJ83=summaryref2!X28,summaryref2!AD28,IF(BJ83=summaryref2!X35,summaryref2!AD35,IF(BJ83=summaryref2!X42,summaryref2!AD42,IF(BJ83=summaryref2!X49,summaryref2!AD49,IF(BJ83=summaryref2!X56,summaryref2!AD56,IF(BJ83=summaryref2!X63,summaryref2!AD63,IF(BJ83=summaryref2!X70,summaryref2!AD70,IF(BJ83=summaryref2!X77,summaryref2!AD77,"")))))))))))</f>
        <v/>
      </c>
      <c r="BS83" s="1472" t="str">
        <f ca="1">IF('A-80 DirEntInv'!BU82&lt;&gt;"",'A-80 DirEntInv'!BU82,IF(INDIRECT(ADDRESS(SumRef!DK89,SumRef!DK$16,,,SumRef!$E$6))="","",INDIRECT(ADDRESS(SumRef!DK89,SumRef!DK$16,,,SumRef!$E$6))))</f>
        <v/>
      </c>
      <c r="BT83" s="1458" t="str">
        <f ca="1">IF('A-80 DirEntInv'!BV82&lt;&gt;"",'A-80 DirEntInv'!BV82,IF(INDIRECT(ADDRESS(SumRef!DL89,SumRef!DL$16,,,SumRef!$E$6))="","",INDIRECT(ADDRESS(SumRef!DL89,SumRef!DL$16,,,SumRef!$E$6))))</f>
        <v/>
      </c>
      <c r="BU83" s="1177" t="str">
        <f ca="1">IF('A-80 DirEntInv'!BW82&lt;&gt;"",'A-80 DirEntInv'!BW82,IF(INDIRECT(ADDRESS(SumRef!DM89,SumRef!DM$16,,,SumRef!$E$6))="","",INDIRECT(ADDRESS(SumRef!DM89,SumRef!DM$16,,,SumRef!$E$6))))</f>
        <v/>
      </c>
      <c r="BV83" s="1460" t="str">
        <f ca="1">IF('A-80 DirEntInv'!BX82&lt;&gt;"",'A-80 DirEntInv'!BX82,IF(INDIRECT(ADDRESS(SumRef!DN89,SumRef!DN$16,,,SumRef!$E$6))="","",INDIRECT(ADDRESS(SumRef!DN89,SumRef!DN$16,,,SumRef!$E$6))))</f>
        <v/>
      </c>
      <c r="BW83" s="1460" t="str">
        <f ca="1">IF('A-80 DirEntInv'!BY82&lt;&gt;"",'A-80 DirEntInv'!BY82,IF(INDIRECT(ADDRESS(SumRef!DO89,SumRef!DO$16,,,SumRef!$E$6))="","",INDIRECT(ADDRESS(SumRef!DO89,SumRef!DO$16,,,SumRef!$E$6))))</f>
        <v/>
      </c>
      <c r="BX83" s="1116" t="str">
        <f ca="1">IF('A-80 DirEntInv'!BZ82&lt;&gt;"",'A-80 DirEntInv'!BZ82,IF(INDIRECT(ADDRESS(SumRef!DP89,SumRef!DP$16,,,SumRef!$E$6))="","",INDIRECT(ADDRESS(SumRef!DP89,SumRef!DP$16,,,SumRef!$E$6))))</f>
        <v/>
      </c>
      <c r="BY83" s="1461" t="str">
        <f ca="1">IF('A-80 DirEntInv'!CA82&lt;&gt;"",'A-80 DirEntInv'!CA82,IF(INDIRECT(ADDRESS(SumRef!DQ89,SumRef!DQ$16,,,SumRef!$E$6))="","",INDIRECT(ADDRESS(SumRef!DQ89,SumRef!DQ$16,,,SumRef!$E$6))))</f>
        <v/>
      </c>
      <c r="BZ83" s="1460" t="str">
        <f ca="1">IF('A-80 DirEntInv'!CB82&lt;&gt;"",'A-80 DirEntInv'!CB82,IF(INDIRECT(ADDRESS(SumRef!DR89,SumRef!DR$16,,,SumRef!$E$6))="","",INDIRECT(ADDRESS(SumRef!DR89,SumRef!DR$16,,,SumRef!$E$6))))</f>
        <v/>
      </c>
      <c r="CA83" s="1462" t="str">
        <f ca="1">IF('A-80 DirEntInv'!CC82&lt;&gt;"",'A-80 DirEntInv'!CC82,IF(INDIRECT(ADDRESS(SumRef!DS89,SumRef!DS$16,,,SumRef!$E$6))="","",INDIRECT(ADDRESS(SumRef!DS89,SumRef!DS$16,,,SumRef!$E$6))))</f>
        <v/>
      </c>
      <c r="CD83" s="1160" t="str">
        <f ca="1">IF('A-80 DirEntInv'!CF82&lt;&gt;"",'A-80 DirEntInv'!CF82,IF(INDIRECT(ADDRESS(SumRef!DV89,SumRef!DV$16,,,SumRef!$E$7))="","",INDIRECT(ADDRESS(SumRef!DV89,SumRef!DV$16,,,SumRef!$E$7))))</f>
        <v/>
      </c>
      <c r="CE83" s="1167" t="str">
        <f ca="1">IF('A-80 DirEntInv'!CG82&lt;&gt;"",'A-80 DirEntInv'!CG82,IF(INDIRECT(ADDRESS(SumRef!DW89,SumRef!DW$16,,,SumRef!$E$7))="","",INDIRECT(ADDRESS(SumRef!DW89,SumRef!DW$16,,,SumRef!$E$7))))</f>
        <v/>
      </c>
      <c r="CF83" s="1167" t="str">
        <f ca="1">IF('A-80 DirEntInv'!CH82&lt;&gt;"",'A-80 DirEntInv'!CH82,IF(INDIRECT(ADDRESS(SumRef!DX89,SumRef!DX$16,,,SumRef!$E$7))="","",INDIRECT(ADDRESS(SumRef!DX89,SumRef!DX$16,,,SumRef!$E$7))))</f>
        <v/>
      </c>
      <c r="CG83" s="1167" t="str">
        <f ca="1">IF('A-80 DirEntInv'!CI82&lt;&gt;"",'A-80 DirEntInv'!CI82,IF(INDIRECT(ADDRESS(SumRef!DY89,SumRef!DY$16,,,SumRef!$E$7))="","",INDIRECT(ADDRESS(SumRef!DY89,SumRef!DY$16,,,SumRef!$E$7))))</f>
        <v/>
      </c>
      <c r="CH83" s="1167" t="str">
        <f ca="1">IF('A-80 DirEntInv'!CJ82&lt;&gt;"",'A-80 DirEntInv'!CJ82,IF(INDIRECT(ADDRESS(SumRef!DZ89,SumRef!DZ$16,,,SumRef!$E$7))="","",INDIRECT(ADDRESS(SumRef!DZ89,SumRef!DZ$16,,,SumRef!$E$7))))</f>
        <v/>
      </c>
      <c r="CI83" s="1167" t="str">
        <f ca="1">IF('A-80 DirEntInv'!CK82&lt;&gt;"",'A-80 DirEntInv'!CK82,IF(INDIRECT(ADDRESS(SumRef!EA89,SumRef!EA$16,,,SumRef!$E$7))="","",INDIRECT(ADDRESS(SumRef!EA89,SumRef!EA$16,,,SumRef!$E$7))))</f>
        <v/>
      </c>
      <c r="CJ83" s="1114" t="str">
        <f ca="1">IF('A-80 DirEntInv'!CL82&lt;&gt;"",'A-80 DirEntInv'!CL82,IF(INDIRECT(ADDRESS(SumRef!EB89,SumRef!EB$16,,,SumRef!$E$7))="","",INDIRECT(ADDRESS(SumRef!EB89,SumRef!EB$16,,,SumRef!$E$7))))</f>
        <v/>
      </c>
      <c r="CK83" s="1114" t="str">
        <f ca="1">IF('A-80 DirEntInv'!CM82&lt;&gt;"",'A-80 DirEntInv'!CM82,IF(INDIRECT(ADDRESS(SumRef!EC89,SumRef!EC$16,,,SumRef!$E$7))="","",INDIRECT(ADDRESS(SumRef!EC89,SumRef!EC$16,,,SumRef!$E$7))))</f>
        <v/>
      </c>
      <c r="CL83" s="1113" t="str">
        <f ca="1">IF('A-80 DirEntInv'!CO82&lt;&gt;"",'A-80 DirEntInv'!CO82,IF(INDIRECT(ADDRESS(SumRef!ED89,SumRef!ED$16,,,SumRef!$E$7))="","",INDIRECT(ADDRESS(SumRef!ED89,SumRef!ED$16,,,SumRef!$E$7))))</f>
        <v/>
      </c>
      <c r="CM83" s="1114" t="str">
        <f ca="1">IF('A-80 DirEntInv'!CP82&lt;&gt;"",'A-80 DirEntInv'!CP82,IF(INDIRECT(ADDRESS(SumRef!EE89,SumRef!EE$16,,,SumRef!$E$7))="","",INDIRECT(ADDRESS(SumRef!EE89,SumRef!EE$16,,,SumRef!$E$7))))</f>
        <v/>
      </c>
      <c r="CN83" s="1114" t="str">
        <f ca="1">IF('A-80 DirEntInv'!CQ82&lt;&gt;"",'A-80 DirEntInv'!CQ82,IF(INDIRECT(ADDRESS(SumRef!EF89,SumRef!EF$16,,,SumRef!$E$7))="","",INDIRECT(ADDRESS(SumRef!EF89,SumRef!EF$16,,,SumRef!$E$7))))</f>
        <v/>
      </c>
      <c r="CO83" s="1113" t="str">
        <f ca="1">IF('A-80 DirEntInv'!CR82&lt;&gt;"",'A-80 DirEntInv'!CR82,IF(INDIRECT(ADDRESS(SumRef!EG89,SumRef!EG$16,,,SumRef!$E$7))="","",INDIRECT(ADDRESS(SumRef!EG89,SumRef!EG$16,,,SumRef!$E$7))))</f>
        <v/>
      </c>
      <c r="CP83" s="1114" t="str">
        <f ca="1">IF('A-80 DirEntInv'!CS82&lt;&gt;"",'A-80 DirEntInv'!CS82,IF(INDIRECT(ADDRESS(SumRef!EH89,SumRef!EH$16,,,SumRef!$E$7))="","",INDIRECT(ADDRESS(SumRef!EH89,SumRef!EH$16,,,SumRef!$E$7))))</f>
        <v/>
      </c>
      <c r="CQ83" s="1346" t="str">
        <f ca="1">IF('A-80 DirEntInv'!CT82&lt;&gt;"",'A-80 DirEntInv'!CT82,IF(INDIRECT(ADDRESS(SumRef!EI89,SumRef!EI$16,,,SumRef!$E$7))="","",INDIRECT(ADDRESS(SumRef!EI89,SumRef!EI$16,,,SumRef!$E$7))))</f>
        <v/>
      </c>
      <c r="CR83" s="1113" t="str">
        <f ca="1">IF('A-80 DirEntInv'!CU82&lt;&gt;"",'A-80 DirEntInv'!CU82,IF(INDIRECT(ADDRESS(SumRef!EJ89,SumRef!EJ$16,,,SumRef!$E$7))="","",INDIRECT(ADDRESS(SumRef!EJ89,SumRef!EJ$16,,,SumRef!$E$7))))</f>
        <v/>
      </c>
      <c r="CS83" s="1346" t="str">
        <f ca="1">IF('A-80 DirEntInv'!CV82&lt;&gt;"",'A-80 DirEntInv'!CV82,IF(INDIRECT(ADDRESS(SumRef!EM89,SumRef!EM$16,,,SumRef!$E$7))="","",INDIRECT(ADDRESS(SumRef!EM89,SumRef!EM$16,,,SumRef!$E$7))))</f>
        <v/>
      </c>
      <c r="CT83" s="1113" t="str">
        <f ca="1">IF('A-80 DirEntInv'!CW82&lt;&gt;"",'A-80 DirEntInv'!CW82,IF(INDIRECT(ADDRESS(SumRef!EN89,SumRef!EN$16,,,SumRef!$E$7))="","",INDIRECT(ADDRESS(SumRef!EN89,SumRef!EN$16,,,SumRef!$E$7))))</f>
        <v/>
      </c>
      <c r="CU83" s="1113" t="str">
        <f ca="1">IF('A-80 DirEntInv'!CX82&lt;&gt;"",'A-80 DirEntInv'!CX82,IF(INDIRECT(ADDRESS(SumRef!EO89,SumRef!EO$16,,,SumRef!$E$7))="","",INDIRECT(ADDRESS(SumRef!EO89,SumRef!EO$16,,,SumRef!$E$7))))</f>
        <v/>
      </c>
      <c r="CV83" s="1113" t="str">
        <f ca="1">IF('A-80 DirEntInv'!CY82&lt;&gt;"",'A-80 DirEntInv'!CY82,IF(INDIRECT(ADDRESS(SumRef!EP89,SumRef!EP$16,,,SumRef!$E$7))="","",INDIRECT(ADDRESS(SumRef!EP89,SumRef!EP$16,,,SumRef!$E$7))))</f>
        <v/>
      </c>
      <c r="CW83" s="1114" t="str">
        <f ca="1">IF('A-80 DirEntInv'!CZ82&lt;&gt;"",'A-80 DirEntInv'!CZ82,IF(INDIRECT(ADDRESS(SumRef!ES89,SumRef!ES$16,,,SumRef!$E$7))="","",INDIRECT(ADDRESS(SumRef!ES89,SumRef!ES$16,,,SumRef!$E$7))))</f>
        <v/>
      </c>
      <c r="CX83" s="1167" t="str">
        <f ca="1">IF('A-80 DirEntInv'!DA82&lt;&gt;"",'A-80 DirEntInv'!DA82,IF(INDIRECT(ADDRESS(SumRef!ET89,SumRef!ET$16,,,SumRef!$E$7))="","",INDIRECT(ADDRESS(SumRef!ET89,SumRef!ET$16,,,SumRef!$E$7))))</f>
        <v/>
      </c>
      <c r="CY83" s="1167" t="str">
        <f ca="1">IF('A-80 DirEntInv'!DB82&lt;&gt;"",'A-80 DirEntInv'!DB82,IF(INDIRECT(ADDRESS(SumRef!EU89,SumRef!EU$16,,,SumRef!$E$7))="","",INDIRECT(ADDRESS(SumRef!EU89,SumRef!EU$16,,,SumRef!$E$7))))</f>
        <v/>
      </c>
      <c r="CZ83" s="1167" t="b">
        <f ca="1">IF('A-80 DirEntInv'!DC82&lt;&gt;"",'A-80 DirEntInv'!DC82,IF(INDIRECT(ADDRESS(SumRef!EV89,SumRef!EV$16,,,SumRef!$E$7))="","",INDIRECT(ADDRESS(SumRef!EV89,SumRef!EV$16,,,SumRef!$E$7))))</f>
        <v>0</v>
      </c>
      <c r="DA83" s="1373" t="str">
        <f ca="1">IF('A-80 DirEntInv'!DD82&lt;&gt;"",'A-80 DirEntInv'!DD82,IF(INDIRECT(ADDRESS(SumRef!EW89,SumRef!EW$16,,,SumRef!$E$7))="","",INDIRECT(ADDRESS(SumRef!EW89,SumRef!EW$16,,,SumRef!$E$7))))</f>
        <v/>
      </c>
      <c r="DB83" s="1373" t="b">
        <f ca="1">IF('A-80 DirEntInv'!DE82&lt;&gt;"",'A-80 DirEntInv'!DE82,IF(INDIRECT(ADDRESS(SumRef!EX89,SumRef!EX$16,,,SumRef!$E$7))="","",INDIRECT(ADDRESS(SumRef!EX89,SumRef!EX$16,,,SumRef!$E$7))))</f>
        <v>0</v>
      </c>
      <c r="DC83" s="1114" t="b">
        <f ca="1">IF('A-80 DirEntInv'!DF82&lt;&gt;"",'A-80 DirEntInv'!DF82,IF(INDIRECT(ADDRESS(SumRef!EY89,SumRef!EY$16,,,SumRef!$E$7))="","",INDIRECT(ADDRESS(SumRef!EY89,SumRef!EY$16,,,SumRef!$E$7))))</f>
        <v>0</v>
      </c>
      <c r="DD83" s="1115" t="str">
        <f ca="1">IF('A-80 DirEntInv'!DG82&lt;&gt;"",'A-80 DirEntInv'!DG82,IF(INDIRECT(ADDRESS(SumRef!EZ89,SumRef!EZ$16,,,SumRef!$E$7))="","",INDIRECT(ADDRESS(SumRef!EZ89,SumRef!EZ$16,,,SumRef!$E$7))))</f>
        <v/>
      </c>
    </row>
    <row r="84" spans="1:108" s="588" customFormat="1" x14ac:dyDescent="0.2">
      <c r="A84" s="589">
        <f t="shared" si="1"/>
        <v>74</v>
      </c>
      <c r="B84" s="1155" t="str">
        <f ca="1">IF('A-80 DirEntInv'!B83&lt;&gt;"",'A-80 DirEntInv'!B83,IF(INDIRECT(ADDRESS(SumRef!AQ90,SumRef!AQ$16,,,SumRef!$B$7))="","",INDIRECT(ADDRESS(SumRef!AQ90,SumRef!AQ$16,,,SumRef!$B$7))))</f>
        <v/>
      </c>
      <c r="C84" s="1097" t="str">
        <f ca="1">IF('A-80 DirEntInv'!C83&lt;&gt;"",'A-80 DirEntInv'!C83,IF(INDIRECT(ADDRESS(SumRef!AR90,SumRef!AR$16,,,SumRef!$B$7))="","",INDIRECT(ADDRESS(SumRef!AR90,SumRef!AR$16,,,SumRef!$B$7))))</f>
        <v/>
      </c>
      <c r="D84" s="1097" t="str">
        <f ca="1">IF('A-80 DirEntInv'!D83&lt;&gt;"",'A-80 DirEntInv'!D83,IF(INDIRECT(ADDRESS(SumRef!AS90,SumRef!AS$16,,,SumRef!$B$7))="","",INDIRECT(ADDRESS(SumRef!AS90,SumRef!AS$16,,,SumRef!$B$7))))</f>
        <v/>
      </c>
      <c r="E84" s="1097" t="str">
        <f ca="1">IF('A-80 DirEntInv'!E83&lt;&gt;"",'A-80 DirEntInv'!E83,IF(INDIRECT(ADDRESS(SumRef!AT90,SumRef!AT$16,,,SumRef!$B$7))="","",INDIRECT(ADDRESS(SumRef!AT90,SumRef!AT$16,,,SumRef!$B$7))))</f>
        <v/>
      </c>
      <c r="F84" s="1097" t="str">
        <f ca="1">IF('A-80 DirEntInv'!F83&lt;&gt;"",'A-80 DirEntInv'!F83,IF(INDIRECT(ADDRESS(SumRef!AU90,SumRef!AU$16,,,SumRef!$B$7))="","",INDIRECT(ADDRESS(SumRef!AU90,SumRef!AU$16,,,SumRef!$B$7))))</f>
        <v/>
      </c>
      <c r="G84" s="1158" t="str">
        <f ca="1">IF('A-80 DirEntInv'!G83&lt;&gt;"",'A-80 DirEntInv'!G83,IF(INDIRECT(ADDRESS(SumRef!AV90,SumRef!AV$16,,,SumRef!$B$7))="","",INDIRECT(ADDRESS(SumRef!AV90,SumRef!AV$16,,,SumRef!$B$7))))</f>
        <v/>
      </c>
      <c r="H84" s="1097" t="str">
        <f ca="1">IF('A-80 DirEntInv'!H83&lt;&gt;"",'A-80 DirEntInv'!H83,IF(INDIRECT(ADDRESS(SumRef!AW90,SumRef!AW$16,,,SumRef!$B$7))="","",INDIRECT(ADDRESS(SumRef!AW90,SumRef!AW$16,,,SumRef!$B$7))))</f>
        <v/>
      </c>
      <c r="I84" s="1097" t="str">
        <f ca="1">IF('A-80 DirEntInv'!I83&lt;&gt;"",'A-80 DirEntInv'!I83,IF(INDIRECT(ADDRESS(SumRef!AX90,SumRef!AX$16,,,SumRef!$B$7))="","",INDIRECT(ADDRESS(SumRef!AX90,SumRef!AX$16,,,SumRef!$B$7))))</f>
        <v/>
      </c>
      <c r="J84" s="1098" t="str">
        <f ca="1">IF('A-80 DirEntInv'!J83&lt;&gt;"",'A-80 DirEntInv'!J83,IF(INDIRECT(ADDRESS(SumRef!AY90,SumRef!AY$16,,,SumRef!$B$7))="","",INDIRECT(ADDRESS(SumRef!AY90,SumRef!AY$16,,,SumRef!$B$7))))</f>
        <v/>
      </c>
      <c r="K84" s="1099" t="str">
        <f ca="1">IF('A-80 DirEntInv'!K83&lt;&gt;"",'A-80 DirEntInv'!K83,IF(INDIRECT(ADDRESS(SumRef!AZ90,SumRef!AZ$16,,,SumRef!$B$7))="","",INDIRECT(ADDRESS(SumRef!AZ90,SumRef!AZ$16,,,SumRef!$B$7))))</f>
        <v/>
      </c>
      <c r="L84" s="1100" t="str">
        <f ca="1">IF('A-80 DirEntInv'!L83&lt;&gt;"",'A-80 DirEntInv'!L83,IF(INDIRECT(ADDRESS(SumRef!BA90,SumRef!BA$16,,,SumRef!$B$7))="","",INDIRECT(ADDRESS(SumRef!BA90,SumRef!BA$16,,,SumRef!$B$7))))</f>
        <v/>
      </c>
      <c r="M84" s="1101" t="str">
        <f ca="1">IF('A-80 DirEntInv'!M83&lt;&gt;"",'A-80 DirEntInv'!M83,IF(INDIRECT(ADDRESS(SumRef!BB90,SumRef!BB$16,,,SumRef!$B$7))="","",INDIRECT(ADDRESS(SumRef!BB90,SumRef!BB$16,,,SumRef!$B$7))))</f>
        <v/>
      </c>
      <c r="N84" s="1098" t="str">
        <f ca="1">IF('A-80 DirEntInv'!N83&lt;&gt;"",'A-80 DirEntInv'!N83,IF(INDIRECT(ADDRESS(SumRef!BC90,SumRef!BC$16,,,SumRef!$B$7))="","",INDIRECT(ADDRESS(SumRef!BC90,SumRef!BC$16,,,SumRef!$B$7))))</f>
        <v/>
      </c>
      <c r="O84" s="1102" t="str">
        <f ca="1">IF('A-80 DirEntInv'!O83&lt;&gt;"",'A-80 DirEntInv'!O83,IF(INDIRECT(ADDRESS(SumRef!BD90,SumRef!BD$16,,,SumRef!$B$7))="","",INDIRECT(ADDRESS(SumRef!BD90,SumRef!BD$16,,,SumRef!$B$7))))</f>
        <v/>
      </c>
      <c r="Q84" s="589"/>
      <c r="R84" s="1103" t="str">
        <f ca="1">IF('A-80 DirEntInv'!R83&lt;&gt;"",'A-80 DirEntInv'!R83,IF(INDIRECT(ADDRESS(SumRef!BH90,SumRef!BH$16,,,SumRef!$B$8))="","",INDIRECT(ADDRESS(SumRef!BH90,SumRef!BH$16,,,SumRef!$B$8))))</f>
        <v/>
      </c>
      <c r="S84" s="1104" t="str">
        <f ca="1">IF('A-80 DirEntInv'!S83&lt;&gt;"",'A-80 DirEntInv'!S83,IF(INDIRECT(ADDRESS(SumRef!BI90,SumRef!BI$16,,,SumRef!$B$8))="","",INDIRECT(ADDRESS(SumRef!BI90,SumRef!BI$16,,,SumRef!$B$8))))</f>
        <v/>
      </c>
      <c r="T84" s="1104" t="str">
        <f ca="1">IF('A-80 DirEntInv'!T83&lt;&gt;"",'A-80 DirEntInv'!T83,IF(INDIRECT(ADDRESS(SumRef!BJ90,SumRef!BJ$16,,,SumRef!$B$8))="","",INDIRECT(ADDRESS(SumRef!BJ90,SumRef!BJ$16,,,SumRef!$B$8))))</f>
        <v/>
      </c>
      <c r="U84" s="1104" t="str">
        <f ca="1">IF('A-80 DirEntInv'!U83&lt;&gt;"",'A-80 DirEntInv'!U83,IF(INDIRECT(ADDRESS(SumRef!BK90,SumRef!BK$16,,,SumRef!$B$8))="","",INDIRECT(ADDRESS(SumRef!BK90,SumRef!BK$16,,,SumRef!$B$8))))</f>
        <v/>
      </c>
      <c r="V84" s="1104" t="str">
        <f ca="1">IF('A-80 DirEntInv'!V83&lt;&gt;"",'A-80 DirEntInv'!V83,IF(INDIRECT(ADDRESS(SumRef!BL90,SumRef!BL$16,,,SumRef!$B$8))="","",INDIRECT(ADDRESS(SumRef!BL90,SumRef!BL$16,,,SumRef!$B$8))))</f>
        <v/>
      </c>
      <c r="W84" s="1354" t="str">
        <f ca="1">IF('A-80 DirEntInv'!W83&lt;&gt;"",'A-80 DirEntInv'!W83,IF(INDIRECT(ADDRESS(SumRef!BM90,SumRef!BM$16,,,SumRef!$B$8))="","",INDIRECT(ADDRESS(SumRef!BM90,SumRef!BM$16,,,SumRef!$B$8))))</f>
        <v/>
      </c>
      <c r="X84" s="1203" t="str">
        <f ca="1">IF('A-80 DirEntInv'!X83&lt;&gt;"",'A-80 DirEntInv'!X83,IF(INDIRECT(ADDRESS(SumRef!BN90,SumRef!BN$16,,,SumRef!$B$8))="","",INDIRECT(ADDRESS(SumRef!BN90,SumRef!BN$16,,,SumRef!$B$8))))</f>
        <v/>
      </c>
      <c r="Y84" s="1203" t="str">
        <f ca="1">IF('A-80 DirEntInv'!Y83&lt;&gt;"",'A-80 DirEntInv'!Y83,IF(INDIRECT(ADDRESS(SumRef!BO90,SumRef!BO$16,,,SumRef!$B$8))="","",INDIRECT(ADDRESS(SumRef!BO90,SumRef!BO$16,,,SumRef!$B$8))))</f>
        <v/>
      </c>
      <c r="Z84" s="1104" t="str">
        <f ca="1">IF('A-80 DirEntInv'!Z83&lt;&gt;"",'A-80 DirEntInv'!Z83,IF(INDIRECT(ADDRESS(SumRef!BP90,SumRef!BP$16,,,SumRef!$B$8))="","",INDIRECT(ADDRESS(SumRef!BP90,SumRef!BP$16,,,SumRef!$B$8))))</f>
        <v/>
      </c>
      <c r="AA84" s="1104" t="str">
        <f ca="1">IF('A-80 DirEntInv'!AA83&lt;&gt;"",'A-80 DirEntInv'!AA83,IF(INDIRECT(ADDRESS(SumRef!BQ90,SumRef!BQ$16,,,SumRef!$B$8))="","",INDIRECT(ADDRESS(SumRef!BQ90,SumRef!BQ$16,,,SumRef!$B$8))))</f>
        <v/>
      </c>
      <c r="AB84" s="1106" t="str">
        <f ca="1">IF('A-80 DirEntInv'!AB83&lt;&gt;"",'A-80 DirEntInv'!AB83,IF(INDIRECT(ADDRESS(SumRef!BR90,SumRef!BR$16,,,SumRef!$B$8))="","",INDIRECT(ADDRESS(SumRef!BR90,SumRef!BR$16,,,SumRef!$B$8))))</f>
        <v/>
      </c>
      <c r="AC84" s="1107" t="str">
        <f ca="1">IF('A-80 DirEntInv'!AC83&lt;&gt;"",'A-80 DirEntInv'!AC83,IF(INDIRECT(ADDRESS(SumRef!BS90,SumRef!BS$16,,,SumRef!$B$8))="","",INDIRECT(ADDRESS(SumRef!BS90,SumRef!BS$16,,,SumRef!$B$8))))</f>
        <v/>
      </c>
      <c r="AD84" s="1349" t="str">
        <f ca="1">IF('A-80 DirEntInv'!AD83&lt;&gt;"",'A-80 DirEntInv'!AD83,IF(INDIRECT(ADDRESS(SumRef!BT90,SumRef!BT$16,,,SumRef!$B$8))="","",INDIRECT(ADDRESS(SumRef!BT90,SumRef!BT$16,,,SumRef!$B$8))))</f>
        <v/>
      </c>
      <c r="AE84" s="1137" t="str">
        <f ca="1">IF('A-80 DirEntInv'!AE83&lt;&gt;"",'A-80 DirEntInv'!AE83,IF(INDIRECT(ADDRESS(SumRef!BU90,SumRef!BU$16,,,SumRef!$B$8))="","",INDIRECT(ADDRESS(SumRef!BU90,SumRef!BU$16,,,SumRef!$B$8))))</f>
        <v/>
      </c>
      <c r="AF84" s="1346" t="str">
        <f ca="1">IF('A-80 DirEntInv'!AF83&lt;&gt;"",'A-80 DirEntInv'!AF83,IF(INDIRECT(ADDRESS(SumRef!BV90,SumRef!BV$16,,,SumRef!$B$8))="","",INDIRECT(ADDRESS(SumRef!BV90,SumRef!BV$16,,,SumRef!$B$8))))</f>
        <v/>
      </c>
      <c r="AG84" s="1105" t="str">
        <f ca="1">IF('A-80 DirEntInv'!AG83&lt;&gt;"",'A-80 DirEntInv'!AG83,IF(INDIRECT(ADDRESS(SumRef!BW90,SumRef!BW$16,,,SumRef!$B$8))="","",INDIRECT(ADDRESS(SumRef!BW90,SumRef!BW$16,,,SumRef!$B$8))))</f>
        <v/>
      </c>
      <c r="AH84" s="1357" t="str">
        <f ca="1">IF('A-80 DirEntInv'!AH83&lt;&gt;"",'A-80 DirEntInv'!AH83,IF(INDIRECT(ADDRESS(SumRef!BX90,SumRef!BX$16,,,SumRef!$B$8))="","",INDIRECT(ADDRESS(SumRef!BX90,SumRef!BX$16,,,SumRef!$B$8))))</f>
        <v/>
      </c>
      <c r="AK84" s="1041" t="str">
        <f>Codes!$C$161</f>
        <v>CR - Commuter Rail (DO)</v>
      </c>
      <c r="AL84" s="1042" t="str">
        <f>Valid!$B$74</f>
        <v>Elevated/Concrete</v>
      </c>
      <c r="AM84" s="1108" t="str">
        <f>IF('A-80 DirEntInv'!AM83&lt;&gt;"",'A-80 DirEntInv'!AM83,IF(AK84=summaryref2!B15,summaryref2!D15,IF(Summary!AK84=summaryref2!B29,summaryref2!D29,IF(AK84=summaryref2!B43,summaryref2!D43,IF(AK84=summaryref2!B57,summaryref2!D57,IF(AK84=summaryref2!B71,summaryref2!D71,IF(AK84=summaryref2!B85,summaryref2!D85,IF(AK84=summaryref2!B99,summaryref2!D99,IF(AK84=summaryref2!B113,summaryref2!D113,IF(AK84=summaryref2!B127,summaryref2!D127,IF(AK84=summaryref2!B141,summaryref2!D141,"")))))))))))</f>
        <v/>
      </c>
      <c r="AN84" s="1109" t="str">
        <f ca="1">IF('A-80 DirEntInv'!AN83&lt;&gt;"",'A-80 DirEntInv'!AN83,IF(INDIRECT(ADDRESS(SumRef!CG136,SumRef!CG$16,,,SumRef!$C$7))="","",INDIRECT(ADDRESS(SumRef!CG136,SumRef!CG$16,,,SumRef!$C$7))))</f>
        <v>Linear Feet</v>
      </c>
      <c r="AO84" s="1108" t="str">
        <f>IF('A-80 DirEntInv'!AO83&lt;&gt;"",'A-80 DirEntInv'!AO83,IF(AK84=summaryref2!B15,summaryref2!F15,IF(Summary!AK84=summaryref2!B29,summaryref2!F29,IF(AK84=summaryref2!B43,summaryref2!F43,IF(AK84=summaryref2!B57,summaryref2!F57,IF(AK84=summaryref2!B71,summaryref2!F71,IF(AK84=summaryref2!B85,summaryref2!F85,IF(AK84=summaryref2!B99,summaryref2!F99,IF(AK84=summaryref2!B113,summaryref2!F113,IF(AK84=summaryref2!B127,summaryref2!F127,IF(AK84=summaryref2!B141,summaryref2!F141,"")))))))))))</f>
        <v/>
      </c>
      <c r="AP84" s="1109" t="str">
        <f ca="1">IF('A-80 DirEntInv'!AP83&lt;&gt;"",'A-80 DirEntInv'!AP83,IF(INDIRECT(ADDRESS(SumRef!#REF!,SumRef!#REF!,,,SumRef!$C$7))="","",INDIRECT(ADDRESS(SumRef!#REF!,SumRef!#REF!,,,SumRef!$C$7))))</f>
        <v>Track Feet</v>
      </c>
      <c r="AQ84" s="1147" t="str">
        <f>IF('A-80 DirEntInv'!AQ83&lt;&gt;"",'A-80 DirEntInv'!AQ83,IF(AK84=summaryref2!B15,summaryref2!G15,IF(Summary!AK84=summaryref2!B29,summaryref2!G29,IF(AK84=summaryref2!B43,summaryref2!G43,IF(AK84=summaryref2!B57,summaryref2!G57,IF(AK84=summaryref2!B71,summaryref2!G71,IF(AK84=summaryref2!B85,summaryref2!G85,IF(AK84=summaryref2!B99,summaryref2!G99,IF(AK84=summaryref2!B113,summaryref2!G113,IF(AK84=summaryref2!B127,summaryref2!G127,IF(AK84=summaryref2!B141,summaryref2!G141,"")))))))))))</f>
        <v/>
      </c>
      <c r="AR84" s="1147" t="str">
        <f>IF('A-80 DirEntInv'!AR83&lt;&gt;"",'A-80 DirEntInv'!AR83,IF(AK84=summaryref2!B15,summaryref2!H15,IF(Summary!AK84=summaryref2!B29,summaryref2!H29,IF(AK84=summaryref2!B43,summaryref2!H43,IF(AK84=summaryref2!B57,summaryref2!H57,IF(AK84=summaryref2!B71,summaryref2!H71,IF(AK84=summaryref2!B85,summaryref2!H85,IF(AK84=summaryref2!B99,summaryref2!H99,IF(AK84=summaryref2!B113,summaryref2!H113,IF(AK84=summaryref2!B127,summaryref2!H127,IF(AK84=summaryref2!B141,summaryref2!H141,"")))))))))))</f>
        <v/>
      </c>
      <c r="AS84" s="1110" t="str">
        <f>IF('A-80 DirEntInv'!AS83&lt;&gt;"",'A-80 DirEntInv'!AS83,IF(AK84=summaryref2!B15,summaryref2!I15,IF(Summary!AK84=summaryref2!B29,summaryref2!I29,IF(AK84=summaryref2!B43,summaryref2!I43,IF(AK84=summaryref2!B57,summaryref2!I57,IF(AK84=summaryref2!B71,summaryref2!I71,IF(AK84=summaryref2!B85,summaryref2!I85,IF(AK84=summaryref2!B99,summaryref2!I99,IF(AK84=summaryref2!B113,summaryref2!I113,IF(AK84=summaryref2!B127,summaryref2!I127,IF(AK84=summaryref2!B141,summaryref2!I141,"")))))))))))</f>
        <v/>
      </c>
      <c r="AT84" s="1110" t="str">
        <f>IF('A-80 DirEntInv'!AT83&lt;&gt;"",'A-80 DirEntInv'!AT83,IF(AK84=summaryref2!B15,summaryref2!J15,IF(Summary!AK84=summaryref2!B29,summaryref2!J29,IF(AK84=summaryref2!B43,summaryref2!J43,IF(AK84=summaryref2!B57,summaryref2!J57,IF(AK84=summaryref2!B71,summaryref2!J71,IF(AK84=summaryref2!B85,summaryref2!J85,IF(AK84=summaryref2!B99,summaryref2!J99,IF(AK84=summaryref2!B113,summaryref2!J113,IF(AK84=summaryref2!B127,summaryref2!J127,IF(AK84=summaryref2!B141,summaryref2!J141,"")))))))))))</f>
        <v/>
      </c>
      <c r="AU84" s="1110" t="str">
        <f>IF('A-80 DirEntInv'!AU83&lt;&gt;"",'A-80 DirEntInv'!AU83,IF(AK84=summaryref2!B15,summaryref2!K15,IF(Summary!AK84=summaryref2!B29,summaryref2!K29,IF(AK84=summaryref2!B43,summaryref2!K43,IF(AK84=summaryref2!B57,summaryref2!K57,IF(AK84=summaryref2!B71,summaryref2!K71,IF(AK84=summaryref2!B85,summaryref2!K85,IF(AK84=summaryref2!B99,summaryref2!K99,IF(AK84=summaryref2!B113,summaryref2!K113,IF(AK84=summaryref2!B127,summaryref2!K127,IF(AK84=summaryref2!B141,summaryref2!K141,"")))))))))))</f>
        <v/>
      </c>
      <c r="AV84" s="1110" t="str">
        <f>IF('A-80 DirEntInv'!AV83&lt;&gt;"",'A-80 DirEntInv'!AV83,IF(AK84=summaryref2!B15,summaryref2!L15,IF(Summary!AK84=summaryref2!B29,summaryref2!L29,IF(AK84=summaryref2!B43,summaryref2!L43,IF(AK84=summaryref2!B57,summaryref2!L57,IF(AK84=summaryref2!B71,summaryref2!L71,IF(AK84=summaryref2!B85,summaryref2!L85,IF(AK84=summaryref2!B99,summaryref2!L99,IF(AK84=summaryref2!B113,summaryref2!L113,IF(AK84=summaryref2!B127,summaryref2!L127,IF(AK84=summaryref2!B141,summaryref2!L141,"")))))))))))</f>
        <v/>
      </c>
      <c r="AW84" s="1110" t="str">
        <f>IF('A-80 DirEntInv'!AW83&lt;&gt;"",'A-80 DirEntInv'!AW83,IF(AK84=summaryref2!B15,summaryref2!M15,IF(Summary!AK84=summaryref2!B29,summaryref2!M29,IF(AK84=summaryref2!B43,summaryref2!M43,IF(AK84=summaryref2!B57,summaryref2!M57,IF(AK84=summaryref2!B71,summaryref2!M71,IF(AK84=summaryref2!B85,summaryref2!M85,IF(AK84=summaryref2!B99,summaryref2!M99,IF(AK84=summaryref2!B113,summaryref2!M113,IF(AK84=summaryref2!B127,summaryref2!M127,IF(AK84=summaryref2!B141,summaryref2!M141,"")))))))))))</f>
        <v/>
      </c>
      <c r="AX84" s="1110" t="str">
        <f>IF('A-80 DirEntInv'!AX83&lt;&gt;"",'A-80 DirEntInv'!AX83,IF(AK84=summaryref2!B15,summaryref2!N15,IF(Summary!AK84=summaryref2!B29,summaryref2!N29,IF(AK84=summaryref2!B43,summaryref2!N43,IF(AK84=summaryref2!B57,summaryref2!N57,IF(AK84=summaryref2!B71,summaryref2!N71,IF(AK84=summaryref2!B85,summaryref2!N85,IF(AK84=summaryref2!B99,summaryref2!N99,IF(AK84=summaryref2!B113,summaryref2!N113,IF(AK84=summaryref2!B127,summaryref2!N127,IF(AK84=summaryref2!B141,summaryref2!N141,"")))))))))))</f>
        <v/>
      </c>
      <c r="AY84" s="1110" t="str">
        <f>IF('A-80 DirEntInv'!AY83&lt;&gt;"",'A-80 DirEntInv'!AY83,IF(AK84=summaryref2!B15,summaryref2!O15,IF(Summary!AK84=summaryref2!B29,summaryref2!O29,IF(AK84=summaryref2!B43,summaryref2!O43,IF(AK84=summaryref2!B57,summaryref2!O57,IF(AK84=summaryref2!B71,summaryref2!O71,IF(AK84=summaryref2!B85,summaryref2!O85,IF(AK84=summaryref2!B99,summaryref2!O99,IF(AK84=summaryref2!B113,summaryref2!O113,IF(AK84=summaryref2!B127,summaryref2!O127,IF(AK84=summaryref2!B141,summaryref2!O141,"")))))))))))</f>
        <v/>
      </c>
      <c r="AZ84" s="1110" t="str">
        <f>IF('A-80 DirEntInv'!AZ83&lt;&gt;"",'A-80 DirEntInv'!AZ83,IF(AK84=summaryref2!B15,summaryref2!P15,IF(Summary!AK84=summaryref2!B29,summaryref2!P29,IF(AK84=summaryref2!B43,summaryref2!P43,IF(AK84=summaryref2!B57,summaryref2!P57,IF(AK84=summaryref2!B71,summaryref2!P71,IF(AK84=summaryref2!B85,summaryref2!P85,IF(AK84=summaryref2!B99,summaryref2!P99,IF(AK84=summaryref2!B113,summaryref2!P113,IF(AK84=summaryref2!B127,summaryref2!P127,IF(AK84=summaryref2!B141,summaryref2!P141,"")))))))))))</f>
        <v/>
      </c>
      <c r="BA84" s="1110" t="str">
        <f>IF('A-80 DirEntInv'!BA83&lt;&gt;"",'A-80 DirEntInv'!BA83,IF(AK84=summaryref2!B15,summaryref2!Q15,IF(Summary!AK84=summaryref2!B29,summaryref2!Q29,IF(AK84=summaryref2!B43,summaryref2!Q43,IF(AK84=summaryref2!B57,summaryref2!Q57,IF(AK84=summaryref2!B71,summaryref2!Q71,IF(AK84=summaryref2!B85,summaryref2!Q85,IF(AK84=summaryref2!B99,summaryref2!Q99,IF(AK84=summaryref2!B113,summaryref2!Q113,IF(AK84=summaryref2!B127,summaryref2!Q127,IF(AK84=summaryref2!B141,summaryref2!Q141,"")))))))))))</f>
        <v/>
      </c>
      <c r="BB84" s="1110" t="str">
        <f>IF('A-80 DirEntInv'!BB83&lt;&gt;"",'A-80 DirEntInv'!BB83,IF(AK84=summaryref2!B15,summaryref2!R15,IF(Summary!AK84=summaryref2!B29,summaryref2!R29,IF(AK84=summaryref2!B43,summaryref2!R43,IF(AK84=summaryref2!B57,summaryref2!R57,IF(AK84=summaryref2!B71,summaryref2!R71,IF(AK84=summaryref2!B85,summaryref2!R85,IF(AK84=summaryref2!B99,summaryref2!R99,IF(AK84=summaryref2!B113,summaryref2!R113,IF(AK84=summaryref2!B127,summaryref2!R127,IF(AK84=summaryref2!B141,summaryref2!R141,"")))))))))))</f>
        <v/>
      </c>
      <c r="BC84" s="1110" t="str">
        <f>IF('A-80 DirEntInv'!BC83&lt;&gt;0,'A-80 DirEntInv'!BC83,IF(AK84=summaryref2!B15,summaryref2!S15,IF(Summary!AK84=summaryref2!B29,summaryref2!S29,IF(AK84=summaryref2!B43,summaryref2!S43,IF(AK84=summaryref2!B57,summaryref2!S57,IF(AK84=summaryref2!B71,summaryref2!S71,IF(AK84=summaryref2!B85,summaryref2!S85,IF(AK84=summaryref2!B99,summaryref2!S99,IF(AK84=summaryref2!B113,summaryref2!S113,IF(AK84=summaryref2!B127,summaryref2!S127,IF(AK84=summaryref2!B141,summaryref2!S141,"")))))))))))</f>
        <v/>
      </c>
      <c r="BD84" s="1111" t="str">
        <f>IF('A-80 DirEntInv'!BD83&lt;&gt;"",'A-80 DirEntInv'!BD83,IF(AK84=summaryref2!B15,summaryref2!T15,IF(Summary!AK84=summaryref2!B29,summaryref2!T29,IF(AK84=summaryref2!B43,summaryref2!T43,IF(AK84=summaryref2!B57,summaryref2!T57,IF(AK84=summaryref2!B71,summaryref2!T71,IF(AK84=summaryref2!B85,summaryref2!T85,IF(AK84=summaryref2!B99,summaryref2!T99,IF(AK84=summaryref2!B113,summaryref2!T113,IF(AK84=summaryref2!B127,summaryref2!T127,IF(AK84=summaryref2!B141,summaryref2!T141,"")))))))))))</f>
        <v/>
      </c>
      <c r="BE84" s="1184" t="str">
        <f>IF('A-80 DirEntInv'!BE83&lt;&gt;"",'A-80 DirEntInv'!BE83,IF(AK84=summaryref2!B15,summaryref2!U15,IF(Summary!AK84=summaryref2!B29,summaryref2!U29,IF(AK84=summaryref2!B43,summaryref2!U43,IF(AK84=summaryref2!B57,summaryref2!U57,IF(AK84=summaryref2!B71,summaryref2!U71,IF(AK84=summaryref2!B85,summaryref2!U85,IF(AK84=summaryref2!B99,summaryref2!U99,IF(AK84=summaryref2!B113,summaryref2!U113,IF(AK84=summaryref2!B127,summaryref2!U127,IF(AK84=summaryref2!B141,summaryref2!U141,"")))))))))))</f>
        <v/>
      </c>
      <c r="BF84" s="1432"/>
      <c r="BG84" s="1432"/>
      <c r="BJ84" s="1041" t="str">
        <f>Codes!$C$166</f>
        <v>LR - Light Rail (PT)</v>
      </c>
      <c r="BK84" s="1042" t="str">
        <f>Valid!$B$83</f>
        <v>Single Crossover</v>
      </c>
      <c r="BL84" s="1375" t="str">
        <f>IF('A-80 DirEntInv'!BL83&lt;&gt;"",'A-80 DirEntInv'!BL83,IF(BJ84=summaryref2!X15,summaryref2!Z15,IF(BJ84=summaryref2!X22,summaryref2!Z22,IF(BJ84=summaryref2!X29,summaryref2!Z29,IF(BJ84=summaryref2!X36,summaryref2!Z36,IF(BJ84=summaryref2!X43,summaryref2!Z43,IF(BJ84=summaryref2!X50,summaryref2!Z50,IF(BJ84=summaryref2!X57,summaryref2!Z57,IF(BJ84=summaryref2!X64,summaryref2!Z64,IF(BJ84=summaryref2!X71,summaryref2!Z71,IF(BJ84=summaryref2!X78,summaryref2!Z78,"")))))))))))</f>
        <v/>
      </c>
      <c r="BM84" s="1042" t="str">
        <f>VLOOKUP(BK84,Valid!$B$80:$C$86,2,FALSE)</f>
        <v>Each</v>
      </c>
      <c r="BN84" s="1209" t="str">
        <f>IF('A-80 DirEntInv'!BN83&lt;&gt;"",'A-80 DirEntInv'!BN83,IF(BJ84=summaryref2!X15,summaryref2!AB15,IF(BJ84=summaryref2!X22,summaryref2!AB22,IF(BJ84=summaryref2!X29,summaryref2!AB29,IF(BJ84=summaryref2!X36,summaryref2!AB36,IF(BJ84=summaryref2!X43,summaryref2!AB43,IF(BJ84=summaryref2!X50,summaryref2!AB50,IF(BJ84=summaryref2!X57,summaryref2!AB57,IF(BJ84=summaryref2!X64,summaryref2!AB64,IF(BJ84=summaryref2!X71,summaryref2!AB71,IF(BJ84=summaryref2!X78,summaryref2!AB78,"")))))))))))</f>
        <v/>
      </c>
      <c r="BO84" s="1116" t="str">
        <f>IF('A-80 DirEntInv'!BO83&lt;&gt;"",'A-80 DirEntInv'!BO83,IF(BJ84=summaryref2!X15,summaryref2!AC15,IF(BJ84=summaryref2!X22,summaryref2!AC22,IF(BJ84=summaryref2!X29,summaryref2!AC29,IF(BJ84=summaryref2!X36,summaryref2!AC36,IF(BJ84=summaryref2!X43,summaryref2!AC43,IF(BJ84=summaryref2!X50,summaryref2!AC50,IF(BJ84=summaryref2!X57,summaryref2!AC57,IF(BJ84=summaryref2!X64,summaryref2!AC64,IF(BJ84=summaryref2!X71,summaryref2!AC71,IF(BJ84=summaryref2!X78,summaryref2!AC78,"")))))))))))</f>
        <v/>
      </c>
      <c r="BP84" s="1384" t="str">
        <f>IF('A-80 DirEntInv'!BP83&lt;&gt;"",'A-80 DirEntInv'!BP83,IF(BJ84=summaryref2!X15,summaryref2!AD15,IF(BJ84=summaryref2!X22,summaryref2!AD22,IF(BJ84=summaryref2!X29,summaryref2!AD29,IF(BJ84=summaryref2!X36,summaryref2!AD36,IF(BJ84=summaryref2!X43,summaryref2!AD43,IF(BJ84=summaryref2!X50,summaryref2!AD50,IF(BJ84=summaryref2!X57,summaryref2!AD57,IF(BJ84=summaryref2!X64,summaryref2!AD64,IF(BJ84=summaryref2!X71,summaryref2!AD71,IF(BJ84=summaryref2!X78,summaryref2!AD78,"")))))))))))</f>
        <v/>
      </c>
      <c r="BS84" s="1472" t="str">
        <f ca="1">IF('A-80 DirEntInv'!BU83&lt;&gt;"",'A-80 DirEntInv'!BU83,IF(INDIRECT(ADDRESS(SumRef!DK90,SumRef!DK$16,,,SumRef!$E$6))="","",INDIRECT(ADDRESS(SumRef!DK90,SumRef!DK$16,,,SumRef!$E$6))))</f>
        <v/>
      </c>
      <c r="BT84" s="1458" t="str">
        <f ca="1">IF('A-80 DirEntInv'!BV83&lt;&gt;"",'A-80 DirEntInv'!BV83,IF(INDIRECT(ADDRESS(SumRef!DL90,SumRef!DL$16,,,SumRef!$E$6))="","",INDIRECT(ADDRESS(SumRef!DL90,SumRef!DL$16,,,SumRef!$E$6))))</f>
        <v/>
      </c>
      <c r="BU84" s="1177" t="str">
        <f ca="1">IF('A-80 DirEntInv'!BW83&lt;&gt;"",'A-80 DirEntInv'!BW83,IF(INDIRECT(ADDRESS(SumRef!DM90,SumRef!DM$16,,,SumRef!$E$6))="","",INDIRECT(ADDRESS(SumRef!DM90,SumRef!DM$16,,,SumRef!$E$6))))</f>
        <v/>
      </c>
      <c r="BV84" s="1460" t="str">
        <f ca="1">IF('A-80 DirEntInv'!BX83&lt;&gt;"",'A-80 DirEntInv'!BX83,IF(INDIRECT(ADDRESS(SumRef!DN90,SumRef!DN$16,,,SumRef!$E$6))="","",INDIRECT(ADDRESS(SumRef!DN90,SumRef!DN$16,,,SumRef!$E$6))))</f>
        <v/>
      </c>
      <c r="BW84" s="1460" t="str">
        <f ca="1">IF('A-80 DirEntInv'!BY83&lt;&gt;"",'A-80 DirEntInv'!BY83,IF(INDIRECT(ADDRESS(SumRef!DO90,SumRef!DO$16,,,SumRef!$E$6))="","",INDIRECT(ADDRESS(SumRef!DO90,SumRef!DO$16,,,SumRef!$E$6))))</f>
        <v/>
      </c>
      <c r="BX84" s="1116" t="str">
        <f ca="1">IF('A-80 DirEntInv'!BZ83&lt;&gt;"",'A-80 DirEntInv'!BZ83,IF(INDIRECT(ADDRESS(SumRef!DP90,SumRef!DP$16,,,SumRef!$E$6))="","",INDIRECT(ADDRESS(SumRef!DP90,SumRef!DP$16,,,SumRef!$E$6))))</f>
        <v/>
      </c>
      <c r="BY84" s="1461" t="str">
        <f ca="1">IF('A-80 DirEntInv'!CA83&lt;&gt;"",'A-80 DirEntInv'!CA83,IF(INDIRECT(ADDRESS(SumRef!DQ90,SumRef!DQ$16,,,SumRef!$E$6))="","",INDIRECT(ADDRESS(SumRef!DQ90,SumRef!DQ$16,,,SumRef!$E$6))))</f>
        <v/>
      </c>
      <c r="BZ84" s="1460" t="str">
        <f ca="1">IF('A-80 DirEntInv'!CB83&lt;&gt;"",'A-80 DirEntInv'!CB83,IF(INDIRECT(ADDRESS(SumRef!DR90,SumRef!DR$16,,,SumRef!$E$6))="","",INDIRECT(ADDRESS(SumRef!DR90,SumRef!DR$16,,,SumRef!$E$6))))</f>
        <v/>
      </c>
      <c r="CA84" s="1462" t="str">
        <f ca="1">IF('A-80 DirEntInv'!CC83&lt;&gt;"",'A-80 DirEntInv'!CC83,IF(INDIRECT(ADDRESS(SumRef!DS90,SumRef!DS$16,,,SumRef!$E$6))="","",INDIRECT(ADDRESS(SumRef!DS90,SumRef!DS$16,,,SumRef!$E$6))))</f>
        <v/>
      </c>
      <c r="CD84" s="1160" t="str">
        <f ca="1">IF('A-80 DirEntInv'!CF83&lt;&gt;"",'A-80 DirEntInv'!CF83,IF(INDIRECT(ADDRESS(SumRef!DV90,SumRef!DV$16,,,SumRef!$E$7))="","",INDIRECT(ADDRESS(SumRef!DV90,SumRef!DV$16,,,SumRef!$E$7))))</f>
        <v/>
      </c>
      <c r="CE84" s="1167" t="str">
        <f ca="1">IF('A-80 DirEntInv'!CG83&lt;&gt;"",'A-80 DirEntInv'!CG83,IF(INDIRECT(ADDRESS(SumRef!DW90,SumRef!DW$16,,,SumRef!$E$7))="","",INDIRECT(ADDRESS(SumRef!DW90,SumRef!DW$16,,,SumRef!$E$7))))</f>
        <v/>
      </c>
      <c r="CF84" s="1167" t="str">
        <f ca="1">IF('A-80 DirEntInv'!CH83&lt;&gt;"",'A-80 DirEntInv'!CH83,IF(INDIRECT(ADDRESS(SumRef!DX90,SumRef!DX$16,,,SumRef!$E$7))="","",INDIRECT(ADDRESS(SumRef!DX90,SumRef!DX$16,,,SumRef!$E$7))))</f>
        <v/>
      </c>
      <c r="CG84" s="1167" t="str">
        <f ca="1">IF('A-80 DirEntInv'!CI83&lt;&gt;"",'A-80 DirEntInv'!CI83,IF(INDIRECT(ADDRESS(SumRef!DY90,SumRef!DY$16,,,SumRef!$E$7))="","",INDIRECT(ADDRESS(SumRef!DY90,SumRef!DY$16,,,SumRef!$E$7))))</f>
        <v/>
      </c>
      <c r="CH84" s="1167" t="str">
        <f ca="1">IF('A-80 DirEntInv'!CJ83&lt;&gt;"",'A-80 DirEntInv'!CJ83,IF(INDIRECT(ADDRESS(SumRef!DZ90,SumRef!DZ$16,,,SumRef!$E$7))="","",INDIRECT(ADDRESS(SumRef!DZ90,SumRef!DZ$16,,,SumRef!$E$7))))</f>
        <v/>
      </c>
      <c r="CI84" s="1167" t="str">
        <f ca="1">IF('A-80 DirEntInv'!CK83&lt;&gt;"",'A-80 DirEntInv'!CK83,IF(INDIRECT(ADDRESS(SumRef!EA90,SumRef!EA$16,,,SumRef!$E$7))="","",INDIRECT(ADDRESS(SumRef!EA90,SumRef!EA$16,,,SumRef!$E$7))))</f>
        <v/>
      </c>
      <c r="CJ84" s="1114" t="str">
        <f ca="1">IF('A-80 DirEntInv'!CL83&lt;&gt;"",'A-80 DirEntInv'!CL83,IF(INDIRECT(ADDRESS(SumRef!EB90,SumRef!EB$16,,,SumRef!$E$7))="","",INDIRECT(ADDRESS(SumRef!EB90,SumRef!EB$16,,,SumRef!$E$7))))</f>
        <v/>
      </c>
      <c r="CK84" s="1114" t="str">
        <f ca="1">IF('A-80 DirEntInv'!CM83&lt;&gt;"",'A-80 DirEntInv'!CM83,IF(INDIRECT(ADDRESS(SumRef!EC90,SumRef!EC$16,,,SumRef!$E$7))="","",INDIRECT(ADDRESS(SumRef!EC90,SumRef!EC$16,,,SumRef!$E$7))))</f>
        <v/>
      </c>
      <c r="CL84" s="1113" t="str">
        <f ca="1">IF('A-80 DirEntInv'!CO83&lt;&gt;"",'A-80 DirEntInv'!CO83,IF(INDIRECT(ADDRESS(SumRef!ED90,SumRef!ED$16,,,SumRef!$E$7))="","",INDIRECT(ADDRESS(SumRef!ED90,SumRef!ED$16,,,SumRef!$E$7))))</f>
        <v/>
      </c>
      <c r="CM84" s="1114" t="str">
        <f ca="1">IF('A-80 DirEntInv'!CP83&lt;&gt;"",'A-80 DirEntInv'!CP83,IF(INDIRECT(ADDRESS(SumRef!EE90,SumRef!EE$16,,,SumRef!$E$7))="","",INDIRECT(ADDRESS(SumRef!EE90,SumRef!EE$16,,,SumRef!$E$7))))</f>
        <v/>
      </c>
      <c r="CN84" s="1114" t="str">
        <f ca="1">IF('A-80 DirEntInv'!CQ83&lt;&gt;"",'A-80 DirEntInv'!CQ83,IF(INDIRECT(ADDRESS(SumRef!EF90,SumRef!EF$16,,,SumRef!$E$7))="","",INDIRECT(ADDRESS(SumRef!EF90,SumRef!EF$16,,,SumRef!$E$7))))</f>
        <v/>
      </c>
      <c r="CO84" s="1113" t="str">
        <f ca="1">IF('A-80 DirEntInv'!CR83&lt;&gt;"",'A-80 DirEntInv'!CR83,IF(INDIRECT(ADDRESS(SumRef!EG90,SumRef!EG$16,,,SumRef!$E$7))="","",INDIRECT(ADDRESS(SumRef!EG90,SumRef!EG$16,,,SumRef!$E$7))))</f>
        <v/>
      </c>
      <c r="CP84" s="1114" t="str">
        <f ca="1">IF('A-80 DirEntInv'!CS83&lt;&gt;"",'A-80 DirEntInv'!CS83,IF(INDIRECT(ADDRESS(SumRef!EH90,SumRef!EH$16,,,SumRef!$E$7))="","",INDIRECT(ADDRESS(SumRef!EH90,SumRef!EH$16,,,SumRef!$E$7))))</f>
        <v/>
      </c>
      <c r="CQ84" s="1346" t="str">
        <f ca="1">IF('A-80 DirEntInv'!CT83&lt;&gt;"",'A-80 DirEntInv'!CT83,IF(INDIRECT(ADDRESS(SumRef!EI90,SumRef!EI$16,,,SumRef!$E$7))="","",INDIRECT(ADDRESS(SumRef!EI90,SumRef!EI$16,,,SumRef!$E$7))))</f>
        <v/>
      </c>
      <c r="CR84" s="1113" t="str">
        <f ca="1">IF('A-80 DirEntInv'!CU83&lt;&gt;"",'A-80 DirEntInv'!CU83,IF(INDIRECT(ADDRESS(SumRef!EJ90,SumRef!EJ$16,,,SumRef!$E$7))="","",INDIRECT(ADDRESS(SumRef!EJ90,SumRef!EJ$16,,,SumRef!$E$7))))</f>
        <v/>
      </c>
      <c r="CS84" s="1346" t="str">
        <f ca="1">IF('A-80 DirEntInv'!CV83&lt;&gt;"",'A-80 DirEntInv'!CV83,IF(INDIRECT(ADDRESS(SumRef!EM90,SumRef!EM$16,,,SumRef!$E$7))="","",INDIRECT(ADDRESS(SumRef!EM90,SumRef!EM$16,,,SumRef!$E$7))))</f>
        <v/>
      </c>
      <c r="CT84" s="1113" t="str">
        <f ca="1">IF('A-80 DirEntInv'!CW83&lt;&gt;"",'A-80 DirEntInv'!CW83,IF(INDIRECT(ADDRESS(SumRef!EN90,SumRef!EN$16,,,SumRef!$E$7))="","",INDIRECT(ADDRESS(SumRef!EN90,SumRef!EN$16,,,SumRef!$E$7))))</f>
        <v/>
      </c>
      <c r="CU84" s="1113" t="str">
        <f ca="1">IF('A-80 DirEntInv'!CX83&lt;&gt;"",'A-80 DirEntInv'!CX83,IF(INDIRECT(ADDRESS(SumRef!EO90,SumRef!EO$16,,,SumRef!$E$7))="","",INDIRECT(ADDRESS(SumRef!EO90,SumRef!EO$16,,,SumRef!$E$7))))</f>
        <v/>
      </c>
      <c r="CV84" s="1113" t="str">
        <f ca="1">IF('A-80 DirEntInv'!CY83&lt;&gt;"",'A-80 DirEntInv'!CY83,IF(INDIRECT(ADDRESS(SumRef!EP90,SumRef!EP$16,,,SumRef!$E$7))="","",INDIRECT(ADDRESS(SumRef!EP90,SumRef!EP$16,,,SumRef!$E$7))))</f>
        <v/>
      </c>
      <c r="CW84" s="1114" t="str">
        <f ca="1">IF('A-80 DirEntInv'!CZ83&lt;&gt;"",'A-80 DirEntInv'!CZ83,IF(INDIRECT(ADDRESS(SumRef!ES90,SumRef!ES$16,,,SumRef!$E$7))="","",INDIRECT(ADDRESS(SumRef!ES90,SumRef!ES$16,,,SumRef!$E$7))))</f>
        <v/>
      </c>
      <c r="CX84" s="1167" t="str">
        <f ca="1">IF('A-80 DirEntInv'!DA83&lt;&gt;"",'A-80 DirEntInv'!DA83,IF(INDIRECT(ADDRESS(SumRef!ET90,SumRef!ET$16,,,SumRef!$E$7))="","",INDIRECT(ADDRESS(SumRef!ET90,SumRef!ET$16,,,SumRef!$E$7))))</f>
        <v/>
      </c>
      <c r="CY84" s="1167" t="str">
        <f ca="1">IF('A-80 DirEntInv'!DB83&lt;&gt;"",'A-80 DirEntInv'!DB83,IF(INDIRECT(ADDRESS(SumRef!EU90,SumRef!EU$16,,,SumRef!$E$7))="","",INDIRECT(ADDRESS(SumRef!EU90,SumRef!EU$16,,,SumRef!$E$7))))</f>
        <v/>
      </c>
      <c r="CZ84" s="1167" t="b">
        <f ca="1">IF('A-80 DirEntInv'!DC83&lt;&gt;"",'A-80 DirEntInv'!DC83,IF(INDIRECT(ADDRESS(SumRef!EV90,SumRef!EV$16,,,SumRef!$E$7))="","",INDIRECT(ADDRESS(SumRef!EV90,SumRef!EV$16,,,SumRef!$E$7))))</f>
        <v>0</v>
      </c>
      <c r="DA84" s="1373" t="str">
        <f ca="1">IF('A-80 DirEntInv'!DD83&lt;&gt;"",'A-80 DirEntInv'!DD83,IF(INDIRECT(ADDRESS(SumRef!EW90,SumRef!EW$16,,,SumRef!$E$7))="","",INDIRECT(ADDRESS(SumRef!EW90,SumRef!EW$16,,,SumRef!$E$7))))</f>
        <v/>
      </c>
      <c r="DB84" s="1373" t="b">
        <f ca="1">IF('A-80 DirEntInv'!DE83&lt;&gt;"",'A-80 DirEntInv'!DE83,IF(INDIRECT(ADDRESS(SumRef!EX90,SumRef!EX$16,,,SumRef!$E$7))="","",INDIRECT(ADDRESS(SumRef!EX90,SumRef!EX$16,,,SumRef!$E$7))))</f>
        <v>0</v>
      </c>
      <c r="DC84" s="1114" t="b">
        <f ca="1">IF('A-80 DirEntInv'!DF83&lt;&gt;"",'A-80 DirEntInv'!DF83,IF(INDIRECT(ADDRESS(SumRef!EY90,SumRef!EY$16,,,SumRef!$E$7))="","",INDIRECT(ADDRESS(SumRef!EY90,SumRef!EY$16,,,SumRef!$E$7))))</f>
        <v>0</v>
      </c>
      <c r="DD84" s="1115" t="str">
        <f ca="1">IF('A-80 DirEntInv'!DG83&lt;&gt;"",'A-80 DirEntInv'!DG83,IF(INDIRECT(ADDRESS(SumRef!EZ90,SumRef!EZ$16,,,SumRef!$E$7))="","",INDIRECT(ADDRESS(SumRef!EZ90,SumRef!EZ$16,,,SumRef!$E$7))))</f>
        <v/>
      </c>
    </row>
    <row r="85" spans="1:108" s="588" customFormat="1" x14ac:dyDescent="0.2">
      <c r="A85" s="589">
        <f t="shared" si="1"/>
        <v>75</v>
      </c>
      <c r="B85" s="1155" t="str">
        <f ca="1">IF('A-80 DirEntInv'!B84&lt;&gt;"",'A-80 DirEntInv'!B84,IF(INDIRECT(ADDRESS(SumRef!AQ91,SumRef!AQ$16,,,SumRef!$B$7))="","",INDIRECT(ADDRESS(SumRef!AQ91,SumRef!AQ$16,,,SumRef!$B$7))))</f>
        <v/>
      </c>
      <c r="C85" s="1097" t="str">
        <f ca="1">IF('A-80 DirEntInv'!C84&lt;&gt;"",'A-80 DirEntInv'!C84,IF(INDIRECT(ADDRESS(SumRef!AR91,SumRef!AR$16,,,SumRef!$B$7))="","",INDIRECT(ADDRESS(SumRef!AR91,SumRef!AR$16,,,SumRef!$B$7))))</f>
        <v/>
      </c>
      <c r="D85" s="1097" t="str">
        <f ca="1">IF('A-80 DirEntInv'!D84&lt;&gt;"",'A-80 DirEntInv'!D84,IF(INDIRECT(ADDRESS(SumRef!AS91,SumRef!AS$16,,,SumRef!$B$7))="","",INDIRECT(ADDRESS(SumRef!AS91,SumRef!AS$16,,,SumRef!$B$7))))</f>
        <v/>
      </c>
      <c r="E85" s="1097" t="str">
        <f ca="1">IF('A-80 DirEntInv'!E84&lt;&gt;"",'A-80 DirEntInv'!E84,IF(INDIRECT(ADDRESS(SumRef!AT91,SumRef!AT$16,,,SumRef!$B$7))="","",INDIRECT(ADDRESS(SumRef!AT91,SumRef!AT$16,,,SumRef!$B$7))))</f>
        <v/>
      </c>
      <c r="F85" s="1097" t="str">
        <f ca="1">IF('A-80 DirEntInv'!F84&lt;&gt;"",'A-80 DirEntInv'!F84,IF(INDIRECT(ADDRESS(SumRef!AU91,SumRef!AU$16,,,SumRef!$B$7))="","",INDIRECT(ADDRESS(SumRef!AU91,SumRef!AU$16,,,SumRef!$B$7))))</f>
        <v/>
      </c>
      <c r="G85" s="1158" t="str">
        <f ca="1">IF('A-80 DirEntInv'!G84&lt;&gt;"",'A-80 DirEntInv'!G84,IF(INDIRECT(ADDRESS(SumRef!AV91,SumRef!AV$16,,,SumRef!$B$7))="","",INDIRECT(ADDRESS(SumRef!AV91,SumRef!AV$16,,,SumRef!$B$7))))</f>
        <v/>
      </c>
      <c r="H85" s="1097" t="str">
        <f ca="1">IF('A-80 DirEntInv'!H84&lt;&gt;"",'A-80 DirEntInv'!H84,IF(INDIRECT(ADDRESS(SumRef!AW91,SumRef!AW$16,,,SumRef!$B$7))="","",INDIRECT(ADDRESS(SumRef!AW91,SumRef!AW$16,,,SumRef!$B$7))))</f>
        <v/>
      </c>
      <c r="I85" s="1097" t="str">
        <f ca="1">IF('A-80 DirEntInv'!I84&lt;&gt;"",'A-80 DirEntInv'!I84,IF(INDIRECT(ADDRESS(SumRef!AX91,SumRef!AX$16,,,SumRef!$B$7))="","",INDIRECT(ADDRESS(SumRef!AX91,SumRef!AX$16,,,SumRef!$B$7))))</f>
        <v/>
      </c>
      <c r="J85" s="1098" t="str">
        <f ca="1">IF('A-80 DirEntInv'!J84&lt;&gt;"",'A-80 DirEntInv'!J84,IF(INDIRECT(ADDRESS(SumRef!AY91,SumRef!AY$16,,,SumRef!$B$7))="","",INDIRECT(ADDRESS(SumRef!AY91,SumRef!AY$16,,,SumRef!$B$7))))</f>
        <v/>
      </c>
      <c r="K85" s="1099" t="str">
        <f ca="1">IF('A-80 DirEntInv'!K84&lt;&gt;"",'A-80 DirEntInv'!K84,IF(INDIRECT(ADDRESS(SumRef!AZ91,SumRef!AZ$16,,,SumRef!$B$7))="","",INDIRECT(ADDRESS(SumRef!AZ91,SumRef!AZ$16,,,SumRef!$B$7))))</f>
        <v/>
      </c>
      <c r="L85" s="1100" t="str">
        <f ca="1">IF('A-80 DirEntInv'!L84&lt;&gt;"",'A-80 DirEntInv'!L84,IF(INDIRECT(ADDRESS(SumRef!BA91,SumRef!BA$16,,,SumRef!$B$7))="","",INDIRECT(ADDRESS(SumRef!BA91,SumRef!BA$16,,,SumRef!$B$7))))</f>
        <v/>
      </c>
      <c r="M85" s="1101" t="str">
        <f ca="1">IF('A-80 DirEntInv'!M84&lt;&gt;"",'A-80 DirEntInv'!M84,IF(INDIRECT(ADDRESS(SumRef!BB91,SumRef!BB$16,,,SumRef!$B$7))="","",INDIRECT(ADDRESS(SumRef!BB91,SumRef!BB$16,,,SumRef!$B$7))))</f>
        <v/>
      </c>
      <c r="N85" s="1098" t="str">
        <f ca="1">IF('A-80 DirEntInv'!N84&lt;&gt;"",'A-80 DirEntInv'!N84,IF(INDIRECT(ADDRESS(SumRef!BC91,SumRef!BC$16,,,SumRef!$B$7))="","",INDIRECT(ADDRESS(SumRef!BC91,SumRef!BC$16,,,SumRef!$B$7))))</f>
        <v/>
      </c>
      <c r="O85" s="1102" t="str">
        <f ca="1">IF('A-80 DirEntInv'!O84&lt;&gt;"",'A-80 DirEntInv'!O84,IF(INDIRECT(ADDRESS(SumRef!BD91,SumRef!BD$16,,,SumRef!$B$7))="","",INDIRECT(ADDRESS(SumRef!BD91,SumRef!BD$16,,,SumRef!$B$7))))</f>
        <v/>
      </c>
      <c r="Q85" s="589"/>
      <c r="R85" s="1103" t="str">
        <f ca="1">IF('A-80 DirEntInv'!R84&lt;&gt;"",'A-80 DirEntInv'!R84,IF(INDIRECT(ADDRESS(SumRef!BH91,SumRef!BH$16,,,SumRef!$B$8))="","",INDIRECT(ADDRESS(SumRef!BH91,SumRef!BH$16,,,SumRef!$B$8))))</f>
        <v/>
      </c>
      <c r="S85" s="1104" t="str">
        <f ca="1">IF('A-80 DirEntInv'!S84&lt;&gt;"",'A-80 DirEntInv'!S84,IF(INDIRECT(ADDRESS(SumRef!BI91,SumRef!BI$16,,,SumRef!$B$8))="","",INDIRECT(ADDRESS(SumRef!BI91,SumRef!BI$16,,,SumRef!$B$8))))</f>
        <v/>
      </c>
      <c r="T85" s="1104" t="str">
        <f ca="1">IF('A-80 DirEntInv'!T84&lt;&gt;"",'A-80 DirEntInv'!T84,IF(INDIRECT(ADDRESS(SumRef!BJ91,SumRef!BJ$16,,,SumRef!$B$8))="","",INDIRECT(ADDRESS(SumRef!BJ91,SumRef!BJ$16,,,SumRef!$B$8))))</f>
        <v/>
      </c>
      <c r="U85" s="1104" t="str">
        <f ca="1">IF('A-80 DirEntInv'!U84&lt;&gt;"",'A-80 DirEntInv'!U84,IF(INDIRECT(ADDRESS(SumRef!BK91,SumRef!BK$16,,,SumRef!$B$8))="","",INDIRECT(ADDRESS(SumRef!BK91,SumRef!BK$16,,,SumRef!$B$8))))</f>
        <v/>
      </c>
      <c r="V85" s="1104" t="str">
        <f ca="1">IF('A-80 DirEntInv'!V84&lt;&gt;"",'A-80 DirEntInv'!V84,IF(INDIRECT(ADDRESS(SumRef!BL91,SumRef!BL$16,,,SumRef!$B$8))="","",INDIRECT(ADDRESS(SumRef!BL91,SumRef!BL$16,,,SumRef!$B$8))))</f>
        <v/>
      </c>
      <c r="W85" s="1354" t="str">
        <f ca="1">IF('A-80 DirEntInv'!W84&lt;&gt;"",'A-80 DirEntInv'!W84,IF(INDIRECT(ADDRESS(SumRef!BM91,SumRef!BM$16,,,SumRef!$B$8))="","",INDIRECT(ADDRESS(SumRef!BM91,SumRef!BM$16,,,SumRef!$B$8))))</f>
        <v/>
      </c>
      <c r="X85" s="1203" t="str">
        <f ca="1">IF('A-80 DirEntInv'!X84&lt;&gt;"",'A-80 DirEntInv'!X84,IF(INDIRECT(ADDRESS(SumRef!BN91,SumRef!BN$16,,,SumRef!$B$8))="","",INDIRECT(ADDRESS(SumRef!BN91,SumRef!BN$16,,,SumRef!$B$8))))</f>
        <v/>
      </c>
      <c r="Y85" s="1203" t="str">
        <f ca="1">IF('A-80 DirEntInv'!Y84&lt;&gt;"",'A-80 DirEntInv'!Y84,IF(INDIRECT(ADDRESS(SumRef!BO91,SumRef!BO$16,,,SumRef!$B$8))="","",INDIRECT(ADDRESS(SumRef!BO91,SumRef!BO$16,,,SumRef!$B$8))))</f>
        <v/>
      </c>
      <c r="Z85" s="1104" t="str">
        <f ca="1">IF('A-80 DirEntInv'!Z84&lt;&gt;"",'A-80 DirEntInv'!Z84,IF(INDIRECT(ADDRESS(SumRef!BP91,SumRef!BP$16,,,SumRef!$B$8))="","",INDIRECT(ADDRESS(SumRef!BP91,SumRef!BP$16,,,SumRef!$B$8))))</f>
        <v/>
      </c>
      <c r="AA85" s="1104" t="str">
        <f ca="1">IF('A-80 DirEntInv'!AA84&lt;&gt;"",'A-80 DirEntInv'!AA84,IF(INDIRECT(ADDRESS(SumRef!BQ91,SumRef!BQ$16,,,SumRef!$B$8))="","",INDIRECT(ADDRESS(SumRef!BQ91,SumRef!BQ$16,,,SumRef!$B$8))))</f>
        <v/>
      </c>
      <c r="AB85" s="1106" t="str">
        <f ca="1">IF('A-80 DirEntInv'!AB84&lt;&gt;"",'A-80 DirEntInv'!AB84,IF(INDIRECT(ADDRESS(SumRef!BR91,SumRef!BR$16,,,SumRef!$B$8))="","",INDIRECT(ADDRESS(SumRef!BR91,SumRef!BR$16,,,SumRef!$B$8))))</f>
        <v/>
      </c>
      <c r="AC85" s="1107" t="str">
        <f ca="1">IF('A-80 DirEntInv'!AC84&lt;&gt;"",'A-80 DirEntInv'!AC84,IF(INDIRECT(ADDRESS(SumRef!BS91,SumRef!BS$16,,,SumRef!$B$8))="","",INDIRECT(ADDRESS(SumRef!BS91,SumRef!BS$16,,,SumRef!$B$8))))</f>
        <v/>
      </c>
      <c r="AD85" s="1349" t="str">
        <f ca="1">IF('A-80 DirEntInv'!AD84&lt;&gt;"",'A-80 DirEntInv'!AD84,IF(INDIRECT(ADDRESS(SumRef!BT91,SumRef!BT$16,,,SumRef!$B$8))="","",INDIRECT(ADDRESS(SumRef!BT91,SumRef!BT$16,,,SumRef!$B$8))))</f>
        <v/>
      </c>
      <c r="AE85" s="1137" t="str">
        <f ca="1">IF('A-80 DirEntInv'!AE84&lt;&gt;"",'A-80 DirEntInv'!AE84,IF(INDIRECT(ADDRESS(SumRef!BU91,SumRef!BU$16,,,SumRef!$B$8))="","",INDIRECT(ADDRESS(SumRef!BU91,SumRef!BU$16,,,SumRef!$B$8))))</f>
        <v/>
      </c>
      <c r="AF85" s="1346" t="str">
        <f ca="1">IF('A-80 DirEntInv'!AF84&lt;&gt;"",'A-80 DirEntInv'!AF84,IF(INDIRECT(ADDRESS(SumRef!BV91,SumRef!BV$16,,,SumRef!$B$8))="","",INDIRECT(ADDRESS(SumRef!BV91,SumRef!BV$16,,,SumRef!$B$8))))</f>
        <v/>
      </c>
      <c r="AG85" s="1105" t="str">
        <f ca="1">IF('A-80 DirEntInv'!AG84&lt;&gt;"",'A-80 DirEntInv'!AG84,IF(INDIRECT(ADDRESS(SumRef!BW91,SumRef!BW$16,,,SumRef!$B$8))="","",INDIRECT(ADDRESS(SumRef!BW91,SumRef!BW$16,,,SumRef!$B$8))))</f>
        <v/>
      </c>
      <c r="AH85" s="1357" t="str">
        <f ca="1">IF('A-80 DirEntInv'!AH84&lt;&gt;"",'A-80 DirEntInv'!AH84,IF(INDIRECT(ADDRESS(SumRef!BX91,SumRef!BX$16,,,SumRef!$B$8))="","",INDIRECT(ADDRESS(SumRef!BX91,SumRef!BX$16,,,SumRef!$B$8))))</f>
        <v/>
      </c>
      <c r="AK85" s="1041" t="str">
        <f>Codes!$C$161</f>
        <v>CR - Commuter Rail (DO)</v>
      </c>
      <c r="AL85" s="1042" t="str">
        <f>Valid!$B$75</f>
        <v>Elevated/Steel Viaduct or Bridge</v>
      </c>
      <c r="AM85" s="1108" t="str">
        <f>IF('A-80 DirEntInv'!AM84&lt;&gt;"",'A-80 DirEntInv'!AM84,IF(AK85=summaryref2!B16,summaryref2!D16,IF(Summary!AK85=summaryref2!B30,summaryref2!D30,IF(AK85=summaryref2!B44,summaryref2!D44,IF(AK85=summaryref2!B58,summaryref2!D58,IF(AK85=summaryref2!B72,summaryref2!D72,IF(AK85=summaryref2!B86,summaryref2!D86,IF(AK85=summaryref2!B100,summaryref2!D100,IF(AK85=summaryref2!B114,summaryref2!D114,IF(AK85=summaryref2!B128,summaryref2!D128,IF(AK85=summaryref2!B142,summaryref2!D142,"")))))))))))</f>
        <v/>
      </c>
      <c r="AN85" s="1109" t="str">
        <f ca="1">IF('A-80 DirEntInv'!AN84&lt;&gt;"",'A-80 DirEntInv'!AN84,IF(INDIRECT(ADDRESS(SumRef!CG137,SumRef!CG$16,,,SumRef!$C$7))="","",INDIRECT(ADDRESS(SumRef!CG137,SumRef!CG$16,,,SumRef!$C$7))))</f>
        <v>Linear Feet</v>
      </c>
      <c r="AO85" s="1108" t="str">
        <f>IF('A-80 DirEntInv'!AO84&lt;&gt;"",'A-80 DirEntInv'!AO84,IF(AK85=summaryref2!B16,summaryref2!F16,IF(Summary!AK85=summaryref2!B30,summaryref2!F30,IF(AK85=summaryref2!B44,summaryref2!F44,IF(AK85=summaryref2!B58,summaryref2!F58,IF(AK85=summaryref2!B72,summaryref2!F72,IF(AK85=summaryref2!B86,summaryref2!F86,IF(AK85=summaryref2!B100,summaryref2!F100,IF(AK85=summaryref2!B114,summaryref2!F114,IF(AK85=summaryref2!B128,summaryref2!F128,IF(AK85=summaryref2!B142,summaryref2!F142,"")))))))))))</f>
        <v/>
      </c>
      <c r="AP85" s="1109" t="str">
        <f ca="1">IF('A-80 DirEntInv'!AP84&lt;&gt;"",'A-80 DirEntInv'!AP84,IF(INDIRECT(ADDRESS(SumRef!#REF!,SumRef!#REF!,,,SumRef!$C$7))="","",INDIRECT(ADDRESS(SumRef!#REF!,SumRef!#REF!,,,SumRef!$C$7))))</f>
        <v>Track Feet</v>
      </c>
      <c r="AQ85" s="1147" t="str">
        <f>IF('A-80 DirEntInv'!AQ84&lt;&gt;"",'A-80 DirEntInv'!AQ84,IF(AK85=summaryref2!B16,summaryref2!G16,IF(Summary!AK85=summaryref2!B30,summaryref2!G30,IF(AK85=summaryref2!B44,summaryref2!G44,IF(AK85=summaryref2!B58,summaryref2!G58,IF(AK85=summaryref2!B72,summaryref2!G72,IF(AK85=summaryref2!B86,summaryref2!G86,IF(AK85=summaryref2!B100,summaryref2!G100,IF(AK85=summaryref2!B114,summaryref2!G114,IF(AK85=summaryref2!B128,summaryref2!G128,IF(AK85=summaryref2!B142,summaryref2!G142,"")))))))))))</f>
        <v/>
      </c>
      <c r="AR85" s="1147" t="str">
        <f>IF('A-80 DirEntInv'!AR84&lt;&gt;"",'A-80 DirEntInv'!AR84,IF(AK85=summaryref2!B16,summaryref2!H16,IF(Summary!AK85=summaryref2!B30,summaryref2!H30,IF(AK85=summaryref2!B44,summaryref2!H44,IF(AK85=summaryref2!B58,summaryref2!H58,IF(AK85=summaryref2!B72,summaryref2!H72,IF(AK85=summaryref2!B86,summaryref2!H86,IF(AK85=summaryref2!B100,summaryref2!H100,IF(AK85=summaryref2!B114,summaryref2!H114,IF(AK85=summaryref2!B128,summaryref2!H128,IF(AK85=summaryref2!B142,summaryref2!H142,"")))))))))))</f>
        <v/>
      </c>
      <c r="AS85" s="1110" t="str">
        <f>IF('A-80 DirEntInv'!AS84&lt;&gt;"",'A-80 DirEntInv'!AS84,IF(AK85=summaryref2!B16,summaryref2!I16,IF(Summary!AK85=summaryref2!B30,summaryref2!I30,IF(AK85=summaryref2!B44,summaryref2!I44,IF(AK85=summaryref2!B58,summaryref2!I58,IF(AK85=summaryref2!B72,summaryref2!I72,IF(AK85=summaryref2!B86,summaryref2!I86,IF(AK85=summaryref2!B100,summaryref2!I100,IF(AK85=summaryref2!B114,summaryref2!I114,IF(AK85=summaryref2!B128,summaryref2!I128,IF(AK85=summaryref2!B142,summaryref2!I142,"")))))))))))</f>
        <v/>
      </c>
      <c r="AT85" s="1110" t="str">
        <f>IF('A-80 DirEntInv'!AT84&lt;&gt;"",'A-80 DirEntInv'!AT84,IF(AK85=summaryref2!B16,summaryref2!J16,IF(Summary!AK85=summaryref2!B30,summaryref2!J30,IF(AK85=summaryref2!B44,summaryref2!J44,IF(AK85=summaryref2!B58,summaryref2!J58,IF(AK85=summaryref2!B72,summaryref2!J72,IF(AK85=summaryref2!B86,summaryref2!J86,IF(AK85=summaryref2!B100,summaryref2!J100,IF(AK85=summaryref2!B114,summaryref2!J114,IF(AK85=summaryref2!B128,summaryref2!J128,IF(AK85=summaryref2!B142,summaryref2!J142,"")))))))))))</f>
        <v/>
      </c>
      <c r="AU85" s="1110" t="str">
        <f>IF('A-80 DirEntInv'!AU84&lt;&gt;"",'A-80 DirEntInv'!AU84,IF(AK85=summaryref2!B16,summaryref2!K16,IF(Summary!AK85=summaryref2!B30,summaryref2!K30,IF(AK85=summaryref2!B44,summaryref2!K44,IF(AK85=summaryref2!B58,summaryref2!K58,IF(AK85=summaryref2!B72,summaryref2!K72,IF(AK85=summaryref2!B86,summaryref2!K86,IF(AK85=summaryref2!B100,summaryref2!K100,IF(AK85=summaryref2!B114,summaryref2!K114,IF(AK85=summaryref2!B128,summaryref2!K128,IF(AK85=summaryref2!B142,summaryref2!K142,"")))))))))))</f>
        <v/>
      </c>
      <c r="AV85" s="1110" t="str">
        <f>IF('A-80 DirEntInv'!AV84&lt;&gt;"",'A-80 DirEntInv'!AV84,IF(AK85=summaryref2!B16,summaryref2!L16,IF(Summary!AK85=summaryref2!B30,summaryref2!L30,IF(AK85=summaryref2!B44,summaryref2!L44,IF(AK85=summaryref2!B58,summaryref2!L58,IF(AK85=summaryref2!B72,summaryref2!L72,IF(AK85=summaryref2!B86,summaryref2!L86,IF(AK85=summaryref2!B100,summaryref2!L100,IF(AK85=summaryref2!B114,summaryref2!L114,IF(AK85=summaryref2!B128,summaryref2!L128,IF(AK85=summaryref2!B142,summaryref2!L142,"")))))))))))</f>
        <v/>
      </c>
      <c r="AW85" s="1110" t="str">
        <f>IF('A-80 DirEntInv'!AW84&lt;&gt;"",'A-80 DirEntInv'!AW84,IF(AK85=summaryref2!B16,summaryref2!M16,IF(Summary!AK85=summaryref2!B30,summaryref2!M30,IF(AK85=summaryref2!B44,summaryref2!M44,IF(AK85=summaryref2!B58,summaryref2!M58,IF(AK85=summaryref2!B72,summaryref2!M72,IF(AK85=summaryref2!B86,summaryref2!M86,IF(AK85=summaryref2!B100,summaryref2!M100,IF(AK85=summaryref2!B114,summaryref2!M114,IF(AK85=summaryref2!B128,summaryref2!M128,IF(AK85=summaryref2!B142,summaryref2!M142,"")))))))))))</f>
        <v/>
      </c>
      <c r="AX85" s="1110" t="str">
        <f>IF('A-80 DirEntInv'!AX84&lt;&gt;"",'A-80 DirEntInv'!AX84,IF(AK85=summaryref2!B16,summaryref2!N16,IF(Summary!AK85=summaryref2!B30,summaryref2!N30,IF(AK85=summaryref2!B44,summaryref2!N44,IF(AK85=summaryref2!B58,summaryref2!N58,IF(AK85=summaryref2!B72,summaryref2!N72,IF(AK85=summaryref2!B86,summaryref2!N86,IF(AK85=summaryref2!B100,summaryref2!N100,IF(AK85=summaryref2!B114,summaryref2!N114,IF(AK85=summaryref2!B128,summaryref2!N128,IF(AK85=summaryref2!B142,summaryref2!N142,"")))))))))))</f>
        <v/>
      </c>
      <c r="AY85" s="1110" t="str">
        <f>IF('A-80 DirEntInv'!AY84&lt;&gt;"",'A-80 DirEntInv'!AY84,IF(AK85=summaryref2!B16,summaryref2!O16,IF(Summary!AK85=summaryref2!B30,summaryref2!O30,IF(AK85=summaryref2!B44,summaryref2!O44,IF(AK85=summaryref2!B58,summaryref2!O58,IF(AK85=summaryref2!B72,summaryref2!O72,IF(AK85=summaryref2!B86,summaryref2!O86,IF(AK85=summaryref2!B100,summaryref2!O100,IF(AK85=summaryref2!B114,summaryref2!O114,IF(AK85=summaryref2!B128,summaryref2!O128,IF(AK85=summaryref2!B142,summaryref2!O142,"")))))))))))</f>
        <v/>
      </c>
      <c r="AZ85" s="1110" t="str">
        <f>IF('A-80 DirEntInv'!AZ84&lt;&gt;"",'A-80 DirEntInv'!AZ84,IF(AK85=summaryref2!B16,summaryref2!P16,IF(Summary!AK85=summaryref2!B30,summaryref2!P30,IF(AK85=summaryref2!B44,summaryref2!P44,IF(AK85=summaryref2!B58,summaryref2!P58,IF(AK85=summaryref2!B72,summaryref2!P72,IF(AK85=summaryref2!B86,summaryref2!P86,IF(AK85=summaryref2!B100,summaryref2!P100,IF(AK85=summaryref2!B114,summaryref2!P114,IF(AK85=summaryref2!B128,summaryref2!P128,IF(AK85=summaryref2!B142,summaryref2!P142,"")))))))))))</f>
        <v/>
      </c>
      <c r="BA85" s="1110" t="str">
        <f>IF('A-80 DirEntInv'!BA84&lt;&gt;"",'A-80 DirEntInv'!BA84,IF(AK85=summaryref2!B16,summaryref2!Q16,IF(Summary!AK85=summaryref2!B30,summaryref2!Q30,IF(AK85=summaryref2!B44,summaryref2!Q44,IF(AK85=summaryref2!B58,summaryref2!Q58,IF(AK85=summaryref2!B72,summaryref2!Q72,IF(AK85=summaryref2!B86,summaryref2!Q86,IF(AK85=summaryref2!B100,summaryref2!Q100,IF(AK85=summaryref2!B114,summaryref2!Q114,IF(AK85=summaryref2!B128,summaryref2!Q128,IF(AK85=summaryref2!B142,summaryref2!Q142,"")))))))))))</f>
        <v/>
      </c>
      <c r="BB85" s="1110" t="str">
        <f>IF('A-80 DirEntInv'!BB84&lt;&gt;"",'A-80 DirEntInv'!BB84,IF(AK85=summaryref2!B16,summaryref2!R16,IF(Summary!AK85=summaryref2!B30,summaryref2!R30,IF(AK85=summaryref2!B44,summaryref2!R44,IF(AK85=summaryref2!B58,summaryref2!R58,IF(AK85=summaryref2!B72,summaryref2!R72,IF(AK85=summaryref2!B86,summaryref2!R86,IF(AK85=summaryref2!B100,summaryref2!R100,IF(AK85=summaryref2!B114,summaryref2!R114,IF(AK85=summaryref2!B128,summaryref2!R128,IF(AK85=summaryref2!B142,summaryref2!R142,"")))))))))))</f>
        <v/>
      </c>
      <c r="BC85" s="1110" t="str">
        <f>IF('A-80 DirEntInv'!BC84&lt;&gt;0,'A-80 DirEntInv'!BC84,IF(AK85=summaryref2!B16,summaryref2!S16,IF(Summary!AK85=summaryref2!B30,summaryref2!S30,IF(AK85=summaryref2!B44,summaryref2!S44,IF(AK85=summaryref2!B58,summaryref2!S58,IF(AK85=summaryref2!B72,summaryref2!S72,IF(AK85=summaryref2!B86,summaryref2!S86,IF(AK85=summaryref2!B100,summaryref2!S100,IF(AK85=summaryref2!B114,summaryref2!S114,IF(AK85=summaryref2!B128,summaryref2!S128,IF(AK85=summaryref2!B142,summaryref2!S142,"")))))))))))</f>
        <v/>
      </c>
      <c r="BD85" s="1111" t="str">
        <f>IF('A-80 DirEntInv'!BD84&lt;&gt;"",'A-80 DirEntInv'!BD84,IF(AK85=summaryref2!B16,summaryref2!T16,IF(Summary!AK85=summaryref2!B30,summaryref2!T30,IF(AK85=summaryref2!B44,summaryref2!T44,IF(AK85=summaryref2!B58,summaryref2!T58,IF(AK85=summaryref2!B72,summaryref2!T72,IF(AK85=summaryref2!B86,summaryref2!T86,IF(AK85=summaryref2!B100,summaryref2!T100,IF(AK85=summaryref2!B114,summaryref2!T114,IF(AK85=summaryref2!B128,summaryref2!T128,IF(AK85=summaryref2!B142,summaryref2!T142,"")))))))))))</f>
        <v/>
      </c>
      <c r="BE85" s="1184" t="str">
        <f>IF('A-80 DirEntInv'!BE84&lt;&gt;"",'A-80 DirEntInv'!BE84,IF(AK85=summaryref2!B16,summaryref2!U16,IF(Summary!AK85=summaryref2!B30,summaryref2!U30,IF(AK85=summaryref2!B44,summaryref2!U44,IF(AK85=summaryref2!B58,summaryref2!U58,IF(AK85=summaryref2!B72,summaryref2!U72,IF(AK85=summaryref2!B86,summaryref2!U86,IF(AK85=summaryref2!B100,summaryref2!U100,IF(AK85=summaryref2!B114,summaryref2!U114,IF(AK85=summaryref2!B128,summaryref2!U128,IF(AK85=summaryref2!B142,summaryref2!U142,"")))))))))))</f>
        <v/>
      </c>
      <c r="BF85" s="1432"/>
      <c r="BG85" s="1432"/>
      <c r="BJ85" s="1041" t="str">
        <f>Codes!$C$166</f>
        <v>LR - Light Rail (PT)</v>
      </c>
      <c r="BK85" s="1042" t="str">
        <f>Valid!$B$84</f>
        <v>Half Grand Union</v>
      </c>
      <c r="BL85" s="1375" t="str">
        <f>IF('A-80 DirEntInv'!BL84&lt;&gt;"",'A-80 DirEntInv'!BL84,IF(BJ85=summaryref2!X16,summaryref2!Z16,IF(BJ85=summaryref2!X23,summaryref2!Z23,IF(BJ85=summaryref2!X30,summaryref2!Z30,IF(BJ85=summaryref2!X37,summaryref2!Z37,IF(BJ85=summaryref2!X44,summaryref2!Z44,IF(BJ85=summaryref2!X51,summaryref2!Z51,IF(BJ85=summaryref2!X58,summaryref2!Z58,IF(BJ85=summaryref2!X65,summaryref2!Z65,IF(BJ85=summaryref2!X72,summaryref2!Z72,IF(BJ85=summaryref2!X79,summaryref2!Z79,"")))))))))))</f>
        <v/>
      </c>
      <c r="BM85" s="1042" t="str">
        <f>VLOOKUP(BK85,Valid!$B$80:$C$86,2,FALSE)</f>
        <v>Each</v>
      </c>
      <c r="BN85" s="1209" t="str">
        <f>IF('A-80 DirEntInv'!BN84&lt;&gt;"",'A-80 DirEntInv'!BN84,IF(BJ85=summaryref2!X16,summaryref2!AB16,IF(BJ85=summaryref2!X23,summaryref2!AB23,IF(BJ85=summaryref2!X30,summaryref2!AB30,IF(BJ85=summaryref2!X37,summaryref2!AB37,IF(BJ85=summaryref2!X44,summaryref2!AB44,IF(BJ85=summaryref2!X51,summaryref2!AB51,IF(BJ85=summaryref2!X58,summaryref2!AB58,IF(BJ85=summaryref2!X65,summaryref2!AB65,IF(BJ85=summaryref2!X72,summaryref2!AB72,IF(BJ85=summaryref2!X79,summaryref2!AB79,"")))))))))))</f>
        <v/>
      </c>
      <c r="BO85" s="1116" t="str">
        <f>IF('A-80 DirEntInv'!BO84&lt;&gt;"",'A-80 DirEntInv'!BO84,IF(BJ85=summaryref2!X16,summaryref2!AC16,IF(BJ85=summaryref2!X23,summaryref2!AC23,IF(BJ85=summaryref2!X30,summaryref2!AC30,IF(BJ85=summaryref2!X37,summaryref2!AC37,IF(BJ85=summaryref2!X44,summaryref2!AC44,IF(BJ85=summaryref2!X51,summaryref2!AC51,IF(BJ85=summaryref2!X58,summaryref2!AC58,IF(BJ85=summaryref2!X65,summaryref2!AC65,IF(BJ85=summaryref2!X72,summaryref2!AC72,IF(BJ85=summaryref2!X79,summaryref2!AC79,"")))))))))))</f>
        <v/>
      </c>
      <c r="BP85" s="1384" t="str">
        <f>IF('A-80 DirEntInv'!BP84&lt;&gt;"",'A-80 DirEntInv'!BP84,IF(BJ85=summaryref2!X16,summaryref2!AD16,IF(BJ85=summaryref2!X23,summaryref2!AD23,IF(BJ85=summaryref2!X30,summaryref2!AD30,IF(BJ85=summaryref2!X37,summaryref2!AD37,IF(BJ85=summaryref2!X44,summaryref2!AD44,IF(BJ85=summaryref2!X51,summaryref2!AD51,IF(BJ85=summaryref2!X58,summaryref2!AD58,IF(BJ85=summaryref2!X65,summaryref2!AD65,IF(BJ85=summaryref2!X72,summaryref2!AD72,IF(BJ85=summaryref2!X79,summaryref2!AD79,"")))))))))))</f>
        <v/>
      </c>
      <c r="BS85" s="1472" t="str">
        <f ca="1">IF('A-80 DirEntInv'!BU84&lt;&gt;"",'A-80 DirEntInv'!BU84,IF(INDIRECT(ADDRESS(SumRef!DK91,SumRef!DK$16,,,SumRef!$E$6))="","",INDIRECT(ADDRESS(SumRef!DK91,SumRef!DK$16,,,SumRef!$E$6))))</f>
        <v/>
      </c>
      <c r="BT85" s="1458" t="str">
        <f ca="1">IF('A-80 DirEntInv'!BV84&lt;&gt;"",'A-80 DirEntInv'!BV84,IF(INDIRECT(ADDRESS(SumRef!DL91,SumRef!DL$16,,,SumRef!$E$6))="","",INDIRECT(ADDRESS(SumRef!DL91,SumRef!DL$16,,,SumRef!$E$6))))</f>
        <v/>
      </c>
      <c r="BU85" s="1177" t="str">
        <f ca="1">IF('A-80 DirEntInv'!BW84&lt;&gt;"",'A-80 DirEntInv'!BW84,IF(INDIRECT(ADDRESS(SumRef!DM91,SumRef!DM$16,,,SumRef!$E$6))="","",INDIRECT(ADDRESS(SumRef!DM91,SumRef!DM$16,,,SumRef!$E$6))))</f>
        <v/>
      </c>
      <c r="BV85" s="1460" t="str">
        <f ca="1">IF('A-80 DirEntInv'!BX84&lt;&gt;"",'A-80 DirEntInv'!BX84,IF(INDIRECT(ADDRESS(SumRef!DN91,SumRef!DN$16,,,SumRef!$E$6))="","",INDIRECT(ADDRESS(SumRef!DN91,SumRef!DN$16,,,SumRef!$E$6))))</f>
        <v/>
      </c>
      <c r="BW85" s="1460" t="str">
        <f ca="1">IF('A-80 DirEntInv'!BY84&lt;&gt;"",'A-80 DirEntInv'!BY84,IF(INDIRECT(ADDRESS(SumRef!DO91,SumRef!DO$16,,,SumRef!$E$6))="","",INDIRECT(ADDRESS(SumRef!DO91,SumRef!DO$16,,,SumRef!$E$6))))</f>
        <v/>
      </c>
      <c r="BX85" s="1116" t="str">
        <f ca="1">IF('A-80 DirEntInv'!BZ84&lt;&gt;"",'A-80 DirEntInv'!BZ84,IF(INDIRECT(ADDRESS(SumRef!DP91,SumRef!DP$16,,,SumRef!$E$6))="","",INDIRECT(ADDRESS(SumRef!DP91,SumRef!DP$16,,,SumRef!$E$6))))</f>
        <v/>
      </c>
      <c r="BY85" s="1461" t="str">
        <f ca="1">IF('A-80 DirEntInv'!CA84&lt;&gt;"",'A-80 DirEntInv'!CA84,IF(INDIRECT(ADDRESS(SumRef!DQ91,SumRef!DQ$16,,,SumRef!$E$6))="","",INDIRECT(ADDRESS(SumRef!DQ91,SumRef!DQ$16,,,SumRef!$E$6))))</f>
        <v/>
      </c>
      <c r="BZ85" s="1460" t="str">
        <f ca="1">IF('A-80 DirEntInv'!CB84&lt;&gt;"",'A-80 DirEntInv'!CB84,IF(INDIRECT(ADDRESS(SumRef!DR91,SumRef!DR$16,,,SumRef!$E$6))="","",INDIRECT(ADDRESS(SumRef!DR91,SumRef!DR$16,,,SumRef!$E$6))))</f>
        <v/>
      </c>
      <c r="CA85" s="1462" t="str">
        <f ca="1">IF('A-80 DirEntInv'!CC84&lt;&gt;"",'A-80 DirEntInv'!CC84,IF(INDIRECT(ADDRESS(SumRef!DS91,SumRef!DS$16,,,SumRef!$E$6))="","",INDIRECT(ADDRESS(SumRef!DS91,SumRef!DS$16,,,SumRef!$E$6))))</f>
        <v/>
      </c>
      <c r="CD85" s="1160" t="str">
        <f ca="1">IF('A-80 DirEntInv'!CF84&lt;&gt;"",'A-80 DirEntInv'!CF84,IF(INDIRECT(ADDRESS(SumRef!DV91,SumRef!DV$16,,,SumRef!$E$7))="","",INDIRECT(ADDRESS(SumRef!DV91,SumRef!DV$16,,,SumRef!$E$7))))</f>
        <v/>
      </c>
      <c r="CE85" s="1167" t="str">
        <f ca="1">IF('A-80 DirEntInv'!CG84&lt;&gt;"",'A-80 DirEntInv'!CG84,IF(INDIRECT(ADDRESS(SumRef!DW91,SumRef!DW$16,,,SumRef!$E$7))="","",INDIRECT(ADDRESS(SumRef!DW91,SumRef!DW$16,,,SumRef!$E$7))))</f>
        <v/>
      </c>
      <c r="CF85" s="1167" t="str">
        <f ca="1">IF('A-80 DirEntInv'!CH84&lt;&gt;"",'A-80 DirEntInv'!CH84,IF(INDIRECT(ADDRESS(SumRef!DX91,SumRef!DX$16,,,SumRef!$E$7))="","",INDIRECT(ADDRESS(SumRef!DX91,SumRef!DX$16,,,SumRef!$E$7))))</f>
        <v/>
      </c>
      <c r="CG85" s="1167" t="str">
        <f ca="1">IF('A-80 DirEntInv'!CI84&lt;&gt;"",'A-80 DirEntInv'!CI84,IF(INDIRECT(ADDRESS(SumRef!DY91,SumRef!DY$16,,,SumRef!$E$7))="","",INDIRECT(ADDRESS(SumRef!DY91,SumRef!DY$16,,,SumRef!$E$7))))</f>
        <v/>
      </c>
      <c r="CH85" s="1167" t="str">
        <f ca="1">IF('A-80 DirEntInv'!CJ84&lt;&gt;"",'A-80 DirEntInv'!CJ84,IF(INDIRECT(ADDRESS(SumRef!DZ91,SumRef!DZ$16,,,SumRef!$E$7))="","",INDIRECT(ADDRESS(SumRef!DZ91,SumRef!DZ$16,,,SumRef!$E$7))))</f>
        <v/>
      </c>
      <c r="CI85" s="1167" t="str">
        <f ca="1">IF('A-80 DirEntInv'!CK84&lt;&gt;"",'A-80 DirEntInv'!CK84,IF(INDIRECT(ADDRESS(SumRef!EA91,SumRef!EA$16,,,SumRef!$E$7))="","",INDIRECT(ADDRESS(SumRef!EA91,SumRef!EA$16,,,SumRef!$E$7))))</f>
        <v/>
      </c>
      <c r="CJ85" s="1114" t="str">
        <f ca="1">IF('A-80 DirEntInv'!CL84&lt;&gt;"",'A-80 DirEntInv'!CL84,IF(INDIRECT(ADDRESS(SumRef!EB91,SumRef!EB$16,,,SumRef!$E$7))="","",INDIRECT(ADDRESS(SumRef!EB91,SumRef!EB$16,,,SumRef!$E$7))))</f>
        <v/>
      </c>
      <c r="CK85" s="1114" t="str">
        <f ca="1">IF('A-80 DirEntInv'!CM84&lt;&gt;"",'A-80 DirEntInv'!CM84,IF(INDIRECT(ADDRESS(SumRef!EC91,SumRef!EC$16,,,SumRef!$E$7))="","",INDIRECT(ADDRESS(SumRef!EC91,SumRef!EC$16,,,SumRef!$E$7))))</f>
        <v/>
      </c>
      <c r="CL85" s="1113" t="str">
        <f ca="1">IF('A-80 DirEntInv'!CO84&lt;&gt;"",'A-80 DirEntInv'!CO84,IF(INDIRECT(ADDRESS(SumRef!ED91,SumRef!ED$16,,,SumRef!$E$7))="","",INDIRECT(ADDRESS(SumRef!ED91,SumRef!ED$16,,,SumRef!$E$7))))</f>
        <v/>
      </c>
      <c r="CM85" s="1114" t="str">
        <f ca="1">IF('A-80 DirEntInv'!CP84&lt;&gt;"",'A-80 DirEntInv'!CP84,IF(INDIRECT(ADDRESS(SumRef!EE91,SumRef!EE$16,,,SumRef!$E$7))="","",INDIRECT(ADDRESS(SumRef!EE91,SumRef!EE$16,,,SumRef!$E$7))))</f>
        <v/>
      </c>
      <c r="CN85" s="1114" t="str">
        <f ca="1">IF('A-80 DirEntInv'!CQ84&lt;&gt;"",'A-80 DirEntInv'!CQ84,IF(INDIRECT(ADDRESS(SumRef!EF91,SumRef!EF$16,,,SumRef!$E$7))="","",INDIRECT(ADDRESS(SumRef!EF91,SumRef!EF$16,,,SumRef!$E$7))))</f>
        <v/>
      </c>
      <c r="CO85" s="1113" t="str">
        <f ca="1">IF('A-80 DirEntInv'!CR84&lt;&gt;"",'A-80 DirEntInv'!CR84,IF(INDIRECT(ADDRESS(SumRef!EG91,SumRef!EG$16,,,SumRef!$E$7))="","",INDIRECT(ADDRESS(SumRef!EG91,SumRef!EG$16,,,SumRef!$E$7))))</f>
        <v/>
      </c>
      <c r="CP85" s="1114" t="str">
        <f ca="1">IF('A-80 DirEntInv'!CS84&lt;&gt;"",'A-80 DirEntInv'!CS84,IF(INDIRECT(ADDRESS(SumRef!EH91,SumRef!EH$16,,,SumRef!$E$7))="","",INDIRECT(ADDRESS(SumRef!EH91,SumRef!EH$16,,,SumRef!$E$7))))</f>
        <v/>
      </c>
      <c r="CQ85" s="1346" t="str">
        <f ca="1">IF('A-80 DirEntInv'!CT84&lt;&gt;"",'A-80 DirEntInv'!CT84,IF(INDIRECT(ADDRESS(SumRef!EI91,SumRef!EI$16,,,SumRef!$E$7))="","",INDIRECT(ADDRESS(SumRef!EI91,SumRef!EI$16,,,SumRef!$E$7))))</f>
        <v/>
      </c>
      <c r="CR85" s="1113" t="str">
        <f ca="1">IF('A-80 DirEntInv'!CU84&lt;&gt;"",'A-80 DirEntInv'!CU84,IF(INDIRECT(ADDRESS(SumRef!EJ91,SumRef!EJ$16,,,SumRef!$E$7))="","",INDIRECT(ADDRESS(SumRef!EJ91,SumRef!EJ$16,,,SumRef!$E$7))))</f>
        <v/>
      </c>
      <c r="CS85" s="1346" t="str">
        <f ca="1">IF('A-80 DirEntInv'!CV84&lt;&gt;"",'A-80 DirEntInv'!CV84,IF(INDIRECT(ADDRESS(SumRef!EM91,SumRef!EM$16,,,SumRef!$E$7))="","",INDIRECT(ADDRESS(SumRef!EM91,SumRef!EM$16,,,SumRef!$E$7))))</f>
        <v/>
      </c>
      <c r="CT85" s="1113" t="str">
        <f ca="1">IF('A-80 DirEntInv'!CW84&lt;&gt;"",'A-80 DirEntInv'!CW84,IF(INDIRECT(ADDRESS(SumRef!EN91,SumRef!EN$16,,,SumRef!$E$7))="","",INDIRECT(ADDRESS(SumRef!EN91,SumRef!EN$16,,,SumRef!$E$7))))</f>
        <v/>
      </c>
      <c r="CU85" s="1113" t="str">
        <f ca="1">IF('A-80 DirEntInv'!CX84&lt;&gt;"",'A-80 DirEntInv'!CX84,IF(INDIRECT(ADDRESS(SumRef!EO91,SumRef!EO$16,,,SumRef!$E$7))="","",INDIRECT(ADDRESS(SumRef!EO91,SumRef!EO$16,,,SumRef!$E$7))))</f>
        <v/>
      </c>
      <c r="CV85" s="1113" t="str">
        <f ca="1">IF('A-80 DirEntInv'!CY84&lt;&gt;"",'A-80 DirEntInv'!CY84,IF(INDIRECT(ADDRESS(SumRef!EP91,SumRef!EP$16,,,SumRef!$E$7))="","",INDIRECT(ADDRESS(SumRef!EP91,SumRef!EP$16,,,SumRef!$E$7))))</f>
        <v/>
      </c>
      <c r="CW85" s="1114" t="str">
        <f ca="1">IF('A-80 DirEntInv'!CZ84&lt;&gt;"",'A-80 DirEntInv'!CZ84,IF(INDIRECT(ADDRESS(SumRef!ES91,SumRef!ES$16,,,SumRef!$E$7))="","",INDIRECT(ADDRESS(SumRef!ES91,SumRef!ES$16,,,SumRef!$E$7))))</f>
        <v/>
      </c>
      <c r="CX85" s="1167" t="str">
        <f ca="1">IF('A-80 DirEntInv'!DA84&lt;&gt;"",'A-80 DirEntInv'!DA84,IF(INDIRECT(ADDRESS(SumRef!ET91,SumRef!ET$16,,,SumRef!$E$7))="","",INDIRECT(ADDRESS(SumRef!ET91,SumRef!ET$16,,,SumRef!$E$7))))</f>
        <v/>
      </c>
      <c r="CY85" s="1167" t="str">
        <f ca="1">IF('A-80 DirEntInv'!DB84&lt;&gt;"",'A-80 DirEntInv'!DB84,IF(INDIRECT(ADDRESS(SumRef!EU91,SumRef!EU$16,,,SumRef!$E$7))="","",INDIRECT(ADDRESS(SumRef!EU91,SumRef!EU$16,,,SumRef!$E$7))))</f>
        <v/>
      </c>
      <c r="CZ85" s="1167" t="b">
        <f ca="1">IF('A-80 DirEntInv'!DC84&lt;&gt;"",'A-80 DirEntInv'!DC84,IF(INDIRECT(ADDRESS(SumRef!EV91,SumRef!EV$16,,,SumRef!$E$7))="","",INDIRECT(ADDRESS(SumRef!EV91,SumRef!EV$16,,,SumRef!$E$7))))</f>
        <v>0</v>
      </c>
      <c r="DA85" s="1373" t="str">
        <f ca="1">IF('A-80 DirEntInv'!DD84&lt;&gt;"",'A-80 DirEntInv'!DD84,IF(INDIRECT(ADDRESS(SumRef!EW91,SumRef!EW$16,,,SumRef!$E$7))="","",INDIRECT(ADDRESS(SumRef!EW91,SumRef!EW$16,,,SumRef!$E$7))))</f>
        <v/>
      </c>
      <c r="DB85" s="1373" t="b">
        <f ca="1">IF('A-80 DirEntInv'!DE84&lt;&gt;"",'A-80 DirEntInv'!DE84,IF(INDIRECT(ADDRESS(SumRef!EX91,SumRef!EX$16,,,SumRef!$E$7))="","",INDIRECT(ADDRESS(SumRef!EX91,SumRef!EX$16,,,SumRef!$E$7))))</f>
        <v>0</v>
      </c>
      <c r="DC85" s="1114" t="b">
        <f ca="1">IF('A-80 DirEntInv'!DF84&lt;&gt;"",'A-80 DirEntInv'!DF84,IF(INDIRECT(ADDRESS(SumRef!EY91,SumRef!EY$16,,,SumRef!$E$7))="","",INDIRECT(ADDRESS(SumRef!EY91,SumRef!EY$16,,,SumRef!$E$7))))</f>
        <v>0</v>
      </c>
      <c r="DD85" s="1115" t="str">
        <f ca="1">IF('A-80 DirEntInv'!DG84&lt;&gt;"",'A-80 DirEntInv'!DG84,IF(INDIRECT(ADDRESS(SumRef!EZ91,SumRef!EZ$16,,,SumRef!$E$7))="","",INDIRECT(ADDRESS(SumRef!EZ91,SumRef!EZ$16,,,SumRef!$E$7))))</f>
        <v/>
      </c>
    </row>
    <row r="86" spans="1:108" s="588" customFormat="1" x14ac:dyDescent="0.2">
      <c r="A86" s="589">
        <f t="shared" si="1"/>
        <v>76</v>
      </c>
      <c r="B86" s="1155" t="str">
        <f ca="1">IF('A-80 DirEntInv'!B85&lt;&gt;"",'A-80 DirEntInv'!B85,IF(INDIRECT(ADDRESS(SumRef!AQ92,SumRef!AQ$16,,,SumRef!$B$7))="","",INDIRECT(ADDRESS(SumRef!AQ92,SumRef!AQ$16,,,SumRef!$B$7))))</f>
        <v/>
      </c>
      <c r="C86" s="1097" t="str">
        <f ca="1">IF('A-80 DirEntInv'!C85&lt;&gt;"",'A-80 DirEntInv'!C85,IF(INDIRECT(ADDRESS(SumRef!AR92,SumRef!AR$16,,,SumRef!$B$7))="","",INDIRECT(ADDRESS(SumRef!AR92,SumRef!AR$16,,,SumRef!$B$7))))</f>
        <v/>
      </c>
      <c r="D86" s="1097" t="str">
        <f ca="1">IF('A-80 DirEntInv'!D85&lt;&gt;"",'A-80 DirEntInv'!D85,IF(INDIRECT(ADDRESS(SumRef!AS92,SumRef!AS$16,,,SumRef!$B$7))="","",INDIRECT(ADDRESS(SumRef!AS92,SumRef!AS$16,,,SumRef!$B$7))))</f>
        <v/>
      </c>
      <c r="E86" s="1097" t="str">
        <f ca="1">IF('A-80 DirEntInv'!E85&lt;&gt;"",'A-80 DirEntInv'!E85,IF(INDIRECT(ADDRESS(SumRef!AT92,SumRef!AT$16,,,SumRef!$B$7))="","",INDIRECT(ADDRESS(SumRef!AT92,SumRef!AT$16,,,SumRef!$B$7))))</f>
        <v/>
      </c>
      <c r="F86" s="1097" t="str">
        <f ca="1">IF('A-80 DirEntInv'!F85&lt;&gt;"",'A-80 DirEntInv'!F85,IF(INDIRECT(ADDRESS(SumRef!AU92,SumRef!AU$16,,,SumRef!$B$7))="","",INDIRECT(ADDRESS(SumRef!AU92,SumRef!AU$16,,,SumRef!$B$7))))</f>
        <v/>
      </c>
      <c r="G86" s="1158" t="str">
        <f ca="1">IF('A-80 DirEntInv'!G85&lt;&gt;"",'A-80 DirEntInv'!G85,IF(INDIRECT(ADDRESS(SumRef!AV92,SumRef!AV$16,,,SumRef!$B$7))="","",INDIRECT(ADDRESS(SumRef!AV92,SumRef!AV$16,,,SumRef!$B$7))))</f>
        <v/>
      </c>
      <c r="H86" s="1097" t="str">
        <f ca="1">IF('A-80 DirEntInv'!H85&lt;&gt;"",'A-80 DirEntInv'!H85,IF(INDIRECT(ADDRESS(SumRef!AW92,SumRef!AW$16,,,SumRef!$B$7))="","",INDIRECT(ADDRESS(SumRef!AW92,SumRef!AW$16,,,SumRef!$B$7))))</f>
        <v/>
      </c>
      <c r="I86" s="1097" t="str">
        <f ca="1">IF('A-80 DirEntInv'!I85&lt;&gt;"",'A-80 DirEntInv'!I85,IF(INDIRECT(ADDRESS(SumRef!AX92,SumRef!AX$16,,,SumRef!$B$7))="","",INDIRECT(ADDRESS(SumRef!AX92,SumRef!AX$16,,,SumRef!$B$7))))</f>
        <v/>
      </c>
      <c r="J86" s="1098" t="str">
        <f ca="1">IF('A-80 DirEntInv'!J85&lt;&gt;"",'A-80 DirEntInv'!J85,IF(INDIRECT(ADDRESS(SumRef!AY92,SumRef!AY$16,,,SumRef!$B$7))="","",INDIRECT(ADDRESS(SumRef!AY92,SumRef!AY$16,,,SumRef!$B$7))))</f>
        <v/>
      </c>
      <c r="K86" s="1099" t="str">
        <f ca="1">IF('A-80 DirEntInv'!K85&lt;&gt;"",'A-80 DirEntInv'!K85,IF(INDIRECT(ADDRESS(SumRef!AZ92,SumRef!AZ$16,,,SumRef!$B$7))="","",INDIRECT(ADDRESS(SumRef!AZ92,SumRef!AZ$16,,,SumRef!$B$7))))</f>
        <v/>
      </c>
      <c r="L86" s="1100" t="str">
        <f ca="1">IF('A-80 DirEntInv'!L85&lt;&gt;"",'A-80 DirEntInv'!L85,IF(INDIRECT(ADDRESS(SumRef!BA92,SumRef!BA$16,,,SumRef!$B$7))="","",INDIRECT(ADDRESS(SumRef!BA92,SumRef!BA$16,,,SumRef!$B$7))))</f>
        <v/>
      </c>
      <c r="M86" s="1101" t="str">
        <f ca="1">IF('A-80 DirEntInv'!M85&lt;&gt;"",'A-80 DirEntInv'!M85,IF(INDIRECT(ADDRESS(SumRef!BB92,SumRef!BB$16,,,SumRef!$B$7))="","",INDIRECT(ADDRESS(SumRef!BB92,SumRef!BB$16,,,SumRef!$B$7))))</f>
        <v/>
      </c>
      <c r="N86" s="1098" t="str">
        <f ca="1">IF('A-80 DirEntInv'!N85&lt;&gt;"",'A-80 DirEntInv'!N85,IF(INDIRECT(ADDRESS(SumRef!BC92,SumRef!BC$16,,,SumRef!$B$7))="","",INDIRECT(ADDRESS(SumRef!BC92,SumRef!BC$16,,,SumRef!$B$7))))</f>
        <v/>
      </c>
      <c r="O86" s="1102" t="str">
        <f ca="1">IF('A-80 DirEntInv'!O85&lt;&gt;"",'A-80 DirEntInv'!O85,IF(INDIRECT(ADDRESS(SumRef!BD92,SumRef!BD$16,,,SumRef!$B$7))="","",INDIRECT(ADDRESS(SumRef!BD92,SumRef!BD$16,,,SumRef!$B$7))))</f>
        <v/>
      </c>
      <c r="Q86" s="589"/>
      <c r="R86" s="1103" t="str">
        <f ca="1">IF('A-80 DirEntInv'!R85&lt;&gt;"",'A-80 DirEntInv'!R85,IF(INDIRECT(ADDRESS(SumRef!BH92,SumRef!BH$16,,,SumRef!$B$8))="","",INDIRECT(ADDRESS(SumRef!BH92,SumRef!BH$16,,,SumRef!$B$8))))</f>
        <v/>
      </c>
      <c r="S86" s="1104" t="str">
        <f ca="1">IF('A-80 DirEntInv'!S85&lt;&gt;"",'A-80 DirEntInv'!S85,IF(INDIRECT(ADDRESS(SumRef!BI92,SumRef!BI$16,,,SumRef!$B$8))="","",INDIRECT(ADDRESS(SumRef!BI92,SumRef!BI$16,,,SumRef!$B$8))))</f>
        <v/>
      </c>
      <c r="T86" s="1104" t="str">
        <f ca="1">IF('A-80 DirEntInv'!T85&lt;&gt;"",'A-80 DirEntInv'!T85,IF(INDIRECT(ADDRESS(SumRef!BJ92,SumRef!BJ$16,,,SumRef!$B$8))="","",INDIRECT(ADDRESS(SumRef!BJ92,SumRef!BJ$16,,,SumRef!$B$8))))</f>
        <v/>
      </c>
      <c r="U86" s="1104" t="str">
        <f ca="1">IF('A-80 DirEntInv'!U85&lt;&gt;"",'A-80 DirEntInv'!U85,IF(INDIRECT(ADDRESS(SumRef!BK92,SumRef!BK$16,,,SumRef!$B$8))="","",INDIRECT(ADDRESS(SumRef!BK92,SumRef!BK$16,,,SumRef!$B$8))))</f>
        <v/>
      </c>
      <c r="V86" s="1104" t="str">
        <f ca="1">IF('A-80 DirEntInv'!V85&lt;&gt;"",'A-80 DirEntInv'!V85,IF(INDIRECT(ADDRESS(SumRef!BL92,SumRef!BL$16,,,SumRef!$B$8))="","",INDIRECT(ADDRESS(SumRef!BL92,SumRef!BL$16,,,SumRef!$B$8))))</f>
        <v/>
      </c>
      <c r="W86" s="1354" t="str">
        <f ca="1">IF('A-80 DirEntInv'!W85&lt;&gt;"",'A-80 DirEntInv'!W85,IF(INDIRECT(ADDRESS(SumRef!BM92,SumRef!BM$16,,,SumRef!$B$8))="","",INDIRECT(ADDRESS(SumRef!BM92,SumRef!BM$16,,,SumRef!$B$8))))</f>
        <v/>
      </c>
      <c r="X86" s="1203" t="str">
        <f ca="1">IF('A-80 DirEntInv'!X85&lt;&gt;"",'A-80 DirEntInv'!X85,IF(INDIRECT(ADDRESS(SumRef!BN92,SumRef!BN$16,,,SumRef!$B$8))="","",INDIRECT(ADDRESS(SumRef!BN92,SumRef!BN$16,,,SumRef!$B$8))))</f>
        <v/>
      </c>
      <c r="Y86" s="1203" t="str">
        <f ca="1">IF('A-80 DirEntInv'!Y85&lt;&gt;"",'A-80 DirEntInv'!Y85,IF(INDIRECT(ADDRESS(SumRef!BO92,SumRef!BO$16,,,SumRef!$B$8))="","",INDIRECT(ADDRESS(SumRef!BO92,SumRef!BO$16,,,SumRef!$B$8))))</f>
        <v/>
      </c>
      <c r="Z86" s="1104" t="str">
        <f ca="1">IF('A-80 DirEntInv'!Z85&lt;&gt;"",'A-80 DirEntInv'!Z85,IF(INDIRECT(ADDRESS(SumRef!BP92,SumRef!BP$16,,,SumRef!$B$8))="","",INDIRECT(ADDRESS(SumRef!BP92,SumRef!BP$16,,,SumRef!$B$8))))</f>
        <v/>
      </c>
      <c r="AA86" s="1104" t="str">
        <f ca="1">IF('A-80 DirEntInv'!AA85&lt;&gt;"",'A-80 DirEntInv'!AA85,IF(INDIRECT(ADDRESS(SumRef!BQ92,SumRef!BQ$16,,,SumRef!$B$8))="","",INDIRECT(ADDRESS(SumRef!BQ92,SumRef!BQ$16,,,SumRef!$B$8))))</f>
        <v/>
      </c>
      <c r="AB86" s="1106" t="str">
        <f ca="1">IF('A-80 DirEntInv'!AB85&lt;&gt;"",'A-80 DirEntInv'!AB85,IF(INDIRECT(ADDRESS(SumRef!BR92,SumRef!BR$16,,,SumRef!$B$8))="","",INDIRECT(ADDRESS(SumRef!BR92,SumRef!BR$16,,,SumRef!$B$8))))</f>
        <v/>
      </c>
      <c r="AC86" s="1107" t="str">
        <f ca="1">IF('A-80 DirEntInv'!AC85&lt;&gt;"",'A-80 DirEntInv'!AC85,IF(INDIRECT(ADDRESS(SumRef!BS92,SumRef!BS$16,,,SumRef!$B$8))="","",INDIRECT(ADDRESS(SumRef!BS92,SumRef!BS$16,,,SumRef!$B$8))))</f>
        <v/>
      </c>
      <c r="AD86" s="1349" t="str">
        <f ca="1">IF('A-80 DirEntInv'!AD85&lt;&gt;"",'A-80 DirEntInv'!AD85,IF(INDIRECT(ADDRESS(SumRef!BT92,SumRef!BT$16,,,SumRef!$B$8))="","",INDIRECT(ADDRESS(SumRef!BT92,SumRef!BT$16,,,SumRef!$B$8))))</f>
        <v/>
      </c>
      <c r="AE86" s="1137" t="str">
        <f ca="1">IF('A-80 DirEntInv'!AE85&lt;&gt;"",'A-80 DirEntInv'!AE85,IF(INDIRECT(ADDRESS(SumRef!BU92,SumRef!BU$16,,,SumRef!$B$8))="","",INDIRECT(ADDRESS(SumRef!BU92,SumRef!BU$16,,,SumRef!$B$8))))</f>
        <v/>
      </c>
      <c r="AF86" s="1346" t="str">
        <f ca="1">IF('A-80 DirEntInv'!AF85&lt;&gt;"",'A-80 DirEntInv'!AF85,IF(INDIRECT(ADDRESS(SumRef!BV92,SumRef!BV$16,,,SumRef!$B$8))="","",INDIRECT(ADDRESS(SumRef!BV92,SumRef!BV$16,,,SumRef!$B$8))))</f>
        <v/>
      </c>
      <c r="AG86" s="1105" t="str">
        <f ca="1">IF('A-80 DirEntInv'!AG85&lt;&gt;"",'A-80 DirEntInv'!AG85,IF(INDIRECT(ADDRESS(SumRef!BW92,SumRef!BW$16,,,SumRef!$B$8))="","",INDIRECT(ADDRESS(SumRef!BW92,SumRef!BW$16,,,SumRef!$B$8))))</f>
        <v/>
      </c>
      <c r="AH86" s="1357" t="str">
        <f ca="1">IF('A-80 DirEntInv'!AH85&lt;&gt;"",'A-80 DirEntInv'!AH85,IF(INDIRECT(ADDRESS(SumRef!BX92,SumRef!BX$16,,,SumRef!$B$8))="","",INDIRECT(ADDRESS(SumRef!BX92,SumRef!BX$16,,,SumRef!$B$8))))</f>
        <v/>
      </c>
      <c r="AK86" s="1041" t="str">
        <f>Codes!$C$161</f>
        <v>CR - Commuter Rail (DO)</v>
      </c>
      <c r="AL86" s="1042" t="str">
        <f>Valid!$B$76</f>
        <v>Below-Grade/Retained Cut</v>
      </c>
      <c r="AM86" s="1108" t="str">
        <f>IF('A-80 DirEntInv'!AM85&lt;&gt;"",'A-80 DirEntInv'!AM85,IF(AK86=summaryref2!B17,summaryref2!D17,IF(Summary!AK86=summaryref2!B31,summaryref2!D31,IF(AK86=summaryref2!B45,summaryref2!D45,IF(AK86=summaryref2!B59,summaryref2!D59,IF(AK86=summaryref2!B73,summaryref2!D73,IF(AK86=summaryref2!B87,summaryref2!D87,IF(AK86=summaryref2!B101,summaryref2!D101,IF(AK86=summaryref2!B115,summaryref2!D115,IF(AK86=summaryref2!B129,summaryref2!D129,IF(AK86=summaryref2!B143,summaryref2!D143,"")))))))))))</f>
        <v/>
      </c>
      <c r="AN86" s="1109" t="str">
        <f ca="1">IF('A-80 DirEntInv'!AN85&lt;&gt;"",'A-80 DirEntInv'!AN85,IF(INDIRECT(ADDRESS(SumRef!CG179,SumRef!CG$16,,,SumRef!$C$7))="","",INDIRECT(ADDRESS(SumRef!CG179,SumRef!CG$16,,,SumRef!$C$7))))</f>
        <v>Linear Feet</v>
      </c>
      <c r="AO86" s="1108" t="str">
        <f>IF('A-80 DirEntInv'!AO85&lt;&gt;"",'A-80 DirEntInv'!AO85,IF(AK86=summaryref2!B17,summaryref2!F17,IF(Summary!AK86=summaryref2!B31,summaryref2!F31,IF(AK86=summaryref2!B45,summaryref2!F45,IF(AK86=summaryref2!B59,summaryref2!F59,IF(AK86=summaryref2!B73,summaryref2!F73,IF(AK86=summaryref2!B87,summaryref2!F87,IF(AK86=summaryref2!B101,summaryref2!F101,IF(AK86=summaryref2!B115,summaryref2!F115,IF(AK86=summaryref2!B129,summaryref2!F129,IF(AK86=summaryref2!B143,summaryref2!F143,"")))))))))))</f>
        <v/>
      </c>
      <c r="AP86" s="1109" t="str">
        <f ca="1">IF('A-80 DirEntInv'!AP85&lt;&gt;"",'A-80 DirEntInv'!AP85,IF(INDIRECT(ADDRESS(SumRef!#REF!,SumRef!#REF!,,,SumRef!$C$7))="","",INDIRECT(ADDRESS(SumRef!#REF!,SumRef!#REF!,,,SumRef!$C$7))))</f>
        <v>Track Feet</v>
      </c>
      <c r="AQ86" s="1147" t="str">
        <f>IF('A-80 DirEntInv'!AQ85&lt;&gt;"",'A-80 DirEntInv'!AQ85,IF(AK86=summaryref2!B17,summaryref2!G17,IF(Summary!AK86=summaryref2!B31,summaryref2!G31,IF(AK86=summaryref2!B45,summaryref2!G45,IF(AK86=summaryref2!B59,summaryref2!G59,IF(AK86=summaryref2!B73,summaryref2!G73,IF(AK86=summaryref2!B87,summaryref2!G87,IF(AK86=summaryref2!B101,summaryref2!G101,IF(AK86=summaryref2!B115,summaryref2!G115,IF(AK86=summaryref2!B129,summaryref2!G129,IF(AK86=summaryref2!B143,summaryref2!G143,"")))))))))))</f>
        <v/>
      </c>
      <c r="AR86" s="1147" t="str">
        <f>IF('A-80 DirEntInv'!AR85&lt;&gt;"",'A-80 DirEntInv'!AR85,IF(AK86=summaryref2!B17,summaryref2!H17,IF(Summary!AK86=summaryref2!B31,summaryref2!H31,IF(AK86=summaryref2!B45,summaryref2!H45,IF(AK86=summaryref2!B59,summaryref2!H59,IF(AK86=summaryref2!B73,summaryref2!H73,IF(AK86=summaryref2!B87,summaryref2!H87,IF(AK86=summaryref2!B101,summaryref2!H101,IF(AK86=summaryref2!B115,summaryref2!H115,IF(AK86=summaryref2!B129,summaryref2!H129,IF(AK86=summaryref2!B143,summaryref2!H143,"")))))))))))</f>
        <v/>
      </c>
      <c r="AS86" s="1110" t="str">
        <f>IF('A-80 DirEntInv'!AS85&lt;&gt;"",'A-80 DirEntInv'!AS85,IF(AK86=summaryref2!B17,summaryref2!I17,IF(Summary!AK86=summaryref2!B31,summaryref2!I31,IF(AK86=summaryref2!B45,summaryref2!I45,IF(AK86=summaryref2!B59,summaryref2!I59,IF(AK86=summaryref2!B73,summaryref2!I73,IF(AK86=summaryref2!B87,summaryref2!I87,IF(AK86=summaryref2!B101,summaryref2!I101,IF(AK86=summaryref2!B115,summaryref2!I115,IF(AK86=summaryref2!B129,summaryref2!I129,IF(AK86=summaryref2!B143,summaryref2!I143,"")))))))))))</f>
        <v/>
      </c>
      <c r="AT86" s="1110" t="str">
        <f>IF('A-80 DirEntInv'!AT85&lt;&gt;"",'A-80 DirEntInv'!AT85,IF(AK86=summaryref2!B17,summaryref2!J17,IF(Summary!AK86=summaryref2!B31,summaryref2!J31,IF(AK86=summaryref2!B45,summaryref2!J45,IF(AK86=summaryref2!B59,summaryref2!J59,IF(AK86=summaryref2!B73,summaryref2!J73,IF(AK86=summaryref2!B87,summaryref2!J87,IF(AK86=summaryref2!B101,summaryref2!J101,IF(AK86=summaryref2!B115,summaryref2!J115,IF(AK86=summaryref2!B129,summaryref2!J129,IF(AK86=summaryref2!B143,summaryref2!J143,"")))))))))))</f>
        <v/>
      </c>
      <c r="AU86" s="1110" t="str">
        <f>IF('A-80 DirEntInv'!AU85&lt;&gt;"",'A-80 DirEntInv'!AU85,IF(AK86=summaryref2!B17,summaryref2!K17,IF(Summary!AK86=summaryref2!B31,summaryref2!K31,IF(AK86=summaryref2!B45,summaryref2!K45,IF(AK86=summaryref2!B59,summaryref2!K59,IF(AK86=summaryref2!B73,summaryref2!K73,IF(AK86=summaryref2!B87,summaryref2!K87,IF(AK86=summaryref2!B101,summaryref2!K101,IF(AK86=summaryref2!B115,summaryref2!K115,IF(AK86=summaryref2!B129,summaryref2!K129,IF(AK86=summaryref2!B143,summaryref2!K143,"")))))))))))</f>
        <v/>
      </c>
      <c r="AV86" s="1110" t="str">
        <f>IF('A-80 DirEntInv'!AV85&lt;&gt;"",'A-80 DirEntInv'!AV85,IF(AK86=summaryref2!B17,summaryref2!L17,IF(Summary!AK86=summaryref2!B31,summaryref2!L31,IF(AK86=summaryref2!B45,summaryref2!L45,IF(AK86=summaryref2!B59,summaryref2!L59,IF(AK86=summaryref2!B73,summaryref2!L73,IF(AK86=summaryref2!B87,summaryref2!L87,IF(AK86=summaryref2!B101,summaryref2!L101,IF(AK86=summaryref2!B115,summaryref2!L115,IF(AK86=summaryref2!B129,summaryref2!L129,IF(AK86=summaryref2!B143,summaryref2!L143,"")))))))))))</f>
        <v/>
      </c>
      <c r="AW86" s="1110" t="str">
        <f>IF('A-80 DirEntInv'!AW85&lt;&gt;"",'A-80 DirEntInv'!AW85,IF(AK86=summaryref2!B17,summaryref2!M17,IF(Summary!AK86=summaryref2!B31,summaryref2!M31,IF(AK86=summaryref2!B45,summaryref2!M45,IF(AK86=summaryref2!B59,summaryref2!M59,IF(AK86=summaryref2!B73,summaryref2!M73,IF(AK86=summaryref2!B87,summaryref2!M87,IF(AK86=summaryref2!B101,summaryref2!M101,IF(AK86=summaryref2!B115,summaryref2!M115,IF(AK86=summaryref2!B129,summaryref2!M129,IF(AK86=summaryref2!B143,summaryref2!M143,"")))))))))))</f>
        <v/>
      </c>
      <c r="AX86" s="1110" t="str">
        <f>IF('A-80 DirEntInv'!AX85&lt;&gt;"",'A-80 DirEntInv'!AX85,IF(AK86=summaryref2!B17,summaryref2!N17,IF(Summary!AK86=summaryref2!B31,summaryref2!N31,IF(AK86=summaryref2!B45,summaryref2!N45,IF(AK86=summaryref2!B59,summaryref2!N59,IF(AK86=summaryref2!B73,summaryref2!N73,IF(AK86=summaryref2!B87,summaryref2!N87,IF(AK86=summaryref2!B101,summaryref2!N101,IF(AK86=summaryref2!B115,summaryref2!N115,IF(AK86=summaryref2!B129,summaryref2!N129,IF(AK86=summaryref2!B143,summaryref2!N143,"")))))))))))</f>
        <v/>
      </c>
      <c r="AY86" s="1110" t="str">
        <f>IF('A-80 DirEntInv'!AY85&lt;&gt;"",'A-80 DirEntInv'!AY85,IF(AK86=summaryref2!B17,summaryref2!O17,IF(Summary!AK86=summaryref2!B31,summaryref2!O31,IF(AK86=summaryref2!B45,summaryref2!O45,IF(AK86=summaryref2!B59,summaryref2!O59,IF(AK86=summaryref2!B73,summaryref2!O73,IF(AK86=summaryref2!B87,summaryref2!O87,IF(AK86=summaryref2!B101,summaryref2!O101,IF(AK86=summaryref2!B115,summaryref2!O115,IF(AK86=summaryref2!B129,summaryref2!O129,IF(AK86=summaryref2!B143,summaryref2!O143,"")))))))))))</f>
        <v/>
      </c>
      <c r="AZ86" s="1110" t="str">
        <f>IF('A-80 DirEntInv'!AZ85&lt;&gt;"",'A-80 DirEntInv'!AZ85,IF(AK86=summaryref2!B17,summaryref2!P17,IF(Summary!AK86=summaryref2!B31,summaryref2!P31,IF(AK86=summaryref2!B45,summaryref2!P45,IF(AK86=summaryref2!B59,summaryref2!P59,IF(AK86=summaryref2!B73,summaryref2!P73,IF(AK86=summaryref2!B87,summaryref2!P87,IF(AK86=summaryref2!B101,summaryref2!P101,IF(AK86=summaryref2!B115,summaryref2!P115,IF(AK86=summaryref2!B129,summaryref2!P129,IF(AK86=summaryref2!B143,summaryref2!P143,"")))))))))))</f>
        <v/>
      </c>
      <c r="BA86" s="1110" t="str">
        <f>IF('A-80 DirEntInv'!BA85&lt;&gt;"",'A-80 DirEntInv'!BA85,IF(AK86=summaryref2!B17,summaryref2!Q17,IF(Summary!AK86=summaryref2!B31,summaryref2!Q31,IF(AK86=summaryref2!B45,summaryref2!Q45,IF(AK86=summaryref2!B59,summaryref2!Q59,IF(AK86=summaryref2!B73,summaryref2!Q73,IF(AK86=summaryref2!B87,summaryref2!Q87,IF(AK86=summaryref2!B101,summaryref2!Q101,IF(AK86=summaryref2!B115,summaryref2!Q115,IF(AK86=summaryref2!B129,summaryref2!Q129,IF(AK86=summaryref2!B143,summaryref2!Q143,"")))))))))))</f>
        <v/>
      </c>
      <c r="BB86" s="1110" t="str">
        <f>IF('A-80 DirEntInv'!BB85&lt;&gt;"",'A-80 DirEntInv'!BB85,IF(AK86=summaryref2!B17,summaryref2!R17,IF(Summary!AK86=summaryref2!B31,summaryref2!R31,IF(AK86=summaryref2!B45,summaryref2!R45,IF(AK86=summaryref2!B59,summaryref2!R59,IF(AK86=summaryref2!B73,summaryref2!R73,IF(AK86=summaryref2!B87,summaryref2!R87,IF(AK86=summaryref2!B101,summaryref2!R101,IF(AK86=summaryref2!B115,summaryref2!R115,IF(AK86=summaryref2!B129,summaryref2!R129,IF(AK86=summaryref2!B143,summaryref2!R143,"")))))))))))</f>
        <v/>
      </c>
      <c r="BC86" s="1110" t="str">
        <f>IF('A-80 DirEntInv'!BC85&lt;&gt;0,'A-80 DirEntInv'!BC85,IF(AK86=summaryref2!B17,summaryref2!S17,IF(Summary!AK86=summaryref2!B31,summaryref2!S31,IF(AK86=summaryref2!B45,summaryref2!S45,IF(AK86=summaryref2!B59,summaryref2!S59,IF(AK86=summaryref2!B73,summaryref2!S73,IF(AK86=summaryref2!B87,summaryref2!S87,IF(AK86=summaryref2!B101,summaryref2!S101,IF(AK86=summaryref2!B115,summaryref2!S115,IF(AK86=summaryref2!B129,summaryref2!S129,IF(AK86=summaryref2!B143,summaryref2!S143,"")))))))))))</f>
        <v/>
      </c>
      <c r="BD86" s="1111" t="str">
        <f>IF('A-80 DirEntInv'!BD85&lt;&gt;"",'A-80 DirEntInv'!BD85,IF(AK86=summaryref2!B17,summaryref2!T17,IF(Summary!AK86=summaryref2!B31,summaryref2!T31,IF(AK86=summaryref2!B45,summaryref2!T45,IF(AK86=summaryref2!B59,summaryref2!T59,IF(AK86=summaryref2!B73,summaryref2!T73,IF(AK86=summaryref2!B87,summaryref2!T87,IF(AK86=summaryref2!B101,summaryref2!T101,IF(AK86=summaryref2!B115,summaryref2!T115,IF(AK86=summaryref2!B129,summaryref2!T129,IF(AK86=summaryref2!B143,summaryref2!T143,"")))))))))))</f>
        <v/>
      </c>
      <c r="BE86" s="1184" t="str">
        <f>IF('A-80 DirEntInv'!BE85&lt;&gt;"",'A-80 DirEntInv'!BE85,IF(AK86=summaryref2!B17,summaryref2!U17,IF(Summary!AK86=summaryref2!B31,summaryref2!U31,IF(AK86=summaryref2!B45,summaryref2!U45,IF(AK86=summaryref2!B59,summaryref2!U59,IF(AK86=summaryref2!B73,summaryref2!U73,IF(AK86=summaryref2!B87,summaryref2!U87,IF(AK86=summaryref2!B101,summaryref2!U101,IF(AK86=summaryref2!B115,summaryref2!U115,IF(AK86=summaryref2!B129,summaryref2!U129,IF(AK86=summaryref2!B143,summaryref2!U143,"")))))))))))</f>
        <v/>
      </c>
      <c r="BF86" s="1432"/>
      <c r="BG86" s="1432"/>
      <c r="BJ86" s="1041" t="str">
        <f>Codes!$C$166</f>
        <v>LR - Light Rail (PT)</v>
      </c>
      <c r="BK86" s="1042" t="str">
        <f>Valid!$B$85</f>
        <v>Single Turnout</v>
      </c>
      <c r="BL86" s="1375" t="str">
        <f>IF('A-80 DirEntInv'!BL85&lt;&gt;"",'A-80 DirEntInv'!BL85,IF(BJ86=summaryref2!X17,summaryref2!Z17,IF(BJ86=summaryref2!X24,summaryref2!Z24,IF(BJ86=summaryref2!X31,summaryref2!Z31,IF(BJ86=summaryref2!X38,summaryref2!Z38,IF(BJ86=summaryref2!X45,summaryref2!Z45,IF(BJ86=summaryref2!X52,summaryref2!Z52,IF(BJ86=summaryref2!X59,summaryref2!Z59,IF(BJ86=summaryref2!X66,summaryref2!Z66,IF(BJ86=summaryref2!X73,summaryref2!Z73,IF(BJ86=summaryref2!X80,summaryref2!Z80,"")))))))))))</f>
        <v/>
      </c>
      <c r="BM86" s="1042" t="str">
        <f>VLOOKUP(BK86,Valid!$B$80:$C$86,2,FALSE)</f>
        <v>Each</v>
      </c>
      <c r="BN86" s="1209" t="str">
        <f>IF('A-80 DirEntInv'!BN85&lt;&gt;"",'A-80 DirEntInv'!BN85,IF(BJ86=summaryref2!X17,summaryref2!AB17,IF(BJ86=summaryref2!X24,summaryref2!AB24,IF(BJ86=summaryref2!X31,summaryref2!AB31,IF(BJ86=summaryref2!X38,summaryref2!AB38,IF(BJ86=summaryref2!X45,summaryref2!AB45,IF(BJ86=summaryref2!X52,summaryref2!AB52,IF(BJ86=summaryref2!X59,summaryref2!AB59,IF(BJ86=summaryref2!X66,summaryref2!AB66,IF(BJ86=summaryref2!X73,summaryref2!AB73,IF(BJ86=summaryref2!X80,summaryref2!AB80,"")))))))))))</f>
        <v/>
      </c>
      <c r="BO86" s="1116" t="str">
        <f>IF('A-80 DirEntInv'!BO85&lt;&gt;"",'A-80 DirEntInv'!BO85,IF(BJ86=summaryref2!X17,summaryref2!AC17,IF(BJ86=summaryref2!X24,summaryref2!AC24,IF(BJ86=summaryref2!X31,summaryref2!AC31,IF(BJ86=summaryref2!X38,summaryref2!AC38,IF(BJ86=summaryref2!X45,summaryref2!AC45,IF(BJ86=summaryref2!X52,summaryref2!AC52,IF(BJ86=summaryref2!X59,summaryref2!AC59,IF(BJ86=summaryref2!X66,summaryref2!AC66,IF(BJ86=summaryref2!X73,summaryref2!AC73,IF(BJ86=summaryref2!X80,summaryref2!AC80,"")))))))))))</f>
        <v/>
      </c>
      <c r="BP86" s="1384" t="str">
        <f>IF('A-80 DirEntInv'!BP85&lt;&gt;"",'A-80 DirEntInv'!BP85,IF(BJ86=summaryref2!X17,summaryref2!AD17,IF(BJ86=summaryref2!X24,summaryref2!AD24,IF(BJ86=summaryref2!X31,summaryref2!AD31,IF(BJ86=summaryref2!X38,summaryref2!AD38,IF(BJ86=summaryref2!X45,summaryref2!AD45,IF(BJ86=summaryref2!X52,summaryref2!AD52,IF(BJ86=summaryref2!X59,summaryref2!AD59,IF(BJ86=summaryref2!X66,summaryref2!AD66,IF(BJ86=summaryref2!X73,summaryref2!AD73,IF(BJ86=summaryref2!X80,summaryref2!AD80,"")))))))))))</f>
        <v/>
      </c>
      <c r="BS86" s="1472" t="str">
        <f ca="1">IF('A-80 DirEntInv'!BU85&lt;&gt;"",'A-80 DirEntInv'!BU85,IF(INDIRECT(ADDRESS(SumRef!DK92,SumRef!DK$16,,,SumRef!$E$6))="","",INDIRECT(ADDRESS(SumRef!DK92,SumRef!DK$16,,,SumRef!$E$6))))</f>
        <v/>
      </c>
      <c r="BT86" s="1458" t="str">
        <f ca="1">IF('A-80 DirEntInv'!BV85&lt;&gt;"",'A-80 DirEntInv'!BV85,IF(INDIRECT(ADDRESS(SumRef!DL92,SumRef!DL$16,,,SumRef!$E$6))="","",INDIRECT(ADDRESS(SumRef!DL92,SumRef!DL$16,,,SumRef!$E$6))))</f>
        <v/>
      </c>
      <c r="BU86" s="1177" t="str">
        <f ca="1">IF('A-80 DirEntInv'!BW85&lt;&gt;"",'A-80 DirEntInv'!BW85,IF(INDIRECT(ADDRESS(SumRef!DM92,SumRef!DM$16,,,SumRef!$E$6))="","",INDIRECT(ADDRESS(SumRef!DM92,SumRef!DM$16,,,SumRef!$E$6))))</f>
        <v/>
      </c>
      <c r="BV86" s="1460" t="str">
        <f ca="1">IF('A-80 DirEntInv'!BX85&lt;&gt;"",'A-80 DirEntInv'!BX85,IF(INDIRECT(ADDRESS(SumRef!DN92,SumRef!DN$16,,,SumRef!$E$6))="","",INDIRECT(ADDRESS(SumRef!DN92,SumRef!DN$16,,,SumRef!$E$6))))</f>
        <v/>
      </c>
      <c r="BW86" s="1460" t="str">
        <f ca="1">IF('A-80 DirEntInv'!BY85&lt;&gt;"",'A-80 DirEntInv'!BY85,IF(INDIRECT(ADDRESS(SumRef!DO92,SumRef!DO$16,,,SumRef!$E$6))="","",INDIRECT(ADDRESS(SumRef!DO92,SumRef!DO$16,,,SumRef!$E$6))))</f>
        <v/>
      </c>
      <c r="BX86" s="1116" t="str">
        <f ca="1">IF('A-80 DirEntInv'!BZ85&lt;&gt;"",'A-80 DirEntInv'!BZ85,IF(INDIRECT(ADDRESS(SumRef!DP92,SumRef!DP$16,,,SumRef!$E$6))="","",INDIRECT(ADDRESS(SumRef!DP92,SumRef!DP$16,,,SumRef!$E$6))))</f>
        <v/>
      </c>
      <c r="BY86" s="1461" t="str">
        <f ca="1">IF('A-80 DirEntInv'!CA85&lt;&gt;"",'A-80 DirEntInv'!CA85,IF(INDIRECT(ADDRESS(SumRef!DQ92,SumRef!DQ$16,,,SumRef!$E$6))="","",INDIRECT(ADDRESS(SumRef!DQ92,SumRef!DQ$16,,,SumRef!$E$6))))</f>
        <v/>
      </c>
      <c r="BZ86" s="1460" t="str">
        <f ca="1">IF('A-80 DirEntInv'!CB85&lt;&gt;"",'A-80 DirEntInv'!CB85,IF(INDIRECT(ADDRESS(SumRef!DR92,SumRef!DR$16,,,SumRef!$E$6))="","",INDIRECT(ADDRESS(SumRef!DR92,SumRef!DR$16,,,SumRef!$E$6))))</f>
        <v/>
      </c>
      <c r="CA86" s="1462" t="str">
        <f ca="1">IF('A-80 DirEntInv'!CC85&lt;&gt;"",'A-80 DirEntInv'!CC85,IF(INDIRECT(ADDRESS(SumRef!DS92,SumRef!DS$16,,,SumRef!$E$6))="","",INDIRECT(ADDRESS(SumRef!DS92,SumRef!DS$16,,,SumRef!$E$6))))</f>
        <v/>
      </c>
      <c r="CD86" s="1160" t="str">
        <f ca="1">IF('A-80 DirEntInv'!CF85&lt;&gt;"",'A-80 DirEntInv'!CF85,IF(INDIRECT(ADDRESS(SumRef!DV92,SumRef!DV$16,,,SumRef!$E$7))="","",INDIRECT(ADDRESS(SumRef!DV92,SumRef!DV$16,,,SumRef!$E$7))))</f>
        <v/>
      </c>
      <c r="CE86" s="1167" t="str">
        <f ca="1">IF('A-80 DirEntInv'!CG85&lt;&gt;"",'A-80 DirEntInv'!CG85,IF(INDIRECT(ADDRESS(SumRef!DW92,SumRef!DW$16,,,SumRef!$E$7))="","",INDIRECT(ADDRESS(SumRef!DW92,SumRef!DW$16,,,SumRef!$E$7))))</f>
        <v/>
      </c>
      <c r="CF86" s="1167" t="str">
        <f ca="1">IF('A-80 DirEntInv'!CH85&lt;&gt;"",'A-80 DirEntInv'!CH85,IF(INDIRECT(ADDRESS(SumRef!DX92,SumRef!DX$16,,,SumRef!$E$7))="","",INDIRECT(ADDRESS(SumRef!DX92,SumRef!DX$16,,,SumRef!$E$7))))</f>
        <v/>
      </c>
      <c r="CG86" s="1167" t="str">
        <f ca="1">IF('A-80 DirEntInv'!CI85&lt;&gt;"",'A-80 DirEntInv'!CI85,IF(INDIRECT(ADDRESS(SumRef!DY92,SumRef!DY$16,,,SumRef!$E$7))="","",INDIRECT(ADDRESS(SumRef!DY92,SumRef!DY$16,,,SumRef!$E$7))))</f>
        <v/>
      </c>
      <c r="CH86" s="1167" t="str">
        <f ca="1">IF('A-80 DirEntInv'!CJ85&lt;&gt;"",'A-80 DirEntInv'!CJ85,IF(INDIRECT(ADDRESS(SumRef!DZ92,SumRef!DZ$16,,,SumRef!$E$7))="","",INDIRECT(ADDRESS(SumRef!DZ92,SumRef!DZ$16,,,SumRef!$E$7))))</f>
        <v/>
      </c>
      <c r="CI86" s="1167" t="str">
        <f ca="1">IF('A-80 DirEntInv'!CK85&lt;&gt;"",'A-80 DirEntInv'!CK85,IF(INDIRECT(ADDRESS(SumRef!EA92,SumRef!EA$16,,,SumRef!$E$7))="","",INDIRECT(ADDRESS(SumRef!EA92,SumRef!EA$16,,,SumRef!$E$7))))</f>
        <v/>
      </c>
      <c r="CJ86" s="1114" t="str">
        <f ca="1">IF('A-80 DirEntInv'!CL85&lt;&gt;"",'A-80 DirEntInv'!CL85,IF(INDIRECT(ADDRESS(SumRef!EB92,SumRef!EB$16,,,SumRef!$E$7))="","",INDIRECT(ADDRESS(SumRef!EB92,SumRef!EB$16,,,SumRef!$E$7))))</f>
        <v/>
      </c>
      <c r="CK86" s="1114" t="str">
        <f ca="1">IF('A-80 DirEntInv'!CM85&lt;&gt;"",'A-80 DirEntInv'!CM85,IF(INDIRECT(ADDRESS(SumRef!EC92,SumRef!EC$16,,,SumRef!$E$7))="","",INDIRECT(ADDRESS(SumRef!EC92,SumRef!EC$16,,,SumRef!$E$7))))</f>
        <v/>
      </c>
      <c r="CL86" s="1113" t="str">
        <f ca="1">IF('A-80 DirEntInv'!CO85&lt;&gt;"",'A-80 DirEntInv'!CO85,IF(INDIRECT(ADDRESS(SumRef!ED92,SumRef!ED$16,,,SumRef!$E$7))="","",INDIRECT(ADDRESS(SumRef!ED92,SumRef!ED$16,,,SumRef!$E$7))))</f>
        <v/>
      </c>
      <c r="CM86" s="1114" t="str">
        <f ca="1">IF('A-80 DirEntInv'!CP85&lt;&gt;"",'A-80 DirEntInv'!CP85,IF(INDIRECT(ADDRESS(SumRef!EE92,SumRef!EE$16,,,SumRef!$E$7))="","",INDIRECT(ADDRESS(SumRef!EE92,SumRef!EE$16,,,SumRef!$E$7))))</f>
        <v/>
      </c>
      <c r="CN86" s="1114" t="str">
        <f ca="1">IF('A-80 DirEntInv'!CQ85&lt;&gt;"",'A-80 DirEntInv'!CQ85,IF(INDIRECT(ADDRESS(SumRef!EF92,SumRef!EF$16,,,SumRef!$E$7))="","",INDIRECT(ADDRESS(SumRef!EF92,SumRef!EF$16,,,SumRef!$E$7))))</f>
        <v/>
      </c>
      <c r="CO86" s="1113" t="str">
        <f ca="1">IF('A-80 DirEntInv'!CR85&lt;&gt;"",'A-80 DirEntInv'!CR85,IF(INDIRECT(ADDRESS(SumRef!EG92,SumRef!EG$16,,,SumRef!$E$7))="","",INDIRECT(ADDRESS(SumRef!EG92,SumRef!EG$16,,,SumRef!$E$7))))</f>
        <v/>
      </c>
      <c r="CP86" s="1114" t="str">
        <f ca="1">IF('A-80 DirEntInv'!CS85&lt;&gt;"",'A-80 DirEntInv'!CS85,IF(INDIRECT(ADDRESS(SumRef!EH92,SumRef!EH$16,,,SumRef!$E$7))="","",INDIRECT(ADDRESS(SumRef!EH92,SumRef!EH$16,,,SumRef!$E$7))))</f>
        <v/>
      </c>
      <c r="CQ86" s="1346" t="str">
        <f ca="1">IF('A-80 DirEntInv'!CT85&lt;&gt;"",'A-80 DirEntInv'!CT85,IF(INDIRECT(ADDRESS(SumRef!EI92,SumRef!EI$16,,,SumRef!$E$7))="","",INDIRECT(ADDRESS(SumRef!EI92,SumRef!EI$16,,,SumRef!$E$7))))</f>
        <v/>
      </c>
      <c r="CR86" s="1113" t="str">
        <f ca="1">IF('A-80 DirEntInv'!CU85&lt;&gt;"",'A-80 DirEntInv'!CU85,IF(INDIRECT(ADDRESS(SumRef!EJ92,SumRef!EJ$16,,,SumRef!$E$7))="","",INDIRECT(ADDRESS(SumRef!EJ92,SumRef!EJ$16,,,SumRef!$E$7))))</f>
        <v/>
      </c>
      <c r="CS86" s="1346" t="str">
        <f ca="1">IF('A-80 DirEntInv'!CV85&lt;&gt;"",'A-80 DirEntInv'!CV85,IF(INDIRECT(ADDRESS(SumRef!EM92,SumRef!EM$16,,,SumRef!$E$7))="","",INDIRECT(ADDRESS(SumRef!EM92,SumRef!EM$16,,,SumRef!$E$7))))</f>
        <v/>
      </c>
      <c r="CT86" s="1113" t="str">
        <f ca="1">IF('A-80 DirEntInv'!CW85&lt;&gt;"",'A-80 DirEntInv'!CW85,IF(INDIRECT(ADDRESS(SumRef!EN92,SumRef!EN$16,,,SumRef!$E$7))="","",INDIRECT(ADDRESS(SumRef!EN92,SumRef!EN$16,,,SumRef!$E$7))))</f>
        <v/>
      </c>
      <c r="CU86" s="1113" t="str">
        <f ca="1">IF('A-80 DirEntInv'!CX85&lt;&gt;"",'A-80 DirEntInv'!CX85,IF(INDIRECT(ADDRESS(SumRef!EO92,SumRef!EO$16,,,SumRef!$E$7))="","",INDIRECT(ADDRESS(SumRef!EO92,SumRef!EO$16,,,SumRef!$E$7))))</f>
        <v/>
      </c>
      <c r="CV86" s="1113" t="str">
        <f ca="1">IF('A-80 DirEntInv'!CY85&lt;&gt;"",'A-80 DirEntInv'!CY85,IF(INDIRECT(ADDRESS(SumRef!EP92,SumRef!EP$16,,,SumRef!$E$7))="","",INDIRECT(ADDRESS(SumRef!EP92,SumRef!EP$16,,,SumRef!$E$7))))</f>
        <v/>
      </c>
      <c r="CW86" s="1114" t="str">
        <f ca="1">IF('A-80 DirEntInv'!CZ85&lt;&gt;"",'A-80 DirEntInv'!CZ85,IF(INDIRECT(ADDRESS(SumRef!ES92,SumRef!ES$16,,,SumRef!$E$7))="","",INDIRECT(ADDRESS(SumRef!ES92,SumRef!ES$16,,,SumRef!$E$7))))</f>
        <v/>
      </c>
      <c r="CX86" s="1167" t="str">
        <f ca="1">IF('A-80 DirEntInv'!DA85&lt;&gt;"",'A-80 DirEntInv'!DA85,IF(INDIRECT(ADDRESS(SumRef!ET92,SumRef!ET$16,,,SumRef!$E$7))="","",INDIRECT(ADDRESS(SumRef!ET92,SumRef!ET$16,,,SumRef!$E$7))))</f>
        <v/>
      </c>
      <c r="CY86" s="1167" t="str">
        <f ca="1">IF('A-80 DirEntInv'!DB85&lt;&gt;"",'A-80 DirEntInv'!DB85,IF(INDIRECT(ADDRESS(SumRef!EU92,SumRef!EU$16,,,SumRef!$E$7))="","",INDIRECT(ADDRESS(SumRef!EU92,SumRef!EU$16,,,SumRef!$E$7))))</f>
        <v/>
      </c>
      <c r="CZ86" s="1167" t="b">
        <f ca="1">IF('A-80 DirEntInv'!DC85&lt;&gt;"",'A-80 DirEntInv'!DC85,IF(INDIRECT(ADDRESS(SumRef!EV92,SumRef!EV$16,,,SumRef!$E$7))="","",INDIRECT(ADDRESS(SumRef!EV92,SumRef!EV$16,,,SumRef!$E$7))))</f>
        <v>0</v>
      </c>
      <c r="DA86" s="1373" t="str">
        <f ca="1">IF('A-80 DirEntInv'!DD85&lt;&gt;"",'A-80 DirEntInv'!DD85,IF(INDIRECT(ADDRESS(SumRef!EW92,SumRef!EW$16,,,SumRef!$E$7))="","",INDIRECT(ADDRESS(SumRef!EW92,SumRef!EW$16,,,SumRef!$E$7))))</f>
        <v/>
      </c>
      <c r="DB86" s="1373" t="b">
        <f ca="1">IF('A-80 DirEntInv'!DE85&lt;&gt;"",'A-80 DirEntInv'!DE85,IF(INDIRECT(ADDRESS(SumRef!EX92,SumRef!EX$16,,,SumRef!$E$7))="","",INDIRECT(ADDRESS(SumRef!EX92,SumRef!EX$16,,,SumRef!$E$7))))</f>
        <v>0</v>
      </c>
      <c r="DC86" s="1114" t="b">
        <f ca="1">IF('A-80 DirEntInv'!DF85&lt;&gt;"",'A-80 DirEntInv'!DF85,IF(INDIRECT(ADDRESS(SumRef!EY92,SumRef!EY$16,,,SumRef!$E$7))="","",INDIRECT(ADDRESS(SumRef!EY92,SumRef!EY$16,,,SumRef!$E$7))))</f>
        <v>0</v>
      </c>
      <c r="DD86" s="1115" t="str">
        <f ca="1">IF('A-80 DirEntInv'!DG85&lt;&gt;"",'A-80 DirEntInv'!DG85,IF(INDIRECT(ADDRESS(SumRef!EZ92,SumRef!EZ$16,,,SumRef!$E$7))="","",INDIRECT(ADDRESS(SumRef!EZ92,SumRef!EZ$16,,,SumRef!$E$7))))</f>
        <v/>
      </c>
    </row>
    <row r="87" spans="1:108" s="588" customFormat="1" ht="13.5" thickBot="1" x14ac:dyDescent="0.25">
      <c r="A87" s="589">
        <f t="shared" si="1"/>
        <v>77</v>
      </c>
      <c r="B87" s="1155" t="str">
        <f ca="1">IF('A-80 DirEntInv'!B86&lt;&gt;"",'A-80 DirEntInv'!B86,IF(INDIRECT(ADDRESS(SumRef!AQ93,SumRef!AQ$16,,,SumRef!$B$7))="","",INDIRECT(ADDRESS(SumRef!AQ93,SumRef!AQ$16,,,SumRef!$B$7))))</f>
        <v/>
      </c>
      <c r="C87" s="1097" t="str">
        <f ca="1">IF('A-80 DirEntInv'!C86&lt;&gt;"",'A-80 DirEntInv'!C86,IF(INDIRECT(ADDRESS(SumRef!AR93,SumRef!AR$16,,,SumRef!$B$7))="","",INDIRECT(ADDRESS(SumRef!AR93,SumRef!AR$16,,,SumRef!$B$7))))</f>
        <v/>
      </c>
      <c r="D87" s="1097" t="str">
        <f ca="1">IF('A-80 DirEntInv'!D86&lt;&gt;"",'A-80 DirEntInv'!D86,IF(INDIRECT(ADDRESS(SumRef!AS93,SumRef!AS$16,,,SumRef!$B$7))="","",INDIRECT(ADDRESS(SumRef!AS93,SumRef!AS$16,,,SumRef!$B$7))))</f>
        <v/>
      </c>
      <c r="E87" s="1097" t="str">
        <f ca="1">IF('A-80 DirEntInv'!E86&lt;&gt;"",'A-80 DirEntInv'!E86,IF(INDIRECT(ADDRESS(SumRef!AT93,SumRef!AT$16,,,SumRef!$B$7))="","",INDIRECT(ADDRESS(SumRef!AT93,SumRef!AT$16,,,SumRef!$B$7))))</f>
        <v/>
      </c>
      <c r="F87" s="1097" t="str">
        <f ca="1">IF('A-80 DirEntInv'!F86&lt;&gt;"",'A-80 DirEntInv'!F86,IF(INDIRECT(ADDRESS(SumRef!AU93,SumRef!AU$16,,,SumRef!$B$7))="","",INDIRECT(ADDRESS(SumRef!AU93,SumRef!AU$16,,,SumRef!$B$7))))</f>
        <v/>
      </c>
      <c r="G87" s="1158" t="str">
        <f ca="1">IF('A-80 DirEntInv'!G86&lt;&gt;"",'A-80 DirEntInv'!G86,IF(INDIRECT(ADDRESS(SumRef!AV93,SumRef!AV$16,,,SumRef!$B$7))="","",INDIRECT(ADDRESS(SumRef!AV93,SumRef!AV$16,,,SumRef!$B$7))))</f>
        <v/>
      </c>
      <c r="H87" s="1097" t="str">
        <f ca="1">IF('A-80 DirEntInv'!H86&lt;&gt;"",'A-80 DirEntInv'!H86,IF(INDIRECT(ADDRESS(SumRef!AW93,SumRef!AW$16,,,SumRef!$B$7))="","",INDIRECT(ADDRESS(SumRef!AW93,SumRef!AW$16,,,SumRef!$B$7))))</f>
        <v/>
      </c>
      <c r="I87" s="1097" t="str">
        <f ca="1">IF('A-80 DirEntInv'!I86&lt;&gt;"",'A-80 DirEntInv'!I86,IF(INDIRECT(ADDRESS(SumRef!AX93,SumRef!AX$16,,,SumRef!$B$7))="","",INDIRECT(ADDRESS(SumRef!AX93,SumRef!AX$16,,,SumRef!$B$7))))</f>
        <v/>
      </c>
      <c r="J87" s="1098" t="str">
        <f ca="1">IF('A-80 DirEntInv'!J86&lt;&gt;"",'A-80 DirEntInv'!J86,IF(INDIRECT(ADDRESS(SumRef!AY93,SumRef!AY$16,,,SumRef!$B$7))="","",INDIRECT(ADDRESS(SumRef!AY93,SumRef!AY$16,,,SumRef!$B$7))))</f>
        <v/>
      </c>
      <c r="K87" s="1099" t="str">
        <f ca="1">IF('A-80 DirEntInv'!K86&lt;&gt;"",'A-80 DirEntInv'!K86,IF(INDIRECT(ADDRESS(SumRef!AZ93,SumRef!AZ$16,,,SumRef!$B$7))="","",INDIRECT(ADDRESS(SumRef!AZ93,SumRef!AZ$16,,,SumRef!$B$7))))</f>
        <v/>
      </c>
      <c r="L87" s="1100" t="str">
        <f ca="1">IF('A-80 DirEntInv'!L86&lt;&gt;"",'A-80 DirEntInv'!L86,IF(INDIRECT(ADDRESS(SumRef!BA93,SumRef!BA$16,,,SumRef!$B$7))="","",INDIRECT(ADDRESS(SumRef!BA93,SumRef!BA$16,,,SumRef!$B$7))))</f>
        <v/>
      </c>
      <c r="M87" s="1101" t="str">
        <f ca="1">IF('A-80 DirEntInv'!M86&lt;&gt;"",'A-80 DirEntInv'!M86,IF(INDIRECT(ADDRESS(SumRef!BB93,SumRef!BB$16,,,SumRef!$B$7))="","",INDIRECT(ADDRESS(SumRef!BB93,SumRef!BB$16,,,SumRef!$B$7))))</f>
        <v/>
      </c>
      <c r="N87" s="1098" t="str">
        <f ca="1">IF('A-80 DirEntInv'!N86&lt;&gt;"",'A-80 DirEntInv'!N86,IF(INDIRECT(ADDRESS(SumRef!BC93,SumRef!BC$16,,,SumRef!$B$7))="","",INDIRECT(ADDRESS(SumRef!BC93,SumRef!BC$16,,,SumRef!$B$7))))</f>
        <v/>
      </c>
      <c r="O87" s="1102" t="str">
        <f ca="1">IF('A-80 DirEntInv'!O86&lt;&gt;"",'A-80 DirEntInv'!O86,IF(INDIRECT(ADDRESS(SumRef!BD93,SumRef!BD$16,,,SumRef!$B$7))="","",INDIRECT(ADDRESS(SumRef!BD93,SumRef!BD$16,,,SumRef!$B$7))))</f>
        <v/>
      </c>
      <c r="Q87" s="589"/>
      <c r="R87" s="1103" t="str">
        <f ca="1">IF('A-80 DirEntInv'!R86&lt;&gt;"",'A-80 DirEntInv'!R86,IF(INDIRECT(ADDRESS(SumRef!BH93,SumRef!BH$16,,,SumRef!$B$8))="","",INDIRECT(ADDRESS(SumRef!BH93,SumRef!BH$16,,,SumRef!$B$8))))</f>
        <v/>
      </c>
      <c r="S87" s="1104" t="str">
        <f ca="1">IF('A-80 DirEntInv'!S86&lt;&gt;"",'A-80 DirEntInv'!S86,IF(INDIRECT(ADDRESS(SumRef!BI93,SumRef!BI$16,,,SumRef!$B$8))="","",INDIRECT(ADDRESS(SumRef!BI93,SumRef!BI$16,,,SumRef!$B$8))))</f>
        <v/>
      </c>
      <c r="T87" s="1104" t="str">
        <f ca="1">IF('A-80 DirEntInv'!T86&lt;&gt;"",'A-80 DirEntInv'!T86,IF(INDIRECT(ADDRESS(SumRef!BJ93,SumRef!BJ$16,,,SumRef!$B$8))="","",INDIRECT(ADDRESS(SumRef!BJ93,SumRef!BJ$16,,,SumRef!$B$8))))</f>
        <v/>
      </c>
      <c r="U87" s="1104" t="str">
        <f ca="1">IF('A-80 DirEntInv'!U86&lt;&gt;"",'A-80 DirEntInv'!U86,IF(INDIRECT(ADDRESS(SumRef!BK93,SumRef!BK$16,,,SumRef!$B$8))="","",INDIRECT(ADDRESS(SumRef!BK93,SumRef!BK$16,,,SumRef!$B$8))))</f>
        <v/>
      </c>
      <c r="V87" s="1104" t="str">
        <f ca="1">IF('A-80 DirEntInv'!V86&lt;&gt;"",'A-80 DirEntInv'!V86,IF(INDIRECT(ADDRESS(SumRef!BL93,SumRef!BL$16,,,SumRef!$B$8))="","",INDIRECT(ADDRESS(SumRef!BL93,SumRef!BL$16,,,SumRef!$B$8))))</f>
        <v/>
      </c>
      <c r="W87" s="1354" t="str">
        <f ca="1">IF('A-80 DirEntInv'!W86&lt;&gt;"",'A-80 DirEntInv'!W86,IF(INDIRECT(ADDRESS(SumRef!BM93,SumRef!BM$16,,,SumRef!$B$8))="","",INDIRECT(ADDRESS(SumRef!BM93,SumRef!BM$16,,,SumRef!$B$8))))</f>
        <v/>
      </c>
      <c r="X87" s="1203" t="str">
        <f ca="1">IF('A-80 DirEntInv'!X86&lt;&gt;"",'A-80 DirEntInv'!X86,IF(INDIRECT(ADDRESS(SumRef!BN93,SumRef!BN$16,,,SumRef!$B$8))="","",INDIRECT(ADDRESS(SumRef!BN93,SumRef!BN$16,,,SumRef!$B$8))))</f>
        <v/>
      </c>
      <c r="Y87" s="1203" t="str">
        <f ca="1">IF('A-80 DirEntInv'!Y86&lt;&gt;"",'A-80 DirEntInv'!Y86,IF(INDIRECT(ADDRESS(SumRef!BO93,SumRef!BO$16,,,SumRef!$B$8))="","",INDIRECT(ADDRESS(SumRef!BO93,SumRef!BO$16,,,SumRef!$B$8))))</f>
        <v/>
      </c>
      <c r="Z87" s="1104" t="str">
        <f ca="1">IF('A-80 DirEntInv'!Z86&lt;&gt;"",'A-80 DirEntInv'!Z86,IF(INDIRECT(ADDRESS(SumRef!BP93,SumRef!BP$16,,,SumRef!$B$8))="","",INDIRECT(ADDRESS(SumRef!BP93,SumRef!BP$16,,,SumRef!$B$8))))</f>
        <v/>
      </c>
      <c r="AA87" s="1104" t="str">
        <f ca="1">IF('A-80 DirEntInv'!AA86&lt;&gt;"",'A-80 DirEntInv'!AA86,IF(INDIRECT(ADDRESS(SumRef!BQ93,SumRef!BQ$16,,,SumRef!$B$8))="","",INDIRECT(ADDRESS(SumRef!BQ93,SumRef!BQ$16,,,SumRef!$B$8))))</f>
        <v/>
      </c>
      <c r="AB87" s="1106" t="str">
        <f ca="1">IF('A-80 DirEntInv'!AB86&lt;&gt;"",'A-80 DirEntInv'!AB86,IF(INDIRECT(ADDRESS(SumRef!BR93,SumRef!BR$16,,,SumRef!$B$8))="","",INDIRECT(ADDRESS(SumRef!BR93,SumRef!BR$16,,,SumRef!$B$8))))</f>
        <v/>
      </c>
      <c r="AC87" s="1107" t="str">
        <f ca="1">IF('A-80 DirEntInv'!AC86&lt;&gt;"",'A-80 DirEntInv'!AC86,IF(INDIRECT(ADDRESS(SumRef!BS93,SumRef!BS$16,,,SumRef!$B$8))="","",INDIRECT(ADDRESS(SumRef!BS93,SumRef!BS$16,,,SumRef!$B$8))))</f>
        <v/>
      </c>
      <c r="AD87" s="1349" t="str">
        <f ca="1">IF('A-80 DirEntInv'!AD86&lt;&gt;"",'A-80 DirEntInv'!AD86,IF(INDIRECT(ADDRESS(SumRef!BT93,SumRef!BT$16,,,SumRef!$B$8))="","",INDIRECT(ADDRESS(SumRef!BT93,SumRef!BT$16,,,SumRef!$B$8))))</f>
        <v/>
      </c>
      <c r="AE87" s="1137" t="str">
        <f ca="1">IF('A-80 DirEntInv'!AE86&lt;&gt;"",'A-80 DirEntInv'!AE86,IF(INDIRECT(ADDRESS(SumRef!BU93,SumRef!BU$16,,,SumRef!$B$8))="","",INDIRECT(ADDRESS(SumRef!BU93,SumRef!BU$16,,,SumRef!$B$8))))</f>
        <v/>
      </c>
      <c r="AF87" s="1346" t="str">
        <f ca="1">IF('A-80 DirEntInv'!AF86&lt;&gt;"",'A-80 DirEntInv'!AF86,IF(INDIRECT(ADDRESS(SumRef!BV93,SumRef!BV$16,,,SumRef!$B$8))="","",INDIRECT(ADDRESS(SumRef!BV93,SumRef!BV$16,,,SumRef!$B$8))))</f>
        <v/>
      </c>
      <c r="AG87" s="1105" t="str">
        <f ca="1">IF('A-80 DirEntInv'!AG86&lt;&gt;"",'A-80 DirEntInv'!AG86,IF(INDIRECT(ADDRESS(SumRef!BW93,SumRef!BW$16,,,SumRef!$B$8))="","",INDIRECT(ADDRESS(SumRef!BW93,SumRef!BW$16,,,SumRef!$B$8))))</f>
        <v/>
      </c>
      <c r="AH87" s="1357" t="str">
        <f ca="1">IF('A-80 DirEntInv'!AH86&lt;&gt;"",'A-80 DirEntInv'!AH86,IF(INDIRECT(ADDRESS(SumRef!BX93,SumRef!BX$16,,,SumRef!$B$8))="","",INDIRECT(ADDRESS(SumRef!BX93,SumRef!BX$16,,,SumRef!$B$8))))</f>
        <v/>
      </c>
      <c r="AK87" s="1041" t="str">
        <f>Codes!$C$161</f>
        <v>CR - Commuter Rail (DO)</v>
      </c>
      <c r="AL87" s="1042" t="str">
        <f>Valid!$B$77</f>
        <v>Below-Grade/Cut-and-Cover Tunnel</v>
      </c>
      <c r="AM87" s="1108" t="str">
        <f>IF('A-80 DirEntInv'!AM86&lt;&gt;"",'A-80 DirEntInv'!AM86,IF(AK87=summaryref2!B18,summaryref2!D18,IF(Summary!AK87=summaryref2!B32,summaryref2!D32,IF(AK87=summaryref2!B46,summaryref2!D46,IF(AK87=summaryref2!B60,summaryref2!D60,IF(AK87=summaryref2!B74,summaryref2!D74,IF(AK87=summaryref2!B88,summaryref2!D88,IF(AK87=summaryref2!B102,summaryref2!D102,IF(AK87=summaryref2!B116,summaryref2!D116,IF(AK87=summaryref2!B130,summaryref2!D130,IF(AK87=summaryref2!B144,summaryref2!D144,"")))))))))))</f>
        <v/>
      </c>
      <c r="AN87" s="1109" t="str">
        <f ca="1">IF('A-80 DirEntInv'!AN86&lt;&gt;"",'A-80 DirEntInv'!AN86,IF(INDIRECT(ADDRESS(SumRef!CG180,SumRef!CG$16,,,SumRef!$C$7))="","",INDIRECT(ADDRESS(SumRef!CG180,SumRef!CG$16,,,SumRef!$C$7))))</f>
        <v>Linear Feet</v>
      </c>
      <c r="AO87" s="1108" t="str">
        <f>IF('A-80 DirEntInv'!AO86&lt;&gt;"",'A-80 DirEntInv'!AO86,IF(AK87=summaryref2!B18,summaryref2!F18,IF(Summary!AK87=summaryref2!B32,summaryref2!F32,IF(AK87=summaryref2!B46,summaryref2!F46,IF(AK87=summaryref2!B60,summaryref2!F60,IF(AK87=summaryref2!B74,summaryref2!F74,IF(AK87=summaryref2!B88,summaryref2!F88,IF(AK87=summaryref2!B102,summaryref2!F102,IF(AK87=summaryref2!B116,summaryref2!F116,IF(AK87=summaryref2!B130,summaryref2!F130,IF(AK87=summaryref2!B144,summaryref2!F144,"")))))))))))</f>
        <v/>
      </c>
      <c r="AP87" s="1109" t="str">
        <f ca="1">IF('A-80 DirEntInv'!AP86&lt;&gt;"",'A-80 DirEntInv'!AP86,IF(INDIRECT(ADDRESS(SumRef!#REF!,SumRef!#REF!,,,SumRef!$C$7))="","",INDIRECT(ADDRESS(SumRef!#REF!,SumRef!#REF!,,,SumRef!$C$7))))</f>
        <v>Track Feet</v>
      </c>
      <c r="AQ87" s="1147" t="str">
        <f>IF('A-80 DirEntInv'!AQ86&lt;&gt;"",'A-80 DirEntInv'!AQ86,IF(AK87=summaryref2!B18,summaryref2!G18,IF(Summary!AK87=summaryref2!B32,summaryref2!G32,IF(AK87=summaryref2!B46,summaryref2!G46,IF(AK87=summaryref2!B60,summaryref2!G60,IF(AK87=summaryref2!B74,summaryref2!G74,IF(AK87=summaryref2!B88,summaryref2!G88,IF(AK87=summaryref2!B102,summaryref2!G102,IF(AK87=summaryref2!B116,summaryref2!G116,IF(AK87=summaryref2!B130,summaryref2!G130,IF(AK87=summaryref2!B144,summaryref2!G144,"")))))))))))</f>
        <v/>
      </c>
      <c r="AR87" s="1147" t="str">
        <f>IF('A-80 DirEntInv'!AR86&lt;&gt;"",'A-80 DirEntInv'!AR86,IF(AK87=summaryref2!B18,summaryref2!H18,IF(Summary!AK87=summaryref2!B32,summaryref2!H32,IF(AK87=summaryref2!B46,summaryref2!H46,IF(AK87=summaryref2!B60,summaryref2!H60,IF(AK87=summaryref2!B74,summaryref2!H74,IF(AK87=summaryref2!B88,summaryref2!H88,IF(AK87=summaryref2!B102,summaryref2!H102,IF(AK87=summaryref2!B116,summaryref2!H116,IF(AK87=summaryref2!B130,summaryref2!H130,IF(AK87=summaryref2!B144,summaryref2!H144,"")))))))))))</f>
        <v/>
      </c>
      <c r="AS87" s="1110" t="str">
        <f>IF('A-80 DirEntInv'!AS86&lt;&gt;"",'A-80 DirEntInv'!AS86,IF(AK87=summaryref2!B18,summaryref2!I18,IF(Summary!AK87=summaryref2!B32,summaryref2!I32,IF(AK87=summaryref2!B46,summaryref2!I46,IF(AK87=summaryref2!B60,summaryref2!I60,IF(AK87=summaryref2!B74,summaryref2!I74,IF(AK87=summaryref2!B88,summaryref2!I88,IF(AK87=summaryref2!B102,summaryref2!I102,IF(AK87=summaryref2!B116,summaryref2!I116,IF(AK87=summaryref2!B130,summaryref2!I130,IF(AK87=summaryref2!B144,summaryref2!I144,"")))))))))))</f>
        <v/>
      </c>
      <c r="AT87" s="1110" t="str">
        <f>IF('A-80 DirEntInv'!AT86&lt;&gt;"",'A-80 DirEntInv'!AT86,IF(AK87=summaryref2!B18,summaryref2!J18,IF(Summary!AK87=summaryref2!B32,summaryref2!J32,IF(AK87=summaryref2!B46,summaryref2!J46,IF(AK87=summaryref2!B60,summaryref2!J60,IF(AK87=summaryref2!B74,summaryref2!J74,IF(AK87=summaryref2!B88,summaryref2!J88,IF(AK87=summaryref2!B102,summaryref2!J102,IF(AK87=summaryref2!B116,summaryref2!J116,IF(AK87=summaryref2!B130,summaryref2!J130,IF(AK87=summaryref2!B144,summaryref2!J144,"")))))))))))</f>
        <v/>
      </c>
      <c r="AU87" s="1110" t="str">
        <f>IF('A-80 DirEntInv'!AU86&lt;&gt;"",'A-80 DirEntInv'!AU86,IF(AK87=summaryref2!B18,summaryref2!K18,IF(Summary!AK87=summaryref2!B32,summaryref2!K32,IF(AK87=summaryref2!B46,summaryref2!K46,IF(AK87=summaryref2!B60,summaryref2!K60,IF(AK87=summaryref2!B74,summaryref2!K74,IF(AK87=summaryref2!B88,summaryref2!K88,IF(AK87=summaryref2!B102,summaryref2!K102,IF(AK87=summaryref2!B116,summaryref2!K116,IF(AK87=summaryref2!B130,summaryref2!K130,IF(AK87=summaryref2!B144,summaryref2!K144,"")))))))))))</f>
        <v/>
      </c>
      <c r="AV87" s="1110" t="str">
        <f>IF('A-80 DirEntInv'!AV86&lt;&gt;"",'A-80 DirEntInv'!AV86,IF(AK87=summaryref2!B18,summaryref2!L18,IF(Summary!AK87=summaryref2!B32,summaryref2!L32,IF(AK87=summaryref2!B46,summaryref2!L46,IF(AK87=summaryref2!B60,summaryref2!L60,IF(AK87=summaryref2!B74,summaryref2!L74,IF(AK87=summaryref2!B88,summaryref2!L88,IF(AK87=summaryref2!B102,summaryref2!L102,IF(AK87=summaryref2!B116,summaryref2!L116,IF(AK87=summaryref2!B130,summaryref2!L130,IF(AK87=summaryref2!B144,summaryref2!L144,"")))))))))))</f>
        <v/>
      </c>
      <c r="AW87" s="1110" t="str">
        <f>IF('A-80 DirEntInv'!AW86&lt;&gt;"",'A-80 DirEntInv'!AW86,IF(AK87=summaryref2!B18,summaryref2!M18,IF(Summary!AK87=summaryref2!B32,summaryref2!M32,IF(AK87=summaryref2!B46,summaryref2!M46,IF(AK87=summaryref2!B60,summaryref2!M60,IF(AK87=summaryref2!B74,summaryref2!M74,IF(AK87=summaryref2!B88,summaryref2!M88,IF(AK87=summaryref2!B102,summaryref2!M102,IF(AK87=summaryref2!B116,summaryref2!M116,IF(AK87=summaryref2!B130,summaryref2!M130,IF(AK87=summaryref2!B144,summaryref2!M144,"")))))))))))</f>
        <v/>
      </c>
      <c r="AX87" s="1110" t="str">
        <f>IF('A-80 DirEntInv'!AX86&lt;&gt;"",'A-80 DirEntInv'!AX86,IF(AK87=summaryref2!B18,summaryref2!N18,IF(Summary!AK87=summaryref2!B32,summaryref2!N32,IF(AK87=summaryref2!B46,summaryref2!N46,IF(AK87=summaryref2!B60,summaryref2!N60,IF(AK87=summaryref2!B74,summaryref2!N74,IF(AK87=summaryref2!B88,summaryref2!N88,IF(AK87=summaryref2!B102,summaryref2!N102,IF(AK87=summaryref2!B116,summaryref2!N116,IF(AK87=summaryref2!B130,summaryref2!N130,IF(AK87=summaryref2!B144,summaryref2!N144,"")))))))))))</f>
        <v/>
      </c>
      <c r="AY87" s="1110" t="str">
        <f>IF('A-80 DirEntInv'!AY86&lt;&gt;"",'A-80 DirEntInv'!AY86,IF(AK87=summaryref2!B18,summaryref2!O18,IF(Summary!AK87=summaryref2!B32,summaryref2!O32,IF(AK87=summaryref2!B46,summaryref2!O46,IF(AK87=summaryref2!B60,summaryref2!O60,IF(AK87=summaryref2!B74,summaryref2!O74,IF(AK87=summaryref2!B88,summaryref2!O88,IF(AK87=summaryref2!B102,summaryref2!O102,IF(AK87=summaryref2!B116,summaryref2!O116,IF(AK87=summaryref2!B130,summaryref2!O130,IF(AK87=summaryref2!B144,summaryref2!O144,"")))))))))))</f>
        <v/>
      </c>
      <c r="AZ87" s="1110" t="str">
        <f>IF('A-80 DirEntInv'!AZ86&lt;&gt;"",'A-80 DirEntInv'!AZ86,IF(AK87=summaryref2!B18,summaryref2!P18,IF(Summary!AK87=summaryref2!B32,summaryref2!P32,IF(AK87=summaryref2!B46,summaryref2!P46,IF(AK87=summaryref2!B60,summaryref2!P60,IF(AK87=summaryref2!B74,summaryref2!P74,IF(AK87=summaryref2!B88,summaryref2!P88,IF(AK87=summaryref2!B102,summaryref2!P102,IF(AK87=summaryref2!B116,summaryref2!P116,IF(AK87=summaryref2!B130,summaryref2!P130,IF(AK87=summaryref2!B144,summaryref2!P144,"")))))))))))</f>
        <v/>
      </c>
      <c r="BA87" s="1110" t="str">
        <f>IF('A-80 DirEntInv'!BA86&lt;&gt;"",'A-80 DirEntInv'!BA86,IF(AK87=summaryref2!B18,summaryref2!Q18,IF(Summary!AK87=summaryref2!B32,summaryref2!Q32,IF(AK87=summaryref2!B46,summaryref2!Q46,IF(AK87=summaryref2!B60,summaryref2!Q60,IF(AK87=summaryref2!B74,summaryref2!Q74,IF(AK87=summaryref2!B88,summaryref2!Q88,IF(AK87=summaryref2!B102,summaryref2!Q102,IF(AK87=summaryref2!B116,summaryref2!Q116,IF(AK87=summaryref2!B130,summaryref2!Q130,IF(AK87=summaryref2!B144,summaryref2!Q144,"")))))))))))</f>
        <v/>
      </c>
      <c r="BB87" s="1110" t="str">
        <f>IF('A-80 DirEntInv'!BB86&lt;&gt;"",'A-80 DirEntInv'!BB86,IF(AK87=summaryref2!B18,summaryref2!R18,IF(Summary!AK87=summaryref2!B32,summaryref2!R32,IF(AK87=summaryref2!B46,summaryref2!R46,IF(AK87=summaryref2!B60,summaryref2!R60,IF(AK87=summaryref2!B74,summaryref2!R74,IF(AK87=summaryref2!B88,summaryref2!R88,IF(AK87=summaryref2!B102,summaryref2!R102,IF(AK87=summaryref2!B116,summaryref2!R116,IF(AK87=summaryref2!B130,summaryref2!R130,IF(AK87=summaryref2!B144,summaryref2!R144,"")))))))))))</f>
        <v/>
      </c>
      <c r="BC87" s="1110" t="str">
        <f>IF('A-80 DirEntInv'!BC86&lt;&gt;0,'A-80 DirEntInv'!BC86,IF(AK87=summaryref2!B18,summaryref2!S18,IF(Summary!AK87=summaryref2!B32,summaryref2!S32,IF(AK87=summaryref2!B46,summaryref2!S46,IF(AK87=summaryref2!B60,summaryref2!S60,IF(AK87=summaryref2!B74,summaryref2!S74,IF(AK87=summaryref2!B88,summaryref2!S88,IF(AK87=summaryref2!B102,summaryref2!S102,IF(AK87=summaryref2!B116,summaryref2!S116,IF(AK87=summaryref2!B130,summaryref2!S130,IF(AK87=summaryref2!B144,summaryref2!S144,"")))))))))))</f>
        <v/>
      </c>
      <c r="BD87" s="1111" t="str">
        <f>IF('A-80 DirEntInv'!BD86&lt;&gt;"",'A-80 DirEntInv'!BD86,IF(AK87=summaryref2!B18,summaryref2!T18,IF(Summary!AK87=summaryref2!B32,summaryref2!T32,IF(AK87=summaryref2!B46,summaryref2!T46,IF(AK87=summaryref2!B60,summaryref2!T60,IF(AK87=summaryref2!B74,summaryref2!T74,IF(AK87=summaryref2!B88,summaryref2!T88,IF(AK87=summaryref2!B102,summaryref2!T102,IF(AK87=summaryref2!B116,summaryref2!T116,IF(AK87=summaryref2!B130,summaryref2!T130,IF(AK87=summaryref2!B144,summaryref2!T144,"")))))))))))</f>
        <v/>
      </c>
      <c r="BE87" s="1184" t="str">
        <f>IF('A-80 DirEntInv'!BE86&lt;&gt;"",'A-80 DirEntInv'!BE86,IF(AK87=summaryref2!B18,summaryref2!U18,IF(Summary!AK87=summaryref2!B32,summaryref2!U32,IF(AK87=summaryref2!B46,summaryref2!U46,IF(AK87=summaryref2!B60,summaryref2!U60,IF(AK87=summaryref2!B74,summaryref2!U74,IF(AK87=summaryref2!B88,summaryref2!U88,IF(AK87=summaryref2!B102,summaryref2!U102,IF(AK87=summaryref2!B116,summaryref2!U116,IF(AK87=summaryref2!B130,summaryref2!U130,IF(AK87=summaryref2!B144,summaryref2!U144,"")))))))))))</f>
        <v/>
      </c>
      <c r="BF87" s="1432"/>
      <c r="BG87" s="1432"/>
      <c r="BJ87" s="1047" t="str">
        <f>Codes!$C$166</f>
        <v>LR - Light Rail (PT)</v>
      </c>
      <c r="BK87" s="1050" t="str">
        <f>Valid!$B$86</f>
        <v>Grade Crossings</v>
      </c>
      <c r="BL87" s="1369" t="str">
        <f>IF('A-80 DirEntInv'!BL86&lt;&gt;"",'A-80 DirEntInv'!BL86,IF(BJ87=summaryref2!X18,summaryref2!Z18,IF(BJ87=summaryref2!X25,summaryref2!Z25,IF(BJ87=summaryref2!X32,summaryref2!Z32,IF(BJ87=summaryref2!X39,summaryref2!Z39,IF(BJ87=summaryref2!X46,summaryref2!Z46,IF(BJ87=summaryref2!X53,summaryref2!Z53,IF(BJ87=summaryref2!X60,summaryref2!Z60,IF(BJ87=summaryref2!X67,summaryref2!Z67,IF(BJ87=summaryref2!X74,summaryref2!Z74,IF(BJ87=summaryref2!X81,summaryref2!Z81,"")))))))))))</f>
        <v/>
      </c>
      <c r="BM87" s="1050" t="str">
        <f>VLOOKUP(BK87,Valid!$B$80:$C$86,2,FALSE)</f>
        <v>Each</v>
      </c>
      <c r="BN87" s="1210" t="str">
        <f>IF('A-80 DirEntInv'!BN86&lt;&gt;"",'A-80 DirEntInv'!BN86,IF(BJ87=summaryref2!X18,summaryref2!AB18,IF(BJ87=summaryref2!X25,summaryref2!AB25,IF(BJ87=summaryref2!X32,summaryref2!AB32,IF(BJ87=summaryref2!X39,summaryref2!AB39,IF(BJ87=summaryref2!X46,summaryref2!AB46,IF(BJ87=summaryref2!X53,summaryref2!AB53,IF(BJ87=summaryref2!X60,summaryref2!AB60,IF(BJ87=summaryref2!X67,summaryref2!AB67,IF(BJ87=summaryref2!X74,summaryref2!AB74,IF(BJ87=summaryref2!X81,summaryref2!AB81,"")))))))))))</f>
        <v/>
      </c>
      <c r="BO87" s="1117" t="str">
        <f>IF('A-80 DirEntInv'!BO86&lt;&gt;"",'A-80 DirEntInv'!BO86,IF(BJ87=summaryref2!X18,summaryref2!AC18,IF(BJ87=summaryref2!X25,summaryref2!AC25,IF(BJ87=summaryref2!X32,summaryref2!AC32,IF(BJ87=summaryref2!X39,summaryref2!AC39,IF(BJ87=summaryref2!X46,summaryref2!AC46,IF(BJ87=summaryref2!X53,summaryref2!AC53,IF(BJ87=summaryref2!X60,summaryref2!AC60,IF(BJ87=summaryref2!X67,summaryref2!AC67,IF(BJ87=summaryref2!X74,summaryref2!AC74,IF(BJ87=summaryref2!X81,summaryref2!AC81,"")))))))))))</f>
        <v/>
      </c>
      <c r="BP87" s="1321" t="str">
        <f>IF('A-80 DirEntInv'!BP86&lt;&gt;"",'A-80 DirEntInv'!BP86,IF(BJ87=summaryref2!X18,summaryref2!AD18,IF(BJ87=summaryref2!X25,summaryref2!AD25,IF(BJ87=summaryref2!X32,summaryref2!AD32,IF(BJ87=summaryref2!X39,summaryref2!AD39,IF(BJ87=summaryref2!X46,summaryref2!AD46,IF(BJ87=summaryref2!X53,summaryref2!AD53,IF(BJ87=summaryref2!X60,summaryref2!AD60,IF(BJ87=summaryref2!X67,summaryref2!AD67,IF(BJ87=summaryref2!X74,summaryref2!AD74,IF(BJ87=summaryref2!X81,summaryref2!AD81,"")))))))))))</f>
        <v/>
      </c>
      <c r="BS87" s="1472" t="str">
        <f ca="1">IF('A-80 DirEntInv'!BU86&lt;&gt;"",'A-80 DirEntInv'!BU86,IF(INDIRECT(ADDRESS(SumRef!DK93,SumRef!DK$16,,,SumRef!$E$6))="","",INDIRECT(ADDRESS(SumRef!DK93,SumRef!DK$16,,,SumRef!$E$6))))</f>
        <v/>
      </c>
      <c r="BT87" s="1458" t="str">
        <f ca="1">IF('A-80 DirEntInv'!BV86&lt;&gt;"",'A-80 DirEntInv'!BV86,IF(INDIRECT(ADDRESS(SumRef!DL93,SumRef!DL$16,,,SumRef!$E$6))="","",INDIRECT(ADDRESS(SumRef!DL93,SumRef!DL$16,,,SumRef!$E$6))))</f>
        <v/>
      </c>
      <c r="BU87" s="1177" t="str">
        <f ca="1">IF('A-80 DirEntInv'!BW86&lt;&gt;"",'A-80 DirEntInv'!BW86,IF(INDIRECT(ADDRESS(SumRef!DM93,SumRef!DM$16,,,SumRef!$E$6))="","",INDIRECT(ADDRESS(SumRef!DM93,SumRef!DM$16,,,SumRef!$E$6))))</f>
        <v/>
      </c>
      <c r="BV87" s="1460" t="str">
        <f ca="1">IF('A-80 DirEntInv'!BX86&lt;&gt;"",'A-80 DirEntInv'!BX86,IF(INDIRECT(ADDRESS(SumRef!DN93,SumRef!DN$16,,,SumRef!$E$6))="","",INDIRECT(ADDRESS(SumRef!DN93,SumRef!DN$16,,,SumRef!$E$6))))</f>
        <v/>
      </c>
      <c r="BW87" s="1460" t="str">
        <f ca="1">IF('A-80 DirEntInv'!BY86&lt;&gt;"",'A-80 DirEntInv'!BY86,IF(INDIRECT(ADDRESS(SumRef!DO93,SumRef!DO$16,,,SumRef!$E$6))="","",INDIRECT(ADDRESS(SumRef!DO93,SumRef!DO$16,,,SumRef!$E$6))))</f>
        <v/>
      </c>
      <c r="BX87" s="1116" t="str">
        <f ca="1">IF('A-80 DirEntInv'!BZ86&lt;&gt;"",'A-80 DirEntInv'!BZ86,IF(INDIRECT(ADDRESS(SumRef!DP93,SumRef!DP$16,,,SumRef!$E$6))="","",INDIRECT(ADDRESS(SumRef!DP93,SumRef!DP$16,,,SumRef!$E$6))))</f>
        <v/>
      </c>
      <c r="BY87" s="1461" t="str">
        <f ca="1">IF('A-80 DirEntInv'!CA86&lt;&gt;"",'A-80 DirEntInv'!CA86,IF(INDIRECT(ADDRESS(SumRef!DQ93,SumRef!DQ$16,,,SumRef!$E$6))="","",INDIRECT(ADDRESS(SumRef!DQ93,SumRef!DQ$16,,,SumRef!$E$6))))</f>
        <v/>
      </c>
      <c r="BZ87" s="1460" t="str">
        <f ca="1">IF('A-80 DirEntInv'!CB86&lt;&gt;"",'A-80 DirEntInv'!CB86,IF(INDIRECT(ADDRESS(SumRef!DR93,SumRef!DR$16,,,SumRef!$E$6))="","",INDIRECT(ADDRESS(SumRef!DR93,SumRef!DR$16,,,SumRef!$E$6))))</f>
        <v/>
      </c>
      <c r="CA87" s="1462" t="str">
        <f ca="1">IF('A-80 DirEntInv'!CC86&lt;&gt;"",'A-80 DirEntInv'!CC86,IF(INDIRECT(ADDRESS(SumRef!DS93,SumRef!DS$16,,,SumRef!$E$6))="","",INDIRECT(ADDRESS(SumRef!DS93,SumRef!DS$16,,,SumRef!$E$6))))</f>
        <v/>
      </c>
      <c r="CD87" s="1160" t="str">
        <f ca="1">IF('A-80 DirEntInv'!CF86&lt;&gt;"",'A-80 DirEntInv'!CF86,IF(INDIRECT(ADDRESS(SumRef!DV93,SumRef!DV$16,,,SumRef!$E$7))="","",INDIRECT(ADDRESS(SumRef!DV93,SumRef!DV$16,,,SumRef!$E$7))))</f>
        <v/>
      </c>
      <c r="CE87" s="1167" t="str">
        <f ca="1">IF('A-80 DirEntInv'!CG86&lt;&gt;"",'A-80 DirEntInv'!CG86,IF(INDIRECT(ADDRESS(SumRef!DW93,SumRef!DW$16,,,SumRef!$E$7))="","",INDIRECT(ADDRESS(SumRef!DW93,SumRef!DW$16,,,SumRef!$E$7))))</f>
        <v/>
      </c>
      <c r="CF87" s="1167" t="str">
        <f ca="1">IF('A-80 DirEntInv'!CH86&lt;&gt;"",'A-80 DirEntInv'!CH86,IF(INDIRECT(ADDRESS(SumRef!DX93,SumRef!DX$16,,,SumRef!$E$7))="","",INDIRECT(ADDRESS(SumRef!DX93,SumRef!DX$16,,,SumRef!$E$7))))</f>
        <v/>
      </c>
      <c r="CG87" s="1167" t="str">
        <f ca="1">IF('A-80 DirEntInv'!CI86&lt;&gt;"",'A-80 DirEntInv'!CI86,IF(INDIRECT(ADDRESS(SumRef!DY93,SumRef!DY$16,,,SumRef!$E$7))="","",INDIRECT(ADDRESS(SumRef!DY93,SumRef!DY$16,,,SumRef!$E$7))))</f>
        <v/>
      </c>
      <c r="CH87" s="1167" t="str">
        <f ca="1">IF('A-80 DirEntInv'!CJ86&lt;&gt;"",'A-80 DirEntInv'!CJ86,IF(INDIRECT(ADDRESS(SumRef!DZ93,SumRef!DZ$16,,,SumRef!$E$7))="","",INDIRECT(ADDRESS(SumRef!DZ93,SumRef!DZ$16,,,SumRef!$E$7))))</f>
        <v/>
      </c>
      <c r="CI87" s="1167" t="str">
        <f ca="1">IF('A-80 DirEntInv'!CK86&lt;&gt;"",'A-80 DirEntInv'!CK86,IF(INDIRECT(ADDRESS(SumRef!EA93,SumRef!EA$16,,,SumRef!$E$7))="","",INDIRECT(ADDRESS(SumRef!EA93,SumRef!EA$16,,,SumRef!$E$7))))</f>
        <v/>
      </c>
      <c r="CJ87" s="1114" t="str">
        <f ca="1">IF('A-80 DirEntInv'!CL86&lt;&gt;"",'A-80 DirEntInv'!CL86,IF(INDIRECT(ADDRESS(SumRef!EB93,SumRef!EB$16,,,SumRef!$E$7))="","",INDIRECT(ADDRESS(SumRef!EB93,SumRef!EB$16,,,SumRef!$E$7))))</f>
        <v/>
      </c>
      <c r="CK87" s="1114" t="str">
        <f ca="1">IF('A-80 DirEntInv'!CM86&lt;&gt;"",'A-80 DirEntInv'!CM86,IF(INDIRECT(ADDRESS(SumRef!EC93,SumRef!EC$16,,,SumRef!$E$7))="","",INDIRECT(ADDRESS(SumRef!EC93,SumRef!EC$16,,,SumRef!$E$7))))</f>
        <v/>
      </c>
      <c r="CL87" s="1113" t="str">
        <f ca="1">IF('A-80 DirEntInv'!CO86&lt;&gt;"",'A-80 DirEntInv'!CO86,IF(INDIRECT(ADDRESS(SumRef!ED93,SumRef!ED$16,,,SumRef!$E$7))="","",INDIRECT(ADDRESS(SumRef!ED93,SumRef!ED$16,,,SumRef!$E$7))))</f>
        <v/>
      </c>
      <c r="CM87" s="1114" t="str">
        <f ca="1">IF('A-80 DirEntInv'!CP86&lt;&gt;"",'A-80 DirEntInv'!CP86,IF(INDIRECT(ADDRESS(SumRef!EE93,SumRef!EE$16,,,SumRef!$E$7))="","",INDIRECT(ADDRESS(SumRef!EE93,SumRef!EE$16,,,SumRef!$E$7))))</f>
        <v/>
      </c>
      <c r="CN87" s="1114" t="str">
        <f ca="1">IF('A-80 DirEntInv'!CQ86&lt;&gt;"",'A-80 DirEntInv'!CQ86,IF(INDIRECT(ADDRESS(SumRef!EF93,SumRef!EF$16,,,SumRef!$E$7))="","",INDIRECT(ADDRESS(SumRef!EF93,SumRef!EF$16,,,SumRef!$E$7))))</f>
        <v/>
      </c>
      <c r="CO87" s="1113" t="str">
        <f ca="1">IF('A-80 DirEntInv'!CR86&lt;&gt;"",'A-80 DirEntInv'!CR86,IF(INDIRECT(ADDRESS(SumRef!EG93,SumRef!EG$16,,,SumRef!$E$7))="","",INDIRECT(ADDRESS(SumRef!EG93,SumRef!EG$16,,,SumRef!$E$7))))</f>
        <v/>
      </c>
      <c r="CP87" s="1114" t="str">
        <f ca="1">IF('A-80 DirEntInv'!CS86&lt;&gt;"",'A-80 DirEntInv'!CS86,IF(INDIRECT(ADDRESS(SumRef!EH93,SumRef!EH$16,,,SumRef!$E$7))="","",INDIRECT(ADDRESS(SumRef!EH93,SumRef!EH$16,,,SumRef!$E$7))))</f>
        <v/>
      </c>
      <c r="CQ87" s="1346" t="str">
        <f ca="1">IF('A-80 DirEntInv'!CT86&lt;&gt;"",'A-80 DirEntInv'!CT86,IF(INDIRECT(ADDRESS(SumRef!EI93,SumRef!EI$16,,,SumRef!$E$7))="","",INDIRECT(ADDRESS(SumRef!EI93,SumRef!EI$16,,,SumRef!$E$7))))</f>
        <v/>
      </c>
      <c r="CR87" s="1113" t="str">
        <f ca="1">IF('A-80 DirEntInv'!CU86&lt;&gt;"",'A-80 DirEntInv'!CU86,IF(INDIRECT(ADDRESS(SumRef!EJ93,SumRef!EJ$16,,,SumRef!$E$7))="","",INDIRECT(ADDRESS(SumRef!EJ93,SumRef!EJ$16,,,SumRef!$E$7))))</f>
        <v/>
      </c>
      <c r="CS87" s="1346" t="str">
        <f ca="1">IF('A-80 DirEntInv'!CV86&lt;&gt;"",'A-80 DirEntInv'!CV86,IF(INDIRECT(ADDRESS(SumRef!EM93,SumRef!EM$16,,,SumRef!$E$7))="","",INDIRECT(ADDRESS(SumRef!EM93,SumRef!EM$16,,,SumRef!$E$7))))</f>
        <v/>
      </c>
      <c r="CT87" s="1113" t="str">
        <f ca="1">IF('A-80 DirEntInv'!CW86&lt;&gt;"",'A-80 DirEntInv'!CW86,IF(INDIRECT(ADDRESS(SumRef!EN93,SumRef!EN$16,,,SumRef!$E$7))="","",INDIRECT(ADDRESS(SumRef!EN93,SumRef!EN$16,,,SumRef!$E$7))))</f>
        <v/>
      </c>
      <c r="CU87" s="1113" t="str">
        <f ca="1">IF('A-80 DirEntInv'!CX86&lt;&gt;"",'A-80 DirEntInv'!CX86,IF(INDIRECT(ADDRESS(SumRef!EO93,SumRef!EO$16,,,SumRef!$E$7))="","",INDIRECT(ADDRESS(SumRef!EO93,SumRef!EO$16,,,SumRef!$E$7))))</f>
        <v/>
      </c>
      <c r="CV87" s="1113" t="str">
        <f ca="1">IF('A-80 DirEntInv'!CY86&lt;&gt;"",'A-80 DirEntInv'!CY86,IF(INDIRECT(ADDRESS(SumRef!EP93,SumRef!EP$16,,,SumRef!$E$7))="","",INDIRECT(ADDRESS(SumRef!EP93,SumRef!EP$16,,,SumRef!$E$7))))</f>
        <v/>
      </c>
      <c r="CW87" s="1114" t="str">
        <f ca="1">IF('A-80 DirEntInv'!CZ86&lt;&gt;"",'A-80 DirEntInv'!CZ86,IF(INDIRECT(ADDRESS(SumRef!ES93,SumRef!ES$16,,,SumRef!$E$7))="","",INDIRECT(ADDRESS(SumRef!ES93,SumRef!ES$16,,,SumRef!$E$7))))</f>
        <v/>
      </c>
      <c r="CX87" s="1167" t="str">
        <f ca="1">IF('A-80 DirEntInv'!DA86&lt;&gt;"",'A-80 DirEntInv'!DA86,IF(INDIRECT(ADDRESS(SumRef!ET93,SumRef!ET$16,,,SumRef!$E$7))="","",INDIRECT(ADDRESS(SumRef!ET93,SumRef!ET$16,,,SumRef!$E$7))))</f>
        <v/>
      </c>
      <c r="CY87" s="1167" t="str">
        <f ca="1">IF('A-80 DirEntInv'!DB86&lt;&gt;"",'A-80 DirEntInv'!DB86,IF(INDIRECT(ADDRESS(SumRef!EU93,SumRef!EU$16,,,SumRef!$E$7))="","",INDIRECT(ADDRESS(SumRef!EU93,SumRef!EU$16,,,SumRef!$E$7))))</f>
        <v/>
      </c>
      <c r="CZ87" s="1167" t="b">
        <f ca="1">IF('A-80 DirEntInv'!DC86&lt;&gt;"",'A-80 DirEntInv'!DC86,IF(INDIRECT(ADDRESS(SumRef!EV93,SumRef!EV$16,,,SumRef!$E$7))="","",INDIRECT(ADDRESS(SumRef!EV93,SumRef!EV$16,,,SumRef!$E$7))))</f>
        <v>0</v>
      </c>
      <c r="DA87" s="1373" t="str">
        <f ca="1">IF('A-80 DirEntInv'!DD86&lt;&gt;"",'A-80 DirEntInv'!DD86,IF(INDIRECT(ADDRESS(SumRef!EW93,SumRef!EW$16,,,SumRef!$E$7))="","",INDIRECT(ADDRESS(SumRef!EW93,SumRef!EW$16,,,SumRef!$E$7))))</f>
        <v/>
      </c>
      <c r="DB87" s="1373" t="b">
        <f ca="1">IF('A-80 DirEntInv'!DE86&lt;&gt;"",'A-80 DirEntInv'!DE86,IF(INDIRECT(ADDRESS(SumRef!EX93,SumRef!EX$16,,,SumRef!$E$7))="","",INDIRECT(ADDRESS(SumRef!EX93,SumRef!EX$16,,,SumRef!$E$7))))</f>
        <v>0</v>
      </c>
      <c r="DC87" s="1114" t="b">
        <f ca="1">IF('A-80 DirEntInv'!DF86&lt;&gt;"",'A-80 DirEntInv'!DF86,IF(INDIRECT(ADDRESS(SumRef!EY93,SumRef!EY$16,,,SumRef!$E$7))="","",INDIRECT(ADDRESS(SumRef!EY93,SumRef!EY$16,,,SumRef!$E$7))))</f>
        <v>0</v>
      </c>
      <c r="DD87" s="1115" t="str">
        <f ca="1">IF('A-80 DirEntInv'!DG86&lt;&gt;"",'A-80 DirEntInv'!DG86,IF(INDIRECT(ADDRESS(SumRef!EZ93,SumRef!EZ$16,,,SumRef!$E$7))="","",INDIRECT(ADDRESS(SumRef!EZ93,SumRef!EZ$16,,,SumRef!$E$7))))</f>
        <v/>
      </c>
    </row>
    <row r="88" spans="1:108" s="588" customFormat="1" x14ac:dyDescent="0.2">
      <c r="A88" s="589">
        <f t="shared" si="1"/>
        <v>78</v>
      </c>
      <c r="B88" s="1155" t="str">
        <f ca="1">IF('A-80 DirEntInv'!B87&lt;&gt;"",'A-80 DirEntInv'!B87,IF(INDIRECT(ADDRESS(SumRef!AQ94,SumRef!AQ$16,,,SumRef!$B$7))="","",INDIRECT(ADDRESS(SumRef!AQ94,SumRef!AQ$16,,,SumRef!$B$7))))</f>
        <v/>
      </c>
      <c r="C88" s="1097" t="str">
        <f ca="1">IF('A-80 DirEntInv'!C87&lt;&gt;"",'A-80 DirEntInv'!C87,IF(INDIRECT(ADDRESS(SumRef!AR94,SumRef!AR$16,,,SumRef!$B$7))="","",INDIRECT(ADDRESS(SumRef!AR94,SumRef!AR$16,,,SumRef!$B$7))))</f>
        <v/>
      </c>
      <c r="D88" s="1097" t="str">
        <f ca="1">IF('A-80 DirEntInv'!D87&lt;&gt;"",'A-80 DirEntInv'!D87,IF(INDIRECT(ADDRESS(SumRef!AS94,SumRef!AS$16,,,SumRef!$B$7))="","",INDIRECT(ADDRESS(SumRef!AS94,SumRef!AS$16,,,SumRef!$B$7))))</f>
        <v/>
      </c>
      <c r="E88" s="1097" t="str">
        <f ca="1">IF('A-80 DirEntInv'!E87&lt;&gt;"",'A-80 DirEntInv'!E87,IF(INDIRECT(ADDRESS(SumRef!AT94,SumRef!AT$16,,,SumRef!$B$7))="","",INDIRECT(ADDRESS(SumRef!AT94,SumRef!AT$16,,,SumRef!$B$7))))</f>
        <v/>
      </c>
      <c r="F88" s="1097" t="str">
        <f ca="1">IF('A-80 DirEntInv'!F87&lt;&gt;"",'A-80 DirEntInv'!F87,IF(INDIRECT(ADDRESS(SumRef!AU94,SumRef!AU$16,,,SumRef!$B$7))="","",INDIRECT(ADDRESS(SumRef!AU94,SumRef!AU$16,,,SumRef!$B$7))))</f>
        <v/>
      </c>
      <c r="G88" s="1158" t="str">
        <f ca="1">IF('A-80 DirEntInv'!G87&lt;&gt;"",'A-80 DirEntInv'!G87,IF(INDIRECT(ADDRESS(SumRef!AV94,SumRef!AV$16,,,SumRef!$B$7))="","",INDIRECT(ADDRESS(SumRef!AV94,SumRef!AV$16,,,SumRef!$B$7))))</f>
        <v/>
      </c>
      <c r="H88" s="1097" t="str">
        <f ca="1">IF('A-80 DirEntInv'!H87&lt;&gt;"",'A-80 DirEntInv'!H87,IF(INDIRECT(ADDRESS(SumRef!AW94,SumRef!AW$16,,,SumRef!$B$7))="","",INDIRECT(ADDRESS(SumRef!AW94,SumRef!AW$16,,,SumRef!$B$7))))</f>
        <v/>
      </c>
      <c r="I88" s="1097" t="str">
        <f ca="1">IF('A-80 DirEntInv'!I87&lt;&gt;"",'A-80 DirEntInv'!I87,IF(INDIRECT(ADDRESS(SumRef!AX94,SumRef!AX$16,,,SumRef!$B$7))="","",INDIRECT(ADDRESS(SumRef!AX94,SumRef!AX$16,,,SumRef!$B$7))))</f>
        <v/>
      </c>
      <c r="J88" s="1098" t="str">
        <f ca="1">IF('A-80 DirEntInv'!J87&lt;&gt;"",'A-80 DirEntInv'!J87,IF(INDIRECT(ADDRESS(SumRef!AY94,SumRef!AY$16,,,SumRef!$B$7))="","",INDIRECT(ADDRESS(SumRef!AY94,SumRef!AY$16,,,SumRef!$B$7))))</f>
        <v/>
      </c>
      <c r="K88" s="1099" t="str">
        <f ca="1">IF('A-80 DirEntInv'!K87&lt;&gt;"",'A-80 DirEntInv'!K87,IF(INDIRECT(ADDRESS(SumRef!AZ94,SumRef!AZ$16,,,SumRef!$B$7))="","",INDIRECT(ADDRESS(SumRef!AZ94,SumRef!AZ$16,,,SumRef!$B$7))))</f>
        <v/>
      </c>
      <c r="L88" s="1100" t="str">
        <f ca="1">IF('A-80 DirEntInv'!L87&lt;&gt;"",'A-80 DirEntInv'!L87,IF(INDIRECT(ADDRESS(SumRef!BA94,SumRef!BA$16,,,SumRef!$B$7))="","",INDIRECT(ADDRESS(SumRef!BA94,SumRef!BA$16,,,SumRef!$B$7))))</f>
        <v/>
      </c>
      <c r="M88" s="1101" t="str">
        <f ca="1">IF('A-80 DirEntInv'!M87&lt;&gt;"",'A-80 DirEntInv'!M87,IF(INDIRECT(ADDRESS(SumRef!BB94,SumRef!BB$16,,,SumRef!$B$7))="","",INDIRECT(ADDRESS(SumRef!BB94,SumRef!BB$16,,,SumRef!$B$7))))</f>
        <v/>
      </c>
      <c r="N88" s="1098" t="str">
        <f ca="1">IF('A-80 DirEntInv'!N87&lt;&gt;"",'A-80 DirEntInv'!N87,IF(INDIRECT(ADDRESS(SumRef!BC94,SumRef!BC$16,,,SumRef!$B$7))="","",INDIRECT(ADDRESS(SumRef!BC94,SumRef!BC$16,,,SumRef!$B$7))))</f>
        <v/>
      </c>
      <c r="O88" s="1102" t="str">
        <f ca="1">IF('A-80 DirEntInv'!O87&lt;&gt;"",'A-80 DirEntInv'!O87,IF(INDIRECT(ADDRESS(SumRef!BD94,SumRef!BD$16,,,SumRef!$B$7))="","",INDIRECT(ADDRESS(SumRef!BD94,SumRef!BD$16,,,SumRef!$B$7))))</f>
        <v/>
      </c>
      <c r="Q88" s="589"/>
      <c r="R88" s="1103" t="str">
        <f ca="1">IF('A-80 DirEntInv'!R87&lt;&gt;"",'A-80 DirEntInv'!R87,IF(INDIRECT(ADDRESS(SumRef!BH94,SumRef!BH$16,,,SumRef!$B$8))="","",INDIRECT(ADDRESS(SumRef!BH94,SumRef!BH$16,,,SumRef!$B$8))))</f>
        <v/>
      </c>
      <c r="S88" s="1104" t="str">
        <f ca="1">IF('A-80 DirEntInv'!S87&lt;&gt;"",'A-80 DirEntInv'!S87,IF(INDIRECT(ADDRESS(SumRef!BI94,SumRef!BI$16,,,SumRef!$B$8))="","",INDIRECT(ADDRESS(SumRef!BI94,SumRef!BI$16,,,SumRef!$B$8))))</f>
        <v/>
      </c>
      <c r="T88" s="1104" t="str">
        <f ca="1">IF('A-80 DirEntInv'!T87&lt;&gt;"",'A-80 DirEntInv'!T87,IF(INDIRECT(ADDRESS(SumRef!BJ94,SumRef!BJ$16,,,SumRef!$B$8))="","",INDIRECT(ADDRESS(SumRef!BJ94,SumRef!BJ$16,,,SumRef!$B$8))))</f>
        <v/>
      </c>
      <c r="U88" s="1104" t="str">
        <f ca="1">IF('A-80 DirEntInv'!U87&lt;&gt;"",'A-80 DirEntInv'!U87,IF(INDIRECT(ADDRESS(SumRef!BK94,SumRef!BK$16,,,SumRef!$B$8))="","",INDIRECT(ADDRESS(SumRef!BK94,SumRef!BK$16,,,SumRef!$B$8))))</f>
        <v/>
      </c>
      <c r="V88" s="1104" t="str">
        <f ca="1">IF('A-80 DirEntInv'!V87&lt;&gt;"",'A-80 DirEntInv'!V87,IF(INDIRECT(ADDRESS(SumRef!BL94,SumRef!BL$16,,,SumRef!$B$8))="","",INDIRECT(ADDRESS(SumRef!BL94,SumRef!BL$16,,,SumRef!$B$8))))</f>
        <v/>
      </c>
      <c r="W88" s="1354" t="str">
        <f ca="1">IF('A-80 DirEntInv'!W87&lt;&gt;"",'A-80 DirEntInv'!W87,IF(INDIRECT(ADDRESS(SumRef!BM94,SumRef!BM$16,,,SumRef!$B$8))="","",INDIRECT(ADDRESS(SumRef!BM94,SumRef!BM$16,,,SumRef!$B$8))))</f>
        <v/>
      </c>
      <c r="X88" s="1203" t="str">
        <f ca="1">IF('A-80 DirEntInv'!X87&lt;&gt;"",'A-80 DirEntInv'!X87,IF(INDIRECT(ADDRESS(SumRef!BN94,SumRef!BN$16,,,SumRef!$B$8))="","",INDIRECT(ADDRESS(SumRef!BN94,SumRef!BN$16,,,SumRef!$B$8))))</f>
        <v/>
      </c>
      <c r="Y88" s="1203" t="str">
        <f ca="1">IF('A-80 DirEntInv'!Y87&lt;&gt;"",'A-80 DirEntInv'!Y87,IF(INDIRECT(ADDRESS(SumRef!BO94,SumRef!BO$16,,,SumRef!$B$8))="","",INDIRECT(ADDRESS(SumRef!BO94,SumRef!BO$16,,,SumRef!$B$8))))</f>
        <v/>
      </c>
      <c r="Z88" s="1104" t="str">
        <f ca="1">IF('A-80 DirEntInv'!Z87&lt;&gt;"",'A-80 DirEntInv'!Z87,IF(INDIRECT(ADDRESS(SumRef!BP94,SumRef!BP$16,,,SumRef!$B$8))="","",INDIRECT(ADDRESS(SumRef!BP94,SumRef!BP$16,,,SumRef!$B$8))))</f>
        <v/>
      </c>
      <c r="AA88" s="1104" t="str">
        <f ca="1">IF('A-80 DirEntInv'!AA87&lt;&gt;"",'A-80 DirEntInv'!AA87,IF(INDIRECT(ADDRESS(SumRef!BQ94,SumRef!BQ$16,,,SumRef!$B$8))="","",INDIRECT(ADDRESS(SumRef!BQ94,SumRef!BQ$16,,,SumRef!$B$8))))</f>
        <v/>
      </c>
      <c r="AB88" s="1106" t="str">
        <f ca="1">IF('A-80 DirEntInv'!AB87&lt;&gt;"",'A-80 DirEntInv'!AB87,IF(INDIRECT(ADDRESS(SumRef!BR94,SumRef!BR$16,,,SumRef!$B$8))="","",INDIRECT(ADDRESS(SumRef!BR94,SumRef!BR$16,,,SumRef!$B$8))))</f>
        <v/>
      </c>
      <c r="AC88" s="1107" t="str">
        <f ca="1">IF('A-80 DirEntInv'!AC87&lt;&gt;"",'A-80 DirEntInv'!AC87,IF(INDIRECT(ADDRESS(SumRef!BS94,SumRef!BS$16,,,SumRef!$B$8))="","",INDIRECT(ADDRESS(SumRef!BS94,SumRef!BS$16,,,SumRef!$B$8))))</f>
        <v/>
      </c>
      <c r="AD88" s="1349" t="str">
        <f ca="1">IF('A-80 DirEntInv'!AD87&lt;&gt;"",'A-80 DirEntInv'!AD87,IF(INDIRECT(ADDRESS(SumRef!BT94,SumRef!BT$16,,,SumRef!$B$8))="","",INDIRECT(ADDRESS(SumRef!BT94,SumRef!BT$16,,,SumRef!$B$8))))</f>
        <v/>
      </c>
      <c r="AE88" s="1137" t="str">
        <f ca="1">IF('A-80 DirEntInv'!AE87&lt;&gt;"",'A-80 DirEntInv'!AE87,IF(INDIRECT(ADDRESS(SumRef!BU94,SumRef!BU$16,,,SumRef!$B$8))="","",INDIRECT(ADDRESS(SumRef!BU94,SumRef!BU$16,,,SumRef!$B$8))))</f>
        <v/>
      </c>
      <c r="AF88" s="1346" t="str">
        <f ca="1">IF('A-80 DirEntInv'!AF87&lt;&gt;"",'A-80 DirEntInv'!AF87,IF(INDIRECT(ADDRESS(SumRef!BV94,SumRef!BV$16,,,SumRef!$B$8))="","",INDIRECT(ADDRESS(SumRef!BV94,SumRef!BV$16,,,SumRef!$B$8))))</f>
        <v/>
      </c>
      <c r="AG88" s="1105" t="str">
        <f ca="1">IF('A-80 DirEntInv'!AG87&lt;&gt;"",'A-80 DirEntInv'!AG87,IF(INDIRECT(ADDRESS(SumRef!BW94,SumRef!BW$16,,,SumRef!$B$8))="","",INDIRECT(ADDRESS(SumRef!BW94,SumRef!BW$16,,,SumRef!$B$8))))</f>
        <v/>
      </c>
      <c r="AH88" s="1357" t="str">
        <f ca="1">IF('A-80 DirEntInv'!AH87&lt;&gt;"",'A-80 DirEntInv'!AH87,IF(INDIRECT(ADDRESS(SumRef!BX94,SumRef!BX$16,,,SumRef!$B$8))="","",INDIRECT(ADDRESS(SumRef!BX94,SumRef!BX$16,,,SumRef!$B$8))))</f>
        <v/>
      </c>
      <c r="AK88" s="1041" t="str">
        <f>Codes!$C$161</f>
        <v>CR - Commuter Rail (DO)</v>
      </c>
      <c r="AL88" s="1042" t="str">
        <f>Valid!$B$78</f>
        <v>Below-Grade/Bored or Blasted Tunnel</v>
      </c>
      <c r="AM88" s="1108" t="str">
        <f>IF('A-80 DirEntInv'!AM87&lt;&gt;"",'A-80 DirEntInv'!AM87,IF(AK88=summaryref2!B19,summaryref2!D19,IF(Summary!AK88=summaryref2!B33,summaryref2!D33,IF(AK88=summaryref2!B47,summaryref2!D47,IF(AK88=summaryref2!B61,summaryref2!D61,IF(AK88=summaryref2!B75,summaryref2!D75,IF(AK88=summaryref2!B89,summaryref2!D89,IF(AK88=summaryref2!B103,summaryref2!D103,IF(AK88=summaryref2!B117,summaryref2!D117,IF(AK88=summaryref2!B131,summaryref2!D131,IF(AK88=summaryref2!B145,summaryref2!D145,"")))))))))))</f>
        <v/>
      </c>
      <c r="AN88" s="1109" t="str">
        <f ca="1">IF('A-80 DirEntInv'!AN87&lt;&gt;"",'A-80 DirEntInv'!AN87,IF(INDIRECT(ADDRESS(SumRef!CG181,SumRef!CG$16,,,SumRef!$C$7))="","",INDIRECT(ADDRESS(SumRef!CG181,SumRef!CG$16,,,SumRef!$C$7))))</f>
        <v>Linear Feet</v>
      </c>
      <c r="AO88" s="1108" t="str">
        <f>IF('A-80 DirEntInv'!AO87&lt;&gt;"",'A-80 DirEntInv'!AO87,IF(AK88=summaryref2!B19,summaryref2!F19,IF(Summary!AK88=summaryref2!B33,summaryref2!F33,IF(AK88=summaryref2!B47,summaryref2!F47,IF(AK88=summaryref2!B61,summaryref2!F61,IF(AK88=summaryref2!B75,summaryref2!F75,IF(AK88=summaryref2!B89,summaryref2!F89,IF(AK88=summaryref2!B103,summaryref2!F103,IF(AK88=summaryref2!B117,summaryref2!F117,IF(AK88=summaryref2!B131,summaryref2!F131,IF(AK88=summaryref2!B145,summaryref2!F145,"")))))))))))</f>
        <v/>
      </c>
      <c r="AP88" s="1109" t="str">
        <f ca="1">IF('A-80 DirEntInv'!AP87&lt;&gt;"",'A-80 DirEntInv'!AP87,IF(INDIRECT(ADDRESS(SumRef!#REF!,SumRef!#REF!,,,SumRef!$C$7))="","",INDIRECT(ADDRESS(SumRef!#REF!,SumRef!#REF!,,,SumRef!$C$7))))</f>
        <v>Track Feet</v>
      </c>
      <c r="AQ88" s="1147" t="str">
        <f>IF('A-80 DirEntInv'!AQ87&lt;&gt;"",'A-80 DirEntInv'!AQ87,IF(AK88=summaryref2!B19,summaryref2!G19,IF(Summary!AK88=summaryref2!B33,summaryref2!G33,IF(AK88=summaryref2!B47,summaryref2!G47,IF(AK88=summaryref2!B61,summaryref2!G61,IF(AK88=summaryref2!B75,summaryref2!G75,IF(AK88=summaryref2!B89,summaryref2!G89,IF(AK88=summaryref2!B103,summaryref2!G103,IF(AK88=summaryref2!B117,summaryref2!G117,IF(AK88=summaryref2!B131,summaryref2!G131,IF(AK88=summaryref2!B145,summaryref2!G145,"")))))))))))</f>
        <v/>
      </c>
      <c r="AR88" s="1147" t="str">
        <f>IF('A-80 DirEntInv'!AR87&lt;&gt;"",'A-80 DirEntInv'!AR87,IF(AK88=summaryref2!B19,summaryref2!H19,IF(Summary!AK88=summaryref2!B33,summaryref2!H33,IF(AK88=summaryref2!B47,summaryref2!H47,IF(AK88=summaryref2!B61,summaryref2!H61,IF(AK88=summaryref2!B75,summaryref2!H75,IF(AK88=summaryref2!B89,summaryref2!H89,IF(AK88=summaryref2!B103,summaryref2!H103,IF(AK88=summaryref2!B117,summaryref2!H117,IF(AK88=summaryref2!B131,summaryref2!H131,IF(AK88=summaryref2!B145,summaryref2!H145,"")))))))))))</f>
        <v/>
      </c>
      <c r="AS88" s="1110" t="str">
        <f>IF('A-80 DirEntInv'!AS87&lt;&gt;"",'A-80 DirEntInv'!AS87,IF(AK88=summaryref2!B19,summaryref2!I19,IF(Summary!AK88=summaryref2!B33,summaryref2!I33,IF(AK88=summaryref2!B47,summaryref2!I47,IF(AK88=summaryref2!B61,summaryref2!I61,IF(AK88=summaryref2!B75,summaryref2!I75,IF(AK88=summaryref2!B89,summaryref2!I89,IF(AK88=summaryref2!B103,summaryref2!I103,IF(AK88=summaryref2!B117,summaryref2!I117,IF(AK88=summaryref2!B131,summaryref2!I131,IF(AK88=summaryref2!B145,summaryref2!I145,"")))))))))))</f>
        <v/>
      </c>
      <c r="AT88" s="1110" t="str">
        <f>IF('A-80 DirEntInv'!AT87&lt;&gt;"",'A-80 DirEntInv'!AT87,IF(AK88=summaryref2!B19,summaryref2!J19,IF(Summary!AK88=summaryref2!B33,summaryref2!J33,IF(AK88=summaryref2!B47,summaryref2!J47,IF(AK88=summaryref2!B61,summaryref2!J61,IF(AK88=summaryref2!B75,summaryref2!J75,IF(AK88=summaryref2!B89,summaryref2!J89,IF(AK88=summaryref2!B103,summaryref2!J103,IF(AK88=summaryref2!B117,summaryref2!J117,IF(AK88=summaryref2!B131,summaryref2!J131,IF(AK88=summaryref2!B145,summaryref2!J145,"")))))))))))</f>
        <v/>
      </c>
      <c r="AU88" s="1110" t="str">
        <f>IF('A-80 DirEntInv'!AU87&lt;&gt;"",'A-80 DirEntInv'!AU87,IF(AK88=summaryref2!B19,summaryref2!K19,IF(Summary!AK88=summaryref2!B33,summaryref2!K33,IF(AK88=summaryref2!B47,summaryref2!K47,IF(AK88=summaryref2!B61,summaryref2!K61,IF(AK88=summaryref2!B75,summaryref2!K75,IF(AK88=summaryref2!B89,summaryref2!K89,IF(AK88=summaryref2!B103,summaryref2!K103,IF(AK88=summaryref2!B117,summaryref2!K117,IF(AK88=summaryref2!B131,summaryref2!K131,IF(AK88=summaryref2!B145,summaryref2!K145,"")))))))))))</f>
        <v/>
      </c>
      <c r="AV88" s="1110" t="str">
        <f>IF('A-80 DirEntInv'!AV87&lt;&gt;"",'A-80 DirEntInv'!AV87,IF(AK88=summaryref2!B19,summaryref2!L19,IF(Summary!AK88=summaryref2!B33,summaryref2!L33,IF(AK88=summaryref2!B47,summaryref2!L47,IF(AK88=summaryref2!B61,summaryref2!L61,IF(AK88=summaryref2!B75,summaryref2!L75,IF(AK88=summaryref2!B89,summaryref2!L89,IF(AK88=summaryref2!B103,summaryref2!L103,IF(AK88=summaryref2!B117,summaryref2!L117,IF(AK88=summaryref2!B131,summaryref2!L131,IF(AK88=summaryref2!B145,summaryref2!L145,"")))))))))))</f>
        <v/>
      </c>
      <c r="AW88" s="1110" t="str">
        <f>IF('A-80 DirEntInv'!AW87&lt;&gt;"",'A-80 DirEntInv'!AW87,IF(AK88=summaryref2!B19,summaryref2!M19,IF(Summary!AK88=summaryref2!B33,summaryref2!M33,IF(AK88=summaryref2!B47,summaryref2!M47,IF(AK88=summaryref2!B61,summaryref2!M61,IF(AK88=summaryref2!B75,summaryref2!M75,IF(AK88=summaryref2!B89,summaryref2!M89,IF(AK88=summaryref2!B103,summaryref2!M103,IF(AK88=summaryref2!B117,summaryref2!M117,IF(AK88=summaryref2!B131,summaryref2!M131,IF(AK88=summaryref2!B145,summaryref2!M145,"")))))))))))</f>
        <v/>
      </c>
      <c r="AX88" s="1110" t="str">
        <f>IF('A-80 DirEntInv'!AX87&lt;&gt;"",'A-80 DirEntInv'!AX87,IF(AK88=summaryref2!B19,summaryref2!N19,IF(Summary!AK88=summaryref2!B33,summaryref2!N33,IF(AK88=summaryref2!B47,summaryref2!N47,IF(AK88=summaryref2!B61,summaryref2!N61,IF(AK88=summaryref2!B75,summaryref2!N75,IF(AK88=summaryref2!B89,summaryref2!N89,IF(AK88=summaryref2!B103,summaryref2!N103,IF(AK88=summaryref2!B117,summaryref2!N117,IF(AK88=summaryref2!B131,summaryref2!N131,IF(AK88=summaryref2!B145,summaryref2!N145,"")))))))))))</f>
        <v/>
      </c>
      <c r="AY88" s="1110" t="str">
        <f>IF('A-80 DirEntInv'!AY87&lt;&gt;"",'A-80 DirEntInv'!AY87,IF(AK88=summaryref2!B19,summaryref2!O19,IF(Summary!AK88=summaryref2!B33,summaryref2!O33,IF(AK88=summaryref2!B47,summaryref2!O47,IF(AK88=summaryref2!B61,summaryref2!O61,IF(AK88=summaryref2!B75,summaryref2!O75,IF(AK88=summaryref2!B89,summaryref2!O89,IF(AK88=summaryref2!B103,summaryref2!O103,IF(AK88=summaryref2!B117,summaryref2!O117,IF(AK88=summaryref2!B131,summaryref2!O131,IF(AK88=summaryref2!B145,summaryref2!O145,"")))))))))))</f>
        <v/>
      </c>
      <c r="AZ88" s="1110" t="str">
        <f>IF('A-80 DirEntInv'!AZ87&lt;&gt;"",'A-80 DirEntInv'!AZ87,IF(AK88=summaryref2!B19,summaryref2!P19,IF(Summary!AK88=summaryref2!B33,summaryref2!P33,IF(AK88=summaryref2!B47,summaryref2!P47,IF(AK88=summaryref2!B61,summaryref2!P61,IF(AK88=summaryref2!B75,summaryref2!P75,IF(AK88=summaryref2!B89,summaryref2!P89,IF(AK88=summaryref2!B103,summaryref2!P103,IF(AK88=summaryref2!B117,summaryref2!P117,IF(AK88=summaryref2!B131,summaryref2!P131,IF(AK88=summaryref2!B145,summaryref2!P145,"")))))))))))</f>
        <v/>
      </c>
      <c r="BA88" s="1110" t="str">
        <f>IF('A-80 DirEntInv'!BA87&lt;&gt;"",'A-80 DirEntInv'!BA87,IF(AK88=summaryref2!B19,summaryref2!Q19,IF(Summary!AK88=summaryref2!B33,summaryref2!Q33,IF(AK88=summaryref2!B47,summaryref2!Q47,IF(AK88=summaryref2!B61,summaryref2!Q61,IF(AK88=summaryref2!B75,summaryref2!Q75,IF(AK88=summaryref2!B89,summaryref2!Q89,IF(AK88=summaryref2!B103,summaryref2!Q103,IF(AK88=summaryref2!B117,summaryref2!Q117,IF(AK88=summaryref2!B131,summaryref2!Q131,IF(AK88=summaryref2!B145,summaryref2!Q145,"")))))))))))</f>
        <v/>
      </c>
      <c r="BB88" s="1110" t="str">
        <f>IF('A-80 DirEntInv'!BB87&lt;&gt;"",'A-80 DirEntInv'!BB87,IF(AK88=summaryref2!B19,summaryref2!R19,IF(Summary!AK88=summaryref2!B33,summaryref2!R33,IF(AK88=summaryref2!B47,summaryref2!R47,IF(AK88=summaryref2!B61,summaryref2!R61,IF(AK88=summaryref2!B75,summaryref2!R75,IF(AK88=summaryref2!B89,summaryref2!R89,IF(AK88=summaryref2!B103,summaryref2!R103,IF(AK88=summaryref2!B117,summaryref2!R117,IF(AK88=summaryref2!B131,summaryref2!R131,IF(AK88=summaryref2!B145,summaryref2!R145,"")))))))))))</f>
        <v/>
      </c>
      <c r="BC88" s="1110" t="str">
        <f>IF('A-80 DirEntInv'!BC87&lt;&gt;0,'A-80 DirEntInv'!BC87,IF(AK88=summaryref2!B19,summaryref2!S19,IF(Summary!AK88=summaryref2!B33,summaryref2!S33,IF(AK88=summaryref2!B47,summaryref2!S47,IF(AK88=summaryref2!B61,summaryref2!S61,IF(AK88=summaryref2!B75,summaryref2!S75,IF(AK88=summaryref2!B89,summaryref2!S89,IF(AK88=summaryref2!B103,summaryref2!S103,IF(AK88=summaryref2!B117,summaryref2!S117,IF(AK88=summaryref2!B131,summaryref2!S131,IF(AK88=summaryref2!B145,summaryref2!S145,"")))))))))))</f>
        <v/>
      </c>
      <c r="BD88" s="1111" t="str">
        <f>IF('A-80 DirEntInv'!BD87&lt;&gt;"",'A-80 DirEntInv'!BD87,IF(AK88=summaryref2!B19,summaryref2!T19,IF(Summary!AK88=summaryref2!B33,summaryref2!T33,IF(AK88=summaryref2!B47,summaryref2!T47,IF(AK88=summaryref2!B61,summaryref2!T61,IF(AK88=summaryref2!B75,summaryref2!T75,IF(AK88=summaryref2!B89,summaryref2!T89,IF(AK88=summaryref2!B103,summaryref2!T103,IF(AK88=summaryref2!B117,summaryref2!T117,IF(AK88=summaryref2!B131,summaryref2!T131,IF(AK88=summaryref2!B145,summaryref2!T145,"")))))))))))</f>
        <v/>
      </c>
      <c r="BE88" s="1184" t="str">
        <f>IF('A-80 DirEntInv'!BE87&lt;&gt;"",'A-80 DirEntInv'!BE87,IF(AK88=summaryref2!B19,summaryref2!U19,IF(Summary!AK88=summaryref2!B33,summaryref2!U33,IF(AK88=summaryref2!B47,summaryref2!U47,IF(AK88=summaryref2!B61,summaryref2!U61,IF(AK88=summaryref2!B75,summaryref2!U75,IF(AK88=summaryref2!B89,summaryref2!U89,IF(AK88=summaryref2!B103,summaryref2!U103,IF(AK88=summaryref2!B117,summaryref2!U117,IF(AK88=summaryref2!B131,summaryref2!U131,IF(AK88=summaryref2!B145,summaryref2!U145,"")))))))))))</f>
        <v/>
      </c>
      <c r="BF88" s="1432"/>
      <c r="BG88" s="1432"/>
      <c r="BJ88" s="1043" t="str">
        <f>Codes!$C$167</f>
        <v>MG - Monorail/Automated Guideway (DO)</v>
      </c>
      <c r="BK88" s="1303" t="str">
        <f>Valid!$B$80</f>
        <v>Tangent</v>
      </c>
      <c r="BL88" s="1366" t="str">
        <f>IF('A-80 DirEntInv'!BL87&lt;&gt;"",'A-80 DirEntInv'!BL87,IF(BJ88=summaryref2!X12,summaryref2!Z12,IF(BJ88=summaryref2!X19,summaryref2!Z19,IF(BJ88=summaryref2!X26,summaryref2!Z26,IF(BJ88=summaryref2!X33,summaryref2!Z33,IF(BJ88=summaryref2!X40,summaryref2!Z40,IF(BJ88=summaryref2!X47,summaryref2!Z47,IF(BJ88=summaryref2!X54,summaryref2!Z54,IF(BJ88=summaryref2!X61,summaryref2!Z61,IF(BJ88=summaryref2!X68,summaryref2!Z68,IF(BJ88=summaryref2!X75,summaryref2!Z75,"")))))))))))</f>
        <v/>
      </c>
      <c r="BM88" s="1303" t="str">
        <f>VLOOKUP(BK88,Valid!$B$80:$C$86,2,FALSE)</f>
        <v>Track Feet</v>
      </c>
      <c r="BN88" s="1208" t="str">
        <f>IF('A-80 DirEntInv'!BN87&lt;&gt;"",'A-80 DirEntInv'!BN87,IF(BJ88=summaryref2!X12,summaryref2!AB12,IF(BJ88=summaryref2!X19,summaryref2!AB19,IF(BJ88=summaryref2!X26,summaryref2!AB26,IF(BJ88=summaryref2!X33,summaryref2!AB33,IF(BJ88=summaryref2!X40,summaryref2!AB40,IF(BJ88=summaryref2!X47,summaryref2!AB47,IF(BJ88=summaryref2!X54,summaryref2!AB54,IF(BJ88=summaryref2!X61,summaryref2!AB61,IF(BJ88=summaryref2!X68,summaryref2!AB68,IF(BJ88=summaryref2!X75,summaryref2!AB75,"")))))))))))</f>
        <v/>
      </c>
      <c r="BO88" s="1112" t="str">
        <f>IF('A-80 DirEntInv'!BO87&lt;&gt;"",'A-80 DirEntInv'!BO87,IF(BJ88=summaryref2!X12,summaryref2!AC12,IF(BJ88=summaryref2!X19,summaryref2!AC19,IF(BJ88=summaryref2!X26,summaryref2!AC26,IF(BJ88=summaryref2!X33,summaryref2!AC33,IF(BJ88=summaryref2!X40,summaryref2!AC40,IF(BJ88=summaryref2!X47,summaryref2!AC47,IF(BJ88=summaryref2!X54,summaryref2!AC54,IF(BJ88=summaryref2!X61,summaryref2!AC61,IF(BJ88=summaryref2!X68,summaryref2!AC68,IF(BJ88=summaryref2!X75,summaryref2!AC75,"")))))))))))</f>
        <v/>
      </c>
      <c r="BP88" s="1320" t="str">
        <f>IF('A-80 DirEntInv'!BP87&lt;&gt;"",'A-80 DirEntInv'!BP87,IF(BJ88=summaryref2!X12,summaryref2!AD12,IF(BJ88=summaryref2!X19,summaryref2!AD19,IF(BJ88=summaryref2!X26,summaryref2!AD26,IF(BJ88=summaryref2!X33,summaryref2!AD33,IF(BJ88=summaryref2!X40,summaryref2!AD40,IF(BJ88=summaryref2!X47,summaryref2!AD47,IF(BJ88=summaryref2!X54,summaryref2!AD54,IF(BJ88=summaryref2!X61,summaryref2!AD61,IF(BJ88=summaryref2!X68,summaryref2!AD68,IF(BJ88=summaryref2!X75,summaryref2!AD75,"")))))))))))</f>
        <v/>
      </c>
      <c r="BS88" s="1472" t="str">
        <f ca="1">IF('A-80 DirEntInv'!BU87&lt;&gt;"",'A-80 DirEntInv'!BU87,IF(INDIRECT(ADDRESS(SumRef!DK94,SumRef!DK$16,,,SumRef!$E$6))="","",INDIRECT(ADDRESS(SumRef!DK94,SumRef!DK$16,,,SumRef!$E$6))))</f>
        <v/>
      </c>
      <c r="BT88" s="1458" t="str">
        <f ca="1">IF('A-80 DirEntInv'!BV87&lt;&gt;"",'A-80 DirEntInv'!BV87,IF(INDIRECT(ADDRESS(SumRef!DL94,SumRef!DL$16,,,SumRef!$E$6))="","",INDIRECT(ADDRESS(SumRef!DL94,SumRef!DL$16,,,SumRef!$E$6))))</f>
        <v/>
      </c>
      <c r="BU88" s="1177" t="str">
        <f ca="1">IF('A-80 DirEntInv'!BW87&lt;&gt;"",'A-80 DirEntInv'!BW87,IF(INDIRECT(ADDRESS(SumRef!DM94,SumRef!DM$16,,,SumRef!$E$6))="","",INDIRECT(ADDRESS(SumRef!DM94,SumRef!DM$16,,,SumRef!$E$6))))</f>
        <v/>
      </c>
      <c r="BV88" s="1460" t="str">
        <f ca="1">IF('A-80 DirEntInv'!BX87&lt;&gt;"",'A-80 DirEntInv'!BX87,IF(INDIRECT(ADDRESS(SumRef!DN94,SumRef!DN$16,,,SumRef!$E$6))="","",INDIRECT(ADDRESS(SumRef!DN94,SumRef!DN$16,,,SumRef!$E$6))))</f>
        <v/>
      </c>
      <c r="BW88" s="1460" t="str">
        <f ca="1">IF('A-80 DirEntInv'!BY87&lt;&gt;"",'A-80 DirEntInv'!BY87,IF(INDIRECT(ADDRESS(SumRef!DO94,SumRef!DO$16,,,SumRef!$E$6))="","",INDIRECT(ADDRESS(SumRef!DO94,SumRef!DO$16,,,SumRef!$E$6))))</f>
        <v/>
      </c>
      <c r="BX88" s="1116" t="str">
        <f ca="1">IF('A-80 DirEntInv'!BZ87&lt;&gt;"",'A-80 DirEntInv'!BZ87,IF(INDIRECT(ADDRESS(SumRef!DP94,SumRef!DP$16,,,SumRef!$E$6))="","",INDIRECT(ADDRESS(SumRef!DP94,SumRef!DP$16,,,SumRef!$E$6))))</f>
        <v/>
      </c>
      <c r="BY88" s="1461" t="str">
        <f ca="1">IF('A-80 DirEntInv'!CA87&lt;&gt;"",'A-80 DirEntInv'!CA87,IF(INDIRECT(ADDRESS(SumRef!DQ94,SumRef!DQ$16,,,SumRef!$E$6))="","",INDIRECT(ADDRESS(SumRef!DQ94,SumRef!DQ$16,,,SumRef!$E$6))))</f>
        <v/>
      </c>
      <c r="BZ88" s="1460" t="str">
        <f ca="1">IF('A-80 DirEntInv'!CB87&lt;&gt;"",'A-80 DirEntInv'!CB87,IF(INDIRECT(ADDRESS(SumRef!DR94,SumRef!DR$16,,,SumRef!$E$6))="","",INDIRECT(ADDRESS(SumRef!DR94,SumRef!DR$16,,,SumRef!$E$6))))</f>
        <v/>
      </c>
      <c r="CA88" s="1462" t="str">
        <f ca="1">IF('A-80 DirEntInv'!CC87&lt;&gt;"",'A-80 DirEntInv'!CC87,IF(INDIRECT(ADDRESS(SumRef!DS94,SumRef!DS$16,,,SumRef!$E$6))="","",INDIRECT(ADDRESS(SumRef!DS94,SumRef!DS$16,,,SumRef!$E$6))))</f>
        <v/>
      </c>
      <c r="CD88" s="1160" t="str">
        <f ca="1">IF('A-80 DirEntInv'!CF87&lt;&gt;"",'A-80 DirEntInv'!CF87,IF(INDIRECT(ADDRESS(SumRef!DV94,SumRef!DV$16,,,SumRef!$E$7))="","",INDIRECT(ADDRESS(SumRef!DV94,SumRef!DV$16,,,SumRef!$E$7))))</f>
        <v/>
      </c>
      <c r="CE88" s="1167" t="str">
        <f ca="1">IF('A-80 DirEntInv'!CG87&lt;&gt;"",'A-80 DirEntInv'!CG87,IF(INDIRECT(ADDRESS(SumRef!DW94,SumRef!DW$16,,,SumRef!$E$7))="","",INDIRECT(ADDRESS(SumRef!DW94,SumRef!DW$16,,,SumRef!$E$7))))</f>
        <v/>
      </c>
      <c r="CF88" s="1167" t="str">
        <f ca="1">IF('A-80 DirEntInv'!CH87&lt;&gt;"",'A-80 DirEntInv'!CH87,IF(INDIRECT(ADDRESS(SumRef!DX94,SumRef!DX$16,,,SumRef!$E$7))="","",INDIRECT(ADDRESS(SumRef!DX94,SumRef!DX$16,,,SumRef!$E$7))))</f>
        <v/>
      </c>
      <c r="CG88" s="1167" t="str">
        <f ca="1">IF('A-80 DirEntInv'!CI87&lt;&gt;"",'A-80 DirEntInv'!CI87,IF(INDIRECT(ADDRESS(SumRef!DY94,SumRef!DY$16,,,SumRef!$E$7))="","",INDIRECT(ADDRESS(SumRef!DY94,SumRef!DY$16,,,SumRef!$E$7))))</f>
        <v/>
      </c>
      <c r="CH88" s="1167" t="str">
        <f ca="1">IF('A-80 DirEntInv'!CJ87&lt;&gt;"",'A-80 DirEntInv'!CJ87,IF(INDIRECT(ADDRESS(SumRef!DZ94,SumRef!DZ$16,,,SumRef!$E$7))="","",INDIRECT(ADDRESS(SumRef!DZ94,SumRef!DZ$16,,,SumRef!$E$7))))</f>
        <v/>
      </c>
      <c r="CI88" s="1167" t="str">
        <f ca="1">IF('A-80 DirEntInv'!CK87&lt;&gt;"",'A-80 DirEntInv'!CK87,IF(INDIRECT(ADDRESS(SumRef!EA94,SumRef!EA$16,,,SumRef!$E$7))="","",INDIRECT(ADDRESS(SumRef!EA94,SumRef!EA$16,,,SumRef!$E$7))))</f>
        <v/>
      </c>
      <c r="CJ88" s="1114" t="str">
        <f ca="1">IF('A-80 DirEntInv'!CL87&lt;&gt;"",'A-80 DirEntInv'!CL87,IF(INDIRECT(ADDRESS(SumRef!EB94,SumRef!EB$16,,,SumRef!$E$7))="","",INDIRECT(ADDRESS(SumRef!EB94,SumRef!EB$16,,,SumRef!$E$7))))</f>
        <v/>
      </c>
      <c r="CK88" s="1114" t="str">
        <f ca="1">IF('A-80 DirEntInv'!CM87&lt;&gt;"",'A-80 DirEntInv'!CM87,IF(INDIRECT(ADDRESS(SumRef!EC94,SumRef!EC$16,,,SumRef!$E$7))="","",INDIRECT(ADDRESS(SumRef!EC94,SumRef!EC$16,,,SumRef!$E$7))))</f>
        <v/>
      </c>
      <c r="CL88" s="1113" t="str">
        <f ca="1">IF('A-80 DirEntInv'!CO87&lt;&gt;"",'A-80 DirEntInv'!CO87,IF(INDIRECT(ADDRESS(SumRef!ED94,SumRef!ED$16,,,SumRef!$E$7))="","",INDIRECT(ADDRESS(SumRef!ED94,SumRef!ED$16,,,SumRef!$E$7))))</f>
        <v/>
      </c>
      <c r="CM88" s="1114" t="str">
        <f ca="1">IF('A-80 DirEntInv'!CP87&lt;&gt;"",'A-80 DirEntInv'!CP87,IF(INDIRECT(ADDRESS(SumRef!EE94,SumRef!EE$16,,,SumRef!$E$7))="","",INDIRECT(ADDRESS(SumRef!EE94,SumRef!EE$16,,,SumRef!$E$7))))</f>
        <v/>
      </c>
      <c r="CN88" s="1114" t="str">
        <f ca="1">IF('A-80 DirEntInv'!CQ87&lt;&gt;"",'A-80 DirEntInv'!CQ87,IF(INDIRECT(ADDRESS(SumRef!EF94,SumRef!EF$16,,,SumRef!$E$7))="","",INDIRECT(ADDRESS(SumRef!EF94,SumRef!EF$16,,,SumRef!$E$7))))</f>
        <v/>
      </c>
      <c r="CO88" s="1113" t="str">
        <f ca="1">IF('A-80 DirEntInv'!CR87&lt;&gt;"",'A-80 DirEntInv'!CR87,IF(INDIRECT(ADDRESS(SumRef!EG94,SumRef!EG$16,,,SumRef!$E$7))="","",INDIRECT(ADDRESS(SumRef!EG94,SumRef!EG$16,,,SumRef!$E$7))))</f>
        <v/>
      </c>
      <c r="CP88" s="1114" t="str">
        <f ca="1">IF('A-80 DirEntInv'!CS87&lt;&gt;"",'A-80 DirEntInv'!CS87,IF(INDIRECT(ADDRESS(SumRef!EH94,SumRef!EH$16,,,SumRef!$E$7))="","",INDIRECT(ADDRESS(SumRef!EH94,SumRef!EH$16,,,SumRef!$E$7))))</f>
        <v/>
      </c>
      <c r="CQ88" s="1346" t="str">
        <f ca="1">IF('A-80 DirEntInv'!CT87&lt;&gt;"",'A-80 DirEntInv'!CT87,IF(INDIRECT(ADDRESS(SumRef!EI94,SumRef!EI$16,,,SumRef!$E$7))="","",INDIRECT(ADDRESS(SumRef!EI94,SumRef!EI$16,,,SumRef!$E$7))))</f>
        <v/>
      </c>
      <c r="CR88" s="1113" t="str">
        <f ca="1">IF('A-80 DirEntInv'!CU87&lt;&gt;"",'A-80 DirEntInv'!CU87,IF(INDIRECT(ADDRESS(SumRef!EJ94,SumRef!EJ$16,,,SumRef!$E$7))="","",INDIRECT(ADDRESS(SumRef!EJ94,SumRef!EJ$16,,,SumRef!$E$7))))</f>
        <v/>
      </c>
      <c r="CS88" s="1346" t="str">
        <f ca="1">IF('A-80 DirEntInv'!CV87&lt;&gt;"",'A-80 DirEntInv'!CV87,IF(INDIRECT(ADDRESS(SumRef!EM94,SumRef!EM$16,,,SumRef!$E$7))="","",INDIRECT(ADDRESS(SumRef!EM94,SumRef!EM$16,,,SumRef!$E$7))))</f>
        <v/>
      </c>
      <c r="CT88" s="1113" t="str">
        <f ca="1">IF('A-80 DirEntInv'!CW87&lt;&gt;"",'A-80 DirEntInv'!CW87,IF(INDIRECT(ADDRESS(SumRef!EN94,SumRef!EN$16,,,SumRef!$E$7))="","",INDIRECT(ADDRESS(SumRef!EN94,SumRef!EN$16,,,SumRef!$E$7))))</f>
        <v/>
      </c>
      <c r="CU88" s="1113" t="str">
        <f ca="1">IF('A-80 DirEntInv'!CX87&lt;&gt;"",'A-80 DirEntInv'!CX87,IF(INDIRECT(ADDRESS(SumRef!EO94,SumRef!EO$16,,,SumRef!$E$7))="","",INDIRECT(ADDRESS(SumRef!EO94,SumRef!EO$16,,,SumRef!$E$7))))</f>
        <v/>
      </c>
      <c r="CV88" s="1113" t="str">
        <f ca="1">IF('A-80 DirEntInv'!CY87&lt;&gt;"",'A-80 DirEntInv'!CY87,IF(INDIRECT(ADDRESS(SumRef!EP94,SumRef!EP$16,,,SumRef!$E$7))="","",INDIRECT(ADDRESS(SumRef!EP94,SumRef!EP$16,,,SumRef!$E$7))))</f>
        <v/>
      </c>
      <c r="CW88" s="1114" t="str">
        <f ca="1">IF('A-80 DirEntInv'!CZ87&lt;&gt;"",'A-80 DirEntInv'!CZ87,IF(INDIRECT(ADDRESS(SumRef!ES94,SumRef!ES$16,,,SumRef!$E$7))="","",INDIRECT(ADDRESS(SumRef!ES94,SumRef!ES$16,,,SumRef!$E$7))))</f>
        <v/>
      </c>
      <c r="CX88" s="1167" t="str">
        <f ca="1">IF('A-80 DirEntInv'!DA87&lt;&gt;"",'A-80 DirEntInv'!DA87,IF(INDIRECT(ADDRESS(SumRef!ET94,SumRef!ET$16,,,SumRef!$E$7))="","",INDIRECT(ADDRESS(SumRef!ET94,SumRef!ET$16,,,SumRef!$E$7))))</f>
        <v/>
      </c>
      <c r="CY88" s="1167" t="str">
        <f ca="1">IF('A-80 DirEntInv'!DB87&lt;&gt;"",'A-80 DirEntInv'!DB87,IF(INDIRECT(ADDRESS(SumRef!EU94,SumRef!EU$16,,,SumRef!$E$7))="","",INDIRECT(ADDRESS(SumRef!EU94,SumRef!EU$16,,,SumRef!$E$7))))</f>
        <v/>
      </c>
      <c r="CZ88" s="1167" t="b">
        <f ca="1">IF('A-80 DirEntInv'!DC87&lt;&gt;"",'A-80 DirEntInv'!DC87,IF(INDIRECT(ADDRESS(SumRef!EV94,SumRef!EV$16,,,SumRef!$E$7))="","",INDIRECT(ADDRESS(SumRef!EV94,SumRef!EV$16,,,SumRef!$E$7))))</f>
        <v>0</v>
      </c>
      <c r="DA88" s="1373" t="str">
        <f ca="1">IF('A-80 DirEntInv'!DD87&lt;&gt;"",'A-80 DirEntInv'!DD87,IF(INDIRECT(ADDRESS(SumRef!EW94,SumRef!EW$16,,,SumRef!$E$7))="","",INDIRECT(ADDRESS(SumRef!EW94,SumRef!EW$16,,,SumRef!$E$7))))</f>
        <v/>
      </c>
      <c r="DB88" s="1373" t="b">
        <f ca="1">IF('A-80 DirEntInv'!DE87&lt;&gt;"",'A-80 DirEntInv'!DE87,IF(INDIRECT(ADDRESS(SumRef!EX94,SumRef!EX$16,,,SumRef!$E$7))="","",INDIRECT(ADDRESS(SumRef!EX94,SumRef!EX$16,,,SumRef!$E$7))))</f>
        <v>0</v>
      </c>
      <c r="DC88" s="1114" t="b">
        <f ca="1">IF('A-80 DirEntInv'!DF87&lt;&gt;"",'A-80 DirEntInv'!DF87,IF(INDIRECT(ADDRESS(SumRef!EY94,SumRef!EY$16,,,SumRef!$E$7))="","",INDIRECT(ADDRESS(SumRef!EY94,SumRef!EY$16,,,SumRef!$E$7))))</f>
        <v>0</v>
      </c>
      <c r="DD88" s="1115" t="str">
        <f ca="1">IF('A-80 DirEntInv'!DG87&lt;&gt;"",'A-80 DirEntInv'!DG87,IF(INDIRECT(ADDRESS(SumRef!EZ94,SumRef!EZ$16,,,SumRef!$E$7))="","",INDIRECT(ADDRESS(SumRef!EZ94,SumRef!EZ$16,,,SumRef!$E$7))))</f>
        <v/>
      </c>
    </row>
    <row r="89" spans="1:108" s="588" customFormat="1" ht="13.5" thickBot="1" x14ac:dyDescent="0.25">
      <c r="A89" s="589">
        <f t="shared" si="1"/>
        <v>79</v>
      </c>
      <c r="B89" s="1155" t="str">
        <f ca="1">IF('A-80 DirEntInv'!B88&lt;&gt;"",'A-80 DirEntInv'!B88,IF(INDIRECT(ADDRESS(SumRef!AQ95,SumRef!AQ$16,,,SumRef!$B$7))="","",INDIRECT(ADDRESS(SumRef!AQ95,SumRef!AQ$16,,,SumRef!$B$7))))</f>
        <v/>
      </c>
      <c r="C89" s="1097" t="str">
        <f ca="1">IF('A-80 DirEntInv'!C88&lt;&gt;"",'A-80 DirEntInv'!C88,IF(INDIRECT(ADDRESS(SumRef!AR95,SumRef!AR$16,,,SumRef!$B$7))="","",INDIRECT(ADDRESS(SumRef!AR95,SumRef!AR$16,,,SumRef!$B$7))))</f>
        <v/>
      </c>
      <c r="D89" s="1097" t="str">
        <f ca="1">IF('A-80 DirEntInv'!D88&lt;&gt;"",'A-80 DirEntInv'!D88,IF(INDIRECT(ADDRESS(SumRef!AS95,SumRef!AS$16,,,SumRef!$B$7))="","",INDIRECT(ADDRESS(SumRef!AS95,SumRef!AS$16,,,SumRef!$B$7))))</f>
        <v/>
      </c>
      <c r="E89" s="1097" t="str">
        <f ca="1">IF('A-80 DirEntInv'!E88&lt;&gt;"",'A-80 DirEntInv'!E88,IF(INDIRECT(ADDRESS(SumRef!AT95,SumRef!AT$16,,,SumRef!$B$7))="","",INDIRECT(ADDRESS(SumRef!AT95,SumRef!AT$16,,,SumRef!$B$7))))</f>
        <v/>
      </c>
      <c r="F89" s="1097" t="str">
        <f ca="1">IF('A-80 DirEntInv'!F88&lt;&gt;"",'A-80 DirEntInv'!F88,IF(INDIRECT(ADDRESS(SumRef!AU95,SumRef!AU$16,,,SumRef!$B$7))="","",INDIRECT(ADDRESS(SumRef!AU95,SumRef!AU$16,,,SumRef!$B$7))))</f>
        <v/>
      </c>
      <c r="G89" s="1158" t="str">
        <f ca="1">IF('A-80 DirEntInv'!G88&lt;&gt;"",'A-80 DirEntInv'!G88,IF(INDIRECT(ADDRESS(SumRef!AV95,SumRef!AV$16,,,SumRef!$B$7))="","",INDIRECT(ADDRESS(SumRef!AV95,SumRef!AV$16,,,SumRef!$B$7))))</f>
        <v/>
      </c>
      <c r="H89" s="1097" t="str">
        <f ca="1">IF('A-80 DirEntInv'!H88&lt;&gt;"",'A-80 DirEntInv'!H88,IF(INDIRECT(ADDRESS(SumRef!AW95,SumRef!AW$16,,,SumRef!$B$7))="","",INDIRECT(ADDRESS(SumRef!AW95,SumRef!AW$16,,,SumRef!$B$7))))</f>
        <v/>
      </c>
      <c r="I89" s="1097" t="str">
        <f ca="1">IF('A-80 DirEntInv'!I88&lt;&gt;"",'A-80 DirEntInv'!I88,IF(INDIRECT(ADDRESS(SumRef!AX95,SumRef!AX$16,,,SumRef!$B$7))="","",INDIRECT(ADDRESS(SumRef!AX95,SumRef!AX$16,,,SumRef!$B$7))))</f>
        <v/>
      </c>
      <c r="J89" s="1098" t="str">
        <f ca="1">IF('A-80 DirEntInv'!J88&lt;&gt;"",'A-80 DirEntInv'!J88,IF(INDIRECT(ADDRESS(SumRef!AY95,SumRef!AY$16,,,SumRef!$B$7))="","",INDIRECT(ADDRESS(SumRef!AY95,SumRef!AY$16,,,SumRef!$B$7))))</f>
        <v/>
      </c>
      <c r="K89" s="1099" t="str">
        <f ca="1">IF('A-80 DirEntInv'!K88&lt;&gt;"",'A-80 DirEntInv'!K88,IF(INDIRECT(ADDRESS(SumRef!AZ95,SumRef!AZ$16,,,SumRef!$B$7))="","",INDIRECT(ADDRESS(SumRef!AZ95,SumRef!AZ$16,,,SumRef!$B$7))))</f>
        <v/>
      </c>
      <c r="L89" s="1100" t="str">
        <f ca="1">IF('A-80 DirEntInv'!L88&lt;&gt;"",'A-80 DirEntInv'!L88,IF(INDIRECT(ADDRESS(SumRef!BA95,SumRef!BA$16,,,SumRef!$B$7))="","",INDIRECT(ADDRESS(SumRef!BA95,SumRef!BA$16,,,SumRef!$B$7))))</f>
        <v/>
      </c>
      <c r="M89" s="1101" t="str">
        <f ca="1">IF('A-80 DirEntInv'!M88&lt;&gt;"",'A-80 DirEntInv'!M88,IF(INDIRECT(ADDRESS(SumRef!BB95,SumRef!BB$16,,,SumRef!$B$7))="","",INDIRECT(ADDRESS(SumRef!BB95,SumRef!BB$16,,,SumRef!$B$7))))</f>
        <v/>
      </c>
      <c r="N89" s="1098" t="str">
        <f ca="1">IF('A-80 DirEntInv'!N88&lt;&gt;"",'A-80 DirEntInv'!N88,IF(INDIRECT(ADDRESS(SumRef!BC95,SumRef!BC$16,,,SumRef!$B$7))="","",INDIRECT(ADDRESS(SumRef!BC95,SumRef!BC$16,,,SumRef!$B$7))))</f>
        <v/>
      </c>
      <c r="O89" s="1102" t="str">
        <f ca="1">IF('A-80 DirEntInv'!O88&lt;&gt;"",'A-80 DirEntInv'!O88,IF(INDIRECT(ADDRESS(SumRef!BD95,SumRef!BD$16,,,SumRef!$B$7))="","",INDIRECT(ADDRESS(SumRef!BD95,SumRef!BD$16,,,SumRef!$B$7))))</f>
        <v/>
      </c>
      <c r="Q89" s="589"/>
      <c r="R89" s="1103" t="str">
        <f ca="1">IF('A-80 DirEntInv'!R88&lt;&gt;"",'A-80 DirEntInv'!R88,IF(INDIRECT(ADDRESS(SumRef!BH95,SumRef!BH$16,,,SumRef!$B$8))="","",INDIRECT(ADDRESS(SumRef!BH95,SumRef!BH$16,,,SumRef!$B$8))))</f>
        <v/>
      </c>
      <c r="S89" s="1104" t="str">
        <f ca="1">IF('A-80 DirEntInv'!S88&lt;&gt;"",'A-80 DirEntInv'!S88,IF(INDIRECT(ADDRESS(SumRef!BI95,SumRef!BI$16,,,SumRef!$B$8))="","",INDIRECT(ADDRESS(SumRef!BI95,SumRef!BI$16,,,SumRef!$B$8))))</f>
        <v/>
      </c>
      <c r="T89" s="1104" t="str">
        <f ca="1">IF('A-80 DirEntInv'!T88&lt;&gt;"",'A-80 DirEntInv'!T88,IF(INDIRECT(ADDRESS(SumRef!BJ95,SumRef!BJ$16,,,SumRef!$B$8))="","",INDIRECT(ADDRESS(SumRef!BJ95,SumRef!BJ$16,,,SumRef!$B$8))))</f>
        <v/>
      </c>
      <c r="U89" s="1104" t="str">
        <f ca="1">IF('A-80 DirEntInv'!U88&lt;&gt;"",'A-80 DirEntInv'!U88,IF(INDIRECT(ADDRESS(SumRef!BK95,SumRef!BK$16,,,SumRef!$B$8))="","",INDIRECT(ADDRESS(SumRef!BK95,SumRef!BK$16,,,SumRef!$B$8))))</f>
        <v/>
      </c>
      <c r="V89" s="1104" t="str">
        <f ca="1">IF('A-80 DirEntInv'!V88&lt;&gt;"",'A-80 DirEntInv'!V88,IF(INDIRECT(ADDRESS(SumRef!BL95,SumRef!BL$16,,,SumRef!$B$8))="","",INDIRECT(ADDRESS(SumRef!BL95,SumRef!BL$16,,,SumRef!$B$8))))</f>
        <v/>
      </c>
      <c r="W89" s="1354" t="str">
        <f ca="1">IF('A-80 DirEntInv'!W88&lt;&gt;"",'A-80 DirEntInv'!W88,IF(INDIRECT(ADDRESS(SumRef!BM95,SumRef!BM$16,,,SumRef!$B$8))="","",INDIRECT(ADDRESS(SumRef!BM95,SumRef!BM$16,,,SumRef!$B$8))))</f>
        <v/>
      </c>
      <c r="X89" s="1203" t="str">
        <f ca="1">IF('A-80 DirEntInv'!X88&lt;&gt;"",'A-80 DirEntInv'!X88,IF(INDIRECT(ADDRESS(SumRef!BN95,SumRef!BN$16,,,SumRef!$B$8))="","",INDIRECT(ADDRESS(SumRef!BN95,SumRef!BN$16,,,SumRef!$B$8))))</f>
        <v/>
      </c>
      <c r="Y89" s="1203" t="str">
        <f ca="1">IF('A-80 DirEntInv'!Y88&lt;&gt;"",'A-80 DirEntInv'!Y88,IF(INDIRECT(ADDRESS(SumRef!BO95,SumRef!BO$16,,,SumRef!$B$8))="","",INDIRECT(ADDRESS(SumRef!BO95,SumRef!BO$16,,,SumRef!$B$8))))</f>
        <v/>
      </c>
      <c r="Z89" s="1104" t="str">
        <f ca="1">IF('A-80 DirEntInv'!Z88&lt;&gt;"",'A-80 DirEntInv'!Z88,IF(INDIRECT(ADDRESS(SumRef!BP95,SumRef!BP$16,,,SumRef!$B$8))="","",INDIRECT(ADDRESS(SumRef!BP95,SumRef!BP$16,,,SumRef!$B$8))))</f>
        <v/>
      </c>
      <c r="AA89" s="1104" t="str">
        <f ca="1">IF('A-80 DirEntInv'!AA88&lt;&gt;"",'A-80 DirEntInv'!AA88,IF(INDIRECT(ADDRESS(SumRef!BQ95,SumRef!BQ$16,,,SumRef!$B$8))="","",INDIRECT(ADDRESS(SumRef!BQ95,SumRef!BQ$16,,,SumRef!$B$8))))</f>
        <v/>
      </c>
      <c r="AB89" s="1106" t="str">
        <f ca="1">IF('A-80 DirEntInv'!AB88&lt;&gt;"",'A-80 DirEntInv'!AB88,IF(INDIRECT(ADDRESS(SumRef!BR95,SumRef!BR$16,,,SumRef!$B$8))="","",INDIRECT(ADDRESS(SumRef!BR95,SumRef!BR$16,,,SumRef!$B$8))))</f>
        <v/>
      </c>
      <c r="AC89" s="1107" t="str">
        <f ca="1">IF('A-80 DirEntInv'!AC88&lt;&gt;"",'A-80 DirEntInv'!AC88,IF(INDIRECT(ADDRESS(SumRef!BS95,SumRef!BS$16,,,SumRef!$B$8))="","",INDIRECT(ADDRESS(SumRef!BS95,SumRef!BS$16,,,SumRef!$B$8))))</f>
        <v/>
      </c>
      <c r="AD89" s="1349" t="str">
        <f ca="1">IF('A-80 DirEntInv'!AD88&lt;&gt;"",'A-80 DirEntInv'!AD88,IF(INDIRECT(ADDRESS(SumRef!BT95,SumRef!BT$16,,,SumRef!$B$8))="","",INDIRECT(ADDRESS(SumRef!BT95,SumRef!BT$16,,,SumRef!$B$8))))</f>
        <v/>
      </c>
      <c r="AE89" s="1137" t="str">
        <f ca="1">IF('A-80 DirEntInv'!AE88&lt;&gt;"",'A-80 DirEntInv'!AE88,IF(INDIRECT(ADDRESS(SumRef!BU95,SumRef!BU$16,,,SumRef!$B$8))="","",INDIRECT(ADDRESS(SumRef!BU95,SumRef!BU$16,,,SumRef!$B$8))))</f>
        <v/>
      </c>
      <c r="AF89" s="1346" t="str">
        <f ca="1">IF('A-80 DirEntInv'!AF88&lt;&gt;"",'A-80 DirEntInv'!AF88,IF(INDIRECT(ADDRESS(SumRef!BV95,SumRef!BV$16,,,SumRef!$B$8))="","",INDIRECT(ADDRESS(SumRef!BV95,SumRef!BV$16,,,SumRef!$B$8))))</f>
        <v/>
      </c>
      <c r="AG89" s="1105" t="str">
        <f ca="1">IF('A-80 DirEntInv'!AG88&lt;&gt;"",'A-80 DirEntInv'!AG88,IF(INDIRECT(ADDRESS(SumRef!BW95,SumRef!BW$16,,,SumRef!$B$8))="","",INDIRECT(ADDRESS(SumRef!BW95,SumRef!BW$16,,,SumRef!$B$8))))</f>
        <v/>
      </c>
      <c r="AH89" s="1357" t="str">
        <f ca="1">IF('A-80 DirEntInv'!AH88&lt;&gt;"",'A-80 DirEntInv'!AH88,IF(INDIRECT(ADDRESS(SumRef!BX95,SumRef!BX$16,,,SumRef!$B$8))="","",INDIRECT(ADDRESS(SumRef!BX95,SumRef!BX$16,,,SumRef!$B$8))))</f>
        <v/>
      </c>
      <c r="AK89" s="1048" t="str">
        <f>Codes!$C$161</f>
        <v>CR - Commuter Rail (DO)</v>
      </c>
      <c r="AL89" s="1049" t="str">
        <f>Valid!$B$79</f>
        <v>Below-Grade/Submerged Tube</v>
      </c>
      <c r="AM89" s="1119" t="str">
        <f>IF('A-80 DirEntInv'!AM88&lt;&gt;"",'A-80 DirEntInv'!AM88,IF(AK89=summaryref2!B20,summaryref2!D20,IF(Summary!AK89=summaryref2!B34,summaryref2!D34,IF(AK89=summaryref2!B48,summaryref2!D48,IF(AK89=summaryref2!B62,summaryref2!D62,IF(AK89=summaryref2!B76,summaryref2!D76,IF(AK89=summaryref2!B90,summaryref2!D90,IF(AK89=summaryref2!B104,summaryref2!D104,IF(AK89=summaryref2!B118,summaryref2!D118,IF(AK89=summaryref2!B132,summaryref2!D132,IF(AK89=summaryref2!B146,summaryref2!D146,"")))))))))))</f>
        <v/>
      </c>
      <c r="AN89" s="1120" t="str">
        <f ca="1">IF('A-80 DirEntInv'!AN88&lt;&gt;"",'A-80 DirEntInv'!AN88,IF(INDIRECT(ADDRESS(SumRef!CG182,SumRef!CG$16,,,SumRef!$C$7))="","",INDIRECT(ADDRESS(SumRef!CG182,SumRef!CG$16,,,SumRef!$C$7))))</f>
        <v>Linear Feet</v>
      </c>
      <c r="AO89" s="1119" t="str">
        <f>IF('A-80 DirEntInv'!AO88&lt;&gt;"",'A-80 DirEntInv'!AO88,IF(AK89=summaryref2!B20,summaryref2!F20,IF(Summary!AK89=summaryref2!B34,summaryref2!F34,IF(AK89=summaryref2!B48,summaryref2!F48,IF(AK89=summaryref2!B62,summaryref2!F62,IF(AK89=summaryref2!B76,summaryref2!F76,IF(AK89=summaryref2!B90,summaryref2!F90,IF(AK89=summaryref2!B104,summaryref2!F104,IF(AK89=summaryref2!B118,summaryref2!F118,IF(AK89=summaryref2!B132,summaryref2!F132,IF(AK89=summaryref2!B146,summaryref2!F146,"")))))))))))</f>
        <v/>
      </c>
      <c r="AP89" s="1120" t="str">
        <f ca="1">IF('A-80 DirEntInv'!AP88&lt;&gt;"",'A-80 DirEntInv'!AP88,IF(INDIRECT(ADDRESS(SumRef!#REF!,SumRef!#REF!,,,SumRef!$C$7))="","",INDIRECT(ADDRESS(SumRef!#REF!,SumRef!#REF!,,,SumRef!$C$7))))</f>
        <v>Track Feet</v>
      </c>
      <c r="AQ89" s="1148" t="str">
        <f>IF('A-80 DirEntInv'!AQ88&lt;&gt;"",'A-80 DirEntInv'!AQ88,IF(AK89=summaryref2!B20,summaryref2!G20,IF(Summary!AK89=summaryref2!B34,summaryref2!G34,IF(AK89=summaryref2!B48,summaryref2!G48,IF(AK89=summaryref2!B62,summaryref2!G62,IF(AK89=summaryref2!B76,summaryref2!G76,IF(AK89=summaryref2!B90,summaryref2!G90,IF(AK89=summaryref2!B104,summaryref2!G104,IF(AK89=summaryref2!B118,summaryref2!G118,IF(AK89=summaryref2!B132,summaryref2!G132,IF(AK89=summaryref2!B146,summaryref2!G146,"")))))))))))</f>
        <v/>
      </c>
      <c r="AR89" s="1148" t="str">
        <f>IF('A-80 DirEntInv'!AR88&lt;&gt;"",'A-80 DirEntInv'!AR88,IF(AK89=summaryref2!B20,summaryref2!H20,IF(Summary!AK89=summaryref2!B34,summaryref2!H34,IF(AK89=summaryref2!B48,summaryref2!H48,IF(AK89=summaryref2!B62,summaryref2!H62,IF(AK89=summaryref2!B76,summaryref2!H76,IF(AK89=summaryref2!B90,summaryref2!H90,IF(AK89=summaryref2!B104,summaryref2!H104,IF(AK89=summaryref2!B118,summaryref2!H118,IF(AK89=summaryref2!B132,summaryref2!H132,IF(AK89=summaryref2!B146,summaryref2!H146,"")))))))))))</f>
        <v/>
      </c>
      <c r="AS89" s="1121" t="str">
        <f>IF('A-80 DirEntInv'!AS88&lt;&gt;"",'A-80 DirEntInv'!AS88,IF(AK89=summaryref2!B20,summaryref2!I20,IF(Summary!AK89=summaryref2!B34,summaryref2!I34,IF(AK89=summaryref2!B48,summaryref2!I48,IF(AK89=summaryref2!B62,summaryref2!I62,IF(AK89=summaryref2!B76,summaryref2!I76,IF(AK89=summaryref2!B90,summaryref2!I90,IF(AK89=summaryref2!B104,summaryref2!I104,IF(AK89=summaryref2!B118,summaryref2!I118,IF(AK89=summaryref2!B132,summaryref2!I132,IF(AK89=summaryref2!B146,summaryref2!I146,"")))))))))))</f>
        <v/>
      </c>
      <c r="AT89" s="1121" t="str">
        <f>IF('A-80 DirEntInv'!AT88&lt;&gt;"",'A-80 DirEntInv'!AT88,IF(AK89=summaryref2!B20,summaryref2!J20,IF(Summary!AK89=summaryref2!B34,summaryref2!J34,IF(AK89=summaryref2!B48,summaryref2!J48,IF(AK89=summaryref2!B62,summaryref2!J62,IF(AK89=summaryref2!B76,summaryref2!J76,IF(AK89=summaryref2!B90,summaryref2!J90,IF(AK89=summaryref2!B104,summaryref2!J104,IF(AK89=summaryref2!B118,summaryref2!J118,IF(AK89=summaryref2!B132,summaryref2!J132,IF(AK89=summaryref2!B146,summaryref2!J146,"")))))))))))</f>
        <v/>
      </c>
      <c r="AU89" s="1121" t="str">
        <f>IF('A-80 DirEntInv'!AU88&lt;&gt;"",'A-80 DirEntInv'!AU88,IF(AK89=summaryref2!B20,summaryref2!K20,IF(Summary!AK89=summaryref2!B34,summaryref2!K34,IF(AK89=summaryref2!B48,summaryref2!K48,IF(AK89=summaryref2!B62,summaryref2!K62,IF(AK89=summaryref2!B76,summaryref2!K76,IF(AK89=summaryref2!B90,summaryref2!K90,IF(AK89=summaryref2!B104,summaryref2!K104,IF(AK89=summaryref2!B118,summaryref2!K118,IF(AK89=summaryref2!B132,summaryref2!K132,IF(AK89=summaryref2!B146,summaryref2!K146,"")))))))))))</f>
        <v/>
      </c>
      <c r="AV89" s="1121" t="str">
        <f>IF('A-80 DirEntInv'!AV88&lt;&gt;"",'A-80 DirEntInv'!AV88,IF(AK89=summaryref2!B20,summaryref2!L20,IF(Summary!AK89=summaryref2!B34,summaryref2!L34,IF(AK89=summaryref2!B48,summaryref2!L48,IF(AK89=summaryref2!B62,summaryref2!L62,IF(AK89=summaryref2!B76,summaryref2!L76,IF(AK89=summaryref2!B90,summaryref2!L90,IF(AK89=summaryref2!B104,summaryref2!L104,IF(AK89=summaryref2!B118,summaryref2!L118,IF(AK89=summaryref2!B132,summaryref2!L132,IF(AK89=summaryref2!B146,summaryref2!L146,"")))))))))))</f>
        <v/>
      </c>
      <c r="AW89" s="1121" t="str">
        <f>IF('A-80 DirEntInv'!AW88&lt;&gt;"",'A-80 DirEntInv'!AW88,IF(AK89=summaryref2!B20,summaryref2!M20,IF(Summary!AK89=summaryref2!B34,summaryref2!M34,IF(AK89=summaryref2!B48,summaryref2!M48,IF(AK89=summaryref2!B62,summaryref2!M62,IF(AK89=summaryref2!B76,summaryref2!M76,IF(AK89=summaryref2!B90,summaryref2!M90,IF(AK89=summaryref2!B104,summaryref2!M104,IF(AK89=summaryref2!B118,summaryref2!M118,IF(AK89=summaryref2!B132,summaryref2!M132,IF(AK89=summaryref2!B146,summaryref2!M146,"")))))))))))</f>
        <v/>
      </c>
      <c r="AX89" s="1121" t="str">
        <f>IF('A-80 DirEntInv'!AX88&lt;&gt;"",'A-80 DirEntInv'!AX88,IF(AK89=summaryref2!B20,summaryref2!N20,IF(Summary!AK89=summaryref2!B34,summaryref2!N34,IF(AK89=summaryref2!B48,summaryref2!N48,IF(AK89=summaryref2!B62,summaryref2!N62,IF(AK89=summaryref2!B76,summaryref2!N76,IF(AK89=summaryref2!B90,summaryref2!N90,IF(AK89=summaryref2!B104,summaryref2!N104,IF(AK89=summaryref2!B118,summaryref2!N118,IF(AK89=summaryref2!B132,summaryref2!N132,IF(AK89=summaryref2!B146,summaryref2!N146,"")))))))))))</f>
        <v/>
      </c>
      <c r="AY89" s="1121" t="str">
        <f>IF('A-80 DirEntInv'!AY88&lt;&gt;"",'A-80 DirEntInv'!AY88,IF(AK89=summaryref2!B20,summaryref2!O20,IF(Summary!AK89=summaryref2!B34,summaryref2!O34,IF(AK89=summaryref2!B48,summaryref2!O48,IF(AK89=summaryref2!B62,summaryref2!O62,IF(AK89=summaryref2!B76,summaryref2!O76,IF(AK89=summaryref2!B90,summaryref2!O90,IF(AK89=summaryref2!B104,summaryref2!O104,IF(AK89=summaryref2!B118,summaryref2!O118,IF(AK89=summaryref2!B132,summaryref2!O132,IF(AK89=summaryref2!B146,summaryref2!O146,"")))))))))))</f>
        <v/>
      </c>
      <c r="AZ89" s="1121" t="str">
        <f>IF('A-80 DirEntInv'!AZ88&lt;&gt;"",'A-80 DirEntInv'!AZ88,IF(AK89=summaryref2!B20,summaryref2!P20,IF(Summary!AK89=summaryref2!B34,summaryref2!P34,IF(AK89=summaryref2!B48,summaryref2!P48,IF(AK89=summaryref2!B62,summaryref2!P62,IF(AK89=summaryref2!B76,summaryref2!P76,IF(AK89=summaryref2!B90,summaryref2!P90,IF(AK89=summaryref2!B104,summaryref2!P104,IF(AK89=summaryref2!B118,summaryref2!P118,IF(AK89=summaryref2!B132,summaryref2!P132,IF(AK89=summaryref2!B146,summaryref2!P146,"")))))))))))</f>
        <v/>
      </c>
      <c r="BA89" s="1121" t="str">
        <f>IF('A-80 DirEntInv'!BA88&lt;&gt;"",'A-80 DirEntInv'!BA88,IF(AK89=summaryref2!B20,summaryref2!Q20,IF(Summary!AK89=summaryref2!B34,summaryref2!Q34,IF(AK89=summaryref2!B48,summaryref2!Q48,IF(AK89=summaryref2!B62,summaryref2!Q62,IF(AK89=summaryref2!B76,summaryref2!Q76,IF(AK89=summaryref2!B90,summaryref2!Q90,IF(AK89=summaryref2!B104,summaryref2!Q104,IF(AK89=summaryref2!B118,summaryref2!Q118,IF(AK89=summaryref2!B132,summaryref2!Q132,IF(AK89=summaryref2!B146,summaryref2!Q146,"")))))))))))</f>
        <v/>
      </c>
      <c r="BB89" s="1121" t="str">
        <f>IF('A-80 DirEntInv'!BB88&lt;&gt;"",'A-80 DirEntInv'!BB88,IF(AK89=summaryref2!B20,summaryref2!R20,IF(Summary!AK89=summaryref2!B34,summaryref2!R34,IF(AK89=summaryref2!B48,summaryref2!R48,IF(AK89=summaryref2!B62,summaryref2!R62,IF(AK89=summaryref2!B76,summaryref2!R76,IF(AK89=summaryref2!B90,summaryref2!R90,IF(AK89=summaryref2!B104,summaryref2!R104,IF(AK89=summaryref2!B118,summaryref2!R118,IF(AK89=summaryref2!B132,summaryref2!R132,IF(AK89=summaryref2!B146,summaryref2!R146,"")))))))))))</f>
        <v/>
      </c>
      <c r="BC89" s="1121" t="str">
        <f>IF('A-80 DirEntInv'!BC88&lt;&gt;0,'A-80 DirEntInv'!BC88,IF(AK89=summaryref2!B20,summaryref2!S20,IF(Summary!AK89=summaryref2!B34,summaryref2!S34,IF(AK89=summaryref2!B48,summaryref2!S48,IF(AK89=summaryref2!B62,summaryref2!S62,IF(AK89=summaryref2!B76,summaryref2!S76,IF(AK89=summaryref2!B90,summaryref2!S90,IF(AK89=summaryref2!B104,summaryref2!S104,IF(AK89=summaryref2!B118,summaryref2!S118,IF(AK89=summaryref2!B132,summaryref2!S132,IF(AK89=summaryref2!B146,summaryref2!S146,"")))))))))))</f>
        <v/>
      </c>
      <c r="BD89" s="1122" t="str">
        <f>IF('A-80 DirEntInv'!BD88&lt;&gt;"",'A-80 DirEntInv'!BD88,IF(AK89=summaryref2!B20,summaryref2!T20,IF(Summary!AK89=summaryref2!B34,summaryref2!T34,IF(AK89=summaryref2!B48,summaryref2!T48,IF(AK89=summaryref2!B62,summaryref2!T62,IF(AK89=summaryref2!B76,summaryref2!T76,IF(AK89=summaryref2!B90,summaryref2!T90,IF(AK89=summaryref2!B104,summaryref2!T104,IF(AK89=summaryref2!B118,summaryref2!T118,IF(AK89=summaryref2!B132,summaryref2!T132,IF(AK89=summaryref2!B146,summaryref2!T146,"")))))))))))</f>
        <v/>
      </c>
      <c r="BE89" s="1190" t="str">
        <f>IF('A-80 DirEntInv'!BE88&lt;&gt;"",'A-80 DirEntInv'!BE88,IF(AK89=summaryref2!B20,summaryref2!U20,IF(Summary!AK89=summaryref2!B34,summaryref2!U34,IF(AK89=summaryref2!B48,summaryref2!U48,IF(AK89=summaryref2!B62,summaryref2!U62,IF(AK89=summaryref2!B76,summaryref2!U76,IF(AK89=summaryref2!B90,summaryref2!U90,IF(AK89=summaryref2!B104,summaryref2!U104,IF(AK89=summaryref2!B118,summaryref2!U118,IF(AK89=summaryref2!B132,summaryref2!U132,IF(AK89=summaryref2!B146,summaryref2!U146,"")))))))))))</f>
        <v/>
      </c>
      <c r="BF89" s="1432"/>
      <c r="BG89" s="1432"/>
      <c r="BJ89" s="1048" t="str">
        <f>Codes!$C$167</f>
        <v>MG - Monorail/Automated Guideway (DO)</v>
      </c>
      <c r="BK89" s="1049" t="str">
        <f>Valid!$B$81</f>
        <v>Curve</v>
      </c>
      <c r="BL89" s="1367" t="str">
        <f>IF('A-80 DirEntInv'!BL88&lt;&gt;"",'A-80 DirEntInv'!BL88,IF(BJ89=summaryref2!X13,summaryref2!Z13,IF(BJ89=summaryref2!X20,summaryref2!Z20,IF(BJ89=summaryref2!X27,summaryref2!Z27,IF(BJ89=summaryref2!X34,summaryref2!Z34,IF(BJ89=summaryref2!X41,summaryref2!Z41,IF(BJ89=summaryref2!X48,summaryref2!Z48,IF(BJ89=summaryref2!X55,summaryref2!Z55,IF(BJ89=summaryref2!X62,summaryref2!Z62,IF(BJ89=summaryref2!X69,summaryref2!Z69,IF(BJ89=summaryref2!X76,summaryref2!Z76,"")))))))))))</f>
        <v/>
      </c>
      <c r="BM89" s="1049" t="str">
        <f>VLOOKUP(BK89,Valid!$B$80:$C$86,2,FALSE)</f>
        <v>Track Feet</v>
      </c>
      <c r="BN89" s="1324" t="str">
        <f>IF('A-80 DirEntInv'!BN88&lt;&gt;"",'A-80 DirEntInv'!BN88,IF(BJ89=summaryref2!X13,summaryref2!AB13,IF(BJ89=summaryref2!X20,summaryref2!AB20,IF(BJ89=summaryref2!X27,summaryref2!AB27,IF(BJ89=summaryref2!X34,summaryref2!AB34,IF(BJ89=summaryref2!X41,summaryref2!AB41,IF(BJ89=summaryref2!X48,summaryref2!AB48,IF(BJ89=summaryref2!X55,summaryref2!AB55,IF(BJ89=summaryref2!X62,summaryref2!AB62,IF(BJ89=summaryref2!X69,summaryref2!AB69,IF(BJ89=summaryref2!X76,summaryref2!AB76,"")))))))))))</f>
        <v/>
      </c>
      <c r="BO89" s="1326" t="str">
        <f>IF('A-80 DirEntInv'!BO88&lt;&gt;"",'A-80 DirEntInv'!BO88,IF(BJ89=summaryref2!X13,summaryref2!AC13,IF(BJ89=summaryref2!X20,summaryref2!AC20,IF(BJ89=summaryref2!X27,summaryref2!AC27,IF(BJ89=summaryref2!X34,summaryref2!AC34,IF(BJ89=summaryref2!X41,summaryref2!AC41,IF(BJ89=summaryref2!X48,summaryref2!AC48,IF(BJ89=summaryref2!X55,summaryref2!AC55,IF(BJ89=summaryref2!X62,summaryref2!AC62,IF(BJ89=summaryref2!X69,summaryref2!AC69,IF(BJ89=summaryref2!X76,summaryref2!AC76,"")))))))))))</f>
        <v/>
      </c>
      <c r="BP89" s="1323" t="str">
        <f>IF('A-80 DirEntInv'!BP88&lt;&gt;"",'A-80 DirEntInv'!BP88,IF(BJ89=summaryref2!X13,summaryref2!AD13,IF(BJ89=summaryref2!X20,summaryref2!AD20,IF(BJ89=summaryref2!X27,summaryref2!AD27,IF(BJ89=summaryref2!X34,summaryref2!AD34,IF(BJ89=summaryref2!X41,summaryref2!AD41,IF(BJ89=summaryref2!X48,summaryref2!AD48,IF(BJ89=summaryref2!X55,summaryref2!AD55,IF(BJ89=summaryref2!X62,summaryref2!AD62,IF(BJ89=summaryref2!X69,summaryref2!AD69,IF(BJ89=summaryref2!X76,summaryref2!AD76,"")))))))))))</f>
        <v/>
      </c>
      <c r="BS89" s="1472" t="str">
        <f ca="1">IF('A-80 DirEntInv'!BU88&lt;&gt;"",'A-80 DirEntInv'!BU88,IF(INDIRECT(ADDRESS(SumRef!DK95,SumRef!DK$16,,,SumRef!$E$6))="","",INDIRECT(ADDRESS(SumRef!DK95,SumRef!DK$16,,,SumRef!$E$6))))</f>
        <v/>
      </c>
      <c r="BT89" s="1458" t="str">
        <f ca="1">IF('A-80 DirEntInv'!BV88&lt;&gt;"",'A-80 DirEntInv'!BV88,IF(INDIRECT(ADDRESS(SumRef!DL95,SumRef!DL$16,,,SumRef!$E$6))="","",INDIRECT(ADDRESS(SumRef!DL95,SumRef!DL$16,,,SumRef!$E$6))))</f>
        <v/>
      </c>
      <c r="BU89" s="1177" t="str">
        <f ca="1">IF('A-80 DirEntInv'!BW88&lt;&gt;"",'A-80 DirEntInv'!BW88,IF(INDIRECT(ADDRESS(SumRef!DM95,SumRef!DM$16,,,SumRef!$E$6))="","",INDIRECT(ADDRESS(SumRef!DM95,SumRef!DM$16,,,SumRef!$E$6))))</f>
        <v/>
      </c>
      <c r="BV89" s="1460" t="str">
        <f ca="1">IF('A-80 DirEntInv'!BX88&lt;&gt;"",'A-80 DirEntInv'!BX88,IF(INDIRECT(ADDRESS(SumRef!DN95,SumRef!DN$16,,,SumRef!$E$6))="","",INDIRECT(ADDRESS(SumRef!DN95,SumRef!DN$16,,,SumRef!$E$6))))</f>
        <v/>
      </c>
      <c r="BW89" s="1460" t="str">
        <f ca="1">IF('A-80 DirEntInv'!BY88&lt;&gt;"",'A-80 DirEntInv'!BY88,IF(INDIRECT(ADDRESS(SumRef!DO95,SumRef!DO$16,,,SumRef!$E$6))="","",INDIRECT(ADDRESS(SumRef!DO95,SumRef!DO$16,,,SumRef!$E$6))))</f>
        <v/>
      </c>
      <c r="BX89" s="1116" t="str">
        <f ca="1">IF('A-80 DirEntInv'!BZ88&lt;&gt;"",'A-80 DirEntInv'!BZ88,IF(INDIRECT(ADDRESS(SumRef!DP95,SumRef!DP$16,,,SumRef!$E$6))="","",INDIRECT(ADDRESS(SumRef!DP95,SumRef!DP$16,,,SumRef!$E$6))))</f>
        <v/>
      </c>
      <c r="BY89" s="1461" t="str">
        <f ca="1">IF('A-80 DirEntInv'!CA88&lt;&gt;"",'A-80 DirEntInv'!CA88,IF(INDIRECT(ADDRESS(SumRef!DQ95,SumRef!DQ$16,,,SumRef!$E$6))="","",INDIRECT(ADDRESS(SumRef!DQ95,SumRef!DQ$16,,,SumRef!$E$6))))</f>
        <v/>
      </c>
      <c r="BZ89" s="1460" t="str">
        <f ca="1">IF('A-80 DirEntInv'!CB88&lt;&gt;"",'A-80 DirEntInv'!CB88,IF(INDIRECT(ADDRESS(SumRef!DR95,SumRef!DR$16,,,SumRef!$E$6))="","",INDIRECT(ADDRESS(SumRef!DR95,SumRef!DR$16,,,SumRef!$E$6))))</f>
        <v/>
      </c>
      <c r="CA89" s="1462" t="str">
        <f ca="1">IF('A-80 DirEntInv'!CC88&lt;&gt;"",'A-80 DirEntInv'!CC88,IF(INDIRECT(ADDRESS(SumRef!DS95,SumRef!DS$16,,,SumRef!$E$6))="","",INDIRECT(ADDRESS(SumRef!DS95,SumRef!DS$16,,,SumRef!$E$6))))</f>
        <v/>
      </c>
      <c r="CD89" s="1160" t="str">
        <f ca="1">IF('A-80 DirEntInv'!CF88&lt;&gt;"",'A-80 DirEntInv'!CF88,IF(INDIRECT(ADDRESS(SumRef!DV95,SumRef!DV$16,,,SumRef!$E$7))="","",INDIRECT(ADDRESS(SumRef!DV95,SumRef!DV$16,,,SumRef!$E$7))))</f>
        <v/>
      </c>
      <c r="CE89" s="1167" t="str">
        <f ca="1">IF('A-80 DirEntInv'!CG88&lt;&gt;"",'A-80 DirEntInv'!CG88,IF(INDIRECT(ADDRESS(SumRef!DW95,SumRef!DW$16,,,SumRef!$E$7))="","",INDIRECT(ADDRESS(SumRef!DW95,SumRef!DW$16,,,SumRef!$E$7))))</f>
        <v/>
      </c>
      <c r="CF89" s="1167" t="str">
        <f ca="1">IF('A-80 DirEntInv'!CH88&lt;&gt;"",'A-80 DirEntInv'!CH88,IF(INDIRECT(ADDRESS(SumRef!DX95,SumRef!DX$16,,,SumRef!$E$7))="","",INDIRECT(ADDRESS(SumRef!DX95,SumRef!DX$16,,,SumRef!$E$7))))</f>
        <v/>
      </c>
      <c r="CG89" s="1167" t="str">
        <f ca="1">IF('A-80 DirEntInv'!CI88&lt;&gt;"",'A-80 DirEntInv'!CI88,IF(INDIRECT(ADDRESS(SumRef!DY95,SumRef!DY$16,,,SumRef!$E$7))="","",INDIRECT(ADDRESS(SumRef!DY95,SumRef!DY$16,,,SumRef!$E$7))))</f>
        <v/>
      </c>
      <c r="CH89" s="1167" t="str">
        <f ca="1">IF('A-80 DirEntInv'!CJ88&lt;&gt;"",'A-80 DirEntInv'!CJ88,IF(INDIRECT(ADDRESS(SumRef!DZ95,SumRef!DZ$16,,,SumRef!$E$7))="","",INDIRECT(ADDRESS(SumRef!DZ95,SumRef!DZ$16,,,SumRef!$E$7))))</f>
        <v/>
      </c>
      <c r="CI89" s="1167" t="str">
        <f ca="1">IF('A-80 DirEntInv'!CK88&lt;&gt;"",'A-80 DirEntInv'!CK88,IF(INDIRECT(ADDRESS(SumRef!EA95,SumRef!EA$16,,,SumRef!$E$7))="","",INDIRECT(ADDRESS(SumRef!EA95,SumRef!EA$16,,,SumRef!$E$7))))</f>
        <v/>
      </c>
      <c r="CJ89" s="1114" t="str">
        <f ca="1">IF('A-80 DirEntInv'!CL88&lt;&gt;"",'A-80 DirEntInv'!CL88,IF(INDIRECT(ADDRESS(SumRef!EB95,SumRef!EB$16,,,SumRef!$E$7))="","",INDIRECT(ADDRESS(SumRef!EB95,SumRef!EB$16,,,SumRef!$E$7))))</f>
        <v/>
      </c>
      <c r="CK89" s="1114" t="str">
        <f ca="1">IF('A-80 DirEntInv'!CM88&lt;&gt;"",'A-80 DirEntInv'!CM88,IF(INDIRECT(ADDRESS(SumRef!EC95,SumRef!EC$16,,,SumRef!$E$7))="","",INDIRECT(ADDRESS(SumRef!EC95,SumRef!EC$16,,,SumRef!$E$7))))</f>
        <v/>
      </c>
      <c r="CL89" s="1113" t="str">
        <f ca="1">IF('A-80 DirEntInv'!CO88&lt;&gt;"",'A-80 DirEntInv'!CO88,IF(INDIRECT(ADDRESS(SumRef!ED95,SumRef!ED$16,,,SumRef!$E$7))="","",INDIRECT(ADDRESS(SumRef!ED95,SumRef!ED$16,,,SumRef!$E$7))))</f>
        <v/>
      </c>
      <c r="CM89" s="1114" t="str">
        <f ca="1">IF('A-80 DirEntInv'!CP88&lt;&gt;"",'A-80 DirEntInv'!CP88,IF(INDIRECT(ADDRESS(SumRef!EE95,SumRef!EE$16,,,SumRef!$E$7))="","",INDIRECT(ADDRESS(SumRef!EE95,SumRef!EE$16,,,SumRef!$E$7))))</f>
        <v/>
      </c>
      <c r="CN89" s="1114" t="str">
        <f ca="1">IF('A-80 DirEntInv'!CQ88&lt;&gt;"",'A-80 DirEntInv'!CQ88,IF(INDIRECT(ADDRESS(SumRef!EF95,SumRef!EF$16,,,SumRef!$E$7))="","",INDIRECT(ADDRESS(SumRef!EF95,SumRef!EF$16,,,SumRef!$E$7))))</f>
        <v/>
      </c>
      <c r="CO89" s="1113" t="str">
        <f ca="1">IF('A-80 DirEntInv'!CR88&lt;&gt;"",'A-80 DirEntInv'!CR88,IF(INDIRECT(ADDRESS(SumRef!EG95,SumRef!EG$16,,,SumRef!$E$7))="","",INDIRECT(ADDRESS(SumRef!EG95,SumRef!EG$16,,,SumRef!$E$7))))</f>
        <v/>
      </c>
      <c r="CP89" s="1114" t="str">
        <f ca="1">IF('A-80 DirEntInv'!CS88&lt;&gt;"",'A-80 DirEntInv'!CS88,IF(INDIRECT(ADDRESS(SumRef!EH95,SumRef!EH$16,,,SumRef!$E$7))="","",INDIRECT(ADDRESS(SumRef!EH95,SumRef!EH$16,,,SumRef!$E$7))))</f>
        <v/>
      </c>
      <c r="CQ89" s="1346" t="str">
        <f ca="1">IF('A-80 DirEntInv'!CT88&lt;&gt;"",'A-80 DirEntInv'!CT88,IF(INDIRECT(ADDRESS(SumRef!EI95,SumRef!EI$16,,,SumRef!$E$7))="","",INDIRECT(ADDRESS(SumRef!EI95,SumRef!EI$16,,,SumRef!$E$7))))</f>
        <v/>
      </c>
      <c r="CR89" s="1113" t="str">
        <f ca="1">IF('A-80 DirEntInv'!CU88&lt;&gt;"",'A-80 DirEntInv'!CU88,IF(INDIRECT(ADDRESS(SumRef!EJ95,SumRef!EJ$16,,,SumRef!$E$7))="","",INDIRECT(ADDRESS(SumRef!EJ95,SumRef!EJ$16,,,SumRef!$E$7))))</f>
        <v/>
      </c>
      <c r="CS89" s="1346" t="str">
        <f ca="1">IF('A-80 DirEntInv'!CV88&lt;&gt;"",'A-80 DirEntInv'!CV88,IF(INDIRECT(ADDRESS(SumRef!EM95,SumRef!EM$16,,,SumRef!$E$7))="","",INDIRECT(ADDRESS(SumRef!EM95,SumRef!EM$16,,,SumRef!$E$7))))</f>
        <v/>
      </c>
      <c r="CT89" s="1113" t="str">
        <f ca="1">IF('A-80 DirEntInv'!CW88&lt;&gt;"",'A-80 DirEntInv'!CW88,IF(INDIRECT(ADDRESS(SumRef!EN95,SumRef!EN$16,,,SumRef!$E$7))="","",INDIRECT(ADDRESS(SumRef!EN95,SumRef!EN$16,,,SumRef!$E$7))))</f>
        <v/>
      </c>
      <c r="CU89" s="1113" t="str">
        <f ca="1">IF('A-80 DirEntInv'!CX88&lt;&gt;"",'A-80 DirEntInv'!CX88,IF(INDIRECT(ADDRESS(SumRef!EO95,SumRef!EO$16,,,SumRef!$E$7))="","",INDIRECT(ADDRESS(SumRef!EO95,SumRef!EO$16,,,SumRef!$E$7))))</f>
        <v/>
      </c>
      <c r="CV89" s="1113" t="str">
        <f ca="1">IF('A-80 DirEntInv'!CY88&lt;&gt;"",'A-80 DirEntInv'!CY88,IF(INDIRECT(ADDRESS(SumRef!EP95,SumRef!EP$16,,,SumRef!$E$7))="","",INDIRECT(ADDRESS(SumRef!EP95,SumRef!EP$16,,,SumRef!$E$7))))</f>
        <v/>
      </c>
      <c r="CW89" s="1114" t="str">
        <f ca="1">IF('A-80 DirEntInv'!CZ88&lt;&gt;"",'A-80 DirEntInv'!CZ88,IF(INDIRECT(ADDRESS(SumRef!ES95,SumRef!ES$16,,,SumRef!$E$7))="","",INDIRECT(ADDRESS(SumRef!ES95,SumRef!ES$16,,,SumRef!$E$7))))</f>
        <v/>
      </c>
      <c r="CX89" s="1167" t="str">
        <f ca="1">IF('A-80 DirEntInv'!DA88&lt;&gt;"",'A-80 DirEntInv'!DA88,IF(INDIRECT(ADDRESS(SumRef!ET95,SumRef!ET$16,,,SumRef!$E$7))="","",INDIRECT(ADDRESS(SumRef!ET95,SumRef!ET$16,,,SumRef!$E$7))))</f>
        <v/>
      </c>
      <c r="CY89" s="1167" t="str">
        <f ca="1">IF('A-80 DirEntInv'!DB88&lt;&gt;"",'A-80 DirEntInv'!DB88,IF(INDIRECT(ADDRESS(SumRef!EU95,SumRef!EU$16,,,SumRef!$E$7))="","",INDIRECT(ADDRESS(SumRef!EU95,SumRef!EU$16,,,SumRef!$E$7))))</f>
        <v/>
      </c>
      <c r="CZ89" s="1167" t="b">
        <f ca="1">IF('A-80 DirEntInv'!DC88&lt;&gt;"",'A-80 DirEntInv'!DC88,IF(INDIRECT(ADDRESS(SumRef!EV95,SumRef!EV$16,,,SumRef!$E$7))="","",INDIRECT(ADDRESS(SumRef!EV95,SumRef!EV$16,,,SumRef!$E$7))))</f>
        <v>0</v>
      </c>
      <c r="DA89" s="1373" t="str">
        <f ca="1">IF('A-80 DirEntInv'!DD88&lt;&gt;"",'A-80 DirEntInv'!DD88,IF(INDIRECT(ADDRESS(SumRef!EW95,SumRef!EW$16,,,SumRef!$E$7))="","",INDIRECT(ADDRESS(SumRef!EW95,SumRef!EW$16,,,SumRef!$E$7))))</f>
        <v/>
      </c>
      <c r="DB89" s="1373" t="b">
        <f ca="1">IF('A-80 DirEntInv'!DE88&lt;&gt;"",'A-80 DirEntInv'!DE88,IF(INDIRECT(ADDRESS(SumRef!EX95,SumRef!EX$16,,,SumRef!$E$7))="","",INDIRECT(ADDRESS(SumRef!EX95,SumRef!EX$16,,,SumRef!$E$7))))</f>
        <v>0</v>
      </c>
      <c r="DC89" s="1114" t="b">
        <f ca="1">IF('A-80 DirEntInv'!DF88&lt;&gt;"",'A-80 DirEntInv'!DF88,IF(INDIRECT(ADDRESS(SumRef!EY95,SumRef!EY$16,,,SumRef!$E$7))="","",INDIRECT(ADDRESS(SumRef!EY95,SumRef!EY$16,,,SumRef!$E$7))))</f>
        <v>0</v>
      </c>
      <c r="DD89" s="1115" t="str">
        <f ca="1">IF('A-80 DirEntInv'!DG88&lt;&gt;"",'A-80 DirEntInv'!DG88,IF(INDIRECT(ADDRESS(SumRef!EZ95,SumRef!EZ$16,,,SumRef!$E$7))="","",INDIRECT(ADDRESS(SumRef!EZ95,SumRef!EZ$16,,,SumRef!$E$7))))</f>
        <v/>
      </c>
    </row>
    <row r="90" spans="1:108" s="588" customFormat="1" ht="13.5" thickTop="1" x14ac:dyDescent="0.2">
      <c r="A90" s="589">
        <f t="shared" si="1"/>
        <v>80</v>
      </c>
      <c r="B90" s="1155" t="str">
        <f ca="1">IF('A-80 DirEntInv'!B89&lt;&gt;"",'A-80 DirEntInv'!B89,IF(INDIRECT(ADDRESS(SumRef!AQ96,SumRef!AQ$16,,,SumRef!$B$7))="","",INDIRECT(ADDRESS(SumRef!AQ96,SumRef!AQ$16,,,SumRef!$B$7))))</f>
        <v/>
      </c>
      <c r="C90" s="1097" t="str">
        <f ca="1">IF('A-80 DirEntInv'!C89&lt;&gt;"",'A-80 DirEntInv'!C89,IF(INDIRECT(ADDRESS(SumRef!AR96,SumRef!AR$16,,,SumRef!$B$7))="","",INDIRECT(ADDRESS(SumRef!AR96,SumRef!AR$16,,,SumRef!$B$7))))</f>
        <v/>
      </c>
      <c r="D90" s="1097" t="str">
        <f ca="1">IF('A-80 DirEntInv'!D89&lt;&gt;"",'A-80 DirEntInv'!D89,IF(INDIRECT(ADDRESS(SumRef!AS96,SumRef!AS$16,,,SumRef!$B$7))="","",INDIRECT(ADDRESS(SumRef!AS96,SumRef!AS$16,,,SumRef!$B$7))))</f>
        <v/>
      </c>
      <c r="E90" s="1097" t="str">
        <f ca="1">IF('A-80 DirEntInv'!E89&lt;&gt;"",'A-80 DirEntInv'!E89,IF(INDIRECT(ADDRESS(SumRef!AT96,SumRef!AT$16,,,SumRef!$B$7))="","",INDIRECT(ADDRESS(SumRef!AT96,SumRef!AT$16,,,SumRef!$B$7))))</f>
        <v/>
      </c>
      <c r="F90" s="1097" t="str">
        <f ca="1">IF('A-80 DirEntInv'!F89&lt;&gt;"",'A-80 DirEntInv'!F89,IF(INDIRECT(ADDRESS(SumRef!AU96,SumRef!AU$16,,,SumRef!$B$7))="","",INDIRECT(ADDRESS(SumRef!AU96,SumRef!AU$16,,,SumRef!$B$7))))</f>
        <v/>
      </c>
      <c r="G90" s="1158" t="str">
        <f ca="1">IF('A-80 DirEntInv'!G89&lt;&gt;"",'A-80 DirEntInv'!G89,IF(INDIRECT(ADDRESS(SumRef!AV96,SumRef!AV$16,,,SumRef!$B$7))="","",INDIRECT(ADDRESS(SumRef!AV96,SumRef!AV$16,,,SumRef!$B$7))))</f>
        <v/>
      </c>
      <c r="H90" s="1097" t="str">
        <f ca="1">IF('A-80 DirEntInv'!H89&lt;&gt;"",'A-80 DirEntInv'!H89,IF(INDIRECT(ADDRESS(SumRef!AW96,SumRef!AW$16,,,SumRef!$B$7))="","",INDIRECT(ADDRESS(SumRef!AW96,SumRef!AW$16,,,SumRef!$B$7))))</f>
        <v/>
      </c>
      <c r="I90" s="1097" t="str">
        <f ca="1">IF('A-80 DirEntInv'!I89&lt;&gt;"",'A-80 DirEntInv'!I89,IF(INDIRECT(ADDRESS(SumRef!AX96,SumRef!AX$16,,,SumRef!$B$7))="","",INDIRECT(ADDRESS(SumRef!AX96,SumRef!AX$16,,,SumRef!$B$7))))</f>
        <v/>
      </c>
      <c r="J90" s="1098" t="str">
        <f ca="1">IF('A-80 DirEntInv'!J89&lt;&gt;"",'A-80 DirEntInv'!J89,IF(INDIRECT(ADDRESS(SumRef!AY96,SumRef!AY$16,,,SumRef!$B$7))="","",INDIRECT(ADDRESS(SumRef!AY96,SumRef!AY$16,,,SumRef!$B$7))))</f>
        <v/>
      </c>
      <c r="K90" s="1099" t="str">
        <f ca="1">IF('A-80 DirEntInv'!K89&lt;&gt;"",'A-80 DirEntInv'!K89,IF(INDIRECT(ADDRESS(SumRef!AZ96,SumRef!AZ$16,,,SumRef!$B$7))="","",INDIRECT(ADDRESS(SumRef!AZ96,SumRef!AZ$16,,,SumRef!$B$7))))</f>
        <v/>
      </c>
      <c r="L90" s="1100" t="str">
        <f ca="1">IF('A-80 DirEntInv'!L89&lt;&gt;"",'A-80 DirEntInv'!L89,IF(INDIRECT(ADDRESS(SumRef!BA96,SumRef!BA$16,,,SumRef!$B$7))="","",INDIRECT(ADDRESS(SumRef!BA96,SumRef!BA$16,,,SumRef!$B$7))))</f>
        <v/>
      </c>
      <c r="M90" s="1101" t="str">
        <f ca="1">IF('A-80 DirEntInv'!M89&lt;&gt;"",'A-80 DirEntInv'!M89,IF(INDIRECT(ADDRESS(SumRef!BB96,SumRef!BB$16,,,SumRef!$B$7))="","",INDIRECT(ADDRESS(SumRef!BB96,SumRef!BB$16,,,SumRef!$B$7))))</f>
        <v/>
      </c>
      <c r="N90" s="1098" t="str">
        <f ca="1">IF('A-80 DirEntInv'!N89&lt;&gt;"",'A-80 DirEntInv'!N89,IF(INDIRECT(ADDRESS(SumRef!BC96,SumRef!BC$16,,,SumRef!$B$7))="","",INDIRECT(ADDRESS(SumRef!BC96,SumRef!BC$16,,,SumRef!$B$7))))</f>
        <v/>
      </c>
      <c r="O90" s="1102" t="str">
        <f ca="1">IF('A-80 DirEntInv'!O89&lt;&gt;"",'A-80 DirEntInv'!O89,IF(INDIRECT(ADDRESS(SumRef!BD96,SumRef!BD$16,,,SumRef!$B$7))="","",INDIRECT(ADDRESS(SumRef!BD96,SumRef!BD$16,,,SumRef!$B$7))))</f>
        <v/>
      </c>
      <c r="Q90" s="589"/>
      <c r="R90" s="1103" t="str">
        <f ca="1">IF('A-80 DirEntInv'!R89&lt;&gt;"",'A-80 DirEntInv'!R89,IF(INDIRECT(ADDRESS(SumRef!BH96,SumRef!BH$16,,,SumRef!$B$8))="","",INDIRECT(ADDRESS(SumRef!BH96,SumRef!BH$16,,,SumRef!$B$8))))</f>
        <v/>
      </c>
      <c r="S90" s="1104" t="str">
        <f ca="1">IF('A-80 DirEntInv'!S89&lt;&gt;"",'A-80 DirEntInv'!S89,IF(INDIRECT(ADDRESS(SumRef!BI96,SumRef!BI$16,,,SumRef!$B$8))="","",INDIRECT(ADDRESS(SumRef!BI96,SumRef!BI$16,,,SumRef!$B$8))))</f>
        <v/>
      </c>
      <c r="T90" s="1104" t="str">
        <f ca="1">IF('A-80 DirEntInv'!T89&lt;&gt;"",'A-80 DirEntInv'!T89,IF(INDIRECT(ADDRESS(SumRef!BJ96,SumRef!BJ$16,,,SumRef!$B$8))="","",INDIRECT(ADDRESS(SumRef!BJ96,SumRef!BJ$16,,,SumRef!$B$8))))</f>
        <v/>
      </c>
      <c r="U90" s="1104" t="str">
        <f ca="1">IF('A-80 DirEntInv'!U89&lt;&gt;"",'A-80 DirEntInv'!U89,IF(INDIRECT(ADDRESS(SumRef!BK96,SumRef!BK$16,,,SumRef!$B$8))="","",INDIRECT(ADDRESS(SumRef!BK96,SumRef!BK$16,,,SumRef!$B$8))))</f>
        <v/>
      </c>
      <c r="V90" s="1104" t="str">
        <f ca="1">IF('A-80 DirEntInv'!V89&lt;&gt;"",'A-80 DirEntInv'!V89,IF(INDIRECT(ADDRESS(SumRef!BL96,SumRef!BL$16,,,SumRef!$B$8))="","",INDIRECT(ADDRESS(SumRef!BL96,SumRef!BL$16,,,SumRef!$B$8))))</f>
        <v/>
      </c>
      <c r="W90" s="1354" t="str">
        <f ca="1">IF('A-80 DirEntInv'!W89&lt;&gt;"",'A-80 DirEntInv'!W89,IF(INDIRECT(ADDRESS(SumRef!BM96,SumRef!BM$16,,,SumRef!$B$8))="","",INDIRECT(ADDRESS(SumRef!BM96,SumRef!BM$16,,,SumRef!$B$8))))</f>
        <v/>
      </c>
      <c r="X90" s="1203" t="str">
        <f ca="1">IF('A-80 DirEntInv'!X89&lt;&gt;"",'A-80 DirEntInv'!X89,IF(INDIRECT(ADDRESS(SumRef!BN96,SumRef!BN$16,,,SumRef!$B$8))="","",INDIRECT(ADDRESS(SumRef!BN96,SumRef!BN$16,,,SumRef!$B$8))))</f>
        <v/>
      </c>
      <c r="Y90" s="1203" t="str">
        <f ca="1">IF('A-80 DirEntInv'!Y89&lt;&gt;"",'A-80 DirEntInv'!Y89,IF(INDIRECT(ADDRESS(SumRef!BO96,SumRef!BO$16,,,SumRef!$B$8))="","",INDIRECT(ADDRESS(SumRef!BO96,SumRef!BO$16,,,SumRef!$B$8))))</f>
        <v/>
      </c>
      <c r="Z90" s="1104" t="str">
        <f ca="1">IF('A-80 DirEntInv'!Z89&lt;&gt;"",'A-80 DirEntInv'!Z89,IF(INDIRECT(ADDRESS(SumRef!BP96,SumRef!BP$16,,,SumRef!$B$8))="","",INDIRECT(ADDRESS(SumRef!BP96,SumRef!BP$16,,,SumRef!$B$8))))</f>
        <v/>
      </c>
      <c r="AA90" s="1104" t="str">
        <f ca="1">IF('A-80 DirEntInv'!AA89&lt;&gt;"",'A-80 DirEntInv'!AA89,IF(INDIRECT(ADDRESS(SumRef!BQ96,SumRef!BQ$16,,,SumRef!$B$8))="","",INDIRECT(ADDRESS(SumRef!BQ96,SumRef!BQ$16,,,SumRef!$B$8))))</f>
        <v/>
      </c>
      <c r="AB90" s="1106" t="str">
        <f ca="1">IF('A-80 DirEntInv'!AB89&lt;&gt;"",'A-80 DirEntInv'!AB89,IF(INDIRECT(ADDRESS(SumRef!BR96,SumRef!BR$16,,,SumRef!$B$8))="","",INDIRECT(ADDRESS(SumRef!BR96,SumRef!BR$16,,,SumRef!$B$8))))</f>
        <v/>
      </c>
      <c r="AC90" s="1107" t="str">
        <f ca="1">IF('A-80 DirEntInv'!AC89&lt;&gt;"",'A-80 DirEntInv'!AC89,IF(INDIRECT(ADDRESS(SumRef!BS96,SumRef!BS$16,,,SumRef!$B$8))="","",INDIRECT(ADDRESS(SumRef!BS96,SumRef!BS$16,,,SumRef!$B$8))))</f>
        <v/>
      </c>
      <c r="AD90" s="1349" t="str">
        <f ca="1">IF('A-80 DirEntInv'!AD89&lt;&gt;"",'A-80 DirEntInv'!AD89,IF(INDIRECT(ADDRESS(SumRef!BT96,SumRef!BT$16,,,SumRef!$B$8))="","",INDIRECT(ADDRESS(SumRef!BT96,SumRef!BT$16,,,SumRef!$B$8))))</f>
        <v/>
      </c>
      <c r="AE90" s="1137" t="str">
        <f ca="1">IF('A-80 DirEntInv'!AE89&lt;&gt;"",'A-80 DirEntInv'!AE89,IF(INDIRECT(ADDRESS(SumRef!BU96,SumRef!BU$16,,,SumRef!$B$8))="","",INDIRECT(ADDRESS(SumRef!BU96,SumRef!BU$16,,,SumRef!$B$8))))</f>
        <v/>
      </c>
      <c r="AF90" s="1346" t="str">
        <f ca="1">IF('A-80 DirEntInv'!AF89&lt;&gt;"",'A-80 DirEntInv'!AF89,IF(INDIRECT(ADDRESS(SumRef!BV96,SumRef!BV$16,,,SumRef!$B$8))="","",INDIRECT(ADDRESS(SumRef!BV96,SumRef!BV$16,,,SumRef!$B$8))))</f>
        <v/>
      </c>
      <c r="AG90" s="1105" t="str">
        <f ca="1">IF('A-80 DirEntInv'!AG89&lt;&gt;"",'A-80 DirEntInv'!AG89,IF(INDIRECT(ADDRESS(SumRef!BW96,SumRef!BW$16,,,SumRef!$B$8))="","",INDIRECT(ADDRESS(SumRef!BW96,SumRef!BW$16,,,SumRef!$B$8))))</f>
        <v/>
      </c>
      <c r="AH90" s="1357" t="str">
        <f ca="1">IF('A-80 DirEntInv'!AH89&lt;&gt;"",'A-80 DirEntInv'!AH89,IF(INDIRECT(ADDRESS(SumRef!BX96,SumRef!BX$16,,,SumRef!$B$8))="","",INDIRECT(ADDRESS(SumRef!BX96,SumRef!BX$16,,,SumRef!$B$8))))</f>
        <v/>
      </c>
      <c r="AK90" s="1181" t="str">
        <f>Codes!$C$161</f>
        <v>CR - Commuter Rail (DO)</v>
      </c>
      <c r="AL90" s="1182" t="str">
        <f>Valid!$B$87</f>
        <v>Substation Building</v>
      </c>
      <c r="AM90" s="1123" t="str">
        <f>IF('A-80 DirEntInv'!AM89&lt;&gt;"",'A-80 DirEntInv'!AM89,IF(AK90=summaryref2!B21,summaryref2!D21,IF(Summary!AK90=summaryref2!B35,summaryref2!D35,IF(AK90=summaryref2!B49,summaryref2!D49,IF(AK90=summaryref2!B63,summaryref2!D63,IF(AK90=summaryref2!B77,summaryref2!D77,IF(AK90=summaryref2!B91,summaryref2!D91,IF(AK90=summaryref2!B105,summaryref2!D105,IF(AK90=summaryref2!B119,summaryref2!D119,IF(AK90=summaryref2!B133,summaryref2!D133,IF(AK90=summaryref2!B197,summaryref2!D147,"")))))))))))</f>
        <v/>
      </c>
      <c r="AN90" s="1124" t="s">
        <v>13</v>
      </c>
      <c r="AO90" s="1123"/>
      <c r="AP90" s="1124"/>
      <c r="AQ90" s="1149" t="str">
        <f>IF('A-80 DirEntInv'!AQ89&lt;&gt;"",'A-80 DirEntInv'!AQ89,IF(AK90=summaryref2!B21,summaryref2!G21,IF(Summary!AK90=summaryref2!B35,summaryref2!G35,IF(AK90=summaryref2!B49,summaryref2!G49,IF(AK90=summaryref2!B63,summaryref2!G63,IF(AK90=summaryref2!B77,summaryref2!G77,IF(AK90=summaryref2!B91,summaryref2!G91,IF(AK90=summaryref2!B105,summaryref2!G105,IF(AK90=summaryref2!B119,summaryref2!G119,IF(AK90=summaryref2!B133,summaryref2!G133,IF(AK90=summaryref2!B147,summaryref2!G147,"")))))))))))</f>
        <v/>
      </c>
      <c r="AR90" s="1149" t="str">
        <f>IF('A-80 DirEntInv'!AR89&lt;&gt;"",'A-80 DirEntInv'!AR89,IF(AK90=summaryref2!B21,summaryref2!H21,IF(Summary!AK90=summaryref2!B35,summaryref2!H35,IF(AK90=summaryref2!B49,summaryref2!H49,IF(AK90=summaryref2!B63,summaryref2!H63,IF(AK90=summaryref2!B77,summaryref2!H77,IF(AK90=summaryref2!B91,summaryref2!H91,IF(AK90=summaryref2!B105,summaryref2!H105,IF(AK90=summaryref2!B119,summaryref2!H119,IF(AK90=summaryref2!B133,summaryref2!H133,IF(AK90=summaryref2!B147,summaryref2!H147,"")))))))))))</f>
        <v/>
      </c>
      <c r="AS90" s="1125" t="str">
        <f>IF('A-80 DirEntInv'!AS89&lt;&gt;"",'A-80 DirEntInv'!AS89,IF(AK90=summaryref2!B21,summaryref2!I21,IF(Summary!AK90=summaryref2!B35,summaryref2!I35,IF(AK90=summaryref2!B49,summaryref2!I49,IF(AK90=summaryref2!B63,summaryref2!I63,IF(AK90=summaryref2!B77,summaryref2!I77,IF(AK90=summaryref2!B91,summaryref2!I91,IF(AK90=summaryref2!B105,summaryref2!I105,IF(AK90=summaryref2!B119,summaryref2!I119,IF(AK90=summaryref2!B133,summaryref2!I133,IF(AK90=summaryref2!B147,summaryref2!I147,"")))))))))))</f>
        <v/>
      </c>
      <c r="AT90" s="1125" t="str">
        <f>IF('A-80 DirEntInv'!AT89&lt;&gt;"",'A-80 DirEntInv'!AT89,IF(AK90=summaryref2!B21,summaryref2!J21,IF(Summary!AK90=summaryref2!B35,summaryref2!J35,IF(AK90=summaryref2!B49,summaryref2!J49,IF(AK90=summaryref2!B63,summaryref2!J63,IF(AK90=summaryref2!B77,summaryref2!J77,IF(AK90=summaryref2!B91,summaryref2!J91,IF(AK90=summaryref2!B105,summaryref2!J105,IF(AK90=summaryref2!B119,summaryref2!J119,IF(AK90=summaryref2!B133,summaryref2!J133,IF(AK90=summaryref2!B147,summaryref2!J147,"")))))))))))</f>
        <v/>
      </c>
      <c r="AU90" s="1125" t="str">
        <f>IF('A-80 DirEntInv'!AU89&lt;&gt;"",'A-80 DirEntInv'!AU89,IF(AK90=summaryref2!B21,summaryref2!K21,IF(Summary!AK90=summaryref2!B35,summaryref2!K35,IF(AK90=summaryref2!B49,summaryref2!K49,IF(AK90=summaryref2!B63,summaryref2!K63,IF(AK90=summaryref2!B77,summaryref2!K77,IF(AK90=summaryref2!B91,summaryref2!K91,IF(AK90=summaryref2!B105,summaryref2!K105,IF(AK90=summaryref2!B119,summaryref2!K119,IF(AK90=summaryref2!B133,summaryref2!K133,IF(AK90=summaryref2!B147,summaryref2!K147,"")))))))))))</f>
        <v/>
      </c>
      <c r="AV90" s="1125" t="str">
        <f>IF('A-80 DirEntInv'!AV89&lt;&gt;"",'A-80 DirEntInv'!AV89,IF(AK90=summaryref2!B21,summaryref2!L21,IF(Summary!AK90=summaryref2!B35,summaryref2!L35,IF(AK90=summaryref2!B49,summaryref2!L49,IF(AK90=summaryref2!B63,summaryref2!L63,IF(AK90=summaryref2!B77,summaryref2!L77,IF(AK90=summaryref2!B91,summaryref2!L91,IF(AK90=summaryref2!B105,summaryref2!L105,IF(AK90=summaryref2!B119,summaryref2!L119,IF(AK90=summaryref2!B133,summaryref2!L133,IF(AK90=summaryref2!B147,summaryref2!L147,"")))))))))))</f>
        <v/>
      </c>
      <c r="AW90" s="1125" t="str">
        <f>IF('A-80 DirEntInv'!AW89&lt;&gt;"",'A-80 DirEntInv'!AW89,IF(AK90=summaryref2!B21,summaryref2!M21,IF(Summary!AK90=summaryref2!B35,summaryref2!M35,IF(AK90=summaryref2!B49,summaryref2!M49,IF(AK90=summaryref2!B63,summaryref2!M63,IF(AK90=summaryref2!B77,summaryref2!M77,IF(AK90=summaryref2!B91,summaryref2!M91,IF(AK90=summaryref2!B105,summaryref2!M105,IF(AK90=summaryref2!B119,summaryref2!M119,IF(AK90=summaryref2!B133,summaryref2!M133,IF(AK90=summaryref2!B147,summaryref2!M147,"")))))))))))</f>
        <v/>
      </c>
      <c r="AX90" s="1125" t="str">
        <f>IF('A-80 DirEntInv'!AX89&lt;&gt;"",'A-80 DirEntInv'!AX89,IF(AK90=summaryref2!B21,summaryref2!N21,IF(Summary!AK90=summaryref2!B35,summaryref2!N35,IF(AK90=summaryref2!B49,summaryref2!N49,IF(AK90=summaryref2!B63,summaryref2!N63,IF(AK90=summaryref2!B77,summaryref2!N77,IF(AK90=summaryref2!B91,summaryref2!N91,IF(AK90=summaryref2!B105,summaryref2!N105,IF(AK90=summaryref2!B119,summaryref2!N119,IF(AK90=summaryref2!B133,summaryref2!N133,IF(AK90=summaryref2!B147,summaryref2!N147,"")))))))))))</f>
        <v/>
      </c>
      <c r="AY90" s="1125" t="str">
        <f>IF('A-80 DirEntInv'!AY89&lt;&gt;"",'A-80 DirEntInv'!AY89,IF(AK90=summaryref2!B21,summaryref2!O21,IF(Summary!AK90=summaryref2!B35,summaryref2!O35,IF(AK90=summaryref2!B49,summaryref2!O49,IF(AK90=summaryref2!B63,summaryref2!O63,IF(AK90=summaryref2!B77,summaryref2!O77,IF(AK90=summaryref2!B91,summaryref2!O91,IF(AK90=summaryref2!B105,summaryref2!O105,IF(AK90=summaryref2!B119,summaryref2!O119,IF(AK90=summaryref2!B133,summaryref2!O133,IF(AK90=summaryref2!B147,summaryref2!O147,"")))))))))))</f>
        <v/>
      </c>
      <c r="AZ90" s="1125" t="str">
        <f>IF('A-80 DirEntInv'!AZ89&lt;&gt;"",'A-80 DirEntInv'!AZ89,IF(AK90=summaryref2!B21,summaryref2!P21,IF(Summary!AK90=summaryref2!B35,summaryref2!P35,IF(AK90=summaryref2!B49,summaryref2!P49,IF(AK90=summaryref2!B63,summaryref2!P63,IF(AK90=summaryref2!B77,summaryref2!P77,IF(AK90=summaryref2!B91,summaryref2!P91,IF(AK90=summaryref2!B105,summaryref2!P105,IF(AK90=summaryref2!B119,summaryref2!P119,IF(AK90=summaryref2!B133,summaryref2!P133,IF(AK90=summaryref2!B147,summaryref2!P147,"")))))))))))</f>
        <v/>
      </c>
      <c r="BA90" s="1125" t="str">
        <f>IF('A-80 DirEntInv'!BA89&lt;&gt;"",'A-80 DirEntInv'!BA89,IF(AK90=summaryref2!B21,summaryref2!Q21,IF(Summary!AK90=summaryref2!B35,summaryref2!Q35,IF(AK90=summaryref2!B49,summaryref2!Q49,IF(AK90=summaryref2!B63,summaryref2!Q63,IF(AK90=summaryref2!B77,summaryref2!Q77,IF(AK90=summaryref2!B91,summaryref2!Q91,IF(AK90=summaryref2!B105,summaryref2!Q105,IF(AK90=summaryref2!B119,summaryref2!Q119,IF(AK90=summaryref2!B133,summaryref2!Q133,IF(AK90=summaryref2!B147,summaryref2!Q147,"")))))))))))</f>
        <v/>
      </c>
      <c r="BB90" s="1125" t="str">
        <f>IF('A-80 DirEntInv'!BB89&lt;&gt;"",'A-80 DirEntInv'!BB89,IF(AK90=summaryref2!B21,summaryref2!R21,IF(Summary!AK90=summaryref2!B35,summaryref2!R35,IF(AK90=summaryref2!B49,summaryref2!R49,IF(AK90=summaryref2!B63,summaryref2!R63,IF(AK90=summaryref2!B77,summaryref2!R77,IF(AK90=summaryref2!B91,summaryref2!R91,IF(AK90=summaryref2!B105,summaryref2!R105,IF(AK90=summaryref2!B119,summaryref2!R119,IF(AK90=summaryref2!B133,summaryref2!R133,IF(AK90=summaryref2!B147,summaryref2!R147,"")))))))))))</f>
        <v/>
      </c>
      <c r="BC90" s="1125" t="str">
        <f>IF('A-80 DirEntInv'!BC89&lt;&gt;0,'A-80 DirEntInv'!BC89,IF(AK90=summaryref2!B21,summaryref2!S21,IF(Summary!AK90=summaryref2!B35,summaryref2!S35,IF(AK90=summaryref2!B49,summaryref2!S49,IF(AK90=summaryref2!B63,summaryref2!S63,IF(AK90=summaryref2!B77,summaryref2!S77,IF(AK90=summaryref2!B91,summaryref2!S91,IF(AK90=summaryref2!B105,summaryref2!S105,IF(AK90=summaryref2!B119,summaryref2!S119,IF(AK90=summaryref2!B133,summaryref2!S133,IF(AK90=summaryref2!B147,summaryref2!S147,"")))))))))))</f>
        <v/>
      </c>
      <c r="BD90" s="1126" t="str">
        <f>IF('A-80 DirEntInv'!BD89&lt;&gt;"",'A-80 DirEntInv'!BD89,IF(AK90=summaryref2!B21,summaryref2!T21,IF(Summary!AK90=summaryref2!B35,summaryref2!T35,IF(AK90=summaryref2!B49,summaryref2!T49,IF(AK90=summaryref2!B63,summaryref2!T63,IF(AK90=summaryref2!B77,summaryref2!T77,IF(AK90=summaryref2!B91,summaryref2!T91,IF(AK90=summaryref2!B105,summaryref2!T105,IF(AK90=summaryref2!B119,summaryref2!T119,IF(AK90=summaryref2!B133,summaryref2!T133,IF(AK90=summaryref2!B147,summaryref2!T147,"")))))))))))</f>
        <v/>
      </c>
      <c r="BE90" s="1183" t="str">
        <f>IF('A-80 DirEntInv'!BE89&lt;&gt;"",'A-80 DirEntInv'!BE89,IF(AK90=summaryref2!B21,summaryref2!U21,IF(Summary!AK90=summaryref2!B35,summaryref2!U35,IF(AK90=summaryref2!B49,summaryref2!U49,IF(AK90=summaryref2!B63,summaryref2!U63,IF(AK90=summaryref2!B77,summaryref2!U77,IF(AK90=summaryref2!B91,summaryref2!U91,IF(AK90=summaryref2!B105,summaryref2!U105,IF(AK90=summaryref2!B119,summaryref2!U119,IF(AK90=summaryref2!B133,summaryref2!U133,IF(AK90=summaryref2!B147,summaryref2!U147,"")))))))))))</f>
        <v/>
      </c>
      <c r="BF90" s="1432"/>
      <c r="BG90" s="1432"/>
      <c r="BJ90" s="1045" t="str">
        <f>Codes!$C$167</f>
        <v>MG - Monorail/Automated Guideway (DO)</v>
      </c>
      <c r="BK90" s="1046" t="str">
        <f>Valid!$B$82</f>
        <v>Double Diamond Crossover</v>
      </c>
      <c r="BL90" s="1368" t="str">
        <f>IF('A-80 DirEntInv'!BL89&lt;&gt;"",'A-80 DirEntInv'!BL89,IF(BJ90=summaryref2!X14,summaryref2!Z14,IF(BJ90=summaryref2!X21,summaryref2!Z21,IF(BJ90=summaryref2!X28,summaryref2!Z28,IF(BJ90=summaryref2!X35,summaryref2!Z35,IF(BJ90=summaryref2!X42,summaryref2!Z42,IF(BJ90=summaryref2!X49,summaryref2!Z49,IF(BJ90=summaryref2!X56,summaryref2!Z56,IF(BJ90=summaryref2!X63,summaryref2!Z63,IF(BJ90=summaryref2!X70,summaryref2!Z70,IF(BJ90=summaryref2!X77,summaryref2!Z77,"")))))))))))</f>
        <v/>
      </c>
      <c r="BM90" s="1046" t="str">
        <f>VLOOKUP(BK90,Valid!$B$80:$C$86,2,FALSE)</f>
        <v>Each</v>
      </c>
      <c r="BN90" s="1325" t="str">
        <f>IF('A-80 DirEntInv'!BN89&lt;&gt;"",'A-80 DirEntInv'!BN89,IF(BJ90=summaryref2!X14,summaryref2!AB14,IF(BJ90=summaryref2!X21,summaryref2!AB21,IF(BJ90=summaryref2!X28,summaryref2!AB28,IF(BJ90=summaryref2!X35,summaryref2!AB35,IF(BJ90=summaryref2!X42,summaryref2!AB42,IF(BJ90=summaryref2!X49,summaryref2!AB49,IF(BJ90=summaryref2!X56,summaryref2!AB56,IF(BJ90=summaryref2!X63,summaryref2!AB63,IF(BJ90=summaryref2!X70,summaryref2!AB70,IF(BJ90=summaryref2!X77,summaryref2!AB77,"")))))))))))</f>
        <v/>
      </c>
      <c r="BO90" s="1327" t="str">
        <f>IF('A-80 DirEntInv'!BO89&lt;&gt;"",'A-80 DirEntInv'!BO89,IF(BJ90=summaryref2!X14,summaryref2!AC14,IF(BJ90=summaryref2!X21,summaryref2!AC21,IF(BJ90=summaryref2!X28,summaryref2!AC28,IF(BJ90=summaryref2!X35,summaryref2!AC35,IF(BJ90=summaryref2!X42,summaryref2!AC42,IF(BJ90=summaryref2!X49,summaryref2!AC49,IF(BJ90=summaryref2!X56,summaryref2!AC56,IF(BJ90=summaryref2!X63,summaryref2!AC63,IF(BJ90=summaryref2!X70,summaryref2!AC70,IF(BJ90=summaryref2!X77,summaryref2!AC77,"")))))))))))</f>
        <v/>
      </c>
      <c r="BP90" s="1322" t="str">
        <f>IF('A-80 DirEntInv'!BP89&lt;&gt;"",'A-80 DirEntInv'!BP89,IF(BJ90=summaryref2!X14,summaryref2!AD14,IF(BJ90=summaryref2!X21,summaryref2!AD21,IF(BJ90=summaryref2!X28,summaryref2!AD28,IF(BJ90=summaryref2!X35,summaryref2!AD35,IF(BJ90=summaryref2!X42,summaryref2!AD42,IF(BJ90=summaryref2!X49,summaryref2!AD49,IF(BJ90=summaryref2!X56,summaryref2!AD56,IF(BJ90=summaryref2!X63,summaryref2!AD63,IF(BJ90=summaryref2!X70,summaryref2!AD70,IF(BJ90=summaryref2!X77,summaryref2!AD77,"")))))))))))</f>
        <v/>
      </c>
      <c r="BS90" s="1472" t="str">
        <f ca="1">IF('A-80 DirEntInv'!BU89&lt;&gt;"",'A-80 DirEntInv'!BU89,IF(INDIRECT(ADDRESS(SumRef!DK96,SumRef!DK$16,,,SumRef!$E$6))="","",INDIRECT(ADDRESS(SumRef!DK96,SumRef!DK$16,,,SumRef!$E$6))))</f>
        <v/>
      </c>
      <c r="BT90" s="1458" t="str">
        <f ca="1">IF('A-80 DirEntInv'!BV89&lt;&gt;"",'A-80 DirEntInv'!BV89,IF(INDIRECT(ADDRESS(SumRef!DL96,SumRef!DL$16,,,SumRef!$E$6))="","",INDIRECT(ADDRESS(SumRef!DL96,SumRef!DL$16,,,SumRef!$E$6))))</f>
        <v/>
      </c>
      <c r="BU90" s="1177" t="str">
        <f ca="1">IF('A-80 DirEntInv'!BW89&lt;&gt;"",'A-80 DirEntInv'!BW89,IF(INDIRECT(ADDRESS(SumRef!DM96,SumRef!DM$16,,,SumRef!$E$6))="","",INDIRECT(ADDRESS(SumRef!DM96,SumRef!DM$16,,,SumRef!$E$6))))</f>
        <v/>
      </c>
      <c r="BV90" s="1460" t="str">
        <f ca="1">IF('A-80 DirEntInv'!BX89&lt;&gt;"",'A-80 DirEntInv'!BX89,IF(INDIRECT(ADDRESS(SumRef!DN96,SumRef!DN$16,,,SumRef!$E$6))="","",INDIRECT(ADDRESS(SumRef!DN96,SumRef!DN$16,,,SumRef!$E$6))))</f>
        <v/>
      </c>
      <c r="BW90" s="1460" t="str">
        <f ca="1">IF('A-80 DirEntInv'!BY89&lt;&gt;"",'A-80 DirEntInv'!BY89,IF(INDIRECT(ADDRESS(SumRef!DO96,SumRef!DO$16,,,SumRef!$E$6))="","",INDIRECT(ADDRESS(SumRef!DO96,SumRef!DO$16,,,SumRef!$E$6))))</f>
        <v/>
      </c>
      <c r="BX90" s="1116" t="str">
        <f ca="1">IF('A-80 DirEntInv'!BZ89&lt;&gt;"",'A-80 DirEntInv'!BZ89,IF(INDIRECT(ADDRESS(SumRef!DP96,SumRef!DP$16,,,SumRef!$E$6))="","",INDIRECT(ADDRESS(SumRef!DP96,SumRef!DP$16,,,SumRef!$E$6))))</f>
        <v/>
      </c>
      <c r="BY90" s="1461" t="str">
        <f ca="1">IF('A-80 DirEntInv'!CA89&lt;&gt;"",'A-80 DirEntInv'!CA89,IF(INDIRECT(ADDRESS(SumRef!DQ96,SumRef!DQ$16,,,SumRef!$E$6))="","",INDIRECT(ADDRESS(SumRef!DQ96,SumRef!DQ$16,,,SumRef!$E$6))))</f>
        <v/>
      </c>
      <c r="BZ90" s="1460" t="str">
        <f ca="1">IF('A-80 DirEntInv'!CB89&lt;&gt;"",'A-80 DirEntInv'!CB89,IF(INDIRECT(ADDRESS(SumRef!DR96,SumRef!DR$16,,,SumRef!$E$6))="","",INDIRECT(ADDRESS(SumRef!DR96,SumRef!DR$16,,,SumRef!$E$6))))</f>
        <v/>
      </c>
      <c r="CA90" s="1462" t="str">
        <f ca="1">IF('A-80 DirEntInv'!CC89&lt;&gt;"",'A-80 DirEntInv'!CC89,IF(INDIRECT(ADDRESS(SumRef!DS96,SumRef!DS$16,,,SumRef!$E$6))="","",INDIRECT(ADDRESS(SumRef!DS96,SumRef!DS$16,,,SumRef!$E$6))))</f>
        <v/>
      </c>
      <c r="CD90" s="1160" t="str">
        <f ca="1">IF('A-80 DirEntInv'!CF89&lt;&gt;"",'A-80 DirEntInv'!CF89,IF(INDIRECT(ADDRESS(SumRef!DV96,SumRef!DV$16,,,SumRef!$E$7))="","",INDIRECT(ADDRESS(SumRef!DV96,SumRef!DV$16,,,SumRef!$E$7))))</f>
        <v/>
      </c>
      <c r="CE90" s="1167" t="str">
        <f ca="1">IF('A-80 DirEntInv'!CG89&lt;&gt;"",'A-80 DirEntInv'!CG89,IF(INDIRECT(ADDRESS(SumRef!DW96,SumRef!DW$16,,,SumRef!$E$7))="","",INDIRECT(ADDRESS(SumRef!DW96,SumRef!DW$16,,,SumRef!$E$7))))</f>
        <v/>
      </c>
      <c r="CF90" s="1167" t="str">
        <f ca="1">IF('A-80 DirEntInv'!CH89&lt;&gt;"",'A-80 DirEntInv'!CH89,IF(INDIRECT(ADDRESS(SumRef!DX96,SumRef!DX$16,,,SumRef!$E$7))="","",INDIRECT(ADDRESS(SumRef!DX96,SumRef!DX$16,,,SumRef!$E$7))))</f>
        <v/>
      </c>
      <c r="CG90" s="1167" t="str">
        <f ca="1">IF('A-80 DirEntInv'!CI89&lt;&gt;"",'A-80 DirEntInv'!CI89,IF(INDIRECT(ADDRESS(SumRef!DY96,SumRef!DY$16,,,SumRef!$E$7))="","",INDIRECT(ADDRESS(SumRef!DY96,SumRef!DY$16,,,SumRef!$E$7))))</f>
        <v/>
      </c>
      <c r="CH90" s="1167" t="str">
        <f ca="1">IF('A-80 DirEntInv'!CJ89&lt;&gt;"",'A-80 DirEntInv'!CJ89,IF(INDIRECT(ADDRESS(SumRef!DZ96,SumRef!DZ$16,,,SumRef!$E$7))="","",INDIRECT(ADDRESS(SumRef!DZ96,SumRef!DZ$16,,,SumRef!$E$7))))</f>
        <v/>
      </c>
      <c r="CI90" s="1167" t="str">
        <f ca="1">IF('A-80 DirEntInv'!CK89&lt;&gt;"",'A-80 DirEntInv'!CK89,IF(INDIRECT(ADDRESS(SumRef!EA96,SumRef!EA$16,,,SumRef!$E$7))="","",INDIRECT(ADDRESS(SumRef!EA96,SumRef!EA$16,,,SumRef!$E$7))))</f>
        <v/>
      </c>
      <c r="CJ90" s="1114" t="str">
        <f ca="1">IF('A-80 DirEntInv'!CL89&lt;&gt;"",'A-80 DirEntInv'!CL89,IF(INDIRECT(ADDRESS(SumRef!EB96,SumRef!EB$16,,,SumRef!$E$7))="","",INDIRECT(ADDRESS(SumRef!EB96,SumRef!EB$16,,,SumRef!$E$7))))</f>
        <v/>
      </c>
      <c r="CK90" s="1114" t="str">
        <f ca="1">IF('A-80 DirEntInv'!CM89&lt;&gt;"",'A-80 DirEntInv'!CM89,IF(INDIRECT(ADDRESS(SumRef!EC96,SumRef!EC$16,,,SumRef!$E$7))="","",INDIRECT(ADDRESS(SumRef!EC96,SumRef!EC$16,,,SumRef!$E$7))))</f>
        <v/>
      </c>
      <c r="CL90" s="1113" t="str">
        <f ca="1">IF('A-80 DirEntInv'!CO89&lt;&gt;"",'A-80 DirEntInv'!CO89,IF(INDIRECT(ADDRESS(SumRef!ED96,SumRef!ED$16,,,SumRef!$E$7))="","",INDIRECT(ADDRESS(SumRef!ED96,SumRef!ED$16,,,SumRef!$E$7))))</f>
        <v/>
      </c>
      <c r="CM90" s="1114" t="str">
        <f ca="1">IF('A-80 DirEntInv'!CP89&lt;&gt;"",'A-80 DirEntInv'!CP89,IF(INDIRECT(ADDRESS(SumRef!EE96,SumRef!EE$16,,,SumRef!$E$7))="","",INDIRECT(ADDRESS(SumRef!EE96,SumRef!EE$16,,,SumRef!$E$7))))</f>
        <v/>
      </c>
      <c r="CN90" s="1114" t="str">
        <f ca="1">IF('A-80 DirEntInv'!CQ89&lt;&gt;"",'A-80 DirEntInv'!CQ89,IF(INDIRECT(ADDRESS(SumRef!EF96,SumRef!EF$16,,,SumRef!$E$7))="","",INDIRECT(ADDRESS(SumRef!EF96,SumRef!EF$16,,,SumRef!$E$7))))</f>
        <v/>
      </c>
      <c r="CO90" s="1113" t="str">
        <f ca="1">IF('A-80 DirEntInv'!CR89&lt;&gt;"",'A-80 DirEntInv'!CR89,IF(INDIRECT(ADDRESS(SumRef!EG96,SumRef!EG$16,,,SumRef!$E$7))="","",INDIRECT(ADDRESS(SumRef!EG96,SumRef!EG$16,,,SumRef!$E$7))))</f>
        <v/>
      </c>
      <c r="CP90" s="1114" t="str">
        <f ca="1">IF('A-80 DirEntInv'!CS89&lt;&gt;"",'A-80 DirEntInv'!CS89,IF(INDIRECT(ADDRESS(SumRef!EH96,SumRef!EH$16,,,SumRef!$E$7))="","",INDIRECT(ADDRESS(SumRef!EH96,SumRef!EH$16,,,SumRef!$E$7))))</f>
        <v/>
      </c>
      <c r="CQ90" s="1346" t="str">
        <f ca="1">IF('A-80 DirEntInv'!CT89&lt;&gt;"",'A-80 DirEntInv'!CT89,IF(INDIRECT(ADDRESS(SumRef!EI96,SumRef!EI$16,,,SumRef!$E$7))="","",INDIRECT(ADDRESS(SumRef!EI96,SumRef!EI$16,,,SumRef!$E$7))))</f>
        <v/>
      </c>
      <c r="CR90" s="1113" t="str">
        <f ca="1">IF('A-80 DirEntInv'!CU89&lt;&gt;"",'A-80 DirEntInv'!CU89,IF(INDIRECT(ADDRESS(SumRef!EJ96,SumRef!EJ$16,,,SumRef!$E$7))="","",INDIRECT(ADDRESS(SumRef!EJ96,SumRef!EJ$16,,,SumRef!$E$7))))</f>
        <v/>
      </c>
      <c r="CS90" s="1346" t="str">
        <f ca="1">IF('A-80 DirEntInv'!CV89&lt;&gt;"",'A-80 DirEntInv'!CV89,IF(INDIRECT(ADDRESS(SumRef!EM96,SumRef!EM$16,,,SumRef!$E$7))="","",INDIRECT(ADDRESS(SumRef!EM96,SumRef!EM$16,,,SumRef!$E$7))))</f>
        <v/>
      </c>
      <c r="CT90" s="1113" t="str">
        <f ca="1">IF('A-80 DirEntInv'!CW89&lt;&gt;"",'A-80 DirEntInv'!CW89,IF(INDIRECT(ADDRESS(SumRef!EN96,SumRef!EN$16,,,SumRef!$E$7))="","",INDIRECT(ADDRESS(SumRef!EN96,SumRef!EN$16,,,SumRef!$E$7))))</f>
        <v/>
      </c>
      <c r="CU90" s="1113" t="str">
        <f ca="1">IF('A-80 DirEntInv'!CX89&lt;&gt;"",'A-80 DirEntInv'!CX89,IF(INDIRECT(ADDRESS(SumRef!EO96,SumRef!EO$16,,,SumRef!$E$7))="","",INDIRECT(ADDRESS(SumRef!EO96,SumRef!EO$16,,,SumRef!$E$7))))</f>
        <v/>
      </c>
      <c r="CV90" s="1113" t="str">
        <f ca="1">IF('A-80 DirEntInv'!CY89&lt;&gt;"",'A-80 DirEntInv'!CY89,IF(INDIRECT(ADDRESS(SumRef!EP96,SumRef!EP$16,,,SumRef!$E$7))="","",INDIRECT(ADDRESS(SumRef!EP96,SumRef!EP$16,,,SumRef!$E$7))))</f>
        <v/>
      </c>
      <c r="CW90" s="1114" t="str">
        <f ca="1">IF('A-80 DirEntInv'!CZ89&lt;&gt;"",'A-80 DirEntInv'!CZ89,IF(INDIRECT(ADDRESS(SumRef!ES96,SumRef!ES$16,,,SumRef!$E$7))="","",INDIRECT(ADDRESS(SumRef!ES96,SumRef!ES$16,,,SumRef!$E$7))))</f>
        <v/>
      </c>
      <c r="CX90" s="1167" t="str">
        <f ca="1">IF('A-80 DirEntInv'!DA89&lt;&gt;"",'A-80 DirEntInv'!DA89,IF(INDIRECT(ADDRESS(SumRef!ET96,SumRef!ET$16,,,SumRef!$E$7))="","",INDIRECT(ADDRESS(SumRef!ET96,SumRef!ET$16,,,SumRef!$E$7))))</f>
        <v/>
      </c>
      <c r="CY90" s="1167" t="str">
        <f ca="1">IF('A-80 DirEntInv'!DB89&lt;&gt;"",'A-80 DirEntInv'!DB89,IF(INDIRECT(ADDRESS(SumRef!EU96,SumRef!EU$16,,,SumRef!$E$7))="","",INDIRECT(ADDRESS(SumRef!EU96,SumRef!EU$16,,,SumRef!$E$7))))</f>
        <v/>
      </c>
      <c r="CZ90" s="1167" t="b">
        <f ca="1">IF('A-80 DirEntInv'!DC89&lt;&gt;"",'A-80 DirEntInv'!DC89,IF(INDIRECT(ADDRESS(SumRef!EV96,SumRef!EV$16,,,SumRef!$E$7))="","",INDIRECT(ADDRESS(SumRef!EV96,SumRef!EV$16,,,SumRef!$E$7))))</f>
        <v>0</v>
      </c>
      <c r="DA90" s="1373" t="str">
        <f ca="1">IF('A-80 DirEntInv'!DD89&lt;&gt;"",'A-80 DirEntInv'!DD89,IF(INDIRECT(ADDRESS(SumRef!EW96,SumRef!EW$16,,,SumRef!$E$7))="","",INDIRECT(ADDRESS(SumRef!EW96,SumRef!EW$16,,,SumRef!$E$7))))</f>
        <v/>
      </c>
      <c r="DB90" s="1373" t="b">
        <f ca="1">IF('A-80 DirEntInv'!DE89&lt;&gt;"",'A-80 DirEntInv'!DE89,IF(INDIRECT(ADDRESS(SumRef!EX96,SumRef!EX$16,,,SumRef!$E$7))="","",INDIRECT(ADDRESS(SumRef!EX96,SumRef!EX$16,,,SumRef!$E$7))))</f>
        <v>0</v>
      </c>
      <c r="DC90" s="1114" t="b">
        <f ca="1">IF('A-80 DirEntInv'!DF89&lt;&gt;"",'A-80 DirEntInv'!DF89,IF(INDIRECT(ADDRESS(SumRef!EY96,SumRef!EY$16,,,SumRef!$E$7))="","",INDIRECT(ADDRESS(SumRef!EY96,SumRef!EY$16,,,SumRef!$E$7))))</f>
        <v>0</v>
      </c>
      <c r="DD90" s="1115" t="str">
        <f ca="1">IF('A-80 DirEntInv'!DG89&lt;&gt;"",'A-80 DirEntInv'!DG89,IF(INDIRECT(ADDRESS(SumRef!EZ96,SumRef!EZ$16,,,SumRef!$E$7))="","",INDIRECT(ADDRESS(SumRef!EZ96,SumRef!EZ$16,,,SumRef!$E$7))))</f>
        <v/>
      </c>
    </row>
    <row r="91" spans="1:108" s="588" customFormat="1" x14ac:dyDescent="0.2">
      <c r="A91" s="589">
        <f t="shared" si="1"/>
        <v>81</v>
      </c>
      <c r="B91" s="1155" t="str">
        <f ca="1">IF('A-80 DirEntInv'!B90&lt;&gt;"",'A-80 DirEntInv'!B90,IF(INDIRECT(ADDRESS(SumRef!AQ97,SumRef!AQ$16,,,SumRef!$B$7))="","",INDIRECT(ADDRESS(SumRef!AQ97,SumRef!AQ$16,,,SumRef!$B$7))))</f>
        <v/>
      </c>
      <c r="C91" s="1097" t="str">
        <f ca="1">IF('A-80 DirEntInv'!C90&lt;&gt;"",'A-80 DirEntInv'!C90,IF(INDIRECT(ADDRESS(SumRef!AR97,SumRef!AR$16,,,SumRef!$B$7))="","",INDIRECT(ADDRESS(SumRef!AR97,SumRef!AR$16,,,SumRef!$B$7))))</f>
        <v/>
      </c>
      <c r="D91" s="1097" t="str">
        <f ca="1">IF('A-80 DirEntInv'!D90&lt;&gt;"",'A-80 DirEntInv'!D90,IF(INDIRECT(ADDRESS(SumRef!AS97,SumRef!AS$16,,,SumRef!$B$7))="","",INDIRECT(ADDRESS(SumRef!AS97,SumRef!AS$16,,,SumRef!$B$7))))</f>
        <v/>
      </c>
      <c r="E91" s="1097" t="str">
        <f ca="1">IF('A-80 DirEntInv'!E90&lt;&gt;"",'A-80 DirEntInv'!E90,IF(INDIRECT(ADDRESS(SumRef!AT97,SumRef!AT$16,,,SumRef!$B$7))="","",INDIRECT(ADDRESS(SumRef!AT97,SumRef!AT$16,,,SumRef!$B$7))))</f>
        <v/>
      </c>
      <c r="F91" s="1097" t="str">
        <f ca="1">IF('A-80 DirEntInv'!F90&lt;&gt;"",'A-80 DirEntInv'!F90,IF(INDIRECT(ADDRESS(SumRef!AU97,SumRef!AU$16,,,SumRef!$B$7))="","",INDIRECT(ADDRESS(SumRef!AU97,SumRef!AU$16,,,SumRef!$B$7))))</f>
        <v/>
      </c>
      <c r="G91" s="1158" t="str">
        <f ca="1">IF('A-80 DirEntInv'!G90&lt;&gt;"",'A-80 DirEntInv'!G90,IF(INDIRECT(ADDRESS(SumRef!AV97,SumRef!AV$16,,,SumRef!$B$7))="","",INDIRECT(ADDRESS(SumRef!AV97,SumRef!AV$16,,,SumRef!$B$7))))</f>
        <v/>
      </c>
      <c r="H91" s="1097" t="str">
        <f ca="1">IF('A-80 DirEntInv'!H90&lt;&gt;"",'A-80 DirEntInv'!H90,IF(INDIRECT(ADDRESS(SumRef!AW97,SumRef!AW$16,,,SumRef!$B$7))="","",INDIRECT(ADDRESS(SumRef!AW97,SumRef!AW$16,,,SumRef!$B$7))))</f>
        <v/>
      </c>
      <c r="I91" s="1097" t="str">
        <f ca="1">IF('A-80 DirEntInv'!I90&lt;&gt;"",'A-80 DirEntInv'!I90,IF(INDIRECT(ADDRESS(SumRef!AX97,SumRef!AX$16,,,SumRef!$B$7))="","",INDIRECT(ADDRESS(SumRef!AX97,SumRef!AX$16,,,SumRef!$B$7))))</f>
        <v/>
      </c>
      <c r="J91" s="1098" t="str">
        <f ca="1">IF('A-80 DirEntInv'!J90&lt;&gt;"",'A-80 DirEntInv'!J90,IF(INDIRECT(ADDRESS(SumRef!AY97,SumRef!AY$16,,,SumRef!$B$7))="","",INDIRECT(ADDRESS(SumRef!AY97,SumRef!AY$16,,,SumRef!$B$7))))</f>
        <v/>
      </c>
      <c r="K91" s="1099" t="str">
        <f ca="1">IF('A-80 DirEntInv'!K90&lt;&gt;"",'A-80 DirEntInv'!K90,IF(INDIRECT(ADDRESS(SumRef!AZ97,SumRef!AZ$16,,,SumRef!$B$7))="","",INDIRECT(ADDRESS(SumRef!AZ97,SumRef!AZ$16,,,SumRef!$B$7))))</f>
        <v/>
      </c>
      <c r="L91" s="1100" t="str">
        <f ca="1">IF('A-80 DirEntInv'!L90&lt;&gt;"",'A-80 DirEntInv'!L90,IF(INDIRECT(ADDRESS(SumRef!BA97,SumRef!BA$16,,,SumRef!$B$7))="","",INDIRECT(ADDRESS(SumRef!BA97,SumRef!BA$16,,,SumRef!$B$7))))</f>
        <v/>
      </c>
      <c r="M91" s="1101" t="str">
        <f ca="1">IF('A-80 DirEntInv'!M90&lt;&gt;"",'A-80 DirEntInv'!M90,IF(INDIRECT(ADDRESS(SumRef!BB97,SumRef!BB$16,,,SumRef!$B$7))="","",INDIRECT(ADDRESS(SumRef!BB97,SumRef!BB$16,,,SumRef!$B$7))))</f>
        <v/>
      </c>
      <c r="N91" s="1098" t="str">
        <f ca="1">IF('A-80 DirEntInv'!N90&lt;&gt;"",'A-80 DirEntInv'!N90,IF(INDIRECT(ADDRESS(SumRef!BC97,SumRef!BC$16,,,SumRef!$B$7))="","",INDIRECT(ADDRESS(SumRef!BC97,SumRef!BC$16,,,SumRef!$B$7))))</f>
        <v/>
      </c>
      <c r="O91" s="1102" t="str">
        <f ca="1">IF('A-80 DirEntInv'!O90&lt;&gt;"",'A-80 DirEntInv'!O90,IF(INDIRECT(ADDRESS(SumRef!BD97,SumRef!BD$16,,,SumRef!$B$7))="","",INDIRECT(ADDRESS(SumRef!BD97,SumRef!BD$16,,,SumRef!$B$7))))</f>
        <v/>
      </c>
      <c r="Q91" s="589"/>
      <c r="R91" s="1103" t="str">
        <f ca="1">IF('A-80 DirEntInv'!R90&lt;&gt;"",'A-80 DirEntInv'!R90,IF(INDIRECT(ADDRESS(SumRef!BH97,SumRef!BH$16,,,SumRef!$B$8))="","",INDIRECT(ADDRESS(SumRef!BH97,SumRef!BH$16,,,SumRef!$B$8))))</f>
        <v/>
      </c>
      <c r="S91" s="1104" t="str">
        <f ca="1">IF('A-80 DirEntInv'!S90&lt;&gt;"",'A-80 DirEntInv'!S90,IF(INDIRECT(ADDRESS(SumRef!BI97,SumRef!BI$16,,,SumRef!$B$8))="","",INDIRECT(ADDRESS(SumRef!BI97,SumRef!BI$16,,,SumRef!$B$8))))</f>
        <v/>
      </c>
      <c r="T91" s="1104" t="str">
        <f ca="1">IF('A-80 DirEntInv'!T90&lt;&gt;"",'A-80 DirEntInv'!T90,IF(INDIRECT(ADDRESS(SumRef!BJ97,SumRef!BJ$16,,,SumRef!$B$8))="","",INDIRECT(ADDRESS(SumRef!BJ97,SumRef!BJ$16,,,SumRef!$B$8))))</f>
        <v/>
      </c>
      <c r="U91" s="1104" t="str">
        <f ca="1">IF('A-80 DirEntInv'!U90&lt;&gt;"",'A-80 DirEntInv'!U90,IF(INDIRECT(ADDRESS(SumRef!BK97,SumRef!BK$16,,,SumRef!$B$8))="","",INDIRECT(ADDRESS(SumRef!BK97,SumRef!BK$16,,,SumRef!$B$8))))</f>
        <v/>
      </c>
      <c r="V91" s="1104" t="str">
        <f ca="1">IF('A-80 DirEntInv'!V90&lt;&gt;"",'A-80 DirEntInv'!V90,IF(INDIRECT(ADDRESS(SumRef!BL97,SumRef!BL$16,,,SumRef!$B$8))="","",INDIRECT(ADDRESS(SumRef!BL97,SumRef!BL$16,,,SumRef!$B$8))))</f>
        <v/>
      </c>
      <c r="W91" s="1354" t="str">
        <f ca="1">IF('A-80 DirEntInv'!W90&lt;&gt;"",'A-80 DirEntInv'!W90,IF(INDIRECT(ADDRESS(SumRef!BM97,SumRef!BM$16,,,SumRef!$B$8))="","",INDIRECT(ADDRESS(SumRef!BM97,SumRef!BM$16,,,SumRef!$B$8))))</f>
        <v/>
      </c>
      <c r="X91" s="1203" t="str">
        <f ca="1">IF('A-80 DirEntInv'!X90&lt;&gt;"",'A-80 DirEntInv'!X90,IF(INDIRECT(ADDRESS(SumRef!BN97,SumRef!BN$16,,,SumRef!$B$8))="","",INDIRECT(ADDRESS(SumRef!BN97,SumRef!BN$16,,,SumRef!$B$8))))</f>
        <v/>
      </c>
      <c r="Y91" s="1203" t="str">
        <f ca="1">IF('A-80 DirEntInv'!Y90&lt;&gt;"",'A-80 DirEntInv'!Y90,IF(INDIRECT(ADDRESS(SumRef!BO97,SumRef!BO$16,,,SumRef!$B$8))="","",INDIRECT(ADDRESS(SumRef!BO97,SumRef!BO$16,,,SumRef!$B$8))))</f>
        <v/>
      </c>
      <c r="Z91" s="1104" t="str">
        <f ca="1">IF('A-80 DirEntInv'!Z90&lt;&gt;"",'A-80 DirEntInv'!Z90,IF(INDIRECT(ADDRESS(SumRef!BP97,SumRef!BP$16,,,SumRef!$B$8))="","",INDIRECT(ADDRESS(SumRef!BP97,SumRef!BP$16,,,SumRef!$B$8))))</f>
        <v/>
      </c>
      <c r="AA91" s="1104" t="str">
        <f ca="1">IF('A-80 DirEntInv'!AA90&lt;&gt;"",'A-80 DirEntInv'!AA90,IF(INDIRECT(ADDRESS(SumRef!BQ97,SumRef!BQ$16,,,SumRef!$B$8))="","",INDIRECT(ADDRESS(SumRef!BQ97,SumRef!BQ$16,,,SumRef!$B$8))))</f>
        <v/>
      </c>
      <c r="AB91" s="1106" t="str">
        <f ca="1">IF('A-80 DirEntInv'!AB90&lt;&gt;"",'A-80 DirEntInv'!AB90,IF(INDIRECT(ADDRESS(SumRef!BR97,SumRef!BR$16,,,SumRef!$B$8))="","",INDIRECT(ADDRESS(SumRef!BR97,SumRef!BR$16,,,SumRef!$B$8))))</f>
        <v/>
      </c>
      <c r="AC91" s="1107" t="str">
        <f ca="1">IF('A-80 DirEntInv'!AC90&lt;&gt;"",'A-80 DirEntInv'!AC90,IF(INDIRECT(ADDRESS(SumRef!BS97,SumRef!BS$16,,,SumRef!$B$8))="","",INDIRECT(ADDRESS(SumRef!BS97,SumRef!BS$16,,,SumRef!$B$8))))</f>
        <v/>
      </c>
      <c r="AD91" s="1349" t="str">
        <f ca="1">IF('A-80 DirEntInv'!AD90&lt;&gt;"",'A-80 DirEntInv'!AD90,IF(INDIRECT(ADDRESS(SumRef!BT97,SumRef!BT$16,,,SumRef!$B$8))="","",INDIRECT(ADDRESS(SumRef!BT97,SumRef!BT$16,,,SumRef!$B$8))))</f>
        <v/>
      </c>
      <c r="AE91" s="1137" t="str">
        <f ca="1">IF('A-80 DirEntInv'!AE90&lt;&gt;"",'A-80 DirEntInv'!AE90,IF(INDIRECT(ADDRESS(SumRef!BU97,SumRef!BU$16,,,SumRef!$B$8))="","",INDIRECT(ADDRESS(SumRef!BU97,SumRef!BU$16,,,SumRef!$B$8))))</f>
        <v/>
      </c>
      <c r="AF91" s="1346" t="str">
        <f ca="1">IF('A-80 DirEntInv'!AF90&lt;&gt;"",'A-80 DirEntInv'!AF90,IF(INDIRECT(ADDRESS(SumRef!BV97,SumRef!BV$16,,,SumRef!$B$8))="","",INDIRECT(ADDRESS(SumRef!BV97,SumRef!BV$16,,,SumRef!$B$8))))</f>
        <v/>
      </c>
      <c r="AG91" s="1105" t="str">
        <f ca="1">IF('A-80 DirEntInv'!AG90&lt;&gt;"",'A-80 DirEntInv'!AG90,IF(INDIRECT(ADDRESS(SumRef!BW97,SumRef!BW$16,,,SumRef!$B$8))="","",INDIRECT(ADDRESS(SumRef!BW97,SumRef!BW$16,,,SumRef!$B$8))))</f>
        <v/>
      </c>
      <c r="AH91" s="1357" t="str">
        <f ca="1">IF('A-80 DirEntInv'!AH90&lt;&gt;"",'A-80 DirEntInv'!AH90,IF(INDIRECT(ADDRESS(SumRef!BX97,SumRef!BX$16,,,SumRef!$B$8))="","",INDIRECT(ADDRESS(SumRef!BX97,SumRef!BX$16,,,SumRef!$B$8))))</f>
        <v/>
      </c>
      <c r="AK91" s="1041" t="str">
        <f>Codes!$C$161</f>
        <v>CR - Commuter Rail (DO)</v>
      </c>
      <c r="AL91" s="1042" t="str">
        <f>Valid!$B$88</f>
        <v>Substation Equipment</v>
      </c>
      <c r="AM91" s="1187"/>
      <c r="AN91" s="1046"/>
      <c r="AO91" s="1187"/>
      <c r="AP91" s="1046"/>
      <c r="AQ91" s="1147" t="str">
        <f>IF('A-80 DirEntInv'!AQ90&lt;&gt;"",'A-80 DirEntInv'!AQ90,IF(AK91=summaryref2!B22,summaryref2!G22,IF(Summary!AK91=summaryref2!B36,summaryref2!G36,IF(AK91=summaryref2!B50,summaryref2!G50,IF(AK91=summaryref2!B64,summaryref2!G64,IF(AK91=summaryref2!B78,summaryref2!G78,IF(AK91=summaryref2!B92,summaryref2!G92,IF(AK91=summaryref2!B106,summaryref2!G106,IF(AK91=summaryref2!B120,summaryref2!G120,IF(AK91=summaryref2!B134,summaryref2!G134,IF(AK91=summaryref2!B148,summaryref2!G148,"")))))))))))</f>
        <v/>
      </c>
      <c r="AR91" s="1147" t="str">
        <f>IF('A-80 DirEntInv'!AR90&lt;&gt;"",'A-80 DirEntInv'!AR90,IF(AK91=summaryref2!B22,summaryref2!H22,IF(Summary!AK91=summaryref2!B36,summaryref2!H36,IF(AK91=summaryref2!B50,summaryref2!H50,IF(AK91=summaryref2!B64,summaryref2!H64,IF(AK91=summaryref2!B78,summaryref2!H78,IF(AK91=summaryref2!B92,summaryref2!H92,IF(AK91=summaryref2!B106,summaryref2!H106,IF(AK91=summaryref2!B120,summaryref2!H120,IF(AK91=summaryref2!B134,summaryref2!H134,IF(AK91=summaryref2!B148,summaryref2!H148,"")))))))))))</f>
        <v/>
      </c>
      <c r="AS91" s="1110" t="str">
        <f>IF('A-80 DirEntInv'!AS90&lt;&gt;"",'A-80 DirEntInv'!AS90,IF(AK91=summaryref2!B22,summaryref2!I22,IF(Summary!AK91=summaryref2!B36,summaryref2!I36,IF(AK91=summaryref2!B50,summaryref2!I50,IF(AK91=summaryref2!B64,summaryref2!I64,IF(AK91=summaryref2!B78,summaryref2!I78,IF(AK91=summaryref2!B92,summaryref2!I92,IF(AK91=summaryref2!B106,summaryref2!I106,IF(AK91=summaryref2!B120,summaryref2!I120,IF(AK91=summaryref2!B134,summaryref2!I134,IF(AK91=summaryref2!B148,summaryref2!I148,"")))))))))))</f>
        <v/>
      </c>
      <c r="AT91" s="1110" t="str">
        <f>IF('A-80 DirEntInv'!AT90&lt;&gt;"",'A-80 DirEntInv'!AT90,IF(AK91=summaryref2!B22,summaryref2!J22,IF(Summary!AK91=summaryref2!B36,summaryref2!J36,IF(AK91=summaryref2!B50,summaryref2!J50,IF(AK91=summaryref2!B64,summaryref2!J64,IF(AK91=summaryref2!B78,summaryref2!J78,IF(AK91=summaryref2!B92,summaryref2!J92,IF(AK91=summaryref2!B106,summaryref2!J106,IF(AK91=summaryref2!B120,summaryref2!J120,IF(AK91=summaryref2!B134,summaryref2!J134,IF(AK91=summaryref2!B148,summaryref2!J148,"")))))))))))</f>
        <v/>
      </c>
      <c r="AU91" s="1110" t="str">
        <f>IF('A-80 DirEntInv'!AU90&lt;&gt;"",'A-80 DirEntInv'!AU90,IF(AK91=summaryref2!B22,summaryref2!K22,IF(Summary!AK91=summaryref2!B36,summaryref2!K36,IF(AK91=summaryref2!B50,summaryref2!K50,IF(AK91=summaryref2!B64,summaryref2!K64,IF(AK91=summaryref2!B78,summaryref2!K78,IF(AK91=summaryref2!B92,summaryref2!K92,IF(AK91=summaryref2!B106,summaryref2!K106,IF(AK91=summaryref2!B120,summaryref2!K120,IF(AK91=summaryref2!B134,summaryref2!K134,IF(AK91=summaryref2!B148,summaryref2!K148,"")))))))))))</f>
        <v/>
      </c>
      <c r="AV91" s="1110" t="str">
        <f>IF('A-80 DirEntInv'!AV90&lt;&gt;"",'A-80 DirEntInv'!AV90,IF(AK91=summaryref2!B22,summaryref2!L22,IF(Summary!AK91=summaryref2!B36,summaryref2!L36,IF(AK91=summaryref2!B50,summaryref2!L50,IF(AK91=summaryref2!B64,summaryref2!L64,IF(AK91=summaryref2!B78,summaryref2!L78,IF(AK91=summaryref2!B92,summaryref2!L92,IF(AK91=summaryref2!B106,summaryref2!L106,IF(AK91=summaryref2!B120,summaryref2!L120,IF(AK91=summaryref2!B134,summaryref2!L134,IF(AK91=summaryref2!B148,summaryref2!L148,"")))))))))))</f>
        <v/>
      </c>
      <c r="AW91" s="1110" t="str">
        <f>IF('A-80 DirEntInv'!AW90&lt;&gt;"",'A-80 DirEntInv'!AW90,IF(AK91=summaryref2!B22,summaryref2!M22,IF(Summary!AK91=summaryref2!B36,summaryref2!M36,IF(AK91=summaryref2!B50,summaryref2!M50,IF(AK91=summaryref2!B64,summaryref2!M64,IF(AK91=summaryref2!B78,summaryref2!M78,IF(AK91=summaryref2!B92,summaryref2!M92,IF(AK91=summaryref2!B106,summaryref2!M106,IF(AK91=summaryref2!B120,summaryref2!M120,IF(AK91=summaryref2!B134,summaryref2!M134,IF(AK91=summaryref2!B148,summaryref2!M148,"")))))))))))</f>
        <v/>
      </c>
      <c r="AX91" s="1110" t="str">
        <f>IF('A-80 DirEntInv'!AX90&lt;&gt;"",'A-80 DirEntInv'!AX90,IF(AK91=summaryref2!B22,summaryref2!N22,IF(Summary!AK91=summaryref2!B36,summaryref2!N36,IF(AK91=summaryref2!B50,summaryref2!N50,IF(AK91=summaryref2!B64,summaryref2!N64,IF(AK91=summaryref2!B78,summaryref2!N78,IF(AK91=summaryref2!B92,summaryref2!N92,IF(AK91=summaryref2!B106,summaryref2!N106,IF(AK91=summaryref2!B120,summaryref2!N120,IF(AK91=summaryref2!B134,summaryref2!N134,IF(AK91=summaryref2!B148,summaryref2!N148,"")))))))))))</f>
        <v/>
      </c>
      <c r="AY91" s="1110" t="str">
        <f>IF('A-80 DirEntInv'!AY90&lt;&gt;"",'A-80 DirEntInv'!AY90,IF(AK91=summaryref2!B22,summaryref2!O22,IF(Summary!AK91=summaryref2!B36,summaryref2!O36,IF(AK91=summaryref2!B50,summaryref2!O50,IF(AK91=summaryref2!B64,summaryref2!O64,IF(AK91=summaryref2!B78,summaryref2!O78,IF(AK91=summaryref2!B92,summaryref2!O92,IF(AK91=summaryref2!B106,summaryref2!O106,IF(AK91=summaryref2!B120,summaryref2!O120,IF(AK91=summaryref2!B134,summaryref2!O134,IF(AK91=summaryref2!B148,summaryref2!O148,"")))))))))))</f>
        <v/>
      </c>
      <c r="AZ91" s="1110" t="str">
        <f>IF('A-80 DirEntInv'!AZ90&lt;&gt;"",'A-80 DirEntInv'!AZ90,IF(AK91=summaryref2!B22,summaryref2!P22,IF(Summary!AK91=summaryref2!B36,summaryref2!P36,IF(AK91=summaryref2!B50,summaryref2!P50,IF(AK91=summaryref2!B64,summaryref2!P64,IF(AK91=summaryref2!B78,summaryref2!P78,IF(AK91=summaryref2!B92,summaryref2!P92,IF(AK91=summaryref2!B106,summaryref2!P106,IF(AK91=summaryref2!B120,summaryref2!P120,IF(AK91=summaryref2!B134,summaryref2!P134,IF(AK91=summaryref2!B148,summaryref2!P148,"")))))))))))</f>
        <v/>
      </c>
      <c r="BA91" s="1110" t="str">
        <f>IF('A-80 DirEntInv'!BA90&lt;&gt;"",'A-80 DirEntInv'!BA90,IF(AK91=summaryref2!B22,summaryref2!Q22,IF(Summary!AK91=summaryref2!B36,summaryref2!Q36,IF(AK91=summaryref2!B50,summaryref2!Q50,IF(AK91=summaryref2!B64,summaryref2!Q64,IF(AK91=summaryref2!B78,summaryref2!Q78,IF(AK91=summaryref2!B92,summaryref2!Q92,IF(AK91=summaryref2!B106,summaryref2!Q106,IF(AK91=summaryref2!B120,summaryref2!Q120,IF(AK91=summaryref2!B134,summaryref2!Q134,IF(AK91=summaryref2!B148,summaryref2!Q148,"")))))))))))</f>
        <v/>
      </c>
      <c r="BB91" s="1110" t="str">
        <f>IF('A-80 DirEntInv'!BB90&lt;&gt;"",'A-80 DirEntInv'!BB90,IF(AK91=summaryref2!B22,summaryref2!R22,IF(Summary!AK91=summaryref2!B36,summaryref2!R36,IF(AK91=summaryref2!B50,summaryref2!R50,IF(AK91=summaryref2!B64,summaryref2!R64,IF(AK91=summaryref2!B78,summaryref2!R78,IF(AK91=summaryref2!B92,summaryref2!R92,IF(AK91=summaryref2!B106,summaryref2!R106,IF(AK91=summaryref2!B120,summaryref2!R120,IF(AK91=summaryref2!B134,summaryref2!R134,IF(AK91=summaryref2!B148,summaryref2!R148,"")))))))))))</f>
        <v/>
      </c>
      <c r="BC91" s="1110" t="str">
        <f>IF('A-80 DirEntInv'!BC90&lt;&gt;0,'A-80 DirEntInv'!BC90,IF(AK91=summaryref2!B22,summaryref2!S22,IF(Summary!AK91=summaryref2!B36,summaryref2!S36,IF(AK91=summaryref2!B50,summaryref2!S50,IF(AK91=summaryref2!B64,summaryref2!S64,IF(AK91=summaryref2!B78,summaryref2!S78,IF(AK91=summaryref2!B92,summaryref2!S92,IF(AK91=summaryref2!B106,summaryref2!S106,IF(AK91=summaryref2!B120,summaryref2!S120,IF(AK91=summaryref2!B134,summaryref2!S134,IF(AK91=summaryref2!B148,summaryref2!S148,"")))))))))))</f>
        <v/>
      </c>
      <c r="BD91" s="1111" t="str">
        <f>IF('A-80 DirEntInv'!BD90&lt;&gt;"",'A-80 DirEntInv'!BD90,IF(AK91=summaryref2!B22,summaryref2!T22,IF(Summary!AK91=summaryref2!B36,summaryref2!T36,IF(AK91=summaryref2!B50,summaryref2!T50,IF(AK91=summaryref2!B64,summaryref2!T64,IF(AK91=summaryref2!B78,summaryref2!T78,IF(AK91=summaryref2!B92,summaryref2!T92,IF(AK91=summaryref2!B106,summaryref2!T106,IF(AK91=summaryref2!B120,summaryref2!T120,IF(AK91=summaryref2!B134,summaryref2!T134,IF(AK91=summaryref2!B148,summaryref2!T148,"")))))))))))</f>
        <v/>
      </c>
      <c r="BE91" s="1184" t="str">
        <f>IF('A-80 DirEntInv'!BE90&lt;&gt;"",'A-80 DirEntInv'!BE90,IF(AK91=summaryref2!B22,summaryref2!U22,IF(Summary!AK91=summaryref2!B36,summaryref2!U36,IF(AK91=summaryref2!B50,summaryref2!U50,IF(AK91=summaryref2!B64,summaryref2!U64,IF(AK91=summaryref2!B78,summaryref2!U78,IF(AK91=summaryref2!B92,summaryref2!U92,IF(AK91=summaryref2!B106,summaryref2!U106,IF(AK91=summaryref2!B120,summaryref2!U120,IF(AK91=summaryref2!B134,summaryref2!U134,IF(AK91=summaryref2!B148,summaryref2!U148,"")))))))))))</f>
        <v/>
      </c>
      <c r="BF91" s="1432"/>
      <c r="BG91" s="1432"/>
      <c r="BJ91" s="1041" t="str">
        <f>Codes!$C$167</f>
        <v>MG - Monorail/Automated Guideway (DO)</v>
      </c>
      <c r="BK91" s="1042" t="str">
        <f>Valid!$B$83</f>
        <v>Single Crossover</v>
      </c>
      <c r="BL91" s="1375" t="str">
        <f>IF('A-80 DirEntInv'!BL90&lt;&gt;"",'A-80 DirEntInv'!BL90,IF(BJ91=summaryref2!X15,summaryref2!Z15,IF(BJ91=summaryref2!X22,summaryref2!Z22,IF(BJ91=summaryref2!X29,summaryref2!Z29,IF(BJ91=summaryref2!X36,summaryref2!Z36,IF(BJ91=summaryref2!X43,summaryref2!Z43,IF(BJ91=summaryref2!X50,summaryref2!Z50,IF(BJ91=summaryref2!X57,summaryref2!Z57,IF(BJ91=summaryref2!X64,summaryref2!Z64,IF(BJ91=summaryref2!X71,summaryref2!Z71,IF(BJ91=summaryref2!X78,summaryref2!Z78,"")))))))))))</f>
        <v/>
      </c>
      <c r="BM91" s="1042" t="str">
        <f>VLOOKUP(BK91,Valid!$B$80:$C$86,2,FALSE)</f>
        <v>Each</v>
      </c>
      <c r="BN91" s="1209" t="str">
        <f>IF('A-80 DirEntInv'!BN90&lt;&gt;"",'A-80 DirEntInv'!BN90,IF(BJ91=summaryref2!X15,summaryref2!AB15,IF(BJ91=summaryref2!X22,summaryref2!AB22,IF(BJ91=summaryref2!X29,summaryref2!AB29,IF(BJ91=summaryref2!X36,summaryref2!AB36,IF(BJ91=summaryref2!X43,summaryref2!AB43,IF(BJ91=summaryref2!X50,summaryref2!AB50,IF(BJ91=summaryref2!X57,summaryref2!AB57,IF(BJ91=summaryref2!X64,summaryref2!AB64,IF(BJ91=summaryref2!X71,summaryref2!AB71,IF(BJ91=summaryref2!X78,summaryref2!AB78,"")))))))))))</f>
        <v/>
      </c>
      <c r="BO91" s="1116" t="str">
        <f>IF('A-80 DirEntInv'!BO90&lt;&gt;"",'A-80 DirEntInv'!BO90,IF(BJ91=summaryref2!X15,summaryref2!AC15,IF(BJ91=summaryref2!X22,summaryref2!AC22,IF(BJ91=summaryref2!X29,summaryref2!AC29,IF(BJ91=summaryref2!X36,summaryref2!AC36,IF(BJ91=summaryref2!X43,summaryref2!AC43,IF(BJ91=summaryref2!X50,summaryref2!AC50,IF(BJ91=summaryref2!X57,summaryref2!AC57,IF(BJ91=summaryref2!X64,summaryref2!AC64,IF(BJ91=summaryref2!X71,summaryref2!AC71,IF(BJ91=summaryref2!X78,summaryref2!AC78,"")))))))))))</f>
        <v/>
      </c>
      <c r="BP91" s="1384" t="str">
        <f>IF('A-80 DirEntInv'!BP90&lt;&gt;"",'A-80 DirEntInv'!BP90,IF(BJ91=summaryref2!X15,summaryref2!AD15,IF(BJ91=summaryref2!X22,summaryref2!AD22,IF(BJ91=summaryref2!X29,summaryref2!AD29,IF(BJ91=summaryref2!X36,summaryref2!AD36,IF(BJ91=summaryref2!X43,summaryref2!AD43,IF(BJ91=summaryref2!X50,summaryref2!AD50,IF(BJ91=summaryref2!X57,summaryref2!AD57,IF(BJ91=summaryref2!X64,summaryref2!AD64,IF(BJ91=summaryref2!X71,summaryref2!AD71,IF(BJ91=summaryref2!X78,summaryref2!AD78,"")))))))))))</f>
        <v/>
      </c>
      <c r="BS91" s="1472" t="str">
        <f ca="1">IF('A-80 DirEntInv'!BU90&lt;&gt;"",'A-80 DirEntInv'!BU90,IF(INDIRECT(ADDRESS(SumRef!DK97,SumRef!DK$16,,,SumRef!$E$6))="","",INDIRECT(ADDRESS(SumRef!DK97,SumRef!DK$16,,,SumRef!$E$6))))</f>
        <v/>
      </c>
      <c r="BT91" s="1458" t="str">
        <f ca="1">IF('A-80 DirEntInv'!BV90&lt;&gt;"",'A-80 DirEntInv'!BV90,IF(INDIRECT(ADDRESS(SumRef!DL97,SumRef!DL$16,,,SumRef!$E$6))="","",INDIRECT(ADDRESS(SumRef!DL97,SumRef!DL$16,,,SumRef!$E$6))))</f>
        <v/>
      </c>
      <c r="BU91" s="1177" t="str">
        <f ca="1">IF('A-80 DirEntInv'!BW90&lt;&gt;"",'A-80 DirEntInv'!BW90,IF(INDIRECT(ADDRESS(SumRef!DM97,SumRef!DM$16,,,SumRef!$E$6))="","",INDIRECT(ADDRESS(SumRef!DM97,SumRef!DM$16,,,SumRef!$E$6))))</f>
        <v/>
      </c>
      <c r="BV91" s="1460" t="str">
        <f ca="1">IF('A-80 DirEntInv'!BX90&lt;&gt;"",'A-80 DirEntInv'!BX90,IF(INDIRECT(ADDRESS(SumRef!DN97,SumRef!DN$16,,,SumRef!$E$6))="","",INDIRECT(ADDRESS(SumRef!DN97,SumRef!DN$16,,,SumRef!$E$6))))</f>
        <v/>
      </c>
      <c r="BW91" s="1460" t="str">
        <f ca="1">IF('A-80 DirEntInv'!BY90&lt;&gt;"",'A-80 DirEntInv'!BY90,IF(INDIRECT(ADDRESS(SumRef!DO97,SumRef!DO$16,,,SumRef!$E$6))="","",INDIRECT(ADDRESS(SumRef!DO97,SumRef!DO$16,,,SumRef!$E$6))))</f>
        <v/>
      </c>
      <c r="BX91" s="1116" t="str">
        <f ca="1">IF('A-80 DirEntInv'!BZ90&lt;&gt;"",'A-80 DirEntInv'!BZ90,IF(INDIRECT(ADDRESS(SumRef!DP97,SumRef!DP$16,,,SumRef!$E$6))="","",INDIRECT(ADDRESS(SumRef!DP97,SumRef!DP$16,,,SumRef!$E$6))))</f>
        <v/>
      </c>
      <c r="BY91" s="1461" t="str">
        <f ca="1">IF('A-80 DirEntInv'!CA90&lt;&gt;"",'A-80 DirEntInv'!CA90,IF(INDIRECT(ADDRESS(SumRef!DQ97,SumRef!DQ$16,,,SumRef!$E$6))="","",INDIRECT(ADDRESS(SumRef!DQ97,SumRef!DQ$16,,,SumRef!$E$6))))</f>
        <v/>
      </c>
      <c r="BZ91" s="1460" t="str">
        <f ca="1">IF('A-80 DirEntInv'!CB90&lt;&gt;"",'A-80 DirEntInv'!CB90,IF(INDIRECT(ADDRESS(SumRef!DR97,SumRef!DR$16,,,SumRef!$E$6))="","",INDIRECT(ADDRESS(SumRef!DR97,SumRef!DR$16,,,SumRef!$E$6))))</f>
        <v/>
      </c>
      <c r="CA91" s="1462" t="str">
        <f ca="1">IF('A-80 DirEntInv'!CC90&lt;&gt;"",'A-80 DirEntInv'!CC90,IF(INDIRECT(ADDRESS(SumRef!DS97,SumRef!DS$16,,,SumRef!$E$6))="","",INDIRECT(ADDRESS(SumRef!DS97,SumRef!DS$16,,,SumRef!$E$6))))</f>
        <v/>
      </c>
      <c r="CD91" s="1160" t="str">
        <f ca="1">IF('A-80 DirEntInv'!CF90&lt;&gt;"",'A-80 DirEntInv'!CF90,IF(INDIRECT(ADDRESS(SumRef!DV97,SumRef!DV$16,,,SumRef!$E$7))="","",INDIRECT(ADDRESS(SumRef!DV97,SumRef!DV$16,,,SumRef!$E$7))))</f>
        <v/>
      </c>
      <c r="CE91" s="1167" t="str">
        <f ca="1">IF('A-80 DirEntInv'!CG90&lt;&gt;"",'A-80 DirEntInv'!CG90,IF(INDIRECT(ADDRESS(SumRef!DW97,SumRef!DW$16,,,SumRef!$E$7))="","",INDIRECT(ADDRESS(SumRef!DW97,SumRef!DW$16,,,SumRef!$E$7))))</f>
        <v/>
      </c>
      <c r="CF91" s="1167" t="str">
        <f ca="1">IF('A-80 DirEntInv'!CH90&lt;&gt;"",'A-80 DirEntInv'!CH90,IF(INDIRECT(ADDRESS(SumRef!DX97,SumRef!DX$16,,,SumRef!$E$7))="","",INDIRECT(ADDRESS(SumRef!DX97,SumRef!DX$16,,,SumRef!$E$7))))</f>
        <v/>
      </c>
      <c r="CG91" s="1167" t="str">
        <f ca="1">IF('A-80 DirEntInv'!CI90&lt;&gt;"",'A-80 DirEntInv'!CI90,IF(INDIRECT(ADDRESS(SumRef!DY97,SumRef!DY$16,,,SumRef!$E$7))="","",INDIRECT(ADDRESS(SumRef!DY97,SumRef!DY$16,,,SumRef!$E$7))))</f>
        <v/>
      </c>
      <c r="CH91" s="1167" t="str">
        <f ca="1">IF('A-80 DirEntInv'!CJ90&lt;&gt;"",'A-80 DirEntInv'!CJ90,IF(INDIRECT(ADDRESS(SumRef!DZ97,SumRef!DZ$16,,,SumRef!$E$7))="","",INDIRECT(ADDRESS(SumRef!DZ97,SumRef!DZ$16,,,SumRef!$E$7))))</f>
        <v/>
      </c>
      <c r="CI91" s="1167" t="str">
        <f ca="1">IF('A-80 DirEntInv'!CK90&lt;&gt;"",'A-80 DirEntInv'!CK90,IF(INDIRECT(ADDRESS(SumRef!EA97,SumRef!EA$16,,,SumRef!$E$7))="","",INDIRECT(ADDRESS(SumRef!EA97,SumRef!EA$16,,,SumRef!$E$7))))</f>
        <v/>
      </c>
      <c r="CJ91" s="1114" t="str">
        <f ca="1">IF('A-80 DirEntInv'!CL90&lt;&gt;"",'A-80 DirEntInv'!CL90,IF(INDIRECT(ADDRESS(SumRef!EB97,SumRef!EB$16,,,SumRef!$E$7))="","",INDIRECT(ADDRESS(SumRef!EB97,SumRef!EB$16,,,SumRef!$E$7))))</f>
        <v/>
      </c>
      <c r="CK91" s="1114" t="str">
        <f ca="1">IF('A-80 DirEntInv'!CM90&lt;&gt;"",'A-80 DirEntInv'!CM90,IF(INDIRECT(ADDRESS(SumRef!EC97,SumRef!EC$16,,,SumRef!$E$7))="","",INDIRECT(ADDRESS(SumRef!EC97,SumRef!EC$16,,,SumRef!$E$7))))</f>
        <v/>
      </c>
      <c r="CL91" s="1113" t="str">
        <f ca="1">IF('A-80 DirEntInv'!CO90&lt;&gt;"",'A-80 DirEntInv'!CO90,IF(INDIRECT(ADDRESS(SumRef!ED97,SumRef!ED$16,,,SumRef!$E$7))="","",INDIRECT(ADDRESS(SumRef!ED97,SumRef!ED$16,,,SumRef!$E$7))))</f>
        <v/>
      </c>
      <c r="CM91" s="1114" t="str">
        <f ca="1">IF('A-80 DirEntInv'!CP90&lt;&gt;"",'A-80 DirEntInv'!CP90,IF(INDIRECT(ADDRESS(SumRef!EE97,SumRef!EE$16,,,SumRef!$E$7))="","",INDIRECT(ADDRESS(SumRef!EE97,SumRef!EE$16,,,SumRef!$E$7))))</f>
        <v/>
      </c>
      <c r="CN91" s="1114" t="str">
        <f ca="1">IF('A-80 DirEntInv'!CQ90&lt;&gt;"",'A-80 DirEntInv'!CQ90,IF(INDIRECT(ADDRESS(SumRef!EF97,SumRef!EF$16,,,SumRef!$E$7))="","",INDIRECT(ADDRESS(SumRef!EF97,SumRef!EF$16,,,SumRef!$E$7))))</f>
        <v/>
      </c>
      <c r="CO91" s="1113" t="str">
        <f ca="1">IF('A-80 DirEntInv'!CR90&lt;&gt;"",'A-80 DirEntInv'!CR90,IF(INDIRECT(ADDRESS(SumRef!EG97,SumRef!EG$16,,,SumRef!$E$7))="","",INDIRECT(ADDRESS(SumRef!EG97,SumRef!EG$16,,,SumRef!$E$7))))</f>
        <v/>
      </c>
      <c r="CP91" s="1114" t="str">
        <f ca="1">IF('A-80 DirEntInv'!CS90&lt;&gt;"",'A-80 DirEntInv'!CS90,IF(INDIRECT(ADDRESS(SumRef!EH97,SumRef!EH$16,,,SumRef!$E$7))="","",INDIRECT(ADDRESS(SumRef!EH97,SumRef!EH$16,,,SumRef!$E$7))))</f>
        <v/>
      </c>
      <c r="CQ91" s="1346" t="str">
        <f ca="1">IF('A-80 DirEntInv'!CT90&lt;&gt;"",'A-80 DirEntInv'!CT90,IF(INDIRECT(ADDRESS(SumRef!EI97,SumRef!EI$16,,,SumRef!$E$7))="","",INDIRECT(ADDRESS(SumRef!EI97,SumRef!EI$16,,,SumRef!$E$7))))</f>
        <v/>
      </c>
      <c r="CR91" s="1113" t="str">
        <f ca="1">IF('A-80 DirEntInv'!CU90&lt;&gt;"",'A-80 DirEntInv'!CU90,IF(INDIRECT(ADDRESS(SumRef!EJ97,SumRef!EJ$16,,,SumRef!$E$7))="","",INDIRECT(ADDRESS(SumRef!EJ97,SumRef!EJ$16,,,SumRef!$E$7))))</f>
        <v/>
      </c>
      <c r="CS91" s="1346" t="str">
        <f ca="1">IF('A-80 DirEntInv'!CV90&lt;&gt;"",'A-80 DirEntInv'!CV90,IF(INDIRECT(ADDRESS(SumRef!EM97,SumRef!EM$16,,,SumRef!$E$7))="","",INDIRECT(ADDRESS(SumRef!EM97,SumRef!EM$16,,,SumRef!$E$7))))</f>
        <v/>
      </c>
      <c r="CT91" s="1113" t="str">
        <f ca="1">IF('A-80 DirEntInv'!CW90&lt;&gt;"",'A-80 DirEntInv'!CW90,IF(INDIRECT(ADDRESS(SumRef!EN97,SumRef!EN$16,,,SumRef!$E$7))="","",INDIRECT(ADDRESS(SumRef!EN97,SumRef!EN$16,,,SumRef!$E$7))))</f>
        <v/>
      </c>
      <c r="CU91" s="1113" t="str">
        <f ca="1">IF('A-80 DirEntInv'!CX90&lt;&gt;"",'A-80 DirEntInv'!CX90,IF(INDIRECT(ADDRESS(SumRef!EO97,SumRef!EO$16,,,SumRef!$E$7))="","",INDIRECT(ADDRESS(SumRef!EO97,SumRef!EO$16,,,SumRef!$E$7))))</f>
        <v/>
      </c>
      <c r="CV91" s="1113" t="str">
        <f ca="1">IF('A-80 DirEntInv'!CY90&lt;&gt;"",'A-80 DirEntInv'!CY90,IF(INDIRECT(ADDRESS(SumRef!EP97,SumRef!EP$16,,,SumRef!$E$7))="","",INDIRECT(ADDRESS(SumRef!EP97,SumRef!EP$16,,,SumRef!$E$7))))</f>
        <v/>
      </c>
      <c r="CW91" s="1114" t="str">
        <f ca="1">IF('A-80 DirEntInv'!CZ90&lt;&gt;"",'A-80 DirEntInv'!CZ90,IF(INDIRECT(ADDRESS(SumRef!ES97,SumRef!ES$16,,,SumRef!$E$7))="","",INDIRECT(ADDRESS(SumRef!ES97,SumRef!ES$16,,,SumRef!$E$7))))</f>
        <v/>
      </c>
      <c r="CX91" s="1167" t="str">
        <f ca="1">IF('A-80 DirEntInv'!DA90&lt;&gt;"",'A-80 DirEntInv'!DA90,IF(INDIRECT(ADDRESS(SumRef!ET97,SumRef!ET$16,,,SumRef!$E$7))="","",INDIRECT(ADDRESS(SumRef!ET97,SumRef!ET$16,,,SumRef!$E$7))))</f>
        <v/>
      </c>
      <c r="CY91" s="1167" t="str">
        <f ca="1">IF('A-80 DirEntInv'!DB90&lt;&gt;"",'A-80 DirEntInv'!DB90,IF(INDIRECT(ADDRESS(SumRef!EU97,SumRef!EU$16,,,SumRef!$E$7))="","",INDIRECT(ADDRESS(SumRef!EU97,SumRef!EU$16,,,SumRef!$E$7))))</f>
        <v/>
      </c>
      <c r="CZ91" s="1167" t="b">
        <f ca="1">IF('A-80 DirEntInv'!DC90&lt;&gt;"",'A-80 DirEntInv'!DC90,IF(INDIRECT(ADDRESS(SumRef!EV97,SumRef!EV$16,,,SumRef!$E$7))="","",INDIRECT(ADDRESS(SumRef!EV97,SumRef!EV$16,,,SumRef!$E$7))))</f>
        <v>0</v>
      </c>
      <c r="DA91" s="1373" t="str">
        <f ca="1">IF('A-80 DirEntInv'!DD90&lt;&gt;"",'A-80 DirEntInv'!DD90,IF(INDIRECT(ADDRESS(SumRef!EW97,SumRef!EW$16,,,SumRef!$E$7))="","",INDIRECT(ADDRESS(SumRef!EW97,SumRef!EW$16,,,SumRef!$E$7))))</f>
        <v/>
      </c>
      <c r="DB91" s="1373" t="b">
        <f ca="1">IF('A-80 DirEntInv'!DE90&lt;&gt;"",'A-80 DirEntInv'!DE90,IF(INDIRECT(ADDRESS(SumRef!EX97,SumRef!EX$16,,,SumRef!$E$7))="","",INDIRECT(ADDRESS(SumRef!EX97,SumRef!EX$16,,,SumRef!$E$7))))</f>
        <v>0</v>
      </c>
      <c r="DC91" s="1114" t="b">
        <f ca="1">IF('A-80 DirEntInv'!DF90&lt;&gt;"",'A-80 DirEntInv'!DF90,IF(INDIRECT(ADDRESS(SumRef!EY97,SumRef!EY$16,,,SumRef!$E$7))="","",INDIRECT(ADDRESS(SumRef!EY97,SumRef!EY$16,,,SumRef!$E$7))))</f>
        <v>0</v>
      </c>
      <c r="DD91" s="1115" t="str">
        <f ca="1">IF('A-80 DirEntInv'!DG90&lt;&gt;"",'A-80 DirEntInv'!DG90,IF(INDIRECT(ADDRESS(SumRef!EZ97,SumRef!EZ$16,,,SumRef!$E$7))="","",INDIRECT(ADDRESS(SumRef!EZ97,SumRef!EZ$16,,,SumRef!$E$7))))</f>
        <v/>
      </c>
    </row>
    <row r="92" spans="1:108" s="588" customFormat="1" x14ac:dyDescent="0.2">
      <c r="A92" s="589">
        <f t="shared" si="1"/>
        <v>82</v>
      </c>
      <c r="B92" s="1155" t="str">
        <f ca="1">IF('A-80 DirEntInv'!B91&lt;&gt;"",'A-80 DirEntInv'!B91,IF(INDIRECT(ADDRESS(SumRef!AQ98,SumRef!AQ$16,,,SumRef!$B$7))="","",INDIRECT(ADDRESS(SumRef!AQ98,SumRef!AQ$16,,,SumRef!$B$7))))</f>
        <v/>
      </c>
      <c r="C92" s="1097" t="str">
        <f ca="1">IF('A-80 DirEntInv'!C91&lt;&gt;"",'A-80 DirEntInv'!C91,IF(INDIRECT(ADDRESS(SumRef!AR98,SumRef!AR$16,,,SumRef!$B$7))="","",INDIRECT(ADDRESS(SumRef!AR98,SumRef!AR$16,,,SumRef!$B$7))))</f>
        <v/>
      </c>
      <c r="D92" s="1097" t="str">
        <f ca="1">IF('A-80 DirEntInv'!D91&lt;&gt;"",'A-80 DirEntInv'!D91,IF(INDIRECT(ADDRESS(SumRef!AS98,SumRef!AS$16,,,SumRef!$B$7))="","",INDIRECT(ADDRESS(SumRef!AS98,SumRef!AS$16,,,SumRef!$B$7))))</f>
        <v/>
      </c>
      <c r="E92" s="1097" t="str">
        <f ca="1">IF('A-80 DirEntInv'!E91&lt;&gt;"",'A-80 DirEntInv'!E91,IF(INDIRECT(ADDRESS(SumRef!AT98,SumRef!AT$16,,,SumRef!$B$7))="","",INDIRECT(ADDRESS(SumRef!AT98,SumRef!AT$16,,,SumRef!$B$7))))</f>
        <v/>
      </c>
      <c r="F92" s="1097" t="str">
        <f ca="1">IF('A-80 DirEntInv'!F91&lt;&gt;"",'A-80 DirEntInv'!F91,IF(INDIRECT(ADDRESS(SumRef!AU98,SumRef!AU$16,,,SumRef!$B$7))="","",INDIRECT(ADDRESS(SumRef!AU98,SumRef!AU$16,,,SumRef!$B$7))))</f>
        <v/>
      </c>
      <c r="G92" s="1158" t="str">
        <f ca="1">IF('A-80 DirEntInv'!G91&lt;&gt;"",'A-80 DirEntInv'!G91,IF(INDIRECT(ADDRESS(SumRef!AV98,SumRef!AV$16,,,SumRef!$B$7))="","",INDIRECT(ADDRESS(SumRef!AV98,SumRef!AV$16,,,SumRef!$B$7))))</f>
        <v/>
      </c>
      <c r="H92" s="1097" t="str">
        <f ca="1">IF('A-80 DirEntInv'!H91&lt;&gt;"",'A-80 DirEntInv'!H91,IF(INDIRECT(ADDRESS(SumRef!AW98,SumRef!AW$16,,,SumRef!$B$7))="","",INDIRECT(ADDRESS(SumRef!AW98,SumRef!AW$16,,,SumRef!$B$7))))</f>
        <v/>
      </c>
      <c r="I92" s="1097" t="str">
        <f ca="1">IF('A-80 DirEntInv'!I91&lt;&gt;"",'A-80 DirEntInv'!I91,IF(INDIRECT(ADDRESS(SumRef!AX98,SumRef!AX$16,,,SumRef!$B$7))="","",INDIRECT(ADDRESS(SumRef!AX98,SumRef!AX$16,,,SumRef!$B$7))))</f>
        <v/>
      </c>
      <c r="J92" s="1098" t="str">
        <f ca="1">IF('A-80 DirEntInv'!J91&lt;&gt;"",'A-80 DirEntInv'!J91,IF(INDIRECT(ADDRESS(SumRef!AY98,SumRef!AY$16,,,SumRef!$B$7))="","",INDIRECT(ADDRESS(SumRef!AY98,SumRef!AY$16,,,SumRef!$B$7))))</f>
        <v/>
      </c>
      <c r="K92" s="1099" t="str">
        <f ca="1">IF('A-80 DirEntInv'!K91&lt;&gt;"",'A-80 DirEntInv'!K91,IF(INDIRECT(ADDRESS(SumRef!AZ98,SumRef!AZ$16,,,SumRef!$B$7))="","",INDIRECT(ADDRESS(SumRef!AZ98,SumRef!AZ$16,,,SumRef!$B$7))))</f>
        <v/>
      </c>
      <c r="L92" s="1100" t="str">
        <f ca="1">IF('A-80 DirEntInv'!L91&lt;&gt;"",'A-80 DirEntInv'!L91,IF(INDIRECT(ADDRESS(SumRef!BA98,SumRef!BA$16,,,SumRef!$B$7))="","",INDIRECT(ADDRESS(SumRef!BA98,SumRef!BA$16,,,SumRef!$B$7))))</f>
        <v/>
      </c>
      <c r="M92" s="1101" t="str">
        <f ca="1">IF('A-80 DirEntInv'!M91&lt;&gt;"",'A-80 DirEntInv'!M91,IF(INDIRECT(ADDRESS(SumRef!BB98,SumRef!BB$16,,,SumRef!$B$7))="","",INDIRECT(ADDRESS(SumRef!BB98,SumRef!BB$16,,,SumRef!$B$7))))</f>
        <v/>
      </c>
      <c r="N92" s="1098" t="str">
        <f ca="1">IF('A-80 DirEntInv'!N91&lt;&gt;"",'A-80 DirEntInv'!N91,IF(INDIRECT(ADDRESS(SumRef!BC98,SumRef!BC$16,,,SumRef!$B$7))="","",INDIRECT(ADDRESS(SumRef!BC98,SumRef!BC$16,,,SumRef!$B$7))))</f>
        <v/>
      </c>
      <c r="O92" s="1102" t="str">
        <f ca="1">IF('A-80 DirEntInv'!O91&lt;&gt;"",'A-80 DirEntInv'!O91,IF(INDIRECT(ADDRESS(SumRef!BD98,SumRef!BD$16,,,SumRef!$B$7))="","",INDIRECT(ADDRESS(SumRef!BD98,SumRef!BD$16,,,SumRef!$B$7))))</f>
        <v/>
      </c>
      <c r="Q92" s="589"/>
      <c r="R92" s="1103" t="str">
        <f ca="1">IF('A-80 DirEntInv'!R91&lt;&gt;"",'A-80 DirEntInv'!R91,IF(INDIRECT(ADDRESS(SumRef!BH98,SumRef!BH$16,,,SumRef!$B$8))="","",INDIRECT(ADDRESS(SumRef!BH98,SumRef!BH$16,,,SumRef!$B$8))))</f>
        <v/>
      </c>
      <c r="S92" s="1104" t="str">
        <f ca="1">IF('A-80 DirEntInv'!S91&lt;&gt;"",'A-80 DirEntInv'!S91,IF(INDIRECT(ADDRESS(SumRef!BI98,SumRef!BI$16,,,SumRef!$B$8))="","",INDIRECT(ADDRESS(SumRef!BI98,SumRef!BI$16,,,SumRef!$B$8))))</f>
        <v/>
      </c>
      <c r="T92" s="1104" t="str">
        <f ca="1">IF('A-80 DirEntInv'!T91&lt;&gt;"",'A-80 DirEntInv'!T91,IF(INDIRECT(ADDRESS(SumRef!BJ98,SumRef!BJ$16,,,SumRef!$B$8))="","",INDIRECT(ADDRESS(SumRef!BJ98,SumRef!BJ$16,,,SumRef!$B$8))))</f>
        <v/>
      </c>
      <c r="U92" s="1104" t="str">
        <f ca="1">IF('A-80 DirEntInv'!U91&lt;&gt;"",'A-80 DirEntInv'!U91,IF(INDIRECT(ADDRESS(SumRef!BK98,SumRef!BK$16,,,SumRef!$B$8))="","",INDIRECT(ADDRESS(SumRef!BK98,SumRef!BK$16,,,SumRef!$B$8))))</f>
        <v/>
      </c>
      <c r="V92" s="1104" t="str">
        <f ca="1">IF('A-80 DirEntInv'!V91&lt;&gt;"",'A-80 DirEntInv'!V91,IF(INDIRECT(ADDRESS(SumRef!BL98,SumRef!BL$16,,,SumRef!$B$8))="","",INDIRECT(ADDRESS(SumRef!BL98,SumRef!BL$16,,,SumRef!$B$8))))</f>
        <v/>
      </c>
      <c r="W92" s="1354" t="str">
        <f ca="1">IF('A-80 DirEntInv'!W91&lt;&gt;"",'A-80 DirEntInv'!W91,IF(INDIRECT(ADDRESS(SumRef!BM98,SumRef!BM$16,,,SumRef!$B$8))="","",INDIRECT(ADDRESS(SumRef!BM98,SumRef!BM$16,,,SumRef!$B$8))))</f>
        <v/>
      </c>
      <c r="X92" s="1203" t="str">
        <f ca="1">IF('A-80 DirEntInv'!X91&lt;&gt;"",'A-80 DirEntInv'!X91,IF(INDIRECT(ADDRESS(SumRef!BN98,SumRef!BN$16,,,SumRef!$B$8))="","",INDIRECT(ADDRESS(SumRef!BN98,SumRef!BN$16,,,SumRef!$B$8))))</f>
        <v/>
      </c>
      <c r="Y92" s="1203" t="str">
        <f ca="1">IF('A-80 DirEntInv'!Y91&lt;&gt;"",'A-80 DirEntInv'!Y91,IF(INDIRECT(ADDRESS(SumRef!BO98,SumRef!BO$16,,,SumRef!$B$8))="","",INDIRECT(ADDRESS(SumRef!BO98,SumRef!BO$16,,,SumRef!$B$8))))</f>
        <v/>
      </c>
      <c r="Z92" s="1104" t="str">
        <f ca="1">IF('A-80 DirEntInv'!Z91&lt;&gt;"",'A-80 DirEntInv'!Z91,IF(INDIRECT(ADDRESS(SumRef!BP98,SumRef!BP$16,,,SumRef!$B$8))="","",INDIRECT(ADDRESS(SumRef!BP98,SumRef!BP$16,,,SumRef!$B$8))))</f>
        <v/>
      </c>
      <c r="AA92" s="1104" t="str">
        <f ca="1">IF('A-80 DirEntInv'!AA91&lt;&gt;"",'A-80 DirEntInv'!AA91,IF(INDIRECT(ADDRESS(SumRef!BQ98,SumRef!BQ$16,,,SumRef!$B$8))="","",INDIRECT(ADDRESS(SumRef!BQ98,SumRef!BQ$16,,,SumRef!$B$8))))</f>
        <v/>
      </c>
      <c r="AB92" s="1106" t="str">
        <f ca="1">IF('A-80 DirEntInv'!AB91&lt;&gt;"",'A-80 DirEntInv'!AB91,IF(INDIRECT(ADDRESS(SumRef!BR98,SumRef!BR$16,,,SumRef!$B$8))="","",INDIRECT(ADDRESS(SumRef!BR98,SumRef!BR$16,,,SumRef!$B$8))))</f>
        <v/>
      </c>
      <c r="AC92" s="1107" t="str">
        <f ca="1">IF('A-80 DirEntInv'!AC91&lt;&gt;"",'A-80 DirEntInv'!AC91,IF(INDIRECT(ADDRESS(SumRef!BS98,SumRef!BS$16,,,SumRef!$B$8))="","",INDIRECT(ADDRESS(SumRef!BS98,SumRef!BS$16,,,SumRef!$B$8))))</f>
        <v/>
      </c>
      <c r="AD92" s="1349" t="str">
        <f ca="1">IF('A-80 DirEntInv'!AD91&lt;&gt;"",'A-80 DirEntInv'!AD91,IF(INDIRECT(ADDRESS(SumRef!BT98,SumRef!BT$16,,,SumRef!$B$8))="","",INDIRECT(ADDRESS(SumRef!BT98,SumRef!BT$16,,,SumRef!$B$8))))</f>
        <v/>
      </c>
      <c r="AE92" s="1137" t="str">
        <f ca="1">IF('A-80 DirEntInv'!AE91&lt;&gt;"",'A-80 DirEntInv'!AE91,IF(INDIRECT(ADDRESS(SumRef!BU98,SumRef!BU$16,,,SumRef!$B$8))="","",INDIRECT(ADDRESS(SumRef!BU98,SumRef!BU$16,,,SumRef!$B$8))))</f>
        <v/>
      </c>
      <c r="AF92" s="1346" t="str">
        <f ca="1">IF('A-80 DirEntInv'!AF91&lt;&gt;"",'A-80 DirEntInv'!AF91,IF(INDIRECT(ADDRESS(SumRef!BV98,SumRef!BV$16,,,SumRef!$B$8))="","",INDIRECT(ADDRESS(SumRef!BV98,SumRef!BV$16,,,SumRef!$B$8))))</f>
        <v/>
      </c>
      <c r="AG92" s="1105" t="str">
        <f ca="1">IF('A-80 DirEntInv'!AG91&lt;&gt;"",'A-80 DirEntInv'!AG91,IF(INDIRECT(ADDRESS(SumRef!BW98,SumRef!BW$16,,,SumRef!$B$8))="","",INDIRECT(ADDRESS(SumRef!BW98,SumRef!BW$16,,,SumRef!$B$8))))</f>
        <v/>
      </c>
      <c r="AH92" s="1357" t="str">
        <f ca="1">IF('A-80 DirEntInv'!AH91&lt;&gt;"",'A-80 DirEntInv'!AH91,IF(INDIRECT(ADDRESS(SumRef!BX98,SumRef!BX$16,,,SumRef!$B$8))="","",INDIRECT(ADDRESS(SumRef!BX98,SumRef!BX$16,,,SumRef!$B$8))))</f>
        <v/>
      </c>
      <c r="AK92" s="1041" t="str">
        <f>Codes!$C$161</f>
        <v>CR - Commuter Rail (DO)</v>
      </c>
      <c r="AL92" s="1042" t="str">
        <f>Valid!$B$89</f>
        <v>Third Rail/Power Distribution</v>
      </c>
      <c r="AM92" s="1108"/>
      <c r="AN92" s="1042"/>
      <c r="AO92" s="1108"/>
      <c r="AP92" s="1042"/>
      <c r="AQ92" s="1147" t="str">
        <f>IF('A-80 DirEntInv'!AQ91&lt;&gt;"",'A-80 DirEntInv'!AQ91,IF(AK92=summaryref2!B23,summaryref2!G23,IF(Summary!AK92=summaryref2!B37,summaryref2!G37,IF(AK92=summaryref2!B51,summaryref2!G51,IF(AK92=summaryref2!B65,summaryref2!G65,IF(AK92=summaryref2!B79,summaryref2!G79,IF(AK92=summaryref2!B93,summaryref2!G93,IF(AK92=summaryref2!B107,summaryref2!G107,IF(AK92=summaryref2!B121,summaryref2!G121,IF(AK92=summaryref2!B135,summaryref2!G135,IF(AK92=summaryref2!B149,summaryref2!G149,"")))))))))))</f>
        <v/>
      </c>
      <c r="AR92" s="1147" t="str">
        <f>IF('A-80 DirEntInv'!AR91&lt;&gt;"",'A-80 DirEntInv'!AR91,IF(AK92=summaryref2!B23,summaryref2!H23,IF(Summary!AK92=summaryref2!B37,summaryref2!H37,IF(AK92=summaryref2!B51,summaryref2!H51,IF(AK92=summaryref2!B65,summaryref2!H65,IF(AK92=summaryref2!B79,summaryref2!H79,IF(AK92=summaryref2!B93,summaryref2!H93,IF(AK92=summaryref2!B107,summaryref2!H107,IF(AK92=summaryref2!B121,summaryref2!H121,IF(AK92=summaryref2!B135,summaryref2!H135,IF(AK92=summaryref2!B149,summaryref2!H149,"")))))))))))</f>
        <v/>
      </c>
      <c r="AS92" s="1110" t="str">
        <f>IF('A-80 DirEntInv'!AS91&lt;&gt;"",'A-80 DirEntInv'!AS91,IF(AK92=summaryref2!B23,summaryref2!I23,IF(Summary!AK92=summaryref2!B37,summaryref2!I37,IF(AK92=summaryref2!B51,summaryref2!I51,IF(AK92=summaryref2!B65,summaryref2!I65,IF(AK92=summaryref2!B79,summaryref2!I79,IF(AK92=summaryref2!B93,summaryref2!I93,IF(AK92=summaryref2!B107,summaryref2!I107,IF(AK92=summaryref2!B121,summaryref2!I121,IF(AK92=summaryref2!B135,summaryref2!I135,IF(AK92=summaryref2!B149,summaryref2!I149,"")))))))))))</f>
        <v/>
      </c>
      <c r="AT92" s="1110" t="str">
        <f>IF('A-80 DirEntInv'!AT91&lt;&gt;"",'A-80 DirEntInv'!AT91,IF(AK92=summaryref2!B23,summaryref2!J23,IF(Summary!AK92=summaryref2!B37,summaryref2!J37,IF(AK92=summaryref2!B51,summaryref2!J51,IF(AK92=summaryref2!B65,summaryref2!J65,IF(AK92=summaryref2!B79,summaryref2!J79,IF(AK92=summaryref2!B93,summaryref2!J93,IF(AK92=summaryref2!B107,summaryref2!J107,IF(AK92=summaryref2!B121,summaryref2!J121,IF(AK92=summaryref2!B135,summaryref2!J135,IF(AK92=summaryref2!B149,summaryref2!J149,"")))))))))))</f>
        <v/>
      </c>
      <c r="AU92" s="1110" t="str">
        <f>IF('A-80 DirEntInv'!AU91&lt;&gt;"",'A-80 DirEntInv'!AU91,IF(AK92=summaryref2!B23,summaryref2!K23,IF(Summary!AK92=summaryref2!B37,summaryref2!K37,IF(AK92=summaryref2!B51,summaryref2!K51,IF(AK92=summaryref2!B65,summaryref2!K65,IF(AK92=summaryref2!B79,summaryref2!K79,IF(AK92=summaryref2!B93,summaryref2!K93,IF(AK92=summaryref2!B107,summaryref2!K107,IF(AK92=summaryref2!B121,summaryref2!K121,IF(AK92=summaryref2!B135,summaryref2!K135,IF(AK92=summaryref2!B149,summaryref2!K149,"")))))))))))</f>
        <v/>
      </c>
      <c r="AV92" s="1110" t="str">
        <f>IF('A-80 DirEntInv'!AV91&lt;&gt;"",'A-80 DirEntInv'!AV91,IF(AK92=summaryref2!B23,summaryref2!L23,IF(Summary!AK92=summaryref2!B37,summaryref2!L37,IF(AK92=summaryref2!B51,summaryref2!L51,IF(AK92=summaryref2!B65,summaryref2!L65,IF(AK92=summaryref2!B79,summaryref2!L79,IF(AK92=summaryref2!B93,summaryref2!L93,IF(AK92=summaryref2!B107,summaryref2!L107,IF(AK92=summaryref2!B121,summaryref2!L121,IF(AK92=summaryref2!B135,summaryref2!L135,IF(AK92=summaryref2!B149,summaryref2!L149,"")))))))))))</f>
        <v/>
      </c>
      <c r="AW92" s="1110" t="str">
        <f>IF('A-80 DirEntInv'!AW91&lt;&gt;"",'A-80 DirEntInv'!AW91,IF(AK92=summaryref2!B23,summaryref2!M23,IF(Summary!AK92=summaryref2!B37,summaryref2!M37,IF(AK92=summaryref2!B51,summaryref2!M51,IF(AK92=summaryref2!B65,summaryref2!M65,IF(AK92=summaryref2!B79,summaryref2!M79,IF(AK92=summaryref2!B93,summaryref2!M93,IF(AK92=summaryref2!B107,summaryref2!M107,IF(AK92=summaryref2!B121,summaryref2!M121,IF(AK92=summaryref2!B135,summaryref2!M135,IF(AK92=summaryref2!B149,summaryref2!M149,"")))))))))))</f>
        <v/>
      </c>
      <c r="AX92" s="1110" t="str">
        <f>IF('A-80 DirEntInv'!AX91&lt;&gt;"",'A-80 DirEntInv'!AX91,IF(AK92=summaryref2!B23,summaryref2!N23,IF(Summary!AK92=summaryref2!B37,summaryref2!N37,IF(AK92=summaryref2!B51,summaryref2!N51,IF(AK92=summaryref2!B65,summaryref2!N65,IF(AK92=summaryref2!B79,summaryref2!N79,IF(AK92=summaryref2!B93,summaryref2!N93,IF(AK92=summaryref2!B107,summaryref2!N107,IF(AK92=summaryref2!B121,summaryref2!N121,IF(AK92=summaryref2!B135,summaryref2!N135,IF(AK92=summaryref2!B149,summaryref2!N149,"")))))))))))</f>
        <v/>
      </c>
      <c r="AY92" s="1110" t="str">
        <f>IF('A-80 DirEntInv'!AY91&lt;&gt;"",'A-80 DirEntInv'!AY91,IF(AK92=summaryref2!B23,summaryref2!O23,IF(Summary!AK92=summaryref2!B37,summaryref2!O37,IF(AK92=summaryref2!B51,summaryref2!O51,IF(AK92=summaryref2!B65,summaryref2!O65,IF(AK92=summaryref2!B79,summaryref2!O79,IF(AK92=summaryref2!B93,summaryref2!O93,IF(AK92=summaryref2!B107,summaryref2!O107,IF(AK92=summaryref2!B121,summaryref2!O121,IF(AK92=summaryref2!B135,summaryref2!O135,IF(AK92=summaryref2!B149,summaryref2!O149,"")))))))))))</f>
        <v/>
      </c>
      <c r="AZ92" s="1110" t="str">
        <f>IF('A-80 DirEntInv'!AZ91&lt;&gt;"",'A-80 DirEntInv'!AZ91,IF(AK92=summaryref2!B23,summaryref2!P23,IF(Summary!AK92=summaryref2!B37,summaryref2!P37,IF(AK92=summaryref2!B51,summaryref2!P51,IF(AK92=summaryref2!B65,summaryref2!P65,IF(AK92=summaryref2!B79,summaryref2!P79,IF(AK92=summaryref2!B93,summaryref2!P93,IF(AK92=summaryref2!B107,summaryref2!P107,IF(AK92=summaryref2!B121,summaryref2!P121,IF(AK92=summaryref2!B135,summaryref2!P135,IF(AK92=summaryref2!B149,summaryref2!P149,"")))))))))))</f>
        <v/>
      </c>
      <c r="BA92" s="1110" t="str">
        <f>IF('A-80 DirEntInv'!BA91&lt;&gt;"",'A-80 DirEntInv'!BA91,IF(AK92=summaryref2!B23,summaryref2!Q23,IF(Summary!AK92=summaryref2!B37,summaryref2!Q37,IF(AK92=summaryref2!B51,summaryref2!Q51,IF(AK92=summaryref2!B65,summaryref2!Q65,IF(AK92=summaryref2!B79,summaryref2!Q79,IF(AK92=summaryref2!B93,summaryref2!Q93,IF(AK92=summaryref2!B107,summaryref2!Q107,IF(AK92=summaryref2!B121,summaryref2!Q121,IF(AK92=summaryref2!B135,summaryref2!Q135,IF(AK92=summaryref2!B149,summaryref2!Q149,"")))))))))))</f>
        <v/>
      </c>
      <c r="BB92" s="1110" t="str">
        <f>IF('A-80 DirEntInv'!BB91&lt;&gt;"",'A-80 DirEntInv'!BB91,IF(AK92=summaryref2!B23,summaryref2!R23,IF(Summary!AK92=summaryref2!B37,summaryref2!R37,IF(AK92=summaryref2!B51,summaryref2!R51,IF(AK92=summaryref2!B65,summaryref2!R65,IF(AK92=summaryref2!B79,summaryref2!R79,IF(AK92=summaryref2!B93,summaryref2!R93,IF(AK92=summaryref2!B107,summaryref2!R107,IF(AK92=summaryref2!B121,summaryref2!R121,IF(AK92=summaryref2!B135,summaryref2!R135,IF(AK92=summaryref2!B149,summaryref2!R149,"")))))))))))</f>
        <v/>
      </c>
      <c r="BC92" s="1110" t="str">
        <f>IF('A-80 DirEntInv'!BC91&lt;&gt;0,'A-80 DirEntInv'!BC91,IF(AK92=summaryref2!B23,summaryref2!S23,IF(Summary!AK92=summaryref2!B37,summaryref2!S37,IF(AK92=summaryref2!B51,summaryref2!S51,IF(AK92=summaryref2!B65,summaryref2!S65,IF(AK92=summaryref2!B79,summaryref2!S79,IF(AK92=summaryref2!B93,summaryref2!S93,IF(AK92=summaryref2!B107,summaryref2!S107,IF(AK92=summaryref2!B121,summaryref2!S121,IF(AK92=summaryref2!B135,summaryref2!S135,IF(AK92=summaryref2!B149,summaryref2!S149,"")))))))))))</f>
        <v/>
      </c>
      <c r="BD92" s="1111" t="str">
        <f>IF('A-80 DirEntInv'!BD91&lt;&gt;"",'A-80 DirEntInv'!BD91,IF(AK92=summaryref2!B23,summaryref2!T23,IF(Summary!AK92=summaryref2!B37,summaryref2!T37,IF(AK92=summaryref2!B51,summaryref2!T51,IF(AK92=summaryref2!B65,summaryref2!T65,IF(AK92=summaryref2!B79,summaryref2!T79,IF(AK92=summaryref2!B93,summaryref2!T93,IF(AK92=summaryref2!B107,summaryref2!T107,IF(AK92=summaryref2!B121,summaryref2!T121,IF(AK92=summaryref2!B135,summaryref2!T135,IF(AK92=summaryref2!B149,summaryref2!T149,"")))))))))))</f>
        <v/>
      </c>
      <c r="BE92" s="1184" t="str">
        <f>IF('A-80 DirEntInv'!BE91&lt;&gt;"",'A-80 DirEntInv'!BE91,IF(AK92=summaryref2!B23,summaryref2!U23,IF(Summary!AK92=summaryref2!B37,summaryref2!U37,IF(AK92=summaryref2!B51,summaryref2!U51,IF(AK92=summaryref2!B65,summaryref2!U65,IF(AK92=summaryref2!B79,summaryref2!U79,IF(AK92=summaryref2!B93,summaryref2!U93,IF(AK92=summaryref2!B107,summaryref2!U107,IF(AK92=summaryref2!B121,summaryref2!U121,IF(AK92=summaryref2!B135,summaryref2!U135,IF(AK92=summaryref2!B149,summaryref2!U149,"")))))))))))</f>
        <v/>
      </c>
      <c r="BF92" s="1432"/>
      <c r="BG92" s="1432"/>
      <c r="BJ92" s="1041" t="str">
        <f>Codes!$C$167</f>
        <v>MG - Monorail/Automated Guideway (DO)</v>
      </c>
      <c r="BK92" s="1042" t="str">
        <f>Valid!$B$84</f>
        <v>Half Grand Union</v>
      </c>
      <c r="BL92" s="1375" t="str">
        <f>IF('A-80 DirEntInv'!BL91&lt;&gt;"",'A-80 DirEntInv'!BL91,IF(BJ92=summaryref2!X16,summaryref2!Z16,IF(BJ92=summaryref2!X23,summaryref2!Z23,IF(BJ92=summaryref2!X30,summaryref2!Z30,IF(BJ92=summaryref2!X37,summaryref2!Z37,IF(BJ92=summaryref2!X44,summaryref2!Z44,IF(BJ92=summaryref2!X51,summaryref2!Z51,IF(BJ92=summaryref2!X58,summaryref2!Z58,IF(BJ92=summaryref2!X65,summaryref2!Z65,IF(BJ92=summaryref2!X72,summaryref2!Z72,IF(BJ92=summaryref2!X79,summaryref2!Z79,"")))))))))))</f>
        <v/>
      </c>
      <c r="BM92" s="1042" t="str">
        <f>VLOOKUP(BK92,Valid!$B$80:$C$86,2,FALSE)</f>
        <v>Each</v>
      </c>
      <c r="BN92" s="1209" t="str">
        <f>IF('A-80 DirEntInv'!BN91&lt;&gt;"",'A-80 DirEntInv'!BN91,IF(BJ92=summaryref2!X16,summaryref2!AB16,IF(BJ92=summaryref2!X23,summaryref2!AB23,IF(BJ92=summaryref2!X30,summaryref2!AB30,IF(BJ92=summaryref2!X37,summaryref2!AB37,IF(BJ92=summaryref2!X44,summaryref2!AB44,IF(BJ92=summaryref2!X51,summaryref2!AB51,IF(BJ92=summaryref2!X58,summaryref2!AB58,IF(BJ92=summaryref2!X65,summaryref2!AB65,IF(BJ92=summaryref2!X72,summaryref2!AB72,IF(BJ92=summaryref2!X79,summaryref2!AB79,"")))))))))))</f>
        <v/>
      </c>
      <c r="BO92" s="1116" t="str">
        <f>IF('A-80 DirEntInv'!BO91&lt;&gt;"",'A-80 DirEntInv'!BO91,IF(BJ92=summaryref2!X16,summaryref2!AC16,IF(BJ92=summaryref2!X23,summaryref2!AC23,IF(BJ92=summaryref2!X30,summaryref2!AC30,IF(BJ92=summaryref2!X37,summaryref2!AC37,IF(BJ92=summaryref2!X44,summaryref2!AC44,IF(BJ92=summaryref2!X51,summaryref2!AC51,IF(BJ92=summaryref2!X58,summaryref2!AC58,IF(BJ92=summaryref2!X65,summaryref2!AC65,IF(BJ92=summaryref2!X72,summaryref2!AC72,IF(BJ92=summaryref2!X79,summaryref2!AC79,"")))))))))))</f>
        <v/>
      </c>
      <c r="BP92" s="1384" t="str">
        <f>IF('A-80 DirEntInv'!BP91&lt;&gt;"",'A-80 DirEntInv'!BP91,IF(BJ92=summaryref2!X16,summaryref2!AD16,IF(BJ92=summaryref2!X23,summaryref2!AD23,IF(BJ92=summaryref2!X30,summaryref2!AD30,IF(BJ92=summaryref2!X37,summaryref2!AD37,IF(BJ92=summaryref2!X44,summaryref2!AD44,IF(BJ92=summaryref2!X51,summaryref2!AD51,IF(BJ92=summaryref2!X58,summaryref2!AD58,IF(BJ92=summaryref2!X65,summaryref2!AD65,IF(BJ92=summaryref2!X72,summaryref2!AD72,IF(BJ92=summaryref2!X79,summaryref2!AD79,"")))))))))))</f>
        <v/>
      </c>
      <c r="BS92" s="1472" t="str">
        <f ca="1">IF('A-80 DirEntInv'!BU91&lt;&gt;"",'A-80 DirEntInv'!BU91,IF(INDIRECT(ADDRESS(SumRef!DK98,SumRef!DK$16,,,SumRef!$E$6))="","",INDIRECT(ADDRESS(SumRef!DK98,SumRef!DK$16,,,SumRef!$E$6))))</f>
        <v/>
      </c>
      <c r="BT92" s="1458" t="str">
        <f ca="1">IF('A-80 DirEntInv'!BV91&lt;&gt;"",'A-80 DirEntInv'!BV91,IF(INDIRECT(ADDRESS(SumRef!DL98,SumRef!DL$16,,,SumRef!$E$6))="","",INDIRECT(ADDRESS(SumRef!DL98,SumRef!DL$16,,,SumRef!$E$6))))</f>
        <v/>
      </c>
      <c r="BU92" s="1177" t="str">
        <f ca="1">IF('A-80 DirEntInv'!BW91&lt;&gt;"",'A-80 DirEntInv'!BW91,IF(INDIRECT(ADDRESS(SumRef!DM98,SumRef!DM$16,,,SumRef!$E$6))="","",INDIRECT(ADDRESS(SumRef!DM98,SumRef!DM$16,,,SumRef!$E$6))))</f>
        <v/>
      </c>
      <c r="BV92" s="1460" t="str">
        <f ca="1">IF('A-80 DirEntInv'!BX91&lt;&gt;"",'A-80 DirEntInv'!BX91,IF(INDIRECT(ADDRESS(SumRef!DN98,SumRef!DN$16,,,SumRef!$E$6))="","",INDIRECT(ADDRESS(SumRef!DN98,SumRef!DN$16,,,SumRef!$E$6))))</f>
        <v/>
      </c>
      <c r="BW92" s="1460" t="str">
        <f ca="1">IF('A-80 DirEntInv'!BY91&lt;&gt;"",'A-80 DirEntInv'!BY91,IF(INDIRECT(ADDRESS(SumRef!DO98,SumRef!DO$16,,,SumRef!$E$6))="","",INDIRECT(ADDRESS(SumRef!DO98,SumRef!DO$16,,,SumRef!$E$6))))</f>
        <v/>
      </c>
      <c r="BX92" s="1116" t="str">
        <f ca="1">IF('A-80 DirEntInv'!BZ91&lt;&gt;"",'A-80 DirEntInv'!BZ91,IF(INDIRECT(ADDRESS(SumRef!DP98,SumRef!DP$16,,,SumRef!$E$6))="","",INDIRECT(ADDRESS(SumRef!DP98,SumRef!DP$16,,,SumRef!$E$6))))</f>
        <v/>
      </c>
      <c r="BY92" s="1461" t="str">
        <f ca="1">IF('A-80 DirEntInv'!CA91&lt;&gt;"",'A-80 DirEntInv'!CA91,IF(INDIRECT(ADDRESS(SumRef!DQ98,SumRef!DQ$16,,,SumRef!$E$6))="","",INDIRECT(ADDRESS(SumRef!DQ98,SumRef!DQ$16,,,SumRef!$E$6))))</f>
        <v/>
      </c>
      <c r="BZ92" s="1460" t="str">
        <f ca="1">IF('A-80 DirEntInv'!CB91&lt;&gt;"",'A-80 DirEntInv'!CB91,IF(INDIRECT(ADDRESS(SumRef!DR98,SumRef!DR$16,,,SumRef!$E$6))="","",INDIRECT(ADDRESS(SumRef!DR98,SumRef!DR$16,,,SumRef!$E$6))))</f>
        <v/>
      </c>
      <c r="CA92" s="1462" t="str">
        <f ca="1">IF('A-80 DirEntInv'!CC91&lt;&gt;"",'A-80 DirEntInv'!CC91,IF(INDIRECT(ADDRESS(SumRef!DS98,SumRef!DS$16,,,SumRef!$E$6))="","",INDIRECT(ADDRESS(SumRef!DS98,SumRef!DS$16,,,SumRef!$E$6))))</f>
        <v/>
      </c>
      <c r="CD92" s="1160" t="str">
        <f ca="1">IF('A-80 DirEntInv'!CF91&lt;&gt;"",'A-80 DirEntInv'!CF91,IF(INDIRECT(ADDRESS(SumRef!DV98,SumRef!DV$16,,,SumRef!$E$7))="","",INDIRECT(ADDRESS(SumRef!DV98,SumRef!DV$16,,,SumRef!$E$7))))</f>
        <v/>
      </c>
      <c r="CE92" s="1167" t="str">
        <f ca="1">IF('A-80 DirEntInv'!CG91&lt;&gt;"",'A-80 DirEntInv'!CG91,IF(INDIRECT(ADDRESS(SumRef!DW98,SumRef!DW$16,,,SumRef!$E$7))="","",INDIRECT(ADDRESS(SumRef!DW98,SumRef!DW$16,,,SumRef!$E$7))))</f>
        <v/>
      </c>
      <c r="CF92" s="1167" t="str">
        <f ca="1">IF('A-80 DirEntInv'!CH91&lt;&gt;"",'A-80 DirEntInv'!CH91,IF(INDIRECT(ADDRESS(SumRef!DX98,SumRef!DX$16,,,SumRef!$E$7))="","",INDIRECT(ADDRESS(SumRef!DX98,SumRef!DX$16,,,SumRef!$E$7))))</f>
        <v/>
      </c>
      <c r="CG92" s="1167" t="str">
        <f ca="1">IF('A-80 DirEntInv'!CI91&lt;&gt;"",'A-80 DirEntInv'!CI91,IF(INDIRECT(ADDRESS(SumRef!DY98,SumRef!DY$16,,,SumRef!$E$7))="","",INDIRECT(ADDRESS(SumRef!DY98,SumRef!DY$16,,,SumRef!$E$7))))</f>
        <v/>
      </c>
      <c r="CH92" s="1167" t="str">
        <f ca="1">IF('A-80 DirEntInv'!CJ91&lt;&gt;"",'A-80 DirEntInv'!CJ91,IF(INDIRECT(ADDRESS(SumRef!DZ98,SumRef!DZ$16,,,SumRef!$E$7))="","",INDIRECT(ADDRESS(SumRef!DZ98,SumRef!DZ$16,,,SumRef!$E$7))))</f>
        <v/>
      </c>
      <c r="CI92" s="1167" t="str">
        <f ca="1">IF('A-80 DirEntInv'!CK91&lt;&gt;"",'A-80 DirEntInv'!CK91,IF(INDIRECT(ADDRESS(SumRef!EA98,SumRef!EA$16,,,SumRef!$E$7))="","",INDIRECT(ADDRESS(SumRef!EA98,SumRef!EA$16,,,SumRef!$E$7))))</f>
        <v/>
      </c>
      <c r="CJ92" s="1114" t="str">
        <f ca="1">IF('A-80 DirEntInv'!CL91&lt;&gt;"",'A-80 DirEntInv'!CL91,IF(INDIRECT(ADDRESS(SumRef!EB98,SumRef!EB$16,,,SumRef!$E$7))="","",INDIRECT(ADDRESS(SumRef!EB98,SumRef!EB$16,,,SumRef!$E$7))))</f>
        <v/>
      </c>
      <c r="CK92" s="1114" t="str">
        <f ca="1">IF('A-80 DirEntInv'!CM91&lt;&gt;"",'A-80 DirEntInv'!CM91,IF(INDIRECT(ADDRESS(SumRef!EC98,SumRef!EC$16,,,SumRef!$E$7))="","",INDIRECT(ADDRESS(SumRef!EC98,SumRef!EC$16,,,SumRef!$E$7))))</f>
        <v/>
      </c>
      <c r="CL92" s="1113" t="str">
        <f ca="1">IF('A-80 DirEntInv'!CO91&lt;&gt;"",'A-80 DirEntInv'!CO91,IF(INDIRECT(ADDRESS(SumRef!ED98,SumRef!ED$16,,,SumRef!$E$7))="","",INDIRECT(ADDRESS(SumRef!ED98,SumRef!ED$16,,,SumRef!$E$7))))</f>
        <v/>
      </c>
      <c r="CM92" s="1114" t="str">
        <f ca="1">IF('A-80 DirEntInv'!CP91&lt;&gt;"",'A-80 DirEntInv'!CP91,IF(INDIRECT(ADDRESS(SumRef!EE98,SumRef!EE$16,,,SumRef!$E$7))="","",INDIRECT(ADDRESS(SumRef!EE98,SumRef!EE$16,,,SumRef!$E$7))))</f>
        <v/>
      </c>
      <c r="CN92" s="1114" t="str">
        <f ca="1">IF('A-80 DirEntInv'!CQ91&lt;&gt;"",'A-80 DirEntInv'!CQ91,IF(INDIRECT(ADDRESS(SumRef!EF98,SumRef!EF$16,,,SumRef!$E$7))="","",INDIRECT(ADDRESS(SumRef!EF98,SumRef!EF$16,,,SumRef!$E$7))))</f>
        <v/>
      </c>
      <c r="CO92" s="1113" t="str">
        <f ca="1">IF('A-80 DirEntInv'!CR91&lt;&gt;"",'A-80 DirEntInv'!CR91,IF(INDIRECT(ADDRESS(SumRef!EG98,SumRef!EG$16,,,SumRef!$E$7))="","",INDIRECT(ADDRESS(SumRef!EG98,SumRef!EG$16,,,SumRef!$E$7))))</f>
        <v/>
      </c>
      <c r="CP92" s="1114" t="str">
        <f ca="1">IF('A-80 DirEntInv'!CS91&lt;&gt;"",'A-80 DirEntInv'!CS91,IF(INDIRECT(ADDRESS(SumRef!EH98,SumRef!EH$16,,,SumRef!$E$7))="","",INDIRECT(ADDRESS(SumRef!EH98,SumRef!EH$16,,,SumRef!$E$7))))</f>
        <v/>
      </c>
      <c r="CQ92" s="1346" t="str">
        <f ca="1">IF('A-80 DirEntInv'!CT91&lt;&gt;"",'A-80 DirEntInv'!CT91,IF(INDIRECT(ADDRESS(SumRef!EI98,SumRef!EI$16,,,SumRef!$E$7))="","",INDIRECT(ADDRESS(SumRef!EI98,SumRef!EI$16,,,SumRef!$E$7))))</f>
        <v/>
      </c>
      <c r="CR92" s="1113" t="str">
        <f ca="1">IF('A-80 DirEntInv'!CU91&lt;&gt;"",'A-80 DirEntInv'!CU91,IF(INDIRECT(ADDRESS(SumRef!EJ98,SumRef!EJ$16,,,SumRef!$E$7))="","",INDIRECT(ADDRESS(SumRef!EJ98,SumRef!EJ$16,,,SumRef!$E$7))))</f>
        <v/>
      </c>
      <c r="CS92" s="1346" t="str">
        <f ca="1">IF('A-80 DirEntInv'!CV91&lt;&gt;"",'A-80 DirEntInv'!CV91,IF(INDIRECT(ADDRESS(SumRef!EM98,SumRef!EM$16,,,SumRef!$E$7))="","",INDIRECT(ADDRESS(SumRef!EM98,SumRef!EM$16,,,SumRef!$E$7))))</f>
        <v/>
      </c>
      <c r="CT92" s="1113" t="str">
        <f ca="1">IF('A-80 DirEntInv'!CW91&lt;&gt;"",'A-80 DirEntInv'!CW91,IF(INDIRECT(ADDRESS(SumRef!EN98,SumRef!EN$16,,,SumRef!$E$7))="","",INDIRECT(ADDRESS(SumRef!EN98,SumRef!EN$16,,,SumRef!$E$7))))</f>
        <v/>
      </c>
      <c r="CU92" s="1113" t="str">
        <f ca="1">IF('A-80 DirEntInv'!CX91&lt;&gt;"",'A-80 DirEntInv'!CX91,IF(INDIRECT(ADDRESS(SumRef!EO98,SumRef!EO$16,,,SumRef!$E$7))="","",INDIRECT(ADDRESS(SumRef!EO98,SumRef!EO$16,,,SumRef!$E$7))))</f>
        <v/>
      </c>
      <c r="CV92" s="1113" t="str">
        <f ca="1">IF('A-80 DirEntInv'!CY91&lt;&gt;"",'A-80 DirEntInv'!CY91,IF(INDIRECT(ADDRESS(SumRef!EP98,SumRef!EP$16,,,SumRef!$E$7))="","",INDIRECT(ADDRESS(SumRef!EP98,SumRef!EP$16,,,SumRef!$E$7))))</f>
        <v/>
      </c>
      <c r="CW92" s="1114" t="str">
        <f ca="1">IF('A-80 DirEntInv'!CZ91&lt;&gt;"",'A-80 DirEntInv'!CZ91,IF(INDIRECT(ADDRESS(SumRef!ES98,SumRef!ES$16,,,SumRef!$E$7))="","",INDIRECT(ADDRESS(SumRef!ES98,SumRef!ES$16,,,SumRef!$E$7))))</f>
        <v/>
      </c>
      <c r="CX92" s="1167" t="str">
        <f ca="1">IF('A-80 DirEntInv'!DA91&lt;&gt;"",'A-80 DirEntInv'!DA91,IF(INDIRECT(ADDRESS(SumRef!ET98,SumRef!ET$16,,,SumRef!$E$7))="","",INDIRECT(ADDRESS(SumRef!ET98,SumRef!ET$16,,,SumRef!$E$7))))</f>
        <v/>
      </c>
      <c r="CY92" s="1167" t="str">
        <f ca="1">IF('A-80 DirEntInv'!DB91&lt;&gt;"",'A-80 DirEntInv'!DB91,IF(INDIRECT(ADDRESS(SumRef!EU98,SumRef!EU$16,,,SumRef!$E$7))="","",INDIRECT(ADDRESS(SumRef!EU98,SumRef!EU$16,,,SumRef!$E$7))))</f>
        <v/>
      </c>
      <c r="CZ92" s="1167" t="b">
        <f ca="1">IF('A-80 DirEntInv'!DC91&lt;&gt;"",'A-80 DirEntInv'!DC91,IF(INDIRECT(ADDRESS(SumRef!EV98,SumRef!EV$16,,,SumRef!$E$7))="","",INDIRECT(ADDRESS(SumRef!EV98,SumRef!EV$16,,,SumRef!$E$7))))</f>
        <v>0</v>
      </c>
      <c r="DA92" s="1373" t="str">
        <f ca="1">IF('A-80 DirEntInv'!DD91&lt;&gt;"",'A-80 DirEntInv'!DD91,IF(INDIRECT(ADDRESS(SumRef!EW98,SumRef!EW$16,,,SumRef!$E$7))="","",INDIRECT(ADDRESS(SumRef!EW98,SumRef!EW$16,,,SumRef!$E$7))))</f>
        <v/>
      </c>
      <c r="DB92" s="1373" t="b">
        <f ca="1">IF('A-80 DirEntInv'!DE91&lt;&gt;"",'A-80 DirEntInv'!DE91,IF(INDIRECT(ADDRESS(SumRef!EX98,SumRef!EX$16,,,SumRef!$E$7))="","",INDIRECT(ADDRESS(SumRef!EX98,SumRef!EX$16,,,SumRef!$E$7))))</f>
        <v>0</v>
      </c>
      <c r="DC92" s="1114" t="b">
        <f ca="1">IF('A-80 DirEntInv'!DF91&lt;&gt;"",'A-80 DirEntInv'!DF91,IF(INDIRECT(ADDRESS(SumRef!EY98,SumRef!EY$16,,,SumRef!$E$7))="","",INDIRECT(ADDRESS(SumRef!EY98,SumRef!EY$16,,,SumRef!$E$7))))</f>
        <v>0</v>
      </c>
      <c r="DD92" s="1115" t="str">
        <f ca="1">IF('A-80 DirEntInv'!DG91&lt;&gt;"",'A-80 DirEntInv'!DG91,IF(INDIRECT(ADDRESS(SumRef!EZ98,SumRef!EZ$16,,,SumRef!$E$7))="","",INDIRECT(ADDRESS(SumRef!EZ98,SumRef!EZ$16,,,SumRef!$E$7))))</f>
        <v/>
      </c>
    </row>
    <row r="93" spans="1:108" s="588" customFormat="1" x14ac:dyDescent="0.2">
      <c r="A93" s="589">
        <f t="shared" si="1"/>
        <v>83</v>
      </c>
      <c r="B93" s="1155" t="str">
        <f ca="1">IF('A-80 DirEntInv'!B92&lt;&gt;"",'A-80 DirEntInv'!B92,IF(INDIRECT(ADDRESS(SumRef!AQ99,SumRef!AQ$16,,,SumRef!$B$7))="","",INDIRECT(ADDRESS(SumRef!AQ99,SumRef!AQ$16,,,SumRef!$B$7))))</f>
        <v/>
      </c>
      <c r="C93" s="1097" t="str">
        <f ca="1">IF('A-80 DirEntInv'!C92&lt;&gt;"",'A-80 DirEntInv'!C92,IF(INDIRECT(ADDRESS(SumRef!AR99,SumRef!AR$16,,,SumRef!$B$7))="","",INDIRECT(ADDRESS(SumRef!AR99,SumRef!AR$16,,,SumRef!$B$7))))</f>
        <v/>
      </c>
      <c r="D93" s="1097" t="str">
        <f ca="1">IF('A-80 DirEntInv'!D92&lt;&gt;"",'A-80 DirEntInv'!D92,IF(INDIRECT(ADDRESS(SumRef!AS99,SumRef!AS$16,,,SumRef!$B$7))="","",INDIRECT(ADDRESS(SumRef!AS99,SumRef!AS$16,,,SumRef!$B$7))))</f>
        <v/>
      </c>
      <c r="E93" s="1097" t="str">
        <f ca="1">IF('A-80 DirEntInv'!E92&lt;&gt;"",'A-80 DirEntInv'!E92,IF(INDIRECT(ADDRESS(SumRef!AT99,SumRef!AT$16,,,SumRef!$B$7))="","",INDIRECT(ADDRESS(SumRef!AT99,SumRef!AT$16,,,SumRef!$B$7))))</f>
        <v/>
      </c>
      <c r="F93" s="1097" t="str">
        <f ca="1">IF('A-80 DirEntInv'!F92&lt;&gt;"",'A-80 DirEntInv'!F92,IF(INDIRECT(ADDRESS(SumRef!AU99,SumRef!AU$16,,,SumRef!$B$7))="","",INDIRECT(ADDRESS(SumRef!AU99,SumRef!AU$16,,,SumRef!$B$7))))</f>
        <v/>
      </c>
      <c r="G93" s="1158" t="str">
        <f ca="1">IF('A-80 DirEntInv'!G92&lt;&gt;"",'A-80 DirEntInv'!G92,IF(INDIRECT(ADDRESS(SumRef!AV99,SumRef!AV$16,,,SumRef!$B$7))="","",INDIRECT(ADDRESS(SumRef!AV99,SumRef!AV$16,,,SumRef!$B$7))))</f>
        <v/>
      </c>
      <c r="H93" s="1097" t="str">
        <f ca="1">IF('A-80 DirEntInv'!H92&lt;&gt;"",'A-80 DirEntInv'!H92,IF(INDIRECT(ADDRESS(SumRef!AW99,SumRef!AW$16,,,SumRef!$B$7))="","",INDIRECT(ADDRESS(SumRef!AW99,SumRef!AW$16,,,SumRef!$B$7))))</f>
        <v/>
      </c>
      <c r="I93" s="1097" t="str">
        <f ca="1">IF('A-80 DirEntInv'!I92&lt;&gt;"",'A-80 DirEntInv'!I92,IF(INDIRECT(ADDRESS(SumRef!AX99,SumRef!AX$16,,,SumRef!$B$7))="","",INDIRECT(ADDRESS(SumRef!AX99,SumRef!AX$16,,,SumRef!$B$7))))</f>
        <v/>
      </c>
      <c r="J93" s="1098" t="str">
        <f ca="1">IF('A-80 DirEntInv'!J92&lt;&gt;"",'A-80 DirEntInv'!J92,IF(INDIRECT(ADDRESS(SumRef!AY99,SumRef!AY$16,,,SumRef!$B$7))="","",INDIRECT(ADDRESS(SumRef!AY99,SumRef!AY$16,,,SumRef!$B$7))))</f>
        <v/>
      </c>
      <c r="K93" s="1099" t="str">
        <f ca="1">IF('A-80 DirEntInv'!K92&lt;&gt;"",'A-80 DirEntInv'!K92,IF(INDIRECT(ADDRESS(SumRef!AZ99,SumRef!AZ$16,,,SumRef!$B$7))="","",INDIRECT(ADDRESS(SumRef!AZ99,SumRef!AZ$16,,,SumRef!$B$7))))</f>
        <v/>
      </c>
      <c r="L93" s="1100" t="str">
        <f ca="1">IF('A-80 DirEntInv'!L92&lt;&gt;"",'A-80 DirEntInv'!L92,IF(INDIRECT(ADDRESS(SumRef!BA99,SumRef!BA$16,,,SumRef!$B$7))="","",INDIRECT(ADDRESS(SumRef!BA99,SumRef!BA$16,,,SumRef!$B$7))))</f>
        <v/>
      </c>
      <c r="M93" s="1101" t="str">
        <f ca="1">IF('A-80 DirEntInv'!M92&lt;&gt;"",'A-80 DirEntInv'!M92,IF(INDIRECT(ADDRESS(SumRef!BB99,SumRef!BB$16,,,SumRef!$B$7))="","",INDIRECT(ADDRESS(SumRef!BB99,SumRef!BB$16,,,SumRef!$B$7))))</f>
        <v/>
      </c>
      <c r="N93" s="1098" t="str">
        <f ca="1">IF('A-80 DirEntInv'!N92&lt;&gt;"",'A-80 DirEntInv'!N92,IF(INDIRECT(ADDRESS(SumRef!BC99,SumRef!BC$16,,,SumRef!$B$7))="","",INDIRECT(ADDRESS(SumRef!BC99,SumRef!BC$16,,,SumRef!$B$7))))</f>
        <v/>
      </c>
      <c r="O93" s="1102" t="str">
        <f ca="1">IF('A-80 DirEntInv'!O92&lt;&gt;"",'A-80 DirEntInv'!O92,IF(INDIRECT(ADDRESS(SumRef!BD99,SumRef!BD$16,,,SumRef!$B$7))="","",INDIRECT(ADDRESS(SumRef!BD99,SumRef!BD$16,,,SumRef!$B$7))))</f>
        <v/>
      </c>
      <c r="Q93" s="589"/>
      <c r="R93" s="1103" t="str">
        <f ca="1">IF('A-80 DirEntInv'!R92&lt;&gt;"",'A-80 DirEntInv'!R92,IF(INDIRECT(ADDRESS(SumRef!BH99,SumRef!BH$16,,,SumRef!$B$8))="","",INDIRECT(ADDRESS(SumRef!BH99,SumRef!BH$16,,,SumRef!$B$8))))</f>
        <v/>
      </c>
      <c r="S93" s="1104" t="str">
        <f ca="1">IF('A-80 DirEntInv'!S92&lt;&gt;"",'A-80 DirEntInv'!S92,IF(INDIRECT(ADDRESS(SumRef!BI99,SumRef!BI$16,,,SumRef!$B$8))="","",INDIRECT(ADDRESS(SumRef!BI99,SumRef!BI$16,,,SumRef!$B$8))))</f>
        <v/>
      </c>
      <c r="T93" s="1104" t="str">
        <f ca="1">IF('A-80 DirEntInv'!T92&lt;&gt;"",'A-80 DirEntInv'!T92,IF(INDIRECT(ADDRESS(SumRef!BJ99,SumRef!BJ$16,,,SumRef!$B$8))="","",INDIRECT(ADDRESS(SumRef!BJ99,SumRef!BJ$16,,,SumRef!$B$8))))</f>
        <v/>
      </c>
      <c r="U93" s="1104" t="str">
        <f ca="1">IF('A-80 DirEntInv'!U92&lt;&gt;"",'A-80 DirEntInv'!U92,IF(INDIRECT(ADDRESS(SumRef!BK99,SumRef!BK$16,,,SumRef!$B$8))="","",INDIRECT(ADDRESS(SumRef!BK99,SumRef!BK$16,,,SumRef!$B$8))))</f>
        <v/>
      </c>
      <c r="V93" s="1104" t="str">
        <f ca="1">IF('A-80 DirEntInv'!V92&lt;&gt;"",'A-80 DirEntInv'!V92,IF(INDIRECT(ADDRESS(SumRef!BL99,SumRef!BL$16,,,SumRef!$B$8))="","",INDIRECT(ADDRESS(SumRef!BL99,SumRef!BL$16,,,SumRef!$B$8))))</f>
        <v/>
      </c>
      <c r="W93" s="1354" t="str">
        <f ca="1">IF('A-80 DirEntInv'!W92&lt;&gt;"",'A-80 DirEntInv'!W92,IF(INDIRECT(ADDRESS(SumRef!BM99,SumRef!BM$16,,,SumRef!$B$8))="","",INDIRECT(ADDRESS(SumRef!BM99,SumRef!BM$16,,,SumRef!$B$8))))</f>
        <v/>
      </c>
      <c r="X93" s="1203" t="str">
        <f ca="1">IF('A-80 DirEntInv'!X92&lt;&gt;"",'A-80 DirEntInv'!X92,IF(INDIRECT(ADDRESS(SumRef!BN99,SumRef!BN$16,,,SumRef!$B$8))="","",INDIRECT(ADDRESS(SumRef!BN99,SumRef!BN$16,,,SumRef!$B$8))))</f>
        <v/>
      </c>
      <c r="Y93" s="1203" t="str">
        <f ca="1">IF('A-80 DirEntInv'!Y92&lt;&gt;"",'A-80 DirEntInv'!Y92,IF(INDIRECT(ADDRESS(SumRef!BO99,SumRef!BO$16,,,SumRef!$B$8))="","",INDIRECT(ADDRESS(SumRef!BO99,SumRef!BO$16,,,SumRef!$B$8))))</f>
        <v/>
      </c>
      <c r="Z93" s="1104" t="str">
        <f ca="1">IF('A-80 DirEntInv'!Z92&lt;&gt;"",'A-80 DirEntInv'!Z92,IF(INDIRECT(ADDRESS(SumRef!BP99,SumRef!BP$16,,,SumRef!$B$8))="","",INDIRECT(ADDRESS(SumRef!BP99,SumRef!BP$16,,,SumRef!$B$8))))</f>
        <v/>
      </c>
      <c r="AA93" s="1104" t="str">
        <f ca="1">IF('A-80 DirEntInv'!AA92&lt;&gt;"",'A-80 DirEntInv'!AA92,IF(INDIRECT(ADDRESS(SumRef!BQ99,SumRef!BQ$16,,,SumRef!$B$8))="","",INDIRECT(ADDRESS(SumRef!BQ99,SumRef!BQ$16,,,SumRef!$B$8))))</f>
        <v/>
      </c>
      <c r="AB93" s="1106" t="str">
        <f ca="1">IF('A-80 DirEntInv'!AB92&lt;&gt;"",'A-80 DirEntInv'!AB92,IF(INDIRECT(ADDRESS(SumRef!BR99,SumRef!BR$16,,,SumRef!$B$8))="","",INDIRECT(ADDRESS(SumRef!BR99,SumRef!BR$16,,,SumRef!$B$8))))</f>
        <v/>
      </c>
      <c r="AC93" s="1107" t="str">
        <f ca="1">IF('A-80 DirEntInv'!AC92&lt;&gt;"",'A-80 DirEntInv'!AC92,IF(INDIRECT(ADDRESS(SumRef!BS99,SumRef!BS$16,,,SumRef!$B$8))="","",INDIRECT(ADDRESS(SumRef!BS99,SumRef!BS$16,,,SumRef!$B$8))))</f>
        <v/>
      </c>
      <c r="AD93" s="1349" t="str">
        <f ca="1">IF('A-80 DirEntInv'!AD92&lt;&gt;"",'A-80 DirEntInv'!AD92,IF(INDIRECT(ADDRESS(SumRef!BT99,SumRef!BT$16,,,SumRef!$B$8))="","",INDIRECT(ADDRESS(SumRef!BT99,SumRef!BT$16,,,SumRef!$B$8))))</f>
        <v/>
      </c>
      <c r="AE93" s="1137" t="str">
        <f ca="1">IF('A-80 DirEntInv'!AE92&lt;&gt;"",'A-80 DirEntInv'!AE92,IF(INDIRECT(ADDRESS(SumRef!BU99,SumRef!BU$16,,,SumRef!$B$8))="","",INDIRECT(ADDRESS(SumRef!BU99,SumRef!BU$16,,,SumRef!$B$8))))</f>
        <v/>
      </c>
      <c r="AF93" s="1346" t="str">
        <f ca="1">IF('A-80 DirEntInv'!AF92&lt;&gt;"",'A-80 DirEntInv'!AF92,IF(INDIRECT(ADDRESS(SumRef!BV99,SumRef!BV$16,,,SumRef!$B$8))="","",INDIRECT(ADDRESS(SumRef!BV99,SumRef!BV$16,,,SumRef!$B$8))))</f>
        <v/>
      </c>
      <c r="AG93" s="1105" t="str">
        <f ca="1">IF('A-80 DirEntInv'!AG92&lt;&gt;"",'A-80 DirEntInv'!AG92,IF(INDIRECT(ADDRESS(SumRef!BW99,SumRef!BW$16,,,SumRef!$B$8))="","",INDIRECT(ADDRESS(SumRef!BW99,SumRef!BW$16,,,SumRef!$B$8))))</f>
        <v/>
      </c>
      <c r="AH93" s="1357" t="str">
        <f ca="1">IF('A-80 DirEntInv'!AH92&lt;&gt;"",'A-80 DirEntInv'!AH92,IF(INDIRECT(ADDRESS(SumRef!BX99,SumRef!BX$16,,,SumRef!$B$8))="","",INDIRECT(ADDRESS(SumRef!BX99,SumRef!BX$16,,,SumRef!$B$8))))</f>
        <v/>
      </c>
      <c r="AK93" s="1041" t="str">
        <f>Codes!$C$161</f>
        <v>CR - Commuter Rail (DO)</v>
      </c>
      <c r="AL93" s="1042" t="str">
        <f>Valid!$B$90</f>
        <v>Overhead Contact System/Power Distribution</v>
      </c>
      <c r="AM93" s="1108"/>
      <c r="AN93" s="1042"/>
      <c r="AO93" s="1108"/>
      <c r="AP93" s="1042"/>
      <c r="AQ93" s="1147" t="str">
        <f>IF('A-80 DirEntInv'!AQ92&lt;&gt;"",'A-80 DirEntInv'!AQ92,IF(AK93=summaryref2!B24,summaryref2!G24,IF(Summary!AK93=summaryref2!B38,summaryref2!G38,IF(AK93=summaryref2!B52,summaryref2!G52,IF(AK93=summaryref2!B66,summaryref2!G66,IF(AK93=summaryref2!B80,summaryref2!G80,IF(AK93=summaryref2!B94,summaryref2!G94,IF(AK93=summaryref2!B108,summaryref2!G108,IF(AK93=summaryref2!B122,summaryref2!G122,IF(AK93=summaryref2!B136,summaryref2!G136,IF(AK93=summaryref2!B150,summaryref2!G150,"")))))))))))</f>
        <v/>
      </c>
      <c r="AR93" s="1147" t="str">
        <f>IF('A-80 DirEntInv'!AR92&lt;&gt;"",'A-80 DirEntInv'!AR92,IF(AK93=summaryref2!B24,summaryref2!H24,IF(Summary!AK93=summaryref2!B38,summaryref2!H38,IF(AK93=summaryref2!B52,summaryref2!H52,IF(AK93=summaryref2!B66,summaryref2!H66,IF(AK93=summaryref2!B80,summaryref2!H80,IF(AK93=summaryref2!B94,summaryref2!H94,IF(AK93=summaryref2!B108,summaryref2!H108,IF(AK93=summaryref2!B122,summaryref2!H122,IF(AK93=summaryref2!B136,summaryref2!H136,IF(AK93=summaryref2!B150,summaryref2!H150,"")))))))))))</f>
        <v/>
      </c>
      <c r="AS93" s="1110" t="str">
        <f>IF('A-80 DirEntInv'!AS92&lt;&gt;"",'A-80 DirEntInv'!AS92,IF(AK93=summaryref2!B24,summaryref2!I24,IF(Summary!AK93=summaryref2!B38,summaryref2!I38,IF(AK93=summaryref2!B52,summaryref2!I52,IF(AK93=summaryref2!B66,summaryref2!I66,IF(AK93=summaryref2!B80,summaryref2!I80,IF(AK93=summaryref2!B94,summaryref2!I94,IF(AK93=summaryref2!B108,summaryref2!I108,IF(AK93=summaryref2!B122,summaryref2!I122,IF(AK93=summaryref2!B136,summaryref2!I136,IF(AK93=summaryref2!B150,summaryref2!I150,"")))))))))))</f>
        <v/>
      </c>
      <c r="AT93" s="1110" t="str">
        <f>IF('A-80 DirEntInv'!AT92&lt;&gt;"",'A-80 DirEntInv'!AT92,IF(AK93=summaryref2!B24,summaryref2!J24,IF(Summary!AK93=summaryref2!B38,summaryref2!J38,IF(AK93=summaryref2!B52,summaryref2!J52,IF(AK93=summaryref2!B66,summaryref2!J66,IF(AK93=summaryref2!B80,summaryref2!J80,IF(AK93=summaryref2!B94,summaryref2!J94,IF(AK93=summaryref2!B108,summaryref2!J108,IF(AK93=summaryref2!B122,summaryref2!J122,IF(AK93=summaryref2!B136,summaryref2!J136,IF(AK93=summaryref2!B150,summaryref2!J150,"")))))))))))</f>
        <v/>
      </c>
      <c r="AU93" s="1110" t="str">
        <f>IF('A-80 DirEntInv'!AU92&lt;&gt;"",'A-80 DirEntInv'!AU92,IF(AK93=summaryref2!B24,summaryref2!K24,IF(Summary!AK93=summaryref2!B38,summaryref2!K38,IF(AK93=summaryref2!B52,summaryref2!K52,IF(AK93=summaryref2!B66,summaryref2!K66,IF(AK93=summaryref2!B80,summaryref2!K80,IF(AK93=summaryref2!B94,summaryref2!K94,IF(AK93=summaryref2!B108,summaryref2!K108,IF(AK93=summaryref2!B122,summaryref2!K122,IF(AK93=summaryref2!B136,summaryref2!K136,IF(AK93=summaryref2!B150,summaryref2!K150,"")))))))))))</f>
        <v/>
      </c>
      <c r="AV93" s="1110" t="str">
        <f>IF('A-80 DirEntInv'!AV92&lt;&gt;"",'A-80 DirEntInv'!AV92,IF(AK93=summaryref2!B24,summaryref2!L24,IF(Summary!AK93=summaryref2!B38,summaryref2!L38,IF(AK93=summaryref2!B52,summaryref2!L52,IF(AK93=summaryref2!B66,summaryref2!L66,IF(AK93=summaryref2!B80,summaryref2!L80,IF(AK93=summaryref2!B94,summaryref2!L94,IF(AK93=summaryref2!B108,summaryref2!L108,IF(AK93=summaryref2!B122,summaryref2!L122,IF(AK93=summaryref2!B136,summaryref2!L136,IF(AK93=summaryref2!B150,summaryref2!L150,"")))))))))))</f>
        <v/>
      </c>
      <c r="AW93" s="1110" t="str">
        <f>IF('A-80 DirEntInv'!AW92&lt;&gt;"",'A-80 DirEntInv'!AW92,IF(AK93=summaryref2!B24,summaryref2!M24,IF(Summary!AK93=summaryref2!B38,summaryref2!M38,IF(AK93=summaryref2!B52,summaryref2!M52,IF(AK93=summaryref2!B66,summaryref2!M66,IF(AK93=summaryref2!B80,summaryref2!M80,IF(AK93=summaryref2!B94,summaryref2!M94,IF(AK93=summaryref2!B108,summaryref2!M108,IF(AK93=summaryref2!B122,summaryref2!M122,IF(AK93=summaryref2!B136,summaryref2!M136,IF(AK93=summaryref2!B150,summaryref2!M150,"")))))))))))</f>
        <v/>
      </c>
      <c r="AX93" s="1110" t="str">
        <f>IF('A-80 DirEntInv'!AX92&lt;&gt;"",'A-80 DirEntInv'!AX92,IF(AK93=summaryref2!B24,summaryref2!N24,IF(Summary!AK93=summaryref2!B38,summaryref2!N38,IF(AK93=summaryref2!B52,summaryref2!N52,IF(AK93=summaryref2!B66,summaryref2!N66,IF(AK93=summaryref2!B80,summaryref2!N80,IF(AK93=summaryref2!B94,summaryref2!N94,IF(AK93=summaryref2!B108,summaryref2!N108,IF(AK93=summaryref2!B122,summaryref2!N122,IF(AK93=summaryref2!B136,summaryref2!N136,IF(AK93=summaryref2!B150,summaryref2!N150,"")))))))))))</f>
        <v/>
      </c>
      <c r="AY93" s="1110" t="str">
        <f>IF('A-80 DirEntInv'!AY92&lt;&gt;"",'A-80 DirEntInv'!AY92,IF(AK93=summaryref2!B24,summaryref2!O24,IF(Summary!AK93=summaryref2!B38,summaryref2!O38,IF(AK93=summaryref2!B52,summaryref2!O52,IF(AK93=summaryref2!B66,summaryref2!O66,IF(AK93=summaryref2!B80,summaryref2!O80,IF(AK93=summaryref2!B94,summaryref2!O94,IF(AK93=summaryref2!B108,summaryref2!O108,IF(AK93=summaryref2!B122,summaryref2!O122,IF(AK93=summaryref2!B136,summaryref2!O136,IF(AK93=summaryref2!B150,summaryref2!O150,"")))))))))))</f>
        <v/>
      </c>
      <c r="AZ93" s="1110" t="str">
        <f>IF('A-80 DirEntInv'!AZ92&lt;&gt;"",'A-80 DirEntInv'!AZ92,IF(AK93=summaryref2!B24,summaryref2!P24,IF(Summary!AK93=summaryref2!B38,summaryref2!P38,IF(AK93=summaryref2!B52,summaryref2!P52,IF(AK93=summaryref2!B66,summaryref2!P66,IF(AK93=summaryref2!B80,summaryref2!P80,IF(AK93=summaryref2!B94,summaryref2!P94,IF(AK93=summaryref2!B108,summaryref2!P108,IF(AK93=summaryref2!B122,summaryref2!P122,IF(AK93=summaryref2!B136,summaryref2!P136,IF(AK93=summaryref2!B150,summaryref2!P150,"")))))))))))</f>
        <v/>
      </c>
      <c r="BA93" s="1110" t="str">
        <f>IF('A-80 DirEntInv'!BA92&lt;&gt;"",'A-80 DirEntInv'!BA92,IF(AK93=summaryref2!B24,summaryref2!Q24,IF(Summary!AK93=summaryref2!B38,summaryref2!Q38,IF(AK93=summaryref2!B52,summaryref2!Q52,IF(AK93=summaryref2!B66,summaryref2!Q66,IF(AK93=summaryref2!B80,summaryref2!Q80,IF(AK93=summaryref2!B94,summaryref2!Q94,IF(AK93=summaryref2!B108,summaryref2!Q108,IF(AK93=summaryref2!B122,summaryref2!Q122,IF(AK93=summaryref2!B136,summaryref2!Q136,IF(AK93=summaryref2!B150,summaryref2!Q150,"")))))))))))</f>
        <v/>
      </c>
      <c r="BB93" s="1110" t="str">
        <f>IF('A-80 DirEntInv'!BB92&lt;&gt;"",'A-80 DirEntInv'!BB92,IF(AK93=summaryref2!B24,summaryref2!R24,IF(Summary!AK93=summaryref2!B38,summaryref2!R38,IF(AK93=summaryref2!B52,summaryref2!R52,IF(AK93=summaryref2!B66,summaryref2!R66,IF(AK93=summaryref2!B80,summaryref2!R80,IF(AK93=summaryref2!B94,summaryref2!R94,IF(AK93=summaryref2!B108,summaryref2!R108,IF(AK93=summaryref2!B122,summaryref2!R122,IF(AK93=summaryref2!B136,summaryref2!R136,IF(AK93=summaryref2!B150,summaryref2!R150,"")))))))))))</f>
        <v/>
      </c>
      <c r="BC93" s="1110" t="str">
        <f>IF('A-80 DirEntInv'!BC92&lt;&gt;0,'A-80 DirEntInv'!BC92,IF(AK93=summaryref2!B24,summaryref2!S24,IF(Summary!AK93=summaryref2!B38,summaryref2!S38,IF(AK93=summaryref2!B52,summaryref2!S52,IF(AK93=summaryref2!B66,summaryref2!S66,IF(AK93=summaryref2!B80,summaryref2!S80,IF(AK93=summaryref2!B94,summaryref2!S94,IF(AK93=summaryref2!B108,summaryref2!S108,IF(AK93=summaryref2!B122,summaryref2!S122,IF(AK93=summaryref2!B136,summaryref2!S136,IF(AK93=summaryref2!B150,summaryref2!S150,"")))))))))))</f>
        <v/>
      </c>
      <c r="BD93" s="1111" t="str">
        <f>IF('A-80 DirEntInv'!BD92&lt;&gt;"",'A-80 DirEntInv'!BD92,IF(AK93=summaryref2!B24,summaryref2!T24,IF(Summary!AK93=summaryref2!B38,summaryref2!T38,IF(AK93=summaryref2!B52,summaryref2!T52,IF(AK93=summaryref2!B66,summaryref2!T66,IF(AK93=summaryref2!B80,summaryref2!T80,IF(AK93=summaryref2!B94,summaryref2!T94,IF(AK93=summaryref2!B108,summaryref2!T108,IF(AK93=summaryref2!B122,summaryref2!T122,IF(AK93=summaryref2!B136,summaryref2!T136,IF(AK93=summaryref2!B150,summaryref2!T150,"")))))))))))</f>
        <v/>
      </c>
      <c r="BE93" s="1184" t="str">
        <f>IF('A-80 DirEntInv'!BE92&lt;&gt;"",'A-80 DirEntInv'!BE92,IF(AK93=summaryref2!B24,summaryref2!U24,IF(Summary!AK93=summaryref2!B38,summaryref2!U38,IF(AK93=summaryref2!B52,summaryref2!U52,IF(AK93=summaryref2!B66,summaryref2!U66,IF(AK93=summaryref2!B80,summaryref2!U80,IF(AK93=summaryref2!B94,summaryref2!U94,IF(AK93=summaryref2!B108,summaryref2!U108,IF(AK93=summaryref2!B122,summaryref2!U122,IF(AK93=summaryref2!B136,summaryref2!U136,IF(AK93=summaryref2!B150,summaryref2!U150,"")))))))))))</f>
        <v/>
      </c>
      <c r="BF93" s="1432"/>
      <c r="BG93" s="1432"/>
      <c r="BJ93" s="1041" t="str">
        <f>Codes!$C$167</f>
        <v>MG - Monorail/Automated Guideway (DO)</v>
      </c>
      <c r="BK93" s="1042" t="str">
        <f>Valid!$B$85</f>
        <v>Single Turnout</v>
      </c>
      <c r="BL93" s="1375" t="str">
        <f>IF('A-80 DirEntInv'!BL92&lt;&gt;"",'A-80 DirEntInv'!BL92,IF(BJ93=summaryref2!X17,summaryref2!Z17,IF(BJ93=summaryref2!X24,summaryref2!Z24,IF(BJ93=summaryref2!X31,summaryref2!Z31,IF(BJ93=summaryref2!X38,summaryref2!Z38,IF(BJ93=summaryref2!X45,summaryref2!Z45,IF(BJ93=summaryref2!X52,summaryref2!Z52,IF(BJ93=summaryref2!X59,summaryref2!Z59,IF(BJ93=summaryref2!X66,summaryref2!Z66,IF(BJ93=summaryref2!X73,summaryref2!Z73,IF(BJ93=summaryref2!X80,summaryref2!Z80,"")))))))))))</f>
        <v/>
      </c>
      <c r="BM93" s="1042" t="str">
        <f>VLOOKUP(BK93,Valid!$B$80:$C$86,2,FALSE)</f>
        <v>Each</v>
      </c>
      <c r="BN93" s="1209" t="str">
        <f>IF('A-80 DirEntInv'!BN92&lt;&gt;"",'A-80 DirEntInv'!BN92,IF(BJ93=summaryref2!X17,summaryref2!AB17,IF(BJ93=summaryref2!X24,summaryref2!AB24,IF(BJ93=summaryref2!X31,summaryref2!AB31,IF(BJ93=summaryref2!X38,summaryref2!AB38,IF(BJ93=summaryref2!X45,summaryref2!AB45,IF(BJ93=summaryref2!X52,summaryref2!AB52,IF(BJ93=summaryref2!X59,summaryref2!AB59,IF(BJ93=summaryref2!X66,summaryref2!AB66,IF(BJ93=summaryref2!X73,summaryref2!AB73,IF(BJ93=summaryref2!X80,summaryref2!AB80,"")))))))))))</f>
        <v/>
      </c>
      <c r="BO93" s="1116" t="str">
        <f>IF('A-80 DirEntInv'!BO92&lt;&gt;"",'A-80 DirEntInv'!BO92,IF(BJ93=summaryref2!X17,summaryref2!AC17,IF(BJ93=summaryref2!X24,summaryref2!AC24,IF(BJ93=summaryref2!X31,summaryref2!AC31,IF(BJ93=summaryref2!X38,summaryref2!AC38,IF(BJ93=summaryref2!X45,summaryref2!AC45,IF(BJ93=summaryref2!X52,summaryref2!AC52,IF(BJ93=summaryref2!X59,summaryref2!AC59,IF(BJ93=summaryref2!X66,summaryref2!AC66,IF(BJ93=summaryref2!X73,summaryref2!AC73,IF(BJ93=summaryref2!X80,summaryref2!AC80,"")))))))))))</f>
        <v/>
      </c>
      <c r="BP93" s="1384" t="str">
        <f>IF('A-80 DirEntInv'!BP92&lt;&gt;"",'A-80 DirEntInv'!BP92,IF(BJ93=summaryref2!X17,summaryref2!AD17,IF(BJ93=summaryref2!X24,summaryref2!AD24,IF(BJ93=summaryref2!X31,summaryref2!AD31,IF(BJ93=summaryref2!X38,summaryref2!AD38,IF(BJ93=summaryref2!X45,summaryref2!AD45,IF(BJ93=summaryref2!X52,summaryref2!AD52,IF(BJ93=summaryref2!X59,summaryref2!AD59,IF(BJ93=summaryref2!X66,summaryref2!AD66,IF(BJ93=summaryref2!X73,summaryref2!AD73,IF(BJ93=summaryref2!X80,summaryref2!AD80,"")))))))))))</f>
        <v/>
      </c>
      <c r="BS93" s="1472" t="str">
        <f ca="1">IF('A-80 DirEntInv'!BU92&lt;&gt;"",'A-80 DirEntInv'!BU92,IF(INDIRECT(ADDRESS(SumRef!DK99,SumRef!DK$16,,,SumRef!$E$6))="","",INDIRECT(ADDRESS(SumRef!DK99,SumRef!DK$16,,,SumRef!$E$6))))</f>
        <v/>
      </c>
      <c r="BT93" s="1458" t="str">
        <f ca="1">IF('A-80 DirEntInv'!BV92&lt;&gt;"",'A-80 DirEntInv'!BV92,IF(INDIRECT(ADDRESS(SumRef!DL99,SumRef!DL$16,,,SumRef!$E$6))="","",INDIRECT(ADDRESS(SumRef!DL99,SumRef!DL$16,,,SumRef!$E$6))))</f>
        <v/>
      </c>
      <c r="BU93" s="1177" t="str">
        <f ca="1">IF('A-80 DirEntInv'!BW92&lt;&gt;"",'A-80 DirEntInv'!BW92,IF(INDIRECT(ADDRESS(SumRef!DM99,SumRef!DM$16,,,SumRef!$E$6))="","",INDIRECT(ADDRESS(SumRef!DM99,SumRef!DM$16,,,SumRef!$E$6))))</f>
        <v/>
      </c>
      <c r="BV93" s="1460" t="str">
        <f ca="1">IF('A-80 DirEntInv'!BX92&lt;&gt;"",'A-80 DirEntInv'!BX92,IF(INDIRECT(ADDRESS(SumRef!DN99,SumRef!DN$16,,,SumRef!$E$6))="","",INDIRECT(ADDRESS(SumRef!DN99,SumRef!DN$16,,,SumRef!$E$6))))</f>
        <v/>
      </c>
      <c r="BW93" s="1460" t="str">
        <f ca="1">IF('A-80 DirEntInv'!BY92&lt;&gt;"",'A-80 DirEntInv'!BY92,IF(INDIRECT(ADDRESS(SumRef!DO99,SumRef!DO$16,,,SumRef!$E$6))="","",INDIRECT(ADDRESS(SumRef!DO99,SumRef!DO$16,,,SumRef!$E$6))))</f>
        <v/>
      </c>
      <c r="BX93" s="1116" t="str">
        <f ca="1">IF('A-80 DirEntInv'!BZ92&lt;&gt;"",'A-80 DirEntInv'!BZ92,IF(INDIRECT(ADDRESS(SumRef!DP99,SumRef!DP$16,,,SumRef!$E$6))="","",INDIRECT(ADDRESS(SumRef!DP99,SumRef!DP$16,,,SumRef!$E$6))))</f>
        <v/>
      </c>
      <c r="BY93" s="1461" t="str">
        <f ca="1">IF('A-80 DirEntInv'!CA92&lt;&gt;"",'A-80 DirEntInv'!CA92,IF(INDIRECT(ADDRESS(SumRef!DQ99,SumRef!DQ$16,,,SumRef!$E$6))="","",INDIRECT(ADDRESS(SumRef!DQ99,SumRef!DQ$16,,,SumRef!$E$6))))</f>
        <v/>
      </c>
      <c r="BZ93" s="1460" t="str">
        <f ca="1">IF('A-80 DirEntInv'!CB92&lt;&gt;"",'A-80 DirEntInv'!CB92,IF(INDIRECT(ADDRESS(SumRef!DR99,SumRef!DR$16,,,SumRef!$E$6))="","",INDIRECT(ADDRESS(SumRef!DR99,SumRef!DR$16,,,SumRef!$E$6))))</f>
        <v/>
      </c>
      <c r="CA93" s="1462" t="str">
        <f ca="1">IF('A-80 DirEntInv'!CC92&lt;&gt;"",'A-80 DirEntInv'!CC92,IF(INDIRECT(ADDRESS(SumRef!DS99,SumRef!DS$16,,,SumRef!$E$6))="","",INDIRECT(ADDRESS(SumRef!DS99,SumRef!DS$16,,,SumRef!$E$6))))</f>
        <v/>
      </c>
      <c r="CD93" s="1160" t="str">
        <f ca="1">IF('A-80 DirEntInv'!CF92&lt;&gt;"",'A-80 DirEntInv'!CF92,IF(INDIRECT(ADDRESS(SumRef!DV99,SumRef!DV$16,,,SumRef!$E$7))="","",INDIRECT(ADDRESS(SumRef!DV99,SumRef!DV$16,,,SumRef!$E$7))))</f>
        <v/>
      </c>
      <c r="CE93" s="1167" t="str">
        <f ca="1">IF('A-80 DirEntInv'!CG92&lt;&gt;"",'A-80 DirEntInv'!CG92,IF(INDIRECT(ADDRESS(SumRef!DW99,SumRef!DW$16,,,SumRef!$E$7))="","",INDIRECT(ADDRESS(SumRef!DW99,SumRef!DW$16,,,SumRef!$E$7))))</f>
        <v/>
      </c>
      <c r="CF93" s="1167" t="str">
        <f ca="1">IF('A-80 DirEntInv'!CH92&lt;&gt;"",'A-80 DirEntInv'!CH92,IF(INDIRECT(ADDRESS(SumRef!DX99,SumRef!DX$16,,,SumRef!$E$7))="","",INDIRECT(ADDRESS(SumRef!DX99,SumRef!DX$16,,,SumRef!$E$7))))</f>
        <v/>
      </c>
      <c r="CG93" s="1167" t="str">
        <f ca="1">IF('A-80 DirEntInv'!CI92&lt;&gt;"",'A-80 DirEntInv'!CI92,IF(INDIRECT(ADDRESS(SumRef!DY99,SumRef!DY$16,,,SumRef!$E$7))="","",INDIRECT(ADDRESS(SumRef!DY99,SumRef!DY$16,,,SumRef!$E$7))))</f>
        <v/>
      </c>
      <c r="CH93" s="1167" t="str">
        <f ca="1">IF('A-80 DirEntInv'!CJ92&lt;&gt;"",'A-80 DirEntInv'!CJ92,IF(INDIRECT(ADDRESS(SumRef!DZ99,SumRef!DZ$16,,,SumRef!$E$7))="","",INDIRECT(ADDRESS(SumRef!DZ99,SumRef!DZ$16,,,SumRef!$E$7))))</f>
        <v/>
      </c>
      <c r="CI93" s="1167" t="str">
        <f ca="1">IF('A-80 DirEntInv'!CK92&lt;&gt;"",'A-80 DirEntInv'!CK92,IF(INDIRECT(ADDRESS(SumRef!EA99,SumRef!EA$16,,,SumRef!$E$7))="","",INDIRECT(ADDRESS(SumRef!EA99,SumRef!EA$16,,,SumRef!$E$7))))</f>
        <v/>
      </c>
      <c r="CJ93" s="1114" t="str">
        <f ca="1">IF('A-80 DirEntInv'!CL92&lt;&gt;"",'A-80 DirEntInv'!CL92,IF(INDIRECT(ADDRESS(SumRef!EB99,SumRef!EB$16,,,SumRef!$E$7))="","",INDIRECT(ADDRESS(SumRef!EB99,SumRef!EB$16,,,SumRef!$E$7))))</f>
        <v/>
      </c>
      <c r="CK93" s="1114" t="str">
        <f ca="1">IF('A-80 DirEntInv'!CM92&lt;&gt;"",'A-80 DirEntInv'!CM92,IF(INDIRECT(ADDRESS(SumRef!EC99,SumRef!EC$16,,,SumRef!$E$7))="","",INDIRECT(ADDRESS(SumRef!EC99,SumRef!EC$16,,,SumRef!$E$7))))</f>
        <v/>
      </c>
      <c r="CL93" s="1113" t="str">
        <f ca="1">IF('A-80 DirEntInv'!CO92&lt;&gt;"",'A-80 DirEntInv'!CO92,IF(INDIRECT(ADDRESS(SumRef!ED99,SumRef!ED$16,,,SumRef!$E$7))="","",INDIRECT(ADDRESS(SumRef!ED99,SumRef!ED$16,,,SumRef!$E$7))))</f>
        <v/>
      </c>
      <c r="CM93" s="1114" t="str">
        <f ca="1">IF('A-80 DirEntInv'!CP92&lt;&gt;"",'A-80 DirEntInv'!CP92,IF(INDIRECT(ADDRESS(SumRef!EE99,SumRef!EE$16,,,SumRef!$E$7))="","",INDIRECT(ADDRESS(SumRef!EE99,SumRef!EE$16,,,SumRef!$E$7))))</f>
        <v/>
      </c>
      <c r="CN93" s="1114" t="str">
        <f ca="1">IF('A-80 DirEntInv'!CQ92&lt;&gt;"",'A-80 DirEntInv'!CQ92,IF(INDIRECT(ADDRESS(SumRef!EF99,SumRef!EF$16,,,SumRef!$E$7))="","",INDIRECT(ADDRESS(SumRef!EF99,SumRef!EF$16,,,SumRef!$E$7))))</f>
        <v/>
      </c>
      <c r="CO93" s="1113" t="str">
        <f ca="1">IF('A-80 DirEntInv'!CR92&lt;&gt;"",'A-80 DirEntInv'!CR92,IF(INDIRECT(ADDRESS(SumRef!EG99,SumRef!EG$16,,,SumRef!$E$7))="","",INDIRECT(ADDRESS(SumRef!EG99,SumRef!EG$16,,,SumRef!$E$7))))</f>
        <v/>
      </c>
      <c r="CP93" s="1114" t="str">
        <f ca="1">IF('A-80 DirEntInv'!CS92&lt;&gt;"",'A-80 DirEntInv'!CS92,IF(INDIRECT(ADDRESS(SumRef!EH99,SumRef!EH$16,,,SumRef!$E$7))="","",INDIRECT(ADDRESS(SumRef!EH99,SumRef!EH$16,,,SumRef!$E$7))))</f>
        <v/>
      </c>
      <c r="CQ93" s="1346" t="str">
        <f ca="1">IF('A-80 DirEntInv'!CT92&lt;&gt;"",'A-80 DirEntInv'!CT92,IF(INDIRECT(ADDRESS(SumRef!EI99,SumRef!EI$16,,,SumRef!$E$7))="","",INDIRECT(ADDRESS(SumRef!EI99,SumRef!EI$16,,,SumRef!$E$7))))</f>
        <v/>
      </c>
      <c r="CR93" s="1113" t="str">
        <f ca="1">IF('A-80 DirEntInv'!CU92&lt;&gt;"",'A-80 DirEntInv'!CU92,IF(INDIRECT(ADDRESS(SumRef!EJ99,SumRef!EJ$16,,,SumRef!$E$7))="","",INDIRECT(ADDRESS(SumRef!EJ99,SumRef!EJ$16,,,SumRef!$E$7))))</f>
        <v/>
      </c>
      <c r="CS93" s="1346" t="str">
        <f ca="1">IF('A-80 DirEntInv'!CV92&lt;&gt;"",'A-80 DirEntInv'!CV92,IF(INDIRECT(ADDRESS(SumRef!EM99,SumRef!EM$16,,,SumRef!$E$7))="","",INDIRECT(ADDRESS(SumRef!EM99,SumRef!EM$16,,,SumRef!$E$7))))</f>
        <v/>
      </c>
      <c r="CT93" s="1113" t="str">
        <f ca="1">IF('A-80 DirEntInv'!CW92&lt;&gt;"",'A-80 DirEntInv'!CW92,IF(INDIRECT(ADDRESS(SumRef!EN99,SumRef!EN$16,,,SumRef!$E$7))="","",INDIRECT(ADDRESS(SumRef!EN99,SumRef!EN$16,,,SumRef!$E$7))))</f>
        <v/>
      </c>
      <c r="CU93" s="1113" t="str">
        <f ca="1">IF('A-80 DirEntInv'!CX92&lt;&gt;"",'A-80 DirEntInv'!CX92,IF(INDIRECT(ADDRESS(SumRef!EO99,SumRef!EO$16,,,SumRef!$E$7))="","",INDIRECT(ADDRESS(SumRef!EO99,SumRef!EO$16,,,SumRef!$E$7))))</f>
        <v/>
      </c>
      <c r="CV93" s="1113" t="str">
        <f ca="1">IF('A-80 DirEntInv'!CY92&lt;&gt;"",'A-80 DirEntInv'!CY92,IF(INDIRECT(ADDRESS(SumRef!EP99,SumRef!EP$16,,,SumRef!$E$7))="","",INDIRECT(ADDRESS(SumRef!EP99,SumRef!EP$16,,,SumRef!$E$7))))</f>
        <v/>
      </c>
      <c r="CW93" s="1114" t="str">
        <f ca="1">IF('A-80 DirEntInv'!CZ92&lt;&gt;"",'A-80 DirEntInv'!CZ92,IF(INDIRECT(ADDRESS(SumRef!ES99,SumRef!ES$16,,,SumRef!$E$7))="","",INDIRECT(ADDRESS(SumRef!ES99,SumRef!ES$16,,,SumRef!$E$7))))</f>
        <v/>
      </c>
      <c r="CX93" s="1167" t="str">
        <f ca="1">IF('A-80 DirEntInv'!DA92&lt;&gt;"",'A-80 DirEntInv'!DA92,IF(INDIRECT(ADDRESS(SumRef!ET99,SumRef!ET$16,,,SumRef!$E$7))="","",INDIRECT(ADDRESS(SumRef!ET99,SumRef!ET$16,,,SumRef!$E$7))))</f>
        <v/>
      </c>
      <c r="CY93" s="1167" t="str">
        <f ca="1">IF('A-80 DirEntInv'!DB92&lt;&gt;"",'A-80 DirEntInv'!DB92,IF(INDIRECT(ADDRESS(SumRef!EU99,SumRef!EU$16,,,SumRef!$E$7))="","",INDIRECT(ADDRESS(SumRef!EU99,SumRef!EU$16,,,SumRef!$E$7))))</f>
        <v/>
      </c>
      <c r="CZ93" s="1167" t="b">
        <f ca="1">IF('A-80 DirEntInv'!DC92&lt;&gt;"",'A-80 DirEntInv'!DC92,IF(INDIRECT(ADDRESS(SumRef!EV99,SumRef!EV$16,,,SumRef!$E$7))="","",INDIRECT(ADDRESS(SumRef!EV99,SumRef!EV$16,,,SumRef!$E$7))))</f>
        <v>0</v>
      </c>
      <c r="DA93" s="1373" t="str">
        <f ca="1">IF('A-80 DirEntInv'!DD92&lt;&gt;"",'A-80 DirEntInv'!DD92,IF(INDIRECT(ADDRESS(SumRef!EW99,SumRef!EW$16,,,SumRef!$E$7))="","",INDIRECT(ADDRESS(SumRef!EW99,SumRef!EW$16,,,SumRef!$E$7))))</f>
        <v/>
      </c>
      <c r="DB93" s="1373" t="b">
        <f ca="1">IF('A-80 DirEntInv'!DE92&lt;&gt;"",'A-80 DirEntInv'!DE92,IF(INDIRECT(ADDRESS(SumRef!EX99,SumRef!EX$16,,,SumRef!$E$7))="","",INDIRECT(ADDRESS(SumRef!EX99,SumRef!EX$16,,,SumRef!$E$7))))</f>
        <v>0</v>
      </c>
      <c r="DC93" s="1114" t="b">
        <f ca="1">IF('A-80 DirEntInv'!DF92&lt;&gt;"",'A-80 DirEntInv'!DF92,IF(INDIRECT(ADDRESS(SumRef!EY99,SumRef!EY$16,,,SumRef!$E$7))="","",INDIRECT(ADDRESS(SumRef!EY99,SumRef!EY$16,,,SumRef!$E$7))))</f>
        <v>0</v>
      </c>
      <c r="DD93" s="1115" t="str">
        <f ca="1">IF('A-80 DirEntInv'!DG92&lt;&gt;"",'A-80 DirEntInv'!DG92,IF(INDIRECT(ADDRESS(SumRef!EZ99,SumRef!EZ$16,,,SumRef!$E$7))="","",INDIRECT(ADDRESS(SumRef!EZ99,SumRef!EZ$16,,,SumRef!$E$7))))</f>
        <v/>
      </c>
    </row>
    <row r="94" spans="1:108" s="588" customFormat="1" ht="13.5" thickBot="1" x14ac:dyDescent="0.25">
      <c r="A94" s="589">
        <f t="shared" si="1"/>
        <v>84</v>
      </c>
      <c r="B94" s="1155" t="str">
        <f ca="1">IF('A-80 DirEntInv'!B93&lt;&gt;"",'A-80 DirEntInv'!B93,IF(INDIRECT(ADDRESS(SumRef!AQ100,SumRef!AQ$16,,,SumRef!$B$7))="","",INDIRECT(ADDRESS(SumRef!AQ100,SumRef!AQ$16,,,SumRef!$B$7))))</f>
        <v/>
      </c>
      <c r="C94" s="1097" t="str">
        <f ca="1">IF('A-80 DirEntInv'!C93&lt;&gt;"",'A-80 DirEntInv'!C93,IF(INDIRECT(ADDRESS(SumRef!AR100,SumRef!AR$16,,,SumRef!$B$7))="","",INDIRECT(ADDRESS(SumRef!AR100,SumRef!AR$16,,,SumRef!$B$7))))</f>
        <v/>
      </c>
      <c r="D94" s="1097" t="str">
        <f ca="1">IF('A-80 DirEntInv'!D93&lt;&gt;"",'A-80 DirEntInv'!D93,IF(INDIRECT(ADDRESS(SumRef!AS100,SumRef!AS$16,,,SumRef!$B$7))="","",INDIRECT(ADDRESS(SumRef!AS100,SumRef!AS$16,,,SumRef!$B$7))))</f>
        <v/>
      </c>
      <c r="E94" s="1097" t="str">
        <f ca="1">IF('A-80 DirEntInv'!E93&lt;&gt;"",'A-80 DirEntInv'!E93,IF(INDIRECT(ADDRESS(SumRef!AT100,SumRef!AT$16,,,SumRef!$B$7))="","",INDIRECT(ADDRESS(SumRef!AT100,SumRef!AT$16,,,SumRef!$B$7))))</f>
        <v/>
      </c>
      <c r="F94" s="1097" t="str">
        <f ca="1">IF('A-80 DirEntInv'!F93&lt;&gt;"",'A-80 DirEntInv'!F93,IF(INDIRECT(ADDRESS(SumRef!AU100,SumRef!AU$16,,,SumRef!$B$7))="","",INDIRECT(ADDRESS(SumRef!AU100,SumRef!AU$16,,,SumRef!$B$7))))</f>
        <v/>
      </c>
      <c r="G94" s="1158" t="str">
        <f ca="1">IF('A-80 DirEntInv'!G93&lt;&gt;"",'A-80 DirEntInv'!G93,IF(INDIRECT(ADDRESS(SumRef!AV100,SumRef!AV$16,,,SumRef!$B$7))="","",INDIRECT(ADDRESS(SumRef!AV100,SumRef!AV$16,,,SumRef!$B$7))))</f>
        <v/>
      </c>
      <c r="H94" s="1097" t="str">
        <f ca="1">IF('A-80 DirEntInv'!H93&lt;&gt;"",'A-80 DirEntInv'!H93,IF(INDIRECT(ADDRESS(SumRef!AW100,SumRef!AW$16,,,SumRef!$B$7))="","",INDIRECT(ADDRESS(SumRef!AW100,SumRef!AW$16,,,SumRef!$B$7))))</f>
        <v/>
      </c>
      <c r="I94" s="1097" t="str">
        <f ca="1">IF('A-80 DirEntInv'!I93&lt;&gt;"",'A-80 DirEntInv'!I93,IF(INDIRECT(ADDRESS(SumRef!AX100,SumRef!AX$16,,,SumRef!$B$7))="","",INDIRECT(ADDRESS(SumRef!AX100,SumRef!AX$16,,,SumRef!$B$7))))</f>
        <v/>
      </c>
      <c r="J94" s="1098" t="str">
        <f ca="1">IF('A-80 DirEntInv'!J93&lt;&gt;"",'A-80 DirEntInv'!J93,IF(INDIRECT(ADDRESS(SumRef!AY100,SumRef!AY$16,,,SumRef!$B$7))="","",INDIRECT(ADDRESS(SumRef!AY100,SumRef!AY$16,,,SumRef!$B$7))))</f>
        <v/>
      </c>
      <c r="K94" s="1099" t="str">
        <f ca="1">IF('A-80 DirEntInv'!K93&lt;&gt;"",'A-80 DirEntInv'!K93,IF(INDIRECT(ADDRESS(SumRef!AZ100,SumRef!AZ$16,,,SumRef!$B$7))="","",INDIRECT(ADDRESS(SumRef!AZ100,SumRef!AZ$16,,,SumRef!$B$7))))</f>
        <v/>
      </c>
      <c r="L94" s="1100" t="str">
        <f ca="1">IF('A-80 DirEntInv'!L93&lt;&gt;"",'A-80 DirEntInv'!L93,IF(INDIRECT(ADDRESS(SumRef!BA100,SumRef!BA$16,,,SumRef!$B$7))="","",INDIRECT(ADDRESS(SumRef!BA100,SumRef!BA$16,,,SumRef!$B$7))))</f>
        <v/>
      </c>
      <c r="M94" s="1101" t="str">
        <f ca="1">IF('A-80 DirEntInv'!M93&lt;&gt;"",'A-80 DirEntInv'!M93,IF(INDIRECT(ADDRESS(SumRef!BB100,SumRef!BB$16,,,SumRef!$B$7))="","",INDIRECT(ADDRESS(SumRef!BB100,SumRef!BB$16,,,SumRef!$B$7))))</f>
        <v/>
      </c>
      <c r="N94" s="1098" t="str">
        <f ca="1">IF('A-80 DirEntInv'!N93&lt;&gt;"",'A-80 DirEntInv'!N93,IF(INDIRECT(ADDRESS(SumRef!BC100,SumRef!BC$16,,,SumRef!$B$7))="","",INDIRECT(ADDRESS(SumRef!BC100,SumRef!BC$16,,,SumRef!$B$7))))</f>
        <v/>
      </c>
      <c r="O94" s="1102" t="str">
        <f ca="1">IF('A-80 DirEntInv'!O93&lt;&gt;"",'A-80 DirEntInv'!O93,IF(INDIRECT(ADDRESS(SumRef!BD100,SumRef!BD$16,,,SumRef!$B$7))="","",INDIRECT(ADDRESS(SumRef!BD100,SumRef!BD$16,,,SumRef!$B$7))))</f>
        <v/>
      </c>
      <c r="Q94" s="589"/>
      <c r="R94" s="1103" t="str">
        <f ca="1">IF('A-80 DirEntInv'!R93&lt;&gt;"",'A-80 DirEntInv'!R93,IF(INDIRECT(ADDRESS(SumRef!BH100,SumRef!BH$16,,,SumRef!$B$8))="","",INDIRECT(ADDRESS(SumRef!BH100,SumRef!BH$16,,,SumRef!$B$8))))</f>
        <v/>
      </c>
      <c r="S94" s="1104" t="str">
        <f ca="1">IF('A-80 DirEntInv'!S93&lt;&gt;"",'A-80 DirEntInv'!S93,IF(INDIRECT(ADDRESS(SumRef!BI100,SumRef!BI$16,,,SumRef!$B$8))="","",INDIRECT(ADDRESS(SumRef!BI100,SumRef!BI$16,,,SumRef!$B$8))))</f>
        <v/>
      </c>
      <c r="T94" s="1104" t="str">
        <f ca="1">IF('A-80 DirEntInv'!T93&lt;&gt;"",'A-80 DirEntInv'!T93,IF(INDIRECT(ADDRESS(SumRef!BJ100,SumRef!BJ$16,,,SumRef!$B$8))="","",INDIRECT(ADDRESS(SumRef!BJ100,SumRef!BJ$16,,,SumRef!$B$8))))</f>
        <v/>
      </c>
      <c r="U94" s="1104" t="str">
        <f ca="1">IF('A-80 DirEntInv'!U93&lt;&gt;"",'A-80 DirEntInv'!U93,IF(INDIRECT(ADDRESS(SumRef!BK100,SumRef!BK$16,,,SumRef!$B$8))="","",INDIRECT(ADDRESS(SumRef!BK100,SumRef!BK$16,,,SumRef!$B$8))))</f>
        <v/>
      </c>
      <c r="V94" s="1104" t="str">
        <f ca="1">IF('A-80 DirEntInv'!V93&lt;&gt;"",'A-80 DirEntInv'!V93,IF(INDIRECT(ADDRESS(SumRef!BL100,SumRef!BL$16,,,SumRef!$B$8))="","",INDIRECT(ADDRESS(SumRef!BL100,SumRef!BL$16,,,SumRef!$B$8))))</f>
        <v/>
      </c>
      <c r="W94" s="1354" t="str">
        <f ca="1">IF('A-80 DirEntInv'!W93&lt;&gt;"",'A-80 DirEntInv'!W93,IF(INDIRECT(ADDRESS(SumRef!BM100,SumRef!BM$16,,,SumRef!$B$8))="","",INDIRECT(ADDRESS(SumRef!BM100,SumRef!BM$16,,,SumRef!$B$8))))</f>
        <v/>
      </c>
      <c r="X94" s="1203" t="str">
        <f ca="1">IF('A-80 DirEntInv'!X93&lt;&gt;"",'A-80 DirEntInv'!X93,IF(INDIRECT(ADDRESS(SumRef!BN100,SumRef!BN$16,,,SumRef!$B$8))="","",INDIRECT(ADDRESS(SumRef!BN100,SumRef!BN$16,,,SumRef!$B$8))))</f>
        <v/>
      </c>
      <c r="Y94" s="1203" t="str">
        <f ca="1">IF('A-80 DirEntInv'!Y93&lt;&gt;"",'A-80 DirEntInv'!Y93,IF(INDIRECT(ADDRESS(SumRef!BO100,SumRef!BO$16,,,SumRef!$B$8))="","",INDIRECT(ADDRESS(SumRef!BO100,SumRef!BO$16,,,SumRef!$B$8))))</f>
        <v/>
      </c>
      <c r="Z94" s="1104" t="str">
        <f ca="1">IF('A-80 DirEntInv'!Z93&lt;&gt;"",'A-80 DirEntInv'!Z93,IF(INDIRECT(ADDRESS(SumRef!BP100,SumRef!BP$16,,,SumRef!$B$8))="","",INDIRECT(ADDRESS(SumRef!BP100,SumRef!BP$16,,,SumRef!$B$8))))</f>
        <v/>
      </c>
      <c r="AA94" s="1104" t="str">
        <f ca="1">IF('A-80 DirEntInv'!AA93&lt;&gt;"",'A-80 DirEntInv'!AA93,IF(INDIRECT(ADDRESS(SumRef!BQ100,SumRef!BQ$16,,,SumRef!$B$8))="","",INDIRECT(ADDRESS(SumRef!BQ100,SumRef!BQ$16,,,SumRef!$B$8))))</f>
        <v/>
      </c>
      <c r="AB94" s="1106" t="str">
        <f ca="1">IF('A-80 DirEntInv'!AB93&lt;&gt;"",'A-80 DirEntInv'!AB93,IF(INDIRECT(ADDRESS(SumRef!BR100,SumRef!BR$16,,,SumRef!$B$8))="","",INDIRECT(ADDRESS(SumRef!BR100,SumRef!BR$16,,,SumRef!$B$8))))</f>
        <v/>
      </c>
      <c r="AC94" s="1107" t="str">
        <f ca="1">IF('A-80 DirEntInv'!AC93&lt;&gt;"",'A-80 DirEntInv'!AC93,IF(INDIRECT(ADDRESS(SumRef!BS100,SumRef!BS$16,,,SumRef!$B$8))="","",INDIRECT(ADDRESS(SumRef!BS100,SumRef!BS$16,,,SumRef!$B$8))))</f>
        <v/>
      </c>
      <c r="AD94" s="1349" t="str">
        <f ca="1">IF('A-80 DirEntInv'!AD93&lt;&gt;"",'A-80 DirEntInv'!AD93,IF(INDIRECT(ADDRESS(SumRef!BT100,SumRef!BT$16,,,SumRef!$B$8))="","",INDIRECT(ADDRESS(SumRef!BT100,SumRef!BT$16,,,SumRef!$B$8))))</f>
        <v/>
      </c>
      <c r="AE94" s="1137" t="str">
        <f ca="1">IF('A-80 DirEntInv'!AE93&lt;&gt;"",'A-80 DirEntInv'!AE93,IF(INDIRECT(ADDRESS(SumRef!BU100,SumRef!BU$16,,,SumRef!$B$8))="","",INDIRECT(ADDRESS(SumRef!BU100,SumRef!BU$16,,,SumRef!$B$8))))</f>
        <v/>
      </c>
      <c r="AF94" s="1346" t="str">
        <f ca="1">IF('A-80 DirEntInv'!AF93&lt;&gt;"",'A-80 DirEntInv'!AF93,IF(INDIRECT(ADDRESS(SumRef!BV100,SumRef!BV$16,,,SumRef!$B$8))="","",INDIRECT(ADDRESS(SumRef!BV100,SumRef!BV$16,,,SumRef!$B$8))))</f>
        <v/>
      </c>
      <c r="AG94" s="1105" t="str">
        <f ca="1">IF('A-80 DirEntInv'!AG93&lt;&gt;"",'A-80 DirEntInv'!AG93,IF(INDIRECT(ADDRESS(SumRef!BW100,SumRef!BW$16,,,SumRef!$B$8))="","",INDIRECT(ADDRESS(SumRef!BW100,SumRef!BW$16,,,SumRef!$B$8))))</f>
        <v/>
      </c>
      <c r="AH94" s="1357" t="str">
        <f ca="1">IF('A-80 DirEntInv'!AH93&lt;&gt;"",'A-80 DirEntInv'!AH93,IF(INDIRECT(ADDRESS(SumRef!BX100,SumRef!BX$16,,,SumRef!$B$8))="","",INDIRECT(ADDRESS(SumRef!BX100,SumRef!BX$16,,,SumRef!$B$8))))</f>
        <v/>
      </c>
      <c r="AK94" s="1047" t="str">
        <f>Codes!$C$161</f>
        <v>CR - Commuter Rail (DO)</v>
      </c>
      <c r="AL94" s="1050" t="str">
        <f>Valid!$B$91</f>
        <v>Train Control &amp; Signaling</v>
      </c>
      <c r="AM94" s="1185"/>
      <c r="AN94" s="1050"/>
      <c r="AO94" s="1185"/>
      <c r="AP94" s="1050"/>
      <c r="AQ94" s="1386" t="str">
        <f>IF('A-80 DirEntInv'!AQ93&lt;&gt;"",'A-80 DirEntInv'!AQ93,IF(AK94=summaryref2!B25,summaryref2!G25,IF(Summary!AK94=summaryref2!B39,summaryref2!G39,IF(AK94=summaryref2!B53,summaryref2!G53,IF(AK94=summaryref2!B67,summaryref2!G67,IF(AK94=summaryref2!B81,summaryref2!G81,IF(AK94=summaryref2!B95,summaryref2!G95,IF(AK94=summaryref2!B109,summaryref2!G109,IF(AK94=summaryref2!B123,summaryref2!G123,IF(AK94=summaryref2!B137,summaryref2!G137,IF(AK94=summaryref2!B151,summaryref2!G151,"")))))))))))</f>
        <v/>
      </c>
      <c r="AR94" s="1386" t="str">
        <f>IF('A-80 DirEntInv'!AR93&lt;&gt;"",'A-80 DirEntInv'!AR93,IF(AK94=summaryref2!B25,summaryref2!H25,IF(Summary!AK94=summaryref2!B39,summaryref2!H39,IF(AK94=summaryref2!B53,summaryref2!H53,IF(AK94=summaryref2!B67,summaryref2!H67,IF(AK94=summaryref2!B81,summaryref2!H81,IF(AK94=summaryref2!B95,summaryref2!H95,IF(AK94=summaryref2!B109,summaryref2!H109,IF(AK94=summaryref2!B123,summaryref2!H123,IF(AK94=summaryref2!B137,summaryref2!H137,IF(AK94=summaryref2!B151,summaryref2!H151,"")))))))))))</f>
        <v/>
      </c>
      <c r="AS94" s="1387" t="str">
        <f>IF('A-80 DirEntInv'!AS93&lt;&gt;"",'A-80 DirEntInv'!AS93,IF(AK94=summaryref2!B25,summaryref2!I25,IF(Summary!AK94=summaryref2!B39,summaryref2!I39,IF(AK94=summaryref2!B53,summaryref2!I53,IF(AK94=summaryref2!B67,summaryref2!I67,IF(AK94=summaryref2!B81,summaryref2!I81,IF(AK94=summaryref2!B95,summaryref2!I95,IF(AK94=summaryref2!B109,summaryref2!I109,IF(AK94=summaryref2!B123,summaryref2!I123,IF(AK94=summaryref2!B137,summaryref2!I137,IF(AK94=summaryref2!B151,summaryref2!I151,"")))))))))))</f>
        <v/>
      </c>
      <c r="AT94" s="1387" t="str">
        <f>IF('A-80 DirEntInv'!AT93&lt;&gt;"",'A-80 DirEntInv'!AT93,IF(AK94=summaryref2!B25,summaryref2!J25,IF(Summary!AK94=summaryref2!B39,summaryref2!J39,IF(AK94=summaryref2!B53,summaryref2!J53,IF(AK94=summaryref2!B67,summaryref2!J67,IF(AK94=summaryref2!B81,summaryref2!J81,IF(AK94=summaryref2!B95,summaryref2!J95,IF(AK94=summaryref2!B109,summaryref2!J109,IF(AK94=summaryref2!B123,summaryref2!J123,IF(AK94=summaryref2!B137,summaryref2!J137,IF(AK94=summaryref2!B151,summaryref2!J151,"")))))))))))</f>
        <v/>
      </c>
      <c r="AU94" s="1387" t="str">
        <f>IF('A-80 DirEntInv'!AU93&lt;&gt;"",'A-80 DirEntInv'!AU93,IF(AK94=summaryref2!B25,summaryref2!K25,IF(Summary!AK94=summaryref2!B39,summaryref2!K39,IF(AK94=summaryref2!B53,summaryref2!K53,IF(AK94=summaryref2!B67,summaryref2!K67,IF(AK94=summaryref2!B81,summaryref2!K81,IF(AK94=summaryref2!B95,summaryref2!K95,IF(AK94=summaryref2!B109,summaryref2!K109,IF(AK94=summaryref2!B123,summaryref2!K123,IF(AK94=summaryref2!B137,summaryref2!K137,IF(AK94=summaryref2!B151,summaryref2!K151,"")))))))))))</f>
        <v/>
      </c>
      <c r="AV94" s="1387" t="str">
        <f>IF('A-80 DirEntInv'!AV93&lt;&gt;"",'A-80 DirEntInv'!AV93,IF(AK94=summaryref2!B25,summaryref2!L25,IF(Summary!AK94=summaryref2!B39,summaryref2!L39,IF(AK94=summaryref2!B53,summaryref2!L53,IF(AK94=summaryref2!B67,summaryref2!L67,IF(AK94=summaryref2!B81,summaryref2!L81,IF(AK94=summaryref2!B95,summaryref2!L95,IF(AK94=summaryref2!B109,summaryref2!L109,IF(AK94=summaryref2!B123,summaryref2!L123,IF(AK94=summaryref2!B137,summaryref2!L137,IF(AK94=summaryref2!B151,summaryref2!L151,"")))))))))))</f>
        <v/>
      </c>
      <c r="AW94" s="1387" t="str">
        <f>IF('A-80 DirEntInv'!AW93&lt;&gt;"",'A-80 DirEntInv'!AW93,IF(AK94=summaryref2!B25,summaryref2!M25,IF(Summary!AK94=summaryref2!B39,summaryref2!M39,IF(AK94=summaryref2!B53,summaryref2!M53,IF(AK94=summaryref2!B67,summaryref2!M67,IF(AK94=summaryref2!B81,summaryref2!M81,IF(AK94=summaryref2!B95,summaryref2!M95,IF(AK94=summaryref2!B109,summaryref2!M109,IF(AK94=summaryref2!B123,summaryref2!M123,IF(AK94=summaryref2!B137,summaryref2!M137,IF(AK94=summaryref2!B151,summaryref2!M151,"")))))))))))</f>
        <v/>
      </c>
      <c r="AX94" s="1387" t="str">
        <f>IF('A-80 DirEntInv'!AX93&lt;&gt;"",'A-80 DirEntInv'!AX93,IF(AK94=summaryref2!B25,summaryref2!N25,IF(Summary!AK94=summaryref2!B39,summaryref2!N39,IF(AK94=summaryref2!B53,summaryref2!N53,IF(AK94=summaryref2!B67,summaryref2!N67,IF(AK94=summaryref2!B81,summaryref2!N81,IF(AK94=summaryref2!B95,summaryref2!N95,IF(AK94=summaryref2!B109,summaryref2!N109,IF(AK94=summaryref2!B123,summaryref2!N123,IF(AK94=summaryref2!B137,summaryref2!N137,IF(AK94=summaryref2!B151,summaryref2!N151,"")))))))))))</f>
        <v/>
      </c>
      <c r="AY94" s="1387" t="str">
        <f>IF('A-80 DirEntInv'!AY93&lt;&gt;"",'A-80 DirEntInv'!AY93,IF(AK94=summaryref2!B25,summaryref2!O25,IF(Summary!AK94=summaryref2!B39,summaryref2!O39,IF(AK94=summaryref2!B53,summaryref2!O53,IF(AK94=summaryref2!B67,summaryref2!O67,IF(AK94=summaryref2!B81,summaryref2!O81,IF(AK94=summaryref2!B95,summaryref2!O95,IF(AK94=summaryref2!B109,summaryref2!O109,IF(AK94=summaryref2!B123,summaryref2!O123,IF(AK94=summaryref2!B137,summaryref2!O137,IF(AK94=summaryref2!B151,summaryref2!O151,"")))))))))))</f>
        <v/>
      </c>
      <c r="AZ94" s="1387" t="str">
        <f>IF('A-80 DirEntInv'!AZ93&lt;&gt;"",'A-80 DirEntInv'!AZ93,IF(AK94=summaryref2!B25,summaryref2!P25,IF(Summary!AK94=summaryref2!B39,summaryref2!P39,IF(AK94=summaryref2!B53,summaryref2!P53,IF(AK94=summaryref2!B67,summaryref2!P67,IF(AK94=summaryref2!B81,summaryref2!P81,IF(AK94=summaryref2!B95,summaryref2!P95,IF(AK94=summaryref2!B109,summaryref2!P109,IF(AK94=summaryref2!B123,summaryref2!P123,IF(AK94=summaryref2!B137,summaryref2!P137,IF(AK94=summaryref2!B151,summaryref2!P151,"")))))))))))</f>
        <v/>
      </c>
      <c r="BA94" s="1387" t="str">
        <f>IF('A-80 DirEntInv'!BA93&lt;&gt;"",'A-80 DirEntInv'!BA93,IF(AK94=summaryref2!B25,summaryref2!Q25,IF(Summary!AK94=summaryref2!B39,summaryref2!Q39,IF(AK94=summaryref2!B53,summaryref2!Q53,IF(AK94=summaryref2!B67,summaryref2!Q67,IF(AK94=summaryref2!B81,summaryref2!Q81,IF(AK94=summaryref2!B95,summaryref2!Q95,IF(AK94=summaryref2!B109,summaryref2!Q109,IF(AK94=summaryref2!B123,summaryref2!Q123,IF(AK94=summaryref2!B137,summaryref2!Q137,IF(AK94=summaryref2!B151,summaryref2!Q151,"")))))))))))</f>
        <v/>
      </c>
      <c r="BB94" s="1387" t="str">
        <f>IF('A-80 DirEntInv'!BB93&lt;&gt;"",'A-80 DirEntInv'!BB93,IF(AK94=summaryref2!B25,summaryref2!R25,IF(Summary!AK94=summaryref2!B39,summaryref2!R39,IF(AK94=summaryref2!B53,summaryref2!R53,IF(AK94=summaryref2!B67,summaryref2!R67,IF(AK94=summaryref2!B81,summaryref2!R81,IF(AK94=summaryref2!B95,summaryref2!R95,IF(AK94=summaryref2!B109,summaryref2!R109,IF(AK94=summaryref2!B123,summaryref2!R123,IF(AK94=summaryref2!B137,summaryref2!R137,IF(AK94=summaryref2!B151,summaryref2!R151,"")))))))))))</f>
        <v/>
      </c>
      <c r="BC94" s="1387" t="str">
        <f>IF('A-80 DirEntInv'!BC93&lt;&gt;0,'A-80 DirEntInv'!BC93,IF(AK94=summaryref2!B25,summaryref2!S25,IF(Summary!AK94=summaryref2!B39,summaryref2!S39,IF(AK94=summaryref2!B53,summaryref2!S53,IF(AK94=summaryref2!B67,summaryref2!S67,IF(AK94=summaryref2!B81,summaryref2!S81,IF(AK94=summaryref2!B95,summaryref2!S95,IF(AK94=summaryref2!B109,summaryref2!S109,IF(AK94=summaryref2!B123,summaryref2!S123,IF(AK94=summaryref2!B137,summaryref2!S137,IF(AK94=summaryref2!B151,summaryref2!S151,"")))))))))))</f>
        <v/>
      </c>
      <c r="BD94" s="1118" t="str">
        <f>IF('A-80 DirEntInv'!BD93&lt;&gt;"",'A-80 DirEntInv'!BD93,IF(AK94=summaryref2!B25,summaryref2!T25,IF(Summary!AK94=summaryref2!B39,summaryref2!T39,IF(AK94=summaryref2!B53,summaryref2!T53,IF(AK94=summaryref2!B67,summaryref2!T67,IF(AK94=summaryref2!B81,summaryref2!T81,IF(AK94=summaryref2!B95,summaryref2!T95,IF(AK94=summaryref2!B109,summaryref2!T109,IF(AK94=summaryref2!B123,summaryref2!T123,IF(AK94=summaryref2!B137,summaryref2!T137,IF(AK94=summaryref2!B151,summaryref2!T151,"")))))))))))</f>
        <v/>
      </c>
      <c r="BE94" s="1186" t="str">
        <f>IF('A-80 DirEntInv'!BE93&lt;&gt;"",'A-80 DirEntInv'!BE93,IF(AK94=summaryref2!B25,summaryref2!U25,IF(Summary!AK94=summaryref2!B39,summaryref2!U39,IF(AK94=summaryref2!B53,summaryref2!U53,IF(AK94=summaryref2!B67,summaryref2!U67,IF(AK94=summaryref2!B81,summaryref2!U81,IF(AK94=summaryref2!B95,summaryref2!U95,IF(AK94=summaryref2!B109,summaryref2!U109,IF(AK94=summaryref2!B123,summaryref2!U123,IF(AK94=summaryref2!B137,summaryref2!U137,IF(AK94=summaryref2!B151,summaryref2!U151,"")))))))))))</f>
        <v/>
      </c>
      <c r="BF94" s="1432"/>
      <c r="BG94" s="1432"/>
      <c r="BJ94" s="1047" t="str">
        <f>Codes!$C$167</f>
        <v>MG - Monorail/Automated Guideway (DO)</v>
      </c>
      <c r="BK94" s="1050" t="str">
        <f>Valid!$B$86</f>
        <v>Grade Crossings</v>
      </c>
      <c r="BL94" s="1369" t="str">
        <f>IF('A-80 DirEntInv'!BL93&lt;&gt;"",'A-80 DirEntInv'!BL93,IF(BJ94=summaryref2!X18,summaryref2!Z18,IF(BJ94=summaryref2!X25,summaryref2!Z25,IF(BJ94=summaryref2!X32,summaryref2!Z32,IF(BJ94=summaryref2!X39,summaryref2!Z39,IF(BJ94=summaryref2!X46,summaryref2!Z46,IF(BJ94=summaryref2!X53,summaryref2!Z53,IF(BJ94=summaryref2!X60,summaryref2!Z60,IF(BJ94=summaryref2!X67,summaryref2!Z67,IF(BJ94=summaryref2!X74,summaryref2!Z74,IF(BJ94=summaryref2!X81,summaryref2!Z81,"")))))))))))</f>
        <v/>
      </c>
      <c r="BM94" s="1050" t="str">
        <f>VLOOKUP(BK94,Valid!$B$80:$C$86,2,FALSE)</f>
        <v>Each</v>
      </c>
      <c r="BN94" s="1210" t="str">
        <f>IF('A-80 DirEntInv'!BN93&lt;&gt;"",'A-80 DirEntInv'!BN93,IF(BJ94=summaryref2!X18,summaryref2!AB18,IF(BJ94=summaryref2!X25,summaryref2!AB25,IF(BJ94=summaryref2!X32,summaryref2!AB32,IF(BJ94=summaryref2!X39,summaryref2!AB39,IF(BJ94=summaryref2!X46,summaryref2!AB46,IF(BJ94=summaryref2!X53,summaryref2!AB53,IF(BJ94=summaryref2!X60,summaryref2!AB60,IF(BJ94=summaryref2!X67,summaryref2!AB67,IF(BJ94=summaryref2!X74,summaryref2!AB74,IF(BJ94=summaryref2!X81,summaryref2!AB81,"")))))))))))</f>
        <v/>
      </c>
      <c r="BO94" s="1117" t="str">
        <f>IF('A-80 DirEntInv'!BO93&lt;&gt;"",'A-80 DirEntInv'!BO93,IF(BJ94=summaryref2!X18,summaryref2!AC18,IF(BJ94=summaryref2!X25,summaryref2!AC25,IF(BJ94=summaryref2!X32,summaryref2!AC32,IF(BJ94=summaryref2!X39,summaryref2!AC39,IF(BJ94=summaryref2!X46,summaryref2!AC46,IF(BJ94=summaryref2!X53,summaryref2!AC53,IF(BJ94=summaryref2!X60,summaryref2!AC60,IF(BJ94=summaryref2!X67,summaryref2!AC67,IF(BJ94=summaryref2!X74,summaryref2!AC74,IF(BJ94=summaryref2!X81,summaryref2!AC81,"")))))))))))</f>
        <v/>
      </c>
      <c r="BP94" s="1321" t="str">
        <f>IF('A-80 DirEntInv'!BP93&lt;&gt;"",'A-80 DirEntInv'!BP93,IF(BJ94=summaryref2!X18,summaryref2!AD18,IF(BJ94=summaryref2!X25,summaryref2!AD25,IF(BJ94=summaryref2!X32,summaryref2!AD32,IF(BJ94=summaryref2!X39,summaryref2!AD39,IF(BJ94=summaryref2!X46,summaryref2!AD46,IF(BJ94=summaryref2!X53,summaryref2!AD53,IF(BJ94=summaryref2!X60,summaryref2!AD60,IF(BJ94=summaryref2!X67,summaryref2!AD67,IF(BJ94=summaryref2!X74,summaryref2!AD74,IF(BJ94=summaryref2!X81,summaryref2!AD81,"")))))))))))</f>
        <v/>
      </c>
      <c r="BS94" s="1472" t="str">
        <f ca="1">IF('A-80 DirEntInv'!BU93&lt;&gt;"",'A-80 DirEntInv'!BU93,IF(INDIRECT(ADDRESS(SumRef!DK100,SumRef!DK$16,,,SumRef!$E$6))="","",INDIRECT(ADDRESS(SumRef!DK100,SumRef!DK$16,,,SumRef!$E$6))))</f>
        <v/>
      </c>
      <c r="BT94" s="1458" t="str">
        <f ca="1">IF('A-80 DirEntInv'!BV93&lt;&gt;"",'A-80 DirEntInv'!BV93,IF(INDIRECT(ADDRESS(SumRef!DL100,SumRef!DL$16,,,SumRef!$E$6))="","",INDIRECT(ADDRESS(SumRef!DL100,SumRef!DL$16,,,SumRef!$E$6))))</f>
        <v/>
      </c>
      <c r="BU94" s="1177" t="str">
        <f ca="1">IF('A-80 DirEntInv'!BW93&lt;&gt;"",'A-80 DirEntInv'!BW93,IF(INDIRECT(ADDRESS(SumRef!DM100,SumRef!DM$16,,,SumRef!$E$6))="","",INDIRECT(ADDRESS(SumRef!DM100,SumRef!DM$16,,,SumRef!$E$6))))</f>
        <v/>
      </c>
      <c r="BV94" s="1460" t="str">
        <f ca="1">IF('A-80 DirEntInv'!BX93&lt;&gt;"",'A-80 DirEntInv'!BX93,IF(INDIRECT(ADDRESS(SumRef!DN100,SumRef!DN$16,,,SumRef!$E$6))="","",INDIRECT(ADDRESS(SumRef!DN100,SumRef!DN$16,,,SumRef!$E$6))))</f>
        <v/>
      </c>
      <c r="BW94" s="1460" t="str">
        <f ca="1">IF('A-80 DirEntInv'!BY93&lt;&gt;"",'A-80 DirEntInv'!BY93,IF(INDIRECT(ADDRESS(SumRef!DO100,SumRef!DO$16,,,SumRef!$E$6))="","",INDIRECT(ADDRESS(SumRef!DO100,SumRef!DO$16,,,SumRef!$E$6))))</f>
        <v/>
      </c>
      <c r="BX94" s="1116" t="str">
        <f ca="1">IF('A-80 DirEntInv'!BZ93&lt;&gt;"",'A-80 DirEntInv'!BZ93,IF(INDIRECT(ADDRESS(SumRef!DP100,SumRef!DP$16,,,SumRef!$E$6))="","",INDIRECT(ADDRESS(SumRef!DP100,SumRef!DP$16,,,SumRef!$E$6))))</f>
        <v/>
      </c>
      <c r="BY94" s="1461" t="str">
        <f ca="1">IF('A-80 DirEntInv'!CA93&lt;&gt;"",'A-80 DirEntInv'!CA93,IF(INDIRECT(ADDRESS(SumRef!DQ100,SumRef!DQ$16,,,SumRef!$E$6))="","",INDIRECT(ADDRESS(SumRef!DQ100,SumRef!DQ$16,,,SumRef!$E$6))))</f>
        <v/>
      </c>
      <c r="BZ94" s="1460" t="str">
        <f ca="1">IF('A-80 DirEntInv'!CB93&lt;&gt;"",'A-80 DirEntInv'!CB93,IF(INDIRECT(ADDRESS(SumRef!DR100,SumRef!DR$16,,,SumRef!$E$6))="","",INDIRECT(ADDRESS(SumRef!DR100,SumRef!DR$16,,,SumRef!$E$6))))</f>
        <v/>
      </c>
      <c r="CA94" s="1462" t="str">
        <f ca="1">IF('A-80 DirEntInv'!CC93&lt;&gt;"",'A-80 DirEntInv'!CC93,IF(INDIRECT(ADDRESS(SumRef!DS100,SumRef!DS$16,,,SumRef!$E$6))="","",INDIRECT(ADDRESS(SumRef!DS100,SumRef!DS$16,,,SumRef!$E$6))))</f>
        <v/>
      </c>
      <c r="CD94" s="1160" t="str">
        <f ca="1">IF('A-80 DirEntInv'!CF93&lt;&gt;"",'A-80 DirEntInv'!CF93,IF(INDIRECT(ADDRESS(SumRef!DV100,SumRef!DV$16,,,SumRef!$E$7))="","",INDIRECT(ADDRESS(SumRef!DV100,SumRef!DV$16,,,SumRef!$E$7))))</f>
        <v/>
      </c>
      <c r="CE94" s="1167" t="str">
        <f ca="1">IF('A-80 DirEntInv'!CG93&lt;&gt;"",'A-80 DirEntInv'!CG93,IF(INDIRECT(ADDRESS(SumRef!DW100,SumRef!DW$16,,,SumRef!$E$7))="","",INDIRECT(ADDRESS(SumRef!DW100,SumRef!DW$16,,,SumRef!$E$7))))</f>
        <v/>
      </c>
      <c r="CF94" s="1167" t="str">
        <f ca="1">IF('A-80 DirEntInv'!CH93&lt;&gt;"",'A-80 DirEntInv'!CH93,IF(INDIRECT(ADDRESS(SumRef!DX100,SumRef!DX$16,,,SumRef!$E$7))="","",INDIRECT(ADDRESS(SumRef!DX100,SumRef!DX$16,,,SumRef!$E$7))))</f>
        <v/>
      </c>
      <c r="CG94" s="1167" t="str">
        <f ca="1">IF('A-80 DirEntInv'!CI93&lt;&gt;"",'A-80 DirEntInv'!CI93,IF(INDIRECT(ADDRESS(SumRef!DY100,SumRef!DY$16,,,SumRef!$E$7))="","",INDIRECT(ADDRESS(SumRef!DY100,SumRef!DY$16,,,SumRef!$E$7))))</f>
        <v/>
      </c>
      <c r="CH94" s="1167" t="str">
        <f ca="1">IF('A-80 DirEntInv'!CJ93&lt;&gt;"",'A-80 DirEntInv'!CJ93,IF(INDIRECT(ADDRESS(SumRef!DZ100,SumRef!DZ$16,,,SumRef!$E$7))="","",INDIRECT(ADDRESS(SumRef!DZ100,SumRef!DZ$16,,,SumRef!$E$7))))</f>
        <v/>
      </c>
      <c r="CI94" s="1167" t="str">
        <f ca="1">IF('A-80 DirEntInv'!CK93&lt;&gt;"",'A-80 DirEntInv'!CK93,IF(INDIRECT(ADDRESS(SumRef!EA100,SumRef!EA$16,,,SumRef!$E$7))="","",INDIRECT(ADDRESS(SumRef!EA100,SumRef!EA$16,,,SumRef!$E$7))))</f>
        <v/>
      </c>
      <c r="CJ94" s="1114" t="str">
        <f ca="1">IF('A-80 DirEntInv'!CL93&lt;&gt;"",'A-80 DirEntInv'!CL93,IF(INDIRECT(ADDRESS(SumRef!EB100,SumRef!EB$16,,,SumRef!$E$7))="","",INDIRECT(ADDRESS(SumRef!EB100,SumRef!EB$16,,,SumRef!$E$7))))</f>
        <v/>
      </c>
      <c r="CK94" s="1114" t="str">
        <f ca="1">IF('A-80 DirEntInv'!CM93&lt;&gt;"",'A-80 DirEntInv'!CM93,IF(INDIRECT(ADDRESS(SumRef!EC100,SumRef!EC$16,,,SumRef!$E$7))="","",INDIRECT(ADDRESS(SumRef!EC100,SumRef!EC$16,,,SumRef!$E$7))))</f>
        <v/>
      </c>
      <c r="CL94" s="1113" t="str">
        <f ca="1">IF('A-80 DirEntInv'!CO93&lt;&gt;"",'A-80 DirEntInv'!CO93,IF(INDIRECT(ADDRESS(SumRef!ED100,SumRef!ED$16,,,SumRef!$E$7))="","",INDIRECT(ADDRESS(SumRef!ED100,SumRef!ED$16,,,SumRef!$E$7))))</f>
        <v/>
      </c>
      <c r="CM94" s="1114" t="str">
        <f ca="1">IF('A-80 DirEntInv'!CP93&lt;&gt;"",'A-80 DirEntInv'!CP93,IF(INDIRECT(ADDRESS(SumRef!EE100,SumRef!EE$16,,,SumRef!$E$7))="","",INDIRECT(ADDRESS(SumRef!EE100,SumRef!EE$16,,,SumRef!$E$7))))</f>
        <v/>
      </c>
      <c r="CN94" s="1114" t="str">
        <f ca="1">IF('A-80 DirEntInv'!CQ93&lt;&gt;"",'A-80 DirEntInv'!CQ93,IF(INDIRECT(ADDRESS(SumRef!EF100,SumRef!EF$16,,,SumRef!$E$7))="","",INDIRECT(ADDRESS(SumRef!EF100,SumRef!EF$16,,,SumRef!$E$7))))</f>
        <v/>
      </c>
      <c r="CO94" s="1113" t="str">
        <f ca="1">IF('A-80 DirEntInv'!CR93&lt;&gt;"",'A-80 DirEntInv'!CR93,IF(INDIRECT(ADDRESS(SumRef!EG100,SumRef!EG$16,,,SumRef!$E$7))="","",INDIRECT(ADDRESS(SumRef!EG100,SumRef!EG$16,,,SumRef!$E$7))))</f>
        <v/>
      </c>
      <c r="CP94" s="1114" t="str">
        <f ca="1">IF('A-80 DirEntInv'!CS93&lt;&gt;"",'A-80 DirEntInv'!CS93,IF(INDIRECT(ADDRESS(SumRef!EH100,SumRef!EH$16,,,SumRef!$E$7))="","",INDIRECT(ADDRESS(SumRef!EH100,SumRef!EH$16,,,SumRef!$E$7))))</f>
        <v/>
      </c>
      <c r="CQ94" s="1346" t="str">
        <f ca="1">IF('A-80 DirEntInv'!CT93&lt;&gt;"",'A-80 DirEntInv'!CT93,IF(INDIRECT(ADDRESS(SumRef!EI100,SumRef!EI$16,,,SumRef!$E$7))="","",INDIRECT(ADDRESS(SumRef!EI100,SumRef!EI$16,,,SumRef!$E$7))))</f>
        <v/>
      </c>
      <c r="CR94" s="1113" t="str">
        <f ca="1">IF('A-80 DirEntInv'!CU93&lt;&gt;"",'A-80 DirEntInv'!CU93,IF(INDIRECT(ADDRESS(SumRef!EJ100,SumRef!EJ$16,,,SumRef!$E$7))="","",INDIRECT(ADDRESS(SumRef!EJ100,SumRef!EJ$16,,,SumRef!$E$7))))</f>
        <v/>
      </c>
      <c r="CS94" s="1346" t="str">
        <f ca="1">IF('A-80 DirEntInv'!CV93&lt;&gt;"",'A-80 DirEntInv'!CV93,IF(INDIRECT(ADDRESS(SumRef!EM100,SumRef!EM$16,,,SumRef!$E$7))="","",INDIRECT(ADDRESS(SumRef!EM100,SumRef!EM$16,,,SumRef!$E$7))))</f>
        <v/>
      </c>
      <c r="CT94" s="1113" t="str">
        <f ca="1">IF('A-80 DirEntInv'!CW93&lt;&gt;"",'A-80 DirEntInv'!CW93,IF(INDIRECT(ADDRESS(SumRef!EN100,SumRef!EN$16,,,SumRef!$E$7))="","",INDIRECT(ADDRESS(SumRef!EN100,SumRef!EN$16,,,SumRef!$E$7))))</f>
        <v/>
      </c>
      <c r="CU94" s="1113" t="str">
        <f ca="1">IF('A-80 DirEntInv'!CX93&lt;&gt;"",'A-80 DirEntInv'!CX93,IF(INDIRECT(ADDRESS(SumRef!EO100,SumRef!EO$16,,,SumRef!$E$7))="","",INDIRECT(ADDRESS(SumRef!EO100,SumRef!EO$16,,,SumRef!$E$7))))</f>
        <v/>
      </c>
      <c r="CV94" s="1113" t="str">
        <f ca="1">IF('A-80 DirEntInv'!CY93&lt;&gt;"",'A-80 DirEntInv'!CY93,IF(INDIRECT(ADDRESS(SumRef!EP100,SumRef!EP$16,,,SumRef!$E$7))="","",INDIRECT(ADDRESS(SumRef!EP100,SumRef!EP$16,,,SumRef!$E$7))))</f>
        <v/>
      </c>
      <c r="CW94" s="1114" t="str">
        <f ca="1">IF('A-80 DirEntInv'!CZ93&lt;&gt;"",'A-80 DirEntInv'!CZ93,IF(INDIRECT(ADDRESS(SumRef!ES100,SumRef!ES$16,,,SumRef!$E$7))="","",INDIRECT(ADDRESS(SumRef!ES100,SumRef!ES$16,,,SumRef!$E$7))))</f>
        <v/>
      </c>
      <c r="CX94" s="1167" t="str">
        <f ca="1">IF('A-80 DirEntInv'!DA93&lt;&gt;"",'A-80 DirEntInv'!DA93,IF(INDIRECT(ADDRESS(SumRef!ET100,SumRef!ET$16,,,SumRef!$E$7))="","",INDIRECT(ADDRESS(SumRef!ET100,SumRef!ET$16,,,SumRef!$E$7))))</f>
        <v/>
      </c>
      <c r="CY94" s="1167" t="str">
        <f ca="1">IF('A-80 DirEntInv'!DB93&lt;&gt;"",'A-80 DirEntInv'!DB93,IF(INDIRECT(ADDRESS(SumRef!EU100,SumRef!EU$16,,,SumRef!$E$7))="","",INDIRECT(ADDRESS(SumRef!EU100,SumRef!EU$16,,,SumRef!$E$7))))</f>
        <v/>
      </c>
      <c r="CZ94" s="1167" t="b">
        <f ca="1">IF('A-80 DirEntInv'!DC93&lt;&gt;"",'A-80 DirEntInv'!DC93,IF(INDIRECT(ADDRESS(SumRef!EV100,SumRef!EV$16,,,SumRef!$E$7))="","",INDIRECT(ADDRESS(SumRef!EV100,SumRef!EV$16,,,SumRef!$E$7))))</f>
        <v>0</v>
      </c>
      <c r="DA94" s="1373" t="str">
        <f ca="1">IF('A-80 DirEntInv'!DD93&lt;&gt;"",'A-80 DirEntInv'!DD93,IF(INDIRECT(ADDRESS(SumRef!EW100,SumRef!EW$16,,,SumRef!$E$7))="","",INDIRECT(ADDRESS(SumRef!EW100,SumRef!EW$16,,,SumRef!$E$7))))</f>
        <v/>
      </c>
      <c r="DB94" s="1373" t="b">
        <f ca="1">IF('A-80 DirEntInv'!DE93&lt;&gt;"",'A-80 DirEntInv'!DE93,IF(INDIRECT(ADDRESS(SumRef!EX100,SumRef!EX$16,,,SumRef!$E$7))="","",INDIRECT(ADDRESS(SumRef!EX100,SumRef!EX$16,,,SumRef!$E$7))))</f>
        <v>0</v>
      </c>
      <c r="DC94" s="1114" t="b">
        <f ca="1">IF('A-80 DirEntInv'!DF93&lt;&gt;"",'A-80 DirEntInv'!DF93,IF(INDIRECT(ADDRESS(SumRef!EY100,SumRef!EY$16,,,SumRef!$E$7))="","",INDIRECT(ADDRESS(SumRef!EY100,SumRef!EY$16,,,SumRef!$E$7))))</f>
        <v>0</v>
      </c>
      <c r="DD94" s="1115" t="str">
        <f ca="1">IF('A-80 DirEntInv'!DG93&lt;&gt;"",'A-80 DirEntInv'!DG93,IF(INDIRECT(ADDRESS(SumRef!EZ100,SumRef!EZ$16,,,SumRef!$E$7))="","",INDIRECT(ADDRESS(SumRef!EZ100,SumRef!EZ$16,,,SumRef!$E$7))))</f>
        <v/>
      </c>
    </row>
    <row r="95" spans="1:108" s="588" customFormat="1" x14ac:dyDescent="0.2">
      <c r="A95" s="589">
        <f t="shared" si="1"/>
        <v>85</v>
      </c>
      <c r="B95" s="1155" t="str">
        <f ca="1">IF('A-80 DirEntInv'!B94&lt;&gt;"",'A-80 DirEntInv'!B94,IF(INDIRECT(ADDRESS(SumRef!AQ101,SumRef!AQ$16,,,SumRef!$B$7))="","",INDIRECT(ADDRESS(SumRef!AQ101,SumRef!AQ$16,,,SumRef!$B$7))))</f>
        <v/>
      </c>
      <c r="C95" s="1097" t="str">
        <f ca="1">IF('A-80 DirEntInv'!C94&lt;&gt;"",'A-80 DirEntInv'!C94,IF(INDIRECT(ADDRESS(SumRef!AR101,SumRef!AR$16,,,SumRef!$B$7))="","",INDIRECT(ADDRESS(SumRef!AR101,SumRef!AR$16,,,SumRef!$B$7))))</f>
        <v/>
      </c>
      <c r="D95" s="1097" t="str">
        <f ca="1">IF('A-80 DirEntInv'!D94&lt;&gt;"",'A-80 DirEntInv'!D94,IF(INDIRECT(ADDRESS(SumRef!AS101,SumRef!AS$16,,,SumRef!$B$7))="","",INDIRECT(ADDRESS(SumRef!AS101,SumRef!AS$16,,,SumRef!$B$7))))</f>
        <v/>
      </c>
      <c r="E95" s="1097" t="str">
        <f ca="1">IF('A-80 DirEntInv'!E94&lt;&gt;"",'A-80 DirEntInv'!E94,IF(INDIRECT(ADDRESS(SumRef!AT101,SumRef!AT$16,,,SumRef!$B$7))="","",INDIRECT(ADDRESS(SumRef!AT101,SumRef!AT$16,,,SumRef!$B$7))))</f>
        <v/>
      </c>
      <c r="F95" s="1097" t="str">
        <f ca="1">IF('A-80 DirEntInv'!F94&lt;&gt;"",'A-80 DirEntInv'!F94,IF(INDIRECT(ADDRESS(SumRef!AU101,SumRef!AU$16,,,SumRef!$B$7))="","",INDIRECT(ADDRESS(SumRef!AU101,SumRef!AU$16,,,SumRef!$B$7))))</f>
        <v/>
      </c>
      <c r="G95" s="1158" t="str">
        <f ca="1">IF('A-80 DirEntInv'!G94&lt;&gt;"",'A-80 DirEntInv'!G94,IF(INDIRECT(ADDRESS(SumRef!AV101,SumRef!AV$16,,,SumRef!$B$7))="","",INDIRECT(ADDRESS(SumRef!AV101,SumRef!AV$16,,,SumRef!$B$7))))</f>
        <v/>
      </c>
      <c r="H95" s="1097" t="str">
        <f ca="1">IF('A-80 DirEntInv'!H94&lt;&gt;"",'A-80 DirEntInv'!H94,IF(INDIRECT(ADDRESS(SumRef!AW101,SumRef!AW$16,,,SumRef!$B$7))="","",INDIRECT(ADDRESS(SumRef!AW101,SumRef!AW$16,,,SumRef!$B$7))))</f>
        <v/>
      </c>
      <c r="I95" s="1097" t="str">
        <f ca="1">IF('A-80 DirEntInv'!I94&lt;&gt;"",'A-80 DirEntInv'!I94,IF(INDIRECT(ADDRESS(SumRef!AX101,SumRef!AX$16,,,SumRef!$B$7))="","",INDIRECT(ADDRESS(SumRef!AX101,SumRef!AX$16,,,SumRef!$B$7))))</f>
        <v/>
      </c>
      <c r="J95" s="1098" t="str">
        <f ca="1">IF('A-80 DirEntInv'!J94&lt;&gt;"",'A-80 DirEntInv'!J94,IF(INDIRECT(ADDRESS(SumRef!AY101,SumRef!AY$16,,,SumRef!$B$7))="","",INDIRECT(ADDRESS(SumRef!AY101,SumRef!AY$16,,,SumRef!$B$7))))</f>
        <v/>
      </c>
      <c r="K95" s="1099" t="str">
        <f ca="1">IF('A-80 DirEntInv'!K94&lt;&gt;"",'A-80 DirEntInv'!K94,IF(INDIRECT(ADDRESS(SumRef!AZ101,SumRef!AZ$16,,,SumRef!$B$7))="","",INDIRECT(ADDRESS(SumRef!AZ101,SumRef!AZ$16,,,SumRef!$B$7))))</f>
        <v/>
      </c>
      <c r="L95" s="1100" t="str">
        <f ca="1">IF('A-80 DirEntInv'!L94&lt;&gt;"",'A-80 DirEntInv'!L94,IF(INDIRECT(ADDRESS(SumRef!BA101,SumRef!BA$16,,,SumRef!$B$7))="","",INDIRECT(ADDRESS(SumRef!BA101,SumRef!BA$16,,,SumRef!$B$7))))</f>
        <v/>
      </c>
      <c r="M95" s="1101" t="str">
        <f ca="1">IF('A-80 DirEntInv'!M94&lt;&gt;"",'A-80 DirEntInv'!M94,IF(INDIRECT(ADDRESS(SumRef!BB101,SumRef!BB$16,,,SumRef!$B$7))="","",INDIRECT(ADDRESS(SumRef!BB101,SumRef!BB$16,,,SumRef!$B$7))))</f>
        <v/>
      </c>
      <c r="N95" s="1098" t="str">
        <f ca="1">IF('A-80 DirEntInv'!N94&lt;&gt;"",'A-80 DirEntInv'!N94,IF(INDIRECT(ADDRESS(SumRef!BC101,SumRef!BC$16,,,SumRef!$B$7))="","",INDIRECT(ADDRESS(SumRef!BC101,SumRef!BC$16,,,SumRef!$B$7))))</f>
        <v/>
      </c>
      <c r="O95" s="1102" t="str">
        <f ca="1">IF('A-80 DirEntInv'!O94&lt;&gt;"",'A-80 DirEntInv'!O94,IF(INDIRECT(ADDRESS(SumRef!BD101,SumRef!BD$16,,,SumRef!$B$7))="","",INDIRECT(ADDRESS(SumRef!BD101,SumRef!BD$16,,,SumRef!$B$7))))</f>
        <v/>
      </c>
      <c r="Q95" s="589"/>
      <c r="R95" s="1103" t="str">
        <f ca="1">IF('A-80 DirEntInv'!R94&lt;&gt;"",'A-80 DirEntInv'!R94,IF(INDIRECT(ADDRESS(SumRef!BH101,SumRef!BH$16,,,SumRef!$B$8))="","",INDIRECT(ADDRESS(SumRef!BH101,SumRef!BH$16,,,SumRef!$B$8))))</f>
        <v/>
      </c>
      <c r="S95" s="1104" t="str">
        <f ca="1">IF('A-80 DirEntInv'!S94&lt;&gt;"",'A-80 DirEntInv'!S94,IF(INDIRECT(ADDRESS(SumRef!BI101,SumRef!BI$16,,,SumRef!$B$8))="","",INDIRECT(ADDRESS(SumRef!BI101,SumRef!BI$16,,,SumRef!$B$8))))</f>
        <v/>
      </c>
      <c r="T95" s="1104" t="str">
        <f ca="1">IF('A-80 DirEntInv'!T94&lt;&gt;"",'A-80 DirEntInv'!T94,IF(INDIRECT(ADDRESS(SumRef!BJ101,SumRef!BJ$16,,,SumRef!$B$8))="","",INDIRECT(ADDRESS(SumRef!BJ101,SumRef!BJ$16,,,SumRef!$B$8))))</f>
        <v/>
      </c>
      <c r="U95" s="1104" t="str">
        <f ca="1">IF('A-80 DirEntInv'!U94&lt;&gt;"",'A-80 DirEntInv'!U94,IF(INDIRECT(ADDRESS(SumRef!BK101,SumRef!BK$16,,,SumRef!$B$8))="","",INDIRECT(ADDRESS(SumRef!BK101,SumRef!BK$16,,,SumRef!$B$8))))</f>
        <v/>
      </c>
      <c r="V95" s="1104" t="str">
        <f ca="1">IF('A-80 DirEntInv'!V94&lt;&gt;"",'A-80 DirEntInv'!V94,IF(INDIRECT(ADDRESS(SumRef!BL101,SumRef!BL$16,,,SumRef!$B$8))="","",INDIRECT(ADDRESS(SumRef!BL101,SumRef!BL$16,,,SumRef!$B$8))))</f>
        <v/>
      </c>
      <c r="W95" s="1354" t="str">
        <f ca="1">IF('A-80 DirEntInv'!W94&lt;&gt;"",'A-80 DirEntInv'!W94,IF(INDIRECT(ADDRESS(SumRef!BM101,SumRef!BM$16,,,SumRef!$B$8))="","",INDIRECT(ADDRESS(SumRef!BM101,SumRef!BM$16,,,SumRef!$B$8))))</f>
        <v/>
      </c>
      <c r="X95" s="1203" t="str">
        <f ca="1">IF('A-80 DirEntInv'!X94&lt;&gt;"",'A-80 DirEntInv'!X94,IF(INDIRECT(ADDRESS(SumRef!BN101,SumRef!BN$16,,,SumRef!$B$8))="","",INDIRECT(ADDRESS(SumRef!BN101,SumRef!BN$16,,,SumRef!$B$8))))</f>
        <v/>
      </c>
      <c r="Y95" s="1203" t="str">
        <f ca="1">IF('A-80 DirEntInv'!Y94&lt;&gt;"",'A-80 DirEntInv'!Y94,IF(INDIRECT(ADDRESS(SumRef!BO101,SumRef!BO$16,,,SumRef!$B$8))="","",INDIRECT(ADDRESS(SumRef!BO101,SumRef!BO$16,,,SumRef!$B$8))))</f>
        <v/>
      </c>
      <c r="Z95" s="1104" t="str">
        <f ca="1">IF('A-80 DirEntInv'!Z94&lt;&gt;"",'A-80 DirEntInv'!Z94,IF(INDIRECT(ADDRESS(SumRef!BP101,SumRef!BP$16,,,SumRef!$B$8))="","",INDIRECT(ADDRESS(SumRef!BP101,SumRef!BP$16,,,SumRef!$B$8))))</f>
        <v/>
      </c>
      <c r="AA95" s="1104" t="str">
        <f ca="1">IF('A-80 DirEntInv'!AA94&lt;&gt;"",'A-80 DirEntInv'!AA94,IF(INDIRECT(ADDRESS(SumRef!BQ101,SumRef!BQ$16,,,SumRef!$B$8))="","",INDIRECT(ADDRESS(SumRef!BQ101,SumRef!BQ$16,,,SumRef!$B$8))))</f>
        <v/>
      </c>
      <c r="AB95" s="1106" t="str">
        <f ca="1">IF('A-80 DirEntInv'!AB94&lt;&gt;"",'A-80 DirEntInv'!AB94,IF(INDIRECT(ADDRESS(SumRef!BR101,SumRef!BR$16,,,SumRef!$B$8))="","",INDIRECT(ADDRESS(SumRef!BR101,SumRef!BR$16,,,SumRef!$B$8))))</f>
        <v/>
      </c>
      <c r="AC95" s="1107" t="str">
        <f ca="1">IF('A-80 DirEntInv'!AC94&lt;&gt;"",'A-80 DirEntInv'!AC94,IF(INDIRECT(ADDRESS(SumRef!BS101,SumRef!BS$16,,,SumRef!$B$8))="","",INDIRECT(ADDRESS(SumRef!BS101,SumRef!BS$16,,,SumRef!$B$8))))</f>
        <v/>
      </c>
      <c r="AD95" s="1349" t="str">
        <f ca="1">IF('A-80 DirEntInv'!AD94&lt;&gt;"",'A-80 DirEntInv'!AD94,IF(INDIRECT(ADDRESS(SumRef!BT101,SumRef!BT$16,,,SumRef!$B$8))="","",INDIRECT(ADDRESS(SumRef!BT101,SumRef!BT$16,,,SumRef!$B$8))))</f>
        <v/>
      </c>
      <c r="AE95" s="1137" t="str">
        <f ca="1">IF('A-80 DirEntInv'!AE94&lt;&gt;"",'A-80 DirEntInv'!AE94,IF(INDIRECT(ADDRESS(SumRef!BU101,SumRef!BU$16,,,SumRef!$B$8))="","",INDIRECT(ADDRESS(SumRef!BU101,SumRef!BU$16,,,SumRef!$B$8))))</f>
        <v/>
      </c>
      <c r="AF95" s="1346" t="str">
        <f ca="1">IF('A-80 DirEntInv'!AF94&lt;&gt;"",'A-80 DirEntInv'!AF94,IF(INDIRECT(ADDRESS(SumRef!BV101,SumRef!BV$16,,,SumRef!$B$8))="","",INDIRECT(ADDRESS(SumRef!BV101,SumRef!BV$16,,,SumRef!$B$8))))</f>
        <v/>
      </c>
      <c r="AG95" s="1105" t="str">
        <f ca="1">IF('A-80 DirEntInv'!AG94&lt;&gt;"",'A-80 DirEntInv'!AG94,IF(INDIRECT(ADDRESS(SumRef!BW101,SumRef!BW$16,,,SumRef!$B$8))="","",INDIRECT(ADDRESS(SumRef!BW101,SumRef!BW$16,,,SumRef!$B$8))))</f>
        <v/>
      </c>
      <c r="AH95" s="1357" t="str">
        <f ca="1">IF('A-80 DirEntInv'!AH94&lt;&gt;"",'A-80 DirEntInv'!AH94,IF(INDIRECT(ADDRESS(SumRef!BX101,SumRef!BX$16,,,SumRef!$B$8))="","",INDIRECT(ADDRESS(SumRef!BX101,SumRef!BX$16,,,SumRef!$B$8))))</f>
        <v/>
      </c>
      <c r="AK95" s="1043" t="str">
        <f>Codes!$C$162</f>
        <v>CR - Commuter Rail (PT)</v>
      </c>
      <c r="AL95" s="1303" t="str">
        <f>Valid!$B$71</f>
        <v>At-Grade/Ballast (including expressway)</v>
      </c>
      <c r="AM95" s="1092" t="str">
        <f>IF('A-80 DirEntInv'!AM94&lt;&gt;"",'A-80 DirEntInv'!AM94,IF(AK95=summaryref2!B12,summaryref2!D12,IF(Summary!AK95=summaryref2!B26,summaryref2!D26,IF(AK95=summaryref2!B40,summaryref2!D40,IF(AK95=summaryref2!B54,summaryref2!D54,IF(AK95=summaryref2!B68,summaryref2!D68,IF(AK95=summaryref2!B82,summaryref2!D82,IF(AK95=summaryref2!B96,summaryref2!D96,IF(AK95=summaryref2!B110,summaryref2!D110,IF(AK95=summaryref2!B124,summaryref2!D124,IF(AK95=summaryref2!B138,summaryref2!D138,"")))))))))))</f>
        <v/>
      </c>
      <c r="AN95" s="1127" t="str">
        <f ca="1">IF('A-80 DirEntInv'!AN80&lt;&gt;"",'A-80 DirEntInv'!AN80,IF(INDIRECT(ADDRESS(SumRef!#REF!,SumRef!CG$16,,,SumRef!$C$7))="","",INDIRECT(ADDRESS(SumRef!#REF!,SumRef!CG$16,,,SumRef!$C$7))))</f>
        <v>Linear Feet</v>
      </c>
      <c r="AO95" s="1092" t="str">
        <f>IF('A-80 DirEntInv'!AO94&lt;&gt;"",'A-80 DirEntInv'!AO94,IF(AK95=summaryref2!B12,summaryref2!F12,IF(Summary!AK95=summaryref2!B26,summaryref2!F26,IF(AK95=summaryref2!B40,summaryref2!F40,IF(AK95=summaryref2!B54,summaryref2!F54,IF(AK95=summaryref2!B68,summaryref2!F68,IF(AK95=summaryref2!B82,summaryref2!F82,IF(AK95=summaryref2!B96,summaryref2!F96,IF(AK95=summaryref2!B110,summaryref2!F110,IF(AK95=summaryref2!B124,summaryref2!F124,IF(AK95=summaryref2!B138,summaryref2!F138,"")))))))))))</f>
        <v/>
      </c>
      <c r="AP95" s="1127" t="str">
        <f ca="1">IF('A-80 DirEntInv'!AP80&lt;&gt;"",'A-80 DirEntInv'!AP80,IF(INDIRECT(ADDRESS(SumRef!#REF!,SumRef!#REF!,,,SumRef!$C$7))="","",INDIRECT(ADDRESS(SumRef!#REF!,SumRef!#REF!,,,SumRef!$C$7))))</f>
        <v>Track Feet</v>
      </c>
      <c r="AQ95" s="1146" t="str">
        <f>IF('A-80 DirEntInv'!AQ94&lt;&gt;"",'A-80 DirEntInv'!AQ94,IF(AK95=summaryref2!B12,summaryref2!G12,IF(Summary!AK95=summaryref2!B26,summaryref2!G26,IF(AK95=summaryref2!B40,summaryref2!G40,IF(AK95=summaryref2!B54,summaryref2!G54,IF(AK95=summaryref2!B68,summaryref2!G68,IF(AK95=summaryref2!B82,summaryref2!G82,IF(AK95=summaryref2!B96,summaryref2!G96,IF(AK95=summaryref2!B110,summaryref2!G110,IF(AK95=summaryref2!B124,summaryref2!G124,IF(AK95=summaryref2!B138,summaryref2!G138,"")))))))))))</f>
        <v/>
      </c>
      <c r="AR95" s="1146" t="str">
        <f>IF('A-80 DirEntInv'!AR94&lt;&gt;"",'A-80 DirEntInv'!AR94,IF(AK95=summaryref2!B12,summaryref2!H12,IF(Summary!AK95=summaryref2!B26,summaryref2!H26,IF(AK95=summaryref2!B40,summaryref2!H40,IF(AK95=summaryref2!B54,summaryref2!H54,IF(AK95=summaryref2!B68,summaryref2!H68,IF(AK95=summaryref2!B82,summaryref2!H82,IF(AK95=summaryref2!B96,summaryref2!H96,IF(AK95=summaryref2!B110,summaryref2!H110,IF(AK95=summaryref2!B124,summaryref2!H124,IF(AK95=summaryref2!B138,summaryref2!H138,"")))))))))))</f>
        <v/>
      </c>
      <c r="AS95" s="1092" t="str">
        <f>IF('A-80 DirEntInv'!AS94&lt;&gt;"",'A-80 DirEntInv'!AS94,IF(AK95=summaryref2!B12,summaryref2!I12,IF(Summary!AK95=summaryref2!B26,summaryref2!I26,IF(AK95=summaryref2!B40,summaryref2!I40,IF(AK95=summaryref2!B54,summaryref2!I54,IF(AK95=summaryref2!B68,summaryref2!I68,IF(AK95=summaryref2!B82,summaryref2!I82,IF(AK95=summaryref2!B96,summaryref2!I96,IF(AK95=summaryref2!B110,summaryref2!I110,IF(AK95=summaryref2!B124,summaryref2!I124,IF(AK95=summaryref2!B138,summaryref2!I138,"")))))))))))</f>
        <v/>
      </c>
      <c r="AT95" s="1092" t="str">
        <f>IF('A-80 DirEntInv'!AT94&lt;&gt;"",'A-80 DirEntInv'!AT94,IF(AK95=summaryref2!B12,summaryref2!J12,IF(Summary!AK95=summaryref2!B26,summaryref2!J26,IF(AK95=summaryref2!B40,summaryref2!J40,IF(AK95=summaryref2!B54,summaryref2!J54,IF(AK95=summaryref2!B68,summaryref2!J68,IF(AK95=summaryref2!B82,summaryref2!J82,IF(AK95=summaryref2!B96,summaryref2!J96,IF(AK95=summaryref2!B110,summaryref2!J110,IF(AK95=summaryref2!B124,summaryref2!J124,IF(AK95=summaryref2!B138,summaryref2!J138,"")))))))))))</f>
        <v/>
      </c>
      <c r="AU95" s="1092" t="str">
        <f>IF('A-80 DirEntInv'!AU94&lt;&gt;"",'A-80 DirEntInv'!AU94,IF(AK95=summaryref2!B12,summaryref2!K12,IF(Summary!AK95=summaryref2!B26,summaryref2!K26,IF(AK95=summaryref2!B40,summaryref2!K40,IF(AK95=summaryref2!B54,summaryref2!K54,IF(AK95=summaryref2!B68,summaryref2!K68,IF(AK95=summaryref2!B82,summaryref2!K82,IF(AK95=summaryref2!B96,summaryref2!K96,IF(AK95=summaryref2!B110,summaryref2!K110,IF(AK95=summaryref2!B124,summaryref2!K124,IF(AK95=summaryref2!B138,summaryref2!K138,"")))))))))))</f>
        <v/>
      </c>
      <c r="AV95" s="1092" t="str">
        <f>IF('A-80 DirEntInv'!AV94&lt;&gt;"",'A-80 DirEntInv'!AV94,IF(AK95=summaryref2!B12,summaryref2!L12,IF(Summary!AK95=summaryref2!B26,summaryref2!L26,IF(AK95=summaryref2!B40,summaryref2!L40,IF(AK95=summaryref2!B54,summaryref2!L54,IF(AK95=summaryref2!B68,summaryref2!L68,IF(AK95=summaryref2!B82,summaryref2!L82,IF(AK95=summaryref2!B96,summaryref2!L96,IF(AK95=summaryref2!B110,summaryref2!L110,IF(AK95=summaryref2!B124,summaryref2!L124,IF(AK95=summaryref2!B138,summaryref2!L138,"")))))))))))</f>
        <v/>
      </c>
      <c r="AW95" s="1092" t="str">
        <f>IF('A-80 DirEntInv'!AW94&lt;&gt;"",'A-80 DirEntInv'!AW94,IF($AK95=summaryref2!$B$12,summaryref2!M$12,IF(Summary!$AK95=summaryref2!$B$26,summaryref2!M$26,IF($AK95=summaryref2!$B$40,summaryref2!M$40,IF($AK95=summaryref2!$B$54,summaryref2!M$54,IF($AK95=summaryref2!$B$68,summaryref2!M$68,IF($AK95=summaryref2!$B$82,summaryref2!M$82,IF($AK95=summaryref2!$B$96,summaryref2!M$96,IF($AK95=summaryref2!$B$110,summaryref2!M$110,IF($AK95=summaryref2!$B$124,summaryref2!M$124,IF($AK95=summaryref2!$B$138,summaryref2!M$138,"")))))))))))</f>
        <v/>
      </c>
      <c r="AX95" s="1092" t="str">
        <f>IF('A-80 DirEntInv'!AX94&lt;&gt;"",'A-80 DirEntInv'!AX94,IF(AK95=summaryref2!B12,summaryref2!N12,IF(Summary!AK95=summaryref2!B26,summaryref2!N26,IF(AK95=summaryref2!B40,summaryref2!N40,IF(AK95=summaryref2!B54,summaryref2!N54,IF(AK95=summaryref2!B68,summaryref2!N68,IF(AK95=summaryref2!B82,summaryref2!N82,IF(AK95=summaryref2!B96,summaryref2!N96,IF(AK95=summaryref2!B110,summaryref2!N110,IF(AK95=summaryref2!B124,summaryref2!N124,IF(AK95=summaryref2!B138,summaryref2!N138,"")))))))))))</f>
        <v/>
      </c>
      <c r="AY95" s="1092" t="str">
        <f>IF('A-80 DirEntInv'!AY94&lt;&gt;"",'A-80 DirEntInv'!AY94,IF(AK95=summaryref2!B12,summaryref2!O12,IF(Summary!AK95=summaryref2!B26,summaryref2!O26,IF(AK95=summaryref2!B40,summaryref2!O40,IF(AK95=summaryref2!B54,summaryref2!O54,IF(AK95=summaryref2!B68,summaryref2!O68,IF(AK95=summaryref2!B82,summaryref2!O82,IF(AK95=summaryref2!B96,summaryref2!O96,IF(AK95=summaryref2!B110,summaryref2!O110,IF(AK95=summaryref2!B124,summaryref2!O124,IF(AK95=summaryref2!B138,summaryref2!O138,"")))))))))))</f>
        <v/>
      </c>
      <c r="AZ95" s="1092" t="str">
        <f>IF('A-80 DirEntInv'!AZ94&lt;&gt;"",'A-80 DirEntInv'!AZ94,IF(AK95=summaryref2!B12,summaryref2!P12,IF(Summary!AK95=summaryref2!B26,summaryref2!P26,IF(AK95=summaryref2!B40,summaryref2!P40,IF(AK95=summaryref2!B54,summaryref2!P54,IF(AK95=summaryref2!B68,summaryref2!P68,IF(AK95=summaryref2!B82,summaryref2!P82,IF(AK95=summaryref2!B96,summaryref2!P96,IF(AK95=summaryref2!B110,summaryref2!P110,IF(AK95=summaryref2!B124,summaryref2!P124,IF(AK95=summaryref2!B138,summaryref2!P138,"")))))))))))</f>
        <v/>
      </c>
      <c r="BA95" s="1092" t="str">
        <f>IF('A-80 DirEntInv'!BA94&lt;&gt;"",'A-80 DirEntInv'!BA94,IF(AK95=summaryref2!B12,summaryref2!Q12,IF(Summary!AK95=summaryref2!B26,summaryref2!Q26,IF(AK95=summaryref2!B40,summaryref2!Q40,IF(AK95=summaryref2!B54,summaryref2!Q54,IF(AK95=summaryref2!B68,summaryref2!Q68,IF(AK95=summaryref2!B82,summaryref2!Q82,IF(AK95=summaryref2!B96,summaryref2!Q96,IF(AK95=summaryref2!B110,summaryref2!Q110,IF(AK95=summaryref2!B124,summaryref2!Q124,IF(AK95=summaryref2!B138,summaryref2!Q138,"")))))))))))</f>
        <v/>
      </c>
      <c r="BB95" s="1092" t="str">
        <f>IF('A-80 DirEntInv'!BB94&lt;&gt;"",'A-80 DirEntInv'!BB94,IF(AK95=summaryref2!B12,summaryref2!R12,IF(Summary!AK95=summaryref2!B26,summaryref2!R26,IF(AK95=summaryref2!B40,summaryref2!R40,IF(AK95=summaryref2!B54,summaryref2!R54,IF(AK95=summaryref2!B68,summaryref2!R68,IF(AK95=summaryref2!B82,summaryref2!R82,IF(AK95=summaryref2!B96,summaryref2!R96,IF(AK95=summaryref2!B110,summaryref2!R110,IF(AK95=summaryref2!B124,summaryref2!R124,IF(AK95=summaryref2!B138,summaryref2!R138,"")))))))))))</f>
        <v/>
      </c>
      <c r="BC95" s="1092" t="str">
        <f>IF('A-80 DirEntInv'!BC94&lt;&gt;0,'A-80 DirEntInv'!BC94,IF(AK95=summaryref2!B12,summaryref2!S12,IF(Summary!AK95=summaryref2!B26,summaryref2!S26,IF(AK95=summaryref2!B40,summaryref2!S40,IF(AK95=summaryref2!B54,summaryref2!S54,IF(AK95=summaryref2!B68,summaryref2!S68,IF(AK95=summaryref2!B82,summaryref2!S82,IF(AK95=summaryref2!B96,summaryref2!S96,IF(AK95=summaryref2!B110,summaryref2!S110,IF(AK95=summaryref2!B124,summaryref2!S124,IF(AK95=summaryref2!B138,summaryref2!S138,"")))))))))))</f>
        <v/>
      </c>
      <c r="BD95" s="1093" t="str">
        <f>IF('A-80 DirEntInv'!BD94&lt;&gt;"",'A-80 DirEntInv'!BD94,IF(AK95=summaryref2!B12,summaryref2!T12,IF(Summary!AK95=summaryref2!B26,summaryref2!T26,IF(AK95=summaryref2!B40,summaryref2!T40,IF(AK95=summaryref2!B54,summaryref2!T54,IF(AK95=summaryref2!B68,summaryref2!T68,IF(AK95=summaryref2!B82,summaryref2!T82,IF(AK95=summaryref2!B96,summaryref2!T96,IF(AK95=summaryref2!B110,summaryref2!T110,IF(AK95=summaryref2!B124,summaryref2!T124,IF(AK95=summaryref2!B138,summaryref2!T138,"")))))))))))</f>
        <v/>
      </c>
      <c r="BE95" s="1189" t="str">
        <f>IF('A-80 DirEntInv'!BE94&lt;&gt;"",'A-80 DirEntInv'!BE94,IF(AK95=summaryref2!B12,summaryref2!U12,IF(Summary!AK95=summaryref2!B26,summaryref2!U26,IF(AK95=summaryref2!B40,summaryref2!U40,IF(AK95=summaryref2!B54,summaryref2!U54,IF(AK95=summaryref2!B68,summaryref2!U68,IF(AK95=summaryref2!B82,summaryref2!U82,IF(AK95=summaryref2!B96,summaryref2!U96,IF(AK95=summaryref2!B110,summaryref2!U110,IF(AK95=summaryref2!B124,summaryref2!U124,IF(AK95=summaryref2!B138,summaryref2!U138,"")))))))))))</f>
        <v/>
      </c>
      <c r="BF95" s="1431"/>
      <c r="BG95" s="1431"/>
      <c r="BJ95" s="1043" t="str">
        <f>Codes!$C$168</f>
        <v>MG - Monorail/Automated Guideway (PT)</v>
      </c>
      <c r="BK95" s="1303" t="str">
        <f>Valid!$B$80</f>
        <v>Tangent</v>
      </c>
      <c r="BL95" s="1366" t="str">
        <f>IF('A-80 DirEntInv'!BL94&lt;&gt;"",'A-80 DirEntInv'!BL94,IF(BJ95=summaryref2!X12,summaryref2!Z12,IF(BJ95=summaryref2!X19,summaryref2!Z19,IF(BJ95=summaryref2!X26,summaryref2!Z26,IF(BJ95=summaryref2!X33,summaryref2!Z33,IF(BJ95=summaryref2!X40,summaryref2!Z40,IF(BJ95=summaryref2!X47,summaryref2!Z47,IF(BJ95=summaryref2!X54,summaryref2!Z54,IF(BJ95=summaryref2!X61,summaryref2!Z61,IF(BJ95=summaryref2!X68,summaryref2!Z68,IF(BJ95=summaryref2!X75,summaryref2!Z75,"")))))))))))</f>
        <v/>
      </c>
      <c r="BM95" s="1303" t="str">
        <f>VLOOKUP(BK95,Valid!$B$80:$C$86,2,FALSE)</f>
        <v>Track Feet</v>
      </c>
      <c r="BN95" s="1208" t="str">
        <f>IF('A-80 DirEntInv'!BN94&lt;&gt;"",'A-80 DirEntInv'!BN94,IF(BJ95=summaryref2!X12,summaryref2!AB12,IF(BJ95=summaryref2!X19,summaryref2!AB19,IF(BJ95=summaryref2!X26,summaryref2!AB26,IF(BJ95=summaryref2!X33,summaryref2!AB33,IF(BJ95=summaryref2!X40,summaryref2!AB40,IF(BJ95=summaryref2!X47,summaryref2!AB47,IF(BJ95=summaryref2!X54,summaryref2!AB54,IF(BJ95=summaryref2!X61,summaryref2!AB61,IF(BJ95=summaryref2!X68,summaryref2!AB68,IF(BJ95=summaryref2!X75,summaryref2!AB75,"")))))))))))</f>
        <v/>
      </c>
      <c r="BO95" s="1112" t="str">
        <f>IF('A-80 DirEntInv'!BO94&lt;&gt;"",'A-80 DirEntInv'!BO94,IF(BJ95=summaryref2!X12,summaryref2!AC12,IF(BJ95=summaryref2!X19,summaryref2!AC19,IF(BJ95=summaryref2!X26,summaryref2!AC26,IF(BJ95=summaryref2!X33,summaryref2!AC33,IF(BJ95=summaryref2!X40,summaryref2!AC40,IF(BJ95=summaryref2!X47,summaryref2!AC47,IF(BJ95=summaryref2!X54,summaryref2!AC54,IF(BJ95=summaryref2!X61,summaryref2!AC61,IF(BJ95=summaryref2!X68,summaryref2!AC68,IF(BJ95=summaryref2!X75,summaryref2!AC75,"")))))))))))</f>
        <v/>
      </c>
      <c r="BP95" s="1320" t="str">
        <f>IF('A-80 DirEntInv'!BP94&lt;&gt;"",'A-80 DirEntInv'!BP94,IF(BJ95=summaryref2!X12,summaryref2!AD12,IF(BJ95=summaryref2!X19,summaryref2!AD19,IF(BJ95=summaryref2!X26,summaryref2!AD26,IF(BJ95=summaryref2!X33,summaryref2!AD33,IF(BJ95=summaryref2!X40,summaryref2!AD40,IF(BJ95=summaryref2!X47,summaryref2!AD47,IF(BJ95=summaryref2!X54,summaryref2!AD54,IF(BJ95=summaryref2!X61,summaryref2!AD61,IF(BJ95=summaryref2!X68,summaryref2!AD68,IF(BJ95=summaryref2!X75,summaryref2!AD75,"")))))))))))</f>
        <v/>
      </c>
      <c r="BS95" s="1472" t="str">
        <f ca="1">IF('A-80 DirEntInv'!BU94&lt;&gt;"",'A-80 DirEntInv'!BU94,IF(INDIRECT(ADDRESS(SumRef!DK101,SumRef!DK$16,,,SumRef!$E$6))="","",INDIRECT(ADDRESS(SumRef!DK101,SumRef!DK$16,,,SumRef!$E$6))))</f>
        <v/>
      </c>
      <c r="BT95" s="1458" t="str">
        <f ca="1">IF('A-80 DirEntInv'!BV94&lt;&gt;"",'A-80 DirEntInv'!BV94,IF(INDIRECT(ADDRESS(SumRef!DL101,SumRef!DL$16,,,SumRef!$E$6))="","",INDIRECT(ADDRESS(SumRef!DL101,SumRef!DL$16,,,SumRef!$E$6))))</f>
        <v/>
      </c>
      <c r="BU95" s="1177" t="str">
        <f ca="1">IF('A-80 DirEntInv'!BW94&lt;&gt;"",'A-80 DirEntInv'!BW94,IF(INDIRECT(ADDRESS(SumRef!DM101,SumRef!DM$16,,,SumRef!$E$6))="","",INDIRECT(ADDRESS(SumRef!DM101,SumRef!DM$16,,,SumRef!$E$6))))</f>
        <v/>
      </c>
      <c r="BV95" s="1460" t="str">
        <f ca="1">IF('A-80 DirEntInv'!BX94&lt;&gt;"",'A-80 DirEntInv'!BX94,IF(INDIRECT(ADDRESS(SumRef!DN101,SumRef!DN$16,,,SumRef!$E$6))="","",INDIRECT(ADDRESS(SumRef!DN101,SumRef!DN$16,,,SumRef!$E$6))))</f>
        <v/>
      </c>
      <c r="BW95" s="1460" t="str">
        <f ca="1">IF('A-80 DirEntInv'!BY94&lt;&gt;"",'A-80 DirEntInv'!BY94,IF(INDIRECT(ADDRESS(SumRef!DO101,SumRef!DO$16,,,SumRef!$E$6))="","",INDIRECT(ADDRESS(SumRef!DO101,SumRef!DO$16,,,SumRef!$E$6))))</f>
        <v/>
      </c>
      <c r="BX95" s="1116" t="str">
        <f ca="1">IF('A-80 DirEntInv'!BZ94&lt;&gt;"",'A-80 DirEntInv'!BZ94,IF(INDIRECT(ADDRESS(SumRef!DP101,SumRef!DP$16,,,SumRef!$E$6))="","",INDIRECT(ADDRESS(SumRef!DP101,SumRef!DP$16,,,SumRef!$E$6))))</f>
        <v/>
      </c>
      <c r="BY95" s="1461" t="str">
        <f ca="1">IF('A-80 DirEntInv'!CA94&lt;&gt;"",'A-80 DirEntInv'!CA94,IF(INDIRECT(ADDRESS(SumRef!DQ101,SumRef!DQ$16,,,SumRef!$E$6))="","",INDIRECT(ADDRESS(SumRef!DQ101,SumRef!DQ$16,,,SumRef!$E$6))))</f>
        <v/>
      </c>
      <c r="BZ95" s="1460" t="str">
        <f ca="1">IF('A-80 DirEntInv'!CB94&lt;&gt;"",'A-80 DirEntInv'!CB94,IF(INDIRECT(ADDRESS(SumRef!DR101,SumRef!DR$16,,,SumRef!$E$6))="","",INDIRECT(ADDRESS(SumRef!DR101,SumRef!DR$16,,,SumRef!$E$6))))</f>
        <v/>
      </c>
      <c r="CA95" s="1462" t="str">
        <f ca="1">IF('A-80 DirEntInv'!CC94&lt;&gt;"",'A-80 DirEntInv'!CC94,IF(INDIRECT(ADDRESS(SumRef!DS101,SumRef!DS$16,,,SumRef!$E$6))="","",INDIRECT(ADDRESS(SumRef!DS101,SumRef!DS$16,,,SumRef!$E$6))))</f>
        <v/>
      </c>
      <c r="CD95" s="1160" t="str">
        <f ca="1">IF('A-80 DirEntInv'!CF94&lt;&gt;"",'A-80 DirEntInv'!CF94,IF(INDIRECT(ADDRESS(SumRef!DV101,SumRef!DV$16,,,SumRef!$E$7))="","",INDIRECT(ADDRESS(SumRef!DV101,SumRef!DV$16,,,SumRef!$E$7))))</f>
        <v/>
      </c>
      <c r="CE95" s="1167" t="str">
        <f ca="1">IF('A-80 DirEntInv'!CG94&lt;&gt;"",'A-80 DirEntInv'!CG94,IF(INDIRECT(ADDRESS(SumRef!DW101,SumRef!DW$16,,,SumRef!$E$7))="","",INDIRECT(ADDRESS(SumRef!DW101,SumRef!DW$16,,,SumRef!$E$7))))</f>
        <v/>
      </c>
      <c r="CF95" s="1167" t="str">
        <f ca="1">IF('A-80 DirEntInv'!CH94&lt;&gt;"",'A-80 DirEntInv'!CH94,IF(INDIRECT(ADDRESS(SumRef!DX101,SumRef!DX$16,,,SumRef!$E$7))="","",INDIRECT(ADDRESS(SumRef!DX101,SumRef!DX$16,,,SumRef!$E$7))))</f>
        <v/>
      </c>
      <c r="CG95" s="1167" t="str">
        <f ca="1">IF('A-80 DirEntInv'!CI94&lt;&gt;"",'A-80 DirEntInv'!CI94,IF(INDIRECT(ADDRESS(SumRef!DY101,SumRef!DY$16,,,SumRef!$E$7))="","",INDIRECT(ADDRESS(SumRef!DY101,SumRef!DY$16,,,SumRef!$E$7))))</f>
        <v/>
      </c>
      <c r="CH95" s="1167" t="str">
        <f ca="1">IF('A-80 DirEntInv'!CJ94&lt;&gt;"",'A-80 DirEntInv'!CJ94,IF(INDIRECT(ADDRESS(SumRef!DZ101,SumRef!DZ$16,,,SumRef!$E$7))="","",INDIRECT(ADDRESS(SumRef!DZ101,SumRef!DZ$16,,,SumRef!$E$7))))</f>
        <v/>
      </c>
      <c r="CI95" s="1167" t="str">
        <f ca="1">IF('A-80 DirEntInv'!CK94&lt;&gt;"",'A-80 DirEntInv'!CK94,IF(INDIRECT(ADDRESS(SumRef!EA101,SumRef!EA$16,,,SumRef!$E$7))="","",INDIRECT(ADDRESS(SumRef!EA101,SumRef!EA$16,,,SumRef!$E$7))))</f>
        <v/>
      </c>
      <c r="CJ95" s="1114" t="str">
        <f ca="1">IF('A-80 DirEntInv'!CL94&lt;&gt;"",'A-80 DirEntInv'!CL94,IF(INDIRECT(ADDRESS(SumRef!EB101,SumRef!EB$16,,,SumRef!$E$7))="","",INDIRECT(ADDRESS(SumRef!EB101,SumRef!EB$16,,,SumRef!$E$7))))</f>
        <v/>
      </c>
      <c r="CK95" s="1114" t="str">
        <f ca="1">IF('A-80 DirEntInv'!CM94&lt;&gt;"",'A-80 DirEntInv'!CM94,IF(INDIRECT(ADDRESS(SumRef!EC101,SumRef!EC$16,,,SumRef!$E$7))="","",INDIRECT(ADDRESS(SumRef!EC101,SumRef!EC$16,,,SumRef!$E$7))))</f>
        <v/>
      </c>
      <c r="CL95" s="1113" t="str">
        <f ca="1">IF('A-80 DirEntInv'!CO94&lt;&gt;"",'A-80 DirEntInv'!CO94,IF(INDIRECT(ADDRESS(SumRef!ED101,SumRef!ED$16,,,SumRef!$E$7))="","",INDIRECT(ADDRESS(SumRef!ED101,SumRef!ED$16,,,SumRef!$E$7))))</f>
        <v/>
      </c>
      <c r="CM95" s="1114" t="str">
        <f ca="1">IF('A-80 DirEntInv'!CP94&lt;&gt;"",'A-80 DirEntInv'!CP94,IF(INDIRECT(ADDRESS(SumRef!EE101,SumRef!EE$16,,,SumRef!$E$7))="","",INDIRECT(ADDRESS(SumRef!EE101,SumRef!EE$16,,,SumRef!$E$7))))</f>
        <v/>
      </c>
      <c r="CN95" s="1114" t="str">
        <f ca="1">IF('A-80 DirEntInv'!CQ94&lt;&gt;"",'A-80 DirEntInv'!CQ94,IF(INDIRECT(ADDRESS(SumRef!EF101,SumRef!EF$16,,,SumRef!$E$7))="","",INDIRECT(ADDRESS(SumRef!EF101,SumRef!EF$16,,,SumRef!$E$7))))</f>
        <v/>
      </c>
      <c r="CO95" s="1113" t="str">
        <f ca="1">IF('A-80 DirEntInv'!CR94&lt;&gt;"",'A-80 DirEntInv'!CR94,IF(INDIRECT(ADDRESS(SumRef!EG101,SumRef!EG$16,,,SumRef!$E$7))="","",INDIRECT(ADDRESS(SumRef!EG101,SumRef!EG$16,,,SumRef!$E$7))))</f>
        <v/>
      </c>
      <c r="CP95" s="1114" t="str">
        <f ca="1">IF('A-80 DirEntInv'!CS94&lt;&gt;"",'A-80 DirEntInv'!CS94,IF(INDIRECT(ADDRESS(SumRef!EH101,SumRef!EH$16,,,SumRef!$E$7))="","",INDIRECT(ADDRESS(SumRef!EH101,SumRef!EH$16,,,SumRef!$E$7))))</f>
        <v/>
      </c>
      <c r="CQ95" s="1346" t="str">
        <f ca="1">IF('A-80 DirEntInv'!CT94&lt;&gt;"",'A-80 DirEntInv'!CT94,IF(INDIRECT(ADDRESS(SumRef!EI101,SumRef!EI$16,,,SumRef!$E$7))="","",INDIRECT(ADDRESS(SumRef!EI101,SumRef!EI$16,,,SumRef!$E$7))))</f>
        <v/>
      </c>
      <c r="CR95" s="1113" t="str">
        <f ca="1">IF('A-80 DirEntInv'!CU94&lt;&gt;"",'A-80 DirEntInv'!CU94,IF(INDIRECT(ADDRESS(SumRef!EJ101,SumRef!EJ$16,,,SumRef!$E$7))="","",INDIRECT(ADDRESS(SumRef!EJ101,SumRef!EJ$16,,,SumRef!$E$7))))</f>
        <v/>
      </c>
      <c r="CS95" s="1346" t="str">
        <f ca="1">IF('A-80 DirEntInv'!CV94&lt;&gt;"",'A-80 DirEntInv'!CV94,IF(INDIRECT(ADDRESS(SumRef!EM101,SumRef!EM$16,,,SumRef!$E$7))="","",INDIRECT(ADDRESS(SumRef!EM101,SumRef!EM$16,,,SumRef!$E$7))))</f>
        <v/>
      </c>
      <c r="CT95" s="1113" t="str">
        <f ca="1">IF('A-80 DirEntInv'!CW94&lt;&gt;"",'A-80 DirEntInv'!CW94,IF(INDIRECT(ADDRESS(SumRef!EN101,SumRef!EN$16,,,SumRef!$E$7))="","",INDIRECT(ADDRESS(SumRef!EN101,SumRef!EN$16,,,SumRef!$E$7))))</f>
        <v/>
      </c>
      <c r="CU95" s="1113" t="str">
        <f ca="1">IF('A-80 DirEntInv'!CX94&lt;&gt;"",'A-80 DirEntInv'!CX94,IF(INDIRECT(ADDRESS(SumRef!EO101,SumRef!EO$16,,,SumRef!$E$7))="","",INDIRECT(ADDRESS(SumRef!EO101,SumRef!EO$16,,,SumRef!$E$7))))</f>
        <v/>
      </c>
      <c r="CV95" s="1113" t="str">
        <f ca="1">IF('A-80 DirEntInv'!CY94&lt;&gt;"",'A-80 DirEntInv'!CY94,IF(INDIRECT(ADDRESS(SumRef!EP101,SumRef!EP$16,,,SumRef!$E$7))="","",INDIRECT(ADDRESS(SumRef!EP101,SumRef!EP$16,,,SumRef!$E$7))))</f>
        <v/>
      </c>
      <c r="CW95" s="1114" t="str">
        <f ca="1">IF('A-80 DirEntInv'!CZ94&lt;&gt;"",'A-80 DirEntInv'!CZ94,IF(INDIRECT(ADDRESS(SumRef!ES101,SumRef!ES$16,,,SumRef!$E$7))="","",INDIRECT(ADDRESS(SumRef!ES101,SumRef!ES$16,,,SumRef!$E$7))))</f>
        <v/>
      </c>
      <c r="CX95" s="1167" t="str">
        <f ca="1">IF('A-80 DirEntInv'!DA94&lt;&gt;"",'A-80 DirEntInv'!DA94,IF(INDIRECT(ADDRESS(SumRef!ET101,SumRef!ET$16,,,SumRef!$E$7))="","",INDIRECT(ADDRESS(SumRef!ET101,SumRef!ET$16,,,SumRef!$E$7))))</f>
        <v/>
      </c>
      <c r="CY95" s="1167" t="str">
        <f ca="1">IF('A-80 DirEntInv'!DB94&lt;&gt;"",'A-80 DirEntInv'!DB94,IF(INDIRECT(ADDRESS(SumRef!EU101,SumRef!EU$16,,,SumRef!$E$7))="","",INDIRECT(ADDRESS(SumRef!EU101,SumRef!EU$16,,,SumRef!$E$7))))</f>
        <v/>
      </c>
      <c r="CZ95" s="1167" t="b">
        <f ca="1">IF('A-80 DirEntInv'!DC94&lt;&gt;"",'A-80 DirEntInv'!DC94,IF(INDIRECT(ADDRESS(SumRef!EV101,SumRef!EV$16,,,SumRef!$E$7))="","",INDIRECT(ADDRESS(SumRef!EV101,SumRef!EV$16,,,SumRef!$E$7))))</f>
        <v>0</v>
      </c>
      <c r="DA95" s="1373" t="str">
        <f ca="1">IF('A-80 DirEntInv'!DD94&lt;&gt;"",'A-80 DirEntInv'!DD94,IF(INDIRECT(ADDRESS(SumRef!EW101,SumRef!EW$16,,,SumRef!$E$7))="","",INDIRECT(ADDRESS(SumRef!EW101,SumRef!EW$16,,,SumRef!$E$7))))</f>
        <v/>
      </c>
      <c r="DB95" s="1373" t="b">
        <f ca="1">IF('A-80 DirEntInv'!DE94&lt;&gt;"",'A-80 DirEntInv'!DE94,IF(INDIRECT(ADDRESS(SumRef!EX101,SumRef!EX$16,,,SumRef!$E$7))="","",INDIRECT(ADDRESS(SumRef!EX101,SumRef!EX$16,,,SumRef!$E$7))))</f>
        <v>0</v>
      </c>
      <c r="DC95" s="1114" t="b">
        <f ca="1">IF('A-80 DirEntInv'!DF94&lt;&gt;"",'A-80 DirEntInv'!DF94,IF(INDIRECT(ADDRESS(SumRef!EY101,SumRef!EY$16,,,SumRef!$E$7))="","",INDIRECT(ADDRESS(SumRef!EY101,SumRef!EY$16,,,SumRef!$E$7))))</f>
        <v>0</v>
      </c>
      <c r="DD95" s="1115" t="str">
        <f ca="1">IF('A-80 DirEntInv'!DG94&lt;&gt;"",'A-80 DirEntInv'!DG94,IF(INDIRECT(ADDRESS(SumRef!EZ101,SumRef!EZ$16,,,SumRef!$E$7))="","",INDIRECT(ADDRESS(SumRef!EZ101,SumRef!EZ$16,,,SumRef!$E$7))))</f>
        <v/>
      </c>
    </row>
    <row r="96" spans="1:108" s="588" customFormat="1" ht="13.5" thickBot="1" x14ac:dyDescent="0.25">
      <c r="A96" s="589">
        <f t="shared" si="1"/>
        <v>86</v>
      </c>
      <c r="B96" s="1155" t="str">
        <f ca="1">IF('A-80 DirEntInv'!B95&lt;&gt;"",'A-80 DirEntInv'!B95,IF(INDIRECT(ADDRESS(SumRef!AQ102,SumRef!AQ$16,,,SumRef!$B$7))="","",INDIRECT(ADDRESS(SumRef!AQ102,SumRef!AQ$16,,,SumRef!$B$7))))</f>
        <v/>
      </c>
      <c r="C96" s="1097" t="str">
        <f ca="1">IF('A-80 DirEntInv'!C95&lt;&gt;"",'A-80 DirEntInv'!C95,IF(INDIRECT(ADDRESS(SumRef!AR102,SumRef!AR$16,,,SumRef!$B$7))="","",INDIRECT(ADDRESS(SumRef!AR102,SumRef!AR$16,,,SumRef!$B$7))))</f>
        <v/>
      </c>
      <c r="D96" s="1097" t="str">
        <f ca="1">IF('A-80 DirEntInv'!D95&lt;&gt;"",'A-80 DirEntInv'!D95,IF(INDIRECT(ADDRESS(SumRef!AS102,SumRef!AS$16,,,SumRef!$B$7))="","",INDIRECT(ADDRESS(SumRef!AS102,SumRef!AS$16,,,SumRef!$B$7))))</f>
        <v/>
      </c>
      <c r="E96" s="1097" t="str">
        <f ca="1">IF('A-80 DirEntInv'!E95&lt;&gt;"",'A-80 DirEntInv'!E95,IF(INDIRECT(ADDRESS(SumRef!AT102,SumRef!AT$16,,,SumRef!$B$7))="","",INDIRECT(ADDRESS(SumRef!AT102,SumRef!AT$16,,,SumRef!$B$7))))</f>
        <v/>
      </c>
      <c r="F96" s="1097" t="str">
        <f ca="1">IF('A-80 DirEntInv'!F95&lt;&gt;"",'A-80 DirEntInv'!F95,IF(INDIRECT(ADDRESS(SumRef!AU102,SumRef!AU$16,,,SumRef!$B$7))="","",INDIRECT(ADDRESS(SumRef!AU102,SumRef!AU$16,,,SumRef!$B$7))))</f>
        <v/>
      </c>
      <c r="G96" s="1158" t="str">
        <f ca="1">IF('A-80 DirEntInv'!G95&lt;&gt;"",'A-80 DirEntInv'!G95,IF(INDIRECT(ADDRESS(SumRef!AV102,SumRef!AV$16,,,SumRef!$B$7))="","",INDIRECT(ADDRESS(SumRef!AV102,SumRef!AV$16,,,SumRef!$B$7))))</f>
        <v/>
      </c>
      <c r="H96" s="1097" t="str">
        <f ca="1">IF('A-80 DirEntInv'!H95&lt;&gt;"",'A-80 DirEntInv'!H95,IF(INDIRECT(ADDRESS(SumRef!AW102,SumRef!AW$16,,,SumRef!$B$7))="","",INDIRECT(ADDRESS(SumRef!AW102,SumRef!AW$16,,,SumRef!$B$7))))</f>
        <v/>
      </c>
      <c r="I96" s="1097" t="str">
        <f ca="1">IF('A-80 DirEntInv'!I95&lt;&gt;"",'A-80 DirEntInv'!I95,IF(INDIRECT(ADDRESS(SumRef!AX102,SumRef!AX$16,,,SumRef!$B$7))="","",INDIRECT(ADDRESS(SumRef!AX102,SumRef!AX$16,,,SumRef!$B$7))))</f>
        <v/>
      </c>
      <c r="J96" s="1098" t="str">
        <f ca="1">IF('A-80 DirEntInv'!J95&lt;&gt;"",'A-80 DirEntInv'!J95,IF(INDIRECT(ADDRESS(SumRef!AY102,SumRef!AY$16,,,SumRef!$B$7))="","",INDIRECT(ADDRESS(SumRef!AY102,SumRef!AY$16,,,SumRef!$B$7))))</f>
        <v/>
      </c>
      <c r="K96" s="1099" t="str">
        <f ca="1">IF('A-80 DirEntInv'!K95&lt;&gt;"",'A-80 DirEntInv'!K95,IF(INDIRECT(ADDRESS(SumRef!AZ102,SumRef!AZ$16,,,SumRef!$B$7))="","",INDIRECT(ADDRESS(SumRef!AZ102,SumRef!AZ$16,,,SumRef!$B$7))))</f>
        <v/>
      </c>
      <c r="L96" s="1100" t="str">
        <f ca="1">IF('A-80 DirEntInv'!L95&lt;&gt;"",'A-80 DirEntInv'!L95,IF(INDIRECT(ADDRESS(SumRef!BA102,SumRef!BA$16,,,SumRef!$B$7))="","",INDIRECT(ADDRESS(SumRef!BA102,SumRef!BA$16,,,SumRef!$B$7))))</f>
        <v/>
      </c>
      <c r="M96" s="1101" t="str">
        <f ca="1">IF('A-80 DirEntInv'!M95&lt;&gt;"",'A-80 DirEntInv'!M95,IF(INDIRECT(ADDRESS(SumRef!BB102,SumRef!BB$16,,,SumRef!$B$7))="","",INDIRECT(ADDRESS(SumRef!BB102,SumRef!BB$16,,,SumRef!$B$7))))</f>
        <v/>
      </c>
      <c r="N96" s="1098" t="str">
        <f ca="1">IF('A-80 DirEntInv'!N95&lt;&gt;"",'A-80 DirEntInv'!N95,IF(INDIRECT(ADDRESS(SumRef!BC102,SumRef!BC$16,,,SumRef!$B$7))="","",INDIRECT(ADDRESS(SumRef!BC102,SumRef!BC$16,,,SumRef!$B$7))))</f>
        <v/>
      </c>
      <c r="O96" s="1102" t="str">
        <f ca="1">IF('A-80 DirEntInv'!O95&lt;&gt;"",'A-80 DirEntInv'!O95,IF(INDIRECT(ADDRESS(SumRef!BD102,SumRef!BD$16,,,SumRef!$B$7))="","",INDIRECT(ADDRESS(SumRef!BD102,SumRef!BD$16,,,SumRef!$B$7))))</f>
        <v/>
      </c>
      <c r="Q96" s="589"/>
      <c r="R96" s="1103" t="str">
        <f ca="1">IF('A-80 DirEntInv'!R95&lt;&gt;"",'A-80 DirEntInv'!R95,IF(INDIRECT(ADDRESS(SumRef!BH102,SumRef!BH$16,,,SumRef!$B$8))="","",INDIRECT(ADDRESS(SumRef!BH102,SumRef!BH$16,,,SumRef!$B$8))))</f>
        <v/>
      </c>
      <c r="S96" s="1104" t="str">
        <f ca="1">IF('A-80 DirEntInv'!S95&lt;&gt;"",'A-80 DirEntInv'!S95,IF(INDIRECT(ADDRESS(SumRef!BI102,SumRef!BI$16,,,SumRef!$B$8))="","",INDIRECT(ADDRESS(SumRef!BI102,SumRef!BI$16,,,SumRef!$B$8))))</f>
        <v/>
      </c>
      <c r="T96" s="1104" t="str">
        <f ca="1">IF('A-80 DirEntInv'!T95&lt;&gt;"",'A-80 DirEntInv'!T95,IF(INDIRECT(ADDRESS(SumRef!BJ102,SumRef!BJ$16,,,SumRef!$B$8))="","",INDIRECT(ADDRESS(SumRef!BJ102,SumRef!BJ$16,,,SumRef!$B$8))))</f>
        <v/>
      </c>
      <c r="U96" s="1104" t="str">
        <f ca="1">IF('A-80 DirEntInv'!U95&lt;&gt;"",'A-80 DirEntInv'!U95,IF(INDIRECT(ADDRESS(SumRef!BK102,SumRef!BK$16,,,SumRef!$B$8))="","",INDIRECT(ADDRESS(SumRef!BK102,SumRef!BK$16,,,SumRef!$B$8))))</f>
        <v/>
      </c>
      <c r="V96" s="1104" t="str">
        <f ca="1">IF('A-80 DirEntInv'!V95&lt;&gt;"",'A-80 DirEntInv'!V95,IF(INDIRECT(ADDRESS(SumRef!BL102,SumRef!BL$16,,,SumRef!$B$8))="","",INDIRECT(ADDRESS(SumRef!BL102,SumRef!BL$16,,,SumRef!$B$8))))</f>
        <v/>
      </c>
      <c r="W96" s="1354" t="str">
        <f ca="1">IF('A-80 DirEntInv'!W95&lt;&gt;"",'A-80 DirEntInv'!W95,IF(INDIRECT(ADDRESS(SumRef!BM102,SumRef!BM$16,,,SumRef!$B$8))="","",INDIRECT(ADDRESS(SumRef!BM102,SumRef!BM$16,,,SumRef!$B$8))))</f>
        <v/>
      </c>
      <c r="X96" s="1203" t="str">
        <f ca="1">IF('A-80 DirEntInv'!X95&lt;&gt;"",'A-80 DirEntInv'!X95,IF(INDIRECT(ADDRESS(SumRef!BN102,SumRef!BN$16,,,SumRef!$B$8))="","",INDIRECT(ADDRESS(SumRef!BN102,SumRef!BN$16,,,SumRef!$B$8))))</f>
        <v/>
      </c>
      <c r="Y96" s="1203" t="str">
        <f ca="1">IF('A-80 DirEntInv'!Y95&lt;&gt;"",'A-80 DirEntInv'!Y95,IF(INDIRECT(ADDRESS(SumRef!BO102,SumRef!BO$16,,,SumRef!$B$8))="","",INDIRECT(ADDRESS(SumRef!BO102,SumRef!BO$16,,,SumRef!$B$8))))</f>
        <v/>
      </c>
      <c r="Z96" s="1104" t="str">
        <f ca="1">IF('A-80 DirEntInv'!Z95&lt;&gt;"",'A-80 DirEntInv'!Z95,IF(INDIRECT(ADDRESS(SumRef!BP102,SumRef!BP$16,,,SumRef!$B$8))="","",INDIRECT(ADDRESS(SumRef!BP102,SumRef!BP$16,,,SumRef!$B$8))))</f>
        <v/>
      </c>
      <c r="AA96" s="1104" t="str">
        <f ca="1">IF('A-80 DirEntInv'!AA95&lt;&gt;"",'A-80 DirEntInv'!AA95,IF(INDIRECT(ADDRESS(SumRef!BQ102,SumRef!BQ$16,,,SumRef!$B$8))="","",INDIRECT(ADDRESS(SumRef!BQ102,SumRef!BQ$16,,,SumRef!$B$8))))</f>
        <v/>
      </c>
      <c r="AB96" s="1106" t="str">
        <f ca="1">IF('A-80 DirEntInv'!AB95&lt;&gt;"",'A-80 DirEntInv'!AB95,IF(INDIRECT(ADDRESS(SumRef!BR102,SumRef!BR$16,,,SumRef!$B$8))="","",INDIRECT(ADDRESS(SumRef!BR102,SumRef!BR$16,,,SumRef!$B$8))))</f>
        <v/>
      </c>
      <c r="AC96" s="1107" t="str">
        <f ca="1">IF('A-80 DirEntInv'!AC95&lt;&gt;"",'A-80 DirEntInv'!AC95,IF(INDIRECT(ADDRESS(SumRef!BS102,SumRef!BS$16,,,SumRef!$B$8))="","",INDIRECT(ADDRESS(SumRef!BS102,SumRef!BS$16,,,SumRef!$B$8))))</f>
        <v/>
      </c>
      <c r="AD96" s="1349" t="str">
        <f ca="1">IF('A-80 DirEntInv'!AD95&lt;&gt;"",'A-80 DirEntInv'!AD95,IF(INDIRECT(ADDRESS(SumRef!BT102,SumRef!BT$16,,,SumRef!$B$8))="","",INDIRECT(ADDRESS(SumRef!BT102,SumRef!BT$16,,,SumRef!$B$8))))</f>
        <v/>
      </c>
      <c r="AE96" s="1137" t="str">
        <f ca="1">IF('A-80 DirEntInv'!AE95&lt;&gt;"",'A-80 DirEntInv'!AE95,IF(INDIRECT(ADDRESS(SumRef!BU102,SumRef!BU$16,,,SumRef!$B$8))="","",INDIRECT(ADDRESS(SumRef!BU102,SumRef!BU$16,,,SumRef!$B$8))))</f>
        <v/>
      </c>
      <c r="AF96" s="1346" t="str">
        <f ca="1">IF('A-80 DirEntInv'!AF95&lt;&gt;"",'A-80 DirEntInv'!AF95,IF(INDIRECT(ADDRESS(SumRef!BV102,SumRef!BV$16,,,SumRef!$B$8))="","",INDIRECT(ADDRESS(SumRef!BV102,SumRef!BV$16,,,SumRef!$B$8))))</f>
        <v/>
      </c>
      <c r="AG96" s="1105" t="str">
        <f ca="1">IF('A-80 DirEntInv'!AG95&lt;&gt;"",'A-80 DirEntInv'!AG95,IF(INDIRECT(ADDRESS(SumRef!BW102,SumRef!BW$16,,,SumRef!$B$8))="","",INDIRECT(ADDRESS(SumRef!BW102,SumRef!BW$16,,,SumRef!$B$8))))</f>
        <v/>
      </c>
      <c r="AH96" s="1357" t="str">
        <f ca="1">IF('A-80 DirEntInv'!AH95&lt;&gt;"",'A-80 DirEntInv'!AH95,IF(INDIRECT(ADDRESS(SumRef!BX102,SumRef!BX$16,,,SumRef!$B$8))="","",INDIRECT(ADDRESS(SumRef!BX102,SumRef!BX$16,,,SumRef!$B$8))))</f>
        <v/>
      </c>
      <c r="AK96" s="1041" t="str">
        <f>Codes!$C$162</f>
        <v>CR - Commuter Rail (PT)</v>
      </c>
      <c r="AL96" s="1042" t="str">
        <f>Valid!$B$72</f>
        <v>At-Grade/In-Street/Embedded</v>
      </c>
      <c r="AM96" s="1108" t="str">
        <f>IF('A-80 DirEntInv'!AM95&lt;&gt;"",'A-80 DirEntInv'!AM95,IF(AK96=summaryref2!B13,summaryref2!D13,IF(Summary!AK96=summaryref2!B27,summaryref2!D27,IF(AK96=summaryref2!B41,summaryref2!D41,IF(AK96=summaryref2!B55,summaryref2!D55,IF(AK96=summaryref2!B69,summaryref2!D69,IF(AK96=summaryref2!B83,summaryref2!D83,IF(AK96=summaryref2!B97,summaryref2!D97,IF(AK96=summaryref2!B111,summaryref2!D111,IF(AK96=summaryref2!B125,summaryref2!D125,IF(AK96=summaryref2!B139,summaryref2!D139,"")))))))))))</f>
        <v/>
      </c>
      <c r="AN96" s="1109" t="str">
        <f ca="1">IF('A-80 DirEntInv'!AN81&lt;&gt;"",'A-80 DirEntInv'!AN81,IF(INDIRECT(ADDRESS(SumRef!#REF!,SumRef!CG$16,,,SumRef!$C$7))="","",INDIRECT(ADDRESS(SumRef!#REF!,SumRef!CG$16,,,SumRef!$C$7))))</f>
        <v>Linear Feet</v>
      </c>
      <c r="AO96" s="1108" t="str">
        <f>IF('A-80 DirEntInv'!AO95&lt;&gt;"",'A-80 DirEntInv'!AO95,IF(AK96=summaryref2!B13,summaryref2!F13,IF(Summary!AK96=summaryref2!B27,summaryref2!F27,IF(AK96=summaryref2!B41,summaryref2!F41,IF(AK96=summaryref2!B55,summaryref2!F55,IF(AK96=summaryref2!B69,summaryref2!F69,IF(AK96=summaryref2!B83,summaryref2!F83,IF(AK96=summaryref2!B97,summaryref2!F97,IF(AK96=summaryref2!B111,summaryref2!F111,IF(AK96=summaryref2!B125,summaryref2!F125,IF(AK96=summaryref2!B139,summaryref2!F139,"")))))))))))</f>
        <v/>
      </c>
      <c r="AP96" s="1109" t="str">
        <f ca="1">IF('A-80 DirEntInv'!AP81&lt;&gt;"",'A-80 DirEntInv'!AP81,IF(INDIRECT(ADDRESS(SumRef!#REF!,SumRef!#REF!,,,SumRef!$C$7))="","",INDIRECT(ADDRESS(SumRef!#REF!,SumRef!#REF!,,,SumRef!$C$7))))</f>
        <v>Track Feet</v>
      </c>
      <c r="AQ96" s="1147" t="str">
        <f>IF('A-80 DirEntInv'!AQ95&lt;&gt;"",'A-80 DirEntInv'!AQ95,IF(AK96=summaryref2!B13,summaryref2!G13,IF(Summary!AK96=summaryref2!B27,summaryref2!G27,IF(AK96=summaryref2!B41,summaryref2!G41,IF(AK96=summaryref2!B55,summaryref2!G55,IF(AK96=summaryref2!B69,summaryref2!G69,IF(AK96=summaryref2!B83,summaryref2!G83,IF(AK96=summaryref2!B97,summaryref2!G97,IF(AK96=summaryref2!B111,summaryref2!G111,IF(AK96=summaryref2!B125,summaryref2!G125,IF(AK96=summaryref2!B139,summaryref2!G139,"")))))))))))</f>
        <v/>
      </c>
      <c r="AR96" s="1147" t="str">
        <f>IF('A-80 DirEntInv'!AR95&lt;&gt;"",'A-80 DirEntInv'!AR95,IF(AK96=summaryref2!B13,summaryref2!H13,IF(Summary!AK96=summaryref2!B27,summaryref2!H27,IF(AK96=summaryref2!B41,summaryref2!H41,IF(AK96=summaryref2!B55,summaryref2!H55,IF(AK96=summaryref2!B69,summaryref2!H69,IF(AK96=summaryref2!B83,summaryref2!H83,IF(AK96=summaryref2!B97,summaryref2!H97,IF(AK96=summaryref2!B111,summaryref2!H111,IF(AK96=summaryref2!B125,summaryref2!H125,IF(AK96=summaryref2!B139,summaryref2!H139,"")))))))))))</f>
        <v/>
      </c>
      <c r="AS96" s="1110" t="str">
        <f>IF('A-80 DirEntInv'!AS95&lt;&gt;"",'A-80 DirEntInv'!AS95,IF(AK96=summaryref2!B13,summaryref2!I13,IF(Summary!AK96=summaryref2!B27,summaryref2!I27,IF(AK96=summaryref2!B41,summaryref2!I41,IF(AK96=summaryref2!B55,summaryref2!I55,IF(AK96=summaryref2!B69,summaryref2!I69,IF(AK96=summaryref2!B83,summaryref2!I83,IF(AK96=summaryref2!B97,summaryref2!I97,IF(AK96=summaryref2!B111,summaryref2!I111,IF(AK96=summaryref2!B125,summaryref2!I125,IF(AK96=summaryref2!B139,summaryref2!I139,"")))))))))))</f>
        <v/>
      </c>
      <c r="AT96" s="1110" t="str">
        <f>IF('A-80 DirEntInv'!AT95&lt;&gt;"",'A-80 DirEntInv'!AT95,IF(AK96=summaryref2!B13,summaryref2!J13,IF(Summary!AK96=summaryref2!B27,summaryref2!J27,IF(AK96=summaryref2!B41,summaryref2!J41,IF(AK96=summaryref2!B55,summaryref2!J55,IF(AK96=summaryref2!B69,summaryref2!J69,IF(AK96=summaryref2!B83,summaryref2!J83,IF(AK96=summaryref2!B97,summaryref2!J97,IF(AK96=summaryref2!B111,summaryref2!J111,IF(AK96=summaryref2!B125,summaryref2!J125,IF(AK96=summaryref2!B139,summaryref2!J139,"")))))))))))</f>
        <v/>
      </c>
      <c r="AU96" s="1110" t="str">
        <f>IF('A-80 DirEntInv'!AU95&lt;&gt;"",'A-80 DirEntInv'!AU95,IF(AK96=summaryref2!B13,summaryref2!K13,IF(Summary!AK96=summaryref2!B27,summaryref2!K27,IF(AK96=summaryref2!B41,summaryref2!K41,IF(AK96=summaryref2!B55,summaryref2!K55,IF(AK96=summaryref2!B69,summaryref2!K69,IF(AK96=summaryref2!B83,summaryref2!K83,IF(AK96=summaryref2!B97,summaryref2!K97,IF(AK96=summaryref2!B111,summaryref2!K111,IF(AK96=summaryref2!B125,summaryref2!K125,IF(AK96=summaryref2!B139,summaryref2!K139,"")))))))))))</f>
        <v/>
      </c>
      <c r="AV96" s="1110" t="str">
        <f>IF('A-80 DirEntInv'!AV95&lt;&gt;"",'A-80 DirEntInv'!AV95,IF(AK96=summaryref2!B13,summaryref2!L13,IF(Summary!AK96=summaryref2!B27,summaryref2!L27,IF(AK96=summaryref2!B41,summaryref2!L41,IF(AK96=summaryref2!B55,summaryref2!L55,IF(AK96=summaryref2!B69,summaryref2!L69,IF(AK96=summaryref2!B83,summaryref2!L83,IF(AK96=summaryref2!B97,summaryref2!L97,IF(AK96=summaryref2!B111,summaryref2!L111,IF(AK96=summaryref2!B125,summaryref2!L125,IF(AK96=summaryref2!B139,summaryref2!L139,"")))))))))))</f>
        <v/>
      </c>
      <c r="AW96" s="1110" t="str">
        <f>IF('A-80 DirEntInv'!AW95&lt;&gt;"",'A-80 DirEntInv'!AW95,IF(AK96=summaryref2!B13,summaryref2!M13,IF(Summary!AK96=summaryref2!B27,summaryref2!M27,IF(AK96=summaryref2!B41,summaryref2!M41,IF(AK96=summaryref2!B55,summaryref2!M55,IF(AK96=summaryref2!B69,summaryref2!M69,IF(AK96=summaryref2!B83,summaryref2!M83,IF(AK96=summaryref2!B97,summaryref2!M97,IF(AK96=summaryref2!B111,summaryref2!M111,IF(AK96=summaryref2!B125,summaryref2!M125,IF(AK96=summaryref2!B139,summaryref2!M139,"")))))))))))</f>
        <v/>
      </c>
      <c r="AX96" s="1110" t="str">
        <f>IF('A-80 DirEntInv'!AX95&lt;&gt;"",'A-80 DirEntInv'!AX95,IF(AK96=summaryref2!B13,summaryref2!N13,IF(Summary!AK96=summaryref2!B27,summaryref2!N27,IF(AK96=summaryref2!B41,summaryref2!N41,IF(AK96=summaryref2!B55,summaryref2!N55,IF(AK96=summaryref2!B69,summaryref2!N69,IF(AK96=summaryref2!B83,summaryref2!N83,IF(AK96=summaryref2!B97,summaryref2!N97,IF(AK96=summaryref2!B111,summaryref2!N111,IF(AK96=summaryref2!B125,summaryref2!N125,IF(AK96=summaryref2!B139,summaryref2!N139,"")))))))))))</f>
        <v/>
      </c>
      <c r="AY96" s="1110" t="str">
        <f>IF('A-80 DirEntInv'!AY95&lt;&gt;"",'A-80 DirEntInv'!AY95,IF(AK96=summaryref2!B13,summaryref2!O13,IF(Summary!AK96=summaryref2!B27,summaryref2!O27,IF(AK96=summaryref2!B41,summaryref2!O41,IF(AK96=summaryref2!B55,summaryref2!O55,IF(AK96=summaryref2!B69,summaryref2!O69,IF(AK96=summaryref2!B83,summaryref2!O83,IF(AK96=summaryref2!B97,summaryref2!O97,IF(AK96=summaryref2!B111,summaryref2!O111,IF(AK96=summaryref2!B125,summaryref2!O125,IF(AK96=summaryref2!B139,summaryref2!O139,"")))))))))))</f>
        <v/>
      </c>
      <c r="AZ96" s="1110" t="str">
        <f>IF('A-80 DirEntInv'!AZ95&lt;&gt;"",'A-80 DirEntInv'!AZ95,IF(AK96=summaryref2!B13,summaryref2!P13,IF(Summary!AK96=summaryref2!B27,summaryref2!P27,IF(AK96=summaryref2!B41,summaryref2!P41,IF(AK96=summaryref2!B55,summaryref2!P55,IF(AK96=summaryref2!B69,summaryref2!P69,IF(AK96=summaryref2!B83,summaryref2!P83,IF(AK96=summaryref2!B97,summaryref2!P97,IF(AK96=summaryref2!B111,summaryref2!P111,IF(AK96=summaryref2!B125,summaryref2!P125,IF(AK96=summaryref2!B139,summaryref2!P139,"")))))))))))</f>
        <v/>
      </c>
      <c r="BA96" s="1110" t="str">
        <f>IF('A-80 DirEntInv'!BA95&lt;&gt;"",'A-80 DirEntInv'!BA95,IF(AK96=summaryref2!B13,summaryref2!Q13,IF(Summary!AK96=summaryref2!B27,summaryref2!Q27,IF(AK96=summaryref2!B41,summaryref2!Q41,IF(AK96=summaryref2!B55,summaryref2!Q55,IF(AK96=summaryref2!B69,summaryref2!Q69,IF(AK96=summaryref2!B83,summaryref2!Q83,IF(AK96=summaryref2!B97,summaryref2!Q97,IF(AK96=summaryref2!B111,summaryref2!Q111,IF(AK96=summaryref2!B125,summaryref2!Q125,IF(AK96=summaryref2!B139,summaryref2!Q139,"")))))))))))</f>
        <v/>
      </c>
      <c r="BB96" s="1110" t="str">
        <f>IF('A-80 DirEntInv'!BB95&lt;&gt;"",'A-80 DirEntInv'!BB95,IF(AK96=summaryref2!B13,summaryref2!R13,IF(Summary!AK96=summaryref2!B27,summaryref2!R27,IF(AK96=summaryref2!B41,summaryref2!R41,IF(AK96=summaryref2!B55,summaryref2!R55,IF(AK96=summaryref2!B69,summaryref2!R69,IF(AK96=summaryref2!B83,summaryref2!R83,IF(AK96=summaryref2!B97,summaryref2!R97,IF(AK96=summaryref2!B111,summaryref2!R111,IF(AK96=summaryref2!B125,summaryref2!R125,IF(AK96=summaryref2!B139,summaryref2!R139,"")))))))))))</f>
        <v/>
      </c>
      <c r="BC96" s="1110" t="str">
        <f>IF('A-80 DirEntInv'!BC95&lt;&gt;0,'A-80 DirEntInv'!BC95,IF(AK96=summaryref2!B13,summaryref2!S13,IF(Summary!AK96=summaryref2!B27,summaryref2!S27,IF(AK96=summaryref2!B41,summaryref2!S41,IF(AK96=summaryref2!B55,summaryref2!S55,IF(AK96=summaryref2!B69,summaryref2!S69,IF(AK96=summaryref2!B83,summaryref2!S83,IF(AK96=summaryref2!B97,summaryref2!S97,IF(AK96=summaryref2!B111,summaryref2!S111,IF(AK96=summaryref2!B125,summaryref2!S125,IF(AK96=summaryref2!B139,summaryref2!S139,"")))))))))))</f>
        <v/>
      </c>
      <c r="BD96" s="1111" t="str">
        <f>IF('A-80 DirEntInv'!BD95&lt;&gt;"",'A-80 DirEntInv'!BD95,IF(AK96=summaryref2!B13,summaryref2!T13,IF(Summary!AK96=summaryref2!B27,summaryref2!T27,IF(AK96=summaryref2!B41,summaryref2!T41,IF(AK96=summaryref2!B55,summaryref2!T55,IF(AK96=summaryref2!B69,summaryref2!T69,IF(AK96=summaryref2!B83,summaryref2!T83,IF(AK96=summaryref2!B97,summaryref2!T97,IF(AK96=summaryref2!B111,summaryref2!T111,IF(AK96=summaryref2!B125,summaryref2!T125,IF(AK96=summaryref2!B139,summaryref2!T139,"")))))))))))</f>
        <v/>
      </c>
      <c r="BE96" s="1184" t="str">
        <f>IF('A-80 DirEntInv'!BE95&lt;&gt;"",'A-80 DirEntInv'!BE95,IF(AK96=summaryref2!B13,summaryref2!U13,IF(Summary!AK96=summaryref2!B27,summaryref2!U27,IF(AK96=summaryref2!B41,summaryref2!U41,IF(AK96=summaryref2!B55,summaryref2!U55,IF(AK96=summaryref2!B69,summaryref2!U69,IF(AK96=summaryref2!B83,summaryref2!U83,IF(AK96=summaryref2!B97,summaryref2!U97,IF(AK96=summaryref2!B111,summaryref2!U111,IF(AK96=summaryref2!B125,summaryref2!U125,IF(AK96=summaryref2!B139,summaryref2!U139,"")))))))))))</f>
        <v/>
      </c>
      <c r="BF96" s="1432"/>
      <c r="BG96" s="1432"/>
      <c r="BJ96" s="1048" t="str">
        <f>Codes!$C$168</f>
        <v>MG - Monorail/Automated Guideway (PT)</v>
      </c>
      <c r="BK96" s="1049" t="str">
        <f>Valid!$B$81</f>
        <v>Curve</v>
      </c>
      <c r="BL96" s="1367" t="str">
        <f>IF('A-80 DirEntInv'!BL95&lt;&gt;"",'A-80 DirEntInv'!BL95,IF(BJ96=summaryref2!X13,summaryref2!Z13,IF(BJ96=summaryref2!X20,summaryref2!Z20,IF(BJ96=summaryref2!X27,summaryref2!Z27,IF(BJ96=summaryref2!X34,summaryref2!Z34,IF(BJ96=summaryref2!X41,summaryref2!Z41,IF(BJ96=summaryref2!X48,summaryref2!Z48,IF(BJ96=summaryref2!X55,summaryref2!Z55,IF(BJ96=summaryref2!X62,summaryref2!Z62,IF(BJ96=summaryref2!X69,summaryref2!Z69,IF(BJ96=summaryref2!X76,summaryref2!Z76,"")))))))))))</f>
        <v/>
      </c>
      <c r="BM96" s="1049" t="str">
        <f>VLOOKUP(BK96,Valid!$B$80:$C$86,2,FALSE)</f>
        <v>Track Feet</v>
      </c>
      <c r="BN96" s="1324" t="str">
        <f>IF('A-80 DirEntInv'!BN95&lt;&gt;"",'A-80 DirEntInv'!BN95,IF(BJ96=summaryref2!X13,summaryref2!AB13,IF(BJ96=summaryref2!X20,summaryref2!AB20,IF(BJ96=summaryref2!X27,summaryref2!AB27,IF(BJ96=summaryref2!X34,summaryref2!AB34,IF(BJ96=summaryref2!X41,summaryref2!AB41,IF(BJ96=summaryref2!X48,summaryref2!AB48,IF(BJ96=summaryref2!X55,summaryref2!AB55,IF(BJ96=summaryref2!X62,summaryref2!AB62,IF(BJ96=summaryref2!X69,summaryref2!AB69,IF(BJ96=summaryref2!X76,summaryref2!AB76,"")))))))))))</f>
        <v/>
      </c>
      <c r="BO96" s="1326" t="str">
        <f>IF('A-80 DirEntInv'!BO95&lt;&gt;"",'A-80 DirEntInv'!BO95,IF(BJ96=summaryref2!X13,summaryref2!AC13,IF(BJ96=summaryref2!X20,summaryref2!AC20,IF(BJ96=summaryref2!X27,summaryref2!AC27,IF(BJ96=summaryref2!X34,summaryref2!AC34,IF(BJ96=summaryref2!X41,summaryref2!AC41,IF(BJ96=summaryref2!X48,summaryref2!AC48,IF(BJ96=summaryref2!X55,summaryref2!AC55,IF(BJ96=summaryref2!X62,summaryref2!AC62,IF(BJ96=summaryref2!X69,summaryref2!AC69,IF(BJ96=summaryref2!X76,summaryref2!AC76,"")))))))))))</f>
        <v/>
      </c>
      <c r="BP96" s="1323" t="str">
        <f>IF('A-80 DirEntInv'!BP95&lt;&gt;"",'A-80 DirEntInv'!BP95,IF(BJ96=summaryref2!X13,summaryref2!AD13,IF(BJ96=summaryref2!X20,summaryref2!AD20,IF(BJ96=summaryref2!X27,summaryref2!AD27,IF(BJ96=summaryref2!X34,summaryref2!AD34,IF(BJ96=summaryref2!X41,summaryref2!AD41,IF(BJ96=summaryref2!X48,summaryref2!AD48,IF(BJ96=summaryref2!X55,summaryref2!AD55,IF(BJ96=summaryref2!X62,summaryref2!AD62,IF(BJ96=summaryref2!X69,summaryref2!AD69,IF(BJ96=summaryref2!X76,summaryref2!AD76,"")))))))))))</f>
        <v/>
      </c>
      <c r="BS96" s="1472" t="str">
        <f ca="1">IF('A-80 DirEntInv'!BU95&lt;&gt;"",'A-80 DirEntInv'!BU95,IF(INDIRECT(ADDRESS(SumRef!DK102,SumRef!DK$16,,,SumRef!$E$6))="","",INDIRECT(ADDRESS(SumRef!DK102,SumRef!DK$16,,,SumRef!$E$6))))</f>
        <v/>
      </c>
      <c r="BT96" s="1458" t="str">
        <f ca="1">IF('A-80 DirEntInv'!BV95&lt;&gt;"",'A-80 DirEntInv'!BV95,IF(INDIRECT(ADDRESS(SumRef!DL102,SumRef!DL$16,,,SumRef!$E$6))="","",INDIRECT(ADDRESS(SumRef!DL102,SumRef!DL$16,,,SumRef!$E$6))))</f>
        <v/>
      </c>
      <c r="BU96" s="1177" t="str">
        <f ca="1">IF('A-80 DirEntInv'!BW95&lt;&gt;"",'A-80 DirEntInv'!BW95,IF(INDIRECT(ADDRESS(SumRef!DM102,SumRef!DM$16,,,SumRef!$E$6))="","",INDIRECT(ADDRESS(SumRef!DM102,SumRef!DM$16,,,SumRef!$E$6))))</f>
        <v/>
      </c>
      <c r="BV96" s="1460" t="str">
        <f ca="1">IF('A-80 DirEntInv'!BX95&lt;&gt;"",'A-80 DirEntInv'!BX95,IF(INDIRECT(ADDRESS(SumRef!DN102,SumRef!DN$16,,,SumRef!$E$6))="","",INDIRECT(ADDRESS(SumRef!DN102,SumRef!DN$16,,,SumRef!$E$6))))</f>
        <v/>
      </c>
      <c r="BW96" s="1460" t="str">
        <f ca="1">IF('A-80 DirEntInv'!BY95&lt;&gt;"",'A-80 DirEntInv'!BY95,IF(INDIRECT(ADDRESS(SumRef!DO102,SumRef!DO$16,,,SumRef!$E$6))="","",INDIRECT(ADDRESS(SumRef!DO102,SumRef!DO$16,,,SumRef!$E$6))))</f>
        <v/>
      </c>
      <c r="BX96" s="1116" t="str">
        <f ca="1">IF('A-80 DirEntInv'!BZ95&lt;&gt;"",'A-80 DirEntInv'!BZ95,IF(INDIRECT(ADDRESS(SumRef!DP102,SumRef!DP$16,,,SumRef!$E$6))="","",INDIRECT(ADDRESS(SumRef!DP102,SumRef!DP$16,,,SumRef!$E$6))))</f>
        <v/>
      </c>
      <c r="BY96" s="1461" t="str">
        <f ca="1">IF('A-80 DirEntInv'!CA95&lt;&gt;"",'A-80 DirEntInv'!CA95,IF(INDIRECT(ADDRESS(SumRef!DQ102,SumRef!DQ$16,,,SumRef!$E$6))="","",INDIRECT(ADDRESS(SumRef!DQ102,SumRef!DQ$16,,,SumRef!$E$6))))</f>
        <v/>
      </c>
      <c r="BZ96" s="1460" t="str">
        <f ca="1">IF('A-80 DirEntInv'!CB95&lt;&gt;"",'A-80 DirEntInv'!CB95,IF(INDIRECT(ADDRESS(SumRef!DR102,SumRef!DR$16,,,SumRef!$E$6))="","",INDIRECT(ADDRESS(SumRef!DR102,SumRef!DR$16,,,SumRef!$E$6))))</f>
        <v/>
      </c>
      <c r="CA96" s="1462" t="str">
        <f ca="1">IF('A-80 DirEntInv'!CC95&lt;&gt;"",'A-80 DirEntInv'!CC95,IF(INDIRECT(ADDRESS(SumRef!DS102,SumRef!DS$16,,,SumRef!$E$6))="","",INDIRECT(ADDRESS(SumRef!DS102,SumRef!DS$16,,,SumRef!$E$6))))</f>
        <v/>
      </c>
      <c r="CD96" s="1160" t="str">
        <f ca="1">IF('A-80 DirEntInv'!CF95&lt;&gt;"",'A-80 DirEntInv'!CF95,IF(INDIRECT(ADDRESS(SumRef!DV102,SumRef!DV$16,,,SumRef!$E$7))="","",INDIRECT(ADDRESS(SumRef!DV102,SumRef!DV$16,,,SumRef!$E$7))))</f>
        <v/>
      </c>
      <c r="CE96" s="1167" t="str">
        <f ca="1">IF('A-80 DirEntInv'!CG95&lt;&gt;"",'A-80 DirEntInv'!CG95,IF(INDIRECT(ADDRESS(SumRef!DW102,SumRef!DW$16,,,SumRef!$E$7))="","",INDIRECT(ADDRESS(SumRef!DW102,SumRef!DW$16,,,SumRef!$E$7))))</f>
        <v/>
      </c>
      <c r="CF96" s="1167" t="str">
        <f ca="1">IF('A-80 DirEntInv'!CH95&lt;&gt;"",'A-80 DirEntInv'!CH95,IF(INDIRECT(ADDRESS(SumRef!DX102,SumRef!DX$16,,,SumRef!$E$7))="","",INDIRECT(ADDRESS(SumRef!DX102,SumRef!DX$16,,,SumRef!$E$7))))</f>
        <v/>
      </c>
      <c r="CG96" s="1167" t="str">
        <f ca="1">IF('A-80 DirEntInv'!CI95&lt;&gt;"",'A-80 DirEntInv'!CI95,IF(INDIRECT(ADDRESS(SumRef!DY102,SumRef!DY$16,,,SumRef!$E$7))="","",INDIRECT(ADDRESS(SumRef!DY102,SumRef!DY$16,,,SumRef!$E$7))))</f>
        <v/>
      </c>
      <c r="CH96" s="1167" t="str">
        <f ca="1">IF('A-80 DirEntInv'!CJ95&lt;&gt;"",'A-80 DirEntInv'!CJ95,IF(INDIRECT(ADDRESS(SumRef!DZ102,SumRef!DZ$16,,,SumRef!$E$7))="","",INDIRECT(ADDRESS(SumRef!DZ102,SumRef!DZ$16,,,SumRef!$E$7))))</f>
        <v/>
      </c>
      <c r="CI96" s="1167" t="str">
        <f ca="1">IF('A-80 DirEntInv'!CK95&lt;&gt;"",'A-80 DirEntInv'!CK95,IF(INDIRECT(ADDRESS(SumRef!EA102,SumRef!EA$16,,,SumRef!$E$7))="","",INDIRECT(ADDRESS(SumRef!EA102,SumRef!EA$16,,,SumRef!$E$7))))</f>
        <v/>
      </c>
      <c r="CJ96" s="1114" t="str">
        <f ca="1">IF('A-80 DirEntInv'!CL95&lt;&gt;"",'A-80 DirEntInv'!CL95,IF(INDIRECT(ADDRESS(SumRef!EB102,SumRef!EB$16,,,SumRef!$E$7))="","",INDIRECT(ADDRESS(SumRef!EB102,SumRef!EB$16,,,SumRef!$E$7))))</f>
        <v/>
      </c>
      <c r="CK96" s="1114" t="str">
        <f ca="1">IF('A-80 DirEntInv'!CM95&lt;&gt;"",'A-80 DirEntInv'!CM95,IF(INDIRECT(ADDRESS(SumRef!EC102,SumRef!EC$16,,,SumRef!$E$7))="","",INDIRECT(ADDRESS(SumRef!EC102,SumRef!EC$16,,,SumRef!$E$7))))</f>
        <v/>
      </c>
      <c r="CL96" s="1113" t="str">
        <f ca="1">IF('A-80 DirEntInv'!CO95&lt;&gt;"",'A-80 DirEntInv'!CO95,IF(INDIRECT(ADDRESS(SumRef!ED102,SumRef!ED$16,,,SumRef!$E$7))="","",INDIRECT(ADDRESS(SumRef!ED102,SumRef!ED$16,,,SumRef!$E$7))))</f>
        <v/>
      </c>
      <c r="CM96" s="1114" t="str">
        <f ca="1">IF('A-80 DirEntInv'!CP95&lt;&gt;"",'A-80 DirEntInv'!CP95,IF(INDIRECT(ADDRESS(SumRef!EE102,SumRef!EE$16,,,SumRef!$E$7))="","",INDIRECT(ADDRESS(SumRef!EE102,SumRef!EE$16,,,SumRef!$E$7))))</f>
        <v/>
      </c>
      <c r="CN96" s="1114" t="str">
        <f ca="1">IF('A-80 DirEntInv'!CQ95&lt;&gt;"",'A-80 DirEntInv'!CQ95,IF(INDIRECT(ADDRESS(SumRef!EF102,SumRef!EF$16,,,SumRef!$E$7))="","",INDIRECT(ADDRESS(SumRef!EF102,SumRef!EF$16,,,SumRef!$E$7))))</f>
        <v/>
      </c>
      <c r="CO96" s="1113" t="str">
        <f ca="1">IF('A-80 DirEntInv'!CR95&lt;&gt;"",'A-80 DirEntInv'!CR95,IF(INDIRECT(ADDRESS(SumRef!EG102,SumRef!EG$16,,,SumRef!$E$7))="","",INDIRECT(ADDRESS(SumRef!EG102,SumRef!EG$16,,,SumRef!$E$7))))</f>
        <v/>
      </c>
      <c r="CP96" s="1114" t="str">
        <f ca="1">IF('A-80 DirEntInv'!CS95&lt;&gt;"",'A-80 DirEntInv'!CS95,IF(INDIRECT(ADDRESS(SumRef!EH102,SumRef!EH$16,,,SumRef!$E$7))="","",INDIRECT(ADDRESS(SumRef!EH102,SumRef!EH$16,,,SumRef!$E$7))))</f>
        <v/>
      </c>
      <c r="CQ96" s="1346" t="str">
        <f ca="1">IF('A-80 DirEntInv'!CT95&lt;&gt;"",'A-80 DirEntInv'!CT95,IF(INDIRECT(ADDRESS(SumRef!EI102,SumRef!EI$16,,,SumRef!$E$7))="","",INDIRECT(ADDRESS(SumRef!EI102,SumRef!EI$16,,,SumRef!$E$7))))</f>
        <v/>
      </c>
      <c r="CR96" s="1113" t="str">
        <f ca="1">IF('A-80 DirEntInv'!CU95&lt;&gt;"",'A-80 DirEntInv'!CU95,IF(INDIRECT(ADDRESS(SumRef!EJ102,SumRef!EJ$16,,,SumRef!$E$7))="","",INDIRECT(ADDRESS(SumRef!EJ102,SumRef!EJ$16,,,SumRef!$E$7))))</f>
        <v/>
      </c>
      <c r="CS96" s="1346" t="str">
        <f ca="1">IF('A-80 DirEntInv'!CV95&lt;&gt;"",'A-80 DirEntInv'!CV95,IF(INDIRECT(ADDRESS(SumRef!EM102,SumRef!EM$16,,,SumRef!$E$7))="","",INDIRECT(ADDRESS(SumRef!EM102,SumRef!EM$16,,,SumRef!$E$7))))</f>
        <v/>
      </c>
      <c r="CT96" s="1113" t="str">
        <f ca="1">IF('A-80 DirEntInv'!CW95&lt;&gt;"",'A-80 DirEntInv'!CW95,IF(INDIRECT(ADDRESS(SumRef!EN102,SumRef!EN$16,,,SumRef!$E$7))="","",INDIRECT(ADDRESS(SumRef!EN102,SumRef!EN$16,,,SumRef!$E$7))))</f>
        <v/>
      </c>
      <c r="CU96" s="1113" t="str">
        <f ca="1">IF('A-80 DirEntInv'!CX95&lt;&gt;"",'A-80 DirEntInv'!CX95,IF(INDIRECT(ADDRESS(SumRef!EO102,SumRef!EO$16,,,SumRef!$E$7))="","",INDIRECT(ADDRESS(SumRef!EO102,SumRef!EO$16,,,SumRef!$E$7))))</f>
        <v/>
      </c>
      <c r="CV96" s="1113" t="str">
        <f ca="1">IF('A-80 DirEntInv'!CY95&lt;&gt;"",'A-80 DirEntInv'!CY95,IF(INDIRECT(ADDRESS(SumRef!EP102,SumRef!EP$16,,,SumRef!$E$7))="","",INDIRECT(ADDRESS(SumRef!EP102,SumRef!EP$16,,,SumRef!$E$7))))</f>
        <v/>
      </c>
      <c r="CW96" s="1114" t="str">
        <f ca="1">IF('A-80 DirEntInv'!CZ95&lt;&gt;"",'A-80 DirEntInv'!CZ95,IF(INDIRECT(ADDRESS(SumRef!ES102,SumRef!ES$16,,,SumRef!$E$7))="","",INDIRECT(ADDRESS(SumRef!ES102,SumRef!ES$16,,,SumRef!$E$7))))</f>
        <v/>
      </c>
      <c r="CX96" s="1167" t="str">
        <f ca="1">IF('A-80 DirEntInv'!DA95&lt;&gt;"",'A-80 DirEntInv'!DA95,IF(INDIRECT(ADDRESS(SumRef!ET102,SumRef!ET$16,,,SumRef!$E$7))="","",INDIRECT(ADDRESS(SumRef!ET102,SumRef!ET$16,,,SumRef!$E$7))))</f>
        <v/>
      </c>
      <c r="CY96" s="1167" t="str">
        <f ca="1">IF('A-80 DirEntInv'!DB95&lt;&gt;"",'A-80 DirEntInv'!DB95,IF(INDIRECT(ADDRESS(SumRef!EU102,SumRef!EU$16,,,SumRef!$E$7))="","",INDIRECT(ADDRESS(SumRef!EU102,SumRef!EU$16,,,SumRef!$E$7))))</f>
        <v/>
      </c>
      <c r="CZ96" s="1167" t="b">
        <f ca="1">IF('A-80 DirEntInv'!DC95&lt;&gt;"",'A-80 DirEntInv'!DC95,IF(INDIRECT(ADDRESS(SumRef!EV102,SumRef!EV$16,,,SumRef!$E$7))="","",INDIRECT(ADDRESS(SumRef!EV102,SumRef!EV$16,,,SumRef!$E$7))))</f>
        <v>0</v>
      </c>
      <c r="DA96" s="1373" t="str">
        <f ca="1">IF('A-80 DirEntInv'!DD95&lt;&gt;"",'A-80 DirEntInv'!DD95,IF(INDIRECT(ADDRESS(SumRef!EW102,SumRef!EW$16,,,SumRef!$E$7))="","",INDIRECT(ADDRESS(SumRef!EW102,SumRef!EW$16,,,SumRef!$E$7))))</f>
        <v/>
      </c>
      <c r="DB96" s="1373" t="b">
        <f ca="1">IF('A-80 DirEntInv'!DE95&lt;&gt;"",'A-80 DirEntInv'!DE95,IF(INDIRECT(ADDRESS(SumRef!EX102,SumRef!EX$16,,,SumRef!$E$7))="","",INDIRECT(ADDRESS(SumRef!EX102,SumRef!EX$16,,,SumRef!$E$7))))</f>
        <v>0</v>
      </c>
      <c r="DC96" s="1114" t="b">
        <f ca="1">IF('A-80 DirEntInv'!DF95&lt;&gt;"",'A-80 DirEntInv'!DF95,IF(INDIRECT(ADDRESS(SumRef!EY102,SumRef!EY$16,,,SumRef!$E$7))="","",INDIRECT(ADDRESS(SumRef!EY102,SumRef!EY$16,,,SumRef!$E$7))))</f>
        <v>0</v>
      </c>
      <c r="DD96" s="1115" t="str">
        <f ca="1">IF('A-80 DirEntInv'!DG95&lt;&gt;"",'A-80 DirEntInv'!DG95,IF(INDIRECT(ADDRESS(SumRef!EZ102,SumRef!EZ$16,,,SumRef!$E$7))="","",INDIRECT(ADDRESS(SumRef!EZ102,SumRef!EZ$16,,,SumRef!$E$7))))</f>
        <v/>
      </c>
    </row>
    <row r="97" spans="1:108" s="588" customFormat="1" ht="13.5" thickTop="1" x14ac:dyDescent="0.2">
      <c r="A97" s="589">
        <f t="shared" si="1"/>
        <v>87</v>
      </c>
      <c r="B97" s="1155" t="str">
        <f ca="1">IF('A-80 DirEntInv'!B96&lt;&gt;"",'A-80 DirEntInv'!B96,IF(INDIRECT(ADDRESS(SumRef!AQ103,SumRef!AQ$16,,,SumRef!$B$7))="","",INDIRECT(ADDRESS(SumRef!AQ103,SumRef!AQ$16,,,SumRef!$B$7))))</f>
        <v/>
      </c>
      <c r="C97" s="1097" t="str">
        <f ca="1">IF('A-80 DirEntInv'!C96&lt;&gt;"",'A-80 DirEntInv'!C96,IF(INDIRECT(ADDRESS(SumRef!AR103,SumRef!AR$16,,,SumRef!$B$7))="","",INDIRECT(ADDRESS(SumRef!AR103,SumRef!AR$16,,,SumRef!$B$7))))</f>
        <v/>
      </c>
      <c r="D97" s="1097" t="str">
        <f ca="1">IF('A-80 DirEntInv'!D96&lt;&gt;"",'A-80 DirEntInv'!D96,IF(INDIRECT(ADDRESS(SumRef!AS103,SumRef!AS$16,,,SumRef!$B$7))="","",INDIRECT(ADDRESS(SumRef!AS103,SumRef!AS$16,,,SumRef!$B$7))))</f>
        <v/>
      </c>
      <c r="E97" s="1097" t="str">
        <f ca="1">IF('A-80 DirEntInv'!E96&lt;&gt;"",'A-80 DirEntInv'!E96,IF(INDIRECT(ADDRESS(SumRef!AT103,SumRef!AT$16,,,SumRef!$B$7))="","",INDIRECT(ADDRESS(SumRef!AT103,SumRef!AT$16,,,SumRef!$B$7))))</f>
        <v/>
      </c>
      <c r="F97" s="1097" t="str">
        <f ca="1">IF('A-80 DirEntInv'!F96&lt;&gt;"",'A-80 DirEntInv'!F96,IF(INDIRECT(ADDRESS(SumRef!AU103,SumRef!AU$16,,,SumRef!$B$7))="","",INDIRECT(ADDRESS(SumRef!AU103,SumRef!AU$16,,,SumRef!$B$7))))</f>
        <v/>
      </c>
      <c r="G97" s="1158" t="str">
        <f ca="1">IF('A-80 DirEntInv'!G96&lt;&gt;"",'A-80 DirEntInv'!G96,IF(INDIRECT(ADDRESS(SumRef!AV103,SumRef!AV$16,,,SumRef!$B$7))="","",INDIRECT(ADDRESS(SumRef!AV103,SumRef!AV$16,,,SumRef!$B$7))))</f>
        <v/>
      </c>
      <c r="H97" s="1097" t="str">
        <f ca="1">IF('A-80 DirEntInv'!H96&lt;&gt;"",'A-80 DirEntInv'!H96,IF(INDIRECT(ADDRESS(SumRef!AW103,SumRef!AW$16,,,SumRef!$B$7))="","",INDIRECT(ADDRESS(SumRef!AW103,SumRef!AW$16,,,SumRef!$B$7))))</f>
        <v/>
      </c>
      <c r="I97" s="1097" t="str">
        <f ca="1">IF('A-80 DirEntInv'!I96&lt;&gt;"",'A-80 DirEntInv'!I96,IF(INDIRECT(ADDRESS(SumRef!AX103,SumRef!AX$16,,,SumRef!$B$7))="","",INDIRECT(ADDRESS(SumRef!AX103,SumRef!AX$16,,,SumRef!$B$7))))</f>
        <v/>
      </c>
      <c r="J97" s="1098" t="str">
        <f ca="1">IF('A-80 DirEntInv'!J96&lt;&gt;"",'A-80 DirEntInv'!J96,IF(INDIRECT(ADDRESS(SumRef!AY103,SumRef!AY$16,,,SumRef!$B$7))="","",INDIRECT(ADDRESS(SumRef!AY103,SumRef!AY$16,,,SumRef!$B$7))))</f>
        <v/>
      </c>
      <c r="K97" s="1099" t="str">
        <f ca="1">IF('A-80 DirEntInv'!K96&lt;&gt;"",'A-80 DirEntInv'!K96,IF(INDIRECT(ADDRESS(SumRef!AZ103,SumRef!AZ$16,,,SumRef!$B$7))="","",INDIRECT(ADDRESS(SumRef!AZ103,SumRef!AZ$16,,,SumRef!$B$7))))</f>
        <v/>
      </c>
      <c r="L97" s="1100" t="str">
        <f ca="1">IF('A-80 DirEntInv'!L96&lt;&gt;"",'A-80 DirEntInv'!L96,IF(INDIRECT(ADDRESS(SumRef!BA103,SumRef!BA$16,,,SumRef!$B$7))="","",INDIRECT(ADDRESS(SumRef!BA103,SumRef!BA$16,,,SumRef!$B$7))))</f>
        <v/>
      </c>
      <c r="M97" s="1101" t="str">
        <f ca="1">IF('A-80 DirEntInv'!M96&lt;&gt;"",'A-80 DirEntInv'!M96,IF(INDIRECT(ADDRESS(SumRef!BB103,SumRef!BB$16,,,SumRef!$B$7))="","",INDIRECT(ADDRESS(SumRef!BB103,SumRef!BB$16,,,SumRef!$B$7))))</f>
        <v/>
      </c>
      <c r="N97" s="1098" t="str">
        <f ca="1">IF('A-80 DirEntInv'!N96&lt;&gt;"",'A-80 DirEntInv'!N96,IF(INDIRECT(ADDRESS(SumRef!BC103,SumRef!BC$16,,,SumRef!$B$7))="","",INDIRECT(ADDRESS(SumRef!BC103,SumRef!BC$16,,,SumRef!$B$7))))</f>
        <v/>
      </c>
      <c r="O97" s="1102" t="str">
        <f ca="1">IF('A-80 DirEntInv'!O96&lt;&gt;"",'A-80 DirEntInv'!O96,IF(INDIRECT(ADDRESS(SumRef!BD103,SumRef!BD$16,,,SumRef!$B$7))="","",INDIRECT(ADDRESS(SumRef!BD103,SumRef!BD$16,,,SumRef!$B$7))))</f>
        <v/>
      </c>
      <c r="Q97" s="589"/>
      <c r="R97" s="1103" t="str">
        <f ca="1">IF('A-80 DirEntInv'!R96&lt;&gt;"",'A-80 DirEntInv'!R96,IF(INDIRECT(ADDRESS(SumRef!BH103,SumRef!BH$16,,,SumRef!$B$8))="","",INDIRECT(ADDRESS(SumRef!BH103,SumRef!BH$16,,,SumRef!$B$8))))</f>
        <v/>
      </c>
      <c r="S97" s="1104" t="str">
        <f ca="1">IF('A-80 DirEntInv'!S96&lt;&gt;"",'A-80 DirEntInv'!S96,IF(INDIRECT(ADDRESS(SumRef!BI103,SumRef!BI$16,,,SumRef!$B$8))="","",INDIRECT(ADDRESS(SumRef!BI103,SumRef!BI$16,,,SumRef!$B$8))))</f>
        <v/>
      </c>
      <c r="T97" s="1104" t="str">
        <f ca="1">IF('A-80 DirEntInv'!T96&lt;&gt;"",'A-80 DirEntInv'!T96,IF(INDIRECT(ADDRESS(SumRef!BJ103,SumRef!BJ$16,,,SumRef!$B$8))="","",INDIRECT(ADDRESS(SumRef!BJ103,SumRef!BJ$16,,,SumRef!$B$8))))</f>
        <v/>
      </c>
      <c r="U97" s="1104" t="str">
        <f ca="1">IF('A-80 DirEntInv'!U96&lt;&gt;"",'A-80 DirEntInv'!U96,IF(INDIRECT(ADDRESS(SumRef!BK103,SumRef!BK$16,,,SumRef!$B$8))="","",INDIRECT(ADDRESS(SumRef!BK103,SumRef!BK$16,,,SumRef!$B$8))))</f>
        <v/>
      </c>
      <c r="V97" s="1104" t="str">
        <f ca="1">IF('A-80 DirEntInv'!V96&lt;&gt;"",'A-80 DirEntInv'!V96,IF(INDIRECT(ADDRESS(SumRef!BL103,SumRef!BL$16,,,SumRef!$B$8))="","",INDIRECT(ADDRESS(SumRef!BL103,SumRef!BL$16,,,SumRef!$B$8))))</f>
        <v/>
      </c>
      <c r="W97" s="1354" t="str">
        <f ca="1">IF('A-80 DirEntInv'!W96&lt;&gt;"",'A-80 DirEntInv'!W96,IF(INDIRECT(ADDRESS(SumRef!BM103,SumRef!BM$16,,,SumRef!$B$8))="","",INDIRECT(ADDRESS(SumRef!BM103,SumRef!BM$16,,,SumRef!$B$8))))</f>
        <v/>
      </c>
      <c r="X97" s="1203" t="str">
        <f ca="1">IF('A-80 DirEntInv'!X96&lt;&gt;"",'A-80 DirEntInv'!X96,IF(INDIRECT(ADDRESS(SumRef!BN103,SumRef!BN$16,,,SumRef!$B$8))="","",INDIRECT(ADDRESS(SumRef!BN103,SumRef!BN$16,,,SumRef!$B$8))))</f>
        <v/>
      </c>
      <c r="Y97" s="1203" t="str">
        <f ca="1">IF('A-80 DirEntInv'!Y96&lt;&gt;"",'A-80 DirEntInv'!Y96,IF(INDIRECT(ADDRESS(SumRef!BO103,SumRef!BO$16,,,SumRef!$B$8))="","",INDIRECT(ADDRESS(SumRef!BO103,SumRef!BO$16,,,SumRef!$B$8))))</f>
        <v/>
      </c>
      <c r="Z97" s="1104" t="str">
        <f ca="1">IF('A-80 DirEntInv'!Z96&lt;&gt;"",'A-80 DirEntInv'!Z96,IF(INDIRECT(ADDRESS(SumRef!BP103,SumRef!BP$16,,,SumRef!$B$8))="","",INDIRECT(ADDRESS(SumRef!BP103,SumRef!BP$16,,,SumRef!$B$8))))</f>
        <v/>
      </c>
      <c r="AA97" s="1104" t="str">
        <f ca="1">IF('A-80 DirEntInv'!AA96&lt;&gt;"",'A-80 DirEntInv'!AA96,IF(INDIRECT(ADDRESS(SumRef!BQ103,SumRef!BQ$16,,,SumRef!$B$8))="","",INDIRECT(ADDRESS(SumRef!BQ103,SumRef!BQ$16,,,SumRef!$B$8))))</f>
        <v/>
      </c>
      <c r="AB97" s="1106" t="str">
        <f ca="1">IF('A-80 DirEntInv'!AB96&lt;&gt;"",'A-80 DirEntInv'!AB96,IF(INDIRECT(ADDRESS(SumRef!BR103,SumRef!BR$16,,,SumRef!$B$8))="","",INDIRECT(ADDRESS(SumRef!BR103,SumRef!BR$16,,,SumRef!$B$8))))</f>
        <v/>
      </c>
      <c r="AC97" s="1107" t="str">
        <f ca="1">IF('A-80 DirEntInv'!AC96&lt;&gt;"",'A-80 DirEntInv'!AC96,IF(INDIRECT(ADDRESS(SumRef!BS103,SumRef!BS$16,,,SumRef!$B$8))="","",INDIRECT(ADDRESS(SumRef!BS103,SumRef!BS$16,,,SumRef!$B$8))))</f>
        <v/>
      </c>
      <c r="AD97" s="1349" t="str">
        <f ca="1">IF('A-80 DirEntInv'!AD96&lt;&gt;"",'A-80 DirEntInv'!AD96,IF(INDIRECT(ADDRESS(SumRef!BT103,SumRef!BT$16,,,SumRef!$B$8))="","",INDIRECT(ADDRESS(SumRef!BT103,SumRef!BT$16,,,SumRef!$B$8))))</f>
        <v/>
      </c>
      <c r="AE97" s="1137" t="str">
        <f ca="1">IF('A-80 DirEntInv'!AE96&lt;&gt;"",'A-80 DirEntInv'!AE96,IF(INDIRECT(ADDRESS(SumRef!BU103,SumRef!BU$16,,,SumRef!$B$8))="","",INDIRECT(ADDRESS(SumRef!BU103,SumRef!BU$16,,,SumRef!$B$8))))</f>
        <v/>
      </c>
      <c r="AF97" s="1346" t="str">
        <f ca="1">IF('A-80 DirEntInv'!AF96&lt;&gt;"",'A-80 DirEntInv'!AF96,IF(INDIRECT(ADDRESS(SumRef!BV103,SumRef!BV$16,,,SumRef!$B$8))="","",INDIRECT(ADDRESS(SumRef!BV103,SumRef!BV$16,,,SumRef!$B$8))))</f>
        <v/>
      </c>
      <c r="AG97" s="1105" t="str">
        <f ca="1">IF('A-80 DirEntInv'!AG96&lt;&gt;"",'A-80 DirEntInv'!AG96,IF(INDIRECT(ADDRESS(SumRef!BW103,SumRef!BW$16,,,SumRef!$B$8))="","",INDIRECT(ADDRESS(SumRef!BW103,SumRef!BW$16,,,SumRef!$B$8))))</f>
        <v/>
      </c>
      <c r="AH97" s="1357" t="str">
        <f ca="1">IF('A-80 DirEntInv'!AH96&lt;&gt;"",'A-80 DirEntInv'!AH96,IF(INDIRECT(ADDRESS(SumRef!BX103,SumRef!BX$16,,,SumRef!$B$8))="","",INDIRECT(ADDRESS(SumRef!BX103,SumRef!BX$16,,,SumRef!$B$8))))</f>
        <v/>
      </c>
      <c r="AK97" s="1041" t="str">
        <f>Codes!$C$162</f>
        <v>CR - Commuter Rail (PT)</v>
      </c>
      <c r="AL97" s="1042" t="str">
        <f>Valid!$B$73</f>
        <v>Elevated/Retained Fill</v>
      </c>
      <c r="AM97" s="1108" t="str">
        <f>IF('A-80 DirEntInv'!AM96&lt;&gt;"",'A-80 DirEntInv'!AM96,IF(AK97=summaryref2!B14,summaryref2!D14,IF(Summary!AK97=summaryref2!B28,summaryref2!D28,IF(AK97=summaryref2!B42,summaryref2!D42,IF(AK97=summaryref2!B56,summaryref2!D56,IF(AK97=summaryref2!B70,summaryref2!D70,IF(AK97=summaryref2!B84,summaryref2!D84,IF(AK97=summaryref2!B98,summaryref2!D98,IF(AK97=summaryref2!B112,summaryref2!D112,IF(AK97=summaryref2!B126,summaryref2!D126,IF(AK97=summaryref2!B140,summaryref2!D140,"")))))))))))</f>
        <v/>
      </c>
      <c r="AN97" s="1109" t="str">
        <f ca="1">IF('A-80 DirEntInv'!AN82&lt;&gt;"",'A-80 DirEntInv'!AN82,IF(INDIRECT(ADDRESS(SumRef!#REF!,SumRef!CG$16,,,SumRef!$C$7))="","",INDIRECT(ADDRESS(SumRef!#REF!,SumRef!CG$16,,,SumRef!$C$7))))</f>
        <v>Linear Feet</v>
      </c>
      <c r="AO97" s="1108" t="str">
        <f>IF('A-80 DirEntInv'!AO96&lt;&gt;"",'A-80 DirEntInv'!AO96,IF(AK97=summaryref2!B14,summaryref2!F14,IF(Summary!AK97=summaryref2!B28,summaryref2!F28,IF(AK97=summaryref2!B42,summaryref2!F42,IF(AK97=summaryref2!B56,summaryref2!F56,IF(AK97=summaryref2!B70,summaryref2!F70,IF(AK97=summaryref2!B84,summaryref2!F84,IF(AK97=summaryref2!B98,summaryref2!F98,IF(AK97=summaryref2!B112,summaryref2!F112,IF(AK97=summaryref2!B126,summaryref2!F126,IF(AK97=summaryref2!B140,summaryref2!F140,"")))))))))))</f>
        <v/>
      </c>
      <c r="AP97" s="1109" t="str">
        <f ca="1">IF('A-80 DirEntInv'!AP82&lt;&gt;"",'A-80 DirEntInv'!AP82,IF(INDIRECT(ADDRESS(SumRef!#REF!,SumRef!#REF!,,,SumRef!$C$7))="","",INDIRECT(ADDRESS(SumRef!#REF!,SumRef!#REF!,,,SumRef!$C$7))))</f>
        <v>Track Feet</v>
      </c>
      <c r="AQ97" s="1147" t="str">
        <f>IF('A-80 DirEntInv'!AQ96&lt;&gt;"",'A-80 DirEntInv'!AQ96,IF(AK97=summaryref2!B14,summaryref2!G14,IF(Summary!AK97=summaryref2!B28,summaryref2!G28,IF(AK97=summaryref2!B42,summaryref2!G42,IF(AK97=summaryref2!B56,summaryref2!G56,IF(AK97=summaryref2!B70,summaryref2!G70,IF(AK97=summaryref2!B84,summaryref2!G84,IF(AK97=summaryref2!B98,summaryref2!G98,IF(AK97=summaryref2!B112,summaryref2!G112,IF(AK97=summaryref2!B126,summaryref2!G126,IF(AK97=summaryref2!B140,summaryref2!G140,"")))))))))))</f>
        <v/>
      </c>
      <c r="AR97" s="1147" t="str">
        <f>IF('A-80 DirEntInv'!AR96&lt;&gt;"",'A-80 DirEntInv'!AR96,IF(AK97=summaryref2!B14,summaryref2!H14,IF(Summary!AK97=summaryref2!B28,summaryref2!H28,IF(AK97=summaryref2!B42,summaryref2!H42,IF(AK97=summaryref2!B56,summaryref2!H56,IF(AK97=summaryref2!B70,summaryref2!H70,IF(AK97=summaryref2!B84,summaryref2!H84,IF(AK97=summaryref2!B98,summaryref2!H98,IF(AK97=summaryref2!B112,summaryref2!H112,IF(AK97=summaryref2!B126,summaryref2!H126,IF(AK97=summaryref2!B140,summaryref2!H140,"")))))))))))</f>
        <v/>
      </c>
      <c r="AS97" s="1110" t="str">
        <f>IF('A-80 DirEntInv'!AS96&lt;&gt;"",'A-80 DirEntInv'!AS96,IF(AK97=summaryref2!B14,summaryref2!I14,IF(Summary!AK97=summaryref2!B28,summaryref2!I28,IF(AK97=summaryref2!B42,summaryref2!I42,IF(AK97=summaryref2!B56,summaryref2!I56,IF(AK97=summaryref2!B70,summaryref2!I70,IF(AK97=summaryref2!B84,summaryref2!I84,IF(AK97=summaryref2!B98,summaryref2!I98,IF(AK97=summaryref2!B112,summaryref2!I112,IF(AK97=summaryref2!B126,summaryref2!I126,IF(AK97=summaryref2!B140,summaryref2!I140,"")))))))))))</f>
        <v/>
      </c>
      <c r="AT97" s="1110" t="str">
        <f>IF('A-80 DirEntInv'!AT96&lt;&gt;"",'A-80 DirEntInv'!AT96,IF(AK97=summaryref2!B14,summaryref2!J14,IF(Summary!AK97=summaryref2!B28,summaryref2!J28,IF(AK97=summaryref2!B42,summaryref2!J42,IF(AK97=summaryref2!B56,summaryref2!J56,IF(AK97=summaryref2!B70,summaryref2!J70,IF(AK97=summaryref2!B84,summaryref2!J84,IF(AK97=summaryref2!B98,summaryref2!J98,IF(AK97=summaryref2!B112,summaryref2!J112,IF(AK97=summaryref2!B126,summaryref2!J126,IF(AK97=summaryref2!B140,summaryref2!J140,"")))))))))))</f>
        <v/>
      </c>
      <c r="AU97" s="1110" t="str">
        <f>IF('A-80 DirEntInv'!AU96&lt;&gt;"",'A-80 DirEntInv'!AU96,IF(AK97=summaryref2!B14,summaryref2!K14,IF(Summary!AK97=summaryref2!B28,summaryref2!K28,IF(AK97=summaryref2!B42,summaryref2!K42,IF(AK97=summaryref2!B56,summaryref2!K56,IF(AK97=summaryref2!B70,summaryref2!K70,IF(AK97=summaryref2!B84,summaryref2!K84,IF(AK97=summaryref2!B98,summaryref2!K98,IF(AK97=summaryref2!B112,summaryref2!K112,IF(AK97=summaryref2!B126,summaryref2!K126,IF(AK97=summaryref2!B140,summaryref2!K140,"")))))))))))</f>
        <v/>
      </c>
      <c r="AV97" s="1110" t="str">
        <f>IF('A-80 DirEntInv'!AV96&lt;&gt;"",'A-80 DirEntInv'!AV96,IF(AK97=summaryref2!B14,summaryref2!L14,IF(Summary!AK97=summaryref2!B28,summaryref2!L28,IF(AK97=summaryref2!B42,summaryref2!L42,IF(AK97=summaryref2!B56,summaryref2!L56,IF(AK97=summaryref2!B70,summaryref2!L70,IF(AK97=summaryref2!B84,summaryref2!L84,IF(AK97=summaryref2!B98,summaryref2!L98,IF(AK97=summaryref2!B112,summaryref2!L112,IF(AK97=summaryref2!B126,summaryref2!L126,IF(AK97=summaryref2!B140,summaryref2!L140,"")))))))))))</f>
        <v/>
      </c>
      <c r="AW97" s="1110" t="str">
        <f>IF('A-80 DirEntInv'!AW96&lt;&gt;"",'A-80 DirEntInv'!AW96,IF(AK97=summaryref2!B14,summaryref2!M14,IF(Summary!AK97=summaryref2!B28,summaryref2!M28,IF(AK97=summaryref2!B42,summaryref2!M42,IF(AK97=summaryref2!B56,summaryref2!M56,IF(AK97=summaryref2!B70,summaryref2!M70,IF(AK97=summaryref2!B84,summaryref2!M84,IF(AK97=summaryref2!B98,summaryref2!M98,IF(AK97=summaryref2!B112,summaryref2!M112,IF(AK97=summaryref2!B126,summaryref2!M126,IF(AK97=summaryref2!B140,summaryref2!M140,"")))))))))))</f>
        <v/>
      </c>
      <c r="AX97" s="1110" t="str">
        <f>IF('A-80 DirEntInv'!AX96&lt;&gt;"",'A-80 DirEntInv'!AX96,IF(AK97=summaryref2!B14,summaryref2!N14,IF(Summary!AK97=summaryref2!B28,summaryref2!N28,IF(AK97=summaryref2!B42,summaryref2!N42,IF(AK97=summaryref2!B56,summaryref2!N56,IF(AK97=summaryref2!B70,summaryref2!N70,IF(AK97=summaryref2!B84,summaryref2!N84,IF(AK97=summaryref2!B98,summaryref2!N98,IF(AK97=summaryref2!B112,summaryref2!N112,IF(AK97=summaryref2!B126,summaryref2!N126,IF(AK97=summaryref2!B140,summaryref2!N140,"")))))))))))</f>
        <v/>
      </c>
      <c r="AY97" s="1110" t="str">
        <f>IF('A-80 DirEntInv'!AY96&lt;&gt;"",'A-80 DirEntInv'!AY96,IF(AK97=summaryref2!B14,summaryref2!O14,IF(Summary!AK97=summaryref2!B28,summaryref2!O28,IF(AK97=summaryref2!B42,summaryref2!O42,IF(AK97=summaryref2!B56,summaryref2!O56,IF(AK97=summaryref2!B70,summaryref2!O70,IF(AK97=summaryref2!B84,summaryref2!O84,IF(AK97=summaryref2!B98,summaryref2!O98,IF(AK97=summaryref2!B112,summaryref2!O112,IF(AK97=summaryref2!B126,summaryref2!O126,IF(AK97=summaryref2!B140,summaryref2!O140,"")))))))))))</f>
        <v/>
      </c>
      <c r="AZ97" s="1110" t="str">
        <f>IF('A-80 DirEntInv'!AZ96&lt;&gt;"",'A-80 DirEntInv'!AZ96,IF(AK97=summaryref2!B14,summaryref2!P14,IF(Summary!AK97=summaryref2!B28,summaryref2!P28,IF(AK97=summaryref2!B42,summaryref2!P42,IF(AK97=summaryref2!B56,summaryref2!P56,IF(AK97=summaryref2!B70,summaryref2!P70,IF(AK97=summaryref2!B84,summaryref2!P84,IF(AK97=summaryref2!B98,summaryref2!P98,IF(AK97=summaryref2!B112,summaryref2!P112,IF(AK97=summaryref2!B126,summaryref2!P126,IF(AK97=summaryref2!B140,summaryref2!P140,"")))))))))))</f>
        <v/>
      </c>
      <c r="BA97" s="1110" t="str">
        <f>IF('A-80 DirEntInv'!BA96&lt;&gt;"",'A-80 DirEntInv'!BA96,IF(AK97=summaryref2!B14,summaryref2!Q14,IF(Summary!AK97=summaryref2!B28,summaryref2!Q28,IF(AK97=summaryref2!B42,summaryref2!Q42,IF(AK97=summaryref2!B56,summaryref2!Q56,IF(AK97=summaryref2!B70,summaryref2!Q70,IF(AK97=summaryref2!B84,summaryref2!Q84,IF(AK97=summaryref2!B98,summaryref2!Q98,IF(AK97=summaryref2!B112,summaryref2!Q112,IF(AK97=summaryref2!B126,summaryref2!Q126,IF(AK97=summaryref2!B140,summaryref2!Q140,"")))))))))))</f>
        <v/>
      </c>
      <c r="BB97" s="1110" t="str">
        <f>IF('A-80 DirEntInv'!BB96&lt;&gt;"",'A-80 DirEntInv'!BB96,IF(AK97=summaryref2!B14,summaryref2!R14,IF(Summary!AK97=summaryref2!B28,summaryref2!R28,IF(AK97=summaryref2!B42,summaryref2!R42,IF(AK97=summaryref2!B56,summaryref2!R56,IF(AK97=summaryref2!B70,summaryref2!R70,IF(AK97=summaryref2!B84,summaryref2!R84,IF(AK97=summaryref2!B98,summaryref2!R98,IF(AK97=summaryref2!B112,summaryref2!R112,IF(AK97=summaryref2!B126,summaryref2!R126,IF(AK97=summaryref2!B140,summaryref2!R140,"")))))))))))</f>
        <v/>
      </c>
      <c r="BC97" s="1110" t="str">
        <f>IF('A-80 DirEntInv'!BC96&lt;&gt;0,'A-80 DirEntInv'!BC96,IF(AK97=summaryref2!B14,summaryref2!S14,IF(Summary!AK97=summaryref2!B28,summaryref2!S28,IF(AK97=summaryref2!B42,summaryref2!S42,IF(AK97=summaryref2!B56,summaryref2!S56,IF(AK97=summaryref2!B70,summaryref2!S70,IF(AK97=summaryref2!B84,summaryref2!S84,IF(AK97=summaryref2!B98,summaryref2!S98,IF(AK97=summaryref2!B112,summaryref2!S112,IF(AK97=summaryref2!B126,summaryref2!S126,IF(AK97=summaryref2!B140,summaryref2!S140,"")))))))))))</f>
        <v/>
      </c>
      <c r="BD97" s="1111" t="str">
        <f>IF('A-80 DirEntInv'!BD96&lt;&gt;"",'A-80 DirEntInv'!BD96,IF(AK97=summaryref2!B14,summaryref2!T14,IF(Summary!AK97=summaryref2!B28,summaryref2!T28,IF(AK97=summaryref2!B42,summaryref2!T42,IF(AK97=summaryref2!B56,summaryref2!T56,IF(AK97=summaryref2!B70,summaryref2!T70,IF(AK97=summaryref2!B84,summaryref2!T84,IF(AK97=summaryref2!B98,summaryref2!T98,IF(AK97=summaryref2!B112,summaryref2!T112,IF(AK97=summaryref2!B126,summaryref2!T126,IF(AK97=summaryref2!B140,summaryref2!T140,"")))))))))))</f>
        <v/>
      </c>
      <c r="BE97" s="1184" t="str">
        <f>IF('A-80 DirEntInv'!BE96&lt;&gt;"",'A-80 DirEntInv'!BE96,IF(AK97=summaryref2!B14,summaryref2!U14,IF(Summary!AK97=summaryref2!B28,summaryref2!U28,IF(AK97=summaryref2!B42,summaryref2!U42,IF(AK97=summaryref2!B56,summaryref2!U56,IF(AK97=summaryref2!B70,summaryref2!U70,IF(AK97=summaryref2!B84,summaryref2!U84,IF(AK97=summaryref2!B98,summaryref2!U98,IF(AK97=summaryref2!B112,summaryref2!U112,IF(AK97=summaryref2!B126,summaryref2!U126,IF(AK97=summaryref2!B140,summaryref2!U140,"")))))))))))</f>
        <v/>
      </c>
      <c r="BF97" s="1432"/>
      <c r="BG97" s="1432"/>
      <c r="BJ97" s="1045" t="str">
        <f>Codes!$C$168</f>
        <v>MG - Monorail/Automated Guideway (PT)</v>
      </c>
      <c r="BK97" s="1046" t="str">
        <f>Valid!$B$82</f>
        <v>Double Diamond Crossover</v>
      </c>
      <c r="BL97" s="1368" t="str">
        <f>IF('A-80 DirEntInv'!BL96&lt;&gt;"",'A-80 DirEntInv'!BL96,IF(BJ97=summaryref2!X14,summaryref2!Z14,IF(BJ97=summaryref2!X21,summaryref2!Z21,IF(BJ97=summaryref2!X28,summaryref2!Z28,IF(BJ97=summaryref2!X35,summaryref2!Z35,IF(BJ97=summaryref2!X42,summaryref2!Z42,IF(BJ97=summaryref2!X49,summaryref2!Z49,IF(BJ97=summaryref2!X56,summaryref2!Z56,IF(BJ97=summaryref2!X63,summaryref2!Z63,IF(BJ97=summaryref2!X70,summaryref2!Z70,IF(BJ97=summaryref2!X77,summaryref2!Z77,"")))))))))))</f>
        <v/>
      </c>
      <c r="BM97" s="1046" t="str">
        <f>VLOOKUP(BK97,Valid!$B$80:$C$86,2,FALSE)</f>
        <v>Each</v>
      </c>
      <c r="BN97" s="1325" t="str">
        <f>IF('A-80 DirEntInv'!BN96&lt;&gt;"",'A-80 DirEntInv'!BN96,IF(BJ97=summaryref2!X14,summaryref2!AB14,IF(BJ97=summaryref2!X21,summaryref2!AB21,IF(BJ97=summaryref2!X28,summaryref2!AB28,IF(BJ97=summaryref2!X35,summaryref2!AB35,IF(BJ97=summaryref2!X42,summaryref2!AB42,IF(BJ97=summaryref2!X49,summaryref2!AB49,IF(BJ97=summaryref2!X56,summaryref2!AB56,IF(BJ97=summaryref2!X63,summaryref2!AB63,IF(BJ97=summaryref2!X70,summaryref2!AB70,IF(BJ97=summaryref2!X77,summaryref2!AB77,"")))))))))))</f>
        <v/>
      </c>
      <c r="BO97" s="1327" t="str">
        <f>IF('A-80 DirEntInv'!BO96&lt;&gt;"",'A-80 DirEntInv'!BO96,IF(BJ97=summaryref2!X14,summaryref2!AC14,IF(BJ97=summaryref2!X21,summaryref2!AC21,IF(BJ97=summaryref2!X28,summaryref2!AC28,IF(BJ97=summaryref2!X35,summaryref2!AC35,IF(BJ97=summaryref2!X42,summaryref2!AC42,IF(BJ97=summaryref2!X49,summaryref2!AC49,IF(BJ97=summaryref2!X56,summaryref2!AC56,IF(BJ97=summaryref2!X63,summaryref2!AC63,IF(BJ97=summaryref2!X70,summaryref2!AC70,IF(BJ97=summaryref2!X77,summaryref2!AC77,"")))))))))))</f>
        <v/>
      </c>
      <c r="BP97" s="1322" t="str">
        <f>IF('A-80 DirEntInv'!BP96&lt;&gt;"",'A-80 DirEntInv'!BP96,IF(BJ97=summaryref2!X14,summaryref2!AD14,IF(BJ97=summaryref2!X21,summaryref2!AD21,IF(BJ97=summaryref2!X28,summaryref2!AD28,IF(BJ97=summaryref2!X35,summaryref2!AD35,IF(BJ97=summaryref2!X42,summaryref2!AD42,IF(BJ97=summaryref2!X49,summaryref2!AD49,IF(BJ97=summaryref2!X56,summaryref2!AD56,IF(BJ97=summaryref2!X63,summaryref2!AD63,IF(BJ97=summaryref2!X70,summaryref2!AD70,IF(BJ97=summaryref2!X77,summaryref2!AD77,"")))))))))))</f>
        <v/>
      </c>
      <c r="BS97" s="1472" t="str">
        <f ca="1">IF('A-80 DirEntInv'!BU96&lt;&gt;"",'A-80 DirEntInv'!BU96,IF(INDIRECT(ADDRESS(SumRef!DK103,SumRef!DK$16,,,SumRef!$E$6))="","",INDIRECT(ADDRESS(SumRef!DK103,SumRef!DK$16,,,SumRef!$E$6))))</f>
        <v/>
      </c>
      <c r="BT97" s="1458" t="str">
        <f ca="1">IF('A-80 DirEntInv'!BV96&lt;&gt;"",'A-80 DirEntInv'!BV96,IF(INDIRECT(ADDRESS(SumRef!DL103,SumRef!DL$16,,,SumRef!$E$6))="","",INDIRECT(ADDRESS(SumRef!DL103,SumRef!DL$16,,,SumRef!$E$6))))</f>
        <v/>
      </c>
      <c r="BU97" s="1177" t="str">
        <f ca="1">IF('A-80 DirEntInv'!BW96&lt;&gt;"",'A-80 DirEntInv'!BW96,IF(INDIRECT(ADDRESS(SumRef!DM103,SumRef!DM$16,,,SumRef!$E$6))="","",INDIRECT(ADDRESS(SumRef!DM103,SumRef!DM$16,,,SumRef!$E$6))))</f>
        <v/>
      </c>
      <c r="BV97" s="1460" t="str">
        <f ca="1">IF('A-80 DirEntInv'!BX96&lt;&gt;"",'A-80 DirEntInv'!BX96,IF(INDIRECT(ADDRESS(SumRef!DN103,SumRef!DN$16,,,SumRef!$E$6))="","",INDIRECT(ADDRESS(SumRef!DN103,SumRef!DN$16,,,SumRef!$E$6))))</f>
        <v/>
      </c>
      <c r="BW97" s="1460" t="str">
        <f ca="1">IF('A-80 DirEntInv'!BY96&lt;&gt;"",'A-80 DirEntInv'!BY96,IF(INDIRECT(ADDRESS(SumRef!DO103,SumRef!DO$16,,,SumRef!$E$6))="","",INDIRECT(ADDRESS(SumRef!DO103,SumRef!DO$16,,,SumRef!$E$6))))</f>
        <v/>
      </c>
      <c r="BX97" s="1116" t="str">
        <f ca="1">IF('A-80 DirEntInv'!BZ96&lt;&gt;"",'A-80 DirEntInv'!BZ96,IF(INDIRECT(ADDRESS(SumRef!DP103,SumRef!DP$16,,,SumRef!$E$6))="","",INDIRECT(ADDRESS(SumRef!DP103,SumRef!DP$16,,,SumRef!$E$6))))</f>
        <v/>
      </c>
      <c r="BY97" s="1461" t="str">
        <f ca="1">IF('A-80 DirEntInv'!CA96&lt;&gt;"",'A-80 DirEntInv'!CA96,IF(INDIRECT(ADDRESS(SumRef!DQ103,SumRef!DQ$16,,,SumRef!$E$6))="","",INDIRECT(ADDRESS(SumRef!DQ103,SumRef!DQ$16,,,SumRef!$E$6))))</f>
        <v/>
      </c>
      <c r="BZ97" s="1460" t="str">
        <f ca="1">IF('A-80 DirEntInv'!CB96&lt;&gt;"",'A-80 DirEntInv'!CB96,IF(INDIRECT(ADDRESS(SumRef!DR103,SumRef!DR$16,,,SumRef!$E$6))="","",INDIRECT(ADDRESS(SumRef!DR103,SumRef!DR$16,,,SumRef!$E$6))))</f>
        <v/>
      </c>
      <c r="CA97" s="1462" t="str">
        <f ca="1">IF('A-80 DirEntInv'!CC96&lt;&gt;"",'A-80 DirEntInv'!CC96,IF(INDIRECT(ADDRESS(SumRef!DS103,SumRef!DS$16,,,SumRef!$E$6))="","",INDIRECT(ADDRESS(SumRef!DS103,SumRef!DS$16,,,SumRef!$E$6))))</f>
        <v/>
      </c>
      <c r="CD97" s="1160" t="str">
        <f ca="1">IF('A-80 DirEntInv'!CF96&lt;&gt;"",'A-80 DirEntInv'!CF96,IF(INDIRECT(ADDRESS(SumRef!DV103,SumRef!DV$16,,,SumRef!$E$7))="","",INDIRECT(ADDRESS(SumRef!DV103,SumRef!DV$16,,,SumRef!$E$7))))</f>
        <v/>
      </c>
      <c r="CE97" s="1167" t="str">
        <f ca="1">IF('A-80 DirEntInv'!CG96&lt;&gt;"",'A-80 DirEntInv'!CG96,IF(INDIRECT(ADDRESS(SumRef!DW103,SumRef!DW$16,,,SumRef!$E$7))="","",INDIRECT(ADDRESS(SumRef!DW103,SumRef!DW$16,,,SumRef!$E$7))))</f>
        <v/>
      </c>
      <c r="CF97" s="1167" t="str">
        <f ca="1">IF('A-80 DirEntInv'!CH96&lt;&gt;"",'A-80 DirEntInv'!CH96,IF(INDIRECT(ADDRESS(SumRef!DX103,SumRef!DX$16,,,SumRef!$E$7))="","",INDIRECT(ADDRESS(SumRef!DX103,SumRef!DX$16,,,SumRef!$E$7))))</f>
        <v/>
      </c>
      <c r="CG97" s="1167" t="str">
        <f ca="1">IF('A-80 DirEntInv'!CI96&lt;&gt;"",'A-80 DirEntInv'!CI96,IF(INDIRECT(ADDRESS(SumRef!DY103,SumRef!DY$16,,,SumRef!$E$7))="","",INDIRECT(ADDRESS(SumRef!DY103,SumRef!DY$16,,,SumRef!$E$7))))</f>
        <v/>
      </c>
      <c r="CH97" s="1167" t="str">
        <f ca="1">IF('A-80 DirEntInv'!CJ96&lt;&gt;"",'A-80 DirEntInv'!CJ96,IF(INDIRECT(ADDRESS(SumRef!DZ103,SumRef!DZ$16,,,SumRef!$E$7))="","",INDIRECT(ADDRESS(SumRef!DZ103,SumRef!DZ$16,,,SumRef!$E$7))))</f>
        <v/>
      </c>
      <c r="CI97" s="1167" t="str">
        <f ca="1">IF('A-80 DirEntInv'!CK96&lt;&gt;"",'A-80 DirEntInv'!CK96,IF(INDIRECT(ADDRESS(SumRef!EA103,SumRef!EA$16,,,SumRef!$E$7))="","",INDIRECT(ADDRESS(SumRef!EA103,SumRef!EA$16,,,SumRef!$E$7))))</f>
        <v/>
      </c>
      <c r="CJ97" s="1114" t="str">
        <f ca="1">IF('A-80 DirEntInv'!CL96&lt;&gt;"",'A-80 DirEntInv'!CL96,IF(INDIRECT(ADDRESS(SumRef!EB103,SumRef!EB$16,,,SumRef!$E$7))="","",INDIRECT(ADDRESS(SumRef!EB103,SumRef!EB$16,,,SumRef!$E$7))))</f>
        <v/>
      </c>
      <c r="CK97" s="1114" t="str">
        <f ca="1">IF('A-80 DirEntInv'!CM96&lt;&gt;"",'A-80 DirEntInv'!CM96,IF(INDIRECT(ADDRESS(SumRef!EC103,SumRef!EC$16,,,SumRef!$E$7))="","",INDIRECT(ADDRESS(SumRef!EC103,SumRef!EC$16,,,SumRef!$E$7))))</f>
        <v/>
      </c>
      <c r="CL97" s="1113" t="str">
        <f ca="1">IF('A-80 DirEntInv'!CO96&lt;&gt;"",'A-80 DirEntInv'!CO96,IF(INDIRECT(ADDRESS(SumRef!ED103,SumRef!ED$16,,,SumRef!$E$7))="","",INDIRECT(ADDRESS(SumRef!ED103,SumRef!ED$16,,,SumRef!$E$7))))</f>
        <v/>
      </c>
      <c r="CM97" s="1114" t="str">
        <f ca="1">IF('A-80 DirEntInv'!CP96&lt;&gt;"",'A-80 DirEntInv'!CP96,IF(INDIRECT(ADDRESS(SumRef!EE103,SumRef!EE$16,,,SumRef!$E$7))="","",INDIRECT(ADDRESS(SumRef!EE103,SumRef!EE$16,,,SumRef!$E$7))))</f>
        <v/>
      </c>
      <c r="CN97" s="1114" t="str">
        <f ca="1">IF('A-80 DirEntInv'!CQ96&lt;&gt;"",'A-80 DirEntInv'!CQ96,IF(INDIRECT(ADDRESS(SumRef!EF103,SumRef!EF$16,,,SumRef!$E$7))="","",INDIRECT(ADDRESS(SumRef!EF103,SumRef!EF$16,,,SumRef!$E$7))))</f>
        <v/>
      </c>
      <c r="CO97" s="1113" t="str">
        <f ca="1">IF('A-80 DirEntInv'!CR96&lt;&gt;"",'A-80 DirEntInv'!CR96,IF(INDIRECT(ADDRESS(SumRef!EG103,SumRef!EG$16,,,SumRef!$E$7))="","",INDIRECT(ADDRESS(SumRef!EG103,SumRef!EG$16,,,SumRef!$E$7))))</f>
        <v/>
      </c>
      <c r="CP97" s="1114" t="str">
        <f ca="1">IF('A-80 DirEntInv'!CS96&lt;&gt;"",'A-80 DirEntInv'!CS96,IF(INDIRECT(ADDRESS(SumRef!EH103,SumRef!EH$16,,,SumRef!$E$7))="","",INDIRECT(ADDRESS(SumRef!EH103,SumRef!EH$16,,,SumRef!$E$7))))</f>
        <v/>
      </c>
      <c r="CQ97" s="1346" t="str">
        <f ca="1">IF('A-80 DirEntInv'!CT96&lt;&gt;"",'A-80 DirEntInv'!CT96,IF(INDIRECT(ADDRESS(SumRef!EI103,SumRef!EI$16,,,SumRef!$E$7))="","",INDIRECT(ADDRESS(SumRef!EI103,SumRef!EI$16,,,SumRef!$E$7))))</f>
        <v/>
      </c>
      <c r="CR97" s="1113" t="str">
        <f ca="1">IF('A-80 DirEntInv'!CU96&lt;&gt;"",'A-80 DirEntInv'!CU96,IF(INDIRECT(ADDRESS(SumRef!EJ103,SumRef!EJ$16,,,SumRef!$E$7))="","",INDIRECT(ADDRESS(SumRef!EJ103,SumRef!EJ$16,,,SumRef!$E$7))))</f>
        <v/>
      </c>
      <c r="CS97" s="1346" t="str">
        <f ca="1">IF('A-80 DirEntInv'!CV96&lt;&gt;"",'A-80 DirEntInv'!CV96,IF(INDIRECT(ADDRESS(SumRef!EM103,SumRef!EM$16,,,SumRef!$E$7))="","",INDIRECT(ADDRESS(SumRef!EM103,SumRef!EM$16,,,SumRef!$E$7))))</f>
        <v/>
      </c>
      <c r="CT97" s="1113" t="str">
        <f ca="1">IF('A-80 DirEntInv'!CW96&lt;&gt;"",'A-80 DirEntInv'!CW96,IF(INDIRECT(ADDRESS(SumRef!EN103,SumRef!EN$16,,,SumRef!$E$7))="","",INDIRECT(ADDRESS(SumRef!EN103,SumRef!EN$16,,,SumRef!$E$7))))</f>
        <v/>
      </c>
      <c r="CU97" s="1113" t="str">
        <f ca="1">IF('A-80 DirEntInv'!CX96&lt;&gt;"",'A-80 DirEntInv'!CX96,IF(INDIRECT(ADDRESS(SumRef!EO103,SumRef!EO$16,,,SumRef!$E$7))="","",INDIRECT(ADDRESS(SumRef!EO103,SumRef!EO$16,,,SumRef!$E$7))))</f>
        <v/>
      </c>
      <c r="CV97" s="1113" t="str">
        <f ca="1">IF('A-80 DirEntInv'!CY96&lt;&gt;"",'A-80 DirEntInv'!CY96,IF(INDIRECT(ADDRESS(SumRef!EP103,SumRef!EP$16,,,SumRef!$E$7))="","",INDIRECT(ADDRESS(SumRef!EP103,SumRef!EP$16,,,SumRef!$E$7))))</f>
        <v/>
      </c>
      <c r="CW97" s="1114" t="str">
        <f ca="1">IF('A-80 DirEntInv'!CZ96&lt;&gt;"",'A-80 DirEntInv'!CZ96,IF(INDIRECT(ADDRESS(SumRef!ES103,SumRef!ES$16,,,SumRef!$E$7))="","",INDIRECT(ADDRESS(SumRef!ES103,SumRef!ES$16,,,SumRef!$E$7))))</f>
        <v/>
      </c>
      <c r="CX97" s="1167" t="str">
        <f ca="1">IF('A-80 DirEntInv'!DA96&lt;&gt;"",'A-80 DirEntInv'!DA96,IF(INDIRECT(ADDRESS(SumRef!ET103,SumRef!ET$16,,,SumRef!$E$7))="","",INDIRECT(ADDRESS(SumRef!ET103,SumRef!ET$16,,,SumRef!$E$7))))</f>
        <v/>
      </c>
      <c r="CY97" s="1167" t="str">
        <f ca="1">IF('A-80 DirEntInv'!DB96&lt;&gt;"",'A-80 DirEntInv'!DB96,IF(INDIRECT(ADDRESS(SumRef!EU103,SumRef!EU$16,,,SumRef!$E$7))="","",INDIRECT(ADDRESS(SumRef!EU103,SumRef!EU$16,,,SumRef!$E$7))))</f>
        <v/>
      </c>
      <c r="CZ97" s="1167" t="b">
        <f ca="1">IF('A-80 DirEntInv'!DC96&lt;&gt;"",'A-80 DirEntInv'!DC96,IF(INDIRECT(ADDRESS(SumRef!EV103,SumRef!EV$16,,,SumRef!$E$7))="","",INDIRECT(ADDRESS(SumRef!EV103,SumRef!EV$16,,,SumRef!$E$7))))</f>
        <v>0</v>
      </c>
      <c r="DA97" s="1373" t="str">
        <f ca="1">IF('A-80 DirEntInv'!DD96&lt;&gt;"",'A-80 DirEntInv'!DD96,IF(INDIRECT(ADDRESS(SumRef!EW103,SumRef!EW$16,,,SumRef!$E$7))="","",INDIRECT(ADDRESS(SumRef!EW103,SumRef!EW$16,,,SumRef!$E$7))))</f>
        <v/>
      </c>
      <c r="DB97" s="1373" t="b">
        <f ca="1">IF('A-80 DirEntInv'!DE96&lt;&gt;"",'A-80 DirEntInv'!DE96,IF(INDIRECT(ADDRESS(SumRef!EX103,SumRef!EX$16,,,SumRef!$E$7))="","",INDIRECT(ADDRESS(SumRef!EX103,SumRef!EX$16,,,SumRef!$E$7))))</f>
        <v>0</v>
      </c>
      <c r="DC97" s="1114" t="b">
        <f ca="1">IF('A-80 DirEntInv'!DF96&lt;&gt;"",'A-80 DirEntInv'!DF96,IF(INDIRECT(ADDRESS(SumRef!EY103,SumRef!EY$16,,,SumRef!$E$7))="","",INDIRECT(ADDRESS(SumRef!EY103,SumRef!EY$16,,,SumRef!$E$7))))</f>
        <v>0</v>
      </c>
      <c r="DD97" s="1115" t="str">
        <f ca="1">IF('A-80 DirEntInv'!DG96&lt;&gt;"",'A-80 DirEntInv'!DG96,IF(INDIRECT(ADDRESS(SumRef!EZ103,SumRef!EZ$16,,,SumRef!$E$7))="","",INDIRECT(ADDRESS(SumRef!EZ103,SumRef!EZ$16,,,SumRef!$E$7))))</f>
        <v/>
      </c>
    </row>
    <row r="98" spans="1:108" s="588" customFormat="1" x14ac:dyDescent="0.2">
      <c r="A98" s="589">
        <f t="shared" si="1"/>
        <v>88</v>
      </c>
      <c r="B98" s="1155" t="str">
        <f ca="1">IF('A-80 DirEntInv'!B97&lt;&gt;"",'A-80 DirEntInv'!B97,IF(INDIRECT(ADDRESS(SumRef!AQ104,SumRef!AQ$16,,,SumRef!$B$7))="","",INDIRECT(ADDRESS(SumRef!AQ104,SumRef!AQ$16,,,SumRef!$B$7))))</f>
        <v/>
      </c>
      <c r="C98" s="1097" t="str">
        <f ca="1">IF('A-80 DirEntInv'!C97&lt;&gt;"",'A-80 DirEntInv'!C97,IF(INDIRECT(ADDRESS(SumRef!AR104,SumRef!AR$16,,,SumRef!$B$7))="","",INDIRECT(ADDRESS(SumRef!AR104,SumRef!AR$16,,,SumRef!$B$7))))</f>
        <v/>
      </c>
      <c r="D98" s="1097" t="str">
        <f ca="1">IF('A-80 DirEntInv'!D97&lt;&gt;"",'A-80 DirEntInv'!D97,IF(INDIRECT(ADDRESS(SumRef!AS104,SumRef!AS$16,,,SumRef!$B$7))="","",INDIRECT(ADDRESS(SumRef!AS104,SumRef!AS$16,,,SumRef!$B$7))))</f>
        <v/>
      </c>
      <c r="E98" s="1097" t="str">
        <f ca="1">IF('A-80 DirEntInv'!E97&lt;&gt;"",'A-80 DirEntInv'!E97,IF(INDIRECT(ADDRESS(SumRef!AT104,SumRef!AT$16,,,SumRef!$B$7))="","",INDIRECT(ADDRESS(SumRef!AT104,SumRef!AT$16,,,SumRef!$B$7))))</f>
        <v/>
      </c>
      <c r="F98" s="1097" t="str">
        <f ca="1">IF('A-80 DirEntInv'!F97&lt;&gt;"",'A-80 DirEntInv'!F97,IF(INDIRECT(ADDRESS(SumRef!AU104,SumRef!AU$16,,,SumRef!$B$7))="","",INDIRECT(ADDRESS(SumRef!AU104,SumRef!AU$16,,,SumRef!$B$7))))</f>
        <v/>
      </c>
      <c r="G98" s="1158" t="str">
        <f ca="1">IF('A-80 DirEntInv'!G97&lt;&gt;"",'A-80 DirEntInv'!G97,IF(INDIRECT(ADDRESS(SumRef!AV104,SumRef!AV$16,,,SumRef!$B$7))="","",INDIRECT(ADDRESS(SumRef!AV104,SumRef!AV$16,,,SumRef!$B$7))))</f>
        <v/>
      </c>
      <c r="H98" s="1097" t="str">
        <f ca="1">IF('A-80 DirEntInv'!H97&lt;&gt;"",'A-80 DirEntInv'!H97,IF(INDIRECT(ADDRESS(SumRef!AW104,SumRef!AW$16,,,SumRef!$B$7))="","",INDIRECT(ADDRESS(SumRef!AW104,SumRef!AW$16,,,SumRef!$B$7))))</f>
        <v/>
      </c>
      <c r="I98" s="1097" t="str">
        <f ca="1">IF('A-80 DirEntInv'!I97&lt;&gt;"",'A-80 DirEntInv'!I97,IF(INDIRECT(ADDRESS(SumRef!AX104,SumRef!AX$16,,,SumRef!$B$7))="","",INDIRECT(ADDRESS(SumRef!AX104,SumRef!AX$16,,,SumRef!$B$7))))</f>
        <v/>
      </c>
      <c r="J98" s="1098" t="str">
        <f ca="1">IF('A-80 DirEntInv'!J97&lt;&gt;"",'A-80 DirEntInv'!J97,IF(INDIRECT(ADDRESS(SumRef!AY104,SumRef!AY$16,,,SumRef!$B$7))="","",INDIRECT(ADDRESS(SumRef!AY104,SumRef!AY$16,,,SumRef!$B$7))))</f>
        <v/>
      </c>
      <c r="K98" s="1099" t="str">
        <f ca="1">IF('A-80 DirEntInv'!K97&lt;&gt;"",'A-80 DirEntInv'!K97,IF(INDIRECT(ADDRESS(SumRef!AZ104,SumRef!AZ$16,,,SumRef!$B$7))="","",INDIRECT(ADDRESS(SumRef!AZ104,SumRef!AZ$16,,,SumRef!$B$7))))</f>
        <v/>
      </c>
      <c r="L98" s="1100" t="str">
        <f ca="1">IF('A-80 DirEntInv'!L97&lt;&gt;"",'A-80 DirEntInv'!L97,IF(INDIRECT(ADDRESS(SumRef!BA104,SumRef!BA$16,,,SumRef!$B$7))="","",INDIRECT(ADDRESS(SumRef!BA104,SumRef!BA$16,,,SumRef!$B$7))))</f>
        <v/>
      </c>
      <c r="M98" s="1101" t="str">
        <f ca="1">IF('A-80 DirEntInv'!M97&lt;&gt;"",'A-80 DirEntInv'!M97,IF(INDIRECT(ADDRESS(SumRef!BB104,SumRef!BB$16,,,SumRef!$B$7))="","",INDIRECT(ADDRESS(SumRef!BB104,SumRef!BB$16,,,SumRef!$B$7))))</f>
        <v/>
      </c>
      <c r="N98" s="1098" t="str">
        <f ca="1">IF('A-80 DirEntInv'!N97&lt;&gt;"",'A-80 DirEntInv'!N97,IF(INDIRECT(ADDRESS(SumRef!BC104,SumRef!BC$16,,,SumRef!$B$7))="","",INDIRECT(ADDRESS(SumRef!BC104,SumRef!BC$16,,,SumRef!$B$7))))</f>
        <v/>
      </c>
      <c r="O98" s="1102" t="str">
        <f ca="1">IF('A-80 DirEntInv'!O97&lt;&gt;"",'A-80 DirEntInv'!O97,IF(INDIRECT(ADDRESS(SumRef!BD104,SumRef!BD$16,,,SumRef!$B$7))="","",INDIRECT(ADDRESS(SumRef!BD104,SumRef!BD$16,,,SumRef!$B$7))))</f>
        <v/>
      </c>
      <c r="Q98" s="589"/>
      <c r="R98" s="1103" t="str">
        <f ca="1">IF('A-80 DirEntInv'!R97&lt;&gt;"",'A-80 DirEntInv'!R97,IF(INDIRECT(ADDRESS(SumRef!BH104,SumRef!BH$16,,,SumRef!$B$8))="","",INDIRECT(ADDRESS(SumRef!BH104,SumRef!BH$16,,,SumRef!$B$8))))</f>
        <v/>
      </c>
      <c r="S98" s="1104" t="str">
        <f ca="1">IF('A-80 DirEntInv'!S97&lt;&gt;"",'A-80 DirEntInv'!S97,IF(INDIRECT(ADDRESS(SumRef!BI104,SumRef!BI$16,,,SumRef!$B$8))="","",INDIRECT(ADDRESS(SumRef!BI104,SumRef!BI$16,,,SumRef!$B$8))))</f>
        <v/>
      </c>
      <c r="T98" s="1104" t="str">
        <f ca="1">IF('A-80 DirEntInv'!T97&lt;&gt;"",'A-80 DirEntInv'!T97,IF(INDIRECT(ADDRESS(SumRef!BJ104,SumRef!BJ$16,,,SumRef!$B$8))="","",INDIRECT(ADDRESS(SumRef!BJ104,SumRef!BJ$16,,,SumRef!$B$8))))</f>
        <v/>
      </c>
      <c r="U98" s="1104" t="str">
        <f ca="1">IF('A-80 DirEntInv'!U97&lt;&gt;"",'A-80 DirEntInv'!U97,IF(INDIRECT(ADDRESS(SumRef!BK104,SumRef!BK$16,,,SumRef!$B$8))="","",INDIRECT(ADDRESS(SumRef!BK104,SumRef!BK$16,,,SumRef!$B$8))))</f>
        <v/>
      </c>
      <c r="V98" s="1104" t="str">
        <f ca="1">IF('A-80 DirEntInv'!V97&lt;&gt;"",'A-80 DirEntInv'!V97,IF(INDIRECT(ADDRESS(SumRef!BL104,SumRef!BL$16,,,SumRef!$B$8))="","",INDIRECT(ADDRESS(SumRef!BL104,SumRef!BL$16,,,SumRef!$B$8))))</f>
        <v/>
      </c>
      <c r="W98" s="1354" t="str">
        <f ca="1">IF('A-80 DirEntInv'!W97&lt;&gt;"",'A-80 DirEntInv'!W97,IF(INDIRECT(ADDRESS(SumRef!BM104,SumRef!BM$16,,,SumRef!$B$8))="","",INDIRECT(ADDRESS(SumRef!BM104,SumRef!BM$16,,,SumRef!$B$8))))</f>
        <v/>
      </c>
      <c r="X98" s="1203" t="str">
        <f ca="1">IF('A-80 DirEntInv'!X97&lt;&gt;"",'A-80 DirEntInv'!X97,IF(INDIRECT(ADDRESS(SumRef!BN104,SumRef!BN$16,,,SumRef!$B$8))="","",INDIRECT(ADDRESS(SumRef!BN104,SumRef!BN$16,,,SumRef!$B$8))))</f>
        <v/>
      </c>
      <c r="Y98" s="1203" t="str">
        <f ca="1">IF('A-80 DirEntInv'!Y97&lt;&gt;"",'A-80 DirEntInv'!Y97,IF(INDIRECT(ADDRESS(SumRef!BO104,SumRef!BO$16,,,SumRef!$B$8))="","",INDIRECT(ADDRESS(SumRef!BO104,SumRef!BO$16,,,SumRef!$B$8))))</f>
        <v/>
      </c>
      <c r="Z98" s="1104" t="str">
        <f ca="1">IF('A-80 DirEntInv'!Z97&lt;&gt;"",'A-80 DirEntInv'!Z97,IF(INDIRECT(ADDRESS(SumRef!BP104,SumRef!BP$16,,,SumRef!$B$8))="","",INDIRECT(ADDRESS(SumRef!BP104,SumRef!BP$16,,,SumRef!$B$8))))</f>
        <v/>
      </c>
      <c r="AA98" s="1104" t="str">
        <f ca="1">IF('A-80 DirEntInv'!AA97&lt;&gt;"",'A-80 DirEntInv'!AA97,IF(INDIRECT(ADDRESS(SumRef!BQ104,SumRef!BQ$16,,,SumRef!$B$8))="","",INDIRECT(ADDRESS(SumRef!BQ104,SumRef!BQ$16,,,SumRef!$B$8))))</f>
        <v/>
      </c>
      <c r="AB98" s="1106" t="str">
        <f ca="1">IF('A-80 DirEntInv'!AB97&lt;&gt;"",'A-80 DirEntInv'!AB97,IF(INDIRECT(ADDRESS(SumRef!BR104,SumRef!BR$16,,,SumRef!$B$8))="","",INDIRECT(ADDRESS(SumRef!BR104,SumRef!BR$16,,,SumRef!$B$8))))</f>
        <v/>
      </c>
      <c r="AC98" s="1107" t="str">
        <f ca="1">IF('A-80 DirEntInv'!AC97&lt;&gt;"",'A-80 DirEntInv'!AC97,IF(INDIRECT(ADDRESS(SumRef!BS104,SumRef!BS$16,,,SumRef!$B$8))="","",INDIRECT(ADDRESS(SumRef!BS104,SumRef!BS$16,,,SumRef!$B$8))))</f>
        <v/>
      </c>
      <c r="AD98" s="1349" t="str">
        <f ca="1">IF('A-80 DirEntInv'!AD97&lt;&gt;"",'A-80 DirEntInv'!AD97,IF(INDIRECT(ADDRESS(SumRef!BT104,SumRef!BT$16,,,SumRef!$B$8))="","",INDIRECT(ADDRESS(SumRef!BT104,SumRef!BT$16,,,SumRef!$B$8))))</f>
        <v/>
      </c>
      <c r="AE98" s="1137" t="str">
        <f ca="1">IF('A-80 DirEntInv'!AE97&lt;&gt;"",'A-80 DirEntInv'!AE97,IF(INDIRECT(ADDRESS(SumRef!BU104,SumRef!BU$16,,,SumRef!$B$8))="","",INDIRECT(ADDRESS(SumRef!BU104,SumRef!BU$16,,,SumRef!$B$8))))</f>
        <v/>
      </c>
      <c r="AF98" s="1346" t="str">
        <f ca="1">IF('A-80 DirEntInv'!AF97&lt;&gt;"",'A-80 DirEntInv'!AF97,IF(INDIRECT(ADDRESS(SumRef!BV104,SumRef!BV$16,,,SumRef!$B$8))="","",INDIRECT(ADDRESS(SumRef!BV104,SumRef!BV$16,,,SumRef!$B$8))))</f>
        <v/>
      </c>
      <c r="AG98" s="1105" t="str">
        <f ca="1">IF('A-80 DirEntInv'!AG97&lt;&gt;"",'A-80 DirEntInv'!AG97,IF(INDIRECT(ADDRESS(SumRef!BW104,SumRef!BW$16,,,SumRef!$B$8))="","",INDIRECT(ADDRESS(SumRef!BW104,SumRef!BW$16,,,SumRef!$B$8))))</f>
        <v/>
      </c>
      <c r="AH98" s="1357" t="str">
        <f ca="1">IF('A-80 DirEntInv'!AH97&lt;&gt;"",'A-80 DirEntInv'!AH97,IF(INDIRECT(ADDRESS(SumRef!BX104,SumRef!BX$16,,,SumRef!$B$8))="","",INDIRECT(ADDRESS(SumRef!BX104,SumRef!BX$16,,,SumRef!$B$8))))</f>
        <v/>
      </c>
      <c r="AK98" s="1041" t="str">
        <f>Codes!$C$162</f>
        <v>CR - Commuter Rail (PT)</v>
      </c>
      <c r="AL98" s="1042" t="str">
        <f>Valid!$B$74</f>
        <v>Elevated/Concrete</v>
      </c>
      <c r="AM98" s="1108" t="str">
        <f>IF('A-80 DirEntInv'!AM97&lt;&gt;"",'A-80 DirEntInv'!AM97,IF(AK98=summaryref2!B15,summaryref2!D15,IF(Summary!AK98=summaryref2!B29,summaryref2!D29,IF(AK98=summaryref2!B43,summaryref2!D43,IF(AK98=summaryref2!B57,summaryref2!D57,IF(AK98=summaryref2!B71,summaryref2!D71,IF(AK98=summaryref2!B85,summaryref2!D85,IF(AK98=summaryref2!B99,summaryref2!D99,IF(AK98=summaryref2!B113,summaryref2!D113,IF(AK98=summaryref2!B127,summaryref2!D127,IF(AK98=summaryref2!B141,summaryref2!D141,"")))))))))))</f>
        <v/>
      </c>
      <c r="AN98" s="1109" t="str">
        <f ca="1">IF('A-80 DirEntInv'!AN83&lt;&gt;"",'A-80 DirEntInv'!AN83,IF(INDIRECT(ADDRESS(SumRef!CG96,SumRef!CG$16,,,SumRef!$C$7))="","",INDIRECT(ADDRESS(SumRef!CG96,SumRef!CG$16,,,SumRef!$C$7))))</f>
        <v>Linear Feet</v>
      </c>
      <c r="AO98" s="1108" t="str">
        <f>IF('A-80 DirEntInv'!AO97&lt;&gt;"",'A-80 DirEntInv'!AO97,IF(AK98=summaryref2!B15,summaryref2!F15,IF(Summary!AK98=summaryref2!B29,summaryref2!F29,IF(AK98=summaryref2!B43,summaryref2!F43,IF(AK98=summaryref2!B57,summaryref2!F57,IF(AK98=summaryref2!B71,summaryref2!F71,IF(AK98=summaryref2!B85,summaryref2!F85,IF(AK98=summaryref2!B99,summaryref2!F99,IF(AK98=summaryref2!B113,summaryref2!F113,IF(AK98=summaryref2!B127,summaryref2!F127,IF(AK98=summaryref2!B141,summaryref2!F141,"")))))))))))</f>
        <v/>
      </c>
      <c r="AP98" s="1109" t="str">
        <f ca="1">IF('A-80 DirEntInv'!AP83&lt;&gt;"",'A-80 DirEntInv'!AP83,IF(INDIRECT(ADDRESS(SumRef!#REF!,SumRef!#REF!,,,SumRef!$C$7))="","",INDIRECT(ADDRESS(SumRef!#REF!,SumRef!#REF!,,,SumRef!$C$7))))</f>
        <v>Track Feet</v>
      </c>
      <c r="AQ98" s="1147" t="str">
        <f>IF('A-80 DirEntInv'!AQ97&lt;&gt;"",'A-80 DirEntInv'!AQ97,IF(AK98=summaryref2!B15,summaryref2!G15,IF(Summary!AK98=summaryref2!B29,summaryref2!G29,IF(AK98=summaryref2!B43,summaryref2!G43,IF(AK98=summaryref2!B57,summaryref2!G57,IF(AK98=summaryref2!B71,summaryref2!G71,IF(AK98=summaryref2!B85,summaryref2!G85,IF(AK98=summaryref2!B99,summaryref2!G99,IF(AK98=summaryref2!B113,summaryref2!G113,IF(AK98=summaryref2!B127,summaryref2!G127,IF(AK98=summaryref2!B141,summaryref2!G141,"")))))))))))</f>
        <v/>
      </c>
      <c r="AR98" s="1147" t="str">
        <f>IF('A-80 DirEntInv'!AR97&lt;&gt;"",'A-80 DirEntInv'!AR97,IF(AK98=summaryref2!B15,summaryref2!H15,IF(Summary!AK98=summaryref2!B29,summaryref2!H29,IF(AK98=summaryref2!B43,summaryref2!H43,IF(AK98=summaryref2!B57,summaryref2!H57,IF(AK98=summaryref2!B71,summaryref2!H71,IF(AK98=summaryref2!B85,summaryref2!H85,IF(AK98=summaryref2!B99,summaryref2!H99,IF(AK98=summaryref2!B113,summaryref2!H113,IF(AK98=summaryref2!B127,summaryref2!H127,IF(AK98=summaryref2!B141,summaryref2!H141,"")))))))))))</f>
        <v/>
      </c>
      <c r="AS98" s="1110" t="str">
        <f>IF('A-80 DirEntInv'!AS97&lt;&gt;"",'A-80 DirEntInv'!AS97,IF(AK98=summaryref2!B15,summaryref2!I15,IF(Summary!AK98=summaryref2!B29,summaryref2!I29,IF(AK98=summaryref2!B43,summaryref2!I43,IF(AK98=summaryref2!B57,summaryref2!I57,IF(AK98=summaryref2!B71,summaryref2!I71,IF(AK98=summaryref2!B85,summaryref2!I85,IF(AK98=summaryref2!B99,summaryref2!I99,IF(AK98=summaryref2!B113,summaryref2!I113,IF(AK98=summaryref2!B127,summaryref2!I127,IF(AK98=summaryref2!B141,summaryref2!I141,"")))))))))))</f>
        <v/>
      </c>
      <c r="AT98" s="1110" t="str">
        <f>IF('A-80 DirEntInv'!AT97&lt;&gt;"",'A-80 DirEntInv'!AT97,IF(AK98=summaryref2!B15,summaryref2!J15,IF(Summary!AK98=summaryref2!B29,summaryref2!J29,IF(AK98=summaryref2!B43,summaryref2!J43,IF(AK98=summaryref2!B57,summaryref2!J57,IF(AK98=summaryref2!B71,summaryref2!J71,IF(AK98=summaryref2!B85,summaryref2!J85,IF(AK98=summaryref2!B99,summaryref2!J99,IF(AK98=summaryref2!B113,summaryref2!J113,IF(AK98=summaryref2!B127,summaryref2!J127,IF(AK98=summaryref2!B141,summaryref2!J141,"")))))))))))</f>
        <v/>
      </c>
      <c r="AU98" s="1110" t="str">
        <f>IF('A-80 DirEntInv'!AU97&lt;&gt;"",'A-80 DirEntInv'!AU97,IF(AK98=summaryref2!B15,summaryref2!K15,IF(Summary!AK98=summaryref2!B29,summaryref2!K29,IF(AK98=summaryref2!B43,summaryref2!K43,IF(AK98=summaryref2!B57,summaryref2!K57,IF(AK98=summaryref2!B71,summaryref2!K71,IF(AK98=summaryref2!B85,summaryref2!K85,IF(AK98=summaryref2!B99,summaryref2!K99,IF(AK98=summaryref2!B113,summaryref2!K113,IF(AK98=summaryref2!B127,summaryref2!K127,IF(AK98=summaryref2!B141,summaryref2!K141,"")))))))))))</f>
        <v/>
      </c>
      <c r="AV98" s="1110" t="str">
        <f>IF('A-80 DirEntInv'!AV97&lt;&gt;"",'A-80 DirEntInv'!AV97,IF(AK98=summaryref2!B15,summaryref2!L15,IF(Summary!AK98=summaryref2!B29,summaryref2!L29,IF(AK98=summaryref2!B43,summaryref2!L43,IF(AK98=summaryref2!B57,summaryref2!L57,IF(AK98=summaryref2!B71,summaryref2!L71,IF(AK98=summaryref2!B85,summaryref2!L85,IF(AK98=summaryref2!B99,summaryref2!L99,IF(AK98=summaryref2!B113,summaryref2!L113,IF(AK98=summaryref2!B127,summaryref2!L127,IF(AK98=summaryref2!B141,summaryref2!L141,"")))))))))))</f>
        <v/>
      </c>
      <c r="AW98" s="1110" t="str">
        <f>IF('A-80 DirEntInv'!AW97&lt;&gt;"",'A-80 DirEntInv'!AW97,IF(AK98=summaryref2!B15,summaryref2!M15,IF(Summary!AK98=summaryref2!B29,summaryref2!M29,IF(AK98=summaryref2!B43,summaryref2!M43,IF(AK98=summaryref2!B57,summaryref2!M57,IF(AK98=summaryref2!B71,summaryref2!M71,IF(AK98=summaryref2!B85,summaryref2!M85,IF(AK98=summaryref2!B99,summaryref2!M99,IF(AK98=summaryref2!B113,summaryref2!M113,IF(AK98=summaryref2!B127,summaryref2!M127,IF(AK98=summaryref2!B141,summaryref2!M141,"")))))))))))</f>
        <v/>
      </c>
      <c r="AX98" s="1110" t="str">
        <f>IF('A-80 DirEntInv'!AX97&lt;&gt;"",'A-80 DirEntInv'!AX97,IF(AK98=summaryref2!B15,summaryref2!N15,IF(Summary!AK98=summaryref2!B29,summaryref2!N29,IF(AK98=summaryref2!B43,summaryref2!N43,IF(AK98=summaryref2!B57,summaryref2!N57,IF(AK98=summaryref2!B71,summaryref2!N71,IF(AK98=summaryref2!B85,summaryref2!N85,IF(AK98=summaryref2!B99,summaryref2!N99,IF(AK98=summaryref2!B113,summaryref2!N113,IF(AK98=summaryref2!B127,summaryref2!N127,IF(AK98=summaryref2!B141,summaryref2!N141,"")))))))))))</f>
        <v/>
      </c>
      <c r="AY98" s="1110" t="str">
        <f>IF('A-80 DirEntInv'!AY97&lt;&gt;"",'A-80 DirEntInv'!AY97,IF(AK98=summaryref2!B15,summaryref2!O15,IF(Summary!AK98=summaryref2!B29,summaryref2!O29,IF(AK98=summaryref2!B43,summaryref2!O43,IF(AK98=summaryref2!B57,summaryref2!O57,IF(AK98=summaryref2!B71,summaryref2!O71,IF(AK98=summaryref2!B85,summaryref2!O85,IF(AK98=summaryref2!B99,summaryref2!O99,IF(AK98=summaryref2!B113,summaryref2!O113,IF(AK98=summaryref2!B127,summaryref2!O127,IF(AK98=summaryref2!B141,summaryref2!O141,"")))))))))))</f>
        <v/>
      </c>
      <c r="AZ98" s="1110" t="str">
        <f>IF('A-80 DirEntInv'!AZ97&lt;&gt;"",'A-80 DirEntInv'!AZ97,IF(AK98=summaryref2!B15,summaryref2!P15,IF(Summary!AK98=summaryref2!B29,summaryref2!P29,IF(AK98=summaryref2!B43,summaryref2!P43,IF(AK98=summaryref2!B57,summaryref2!P57,IF(AK98=summaryref2!B71,summaryref2!P71,IF(AK98=summaryref2!B85,summaryref2!P85,IF(AK98=summaryref2!B99,summaryref2!P99,IF(AK98=summaryref2!B113,summaryref2!P113,IF(AK98=summaryref2!B127,summaryref2!P127,IF(AK98=summaryref2!B141,summaryref2!P141,"")))))))))))</f>
        <v/>
      </c>
      <c r="BA98" s="1110" t="str">
        <f>IF('A-80 DirEntInv'!BA97&lt;&gt;"",'A-80 DirEntInv'!BA97,IF(AK98=summaryref2!B15,summaryref2!Q15,IF(Summary!AK98=summaryref2!B29,summaryref2!Q29,IF(AK98=summaryref2!B43,summaryref2!Q43,IF(AK98=summaryref2!B57,summaryref2!Q57,IF(AK98=summaryref2!B71,summaryref2!Q71,IF(AK98=summaryref2!B85,summaryref2!Q85,IF(AK98=summaryref2!B99,summaryref2!Q99,IF(AK98=summaryref2!B113,summaryref2!Q113,IF(AK98=summaryref2!B127,summaryref2!Q127,IF(AK98=summaryref2!B141,summaryref2!Q141,"")))))))))))</f>
        <v/>
      </c>
      <c r="BB98" s="1110" t="str">
        <f>IF('A-80 DirEntInv'!BB97&lt;&gt;"",'A-80 DirEntInv'!BB97,IF(AK98=summaryref2!B15,summaryref2!R15,IF(Summary!AK98=summaryref2!B29,summaryref2!R29,IF(AK98=summaryref2!B43,summaryref2!R43,IF(AK98=summaryref2!B57,summaryref2!R57,IF(AK98=summaryref2!B71,summaryref2!R71,IF(AK98=summaryref2!B85,summaryref2!R85,IF(AK98=summaryref2!B99,summaryref2!R99,IF(AK98=summaryref2!B113,summaryref2!R113,IF(AK98=summaryref2!B127,summaryref2!R127,IF(AK98=summaryref2!B141,summaryref2!R141,"")))))))))))</f>
        <v/>
      </c>
      <c r="BC98" s="1110" t="str">
        <f>IF('A-80 DirEntInv'!BC97&lt;&gt;0,'A-80 DirEntInv'!BC97,IF(AK98=summaryref2!B15,summaryref2!S15,IF(Summary!AK98=summaryref2!B29,summaryref2!S29,IF(AK98=summaryref2!B43,summaryref2!S43,IF(AK98=summaryref2!B57,summaryref2!S57,IF(AK98=summaryref2!B71,summaryref2!S71,IF(AK98=summaryref2!B85,summaryref2!S85,IF(AK98=summaryref2!B99,summaryref2!S99,IF(AK98=summaryref2!B113,summaryref2!S113,IF(AK98=summaryref2!B127,summaryref2!S127,IF(AK98=summaryref2!B141,summaryref2!S141,"")))))))))))</f>
        <v/>
      </c>
      <c r="BD98" s="1111" t="str">
        <f>IF('A-80 DirEntInv'!BD97&lt;&gt;"",'A-80 DirEntInv'!BD97,IF(AK98=summaryref2!B15,summaryref2!T15,IF(Summary!AK98=summaryref2!B29,summaryref2!T29,IF(AK98=summaryref2!B43,summaryref2!T43,IF(AK98=summaryref2!B57,summaryref2!T57,IF(AK98=summaryref2!B71,summaryref2!T71,IF(AK98=summaryref2!B85,summaryref2!T85,IF(AK98=summaryref2!B99,summaryref2!T99,IF(AK98=summaryref2!B113,summaryref2!T113,IF(AK98=summaryref2!B127,summaryref2!T127,IF(AK98=summaryref2!B141,summaryref2!T141,"")))))))))))</f>
        <v/>
      </c>
      <c r="BE98" s="1184" t="str">
        <f>IF('A-80 DirEntInv'!BE97&lt;&gt;"",'A-80 DirEntInv'!BE97,IF(AK98=summaryref2!B15,summaryref2!U15,IF(Summary!AK98=summaryref2!B29,summaryref2!U29,IF(AK98=summaryref2!B43,summaryref2!U43,IF(AK98=summaryref2!B57,summaryref2!U57,IF(AK98=summaryref2!B71,summaryref2!U71,IF(AK98=summaryref2!B85,summaryref2!U85,IF(AK98=summaryref2!B99,summaryref2!U99,IF(AK98=summaryref2!B113,summaryref2!U113,IF(AK98=summaryref2!B127,summaryref2!U127,IF(AK98=summaryref2!B141,summaryref2!U141,"")))))))))))</f>
        <v/>
      </c>
      <c r="BF98" s="1432"/>
      <c r="BG98" s="1432"/>
      <c r="BJ98" s="1041" t="str">
        <f>Codes!$C$168</f>
        <v>MG - Monorail/Automated Guideway (PT)</v>
      </c>
      <c r="BK98" s="1042" t="str">
        <f>Valid!$B$83</f>
        <v>Single Crossover</v>
      </c>
      <c r="BL98" s="1375" t="str">
        <f>IF('A-80 DirEntInv'!BL97&lt;&gt;"",'A-80 DirEntInv'!BL97,IF(BJ98=summaryref2!X15,summaryref2!Z15,IF(BJ98=summaryref2!X22,summaryref2!Z22,IF(BJ98=summaryref2!X29,summaryref2!Z29,IF(BJ98=summaryref2!X36,summaryref2!Z36,IF(BJ98=summaryref2!X43,summaryref2!Z43,IF(BJ98=summaryref2!X50,summaryref2!Z50,IF(BJ98=summaryref2!X57,summaryref2!Z57,IF(BJ98=summaryref2!X64,summaryref2!Z64,IF(BJ98=summaryref2!X71,summaryref2!Z71,IF(BJ98=summaryref2!X78,summaryref2!Z78,"")))))))))))</f>
        <v/>
      </c>
      <c r="BM98" s="1042" t="str">
        <f>VLOOKUP(BK98,Valid!$B$80:$C$86,2,FALSE)</f>
        <v>Each</v>
      </c>
      <c r="BN98" s="1209" t="str">
        <f>IF('A-80 DirEntInv'!BN97&lt;&gt;"",'A-80 DirEntInv'!BN97,IF(BJ98=summaryref2!X15,summaryref2!AB15,IF(BJ98=summaryref2!X22,summaryref2!AB22,IF(BJ98=summaryref2!X29,summaryref2!AB29,IF(BJ98=summaryref2!X36,summaryref2!AB36,IF(BJ98=summaryref2!X43,summaryref2!AB43,IF(BJ98=summaryref2!X50,summaryref2!AB50,IF(BJ98=summaryref2!X57,summaryref2!AB57,IF(BJ98=summaryref2!X64,summaryref2!AB64,IF(BJ98=summaryref2!X71,summaryref2!AB71,IF(BJ98=summaryref2!X78,summaryref2!AB78,"")))))))))))</f>
        <v/>
      </c>
      <c r="BO98" s="1116" t="str">
        <f>IF('A-80 DirEntInv'!BO97&lt;&gt;"",'A-80 DirEntInv'!BO97,IF(BJ98=summaryref2!X15,summaryref2!AC15,IF(BJ98=summaryref2!X22,summaryref2!AC22,IF(BJ98=summaryref2!X29,summaryref2!AC29,IF(BJ98=summaryref2!X36,summaryref2!AC36,IF(BJ98=summaryref2!X43,summaryref2!AC43,IF(BJ98=summaryref2!X50,summaryref2!AC50,IF(BJ98=summaryref2!X57,summaryref2!AC57,IF(BJ98=summaryref2!X64,summaryref2!AC64,IF(BJ98=summaryref2!X71,summaryref2!AC71,IF(BJ98=summaryref2!X78,summaryref2!AC78,"")))))))))))</f>
        <v/>
      </c>
      <c r="BP98" s="1384" t="str">
        <f>IF('A-80 DirEntInv'!BP97&lt;&gt;"",'A-80 DirEntInv'!BP97,IF(BJ98=summaryref2!X15,summaryref2!AD15,IF(BJ98=summaryref2!X22,summaryref2!AD22,IF(BJ98=summaryref2!X29,summaryref2!AD29,IF(BJ98=summaryref2!X36,summaryref2!AD36,IF(BJ98=summaryref2!X43,summaryref2!AD43,IF(BJ98=summaryref2!X50,summaryref2!AD50,IF(BJ98=summaryref2!X57,summaryref2!AD57,IF(BJ98=summaryref2!X64,summaryref2!AD64,IF(BJ98=summaryref2!X71,summaryref2!AD71,IF(BJ98=summaryref2!X78,summaryref2!AD78,"")))))))))))</f>
        <v/>
      </c>
      <c r="BS98" s="1472" t="str">
        <f ca="1">IF('A-80 DirEntInv'!BU97&lt;&gt;"",'A-80 DirEntInv'!BU97,IF(INDIRECT(ADDRESS(SumRef!DK104,SumRef!DK$16,,,SumRef!$E$6))="","",INDIRECT(ADDRESS(SumRef!DK104,SumRef!DK$16,,,SumRef!$E$6))))</f>
        <v/>
      </c>
      <c r="BT98" s="1458" t="str">
        <f ca="1">IF('A-80 DirEntInv'!BV97&lt;&gt;"",'A-80 DirEntInv'!BV97,IF(INDIRECT(ADDRESS(SumRef!DL104,SumRef!DL$16,,,SumRef!$E$6))="","",INDIRECT(ADDRESS(SumRef!DL104,SumRef!DL$16,,,SumRef!$E$6))))</f>
        <v/>
      </c>
      <c r="BU98" s="1177" t="str">
        <f ca="1">IF('A-80 DirEntInv'!BW97&lt;&gt;"",'A-80 DirEntInv'!BW97,IF(INDIRECT(ADDRESS(SumRef!DM104,SumRef!DM$16,,,SumRef!$E$6))="","",INDIRECT(ADDRESS(SumRef!DM104,SumRef!DM$16,,,SumRef!$E$6))))</f>
        <v/>
      </c>
      <c r="BV98" s="1460" t="str">
        <f ca="1">IF('A-80 DirEntInv'!BX97&lt;&gt;"",'A-80 DirEntInv'!BX97,IF(INDIRECT(ADDRESS(SumRef!DN104,SumRef!DN$16,,,SumRef!$E$6))="","",INDIRECT(ADDRESS(SumRef!DN104,SumRef!DN$16,,,SumRef!$E$6))))</f>
        <v/>
      </c>
      <c r="BW98" s="1460" t="str">
        <f ca="1">IF('A-80 DirEntInv'!BY97&lt;&gt;"",'A-80 DirEntInv'!BY97,IF(INDIRECT(ADDRESS(SumRef!DO104,SumRef!DO$16,,,SumRef!$E$6))="","",INDIRECT(ADDRESS(SumRef!DO104,SumRef!DO$16,,,SumRef!$E$6))))</f>
        <v/>
      </c>
      <c r="BX98" s="1116" t="str">
        <f ca="1">IF('A-80 DirEntInv'!BZ97&lt;&gt;"",'A-80 DirEntInv'!BZ97,IF(INDIRECT(ADDRESS(SumRef!DP104,SumRef!DP$16,,,SumRef!$E$6))="","",INDIRECT(ADDRESS(SumRef!DP104,SumRef!DP$16,,,SumRef!$E$6))))</f>
        <v/>
      </c>
      <c r="BY98" s="1461" t="str">
        <f ca="1">IF('A-80 DirEntInv'!CA97&lt;&gt;"",'A-80 DirEntInv'!CA97,IF(INDIRECT(ADDRESS(SumRef!DQ104,SumRef!DQ$16,,,SumRef!$E$6))="","",INDIRECT(ADDRESS(SumRef!DQ104,SumRef!DQ$16,,,SumRef!$E$6))))</f>
        <v/>
      </c>
      <c r="BZ98" s="1460" t="str">
        <f ca="1">IF('A-80 DirEntInv'!CB97&lt;&gt;"",'A-80 DirEntInv'!CB97,IF(INDIRECT(ADDRESS(SumRef!DR104,SumRef!DR$16,,,SumRef!$E$6))="","",INDIRECT(ADDRESS(SumRef!DR104,SumRef!DR$16,,,SumRef!$E$6))))</f>
        <v/>
      </c>
      <c r="CA98" s="1462" t="str">
        <f ca="1">IF('A-80 DirEntInv'!CC97&lt;&gt;"",'A-80 DirEntInv'!CC97,IF(INDIRECT(ADDRESS(SumRef!DS104,SumRef!DS$16,,,SumRef!$E$6))="","",INDIRECT(ADDRESS(SumRef!DS104,SumRef!DS$16,,,SumRef!$E$6))))</f>
        <v/>
      </c>
      <c r="CD98" s="1160" t="str">
        <f ca="1">IF('A-80 DirEntInv'!CF97&lt;&gt;"",'A-80 DirEntInv'!CF97,IF(INDIRECT(ADDRESS(SumRef!DV104,SumRef!DV$16,,,SumRef!$E$7))="","",INDIRECT(ADDRESS(SumRef!DV104,SumRef!DV$16,,,SumRef!$E$7))))</f>
        <v/>
      </c>
      <c r="CE98" s="1167" t="str">
        <f ca="1">IF('A-80 DirEntInv'!CG97&lt;&gt;"",'A-80 DirEntInv'!CG97,IF(INDIRECT(ADDRESS(SumRef!DW104,SumRef!DW$16,,,SumRef!$E$7))="","",INDIRECT(ADDRESS(SumRef!DW104,SumRef!DW$16,,,SumRef!$E$7))))</f>
        <v/>
      </c>
      <c r="CF98" s="1167" t="str">
        <f ca="1">IF('A-80 DirEntInv'!CH97&lt;&gt;"",'A-80 DirEntInv'!CH97,IF(INDIRECT(ADDRESS(SumRef!DX104,SumRef!DX$16,,,SumRef!$E$7))="","",INDIRECT(ADDRESS(SumRef!DX104,SumRef!DX$16,,,SumRef!$E$7))))</f>
        <v/>
      </c>
      <c r="CG98" s="1167" t="str">
        <f ca="1">IF('A-80 DirEntInv'!CI97&lt;&gt;"",'A-80 DirEntInv'!CI97,IF(INDIRECT(ADDRESS(SumRef!DY104,SumRef!DY$16,,,SumRef!$E$7))="","",INDIRECT(ADDRESS(SumRef!DY104,SumRef!DY$16,,,SumRef!$E$7))))</f>
        <v/>
      </c>
      <c r="CH98" s="1167" t="str">
        <f ca="1">IF('A-80 DirEntInv'!CJ97&lt;&gt;"",'A-80 DirEntInv'!CJ97,IF(INDIRECT(ADDRESS(SumRef!DZ104,SumRef!DZ$16,,,SumRef!$E$7))="","",INDIRECT(ADDRESS(SumRef!DZ104,SumRef!DZ$16,,,SumRef!$E$7))))</f>
        <v/>
      </c>
      <c r="CI98" s="1167" t="str">
        <f ca="1">IF('A-80 DirEntInv'!CK97&lt;&gt;"",'A-80 DirEntInv'!CK97,IF(INDIRECT(ADDRESS(SumRef!EA104,SumRef!EA$16,,,SumRef!$E$7))="","",INDIRECT(ADDRESS(SumRef!EA104,SumRef!EA$16,,,SumRef!$E$7))))</f>
        <v/>
      </c>
      <c r="CJ98" s="1114" t="str">
        <f ca="1">IF('A-80 DirEntInv'!CL97&lt;&gt;"",'A-80 DirEntInv'!CL97,IF(INDIRECT(ADDRESS(SumRef!EB104,SumRef!EB$16,,,SumRef!$E$7))="","",INDIRECT(ADDRESS(SumRef!EB104,SumRef!EB$16,,,SumRef!$E$7))))</f>
        <v/>
      </c>
      <c r="CK98" s="1114" t="str">
        <f ca="1">IF('A-80 DirEntInv'!CM97&lt;&gt;"",'A-80 DirEntInv'!CM97,IF(INDIRECT(ADDRESS(SumRef!EC104,SumRef!EC$16,,,SumRef!$E$7))="","",INDIRECT(ADDRESS(SumRef!EC104,SumRef!EC$16,,,SumRef!$E$7))))</f>
        <v/>
      </c>
      <c r="CL98" s="1113" t="str">
        <f ca="1">IF('A-80 DirEntInv'!CO97&lt;&gt;"",'A-80 DirEntInv'!CO97,IF(INDIRECT(ADDRESS(SumRef!ED104,SumRef!ED$16,,,SumRef!$E$7))="","",INDIRECT(ADDRESS(SumRef!ED104,SumRef!ED$16,,,SumRef!$E$7))))</f>
        <v/>
      </c>
      <c r="CM98" s="1114" t="str">
        <f ca="1">IF('A-80 DirEntInv'!CP97&lt;&gt;"",'A-80 DirEntInv'!CP97,IF(INDIRECT(ADDRESS(SumRef!EE104,SumRef!EE$16,,,SumRef!$E$7))="","",INDIRECT(ADDRESS(SumRef!EE104,SumRef!EE$16,,,SumRef!$E$7))))</f>
        <v/>
      </c>
      <c r="CN98" s="1114" t="str">
        <f ca="1">IF('A-80 DirEntInv'!CQ97&lt;&gt;"",'A-80 DirEntInv'!CQ97,IF(INDIRECT(ADDRESS(SumRef!EF104,SumRef!EF$16,,,SumRef!$E$7))="","",INDIRECT(ADDRESS(SumRef!EF104,SumRef!EF$16,,,SumRef!$E$7))))</f>
        <v/>
      </c>
      <c r="CO98" s="1113" t="str">
        <f ca="1">IF('A-80 DirEntInv'!CR97&lt;&gt;"",'A-80 DirEntInv'!CR97,IF(INDIRECT(ADDRESS(SumRef!EG104,SumRef!EG$16,,,SumRef!$E$7))="","",INDIRECT(ADDRESS(SumRef!EG104,SumRef!EG$16,,,SumRef!$E$7))))</f>
        <v/>
      </c>
      <c r="CP98" s="1114" t="str">
        <f ca="1">IF('A-80 DirEntInv'!CS97&lt;&gt;"",'A-80 DirEntInv'!CS97,IF(INDIRECT(ADDRESS(SumRef!EH104,SumRef!EH$16,,,SumRef!$E$7))="","",INDIRECT(ADDRESS(SumRef!EH104,SumRef!EH$16,,,SumRef!$E$7))))</f>
        <v/>
      </c>
      <c r="CQ98" s="1346" t="str">
        <f ca="1">IF('A-80 DirEntInv'!CT97&lt;&gt;"",'A-80 DirEntInv'!CT97,IF(INDIRECT(ADDRESS(SumRef!EI104,SumRef!EI$16,,,SumRef!$E$7))="","",INDIRECT(ADDRESS(SumRef!EI104,SumRef!EI$16,,,SumRef!$E$7))))</f>
        <v/>
      </c>
      <c r="CR98" s="1113" t="str">
        <f ca="1">IF('A-80 DirEntInv'!CU97&lt;&gt;"",'A-80 DirEntInv'!CU97,IF(INDIRECT(ADDRESS(SumRef!EJ104,SumRef!EJ$16,,,SumRef!$E$7))="","",INDIRECT(ADDRESS(SumRef!EJ104,SumRef!EJ$16,,,SumRef!$E$7))))</f>
        <v/>
      </c>
      <c r="CS98" s="1346" t="str">
        <f ca="1">IF('A-80 DirEntInv'!CV97&lt;&gt;"",'A-80 DirEntInv'!CV97,IF(INDIRECT(ADDRESS(SumRef!EM104,SumRef!EM$16,,,SumRef!$E$7))="","",INDIRECT(ADDRESS(SumRef!EM104,SumRef!EM$16,,,SumRef!$E$7))))</f>
        <v/>
      </c>
      <c r="CT98" s="1113" t="str">
        <f ca="1">IF('A-80 DirEntInv'!CW97&lt;&gt;"",'A-80 DirEntInv'!CW97,IF(INDIRECT(ADDRESS(SumRef!EN104,SumRef!EN$16,,,SumRef!$E$7))="","",INDIRECT(ADDRESS(SumRef!EN104,SumRef!EN$16,,,SumRef!$E$7))))</f>
        <v/>
      </c>
      <c r="CU98" s="1113" t="str">
        <f ca="1">IF('A-80 DirEntInv'!CX97&lt;&gt;"",'A-80 DirEntInv'!CX97,IF(INDIRECT(ADDRESS(SumRef!EO104,SumRef!EO$16,,,SumRef!$E$7))="","",INDIRECT(ADDRESS(SumRef!EO104,SumRef!EO$16,,,SumRef!$E$7))))</f>
        <v/>
      </c>
      <c r="CV98" s="1113" t="str">
        <f ca="1">IF('A-80 DirEntInv'!CY97&lt;&gt;"",'A-80 DirEntInv'!CY97,IF(INDIRECT(ADDRESS(SumRef!EP104,SumRef!EP$16,,,SumRef!$E$7))="","",INDIRECT(ADDRESS(SumRef!EP104,SumRef!EP$16,,,SumRef!$E$7))))</f>
        <v/>
      </c>
      <c r="CW98" s="1114" t="str">
        <f ca="1">IF('A-80 DirEntInv'!CZ97&lt;&gt;"",'A-80 DirEntInv'!CZ97,IF(INDIRECT(ADDRESS(SumRef!ES104,SumRef!ES$16,,,SumRef!$E$7))="","",INDIRECT(ADDRESS(SumRef!ES104,SumRef!ES$16,,,SumRef!$E$7))))</f>
        <v/>
      </c>
      <c r="CX98" s="1167" t="str">
        <f ca="1">IF('A-80 DirEntInv'!DA97&lt;&gt;"",'A-80 DirEntInv'!DA97,IF(INDIRECT(ADDRESS(SumRef!ET104,SumRef!ET$16,,,SumRef!$E$7))="","",INDIRECT(ADDRESS(SumRef!ET104,SumRef!ET$16,,,SumRef!$E$7))))</f>
        <v/>
      </c>
      <c r="CY98" s="1167" t="str">
        <f ca="1">IF('A-80 DirEntInv'!DB97&lt;&gt;"",'A-80 DirEntInv'!DB97,IF(INDIRECT(ADDRESS(SumRef!EU104,SumRef!EU$16,,,SumRef!$E$7))="","",INDIRECT(ADDRESS(SumRef!EU104,SumRef!EU$16,,,SumRef!$E$7))))</f>
        <v/>
      </c>
      <c r="CZ98" s="1167" t="b">
        <f ca="1">IF('A-80 DirEntInv'!DC97&lt;&gt;"",'A-80 DirEntInv'!DC97,IF(INDIRECT(ADDRESS(SumRef!EV104,SumRef!EV$16,,,SumRef!$E$7))="","",INDIRECT(ADDRESS(SumRef!EV104,SumRef!EV$16,,,SumRef!$E$7))))</f>
        <v>0</v>
      </c>
      <c r="DA98" s="1373" t="str">
        <f ca="1">IF('A-80 DirEntInv'!DD97&lt;&gt;"",'A-80 DirEntInv'!DD97,IF(INDIRECT(ADDRESS(SumRef!EW104,SumRef!EW$16,,,SumRef!$E$7))="","",INDIRECT(ADDRESS(SumRef!EW104,SumRef!EW$16,,,SumRef!$E$7))))</f>
        <v/>
      </c>
      <c r="DB98" s="1373" t="b">
        <f ca="1">IF('A-80 DirEntInv'!DE97&lt;&gt;"",'A-80 DirEntInv'!DE97,IF(INDIRECT(ADDRESS(SumRef!EX104,SumRef!EX$16,,,SumRef!$E$7))="","",INDIRECT(ADDRESS(SumRef!EX104,SumRef!EX$16,,,SumRef!$E$7))))</f>
        <v>0</v>
      </c>
      <c r="DC98" s="1114" t="b">
        <f ca="1">IF('A-80 DirEntInv'!DF97&lt;&gt;"",'A-80 DirEntInv'!DF97,IF(INDIRECT(ADDRESS(SumRef!EY104,SumRef!EY$16,,,SumRef!$E$7))="","",INDIRECT(ADDRESS(SumRef!EY104,SumRef!EY$16,,,SumRef!$E$7))))</f>
        <v>0</v>
      </c>
      <c r="DD98" s="1115" t="str">
        <f ca="1">IF('A-80 DirEntInv'!DG97&lt;&gt;"",'A-80 DirEntInv'!DG97,IF(INDIRECT(ADDRESS(SumRef!EZ104,SumRef!EZ$16,,,SumRef!$E$7))="","",INDIRECT(ADDRESS(SumRef!EZ104,SumRef!EZ$16,,,SumRef!$E$7))))</f>
        <v/>
      </c>
    </row>
    <row r="99" spans="1:108" s="588" customFormat="1" x14ac:dyDescent="0.2">
      <c r="A99" s="589">
        <f t="shared" si="1"/>
        <v>89</v>
      </c>
      <c r="B99" s="1155" t="str">
        <f ca="1">IF('A-80 DirEntInv'!B98&lt;&gt;"",'A-80 DirEntInv'!B98,IF(INDIRECT(ADDRESS(SumRef!AQ105,SumRef!AQ$16,,,SumRef!$B$7))="","",INDIRECT(ADDRESS(SumRef!AQ105,SumRef!AQ$16,,,SumRef!$B$7))))</f>
        <v/>
      </c>
      <c r="C99" s="1097" t="str">
        <f ca="1">IF('A-80 DirEntInv'!C98&lt;&gt;"",'A-80 DirEntInv'!C98,IF(INDIRECT(ADDRESS(SumRef!AR105,SumRef!AR$16,,,SumRef!$B$7))="","",INDIRECT(ADDRESS(SumRef!AR105,SumRef!AR$16,,,SumRef!$B$7))))</f>
        <v/>
      </c>
      <c r="D99" s="1097" t="str">
        <f ca="1">IF('A-80 DirEntInv'!D98&lt;&gt;"",'A-80 DirEntInv'!D98,IF(INDIRECT(ADDRESS(SumRef!AS105,SumRef!AS$16,,,SumRef!$B$7))="","",INDIRECT(ADDRESS(SumRef!AS105,SumRef!AS$16,,,SumRef!$B$7))))</f>
        <v/>
      </c>
      <c r="E99" s="1097" t="str">
        <f ca="1">IF('A-80 DirEntInv'!E98&lt;&gt;"",'A-80 DirEntInv'!E98,IF(INDIRECT(ADDRESS(SumRef!AT105,SumRef!AT$16,,,SumRef!$B$7))="","",INDIRECT(ADDRESS(SumRef!AT105,SumRef!AT$16,,,SumRef!$B$7))))</f>
        <v/>
      </c>
      <c r="F99" s="1097" t="str">
        <f ca="1">IF('A-80 DirEntInv'!F98&lt;&gt;"",'A-80 DirEntInv'!F98,IF(INDIRECT(ADDRESS(SumRef!AU105,SumRef!AU$16,,,SumRef!$B$7))="","",INDIRECT(ADDRESS(SumRef!AU105,SumRef!AU$16,,,SumRef!$B$7))))</f>
        <v/>
      </c>
      <c r="G99" s="1158" t="str">
        <f ca="1">IF('A-80 DirEntInv'!G98&lt;&gt;"",'A-80 DirEntInv'!G98,IF(INDIRECT(ADDRESS(SumRef!AV105,SumRef!AV$16,,,SumRef!$B$7))="","",INDIRECT(ADDRESS(SumRef!AV105,SumRef!AV$16,,,SumRef!$B$7))))</f>
        <v/>
      </c>
      <c r="H99" s="1097" t="str">
        <f ca="1">IF('A-80 DirEntInv'!H98&lt;&gt;"",'A-80 DirEntInv'!H98,IF(INDIRECT(ADDRESS(SumRef!AW105,SumRef!AW$16,,,SumRef!$B$7))="","",INDIRECT(ADDRESS(SumRef!AW105,SumRef!AW$16,,,SumRef!$B$7))))</f>
        <v/>
      </c>
      <c r="I99" s="1097" t="str">
        <f ca="1">IF('A-80 DirEntInv'!I98&lt;&gt;"",'A-80 DirEntInv'!I98,IF(INDIRECT(ADDRESS(SumRef!AX105,SumRef!AX$16,,,SumRef!$B$7))="","",INDIRECT(ADDRESS(SumRef!AX105,SumRef!AX$16,,,SumRef!$B$7))))</f>
        <v/>
      </c>
      <c r="J99" s="1098" t="str">
        <f ca="1">IF('A-80 DirEntInv'!J98&lt;&gt;"",'A-80 DirEntInv'!J98,IF(INDIRECT(ADDRESS(SumRef!AY105,SumRef!AY$16,,,SumRef!$B$7))="","",INDIRECT(ADDRESS(SumRef!AY105,SumRef!AY$16,,,SumRef!$B$7))))</f>
        <v/>
      </c>
      <c r="K99" s="1099" t="str">
        <f ca="1">IF('A-80 DirEntInv'!K98&lt;&gt;"",'A-80 DirEntInv'!K98,IF(INDIRECT(ADDRESS(SumRef!AZ105,SumRef!AZ$16,,,SumRef!$B$7))="","",INDIRECT(ADDRESS(SumRef!AZ105,SumRef!AZ$16,,,SumRef!$B$7))))</f>
        <v/>
      </c>
      <c r="L99" s="1100" t="str">
        <f ca="1">IF('A-80 DirEntInv'!L98&lt;&gt;"",'A-80 DirEntInv'!L98,IF(INDIRECT(ADDRESS(SumRef!BA105,SumRef!BA$16,,,SumRef!$B$7))="","",INDIRECT(ADDRESS(SumRef!BA105,SumRef!BA$16,,,SumRef!$B$7))))</f>
        <v/>
      </c>
      <c r="M99" s="1101" t="str">
        <f ca="1">IF('A-80 DirEntInv'!M98&lt;&gt;"",'A-80 DirEntInv'!M98,IF(INDIRECT(ADDRESS(SumRef!BB105,SumRef!BB$16,,,SumRef!$B$7))="","",INDIRECT(ADDRESS(SumRef!BB105,SumRef!BB$16,,,SumRef!$B$7))))</f>
        <v/>
      </c>
      <c r="N99" s="1098" t="str">
        <f ca="1">IF('A-80 DirEntInv'!N98&lt;&gt;"",'A-80 DirEntInv'!N98,IF(INDIRECT(ADDRESS(SumRef!BC105,SumRef!BC$16,,,SumRef!$B$7))="","",INDIRECT(ADDRESS(SumRef!BC105,SumRef!BC$16,,,SumRef!$B$7))))</f>
        <v/>
      </c>
      <c r="O99" s="1102" t="str">
        <f ca="1">IF('A-80 DirEntInv'!O98&lt;&gt;"",'A-80 DirEntInv'!O98,IF(INDIRECT(ADDRESS(SumRef!BD105,SumRef!BD$16,,,SumRef!$B$7))="","",INDIRECT(ADDRESS(SumRef!BD105,SumRef!BD$16,,,SumRef!$B$7))))</f>
        <v/>
      </c>
      <c r="Q99" s="589"/>
      <c r="R99" s="1103" t="str">
        <f ca="1">IF('A-80 DirEntInv'!R98&lt;&gt;"",'A-80 DirEntInv'!R98,IF(INDIRECT(ADDRESS(SumRef!BH105,SumRef!BH$16,,,SumRef!$B$8))="","",INDIRECT(ADDRESS(SumRef!BH105,SumRef!BH$16,,,SumRef!$B$8))))</f>
        <v/>
      </c>
      <c r="S99" s="1104" t="str">
        <f ca="1">IF('A-80 DirEntInv'!S98&lt;&gt;"",'A-80 DirEntInv'!S98,IF(INDIRECT(ADDRESS(SumRef!BI105,SumRef!BI$16,,,SumRef!$B$8))="","",INDIRECT(ADDRESS(SumRef!BI105,SumRef!BI$16,,,SumRef!$B$8))))</f>
        <v/>
      </c>
      <c r="T99" s="1104" t="str">
        <f ca="1">IF('A-80 DirEntInv'!T98&lt;&gt;"",'A-80 DirEntInv'!T98,IF(INDIRECT(ADDRESS(SumRef!BJ105,SumRef!BJ$16,,,SumRef!$B$8))="","",INDIRECT(ADDRESS(SumRef!BJ105,SumRef!BJ$16,,,SumRef!$B$8))))</f>
        <v/>
      </c>
      <c r="U99" s="1104" t="str">
        <f ca="1">IF('A-80 DirEntInv'!U98&lt;&gt;"",'A-80 DirEntInv'!U98,IF(INDIRECT(ADDRESS(SumRef!BK105,SumRef!BK$16,,,SumRef!$B$8))="","",INDIRECT(ADDRESS(SumRef!BK105,SumRef!BK$16,,,SumRef!$B$8))))</f>
        <v/>
      </c>
      <c r="V99" s="1104" t="str">
        <f ca="1">IF('A-80 DirEntInv'!V98&lt;&gt;"",'A-80 DirEntInv'!V98,IF(INDIRECT(ADDRESS(SumRef!BL105,SumRef!BL$16,,,SumRef!$B$8))="","",INDIRECT(ADDRESS(SumRef!BL105,SumRef!BL$16,,,SumRef!$B$8))))</f>
        <v/>
      </c>
      <c r="W99" s="1354" t="str">
        <f ca="1">IF('A-80 DirEntInv'!W98&lt;&gt;"",'A-80 DirEntInv'!W98,IF(INDIRECT(ADDRESS(SumRef!BM105,SumRef!BM$16,,,SumRef!$B$8))="","",INDIRECT(ADDRESS(SumRef!BM105,SumRef!BM$16,,,SumRef!$B$8))))</f>
        <v/>
      </c>
      <c r="X99" s="1203" t="str">
        <f ca="1">IF('A-80 DirEntInv'!X98&lt;&gt;"",'A-80 DirEntInv'!X98,IF(INDIRECT(ADDRESS(SumRef!BN105,SumRef!BN$16,,,SumRef!$B$8))="","",INDIRECT(ADDRESS(SumRef!BN105,SumRef!BN$16,,,SumRef!$B$8))))</f>
        <v/>
      </c>
      <c r="Y99" s="1203" t="str">
        <f ca="1">IF('A-80 DirEntInv'!Y98&lt;&gt;"",'A-80 DirEntInv'!Y98,IF(INDIRECT(ADDRESS(SumRef!BO105,SumRef!BO$16,,,SumRef!$B$8))="","",INDIRECT(ADDRESS(SumRef!BO105,SumRef!BO$16,,,SumRef!$B$8))))</f>
        <v/>
      </c>
      <c r="Z99" s="1104" t="str">
        <f ca="1">IF('A-80 DirEntInv'!Z98&lt;&gt;"",'A-80 DirEntInv'!Z98,IF(INDIRECT(ADDRESS(SumRef!BP105,SumRef!BP$16,,,SumRef!$B$8))="","",INDIRECT(ADDRESS(SumRef!BP105,SumRef!BP$16,,,SumRef!$B$8))))</f>
        <v/>
      </c>
      <c r="AA99" s="1104" t="str">
        <f ca="1">IF('A-80 DirEntInv'!AA98&lt;&gt;"",'A-80 DirEntInv'!AA98,IF(INDIRECT(ADDRESS(SumRef!BQ105,SumRef!BQ$16,,,SumRef!$B$8))="","",INDIRECT(ADDRESS(SumRef!BQ105,SumRef!BQ$16,,,SumRef!$B$8))))</f>
        <v/>
      </c>
      <c r="AB99" s="1106" t="str">
        <f ca="1">IF('A-80 DirEntInv'!AB98&lt;&gt;"",'A-80 DirEntInv'!AB98,IF(INDIRECT(ADDRESS(SumRef!BR105,SumRef!BR$16,,,SumRef!$B$8))="","",INDIRECT(ADDRESS(SumRef!BR105,SumRef!BR$16,,,SumRef!$B$8))))</f>
        <v/>
      </c>
      <c r="AC99" s="1107" t="str">
        <f ca="1">IF('A-80 DirEntInv'!AC98&lt;&gt;"",'A-80 DirEntInv'!AC98,IF(INDIRECT(ADDRESS(SumRef!BS105,SumRef!BS$16,,,SumRef!$B$8))="","",INDIRECT(ADDRESS(SumRef!BS105,SumRef!BS$16,,,SumRef!$B$8))))</f>
        <v/>
      </c>
      <c r="AD99" s="1349" t="str">
        <f ca="1">IF('A-80 DirEntInv'!AD98&lt;&gt;"",'A-80 DirEntInv'!AD98,IF(INDIRECT(ADDRESS(SumRef!BT105,SumRef!BT$16,,,SumRef!$B$8))="","",INDIRECT(ADDRESS(SumRef!BT105,SumRef!BT$16,,,SumRef!$B$8))))</f>
        <v/>
      </c>
      <c r="AE99" s="1137" t="str">
        <f ca="1">IF('A-80 DirEntInv'!AE98&lt;&gt;"",'A-80 DirEntInv'!AE98,IF(INDIRECT(ADDRESS(SumRef!BU105,SumRef!BU$16,,,SumRef!$B$8))="","",INDIRECT(ADDRESS(SumRef!BU105,SumRef!BU$16,,,SumRef!$B$8))))</f>
        <v/>
      </c>
      <c r="AF99" s="1346" t="str">
        <f ca="1">IF('A-80 DirEntInv'!AF98&lt;&gt;"",'A-80 DirEntInv'!AF98,IF(INDIRECT(ADDRESS(SumRef!BV105,SumRef!BV$16,,,SumRef!$B$8))="","",INDIRECT(ADDRESS(SumRef!BV105,SumRef!BV$16,,,SumRef!$B$8))))</f>
        <v/>
      </c>
      <c r="AG99" s="1105" t="str">
        <f ca="1">IF('A-80 DirEntInv'!AG98&lt;&gt;"",'A-80 DirEntInv'!AG98,IF(INDIRECT(ADDRESS(SumRef!BW105,SumRef!BW$16,,,SumRef!$B$8))="","",INDIRECT(ADDRESS(SumRef!BW105,SumRef!BW$16,,,SumRef!$B$8))))</f>
        <v/>
      </c>
      <c r="AH99" s="1357" t="str">
        <f ca="1">IF('A-80 DirEntInv'!AH98&lt;&gt;"",'A-80 DirEntInv'!AH98,IF(INDIRECT(ADDRESS(SumRef!BX105,SumRef!BX$16,,,SumRef!$B$8))="","",INDIRECT(ADDRESS(SumRef!BX105,SumRef!BX$16,,,SumRef!$B$8))))</f>
        <v/>
      </c>
      <c r="AK99" s="1041" t="str">
        <f>Codes!$C$162</f>
        <v>CR - Commuter Rail (PT)</v>
      </c>
      <c r="AL99" s="1042" t="str">
        <f>Valid!$B$75</f>
        <v>Elevated/Steel Viaduct or Bridge</v>
      </c>
      <c r="AM99" s="1108" t="str">
        <f>IF('A-80 DirEntInv'!AM98&lt;&gt;"",'A-80 DirEntInv'!AM98,IF(AK99=summaryref2!B16,summaryref2!D16,IF(Summary!AK99=summaryref2!B30,summaryref2!D30,IF(AK99=summaryref2!B44,summaryref2!D44,IF(AK99=summaryref2!B58,summaryref2!D58,IF(AK99=summaryref2!B72,summaryref2!D72,IF(AK99=summaryref2!B86,summaryref2!D86,IF(AK99=summaryref2!B100,summaryref2!D100,IF(AK99=summaryref2!B114,summaryref2!D114,IF(AK99=summaryref2!B128,summaryref2!D128,IF(AK99=summaryref2!B142,summaryref2!D142,"")))))))))))</f>
        <v/>
      </c>
      <c r="AN99" s="1109" t="str">
        <f ca="1">IF('A-80 DirEntInv'!AN84&lt;&gt;"",'A-80 DirEntInv'!AN84,IF(INDIRECT(ADDRESS(SumRef!CG97,SumRef!CG$16,,,SumRef!$C$7))="","",INDIRECT(ADDRESS(SumRef!CG97,SumRef!CG$16,,,SumRef!$C$7))))</f>
        <v>Linear Feet</v>
      </c>
      <c r="AO99" s="1108" t="str">
        <f>IF('A-80 DirEntInv'!AO98&lt;&gt;"",'A-80 DirEntInv'!AO98,IF(AK99=summaryref2!B16,summaryref2!F16,IF(Summary!AK99=summaryref2!B30,summaryref2!F30,IF(AK99=summaryref2!B44,summaryref2!F44,IF(AK99=summaryref2!B58,summaryref2!F58,IF(AK99=summaryref2!B72,summaryref2!F72,IF(AK99=summaryref2!B86,summaryref2!F86,IF(AK99=summaryref2!B100,summaryref2!F100,IF(AK99=summaryref2!B114,summaryref2!F114,IF(AK99=summaryref2!B128,summaryref2!F128,IF(AK99=summaryref2!B142,summaryref2!F142,"")))))))))))</f>
        <v/>
      </c>
      <c r="AP99" s="1109" t="str">
        <f ca="1">IF('A-80 DirEntInv'!AP84&lt;&gt;"",'A-80 DirEntInv'!AP84,IF(INDIRECT(ADDRESS(SumRef!#REF!,SumRef!#REF!,,,SumRef!$C$7))="","",INDIRECT(ADDRESS(SumRef!#REF!,SumRef!#REF!,,,SumRef!$C$7))))</f>
        <v>Track Feet</v>
      </c>
      <c r="AQ99" s="1147" t="str">
        <f>IF('A-80 DirEntInv'!AQ98&lt;&gt;"",'A-80 DirEntInv'!AQ98,IF(AK99=summaryref2!B16,summaryref2!G16,IF(Summary!AK99=summaryref2!B30,summaryref2!G30,IF(AK99=summaryref2!B44,summaryref2!G44,IF(AK99=summaryref2!B58,summaryref2!G58,IF(AK99=summaryref2!B72,summaryref2!G72,IF(AK99=summaryref2!B86,summaryref2!G86,IF(AK99=summaryref2!B100,summaryref2!G100,IF(AK99=summaryref2!B114,summaryref2!G114,IF(AK99=summaryref2!B128,summaryref2!G128,IF(AK99=summaryref2!B142,summaryref2!G142,"")))))))))))</f>
        <v/>
      </c>
      <c r="AR99" s="1147" t="str">
        <f>IF('A-80 DirEntInv'!AR98&lt;&gt;"",'A-80 DirEntInv'!AR98,IF(AK99=summaryref2!B16,summaryref2!H16,IF(Summary!AK99=summaryref2!B30,summaryref2!H30,IF(AK99=summaryref2!B44,summaryref2!H44,IF(AK99=summaryref2!B58,summaryref2!H58,IF(AK99=summaryref2!B72,summaryref2!H72,IF(AK99=summaryref2!B86,summaryref2!H86,IF(AK99=summaryref2!B100,summaryref2!H100,IF(AK99=summaryref2!B114,summaryref2!H114,IF(AK99=summaryref2!B128,summaryref2!H128,IF(AK99=summaryref2!B142,summaryref2!H142,"")))))))))))</f>
        <v/>
      </c>
      <c r="AS99" s="1110" t="str">
        <f>IF('A-80 DirEntInv'!AS98&lt;&gt;"",'A-80 DirEntInv'!AS98,IF(AK99=summaryref2!B16,summaryref2!I16,IF(Summary!AK99=summaryref2!B30,summaryref2!I30,IF(AK99=summaryref2!B44,summaryref2!I44,IF(AK99=summaryref2!B58,summaryref2!I58,IF(AK99=summaryref2!B72,summaryref2!I72,IF(AK99=summaryref2!B86,summaryref2!I86,IF(AK99=summaryref2!B100,summaryref2!I100,IF(AK99=summaryref2!B114,summaryref2!I114,IF(AK99=summaryref2!B128,summaryref2!I128,IF(AK99=summaryref2!B142,summaryref2!I142,"")))))))))))</f>
        <v/>
      </c>
      <c r="AT99" s="1110" t="str">
        <f>IF('A-80 DirEntInv'!AT98&lt;&gt;"",'A-80 DirEntInv'!AT98,IF(AK99=summaryref2!B16,summaryref2!J16,IF(Summary!AK99=summaryref2!B30,summaryref2!J30,IF(AK99=summaryref2!B44,summaryref2!J44,IF(AK99=summaryref2!B58,summaryref2!J58,IF(AK99=summaryref2!B72,summaryref2!J72,IF(AK99=summaryref2!B86,summaryref2!J86,IF(AK99=summaryref2!B100,summaryref2!J100,IF(AK99=summaryref2!B114,summaryref2!J114,IF(AK99=summaryref2!B128,summaryref2!J128,IF(AK99=summaryref2!B142,summaryref2!J142,"")))))))))))</f>
        <v/>
      </c>
      <c r="AU99" s="1110" t="str">
        <f>IF('A-80 DirEntInv'!AU98&lt;&gt;"",'A-80 DirEntInv'!AU98,IF(AK99=summaryref2!B16,summaryref2!K16,IF(Summary!AK99=summaryref2!B30,summaryref2!K30,IF(AK99=summaryref2!B44,summaryref2!K44,IF(AK99=summaryref2!B58,summaryref2!K58,IF(AK99=summaryref2!B72,summaryref2!K72,IF(AK99=summaryref2!B86,summaryref2!K86,IF(AK99=summaryref2!B100,summaryref2!K100,IF(AK99=summaryref2!B114,summaryref2!K114,IF(AK99=summaryref2!B128,summaryref2!K128,IF(AK99=summaryref2!B142,summaryref2!K142,"")))))))))))</f>
        <v/>
      </c>
      <c r="AV99" s="1110" t="str">
        <f>IF('A-80 DirEntInv'!AV98&lt;&gt;"",'A-80 DirEntInv'!AV98,IF(AK99=summaryref2!B16,summaryref2!L16,IF(Summary!AK99=summaryref2!B30,summaryref2!L30,IF(AK99=summaryref2!B44,summaryref2!L44,IF(AK99=summaryref2!B58,summaryref2!L58,IF(AK99=summaryref2!B72,summaryref2!L72,IF(AK99=summaryref2!B86,summaryref2!L86,IF(AK99=summaryref2!B100,summaryref2!L100,IF(AK99=summaryref2!B114,summaryref2!L114,IF(AK99=summaryref2!B128,summaryref2!L128,IF(AK99=summaryref2!B142,summaryref2!L142,"")))))))))))</f>
        <v/>
      </c>
      <c r="AW99" s="1110" t="str">
        <f>IF('A-80 DirEntInv'!AW98&lt;&gt;"",'A-80 DirEntInv'!AW98,IF(AK99=summaryref2!B16,summaryref2!M16,IF(Summary!AK99=summaryref2!B30,summaryref2!M30,IF(AK99=summaryref2!B44,summaryref2!M44,IF(AK99=summaryref2!B58,summaryref2!M58,IF(AK99=summaryref2!B72,summaryref2!M72,IF(AK99=summaryref2!B86,summaryref2!M86,IF(AK99=summaryref2!B100,summaryref2!M100,IF(AK99=summaryref2!B114,summaryref2!M114,IF(AK99=summaryref2!B128,summaryref2!M128,IF(AK99=summaryref2!B142,summaryref2!M142,"")))))))))))</f>
        <v/>
      </c>
      <c r="AX99" s="1110" t="str">
        <f>IF('A-80 DirEntInv'!AX98&lt;&gt;"",'A-80 DirEntInv'!AX98,IF(AK99=summaryref2!B16,summaryref2!N16,IF(Summary!AK99=summaryref2!B30,summaryref2!N30,IF(AK99=summaryref2!B44,summaryref2!N44,IF(AK99=summaryref2!B58,summaryref2!N58,IF(AK99=summaryref2!B72,summaryref2!N72,IF(AK99=summaryref2!B86,summaryref2!N86,IF(AK99=summaryref2!B100,summaryref2!N100,IF(AK99=summaryref2!B114,summaryref2!N114,IF(AK99=summaryref2!B128,summaryref2!N128,IF(AK99=summaryref2!B142,summaryref2!N142,"")))))))))))</f>
        <v/>
      </c>
      <c r="AY99" s="1110" t="str">
        <f>IF('A-80 DirEntInv'!AY98&lt;&gt;"",'A-80 DirEntInv'!AY98,IF(AK99=summaryref2!B16,summaryref2!O16,IF(Summary!AK99=summaryref2!B30,summaryref2!O30,IF(AK99=summaryref2!B44,summaryref2!O44,IF(AK99=summaryref2!B58,summaryref2!O58,IF(AK99=summaryref2!B72,summaryref2!O72,IF(AK99=summaryref2!B86,summaryref2!O86,IF(AK99=summaryref2!B100,summaryref2!O100,IF(AK99=summaryref2!B114,summaryref2!O114,IF(AK99=summaryref2!B128,summaryref2!O128,IF(AK99=summaryref2!B142,summaryref2!O142,"")))))))))))</f>
        <v/>
      </c>
      <c r="AZ99" s="1110" t="str">
        <f>IF('A-80 DirEntInv'!AZ98&lt;&gt;"",'A-80 DirEntInv'!AZ98,IF(AK99=summaryref2!B16,summaryref2!P16,IF(Summary!AK99=summaryref2!B30,summaryref2!P30,IF(AK99=summaryref2!B44,summaryref2!P44,IF(AK99=summaryref2!B58,summaryref2!P58,IF(AK99=summaryref2!B72,summaryref2!P72,IF(AK99=summaryref2!B86,summaryref2!P86,IF(AK99=summaryref2!B100,summaryref2!P100,IF(AK99=summaryref2!B114,summaryref2!P114,IF(AK99=summaryref2!B128,summaryref2!P128,IF(AK99=summaryref2!B142,summaryref2!P142,"")))))))))))</f>
        <v/>
      </c>
      <c r="BA99" s="1110" t="str">
        <f>IF('A-80 DirEntInv'!BA98&lt;&gt;"",'A-80 DirEntInv'!BA98,IF(AK99=summaryref2!B16,summaryref2!Q16,IF(Summary!AK99=summaryref2!B30,summaryref2!Q30,IF(AK99=summaryref2!B44,summaryref2!Q44,IF(AK99=summaryref2!B58,summaryref2!Q58,IF(AK99=summaryref2!B72,summaryref2!Q72,IF(AK99=summaryref2!B86,summaryref2!Q86,IF(AK99=summaryref2!B100,summaryref2!Q100,IF(AK99=summaryref2!B114,summaryref2!Q114,IF(AK99=summaryref2!B128,summaryref2!Q128,IF(AK99=summaryref2!B142,summaryref2!Q142,"")))))))))))</f>
        <v/>
      </c>
      <c r="BB99" s="1110" t="str">
        <f>IF('A-80 DirEntInv'!BB98&lt;&gt;"",'A-80 DirEntInv'!BB98,IF(AK99=summaryref2!B16,summaryref2!R16,IF(Summary!AK99=summaryref2!B30,summaryref2!R30,IF(AK99=summaryref2!B44,summaryref2!R44,IF(AK99=summaryref2!B58,summaryref2!R58,IF(AK99=summaryref2!B72,summaryref2!R72,IF(AK99=summaryref2!B86,summaryref2!R86,IF(AK99=summaryref2!B100,summaryref2!R100,IF(AK99=summaryref2!B114,summaryref2!R114,IF(AK99=summaryref2!B128,summaryref2!R128,IF(AK99=summaryref2!B142,summaryref2!R142,"")))))))))))</f>
        <v/>
      </c>
      <c r="BC99" s="1110" t="str">
        <f>IF('A-80 DirEntInv'!BC98&lt;&gt;0,'A-80 DirEntInv'!BC98,IF(AK99=summaryref2!B16,summaryref2!S16,IF(Summary!AK99=summaryref2!B30,summaryref2!S30,IF(AK99=summaryref2!B44,summaryref2!S44,IF(AK99=summaryref2!B58,summaryref2!S58,IF(AK99=summaryref2!B72,summaryref2!S72,IF(AK99=summaryref2!B86,summaryref2!S86,IF(AK99=summaryref2!B100,summaryref2!S100,IF(AK99=summaryref2!B114,summaryref2!S114,IF(AK99=summaryref2!B128,summaryref2!S128,IF(AK99=summaryref2!B142,summaryref2!S142,"")))))))))))</f>
        <v/>
      </c>
      <c r="BD99" s="1111" t="str">
        <f>IF('A-80 DirEntInv'!BD98&lt;&gt;"",'A-80 DirEntInv'!BD98,IF(AK99=summaryref2!B16,summaryref2!T16,IF(Summary!AK99=summaryref2!B30,summaryref2!T30,IF(AK99=summaryref2!B44,summaryref2!T44,IF(AK99=summaryref2!B58,summaryref2!T58,IF(AK99=summaryref2!B72,summaryref2!T72,IF(AK99=summaryref2!B86,summaryref2!T86,IF(AK99=summaryref2!B100,summaryref2!T100,IF(AK99=summaryref2!B114,summaryref2!T114,IF(AK99=summaryref2!B128,summaryref2!T128,IF(AK99=summaryref2!B142,summaryref2!T142,"")))))))))))</f>
        <v/>
      </c>
      <c r="BE99" s="1184" t="str">
        <f>IF('A-80 DirEntInv'!BE98&lt;&gt;"",'A-80 DirEntInv'!BE98,IF(AK99=summaryref2!B16,summaryref2!U16,IF(Summary!AK99=summaryref2!B30,summaryref2!U30,IF(AK99=summaryref2!B44,summaryref2!U44,IF(AK99=summaryref2!B58,summaryref2!U58,IF(AK99=summaryref2!B72,summaryref2!U72,IF(AK99=summaryref2!B86,summaryref2!U86,IF(AK99=summaryref2!B100,summaryref2!U100,IF(AK99=summaryref2!B114,summaryref2!U114,IF(AK99=summaryref2!B128,summaryref2!U128,IF(AK99=summaryref2!B142,summaryref2!U142,"")))))))))))</f>
        <v/>
      </c>
      <c r="BF99" s="1432"/>
      <c r="BG99" s="1432"/>
      <c r="BJ99" s="1041" t="str">
        <f>Codes!$C$168</f>
        <v>MG - Monorail/Automated Guideway (PT)</v>
      </c>
      <c r="BK99" s="1042" t="str">
        <f>Valid!$B$84</f>
        <v>Half Grand Union</v>
      </c>
      <c r="BL99" s="1375" t="str">
        <f>IF('A-80 DirEntInv'!BL98&lt;&gt;"",'A-80 DirEntInv'!BL98,IF(BJ99=summaryref2!X16,summaryref2!Z16,IF(BJ99=summaryref2!X23,summaryref2!Z23,IF(BJ99=summaryref2!X30,summaryref2!Z30,IF(BJ99=summaryref2!X37,summaryref2!Z37,IF(BJ99=summaryref2!X44,summaryref2!Z44,IF(BJ99=summaryref2!X51,summaryref2!Z51,IF(BJ99=summaryref2!X58,summaryref2!Z58,IF(BJ99=summaryref2!X65,summaryref2!Z65,IF(BJ99=summaryref2!X72,summaryref2!Z72,IF(BJ99=summaryref2!X79,summaryref2!Z79,"")))))))))))</f>
        <v/>
      </c>
      <c r="BM99" s="1042" t="str">
        <f>VLOOKUP(BK99,Valid!$B$80:$C$86,2,FALSE)</f>
        <v>Each</v>
      </c>
      <c r="BN99" s="1209" t="str">
        <f>IF('A-80 DirEntInv'!BN98&lt;&gt;"",'A-80 DirEntInv'!BN98,IF(BJ99=summaryref2!X16,summaryref2!AB16,IF(BJ99=summaryref2!X23,summaryref2!AB23,IF(BJ99=summaryref2!X30,summaryref2!AB30,IF(BJ99=summaryref2!X37,summaryref2!AB37,IF(BJ99=summaryref2!X44,summaryref2!AB44,IF(BJ99=summaryref2!X51,summaryref2!AB51,IF(BJ99=summaryref2!X58,summaryref2!AB58,IF(BJ99=summaryref2!X65,summaryref2!AB65,IF(BJ99=summaryref2!X72,summaryref2!AB72,IF(BJ99=summaryref2!X79,summaryref2!AB79,"")))))))))))</f>
        <v/>
      </c>
      <c r="BO99" s="1116" t="str">
        <f>IF('A-80 DirEntInv'!BO98&lt;&gt;"",'A-80 DirEntInv'!BO98,IF(BJ99=summaryref2!X16,summaryref2!AC16,IF(BJ99=summaryref2!X23,summaryref2!AC23,IF(BJ99=summaryref2!X30,summaryref2!AC30,IF(BJ99=summaryref2!X37,summaryref2!AC37,IF(BJ99=summaryref2!X44,summaryref2!AC44,IF(BJ99=summaryref2!X51,summaryref2!AC51,IF(BJ99=summaryref2!X58,summaryref2!AC58,IF(BJ99=summaryref2!X65,summaryref2!AC65,IF(BJ99=summaryref2!X72,summaryref2!AC72,IF(BJ99=summaryref2!X79,summaryref2!AC79,"")))))))))))</f>
        <v/>
      </c>
      <c r="BP99" s="1384" t="str">
        <f>IF('A-80 DirEntInv'!BP98&lt;&gt;"",'A-80 DirEntInv'!BP98,IF(BJ99=summaryref2!X16,summaryref2!AD16,IF(BJ99=summaryref2!X23,summaryref2!AD23,IF(BJ99=summaryref2!X30,summaryref2!AD30,IF(BJ99=summaryref2!X37,summaryref2!AD37,IF(BJ99=summaryref2!X44,summaryref2!AD44,IF(BJ99=summaryref2!X51,summaryref2!AD51,IF(BJ99=summaryref2!X58,summaryref2!AD58,IF(BJ99=summaryref2!X65,summaryref2!AD65,IF(BJ99=summaryref2!X72,summaryref2!AD72,IF(BJ99=summaryref2!X79,summaryref2!AD79,"")))))))))))</f>
        <v/>
      </c>
      <c r="BS99" s="1472" t="str">
        <f ca="1">IF('A-80 DirEntInv'!BU98&lt;&gt;"",'A-80 DirEntInv'!BU98,IF(INDIRECT(ADDRESS(SumRef!DK105,SumRef!DK$16,,,SumRef!$E$6))="","",INDIRECT(ADDRESS(SumRef!DK105,SumRef!DK$16,,,SumRef!$E$6))))</f>
        <v/>
      </c>
      <c r="BT99" s="1458" t="str">
        <f ca="1">IF('A-80 DirEntInv'!BV98&lt;&gt;"",'A-80 DirEntInv'!BV98,IF(INDIRECT(ADDRESS(SumRef!DL105,SumRef!DL$16,,,SumRef!$E$6))="","",INDIRECT(ADDRESS(SumRef!DL105,SumRef!DL$16,,,SumRef!$E$6))))</f>
        <v/>
      </c>
      <c r="BU99" s="1177" t="str">
        <f ca="1">IF('A-80 DirEntInv'!BW98&lt;&gt;"",'A-80 DirEntInv'!BW98,IF(INDIRECT(ADDRESS(SumRef!DM105,SumRef!DM$16,,,SumRef!$E$6))="","",INDIRECT(ADDRESS(SumRef!DM105,SumRef!DM$16,,,SumRef!$E$6))))</f>
        <v/>
      </c>
      <c r="BV99" s="1460" t="str">
        <f ca="1">IF('A-80 DirEntInv'!BX98&lt;&gt;"",'A-80 DirEntInv'!BX98,IF(INDIRECT(ADDRESS(SumRef!DN105,SumRef!DN$16,,,SumRef!$E$6))="","",INDIRECT(ADDRESS(SumRef!DN105,SumRef!DN$16,,,SumRef!$E$6))))</f>
        <v/>
      </c>
      <c r="BW99" s="1460" t="str">
        <f ca="1">IF('A-80 DirEntInv'!BY98&lt;&gt;"",'A-80 DirEntInv'!BY98,IF(INDIRECT(ADDRESS(SumRef!DO105,SumRef!DO$16,,,SumRef!$E$6))="","",INDIRECT(ADDRESS(SumRef!DO105,SumRef!DO$16,,,SumRef!$E$6))))</f>
        <v/>
      </c>
      <c r="BX99" s="1116" t="str">
        <f ca="1">IF('A-80 DirEntInv'!BZ98&lt;&gt;"",'A-80 DirEntInv'!BZ98,IF(INDIRECT(ADDRESS(SumRef!DP105,SumRef!DP$16,,,SumRef!$E$6))="","",INDIRECT(ADDRESS(SumRef!DP105,SumRef!DP$16,,,SumRef!$E$6))))</f>
        <v/>
      </c>
      <c r="BY99" s="1461" t="str">
        <f ca="1">IF('A-80 DirEntInv'!CA98&lt;&gt;"",'A-80 DirEntInv'!CA98,IF(INDIRECT(ADDRESS(SumRef!DQ105,SumRef!DQ$16,,,SumRef!$E$6))="","",INDIRECT(ADDRESS(SumRef!DQ105,SumRef!DQ$16,,,SumRef!$E$6))))</f>
        <v/>
      </c>
      <c r="BZ99" s="1460" t="str">
        <f ca="1">IF('A-80 DirEntInv'!CB98&lt;&gt;"",'A-80 DirEntInv'!CB98,IF(INDIRECT(ADDRESS(SumRef!DR105,SumRef!DR$16,,,SumRef!$E$6))="","",INDIRECT(ADDRESS(SumRef!DR105,SumRef!DR$16,,,SumRef!$E$6))))</f>
        <v/>
      </c>
      <c r="CA99" s="1462" t="str">
        <f ca="1">IF('A-80 DirEntInv'!CC98&lt;&gt;"",'A-80 DirEntInv'!CC98,IF(INDIRECT(ADDRESS(SumRef!DS105,SumRef!DS$16,,,SumRef!$E$6))="","",INDIRECT(ADDRESS(SumRef!DS105,SumRef!DS$16,,,SumRef!$E$6))))</f>
        <v/>
      </c>
      <c r="CD99" s="1160" t="str">
        <f ca="1">IF('A-80 DirEntInv'!CF98&lt;&gt;"",'A-80 DirEntInv'!CF98,IF(INDIRECT(ADDRESS(SumRef!DV105,SumRef!DV$16,,,SumRef!$E$7))="","",INDIRECT(ADDRESS(SumRef!DV105,SumRef!DV$16,,,SumRef!$E$7))))</f>
        <v/>
      </c>
      <c r="CE99" s="1167" t="str">
        <f ca="1">IF('A-80 DirEntInv'!CG98&lt;&gt;"",'A-80 DirEntInv'!CG98,IF(INDIRECT(ADDRESS(SumRef!DW105,SumRef!DW$16,,,SumRef!$E$7))="","",INDIRECT(ADDRESS(SumRef!DW105,SumRef!DW$16,,,SumRef!$E$7))))</f>
        <v/>
      </c>
      <c r="CF99" s="1167" t="str">
        <f ca="1">IF('A-80 DirEntInv'!CH98&lt;&gt;"",'A-80 DirEntInv'!CH98,IF(INDIRECT(ADDRESS(SumRef!DX105,SumRef!DX$16,,,SumRef!$E$7))="","",INDIRECT(ADDRESS(SumRef!DX105,SumRef!DX$16,,,SumRef!$E$7))))</f>
        <v/>
      </c>
      <c r="CG99" s="1167" t="str">
        <f ca="1">IF('A-80 DirEntInv'!CI98&lt;&gt;"",'A-80 DirEntInv'!CI98,IF(INDIRECT(ADDRESS(SumRef!DY105,SumRef!DY$16,,,SumRef!$E$7))="","",INDIRECT(ADDRESS(SumRef!DY105,SumRef!DY$16,,,SumRef!$E$7))))</f>
        <v/>
      </c>
      <c r="CH99" s="1167" t="str">
        <f ca="1">IF('A-80 DirEntInv'!CJ98&lt;&gt;"",'A-80 DirEntInv'!CJ98,IF(INDIRECT(ADDRESS(SumRef!DZ105,SumRef!DZ$16,,,SumRef!$E$7))="","",INDIRECT(ADDRESS(SumRef!DZ105,SumRef!DZ$16,,,SumRef!$E$7))))</f>
        <v/>
      </c>
      <c r="CI99" s="1167" t="str">
        <f ca="1">IF('A-80 DirEntInv'!CK98&lt;&gt;"",'A-80 DirEntInv'!CK98,IF(INDIRECT(ADDRESS(SumRef!EA105,SumRef!EA$16,,,SumRef!$E$7))="","",INDIRECT(ADDRESS(SumRef!EA105,SumRef!EA$16,,,SumRef!$E$7))))</f>
        <v/>
      </c>
      <c r="CJ99" s="1114" t="str">
        <f ca="1">IF('A-80 DirEntInv'!CL98&lt;&gt;"",'A-80 DirEntInv'!CL98,IF(INDIRECT(ADDRESS(SumRef!EB105,SumRef!EB$16,,,SumRef!$E$7))="","",INDIRECT(ADDRESS(SumRef!EB105,SumRef!EB$16,,,SumRef!$E$7))))</f>
        <v/>
      </c>
      <c r="CK99" s="1114" t="str">
        <f ca="1">IF('A-80 DirEntInv'!CM98&lt;&gt;"",'A-80 DirEntInv'!CM98,IF(INDIRECT(ADDRESS(SumRef!EC105,SumRef!EC$16,,,SumRef!$E$7))="","",INDIRECT(ADDRESS(SumRef!EC105,SumRef!EC$16,,,SumRef!$E$7))))</f>
        <v/>
      </c>
      <c r="CL99" s="1113" t="str">
        <f ca="1">IF('A-80 DirEntInv'!CO98&lt;&gt;"",'A-80 DirEntInv'!CO98,IF(INDIRECT(ADDRESS(SumRef!ED105,SumRef!ED$16,,,SumRef!$E$7))="","",INDIRECT(ADDRESS(SumRef!ED105,SumRef!ED$16,,,SumRef!$E$7))))</f>
        <v/>
      </c>
      <c r="CM99" s="1114" t="str">
        <f ca="1">IF('A-80 DirEntInv'!CP98&lt;&gt;"",'A-80 DirEntInv'!CP98,IF(INDIRECT(ADDRESS(SumRef!EE105,SumRef!EE$16,,,SumRef!$E$7))="","",INDIRECT(ADDRESS(SumRef!EE105,SumRef!EE$16,,,SumRef!$E$7))))</f>
        <v/>
      </c>
      <c r="CN99" s="1114" t="str">
        <f ca="1">IF('A-80 DirEntInv'!CQ98&lt;&gt;"",'A-80 DirEntInv'!CQ98,IF(INDIRECT(ADDRESS(SumRef!EF105,SumRef!EF$16,,,SumRef!$E$7))="","",INDIRECT(ADDRESS(SumRef!EF105,SumRef!EF$16,,,SumRef!$E$7))))</f>
        <v/>
      </c>
      <c r="CO99" s="1113" t="str">
        <f ca="1">IF('A-80 DirEntInv'!CR98&lt;&gt;"",'A-80 DirEntInv'!CR98,IF(INDIRECT(ADDRESS(SumRef!EG105,SumRef!EG$16,,,SumRef!$E$7))="","",INDIRECT(ADDRESS(SumRef!EG105,SumRef!EG$16,,,SumRef!$E$7))))</f>
        <v/>
      </c>
      <c r="CP99" s="1114" t="str">
        <f ca="1">IF('A-80 DirEntInv'!CS98&lt;&gt;"",'A-80 DirEntInv'!CS98,IF(INDIRECT(ADDRESS(SumRef!EH105,SumRef!EH$16,,,SumRef!$E$7))="","",INDIRECT(ADDRESS(SumRef!EH105,SumRef!EH$16,,,SumRef!$E$7))))</f>
        <v/>
      </c>
      <c r="CQ99" s="1346" t="str">
        <f ca="1">IF('A-80 DirEntInv'!CT98&lt;&gt;"",'A-80 DirEntInv'!CT98,IF(INDIRECT(ADDRESS(SumRef!EI105,SumRef!EI$16,,,SumRef!$E$7))="","",INDIRECT(ADDRESS(SumRef!EI105,SumRef!EI$16,,,SumRef!$E$7))))</f>
        <v/>
      </c>
      <c r="CR99" s="1113" t="str">
        <f ca="1">IF('A-80 DirEntInv'!CU98&lt;&gt;"",'A-80 DirEntInv'!CU98,IF(INDIRECT(ADDRESS(SumRef!EJ105,SumRef!EJ$16,,,SumRef!$E$7))="","",INDIRECT(ADDRESS(SumRef!EJ105,SumRef!EJ$16,,,SumRef!$E$7))))</f>
        <v/>
      </c>
      <c r="CS99" s="1346" t="str">
        <f ca="1">IF('A-80 DirEntInv'!CV98&lt;&gt;"",'A-80 DirEntInv'!CV98,IF(INDIRECT(ADDRESS(SumRef!EM105,SumRef!EM$16,,,SumRef!$E$7))="","",INDIRECT(ADDRESS(SumRef!EM105,SumRef!EM$16,,,SumRef!$E$7))))</f>
        <v/>
      </c>
      <c r="CT99" s="1113" t="str">
        <f ca="1">IF('A-80 DirEntInv'!CW98&lt;&gt;"",'A-80 DirEntInv'!CW98,IF(INDIRECT(ADDRESS(SumRef!EN105,SumRef!EN$16,,,SumRef!$E$7))="","",INDIRECT(ADDRESS(SumRef!EN105,SumRef!EN$16,,,SumRef!$E$7))))</f>
        <v/>
      </c>
      <c r="CU99" s="1113" t="str">
        <f ca="1">IF('A-80 DirEntInv'!CX98&lt;&gt;"",'A-80 DirEntInv'!CX98,IF(INDIRECT(ADDRESS(SumRef!EO105,SumRef!EO$16,,,SumRef!$E$7))="","",INDIRECT(ADDRESS(SumRef!EO105,SumRef!EO$16,,,SumRef!$E$7))))</f>
        <v/>
      </c>
      <c r="CV99" s="1113" t="str">
        <f ca="1">IF('A-80 DirEntInv'!CY98&lt;&gt;"",'A-80 DirEntInv'!CY98,IF(INDIRECT(ADDRESS(SumRef!EP105,SumRef!EP$16,,,SumRef!$E$7))="","",INDIRECT(ADDRESS(SumRef!EP105,SumRef!EP$16,,,SumRef!$E$7))))</f>
        <v/>
      </c>
      <c r="CW99" s="1114" t="str">
        <f ca="1">IF('A-80 DirEntInv'!CZ98&lt;&gt;"",'A-80 DirEntInv'!CZ98,IF(INDIRECT(ADDRESS(SumRef!ES105,SumRef!ES$16,,,SumRef!$E$7))="","",INDIRECT(ADDRESS(SumRef!ES105,SumRef!ES$16,,,SumRef!$E$7))))</f>
        <v/>
      </c>
      <c r="CX99" s="1167" t="str">
        <f ca="1">IF('A-80 DirEntInv'!DA98&lt;&gt;"",'A-80 DirEntInv'!DA98,IF(INDIRECT(ADDRESS(SumRef!ET105,SumRef!ET$16,,,SumRef!$E$7))="","",INDIRECT(ADDRESS(SumRef!ET105,SumRef!ET$16,,,SumRef!$E$7))))</f>
        <v/>
      </c>
      <c r="CY99" s="1167" t="str">
        <f ca="1">IF('A-80 DirEntInv'!DB98&lt;&gt;"",'A-80 DirEntInv'!DB98,IF(INDIRECT(ADDRESS(SumRef!EU105,SumRef!EU$16,,,SumRef!$E$7))="","",INDIRECT(ADDRESS(SumRef!EU105,SumRef!EU$16,,,SumRef!$E$7))))</f>
        <v/>
      </c>
      <c r="CZ99" s="1167" t="b">
        <f ca="1">IF('A-80 DirEntInv'!DC98&lt;&gt;"",'A-80 DirEntInv'!DC98,IF(INDIRECT(ADDRESS(SumRef!EV105,SumRef!EV$16,,,SumRef!$E$7))="","",INDIRECT(ADDRESS(SumRef!EV105,SumRef!EV$16,,,SumRef!$E$7))))</f>
        <v>0</v>
      </c>
      <c r="DA99" s="1373" t="str">
        <f ca="1">IF('A-80 DirEntInv'!DD98&lt;&gt;"",'A-80 DirEntInv'!DD98,IF(INDIRECT(ADDRESS(SumRef!EW105,SumRef!EW$16,,,SumRef!$E$7))="","",INDIRECT(ADDRESS(SumRef!EW105,SumRef!EW$16,,,SumRef!$E$7))))</f>
        <v/>
      </c>
      <c r="DB99" s="1373" t="b">
        <f ca="1">IF('A-80 DirEntInv'!DE98&lt;&gt;"",'A-80 DirEntInv'!DE98,IF(INDIRECT(ADDRESS(SumRef!EX105,SumRef!EX$16,,,SumRef!$E$7))="","",INDIRECT(ADDRESS(SumRef!EX105,SumRef!EX$16,,,SumRef!$E$7))))</f>
        <v>0</v>
      </c>
      <c r="DC99" s="1114" t="b">
        <f ca="1">IF('A-80 DirEntInv'!DF98&lt;&gt;"",'A-80 DirEntInv'!DF98,IF(INDIRECT(ADDRESS(SumRef!EY105,SumRef!EY$16,,,SumRef!$E$7))="","",INDIRECT(ADDRESS(SumRef!EY105,SumRef!EY$16,,,SumRef!$E$7))))</f>
        <v>0</v>
      </c>
      <c r="DD99" s="1115" t="str">
        <f ca="1">IF('A-80 DirEntInv'!DG98&lt;&gt;"",'A-80 DirEntInv'!DG98,IF(INDIRECT(ADDRESS(SumRef!EZ105,SumRef!EZ$16,,,SumRef!$E$7))="","",INDIRECT(ADDRESS(SumRef!EZ105,SumRef!EZ$16,,,SumRef!$E$7))))</f>
        <v/>
      </c>
    </row>
    <row r="100" spans="1:108" s="588" customFormat="1" x14ac:dyDescent="0.2">
      <c r="A100" s="589">
        <f t="shared" si="1"/>
        <v>90</v>
      </c>
      <c r="B100" s="1155" t="str">
        <f ca="1">IF('A-80 DirEntInv'!B99&lt;&gt;"",'A-80 DirEntInv'!B99,IF(INDIRECT(ADDRESS(SumRef!AQ106,SumRef!AQ$16,,,SumRef!$B$7))="","",INDIRECT(ADDRESS(SumRef!AQ106,SumRef!AQ$16,,,SumRef!$B$7))))</f>
        <v/>
      </c>
      <c r="C100" s="1097" t="str">
        <f ca="1">IF('A-80 DirEntInv'!C99&lt;&gt;"",'A-80 DirEntInv'!C99,IF(INDIRECT(ADDRESS(SumRef!AR106,SumRef!AR$16,,,SumRef!$B$7))="","",INDIRECT(ADDRESS(SumRef!AR106,SumRef!AR$16,,,SumRef!$B$7))))</f>
        <v/>
      </c>
      <c r="D100" s="1097" t="str">
        <f ca="1">IF('A-80 DirEntInv'!D99&lt;&gt;"",'A-80 DirEntInv'!D99,IF(INDIRECT(ADDRESS(SumRef!AS106,SumRef!AS$16,,,SumRef!$B$7))="","",INDIRECT(ADDRESS(SumRef!AS106,SumRef!AS$16,,,SumRef!$B$7))))</f>
        <v/>
      </c>
      <c r="E100" s="1097" t="str">
        <f ca="1">IF('A-80 DirEntInv'!E99&lt;&gt;"",'A-80 DirEntInv'!E99,IF(INDIRECT(ADDRESS(SumRef!AT106,SumRef!AT$16,,,SumRef!$B$7))="","",INDIRECT(ADDRESS(SumRef!AT106,SumRef!AT$16,,,SumRef!$B$7))))</f>
        <v/>
      </c>
      <c r="F100" s="1097" t="str">
        <f ca="1">IF('A-80 DirEntInv'!F99&lt;&gt;"",'A-80 DirEntInv'!F99,IF(INDIRECT(ADDRESS(SumRef!AU106,SumRef!AU$16,,,SumRef!$B$7))="","",INDIRECT(ADDRESS(SumRef!AU106,SumRef!AU$16,,,SumRef!$B$7))))</f>
        <v/>
      </c>
      <c r="G100" s="1158" t="str">
        <f ca="1">IF('A-80 DirEntInv'!G99&lt;&gt;"",'A-80 DirEntInv'!G99,IF(INDIRECT(ADDRESS(SumRef!AV106,SumRef!AV$16,,,SumRef!$B$7))="","",INDIRECT(ADDRESS(SumRef!AV106,SumRef!AV$16,,,SumRef!$B$7))))</f>
        <v/>
      </c>
      <c r="H100" s="1097" t="str">
        <f ca="1">IF('A-80 DirEntInv'!H99&lt;&gt;"",'A-80 DirEntInv'!H99,IF(INDIRECT(ADDRESS(SumRef!AW106,SumRef!AW$16,,,SumRef!$B$7))="","",INDIRECT(ADDRESS(SumRef!AW106,SumRef!AW$16,,,SumRef!$B$7))))</f>
        <v/>
      </c>
      <c r="I100" s="1097" t="str">
        <f ca="1">IF('A-80 DirEntInv'!I99&lt;&gt;"",'A-80 DirEntInv'!I99,IF(INDIRECT(ADDRESS(SumRef!AX106,SumRef!AX$16,,,SumRef!$B$7))="","",INDIRECT(ADDRESS(SumRef!AX106,SumRef!AX$16,,,SumRef!$B$7))))</f>
        <v/>
      </c>
      <c r="J100" s="1098" t="str">
        <f ca="1">IF('A-80 DirEntInv'!J99&lt;&gt;"",'A-80 DirEntInv'!J99,IF(INDIRECT(ADDRESS(SumRef!AY106,SumRef!AY$16,,,SumRef!$B$7))="","",INDIRECT(ADDRESS(SumRef!AY106,SumRef!AY$16,,,SumRef!$B$7))))</f>
        <v/>
      </c>
      <c r="K100" s="1099" t="str">
        <f ca="1">IF('A-80 DirEntInv'!K99&lt;&gt;"",'A-80 DirEntInv'!K99,IF(INDIRECT(ADDRESS(SumRef!AZ106,SumRef!AZ$16,,,SumRef!$B$7))="","",INDIRECT(ADDRESS(SumRef!AZ106,SumRef!AZ$16,,,SumRef!$B$7))))</f>
        <v/>
      </c>
      <c r="L100" s="1100" t="str">
        <f ca="1">IF('A-80 DirEntInv'!L99&lt;&gt;"",'A-80 DirEntInv'!L99,IF(INDIRECT(ADDRESS(SumRef!BA106,SumRef!BA$16,,,SumRef!$B$7))="","",INDIRECT(ADDRESS(SumRef!BA106,SumRef!BA$16,,,SumRef!$B$7))))</f>
        <v/>
      </c>
      <c r="M100" s="1101" t="str">
        <f ca="1">IF('A-80 DirEntInv'!M99&lt;&gt;"",'A-80 DirEntInv'!M99,IF(INDIRECT(ADDRESS(SumRef!BB106,SumRef!BB$16,,,SumRef!$B$7))="","",INDIRECT(ADDRESS(SumRef!BB106,SumRef!BB$16,,,SumRef!$B$7))))</f>
        <v/>
      </c>
      <c r="N100" s="1098" t="str">
        <f ca="1">IF('A-80 DirEntInv'!N99&lt;&gt;"",'A-80 DirEntInv'!N99,IF(INDIRECT(ADDRESS(SumRef!BC106,SumRef!BC$16,,,SumRef!$B$7))="","",INDIRECT(ADDRESS(SumRef!BC106,SumRef!BC$16,,,SumRef!$B$7))))</f>
        <v/>
      </c>
      <c r="O100" s="1102" t="str">
        <f ca="1">IF('A-80 DirEntInv'!O99&lt;&gt;"",'A-80 DirEntInv'!O99,IF(INDIRECT(ADDRESS(SumRef!BD106,SumRef!BD$16,,,SumRef!$B$7))="","",INDIRECT(ADDRESS(SumRef!BD106,SumRef!BD$16,,,SumRef!$B$7))))</f>
        <v/>
      </c>
      <c r="Q100" s="589"/>
      <c r="R100" s="1103" t="str">
        <f ca="1">IF('A-80 DirEntInv'!R99&lt;&gt;"",'A-80 DirEntInv'!R99,IF(INDIRECT(ADDRESS(SumRef!BH106,SumRef!BH$16,,,SumRef!$B$8))="","",INDIRECT(ADDRESS(SumRef!BH106,SumRef!BH$16,,,SumRef!$B$8))))</f>
        <v/>
      </c>
      <c r="S100" s="1104" t="str">
        <f ca="1">IF('A-80 DirEntInv'!S99&lt;&gt;"",'A-80 DirEntInv'!S99,IF(INDIRECT(ADDRESS(SumRef!BI106,SumRef!BI$16,,,SumRef!$B$8))="","",INDIRECT(ADDRESS(SumRef!BI106,SumRef!BI$16,,,SumRef!$B$8))))</f>
        <v/>
      </c>
      <c r="T100" s="1104" t="str">
        <f ca="1">IF('A-80 DirEntInv'!T99&lt;&gt;"",'A-80 DirEntInv'!T99,IF(INDIRECT(ADDRESS(SumRef!BJ106,SumRef!BJ$16,,,SumRef!$B$8))="","",INDIRECT(ADDRESS(SumRef!BJ106,SumRef!BJ$16,,,SumRef!$B$8))))</f>
        <v/>
      </c>
      <c r="U100" s="1104" t="str">
        <f ca="1">IF('A-80 DirEntInv'!U99&lt;&gt;"",'A-80 DirEntInv'!U99,IF(INDIRECT(ADDRESS(SumRef!BK106,SumRef!BK$16,,,SumRef!$B$8))="","",INDIRECT(ADDRESS(SumRef!BK106,SumRef!BK$16,,,SumRef!$B$8))))</f>
        <v/>
      </c>
      <c r="V100" s="1104" t="str">
        <f ca="1">IF('A-80 DirEntInv'!V99&lt;&gt;"",'A-80 DirEntInv'!V99,IF(INDIRECT(ADDRESS(SumRef!BL106,SumRef!BL$16,,,SumRef!$B$8))="","",INDIRECT(ADDRESS(SumRef!BL106,SumRef!BL$16,,,SumRef!$B$8))))</f>
        <v/>
      </c>
      <c r="W100" s="1354" t="str">
        <f ca="1">IF('A-80 DirEntInv'!W99&lt;&gt;"",'A-80 DirEntInv'!W99,IF(INDIRECT(ADDRESS(SumRef!BM106,SumRef!BM$16,,,SumRef!$B$8))="","",INDIRECT(ADDRESS(SumRef!BM106,SumRef!BM$16,,,SumRef!$B$8))))</f>
        <v/>
      </c>
      <c r="X100" s="1203" t="str">
        <f ca="1">IF('A-80 DirEntInv'!X99&lt;&gt;"",'A-80 DirEntInv'!X99,IF(INDIRECT(ADDRESS(SumRef!BN106,SumRef!BN$16,,,SumRef!$B$8))="","",INDIRECT(ADDRESS(SumRef!BN106,SumRef!BN$16,,,SumRef!$B$8))))</f>
        <v/>
      </c>
      <c r="Y100" s="1203" t="str">
        <f ca="1">IF('A-80 DirEntInv'!Y99&lt;&gt;"",'A-80 DirEntInv'!Y99,IF(INDIRECT(ADDRESS(SumRef!BO106,SumRef!BO$16,,,SumRef!$B$8))="","",INDIRECT(ADDRESS(SumRef!BO106,SumRef!BO$16,,,SumRef!$B$8))))</f>
        <v/>
      </c>
      <c r="Z100" s="1104" t="str">
        <f ca="1">IF('A-80 DirEntInv'!Z99&lt;&gt;"",'A-80 DirEntInv'!Z99,IF(INDIRECT(ADDRESS(SumRef!BP106,SumRef!BP$16,,,SumRef!$B$8))="","",INDIRECT(ADDRESS(SumRef!BP106,SumRef!BP$16,,,SumRef!$B$8))))</f>
        <v/>
      </c>
      <c r="AA100" s="1104" t="str">
        <f ca="1">IF('A-80 DirEntInv'!AA99&lt;&gt;"",'A-80 DirEntInv'!AA99,IF(INDIRECT(ADDRESS(SumRef!BQ106,SumRef!BQ$16,,,SumRef!$B$8))="","",INDIRECT(ADDRESS(SumRef!BQ106,SumRef!BQ$16,,,SumRef!$B$8))))</f>
        <v/>
      </c>
      <c r="AB100" s="1106" t="str">
        <f ca="1">IF('A-80 DirEntInv'!AB99&lt;&gt;"",'A-80 DirEntInv'!AB99,IF(INDIRECT(ADDRESS(SumRef!BR106,SumRef!BR$16,,,SumRef!$B$8))="","",INDIRECT(ADDRESS(SumRef!BR106,SumRef!BR$16,,,SumRef!$B$8))))</f>
        <v/>
      </c>
      <c r="AC100" s="1107" t="str">
        <f ca="1">IF('A-80 DirEntInv'!AC99&lt;&gt;"",'A-80 DirEntInv'!AC99,IF(INDIRECT(ADDRESS(SumRef!BS106,SumRef!BS$16,,,SumRef!$B$8))="","",INDIRECT(ADDRESS(SumRef!BS106,SumRef!BS$16,,,SumRef!$B$8))))</f>
        <v/>
      </c>
      <c r="AD100" s="1349" t="str">
        <f ca="1">IF('A-80 DirEntInv'!AD99&lt;&gt;"",'A-80 DirEntInv'!AD99,IF(INDIRECT(ADDRESS(SumRef!BT106,SumRef!BT$16,,,SumRef!$B$8))="","",INDIRECT(ADDRESS(SumRef!BT106,SumRef!BT$16,,,SumRef!$B$8))))</f>
        <v/>
      </c>
      <c r="AE100" s="1137" t="str">
        <f ca="1">IF('A-80 DirEntInv'!AE99&lt;&gt;"",'A-80 DirEntInv'!AE99,IF(INDIRECT(ADDRESS(SumRef!BU106,SumRef!BU$16,,,SumRef!$B$8))="","",INDIRECT(ADDRESS(SumRef!BU106,SumRef!BU$16,,,SumRef!$B$8))))</f>
        <v/>
      </c>
      <c r="AF100" s="1346" t="str">
        <f ca="1">IF('A-80 DirEntInv'!AF99&lt;&gt;"",'A-80 DirEntInv'!AF99,IF(INDIRECT(ADDRESS(SumRef!BV106,SumRef!BV$16,,,SumRef!$B$8))="","",INDIRECT(ADDRESS(SumRef!BV106,SumRef!BV$16,,,SumRef!$B$8))))</f>
        <v/>
      </c>
      <c r="AG100" s="1105" t="str">
        <f ca="1">IF('A-80 DirEntInv'!AG99&lt;&gt;"",'A-80 DirEntInv'!AG99,IF(INDIRECT(ADDRESS(SumRef!BW106,SumRef!BW$16,,,SumRef!$B$8))="","",INDIRECT(ADDRESS(SumRef!BW106,SumRef!BW$16,,,SumRef!$B$8))))</f>
        <v/>
      </c>
      <c r="AH100" s="1357" t="str">
        <f ca="1">IF('A-80 DirEntInv'!AH99&lt;&gt;"",'A-80 DirEntInv'!AH99,IF(INDIRECT(ADDRESS(SumRef!BX106,SumRef!BX$16,,,SumRef!$B$8))="","",INDIRECT(ADDRESS(SumRef!BX106,SumRef!BX$16,,,SumRef!$B$8))))</f>
        <v/>
      </c>
      <c r="AK100" s="1041" t="str">
        <f>Codes!$C$162</f>
        <v>CR - Commuter Rail (PT)</v>
      </c>
      <c r="AL100" s="1042" t="str">
        <f>Valid!$B$76</f>
        <v>Below-Grade/Retained Cut</v>
      </c>
      <c r="AM100" s="1108" t="str">
        <f>IF('A-80 DirEntInv'!AM99&lt;&gt;"",'A-80 DirEntInv'!AM99,IF(AK100=summaryref2!B17,summaryref2!D17,IF(Summary!AK100=summaryref2!B31,summaryref2!D31,IF(AK100=summaryref2!B45,summaryref2!D45,IF(AK100=summaryref2!B59,summaryref2!D59,IF(AK100=summaryref2!B73,summaryref2!D73,IF(AK100=summaryref2!B87,summaryref2!D87,IF(AK100=summaryref2!B101,summaryref2!D101,IF(AK100=summaryref2!B115,summaryref2!D115,IF(AK100=summaryref2!B129,summaryref2!D129,IF(AK100=summaryref2!B143,summaryref2!D143,"")))))))))))</f>
        <v/>
      </c>
      <c r="AN100" s="1109" t="str">
        <f ca="1">IF('A-80 DirEntInv'!AN85&lt;&gt;"",'A-80 DirEntInv'!AN85,IF(INDIRECT(ADDRESS(SumRef!CG99,SumRef!CG$16,,,SumRef!$C$7))="","",INDIRECT(ADDRESS(SumRef!CG99,SumRef!CG$16,,,SumRef!$C$7))))</f>
        <v>Linear Feet</v>
      </c>
      <c r="AO100" s="1108" t="str">
        <f>IF('A-80 DirEntInv'!AO99&lt;&gt;"",'A-80 DirEntInv'!AO99,IF(AK100=summaryref2!B17,summaryref2!F17,IF(Summary!AK100=summaryref2!B31,summaryref2!F31,IF(AK100=summaryref2!B45,summaryref2!F45,IF(AK100=summaryref2!B59,summaryref2!F59,IF(AK100=summaryref2!B73,summaryref2!F73,IF(AK100=summaryref2!B87,summaryref2!F87,IF(AK100=summaryref2!B101,summaryref2!F101,IF(AK100=summaryref2!B115,summaryref2!F115,IF(AK100=summaryref2!B129,summaryref2!F129,IF(AK100=summaryref2!B143,summaryref2!F143,"")))))))))))</f>
        <v/>
      </c>
      <c r="AP100" s="1109" t="str">
        <f ca="1">IF('A-80 DirEntInv'!AP85&lt;&gt;"",'A-80 DirEntInv'!AP85,IF(INDIRECT(ADDRESS(SumRef!#REF!,SumRef!#REF!,,,SumRef!$C$7))="","",INDIRECT(ADDRESS(SumRef!#REF!,SumRef!#REF!,,,SumRef!$C$7))))</f>
        <v>Track Feet</v>
      </c>
      <c r="AQ100" s="1147" t="str">
        <f>IF('A-80 DirEntInv'!AQ99&lt;&gt;"",'A-80 DirEntInv'!AQ99,IF(AK100=summaryref2!B17,summaryref2!G17,IF(Summary!AK100=summaryref2!B31,summaryref2!G31,IF(AK100=summaryref2!B45,summaryref2!G45,IF(AK100=summaryref2!B59,summaryref2!G59,IF(AK100=summaryref2!B73,summaryref2!G73,IF(AK100=summaryref2!B87,summaryref2!G87,IF(AK100=summaryref2!B101,summaryref2!G101,IF(AK100=summaryref2!B115,summaryref2!G115,IF(AK100=summaryref2!B129,summaryref2!G129,IF(AK100=summaryref2!B143,summaryref2!G143,"")))))))))))</f>
        <v/>
      </c>
      <c r="AR100" s="1147" t="str">
        <f>IF('A-80 DirEntInv'!AR99&lt;&gt;"",'A-80 DirEntInv'!AR99,IF(AK100=summaryref2!B17,summaryref2!H17,IF(Summary!AK100=summaryref2!B31,summaryref2!H31,IF(AK100=summaryref2!B45,summaryref2!H45,IF(AK100=summaryref2!B59,summaryref2!H59,IF(AK100=summaryref2!B73,summaryref2!H73,IF(AK100=summaryref2!B87,summaryref2!H87,IF(AK100=summaryref2!B101,summaryref2!H101,IF(AK100=summaryref2!B115,summaryref2!H115,IF(AK100=summaryref2!B129,summaryref2!H129,IF(AK100=summaryref2!B143,summaryref2!H143,"")))))))))))</f>
        <v/>
      </c>
      <c r="AS100" s="1110" t="str">
        <f>IF('A-80 DirEntInv'!AS99&lt;&gt;"",'A-80 DirEntInv'!AS99,IF(AK100=summaryref2!B17,summaryref2!I17,IF(Summary!AK100=summaryref2!B31,summaryref2!I31,IF(AK100=summaryref2!B45,summaryref2!I45,IF(AK100=summaryref2!B59,summaryref2!I59,IF(AK100=summaryref2!B73,summaryref2!I73,IF(AK100=summaryref2!B87,summaryref2!I87,IF(AK100=summaryref2!B101,summaryref2!I101,IF(AK100=summaryref2!B115,summaryref2!I115,IF(AK100=summaryref2!B129,summaryref2!I129,IF(AK100=summaryref2!B143,summaryref2!I143,"")))))))))))</f>
        <v/>
      </c>
      <c r="AT100" s="1110" t="str">
        <f>IF('A-80 DirEntInv'!AT99&lt;&gt;"",'A-80 DirEntInv'!AT99,IF(AK100=summaryref2!B17,summaryref2!J17,IF(Summary!AK100=summaryref2!B31,summaryref2!J31,IF(AK100=summaryref2!B45,summaryref2!J45,IF(AK100=summaryref2!B59,summaryref2!J59,IF(AK100=summaryref2!B73,summaryref2!J73,IF(AK100=summaryref2!B87,summaryref2!J87,IF(AK100=summaryref2!B101,summaryref2!J101,IF(AK100=summaryref2!B115,summaryref2!J115,IF(AK100=summaryref2!B129,summaryref2!J129,IF(AK100=summaryref2!B143,summaryref2!J143,"")))))))))))</f>
        <v/>
      </c>
      <c r="AU100" s="1110" t="str">
        <f>IF('A-80 DirEntInv'!AU99&lt;&gt;"",'A-80 DirEntInv'!AU99,IF(AK100=summaryref2!B17,summaryref2!K17,IF(Summary!AK100=summaryref2!B31,summaryref2!K31,IF(AK100=summaryref2!B45,summaryref2!K45,IF(AK100=summaryref2!B59,summaryref2!K59,IF(AK100=summaryref2!B73,summaryref2!K73,IF(AK100=summaryref2!B87,summaryref2!K87,IF(AK100=summaryref2!B101,summaryref2!K101,IF(AK100=summaryref2!B115,summaryref2!K115,IF(AK100=summaryref2!B129,summaryref2!K129,IF(AK100=summaryref2!B143,summaryref2!K143,"")))))))))))</f>
        <v/>
      </c>
      <c r="AV100" s="1110" t="str">
        <f>IF('A-80 DirEntInv'!AV99&lt;&gt;"",'A-80 DirEntInv'!AV99,IF(AK100=summaryref2!B17,summaryref2!L17,IF(Summary!AK100=summaryref2!B31,summaryref2!L31,IF(AK100=summaryref2!B45,summaryref2!L45,IF(AK100=summaryref2!B59,summaryref2!L59,IF(AK100=summaryref2!B73,summaryref2!L73,IF(AK100=summaryref2!B87,summaryref2!L87,IF(AK100=summaryref2!B101,summaryref2!L101,IF(AK100=summaryref2!B115,summaryref2!L115,IF(AK100=summaryref2!B129,summaryref2!L129,IF(AK100=summaryref2!B143,summaryref2!L143,"")))))))))))</f>
        <v/>
      </c>
      <c r="AW100" s="1110" t="str">
        <f>IF('A-80 DirEntInv'!AW99&lt;&gt;"",'A-80 DirEntInv'!AW99,IF(AK100=summaryref2!B17,summaryref2!M17,IF(Summary!AK100=summaryref2!B31,summaryref2!M31,IF(AK100=summaryref2!B45,summaryref2!M45,IF(AK100=summaryref2!B59,summaryref2!M59,IF(AK100=summaryref2!B73,summaryref2!M73,IF(AK100=summaryref2!B87,summaryref2!M87,IF(AK100=summaryref2!B101,summaryref2!M101,IF(AK100=summaryref2!B115,summaryref2!M115,IF(AK100=summaryref2!B129,summaryref2!M129,IF(AK100=summaryref2!B143,summaryref2!M143,"")))))))))))</f>
        <v/>
      </c>
      <c r="AX100" s="1110" t="str">
        <f>IF('A-80 DirEntInv'!AX99&lt;&gt;"",'A-80 DirEntInv'!AX99,IF(AK100=summaryref2!B17,summaryref2!N17,IF(Summary!AK100=summaryref2!B31,summaryref2!N31,IF(AK100=summaryref2!B45,summaryref2!N45,IF(AK100=summaryref2!B59,summaryref2!N59,IF(AK100=summaryref2!B73,summaryref2!N73,IF(AK100=summaryref2!B87,summaryref2!N87,IF(AK100=summaryref2!B101,summaryref2!N101,IF(AK100=summaryref2!B115,summaryref2!N115,IF(AK100=summaryref2!B129,summaryref2!N129,IF(AK100=summaryref2!B143,summaryref2!N143,"")))))))))))</f>
        <v/>
      </c>
      <c r="AY100" s="1110" t="str">
        <f>IF('A-80 DirEntInv'!AY99&lt;&gt;"",'A-80 DirEntInv'!AY99,IF(AK100=summaryref2!B17,summaryref2!O17,IF(Summary!AK100=summaryref2!B31,summaryref2!O31,IF(AK100=summaryref2!B45,summaryref2!O45,IF(AK100=summaryref2!B59,summaryref2!O59,IF(AK100=summaryref2!B73,summaryref2!O73,IF(AK100=summaryref2!B87,summaryref2!O87,IF(AK100=summaryref2!B101,summaryref2!O101,IF(AK100=summaryref2!B115,summaryref2!O115,IF(AK100=summaryref2!B129,summaryref2!O129,IF(AK100=summaryref2!B143,summaryref2!O143,"")))))))))))</f>
        <v/>
      </c>
      <c r="AZ100" s="1110" t="str">
        <f>IF('A-80 DirEntInv'!AZ99&lt;&gt;"",'A-80 DirEntInv'!AZ99,IF(AK100=summaryref2!B17,summaryref2!P17,IF(Summary!AK100=summaryref2!B31,summaryref2!P31,IF(AK100=summaryref2!B45,summaryref2!P45,IF(AK100=summaryref2!B59,summaryref2!P59,IF(AK100=summaryref2!B73,summaryref2!P73,IF(AK100=summaryref2!B87,summaryref2!P87,IF(AK100=summaryref2!B101,summaryref2!P101,IF(AK100=summaryref2!B115,summaryref2!P115,IF(AK100=summaryref2!B129,summaryref2!P129,IF(AK100=summaryref2!B143,summaryref2!P143,"")))))))))))</f>
        <v/>
      </c>
      <c r="BA100" s="1110" t="str">
        <f>IF('A-80 DirEntInv'!BA99&lt;&gt;"",'A-80 DirEntInv'!BA99,IF(AK100=summaryref2!B17,summaryref2!Q17,IF(Summary!AK100=summaryref2!B31,summaryref2!Q31,IF(AK100=summaryref2!B45,summaryref2!Q45,IF(AK100=summaryref2!B59,summaryref2!Q59,IF(AK100=summaryref2!B73,summaryref2!Q73,IF(AK100=summaryref2!B87,summaryref2!Q87,IF(AK100=summaryref2!B101,summaryref2!Q101,IF(AK100=summaryref2!B115,summaryref2!Q115,IF(AK100=summaryref2!B129,summaryref2!Q129,IF(AK100=summaryref2!B143,summaryref2!Q143,"")))))))))))</f>
        <v/>
      </c>
      <c r="BB100" s="1110" t="str">
        <f>IF('A-80 DirEntInv'!BB99&lt;&gt;"",'A-80 DirEntInv'!BB99,IF(AK100=summaryref2!B17,summaryref2!R17,IF(Summary!AK100=summaryref2!B31,summaryref2!R31,IF(AK100=summaryref2!B45,summaryref2!R45,IF(AK100=summaryref2!B59,summaryref2!R59,IF(AK100=summaryref2!B73,summaryref2!R73,IF(AK100=summaryref2!B87,summaryref2!R87,IF(AK100=summaryref2!B101,summaryref2!R101,IF(AK100=summaryref2!B115,summaryref2!R115,IF(AK100=summaryref2!B129,summaryref2!R129,IF(AK100=summaryref2!B143,summaryref2!R143,"")))))))))))</f>
        <v/>
      </c>
      <c r="BC100" s="1110" t="str">
        <f>IF('A-80 DirEntInv'!BC99&lt;&gt;0,'A-80 DirEntInv'!BC99,IF(AK100=summaryref2!B17,summaryref2!S17,IF(Summary!AK100=summaryref2!B31,summaryref2!S31,IF(AK100=summaryref2!B45,summaryref2!S45,IF(AK100=summaryref2!B59,summaryref2!S59,IF(AK100=summaryref2!B73,summaryref2!S73,IF(AK100=summaryref2!B87,summaryref2!S87,IF(AK100=summaryref2!B101,summaryref2!S101,IF(AK100=summaryref2!B115,summaryref2!S115,IF(AK100=summaryref2!B129,summaryref2!S129,IF(AK100=summaryref2!B143,summaryref2!S143,"")))))))))))</f>
        <v/>
      </c>
      <c r="BD100" s="1111" t="str">
        <f>IF('A-80 DirEntInv'!BD99&lt;&gt;"",'A-80 DirEntInv'!BD99,IF(AK100=summaryref2!B17,summaryref2!T17,IF(Summary!AK100=summaryref2!B31,summaryref2!T31,IF(AK100=summaryref2!B45,summaryref2!T45,IF(AK100=summaryref2!B59,summaryref2!T59,IF(AK100=summaryref2!B73,summaryref2!T73,IF(AK100=summaryref2!B87,summaryref2!T87,IF(AK100=summaryref2!B101,summaryref2!T101,IF(AK100=summaryref2!B115,summaryref2!T115,IF(AK100=summaryref2!B129,summaryref2!T129,IF(AK100=summaryref2!B143,summaryref2!T143,"")))))))))))</f>
        <v/>
      </c>
      <c r="BE100" s="1184" t="str">
        <f>IF('A-80 DirEntInv'!BE99&lt;&gt;"",'A-80 DirEntInv'!BE99,IF(AK100=summaryref2!B17,summaryref2!U17,IF(Summary!AK100=summaryref2!B31,summaryref2!U31,IF(AK100=summaryref2!B45,summaryref2!U45,IF(AK100=summaryref2!B59,summaryref2!U59,IF(AK100=summaryref2!B73,summaryref2!U73,IF(AK100=summaryref2!B87,summaryref2!U87,IF(AK100=summaryref2!B101,summaryref2!U101,IF(AK100=summaryref2!B115,summaryref2!U115,IF(AK100=summaryref2!B129,summaryref2!U129,IF(AK100=summaryref2!B143,summaryref2!U143,"")))))))))))</f>
        <v/>
      </c>
      <c r="BF100" s="1432"/>
      <c r="BG100" s="1432"/>
      <c r="BJ100" s="1041" t="str">
        <f>Codes!$C$168</f>
        <v>MG - Monorail/Automated Guideway (PT)</v>
      </c>
      <c r="BK100" s="1042" t="str">
        <f>Valid!$B$85</f>
        <v>Single Turnout</v>
      </c>
      <c r="BL100" s="1375" t="str">
        <f>IF('A-80 DirEntInv'!BL99&lt;&gt;"",'A-80 DirEntInv'!BL99,IF(BJ100=summaryref2!X17,summaryref2!Z17,IF(BJ100=summaryref2!X24,summaryref2!Z24,IF(BJ100=summaryref2!X31,summaryref2!Z31,IF(BJ100=summaryref2!X38,summaryref2!Z38,IF(BJ100=summaryref2!X45,summaryref2!Z45,IF(BJ100=summaryref2!X52,summaryref2!Z52,IF(BJ100=summaryref2!X59,summaryref2!Z59,IF(BJ100=summaryref2!X66,summaryref2!Z66,IF(BJ100=summaryref2!X73,summaryref2!Z73,IF(BJ100=summaryref2!X80,summaryref2!Z80,"")))))))))))</f>
        <v/>
      </c>
      <c r="BM100" s="1042" t="str">
        <f>VLOOKUP(BK100,Valid!$B$80:$C$86,2,FALSE)</f>
        <v>Each</v>
      </c>
      <c r="BN100" s="1209" t="str">
        <f>IF('A-80 DirEntInv'!BN99&lt;&gt;"",'A-80 DirEntInv'!BN99,IF(BJ100=summaryref2!X17,summaryref2!AB17,IF(BJ100=summaryref2!X24,summaryref2!AB24,IF(BJ100=summaryref2!X31,summaryref2!AB31,IF(BJ100=summaryref2!X38,summaryref2!AB38,IF(BJ100=summaryref2!X45,summaryref2!AB45,IF(BJ100=summaryref2!X52,summaryref2!AB52,IF(BJ100=summaryref2!X59,summaryref2!AB59,IF(BJ100=summaryref2!X66,summaryref2!AB66,IF(BJ100=summaryref2!X73,summaryref2!AB73,IF(BJ100=summaryref2!X80,summaryref2!AB80,"")))))))))))</f>
        <v/>
      </c>
      <c r="BO100" s="1116" t="str">
        <f>IF('A-80 DirEntInv'!BO99&lt;&gt;"",'A-80 DirEntInv'!BO99,IF(BJ100=summaryref2!X17,summaryref2!AC17,IF(BJ100=summaryref2!X24,summaryref2!AC24,IF(BJ100=summaryref2!X31,summaryref2!AC31,IF(BJ100=summaryref2!X38,summaryref2!AC38,IF(BJ100=summaryref2!X45,summaryref2!AC45,IF(BJ100=summaryref2!X52,summaryref2!AC52,IF(BJ100=summaryref2!X59,summaryref2!AC59,IF(BJ100=summaryref2!X66,summaryref2!AC66,IF(BJ100=summaryref2!X73,summaryref2!AC73,IF(BJ100=summaryref2!X80,summaryref2!AC80,"")))))))))))</f>
        <v/>
      </c>
      <c r="BP100" s="1384" t="str">
        <f>IF('A-80 DirEntInv'!BP99&lt;&gt;"",'A-80 DirEntInv'!BP99,IF(BJ100=summaryref2!X17,summaryref2!AD17,IF(BJ100=summaryref2!X24,summaryref2!AD24,IF(BJ100=summaryref2!X31,summaryref2!AD31,IF(BJ100=summaryref2!X38,summaryref2!AD38,IF(BJ100=summaryref2!X45,summaryref2!AD45,IF(BJ100=summaryref2!X52,summaryref2!AD52,IF(BJ100=summaryref2!X59,summaryref2!AD59,IF(BJ100=summaryref2!X66,summaryref2!AD66,IF(BJ100=summaryref2!X73,summaryref2!AD73,IF(BJ100=summaryref2!X80,summaryref2!AD80,"")))))))))))</f>
        <v/>
      </c>
      <c r="BS100" s="1472" t="str">
        <f ca="1">IF('A-80 DirEntInv'!BU99&lt;&gt;"",'A-80 DirEntInv'!BU99,IF(INDIRECT(ADDRESS(SumRef!DK106,SumRef!DK$16,,,SumRef!$E$6))="","",INDIRECT(ADDRESS(SumRef!DK106,SumRef!DK$16,,,SumRef!$E$6))))</f>
        <v/>
      </c>
      <c r="BT100" s="1458" t="str">
        <f ca="1">IF('A-80 DirEntInv'!BV99&lt;&gt;"",'A-80 DirEntInv'!BV99,IF(INDIRECT(ADDRESS(SumRef!DL106,SumRef!DL$16,,,SumRef!$E$6))="","",INDIRECT(ADDRESS(SumRef!DL106,SumRef!DL$16,,,SumRef!$E$6))))</f>
        <v/>
      </c>
      <c r="BU100" s="1177" t="str">
        <f ca="1">IF('A-80 DirEntInv'!BW99&lt;&gt;"",'A-80 DirEntInv'!BW99,IF(INDIRECT(ADDRESS(SumRef!DM106,SumRef!DM$16,,,SumRef!$E$6))="","",INDIRECT(ADDRESS(SumRef!DM106,SumRef!DM$16,,,SumRef!$E$6))))</f>
        <v/>
      </c>
      <c r="BV100" s="1460" t="str">
        <f ca="1">IF('A-80 DirEntInv'!BX99&lt;&gt;"",'A-80 DirEntInv'!BX99,IF(INDIRECT(ADDRESS(SumRef!DN106,SumRef!DN$16,,,SumRef!$E$6))="","",INDIRECT(ADDRESS(SumRef!DN106,SumRef!DN$16,,,SumRef!$E$6))))</f>
        <v/>
      </c>
      <c r="BW100" s="1460" t="str">
        <f ca="1">IF('A-80 DirEntInv'!BY99&lt;&gt;"",'A-80 DirEntInv'!BY99,IF(INDIRECT(ADDRESS(SumRef!DO106,SumRef!DO$16,,,SumRef!$E$6))="","",INDIRECT(ADDRESS(SumRef!DO106,SumRef!DO$16,,,SumRef!$E$6))))</f>
        <v/>
      </c>
      <c r="BX100" s="1116" t="str">
        <f ca="1">IF('A-80 DirEntInv'!BZ99&lt;&gt;"",'A-80 DirEntInv'!BZ99,IF(INDIRECT(ADDRESS(SumRef!DP106,SumRef!DP$16,,,SumRef!$E$6))="","",INDIRECT(ADDRESS(SumRef!DP106,SumRef!DP$16,,,SumRef!$E$6))))</f>
        <v/>
      </c>
      <c r="BY100" s="1461" t="str">
        <f ca="1">IF('A-80 DirEntInv'!CA99&lt;&gt;"",'A-80 DirEntInv'!CA99,IF(INDIRECT(ADDRESS(SumRef!DQ106,SumRef!DQ$16,,,SumRef!$E$6))="","",INDIRECT(ADDRESS(SumRef!DQ106,SumRef!DQ$16,,,SumRef!$E$6))))</f>
        <v/>
      </c>
      <c r="BZ100" s="1460" t="str">
        <f ca="1">IF('A-80 DirEntInv'!CB99&lt;&gt;"",'A-80 DirEntInv'!CB99,IF(INDIRECT(ADDRESS(SumRef!DR106,SumRef!DR$16,,,SumRef!$E$6))="","",INDIRECT(ADDRESS(SumRef!DR106,SumRef!DR$16,,,SumRef!$E$6))))</f>
        <v/>
      </c>
      <c r="CA100" s="1462" t="str">
        <f ca="1">IF('A-80 DirEntInv'!CC99&lt;&gt;"",'A-80 DirEntInv'!CC99,IF(INDIRECT(ADDRESS(SumRef!DS106,SumRef!DS$16,,,SumRef!$E$6))="","",INDIRECT(ADDRESS(SumRef!DS106,SumRef!DS$16,,,SumRef!$E$6))))</f>
        <v/>
      </c>
      <c r="CD100" s="1160" t="str">
        <f ca="1">IF('A-80 DirEntInv'!CF99&lt;&gt;"",'A-80 DirEntInv'!CF99,IF(INDIRECT(ADDRESS(SumRef!DV106,SumRef!DV$16,,,SumRef!$E$7))="","",INDIRECT(ADDRESS(SumRef!DV106,SumRef!DV$16,,,SumRef!$E$7))))</f>
        <v/>
      </c>
      <c r="CE100" s="1167" t="str">
        <f ca="1">IF('A-80 DirEntInv'!CG99&lt;&gt;"",'A-80 DirEntInv'!CG99,IF(INDIRECT(ADDRESS(SumRef!DW106,SumRef!DW$16,,,SumRef!$E$7))="","",INDIRECT(ADDRESS(SumRef!DW106,SumRef!DW$16,,,SumRef!$E$7))))</f>
        <v/>
      </c>
      <c r="CF100" s="1167" t="str">
        <f ca="1">IF('A-80 DirEntInv'!CH99&lt;&gt;"",'A-80 DirEntInv'!CH99,IF(INDIRECT(ADDRESS(SumRef!DX106,SumRef!DX$16,,,SumRef!$E$7))="","",INDIRECT(ADDRESS(SumRef!DX106,SumRef!DX$16,,,SumRef!$E$7))))</f>
        <v/>
      </c>
      <c r="CG100" s="1167" t="str">
        <f ca="1">IF('A-80 DirEntInv'!CI99&lt;&gt;"",'A-80 DirEntInv'!CI99,IF(INDIRECT(ADDRESS(SumRef!DY106,SumRef!DY$16,,,SumRef!$E$7))="","",INDIRECT(ADDRESS(SumRef!DY106,SumRef!DY$16,,,SumRef!$E$7))))</f>
        <v/>
      </c>
      <c r="CH100" s="1167" t="str">
        <f ca="1">IF('A-80 DirEntInv'!CJ99&lt;&gt;"",'A-80 DirEntInv'!CJ99,IF(INDIRECT(ADDRESS(SumRef!DZ106,SumRef!DZ$16,,,SumRef!$E$7))="","",INDIRECT(ADDRESS(SumRef!DZ106,SumRef!DZ$16,,,SumRef!$E$7))))</f>
        <v/>
      </c>
      <c r="CI100" s="1167" t="str">
        <f ca="1">IF('A-80 DirEntInv'!CK99&lt;&gt;"",'A-80 DirEntInv'!CK99,IF(INDIRECT(ADDRESS(SumRef!EA106,SumRef!EA$16,,,SumRef!$E$7))="","",INDIRECT(ADDRESS(SumRef!EA106,SumRef!EA$16,,,SumRef!$E$7))))</f>
        <v/>
      </c>
      <c r="CJ100" s="1114" t="str">
        <f ca="1">IF('A-80 DirEntInv'!CL99&lt;&gt;"",'A-80 DirEntInv'!CL99,IF(INDIRECT(ADDRESS(SumRef!EB106,SumRef!EB$16,,,SumRef!$E$7))="","",INDIRECT(ADDRESS(SumRef!EB106,SumRef!EB$16,,,SumRef!$E$7))))</f>
        <v/>
      </c>
      <c r="CK100" s="1114" t="str">
        <f ca="1">IF('A-80 DirEntInv'!CM99&lt;&gt;"",'A-80 DirEntInv'!CM99,IF(INDIRECT(ADDRESS(SumRef!EC106,SumRef!EC$16,,,SumRef!$E$7))="","",INDIRECT(ADDRESS(SumRef!EC106,SumRef!EC$16,,,SumRef!$E$7))))</f>
        <v/>
      </c>
      <c r="CL100" s="1113" t="str">
        <f ca="1">IF('A-80 DirEntInv'!CO99&lt;&gt;"",'A-80 DirEntInv'!CO99,IF(INDIRECT(ADDRESS(SumRef!ED106,SumRef!ED$16,,,SumRef!$E$7))="","",INDIRECT(ADDRESS(SumRef!ED106,SumRef!ED$16,,,SumRef!$E$7))))</f>
        <v/>
      </c>
      <c r="CM100" s="1114" t="str">
        <f ca="1">IF('A-80 DirEntInv'!CP99&lt;&gt;"",'A-80 DirEntInv'!CP99,IF(INDIRECT(ADDRESS(SumRef!EE106,SumRef!EE$16,,,SumRef!$E$7))="","",INDIRECT(ADDRESS(SumRef!EE106,SumRef!EE$16,,,SumRef!$E$7))))</f>
        <v/>
      </c>
      <c r="CN100" s="1114" t="str">
        <f ca="1">IF('A-80 DirEntInv'!CQ99&lt;&gt;"",'A-80 DirEntInv'!CQ99,IF(INDIRECT(ADDRESS(SumRef!EF106,SumRef!EF$16,,,SumRef!$E$7))="","",INDIRECT(ADDRESS(SumRef!EF106,SumRef!EF$16,,,SumRef!$E$7))))</f>
        <v/>
      </c>
      <c r="CO100" s="1113" t="str">
        <f ca="1">IF('A-80 DirEntInv'!CR99&lt;&gt;"",'A-80 DirEntInv'!CR99,IF(INDIRECT(ADDRESS(SumRef!EG106,SumRef!EG$16,,,SumRef!$E$7))="","",INDIRECT(ADDRESS(SumRef!EG106,SumRef!EG$16,,,SumRef!$E$7))))</f>
        <v/>
      </c>
      <c r="CP100" s="1114" t="str">
        <f ca="1">IF('A-80 DirEntInv'!CS99&lt;&gt;"",'A-80 DirEntInv'!CS99,IF(INDIRECT(ADDRESS(SumRef!EH106,SumRef!EH$16,,,SumRef!$E$7))="","",INDIRECT(ADDRESS(SumRef!EH106,SumRef!EH$16,,,SumRef!$E$7))))</f>
        <v/>
      </c>
      <c r="CQ100" s="1346" t="str">
        <f ca="1">IF('A-80 DirEntInv'!CT99&lt;&gt;"",'A-80 DirEntInv'!CT99,IF(INDIRECT(ADDRESS(SumRef!EI106,SumRef!EI$16,,,SumRef!$E$7))="","",INDIRECT(ADDRESS(SumRef!EI106,SumRef!EI$16,,,SumRef!$E$7))))</f>
        <v/>
      </c>
      <c r="CR100" s="1113" t="str">
        <f ca="1">IF('A-80 DirEntInv'!CU99&lt;&gt;"",'A-80 DirEntInv'!CU99,IF(INDIRECT(ADDRESS(SumRef!EJ106,SumRef!EJ$16,,,SumRef!$E$7))="","",INDIRECT(ADDRESS(SumRef!EJ106,SumRef!EJ$16,,,SumRef!$E$7))))</f>
        <v/>
      </c>
      <c r="CS100" s="1346" t="str">
        <f ca="1">IF('A-80 DirEntInv'!CV99&lt;&gt;"",'A-80 DirEntInv'!CV99,IF(INDIRECT(ADDRESS(SumRef!EM106,SumRef!EM$16,,,SumRef!$E$7))="","",INDIRECT(ADDRESS(SumRef!EM106,SumRef!EM$16,,,SumRef!$E$7))))</f>
        <v/>
      </c>
      <c r="CT100" s="1113" t="str">
        <f ca="1">IF('A-80 DirEntInv'!CW99&lt;&gt;"",'A-80 DirEntInv'!CW99,IF(INDIRECT(ADDRESS(SumRef!EN106,SumRef!EN$16,,,SumRef!$E$7))="","",INDIRECT(ADDRESS(SumRef!EN106,SumRef!EN$16,,,SumRef!$E$7))))</f>
        <v/>
      </c>
      <c r="CU100" s="1113" t="str">
        <f ca="1">IF('A-80 DirEntInv'!CX99&lt;&gt;"",'A-80 DirEntInv'!CX99,IF(INDIRECT(ADDRESS(SumRef!EO106,SumRef!EO$16,,,SumRef!$E$7))="","",INDIRECT(ADDRESS(SumRef!EO106,SumRef!EO$16,,,SumRef!$E$7))))</f>
        <v/>
      </c>
      <c r="CV100" s="1113" t="str">
        <f ca="1">IF('A-80 DirEntInv'!CY99&lt;&gt;"",'A-80 DirEntInv'!CY99,IF(INDIRECT(ADDRESS(SumRef!EP106,SumRef!EP$16,,,SumRef!$E$7))="","",INDIRECT(ADDRESS(SumRef!EP106,SumRef!EP$16,,,SumRef!$E$7))))</f>
        <v/>
      </c>
      <c r="CW100" s="1114" t="str">
        <f ca="1">IF('A-80 DirEntInv'!CZ99&lt;&gt;"",'A-80 DirEntInv'!CZ99,IF(INDIRECT(ADDRESS(SumRef!ES106,SumRef!ES$16,,,SumRef!$E$7))="","",INDIRECT(ADDRESS(SumRef!ES106,SumRef!ES$16,,,SumRef!$E$7))))</f>
        <v/>
      </c>
      <c r="CX100" s="1167" t="str">
        <f ca="1">IF('A-80 DirEntInv'!DA99&lt;&gt;"",'A-80 DirEntInv'!DA99,IF(INDIRECT(ADDRESS(SumRef!ET106,SumRef!ET$16,,,SumRef!$E$7))="","",INDIRECT(ADDRESS(SumRef!ET106,SumRef!ET$16,,,SumRef!$E$7))))</f>
        <v/>
      </c>
      <c r="CY100" s="1167" t="str">
        <f ca="1">IF('A-80 DirEntInv'!DB99&lt;&gt;"",'A-80 DirEntInv'!DB99,IF(INDIRECT(ADDRESS(SumRef!EU106,SumRef!EU$16,,,SumRef!$E$7))="","",INDIRECT(ADDRESS(SumRef!EU106,SumRef!EU$16,,,SumRef!$E$7))))</f>
        <v/>
      </c>
      <c r="CZ100" s="1167" t="b">
        <f ca="1">IF('A-80 DirEntInv'!DC99&lt;&gt;"",'A-80 DirEntInv'!DC99,IF(INDIRECT(ADDRESS(SumRef!EV106,SumRef!EV$16,,,SumRef!$E$7))="","",INDIRECT(ADDRESS(SumRef!EV106,SumRef!EV$16,,,SumRef!$E$7))))</f>
        <v>0</v>
      </c>
      <c r="DA100" s="1373" t="str">
        <f ca="1">IF('A-80 DirEntInv'!DD99&lt;&gt;"",'A-80 DirEntInv'!DD99,IF(INDIRECT(ADDRESS(SumRef!EW106,SumRef!EW$16,,,SumRef!$E$7))="","",INDIRECT(ADDRESS(SumRef!EW106,SumRef!EW$16,,,SumRef!$E$7))))</f>
        <v/>
      </c>
      <c r="DB100" s="1373" t="b">
        <f ca="1">IF('A-80 DirEntInv'!DE99&lt;&gt;"",'A-80 DirEntInv'!DE99,IF(INDIRECT(ADDRESS(SumRef!EX106,SumRef!EX$16,,,SumRef!$E$7))="","",INDIRECT(ADDRESS(SumRef!EX106,SumRef!EX$16,,,SumRef!$E$7))))</f>
        <v>0</v>
      </c>
      <c r="DC100" s="1114" t="b">
        <f ca="1">IF('A-80 DirEntInv'!DF99&lt;&gt;"",'A-80 DirEntInv'!DF99,IF(INDIRECT(ADDRESS(SumRef!EY106,SumRef!EY$16,,,SumRef!$E$7))="","",INDIRECT(ADDRESS(SumRef!EY106,SumRef!EY$16,,,SumRef!$E$7))))</f>
        <v>0</v>
      </c>
      <c r="DD100" s="1115" t="str">
        <f ca="1">IF('A-80 DirEntInv'!DG99&lt;&gt;"",'A-80 DirEntInv'!DG99,IF(INDIRECT(ADDRESS(SumRef!EZ106,SumRef!EZ$16,,,SumRef!$E$7))="","",INDIRECT(ADDRESS(SumRef!EZ106,SumRef!EZ$16,,,SumRef!$E$7))))</f>
        <v/>
      </c>
    </row>
    <row r="101" spans="1:108" s="588" customFormat="1" ht="13.5" thickBot="1" x14ac:dyDescent="0.25">
      <c r="A101" s="589">
        <f t="shared" si="1"/>
        <v>91</v>
      </c>
      <c r="B101" s="1155" t="str">
        <f ca="1">IF('A-80 DirEntInv'!B100&lt;&gt;"",'A-80 DirEntInv'!B100,IF(INDIRECT(ADDRESS(SumRef!AQ107,SumRef!AQ$16,,,SumRef!$B$7))="","",INDIRECT(ADDRESS(SumRef!AQ107,SumRef!AQ$16,,,SumRef!$B$7))))</f>
        <v/>
      </c>
      <c r="C101" s="1097" t="str">
        <f ca="1">IF('A-80 DirEntInv'!C100&lt;&gt;"",'A-80 DirEntInv'!C100,IF(INDIRECT(ADDRESS(SumRef!AR107,SumRef!AR$16,,,SumRef!$B$7))="","",INDIRECT(ADDRESS(SumRef!AR107,SumRef!AR$16,,,SumRef!$B$7))))</f>
        <v/>
      </c>
      <c r="D101" s="1097" t="str">
        <f ca="1">IF('A-80 DirEntInv'!D100&lt;&gt;"",'A-80 DirEntInv'!D100,IF(INDIRECT(ADDRESS(SumRef!AS107,SumRef!AS$16,,,SumRef!$B$7))="","",INDIRECT(ADDRESS(SumRef!AS107,SumRef!AS$16,,,SumRef!$B$7))))</f>
        <v/>
      </c>
      <c r="E101" s="1097" t="str">
        <f ca="1">IF('A-80 DirEntInv'!E100&lt;&gt;"",'A-80 DirEntInv'!E100,IF(INDIRECT(ADDRESS(SumRef!AT107,SumRef!AT$16,,,SumRef!$B$7))="","",INDIRECT(ADDRESS(SumRef!AT107,SumRef!AT$16,,,SumRef!$B$7))))</f>
        <v/>
      </c>
      <c r="F101" s="1097" t="str">
        <f ca="1">IF('A-80 DirEntInv'!F100&lt;&gt;"",'A-80 DirEntInv'!F100,IF(INDIRECT(ADDRESS(SumRef!AU107,SumRef!AU$16,,,SumRef!$B$7))="","",INDIRECT(ADDRESS(SumRef!AU107,SumRef!AU$16,,,SumRef!$B$7))))</f>
        <v/>
      </c>
      <c r="G101" s="1158" t="str">
        <f ca="1">IF('A-80 DirEntInv'!G100&lt;&gt;"",'A-80 DirEntInv'!G100,IF(INDIRECT(ADDRESS(SumRef!AV107,SumRef!AV$16,,,SumRef!$B$7))="","",INDIRECT(ADDRESS(SumRef!AV107,SumRef!AV$16,,,SumRef!$B$7))))</f>
        <v/>
      </c>
      <c r="H101" s="1097" t="str">
        <f ca="1">IF('A-80 DirEntInv'!H100&lt;&gt;"",'A-80 DirEntInv'!H100,IF(INDIRECT(ADDRESS(SumRef!AW107,SumRef!AW$16,,,SumRef!$B$7))="","",INDIRECT(ADDRESS(SumRef!AW107,SumRef!AW$16,,,SumRef!$B$7))))</f>
        <v/>
      </c>
      <c r="I101" s="1097" t="str">
        <f ca="1">IF('A-80 DirEntInv'!I100&lt;&gt;"",'A-80 DirEntInv'!I100,IF(INDIRECT(ADDRESS(SumRef!AX107,SumRef!AX$16,,,SumRef!$B$7))="","",INDIRECT(ADDRESS(SumRef!AX107,SumRef!AX$16,,,SumRef!$B$7))))</f>
        <v/>
      </c>
      <c r="J101" s="1098" t="str">
        <f ca="1">IF('A-80 DirEntInv'!J100&lt;&gt;"",'A-80 DirEntInv'!J100,IF(INDIRECT(ADDRESS(SumRef!AY107,SumRef!AY$16,,,SumRef!$B$7))="","",INDIRECT(ADDRESS(SumRef!AY107,SumRef!AY$16,,,SumRef!$B$7))))</f>
        <v/>
      </c>
      <c r="K101" s="1099" t="str">
        <f ca="1">IF('A-80 DirEntInv'!K100&lt;&gt;"",'A-80 DirEntInv'!K100,IF(INDIRECT(ADDRESS(SumRef!AZ107,SumRef!AZ$16,,,SumRef!$B$7))="","",INDIRECT(ADDRESS(SumRef!AZ107,SumRef!AZ$16,,,SumRef!$B$7))))</f>
        <v/>
      </c>
      <c r="L101" s="1100" t="str">
        <f ca="1">IF('A-80 DirEntInv'!L100&lt;&gt;"",'A-80 DirEntInv'!L100,IF(INDIRECT(ADDRESS(SumRef!BA107,SumRef!BA$16,,,SumRef!$B$7))="","",INDIRECT(ADDRESS(SumRef!BA107,SumRef!BA$16,,,SumRef!$B$7))))</f>
        <v/>
      </c>
      <c r="M101" s="1101" t="str">
        <f ca="1">IF('A-80 DirEntInv'!M100&lt;&gt;"",'A-80 DirEntInv'!M100,IF(INDIRECT(ADDRESS(SumRef!BB107,SumRef!BB$16,,,SumRef!$B$7))="","",INDIRECT(ADDRESS(SumRef!BB107,SumRef!BB$16,,,SumRef!$B$7))))</f>
        <v/>
      </c>
      <c r="N101" s="1098" t="str">
        <f ca="1">IF('A-80 DirEntInv'!N100&lt;&gt;"",'A-80 DirEntInv'!N100,IF(INDIRECT(ADDRESS(SumRef!BC107,SumRef!BC$16,,,SumRef!$B$7))="","",INDIRECT(ADDRESS(SumRef!BC107,SumRef!BC$16,,,SumRef!$B$7))))</f>
        <v/>
      </c>
      <c r="O101" s="1102" t="str">
        <f ca="1">IF('A-80 DirEntInv'!O100&lt;&gt;"",'A-80 DirEntInv'!O100,IF(INDIRECT(ADDRESS(SumRef!BD107,SumRef!BD$16,,,SumRef!$B$7))="","",INDIRECT(ADDRESS(SumRef!BD107,SumRef!BD$16,,,SumRef!$B$7))))</f>
        <v/>
      </c>
      <c r="Q101" s="589"/>
      <c r="R101" s="1103" t="str">
        <f ca="1">IF('A-80 DirEntInv'!R100&lt;&gt;"",'A-80 DirEntInv'!R100,IF(INDIRECT(ADDRESS(SumRef!BH107,SumRef!BH$16,,,SumRef!$B$8))="","",INDIRECT(ADDRESS(SumRef!BH107,SumRef!BH$16,,,SumRef!$B$8))))</f>
        <v/>
      </c>
      <c r="S101" s="1104" t="str">
        <f ca="1">IF('A-80 DirEntInv'!S100&lt;&gt;"",'A-80 DirEntInv'!S100,IF(INDIRECT(ADDRESS(SumRef!BI107,SumRef!BI$16,,,SumRef!$B$8))="","",INDIRECT(ADDRESS(SumRef!BI107,SumRef!BI$16,,,SumRef!$B$8))))</f>
        <v/>
      </c>
      <c r="T101" s="1104" t="str">
        <f ca="1">IF('A-80 DirEntInv'!T100&lt;&gt;"",'A-80 DirEntInv'!T100,IF(INDIRECT(ADDRESS(SumRef!BJ107,SumRef!BJ$16,,,SumRef!$B$8))="","",INDIRECT(ADDRESS(SumRef!BJ107,SumRef!BJ$16,,,SumRef!$B$8))))</f>
        <v/>
      </c>
      <c r="U101" s="1104" t="str">
        <f ca="1">IF('A-80 DirEntInv'!U100&lt;&gt;"",'A-80 DirEntInv'!U100,IF(INDIRECT(ADDRESS(SumRef!BK107,SumRef!BK$16,,,SumRef!$B$8))="","",INDIRECT(ADDRESS(SumRef!BK107,SumRef!BK$16,,,SumRef!$B$8))))</f>
        <v/>
      </c>
      <c r="V101" s="1104" t="str">
        <f ca="1">IF('A-80 DirEntInv'!V100&lt;&gt;"",'A-80 DirEntInv'!V100,IF(INDIRECT(ADDRESS(SumRef!BL107,SumRef!BL$16,,,SumRef!$B$8))="","",INDIRECT(ADDRESS(SumRef!BL107,SumRef!BL$16,,,SumRef!$B$8))))</f>
        <v/>
      </c>
      <c r="W101" s="1354" t="str">
        <f ca="1">IF('A-80 DirEntInv'!W100&lt;&gt;"",'A-80 DirEntInv'!W100,IF(INDIRECT(ADDRESS(SumRef!BM107,SumRef!BM$16,,,SumRef!$B$8))="","",INDIRECT(ADDRESS(SumRef!BM107,SumRef!BM$16,,,SumRef!$B$8))))</f>
        <v/>
      </c>
      <c r="X101" s="1203" t="str">
        <f ca="1">IF('A-80 DirEntInv'!X100&lt;&gt;"",'A-80 DirEntInv'!X100,IF(INDIRECT(ADDRESS(SumRef!BN107,SumRef!BN$16,,,SumRef!$B$8))="","",INDIRECT(ADDRESS(SumRef!BN107,SumRef!BN$16,,,SumRef!$B$8))))</f>
        <v/>
      </c>
      <c r="Y101" s="1203" t="str">
        <f ca="1">IF('A-80 DirEntInv'!Y100&lt;&gt;"",'A-80 DirEntInv'!Y100,IF(INDIRECT(ADDRESS(SumRef!BO107,SumRef!BO$16,,,SumRef!$B$8))="","",INDIRECT(ADDRESS(SumRef!BO107,SumRef!BO$16,,,SumRef!$B$8))))</f>
        <v/>
      </c>
      <c r="Z101" s="1104" t="str">
        <f ca="1">IF('A-80 DirEntInv'!Z100&lt;&gt;"",'A-80 DirEntInv'!Z100,IF(INDIRECT(ADDRESS(SumRef!BP107,SumRef!BP$16,,,SumRef!$B$8))="","",INDIRECT(ADDRESS(SumRef!BP107,SumRef!BP$16,,,SumRef!$B$8))))</f>
        <v/>
      </c>
      <c r="AA101" s="1104" t="str">
        <f ca="1">IF('A-80 DirEntInv'!AA100&lt;&gt;"",'A-80 DirEntInv'!AA100,IF(INDIRECT(ADDRESS(SumRef!BQ107,SumRef!BQ$16,,,SumRef!$B$8))="","",INDIRECT(ADDRESS(SumRef!BQ107,SumRef!BQ$16,,,SumRef!$B$8))))</f>
        <v/>
      </c>
      <c r="AB101" s="1106" t="str">
        <f ca="1">IF('A-80 DirEntInv'!AB100&lt;&gt;"",'A-80 DirEntInv'!AB100,IF(INDIRECT(ADDRESS(SumRef!BR107,SumRef!BR$16,,,SumRef!$B$8))="","",INDIRECT(ADDRESS(SumRef!BR107,SumRef!BR$16,,,SumRef!$B$8))))</f>
        <v/>
      </c>
      <c r="AC101" s="1107" t="str">
        <f ca="1">IF('A-80 DirEntInv'!AC100&lt;&gt;"",'A-80 DirEntInv'!AC100,IF(INDIRECT(ADDRESS(SumRef!BS107,SumRef!BS$16,,,SumRef!$B$8))="","",INDIRECT(ADDRESS(SumRef!BS107,SumRef!BS$16,,,SumRef!$B$8))))</f>
        <v/>
      </c>
      <c r="AD101" s="1349" t="str">
        <f ca="1">IF('A-80 DirEntInv'!AD100&lt;&gt;"",'A-80 DirEntInv'!AD100,IF(INDIRECT(ADDRESS(SumRef!BT107,SumRef!BT$16,,,SumRef!$B$8))="","",INDIRECT(ADDRESS(SumRef!BT107,SumRef!BT$16,,,SumRef!$B$8))))</f>
        <v/>
      </c>
      <c r="AE101" s="1137" t="str">
        <f ca="1">IF('A-80 DirEntInv'!AE100&lt;&gt;"",'A-80 DirEntInv'!AE100,IF(INDIRECT(ADDRESS(SumRef!BU107,SumRef!BU$16,,,SumRef!$B$8))="","",INDIRECT(ADDRESS(SumRef!BU107,SumRef!BU$16,,,SumRef!$B$8))))</f>
        <v/>
      </c>
      <c r="AF101" s="1346" t="str">
        <f ca="1">IF('A-80 DirEntInv'!AF100&lt;&gt;"",'A-80 DirEntInv'!AF100,IF(INDIRECT(ADDRESS(SumRef!BV107,SumRef!BV$16,,,SumRef!$B$8))="","",INDIRECT(ADDRESS(SumRef!BV107,SumRef!BV$16,,,SumRef!$B$8))))</f>
        <v/>
      </c>
      <c r="AG101" s="1105" t="str">
        <f ca="1">IF('A-80 DirEntInv'!AG100&lt;&gt;"",'A-80 DirEntInv'!AG100,IF(INDIRECT(ADDRESS(SumRef!BW107,SumRef!BW$16,,,SumRef!$B$8))="","",INDIRECT(ADDRESS(SumRef!BW107,SumRef!BW$16,,,SumRef!$B$8))))</f>
        <v/>
      </c>
      <c r="AH101" s="1357" t="str">
        <f ca="1">IF('A-80 DirEntInv'!AH100&lt;&gt;"",'A-80 DirEntInv'!AH100,IF(INDIRECT(ADDRESS(SumRef!BX107,SumRef!BX$16,,,SumRef!$B$8))="","",INDIRECT(ADDRESS(SumRef!BX107,SumRef!BX$16,,,SumRef!$B$8))))</f>
        <v/>
      </c>
      <c r="AJ101" s="589"/>
      <c r="AK101" s="1041" t="str">
        <f>Codes!$C$162</f>
        <v>CR - Commuter Rail (PT)</v>
      </c>
      <c r="AL101" s="1042" t="str">
        <f>Valid!$B$77</f>
        <v>Below-Grade/Cut-and-Cover Tunnel</v>
      </c>
      <c r="AM101" s="1108" t="str">
        <f>IF('A-80 DirEntInv'!AM100&lt;&gt;"",'A-80 DirEntInv'!AM100,IF(AK101=summaryref2!B18,summaryref2!D18,IF(Summary!AK101=summaryref2!B32,summaryref2!D32,IF(AK101=summaryref2!B46,summaryref2!D46,IF(AK101=summaryref2!B60,summaryref2!D60,IF(AK101=summaryref2!B74,summaryref2!D74,IF(AK101=summaryref2!B88,summaryref2!D88,IF(AK101=summaryref2!B102,summaryref2!D102,IF(AK101=summaryref2!B116,summaryref2!D116,IF(AK101=summaryref2!B130,summaryref2!D130,IF(AK101=summaryref2!B144,summaryref2!D144,"")))))))))))</f>
        <v/>
      </c>
      <c r="AN101" s="1109" t="str">
        <f ca="1">IF('A-80 DirEntInv'!AN86&lt;&gt;"",'A-80 DirEntInv'!AN86,IF(INDIRECT(ADDRESS(SumRef!CG100,SumRef!CG$16,,,SumRef!$C$7))="","",INDIRECT(ADDRESS(SumRef!CG100,SumRef!CG$16,,,SumRef!$C$7))))</f>
        <v>Linear Feet</v>
      </c>
      <c r="AO101" s="1108" t="str">
        <f>IF('A-80 DirEntInv'!AO100&lt;&gt;"",'A-80 DirEntInv'!AO100,IF(AK101=summaryref2!B18,summaryref2!F18,IF(Summary!AK101=summaryref2!B32,summaryref2!F32,IF(AK101=summaryref2!B46,summaryref2!F46,IF(AK101=summaryref2!B60,summaryref2!F60,IF(AK101=summaryref2!B74,summaryref2!F74,IF(AK101=summaryref2!B88,summaryref2!F88,IF(AK101=summaryref2!B102,summaryref2!F102,IF(AK101=summaryref2!B116,summaryref2!F116,IF(AK101=summaryref2!B130,summaryref2!F130,IF(AK101=summaryref2!B144,summaryref2!F144,"")))))))))))</f>
        <v/>
      </c>
      <c r="AP101" s="1109" t="str">
        <f ca="1">IF('A-80 DirEntInv'!AP86&lt;&gt;"",'A-80 DirEntInv'!AP86,IF(INDIRECT(ADDRESS(SumRef!#REF!,SumRef!#REF!,,,SumRef!$C$7))="","",INDIRECT(ADDRESS(SumRef!#REF!,SumRef!#REF!,,,SumRef!$C$7))))</f>
        <v>Track Feet</v>
      </c>
      <c r="AQ101" s="1147" t="str">
        <f>IF('A-80 DirEntInv'!AQ100&lt;&gt;"",'A-80 DirEntInv'!AQ100,IF(AK101=summaryref2!B18,summaryref2!G18,IF(Summary!AK101=summaryref2!B32,summaryref2!G32,IF(AK101=summaryref2!B46,summaryref2!G46,IF(AK101=summaryref2!B60,summaryref2!G60,IF(AK101=summaryref2!B74,summaryref2!G74,IF(AK101=summaryref2!B88,summaryref2!G88,IF(AK101=summaryref2!B102,summaryref2!G102,IF(AK101=summaryref2!B116,summaryref2!G116,IF(AK101=summaryref2!B130,summaryref2!G130,IF(AK101=summaryref2!B144,summaryref2!G144,"")))))))))))</f>
        <v/>
      </c>
      <c r="AR101" s="1147" t="str">
        <f>IF('A-80 DirEntInv'!AR100&lt;&gt;"",'A-80 DirEntInv'!AR100,IF(AK101=summaryref2!B18,summaryref2!H18,IF(Summary!AK101=summaryref2!B32,summaryref2!H32,IF(AK101=summaryref2!B46,summaryref2!H46,IF(AK101=summaryref2!B60,summaryref2!H60,IF(AK101=summaryref2!B74,summaryref2!H74,IF(AK101=summaryref2!B88,summaryref2!H88,IF(AK101=summaryref2!B102,summaryref2!H102,IF(AK101=summaryref2!B116,summaryref2!H116,IF(AK101=summaryref2!B130,summaryref2!H130,IF(AK101=summaryref2!B144,summaryref2!H144,"")))))))))))</f>
        <v/>
      </c>
      <c r="AS101" s="1110" t="str">
        <f>IF('A-80 DirEntInv'!AS100&lt;&gt;"",'A-80 DirEntInv'!AS100,IF(AK101=summaryref2!B18,summaryref2!I18,IF(Summary!AK101=summaryref2!B32,summaryref2!I32,IF(AK101=summaryref2!B46,summaryref2!I46,IF(AK101=summaryref2!B60,summaryref2!I60,IF(AK101=summaryref2!B74,summaryref2!I74,IF(AK101=summaryref2!B88,summaryref2!I88,IF(AK101=summaryref2!B102,summaryref2!I102,IF(AK101=summaryref2!B116,summaryref2!I116,IF(AK101=summaryref2!B130,summaryref2!I130,IF(AK101=summaryref2!B144,summaryref2!I144,"")))))))))))</f>
        <v/>
      </c>
      <c r="AT101" s="1110" t="str">
        <f>IF('A-80 DirEntInv'!AT100&lt;&gt;"",'A-80 DirEntInv'!AT100,IF(AK101=summaryref2!B18,summaryref2!J18,IF(Summary!AK101=summaryref2!B32,summaryref2!J32,IF(AK101=summaryref2!B46,summaryref2!J46,IF(AK101=summaryref2!B60,summaryref2!J60,IF(AK101=summaryref2!B74,summaryref2!J74,IF(AK101=summaryref2!B88,summaryref2!J88,IF(AK101=summaryref2!B102,summaryref2!J102,IF(AK101=summaryref2!B116,summaryref2!J116,IF(AK101=summaryref2!B130,summaryref2!J130,IF(AK101=summaryref2!B144,summaryref2!J144,"")))))))))))</f>
        <v/>
      </c>
      <c r="AU101" s="1110" t="str">
        <f>IF('A-80 DirEntInv'!AU100&lt;&gt;"",'A-80 DirEntInv'!AU100,IF(AK101=summaryref2!B18,summaryref2!K18,IF(Summary!AK101=summaryref2!B32,summaryref2!K32,IF(AK101=summaryref2!B46,summaryref2!K46,IF(AK101=summaryref2!B60,summaryref2!K60,IF(AK101=summaryref2!B74,summaryref2!K74,IF(AK101=summaryref2!B88,summaryref2!K88,IF(AK101=summaryref2!B102,summaryref2!K102,IF(AK101=summaryref2!B116,summaryref2!K116,IF(AK101=summaryref2!B130,summaryref2!K130,IF(AK101=summaryref2!B144,summaryref2!K144,"")))))))))))</f>
        <v/>
      </c>
      <c r="AV101" s="1110" t="str">
        <f>IF('A-80 DirEntInv'!AV100&lt;&gt;"",'A-80 DirEntInv'!AV100,IF(AK101=summaryref2!B18,summaryref2!L18,IF(Summary!AK101=summaryref2!B32,summaryref2!L32,IF(AK101=summaryref2!B46,summaryref2!L46,IF(AK101=summaryref2!B60,summaryref2!L60,IF(AK101=summaryref2!B74,summaryref2!L74,IF(AK101=summaryref2!B88,summaryref2!L88,IF(AK101=summaryref2!B102,summaryref2!L102,IF(AK101=summaryref2!B116,summaryref2!L116,IF(AK101=summaryref2!B130,summaryref2!L130,IF(AK101=summaryref2!B144,summaryref2!L144,"")))))))))))</f>
        <v/>
      </c>
      <c r="AW101" s="1110" t="str">
        <f>IF('A-80 DirEntInv'!AW100&lt;&gt;"",'A-80 DirEntInv'!AW100,IF(AK101=summaryref2!B18,summaryref2!M18,IF(Summary!AK101=summaryref2!B32,summaryref2!M32,IF(AK101=summaryref2!B46,summaryref2!M46,IF(AK101=summaryref2!B60,summaryref2!M60,IF(AK101=summaryref2!B74,summaryref2!M74,IF(AK101=summaryref2!B88,summaryref2!M88,IF(AK101=summaryref2!B102,summaryref2!M102,IF(AK101=summaryref2!B116,summaryref2!M116,IF(AK101=summaryref2!B130,summaryref2!M130,IF(AK101=summaryref2!B144,summaryref2!M144,"")))))))))))</f>
        <v/>
      </c>
      <c r="AX101" s="1110" t="str">
        <f>IF('A-80 DirEntInv'!AX100&lt;&gt;"",'A-80 DirEntInv'!AX100,IF(AK101=summaryref2!B18,summaryref2!N18,IF(Summary!AK101=summaryref2!B32,summaryref2!N32,IF(AK101=summaryref2!B46,summaryref2!N46,IF(AK101=summaryref2!B60,summaryref2!N60,IF(AK101=summaryref2!B74,summaryref2!N74,IF(AK101=summaryref2!B88,summaryref2!N88,IF(AK101=summaryref2!B102,summaryref2!N102,IF(AK101=summaryref2!B116,summaryref2!N116,IF(AK101=summaryref2!B130,summaryref2!N130,IF(AK101=summaryref2!B144,summaryref2!N144,"")))))))))))</f>
        <v/>
      </c>
      <c r="AY101" s="1110" t="str">
        <f>IF('A-80 DirEntInv'!AY100&lt;&gt;"",'A-80 DirEntInv'!AY100,IF(AK101=summaryref2!B18,summaryref2!O18,IF(Summary!AK101=summaryref2!B32,summaryref2!O32,IF(AK101=summaryref2!B46,summaryref2!O46,IF(AK101=summaryref2!B60,summaryref2!O60,IF(AK101=summaryref2!B74,summaryref2!O74,IF(AK101=summaryref2!B88,summaryref2!O88,IF(AK101=summaryref2!B102,summaryref2!O102,IF(AK101=summaryref2!B116,summaryref2!O116,IF(AK101=summaryref2!B130,summaryref2!O130,IF(AK101=summaryref2!B144,summaryref2!O144,"")))))))))))</f>
        <v/>
      </c>
      <c r="AZ101" s="1110" t="str">
        <f>IF('A-80 DirEntInv'!AZ100&lt;&gt;"",'A-80 DirEntInv'!AZ100,IF(AK101=summaryref2!B18,summaryref2!P18,IF(Summary!AK101=summaryref2!B32,summaryref2!P32,IF(AK101=summaryref2!B46,summaryref2!P46,IF(AK101=summaryref2!B60,summaryref2!P60,IF(AK101=summaryref2!B74,summaryref2!P74,IF(AK101=summaryref2!B88,summaryref2!P88,IF(AK101=summaryref2!B102,summaryref2!P102,IF(AK101=summaryref2!B116,summaryref2!P116,IF(AK101=summaryref2!B130,summaryref2!P130,IF(AK101=summaryref2!B144,summaryref2!P144,"")))))))))))</f>
        <v/>
      </c>
      <c r="BA101" s="1110" t="str">
        <f>IF('A-80 DirEntInv'!BA100&lt;&gt;"",'A-80 DirEntInv'!BA100,IF(AK101=summaryref2!B18,summaryref2!Q18,IF(Summary!AK101=summaryref2!B32,summaryref2!Q32,IF(AK101=summaryref2!B46,summaryref2!Q46,IF(AK101=summaryref2!B60,summaryref2!Q60,IF(AK101=summaryref2!B74,summaryref2!Q74,IF(AK101=summaryref2!B88,summaryref2!Q88,IF(AK101=summaryref2!B102,summaryref2!Q102,IF(AK101=summaryref2!B116,summaryref2!Q116,IF(AK101=summaryref2!B130,summaryref2!Q130,IF(AK101=summaryref2!B144,summaryref2!Q144,"")))))))))))</f>
        <v/>
      </c>
      <c r="BB101" s="1110" t="str">
        <f>IF('A-80 DirEntInv'!BB100&lt;&gt;"",'A-80 DirEntInv'!BB100,IF(AK101=summaryref2!B18,summaryref2!R18,IF(Summary!AK101=summaryref2!B32,summaryref2!R32,IF(AK101=summaryref2!B46,summaryref2!R46,IF(AK101=summaryref2!B60,summaryref2!R60,IF(AK101=summaryref2!B74,summaryref2!R74,IF(AK101=summaryref2!B88,summaryref2!R88,IF(AK101=summaryref2!B102,summaryref2!R102,IF(AK101=summaryref2!B116,summaryref2!R116,IF(AK101=summaryref2!B130,summaryref2!R130,IF(AK101=summaryref2!B144,summaryref2!R144,"")))))))))))</f>
        <v/>
      </c>
      <c r="BC101" s="1110" t="str">
        <f>IF('A-80 DirEntInv'!BC100&lt;&gt;0,'A-80 DirEntInv'!BC100,IF(AK101=summaryref2!B18,summaryref2!S18,IF(Summary!AK101=summaryref2!B32,summaryref2!S32,IF(AK101=summaryref2!B46,summaryref2!S46,IF(AK101=summaryref2!B60,summaryref2!S60,IF(AK101=summaryref2!B74,summaryref2!S74,IF(AK101=summaryref2!B88,summaryref2!S88,IF(AK101=summaryref2!B102,summaryref2!S102,IF(AK101=summaryref2!B116,summaryref2!S116,IF(AK101=summaryref2!B130,summaryref2!S130,IF(AK101=summaryref2!B144,summaryref2!S144,"")))))))))))</f>
        <v/>
      </c>
      <c r="BD101" s="1111" t="str">
        <f>IF('A-80 DirEntInv'!BD100&lt;&gt;"",'A-80 DirEntInv'!BD100,IF(AK101=summaryref2!B18,summaryref2!T18,IF(Summary!AK101=summaryref2!B32,summaryref2!T32,IF(AK101=summaryref2!B46,summaryref2!T46,IF(AK101=summaryref2!B60,summaryref2!T60,IF(AK101=summaryref2!B74,summaryref2!T74,IF(AK101=summaryref2!B88,summaryref2!T88,IF(AK101=summaryref2!B102,summaryref2!T102,IF(AK101=summaryref2!B116,summaryref2!T116,IF(AK101=summaryref2!B130,summaryref2!T130,IF(AK101=summaryref2!B144,summaryref2!T144,"")))))))))))</f>
        <v/>
      </c>
      <c r="BE101" s="1184" t="str">
        <f>IF('A-80 DirEntInv'!BE100&lt;&gt;"",'A-80 DirEntInv'!BE100,IF(AK101=summaryref2!B18,summaryref2!U18,IF(Summary!AK101=summaryref2!B32,summaryref2!U32,IF(AK101=summaryref2!B46,summaryref2!U46,IF(AK101=summaryref2!B60,summaryref2!U60,IF(AK101=summaryref2!B74,summaryref2!U74,IF(AK101=summaryref2!B88,summaryref2!U88,IF(AK101=summaryref2!B102,summaryref2!U102,IF(AK101=summaryref2!B116,summaryref2!U116,IF(AK101=summaryref2!B130,summaryref2!U130,IF(AK101=summaryref2!B144,summaryref2!U144,"")))))))))))</f>
        <v/>
      </c>
      <c r="BF101" s="1432"/>
      <c r="BG101" s="1432"/>
      <c r="BJ101" s="1047" t="str">
        <f>Codes!$C$168</f>
        <v>MG - Monorail/Automated Guideway (PT)</v>
      </c>
      <c r="BK101" s="1050" t="str">
        <f>Valid!$B$86</f>
        <v>Grade Crossings</v>
      </c>
      <c r="BL101" s="1369" t="str">
        <f>IF('A-80 DirEntInv'!BL100&lt;&gt;"",'A-80 DirEntInv'!BL100,IF(BJ101=summaryref2!X18,summaryref2!Z18,IF(BJ101=summaryref2!X25,summaryref2!Z25,IF(BJ101=summaryref2!X32,summaryref2!Z32,IF(BJ101=summaryref2!X39,summaryref2!Z39,IF(BJ101=summaryref2!X46,summaryref2!Z46,IF(BJ101=summaryref2!X53,summaryref2!Z53,IF(BJ101=summaryref2!X60,summaryref2!Z60,IF(BJ101=summaryref2!X67,summaryref2!Z67,IF(BJ101=summaryref2!X74,summaryref2!Z74,IF(BJ101=summaryref2!X81,summaryref2!Z81,"")))))))))))</f>
        <v/>
      </c>
      <c r="BM101" s="1050" t="str">
        <f>VLOOKUP(BK101,Valid!$B$80:$C$86,2,FALSE)</f>
        <v>Each</v>
      </c>
      <c r="BN101" s="1210" t="str">
        <f>IF('A-80 DirEntInv'!BN100&lt;&gt;"",'A-80 DirEntInv'!BN100,IF(BJ101=summaryref2!X18,summaryref2!AB18,IF(BJ101=summaryref2!X25,summaryref2!AB25,IF(BJ101=summaryref2!X32,summaryref2!AB32,IF(BJ101=summaryref2!X39,summaryref2!AB39,IF(BJ101=summaryref2!X46,summaryref2!AB46,IF(BJ101=summaryref2!X53,summaryref2!AB53,IF(BJ101=summaryref2!X60,summaryref2!AB60,IF(BJ101=summaryref2!X67,summaryref2!AB67,IF(BJ101=summaryref2!X74,summaryref2!AB74,IF(BJ101=summaryref2!X81,summaryref2!AB81,"")))))))))))</f>
        <v/>
      </c>
      <c r="BO101" s="1117" t="str">
        <f>IF('A-80 DirEntInv'!BO100&lt;&gt;"",'A-80 DirEntInv'!BO100,IF(BJ101=summaryref2!X18,summaryref2!AC18,IF(BJ101=summaryref2!X25,summaryref2!AC25,IF(BJ101=summaryref2!X32,summaryref2!AC32,IF(BJ101=summaryref2!X39,summaryref2!AC39,IF(BJ101=summaryref2!X46,summaryref2!AC46,IF(BJ101=summaryref2!X53,summaryref2!AC53,IF(BJ101=summaryref2!X60,summaryref2!AC60,IF(BJ101=summaryref2!X67,summaryref2!AC67,IF(BJ101=summaryref2!X74,summaryref2!AC74,IF(BJ101=summaryref2!X81,summaryref2!AC81,"")))))))))))</f>
        <v/>
      </c>
      <c r="BP101" s="1321" t="str">
        <f>IF('A-80 DirEntInv'!BP100&lt;&gt;"",'A-80 DirEntInv'!BP100,IF(BJ101=summaryref2!X18,summaryref2!AD18,IF(BJ101=summaryref2!X25,summaryref2!AD25,IF(BJ101=summaryref2!X32,summaryref2!AD32,IF(BJ101=summaryref2!X39,summaryref2!AD39,IF(BJ101=summaryref2!X46,summaryref2!AD46,IF(BJ101=summaryref2!X53,summaryref2!AD53,IF(BJ101=summaryref2!X60,summaryref2!AD60,IF(BJ101=summaryref2!X67,summaryref2!AD67,IF(BJ101=summaryref2!X74,summaryref2!AD74,IF(BJ101=summaryref2!X81,summaryref2!AD81,"")))))))))))</f>
        <v/>
      </c>
      <c r="BS101" s="1472" t="str">
        <f ca="1">IF('A-80 DirEntInv'!BU100&lt;&gt;"",'A-80 DirEntInv'!BU100,IF(INDIRECT(ADDRESS(SumRef!DK107,SumRef!DK$16,,,SumRef!$E$6))="","",INDIRECT(ADDRESS(SumRef!DK107,SumRef!DK$16,,,SumRef!$E$6))))</f>
        <v/>
      </c>
      <c r="BT101" s="1458" t="str">
        <f ca="1">IF('A-80 DirEntInv'!BV100&lt;&gt;"",'A-80 DirEntInv'!BV100,IF(INDIRECT(ADDRESS(SumRef!DL107,SumRef!DL$16,,,SumRef!$E$6))="","",INDIRECT(ADDRESS(SumRef!DL107,SumRef!DL$16,,,SumRef!$E$6))))</f>
        <v/>
      </c>
      <c r="BU101" s="1177" t="str">
        <f ca="1">IF('A-80 DirEntInv'!BW100&lt;&gt;"",'A-80 DirEntInv'!BW100,IF(INDIRECT(ADDRESS(SumRef!DM107,SumRef!DM$16,,,SumRef!$E$6))="","",INDIRECT(ADDRESS(SumRef!DM107,SumRef!DM$16,,,SumRef!$E$6))))</f>
        <v/>
      </c>
      <c r="BV101" s="1460" t="str">
        <f ca="1">IF('A-80 DirEntInv'!BX100&lt;&gt;"",'A-80 DirEntInv'!BX100,IF(INDIRECT(ADDRESS(SumRef!DN107,SumRef!DN$16,,,SumRef!$E$6))="","",INDIRECT(ADDRESS(SumRef!DN107,SumRef!DN$16,,,SumRef!$E$6))))</f>
        <v/>
      </c>
      <c r="BW101" s="1460" t="str">
        <f ca="1">IF('A-80 DirEntInv'!BY100&lt;&gt;"",'A-80 DirEntInv'!BY100,IF(INDIRECT(ADDRESS(SumRef!DO107,SumRef!DO$16,,,SumRef!$E$6))="","",INDIRECT(ADDRESS(SumRef!DO107,SumRef!DO$16,,,SumRef!$E$6))))</f>
        <v/>
      </c>
      <c r="BX101" s="1116" t="str">
        <f ca="1">IF('A-80 DirEntInv'!BZ100&lt;&gt;"",'A-80 DirEntInv'!BZ100,IF(INDIRECT(ADDRESS(SumRef!DP107,SumRef!DP$16,,,SumRef!$E$6))="","",INDIRECT(ADDRESS(SumRef!DP107,SumRef!DP$16,,,SumRef!$E$6))))</f>
        <v/>
      </c>
      <c r="BY101" s="1461" t="str">
        <f ca="1">IF('A-80 DirEntInv'!CA100&lt;&gt;"",'A-80 DirEntInv'!CA100,IF(INDIRECT(ADDRESS(SumRef!DQ107,SumRef!DQ$16,,,SumRef!$E$6))="","",INDIRECT(ADDRESS(SumRef!DQ107,SumRef!DQ$16,,,SumRef!$E$6))))</f>
        <v/>
      </c>
      <c r="BZ101" s="1460" t="str">
        <f ca="1">IF('A-80 DirEntInv'!CB100&lt;&gt;"",'A-80 DirEntInv'!CB100,IF(INDIRECT(ADDRESS(SumRef!DR107,SumRef!DR$16,,,SumRef!$E$6))="","",INDIRECT(ADDRESS(SumRef!DR107,SumRef!DR$16,,,SumRef!$E$6))))</f>
        <v/>
      </c>
      <c r="CA101" s="1462" t="str">
        <f ca="1">IF('A-80 DirEntInv'!CC100&lt;&gt;"",'A-80 DirEntInv'!CC100,IF(INDIRECT(ADDRESS(SumRef!DS107,SumRef!DS$16,,,SumRef!$E$6))="","",INDIRECT(ADDRESS(SumRef!DS107,SumRef!DS$16,,,SumRef!$E$6))))</f>
        <v/>
      </c>
      <c r="CD101" s="1160" t="str">
        <f ca="1">IF('A-80 DirEntInv'!CF100&lt;&gt;"",'A-80 DirEntInv'!CF100,IF(INDIRECT(ADDRESS(SumRef!DV107,SumRef!DV$16,,,SumRef!$E$7))="","",INDIRECT(ADDRESS(SumRef!DV107,SumRef!DV$16,,,SumRef!$E$7))))</f>
        <v/>
      </c>
      <c r="CE101" s="1167" t="str">
        <f ca="1">IF('A-80 DirEntInv'!CG100&lt;&gt;"",'A-80 DirEntInv'!CG100,IF(INDIRECT(ADDRESS(SumRef!DW107,SumRef!DW$16,,,SumRef!$E$7))="","",INDIRECT(ADDRESS(SumRef!DW107,SumRef!DW$16,,,SumRef!$E$7))))</f>
        <v/>
      </c>
      <c r="CF101" s="1167" t="str">
        <f ca="1">IF('A-80 DirEntInv'!CH100&lt;&gt;"",'A-80 DirEntInv'!CH100,IF(INDIRECT(ADDRESS(SumRef!DX107,SumRef!DX$16,,,SumRef!$E$7))="","",INDIRECT(ADDRESS(SumRef!DX107,SumRef!DX$16,,,SumRef!$E$7))))</f>
        <v/>
      </c>
      <c r="CG101" s="1167" t="str">
        <f ca="1">IF('A-80 DirEntInv'!CI100&lt;&gt;"",'A-80 DirEntInv'!CI100,IF(INDIRECT(ADDRESS(SumRef!DY107,SumRef!DY$16,,,SumRef!$E$7))="","",INDIRECT(ADDRESS(SumRef!DY107,SumRef!DY$16,,,SumRef!$E$7))))</f>
        <v/>
      </c>
      <c r="CH101" s="1167" t="str">
        <f ca="1">IF('A-80 DirEntInv'!CJ100&lt;&gt;"",'A-80 DirEntInv'!CJ100,IF(INDIRECT(ADDRESS(SumRef!DZ107,SumRef!DZ$16,,,SumRef!$E$7))="","",INDIRECT(ADDRESS(SumRef!DZ107,SumRef!DZ$16,,,SumRef!$E$7))))</f>
        <v/>
      </c>
      <c r="CI101" s="1167" t="str">
        <f ca="1">IF('A-80 DirEntInv'!CK100&lt;&gt;"",'A-80 DirEntInv'!CK100,IF(INDIRECT(ADDRESS(SumRef!EA107,SumRef!EA$16,,,SumRef!$E$7))="","",INDIRECT(ADDRESS(SumRef!EA107,SumRef!EA$16,,,SumRef!$E$7))))</f>
        <v/>
      </c>
      <c r="CJ101" s="1114" t="str">
        <f ca="1">IF('A-80 DirEntInv'!CL100&lt;&gt;"",'A-80 DirEntInv'!CL100,IF(INDIRECT(ADDRESS(SumRef!EB107,SumRef!EB$16,,,SumRef!$E$7))="","",INDIRECT(ADDRESS(SumRef!EB107,SumRef!EB$16,,,SumRef!$E$7))))</f>
        <v/>
      </c>
      <c r="CK101" s="1114" t="str">
        <f ca="1">IF('A-80 DirEntInv'!CM100&lt;&gt;"",'A-80 DirEntInv'!CM100,IF(INDIRECT(ADDRESS(SumRef!EC107,SumRef!EC$16,,,SumRef!$E$7))="","",INDIRECT(ADDRESS(SumRef!EC107,SumRef!EC$16,,,SumRef!$E$7))))</f>
        <v/>
      </c>
      <c r="CL101" s="1113" t="str">
        <f ca="1">IF('A-80 DirEntInv'!CO100&lt;&gt;"",'A-80 DirEntInv'!CO100,IF(INDIRECT(ADDRESS(SumRef!ED107,SumRef!ED$16,,,SumRef!$E$7))="","",INDIRECT(ADDRESS(SumRef!ED107,SumRef!ED$16,,,SumRef!$E$7))))</f>
        <v/>
      </c>
      <c r="CM101" s="1114" t="str">
        <f ca="1">IF('A-80 DirEntInv'!CP100&lt;&gt;"",'A-80 DirEntInv'!CP100,IF(INDIRECT(ADDRESS(SumRef!EE107,SumRef!EE$16,,,SumRef!$E$7))="","",INDIRECT(ADDRESS(SumRef!EE107,SumRef!EE$16,,,SumRef!$E$7))))</f>
        <v/>
      </c>
      <c r="CN101" s="1114" t="str">
        <f ca="1">IF('A-80 DirEntInv'!CQ100&lt;&gt;"",'A-80 DirEntInv'!CQ100,IF(INDIRECT(ADDRESS(SumRef!EF107,SumRef!EF$16,,,SumRef!$E$7))="","",INDIRECT(ADDRESS(SumRef!EF107,SumRef!EF$16,,,SumRef!$E$7))))</f>
        <v/>
      </c>
      <c r="CO101" s="1113" t="str">
        <f ca="1">IF('A-80 DirEntInv'!CR100&lt;&gt;"",'A-80 DirEntInv'!CR100,IF(INDIRECT(ADDRESS(SumRef!EG107,SumRef!EG$16,,,SumRef!$E$7))="","",INDIRECT(ADDRESS(SumRef!EG107,SumRef!EG$16,,,SumRef!$E$7))))</f>
        <v/>
      </c>
      <c r="CP101" s="1114" t="str">
        <f ca="1">IF('A-80 DirEntInv'!CS100&lt;&gt;"",'A-80 DirEntInv'!CS100,IF(INDIRECT(ADDRESS(SumRef!EH107,SumRef!EH$16,,,SumRef!$E$7))="","",INDIRECT(ADDRESS(SumRef!EH107,SumRef!EH$16,,,SumRef!$E$7))))</f>
        <v/>
      </c>
      <c r="CQ101" s="1346" t="str">
        <f ca="1">IF('A-80 DirEntInv'!CT100&lt;&gt;"",'A-80 DirEntInv'!CT100,IF(INDIRECT(ADDRESS(SumRef!EI107,SumRef!EI$16,,,SumRef!$E$7))="","",INDIRECT(ADDRESS(SumRef!EI107,SumRef!EI$16,,,SumRef!$E$7))))</f>
        <v/>
      </c>
      <c r="CR101" s="1113" t="str">
        <f ca="1">IF('A-80 DirEntInv'!CU100&lt;&gt;"",'A-80 DirEntInv'!CU100,IF(INDIRECT(ADDRESS(SumRef!EJ107,SumRef!EJ$16,,,SumRef!$E$7))="","",INDIRECT(ADDRESS(SumRef!EJ107,SumRef!EJ$16,,,SumRef!$E$7))))</f>
        <v/>
      </c>
      <c r="CS101" s="1346" t="str">
        <f ca="1">IF('A-80 DirEntInv'!CV100&lt;&gt;"",'A-80 DirEntInv'!CV100,IF(INDIRECT(ADDRESS(SumRef!EM107,SumRef!EM$16,,,SumRef!$E$7))="","",INDIRECT(ADDRESS(SumRef!EM107,SumRef!EM$16,,,SumRef!$E$7))))</f>
        <v/>
      </c>
      <c r="CT101" s="1113" t="str">
        <f ca="1">IF('A-80 DirEntInv'!CW100&lt;&gt;"",'A-80 DirEntInv'!CW100,IF(INDIRECT(ADDRESS(SumRef!EN107,SumRef!EN$16,,,SumRef!$E$7))="","",INDIRECT(ADDRESS(SumRef!EN107,SumRef!EN$16,,,SumRef!$E$7))))</f>
        <v/>
      </c>
      <c r="CU101" s="1113" t="str">
        <f ca="1">IF('A-80 DirEntInv'!CX100&lt;&gt;"",'A-80 DirEntInv'!CX100,IF(INDIRECT(ADDRESS(SumRef!EO107,SumRef!EO$16,,,SumRef!$E$7))="","",INDIRECT(ADDRESS(SumRef!EO107,SumRef!EO$16,,,SumRef!$E$7))))</f>
        <v/>
      </c>
      <c r="CV101" s="1113" t="str">
        <f ca="1">IF('A-80 DirEntInv'!CY100&lt;&gt;"",'A-80 DirEntInv'!CY100,IF(INDIRECT(ADDRESS(SumRef!EP107,SumRef!EP$16,,,SumRef!$E$7))="","",INDIRECT(ADDRESS(SumRef!EP107,SumRef!EP$16,,,SumRef!$E$7))))</f>
        <v/>
      </c>
      <c r="CW101" s="1114" t="str">
        <f ca="1">IF('A-80 DirEntInv'!CZ100&lt;&gt;"",'A-80 DirEntInv'!CZ100,IF(INDIRECT(ADDRESS(SumRef!ES107,SumRef!ES$16,,,SumRef!$E$7))="","",INDIRECT(ADDRESS(SumRef!ES107,SumRef!ES$16,,,SumRef!$E$7))))</f>
        <v/>
      </c>
      <c r="CX101" s="1167" t="str">
        <f ca="1">IF('A-80 DirEntInv'!DA100&lt;&gt;"",'A-80 DirEntInv'!DA100,IF(INDIRECT(ADDRESS(SumRef!ET107,SumRef!ET$16,,,SumRef!$E$7))="","",INDIRECT(ADDRESS(SumRef!ET107,SumRef!ET$16,,,SumRef!$E$7))))</f>
        <v/>
      </c>
      <c r="CY101" s="1167" t="str">
        <f ca="1">IF('A-80 DirEntInv'!DB100&lt;&gt;"",'A-80 DirEntInv'!DB100,IF(INDIRECT(ADDRESS(SumRef!EU107,SumRef!EU$16,,,SumRef!$E$7))="","",INDIRECT(ADDRESS(SumRef!EU107,SumRef!EU$16,,,SumRef!$E$7))))</f>
        <v/>
      </c>
      <c r="CZ101" s="1167" t="b">
        <f ca="1">IF('A-80 DirEntInv'!DC100&lt;&gt;"",'A-80 DirEntInv'!DC100,IF(INDIRECT(ADDRESS(SumRef!EV107,SumRef!EV$16,,,SumRef!$E$7))="","",INDIRECT(ADDRESS(SumRef!EV107,SumRef!EV$16,,,SumRef!$E$7))))</f>
        <v>0</v>
      </c>
      <c r="DA101" s="1373" t="str">
        <f ca="1">IF('A-80 DirEntInv'!DD100&lt;&gt;"",'A-80 DirEntInv'!DD100,IF(INDIRECT(ADDRESS(SumRef!EW107,SumRef!EW$16,,,SumRef!$E$7))="","",INDIRECT(ADDRESS(SumRef!EW107,SumRef!EW$16,,,SumRef!$E$7))))</f>
        <v/>
      </c>
      <c r="DB101" s="1373" t="b">
        <f ca="1">IF('A-80 DirEntInv'!DE100&lt;&gt;"",'A-80 DirEntInv'!DE100,IF(INDIRECT(ADDRESS(SumRef!EX107,SumRef!EX$16,,,SumRef!$E$7))="","",INDIRECT(ADDRESS(SumRef!EX107,SumRef!EX$16,,,SumRef!$E$7))))</f>
        <v>0</v>
      </c>
      <c r="DC101" s="1114" t="b">
        <f ca="1">IF('A-80 DirEntInv'!DF100&lt;&gt;"",'A-80 DirEntInv'!DF100,IF(INDIRECT(ADDRESS(SumRef!EY107,SumRef!EY$16,,,SumRef!$E$7))="","",INDIRECT(ADDRESS(SumRef!EY107,SumRef!EY$16,,,SumRef!$E$7))))</f>
        <v>0</v>
      </c>
      <c r="DD101" s="1115" t="str">
        <f ca="1">IF('A-80 DirEntInv'!DG100&lt;&gt;"",'A-80 DirEntInv'!DG100,IF(INDIRECT(ADDRESS(SumRef!EZ107,SumRef!EZ$16,,,SumRef!$E$7))="","",INDIRECT(ADDRESS(SumRef!EZ107,SumRef!EZ$16,,,SumRef!$E$7))))</f>
        <v/>
      </c>
    </row>
    <row r="102" spans="1:108" s="588" customFormat="1" x14ac:dyDescent="0.2">
      <c r="A102" s="589">
        <f t="shared" si="1"/>
        <v>92</v>
      </c>
      <c r="B102" s="1155" t="str">
        <f ca="1">IF('A-80 DirEntInv'!B101&lt;&gt;"",'A-80 DirEntInv'!B101,IF(INDIRECT(ADDRESS(SumRef!AQ108,SumRef!AQ$16,,,SumRef!$B$7))="","",INDIRECT(ADDRESS(SumRef!AQ108,SumRef!AQ$16,,,SumRef!$B$7))))</f>
        <v/>
      </c>
      <c r="C102" s="1097" t="str">
        <f ca="1">IF('A-80 DirEntInv'!C101&lt;&gt;"",'A-80 DirEntInv'!C101,IF(INDIRECT(ADDRESS(SumRef!AR108,SumRef!AR$16,,,SumRef!$B$7))="","",INDIRECT(ADDRESS(SumRef!AR108,SumRef!AR$16,,,SumRef!$B$7))))</f>
        <v/>
      </c>
      <c r="D102" s="1097" t="str">
        <f ca="1">IF('A-80 DirEntInv'!D101&lt;&gt;"",'A-80 DirEntInv'!D101,IF(INDIRECT(ADDRESS(SumRef!AS108,SumRef!AS$16,,,SumRef!$B$7))="","",INDIRECT(ADDRESS(SumRef!AS108,SumRef!AS$16,,,SumRef!$B$7))))</f>
        <v/>
      </c>
      <c r="E102" s="1097" t="str">
        <f ca="1">IF('A-80 DirEntInv'!E101&lt;&gt;"",'A-80 DirEntInv'!E101,IF(INDIRECT(ADDRESS(SumRef!AT108,SumRef!AT$16,,,SumRef!$B$7))="","",INDIRECT(ADDRESS(SumRef!AT108,SumRef!AT$16,,,SumRef!$B$7))))</f>
        <v/>
      </c>
      <c r="F102" s="1097" t="str">
        <f ca="1">IF('A-80 DirEntInv'!F101&lt;&gt;"",'A-80 DirEntInv'!F101,IF(INDIRECT(ADDRESS(SumRef!AU108,SumRef!AU$16,,,SumRef!$B$7))="","",INDIRECT(ADDRESS(SumRef!AU108,SumRef!AU$16,,,SumRef!$B$7))))</f>
        <v/>
      </c>
      <c r="G102" s="1158" t="str">
        <f ca="1">IF('A-80 DirEntInv'!G101&lt;&gt;"",'A-80 DirEntInv'!G101,IF(INDIRECT(ADDRESS(SumRef!AV108,SumRef!AV$16,,,SumRef!$B$7))="","",INDIRECT(ADDRESS(SumRef!AV108,SumRef!AV$16,,,SumRef!$B$7))))</f>
        <v/>
      </c>
      <c r="H102" s="1097" t="str">
        <f ca="1">IF('A-80 DirEntInv'!H101&lt;&gt;"",'A-80 DirEntInv'!H101,IF(INDIRECT(ADDRESS(SumRef!AW108,SumRef!AW$16,,,SumRef!$B$7))="","",INDIRECT(ADDRESS(SumRef!AW108,SumRef!AW$16,,,SumRef!$B$7))))</f>
        <v/>
      </c>
      <c r="I102" s="1097" t="str">
        <f ca="1">IF('A-80 DirEntInv'!I101&lt;&gt;"",'A-80 DirEntInv'!I101,IF(INDIRECT(ADDRESS(SumRef!AX108,SumRef!AX$16,,,SumRef!$B$7))="","",INDIRECT(ADDRESS(SumRef!AX108,SumRef!AX$16,,,SumRef!$B$7))))</f>
        <v/>
      </c>
      <c r="J102" s="1098" t="str">
        <f ca="1">IF('A-80 DirEntInv'!J101&lt;&gt;"",'A-80 DirEntInv'!J101,IF(INDIRECT(ADDRESS(SumRef!AY108,SumRef!AY$16,,,SumRef!$B$7))="","",INDIRECT(ADDRESS(SumRef!AY108,SumRef!AY$16,,,SumRef!$B$7))))</f>
        <v/>
      </c>
      <c r="K102" s="1099" t="str">
        <f ca="1">IF('A-80 DirEntInv'!K101&lt;&gt;"",'A-80 DirEntInv'!K101,IF(INDIRECT(ADDRESS(SumRef!AZ108,SumRef!AZ$16,,,SumRef!$B$7))="","",INDIRECT(ADDRESS(SumRef!AZ108,SumRef!AZ$16,,,SumRef!$B$7))))</f>
        <v/>
      </c>
      <c r="L102" s="1100" t="str">
        <f ca="1">IF('A-80 DirEntInv'!L101&lt;&gt;"",'A-80 DirEntInv'!L101,IF(INDIRECT(ADDRESS(SumRef!BA108,SumRef!BA$16,,,SumRef!$B$7))="","",INDIRECT(ADDRESS(SumRef!BA108,SumRef!BA$16,,,SumRef!$B$7))))</f>
        <v/>
      </c>
      <c r="M102" s="1101" t="str">
        <f ca="1">IF('A-80 DirEntInv'!M101&lt;&gt;"",'A-80 DirEntInv'!M101,IF(INDIRECT(ADDRESS(SumRef!BB108,SumRef!BB$16,,,SumRef!$B$7))="","",INDIRECT(ADDRESS(SumRef!BB108,SumRef!BB$16,,,SumRef!$B$7))))</f>
        <v/>
      </c>
      <c r="N102" s="1098" t="str">
        <f ca="1">IF('A-80 DirEntInv'!N101&lt;&gt;"",'A-80 DirEntInv'!N101,IF(INDIRECT(ADDRESS(SumRef!BC108,SumRef!BC$16,,,SumRef!$B$7))="","",INDIRECT(ADDRESS(SumRef!BC108,SumRef!BC$16,,,SumRef!$B$7))))</f>
        <v/>
      </c>
      <c r="O102" s="1102" t="str">
        <f ca="1">IF('A-80 DirEntInv'!O101&lt;&gt;"",'A-80 DirEntInv'!O101,IF(INDIRECT(ADDRESS(SumRef!BD108,SumRef!BD$16,,,SumRef!$B$7))="","",INDIRECT(ADDRESS(SumRef!BD108,SumRef!BD$16,,,SumRef!$B$7))))</f>
        <v/>
      </c>
      <c r="Q102" s="589"/>
      <c r="R102" s="1103" t="str">
        <f ca="1">IF('A-80 DirEntInv'!R101&lt;&gt;"",'A-80 DirEntInv'!R101,IF(INDIRECT(ADDRESS(SumRef!BH108,SumRef!BH$16,,,SumRef!$B$8))="","",INDIRECT(ADDRESS(SumRef!BH108,SumRef!BH$16,,,SumRef!$B$8))))</f>
        <v/>
      </c>
      <c r="S102" s="1104" t="str">
        <f ca="1">IF('A-80 DirEntInv'!S101&lt;&gt;"",'A-80 DirEntInv'!S101,IF(INDIRECT(ADDRESS(SumRef!BI108,SumRef!BI$16,,,SumRef!$B$8))="","",INDIRECT(ADDRESS(SumRef!BI108,SumRef!BI$16,,,SumRef!$B$8))))</f>
        <v/>
      </c>
      <c r="T102" s="1104" t="str">
        <f ca="1">IF('A-80 DirEntInv'!T101&lt;&gt;"",'A-80 DirEntInv'!T101,IF(INDIRECT(ADDRESS(SumRef!BJ108,SumRef!BJ$16,,,SumRef!$B$8))="","",INDIRECT(ADDRESS(SumRef!BJ108,SumRef!BJ$16,,,SumRef!$B$8))))</f>
        <v/>
      </c>
      <c r="U102" s="1104" t="str">
        <f ca="1">IF('A-80 DirEntInv'!U101&lt;&gt;"",'A-80 DirEntInv'!U101,IF(INDIRECT(ADDRESS(SumRef!BK108,SumRef!BK$16,,,SumRef!$B$8))="","",INDIRECT(ADDRESS(SumRef!BK108,SumRef!BK$16,,,SumRef!$B$8))))</f>
        <v/>
      </c>
      <c r="V102" s="1104" t="str">
        <f ca="1">IF('A-80 DirEntInv'!V101&lt;&gt;"",'A-80 DirEntInv'!V101,IF(INDIRECT(ADDRESS(SumRef!BL108,SumRef!BL$16,,,SumRef!$B$8))="","",INDIRECT(ADDRESS(SumRef!BL108,SumRef!BL$16,,,SumRef!$B$8))))</f>
        <v/>
      </c>
      <c r="W102" s="1354" t="str">
        <f ca="1">IF('A-80 DirEntInv'!W101&lt;&gt;"",'A-80 DirEntInv'!W101,IF(INDIRECT(ADDRESS(SumRef!BM108,SumRef!BM$16,,,SumRef!$B$8))="","",INDIRECT(ADDRESS(SumRef!BM108,SumRef!BM$16,,,SumRef!$B$8))))</f>
        <v/>
      </c>
      <c r="X102" s="1203" t="str">
        <f ca="1">IF('A-80 DirEntInv'!X101&lt;&gt;"",'A-80 DirEntInv'!X101,IF(INDIRECT(ADDRESS(SumRef!BN108,SumRef!BN$16,,,SumRef!$B$8))="","",INDIRECT(ADDRESS(SumRef!BN108,SumRef!BN$16,,,SumRef!$B$8))))</f>
        <v/>
      </c>
      <c r="Y102" s="1203" t="str">
        <f ca="1">IF('A-80 DirEntInv'!Y101&lt;&gt;"",'A-80 DirEntInv'!Y101,IF(INDIRECT(ADDRESS(SumRef!BO108,SumRef!BO$16,,,SumRef!$B$8))="","",INDIRECT(ADDRESS(SumRef!BO108,SumRef!BO$16,,,SumRef!$B$8))))</f>
        <v/>
      </c>
      <c r="Z102" s="1104" t="str">
        <f ca="1">IF('A-80 DirEntInv'!Z101&lt;&gt;"",'A-80 DirEntInv'!Z101,IF(INDIRECT(ADDRESS(SumRef!BP108,SumRef!BP$16,,,SumRef!$B$8))="","",INDIRECT(ADDRESS(SumRef!BP108,SumRef!BP$16,,,SumRef!$B$8))))</f>
        <v/>
      </c>
      <c r="AA102" s="1104" t="str">
        <f ca="1">IF('A-80 DirEntInv'!AA101&lt;&gt;"",'A-80 DirEntInv'!AA101,IF(INDIRECT(ADDRESS(SumRef!BQ108,SumRef!BQ$16,,,SumRef!$B$8))="","",INDIRECT(ADDRESS(SumRef!BQ108,SumRef!BQ$16,,,SumRef!$B$8))))</f>
        <v/>
      </c>
      <c r="AB102" s="1106" t="str">
        <f ca="1">IF('A-80 DirEntInv'!AB101&lt;&gt;"",'A-80 DirEntInv'!AB101,IF(INDIRECT(ADDRESS(SumRef!BR108,SumRef!BR$16,,,SumRef!$B$8))="","",INDIRECT(ADDRESS(SumRef!BR108,SumRef!BR$16,,,SumRef!$B$8))))</f>
        <v/>
      </c>
      <c r="AC102" s="1107" t="str">
        <f ca="1">IF('A-80 DirEntInv'!AC101&lt;&gt;"",'A-80 DirEntInv'!AC101,IF(INDIRECT(ADDRESS(SumRef!BS108,SumRef!BS$16,,,SumRef!$B$8))="","",INDIRECT(ADDRESS(SumRef!BS108,SumRef!BS$16,,,SumRef!$B$8))))</f>
        <v/>
      </c>
      <c r="AD102" s="1349" t="str">
        <f ca="1">IF('A-80 DirEntInv'!AD101&lt;&gt;"",'A-80 DirEntInv'!AD101,IF(INDIRECT(ADDRESS(SumRef!BT108,SumRef!BT$16,,,SumRef!$B$8))="","",INDIRECT(ADDRESS(SumRef!BT108,SumRef!BT$16,,,SumRef!$B$8))))</f>
        <v/>
      </c>
      <c r="AE102" s="1137" t="str">
        <f ca="1">IF('A-80 DirEntInv'!AE101&lt;&gt;"",'A-80 DirEntInv'!AE101,IF(INDIRECT(ADDRESS(SumRef!BU108,SumRef!BU$16,,,SumRef!$B$8))="","",INDIRECT(ADDRESS(SumRef!BU108,SumRef!BU$16,,,SumRef!$B$8))))</f>
        <v/>
      </c>
      <c r="AF102" s="1346" t="str">
        <f ca="1">IF('A-80 DirEntInv'!AF101&lt;&gt;"",'A-80 DirEntInv'!AF101,IF(INDIRECT(ADDRESS(SumRef!BV108,SumRef!BV$16,,,SumRef!$B$8))="","",INDIRECT(ADDRESS(SumRef!BV108,SumRef!BV$16,,,SumRef!$B$8))))</f>
        <v/>
      </c>
      <c r="AG102" s="1105" t="str">
        <f ca="1">IF('A-80 DirEntInv'!AG101&lt;&gt;"",'A-80 DirEntInv'!AG101,IF(INDIRECT(ADDRESS(SumRef!BW108,SumRef!BW$16,,,SumRef!$B$8))="","",INDIRECT(ADDRESS(SumRef!BW108,SumRef!BW$16,,,SumRef!$B$8))))</f>
        <v/>
      </c>
      <c r="AH102" s="1357" t="str">
        <f ca="1">IF('A-80 DirEntInv'!AH101&lt;&gt;"",'A-80 DirEntInv'!AH101,IF(INDIRECT(ADDRESS(SumRef!BX108,SumRef!BX$16,,,SumRef!$B$8))="","",INDIRECT(ADDRESS(SumRef!BX108,SumRef!BX$16,,,SumRef!$B$8))))</f>
        <v/>
      </c>
      <c r="AK102" s="1041" t="str">
        <f>Codes!$C$162</f>
        <v>CR - Commuter Rail (PT)</v>
      </c>
      <c r="AL102" s="1042" t="str">
        <f>Valid!$B$78</f>
        <v>Below-Grade/Bored or Blasted Tunnel</v>
      </c>
      <c r="AM102" s="1108" t="str">
        <f>IF('A-80 DirEntInv'!AM101&lt;&gt;"",'A-80 DirEntInv'!AM101,IF(AK102=summaryref2!B19,summaryref2!D19,IF(Summary!AK102=summaryref2!B33,summaryref2!D33,IF(AK102=summaryref2!B47,summaryref2!D47,IF(AK102=summaryref2!B61,summaryref2!D61,IF(AK102=summaryref2!B75,summaryref2!D75,IF(AK102=summaryref2!B89,summaryref2!D89,IF(AK102=summaryref2!B103,summaryref2!D103,IF(AK102=summaryref2!B117,summaryref2!D117,IF(AK102=summaryref2!B131,summaryref2!D131,IF(AK102=summaryref2!B145,summaryref2!D145,"")))))))))))</f>
        <v/>
      </c>
      <c r="AN102" s="1109" t="str">
        <f ca="1">IF('A-80 DirEntInv'!AN87&lt;&gt;"",'A-80 DirEntInv'!AN87,IF(INDIRECT(ADDRESS(SumRef!CG101,SumRef!CG$16,,,SumRef!$C$7))="","",INDIRECT(ADDRESS(SumRef!CG101,SumRef!CG$16,,,SumRef!$C$7))))</f>
        <v>Linear Feet</v>
      </c>
      <c r="AO102" s="1108" t="str">
        <f>IF('A-80 DirEntInv'!AO101&lt;&gt;"",'A-80 DirEntInv'!AO101,IF(AK102=summaryref2!B19,summaryref2!F19,IF(Summary!AK102=summaryref2!B33,summaryref2!F33,IF(AK102=summaryref2!B47,summaryref2!F47,IF(AK102=summaryref2!B61,summaryref2!F61,IF(AK102=summaryref2!B75,summaryref2!F75,IF(AK102=summaryref2!B89,summaryref2!F89,IF(AK102=summaryref2!B103,summaryref2!F103,IF(AK102=summaryref2!B117,summaryref2!F117,IF(AK102=summaryref2!B131,summaryref2!F131,IF(AK102=summaryref2!B145,summaryref2!F145,"")))))))))))</f>
        <v/>
      </c>
      <c r="AP102" s="1109" t="str">
        <f ca="1">IF('A-80 DirEntInv'!AP87&lt;&gt;"",'A-80 DirEntInv'!AP87,IF(INDIRECT(ADDRESS(SumRef!#REF!,SumRef!#REF!,,,SumRef!$C$7))="","",INDIRECT(ADDRESS(SumRef!#REF!,SumRef!#REF!,,,SumRef!$C$7))))</f>
        <v>Track Feet</v>
      </c>
      <c r="AQ102" s="1147" t="str">
        <f>IF('A-80 DirEntInv'!AQ101&lt;&gt;"",'A-80 DirEntInv'!AQ101,IF(AK102=summaryref2!B19,summaryref2!G19,IF(Summary!AK102=summaryref2!B33,summaryref2!G33,IF(AK102=summaryref2!B47,summaryref2!G47,IF(AK102=summaryref2!B61,summaryref2!G61,IF(AK102=summaryref2!B75,summaryref2!G75,IF(AK102=summaryref2!B89,summaryref2!G89,IF(AK102=summaryref2!B103,summaryref2!G103,IF(AK102=summaryref2!B117,summaryref2!G117,IF(AK102=summaryref2!B131,summaryref2!G131,IF(AK102=summaryref2!B145,summaryref2!G145,"")))))))))))</f>
        <v/>
      </c>
      <c r="AR102" s="1147" t="str">
        <f>IF('A-80 DirEntInv'!AR101&lt;&gt;"",'A-80 DirEntInv'!AR101,IF(AK102=summaryref2!B19,summaryref2!H19,IF(Summary!AK102=summaryref2!B33,summaryref2!H33,IF(AK102=summaryref2!B47,summaryref2!H47,IF(AK102=summaryref2!B61,summaryref2!H61,IF(AK102=summaryref2!B75,summaryref2!H75,IF(AK102=summaryref2!B89,summaryref2!H89,IF(AK102=summaryref2!B103,summaryref2!H103,IF(AK102=summaryref2!B117,summaryref2!H117,IF(AK102=summaryref2!B131,summaryref2!H131,IF(AK102=summaryref2!B145,summaryref2!H145,"")))))))))))</f>
        <v/>
      </c>
      <c r="AS102" s="1110" t="str">
        <f>IF('A-80 DirEntInv'!AS101&lt;&gt;"",'A-80 DirEntInv'!AS101,IF(AK102=summaryref2!B19,summaryref2!I19,IF(Summary!AK102=summaryref2!B33,summaryref2!I33,IF(AK102=summaryref2!B47,summaryref2!I47,IF(AK102=summaryref2!B61,summaryref2!I61,IF(AK102=summaryref2!B75,summaryref2!I75,IF(AK102=summaryref2!B89,summaryref2!I89,IF(AK102=summaryref2!B103,summaryref2!I103,IF(AK102=summaryref2!B117,summaryref2!I117,IF(AK102=summaryref2!B131,summaryref2!I131,IF(AK102=summaryref2!B145,summaryref2!I145,"")))))))))))</f>
        <v/>
      </c>
      <c r="AT102" s="1110" t="str">
        <f>IF('A-80 DirEntInv'!AT101&lt;&gt;"",'A-80 DirEntInv'!AT101,IF(AK102=summaryref2!B19,summaryref2!J19,IF(Summary!AK102=summaryref2!B33,summaryref2!J33,IF(AK102=summaryref2!B47,summaryref2!J47,IF(AK102=summaryref2!B61,summaryref2!J61,IF(AK102=summaryref2!B75,summaryref2!J75,IF(AK102=summaryref2!B89,summaryref2!J89,IF(AK102=summaryref2!B103,summaryref2!J103,IF(AK102=summaryref2!B117,summaryref2!J117,IF(AK102=summaryref2!B131,summaryref2!J131,IF(AK102=summaryref2!B145,summaryref2!J145,"")))))))))))</f>
        <v/>
      </c>
      <c r="AU102" s="1110" t="str">
        <f>IF('A-80 DirEntInv'!AU101&lt;&gt;"",'A-80 DirEntInv'!AU101,IF(AK102=summaryref2!B19,summaryref2!K19,IF(Summary!AK102=summaryref2!B33,summaryref2!K33,IF(AK102=summaryref2!B47,summaryref2!K47,IF(AK102=summaryref2!B61,summaryref2!K61,IF(AK102=summaryref2!B75,summaryref2!K75,IF(AK102=summaryref2!B89,summaryref2!K89,IF(AK102=summaryref2!B103,summaryref2!K103,IF(AK102=summaryref2!B117,summaryref2!K117,IF(AK102=summaryref2!B131,summaryref2!K131,IF(AK102=summaryref2!B145,summaryref2!K145,"")))))))))))</f>
        <v/>
      </c>
      <c r="AV102" s="1110" t="str">
        <f>IF('A-80 DirEntInv'!AV101&lt;&gt;"",'A-80 DirEntInv'!AV101,IF(AK102=summaryref2!B19,summaryref2!L19,IF(Summary!AK102=summaryref2!B33,summaryref2!L33,IF(AK102=summaryref2!B47,summaryref2!L47,IF(AK102=summaryref2!B61,summaryref2!L61,IF(AK102=summaryref2!B75,summaryref2!L75,IF(AK102=summaryref2!B89,summaryref2!L89,IF(AK102=summaryref2!B103,summaryref2!L103,IF(AK102=summaryref2!B117,summaryref2!L117,IF(AK102=summaryref2!B131,summaryref2!L131,IF(AK102=summaryref2!B145,summaryref2!L145,"")))))))))))</f>
        <v/>
      </c>
      <c r="AW102" s="1110" t="str">
        <f>IF('A-80 DirEntInv'!AW101&lt;&gt;"",'A-80 DirEntInv'!AW101,IF(AK102=summaryref2!B19,summaryref2!M19,IF(Summary!AK102=summaryref2!B33,summaryref2!M33,IF(AK102=summaryref2!B47,summaryref2!M47,IF(AK102=summaryref2!B61,summaryref2!M61,IF(AK102=summaryref2!B75,summaryref2!M75,IF(AK102=summaryref2!B89,summaryref2!M89,IF(AK102=summaryref2!B103,summaryref2!M103,IF(AK102=summaryref2!B117,summaryref2!M117,IF(AK102=summaryref2!B131,summaryref2!M131,IF(AK102=summaryref2!B145,summaryref2!M145,"")))))))))))</f>
        <v/>
      </c>
      <c r="AX102" s="1110" t="str">
        <f>IF('A-80 DirEntInv'!AX101&lt;&gt;"",'A-80 DirEntInv'!AX101,IF(AK102=summaryref2!B19,summaryref2!N19,IF(Summary!AK102=summaryref2!B33,summaryref2!N33,IF(AK102=summaryref2!B47,summaryref2!N47,IF(AK102=summaryref2!B61,summaryref2!N61,IF(AK102=summaryref2!B75,summaryref2!N75,IF(AK102=summaryref2!B89,summaryref2!N89,IF(AK102=summaryref2!B103,summaryref2!N103,IF(AK102=summaryref2!B117,summaryref2!N117,IF(AK102=summaryref2!B131,summaryref2!N131,IF(AK102=summaryref2!B145,summaryref2!N145,"")))))))))))</f>
        <v/>
      </c>
      <c r="AY102" s="1110" t="str">
        <f>IF('A-80 DirEntInv'!AY101&lt;&gt;"",'A-80 DirEntInv'!AY101,IF(AK102=summaryref2!B19,summaryref2!O19,IF(Summary!AK102=summaryref2!B33,summaryref2!O33,IF(AK102=summaryref2!B47,summaryref2!O47,IF(AK102=summaryref2!B61,summaryref2!O61,IF(AK102=summaryref2!B75,summaryref2!O75,IF(AK102=summaryref2!B89,summaryref2!O89,IF(AK102=summaryref2!B103,summaryref2!O103,IF(AK102=summaryref2!B117,summaryref2!O117,IF(AK102=summaryref2!B131,summaryref2!O131,IF(AK102=summaryref2!B145,summaryref2!O145,"")))))))))))</f>
        <v/>
      </c>
      <c r="AZ102" s="1110" t="str">
        <f>IF('A-80 DirEntInv'!AZ101&lt;&gt;"",'A-80 DirEntInv'!AZ101,IF(AK102=summaryref2!B19,summaryref2!P19,IF(Summary!AK102=summaryref2!B33,summaryref2!P33,IF(AK102=summaryref2!B47,summaryref2!P47,IF(AK102=summaryref2!B61,summaryref2!P61,IF(AK102=summaryref2!B75,summaryref2!P75,IF(AK102=summaryref2!B89,summaryref2!P89,IF(AK102=summaryref2!B103,summaryref2!P103,IF(AK102=summaryref2!B117,summaryref2!P117,IF(AK102=summaryref2!B131,summaryref2!P131,IF(AK102=summaryref2!B145,summaryref2!P145,"")))))))))))</f>
        <v/>
      </c>
      <c r="BA102" s="1110" t="str">
        <f>IF('A-80 DirEntInv'!BA101&lt;&gt;"",'A-80 DirEntInv'!BA101,IF(AK102=summaryref2!B19,summaryref2!Q19,IF(Summary!AK102=summaryref2!B33,summaryref2!Q33,IF(AK102=summaryref2!B47,summaryref2!Q47,IF(AK102=summaryref2!B61,summaryref2!Q61,IF(AK102=summaryref2!B75,summaryref2!Q75,IF(AK102=summaryref2!B89,summaryref2!Q89,IF(AK102=summaryref2!B103,summaryref2!Q103,IF(AK102=summaryref2!B117,summaryref2!Q117,IF(AK102=summaryref2!B131,summaryref2!Q131,IF(AK102=summaryref2!B145,summaryref2!Q145,"")))))))))))</f>
        <v/>
      </c>
      <c r="BB102" s="1110" t="str">
        <f>IF('A-80 DirEntInv'!BB101&lt;&gt;"",'A-80 DirEntInv'!BB101,IF(AK102=summaryref2!B19,summaryref2!R19,IF(Summary!AK102=summaryref2!B33,summaryref2!R33,IF(AK102=summaryref2!B47,summaryref2!R47,IF(AK102=summaryref2!B61,summaryref2!R61,IF(AK102=summaryref2!B75,summaryref2!R75,IF(AK102=summaryref2!B89,summaryref2!R89,IF(AK102=summaryref2!B103,summaryref2!R103,IF(AK102=summaryref2!B117,summaryref2!R117,IF(AK102=summaryref2!B131,summaryref2!R131,IF(AK102=summaryref2!B145,summaryref2!R145,"")))))))))))</f>
        <v/>
      </c>
      <c r="BC102" s="1110" t="str">
        <f>IF('A-80 DirEntInv'!BC101&lt;&gt;0,'A-80 DirEntInv'!BC101,IF(AK102=summaryref2!B19,summaryref2!S19,IF(Summary!AK102=summaryref2!B33,summaryref2!S33,IF(AK102=summaryref2!B47,summaryref2!S47,IF(AK102=summaryref2!B61,summaryref2!S61,IF(AK102=summaryref2!B75,summaryref2!S75,IF(AK102=summaryref2!B89,summaryref2!S89,IF(AK102=summaryref2!B103,summaryref2!S103,IF(AK102=summaryref2!B117,summaryref2!S117,IF(AK102=summaryref2!B131,summaryref2!S131,IF(AK102=summaryref2!B145,summaryref2!S145,"")))))))))))</f>
        <v/>
      </c>
      <c r="BD102" s="1111" t="str">
        <f>IF('A-80 DirEntInv'!BD101&lt;&gt;"",'A-80 DirEntInv'!BD101,IF(AK102=summaryref2!B19,summaryref2!T19,IF(Summary!AK102=summaryref2!B33,summaryref2!T33,IF(AK102=summaryref2!B47,summaryref2!T47,IF(AK102=summaryref2!B61,summaryref2!T61,IF(AK102=summaryref2!B75,summaryref2!T75,IF(AK102=summaryref2!B89,summaryref2!T89,IF(AK102=summaryref2!B103,summaryref2!T103,IF(AK102=summaryref2!B117,summaryref2!T117,IF(AK102=summaryref2!B131,summaryref2!T131,IF(AK102=summaryref2!B145,summaryref2!T145,"")))))))))))</f>
        <v/>
      </c>
      <c r="BE102" s="1184" t="str">
        <f>IF('A-80 DirEntInv'!BE101&lt;&gt;"",'A-80 DirEntInv'!BE101,IF(AK102=summaryref2!B19,summaryref2!U19,IF(Summary!AK102=summaryref2!B33,summaryref2!U33,IF(AK102=summaryref2!B47,summaryref2!U47,IF(AK102=summaryref2!B61,summaryref2!U61,IF(AK102=summaryref2!B75,summaryref2!U75,IF(AK102=summaryref2!B89,summaryref2!U89,IF(AK102=summaryref2!B103,summaryref2!U103,IF(AK102=summaryref2!B117,summaryref2!U117,IF(AK102=summaryref2!B131,summaryref2!U131,IF(AK102=summaryref2!B145,summaryref2!U145,"")))))))))))</f>
        <v/>
      </c>
      <c r="BF102" s="1432"/>
      <c r="BG102" s="1432"/>
      <c r="BJ102" s="1043" t="str">
        <f>Codes!$C$169</f>
        <v>SR - Streetcar Rail (DO)</v>
      </c>
      <c r="BK102" s="1303" t="str">
        <f>Valid!$B$80</f>
        <v>Tangent</v>
      </c>
      <c r="BL102" s="1366" t="str">
        <f>IF('A-80 DirEntInv'!BL101&lt;&gt;"",'A-80 DirEntInv'!BL101,IF(BJ102=summaryref2!X12,summaryref2!Z12,IF(BJ102=summaryref2!X19,summaryref2!Z19,IF(BJ102=summaryref2!X26,summaryref2!Z26,IF(BJ102=summaryref2!X33,summaryref2!Z33,IF(BJ102=summaryref2!X40,summaryref2!Z40,IF(BJ102=summaryref2!X47,summaryref2!Z47,IF(BJ102=summaryref2!X54,summaryref2!Z54,IF(BJ102=summaryref2!X61,summaryref2!Z61,IF(BJ102=summaryref2!X68,summaryref2!Z68,IF(BJ102=summaryref2!X75,summaryref2!Z75,"")))))))))))</f>
        <v/>
      </c>
      <c r="BM102" s="1303" t="str">
        <f>VLOOKUP(BK102,Valid!$B$80:$C$86,2,FALSE)</f>
        <v>Track Feet</v>
      </c>
      <c r="BN102" s="1208" t="str">
        <f>IF('A-80 DirEntInv'!BN101&lt;&gt;"",'A-80 DirEntInv'!BN101,IF(BJ102=summaryref2!X12,summaryref2!AB12,IF(BJ102=summaryref2!X19,summaryref2!AB19,IF(BJ102=summaryref2!X26,summaryref2!AB26,IF(BJ102=summaryref2!X33,summaryref2!AB33,IF(BJ102=summaryref2!X40,summaryref2!AB40,IF(BJ102=summaryref2!X47,summaryref2!AB47,IF(BJ102=summaryref2!X54,summaryref2!AB54,IF(BJ102=summaryref2!X61,summaryref2!AB61,IF(BJ102=summaryref2!X68,summaryref2!AB68,IF(BJ102=summaryref2!X75,summaryref2!AB75,"")))))))))))</f>
        <v/>
      </c>
      <c r="BO102" s="1112" t="str">
        <f>IF('A-80 DirEntInv'!BO101&lt;&gt;"",'A-80 DirEntInv'!BO101,IF(BJ102=summaryref2!X12,summaryref2!AC12,IF(BJ102=summaryref2!X19,summaryref2!AC19,IF(BJ102=summaryref2!X26,summaryref2!AC26,IF(BJ102=summaryref2!X33,summaryref2!AC33,IF(BJ102=summaryref2!X40,summaryref2!AC40,IF(BJ102=summaryref2!X47,summaryref2!AC47,IF(BJ102=summaryref2!X54,summaryref2!AC54,IF(BJ102=summaryref2!X61,summaryref2!AC61,IF(BJ102=summaryref2!X68,summaryref2!AC68,IF(BJ102=summaryref2!X75,summaryref2!AC75,"")))))))))))</f>
        <v/>
      </c>
      <c r="BP102" s="1320" t="str">
        <f>IF('A-80 DirEntInv'!BP101&lt;&gt;"",'A-80 DirEntInv'!BP101,IF(BJ102=summaryref2!X12,summaryref2!AD12,IF(BJ102=summaryref2!X19,summaryref2!AD19,IF(BJ102=summaryref2!X26,summaryref2!AD26,IF(BJ102=summaryref2!X33,summaryref2!AD33,IF(BJ102=summaryref2!X40,summaryref2!AD40,IF(BJ102=summaryref2!X47,summaryref2!AD47,IF(BJ102=summaryref2!X54,summaryref2!AD54,IF(BJ102=summaryref2!X61,summaryref2!AD61,IF(BJ102=summaryref2!X68,summaryref2!AD68,IF(BJ102=summaryref2!X75,summaryref2!AD75,"")))))))))))</f>
        <v/>
      </c>
      <c r="BS102" s="1472" t="str">
        <f ca="1">IF('A-80 DirEntInv'!BU101&lt;&gt;"",'A-80 DirEntInv'!BU101,IF(INDIRECT(ADDRESS(SumRef!DK108,SumRef!DK$16,,,SumRef!$E$6))="","",INDIRECT(ADDRESS(SumRef!DK108,SumRef!DK$16,,,SumRef!$E$6))))</f>
        <v/>
      </c>
      <c r="BT102" s="1458" t="str">
        <f ca="1">IF('A-80 DirEntInv'!BV101&lt;&gt;"",'A-80 DirEntInv'!BV101,IF(INDIRECT(ADDRESS(SumRef!DL108,SumRef!DL$16,,,SumRef!$E$6))="","",INDIRECT(ADDRESS(SumRef!DL108,SumRef!DL$16,,,SumRef!$E$6))))</f>
        <v/>
      </c>
      <c r="BU102" s="1177" t="str">
        <f ca="1">IF('A-80 DirEntInv'!BW101&lt;&gt;"",'A-80 DirEntInv'!BW101,IF(INDIRECT(ADDRESS(SumRef!DM108,SumRef!DM$16,,,SumRef!$E$6))="","",INDIRECT(ADDRESS(SumRef!DM108,SumRef!DM$16,,,SumRef!$E$6))))</f>
        <v/>
      </c>
      <c r="BV102" s="1460" t="str">
        <f ca="1">IF('A-80 DirEntInv'!BX101&lt;&gt;"",'A-80 DirEntInv'!BX101,IF(INDIRECT(ADDRESS(SumRef!DN108,SumRef!DN$16,,,SumRef!$E$6))="","",INDIRECT(ADDRESS(SumRef!DN108,SumRef!DN$16,,,SumRef!$E$6))))</f>
        <v/>
      </c>
      <c r="BW102" s="1460" t="str">
        <f ca="1">IF('A-80 DirEntInv'!BY101&lt;&gt;"",'A-80 DirEntInv'!BY101,IF(INDIRECT(ADDRESS(SumRef!DO108,SumRef!DO$16,,,SumRef!$E$6))="","",INDIRECT(ADDRESS(SumRef!DO108,SumRef!DO$16,,,SumRef!$E$6))))</f>
        <v/>
      </c>
      <c r="BX102" s="1116" t="str">
        <f ca="1">IF('A-80 DirEntInv'!BZ101&lt;&gt;"",'A-80 DirEntInv'!BZ101,IF(INDIRECT(ADDRESS(SumRef!DP108,SumRef!DP$16,,,SumRef!$E$6))="","",INDIRECT(ADDRESS(SumRef!DP108,SumRef!DP$16,,,SumRef!$E$6))))</f>
        <v/>
      </c>
      <c r="BY102" s="1461" t="str">
        <f ca="1">IF('A-80 DirEntInv'!CA101&lt;&gt;"",'A-80 DirEntInv'!CA101,IF(INDIRECT(ADDRESS(SumRef!DQ108,SumRef!DQ$16,,,SumRef!$E$6))="","",INDIRECT(ADDRESS(SumRef!DQ108,SumRef!DQ$16,,,SumRef!$E$6))))</f>
        <v/>
      </c>
      <c r="BZ102" s="1460" t="str">
        <f ca="1">IF('A-80 DirEntInv'!CB101&lt;&gt;"",'A-80 DirEntInv'!CB101,IF(INDIRECT(ADDRESS(SumRef!DR108,SumRef!DR$16,,,SumRef!$E$6))="","",INDIRECT(ADDRESS(SumRef!DR108,SumRef!DR$16,,,SumRef!$E$6))))</f>
        <v/>
      </c>
      <c r="CA102" s="1462" t="str">
        <f ca="1">IF('A-80 DirEntInv'!CC101&lt;&gt;"",'A-80 DirEntInv'!CC101,IF(INDIRECT(ADDRESS(SumRef!DS108,SumRef!DS$16,,,SumRef!$E$6))="","",INDIRECT(ADDRESS(SumRef!DS108,SumRef!DS$16,,,SumRef!$E$6))))</f>
        <v/>
      </c>
      <c r="CD102" s="1160" t="str">
        <f ca="1">IF('A-80 DirEntInv'!CF101&lt;&gt;"",'A-80 DirEntInv'!CF101,IF(INDIRECT(ADDRESS(SumRef!DV108,SumRef!DV$16,,,SumRef!$E$7))="","",INDIRECT(ADDRESS(SumRef!DV108,SumRef!DV$16,,,SumRef!$E$7))))</f>
        <v/>
      </c>
      <c r="CE102" s="1167" t="str">
        <f ca="1">IF('A-80 DirEntInv'!CG101&lt;&gt;"",'A-80 DirEntInv'!CG101,IF(INDIRECT(ADDRESS(SumRef!DW108,SumRef!DW$16,,,SumRef!$E$7))="","",INDIRECT(ADDRESS(SumRef!DW108,SumRef!DW$16,,,SumRef!$E$7))))</f>
        <v/>
      </c>
      <c r="CF102" s="1167" t="str">
        <f ca="1">IF('A-80 DirEntInv'!CH101&lt;&gt;"",'A-80 DirEntInv'!CH101,IF(INDIRECT(ADDRESS(SumRef!DX108,SumRef!DX$16,,,SumRef!$E$7))="","",INDIRECT(ADDRESS(SumRef!DX108,SumRef!DX$16,,,SumRef!$E$7))))</f>
        <v/>
      </c>
      <c r="CG102" s="1167" t="str">
        <f ca="1">IF('A-80 DirEntInv'!CI101&lt;&gt;"",'A-80 DirEntInv'!CI101,IF(INDIRECT(ADDRESS(SumRef!DY108,SumRef!DY$16,,,SumRef!$E$7))="","",INDIRECT(ADDRESS(SumRef!DY108,SumRef!DY$16,,,SumRef!$E$7))))</f>
        <v/>
      </c>
      <c r="CH102" s="1167" t="str">
        <f ca="1">IF('A-80 DirEntInv'!CJ101&lt;&gt;"",'A-80 DirEntInv'!CJ101,IF(INDIRECT(ADDRESS(SumRef!DZ108,SumRef!DZ$16,,,SumRef!$E$7))="","",INDIRECT(ADDRESS(SumRef!DZ108,SumRef!DZ$16,,,SumRef!$E$7))))</f>
        <v/>
      </c>
      <c r="CI102" s="1167" t="str">
        <f ca="1">IF('A-80 DirEntInv'!CK101&lt;&gt;"",'A-80 DirEntInv'!CK101,IF(INDIRECT(ADDRESS(SumRef!EA108,SumRef!EA$16,,,SumRef!$E$7))="","",INDIRECT(ADDRESS(SumRef!EA108,SumRef!EA$16,,,SumRef!$E$7))))</f>
        <v/>
      </c>
      <c r="CJ102" s="1114" t="str">
        <f ca="1">IF('A-80 DirEntInv'!CL101&lt;&gt;"",'A-80 DirEntInv'!CL101,IF(INDIRECT(ADDRESS(SumRef!EB108,SumRef!EB$16,,,SumRef!$E$7))="","",INDIRECT(ADDRESS(SumRef!EB108,SumRef!EB$16,,,SumRef!$E$7))))</f>
        <v/>
      </c>
      <c r="CK102" s="1114" t="str">
        <f ca="1">IF('A-80 DirEntInv'!CM101&lt;&gt;"",'A-80 DirEntInv'!CM101,IF(INDIRECT(ADDRESS(SumRef!EC108,SumRef!EC$16,,,SumRef!$E$7))="","",INDIRECT(ADDRESS(SumRef!EC108,SumRef!EC$16,,,SumRef!$E$7))))</f>
        <v/>
      </c>
      <c r="CL102" s="1113" t="str">
        <f ca="1">IF('A-80 DirEntInv'!CO101&lt;&gt;"",'A-80 DirEntInv'!CO101,IF(INDIRECT(ADDRESS(SumRef!ED108,SumRef!ED$16,,,SumRef!$E$7))="","",INDIRECT(ADDRESS(SumRef!ED108,SumRef!ED$16,,,SumRef!$E$7))))</f>
        <v/>
      </c>
      <c r="CM102" s="1114" t="str">
        <f ca="1">IF('A-80 DirEntInv'!CP101&lt;&gt;"",'A-80 DirEntInv'!CP101,IF(INDIRECT(ADDRESS(SumRef!EE108,SumRef!EE$16,,,SumRef!$E$7))="","",INDIRECT(ADDRESS(SumRef!EE108,SumRef!EE$16,,,SumRef!$E$7))))</f>
        <v/>
      </c>
      <c r="CN102" s="1114" t="str">
        <f ca="1">IF('A-80 DirEntInv'!CQ101&lt;&gt;"",'A-80 DirEntInv'!CQ101,IF(INDIRECT(ADDRESS(SumRef!EF108,SumRef!EF$16,,,SumRef!$E$7))="","",INDIRECT(ADDRESS(SumRef!EF108,SumRef!EF$16,,,SumRef!$E$7))))</f>
        <v/>
      </c>
      <c r="CO102" s="1113" t="str">
        <f ca="1">IF('A-80 DirEntInv'!CR101&lt;&gt;"",'A-80 DirEntInv'!CR101,IF(INDIRECT(ADDRESS(SumRef!EG108,SumRef!EG$16,,,SumRef!$E$7))="","",INDIRECT(ADDRESS(SumRef!EG108,SumRef!EG$16,,,SumRef!$E$7))))</f>
        <v/>
      </c>
      <c r="CP102" s="1114" t="str">
        <f ca="1">IF('A-80 DirEntInv'!CS101&lt;&gt;"",'A-80 DirEntInv'!CS101,IF(INDIRECT(ADDRESS(SumRef!EH108,SumRef!EH$16,,,SumRef!$E$7))="","",INDIRECT(ADDRESS(SumRef!EH108,SumRef!EH$16,,,SumRef!$E$7))))</f>
        <v/>
      </c>
      <c r="CQ102" s="1346" t="str">
        <f ca="1">IF('A-80 DirEntInv'!CT101&lt;&gt;"",'A-80 DirEntInv'!CT101,IF(INDIRECT(ADDRESS(SumRef!EI108,SumRef!EI$16,,,SumRef!$E$7))="","",INDIRECT(ADDRESS(SumRef!EI108,SumRef!EI$16,,,SumRef!$E$7))))</f>
        <v/>
      </c>
      <c r="CR102" s="1113" t="str">
        <f ca="1">IF('A-80 DirEntInv'!CU101&lt;&gt;"",'A-80 DirEntInv'!CU101,IF(INDIRECT(ADDRESS(SumRef!EJ108,SumRef!EJ$16,,,SumRef!$E$7))="","",INDIRECT(ADDRESS(SumRef!EJ108,SumRef!EJ$16,,,SumRef!$E$7))))</f>
        <v/>
      </c>
      <c r="CS102" s="1346" t="str">
        <f ca="1">IF('A-80 DirEntInv'!CV101&lt;&gt;"",'A-80 DirEntInv'!CV101,IF(INDIRECT(ADDRESS(SumRef!EM108,SumRef!EM$16,,,SumRef!$E$7))="","",INDIRECT(ADDRESS(SumRef!EM108,SumRef!EM$16,,,SumRef!$E$7))))</f>
        <v/>
      </c>
      <c r="CT102" s="1113" t="str">
        <f ca="1">IF('A-80 DirEntInv'!CW101&lt;&gt;"",'A-80 DirEntInv'!CW101,IF(INDIRECT(ADDRESS(SumRef!EN108,SumRef!EN$16,,,SumRef!$E$7))="","",INDIRECT(ADDRESS(SumRef!EN108,SumRef!EN$16,,,SumRef!$E$7))))</f>
        <v/>
      </c>
      <c r="CU102" s="1113" t="str">
        <f ca="1">IF('A-80 DirEntInv'!CX101&lt;&gt;"",'A-80 DirEntInv'!CX101,IF(INDIRECT(ADDRESS(SumRef!EO108,SumRef!EO$16,,,SumRef!$E$7))="","",INDIRECT(ADDRESS(SumRef!EO108,SumRef!EO$16,,,SumRef!$E$7))))</f>
        <v/>
      </c>
      <c r="CV102" s="1113" t="str">
        <f ca="1">IF('A-80 DirEntInv'!CY101&lt;&gt;"",'A-80 DirEntInv'!CY101,IF(INDIRECT(ADDRESS(SumRef!EP108,SumRef!EP$16,,,SumRef!$E$7))="","",INDIRECT(ADDRESS(SumRef!EP108,SumRef!EP$16,,,SumRef!$E$7))))</f>
        <v/>
      </c>
      <c r="CW102" s="1114" t="str">
        <f ca="1">IF('A-80 DirEntInv'!CZ101&lt;&gt;"",'A-80 DirEntInv'!CZ101,IF(INDIRECT(ADDRESS(SumRef!ES108,SumRef!ES$16,,,SumRef!$E$7))="","",INDIRECT(ADDRESS(SumRef!ES108,SumRef!ES$16,,,SumRef!$E$7))))</f>
        <v/>
      </c>
      <c r="CX102" s="1167" t="str">
        <f ca="1">IF('A-80 DirEntInv'!DA101&lt;&gt;"",'A-80 DirEntInv'!DA101,IF(INDIRECT(ADDRESS(SumRef!ET108,SumRef!ET$16,,,SumRef!$E$7))="","",INDIRECT(ADDRESS(SumRef!ET108,SumRef!ET$16,,,SumRef!$E$7))))</f>
        <v/>
      </c>
      <c r="CY102" s="1167" t="str">
        <f ca="1">IF('A-80 DirEntInv'!DB101&lt;&gt;"",'A-80 DirEntInv'!DB101,IF(INDIRECT(ADDRESS(SumRef!EU108,SumRef!EU$16,,,SumRef!$E$7))="","",INDIRECT(ADDRESS(SumRef!EU108,SumRef!EU$16,,,SumRef!$E$7))))</f>
        <v/>
      </c>
      <c r="CZ102" s="1167" t="b">
        <f ca="1">IF('A-80 DirEntInv'!DC101&lt;&gt;"",'A-80 DirEntInv'!DC101,IF(INDIRECT(ADDRESS(SumRef!EV108,SumRef!EV$16,,,SumRef!$E$7))="","",INDIRECT(ADDRESS(SumRef!EV108,SumRef!EV$16,,,SumRef!$E$7))))</f>
        <v>0</v>
      </c>
      <c r="DA102" s="1373" t="str">
        <f ca="1">IF('A-80 DirEntInv'!DD101&lt;&gt;"",'A-80 DirEntInv'!DD101,IF(INDIRECT(ADDRESS(SumRef!EW108,SumRef!EW$16,,,SumRef!$E$7))="","",INDIRECT(ADDRESS(SumRef!EW108,SumRef!EW$16,,,SumRef!$E$7))))</f>
        <v/>
      </c>
      <c r="DB102" s="1373" t="b">
        <f ca="1">IF('A-80 DirEntInv'!DE101&lt;&gt;"",'A-80 DirEntInv'!DE101,IF(INDIRECT(ADDRESS(SumRef!EX108,SumRef!EX$16,,,SumRef!$E$7))="","",INDIRECT(ADDRESS(SumRef!EX108,SumRef!EX$16,,,SumRef!$E$7))))</f>
        <v>0</v>
      </c>
      <c r="DC102" s="1114" t="b">
        <f ca="1">IF('A-80 DirEntInv'!DF101&lt;&gt;"",'A-80 DirEntInv'!DF101,IF(INDIRECT(ADDRESS(SumRef!EY108,SumRef!EY$16,,,SumRef!$E$7))="","",INDIRECT(ADDRESS(SumRef!EY108,SumRef!EY$16,,,SumRef!$E$7))))</f>
        <v>0</v>
      </c>
      <c r="DD102" s="1115" t="str">
        <f ca="1">IF('A-80 DirEntInv'!DG101&lt;&gt;"",'A-80 DirEntInv'!DG101,IF(INDIRECT(ADDRESS(SumRef!EZ108,SumRef!EZ$16,,,SumRef!$E$7))="","",INDIRECT(ADDRESS(SumRef!EZ108,SumRef!EZ$16,,,SumRef!$E$7))))</f>
        <v/>
      </c>
    </row>
    <row r="103" spans="1:108" s="588" customFormat="1" ht="13.5" thickBot="1" x14ac:dyDescent="0.25">
      <c r="A103" s="589">
        <f t="shared" si="1"/>
        <v>93</v>
      </c>
      <c r="B103" s="1155" t="str">
        <f ca="1">IF('A-80 DirEntInv'!B102&lt;&gt;"",'A-80 DirEntInv'!B102,IF(INDIRECT(ADDRESS(SumRef!AQ109,SumRef!AQ$16,,,SumRef!$B$7))="","",INDIRECT(ADDRESS(SumRef!AQ109,SumRef!AQ$16,,,SumRef!$B$7))))</f>
        <v/>
      </c>
      <c r="C103" s="1097" t="str">
        <f ca="1">IF('A-80 DirEntInv'!C102&lt;&gt;"",'A-80 DirEntInv'!C102,IF(INDIRECT(ADDRESS(SumRef!AR109,SumRef!AR$16,,,SumRef!$B$7))="","",INDIRECT(ADDRESS(SumRef!AR109,SumRef!AR$16,,,SumRef!$B$7))))</f>
        <v/>
      </c>
      <c r="D103" s="1097" t="str">
        <f ca="1">IF('A-80 DirEntInv'!D102&lt;&gt;"",'A-80 DirEntInv'!D102,IF(INDIRECT(ADDRESS(SumRef!AS109,SumRef!AS$16,,,SumRef!$B$7))="","",INDIRECT(ADDRESS(SumRef!AS109,SumRef!AS$16,,,SumRef!$B$7))))</f>
        <v/>
      </c>
      <c r="E103" s="1097" t="str">
        <f ca="1">IF('A-80 DirEntInv'!E102&lt;&gt;"",'A-80 DirEntInv'!E102,IF(INDIRECT(ADDRESS(SumRef!AT109,SumRef!AT$16,,,SumRef!$B$7))="","",INDIRECT(ADDRESS(SumRef!AT109,SumRef!AT$16,,,SumRef!$B$7))))</f>
        <v/>
      </c>
      <c r="F103" s="1097" t="str">
        <f ca="1">IF('A-80 DirEntInv'!F102&lt;&gt;"",'A-80 DirEntInv'!F102,IF(INDIRECT(ADDRESS(SumRef!AU109,SumRef!AU$16,,,SumRef!$B$7))="","",INDIRECT(ADDRESS(SumRef!AU109,SumRef!AU$16,,,SumRef!$B$7))))</f>
        <v/>
      </c>
      <c r="G103" s="1158" t="str">
        <f ca="1">IF('A-80 DirEntInv'!G102&lt;&gt;"",'A-80 DirEntInv'!G102,IF(INDIRECT(ADDRESS(SumRef!AV109,SumRef!AV$16,,,SumRef!$B$7))="","",INDIRECT(ADDRESS(SumRef!AV109,SumRef!AV$16,,,SumRef!$B$7))))</f>
        <v/>
      </c>
      <c r="H103" s="1097" t="str">
        <f ca="1">IF('A-80 DirEntInv'!H102&lt;&gt;"",'A-80 DirEntInv'!H102,IF(INDIRECT(ADDRESS(SumRef!AW109,SumRef!AW$16,,,SumRef!$B$7))="","",INDIRECT(ADDRESS(SumRef!AW109,SumRef!AW$16,,,SumRef!$B$7))))</f>
        <v/>
      </c>
      <c r="I103" s="1097" t="str">
        <f ca="1">IF('A-80 DirEntInv'!I102&lt;&gt;"",'A-80 DirEntInv'!I102,IF(INDIRECT(ADDRESS(SumRef!AX109,SumRef!AX$16,,,SumRef!$B$7))="","",INDIRECT(ADDRESS(SumRef!AX109,SumRef!AX$16,,,SumRef!$B$7))))</f>
        <v/>
      </c>
      <c r="J103" s="1098" t="str">
        <f ca="1">IF('A-80 DirEntInv'!J102&lt;&gt;"",'A-80 DirEntInv'!J102,IF(INDIRECT(ADDRESS(SumRef!AY109,SumRef!AY$16,,,SumRef!$B$7))="","",INDIRECT(ADDRESS(SumRef!AY109,SumRef!AY$16,,,SumRef!$B$7))))</f>
        <v/>
      </c>
      <c r="K103" s="1099" t="str">
        <f ca="1">IF('A-80 DirEntInv'!K102&lt;&gt;"",'A-80 DirEntInv'!K102,IF(INDIRECT(ADDRESS(SumRef!AZ109,SumRef!AZ$16,,,SumRef!$B$7))="","",INDIRECT(ADDRESS(SumRef!AZ109,SumRef!AZ$16,,,SumRef!$B$7))))</f>
        <v/>
      </c>
      <c r="L103" s="1100" t="str">
        <f ca="1">IF('A-80 DirEntInv'!L102&lt;&gt;"",'A-80 DirEntInv'!L102,IF(INDIRECT(ADDRESS(SumRef!BA109,SumRef!BA$16,,,SumRef!$B$7))="","",INDIRECT(ADDRESS(SumRef!BA109,SumRef!BA$16,,,SumRef!$B$7))))</f>
        <v/>
      </c>
      <c r="M103" s="1101" t="str">
        <f ca="1">IF('A-80 DirEntInv'!M102&lt;&gt;"",'A-80 DirEntInv'!M102,IF(INDIRECT(ADDRESS(SumRef!BB109,SumRef!BB$16,,,SumRef!$B$7))="","",INDIRECT(ADDRESS(SumRef!BB109,SumRef!BB$16,,,SumRef!$B$7))))</f>
        <v/>
      </c>
      <c r="N103" s="1098" t="str">
        <f ca="1">IF('A-80 DirEntInv'!N102&lt;&gt;"",'A-80 DirEntInv'!N102,IF(INDIRECT(ADDRESS(SumRef!BC109,SumRef!BC$16,,,SumRef!$B$7))="","",INDIRECT(ADDRESS(SumRef!BC109,SumRef!BC$16,,,SumRef!$B$7))))</f>
        <v/>
      </c>
      <c r="O103" s="1102" t="str">
        <f ca="1">IF('A-80 DirEntInv'!O102&lt;&gt;"",'A-80 DirEntInv'!O102,IF(INDIRECT(ADDRESS(SumRef!BD109,SumRef!BD$16,,,SumRef!$B$7))="","",INDIRECT(ADDRESS(SumRef!BD109,SumRef!BD$16,,,SumRef!$B$7))))</f>
        <v/>
      </c>
      <c r="Q103" s="589"/>
      <c r="R103" s="1103" t="str">
        <f ca="1">IF('A-80 DirEntInv'!R102&lt;&gt;"",'A-80 DirEntInv'!R102,IF(INDIRECT(ADDRESS(SumRef!BH109,SumRef!BH$16,,,SumRef!$B$8))="","",INDIRECT(ADDRESS(SumRef!BH109,SumRef!BH$16,,,SumRef!$B$8))))</f>
        <v/>
      </c>
      <c r="S103" s="1104" t="str">
        <f ca="1">IF('A-80 DirEntInv'!S102&lt;&gt;"",'A-80 DirEntInv'!S102,IF(INDIRECT(ADDRESS(SumRef!BI109,SumRef!BI$16,,,SumRef!$B$8))="","",INDIRECT(ADDRESS(SumRef!BI109,SumRef!BI$16,,,SumRef!$B$8))))</f>
        <v/>
      </c>
      <c r="T103" s="1104" t="str">
        <f ca="1">IF('A-80 DirEntInv'!T102&lt;&gt;"",'A-80 DirEntInv'!T102,IF(INDIRECT(ADDRESS(SumRef!BJ109,SumRef!BJ$16,,,SumRef!$B$8))="","",INDIRECT(ADDRESS(SumRef!BJ109,SumRef!BJ$16,,,SumRef!$B$8))))</f>
        <v/>
      </c>
      <c r="U103" s="1104" t="str">
        <f ca="1">IF('A-80 DirEntInv'!U102&lt;&gt;"",'A-80 DirEntInv'!U102,IF(INDIRECT(ADDRESS(SumRef!BK109,SumRef!BK$16,,,SumRef!$B$8))="","",INDIRECT(ADDRESS(SumRef!BK109,SumRef!BK$16,,,SumRef!$B$8))))</f>
        <v/>
      </c>
      <c r="V103" s="1104" t="str">
        <f ca="1">IF('A-80 DirEntInv'!V102&lt;&gt;"",'A-80 DirEntInv'!V102,IF(INDIRECT(ADDRESS(SumRef!BL109,SumRef!BL$16,,,SumRef!$B$8))="","",INDIRECT(ADDRESS(SumRef!BL109,SumRef!BL$16,,,SumRef!$B$8))))</f>
        <v/>
      </c>
      <c r="W103" s="1354" t="str">
        <f ca="1">IF('A-80 DirEntInv'!W102&lt;&gt;"",'A-80 DirEntInv'!W102,IF(INDIRECT(ADDRESS(SumRef!BM109,SumRef!BM$16,,,SumRef!$B$8))="","",INDIRECT(ADDRESS(SumRef!BM109,SumRef!BM$16,,,SumRef!$B$8))))</f>
        <v/>
      </c>
      <c r="X103" s="1203" t="str">
        <f ca="1">IF('A-80 DirEntInv'!X102&lt;&gt;"",'A-80 DirEntInv'!X102,IF(INDIRECT(ADDRESS(SumRef!BN109,SumRef!BN$16,,,SumRef!$B$8))="","",INDIRECT(ADDRESS(SumRef!BN109,SumRef!BN$16,,,SumRef!$B$8))))</f>
        <v/>
      </c>
      <c r="Y103" s="1203" t="str">
        <f ca="1">IF('A-80 DirEntInv'!Y102&lt;&gt;"",'A-80 DirEntInv'!Y102,IF(INDIRECT(ADDRESS(SumRef!BO109,SumRef!BO$16,,,SumRef!$B$8))="","",INDIRECT(ADDRESS(SumRef!BO109,SumRef!BO$16,,,SumRef!$B$8))))</f>
        <v/>
      </c>
      <c r="Z103" s="1104" t="str">
        <f ca="1">IF('A-80 DirEntInv'!Z102&lt;&gt;"",'A-80 DirEntInv'!Z102,IF(INDIRECT(ADDRESS(SumRef!BP109,SumRef!BP$16,,,SumRef!$B$8))="","",INDIRECT(ADDRESS(SumRef!BP109,SumRef!BP$16,,,SumRef!$B$8))))</f>
        <v/>
      </c>
      <c r="AA103" s="1104" t="str">
        <f ca="1">IF('A-80 DirEntInv'!AA102&lt;&gt;"",'A-80 DirEntInv'!AA102,IF(INDIRECT(ADDRESS(SumRef!BQ109,SumRef!BQ$16,,,SumRef!$B$8))="","",INDIRECT(ADDRESS(SumRef!BQ109,SumRef!BQ$16,,,SumRef!$B$8))))</f>
        <v/>
      </c>
      <c r="AB103" s="1106" t="str">
        <f ca="1">IF('A-80 DirEntInv'!AB102&lt;&gt;"",'A-80 DirEntInv'!AB102,IF(INDIRECT(ADDRESS(SumRef!BR109,SumRef!BR$16,,,SumRef!$B$8))="","",INDIRECT(ADDRESS(SumRef!BR109,SumRef!BR$16,,,SumRef!$B$8))))</f>
        <v/>
      </c>
      <c r="AC103" s="1107" t="str">
        <f ca="1">IF('A-80 DirEntInv'!AC102&lt;&gt;"",'A-80 DirEntInv'!AC102,IF(INDIRECT(ADDRESS(SumRef!BS109,SumRef!BS$16,,,SumRef!$B$8))="","",INDIRECT(ADDRESS(SumRef!BS109,SumRef!BS$16,,,SumRef!$B$8))))</f>
        <v/>
      </c>
      <c r="AD103" s="1349" t="str">
        <f ca="1">IF('A-80 DirEntInv'!AD102&lt;&gt;"",'A-80 DirEntInv'!AD102,IF(INDIRECT(ADDRESS(SumRef!BT109,SumRef!BT$16,,,SumRef!$B$8))="","",INDIRECT(ADDRESS(SumRef!BT109,SumRef!BT$16,,,SumRef!$B$8))))</f>
        <v/>
      </c>
      <c r="AE103" s="1137" t="str">
        <f ca="1">IF('A-80 DirEntInv'!AE102&lt;&gt;"",'A-80 DirEntInv'!AE102,IF(INDIRECT(ADDRESS(SumRef!BU109,SumRef!BU$16,,,SumRef!$B$8))="","",INDIRECT(ADDRESS(SumRef!BU109,SumRef!BU$16,,,SumRef!$B$8))))</f>
        <v/>
      </c>
      <c r="AF103" s="1346" t="str">
        <f ca="1">IF('A-80 DirEntInv'!AF102&lt;&gt;"",'A-80 DirEntInv'!AF102,IF(INDIRECT(ADDRESS(SumRef!BV109,SumRef!BV$16,,,SumRef!$B$8))="","",INDIRECT(ADDRESS(SumRef!BV109,SumRef!BV$16,,,SumRef!$B$8))))</f>
        <v/>
      </c>
      <c r="AG103" s="1105" t="str">
        <f ca="1">IF('A-80 DirEntInv'!AG102&lt;&gt;"",'A-80 DirEntInv'!AG102,IF(INDIRECT(ADDRESS(SumRef!BW109,SumRef!BW$16,,,SumRef!$B$8))="","",INDIRECT(ADDRESS(SumRef!BW109,SumRef!BW$16,,,SumRef!$B$8))))</f>
        <v/>
      </c>
      <c r="AH103" s="1357" t="str">
        <f ca="1">IF('A-80 DirEntInv'!AH102&lt;&gt;"",'A-80 DirEntInv'!AH102,IF(INDIRECT(ADDRESS(SumRef!BX109,SumRef!BX$16,,,SumRef!$B$8))="","",INDIRECT(ADDRESS(SumRef!BX109,SumRef!BX$16,,,SumRef!$B$8))))</f>
        <v/>
      </c>
      <c r="AK103" s="1048" t="str">
        <f>Codes!$C$162</f>
        <v>CR - Commuter Rail (PT)</v>
      </c>
      <c r="AL103" s="1049" t="str">
        <f>Valid!$B$79</f>
        <v>Below-Grade/Submerged Tube</v>
      </c>
      <c r="AM103" s="1119" t="str">
        <f>IF('A-80 DirEntInv'!AM102&lt;&gt;"",'A-80 DirEntInv'!AM102,IF(AK103=summaryref2!B20,summaryref2!D20,IF(Summary!AK103=summaryref2!B34,summaryref2!D34,IF(AK103=summaryref2!B48,summaryref2!D48,IF(AK103=summaryref2!B62,summaryref2!D62,IF(AK103=summaryref2!B76,summaryref2!D76,IF(AK103=summaryref2!B90,summaryref2!D90,IF(AK103=summaryref2!B104,summaryref2!D104,IF(AK103=summaryref2!B118,summaryref2!D118,IF(AK103=summaryref2!B132,summaryref2!D132,IF(AK103=summaryref2!B146,summaryref2!D146,"")))))))))))</f>
        <v/>
      </c>
      <c r="AN103" s="1120" t="str">
        <f ca="1">IF('A-80 DirEntInv'!AN88&lt;&gt;"",'A-80 DirEntInv'!AN88,IF(INDIRECT(ADDRESS(SumRef!CG102,SumRef!CG$16,,,SumRef!$C$7))="","",INDIRECT(ADDRESS(SumRef!CG102,SumRef!CG$16,,,SumRef!$C$7))))</f>
        <v>Linear Feet</v>
      </c>
      <c r="AO103" s="1119" t="str">
        <f>IF('A-80 DirEntInv'!AO102&lt;&gt;"",'A-80 DirEntInv'!AO102,IF(AK103=summaryref2!B20,summaryref2!F20,IF(Summary!AK103=summaryref2!B34,summaryref2!F34,IF(AK103=summaryref2!B48,summaryref2!F48,IF(AK103=summaryref2!B62,summaryref2!F62,IF(AK103=summaryref2!B76,summaryref2!F76,IF(AK103=summaryref2!B90,summaryref2!F90,IF(AK103=summaryref2!B104,summaryref2!F104,IF(AK103=summaryref2!B118,summaryref2!F118,IF(AK103=summaryref2!B132,summaryref2!F132,IF(AK103=summaryref2!B146,summaryref2!F146,"")))))))))))</f>
        <v/>
      </c>
      <c r="AP103" s="1120" t="str">
        <f ca="1">IF('A-80 DirEntInv'!AP88&lt;&gt;"",'A-80 DirEntInv'!AP88,IF(INDIRECT(ADDRESS(SumRef!#REF!,SumRef!#REF!,,,SumRef!$C$7))="","",INDIRECT(ADDRESS(SumRef!#REF!,SumRef!#REF!,,,SumRef!$C$7))))</f>
        <v>Track Feet</v>
      </c>
      <c r="AQ103" s="1148" t="str">
        <f>IF('A-80 DirEntInv'!AQ102&lt;&gt;"",'A-80 DirEntInv'!AQ102,IF(AK103=summaryref2!B20,summaryref2!G20,IF(Summary!AK103=summaryref2!B34,summaryref2!G34,IF(AK103=summaryref2!B48,summaryref2!G48,IF(AK103=summaryref2!B62,summaryref2!G62,IF(AK103=summaryref2!B76,summaryref2!G76,IF(AK103=summaryref2!B90,summaryref2!G90,IF(AK103=summaryref2!B104,summaryref2!G104,IF(AK103=summaryref2!B118,summaryref2!G118,IF(AK103=summaryref2!B132,summaryref2!G132,IF(AK103=summaryref2!B146,summaryref2!G146,"")))))))))))</f>
        <v/>
      </c>
      <c r="AR103" s="1148" t="str">
        <f>IF('A-80 DirEntInv'!AR102&lt;&gt;"",'A-80 DirEntInv'!AR102,IF(AK103=summaryref2!B20,summaryref2!H20,IF(Summary!AK103=summaryref2!B34,summaryref2!H34,IF(AK103=summaryref2!B48,summaryref2!H48,IF(AK103=summaryref2!B62,summaryref2!H62,IF(AK103=summaryref2!B76,summaryref2!H76,IF(AK103=summaryref2!B90,summaryref2!H90,IF(AK103=summaryref2!B104,summaryref2!H104,IF(AK103=summaryref2!B118,summaryref2!H118,IF(AK103=summaryref2!B132,summaryref2!H132,IF(AK103=summaryref2!B146,summaryref2!H146,"")))))))))))</f>
        <v/>
      </c>
      <c r="AS103" s="1121" t="str">
        <f>IF('A-80 DirEntInv'!AS102&lt;&gt;"",'A-80 DirEntInv'!AS102,IF(AK103=summaryref2!B20,summaryref2!I20,IF(Summary!AK103=summaryref2!B34,summaryref2!I34,IF(AK103=summaryref2!B48,summaryref2!I48,IF(AK103=summaryref2!B62,summaryref2!I62,IF(AK103=summaryref2!B76,summaryref2!I76,IF(AK103=summaryref2!B90,summaryref2!I90,IF(AK103=summaryref2!B104,summaryref2!I104,IF(AK103=summaryref2!B118,summaryref2!I118,IF(AK103=summaryref2!B132,summaryref2!I132,IF(AK103=summaryref2!B146,summaryref2!I146,"")))))))))))</f>
        <v/>
      </c>
      <c r="AT103" s="1121" t="str">
        <f>IF('A-80 DirEntInv'!AT102&lt;&gt;"",'A-80 DirEntInv'!AT102,IF(AK103=summaryref2!B20,summaryref2!J20,IF(Summary!AK103=summaryref2!B34,summaryref2!J34,IF(AK103=summaryref2!B48,summaryref2!J48,IF(AK103=summaryref2!B62,summaryref2!J62,IF(AK103=summaryref2!B76,summaryref2!J76,IF(AK103=summaryref2!B90,summaryref2!J90,IF(AK103=summaryref2!B104,summaryref2!J104,IF(AK103=summaryref2!B118,summaryref2!J118,IF(AK103=summaryref2!B132,summaryref2!J132,IF(AK103=summaryref2!B146,summaryref2!J146,"")))))))))))</f>
        <v/>
      </c>
      <c r="AU103" s="1121" t="str">
        <f>IF('A-80 DirEntInv'!AU102&lt;&gt;"",'A-80 DirEntInv'!AU102,IF(AK103=summaryref2!B20,summaryref2!K20,IF(Summary!AK103=summaryref2!B34,summaryref2!K34,IF(AK103=summaryref2!B48,summaryref2!K48,IF(AK103=summaryref2!B62,summaryref2!K62,IF(AK103=summaryref2!B76,summaryref2!K76,IF(AK103=summaryref2!B90,summaryref2!K90,IF(AK103=summaryref2!B104,summaryref2!K104,IF(AK103=summaryref2!B118,summaryref2!K118,IF(AK103=summaryref2!B132,summaryref2!K132,IF(AK103=summaryref2!B146,summaryref2!K146,"")))))))))))</f>
        <v/>
      </c>
      <c r="AV103" s="1121" t="str">
        <f>IF('A-80 DirEntInv'!AV102&lt;&gt;"",'A-80 DirEntInv'!AV102,IF(AK103=summaryref2!B20,summaryref2!L20,IF(Summary!AK103=summaryref2!B34,summaryref2!L34,IF(AK103=summaryref2!B48,summaryref2!L48,IF(AK103=summaryref2!B62,summaryref2!L62,IF(AK103=summaryref2!B76,summaryref2!L76,IF(AK103=summaryref2!B90,summaryref2!L90,IF(AK103=summaryref2!B104,summaryref2!L104,IF(AK103=summaryref2!B118,summaryref2!L118,IF(AK103=summaryref2!B132,summaryref2!L132,IF(AK103=summaryref2!B146,summaryref2!L146,"")))))))))))</f>
        <v/>
      </c>
      <c r="AW103" s="1121" t="str">
        <f>IF('A-80 DirEntInv'!AW102&lt;&gt;"",'A-80 DirEntInv'!AW102,IF(AK103=summaryref2!B20,summaryref2!M20,IF(Summary!AK103=summaryref2!B34,summaryref2!M34,IF(AK103=summaryref2!B48,summaryref2!M48,IF(AK103=summaryref2!B62,summaryref2!M62,IF(AK103=summaryref2!B76,summaryref2!M76,IF(AK103=summaryref2!B90,summaryref2!M90,IF(AK103=summaryref2!B104,summaryref2!M104,IF(AK103=summaryref2!B118,summaryref2!M118,IF(AK103=summaryref2!B132,summaryref2!M132,IF(AK103=summaryref2!B146,summaryref2!M146,"")))))))))))</f>
        <v/>
      </c>
      <c r="AX103" s="1121" t="str">
        <f>IF('A-80 DirEntInv'!AX102&lt;&gt;"",'A-80 DirEntInv'!AX102,IF(AK103=summaryref2!B20,summaryref2!N20,IF(Summary!AK103=summaryref2!B34,summaryref2!N34,IF(AK103=summaryref2!B48,summaryref2!N48,IF(AK103=summaryref2!B62,summaryref2!N62,IF(AK103=summaryref2!B76,summaryref2!N76,IF(AK103=summaryref2!B90,summaryref2!N90,IF(AK103=summaryref2!B104,summaryref2!N104,IF(AK103=summaryref2!B118,summaryref2!N118,IF(AK103=summaryref2!B132,summaryref2!N132,IF(AK103=summaryref2!B146,summaryref2!N146,"")))))))))))</f>
        <v/>
      </c>
      <c r="AY103" s="1121" t="str">
        <f>IF('A-80 DirEntInv'!AY102&lt;&gt;"",'A-80 DirEntInv'!AY102,IF(AK103=summaryref2!B20,summaryref2!O20,IF(Summary!AK103=summaryref2!B34,summaryref2!O34,IF(AK103=summaryref2!B48,summaryref2!O48,IF(AK103=summaryref2!B62,summaryref2!O62,IF(AK103=summaryref2!B76,summaryref2!O76,IF(AK103=summaryref2!B90,summaryref2!O90,IF(AK103=summaryref2!B104,summaryref2!O104,IF(AK103=summaryref2!B118,summaryref2!O118,IF(AK103=summaryref2!B132,summaryref2!O132,IF(AK103=summaryref2!B146,summaryref2!O146,"")))))))))))</f>
        <v/>
      </c>
      <c r="AZ103" s="1121" t="str">
        <f>IF('A-80 DirEntInv'!AZ102&lt;&gt;"",'A-80 DirEntInv'!AZ102,IF(AK103=summaryref2!B20,summaryref2!P20,IF(Summary!AK103=summaryref2!B34,summaryref2!P34,IF(AK103=summaryref2!B48,summaryref2!P48,IF(AK103=summaryref2!B62,summaryref2!P62,IF(AK103=summaryref2!B76,summaryref2!P76,IF(AK103=summaryref2!B90,summaryref2!P90,IF(AK103=summaryref2!B104,summaryref2!P104,IF(AK103=summaryref2!B118,summaryref2!P118,IF(AK103=summaryref2!B132,summaryref2!P132,IF(AK103=summaryref2!B146,summaryref2!P146,"")))))))))))</f>
        <v/>
      </c>
      <c r="BA103" s="1121" t="str">
        <f>IF('A-80 DirEntInv'!BA102&lt;&gt;"",'A-80 DirEntInv'!BA102,IF(AK103=summaryref2!B20,summaryref2!Q20,IF(Summary!AK103=summaryref2!B34,summaryref2!Q34,IF(AK103=summaryref2!B48,summaryref2!Q48,IF(AK103=summaryref2!B62,summaryref2!Q62,IF(AK103=summaryref2!B76,summaryref2!Q76,IF(AK103=summaryref2!B90,summaryref2!Q90,IF(AK103=summaryref2!B104,summaryref2!Q104,IF(AK103=summaryref2!B118,summaryref2!Q118,IF(AK103=summaryref2!B132,summaryref2!Q132,IF(AK103=summaryref2!B146,summaryref2!Q146,"")))))))))))</f>
        <v/>
      </c>
      <c r="BB103" s="1121" t="str">
        <f>IF('A-80 DirEntInv'!BB102&lt;&gt;"",'A-80 DirEntInv'!BB102,IF(AK103=summaryref2!B20,summaryref2!R20,IF(Summary!AK103=summaryref2!B34,summaryref2!R34,IF(AK103=summaryref2!B48,summaryref2!R48,IF(AK103=summaryref2!B62,summaryref2!R62,IF(AK103=summaryref2!B76,summaryref2!R76,IF(AK103=summaryref2!B90,summaryref2!R90,IF(AK103=summaryref2!B104,summaryref2!R104,IF(AK103=summaryref2!B118,summaryref2!R118,IF(AK103=summaryref2!B132,summaryref2!R132,IF(AK103=summaryref2!B146,summaryref2!R146,"")))))))))))</f>
        <v/>
      </c>
      <c r="BC103" s="1121" t="str">
        <f>IF('A-80 DirEntInv'!BC102&lt;&gt;0,'A-80 DirEntInv'!BC102,IF(AK103=summaryref2!B20,summaryref2!S20,IF(Summary!AK103=summaryref2!B34,summaryref2!S34,IF(AK103=summaryref2!B48,summaryref2!S48,IF(AK103=summaryref2!B62,summaryref2!S62,IF(AK103=summaryref2!B76,summaryref2!S76,IF(AK103=summaryref2!B90,summaryref2!S90,IF(AK103=summaryref2!B104,summaryref2!S104,IF(AK103=summaryref2!B118,summaryref2!S118,IF(AK103=summaryref2!B132,summaryref2!S132,IF(AK103=summaryref2!B146,summaryref2!S146,"")))))))))))</f>
        <v/>
      </c>
      <c r="BD103" s="1122" t="str">
        <f>IF('A-80 DirEntInv'!BD102&lt;&gt;"",'A-80 DirEntInv'!BD102,IF(AK103=summaryref2!B20,summaryref2!T20,IF(Summary!AK103=summaryref2!B34,summaryref2!T34,IF(AK103=summaryref2!B48,summaryref2!T48,IF(AK103=summaryref2!B62,summaryref2!T62,IF(AK103=summaryref2!B76,summaryref2!T76,IF(AK103=summaryref2!B90,summaryref2!T90,IF(AK103=summaryref2!B104,summaryref2!T104,IF(AK103=summaryref2!B118,summaryref2!T118,IF(AK103=summaryref2!B132,summaryref2!T132,IF(AK103=summaryref2!B146,summaryref2!T146,"")))))))))))</f>
        <v/>
      </c>
      <c r="BE103" s="1190" t="str">
        <f>IF('A-80 DirEntInv'!BE102&lt;&gt;"",'A-80 DirEntInv'!BE102,IF(AK103=summaryref2!B20,summaryref2!U20,IF(Summary!AK103=summaryref2!B34,summaryref2!U34,IF(AK103=summaryref2!B48,summaryref2!U48,IF(AK103=summaryref2!B62,summaryref2!U62,IF(AK103=summaryref2!B76,summaryref2!U76,IF(AK103=summaryref2!B90,summaryref2!U90,IF(AK103=summaryref2!B104,summaryref2!U104,IF(AK103=summaryref2!B118,summaryref2!U118,IF(AK103=summaryref2!B132,summaryref2!U132,IF(AK103=summaryref2!B146,summaryref2!U146,"")))))))))))</f>
        <v/>
      </c>
      <c r="BF103" s="1432"/>
      <c r="BG103" s="1432"/>
      <c r="BJ103" s="1048" t="str">
        <f>Codes!$C$169</f>
        <v>SR - Streetcar Rail (DO)</v>
      </c>
      <c r="BK103" s="1049" t="str">
        <f>Valid!$B$81</f>
        <v>Curve</v>
      </c>
      <c r="BL103" s="1367" t="str">
        <f>IF('A-80 DirEntInv'!BL102&lt;&gt;"",'A-80 DirEntInv'!BL102,IF(BJ103=summaryref2!X13,summaryref2!Z13,IF(BJ103=summaryref2!X20,summaryref2!Z20,IF(BJ103=summaryref2!X27,summaryref2!Z27,IF(BJ103=summaryref2!X34,summaryref2!Z34,IF(BJ103=summaryref2!X41,summaryref2!Z41,IF(BJ103=summaryref2!X48,summaryref2!Z48,IF(BJ103=summaryref2!X55,summaryref2!Z55,IF(BJ103=summaryref2!X62,summaryref2!Z62,IF(BJ103=summaryref2!X69,summaryref2!Z69,IF(BJ103=summaryref2!X76,summaryref2!Z76,"")))))))))))</f>
        <v/>
      </c>
      <c r="BM103" s="1049" t="str">
        <f>VLOOKUP(BK103,Valid!$B$80:$C$86,2,FALSE)</f>
        <v>Track Feet</v>
      </c>
      <c r="BN103" s="1324" t="str">
        <f>IF('A-80 DirEntInv'!BN102&lt;&gt;"",'A-80 DirEntInv'!BN102,IF(BJ103=summaryref2!X13,summaryref2!AB13,IF(BJ103=summaryref2!X20,summaryref2!AB20,IF(BJ103=summaryref2!X27,summaryref2!AB27,IF(BJ103=summaryref2!X34,summaryref2!AB34,IF(BJ103=summaryref2!X41,summaryref2!AB41,IF(BJ103=summaryref2!X48,summaryref2!AB48,IF(BJ103=summaryref2!X55,summaryref2!AB55,IF(BJ103=summaryref2!X62,summaryref2!AB62,IF(BJ103=summaryref2!X69,summaryref2!AB69,IF(BJ103=summaryref2!X76,summaryref2!AB76,"")))))))))))</f>
        <v/>
      </c>
      <c r="BO103" s="1326" t="str">
        <f>IF('A-80 DirEntInv'!BO102&lt;&gt;"",'A-80 DirEntInv'!BO102,IF(BJ103=summaryref2!X13,summaryref2!AC13,IF(BJ103=summaryref2!X20,summaryref2!AC20,IF(BJ103=summaryref2!X27,summaryref2!AC27,IF(BJ103=summaryref2!X34,summaryref2!AC34,IF(BJ103=summaryref2!X41,summaryref2!AC41,IF(BJ103=summaryref2!X48,summaryref2!AC48,IF(BJ103=summaryref2!X55,summaryref2!AC55,IF(BJ103=summaryref2!X62,summaryref2!AC62,IF(BJ103=summaryref2!X69,summaryref2!AC69,IF(BJ103=summaryref2!X76,summaryref2!AC76,"")))))))))))</f>
        <v/>
      </c>
      <c r="BP103" s="1323" t="str">
        <f>IF('A-80 DirEntInv'!BP102&lt;&gt;"",'A-80 DirEntInv'!BP102,IF(BJ103=summaryref2!X13,summaryref2!AD13,IF(BJ103=summaryref2!X20,summaryref2!AD20,IF(BJ103=summaryref2!X27,summaryref2!AD27,IF(BJ103=summaryref2!X34,summaryref2!AD34,IF(BJ103=summaryref2!X41,summaryref2!AD41,IF(BJ103=summaryref2!X48,summaryref2!AD48,IF(BJ103=summaryref2!X55,summaryref2!AD55,IF(BJ103=summaryref2!X62,summaryref2!AD62,IF(BJ103=summaryref2!X69,summaryref2!AD69,IF(BJ103=summaryref2!X76,summaryref2!AD76,"")))))))))))</f>
        <v/>
      </c>
      <c r="BS103" s="1472" t="str">
        <f ca="1">IF('A-80 DirEntInv'!BU102&lt;&gt;"",'A-80 DirEntInv'!BU102,IF(INDIRECT(ADDRESS(SumRef!DK109,SumRef!DK$16,,,SumRef!$E$6))="","",INDIRECT(ADDRESS(SumRef!DK109,SumRef!DK$16,,,SumRef!$E$6))))</f>
        <v/>
      </c>
      <c r="BT103" s="1458" t="str">
        <f ca="1">IF('A-80 DirEntInv'!BV102&lt;&gt;"",'A-80 DirEntInv'!BV102,IF(INDIRECT(ADDRESS(SumRef!DL109,SumRef!DL$16,,,SumRef!$E$6))="","",INDIRECT(ADDRESS(SumRef!DL109,SumRef!DL$16,,,SumRef!$E$6))))</f>
        <v/>
      </c>
      <c r="BU103" s="1177" t="str">
        <f ca="1">IF('A-80 DirEntInv'!BW102&lt;&gt;"",'A-80 DirEntInv'!BW102,IF(INDIRECT(ADDRESS(SumRef!DM109,SumRef!DM$16,,,SumRef!$E$6))="","",INDIRECT(ADDRESS(SumRef!DM109,SumRef!DM$16,,,SumRef!$E$6))))</f>
        <v/>
      </c>
      <c r="BV103" s="1460" t="str">
        <f ca="1">IF('A-80 DirEntInv'!BX102&lt;&gt;"",'A-80 DirEntInv'!BX102,IF(INDIRECT(ADDRESS(SumRef!DN109,SumRef!DN$16,,,SumRef!$E$6))="","",INDIRECT(ADDRESS(SumRef!DN109,SumRef!DN$16,,,SumRef!$E$6))))</f>
        <v/>
      </c>
      <c r="BW103" s="1460" t="str">
        <f ca="1">IF('A-80 DirEntInv'!BY102&lt;&gt;"",'A-80 DirEntInv'!BY102,IF(INDIRECT(ADDRESS(SumRef!DO109,SumRef!DO$16,,,SumRef!$E$6))="","",INDIRECT(ADDRESS(SumRef!DO109,SumRef!DO$16,,,SumRef!$E$6))))</f>
        <v/>
      </c>
      <c r="BX103" s="1116" t="str">
        <f ca="1">IF('A-80 DirEntInv'!BZ102&lt;&gt;"",'A-80 DirEntInv'!BZ102,IF(INDIRECT(ADDRESS(SumRef!DP109,SumRef!DP$16,,,SumRef!$E$6))="","",INDIRECT(ADDRESS(SumRef!DP109,SumRef!DP$16,,,SumRef!$E$6))))</f>
        <v/>
      </c>
      <c r="BY103" s="1461" t="str">
        <f ca="1">IF('A-80 DirEntInv'!CA102&lt;&gt;"",'A-80 DirEntInv'!CA102,IF(INDIRECT(ADDRESS(SumRef!DQ109,SumRef!DQ$16,,,SumRef!$E$6))="","",INDIRECT(ADDRESS(SumRef!DQ109,SumRef!DQ$16,,,SumRef!$E$6))))</f>
        <v/>
      </c>
      <c r="BZ103" s="1460" t="str">
        <f ca="1">IF('A-80 DirEntInv'!CB102&lt;&gt;"",'A-80 DirEntInv'!CB102,IF(INDIRECT(ADDRESS(SumRef!DR109,SumRef!DR$16,,,SumRef!$E$6))="","",INDIRECT(ADDRESS(SumRef!DR109,SumRef!DR$16,,,SumRef!$E$6))))</f>
        <v/>
      </c>
      <c r="CA103" s="1462" t="str">
        <f ca="1">IF('A-80 DirEntInv'!CC102&lt;&gt;"",'A-80 DirEntInv'!CC102,IF(INDIRECT(ADDRESS(SumRef!DS109,SumRef!DS$16,,,SumRef!$E$6))="","",INDIRECT(ADDRESS(SumRef!DS109,SumRef!DS$16,,,SumRef!$E$6))))</f>
        <v/>
      </c>
      <c r="CD103" s="1160" t="str">
        <f ca="1">IF('A-80 DirEntInv'!CF102&lt;&gt;"",'A-80 DirEntInv'!CF102,IF(INDIRECT(ADDRESS(SumRef!DV109,SumRef!DV$16,,,SumRef!$E$7))="","",INDIRECT(ADDRESS(SumRef!DV109,SumRef!DV$16,,,SumRef!$E$7))))</f>
        <v/>
      </c>
      <c r="CE103" s="1167" t="str">
        <f ca="1">IF('A-80 DirEntInv'!CG102&lt;&gt;"",'A-80 DirEntInv'!CG102,IF(INDIRECT(ADDRESS(SumRef!DW109,SumRef!DW$16,,,SumRef!$E$7))="","",INDIRECT(ADDRESS(SumRef!DW109,SumRef!DW$16,,,SumRef!$E$7))))</f>
        <v/>
      </c>
      <c r="CF103" s="1167" t="str">
        <f ca="1">IF('A-80 DirEntInv'!CH102&lt;&gt;"",'A-80 DirEntInv'!CH102,IF(INDIRECT(ADDRESS(SumRef!DX109,SumRef!DX$16,,,SumRef!$E$7))="","",INDIRECT(ADDRESS(SumRef!DX109,SumRef!DX$16,,,SumRef!$E$7))))</f>
        <v/>
      </c>
      <c r="CG103" s="1167" t="str">
        <f ca="1">IF('A-80 DirEntInv'!CI102&lt;&gt;"",'A-80 DirEntInv'!CI102,IF(INDIRECT(ADDRESS(SumRef!DY109,SumRef!DY$16,,,SumRef!$E$7))="","",INDIRECT(ADDRESS(SumRef!DY109,SumRef!DY$16,,,SumRef!$E$7))))</f>
        <v/>
      </c>
      <c r="CH103" s="1167" t="str">
        <f ca="1">IF('A-80 DirEntInv'!CJ102&lt;&gt;"",'A-80 DirEntInv'!CJ102,IF(INDIRECT(ADDRESS(SumRef!DZ109,SumRef!DZ$16,,,SumRef!$E$7))="","",INDIRECT(ADDRESS(SumRef!DZ109,SumRef!DZ$16,,,SumRef!$E$7))))</f>
        <v/>
      </c>
      <c r="CI103" s="1167" t="str">
        <f ca="1">IF('A-80 DirEntInv'!CK102&lt;&gt;"",'A-80 DirEntInv'!CK102,IF(INDIRECT(ADDRESS(SumRef!EA109,SumRef!EA$16,,,SumRef!$E$7))="","",INDIRECT(ADDRESS(SumRef!EA109,SumRef!EA$16,,,SumRef!$E$7))))</f>
        <v/>
      </c>
      <c r="CJ103" s="1114" t="str">
        <f ca="1">IF('A-80 DirEntInv'!CL102&lt;&gt;"",'A-80 DirEntInv'!CL102,IF(INDIRECT(ADDRESS(SumRef!EB109,SumRef!EB$16,,,SumRef!$E$7))="","",INDIRECT(ADDRESS(SumRef!EB109,SumRef!EB$16,,,SumRef!$E$7))))</f>
        <v/>
      </c>
      <c r="CK103" s="1114" t="str">
        <f ca="1">IF('A-80 DirEntInv'!CM102&lt;&gt;"",'A-80 DirEntInv'!CM102,IF(INDIRECT(ADDRESS(SumRef!EC109,SumRef!EC$16,,,SumRef!$E$7))="","",INDIRECT(ADDRESS(SumRef!EC109,SumRef!EC$16,,,SumRef!$E$7))))</f>
        <v/>
      </c>
      <c r="CL103" s="1113" t="str">
        <f ca="1">IF('A-80 DirEntInv'!CO102&lt;&gt;"",'A-80 DirEntInv'!CO102,IF(INDIRECT(ADDRESS(SumRef!ED109,SumRef!ED$16,,,SumRef!$E$7))="","",INDIRECT(ADDRESS(SumRef!ED109,SumRef!ED$16,,,SumRef!$E$7))))</f>
        <v/>
      </c>
      <c r="CM103" s="1114" t="str">
        <f ca="1">IF('A-80 DirEntInv'!CP102&lt;&gt;"",'A-80 DirEntInv'!CP102,IF(INDIRECT(ADDRESS(SumRef!EE109,SumRef!EE$16,,,SumRef!$E$7))="","",INDIRECT(ADDRESS(SumRef!EE109,SumRef!EE$16,,,SumRef!$E$7))))</f>
        <v/>
      </c>
      <c r="CN103" s="1114" t="str">
        <f ca="1">IF('A-80 DirEntInv'!CQ102&lt;&gt;"",'A-80 DirEntInv'!CQ102,IF(INDIRECT(ADDRESS(SumRef!EF109,SumRef!EF$16,,,SumRef!$E$7))="","",INDIRECT(ADDRESS(SumRef!EF109,SumRef!EF$16,,,SumRef!$E$7))))</f>
        <v/>
      </c>
      <c r="CO103" s="1113" t="str">
        <f ca="1">IF('A-80 DirEntInv'!CR102&lt;&gt;"",'A-80 DirEntInv'!CR102,IF(INDIRECT(ADDRESS(SumRef!EG109,SumRef!EG$16,,,SumRef!$E$7))="","",INDIRECT(ADDRESS(SumRef!EG109,SumRef!EG$16,,,SumRef!$E$7))))</f>
        <v/>
      </c>
      <c r="CP103" s="1114" t="str">
        <f ca="1">IF('A-80 DirEntInv'!CS102&lt;&gt;"",'A-80 DirEntInv'!CS102,IF(INDIRECT(ADDRESS(SumRef!EH109,SumRef!EH$16,,,SumRef!$E$7))="","",INDIRECT(ADDRESS(SumRef!EH109,SumRef!EH$16,,,SumRef!$E$7))))</f>
        <v/>
      </c>
      <c r="CQ103" s="1346" t="str">
        <f ca="1">IF('A-80 DirEntInv'!CT102&lt;&gt;"",'A-80 DirEntInv'!CT102,IF(INDIRECT(ADDRESS(SumRef!EI109,SumRef!EI$16,,,SumRef!$E$7))="","",INDIRECT(ADDRESS(SumRef!EI109,SumRef!EI$16,,,SumRef!$E$7))))</f>
        <v/>
      </c>
      <c r="CR103" s="1113" t="str">
        <f ca="1">IF('A-80 DirEntInv'!CU102&lt;&gt;"",'A-80 DirEntInv'!CU102,IF(INDIRECT(ADDRESS(SumRef!EJ109,SumRef!EJ$16,,,SumRef!$E$7))="","",INDIRECT(ADDRESS(SumRef!EJ109,SumRef!EJ$16,,,SumRef!$E$7))))</f>
        <v/>
      </c>
      <c r="CS103" s="1346" t="str">
        <f ca="1">IF('A-80 DirEntInv'!CV102&lt;&gt;"",'A-80 DirEntInv'!CV102,IF(INDIRECT(ADDRESS(SumRef!EM109,SumRef!EM$16,,,SumRef!$E$7))="","",INDIRECT(ADDRESS(SumRef!EM109,SumRef!EM$16,,,SumRef!$E$7))))</f>
        <v/>
      </c>
      <c r="CT103" s="1113" t="str">
        <f ca="1">IF('A-80 DirEntInv'!CW102&lt;&gt;"",'A-80 DirEntInv'!CW102,IF(INDIRECT(ADDRESS(SumRef!EN109,SumRef!EN$16,,,SumRef!$E$7))="","",INDIRECT(ADDRESS(SumRef!EN109,SumRef!EN$16,,,SumRef!$E$7))))</f>
        <v/>
      </c>
      <c r="CU103" s="1113" t="str">
        <f ca="1">IF('A-80 DirEntInv'!CX102&lt;&gt;"",'A-80 DirEntInv'!CX102,IF(INDIRECT(ADDRESS(SumRef!EO109,SumRef!EO$16,,,SumRef!$E$7))="","",INDIRECT(ADDRESS(SumRef!EO109,SumRef!EO$16,,,SumRef!$E$7))))</f>
        <v/>
      </c>
      <c r="CV103" s="1113" t="str">
        <f ca="1">IF('A-80 DirEntInv'!CY102&lt;&gt;"",'A-80 DirEntInv'!CY102,IF(INDIRECT(ADDRESS(SumRef!EP109,SumRef!EP$16,,,SumRef!$E$7))="","",INDIRECT(ADDRESS(SumRef!EP109,SumRef!EP$16,,,SumRef!$E$7))))</f>
        <v/>
      </c>
      <c r="CW103" s="1114" t="str">
        <f ca="1">IF('A-80 DirEntInv'!CZ102&lt;&gt;"",'A-80 DirEntInv'!CZ102,IF(INDIRECT(ADDRESS(SumRef!ES109,SumRef!ES$16,,,SumRef!$E$7))="","",INDIRECT(ADDRESS(SumRef!ES109,SumRef!ES$16,,,SumRef!$E$7))))</f>
        <v/>
      </c>
      <c r="CX103" s="1167" t="str">
        <f ca="1">IF('A-80 DirEntInv'!DA102&lt;&gt;"",'A-80 DirEntInv'!DA102,IF(INDIRECT(ADDRESS(SumRef!ET109,SumRef!ET$16,,,SumRef!$E$7))="","",INDIRECT(ADDRESS(SumRef!ET109,SumRef!ET$16,,,SumRef!$E$7))))</f>
        <v/>
      </c>
      <c r="CY103" s="1167" t="str">
        <f ca="1">IF('A-80 DirEntInv'!DB102&lt;&gt;"",'A-80 DirEntInv'!DB102,IF(INDIRECT(ADDRESS(SumRef!EU109,SumRef!EU$16,,,SumRef!$E$7))="","",INDIRECT(ADDRESS(SumRef!EU109,SumRef!EU$16,,,SumRef!$E$7))))</f>
        <v/>
      </c>
      <c r="CZ103" s="1167" t="b">
        <f ca="1">IF('A-80 DirEntInv'!DC102&lt;&gt;"",'A-80 DirEntInv'!DC102,IF(INDIRECT(ADDRESS(SumRef!EV109,SumRef!EV$16,,,SumRef!$E$7))="","",INDIRECT(ADDRESS(SumRef!EV109,SumRef!EV$16,,,SumRef!$E$7))))</f>
        <v>0</v>
      </c>
      <c r="DA103" s="1373" t="str">
        <f ca="1">IF('A-80 DirEntInv'!DD102&lt;&gt;"",'A-80 DirEntInv'!DD102,IF(INDIRECT(ADDRESS(SumRef!EW109,SumRef!EW$16,,,SumRef!$E$7))="","",INDIRECT(ADDRESS(SumRef!EW109,SumRef!EW$16,,,SumRef!$E$7))))</f>
        <v/>
      </c>
      <c r="DB103" s="1373" t="b">
        <f ca="1">IF('A-80 DirEntInv'!DE102&lt;&gt;"",'A-80 DirEntInv'!DE102,IF(INDIRECT(ADDRESS(SumRef!EX109,SumRef!EX$16,,,SumRef!$E$7))="","",INDIRECT(ADDRESS(SumRef!EX109,SumRef!EX$16,,,SumRef!$E$7))))</f>
        <v>0</v>
      </c>
      <c r="DC103" s="1114" t="b">
        <f ca="1">IF('A-80 DirEntInv'!DF102&lt;&gt;"",'A-80 DirEntInv'!DF102,IF(INDIRECT(ADDRESS(SumRef!EY109,SumRef!EY$16,,,SumRef!$E$7))="","",INDIRECT(ADDRESS(SumRef!EY109,SumRef!EY$16,,,SumRef!$E$7))))</f>
        <v>0</v>
      </c>
      <c r="DD103" s="1115" t="str">
        <f ca="1">IF('A-80 DirEntInv'!DG102&lt;&gt;"",'A-80 DirEntInv'!DG102,IF(INDIRECT(ADDRESS(SumRef!EZ109,SumRef!EZ$16,,,SumRef!$E$7))="","",INDIRECT(ADDRESS(SumRef!EZ109,SumRef!EZ$16,,,SumRef!$E$7))))</f>
        <v/>
      </c>
    </row>
    <row r="104" spans="1:108" s="588" customFormat="1" ht="13.5" thickTop="1" x14ac:dyDescent="0.2">
      <c r="A104" s="589">
        <f t="shared" si="1"/>
        <v>94</v>
      </c>
      <c r="B104" s="1155" t="str">
        <f ca="1">IF('A-80 DirEntInv'!B103&lt;&gt;"",'A-80 DirEntInv'!B103,IF(INDIRECT(ADDRESS(SumRef!AQ110,SumRef!AQ$16,,,SumRef!$B$7))="","",INDIRECT(ADDRESS(SumRef!AQ110,SumRef!AQ$16,,,SumRef!$B$7))))</f>
        <v/>
      </c>
      <c r="C104" s="1097" t="str">
        <f ca="1">IF('A-80 DirEntInv'!C103&lt;&gt;"",'A-80 DirEntInv'!C103,IF(INDIRECT(ADDRESS(SumRef!AR110,SumRef!AR$16,,,SumRef!$B$7))="","",INDIRECT(ADDRESS(SumRef!AR110,SumRef!AR$16,,,SumRef!$B$7))))</f>
        <v/>
      </c>
      <c r="D104" s="1097" t="str">
        <f ca="1">IF('A-80 DirEntInv'!D103&lt;&gt;"",'A-80 DirEntInv'!D103,IF(INDIRECT(ADDRESS(SumRef!AS110,SumRef!AS$16,,,SumRef!$B$7))="","",INDIRECT(ADDRESS(SumRef!AS110,SumRef!AS$16,,,SumRef!$B$7))))</f>
        <v/>
      </c>
      <c r="E104" s="1097" t="str">
        <f ca="1">IF('A-80 DirEntInv'!E103&lt;&gt;"",'A-80 DirEntInv'!E103,IF(INDIRECT(ADDRESS(SumRef!AT110,SumRef!AT$16,,,SumRef!$B$7))="","",INDIRECT(ADDRESS(SumRef!AT110,SumRef!AT$16,,,SumRef!$B$7))))</f>
        <v/>
      </c>
      <c r="F104" s="1097" t="str">
        <f ca="1">IF('A-80 DirEntInv'!F103&lt;&gt;"",'A-80 DirEntInv'!F103,IF(INDIRECT(ADDRESS(SumRef!AU110,SumRef!AU$16,,,SumRef!$B$7))="","",INDIRECT(ADDRESS(SumRef!AU110,SumRef!AU$16,,,SumRef!$B$7))))</f>
        <v/>
      </c>
      <c r="G104" s="1158" t="str">
        <f ca="1">IF('A-80 DirEntInv'!G103&lt;&gt;"",'A-80 DirEntInv'!G103,IF(INDIRECT(ADDRESS(SumRef!AV110,SumRef!AV$16,,,SumRef!$B$7))="","",INDIRECT(ADDRESS(SumRef!AV110,SumRef!AV$16,,,SumRef!$B$7))))</f>
        <v/>
      </c>
      <c r="H104" s="1097" t="str">
        <f ca="1">IF('A-80 DirEntInv'!H103&lt;&gt;"",'A-80 DirEntInv'!H103,IF(INDIRECT(ADDRESS(SumRef!AW110,SumRef!AW$16,,,SumRef!$B$7))="","",INDIRECT(ADDRESS(SumRef!AW110,SumRef!AW$16,,,SumRef!$B$7))))</f>
        <v/>
      </c>
      <c r="I104" s="1097" t="str">
        <f ca="1">IF('A-80 DirEntInv'!I103&lt;&gt;"",'A-80 DirEntInv'!I103,IF(INDIRECT(ADDRESS(SumRef!AX110,SumRef!AX$16,,,SumRef!$B$7))="","",INDIRECT(ADDRESS(SumRef!AX110,SumRef!AX$16,,,SumRef!$B$7))))</f>
        <v/>
      </c>
      <c r="J104" s="1098" t="str">
        <f ca="1">IF('A-80 DirEntInv'!J103&lt;&gt;"",'A-80 DirEntInv'!J103,IF(INDIRECT(ADDRESS(SumRef!AY110,SumRef!AY$16,,,SumRef!$B$7))="","",INDIRECT(ADDRESS(SumRef!AY110,SumRef!AY$16,,,SumRef!$B$7))))</f>
        <v/>
      </c>
      <c r="K104" s="1099" t="str">
        <f ca="1">IF('A-80 DirEntInv'!K103&lt;&gt;"",'A-80 DirEntInv'!K103,IF(INDIRECT(ADDRESS(SumRef!AZ110,SumRef!AZ$16,,,SumRef!$B$7))="","",INDIRECT(ADDRESS(SumRef!AZ110,SumRef!AZ$16,,,SumRef!$B$7))))</f>
        <v/>
      </c>
      <c r="L104" s="1100" t="str">
        <f ca="1">IF('A-80 DirEntInv'!L103&lt;&gt;"",'A-80 DirEntInv'!L103,IF(INDIRECT(ADDRESS(SumRef!BA110,SumRef!BA$16,,,SumRef!$B$7))="","",INDIRECT(ADDRESS(SumRef!BA110,SumRef!BA$16,,,SumRef!$B$7))))</f>
        <v/>
      </c>
      <c r="M104" s="1101" t="str">
        <f ca="1">IF('A-80 DirEntInv'!M103&lt;&gt;"",'A-80 DirEntInv'!M103,IF(INDIRECT(ADDRESS(SumRef!BB110,SumRef!BB$16,,,SumRef!$B$7))="","",INDIRECT(ADDRESS(SumRef!BB110,SumRef!BB$16,,,SumRef!$B$7))))</f>
        <v/>
      </c>
      <c r="N104" s="1098" t="str">
        <f ca="1">IF('A-80 DirEntInv'!N103&lt;&gt;"",'A-80 DirEntInv'!N103,IF(INDIRECT(ADDRESS(SumRef!BC110,SumRef!BC$16,,,SumRef!$B$7))="","",INDIRECT(ADDRESS(SumRef!BC110,SumRef!BC$16,,,SumRef!$B$7))))</f>
        <v/>
      </c>
      <c r="O104" s="1102" t="str">
        <f ca="1">IF('A-80 DirEntInv'!O103&lt;&gt;"",'A-80 DirEntInv'!O103,IF(INDIRECT(ADDRESS(SumRef!BD110,SumRef!BD$16,,,SumRef!$B$7))="","",INDIRECT(ADDRESS(SumRef!BD110,SumRef!BD$16,,,SumRef!$B$7))))</f>
        <v/>
      </c>
      <c r="Q104" s="589"/>
      <c r="R104" s="1103" t="str">
        <f ca="1">IF('A-80 DirEntInv'!R103&lt;&gt;"",'A-80 DirEntInv'!R103,IF(INDIRECT(ADDRESS(SumRef!BH110,SumRef!BH$16,,,SumRef!$B$8))="","",INDIRECT(ADDRESS(SumRef!BH110,SumRef!BH$16,,,SumRef!$B$8))))</f>
        <v/>
      </c>
      <c r="S104" s="1104" t="str">
        <f ca="1">IF('A-80 DirEntInv'!S103&lt;&gt;"",'A-80 DirEntInv'!S103,IF(INDIRECT(ADDRESS(SumRef!BI110,SumRef!BI$16,,,SumRef!$B$8))="","",INDIRECT(ADDRESS(SumRef!BI110,SumRef!BI$16,,,SumRef!$B$8))))</f>
        <v/>
      </c>
      <c r="T104" s="1104" t="str">
        <f ca="1">IF('A-80 DirEntInv'!T103&lt;&gt;"",'A-80 DirEntInv'!T103,IF(INDIRECT(ADDRESS(SumRef!BJ110,SumRef!BJ$16,,,SumRef!$B$8))="","",INDIRECT(ADDRESS(SumRef!BJ110,SumRef!BJ$16,,,SumRef!$B$8))))</f>
        <v/>
      </c>
      <c r="U104" s="1104" t="str">
        <f ca="1">IF('A-80 DirEntInv'!U103&lt;&gt;"",'A-80 DirEntInv'!U103,IF(INDIRECT(ADDRESS(SumRef!BK110,SumRef!BK$16,,,SumRef!$B$8))="","",INDIRECT(ADDRESS(SumRef!BK110,SumRef!BK$16,,,SumRef!$B$8))))</f>
        <v/>
      </c>
      <c r="V104" s="1104" t="str">
        <f ca="1">IF('A-80 DirEntInv'!V103&lt;&gt;"",'A-80 DirEntInv'!V103,IF(INDIRECT(ADDRESS(SumRef!BL110,SumRef!BL$16,,,SumRef!$B$8))="","",INDIRECT(ADDRESS(SumRef!BL110,SumRef!BL$16,,,SumRef!$B$8))))</f>
        <v/>
      </c>
      <c r="W104" s="1354" t="str">
        <f ca="1">IF('A-80 DirEntInv'!W103&lt;&gt;"",'A-80 DirEntInv'!W103,IF(INDIRECT(ADDRESS(SumRef!BM110,SumRef!BM$16,,,SumRef!$B$8))="","",INDIRECT(ADDRESS(SumRef!BM110,SumRef!BM$16,,,SumRef!$B$8))))</f>
        <v/>
      </c>
      <c r="X104" s="1203" t="str">
        <f ca="1">IF('A-80 DirEntInv'!X103&lt;&gt;"",'A-80 DirEntInv'!X103,IF(INDIRECT(ADDRESS(SumRef!BN110,SumRef!BN$16,,,SumRef!$B$8))="","",INDIRECT(ADDRESS(SumRef!BN110,SumRef!BN$16,,,SumRef!$B$8))))</f>
        <v/>
      </c>
      <c r="Y104" s="1203" t="str">
        <f ca="1">IF('A-80 DirEntInv'!Y103&lt;&gt;"",'A-80 DirEntInv'!Y103,IF(INDIRECT(ADDRESS(SumRef!BO110,SumRef!BO$16,,,SumRef!$B$8))="","",INDIRECT(ADDRESS(SumRef!BO110,SumRef!BO$16,,,SumRef!$B$8))))</f>
        <v/>
      </c>
      <c r="Z104" s="1104" t="str">
        <f ca="1">IF('A-80 DirEntInv'!Z103&lt;&gt;"",'A-80 DirEntInv'!Z103,IF(INDIRECT(ADDRESS(SumRef!BP110,SumRef!BP$16,,,SumRef!$B$8))="","",INDIRECT(ADDRESS(SumRef!BP110,SumRef!BP$16,,,SumRef!$B$8))))</f>
        <v/>
      </c>
      <c r="AA104" s="1104" t="str">
        <f ca="1">IF('A-80 DirEntInv'!AA103&lt;&gt;"",'A-80 DirEntInv'!AA103,IF(INDIRECT(ADDRESS(SumRef!BQ110,SumRef!BQ$16,,,SumRef!$B$8))="","",INDIRECT(ADDRESS(SumRef!BQ110,SumRef!BQ$16,,,SumRef!$B$8))))</f>
        <v/>
      </c>
      <c r="AB104" s="1106" t="str">
        <f ca="1">IF('A-80 DirEntInv'!AB103&lt;&gt;"",'A-80 DirEntInv'!AB103,IF(INDIRECT(ADDRESS(SumRef!BR110,SumRef!BR$16,,,SumRef!$B$8))="","",INDIRECT(ADDRESS(SumRef!BR110,SumRef!BR$16,,,SumRef!$B$8))))</f>
        <v/>
      </c>
      <c r="AC104" s="1107" t="str">
        <f ca="1">IF('A-80 DirEntInv'!AC103&lt;&gt;"",'A-80 DirEntInv'!AC103,IF(INDIRECT(ADDRESS(SumRef!BS110,SumRef!BS$16,,,SumRef!$B$8))="","",INDIRECT(ADDRESS(SumRef!BS110,SumRef!BS$16,,,SumRef!$B$8))))</f>
        <v/>
      </c>
      <c r="AD104" s="1349" t="str">
        <f ca="1">IF('A-80 DirEntInv'!AD103&lt;&gt;"",'A-80 DirEntInv'!AD103,IF(INDIRECT(ADDRESS(SumRef!BT110,SumRef!BT$16,,,SumRef!$B$8))="","",INDIRECT(ADDRESS(SumRef!BT110,SumRef!BT$16,,,SumRef!$B$8))))</f>
        <v/>
      </c>
      <c r="AE104" s="1137" t="str">
        <f ca="1">IF('A-80 DirEntInv'!AE103&lt;&gt;"",'A-80 DirEntInv'!AE103,IF(INDIRECT(ADDRESS(SumRef!BU110,SumRef!BU$16,,,SumRef!$B$8))="","",INDIRECT(ADDRESS(SumRef!BU110,SumRef!BU$16,,,SumRef!$B$8))))</f>
        <v/>
      </c>
      <c r="AF104" s="1346" t="str">
        <f ca="1">IF('A-80 DirEntInv'!AF103&lt;&gt;"",'A-80 DirEntInv'!AF103,IF(INDIRECT(ADDRESS(SumRef!BV110,SumRef!BV$16,,,SumRef!$B$8))="","",INDIRECT(ADDRESS(SumRef!BV110,SumRef!BV$16,,,SumRef!$B$8))))</f>
        <v/>
      </c>
      <c r="AG104" s="1105" t="str">
        <f ca="1">IF('A-80 DirEntInv'!AG103&lt;&gt;"",'A-80 DirEntInv'!AG103,IF(INDIRECT(ADDRESS(SumRef!BW110,SumRef!BW$16,,,SumRef!$B$8))="","",INDIRECT(ADDRESS(SumRef!BW110,SumRef!BW$16,,,SumRef!$B$8))))</f>
        <v/>
      </c>
      <c r="AH104" s="1357" t="str">
        <f ca="1">IF('A-80 DirEntInv'!AH103&lt;&gt;"",'A-80 DirEntInv'!AH103,IF(INDIRECT(ADDRESS(SumRef!BX110,SumRef!BX$16,,,SumRef!$B$8))="","",INDIRECT(ADDRESS(SumRef!BX110,SumRef!BX$16,,,SumRef!$B$8))))</f>
        <v/>
      </c>
      <c r="AK104" s="1181" t="str">
        <f>Codes!$C$162</f>
        <v>CR - Commuter Rail (PT)</v>
      </c>
      <c r="AL104" s="1182" t="str">
        <f>Valid!$B$87</f>
        <v>Substation Building</v>
      </c>
      <c r="AM104" s="1123" t="str">
        <f>IF('A-80 DirEntInv'!AM103&lt;&gt;"",'A-80 DirEntInv'!AM103,IF(AK104=summaryref2!B21,summaryref2!D21,IF(Summary!AK104=summaryref2!B35,summaryref2!D35,IF(AK104=summaryref2!B49,summaryref2!D49,IF(AK104=summaryref2!B63,summaryref2!D63,IF(AK104=summaryref2!B77,summaryref2!D77,IF(AK104=summaryref2!B91,summaryref2!D91,IF(AK104=summaryref2!B105,summaryref2!D105,IF(AK104=summaryref2!B119,summaryref2!D119,IF(AK104=summaryref2!B133,summaryref2!D133,IF(AK104=summaryref2!B197,summaryref2!D147,"")))))))))))</f>
        <v/>
      </c>
      <c r="AN104" s="1124" t="s">
        <v>13</v>
      </c>
      <c r="AO104" s="1123"/>
      <c r="AP104" s="1124"/>
      <c r="AQ104" s="1149" t="str">
        <f>IF('A-80 DirEntInv'!AQ103&lt;&gt;"",'A-80 DirEntInv'!AQ103,IF(AK104=summaryref2!B21,summaryref2!G21,IF(Summary!AK104=summaryref2!B35,summaryref2!G35,IF(AK104=summaryref2!B49,summaryref2!G49,IF(AK104=summaryref2!B63,summaryref2!G63,IF(AK104=summaryref2!B77,summaryref2!G77,IF(AK104=summaryref2!B91,summaryref2!G91,IF(AK104=summaryref2!B105,summaryref2!G105,IF(AK104=summaryref2!B119,summaryref2!G119,IF(AK104=summaryref2!B133,summaryref2!G133,IF(AK104=summaryref2!B147,summaryref2!G147,"")))))))))))</f>
        <v/>
      </c>
      <c r="AR104" s="1149" t="str">
        <f>IF('A-80 DirEntInv'!AR103&lt;&gt;"",'A-80 DirEntInv'!AR103,IF(AK104=summaryref2!B21,summaryref2!H21,IF(Summary!AK104=summaryref2!B35,summaryref2!H35,IF(AK104=summaryref2!B49,summaryref2!H49,IF(AK104=summaryref2!B63,summaryref2!H63,IF(AK104=summaryref2!B77,summaryref2!H77,IF(AK104=summaryref2!B91,summaryref2!H91,IF(AK104=summaryref2!B105,summaryref2!H105,IF(AK104=summaryref2!B119,summaryref2!H119,IF(AK104=summaryref2!B133,summaryref2!H133,IF(AK104=summaryref2!B147,summaryref2!H147,"")))))))))))</f>
        <v/>
      </c>
      <c r="AS104" s="1125" t="str">
        <f>IF('A-80 DirEntInv'!AS103&lt;&gt;"",'A-80 DirEntInv'!AS103,IF(AK104=summaryref2!B21,summaryref2!I21,IF(Summary!AK104=summaryref2!B35,summaryref2!I35,IF(AK104=summaryref2!B49,summaryref2!I49,IF(AK104=summaryref2!B63,summaryref2!I63,IF(AK104=summaryref2!B77,summaryref2!I77,IF(AK104=summaryref2!B91,summaryref2!I91,IF(AK104=summaryref2!B105,summaryref2!I105,IF(AK104=summaryref2!B119,summaryref2!I119,IF(AK104=summaryref2!B133,summaryref2!I133,IF(AK104=summaryref2!B147,summaryref2!I147,"")))))))))))</f>
        <v/>
      </c>
      <c r="AT104" s="1125" t="str">
        <f>IF('A-80 DirEntInv'!AT103&lt;&gt;"",'A-80 DirEntInv'!AT103,IF(AK104=summaryref2!B21,summaryref2!J21,IF(Summary!AK104=summaryref2!B35,summaryref2!J35,IF(AK104=summaryref2!B49,summaryref2!J49,IF(AK104=summaryref2!B63,summaryref2!J63,IF(AK104=summaryref2!B77,summaryref2!J77,IF(AK104=summaryref2!B91,summaryref2!J91,IF(AK104=summaryref2!B105,summaryref2!J105,IF(AK104=summaryref2!B119,summaryref2!J119,IF(AK104=summaryref2!B133,summaryref2!J133,IF(AK104=summaryref2!B147,summaryref2!J147,"")))))))))))</f>
        <v/>
      </c>
      <c r="AU104" s="1125" t="str">
        <f>IF('A-80 DirEntInv'!AU103&lt;&gt;"",'A-80 DirEntInv'!AU103,IF(AK104=summaryref2!B21,summaryref2!K21,IF(Summary!AK104=summaryref2!B35,summaryref2!K35,IF(AK104=summaryref2!B49,summaryref2!K49,IF(AK104=summaryref2!B63,summaryref2!K63,IF(AK104=summaryref2!B77,summaryref2!K77,IF(AK104=summaryref2!B91,summaryref2!K91,IF(AK104=summaryref2!B105,summaryref2!K105,IF(AK104=summaryref2!B119,summaryref2!K119,IF(AK104=summaryref2!B133,summaryref2!K133,IF(AK104=summaryref2!B147,summaryref2!K147,"")))))))))))</f>
        <v/>
      </c>
      <c r="AV104" s="1125" t="str">
        <f>IF('A-80 DirEntInv'!AV103&lt;&gt;"",'A-80 DirEntInv'!AV103,IF(AK104=summaryref2!B21,summaryref2!L21,IF(Summary!AK104=summaryref2!B35,summaryref2!L35,IF(AK104=summaryref2!B49,summaryref2!L49,IF(AK104=summaryref2!B63,summaryref2!L63,IF(AK104=summaryref2!B77,summaryref2!L77,IF(AK104=summaryref2!B91,summaryref2!L91,IF(AK104=summaryref2!B105,summaryref2!L105,IF(AK104=summaryref2!B119,summaryref2!L119,IF(AK104=summaryref2!B133,summaryref2!L133,IF(AK104=summaryref2!B147,summaryref2!L147,"")))))))))))</f>
        <v/>
      </c>
      <c r="AW104" s="1125" t="str">
        <f>IF('A-80 DirEntInv'!AW103&lt;&gt;"",'A-80 DirEntInv'!AW103,IF(AK104=summaryref2!B21,summaryref2!M21,IF(Summary!AK104=summaryref2!B35,summaryref2!M35,IF(AK104=summaryref2!B49,summaryref2!M49,IF(AK104=summaryref2!B63,summaryref2!M63,IF(AK104=summaryref2!B77,summaryref2!M77,IF(AK104=summaryref2!B91,summaryref2!M91,IF(AK104=summaryref2!B105,summaryref2!M105,IF(AK104=summaryref2!B119,summaryref2!M119,IF(AK104=summaryref2!B133,summaryref2!M133,IF(AK104=summaryref2!B147,summaryref2!M147,"")))))))))))</f>
        <v/>
      </c>
      <c r="AX104" s="1125" t="str">
        <f>IF('A-80 DirEntInv'!AX103&lt;&gt;"",'A-80 DirEntInv'!AX103,IF(AK104=summaryref2!B21,summaryref2!N21,IF(Summary!AK104=summaryref2!B35,summaryref2!N35,IF(AK104=summaryref2!B49,summaryref2!N49,IF(AK104=summaryref2!B63,summaryref2!N63,IF(AK104=summaryref2!B77,summaryref2!N77,IF(AK104=summaryref2!B91,summaryref2!N91,IF(AK104=summaryref2!B105,summaryref2!N105,IF(AK104=summaryref2!B119,summaryref2!N119,IF(AK104=summaryref2!B133,summaryref2!N133,IF(AK104=summaryref2!B147,summaryref2!N147,"")))))))))))</f>
        <v/>
      </c>
      <c r="AY104" s="1125" t="str">
        <f>IF('A-80 DirEntInv'!AY103&lt;&gt;"",'A-80 DirEntInv'!AY103,IF(AK104=summaryref2!B21,summaryref2!O21,IF(Summary!AK104=summaryref2!B35,summaryref2!O35,IF(AK104=summaryref2!B49,summaryref2!O49,IF(AK104=summaryref2!B63,summaryref2!O63,IF(AK104=summaryref2!B77,summaryref2!O77,IF(AK104=summaryref2!B91,summaryref2!O91,IF(AK104=summaryref2!B105,summaryref2!O105,IF(AK104=summaryref2!B119,summaryref2!O119,IF(AK104=summaryref2!B133,summaryref2!O133,IF(AK104=summaryref2!B147,summaryref2!O147,"")))))))))))</f>
        <v/>
      </c>
      <c r="AZ104" s="1125" t="str">
        <f>IF('A-80 DirEntInv'!AZ103&lt;&gt;"",'A-80 DirEntInv'!AZ103,IF(AK104=summaryref2!B21,summaryref2!P21,IF(Summary!AK104=summaryref2!B35,summaryref2!P35,IF(AK104=summaryref2!B49,summaryref2!P49,IF(AK104=summaryref2!B63,summaryref2!P63,IF(AK104=summaryref2!B77,summaryref2!P77,IF(AK104=summaryref2!B91,summaryref2!P91,IF(AK104=summaryref2!B105,summaryref2!P105,IF(AK104=summaryref2!B119,summaryref2!P119,IF(AK104=summaryref2!B133,summaryref2!P133,IF(AK104=summaryref2!B147,summaryref2!P147,"")))))))))))</f>
        <v/>
      </c>
      <c r="BA104" s="1125" t="str">
        <f>IF('A-80 DirEntInv'!BA103&lt;&gt;"",'A-80 DirEntInv'!BA103,IF(AK104=summaryref2!B21,summaryref2!Q21,IF(Summary!AK104=summaryref2!B35,summaryref2!Q35,IF(AK104=summaryref2!B49,summaryref2!Q49,IF(AK104=summaryref2!B63,summaryref2!Q63,IF(AK104=summaryref2!B77,summaryref2!Q77,IF(AK104=summaryref2!B91,summaryref2!Q91,IF(AK104=summaryref2!B105,summaryref2!Q105,IF(AK104=summaryref2!B119,summaryref2!Q119,IF(AK104=summaryref2!B133,summaryref2!Q133,IF(AK104=summaryref2!B147,summaryref2!Q147,"")))))))))))</f>
        <v/>
      </c>
      <c r="BB104" s="1125" t="str">
        <f>IF('A-80 DirEntInv'!BB103&lt;&gt;"",'A-80 DirEntInv'!BB103,IF(AK104=summaryref2!B21,summaryref2!R21,IF(Summary!AK104=summaryref2!B35,summaryref2!R35,IF(AK104=summaryref2!B49,summaryref2!R49,IF(AK104=summaryref2!B63,summaryref2!R63,IF(AK104=summaryref2!B77,summaryref2!R77,IF(AK104=summaryref2!B91,summaryref2!R91,IF(AK104=summaryref2!B105,summaryref2!R105,IF(AK104=summaryref2!B119,summaryref2!R119,IF(AK104=summaryref2!B133,summaryref2!R133,IF(AK104=summaryref2!B147,summaryref2!R147,"")))))))))))</f>
        <v/>
      </c>
      <c r="BC104" s="1125" t="str">
        <f>IF('A-80 DirEntInv'!BC103&lt;&gt;0,'A-80 DirEntInv'!BC103,IF(AK104=summaryref2!B21,summaryref2!S21,IF(Summary!AK104=summaryref2!B35,summaryref2!S35,IF(AK104=summaryref2!B49,summaryref2!S49,IF(AK104=summaryref2!B63,summaryref2!S63,IF(AK104=summaryref2!B77,summaryref2!S77,IF(AK104=summaryref2!B91,summaryref2!S91,IF(AK104=summaryref2!B105,summaryref2!S105,IF(AK104=summaryref2!B119,summaryref2!S119,IF(AK104=summaryref2!B133,summaryref2!S133,IF(AK104=summaryref2!B147,summaryref2!S147,"")))))))))))</f>
        <v/>
      </c>
      <c r="BD104" s="1126" t="str">
        <f>IF('A-80 DirEntInv'!BD103&lt;&gt;"",'A-80 DirEntInv'!BD103,IF(AK104=summaryref2!B21,summaryref2!T21,IF(Summary!AK104=summaryref2!B35,summaryref2!T35,IF(AK104=summaryref2!B49,summaryref2!T49,IF(AK104=summaryref2!B63,summaryref2!T63,IF(AK104=summaryref2!B77,summaryref2!T77,IF(AK104=summaryref2!B91,summaryref2!T91,IF(AK104=summaryref2!B105,summaryref2!T105,IF(AK104=summaryref2!B119,summaryref2!T119,IF(AK104=summaryref2!B133,summaryref2!T133,IF(AK104=summaryref2!B147,summaryref2!T147,"")))))))))))</f>
        <v/>
      </c>
      <c r="BE104" s="1183" t="str">
        <f>IF('A-80 DirEntInv'!BE103&lt;&gt;"",'A-80 DirEntInv'!BE103,IF(AK104=summaryref2!B21,summaryref2!U21,IF(Summary!AK104=summaryref2!B35,summaryref2!U35,IF(AK104=summaryref2!B49,summaryref2!U49,IF(AK104=summaryref2!B63,summaryref2!U63,IF(AK104=summaryref2!B77,summaryref2!U77,IF(AK104=summaryref2!B91,summaryref2!U91,IF(AK104=summaryref2!B105,summaryref2!U105,IF(AK104=summaryref2!B119,summaryref2!U119,IF(AK104=summaryref2!B133,summaryref2!U133,IF(AK104=summaryref2!B147,summaryref2!U147,"")))))))))))</f>
        <v/>
      </c>
      <c r="BF104" s="1432"/>
      <c r="BG104" s="1432"/>
      <c r="BJ104" s="1045" t="str">
        <f>Codes!$C$169</f>
        <v>SR - Streetcar Rail (DO)</v>
      </c>
      <c r="BK104" s="1046" t="str">
        <f>Valid!$B$82</f>
        <v>Double Diamond Crossover</v>
      </c>
      <c r="BL104" s="1368" t="str">
        <f>IF('A-80 DirEntInv'!BL103&lt;&gt;"",'A-80 DirEntInv'!BL103,IF(BJ104=summaryref2!X14,summaryref2!Z14,IF(BJ104=summaryref2!X21,summaryref2!Z21,IF(BJ104=summaryref2!X28,summaryref2!Z28,IF(BJ104=summaryref2!X35,summaryref2!Z35,IF(BJ104=summaryref2!X42,summaryref2!Z42,IF(BJ104=summaryref2!X49,summaryref2!Z49,IF(BJ104=summaryref2!X56,summaryref2!Z56,IF(BJ104=summaryref2!X63,summaryref2!Z63,IF(BJ104=summaryref2!X70,summaryref2!Z70,IF(BJ104=summaryref2!X77,summaryref2!Z77,"")))))))))))</f>
        <v/>
      </c>
      <c r="BM104" s="1046" t="str">
        <f>VLOOKUP(BK104,Valid!$B$80:$C$86,2,FALSE)</f>
        <v>Each</v>
      </c>
      <c r="BN104" s="1325" t="str">
        <f>IF('A-80 DirEntInv'!BN103&lt;&gt;"",'A-80 DirEntInv'!BN103,IF(BJ104=summaryref2!X14,summaryref2!AB14,IF(BJ104=summaryref2!X21,summaryref2!AB21,IF(BJ104=summaryref2!X28,summaryref2!AB28,IF(BJ104=summaryref2!X35,summaryref2!AB35,IF(BJ104=summaryref2!X42,summaryref2!AB42,IF(BJ104=summaryref2!X49,summaryref2!AB49,IF(BJ104=summaryref2!X56,summaryref2!AB56,IF(BJ104=summaryref2!X63,summaryref2!AB63,IF(BJ104=summaryref2!X70,summaryref2!AB70,IF(BJ104=summaryref2!X77,summaryref2!AB77,"")))))))))))</f>
        <v/>
      </c>
      <c r="BO104" s="1327" t="str">
        <f>IF('A-80 DirEntInv'!BO103&lt;&gt;"",'A-80 DirEntInv'!BO103,IF(BJ104=summaryref2!X14,summaryref2!AC14,IF(BJ104=summaryref2!X21,summaryref2!AC21,IF(BJ104=summaryref2!X28,summaryref2!AC28,IF(BJ104=summaryref2!X35,summaryref2!AC35,IF(BJ104=summaryref2!X42,summaryref2!AC42,IF(BJ104=summaryref2!X49,summaryref2!AC49,IF(BJ104=summaryref2!X56,summaryref2!AC56,IF(BJ104=summaryref2!X63,summaryref2!AC63,IF(BJ104=summaryref2!X70,summaryref2!AC70,IF(BJ104=summaryref2!X77,summaryref2!AC77,"")))))))))))</f>
        <v/>
      </c>
      <c r="BP104" s="1322" t="str">
        <f>IF('A-80 DirEntInv'!BP103&lt;&gt;"",'A-80 DirEntInv'!BP103,IF(BJ104=summaryref2!X14,summaryref2!AD14,IF(BJ104=summaryref2!X21,summaryref2!AD21,IF(BJ104=summaryref2!X28,summaryref2!AD28,IF(BJ104=summaryref2!X35,summaryref2!AD35,IF(BJ104=summaryref2!X42,summaryref2!AD42,IF(BJ104=summaryref2!X49,summaryref2!AD49,IF(BJ104=summaryref2!X56,summaryref2!AD56,IF(BJ104=summaryref2!X63,summaryref2!AD63,IF(BJ104=summaryref2!X70,summaryref2!AD70,IF(BJ104=summaryref2!X77,summaryref2!AD77,"")))))))))))</f>
        <v/>
      </c>
      <c r="BS104" s="1472" t="str">
        <f ca="1">IF('A-80 DirEntInv'!BU103&lt;&gt;"",'A-80 DirEntInv'!BU103,IF(INDIRECT(ADDRESS(SumRef!DK110,SumRef!DK$16,,,SumRef!$E$6))="","",INDIRECT(ADDRESS(SumRef!DK110,SumRef!DK$16,,,SumRef!$E$6))))</f>
        <v/>
      </c>
      <c r="BT104" s="1458" t="str">
        <f ca="1">IF('A-80 DirEntInv'!BV103&lt;&gt;"",'A-80 DirEntInv'!BV103,IF(INDIRECT(ADDRESS(SumRef!DL110,SumRef!DL$16,,,SumRef!$E$6))="","",INDIRECT(ADDRESS(SumRef!DL110,SumRef!DL$16,,,SumRef!$E$6))))</f>
        <v/>
      </c>
      <c r="BU104" s="1177" t="str">
        <f ca="1">IF('A-80 DirEntInv'!BW103&lt;&gt;"",'A-80 DirEntInv'!BW103,IF(INDIRECT(ADDRESS(SumRef!DM110,SumRef!DM$16,,,SumRef!$E$6))="","",INDIRECT(ADDRESS(SumRef!DM110,SumRef!DM$16,,,SumRef!$E$6))))</f>
        <v/>
      </c>
      <c r="BV104" s="1460" t="str">
        <f ca="1">IF('A-80 DirEntInv'!BX103&lt;&gt;"",'A-80 DirEntInv'!BX103,IF(INDIRECT(ADDRESS(SumRef!DN110,SumRef!DN$16,,,SumRef!$E$6))="","",INDIRECT(ADDRESS(SumRef!DN110,SumRef!DN$16,,,SumRef!$E$6))))</f>
        <v/>
      </c>
      <c r="BW104" s="1460" t="str">
        <f ca="1">IF('A-80 DirEntInv'!BY103&lt;&gt;"",'A-80 DirEntInv'!BY103,IF(INDIRECT(ADDRESS(SumRef!DO110,SumRef!DO$16,,,SumRef!$E$6))="","",INDIRECT(ADDRESS(SumRef!DO110,SumRef!DO$16,,,SumRef!$E$6))))</f>
        <v/>
      </c>
      <c r="BX104" s="1116" t="str">
        <f ca="1">IF('A-80 DirEntInv'!BZ103&lt;&gt;"",'A-80 DirEntInv'!BZ103,IF(INDIRECT(ADDRESS(SumRef!DP110,SumRef!DP$16,,,SumRef!$E$6))="","",INDIRECT(ADDRESS(SumRef!DP110,SumRef!DP$16,,,SumRef!$E$6))))</f>
        <v/>
      </c>
      <c r="BY104" s="1461" t="str">
        <f ca="1">IF('A-80 DirEntInv'!CA103&lt;&gt;"",'A-80 DirEntInv'!CA103,IF(INDIRECT(ADDRESS(SumRef!DQ110,SumRef!DQ$16,,,SumRef!$E$6))="","",INDIRECT(ADDRESS(SumRef!DQ110,SumRef!DQ$16,,,SumRef!$E$6))))</f>
        <v/>
      </c>
      <c r="BZ104" s="1460" t="str">
        <f ca="1">IF('A-80 DirEntInv'!CB103&lt;&gt;"",'A-80 DirEntInv'!CB103,IF(INDIRECT(ADDRESS(SumRef!DR110,SumRef!DR$16,,,SumRef!$E$6))="","",INDIRECT(ADDRESS(SumRef!DR110,SumRef!DR$16,,,SumRef!$E$6))))</f>
        <v/>
      </c>
      <c r="CA104" s="1462" t="str">
        <f ca="1">IF('A-80 DirEntInv'!CC103&lt;&gt;"",'A-80 DirEntInv'!CC103,IF(INDIRECT(ADDRESS(SumRef!DS110,SumRef!DS$16,,,SumRef!$E$6))="","",INDIRECT(ADDRESS(SumRef!DS110,SumRef!DS$16,,,SumRef!$E$6))))</f>
        <v/>
      </c>
      <c r="CD104" s="1160" t="str">
        <f ca="1">IF('A-80 DirEntInv'!CF103&lt;&gt;"",'A-80 DirEntInv'!CF103,IF(INDIRECT(ADDRESS(SumRef!DV110,SumRef!DV$16,,,SumRef!$E$7))="","",INDIRECT(ADDRESS(SumRef!DV110,SumRef!DV$16,,,SumRef!$E$7))))</f>
        <v/>
      </c>
      <c r="CE104" s="1167" t="str">
        <f ca="1">IF('A-80 DirEntInv'!CG103&lt;&gt;"",'A-80 DirEntInv'!CG103,IF(INDIRECT(ADDRESS(SumRef!DW110,SumRef!DW$16,,,SumRef!$E$7))="","",INDIRECT(ADDRESS(SumRef!DW110,SumRef!DW$16,,,SumRef!$E$7))))</f>
        <v/>
      </c>
      <c r="CF104" s="1167" t="str">
        <f ca="1">IF('A-80 DirEntInv'!CH103&lt;&gt;"",'A-80 DirEntInv'!CH103,IF(INDIRECT(ADDRESS(SumRef!DX110,SumRef!DX$16,,,SumRef!$E$7))="","",INDIRECT(ADDRESS(SumRef!DX110,SumRef!DX$16,,,SumRef!$E$7))))</f>
        <v/>
      </c>
      <c r="CG104" s="1167" t="str">
        <f ca="1">IF('A-80 DirEntInv'!CI103&lt;&gt;"",'A-80 DirEntInv'!CI103,IF(INDIRECT(ADDRESS(SumRef!DY110,SumRef!DY$16,,,SumRef!$E$7))="","",INDIRECT(ADDRESS(SumRef!DY110,SumRef!DY$16,,,SumRef!$E$7))))</f>
        <v/>
      </c>
      <c r="CH104" s="1167" t="str">
        <f ca="1">IF('A-80 DirEntInv'!CJ103&lt;&gt;"",'A-80 DirEntInv'!CJ103,IF(INDIRECT(ADDRESS(SumRef!DZ110,SumRef!DZ$16,,,SumRef!$E$7))="","",INDIRECT(ADDRESS(SumRef!DZ110,SumRef!DZ$16,,,SumRef!$E$7))))</f>
        <v/>
      </c>
      <c r="CI104" s="1167" t="str">
        <f ca="1">IF('A-80 DirEntInv'!CK103&lt;&gt;"",'A-80 DirEntInv'!CK103,IF(INDIRECT(ADDRESS(SumRef!EA110,SumRef!EA$16,,,SumRef!$E$7))="","",INDIRECT(ADDRESS(SumRef!EA110,SumRef!EA$16,,,SumRef!$E$7))))</f>
        <v/>
      </c>
      <c r="CJ104" s="1114" t="str">
        <f ca="1">IF('A-80 DirEntInv'!CL103&lt;&gt;"",'A-80 DirEntInv'!CL103,IF(INDIRECT(ADDRESS(SumRef!EB110,SumRef!EB$16,,,SumRef!$E$7))="","",INDIRECT(ADDRESS(SumRef!EB110,SumRef!EB$16,,,SumRef!$E$7))))</f>
        <v/>
      </c>
      <c r="CK104" s="1114" t="str">
        <f ca="1">IF('A-80 DirEntInv'!CM103&lt;&gt;"",'A-80 DirEntInv'!CM103,IF(INDIRECT(ADDRESS(SumRef!EC110,SumRef!EC$16,,,SumRef!$E$7))="","",INDIRECT(ADDRESS(SumRef!EC110,SumRef!EC$16,,,SumRef!$E$7))))</f>
        <v/>
      </c>
      <c r="CL104" s="1113" t="str">
        <f ca="1">IF('A-80 DirEntInv'!CO103&lt;&gt;"",'A-80 DirEntInv'!CO103,IF(INDIRECT(ADDRESS(SumRef!ED110,SumRef!ED$16,,,SumRef!$E$7))="","",INDIRECT(ADDRESS(SumRef!ED110,SumRef!ED$16,,,SumRef!$E$7))))</f>
        <v/>
      </c>
      <c r="CM104" s="1114" t="str">
        <f ca="1">IF('A-80 DirEntInv'!CP103&lt;&gt;"",'A-80 DirEntInv'!CP103,IF(INDIRECT(ADDRESS(SumRef!EE110,SumRef!EE$16,,,SumRef!$E$7))="","",INDIRECT(ADDRESS(SumRef!EE110,SumRef!EE$16,,,SumRef!$E$7))))</f>
        <v/>
      </c>
      <c r="CN104" s="1114" t="str">
        <f ca="1">IF('A-80 DirEntInv'!CQ103&lt;&gt;"",'A-80 DirEntInv'!CQ103,IF(INDIRECT(ADDRESS(SumRef!EF110,SumRef!EF$16,,,SumRef!$E$7))="","",INDIRECT(ADDRESS(SumRef!EF110,SumRef!EF$16,,,SumRef!$E$7))))</f>
        <v/>
      </c>
      <c r="CO104" s="1113" t="str">
        <f ca="1">IF('A-80 DirEntInv'!CR103&lt;&gt;"",'A-80 DirEntInv'!CR103,IF(INDIRECT(ADDRESS(SumRef!EG110,SumRef!EG$16,,,SumRef!$E$7))="","",INDIRECT(ADDRESS(SumRef!EG110,SumRef!EG$16,,,SumRef!$E$7))))</f>
        <v/>
      </c>
      <c r="CP104" s="1114" t="str">
        <f ca="1">IF('A-80 DirEntInv'!CS103&lt;&gt;"",'A-80 DirEntInv'!CS103,IF(INDIRECT(ADDRESS(SumRef!EH110,SumRef!EH$16,,,SumRef!$E$7))="","",INDIRECT(ADDRESS(SumRef!EH110,SumRef!EH$16,,,SumRef!$E$7))))</f>
        <v/>
      </c>
      <c r="CQ104" s="1346" t="str">
        <f ca="1">IF('A-80 DirEntInv'!CT103&lt;&gt;"",'A-80 DirEntInv'!CT103,IF(INDIRECT(ADDRESS(SumRef!EI110,SumRef!EI$16,,,SumRef!$E$7))="","",INDIRECT(ADDRESS(SumRef!EI110,SumRef!EI$16,,,SumRef!$E$7))))</f>
        <v/>
      </c>
      <c r="CR104" s="1113" t="str">
        <f ca="1">IF('A-80 DirEntInv'!CU103&lt;&gt;"",'A-80 DirEntInv'!CU103,IF(INDIRECT(ADDRESS(SumRef!EJ110,SumRef!EJ$16,,,SumRef!$E$7))="","",INDIRECT(ADDRESS(SumRef!EJ110,SumRef!EJ$16,,,SumRef!$E$7))))</f>
        <v/>
      </c>
      <c r="CS104" s="1346" t="str">
        <f ca="1">IF('A-80 DirEntInv'!CV103&lt;&gt;"",'A-80 DirEntInv'!CV103,IF(INDIRECT(ADDRESS(SumRef!EM110,SumRef!EM$16,,,SumRef!$E$7))="","",INDIRECT(ADDRESS(SumRef!EM110,SumRef!EM$16,,,SumRef!$E$7))))</f>
        <v/>
      </c>
      <c r="CT104" s="1113" t="str">
        <f ca="1">IF('A-80 DirEntInv'!CW103&lt;&gt;"",'A-80 DirEntInv'!CW103,IF(INDIRECT(ADDRESS(SumRef!EN110,SumRef!EN$16,,,SumRef!$E$7))="","",INDIRECT(ADDRESS(SumRef!EN110,SumRef!EN$16,,,SumRef!$E$7))))</f>
        <v/>
      </c>
      <c r="CU104" s="1113" t="str">
        <f ca="1">IF('A-80 DirEntInv'!CX103&lt;&gt;"",'A-80 DirEntInv'!CX103,IF(INDIRECT(ADDRESS(SumRef!EO110,SumRef!EO$16,,,SumRef!$E$7))="","",INDIRECT(ADDRESS(SumRef!EO110,SumRef!EO$16,,,SumRef!$E$7))))</f>
        <v/>
      </c>
      <c r="CV104" s="1113" t="str">
        <f ca="1">IF('A-80 DirEntInv'!CY103&lt;&gt;"",'A-80 DirEntInv'!CY103,IF(INDIRECT(ADDRESS(SumRef!EP110,SumRef!EP$16,,,SumRef!$E$7))="","",INDIRECT(ADDRESS(SumRef!EP110,SumRef!EP$16,,,SumRef!$E$7))))</f>
        <v/>
      </c>
      <c r="CW104" s="1114" t="str">
        <f ca="1">IF('A-80 DirEntInv'!CZ103&lt;&gt;"",'A-80 DirEntInv'!CZ103,IF(INDIRECT(ADDRESS(SumRef!ES110,SumRef!ES$16,,,SumRef!$E$7))="","",INDIRECT(ADDRESS(SumRef!ES110,SumRef!ES$16,,,SumRef!$E$7))))</f>
        <v/>
      </c>
      <c r="CX104" s="1167" t="str">
        <f ca="1">IF('A-80 DirEntInv'!DA103&lt;&gt;"",'A-80 DirEntInv'!DA103,IF(INDIRECT(ADDRESS(SumRef!ET110,SumRef!ET$16,,,SumRef!$E$7))="","",INDIRECT(ADDRESS(SumRef!ET110,SumRef!ET$16,,,SumRef!$E$7))))</f>
        <v/>
      </c>
      <c r="CY104" s="1167" t="str">
        <f ca="1">IF('A-80 DirEntInv'!DB103&lt;&gt;"",'A-80 DirEntInv'!DB103,IF(INDIRECT(ADDRESS(SumRef!EU110,SumRef!EU$16,,,SumRef!$E$7))="","",INDIRECT(ADDRESS(SumRef!EU110,SumRef!EU$16,,,SumRef!$E$7))))</f>
        <v/>
      </c>
      <c r="CZ104" s="1167" t="b">
        <f ca="1">IF('A-80 DirEntInv'!DC103&lt;&gt;"",'A-80 DirEntInv'!DC103,IF(INDIRECT(ADDRESS(SumRef!EV110,SumRef!EV$16,,,SumRef!$E$7))="","",INDIRECT(ADDRESS(SumRef!EV110,SumRef!EV$16,,,SumRef!$E$7))))</f>
        <v>0</v>
      </c>
      <c r="DA104" s="1373" t="str">
        <f ca="1">IF('A-80 DirEntInv'!DD103&lt;&gt;"",'A-80 DirEntInv'!DD103,IF(INDIRECT(ADDRESS(SumRef!EW110,SumRef!EW$16,,,SumRef!$E$7))="","",INDIRECT(ADDRESS(SumRef!EW110,SumRef!EW$16,,,SumRef!$E$7))))</f>
        <v/>
      </c>
      <c r="DB104" s="1373" t="b">
        <f ca="1">IF('A-80 DirEntInv'!DE103&lt;&gt;"",'A-80 DirEntInv'!DE103,IF(INDIRECT(ADDRESS(SumRef!EX110,SumRef!EX$16,,,SumRef!$E$7))="","",INDIRECT(ADDRESS(SumRef!EX110,SumRef!EX$16,,,SumRef!$E$7))))</f>
        <v>0</v>
      </c>
      <c r="DC104" s="1114" t="b">
        <f ca="1">IF('A-80 DirEntInv'!DF103&lt;&gt;"",'A-80 DirEntInv'!DF103,IF(INDIRECT(ADDRESS(SumRef!EY110,SumRef!EY$16,,,SumRef!$E$7))="","",INDIRECT(ADDRESS(SumRef!EY110,SumRef!EY$16,,,SumRef!$E$7))))</f>
        <v>0</v>
      </c>
      <c r="DD104" s="1115" t="str">
        <f ca="1">IF('A-80 DirEntInv'!DG103&lt;&gt;"",'A-80 DirEntInv'!DG103,IF(INDIRECT(ADDRESS(SumRef!EZ110,SumRef!EZ$16,,,SumRef!$E$7))="","",INDIRECT(ADDRESS(SumRef!EZ110,SumRef!EZ$16,,,SumRef!$E$7))))</f>
        <v/>
      </c>
    </row>
    <row r="105" spans="1:108" s="588" customFormat="1" x14ac:dyDescent="0.2">
      <c r="A105" s="589">
        <f t="shared" si="1"/>
        <v>95</v>
      </c>
      <c r="B105" s="1155" t="str">
        <f ca="1">IF('A-80 DirEntInv'!B104&lt;&gt;"",'A-80 DirEntInv'!B104,IF(INDIRECT(ADDRESS(SumRef!AQ111,SumRef!AQ$16,,,SumRef!$B$7))="","",INDIRECT(ADDRESS(SumRef!AQ111,SumRef!AQ$16,,,SumRef!$B$7))))</f>
        <v/>
      </c>
      <c r="C105" s="1097" t="str">
        <f ca="1">IF('A-80 DirEntInv'!C104&lt;&gt;"",'A-80 DirEntInv'!C104,IF(INDIRECT(ADDRESS(SumRef!AR111,SumRef!AR$16,,,SumRef!$B$7))="","",INDIRECT(ADDRESS(SumRef!AR111,SumRef!AR$16,,,SumRef!$B$7))))</f>
        <v/>
      </c>
      <c r="D105" s="1097" t="str">
        <f ca="1">IF('A-80 DirEntInv'!D104&lt;&gt;"",'A-80 DirEntInv'!D104,IF(INDIRECT(ADDRESS(SumRef!AS111,SumRef!AS$16,,,SumRef!$B$7))="","",INDIRECT(ADDRESS(SumRef!AS111,SumRef!AS$16,,,SumRef!$B$7))))</f>
        <v/>
      </c>
      <c r="E105" s="1097" t="str">
        <f ca="1">IF('A-80 DirEntInv'!E104&lt;&gt;"",'A-80 DirEntInv'!E104,IF(INDIRECT(ADDRESS(SumRef!AT111,SumRef!AT$16,,,SumRef!$B$7))="","",INDIRECT(ADDRESS(SumRef!AT111,SumRef!AT$16,,,SumRef!$B$7))))</f>
        <v/>
      </c>
      <c r="F105" s="1097" t="str">
        <f ca="1">IF('A-80 DirEntInv'!F104&lt;&gt;"",'A-80 DirEntInv'!F104,IF(INDIRECT(ADDRESS(SumRef!AU111,SumRef!AU$16,,,SumRef!$B$7))="","",INDIRECT(ADDRESS(SumRef!AU111,SumRef!AU$16,,,SumRef!$B$7))))</f>
        <v/>
      </c>
      <c r="G105" s="1158" t="str">
        <f ca="1">IF('A-80 DirEntInv'!G104&lt;&gt;"",'A-80 DirEntInv'!G104,IF(INDIRECT(ADDRESS(SumRef!AV111,SumRef!AV$16,,,SumRef!$B$7))="","",INDIRECT(ADDRESS(SumRef!AV111,SumRef!AV$16,,,SumRef!$B$7))))</f>
        <v/>
      </c>
      <c r="H105" s="1097" t="str">
        <f ca="1">IF('A-80 DirEntInv'!H104&lt;&gt;"",'A-80 DirEntInv'!H104,IF(INDIRECT(ADDRESS(SumRef!AW111,SumRef!AW$16,,,SumRef!$B$7))="","",INDIRECT(ADDRESS(SumRef!AW111,SumRef!AW$16,,,SumRef!$B$7))))</f>
        <v/>
      </c>
      <c r="I105" s="1097" t="str">
        <f ca="1">IF('A-80 DirEntInv'!I104&lt;&gt;"",'A-80 DirEntInv'!I104,IF(INDIRECT(ADDRESS(SumRef!AX111,SumRef!AX$16,,,SumRef!$B$7))="","",INDIRECT(ADDRESS(SumRef!AX111,SumRef!AX$16,,,SumRef!$B$7))))</f>
        <v/>
      </c>
      <c r="J105" s="1098" t="str">
        <f ca="1">IF('A-80 DirEntInv'!J104&lt;&gt;"",'A-80 DirEntInv'!J104,IF(INDIRECT(ADDRESS(SumRef!AY111,SumRef!AY$16,,,SumRef!$B$7))="","",INDIRECT(ADDRESS(SumRef!AY111,SumRef!AY$16,,,SumRef!$B$7))))</f>
        <v/>
      </c>
      <c r="K105" s="1099" t="str">
        <f ca="1">IF('A-80 DirEntInv'!K104&lt;&gt;"",'A-80 DirEntInv'!K104,IF(INDIRECT(ADDRESS(SumRef!AZ111,SumRef!AZ$16,,,SumRef!$B$7))="","",INDIRECT(ADDRESS(SumRef!AZ111,SumRef!AZ$16,,,SumRef!$B$7))))</f>
        <v/>
      </c>
      <c r="L105" s="1100" t="str">
        <f ca="1">IF('A-80 DirEntInv'!L104&lt;&gt;"",'A-80 DirEntInv'!L104,IF(INDIRECT(ADDRESS(SumRef!BA111,SumRef!BA$16,,,SumRef!$B$7))="","",INDIRECT(ADDRESS(SumRef!BA111,SumRef!BA$16,,,SumRef!$B$7))))</f>
        <v/>
      </c>
      <c r="M105" s="1101" t="str">
        <f ca="1">IF('A-80 DirEntInv'!M104&lt;&gt;"",'A-80 DirEntInv'!M104,IF(INDIRECT(ADDRESS(SumRef!BB111,SumRef!BB$16,,,SumRef!$B$7))="","",INDIRECT(ADDRESS(SumRef!BB111,SumRef!BB$16,,,SumRef!$B$7))))</f>
        <v/>
      </c>
      <c r="N105" s="1098" t="str">
        <f ca="1">IF('A-80 DirEntInv'!N104&lt;&gt;"",'A-80 DirEntInv'!N104,IF(INDIRECT(ADDRESS(SumRef!BC111,SumRef!BC$16,,,SumRef!$B$7))="","",INDIRECT(ADDRESS(SumRef!BC111,SumRef!BC$16,,,SumRef!$B$7))))</f>
        <v/>
      </c>
      <c r="O105" s="1102" t="str">
        <f ca="1">IF('A-80 DirEntInv'!O104&lt;&gt;"",'A-80 DirEntInv'!O104,IF(INDIRECT(ADDRESS(SumRef!BD111,SumRef!BD$16,,,SumRef!$B$7))="","",INDIRECT(ADDRESS(SumRef!BD111,SumRef!BD$16,,,SumRef!$B$7))))</f>
        <v/>
      </c>
      <c r="Q105" s="589"/>
      <c r="R105" s="1103" t="str">
        <f ca="1">IF('A-80 DirEntInv'!R104&lt;&gt;"",'A-80 DirEntInv'!R104,IF(INDIRECT(ADDRESS(SumRef!BH111,SumRef!BH$16,,,SumRef!$B$8))="","",INDIRECT(ADDRESS(SumRef!BH111,SumRef!BH$16,,,SumRef!$B$8))))</f>
        <v/>
      </c>
      <c r="S105" s="1104" t="str">
        <f ca="1">IF('A-80 DirEntInv'!S104&lt;&gt;"",'A-80 DirEntInv'!S104,IF(INDIRECT(ADDRESS(SumRef!BI111,SumRef!BI$16,,,SumRef!$B$8))="","",INDIRECT(ADDRESS(SumRef!BI111,SumRef!BI$16,,,SumRef!$B$8))))</f>
        <v/>
      </c>
      <c r="T105" s="1104" t="str">
        <f ca="1">IF('A-80 DirEntInv'!T104&lt;&gt;"",'A-80 DirEntInv'!T104,IF(INDIRECT(ADDRESS(SumRef!BJ111,SumRef!BJ$16,,,SumRef!$B$8))="","",INDIRECT(ADDRESS(SumRef!BJ111,SumRef!BJ$16,,,SumRef!$B$8))))</f>
        <v/>
      </c>
      <c r="U105" s="1104" t="str">
        <f ca="1">IF('A-80 DirEntInv'!U104&lt;&gt;"",'A-80 DirEntInv'!U104,IF(INDIRECT(ADDRESS(SumRef!BK111,SumRef!BK$16,,,SumRef!$B$8))="","",INDIRECT(ADDRESS(SumRef!BK111,SumRef!BK$16,,,SumRef!$B$8))))</f>
        <v/>
      </c>
      <c r="V105" s="1104" t="str">
        <f ca="1">IF('A-80 DirEntInv'!V104&lt;&gt;"",'A-80 DirEntInv'!V104,IF(INDIRECT(ADDRESS(SumRef!BL111,SumRef!BL$16,,,SumRef!$B$8))="","",INDIRECT(ADDRESS(SumRef!BL111,SumRef!BL$16,,,SumRef!$B$8))))</f>
        <v/>
      </c>
      <c r="W105" s="1354" t="str">
        <f ca="1">IF('A-80 DirEntInv'!W104&lt;&gt;"",'A-80 DirEntInv'!W104,IF(INDIRECT(ADDRESS(SumRef!BM111,SumRef!BM$16,,,SumRef!$B$8))="","",INDIRECT(ADDRESS(SumRef!BM111,SumRef!BM$16,,,SumRef!$B$8))))</f>
        <v/>
      </c>
      <c r="X105" s="1203" t="str">
        <f ca="1">IF('A-80 DirEntInv'!X104&lt;&gt;"",'A-80 DirEntInv'!X104,IF(INDIRECT(ADDRESS(SumRef!BN111,SumRef!BN$16,,,SumRef!$B$8))="","",INDIRECT(ADDRESS(SumRef!BN111,SumRef!BN$16,,,SumRef!$B$8))))</f>
        <v/>
      </c>
      <c r="Y105" s="1203" t="str">
        <f ca="1">IF('A-80 DirEntInv'!Y104&lt;&gt;"",'A-80 DirEntInv'!Y104,IF(INDIRECT(ADDRESS(SumRef!BO111,SumRef!BO$16,,,SumRef!$B$8))="","",INDIRECT(ADDRESS(SumRef!BO111,SumRef!BO$16,,,SumRef!$B$8))))</f>
        <v/>
      </c>
      <c r="Z105" s="1104" t="str">
        <f ca="1">IF('A-80 DirEntInv'!Z104&lt;&gt;"",'A-80 DirEntInv'!Z104,IF(INDIRECT(ADDRESS(SumRef!BP111,SumRef!BP$16,,,SumRef!$B$8))="","",INDIRECT(ADDRESS(SumRef!BP111,SumRef!BP$16,,,SumRef!$B$8))))</f>
        <v/>
      </c>
      <c r="AA105" s="1104" t="str">
        <f ca="1">IF('A-80 DirEntInv'!AA104&lt;&gt;"",'A-80 DirEntInv'!AA104,IF(INDIRECT(ADDRESS(SumRef!BQ111,SumRef!BQ$16,,,SumRef!$B$8))="","",INDIRECT(ADDRESS(SumRef!BQ111,SumRef!BQ$16,,,SumRef!$B$8))))</f>
        <v/>
      </c>
      <c r="AB105" s="1106" t="str">
        <f ca="1">IF('A-80 DirEntInv'!AB104&lt;&gt;"",'A-80 DirEntInv'!AB104,IF(INDIRECT(ADDRESS(SumRef!BR111,SumRef!BR$16,,,SumRef!$B$8))="","",INDIRECT(ADDRESS(SumRef!BR111,SumRef!BR$16,,,SumRef!$B$8))))</f>
        <v/>
      </c>
      <c r="AC105" s="1107" t="str">
        <f ca="1">IF('A-80 DirEntInv'!AC104&lt;&gt;"",'A-80 DirEntInv'!AC104,IF(INDIRECT(ADDRESS(SumRef!BS111,SumRef!BS$16,,,SumRef!$B$8))="","",INDIRECT(ADDRESS(SumRef!BS111,SumRef!BS$16,,,SumRef!$B$8))))</f>
        <v/>
      </c>
      <c r="AD105" s="1349" t="str">
        <f ca="1">IF('A-80 DirEntInv'!AD104&lt;&gt;"",'A-80 DirEntInv'!AD104,IF(INDIRECT(ADDRESS(SumRef!BT111,SumRef!BT$16,,,SumRef!$B$8))="","",INDIRECT(ADDRESS(SumRef!BT111,SumRef!BT$16,,,SumRef!$B$8))))</f>
        <v/>
      </c>
      <c r="AE105" s="1137" t="str">
        <f ca="1">IF('A-80 DirEntInv'!AE104&lt;&gt;"",'A-80 DirEntInv'!AE104,IF(INDIRECT(ADDRESS(SumRef!BU111,SumRef!BU$16,,,SumRef!$B$8))="","",INDIRECT(ADDRESS(SumRef!BU111,SumRef!BU$16,,,SumRef!$B$8))))</f>
        <v/>
      </c>
      <c r="AF105" s="1346" t="str">
        <f ca="1">IF('A-80 DirEntInv'!AF104&lt;&gt;"",'A-80 DirEntInv'!AF104,IF(INDIRECT(ADDRESS(SumRef!BV111,SumRef!BV$16,,,SumRef!$B$8))="","",INDIRECT(ADDRESS(SumRef!BV111,SumRef!BV$16,,,SumRef!$B$8))))</f>
        <v/>
      </c>
      <c r="AG105" s="1105" t="str">
        <f ca="1">IF('A-80 DirEntInv'!AG104&lt;&gt;"",'A-80 DirEntInv'!AG104,IF(INDIRECT(ADDRESS(SumRef!BW111,SumRef!BW$16,,,SumRef!$B$8))="","",INDIRECT(ADDRESS(SumRef!BW111,SumRef!BW$16,,,SumRef!$B$8))))</f>
        <v/>
      </c>
      <c r="AH105" s="1357" t="str">
        <f ca="1">IF('A-80 DirEntInv'!AH104&lt;&gt;"",'A-80 DirEntInv'!AH104,IF(INDIRECT(ADDRESS(SumRef!BX111,SumRef!BX$16,,,SumRef!$B$8))="","",INDIRECT(ADDRESS(SumRef!BX111,SumRef!BX$16,,,SumRef!$B$8))))</f>
        <v/>
      </c>
      <c r="AK105" s="1041" t="str">
        <f>Codes!$C$162</f>
        <v>CR - Commuter Rail (PT)</v>
      </c>
      <c r="AL105" s="1042" t="str">
        <f>Valid!$B$88</f>
        <v>Substation Equipment</v>
      </c>
      <c r="AM105" s="1187"/>
      <c r="AN105" s="1046"/>
      <c r="AO105" s="1187"/>
      <c r="AP105" s="1046"/>
      <c r="AQ105" s="1147" t="str">
        <f>IF('A-80 DirEntInv'!AQ104&lt;&gt;"",'A-80 DirEntInv'!AQ104,IF(AK105=summaryref2!B22,summaryref2!G22,IF(Summary!AK105=summaryref2!B36,summaryref2!G36,IF(AK105=summaryref2!B50,summaryref2!G50,IF(AK105=summaryref2!B64,summaryref2!G64,IF(AK105=summaryref2!B78,summaryref2!G78,IF(AK105=summaryref2!B92,summaryref2!G92,IF(AK105=summaryref2!B106,summaryref2!G106,IF(AK105=summaryref2!B120,summaryref2!G120,IF(AK105=summaryref2!B134,summaryref2!G134,IF(AK105=summaryref2!B148,summaryref2!G148,"")))))))))))</f>
        <v/>
      </c>
      <c r="AR105" s="1147" t="str">
        <f>IF('A-80 DirEntInv'!AR104&lt;&gt;"",'A-80 DirEntInv'!AR104,IF(AK105=summaryref2!B22,summaryref2!H22,IF(Summary!AK105=summaryref2!B36,summaryref2!H36,IF(AK105=summaryref2!B50,summaryref2!H50,IF(AK105=summaryref2!B64,summaryref2!H64,IF(AK105=summaryref2!B78,summaryref2!H78,IF(AK105=summaryref2!B92,summaryref2!H92,IF(AK105=summaryref2!B106,summaryref2!H106,IF(AK105=summaryref2!B120,summaryref2!H120,IF(AK105=summaryref2!B134,summaryref2!H134,IF(AK105=summaryref2!B148,summaryref2!H148,"")))))))))))</f>
        <v/>
      </c>
      <c r="AS105" s="1110" t="str">
        <f>IF('A-80 DirEntInv'!AS104&lt;&gt;"",'A-80 DirEntInv'!AS104,IF(AK105=summaryref2!B22,summaryref2!I22,IF(Summary!AK105=summaryref2!B36,summaryref2!I36,IF(AK105=summaryref2!B50,summaryref2!I50,IF(AK105=summaryref2!B64,summaryref2!I64,IF(AK105=summaryref2!B78,summaryref2!I78,IF(AK105=summaryref2!B92,summaryref2!I92,IF(AK105=summaryref2!B106,summaryref2!I106,IF(AK105=summaryref2!B120,summaryref2!I120,IF(AK105=summaryref2!B134,summaryref2!I134,IF(AK105=summaryref2!B148,summaryref2!I148,"")))))))))))</f>
        <v/>
      </c>
      <c r="AT105" s="1110" t="str">
        <f>IF('A-80 DirEntInv'!AT104&lt;&gt;"",'A-80 DirEntInv'!AT104,IF(AK105=summaryref2!B22,summaryref2!J22,IF(Summary!AK105=summaryref2!B36,summaryref2!J36,IF(AK105=summaryref2!B50,summaryref2!J50,IF(AK105=summaryref2!B64,summaryref2!J64,IF(AK105=summaryref2!B78,summaryref2!J78,IF(AK105=summaryref2!B92,summaryref2!J92,IF(AK105=summaryref2!B106,summaryref2!J106,IF(AK105=summaryref2!B120,summaryref2!J120,IF(AK105=summaryref2!B134,summaryref2!J134,IF(AK105=summaryref2!B148,summaryref2!J148,"")))))))))))</f>
        <v/>
      </c>
      <c r="AU105" s="1110" t="str">
        <f>IF('A-80 DirEntInv'!AU104&lt;&gt;"",'A-80 DirEntInv'!AU104,IF(AK105=summaryref2!B22,summaryref2!K22,IF(Summary!AK105=summaryref2!B36,summaryref2!K36,IF(AK105=summaryref2!B50,summaryref2!K50,IF(AK105=summaryref2!B64,summaryref2!K64,IF(AK105=summaryref2!B78,summaryref2!K78,IF(AK105=summaryref2!B92,summaryref2!K92,IF(AK105=summaryref2!B106,summaryref2!K106,IF(AK105=summaryref2!B120,summaryref2!K120,IF(AK105=summaryref2!B134,summaryref2!K134,IF(AK105=summaryref2!B148,summaryref2!K148,"")))))))))))</f>
        <v/>
      </c>
      <c r="AV105" s="1110" t="str">
        <f>IF('A-80 DirEntInv'!AV104&lt;&gt;"",'A-80 DirEntInv'!AV104,IF(AK105=summaryref2!B22,summaryref2!L22,IF(Summary!AK105=summaryref2!B36,summaryref2!L36,IF(AK105=summaryref2!B50,summaryref2!L50,IF(AK105=summaryref2!B64,summaryref2!L64,IF(AK105=summaryref2!B78,summaryref2!L78,IF(AK105=summaryref2!B92,summaryref2!L92,IF(AK105=summaryref2!B106,summaryref2!L106,IF(AK105=summaryref2!B120,summaryref2!L120,IF(AK105=summaryref2!B134,summaryref2!L134,IF(AK105=summaryref2!B148,summaryref2!L148,"")))))))))))</f>
        <v/>
      </c>
      <c r="AW105" s="1110" t="str">
        <f>IF('A-80 DirEntInv'!AW104&lt;&gt;"",'A-80 DirEntInv'!AW104,IF(AK105=summaryref2!B22,summaryref2!M22,IF(Summary!AK105=summaryref2!B36,summaryref2!M36,IF(AK105=summaryref2!B50,summaryref2!M50,IF(AK105=summaryref2!B64,summaryref2!M64,IF(AK105=summaryref2!B78,summaryref2!M78,IF(AK105=summaryref2!B92,summaryref2!M92,IF(AK105=summaryref2!B106,summaryref2!M106,IF(AK105=summaryref2!B120,summaryref2!M120,IF(AK105=summaryref2!B134,summaryref2!M134,IF(AK105=summaryref2!B148,summaryref2!M148,"")))))))))))</f>
        <v/>
      </c>
      <c r="AX105" s="1110" t="str">
        <f>IF('A-80 DirEntInv'!AX104&lt;&gt;"",'A-80 DirEntInv'!AX104,IF(AK105=summaryref2!B22,summaryref2!N22,IF(Summary!AK105=summaryref2!B36,summaryref2!N36,IF(AK105=summaryref2!B50,summaryref2!N50,IF(AK105=summaryref2!B64,summaryref2!N64,IF(AK105=summaryref2!B78,summaryref2!N78,IF(AK105=summaryref2!B92,summaryref2!N92,IF(AK105=summaryref2!B106,summaryref2!N106,IF(AK105=summaryref2!B120,summaryref2!N120,IF(AK105=summaryref2!B134,summaryref2!N134,IF(AK105=summaryref2!B148,summaryref2!N148,"")))))))))))</f>
        <v/>
      </c>
      <c r="AY105" s="1110" t="str">
        <f>IF('A-80 DirEntInv'!AY104&lt;&gt;"",'A-80 DirEntInv'!AY104,IF(AK105=summaryref2!B22,summaryref2!O22,IF(Summary!AK105=summaryref2!B36,summaryref2!O36,IF(AK105=summaryref2!B50,summaryref2!O50,IF(AK105=summaryref2!B64,summaryref2!O64,IF(AK105=summaryref2!B78,summaryref2!O78,IF(AK105=summaryref2!B92,summaryref2!O92,IF(AK105=summaryref2!B106,summaryref2!O106,IF(AK105=summaryref2!B120,summaryref2!O120,IF(AK105=summaryref2!B134,summaryref2!O134,IF(AK105=summaryref2!B148,summaryref2!O148,"")))))))))))</f>
        <v/>
      </c>
      <c r="AZ105" s="1110" t="str">
        <f>IF('A-80 DirEntInv'!AZ104&lt;&gt;"",'A-80 DirEntInv'!AZ104,IF(AK105=summaryref2!B22,summaryref2!P22,IF(Summary!AK105=summaryref2!B36,summaryref2!P36,IF(AK105=summaryref2!B50,summaryref2!P50,IF(AK105=summaryref2!B64,summaryref2!P64,IF(AK105=summaryref2!B78,summaryref2!P78,IF(AK105=summaryref2!B92,summaryref2!P92,IF(AK105=summaryref2!B106,summaryref2!P106,IF(AK105=summaryref2!B120,summaryref2!P120,IF(AK105=summaryref2!B134,summaryref2!P134,IF(AK105=summaryref2!B148,summaryref2!P148,"")))))))))))</f>
        <v/>
      </c>
      <c r="BA105" s="1110" t="str">
        <f>IF('A-80 DirEntInv'!BA104&lt;&gt;"",'A-80 DirEntInv'!BA104,IF(AK105=summaryref2!B22,summaryref2!Q22,IF(Summary!AK105=summaryref2!B36,summaryref2!Q36,IF(AK105=summaryref2!B50,summaryref2!Q50,IF(AK105=summaryref2!B64,summaryref2!Q64,IF(AK105=summaryref2!B78,summaryref2!Q78,IF(AK105=summaryref2!B92,summaryref2!Q92,IF(AK105=summaryref2!B106,summaryref2!Q106,IF(AK105=summaryref2!B120,summaryref2!Q120,IF(AK105=summaryref2!B134,summaryref2!Q134,IF(AK105=summaryref2!B148,summaryref2!Q148,"")))))))))))</f>
        <v/>
      </c>
      <c r="BB105" s="1110" t="str">
        <f>IF('A-80 DirEntInv'!BB104&lt;&gt;"",'A-80 DirEntInv'!BB104,IF(AK105=summaryref2!B22,summaryref2!R22,IF(Summary!AK105=summaryref2!B36,summaryref2!R36,IF(AK105=summaryref2!B50,summaryref2!R50,IF(AK105=summaryref2!B64,summaryref2!R64,IF(AK105=summaryref2!B78,summaryref2!R78,IF(AK105=summaryref2!B92,summaryref2!R92,IF(AK105=summaryref2!B106,summaryref2!R106,IF(AK105=summaryref2!B120,summaryref2!R120,IF(AK105=summaryref2!B134,summaryref2!R134,IF(AK105=summaryref2!B148,summaryref2!R148,"")))))))))))</f>
        <v/>
      </c>
      <c r="BC105" s="1110" t="str">
        <f>IF('A-80 DirEntInv'!BC104&lt;&gt;0,'A-80 DirEntInv'!BC104,IF(AK105=summaryref2!B22,summaryref2!S22,IF(Summary!AK105=summaryref2!B36,summaryref2!S36,IF(AK105=summaryref2!B50,summaryref2!S50,IF(AK105=summaryref2!B64,summaryref2!S64,IF(AK105=summaryref2!B78,summaryref2!S78,IF(AK105=summaryref2!B92,summaryref2!S92,IF(AK105=summaryref2!B106,summaryref2!S106,IF(AK105=summaryref2!B120,summaryref2!S120,IF(AK105=summaryref2!B134,summaryref2!S134,IF(AK105=summaryref2!B148,summaryref2!S148,"")))))))))))</f>
        <v/>
      </c>
      <c r="BD105" s="1111" t="str">
        <f>IF('A-80 DirEntInv'!BD104&lt;&gt;"",'A-80 DirEntInv'!BD104,IF(AK105=summaryref2!B22,summaryref2!T22,IF(Summary!AK105=summaryref2!B36,summaryref2!T36,IF(AK105=summaryref2!B50,summaryref2!T50,IF(AK105=summaryref2!B64,summaryref2!T64,IF(AK105=summaryref2!B78,summaryref2!T78,IF(AK105=summaryref2!B92,summaryref2!T92,IF(AK105=summaryref2!B106,summaryref2!T106,IF(AK105=summaryref2!B120,summaryref2!T120,IF(AK105=summaryref2!B134,summaryref2!T134,IF(AK105=summaryref2!B148,summaryref2!T148,"")))))))))))</f>
        <v/>
      </c>
      <c r="BE105" s="1184" t="str">
        <f>IF('A-80 DirEntInv'!BE104&lt;&gt;"",'A-80 DirEntInv'!BE104,IF(AK105=summaryref2!B22,summaryref2!U22,IF(Summary!AK105=summaryref2!B36,summaryref2!U36,IF(AK105=summaryref2!B50,summaryref2!U50,IF(AK105=summaryref2!B64,summaryref2!U64,IF(AK105=summaryref2!B78,summaryref2!U78,IF(AK105=summaryref2!B92,summaryref2!U92,IF(AK105=summaryref2!B106,summaryref2!U106,IF(AK105=summaryref2!B120,summaryref2!U120,IF(AK105=summaryref2!B134,summaryref2!U134,IF(AK105=summaryref2!B148,summaryref2!U148,"")))))))))))</f>
        <v/>
      </c>
      <c r="BF105" s="1432"/>
      <c r="BG105" s="1432"/>
      <c r="BJ105" s="1041" t="str">
        <f>Codes!$C$169</f>
        <v>SR - Streetcar Rail (DO)</v>
      </c>
      <c r="BK105" s="1042" t="str">
        <f>Valid!$B$83</f>
        <v>Single Crossover</v>
      </c>
      <c r="BL105" s="1375" t="str">
        <f>IF('A-80 DirEntInv'!BL104&lt;&gt;"",'A-80 DirEntInv'!BL104,IF(BJ105=summaryref2!X15,summaryref2!Z15,IF(BJ105=summaryref2!X22,summaryref2!Z22,IF(BJ105=summaryref2!X29,summaryref2!Z29,IF(BJ105=summaryref2!X36,summaryref2!Z36,IF(BJ105=summaryref2!X43,summaryref2!Z43,IF(BJ105=summaryref2!X50,summaryref2!Z50,IF(BJ105=summaryref2!X57,summaryref2!Z57,IF(BJ105=summaryref2!X64,summaryref2!Z64,IF(BJ105=summaryref2!X71,summaryref2!Z71,IF(BJ105=summaryref2!X78,summaryref2!Z78,"")))))))))))</f>
        <v/>
      </c>
      <c r="BM105" s="1042" t="str">
        <f>VLOOKUP(BK105,Valid!$B$80:$C$86,2,FALSE)</f>
        <v>Each</v>
      </c>
      <c r="BN105" s="1209" t="str">
        <f>IF('A-80 DirEntInv'!BN104&lt;&gt;"",'A-80 DirEntInv'!BN104,IF(BJ105=summaryref2!X15,summaryref2!AB15,IF(BJ105=summaryref2!X22,summaryref2!AB22,IF(BJ105=summaryref2!X29,summaryref2!AB29,IF(BJ105=summaryref2!X36,summaryref2!AB36,IF(BJ105=summaryref2!X43,summaryref2!AB43,IF(BJ105=summaryref2!X50,summaryref2!AB50,IF(BJ105=summaryref2!X57,summaryref2!AB57,IF(BJ105=summaryref2!X64,summaryref2!AB64,IF(BJ105=summaryref2!X71,summaryref2!AB71,IF(BJ105=summaryref2!X78,summaryref2!AB78,"")))))))))))</f>
        <v/>
      </c>
      <c r="BO105" s="1116" t="str">
        <f>IF('A-80 DirEntInv'!BO104&lt;&gt;"",'A-80 DirEntInv'!BO104,IF(BJ105=summaryref2!X15,summaryref2!AC15,IF(BJ105=summaryref2!X22,summaryref2!AC22,IF(BJ105=summaryref2!X29,summaryref2!AC29,IF(BJ105=summaryref2!X36,summaryref2!AC36,IF(BJ105=summaryref2!X43,summaryref2!AC43,IF(BJ105=summaryref2!X50,summaryref2!AC50,IF(BJ105=summaryref2!X57,summaryref2!AC57,IF(BJ105=summaryref2!X64,summaryref2!AC64,IF(BJ105=summaryref2!X71,summaryref2!AC71,IF(BJ105=summaryref2!X78,summaryref2!AC78,"")))))))))))</f>
        <v/>
      </c>
      <c r="BP105" s="1384" t="str">
        <f>IF('A-80 DirEntInv'!BP104&lt;&gt;"",'A-80 DirEntInv'!BP104,IF(BJ105=summaryref2!X15,summaryref2!AD15,IF(BJ105=summaryref2!X22,summaryref2!AD22,IF(BJ105=summaryref2!X29,summaryref2!AD29,IF(BJ105=summaryref2!X36,summaryref2!AD36,IF(BJ105=summaryref2!X43,summaryref2!AD43,IF(BJ105=summaryref2!X50,summaryref2!AD50,IF(BJ105=summaryref2!X57,summaryref2!AD57,IF(BJ105=summaryref2!X64,summaryref2!AD64,IF(BJ105=summaryref2!X71,summaryref2!AD71,IF(BJ105=summaryref2!X78,summaryref2!AD78,"")))))))))))</f>
        <v/>
      </c>
      <c r="BS105" s="1472" t="str">
        <f ca="1">IF('A-80 DirEntInv'!BU104&lt;&gt;"",'A-80 DirEntInv'!BU104,IF(INDIRECT(ADDRESS(SumRef!DK111,SumRef!DK$16,,,SumRef!$E$6))="","",INDIRECT(ADDRESS(SumRef!DK111,SumRef!DK$16,,,SumRef!$E$6))))</f>
        <v/>
      </c>
      <c r="BT105" s="1458" t="str">
        <f ca="1">IF('A-80 DirEntInv'!BV104&lt;&gt;"",'A-80 DirEntInv'!BV104,IF(INDIRECT(ADDRESS(SumRef!DL111,SumRef!DL$16,,,SumRef!$E$6))="","",INDIRECT(ADDRESS(SumRef!DL111,SumRef!DL$16,,,SumRef!$E$6))))</f>
        <v/>
      </c>
      <c r="BU105" s="1177" t="str">
        <f ca="1">IF('A-80 DirEntInv'!BW104&lt;&gt;"",'A-80 DirEntInv'!BW104,IF(INDIRECT(ADDRESS(SumRef!DM111,SumRef!DM$16,,,SumRef!$E$6))="","",INDIRECT(ADDRESS(SumRef!DM111,SumRef!DM$16,,,SumRef!$E$6))))</f>
        <v/>
      </c>
      <c r="BV105" s="1460" t="str">
        <f ca="1">IF('A-80 DirEntInv'!BX104&lt;&gt;"",'A-80 DirEntInv'!BX104,IF(INDIRECT(ADDRESS(SumRef!DN111,SumRef!DN$16,,,SumRef!$E$6))="","",INDIRECT(ADDRESS(SumRef!DN111,SumRef!DN$16,,,SumRef!$E$6))))</f>
        <v/>
      </c>
      <c r="BW105" s="1460" t="str">
        <f ca="1">IF('A-80 DirEntInv'!BY104&lt;&gt;"",'A-80 DirEntInv'!BY104,IF(INDIRECT(ADDRESS(SumRef!DO111,SumRef!DO$16,,,SumRef!$E$6))="","",INDIRECT(ADDRESS(SumRef!DO111,SumRef!DO$16,,,SumRef!$E$6))))</f>
        <v/>
      </c>
      <c r="BX105" s="1116" t="str">
        <f ca="1">IF('A-80 DirEntInv'!BZ104&lt;&gt;"",'A-80 DirEntInv'!BZ104,IF(INDIRECT(ADDRESS(SumRef!DP111,SumRef!DP$16,,,SumRef!$E$6))="","",INDIRECT(ADDRESS(SumRef!DP111,SumRef!DP$16,,,SumRef!$E$6))))</f>
        <v/>
      </c>
      <c r="BY105" s="1461" t="str">
        <f ca="1">IF('A-80 DirEntInv'!CA104&lt;&gt;"",'A-80 DirEntInv'!CA104,IF(INDIRECT(ADDRESS(SumRef!DQ111,SumRef!DQ$16,,,SumRef!$E$6))="","",INDIRECT(ADDRESS(SumRef!DQ111,SumRef!DQ$16,,,SumRef!$E$6))))</f>
        <v/>
      </c>
      <c r="BZ105" s="1460" t="str">
        <f ca="1">IF('A-80 DirEntInv'!CB104&lt;&gt;"",'A-80 DirEntInv'!CB104,IF(INDIRECT(ADDRESS(SumRef!DR111,SumRef!DR$16,,,SumRef!$E$6))="","",INDIRECT(ADDRESS(SumRef!DR111,SumRef!DR$16,,,SumRef!$E$6))))</f>
        <v/>
      </c>
      <c r="CA105" s="1462" t="str">
        <f ca="1">IF('A-80 DirEntInv'!CC104&lt;&gt;"",'A-80 DirEntInv'!CC104,IF(INDIRECT(ADDRESS(SumRef!DS111,SumRef!DS$16,,,SumRef!$E$6))="","",INDIRECT(ADDRESS(SumRef!DS111,SumRef!DS$16,,,SumRef!$E$6))))</f>
        <v/>
      </c>
      <c r="CD105" s="1160" t="str">
        <f ca="1">IF('A-80 DirEntInv'!CF104&lt;&gt;"",'A-80 DirEntInv'!CF104,IF(INDIRECT(ADDRESS(SumRef!DV111,SumRef!DV$16,,,SumRef!$E$7))="","",INDIRECT(ADDRESS(SumRef!DV111,SumRef!DV$16,,,SumRef!$E$7))))</f>
        <v/>
      </c>
      <c r="CE105" s="1167" t="str">
        <f ca="1">IF('A-80 DirEntInv'!CG104&lt;&gt;"",'A-80 DirEntInv'!CG104,IF(INDIRECT(ADDRESS(SumRef!DW111,SumRef!DW$16,,,SumRef!$E$7))="","",INDIRECT(ADDRESS(SumRef!DW111,SumRef!DW$16,,,SumRef!$E$7))))</f>
        <v/>
      </c>
      <c r="CF105" s="1167" t="str">
        <f ca="1">IF('A-80 DirEntInv'!CH104&lt;&gt;"",'A-80 DirEntInv'!CH104,IF(INDIRECT(ADDRESS(SumRef!DX111,SumRef!DX$16,,,SumRef!$E$7))="","",INDIRECT(ADDRESS(SumRef!DX111,SumRef!DX$16,,,SumRef!$E$7))))</f>
        <v/>
      </c>
      <c r="CG105" s="1167" t="str">
        <f ca="1">IF('A-80 DirEntInv'!CI104&lt;&gt;"",'A-80 DirEntInv'!CI104,IF(INDIRECT(ADDRESS(SumRef!DY111,SumRef!DY$16,,,SumRef!$E$7))="","",INDIRECT(ADDRESS(SumRef!DY111,SumRef!DY$16,,,SumRef!$E$7))))</f>
        <v/>
      </c>
      <c r="CH105" s="1167" t="str">
        <f ca="1">IF('A-80 DirEntInv'!CJ104&lt;&gt;"",'A-80 DirEntInv'!CJ104,IF(INDIRECT(ADDRESS(SumRef!DZ111,SumRef!DZ$16,,,SumRef!$E$7))="","",INDIRECT(ADDRESS(SumRef!DZ111,SumRef!DZ$16,,,SumRef!$E$7))))</f>
        <v/>
      </c>
      <c r="CI105" s="1167" t="str">
        <f ca="1">IF('A-80 DirEntInv'!CK104&lt;&gt;"",'A-80 DirEntInv'!CK104,IF(INDIRECT(ADDRESS(SumRef!EA111,SumRef!EA$16,,,SumRef!$E$7))="","",INDIRECT(ADDRESS(SumRef!EA111,SumRef!EA$16,,,SumRef!$E$7))))</f>
        <v/>
      </c>
      <c r="CJ105" s="1114" t="str">
        <f ca="1">IF('A-80 DirEntInv'!CL104&lt;&gt;"",'A-80 DirEntInv'!CL104,IF(INDIRECT(ADDRESS(SumRef!EB111,SumRef!EB$16,,,SumRef!$E$7))="","",INDIRECT(ADDRESS(SumRef!EB111,SumRef!EB$16,,,SumRef!$E$7))))</f>
        <v/>
      </c>
      <c r="CK105" s="1114" t="str">
        <f ca="1">IF('A-80 DirEntInv'!CM104&lt;&gt;"",'A-80 DirEntInv'!CM104,IF(INDIRECT(ADDRESS(SumRef!EC111,SumRef!EC$16,,,SumRef!$E$7))="","",INDIRECT(ADDRESS(SumRef!EC111,SumRef!EC$16,,,SumRef!$E$7))))</f>
        <v/>
      </c>
      <c r="CL105" s="1113" t="str">
        <f ca="1">IF('A-80 DirEntInv'!CO104&lt;&gt;"",'A-80 DirEntInv'!CO104,IF(INDIRECT(ADDRESS(SumRef!ED111,SumRef!ED$16,,,SumRef!$E$7))="","",INDIRECT(ADDRESS(SumRef!ED111,SumRef!ED$16,,,SumRef!$E$7))))</f>
        <v/>
      </c>
      <c r="CM105" s="1114" t="str">
        <f ca="1">IF('A-80 DirEntInv'!CP104&lt;&gt;"",'A-80 DirEntInv'!CP104,IF(INDIRECT(ADDRESS(SumRef!EE111,SumRef!EE$16,,,SumRef!$E$7))="","",INDIRECT(ADDRESS(SumRef!EE111,SumRef!EE$16,,,SumRef!$E$7))))</f>
        <v/>
      </c>
      <c r="CN105" s="1114" t="str">
        <f ca="1">IF('A-80 DirEntInv'!CQ104&lt;&gt;"",'A-80 DirEntInv'!CQ104,IF(INDIRECT(ADDRESS(SumRef!EF111,SumRef!EF$16,,,SumRef!$E$7))="","",INDIRECT(ADDRESS(SumRef!EF111,SumRef!EF$16,,,SumRef!$E$7))))</f>
        <v/>
      </c>
      <c r="CO105" s="1113" t="str">
        <f ca="1">IF('A-80 DirEntInv'!CR104&lt;&gt;"",'A-80 DirEntInv'!CR104,IF(INDIRECT(ADDRESS(SumRef!EG111,SumRef!EG$16,,,SumRef!$E$7))="","",INDIRECT(ADDRESS(SumRef!EG111,SumRef!EG$16,,,SumRef!$E$7))))</f>
        <v/>
      </c>
      <c r="CP105" s="1114" t="str">
        <f ca="1">IF('A-80 DirEntInv'!CS104&lt;&gt;"",'A-80 DirEntInv'!CS104,IF(INDIRECT(ADDRESS(SumRef!EH111,SumRef!EH$16,,,SumRef!$E$7))="","",INDIRECT(ADDRESS(SumRef!EH111,SumRef!EH$16,,,SumRef!$E$7))))</f>
        <v/>
      </c>
      <c r="CQ105" s="1346" t="str">
        <f ca="1">IF('A-80 DirEntInv'!CT104&lt;&gt;"",'A-80 DirEntInv'!CT104,IF(INDIRECT(ADDRESS(SumRef!EI111,SumRef!EI$16,,,SumRef!$E$7))="","",INDIRECT(ADDRESS(SumRef!EI111,SumRef!EI$16,,,SumRef!$E$7))))</f>
        <v/>
      </c>
      <c r="CR105" s="1113" t="str">
        <f ca="1">IF('A-80 DirEntInv'!CU104&lt;&gt;"",'A-80 DirEntInv'!CU104,IF(INDIRECT(ADDRESS(SumRef!EJ111,SumRef!EJ$16,,,SumRef!$E$7))="","",INDIRECT(ADDRESS(SumRef!EJ111,SumRef!EJ$16,,,SumRef!$E$7))))</f>
        <v/>
      </c>
      <c r="CS105" s="1346" t="str">
        <f ca="1">IF('A-80 DirEntInv'!CV104&lt;&gt;"",'A-80 DirEntInv'!CV104,IF(INDIRECT(ADDRESS(SumRef!EM111,SumRef!EM$16,,,SumRef!$E$7))="","",INDIRECT(ADDRESS(SumRef!EM111,SumRef!EM$16,,,SumRef!$E$7))))</f>
        <v/>
      </c>
      <c r="CT105" s="1113" t="str">
        <f ca="1">IF('A-80 DirEntInv'!CW104&lt;&gt;"",'A-80 DirEntInv'!CW104,IF(INDIRECT(ADDRESS(SumRef!EN111,SumRef!EN$16,,,SumRef!$E$7))="","",INDIRECT(ADDRESS(SumRef!EN111,SumRef!EN$16,,,SumRef!$E$7))))</f>
        <v/>
      </c>
      <c r="CU105" s="1113" t="str">
        <f ca="1">IF('A-80 DirEntInv'!CX104&lt;&gt;"",'A-80 DirEntInv'!CX104,IF(INDIRECT(ADDRESS(SumRef!EO111,SumRef!EO$16,,,SumRef!$E$7))="","",INDIRECT(ADDRESS(SumRef!EO111,SumRef!EO$16,,,SumRef!$E$7))))</f>
        <v/>
      </c>
      <c r="CV105" s="1113" t="str">
        <f ca="1">IF('A-80 DirEntInv'!CY104&lt;&gt;"",'A-80 DirEntInv'!CY104,IF(INDIRECT(ADDRESS(SumRef!EP111,SumRef!EP$16,,,SumRef!$E$7))="","",INDIRECT(ADDRESS(SumRef!EP111,SumRef!EP$16,,,SumRef!$E$7))))</f>
        <v/>
      </c>
      <c r="CW105" s="1114" t="str">
        <f ca="1">IF('A-80 DirEntInv'!CZ104&lt;&gt;"",'A-80 DirEntInv'!CZ104,IF(INDIRECT(ADDRESS(SumRef!ES111,SumRef!ES$16,,,SumRef!$E$7))="","",INDIRECT(ADDRESS(SumRef!ES111,SumRef!ES$16,,,SumRef!$E$7))))</f>
        <v/>
      </c>
      <c r="CX105" s="1167" t="str">
        <f ca="1">IF('A-80 DirEntInv'!DA104&lt;&gt;"",'A-80 DirEntInv'!DA104,IF(INDIRECT(ADDRESS(SumRef!ET111,SumRef!ET$16,,,SumRef!$E$7))="","",INDIRECT(ADDRESS(SumRef!ET111,SumRef!ET$16,,,SumRef!$E$7))))</f>
        <v/>
      </c>
      <c r="CY105" s="1167" t="str">
        <f ca="1">IF('A-80 DirEntInv'!DB104&lt;&gt;"",'A-80 DirEntInv'!DB104,IF(INDIRECT(ADDRESS(SumRef!EU111,SumRef!EU$16,,,SumRef!$E$7))="","",INDIRECT(ADDRESS(SumRef!EU111,SumRef!EU$16,,,SumRef!$E$7))))</f>
        <v/>
      </c>
      <c r="CZ105" s="1167" t="b">
        <f ca="1">IF('A-80 DirEntInv'!DC104&lt;&gt;"",'A-80 DirEntInv'!DC104,IF(INDIRECT(ADDRESS(SumRef!EV111,SumRef!EV$16,,,SumRef!$E$7))="","",INDIRECT(ADDRESS(SumRef!EV111,SumRef!EV$16,,,SumRef!$E$7))))</f>
        <v>0</v>
      </c>
      <c r="DA105" s="1373" t="str">
        <f ca="1">IF('A-80 DirEntInv'!DD104&lt;&gt;"",'A-80 DirEntInv'!DD104,IF(INDIRECT(ADDRESS(SumRef!EW111,SumRef!EW$16,,,SumRef!$E$7))="","",INDIRECT(ADDRESS(SumRef!EW111,SumRef!EW$16,,,SumRef!$E$7))))</f>
        <v/>
      </c>
      <c r="DB105" s="1373" t="b">
        <f ca="1">IF('A-80 DirEntInv'!DE104&lt;&gt;"",'A-80 DirEntInv'!DE104,IF(INDIRECT(ADDRESS(SumRef!EX111,SumRef!EX$16,,,SumRef!$E$7))="","",INDIRECT(ADDRESS(SumRef!EX111,SumRef!EX$16,,,SumRef!$E$7))))</f>
        <v>0</v>
      </c>
      <c r="DC105" s="1114" t="b">
        <f ca="1">IF('A-80 DirEntInv'!DF104&lt;&gt;"",'A-80 DirEntInv'!DF104,IF(INDIRECT(ADDRESS(SumRef!EY111,SumRef!EY$16,,,SumRef!$E$7))="","",INDIRECT(ADDRESS(SumRef!EY111,SumRef!EY$16,,,SumRef!$E$7))))</f>
        <v>0</v>
      </c>
      <c r="DD105" s="1115" t="str">
        <f ca="1">IF('A-80 DirEntInv'!DG104&lt;&gt;"",'A-80 DirEntInv'!DG104,IF(INDIRECT(ADDRESS(SumRef!EZ111,SumRef!EZ$16,,,SumRef!$E$7))="","",INDIRECT(ADDRESS(SumRef!EZ111,SumRef!EZ$16,,,SumRef!$E$7))))</f>
        <v/>
      </c>
    </row>
    <row r="106" spans="1:108" s="588" customFormat="1" x14ac:dyDescent="0.2">
      <c r="A106" s="589">
        <f t="shared" si="1"/>
        <v>96</v>
      </c>
      <c r="B106" s="1155" t="str">
        <f ca="1">IF('A-80 DirEntInv'!B105&lt;&gt;"",'A-80 DirEntInv'!B105,IF(INDIRECT(ADDRESS(SumRef!AQ112,SumRef!AQ$16,,,SumRef!$B$7))="","",INDIRECT(ADDRESS(SumRef!AQ112,SumRef!AQ$16,,,SumRef!$B$7))))</f>
        <v/>
      </c>
      <c r="C106" s="1097" t="str">
        <f ca="1">IF('A-80 DirEntInv'!C105&lt;&gt;"",'A-80 DirEntInv'!C105,IF(INDIRECT(ADDRESS(SumRef!AR112,SumRef!AR$16,,,SumRef!$B$7))="","",INDIRECT(ADDRESS(SumRef!AR112,SumRef!AR$16,,,SumRef!$B$7))))</f>
        <v/>
      </c>
      <c r="D106" s="1097" t="str">
        <f ca="1">IF('A-80 DirEntInv'!D105&lt;&gt;"",'A-80 DirEntInv'!D105,IF(INDIRECT(ADDRESS(SumRef!AS112,SumRef!AS$16,,,SumRef!$B$7))="","",INDIRECT(ADDRESS(SumRef!AS112,SumRef!AS$16,,,SumRef!$B$7))))</f>
        <v/>
      </c>
      <c r="E106" s="1097" t="str">
        <f ca="1">IF('A-80 DirEntInv'!E105&lt;&gt;"",'A-80 DirEntInv'!E105,IF(INDIRECT(ADDRESS(SumRef!AT112,SumRef!AT$16,,,SumRef!$B$7))="","",INDIRECT(ADDRESS(SumRef!AT112,SumRef!AT$16,,,SumRef!$B$7))))</f>
        <v/>
      </c>
      <c r="F106" s="1097" t="str">
        <f ca="1">IF('A-80 DirEntInv'!F105&lt;&gt;"",'A-80 DirEntInv'!F105,IF(INDIRECT(ADDRESS(SumRef!AU112,SumRef!AU$16,,,SumRef!$B$7))="","",INDIRECT(ADDRESS(SumRef!AU112,SumRef!AU$16,,,SumRef!$B$7))))</f>
        <v/>
      </c>
      <c r="G106" s="1158" t="str">
        <f ca="1">IF('A-80 DirEntInv'!G105&lt;&gt;"",'A-80 DirEntInv'!G105,IF(INDIRECT(ADDRESS(SumRef!AV112,SumRef!AV$16,,,SumRef!$B$7))="","",INDIRECT(ADDRESS(SumRef!AV112,SumRef!AV$16,,,SumRef!$B$7))))</f>
        <v/>
      </c>
      <c r="H106" s="1097" t="str">
        <f ca="1">IF('A-80 DirEntInv'!H105&lt;&gt;"",'A-80 DirEntInv'!H105,IF(INDIRECT(ADDRESS(SumRef!AW112,SumRef!AW$16,,,SumRef!$B$7))="","",INDIRECT(ADDRESS(SumRef!AW112,SumRef!AW$16,,,SumRef!$B$7))))</f>
        <v/>
      </c>
      <c r="I106" s="1097" t="str">
        <f ca="1">IF('A-80 DirEntInv'!I105&lt;&gt;"",'A-80 DirEntInv'!I105,IF(INDIRECT(ADDRESS(SumRef!AX112,SumRef!AX$16,,,SumRef!$B$7))="","",INDIRECT(ADDRESS(SumRef!AX112,SumRef!AX$16,,,SumRef!$B$7))))</f>
        <v/>
      </c>
      <c r="J106" s="1098" t="str">
        <f ca="1">IF('A-80 DirEntInv'!J105&lt;&gt;"",'A-80 DirEntInv'!J105,IF(INDIRECT(ADDRESS(SumRef!AY112,SumRef!AY$16,,,SumRef!$B$7))="","",INDIRECT(ADDRESS(SumRef!AY112,SumRef!AY$16,,,SumRef!$B$7))))</f>
        <v/>
      </c>
      <c r="K106" s="1099" t="str">
        <f ca="1">IF('A-80 DirEntInv'!K105&lt;&gt;"",'A-80 DirEntInv'!K105,IF(INDIRECT(ADDRESS(SumRef!AZ112,SumRef!AZ$16,,,SumRef!$B$7))="","",INDIRECT(ADDRESS(SumRef!AZ112,SumRef!AZ$16,,,SumRef!$B$7))))</f>
        <v/>
      </c>
      <c r="L106" s="1100" t="str">
        <f ca="1">IF('A-80 DirEntInv'!L105&lt;&gt;"",'A-80 DirEntInv'!L105,IF(INDIRECT(ADDRESS(SumRef!BA112,SumRef!BA$16,,,SumRef!$B$7))="","",INDIRECT(ADDRESS(SumRef!BA112,SumRef!BA$16,,,SumRef!$B$7))))</f>
        <v/>
      </c>
      <c r="M106" s="1101" t="str">
        <f ca="1">IF('A-80 DirEntInv'!M105&lt;&gt;"",'A-80 DirEntInv'!M105,IF(INDIRECT(ADDRESS(SumRef!BB112,SumRef!BB$16,,,SumRef!$B$7))="","",INDIRECT(ADDRESS(SumRef!BB112,SumRef!BB$16,,,SumRef!$B$7))))</f>
        <v/>
      </c>
      <c r="N106" s="1098" t="str">
        <f ca="1">IF('A-80 DirEntInv'!N105&lt;&gt;"",'A-80 DirEntInv'!N105,IF(INDIRECT(ADDRESS(SumRef!BC112,SumRef!BC$16,,,SumRef!$B$7))="","",INDIRECT(ADDRESS(SumRef!BC112,SumRef!BC$16,,,SumRef!$B$7))))</f>
        <v/>
      </c>
      <c r="O106" s="1102" t="str">
        <f ca="1">IF('A-80 DirEntInv'!O105&lt;&gt;"",'A-80 DirEntInv'!O105,IF(INDIRECT(ADDRESS(SumRef!BD112,SumRef!BD$16,,,SumRef!$B$7))="","",INDIRECT(ADDRESS(SumRef!BD112,SumRef!BD$16,,,SumRef!$B$7))))</f>
        <v/>
      </c>
      <c r="Q106" s="589"/>
      <c r="R106" s="1103" t="str">
        <f ca="1">IF('A-80 DirEntInv'!R105&lt;&gt;"",'A-80 DirEntInv'!R105,IF(INDIRECT(ADDRESS(SumRef!BH112,SumRef!BH$16,,,SumRef!$B$8))="","",INDIRECT(ADDRESS(SumRef!BH112,SumRef!BH$16,,,SumRef!$B$8))))</f>
        <v/>
      </c>
      <c r="S106" s="1104" t="str">
        <f ca="1">IF('A-80 DirEntInv'!S105&lt;&gt;"",'A-80 DirEntInv'!S105,IF(INDIRECT(ADDRESS(SumRef!BI112,SumRef!BI$16,,,SumRef!$B$8))="","",INDIRECT(ADDRESS(SumRef!BI112,SumRef!BI$16,,,SumRef!$B$8))))</f>
        <v/>
      </c>
      <c r="T106" s="1104" t="str">
        <f ca="1">IF('A-80 DirEntInv'!T105&lt;&gt;"",'A-80 DirEntInv'!T105,IF(INDIRECT(ADDRESS(SumRef!BJ112,SumRef!BJ$16,,,SumRef!$B$8))="","",INDIRECT(ADDRESS(SumRef!BJ112,SumRef!BJ$16,,,SumRef!$B$8))))</f>
        <v/>
      </c>
      <c r="U106" s="1104" t="str">
        <f ca="1">IF('A-80 DirEntInv'!U105&lt;&gt;"",'A-80 DirEntInv'!U105,IF(INDIRECT(ADDRESS(SumRef!BK112,SumRef!BK$16,,,SumRef!$B$8))="","",INDIRECT(ADDRESS(SumRef!BK112,SumRef!BK$16,,,SumRef!$B$8))))</f>
        <v/>
      </c>
      <c r="V106" s="1104" t="str">
        <f ca="1">IF('A-80 DirEntInv'!V105&lt;&gt;"",'A-80 DirEntInv'!V105,IF(INDIRECT(ADDRESS(SumRef!BL112,SumRef!BL$16,,,SumRef!$B$8))="","",INDIRECT(ADDRESS(SumRef!BL112,SumRef!BL$16,,,SumRef!$B$8))))</f>
        <v/>
      </c>
      <c r="W106" s="1354" t="str">
        <f ca="1">IF('A-80 DirEntInv'!W105&lt;&gt;"",'A-80 DirEntInv'!W105,IF(INDIRECT(ADDRESS(SumRef!BM112,SumRef!BM$16,,,SumRef!$B$8))="","",INDIRECT(ADDRESS(SumRef!BM112,SumRef!BM$16,,,SumRef!$B$8))))</f>
        <v/>
      </c>
      <c r="X106" s="1203" t="str">
        <f ca="1">IF('A-80 DirEntInv'!X105&lt;&gt;"",'A-80 DirEntInv'!X105,IF(INDIRECT(ADDRESS(SumRef!BN112,SumRef!BN$16,,,SumRef!$B$8))="","",INDIRECT(ADDRESS(SumRef!BN112,SumRef!BN$16,,,SumRef!$B$8))))</f>
        <v/>
      </c>
      <c r="Y106" s="1203" t="str">
        <f ca="1">IF('A-80 DirEntInv'!Y105&lt;&gt;"",'A-80 DirEntInv'!Y105,IF(INDIRECT(ADDRESS(SumRef!BO112,SumRef!BO$16,,,SumRef!$B$8))="","",INDIRECT(ADDRESS(SumRef!BO112,SumRef!BO$16,,,SumRef!$B$8))))</f>
        <v/>
      </c>
      <c r="Z106" s="1104" t="str">
        <f ca="1">IF('A-80 DirEntInv'!Z105&lt;&gt;"",'A-80 DirEntInv'!Z105,IF(INDIRECT(ADDRESS(SumRef!BP112,SumRef!BP$16,,,SumRef!$B$8))="","",INDIRECT(ADDRESS(SumRef!BP112,SumRef!BP$16,,,SumRef!$B$8))))</f>
        <v/>
      </c>
      <c r="AA106" s="1104" t="str">
        <f ca="1">IF('A-80 DirEntInv'!AA105&lt;&gt;"",'A-80 DirEntInv'!AA105,IF(INDIRECT(ADDRESS(SumRef!BQ112,SumRef!BQ$16,,,SumRef!$B$8))="","",INDIRECT(ADDRESS(SumRef!BQ112,SumRef!BQ$16,,,SumRef!$B$8))))</f>
        <v/>
      </c>
      <c r="AB106" s="1106" t="str">
        <f ca="1">IF('A-80 DirEntInv'!AB105&lt;&gt;"",'A-80 DirEntInv'!AB105,IF(INDIRECT(ADDRESS(SumRef!BR112,SumRef!BR$16,,,SumRef!$B$8))="","",INDIRECT(ADDRESS(SumRef!BR112,SumRef!BR$16,,,SumRef!$B$8))))</f>
        <v/>
      </c>
      <c r="AC106" s="1107" t="str">
        <f ca="1">IF('A-80 DirEntInv'!AC105&lt;&gt;"",'A-80 DirEntInv'!AC105,IF(INDIRECT(ADDRESS(SumRef!BS112,SumRef!BS$16,,,SumRef!$B$8))="","",INDIRECT(ADDRESS(SumRef!BS112,SumRef!BS$16,,,SumRef!$B$8))))</f>
        <v/>
      </c>
      <c r="AD106" s="1349" t="str">
        <f ca="1">IF('A-80 DirEntInv'!AD105&lt;&gt;"",'A-80 DirEntInv'!AD105,IF(INDIRECT(ADDRESS(SumRef!BT112,SumRef!BT$16,,,SumRef!$B$8))="","",INDIRECT(ADDRESS(SumRef!BT112,SumRef!BT$16,,,SumRef!$B$8))))</f>
        <v/>
      </c>
      <c r="AE106" s="1137" t="str">
        <f ca="1">IF('A-80 DirEntInv'!AE105&lt;&gt;"",'A-80 DirEntInv'!AE105,IF(INDIRECT(ADDRESS(SumRef!BU112,SumRef!BU$16,,,SumRef!$B$8))="","",INDIRECT(ADDRESS(SumRef!BU112,SumRef!BU$16,,,SumRef!$B$8))))</f>
        <v/>
      </c>
      <c r="AF106" s="1346" t="str">
        <f ca="1">IF('A-80 DirEntInv'!AF105&lt;&gt;"",'A-80 DirEntInv'!AF105,IF(INDIRECT(ADDRESS(SumRef!BV112,SumRef!BV$16,,,SumRef!$B$8))="","",INDIRECT(ADDRESS(SumRef!BV112,SumRef!BV$16,,,SumRef!$B$8))))</f>
        <v/>
      </c>
      <c r="AG106" s="1105" t="str">
        <f ca="1">IF('A-80 DirEntInv'!AG105&lt;&gt;"",'A-80 DirEntInv'!AG105,IF(INDIRECT(ADDRESS(SumRef!BW112,SumRef!BW$16,,,SumRef!$B$8))="","",INDIRECT(ADDRESS(SumRef!BW112,SumRef!BW$16,,,SumRef!$B$8))))</f>
        <v/>
      </c>
      <c r="AH106" s="1357" t="str">
        <f ca="1">IF('A-80 DirEntInv'!AH105&lt;&gt;"",'A-80 DirEntInv'!AH105,IF(INDIRECT(ADDRESS(SumRef!BX112,SumRef!BX$16,,,SumRef!$B$8))="","",INDIRECT(ADDRESS(SumRef!BX112,SumRef!BX$16,,,SumRef!$B$8))))</f>
        <v/>
      </c>
      <c r="AK106" s="1041" t="str">
        <f>Codes!$C$162</f>
        <v>CR - Commuter Rail (PT)</v>
      </c>
      <c r="AL106" s="1042" t="str">
        <f>Valid!$B$89</f>
        <v>Third Rail/Power Distribution</v>
      </c>
      <c r="AM106" s="1108"/>
      <c r="AN106" s="1042"/>
      <c r="AO106" s="1108"/>
      <c r="AP106" s="1042"/>
      <c r="AQ106" s="1147" t="str">
        <f>IF('A-80 DirEntInv'!AQ105&lt;&gt;"",'A-80 DirEntInv'!AQ105,IF(AK106=summaryref2!B23,summaryref2!G23,IF(Summary!AK106=summaryref2!B37,summaryref2!G37,IF(AK106=summaryref2!B51,summaryref2!G51,IF(AK106=summaryref2!B65,summaryref2!G65,IF(AK106=summaryref2!B79,summaryref2!G79,IF(AK106=summaryref2!B93,summaryref2!G93,IF(AK106=summaryref2!B107,summaryref2!G107,IF(AK106=summaryref2!B121,summaryref2!G121,IF(AK106=summaryref2!B135,summaryref2!G135,IF(AK106=summaryref2!B149,summaryref2!G149,"")))))))))))</f>
        <v/>
      </c>
      <c r="AR106" s="1147" t="str">
        <f>IF('A-80 DirEntInv'!AR105&lt;&gt;"",'A-80 DirEntInv'!AR105,IF(AK106=summaryref2!B23,summaryref2!H23,IF(Summary!AK106=summaryref2!B37,summaryref2!H37,IF(AK106=summaryref2!B51,summaryref2!H51,IF(AK106=summaryref2!B65,summaryref2!H65,IF(AK106=summaryref2!B79,summaryref2!H79,IF(AK106=summaryref2!B93,summaryref2!H93,IF(AK106=summaryref2!B107,summaryref2!H107,IF(AK106=summaryref2!B121,summaryref2!H121,IF(AK106=summaryref2!B135,summaryref2!H135,IF(AK106=summaryref2!B149,summaryref2!H149,"")))))))))))</f>
        <v/>
      </c>
      <c r="AS106" s="1110" t="str">
        <f>IF('A-80 DirEntInv'!AS105&lt;&gt;"",'A-80 DirEntInv'!AS105,IF(AK106=summaryref2!B23,summaryref2!I23,IF(Summary!AK106=summaryref2!B37,summaryref2!I37,IF(AK106=summaryref2!B51,summaryref2!I51,IF(AK106=summaryref2!B65,summaryref2!I65,IF(AK106=summaryref2!B79,summaryref2!I79,IF(AK106=summaryref2!B93,summaryref2!I93,IF(AK106=summaryref2!B107,summaryref2!I107,IF(AK106=summaryref2!B121,summaryref2!I121,IF(AK106=summaryref2!B135,summaryref2!I135,IF(AK106=summaryref2!B149,summaryref2!I149,"")))))))))))</f>
        <v/>
      </c>
      <c r="AT106" s="1110" t="str">
        <f>IF('A-80 DirEntInv'!AT105&lt;&gt;"",'A-80 DirEntInv'!AT105,IF(AK106=summaryref2!B23,summaryref2!J23,IF(Summary!AK106=summaryref2!B37,summaryref2!J37,IF(AK106=summaryref2!B51,summaryref2!J51,IF(AK106=summaryref2!B65,summaryref2!J65,IF(AK106=summaryref2!B79,summaryref2!J79,IF(AK106=summaryref2!B93,summaryref2!J93,IF(AK106=summaryref2!B107,summaryref2!J107,IF(AK106=summaryref2!B121,summaryref2!J121,IF(AK106=summaryref2!B135,summaryref2!J135,IF(AK106=summaryref2!B149,summaryref2!J149,"")))))))))))</f>
        <v/>
      </c>
      <c r="AU106" s="1110" t="str">
        <f>IF('A-80 DirEntInv'!AU105&lt;&gt;"",'A-80 DirEntInv'!AU105,IF(AK106=summaryref2!B23,summaryref2!K23,IF(Summary!AK106=summaryref2!B37,summaryref2!K37,IF(AK106=summaryref2!B51,summaryref2!K51,IF(AK106=summaryref2!B65,summaryref2!K65,IF(AK106=summaryref2!B79,summaryref2!K79,IF(AK106=summaryref2!B93,summaryref2!K93,IF(AK106=summaryref2!B107,summaryref2!K107,IF(AK106=summaryref2!B121,summaryref2!K121,IF(AK106=summaryref2!B135,summaryref2!K135,IF(AK106=summaryref2!B149,summaryref2!K149,"")))))))))))</f>
        <v/>
      </c>
      <c r="AV106" s="1110" t="str">
        <f>IF('A-80 DirEntInv'!AV105&lt;&gt;"",'A-80 DirEntInv'!AV105,IF(AK106=summaryref2!B23,summaryref2!L23,IF(Summary!AK106=summaryref2!B37,summaryref2!L37,IF(AK106=summaryref2!B51,summaryref2!L51,IF(AK106=summaryref2!B65,summaryref2!L65,IF(AK106=summaryref2!B79,summaryref2!L79,IF(AK106=summaryref2!B93,summaryref2!L93,IF(AK106=summaryref2!B107,summaryref2!L107,IF(AK106=summaryref2!B121,summaryref2!L121,IF(AK106=summaryref2!B135,summaryref2!L135,IF(AK106=summaryref2!B149,summaryref2!L149,"")))))))))))</f>
        <v/>
      </c>
      <c r="AW106" s="1110" t="str">
        <f>IF('A-80 DirEntInv'!AW105&lt;&gt;"",'A-80 DirEntInv'!AW105,IF(AK106=summaryref2!B23,summaryref2!M23,IF(Summary!AK106=summaryref2!B37,summaryref2!M37,IF(AK106=summaryref2!B51,summaryref2!M51,IF(AK106=summaryref2!B65,summaryref2!M65,IF(AK106=summaryref2!B79,summaryref2!M79,IF(AK106=summaryref2!B93,summaryref2!M93,IF(AK106=summaryref2!B107,summaryref2!M107,IF(AK106=summaryref2!B121,summaryref2!M121,IF(AK106=summaryref2!B135,summaryref2!M135,IF(AK106=summaryref2!B149,summaryref2!M149,"")))))))))))</f>
        <v/>
      </c>
      <c r="AX106" s="1110" t="str">
        <f>IF('A-80 DirEntInv'!AX105&lt;&gt;"",'A-80 DirEntInv'!AX105,IF(AK106=summaryref2!B23,summaryref2!N23,IF(Summary!AK106=summaryref2!B37,summaryref2!N37,IF(AK106=summaryref2!B51,summaryref2!N51,IF(AK106=summaryref2!B65,summaryref2!N65,IF(AK106=summaryref2!B79,summaryref2!N79,IF(AK106=summaryref2!B93,summaryref2!N93,IF(AK106=summaryref2!B107,summaryref2!N107,IF(AK106=summaryref2!B121,summaryref2!N121,IF(AK106=summaryref2!B135,summaryref2!N135,IF(AK106=summaryref2!B149,summaryref2!N149,"")))))))))))</f>
        <v/>
      </c>
      <c r="AY106" s="1110" t="str">
        <f>IF('A-80 DirEntInv'!AY105&lt;&gt;"",'A-80 DirEntInv'!AY105,IF(AK106=summaryref2!B23,summaryref2!O23,IF(Summary!AK106=summaryref2!B37,summaryref2!O37,IF(AK106=summaryref2!B51,summaryref2!O51,IF(AK106=summaryref2!B65,summaryref2!O65,IF(AK106=summaryref2!B79,summaryref2!O79,IF(AK106=summaryref2!B93,summaryref2!O93,IF(AK106=summaryref2!B107,summaryref2!O107,IF(AK106=summaryref2!B121,summaryref2!O121,IF(AK106=summaryref2!B135,summaryref2!O135,IF(AK106=summaryref2!B149,summaryref2!O149,"")))))))))))</f>
        <v/>
      </c>
      <c r="AZ106" s="1110" t="str">
        <f>IF('A-80 DirEntInv'!AZ105&lt;&gt;"",'A-80 DirEntInv'!AZ105,IF(AK106=summaryref2!B23,summaryref2!P23,IF(Summary!AK106=summaryref2!B37,summaryref2!P37,IF(AK106=summaryref2!B51,summaryref2!P51,IF(AK106=summaryref2!B65,summaryref2!P65,IF(AK106=summaryref2!B79,summaryref2!P79,IF(AK106=summaryref2!B93,summaryref2!P93,IF(AK106=summaryref2!B107,summaryref2!P107,IF(AK106=summaryref2!B121,summaryref2!P121,IF(AK106=summaryref2!B135,summaryref2!P135,IF(AK106=summaryref2!B149,summaryref2!P149,"")))))))))))</f>
        <v/>
      </c>
      <c r="BA106" s="1110" t="str">
        <f>IF('A-80 DirEntInv'!BA105&lt;&gt;"",'A-80 DirEntInv'!BA105,IF(AK106=summaryref2!B23,summaryref2!Q23,IF(Summary!AK106=summaryref2!B37,summaryref2!Q37,IF(AK106=summaryref2!B51,summaryref2!Q51,IF(AK106=summaryref2!B65,summaryref2!Q65,IF(AK106=summaryref2!B79,summaryref2!Q79,IF(AK106=summaryref2!B93,summaryref2!Q93,IF(AK106=summaryref2!B107,summaryref2!Q107,IF(AK106=summaryref2!B121,summaryref2!Q121,IF(AK106=summaryref2!B135,summaryref2!Q135,IF(AK106=summaryref2!B149,summaryref2!Q149,"")))))))))))</f>
        <v/>
      </c>
      <c r="BB106" s="1110" t="str">
        <f>IF('A-80 DirEntInv'!BB105&lt;&gt;"",'A-80 DirEntInv'!BB105,IF(AK106=summaryref2!B23,summaryref2!R23,IF(Summary!AK106=summaryref2!B37,summaryref2!R37,IF(AK106=summaryref2!B51,summaryref2!R51,IF(AK106=summaryref2!B65,summaryref2!R65,IF(AK106=summaryref2!B79,summaryref2!R79,IF(AK106=summaryref2!B93,summaryref2!R93,IF(AK106=summaryref2!B107,summaryref2!R107,IF(AK106=summaryref2!B121,summaryref2!R121,IF(AK106=summaryref2!B135,summaryref2!R135,IF(AK106=summaryref2!B149,summaryref2!R149,"")))))))))))</f>
        <v/>
      </c>
      <c r="BC106" s="1110" t="str">
        <f>IF('A-80 DirEntInv'!BC105&lt;&gt;0,'A-80 DirEntInv'!BC105,IF(AK106=summaryref2!B23,summaryref2!S23,IF(Summary!AK106=summaryref2!B37,summaryref2!S37,IF(AK106=summaryref2!B51,summaryref2!S51,IF(AK106=summaryref2!B65,summaryref2!S65,IF(AK106=summaryref2!B79,summaryref2!S79,IF(AK106=summaryref2!B93,summaryref2!S93,IF(AK106=summaryref2!B107,summaryref2!S107,IF(AK106=summaryref2!B121,summaryref2!S121,IF(AK106=summaryref2!B135,summaryref2!S135,IF(AK106=summaryref2!B149,summaryref2!S149,"")))))))))))</f>
        <v/>
      </c>
      <c r="BD106" s="1111" t="str">
        <f>IF('A-80 DirEntInv'!BD105&lt;&gt;"",'A-80 DirEntInv'!BD105,IF(AK106=summaryref2!B23,summaryref2!T23,IF(Summary!AK106=summaryref2!B37,summaryref2!T37,IF(AK106=summaryref2!B51,summaryref2!T51,IF(AK106=summaryref2!B65,summaryref2!T65,IF(AK106=summaryref2!B79,summaryref2!T79,IF(AK106=summaryref2!B93,summaryref2!T93,IF(AK106=summaryref2!B107,summaryref2!T107,IF(AK106=summaryref2!B121,summaryref2!T121,IF(AK106=summaryref2!B135,summaryref2!T135,IF(AK106=summaryref2!B149,summaryref2!T149,"")))))))))))</f>
        <v/>
      </c>
      <c r="BE106" s="1184" t="str">
        <f>IF('A-80 DirEntInv'!BE105&lt;&gt;"",'A-80 DirEntInv'!BE105,IF(AK106=summaryref2!B23,summaryref2!U23,IF(Summary!AK106=summaryref2!B37,summaryref2!U37,IF(AK106=summaryref2!B51,summaryref2!U51,IF(AK106=summaryref2!B65,summaryref2!U65,IF(AK106=summaryref2!B79,summaryref2!U79,IF(AK106=summaryref2!B93,summaryref2!U93,IF(AK106=summaryref2!B107,summaryref2!U107,IF(AK106=summaryref2!B121,summaryref2!U121,IF(AK106=summaryref2!B135,summaryref2!U135,IF(AK106=summaryref2!B149,summaryref2!U149,"")))))))))))</f>
        <v/>
      </c>
      <c r="BF106" s="1432"/>
      <c r="BG106" s="1432"/>
      <c r="BJ106" s="1041" t="str">
        <f>Codes!$C$169</f>
        <v>SR - Streetcar Rail (DO)</v>
      </c>
      <c r="BK106" s="1042" t="str">
        <f>Valid!$B$84</f>
        <v>Half Grand Union</v>
      </c>
      <c r="BL106" s="1375" t="str">
        <f>IF('A-80 DirEntInv'!BL105&lt;&gt;"",'A-80 DirEntInv'!BL105,IF(BJ106=summaryref2!X16,summaryref2!Z16,IF(BJ106=summaryref2!X23,summaryref2!Z23,IF(BJ106=summaryref2!X30,summaryref2!Z30,IF(BJ106=summaryref2!X37,summaryref2!Z37,IF(BJ106=summaryref2!X44,summaryref2!Z44,IF(BJ106=summaryref2!X51,summaryref2!Z51,IF(BJ106=summaryref2!X58,summaryref2!Z58,IF(BJ106=summaryref2!X65,summaryref2!Z65,IF(BJ106=summaryref2!X72,summaryref2!Z72,IF(BJ106=summaryref2!X79,summaryref2!Z79,"")))))))))))</f>
        <v/>
      </c>
      <c r="BM106" s="1042" t="str">
        <f>VLOOKUP(BK106,Valid!$B$80:$C$86,2,FALSE)</f>
        <v>Each</v>
      </c>
      <c r="BN106" s="1209" t="str">
        <f>IF('A-80 DirEntInv'!BN105&lt;&gt;"",'A-80 DirEntInv'!BN105,IF(BJ106=summaryref2!X16,summaryref2!AB16,IF(BJ106=summaryref2!X23,summaryref2!AB23,IF(BJ106=summaryref2!X30,summaryref2!AB30,IF(BJ106=summaryref2!X37,summaryref2!AB37,IF(BJ106=summaryref2!X44,summaryref2!AB44,IF(BJ106=summaryref2!X51,summaryref2!AB51,IF(BJ106=summaryref2!X58,summaryref2!AB58,IF(BJ106=summaryref2!X65,summaryref2!AB65,IF(BJ106=summaryref2!X72,summaryref2!AB72,IF(BJ106=summaryref2!X79,summaryref2!AB79,"")))))))))))</f>
        <v/>
      </c>
      <c r="BO106" s="1116" t="str">
        <f>IF('A-80 DirEntInv'!BO105&lt;&gt;"",'A-80 DirEntInv'!BO105,IF(BJ106=summaryref2!X16,summaryref2!AC16,IF(BJ106=summaryref2!X23,summaryref2!AC23,IF(BJ106=summaryref2!X30,summaryref2!AC30,IF(BJ106=summaryref2!X37,summaryref2!AC37,IF(BJ106=summaryref2!X44,summaryref2!AC44,IF(BJ106=summaryref2!X51,summaryref2!AC51,IF(BJ106=summaryref2!X58,summaryref2!AC58,IF(BJ106=summaryref2!X65,summaryref2!AC65,IF(BJ106=summaryref2!X72,summaryref2!AC72,IF(BJ106=summaryref2!X79,summaryref2!AC79,"")))))))))))</f>
        <v/>
      </c>
      <c r="BP106" s="1384" t="str">
        <f>IF('A-80 DirEntInv'!BP105&lt;&gt;"",'A-80 DirEntInv'!BP105,IF(BJ106=summaryref2!X16,summaryref2!AD16,IF(BJ106=summaryref2!X23,summaryref2!AD23,IF(BJ106=summaryref2!X30,summaryref2!AD30,IF(BJ106=summaryref2!X37,summaryref2!AD37,IF(BJ106=summaryref2!X44,summaryref2!AD44,IF(BJ106=summaryref2!X51,summaryref2!AD51,IF(BJ106=summaryref2!X58,summaryref2!AD58,IF(BJ106=summaryref2!X65,summaryref2!AD65,IF(BJ106=summaryref2!X72,summaryref2!AD72,IF(BJ106=summaryref2!X79,summaryref2!AD79,"")))))))))))</f>
        <v/>
      </c>
      <c r="BS106" s="1472" t="str">
        <f ca="1">IF('A-80 DirEntInv'!BU105&lt;&gt;"",'A-80 DirEntInv'!BU105,IF(INDIRECT(ADDRESS(SumRef!DK112,SumRef!DK$16,,,SumRef!$E$6))="","",INDIRECT(ADDRESS(SumRef!DK112,SumRef!DK$16,,,SumRef!$E$6))))</f>
        <v/>
      </c>
      <c r="BT106" s="1458" t="str">
        <f ca="1">IF('A-80 DirEntInv'!BV105&lt;&gt;"",'A-80 DirEntInv'!BV105,IF(INDIRECT(ADDRESS(SumRef!DL112,SumRef!DL$16,,,SumRef!$E$6))="","",INDIRECT(ADDRESS(SumRef!DL112,SumRef!DL$16,,,SumRef!$E$6))))</f>
        <v/>
      </c>
      <c r="BU106" s="1177" t="str">
        <f ca="1">IF('A-80 DirEntInv'!BW105&lt;&gt;"",'A-80 DirEntInv'!BW105,IF(INDIRECT(ADDRESS(SumRef!DM112,SumRef!DM$16,,,SumRef!$E$6))="","",INDIRECT(ADDRESS(SumRef!DM112,SumRef!DM$16,,,SumRef!$E$6))))</f>
        <v/>
      </c>
      <c r="BV106" s="1460" t="str">
        <f ca="1">IF('A-80 DirEntInv'!BX105&lt;&gt;"",'A-80 DirEntInv'!BX105,IF(INDIRECT(ADDRESS(SumRef!DN112,SumRef!DN$16,,,SumRef!$E$6))="","",INDIRECT(ADDRESS(SumRef!DN112,SumRef!DN$16,,,SumRef!$E$6))))</f>
        <v/>
      </c>
      <c r="BW106" s="1460" t="str">
        <f ca="1">IF('A-80 DirEntInv'!BY105&lt;&gt;"",'A-80 DirEntInv'!BY105,IF(INDIRECT(ADDRESS(SumRef!DO112,SumRef!DO$16,,,SumRef!$E$6))="","",INDIRECT(ADDRESS(SumRef!DO112,SumRef!DO$16,,,SumRef!$E$6))))</f>
        <v/>
      </c>
      <c r="BX106" s="1116" t="str">
        <f ca="1">IF('A-80 DirEntInv'!BZ105&lt;&gt;"",'A-80 DirEntInv'!BZ105,IF(INDIRECT(ADDRESS(SumRef!DP112,SumRef!DP$16,,,SumRef!$E$6))="","",INDIRECT(ADDRESS(SumRef!DP112,SumRef!DP$16,,,SumRef!$E$6))))</f>
        <v/>
      </c>
      <c r="BY106" s="1461" t="str">
        <f ca="1">IF('A-80 DirEntInv'!CA105&lt;&gt;"",'A-80 DirEntInv'!CA105,IF(INDIRECT(ADDRESS(SumRef!DQ112,SumRef!DQ$16,,,SumRef!$E$6))="","",INDIRECT(ADDRESS(SumRef!DQ112,SumRef!DQ$16,,,SumRef!$E$6))))</f>
        <v/>
      </c>
      <c r="BZ106" s="1460" t="str">
        <f ca="1">IF('A-80 DirEntInv'!CB105&lt;&gt;"",'A-80 DirEntInv'!CB105,IF(INDIRECT(ADDRESS(SumRef!DR112,SumRef!DR$16,,,SumRef!$E$6))="","",INDIRECT(ADDRESS(SumRef!DR112,SumRef!DR$16,,,SumRef!$E$6))))</f>
        <v/>
      </c>
      <c r="CA106" s="1462" t="str">
        <f ca="1">IF('A-80 DirEntInv'!CC105&lt;&gt;"",'A-80 DirEntInv'!CC105,IF(INDIRECT(ADDRESS(SumRef!DS112,SumRef!DS$16,,,SumRef!$E$6))="","",INDIRECT(ADDRESS(SumRef!DS112,SumRef!DS$16,,,SumRef!$E$6))))</f>
        <v/>
      </c>
      <c r="CD106" s="1160" t="str">
        <f ca="1">IF('A-80 DirEntInv'!CF105&lt;&gt;"",'A-80 DirEntInv'!CF105,IF(INDIRECT(ADDRESS(SumRef!DV112,SumRef!DV$16,,,SumRef!$E$7))="","",INDIRECT(ADDRESS(SumRef!DV112,SumRef!DV$16,,,SumRef!$E$7))))</f>
        <v/>
      </c>
      <c r="CE106" s="1167" t="str">
        <f ca="1">IF('A-80 DirEntInv'!CG105&lt;&gt;"",'A-80 DirEntInv'!CG105,IF(INDIRECT(ADDRESS(SumRef!DW112,SumRef!DW$16,,,SumRef!$E$7))="","",INDIRECT(ADDRESS(SumRef!DW112,SumRef!DW$16,,,SumRef!$E$7))))</f>
        <v/>
      </c>
      <c r="CF106" s="1167" t="str">
        <f ca="1">IF('A-80 DirEntInv'!CH105&lt;&gt;"",'A-80 DirEntInv'!CH105,IF(INDIRECT(ADDRESS(SumRef!DX112,SumRef!DX$16,,,SumRef!$E$7))="","",INDIRECT(ADDRESS(SumRef!DX112,SumRef!DX$16,,,SumRef!$E$7))))</f>
        <v/>
      </c>
      <c r="CG106" s="1167" t="str">
        <f ca="1">IF('A-80 DirEntInv'!CI105&lt;&gt;"",'A-80 DirEntInv'!CI105,IF(INDIRECT(ADDRESS(SumRef!DY112,SumRef!DY$16,,,SumRef!$E$7))="","",INDIRECT(ADDRESS(SumRef!DY112,SumRef!DY$16,,,SumRef!$E$7))))</f>
        <v/>
      </c>
      <c r="CH106" s="1167" t="str">
        <f ca="1">IF('A-80 DirEntInv'!CJ105&lt;&gt;"",'A-80 DirEntInv'!CJ105,IF(INDIRECT(ADDRESS(SumRef!DZ112,SumRef!DZ$16,,,SumRef!$E$7))="","",INDIRECT(ADDRESS(SumRef!DZ112,SumRef!DZ$16,,,SumRef!$E$7))))</f>
        <v/>
      </c>
      <c r="CI106" s="1167" t="str">
        <f ca="1">IF('A-80 DirEntInv'!CK105&lt;&gt;"",'A-80 DirEntInv'!CK105,IF(INDIRECT(ADDRESS(SumRef!EA112,SumRef!EA$16,,,SumRef!$E$7))="","",INDIRECT(ADDRESS(SumRef!EA112,SumRef!EA$16,,,SumRef!$E$7))))</f>
        <v/>
      </c>
      <c r="CJ106" s="1114" t="str">
        <f ca="1">IF('A-80 DirEntInv'!CL105&lt;&gt;"",'A-80 DirEntInv'!CL105,IF(INDIRECT(ADDRESS(SumRef!EB112,SumRef!EB$16,,,SumRef!$E$7))="","",INDIRECT(ADDRESS(SumRef!EB112,SumRef!EB$16,,,SumRef!$E$7))))</f>
        <v/>
      </c>
      <c r="CK106" s="1114" t="str">
        <f ca="1">IF('A-80 DirEntInv'!CM105&lt;&gt;"",'A-80 DirEntInv'!CM105,IF(INDIRECT(ADDRESS(SumRef!EC112,SumRef!EC$16,,,SumRef!$E$7))="","",INDIRECT(ADDRESS(SumRef!EC112,SumRef!EC$16,,,SumRef!$E$7))))</f>
        <v/>
      </c>
      <c r="CL106" s="1113" t="str">
        <f ca="1">IF('A-80 DirEntInv'!CO105&lt;&gt;"",'A-80 DirEntInv'!CO105,IF(INDIRECT(ADDRESS(SumRef!ED112,SumRef!ED$16,,,SumRef!$E$7))="","",INDIRECT(ADDRESS(SumRef!ED112,SumRef!ED$16,,,SumRef!$E$7))))</f>
        <v/>
      </c>
      <c r="CM106" s="1114" t="str">
        <f ca="1">IF('A-80 DirEntInv'!CP105&lt;&gt;"",'A-80 DirEntInv'!CP105,IF(INDIRECT(ADDRESS(SumRef!EE112,SumRef!EE$16,,,SumRef!$E$7))="","",INDIRECT(ADDRESS(SumRef!EE112,SumRef!EE$16,,,SumRef!$E$7))))</f>
        <v/>
      </c>
      <c r="CN106" s="1114" t="str">
        <f ca="1">IF('A-80 DirEntInv'!CQ105&lt;&gt;"",'A-80 DirEntInv'!CQ105,IF(INDIRECT(ADDRESS(SumRef!EF112,SumRef!EF$16,,,SumRef!$E$7))="","",INDIRECT(ADDRESS(SumRef!EF112,SumRef!EF$16,,,SumRef!$E$7))))</f>
        <v/>
      </c>
      <c r="CO106" s="1113" t="str">
        <f ca="1">IF('A-80 DirEntInv'!CR105&lt;&gt;"",'A-80 DirEntInv'!CR105,IF(INDIRECT(ADDRESS(SumRef!EG112,SumRef!EG$16,,,SumRef!$E$7))="","",INDIRECT(ADDRESS(SumRef!EG112,SumRef!EG$16,,,SumRef!$E$7))))</f>
        <v/>
      </c>
      <c r="CP106" s="1114" t="str">
        <f ca="1">IF('A-80 DirEntInv'!CS105&lt;&gt;"",'A-80 DirEntInv'!CS105,IF(INDIRECT(ADDRESS(SumRef!EH112,SumRef!EH$16,,,SumRef!$E$7))="","",INDIRECT(ADDRESS(SumRef!EH112,SumRef!EH$16,,,SumRef!$E$7))))</f>
        <v/>
      </c>
      <c r="CQ106" s="1346" t="str">
        <f ca="1">IF('A-80 DirEntInv'!CT105&lt;&gt;"",'A-80 DirEntInv'!CT105,IF(INDIRECT(ADDRESS(SumRef!EI112,SumRef!EI$16,,,SumRef!$E$7))="","",INDIRECT(ADDRESS(SumRef!EI112,SumRef!EI$16,,,SumRef!$E$7))))</f>
        <v/>
      </c>
      <c r="CR106" s="1113" t="str">
        <f ca="1">IF('A-80 DirEntInv'!CU105&lt;&gt;"",'A-80 DirEntInv'!CU105,IF(INDIRECT(ADDRESS(SumRef!EJ112,SumRef!EJ$16,,,SumRef!$E$7))="","",INDIRECT(ADDRESS(SumRef!EJ112,SumRef!EJ$16,,,SumRef!$E$7))))</f>
        <v/>
      </c>
      <c r="CS106" s="1346" t="str">
        <f ca="1">IF('A-80 DirEntInv'!CV105&lt;&gt;"",'A-80 DirEntInv'!CV105,IF(INDIRECT(ADDRESS(SumRef!EM112,SumRef!EM$16,,,SumRef!$E$7))="","",INDIRECT(ADDRESS(SumRef!EM112,SumRef!EM$16,,,SumRef!$E$7))))</f>
        <v/>
      </c>
      <c r="CT106" s="1113" t="str">
        <f ca="1">IF('A-80 DirEntInv'!CW105&lt;&gt;"",'A-80 DirEntInv'!CW105,IF(INDIRECT(ADDRESS(SumRef!EN112,SumRef!EN$16,,,SumRef!$E$7))="","",INDIRECT(ADDRESS(SumRef!EN112,SumRef!EN$16,,,SumRef!$E$7))))</f>
        <v/>
      </c>
      <c r="CU106" s="1113" t="str">
        <f ca="1">IF('A-80 DirEntInv'!CX105&lt;&gt;"",'A-80 DirEntInv'!CX105,IF(INDIRECT(ADDRESS(SumRef!EO112,SumRef!EO$16,,,SumRef!$E$7))="","",INDIRECT(ADDRESS(SumRef!EO112,SumRef!EO$16,,,SumRef!$E$7))))</f>
        <v/>
      </c>
      <c r="CV106" s="1113" t="str">
        <f ca="1">IF('A-80 DirEntInv'!CY105&lt;&gt;"",'A-80 DirEntInv'!CY105,IF(INDIRECT(ADDRESS(SumRef!EP112,SumRef!EP$16,,,SumRef!$E$7))="","",INDIRECT(ADDRESS(SumRef!EP112,SumRef!EP$16,,,SumRef!$E$7))))</f>
        <v/>
      </c>
      <c r="CW106" s="1114" t="str">
        <f ca="1">IF('A-80 DirEntInv'!CZ105&lt;&gt;"",'A-80 DirEntInv'!CZ105,IF(INDIRECT(ADDRESS(SumRef!ES112,SumRef!ES$16,,,SumRef!$E$7))="","",INDIRECT(ADDRESS(SumRef!ES112,SumRef!ES$16,,,SumRef!$E$7))))</f>
        <v/>
      </c>
      <c r="CX106" s="1167" t="str">
        <f ca="1">IF('A-80 DirEntInv'!DA105&lt;&gt;"",'A-80 DirEntInv'!DA105,IF(INDIRECT(ADDRESS(SumRef!ET112,SumRef!ET$16,,,SumRef!$E$7))="","",INDIRECT(ADDRESS(SumRef!ET112,SumRef!ET$16,,,SumRef!$E$7))))</f>
        <v/>
      </c>
      <c r="CY106" s="1167" t="str">
        <f ca="1">IF('A-80 DirEntInv'!DB105&lt;&gt;"",'A-80 DirEntInv'!DB105,IF(INDIRECT(ADDRESS(SumRef!EU112,SumRef!EU$16,,,SumRef!$E$7))="","",INDIRECT(ADDRESS(SumRef!EU112,SumRef!EU$16,,,SumRef!$E$7))))</f>
        <v/>
      </c>
      <c r="CZ106" s="1167" t="b">
        <f ca="1">IF('A-80 DirEntInv'!DC105&lt;&gt;"",'A-80 DirEntInv'!DC105,IF(INDIRECT(ADDRESS(SumRef!EV112,SumRef!EV$16,,,SumRef!$E$7))="","",INDIRECT(ADDRESS(SumRef!EV112,SumRef!EV$16,,,SumRef!$E$7))))</f>
        <v>0</v>
      </c>
      <c r="DA106" s="1373" t="str">
        <f ca="1">IF('A-80 DirEntInv'!DD105&lt;&gt;"",'A-80 DirEntInv'!DD105,IF(INDIRECT(ADDRESS(SumRef!EW112,SumRef!EW$16,,,SumRef!$E$7))="","",INDIRECT(ADDRESS(SumRef!EW112,SumRef!EW$16,,,SumRef!$E$7))))</f>
        <v/>
      </c>
      <c r="DB106" s="1373" t="b">
        <f ca="1">IF('A-80 DirEntInv'!DE105&lt;&gt;"",'A-80 DirEntInv'!DE105,IF(INDIRECT(ADDRESS(SumRef!EX112,SumRef!EX$16,,,SumRef!$E$7))="","",INDIRECT(ADDRESS(SumRef!EX112,SumRef!EX$16,,,SumRef!$E$7))))</f>
        <v>0</v>
      </c>
      <c r="DC106" s="1114" t="b">
        <f ca="1">IF('A-80 DirEntInv'!DF105&lt;&gt;"",'A-80 DirEntInv'!DF105,IF(INDIRECT(ADDRESS(SumRef!EY112,SumRef!EY$16,,,SumRef!$E$7))="","",INDIRECT(ADDRESS(SumRef!EY112,SumRef!EY$16,,,SumRef!$E$7))))</f>
        <v>0</v>
      </c>
      <c r="DD106" s="1115" t="str">
        <f ca="1">IF('A-80 DirEntInv'!DG105&lt;&gt;"",'A-80 DirEntInv'!DG105,IF(INDIRECT(ADDRESS(SumRef!EZ112,SumRef!EZ$16,,,SumRef!$E$7))="","",INDIRECT(ADDRESS(SumRef!EZ112,SumRef!EZ$16,,,SumRef!$E$7))))</f>
        <v/>
      </c>
    </row>
    <row r="107" spans="1:108" s="588" customFormat="1" x14ac:dyDescent="0.2">
      <c r="A107" s="589">
        <f t="shared" si="1"/>
        <v>97</v>
      </c>
      <c r="B107" s="1155" t="str">
        <f ca="1">IF('A-80 DirEntInv'!B106&lt;&gt;"",'A-80 DirEntInv'!B106,IF(INDIRECT(ADDRESS(SumRef!AQ113,SumRef!AQ$16,,,SumRef!$B$7))="","",INDIRECT(ADDRESS(SumRef!AQ113,SumRef!AQ$16,,,SumRef!$B$7))))</f>
        <v/>
      </c>
      <c r="C107" s="1097" t="str">
        <f ca="1">IF('A-80 DirEntInv'!C106&lt;&gt;"",'A-80 DirEntInv'!C106,IF(INDIRECT(ADDRESS(SumRef!AR113,SumRef!AR$16,,,SumRef!$B$7))="","",INDIRECT(ADDRESS(SumRef!AR113,SumRef!AR$16,,,SumRef!$B$7))))</f>
        <v/>
      </c>
      <c r="D107" s="1097" t="str">
        <f ca="1">IF('A-80 DirEntInv'!D106&lt;&gt;"",'A-80 DirEntInv'!D106,IF(INDIRECT(ADDRESS(SumRef!AS113,SumRef!AS$16,,,SumRef!$B$7))="","",INDIRECT(ADDRESS(SumRef!AS113,SumRef!AS$16,,,SumRef!$B$7))))</f>
        <v/>
      </c>
      <c r="E107" s="1097" t="str">
        <f ca="1">IF('A-80 DirEntInv'!E106&lt;&gt;"",'A-80 DirEntInv'!E106,IF(INDIRECT(ADDRESS(SumRef!AT113,SumRef!AT$16,,,SumRef!$B$7))="","",INDIRECT(ADDRESS(SumRef!AT113,SumRef!AT$16,,,SumRef!$B$7))))</f>
        <v/>
      </c>
      <c r="F107" s="1097" t="str">
        <f ca="1">IF('A-80 DirEntInv'!F106&lt;&gt;"",'A-80 DirEntInv'!F106,IF(INDIRECT(ADDRESS(SumRef!AU113,SumRef!AU$16,,,SumRef!$B$7))="","",INDIRECT(ADDRESS(SumRef!AU113,SumRef!AU$16,,,SumRef!$B$7))))</f>
        <v/>
      </c>
      <c r="G107" s="1158" t="str">
        <f ca="1">IF('A-80 DirEntInv'!G106&lt;&gt;"",'A-80 DirEntInv'!G106,IF(INDIRECT(ADDRESS(SumRef!AV113,SumRef!AV$16,,,SumRef!$B$7))="","",INDIRECT(ADDRESS(SumRef!AV113,SumRef!AV$16,,,SumRef!$B$7))))</f>
        <v/>
      </c>
      <c r="H107" s="1097" t="str">
        <f ca="1">IF('A-80 DirEntInv'!H106&lt;&gt;"",'A-80 DirEntInv'!H106,IF(INDIRECT(ADDRESS(SumRef!AW113,SumRef!AW$16,,,SumRef!$B$7))="","",INDIRECT(ADDRESS(SumRef!AW113,SumRef!AW$16,,,SumRef!$B$7))))</f>
        <v/>
      </c>
      <c r="I107" s="1097" t="str">
        <f ca="1">IF('A-80 DirEntInv'!I106&lt;&gt;"",'A-80 DirEntInv'!I106,IF(INDIRECT(ADDRESS(SumRef!AX113,SumRef!AX$16,,,SumRef!$B$7))="","",INDIRECT(ADDRESS(SumRef!AX113,SumRef!AX$16,,,SumRef!$B$7))))</f>
        <v/>
      </c>
      <c r="J107" s="1098" t="str">
        <f ca="1">IF('A-80 DirEntInv'!J106&lt;&gt;"",'A-80 DirEntInv'!J106,IF(INDIRECT(ADDRESS(SumRef!AY113,SumRef!AY$16,,,SumRef!$B$7))="","",INDIRECT(ADDRESS(SumRef!AY113,SumRef!AY$16,,,SumRef!$B$7))))</f>
        <v/>
      </c>
      <c r="K107" s="1099" t="str">
        <f ca="1">IF('A-80 DirEntInv'!K106&lt;&gt;"",'A-80 DirEntInv'!K106,IF(INDIRECT(ADDRESS(SumRef!AZ113,SumRef!AZ$16,,,SumRef!$B$7))="","",INDIRECT(ADDRESS(SumRef!AZ113,SumRef!AZ$16,,,SumRef!$B$7))))</f>
        <v/>
      </c>
      <c r="L107" s="1100" t="str">
        <f ca="1">IF('A-80 DirEntInv'!L106&lt;&gt;"",'A-80 DirEntInv'!L106,IF(INDIRECT(ADDRESS(SumRef!BA113,SumRef!BA$16,,,SumRef!$B$7))="","",INDIRECT(ADDRESS(SumRef!BA113,SumRef!BA$16,,,SumRef!$B$7))))</f>
        <v/>
      </c>
      <c r="M107" s="1101" t="str">
        <f ca="1">IF('A-80 DirEntInv'!M106&lt;&gt;"",'A-80 DirEntInv'!M106,IF(INDIRECT(ADDRESS(SumRef!BB113,SumRef!BB$16,,,SumRef!$B$7))="","",INDIRECT(ADDRESS(SumRef!BB113,SumRef!BB$16,,,SumRef!$B$7))))</f>
        <v/>
      </c>
      <c r="N107" s="1098" t="str">
        <f ca="1">IF('A-80 DirEntInv'!N106&lt;&gt;"",'A-80 DirEntInv'!N106,IF(INDIRECT(ADDRESS(SumRef!BC113,SumRef!BC$16,,,SumRef!$B$7))="","",INDIRECT(ADDRESS(SumRef!BC113,SumRef!BC$16,,,SumRef!$B$7))))</f>
        <v/>
      </c>
      <c r="O107" s="1102" t="str">
        <f ca="1">IF('A-80 DirEntInv'!O106&lt;&gt;"",'A-80 DirEntInv'!O106,IF(INDIRECT(ADDRESS(SumRef!BD113,SumRef!BD$16,,,SumRef!$B$7))="","",INDIRECT(ADDRESS(SumRef!BD113,SumRef!BD$16,,,SumRef!$B$7))))</f>
        <v/>
      </c>
      <c r="Q107" s="589"/>
      <c r="R107" s="1103" t="str">
        <f ca="1">IF('A-80 DirEntInv'!R106&lt;&gt;"",'A-80 DirEntInv'!R106,IF(INDIRECT(ADDRESS(SumRef!BH113,SumRef!BH$16,,,SumRef!$B$8))="","",INDIRECT(ADDRESS(SumRef!BH113,SumRef!BH$16,,,SumRef!$B$8))))</f>
        <v/>
      </c>
      <c r="S107" s="1104" t="str">
        <f ca="1">IF('A-80 DirEntInv'!S106&lt;&gt;"",'A-80 DirEntInv'!S106,IF(INDIRECT(ADDRESS(SumRef!BI113,SumRef!BI$16,,,SumRef!$B$8))="","",INDIRECT(ADDRESS(SumRef!BI113,SumRef!BI$16,,,SumRef!$B$8))))</f>
        <v/>
      </c>
      <c r="T107" s="1104" t="str">
        <f ca="1">IF('A-80 DirEntInv'!T106&lt;&gt;"",'A-80 DirEntInv'!T106,IF(INDIRECT(ADDRESS(SumRef!BJ113,SumRef!BJ$16,,,SumRef!$B$8))="","",INDIRECT(ADDRESS(SumRef!BJ113,SumRef!BJ$16,,,SumRef!$B$8))))</f>
        <v/>
      </c>
      <c r="U107" s="1104" t="str">
        <f ca="1">IF('A-80 DirEntInv'!U106&lt;&gt;"",'A-80 DirEntInv'!U106,IF(INDIRECT(ADDRESS(SumRef!BK113,SumRef!BK$16,,,SumRef!$B$8))="","",INDIRECT(ADDRESS(SumRef!BK113,SumRef!BK$16,,,SumRef!$B$8))))</f>
        <v/>
      </c>
      <c r="V107" s="1104" t="str">
        <f ca="1">IF('A-80 DirEntInv'!V106&lt;&gt;"",'A-80 DirEntInv'!V106,IF(INDIRECT(ADDRESS(SumRef!BL113,SumRef!BL$16,,,SumRef!$B$8))="","",INDIRECT(ADDRESS(SumRef!BL113,SumRef!BL$16,,,SumRef!$B$8))))</f>
        <v/>
      </c>
      <c r="W107" s="1354" t="str">
        <f ca="1">IF('A-80 DirEntInv'!W106&lt;&gt;"",'A-80 DirEntInv'!W106,IF(INDIRECT(ADDRESS(SumRef!BM113,SumRef!BM$16,,,SumRef!$B$8))="","",INDIRECT(ADDRESS(SumRef!BM113,SumRef!BM$16,,,SumRef!$B$8))))</f>
        <v/>
      </c>
      <c r="X107" s="1203" t="str">
        <f ca="1">IF('A-80 DirEntInv'!X106&lt;&gt;"",'A-80 DirEntInv'!X106,IF(INDIRECT(ADDRESS(SumRef!BN113,SumRef!BN$16,,,SumRef!$B$8))="","",INDIRECT(ADDRESS(SumRef!BN113,SumRef!BN$16,,,SumRef!$B$8))))</f>
        <v/>
      </c>
      <c r="Y107" s="1203" t="str">
        <f ca="1">IF('A-80 DirEntInv'!Y106&lt;&gt;"",'A-80 DirEntInv'!Y106,IF(INDIRECT(ADDRESS(SumRef!BO113,SumRef!BO$16,,,SumRef!$B$8))="","",INDIRECT(ADDRESS(SumRef!BO113,SumRef!BO$16,,,SumRef!$B$8))))</f>
        <v/>
      </c>
      <c r="Z107" s="1104" t="str">
        <f ca="1">IF('A-80 DirEntInv'!Z106&lt;&gt;"",'A-80 DirEntInv'!Z106,IF(INDIRECT(ADDRESS(SumRef!BP113,SumRef!BP$16,,,SumRef!$B$8))="","",INDIRECT(ADDRESS(SumRef!BP113,SumRef!BP$16,,,SumRef!$B$8))))</f>
        <v/>
      </c>
      <c r="AA107" s="1104" t="str">
        <f ca="1">IF('A-80 DirEntInv'!AA106&lt;&gt;"",'A-80 DirEntInv'!AA106,IF(INDIRECT(ADDRESS(SumRef!BQ113,SumRef!BQ$16,,,SumRef!$B$8))="","",INDIRECT(ADDRESS(SumRef!BQ113,SumRef!BQ$16,,,SumRef!$B$8))))</f>
        <v/>
      </c>
      <c r="AB107" s="1106" t="str">
        <f ca="1">IF('A-80 DirEntInv'!AB106&lt;&gt;"",'A-80 DirEntInv'!AB106,IF(INDIRECT(ADDRESS(SumRef!BR113,SumRef!BR$16,,,SumRef!$B$8))="","",INDIRECT(ADDRESS(SumRef!BR113,SumRef!BR$16,,,SumRef!$B$8))))</f>
        <v/>
      </c>
      <c r="AC107" s="1107" t="str">
        <f ca="1">IF('A-80 DirEntInv'!AC106&lt;&gt;"",'A-80 DirEntInv'!AC106,IF(INDIRECT(ADDRESS(SumRef!BS113,SumRef!BS$16,,,SumRef!$B$8))="","",INDIRECT(ADDRESS(SumRef!BS113,SumRef!BS$16,,,SumRef!$B$8))))</f>
        <v/>
      </c>
      <c r="AD107" s="1349" t="str">
        <f ca="1">IF('A-80 DirEntInv'!AD106&lt;&gt;"",'A-80 DirEntInv'!AD106,IF(INDIRECT(ADDRESS(SumRef!BT113,SumRef!BT$16,,,SumRef!$B$8))="","",INDIRECT(ADDRESS(SumRef!BT113,SumRef!BT$16,,,SumRef!$B$8))))</f>
        <v/>
      </c>
      <c r="AE107" s="1137" t="str">
        <f ca="1">IF('A-80 DirEntInv'!AE106&lt;&gt;"",'A-80 DirEntInv'!AE106,IF(INDIRECT(ADDRESS(SumRef!BU113,SumRef!BU$16,,,SumRef!$B$8))="","",INDIRECT(ADDRESS(SumRef!BU113,SumRef!BU$16,,,SumRef!$B$8))))</f>
        <v/>
      </c>
      <c r="AF107" s="1346" t="str">
        <f ca="1">IF('A-80 DirEntInv'!AF106&lt;&gt;"",'A-80 DirEntInv'!AF106,IF(INDIRECT(ADDRESS(SumRef!BV113,SumRef!BV$16,,,SumRef!$B$8))="","",INDIRECT(ADDRESS(SumRef!BV113,SumRef!BV$16,,,SumRef!$B$8))))</f>
        <v/>
      </c>
      <c r="AG107" s="1105" t="str">
        <f ca="1">IF('A-80 DirEntInv'!AG106&lt;&gt;"",'A-80 DirEntInv'!AG106,IF(INDIRECT(ADDRESS(SumRef!BW113,SumRef!BW$16,,,SumRef!$B$8))="","",INDIRECT(ADDRESS(SumRef!BW113,SumRef!BW$16,,,SumRef!$B$8))))</f>
        <v/>
      </c>
      <c r="AH107" s="1357" t="str">
        <f ca="1">IF('A-80 DirEntInv'!AH106&lt;&gt;"",'A-80 DirEntInv'!AH106,IF(INDIRECT(ADDRESS(SumRef!BX113,SumRef!BX$16,,,SumRef!$B$8))="","",INDIRECT(ADDRESS(SumRef!BX113,SumRef!BX$16,,,SumRef!$B$8))))</f>
        <v/>
      </c>
      <c r="AK107" s="1041" t="str">
        <f>Codes!$C$162</f>
        <v>CR - Commuter Rail (PT)</v>
      </c>
      <c r="AL107" s="1042" t="str">
        <f>Valid!$B$90</f>
        <v>Overhead Contact System/Power Distribution</v>
      </c>
      <c r="AM107" s="1108"/>
      <c r="AN107" s="1042"/>
      <c r="AO107" s="1108"/>
      <c r="AP107" s="1042"/>
      <c r="AQ107" s="1147" t="str">
        <f>IF('A-80 DirEntInv'!AQ106&lt;&gt;"",'A-80 DirEntInv'!AQ106,IF(AK107=summaryref2!B24,summaryref2!G24,IF(Summary!AK107=summaryref2!B38,summaryref2!G38,IF(AK107=summaryref2!B52,summaryref2!G52,IF(AK107=summaryref2!B66,summaryref2!G66,IF(AK107=summaryref2!B80,summaryref2!G80,IF(AK107=summaryref2!B94,summaryref2!G94,IF(AK107=summaryref2!B108,summaryref2!G108,IF(AK107=summaryref2!B122,summaryref2!G122,IF(AK107=summaryref2!B136,summaryref2!G136,IF(AK107=summaryref2!B150,summaryref2!G150,"")))))))))))</f>
        <v/>
      </c>
      <c r="AR107" s="1147" t="str">
        <f>IF('A-80 DirEntInv'!AR106&lt;&gt;"",'A-80 DirEntInv'!AR106,IF(AK107=summaryref2!B24,summaryref2!H24,IF(Summary!AK107=summaryref2!B38,summaryref2!H38,IF(AK107=summaryref2!B52,summaryref2!H52,IF(AK107=summaryref2!B66,summaryref2!H66,IF(AK107=summaryref2!B80,summaryref2!H80,IF(AK107=summaryref2!B94,summaryref2!H94,IF(AK107=summaryref2!B108,summaryref2!H108,IF(AK107=summaryref2!B122,summaryref2!H122,IF(AK107=summaryref2!B136,summaryref2!H136,IF(AK107=summaryref2!B150,summaryref2!H150,"")))))))))))</f>
        <v/>
      </c>
      <c r="AS107" s="1110" t="str">
        <f>IF('A-80 DirEntInv'!AS106&lt;&gt;"",'A-80 DirEntInv'!AS106,IF(AK107=summaryref2!B24,summaryref2!I24,IF(Summary!AK107=summaryref2!B38,summaryref2!I38,IF(AK107=summaryref2!B52,summaryref2!I52,IF(AK107=summaryref2!B66,summaryref2!I66,IF(AK107=summaryref2!B80,summaryref2!I80,IF(AK107=summaryref2!B94,summaryref2!I94,IF(AK107=summaryref2!B108,summaryref2!I108,IF(AK107=summaryref2!B122,summaryref2!I122,IF(AK107=summaryref2!B136,summaryref2!I136,IF(AK107=summaryref2!B150,summaryref2!I150,"")))))))))))</f>
        <v/>
      </c>
      <c r="AT107" s="1110" t="str">
        <f>IF('A-80 DirEntInv'!AT106&lt;&gt;"",'A-80 DirEntInv'!AT106,IF(AK107=summaryref2!B24,summaryref2!J24,IF(Summary!AK107=summaryref2!B38,summaryref2!J38,IF(AK107=summaryref2!B52,summaryref2!J52,IF(AK107=summaryref2!B66,summaryref2!J66,IF(AK107=summaryref2!B80,summaryref2!J80,IF(AK107=summaryref2!B94,summaryref2!J94,IF(AK107=summaryref2!B108,summaryref2!J108,IF(AK107=summaryref2!B122,summaryref2!J122,IF(AK107=summaryref2!B136,summaryref2!J136,IF(AK107=summaryref2!B150,summaryref2!J150,"")))))))))))</f>
        <v/>
      </c>
      <c r="AU107" s="1110" t="str">
        <f>IF('A-80 DirEntInv'!AU106&lt;&gt;"",'A-80 DirEntInv'!AU106,IF(AK107=summaryref2!B24,summaryref2!K24,IF(Summary!AK107=summaryref2!B38,summaryref2!K38,IF(AK107=summaryref2!B52,summaryref2!K52,IF(AK107=summaryref2!B66,summaryref2!K66,IF(AK107=summaryref2!B80,summaryref2!K80,IF(AK107=summaryref2!B94,summaryref2!K94,IF(AK107=summaryref2!B108,summaryref2!K108,IF(AK107=summaryref2!B122,summaryref2!K122,IF(AK107=summaryref2!B136,summaryref2!K136,IF(AK107=summaryref2!B150,summaryref2!K150,"")))))))))))</f>
        <v/>
      </c>
      <c r="AV107" s="1110" t="str">
        <f>IF('A-80 DirEntInv'!AV106&lt;&gt;"",'A-80 DirEntInv'!AV106,IF(AK107=summaryref2!B24,summaryref2!L24,IF(Summary!AK107=summaryref2!B38,summaryref2!L38,IF(AK107=summaryref2!B52,summaryref2!L52,IF(AK107=summaryref2!B66,summaryref2!L66,IF(AK107=summaryref2!B80,summaryref2!L80,IF(AK107=summaryref2!B94,summaryref2!L94,IF(AK107=summaryref2!B108,summaryref2!L108,IF(AK107=summaryref2!B122,summaryref2!L122,IF(AK107=summaryref2!B136,summaryref2!L136,IF(AK107=summaryref2!B150,summaryref2!L150,"")))))))))))</f>
        <v/>
      </c>
      <c r="AW107" s="1110" t="str">
        <f>IF('A-80 DirEntInv'!AW106&lt;&gt;"",'A-80 DirEntInv'!AW106,IF(AK107=summaryref2!B24,summaryref2!M24,IF(Summary!AK107=summaryref2!B38,summaryref2!M38,IF(AK107=summaryref2!B52,summaryref2!M52,IF(AK107=summaryref2!B66,summaryref2!M66,IF(AK107=summaryref2!B80,summaryref2!M80,IF(AK107=summaryref2!B94,summaryref2!M94,IF(AK107=summaryref2!B108,summaryref2!M108,IF(AK107=summaryref2!B122,summaryref2!M122,IF(AK107=summaryref2!B136,summaryref2!M136,IF(AK107=summaryref2!B150,summaryref2!M150,"")))))))))))</f>
        <v/>
      </c>
      <c r="AX107" s="1110" t="str">
        <f>IF('A-80 DirEntInv'!AX106&lt;&gt;"",'A-80 DirEntInv'!AX106,IF(AK107=summaryref2!B24,summaryref2!N24,IF(Summary!AK107=summaryref2!B38,summaryref2!N38,IF(AK107=summaryref2!B52,summaryref2!N52,IF(AK107=summaryref2!B66,summaryref2!N66,IF(AK107=summaryref2!B80,summaryref2!N80,IF(AK107=summaryref2!B94,summaryref2!N94,IF(AK107=summaryref2!B108,summaryref2!N108,IF(AK107=summaryref2!B122,summaryref2!N122,IF(AK107=summaryref2!B136,summaryref2!N136,IF(AK107=summaryref2!B150,summaryref2!N150,"")))))))))))</f>
        <v/>
      </c>
      <c r="AY107" s="1110" t="str">
        <f>IF('A-80 DirEntInv'!AY106&lt;&gt;"",'A-80 DirEntInv'!AY106,IF(AK107=summaryref2!B24,summaryref2!O24,IF(Summary!AK107=summaryref2!B38,summaryref2!O38,IF(AK107=summaryref2!B52,summaryref2!O52,IF(AK107=summaryref2!B66,summaryref2!O66,IF(AK107=summaryref2!B80,summaryref2!O80,IF(AK107=summaryref2!B94,summaryref2!O94,IF(AK107=summaryref2!B108,summaryref2!O108,IF(AK107=summaryref2!B122,summaryref2!O122,IF(AK107=summaryref2!B136,summaryref2!O136,IF(AK107=summaryref2!B150,summaryref2!O150,"")))))))))))</f>
        <v/>
      </c>
      <c r="AZ107" s="1110" t="str">
        <f>IF('A-80 DirEntInv'!AZ106&lt;&gt;"",'A-80 DirEntInv'!AZ106,IF(AK107=summaryref2!B24,summaryref2!P24,IF(Summary!AK107=summaryref2!B38,summaryref2!P38,IF(AK107=summaryref2!B52,summaryref2!P52,IF(AK107=summaryref2!B66,summaryref2!P66,IF(AK107=summaryref2!B80,summaryref2!P80,IF(AK107=summaryref2!B94,summaryref2!P94,IF(AK107=summaryref2!B108,summaryref2!P108,IF(AK107=summaryref2!B122,summaryref2!P122,IF(AK107=summaryref2!B136,summaryref2!P136,IF(AK107=summaryref2!B150,summaryref2!P150,"")))))))))))</f>
        <v/>
      </c>
      <c r="BA107" s="1110" t="str">
        <f>IF('A-80 DirEntInv'!BA106&lt;&gt;"",'A-80 DirEntInv'!BA106,IF(AK107=summaryref2!B24,summaryref2!Q24,IF(Summary!AK107=summaryref2!B38,summaryref2!Q38,IF(AK107=summaryref2!B52,summaryref2!Q52,IF(AK107=summaryref2!B66,summaryref2!Q66,IF(AK107=summaryref2!B80,summaryref2!Q80,IF(AK107=summaryref2!B94,summaryref2!Q94,IF(AK107=summaryref2!B108,summaryref2!Q108,IF(AK107=summaryref2!B122,summaryref2!Q122,IF(AK107=summaryref2!B136,summaryref2!Q136,IF(AK107=summaryref2!B150,summaryref2!Q150,"")))))))))))</f>
        <v/>
      </c>
      <c r="BB107" s="1110" t="str">
        <f>IF('A-80 DirEntInv'!BB106&lt;&gt;"",'A-80 DirEntInv'!BB106,IF(AK107=summaryref2!B24,summaryref2!R24,IF(Summary!AK107=summaryref2!B38,summaryref2!R38,IF(AK107=summaryref2!B52,summaryref2!R52,IF(AK107=summaryref2!B66,summaryref2!R66,IF(AK107=summaryref2!B80,summaryref2!R80,IF(AK107=summaryref2!B94,summaryref2!R94,IF(AK107=summaryref2!B108,summaryref2!R108,IF(AK107=summaryref2!B122,summaryref2!R122,IF(AK107=summaryref2!B136,summaryref2!R136,IF(AK107=summaryref2!B150,summaryref2!R150,"")))))))))))</f>
        <v/>
      </c>
      <c r="BC107" s="1110" t="str">
        <f>IF('A-80 DirEntInv'!BC106&lt;&gt;0,'A-80 DirEntInv'!BC106,IF(AK107=summaryref2!B24,summaryref2!S24,IF(Summary!AK107=summaryref2!B38,summaryref2!S38,IF(AK107=summaryref2!B52,summaryref2!S52,IF(AK107=summaryref2!B66,summaryref2!S66,IF(AK107=summaryref2!B80,summaryref2!S80,IF(AK107=summaryref2!B94,summaryref2!S94,IF(AK107=summaryref2!B108,summaryref2!S108,IF(AK107=summaryref2!B122,summaryref2!S122,IF(AK107=summaryref2!B136,summaryref2!S136,IF(AK107=summaryref2!B150,summaryref2!S150,"")))))))))))</f>
        <v/>
      </c>
      <c r="BD107" s="1111" t="str">
        <f>IF('A-80 DirEntInv'!BD106&lt;&gt;"",'A-80 DirEntInv'!BD106,IF(AK107=summaryref2!B24,summaryref2!T24,IF(Summary!AK107=summaryref2!B38,summaryref2!T38,IF(AK107=summaryref2!B52,summaryref2!T52,IF(AK107=summaryref2!B66,summaryref2!T66,IF(AK107=summaryref2!B80,summaryref2!T80,IF(AK107=summaryref2!B94,summaryref2!T94,IF(AK107=summaryref2!B108,summaryref2!T108,IF(AK107=summaryref2!B122,summaryref2!T122,IF(AK107=summaryref2!B136,summaryref2!T136,IF(AK107=summaryref2!B150,summaryref2!T150,"")))))))))))</f>
        <v/>
      </c>
      <c r="BE107" s="1184" t="str">
        <f>IF('A-80 DirEntInv'!BE106&lt;&gt;"",'A-80 DirEntInv'!BE106,IF(AK107=summaryref2!B24,summaryref2!U24,IF(Summary!AK107=summaryref2!B38,summaryref2!U38,IF(AK107=summaryref2!B52,summaryref2!U52,IF(AK107=summaryref2!B66,summaryref2!U66,IF(AK107=summaryref2!B80,summaryref2!U80,IF(AK107=summaryref2!B94,summaryref2!U94,IF(AK107=summaryref2!B108,summaryref2!U108,IF(AK107=summaryref2!B122,summaryref2!U122,IF(AK107=summaryref2!B136,summaryref2!U136,IF(AK107=summaryref2!B150,summaryref2!U150,"")))))))))))</f>
        <v/>
      </c>
      <c r="BF107" s="1432"/>
      <c r="BG107" s="1432"/>
      <c r="BJ107" s="1041" t="str">
        <f>Codes!$C$169</f>
        <v>SR - Streetcar Rail (DO)</v>
      </c>
      <c r="BK107" s="1042" t="str">
        <f>Valid!$B$85</f>
        <v>Single Turnout</v>
      </c>
      <c r="BL107" s="1375" t="str">
        <f>IF('A-80 DirEntInv'!BL106&lt;&gt;"",'A-80 DirEntInv'!BL106,IF(BJ107=summaryref2!X17,summaryref2!Z17,IF(BJ107=summaryref2!X24,summaryref2!Z24,IF(BJ107=summaryref2!X31,summaryref2!Z31,IF(BJ107=summaryref2!X38,summaryref2!Z38,IF(BJ107=summaryref2!X45,summaryref2!Z45,IF(BJ107=summaryref2!X52,summaryref2!Z52,IF(BJ107=summaryref2!X59,summaryref2!Z59,IF(BJ107=summaryref2!X66,summaryref2!Z66,IF(BJ107=summaryref2!X73,summaryref2!Z73,IF(BJ107=summaryref2!X80,summaryref2!Z80,"")))))))))))</f>
        <v/>
      </c>
      <c r="BM107" s="1042" t="str">
        <f>VLOOKUP(BK107,Valid!$B$80:$C$86,2,FALSE)</f>
        <v>Each</v>
      </c>
      <c r="BN107" s="1209" t="str">
        <f>IF('A-80 DirEntInv'!BN106&lt;&gt;"",'A-80 DirEntInv'!BN106,IF(BJ107=summaryref2!X17,summaryref2!AB17,IF(BJ107=summaryref2!X24,summaryref2!AB24,IF(BJ107=summaryref2!X31,summaryref2!AB31,IF(BJ107=summaryref2!X38,summaryref2!AB38,IF(BJ107=summaryref2!X45,summaryref2!AB45,IF(BJ107=summaryref2!X52,summaryref2!AB52,IF(BJ107=summaryref2!X59,summaryref2!AB59,IF(BJ107=summaryref2!X66,summaryref2!AB66,IF(BJ107=summaryref2!X73,summaryref2!AB73,IF(BJ107=summaryref2!X80,summaryref2!AB80,"")))))))))))</f>
        <v/>
      </c>
      <c r="BO107" s="1116" t="str">
        <f>IF('A-80 DirEntInv'!BO106&lt;&gt;"",'A-80 DirEntInv'!BO106,IF(BJ107=summaryref2!X17,summaryref2!AC17,IF(BJ107=summaryref2!X24,summaryref2!AC24,IF(BJ107=summaryref2!X31,summaryref2!AC31,IF(BJ107=summaryref2!X38,summaryref2!AC38,IF(BJ107=summaryref2!X45,summaryref2!AC45,IF(BJ107=summaryref2!X52,summaryref2!AC52,IF(BJ107=summaryref2!X59,summaryref2!AC59,IF(BJ107=summaryref2!X66,summaryref2!AC66,IF(BJ107=summaryref2!X73,summaryref2!AC73,IF(BJ107=summaryref2!X80,summaryref2!AC80,"")))))))))))</f>
        <v/>
      </c>
      <c r="BP107" s="1384" t="str">
        <f>IF('A-80 DirEntInv'!BP106&lt;&gt;"",'A-80 DirEntInv'!BP106,IF(BJ107=summaryref2!X17,summaryref2!AD17,IF(BJ107=summaryref2!X24,summaryref2!AD24,IF(BJ107=summaryref2!X31,summaryref2!AD31,IF(BJ107=summaryref2!X38,summaryref2!AD38,IF(BJ107=summaryref2!X45,summaryref2!AD45,IF(BJ107=summaryref2!X52,summaryref2!AD52,IF(BJ107=summaryref2!X59,summaryref2!AD59,IF(BJ107=summaryref2!X66,summaryref2!AD66,IF(BJ107=summaryref2!X73,summaryref2!AD73,IF(BJ107=summaryref2!X80,summaryref2!AD80,"")))))))))))</f>
        <v/>
      </c>
      <c r="BS107" s="1472" t="str">
        <f ca="1">IF('A-80 DirEntInv'!BU106&lt;&gt;"",'A-80 DirEntInv'!BU106,IF(INDIRECT(ADDRESS(SumRef!DK113,SumRef!DK$16,,,SumRef!$E$6))="","",INDIRECT(ADDRESS(SumRef!DK113,SumRef!DK$16,,,SumRef!$E$6))))</f>
        <v/>
      </c>
      <c r="BT107" s="1458" t="str">
        <f ca="1">IF('A-80 DirEntInv'!BV106&lt;&gt;"",'A-80 DirEntInv'!BV106,IF(INDIRECT(ADDRESS(SumRef!DL113,SumRef!DL$16,,,SumRef!$E$6))="","",INDIRECT(ADDRESS(SumRef!DL113,SumRef!DL$16,,,SumRef!$E$6))))</f>
        <v/>
      </c>
      <c r="BU107" s="1177" t="str">
        <f ca="1">IF('A-80 DirEntInv'!BW106&lt;&gt;"",'A-80 DirEntInv'!BW106,IF(INDIRECT(ADDRESS(SumRef!DM113,SumRef!DM$16,,,SumRef!$E$6))="","",INDIRECT(ADDRESS(SumRef!DM113,SumRef!DM$16,,,SumRef!$E$6))))</f>
        <v/>
      </c>
      <c r="BV107" s="1460" t="str">
        <f ca="1">IF('A-80 DirEntInv'!BX106&lt;&gt;"",'A-80 DirEntInv'!BX106,IF(INDIRECT(ADDRESS(SumRef!DN113,SumRef!DN$16,,,SumRef!$E$6))="","",INDIRECT(ADDRESS(SumRef!DN113,SumRef!DN$16,,,SumRef!$E$6))))</f>
        <v/>
      </c>
      <c r="BW107" s="1460" t="str">
        <f ca="1">IF('A-80 DirEntInv'!BY106&lt;&gt;"",'A-80 DirEntInv'!BY106,IF(INDIRECT(ADDRESS(SumRef!DO113,SumRef!DO$16,,,SumRef!$E$6))="","",INDIRECT(ADDRESS(SumRef!DO113,SumRef!DO$16,,,SumRef!$E$6))))</f>
        <v/>
      </c>
      <c r="BX107" s="1116" t="str">
        <f ca="1">IF('A-80 DirEntInv'!BZ106&lt;&gt;"",'A-80 DirEntInv'!BZ106,IF(INDIRECT(ADDRESS(SumRef!DP113,SumRef!DP$16,,,SumRef!$E$6))="","",INDIRECT(ADDRESS(SumRef!DP113,SumRef!DP$16,,,SumRef!$E$6))))</f>
        <v/>
      </c>
      <c r="BY107" s="1461" t="str">
        <f ca="1">IF('A-80 DirEntInv'!CA106&lt;&gt;"",'A-80 DirEntInv'!CA106,IF(INDIRECT(ADDRESS(SumRef!DQ113,SumRef!DQ$16,,,SumRef!$E$6))="","",INDIRECT(ADDRESS(SumRef!DQ113,SumRef!DQ$16,,,SumRef!$E$6))))</f>
        <v/>
      </c>
      <c r="BZ107" s="1460" t="str">
        <f ca="1">IF('A-80 DirEntInv'!CB106&lt;&gt;"",'A-80 DirEntInv'!CB106,IF(INDIRECT(ADDRESS(SumRef!DR113,SumRef!DR$16,,,SumRef!$E$6))="","",INDIRECT(ADDRESS(SumRef!DR113,SumRef!DR$16,,,SumRef!$E$6))))</f>
        <v/>
      </c>
      <c r="CA107" s="1462" t="str">
        <f ca="1">IF('A-80 DirEntInv'!CC106&lt;&gt;"",'A-80 DirEntInv'!CC106,IF(INDIRECT(ADDRESS(SumRef!DS113,SumRef!DS$16,,,SumRef!$E$6))="","",INDIRECT(ADDRESS(SumRef!DS113,SumRef!DS$16,,,SumRef!$E$6))))</f>
        <v/>
      </c>
      <c r="CD107" s="1160" t="str">
        <f ca="1">IF('A-80 DirEntInv'!CF106&lt;&gt;"",'A-80 DirEntInv'!CF106,IF(INDIRECT(ADDRESS(SumRef!DV113,SumRef!DV$16,,,SumRef!$E$7))="","",INDIRECT(ADDRESS(SumRef!DV113,SumRef!DV$16,,,SumRef!$E$7))))</f>
        <v/>
      </c>
      <c r="CE107" s="1167" t="str">
        <f ca="1">IF('A-80 DirEntInv'!CG106&lt;&gt;"",'A-80 DirEntInv'!CG106,IF(INDIRECT(ADDRESS(SumRef!DW113,SumRef!DW$16,,,SumRef!$E$7))="","",INDIRECT(ADDRESS(SumRef!DW113,SumRef!DW$16,,,SumRef!$E$7))))</f>
        <v/>
      </c>
      <c r="CF107" s="1167" t="str">
        <f ca="1">IF('A-80 DirEntInv'!CH106&lt;&gt;"",'A-80 DirEntInv'!CH106,IF(INDIRECT(ADDRESS(SumRef!DX113,SumRef!DX$16,,,SumRef!$E$7))="","",INDIRECT(ADDRESS(SumRef!DX113,SumRef!DX$16,,,SumRef!$E$7))))</f>
        <v/>
      </c>
      <c r="CG107" s="1167" t="str">
        <f ca="1">IF('A-80 DirEntInv'!CI106&lt;&gt;"",'A-80 DirEntInv'!CI106,IF(INDIRECT(ADDRESS(SumRef!DY113,SumRef!DY$16,,,SumRef!$E$7))="","",INDIRECT(ADDRESS(SumRef!DY113,SumRef!DY$16,,,SumRef!$E$7))))</f>
        <v/>
      </c>
      <c r="CH107" s="1167" t="str">
        <f ca="1">IF('A-80 DirEntInv'!CJ106&lt;&gt;"",'A-80 DirEntInv'!CJ106,IF(INDIRECT(ADDRESS(SumRef!DZ113,SumRef!DZ$16,,,SumRef!$E$7))="","",INDIRECT(ADDRESS(SumRef!DZ113,SumRef!DZ$16,,,SumRef!$E$7))))</f>
        <v/>
      </c>
      <c r="CI107" s="1167" t="str">
        <f ca="1">IF('A-80 DirEntInv'!CK106&lt;&gt;"",'A-80 DirEntInv'!CK106,IF(INDIRECT(ADDRESS(SumRef!EA113,SumRef!EA$16,,,SumRef!$E$7))="","",INDIRECT(ADDRESS(SumRef!EA113,SumRef!EA$16,,,SumRef!$E$7))))</f>
        <v/>
      </c>
      <c r="CJ107" s="1114" t="str">
        <f ca="1">IF('A-80 DirEntInv'!CL106&lt;&gt;"",'A-80 DirEntInv'!CL106,IF(INDIRECT(ADDRESS(SumRef!EB113,SumRef!EB$16,,,SumRef!$E$7))="","",INDIRECT(ADDRESS(SumRef!EB113,SumRef!EB$16,,,SumRef!$E$7))))</f>
        <v/>
      </c>
      <c r="CK107" s="1114" t="str">
        <f ca="1">IF('A-80 DirEntInv'!CM106&lt;&gt;"",'A-80 DirEntInv'!CM106,IF(INDIRECT(ADDRESS(SumRef!EC113,SumRef!EC$16,,,SumRef!$E$7))="","",INDIRECT(ADDRESS(SumRef!EC113,SumRef!EC$16,,,SumRef!$E$7))))</f>
        <v/>
      </c>
      <c r="CL107" s="1113" t="str">
        <f ca="1">IF('A-80 DirEntInv'!CO106&lt;&gt;"",'A-80 DirEntInv'!CO106,IF(INDIRECT(ADDRESS(SumRef!ED113,SumRef!ED$16,,,SumRef!$E$7))="","",INDIRECT(ADDRESS(SumRef!ED113,SumRef!ED$16,,,SumRef!$E$7))))</f>
        <v/>
      </c>
      <c r="CM107" s="1114" t="str">
        <f ca="1">IF('A-80 DirEntInv'!CP106&lt;&gt;"",'A-80 DirEntInv'!CP106,IF(INDIRECT(ADDRESS(SumRef!EE113,SumRef!EE$16,,,SumRef!$E$7))="","",INDIRECT(ADDRESS(SumRef!EE113,SumRef!EE$16,,,SumRef!$E$7))))</f>
        <v/>
      </c>
      <c r="CN107" s="1114" t="str">
        <f ca="1">IF('A-80 DirEntInv'!CQ106&lt;&gt;"",'A-80 DirEntInv'!CQ106,IF(INDIRECT(ADDRESS(SumRef!EF113,SumRef!EF$16,,,SumRef!$E$7))="","",INDIRECT(ADDRESS(SumRef!EF113,SumRef!EF$16,,,SumRef!$E$7))))</f>
        <v/>
      </c>
      <c r="CO107" s="1113" t="str">
        <f ca="1">IF('A-80 DirEntInv'!CR106&lt;&gt;"",'A-80 DirEntInv'!CR106,IF(INDIRECT(ADDRESS(SumRef!EG113,SumRef!EG$16,,,SumRef!$E$7))="","",INDIRECT(ADDRESS(SumRef!EG113,SumRef!EG$16,,,SumRef!$E$7))))</f>
        <v/>
      </c>
      <c r="CP107" s="1114" t="str">
        <f ca="1">IF('A-80 DirEntInv'!CS106&lt;&gt;"",'A-80 DirEntInv'!CS106,IF(INDIRECT(ADDRESS(SumRef!EH113,SumRef!EH$16,,,SumRef!$E$7))="","",INDIRECT(ADDRESS(SumRef!EH113,SumRef!EH$16,,,SumRef!$E$7))))</f>
        <v/>
      </c>
      <c r="CQ107" s="1346" t="str">
        <f ca="1">IF('A-80 DirEntInv'!CT106&lt;&gt;"",'A-80 DirEntInv'!CT106,IF(INDIRECT(ADDRESS(SumRef!EI113,SumRef!EI$16,,,SumRef!$E$7))="","",INDIRECT(ADDRESS(SumRef!EI113,SumRef!EI$16,,,SumRef!$E$7))))</f>
        <v/>
      </c>
      <c r="CR107" s="1113" t="str">
        <f ca="1">IF('A-80 DirEntInv'!CU106&lt;&gt;"",'A-80 DirEntInv'!CU106,IF(INDIRECT(ADDRESS(SumRef!EJ113,SumRef!EJ$16,,,SumRef!$E$7))="","",INDIRECT(ADDRESS(SumRef!EJ113,SumRef!EJ$16,,,SumRef!$E$7))))</f>
        <v/>
      </c>
      <c r="CS107" s="1346" t="str">
        <f ca="1">IF('A-80 DirEntInv'!CV106&lt;&gt;"",'A-80 DirEntInv'!CV106,IF(INDIRECT(ADDRESS(SumRef!EM113,SumRef!EM$16,,,SumRef!$E$7))="","",INDIRECT(ADDRESS(SumRef!EM113,SumRef!EM$16,,,SumRef!$E$7))))</f>
        <v/>
      </c>
      <c r="CT107" s="1113" t="str">
        <f ca="1">IF('A-80 DirEntInv'!CW106&lt;&gt;"",'A-80 DirEntInv'!CW106,IF(INDIRECT(ADDRESS(SumRef!EN113,SumRef!EN$16,,,SumRef!$E$7))="","",INDIRECT(ADDRESS(SumRef!EN113,SumRef!EN$16,,,SumRef!$E$7))))</f>
        <v/>
      </c>
      <c r="CU107" s="1113" t="str">
        <f ca="1">IF('A-80 DirEntInv'!CX106&lt;&gt;"",'A-80 DirEntInv'!CX106,IF(INDIRECT(ADDRESS(SumRef!EO113,SumRef!EO$16,,,SumRef!$E$7))="","",INDIRECT(ADDRESS(SumRef!EO113,SumRef!EO$16,,,SumRef!$E$7))))</f>
        <v/>
      </c>
      <c r="CV107" s="1113" t="str">
        <f ca="1">IF('A-80 DirEntInv'!CY106&lt;&gt;"",'A-80 DirEntInv'!CY106,IF(INDIRECT(ADDRESS(SumRef!EP113,SumRef!EP$16,,,SumRef!$E$7))="","",INDIRECT(ADDRESS(SumRef!EP113,SumRef!EP$16,,,SumRef!$E$7))))</f>
        <v/>
      </c>
      <c r="CW107" s="1114" t="str">
        <f ca="1">IF('A-80 DirEntInv'!CZ106&lt;&gt;"",'A-80 DirEntInv'!CZ106,IF(INDIRECT(ADDRESS(SumRef!ES113,SumRef!ES$16,,,SumRef!$E$7))="","",INDIRECT(ADDRESS(SumRef!ES113,SumRef!ES$16,,,SumRef!$E$7))))</f>
        <v/>
      </c>
      <c r="CX107" s="1167" t="str">
        <f ca="1">IF('A-80 DirEntInv'!DA106&lt;&gt;"",'A-80 DirEntInv'!DA106,IF(INDIRECT(ADDRESS(SumRef!ET113,SumRef!ET$16,,,SumRef!$E$7))="","",INDIRECT(ADDRESS(SumRef!ET113,SumRef!ET$16,,,SumRef!$E$7))))</f>
        <v/>
      </c>
      <c r="CY107" s="1167" t="str">
        <f ca="1">IF('A-80 DirEntInv'!DB106&lt;&gt;"",'A-80 DirEntInv'!DB106,IF(INDIRECT(ADDRESS(SumRef!EU113,SumRef!EU$16,,,SumRef!$E$7))="","",INDIRECT(ADDRESS(SumRef!EU113,SumRef!EU$16,,,SumRef!$E$7))))</f>
        <v/>
      </c>
      <c r="CZ107" s="1167" t="b">
        <f ca="1">IF('A-80 DirEntInv'!DC106&lt;&gt;"",'A-80 DirEntInv'!DC106,IF(INDIRECT(ADDRESS(SumRef!EV113,SumRef!EV$16,,,SumRef!$E$7))="","",INDIRECT(ADDRESS(SumRef!EV113,SumRef!EV$16,,,SumRef!$E$7))))</f>
        <v>0</v>
      </c>
      <c r="DA107" s="1373" t="str">
        <f ca="1">IF('A-80 DirEntInv'!DD106&lt;&gt;"",'A-80 DirEntInv'!DD106,IF(INDIRECT(ADDRESS(SumRef!EW113,SumRef!EW$16,,,SumRef!$E$7))="","",INDIRECT(ADDRESS(SumRef!EW113,SumRef!EW$16,,,SumRef!$E$7))))</f>
        <v/>
      </c>
      <c r="DB107" s="1373" t="b">
        <f ca="1">IF('A-80 DirEntInv'!DE106&lt;&gt;"",'A-80 DirEntInv'!DE106,IF(INDIRECT(ADDRESS(SumRef!EX113,SumRef!EX$16,,,SumRef!$E$7))="","",INDIRECT(ADDRESS(SumRef!EX113,SumRef!EX$16,,,SumRef!$E$7))))</f>
        <v>0</v>
      </c>
      <c r="DC107" s="1114" t="b">
        <f ca="1">IF('A-80 DirEntInv'!DF106&lt;&gt;"",'A-80 DirEntInv'!DF106,IF(INDIRECT(ADDRESS(SumRef!EY113,SumRef!EY$16,,,SumRef!$E$7))="","",INDIRECT(ADDRESS(SumRef!EY113,SumRef!EY$16,,,SumRef!$E$7))))</f>
        <v>0</v>
      </c>
      <c r="DD107" s="1115" t="str">
        <f ca="1">IF('A-80 DirEntInv'!DG106&lt;&gt;"",'A-80 DirEntInv'!DG106,IF(INDIRECT(ADDRESS(SumRef!EZ113,SumRef!EZ$16,,,SumRef!$E$7))="","",INDIRECT(ADDRESS(SumRef!EZ113,SumRef!EZ$16,,,SumRef!$E$7))))</f>
        <v/>
      </c>
    </row>
    <row r="108" spans="1:108" s="588" customFormat="1" ht="13.5" thickBot="1" x14ac:dyDescent="0.25">
      <c r="A108" s="589">
        <f t="shared" si="1"/>
        <v>98</v>
      </c>
      <c r="B108" s="1155" t="str">
        <f ca="1">IF('A-80 DirEntInv'!B107&lt;&gt;"",'A-80 DirEntInv'!B107,IF(INDIRECT(ADDRESS(SumRef!AQ114,SumRef!AQ$16,,,SumRef!$B$7))="","",INDIRECT(ADDRESS(SumRef!AQ114,SumRef!AQ$16,,,SumRef!$B$7))))</f>
        <v/>
      </c>
      <c r="C108" s="1097" t="str">
        <f ca="1">IF('A-80 DirEntInv'!C107&lt;&gt;"",'A-80 DirEntInv'!C107,IF(INDIRECT(ADDRESS(SumRef!AR114,SumRef!AR$16,,,SumRef!$B$7))="","",INDIRECT(ADDRESS(SumRef!AR114,SumRef!AR$16,,,SumRef!$B$7))))</f>
        <v/>
      </c>
      <c r="D108" s="1097" t="str">
        <f ca="1">IF('A-80 DirEntInv'!D107&lt;&gt;"",'A-80 DirEntInv'!D107,IF(INDIRECT(ADDRESS(SumRef!AS114,SumRef!AS$16,,,SumRef!$B$7))="","",INDIRECT(ADDRESS(SumRef!AS114,SumRef!AS$16,,,SumRef!$B$7))))</f>
        <v/>
      </c>
      <c r="E108" s="1097" t="str">
        <f ca="1">IF('A-80 DirEntInv'!E107&lt;&gt;"",'A-80 DirEntInv'!E107,IF(INDIRECT(ADDRESS(SumRef!AT114,SumRef!AT$16,,,SumRef!$B$7))="","",INDIRECT(ADDRESS(SumRef!AT114,SumRef!AT$16,,,SumRef!$B$7))))</f>
        <v/>
      </c>
      <c r="F108" s="1097" t="str">
        <f ca="1">IF('A-80 DirEntInv'!F107&lt;&gt;"",'A-80 DirEntInv'!F107,IF(INDIRECT(ADDRESS(SumRef!AU114,SumRef!AU$16,,,SumRef!$B$7))="","",INDIRECT(ADDRESS(SumRef!AU114,SumRef!AU$16,,,SumRef!$B$7))))</f>
        <v/>
      </c>
      <c r="G108" s="1158" t="str">
        <f ca="1">IF('A-80 DirEntInv'!G107&lt;&gt;"",'A-80 DirEntInv'!G107,IF(INDIRECT(ADDRESS(SumRef!AV114,SumRef!AV$16,,,SumRef!$B$7))="","",INDIRECT(ADDRESS(SumRef!AV114,SumRef!AV$16,,,SumRef!$B$7))))</f>
        <v/>
      </c>
      <c r="H108" s="1097" t="str">
        <f ca="1">IF('A-80 DirEntInv'!H107&lt;&gt;"",'A-80 DirEntInv'!H107,IF(INDIRECT(ADDRESS(SumRef!AW114,SumRef!AW$16,,,SumRef!$B$7))="","",INDIRECT(ADDRESS(SumRef!AW114,SumRef!AW$16,,,SumRef!$B$7))))</f>
        <v/>
      </c>
      <c r="I108" s="1097" t="str">
        <f ca="1">IF('A-80 DirEntInv'!I107&lt;&gt;"",'A-80 DirEntInv'!I107,IF(INDIRECT(ADDRESS(SumRef!AX114,SumRef!AX$16,,,SumRef!$B$7))="","",INDIRECT(ADDRESS(SumRef!AX114,SumRef!AX$16,,,SumRef!$B$7))))</f>
        <v/>
      </c>
      <c r="J108" s="1098" t="str">
        <f ca="1">IF('A-80 DirEntInv'!J107&lt;&gt;"",'A-80 DirEntInv'!J107,IF(INDIRECT(ADDRESS(SumRef!AY114,SumRef!AY$16,,,SumRef!$B$7))="","",INDIRECT(ADDRESS(SumRef!AY114,SumRef!AY$16,,,SumRef!$B$7))))</f>
        <v/>
      </c>
      <c r="K108" s="1099" t="str">
        <f ca="1">IF('A-80 DirEntInv'!K107&lt;&gt;"",'A-80 DirEntInv'!K107,IF(INDIRECT(ADDRESS(SumRef!AZ114,SumRef!AZ$16,,,SumRef!$B$7))="","",INDIRECT(ADDRESS(SumRef!AZ114,SumRef!AZ$16,,,SumRef!$B$7))))</f>
        <v/>
      </c>
      <c r="L108" s="1100" t="str">
        <f ca="1">IF('A-80 DirEntInv'!L107&lt;&gt;"",'A-80 DirEntInv'!L107,IF(INDIRECT(ADDRESS(SumRef!BA114,SumRef!BA$16,,,SumRef!$B$7))="","",INDIRECT(ADDRESS(SumRef!BA114,SumRef!BA$16,,,SumRef!$B$7))))</f>
        <v/>
      </c>
      <c r="M108" s="1101" t="str">
        <f ca="1">IF('A-80 DirEntInv'!M107&lt;&gt;"",'A-80 DirEntInv'!M107,IF(INDIRECT(ADDRESS(SumRef!BB114,SumRef!BB$16,,,SumRef!$B$7))="","",INDIRECT(ADDRESS(SumRef!BB114,SumRef!BB$16,,,SumRef!$B$7))))</f>
        <v/>
      </c>
      <c r="N108" s="1098" t="str">
        <f ca="1">IF('A-80 DirEntInv'!N107&lt;&gt;"",'A-80 DirEntInv'!N107,IF(INDIRECT(ADDRESS(SumRef!BC114,SumRef!BC$16,,,SumRef!$B$7))="","",INDIRECT(ADDRESS(SumRef!BC114,SumRef!BC$16,,,SumRef!$B$7))))</f>
        <v/>
      </c>
      <c r="O108" s="1102" t="str">
        <f ca="1">IF('A-80 DirEntInv'!O107&lt;&gt;"",'A-80 DirEntInv'!O107,IF(INDIRECT(ADDRESS(SumRef!BD114,SumRef!BD$16,,,SumRef!$B$7))="","",INDIRECT(ADDRESS(SumRef!BD114,SumRef!BD$16,,,SumRef!$B$7))))</f>
        <v/>
      </c>
      <c r="Q108" s="589"/>
      <c r="R108" s="1103" t="str">
        <f ca="1">IF('A-80 DirEntInv'!R107&lt;&gt;"",'A-80 DirEntInv'!R107,IF(INDIRECT(ADDRESS(SumRef!BH114,SumRef!BH$16,,,SumRef!$B$8))="","",INDIRECT(ADDRESS(SumRef!BH114,SumRef!BH$16,,,SumRef!$B$8))))</f>
        <v/>
      </c>
      <c r="S108" s="1104" t="str">
        <f ca="1">IF('A-80 DirEntInv'!S107&lt;&gt;"",'A-80 DirEntInv'!S107,IF(INDIRECT(ADDRESS(SumRef!BI114,SumRef!BI$16,,,SumRef!$B$8))="","",INDIRECT(ADDRESS(SumRef!BI114,SumRef!BI$16,,,SumRef!$B$8))))</f>
        <v/>
      </c>
      <c r="T108" s="1104" t="str">
        <f ca="1">IF('A-80 DirEntInv'!T107&lt;&gt;"",'A-80 DirEntInv'!T107,IF(INDIRECT(ADDRESS(SumRef!BJ114,SumRef!BJ$16,,,SumRef!$B$8))="","",INDIRECT(ADDRESS(SumRef!BJ114,SumRef!BJ$16,,,SumRef!$B$8))))</f>
        <v/>
      </c>
      <c r="U108" s="1104" t="str">
        <f ca="1">IF('A-80 DirEntInv'!U107&lt;&gt;"",'A-80 DirEntInv'!U107,IF(INDIRECT(ADDRESS(SumRef!BK114,SumRef!BK$16,,,SumRef!$B$8))="","",INDIRECT(ADDRESS(SumRef!BK114,SumRef!BK$16,,,SumRef!$B$8))))</f>
        <v/>
      </c>
      <c r="V108" s="1104" t="str">
        <f ca="1">IF('A-80 DirEntInv'!V107&lt;&gt;"",'A-80 DirEntInv'!V107,IF(INDIRECT(ADDRESS(SumRef!BL114,SumRef!BL$16,,,SumRef!$B$8))="","",INDIRECT(ADDRESS(SumRef!BL114,SumRef!BL$16,,,SumRef!$B$8))))</f>
        <v/>
      </c>
      <c r="W108" s="1354" t="str">
        <f ca="1">IF('A-80 DirEntInv'!W107&lt;&gt;"",'A-80 DirEntInv'!W107,IF(INDIRECT(ADDRESS(SumRef!BM114,SumRef!BM$16,,,SumRef!$B$8))="","",INDIRECT(ADDRESS(SumRef!BM114,SumRef!BM$16,,,SumRef!$B$8))))</f>
        <v/>
      </c>
      <c r="X108" s="1203" t="str">
        <f ca="1">IF('A-80 DirEntInv'!X107&lt;&gt;"",'A-80 DirEntInv'!X107,IF(INDIRECT(ADDRESS(SumRef!BN114,SumRef!BN$16,,,SumRef!$B$8))="","",INDIRECT(ADDRESS(SumRef!BN114,SumRef!BN$16,,,SumRef!$B$8))))</f>
        <v/>
      </c>
      <c r="Y108" s="1203" t="str">
        <f ca="1">IF('A-80 DirEntInv'!Y107&lt;&gt;"",'A-80 DirEntInv'!Y107,IF(INDIRECT(ADDRESS(SumRef!BO114,SumRef!BO$16,,,SumRef!$B$8))="","",INDIRECT(ADDRESS(SumRef!BO114,SumRef!BO$16,,,SumRef!$B$8))))</f>
        <v/>
      </c>
      <c r="Z108" s="1104" t="str">
        <f ca="1">IF('A-80 DirEntInv'!Z107&lt;&gt;"",'A-80 DirEntInv'!Z107,IF(INDIRECT(ADDRESS(SumRef!BP114,SumRef!BP$16,,,SumRef!$B$8))="","",INDIRECT(ADDRESS(SumRef!BP114,SumRef!BP$16,,,SumRef!$B$8))))</f>
        <v/>
      </c>
      <c r="AA108" s="1104" t="str">
        <f ca="1">IF('A-80 DirEntInv'!AA107&lt;&gt;"",'A-80 DirEntInv'!AA107,IF(INDIRECT(ADDRESS(SumRef!BQ114,SumRef!BQ$16,,,SumRef!$B$8))="","",INDIRECT(ADDRESS(SumRef!BQ114,SumRef!BQ$16,,,SumRef!$B$8))))</f>
        <v/>
      </c>
      <c r="AB108" s="1106" t="str">
        <f ca="1">IF('A-80 DirEntInv'!AB107&lt;&gt;"",'A-80 DirEntInv'!AB107,IF(INDIRECT(ADDRESS(SumRef!BR114,SumRef!BR$16,,,SumRef!$B$8))="","",INDIRECT(ADDRESS(SumRef!BR114,SumRef!BR$16,,,SumRef!$B$8))))</f>
        <v/>
      </c>
      <c r="AC108" s="1107" t="str">
        <f ca="1">IF('A-80 DirEntInv'!AC107&lt;&gt;"",'A-80 DirEntInv'!AC107,IF(INDIRECT(ADDRESS(SumRef!BS114,SumRef!BS$16,,,SumRef!$B$8))="","",INDIRECT(ADDRESS(SumRef!BS114,SumRef!BS$16,,,SumRef!$B$8))))</f>
        <v/>
      </c>
      <c r="AD108" s="1349" t="str">
        <f ca="1">IF('A-80 DirEntInv'!AD107&lt;&gt;"",'A-80 DirEntInv'!AD107,IF(INDIRECT(ADDRESS(SumRef!BT114,SumRef!BT$16,,,SumRef!$B$8))="","",INDIRECT(ADDRESS(SumRef!BT114,SumRef!BT$16,,,SumRef!$B$8))))</f>
        <v/>
      </c>
      <c r="AE108" s="1137" t="str">
        <f ca="1">IF('A-80 DirEntInv'!AE107&lt;&gt;"",'A-80 DirEntInv'!AE107,IF(INDIRECT(ADDRESS(SumRef!BU114,SumRef!BU$16,,,SumRef!$B$8))="","",INDIRECT(ADDRESS(SumRef!BU114,SumRef!BU$16,,,SumRef!$B$8))))</f>
        <v/>
      </c>
      <c r="AF108" s="1346" t="str">
        <f ca="1">IF('A-80 DirEntInv'!AF107&lt;&gt;"",'A-80 DirEntInv'!AF107,IF(INDIRECT(ADDRESS(SumRef!BV114,SumRef!BV$16,,,SumRef!$B$8))="","",INDIRECT(ADDRESS(SumRef!BV114,SumRef!BV$16,,,SumRef!$B$8))))</f>
        <v/>
      </c>
      <c r="AG108" s="1105" t="str">
        <f ca="1">IF('A-80 DirEntInv'!AG107&lt;&gt;"",'A-80 DirEntInv'!AG107,IF(INDIRECT(ADDRESS(SumRef!BW114,SumRef!BW$16,,,SumRef!$B$8))="","",INDIRECT(ADDRESS(SumRef!BW114,SumRef!BW$16,,,SumRef!$B$8))))</f>
        <v/>
      </c>
      <c r="AH108" s="1357" t="str">
        <f ca="1">IF('A-80 DirEntInv'!AH107&lt;&gt;"",'A-80 DirEntInv'!AH107,IF(INDIRECT(ADDRESS(SumRef!BX114,SumRef!BX$16,,,SumRef!$B$8))="","",INDIRECT(ADDRESS(SumRef!BX114,SumRef!BX$16,,,SumRef!$B$8))))</f>
        <v/>
      </c>
      <c r="AK108" s="1047" t="str">
        <f>Codes!$C$162</f>
        <v>CR - Commuter Rail (PT)</v>
      </c>
      <c r="AL108" s="1050" t="str">
        <f>Valid!$B$91</f>
        <v>Train Control &amp; Signaling</v>
      </c>
      <c r="AM108" s="1185"/>
      <c r="AN108" s="1050"/>
      <c r="AO108" s="1185"/>
      <c r="AP108" s="1050"/>
      <c r="AQ108" s="1386" t="str">
        <f>IF('A-80 DirEntInv'!AQ107&lt;&gt;"",'A-80 DirEntInv'!AQ107,IF(AK108=summaryref2!B25,summaryref2!G25,IF(Summary!AK108=summaryref2!B39,summaryref2!G39,IF(AK108=summaryref2!B53,summaryref2!G53,IF(AK108=summaryref2!B67,summaryref2!G67,IF(AK108=summaryref2!B81,summaryref2!G81,IF(AK108=summaryref2!B95,summaryref2!G95,IF(AK108=summaryref2!B109,summaryref2!G109,IF(AK108=summaryref2!B123,summaryref2!G123,IF(AK108=summaryref2!B137,summaryref2!G137,IF(AK108=summaryref2!B151,summaryref2!G151,"")))))))))))</f>
        <v/>
      </c>
      <c r="AR108" s="1386" t="str">
        <f>IF('A-80 DirEntInv'!AR107&lt;&gt;"",'A-80 DirEntInv'!AR107,IF(AK108=summaryref2!B25,summaryref2!H25,IF(Summary!AK108=summaryref2!B39,summaryref2!H39,IF(AK108=summaryref2!B53,summaryref2!H53,IF(AK108=summaryref2!B67,summaryref2!H67,IF(AK108=summaryref2!B81,summaryref2!H81,IF(AK108=summaryref2!B95,summaryref2!H95,IF(AK108=summaryref2!B109,summaryref2!H109,IF(AK108=summaryref2!B123,summaryref2!H123,IF(AK108=summaryref2!B137,summaryref2!H137,IF(AK108=summaryref2!B151,summaryref2!H151,"")))))))))))</f>
        <v/>
      </c>
      <c r="AS108" s="1387" t="str">
        <f>IF('A-80 DirEntInv'!AS107&lt;&gt;"",'A-80 DirEntInv'!AS107,IF(AK108=summaryref2!B25,summaryref2!I25,IF(Summary!AK108=summaryref2!B39,summaryref2!I39,IF(AK108=summaryref2!B53,summaryref2!I53,IF(AK108=summaryref2!B67,summaryref2!I67,IF(AK108=summaryref2!B81,summaryref2!I81,IF(AK108=summaryref2!B95,summaryref2!I95,IF(AK108=summaryref2!B109,summaryref2!I109,IF(AK108=summaryref2!B123,summaryref2!I123,IF(AK108=summaryref2!B137,summaryref2!I137,IF(AK108=summaryref2!B151,summaryref2!I151,"")))))))))))</f>
        <v/>
      </c>
      <c r="AT108" s="1387" t="str">
        <f>IF('A-80 DirEntInv'!AT107&lt;&gt;"",'A-80 DirEntInv'!AT107,IF(AK108=summaryref2!B25,summaryref2!J25,IF(Summary!AK108=summaryref2!B39,summaryref2!J39,IF(AK108=summaryref2!B53,summaryref2!J53,IF(AK108=summaryref2!B67,summaryref2!J67,IF(AK108=summaryref2!B81,summaryref2!J81,IF(AK108=summaryref2!B95,summaryref2!J95,IF(AK108=summaryref2!B109,summaryref2!J109,IF(AK108=summaryref2!B123,summaryref2!J123,IF(AK108=summaryref2!B137,summaryref2!J137,IF(AK108=summaryref2!B151,summaryref2!J151,"")))))))))))</f>
        <v/>
      </c>
      <c r="AU108" s="1387" t="str">
        <f>IF('A-80 DirEntInv'!AU107&lt;&gt;"",'A-80 DirEntInv'!AU107,IF(AK108=summaryref2!B25,summaryref2!K25,IF(Summary!AK108=summaryref2!B39,summaryref2!K39,IF(AK108=summaryref2!B53,summaryref2!K53,IF(AK108=summaryref2!B67,summaryref2!K67,IF(AK108=summaryref2!B81,summaryref2!K81,IF(AK108=summaryref2!B95,summaryref2!K95,IF(AK108=summaryref2!B109,summaryref2!K109,IF(AK108=summaryref2!B123,summaryref2!K123,IF(AK108=summaryref2!B137,summaryref2!K137,IF(AK108=summaryref2!B151,summaryref2!K151,"")))))))))))</f>
        <v/>
      </c>
      <c r="AV108" s="1387" t="str">
        <f>IF('A-80 DirEntInv'!AV107&lt;&gt;"",'A-80 DirEntInv'!AV107,IF(AK108=summaryref2!B25,summaryref2!L25,IF(Summary!AK108=summaryref2!B39,summaryref2!L39,IF(AK108=summaryref2!B53,summaryref2!L53,IF(AK108=summaryref2!B67,summaryref2!L67,IF(AK108=summaryref2!B81,summaryref2!L81,IF(AK108=summaryref2!B95,summaryref2!L95,IF(AK108=summaryref2!B109,summaryref2!L109,IF(AK108=summaryref2!B123,summaryref2!L123,IF(AK108=summaryref2!B137,summaryref2!L137,IF(AK108=summaryref2!B151,summaryref2!L151,"")))))))))))</f>
        <v/>
      </c>
      <c r="AW108" s="1387" t="str">
        <f>IF('A-80 DirEntInv'!AW107&lt;&gt;"",'A-80 DirEntInv'!AW107,IF(AK108=summaryref2!B25,summaryref2!M25,IF(Summary!AK108=summaryref2!B39,summaryref2!M39,IF(AK108=summaryref2!B53,summaryref2!M53,IF(AK108=summaryref2!B67,summaryref2!M67,IF(AK108=summaryref2!B81,summaryref2!M81,IF(AK108=summaryref2!B95,summaryref2!M95,IF(AK108=summaryref2!B109,summaryref2!M109,IF(AK108=summaryref2!B123,summaryref2!M123,IF(AK108=summaryref2!B137,summaryref2!M137,IF(AK108=summaryref2!B151,summaryref2!M151,"")))))))))))</f>
        <v/>
      </c>
      <c r="AX108" s="1387" t="str">
        <f>IF('A-80 DirEntInv'!AX107&lt;&gt;"",'A-80 DirEntInv'!AX107,IF(AK108=summaryref2!B25,summaryref2!N25,IF(Summary!AK108=summaryref2!B39,summaryref2!N39,IF(AK108=summaryref2!B53,summaryref2!N53,IF(AK108=summaryref2!B67,summaryref2!N67,IF(AK108=summaryref2!B81,summaryref2!N81,IF(AK108=summaryref2!B95,summaryref2!N95,IF(AK108=summaryref2!B109,summaryref2!N109,IF(AK108=summaryref2!B123,summaryref2!N123,IF(AK108=summaryref2!B137,summaryref2!N137,IF(AK108=summaryref2!B151,summaryref2!N151,"")))))))))))</f>
        <v/>
      </c>
      <c r="AY108" s="1387" t="str">
        <f>IF('A-80 DirEntInv'!AY107&lt;&gt;"",'A-80 DirEntInv'!AY107,IF(AK108=summaryref2!B25,summaryref2!O25,IF(Summary!AK108=summaryref2!B39,summaryref2!O39,IF(AK108=summaryref2!B53,summaryref2!O53,IF(AK108=summaryref2!B67,summaryref2!O67,IF(AK108=summaryref2!B81,summaryref2!O81,IF(AK108=summaryref2!B95,summaryref2!O95,IF(AK108=summaryref2!B109,summaryref2!O109,IF(AK108=summaryref2!B123,summaryref2!O123,IF(AK108=summaryref2!B137,summaryref2!O137,IF(AK108=summaryref2!B151,summaryref2!O151,"")))))))))))</f>
        <v/>
      </c>
      <c r="AZ108" s="1387" t="str">
        <f>IF('A-80 DirEntInv'!AZ107&lt;&gt;"",'A-80 DirEntInv'!AZ107,IF(AK108=summaryref2!B25,summaryref2!P25,IF(Summary!AK108=summaryref2!B39,summaryref2!P39,IF(AK108=summaryref2!B53,summaryref2!P53,IF(AK108=summaryref2!B67,summaryref2!P67,IF(AK108=summaryref2!B81,summaryref2!P81,IF(AK108=summaryref2!B95,summaryref2!P95,IF(AK108=summaryref2!B109,summaryref2!P109,IF(AK108=summaryref2!B123,summaryref2!P123,IF(AK108=summaryref2!B137,summaryref2!P137,IF(AK108=summaryref2!B151,summaryref2!P151,"")))))))))))</f>
        <v/>
      </c>
      <c r="BA108" s="1387" t="str">
        <f>IF('A-80 DirEntInv'!BA107&lt;&gt;"",'A-80 DirEntInv'!BA107,IF(AK108=summaryref2!B25,summaryref2!Q25,IF(Summary!AK108=summaryref2!B39,summaryref2!Q39,IF(AK108=summaryref2!B53,summaryref2!Q53,IF(AK108=summaryref2!B67,summaryref2!Q67,IF(AK108=summaryref2!B81,summaryref2!Q81,IF(AK108=summaryref2!B95,summaryref2!Q95,IF(AK108=summaryref2!B109,summaryref2!Q109,IF(AK108=summaryref2!B123,summaryref2!Q123,IF(AK108=summaryref2!B137,summaryref2!Q137,IF(AK108=summaryref2!B151,summaryref2!Q151,"")))))))))))</f>
        <v/>
      </c>
      <c r="BB108" s="1387" t="str">
        <f>IF('A-80 DirEntInv'!BB107&lt;&gt;"",'A-80 DirEntInv'!BB107,IF(AK108=summaryref2!B25,summaryref2!R25,IF(Summary!AK108=summaryref2!B39,summaryref2!R39,IF(AK108=summaryref2!B53,summaryref2!R53,IF(AK108=summaryref2!B67,summaryref2!R67,IF(AK108=summaryref2!B81,summaryref2!R81,IF(AK108=summaryref2!B95,summaryref2!R95,IF(AK108=summaryref2!B109,summaryref2!R109,IF(AK108=summaryref2!B123,summaryref2!R123,IF(AK108=summaryref2!B137,summaryref2!R137,IF(AK108=summaryref2!B151,summaryref2!R151,"")))))))))))</f>
        <v/>
      </c>
      <c r="BC108" s="1387" t="str">
        <f>IF('A-80 DirEntInv'!BC107&lt;&gt;0,'A-80 DirEntInv'!BC107,IF(AK108=summaryref2!B25,summaryref2!S25,IF(Summary!AK108=summaryref2!B39,summaryref2!S39,IF(AK108=summaryref2!B53,summaryref2!S53,IF(AK108=summaryref2!B67,summaryref2!S67,IF(AK108=summaryref2!B81,summaryref2!S81,IF(AK108=summaryref2!B95,summaryref2!S95,IF(AK108=summaryref2!B109,summaryref2!S109,IF(AK108=summaryref2!B123,summaryref2!S123,IF(AK108=summaryref2!B137,summaryref2!S137,IF(AK108=summaryref2!B151,summaryref2!S151,"")))))))))))</f>
        <v/>
      </c>
      <c r="BD108" s="1118" t="str">
        <f>IF('A-80 DirEntInv'!BD107&lt;&gt;"",'A-80 DirEntInv'!BD107,IF(AK108=summaryref2!B25,summaryref2!T25,IF(Summary!AK108=summaryref2!B39,summaryref2!T39,IF(AK108=summaryref2!B53,summaryref2!T53,IF(AK108=summaryref2!B67,summaryref2!T67,IF(AK108=summaryref2!B81,summaryref2!T81,IF(AK108=summaryref2!B95,summaryref2!T95,IF(AK108=summaryref2!B109,summaryref2!T109,IF(AK108=summaryref2!B123,summaryref2!T123,IF(AK108=summaryref2!B137,summaryref2!T137,IF(AK108=summaryref2!B151,summaryref2!T151,"")))))))))))</f>
        <v/>
      </c>
      <c r="BE108" s="1186" t="str">
        <f>IF('A-80 DirEntInv'!BE107&lt;&gt;"",'A-80 DirEntInv'!BE107,IF(AK108=summaryref2!B25,summaryref2!U25,IF(Summary!AK108=summaryref2!B39,summaryref2!U39,IF(AK108=summaryref2!B53,summaryref2!U53,IF(AK108=summaryref2!B67,summaryref2!U67,IF(AK108=summaryref2!B81,summaryref2!U81,IF(AK108=summaryref2!B95,summaryref2!U95,IF(AK108=summaryref2!B109,summaryref2!U109,IF(AK108=summaryref2!B123,summaryref2!U123,IF(AK108=summaryref2!B137,summaryref2!U137,IF(AK108=summaryref2!B151,summaryref2!U151,"")))))))))))</f>
        <v/>
      </c>
      <c r="BF108" s="1432"/>
      <c r="BG108" s="1432"/>
      <c r="BJ108" s="1047" t="str">
        <f>Codes!$C$169</f>
        <v>SR - Streetcar Rail (DO)</v>
      </c>
      <c r="BK108" s="1050" t="str">
        <f>Valid!$B$86</f>
        <v>Grade Crossings</v>
      </c>
      <c r="BL108" s="1369" t="str">
        <f>IF('A-80 DirEntInv'!BL107&lt;&gt;"",'A-80 DirEntInv'!BL107,IF(BJ108=summaryref2!X18,summaryref2!Z18,IF(BJ108=summaryref2!X25,summaryref2!Z25,IF(BJ108=summaryref2!X32,summaryref2!Z32,IF(BJ108=summaryref2!X39,summaryref2!Z39,IF(BJ108=summaryref2!X46,summaryref2!Z46,IF(BJ108=summaryref2!X53,summaryref2!Z53,IF(BJ108=summaryref2!X60,summaryref2!Z60,IF(BJ108=summaryref2!X67,summaryref2!Z67,IF(BJ108=summaryref2!X74,summaryref2!Z74,IF(BJ108=summaryref2!X81,summaryref2!Z81,"")))))))))))</f>
        <v/>
      </c>
      <c r="BM108" s="1050" t="str">
        <f>VLOOKUP(BK108,Valid!$B$80:$C$86,2,FALSE)</f>
        <v>Each</v>
      </c>
      <c r="BN108" s="1210" t="str">
        <f>IF('A-80 DirEntInv'!BN107&lt;&gt;"",'A-80 DirEntInv'!BN107,IF(BJ108=summaryref2!X18,summaryref2!AB18,IF(BJ108=summaryref2!X25,summaryref2!AB25,IF(BJ108=summaryref2!X32,summaryref2!AB32,IF(BJ108=summaryref2!X39,summaryref2!AB39,IF(BJ108=summaryref2!X46,summaryref2!AB46,IF(BJ108=summaryref2!X53,summaryref2!AB53,IF(BJ108=summaryref2!X60,summaryref2!AB60,IF(BJ108=summaryref2!X67,summaryref2!AB67,IF(BJ108=summaryref2!X74,summaryref2!AB74,IF(BJ108=summaryref2!X81,summaryref2!AB81,"")))))))))))</f>
        <v/>
      </c>
      <c r="BO108" s="1117" t="str">
        <f>IF('A-80 DirEntInv'!BO107&lt;&gt;"",'A-80 DirEntInv'!BO107,IF(BJ108=summaryref2!X18,summaryref2!AC18,IF(BJ108=summaryref2!X25,summaryref2!AC25,IF(BJ108=summaryref2!X32,summaryref2!AC32,IF(BJ108=summaryref2!X39,summaryref2!AC39,IF(BJ108=summaryref2!X46,summaryref2!AC46,IF(BJ108=summaryref2!X53,summaryref2!AC53,IF(BJ108=summaryref2!X60,summaryref2!AC60,IF(BJ108=summaryref2!X67,summaryref2!AC67,IF(BJ108=summaryref2!X74,summaryref2!AC74,IF(BJ108=summaryref2!X81,summaryref2!AC81,"")))))))))))</f>
        <v/>
      </c>
      <c r="BP108" s="1321" t="str">
        <f>IF('A-80 DirEntInv'!BP107&lt;&gt;"",'A-80 DirEntInv'!BP107,IF(BJ108=summaryref2!X18,summaryref2!AD18,IF(BJ108=summaryref2!X25,summaryref2!AD25,IF(BJ108=summaryref2!X32,summaryref2!AD32,IF(BJ108=summaryref2!X39,summaryref2!AD39,IF(BJ108=summaryref2!X46,summaryref2!AD46,IF(BJ108=summaryref2!X53,summaryref2!AD53,IF(BJ108=summaryref2!X60,summaryref2!AD60,IF(BJ108=summaryref2!X67,summaryref2!AD67,IF(BJ108=summaryref2!X74,summaryref2!AD74,IF(BJ108=summaryref2!X81,summaryref2!AD81,"")))))))))))</f>
        <v/>
      </c>
      <c r="BS108" s="1472" t="str">
        <f ca="1">IF('A-80 DirEntInv'!BU107&lt;&gt;"",'A-80 DirEntInv'!BU107,IF(INDIRECT(ADDRESS(SumRef!DK114,SumRef!DK$16,,,SumRef!$E$6))="","",INDIRECT(ADDRESS(SumRef!DK114,SumRef!DK$16,,,SumRef!$E$6))))</f>
        <v/>
      </c>
      <c r="BT108" s="1458" t="str">
        <f ca="1">IF('A-80 DirEntInv'!BV107&lt;&gt;"",'A-80 DirEntInv'!BV107,IF(INDIRECT(ADDRESS(SumRef!DL114,SumRef!DL$16,,,SumRef!$E$6))="","",INDIRECT(ADDRESS(SumRef!DL114,SumRef!DL$16,,,SumRef!$E$6))))</f>
        <v/>
      </c>
      <c r="BU108" s="1177" t="str">
        <f ca="1">IF('A-80 DirEntInv'!BW107&lt;&gt;"",'A-80 DirEntInv'!BW107,IF(INDIRECT(ADDRESS(SumRef!DM114,SumRef!DM$16,,,SumRef!$E$6))="","",INDIRECT(ADDRESS(SumRef!DM114,SumRef!DM$16,,,SumRef!$E$6))))</f>
        <v/>
      </c>
      <c r="BV108" s="1460" t="str">
        <f ca="1">IF('A-80 DirEntInv'!BX107&lt;&gt;"",'A-80 DirEntInv'!BX107,IF(INDIRECT(ADDRESS(SumRef!DN114,SumRef!DN$16,,,SumRef!$E$6))="","",INDIRECT(ADDRESS(SumRef!DN114,SumRef!DN$16,,,SumRef!$E$6))))</f>
        <v/>
      </c>
      <c r="BW108" s="1460" t="str">
        <f ca="1">IF('A-80 DirEntInv'!BY107&lt;&gt;"",'A-80 DirEntInv'!BY107,IF(INDIRECT(ADDRESS(SumRef!DO114,SumRef!DO$16,,,SumRef!$E$6))="","",INDIRECT(ADDRESS(SumRef!DO114,SumRef!DO$16,,,SumRef!$E$6))))</f>
        <v/>
      </c>
      <c r="BX108" s="1116" t="str">
        <f ca="1">IF('A-80 DirEntInv'!BZ107&lt;&gt;"",'A-80 DirEntInv'!BZ107,IF(INDIRECT(ADDRESS(SumRef!DP114,SumRef!DP$16,,,SumRef!$E$6))="","",INDIRECT(ADDRESS(SumRef!DP114,SumRef!DP$16,,,SumRef!$E$6))))</f>
        <v/>
      </c>
      <c r="BY108" s="1461" t="str">
        <f ca="1">IF('A-80 DirEntInv'!CA107&lt;&gt;"",'A-80 DirEntInv'!CA107,IF(INDIRECT(ADDRESS(SumRef!DQ114,SumRef!DQ$16,,,SumRef!$E$6))="","",INDIRECT(ADDRESS(SumRef!DQ114,SumRef!DQ$16,,,SumRef!$E$6))))</f>
        <v/>
      </c>
      <c r="BZ108" s="1460" t="str">
        <f ca="1">IF('A-80 DirEntInv'!CB107&lt;&gt;"",'A-80 DirEntInv'!CB107,IF(INDIRECT(ADDRESS(SumRef!DR114,SumRef!DR$16,,,SumRef!$E$6))="","",INDIRECT(ADDRESS(SumRef!DR114,SumRef!DR$16,,,SumRef!$E$6))))</f>
        <v/>
      </c>
      <c r="CA108" s="1462" t="str">
        <f ca="1">IF('A-80 DirEntInv'!CC107&lt;&gt;"",'A-80 DirEntInv'!CC107,IF(INDIRECT(ADDRESS(SumRef!DS114,SumRef!DS$16,,,SumRef!$E$6))="","",INDIRECT(ADDRESS(SumRef!DS114,SumRef!DS$16,,,SumRef!$E$6))))</f>
        <v/>
      </c>
      <c r="CD108" s="1160" t="str">
        <f ca="1">IF('A-80 DirEntInv'!CF107&lt;&gt;"",'A-80 DirEntInv'!CF107,IF(INDIRECT(ADDRESS(SumRef!DV114,SumRef!DV$16,,,SumRef!$E$7))="","",INDIRECT(ADDRESS(SumRef!DV114,SumRef!DV$16,,,SumRef!$E$7))))</f>
        <v/>
      </c>
      <c r="CE108" s="1167" t="str">
        <f ca="1">IF('A-80 DirEntInv'!CG107&lt;&gt;"",'A-80 DirEntInv'!CG107,IF(INDIRECT(ADDRESS(SumRef!DW114,SumRef!DW$16,,,SumRef!$E$7))="","",INDIRECT(ADDRESS(SumRef!DW114,SumRef!DW$16,,,SumRef!$E$7))))</f>
        <v/>
      </c>
      <c r="CF108" s="1167" t="str">
        <f ca="1">IF('A-80 DirEntInv'!CH107&lt;&gt;"",'A-80 DirEntInv'!CH107,IF(INDIRECT(ADDRESS(SumRef!DX114,SumRef!DX$16,,,SumRef!$E$7))="","",INDIRECT(ADDRESS(SumRef!DX114,SumRef!DX$16,,,SumRef!$E$7))))</f>
        <v/>
      </c>
      <c r="CG108" s="1167" t="str">
        <f ca="1">IF('A-80 DirEntInv'!CI107&lt;&gt;"",'A-80 DirEntInv'!CI107,IF(INDIRECT(ADDRESS(SumRef!DY114,SumRef!DY$16,,,SumRef!$E$7))="","",INDIRECT(ADDRESS(SumRef!DY114,SumRef!DY$16,,,SumRef!$E$7))))</f>
        <v/>
      </c>
      <c r="CH108" s="1167" t="str">
        <f ca="1">IF('A-80 DirEntInv'!CJ107&lt;&gt;"",'A-80 DirEntInv'!CJ107,IF(INDIRECT(ADDRESS(SumRef!DZ114,SumRef!DZ$16,,,SumRef!$E$7))="","",INDIRECT(ADDRESS(SumRef!DZ114,SumRef!DZ$16,,,SumRef!$E$7))))</f>
        <v/>
      </c>
      <c r="CI108" s="1167" t="str">
        <f ca="1">IF('A-80 DirEntInv'!CK107&lt;&gt;"",'A-80 DirEntInv'!CK107,IF(INDIRECT(ADDRESS(SumRef!EA114,SumRef!EA$16,,,SumRef!$E$7))="","",INDIRECT(ADDRESS(SumRef!EA114,SumRef!EA$16,,,SumRef!$E$7))))</f>
        <v/>
      </c>
      <c r="CJ108" s="1114" t="str">
        <f ca="1">IF('A-80 DirEntInv'!CL107&lt;&gt;"",'A-80 DirEntInv'!CL107,IF(INDIRECT(ADDRESS(SumRef!EB114,SumRef!EB$16,,,SumRef!$E$7))="","",INDIRECT(ADDRESS(SumRef!EB114,SumRef!EB$16,,,SumRef!$E$7))))</f>
        <v/>
      </c>
      <c r="CK108" s="1114" t="str">
        <f ca="1">IF('A-80 DirEntInv'!CM107&lt;&gt;"",'A-80 DirEntInv'!CM107,IF(INDIRECT(ADDRESS(SumRef!EC114,SumRef!EC$16,,,SumRef!$E$7))="","",INDIRECT(ADDRESS(SumRef!EC114,SumRef!EC$16,,,SumRef!$E$7))))</f>
        <v/>
      </c>
      <c r="CL108" s="1113" t="str">
        <f ca="1">IF('A-80 DirEntInv'!CO107&lt;&gt;"",'A-80 DirEntInv'!CO107,IF(INDIRECT(ADDRESS(SumRef!ED114,SumRef!ED$16,,,SumRef!$E$7))="","",INDIRECT(ADDRESS(SumRef!ED114,SumRef!ED$16,,,SumRef!$E$7))))</f>
        <v/>
      </c>
      <c r="CM108" s="1114" t="str">
        <f ca="1">IF('A-80 DirEntInv'!CP107&lt;&gt;"",'A-80 DirEntInv'!CP107,IF(INDIRECT(ADDRESS(SumRef!EE114,SumRef!EE$16,,,SumRef!$E$7))="","",INDIRECT(ADDRESS(SumRef!EE114,SumRef!EE$16,,,SumRef!$E$7))))</f>
        <v/>
      </c>
      <c r="CN108" s="1114" t="str">
        <f ca="1">IF('A-80 DirEntInv'!CQ107&lt;&gt;"",'A-80 DirEntInv'!CQ107,IF(INDIRECT(ADDRESS(SumRef!EF114,SumRef!EF$16,,,SumRef!$E$7))="","",INDIRECT(ADDRESS(SumRef!EF114,SumRef!EF$16,,,SumRef!$E$7))))</f>
        <v/>
      </c>
      <c r="CO108" s="1113" t="str">
        <f ca="1">IF('A-80 DirEntInv'!CR107&lt;&gt;"",'A-80 DirEntInv'!CR107,IF(INDIRECT(ADDRESS(SumRef!EG114,SumRef!EG$16,,,SumRef!$E$7))="","",INDIRECT(ADDRESS(SumRef!EG114,SumRef!EG$16,,,SumRef!$E$7))))</f>
        <v/>
      </c>
      <c r="CP108" s="1114" t="str">
        <f ca="1">IF('A-80 DirEntInv'!CS107&lt;&gt;"",'A-80 DirEntInv'!CS107,IF(INDIRECT(ADDRESS(SumRef!EH114,SumRef!EH$16,,,SumRef!$E$7))="","",INDIRECT(ADDRESS(SumRef!EH114,SumRef!EH$16,,,SumRef!$E$7))))</f>
        <v/>
      </c>
      <c r="CQ108" s="1346" t="str">
        <f ca="1">IF('A-80 DirEntInv'!CT107&lt;&gt;"",'A-80 DirEntInv'!CT107,IF(INDIRECT(ADDRESS(SumRef!EI114,SumRef!EI$16,,,SumRef!$E$7))="","",INDIRECT(ADDRESS(SumRef!EI114,SumRef!EI$16,,,SumRef!$E$7))))</f>
        <v/>
      </c>
      <c r="CR108" s="1113" t="str">
        <f ca="1">IF('A-80 DirEntInv'!CU107&lt;&gt;"",'A-80 DirEntInv'!CU107,IF(INDIRECT(ADDRESS(SumRef!EJ114,SumRef!EJ$16,,,SumRef!$E$7))="","",INDIRECT(ADDRESS(SumRef!EJ114,SumRef!EJ$16,,,SumRef!$E$7))))</f>
        <v/>
      </c>
      <c r="CS108" s="1346" t="str">
        <f ca="1">IF('A-80 DirEntInv'!CV107&lt;&gt;"",'A-80 DirEntInv'!CV107,IF(INDIRECT(ADDRESS(SumRef!EM114,SumRef!EM$16,,,SumRef!$E$7))="","",INDIRECT(ADDRESS(SumRef!EM114,SumRef!EM$16,,,SumRef!$E$7))))</f>
        <v/>
      </c>
      <c r="CT108" s="1113" t="str">
        <f ca="1">IF('A-80 DirEntInv'!CW107&lt;&gt;"",'A-80 DirEntInv'!CW107,IF(INDIRECT(ADDRESS(SumRef!EN114,SumRef!EN$16,,,SumRef!$E$7))="","",INDIRECT(ADDRESS(SumRef!EN114,SumRef!EN$16,,,SumRef!$E$7))))</f>
        <v/>
      </c>
      <c r="CU108" s="1113" t="str">
        <f ca="1">IF('A-80 DirEntInv'!CX107&lt;&gt;"",'A-80 DirEntInv'!CX107,IF(INDIRECT(ADDRESS(SumRef!EO114,SumRef!EO$16,,,SumRef!$E$7))="","",INDIRECT(ADDRESS(SumRef!EO114,SumRef!EO$16,,,SumRef!$E$7))))</f>
        <v/>
      </c>
      <c r="CV108" s="1113" t="str">
        <f ca="1">IF('A-80 DirEntInv'!CY107&lt;&gt;"",'A-80 DirEntInv'!CY107,IF(INDIRECT(ADDRESS(SumRef!EP114,SumRef!EP$16,,,SumRef!$E$7))="","",INDIRECT(ADDRESS(SumRef!EP114,SumRef!EP$16,,,SumRef!$E$7))))</f>
        <v/>
      </c>
      <c r="CW108" s="1114" t="str">
        <f ca="1">IF('A-80 DirEntInv'!CZ107&lt;&gt;"",'A-80 DirEntInv'!CZ107,IF(INDIRECT(ADDRESS(SumRef!ES114,SumRef!ES$16,,,SumRef!$E$7))="","",INDIRECT(ADDRESS(SumRef!ES114,SumRef!ES$16,,,SumRef!$E$7))))</f>
        <v/>
      </c>
      <c r="CX108" s="1167" t="str">
        <f ca="1">IF('A-80 DirEntInv'!DA107&lt;&gt;"",'A-80 DirEntInv'!DA107,IF(INDIRECT(ADDRESS(SumRef!ET114,SumRef!ET$16,,,SumRef!$E$7))="","",INDIRECT(ADDRESS(SumRef!ET114,SumRef!ET$16,,,SumRef!$E$7))))</f>
        <v/>
      </c>
      <c r="CY108" s="1167" t="str">
        <f ca="1">IF('A-80 DirEntInv'!DB107&lt;&gt;"",'A-80 DirEntInv'!DB107,IF(INDIRECT(ADDRESS(SumRef!EU114,SumRef!EU$16,,,SumRef!$E$7))="","",INDIRECT(ADDRESS(SumRef!EU114,SumRef!EU$16,,,SumRef!$E$7))))</f>
        <v/>
      </c>
      <c r="CZ108" s="1167" t="b">
        <f ca="1">IF('A-80 DirEntInv'!DC107&lt;&gt;"",'A-80 DirEntInv'!DC107,IF(INDIRECT(ADDRESS(SumRef!EV114,SumRef!EV$16,,,SumRef!$E$7))="","",INDIRECT(ADDRESS(SumRef!EV114,SumRef!EV$16,,,SumRef!$E$7))))</f>
        <v>0</v>
      </c>
      <c r="DA108" s="1373" t="str">
        <f ca="1">IF('A-80 DirEntInv'!DD107&lt;&gt;"",'A-80 DirEntInv'!DD107,IF(INDIRECT(ADDRESS(SumRef!EW114,SumRef!EW$16,,,SumRef!$E$7))="","",INDIRECT(ADDRESS(SumRef!EW114,SumRef!EW$16,,,SumRef!$E$7))))</f>
        <v/>
      </c>
      <c r="DB108" s="1373" t="b">
        <f ca="1">IF('A-80 DirEntInv'!DE107&lt;&gt;"",'A-80 DirEntInv'!DE107,IF(INDIRECT(ADDRESS(SumRef!EX114,SumRef!EX$16,,,SumRef!$E$7))="","",INDIRECT(ADDRESS(SumRef!EX114,SumRef!EX$16,,,SumRef!$E$7))))</f>
        <v>0</v>
      </c>
      <c r="DC108" s="1114" t="b">
        <f ca="1">IF('A-80 DirEntInv'!DF107&lt;&gt;"",'A-80 DirEntInv'!DF107,IF(INDIRECT(ADDRESS(SumRef!EY114,SumRef!EY$16,,,SumRef!$E$7))="","",INDIRECT(ADDRESS(SumRef!EY114,SumRef!EY$16,,,SumRef!$E$7))))</f>
        <v>0</v>
      </c>
      <c r="DD108" s="1115" t="str">
        <f ca="1">IF('A-80 DirEntInv'!DG107&lt;&gt;"",'A-80 DirEntInv'!DG107,IF(INDIRECT(ADDRESS(SumRef!EZ114,SumRef!EZ$16,,,SumRef!$E$7))="","",INDIRECT(ADDRESS(SumRef!EZ114,SumRef!EZ$16,,,SumRef!$E$7))))</f>
        <v/>
      </c>
    </row>
    <row r="109" spans="1:108" s="588" customFormat="1" x14ac:dyDescent="0.2">
      <c r="A109" s="589">
        <f t="shared" si="1"/>
        <v>99</v>
      </c>
      <c r="B109" s="1155" t="str">
        <f ca="1">IF('A-80 DirEntInv'!B108&lt;&gt;"",'A-80 DirEntInv'!B108,IF(INDIRECT(ADDRESS(SumRef!AQ115,SumRef!AQ$16,,,SumRef!$B$7))="","",INDIRECT(ADDRESS(SumRef!AQ115,SumRef!AQ$16,,,SumRef!$B$7))))</f>
        <v/>
      </c>
      <c r="C109" s="1097" t="str">
        <f ca="1">IF('A-80 DirEntInv'!C108&lt;&gt;"",'A-80 DirEntInv'!C108,IF(INDIRECT(ADDRESS(SumRef!AR115,SumRef!AR$16,,,SumRef!$B$7))="","",INDIRECT(ADDRESS(SumRef!AR115,SumRef!AR$16,,,SumRef!$B$7))))</f>
        <v/>
      </c>
      <c r="D109" s="1097" t="str">
        <f ca="1">IF('A-80 DirEntInv'!D108&lt;&gt;"",'A-80 DirEntInv'!D108,IF(INDIRECT(ADDRESS(SumRef!AS115,SumRef!AS$16,,,SumRef!$B$7))="","",INDIRECT(ADDRESS(SumRef!AS115,SumRef!AS$16,,,SumRef!$B$7))))</f>
        <v/>
      </c>
      <c r="E109" s="1097" t="str">
        <f ca="1">IF('A-80 DirEntInv'!E108&lt;&gt;"",'A-80 DirEntInv'!E108,IF(INDIRECT(ADDRESS(SumRef!AT115,SumRef!AT$16,,,SumRef!$B$7))="","",INDIRECT(ADDRESS(SumRef!AT115,SumRef!AT$16,,,SumRef!$B$7))))</f>
        <v/>
      </c>
      <c r="F109" s="1097" t="str">
        <f ca="1">IF('A-80 DirEntInv'!F108&lt;&gt;"",'A-80 DirEntInv'!F108,IF(INDIRECT(ADDRESS(SumRef!AU115,SumRef!AU$16,,,SumRef!$B$7))="","",INDIRECT(ADDRESS(SumRef!AU115,SumRef!AU$16,,,SumRef!$B$7))))</f>
        <v/>
      </c>
      <c r="G109" s="1158" t="str">
        <f ca="1">IF('A-80 DirEntInv'!G108&lt;&gt;"",'A-80 DirEntInv'!G108,IF(INDIRECT(ADDRESS(SumRef!AV115,SumRef!AV$16,,,SumRef!$B$7))="","",INDIRECT(ADDRESS(SumRef!AV115,SumRef!AV$16,,,SumRef!$B$7))))</f>
        <v/>
      </c>
      <c r="H109" s="1097" t="str">
        <f ca="1">IF('A-80 DirEntInv'!H108&lt;&gt;"",'A-80 DirEntInv'!H108,IF(INDIRECT(ADDRESS(SumRef!AW115,SumRef!AW$16,,,SumRef!$B$7))="","",INDIRECT(ADDRESS(SumRef!AW115,SumRef!AW$16,,,SumRef!$B$7))))</f>
        <v/>
      </c>
      <c r="I109" s="1097" t="str">
        <f ca="1">IF('A-80 DirEntInv'!I108&lt;&gt;"",'A-80 DirEntInv'!I108,IF(INDIRECT(ADDRESS(SumRef!AX115,SumRef!AX$16,,,SumRef!$B$7))="","",INDIRECT(ADDRESS(SumRef!AX115,SumRef!AX$16,,,SumRef!$B$7))))</f>
        <v/>
      </c>
      <c r="J109" s="1098" t="str">
        <f ca="1">IF('A-80 DirEntInv'!J108&lt;&gt;"",'A-80 DirEntInv'!J108,IF(INDIRECT(ADDRESS(SumRef!AY115,SumRef!AY$16,,,SumRef!$B$7))="","",INDIRECT(ADDRESS(SumRef!AY115,SumRef!AY$16,,,SumRef!$B$7))))</f>
        <v/>
      </c>
      <c r="K109" s="1099" t="str">
        <f ca="1">IF('A-80 DirEntInv'!K108&lt;&gt;"",'A-80 DirEntInv'!K108,IF(INDIRECT(ADDRESS(SumRef!AZ115,SumRef!AZ$16,,,SumRef!$B$7))="","",INDIRECT(ADDRESS(SumRef!AZ115,SumRef!AZ$16,,,SumRef!$B$7))))</f>
        <v/>
      </c>
      <c r="L109" s="1100" t="str">
        <f ca="1">IF('A-80 DirEntInv'!L108&lt;&gt;"",'A-80 DirEntInv'!L108,IF(INDIRECT(ADDRESS(SumRef!BA115,SumRef!BA$16,,,SumRef!$B$7))="","",INDIRECT(ADDRESS(SumRef!BA115,SumRef!BA$16,,,SumRef!$B$7))))</f>
        <v/>
      </c>
      <c r="M109" s="1101" t="str">
        <f ca="1">IF('A-80 DirEntInv'!M108&lt;&gt;"",'A-80 DirEntInv'!M108,IF(INDIRECT(ADDRESS(SumRef!BB115,SumRef!BB$16,,,SumRef!$B$7))="","",INDIRECT(ADDRESS(SumRef!BB115,SumRef!BB$16,,,SumRef!$B$7))))</f>
        <v/>
      </c>
      <c r="N109" s="1098" t="str">
        <f ca="1">IF('A-80 DirEntInv'!N108&lt;&gt;"",'A-80 DirEntInv'!N108,IF(INDIRECT(ADDRESS(SumRef!BC115,SumRef!BC$16,,,SumRef!$B$7))="","",INDIRECT(ADDRESS(SumRef!BC115,SumRef!BC$16,,,SumRef!$B$7))))</f>
        <v/>
      </c>
      <c r="O109" s="1102" t="str">
        <f ca="1">IF('A-80 DirEntInv'!O108&lt;&gt;"",'A-80 DirEntInv'!O108,IF(INDIRECT(ADDRESS(SumRef!BD115,SumRef!BD$16,,,SumRef!$B$7))="","",INDIRECT(ADDRESS(SumRef!BD115,SumRef!BD$16,,,SumRef!$B$7))))</f>
        <v/>
      </c>
      <c r="Q109" s="589"/>
      <c r="R109" s="1103" t="str">
        <f ca="1">IF('A-80 DirEntInv'!R108&lt;&gt;"",'A-80 DirEntInv'!R108,IF(INDIRECT(ADDRESS(SumRef!BH115,SumRef!BH$16,,,SumRef!$B$8))="","",INDIRECT(ADDRESS(SumRef!BH115,SumRef!BH$16,,,SumRef!$B$8))))</f>
        <v/>
      </c>
      <c r="S109" s="1104" t="str">
        <f ca="1">IF('A-80 DirEntInv'!S108&lt;&gt;"",'A-80 DirEntInv'!S108,IF(INDIRECT(ADDRESS(SumRef!BI115,SumRef!BI$16,,,SumRef!$B$8))="","",INDIRECT(ADDRESS(SumRef!BI115,SumRef!BI$16,,,SumRef!$B$8))))</f>
        <v/>
      </c>
      <c r="T109" s="1104" t="str">
        <f ca="1">IF('A-80 DirEntInv'!T108&lt;&gt;"",'A-80 DirEntInv'!T108,IF(INDIRECT(ADDRESS(SumRef!BJ115,SumRef!BJ$16,,,SumRef!$B$8))="","",INDIRECT(ADDRESS(SumRef!BJ115,SumRef!BJ$16,,,SumRef!$B$8))))</f>
        <v/>
      </c>
      <c r="U109" s="1104" t="str">
        <f ca="1">IF('A-80 DirEntInv'!U108&lt;&gt;"",'A-80 DirEntInv'!U108,IF(INDIRECT(ADDRESS(SumRef!BK115,SumRef!BK$16,,,SumRef!$B$8))="","",INDIRECT(ADDRESS(SumRef!BK115,SumRef!BK$16,,,SumRef!$B$8))))</f>
        <v/>
      </c>
      <c r="V109" s="1104" t="str">
        <f ca="1">IF('A-80 DirEntInv'!V108&lt;&gt;"",'A-80 DirEntInv'!V108,IF(INDIRECT(ADDRESS(SumRef!BL115,SumRef!BL$16,,,SumRef!$B$8))="","",INDIRECT(ADDRESS(SumRef!BL115,SumRef!BL$16,,,SumRef!$B$8))))</f>
        <v/>
      </c>
      <c r="W109" s="1354" t="str">
        <f ca="1">IF('A-80 DirEntInv'!W108&lt;&gt;"",'A-80 DirEntInv'!W108,IF(INDIRECT(ADDRESS(SumRef!BM115,SumRef!BM$16,,,SumRef!$B$8))="","",INDIRECT(ADDRESS(SumRef!BM115,SumRef!BM$16,,,SumRef!$B$8))))</f>
        <v/>
      </c>
      <c r="X109" s="1203" t="str">
        <f ca="1">IF('A-80 DirEntInv'!X108&lt;&gt;"",'A-80 DirEntInv'!X108,IF(INDIRECT(ADDRESS(SumRef!BN115,SumRef!BN$16,,,SumRef!$B$8))="","",INDIRECT(ADDRESS(SumRef!BN115,SumRef!BN$16,,,SumRef!$B$8))))</f>
        <v/>
      </c>
      <c r="Y109" s="1203" t="str">
        <f ca="1">IF('A-80 DirEntInv'!Y108&lt;&gt;"",'A-80 DirEntInv'!Y108,IF(INDIRECT(ADDRESS(SumRef!BO115,SumRef!BO$16,,,SumRef!$B$8))="","",INDIRECT(ADDRESS(SumRef!BO115,SumRef!BO$16,,,SumRef!$B$8))))</f>
        <v/>
      </c>
      <c r="Z109" s="1104" t="str">
        <f ca="1">IF('A-80 DirEntInv'!Z108&lt;&gt;"",'A-80 DirEntInv'!Z108,IF(INDIRECT(ADDRESS(SumRef!BP115,SumRef!BP$16,,,SumRef!$B$8))="","",INDIRECT(ADDRESS(SumRef!BP115,SumRef!BP$16,,,SumRef!$B$8))))</f>
        <v/>
      </c>
      <c r="AA109" s="1104" t="str">
        <f ca="1">IF('A-80 DirEntInv'!AA108&lt;&gt;"",'A-80 DirEntInv'!AA108,IF(INDIRECT(ADDRESS(SumRef!BQ115,SumRef!BQ$16,,,SumRef!$B$8))="","",INDIRECT(ADDRESS(SumRef!BQ115,SumRef!BQ$16,,,SumRef!$B$8))))</f>
        <v/>
      </c>
      <c r="AB109" s="1106" t="str">
        <f ca="1">IF('A-80 DirEntInv'!AB108&lt;&gt;"",'A-80 DirEntInv'!AB108,IF(INDIRECT(ADDRESS(SumRef!BR115,SumRef!BR$16,,,SumRef!$B$8))="","",INDIRECT(ADDRESS(SumRef!BR115,SumRef!BR$16,,,SumRef!$B$8))))</f>
        <v/>
      </c>
      <c r="AC109" s="1107" t="str">
        <f ca="1">IF('A-80 DirEntInv'!AC108&lt;&gt;"",'A-80 DirEntInv'!AC108,IF(INDIRECT(ADDRESS(SumRef!BS115,SumRef!BS$16,,,SumRef!$B$8))="","",INDIRECT(ADDRESS(SumRef!BS115,SumRef!BS$16,,,SumRef!$B$8))))</f>
        <v/>
      </c>
      <c r="AD109" s="1349" t="str">
        <f ca="1">IF('A-80 DirEntInv'!AD108&lt;&gt;"",'A-80 DirEntInv'!AD108,IF(INDIRECT(ADDRESS(SumRef!BT115,SumRef!BT$16,,,SumRef!$B$8))="","",INDIRECT(ADDRESS(SumRef!BT115,SumRef!BT$16,,,SumRef!$B$8))))</f>
        <v/>
      </c>
      <c r="AE109" s="1137" t="str">
        <f ca="1">IF('A-80 DirEntInv'!AE108&lt;&gt;"",'A-80 DirEntInv'!AE108,IF(INDIRECT(ADDRESS(SumRef!BU115,SumRef!BU$16,,,SumRef!$B$8))="","",INDIRECT(ADDRESS(SumRef!BU115,SumRef!BU$16,,,SumRef!$B$8))))</f>
        <v/>
      </c>
      <c r="AF109" s="1346" t="str">
        <f ca="1">IF('A-80 DirEntInv'!AF108&lt;&gt;"",'A-80 DirEntInv'!AF108,IF(INDIRECT(ADDRESS(SumRef!BV115,SumRef!BV$16,,,SumRef!$B$8))="","",INDIRECT(ADDRESS(SumRef!BV115,SumRef!BV$16,,,SumRef!$B$8))))</f>
        <v/>
      </c>
      <c r="AG109" s="1105" t="str">
        <f ca="1">IF('A-80 DirEntInv'!AG108&lt;&gt;"",'A-80 DirEntInv'!AG108,IF(INDIRECT(ADDRESS(SumRef!BW115,SumRef!BW$16,,,SumRef!$B$8))="","",INDIRECT(ADDRESS(SumRef!BW115,SumRef!BW$16,,,SumRef!$B$8))))</f>
        <v/>
      </c>
      <c r="AH109" s="1357" t="str">
        <f ca="1">IF('A-80 DirEntInv'!AH108&lt;&gt;"",'A-80 DirEntInv'!AH108,IF(INDIRECT(ADDRESS(SumRef!BX115,SumRef!BX$16,,,SumRef!$B$8))="","",INDIRECT(ADDRESS(SumRef!BX115,SumRef!BX$16,,,SumRef!$B$8))))</f>
        <v/>
      </c>
      <c r="AK109" s="1043" t="str">
        <f>Codes!$C$163</f>
        <v>HR - Heavy Rail (DO)</v>
      </c>
      <c r="AL109" s="1303" t="str">
        <f>Valid!$B$71</f>
        <v>At-Grade/Ballast (including expressway)</v>
      </c>
      <c r="AM109" s="1092" t="str">
        <f>IF('A-80 DirEntInv'!AM108&lt;&gt;"",'A-80 DirEntInv'!AM108,IF(AK109=summaryref2!B12,summaryref2!D12,IF(Summary!AK109=summaryref2!B26,summaryref2!D26,IF(AK109=summaryref2!B40,summaryref2!D40,IF(AK109=summaryref2!B54,summaryref2!D54,IF(AK109=summaryref2!B68,summaryref2!D68,IF(AK109=summaryref2!B82,summaryref2!D82,IF(AK109=summaryref2!B96,summaryref2!D96,IF(AK109=summaryref2!B110,summaryref2!D110,IF(AK109=summaryref2!B124,summaryref2!D124,IF(AK109=summaryref2!B138,summaryref2!D138,"")))))))))))</f>
        <v/>
      </c>
      <c r="AN109" s="1127" t="str">
        <f ca="1">IF('A-80 DirEntInv'!AN94&lt;&gt;"",'A-80 DirEntInv'!AN94,IF(INDIRECT(ADDRESS(SumRef!#REF!,SumRef!CG$16,,,SumRef!$C$7))="","",INDIRECT(ADDRESS(SumRef!#REF!,SumRef!CG$16,,,SumRef!$C$7))))</f>
        <v>Linear Feet</v>
      </c>
      <c r="AO109" s="1092" t="str">
        <f>IF('A-80 DirEntInv'!AO108&lt;&gt;"",'A-80 DirEntInv'!AO108,IF(AK109=summaryref2!B12,summaryref2!F12,IF(Summary!AK109=summaryref2!B26,summaryref2!F26,IF(AK109=summaryref2!B40,summaryref2!F40,IF(AK109=summaryref2!B54,summaryref2!F54,IF(AK109=summaryref2!B68,summaryref2!F68,IF(AK109=summaryref2!B82,summaryref2!F82,IF(AK109=summaryref2!B96,summaryref2!F96,IF(AK109=summaryref2!B110,summaryref2!F110,IF(AK109=summaryref2!B124,summaryref2!F124,IF(AK109=summaryref2!B138,summaryref2!F138,"")))))))))))</f>
        <v/>
      </c>
      <c r="AP109" s="1127" t="str">
        <f ca="1">IF('A-80 DirEntInv'!AP94&lt;&gt;"",'A-80 DirEntInv'!AP94,IF(INDIRECT(ADDRESS(SumRef!#REF!,SumRef!#REF!,,,SumRef!$C$7))="","",INDIRECT(ADDRESS(SumRef!#REF!,SumRef!#REF!,,,SumRef!$C$7))))</f>
        <v>Track Feet</v>
      </c>
      <c r="AQ109" s="1146" t="str">
        <f>IF('A-80 DirEntInv'!AQ108&lt;&gt;"",'A-80 DirEntInv'!AQ108,IF(AK109=summaryref2!B12,summaryref2!G12,IF(Summary!AK109=summaryref2!B26,summaryref2!G26,IF(AK109=summaryref2!B40,summaryref2!G40,IF(AK109=summaryref2!B54,summaryref2!G54,IF(AK109=summaryref2!B68,summaryref2!G68,IF(AK109=summaryref2!B82,summaryref2!G82,IF(AK109=summaryref2!B96,summaryref2!G96,IF(AK109=summaryref2!B110,summaryref2!G110,IF(AK109=summaryref2!B124,summaryref2!G124,IF(AK109=summaryref2!B138,summaryref2!G138,"")))))))))))</f>
        <v/>
      </c>
      <c r="AR109" s="1146" t="str">
        <f>IF('A-80 DirEntInv'!AR108&lt;&gt;"",'A-80 DirEntInv'!AR108,IF(AK109=summaryref2!B12,summaryref2!H12,IF(Summary!AK109=summaryref2!B26,summaryref2!H26,IF(AK109=summaryref2!B40,summaryref2!H40,IF(AK109=summaryref2!B54,summaryref2!H54,IF(AK109=summaryref2!B68,summaryref2!H68,IF(AK109=summaryref2!B82,summaryref2!H82,IF(AK109=summaryref2!B96,summaryref2!H96,IF(AK109=summaryref2!B110,summaryref2!H110,IF(AK109=summaryref2!B124,summaryref2!H124,IF(AK109=summaryref2!B138,summaryref2!H138,"")))))))))))</f>
        <v/>
      </c>
      <c r="AS109" s="1092" t="str">
        <f>IF('A-80 DirEntInv'!AS108&lt;&gt;"",'A-80 DirEntInv'!AS108,IF(AK109=summaryref2!B12,summaryref2!I12,IF(Summary!AK109=summaryref2!B26,summaryref2!I26,IF(AK109=summaryref2!B40,summaryref2!I40,IF(AK109=summaryref2!B54,summaryref2!I54,IF(AK109=summaryref2!B68,summaryref2!I68,IF(AK109=summaryref2!B82,summaryref2!I82,IF(AK109=summaryref2!B96,summaryref2!I96,IF(AK109=summaryref2!B110,summaryref2!I110,IF(AK109=summaryref2!B124,summaryref2!I124,IF(AK109=summaryref2!B138,summaryref2!I138,"")))))))))))</f>
        <v/>
      </c>
      <c r="AT109" s="1092" t="str">
        <f>IF('A-80 DirEntInv'!AT108&lt;&gt;"",'A-80 DirEntInv'!AT108,IF(AK109=summaryref2!B12,summaryref2!J12,IF(Summary!AK109=summaryref2!B26,summaryref2!J26,IF(AK109=summaryref2!B40,summaryref2!J40,IF(AK109=summaryref2!B54,summaryref2!J54,IF(AK109=summaryref2!B68,summaryref2!J68,IF(AK109=summaryref2!B82,summaryref2!J82,IF(AK109=summaryref2!B96,summaryref2!J96,IF(AK109=summaryref2!B110,summaryref2!J110,IF(AK109=summaryref2!B124,summaryref2!J124,IF(AK109=summaryref2!B138,summaryref2!J138,"")))))))))))</f>
        <v/>
      </c>
      <c r="AU109" s="1092" t="str">
        <f>IF('A-80 DirEntInv'!AU108&lt;&gt;"",'A-80 DirEntInv'!AU108,IF(AK109=summaryref2!B12,summaryref2!K12,IF(Summary!AK109=summaryref2!B26,summaryref2!K26,IF(AK109=summaryref2!B40,summaryref2!K40,IF(AK109=summaryref2!B54,summaryref2!K54,IF(AK109=summaryref2!B68,summaryref2!K68,IF(AK109=summaryref2!B82,summaryref2!K82,IF(AK109=summaryref2!B96,summaryref2!K96,IF(AK109=summaryref2!B110,summaryref2!K110,IF(AK109=summaryref2!B124,summaryref2!K124,IF(AK109=summaryref2!B138,summaryref2!K138,"")))))))))))</f>
        <v/>
      </c>
      <c r="AV109" s="1092" t="str">
        <f>IF('A-80 DirEntInv'!AV108&lt;&gt;"",'A-80 DirEntInv'!AV108,IF(AK109=summaryref2!B12,summaryref2!L12,IF(Summary!AK109=summaryref2!B26,summaryref2!L26,IF(AK109=summaryref2!B40,summaryref2!L40,IF(AK109=summaryref2!B54,summaryref2!L54,IF(AK109=summaryref2!B68,summaryref2!L68,IF(AK109=summaryref2!B82,summaryref2!L82,IF(AK109=summaryref2!B96,summaryref2!L96,IF(AK109=summaryref2!B110,summaryref2!L110,IF(AK109=summaryref2!B124,summaryref2!L124,IF(AK109=summaryref2!B138,summaryref2!L138,"")))))))))))</f>
        <v/>
      </c>
      <c r="AW109" s="1092" t="str">
        <f>IF('A-80 DirEntInv'!AW108&lt;&gt;"",'A-80 DirEntInv'!AW108,IF($AK109=summaryref2!$B$12,summaryref2!M$12,IF(Summary!$AK109=summaryref2!$B$26,summaryref2!M$26,IF($AK109=summaryref2!$B$40,summaryref2!M$40,IF($AK109=summaryref2!$B$54,summaryref2!M$54,IF($AK109=summaryref2!$B$68,summaryref2!M$68,IF($AK109=summaryref2!$B$82,summaryref2!M$82,IF($AK109=summaryref2!$B$96,summaryref2!M$96,IF($AK109=summaryref2!$B$110,summaryref2!M$110,IF($AK109=summaryref2!$B$124,summaryref2!M$124,IF($AK109=summaryref2!$B$138,summaryref2!M$138,"")))))))))))</f>
        <v/>
      </c>
      <c r="AX109" s="1092" t="str">
        <f>IF('A-80 DirEntInv'!AX108&lt;&gt;"",'A-80 DirEntInv'!AX108,IF(AK109=summaryref2!B12,summaryref2!N12,IF(Summary!AK109=summaryref2!B26,summaryref2!N26,IF(AK109=summaryref2!B40,summaryref2!N40,IF(AK109=summaryref2!B54,summaryref2!N54,IF(AK109=summaryref2!B68,summaryref2!N68,IF(AK109=summaryref2!B82,summaryref2!N82,IF(AK109=summaryref2!B96,summaryref2!N96,IF(AK109=summaryref2!B110,summaryref2!N110,IF(AK109=summaryref2!B124,summaryref2!N124,IF(AK109=summaryref2!B138,summaryref2!N138,"")))))))))))</f>
        <v/>
      </c>
      <c r="AY109" s="1092" t="str">
        <f>IF('A-80 DirEntInv'!AY108&lt;&gt;"",'A-80 DirEntInv'!AY108,IF(AK109=summaryref2!B12,summaryref2!O12,IF(Summary!AK109=summaryref2!B26,summaryref2!O26,IF(AK109=summaryref2!B40,summaryref2!O40,IF(AK109=summaryref2!B54,summaryref2!O54,IF(AK109=summaryref2!B68,summaryref2!O68,IF(AK109=summaryref2!B82,summaryref2!O82,IF(AK109=summaryref2!B96,summaryref2!O96,IF(AK109=summaryref2!B110,summaryref2!O110,IF(AK109=summaryref2!B124,summaryref2!O124,IF(AK109=summaryref2!B138,summaryref2!O138,"")))))))))))</f>
        <v/>
      </c>
      <c r="AZ109" s="1092" t="str">
        <f>IF('A-80 DirEntInv'!AZ108&lt;&gt;"",'A-80 DirEntInv'!AZ108,IF(AK109=summaryref2!B12,summaryref2!P12,IF(Summary!AK109=summaryref2!B26,summaryref2!P26,IF(AK109=summaryref2!B40,summaryref2!P40,IF(AK109=summaryref2!B54,summaryref2!P54,IF(AK109=summaryref2!B68,summaryref2!P68,IF(AK109=summaryref2!B82,summaryref2!P82,IF(AK109=summaryref2!B96,summaryref2!P96,IF(AK109=summaryref2!B110,summaryref2!P110,IF(AK109=summaryref2!B124,summaryref2!P124,IF(AK109=summaryref2!B138,summaryref2!P138,"")))))))))))</f>
        <v/>
      </c>
      <c r="BA109" s="1092" t="str">
        <f>IF('A-80 DirEntInv'!BA108&lt;&gt;"",'A-80 DirEntInv'!BA108,IF(AK109=summaryref2!B12,summaryref2!Q12,IF(Summary!AK109=summaryref2!B26,summaryref2!Q26,IF(AK109=summaryref2!B40,summaryref2!Q40,IF(AK109=summaryref2!B54,summaryref2!Q54,IF(AK109=summaryref2!B68,summaryref2!Q68,IF(AK109=summaryref2!B82,summaryref2!Q82,IF(AK109=summaryref2!B96,summaryref2!Q96,IF(AK109=summaryref2!B110,summaryref2!Q110,IF(AK109=summaryref2!B124,summaryref2!Q124,IF(AK109=summaryref2!B138,summaryref2!Q138,"")))))))))))</f>
        <v/>
      </c>
      <c r="BB109" s="1092" t="str">
        <f>IF('A-80 DirEntInv'!BB108&lt;&gt;"",'A-80 DirEntInv'!BB108,IF(AK109=summaryref2!B12,summaryref2!R12,IF(Summary!AK109=summaryref2!B26,summaryref2!R26,IF(AK109=summaryref2!B40,summaryref2!R40,IF(AK109=summaryref2!B54,summaryref2!R54,IF(AK109=summaryref2!B68,summaryref2!R68,IF(AK109=summaryref2!B82,summaryref2!R82,IF(AK109=summaryref2!B96,summaryref2!R96,IF(AK109=summaryref2!B110,summaryref2!R110,IF(AK109=summaryref2!B124,summaryref2!R124,IF(AK109=summaryref2!B138,summaryref2!R138,"")))))))))))</f>
        <v/>
      </c>
      <c r="BC109" s="1092" t="str">
        <f>IF('A-80 DirEntInv'!BC108&lt;&gt;0,'A-80 DirEntInv'!BC108,IF(AK109=summaryref2!B12,summaryref2!S12,IF(Summary!AK109=summaryref2!B26,summaryref2!S26,IF(AK109=summaryref2!B40,summaryref2!S40,IF(AK109=summaryref2!B54,summaryref2!S54,IF(AK109=summaryref2!B68,summaryref2!S68,IF(AK109=summaryref2!B82,summaryref2!S82,IF(AK109=summaryref2!B96,summaryref2!S96,IF(AK109=summaryref2!B110,summaryref2!S110,IF(AK109=summaryref2!B124,summaryref2!S124,IF(AK109=summaryref2!B138,summaryref2!S138,"")))))))))))</f>
        <v/>
      </c>
      <c r="BD109" s="1093" t="str">
        <f>IF('A-80 DirEntInv'!BD108&lt;&gt;"",'A-80 DirEntInv'!BD108,IF(AK109=summaryref2!B12,summaryref2!T12,IF(Summary!AK109=summaryref2!B26,summaryref2!T26,IF(AK109=summaryref2!B40,summaryref2!T40,IF(AK109=summaryref2!B54,summaryref2!T54,IF(AK109=summaryref2!B68,summaryref2!T68,IF(AK109=summaryref2!B82,summaryref2!T82,IF(AK109=summaryref2!B96,summaryref2!T96,IF(AK109=summaryref2!B110,summaryref2!T110,IF(AK109=summaryref2!B124,summaryref2!T124,IF(AK109=summaryref2!B138,summaryref2!T138,"")))))))))))</f>
        <v/>
      </c>
      <c r="BE109" s="1189" t="str">
        <f>IF('A-80 DirEntInv'!BE108&lt;&gt;"",'A-80 DirEntInv'!BE108,IF(AK109=summaryref2!B12,summaryref2!U12,IF(Summary!AK109=summaryref2!B26,summaryref2!U26,IF(AK109=summaryref2!B40,summaryref2!U40,IF(AK109=summaryref2!B54,summaryref2!U54,IF(AK109=summaryref2!B68,summaryref2!U68,IF(AK109=summaryref2!B82,summaryref2!U82,IF(AK109=summaryref2!B96,summaryref2!U96,IF(AK109=summaryref2!B110,summaryref2!U110,IF(AK109=summaryref2!B124,summaryref2!U124,IF(AK109=summaryref2!B138,summaryref2!U138,"")))))))))))</f>
        <v/>
      </c>
      <c r="BF109" s="1431"/>
      <c r="BG109" s="1431"/>
      <c r="BJ109" s="1043" t="str">
        <f>Codes!$C$170</f>
        <v>SR - Streetcar Rail (PT)</v>
      </c>
      <c r="BK109" s="1303" t="str">
        <f>Valid!$B$80</f>
        <v>Tangent</v>
      </c>
      <c r="BL109" s="1366" t="str">
        <f>IF('A-80 DirEntInv'!BL108&lt;&gt;"",'A-80 DirEntInv'!BL108,IF(BJ109=summaryref2!X12,summaryref2!Z12,IF(BJ109=summaryref2!X19,summaryref2!Z19,IF(BJ109=summaryref2!X26,summaryref2!Z26,IF(BJ109=summaryref2!X33,summaryref2!Z33,IF(BJ109=summaryref2!X40,summaryref2!Z40,IF(BJ109=summaryref2!X47,summaryref2!Z47,IF(BJ109=summaryref2!X54,summaryref2!Z54,IF(BJ109=summaryref2!X61,summaryref2!Z61,IF(BJ109=summaryref2!X68,summaryref2!Z68,IF(BJ109=summaryref2!X75,summaryref2!Z75,"")))))))))))</f>
        <v/>
      </c>
      <c r="BM109" s="1303" t="str">
        <f>VLOOKUP(BK109,Valid!$B$80:$C$86,2,FALSE)</f>
        <v>Track Feet</v>
      </c>
      <c r="BN109" s="1208" t="str">
        <f>IF('A-80 DirEntInv'!BN108&lt;&gt;"",'A-80 DirEntInv'!BN108,IF(BJ109=summaryref2!X12,summaryref2!AB12,IF(BJ109=summaryref2!X19,summaryref2!AB19,IF(BJ109=summaryref2!X26,summaryref2!AB26,IF(BJ109=summaryref2!X33,summaryref2!AB33,IF(BJ109=summaryref2!X40,summaryref2!AB40,IF(BJ109=summaryref2!X47,summaryref2!AB47,IF(BJ109=summaryref2!X54,summaryref2!AB54,IF(BJ109=summaryref2!X61,summaryref2!AB61,IF(BJ109=summaryref2!X68,summaryref2!AB68,IF(BJ109=summaryref2!X75,summaryref2!AB75,"")))))))))))</f>
        <v/>
      </c>
      <c r="BO109" s="1112" t="str">
        <f>IF('A-80 DirEntInv'!BO108&lt;&gt;"",'A-80 DirEntInv'!BO108,IF(BJ109=summaryref2!X12,summaryref2!AC12,IF(BJ109=summaryref2!X19,summaryref2!AC19,IF(BJ109=summaryref2!X26,summaryref2!AC26,IF(BJ109=summaryref2!X33,summaryref2!AC33,IF(BJ109=summaryref2!X40,summaryref2!AC40,IF(BJ109=summaryref2!X47,summaryref2!AC47,IF(BJ109=summaryref2!X54,summaryref2!AC54,IF(BJ109=summaryref2!X61,summaryref2!AC61,IF(BJ109=summaryref2!X68,summaryref2!AC68,IF(BJ109=summaryref2!X75,summaryref2!AC75,"")))))))))))</f>
        <v/>
      </c>
      <c r="BP109" s="1320" t="str">
        <f>IF('A-80 DirEntInv'!BP108&lt;&gt;"",'A-80 DirEntInv'!BP108,IF(BJ109=summaryref2!X12,summaryref2!AD12,IF(BJ109=summaryref2!X19,summaryref2!AD19,IF(BJ109=summaryref2!X26,summaryref2!AD26,IF(BJ109=summaryref2!X33,summaryref2!AD33,IF(BJ109=summaryref2!X40,summaryref2!AD40,IF(BJ109=summaryref2!X47,summaryref2!AD47,IF(BJ109=summaryref2!X54,summaryref2!AD54,IF(BJ109=summaryref2!X61,summaryref2!AD61,IF(BJ109=summaryref2!X68,summaryref2!AD68,IF(BJ109=summaryref2!X75,summaryref2!AD75,"")))))))))))</f>
        <v/>
      </c>
      <c r="BS109" s="1472" t="str">
        <f ca="1">IF('A-80 DirEntInv'!BU108&lt;&gt;"",'A-80 DirEntInv'!BU108,IF(INDIRECT(ADDRESS(SumRef!DK115,SumRef!DK$16,,,SumRef!$E$6))="","",INDIRECT(ADDRESS(SumRef!DK115,SumRef!DK$16,,,SumRef!$E$6))))</f>
        <v/>
      </c>
      <c r="BT109" s="1458" t="str">
        <f ca="1">IF('A-80 DirEntInv'!BV108&lt;&gt;"",'A-80 DirEntInv'!BV108,IF(INDIRECT(ADDRESS(SumRef!DL115,SumRef!DL$16,,,SumRef!$E$6))="","",INDIRECT(ADDRESS(SumRef!DL115,SumRef!DL$16,,,SumRef!$E$6))))</f>
        <v/>
      </c>
      <c r="BU109" s="1177" t="str">
        <f ca="1">IF('A-80 DirEntInv'!BW108&lt;&gt;"",'A-80 DirEntInv'!BW108,IF(INDIRECT(ADDRESS(SumRef!DM115,SumRef!DM$16,,,SumRef!$E$6))="","",INDIRECT(ADDRESS(SumRef!DM115,SumRef!DM$16,,,SumRef!$E$6))))</f>
        <v/>
      </c>
      <c r="BV109" s="1460" t="str">
        <f ca="1">IF('A-80 DirEntInv'!BX108&lt;&gt;"",'A-80 DirEntInv'!BX108,IF(INDIRECT(ADDRESS(SumRef!DN115,SumRef!DN$16,,,SumRef!$E$6))="","",INDIRECT(ADDRESS(SumRef!DN115,SumRef!DN$16,,,SumRef!$E$6))))</f>
        <v/>
      </c>
      <c r="BW109" s="1460" t="str">
        <f ca="1">IF('A-80 DirEntInv'!BY108&lt;&gt;"",'A-80 DirEntInv'!BY108,IF(INDIRECT(ADDRESS(SumRef!DO115,SumRef!DO$16,,,SumRef!$E$6))="","",INDIRECT(ADDRESS(SumRef!DO115,SumRef!DO$16,,,SumRef!$E$6))))</f>
        <v/>
      </c>
      <c r="BX109" s="1116" t="str">
        <f ca="1">IF('A-80 DirEntInv'!BZ108&lt;&gt;"",'A-80 DirEntInv'!BZ108,IF(INDIRECT(ADDRESS(SumRef!DP115,SumRef!DP$16,,,SumRef!$E$6))="","",INDIRECT(ADDRESS(SumRef!DP115,SumRef!DP$16,,,SumRef!$E$6))))</f>
        <v/>
      </c>
      <c r="BY109" s="1461" t="str">
        <f ca="1">IF('A-80 DirEntInv'!CA108&lt;&gt;"",'A-80 DirEntInv'!CA108,IF(INDIRECT(ADDRESS(SumRef!DQ115,SumRef!DQ$16,,,SumRef!$E$6))="","",INDIRECT(ADDRESS(SumRef!DQ115,SumRef!DQ$16,,,SumRef!$E$6))))</f>
        <v/>
      </c>
      <c r="BZ109" s="1460" t="str">
        <f ca="1">IF('A-80 DirEntInv'!CB108&lt;&gt;"",'A-80 DirEntInv'!CB108,IF(INDIRECT(ADDRESS(SumRef!DR115,SumRef!DR$16,,,SumRef!$E$6))="","",INDIRECT(ADDRESS(SumRef!DR115,SumRef!DR$16,,,SumRef!$E$6))))</f>
        <v/>
      </c>
      <c r="CA109" s="1462" t="str">
        <f ca="1">IF('A-80 DirEntInv'!CC108&lt;&gt;"",'A-80 DirEntInv'!CC108,IF(INDIRECT(ADDRESS(SumRef!DS115,SumRef!DS$16,,,SumRef!$E$6))="","",INDIRECT(ADDRESS(SumRef!DS115,SumRef!DS$16,,,SumRef!$E$6))))</f>
        <v/>
      </c>
      <c r="CD109" s="1160" t="str">
        <f ca="1">IF('A-80 DirEntInv'!CF108&lt;&gt;"",'A-80 DirEntInv'!CF108,IF(INDIRECT(ADDRESS(SumRef!DV115,SumRef!DV$16,,,SumRef!$E$7))="","",INDIRECT(ADDRESS(SumRef!DV115,SumRef!DV$16,,,SumRef!$E$7))))</f>
        <v/>
      </c>
      <c r="CE109" s="1167" t="str">
        <f ca="1">IF('A-80 DirEntInv'!CG108&lt;&gt;"",'A-80 DirEntInv'!CG108,IF(INDIRECT(ADDRESS(SumRef!DW115,SumRef!DW$16,,,SumRef!$E$7))="","",INDIRECT(ADDRESS(SumRef!DW115,SumRef!DW$16,,,SumRef!$E$7))))</f>
        <v/>
      </c>
      <c r="CF109" s="1167" t="str">
        <f ca="1">IF('A-80 DirEntInv'!CH108&lt;&gt;"",'A-80 DirEntInv'!CH108,IF(INDIRECT(ADDRESS(SumRef!DX115,SumRef!DX$16,,,SumRef!$E$7))="","",INDIRECT(ADDRESS(SumRef!DX115,SumRef!DX$16,,,SumRef!$E$7))))</f>
        <v/>
      </c>
      <c r="CG109" s="1167" t="str">
        <f ca="1">IF('A-80 DirEntInv'!CI108&lt;&gt;"",'A-80 DirEntInv'!CI108,IF(INDIRECT(ADDRESS(SumRef!DY115,SumRef!DY$16,,,SumRef!$E$7))="","",INDIRECT(ADDRESS(SumRef!DY115,SumRef!DY$16,,,SumRef!$E$7))))</f>
        <v/>
      </c>
      <c r="CH109" s="1167" t="str">
        <f ca="1">IF('A-80 DirEntInv'!CJ108&lt;&gt;"",'A-80 DirEntInv'!CJ108,IF(INDIRECT(ADDRESS(SumRef!DZ115,SumRef!DZ$16,,,SumRef!$E$7))="","",INDIRECT(ADDRESS(SumRef!DZ115,SumRef!DZ$16,,,SumRef!$E$7))))</f>
        <v/>
      </c>
      <c r="CI109" s="1167" t="str">
        <f ca="1">IF('A-80 DirEntInv'!CK108&lt;&gt;"",'A-80 DirEntInv'!CK108,IF(INDIRECT(ADDRESS(SumRef!EA115,SumRef!EA$16,,,SumRef!$E$7))="","",INDIRECT(ADDRESS(SumRef!EA115,SumRef!EA$16,,,SumRef!$E$7))))</f>
        <v/>
      </c>
      <c r="CJ109" s="1114" t="str">
        <f ca="1">IF('A-80 DirEntInv'!CL108&lt;&gt;"",'A-80 DirEntInv'!CL108,IF(INDIRECT(ADDRESS(SumRef!EB115,SumRef!EB$16,,,SumRef!$E$7))="","",INDIRECT(ADDRESS(SumRef!EB115,SumRef!EB$16,,,SumRef!$E$7))))</f>
        <v/>
      </c>
      <c r="CK109" s="1114" t="str">
        <f ca="1">IF('A-80 DirEntInv'!CM108&lt;&gt;"",'A-80 DirEntInv'!CM108,IF(INDIRECT(ADDRESS(SumRef!EC115,SumRef!EC$16,,,SumRef!$E$7))="","",INDIRECT(ADDRESS(SumRef!EC115,SumRef!EC$16,,,SumRef!$E$7))))</f>
        <v/>
      </c>
      <c r="CL109" s="1113" t="str">
        <f ca="1">IF('A-80 DirEntInv'!CO108&lt;&gt;"",'A-80 DirEntInv'!CO108,IF(INDIRECT(ADDRESS(SumRef!ED115,SumRef!ED$16,,,SumRef!$E$7))="","",INDIRECT(ADDRESS(SumRef!ED115,SumRef!ED$16,,,SumRef!$E$7))))</f>
        <v/>
      </c>
      <c r="CM109" s="1114" t="str">
        <f ca="1">IF('A-80 DirEntInv'!CP108&lt;&gt;"",'A-80 DirEntInv'!CP108,IF(INDIRECT(ADDRESS(SumRef!EE115,SumRef!EE$16,,,SumRef!$E$7))="","",INDIRECT(ADDRESS(SumRef!EE115,SumRef!EE$16,,,SumRef!$E$7))))</f>
        <v/>
      </c>
      <c r="CN109" s="1114" t="str">
        <f ca="1">IF('A-80 DirEntInv'!CQ108&lt;&gt;"",'A-80 DirEntInv'!CQ108,IF(INDIRECT(ADDRESS(SumRef!EF115,SumRef!EF$16,,,SumRef!$E$7))="","",INDIRECT(ADDRESS(SumRef!EF115,SumRef!EF$16,,,SumRef!$E$7))))</f>
        <v/>
      </c>
      <c r="CO109" s="1113" t="str">
        <f ca="1">IF('A-80 DirEntInv'!CR108&lt;&gt;"",'A-80 DirEntInv'!CR108,IF(INDIRECT(ADDRESS(SumRef!EG115,SumRef!EG$16,,,SumRef!$E$7))="","",INDIRECT(ADDRESS(SumRef!EG115,SumRef!EG$16,,,SumRef!$E$7))))</f>
        <v/>
      </c>
      <c r="CP109" s="1114" t="str">
        <f ca="1">IF('A-80 DirEntInv'!CS108&lt;&gt;"",'A-80 DirEntInv'!CS108,IF(INDIRECT(ADDRESS(SumRef!EH115,SumRef!EH$16,,,SumRef!$E$7))="","",INDIRECT(ADDRESS(SumRef!EH115,SumRef!EH$16,,,SumRef!$E$7))))</f>
        <v/>
      </c>
      <c r="CQ109" s="1346" t="str">
        <f ca="1">IF('A-80 DirEntInv'!CT108&lt;&gt;"",'A-80 DirEntInv'!CT108,IF(INDIRECT(ADDRESS(SumRef!EI115,SumRef!EI$16,,,SumRef!$E$7))="","",INDIRECT(ADDRESS(SumRef!EI115,SumRef!EI$16,,,SumRef!$E$7))))</f>
        <v/>
      </c>
      <c r="CR109" s="1113" t="str">
        <f ca="1">IF('A-80 DirEntInv'!CU108&lt;&gt;"",'A-80 DirEntInv'!CU108,IF(INDIRECT(ADDRESS(SumRef!EJ115,SumRef!EJ$16,,,SumRef!$E$7))="","",INDIRECT(ADDRESS(SumRef!EJ115,SumRef!EJ$16,,,SumRef!$E$7))))</f>
        <v/>
      </c>
      <c r="CS109" s="1346" t="str">
        <f ca="1">IF('A-80 DirEntInv'!CV108&lt;&gt;"",'A-80 DirEntInv'!CV108,IF(INDIRECT(ADDRESS(SumRef!EM115,SumRef!EM$16,,,SumRef!$E$7))="","",INDIRECT(ADDRESS(SumRef!EM115,SumRef!EM$16,,,SumRef!$E$7))))</f>
        <v/>
      </c>
      <c r="CT109" s="1113" t="str">
        <f ca="1">IF('A-80 DirEntInv'!CW108&lt;&gt;"",'A-80 DirEntInv'!CW108,IF(INDIRECT(ADDRESS(SumRef!EN115,SumRef!EN$16,,,SumRef!$E$7))="","",INDIRECT(ADDRESS(SumRef!EN115,SumRef!EN$16,,,SumRef!$E$7))))</f>
        <v/>
      </c>
      <c r="CU109" s="1113" t="str">
        <f ca="1">IF('A-80 DirEntInv'!CX108&lt;&gt;"",'A-80 DirEntInv'!CX108,IF(INDIRECT(ADDRESS(SumRef!EO115,SumRef!EO$16,,,SumRef!$E$7))="","",INDIRECT(ADDRESS(SumRef!EO115,SumRef!EO$16,,,SumRef!$E$7))))</f>
        <v/>
      </c>
      <c r="CV109" s="1113" t="str">
        <f ca="1">IF('A-80 DirEntInv'!CY108&lt;&gt;"",'A-80 DirEntInv'!CY108,IF(INDIRECT(ADDRESS(SumRef!EP115,SumRef!EP$16,,,SumRef!$E$7))="","",INDIRECT(ADDRESS(SumRef!EP115,SumRef!EP$16,,,SumRef!$E$7))))</f>
        <v/>
      </c>
      <c r="CW109" s="1114" t="str">
        <f ca="1">IF('A-80 DirEntInv'!CZ108&lt;&gt;"",'A-80 DirEntInv'!CZ108,IF(INDIRECT(ADDRESS(SumRef!ES115,SumRef!ES$16,,,SumRef!$E$7))="","",INDIRECT(ADDRESS(SumRef!ES115,SumRef!ES$16,,,SumRef!$E$7))))</f>
        <v/>
      </c>
      <c r="CX109" s="1167" t="str">
        <f ca="1">IF('A-80 DirEntInv'!DA108&lt;&gt;"",'A-80 DirEntInv'!DA108,IF(INDIRECT(ADDRESS(SumRef!ET115,SumRef!ET$16,,,SumRef!$E$7))="","",INDIRECT(ADDRESS(SumRef!ET115,SumRef!ET$16,,,SumRef!$E$7))))</f>
        <v/>
      </c>
      <c r="CY109" s="1167" t="str">
        <f ca="1">IF('A-80 DirEntInv'!DB108&lt;&gt;"",'A-80 DirEntInv'!DB108,IF(INDIRECT(ADDRESS(SumRef!EU115,SumRef!EU$16,,,SumRef!$E$7))="","",INDIRECT(ADDRESS(SumRef!EU115,SumRef!EU$16,,,SumRef!$E$7))))</f>
        <v/>
      </c>
      <c r="CZ109" s="1167" t="b">
        <f ca="1">IF('A-80 DirEntInv'!DC108&lt;&gt;"",'A-80 DirEntInv'!DC108,IF(INDIRECT(ADDRESS(SumRef!EV115,SumRef!EV$16,,,SumRef!$E$7))="","",INDIRECT(ADDRESS(SumRef!EV115,SumRef!EV$16,,,SumRef!$E$7))))</f>
        <v>0</v>
      </c>
      <c r="DA109" s="1373" t="str">
        <f ca="1">IF('A-80 DirEntInv'!DD108&lt;&gt;"",'A-80 DirEntInv'!DD108,IF(INDIRECT(ADDRESS(SumRef!EW115,SumRef!EW$16,,,SumRef!$E$7))="","",INDIRECT(ADDRESS(SumRef!EW115,SumRef!EW$16,,,SumRef!$E$7))))</f>
        <v/>
      </c>
      <c r="DB109" s="1373" t="b">
        <f ca="1">IF('A-80 DirEntInv'!DE108&lt;&gt;"",'A-80 DirEntInv'!DE108,IF(INDIRECT(ADDRESS(SumRef!EX115,SumRef!EX$16,,,SumRef!$E$7))="","",INDIRECT(ADDRESS(SumRef!EX115,SumRef!EX$16,,,SumRef!$E$7))))</f>
        <v>0</v>
      </c>
      <c r="DC109" s="1114" t="b">
        <f ca="1">IF('A-80 DirEntInv'!DF108&lt;&gt;"",'A-80 DirEntInv'!DF108,IF(INDIRECT(ADDRESS(SumRef!EY115,SumRef!EY$16,,,SumRef!$E$7))="","",INDIRECT(ADDRESS(SumRef!EY115,SumRef!EY$16,,,SumRef!$E$7))))</f>
        <v>0</v>
      </c>
      <c r="DD109" s="1115" t="str">
        <f ca="1">IF('A-80 DirEntInv'!DG108&lt;&gt;"",'A-80 DirEntInv'!DG108,IF(INDIRECT(ADDRESS(SumRef!EZ115,SumRef!EZ$16,,,SumRef!$E$7))="","",INDIRECT(ADDRESS(SumRef!EZ115,SumRef!EZ$16,,,SumRef!$E$7))))</f>
        <v/>
      </c>
    </row>
    <row r="110" spans="1:108" s="588" customFormat="1" ht="13.5" thickBot="1" x14ac:dyDescent="0.25">
      <c r="A110" s="589">
        <f t="shared" si="1"/>
        <v>100</v>
      </c>
      <c r="B110" s="1481" t="str">
        <f ca="1">IF('A-80 DirEntInv'!B109&lt;&gt;"",'A-80 DirEntInv'!B109,IF(INDIRECT(ADDRESS(SumRef!AQ116,SumRef!AQ$16,,,SumRef!$B$7))="","",INDIRECT(ADDRESS(SumRef!AQ116,SumRef!AQ$16,,,SumRef!$B$7))))</f>
        <v/>
      </c>
      <c r="C110" s="1482" t="str">
        <f ca="1">IF('A-80 DirEntInv'!C109&lt;&gt;"",'A-80 DirEntInv'!C109,IF(INDIRECT(ADDRESS(SumRef!AR116,SumRef!AR$16,,,SumRef!$B$7))="","",INDIRECT(ADDRESS(SumRef!AR116,SumRef!AR$16,,,SumRef!$B$7))))</f>
        <v/>
      </c>
      <c r="D110" s="1482" t="str">
        <f ca="1">IF('A-80 DirEntInv'!D109&lt;&gt;"",'A-80 DirEntInv'!D109,IF(INDIRECT(ADDRESS(SumRef!AS116,SumRef!AS$16,,,SumRef!$B$7))="","",INDIRECT(ADDRESS(SumRef!AS116,SumRef!AS$16,,,SumRef!$B$7))))</f>
        <v/>
      </c>
      <c r="E110" s="1482" t="str">
        <f ca="1">IF('A-80 DirEntInv'!E109&lt;&gt;"",'A-80 DirEntInv'!E109,IF(INDIRECT(ADDRESS(SumRef!AT116,SumRef!AT$16,,,SumRef!$B$7))="","",INDIRECT(ADDRESS(SumRef!AT116,SumRef!AT$16,,,SumRef!$B$7))))</f>
        <v/>
      </c>
      <c r="F110" s="1482" t="str">
        <f ca="1">IF('A-80 DirEntInv'!F109&lt;&gt;"",'A-80 DirEntInv'!F109,IF(INDIRECT(ADDRESS(SumRef!AU116,SumRef!AU$16,,,SumRef!$B$7))="","",INDIRECT(ADDRESS(SumRef!AU116,SumRef!AU$16,,,SumRef!$B$7))))</f>
        <v/>
      </c>
      <c r="G110" s="1483" t="str">
        <f ca="1">IF('A-80 DirEntInv'!G109&lt;&gt;"",'A-80 DirEntInv'!G109,IF(INDIRECT(ADDRESS(SumRef!AV116,SumRef!AV$16,,,SumRef!$B$7))="","",INDIRECT(ADDRESS(SumRef!AV116,SumRef!AV$16,,,SumRef!$B$7))))</f>
        <v/>
      </c>
      <c r="H110" s="1482" t="str">
        <f ca="1">IF('A-80 DirEntInv'!H109&lt;&gt;"",'A-80 DirEntInv'!H109,IF(INDIRECT(ADDRESS(SumRef!AW116,SumRef!AW$16,,,SumRef!$B$7))="","",INDIRECT(ADDRESS(SumRef!AW116,SumRef!AW$16,,,SumRef!$B$7))))</f>
        <v/>
      </c>
      <c r="I110" s="1482" t="str">
        <f ca="1">IF('A-80 DirEntInv'!I109&lt;&gt;"",'A-80 DirEntInv'!I109,IF(INDIRECT(ADDRESS(SumRef!AX116,SumRef!AX$16,,,SumRef!$B$7))="","",INDIRECT(ADDRESS(SumRef!AX116,SumRef!AX$16,,,SumRef!$B$7))))</f>
        <v/>
      </c>
      <c r="J110" s="1484" t="str">
        <f ca="1">IF('A-80 DirEntInv'!J109&lt;&gt;"",'A-80 DirEntInv'!J109,IF(INDIRECT(ADDRESS(SumRef!AY116,SumRef!AY$16,,,SumRef!$B$7))="","",INDIRECT(ADDRESS(SumRef!AY116,SumRef!AY$16,,,SumRef!$B$7))))</f>
        <v/>
      </c>
      <c r="K110" s="1485" t="str">
        <f ca="1">IF('A-80 DirEntInv'!K109&lt;&gt;"",'A-80 DirEntInv'!K109,IF(INDIRECT(ADDRESS(SumRef!AZ116,SumRef!AZ$16,,,SumRef!$B$7))="","",INDIRECT(ADDRESS(SumRef!AZ116,SumRef!AZ$16,,,SumRef!$B$7))))</f>
        <v/>
      </c>
      <c r="L110" s="1486" t="str">
        <f ca="1">IF('A-80 DirEntInv'!L109&lt;&gt;"",'A-80 DirEntInv'!L109,IF(INDIRECT(ADDRESS(SumRef!BA116,SumRef!BA$16,,,SumRef!$B$7))="","",INDIRECT(ADDRESS(SumRef!BA116,SumRef!BA$16,,,SumRef!$B$7))))</f>
        <v/>
      </c>
      <c r="M110" s="1487" t="str">
        <f ca="1">IF('A-80 DirEntInv'!M109&lt;&gt;"",'A-80 DirEntInv'!M109,IF(INDIRECT(ADDRESS(SumRef!BB116,SumRef!BB$16,,,SumRef!$B$7))="","",INDIRECT(ADDRESS(SumRef!BB116,SumRef!BB$16,,,SumRef!$B$7))))</f>
        <v/>
      </c>
      <c r="N110" s="1484" t="str">
        <f ca="1">IF('A-80 DirEntInv'!N109&lt;&gt;"",'A-80 DirEntInv'!N109,IF(INDIRECT(ADDRESS(SumRef!BC116,SumRef!BC$16,,,SumRef!$B$7))="","",INDIRECT(ADDRESS(SumRef!BC116,SumRef!BC$16,,,SumRef!$B$7))))</f>
        <v/>
      </c>
      <c r="O110" s="1361" t="str">
        <f ca="1">IF('A-80 DirEntInv'!O109&lt;&gt;"",'A-80 DirEntInv'!O109,IF(INDIRECT(ADDRESS(SumRef!BD116,SumRef!BD$16,,,SumRef!$B$7))="","",INDIRECT(ADDRESS(SumRef!BD116,SumRef!BD$16,,,SumRef!$B$7))))</f>
        <v/>
      </c>
      <c r="Q110" s="589"/>
      <c r="R110" s="1128" t="str">
        <f ca="1">IF('A-80 DirEntInv'!R109&lt;&gt;"",'A-80 DirEntInv'!R109,IF(INDIRECT(ADDRESS(SumRef!BH116,SumRef!BH$16,,,SumRef!$B$8))="","",INDIRECT(ADDRESS(SumRef!BH116,SumRef!BH$16,,,SumRef!$B$8))))</f>
        <v/>
      </c>
      <c r="S110" s="1129" t="str">
        <f ca="1">IF('A-80 DirEntInv'!S109&lt;&gt;"",'A-80 DirEntInv'!S109,IF(INDIRECT(ADDRESS(SumRef!BI116,SumRef!BI$16,,,SumRef!$B$8))="","",INDIRECT(ADDRESS(SumRef!BI116,SumRef!BI$16,,,SumRef!$B$8))))</f>
        <v/>
      </c>
      <c r="T110" s="1129" t="str">
        <f ca="1">IF('A-80 DirEntInv'!T109&lt;&gt;"",'A-80 DirEntInv'!T109,IF(INDIRECT(ADDRESS(SumRef!BJ116,SumRef!BJ$16,,,SumRef!$B$8))="","",INDIRECT(ADDRESS(SumRef!BJ116,SumRef!BJ$16,,,SumRef!$B$8))))</f>
        <v/>
      </c>
      <c r="U110" s="1129" t="str">
        <f ca="1">IF('A-80 DirEntInv'!U109&lt;&gt;"",'A-80 DirEntInv'!U109,IF(INDIRECT(ADDRESS(SumRef!BK116,SumRef!BK$16,,,SumRef!$B$8))="","",INDIRECT(ADDRESS(SumRef!BK116,SumRef!BK$16,,,SumRef!$B$8))))</f>
        <v/>
      </c>
      <c r="V110" s="1129" t="str">
        <f ca="1">IF('A-80 DirEntInv'!V109&lt;&gt;"",'A-80 DirEntInv'!V109,IF(INDIRECT(ADDRESS(SumRef!BL116,SumRef!BL$16,,,SumRef!$B$8))="","",INDIRECT(ADDRESS(SumRef!BL116,SumRef!BL$16,,,SumRef!$B$8))))</f>
        <v/>
      </c>
      <c r="W110" s="1355" t="str">
        <f ca="1">IF('A-80 DirEntInv'!W109&lt;&gt;"",'A-80 DirEntInv'!W109,IF(INDIRECT(ADDRESS(SumRef!BM116,SumRef!BM$16,,,SumRef!$B$8))="","",INDIRECT(ADDRESS(SumRef!BM116,SumRef!BM$16,,,SumRef!$B$8))))</f>
        <v/>
      </c>
      <c r="X110" s="1204" t="str">
        <f ca="1">IF('A-80 DirEntInv'!X109&lt;&gt;"",'A-80 DirEntInv'!X109,IF(INDIRECT(ADDRESS(SumRef!BN116,SumRef!BN$16,,,SumRef!$B$8))="","",INDIRECT(ADDRESS(SumRef!BN116,SumRef!BN$16,,,SumRef!$B$8))))</f>
        <v/>
      </c>
      <c r="Y110" s="1204" t="str">
        <f ca="1">IF('A-80 DirEntInv'!Y109&lt;&gt;"",'A-80 DirEntInv'!Y109,IF(INDIRECT(ADDRESS(SumRef!BO116,SumRef!BO$16,,,SumRef!$B$8))="","",INDIRECT(ADDRESS(SumRef!BO116,SumRef!BO$16,,,SumRef!$B$8))))</f>
        <v/>
      </c>
      <c r="Z110" s="1129" t="str">
        <f ca="1">IF('A-80 DirEntInv'!Z109&lt;&gt;"",'A-80 DirEntInv'!Z109,IF(INDIRECT(ADDRESS(SumRef!BP116,SumRef!BP$16,,,SumRef!$B$8))="","",INDIRECT(ADDRESS(SumRef!BP116,SumRef!BP$16,,,SumRef!$B$8))))</f>
        <v/>
      </c>
      <c r="AA110" s="1129" t="str">
        <f ca="1">IF('A-80 DirEntInv'!AA109&lt;&gt;"",'A-80 DirEntInv'!AA109,IF(INDIRECT(ADDRESS(SumRef!BQ116,SumRef!BQ$16,,,SumRef!$B$8))="","",INDIRECT(ADDRESS(SumRef!BQ116,SumRef!BQ$16,,,SumRef!$B$8))))</f>
        <v/>
      </c>
      <c r="AB110" s="1131" t="str">
        <f ca="1">IF('A-80 DirEntInv'!AB109&lt;&gt;"",'A-80 DirEntInv'!AB109,IF(INDIRECT(ADDRESS(SumRef!BR116,SumRef!BR$16,,,SumRef!$B$8))="","",INDIRECT(ADDRESS(SumRef!BR116,SumRef!BR$16,,,SumRef!$B$8))))</f>
        <v/>
      </c>
      <c r="AC110" s="1132" t="str">
        <f ca="1">IF('A-80 DirEntInv'!AC109&lt;&gt;"",'A-80 DirEntInv'!AC109,IF(INDIRECT(ADDRESS(SumRef!BS116,SumRef!BS$16,,,SumRef!$B$8))="","",INDIRECT(ADDRESS(SumRef!BS116,SumRef!BS$16,,,SumRef!$B$8))))</f>
        <v/>
      </c>
      <c r="AD110" s="1350" t="str">
        <f ca="1">IF('A-80 DirEntInv'!AD109&lt;&gt;"",'A-80 DirEntInv'!AD109,IF(INDIRECT(ADDRESS(SumRef!BT116,SumRef!BT$16,,,SumRef!$B$8))="","",INDIRECT(ADDRESS(SumRef!BT116,SumRef!BT$16,,,SumRef!$B$8))))</f>
        <v/>
      </c>
      <c r="AE110" s="1138" t="str">
        <f ca="1">IF('A-80 DirEntInv'!AE109&lt;&gt;"",'A-80 DirEntInv'!AE109,IF(INDIRECT(ADDRESS(SumRef!BU116,SumRef!BU$16,,,SumRef!$B$8))="","",INDIRECT(ADDRESS(SumRef!BU116,SumRef!BU$16,,,SumRef!$B$8))))</f>
        <v/>
      </c>
      <c r="AF110" s="1347" t="str">
        <f ca="1">IF('A-80 DirEntInv'!AF109&lt;&gt;"",'A-80 DirEntInv'!AF109,IF(INDIRECT(ADDRESS(SumRef!BV116,SumRef!BV$16,,,SumRef!$B$8))="","",INDIRECT(ADDRESS(SumRef!BV116,SumRef!BV$16,,,SumRef!$B$8))))</f>
        <v/>
      </c>
      <c r="AG110" s="1130" t="str">
        <f ca="1">IF('A-80 DirEntInv'!AG109&lt;&gt;"",'A-80 DirEntInv'!AG109,IF(INDIRECT(ADDRESS(SumRef!BW116,SumRef!BW$16,,,SumRef!$B$8))="","",INDIRECT(ADDRESS(SumRef!BW116,SumRef!BW$16,,,SumRef!$B$8))))</f>
        <v/>
      </c>
      <c r="AH110" s="1358" t="str">
        <f ca="1">IF('A-80 DirEntInv'!AH109&lt;&gt;"",'A-80 DirEntInv'!AH109,IF(INDIRECT(ADDRESS(SumRef!BX116,SumRef!BX$16,,,SumRef!$B$8))="","",INDIRECT(ADDRESS(SumRef!BX116,SumRef!BX$16,,,SumRef!$B$8))))</f>
        <v/>
      </c>
      <c r="AK110" s="1041" t="str">
        <f>Codes!$C$163</f>
        <v>HR - Heavy Rail (DO)</v>
      </c>
      <c r="AL110" s="1042" t="str">
        <f>Valid!$B$72</f>
        <v>At-Grade/In-Street/Embedded</v>
      </c>
      <c r="AM110" s="1108" t="str">
        <f>IF('A-80 DirEntInv'!AM109&lt;&gt;"",'A-80 DirEntInv'!AM109,IF(AK110=summaryref2!B13,summaryref2!D13,IF(Summary!AK110=summaryref2!B27,summaryref2!D27,IF(AK110=summaryref2!B41,summaryref2!D41,IF(AK110=summaryref2!B55,summaryref2!D55,IF(AK110=summaryref2!B69,summaryref2!D69,IF(AK110=summaryref2!B83,summaryref2!D83,IF(AK110=summaryref2!B97,summaryref2!D97,IF(AK110=summaryref2!B111,summaryref2!D111,IF(AK110=summaryref2!B125,summaryref2!D125,IF(AK110=summaryref2!B139,summaryref2!D139,"")))))))))))</f>
        <v/>
      </c>
      <c r="AN110" s="1109" t="str">
        <f ca="1">IF('A-80 DirEntInv'!AN109&lt;&gt;"",'A-80 DirEntInv'!AN109,IF(INDIRECT(ADDRESS(SumRef!CG254,SumRef!CG$16,,,SumRef!$C$7))="","",INDIRECT(ADDRESS(SumRef!CG254,SumRef!CG$16,,,SumRef!$C$7))))</f>
        <v>Linear Feet</v>
      </c>
      <c r="AO110" s="1108" t="str">
        <f>IF('A-80 DirEntInv'!AO109&lt;&gt;"",'A-80 DirEntInv'!AO109,IF(AK110=summaryref2!B13,summaryref2!F13,IF(Summary!AK110=summaryref2!B27,summaryref2!F27,IF(AK110=summaryref2!B41,summaryref2!F41,IF(AK110=summaryref2!B55,summaryref2!F55,IF(AK110=summaryref2!B69,summaryref2!F69,IF(AK110=summaryref2!B83,summaryref2!F83,IF(AK110=summaryref2!B97,summaryref2!F97,IF(AK110=summaryref2!B111,summaryref2!F111,IF(AK110=summaryref2!B125,summaryref2!F125,IF(AK110=summaryref2!B139,summaryref2!F139,"")))))))))))</f>
        <v/>
      </c>
      <c r="AP110" s="1109" t="str">
        <f ca="1">IF('A-80 DirEntInv'!AP109&lt;&gt;"",'A-80 DirEntInv'!AP109,IF(INDIRECT(ADDRESS(SumRef!#REF!,SumRef!#REF!,,,SumRef!$C$7))="","",INDIRECT(ADDRESS(SumRef!#REF!,SumRef!#REF!,,,SumRef!$C$7))))</f>
        <v>Track Feet</v>
      </c>
      <c r="AQ110" s="1147" t="str">
        <f>IF('A-80 DirEntInv'!AQ109&lt;&gt;"",'A-80 DirEntInv'!AQ109,IF(AK110=summaryref2!B13,summaryref2!G13,IF(Summary!AK110=summaryref2!B27,summaryref2!G27,IF(AK110=summaryref2!B41,summaryref2!G41,IF(AK110=summaryref2!B55,summaryref2!G55,IF(AK110=summaryref2!B69,summaryref2!G69,IF(AK110=summaryref2!B83,summaryref2!G83,IF(AK110=summaryref2!B97,summaryref2!G97,IF(AK110=summaryref2!B111,summaryref2!G111,IF(AK110=summaryref2!B125,summaryref2!G125,IF(AK110=summaryref2!B139,summaryref2!G139,"")))))))))))</f>
        <v/>
      </c>
      <c r="AR110" s="1147" t="str">
        <f>IF('A-80 DirEntInv'!AR109&lt;&gt;"",'A-80 DirEntInv'!AR109,IF(AK110=summaryref2!B13,summaryref2!H13,IF(Summary!AK110=summaryref2!B27,summaryref2!H27,IF(AK110=summaryref2!B41,summaryref2!H41,IF(AK110=summaryref2!B55,summaryref2!H55,IF(AK110=summaryref2!B69,summaryref2!H69,IF(AK110=summaryref2!B83,summaryref2!H83,IF(AK110=summaryref2!B97,summaryref2!H97,IF(AK110=summaryref2!B111,summaryref2!H111,IF(AK110=summaryref2!B125,summaryref2!H125,IF(AK110=summaryref2!B139,summaryref2!H139,"")))))))))))</f>
        <v/>
      </c>
      <c r="AS110" s="1110" t="str">
        <f>IF('A-80 DirEntInv'!AS109&lt;&gt;"",'A-80 DirEntInv'!AS109,IF(AK110=summaryref2!B13,summaryref2!I13,IF(Summary!AK110=summaryref2!B27,summaryref2!I27,IF(AK110=summaryref2!B41,summaryref2!I41,IF(AK110=summaryref2!B55,summaryref2!I55,IF(AK110=summaryref2!B69,summaryref2!I69,IF(AK110=summaryref2!B83,summaryref2!I83,IF(AK110=summaryref2!B97,summaryref2!I97,IF(AK110=summaryref2!B111,summaryref2!I111,IF(AK110=summaryref2!B125,summaryref2!I125,IF(AK110=summaryref2!B139,summaryref2!I139,"")))))))))))</f>
        <v/>
      </c>
      <c r="AT110" s="1110" t="str">
        <f>IF('A-80 DirEntInv'!AT109&lt;&gt;"",'A-80 DirEntInv'!AT109,IF(AK110=summaryref2!B13,summaryref2!J13,IF(Summary!AK110=summaryref2!B27,summaryref2!J27,IF(AK110=summaryref2!B41,summaryref2!J41,IF(AK110=summaryref2!B55,summaryref2!J55,IF(AK110=summaryref2!B69,summaryref2!J69,IF(AK110=summaryref2!B83,summaryref2!J83,IF(AK110=summaryref2!B97,summaryref2!J97,IF(AK110=summaryref2!B111,summaryref2!J111,IF(AK110=summaryref2!B125,summaryref2!J125,IF(AK110=summaryref2!B139,summaryref2!J139,"")))))))))))</f>
        <v/>
      </c>
      <c r="AU110" s="1110" t="str">
        <f>IF('A-80 DirEntInv'!AU109&lt;&gt;"",'A-80 DirEntInv'!AU109,IF(AK110=summaryref2!B13,summaryref2!K13,IF(Summary!AK110=summaryref2!B27,summaryref2!K27,IF(AK110=summaryref2!B41,summaryref2!K41,IF(AK110=summaryref2!B55,summaryref2!K55,IF(AK110=summaryref2!B69,summaryref2!K69,IF(AK110=summaryref2!B83,summaryref2!K83,IF(AK110=summaryref2!B97,summaryref2!K97,IF(AK110=summaryref2!B111,summaryref2!K111,IF(AK110=summaryref2!B125,summaryref2!K125,IF(AK110=summaryref2!B139,summaryref2!K139,"")))))))))))</f>
        <v/>
      </c>
      <c r="AV110" s="1110" t="str">
        <f>IF('A-80 DirEntInv'!AV109&lt;&gt;"",'A-80 DirEntInv'!AV109,IF(AK110=summaryref2!B13,summaryref2!L13,IF(Summary!AK110=summaryref2!B27,summaryref2!L27,IF(AK110=summaryref2!B41,summaryref2!L41,IF(AK110=summaryref2!B55,summaryref2!L55,IF(AK110=summaryref2!B69,summaryref2!L69,IF(AK110=summaryref2!B83,summaryref2!L83,IF(AK110=summaryref2!B97,summaryref2!L97,IF(AK110=summaryref2!B111,summaryref2!L111,IF(AK110=summaryref2!B125,summaryref2!L125,IF(AK110=summaryref2!B139,summaryref2!L139,"")))))))))))</f>
        <v/>
      </c>
      <c r="AW110" s="1110" t="str">
        <f>IF('A-80 DirEntInv'!AW109&lt;&gt;"",'A-80 DirEntInv'!AW109,IF(AK110=summaryref2!B13,summaryref2!M13,IF(Summary!AK110=summaryref2!B27,summaryref2!M27,IF(AK110=summaryref2!B41,summaryref2!M41,IF(AK110=summaryref2!B55,summaryref2!M55,IF(AK110=summaryref2!B69,summaryref2!M69,IF(AK110=summaryref2!B83,summaryref2!M83,IF(AK110=summaryref2!B97,summaryref2!M97,IF(AK110=summaryref2!B111,summaryref2!M111,IF(AK110=summaryref2!B125,summaryref2!M125,IF(AK110=summaryref2!B139,summaryref2!M139,"")))))))))))</f>
        <v/>
      </c>
      <c r="AX110" s="1110" t="str">
        <f>IF('A-80 DirEntInv'!AX109&lt;&gt;"",'A-80 DirEntInv'!AX109,IF(AK110=summaryref2!B13,summaryref2!N13,IF(Summary!AK110=summaryref2!B27,summaryref2!N27,IF(AK110=summaryref2!B41,summaryref2!N41,IF(AK110=summaryref2!B55,summaryref2!N55,IF(AK110=summaryref2!B69,summaryref2!N69,IF(AK110=summaryref2!B83,summaryref2!N83,IF(AK110=summaryref2!B97,summaryref2!N97,IF(AK110=summaryref2!B111,summaryref2!N111,IF(AK110=summaryref2!B125,summaryref2!N125,IF(AK110=summaryref2!B139,summaryref2!N139,"")))))))))))</f>
        <v/>
      </c>
      <c r="AY110" s="1110" t="str">
        <f>IF('A-80 DirEntInv'!AY109&lt;&gt;"",'A-80 DirEntInv'!AY109,IF(AK110=summaryref2!B13,summaryref2!O13,IF(Summary!AK110=summaryref2!B27,summaryref2!O27,IF(AK110=summaryref2!B41,summaryref2!O41,IF(AK110=summaryref2!B55,summaryref2!O55,IF(AK110=summaryref2!B69,summaryref2!O69,IF(AK110=summaryref2!B83,summaryref2!O83,IF(AK110=summaryref2!B97,summaryref2!O97,IF(AK110=summaryref2!B111,summaryref2!O111,IF(AK110=summaryref2!B125,summaryref2!O125,IF(AK110=summaryref2!B139,summaryref2!O139,"")))))))))))</f>
        <v/>
      </c>
      <c r="AZ110" s="1110" t="str">
        <f>IF('A-80 DirEntInv'!AZ109&lt;&gt;"",'A-80 DirEntInv'!AZ109,IF(AK110=summaryref2!B13,summaryref2!P13,IF(Summary!AK110=summaryref2!B27,summaryref2!P27,IF(AK110=summaryref2!B41,summaryref2!P41,IF(AK110=summaryref2!B55,summaryref2!P55,IF(AK110=summaryref2!B69,summaryref2!P69,IF(AK110=summaryref2!B83,summaryref2!P83,IF(AK110=summaryref2!B97,summaryref2!P97,IF(AK110=summaryref2!B111,summaryref2!P111,IF(AK110=summaryref2!B125,summaryref2!P125,IF(AK110=summaryref2!B139,summaryref2!P139,"")))))))))))</f>
        <v/>
      </c>
      <c r="BA110" s="1110" t="str">
        <f>IF('A-80 DirEntInv'!BA109&lt;&gt;"",'A-80 DirEntInv'!BA109,IF(AK110=summaryref2!B13,summaryref2!Q13,IF(Summary!AK110=summaryref2!B27,summaryref2!Q27,IF(AK110=summaryref2!B41,summaryref2!Q41,IF(AK110=summaryref2!B55,summaryref2!Q55,IF(AK110=summaryref2!B69,summaryref2!Q69,IF(AK110=summaryref2!B83,summaryref2!Q83,IF(AK110=summaryref2!B97,summaryref2!Q97,IF(AK110=summaryref2!B111,summaryref2!Q111,IF(AK110=summaryref2!B125,summaryref2!Q125,IF(AK110=summaryref2!B139,summaryref2!Q139,"")))))))))))</f>
        <v/>
      </c>
      <c r="BB110" s="1110" t="str">
        <f>IF('A-80 DirEntInv'!BB109&lt;&gt;"",'A-80 DirEntInv'!BB109,IF(AK110=summaryref2!B13,summaryref2!R13,IF(Summary!AK110=summaryref2!B27,summaryref2!R27,IF(AK110=summaryref2!B41,summaryref2!R41,IF(AK110=summaryref2!B55,summaryref2!R55,IF(AK110=summaryref2!B69,summaryref2!R69,IF(AK110=summaryref2!B83,summaryref2!R83,IF(AK110=summaryref2!B97,summaryref2!R97,IF(AK110=summaryref2!B111,summaryref2!R111,IF(AK110=summaryref2!B125,summaryref2!R125,IF(AK110=summaryref2!B139,summaryref2!R139,"")))))))))))</f>
        <v/>
      </c>
      <c r="BC110" s="1110" t="str">
        <f>IF('A-80 DirEntInv'!BC109&lt;&gt;0,'A-80 DirEntInv'!BC109,IF(AK110=summaryref2!B13,summaryref2!S13,IF(Summary!AK110=summaryref2!B27,summaryref2!S27,IF(AK110=summaryref2!B41,summaryref2!S41,IF(AK110=summaryref2!B55,summaryref2!S55,IF(AK110=summaryref2!B69,summaryref2!S69,IF(AK110=summaryref2!B83,summaryref2!S83,IF(AK110=summaryref2!B97,summaryref2!S97,IF(AK110=summaryref2!B111,summaryref2!S111,IF(AK110=summaryref2!B125,summaryref2!S125,IF(AK110=summaryref2!B139,summaryref2!S139,"")))))))))))</f>
        <v/>
      </c>
      <c r="BD110" s="1111" t="str">
        <f>IF('A-80 DirEntInv'!BD109&lt;&gt;"",'A-80 DirEntInv'!BD109,IF(AK110=summaryref2!B13,summaryref2!T13,IF(Summary!AK110=summaryref2!B27,summaryref2!T27,IF(AK110=summaryref2!B41,summaryref2!T41,IF(AK110=summaryref2!B55,summaryref2!T55,IF(AK110=summaryref2!B69,summaryref2!T69,IF(AK110=summaryref2!B83,summaryref2!T83,IF(AK110=summaryref2!B97,summaryref2!T97,IF(AK110=summaryref2!B111,summaryref2!T111,IF(AK110=summaryref2!B125,summaryref2!T125,IF(AK110=summaryref2!B139,summaryref2!T139,"")))))))))))</f>
        <v/>
      </c>
      <c r="BE110" s="1184" t="str">
        <f>IF('A-80 DirEntInv'!BE109&lt;&gt;"",'A-80 DirEntInv'!BE109,IF(AK110=summaryref2!B13,summaryref2!U13,IF(Summary!AK110=summaryref2!B27,summaryref2!U27,IF(AK110=summaryref2!B41,summaryref2!U41,IF(AK110=summaryref2!B55,summaryref2!U55,IF(AK110=summaryref2!B69,summaryref2!U69,IF(AK110=summaryref2!B83,summaryref2!U83,IF(AK110=summaryref2!B97,summaryref2!U97,IF(AK110=summaryref2!B111,summaryref2!U111,IF(AK110=summaryref2!B125,summaryref2!U125,IF(AK110=summaryref2!B139,summaryref2!U139,"")))))))))))</f>
        <v/>
      </c>
      <c r="BF110" s="1432"/>
      <c r="BG110" s="1432"/>
      <c r="BJ110" s="1048" t="str">
        <f>Codes!$C$170</f>
        <v>SR - Streetcar Rail (PT)</v>
      </c>
      <c r="BK110" s="1049" t="str">
        <f>Valid!$B$81</f>
        <v>Curve</v>
      </c>
      <c r="BL110" s="1367" t="str">
        <f>IF('A-80 DirEntInv'!BL109&lt;&gt;"",'A-80 DirEntInv'!BL109,IF(BJ110=summaryref2!X13,summaryref2!Z13,IF(BJ110=summaryref2!X20,summaryref2!Z20,IF(BJ110=summaryref2!X27,summaryref2!Z27,IF(BJ110=summaryref2!X34,summaryref2!Z34,IF(BJ110=summaryref2!X41,summaryref2!Z41,IF(BJ110=summaryref2!X48,summaryref2!Z48,IF(BJ110=summaryref2!X55,summaryref2!Z55,IF(BJ110=summaryref2!X62,summaryref2!Z62,IF(BJ110=summaryref2!X69,summaryref2!Z69,IF(BJ110=summaryref2!X76,summaryref2!Z76,"")))))))))))</f>
        <v/>
      </c>
      <c r="BM110" s="1049" t="str">
        <f>VLOOKUP(BK110,Valid!$B$80:$C$86,2,FALSE)</f>
        <v>Track Feet</v>
      </c>
      <c r="BN110" s="1324" t="str">
        <f>IF('A-80 DirEntInv'!BN109&lt;&gt;"",'A-80 DirEntInv'!BN109,IF(BJ110=summaryref2!X13,summaryref2!AB13,IF(BJ110=summaryref2!X20,summaryref2!AB20,IF(BJ110=summaryref2!X27,summaryref2!AB27,IF(BJ110=summaryref2!X34,summaryref2!AB34,IF(BJ110=summaryref2!X41,summaryref2!AB41,IF(BJ110=summaryref2!X48,summaryref2!AB48,IF(BJ110=summaryref2!X55,summaryref2!AB55,IF(BJ110=summaryref2!X62,summaryref2!AB62,IF(BJ110=summaryref2!X69,summaryref2!AB69,IF(BJ110=summaryref2!X76,summaryref2!AB76,"")))))))))))</f>
        <v/>
      </c>
      <c r="BO110" s="1326" t="str">
        <f>IF('A-80 DirEntInv'!BO109&lt;&gt;"",'A-80 DirEntInv'!BO109,IF(BJ110=summaryref2!X13,summaryref2!AC13,IF(BJ110=summaryref2!X20,summaryref2!AC20,IF(BJ110=summaryref2!X27,summaryref2!AC27,IF(BJ110=summaryref2!X34,summaryref2!AC34,IF(BJ110=summaryref2!X41,summaryref2!AC41,IF(BJ110=summaryref2!X48,summaryref2!AC48,IF(BJ110=summaryref2!X55,summaryref2!AC55,IF(BJ110=summaryref2!X62,summaryref2!AC62,IF(BJ110=summaryref2!X69,summaryref2!AC69,IF(BJ110=summaryref2!X76,summaryref2!AC76,"")))))))))))</f>
        <v/>
      </c>
      <c r="BP110" s="1323" t="str">
        <f>IF('A-80 DirEntInv'!BP109&lt;&gt;"",'A-80 DirEntInv'!BP109,IF(BJ110=summaryref2!X13,summaryref2!AD13,IF(BJ110=summaryref2!X20,summaryref2!AD20,IF(BJ110=summaryref2!X27,summaryref2!AD27,IF(BJ110=summaryref2!X34,summaryref2!AD34,IF(BJ110=summaryref2!X41,summaryref2!AD41,IF(BJ110=summaryref2!X48,summaryref2!AD48,IF(BJ110=summaryref2!X55,summaryref2!AD55,IF(BJ110=summaryref2!X62,summaryref2!AD62,IF(BJ110=summaryref2!X69,summaryref2!AD69,IF(BJ110=summaryref2!X76,summaryref2!AD76,"")))))))))))</f>
        <v/>
      </c>
      <c r="BS110" s="1473" t="str">
        <f ca="1">IF('A-80 DirEntInv'!BU109&lt;&gt;"",'A-80 DirEntInv'!BU109,IF(INDIRECT(ADDRESS(SumRef!DK116,SumRef!DK$16,,,SumRef!$E$6))="","",INDIRECT(ADDRESS(SumRef!DK116,SumRef!DK$16,,,SumRef!$E$6))))</f>
        <v/>
      </c>
      <c r="BT110" s="1459" t="str">
        <f ca="1">IF('A-80 DirEntInv'!BV109&lt;&gt;"",'A-80 DirEntInv'!BV109,IF(INDIRECT(ADDRESS(SumRef!DL116,SumRef!DL$16,,,SumRef!$E$6))="","",INDIRECT(ADDRESS(SumRef!DL116,SumRef!DL$16,,,SumRef!$E$6))))</f>
        <v/>
      </c>
      <c r="BU110" s="1377" t="str">
        <f ca="1">IF('A-80 DirEntInv'!BW109&lt;&gt;"",'A-80 DirEntInv'!BW109,IF(INDIRECT(ADDRESS(SumRef!DM116,SumRef!DM$16,,,SumRef!$E$6))="","",INDIRECT(ADDRESS(SumRef!DM116,SumRef!DM$16,,,SumRef!$E$6))))</f>
        <v/>
      </c>
      <c r="BV110" s="1466" t="str">
        <f ca="1">IF('A-80 DirEntInv'!BX109&lt;&gt;"",'A-80 DirEntInv'!BX109,IF(INDIRECT(ADDRESS(SumRef!DN116,SumRef!DN$16,,,SumRef!$E$6))="","",INDIRECT(ADDRESS(SumRef!DN116,SumRef!DN$16,,,SumRef!$E$6))))</f>
        <v/>
      </c>
      <c r="BW110" s="1466" t="str">
        <f ca="1">IF('A-80 DirEntInv'!BY109&lt;&gt;"",'A-80 DirEntInv'!BY109,IF(INDIRECT(ADDRESS(SumRef!DO116,SumRef!DO$16,,,SumRef!$E$6))="","",INDIRECT(ADDRESS(SumRef!DO116,SumRef!DO$16,,,SumRef!$E$6))))</f>
        <v/>
      </c>
      <c r="BX110" s="1117" t="str">
        <f ca="1">IF('A-80 DirEntInv'!BZ109&lt;&gt;"",'A-80 DirEntInv'!BZ109,IF(INDIRECT(ADDRESS(SumRef!DP116,SumRef!DP$16,,,SumRef!$E$6))="","",INDIRECT(ADDRESS(SumRef!DP116,SumRef!DP$16,,,SumRef!$E$6))))</f>
        <v/>
      </c>
      <c r="BY110" s="1467" t="str">
        <f ca="1">IF('A-80 DirEntInv'!CA109&lt;&gt;"",'A-80 DirEntInv'!CA109,IF(INDIRECT(ADDRESS(SumRef!DQ116,SumRef!DQ$16,,,SumRef!$E$6))="","",INDIRECT(ADDRESS(SumRef!DQ116,SumRef!DQ$16,,,SumRef!$E$6))))</f>
        <v/>
      </c>
      <c r="BZ110" s="1466" t="str">
        <f ca="1">IF('A-80 DirEntInv'!CB109&lt;&gt;"",'A-80 DirEntInv'!CB109,IF(INDIRECT(ADDRESS(SumRef!DR116,SumRef!DR$16,,,SumRef!$E$6))="","",INDIRECT(ADDRESS(SumRef!DR116,SumRef!DR$16,,,SumRef!$E$6))))</f>
        <v/>
      </c>
      <c r="CA110" s="1468" t="str">
        <f ca="1">IF('A-80 DirEntInv'!CC109&lt;&gt;"",'A-80 DirEntInv'!CC109,IF(INDIRECT(ADDRESS(SumRef!DS116,SumRef!DS$16,,,SumRef!$E$6))="","",INDIRECT(ADDRESS(SumRef!DS116,SumRef!DS$16,,,SumRef!$E$6))))</f>
        <v/>
      </c>
      <c r="CD110" s="1161" t="str">
        <f ca="1">IF('A-80 DirEntInv'!CF109&lt;&gt;"",'A-80 DirEntInv'!CF109,IF(INDIRECT(ADDRESS(SumRef!DV116,SumRef!DV$16,,,SumRef!$E$7))="","",INDIRECT(ADDRESS(SumRef!DV116,SumRef!DV$16,,,SumRef!$E$7))))</f>
        <v/>
      </c>
      <c r="CE110" s="1168" t="str">
        <f ca="1">IF('A-80 DirEntInv'!CG109&lt;&gt;"",'A-80 DirEntInv'!CG109,IF(INDIRECT(ADDRESS(SumRef!DW116,SumRef!DW$16,,,SumRef!$E$7))="","",INDIRECT(ADDRESS(SumRef!DW116,SumRef!DW$16,,,SumRef!$E$7))))</f>
        <v/>
      </c>
      <c r="CF110" s="1168" t="str">
        <f ca="1">IF('A-80 DirEntInv'!CH109&lt;&gt;"",'A-80 DirEntInv'!CH109,IF(INDIRECT(ADDRESS(SumRef!DX116,SumRef!DX$16,,,SumRef!$E$7))="","",INDIRECT(ADDRESS(SumRef!DX116,SumRef!DX$16,,,SumRef!$E$7))))</f>
        <v/>
      </c>
      <c r="CG110" s="1168" t="str">
        <f ca="1">IF('A-80 DirEntInv'!CI109&lt;&gt;"",'A-80 DirEntInv'!CI109,IF(INDIRECT(ADDRESS(SumRef!DY116,SumRef!DY$16,,,SumRef!$E$7))="","",INDIRECT(ADDRESS(SumRef!DY116,SumRef!DY$16,,,SumRef!$E$7))))</f>
        <v/>
      </c>
      <c r="CH110" s="1168" t="str">
        <f ca="1">IF('A-80 DirEntInv'!CJ109&lt;&gt;"",'A-80 DirEntInv'!CJ109,IF(INDIRECT(ADDRESS(SumRef!DZ116,SumRef!DZ$16,,,SumRef!$E$7))="","",INDIRECT(ADDRESS(SumRef!DZ116,SumRef!DZ$16,,,SumRef!$E$7))))</f>
        <v/>
      </c>
      <c r="CI110" s="1168" t="str">
        <f ca="1">IF('A-80 DirEntInv'!CK109&lt;&gt;"",'A-80 DirEntInv'!CK109,IF(INDIRECT(ADDRESS(SumRef!EA116,SumRef!EA$16,,,SumRef!$E$7))="","",INDIRECT(ADDRESS(SumRef!EA116,SumRef!EA$16,,,SumRef!$E$7))))</f>
        <v/>
      </c>
      <c r="CJ110" s="1134" t="str">
        <f ca="1">IF('A-80 DirEntInv'!CL109&lt;&gt;"",'A-80 DirEntInv'!CL109,IF(INDIRECT(ADDRESS(SumRef!EB116,SumRef!EB$16,,,SumRef!$E$7))="","",INDIRECT(ADDRESS(SumRef!EB116,SumRef!EB$16,,,SumRef!$E$7))))</f>
        <v/>
      </c>
      <c r="CK110" s="1134" t="str">
        <f ca="1">IF('A-80 DirEntInv'!CM109&lt;&gt;"",'A-80 DirEntInv'!CM109,IF(INDIRECT(ADDRESS(SumRef!EC116,SumRef!EC$16,,,SumRef!$E$7))="","",INDIRECT(ADDRESS(SumRef!EC116,SumRef!EC$16,,,SumRef!$E$7))))</f>
        <v/>
      </c>
      <c r="CL110" s="1133" t="str">
        <f ca="1">IF('A-80 DirEntInv'!CO109&lt;&gt;"",'A-80 DirEntInv'!CO109,IF(INDIRECT(ADDRESS(SumRef!ED116,SumRef!ED$16,,,SumRef!$E$7))="","",INDIRECT(ADDRESS(SumRef!ED116,SumRef!ED$16,,,SumRef!$E$7))))</f>
        <v/>
      </c>
      <c r="CM110" s="1134" t="str">
        <f ca="1">IF('A-80 DirEntInv'!CP109&lt;&gt;"",'A-80 DirEntInv'!CP109,IF(INDIRECT(ADDRESS(SumRef!EE116,SumRef!EE$16,,,SumRef!$E$7))="","",INDIRECT(ADDRESS(SumRef!EE116,SumRef!EE$16,,,SumRef!$E$7))))</f>
        <v/>
      </c>
      <c r="CN110" s="1134" t="str">
        <f ca="1">IF('A-80 DirEntInv'!CQ109&lt;&gt;"",'A-80 DirEntInv'!CQ109,IF(INDIRECT(ADDRESS(SumRef!EF116,SumRef!EF$16,,,SumRef!$E$7))="","",INDIRECT(ADDRESS(SumRef!EF116,SumRef!EF$16,,,SumRef!$E$7))))</f>
        <v/>
      </c>
      <c r="CO110" s="1133" t="str">
        <f ca="1">IF('A-80 DirEntInv'!CR109&lt;&gt;"",'A-80 DirEntInv'!CR109,IF(INDIRECT(ADDRESS(SumRef!EG116,SumRef!EG$16,,,SumRef!$E$7))="","",INDIRECT(ADDRESS(SumRef!EG116,SumRef!EG$16,,,SumRef!$E$7))))</f>
        <v/>
      </c>
      <c r="CP110" s="1134" t="str">
        <f ca="1">IF('A-80 DirEntInv'!CS109&lt;&gt;"",'A-80 DirEntInv'!CS109,IF(INDIRECT(ADDRESS(SumRef!EH116,SumRef!EH$16,,,SumRef!$E$7))="","",INDIRECT(ADDRESS(SumRef!EH116,SumRef!EH$16,,,SumRef!$E$7))))</f>
        <v/>
      </c>
      <c r="CQ110" s="1347" t="str">
        <f ca="1">IF('A-80 DirEntInv'!CT109&lt;&gt;"",'A-80 DirEntInv'!CT109,IF(INDIRECT(ADDRESS(SumRef!EI116,SumRef!EI$16,,,SumRef!$E$7))="","",INDIRECT(ADDRESS(SumRef!EI116,SumRef!EI$16,,,SumRef!$E$7))))</f>
        <v/>
      </c>
      <c r="CR110" s="1133" t="str">
        <f ca="1">IF('A-80 DirEntInv'!CU109&lt;&gt;"",'A-80 DirEntInv'!CU109,IF(INDIRECT(ADDRESS(SumRef!EJ116,SumRef!EJ$16,,,SumRef!$E$7))="","",INDIRECT(ADDRESS(SumRef!EJ116,SumRef!EJ$16,,,SumRef!$E$7))))</f>
        <v/>
      </c>
      <c r="CS110" s="1347" t="str">
        <f ca="1">IF('A-80 DirEntInv'!CV109&lt;&gt;"",'A-80 DirEntInv'!CV109,IF(INDIRECT(ADDRESS(SumRef!EM116,SumRef!EM$16,,,SumRef!$E$7))="","",INDIRECT(ADDRESS(SumRef!EM116,SumRef!EM$16,,,SumRef!$E$7))))</f>
        <v/>
      </c>
      <c r="CT110" s="1133" t="str">
        <f ca="1">IF('A-80 DirEntInv'!CW109&lt;&gt;"",'A-80 DirEntInv'!CW109,IF(INDIRECT(ADDRESS(SumRef!EN116,SumRef!EN$16,,,SumRef!$E$7))="","",INDIRECT(ADDRESS(SumRef!EN116,SumRef!EN$16,,,SumRef!$E$7))))</f>
        <v/>
      </c>
      <c r="CU110" s="1133" t="str">
        <f ca="1">IF('A-80 DirEntInv'!CX109&lt;&gt;"",'A-80 DirEntInv'!CX109,IF(INDIRECT(ADDRESS(SumRef!EO116,SumRef!EO$16,,,SumRef!$E$7))="","",INDIRECT(ADDRESS(SumRef!EO116,SumRef!EO$16,,,SumRef!$E$7))))</f>
        <v/>
      </c>
      <c r="CV110" s="1133" t="str">
        <f ca="1">IF('A-80 DirEntInv'!CY109&lt;&gt;"",'A-80 DirEntInv'!CY109,IF(INDIRECT(ADDRESS(SumRef!EP116,SumRef!EP$16,,,SumRef!$E$7))="","",INDIRECT(ADDRESS(SumRef!EP116,SumRef!EP$16,,,SumRef!$E$7))))</f>
        <v/>
      </c>
      <c r="CW110" s="1134" t="str">
        <f ca="1">IF('A-80 DirEntInv'!CZ109&lt;&gt;"",'A-80 DirEntInv'!CZ109,IF(INDIRECT(ADDRESS(SumRef!ES116,SumRef!ES$16,,,SumRef!$E$7))="","",INDIRECT(ADDRESS(SumRef!ES116,SumRef!ES$16,,,SumRef!$E$7))))</f>
        <v/>
      </c>
      <c r="CX110" s="1168" t="str">
        <f ca="1">IF('A-80 DirEntInv'!DA109&lt;&gt;"",'A-80 DirEntInv'!DA109,IF(INDIRECT(ADDRESS(SumRef!ET116,SumRef!ET$16,,,SumRef!$E$7))="","",INDIRECT(ADDRESS(SumRef!ET116,SumRef!ET$16,,,SumRef!$E$7))))</f>
        <v/>
      </c>
      <c r="CY110" s="1168" t="str">
        <f ca="1">IF('A-80 DirEntInv'!DB109&lt;&gt;"",'A-80 DirEntInv'!DB109,IF(INDIRECT(ADDRESS(SumRef!EU116,SumRef!EU$16,,,SumRef!$E$7))="","",INDIRECT(ADDRESS(SumRef!EU116,SumRef!EU$16,,,SumRef!$E$7))))</f>
        <v/>
      </c>
      <c r="CZ110" s="1168" t="b">
        <f ca="1">IF('A-80 DirEntInv'!DC109&lt;&gt;"",'A-80 DirEntInv'!DC109,IF(INDIRECT(ADDRESS(SumRef!EV116,SumRef!EV$16,,,SumRef!$E$7))="","",INDIRECT(ADDRESS(SumRef!EV116,SumRef!EV$16,,,SumRef!$E$7))))</f>
        <v>0</v>
      </c>
      <c r="DA110" s="1374" t="str">
        <f ca="1">IF('A-80 DirEntInv'!DD109&lt;&gt;"",'A-80 DirEntInv'!DD109,IF(INDIRECT(ADDRESS(SumRef!EW116,SumRef!EW$16,,,SumRef!$E$7))="","",INDIRECT(ADDRESS(SumRef!EW116,SumRef!EW$16,,,SumRef!$E$7))))</f>
        <v/>
      </c>
      <c r="DB110" s="1374" t="b">
        <f ca="1">IF('A-80 DirEntInv'!DE109&lt;&gt;"",'A-80 DirEntInv'!DE109,IF(INDIRECT(ADDRESS(SumRef!EX116,SumRef!EX$16,,,SumRef!$E$7))="","",INDIRECT(ADDRESS(SumRef!EX116,SumRef!EX$16,,,SumRef!$E$7))))</f>
        <v>0</v>
      </c>
      <c r="DC110" s="1134" t="b">
        <f ca="1">IF('A-80 DirEntInv'!DF109&lt;&gt;"",'A-80 DirEntInv'!DF109,IF(INDIRECT(ADDRESS(SumRef!EY116,SumRef!EY$16,,,SumRef!$E$7))="","",INDIRECT(ADDRESS(SumRef!EY116,SumRef!EY$16,,,SumRef!$E$7))))</f>
        <v>0</v>
      </c>
      <c r="DD110" s="1135" t="str">
        <f ca="1">IF('A-80 DirEntInv'!DG109&lt;&gt;"",'A-80 DirEntInv'!DG109,IF(INDIRECT(ADDRESS(SumRef!EZ116,SumRef!EZ$16,,,SumRef!$E$7))="","",INDIRECT(ADDRESS(SumRef!EZ116,SumRef!EZ$16,,,SumRef!$E$7))))</f>
        <v/>
      </c>
    </row>
    <row r="111" spans="1:108" s="588" customFormat="1" x14ac:dyDescent="0.2">
      <c r="A111" s="589">
        <f t="shared" si="1"/>
        <v>101</v>
      </c>
      <c r="B111" s="587"/>
      <c r="C111" s="587"/>
      <c r="D111" s="587"/>
      <c r="J111" s="589"/>
      <c r="K111" s="590"/>
      <c r="L111" s="591"/>
      <c r="M111" s="592"/>
      <c r="N111" s="589"/>
      <c r="O111" s="587"/>
      <c r="R111" s="1052"/>
      <c r="S111" s="1052"/>
      <c r="T111" s="1052"/>
      <c r="U111" s="1052"/>
      <c r="V111" s="1052"/>
      <c r="W111" s="1053"/>
      <c r="X111" s="1053"/>
      <c r="Y111" s="1053"/>
      <c r="Z111" s="1052"/>
      <c r="AA111" s="1052"/>
      <c r="AB111" s="962"/>
      <c r="AC111" s="590"/>
      <c r="AD111" s="590"/>
      <c r="AE111" s="591"/>
      <c r="AF111" s="592"/>
      <c r="AG111" s="1053"/>
      <c r="AH111" s="587"/>
      <c r="AK111" s="1041" t="str">
        <f>Codes!$C$163</f>
        <v>HR - Heavy Rail (DO)</v>
      </c>
      <c r="AL111" s="1042" t="str">
        <f>Valid!$B$73</f>
        <v>Elevated/Retained Fill</v>
      </c>
      <c r="AM111" s="1108" t="e">
        <f>IF('A-80 DirEntInv'!#REF!&lt;&gt;"",'A-80 DirEntInv'!#REF!,IF(AK111=summaryref2!B14,summaryref2!D14,IF(Summary!AK111=summaryref2!B28,summaryref2!D28,IF(AK111=summaryref2!B42,summaryref2!D42,IF(AK111=summaryref2!B56,summaryref2!D56,IF(AK111=summaryref2!B70,summaryref2!D70,IF(AK111=summaryref2!B84,summaryref2!D84,IF(AK111=summaryref2!B98,summaryref2!D98,IF(AK111=summaryref2!B112,summaryref2!D112,IF(AK111=summaryref2!B126,summaryref2!D126,IF(AK111=summaryref2!B140,summaryref2!D140,"")))))))))))</f>
        <v>#REF!</v>
      </c>
      <c r="AN111" s="1109" t="e">
        <f ca="1">IF('A-80 DirEntInv'!#REF!&lt;&gt;"",'A-80 DirEntInv'!#REF!,IF(INDIRECT(ADDRESS(SumRef!CG255,SumRef!CG$16,,,SumRef!$C$7))="","",INDIRECT(ADDRESS(SumRef!CG255,SumRef!CG$16,,,SumRef!$C$7))))</f>
        <v>#REF!</v>
      </c>
      <c r="AO111" s="1108" t="e">
        <f>IF('A-80 DirEntInv'!#REF!&lt;&gt;"",'A-80 DirEntInv'!#REF!,IF(AK111=summaryref2!B14,summaryref2!F14,IF(Summary!AK111=summaryref2!B28,summaryref2!F28,IF(AK111=summaryref2!B42,summaryref2!F42,IF(AK111=summaryref2!B56,summaryref2!F56,IF(AK111=summaryref2!B70,summaryref2!F70,IF(AK111=summaryref2!B84,summaryref2!F84,IF(AK111=summaryref2!B98,summaryref2!F98,IF(AK111=summaryref2!B112,summaryref2!F112,IF(AK111=summaryref2!B126,summaryref2!F126,IF(AK111=summaryref2!B140,summaryref2!F140,"")))))))))))</f>
        <v>#REF!</v>
      </c>
      <c r="AP111" s="1109" t="e">
        <f ca="1">IF('A-80 DirEntInv'!#REF!&lt;&gt;"",'A-80 DirEntInv'!#REF!,IF(INDIRECT(ADDRESS(SumRef!#REF!,SumRef!#REF!,,,SumRef!$C$7))="","",INDIRECT(ADDRESS(SumRef!#REF!,SumRef!#REF!,,,SumRef!$C$7))))</f>
        <v>#REF!</v>
      </c>
      <c r="AQ111" s="1147" t="e">
        <f>IF('A-80 DirEntInv'!#REF!&lt;&gt;"",'A-80 DirEntInv'!#REF!,IF(AK111=summaryref2!B14,summaryref2!G14,IF(Summary!AK111=summaryref2!B28,summaryref2!G28,IF(AK111=summaryref2!B42,summaryref2!G42,IF(AK111=summaryref2!B56,summaryref2!G56,IF(AK111=summaryref2!B70,summaryref2!G70,IF(AK111=summaryref2!B84,summaryref2!G84,IF(AK111=summaryref2!B98,summaryref2!G98,IF(AK111=summaryref2!B112,summaryref2!G112,IF(AK111=summaryref2!B126,summaryref2!G126,IF(AK111=summaryref2!B140,summaryref2!G140,"")))))))))))</f>
        <v>#REF!</v>
      </c>
      <c r="AR111" s="1147" t="e">
        <f>IF('A-80 DirEntInv'!#REF!&lt;&gt;"",'A-80 DirEntInv'!#REF!,IF(AK111=summaryref2!B14,summaryref2!H14,IF(Summary!AK111=summaryref2!B28,summaryref2!H28,IF(AK111=summaryref2!B42,summaryref2!H42,IF(AK111=summaryref2!B56,summaryref2!H56,IF(AK111=summaryref2!B70,summaryref2!H70,IF(AK111=summaryref2!B84,summaryref2!H84,IF(AK111=summaryref2!B98,summaryref2!H98,IF(AK111=summaryref2!B112,summaryref2!H112,IF(AK111=summaryref2!B126,summaryref2!H126,IF(AK111=summaryref2!B140,summaryref2!H140,"")))))))))))</f>
        <v>#REF!</v>
      </c>
      <c r="AS111" s="1110" t="e">
        <f>IF('A-80 DirEntInv'!#REF!&lt;&gt;"",'A-80 DirEntInv'!#REF!,IF(AK111=summaryref2!B14,summaryref2!I14,IF(Summary!AK111=summaryref2!B28,summaryref2!I28,IF(AK111=summaryref2!B42,summaryref2!I42,IF(AK111=summaryref2!B56,summaryref2!I56,IF(AK111=summaryref2!B70,summaryref2!I70,IF(AK111=summaryref2!B84,summaryref2!I84,IF(AK111=summaryref2!B98,summaryref2!I98,IF(AK111=summaryref2!B112,summaryref2!I112,IF(AK111=summaryref2!B126,summaryref2!I126,IF(AK111=summaryref2!B140,summaryref2!I140,"")))))))))))</f>
        <v>#REF!</v>
      </c>
      <c r="AT111" s="1110" t="e">
        <f>IF('A-80 DirEntInv'!#REF!&lt;&gt;"",'A-80 DirEntInv'!#REF!,IF(AK111=summaryref2!B14,summaryref2!J14,IF(Summary!AK111=summaryref2!B28,summaryref2!J28,IF(AK111=summaryref2!B42,summaryref2!J42,IF(AK111=summaryref2!B56,summaryref2!J56,IF(AK111=summaryref2!B70,summaryref2!J70,IF(AK111=summaryref2!B84,summaryref2!J84,IF(AK111=summaryref2!B98,summaryref2!J98,IF(AK111=summaryref2!B112,summaryref2!J112,IF(AK111=summaryref2!B126,summaryref2!J126,IF(AK111=summaryref2!B140,summaryref2!J140,"")))))))))))</f>
        <v>#REF!</v>
      </c>
      <c r="AU111" s="1110" t="e">
        <f>IF('A-80 DirEntInv'!#REF!&lt;&gt;"",'A-80 DirEntInv'!#REF!,IF(AK111=summaryref2!B14,summaryref2!K14,IF(Summary!AK111=summaryref2!B28,summaryref2!K28,IF(AK111=summaryref2!B42,summaryref2!K42,IF(AK111=summaryref2!B56,summaryref2!K56,IF(AK111=summaryref2!B70,summaryref2!K70,IF(AK111=summaryref2!B84,summaryref2!K84,IF(AK111=summaryref2!B98,summaryref2!K98,IF(AK111=summaryref2!B112,summaryref2!K112,IF(AK111=summaryref2!B126,summaryref2!K126,IF(AK111=summaryref2!B140,summaryref2!K140,"")))))))))))</f>
        <v>#REF!</v>
      </c>
      <c r="AV111" s="1110" t="e">
        <f>IF('A-80 DirEntInv'!#REF!&lt;&gt;"",'A-80 DirEntInv'!#REF!,IF(AK111=summaryref2!B14,summaryref2!L14,IF(Summary!AK111=summaryref2!B28,summaryref2!L28,IF(AK111=summaryref2!B42,summaryref2!L42,IF(AK111=summaryref2!B56,summaryref2!L56,IF(AK111=summaryref2!B70,summaryref2!L70,IF(AK111=summaryref2!B84,summaryref2!L84,IF(AK111=summaryref2!B98,summaryref2!L98,IF(AK111=summaryref2!B112,summaryref2!L112,IF(AK111=summaryref2!B126,summaryref2!L126,IF(AK111=summaryref2!B140,summaryref2!L140,"")))))))))))</f>
        <v>#REF!</v>
      </c>
      <c r="AW111" s="1110" t="e">
        <f>IF('A-80 DirEntInv'!#REF!&lt;&gt;"",'A-80 DirEntInv'!#REF!,IF(AK111=summaryref2!B14,summaryref2!M14,IF(Summary!AK111=summaryref2!B28,summaryref2!M28,IF(AK111=summaryref2!B42,summaryref2!M42,IF(AK111=summaryref2!B56,summaryref2!M56,IF(AK111=summaryref2!B70,summaryref2!M70,IF(AK111=summaryref2!B84,summaryref2!M84,IF(AK111=summaryref2!B98,summaryref2!M98,IF(AK111=summaryref2!B112,summaryref2!M112,IF(AK111=summaryref2!B126,summaryref2!M126,IF(AK111=summaryref2!B140,summaryref2!M140,"")))))))))))</f>
        <v>#REF!</v>
      </c>
      <c r="AX111" s="1110" t="e">
        <f>IF('A-80 DirEntInv'!#REF!&lt;&gt;"",'A-80 DirEntInv'!#REF!,IF(AK111=summaryref2!B14,summaryref2!N14,IF(Summary!AK111=summaryref2!B28,summaryref2!N28,IF(AK111=summaryref2!B42,summaryref2!N42,IF(AK111=summaryref2!B56,summaryref2!N56,IF(AK111=summaryref2!B70,summaryref2!N70,IF(AK111=summaryref2!B84,summaryref2!N84,IF(AK111=summaryref2!B98,summaryref2!N98,IF(AK111=summaryref2!B112,summaryref2!N112,IF(AK111=summaryref2!B126,summaryref2!N126,IF(AK111=summaryref2!B140,summaryref2!N140,"")))))))))))</f>
        <v>#REF!</v>
      </c>
      <c r="AY111" s="1110" t="e">
        <f>IF('A-80 DirEntInv'!#REF!&lt;&gt;"",'A-80 DirEntInv'!#REF!,IF(AK111=summaryref2!B14,summaryref2!O14,IF(Summary!AK111=summaryref2!B28,summaryref2!O28,IF(AK111=summaryref2!B42,summaryref2!O42,IF(AK111=summaryref2!B56,summaryref2!O56,IF(AK111=summaryref2!B70,summaryref2!O70,IF(AK111=summaryref2!B84,summaryref2!O84,IF(AK111=summaryref2!B98,summaryref2!O98,IF(AK111=summaryref2!B112,summaryref2!O112,IF(AK111=summaryref2!B126,summaryref2!O126,IF(AK111=summaryref2!B140,summaryref2!O140,"")))))))))))</f>
        <v>#REF!</v>
      </c>
      <c r="AZ111" s="1110" t="e">
        <f>IF('A-80 DirEntInv'!#REF!&lt;&gt;"",'A-80 DirEntInv'!#REF!,IF(AK111=summaryref2!B14,summaryref2!P14,IF(Summary!AK111=summaryref2!B28,summaryref2!P28,IF(AK111=summaryref2!B42,summaryref2!P42,IF(AK111=summaryref2!B56,summaryref2!P56,IF(AK111=summaryref2!B70,summaryref2!P70,IF(AK111=summaryref2!B84,summaryref2!P84,IF(AK111=summaryref2!B98,summaryref2!P98,IF(AK111=summaryref2!B112,summaryref2!P112,IF(AK111=summaryref2!B126,summaryref2!P126,IF(AK111=summaryref2!B140,summaryref2!P140,"")))))))))))</f>
        <v>#REF!</v>
      </c>
      <c r="BA111" s="1110" t="e">
        <f>IF('A-80 DirEntInv'!#REF!&lt;&gt;"",'A-80 DirEntInv'!#REF!,IF(AK111=summaryref2!B14,summaryref2!Q14,IF(Summary!AK111=summaryref2!B28,summaryref2!Q28,IF(AK111=summaryref2!B42,summaryref2!Q42,IF(AK111=summaryref2!B56,summaryref2!Q56,IF(AK111=summaryref2!B70,summaryref2!Q70,IF(AK111=summaryref2!B84,summaryref2!Q84,IF(AK111=summaryref2!B98,summaryref2!Q98,IF(AK111=summaryref2!B112,summaryref2!Q112,IF(AK111=summaryref2!B126,summaryref2!Q126,IF(AK111=summaryref2!B140,summaryref2!Q140,"")))))))))))</f>
        <v>#REF!</v>
      </c>
      <c r="BB111" s="1110" t="e">
        <f>IF('A-80 DirEntInv'!#REF!&lt;&gt;"",'A-80 DirEntInv'!#REF!,IF(AK111=summaryref2!B14,summaryref2!R14,IF(Summary!AK111=summaryref2!B28,summaryref2!R28,IF(AK111=summaryref2!B42,summaryref2!R42,IF(AK111=summaryref2!B56,summaryref2!R56,IF(AK111=summaryref2!B70,summaryref2!R70,IF(AK111=summaryref2!B84,summaryref2!R84,IF(AK111=summaryref2!B98,summaryref2!R98,IF(AK111=summaryref2!B112,summaryref2!R112,IF(AK111=summaryref2!B126,summaryref2!R126,IF(AK111=summaryref2!B140,summaryref2!R140,"")))))))))))</f>
        <v>#REF!</v>
      </c>
      <c r="BC111" s="1110" t="e">
        <f>IF('A-80 DirEntInv'!#REF!&lt;&gt;0,'A-80 DirEntInv'!#REF!,IF(AK111=summaryref2!B14,summaryref2!S14,IF(Summary!AK111=summaryref2!B28,summaryref2!S28,IF(AK111=summaryref2!B42,summaryref2!S42,IF(AK111=summaryref2!B56,summaryref2!S56,IF(AK111=summaryref2!B70,summaryref2!S70,IF(AK111=summaryref2!B84,summaryref2!S84,IF(AK111=summaryref2!B98,summaryref2!S98,IF(AK111=summaryref2!B112,summaryref2!S112,IF(AK111=summaryref2!B126,summaryref2!S126,IF(AK111=summaryref2!B140,summaryref2!S140,"")))))))))))</f>
        <v>#REF!</v>
      </c>
      <c r="BD111" s="1111" t="e">
        <f>IF('A-80 DirEntInv'!#REF!&lt;&gt;"",'A-80 DirEntInv'!#REF!,IF(AK111=summaryref2!B14,summaryref2!T14,IF(Summary!AK111=summaryref2!B28,summaryref2!T28,IF(AK111=summaryref2!B42,summaryref2!T42,IF(AK111=summaryref2!B56,summaryref2!T56,IF(AK111=summaryref2!B70,summaryref2!T70,IF(AK111=summaryref2!B84,summaryref2!T84,IF(AK111=summaryref2!B98,summaryref2!T98,IF(AK111=summaryref2!B112,summaryref2!T112,IF(AK111=summaryref2!B126,summaryref2!T126,IF(AK111=summaryref2!B140,summaryref2!T140,"")))))))))))</f>
        <v>#REF!</v>
      </c>
      <c r="BE111" s="1184" t="e">
        <f>IF('A-80 DirEntInv'!#REF!&lt;&gt;"",'A-80 DirEntInv'!#REF!,IF(AK111=summaryref2!B14,summaryref2!U14,IF(Summary!AK111=summaryref2!B28,summaryref2!U28,IF(AK111=summaryref2!B42,summaryref2!U42,IF(AK111=summaryref2!B56,summaryref2!U56,IF(AK111=summaryref2!B70,summaryref2!U70,IF(AK111=summaryref2!B84,summaryref2!U84,IF(AK111=summaryref2!B98,summaryref2!U98,IF(AK111=summaryref2!B112,summaryref2!U112,IF(AK111=summaryref2!B126,summaryref2!U126,IF(AK111=summaryref2!B140,summaryref2!U140,"")))))))))))</f>
        <v>#REF!</v>
      </c>
      <c r="BF111" s="1432"/>
      <c r="BG111" s="1432"/>
      <c r="BJ111" s="1045" t="str">
        <f>Codes!$C$170</f>
        <v>SR - Streetcar Rail (PT)</v>
      </c>
      <c r="BK111" s="1046" t="str">
        <f>Valid!$B$82</f>
        <v>Double Diamond Crossover</v>
      </c>
      <c r="BL111" s="1368" t="e">
        <f>IF('A-80 DirEntInv'!#REF!&lt;&gt;"",'A-80 DirEntInv'!#REF!,IF(BJ111=summaryref2!X14,summaryref2!Z14,IF(BJ111=summaryref2!X21,summaryref2!Z21,IF(BJ111=summaryref2!X28,summaryref2!Z28,IF(BJ111=summaryref2!X35,summaryref2!Z35,IF(BJ111=summaryref2!X42,summaryref2!Z42,IF(BJ111=summaryref2!X49,summaryref2!Z49,IF(BJ111=summaryref2!X56,summaryref2!Z56,IF(BJ111=summaryref2!X63,summaryref2!Z63,IF(BJ111=summaryref2!X70,summaryref2!Z70,IF(BJ111=summaryref2!X77,summaryref2!Z77,"")))))))))))</f>
        <v>#REF!</v>
      </c>
      <c r="BM111" s="1046" t="str">
        <f>VLOOKUP(BK111,Valid!$B$80:$C$86,2,FALSE)</f>
        <v>Each</v>
      </c>
      <c r="BN111" s="1325" t="e">
        <f>IF('A-80 DirEntInv'!#REF!&lt;&gt;"",'A-80 DirEntInv'!#REF!,IF(BJ111=summaryref2!X14,summaryref2!AB14,IF(BJ111=summaryref2!X21,summaryref2!AB21,IF(BJ111=summaryref2!X28,summaryref2!AB28,IF(BJ111=summaryref2!X35,summaryref2!AB35,IF(BJ111=summaryref2!X42,summaryref2!AB42,IF(BJ111=summaryref2!X49,summaryref2!AB49,IF(BJ111=summaryref2!X56,summaryref2!AB56,IF(BJ111=summaryref2!X63,summaryref2!AB63,IF(BJ111=summaryref2!X70,summaryref2!AB70,IF(BJ111=summaryref2!X77,summaryref2!AB77,"")))))))))))</f>
        <v>#REF!</v>
      </c>
      <c r="BO111" s="1327" t="e">
        <f>IF('A-80 DirEntInv'!#REF!&lt;&gt;"",'A-80 DirEntInv'!#REF!,IF(BJ111=summaryref2!X14,summaryref2!AC14,IF(BJ111=summaryref2!X21,summaryref2!AC21,IF(BJ111=summaryref2!X28,summaryref2!AC28,IF(BJ111=summaryref2!X35,summaryref2!AC35,IF(BJ111=summaryref2!X42,summaryref2!AC42,IF(BJ111=summaryref2!X49,summaryref2!AC49,IF(BJ111=summaryref2!X56,summaryref2!AC56,IF(BJ111=summaryref2!X63,summaryref2!AC63,IF(BJ111=summaryref2!X70,summaryref2!AC70,IF(BJ111=summaryref2!X77,summaryref2!AC77,"")))))))))))</f>
        <v>#REF!</v>
      </c>
      <c r="BP111" s="1322" t="e">
        <f>IF('A-80 DirEntInv'!#REF!&lt;&gt;"",'A-80 DirEntInv'!#REF!,IF(BJ111=summaryref2!X14,summaryref2!AD14,IF(BJ111=summaryref2!X21,summaryref2!AD21,IF(BJ111=summaryref2!X28,summaryref2!AD28,IF(BJ111=summaryref2!X35,summaryref2!AD35,IF(BJ111=summaryref2!X42,summaryref2!AD42,IF(BJ111=summaryref2!X49,summaryref2!AD49,IF(BJ111=summaryref2!X56,summaryref2!AD56,IF(BJ111=summaryref2!X63,summaryref2!AD63,IF(BJ111=summaryref2!X70,summaryref2!AD70,IF(BJ111=summaryref2!X77,summaryref2!AD77,"")))))))))))</f>
        <v>#REF!</v>
      </c>
      <c r="BU111" s="962"/>
      <c r="CD111" s="589"/>
      <c r="CE111" s="590"/>
      <c r="CF111" s="590"/>
      <c r="CG111" s="590"/>
      <c r="CH111" s="590"/>
      <c r="CI111" s="590"/>
      <c r="CJ111" s="589"/>
      <c r="CK111" s="589"/>
      <c r="CL111" s="589"/>
      <c r="CM111" s="587"/>
      <c r="CN111" s="587"/>
      <c r="CO111" s="589"/>
      <c r="CP111" s="587"/>
      <c r="CQ111" s="592"/>
      <c r="CR111" s="589"/>
      <c r="CS111" s="592"/>
      <c r="CT111" s="589"/>
      <c r="CU111" s="589"/>
      <c r="CV111" s="589"/>
      <c r="CW111" s="587"/>
      <c r="CX111" s="590"/>
      <c r="CY111" s="590"/>
      <c r="CZ111" s="590"/>
      <c r="DA111" s="1054"/>
      <c r="DB111" s="1054"/>
      <c r="DC111" s="587"/>
      <c r="DD111" s="587"/>
    </row>
    <row r="112" spans="1:108" s="588" customFormat="1" x14ac:dyDescent="0.2">
      <c r="A112" s="589">
        <f t="shared" si="1"/>
        <v>102</v>
      </c>
      <c r="B112" s="587"/>
      <c r="C112" s="587"/>
      <c r="D112" s="587"/>
      <c r="J112" s="589"/>
      <c r="K112" s="590"/>
      <c r="L112" s="591"/>
      <c r="M112" s="592"/>
      <c r="N112" s="589"/>
      <c r="O112" s="587"/>
      <c r="R112" s="1052"/>
      <c r="S112" s="1052"/>
      <c r="T112" s="1052"/>
      <c r="U112" s="1052"/>
      <c r="V112" s="1052"/>
      <c r="W112" s="1053"/>
      <c r="X112" s="1053"/>
      <c r="Y112" s="1053"/>
      <c r="Z112" s="1052"/>
      <c r="AA112" s="1052"/>
      <c r="AB112" s="962"/>
      <c r="AC112" s="590"/>
      <c r="AD112" s="590"/>
      <c r="AE112" s="591"/>
      <c r="AF112" s="592"/>
      <c r="AG112" s="1053"/>
      <c r="AH112" s="587"/>
      <c r="AK112" s="1041" t="str">
        <f>Codes!$C$163</f>
        <v>HR - Heavy Rail (DO)</v>
      </c>
      <c r="AL112" s="1042" t="str">
        <f>Valid!$B$74</f>
        <v>Elevated/Concrete</v>
      </c>
      <c r="AM112" s="1108" t="e">
        <f>IF('A-80 DirEntInv'!#REF!&lt;&gt;"",'A-80 DirEntInv'!#REF!,IF(AK112=summaryref2!B15,summaryref2!D15,IF(Summary!AK112=summaryref2!B29,summaryref2!D29,IF(AK112=summaryref2!B43,summaryref2!D43,IF(AK112=summaryref2!B57,summaryref2!D57,IF(AK112=summaryref2!B71,summaryref2!D71,IF(AK112=summaryref2!B85,summaryref2!D85,IF(AK112=summaryref2!B99,summaryref2!D99,IF(AK112=summaryref2!B113,summaryref2!D113,IF(AK112=summaryref2!B127,summaryref2!D127,IF(AK112=summaryref2!B141,summaryref2!D141,"")))))))))))</f>
        <v>#REF!</v>
      </c>
      <c r="AN112" s="1109" t="e">
        <f ca="1">IF('A-80 DirEntInv'!#REF!&lt;&gt;"",'A-80 DirEntInv'!#REF!,IF(INDIRECT(ADDRESS(SumRef!CG256,SumRef!CG$16,,,SumRef!$C$7))="","",INDIRECT(ADDRESS(SumRef!CG256,SumRef!CG$16,,,SumRef!$C$7))))</f>
        <v>#REF!</v>
      </c>
      <c r="AO112" s="1108" t="e">
        <f>IF('A-80 DirEntInv'!#REF!&lt;&gt;"",'A-80 DirEntInv'!#REF!,IF(AK112=summaryref2!B15,summaryref2!F15,IF(Summary!AK112=summaryref2!B29,summaryref2!F29,IF(AK112=summaryref2!B43,summaryref2!F43,IF(AK112=summaryref2!B57,summaryref2!F57,IF(AK112=summaryref2!B71,summaryref2!F71,IF(AK112=summaryref2!B85,summaryref2!F85,IF(AK112=summaryref2!B99,summaryref2!F99,IF(AK112=summaryref2!B113,summaryref2!F113,IF(AK112=summaryref2!B127,summaryref2!F127,IF(AK112=summaryref2!B141,summaryref2!F141,"")))))))))))</f>
        <v>#REF!</v>
      </c>
      <c r="AP112" s="1109" t="e">
        <f ca="1">IF('A-80 DirEntInv'!#REF!&lt;&gt;"",'A-80 DirEntInv'!#REF!,IF(INDIRECT(ADDRESS(SumRef!#REF!,SumRef!#REF!,,,SumRef!$C$7))="","",INDIRECT(ADDRESS(SumRef!#REF!,SumRef!#REF!,,,SumRef!$C$7))))</f>
        <v>#REF!</v>
      </c>
      <c r="AQ112" s="1147" t="e">
        <f>IF('A-80 DirEntInv'!#REF!&lt;&gt;"",'A-80 DirEntInv'!#REF!,IF(AK112=summaryref2!B15,summaryref2!G15,IF(Summary!AK112=summaryref2!B29,summaryref2!G29,IF(AK112=summaryref2!B43,summaryref2!G43,IF(AK112=summaryref2!B57,summaryref2!G57,IF(AK112=summaryref2!B71,summaryref2!G71,IF(AK112=summaryref2!B85,summaryref2!G85,IF(AK112=summaryref2!B99,summaryref2!G99,IF(AK112=summaryref2!B113,summaryref2!G113,IF(AK112=summaryref2!B127,summaryref2!G127,IF(AK112=summaryref2!B141,summaryref2!G141,"")))))))))))</f>
        <v>#REF!</v>
      </c>
      <c r="AR112" s="1147" t="e">
        <f>IF('A-80 DirEntInv'!#REF!&lt;&gt;"",'A-80 DirEntInv'!#REF!,IF(AK112=summaryref2!B15,summaryref2!H15,IF(Summary!AK112=summaryref2!B29,summaryref2!H29,IF(AK112=summaryref2!B43,summaryref2!H43,IF(AK112=summaryref2!B57,summaryref2!H57,IF(AK112=summaryref2!B71,summaryref2!H71,IF(AK112=summaryref2!B85,summaryref2!H85,IF(AK112=summaryref2!B99,summaryref2!H99,IF(AK112=summaryref2!B113,summaryref2!H113,IF(AK112=summaryref2!B127,summaryref2!H127,IF(AK112=summaryref2!B141,summaryref2!H141,"")))))))))))</f>
        <v>#REF!</v>
      </c>
      <c r="AS112" s="1110" t="e">
        <f>IF('A-80 DirEntInv'!#REF!&lt;&gt;"",'A-80 DirEntInv'!#REF!,IF(AK112=summaryref2!B15,summaryref2!I15,IF(Summary!AK112=summaryref2!B29,summaryref2!I29,IF(AK112=summaryref2!B43,summaryref2!I43,IF(AK112=summaryref2!B57,summaryref2!I57,IF(AK112=summaryref2!B71,summaryref2!I71,IF(AK112=summaryref2!B85,summaryref2!I85,IF(AK112=summaryref2!B99,summaryref2!I99,IF(AK112=summaryref2!B113,summaryref2!I113,IF(AK112=summaryref2!B127,summaryref2!I127,IF(AK112=summaryref2!B141,summaryref2!I141,"")))))))))))</f>
        <v>#REF!</v>
      </c>
      <c r="AT112" s="1110" t="e">
        <f>IF('A-80 DirEntInv'!#REF!&lt;&gt;"",'A-80 DirEntInv'!#REF!,IF(AK112=summaryref2!B15,summaryref2!J15,IF(Summary!AK112=summaryref2!B29,summaryref2!J29,IF(AK112=summaryref2!B43,summaryref2!J43,IF(AK112=summaryref2!B57,summaryref2!J57,IF(AK112=summaryref2!B71,summaryref2!J71,IF(AK112=summaryref2!B85,summaryref2!J85,IF(AK112=summaryref2!B99,summaryref2!J99,IF(AK112=summaryref2!B113,summaryref2!J113,IF(AK112=summaryref2!B127,summaryref2!J127,IF(AK112=summaryref2!B141,summaryref2!J141,"")))))))))))</f>
        <v>#REF!</v>
      </c>
      <c r="AU112" s="1110" t="e">
        <f>IF('A-80 DirEntInv'!#REF!&lt;&gt;"",'A-80 DirEntInv'!#REF!,IF(AK112=summaryref2!B15,summaryref2!K15,IF(Summary!AK112=summaryref2!B29,summaryref2!K29,IF(AK112=summaryref2!B43,summaryref2!K43,IF(AK112=summaryref2!B57,summaryref2!K57,IF(AK112=summaryref2!B71,summaryref2!K71,IF(AK112=summaryref2!B85,summaryref2!K85,IF(AK112=summaryref2!B99,summaryref2!K99,IF(AK112=summaryref2!B113,summaryref2!K113,IF(AK112=summaryref2!B127,summaryref2!K127,IF(AK112=summaryref2!B141,summaryref2!K141,"")))))))))))</f>
        <v>#REF!</v>
      </c>
      <c r="AV112" s="1110" t="e">
        <f>IF('A-80 DirEntInv'!#REF!&lt;&gt;"",'A-80 DirEntInv'!#REF!,IF(AK112=summaryref2!B15,summaryref2!L15,IF(Summary!AK112=summaryref2!B29,summaryref2!L29,IF(AK112=summaryref2!B43,summaryref2!L43,IF(AK112=summaryref2!B57,summaryref2!L57,IF(AK112=summaryref2!B71,summaryref2!L71,IF(AK112=summaryref2!B85,summaryref2!L85,IF(AK112=summaryref2!B99,summaryref2!L99,IF(AK112=summaryref2!B113,summaryref2!L113,IF(AK112=summaryref2!B127,summaryref2!L127,IF(AK112=summaryref2!B141,summaryref2!L141,"")))))))))))</f>
        <v>#REF!</v>
      </c>
      <c r="AW112" s="1110" t="e">
        <f>IF('A-80 DirEntInv'!#REF!&lt;&gt;"",'A-80 DirEntInv'!#REF!,IF(AK112=summaryref2!B15,summaryref2!M15,IF(Summary!AK112=summaryref2!B29,summaryref2!M29,IF(AK112=summaryref2!B43,summaryref2!M43,IF(AK112=summaryref2!B57,summaryref2!M57,IF(AK112=summaryref2!B71,summaryref2!M71,IF(AK112=summaryref2!B85,summaryref2!M85,IF(AK112=summaryref2!B99,summaryref2!M99,IF(AK112=summaryref2!B113,summaryref2!M113,IF(AK112=summaryref2!B127,summaryref2!M127,IF(AK112=summaryref2!B141,summaryref2!M141,"")))))))))))</f>
        <v>#REF!</v>
      </c>
      <c r="AX112" s="1110" t="e">
        <f>IF('A-80 DirEntInv'!#REF!&lt;&gt;"",'A-80 DirEntInv'!#REF!,IF(AK112=summaryref2!B15,summaryref2!N15,IF(Summary!AK112=summaryref2!B29,summaryref2!N29,IF(AK112=summaryref2!B43,summaryref2!N43,IF(AK112=summaryref2!B57,summaryref2!N57,IF(AK112=summaryref2!B71,summaryref2!N71,IF(AK112=summaryref2!B85,summaryref2!N85,IF(AK112=summaryref2!B99,summaryref2!N99,IF(AK112=summaryref2!B113,summaryref2!N113,IF(AK112=summaryref2!B127,summaryref2!N127,IF(AK112=summaryref2!B141,summaryref2!N141,"")))))))))))</f>
        <v>#REF!</v>
      </c>
      <c r="AY112" s="1110" t="e">
        <f>IF('A-80 DirEntInv'!#REF!&lt;&gt;"",'A-80 DirEntInv'!#REF!,IF(AK112=summaryref2!B15,summaryref2!O15,IF(Summary!AK112=summaryref2!B29,summaryref2!O29,IF(AK112=summaryref2!B43,summaryref2!O43,IF(AK112=summaryref2!B57,summaryref2!O57,IF(AK112=summaryref2!B71,summaryref2!O71,IF(AK112=summaryref2!B85,summaryref2!O85,IF(AK112=summaryref2!B99,summaryref2!O99,IF(AK112=summaryref2!B113,summaryref2!O113,IF(AK112=summaryref2!B127,summaryref2!O127,IF(AK112=summaryref2!B141,summaryref2!O141,"")))))))))))</f>
        <v>#REF!</v>
      </c>
      <c r="AZ112" s="1110" t="e">
        <f>IF('A-80 DirEntInv'!#REF!&lt;&gt;"",'A-80 DirEntInv'!#REF!,IF(AK112=summaryref2!B15,summaryref2!P15,IF(Summary!AK112=summaryref2!B29,summaryref2!P29,IF(AK112=summaryref2!B43,summaryref2!P43,IF(AK112=summaryref2!B57,summaryref2!P57,IF(AK112=summaryref2!B71,summaryref2!P71,IF(AK112=summaryref2!B85,summaryref2!P85,IF(AK112=summaryref2!B99,summaryref2!P99,IF(AK112=summaryref2!B113,summaryref2!P113,IF(AK112=summaryref2!B127,summaryref2!P127,IF(AK112=summaryref2!B141,summaryref2!P141,"")))))))))))</f>
        <v>#REF!</v>
      </c>
      <c r="BA112" s="1110" t="e">
        <f>IF('A-80 DirEntInv'!#REF!&lt;&gt;"",'A-80 DirEntInv'!#REF!,IF(AK112=summaryref2!B15,summaryref2!Q15,IF(Summary!AK112=summaryref2!B29,summaryref2!Q29,IF(AK112=summaryref2!B43,summaryref2!Q43,IF(AK112=summaryref2!B57,summaryref2!Q57,IF(AK112=summaryref2!B71,summaryref2!Q71,IF(AK112=summaryref2!B85,summaryref2!Q85,IF(AK112=summaryref2!B99,summaryref2!Q99,IF(AK112=summaryref2!B113,summaryref2!Q113,IF(AK112=summaryref2!B127,summaryref2!Q127,IF(AK112=summaryref2!B141,summaryref2!Q141,"")))))))))))</f>
        <v>#REF!</v>
      </c>
      <c r="BB112" s="1110" t="e">
        <f>IF('A-80 DirEntInv'!#REF!&lt;&gt;"",'A-80 DirEntInv'!#REF!,IF(AK112=summaryref2!B15,summaryref2!R15,IF(Summary!AK112=summaryref2!B29,summaryref2!R29,IF(AK112=summaryref2!B43,summaryref2!R43,IF(AK112=summaryref2!B57,summaryref2!R57,IF(AK112=summaryref2!B71,summaryref2!R71,IF(AK112=summaryref2!B85,summaryref2!R85,IF(AK112=summaryref2!B99,summaryref2!R99,IF(AK112=summaryref2!B113,summaryref2!R113,IF(AK112=summaryref2!B127,summaryref2!R127,IF(AK112=summaryref2!B141,summaryref2!R141,"")))))))))))</f>
        <v>#REF!</v>
      </c>
      <c r="BC112" s="1110" t="e">
        <f>IF('A-80 DirEntInv'!#REF!&lt;&gt;0,'A-80 DirEntInv'!#REF!,IF(AK112=summaryref2!B15,summaryref2!S15,IF(Summary!AK112=summaryref2!B29,summaryref2!S29,IF(AK112=summaryref2!B43,summaryref2!S43,IF(AK112=summaryref2!B57,summaryref2!S57,IF(AK112=summaryref2!B71,summaryref2!S71,IF(AK112=summaryref2!B85,summaryref2!S85,IF(AK112=summaryref2!B99,summaryref2!S99,IF(AK112=summaryref2!B113,summaryref2!S113,IF(AK112=summaryref2!B127,summaryref2!S127,IF(AK112=summaryref2!B141,summaryref2!S141,"")))))))))))</f>
        <v>#REF!</v>
      </c>
      <c r="BD112" s="1111" t="e">
        <f>IF('A-80 DirEntInv'!#REF!&lt;&gt;"",'A-80 DirEntInv'!#REF!,IF(AK112=summaryref2!B15,summaryref2!T15,IF(Summary!AK112=summaryref2!B29,summaryref2!T29,IF(AK112=summaryref2!B43,summaryref2!T43,IF(AK112=summaryref2!B57,summaryref2!T57,IF(AK112=summaryref2!B71,summaryref2!T71,IF(AK112=summaryref2!B85,summaryref2!T85,IF(AK112=summaryref2!B99,summaryref2!T99,IF(AK112=summaryref2!B113,summaryref2!T113,IF(AK112=summaryref2!B127,summaryref2!T127,IF(AK112=summaryref2!B141,summaryref2!T141,"")))))))))))</f>
        <v>#REF!</v>
      </c>
      <c r="BE112" s="1184" t="e">
        <f>IF('A-80 DirEntInv'!#REF!&lt;&gt;"",'A-80 DirEntInv'!#REF!,IF(AK112=summaryref2!B15,summaryref2!U15,IF(Summary!AK112=summaryref2!B29,summaryref2!U29,IF(AK112=summaryref2!B43,summaryref2!U43,IF(AK112=summaryref2!B57,summaryref2!U57,IF(AK112=summaryref2!B71,summaryref2!U71,IF(AK112=summaryref2!B85,summaryref2!U85,IF(AK112=summaryref2!B99,summaryref2!U99,IF(AK112=summaryref2!B113,summaryref2!U113,IF(AK112=summaryref2!B127,summaryref2!U127,IF(AK112=summaryref2!B141,summaryref2!U141,"")))))))))))</f>
        <v>#REF!</v>
      </c>
      <c r="BF112" s="1432"/>
      <c r="BG112" s="1432"/>
      <c r="BJ112" s="1041" t="str">
        <f>Codes!$C$170</f>
        <v>SR - Streetcar Rail (PT)</v>
      </c>
      <c r="BK112" s="1042" t="str">
        <f>Valid!$B$83</f>
        <v>Single Crossover</v>
      </c>
      <c r="BL112" s="1375" t="e">
        <f>IF('A-80 DirEntInv'!#REF!&lt;&gt;"",'A-80 DirEntInv'!#REF!,IF(BJ112=summaryref2!X15,summaryref2!Z15,IF(BJ112=summaryref2!X22,summaryref2!Z22,IF(BJ112=summaryref2!X29,summaryref2!Z29,IF(BJ112=summaryref2!X36,summaryref2!Z36,IF(BJ112=summaryref2!X43,summaryref2!Z43,IF(BJ112=summaryref2!X50,summaryref2!Z50,IF(BJ112=summaryref2!X57,summaryref2!Z57,IF(BJ112=summaryref2!X64,summaryref2!Z64,IF(BJ112=summaryref2!X71,summaryref2!Z71,IF(BJ112=summaryref2!X78,summaryref2!Z78,"")))))))))))</f>
        <v>#REF!</v>
      </c>
      <c r="BM112" s="1042" t="str">
        <f>VLOOKUP(BK112,Valid!$B$80:$C$86,2,FALSE)</f>
        <v>Each</v>
      </c>
      <c r="BN112" s="1209" t="e">
        <f>IF('A-80 DirEntInv'!#REF!&lt;&gt;"",'A-80 DirEntInv'!#REF!,IF(BJ112=summaryref2!X15,summaryref2!AB15,IF(BJ112=summaryref2!X22,summaryref2!AB22,IF(BJ112=summaryref2!X29,summaryref2!AB29,IF(BJ112=summaryref2!X36,summaryref2!AB36,IF(BJ112=summaryref2!X43,summaryref2!AB43,IF(BJ112=summaryref2!X50,summaryref2!AB50,IF(BJ112=summaryref2!X57,summaryref2!AB57,IF(BJ112=summaryref2!X64,summaryref2!AB64,IF(BJ112=summaryref2!X71,summaryref2!AB71,IF(BJ112=summaryref2!X78,summaryref2!AB78,"")))))))))))</f>
        <v>#REF!</v>
      </c>
      <c r="BO112" s="1116" t="e">
        <f>IF('A-80 DirEntInv'!#REF!&lt;&gt;"",'A-80 DirEntInv'!#REF!,IF(BJ112=summaryref2!X15,summaryref2!AC15,IF(BJ112=summaryref2!X22,summaryref2!AC22,IF(BJ112=summaryref2!X29,summaryref2!AC29,IF(BJ112=summaryref2!X36,summaryref2!AC36,IF(BJ112=summaryref2!X43,summaryref2!AC43,IF(BJ112=summaryref2!X50,summaryref2!AC50,IF(BJ112=summaryref2!X57,summaryref2!AC57,IF(BJ112=summaryref2!X64,summaryref2!AC64,IF(BJ112=summaryref2!X71,summaryref2!AC71,IF(BJ112=summaryref2!X78,summaryref2!AC78,"")))))))))))</f>
        <v>#REF!</v>
      </c>
      <c r="BP112" s="1384" t="e">
        <f>IF('A-80 DirEntInv'!#REF!&lt;&gt;"",'A-80 DirEntInv'!#REF!,IF(BJ112=summaryref2!X15,summaryref2!AD15,IF(BJ112=summaryref2!X22,summaryref2!AD22,IF(BJ112=summaryref2!X29,summaryref2!AD29,IF(BJ112=summaryref2!X36,summaryref2!AD36,IF(BJ112=summaryref2!X43,summaryref2!AD43,IF(BJ112=summaryref2!X50,summaryref2!AD50,IF(BJ112=summaryref2!X57,summaryref2!AD57,IF(BJ112=summaryref2!X64,summaryref2!AD64,IF(BJ112=summaryref2!X71,summaryref2!AD71,IF(BJ112=summaryref2!X78,summaryref2!AD78,"")))))))))))</f>
        <v>#REF!</v>
      </c>
      <c r="BU112" s="962"/>
      <c r="CD112" s="589"/>
      <c r="CE112" s="590"/>
      <c r="CF112" s="590"/>
      <c r="CG112" s="590"/>
      <c r="CH112" s="590"/>
      <c r="CI112" s="590"/>
      <c r="CJ112" s="589"/>
      <c r="CK112" s="589"/>
      <c r="CL112" s="589"/>
      <c r="CM112" s="587"/>
      <c r="CN112" s="587"/>
      <c r="CO112" s="589"/>
      <c r="CP112" s="587"/>
      <c r="CQ112" s="592"/>
      <c r="CR112" s="589"/>
      <c r="CS112" s="592"/>
      <c r="CT112" s="589"/>
      <c r="CU112" s="589"/>
      <c r="CV112" s="589"/>
      <c r="CW112" s="587"/>
      <c r="CX112" s="590"/>
      <c r="CY112" s="590"/>
      <c r="CZ112" s="590"/>
      <c r="DA112" s="1054"/>
      <c r="DB112" s="1054"/>
      <c r="DC112" s="587"/>
      <c r="DD112" s="587"/>
    </row>
    <row r="113" spans="1:108" s="588" customFormat="1" x14ac:dyDescent="0.2">
      <c r="A113" s="589">
        <f t="shared" si="1"/>
        <v>103</v>
      </c>
      <c r="B113" s="587"/>
      <c r="C113" s="587"/>
      <c r="D113" s="587"/>
      <c r="J113" s="589"/>
      <c r="K113" s="590"/>
      <c r="L113" s="591"/>
      <c r="M113" s="592"/>
      <c r="N113" s="589"/>
      <c r="O113" s="587"/>
      <c r="R113" s="1052"/>
      <c r="S113" s="1052"/>
      <c r="T113" s="1052"/>
      <c r="U113" s="1052"/>
      <c r="V113" s="1052"/>
      <c r="W113" s="1053"/>
      <c r="X113" s="1053"/>
      <c r="Y113" s="1053"/>
      <c r="Z113" s="1052"/>
      <c r="AA113" s="1052"/>
      <c r="AB113" s="962"/>
      <c r="AC113" s="590"/>
      <c r="AD113" s="590"/>
      <c r="AE113" s="591"/>
      <c r="AF113" s="592"/>
      <c r="AG113" s="1053"/>
      <c r="AH113" s="587"/>
      <c r="AK113" s="1041" t="str">
        <f>Codes!$C$163</f>
        <v>HR - Heavy Rail (DO)</v>
      </c>
      <c r="AL113" s="1042" t="str">
        <f>Valid!$B$75</f>
        <v>Elevated/Steel Viaduct or Bridge</v>
      </c>
      <c r="AM113" s="1108" t="e">
        <f>IF('A-80 DirEntInv'!#REF!&lt;&gt;"",'A-80 DirEntInv'!#REF!,IF(AK113=summaryref2!B16,summaryref2!D16,IF(Summary!AK113=summaryref2!B30,summaryref2!D30,IF(AK113=summaryref2!B44,summaryref2!D44,IF(AK113=summaryref2!B58,summaryref2!D58,IF(AK113=summaryref2!B72,summaryref2!D72,IF(AK113=summaryref2!B86,summaryref2!D86,IF(AK113=summaryref2!B100,summaryref2!D100,IF(AK113=summaryref2!B114,summaryref2!D114,IF(AK113=summaryref2!B128,summaryref2!D128,IF(AK113=summaryref2!B142,summaryref2!D142,"")))))))))))</f>
        <v>#REF!</v>
      </c>
      <c r="AN113" s="1109" t="e">
        <f ca="1">IF('A-80 DirEntInv'!#REF!&lt;&gt;"",'A-80 DirEntInv'!#REF!,IF(INDIRECT(ADDRESS(SumRef!CG262,SumRef!CG$16,,,SumRef!$C$7))="","",INDIRECT(ADDRESS(SumRef!CG262,SumRef!CG$16,,,SumRef!$C$7))))</f>
        <v>#REF!</v>
      </c>
      <c r="AO113" s="1108" t="e">
        <f>IF('A-80 DirEntInv'!#REF!&lt;&gt;"",'A-80 DirEntInv'!#REF!,IF(AK113=summaryref2!B16,summaryref2!F16,IF(Summary!AK113=summaryref2!B30,summaryref2!F30,IF(AK113=summaryref2!B44,summaryref2!F44,IF(AK113=summaryref2!B58,summaryref2!F58,IF(AK113=summaryref2!B72,summaryref2!F72,IF(AK113=summaryref2!B86,summaryref2!F86,IF(AK113=summaryref2!B100,summaryref2!F100,IF(AK113=summaryref2!B114,summaryref2!F114,IF(AK113=summaryref2!B128,summaryref2!F128,IF(AK113=summaryref2!B142,summaryref2!F142,"")))))))))))</f>
        <v>#REF!</v>
      </c>
      <c r="AP113" s="1109" t="e">
        <f ca="1">IF('A-80 DirEntInv'!#REF!&lt;&gt;"",'A-80 DirEntInv'!#REF!,IF(INDIRECT(ADDRESS(SumRef!#REF!,SumRef!#REF!,,,SumRef!$C$7))="","",INDIRECT(ADDRESS(SumRef!#REF!,SumRef!#REF!,,,SumRef!$C$7))))</f>
        <v>#REF!</v>
      </c>
      <c r="AQ113" s="1147" t="e">
        <f>IF('A-80 DirEntInv'!#REF!&lt;&gt;"",'A-80 DirEntInv'!#REF!,IF(AK113=summaryref2!B16,summaryref2!G16,IF(Summary!AK113=summaryref2!B30,summaryref2!G30,IF(AK113=summaryref2!B44,summaryref2!G44,IF(AK113=summaryref2!B58,summaryref2!G58,IF(AK113=summaryref2!B72,summaryref2!G72,IF(AK113=summaryref2!B86,summaryref2!G86,IF(AK113=summaryref2!B100,summaryref2!G100,IF(AK113=summaryref2!B114,summaryref2!G114,IF(AK113=summaryref2!B128,summaryref2!G128,IF(AK113=summaryref2!B142,summaryref2!G142,"")))))))))))</f>
        <v>#REF!</v>
      </c>
      <c r="AR113" s="1147" t="e">
        <f>IF('A-80 DirEntInv'!#REF!&lt;&gt;"",'A-80 DirEntInv'!#REF!,IF(AK113=summaryref2!B16,summaryref2!H16,IF(Summary!AK113=summaryref2!B30,summaryref2!H30,IF(AK113=summaryref2!B44,summaryref2!H44,IF(AK113=summaryref2!B58,summaryref2!H58,IF(AK113=summaryref2!B72,summaryref2!H72,IF(AK113=summaryref2!B86,summaryref2!H86,IF(AK113=summaryref2!B100,summaryref2!H100,IF(AK113=summaryref2!B114,summaryref2!H114,IF(AK113=summaryref2!B128,summaryref2!H128,IF(AK113=summaryref2!B142,summaryref2!H142,"")))))))))))</f>
        <v>#REF!</v>
      </c>
      <c r="AS113" s="1110" t="e">
        <f>IF('A-80 DirEntInv'!#REF!&lt;&gt;"",'A-80 DirEntInv'!#REF!,IF(AK113=summaryref2!B16,summaryref2!I16,IF(Summary!AK113=summaryref2!B30,summaryref2!I30,IF(AK113=summaryref2!B44,summaryref2!I44,IF(AK113=summaryref2!B58,summaryref2!I58,IF(AK113=summaryref2!B72,summaryref2!I72,IF(AK113=summaryref2!B86,summaryref2!I86,IF(AK113=summaryref2!B100,summaryref2!I100,IF(AK113=summaryref2!B114,summaryref2!I114,IF(AK113=summaryref2!B128,summaryref2!I128,IF(AK113=summaryref2!B142,summaryref2!I142,"")))))))))))</f>
        <v>#REF!</v>
      </c>
      <c r="AT113" s="1110" t="e">
        <f>IF('A-80 DirEntInv'!#REF!&lt;&gt;"",'A-80 DirEntInv'!#REF!,IF(AK113=summaryref2!B16,summaryref2!J16,IF(Summary!AK113=summaryref2!B30,summaryref2!J30,IF(AK113=summaryref2!B44,summaryref2!J44,IF(AK113=summaryref2!B58,summaryref2!J58,IF(AK113=summaryref2!B72,summaryref2!J72,IF(AK113=summaryref2!B86,summaryref2!J86,IF(AK113=summaryref2!B100,summaryref2!J100,IF(AK113=summaryref2!B114,summaryref2!J114,IF(AK113=summaryref2!B128,summaryref2!J128,IF(AK113=summaryref2!B142,summaryref2!J142,"")))))))))))</f>
        <v>#REF!</v>
      </c>
      <c r="AU113" s="1110" t="e">
        <f>IF('A-80 DirEntInv'!#REF!&lt;&gt;"",'A-80 DirEntInv'!#REF!,IF(AK113=summaryref2!B16,summaryref2!K16,IF(Summary!AK113=summaryref2!B30,summaryref2!K30,IF(AK113=summaryref2!B44,summaryref2!K44,IF(AK113=summaryref2!B58,summaryref2!K58,IF(AK113=summaryref2!B72,summaryref2!K72,IF(AK113=summaryref2!B86,summaryref2!K86,IF(AK113=summaryref2!B100,summaryref2!K100,IF(AK113=summaryref2!B114,summaryref2!K114,IF(AK113=summaryref2!B128,summaryref2!K128,IF(AK113=summaryref2!B142,summaryref2!K142,"")))))))))))</f>
        <v>#REF!</v>
      </c>
      <c r="AV113" s="1110" t="e">
        <f>IF('A-80 DirEntInv'!#REF!&lt;&gt;"",'A-80 DirEntInv'!#REF!,IF(AK113=summaryref2!B16,summaryref2!L16,IF(Summary!AK113=summaryref2!B30,summaryref2!L30,IF(AK113=summaryref2!B44,summaryref2!L44,IF(AK113=summaryref2!B58,summaryref2!L58,IF(AK113=summaryref2!B72,summaryref2!L72,IF(AK113=summaryref2!B86,summaryref2!L86,IF(AK113=summaryref2!B100,summaryref2!L100,IF(AK113=summaryref2!B114,summaryref2!L114,IF(AK113=summaryref2!B128,summaryref2!L128,IF(AK113=summaryref2!B142,summaryref2!L142,"")))))))))))</f>
        <v>#REF!</v>
      </c>
      <c r="AW113" s="1110" t="e">
        <f>IF('A-80 DirEntInv'!#REF!&lt;&gt;"",'A-80 DirEntInv'!#REF!,IF(AK113=summaryref2!B16,summaryref2!M16,IF(Summary!AK113=summaryref2!B30,summaryref2!M30,IF(AK113=summaryref2!B44,summaryref2!M44,IF(AK113=summaryref2!B58,summaryref2!M58,IF(AK113=summaryref2!B72,summaryref2!M72,IF(AK113=summaryref2!B86,summaryref2!M86,IF(AK113=summaryref2!B100,summaryref2!M100,IF(AK113=summaryref2!B114,summaryref2!M114,IF(AK113=summaryref2!B128,summaryref2!M128,IF(AK113=summaryref2!B142,summaryref2!M142,"")))))))))))</f>
        <v>#REF!</v>
      </c>
      <c r="AX113" s="1110" t="e">
        <f>IF('A-80 DirEntInv'!#REF!&lt;&gt;"",'A-80 DirEntInv'!#REF!,IF(AK113=summaryref2!B16,summaryref2!N16,IF(Summary!AK113=summaryref2!B30,summaryref2!N30,IF(AK113=summaryref2!B44,summaryref2!N44,IF(AK113=summaryref2!B58,summaryref2!N58,IF(AK113=summaryref2!B72,summaryref2!N72,IF(AK113=summaryref2!B86,summaryref2!N86,IF(AK113=summaryref2!B100,summaryref2!N100,IF(AK113=summaryref2!B114,summaryref2!N114,IF(AK113=summaryref2!B128,summaryref2!N128,IF(AK113=summaryref2!B142,summaryref2!N142,"")))))))))))</f>
        <v>#REF!</v>
      </c>
      <c r="AY113" s="1110" t="e">
        <f>IF('A-80 DirEntInv'!#REF!&lt;&gt;"",'A-80 DirEntInv'!#REF!,IF(AK113=summaryref2!B16,summaryref2!O16,IF(Summary!AK113=summaryref2!B30,summaryref2!O30,IF(AK113=summaryref2!B44,summaryref2!O44,IF(AK113=summaryref2!B58,summaryref2!O58,IF(AK113=summaryref2!B72,summaryref2!O72,IF(AK113=summaryref2!B86,summaryref2!O86,IF(AK113=summaryref2!B100,summaryref2!O100,IF(AK113=summaryref2!B114,summaryref2!O114,IF(AK113=summaryref2!B128,summaryref2!O128,IF(AK113=summaryref2!B142,summaryref2!O142,"")))))))))))</f>
        <v>#REF!</v>
      </c>
      <c r="AZ113" s="1110" t="e">
        <f>IF('A-80 DirEntInv'!#REF!&lt;&gt;"",'A-80 DirEntInv'!#REF!,IF(AK113=summaryref2!B16,summaryref2!P16,IF(Summary!AK113=summaryref2!B30,summaryref2!P30,IF(AK113=summaryref2!B44,summaryref2!P44,IF(AK113=summaryref2!B58,summaryref2!P58,IF(AK113=summaryref2!B72,summaryref2!P72,IF(AK113=summaryref2!B86,summaryref2!P86,IF(AK113=summaryref2!B100,summaryref2!P100,IF(AK113=summaryref2!B114,summaryref2!P114,IF(AK113=summaryref2!B128,summaryref2!P128,IF(AK113=summaryref2!B142,summaryref2!P142,"")))))))))))</f>
        <v>#REF!</v>
      </c>
      <c r="BA113" s="1110" t="e">
        <f>IF('A-80 DirEntInv'!#REF!&lt;&gt;"",'A-80 DirEntInv'!#REF!,IF(AK113=summaryref2!B16,summaryref2!Q16,IF(Summary!AK113=summaryref2!B30,summaryref2!Q30,IF(AK113=summaryref2!B44,summaryref2!Q44,IF(AK113=summaryref2!B58,summaryref2!Q58,IF(AK113=summaryref2!B72,summaryref2!Q72,IF(AK113=summaryref2!B86,summaryref2!Q86,IF(AK113=summaryref2!B100,summaryref2!Q100,IF(AK113=summaryref2!B114,summaryref2!Q114,IF(AK113=summaryref2!B128,summaryref2!Q128,IF(AK113=summaryref2!B142,summaryref2!Q142,"")))))))))))</f>
        <v>#REF!</v>
      </c>
      <c r="BB113" s="1110" t="e">
        <f>IF('A-80 DirEntInv'!#REF!&lt;&gt;"",'A-80 DirEntInv'!#REF!,IF(AK113=summaryref2!B16,summaryref2!R16,IF(Summary!AK113=summaryref2!B30,summaryref2!R30,IF(AK113=summaryref2!B44,summaryref2!R44,IF(AK113=summaryref2!B58,summaryref2!R58,IF(AK113=summaryref2!B72,summaryref2!R72,IF(AK113=summaryref2!B86,summaryref2!R86,IF(AK113=summaryref2!B100,summaryref2!R100,IF(AK113=summaryref2!B114,summaryref2!R114,IF(AK113=summaryref2!B128,summaryref2!R128,IF(AK113=summaryref2!B142,summaryref2!R142,"")))))))))))</f>
        <v>#REF!</v>
      </c>
      <c r="BC113" s="1110" t="e">
        <f>IF('A-80 DirEntInv'!#REF!&lt;&gt;0,'A-80 DirEntInv'!#REF!,IF(AK113=summaryref2!B16,summaryref2!S16,IF(Summary!AK113=summaryref2!B30,summaryref2!S30,IF(AK113=summaryref2!B44,summaryref2!S44,IF(AK113=summaryref2!B58,summaryref2!S58,IF(AK113=summaryref2!B72,summaryref2!S72,IF(AK113=summaryref2!B86,summaryref2!S86,IF(AK113=summaryref2!B100,summaryref2!S100,IF(AK113=summaryref2!B114,summaryref2!S114,IF(AK113=summaryref2!B128,summaryref2!S128,IF(AK113=summaryref2!B142,summaryref2!S142,"")))))))))))</f>
        <v>#REF!</v>
      </c>
      <c r="BD113" s="1111" t="e">
        <f>IF('A-80 DirEntInv'!#REF!&lt;&gt;"",'A-80 DirEntInv'!#REF!,IF(AK113=summaryref2!B16,summaryref2!T16,IF(Summary!AK113=summaryref2!B30,summaryref2!T30,IF(AK113=summaryref2!B44,summaryref2!T44,IF(AK113=summaryref2!B58,summaryref2!T58,IF(AK113=summaryref2!B72,summaryref2!T72,IF(AK113=summaryref2!B86,summaryref2!T86,IF(AK113=summaryref2!B100,summaryref2!T100,IF(AK113=summaryref2!B114,summaryref2!T114,IF(AK113=summaryref2!B128,summaryref2!T128,IF(AK113=summaryref2!B142,summaryref2!T142,"")))))))))))</f>
        <v>#REF!</v>
      </c>
      <c r="BE113" s="1184" t="e">
        <f>IF('A-80 DirEntInv'!#REF!&lt;&gt;"",'A-80 DirEntInv'!#REF!,IF(AK113=summaryref2!B16,summaryref2!U16,IF(Summary!AK113=summaryref2!B30,summaryref2!U30,IF(AK113=summaryref2!B44,summaryref2!U44,IF(AK113=summaryref2!B58,summaryref2!U58,IF(AK113=summaryref2!B72,summaryref2!U72,IF(AK113=summaryref2!B86,summaryref2!U86,IF(AK113=summaryref2!B100,summaryref2!U100,IF(AK113=summaryref2!B114,summaryref2!U114,IF(AK113=summaryref2!B128,summaryref2!U128,IF(AK113=summaryref2!B142,summaryref2!U142,"")))))))))))</f>
        <v>#REF!</v>
      </c>
      <c r="BF113" s="1432"/>
      <c r="BG113" s="1432"/>
      <c r="BJ113" s="1041" t="str">
        <f>Codes!$C$170</f>
        <v>SR - Streetcar Rail (PT)</v>
      </c>
      <c r="BK113" s="1042" t="str">
        <f>Valid!$B$84</f>
        <v>Half Grand Union</v>
      </c>
      <c r="BL113" s="1375" t="e">
        <f>IF('A-80 DirEntInv'!#REF!&lt;&gt;"",'A-80 DirEntInv'!#REF!,IF(BJ113=summaryref2!X16,summaryref2!Z16,IF(BJ113=summaryref2!X23,summaryref2!Z23,IF(BJ113=summaryref2!X30,summaryref2!Z30,IF(BJ113=summaryref2!X37,summaryref2!Z37,IF(BJ113=summaryref2!X44,summaryref2!Z44,IF(BJ113=summaryref2!X51,summaryref2!Z51,IF(BJ113=summaryref2!X58,summaryref2!Z58,IF(BJ113=summaryref2!X65,summaryref2!Z65,IF(BJ113=summaryref2!X72,summaryref2!Z72,IF(BJ113=summaryref2!X79,summaryref2!Z79,"")))))))))))</f>
        <v>#REF!</v>
      </c>
      <c r="BM113" s="1042" t="str">
        <f>VLOOKUP(BK113,Valid!$B$80:$C$86,2,FALSE)</f>
        <v>Each</v>
      </c>
      <c r="BN113" s="1209" t="e">
        <f>IF('A-80 DirEntInv'!#REF!&lt;&gt;"",'A-80 DirEntInv'!#REF!,IF(BJ113=summaryref2!X16,summaryref2!AB16,IF(BJ113=summaryref2!X23,summaryref2!AB23,IF(BJ113=summaryref2!X30,summaryref2!AB30,IF(BJ113=summaryref2!X37,summaryref2!AB37,IF(BJ113=summaryref2!X44,summaryref2!AB44,IF(BJ113=summaryref2!X51,summaryref2!AB51,IF(BJ113=summaryref2!X58,summaryref2!AB58,IF(BJ113=summaryref2!X65,summaryref2!AB65,IF(BJ113=summaryref2!X72,summaryref2!AB72,IF(BJ113=summaryref2!X79,summaryref2!AB79,"")))))))))))</f>
        <v>#REF!</v>
      </c>
      <c r="BO113" s="1116" t="e">
        <f>IF('A-80 DirEntInv'!#REF!&lt;&gt;"",'A-80 DirEntInv'!#REF!,IF(BJ113=summaryref2!X16,summaryref2!AC16,IF(BJ113=summaryref2!X23,summaryref2!AC23,IF(BJ113=summaryref2!X30,summaryref2!AC30,IF(BJ113=summaryref2!X37,summaryref2!AC37,IF(BJ113=summaryref2!X44,summaryref2!AC44,IF(BJ113=summaryref2!X51,summaryref2!AC51,IF(BJ113=summaryref2!X58,summaryref2!AC58,IF(BJ113=summaryref2!X65,summaryref2!AC65,IF(BJ113=summaryref2!X72,summaryref2!AC72,IF(BJ113=summaryref2!X79,summaryref2!AC79,"")))))))))))</f>
        <v>#REF!</v>
      </c>
      <c r="BP113" s="1384" t="e">
        <f>IF('A-80 DirEntInv'!#REF!&lt;&gt;"",'A-80 DirEntInv'!#REF!,IF(BJ113=summaryref2!X16,summaryref2!AD16,IF(BJ113=summaryref2!X23,summaryref2!AD23,IF(BJ113=summaryref2!X30,summaryref2!AD30,IF(BJ113=summaryref2!X37,summaryref2!AD37,IF(BJ113=summaryref2!X44,summaryref2!AD44,IF(BJ113=summaryref2!X51,summaryref2!AD51,IF(BJ113=summaryref2!X58,summaryref2!AD58,IF(BJ113=summaryref2!X65,summaryref2!AD65,IF(BJ113=summaryref2!X72,summaryref2!AD72,IF(BJ113=summaryref2!X79,summaryref2!AD79,"")))))))))))</f>
        <v>#REF!</v>
      </c>
      <c r="BU113" s="962"/>
      <c r="CD113" s="589"/>
      <c r="CE113" s="590"/>
      <c r="CF113" s="590"/>
      <c r="CG113" s="590"/>
      <c r="CH113" s="590"/>
      <c r="CI113" s="590"/>
      <c r="CJ113" s="589"/>
      <c r="CK113" s="589"/>
      <c r="CL113" s="589"/>
      <c r="CM113" s="587"/>
      <c r="CN113" s="587"/>
      <c r="CO113" s="589"/>
      <c r="CP113" s="587"/>
      <c r="CQ113" s="592"/>
      <c r="CR113" s="589"/>
      <c r="CS113" s="592"/>
      <c r="CT113" s="589"/>
      <c r="CU113" s="589"/>
      <c r="CV113" s="589"/>
      <c r="CW113" s="587"/>
      <c r="CX113" s="590"/>
      <c r="CY113" s="590"/>
      <c r="CZ113" s="590"/>
      <c r="DA113" s="1054"/>
      <c r="DB113" s="1054"/>
      <c r="DC113" s="587"/>
      <c r="DD113" s="587"/>
    </row>
    <row r="114" spans="1:108" s="588" customFormat="1" x14ac:dyDescent="0.2">
      <c r="A114" s="589">
        <f t="shared" si="1"/>
        <v>104</v>
      </c>
      <c r="B114" s="587"/>
      <c r="C114" s="587"/>
      <c r="D114" s="587"/>
      <c r="J114" s="589"/>
      <c r="K114" s="590"/>
      <c r="L114" s="591"/>
      <c r="M114" s="592"/>
      <c r="N114" s="589"/>
      <c r="O114" s="587"/>
      <c r="R114" s="1052"/>
      <c r="S114" s="1052"/>
      <c r="T114" s="1052"/>
      <c r="U114" s="1052"/>
      <c r="V114" s="1052"/>
      <c r="W114" s="1053"/>
      <c r="X114" s="1053"/>
      <c r="Y114" s="1053"/>
      <c r="Z114" s="1052"/>
      <c r="AA114" s="1052"/>
      <c r="AB114" s="962"/>
      <c r="AC114" s="590"/>
      <c r="AD114" s="590"/>
      <c r="AE114" s="591"/>
      <c r="AF114" s="592"/>
      <c r="AG114" s="1053"/>
      <c r="AH114" s="587"/>
      <c r="AK114" s="1041" t="str">
        <f>Codes!$C$163</f>
        <v>HR - Heavy Rail (DO)</v>
      </c>
      <c r="AL114" s="1042" t="str">
        <f>Valid!$B$76</f>
        <v>Below-Grade/Retained Cut</v>
      </c>
      <c r="AM114" s="1108" t="e">
        <f>IF('A-80 DirEntInv'!#REF!&lt;&gt;"",'A-80 DirEntInv'!#REF!,IF(AK114=summaryref2!B17,summaryref2!D17,IF(Summary!AK114=summaryref2!B31,summaryref2!D31,IF(AK114=summaryref2!B45,summaryref2!D45,IF(AK114=summaryref2!B59,summaryref2!D59,IF(AK114=summaryref2!B73,summaryref2!D73,IF(AK114=summaryref2!B87,summaryref2!D87,IF(AK114=summaryref2!B101,summaryref2!D101,IF(AK114=summaryref2!B115,summaryref2!D115,IF(AK114=summaryref2!B129,summaryref2!D129,IF(AK114=summaryref2!B143,summaryref2!D143,"")))))))))))</f>
        <v>#REF!</v>
      </c>
      <c r="AN114" s="1109" t="e">
        <f ca="1">IF('A-80 DirEntInv'!#REF!&lt;&gt;"",'A-80 DirEntInv'!#REF!,IF(INDIRECT(ADDRESS(SumRef!CG264,SumRef!CG$16,,,SumRef!$C$7))="","",INDIRECT(ADDRESS(SumRef!CG264,SumRef!CG$16,,,SumRef!$C$7))))</f>
        <v>#REF!</v>
      </c>
      <c r="AO114" s="1108" t="e">
        <f>IF('A-80 DirEntInv'!#REF!&lt;&gt;"",'A-80 DirEntInv'!#REF!,IF(AK114=summaryref2!B17,summaryref2!F17,IF(Summary!AK114=summaryref2!B31,summaryref2!F31,IF(AK114=summaryref2!B45,summaryref2!F45,IF(AK114=summaryref2!B59,summaryref2!F59,IF(AK114=summaryref2!B73,summaryref2!F73,IF(AK114=summaryref2!B87,summaryref2!F87,IF(AK114=summaryref2!B101,summaryref2!F101,IF(AK114=summaryref2!B115,summaryref2!F115,IF(AK114=summaryref2!B129,summaryref2!F129,IF(AK114=summaryref2!B143,summaryref2!F143,"")))))))))))</f>
        <v>#REF!</v>
      </c>
      <c r="AP114" s="1109" t="e">
        <f ca="1">IF('A-80 DirEntInv'!#REF!&lt;&gt;"",'A-80 DirEntInv'!#REF!,IF(INDIRECT(ADDRESS(SumRef!#REF!,SumRef!#REF!,,,SumRef!$C$7))="","",INDIRECT(ADDRESS(SumRef!#REF!,SumRef!#REF!,,,SumRef!$C$7))))</f>
        <v>#REF!</v>
      </c>
      <c r="AQ114" s="1147" t="e">
        <f>IF('A-80 DirEntInv'!#REF!&lt;&gt;"",'A-80 DirEntInv'!#REF!,IF(AK114=summaryref2!B17,summaryref2!G17,IF(Summary!AK114=summaryref2!B31,summaryref2!G31,IF(AK114=summaryref2!B45,summaryref2!G45,IF(AK114=summaryref2!B59,summaryref2!G59,IF(AK114=summaryref2!B73,summaryref2!G73,IF(AK114=summaryref2!B87,summaryref2!G87,IF(AK114=summaryref2!B101,summaryref2!G101,IF(AK114=summaryref2!B115,summaryref2!G115,IF(AK114=summaryref2!B129,summaryref2!G129,IF(AK114=summaryref2!B143,summaryref2!G143,"")))))))))))</f>
        <v>#REF!</v>
      </c>
      <c r="AR114" s="1147" t="e">
        <f>IF('A-80 DirEntInv'!#REF!&lt;&gt;"",'A-80 DirEntInv'!#REF!,IF(AK114=summaryref2!B17,summaryref2!H17,IF(Summary!AK114=summaryref2!B31,summaryref2!H31,IF(AK114=summaryref2!B45,summaryref2!H45,IF(AK114=summaryref2!B59,summaryref2!H59,IF(AK114=summaryref2!B73,summaryref2!H73,IF(AK114=summaryref2!B87,summaryref2!H87,IF(AK114=summaryref2!B101,summaryref2!H101,IF(AK114=summaryref2!B115,summaryref2!H115,IF(AK114=summaryref2!B129,summaryref2!H129,IF(AK114=summaryref2!B143,summaryref2!H143,"")))))))))))</f>
        <v>#REF!</v>
      </c>
      <c r="AS114" s="1110" t="e">
        <f>IF('A-80 DirEntInv'!#REF!&lt;&gt;"",'A-80 DirEntInv'!#REF!,IF(AK114=summaryref2!B17,summaryref2!I17,IF(Summary!AK114=summaryref2!B31,summaryref2!I31,IF(AK114=summaryref2!B45,summaryref2!I45,IF(AK114=summaryref2!B59,summaryref2!I59,IF(AK114=summaryref2!B73,summaryref2!I73,IF(AK114=summaryref2!B87,summaryref2!I87,IF(AK114=summaryref2!B101,summaryref2!I101,IF(AK114=summaryref2!B115,summaryref2!I115,IF(AK114=summaryref2!B129,summaryref2!I129,IF(AK114=summaryref2!B143,summaryref2!I143,"")))))))))))</f>
        <v>#REF!</v>
      </c>
      <c r="AT114" s="1110" t="e">
        <f>IF('A-80 DirEntInv'!#REF!&lt;&gt;"",'A-80 DirEntInv'!#REF!,IF(AK114=summaryref2!B17,summaryref2!J17,IF(Summary!AK114=summaryref2!B31,summaryref2!J31,IF(AK114=summaryref2!B45,summaryref2!J45,IF(AK114=summaryref2!B59,summaryref2!J59,IF(AK114=summaryref2!B73,summaryref2!J73,IF(AK114=summaryref2!B87,summaryref2!J87,IF(AK114=summaryref2!B101,summaryref2!J101,IF(AK114=summaryref2!B115,summaryref2!J115,IF(AK114=summaryref2!B129,summaryref2!J129,IF(AK114=summaryref2!B143,summaryref2!J143,"")))))))))))</f>
        <v>#REF!</v>
      </c>
      <c r="AU114" s="1110" t="e">
        <f>IF('A-80 DirEntInv'!#REF!&lt;&gt;"",'A-80 DirEntInv'!#REF!,IF(AK114=summaryref2!B17,summaryref2!K17,IF(Summary!AK114=summaryref2!B31,summaryref2!K31,IF(AK114=summaryref2!B45,summaryref2!K45,IF(AK114=summaryref2!B59,summaryref2!K59,IF(AK114=summaryref2!B73,summaryref2!K73,IF(AK114=summaryref2!B87,summaryref2!K87,IF(AK114=summaryref2!B101,summaryref2!K101,IF(AK114=summaryref2!B115,summaryref2!K115,IF(AK114=summaryref2!B129,summaryref2!K129,IF(AK114=summaryref2!B143,summaryref2!K143,"")))))))))))</f>
        <v>#REF!</v>
      </c>
      <c r="AV114" s="1110" t="e">
        <f>IF('A-80 DirEntInv'!#REF!&lt;&gt;"",'A-80 DirEntInv'!#REF!,IF(AK114=summaryref2!B17,summaryref2!L17,IF(Summary!AK114=summaryref2!B31,summaryref2!L31,IF(AK114=summaryref2!B45,summaryref2!L45,IF(AK114=summaryref2!B59,summaryref2!L59,IF(AK114=summaryref2!B73,summaryref2!L73,IF(AK114=summaryref2!B87,summaryref2!L87,IF(AK114=summaryref2!B101,summaryref2!L101,IF(AK114=summaryref2!B115,summaryref2!L115,IF(AK114=summaryref2!B129,summaryref2!L129,IF(AK114=summaryref2!B143,summaryref2!L143,"")))))))))))</f>
        <v>#REF!</v>
      </c>
      <c r="AW114" s="1110" t="e">
        <f>IF('A-80 DirEntInv'!#REF!&lt;&gt;"",'A-80 DirEntInv'!#REF!,IF(AK114=summaryref2!B17,summaryref2!M17,IF(Summary!AK114=summaryref2!B31,summaryref2!M31,IF(AK114=summaryref2!B45,summaryref2!M45,IF(AK114=summaryref2!B59,summaryref2!M59,IF(AK114=summaryref2!B73,summaryref2!M73,IF(AK114=summaryref2!B87,summaryref2!M87,IF(AK114=summaryref2!B101,summaryref2!M101,IF(AK114=summaryref2!B115,summaryref2!M115,IF(AK114=summaryref2!B129,summaryref2!M129,IF(AK114=summaryref2!B143,summaryref2!M143,"")))))))))))</f>
        <v>#REF!</v>
      </c>
      <c r="AX114" s="1110" t="e">
        <f>IF('A-80 DirEntInv'!#REF!&lt;&gt;"",'A-80 DirEntInv'!#REF!,IF(AK114=summaryref2!B17,summaryref2!N17,IF(Summary!AK114=summaryref2!B31,summaryref2!N31,IF(AK114=summaryref2!B45,summaryref2!N45,IF(AK114=summaryref2!B59,summaryref2!N59,IF(AK114=summaryref2!B73,summaryref2!N73,IF(AK114=summaryref2!B87,summaryref2!N87,IF(AK114=summaryref2!B101,summaryref2!N101,IF(AK114=summaryref2!B115,summaryref2!N115,IF(AK114=summaryref2!B129,summaryref2!N129,IF(AK114=summaryref2!B143,summaryref2!N143,"")))))))))))</f>
        <v>#REF!</v>
      </c>
      <c r="AY114" s="1110" t="e">
        <f>IF('A-80 DirEntInv'!#REF!&lt;&gt;"",'A-80 DirEntInv'!#REF!,IF(AK114=summaryref2!B17,summaryref2!O17,IF(Summary!AK114=summaryref2!B31,summaryref2!O31,IF(AK114=summaryref2!B45,summaryref2!O45,IF(AK114=summaryref2!B59,summaryref2!O59,IF(AK114=summaryref2!B73,summaryref2!O73,IF(AK114=summaryref2!B87,summaryref2!O87,IF(AK114=summaryref2!B101,summaryref2!O101,IF(AK114=summaryref2!B115,summaryref2!O115,IF(AK114=summaryref2!B129,summaryref2!O129,IF(AK114=summaryref2!B143,summaryref2!O143,"")))))))))))</f>
        <v>#REF!</v>
      </c>
      <c r="AZ114" s="1110" t="e">
        <f>IF('A-80 DirEntInv'!#REF!&lt;&gt;"",'A-80 DirEntInv'!#REF!,IF(AK114=summaryref2!B17,summaryref2!P17,IF(Summary!AK114=summaryref2!B31,summaryref2!P31,IF(AK114=summaryref2!B45,summaryref2!P45,IF(AK114=summaryref2!B59,summaryref2!P59,IF(AK114=summaryref2!B73,summaryref2!P73,IF(AK114=summaryref2!B87,summaryref2!P87,IF(AK114=summaryref2!B101,summaryref2!P101,IF(AK114=summaryref2!B115,summaryref2!P115,IF(AK114=summaryref2!B129,summaryref2!P129,IF(AK114=summaryref2!B143,summaryref2!P143,"")))))))))))</f>
        <v>#REF!</v>
      </c>
      <c r="BA114" s="1110" t="e">
        <f>IF('A-80 DirEntInv'!#REF!&lt;&gt;"",'A-80 DirEntInv'!#REF!,IF(AK114=summaryref2!B17,summaryref2!Q17,IF(Summary!AK114=summaryref2!B31,summaryref2!Q31,IF(AK114=summaryref2!B45,summaryref2!Q45,IF(AK114=summaryref2!B59,summaryref2!Q59,IF(AK114=summaryref2!B73,summaryref2!Q73,IF(AK114=summaryref2!B87,summaryref2!Q87,IF(AK114=summaryref2!B101,summaryref2!Q101,IF(AK114=summaryref2!B115,summaryref2!Q115,IF(AK114=summaryref2!B129,summaryref2!Q129,IF(AK114=summaryref2!B143,summaryref2!Q143,"")))))))))))</f>
        <v>#REF!</v>
      </c>
      <c r="BB114" s="1110" t="e">
        <f>IF('A-80 DirEntInv'!#REF!&lt;&gt;"",'A-80 DirEntInv'!#REF!,IF(AK114=summaryref2!B17,summaryref2!R17,IF(Summary!AK114=summaryref2!B31,summaryref2!R31,IF(AK114=summaryref2!B45,summaryref2!R45,IF(AK114=summaryref2!B59,summaryref2!R59,IF(AK114=summaryref2!B73,summaryref2!R73,IF(AK114=summaryref2!B87,summaryref2!R87,IF(AK114=summaryref2!B101,summaryref2!R101,IF(AK114=summaryref2!B115,summaryref2!R115,IF(AK114=summaryref2!B129,summaryref2!R129,IF(AK114=summaryref2!B143,summaryref2!R143,"")))))))))))</f>
        <v>#REF!</v>
      </c>
      <c r="BC114" s="1110" t="e">
        <f>IF('A-80 DirEntInv'!#REF!&lt;&gt;0,'A-80 DirEntInv'!#REF!,IF(AK114=summaryref2!B17,summaryref2!S17,IF(Summary!AK114=summaryref2!B31,summaryref2!S31,IF(AK114=summaryref2!B45,summaryref2!S45,IF(AK114=summaryref2!B59,summaryref2!S59,IF(AK114=summaryref2!B73,summaryref2!S73,IF(AK114=summaryref2!B87,summaryref2!S87,IF(AK114=summaryref2!B101,summaryref2!S101,IF(AK114=summaryref2!B115,summaryref2!S115,IF(AK114=summaryref2!B129,summaryref2!S129,IF(AK114=summaryref2!B143,summaryref2!S143,"")))))))))))</f>
        <v>#REF!</v>
      </c>
      <c r="BD114" s="1111" t="e">
        <f>IF('A-80 DirEntInv'!#REF!&lt;&gt;"",'A-80 DirEntInv'!#REF!,IF(AK114=summaryref2!B17,summaryref2!T17,IF(Summary!AK114=summaryref2!B31,summaryref2!T31,IF(AK114=summaryref2!B45,summaryref2!T45,IF(AK114=summaryref2!B59,summaryref2!T59,IF(AK114=summaryref2!B73,summaryref2!T73,IF(AK114=summaryref2!B87,summaryref2!T87,IF(AK114=summaryref2!B101,summaryref2!T101,IF(AK114=summaryref2!B115,summaryref2!T115,IF(AK114=summaryref2!B129,summaryref2!T129,IF(AK114=summaryref2!B143,summaryref2!T143,"")))))))))))</f>
        <v>#REF!</v>
      </c>
      <c r="BE114" s="1184" t="e">
        <f>IF('A-80 DirEntInv'!#REF!&lt;&gt;"",'A-80 DirEntInv'!#REF!,IF(AK114=summaryref2!B17,summaryref2!U17,IF(Summary!AK114=summaryref2!B31,summaryref2!U31,IF(AK114=summaryref2!B45,summaryref2!U45,IF(AK114=summaryref2!B59,summaryref2!U59,IF(AK114=summaryref2!B73,summaryref2!U73,IF(AK114=summaryref2!B87,summaryref2!U87,IF(AK114=summaryref2!B101,summaryref2!U101,IF(AK114=summaryref2!B115,summaryref2!U115,IF(AK114=summaryref2!B129,summaryref2!U129,IF(AK114=summaryref2!B143,summaryref2!U143,"")))))))))))</f>
        <v>#REF!</v>
      </c>
      <c r="BF114" s="1432"/>
      <c r="BG114" s="1432"/>
      <c r="BJ114" s="1041" t="str">
        <f>Codes!$C$170</f>
        <v>SR - Streetcar Rail (PT)</v>
      </c>
      <c r="BK114" s="1042" t="str">
        <f>Valid!$B$85</f>
        <v>Single Turnout</v>
      </c>
      <c r="BL114" s="1375" t="e">
        <f>IF('A-80 DirEntInv'!#REF!&lt;&gt;"",'A-80 DirEntInv'!#REF!,IF(BJ114=summaryref2!X17,summaryref2!Z17,IF(BJ114=summaryref2!X24,summaryref2!Z24,IF(BJ114=summaryref2!X31,summaryref2!Z31,IF(BJ114=summaryref2!X38,summaryref2!Z38,IF(BJ114=summaryref2!X45,summaryref2!Z45,IF(BJ114=summaryref2!X52,summaryref2!Z52,IF(BJ114=summaryref2!X59,summaryref2!Z59,IF(BJ114=summaryref2!X66,summaryref2!Z66,IF(BJ114=summaryref2!X73,summaryref2!Z73,IF(BJ114=summaryref2!X80,summaryref2!Z80,"")))))))))))</f>
        <v>#REF!</v>
      </c>
      <c r="BM114" s="1042" t="str">
        <f>VLOOKUP(BK114,Valid!$B$80:$C$86,2,FALSE)</f>
        <v>Each</v>
      </c>
      <c r="BN114" s="1209" t="e">
        <f>IF('A-80 DirEntInv'!#REF!&lt;&gt;"",'A-80 DirEntInv'!#REF!,IF(BJ114=summaryref2!X17,summaryref2!AB17,IF(BJ114=summaryref2!X24,summaryref2!AB24,IF(BJ114=summaryref2!X31,summaryref2!AB31,IF(BJ114=summaryref2!X38,summaryref2!AB38,IF(BJ114=summaryref2!X45,summaryref2!AB45,IF(BJ114=summaryref2!X52,summaryref2!AB52,IF(BJ114=summaryref2!X59,summaryref2!AB59,IF(BJ114=summaryref2!X66,summaryref2!AB66,IF(BJ114=summaryref2!X73,summaryref2!AB73,IF(BJ114=summaryref2!X80,summaryref2!AB80,"")))))))))))</f>
        <v>#REF!</v>
      </c>
      <c r="BO114" s="1116" t="e">
        <f>IF('A-80 DirEntInv'!#REF!&lt;&gt;"",'A-80 DirEntInv'!#REF!,IF(BJ114=summaryref2!X17,summaryref2!AC17,IF(BJ114=summaryref2!X24,summaryref2!AC24,IF(BJ114=summaryref2!X31,summaryref2!AC31,IF(BJ114=summaryref2!X38,summaryref2!AC38,IF(BJ114=summaryref2!X45,summaryref2!AC45,IF(BJ114=summaryref2!X52,summaryref2!AC52,IF(BJ114=summaryref2!X59,summaryref2!AC59,IF(BJ114=summaryref2!X66,summaryref2!AC66,IF(BJ114=summaryref2!X73,summaryref2!AC73,IF(BJ114=summaryref2!X80,summaryref2!AC80,"")))))))))))</f>
        <v>#REF!</v>
      </c>
      <c r="BP114" s="1384" t="e">
        <f>IF('A-80 DirEntInv'!#REF!&lt;&gt;"",'A-80 DirEntInv'!#REF!,IF(BJ114=summaryref2!X17,summaryref2!AD17,IF(BJ114=summaryref2!X24,summaryref2!AD24,IF(BJ114=summaryref2!X31,summaryref2!AD31,IF(BJ114=summaryref2!X38,summaryref2!AD38,IF(BJ114=summaryref2!X45,summaryref2!AD45,IF(BJ114=summaryref2!X52,summaryref2!AD52,IF(BJ114=summaryref2!X59,summaryref2!AD59,IF(BJ114=summaryref2!X66,summaryref2!AD66,IF(BJ114=summaryref2!X73,summaryref2!AD73,IF(BJ114=summaryref2!X80,summaryref2!AD80,"")))))))))))</f>
        <v>#REF!</v>
      </c>
      <c r="BU114" s="962"/>
      <c r="CD114" s="589"/>
      <c r="CE114" s="590"/>
      <c r="CF114" s="590"/>
      <c r="CG114" s="590"/>
      <c r="CH114" s="590"/>
      <c r="CI114" s="590"/>
      <c r="CJ114" s="589"/>
      <c r="CK114" s="589"/>
      <c r="CL114" s="589"/>
      <c r="CM114" s="587"/>
      <c r="CN114" s="587"/>
      <c r="CO114" s="589"/>
      <c r="CP114" s="587"/>
      <c r="CQ114" s="592"/>
      <c r="CR114" s="589"/>
      <c r="CS114" s="592"/>
      <c r="CT114" s="589"/>
      <c r="CU114" s="589"/>
      <c r="CV114" s="589"/>
      <c r="CW114" s="587"/>
      <c r="CX114" s="590"/>
      <c r="CY114" s="590"/>
      <c r="CZ114" s="590"/>
      <c r="DA114" s="1054"/>
      <c r="DB114" s="1054"/>
      <c r="DC114" s="587"/>
      <c r="DD114" s="587"/>
    </row>
    <row r="115" spans="1:108" s="588" customFormat="1" ht="13.5" thickBot="1" x14ac:dyDescent="0.25">
      <c r="A115" s="589">
        <f t="shared" si="1"/>
        <v>105</v>
      </c>
      <c r="B115" s="587"/>
      <c r="C115" s="587"/>
      <c r="D115" s="587"/>
      <c r="J115" s="589"/>
      <c r="K115" s="590"/>
      <c r="L115" s="591"/>
      <c r="M115" s="592"/>
      <c r="N115" s="589"/>
      <c r="O115" s="587"/>
      <c r="R115" s="1052"/>
      <c r="S115" s="1052"/>
      <c r="T115" s="1052"/>
      <c r="U115" s="1052"/>
      <c r="V115" s="1052"/>
      <c r="W115" s="1053"/>
      <c r="X115" s="1053"/>
      <c r="Y115" s="1053"/>
      <c r="Z115" s="1052"/>
      <c r="AA115" s="1052"/>
      <c r="AB115" s="962"/>
      <c r="AC115" s="590"/>
      <c r="AD115" s="590"/>
      <c r="AE115" s="591"/>
      <c r="AF115" s="592"/>
      <c r="AG115" s="1053"/>
      <c r="AH115" s="587"/>
      <c r="AK115" s="1041" t="str">
        <f>Codes!$C$163</f>
        <v>HR - Heavy Rail (DO)</v>
      </c>
      <c r="AL115" s="1042" t="str">
        <f>Valid!$B$77</f>
        <v>Below-Grade/Cut-and-Cover Tunnel</v>
      </c>
      <c r="AM115" s="1108" t="e">
        <f>IF('A-80 DirEntInv'!#REF!&lt;&gt;"",'A-80 DirEntInv'!#REF!,IF(AK115=summaryref2!B18,summaryref2!D18,IF(Summary!AK115=summaryref2!B32,summaryref2!D32,IF(AK115=summaryref2!B46,summaryref2!D46,IF(AK115=summaryref2!B60,summaryref2!D60,IF(AK115=summaryref2!B74,summaryref2!D74,IF(AK115=summaryref2!B88,summaryref2!D88,IF(AK115=summaryref2!B102,summaryref2!D102,IF(AK115=summaryref2!B116,summaryref2!D116,IF(AK115=summaryref2!B130,summaryref2!D130,IF(AK115=summaryref2!B144,summaryref2!D144,"")))))))))))</f>
        <v>#REF!</v>
      </c>
      <c r="AN115" s="1109" t="e">
        <f ca="1">IF('A-80 DirEntInv'!#REF!&lt;&gt;"",'A-80 DirEntInv'!#REF!,IF(INDIRECT(ADDRESS(SumRef!CG265,SumRef!CG$16,,,SumRef!$C$7))="","",INDIRECT(ADDRESS(SumRef!CG265,SumRef!CG$16,,,SumRef!$C$7))))</f>
        <v>#REF!</v>
      </c>
      <c r="AO115" s="1108" t="e">
        <f>IF('A-80 DirEntInv'!#REF!&lt;&gt;"",'A-80 DirEntInv'!#REF!,IF(AK115=summaryref2!B18,summaryref2!F18,IF(Summary!AK115=summaryref2!B32,summaryref2!F32,IF(AK115=summaryref2!B46,summaryref2!F46,IF(AK115=summaryref2!B60,summaryref2!F60,IF(AK115=summaryref2!B74,summaryref2!F74,IF(AK115=summaryref2!B88,summaryref2!F88,IF(AK115=summaryref2!B102,summaryref2!F102,IF(AK115=summaryref2!B116,summaryref2!F116,IF(AK115=summaryref2!B130,summaryref2!F130,IF(AK115=summaryref2!B144,summaryref2!F144,"")))))))))))</f>
        <v>#REF!</v>
      </c>
      <c r="AP115" s="1109" t="e">
        <f ca="1">IF('A-80 DirEntInv'!#REF!&lt;&gt;"",'A-80 DirEntInv'!#REF!,IF(INDIRECT(ADDRESS(SumRef!#REF!,SumRef!#REF!,,,SumRef!$C$7))="","",INDIRECT(ADDRESS(SumRef!#REF!,SumRef!#REF!,,,SumRef!$C$7))))</f>
        <v>#REF!</v>
      </c>
      <c r="AQ115" s="1147" t="e">
        <f>IF('A-80 DirEntInv'!#REF!&lt;&gt;"",'A-80 DirEntInv'!#REF!,IF(AK115=summaryref2!B18,summaryref2!G18,IF(Summary!AK115=summaryref2!B32,summaryref2!G32,IF(AK115=summaryref2!B46,summaryref2!G46,IF(AK115=summaryref2!B60,summaryref2!G60,IF(AK115=summaryref2!B74,summaryref2!G74,IF(AK115=summaryref2!B88,summaryref2!G88,IF(AK115=summaryref2!B102,summaryref2!G102,IF(AK115=summaryref2!B116,summaryref2!G116,IF(AK115=summaryref2!B130,summaryref2!G130,IF(AK115=summaryref2!B144,summaryref2!G144,"")))))))))))</f>
        <v>#REF!</v>
      </c>
      <c r="AR115" s="1147" t="e">
        <f>IF('A-80 DirEntInv'!#REF!&lt;&gt;"",'A-80 DirEntInv'!#REF!,IF(AK115=summaryref2!B18,summaryref2!H18,IF(Summary!AK115=summaryref2!B32,summaryref2!H32,IF(AK115=summaryref2!B46,summaryref2!H46,IF(AK115=summaryref2!B60,summaryref2!H60,IF(AK115=summaryref2!B74,summaryref2!H74,IF(AK115=summaryref2!B88,summaryref2!H88,IF(AK115=summaryref2!B102,summaryref2!H102,IF(AK115=summaryref2!B116,summaryref2!H116,IF(AK115=summaryref2!B130,summaryref2!H130,IF(AK115=summaryref2!B144,summaryref2!H144,"")))))))))))</f>
        <v>#REF!</v>
      </c>
      <c r="AS115" s="1110" t="e">
        <f>IF('A-80 DirEntInv'!#REF!&lt;&gt;"",'A-80 DirEntInv'!#REF!,IF(AK115=summaryref2!B18,summaryref2!I18,IF(Summary!AK115=summaryref2!B32,summaryref2!I32,IF(AK115=summaryref2!B46,summaryref2!I46,IF(AK115=summaryref2!B60,summaryref2!I60,IF(AK115=summaryref2!B74,summaryref2!I74,IF(AK115=summaryref2!B88,summaryref2!I88,IF(AK115=summaryref2!B102,summaryref2!I102,IF(AK115=summaryref2!B116,summaryref2!I116,IF(AK115=summaryref2!B130,summaryref2!I130,IF(AK115=summaryref2!B144,summaryref2!I144,"")))))))))))</f>
        <v>#REF!</v>
      </c>
      <c r="AT115" s="1110" t="e">
        <f>IF('A-80 DirEntInv'!#REF!&lt;&gt;"",'A-80 DirEntInv'!#REF!,IF(AK115=summaryref2!B18,summaryref2!J18,IF(Summary!AK115=summaryref2!B32,summaryref2!J32,IF(AK115=summaryref2!B46,summaryref2!J46,IF(AK115=summaryref2!B60,summaryref2!J60,IF(AK115=summaryref2!B74,summaryref2!J74,IF(AK115=summaryref2!B88,summaryref2!J88,IF(AK115=summaryref2!B102,summaryref2!J102,IF(AK115=summaryref2!B116,summaryref2!J116,IF(AK115=summaryref2!B130,summaryref2!J130,IF(AK115=summaryref2!B144,summaryref2!J144,"")))))))))))</f>
        <v>#REF!</v>
      </c>
      <c r="AU115" s="1110" t="e">
        <f>IF('A-80 DirEntInv'!#REF!&lt;&gt;"",'A-80 DirEntInv'!#REF!,IF(AK115=summaryref2!B18,summaryref2!K18,IF(Summary!AK115=summaryref2!B32,summaryref2!K32,IF(AK115=summaryref2!B46,summaryref2!K46,IF(AK115=summaryref2!B60,summaryref2!K60,IF(AK115=summaryref2!B74,summaryref2!K74,IF(AK115=summaryref2!B88,summaryref2!K88,IF(AK115=summaryref2!B102,summaryref2!K102,IF(AK115=summaryref2!B116,summaryref2!K116,IF(AK115=summaryref2!B130,summaryref2!K130,IF(AK115=summaryref2!B144,summaryref2!K144,"")))))))))))</f>
        <v>#REF!</v>
      </c>
      <c r="AV115" s="1110" t="e">
        <f>IF('A-80 DirEntInv'!#REF!&lt;&gt;"",'A-80 DirEntInv'!#REF!,IF(AK115=summaryref2!B18,summaryref2!L18,IF(Summary!AK115=summaryref2!B32,summaryref2!L32,IF(AK115=summaryref2!B46,summaryref2!L46,IF(AK115=summaryref2!B60,summaryref2!L60,IF(AK115=summaryref2!B74,summaryref2!L74,IF(AK115=summaryref2!B88,summaryref2!L88,IF(AK115=summaryref2!B102,summaryref2!L102,IF(AK115=summaryref2!B116,summaryref2!L116,IF(AK115=summaryref2!B130,summaryref2!L130,IF(AK115=summaryref2!B144,summaryref2!L144,"")))))))))))</f>
        <v>#REF!</v>
      </c>
      <c r="AW115" s="1110" t="e">
        <f>IF('A-80 DirEntInv'!#REF!&lt;&gt;"",'A-80 DirEntInv'!#REF!,IF(AK115=summaryref2!B18,summaryref2!M18,IF(Summary!AK115=summaryref2!B32,summaryref2!M32,IF(AK115=summaryref2!B46,summaryref2!M46,IF(AK115=summaryref2!B60,summaryref2!M60,IF(AK115=summaryref2!B74,summaryref2!M74,IF(AK115=summaryref2!B88,summaryref2!M88,IF(AK115=summaryref2!B102,summaryref2!M102,IF(AK115=summaryref2!B116,summaryref2!M116,IF(AK115=summaryref2!B130,summaryref2!M130,IF(AK115=summaryref2!B144,summaryref2!M144,"")))))))))))</f>
        <v>#REF!</v>
      </c>
      <c r="AX115" s="1110" t="e">
        <f>IF('A-80 DirEntInv'!#REF!&lt;&gt;"",'A-80 DirEntInv'!#REF!,IF(AK115=summaryref2!B18,summaryref2!N18,IF(Summary!AK115=summaryref2!B32,summaryref2!N32,IF(AK115=summaryref2!B46,summaryref2!N46,IF(AK115=summaryref2!B60,summaryref2!N60,IF(AK115=summaryref2!B74,summaryref2!N74,IF(AK115=summaryref2!B88,summaryref2!N88,IF(AK115=summaryref2!B102,summaryref2!N102,IF(AK115=summaryref2!B116,summaryref2!N116,IF(AK115=summaryref2!B130,summaryref2!N130,IF(AK115=summaryref2!B144,summaryref2!N144,"")))))))))))</f>
        <v>#REF!</v>
      </c>
      <c r="AY115" s="1110" t="e">
        <f>IF('A-80 DirEntInv'!#REF!&lt;&gt;"",'A-80 DirEntInv'!#REF!,IF(AK115=summaryref2!B18,summaryref2!O18,IF(Summary!AK115=summaryref2!B32,summaryref2!O32,IF(AK115=summaryref2!B46,summaryref2!O46,IF(AK115=summaryref2!B60,summaryref2!O60,IF(AK115=summaryref2!B74,summaryref2!O74,IF(AK115=summaryref2!B88,summaryref2!O88,IF(AK115=summaryref2!B102,summaryref2!O102,IF(AK115=summaryref2!B116,summaryref2!O116,IF(AK115=summaryref2!B130,summaryref2!O130,IF(AK115=summaryref2!B144,summaryref2!O144,"")))))))))))</f>
        <v>#REF!</v>
      </c>
      <c r="AZ115" s="1110" t="e">
        <f>IF('A-80 DirEntInv'!#REF!&lt;&gt;"",'A-80 DirEntInv'!#REF!,IF(AK115=summaryref2!B18,summaryref2!P18,IF(Summary!AK115=summaryref2!B32,summaryref2!P32,IF(AK115=summaryref2!B46,summaryref2!P46,IF(AK115=summaryref2!B60,summaryref2!P60,IF(AK115=summaryref2!B74,summaryref2!P74,IF(AK115=summaryref2!B88,summaryref2!P88,IF(AK115=summaryref2!B102,summaryref2!P102,IF(AK115=summaryref2!B116,summaryref2!P116,IF(AK115=summaryref2!B130,summaryref2!P130,IF(AK115=summaryref2!B144,summaryref2!P144,"")))))))))))</f>
        <v>#REF!</v>
      </c>
      <c r="BA115" s="1110" t="e">
        <f>IF('A-80 DirEntInv'!#REF!&lt;&gt;"",'A-80 DirEntInv'!#REF!,IF(AK115=summaryref2!B18,summaryref2!Q18,IF(Summary!AK115=summaryref2!B32,summaryref2!Q32,IF(AK115=summaryref2!B46,summaryref2!Q46,IF(AK115=summaryref2!B60,summaryref2!Q60,IF(AK115=summaryref2!B74,summaryref2!Q74,IF(AK115=summaryref2!B88,summaryref2!Q88,IF(AK115=summaryref2!B102,summaryref2!Q102,IF(AK115=summaryref2!B116,summaryref2!Q116,IF(AK115=summaryref2!B130,summaryref2!Q130,IF(AK115=summaryref2!B144,summaryref2!Q144,"")))))))))))</f>
        <v>#REF!</v>
      </c>
      <c r="BB115" s="1110" t="e">
        <f>IF('A-80 DirEntInv'!#REF!&lt;&gt;"",'A-80 DirEntInv'!#REF!,IF(AK115=summaryref2!B18,summaryref2!R18,IF(Summary!AK115=summaryref2!B32,summaryref2!R32,IF(AK115=summaryref2!B46,summaryref2!R46,IF(AK115=summaryref2!B60,summaryref2!R60,IF(AK115=summaryref2!B74,summaryref2!R74,IF(AK115=summaryref2!B88,summaryref2!R88,IF(AK115=summaryref2!B102,summaryref2!R102,IF(AK115=summaryref2!B116,summaryref2!R116,IF(AK115=summaryref2!B130,summaryref2!R130,IF(AK115=summaryref2!B144,summaryref2!R144,"")))))))))))</f>
        <v>#REF!</v>
      </c>
      <c r="BC115" s="1110" t="e">
        <f>IF('A-80 DirEntInv'!#REF!&lt;&gt;0,'A-80 DirEntInv'!#REF!,IF(AK115=summaryref2!B18,summaryref2!S18,IF(Summary!AK115=summaryref2!B32,summaryref2!S32,IF(AK115=summaryref2!B46,summaryref2!S46,IF(AK115=summaryref2!B60,summaryref2!S60,IF(AK115=summaryref2!B74,summaryref2!S74,IF(AK115=summaryref2!B88,summaryref2!S88,IF(AK115=summaryref2!B102,summaryref2!S102,IF(AK115=summaryref2!B116,summaryref2!S116,IF(AK115=summaryref2!B130,summaryref2!S130,IF(AK115=summaryref2!B144,summaryref2!S144,"")))))))))))</f>
        <v>#REF!</v>
      </c>
      <c r="BD115" s="1111" t="e">
        <f>IF('A-80 DirEntInv'!#REF!&lt;&gt;"",'A-80 DirEntInv'!#REF!,IF(AK115=summaryref2!B18,summaryref2!T18,IF(Summary!AK115=summaryref2!B32,summaryref2!T32,IF(AK115=summaryref2!B46,summaryref2!T46,IF(AK115=summaryref2!B60,summaryref2!T60,IF(AK115=summaryref2!B74,summaryref2!T74,IF(AK115=summaryref2!B88,summaryref2!T88,IF(AK115=summaryref2!B102,summaryref2!T102,IF(AK115=summaryref2!B116,summaryref2!T116,IF(AK115=summaryref2!B130,summaryref2!T130,IF(AK115=summaryref2!B144,summaryref2!T144,"")))))))))))</f>
        <v>#REF!</v>
      </c>
      <c r="BE115" s="1184" t="e">
        <f>IF('A-80 DirEntInv'!#REF!&lt;&gt;"",'A-80 DirEntInv'!#REF!,IF(AK115=summaryref2!B18,summaryref2!U18,IF(Summary!AK115=summaryref2!B32,summaryref2!U32,IF(AK115=summaryref2!B46,summaryref2!U46,IF(AK115=summaryref2!B60,summaryref2!U60,IF(AK115=summaryref2!B74,summaryref2!U74,IF(AK115=summaryref2!B88,summaryref2!U88,IF(AK115=summaryref2!B102,summaryref2!U102,IF(AK115=summaryref2!B116,summaryref2!U116,IF(AK115=summaryref2!B130,summaryref2!U130,IF(AK115=summaryref2!B144,summaryref2!U144,"")))))))))))</f>
        <v>#REF!</v>
      </c>
      <c r="BF115" s="1432"/>
      <c r="BG115" s="1432"/>
      <c r="BJ115" s="1047" t="str">
        <f>Codes!$C$170</f>
        <v>SR - Streetcar Rail (PT)</v>
      </c>
      <c r="BK115" s="1050" t="str">
        <f>Valid!$B$86</f>
        <v>Grade Crossings</v>
      </c>
      <c r="BL115" s="1369" t="e">
        <f>IF('A-80 DirEntInv'!#REF!&lt;&gt;"",'A-80 DirEntInv'!#REF!,IF(BJ115=summaryref2!X18,summaryref2!Z18,IF(BJ115=summaryref2!X25,summaryref2!Z25,IF(BJ115=summaryref2!X32,summaryref2!Z32,IF(BJ115=summaryref2!X39,summaryref2!Z39,IF(BJ115=summaryref2!X46,summaryref2!Z46,IF(BJ115=summaryref2!X53,summaryref2!Z53,IF(BJ115=summaryref2!X60,summaryref2!Z60,IF(BJ115=summaryref2!X67,summaryref2!Z67,IF(BJ115=summaryref2!X74,summaryref2!Z74,IF(BJ115=summaryref2!X81,summaryref2!Z81,"")))))))))))</f>
        <v>#REF!</v>
      </c>
      <c r="BM115" s="1050" t="str">
        <f>VLOOKUP(BK115,Valid!$B$80:$C$86,2,FALSE)</f>
        <v>Each</v>
      </c>
      <c r="BN115" s="1210" t="e">
        <f>IF('A-80 DirEntInv'!#REF!&lt;&gt;"",'A-80 DirEntInv'!#REF!,IF(BJ115=summaryref2!X18,summaryref2!AB18,IF(BJ115=summaryref2!X25,summaryref2!AB25,IF(BJ115=summaryref2!X32,summaryref2!AB32,IF(BJ115=summaryref2!X39,summaryref2!AB39,IF(BJ115=summaryref2!X46,summaryref2!AB46,IF(BJ115=summaryref2!X53,summaryref2!AB53,IF(BJ115=summaryref2!X60,summaryref2!AB60,IF(BJ115=summaryref2!X67,summaryref2!AB67,IF(BJ115=summaryref2!X74,summaryref2!AB74,IF(BJ115=summaryref2!X81,summaryref2!AB81,"")))))))))))</f>
        <v>#REF!</v>
      </c>
      <c r="BO115" s="1117" t="e">
        <f>IF('A-80 DirEntInv'!#REF!&lt;&gt;"",'A-80 DirEntInv'!#REF!,IF(BJ115=summaryref2!X18,summaryref2!AC18,IF(BJ115=summaryref2!X25,summaryref2!AC25,IF(BJ115=summaryref2!X32,summaryref2!AC32,IF(BJ115=summaryref2!X39,summaryref2!AC39,IF(BJ115=summaryref2!X46,summaryref2!AC46,IF(BJ115=summaryref2!X53,summaryref2!AC53,IF(BJ115=summaryref2!X60,summaryref2!AC60,IF(BJ115=summaryref2!X67,summaryref2!AC67,IF(BJ115=summaryref2!X74,summaryref2!AC74,IF(BJ115=summaryref2!X81,summaryref2!AC81,"")))))))))))</f>
        <v>#REF!</v>
      </c>
      <c r="BP115" s="1321" t="e">
        <f>IF('A-80 DirEntInv'!#REF!&lt;&gt;"",'A-80 DirEntInv'!#REF!,IF(BJ115=summaryref2!X18,summaryref2!AD18,IF(BJ115=summaryref2!X25,summaryref2!AD25,IF(BJ115=summaryref2!X32,summaryref2!AD32,IF(BJ115=summaryref2!X39,summaryref2!AD39,IF(BJ115=summaryref2!X46,summaryref2!AD46,IF(BJ115=summaryref2!X53,summaryref2!AD53,IF(BJ115=summaryref2!X60,summaryref2!AD60,IF(BJ115=summaryref2!X67,summaryref2!AD67,IF(BJ115=summaryref2!X74,summaryref2!AD74,IF(BJ115=summaryref2!X81,summaryref2!AD81,"")))))))))))</f>
        <v>#REF!</v>
      </c>
      <c r="BU115" s="962"/>
      <c r="CD115" s="589"/>
      <c r="CE115" s="590"/>
      <c r="CF115" s="590"/>
      <c r="CG115" s="590"/>
      <c r="CH115" s="590"/>
      <c r="CI115" s="590"/>
      <c r="CJ115" s="589"/>
      <c r="CK115" s="589"/>
      <c r="CL115" s="589"/>
      <c r="CM115" s="587"/>
      <c r="CN115" s="587"/>
      <c r="CO115" s="589"/>
      <c r="CP115" s="587"/>
      <c r="CQ115" s="592"/>
      <c r="CR115" s="589"/>
      <c r="CS115" s="592"/>
      <c r="CT115" s="589"/>
      <c r="CU115" s="589"/>
      <c r="CV115" s="589"/>
      <c r="CW115" s="587"/>
      <c r="CX115" s="590"/>
      <c r="CY115" s="590"/>
      <c r="CZ115" s="590"/>
      <c r="DA115" s="1054"/>
      <c r="DB115" s="1054"/>
      <c r="DC115" s="587"/>
      <c r="DD115" s="587"/>
    </row>
    <row r="116" spans="1:108" s="588" customFormat="1" x14ac:dyDescent="0.2">
      <c r="A116" s="589">
        <f t="shared" si="1"/>
        <v>106</v>
      </c>
      <c r="B116" s="587"/>
      <c r="C116" s="587"/>
      <c r="D116" s="587"/>
      <c r="J116" s="589"/>
      <c r="K116" s="590"/>
      <c r="L116" s="591"/>
      <c r="M116" s="592"/>
      <c r="N116" s="589"/>
      <c r="O116" s="587"/>
      <c r="R116" s="1052"/>
      <c r="S116" s="1052"/>
      <c r="T116" s="1052"/>
      <c r="U116" s="1052"/>
      <c r="V116" s="1052"/>
      <c r="W116" s="1053"/>
      <c r="X116" s="1053"/>
      <c r="Y116" s="1053"/>
      <c r="Z116" s="1052"/>
      <c r="AA116" s="1052"/>
      <c r="AB116" s="962"/>
      <c r="AC116" s="590"/>
      <c r="AD116" s="590"/>
      <c r="AE116" s="591"/>
      <c r="AF116" s="592"/>
      <c r="AG116" s="1053"/>
      <c r="AH116" s="587"/>
      <c r="AK116" s="1041" t="str">
        <f>Codes!$C$163</f>
        <v>HR - Heavy Rail (DO)</v>
      </c>
      <c r="AL116" s="1042" t="str">
        <f>Valid!$B$78</f>
        <v>Below-Grade/Bored or Blasted Tunnel</v>
      </c>
      <c r="AM116" s="1108" t="e">
        <f>IF('A-80 DirEntInv'!#REF!&lt;&gt;"",'A-80 DirEntInv'!#REF!,IF(AK116=summaryref2!B19,summaryref2!D19,IF(Summary!AK116=summaryref2!B33,summaryref2!D33,IF(AK116=summaryref2!B47,summaryref2!D47,IF(AK116=summaryref2!B61,summaryref2!D61,IF(AK116=summaryref2!B75,summaryref2!D75,IF(AK116=summaryref2!B89,summaryref2!D89,IF(AK116=summaryref2!B103,summaryref2!D103,IF(AK116=summaryref2!B117,summaryref2!D117,IF(AK116=summaryref2!B131,summaryref2!D131,IF(AK116=summaryref2!B145,summaryref2!D145,"")))))))))))</f>
        <v>#REF!</v>
      </c>
      <c r="AN116" s="1109" t="e">
        <f ca="1">IF('A-80 DirEntInv'!#REF!&lt;&gt;"",'A-80 DirEntInv'!#REF!,IF(INDIRECT(ADDRESS(SumRef!CG266,SumRef!CG$16,,,SumRef!$C$7))="","",INDIRECT(ADDRESS(SumRef!CG266,SumRef!CG$16,,,SumRef!$C$7))))</f>
        <v>#REF!</v>
      </c>
      <c r="AO116" s="1108" t="e">
        <f>IF('A-80 DirEntInv'!#REF!&lt;&gt;"",'A-80 DirEntInv'!#REF!,IF(AK116=summaryref2!B19,summaryref2!F19,IF(Summary!AK116=summaryref2!B33,summaryref2!F33,IF(AK116=summaryref2!B47,summaryref2!F47,IF(AK116=summaryref2!B61,summaryref2!F61,IF(AK116=summaryref2!B75,summaryref2!F75,IF(AK116=summaryref2!B89,summaryref2!F89,IF(AK116=summaryref2!B103,summaryref2!F103,IF(AK116=summaryref2!B117,summaryref2!F117,IF(AK116=summaryref2!B131,summaryref2!F131,IF(AK116=summaryref2!B145,summaryref2!F145,"")))))))))))</f>
        <v>#REF!</v>
      </c>
      <c r="AP116" s="1109" t="e">
        <f ca="1">IF('A-80 DirEntInv'!#REF!&lt;&gt;"",'A-80 DirEntInv'!#REF!,IF(INDIRECT(ADDRESS(SumRef!#REF!,SumRef!#REF!,,,SumRef!$C$7))="","",INDIRECT(ADDRESS(SumRef!#REF!,SumRef!#REF!,,,SumRef!$C$7))))</f>
        <v>#REF!</v>
      </c>
      <c r="AQ116" s="1147" t="e">
        <f>IF('A-80 DirEntInv'!#REF!&lt;&gt;"",'A-80 DirEntInv'!#REF!,IF(AK116=summaryref2!B19,summaryref2!G19,IF(Summary!AK116=summaryref2!B33,summaryref2!G33,IF(AK116=summaryref2!B47,summaryref2!G47,IF(AK116=summaryref2!B61,summaryref2!G61,IF(AK116=summaryref2!B75,summaryref2!G75,IF(AK116=summaryref2!B89,summaryref2!G89,IF(AK116=summaryref2!B103,summaryref2!G103,IF(AK116=summaryref2!B117,summaryref2!G117,IF(AK116=summaryref2!B131,summaryref2!G131,IF(AK116=summaryref2!B145,summaryref2!G145,"")))))))))))</f>
        <v>#REF!</v>
      </c>
      <c r="AR116" s="1147" t="e">
        <f>IF('A-80 DirEntInv'!#REF!&lt;&gt;"",'A-80 DirEntInv'!#REF!,IF(AK116=summaryref2!B19,summaryref2!H19,IF(Summary!AK116=summaryref2!B33,summaryref2!H33,IF(AK116=summaryref2!B47,summaryref2!H47,IF(AK116=summaryref2!B61,summaryref2!H61,IF(AK116=summaryref2!B75,summaryref2!H75,IF(AK116=summaryref2!B89,summaryref2!H89,IF(AK116=summaryref2!B103,summaryref2!H103,IF(AK116=summaryref2!B117,summaryref2!H117,IF(AK116=summaryref2!B131,summaryref2!H131,IF(AK116=summaryref2!B145,summaryref2!H145,"")))))))))))</f>
        <v>#REF!</v>
      </c>
      <c r="AS116" s="1110" t="e">
        <f>IF('A-80 DirEntInv'!#REF!&lt;&gt;"",'A-80 DirEntInv'!#REF!,IF(AK116=summaryref2!B19,summaryref2!I19,IF(Summary!AK116=summaryref2!B33,summaryref2!I33,IF(AK116=summaryref2!B47,summaryref2!I47,IF(AK116=summaryref2!B61,summaryref2!I61,IF(AK116=summaryref2!B75,summaryref2!I75,IF(AK116=summaryref2!B89,summaryref2!I89,IF(AK116=summaryref2!B103,summaryref2!I103,IF(AK116=summaryref2!B117,summaryref2!I117,IF(AK116=summaryref2!B131,summaryref2!I131,IF(AK116=summaryref2!B145,summaryref2!I145,"")))))))))))</f>
        <v>#REF!</v>
      </c>
      <c r="AT116" s="1110" t="e">
        <f>IF('A-80 DirEntInv'!#REF!&lt;&gt;"",'A-80 DirEntInv'!#REF!,IF(AK116=summaryref2!B19,summaryref2!J19,IF(Summary!AK116=summaryref2!B33,summaryref2!J33,IF(AK116=summaryref2!B47,summaryref2!J47,IF(AK116=summaryref2!B61,summaryref2!J61,IF(AK116=summaryref2!B75,summaryref2!J75,IF(AK116=summaryref2!B89,summaryref2!J89,IF(AK116=summaryref2!B103,summaryref2!J103,IF(AK116=summaryref2!B117,summaryref2!J117,IF(AK116=summaryref2!B131,summaryref2!J131,IF(AK116=summaryref2!B145,summaryref2!J145,"")))))))))))</f>
        <v>#REF!</v>
      </c>
      <c r="AU116" s="1110" t="e">
        <f>IF('A-80 DirEntInv'!#REF!&lt;&gt;"",'A-80 DirEntInv'!#REF!,IF(AK116=summaryref2!B19,summaryref2!K19,IF(Summary!AK116=summaryref2!B33,summaryref2!K33,IF(AK116=summaryref2!B47,summaryref2!K47,IF(AK116=summaryref2!B61,summaryref2!K61,IF(AK116=summaryref2!B75,summaryref2!K75,IF(AK116=summaryref2!B89,summaryref2!K89,IF(AK116=summaryref2!B103,summaryref2!K103,IF(AK116=summaryref2!B117,summaryref2!K117,IF(AK116=summaryref2!B131,summaryref2!K131,IF(AK116=summaryref2!B145,summaryref2!K145,"")))))))))))</f>
        <v>#REF!</v>
      </c>
      <c r="AV116" s="1110" t="e">
        <f>IF('A-80 DirEntInv'!#REF!&lt;&gt;"",'A-80 DirEntInv'!#REF!,IF(AK116=summaryref2!B19,summaryref2!L19,IF(Summary!AK116=summaryref2!B33,summaryref2!L33,IF(AK116=summaryref2!B47,summaryref2!L47,IF(AK116=summaryref2!B61,summaryref2!L61,IF(AK116=summaryref2!B75,summaryref2!L75,IF(AK116=summaryref2!B89,summaryref2!L89,IF(AK116=summaryref2!B103,summaryref2!L103,IF(AK116=summaryref2!B117,summaryref2!L117,IF(AK116=summaryref2!B131,summaryref2!L131,IF(AK116=summaryref2!B145,summaryref2!L145,"")))))))))))</f>
        <v>#REF!</v>
      </c>
      <c r="AW116" s="1110" t="e">
        <f>IF('A-80 DirEntInv'!#REF!&lt;&gt;"",'A-80 DirEntInv'!#REF!,IF(AK116=summaryref2!B19,summaryref2!M19,IF(Summary!AK116=summaryref2!B33,summaryref2!M33,IF(AK116=summaryref2!B47,summaryref2!M47,IF(AK116=summaryref2!B61,summaryref2!M61,IF(AK116=summaryref2!B75,summaryref2!M75,IF(AK116=summaryref2!B89,summaryref2!M89,IF(AK116=summaryref2!B103,summaryref2!M103,IF(AK116=summaryref2!B117,summaryref2!M117,IF(AK116=summaryref2!B131,summaryref2!M131,IF(AK116=summaryref2!B145,summaryref2!M145,"")))))))))))</f>
        <v>#REF!</v>
      </c>
      <c r="AX116" s="1110" t="e">
        <f>IF('A-80 DirEntInv'!#REF!&lt;&gt;"",'A-80 DirEntInv'!#REF!,IF(AK116=summaryref2!B19,summaryref2!N19,IF(Summary!AK116=summaryref2!B33,summaryref2!N33,IF(AK116=summaryref2!B47,summaryref2!N47,IF(AK116=summaryref2!B61,summaryref2!N61,IF(AK116=summaryref2!B75,summaryref2!N75,IF(AK116=summaryref2!B89,summaryref2!N89,IF(AK116=summaryref2!B103,summaryref2!N103,IF(AK116=summaryref2!B117,summaryref2!N117,IF(AK116=summaryref2!B131,summaryref2!N131,IF(AK116=summaryref2!B145,summaryref2!N145,"")))))))))))</f>
        <v>#REF!</v>
      </c>
      <c r="AY116" s="1110" t="e">
        <f>IF('A-80 DirEntInv'!#REF!&lt;&gt;"",'A-80 DirEntInv'!#REF!,IF(AK116=summaryref2!B19,summaryref2!O19,IF(Summary!AK116=summaryref2!B33,summaryref2!O33,IF(AK116=summaryref2!B47,summaryref2!O47,IF(AK116=summaryref2!B61,summaryref2!O61,IF(AK116=summaryref2!B75,summaryref2!O75,IF(AK116=summaryref2!B89,summaryref2!O89,IF(AK116=summaryref2!B103,summaryref2!O103,IF(AK116=summaryref2!B117,summaryref2!O117,IF(AK116=summaryref2!B131,summaryref2!O131,IF(AK116=summaryref2!B145,summaryref2!O145,"")))))))))))</f>
        <v>#REF!</v>
      </c>
      <c r="AZ116" s="1110" t="e">
        <f>IF('A-80 DirEntInv'!#REF!&lt;&gt;"",'A-80 DirEntInv'!#REF!,IF(AK116=summaryref2!B19,summaryref2!P19,IF(Summary!AK116=summaryref2!B33,summaryref2!P33,IF(AK116=summaryref2!B47,summaryref2!P47,IF(AK116=summaryref2!B61,summaryref2!P61,IF(AK116=summaryref2!B75,summaryref2!P75,IF(AK116=summaryref2!B89,summaryref2!P89,IF(AK116=summaryref2!B103,summaryref2!P103,IF(AK116=summaryref2!B117,summaryref2!P117,IF(AK116=summaryref2!B131,summaryref2!P131,IF(AK116=summaryref2!B145,summaryref2!P145,"")))))))))))</f>
        <v>#REF!</v>
      </c>
      <c r="BA116" s="1110" t="e">
        <f>IF('A-80 DirEntInv'!#REF!&lt;&gt;"",'A-80 DirEntInv'!#REF!,IF(AK116=summaryref2!B19,summaryref2!Q19,IF(Summary!AK116=summaryref2!B33,summaryref2!Q33,IF(AK116=summaryref2!B47,summaryref2!Q47,IF(AK116=summaryref2!B61,summaryref2!Q61,IF(AK116=summaryref2!B75,summaryref2!Q75,IF(AK116=summaryref2!B89,summaryref2!Q89,IF(AK116=summaryref2!B103,summaryref2!Q103,IF(AK116=summaryref2!B117,summaryref2!Q117,IF(AK116=summaryref2!B131,summaryref2!Q131,IF(AK116=summaryref2!B145,summaryref2!Q145,"")))))))))))</f>
        <v>#REF!</v>
      </c>
      <c r="BB116" s="1110" t="e">
        <f>IF('A-80 DirEntInv'!#REF!&lt;&gt;"",'A-80 DirEntInv'!#REF!,IF(AK116=summaryref2!B19,summaryref2!R19,IF(Summary!AK116=summaryref2!B33,summaryref2!R33,IF(AK116=summaryref2!B47,summaryref2!R47,IF(AK116=summaryref2!B61,summaryref2!R61,IF(AK116=summaryref2!B75,summaryref2!R75,IF(AK116=summaryref2!B89,summaryref2!R89,IF(AK116=summaryref2!B103,summaryref2!R103,IF(AK116=summaryref2!B117,summaryref2!R117,IF(AK116=summaryref2!B131,summaryref2!R131,IF(AK116=summaryref2!B145,summaryref2!R145,"")))))))))))</f>
        <v>#REF!</v>
      </c>
      <c r="BC116" s="1110" t="e">
        <f>IF('A-80 DirEntInv'!#REF!&lt;&gt;0,'A-80 DirEntInv'!#REF!,IF(AK116=summaryref2!B19,summaryref2!S19,IF(Summary!AK116=summaryref2!B33,summaryref2!S33,IF(AK116=summaryref2!B47,summaryref2!S47,IF(AK116=summaryref2!B61,summaryref2!S61,IF(AK116=summaryref2!B75,summaryref2!S75,IF(AK116=summaryref2!B89,summaryref2!S89,IF(AK116=summaryref2!B103,summaryref2!S103,IF(AK116=summaryref2!B117,summaryref2!S117,IF(AK116=summaryref2!B131,summaryref2!S131,IF(AK116=summaryref2!B145,summaryref2!S145,"")))))))))))</f>
        <v>#REF!</v>
      </c>
      <c r="BD116" s="1111" t="e">
        <f>IF('A-80 DirEntInv'!#REF!&lt;&gt;"",'A-80 DirEntInv'!#REF!,IF(AK116=summaryref2!B19,summaryref2!T19,IF(Summary!AK116=summaryref2!B33,summaryref2!T33,IF(AK116=summaryref2!B47,summaryref2!T47,IF(AK116=summaryref2!B61,summaryref2!T61,IF(AK116=summaryref2!B75,summaryref2!T75,IF(AK116=summaryref2!B89,summaryref2!T89,IF(AK116=summaryref2!B103,summaryref2!T103,IF(AK116=summaryref2!B117,summaryref2!T117,IF(AK116=summaryref2!B131,summaryref2!T131,IF(AK116=summaryref2!B145,summaryref2!T145,"")))))))))))</f>
        <v>#REF!</v>
      </c>
      <c r="BE116" s="1184" t="e">
        <f>IF('A-80 DirEntInv'!#REF!&lt;&gt;"",'A-80 DirEntInv'!#REF!,IF(AK116=summaryref2!B19,summaryref2!U19,IF(Summary!AK116=summaryref2!B33,summaryref2!U33,IF(AK116=summaryref2!B47,summaryref2!U47,IF(AK116=summaryref2!B61,summaryref2!U61,IF(AK116=summaryref2!B75,summaryref2!U75,IF(AK116=summaryref2!B89,summaryref2!U89,IF(AK116=summaryref2!B103,summaryref2!U103,IF(AK116=summaryref2!B117,summaryref2!U117,IF(AK116=summaryref2!B131,summaryref2!U131,IF(AK116=summaryref2!B145,summaryref2!U145,"")))))))))))</f>
        <v>#REF!</v>
      </c>
      <c r="BF116" s="1432"/>
      <c r="BG116" s="1432"/>
      <c r="BJ116" s="1043" t="str">
        <f>Codes!$C$171</f>
        <v>TR - Aerial Tramway (DO)</v>
      </c>
      <c r="BK116" s="1303" t="str">
        <f>Valid!$B$80</f>
        <v>Tangent</v>
      </c>
      <c r="BL116" s="1366" t="e">
        <f>IF('A-80 DirEntInv'!#REF!&lt;&gt;"",'A-80 DirEntInv'!#REF!,IF(BJ116=summaryref2!X12,summaryref2!Z12,IF(BJ116=summaryref2!X19,summaryref2!Z19,IF(BJ116=summaryref2!X26,summaryref2!Z26,IF(BJ116=summaryref2!X33,summaryref2!Z33,IF(BJ116=summaryref2!X40,summaryref2!Z40,IF(BJ116=summaryref2!X47,summaryref2!Z47,IF(BJ116=summaryref2!X54,summaryref2!Z54,IF(BJ116=summaryref2!X61,summaryref2!Z61,IF(BJ116=summaryref2!X68,summaryref2!Z68,IF(BJ116=summaryref2!X75,summaryref2!Z75,"")))))))))))</f>
        <v>#REF!</v>
      </c>
      <c r="BM116" s="1303" t="str">
        <f>VLOOKUP(BK116,Valid!$B$80:$C$86,2,FALSE)</f>
        <v>Track Feet</v>
      </c>
      <c r="BN116" s="1208" t="e">
        <f>IF('A-80 DirEntInv'!#REF!&lt;&gt;"",'A-80 DirEntInv'!#REF!,IF(BJ116=summaryref2!X12,summaryref2!AB12,IF(BJ116=summaryref2!X19,summaryref2!AB19,IF(BJ116=summaryref2!X26,summaryref2!AB26,IF(BJ116=summaryref2!X33,summaryref2!AB33,IF(BJ116=summaryref2!X40,summaryref2!AB40,IF(BJ116=summaryref2!X47,summaryref2!AB47,IF(BJ116=summaryref2!X54,summaryref2!AB54,IF(BJ116=summaryref2!X61,summaryref2!AB61,IF(BJ116=summaryref2!X68,summaryref2!AB68,IF(BJ116=summaryref2!X75,summaryref2!AB75,"")))))))))))</f>
        <v>#REF!</v>
      </c>
      <c r="BO116" s="1112" t="e">
        <f>IF('A-80 DirEntInv'!#REF!&lt;&gt;"",'A-80 DirEntInv'!#REF!,IF(BJ116=summaryref2!X12,summaryref2!AC12,IF(BJ116=summaryref2!X19,summaryref2!AC19,IF(BJ116=summaryref2!X26,summaryref2!AC26,IF(BJ116=summaryref2!X33,summaryref2!AC33,IF(BJ116=summaryref2!X40,summaryref2!AC40,IF(BJ116=summaryref2!X47,summaryref2!AC47,IF(BJ116=summaryref2!X54,summaryref2!AC54,IF(BJ116=summaryref2!X61,summaryref2!AC61,IF(BJ116=summaryref2!X68,summaryref2!AC68,IF(BJ116=summaryref2!X75,summaryref2!AC75,"")))))))))))</f>
        <v>#REF!</v>
      </c>
      <c r="BP116" s="1320" t="e">
        <f>IF('A-80 DirEntInv'!#REF!&lt;&gt;"",'A-80 DirEntInv'!#REF!,IF(BJ116=summaryref2!X12,summaryref2!AD12,IF(BJ116=summaryref2!X19,summaryref2!AD19,IF(BJ116=summaryref2!X26,summaryref2!AD26,IF(BJ116=summaryref2!X33,summaryref2!AD33,IF(BJ116=summaryref2!X40,summaryref2!AD40,IF(BJ116=summaryref2!X47,summaryref2!AD47,IF(BJ116=summaryref2!X54,summaryref2!AD54,IF(BJ116=summaryref2!X61,summaryref2!AD61,IF(BJ116=summaryref2!X68,summaryref2!AD68,IF(BJ116=summaryref2!X75,summaryref2!AD75,"")))))))))))</f>
        <v>#REF!</v>
      </c>
      <c r="BU116" s="962"/>
      <c r="CD116" s="589"/>
      <c r="CE116" s="590"/>
      <c r="CF116" s="590"/>
      <c r="CG116" s="590"/>
      <c r="CH116" s="590"/>
      <c r="CI116" s="590"/>
      <c r="CJ116" s="589"/>
      <c r="CK116" s="589"/>
      <c r="CL116" s="589"/>
      <c r="CM116" s="587"/>
      <c r="CN116" s="587"/>
      <c r="CO116" s="589"/>
      <c r="CP116" s="587"/>
      <c r="CQ116" s="592"/>
      <c r="CR116" s="589"/>
      <c r="CS116" s="592"/>
      <c r="CT116" s="589"/>
      <c r="CU116" s="589"/>
      <c r="CV116" s="589"/>
      <c r="CW116" s="587"/>
      <c r="CX116" s="590"/>
      <c r="CY116" s="590"/>
      <c r="CZ116" s="590"/>
      <c r="DA116" s="1054"/>
      <c r="DB116" s="1054"/>
      <c r="DC116" s="587"/>
      <c r="DD116" s="587"/>
    </row>
    <row r="117" spans="1:108" s="588" customFormat="1" ht="13.5" thickBot="1" x14ac:dyDescent="0.25">
      <c r="A117" s="589">
        <f t="shared" si="1"/>
        <v>107</v>
      </c>
      <c r="B117" s="587"/>
      <c r="C117" s="587"/>
      <c r="D117" s="587"/>
      <c r="J117" s="589"/>
      <c r="K117" s="590"/>
      <c r="L117" s="591"/>
      <c r="M117" s="592"/>
      <c r="N117" s="589"/>
      <c r="O117" s="587"/>
      <c r="R117" s="1052"/>
      <c r="S117" s="1052"/>
      <c r="T117" s="1052"/>
      <c r="U117" s="1052"/>
      <c r="V117" s="1052"/>
      <c r="W117" s="1053"/>
      <c r="X117" s="1053"/>
      <c r="Y117" s="1053"/>
      <c r="Z117" s="1052"/>
      <c r="AA117" s="1052"/>
      <c r="AB117" s="962"/>
      <c r="AC117" s="590"/>
      <c r="AD117" s="590"/>
      <c r="AE117" s="591"/>
      <c r="AF117" s="592"/>
      <c r="AG117" s="1053"/>
      <c r="AH117" s="587"/>
      <c r="AK117" s="1048" t="str">
        <f>Codes!$C$163</f>
        <v>HR - Heavy Rail (DO)</v>
      </c>
      <c r="AL117" s="1049" t="str">
        <f>Valid!$B$79</f>
        <v>Below-Grade/Submerged Tube</v>
      </c>
      <c r="AM117" s="1119" t="e">
        <f>IF('A-80 DirEntInv'!#REF!&lt;&gt;"",'A-80 DirEntInv'!#REF!,IF(AK117=summaryref2!B20,summaryref2!D20,IF(Summary!AK117=summaryref2!B34,summaryref2!D34,IF(AK117=summaryref2!B48,summaryref2!D48,IF(AK117=summaryref2!B62,summaryref2!D62,IF(AK117=summaryref2!B76,summaryref2!D76,IF(AK117=summaryref2!B90,summaryref2!D90,IF(AK117=summaryref2!B104,summaryref2!D104,IF(AK117=summaryref2!B118,summaryref2!D118,IF(AK117=summaryref2!B132,summaryref2!D132,IF(AK117=summaryref2!B146,summaryref2!D146,"")))))))))))</f>
        <v>#REF!</v>
      </c>
      <c r="AN117" s="1120" t="e">
        <f ca="1">IF('A-80 DirEntInv'!#REF!&lt;&gt;"",'A-80 DirEntInv'!#REF!,IF(INDIRECT(ADDRESS(SumRef!CG267,SumRef!CG$16,,,SumRef!$C$7))="","",INDIRECT(ADDRESS(SumRef!CG267,SumRef!CG$16,,,SumRef!$C$7))))</f>
        <v>#REF!</v>
      </c>
      <c r="AO117" s="1119" t="e">
        <f>IF('A-80 DirEntInv'!#REF!&lt;&gt;"",'A-80 DirEntInv'!#REF!,IF(AK117=summaryref2!B20,summaryref2!F20,IF(Summary!AK117=summaryref2!B34,summaryref2!F34,IF(AK117=summaryref2!B48,summaryref2!F48,IF(AK117=summaryref2!B62,summaryref2!F62,IF(AK117=summaryref2!B76,summaryref2!F76,IF(AK117=summaryref2!B90,summaryref2!F90,IF(AK117=summaryref2!B104,summaryref2!F104,IF(AK117=summaryref2!B118,summaryref2!F118,IF(AK117=summaryref2!B132,summaryref2!F132,IF(AK117=summaryref2!B146,summaryref2!F146,"")))))))))))</f>
        <v>#REF!</v>
      </c>
      <c r="AP117" s="1120" t="e">
        <f ca="1">IF('A-80 DirEntInv'!#REF!&lt;&gt;"",'A-80 DirEntInv'!#REF!,IF(INDIRECT(ADDRESS(SumRef!#REF!,SumRef!#REF!,,,SumRef!$C$7))="","",INDIRECT(ADDRESS(SumRef!#REF!,SumRef!#REF!,,,SumRef!$C$7))))</f>
        <v>#REF!</v>
      </c>
      <c r="AQ117" s="1148" t="e">
        <f>IF('A-80 DirEntInv'!#REF!&lt;&gt;"",'A-80 DirEntInv'!#REF!,IF(AK117=summaryref2!B20,summaryref2!G20,IF(Summary!AK117=summaryref2!B34,summaryref2!G34,IF(AK117=summaryref2!B48,summaryref2!G48,IF(AK117=summaryref2!B62,summaryref2!G62,IF(AK117=summaryref2!B76,summaryref2!G76,IF(AK117=summaryref2!B90,summaryref2!G90,IF(AK117=summaryref2!B104,summaryref2!G104,IF(AK117=summaryref2!B118,summaryref2!G118,IF(AK117=summaryref2!B132,summaryref2!G132,IF(AK117=summaryref2!B146,summaryref2!G146,"")))))))))))</f>
        <v>#REF!</v>
      </c>
      <c r="AR117" s="1148" t="e">
        <f>IF('A-80 DirEntInv'!#REF!&lt;&gt;"",'A-80 DirEntInv'!#REF!,IF(AK117=summaryref2!B20,summaryref2!H20,IF(Summary!AK117=summaryref2!B34,summaryref2!H34,IF(AK117=summaryref2!B48,summaryref2!H48,IF(AK117=summaryref2!B62,summaryref2!H62,IF(AK117=summaryref2!B76,summaryref2!H76,IF(AK117=summaryref2!B90,summaryref2!H90,IF(AK117=summaryref2!B104,summaryref2!H104,IF(AK117=summaryref2!B118,summaryref2!H118,IF(AK117=summaryref2!B132,summaryref2!H132,IF(AK117=summaryref2!B146,summaryref2!H146,"")))))))))))</f>
        <v>#REF!</v>
      </c>
      <c r="AS117" s="1121" t="e">
        <f>IF('A-80 DirEntInv'!#REF!&lt;&gt;"",'A-80 DirEntInv'!#REF!,IF(AK117=summaryref2!B20,summaryref2!I20,IF(Summary!AK117=summaryref2!B34,summaryref2!I34,IF(AK117=summaryref2!B48,summaryref2!I48,IF(AK117=summaryref2!B62,summaryref2!I62,IF(AK117=summaryref2!B76,summaryref2!I76,IF(AK117=summaryref2!B90,summaryref2!I90,IF(AK117=summaryref2!B104,summaryref2!I104,IF(AK117=summaryref2!B118,summaryref2!I118,IF(AK117=summaryref2!B132,summaryref2!I132,IF(AK117=summaryref2!B146,summaryref2!I146,"")))))))))))</f>
        <v>#REF!</v>
      </c>
      <c r="AT117" s="1121" t="e">
        <f>IF('A-80 DirEntInv'!#REF!&lt;&gt;"",'A-80 DirEntInv'!#REF!,IF(AK117=summaryref2!B20,summaryref2!J20,IF(Summary!AK117=summaryref2!B34,summaryref2!J34,IF(AK117=summaryref2!B48,summaryref2!J48,IF(AK117=summaryref2!B62,summaryref2!J62,IF(AK117=summaryref2!B76,summaryref2!J76,IF(AK117=summaryref2!B90,summaryref2!J90,IF(AK117=summaryref2!B104,summaryref2!J104,IF(AK117=summaryref2!B118,summaryref2!J118,IF(AK117=summaryref2!B132,summaryref2!J132,IF(AK117=summaryref2!B146,summaryref2!J146,"")))))))))))</f>
        <v>#REF!</v>
      </c>
      <c r="AU117" s="1121" t="e">
        <f>IF('A-80 DirEntInv'!#REF!&lt;&gt;"",'A-80 DirEntInv'!#REF!,IF(AK117=summaryref2!B20,summaryref2!K20,IF(Summary!AK117=summaryref2!B34,summaryref2!K34,IF(AK117=summaryref2!B48,summaryref2!K48,IF(AK117=summaryref2!B62,summaryref2!K62,IF(AK117=summaryref2!B76,summaryref2!K76,IF(AK117=summaryref2!B90,summaryref2!K90,IF(AK117=summaryref2!B104,summaryref2!K104,IF(AK117=summaryref2!B118,summaryref2!K118,IF(AK117=summaryref2!B132,summaryref2!K132,IF(AK117=summaryref2!B146,summaryref2!K146,"")))))))))))</f>
        <v>#REF!</v>
      </c>
      <c r="AV117" s="1121" t="e">
        <f>IF('A-80 DirEntInv'!#REF!&lt;&gt;"",'A-80 DirEntInv'!#REF!,IF(AK117=summaryref2!B20,summaryref2!L20,IF(Summary!AK117=summaryref2!B34,summaryref2!L34,IF(AK117=summaryref2!B48,summaryref2!L48,IF(AK117=summaryref2!B62,summaryref2!L62,IF(AK117=summaryref2!B76,summaryref2!L76,IF(AK117=summaryref2!B90,summaryref2!L90,IF(AK117=summaryref2!B104,summaryref2!L104,IF(AK117=summaryref2!B118,summaryref2!L118,IF(AK117=summaryref2!B132,summaryref2!L132,IF(AK117=summaryref2!B146,summaryref2!L146,"")))))))))))</f>
        <v>#REF!</v>
      </c>
      <c r="AW117" s="1121" t="e">
        <f>IF('A-80 DirEntInv'!#REF!&lt;&gt;"",'A-80 DirEntInv'!#REF!,IF(AK117=summaryref2!B20,summaryref2!M20,IF(Summary!AK117=summaryref2!B34,summaryref2!M34,IF(AK117=summaryref2!B48,summaryref2!M48,IF(AK117=summaryref2!B62,summaryref2!M62,IF(AK117=summaryref2!B76,summaryref2!M76,IF(AK117=summaryref2!B90,summaryref2!M90,IF(AK117=summaryref2!B104,summaryref2!M104,IF(AK117=summaryref2!B118,summaryref2!M118,IF(AK117=summaryref2!B132,summaryref2!M132,IF(AK117=summaryref2!B146,summaryref2!M146,"")))))))))))</f>
        <v>#REF!</v>
      </c>
      <c r="AX117" s="1121" t="e">
        <f>IF('A-80 DirEntInv'!#REF!&lt;&gt;"",'A-80 DirEntInv'!#REF!,IF(AK117=summaryref2!B20,summaryref2!N20,IF(Summary!AK117=summaryref2!B34,summaryref2!N34,IF(AK117=summaryref2!B48,summaryref2!N48,IF(AK117=summaryref2!B62,summaryref2!N62,IF(AK117=summaryref2!B76,summaryref2!N76,IF(AK117=summaryref2!B90,summaryref2!N90,IF(AK117=summaryref2!B104,summaryref2!N104,IF(AK117=summaryref2!B118,summaryref2!N118,IF(AK117=summaryref2!B132,summaryref2!N132,IF(AK117=summaryref2!B146,summaryref2!N146,"")))))))))))</f>
        <v>#REF!</v>
      </c>
      <c r="AY117" s="1121" t="e">
        <f>IF('A-80 DirEntInv'!#REF!&lt;&gt;"",'A-80 DirEntInv'!#REF!,IF(AK117=summaryref2!B20,summaryref2!O20,IF(Summary!AK117=summaryref2!B34,summaryref2!O34,IF(AK117=summaryref2!B48,summaryref2!O48,IF(AK117=summaryref2!B62,summaryref2!O62,IF(AK117=summaryref2!B76,summaryref2!O76,IF(AK117=summaryref2!B90,summaryref2!O90,IF(AK117=summaryref2!B104,summaryref2!O104,IF(AK117=summaryref2!B118,summaryref2!O118,IF(AK117=summaryref2!B132,summaryref2!O132,IF(AK117=summaryref2!B146,summaryref2!O146,"")))))))))))</f>
        <v>#REF!</v>
      </c>
      <c r="AZ117" s="1121" t="e">
        <f>IF('A-80 DirEntInv'!#REF!&lt;&gt;"",'A-80 DirEntInv'!#REF!,IF(AK117=summaryref2!B20,summaryref2!P20,IF(Summary!AK117=summaryref2!B34,summaryref2!P34,IF(AK117=summaryref2!B48,summaryref2!P48,IF(AK117=summaryref2!B62,summaryref2!P62,IF(AK117=summaryref2!B76,summaryref2!P76,IF(AK117=summaryref2!B90,summaryref2!P90,IF(AK117=summaryref2!B104,summaryref2!P104,IF(AK117=summaryref2!B118,summaryref2!P118,IF(AK117=summaryref2!B132,summaryref2!P132,IF(AK117=summaryref2!B146,summaryref2!P146,"")))))))))))</f>
        <v>#REF!</v>
      </c>
      <c r="BA117" s="1121" t="e">
        <f>IF('A-80 DirEntInv'!#REF!&lt;&gt;"",'A-80 DirEntInv'!#REF!,IF(AK117=summaryref2!B20,summaryref2!Q20,IF(Summary!AK117=summaryref2!B34,summaryref2!Q34,IF(AK117=summaryref2!B48,summaryref2!Q48,IF(AK117=summaryref2!B62,summaryref2!Q62,IF(AK117=summaryref2!B76,summaryref2!Q76,IF(AK117=summaryref2!B90,summaryref2!Q90,IF(AK117=summaryref2!B104,summaryref2!Q104,IF(AK117=summaryref2!B118,summaryref2!Q118,IF(AK117=summaryref2!B132,summaryref2!Q132,IF(AK117=summaryref2!B146,summaryref2!Q146,"")))))))))))</f>
        <v>#REF!</v>
      </c>
      <c r="BB117" s="1121" t="e">
        <f>IF('A-80 DirEntInv'!#REF!&lt;&gt;"",'A-80 DirEntInv'!#REF!,IF(AK117=summaryref2!B20,summaryref2!R20,IF(Summary!AK117=summaryref2!B34,summaryref2!R34,IF(AK117=summaryref2!B48,summaryref2!R48,IF(AK117=summaryref2!B62,summaryref2!R62,IF(AK117=summaryref2!B76,summaryref2!R76,IF(AK117=summaryref2!B90,summaryref2!R90,IF(AK117=summaryref2!B104,summaryref2!R104,IF(AK117=summaryref2!B118,summaryref2!R118,IF(AK117=summaryref2!B132,summaryref2!R132,IF(AK117=summaryref2!B146,summaryref2!R146,"")))))))))))</f>
        <v>#REF!</v>
      </c>
      <c r="BC117" s="1121" t="e">
        <f>IF('A-80 DirEntInv'!#REF!&lt;&gt;0,'A-80 DirEntInv'!#REF!,IF(AK117=summaryref2!B20,summaryref2!S20,IF(Summary!AK117=summaryref2!B34,summaryref2!S34,IF(AK117=summaryref2!B48,summaryref2!S48,IF(AK117=summaryref2!B62,summaryref2!S62,IF(AK117=summaryref2!B76,summaryref2!S76,IF(AK117=summaryref2!B90,summaryref2!S90,IF(AK117=summaryref2!B104,summaryref2!S104,IF(AK117=summaryref2!B118,summaryref2!S118,IF(AK117=summaryref2!B132,summaryref2!S132,IF(AK117=summaryref2!B146,summaryref2!S146,"")))))))))))</f>
        <v>#REF!</v>
      </c>
      <c r="BD117" s="1122" t="e">
        <f>IF('A-80 DirEntInv'!#REF!&lt;&gt;"",'A-80 DirEntInv'!#REF!,IF(AK117=summaryref2!B20,summaryref2!T20,IF(Summary!AK117=summaryref2!B34,summaryref2!T34,IF(AK117=summaryref2!B48,summaryref2!T48,IF(AK117=summaryref2!B62,summaryref2!T62,IF(AK117=summaryref2!B76,summaryref2!T76,IF(AK117=summaryref2!B90,summaryref2!T90,IF(AK117=summaryref2!B104,summaryref2!T104,IF(AK117=summaryref2!B118,summaryref2!T118,IF(AK117=summaryref2!B132,summaryref2!T132,IF(AK117=summaryref2!B146,summaryref2!T146,"")))))))))))</f>
        <v>#REF!</v>
      </c>
      <c r="BE117" s="1190" t="e">
        <f>IF('A-80 DirEntInv'!#REF!&lt;&gt;"",'A-80 DirEntInv'!#REF!,IF(AK117=summaryref2!B20,summaryref2!U20,IF(Summary!AK117=summaryref2!B34,summaryref2!U34,IF(AK117=summaryref2!B48,summaryref2!U48,IF(AK117=summaryref2!B62,summaryref2!U62,IF(AK117=summaryref2!B76,summaryref2!U76,IF(AK117=summaryref2!B90,summaryref2!U90,IF(AK117=summaryref2!B104,summaryref2!U104,IF(AK117=summaryref2!B118,summaryref2!U118,IF(AK117=summaryref2!B132,summaryref2!U132,IF(AK117=summaryref2!B146,summaryref2!U146,"")))))))))))</f>
        <v>#REF!</v>
      </c>
      <c r="BF117" s="1432"/>
      <c r="BG117" s="1432"/>
      <c r="BJ117" s="1048" t="str">
        <f>Codes!$C$171</f>
        <v>TR - Aerial Tramway (DO)</v>
      </c>
      <c r="BK117" s="1049" t="str">
        <f>Valid!$B$81</f>
        <v>Curve</v>
      </c>
      <c r="BL117" s="1367" t="e">
        <f>IF('A-80 DirEntInv'!#REF!&lt;&gt;"",'A-80 DirEntInv'!#REF!,IF(BJ117=summaryref2!X13,summaryref2!Z13,IF(BJ117=summaryref2!X20,summaryref2!Z20,IF(BJ117=summaryref2!X27,summaryref2!Z27,IF(BJ117=summaryref2!X34,summaryref2!Z34,IF(BJ117=summaryref2!X41,summaryref2!Z41,IF(BJ117=summaryref2!X48,summaryref2!Z48,IF(BJ117=summaryref2!X55,summaryref2!Z55,IF(BJ117=summaryref2!X62,summaryref2!Z62,IF(BJ117=summaryref2!X69,summaryref2!Z69,IF(BJ117=summaryref2!X76,summaryref2!Z76,"")))))))))))</f>
        <v>#REF!</v>
      </c>
      <c r="BM117" s="1049" t="str">
        <f>VLOOKUP(BK117,Valid!$B$80:$C$86,2,FALSE)</f>
        <v>Track Feet</v>
      </c>
      <c r="BN117" s="1324" t="e">
        <f>IF('A-80 DirEntInv'!#REF!&lt;&gt;"",'A-80 DirEntInv'!#REF!,IF(BJ117=summaryref2!X13,summaryref2!AB13,IF(BJ117=summaryref2!X20,summaryref2!AB20,IF(BJ117=summaryref2!X27,summaryref2!AB27,IF(BJ117=summaryref2!X34,summaryref2!AB34,IF(BJ117=summaryref2!X41,summaryref2!AB41,IF(BJ117=summaryref2!X48,summaryref2!AB48,IF(BJ117=summaryref2!X55,summaryref2!AB55,IF(BJ117=summaryref2!X62,summaryref2!AB62,IF(BJ117=summaryref2!X69,summaryref2!AB69,IF(BJ117=summaryref2!X76,summaryref2!AB76,"")))))))))))</f>
        <v>#REF!</v>
      </c>
      <c r="BO117" s="1326" t="e">
        <f>IF('A-80 DirEntInv'!#REF!&lt;&gt;"",'A-80 DirEntInv'!#REF!,IF(BJ117=summaryref2!X13,summaryref2!AC13,IF(BJ117=summaryref2!X20,summaryref2!AC20,IF(BJ117=summaryref2!X27,summaryref2!AC27,IF(BJ117=summaryref2!X34,summaryref2!AC34,IF(BJ117=summaryref2!X41,summaryref2!AC41,IF(BJ117=summaryref2!X48,summaryref2!AC48,IF(BJ117=summaryref2!X55,summaryref2!AC55,IF(BJ117=summaryref2!X62,summaryref2!AC62,IF(BJ117=summaryref2!X69,summaryref2!AC69,IF(BJ117=summaryref2!X76,summaryref2!AC76,"")))))))))))</f>
        <v>#REF!</v>
      </c>
      <c r="BP117" s="1323" t="e">
        <f>IF('A-80 DirEntInv'!#REF!&lt;&gt;"",'A-80 DirEntInv'!#REF!,IF(BJ117=summaryref2!X13,summaryref2!AD13,IF(BJ117=summaryref2!X20,summaryref2!AD20,IF(BJ117=summaryref2!X27,summaryref2!AD27,IF(BJ117=summaryref2!X34,summaryref2!AD34,IF(BJ117=summaryref2!X41,summaryref2!AD41,IF(BJ117=summaryref2!X48,summaryref2!AD48,IF(BJ117=summaryref2!X55,summaryref2!AD55,IF(BJ117=summaryref2!X62,summaryref2!AD62,IF(BJ117=summaryref2!X69,summaryref2!AD69,IF(BJ117=summaryref2!X76,summaryref2!AD76,"")))))))))))</f>
        <v>#REF!</v>
      </c>
      <c r="BU117" s="962"/>
      <c r="CD117" s="589"/>
      <c r="CE117" s="590"/>
      <c r="CF117" s="590"/>
      <c r="CG117" s="590"/>
      <c r="CH117" s="590"/>
      <c r="CI117" s="590"/>
      <c r="CJ117" s="589"/>
      <c r="CK117" s="589"/>
      <c r="CL117" s="589"/>
      <c r="CM117" s="587"/>
      <c r="CN117" s="587"/>
      <c r="CO117" s="589"/>
      <c r="CP117" s="587"/>
      <c r="CQ117" s="592"/>
      <c r="CR117" s="589"/>
      <c r="CS117" s="592"/>
      <c r="CT117" s="589"/>
      <c r="CU117" s="589"/>
      <c r="CV117" s="589"/>
      <c r="CW117" s="587"/>
      <c r="CX117" s="590"/>
      <c r="CY117" s="590"/>
      <c r="CZ117" s="590"/>
      <c r="DA117" s="1054"/>
      <c r="DB117" s="1054"/>
      <c r="DC117" s="587"/>
      <c r="DD117" s="587"/>
    </row>
    <row r="118" spans="1:108" s="588" customFormat="1" ht="13.5" thickTop="1" x14ac:dyDescent="0.2">
      <c r="A118" s="589">
        <f t="shared" si="1"/>
        <v>108</v>
      </c>
      <c r="B118" s="587"/>
      <c r="C118" s="587"/>
      <c r="D118" s="587"/>
      <c r="J118" s="589"/>
      <c r="K118" s="590"/>
      <c r="L118" s="591"/>
      <c r="M118" s="592"/>
      <c r="N118" s="589"/>
      <c r="O118" s="587"/>
      <c r="R118" s="1052"/>
      <c r="S118" s="1052"/>
      <c r="T118" s="1052"/>
      <c r="U118" s="1052"/>
      <c r="V118" s="1052"/>
      <c r="W118" s="1053"/>
      <c r="X118" s="1053"/>
      <c r="Y118" s="1053"/>
      <c r="Z118" s="1052"/>
      <c r="AA118" s="1052"/>
      <c r="AB118" s="962"/>
      <c r="AC118" s="590"/>
      <c r="AD118" s="590"/>
      <c r="AE118" s="591"/>
      <c r="AF118" s="592"/>
      <c r="AG118" s="1053"/>
      <c r="AH118" s="587"/>
      <c r="AK118" s="1181" t="str">
        <f>Codes!$C$163</f>
        <v>HR - Heavy Rail (DO)</v>
      </c>
      <c r="AL118" s="1182" t="str">
        <f>Valid!$B$87</f>
        <v>Substation Building</v>
      </c>
      <c r="AM118" s="1123" t="e">
        <f>IF('A-80 DirEntInv'!#REF!&lt;&gt;"",'A-80 DirEntInv'!#REF!,IF(AK118=summaryref2!B21,summaryref2!D21,IF(Summary!AK118=summaryref2!B35,summaryref2!D35,IF(AK118=summaryref2!B49,summaryref2!D49,IF(AK118=summaryref2!B63,summaryref2!D63,IF(AK118=summaryref2!B77,summaryref2!D77,IF(AK118=summaryref2!B91,summaryref2!D91,IF(AK118=summaryref2!B105,summaryref2!D105,IF(AK118=summaryref2!B119,summaryref2!D119,IF(AK118=summaryref2!B133,summaryref2!D133,IF(AK118=summaryref2!B197,summaryref2!D147,"")))))))))))</f>
        <v>#REF!</v>
      </c>
      <c r="AN118" s="1124" t="s">
        <v>13</v>
      </c>
      <c r="AO118" s="1123"/>
      <c r="AP118" s="1124"/>
      <c r="AQ118" s="1149" t="e">
        <f>IF('A-80 DirEntInv'!#REF!&lt;&gt;"",'A-80 DirEntInv'!#REF!,IF(AK118=summaryref2!B21,summaryref2!G21,IF(Summary!AK118=summaryref2!B35,summaryref2!G35,IF(AK118=summaryref2!B49,summaryref2!G49,IF(AK118=summaryref2!B63,summaryref2!G63,IF(AK118=summaryref2!B77,summaryref2!G77,IF(AK118=summaryref2!B91,summaryref2!G91,IF(AK118=summaryref2!B105,summaryref2!G105,IF(AK118=summaryref2!B119,summaryref2!G119,IF(AK118=summaryref2!B133,summaryref2!G133,IF(AK118=summaryref2!B147,summaryref2!G147,"")))))))))))</f>
        <v>#REF!</v>
      </c>
      <c r="AR118" s="1149" t="e">
        <f>IF('A-80 DirEntInv'!#REF!&lt;&gt;"",'A-80 DirEntInv'!#REF!,IF(AK118=summaryref2!B21,summaryref2!H21,IF(Summary!AK118=summaryref2!B35,summaryref2!H35,IF(AK118=summaryref2!B49,summaryref2!H49,IF(AK118=summaryref2!B63,summaryref2!H63,IF(AK118=summaryref2!B77,summaryref2!H77,IF(AK118=summaryref2!B91,summaryref2!H91,IF(AK118=summaryref2!B105,summaryref2!H105,IF(AK118=summaryref2!B119,summaryref2!H119,IF(AK118=summaryref2!B133,summaryref2!H133,IF(AK118=summaryref2!B147,summaryref2!H147,"")))))))))))</f>
        <v>#REF!</v>
      </c>
      <c r="AS118" s="1125" t="e">
        <f>IF('A-80 DirEntInv'!#REF!&lt;&gt;"",'A-80 DirEntInv'!#REF!,IF(AK118=summaryref2!B21,summaryref2!I21,IF(Summary!AK118=summaryref2!B35,summaryref2!I35,IF(AK118=summaryref2!B49,summaryref2!I49,IF(AK118=summaryref2!B63,summaryref2!I63,IF(AK118=summaryref2!B77,summaryref2!I77,IF(AK118=summaryref2!B91,summaryref2!I91,IF(AK118=summaryref2!B105,summaryref2!I105,IF(AK118=summaryref2!B119,summaryref2!I119,IF(AK118=summaryref2!B133,summaryref2!I133,IF(AK118=summaryref2!B147,summaryref2!I147,"")))))))))))</f>
        <v>#REF!</v>
      </c>
      <c r="AT118" s="1125" t="e">
        <f>IF('A-80 DirEntInv'!#REF!&lt;&gt;"",'A-80 DirEntInv'!#REF!,IF(AK118=summaryref2!B21,summaryref2!J21,IF(Summary!AK118=summaryref2!B35,summaryref2!J35,IF(AK118=summaryref2!B49,summaryref2!J49,IF(AK118=summaryref2!B63,summaryref2!J63,IF(AK118=summaryref2!B77,summaryref2!J77,IF(AK118=summaryref2!B91,summaryref2!J91,IF(AK118=summaryref2!B105,summaryref2!J105,IF(AK118=summaryref2!B119,summaryref2!J119,IF(AK118=summaryref2!B133,summaryref2!J133,IF(AK118=summaryref2!B147,summaryref2!J147,"")))))))))))</f>
        <v>#REF!</v>
      </c>
      <c r="AU118" s="1125" t="e">
        <f>IF('A-80 DirEntInv'!#REF!&lt;&gt;"",'A-80 DirEntInv'!#REF!,IF(AK118=summaryref2!B21,summaryref2!K21,IF(Summary!AK118=summaryref2!B35,summaryref2!K35,IF(AK118=summaryref2!B49,summaryref2!K49,IF(AK118=summaryref2!B63,summaryref2!K63,IF(AK118=summaryref2!B77,summaryref2!K77,IF(AK118=summaryref2!B91,summaryref2!K91,IF(AK118=summaryref2!B105,summaryref2!K105,IF(AK118=summaryref2!B119,summaryref2!K119,IF(AK118=summaryref2!B133,summaryref2!K133,IF(AK118=summaryref2!B147,summaryref2!K147,"")))))))))))</f>
        <v>#REF!</v>
      </c>
      <c r="AV118" s="1125" t="e">
        <f>IF('A-80 DirEntInv'!#REF!&lt;&gt;"",'A-80 DirEntInv'!#REF!,IF(AK118=summaryref2!B21,summaryref2!L21,IF(Summary!AK118=summaryref2!B35,summaryref2!L35,IF(AK118=summaryref2!B49,summaryref2!L49,IF(AK118=summaryref2!B63,summaryref2!L63,IF(AK118=summaryref2!B77,summaryref2!L77,IF(AK118=summaryref2!B91,summaryref2!L91,IF(AK118=summaryref2!B105,summaryref2!L105,IF(AK118=summaryref2!B119,summaryref2!L119,IF(AK118=summaryref2!B133,summaryref2!L133,IF(AK118=summaryref2!B147,summaryref2!L147,"")))))))))))</f>
        <v>#REF!</v>
      </c>
      <c r="AW118" s="1125" t="e">
        <f>IF('A-80 DirEntInv'!#REF!&lt;&gt;"",'A-80 DirEntInv'!#REF!,IF(AK118=summaryref2!B21,summaryref2!M21,IF(Summary!AK118=summaryref2!B35,summaryref2!M35,IF(AK118=summaryref2!B49,summaryref2!M49,IF(AK118=summaryref2!B63,summaryref2!M63,IF(AK118=summaryref2!B77,summaryref2!M77,IF(AK118=summaryref2!B91,summaryref2!M91,IF(AK118=summaryref2!B105,summaryref2!M105,IF(AK118=summaryref2!B119,summaryref2!M119,IF(AK118=summaryref2!B133,summaryref2!M133,IF(AK118=summaryref2!B147,summaryref2!M147,"")))))))))))</f>
        <v>#REF!</v>
      </c>
      <c r="AX118" s="1125" t="e">
        <f>IF('A-80 DirEntInv'!#REF!&lt;&gt;"",'A-80 DirEntInv'!#REF!,IF(AK118=summaryref2!B21,summaryref2!N21,IF(Summary!AK118=summaryref2!B35,summaryref2!N35,IF(AK118=summaryref2!B49,summaryref2!N49,IF(AK118=summaryref2!B63,summaryref2!N63,IF(AK118=summaryref2!B77,summaryref2!N77,IF(AK118=summaryref2!B91,summaryref2!N91,IF(AK118=summaryref2!B105,summaryref2!N105,IF(AK118=summaryref2!B119,summaryref2!N119,IF(AK118=summaryref2!B133,summaryref2!N133,IF(AK118=summaryref2!B147,summaryref2!N147,"")))))))))))</f>
        <v>#REF!</v>
      </c>
      <c r="AY118" s="1125" t="e">
        <f>IF('A-80 DirEntInv'!#REF!&lt;&gt;"",'A-80 DirEntInv'!#REF!,IF(AK118=summaryref2!B21,summaryref2!O21,IF(Summary!AK118=summaryref2!B35,summaryref2!O35,IF(AK118=summaryref2!B49,summaryref2!O49,IF(AK118=summaryref2!B63,summaryref2!O63,IF(AK118=summaryref2!B77,summaryref2!O77,IF(AK118=summaryref2!B91,summaryref2!O91,IF(AK118=summaryref2!B105,summaryref2!O105,IF(AK118=summaryref2!B119,summaryref2!O119,IF(AK118=summaryref2!B133,summaryref2!O133,IF(AK118=summaryref2!B147,summaryref2!O147,"")))))))))))</f>
        <v>#REF!</v>
      </c>
      <c r="AZ118" s="1125" t="e">
        <f>IF('A-80 DirEntInv'!#REF!&lt;&gt;"",'A-80 DirEntInv'!#REF!,IF(AK118=summaryref2!B21,summaryref2!P21,IF(Summary!AK118=summaryref2!B35,summaryref2!P35,IF(AK118=summaryref2!B49,summaryref2!P49,IF(AK118=summaryref2!B63,summaryref2!P63,IF(AK118=summaryref2!B77,summaryref2!P77,IF(AK118=summaryref2!B91,summaryref2!P91,IF(AK118=summaryref2!B105,summaryref2!P105,IF(AK118=summaryref2!B119,summaryref2!P119,IF(AK118=summaryref2!B133,summaryref2!P133,IF(AK118=summaryref2!B147,summaryref2!P147,"")))))))))))</f>
        <v>#REF!</v>
      </c>
      <c r="BA118" s="1125" t="e">
        <f>IF('A-80 DirEntInv'!#REF!&lt;&gt;"",'A-80 DirEntInv'!#REF!,IF(AK118=summaryref2!B21,summaryref2!Q21,IF(Summary!AK118=summaryref2!B35,summaryref2!Q35,IF(AK118=summaryref2!B49,summaryref2!Q49,IF(AK118=summaryref2!B63,summaryref2!Q63,IF(AK118=summaryref2!B77,summaryref2!Q77,IF(AK118=summaryref2!B91,summaryref2!Q91,IF(AK118=summaryref2!B105,summaryref2!Q105,IF(AK118=summaryref2!B119,summaryref2!Q119,IF(AK118=summaryref2!B133,summaryref2!Q133,IF(AK118=summaryref2!B147,summaryref2!Q147,"")))))))))))</f>
        <v>#REF!</v>
      </c>
      <c r="BB118" s="1125" t="e">
        <f>IF('A-80 DirEntInv'!#REF!&lt;&gt;"",'A-80 DirEntInv'!#REF!,IF(AK118=summaryref2!B21,summaryref2!R21,IF(Summary!AK118=summaryref2!B35,summaryref2!R35,IF(AK118=summaryref2!B49,summaryref2!R49,IF(AK118=summaryref2!B63,summaryref2!R63,IF(AK118=summaryref2!B77,summaryref2!R77,IF(AK118=summaryref2!B91,summaryref2!R91,IF(AK118=summaryref2!B105,summaryref2!R105,IF(AK118=summaryref2!B119,summaryref2!R119,IF(AK118=summaryref2!B133,summaryref2!R133,IF(AK118=summaryref2!B147,summaryref2!R147,"")))))))))))</f>
        <v>#REF!</v>
      </c>
      <c r="BC118" s="1125" t="e">
        <f>IF('A-80 DirEntInv'!#REF!&lt;&gt;0,'A-80 DirEntInv'!#REF!,IF(AK118=summaryref2!B21,summaryref2!S21,IF(Summary!AK118=summaryref2!B35,summaryref2!S35,IF(AK118=summaryref2!B49,summaryref2!S49,IF(AK118=summaryref2!B63,summaryref2!S63,IF(AK118=summaryref2!B77,summaryref2!S77,IF(AK118=summaryref2!B91,summaryref2!S91,IF(AK118=summaryref2!B105,summaryref2!S105,IF(AK118=summaryref2!B119,summaryref2!S119,IF(AK118=summaryref2!B133,summaryref2!S133,IF(AK118=summaryref2!B147,summaryref2!S147,"")))))))))))</f>
        <v>#REF!</v>
      </c>
      <c r="BD118" s="1126" t="e">
        <f>IF('A-80 DirEntInv'!#REF!&lt;&gt;"",'A-80 DirEntInv'!#REF!,IF(AK118=summaryref2!B21,summaryref2!T21,IF(Summary!AK118=summaryref2!B35,summaryref2!T35,IF(AK118=summaryref2!B49,summaryref2!T49,IF(AK118=summaryref2!B63,summaryref2!T63,IF(AK118=summaryref2!B77,summaryref2!T77,IF(AK118=summaryref2!B91,summaryref2!T91,IF(AK118=summaryref2!B105,summaryref2!T105,IF(AK118=summaryref2!B119,summaryref2!T119,IF(AK118=summaryref2!B133,summaryref2!T133,IF(AK118=summaryref2!B147,summaryref2!T147,"")))))))))))</f>
        <v>#REF!</v>
      </c>
      <c r="BE118" s="1183" t="e">
        <f>IF('A-80 DirEntInv'!#REF!&lt;&gt;"",'A-80 DirEntInv'!#REF!,IF(AK118=summaryref2!B21,summaryref2!U21,IF(Summary!AK118=summaryref2!B35,summaryref2!U35,IF(AK118=summaryref2!B49,summaryref2!U49,IF(AK118=summaryref2!B63,summaryref2!U63,IF(AK118=summaryref2!B77,summaryref2!U77,IF(AK118=summaryref2!B91,summaryref2!U91,IF(AK118=summaryref2!B105,summaryref2!U105,IF(AK118=summaryref2!B119,summaryref2!U119,IF(AK118=summaryref2!B133,summaryref2!U133,IF(AK118=summaryref2!B147,summaryref2!U147,"")))))))))))</f>
        <v>#REF!</v>
      </c>
      <c r="BF118" s="1432"/>
      <c r="BG118" s="1432"/>
      <c r="BJ118" s="1045" t="str">
        <f>Codes!$C$171</f>
        <v>TR - Aerial Tramway (DO)</v>
      </c>
      <c r="BK118" s="1046" t="str">
        <f>Valid!$B$82</f>
        <v>Double Diamond Crossover</v>
      </c>
      <c r="BL118" s="1368" t="e">
        <f>IF('A-80 DirEntInv'!#REF!&lt;&gt;"",'A-80 DirEntInv'!#REF!,IF(BJ118=summaryref2!X14,summaryref2!Z14,IF(BJ118=summaryref2!X21,summaryref2!Z21,IF(BJ118=summaryref2!X28,summaryref2!Z28,IF(BJ118=summaryref2!X35,summaryref2!Z35,IF(BJ118=summaryref2!X42,summaryref2!Z42,IF(BJ118=summaryref2!X49,summaryref2!Z49,IF(BJ118=summaryref2!X56,summaryref2!Z56,IF(BJ118=summaryref2!X63,summaryref2!Z63,IF(BJ118=summaryref2!X70,summaryref2!Z70,IF(BJ118=summaryref2!X77,summaryref2!Z77,"")))))))))))</f>
        <v>#REF!</v>
      </c>
      <c r="BM118" s="1046" t="str">
        <f>VLOOKUP(BK118,Valid!$B$80:$C$86,2,FALSE)</f>
        <v>Each</v>
      </c>
      <c r="BN118" s="1325" t="e">
        <f>IF('A-80 DirEntInv'!#REF!&lt;&gt;"",'A-80 DirEntInv'!#REF!,IF(BJ118=summaryref2!X14,summaryref2!AB14,IF(BJ118=summaryref2!X21,summaryref2!AB21,IF(BJ118=summaryref2!X28,summaryref2!AB28,IF(BJ118=summaryref2!X35,summaryref2!AB35,IF(BJ118=summaryref2!X42,summaryref2!AB42,IF(BJ118=summaryref2!X49,summaryref2!AB49,IF(BJ118=summaryref2!X56,summaryref2!AB56,IF(BJ118=summaryref2!X63,summaryref2!AB63,IF(BJ118=summaryref2!X70,summaryref2!AB70,IF(BJ118=summaryref2!X77,summaryref2!AB77,"")))))))))))</f>
        <v>#REF!</v>
      </c>
      <c r="BO118" s="1327" t="e">
        <f>IF('A-80 DirEntInv'!#REF!&lt;&gt;"",'A-80 DirEntInv'!#REF!,IF(BJ118=summaryref2!X14,summaryref2!AC14,IF(BJ118=summaryref2!X21,summaryref2!AC21,IF(BJ118=summaryref2!X28,summaryref2!AC28,IF(BJ118=summaryref2!X35,summaryref2!AC35,IF(BJ118=summaryref2!X42,summaryref2!AC42,IF(BJ118=summaryref2!X49,summaryref2!AC49,IF(BJ118=summaryref2!X56,summaryref2!AC56,IF(BJ118=summaryref2!X63,summaryref2!AC63,IF(BJ118=summaryref2!X70,summaryref2!AC70,IF(BJ118=summaryref2!X77,summaryref2!AC77,"")))))))))))</f>
        <v>#REF!</v>
      </c>
      <c r="BP118" s="1322" t="e">
        <f>IF('A-80 DirEntInv'!#REF!&lt;&gt;"",'A-80 DirEntInv'!#REF!,IF(BJ118=summaryref2!X14,summaryref2!AD14,IF(BJ118=summaryref2!X21,summaryref2!AD21,IF(BJ118=summaryref2!X28,summaryref2!AD28,IF(BJ118=summaryref2!X35,summaryref2!AD35,IF(BJ118=summaryref2!X42,summaryref2!AD42,IF(BJ118=summaryref2!X49,summaryref2!AD49,IF(BJ118=summaryref2!X56,summaryref2!AD56,IF(BJ118=summaryref2!X63,summaryref2!AD63,IF(BJ118=summaryref2!X70,summaryref2!AD70,IF(BJ118=summaryref2!X77,summaryref2!AD77,"")))))))))))</f>
        <v>#REF!</v>
      </c>
      <c r="BU118" s="962"/>
      <c r="CD118" s="589"/>
      <c r="CE118" s="590"/>
      <c r="CF118" s="590"/>
      <c r="CG118" s="590"/>
      <c r="CH118" s="590"/>
      <c r="CI118" s="590"/>
      <c r="CJ118" s="589"/>
      <c r="CK118" s="589"/>
      <c r="CL118" s="589"/>
      <c r="CM118" s="587"/>
      <c r="CN118" s="587"/>
      <c r="CO118" s="589"/>
      <c r="CP118" s="587"/>
      <c r="CQ118" s="592"/>
      <c r="CR118" s="589"/>
      <c r="CS118" s="592"/>
      <c r="CT118" s="589"/>
      <c r="CU118" s="589"/>
      <c r="CV118" s="589"/>
      <c r="CW118" s="587"/>
      <c r="CX118" s="590"/>
      <c r="CY118" s="590"/>
      <c r="CZ118" s="590"/>
      <c r="DA118" s="1054"/>
      <c r="DB118" s="1054"/>
      <c r="DC118" s="587"/>
      <c r="DD118" s="587"/>
    </row>
    <row r="119" spans="1:108" s="588" customFormat="1" x14ac:dyDescent="0.2">
      <c r="A119" s="589">
        <f t="shared" si="1"/>
        <v>109</v>
      </c>
      <c r="B119" s="587"/>
      <c r="C119" s="587"/>
      <c r="D119" s="587"/>
      <c r="J119" s="589"/>
      <c r="K119" s="590"/>
      <c r="L119" s="591"/>
      <c r="M119" s="592"/>
      <c r="N119" s="589"/>
      <c r="O119" s="587"/>
      <c r="R119" s="1052"/>
      <c r="S119" s="1052"/>
      <c r="T119" s="1052"/>
      <c r="U119" s="1052"/>
      <c r="V119" s="1052"/>
      <c r="W119" s="1053"/>
      <c r="X119" s="1053"/>
      <c r="Y119" s="1053"/>
      <c r="Z119" s="1052"/>
      <c r="AA119" s="1052"/>
      <c r="AB119" s="962"/>
      <c r="AC119" s="590"/>
      <c r="AD119" s="590"/>
      <c r="AE119" s="591"/>
      <c r="AF119" s="592"/>
      <c r="AG119" s="1053"/>
      <c r="AH119" s="587"/>
      <c r="AK119" s="1041" t="str">
        <f>Codes!$C$163</f>
        <v>HR - Heavy Rail (DO)</v>
      </c>
      <c r="AL119" s="1042" t="str">
        <f>Valid!$B$88</f>
        <v>Substation Equipment</v>
      </c>
      <c r="AM119" s="1187"/>
      <c r="AN119" s="1046"/>
      <c r="AO119" s="1187"/>
      <c r="AP119" s="1046"/>
      <c r="AQ119" s="1147" t="e">
        <f>IF('A-80 DirEntInv'!#REF!&lt;&gt;"",'A-80 DirEntInv'!#REF!,IF(AK119=summaryref2!B22,summaryref2!G22,IF(Summary!AK119=summaryref2!B36,summaryref2!G36,IF(AK119=summaryref2!B50,summaryref2!G50,IF(AK119=summaryref2!B64,summaryref2!G64,IF(AK119=summaryref2!B78,summaryref2!G78,IF(AK119=summaryref2!B92,summaryref2!G92,IF(AK119=summaryref2!B106,summaryref2!G106,IF(AK119=summaryref2!B120,summaryref2!G120,IF(AK119=summaryref2!B134,summaryref2!G134,IF(AK119=summaryref2!B148,summaryref2!G148,"")))))))))))</f>
        <v>#REF!</v>
      </c>
      <c r="AR119" s="1147" t="e">
        <f>IF('A-80 DirEntInv'!#REF!&lt;&gt;"",'A-80 DirEntInv'!#REF!,IF(AK119=summaryref2!B22,summaryref2!H22,IF(Summary!AK119=summaryref2!B36,summaryref2!H36,IF(AK119=summaryref2!B50,summaryref2!H50,IF(AK119=summaryref2!B64,summaryref2!H64,IF(AK119=summaryref2!B78,summaryref2!H78,IF(AK119=summaryref2!B92,summaryref2!H92,IF(AK119=summaryref2!B106,summaryref2!H106,IF(AK119=summaryref2!B120,summaryref2!H120,IF(AK119=summaryref2!B134,summaryref2!H134,IF(AK119=summaryref2!B148,summaryref2!H148,"")))))))))))</f>
        <v>#REF!</v>
      </c>
      <c r="AS119" s="1110" t="e">
        <f>IF('A-80 DirEntInv'!#REF!&lt;&gt;"",'A-80 DirEntInv'!#REF!,IF(AK119=summaryref2!B22,summaryref2!I22,IF(Summary!AK119=summaryref2!B36,summaryref2!I36,IF(AK119=summaryref2!B50,summaryref2!I50,IF(AK119=summaryref2!B64,summaryref2!I64,IF(AK119=summaryref2!B78,summaryref2!I78,IF(AK119=summaryref2!B92,summaryref2!I92,IF(AK119=summaryref2!B106,summaryref2!I106,IF(AK119=summaryref2!B120,summaryref2!I120,IF(AK119=summaryref2!B134,summaryref2!I134,IF(AK119=summaryref2!B148,summaryref2!I148,"")))))))))))</f>
        <v>#REF!</v>
      </c>
      <c r="AT119" s="1110" t="e">
        <f>IF('A-80 DirEntInv'!#REF!&lt;&gt;"",'A-80 DirEntInv'!#REF!,IF(AK119=summaryref2!B22,summaryref2!J22,IF(Summary!AK119=summaryref2!B36,summaryref2!J36,IF(AK119=summaryref2!B50,summaryref2!J50,IF(AK119=summaryref2!B64,summaryref2!J64,IF(AK119=summaryref2!B78,summaryref2!J78,IF(AK119=summaryref2!B92,summaryref2!J92,IF(AK119=summaryref2!B106,summaryref2!J106,IF(AK119=summaryref2!B120,summaryref2!J120,IF(AK119=summaryref2!B134,summaryref2!J134,IF(AK119=summaryref2!B148,summaryref2!J148,"")))))))))))</f>
        <v>#REF!</v>
      </c>
      <c r="AU119" s="1110" t="e">
        <f>IF('A-80 DirEntInv'!#REF!&lt;&gt;"",'A-80 DirEntInv'!#REF!,IF(AK119=summaryref2!B22,summaryref2!K22,IF(Summary!AK119=summaryref2!B36,summaryref2!K36,IF(AK119=summaryref2!B50,summaryref2!K50,IF(AK119=summaryref2!B64,summaryref2!K64,IF(AK119=summaryref2!B78,summaryref2!K78,IF(AK119=summaryref2!B92,summaryref2!K92,IF(AK119=summaryref2!B106,summaryref2!K106,IF(AK119=summaryref2!B120,summaryref2!K120,IF(AK119=summaryref2!B134,summaryref2!K134,IF(AK119=summaryref2!B148,summaryref2!K148,"")))))))))))</f>
        <v>#REF!</v>
      </c>
      <c r="AV119" s="1110" t="e">
        <f>IF('A-80 DirEntInv'!#REF!&lt;&gt;"",'A-80 DirEntInv'!#REF!,IF(AK119=summaryref2!B22,summaryref2!L22,IF(Summary!AK119=summaryref2!B36,summaryref2!L36,IF(AK119=summaryref2!B50,summaryref2!L50,IF(AK119=summaryref2!B64,summaryref2!L64,IF(AK119=summaryref2!B78,summaryref2!L78,IF(AK119=summaryref2!B92,summaryref2!L92,IF(AK119=summaryref2!B106,summaryref2!L106,IF(AK119=summaryref2!B120,summaryref2!L120,IF(AK119=summaryref2!B134,summaryref2!L134,IF(AK119=summaryref2!B148,summaryref2!L148,"")))))))))))</f>
        <v>#REF!</v>
      </c>
      <c r="AW119" s="1110" t="e">
        <f>IF('A-80 DirEntInv'!#REF!&lt;&gt;"",'A-80 DirEntInv'!#REF!,IF(AK119=summaryref2!B22,summaryref2!M22,IF(Summary!AK119=summaryref2!B36,summaryref2!M36,IF(AK119=summaryref2!B50,summaryref2!M50,IF(AK119=summaryref2!B64,summaryref2!M64,IF(AK119=summaryref2!B78,summaryref2!M78,IF(AK119=summaryref2!B92,summaryref2!M92,IF(AK119=summaryref2!B106,summaryref2!M106,IF(AK119=summaryref2!B120,summaryref2!M120,IF(AK119=summaryref2!B134,summaryref2!M134,IF(AK119=summaryref2!B148,summaryref2!M148,"")))))))))))</f>
        <v>#REF!</v>
      </c>
      <c r="AX119" s="1110" t="e">
        <f>IF('A-80 DirEntInv'!#REF!&lt;&gt;"",'A-80 DirEntInv'!#REF!,IF(AK119=summaryref2!B22,summaryref2!N22,IF(Summary!AK119=summaryref2!B36,summaryref2!N36,IF(AK119=summaryref2!B50,summaryref2!N50,IF(AK119=summaryref2!B64,summaryref2!N64,IF(AK119=summaryref2!B78,summaryref2!N78,IF(AK119=summaryref2!B92,summaryref2!N92,IF(AK119=summaryref2!B106,summaryref2!N106,IF(AK119=summaryref2!B120,summaryref2!N120,IF(AK119=summaryref2!B134,summaryref2!N134,IF(AK119=summaryref2!B148,summaryref2!N148,"")))))))))))</f>
        <v>#REF!</v>
      </c>
      <c r="AY119" s="1110" t="e">
        <f>IF('A-80 DirEntInv'!#REF!&lt;&gt;"",'A-80 DirEntInv'!#REF!,IF(AK119=summaryref2!B22,summaryref2!O22,IF(Summary!AK119=summaryref2!B36,summaryref2!O36,IF(AK119=summaryref2!B50,summaryref2!O50,IF(AK119=summaryref2!B64,summaryref2!O64,IF(AK119=summaryref2!B78,summaryref2!O78,IF(AK119=summaryref2!B92,summaryref2!O92,IF(AK119=summaryref2!B106,summaryref2!O106,IF(AK119=summaryref2!B120,summaryref2!O120,IF(AK119=summaryref2!B134,summaryref2!O134,IF(AK119=summaryref2!B148,summaryref2!O148,"")))))))))))</f>
        <v>#REF!</v>
      </c>
      <c r="AZ119" s="1110" t="e">
        <f>IF('A-80 DirEntInv'!#REF!&lt;&gt;"",'A-80 DirEntInv'!#REF!,IF(AK119=summaryref2!B22,summaryref2!P22,IF(Summary!AK119=summaryref2!B36,summaryref2!P36,IF(AK119=summaryref2!B50,summaryref2!P50,IF(AK119=summaryref2!B64,summaryref2!P64,IF(AK119=summaryref2!B78,summaryref2!P78,IF(AK119=summaryref2!B92,summaryref2!P92,IF(AK119=summaryref2!B106,summaryref2!P106,IF(AK119=summaryref2!B120,summaryref2!P120,IF(AK119=summaryref2!B134,summaryref2!P134,IF(AK119=summaryref2!B148,summaryref2!P148,"")))))))))))</f>
        <v>#REF!</v>
      </c>
      <c r="BA119" s="1110" t="e">
        <f>IF('A-80 DirEntInv'!#REF!&lt;&gt;"",'A-80 DirEntInv'!#REF!,IF(AK119=summaryref2!B22,summaryref2!Q22,IF(Summary!AK119=summaryref2!B36,summaryref2!Q36,IF(AK119=summaryref2!B50,summaryref2!Q50,IF(AK119=summaryref2!B64,summaryref2!Q64,IF(AK119=summaryref2!B78,summaryref2!Q78,IF(AK119=summaryref2!B92,summaryref2!Q92,IF(AK119=summaryref2!B106,summaryref2!Q106,IF(AK119=summaryref2!B120,summaryref2!Q120,IF(AK119=summaryref2!B134,summaryref2!Q134,IF(AK119=summaryref2!B148,summaryref2!Q148,"")))))))))))</f>
        <v>#REF!</v>
      </c>
      <c r="BB119" s="1110" t="e">
        <f>IF('A-80 DirEntInv'!#REF!&lt;&gt;"",'A-80 DirEntInv'!#REF!,IF(AK119=summaryref2!B22,summaryref2!R22,IF(Summary!AK119=summaryref2!B36,summaryref2!R36,IF(AK119=summaryref2!B50,summaryref2!R50,IF(AK119=summaryref2!B64,summaryref2!R64,IF(AK119=summaryref2!B78,summaryref2!R78,IF(AK119=summaryref2!B92,summaryref2!R92,IF(AK119=summaryref2!B106,summaryref2!R106,IF(AK119=summaryref2!B120,summaryref2!R120,IF(AK119=summaryref2!B134,summaryref2!R134,IF(AK119=summaryref2!B148,summaryref2!R148,"")))))))))))</f>
        <v>#REF!</v>
      </c>
      <c r="BC119" s="1110" t="e">
        <f>IF('A-80 DirEntInv'!#REF!&lt;&gt;0,'A-80 DirEntInv'!#REF!,IF(AK119=summaryref2!B22,summaryref2!S22,IF(Summary!AK119=summaryref2!B36,summaryref2!S36,IF(AK119=summaryref2!B50,summaryref2!S50,IF(AK119=summaryref2!B64,summaryref2!S64,IF(AK119=summaryref2!B78,summaryref2!S78,IF(AK119=summaryref2!B92,summaryref2!S92,IF(AK119=summaryref2!B106,summaryref2!S106,IF(AK119=summaryref2!B120,summaryref2!S120,IF(AK119=summaryref2!B134,summaryref2!S134,IF(AK119=summaryref2!B148,summaryref2!S148,"")))))))))))</f>
        <v>#REF!</v>
      </c>
      <c r="BD119" s="1111" t="e">
        <f>IF('A-80 DirEntInv'!#REF!&lt;&gt;"",'A-80 DirEntInv'!#REF!,IF(AK119=summaryref2!B22,summaryref2!T22,IF(Summary!AK119=summaryref2!B36,summaryref2!T36,IF(AK119=summaryref2!B50,summaryref2!T50,IF(AK119=summaryref2!B64,summaryref2!T64,IF(AK119=summaryref2!B78,summaryref2!T78,IF(AK119=summaryref2!B92,summaryref2!T92,IF(AK119=summaryref2!B106,summaryref2!T106,IF(AK119=summaryref2!B120,summaryref2!T120,IF(AK119=summaryref2!B134,summaryref2!T134,IF(AK119=summaryref2!B148,summaryref2!T148,"")))))))))))</f>
        <v>#REF!</v>
      </c>
      <c r="BE119" s="1184" t="e">
        <f>IF('A-80 DirEntInv'!#REF!&lt;&gt;"",'A-80 DirEntInv'!#REF!,IF(AK119=summaryref2!B22,summaryref2!U22,IF(Summary!AK119=summaryref2!B36,summaryref2!U36,IF(AK119=summaryref2!B50,summaryref2!U50,IF(AK119=summaryref2!B64,summaryref2!U64,IF(AK119=summaryref2!B78,summaryref2!U78,IF(AK119=summaryref2!B92,summaryref2!U92,IF(AK119=summaryref2!B106,summaryref2!U106,IF(AK119=summaryref2!B120,summaryref2!U120,IF(AK119=summaryref2!B134,summaryref2!U134,IF(AK119=summaryref2!B148,summaryref2!U148,"")))))))))))</f>
        <v>#REF!</v>
      </c>
      <c r="BF119" s="1432"/>
      <c r="BG119" s="1432"/>
      <c r="BJ119" s="1041" t="str">
        <f>Codes!$C$171</f>
        <v>TR - Aerial Tramway (DO)</v>
      </c>
      <c r="BK119" s="1042" t="str">
        <f>Valid!$B$83</f>
        <v>Single Crossover</v>
      </c>
      <c r="BL119" s="1375" t="e">
        <f>IF('A-80 DirEntInv'!#REF!&lt;&gt;"",'A-80 DirEntInv'!#REF!,IF(BJ119=summaryref2!X15,summaryref2!Z15,IF(BJ119=summaryref2!X22,summaryref2!Z22,IF(BJ119=summaryref2!X29,summaryref2!Z29,IF(BJ119=summaryref2!X36,summaryref2!Z36,IF(BJ119=summaryref2!X43,summaryref2!Z43,IF(BJ119=summaryref2!X50,summaryref2!Z50,IF(BJ119=summaryref2!X57,summaryref2!Z57,IF(BJ119=summaryref2!X64,summaryref2!Z64,IF(BJ119=summaryref2!X71,summaryref2!Z71,IF(BJ119=summaryref2!X78,summaryref2!Z78,"")))))))))))</f>
        <v>#REF!</v>
      </c>
      <c r="BM119" s="1042" t="str">
        <f>VLOOKUP(BK119,Valid!$B$80:$C$86,2,FALSE)</f>
        <v>Each</v>
      </c>
      <c r="BN119" s="1209" t="e">
        <f>IF('A-80 DirEntInv'!#REF!&lt;&gt;"",'A-80 DirEntInv'!#REF!,IF(BJ119=summaryref2!X15,summaryref2!AB15,IF(BJ119=summaryref2!X22,summaryref2!AB22,IF(BJ119=summaryref2!X29,summaryref2!AB29,IF(BJ119=summaryref2!X36,summaryref2!AB36,IF(BJ119=summaryref2!X43,summaryref2!AB43,IF(BJ119=summaryref2!X50,summaryref2!AB50,IF(BJ119=summaryref2!X57,summaryref2!AB57,IF(BJ119=summaryref2!X64,summaryref2!AB64,IF(BJ119=summaryref2!X71,summaryref2!AB71,IF(BJ119=summaryref2!X78,summaryref2!AB78,"")))))))))))</f>
        <v>#REF!</v>
      </c>
      <c r="BO119" s="1116" t="e">
        <f>IF('A-80 DirEntInv'!#REF!&lt;&gt;"",'A-80 DirEntInv'!#REF!,IF(BJ119=summaryref2!X15,summaryref2!AC15,IF(BJ119=summaryref2!X22,summaryref2!AC22,IF(BJ119=summaryref2!X29,summaryref2!AC29,IF(BJ119=summaryref2!X36,summaryref2!AC36,IF(BJ119=summaryref2!X43,summaryref2!AC43,IF(BJ119=summaryref2!X50,summaryref2!AC50,IF(BJ119=summaryref2!X57,summaryref2!AC57,IF(BJ119=summaryref2!X64,summaryref2!AC64,IF(BJ119=summaryref2!X71,summaryref2!AC71,IF(BJ119=summaryref2!X78,summaryref2!AC78,"")))))))))))</f>
        <v>#REF!</v>
      </c>
      <c r="BP119" s="1384" t="e">
        <f>IF('A-80 DirEntInv'!#REF!&lt;&gt;"",'A-80 DirEntInv'!#REF!,IF(BJ119=summaryref2!X15,summaryref2!AD15,IF(BJ119=summaryref2!X22,summaryref2!AD22,IF(BJ119=summaryref2!X29,summaryref2!AD29,IF(BJ119=summaryref2!X36,summaryref2!AD36,IF(BJ119=summaryref2!X43,summaryref2!AD43,IF(BJ119=summaryref2!X50,summaryref2!AD50,IF(BJ119=summaryref2!X57,summaryref2!AD57,IF(BJ119=summaryref2!X64,summaryref2!AD64,IF(BJ119=summaryref2!X71,summaryref2!AD71,IF(BJ119=summaryref2!X78,summaryref2!AD78,"")))))))))))</f>
        <v>#REF!</v>
      </c>
      <c r="BU119" s="962"/>
      <c r="CD119" s="589"/>
      <c r="CE119" s="590"/>
      <c r="CF119" s="590"/>
      <c r="CG119" s="590"/>
      <c r="CH119" s="590"/>
      <c r="CI119" s="590"/>
      <c r="CJ119" s="589"/>
      <c r="CK119" s="589"/>
      <c r="CL119" s="589"/>
      <c r="CM119" s="587"/>
      <c r="CN119" s="587"/>
      <c r="CO119" s="589"/>
      <c r="CP119" s="587"/>
      <c r="CQ119" s="592"/>
      <c r="CR119" s="589"/>
      <c r="CS119" s="592"/>
      <c r="CT119" s="589"/>
      <c r="CU119" s="589"/>
      <c r="CV119" s="589"/>
      <c r="CW119" s="587"/>
      <c r="CX119" s="590"/>
      <c r="CY119" s="590"/>
      <c r="CZ119" s="590"/>
      <c r="DA119" s="1054"/>
      <c r="DB119" s="1054"/>
      <c r="DC119" s="587"/>
      <c r="DD119" s="587"/>
    </row>
    <row r="120" spans="1:108" s="588" customFormat="1" x14ac:dyDescent="0.2">
      <c r="A120" s="589">
        <f t="shared" si="1"/>
        <v>110</v>
      </c>
      <c r="B120" s="587"/>
      <c r="C120" s="587"/>
      <c r="D120" s="587"/>
      <c r="J120" s="589"/>
      <c r="K120" s="590"/>
      <c r="L120" s="591"/>
      <c r="M120" s="592"/>
      <c r="N120" s="589"/>
      <c r="O120" s="587"/>
      <c r="R120" s="1052"/>
      <c r="S120" s="1052"/>
      <c r="T120" s="1052"/>
      <c r="U120" s="1052"/>
      <c r="V120" s="1052"/>
      <c r="W120" s="1053"/>
      <c r="X120" s="1053"/>
      <c r="Y120" s="1053"/>
      <c r="Z120" s="1052"/>
      <c r="AA120" s="1052"/>
      <c r="AB120" s="962"/>
      <c r="AC120" s="590"/>
      <c r="AD120" s="590"/>
      <c r="AE120" s="591"/>
      <c r="AF120" s="592"/>
      <c r="AG120" s="1053"/>
      <c r="AH120" s="587"/>
      <c r="AK120" s="1041" t="str">
        <f>Codes!$C$163</f>
        <v>HR - Heavy Rail (DO)</v>
      </c>
      <c r="AL120" s="1042" t="str">
        <f>Valid!$B$89</f>
        <v>Third Rail/Power Distribution</v>
      </c>
      <c r="AM120" s="1108"/>
      <c r="AN120" s="1042"/>
      <c r="AO120" s="1108"/>
      <c r="AP120" s="1042"/>
      <c r="AQ120" s="1147" t="e">
        <f>IF('A-80 DirEntInv'!#REF!&lt;&gt;"",'A-80 DirEntInv'!#REF!,IF(AK120=summaryref2!B23,summaryref2!G23,IF(Summary!AK120=summaryref2!B37,summaryref2!G37,IF(AK120=summaryref2!B51,summaryref2!G51,IF(AK120=summaryref2!B65,summaryref2!G65,IF(AK120=summaryref2!B79,summaryref2!G79,IF(AK120=summaryref2!B93,summaryref2!G93,IF(AK120=summaryref2!B107,summaryref2!G107,IF(AK120=summaryref2!B121,summaryref2!G121,IF(AK120=summaryref2!B135,summaryref2!G135,IF(AK120=summaryref2!B149,summaryref2!G149,"")))))))))))</f>
        <v>#REF!</v>
      </c>
      <c r="AR120" s="1147" t="e">
        <f>IF('A-80 DirEntInv'!#REF!&lt;&gt;"",'A-80 DirEntInv'!#REF!,IF(AK120=summaryref2!B23,summaryref2!H23,IF(Summary!AK120=summaryref2!B37,summaryref2!H37,IF(AK120=summaryref2!B51,summaryref2!H51,IF(AK120=summaryref2!B65,summaryref2!H65,IF(AK120=summaryref2!B79,summaryref2!H79,IF(AK120=summaryref2!B93,summaryref2!H93,IF(AK120=summaryref2!B107,summaryref2!H107,IF(AK120=summaryref2!B121,summaryref2!H121,IF(AK120=summaryref2!B135,summaryref2!H135,IF(AK120=summaryref2!B149,summaryref2!H149,"")))))))))))</f>
        <v>#REF!</v>
      </c>
      <c r="AS120" s="1110" t="e">
        <f>IF('A-80 DirEntInv'!#REF!&lt;&gt;"",'A-80 DirEntInv'!#REF!,IF(AK120=summaryref2!B23,summaryref2!I23,IF(Summary!AK120=summaryref2!B37,summaryref2!I37,IF(AK120=summaryref2!B51,summaryref2!I51,IF(AK120=summaryref2!B65,summaryref2!I65,IF(AK120=summaryref2!B79,summaryref2!I79,IF(AK120=summaryref2!B93,summaryref2!I93,IF(AK120=summaryref2!B107,summaryref2!I107,IF(AK120=summaryref2!B121,summaryref2!I121,IF(AK120=summaryref2!B135,summaryref2!I135,IF(AK120=summaryref2!B149,summaryref2!I149,"")))))))))))</f>
        <v>#REF!</v>
      </c>
      <c r="AT120" s="1110" t="e">
        <f>IF('A-80 DirEntInv'!#REF!&lt;&gt;"",'A-80 DirEntInv'!#REF!,IF(AK120=summaryref2!B23,summaryref2!J23,IF(Summary!AK120=summaryref2!B37,summaryref2!J37,IF(AK120=summaryref2!B51,summaryref2!J51,IF(AK120=summaryref2!B65,summaryref2!J65,IF(AK120=summaryref2!B79,summaryref2!J79,IF(AK120=summaryref2!B93,summaryref2!J93,IF(AK120=summaryref2!B107,summaryref2!J107,IF(AK120=summaryref2!B121,summaryref2!J121,IF(AK120=summaryref2!B135,summaryref2!J135,IF(AK120=summaryref2!B149,summaryref2!J149,"")))))))))))</f>
        <v>#REF!</v>
      </c>
      <c r="AU120" s="1110" t="e">
        <f>IF('A-80 DirEntInv'!#REF!&lt;&gt;"",'A-80 DirEntInv'!#REF!,IF(AK120=summaryref2!B23,summaryref2!K23,IF(Summary!AK120=summaryref2!B37,summaryref2!K37,IF(AK120=summaryref2!B51,summaryref2!K51,IF(AK120=summaryref2!B65,summaryref2!K65,IF(AK120=summaryref2!B79,summaryref2!K79,IF(AK120=summaryref2!B93,summaryref2!K93,IF(AK120=summaryref2!B107,summaryref2!K107,IF(AK120=summaryref2!B121,summaryref2!K121,IF(AK120=summaryref2!B135,summaryref2!K135,IF(AK120=summaryref2!B149,summaryref2!K149,"")))))))))))</f>
        <v>#REF!</v>
      </c>
      <c r="AV120" s="1110" t="e">
        <f>IF('A-80 DirEntInv'!#REF!&lt;&gt;"",'A-80 DirEntInv'!#REF!,IF(AK120=summaryref2!B23,summaryref2!L23,IF(Summary!AK120=summaryref2!B37,summaryref2!L37,IF(AK120=summaryref2!B51,summaryref2!L51,IF(AK120=summaryref2!B65,summaryref2!L65,IF(AK120=summaryref2!B79,summaryref2!L79,IF(AK120=summaryref2!B93,summaryref2!L93,IF(AK120=summaryref2!B107,summaryref2!L107,IF(AK120=summaryref2!B121,summaryref2!L121,IF(AK120=summaryref2!B135,summaryref2!L135,IF(AK120=summaryref2!B149,summaryref2!L149,"")))))))))))</f>
        <v>#REF!</v>
      </c>
      <c r="AW120" s="1110" t="e">
        <f>IF('A-80 DirEntInv'!#REF!&lt;&gt;"",'A-80 DirEntInv'!#REF!,IF(AK120=summaryref2!B23,summaryref2!M23,IF(Summary!AK120=summaryref2!B37,summaryref2!M37,IF(AK120=summaryref2!B51,summaryref2!M51,IF(AK120=summaryref2!B65,summaryref2!M65,IF(AK120=summaryref2!B79,summaryref2!M79,IF(AK120=summaryref2!B93,summaryref2!M93,IF(AK120=summaryref2!B107,summaryref2!M107,IF(AK120=summaryref2!B121,summaryref2!M121,IF(AK120=summaryref2!B135,summaryref2!M135,IF(AK120=summaryref2!B149,summaryref2!M149,"")))))))))))</f>
        <v>#REF!</v>
      </c>
      <c r="AX120" s="1110" t="e">
        <f>IF('A-80 DirEntInv'!#REF!&lt;&gt;"",'A-80 DirEntInv'!#REF!,IF(AK120=summaryref2!B23,summaryref2!N23,IF(Summary!AK120=summaryref2!B37,summaryref2!N37,IF(AK120=summaryref2!B51,summaryref2!N51,IF(AK120=summaryref2!B65,summaryref2!N65,IF(AK120=summaryref2!B79,summaryref2!N79,IF(AK120=summaryref2!B93,summaryref2!N93,IF(AK120=summaryref2!B107,summaryref2!N107,IF(AK120=summaryref2!B121,summaryref2!N121,IF(AK120=summaryref2!B135,summaryref2!N135,IF(AK120=summaryref2!B149,summaryref2!N149,"")))))))))))</f>
        <v>#REF!</v>
      </c>
      <c r="AY120" s="1110" t="e">
        <f>IF('A-80 DirEntInv'!#REF!&lt;&gt;"",'A-80 DirEntInv'!#REF!,IF(AK120=summaryref2!B23,summaryref2!O23,IF(Summary!AK120=summaryref2!B37,summaryref2!O37,IF(AK120=summaryref2!B51,summaryref2!O51,IF(AK120=summaryref2!B65,summaryref2!O65,IF(AK120=summaryref2!B79,summaryref2!O79,IF(AK120=summaryref2!B93,summaryref2!O93,IF(AK120=summaryref2!B107,summaryref2!O107,IF(AK120=summaryref2!B121,summaryref2!O121,IF(AK120=summaryref2!B135,summaryref2!O135,IF(AK120=summaryref2!B149,summaryref2!O149,"")))))))))))</f>
        <v>#REF!</v>
      </c>
      <c r="AZ120" s="1110" t="e">
        <f>IF('A-80 DirEntInv'!#REF!&lt;&gt;"",'A-80 DirEntInv'!#REF!,IF(AK120=summaryref2!B23,summaryref2!P23,IF(Summary!AK120=summaryref2!B37,summaryref2!P37,IF(AK120=summaryref2!B51,summaryref2!P51,IF(AK120=summaryref2!B65,summaryref2!P65,IF(AK120=summaryref2!B79,summaryref2!P79,IF(AK120=summaryref2!B93,summaryref2!P93,IF(AK120=summaryref2!B107,summaryref2!P107,IF(AK120=summaryref2!B121,summaryref2!P121,IF(AK120=summaryref2!B135,summaryref2!P135,IF(AK120=summaryref2!B149,summaryref2!P149,"")))))))))))</f>
        <v>#REF!</v>
      </c>
      <c r="BA120" s="1110" t="e">
        <f>IF('A-80 DirEntInv'!#REF!&lt;&gt;"",'A-80 DirEntInv'!#REF!,IF(AK120=summaryref2!B23,summaryref2!Q23,IF(Summary!AK120=summaryref2!B37,summaryref2!Q37,IF(AK120=summaryref2!B51,summaryref2!Q51,IF(AK120=summaryref2!B65,summaryref2!Q65,IF(AK120=summaryref2!B79,summaryref2!Q79,IF(AK120=summaryref2!B93,summaryref2!Q93,IF(AK120=summaryref2!B107,summaryref2!Q107,IF(AK120=summaryref2!B121,summaryref2!Q121,IF(AK120=summaryref2!B135,summaryref2!Q135,IF(AK120=summaryref2!B149,summaryref2!Q149,"")))))))))))</f>
        <v>#REF!</v>
      </c>
      <c r="BB120" s="1110" t="e">
        <f>IF('A-80 DirEntInv'!#REF!&lt;&gt;"",'A-80 DirEntInv'!#REF!,IF(AK120=summaryref2!B23,summaryref2!R23,IF(Summary!AK120=summaryref2!B37,summaryref2!R37,IF(AK120=summaryref2!B51,summaryref2!R51,IF(AK120=summaryref2!B65,summaryref2!R65,IF(AK120=summaryref2!B79,summaryref2!R79,IF(AK120=summaryref2!B93,summaryref2!R93,IF(AK120=summaryref2!B107,summaryref2!R107,IF(AK120=summaryref2!B121,summaryref2!R121,IF(AK120=summaryref2!B135,summaryref2!R135,IF(AK120=summaryref2!B149,summaryref2!R149,"")))))))))))</f>
        <v>#REF!</v>
      </c>
      <c r="BC120" s="1110" t="e">
        <f>IF('A-80 DirEntInv'!#REF!&lt;&gt;0,'A-80 DirEntInv'!#REF!,IF(AK120=summaryref2!B23,summaryref2!S23,IF(Summary!AK120=summaryref2!B37,summaryref2!S37,IF(AK120=summaryref2!B51,summaryref2!S51,IF(AK120=summaryref2!B65,summaryref2!S65,IF(AK120=summaryref2!B79,summaryref2!S79,IF(AK120=summaryref2!B93,summaryref2!S93,IF(AK120=summaryref2!B107,summaryref2!S107,IF(AK120=summaryref2!B121,summaryref2!S121,IF(AK120=summaryref2!B135,summaryref2!S135,IF(AK120=summaryref2!B149,summaryref2!S149,"")))))))))))</f>
        <v>#REF!</v>
      </c>
      <c r="BD120" s="1111" t="e">
        <f>IF('A-80 DirEntInv'!#REF!&lt;&gt;"",'A-80 DirEntInv'!#REF!,IF(AK120=summaryref2!B23,summaryref2!T23,IF(Summary!AK120=summaryref2!B37,summaryref2!T37,IF(AK120=summaryref2!B51,summaryref2!T51,IF(AK120=summaryref2!B65,summaryref2!T65,IF(AK120=summaryref2!B79,summaryref2!T79,IF(AK120=summaryref2!B93,summaryref2!T93,IF(AK120=summaryref2!B107,summaryref2!T107,IF(AK120=summaryref2!B121,summaryref2!T121,IF(AK120=summaryref2!B135,summaryref2!T135,IF(AK120=summaryref2!B149,summaryref2!T149,"")))))))))))</f>
        <v>#REF!</v>
      </c>
      <c r="BE120" s="1184" t="e">
        <f>IF('A-80 DirEntInv'!#REF!&lt;&gt;"",'A-80 DirEntInv'!#REF!,IF(AK120=summaryref2!B23,summaryref2!U23,IF(Summary!AK120=summaryref2!B37,summaryref2!U37,IF(AK120=summaryref2!B51,summaryref2!U51,IF(AK120=summaryref2!B65,summaryref2!U65,IF(AK120=summaryref2!B79,summaryref2!U79,IF(AK120=summaryref2!B93,summaryref2!U93,IF(AK120=summaryref2!B107,summaryref2!U107,IF(AK120=summaryref2!B121,summaryref2!U121,IF(AK120=summaryref2!B135,summaryref2!U135,IF(AK120=summaryref2!B149,summaryref2!U149,"")))))))))))</f>
        <v>#REF!</v>
      </c>
      <c r="BF120" s="1432"/>
      <c r="BG120" s="1432"/>
      <c r="BJ120" s="1041" t="str">
        <f>Codes!$C$171</f>
        <v>TR - Aerial Tramway (DO)</v>
      </c>
      <c r="BK120" s="1042" t="str">
        <f>Valid!$B$84</f>
        <v>Half Grand Union</v>
      </c>
      <c r="BL120" s="1375" t="e">
        <f>IF('A-80 DirEntInv'!#REF!&lt;&gt;"",'A-80 DirEntInv'!#REF!,IF(BJ120=summaryref2!X16,summaryref2!Z16,IF(BJ120=summaryref2!X23,summaryref2!Z23,IF(BJ120=summaryref2!X30,summaryref2!Z30,IF(BJ120=summaryref2!X37,summaryref2!Z37,IF(BJ120=summaryref2!X44,summaryref2!Z44,IF(BJ120=summaryref2!X51,summaryref2!Z51,IF(BJ120=summaryref2!X58,summaryref2!Z58,IF(BJ120=summaryref2!X65,summaryref2!Z65,IF(BJ120=summaryref2!X72,summaryref2!Z72,IF(BJ120=summaryref2!X79,summaryref2!Z79,"")))))))))))</f>
        <v>#REF!</v>
      </c>
      <c r="BM120" s="1042" t="str">
        <f>VLOOKUP(BK120,Valid!$B$80:$C$86,2,FALSE)</f>
        <v>Each</v>
      </c>
      <c r="BN120" s="1209" t="e">
        <f>IF('A-80 DirEntInv'!#REF!&lt;&gt;"",'A-80 DirEntInv'!#REF!,IF(BJ120=summaryref2!X16,summaryref2!AB16,IF(BJ120=summaryref2!X23,summaryref2!AB23,IF(BJ120=summaryref2!X30,summaryref2!AB30,IF(BJ120=summaryref2!X37,summaryref2!AB37,IF(BJ120=summaryref2!X44,summaryref2!AB44,IF(BJ120=summaryref2!X51,summaryref2!AB51,IF(BJ120=summaryref2!X58,summaryref2!AB58,IF(BJ120=summaryref2!X65,summaryref2!AB65,IF(BJ120=summaryref2!X72,summaryref2!AB72,IF(BJ120=summaryref2!X79,summaryref2!AB79,"")))))))))))</f>
        <v>#REF!</v>
      </c>
      <c r="BO120" s="1116" t="e">
        <f>IF('A-80 DirEntInv'!#REF!&lt;&gt;"",'A-80 DirEntInv'!#REF!,IF(BJ120=summaryref2!X16,summaryref2!AC16,IF(BJ120=summaryref2!X23,summaryref2!AC23,IF(BJ120=summaryref2!X30,summaryref2!AC30,IF(BJ120=summaryref2!X37,summaryref2!AC37,IF(BJ120=summaryref2!X44,summaryref2!AC44,IF(BJ120=summaryref2!X51,summaryref2!AC51,IF(BJ120=summaryref2!X58,summaryref2!AC58,IF(BJ120=summaryref2!X65,summaryref2!AC65,IF(BJ120=summaryref2!X72,summaryref2!AC72,IF(BJ120=summaryref2!X79,summaryref2!AC79,"")))))))))))</f>
        <v>#REF!</v>
      </c>
      <c r="BP120" s="1384" t="e">
        <f>IF('A-80 DirEntInv'!#REF!&lt;&gt;"",'A-80 DirEntInv'!#REF!,IF(BJ120=summaryref2!X16,summaryref2!AD16,IF(BJ120=summaryref2!X23,summaryref2!AD23,IF(BJ120=summaryref2!X30,summaryref2!AD30,IF(BJ120=summaryref2!X37,summaryref2!AD37,IF(BJ120=summaryref2!X44,summaryref2!AD44,IF(BJ120=summaryref2!X51,summaryref2!AD51,IF(BJ120=summaryref2!X58,summaryref2!AD58,IF(BJ120=summaryref2!X65,summaryref2!AD65,IF(BJ120=summaryref2!X72,summaryref2!AD72,IF(BJ120=summaryref2!X79,summaryref2!AD79,"")))))))))))</f>
        <v>#REF!</v>
      </c>
      <c r="BU120" s="962"/>
      <c r="CD120" s="589"/>
      <c r="CE120" s="590"/>
      <c r="CF120" s="590"/>
      <c r="CG120" s="590"/>
      <c r="CH120" s="590"/>
      <c r="CI120" s="590"/>
      <c r="CJ120" s="589"/>
      <c r="CK120" s="589"/>
      <c r="CL120" s="589"/>
      <c r="CM120" s="587"/>
      <c r="CN120" s="587"/>
      <c r="CO120" s="589"/>
      <c r="CP120" s="587"/>
      <c r="CQ120" s="592"/>
      <c r="CR120" s="589"/>
      <c r="CS120" s="592"/>
      <c r="CT120" s="589"/>
      <c r="CU120" s="589"/>
      <c r="CV120" s="589"/>
      <c r="CW120" s="587"/>
      <c r="CX120" s="590"/>
      <c r="CY120" s="590"/>
      <c r="CZ120" s="590"/>
      <c r="DA120" s="1054"/>
      <c r="DB120" s="1054"/>
      <c r="DC120" s="587"/>
      <c r="DD120" s="587"/>
    </row>
    <row r="121" spans="1:108" s="588" customFormat="1" x14ac:dyDescent="0.2">
      <c r="A121" s="589">
        <f t="shared" si="1"/>
        <v>111</v>
      </c>
      <c r="B121" s="587"/>
      <c r="C121" s="587"/>
      <c r="D121" s="587"/>
      <c r="J121" s="589"/>
      <c r="K121" s="590"/>
      <c r="L121" s="591"/>
      <c r="M121" s="592"/>
      <c r="N121" s="589"/>
      <c r="O121" s="587"/>
      <c r="R121" s="1052"/>
      <c r="S121" s="1052"/>
      <c r="T121" s="1052"/>
      <c r="U121" s="1052"/>
      <c r="V121" s="1052"/>
      <c r="W121" s="1053"/>
      <c r="X121" s="1053"/>
      <c r="Y121" s="1053"/>
      <c r="Z121" s="1052"/>
      <c r="AA121" s="1052"/>
      <c r="AB121" s="962"/>
      <c r="AC121" s="590"/>
      <c r="AD121" s="590"/>
      <c r="AE121" s="591"/>
      <c r="AF121" s="592"/>
      <c r="AG121" s="1053"/>
      <c r="AH121" s="587"/>
      <c r="AK121" s="1041" t="str">
        <f>Codes!$C$163</f>
        <v>HR - Heavy Rail (DO)</v>
      </c>
      <c r="AL121" s="1042" t="str">
        <f>Valid!$B$90</f>
        <v>Overhead Contact System/Power Distribution</v>
      </c>
      <c r="AM121" s="1108"/>
      <c r="AN121" s="1042"/>
      <c r="AO121" s="1108"/>
      <c r="AP121" s="1042"/>
      <c r="AQ121" s="1147" t="e">
        <f>IF('A-80 DirEntInv'!#REF!&lt;&gt;"",'A-80 DirEntInv'!#REF!,IF(AK121=summaryref2!B24,summaryref2!G24,IF(Summary!AK121=summaryref2!B38,summaryref2!G38,IF(AK121=summaryref2!B52,summaryref2!G52,IF(AK121=summaryref2!B66,summaryref2!G66,IF(AK121=summaryref2!B80,summaryref2!G80,IF(AK121=summaryref2!B94,summaryref2!G94,IF(AK121=summaryref2!B108,summaryref2!G108,IF(AK121=summaryref2!B122,summaryref2!G122,IF(AK121=summaryref2!B136,summaryref2!G136,IF(AK121=summaryref2!B150,summaryref2!G150,"")))))))))))</f>
        <v>#REF!</v>
      </c>
      <c r="AR121" s="1147" t="e">
        <f>IF('A-80 DirEntInv'!#REF!&lt;&gt;"",'A-80 DirEntInv'!#REF!,IF(AK121=summaryref2!B24,summaryref2!H24,IF(Summary!AK121=summaryref2!B38,summaryref2!H38,IF(AK121=summaryref2!B52,summaryref2!H52,IF(AK121=summaryref2!B66,summaryref2!H66,IF(AK121=summaryref2!B80,summaryref2!H80,IF(AK121=summaryref2!B94,summaryref2!H94,IF(AK121=summaryref2!B108,summaryref2!H108,IF(AK121=summaryref2!B122,summaryref2!H122,IF(AK121=summaryref2!B136,summaryref2!H136,IF(AK121=summaryref2!B150,summaryref2!H150,"")))))))))))</f>
        <v>#REF!</v>
      </c>
      <c r="AS121" s="1110" t="e">
        <f>IF('A-80 DirEntInv'!#REF!&lt;&gt;"",'A-80 DirEntInv'!#REF!,IF(AK121=summaryref2!B24,summaryref2!I24,IF(Summary!AK121=summaryref2!B38,summaryref2!I38,IF(AK121=summaryref2!B52,summaryref2!I52,IF(AK121=summaryref2!B66,summaryref2!I66,IF(AK121=summaryref2!B80,summaryref2!I80,IF(AK121=summaryref2!B94,summaryref2!I94,IF(AK121=summaryref2!B108,summaryref2!I108,IF(AK121=summaryref2!B122,summaryref2!I122,IF(AK121=summaryref2!B136,summaryref2!I136,IF(AK121=summaryref2!B150,summaryref2!I150,"")))))))))))</f>
        <v>#REF!</v>
      </c>
      <c r="AT121" s="1110" t="e">
        <f>IF('A-80 DirEntInv'!#REF!&lt;&gt;"",'A-80 DirEntInv'!#REF!,IF(AK121=summaryref2!B24,summaryref2!J24,IF(Summary!AK121=summaryref2!B38,summaryref2!J38,IF(AK121=summaryref2!B52,summaryref2!J52,IF(AK121=summaryref2!B66,summaryref2!J66,IF(AK121=summaryref2!B80,summaryref2!J80,IF(AK121=summaryref2!B94,summaryref2!J94,IF(AK121=summaryref2!B108,summaryref2!J108,IF(AK121=summaryref2!B122,summaryref2!J122,IF(AK121=summaryref2!B136,summaryref2!J136,IF(AK121=summaryref2!B150,summaryref2!J150,"")))))))))))</f>
        <v>#REF!</v>
      </c>
      <c r="AU121" s="1110" t="e">
        <f>IF('A-80 DirEntInv'!#REF!&lt;&gt;"",'A-80 DirEntInv'!#REF!,IF(AK121=summaryref2!B24,summaryref2!K24,IF(Summary!AK121=summaryref2!B38,summaryref2!K38,IF(AK121=summaryref2!B52,summaryref2!K52,IF(AK121=summaryref2!B66,summaryref2!K66,IF(AK121=summaryref2!B80,summaryref2!K80,IF(AK121=summaryref2!B94,summaryref2!K94,IF(AK121=summaryref2!B108,summaryref2!K108,IF(AK121=summaryref2!B122,summaryref2!K122,IF(AK121=summaryref2!B136,summaryref2!K136,IF(AK121=summaryref2!B150,summaryref2!K150,"")))))))))))</f>
        <v>#REF!</v>
      </c>
      <c r="AV121" s="1110" t="e">
        <f>IF('A-80 DirEntInv'!#REF!&lt;&gt;"",'A-80 DirEntInv'!#REF!,IF(AK121=summaryref2!B24,summaryref2!L24,IF(Summary!AK121=summaryref2!B38,summaryref2!L38,IF(AK121=summaryref2!B52,summaryref2!L52,IF(AK121=summaryref2!B66,summaryref2!L66,IF(AK121=summaryref2!B80,summaryref2!L80,IF(AK121=summaryref2!B94,summaryref2!L94,IF(AK121=summaryref2!B108,summaryref2!L108,IF(AK121=summaryref2!B122,summaryref2!L122,IF(AK121=summaryref2!B136,summaryref2!L136,IF(AK121=summaryref2!B150,summaryref2!L150,"")))))))))))</f>
        <v>#REF!</v>
      </c>
      <c r="AW121" s="1110" t="e">
        <f>IF('A-80 DirEntInv'!#REF!&lt;&gt;"",'A-80 DirEntInv'!#REF!,IF(AK121=summaryref2!B24,summaryref2!M24,IF(Summary!AK121=summaryref2!B38,summaryref2!M38,IF(AK121=summaryref2!B52,summaryref2!M52,IF(AK121=summaryref2!B66,summaryref2!M66,IF(AK121=summaryref2!B80,summaryref2!M80,IF(AK121=summaryref2!B94,summaryref2!M94,IF(AK121=summaryref2!B108,summaryref2!M108,IF(AK121=summaryref2!B122,summaryref2!M122,IF(AK121=summaryref2!B136,summaryref2!M136,IF(AK121=summaryref2!B150,summaryref2!M150,"")))))))))))</f>
        <v>#REF!</v>
      </c>
      <c r="AX121" s="1110" t="e">
        <f>IF('A-80 DirEntInv'!#REF!&lt;&gt;"",'A-80 DirEntInv'!#REF!,IF(AK121=summaryref2!B24,summaryref2!N24,IF(Summary!AK121=summaryref2!B38,summaryref2!N38,IF(AK121=summaryref2!B52,summaryref2!N52,IF(AK121=summaryref2!B66,summaryref2!N66,IF(AK121=summaryref2!B80,summaryref2!N80,IF(AK121=summaryref2!B94,summaryref2!N94,IF(AK121=summaryref2!B108,summaryref2!N108,IF(AK121=summaryref2!B122,summaryref2!N122,IF(AK121=summaryref2!B136,summaryref2!N136,IF(AK121=summaryref2!B150,summaryref2!N150,"")))))))))))</f>
        <v>#REF!</v>
      </c>
      <c r="AY121" s="1110" t="e">
        <f>IF('A-80 DirEntInv'!#REF!&lt;&gt;"",'A-80 DirEntInv'!#REF!,IF(AK121=summaryref2!B24,summaryref2!O24,IF(Summary!AK121=summaryref2!B38,summaryref2!O38,IF(AK121=summaryref2!B52,summaryref2!O52,IF(AK121=summaryref2!B66,summaryref2!O66,IF(AK121=summaryref2!B80,summaryref2!O80,IF(AK121=summaryref2!B94,summaryref2!O94,IF(AK121=summaryref2!B108,summaryref2!O108,IF(AK121=summaryref2!B122,summaryref2!O122,IF(AK121=summaryref2!B136,summaryref2!O136,IF(AK121=summaryref2!B150,summaryref2!O150,"")))))))))))</f>
        <v>#REF!</v>
      </c>
      <c r="AZ121" s="1110" t="e">
        <f>IF('A-80 DirEntInv'!#REF!&lt;&gt;"",'A-80 DirEntInv'!#REF!,IF(AK121=summaryref2!B24,summaryref2!P24,IF(Summary!AK121=summaryref2!B38,summaryref2!P38,IF(AK121=summaryref2!B52,summaryref2!P52,IF(AK121=summaryref2!B66,summaryref2!P66,IF(AK121=summaryref2!B80,summaryref2!P80,IF(AK121=summaryref2!B94,summaryref2!P94,IF(AK121=summaryref2!B108,summaryref2!P108,IF(AK121=summaryref2!B122,summaryref2!P122,IF(AK121=summaryref2!B136,summaryref2!P136,IF(AK121=summaryref2!B150,summaryref2!P150,"")))))))))))</f>
        <v>#REF!</v>
      </c>
      <c r="BA121" s="1110" t="e">
        <f>IF('A-80 DirEntInv'!#REF!&lt;&gt;"",'A-80 DirEntInv'!#REF!,IF(AK121=summaryref2!B24,summaryref2!Q24,IF(Summary!AK121=summaryref2!B38,summaryref2!Q38,IF(AK121=summaryref2!B52,summaryref2!Q52,IF(AK121=summaryref2!B66,summaryref2!Q66,IF(AK121=summaryref2!B80,summaryref2!Q80,IF(AK121=summaryref2!B94,summaryref2!Q94,IF(AK121=summaryref2!B108,summaryref2!Q108,IF(AK121=summaryref2!B122,summaryref2!Q122,IF(AK121=summaryref2!B136,summaryref2!Q136,IF(AK121=summaryref2!B150,summaryref2!Q150,"")))))))))))</f>
        <v>#REF!</v>
      </c>
      <c r="BB121" s="1110" t="e">
        <f>IF('A-80 DirEntInv'!#REF!&lt;&gt;"",'A-80 DirEntInv'!#REF!,IF(AK121=summaryref2!B24,summaryref2!R24,IF(Summary!AK121=summaryref2!B38,summaryref2!R38,IF(AK121=summaryref2!B52,summaryref2!R52,IF(AK121=summaryref2!B66,summaryref2!R66,IF(AK121=summaryref2!B80,summaryref2!R80,IF(AK121=summaryref2!B94,summaryref2!R94,IF(AK121=summaryref2!B108,summaryref2!R108,IF(AK121=summaryref2!B122,summaryref2!R122,IF(AK121=summaryref2!B136,summaryref2!R136,IF(AK121=summaryref2!B150,summaryref2!R150,"")))))))))))</f>
        <v>#REF!</v>
      </c>
      <c r="BC121" s="1110" t="e">
        <f>IF('A-80 DirEntInv'!#REF!&lt;&gt;0,'A-80 DirEntInv'!#REF!,IF(AK121=summaryref2!B24,summaryref2!S24,IF(Summary!AK121=summaryref2!B38,summaryref2!S38,IF(AK121=summaryref2!B52,summaryref2!S52,IF(AK121=summaryref2!B66,summaryref2!S66,IF(AK121=summaryref2!B80,summaryref2!S80,IF(AK121=summaryref2!B94,summaryref2!S94,IF(AK121=summaryref2!B108,summaryref2!S108,IF(AK121=summaryref2!B122,summaryref2!S122,IF(AK121=summaryref2!B136,summaryref2!S136,IF(AK121=summaryref2!B150,summaryref2!S150,"")))))))))))</f>
        <v>#REF!</v>
      </c>
      <c r="BD121" s="1111" t="e">
        <f>IF('A-80 DirEntInv'!#REF!&lt;&gt;"",'A-80 DirEntInv'!#REF!,IF(AK121=summaryref2!B24,summaryref2!T24,IF(Summary!AK121=summaryref2!B38,summaryref2!T38,IF(AK121=summaryref2!B52,summaryref2!T52,IF(AK121=summaryref2!B66,summaryref2!T66,IF(AK121=summaryref2!B80,summaryref2!T80,IF(AK121=summaryref2!B94,summaryref2!T94,IF(AK121=summaryref2!B108,summaryref2!T108,IF(AK121=summaryref2!B122,summaryref2!T122,IF(AK121=summaryref2!B136,summaryref2!T136,IF(AK121=summaryref2!B150,summaryref2!T150,"")))))))))))</f>
        <v>#REF!</v>
      </c>
      <c r="BE121" s="1184" t="e">
        <f>IF('A-80 DirEntInv'!#REF!&lt;&gt;"",'A-80 DirEntInv'!#REF!,IF(AK121=summaryref2!B24,summaryref2!U24,IF(Summary!AK121=summaryref2!B38,summaryref2!U38,IF(AK121=summaryref2!B52,summaryref2!U52,IF(AK121=summaryref2!B66,summaryref2!U66,IF(AK121=summaryref2!B80,summaryref2!U80,IF(AK121=summaryref2!B94,summaryref2!U94,IF(AK121=summaryref2!B108,summaryref2!U108,IF(AK121=summaryref2!B122,summaryref2!U122,IF(AK121=summaryref2!B136,summaryref2!U136,IF(AK121=summaryref2!B150,summaryref2!U150,"")))))))))))</f>
        <v>#REF!</v>
      </c>
      <c r="BF121" s="1432"/>
      <c r="BG121" s="1432"/>
      <c r="BJ121" s="1041" t="str">
        <f>Codes!$C$171</f>
        <v>TR - Aerial Tramway (DO)</v>
      </c>
      <c r="BK121" s="1042" t="str">
        <f>Valid!$B$85</f>
        <v>Single Turnout</v>
      </c>
      <c r="BL121" s="1375" t="e">
        <f>IF('A-80 DirEntInv'!#REF!&lt;&gt;"",'A-80 DirEntInv'!#REF!,IF(BJ121=summaryref2!X17,summaryref2!Z17,IF(BJ121=summaryref2!X24,summaryref2!Z24,IF(BJ121=summaryref2!X31,summaryref2!Z31,IF(BJ121=summaryref2!X38,summaryref2!Z38,IF(BJ121=summaryref2!X45,summaryref2!Z45,IF(BJ121=summaryref2!X52,summaryref2!Z52,IF(BJ121=summaryref2!X59,summaryref2!Z59,IF(BJ121=summaryref2!X66,summaryref2!Z66,IF(BJ121=summaryref2!X73,summaryref2!Z73,IF(BJ121=summaryref2!X80,summaryref2!Z80,"")))))))))))</f>
        <v>#REF!</v>
      </c>
      <c r="BM121" s="1042" t="str">
        <f>VLOOKUP(BK121,Valid!$B$80:$C$86,2,FALSE)</f>
        <v>Each</v>
      </c>
      <c r="BN121" s="1209" t="e">
        <f>IF('A-80 DirEntInv'!#REF!&lt;&gt;"",'A-80 DirEntInv'!#REF!,IF(BJ121=summaryref2!X17,summaryref2!AB17,IF(BJ121=summaryref2!X24,summaryref2!AB24,IF(BJ121=summaryref2!X31,summaryref2!AB31,IF(BJ121=summaryref2!X38,summaryref2!AB38,IF(BJ121=summaryref2!X45,summaryref2!AB45,IF(BJ121=summaryref2!X52,summaryref2!AB52,IF(BJ121=summaryref2!X59,summaryref2!AB59,IF(BJ121=summaryref2!X66,summaryref2!AB66,IF(BJ121=summaryref2!X73,summaryref2!AB73,IF(BJ121=summaryref2!X80,summaryref2!AB80,"")))))))))))</f>
        <v>#REF!</v>
      </c>
      <c r="BO121" s="1116" t="e">
        <f>IF('A-80 DirEntInv'!#REF!&lt;&gt;"",'A-80 DirEntInv'!#REF!,IF(BJ121=summaryref2!X17,summaryref2!AC17,IF(BJ121=summaryref2!X24,summaryref2!AC24,IF(BJ121=summaryref2!X31,summaryref2!AC31,IF(BJ121=summaryref2!X38,summaryref2!AC38,IF(BJ121=summaryref2!X45,summaryref2!AC45,IF(BJ121=summaryref2!X52,summaryref2!AC52,IF(BJ121=summaryref2!X59,summaryref2!AC59,IF(BJ121=summaryref2!X66,summaryref2!AC66,IF(BJ121=summaryref2!X73,summaryref2!AC73,IF(BJ121=summaryref2!X80,summaryref2!AC80,"")))))))))))</f>
        <v>#REF!</v>
      </c>
      <c r="BP121" s="1384" t="e">
        <f>IF('A-80 DirEntInv'!#REF!&lt;&gt;"",'A-80 DirEntInv'!#REF!,IF(BJ121=summaryref2!X17,summaryref2!AD17,IF(BJ121=summaryref2!X24,summaryref2!AD24,IF(BJ121=summaryref2!X31,summaryref2!AD31,IF(BJ121=summaryref2!X38,summaryref2!AD38,IF(BJ121=summaryref2!X45,summaryref2!AD45,IF(BJ121=summaryref2!X52,summaryref2!AD52,IF(BJ121=summaryref2!X59,summaryref2!AD59,IF(BJ121=summaryref2!X66,summaryref2!AD66,IF(BJ121=summaryref2!X73,summaryref2!AD73,IF(BJ121=summaryref2!X80,summaryref2!AD80,"")))))))))))</f>
        <v>#REF!</v>
      </c>
      <c r="BU121" s="962"/>
      <c r="CD121" s="589"/>
      <c r="CE121" s="590"/>
      <c r="CF121" s="590"/>
      <c r="CG121" s="590"/>
      <c r="CH121" s="590"/>
      <c r="CI121" s="590"/>
      <c r="CJ121" s="589"/>
      <c r="CK121" s="589"/>
      <c r="CL121" s="589"/>
      <c r="CM121" s="587"/>
      <c r="CN121" s="587"/>
      <c r="CO121" s="589"/>
      <c r="CP121" s="587"/>
      <c r="CQ121" s="592"/>
      <c r="CR121" s="589"/>
      <c r="CS121" s="592"/>
      <c r="CT121" s="589"/>
      <c r="CU121" s="589"/>
      <c r="CV121" s="589"/>
      <c r="CW121" s="587"/>
      <c r="CX121" s="590"/>
      <c r="CY121" s="590"/>
      <c r="CZ121" s="590"/>
      <c r="DA121" s="1054"/>
      <c r="DB121" s="1054"/>
      <c r="DC121" s="587"/>
      <c r="DD121" s="587"/>
    </row>
    <row r="122" spans="1:108" s="588" customFormat="1" ht="13.5" thickBot="1" x14ac:dyDescent="0.25">
      <c r="A122" s="589">
        <f t="shared" si="1"/>
        <v>112</v>
      </c>
      <c r="B122" s="587"/>
      <c r="C122" s="587"/>
      <c r="D122" s="587"/>
      <c r="J122" s="589"/>
      <c r="K122" s="590"/>
      <c r="L122" s="591"/>
      <c r="M122" s="592"/>
      <c r="N122" s="589"/>
      <c r="O122" s="587"/>
      <c r="R122" s="1052"/>
      <c r="S122" s="1052"/>
      <c r="T122" s="1052"/>
      <c r="U122" s="1052"/>
      <c r="V122" s="1052"/>
      <c r="W122" s="1053"/>
      <c r="X122" s="1053"/>
      <c r="Y122" s="1053"/>
      <c r="Z122" s="1052"/>
      <c r="AA122" s="1052"/>
      <c r="AB122" s="962"/>
      <c r="AC122" s="590"/>
      <c r="AD122" s="590"/>
      <c r="AE122" s="591"/>
      <c r="AF122" s="592"/>
      <c r="AG122" s="1053"/>
      <c r="AH122" s="587"/>
      <c r="AK122" s="1047" t="str">
        <f>Codes!$C$163</f>
        <v>HR - Heavy Rail (DO)</v>
      </c>
      <c r="AL122" s="1050" t="str">
        <f>Valid!$B$91</f>
        <v>Train Control &amp; Signaling</v>
      </c>
      <c r="AM122" s="1185"/>
      <c r="AN122" s="1050"/>
      <c r="AO122" s="1185"/>
      <c r="AP122" s="1050"/>
      <c r="AQ122" s="1386" t="e">
        <f>IF('A-80 DirEntInv'!#REF!&lt;&gt;"",'A-80 DirEntInv'!#REF!,IF(AK122=summaryref2!B25,summaryref2!G25,IF(Summary!AK122=summaryref2!B39,summaryref2!G39,IF(AK122=summaryref2!B53,summaryref2!G53,IF(AK122=summaryref2!B67,summaryref2!G67,IF(AK122=summaryref2!B81,summaryref2!G81,IF(AK122=summaryref2!B95,summaryref2!G95,IF(AK122=summaryref2!B109,summaryref2!G109,IF(AK122=summaryref2!B123,summaryref2!G123,IF(AK122=summaryref2!B137,summaryref2!G137,IF(AK122=summaryref2!B151,summaryref2!G151,"")))))))))))</f>
        <v>#REF!</v>
      </c>
      <c r="AR122" s="1386" t="e">
        <f>IF('A-80 DirEntInv'!#REF!&lt;&gt;"",'A-80 DirEntInv'!#REF!,IF(AK122=summaryref2!B25,summaryref2!H25,IF(Summary!AK122=summaryref2!B39,summaryref2!H39,IF(AK122=summaryref2!B53,summaryref2!H53,IF(AK122=summaryref2!B67,summaryref2!H67,IF(AK122=summaryref2!B81,summaryref2!H81,IF(AK122=summaryref2!B95,summaryref2!H95,IF(AK122=summaryref2!B109,summaryref2!H109,IF(AK122=summaryref2!B123,summaryref2!H123,IF(AK122=summaryref2!B137,summaryref2!H137,IF(AK122=summaryref2!B151,summaryref2!H151,"")))))))))))</f>
        <v>#REF!</v>
      </c>
      <c r="AS122" s="1387" t="e">
        <f>IF('A-80 DirEntInv'!#REF!&lt;&gt;"",'A-80 DirEntInv'!#REF!,IF(AK122=summaryref2!B25,summaryref2!I25,IF(Summary!AK122=summaryref2!B39,summaryref2!I39,IF(AK122=summaryref2!B53,summaryref2!I53,IF(AK122=summaryref2!B67,summaryref2!I67,IF(AK122=summaryref2!B81,summaryref2!I81,IF(AK122=summaryref2!B95,summaryref2!I95,IF(AK122=summaryref2!B109,summaryref2!I109,IF(AK122=summaryref2!B123,summaryref2!I123,IF(AK122=summaryref2!B137,summaryref2!I137,IF(AK122=summaryref2!B151,summaryref2!I151,"")))))))))))</f>
        <v>#REF!</v>
      </c>
      <c r="AT122" s="1387" t="e">
        <f>IF('A-80 DirEntInv'!#REF!&lt;&gt;"",'A-80 DirEntInv'!#REF!,IF(AK122=summaryref2!B25,summaryref2!J25,IF(Summary!AK122=summaryref2!B39,summaryref2!J39,IF(AK122=summaryref2!B53,summaryref2!J53,IF(AK122=summaryref2!B67,summaryref2!J67,IF(AK122=summaryref2!B81,summaryref2!J81,IF(AK122=summaryref2!B95,summaryref2!J95,IF(AK122=summaryref2!B109,summaryref2!J109,IF(AK122=summaryref2!B123,summaryref2!J123,IF(AK122=summaryref2!B137,summaryref2!J137,IF(AK122=summaryref2!B151,summaryref2!J151,"")))))))))))</f>
        <v>#REF!</v>
      </c>
      <c r="AU122" s="1387" t="e">
        <f>IF('A-80 DirEntInv'!#REF!&lt;&gt;"",'A-80 DirEntInv'!#REF!,IF(AK122=summaryref2!B25,summaryref2!K25,IF(Summary!AK122=summaryref2!B39,summaryref2!K39,IF(AK122=summaryref2!B53,summaryref2!K53,IF(AK122=summaryref2!B67,summaryref2!K67,IF(AK122=summaryref2!B81,summaryref2!K81,IF(AK122=summaryref2!B95,summaryref2!K95,IF(AK122=summaryref2!B109,summaryref2!K109,IF(AK122=summaryref2!B123,summaryref2!K123,IF(AK122=summaryref2!B137,summaryref2!K137,IF(AK122=summaryref2!B151,summaryref2!K151,"")))))))))))</f>
        <v>#REF!</v>
      </c>
      <c r="AV122" s="1387" t="e">
        <f>IF('A-80 DirEntInv'!#REF!&lt;&gt;"",'A-80 DirEntInv'!#REF!,IF(AK122=summaryref2!B25,summaryref2!L25,IF(Summary!AK122=summaryref2!B39,summaryref2!L39,IF(AK122=summaryref2!B53,summaryref2!L53,IF(AK122=summaryref2!B67,summaryref2!L67,IF(AK122=summaryref2!B81,summaryref2!L81,IF(AK122=summaryref2!B95,summaryref2!L95,IF(AK122=summaryref2!B109,summaryref2!L109,IF(AK122=summaryref2!B123,summaryref2!L123,IF(AK122=summaryref2!B137,summaryref2!L137,IF(AK122=summaryref2!B151,summaryref2!L151,"")))))))))))</f>
        <v>#REF!</v>
      </c>
      <c r="AW122" s="1387" t="e">
        <f>IF('A-80 DirEntInv'!#REF!&lt;&gt;"",'A-80 DirEntInv'!#REF!,IF(AK122=summaryref2!B25,summaryref2!M25,IF(Summary!AK122=summaryref2!B39,summaryref2!M39,IF(AK122=summaryref2!B53,summaryref2!M53,IF(AK122=summaryref2!B67,summaryref2!M67,IF(AK122=summaryref2!B81,summaryref2!M81,IF(AK122=summaryref2!B95,summaryref2!M95,IF(AK122=summaryref2!B109,summaryref2!M109,IF(AK122=summaryref2!B123,summaryref2!M123,IF(AK122=summaryref2!B137,summaryref2!M137,IF(AK122=summaryref2!B151,summaryref2!M151,"")))))))))))</f>
        <v>#REF!</v>
      </c>
      <c r="AX122" s="1387" t="e">
        <f>IF('A-80 DirEntInv'!#REF!&lt;&gt;"",'A-80 DirEntInv'!#REF!,IF(AK122=summaryref2!B25,summaryref2!N25,IF(Summary!AK122=summaryref2!B39,summaryref2!N39,IF(AK122=summaryref2!B53,summaryref2!N53,IF(AK122=summaryref2!B67,summaryref2!N67,IF(AK122=summaryref2!B81,summaryref2!N81,IF(AK122=summaryref2!B95,summaryref2!N95,IF(AK122=summaryref2!B109,summaryref2!N109,IF(AK122=summaryref2!B123,summaryref2!N123,IF(AK122=summaryref2!B137,summaryref2!N137,IF(AK122=summaryref2!B151,summaryref2!N151,"")))))))))))</f>
        <v>#REF!</v>
      </c>
      <c r="AY122" s="1387" t="e">
        <f>IF('A-80 DirEntInv'!#REF!&lt;&gt;"",'A-80 DirEntInv'!#REF!,IF(AK122=summaryref2!B25,summaryref2!O25,IF(Summary!AK122=summaryref2!B39,summaryref2!O39,IF(AK122=summaryref2!B53,summaryref2!O53,IF(AK122=summaryref2!B67,summaryref2!O67,IF(AK122=summaryref2!B81,summaryref2!O81,IF(AK122=summaryref2!B95,summaryref2!O95,IF(AK122=summaryref2!B109,summaryref2!O109,IF(AK122=summaryref2!B123,summaryref2!O123,IF(AK122=summaryref2!B137,summaryref2!O137,IF(AK122=summaryref2!B151,summaryref2!O151,"")))))))))))</f>
        <v>#REF!</v>
      </c>
      <c r="AZ122" s="1387" t="e">
        <f>IF('A-80 DirEntInv'!#REF!&lt;&gt;"",'A-80 DirEntInv'!#REF!,IF(AK122=summaryref2!B25,summaryref2!P25,IF(Summary!AK122=summaryref2!B39,summaryref2!P39,IF(AK122=summaryref2!B53,summaryref2!P53,IF(AK122=summaryref2!B67,summaryref2!P67,IF(AK122=summaryref2!B81,summaryref2!P81,IF(AK122=summaryref2!B95,summaryref2!P95,IF(AK122=summaryref2!B109,summaryref2!P109,IF(AK122=summaryref2!B123,summaryref2!P123,IF(AK122=summaryref2!B137,summaryref2!P137,IF(AK122=summaryref2!B151,summaryref2!P151,"")))))))))))</f>
        <v>#REF!</v>
      </c>
      <c r="BA122" s="1387" t="e">
        <f>IF('A-80 DirEntInv'!#REF!&lt;&gt;"",'A-80 DirEntInv'!#REF!,IF(AK122=summaryref2!B25,summaryref2!Q25,IF(Summary!AK122=summaryref2!B39,summaryref2!Q39,IF(AK122=summaryref2!B53,summaryref2!Q53,IF(AK122=summaryref2!B67,summaryref2!Q67,IF(AK122=summaryref2!B81,summaryref2!Q81,IF(AK122=summaryref2!B95,summaryref2!Q95,IF(AK122=summaryref2!B109,summaryref2!Q109,IF(AK122=summaryref2!B123,summaryref2!Q123,IF(AK122=summaryref2!B137,summaryref2!Q137,IF(AK122=summaryref2!B151,summaryref2!Q151,"")))))))))))</f>
        <v>#REF!</v>
      </c>
      <c r="BB122" s="1387" t="e">
        <f>IF('A-80 DirEntInv'!#REF!&lt;&gt;"",'A-80 DirEntInv'!#REF!,IF(AK122=summaryref2!B25,summaryref2!R25,IF(Summary!AK122=summaryref2!B39,summaryref2!R39,IF(AK122=summaryref2!B53,summaryref2!R53,IF(AK122=summaryref2!B67,summaryref2!R67,IF(AK122=summaryref2!B81,summaryref2!R81,IF(AK122=summaryref2!B95,summaryref2!R95,IF(AK122=summaryref2!B109,summaryref2!R109,IF(AK122=summaryref2!B123,summaryref2!R123,IF(AK122=summaryref2!B137,summaryref2!R137,IF(AK122=summaryref2!B151,summaryref2!R151,"")))))))))))</f>
        <v>#REF!</v>
      </c>
      <c r="BC122" s="1387" t="e">
        <f>IF('A-80 DirEntInv'!#REF!&lt;&gt;0,'A-80 DirEntInv'!#REF!,IF(AK122=summaryref2!B25,summaryref2!S25,IF(Summary!AK122=summaryref2!B39,summaryref2!S39,IF(AK122=summaryref2!B53,summaryref2!S53,IF(AK122=summaryref2!B67,summaryref2!S67,IF(AK122=summaryref2!B81,summaryref2!S81,IF(AK122=summaryref2!B95,summaryref2!S95,IF(AK122=summaryref2!B109,summaryref2!S109,IF(AK122=summaryref2!B123,summaryref2!S123,IF(AK122=summaryref2!B137,summaryref2!S137,IF(AK122=summaryref2!B151,summaryref2!S151,"")))))))))))</f>
        <v>#REF!</v>
      </c>
      <c r="BD122" s="1118" t="e">
        <f>IF('A-80 DirEntInv'!#REF!&lt;&gt;"",'A-80 DirEntInv'!#REF!,IF(AK122=summaryref2!B25,summaryref2!T25,IF(Summary!AK122=summaryref2!B39,summaryref2!T39,IF(AK122=summaryref2!B53,summaryref2!T53,IF(AK122=summaryref2!B67,summaryref2!T67,IF(AK122=summaryref2!B81,summaryref2!T81,IF(AK122=summaryref2!B95,summaryref2!T95,IF(AK122=summaryref2!B109,summaryref2!T109,IF(AK122=summaryref2!B123,summaryref2!T123,IF(AK122=summaryref2!B137,summaryref2!T137,IF(AK122=summaryref2!B151,summaryref2!T151,"")))))))))))</f>
        <v>#REF!</v>
      </c>
      <c r="BE122" s="1186" t="e">
        <f>IF('A-80 DirEntInv'!#REF!&lt;&gt;"",'A-80 DirEntInv'!#REF!,IF(AK122=summaryref2!B25,summaryref2!U25,IF(Summary!AK122=summaryref2!B39,summaryref2!U39,IF(AK122=summaryref2!B53,summaryref2!U53,IF(AK122=summaryref2!B67,summaryref2!U67,IF(AK122=summaryref2!B81,summaryref2!U81,IF(AK122=summaryref2!B95,summaryref2!U95,IF(AK122=summaryref2!B109,summaryref2!U109,IF(AK122=summaryref2!B123,summaryref2!U123,IF(AK122=summaryref2!B137,summaryref2!U137,IF(AK122=summaryref2!B151,summaryref2!U151,"")))))))))))</f>
        <v>#REF!</v>
      </c>
      <c r="BF122" s="1432"/>
      <c r="BG122" s="1432"/>
      <c r="BJ122" s="1047" t="str">
        <f>Codes!$C$171</f>
        <v>TR - Aerial Tramway (DO)</v>
      </c>
      <c r="BK122" s="1050" t="str">
        <f>Valid!$B$86</f>
        <v>Grade Crossings</v>
      </c>
      <c r="BL122" s="1369" t="e">
        <f>IF('A-80 DirEntInv'!#REF!&lt;&gt;"",'A-80 DirEntInv'!#REF!,IF(BJ122=summaryref2!X18,summaryref2!Z18,IF(BJ122=summaryref2!X25,summaryref2!Z25,IF(BJ122=summaryref2!X32,summaryref2!Z32,IF(BJ122=summaryref2!X39,summaryref2!Z39,IF(BJ122=summaryref2!X46,summaryref2!Z46,IF(BJ122=summaryref2!X53,summaryref2!Z53,IF(BJ122=summaryref2!X60,summaryref2!Z60,IF(BJ122=summaryref2!X67,summaryref2!Z67,IF(BJ122=summaryref2!X74,summaryref2!Z74,IF(BJ122=summaryref2!X81,summaryref2!Z81,"")))))))))))</f>
        <v>#REF!</v>
      </c>
      <c r="BM122" s="1050" t="str">
        <f>VLOOKUP(BK122,Valid!$B$80:$C$86,2,FALSE)</f>
        <v>Each</v>
      </c>
      <c r="BN122" s="1210" t="e">
        <f>IF('A-80 DirEntInv'!#REF!&lt;&gt;"",'A-80 DirEntInv'!#REF!,IF(BJ122=summaryref2!X18,summaryref2!AB18,IF(BJ122=summaryref2!X25,summaryref2!AB25,IF(BJ122=summaryref2!X32,summaryref2!AB32,IF(BJ122=summaryref2!X39,summaryref2!AB39,IF(BJ122=summaryref2!X46,summaryref2!AB46,IF(BJ122=summaryref2!X53,summaryref2!AB53,IF(BJ122=summaryref2!X60,summaryref2!AB60,IF(BJ122=summaryref2!X67,summaryref2!AB67,IF(BJ122=summaryref2!X74,summaryref2!AB74,IF(BJ122=summaryref2!X81,summaryref2!AB81,"")))))))))))</f>
        <v>#REF!</v>
      </c>
      <c r="BO122" s="1117" t="e">
        <f>IF('A-80 DirEntInv'!#REF!&lt;&gt;"",'A-80 DirEntInv'!#REF!,IF(BJ122=summaryref2!X18,summaryref2!AC18,IF(BJ122=summaryref2!X25,summaryref2!AC25,IF(BJ122=summaryref2!X32,summaryref2!AC32,IF(BJ122=summaryref2!X39,summaryref2!AC39,IF(BJ122=summaryref2!X46,summaryref2!AC46,IF(BJ122=summaryref2!X53,summaryref2!AC53,IF(BJ122=summaryref2!X60,summaryref2!AC60,IF(BJ122=summaryref2!X67,summaryref2!AC67,IF(BJ122=summaryref2!X74,summaryref2!AC74,IF(BJ122=summaryref2!X81,summaryref2!AC81,"")))))))))))</f>
        <v>#REF!</v>
      </c>
      <c r="BP122" s="1321" t="e">
        <f>IF('A-80 DirEntInv'!#REF!&lt;&gt;"",'A-80 DirEntInv'!#REF!,IF(BJ122=summaryref2!X18,summaryref2!AD18,IF(BJ122=summaryref2!X25,summaryref2!AD25,IF(BJ122=summaryref2!X32,summaryref2!AD32,IF(BJ122=summaryref2!X39,summaryref2!AD39,IF(BJ122=summaryref2!X46,summaryref2!AD46,IF(BJ122=summaryref2!X53,summaryref2!AD53,IF(BJ122=summaryref2!X60,summaryref2!AD60,IF(BJ122=summaryref2!X67,summaryref2!AD67,IF(BJ122=summaryref2!X74,summaryref2!AD74,IF(BJ122=summaryref2!X81,summaryref2!AD81,"")))))))))))</f>
        <v>#REF!</v>
      </c>
      <c r="BU122" s="962"/>
      <c r="CD122" s="589"/>
      <c r="CE122" s="590"/>
      <c r="CF122" s="590"/>
      <c r="CG122" s="590"/>
      <c r="CH122" s="590"/>
      <c r="CI122" s="590"/>
      <c r="CJ122" s="589"/>
      <c r="CK122" s="589"/>
      <c r="CL122" s="589"/>
      <c r="CM122" s="587"/>
      <c r="CN122" s="587"/>
      <c r="CO122" s="589"/>
      <c r="CP122" s="587"/>
      <c r="CQ122" s="592"/>
      <c r="CR122" s="589"/>
      <c r="CS122" s="592"/>
      <c r="CT122" s="589"/>
      <c r="CU122" s="589"/>
      <c r="CV122" s="589"/>
      <c r="CW122" s="587"/>
      <c r="CX122" s="590"/>
      <c r="CY122" s="590"/>
      <c r="CZ122" s="590"/>
      <c r="DA122" s="1054"/>
      <c r="DB122" s="1054"/>
      <c r="DC122" s="587"/>
      <c r="DD122" s="587"/>
    </row>
    <row r="123" spans="1:108" s="588" customFormat="1" x14ac:dyDescent="0.2">
      <c r="A123" s="589">
        <f t="shared" si="1"/>
        <v>113</v>
      </c>
      <c r="B123" s="587"/>
      <c r="C123" s="587"/>
      <c r="D123" s="587"/>
      <c r="J123" s="589"/>
      <c r="K123" s="590"/>
      <c r="L123" s="591"/>
      <c r="M123" s="592"/>
      <c r="N123" s="589"/>
      <c r="O123" s="587"/>
      <c r="R123" s="1052"/>
      <c r="S123" s="1052"/>
      <c r="T123" s="1052"/>
      <c r="U123" s="1052"/>
      <c r="V123" s="1052"/>
      <c r="W123" s="1053"/>
      <c r="X123" s="1053"/>
      <c r="Y123" s="1053"/>
      <c r="Z123" s="1052"/>
      <c r="AA123" s="1052"/>
      <c r="AB123" s="962"/>
      <c r="AC123" s="590"/>
      <c r="AD123" s="590"/>
      <c r="AE123" s="591"/>
      <c r="AF123" s="592"/>
      <c r="AG123" s="1053"/>
      <c r="AH123" s="587"/>
      <c r="AK123" s="1043" t="str">
        <f>Codes!$C$164</f>
        <v>HR - Heavy Rail (PT)</v>
      </c>
      <c r="AL123" s="1303" t="str">
        <f>Valid!$B$71</f>
        <v>At-Grade/Ballast (including expressway)</v>
      </c>
      <c r="AM123" s="1092" t="e">
        <f>IF('A-80 DirEntInv'!#REF!&lt;&gt;"",'A-80 DirEntInv'!#REF!,IF(AK123=summaryref2!B12,summaryref2!D12,IF(Summary!AK123=summaryref2!B26,summaryref2!D26,IF(AK123=summaryref2!B40,summaryref2!D40,IF(AK123=summaryref2!B54,summaryref2!D54,IF(AK123=summaryref2!B68,summaryref2!D68,IF(AK123=summaryref2!B82,summaryref2!D82,IF(AK123=summaryref2!B96,summaryref2!D96,IF(AK123=summaryref2!B110,summaryref2!D110,IF(AK123=summaryref2!B124,summaryref2!D124,IF(AK123=summaryref2!B138,summaryref2!D138,"")))))))))))</f>
        <v>#REF!</v>
      </c>
      <c r="AN123" s="1127" t="str">
        <f ca="1">IF('A-80 DirEntInv'!AN108&lt;&gt;"",'A-80 DirEntInv'!AN108,IF(INDIRECT(ADDRESS(SumRef!CG122,SumRef!CG$16,,,SumRef!$C$7))="","",INDIRECT(ADDRESS(SumRef!CG122,SumRef!CG$16,,,SumRef!$C$7))))</f>
        <v>Linear Feet</v>
      </c>
      <c r="AO123" s="1092" t="e">
        <f>IF('A-80 DirEntInv'!#REF!&lt;&gt;"",'A-80 DirEntInv'!#REF!,IF(AK123=summaryref2!B12,summaryref2!F12,IF(Summary!AK123=summaryref2!B26,summaryref2!F26,IF(AK123=summaryref2!B40,summaryref2!F40,IF(AK123=summaryref2!B54,summaryref2!F54,IF(AK123=summaryref2!B68,summaryref2!F68,IF(AK123=summaryref2!B82,summaryref2!F82,IF(AK123=summaryref2!B96,summaryref2!F96,IF(AK123=summaryref2!B110,summaryref2!F110,IF(AK123=summaryref2!B124,summaryref2!F124,IF(AK123=summaryref2!B138,summaryref2!F138,"")))))))))))</f>
        <v>#REF!</v>
      </c>
      <c r="AP123" s="1127" t="str">
        <f ca="1">IF('A-80 DirEntInv'!AP108&lt;&gt;"",'A-80 DirEntInv'!AP108,IF(INDIRECT(ADDRESS(SumRef!#REF!,SumRef!#REF!,,,SumRef!$C$7))="","",INDIRECT(ADDRESS(SumRef!#REF!,SumRef!#REF!,,,SumRef!$C$7))))</f>
        <v>Track Feet</v>
      </c>
      <c r="AQ123" s="1146" t="e">
        <f>IF('A-80 DirEntInv'!#REF!&lt;&gt;"",'A-80 DirEntInv'!#REF!,IF(AK123=summaryref2!B12,summaryref2!G12,IF(Summary!AK123=summaryref2!B26,summaryref2!G26,IF(AK123=summaryref2!B40,summaryref2!G40,IF(AK123=summaryref2!B54,summaryref2!G54,IF(AK123=summaryref2!B68,summaryref2!G68,IF(AK123=summaryref2!B82,summaryref2!G82,IF(AK123=summaryref2!B96,summaryref2!G96,IF(AK123=summaryref2!B110,summaryref2!G110,IF(AK123=summaryref2!B124,summaryref2!G124,IF(AK123=summaryref2!B138,summaryref2!G138,"")))))))))))</f>
        <v>#REF!</v>
      </c>
      <c r="AR123" s="1146" t="e">
        <f>IF('A-80 DirEntInv'!#REF!&lt;&gt;"",'A-80 DirEntInv'!#REF!,IF(AK123=summaryref2!B12,summaryref2!H12,IF(Summary!AK123=summaryref2!B26,summaryref2!H26,IF(AK123=summaryref2!B40,summaryref2!H40,IF(AK123=summaryref2!B54,summaryref2!H54,IF(AK123=summaryref2!B68,summaryref2!H68,IF(AK123=summaryref2!B82,summaryref2!H82,IF(AK123=summaryref2!B96,summaryref2!H96,IF(AK123=summaryref2!B110,summaryref2!H110,IF(AK123=summaryref2!B124,summaryref2!H124,IF(AK123=summaryref2!B138,summaryref2!H138,"")))))))))))</f>
        <v>#REF!</v>
      </c>
      <c r="AS123" s="1092" t="e">
        <f>IF('A-80 DirEntInv'!#REF!&lt;&gt;"",'A-80 DirEntInv'!#REF!,IF(AK123=summaryref2!B12,summaryref2!I12,IF(Summary!AK123=summaryref2!B26,summaryref2!I26,IF(AK123=summaryref2!B40,summaryref2!I40,IF(AK123=summaryref2!B54,summaryref2!I54,IF(AK123=summaryref2!B68,summaryref2!I68,IF(AK123=summaryref2!B82,summaryref2!I82,IF(AK123=summaryref2!B96,summaryref2!I96,IF(AK123=summaryref2!B110,summaryref2!I110,IF(AK123=summaryref2!B124,summaryref2!I124,IF(AK123=summaryref2!B138,summaryref2!I138,"")))))))))))</f>
        <v>#REF!</v>
      </c>
      <c r="AT123" s="1092" t="e">
        <f>IF('A-80 DirEntInv'!#REF!&lt;&gt;"",'A-80 DirEntInv'!#REF!,IF(AK123=summaryref2!B12,summaryref2!J12,IF(Summary!AK123=summaryref2!B26,summaryref2!J26,IF(AK123=summaryref2!B40,summaryref2!J40,IF(AK123=summaryref2!B54,summaryref2!J54,IF(AK123=summaryref2!B68,summaryref2!J68,IF(AK123=summaryref2!B82,summaryref2!J82,IF(AK123=summaryref2!B96,summaryref2!J96,IF(AK123=summaryref2!B110,summaryref2!J110,IF(AK123=summaryref2!B124,summaryref2!J124,IF(AK123=summaryref2!B138,summaryref2!J138,"")))))))))))</f>
        <v>#REF!</v>
      </c>
      <c r="AU123" s="1092" t="e">
        <f>IF('A-80 DirEntInv'!#REF!&lt;&gt;"",'A-80 DirEntInv'!#REF!,IF(AK123=summaryref2!B12,summaryref2!K12,IF(Summary!AK123=summaryref2!B26,summaryref2!K26,IF(AK123=summaryref2!B40,summaryref2!K40,IF(AK123=summaryref2!B54,summaryref2!K54,IF(AK123=summaryref2!B68,summaryref2!K68,IF(AK123=summaryref2!B82,summaryref2!K82,IF(AK123=summaryref2!B96,summaryref2!K96,IF(AK123=summaryref2!B110,summaryref2!K110,IF(AK123=summaryref2!B124,summaryref2!K124,IF(AK123=summaryref2!B138,summaryref2!K138,"")))))))))))</f>
        <v>#REF!</v>
      </c>
      <c r="AV123" s="1092" t="e">
        <f>IF('A-80 DirEntInv'!#REF!&lt;&gt;"",'A-80 DirEntInv'!#REF!,IF(AK123=summaryref2!B12,summaryref2!L12,IF(Summary!AK123=summaryref2!B26,summaryref2!L26,IF(AK123=summaryref2!B40,summaryref2!L40,IF(AK123=summaryref2!B54,summaryref2!L54,IF(AK123=summaryref2!B68,summaryref2!L68,IF(AK123=summaryref2!B82,summaryref2!L82,IF(AK123=summaryref2!B96,summaryref2!L96,IF(AK123=summaryref2!B110,summaryref2!L110,IF(AK123=summaryref2!B124,summaryref2!L124,IF(AK123=summaryref2!B138,summaryref2!L138,"")))))))))))</f>
        <v>#REF!</v>
      </c>
      <c r="AW123" s="1092" t="e">
        <f>IF('A-80 DirEntInv'!#REF!&lt;&gt;"",'A-80 DirEntInv'!#REF!,IF($AK123=summaryref2!$B$12,summaryref2!M$12,IF(Summary!$AK123=summaryref2!$B$26,summaryref2!M$26,IF($AK123=summaryref2!$B$40,summaryref2!M$40,IF($AK123=summaryref2!$B$54,summaryref2!M$54,IF($AK123=summaryref2!$B$68,summaryref2!M$68,IF($AK123=summaryref2!$B$82,summaryref2!M$82,IF($AK123=summaryref2!$B$96,summaryref2!M$96,IF($AK123=summaryref2!$B$110,summaryref2!M$110,IF($AK123=summaryref2!$B$124,summaryref2!M$124,IF($AK123=summaryref2!$B$138,summaryref2!M$138,"")))))))))))</f>
        <v>#REF!</v>
      </c>
      <c r="AX123" s="1092" t="e">
        <f>IF('A-80 DirEntInv'!#REF!&lt;&gt;"",'A-80 DirEntInv'!#REF!,IF(AK123=summaryref2!B12,summaryref2!N12,IF(Summary!AK123=summaryref2!B26,summaryref2!N26,IF(AK123=summaryref2!B40,summaryref2!N40,IF(AK123=summaryref2!B54,summaryref2!N54,IF(AK123=summaryref2!B68,summaryref2!N68,IF(AK123=summaryref2!B82,summaryref2!N82,IF(AK123=summaryref2!B96,summaryref2!N96,IF(AK123=summaryref2!B110,summaryref2!N110,IF(AK123=summaryref2!B124,summaryref2!N124,IF(AK123=summaryref2!B138,summaryref2!N138,"")))))))))))</f>
        <v>#REF!</v>
      </c>
      <c r="AY123" s="1092" t="e">
        <f>IF('A-80 DirEntInv'!#REF!&lt;&gt;"",'A-80 DirEntInv'!#REF!,IF(AK123=summaryref2!B12,summaryref2!O12,IF(Summary!AK123=summaryref2!B26,summaryref2!O26,IF(AK123=summaryref2!B40,summaryref2!O40,IF(AK123=summaryref2!B54,summaryref2!O54,IF(AK123=summaryref2!B68,summaryref2!O68,IF(AK123=summaryref2!B82,summaryref2!O82,IF(AK123=summaryref2!B96,summaryref2!O96,IF(AK123=summaryref2!B110,summaryref2!O110,IF(AK123=summaryref2!B124,summaryref2!O124,IF(AK123=summaryref2!B138,summaryref2!O138,"")))))))))))</f>
        <v>#REF!</v>
      </c>
      <c r="AZ123" s="1092" t="e">
        <f>IF('A-80 DirEntInv'!#REF!&lt;&gt;"",'A-80 DirEntInv'!#REF!,IF(AK123=summaryref2!B12,summaryref2!P12,IF(Summary!AK123=summaryref2!B26,summaryref2!P26,IF(AK123=summaryref2!B40,summaryref2!P40,IF(AK123=summaryref2!B54,summaryref2!P54,IF(AK123=summaryref2!B68,summaryref2!P68,IF(AK123=summaryref2!B82,summaryref2!P82,IF(AK123=summaryref2!B96,summaryref2!P96,IF(AK123=summaryref2!B110,summaryref2!P110,IF(AK123=summaryref2!B124,summaryref2!P124,IF(AK123=summaryref2!B138,summaryref2!P138,"")))))))))))</f>
        <v>#REF!</v>
      </c>
      <c r="BA123" s="1092" t="e">
        <f>IF('A-80 DirEntInv'!#REF!&lt;&gt;"",'A-80 DirEntInv'!#REF!,IF(AK123=summaryref2!B12,summaryref2!Q12,IF(Summary!AK123=summaryref2!B26,summaryref2!Q26,IF(AK123=summaryref2!B40,summaryref2!Q40,IF(AK123=summaryref2!B54,summaryref2!Q54,IF(AK123=summaryref2!B68,summaryref2!Q68,IF(AK123=summaryref2!B82,summaryref2!Q82,IF(AK123=summaryref2!B96,summaryref2!Q96,IF(AK123=summaryref2!B110,summaryref2!Q110,IF(AK123=summaryref2!B124,summaryref2!Q124,IF(AK123=summaryref2!B138,summaryref2!Q138,"")))))))))))</f>
        <v>#REF!</v>
      </c>
      <c r="BB123" s="1092" t="e">
        <f>IF('A-80 DirEntInv'!#REF!&lt;&gt;"",'A-80 DirEntInv'!#REF!,IF(AK123=summaryref2!B12,summaryref2!R12,IF(Summary!AK123=summaryref2!B26,summaryref2!R26,IF(AK123=summaryref2!B40,summaryref2!R40,IF(AK123=summaryref2!B54,summaryref2!R54,IF(AK123=summaryref2!B68,summaryref2!R68,IF(AK123=summaryref2!B82,summaryref2!R82,IF(AK123=summaryref2!B96,summaryref2!R96,IF(AK123=summaryref2!B110,summaryref2!R110,IF(AK123=summaryref2!B124,summaryref2!R124,IF(AK123=summaryref2!B138,summaryref2!R138,"")))))))))))</f>
        <v>#REF!</v>
      </c>
      <c r="BC123" s="1092" t="e">
        <f>IF('A-80 DirEntInv'!#REF!&lt;&gt;0,'A-80 DirEntInv'!#REF!,IF(AK123=summaryref2!B12,summaryref2!S12,IF(Summary!AK123=summaryref2!B26,summaryref2!S26,IF(AK123=summaryref2!B40,summaryref2!S40,IF(AK123=summaryref2!B54,summaryref2!S54,IF(AK123=summaryref2!B68,summaryref2!S68,IF(AK123=summaryref2!B82,summaryref2!S82,IF(AK123=summaryref2!B96,summaryref2!S96,IF(AK123=summaryref2!B110,summaryref2!S110,IF(AK123=summaryref2!B124,summaryref2!S124,IF(AK123=summaryref2!B138,summaryref2!S138,"")))))))))))</f>
        <v>#REF!</v>
      </c>
      <c r="BD123" s="1093" t="e">
        <f>IF('A-80 DirEntInv'!#REF!&lt;&gt;"",'A-80 DirEntInv'!#REF!,IF(AK123=summaryref2!B12,summaryref2!T12,IF(Summary!AK123=summaryref2!B26,summaryref2!T26,IF(AK123=summaryref2!B40,summaryref2!T40,IF(AK123=summaryref2!B54,summaryref2!T54,IF(AK123=summaryref2!B68,summaryref2!T68,IF(AK123=summaryref2!B82,summaryref2!T82,IF(AK123=summaryref2!B96,summaryref2!T96,IF(AK123=summaryref2!B110,summaryref2!T110,IF(AK123=summaryref2!B124,summaryref2!T124,IF(AK123=summaryref2!B138,summaryref2!T138,"")))))))))))</f>
        <v>#REF!</v>
      </c>
      <c r="BE123" s="1189" t="e">
        <f>IF('A-80 DirEntInv'!#REF!&lt;&gt;"",'A-80 DirEntInv'!#REF!,IF(AK123=summaryref2!B12,summaryref2!U12,IF(Summary!AK123=summaryref2!B26,summaryref2!U26,IF(AK123=summaryref2!B40,summaryref2!U40,IF(AK123=summaryref2!B54,summaryref2!U54,IF(AK123=summaryref2!B68,summaryref2!U68,IF(AK123=summaryref2!B82,summaryref2!U82,IF(AK123=summaryref2!B96,summaryref2!U96,IF(AK123=summaryref2!B110,summaryref2!U110,IF(AK123=summaryref2!B124,summaryref2!U124,IF(AK123=summaryref2!B138,summaryref2!U138,"")))))))))))</f>
        <v>#REF!</v>
      </c>
      <c r="BF123" s="1431"/>
      <c r="BG123" s="1431"/>
      <c r="BJ123" s="1043" t="str">
        <f>Codes!$C$172</f>
        <v>TR - Aerial Tramway (PT)</v>
      </c>
      <c r="BK123" s="1303" t="str">
        <f>Valid!$B$80</f>
        <v>Tangent</v>
      </c>
      <c r="BL123" s="1366" t="e">
        <f>IF('A-80 DirEntInv'!#REF!&lt;&gt;"",'A-80 DirEntInv'!#REF!,IF(BJ123=summaryref2!X12,summaryref2!Z12,IF(BJ123=summaryref2!X19,summaryref2!Z19,IF(BJ123=summaryref2!X26,summaryref2!Z26,IF(BJ123=summaryref2!X33,summaryref2!Z33,IF(BJ123=summaryref2!X40,summaryref2!Z40,IF(BJ123=summaryref2!X47,summaryref2!Z47,IF(BJ123=summaryref2!X54,summaryref2!Z54,IF(BJ123=summaryref2!X61,summaryref2!Z61,IF(BJ123=summaryref2!X68,summaryref2!Z68,IF(BJ123=summaryref2!X75,summaryref2!Z75,"")))))))))))</f>
        <v>#REF!</v>
      </c>
      <c r="BM123" s="1303" t="str">
        <f>VLOOKUP(BK123,Valid!$B$80:$C$86,2,FALSE)</f>
        <v>Track Feet</v>
      </c>
      <c r="BN123" s="1208" t="e">
        <f>IF('A-80 DirEntInv'!#REF!&lt;&gt;"",'A-80 DirEntInv'!#REF!,IF(BJ123=summaryref2!X12,summaryref2!AB12,IF(BJ123=summaryref2!X19,summaryref2!AB19,IF(BJ123=summaryref2!X26,summaryref2!AB26,IF(BJ123=summaryref2!X33,summaryref2!AB33,IF(BJ123=summaryref2!X40,summaryref2!AB40,IF(BJ123=summaryref2!X47,summaryref2!AB47,IF(BJ123=summaryref2!X54,summaryref2!AB54,IF(BJ123=summaryref2!X61,summaryref2!AB61,IF(BJ123=summaryref2!X68,summaryref2!AB68,IF(BJ123=summaryref2!X75,summaryref2!AB75,"")))))))))))</f>
        <v>#REF!</v>
      </c>
      <c r="BO123" s="1112" t="e">
        <f>IF('A-80 DirEntInv'!#REF!&lt;&gt;"",'A-80 DirEntInv'!#REF!,IF(BJ123=summaryref2!X12,summaryref2!AC12,IF(BJ123=summaryref2!X19,summaryref2!AC19,IF(BJ123=summaryref2!X26,summaryref2!AC26,IF(BJ123=summaryref2!X33,summaryref2!AC33,IF(BJ123=summaryref2!X40,summaryref2!AC40,IF(BJ123=summaryref2!X47,summaryref2!AC47,IF(BJ123=summaryref2!X54,summaryref2!AC54,IF(BJ123=summaryref2!X61,summaryref2!AC61,IF(BJ123=summaryref2!X68,summaryref2!AC68,IF(BJ123=summaryref2!X75,summaryref2!AC75,"")))))))))))</f>
        <v>#REF!</v>
      </c>
      <c r="BP123" s="1320" t="e">
        <f>IF('A-80 DirEntInv'!#REF!&lt;&gt;"",'A-80 DirEntInv'!#REF!,IF(BJ123=summaryref2!X12,summaryref2!AD12,IF(BJ123=summaryref2!X19,summaryref2!AD19,IF(BJ123=summaryref2!X26,summaryref2!AD26,IF(BJ123=summaryref2!X33,summaryref2!AD33,IF(BJ123=summaryref2!X40,summaryref2!AD40,IF(BJ123=summaryref2!X47,summaryref2!AD47,IF(BJ123=summaryref2!X54,summaryref2!AD54,IF(BJ123=summaryref2!X61,summaryref2!AD61,IF(BJ123=summaryref2!X68,summaryref2!AD68,IF(BJ123=summaryref2!X75,summaryref2!AD75,"")))))))))))</f>
        <v>#REF!</v>
      </c>
      <c r="BU123" s="962"/>
      <c r="CD123" s="589"/>
      <c r="CE123" s="590"/>
      <c r="CF123" s="590"/>
      <c r="CG123" s="590"/>
      <c r="CH123" s="590"/>
      <c r="CI123" s="590"/>
      <c r="CJ123" s="589"/>
      <c r="CK123" s="589"/>
      <c r="CL123" s="589"/>
      <c r="CM123" s="587"/>
      <c r="CN123" s="587"/>
      <c r="CO123" s="589"/>
      <c r="CP123" s="587"/>
      <c r="CQ123" s="592"/>
      <c r="CR123" s="589"/>
      <c r="CS123" s="592"/>
      <c r="CT123" s="589"/>
      <c r="CU123" s="589"/>
      <c r="CV123" s="589"/>
      <c r="CW123" s="587"/>
      <c r="CX123" s="590"/>
      <c r="CY123" s="590"/>
      <c r="CZ123" s="590"/>
      <c r="DA123" s="1054"/>
      <c r="DB123" s="1054"/>
      <c r="DC123" s="587"/>
      <c r="DD123" s="587"/>
    </row>
    <row r="124" spans="1:108" s="588" customFormat="1" ht="13.5" thickBot="1" x14ac:dyDescent="0.25">
      <c r="A124" s="589">
        <f t="shared" si="1"/>
        <v>114</v>
      </c>
      <c r="B124" s="587"/>
      <c r="C124" s="587"/>
      <c r="D124" s="587"/>
      <c r="J124" s="589"/>
      <c r="K124" s="590"/>
      <c r="L124" s="591"/>
      <c r="M124" s="592"/>
      <c r="N124" s="589"/>
      <c r="O124" s="587"/>
      <c r="R124" s="1052"/>
      <c r="S124" s="1052"/>
      <c r="T124" s="1052"/>
      <c r="U124" s="1052"/>
      <c r="V124" s="1052"/>
      <c r="W124" s="1053"/>
      <c r="X124" s="1053"/>
      <c r="Y124" s="1053"/>
      <c r="Z124" s="1052"/>
      <c r="AA124" s="1052"/>
      <c r="AB124" s="962"/>
      <c r="AC124" s="590"/>
      <c r="AD124" s="590"/>
      <c r="AE124" s="591"/>
      <c r="AF124" s="592"/>
      <c r="AG124" s="1053"/>
      <c r="AH124" s="587"/>
      <c r="AK124" s="1041" t="str">
        <f>Codes!$C$164</f>
        <v>HR - Heavy Rail (PT)</v>
      </c>
      <c r="AL124" s="1042" t="str">
        <f>Valid!$B$72</f>
        <v>At-Grade/In-Street/Embedded</v>
      </c>
      <c r="AM124" s="1108" t="e">
        <f>IF('A-80 DirEntInv'!#REF!&lt;&gt;"",'A-80 DirEntInv'!#REF!,IF(AK124=summaryref2!B13,summaryref2!D13,IF(Summary!AK124=summaryref2!B27,summaryref2!D27,IF(AK124=summaryref2!B41,summaryref2!D41,IF(AK124=summaryref2!B55,summaryref2!D55,IF(AK124=summaryref2!B69,summaryref2!D69,IF(AK124=summaryref2!B83,summaryref2!D83,IF(AK124=summaryref2!B97,summaryref2!D97,IF(AK124=summaryref2!B111,summaryref2!D111,IF(AK124=summaryref2!B125,summaryref2!D125,IF(AK124=summaryref2!B139,summaryref2!D139,"")))))))))))</f>
        <v>#REF!</v>
      </c>
      <c r="AN124" s="1109" t="str">
        <f ca="1">IF('A-80 DirEntInv'!AN109&lt;&gt;"",'A-80 DirEntInv'!AN109,IF(INDIRECT(ADDRESS(SumRef!CG159,SumRef!CG$16,,,SumRef!$C$7))="","",INDIRECT(ADDRESS(SumRef!CG159,SumRef!CG$16,,,SumRef!$C$7))))</f>
        <v>Linear Feet</v>
      </c>
      <c r="AO124" s="1108" t="e">
        <f>IF('A-80 DirEntInv'!#REF!&lt;&gt;"",'A-80 DirEntInv'!#REF!,IF(AK124=summaryref2!B13,summaryref2!F13,IF(Summary!AK124=summaryref2!B27,summaryref2!F27,IF(AK124=summaryref2!B41,summaryref2!F41,IF(AK124=summaryref2!B55,summaryref2!F55,IF(AK124=summaryref2!B69,summaryref2!F69,IF(AK124=summaryref2!B83,summaryref2!F83,IF(AK124=summaryref2!B97,summaryref2!F97,IF(AK124=summaryref2!B111,summaryref2!F111,IF(AK124=summaryref2!B125,summaryref2!F125,IF(AK124=summaryref2!B139,summaryref2!F139,"")))))))))))</f>
        <v>#REF!</v>
      </c>
      <c r="AP124" s="1109" t="str">
        <f ca="1">IF('A-80 DirEntInv'!AP109&lt;&gt;"",'A-80 DirEntInv'!AP109,IF(INDIRECT(ADDRESS(SumRef!#REF!,SumRef!#REF!,,,SumRef!$C$7))="","",INDIRECT(ADDRESS(SumRef!#REF!,SumRef!#REF!,,,SumRef!$C$7))))</f>
        <v>Track Feet</v>
      </c>
      <c r="AQ124" s="1147" t="e">
        <f>IF('A-80 DirEntInv'!#REF!&lt;&gt;"",'A-80 DirEntInv'!#REF!,IF(AK124=summaryref2!B13,summaryref2!G13,IF(Summary!AK124=summaryref2!B27,summaryref2!G27,IF(AK124=summaryref2!B41,summaryref2!G41,IF(AK124=summaryref2!B55,summaryref2!G55,IF(AK124=summaryref2!B69,summaryref2!G69,IF(AK124=summaryref2!B83,summaryref2!G83,IF(AK124=summaryref2!B97,summaryref2!G97,IF(AK124=summaryref2!B111,summaryref2!G111,IF(AK124=summaryref2!B125,summaryref2!G125,IF(AK124=summaryref2!B139,summaryref2!G139,"")))))))))))</f>
        <v>#REF!</v>
      </c>
      <c r="AR124" s="1147" t="e">
        <f>IF('A-80 DirEntInv'!#REF!&lt;&gt;"",'A-80 DirEntInv'!#REF!,IF(AK124=summaryref2!B13,summaryref2!H13,IF(Summary!AK124=summaryref2!B27,summaryref2!H27,IF(AK124=summaryref2!B41,summaryref2!H41,IF(AK124=summaryref2!B55,summaryref2!H55,IF(AK124=summaryref2!B69,summaryref2!H69,IF(AK124=summaryref2!B83,summaryref2!H83,IF(AK124=summaryref2!B97,summaryref2!H97,IF(AK124=summaryref2!B111,summaryref2!H111,IF(AK124=summaryref2!B125,summaryref2!H125,IF(AK124=summaryref2!B139,summaryref2!H139,"")))))))))))</f>
        <v>#REF!</v>
      </c>
      <c r="AS124" s="1110" t="e">
        <f>IF('A-80 DirEntInv'!#REF!&lt;&gt;"",'A-80 DirEntInv'!#REF!,IF(AK124=summaryref2!B13,summaryref2!I13,IF(Summary!AK124=summaryref2!B27,summaryref2!I27,IF(AK124=summaryref2!B41,summaryref2!I41,IF(AK124=summaryref2!B55,summaryref2!I55,IF(AK124=summaryref2!B69,summaryref2!I69,IF(AK124=summaryref2!B83,summaryref2!I83,IF(AK124=summaryref2!B97,summaryref2!I97,IF(AK124=summaryref2!B111,summaryref2!I111,IF(AK124=summaryref2!B125,summaryref2!I125,IF(AK124=summaryref2!B139,summaryref2!I139,"")))))))))))</f>
        <v>#REF!</v>
      </c>
      <c r="AT124" s="1110" t="e">
        <f>IF('A-80 DirEntInv'!#REF!&lt;&gt;"",'A-80 DirEntInv'!#REF!,IF(AK124=summaryref2!B13,summaryref2!J13,IF(Summary!AK124=summaryref2!B27,summaryref2!J27,IF(AK124=summaryref2!B41,summaryref2!J41,IF(AK124=summaryref2!B55,summaryref2!J55,IF(AK124=summaryref2!B69,summaryref2!J69,IF(AK124=summaryref2!B83,summaryref2!J83,IF(AK124=summaryref2!B97,summaryref2!J97,IF(AK124=summaryref2!B111,summaryref2!J111,IF(AK124=summaryref2!B125,summaryref2!J125,IF(AK124=summaryref2!B139,summaryref2!J139,"")))))))))))</f>
        <v>#REF!</v>
      </c>
      <c r="AU124" s="1110" t="e">
        <f>IF('A-80 DirEntInv'!#REF!&lt;&gt;"",'A-80 DirEntInv'!#REF!,IF(AK124=summaryref2!B13,summaryref2!K13,IF(Summary!AK124=summaryref2!B27,summaryref2!K27,IF(AK124=summaryref2!B41,summaryref2!K41,IF(AK124=summaryref2!B55,summaryref2!K55,IF(AK124=summaryref2!B69,summaryref2!K69,IF(AK124=summaryref2!B83,summaryref2!K83,IF(AK124=summaryref2!B97,summaryref2!K97,IF(AK124=summaryref2!B111,summaryref2!K111,IF(AK124=summaryref2!B125,summaryref2!K125,IF(AK124=summaryref2!B139,summaryref2!K139,"")))))))))))</f>
        <v>#REF!</v>
      </c>
      <c r="AV124" s="1110" t="e">
        <f>IF('A-80 DirEntInv'!#REF!&lt;&gt;"",'A-80 DirEntInv'!#REF!,IF(AK124=summaryref2!B13,summaryref2!L13,IF(Summary!AK124=summaryref2!B27,summaryref2!L27,IF(AK124=summaryref2!B41,summaryref2!L41,IF(AK124=summaryref2!B55,summaryref2!L55,IF(AK124=summaryref2!B69,summaryref2!L69,IF(AK124=summaryref2!B83,summaryref2!L83,IF(AK124=summaryref2!B97,summaryref2!L97,IF(AK124=summaryref2!B111,summaryref2!L111,IF(AK124=summaryref2!B125,summaryref2!L125,IF(AK124=summaryref2!B139,summaryref2!L139,"")))))))))))</f>
        <v>#REF!</v>
      </c>
      <c r="AW124" s="1110" t="e">
        <f>IF('A-80 DirEntInv'!#REF!&lt;&gt;"",'A-80 DirEntInv'!#REF!,IF(AK124=summaryref2!B13,summaryref2!M13,IF(Summary!AK124=summaryref2!B27,summaryref2!M27,IF(AK124=summaryref2!B41,summaryref2!M41,IF(AK124=summaryref2!B55,summaryref2!M55,IF(AK124=summaryref2!B69,summaryref2!M69,IF(AK124=summaryref2!B83,summaryref2!M83,IF(AK124=summaryref2!B97,summaryref2!M97,IF(AK124=summaryref2!B111,summaryref2!M111,IF(AK124=summaryref2!B125,summaryref2!M125,IF(AK124=summaryref2!B139,summaryref2!M139,"")))))))))))</f>
        <v>#REF!</v>
      </c>
      <c r="AX124" s="1110" t="e">
        <f>IF('A-80 DirEntInv'!#REF!&lt;&gt;"",'A-80 DirEntInv'!#REF!,IF(AK124=summaryref2!B13,summaryref2!N13,IF(Summary!AK124=summaryref2!B27,summaryref2!N27,IF(AK124=summaryref2!B41,summaryref2!N41,IF(AK124=summaryref2!B55,summaryref2!N55,IF(AK124=summaryref2!B69,summaryref2!N69,IF(AK124=summaryref2!B83,summaryref2!N83,IF(AK124=summaryref2!B97,summaryref2!N97,IF(AK124=summaryref2!B111,summaryref2!N111,IF(AK124=summaryref2!B125,summaryref2!N125,IF(AK124=summaryref2!B139,summaryref2!N139,"")))))))))))</f>
        <v>#REF!</v>
      </c>
      <c r="AY124" s="1110" t="e">
        <f>IF('A-80 DirEntInv'!#REF!&lt;&gt;"",'A-80 DirEntInv'!#REF!,IF(AK124=summaryref2!B13,summaryref2!O13,IF(Summary!AK124=summaryref2!B27,summaryref2!O27,IF(AK124=summaryref2!B41,summaryref2!O41,IF(AK124=summaryref2!B55,summaryref2!O55,IF(AK124=summaryref2!B69,summaryref2!O69,IF(AK124=summaryref2!B83,summaryref2!O83,IF(AK124=summaryref2!B97,summaryref2!O97,IF(AK124=summaryref2!B111,summaryref2!O111,IF(AK124=summaryref2!B125,summaryref2!O125,IF(AK124=summaryref2!B139,summaryref2!O139,"")))))))))))</f>
        <v>#REF!</v>
      </c>
      <c r="AZ124" s="1110" t="e">
        <f>IF('A-80 DirEntInv'!#REF!&lt;&gt;"",'A-80 DirEntInv'!#REF!,IF(AK124=summaryref2!B13,summaryref2!P13,IF(Summary!AK124=summaryref2!B27,summaryref2!P27,IF(AK124=summaryref2!B41,summaryref2!P41,IF(AK124=summaryref2!B55,summaryref2!P55,IF(AK124=summaryref2!B69,summaryref2!P69,IF(AK124=summaryref2!B83,summaryref2!P83,IF(AK124=summaryref2!B97,summaryref2!P97,IF(AK124=summaryref2!B111,summaryref2!P111,IF(AK124=summaryref2!B125,summaryref2!P125,IF(AK124=summaryref2!B139,summaryref2!P139,"")))))))))))</f>
        <v>#REF!</v>
      </c>
      <c r="BA124" s="1110" t="e">
        <f>IF('A-80 DirEntInv'!#REF!&lt;&gt;"",'A-80 DirEntInv'!#REF!,IF(AK124=summaryref2!B13,summaryref2!Q13,IF(Summary!AK124=summaryref2!B27,summaryref2!Q27,IF(AK124=summaryref2!B41,summaryref2!Q41,IF(AK124=summaryref2!B55,summaryref2!Q55,IF(AK124=summaryref2!B69,summaryref2!Q69,IF(AK124=summaryref2!B83,summaryref2!Q83,IF(AK124=summaryref2!B97,summaryref2!Q97,IF(AK124=summaryref2!B111,summaryref2!Q111,IF(AK124=summaryref2!B125,summaryref2!Q125,IF(AK124=summaryref2!B139,summaryref2!Q139,"")))))))))))</f>
        <v>#REF!</v>
      </c>
      <c r="BB124" s="1110" t="e">
        <f>IF('A-80 DirEntInv'!#REF!&lt;&gt;"",'A-80 DirEntInv'!#REF!,IF(AK124=summaryref2!B13,summaryref2!R13,IF(Summary!AK124=summaryref2!B27,summaryref2!R27,IF(AK124=summaryref2!B41,summaryref2!R41,IF(AK124=summaryref2!B55,summaryref2!R55,IF(AK124=summaryref2!B69,summaryref2!R69,IF(AK124=summaryref2!B83,summaryref2!R83,IF(AK124=summaryref2!B97,summaryref2!R97,IF(AK124=summaryref2!B111,summaryref2!R111,IF(AK124=summaryref2!B125,summaryref2!R125,IF(AK124=summaryref2!B139,summaryref2!R139,"")))))))))))</f>
        <v>#REF!</v>
      </c>
      <c r="BC124" s="1110" t="e">
        <f>IF('A-80 DirEntInv'!#REF!&lt;&gt;0,'A-80 DirEntInv'!#REF!,IF(AK124=summaryref2!B13,summaryref2!S13,IF(Summary!AK124=summaryref2!B27,summaryref2!S27,IF(AK124=summaryref2!B41,summaryref2!S41,IF(AK124=summaryref2!B55,summaryref2!S55,IF(AK124=summaryref2!B69,summaryref2!S69,IF(AK124=summaryref2!B83,summaryref2!S83,IF(AK124=summaryref2!B97,summaryref2!S97,IF(AK124=summaryref2!B111,summaryref2!S111,IF(AK124=summaryref2!B125,summaryref2!S125,IF(AK124=summaryref2!B139,summaryref2!S139,"")))))))))))</f>
        <v>#REF!</v>
      </c>
      <c r="BD124" s="1111" t="e">
        <f>IF('A-80 DirEntInv'!#REF!&lt;&gt;"",'A-80 DirEntInv'!#REF!,IF(AK124=summaryref2!B13,summaryref2!T13,IF(Summary!AK124=summaryref2!B27,summaryref2!T27,IF(AK124=summaryref2!B41,summaryref2!T41,IF(AK124=summaryref2!B55,summaryref2!T55,IF(AK124=summaryref2!B69,summaryref2!T69,IF(AK124=summaryref2!B83,summaryref2!T83,IF(AK124=summaryref2!B97,summaryref2!T97,IF(AK124=summaryref2!B111,summaryref2!T111,IF(AK124=summaryref2!B125,summaryref2!T125,IF(AK124=summaryref2!B139,summaryref2!T139,"")))))))))))</f>
        <v>#REF!</v>
      </c>
      <c r="BE124" s="1184" t="e">
        <f>IF('A-80 DirEntInv'!#REF!&lt;&gt;"",'A-80 DirEntInv'!#REF!,IF(AK124=summaryref2!B13,summaryref2!U13,IF(Summary!AK124=summaryref2!B27,summaryref2!U27,IF(AK124=summaryref2!B41,summaryref2!U41,IF(AK124=summaryref2!B55,summaryref2!U55,IF(AK124=summaryref2!B69,summaryref2!U69,IF(AK124=summaryref2!B83,summaryref2!U83,IF(AK124=summaryref2!B97,summaryref2!U97,IF(AK124=summaryref2!B111,summaryref2!U111,IF(AK124=summaryref2!B125,summaryref2!U125,IF(AK124=summaryref2!B139,summaryref2!U139,"")))))))))))</f>
        <v>#REF!</v>
      </c>
      <c r="BF124" s="1432"/>
      <c r="BG124" s="1432"/>
      <c r="BJ124" s="1048" t="str">
        <f>Codes!$C$172</f>
        <v>TR - Aerial Tramway (PT)</v>
      </c>
      <c r="BK124" s="1049" t="str">
        <f>Valid!$B$81</f>
        <v>Curve</v>
      </c>
      <c r="BL124" s="1367" t="e">
        <f>IF('A-80 DirEntInv'!#REF!&lt;&gt;"",'A-80 DirEntInv'!#REF!,IF(BJ124=summaryref2!X13,summaryref2!Z13,IF(BJ124=summaryref2!X20,summaryref2!Z20,IF(BJ124=summaryref2!X27,summaryref2!Z27,IF(BJ124=summaryref2!X34,summaryref2!Z34,IF(BJ124=summaryref2!X41,summaryref2!Z41,IF(BJ124=summaryref2!X48,summaryref2!Z48,IF(BJ124=summaryref2!X55,summaryref2!Z55,IF(BJ124=summaryref2!X62,summaryref2!Z62,IF(BJ124=summaryref2!X69,summaryref2!Z69,IF(BJ124=summaryref2!X76,summaryref2!Z76,"")))))))))))</f>
        <v>#REF!</v>
      </c>
      <c r="BM124" s="1049" t="str">
        <f>VLOOKUP(BK124,Valid!$B$80:$C$86,2,FALSE)</f>
        <v>Track Feet</v>
      </c>
      <c r="BN124" s="1324" t="e">
        <f>IF('A-80 DirEntInv'!#REF!&lt;&gt;"",'A-80 DirEntInv'!#REF!,IF(BJ124=summaryref2!X13,summaryref2!AB13,IF(BJ124=summaryref2!X20,summaryref2!AB20,IF(BJ124=summaryref2!X27,summaryref2!AB27,IF(BJ124=summaryref2!X34,summaryref2!AB34,IF(BJ124=summaryref2!X41,summaryref2!AB41,IF(BJ124=summaryref2!X48,summaryref2!AB48,IF(BJ124=summaryref2!X55,summaryref2!AB55,IF(BJ124=summaryref2!X62,summaryref2!AB62,IF(BJ124=summaryref2!X69,summaryref2!AB69,IF(BJ124=summaryref2!X76,summaryref2!AB76,"")))))))))))</f>
        <v>#REF!</v>
      </c>
      <c r="BO124" s="1326" t="e">
        <f>IF('A-80 DirEntInv'!#REF!&lt;&gt;"",'A-80 DirEntInv'!#REF!,IF(BJ124=summaryref2!X13,summaryref2!AC13,IF(BJ124=summaryref2!X20,summaryref2!AC20,IF(BJ124=summaryref2!X27,summaryref2!AC27,IF(BJ124=summaryref2!X34,summaryref2!AC34,IF(BJ124=summaryref2!X41,summaryref2!AC41,IF(BJ124=summaryref2!X48,summaryref2!AC48,IF(BJ124=summaryref2!X55,summaryref2!AC55,IF(BJ124=summaryref2!X62,summaryref2!AC62,IF(BJ124=summaryref2!X69,summaryref2!AC69,IF(BJ124=summaryref2!X76,summaryref2!AC76,"")))))))))))</f>
        <v>#REF!</v>
      </c>
      <c r="BP124" s="1323" t="e">
        <f>IF('A-80 DirEntInv'!#REF!&lt;&gt;"",'A-80 DirEntInv'!#REF!,IF(BJ124=summaryref2!X13,summaryref2!AD13,IF(BJ124=summaryref2!X20,summaryref2!AD20,IF(BJ124=summaryref2!X27,summaryref2!AD27,IF(BJ124=summaryref2!X34,summaryref2!AD34,IF(BJ124=summaryref2!X41,summaryref2!AD41,IF(BJ124=summaryref2!X48,summaryref2!AD48,IF(BJ124=summaryref2!X55,summaryref2!AD55,IF(BJ124=summaryref2!X62,summaryref2!AD62,IF(BJ124=summaryref2!X69,summaryref2!AD69,IF(BJ124=summaryref2!X76,summaryref2!AD76,"")))))))))))</f>
        <v>#REF!</v>
      </c>
      <c r="BU124" s="962"/>
      <c r="CD124" s="589"/>
      <c r="CE124" s="590"/>
      <c r="CF124" s="590"/>
      <c r="CG124" s="590"/>
      <c r="CH124" s="590"/>
      <c r="CI124" s="590"/>
      <c r="CJ124" s="589"/>
      <c r="CK124" s="589"/>
      <c r="CL124" s="589"/>
      <c r="CM124" s="587"/>
      <c r="CN124" s="587"/>
      <c r="CO124" s="589"/>
      <c r="CP124" s="587"/>
      <c r="CQ124" s="592"/>
      <c r="CR124" s="589"/>
      <c r="CS124" s="592"/>
      <c r="CT124" s="589"/>
      <c r="CU124" s="589"/>
      <c r="CV124" s="589"/>
      <c r="CW124" s="587"/>
      <c r="CX124" s="590"/>
      <c r="CY124" s="590"/>
      <c r="CZ124" s="590"/>
      <c r="DA124" s="1054"/>
      <c r="DB124" s="1054"/>
      <c r="DC124" s="587"/>
      <c r="DD124" s="587"/>
    </row>
    <row r="125" spans="1:108" s="588" customFormat="1" ht="13.5" thickTop="1" x14ac:dyDescent="0.2">
      <c r="A125" s="589">
        <f t="shared" si="1"/>
        <v>115</v>
      </c>
      <c r="B125" s="587"/>
      <c r="C125" s="587"/>
      <c r="D125" s="587"/>
      <c r="J125" s="589"/>
      <c r="K125" s="590"/>
      <c r="L125" s="591"/>
      <c r="M125" s="592"/>
      <c r="N125" s="589"/>
      <c r="O125" s="587"/>
      <c r="R125" s="1052"/>
      <c r="S125" s="1052"/>
      <c r="T125" s="1052"/>
      <c r="U125" s="1052"/>
      <c r="V125" s="1052"/>
      <c r="W125" s="1053"/>
      <c r="X125" s="1053"/>
      <c r="Y125" s="1053"/>
      <c r="Z125" s="1052"/>
      <c r="AA125" s="1052"/>
      <c r="AB125" s="962"/>
      <c r="AC125" s="590"/>
      <c r="AD125" s="590"/>
      <c r="AE125" s="591"/>
      <c r="AF125" s="592"/>
      <c r="AG125" s="1053"/>
      <c r="AH125" s="587"/>
      <c r="AK125" s="1041" t="str">
        <f>Codes!$C$164</f>
        <v>HR - Heavy Rail (PT)</v>
      </c>
      <c r="AL125" s="1042" t="str">
        <f>Valid!$B$73</f>
        <v>Elevated/Retained Fill</v>
      </c>
      <c r="AM125" s="1108" t="e">
        <f>IF('A-80 DirEntInv'!#REF!&lt;&gt;"",'A-80 DirEntInv'!#REF!,IF(AK125=summaryref2!B14,summaryref2!D14,IF(Summary!AK125=summaryref2!B28,summaryref2!D28,IF(AK125=summaryref2!B42,summaryref2!D42,IF(AK125=summaryref2!B56,summaryref2!D56,IF(AK125=summaryref2!B70,summaryref2!D70,IF(AK125=summaryref2!B84,summaryref2!D84,IF(AK125=summaryref2!B98,summaryref2!D98,IF(AK125=summaryref2!B112,summaryref2!D112,IF(AK125=summaryref2!B126,summaryref2!D126,IF(AK125=summaryref2!B140,summaryref2!D140,"")))))))))))</f>
        <v>#REF!</v>
      </c>
      <c r="AN125" s="1109" t="e">
        <f ca="1">IF('A-80 DirEntInv'!#REF!&lt;&gt;"",'A-80 DirEntInv'!#REF!,IF(INDIRECT(ADDRESS(SumRef!CG160,SumRef!CG$16,,,SumRef!$C$7))="","",INDIRECT(ADDRESS(SumRef!CG160,SumRef!CG$16,,,SumRef!$C$7))))</f>
        <v>#REF!</v>
      </c>
      <c r="AO125" s="1108" t="e">
        <f>IF('A-80 DirEntInv'!#REF!&lt;&gt;"",'A-80 DirEntInv'!#REF!,IF(AK125=summaryref2!B14,summaryref2!F14,IF(Summary!AK125=summaryref2!B28,summaryref2!F28,IF(AK125=summaryref2!B42,summaryref2!F42,IF(AK125=summaryref2!B56,summaryref2!F56,IF(AK125=summaryref2!B70,summaryref2!F70,IF(AK125=summaryref2!B84,summaryref2!F84,IF(AK125=summaryref2!B98,summaryref2!F98,IF(AK125=summaryref2!B112,summaryref2!F112,IF(AK125=summaryref2!B126,summaryref2!F126,IF(AK125=summaryref2!B140,summaryref2!F140,"")))))))))))</f>
        <v>#REF!</v>
      </c>
      <c r="AP125" s="1109" t="e">
        <f ca="1">IF('A-80 DirEntInv'!#REF!&lt;&gt;"",'A-80 DirEntInv'!#REF!,IF(INDIRECT(ADDRESS(SumRef!#REF!,SumRef!#REF!,,,SumRef!$C$7))="","",INDIRECT(ADDRESS(SumRef!#REF!,SumRef!#REF!,,,SumRef!$C$7))))</f>
        <v>#REF!</v>
      </c>
      <c r="AQ125" s="1147" t="e">
        <f>IF('A-80 DirEntInv'!#REF!&lt;&gt;"",'A-80 DirEntInv'!#REF!,IF(AK125=summaryref2!B14,summaryref2!G14,IF(Summary!AK125=summaryref2!B28,summaryref2!G28,IF(AK125=summaryref2!B42,summaryref2!G42,IF(AK125=summaryref2!B56,summaryref2!G56,IF(AK125=summaryref2!B70,summaryref2!G70,IF(AK125=summaryref2!B84,summaryref2!G84,IF(AK125=summaryref2!B98,summaryref2!G98,IF(AK125=summaryref2!B112,summaryref2!G112,IF(AK125=summaryref2!B126,summaryref2!G126,IF(AK125=summaryref2!B140,summaryref2!G140,"")))))))))))</f>
        <v>#REF!</v>
      </c>
      <c r="AR125" s="1147" t="e">
        <f>IF('A-80 DirEntInv'!#REF!&lt;&gt;"",'A-80 DirEntInv'!#REF!,IF(AK125=summaryref2!B14,summaryref2!H14,IF(Summary!AK125=summaryref2!B28,summaryref2!H28,IF(AK125=summaryref2!B42,summaryref2!H42,IF(AK125=summaryref2!B56,summaryref2!H56,IF(AK125=summaryref2!B70,summaryref2!H70,IF(AK125=summaryref2!B84,summaryref2!H84,IF(AK125=summaryref2!B98,summaryref2!H98,IF(AK125=summaryref2!B112,summaryref2!H112,IF(AK125=summaryref2!B126,summaryref2!H126,IF(AK125=summaryref2!B140,summaryref2!H140,"")))))))))))</f>
        <v>#REF!</v>
      </c>
      <c r="AS125" s="1110" t="e">
        <f>IF('A-80 DirEntInv'!#REF!&lt;&gt;"",'A-80 DirEntInv'!#REF!,IF(AK125=summaryref2!B14,summaryref2!I14,IF(Summary!AK125=summaryref2!B28,summaryref2!I28,IF(AK125=summaryref2!B42,summaryref2!I42,IF(AK125=summaryref2!B56,summaryref2!I56,IF(AK125=summaryref2!B70,summaryref2!I70,IF(AK125=summaryref2!B84,summaryref2!I84,IF(AK125=summaryref2!B98,summaryref2!I98,IF(AK125=summaryref2!B112,summaryref2!I112,IF(AK125=summaryref2!B126,summaryref2!I126,IF(AK125=summaryref2!B140,summaryref2!I140,"")))))))))))</f>
        <v>#REF!</v>
      </c>
      <c r="AT125" s="1110" t="e">
        <f>IF('A-80 DirEntInv'!#REF!&lt;&gt;"",'A-80 DirEntInv'!#REF!,IF(AK125=summaryref2!B14,summaryref2!J14,IF(Summary!AK125=summaryref2!B28,summaryref2!J28,IF(AK125=summaryref2!B42,summaryref2!J42,IF(AK125=summaryref2!B56,summaryref2!J56,IF(AK125=summaryref2!B70,summaryref2!J70,IF(AK125=summaryref2!B84,summaryref2!J84,IF(AK125=summaryref2!B98,summaryref2!J98,IF(AK125=summaryref2!B112,summaryref2!J112,IF(AK125=summaryref2!B126,summaryref2!J126,IF(AK125=summaryref2!B140,summaryref2!J140,"")))))))))))</f>
        <v>#REF!</v>
      </c>
      <c r="AU125" s="1110" t="e">
        <f>IF('A-80 DirEntInv'!#REF!&lt;&gt;"",'A-80 DirEntInv'!#REF!,IF(AK125=summaryref2!B14,summaryref2!K14,IF(Summary!AK125=summaryref2!B28,summaryref2!K28,IF(AK125=summaryref2!B42,summaryref2!K42,IF(AK125=summaryref2!B56,summaryref2!K56,IF(AK125=summaryref2!B70,summaryref2!K70,IF(AK125=summaryref2!B84,summaryref2!K84,IF(AK125=summaryref2!B98,summaryref2!K98,IF(AK125=summaryref2!B112,summaryref2!K112,IF(AK125=summaryref2!B126,summaryref2!K126,IF(AK125=summaryref2!B140,summaryref2!K140,"")))))))))))</f>
        <v>#REF!</v>
      </c>
      <c r="AV125" s="1110" t="e">
        <f>IF('A-80 DirEntInv'!#REF!&lt;&gt;"",'A-80 DirEntInv'!#REF!,IF(AK125=summaryref2!B14,summaryref2!L14,IF(Summary!AK125=summaryref2!B28,summaryref2!L28,IF(AK125=summaryref2!B42,summaryref2!L42,IF(AK125=summaryref2!B56,summaryref2!L56,IF(AK125=summaryref2!B70,summaryref2!L70,IF(AK125=summaryref2!B84,summaryref2!L84,IF(AK125=summaryref2!B98,summaryref2!L98,IF(AK125=summaryref2!B112,summaryref2!L112,IF(AK125=summaryref2!B126,summaryref2!L126,IF(AK125=summaryref2!B140,summaryref2!L140,"")))))))))))</f>
        <v>#REF!</v>
      </c>
      <c r="AW125" s="1110" t="e">
        <f>IF('A-80 DirEntInv'!#REF!&lt;&gt;"",'A-80 DirEntInv'!#REF!,IF(AK125=summaryref2!B14,summaryref2!M14,IF(Summary!AK125=summaryref2!B28,summaryref2!M28,IF(AK125=summaryref2!B42,summaryref2!M42,IF(AK125=summaryref2!B56,summaryref2!M56,IF(AK125=summaryref2!B70,summaryref2!M70,IF(AK125=summaryref2!B84,summaryref2!M84,IF(AK125=summaryref2!B98,summaryref2!M98,IF(AK125=summaryref2!B112,summaryref2!M112,IF(AK125=summaryref2!B126,summaryref2!M126,IF(AK125=summaryref2!B140,summaryref2!M140,"")))))))))))</f>
        <v>#REF!</v>
      </c>
      <c r="AX125" s="1110" t="e">
        <f>IF('A-80 DirEntInv'!#REF!&lt;&gt;"",'A-80 DirEntInv'!#REF!,IF(AK125=summaryref2!B14,summaryref2!N14,IF(Summary!AK125=summaryref2!B28,summaryref2!N28,IF(AK125=summaryref2!B42,summaryref2!N42,IF(AK125=summaryref2!B56,summaryref2!N56,IF(AK125=summaryref2!B70,summaryref2!N70,IF(AK125=summaryref2!B84,summaryref2!N84,IF(AK125=summaryref2!B98,summaryref2!N98,IF(AK125=summaryref2!B112,summaryref2!N112,IF(AK125=summaryref2!B126,summaryref2!N126,IF(AK125=summaryref2!B140,summaryref2!N140,"")))))))))))</f>
        <v>#REF!</v>
      </c>
      <c r="AY125" s="1110" t="e">
        <f>IF('A-80 DirEntInv'!#REF!&lt;&gt;"",'A-80 DirEntInv'!#REF!,IF(AK125=summaryref2!B14,summaryref2!O14,IF(Summary!AK125=summaryref2!B28,summaryref2!O28,IF(AK125=summaryref2!B42,summaryref2!O42,IF(AK125=summaryref2!B56,summaryref2!O56,IF(AK125=summaryref2!B70,summaryref2!O70,IF(AK125=summaryref2!B84,summaryref2!O84,IF(AK125=summaryref2!B98,summaryref2!O98,IF(AK125=summaryref2!B112,summaryref2!O112,IF(AK125=summaryref2!B126,summaryref2!O126,IF(AK125=summaryref2!B140,summaryref2!O140,"")))))))))))</f>
        <v>#REF!</v>
      </c>
      <c r="AZ125" s="1110" t="e">
        <f>IF('A-80 DirEntInv'!#REF!&lt;&gt;"",'A-80 DirEntInv'!#REF!,IF(AK125=summaryref2!B14,summaryref2!P14,IF(Summary!AK125=summaryref2!B28,summaryref2!P28,IF(AK125=summaryref2!B42,summaryref2!P42,IF(AK125=summaryref2!B56,summaryref2!P56,IF(AK125=summaryref2!B70,summaryref2!P70,IF(AK125=summaryref2!B84,summaryref2!P84,IF(AK125=summaryref2!B98,summaryref2!P98,IF(AK125=summaryref2!B112,summaryref2!P112,IF(AK125=summaryref2!B126,summaryref2!P126,IF(AK125=summaryref2!B140,summaryref2!P140,"")))))))))))</f>
        <v>#REF!</v>
      </c>
      <c r="BA125" s="1110" t="e">
        <f>IF('A-80 DirEntInv'!#REF!&lt;&gt;"",'A-80 DirEntInv'!#REF!,IF(AK125=summaryref2!B14,summaryref2!Q14,IF(Summary!AK125=summaryref2!B28,summaryref2!Q28,IF(AK125=summaryref2!B42,summaryref2!Q42,IF(AK125=summaryref2!B56,summaryref2!Q56,IF(AK125=summaryref2!B70,summaryref2!Q70,IF(AK125=summaryref2!B84,summaryref2!Q84,IF(AK125=summaryref2!B98,summaryref2!Q98,IF(AK125=summaryref2!B112,summaryref2!Q112,IF(AK125=summaryref2!B126,summaryref2!Q126,IF(AK125=summaryref2!B140,summaryref2!Q140,"")))))))))))</f>
        <v>#REF!</v>
      </c>
      <c r="BB125" s="1110" t="e">
        <f>IF('A-80 DirEntInv'!#REF!&lt;&gt;"",'A-80 DirEntInv'!#REF!,IF(AK125=summaryref2!B14,summaryref2!R14,IF(Summary!AK125=summaryref2!B28,summaryref2!R28,IF(AK125=summaryref2!B42,summaryref2!R42,IF(AK125=summaryref2!B56,summaryref2!R56,IF(AK125=summaryref2!B70,summaryref2!R70,IF(AK125=summaryref2!B84,summaryref2!R84,IF(AK125=summaryref2!B98,summaryref2!R98,IF(AK125=summaryref2!B112,summaryref2!R112,IF(AK125=summaryref2!B126,summaryref2!R126,IF(AK125=summaryref2!B140,summaryref2!R140,"")))))))))))</f>
        <v>#REF!</v>
      </c>
      <c r="BC125" s="1110" t="e">
        <f>IF('A-80 DirEntInv'!#REF!&lt;&gt;0,'A-80 DirEntInv'!#REF!,IF(AK125=summaryref2!B14,summaryref2!S14,IF(Summary!AK125=summaryref2!B28,summaryref2!S28,IF(AK125=summaryref2!B42,summaryref2!S42,IF(AK125=summaryref2!B56,summaryref2!S56,IF(AK125=summaryref2!B70,summaryref2!S70,IF(AK125=summaryref2!B84,summaryref2!S84,IF(AK125=summaryref2!B98,summaryref2!S98,IF(AK125=summaryref2!B112,summaryref2!S112,IF(AK125=summaryref2!B126,summaryref2!S126,IF(AK125=summaryref2!B140,summaryref2!S140,"")))))))))))</f>
        <v>#REF!</v>
      </c>
      <c r="BD125" s="1111" t="e">
        <f>IF('A-80 DirEntInv'!#REF!&lt;&gt;"",'A-80 DirEntInv'!#REF!,IF(AK125=summaryref2!B14,summaryref2!T14,IF(Summary!AK125=summaryref2!B28,summaryref2!T28,IF(AK125=summaryref2!B42,summaryref2!T42,IF(AK125=summaryref2!B56,summaryref2!T56,IF(AK125=summaryref2!B70,summaryref2!T70,IF(AK125=summaryref2!B84,summaryref2!T84,IF(AK125=summaryref2!B98,summaryref2!T98,IF(AK125=summaryref2!B112,summaryref2!T112,IF(AK125=summaryref2!B126,summaryref2!T126,IF(AK125=summaryref2!B140,summaryref2!T140,"")))))))))))</f>
        <v>#REF!</v>
      </c>
      <c r="BE125" s="1184" t="e">
        <f>IF('A-80 DirEntInv'!#REF!&lt;&gt;"",'A-80 DirEntInv'!#REF!,IF(AK125=summaryref2!B14,summaryref2!U14,IF(Summary!AK125=summaryref2!B28,summaryref2!U28,IF(AK125=summaryref2!B42,summaryref2!U42,IF(AK125=summaryref2!B56,summaryref2!U56,IF(AK125=summaryref2!B70,summaryref2!U70,IF(AK125=summaryref2!B84,summaryref2!U84,IF(AK125=summaryref2!B98,summaryref2!U98,IF(AK125=summaryref2!B112,summaryref2!U112,IF(AK125=summaryref2!B126,summaryref2!U126,IF(AK125=summaryref2!B140,summaryref2!U140,"")))))))))))</f>
        <v>#REF!</v>
      </c>
      <c r="BF125" s="1432"/>
      <c r="BG125" s="1432"/>
      <c r="BJ125" s="1045" t="str">
        <f>Codes!$C$172</f>
        <v>TR - Aerial Tramway (PT)</v>
      </c>
      <c r="BK125" s="1046" t="str">
        <f>Valid!$B$82</f>
        <v>Double Diamond Crossover</v>
      </c>
      <c r="BL125" s="1368" t="e">
        <f>IF('A-80 DirEntInv'!#REF!&lt;&gt;"",'A-80 DirEntInv'!#REF!,IF(BJ125=summaryref2!X14,summaryref2!Z14,IF(BJ125=summaryref2!X21,summaryref2!Z21,IF(BJ125=summaryref2!X28,summaryref2!Z28,IF(BJ125=summaryref2!X35,summaryref2!Z35,IF(BJ125=summaryref2!X42,summaryref2!Z42,IF(BJ125=summaryref2!X49,summaryref2!Z49,IF(BJ125=summaryref2!X56,summaryref2!Z56,IF(BJ125=summaryref2!X63,summaryref2!Z63,IF(BJ125=summaryref2!X70,summaryref2!Z70,IF(BJ125=summaryref2!X77,summaryref2!Z77,"")))))))))))</f>
        <v>#REF!</v>
      </c>
      <c r="BM125" s="1046" t="str">
        <f>VLOOKUP(BK125,Valid!$B$80:$C$86,2,FALSE)</f>
        <v>Each</v>
      </c>
      <c r="BN125" s="1325" t="e">
        <f>IF('A-80 DirEntInv'!#REF!&lt;&gt;"",'A-80 DirEntInv'!#REF!,IF(BJ125=summaryref2!X14,summaryref2!AB14,IF(BJ125=summaryref2!X21,summaryref2!AB21,IF(BJ125=summaryref2!X28,summaryref2!AB28,IF(BJ125=summaryref2!X35,summaryref2!AB35,IF(BJ125=summaryref2!X42,summaryref2!AB42,IF(BJ125=summaryref2!X49,summaryref2!AB49,IF(BJ125=summaryref2!X56,summaryref2!AB56,IF(BJ125=summaryref2!X63,summaryref2!AB63,IF(BJ125=summaryref2!X70,summaryref2!AB70,IF(BJ125=summaryref2!X77,summaryref2!AB77,"")))))))))))</f>
        <v>#REF!</v>
      </c>
      <c r="BO125" s="1327" t="e">
        <f>IF('A-80 DirEntInv'!#REF!&lt;&gt;"",'A-80 DirEntInv'!#REF!,IF(BJ125=summaryref2!X14,summaryref2!AC14,IF(BJ125=summaryref2!X21,summaryref2!AC21,IF(BJ125=summaryref2!X28,summaryref2!AC28,IF(BJ125=summaryref2!X35,summaryref2!AC35,IF(BJ125=summaryref2!X42,summaryref2!AC42,IF(BJ125=summaryref2!X49,summaryref2!AC49,IF(BJ125=summaryref2!X56,summaryref2!AC56,IF(BJ125=summaryref2!X63,summaryref2!AC63,IF(BJ125=summaryref2!X70,summaryref2!AC70,IF(BJ125=summaryref2!X77,summaryref2!AC77,"")))))))))))</f>
        <v>#REF!</v>
      </c>
      <c r="BP125" s="1322" t="e">
        <f>IF('A-80 DirEntInv'!#REF!&lt;&gt;"",'A-80 DirEntInv'!#REF!,IF(BJ125=summaryref2!X14,summaryref2!AD14,IF(BJ125=summaryref2!X21,summaryref2!AD21,IF(BJ125=summaryref2!X28,summaryref2!AD28,IF(BJ125=summaryref2!X35,summaryref2!AD35,IF(BJ125=summaryref2!X42,summaryref2!AD42,IF(BJ125=summaryref2!X49,summaryref2!AD49,IF(BJ125=summaryref2!X56,summaryref2!AD56,IF(BJ125=summaryref2!X63,summaryref2!AD63,IF(BJ125=summaryref2!X70,summaryref2!AD70,IF(BJ125=summaryref2!X77,summaryref2!AD77,"")))))))))))</f>
        <v>#REF!</v>
      </c>
      <c r="BU125" s="962"/>
      <c r="CD125" s="589"/>
      <c r="CE125" s="590"/>
      <c r="CF125" s="590"/>
      <c r="CG125" s="590"/>
      <c r="CH125" s="590"/>
      <c r="CI125" s="590"/>
      <c r="CJ125" s="589"/>
      <c r="CK125" s="589"/>
      <c r="CL125" s="589"/>
      <c r="CM125" s="587"/>
      <c r="CN125" s="587"/>
      <c r="CO125" s="589"/>
      <c r="CP125" s="587"/>
      <c r="CQ125" s="592"/>
      <c r="CR125" s="589"/>
      <c r="CS125" s="592"/>
      <c r="CT125" s="589"/>
      <c r="CU125" s="589"/>
      <c r="CV125" s="589"/>
      <c r="CW125" s="587"/>
      <c r="CX125" s="590"/>
      <c r="CY125" s="590"/>
      <c r="CZ125" s="590"/>
      <c r="DA125" s="1054"/>
      <c r="DB125" s="1054"/>
      <c r="DC125" s="587"/>
      <c r="DD125" s="587"/>
    </row>
    <row r="126" spans="1:108" s="588" customFormat="1" x14ac:dyDescent="0.2">
      <c r="A126" s="589">
        <f t="shared" si="1"/>
        <v>116</v>
      </c>
      <c r="B126" s="587"/>
      <c r="C126" s="587"/>
      <c r="D126" s="587"/>
      <c r="J126" s="589"/>
      <c r="K126" s="590"/>
      <c r="L126" s="591"/>
      <c r="M126" s="592"/>
      <c r="N126" s="589"/>
      <c r="O126" s="587"/>
      <c r="R126" s="1052"/>
      <c r="S126" s="1052"/>
      <c r="T126" s="1052"/>
      <c r="U126" s="1052"/>
      <c r="V126" s="1052"/>
      <c r="W126" s="1053"/>
      <c r="X126" s="1053"/>
      <c r="Y126" s="1053"/>
      <c r="Z126" s="1052"/>
      <c r="AA126" s="1052"/>
      <c r="AB126" s="962"/>
      <c r="AC126" s="590"/>
      <c r="AD126" s="590"/>
      <c r="AE126" s="591"/>
      <c r="AF126" s="592"/>
      <c r="AG126" s="1053"/>
      <c r="AH126" s="587"/>
      <c r="AK126" s="1041" t="str">
        <f>Codes!$C$164</f>
        <v>HR - Heavy Rail (PT)</v>
      </c>
      <c r="AL126" s="1042" t="str">
        <f>Valid!$B$74</f>
        <v>Elevated/Concrete</v>
      </c>
      <c r="AM126" s="1108" t="e">
        <f>IF('A-80 DirEntInv'!#REF!&lt;&gt;"",'A-80 DirEntInv'!#REF!,IF(AK126=summaryref2!B15,summaryref2!D15,IF(Summary!AK126=summaryref2!B29,summaryref2!D29,IF(AK126=summaryref2!B43,summaryref2!D43,IF(AK126=summaryref2!B57,summaryref2!D57,IF(AK126=summaryref2!B71,summaryref2!D71,IF(AK126=summaryref2!B85,summaryref2!D85,IF(AK126=summaryref2!B99,summaryref2!D99,IF(AK126=summaryref2!B113,summaryref2!D113,IF(AK126=summaryref2!B127,summaryref2!D127,IF(AK126=summaryref2!B141,summaryref2!D141,"")))))))))))</f>
        <v>#REF!</v>
      </c>
      <c r="AN126" s="1109" t="e">
        <f ca="1">IF('A-80 DirEntInv'!#REF!&lt;&gt;"",'A-80 DirEntInv'!#REF!,IF(INDIRECT(ADDRESS(SumRef!CG161,SumRef!CG$16,,,SumRef!$C$7))="","",INDIRECT(ADDRESS(SumRef!CG161,SumRef!CG$16,,,SumRef!$C$7))))</f>
        <v>#REF!</v>
      </c>
      <c r="AO126" s="1108" t="e">
        <f>IF('A-80 DirEntInv'!#REF!&lt;&gt;"",'A-80 DirEntInv'!#REF!,IF(AK126=summaryref2!B15,summaryref2!F15,IF(Summary!AK126=summaryref2!B29,summaryref2!F29,IF(AK126=summaryref2!B43,summaryref2!F43,IF(AK126=summaryref2!B57,summaryref2!F57,IF(AK126=summaryref2!B71,summaryref2!F71,IF(AK126=summaryref2!B85,summaryref2!F85,IF(AK126=summaryref2!B99,summaryref2!F99,IF(AK126=summaryref2!B113,summaryref2!F113,IF(AK126=summaryref2!B127,summaryref2!F127,IF(AK126=summaryref2!B141,summaryref2!F141,"")))))))))))</f>
        <v>#REF!</v>
      </c>
      <c r="AP126" s="1109" t="e">
        <f ca="1">IF('A-80 DirEntInv'!#REF!&lt;&gt;"",'A-80 DirEntInv'!#REF!,IF(INDIRECT(ADDRESS(SumRef!#REF!,SumRef!#REF!,,,SumRef!$C$7))="","",INDIRECT(ADDRESS(SumRef!#REF!,SumRef!#REF!,,,SumRef!$C$7))))</f>
        <v>#REF!</v>
      </c>
      <c r="AQ126" s="1147" t="e">
        <f>IF('A-80 DirEntInv'!#REF!&lt;&gt;"",'A-80 DirEntInv'!#REF!,IF(AK126=summaryref2!B15,summaryref2!G15,IF(Summary!AK126=summaryref2!B29,summaryref2!G29,IF(AK126=summaryref2!B43,summaryref2!G43,IF(AK126=summaryref2!B57,summaryref2!G57,IF(AK126=summaryref2!B71,summaryref2!G71,IF(AK126=summaryref2!B85,summaryref2!G85,IF(AK126=summaryref2!B99,summaryref2!G99,IF(AK126=summaryref2!B113,summaryref2!G113,IF(AK126=summaryref2!B127,summaryref2!G127,IF(AK126=summaryref2!B141,summaryref2!G141,"")))))))))))</f>
        <v>#REF!</v>
      </c>
      <c r="AR126" s="1147" t="e">
        <f>IF('A-80 DirEntInv'!#REF!&lt;&gt;"",'A-80 DirEntInv'!#REF!,IF(AK126=summaryref2!B15,summaryref2!H15,IF(Summary!AK126=summaryref2!B29,summaryref2!H29,IF(AK126=summaryref2!B43,summaryref2!H43,IF(AK126=summaryref2!B57,summaryref2!H57,IF(AK126=summaryref2!B71,summaryref2!H71,IF(AK126=summaryref2!B85,summaryref2!H85,IF(AK126=summaryref2!B99,summaryref2!H99,IF(AK126=summaryref2!B113,summaryref2!H113,IF(AK126=summaryref2!B127,summaryref2!H127,IF(AK126=summaryref2!B141,summaryref2!H141,"")))))))))))</f>
        <v>#REF!</v>
      </c>
      <c r="AS126" s="1110" t="e">
        <f>IF('A-80 DirEntInv'!#REF!&lt;&gt;"",'A-80 DirEntInv'!#REF!,IF(AK126=summaryref2!B15,summaryref2!I15,IF(Summary!AK126=summaryref2!B29,summaryref2!I29,IF(AK126=summaryref2!B43,summaryref2!I43,IF(AK126=summaryref2!B57,summaryref2!I57,IF(AK126=summaryref2!B71,summaryref2!I71,IF(AK126=summaryref2!B85,summaryref2!I85,IF(AK126=summaryref2!B99,summaryref2!I99,IF(AK126=summaryref2!B113,summaryref2!I113,IF(AK126=summaryref2!B127,summaryref2!I127,IF(AK126=summaryref2!B141,summaryref2!I141,"")))))))))))</f>
        <v>#REF!</v>
      </c>
      <c r="AT126" s="1110" t="e">
        <f>IF('A-80 DirEntInv'!#REF!&lt;&gt;"",'A-80 DirEntInv'!#REF!,IF(AK126=summaryref2!B15,summaryref2!J15,IF(Summary!AK126=summaryref2!B29,summaryref2!J29,IF(AK126=summaryref2!B43,summaryref2!J43,IF(AK126=summaryref2!B57,summaryref2!J57,IF(AK126=summaryref2!B71,summaryref2!J71,IF(AK126=summaryref2!B85,summaryref2!J85,IF(AK126=summaryref2!B99,summaryref2!J99,IF(AK126=summaryref2!B113,summaryref2!J113,IF(AK126=summaryref2!B127,summaryref2!J127,IF(AK126=summaryref2!B141,summaryref2!J141,"")))))))))))</f>
        <v>#REF!</v>
      </c>
      <c r="AU126" s="1110" t="e">
        <f>IF('A-80 DirEntInv'!#REF!&lt;&gt;"",'A-80 DirEntInv'!#REF!,IF(AK126=summaryref2!B15,summaryref2!K15,IF(Summary!AK126=summaryref2!B29,summaryref2!K29,IF(AK126=summaryref2!B43,summaryref2!K43,IF(AK126=summaryref2!B57,summaryref2!K57,IF(AK126=summaryref2!B71,summaryref2!K71,IF(AK126=summaryref2!B85,summaryref2!K85,IF(AK126=summaryref2!B99,summaryref2!K99,IF(AK126=summaryref2!B113,summaryref2!K113,IF(AK126=summaryref2!B127,summaryref2!K127,IF(AK126=summaryref2!B141,summaryref2!K141,"")))))))))))</f>
        <v>#REF!</v>
      </c>
      <c r="AV126" s="1110" t="e">
        <f>IF('A-80 DirEntInv'!#REF!&lt;&gt;"",'A-80 DirEntInv'!#REF!,IF(AK126=summaryref2!B15,summaryref2!L15,IF(Summary!AK126=summaryref2!B29,summaryref2!L29,IF(AK126=summaryref2!B43,summaryref2!L43,IF(AK126=summaryref2!B57,summaryref2!L57,IF(AK126=summaryref2!B71,summaryref2!L71,IF(AK126=summaryref2!B85,summaryref2!L85,IF(AK126=summaryref2!B99,summaryref2!L99,IF(AK126=summaryref2!B113,summaryref2!L113,IF(AK126=summaryref2!B127,summaryref2!L127,IF(AK126=summaryref2!B141,summaryref2!L141,"")))))))))))</f>
        <v>#REF!</v>
      </c>
      <c r="AW126" s="1110" t="e">
        <f>IF('A-80 DirEntInv'!#REF!&lt;&gt;"",'A-80 DirEntInv'!#REF!,IF(AK126=summaryref2!B15,summaryref2!M15,IF(Summary!AK126=summaryref2!B29,summaryref2!M29,IF(AK126=summaryref2!B43,summaryref2!M43,IF(AK126=summaryref2!B57,summaryref2!M57,IF(AK126=summaryref2!B71,summaryref2!M71,IF(AK126=summaryref2!B85,summaryref2!M85,IF(AK126=summaryref2!B99,summaryref2!M99,IF(AK126=summaryref2!B113,summaryref2!M113,IF(AK126=summaryref2!B127,summaryref2!M127,IF(AK126=summaryref2!B141,summaryref2!M141,"")))))))))))</f>
        <v>#REF!</v>
      </c>
      <c r="AX126" s="1110" t="e">
        <f>IF('A-80 DirEntInv'!#REF!&lt;&gt;"",'A-80 DirEntInv'!#REF!,IF(AK126=summaryref2!B15,summaryref2!N15,IF(Summary!AK126=summaryref2!B29,summaryref2!N29,IF(AK126=summaryref2!B43,summaryref2!N43,IF(AK126=summaryref2!B57,summaryref2!N57,IF(AK126=summaryref2!B71,summaryref2!N71,IF(AK126=summaryref2!B85,summaryref2!N85,IF(AK126=summaryref2!B99,summaryref2!N99,IF(AK126=summaryref2!B113,summaryref2!N113,IF(AK126=summaryref2!B127,summaryref2!N127,IF(AK126=summaryref2!B141,summaryref2!N141,"")))))))))))</f>
        <v>#REF!</v>
      </c>
      <c r="AY126" s="1110" t="e">
        <f>IF('A-80 DirEntInv'!#REF!&lt;&gt;"",'A-80 DirEntInv'!#REF!,IF(AK126=summaryref2!B15,summaryref2!O15,IF(Summary!AK126=summaryref2!B29,summaryref2!O29,IF(AK126=summaryref2!B43,summaryref2!O43,IF(AK126=summaryref2!B57,summaryref2!O57,IF(AK126=summaryref2!B71,summaryref2!O71,IF(AK126=summaryref2!B85,summaryref2!O85,IF(AK126=summaryref2!B99,summaryref2!O99,IF(AK126=summaryref2!B113,summaryref2!O113,IF(AK126=summaryref2!B127,summaryref2!O127,IF(AK126=summaryref2!B141,summaryref2!O141,"")))))))))))</f>
        <v>#REF!</v>
      </c>
      <c r="AZ126" s="1110" t="e">
        <f>IF('A-80 DirEntInv'!#REF!&lt;&gt;"",'A-80 DirEntInv'!#REF!,IF(AK126=summaryref2!B15,summaryref2!P15,IF(Summary!AK126=summaryref2!B29,summaryref2!P29,IF(AK126=summaryref2!B43,summaryref2!P43,IF(AK126=summaryref2!B57,summaryref2!P57,IF(AK126=summaryref2!B71,summaryref2!P71,IF(AK126=summaryref2!B85,summaryref2!P85,IF(AK126=summaryref2!B99,summaryref2!P99,IF(AK126=summaryref2!B113,summaryref2!P113,IF(AK126=summaryref2!B127,summaryref2!P127,IF(AK126=summaryref2!B141,summaryref2!P141,"")))))))))))</f>
        <v>#REF!</v>
      </c>
      <c r="BA126" s="1110" t="e">
        <f>IF('A-80 DirEntInv'!#REF!&lt;&gt;"",'A-80 DirEntInv'!#REF!,IF(AK126=summaryref2!B15,summaryref2!Q15,IF(Summary!AK126=summaryref2!B29,summaryref2!Q29,IF(AK126=summaryref2!B43,summaryref2!Q43,IF(AK126=summaryref2!B57,summaryref2!Q57,IF(AK126=summaryref2!B71,summaryref2!Q71,IF(AK126=summaryref2!B85,summaryref2!Q85,IF(AK126=summaryref2!B99,summaryref2!Q99,IF(AK126=summaryref2!B113,summaryref2!Q113,IF(AK126=summaryref2!B127,summaryref2!Q127,IF(AK126=summaryref2!B141,summaryref2!Q141,"")))))))))))</f>
        <v>#REF!</v>
      </c>
      <c r="BB126" s="1110" t="e">
        <f>IF('A-80 DirEntInv'!#REF!&lt;&gt;"",'A-80 DirEntInv'!#REF!,IF(AK126=summaryref2!B15,summaryref2!R15,IF(Summary!AK126=summaryref2!B29,summaryref2!R29,IF(AK126=summaryref2!B43,summaryref2!R43,IF(AK126=summaryref2!B57,summaryref2!R57,IF(AK126=summaryref2!B71,summaryref2!R71,IF(AK126=summaryref2!B85,summaryref2!R85,IF(AK126=summaryref2!B99,summaryref2!R99,IF(AK126=summaryref2!B113,summaryref2!R113,IF(AK126=summaryref2!B127,summaryref2!R127,IF(AK126=summaryref2!B141,summaryref2!R141,"")))))))))))</f>
        <v>#REF!</v>
      </c>
      <c r="BC126" s="1110" t="e">
        <f>IF('A-80 DirEntInv'!#REF!&lt;&gt;0,'A-80 DirEntInv'!#REF!,IF(AK126=summaryref2!B15,summaryref2!S15,IF(Summary!AK126=summaryref2!B29,summaryref2!S29,IF(AK126=summaryref2!B43,summaryref2!S43,IF(AK126=summaryref2!B57,summaryref2!S57,IF(AK126=summaryref2!B71,summaryref2!S71,IF(AK126=summaryref2!B85,summaryref2!S85,IF(AK126=summaryref2!B99,summaryref2!S99,IF(AK126=summaryref2!B113,summaryref2!S113,IF(AK126=summaryref2!B127,summaryref2!S127,IF(AK126=summaryref2!B141,summaryref2!S141,"")))))))))))</f>
        <v>#REF!</v>
      </c>
      <c r="BD126" s="1111" t="e">
        <f>IF('A-80 DirEntInv'!#REF!&lt;&gt;"",'A-80 DirEntInv'!#REF!,IF(AK126=summaryref2!B15,summaryref2!T15,IF(Summary!AK126=summaryref2!B29,summaryref2!T29,IF(AK126=summaryref2!B43,summaryref2!T43,IF(AK126=summaryref2!B57,summaryref2!T57,IF(AK126=summaryref2!B71,summaryref2!T71,IF(AK126=summaryref2!B85,summaryref2!T85,IF(AK126=summaryref2!B99,summaryref2!T99,IF(AK126=summaryref2!B113,summaryref2!T113,IF(AK126=summaryref2!B127,summaryref2!T127,IF(AK126=summaryref2!B141,summaryref2!T141,"")))))))))))</f>
        <v>#REF!</v>
      </c>
      <c r="BE126" s="1184" t="e">
        <f>IF('A-80 DirEntInv'!#REF!&lt;&gt;"",'A-80 DirEntInv'!#REF!,IF(AK126=summaryref2!B15,summaryref2!U15,IF(Summary!AK126=summaryref2!B29,summaryref2!U29,IF(AK126=summaryref2!B43,summaryref2!U43,IF(AK126=summaryref2!B57,summaryref2!U57,IF(AK126=summaryref2!B71,summaryref2!U71,IF(AK126=summaryref2!B85,summaryref2!U85,IF(AK126=summaryref2!B99,summaryref2!U99,IF(AK126=summaryref2!B113,summaryref2!U113,IF(AK126=summaryref2!B127,summaryref2!U127,IF(AK126=summaryref2!B141,summaryref2!U141,"")))))))))))</f>
        <v>#REF!</v>
      </c>
      <c r="BF126" s="1432"/>
      <c r="BG126" s="1432"/>
      <c r="BJ126" s="1041" t="str">
        <f>Codes!$C$172</f>
        <v>TR - Aerial Tramway (PT)</v>
      </c>
      <c r="BK126" s="1042" t="str">
        <f>Valid!$B$83</f>
        <v>Single Crossover</v>
      </c>
      <c r="BL126" s="1375" t="e">
        <f>IF('A-80 DirEntInv'!#REF!&lt;&gt;"",'A-80 DirEntInv'!#REF!,IF(BJ126=summaryref2!X15,summaryref2!Z15,IF(BJ126=summaryref2!X22,summaryref2!Z22,IF(BJ126=summaryref2!X29,summaryref2!Z29,IF(BJ126=summaryref2!X36,summaryref2!Z36,IF(BJ126=summaryref2!X43,summaryref2!Z43,IF(BJ126=summaryref2!X50,summaryref2!Z50,IF(BJ126=summaryref2!X57,summaryref2!Z57,IF(BJ126=summaryref2!X64,summaryref2!Z64,IF(BJ126=summaryref2!X71,summaryref2!Z71,IF(BJ126=summaryref2!X78,summaryref2!Z78,"")))))))))))</f>
        <v>#REF!</v>
      </c>
      <c r="BM126" s="1042" t="str">
        <f>VLOOKUP(BK126,Valid!$B$80:$C$86,2,FALSE)</f>
        <v>Each</v>
      </c>
      <c r="BN126" s="1209" t="e">
        <f>IF('A-80 DirEntInv'!#REF!&lt;&gt;"",'A-80 DirEntInv'!#REF!,IF(BJ126=summaryref2!X15,summaryref2!AB15,IF(BJ126=summaryref2!X22,summaryref2!AB22,IF(BJ126=summaryref2!X29,summaryref2!AB29,IF(BJ126=summaryref2!X36,summaryref2!AB36,IF(BJ126=summaryref2!X43,summaryref2!AB43,IF(BJ126=summaryref2!X50,summaryref2!AB50,IF(BJ126=summaryref2!X57,summaryref2!AB57,IF(BJ126=summaryref2!X64,summaryref2!AB64,IF(BJ126=summaryref2!X71,summaryref2!AB71,IF(BJ126=summaryref2!X78,summaryref2!AB78,"")))))))))))</f>
        <v>#REF!</v>
      </c>
      <c r="BO126" s="1116" t="e">
        <f>IF('A-80 DirEntInv'!#REF!&lt;&gt;"",'A-80 DirEntInv'!#REF!,IF(BJ126=summaryref2!X15,summaryref2!AC15,IF(BJ126=summaryref2!X22,summaryref2!AC22,IF(BJ126=summaryref2!X29,summaryref2!AC29,IF(BJ126=summaryref2!X36,summaryref2!AC36,IF(BJ126=summaryref2!X43,summaryref2!AC43,IF(BJ126=summaryref2!X50,summaryref2!AC50,IF(BJ126=summaryref2!X57,summaryref2!AC57,IF(BJ126=summaryref2!X64,summaryref2!AC64,IF(BJ126=summaryref2!X71,summaryref2!AC71,IF(BJ126=summaryref2!X78,summaryref2!AC78,"")))))))))))</f>
        <v>#REF!</v>
      </c>
      <c r="BP126" s="1384" t="e">
        <f>IF('A-80 DirEntInv'!#REF!&lt;&gt;"",'A-80 DirEntInv'!#REF!,IF(BJ126=summaryref2!X15,summaryref2!AD15,IF(BJ126=summaryref2!X22,summaryref2!AD22,IF(BJ126=summaryref2!X29,summaryref2!AD29,IF(BJ126=summaryref2!X36,summaryref2!AD36,IF(BJ126=summaryref2!X43,summaryref2!AD43,IF(BJ126=summaryref2!X50,summaryref2!AD50,IF(BJ126=summaryref2!X57,summaryref2!AD57,IF(BJ126=summaryref2!X64,summaryref2!AD64,IF(BJ126=summaryref2!X71,summaryref2!AD71,IF(BJ126=summaryref2!X78,summaryref2!AD78,"")))))))))))</f>
        <v>#REF!</v>
      </c>
      <c r="BU126" s="962"/>
      <c r="CD126" s="589"/>
      <c r="CE126" s="590"/>
      <c r="CF126" s="590"/>
      <c r="CG126" s="590"/>
      <c r="CH126" s="590"/>
      <c r="CI126" s="590"/>
      <c r="CJ126" s="589"/>
      <c r="CK126" s="589"/>
      <c r="CL126" s="589"/>
      <c r="CM126" s="587"/>
      <c r="CN126" s="587"/>
      <c r="CO126" s="589"/>
      <c r="CP126" s="587"/>
      <c r="CQ126" s="592"/>
      <c r="CR126" s="589"/>
      <c r="CS126" s="592"/>
      <c r="CT126" s="589"/>
      <c r="CU126" s="589"/>
      <c r="CV126" s="589"/>
      <c r="CW126" s="587"/>
      <c r="CX126" s="590"/>
      <c r="CY126" s="590"/>
      <c r="CZ126" s="590"/>
      <c r="DA126" s="1054"/>
      <c r="DB126" s="1054"/>
      <c r="DC126" s="587"/>
      <c r="DD126" s="587"/>
    </row>
    <row r="127" spans="1:108" s="588" customFormat="1" x14ac:dyDescent="0.2">
      <c r="A127" s="589">
        <f t="shared" si="1"/>
        <v>117</v>
      </c>
      <c r="B127" s="587"/>
      <c r="C127" s="587"/>
      <c r="D127" s="587"/>
      <c r="J127" s="589"/>
      <c r="K127" s="590"/>
      <c r="L127" s="591"/>
      <c r="M127" s="592"/>
      <c r="N127" s="589"/>
      <c r="O127" s="587"/>
      <c r="R127" s="1052"/>
      <c r="S127" s="1052"/>
      <c r="T127" s="1052"/>
      <c r="U127" s="1052"/>
      <c r="V127" s="1052"/>
      <c r="W127" s="1053"/>
      <c r="X127" s="1053"/>
      <c r="Y127" s="1053"/>
      <c r="Z127" s="1052"/>
      <c r="AA127" s="1052"/>
      <c r="AB127" s="962"/>
      <c r="AC127" s="590"/>
      <c r="AD127" s="590"/>
      <c r="AE127" s="591"/>
      <c r="AF127" s="592"/>
      <c r="AG127" s="1053"/>
      <c r="AH127" s="587"/>
      <c r="AK127" s="1041" t="str">
        <f>Codes!$C$164</f>
        <v>HR - Heavy Rail (PT)</v>
      </c>
      <c r="AL127" s="1042" t="str">
        <f>Valid!$B$75</f>
        <v>Elevated/Steel Viaduct or Bridge</v>
      </c>
      <c r="AM127" s="1108" t="e">
        <f>IF('A-80 DirEntInv'!#REF!&lt;&gt;"",'A-80 DirEntInv'!#REF!,IF(AK127=summaryref2!B16,summaryref2!D16,IF(Summary!AK127=summaryref2!B30,summaryref2!D30,IF(AK127=summaryref2!B44,summaryref2!D44,IF(AK127=summaryref2!B58,summaryref2!D58,IF(AK127=summaryref2!B72,summaryref2!D72,IF(AK127=summaryref2!B86,summaryref2!D86,IF(AK127=summaryref2!B100,summaryref2!D100,IF(AK127=summaryref2!B114,summaryref2!D114,IF(AK127=summaryref2!B128,summaryref2!D128,IF(AK127=summaryref2!B142,summaryref2!D142,"")))))))))))</f>
        <v>#REF!</v>
      </c>
      <c r="AN127" s="1109" t="e">
        <f ca="1">IF('A-80 DirEntInv'!#REF!&lt;&gt;"",'A-80 DirEntInv'!#REF!,IF(INDIRECT(ADDRESS(SumRef!CG162,SumRef!CG$16,,,SumRef!$C$7))="","",INDIRECT(ADDRESS(SumRef!CG162,SumRef!CG$16,,,SumRef!$C$7))))</f>
        <v>#REF!</v>
      </c>
      <c r="AO127" s="1108" t="e">
        <f>IF('A-80 DirEntInv'!#REF!&lt;&gt;"",'A-80 DirEntInv'!#REF!,IF(AK127=summaryref2!B16,summaryref2!F16,IF(Summary!AK127=summaryref2!B30,summaryref2!F30,IF(AK127=summaryref2!B44,summaryref2!F44,IF(AK127=summaryref2!B58,summaryref2!F58,IF(AK127=summaryref2!B72,summaryref2!F72,IF(AK127=summaryref2!B86,summaryref2!F86,IF(AK127=summaryref2!B100,summaryref2!F100,IF(AK127=summaryref2!B114,summaryref2!F114,IF(AK127=summaryref2!B128,summaryref2!F128,IF(AK127=summaryref2!B142,summaryref2!F142,"")))))))))))</f>
        <v>#REF!</v>
      </c>
      <c r="AP127" s="1109" t="e">
        <f ca="1">IF('A-80 DirEntInv'!#REF!&lt;&gt;"",'A-80 DirEntInv'!#REF!,IF(INDIRECT(ADDRESS(SumRef!#REF!,SumRef!#REF!,,,SumRef!$C$7))="","",INDIRECT(ADDRESS(SumRef!#REF!,SumRef!#REF!,,,SumRef!$C$7))))</f>
        <v>#REF!</v>
      </c>
      <c r="AQ127" s="1147" t="e">
        <f>IF('A-80 DirEntInv'!#REF!&lt;&gt;"",'A-80 DirEntInv'!#REF!,IF(AK127=summaryref2!B16,summaryref2!G16,IF(Summary!AK127=summaryref2!B30,summaryref2!G30,IF(AK127=summaryref2!B44,summaryref2!G44,IF(AK127=summaryref2!B58,summaryref2!G58,IF(AK127=summaryref2!B72,summaryref2!G72,IF(AK127=summaryref2!B86,summaryref2!G86,IF(AK127=summaryref2!B100,summaryref2!G100,IF(AK127=summaryref2!B114,summaryref2!G114,IF(AK127=summaryref2!B128,summaryref2!G128,IF(AK127=summaryref2!B142,summaryref2!G142,"")))))))))))</f>
        <v>#REF!</v>
      </c>
      <c r="AR127" s="1147" t="e">
        <f>IF('A-80 DirEntInv'!#REF!&lt;&gt;"",'A-80 DirEntInv'!#REF!,IF(AK127=summaryref2!B16,summaryref2!H16,IF(Summary!AK127=summaryref2!B30,summaryref2!H30,IF(AK127=summaryref2!B44,summaryref2!H44,IF(AK127=summaryref2!B58,summaryref2!H58,IF(AK127=summaryref2!B72,summaryref2!H72,IF(AK127=summaryref2!B86,summaryref2!H86,IF(AK127=summaryref2!B100,summaryref2!H100,IF(AK127=summaryref2!B114,summaryref2!H114,IF(AK127=summaryref2!B128,summaryref2!H128,IF(AK127=summaryref2!B142,summaryref2!H142,"")))))))))))</f>
        <v>#REF!</v>
      </c>
      <c r="AS127" s="1110" t="e">
        <f>IF('A-80 DirEntInv'!#REF!&lt;&gt;"",'A-80 DirEntInv'!#REF!,IF(AK127=summaryref2!B16,summaryref2!I16,IF(Summary!AK127=summaryref2!B30,summaryref2!I30,IF(AK127=summaryref2!B44,summaryref2!I44,IF(AK127=summaryref2!B58,summaryref2!I58,IF(AK127=summaryref2!B72,summaryref2!I72,IF(AK127=summaryref2!B86,summaryref2!I86,IF(AK127=summaryref2!B100,summaryref2!I100,IF(AK127=summaryref2!B114,summaryref2!I114,IF(AK127=summaryref2!B128,summaryref2!I128,IF(AK127=summaryref2!B142,summaryref2!I142,"")))))))))))</f>
        <v>#REF!</v>
      </c>
      <c r="AT127" s="1110" t="e">
        <f>IF('A-80 DirEntInv'!#REF!&lt;&gt;"",'A-80 DirEntInv'!#REF!,IF(AK127=summaryref2!B16,summaryref2!J16,IF(Summary!AK127=summaryref2!B30,summaryref2!J30,IF(AK127=summaryref2!B44,summaryref2!J44,IF(AK127=summaryref2!B58,summaryref2!J58,IF(AK127=summaryref2!B72,summaryref2!J72,IF(AK127=summaryref2!B86,summaryref2!J86,IF(AK127=summaryref2!B100,summaryref2!J100,IF(AK127=summaryref2!B114,summaryref2!J114,IF(AK127=summaryref2!B128,summaryref2!J128,IF(AK127=summaryref2!B142,summaryref2!J142,"")))))))))))</f>
        <v>#REF!</v>
      </c>
      <c r="AU127" s="1110" t="e">
        <f>IF('A-80 DirEntInv'!#REF!&lt;&gt;"",'A-80 DirEntInv'!#REF!,IF(AK127=summaryref2!B16,summaryref2!K16,IF(Summary!AK127=summaryref2!B30,summaryref2!K30,IF(AK127=summaryref2!B44,summaryref2!K44,IF(AK127=summaryref2!B58,summaryref2!K58,IF(AK127=summaryref2!B72,summaryref2!K72,IF(AK127=summaryref2!B86,summaryref2!K86,IF(AK127=summaryref2!B100,summaryref2!K100,IF(AK127=summaryref2!B114,summaryref2!K114,IF(AK127=summaryref2!B128,summaryref2!K128,IF(AK127=summaryref2!B142,summaryref2!K142,"")))))))))))</f>
        <v>#REF!</v>
      </c>
      <c r="AV127" s="1110" t="e">
        <f>IF('A-80 DirEntInv'!#REF!&lt;&gt;"",'A-80 DirEntInv'!#REF!,IF(AK127=summaryref2!B16,summaryref2!L16,IF(Summary!AK127=summaryref2!B30,summaryref2!L30,IF(AK127=summaryref2!B44,summaryref2!L44,IF(AK127=summaryref2!B58,summaryref2!L58,IF(AK127=summaryref2!B72,summaryref2!L72,IF(AK127=summaryref2!B86,summaryref2!L86,IF(AK127=summaryref2!B100,summaryref2!L100,IF(AK127=summaryref2!B114,summaryref2!L114,IF(AK127=summaryref2!B128,summaryref2!L128,IF(AK127=summaryref2!B142,summaryref2!L142,"")))))))))))</f>
        <v>#REF!</v>
      </c>
      <c r="AW127" s="1110" t="e">
        <f>IF('A-80 DirEntInv'!#REF!&lt;&gt;"",'A-80 DirEntInv'!#REF!,IF(AK127=summaryref2!B16,summaryref2!M16,IF(Summary!AK127=summaryref2!B30,summaryref2!M30,IF(AK127=summaryref2!B44,summaryref2!M44,IF(AK127=summaryref2!B58,summaryref2!M58,IF(AK127=summaryref2!B72,summaryref2!M72,IF(AK127=summaryref2!B86,summaryref2!M86,IF(AK127=summaryref2!B100,summaryref2!M100,IF(AK127=summaryref2!B114,summaryref2!M114,IF(AK127=summaryref2!B128,summaryref2!M128,IF(AK127=summaryref2!B142,summaryref2!M142,"")))))))))))</f>
        <v>#REF!</v>
      </c>
      <c r="AX127" s="1110" t="e">
        <f>IF('A-80 DirEntInv'!#REF!&lt;&gt;"",'A-80 DirEntInv'!#REF!,IF(AK127=summaryref2!B16,summaryref2!N16,IF(Summary!AK127=summaryref2!B30,summaryref2!N30,IF(AK127=summaryref2!B44,summaryref2!N44,IF(AK127=summaryref2!B58,summaryref2!N58,IF(AK127=summaryref2!B72,summaryref2!N72,IF(AK127=summaryref2!B86,summaryref2!N86,IF(AK127=summaryref2!B100,summaryref2!N100,IF(AK127=summaryref2!B114,summaryref2!N114,IF(AK127=summaryref2!B128,summaryref2!N128,IF(AK127=summaryref2!B142,summaryref2!N142,"")))))))))))</f>
        <v>#REF!</v>
      </c>
      <c r="AY127" s="1110" t="e">
        <f>IF('A-80 DirEntInv'!#REF!&lt;&gt;"",'A-80 DirEntInv'!#REF!,IF(AK127=summaryref2!B16,summaryref2!O16,IF(Summary!AK127=summaryref2!B30,summaryref2!O30,IF(AK127=summaryref2!B44,summaryref2!O44,IF(AK127=summaryref2!B58,summaryref2!O58,IF(AK127=summaryref2!B72,summaryref2!O72,IF(AK127=summaryref2!B86,summaryref2!O86,IF(AK127=summaryref2!B100,summaryref2!O100,IF(AK127=summaryref2!B114,summaryref2!O114,IF(AK127=summaryref2!B128,summaryref2!O128,IF(AK127=summaryref2!B142,summaryref2!O142,"")))))))))))</f>
        <v>#REF!</v>
      </c>
      <c r="AZ127" s="1110" t="e">
        <f>IF('A-80 DirEntInv'!#REF!&lt;&gt;"",'A-80 DirEntInv'!#REF!,IF(AK127=summaryref2!B16,summaryref2!P16,IF(Summary!AK127=summaryref2!B30,summaryref2!P30,IF(AK127=summaryref2!B44,summaryref2!P44,IF(AK127=summaryref2!B58,summaryref2!P58,IF(AK127=summaryref2!B72,summaryref2!P72,IF(AK127=summaryref2!B86,summaryref2!P86,IF(AK127=summaryref2!B100,summaryref2!P100,IF(AK127=summaryref2!B114,summaryref2!P114,IF(AK127=summaryref2!B128,summaryref2!P128,IF(AK127=summaryref2!B142,summaryref2!P142,"")))))))))))</f>
        <v>#REF!</v>
      </c>
      <c r="BA127" s="1110" t="e">
        <f>IF('A-80 DirEntInv'!#REF!&lt;&gt;"",'A-80 DirEntInv'!#REF!,IF(AK127=summaryref2!B16,summaryref2!Q16,IF(Summary!AK127=summaryref2!B30,summaryref2!Q30,IF(AK127=summaryref2!B44,summaryref2!Q44,IF(AK127=summaryref2!B58,summaryref2!Q58,IF(AK127=summaryref2!B72,summaryref2!Q72,IF(AK127=summaryref2!B86,summaryref2!Q86,IF(AK127=summaryref2!B100,summaryref2!Q100,IF(AK127=summaryref2!B114,summaryref2!Q114,IF(AK127=summaryref2!B128,summaryref2!Q128,IF(AK127=summaryref2!B142,summaryref2!Q142,"")))))))))))</f>
        <v>#REF!</v>
      </c>
      <c r="BB127" s="1110" t="e">
        <f>IF('A-80 DirEntInv'!#REF!&lt;&gt;"",'A-80 DirEntInv'!#REF!,IF(AK127=summaryref2!B16,summaryref2!R16,IF(Summary!AK127=summaryref2!B30,summaryref2!R30,IF(AK127=summaryref2!B44,summaryref2!R44,IF(AK127=summaryref2!B58,summaryref2!R58,IF(AK127=summaryref2!B72,summaryref2!R72,IF(AK127=summaryref2!B86,summaryref2!R86,IF(AK127=summaryref2!B100,summaryref2!R100,IF(AK127=summaryref2!B114,summaryref2!R114,IF(AK127=summaryref2!B128,summaryref2!R128,IF(AK127=summaryref2!B142,summaryref2!R142,"")))))))))))</f>
        <v>#REF!</v>
      </c>
      <c r="BC127" s="1110" t="e">
        <f>IF('A-80 DirEntInv'!#REF!&lt;&gt;0,'A-80 DirEntInv'!#REF!,IF(AK127=summaryref2!B16,summaryref2!S16,IF(Summary!AK127=summaryref2!B30,summaryref2!S30,IF(AK127=summaryref2!B44,summaryref2!S44,IF(AK127=summaryref2!B58,summaryref2!S58,IF(AK127=summaryref2!B72,summaryref2!S72,IF(AK127=summaryref2!B86,summaryref2!S86,IF(AK127=summaryref2!B100,summaryref2!S100,IF(AK127=summaryref2!B114,summaryref2!S114,IF(AK127=summaryref2!B128,summaryref2!S128,IF(AK127=summaryref2!B142,summaryref2!S142,"")))))))))))</f>
        <v>#REF!</v>
      </c>
      <c r="BD127" s="1111" t="e">
        <f>IF('A-80 DirEntInv'!#REF!&lt;&gt;"",'A-80 DirEntInv'!#REF!,IF(AK127=summaryref2!B16,summaryref2!T16,IF(Summary!AK127=summaryref2!B30,summaryref2!T30,IF(AK127=summaryref2!B44,summaryref2!T44,IF(AK127=summaryref2!B58,summaryref2!T58,IF(AK127=summaryref2!B72,summaryref2!T72,IF(AK127=summaryref2!B86,summaryref2!T86,IF(AK127=summaryref2!B100,summaryref2!T100,IF(AK127=summaryref2!B114,summaryref2!T114,IF(AK127=summaryref2!B128,summaryref2!T128,IF(AK127=summaryref2!B142,summaryref2!T142,"")))))))))))</f>
        <v>#REF!</v>
      </c>
      <c r="BE127" s="1184" t="e">
        <f>IF('A-80 DirEntInv'!#REF!&lt;&gt;"",'A-80 DirEntInv'!#REF!,IF(AK127=summaryref2!B16,summaryref2!U16,IF(Summary!AK127=summaryref2!B30,summaryref2!U30,IF(AK127=summaryref2!B44,summaryref2!U44,IF(AK127=summaryref2!B58,summaryref2!U58,IF(AK127=summaryref2!B72,summaryref2!U72,IF(AK127=summaryref2!B86,summaryref2!U86,IF(AK127=summaryref2!B100,summaryref2!U100,IF(AK127=summaryref2!B114,summaryref2!U114,IF(AK127=summaryref2!B128,summaryref2!U128,IF(AK127=summaryref2!B142,summaryref2!U142,"")))))))))))</f>
        <v>#REF!</v>
      </c>
      <c r="BF127" s="1432"/>
      <c r="BG127" s="1432"/>
      <c r="BJ127" s="1041" t="str">
        <f>Codes!$C$172</f>
        <v>TR - Aerial Tramway (PT)</v>
      </c>
      <c r="BK127" s="1042" t="str">
        <f>Valid!$B$84</f>
        <v>Half Grand Union</v>
      </c>
      <c r="BL127" s="1375" t="e">
        <f>IF('A-80 DirEntInv'!#REF!&lt;&gt;"",'A-80 DirEntInv'!#REF!,IF(BJ127=summaryref2!X16,summaryref2!Z16,IF(BJ127=summaryref2!X23,summaryref2!Z23,IF(BJ127=summaryref2!X30,summaryref2!Z30,IF(BJ127=summaryref2!X37,summaryref2!Z37,IF(BJ127=summaryref2!X44,summaryref2!Z44,IF(BJ127=summaryref2!X51,summaryref2!Z51,IF(BJ127=summaryref2!X58,summaryref2!Z58,IF(BJ127=summaryref2!X65,summaryref2!Z65,IF(BJ127=summaryref2!X72,summaryref2!Z72,IF(BJ127=summaryref2!X79,summaryref2!Z79,"")))))))))))</f>
        <v>#REF!</v>
      </c>
      <c r="BM127" s="1042" t="str">
        <f>VLOOKUP(BK127,Valid!$B$80:$C$86,2,FALSE)</f>
        <v>Each</v>
      </c>
      <c r="BN127" s="1209" t="e">
        <f>IF('A-80 DirEntInv'!#REF!&lt;&gt;"",'A-80 DirEntInv'!#REF!,IF(BJ127=summaryref2!X16,summaryref2!AB16,IF(BJ127=summaryref2!X23,summaryref2!AB23,IF(BJ127=summaryref2!X30,summaryref2!AB30,IF(BJ127=summaryref2!X37,summaryref2!AB37,IF(BJ127=summaryref2!X44,summaryref2!AB44,IF(BJ127=summaryref2!X51,summaryref2!AB51,IF(BJ127=summaryref2!X58,summaryref2!AB58,IF(BJ127=summaryref2!X65,summaryref2!AB65,IF(BJ127=summaryref2!X72,summaryref2!AB72,IF(BJ127=summaryref2!X79,summaryref2!AB79,"")))))))))))</f>
        <v>#REF!</v>
      </c>
      <c r="BO127" s="1116" t="e">
        <f>IF('A-80 DirEntInv'!#REF!&lt;&gt;"",'A-80 DirEntInv'!#REF!,IF(BJ127=summaryref2!X16,summaryref2!AC16,IF(BJ127=summaryref2!X23,summaryref2!AC23,IF(BJ127=summaryref2!X30,summaryref2!AC30,IF(BJ127=summaryref2!X37,summaryref2!AC37,IF(BJ127=summaryref2!X44,summaryref2!AC44,IF(BJ127=summaryref2!X51,summaryref2!AC51,IF(BJ127=summaryref2!X58,summaryref2!AC58,IF(BJ127=summaryref2!X65,summaryref2!AC65,IF(BJ127=summaryref2!X72,summaryref2!AC72,IF(BJ127=summaryref2!X79,summaryref2!AC79,"")))))))))))</f>
        <v>#REF!</v>
      </c>
      <c r="BP127" s="1384" t="e">
        <f>IF('A-80 DirEntInv'!#REF!&lt;&gt;"",'A-80 DirEntInv'!#REF!,IF(BJ127=summaryref2!X16,summaryref2!AD16,IF(BJ127=summaryref2!X23,summaryref2!AD23,IF(BJ127=summaryref2!X30,summaryref2!AD30,IF(BJ127=summaryref2!X37,summaryref2!AD37,IF(BJ127=summaryref2!X44,summaryref2!AD44,IF(BJ127=summaryref2!X51,summaryref2!AD51,IF(BJ127=summaryref2!X58,summaryref2!AD58,IF(BJ127=summaryref2!X65,summaryref2!AD65,IF(BJ127=summaryref2!X72,summaryref2!AD72,IF(BJ127=summaryref2!X79,summaryref2!AD79,"")))))))))))</f>
        <v>#REF!</v>
      </c>
      <c r="BU127" s="962"/>
      <c r="CD127" s="589"/>
      <c r="CE127" s="590"/>
      <c r="CF127" s="590"/>
      <c r="CG127" s="590"/>
      <c r="CH127" s="590"/>
      <c r="CI127" s="590"/>
      <c r="CJ127" s="589"/>
      <c r="CK127" s="589"/>
      <c r="CL127" s="589"/>
      <c r="CM127" s="587"/>
      <c r="CN127" s="587"/>
      <c r="CO127" s="589"/>
      <c r="CP127" s="587"/>
      <c r="CQ127" s="592"/>
      <c r="CR127" s="589"/>
      <c r="CS127" s="592"/>
      <c r="CT127" s="589"/>
      <c r="CU127" s="589"/>
      <c r="CV127" s="589"/>
      <c r="CW127" s="587"/>
      <c r="CX127" s="590"/>
      <c r="CY127" s="590"/>
      <c r="CZ127" s="590"/>
      <c r="DA127" s="1054"/>
      <c r="DB127" s="1054"/>
      <c r="DC127" s="587"/>
      <c r="DD127" s="587"/>
    </row>
    <row r="128" spans="1:108" s="588" customFormat="1" x14ac:dyDescent="0.2">
      <c r="A128" s="589">
        <f t="shared" si="1"/>
        <v>118</v>
      </c>
      <c r="B128" s="587"/>
      <c r="C128" s="587"/>
      <c r="D128" s="587"/>
      <c r="J128" s="589"/>
      <c r="K128" s="590"/>
      <c r="L128" s="591"/>
      <c r="M128" s="592"/>
      <c r="N128" s="589"/>
      <c r="O128" s="587"/>
      <c r="R128" s="1052"/>
      <c r="S128" s="1052"/>
      <c r="T128" s="1052"/>
      <c r="U128" s="1052"/>
      <c r="V128" s="1052"/>
      <c r="W128" s="1053"/>
      <c r="X128" s="1053"/>
      <c r="Y128" s="1053"/>
      <c r="Z128" s="1052"/>
      <c r="AA128" s="1052"/>
      <c r="AB128" s="962"/>
      <c r="AC128" s="590"/>
      <c r="AD128" s="590"/>
      <c r="AE128" s="591"/>
      <c r="AF128" s="592"/>
      <c r="AG128" s="1053"/>
      <c r="AH128" s="587"/>
      <c r="AK128" s="1041" t="str">
        <f>Codes!$C$164</f>
        <v>HR - Heavy Rail (PT)</v>
      </c>
      <c r="AL128" s="1042" t="str">
        <f>Valid!$B$76</f>
        <v>Below-Grade/Retained Cut</v>
      </c>
      <c r="AM128" s="1108" t="e">
        <f>IF('A-80 DirEntInv'!#REF!&lt;&gt;"",'A-80 DirEntInv'!#REF!,IF(AK128=summaryref2!B17,summaryref2!D17,IF(Summary!AK128=summaryref2!B31,summaryref2!D31,IF(AK128=summaryref2!B45,summaryref2!D45,IF(AK128=summaryref2!B59,summaryref2!D59,IF(AK128=summaryref2!B73,summaryref2!D73,IF(AK128=summaryref2!B87,summaryref2!D87,IF(AK128=summaryref2!B101,summaryref2!D101,IF(AK128=summaryref2!B115,summaryref2!D115,IF(AK128=summaryref2!B129,summaryref2!D129,IF(AK128=summaryref2!B143,summaryref2!D143,"")))))))))))</f>
        <v>#REF!</v>
      </c>
      <c r="AN128" s="1109" t="e">
        <f ca="1">IF('A-80 DirEntInv'!#REF!&lt;&gt;"",'A-80 DirEntInv'!#REF!,IF(INDIRECT(ADDRESS(SumRef!CG124,SumRef!CG$16,,,SumRef!$C$7))="","",INDIRECT(ADDRESS(SumRef!CG124,SumRef!CG$16,,,SumRef!$C$7))))</f>
        <v>#REF!</v>
      </c>
      <c r="AO128" s="1108" t="e">
        <f>IF('A-80 DirEntInv'!#REF!&lt;&gt;"",'A-80 DirEntInv'!#REF!,IF(AK128=summaryref2!B17,summaryref2!F17,IF(Summary!AK128=summaryref2!B31,summaryref2!F31,IF(AK128=summaryref2!B45,summaryref2!F45,IF(AK128=summaryref2!B59,summaryref2!F59,IF(AK128=summaryref2!B73,summaryref2!F73,IF(AK128=summaryref2!B87,summaryref2!F87,IF(AK128=summaryref2!B101,summaryref2!F101,IF(AK128=summaryref2!B115,summaryref2!F115,IF(AK128=summaryref2!B129,summaryref2!F129,IF(AK128=summaryref2!B143,summaryref2!F143,"")))))))))))</f>
        <v>#REF!</v>
      </c>
      <c r="AP128" s="1109" t="e">
        <f ca="1">IF('A-80 DirEntInv'!#REF!&lt;&gt;"",'A-80 DirEntInv'!#REF!,IF(INDIRECT(ADDRESS(SumRef!#REF!,SumRef!#REF!,,,SumRef!$C$7))="","",INDIRECT(ADDRESS(SumRef!#REF!,SumRef!#REF!,,,SumRef!$C$7))))</f>
        <v>#REF!</v>
      </c>
      <c r="AQ128" s="1147" t="e">
        <f>IF('A-80 DirEntInv'!#REF!&lt;&gt;"",'A-80 DirEntInv'!#REF!,IF(AK128=summaryref2!B17,summaryref2!G17,IF(Summary!AK128=summaryref2!B31,summaryref2!G31,IF(AK128=summaryref2!B45,summaryref2!G45,IF(AK128=summaryref2!B59,summaryref2!G59,IF(AK128=summaryref2!B73,summaryref2!G73,IF(AK128=summaryref2!B87,summaryref2!G87,IF(AK128=summaryref2!B101,summaryref2!G101,IF(AK128=summaryref2!B115,summaryref2!G115,IF(AK128=summaryref2!B129,summaryref2!G129,IF(AK128=summaryref2!B143,summaryref2!G143,"")))))))))))</f>
        <v>#REF!</v>
      </c>
      <c r="AR128" s="1147" t="e">
        <f>IF('A-80 DirEntInv'!#REF!&lt;&gt;"",'A-80 DirEntInv'!#REF!,IF(AK128=summaryref2!B17,summaryref2!H17,IF(Summary!AK128=summaryref2!B31,summaryref2!H31,IF(AK128=summaryref2!B45,summaryref2!H45,IF(AK128=summaryref2!B59,summaryref2!H59,IF(AK128=summaryref2!B73,summaryref2!H73,IF(AK128=summaryref2!B87,summaryref2!H87,IF(AK128=summaryref2!B101,summaryref2!H101,IF(AK128=summaryref2!B115,summaryref2!H115,IF(AK128=summaryref2!B129,summaryref2!H129,IF(AK128=summaryref2!B143,summaryref2!H143,"")))))))))))</f>
        <v>#REF!</v>
      </c>
      <c r="AS128" s="1110" t="e">
        <f>IF('A-80 DirEntInv'!#REF!&lt;&gt;"",'A-80 DirEntInv'!#REF!,IF(AK128=summaryref2!B17,summaryref2!I17,IF(Summary!AK128=summaryref2!B31,summaryref2!I31,IF(AK128=summaryref2!B45,summaryref2!I45,IF(AK128=summaryref2!B59,summaryref2!I59,IF(AK128=summaryref2!B73,summaryref2!I73,IF(AK128=summaryref2!B87,summaryref2!I87,IF(AK128=summaryref2!B101,summaryref2!I101,IF(AK128=summaryref2!B115,summaryref2!I115,IF(AK128=summaryref2!B129,summaryref2!I129,IF(AK128=summaryref2!B143,summaryref2!I143,"")))))))))))</f>
        <v>#REF!</v>
      </c>
      <c r="AT128" s="1110" t="e">
        <f>IF('A-80 DirEntInv'!#REF!&lt;&gt;"",'A-80 DirEntInv'!#REF!,IF(AK128=summaryref2!B17,summaryref2!J17,IF(Summary!AK128=summaryref2!B31,summaryref2!J31,IF(AK128=summaryref2!B45,summaryref2!J45,IF(AK128=summaryref2!B59,summaryref2!J59,IF(AK128=summaryref2!B73,summaryref2!J73,IF(AK128=summaryref2!B87,summaryref2!J87,IF(AK128=summaryref2!B101,summaryref2!J101,IF(AK128=summaryref2!B115,summaryref2!J115,IF(AK128=summaryref2!B129,summaryref2!J129,IF(AK128=summaryref2!B143,summaryref2!J143,"")))))))))))</f>
        <v>#REF!</v>
      </c>
      <c r="AU128" s="1110" t="e">
        <f>IF('A-80 DirEntInv'!#REF!&lt;&gt;"",'A-80 DirEntInv'!#REF!,IF(AK128=summaryref2!B17,summaryref2!K17,IF(Summary!AK128=summaryref2!B31,summaryref2!K31,IF(AK128=summaryref2!B45,summaryref2!K45,IF(AK128=summaryref2!B59,summaryref2!K59,IF(AK128=summaryref2!B73,summaryref2!K73,IF(AK128=summaryref2!B87,summaryref2!K87,IF(AK128=summaryref2!B101,summaryref2!K101,IF(AK128=summaryref2!B115,summaryref2!K115,IF(AK128=summaryref2!B129,summaryref2!K129,IF(AK128=summaryref2!B143,summaryref2!K143,"")))))))))))</f>
        <v>#REF!</v>
      </c>
      <c r="AV128" s="1110" t="e">
        <f>IF('A-80 DirEntInv'!#REF!&lt;&gt;"",'A-80 DirEntInv'!#REF!,IF(AK128=summaryref2!B17,summaryref2!L17,IF(Summary!AK128=summaryref2!B31,summaryref2!L31,IF(AK128=summaryref2!B45,summaryref2!L45,IF(AK128=summaryref2!B59,summaryref2!L59,IF(AK128=summaryref2!B73,summaryref2!L73,IF(AK128=summaryref2!B87,summaryref2!L87,IF(AK128=summaryref2!B101,summaryref2!L101,IF(AK128=summaryref2!B115,summaryref2!L115,IF(AK128=summaryref2!B129,summaryref2!L129,IF(AK128=summaryref2!B143,summaryref2!L143,"")))))))))))</f>
        <v>#REF!</v>
      </c>
      <c r="AW128" s="1110" t="e">
        <f>IF('A-80 DirEntInv'!#REF!&lt;&gt;"",'A-80 DirEntInv'!#REF!,IF(AK128=summaryref2!B17,summaryref2!M17,IF(Summary!AK128=summaryref2!B31,summaryref2!M31,IF(AK128=summaryref2!B45,summaryref2!M45,IF(AK128=summaryref2!B59,summaryref2!M59,IF(AK128=summaryref2!B73,summaryref2!M73,IF(AK128=summaryref2!B87,summaryref2!M87,IF(AK128=summaryref2!B101,summaryref2!M101,IF(AK128=summaryref2!B115,summaryref2!M115,IF(AK128=summaryref2!B129,summaryref2!M129,IF(AK128=summaryref2!B143,summaryref2!M143,"")))))))))))</f>
        <v>#REF!</v>
      </c>
      <c r="AX128" s="1110" t="e">
        <f>IF('A-80 DirEntInv'!#REF!&lt;&gt;"",'A-80 DirEntInv'!#REF!,IF(AK128=summaryref2!B17,summaryref2!N17,IF(Summary!AK128=summaryref2!B31,summaryref2!N31,IF(AK128=summaryref2!B45,summaryref2!N45,IF(AK128=summaryref2!B59,summaryref2!N59,IF(AK128=summaryref2!B73,summaryref2!N73,IF(AK128=summaryref2!B87,summaryref2!N87,IF(AK128=summaryref2!B101,summaryref2!N101,IF(AK128=summaryref2!B115,summaryref2!N115,IF(AK128=summaryref2!B129,summaryref2!N129,IF(AK128=summaryref2!B143,summaryref2!N143,"")))))))))))</f>
        <v>#REF!</v>
      </c>
      <c r="AY128" s="1110" t="e">
        <f>IF('A-80 DirEntInv'!#REF!&lt;&gt;"",'A-80 DirEntInv'!#REF!,IF(AK128=summaryref2!B17,summaryref2!O17,IF(Summary!AK128=summaryref2!B31,summaryref2!O31,IF(AK128=summaryref2!B45,summaryref2!O45,IF(AK128=summaryref2!B59,summaryref2!O59,IF(AK128=summaryref2!B73,summaryref2!O73,IF(AK128=summaryref2!B87,summaryref2!O87,IF(AK128=summaryref2!B101,summaryref2!O101,IF(AK128=summaryref2!B115,summaryref2!O115,IF(AK128=summaryref2!B129,summaryref2!O129,IF(AK128=summaryref2!B143,summaryref2!O143,"")))))))))))</f>
        <v>#REF!</v>
      </c>
      <c r="AZ128" s="1110" t="e">
        <f>IF('A-80 DirEntInv'!#REF!&lt;&gt;"",'A-80 DirEntInv'!#REF!,IF(AK128=summaryref2!B17,summaryref2!P17,IF(Summary!AK128=summaryref2!B31,summaryref2!P31,IF(AK128=summaryref2!B45,summaryref2!P45,IF(AK128=summaryref2!B59,summaryref2!P59,IF(AK128=summaryref2!B73,summaryref2!P73,IF(AK128=summaryref2!B87,summaryref2!P87,IF(AK128=summaryref2!B101,summaryref2!P101,IF(AK128=summaryref2!B115,summaryref2!P115,IF(AK128=summaryref2!B129,summaryref2!P129,IF(AK128=summaryref2!B143,summaryref2!P143,"")))))))))))</f>
        <v>#REF!</v>
      </c>
      <c r="BA128" s="1110" t="e">
        <f>IF('A-80 DirEntInv'!#REF!&lt;&gt;"",'A-80 DirEntInv'!#REF!,IF(AK128=summaryref2!B17,summaryref2!Q17,IF(Summary!AK128=summaryref2!B31,summaryref2!Q31,IF(AK128=summaryref2!B45,summaryref2!Q45,IF(AK128=summaryref2!B59,summaryref2!Q59,IF(AK128=summaryref2!B73,summaryref2!Q73,IF(AK128=summaryref2!B87,summaryref2!Q87,IF(AK128=summaryref2!B101,summaryref2!Q101,IF(AK128=summaryref2!B115,summaryref2!Q115,IF(AK128=summaryref2!B129,summaryref2!Q129,IF(AK128=summaryref2!B143,summaryref2!Q143,"")))))))))))</f>
        <v>#REF!</v>
      </c>
      <c r="BB128" s="1110" t="e">
        <f>IF('A-80 DirEntInv'!#REF!&lt;&gt;"",'A-80 DirEntInv'!#REF!,IF(AK128=summaryref2!B17,summaryref2!R17,IF(Summary!AK128=summaryref2!B31,summaryref2!R31,IF(AK128=summaryref2!B45,summaryref2!R45,IF(AK128=summaryref2!B59,summaryref2!R59,IF(AK128=summaryref2!B73,summaryref2!R73,IF(AK128=summaryref2!B87,summaryref2!R87,IF(AK128=summaryref2!B101,summaryref2!R101,IF(AK128=summaryref2!B115,summaryref2!R115,IF(AK128=summaryref2!B129,summaryref2!R129,IF(AK128=summaryref2!B143,summaryref2!R143,"")))))))))))</f>
        <v>#REF!</v>
      </c>
      <c r="BC128" s="1110" t="e">
        <f>IF('A-80 DirEntInv'!#REF!&lt;&gt;0,'A-80 DirEntInv'!#REF!,IF(AK128=summaryref2!B17,summaryref2!S17,IF(Summary!AK128=summaryref2!B31,summaryref2!S31,IF(AK128=summaryref2!B45,summaryref2!S45,IF(AK128=summaryref2!B59,summaryref2!S59,IF(AK128=summaryref2!B73,summaryref2!S73,IF(AK128=summaryref2!B87,summaryref2!S87,IF(AK128=summaryref2!B101,summaryref2!S101,IF(AK128=summaryref2!B115,summaryref2!S115,IF(AK128=summaryref2!B129,summaryref2!S129,IF(AK128=summaryref2!B143,summaryref2!S143,"")))))))))))</f>
        <v>#REF!</v>
      </c>
      <c r="BD128" s="1111" t="e">
        <f>IF('A-80 DirEntInv'!#REF!&lt;&gt;"",'A-80 DirEntInv'!#REF!,IF(AK128=summaryref2!B17,summaryref2!T17,IF(Summary!AK128=summaryref2!B31,summaryref2!T31,IF(AK128=summaryref2!B45,summaryref2!T45,IF(AK128=summaryref2!B59,summaryref2!T59,IF(AK128=summaryref2!B73,summaryref2!T73,IF(AK128=summaryref2!B87,summaryref2!T87,IF(AK128=summaryref2!B101,summaryref2!T101,IF(AK128=summaryref2!B115,summaryref2!T115,IF(AK128=summaryref2!B129,summaryref2!T129,IF(AK128=summaryref2!B143,summaryref2!T143,"")))))))))))</f>
        <v>#REF!</v>
      </c>
      <c r="BE128" s="1184" t="e">
        <f>IF('A-80 DirEntInv'!#REF!&lt;&gt;"",'A-80 DirEntInv'!#REF!,IF(AK128=summaryref2!B17,summaryref2!U17,IF(Summary!AK128=summaryref2!B31,summaryref2!U31,IF(AK128=summaryref2!B45,summaryref2!U45,IF(AK128=summaryref2!B59,summaryref2!U59,IF(AK128=summaryref2!B73,summaryref2!U73,IF(AK128=summaryref2!B87,summaryref2!U87,IF(AK128=summaryref2!B101,summaryref2!U101,IF(AK128=summaryref2!B115,summaryref2!U115,IF(AK128=summaryref2!B129,summaryref2!U129,IF(AK128=summaryref2!B143,summaryref2!U143,"")))))))))))</f>
        <v>#REF!</v>
      </c>
      <c r="BF128" s="1432"/>
      <c r="BG128" s="1432"/>
      <c r="BJ128" s="1041" t="str">
        <f>Codes!$C$172</f>
        <v>TR - Aerial Tramway (PT)</v>
      </c>
      <c r="BK128" s="1042" t="str">
        <f>Valid!$B$85</f>
        <v>Single Turnout</v>
      </c>
      <c r="BL128" s="1375" t="e">
        <f>IF('A-80 DirEntInv'!#REF!&lt;&gt;"",'A-80 DirEntInv'!#REF!,IF(BJ128=summaryref2!X17,summaryref2!Z17,IF(BJ128=summaryref2!X24,summaryref2!Z24,IF(BJ128=summaryref2!X31,summaryref2!Z31,IF(BJ128=summaryref2!X38,summaryref2!Z38,IF(BJ128=summaryref2!X45,summaryref2!Z45,IF(BJ128=summaryref2!X52,summaryref2!Z52,IF(BJ128=summaryref2!X59,summaryref2!Z59,IF(BJ128=summaryref2!X66,summaryref2!Z66,IF(BJ128=summaryref2!X73,summaryref2!Z73,IF(BJ128=summaryref2!X80,summaryref2!Z80,"")))))))))))</f>
        <v>#REF!</v>
      </c>
      <c r="BM128" s="1042" t="str">
        <f>VLOOKUP(BK128,Valid!$B$80:$C$86,2,FALSE)</f>
        <v>Each</v>
      </c>
      <c r="BN128" s="1209" t="e">
        <f>IF('A-80 DirEntInv'!#REF!&lt;&gt;"",'A-80 DirEntInv'!#REF!,IF(BJ128=summaryref2!X17,summaryref2!AB17,IF(BJ128=summaryref2!X24,summaryref2!AB24,IF(BJ128=summaryref2!X31,summaryref2!AB31,IF(BJ128=summaryref2!X38,summaryref2!AB38,IF(BJ128=summaryref2!X45,summaryref2!AB45,IF(BJ128=summaryref2!X52,summaryref2!AB52,IF(BJ128=summaryref2!X59,summaryref2!AB59,IF(BJ128=summaryref2!X66,summaryref2!AB66,IF(BJ128=summaryref2!X73,summaryref2!AB73,IF(BJ128=summaryref2!X80,summaryref2!AB80,"")))))))))))</f>
        <v>#REF!</v>
      </c>
      <c r="BO128" s="1116" t="e">
        <f>IF('A-80 DirEntInv'!#REF!&lt;&gt;"",'A-80 DirEntInv'!#REF!,IF(BJ128=summaryref2!X17,summaryref2!AC17,IF(BJ128=summaryref2!X24,summaryref2!AC24,IF(BJ128=summaryref2!X31,summaryref2!AC31,IF(BJ128=summaryref2!X38,summaryref2!AC38,IF(BJ128=summaryref2!X45,summaryref2!AC45,IF(BJ128=summaryref2!X52,summaryref2!AC52,IF(BJ128=summaryref2!X59,summaryref2!AC59,IF(BJ128=summaryref2!X66,summaryref2!AC66,IF(BJ128=summaryref2!X73,summaryref2!AC73,IF(BJ128=summaryref2!X80,summaryref2!AC80,"")))))))))))</f>
        <v>#REF!</v>
      </c>
      <c r="BP128" s="1384" t="e">
        <f>IF('A-80 DirEntInv'!#REF!&lt;&gt;"",'A-80 DirEntInv'!#REF!,IF(BJ128=summaryref2!X17,summaryref2!AD17,IF(BJ128=summaryref2!X24,summaryref2!AD24,IF(BJ128=summaryref2!X31,summaryref2!AD31,IF(BJ128=summaryref2!X38,summaryref2!AD38,IF(BJ128=summaryref2!X45,summaryref2!AD45,IF(BJ128=summaryref2!X52,summaryref2!AD52,IF(BJ128=summaryref2!X59,summaryref2!AD59,IF(BJ128=summaryref2!X66,summaryref2!AD66,IF(BJ128=summaryref2!X73,summaryref2!AD73,IF(BJ128=summaryref2!X80,summaryref2!AD80,"")))))))))))</f>
        <v>#REF!</v>
      </c>
      <c r="BU128" s="962"/>
      <c r="CD128" s="589"/>
      <c r="CE128" s="590"/>
      <c r="CF128" s="590"/>
      <c r="CG128" s="590"/>
      <c r="CH128" s="590"/>
      <c r="CI128" s="590"/>
      <c r="CJ128" s="589"/>
      <c r="CK128" s="589"/>
      <c r="CL128" s="589"/>
      <c r="CM128" s="587"/>
      <c r="CN128" s="587"/>
      <c r="CO128" s="589"/>
      <c r="CP128" s="587"/>
      <c r="CQ128" s="592"/>
      <c r="CR128" s="589"/>
      <c r="CS128" s="592"/>
      <c r="CT128" s="589"/>
      <c r="CU128" s="589"/>
      <c r="CV128" s="589"/>
      <c r="CW128" s="587"/>
      <c r="CX128" s="590"/>
      <c r="CY128" s="590"/>
      <c r="CZ128" s="590"/>
      <c r="DA128" s="1054"/>
      <c r="DB128" s="1054"/>
      <c r="DC128" s="587"/>
      <c r="DD128" s="587"/>
    </row>
    <row r="129" spans="1:108" s="588" customFormat="1" ht="13.5" thickBot="1" x14ac:dyDescent="0.25">
      <c r="A129" s="589">
        <f t="shared" si="1"/>
        <v>119</v>
      </c>
      <c r="B129" s="587"/>
      <c r="C129" s="587"/>
      <c r="D129" s="587"/>
      <c r="J129" s="589"/>
      <c r="K129" s="590"/>
      <c r="L129" s="591"/>
      <c r="M129" s="592"/>
      <c r="N129" s="589"/>
      <c r="O129" s="587"/>
      <c r="R129" s="1052"/>
      <c r="S129" s="1052"/>
      <c r="T129" s="1052"/>
      <c r="U129" s="1052"/>
      <c r="V129" s="1052"/>
      <c r="W129" s="1053"/>
      <c r="X129" s="1053"/>
      <c r="Y129" s="1053"/>
      <c r="Z129" s="1052"/>
      <c r="AA129" s="1052"/>
      <c r="AB129" s="962"/>
      <c r="AC129" s="590"/>
      <c r="AD129" s="590"/>
      <c r="AE129" s="591"/>
      <c r="AF129" s="592"/>
      <c r="AG129" s="1053"/>
      <c r="AH129" s="587"/>
      <c r="AK129" s="1041" t="str">
        <f>Codes!$C$164</f>
        <v>HR - Heavy Rail (PT)</v>
      </c>
      <c r="AL129" s="1042" t="str">
        <f>Valid!$B$77</f>
        <v>Below-Grade/Cut-and-Cover Tunnel</v>
      </c>
      <c r="AM129" s="1108" t="e">
        <f>IF('A-80 DirEntInv'!#REF!&lt;&gt;"",'A-80 DirEntInv'!#REF!,IF(AK129=summaryref2!B18,summaryref2!D18,IF(Summary!AK129=summaryref2!B32,summaryref2!D32,IF(AK129=summaryref2!B46,summaryref2!D46,IF(AK129=summaryref2!B60,summaryref2!D60,IF(AK129=summaryref2!B74,summaryref2!D74,IF(AK129=summaryref2!B88,summaryref2!D88,IF(AK129=summaryref2!B102,summaryref2!D102,IF(AK129=summaryref2!B116,summaryref2!D116,IF(AK129=summaryref2!B130,summaryref2!D130,IF(AK129=summaryref2!B144,summaryref2!D144,"")))))))))))</f>
        <v>#REF!</v>
      </c>
      <c r="AN129" s="1109" t="e">
        <f ca="1">IF('A-80 DirEntInv'!#REF!&lt;&gt;"",'A-80 DirEntInv'!#REF!,IF(INDIRECT(ADDRESS(SumRef!CG125,SumRef!CG$16,,,SumRef!$C$7))="","",INDIRECT(ADDRESS(SumRef!CG125,SumRef!CG$16,,,SumRef!$C$7))))</f>
        <v>#REF!</v>
      </c>
      <c r="AO129" s="1108" t="e">
        <f>IF('A-80 DirEntInv'!#REF!&lt;&gt;"",'A-80 DirEntInv'!#REF!,IF(AK129=summaryref2!B18,summaryref2!F18,IF(Summary!AK129=summaryref2!B32,summaryref2!F32,IF(AK129=summaryref2!B46,summaryref2!F46,IF(AK129=summaryref2!B60,summaryref2!F60,IF(AK129=summaryref2!B74,summaryref2!F74,IF(AK129=summaryref2!B88,summaryref2!F88,IF(AK129=summaryref2!B102,summaryref2!F102,IF(AK129=summaryref2!B116,summaryref2!F116,IF(AK129=summaryref2!B130,summaryref2!F130,IF(AK129=summaryref2!B144,summaryref2!F144,"")))))))))))</f>
        <v>#REF!</v>
      </c>
      <c r="AP129" s="1109" t="e">
        <f ca="1">IF('A-80 DirEntInv'!#REF!&lt;&gt;"",'A-80 DirEntInv'!#REF!,IF(INDIRECT(ADDRESS(SumRef!#REF!,SumRef!#REF!,,,SumRef!$C$7))="","",INDIRECT(ADDRESS(SumRef!#REF!,SumRef!#REF!,,,SumRef!$C$7))))</f>
        <v>#REF!</v>
      </c>
      <c r="AQ129" s="1147" t="e">
        <f>IF('A-80 DirEntInv'!#REF!&lt;&gt;"",'A-80 DirEntInv'!#REF!,IF(AK129=summaryref2!B18,summaryref2!G18,IF(Summary!AK129=summaryref2!B32,summaryref2!G32,IF(AK129=summaryref2!B46,summaryref2!G46,IF(AK129=summaryref2!B60,summaryref2!G60,IF(AK129=summaryref2!B74,summaryref2!G74,IF(AK129=summaryref2!B88,summaryref2!G88,IF(AK129=summaryref2!B102,summaryref2!G102,IF(AK129=summaryref2!B116,summaryref2!G116,IF(AK129=summaryref2!B130,summaryref2!G130,IF(AK129=summaryref2!B144,summaryref2!G144,"")))))))))))</f>
        <v>#REF!</v>
      </c>
      <c r="AR129" s="1147" t="e">
        <f>IF('A-80 DirEntInv'!#REF!&lt;&gt;"",'A-80 DirEntInv'!#REF!,IF(AK129=summaryref2!B18,summaryref2!H18,IF(Summary!AK129=summaryref2!B32,summaryref2!H32,IF(AK129=summaryref2!B46,summaryref2!H46,IF(AK129=summaryref2!B60,summaryref2!H60,IF(AK129=summaryref2!B74,summaryref2!H74,IF(AK129=summaryref2!B88,summaryref2!H88,IF(AK129=summaryref2!B102,summaryref2!H102,IF(AK129=summaryref2!B116,summaryref2!H116,IF(AK129=summaryref2!B130,summaryref2!H130,IF(AK129=summaryref2!B144,summaryref2!H144,"")))))))))))</f>
        <v>#REF!</v>
      </c>
      <c r="AS129" s="1110" t="e">
        <f>IF('A-80 DirEntInv'!#REF!&lt;&gt;"",'A-80 DirEntInv'!#REF!,IF(AK129=summaryref2!B18,summaryref2!I18,IF(Summary!AK129=summaryref2!B32,summaryref2!I32,IF(AK129=summaryref2!B46,summaryref2!I46,IF(AK129=summaryref2!B60,summaryref2!I60,IF(AK129=summaryref2!B74,summaryref2!I74,IF(AK129=summaryref2!B88,summaryref2!I88,IF(AK129=summaryref2!B102,summaryref2!I102,IF(AK129=summaryref2!B116,summaryref2!I116,IF(AK129=summaryref2!B130,summaryref2!I130,IF(AK129=summaryref2!B144,summaryref2!I144,"")))))))))))</f>
        <v>#REF!</v>
      </c>
      <c r="AT129" s="1110" t="e">
        <f>IF('A-80 DirEntInv'!#REF!&lt;&gt;"",'A-80 DirEntInv'!#REF!,IF(AK129=summaryref2!B18,summaryref2!J18,IF(Summary!AK129=summaryref2!B32,summaryref2!J32,IF(AK129=summaryref2!B46,summaryref2!J46,IF(AK129=summaryref2!B60,summaryref2!J60,IF(AK129=summaryref2!B74,summaryref2!J74,IF(AK129=summaryref2!B88,summaryref2!J88,IF(AK129=summaryref2!B102,summaryref2!J102,IF(AK129=summaryref2!B116,summaryref2!J116,IF(AK129=summaryref2!B130,summaryref2!J130,IF(AK129=summaryref2!B144,summaryref2!J144,"")))))))))))</f>
        <v>#REF!</v>
      </c>
      <c r="AU129" s="1110" t="e">
        <f>IF('A-80 DirEntInv'!#REF!&lt;&gt;"",'A-80 DirEntInv'!#REF!,IF(AK129=summaryref2!B18,summaryref2!K18,IF(Summary!AK129=summaryref2!B32,summaryref2!K32,IF(AK129=summaryref2!B46,summaryref2!K46,IF(AK129=summaryref2!B60,summaryref2!K60,IF(AK129=summaryref2!B74,summaryref2!K74,IF(AK129=summaryref2!B88,summaryref2!K88,IF(AK129=summaryref2!B102,summaryref2!K102,IF(AK129=summaryref2!B116,summaryref2!K116,IF(AK129=summaryref2!B130,summaryref2!K130,IF(AK129=summaryref2!B144,summaryref2!K144,"")))))))))))</f>
        <v>#REF!</v>
      </c>
      <c r="AV129" s="1110" t="e">
        <f>IF('A-80 DirEntInv'!#REF!&lt;&gt;"",'A-80 DirEntInv'!#REF!,IF(AK129=summaryref2!B18,summaryref2!L18,IF(Summary!AK129=summaryref2!B32,summaryref2!L32,IF(AK129=summaryref2!B46,summaryref2!L46,IF(AK129=summaryref2!B60,summaryref2!L60,IF(AK129=summaryref2!B74,summaryref2!L74,IF(AK129=summaryref2!B88,summaryref2!L88,IF(AK129=summaryref2!B102,summaryref2!L102,IF(AK129=summaryref2!B116,summaryref2!L116,IF(AK129=summaryref2!B130,summaryref2!L130,IF(AK129=summaryref2!B144,summaryref2!L144,"")))))))))))</f>
        <v>#REF!</v>
      </c>
      <c r="AW129" s="1110" t="e">
        <f>IF('A-80 DirEntInv'!#REF!&lt;&gt;"",'A-80 DirEntInv'!#REF!,IF(AK129=summaryref2!B18,summaryref2!M18,IF(Summary!AK129=summaryref2!B32,summaryref2!M32,IF(AK129=summaryref2!B46,summaryref2!M46,IF(AK129=summaryref2!B60,summaryref2!M60,IF(AK129=summaryref2!B74,summaryref2!M74,IF(AK129=summaryref2!B88,summaryref2!M88,IF(AK129=summaryref2!B102,summaryref2!M102,IF(AK129=summaryref2!B116,summaryref2!M116,IF(AK129=summaryref2!B130,summaryref2!M130,IF(AK129=summaryref2!B144,summaryref2!M144,"")))))))))))</f>
        <v>#REF!</v>
      </c>
      <c r="AX129" s="1110" t="e">
        <f>IF('A-80 DirEntInv'!#REF!&lt;&gt;"",'A-80 DirEntInv'!#REF!,IF(AK129=summaryref2!B18,summaryref2!N18,IF(Summary!AK129=summaryref2!B32,summaryref2!N32,IF(AK129=summaryref2!B46,summaryref2!N46,IF(AK129=summaryref2!B60,summaryref2!N60,IF(AK129=summaryref2!B74,summaryref2!N74,IF(AK129=summaryref2!B88,summaryref2!N88,IF(AK129=summaryref2!B102,summaryref2!N102,IF(AK129=summaryref2!B116,summaryref2!N116,IF(AK129=summaryref2!B130,summaryref2!N130,IF(AK129=summaryref2!B144,summaryref2!N144,"")))))))))))</f>
        <v>#REF!</v>
      </c>
      <c r="AY129" s="1110" t="e">
        <f>IF('A-80 DirEntInv'!#REF!&lt;&gt;"",'A-80 DirEntInv'!#REF!,IF(AK129=summaryref2!B18,summaryref2!O18,IF(Summary!AK129=summaryref2!B32,summaryref2!O32,IF(AK129=summaryref2!B46,summaryref2!O46,IF(AK129=summaryref2!B60,summaryref2!O60,IF(AK129=summaryref2!B74,summaryref2!O74,IF(AK129=summaryref2!B88,summaryref2!O88,IF(AK129=summaryref2!B102,summaryref2!O102,IF(AK129=summaryref2!B116,summaryref2!O116,IF(AK129=summaryref2!B130,summaryref2!O130,IF(AK129=summaryref2!B144,summaryref2!O144,"")))))))))))</f>
        <v>#REF!</v>
      </c>
      <c r="AZ129" s="1110" t="e">
        <f>IF('A-80 DirEntInv'!#REF!&lt;&gt;"",'A-80 DirEntInv'!#REF!,IF(AK129=summaryref2!B18,summaryref2!P18,IF(Summary!AK129=summaryref2!B32,summaryref2!P32,IF(AK129=summaryref2!B46,summaryref2!P46,IF(AK129=summaryref2!B60,summaryref2!P60,IF(AK129=summaryref2!B74,summaryref2!P74,IF(AK129=summaryref2!B88,summaryref2!P88,IF(AK129=summaryref2!B102,summaryref2!P102,IF(AK129=summaryref2!B116,summaryref2!P116,IF(AK129=summaryref2!B130,summaryref2!P130,IF(AK129=summaryref2!B144,summaryref2!P144,"")))))))))))</f>
        <v>#REF!</v>
      </c>
      <c r="BA129" s="1110" t="e">
        <f>IF('A-80 DirEntInv'!#REF!&lt;&gt;"",'A-80 DirEntInv'!#REF!,IF(AK129=summaryref2!B18,summaryref2!Q18,IF(Summary!AK129=summaryref2!B32,summaryref2!Q32,IF(AK129=summaryref2!B46,summaryref2!Q46,IF(AK129=summaryref2!B60,summaryref2!Q60,IF(AK129=summaryref2!B74,summaryref2!Q74,IF(AK129=summaryref2!B88,summaryref2!Q88,IF(AK129=summaryref2!B102,summaryref2!Q102,IF(AK129=summaryref2!B116,summaryref2!Q116,IF(AK129=summaryref2!B130,summaryref2!Q130,IF(AK129=summaryref2!B144,summaryref2!Q144,"")))))))))))</f>
        <v>#REF!</v>
      </c>
      <c r="BB129" s="1110" t="e">
        <f>IF('A-80 DirEntInv'!#REF!&lt;&gt;"",'A-80 DirEntInv'!#REF!,IF(AK129=summaryref2!B18,summaryref2!R18,IF(Summary!AK129=summaryref2!B32,summaryref2!R32,IF(AK129=summaryref2!B46,summaryref2!R46,IF(AK129=summaryref2!B60,summaryref2!R60,IF(AK129=summaryref2!B74,summaryref2!R74,IF(AK129=summaryref2!B88,summaryref2!R88,IF(AK129=summaryref2!B102,summaryref2!R102,IF(AK129=summaryref2!B116,summaryref2!R116,IF(AK129=summaryref2!B130,summaryref2!R130,IF(AK129=summaryref2!B144,summaryref2!R144,"")))))))))))</f>
        <v>#REF!</v>
      </c>
      <c r="BC129" s="1110" t="e">
        <f>IF('A-80 DirEntInv'!#REF!&lt;&gt;0,'A-80 DirEntInv'!#REF!,IF(AK129=summaryref2!B18,summaryref2!S18,IF(Summary!AK129=summaryref2!B32,summaryref2!S32,IF(AK129=summaryref2!B46,summaryref2!S46,IF(AK129=summaryref2!B60,summaryref2!S60,IF(AK129=summaryref2!B74,summaryref2!S74,IF(AK129=summaryref2!B88,summaryref2!S88,IF(AK129=summaryref2!B102,summaryref2!S102,IF(AK129=summaryref2!B116,summaryref2!S116,IF(AK129=summaryref2!B130,summaryref2!S130,IF(AK129=summaryref2!B144,summaryref2!S144,"")))))))))))</f>
        <v>#REF!</v>
      </c>
      <c r="BD129" s="1111" t="e">
        <f>IF('A-80 DirEntInv'!#REF!&lt;&gt;"",'A-80 DirEntInv'!#REF!,IF(AK129=summaryref2!B18,summaryref2!T18,IF(Summary!AK129=summaryref2!B32,summaryref2!T32,IF(AK129=summaryref2!B46,summaryref2!T46,IF(AK129=summaryref2!B60,summaryref2!T60,IF(AK129=summaryref2!B74,summaryref2!T74,IF(AK129=summaryref2!B88,summaryref2!T88,IF(AK129=summaryref2!B102,summaryref2!T102,IF(AK129=summaryref2!B116,summaryref2!T116,IF(AK129=summaryref2!B130,summaryref2!T130,IF(AK129=summaryref2!B144,summaryref2!T144,"")))))))))))</f>
        <v>#REF!</v>
      </c>
      <c r="BE129" s="1184" t="e">
        <f>IF('A-80 DirEntInv'!#REF!&lt;&gt;"",'A-80 DirEntInv'!#REF!,IF(AK129=summaryref2!B18,summaryref2!U18,IF(Summary!AK129=summaryref2!B32,summaryref2!U32,IF(AK129=summaryref2!B46,summaryref2!U46,IF(AK129=summaryref2!B60,summaryref2!U60,IF(AK129=summaryref2!B74,summaryref2!U74,IF(AK129=summaryref2!B88,summaryref2!U88,IF(AK129=summaryref2!B102,summaryref2!U102,IF(AK129=summaryref2!B116,summaryref2!U116,IF(AK129=summaryref2!B130,summaryref2!U130,IF(AK129=summaryref2!B144,summaryref2!U144,"")))))))))))</f>
        <v>#REF!</v>
      </c>
      <c r="BF129" s="1432"/>
      <c r="BG129" s="1432"/>
      <c r="BJ129" s="1047" t="str">
        <f>Codes!$C$172</f>
        <v>TR - Aerial Tramway (PT)</v>
      </c>
      <c r="BK129" s="1050" t="str">
        <f>Valid!$B$86</f>
        <v>Grade Crossings</v>
      </c>
      <c r="BL129" s="1369" t="e">
        <f>IF('A-80 DirEntInv'!#REF!&lt;&gt;"",'A-80 DirEntInv'!#REF!,IF(BJ129=summaryref2!X18,summaryref2!Z18,IF(BJ129=summaryref2!X25,summaryref2!Z25,IF(BJ129=summaryref2!X32,summaryref2!Z32,IF(BJ129=summaryref2!X39,summaryref2!Z39,IF(BJ129=summaryref2!X46,summaryref2!Z46,IF(BJ129=summaryref2!X53,summaryref2!Z53,IF(BJ129=summaryref2!X60,summaryref2!Z60,IF(BJ129=summaryref2!X67,summaryref2!Z67,IF(BJ129=summaryref2!X74,summaryref2!Z74,IF(BJ129=summaryref2!X81,summaryref2!Z81,"")))))))))))</f>
        <v>#REF!</v>
      </c>
      <c r="BM129" s="1050" t="str">
        <f>VLOOKUP(BK129,Valid!$B$80:$C$86,2,FALSE)</f>
        <v>Each</v>
      </c>
      <c r="BN129" s="1210" t="e">
        <f>IF('A-80 DirEntInv'!#REF!&lt;&gt;"",'A-80 DirEntInv'!#REF!,IF(BJ129=summaryref2!X18,summaryref2!AB18,IF(BJ129=summaryref2!X25,summaryref2!AB25,IF(BJ129=summaryref2!X32,summaryref2!AB32,IF(BJ129=summaryref2!X39,summaryref2!AB39,IF(BJ129=summaryref2!X46,summaryref2!AB46,IF(BJ129=summaryref2!X53,summaryref2!AB53,IF(BJ129=summaryref2!X60,summaryref2!AB60,IF(BJ129=summaryref2!X67,summaryref2!AB67,IF(BJ129=summaryref2!X74,summaryref2!AB74,IF(BJ129=summaryref2!X81,summaryref2!AB81,"")))))))))))</f>
        <v>#REF!</v>
      </c>
      <c r="BO129" s="1117" t="e">
        <f>IF('A-80 DirEntInv'!#REF!&lt;&gt;"",'A-80 DirEntInv'!#REF!,IF(BJ129=summaryref2!X18,summaryref2!AC18,IF(BJ129=summaryref2!X25,summaryref2!AC25,IF(BJ129=summaryref2!X32,summaryref2!AC32,IF(BJ129=summaryref2!X39,summaryref2!AC39,IF(BJ129=summaryref2!X46,summaryref2!AC46,IF(BJ129=summaryref2!X53,summaryref2!AC53,IF(BJ129=summaryref2!X60,summaryref2!AC60,IF(BJ129=summaryref2!X67,summaryref2!AC67,IF(BJ129=summaryref2!X74,summaryref2!AC74,IF(BJ129=summaryref2!X81,summaryref2!AC81,"")))))))))))</f>
        <v>#REF!</v>
      </c>
      <c r="BP129" s="1321" t="e">
        <f>IF('A-80 DirEntInv'!#REF!&lt;&gt;"",'A-80 DirEntInv'!#REF!,IF(BJ129=summaryref2!X18,summaryref2!AD18,IF(BJ129=summaryref2!X25,summaryref2!AD25,IF(BJ129=summaryref2!X32,summaryref2!AD32,IF(BJ129=summaryref2!X39,summaryref2!AD39,IF(BJ129=summaryref2!X46,summaryref2!AD46,IF(BJ129=summaryref2!X53,summaryref2!AD53,IF(BJ129=summaryref2!X60,summaryref2!AD60,IF(BJ129=summaryref2!X67,summaryref2!AD67,IF(BJ129=summaryref2!X74,summaryref2!AD74,IF(BJ129=summaryref2!X81,summaryref2!AD81,"")))))))))))</f>
        <v>#REF!</v>
      </c>
      <c r="BU129" s="962"/>
      <c r="CD129" s="589"/>
      <c r="CE129" s="590"/>
      <c r="CF129" s="590"/>
      <c r="CG129" s="590"/>
      <c r="CH129" s="590"/>
      <c r="CI129" s="590"/>
      <c r="CJ129" s="589"/>
      <c r="CK129" s="589"/>
      <c r="CL129" s="589"/>
      <c r="CM129" s="587"/>
      <c r="CN129" s="587"/>
      <c r="CO129" s="589"/>
      <c r="CP129" s="587"/>
      <c r="CQ129" s="592"/>
      <c r="CR129" s="589"/>
      <c r="CS129" s="592"/>
      <c r="CT129" s="589"/>
      <c r="CU129" s="589"/>
      <c r="CV129" s="589"/>
      <c r="CW129" s="587"/>
      <c r="CX129" s="590"/>
      <c r="CY129" s="590"/>
      <c r="CZ129" s="590"/>
      <c r="DA129" s="1054"/>
      <c r="DB129" s="1054"/>
      <c r="DC129" s="587"/>
      <c r="DD129" s="587"/>
    </row>
    <row r="130" spans="1:108" s="588" customFormat="1" x14ac:dyDescent="0.2">
      <c r="A130" s="589">
        <f t="shared" si="1"/>
        <v>120</v>
      </c>
      <c r="B130" s="587"/>
      <c r="C130" s="587"/>
      <c r="D130" s="587"/>
      <c r="J130" s="589"/>
      <c r="K130" s="590"/>
      <c r="L130" s="591"/>
      <c r="M130" s="592"/>
      <c r="N130" s="589"/>
      <c r="O130" s="587"/>
      <c r="R130" s="1052"/>
      <c r="S130" s="1052"/>
      <c r="T130" s="1052"/>
      <c r="U130" s="1052"/>
      <c r="V130" s="1052"/>
      <c r="W130" s="1053"/>
      <c r="X130" s="1053"/>
      <c r="Y130" s="1053"/>
      <c r="Z130" s="1052"/>
      <c r="AA130" s="1052"/>
      <c r="AB130" s="962"/>
      <c r="AC130" s="590"/>
      <c r="AD130" s="590"/>
      <c r="AE130" s="591"/>
      <c r="AF130" s="592"/>
      <c r="AG130" s="1053"/>
      <c r="AH130" s="587"/>
      <c r="AK130" s="1041" t="str">
        <f>Codes!$C$164</f>
        <v>HR - Heavy Rail (PT)</v>
      </c>
      <c r="AL130" s="1042" t="str">
        <f>Valid!$B$78</f>
        <v>Below-Grade/Bored or Blasted Tunnel</v>
      </c>
      <c r="AM130" s="1108" t="e">
        <f>IF('A-80 DirEntInv'!#REF!&lt;&gt;"",'A-80 DirEntInv'!#REF!,IF(AK130=summaryref2!B19,summaryref2!D19,IF(Summary!AK130=summaryref2!B33,summaryref2!D33,IF(AK130=summaryref2!B47,summaryref2!D47,IF(AK130=summaryref2!B61,summaryref2!D61,IF(AK130=summaryref2!B75,summaryref2!D75,IF(AK130=summaryref2!B89,summaryref2!D89,IF(AK130=summaryref2!B103,summaryref2!D103,IF(AK130=summaryref2!B117,summaryref2!D117,IF(AK130=summaryref2!B131,summaryref2!D131,IF(AK130=summaryref2!B145,summaryref2!D145,"")))))))))))</f>
        <v>#REF!</v>
      </c>
      <c r="AN130" s="1109" t="e">
        <f ca="1">IF('A-80 DirEntInv'!#REF!&lt;&gt;"",'A-80 DirEntInv'!#REF!,IF(INDIRECT(ADDRESS(SumRef!CG126,SumRef!CG$16,,,SumRef!$C$7))="","",INDIRECT(ADDRESS(SumRef!CG126,SumRef!CG$16,,,SumRef!$C$7))))</f>
        <v>#REF!</v>
      </c>
      <c r="AO130" s="1108" t="e">
        <f>IF('A-80 DirEntInv'!#REF!&lt;&gt;"",'A-80 DirEntInv'!#REF!,IF(AK130=summaryref2!B19,summaryref2!F19,IF(Summary!AK130=summaryref2!B33,summaryref2!F33,IF(AK130=summaryref2!B47,summaryref2!F47,IF(AK130=summaryref2!B61,summaryref2!F61,IF(AK130=summaryref2!B75,summaryref2!F75,IF(AK130=summaryref2!B89,summaryref2!F89,IF(AK130=summaryref2!B103,summaryref2!F103,IF(AK130=summaryref2!B117,summaryref2!F117,IF(AK130=summaryref2!B131,summaryref2!F131,IF(AK130=summaryref2!B145,summaryref2!F145,"")))))))))))</f>
        <v>#REF!</v>
      </c>
      <c r="AP130" s="1109" t="e">
        <f ca="1">IF('A-80 DirEntInv'!#REF!&lt;&gt;"",'A-80 DirEntInv'!#REF!,IF(INDIRECT(ADDRESS(SumRef!#REF!,SumRef!#REF!,,,SumRef!$C$7))="","",INDIRECT(ADDRESS(SumRef!#REF!,SumRef!#REF!,,,SumRef!$C$7))))</f>
        <v>#REF!</v>
      </c>
      <c r="AQ130" s="1147" t="e">
        <f>IF('A-80 DirEntInv'!#REF!&lt;&gt;"",'A-80 DirEntInv'!#REF!,IF(AK130=summaryref2!B19,summaryref2!G19,IF(Summary!AK130=summaryref2!B33,summaryref2!G33,IF(AK130=summaryref2!B47,summaryref2!G47,IF(AK130=summaryref2!B61,summaryref2!G61,IF(AK130=summaryref2!B75,summaryref2!G75,IF(AK130=summaryref2!B89,summaryref2!G89,IF(AK130=summaryref2!B103,summaryref2!G103,IF(AK130=summaryref2!B117,summaryref2!G117,IF(AK130=summaryref2!B131,summaryref2!G131,IF(AK130=summaryref2!B145,summaryref2!G145,"")))))))))))</f>
        <v>#REF!</v>
      </c>
      <c r="AR130" s="1147" t="e">
        <f>IF('A-80 DirEntInv'!#REF!&lt;&gt;"",'A-80 DirEntInv'!#REF!,IF(AK130=summaryref2!B19,summaryref2!H19,IF(Summary!AK130=summaryref2!B33,summaryref2!H33,IF(AK130=summaryref2!B47,summaryref2!H47,IF(AK130=summaryref2!B61,summaryref2!H61,IF(AK130=summaryref2!B75,summaryref2!H75,IF(AK130=summaryref2!B89,summaryref2!H89,IF(AK130=summaryref2!B103,summaryref2!H103,IF(AK130=summaryref2!B117,summaryref2!H117,IF(AK130=summaryref2!B131,summaryref2!H131,IF(AK130=summaryref2!B145,summaryref2!H145,"")))))))))))</f>
        <v>#REF!</v>
      </c>
      <c r="AS130" s="1110" t="e">
        <f>IF('A-80 DirEntInv'!#REF!&lt;&gt;"",'A-80 DirEntInv'!#REF!,IF(AK130=summaryref2!B19,summaryref2!I19,IF(Summary!AK130=summaryref2!B33,summaryref2!I33,IF(AK130=summaryref2!B47,summaryref2!I47,IF(AK130=summaryref2!B61,summaryref2!I61,IF(AK130=summaryref2!B75,summaryref2!I75,IF(AK130=summaryref2!B89,summaryref2!I89,IF(AK130=summaryref2!B103,summaryref2!I103,IF(AK130=summaryref2!B117,summaryref2!I117,IF(AK130=summaryref2!B131,summaryref2!I131,IF(AK130=summaryref2!B145,summaryref2!I145,"")))))))))))</f>
        <v>#REF!</v>
      </c>
      <c r="AT130" s="1110" t="e">
        <f>IF('A-80 DirEntInv'!#REF!&lt;&gt;"",'A-80 DirEntInv'!#REF!,IF(AK130=summaryref2!B19,summaryref2!J19,IF(Summary!AK130=summaryref2!B33,summaryref2!J33,IF(AK130=summaryref2!B47,summaryref2!J47,IF(AK130=summaryref2!B61,summaryref2!J61,IF(AK130=summaryref2!B75,summaryref2!J75,IF(AK130=summaryref2!B89,summaryref2!J89,IF(AK130=summaryref2!B103,summaryref2!J103,IF(AK130=summaryref2!B117,summaryref2!J117,IF(AK130=summaryref2!B131,summaryref2!J131,IF(AK130=summaryref2!B145,summaryref2!J145,"")))))))))))</f>
        <v>#REF!</v>
      </c>
      <c r="AU130" s="1110" t="e">
        <f>IF('A-80 DirEntInv'!#REF!&lt;&gt;"",'A-80 DirEntInv'!#REF!,IF(AK130=summaryref2!B19,summaryref2!K19,IF(Summary!AK130=summaryref2!B33,summaryref2!K33,IF(AK130=summaryref2!B47,summaryref2!K47,IF(AK130=summaryref2!B61,summaryref2!K61,IF(AK130=summaryref2!B75,summaryref2!K75,IF(AK130=summaryref2!B89,summaryref2!K89,IF(AK130=summaryref2!B103,summaryref2!K103,IF(AK130=summaryref2!B117,summaryref2!K117,IF(AK130=summaryref2!B131,summaryref2!K131,IF(AK130=summaryref2!B145,summaryref2!K145,"")))))))))))</f>
        <v>#REF!</v>
      </c>
      <c r="AV130" s="1110" t="e">
        <f>IF('A-80 DirEntInv'!#REF!&lt;&gt;"",'A-80 DirEntInv'!#REF!,IF(AK130=summaryref2!B19,summaryref2!L19,IF(Summary!AK130=summaryref2!B33,summaryref2!L33,IF(AK130=summaryref2!B47,summaryref2!L47,IF(AK130=summaryref2!B61,summaryref2!L61,IF(AK130=summaryref2!B75,summaryref2!L75,IF(AK130=summaryref2!B89,summaryref2!L89,IF(AK130=summaryref2!B103,summaryref2!L103,IF(AK130=summaryref2!B117,summaryref2!L117,IF(AK130=summaryref2!B131,summaryref2!L131,IF(AK130=summaryref2!B145,summaryref2!L145,"")))))))))))</f>
        <v>#REF!</v>
      </c>
      <c r="AW130" s="1110" t="e">
        <f>IF('A-80 DirEntInv'!#REF!&lt;&gt;"",'A-80 DirEntInv'!#REF!,IF(AK130=summaryref2!B19,summaryref2!M19,IF(Summary!AK130=summaryref2!B33,summaryref2!M33,IF(AK130=summaryref2!B47,summaryref2!M47,IF(AK130=summaryref2!B61,summaryref2!M61,IF(AK130=summaryref2!B75,summaryref2!M75,IF(AK130=summaryref2!B89,summaryref2!M89,IF(AK130=summaryref2!B103,summaryref2!M103,IF(AK130=summaryref2!B117,summaryref2!M117,IF(AK130=summaryref2!B131,summaryref2!M131,IF(AK130=summaryref2!B145,summaryref2!M145,"")))))))))))</f>
        <v>#REF!</v>
      </c>
      <c r="AX130" s="1110" t="e">
        <f>IF('A-80 DirEntInv'!#REF!&lt;&gt;"",'A-80 DirEntInv'!#REF!,IF(AK130=summaryref2!B19,summaryref2!N19,IF(Summary!AK130=summaryref2!B33,summaryref2!N33,IF(AK130=summaryref2!B47,summaryref2!N47,IF(AK130=summaryref2!B61,summaryref2!N61,IF(AK130=summaryref2!B75,summaryref2!N75,IF(AK130=summaryref2!B89,summaryref2!N89,IF(AK130=summaryref2!B103,summaryref2!N103,IF(AK130=summaryref2!B117,summaryref2!N117,IF(AK130=summaryref2!B131,summaryref2!N131,IF(AK130=summaryref2!B145,summaryref2!N145,"")))))))))))</f>
        <v>#REF!</v>
      </c>
      <c r="AY130" s="1110" t="e">
        <f>IF('A-80 DirEntInv'!#REF!&lt;&gt;"",'A-80 DirEntInv'!#REF!,IF(AK130=summaryref2!B19,summaryref2!O19,IF(Summary!AK130=summaryref2!B33,summaryref2!O33,IF(AK130=summaryref2!B47,summaryref2!O47,IF(AK130=summaryref2!B61,summaryref2!O61,IF(AK130=summaryref2!B75,summaryref2!O75,IF(AK130=summaryref2!B89,summaryref2!O89,IF(AK130=summaryref2!B103,summaryref2!O103,IF(AK130=summaryref2!B117,summaryref2!O117,IF(AK130=summaryref2!B131,summaryref2!O131,IF(AK130=summaryref2!B145,summaryref2!O145,"")))))))))))</f>
        <v>#REF!</v>
      </c>
      <c r="AZ130" s="1110" t="e">
        <f>IF('A-80 DirEntInv'!#REF!&lt;&gt;"",'A-80 DirEntInv'!#REF!,IF(AK130=summaryref2!B19,summaryref2!P19,IF(Summary!AK130=summaryref2!B33,summaryref2!P33,IF(AK130=summaryref2!B47,summaryref2!P47,IF(AK130=summaryref2!B61,summaryref2!P61,IF(AK130=summaryref2!B75,summaryref2!P75,IF(AK130=summaryref2!B89,summaryref2!P89,IF(AK130=summaryref2!B103,summaryref2!P103,IF(AK130=summaryref2!B117,summaryref2!P117,IF(AK130=summaryref2!B131,summaryref2!P131,IF(AK130=summaryref2!B145,summaryref2!P145,"")))))))))))</f>
        <v>#REF!</v>
      </c>
      <c r="BA130" s="1110" t="e">
        <f>IF('A-80 DirEntInv'!#REF!&lt;&gt;"",'A-80 DirEntInv'!#REF!,IF(AK130=summaryref2!B19,summaryref2!Q19,IF(Summary!AK130=summaryref2!B33,summaryref2!Q33,IF(AK130=summaryref2!B47,summaryref2!Q47,IF(AK130=summaryref2!B61,summaryref2!Q61,IF(AK130=summaryref2!B75,summaryref2!Q75,IF(AK130=summaryref2!B89,summaryref2!Q89,IF(AK130=summaryref2!B103,summaryref2!Q103,IF(AK130=summaryref2!B117,summaryref2!Q117,IF(AK130=summaryref2!B131,summaryref2!Q131,IF(AK130=summaryref2!B145,summaryref2!Q145,"")))))))))))</f>
        <v>#REF!</v>
      </c>
      <c r="BB130" s="1110" t="e">
        <f>IF('A-80 DirEntInv'!#REF!&lt;&gt;"",'A-80 DirEntInv'!#REF!,IF(AK130=summaryref2!B19,summaryref2!R19,IF(Summary!AK130=summaryref2!B33,summaryref2!R33,IF(AK130=summaryref2!B47,summaryref2!R47,IF(AK130=summaryref2!B61,summaryref2!R61,IF(AK130=summaryref2!B75,summaryref2!R75,IF(AK130=summaryref2!B89,summaryref2!R89,IF(AK130=summaryref2!B103,summaryref2!R103,IF(AK130=summaryref2!B117,summaryref2!R117,IF(AK130=summaryref2!B131,summaryref2!R131,IF(AK130=summaryref2!B145,summaryref2!R145,"")))))))))))</f>
        <v>#REF!</v>
      </c>
      <c r="BC130" s="1110" t="e">
        <f>IF('A-80 DirEntInv'!#REF!&lt;&gt;0,'A-80 DirEntInv'!#REF!,IF(AK130=summaryref2!B19,summaryref2!S19,IF(Summary!AK130=summaryref2!B33,summaryref2!S33,IF(AK130=summaryref2!B47,summaryref2!S47,IF(AK130=summaryref2!B61,summaryref2!S61,IF(AK130=summaryref2!B75,summaryref2!S75,IF(AK130=summaryref2!B89,summaryref2!S89,IF(AK130=summaryref2!B103,summaryref2!S103,IF(AK130=summaryref2!B117,summaryref2!S117,IF(AK130=summaryref2!B131,summaryref2!S131,IF(AK130=summaryref2!B145,summaryref2!S145,"")))))))))))</f>
        <v>#REF!</v>
      </c>
      <c r="BD130" s="1111" t="e">
        <f>IF('A-80 DirEntInv'!#REF!&lt;&gt;"",'A-80 DirEntInv'!#REF!,IF(AK130=summaryref2!B19,summaryref2!T19,IF(Summary!AK130=summaryref2!B33,summaryref2!T33,IF(AK130=summaryref2!B47,summaryref2!T47,IF(AK130=summaryref2!B61,summaryref2!T61,IF(AK130=summaryref2!B75,summaryref2!T75,IF(AK130=summaryref2!B89,summaryref2!T89,IF(AK130=summaryref2!B103,summaryref2!T103,IF(AK130=summaryref2!B117,summaryref2!T117,IF(AK130=summaryref2!B131,summaryref2!T131,IF(AK130=summaryref2!B145,summaryref2!T145,"")))))))))))</f>
        <v>#REF!</v>
      </c>
      <c r="BE130" s="1184" t="e">
        <f>IF('A-80 DirEntInv'!#REF!&lt;&gt;"",'A-80 DirEntInv'!#REF!,IF(AK130=summaryref2!B19,summaryref2!U19,IF(Summary!AK130=summaryref2!B33,summaryref2!U33,IF(AK130=summaryref2!B47,summaryref2!U47,IF(AK130=summaryref2!B61,summaryref2!U61,IF(AK130=summaryref2!B75,summaryref2!U75,IF(AK130=summaryref2!B89,summaryref2!U89,IF(AK130=summaryref2!B103,summaryref2!U103,IF(AK130=summaryref2!B117,summaryref2!U117,IF(AK130=summaryref2!B131,summaryref2!U131,IF(AK130=summaryref2!B145,summaryref2!U145,"")))))))))))</f>
        <v>#REF!</v>
      </c>
      <c r="BF130" s="1432"/>
      <c r="BG130" s="1432"/>
      <c r="BJ130" s="1043" t="str">
        <f>Codes!$C$173</f>
        <v>YR - Hybrid Rail (DO)</v>
      </c>
      <c r="BK130" s="1303" t="str">
        <f>Valid!$B$80</f>
        <v>Tangent</v>
      </c>
      <c r="BL130" s="1366" t="e">
        <f>IF('A-80 DirEntInv'!#REF!&lt;&gt;"",'A-80 DirEntInv'!#REF!,IF(BJ130=summaryref2!X12,summaryref2!Z12,IF(BJ130=summaryref2!X19,summaryref2!Z19,IF(BJ130=summaryref2!X26,summaryref2!Z26,IF(BJ130=summaryref2!X33,summaryref2!Z33,IF(BJ130=summaryref2!X40,summaryref2!Z40,IF(BJ130=summaryref2!X47,summaryref2!Z47,IF(BJ130=summaryref2!X54,summaryref2!Z54,IF(BJ130=summaryref2!X61,summaryref2!Z61,IF(BJ130=summaryref2!X68,summaryref2!Z68,IF(BJ130=summaryref2!X75,summaryref2!Z75,"")))))))))))</f>
        <v>#REF!</v>
      </c>
      <c r="BM130" s="1303" t="str">
        <f>VLOOKUP(BK130,Valid!$B$80:$C$86,2,FALSE)</f>
        <v>Track Feet</v>
      </c>
      <c r="BN130" s="1208" t="e">
        <f>IF('A-80 DirEntInv'!#REF!&lt;&gt;"",'A-80 DirEntInv'!#REF!,IF(BJ130=summaryref2!X12,summaryref2!AB12,IF(BJ130=summaryref2!X19,summaryref2!AB19,IF(BJ130=summaryref2!X26,summaryref2!AB26,IF(BJ130=summaryref2!X33,summaryref2!AB33,IF(BJ130=summaryref2!X40,summaryref2!AB40,IF(BJ130=summaryref2!X47,summaryref2!AB47,IF(BJ130=summaryref2!X54,summaryref2!AB54,IF(BJ130=summaryref2!X61,summaryref2!AB61,IF(BJ130=summaryref2!X68,summaryref2!AB68,IF(BJ130=summaryref2!X75,summaryref2!AB75,"")))))))))))</f>
        <v>#REF!</v>
      </c>
      <c r="BO130" s="1112" t="e">
        <f>IF('A-80 DirEntInv'!#REF!&lt;&gt;"",'A-80 DirEntInv'!#REF!,IF(BJ130=summaryref2!X12,summaryref2!AC12,IF(BJ130=summaryref2!X19,summaryref2!AC19,IF(BJ130=summaryref2!X26,summaryref2!AC26,IF(BJ130=summaryref2!X33,summaryref2!AC33,IF(BJ130=summaryref2!X40,summaryref2!AC40,IF(BJ130=summaryref2!X47,summaryref2!AC47,IF(BJ130=summaryref2!X54,summaryref2!AC54,IF(BJ130=summaryref2!X61,summaryref2!AC61,IF(BJ130=summaryref2!X68,summaryref2!AC68,IF(BJ130=summaryref2!X75,summaryref2!AC75,"")))))))))))</f>
        <v>#REF!</v>
      </c>
      <c r="BP130" s="1320" t="e">
        <f>IF('A-80 DirEntInv'!#REF!&lt;&gt;"",'A-80 DirEntInv'!#REF!,IF(BJ130=summaryref2!X12,summaryref2!AD12,IF(BJ130=summaryref2!X19,summaryref2!AD19,IF(BJ130=summaryref2!X26,summaryref2!AD26,IF(BJ130=summaryref2!X33,summaryref2!AD33,IF(BJ130=summaryref2!X40,summaryref2!AD40,IF(BJ130=summaryref2!X47,summaryref2!AD47,IF(BJ130=summaryref2!X54,summaryref2!AD54,IF(BJ130=summaryref2!X61,summaryref2!AD61,IF(BJ130=summaryref2!X68,summaryref2!AD68,IF(BJ130=summaryref2!X75,summaryref2!AD75,"")))))))))))</f>
        <v>#REF!</v>
      </c>
      <c r="BU130" s="962"/>
      <c r="CD130" s="589"/>
      <c r="CE130" s="590"/>
      <c r="CF130" s="590"/>
      <c r="CG130" s="590"/>
      <c r="CH130" s="590"/>
      <c r="CI130" s="590"/>
      <c r="CJ130" s="589"/>
      <c r="CK130" s="589"/>
      <c r="CL130" s="589"/>
      <c r="CM130" s="587"/>
      <c r="CN130" s="587"/>
      <c r="CO130" s="589"/>
      <c r="CP130" s="587"/>
      <c r="CQ130" s="592"/>
      <c r="CR130" s="589"/>
      <c r="CS130" s="592"/>
      <c r="CT130" s="589"/>
      <c r="CU130" s="589"/>
      <c r="CV130" s="589"/>
      <c r="CW130" s="587"/>
      <c r="CX130" s="590"/>
      <c r="CY130" s="590"/>
      <c r="CZ130" s="590"/>
      <c r="DA130" s="1054"/>
      <c r="DB130" s="1054"/>
      <c r="DC130" s="587"/>
      <c r="DD130" s="587"/>
    </row>
    <row r="131" spans="1:108" s="588" customFormat="1" ht="13.5" thickBot="1" x14ac:dyDescent="0.25">
      <c r="A131" s="589">
        <f t="shared" si="1"/>
        <v>121</v>
      </c>
      <c r="B131" s="587"/>
      <c r="C131" s="587"/>
      <c r="D131" s="587"/>
      <c r="J131" s="589"/>
      <c r="K131" s="590"/>
      <c r="L131" s="591"/>
      <c r="M131" s="592"/>
      <c r="N131" s="589"/>
      <c r="O131" s="587"/>
      <c r="R131" s="1052"/>
      <c r="S131" s="1052"/>
      <c r="T131" s="1052"/>
      <c r="U131" s="1052"/>
      <c r="V131" s="1052"/>
      <c r="W131" s="1053"/>
      <c r="X131" s="1053"/>
      <c r="Y131" s="1053"/>
      <c r="Z131" s="1052"/>
      <c r="AA131" s="1052"/>
      <c r="AB131" s="962"/>
      <c r="AC131" s="590"/>
      <c r="AD131" s="590"/>
      <c r="AE131" s="591"/>
      <c r="AF131" s="592"/>
      <c r="AG131" s="1053"/>
      <c r="AH131" s="587"/>
      <c r="AJ131" s="589"/>
      <c r="AK131" s="1048" t="str">
        <f>Codes!$C$164</f>
        <v>HR - Heavy Rail (PT)</v>
      </c>
      <c r="AL131" s="1049" t="str">
        <f>Valid!$B$79</f>
        <v>Below-Grade/Submerged Tube</v>
      </c>
      <c r="AM131" s="1119" t="e">
        <f>IF('A-80 DirEntInv'!#REF!&lt;&gt;"",'A-80 DirEntInv'!#REF!,IF(AK131=summaryref2!B20,summaryref2!D20,IF(Summary!AK131=summaryref2!B34,summaryref2!D34,IF(AK131=summaryref2!B48,summaryref2!D48,IF(AK131=summaryref2!B62,summaryref2!D62,IF(AK131=summaryref2!B76,summaryref2!D76,IF(AK131=summaryref2!B90,summaryref2!D90,IF(AK131=summaryref2!B104,summaryref2!D104,IF(AK131=summaryref2!B118,summaryref2!D118,IF(AK131=summaryref2!B132,summaryref2!D132,IF(AK131=summaryref2!B146,summaryref2!D146,"")))))))))))</f>
        <v>#REF!</v>
      </c>
      <c r="AN131" s="1120" t="e">
        <f ca="1">IF('A-80 DirEntInv'!#REF!&lt;&gt;"",'A-80 DirEntInv'!#REF!,IF(INDIRECT(ADDRESS(SumRef!CG127,SumRef!CG$16,,,SumRef!$C$7))="","",INDIRECT(ADDRESS(SumRef!CG127,SumRef!CG$16,,,SumRef!$C$7))))</f>
        <v>#REF!</v>
      </c>
      <c r="AO131" s="1119" t="e">
        <f>IF('A-80 DirEntInv'!#REF!&lt;&gt;"",'A-80 DirEntInv'!#REF!,IF(AK131=summaryref2!B20,summaryref2!F20,IF(Summary!AK131=summaryref2!B34,summaryref2!F34,IF(AK131=summaryref2!B48,summaryref2!F48,IF(AK131=summaryref2!B62,summaryref2!F62,IF(AK131=summaryref2!B76,summaryref2!F76,IF(AK131=summaryref2!B90,summaryref2!F90,IF(AK131=summaryref2!B104,summaryref2!F104,IF(AK131=summaryref2!B118,summaryref2!F118,IF(AK131=summaryref2!B132,summaryref2!F132,IF(AK131=summaryref2!B146,summaryref2!F146,"")))))))))))</f>
        <v>#REF!</v>
      </c>
      <c r="AP131" s="1120" t="e">
        <f ca="1">IF('A-80 DirEntInv'!#REF!&lt;&gt;"",'A-80 DirEntInv'!#REF!,IF(INDIRECT(ADDRESS(SumRef!#REF!,SumRef!#REF!,,,SumRef!$C$7))="","",INDIRECT(ADDRESS(SumRef!#REF!,SumRef!#REF!,,,SumRef!$C$7))))</f>
        <v>#REF!</v>
      </c>
      <c r="AQ131" s="1148" t="e">
        <f>IF('A-80 DirEntInv'!#REF!&lt;&gt;"",'A-80 DirEntInv'!#REF!,IF(AK131=summaryref2!B20,summaryref2!G20,IF(Summary!AK131=summaryref2!B34,summaryref2!G34,IF(AK131=summaryref2!B48,summaryref2!G48,IF(AK131=summaryref2!B62,summaryref2!G62,IF(AK131=summaryref2!B76,summaryref2!G76,IF(AK131=summaryref2!B90,summaryref2!G90,IF(AK131=summaryref2!B104,summaryref2!G104,IF(AK131=summaryref2!B118,summaryref2!G118,IF(AK131=summaryref2!B132,summaryref2!G132,IF(AK131=summaryref2!B146,summaryref2!G146,"")))))))))))</f>
        <v>#REF!</v>
      </c>
      <c r="AR131" s="1148" t="e">
        <f>IF('A-80 DirEntInv'!#REF!&lt;&gt;"",'A-80 DirEntInv'!#REF!,IF(AK131=summaryref2!B20,summaryref2!H20,IF(Summary!AK131=summaryref2!B34,summaryref2!H34,IF(AK131=summaryref2!B48,summaryref2!H48,IF(AK131=summaryref2!B62,summaryref2!H62,IF(AK131=summaryref2!B76,summaryref2!H76,IF(AK131=summaryref2!B90,summaryref2!H90,IF(AK131=summaryref2!B104,summaryref2!H104,IF(AK131=summaryref2!B118,summaryref2!H118,IF(AK131=summaryref2!B132,summaryref2!H132,IF(AK131=summaryref2!B146,summaryref2!H146,"")))))))))))</f>
        <v>#REF!</v>
      </c>
      <c r="AS131" s="1121" t="e">
        <f>IF('A-80 DirEntInv'!#REF!&lt;&gt;"",'A-80 DirEntInv'!#REF!,IF(AK131=summaryref2!B20,summaryref2!I20,IF(Summary!AK131=summaryref2!B34,summaryref2!I34,IF(AK131=summaryref2!B48,summaryref2!I48,IF(AK131=summaryref2!B62,summaryref2!I62,IF(AK131=summaryref2!B76,summaryref2!I76,IF(AK131=summaryref2!B90,summaryref2!I90,IF(AK131=summaryref2!B104,summaryref2!I104,IF(AK131=summaryref2!B118,summaryref2!I118,IF(AK131=summaryref2!B132,summaryref2!I132,IF(AK131=summaryref2!B146,summaryref2!I146,"")))))))))))</f>
        <v>#REF!</v>
      </c>
      <c r="AT131" s="1121" t="e">
        <f>IF('A-80 DirEntInv'!#REF!&lt;&gt;"",'A-80 DirEntInv'!#REF!,IF(AK131=summaryref2!B20,summaryref2!J20,IF(Summary!AK131=summaryref2!B34,summaryref2!J34,IF(AK131=summaryref2!B48,summaryref2!J48,IF(AK131=summaryref2!B62,summaryref2!J62,IF(AK131=summaryref2!B76,summaryref2!J76,IF(AK131=summaryref2!B90,summaryref2!J90,IF(AK131=summaryref2!B104,summaryref2!J104,IF(AK131=summaryref2!B118,summaryref2!J118,IF(AK131=summaryref2!B132,summaryref2!J132,IF(AK131=summaryref2!B146,summaryref2!J146,"")))))))))))</f>
        <v>#REF!</v>
      </c>
      <c r="AU131" s="1121" t="e">
        <f>IF('A-80 DirEntInv'!#REF!&lt;&gt;"",'A-80 DirEntInv'!#REF!,IF(AK131=summaryref2!B20,summaryref2!K20,IF(Summary!AK131=summaryref2!B34,summaryref2!K34,IF(AK131=summaryref2!B48,summaryref2!K48,IF(AK131=summaryref2!B62,summaryref2!K62,IF(AK131=summaryref2!B76,summaryref2!K76,IF(AK131=summaryref2!B90,summaryref2!K90,IF(AK131=summaryref2!B104,summaryref2!K104,IF(AK131=summaryref2!B118,summaryref2!K118,IF(AK131=summaryref2!B132,summaryref2!K132,IF(AK131=summaryref2!B146,summaryref2!K146,"")))))))))))</f>
        <v>#REF!</v>
      </c>
      <c r="AV131" s="1121" t="e">
        <f>IF('A-80 DirEntInv'!#REF!&lt;&gt;"",'A-80 DirEntInv'!#REF!,IF(AK131=summaryref2!B20,summaryref2!L20,IF(Summary!AK131=summaryref2!B34,summaryref2!L34,IF(AK131=summaryref2!B48,summaryref2!L48,IF(AK131=summaryref2!B62,summaryref2!L62,IF(AK131=summaryref2!B76,summaryref2!L76,IF(AK131=summaryref2!B90,summaryref2!L90,IF(AK131=summaryref2!B104,summaryref2!L104,IF(AK131=summaryref2!B118,summaryref2!L118,IF(AK131=summaryref2!B132,summaryref2!L132,IF(AK131=summaryref2!B146,summaryref2!L146,"")))))))))))</f>
        <v>#REF!</v>
      </c>
      <c r="AW131" s="1121" t="e">
        <f>IF('A-80 DirEntInv'!#REF!&lt;&gt;"",'A-80 DirEntInv'!#REF!,IF(AK131=summaryref2!B20,summaryref2!M20,IF(Summary!AK131=summaryref2!B34,summaryref2!M34,IF(AK131=summaryref2!B48,summaryref2!M48,IF(AK131=summaryref2!B62,summaryref2!M62,IF(AK131=summaryref2!B76,summaryref2!M76,IF(AK131=summaryref2!B90,summaryref2!M90,IF(AK131=summaryref2!B104,summaryref2!M104,IF(AK131=summaryref2!B118,summaryref2!M118,IF(AK131=summaryref2!B132,summaryref2!M132,IF(AK131=summaryref2!B146,summaryref2!M146,"")))))))))))</f>
        <v>#REF!</v>
      </c>
      <c r="AX131" s="1121" t="e">
        <f>IF('A-80 DirEntInv'!#REF!&lt;&gt;"",'A-80 DirEntInv'!#REF!,IF(AK131=summaryref2!B20,summaryref2!N20,IF(Summary!AK131=summaryref2!B34,summaryref2!N34,IF(AK131=summaryref2!B48,summaryref2!N48,IF(AK131=summaryref2!B62,summaryref2!N62,IF(AK131=summaryref2!B76,summaryref2!N76,IF(AK131=summaryref2!B90,summaryref2!N90,IF(AK131=summaryref2!B104,summaryref2!N104,IF(AK131=summaryref2!B118,summaryref2!N118,IF(AK131=summaryref2!B132,summaryref2!N132,IF(AK131=summaryref2!B146,summaryref2!N146,"")))))))))))</f>
        <v>#REF!</v>
      </c>
      <c r="AY131" s="1121" t="e">
        <f>IF('A-80 DirEntInv'!#REF!&lt;&gt;"",'A-80 DirEntInv'!#REF!,IF(AK131=summaryref2!B20,summaryref2!O20,IF(Summary!AK131=summaryref2!B34,summaryref2!O34,IF(AK131=summaryref2!B48,summaryref2!O48,IF(AK131=summaryref2!B62,summaryref2!O62,IF(AK131=summaryref2!B76,summaryref2!O76,IF(AK131=summaryref2!B90,summaryref2!O90,IF(AK131=summaryref2!B104,summaryref2!O104,IF(AK131=summaryref2!B118,summaryref2!O118,IF(AK131=summaryref2!B132,summaryref2!O132,IF(AK131=summaryref2!B146,summaryref2!O146,"")))))))))))</f>
        <v>#REF!</v>
      </c>
      <c r="AZ131" s="1121" t="e">
        <f>IF('A-80 DirEntInv'!#REF!&lt;&gt;"",'A-80 DirEntInv'!#REF!,IF(AK131=summaryref2!B20,summaryref2!P20,IF(Summary!AK131=summaryref2!B34,summaryref2!P34,IF(AK131=summaryref2!B48,summaryref2!P48,IF(AK131=summaryref2!B62,summaryref2!P62,IF(AK131=summaryref2!B76,summaryref2!P76,IF(AK131=summaryref2!B90,summaryref2!P90,IF(AK131=summaryref2!B104,summaryref2!P104,IF(AK131=summaryref2!B118,summaryref2!P118,IF(AK131=summaryref2!B132,summaryref2!P132,IF(AK131=summaryref2!B146,summaryref2!P146,"")))))))))))</f>
        <v>#REF!</v>
      </c>
      <c r="BA131" s="1121" t="e">
        <f>IF('A-80 DirEntInv'!#REF!&lt;&gt;"",'A-80 DirEntInv'!#REF!,IF(AK131=summaryref2!B20,summaryref2!Q20,IF(Summary!AK131=summaryref2!B34,summaryref2!Q34,IF(AK131=summaryref2!B48,summaryref2!Q48,IF(AK131=summaryref2!B62,summaryref2!Q62,IF(AK131=summaryref2!B76,summaryref2!Q76,IF(AK131=summaryref2!B90,summaryref2!Q90,IF(AK131=summaryref2!B104,summaryref2!Q104,IF(AK131=summaryref2!B118,summaryref2!Q118,IF(AK131=summaryref2!B132,summaryref2!Q132,IF(AK131=summaryref2!B146,summaryref2!Q146,"")))))))))))</f>
        <v>#REF!</v>
      </c>
      <c r="BB131" s="1121" t="e">
        <f>IF('A-80 DirEntInv'!#REF!&lt;&gt;"",'A-80 DirEntInv'!#REF!,IF(AK131=summaryref2!B20,summaryref2!R20,IF(Summary!AK131=summaryref2!B34,summaryref2!R34,IF(AK131=summaryref2!B48,summaryref2!R48,IF(AK131=summaryref2!B62,summaryref2!R62,IF(AK131=summaryref2!B76,summaryref2!R76,IF(AK131=summaryref2!B90,summaryref2!R90,IF(AK131=summaryref2!B104,summaryref2!R104,IF(AK131=summaryref2!B118,summaryref2!R118,IF(AK131=summaryref2!B132,summaryref2!R132,IF(AK131=summaryref2!B146,summaryref2!R146,"")))))))))))</f>
        <v>#REF!</v>
      </c>
      <c r="BC131" s="1121" t="e">
        <f>IF('A-80 DirEntInv'!#REF!&lt;&gt;0,'A-80 DirEntInv'!#REF!,IF(AK131=summaryref2!B20,summaryref2!S20,IF(Summary!AK131=summaryref2!B34,summaryref2!S34,IF(AK131=summaryref2!B48,summaryref2!S48,IF(AK131=summaryref2!B62,summaryref2!S62,IF(AK131=summaryref2!B76,summaryref2!S76,IF(AK131=summaryref2!B90,summaryref2!S90,IF(AK131=summaryref2!B104,summaryref2!S104,IF(AK131=summaryref2!B118,summaryref2!S118,IF(AK131=summaryref2!B132,summaryref2!S132,IF(AK131=summaryref2!B146,summaryref2!S146,"")))))))))))</f>
        <v>#REF!</v>
      </c>
      <c r="BD131" s="1122" t="e">
        <f>IF('A-80 DirEntInv'!#REF!&lt;&gt;"",'A-80 DirEntInv'!#REF!,IF(AK131=summaryref2!B20,summaryref2!T20,IF(Summary!AK131=summaryref2!B34,summaryref2!T34,IF(AK131=summaryref2!B48,summaryref2!T48,IF(AK131=summaryref2!B62,summaryref2!T62,IF(AK131=summaryref2!B76,summaryref2!T76,IF(AK131=summaryref2!B90,summaryref2!T90,IF(AK131=summaryref2!B104,summaryref2!T104,IF(AK131=summaryref2!B118,summaryref2!T118,IF(AK131=summaryref2!B132,summaryref2!T132,IF(AK131=summaryref2!B146,summaryref2!T146,"")))))))))))</f>
        <v>#REF!</v>
      </c>
      <c r="BE131" s="1190" t="e">
        <f>IF('A-80 DirEntInv'!#REF!&lt;&gt;"",'A-80 DirEntInv'!#REF!,IF(AK131=summaryref2!B20,summaryref2!U20,IF(Summary!AK131=summaryref2!B34,summaryref2!U34,IF(AK131=summaryref2!B48,summaryref2!U48,IF(AK131=summaryref2!B62,summaryref2!U62,IF(AK131=summaryref2!B76,summaryref2!U76,IF(AK131=summaryref2!B90,summaryref2!U90,IF(AK131=summaryref2!B104,summaryref2!U104,IF(AK131=summaryref2!B118,summaryref2!U118,IF(AK131=summaryref2!B132,summaryref2!U132,IF(AK131=summaryref2!B146,summaryref2!U146,"")))))))))))</f>
        <v>#REF!</v>
      </c>
      <c r="BF131" s="1432"/>
      <c r="BG131" s="1432"/>
      <c r="BJ131" s="1048" t="str">
        <f>Codes!$C$173</f>
        <v>YR - Hybrid Rail (DO)</v>
      </c>
      <c r="BK131" s="1049" t="str">
        <f>Valid!$B$81</f>
        <v>Curve</v>
      </c>
      <c r="BL131" s="1367" t="e">
        <f>IF('A-80 DirEntInv'!#REF!&lt;&gt;"",'A-80 DirEntInv'!#REF!,IF(BJ131=summaryref2!X13,summaryref2!Z13,IF(BJ131=summaryref2!X20,summaryref2!Z20,IF(BJ131=summaryref2!X27,summaryref2!Z27,IF(BJ131=summaryref2!X34,summaryref2!Z34,IF(BJ131=summaryref2!X41,summaryref2!Z41,IF(BJ131=summaryref2!X48,summaryref2!Z48,IF(BJ131=summaryref2!X55,summaryref2!Z55,IF(BJ131=summaryref2!X62,summaryref2!Z62,IF(BJ131=summaryref2!X69,summaryref2!Z69,IF(BJ131=summaryref2!X76,summaryref2!Z76,"")))))))))))</f>
        <v>#REF!</v>
      </c>
      <c r="BM131" s="1049" t="str">
        <f>VLOOKUP(BK131,Valid!$B$80:$C$86,2,FALSE)</f>
        <v>Track Feet</v>
      </c>
      <c r="BN131" s="1324" t="e">
        <f>IF('A-80 DirEntInv'!#REF!&lt;&gt;"",'A-80 DirEntInv'!#REF!,IF(BJ131=summaryref2!X13,summaryref2!AB13,IF(BJ131=summaryref2!X20,summaryref2!AB20,IF(BJ131=summaryref2!X27,summaryref2!AB27,IF(BJ131=summaryref2!X34,summaryref2!AB34,IF(BJ131=summaryref2!X41,summaryref2!AB41,IF(BJ131=summaryref2!X48,summaryref2!AB48,IF(BJ131=summaryref2!X55,summaryref2!AB55,IF(BJ131=summaryref2!X62,summaryref2!AB62,IF(BJ131=summaryref2!X69,summaryref2!AB69,IF(BJ131=summaryref2!X76,summaryref2!AB76,"")))))))))))</f>
        <v>#REF!</v>
      </c>
      <c r="BO131" s="1326" t="e">
        <f>IF('A-80 DirEntInv'!#REF!&lt;&gt;"",'A-80 DirEntInv'!#REF!,IF(BJ131=summaryref2!X13,summaryref2!AC13,IF(BJ131=summaryref2!X20,summaryref2!AC20,IF(BJ131=summaryref2!X27,summaryref2!AC27,IF(BJ131=summaryref2!X34,summaryref2!AC34,IF(BJ131=summaryref2!X41,summaryref2!AC41,IF(BJ131=summaryref2!X48,summaryref2!AC48,IF(BJ131=summaryref2!X55,summaryref2!AC55,IF(BJ131=summaryref2!X62,summaryref2!AC62,IF(BJ131=summaryref2!X69,summaryref2!AC69,IF(BJ131=summaryref2!X76,summaryref2!AC76,"")))))))))))</f>
        <v>#REF!</v>
      </c>
      <c r="BP131" s="1323" t="e">
        <f>IF('A-80 DirEntInv'!#REF!&lt;&gt;"",'A-80 DirEntInv'!#REF!,IF(BJ131=summaryref2!X13,summaryref2!AD13,IF(BJ131=summaryref2!X20,summaryref2!AD20,IF(BJ131=summaryref2!X27,summaryref2!AD27,IF(BJ131=summaryref2!X34,summaryref2!AD34,IF(BJ131=summaryref2!X41,summaryref2!AD41,IF(BJ131=summaryref2!X48,summaryref2!AD48,IF(BJ131=summaryref2!X55,summaryref2!AD55,IF(BJ131=summaryref2!X62,summaryref2!AD62,IF(BJ131=summaryref2!X69,summaryref2!AD69,IF(BJ131=summaryref2!X76,summaryref2!AD76,"")))))))))))</f>
        <v>#REF!</v>
      </c>
      <c r="BU131" s="962"/>
      <c r="CD131" s="589"/>
      <c r="CE131" s="590"/>
      <c r="CF131" s="590"/>
      <c r="CG131" s="590"/>
      <c r="CH131" s="590"/>
      <c r="CI131" s="590"/>
      <c r="CJ131" s="589"/>
      <c r="CK131" s="589"/>
      <c r="CL131" s="589"/>
      <c r="CM131" s="587"/>
      <c r="CN131" s="587"/>
      <c r="CO131" s="589"/>
      <c r="CP131" s="587"/>
      <c r="CQ131" s="592"/>
      <c r="CR131" s="589"/>
      <c r="CS131" s="592"/>
      <c r="CT131" s="589"/>
      <c r="CU131" s="589"/>
      <c r="CV131" s="589"/>
      <c r="CW131" s="587"/>
      <c r="CX131" s="590"/>
      <c r="CY131" s="590"/>
      <c r="CZ131" s="590"/>
      <c r="DA131" s="1054"/>
      <c r="DB131" s="1054"/>
      <c r="DC131" s="587"/>
      <c r="DD131" s="587"/>
    </row>
    <row r="132" spans="1:108" s="588" customFormat="1" ht="13.5" thickTop="1" x14ac:dyDescent="0.2">
      <c r="A132" s="589">
        <f t="shared" si="1"/>
        <v>122</v>
      </c>
      <c r="B132" s="587"/>
      <c r="C132" s="587"/>
      <c r="D132" s="587"/>
      <c r="J132" s="589"/>
      <c r="K132" s="590"/>
      <c r="L132" s="591"/>
      <c r="M132" s="592"/>
      <c r="N132" s="589"/>
      <c r="O132" s="587"/>
      <c r="R132" s="1052"/>
      <c r="S132" s="1052"/>
      <c r="T132" s="1052"/>
      <c r="U132" s="1052"/>
      <c r="V132" s="1052"/>
      <c r="W132" s="1053"/>
      <c r="X132" s="1053"/>
      <c r="Y132" s="1053"/>
      <c r="Z132" s="1052"/>
      <c r="AA132" s="1052"/>
      <c r="AB132" s="962"/>
      <c r="AC132" s="590"/>
      <c r="AD132" s="590"/>
      <c r="AE132" s="591"/>
      <c r="AF132" s="592"/>
      <c r="AG132" s="1053"/>
      <c r="AH132" s="587"/>
      <c r="AK132" s="1181" t="str">
        <f>Codes!$C$164</f>
        <v>HR - Heavy Rail (PT)</v>
      </c>
      <c r="AL132" s="1182" t="str">
        <f>Valid!$B$87</f>
        <v>Substation Building</v>
      </c>
      <c r="AM132" s="1123" t="e">
        <f>IF('A-80 DirEntInv'!#REF!&lt;&gt;"",'A-80 DirEntInv'!#REF!,IF(AK132=summaryref2!B21,summaryref2!D21,IF(Summary!AK132=summaryref2!B35,summaryref2!D35,IF(AK132=summaryref2!B49,summaryref2!D49,IF(AK132=summaryref2!B63,summaryref2!D63,IF(AK132=summaryref2!B77,summaryref2!D77,IF(AK132=summaryref2!B91,summaryref2!D91,IF(AK132=summaryref2!B105,summaryref2!D105,IF(AK132=summaryref2!B119,summaryref2!D119,IF(AK132=summaryref2!B133,summaryref2!D133,IF(AK132=summaryref2!B197,summaryref2!D147,"")))))))))))</f>
        <v>#REF!</v>
      </c>
      <c r="AN132" s="1359" t="e">
        <f ca="1">IF('A-80 DirEntInv'!#REF!&lt;&gt;"",'A-80 DirEntInv'!#REF!,IF(INDIRECT(ADDRESS(SumRef!CG142,SumRef!CG$16,,,SumRef!$C$7))="","",INDIRECT(ADDRESS(SumRef!CG142,SumRef!CG$16,,,SumRef!$C$7))))</f>
        <v>#REF!</v>
      </c>
      <c r="AO132" s="1123"/>
      <c r="AP132" s="1359"/>
      <c r="AQ132" s="1149" t="e">
        <f>IF('A-80 DirEntInv'!#REF!&lt;&gt;"",'A-80 DirEntInv'!#REF!,IF(AK132=summaryref2!B21,summaryref2!G21,IF(Summary!AK132=summaryref2!B35,summaryref2!G35,IF(AK132=summaryref2!B49,summaryref2!G49,IF(AK132=summaryref2!B63,summaryref2!G63,IF(AK132=summaryref2!B77,summaryref2!G77,IF(AK132=summaryref2!B91,summaryref2!G91,IF(AK132=summaryref2!B105,summaryref2!G105,IF(AK132=summaryref2!B119,summaryref2!G119,IF(AK132=summaryref2!B133,summaryref2!G133,IF(AK132=summaryref2!B147,summaryref2!G147,"")))))))))))</f>
        <v>#REF!</v>
      </c>
      <c r="AR132" s="1149" t="e">
        <f>IF('A-80 DirEntInv'!#REF!&lt;&gt;"",'A-80 DirEntInv'!#REF!,IF(AK132=summaryref2!B21,summaryref2!H21,IF(Summary!AK132=summaryref2!B35,summaryref2!H35,IF(AK132=summaryref2!B49,summaryref2!H49,IF(AK132=summaryref2!B63,summaryref2!H63,IF(AK132=summaryref2!B77,summaryref2!H77,IF(AK132=summaryref2!B91,summaryref2!H91,IF(AK132=summaryref2!B105,summaryref2!H105,IF(AK132=summaryref2!B119,summaryref2!H119,IF(AK132=summaryref2!B133,summaryref2!H133,IF(AK132=summaryref2!B147,summaryref2!H147,"")))))))))))</f>
        <v>#REF!</v>
      </c>
      <c r="AS132" s="1125" t="e">
        <f>IF('A-80 DirEntInv'!#REF!&lt;&gt;"",'A-80 DirEntInv'!#REF!,IF(AK132=summaryref2!B21,summaryref2!I21,IF(Summary!AK132=summaryref2!B35,summaryref2!I35,IF(AK132=summaryref2!B49,summaryref2!I49,IF(AK132=summaryref2!B63,summaryref2!I63,IF(AK132=summaryref2!B77,summaryref2!I77,IF(AK132=summaryref2!B91,summaryref2!I91,IF(AK132=summaryref2!B105,summaryref2!I105,IF(AK132=summaryref2!B119,summaryref2!I119,IF(AK132=summaryref2!B133,summaryref2!I133,IF(AK132=summaryref2!B147,summaryref2!I147,"")))))))))))</f>
        <v>#REF!</v>
      </c>
      <c r="AT132" s="1125" t="e">
        <f>IF('A-80 DirEntInv'!#REF!&lt;&gt;"",'A-80 DirEntInv'!#REF!,IF(AK132=summaryref2!B21,summaryref2!J21,IF(Summary!AK132=summaryref2!B35,summaryref2!J35,IF(AK132=summaryref2!B49,summaryref2!J49,IF(AK132=summaryref2!B63,summaryref2!J63,IF(AK132=summaryref2!B77,summaryref2!J77,IF(AK132=summaryref2!B91,summaryref2!J91,IF(AK132=summaryref2!B105,summaryref2!J105,IF(AK132=summaryref2!B119,summaryref2!J119,IF(AK132=summaryref2!B133,summaryref2!J133,IF(AK132=summaryref2!B147,summaryref2!J147,"")))))))))))</f>
        <v>#REF!</v>
      </c>
      <c r="AU132" s="1125" t="e">
        <f>IF('A-80 DirEntInv'!#REF!&lt;&gt;"",'A-80 DirEntInv'!#REF!,IF(AK132=summaryref2!B21,summaryref2!K21,IF(Summary!AK132=summaryref2!B35,summaryref2!K35,IF(AK132=summaryref2!B49,summaryref2!K49,IF(AK132=summaryref2!B63,summaryref2!K63,IF(AK132=summaryref2!B77,summaryref2!K77,IF(AK132=summaryref2!B91,summaryref2!K91,IF(AK132=summaryref2!B105,summaryref2!K105,IF(AK132=summaryref2!B119,summaryref2!K119,IF(AK132=summaryref2!B133,summaryref2!K133,IF(AK132=summaryref2!B147,summaryref2!K147,"")))))))))))</f>
        <v>#REF!</v>
      </c>
      <c r="AV132" s="1125" t="e">
        <f>IF('A-80 DirEntInv'!#REF!&lt;&gt;"",'A-80 DirEntInv'!#REF!,IF(AK132=summaryref2!B21,summaryref2!L21,IF(Summary!AK132=summaryref2!B35,summaryref2!L35,IF(AK132=summaryref2!B49,summaryref2!L49,IF(AK132=summaryref2!B63,summaryref2!L63,IF(AK132=summaryref2!B77,summaryref2!L77,IF(AK132=summaryref2!B91,summaryref2!L91,IF(AK132=summaryref2!B105,summaryref2!L105,IF(AK132=summaryref2!B119,summaryref2!L119,IF(AK132=summaryref2!B133,summaryref2!L133,IF(AK132=summaryref2!B147,summaryref2!L147,"")))))))))))</f>
        <v>#REF!</v>
      </c>
      <c r="AW132" s="1125" t="e">
        <f>IF('A-80 DirEntInv'!#REF!&lt;&gt;"",'A-80 DirEntInv'!#REF!,IF(AK132=summaryref2!B21,summaryref2!M21,IF(Summary!AK132=summaryref2!B35,summaryref2!M35,IF(AK132=summaryref2!B49,summaryref2!M49,IF(AK132=summaryref2!B63,summaryref2!M63,IF(AK132=summaryref2!B77,summaryref2!M77,IF(AK132=summaryref2!B91,summaryref2!M91,IF(AK132=summaryref2!B105,summaryref2!M105,IF(AK132=summaryref2!B119,summaryref2!M119,IF(AK132=summaryref2!B133,summaryref2!M133,IF(AK132=summaryref2!B147,summaryref2!M147,"")))))))))))</f>
        <v>#REF!</v>
      </c>
      <c r="AX132" s="1125" t="e">
        <f>IF('A-80 DirEntInv'!#REF!&lt;&gt;"",'A-80 DirEntInv'!#REF!,IF(AK132=summaryref2!B21,summaryref2!N21,IF(Summary!AK132=summaryref2!B35,summaryref2!N35,IF(AK132=summaryref2!B49,summaryref2!N49,IF(AK132=summaryref2!B63,summaryref2!N63,IF(AK132=summaryref2!B77,summaryref2!N77,IF(AK132=summaryref2!B91,summaryref2!N91,IF(AK132=summaryref2!B105,summaryref2!N105,IF(AK132=summaryref2!B119,summaryref2!N119,IF(AK132=summaryref2!B133,summaryref2!N133,IF(AK132=summaryref2!B147,summaryref2!N147,"")))))))))))</f>
        <v>#REF!</v>
      </c>
      <c r="AY132" s="1125" t="e">
        <f>IF('A-80 DirEntInv'!#REF!&lt;&gt;"",'A-80 DirEntInv'!#REF!,IF(AK132=summaryref2!B21,summaryref2!O21,IF(Summary!AK132=summaryref2!B35,summaryref2!O35,IF(AK132=summaryref2!B49,summaryref2!O49,IF(AK132=summaryref2!B63,summaryref2!O63,IF(AK132=summaryref2!B77,summaryref2!O77,IF(AK132=summaryref2!B91,summaryref2!O91,IF(AK132=summaryref2!B105,summaryref2!O105,IF(AK132=summaryref2!B119,summaryref2!O119,IF(AK132=summaryref2!B133,summaryref2!O133,IF(AK132=summaryref2!B147,summaryref2!O147,"")))))))))))</f>
        <v>#REF!</v>
      </c>
      <c r="AZ132" s="1125" t="e">
        <f>IF('A-80 DirEntInv'!#REF!&lt;&gt;"",'A-80 DirEntInv'!#REF!,IF(AK132=summaryref2!B21,summaryref2!P21,IF(Summary!AK132=summaryref2!B35,summaryref2!P35,IF(AK132=summaryref2!B49,summaryref2!P49,IF(AK132=summaryref2!B63,summaryref2!P63,IF(AK132=summaryref2!B77,summaryref2!P77,IF(AK132=summaryref2!B91,summaryref2!P91,IF(AK132=summaryref2!B105,summaryref2!P105,IF(AK132=summaryref2!B119,summaryref2!P119,IF(AK132=summaryref2!B133,summaryref2!P133,IF(AK132=summaryref2!B147,summaryref2!P147,"")))))))))))</f>
        <v>#REF!</v>
      </c>
      <c r="BA132" s="1125" t="e">
        <f>IF('A-80 DirEntInv'!#REF!&lt;&gt;"",'A-80 DirEntInv'!#REF!,IF(AK132=summaryref2!B21,summaryref2!Q21,IF(Summary!AK132=summaryref2!B35,summaryref2!Q35,IF(AK132=summaryref2!B49,summaryref2!Q49,IF(AK132=summaryref2!B63,summaryref2!Q63,IF(AK132=summaryref2!B77,summaryref2!Q77,IF(AK132=summaryref2!B91,summaryref2!Q91,IF(AK132=summaryref2!B105,summaryref2!Q105,IF(AK132=summaryref2!B119,summaryref2!Q119,IF(AK132=summaryref2!B133,summaryref2!Q133,IF(AK132=summaryref2!B147,summaryref2!Q147,"")))))))))))</f>
        <v>#REF!</v>
      </c>
      <c r="BB132" s="1125" t="e">
        <f>IF('A-80 DirEntInv'!#REF!&lt;&gt;"",'A-80 DirEntInv'!#REF!,IF(AK132=summaryref2!B21,summaryref2!R21,IF(Summary!AK132=summaryref2!B35,summaryref2!R35,IF(AK132=summaryref2!B49,summaryref2!R49,IF(AK132=summaryref2!B63,summaryref2!R63,IF(AK132=summaryref2!B77,summaryref2!R77,IF(AK132=summaryref2!B91,summaryref2!R91,IF(AK132=summaryref2!B105,summaryref2!R105,IF(AK132=summaryref2!B119,summaryref2!R119,IF(AK132=summaryref2!B133,summaryref2!R133,IF(AK132=summaryref2!B147,summaryref2!R147,"")))))))))))</f>
        <v>#REF!</v>
      </c>
      <c r="BC132" s="1125" t="e">
        <f>IF('A-80 DirEntInv'!#REF!&lt;&gt;0,'A-80 DirEntInv'!#REF!,IF(AK132=summaryref2!B21,summaryref2!S21,IF(Summary!AK132=summaryref2!B35,summaryref2!S35,IF(AK132=summaryref2!B49,summaryref2!S49,IF(AK132=summaryref2!B63,summaryref2!S63,IF(AK132=summaryref2!B77,summaryref2!S77,IF(AK132=summaryref2!B91,summaryref2!S91,IF(AK132=summaryref2!B105,summaryref2!S105,IF(AK132=summaryref2!B119,summaryref2!S119,IF(AK132=summaryref2!B133,summaryref2!S133,IF(AK132=summaryref2!B147,summaryref2!S147,"")))))))))))</f>
        <v>#REF!</v>
      </c>
      <c r="BD132" s="1126" t="e">
        <f>IF('A-80 DirEntInv'!#REF!&lt;&gt;"",'A-80 DirEntInv'!#REF!,IF(AK132=summaryref2!B21,summaryref2!T21,IF(Summary!AK132=summaryref2!B35,summaryref2!T35,IF(AK132=summaryref2!B49,summaryref2!T49,IF(AK132=summaryref2!B63,summaryref2!T63,IF(AK132=summaryref2!B77,summaryref2!T77,IF(AK132=summaryref2!B91,summaryref2!T91,IF(AK132=summaryref2!B105,summaryref2!T105,IF(AK132=summaryref2!B119,summaryref2!T119,IF(AK132=summaryref2!B133,summaryref2!T133,IF(AK132=summaryref2!B147,summaryref2!T147,"")))))))))))</f>
        <v>#REF!</v>
      </c>
      <c r="BE132" s="1183" t="e">
        <f>IF('A-80 DirEntInv'!#REF!&lt;&gt;"",'A-80 DirEntInv'!#REF!,IF(AK132=summaryref2!B21,summaryref2!U21,IF(Summary!AK132=summaryref2!B35,summaryref2!U35,IF(AK132=summaryref2!B49,summaryref2!U49,IF(AK132=summaryref2!B63,summaryref2!U63,IF(AK132=summaryref2!B77,summaryref2!U77,IF(AK132=summaryref2!B91,summaryref2!U91,IF(AK132=summaryref2!B105,summaryref2!U105,IF(AK132=summaryref2!B119,summaryref2!U119,IF(AK132=summaryref2!B133,summaryref2!U133,IF(AK132=summaryref2!B147,summaryref2!U147,"")))))))))))</f>
        <v>#REF!</v>
      </c>
      <c r="BF132" s="1432"/>
      <c r="BG132" s="1432"/>
      <c r="BJ132" s="1045" t="str">
        <f>Codes!$C$173</f>
        <v>YR - Hybrid Rail (DO)</v>
      </c>
      <c r="BK132" s="1046" t="str">
        <f>Valid!$B$82</f>
        <v>Double Diamond Crossover</v>
      </c>
      <c r="BL132" s="1368" t="e">
        <f>IF('A-80 DirEntInv'!#REF!&lt;&gt;"",'A-80 DirEntInv'!#REF!,IF(BJ132=summaryref2!X14,summaryref2!Z14,IF(BJ132=summaryref2!X21,summaryref2!Z21,IF(BJ132=summaryref2!X28,summaryref2!Z28,IF(BJ132=summaryref2!X35,summaryref2!Z35,IF(BJ132=summaryref2!X42,summaryref2!Z42,IF(BJ132=summaryref2!X49,summaryref2!Z49,IF(BJ132=summaryref2!X56,summaryref2!Z56,IF(BJ132=summaryref2!X63,summaryref2!Z63,IF(BJ132=summaryref2!X70,summaryref2!Z70,IF(BJ132=summaryref2!X77,summaryref2!Z77,"")))))))))))</f>
        <v>#REF!</v>
      </c>
      <c r="BM132" s="1046" t="str">
        <f>VLOOKUP(BK132,Valid!$B$80:$C$86,2,FALSE)</f>
        <v>Each</v>
      </c>
      <c r="BN132" s="1325" t="e">
        <f>IF('A-80 DirEntInv'!#REF!&lt;&gt;"",'A-80 DirEntInv'!#REF!,IF(BJ132=summaryref2!X14,summaryref2!AB14,IF(BJ132=summaryref2!X21,summaryref2!AB21,IF(BJ132=summaryref2!X28,summaryref2!AB28,IF(BJ132=summaryref2!X35,summaryref2!AB35,IF(BJ132=summaryref2!X42,summaryref2!AB42,IF(BJ132=summaryref2!X49,summaryref2!AB49,IF(BJ132=summaryref2!X56,summaryref2!AB56,IF(BJ132=summaryref2!X63,summaryref2!AB63,IF(BJ132=summaryref2!X70,summaryref2!AB70,IF(BJ132=summaryref2!X77,summaryref2!AB77,"")))))))))))</f>
        <v>#REF!</v>
      </c>
      <c r="BO132" s="1327" t="e">
        <f>IF('A-80 DirEntInv'!#REF!&lt;&gt;"",'A-80 DirEntInv'!#REF!,IF(BJ132=summaryref2!X14,summaryref2!AC14,IF(BJ132=summaryref2!X21,summaryref2!AC21,IF(BJ132=summaryref2!X28,summaryref2!AC28,IF(BJ132=summaryref2!X35,summaryref2!AC35,IF(BJ132=summaryref2!X42,summaryref2!AC42,IF(BJ132=summaryref2!X49,summaryref2!AC49,IF(BJ132=summaryref2!X56,summaryref2!AC56,IF(BJ132=summaryref2!X63,summaryref2!AC63,IF(BJ132=summaryref2!X70,summaryref2!AC70,IF(BJ132=summaryref2!X77,summaryref2!AC77,"")))))))))))</f>
        <v>#REF!</v>
      </c>
      <c r="BP132" s="1322" t="e">
        <f>IF('A-80 DirEntInv'!#REF!&lt;&gt;"",'A-80 DirEntInv'!#REF!,IF(BJ132=summaryref2!X14,summaryref2!AD14,IF(BJ132=summaryref2!X21,summaryref2!AD21,IF(BJ132=summaryref2!X28,summaryref2!AD28,IF(BJ132=summaryref2!X35,summaryref2!AD35,IF(BJ132=summaryref2!X42,summaryref2!AD42,IF(BJ132=summaryref2!X49,summaryref2!AD49,IF(BJ132=summaryref2!X56,summaryref2!AD56,IF(BJ132=summaryref2!X63,summaryref2!AD63,IF(BJ132=summaryref2!X70,summaryref2!AD70,IF(BJ132=summaryref2!X77,summaryref2!AD77,"")))))))))))</f>
        <v>#REF!</v>
      </c>
      <c r="BU132" s="962"/>
      <c r="CD132" s="589"/>
      <c r="CE132" s="590"/>
      <c r="CF132" s="590"/>
      <c r="CG132" s="590"/>
      <c r="CH132" s="590"/>
      <c r="CI132" s="590"/>
      <c r="CJ132" s="589"/>
      <c r="CK132" s="589"/>
      <c r="CL132" s="589"/>
      <c r="CM132" s="587"/>
      <c r="CN132" s="587"/>
      <c r="CO132" s="589"/>
      <c r="CP132" s="587"/>
      <c r="CQ132" s="592"/>
      <c r="CR132" s="589"/>
      <c r="CS132" s="592"/>
      <c r="CT132" s="589"/>
      <c r="CU132" s="589"/>
      <c r="CV132" s="589"/>
      <c r="CW132" s="587"/>
      <c r="CX132" s="590"/>
      <c r="CY132" s="590"/>
      <c r="CZ132" s="590"/>
      <c r="DA132" s="1054"/>
      <c r="DB132" s="1054"/>
      <c r="DC132" s="587"/>
      <c r="DD132" s="587"/>
    </row>
    <row r="133" spans="1:108" s="588" customFormat="1" x14ac:dyDescent="0.2">
      <c r="A133" s="589">
        <f t="shared" si="1"/>
        <v>123</v>
      </c>
      <c r="B133" s="587"/>
      <c r="C133" s="587"/>
      <c r="D133" s="587"/>
      <c r="J133" s="589"/>
      <c r="K133" s="590"/>
      <c r="L133" s="591"/>
      <c r="M133" s="592"/>
      <c r="N133" s="589"/>
      <c r="O133" s="587"/>
      <c r="R133" s="1052"/>
      <c r="S133" s="1052"/>
      <c r="T133" s="1052"/>
      <c r="U133" s="1052"/>
      <c r="V133" s="1052"/>
      <c r="W133" s="1053"/>
      <c r="X133" s="1053"/>
      <c r="Y133" s="1053"/>
      <c r="Z133" s="1052"/>
      <c r="AA133" s="1052"/>
      <c r="AB133" s="962"/>
      <c r="AC133" s="590"/>
      <c r="AD133" s="590"/>
      <c r="AE133" s="591"/>
      <c r="AF133" s="592"/>
      <c r="AG133" s="1053"/>
      <c r="AH133" s="587"/>
      <c r="AK133" s="1041" t="str">
        <f>Codes!$C$164</f>
        <v>HR - Heavy Rail (PT)</v>
      </c>
      <c r="AL133" s="1042" t="str">
        <f>Valid!$B$88</f>
        <v>Substation Equipment</v>
      </c>
      <c r="AM133" s="1187"/>
      <c r="AN133" s="1046"/>
      <c r="AO133" s="1187"/>
      <c r="AP133" s="1046"/>
      <c r="AQ133" s="1147" t="e">
        <f>IF('A-80 DirEntInv'!#REF!&lt;&gt;"",'A-80 DirEntInv'!#REF!,IF(AK133=summaryref2!B22,summaryref2!G22,IF(Summary!AK133=summaryref2!B36,summaryref2!G36,IF(AK133=summaryref2!B50,summaryref2!G50,IF(AK133=summaryref2!B64,summaryref2!G64,IF(AK133=summaryref2!B78,summaryref2!G78,IF(AK133=summaryref2!B92,summaryref2!G92,IF(AK133=summaryref2!B106,summaryref2!G106,IF(AK133=summaryref2!B120,summaryref2!G120,IF(AK133=summaryref2!B134,summaryref2!G134,IF(AK133=summaryref2!B148,summaryref2!G148,"")))))))))))</f>
        <v>#REF!</v>
      </c>
      <c r="AR133" s="1147" t="e">
        <f>IF('A-80 DirEntInv'!#REF!&lt;&gt;"",'A-80 DirEntInv'!#REF!,IF(AK133=summaryref2!B22,summaryref2!H22,IF(Summary!AK133=summaryref2!B36,summaryref2!H36,IF(AK133=summaryref2!B50,summaryref2!H50,IF(AK133=summaryref2!B64,summaryref2!H64,IF(AK133=summaryref2!B78,summaryref2!H78,IF(AK133=summaryref2!B92,summaryref2!H92,IF(AK133=summaryref2!B106,summaryref2!H106,IF(AK133=summaryref2!B120,summaryref2!H120,IF(AK133=summaryref2!B134,summaryref2!H134,IF(AK133=summaryref2!B148,summaryref2!H148,"")))))))))))</f>
        <v>#REF!</v>
      </c>
      <c r="AS133" s="1110" t="e">
        <f>IF('A-80 DirEntInv'!#REF!&lt;&gt;"",'A-80 DirEntInv'!#REF!,IF(AK133=summaryref2!B22,summaryref2!I22,IF(Summary!AK133=summaryref2!B36,summaryref2!I36,IF(AK133=summaryref2!B50,summaryref2!I50,IF(AK133=summaryref2!B64,summaryref2!I64,IF(AK133=summaryref2!B78,summaryref2!I78,IF(AK133=summaryref2!B92,summaryref2!I92,IF(AK133=summaryref2!B106,summaryref2!I106,IF(AK133=summaryref2!B120,summaryref2!I120,IF(AK133=summaryref2!B134,summaryref2!I134,IF(AK133=summaryref2!B148,summaryref2!I148,"")))))))))))</f>
        <v>#REF!</v>
      </c>
      <c r="AT133" s="1110" t="e">
        <f>IF('A-80 DirEntInv'!#REF!&lt;&gt;"",'A-80 DirEntInv'!#REF!,IF(AK133=summaryref2!B22,summaryref2!J22,IF(Summary!AK133=summaryref2!B36,summaryref2!J36,IF(AK133=summaryref2!B50,summaryref2!J50,IF(AK133=summaryref2!B64,summaryref2!J64,IF(AK133=summaryref2!B78,summaryref2!J78,IF(AK133=summaryref2!B92,summaryref2!J92,IF(AK133=summaryref2!B106,summaryref2!J106,IF(AK133=summaryref2!B120,summaryref2!J120,IF(AK133=summaryref2!B134,summaryref2!J134,IF(AK133=summaryref2!B148,summaryref2!J148,"")))))))))))</f>
        <v>#REF!</v>
      </c>
      <c r="AU133" s="1110" t="e">
        <f>IF('A-80 DirEntInv'!#REF!&lt;&gt;"",'A-80 DirEntInv'!#REF!,IF(AK133=summaryref2!B22,summaryref2!K22,IF(Summary!AK133=summaryref2!B36,summaryref2!K36,IF(AK133=summaryref2!B50,summaryref2!K50,IF(AK133=summaryref2!B64,summaryref2!K64,IF(AK133=summaryref2!B78,summaryref2!K78,IF(AK133=summaryref2!B92,summaryref2!K92,IF(AK133=summaryref2!B106,summaryref2!K106,IF(AK133=summaryref2!B120,summaryref2!K120,IF(AK133=summaryref2!B134,summaryref2!K134,IF(AK133=summaryref2!B148,summaryref2!K148,"")))))))))))</f>
        <v>#REF!</v>
      </c>
      <c r="AV133" s="1110" t="e">
        <f>IF('A-80 DirEntInv'!#REF!&lt;&gt;"",'A-80 DirEntInv'!#REF!,IF(AK133=summaryref2!B22,summaryref2!L22,IF(Summary!AK133=summaryref2!B36,summaryref2!L36,IF(AK133=summaryref2!B50,summaryref2!L50,IF(AK133=summaryref2!B64,summaryref2!L64,IF(AK133=summaryref2!B78,summaryref2!L78,IF(AK133=summaryref2!B92,summaryref2!L92,IF(AK133=summaryref2!B106,summaryref2!L106,IF(AK133=summaryref2!B120,summaryref2!L120,IF(AK133=summaryref2!B134,summaryref2!L134,IF(AK133=summaryref2!B148,summaryref2!L148,"")))))))))))</f>
        <v>#REF!</v>
      </c>
      <c r="AW133" s="1110" t="e">
        <f>IF('A-80 DirEntInv'!#REF!&lt;&gt;"",'A-80 DirEntInv'!#REF!,IF(AK133=summaryref2!B22,summaryref2!M22,IF(Summary!AK133=summaryref2!B36,summaryref2!M36,IF(AK133=summaryref2!B50,summaryref2!M50,IF(AK133=summaryref2!B64,summaryref2!M64,IF(AK133=summaryref2!B78,summaryref2!M78,IF(AK133=summaryref2!B92,summaryref2!M92,IF(AK133=summaryref2!B106,summaryref2!M106,IF(AK133=summaryref2!B120,summaryref2!M120,IF(AK133=summaryref2!B134,summaryref2!M134,IF(AK133=summaryref2!B148,summaryref2!M148,"")))))))))))</f>
        <v>#REF!</v>
      </c>
      <c r="AX133" s="1110" t="e">
        <f>IF('A-80 DirEntInv'!#REF!&lt;&gt;"",'A-80 DirEntInv'!#REF!,IF(AK133=summaryref2!B22,summaryref2!N22,IF(Summary!AK133=summaryref2!B36,summaryref2!N36,IF(AK133=summaryref2!B50,summaryref2!N50,IF(AK133=summaryref2!B64,summaryref2!N64,IF(AK133=summaryref2!B78,summaryref2!N78,IF(AK133=summaryref2!B92,summaryref2!N92,IF(AK133=summaryref2!B106,summaryref2!N106,IF(AK133=summaryref2!B120,summaryref2!N120,IF(AK133=summaryref2!B134,summaryref2!N134,IF(AK133=summaryref2!B148,summaryref2!N148,"")))))))))))</f>
        <v>#REF!</v>
      </c>
      <c r="AY133" s="1110" t="e">
        <f>IF('A-80 DirEntInv'!#REF!&lt;&gt;"",'A-80 DirEntInv'!#REF!,IF(AK133=summaryref2!B22,summaryref2!O22,IF(Summary!AK133=summaryref2!B36,summaryref2!O36,IF(AK133=summaryref2!B50,summaryref2!O50,IF(AK133=summaryref2!B64,summaryref2!O64,IF(AK133=summaryref2!B78,summaryref2!O78,IF(AK133=summaryref2!B92,summaryref2!O92,IF(AK133=summaryref2!B106,summaryref2!O106,IF(AK133=summaryref2!B120,summaryref2!O120,IF(AK133=summaryref2!B134,summaryref2!O134,IF(AK133=summaryref2!B148,summaryref2!O148,"")))))))))))</f>
        <v>#REF!</v>
      </c>
      <c r="AZ133" s="1110" t="e">
        <f>IF('A-80 DirEntInv'!#REF!&lt;&gt;"",'A-80 DirEntInv'!#REF!,IF(AK133=summaryref2!B22,summaryref2!P22,IF(Summary!AK133=summaryref2!B36,summaryref2!P36,IF(AK133=summaryref2!B50,summaryref2!P50,IF(AK133=summaryref2!B64,summaryref2!P64,IF(AK133=summaryref2!B78,summaryref2!P78,IF(AK133=summaryref2!B92,summaryref2!P92,IF(AK133=summaryref2!B106,summaryref2!P106,IF(AK133=summaryref2!B120,summaryref2!P120,IF(AK133=summaryref2!B134,summaryref2!P134,IF(AK133=summaryref2!B148,summaryref2!P148,"")))))))))))</f>
        <v>#REF!</v>
      </c>
      <c r="BA133" s="1110" t="e">
        <f>IF('A-80 DirEntInv'!#REF!&lt;&gt;"",'A-80 DirEntInv'!#REF!,IF(AK133=summaryref2!B22,summaryref2!Q22,IF(Summary!AK133=summaryref2!B36,summaryref2!Q36,IF(AK133=summaryref2!B50,summaryref2!Q50,IF(AK133=summaryref2!B64,summaryref2!Q64,IF(AK133=summaryref2!B78,summaryref2!Q78,IF(AK133=summaryref2!B92,summaryref2!Q92,IF(AK133=summaryref2!B106,summaryref2!Q106,IF(AK133=summaryref2!B120,summaryref2!Q120,IF(AK133=summaryref2!B134,summaryref2!Q134,IF(AK133=summaryref2!B148,summaryref2!Q148,"")))))))))))</f>
        <v>#REF!</v>
      </c>
      <c r="BB133" s="1110" t="e">
        <f>IF('A-80 DirEntInv'!#REF!&lt;&gt;"",'A-80 DirEntInv'!#REF!,IF(AK133=summaryref2!B22,summaryref2!R22,IF(Summary!AK133=summaryref2!B36,summaryref2!R36,IF(AK133=summaryref2!B50,summaryref2!R50,IF(AK133=summaryref2!B64,summaryref2!R64,IF(AK133=summaryref2!B78,summaryref2!R78,IF(AK133=summaryref2!B92,summaryref2!R92,IF(AK133=summaryref2!B106,summaryref2!R106,IF(AK133=summaryref2!B120,summaryref2!R120,IF(AK133=summaryref2!B134,summaryref2!R134,IF(AK133=summaryref2!B148,summaryref2!R148,"")))))))))))</f>
        <v>#REF!</v>
      </c>
      <c r="BC133" s="1110" t="e">
        <f>IF('A-80 DirEntInv'!#REF!&lt;&gt;0,'A-80 DirEntInv'!#REF!,IF(AK133=summaryref2!B22,summaryref2!S22,IF(Summary!AK133=summaryref2!B36,summaryref2!S36,IF(AK133=summaryref2!B50,summaryref2!S50,IF(AK133=summaryref2!B64,summaryref2!S64,IF(AK133=summaryref2!B78,summaryref2!S78,IF(AK133=summaryref2!B92,summaryref2!S92,IF(AK133=summaryref2!B106,summaryref2!S106,IF(AK133=summaryref2!B120,summaryref2!S120,IF(AK133=summaryref2!B134,summaryref2!S134,IF(AK133=summaryref2!B148,summaryref2!S148,"")))))))))))</f>
        <v>#REF!</v>
      </c>
      <c r="BD133" s="1111" t="e">
        <f>IF('A-80 DirEntInv'!#REF!&lt;&gt;"",'A-80 DirEntInv'!#REF!,IF(AK133=summaryref2!B22,summaryref2!T22,IF(Summary!AK133=summaryref2!B36,summaryref2!T36,IF(AK133=summaryref2!B50,summaryref2!T50,IF(AK133=summaryref2!B64,summaryref2!T64,IF(AK133=summaryref2!B78,summaryref2!T78,IF(AK133=summaryref2!B92,summaryref2!T92,IF(AK133=summaryref2!B106,summaryref2!T106,IF(AK133=summaryref2!B120,summaryref2!T120,IF(AK133=summaryref2!B134,summaryref2!T134,IF(AK133=summaryref2!B148,summaryref2!T148,"")))))))))))</f>
        <v>#REF!</v>
      </c>
      <c r="BE133" s="1184" t="e">
        <f>IF('A-80 DirEntInv'!#REF!&lt;&gt;"",'A-80 DirEntInv'!#REF!,IF(AK133=summaryref2!B22,summaryref2!U22,IF(Summary!AK133=summaryref2!B36,summaryref2!U36,IF(AK133=summaryref2!B50,summaryref2!U50,IF(AK133=summaryref2!B64,summaryref2!U64,IF(AK133=summaryref2!B78,summaryref2!U78,IF(AK133=summaryref2!B92,summaryref2!U92,IF(AK133=summaryref2!B106,summaryref2!U106,IF(AK133=summaryref2!B120,summaryref2!U120,IF(AK133=summaryref2!B134,summaryref2!U134,IF(AK133=summaryref2!B148,summaryref2!U148,"")))))))))))</f>
        <v>#REF!</v>
      </c>
      <c r="BF133" s="1432"/>
      <c r="BG133" s="1432"/>
      <c r="BJ133" s="1041" t="str">
        <f>Codes!$C$173</f>
        <v>YR - Hybrid Rail (DO)</v>
      </c>
      <c r="BK133" s="1042" t="str">
        <f>Valid!$B$83</f>
        <v>Single Crossover</v>
      </c>
      <c r="BL133" s="1375" t="e">
        <f>IF('A-80 DirEntInv'!#REF!&lt;&gt;"",'A-80 DirEntInv'!#REF!,IF(BJ133=summaryref2!X15,summaryref2!Z15,IF(BJ133=summaryref2!X22,summaryref2!Z22,IF(BJ133=summaryref2!X29,summaryref2!Z29,IF(BJ133=summaryref2!X36,summaryref2!Z36,IF(BJ133=summaryref2!X43,summaryref2!Z43,IF(BJ133=summaryref2!X50,summaryref2!Z50,IF(BJ133=summaryref2!X57,summaryref2!Z57,IF(BJ133=summaryref2!X64,summaryref2!Z64,IF(BJ133=summaryref2!X71,summaryref2!Z71,IF(BJ133=summaryref2!X78,summaryref2!Z78,"")))))))))))</f>
        <v>#REF!</v>
      </c>
      <c r="BM133" s="1042" t="str">
        <f>VLOOKUP(BK133,Valid!$B$80:$C$86,2,FALSE)</f>
        <v>Each</v>
      </c>
      <c r="BN133" s="1209" t="e">
        <f>IF('A-80 DirEntInv'!#REF!&lt;&gt;"",'A-80 DirEntInv'!#REF!,IF(BJ133=summaryref2!X15,summaryref2!AB15,IF(BJ133=summaryref2!X22,summaryref2!AB22,IF(BJ133=summaryref2!X29,summaryref2!AB29,IF(BJ133=summaryref2!X36,summaryref2!AB36,IF(BJ133=summaryref2!X43,summaryref2!AB43,IF(BJ133=summaryref2!X50,summaryref2!AB50,IF(BJ133=summaryref2!X57,summaryref2!AB57,IF(BJ133=summaryref2!X64,summaryref2!AB64,IF(BJ133=summaryref2!X71,summaryref2!AB71,IF(BJ133=summaryref2!X78,summaryref2!AB78,"")))))))))))</f>
        <v>#REF!</v>
      </c>
      <c r="BO133" s="1116" t="e">
        <f>IF('A-80 DirEntInv'!#REF!&lt;&gt;"",'A-80 DirEntInv'!#REF!,IF(BJ133=summaryref2!X15,summaryref2!AC15,IF(BJ133=summaryref2!X22,summaryref2!AC22,IF(BJ133=summaryref2!X29,summaryref2!AC29,IF(BJ133=summaryref2!X36,summaryref2!AC36,IF(BJ133=summaryref2!X43,summaryref2!AC43,IF(BJ133=summaryref2!X50,summaryref2!AC50,IF(BJ133=summaryref2!X57,summaryref2!AC57,IF(BJ133=summaryref2!X64,summaryref2!AC64,IF(BJ133=summaryref2!X71,summaryref2!AC71,IF(BJ133=summaryref2!X78,summaryref2!AC78,"")))))))))))</f>
        <v>#REF!</v>
      </c>
      <c r="BP133" s="1384" t="e">
        <f>IF('A-80 DirEntInv'!#REF!&lt;&gt;"",'A-80 DirEntInv'!#REF!,IF(BJ133=summaryref2!X15,summaryref2!AD15,IF(BJ133=summaryref2!X22,summaryref2!AD22,IF(BJ133=summaryref2!X29,summaryref2!AD29,IF(BJ133=summaryref2!X36,summaryref2!AD36,IF(BJ133=summaryref2!X43,summaryref2!AD43,IF(BJ133=summaryref2!X50,summaryref2!AD50,IF(BJ133=summaryref2!X57,summaryref2!AD57,IF(BJ133=summaryref2!X64,summaryref2!AD64,IF(BJ133=summaryref2!X71,summaryref2!AD71,IF(BJ133=summaryref2!X78,summaryref2!AD78,"")))))))))))</f>
        <v>#REF!</v>
      </c>
      <c r="BU133" s="962"/>
      <c r="CD133" s="589"/>
      <c r="CE133" s="590"/>
      <c r="CF133" s="590"/>
      <c r="CG133" s="590"/>
      <c r="CH133" s="590"/>
      <c r="CI133" s="590"/>
      <c r="CJ133" s="589"/>
      <c r="CK133" s="589"/>
      <c r="CL133" s="589"/>
      <c r="CM133" s="587"/>
      <c r="CN133" s="587"/>
      <c r="CO133" s="589"/>
      <c r="CP133" s="587"/>
      <c r="CQ133" s="592"/>
      <c r="CR133" s="589"/>
      <c r="CS133" s="592"/>
      <c r="CT133" s="589"/>
      <c r="CU133" s="589"/>
      <c r="CV133" s="589"/>
      <c r="CW133" s="587"/>
      <c r="CX133" s="590"/>
      <c r="CY133" s="590"/>
      <c r="CZ133" s="590"/>
      <c r="DA133" s="1054"/>
      <c r="DB133" s="1054"/>
      <c r="DC133" s="587"/>
      <c r="DD133" s="587"/>
    </row>
    <row r="134" spans="1:108" s="588" customFormat="1" x14ac:dyDescent="0.2">
      <c r="A134" s="589">
        <f t="shared" si="1"/>
        <v>124</v>
      </c>
      <c r="B134" s="587"/>
      <c r="C134" s="587"/>
      <c r="D134" s="587"/>
      <c r="J134" s="589"/>
      <c r="K134" s="590"/>
      <c r="L134" s="591"/>
      <c r="M134" s="592"/>
      <c r="N134" s="589"/>
      <c r="O134" s="587"/>
      <c r="R134" s="1052"/>
      <c r="S134" s="1052"/>
      <c r="T134" s="1052"/>
      <c r="U134" s="1052"/>
      <c r="V134" s="1052"/>
      <c r="W134" s="1053"/>
      <c r="X134" s="1053"/>
      <c r="Y134" s="1053"/>
      <c r="Z134" s="1052"/>
      <c r="AA134" s="1052"/>
      <c r="AB134" s="962"/>
      <c r="AC134" s="590"/>
      <c r="AD134" s="590"/>
      <c r="AE134" s="591"/>
      <c r="AF134" s="592"/>
      <c r="AG134" s="1053"/>
      <c r="AH134" s="587"/>
      <c r="AK134" s="1041" t="str">
        <f>Codes!$C$164</f>
        <v>HR - Heavy Rail (PT)</v>
      </c>
      <c r="AL134" s="1042" t="str">
        <f>Valid!$B$89</f>
        <v>Third Rail/Power Distribution</v>
      </c>
      <c r="AM134" s="1108"/>
      <c r="AN134" s="1042"/>
      <c r="AO134" s="1108"/>
      <c r="AP134" s="1042"/>
      <c r="AQ134" s="1147" t="e">
        <f>IF('A-80 DirEntInv'!#REF!&lt;&gt;"",'A-80 DirEntInv'!#REF!,IF(AK134=summaryref2!B23,summaryref2!G23,IF(Summary!AK134=summaryref2!B37,summaryref2!G37,IF(AK134=summaryref2!B51,summaryref2!G51,IF(AK134=summaryref2!B65,summaryref2!G65,IF(AK134=summaryref2!B79,summaryref2!G79,IF(AK134=summaryref2!B93,summaryref2!G93,IF(AK134=summaryref2!B107,summaryref2!G107,IF(AK134=summaryref2!B121,summaryref2!G121,IF(AK134=summaryref2!B135,summaryref2!G135,IF(AK134=summaryref2!B149,summaryref2!G149,"")))))))))))</f>
        <v>#REF!</v>
      </c>
      <c r="AR134" s="1147" t="e">
        <f>IF('A-80 DirEntInv'!#REF!&lt;&gt;"",'A-80 DirEntInv'!#REF!,IF(AK134=summaryref2!B23,summaryref2!H23,IF(Summary!AK134=summaryref2!B37,summaryref2!H37,IF(AK134=summaryref2!B51,summaryref2!H51,IF(AK134=summaryref2!B65,summaryref2!H65,IF(AK134=summaryref2!B79,summaryref2!H79,IF(AK134=summaryref2!B93,summaryref2!H93,IF(AK134=summaryref2!B107,summaryref2!H107,IF(AK134=summaryref2!B121,summaryref2!H121,IF(AK134=summaryref2!B135,summaryref2!H135,IF(AK134=summaryref2!B149,summaryref2!H149,"")))))))))))</f>
        <v>#REF!</v>
      </c>
      <c r="AS134" s="1110" t="e">
        <f>IF('A-80 DirEntInv'!#REF!&lt;&gt;"",'A-80 DirEntInv'!#REF!,IF(AK134=summaryref2!B23,summaryref2!I23,IF(Summary!AK134=summaryref2!B37,summaryref2!I37,IF(AK134=summaryref2!B51,summaryref2!I51,IF(AK134=summaryref2!B65,summaryref2!I65,IF(AK134=summaryref2!B79,summaryref2!I79,IF(AK134=summaryref2!B93,summaryref2!I93,IF(AK134=summaryref2!B107,summaryref2!I107,IF(AK134=summaryref2!B121,summaryref2!I121,IF(AK134=summaryref2!B135,summaryref2!I135,IF(AK134=summaryref2!B149,summaryref2!I149,"")))))))))))</f>
        <v>#REF!</v>
      </c>
      <c r="AT134" s="1110" t="e">
        <f>IF('A-80 DirEntInv'!#REF!&lt;&gt;"",'A-80 DirEntInv'!#REF!,IF(AK134=summaryref2!B23,summaryref2!J23,IF(Summary!AK134=summaryref2!B37,summaryref2!J37,IF(AK134=summaryref2!B51,summaryref2!J51,IF(AK134=summaryref2!B65,summaryref2!J65,IF(AK134=summaryref2!B79,summaryref2!J79,IF(AK134=summaryref2!B93,summaryref2!J93,IF(AK134=summaryref2!B107,summaryref2!J107,IF(AK134=summaryref2!B121,summaryref2!J121,IF(AK134=summaryref2!B135,summaryref2!J135,IF(AK134=summaryref2!B149,summaryref2!J149,"")))))))))))</f>
        <v>#REF!</v>
      </c>
      <c r="AU134" s="1110" t="e">
        <f>IF('A-80 DirEntInv'!#REF!&lt;&gt;"",'A-80 DirEntInv'!#REF!,IF(AK134=summaryref2!B23,summaryref2!K23,IF(Summary!AK134=summaryref2!B37,summaryref2!K37,IF(AK134=summaryref2!B51,summaryref2!K51,IF(AK134=summaryref2!B65,summaryref2!K65,IF(AK134=summaryref2!B79,summaryref2!K79,IF(AK134=summaryref2!B93,summaryref2!K93,IF(AK134=summaryref2!B107,summaryref2!K107,IF(AK134=summaryref2!B121,summaryref2!K121,IF(AK134=summaryref2!B135,summaryref2!K135,IF(AK134=summaryref2!B149,summaryref2!K149,"")))))))))))</f>
        <v>#REF!</v>
      </c>
      <c r="AV134" s="1110" t="e">
        <f>IF('A-80 DirEntInv'!#REF!&lt;&gt;"",'A-80 DirEntInv'!#REF!,IF(AK134=summaryref2!B23,summaryref2!L23,IF(Summary!AK134=summaryref2!B37,summaryref2!L37,IF(AK134=summaryref2!B51,summaryref2!L51,IF(AK134=summaryref2!B65,summaryref2!L65,IF(AK134=summaryref2!B79,summaryref2!L79,IF(AK134=summaryref2!B93,summaryref2!L93,IF(AK134=summaryref2!B107,summaryref2!L107,IF(AK134=summaryref2!B121,summaryref2!L121,IF(AK134=summaryref2!B135,summaryref2!L135,IF(AK134=summaryref2!B149,summaryref2!L149,"")))))))))))</f>
        <v>#REF!</v>
      </c>
      <c r="AW134" s="1110" t="e">
        <f>IF('A-80 DirEntInv'!#REF!&lt;&gt;"",'A-80 DirEntInv'!#REF!,IF(AK134=summaryref2!B23,summaryref2!M23,IF(Summary!AK134=summaryref2!B37,summaryref2!M37,IF(AK134=summaryref2!B51,summaryref2!M51,IF(AK134=summaryref2!B65,summaryref2!M65,IF(AK134=summaryref2!B79,summaryref2!M79,IF(AK134=summaryref2!B93,summaryref2!M93,IF(AK134=summaryref2!B107,summaryref2!M107,IF(AK134=summaryref2!B121,summaryref2!M121,IF(AK134=summaryref2!B135,summaryref2!M135,IF(AK134=summaryref2!B149,summaryref2!M149,"")))))))))))</f>
        <v>#REF!</v>
      </c>
      <c r="AX134" s="1110" t="e">
        <f>IF('A-80 DirEntInv'!#REF!&lt;&gt;"",'A-80 DirEntInv'!#REF!,IF(AK134=summaryref2!B23,summaryref2!N23,IF(Summary!AK134=summaryref2!B37,summaryref2!N37,IF(AK134=summaryref2!B51,summaryref2!N51,IF(AK134=summaryref2!B65,summaryref2!N65,IF(AK134=summaryref2!B79,summaryref2!N79,IF(AK134=summaryref2!B93,summaryref2!N93,IF(AK134=summaryref2!B107,summaryref2!N107,IF(AK134=summaryref2!B121,summaryref2!N121,IF(AK134=summaryref2!B135,summaryref2!N135,IF(AK134=summaryref2!B149,summaryref2!N149,"")))))))))))</f>
        <v>#REF!</v>
      </c>
      <c r="AY134" s="1110" t="e">
        <f>IF('A-80 DirEntInv'!#REF!&lt;&gt;"",'A-80 DirEntInv'!#REF!,IF(AK134=summaryref2!B23,summaryref2!O23,IF(Summary!AK134=summaryref2!B37,summaryref2!O37,IF(AK134=summaryref2!B51,summaryref2!O51,IF(AK134=summaryref2!B65,summaryref2!O65,IF(AK134=summaryref2!B79,summaryref2!O79,IF(AK134=summaryref2!B93,summaryref2!O93,IF(AK134=summaryref2!B107,summaryref2!O107,IF(AK134=summaryref2!B121,summaryref2!O121,IF(AK134=summaryref2!B135,summaryref2!O135,IF(AK134=summaryref2!B149,summaryref2!O149,"")))))))))))</f>
        <v>#REF!</v>
      </c>
      <c r="AZ134" s="1110" t="e">
        <f>IF('A-80 DirEntInv'!#REF!&lt;&gt;"",'A-80 DirEntInv'!#REF!,IF(AK134=summaryref2!B23,summaryref2!P23,IF(Summary!AK134=summaryref2!B37,summaryref2!P37,IF(AK134=summaryref2!B51,summaryref2!P51,IF(AK134=summaryref2!B65,summaryref2!P65,IF(AK134=summaryref2!B79,summaryref2!P79,IF(AK134=summaryref2!B93,summaryref2!P93,IF(AK134=summaryref2!B107,summaryref2!P107,IF(AK134=summaryref2!B121,summaryref2!P121,IF(AK134=summaryref2!B135,summaryref2!P135,IF(AK134=summaryref2!B149,summaryref2!P149,"")))))))))))</f>
        <v>#REF!</v>
      </c>
      <c r="BA134" s="1110" t="e">
        <f>IF('A-80 DirEntInv'!#REF!&lt;&gt;"",'A-80 DirEntInv'!#REF!,IF(AK134=summaryref2!B23,summaryref2!Q23,IF(Summary!AK134=summaryref2!B37,summaryref2!Q37,IF(AK134=summaryref2!B51,summaryref2!Q51,IF(AK134=summaryref2!B65,summaryref2!Q65,IF(AK134=summaryref2!B79,summaryref2!Q79,IF(AK134=summaryref2!B93,summaryref2!Q93,IF(AK134=summaryref2!B107,summaryref2!Q107,IF(AK134=summaryref2!B121,summaryref2!Q121,IF(AK134=summaryref2!B135,summaryref2!Q135,IF(AK134=summaryref2!B149,summaryref2!Q149,"")))))))))))</f>
        <v>#REF!</v>
      </c>
      <c r="BB134" s="1110" t="e">
        <f>IF('A-80 DirEntInv'!#REF!&lt;&gt;"",'A-80 DirEntInv'!#REF!,IF(AK134=summaryref2!B23,summaryref2!R23,IF(Summary!AK134=summaryref2!B37,summaryref2!R37,IF(AK134=summaryref2!B51,summaryref2!R51,IF(AK134=summaryref2!B65,summaryref2!R65,IF(AK134=summaryref2!B79,summaryref2!R79,IF(AK134=summaryref2!B93,summaryref2!R93,IF(AK134=summaryref2!B107,summaryref2!R107,IF(AK134=summaryref2!B121,summaryref2!R121,IF(AK134=summaryref2!B135,summaryref2!R135,IF(AK134=summaryref2!B149,summaryref2!R149,"")))))))))))</f>
        <v>#REF!</v>
      </c>
      <c r="BC134" s="1110" t="e">
        <f>IF('A-80 DirEntInv'!#REF!&lt;&gt;0,'A-80 DirEntInv'!#REF!,IF(AK134=summaryref2!B23,summaryref2!S23,IF(Summary!AK134=summaryref2!B37,summaryref2!S37,IF(AK134=summaryref2!B51,summaryref2!S51,IF(AK134=summaryref2!B65,summaryref2!S65,IF(AK134=summaryref2!B79,summaryref2!S79,IF(AK134=summaryref2!B93,summaryref2!S93,IF(AK134=summaryref2!B107,summaryref2!S107,IF(AK134=summaryref2!B121,summaryref2!S121,IF(AK134=summaryref2!B135,summaryref2!S135,IF(AK134=summaryref2!B149,summaryref2!S149,"")))))))))))</f>
        <v>#REF!</v>
      </c>
      <c r="BD134" s="1111" t="e">
        <f>IF('A-80 DirEntInv'!#REF!&lt;&gt;"",'A-80 DirEntInv'!#REF!,IF(AK134=summaryref2!B23,summaryref2!T23,IF(Summary!AK134=summaryref2!B37,summaryref2!T37,IF(AK134=summaryref2!B51,summaryref2!T51,IF(AK134=summaryref2!B65,summaryref2!T65,IF(AK134=summaryref2!B79,summaryref2!T79,IF(AK134=summaryref2!B93,summaryref2!T93,IF(AK134=summaryref2!B107,summaryref2!T107,IF(AK134=summaryref2!B121,summaryref2!T121,IF(AK134=summaryref2!B135,summaryref2!T135,IF(AK134=summaryref2!B149,summaryref2!T149,"")))))))))))</f>
        <v>#REF!</v>
      </c>
      <c r="BE134" s="1184" t="e">
        <f>IF('A-80 DirEntInv'!#REF!&lt;&gt;"",'A-80 DirEntInv'!#REF!,IF(AK134=summaryref2!B23,summaryref2!U23,IF(Summary!AK134=summaryref2!B37,summaryref2!U37,IF(AK134=summaryref2!B51,summaryref2!U51,IF(AK134=summaryref2!B65,summaryref2!U65,IF(AK134=summaryref2!B79,summaryref2!U79,IF(AK134=summaryref2!B93,summaryref2!U93,IF(AK134=summaryref2!B107,summaryref2!U107,IF(AK134=summaryref2!B121,summaryref2!U121,IF(AK134=summaryref2!B135,summaryref2!U135,IF(AK134=summaryref2!B149,summaryref2!U149,"")))))))))))</f>
        <v>#REF!</v>
      </c>
      <c r="BF134" s="1432"/>
      <c r="BG134" s="1432"/>
      <c r="BJ134" s="1041" t="str">
        <f>Codes!$C$173</f>
        <v>YR - Hybrid Rail (DO)</v>
      </c>
      <c r="BK134" s="1042" t="str">
        <f>Valid!$B$84</f>
        <v>Half Grand Union</v>
      </c>
      <c r="BL134" s="1375" t="e">
        <f>IF('A-80 DirEntInv'!#REF!&lt;&gt;"",'A-80 DirEntInv'!#REF!,IF(BJ134=summaryref2!X16,summaryref2!Z16,IF(BJ134=summaryref2!X23,summaryref2!Z23,IF(BJ134=summaryref2!X30,summaryref2!Z30,IF(BJ134=summaryref2!X37,summaryref2!Z37,IF(BJ134=summaryref2!X44,summaryref2!Z44,IF(BJ134=summaryref2!X51,summaryref2!Z51,IF(BJ134=summaryref2!X58,summaryref2!Z58,IF(BJ134=summaryref2!X65,summaryref2!Z65,IF(BJ134=summaryref2!X72,summaryref2!Z72,IF(BJ134=summaryref2!X79,summaryref2!Z79,"")))))))))))</f>
        <v>#REF!</v>
      </c>
      <c r="BM134" s="1042" t="str">
        <f>VLOOKUP(BK134,Valid!$B$80:$C$86,2,FALSE)</f>
        <v>Each</v>
      </c>
      <c r="BN134" s="1209" t="e">
        <f>IF('A-80 DirEntInv'!#REF!&lt;&gt;"",'A-80 DirEntInv'!#REF!,IF(BJ134=summaryref2!X16,summaryref2!AB16,IF(BJ134=summaryref2!X23,summaryref2!AB23,IF(BJ134=summaryref2!X30,summaryref2!AB30,IF(BJ134=summaryref2!X37,summaryref2!AB37,IF(BJ134=summaryref2!X44,summaryref2!AB44,IF(BJ134=summaryref2!X51,summaryref2!AB51,IF(BJ134=summaryref2!X58,summaryref2!AB58,IF(BJ134=summaryref2!X65,summaryref2!AB65,IF(BJ134=summaryref2!X72,summaryref2!AB72,IF(BJ134=summaryref2!X79,summaryref2!AB79,"")))))))))))</f>
        <v>#REF!</v>
      </c>
      <c r="BO134" s="1116" t="e">
        <f>IF('A-80 DirEntInv'!#REF!&lt;&gt;"",'A-80 DirEntInv'!#REF!,IF(BJ134=summaryref2!X16,summaryref2!AC16,IF(BJ134=summaryref2!X23,summaryref2!AC23,IF(BJ134=summaryref2!X30,summaryref2!AC30,IF(BJ134=summaryref2!X37,summaryref2!AC37,IF(BJ134=summaryref2!X44,summaryref2!AC44,IF(BJ134=summaryref2!X51,summaryref2!AC51,IF(BJ134=summaryref2!X58,summaryref2!AC58,IF(BJ134=summaryref2!X65,summaryref2!AC65,IF(BJ134=summaryref2!X72,summaryref2!AC72,IF(BJ134=summaryref2!X79,summaryref2!AC79,"")))))))))))</f>
        <v>#REF!</v>
      </c>
      <c r="BP134" s="1384" t="e">
        <f>IF('A-80 DirEntInv'!#REF!&lt;&gt;"",'A-80 DirEntInv'!#REF!,IF(BJ134=summaryref2!X16,summaryref2!AD16,IF(BJ134=summaryref2!X23,summaryref2!AD23,IF(BJ134=summaryref2!X30,summaryref2!AD30,IF(BJ134=summaryref2!X37,summaryref2!AD37,IF(BJ134=summaryref2!X44,summaryref2!AD44,IF(BJ134=summaryref2!X51,summaryref2!AD51,IF(BJ134=summaryref2!X58,summaryref2!AD58,IF(BJ134=summaryref2!X65,summaryref2!AD65,IF(BJ134=summaryref2!X72,summaryref2!AD72,IF(BJ134=summaryref2!X79,summaryref2!AD79,"")))))))))))</f>
        <v>#REF!</v>
      </c>
      <c r="BU134" s="962"/>
      <c r="CD134" s="589"/>
      <c r="CE134" s="590"/>
      <c r="CF134" s="590"/>
      <c r="CG134" s="590"/>
      <c r="CH134" s="590"/>
      <c r="CI134" s="590"/>
      <c r="CJ134" s="589"/>
      <c r="CK134" s="589"/>
      <c r="CL134" s="589"/>
      <c r="CM134" s="587"/>
      <c r="CN134" s="587"/>
      <c r="CO134" s="589"/>
      <c r="CP134" s="587"/>
      <c r="CQ134" s="592"/>
      <c r="CR134" s="589"/>
      <c r="CS134" s="592"/>
      <c r="CT134" s="589"/>
      <c r="CU134" s="589"/>
      <c r="CV134" s="589"/>
      <c r="CW134" s="587"/>
      <c r="CX134" s="590"/>
      <c r="CY134" s="590"/>
      <c r="CZ134" s="590"/>
      <c r="DA134" s="1054"/>
      <c r="DB134" s="1054"/>
      <c r="DC134" s="587"/>
      <c r="DD134" s="587"/>
    </row>
    <row r="135" spans="1:108" s="588" customFormat="1" x14ac:dyDescent="0.2">
      <c r="A135" s="589">
        <f t="shared" si="1"/>
        <v>125</v>
      </c>
      <c r="B135" s="587"/>
      <c r="C135" s="587"/>
      <c r="D135" s="587"/>
      <c r="J135" s="589"/>
      <c r="K135" s="590"/>
      <c r="L135" s="591"/>
      <c r="M135" s="592"/>
      <c r="N135" s="589"/>
      <c r="O135" s="587"/>
      <c r="R135" s="1052"/>
      <c r="S135" s="1052"/>
      <c r="T135" s="1052"/>
      <c r="U135" s="1052"/>
      <c r="V135" s="1052"/>
      <c r="W135" s="1053"/>
      <c r="X135" s="1053"/>
      <c r="Y135" s="1053"/>
      <c r="Z135" s="1052"/>
      <c r="AA135" s="1052"/>
      <c r="AB135" s="962"/>
      <c r="AC135" s="590"/>
      <c r="AD135" s="590"/>
      <c r="AE135" s="591"/>
      <c r="AF135" s="592"/>
      <c r="AG135" s="1053"/>
      <c r="AH135" s="587"/>
      <c r="AK135" s="1041" t="str">
        <f>Codes!$C$164</f>
        <v>HR - Heavy Rail (PT)</v>
      </c>
      <c r="AL135" s="1042" t="str">
        <f>Valid!$B$90</f>
        <v>Overhead Contact System/Power Distribution</v>
      </c>
      <c r="AM135" s="1108"/>
      <c r="AN135" s="1042"/>
      <c r="AO135" s="1108"/>
      <c r="AP135" s="1042"/>
      <c r="AQ135" s="1147" t="e">
        <f>IF('A-80 DirEntInv'!#REF!&lt;&gt;"",'A-80 DirEntInv'!#REF!,IF(AK135=summaryref2!B24,summaryref2!G24,IF(Summary!AK135=summaryref2!B38,summaryref2!G38,IF(AK135=summaryref2!B52,summaryref2!G52,IF(AK135=summaryref2!B66,summaryref2!G66,IF(AK135=summaryref2!B80,summaryref2!G80,IF(AK135=summaryref2!B94,summaryref2!G94,IF(AK135=summaryref2!B108,summaryref2!G108,IF(AK135=summaryref2!B122,summaryref2!G122,IF(AK135=summaryref2!B136,summaryref2!G136,IF(AK135=summaryref2!B150,summaryref2!G150,"")))))))))))</f>
        <v>#REF!</v>
      </c>
      <c r="AR135" s="1147" t="e">
        <f>IF('A-80 DirEntInv'!#REF!&lt;&gt;"",'A-80 DirEntInv'!#REF!,IF(AK135=summaryref2!B24,summaryref2!H24,IF(Summary!AK135=summaryref2!B38,summaryref2!H38,IF(AK135=summaryref2!B52,summaryref2!H52,IF(AK135=summaryref2!B66,summaryref2!H66,IF(AK135=summaryref2!B80,summaryref2!H80,IF(AK135=summaryref2!B94,summaryref2!H94,IF(AK135=summaryref2!B108,summaryref2!H108,IF(AK135=summaryref2!B122,summaryref2!H122,IF(AK135=summaryref2!B136,summaryref2!H136,IF(AK135=summaryref2!B150,summaryref2!H150,"")))))))))))</f>
        <v>#REF!</v>
      </c>
      <c r="AS135" s="1110" t="e">
        <f>IF('A-80 DirEntInv'!#REF!&lt;&gt;"",'A-80 DirEntInv'!#REF!,IF(AK135=summaryref2!B24,summaryref2!I24,IF(Summary!AK135=summaryref2!B38,summaryref2!I38,IF(AK135=summaryref2!B52,summaryref2!I52,IF(AK135=summaryref2!B66,summaryref2!I66,IF(AK135=summaryref2!B80,summaryref2!I80,IF(AK135=summaryref2!B94,summaryref2!I94,IF(AK135=summaryref2!B108,summaryref2!I108,IF(AK135=summaryref2!B122,summaryref2!I122,IF(AK135=summaryref2!B136,summaryref2!I136,IF(AK135=summaryref2!B150,summaryref2!I150,"")))))))))))</f>
        <v>#REF!</v>
      </c>
      <c r="AT135" s="1110" t="e">
        <f>IF('A-80 DirEntInv'!#REF!&lt;&gt;"",'A-80 DirEntInv'!#REF!,IF(AK135=summaryref2!B24,summaryref2!J24,IF(Summary!AK135=summaryref2!B38,summaryref2!J38,IF(AK135=summaryref2!B52,summaryref2!J52,IF(AK135=summaryref2!B66,summaryref2!J66,IF(AK135=summaryref2!B80,summaryref2!J80,IF(AK135=summaryref2!B94,summaryref2!J94,IF(AK135=summaryref2!B108,summaryref2!J108,IF(AK135=summaryref2!B122,summaryref2!J122,IF(AK135=summaryref2!B136,summaryref2!J136,IF(AK135=summaryref2!B150,summaryref2!J150,"")))))))))))</f>
        <v>#REF!</v>
      </c>
      <c r="AU135" s="1110" t="e">
        <f>IF('A-80 DirEntInv'!#REF!&lt;&gt;"",'A-80 DirEntInv'!#REF!,IF(AK135=summaryref2!B24,summaryref2!K24,IF(Summary!AK135=summaryref2!B38,summaryref2!K38,IF(AK135=summaryref2!B52,summaryref2!K52,IF(AK135=summaryref2!B66,summaryref2!K66,IF(AK135=summaryref2!B80,summaryref2!K80,IF(AK135=summaryref2!B94,summaryref2!K94,IF(AK135=summaryref2!B108,summaryref2!K108,IF(AK135=summaryref2!B122,summaryref2!K122,IF(AK135=summaryref2!B136,summaryref2!K136,IF(AK135=summaryref2!B150,summaryref2!K150,"")))))))))))</f>
        <v>#REF!</v>
      </c>
      <c r="AV135" s="1110" t="e">
        <f>IF('A-80 DirEntInv'!#REF!&lt;&gt;"",'A-80 DirEntInv'!#REF!,IF(AK135=summaryref2!B24,summaryref2!L24,IF(Summary!AK135=summaryref2!B38,summaryref2!L38,IF(AK135=summaryref2!B52,summaryref2!L52,IF(AK135=summaryref2!B66,summaryref2!L66,IF(AK135=summaryref2!B80,summaryref2!L80,IF(AK135=summaryref2!B94,summaryref2!L94,IF(AK135=summaryref2!B108,summaryref2!L108,IF(AK135=summaryref2!B122,summaryref2!L122,IF(AK135=summaryref2!B136,summaryref2!L136,IF(AK135=summaryref2!B150,summaryref2!L150,"")))))))))))</f>
        <v>#REF!</v>
      </c>
      <c r="AW135" s="1110" t="e">
        <f>IF('A-80 DirEntInv'!#REF!&lt;&gt;"",'A-80 DirEntInv'!#REF!,IF(AK135=summaryref2!B24,summaryref2!M24,IF(Summary!AK135=summaryref2!B38,summaryref2!M38,IF(AK135=summaryref2!B52,summaryref2!M52,IF(AK135=summaryref2!B66,summaryref2!M66,IF(AK135=summaryref2!B80,summaryref2!M80,IF(AK135=summaryref2!B94,summaryref2!M94,IF(AK135=summaryref2!B108,summaryref2!M108,IF(AK135=summaryref2!B122,summaryref2!M122,IF(AK135=summaryref2!B136,summaryref2!M136,IF(AK135=summaryref2!B150,summaryref2!M150,"")))))))))))</f>
        <v>#REF!</v>
      </c>
      <c r="AX135" s="1110" t="e">
        <f>IF('A-80 DirEntInv'!#REF!&lt;&gt;"",'A-80 DirEntInv'!#REF!,IF(AK135=summaryref2!B24,summaryref2!N24,IF(Summary!AK135=summaryref2!B38,summaryref2!N38,IF(AK135=summaryref2!B52,summaryref2!N52,IF(AK135=summaryref2!B66,summaryref2!N66,IF(AK135=summaryref2!B80,summaryref2!N80,IF(AK135=summaryref2!B94,summaryref2!N94,IF(AK135=summaryref2!B108,summaryref2!N108,IF(AK135=summaryref2!B122,summaryref2!N122,IF(AK135=summaryref2!B136,summaryref2!N136,IF(AK135=summaryref2!B150,summaryref2!N150,"")))))))))))</f>
        <v>#REF!</v>
      </c>
      <c r="AY135" s="1110" t="e">
        <f>IF('A-80 DirEntInv'!#REF!&lt;&gt;"",'A-80 DirEntInv'!#REF!,IF(AK135=summaryref2!B24,summaryref2!O24,IF(Summary!AK135=summaryref2!B38,summaryref2!O38,IF(AK135=summaryref2!B52,summaryref2!O52,IF(AK135=summaryref2!B66,summaryref2!O66,IF(AK135=summaryref2!B80,summaryref2!O80,IF(AK135=summaryref2!B94,summaryref2!O94,IF(AK135=summaryref2!B108,summaryref2!O108,IF(AK135=summaryref2!B122,summaryref2!O122,IF(AK135=summaryref2!B136,summaryref2!O136,IF(AK135=summaryref2!B150,summaryref2!O150,"")))))))))))</f>
        <v>#REF!</v>
      </c>
      <c r="AZ135" s="1110" t="e">
        <f>IF('A-80 DirEntInv'!#REF!&lt;&gt;"",'A-80 DirEntInv'!#REF!,IF(AK135=summaryref2!B24,summaryref2!P24,IF(Summary!AK135=summaryref2!B38,summaryref2!P38,IF(AK135=summaryref2!B52,summaryref2!P52,IF(AK135=summaryref2!B66,summaryref2!P66,IF(AK135=summaryref2!B80,summaryref2!P80,IF(AK135=summaryref2!B94,summaryref2!P94,IF(AK135=summaryref2!B108,summaryref2!P108,IF(AK135=summaryref2!B122,summaryref2!P122,IF(AK135=summaryref2!B136,summaryref2!P136,IF(AK135=summaryref2!B150,summaryref2!P150,"")))))))))))</f>
        <v>#REF!</v>
      </c>
      <c r="BA135" s="1110" t="e">
        <f>IF('A-80 DirEntInv'!#REF!&lt;&gt;"",'A-80 DirEntInv'!#REF!,IF(AK135=summaryref2!B24,summaryref2!Q24,IF(Summary!AK135=summaryref2!B38,summaryref2!Q38,IF(AK135=summaryref2!B52,summaryref2!Q52,IF(AK135=summaryref2!B66,summaryref2!Q66,IF(AK135=summaryref2!B80,summaryref2!Q80,IF(AK135=summaryref2!B94,summaryref2!Q94,IF(AK135=summaryref2!B108,summaryref2!Q108,IF(AK135=summaryref2!B122,summaryref2!Q122,IF(AK135=summaryref2!B136,summaryref2!Q136,IF(AK135=summaryref2!B150,summaryref2!Q150,"")))))))))))</f>
        <v>#REF!</v>
      </c>
      <c r="BB135" s="1110" t="e">
        <f>IF('A-80 DirEntInv'!#REF!&lt;&gt;"",'A-80 DirEntInv'!#REF!,IF(AK135=summaryref2!B24,summaryref2!R24,IF(Summary!AK135=summaryref2!B38,summaryref2!R38,IF(AK135=summaryref2!B52,summaryref2!R52,IF(AK135=summaryref2!B66,summaryref2!R66,IF(AK135=summaryref2!B80,summaryref2!R80,IF(AK135=summaryref2!B94,summaryref2!R94,IF(AK135=summaryref2!B108,summaryref2!R108,IF(AK135=summaryref2!B122,summaryref2!R122,IF(AK135=summaryref2!B136,summaryref2!R136,IF(AK135=summaryref2!B150,summaryref2!R150,"")))))))))))</f>
        <v>#REF!</v>
      </c>
      <c r="BC135" s="1110" t="e">
        <f>IF('A-80 DirEntInv'!#REF!&lt;&gt;0,'A-80 DirEntInv'!#REF!,IF(AK135=summaryref2!B24,summaryref2!S24,IF(Summary!AK135=summaryref2!B38,summaryref2!S38,IF(AK135=summaryref2!B52,summaryref2!S52,IF(AK135=summaryref2!B66,summaryref2!S66,IF(AK135=summaryref2!B80,summaryref2!S80,IF(AK135=summaryref2!B94,summaryref2!S94,IF(AK135=summaryref2!B108,summaryref2!S108,IF(AK135=summaryref2!B122,summaryref2!S122,IF(AK135=summaryref2!B136,summaryref2!S136,IF(AK135=summaryref2!B150,summaryref2!S150,"")))))))))))</f>
        <v>#REF!</v>
      </c>
      <c r="BD135" s="1111" t="e">
        <f>IF('A-80 DirEntInv'!#REF!&lt;&gt;"",'A-80 DirEntInv'!#REF!,IF(AK135=summaryref2!B24,summaryref2!T24,IF(Summary!AK135=summaryref2!B38,summaryref2!T38,IF(AK135=summaryref2!B52,summaryref2!T52,IF(AK135=summaryref2!B66,summaryref2!T66,IF(AK135=summaryref2!B80,summaryref2!T80,IF(AK135=summaryref2!B94,summaryref2!T94,IF(AK135=summaryref2!B108,summaryref2!T108,IF(AK135=summaryref2!B122,summaryref2!T122,IF(AK135=summaryref2!B136,summaryref2!T136,IF(AK135=summaryref2!B150,summaryref2!T150,"")))))))))))</f>
        <v>#REF!</v>
      </c>
      <c r="BE135" s="1184" t="e">
        <f>IF('A-80 DirEntInv'!#REF!&lt;&gt;"",'A-80 DirEntInv'!#REF!,IF(AK135=summaryref2!B24,summaryref2!U24,IF(Summary!AK135=summaryref2!B38,summaryref2!U38,IF(AK135=summaryref2!B52,summaryref2!U52,IF(AK135=summaryref2!B66,summaryref2!U66,IF(AK135=summaryref2!B80,summaryref2!U80,IF(AK135=summaryref2!B94,summaryref2!U94,IF(AK135=summaryref2!B108,summaryref2!U108,IF(AK135=summaryref2!B122,summaryref2!U122,IF(AK135=summaryref2!B136,summaryref2!U136,IF(AK135=summaryref2!B150,summaryref2!U150,"")))))))))))</f>
        <v>#REF!</v>
      </c>
      <c r="BF135" s="1432"/>
      <c r="BG135" s="1432"/>
      <c r="BJ135" s="1041" t="str">
        <f>Codes!$C$173</f>
        <v>YR - Hybrid Rail (DO)</v>
      </c>
      <c r="BK135" s="1042" t="str">
        <f>Valid!$B$85</f>
        <v>Single Turnout</v>
      </c>
      <c r="BL135" s="1375" t="e">
        <f>IF('A-80 DirEntInv'!#REF!&lt;&gt;"",'A-80 DirEntInv'!#REF!,IF(BJ135=summaryref2!X17,summaryref2!Z17,IF(BJ135=summaryref2!X24,summaryref2!Z24,IF(BJ135=summaryref2!X31,summaryref2!Z31,IF(BJ135=summaryref2!X38,summaryref2!Z38,IF(BJ135=summaryref2!X45,summaryref2!Z45,IF(BJ135=summaryref2!X52,summaryref2!Z52,IF(BJ135=summaryref2!X59,summaryref2!Z59,IF(BJ135=summaryref2!X66,summaryref2!Z66,IF(BJ135=summaryref2!X73,summaryref2!Z73,IF(BJ135=summaryref2!X80,summaryref2!Z80,"")))))))))))</f>
        <v>#REF!</v>
      </c>
      <c r="BM135" s="1042" t="str">
        <f>VLOOKUP(BK135,Valid!$B$80:$C$86,2,FALSE)</f>
        <v>Each</v>
      </c>
      <c r="BN135" s="1209" t="e">
        <f>IF('A-80 DirEntInv'!#REF!&lt;&gt;"",'A-80 DirEntInv'!#REF!,IF(BJ135=summaryref2!X17,summaryref2!AB17,IF(BJ135=summaryref2!X24,summaryref2!AB24,IF(BJ135=summaryref2!X31,summaryref2!AB31,IF(BJ135=summaryref2!X38,summaryref2!AB38,IF(BJ135=summaryref2!X45,summaryref2!AB45,IF(BJ135=summaryref2!X52,summaryref2!AB52,IF(BJ135=summaryref2!X59,summaryref2!AB59,IF(BJ135=summaryref2!X66,summaryref2!AB66,IF(BJ135=summaryref2!X73,summaryref2!AB73,IF(BJ135=summaryref2!X80,summaryref2!AB80,"")))))))))))</f>
        <v>#REF!</v>
      </c>
      <c r="BO135" s="1116" t="e">
        <f>IF('A-80 DirEntInv'!#REF!&lt;&gt;"",'A-80 DirEntInv'!#REF!,IF(BJ135=summaryref2!X17,summaryref2!AC17,IF(BJ135=summaryref2!X24,summaryref2!AC24,IF(BJ135=summaryref2!X31,summaryref2!AC31,IF(BJ135=summaryref2!X38,summaryref2!AC38,IF(BJ135=summaryref2!X45,summaryref2!AC45,IF(BJ135=summaryref2!X52,summaryref2!AC52,IF(BJ135=summaryref2!X59,summaryref2!AC59,IF(BJ135=summaryref2!X66,summaryref2!AC66,IF(BJ135=summaryref2!X73,summaryref2!AC73,IF(BJ135=summaryref2!X80,summaryref2!AC80,"")))))))))))</f>
        <v>#REF!</v>
      </c>
      <c r="BP135" s="1384" t="e">
        <f>IF('A-80 DirEntInv'!#REF!&lt;&gt;"",'A-80 DirEntInv'!#REF!,IF(BJ135=summaryref2!X17,summaryref2!AD17,IF(BJ135=summaryref2!X24,summaryref2!AD24,IF(BJ135=summaryref2!X31,summaryref2!AD31,IF(BJ135=summaryref2!X38,summaryref2!AD38,IF(BJ135=summaryref2!X45,summaryref2!AD45,IF(BJ135=summaryref2!X52,summaryref2!AD52,IF(BJ135=summaryref2!X59,summaryref2!AD59,IF(BJ135=summaryref2!X66,summaryref2!AD66,IF(BJ135=summaryref2!X73,summaryref2!AD73,IF(BJ135=summaryref2!X80,summaryref2!AD80,"")))))))))))</f>
        <v>#REF!</v>
      </c>
      <c r="BU135" s="962"/>
      <c r="CD135" s="589"/>
      <c r="CE135" s="590"/>
      <c r="CF135" s="590"/>
      <c r="CG135" s="590"/>
      <c r="CH135" s="590"/>
      <c r="CI135" s="590"/>
      <c r="CJ135" s="589"/>
      <c r="CK135" s="589"/>
      <c r="CL135" s="589"/>
      <c r="CM135" s="587"/>
      <c r="CN135" s="587"/>
      <c r="CO135" s="589"/>
      <c r="CP135" s="587"/>
      <c r="CQ135" s="592"/>
      <c r="CR135" s="589"/>
      <c r="CS135" s="592"/>
      <c r="CT135" s="589"/>
      <c r="CU135" s="589"/>
      <c r="CV135" s="589"/>
      <c r="CW135" s="587"/>
      <c r="CX135" s="590"/>
      <c r="CY135" s="590"/>
      <c r="CZ135" s="590"/>
      <c r="DA135" s="1054"/>
      <c r="DB135" s="1054"/>
      <c r="DC135" s="587"/>
      <c r="DD135" s="587"/>
    </row>
    <row r="136" spans="1:108" s="588" customFormat="1" ht="13.5" thickBot="1" x14ac:dyDescent="0.25">
      <c r="A136" s="589">
        <f t="shared" si="1"/>
        <v>126</v>
      </c>
      <c r="B136" s="587"/>
      <c r="C136" s="587"/>
      <c r="D136" s="587"/>
      <c r="J136" s="589"/>
      <c r="K136" s="590"/>
      <c r="L136" s="591"/>
      <c r="M136" s="592"/>
      <c r="N136" s="589"/>
      <c r="O136" s="587"/>
      <c r="R136" s="1052"/>
      <c r="S136" s="1052"/>
      <c r="T136" s="1052"/>
      <c r="U136" s="1052"/>
      <c r="V136" s="1052"/>
      <c r="W136" s="1053"/>
      <c r="X136" s="1053"/>
      <c r="Y136" s="1053"/>
      <c r="Z136" s="1052"/>
      <c r="AA136" s="1052"/>
      <c r="AB136" s="962"/>
      <c r="AC136" s="590"/>
      <c r="AD136" s="590"/>
      <c r="AE136" s="591"/>
      <c r="AF136" s="592"/>
      <c r="AG136" s="1053"/>
      <c r="AH136" s="587"/>
      <c r="AK136" s="1047" t="str">
        <f>Codes!$C$164</f>
        <v>HR - Heavy Rail (PT)</v>
      </c>
      <c r="AL136" s="1050" t="str">
        <f>Valid!$B$91</f>
        <v>Train Control &amp; Signaling</v>
      </c>
      <c r="AM136" s="1185"/>
      <c r="AN136" s="1050"/>
      <c r="AO136" s="1185"/>
      <c r="AP136" s="1050"/>
      <c r="AQ136" s="1386" t="e">
        <f>IF('A-80 DirEntInv'!#REF!&lt;&gt;"",'A-80 DirEntInv'!#REF!,IF(AK136=summaryref2!B25,summaryref2!G25,IF(Summary!AK136=summaryref2!B39,summaryref2!G39,IF(AK136=summaryref2!B53,summaryref2!G53,IF(AK136=summaryref2!B67,summaryref2!G67,IF(AK136=summaryref2!B81,summaryref2!G81,IF(AK136=summaryref2!B95,summaryref2!G95,IF(AK136=summaryref2!B109,summaryref2!G109,IF(AK136=summaryref2!B123,summaryref2!G123,IF(AK136=summaryref2!B137,summaryref2!G137,IF(AK136=summaryref2!B151,summaryref2!G151,"")))))))))))</f>
        <v>#REF!</v>
      </c>
      <c r="AR136" s="1386" t="e">
        <f>IF('A-80 DirEntInv'!#REF!&lt;&gt;"",'A-80 DirEntInv'!#REF!,IF(AK136=summaryref2!B25,summaryref2!H25,IF(Summary!AK136=summaryref2!B39,summaryref2!H39,IF(AK136=summaryref2!B53,summaryref2!H53,IF(AK136=summaryref2!B67,summaryref2!H67,IF(AK136=summaryref2!B81,summaryref2!H81,IF(AK136=summaryref2!B95,summaryref2!H95,IF(AK136=summaryref2!B109,summaryref2!H109,IF(AK136=summaryref2!B123,summaryref2!H123,IF(AK136=summaryref2!B137,summaryref2!H137,IF(AK136=summaryref2!B151,summaryref2!H151,"")))))))))))</f>
        <v>#REF!</v>
      </c>
      <c r="AS136" s="1387" t="e">
        <f>IF('A-80 DirEntInv'!#REF!&lt;&gt;"",'A-80 DirEntInv'!#REF!,IF(AK136=summaryref2!B25,summaryref2!I25,IF(Summary!AK136=summaryref2!B39,summaryref2!I39,IF(AK136=summaryref2!B53,summaryref2!I53,IF(AK136=summaryref2!B67,summaryref2!I67,IF(AK136=summaryref2!B81,summaryref2!I81,IF(AK136=summaryref2!B95,summaryref2!I95,IF(AK136=summaryref2!B109,summaryref2!I109,IF(AK136=summaryref2!B123,summaryref2!I123,IF(AK136=summaryref2!B137,summaryref2!I137,IF(AK136=summaryref2!B151,summaryref2!I151,"")))))))))))</f>
        <v>#REF!</v>
      </c>
      <c r="AT136" s="1387" t="e">
        <f>IF('A-80 DirEntInv'!#REF!&lt;&gt;"",'A-80 DirEntInv'!#REF!,IF(AK136=summaryref2!B25,summaryref2!J25,IF(Summary!AK136=summaryref2!B39,summaryref2!J39,IF(AK136=summaryref2!B53,summaryref2!J53,IF(AK136=summaryref2!B67,summaryref2!J67,IF(AK136=summaryref2!B81,summaryref2!J81,IF(AK136=summaryref2!B95,summaryref2!J95,IF(AK136=summaryref2!B109,summaryref2!J109,IF(AK136=summaryref2!B123,summaryref2!J123,IF(AK136=summaryref2!B137,summaryref2!J137,IF(AK136=summaryref2!B151,summaryref2!J151,"")))))))))))</f>
        <v>#REF!</v>
      </c>
      <c r="AU136" s="1387" t="e">
        <f>IF('A-80 DirEntInv'!#REF!&lt;&gt;"",'A-80 DirEntInv'!#REF!,IF(AK136=summaryref2!B25,summaryref2!K25,IF(Summary!AK136=summaryref2!B39,summaryref2!K39,IF(AK136=summaryref2!B53,summaryref2!K53,IF(AK136=summaryref2!B67,summaryref2!K67,IF(AK136=summaryref2!B81,summaryref2!K81,IF(AK136=summaryref2!B95,summaryref2!K95,IF(AK136=summaryref2!B109,summaryref2!K109,IF(AK136=summaryref2!B123,summaryref2!K123,IF(AK136=summaryref2!B137,summaryref2!K137,IF(AK136=summaryref2!B151,summaryref2!K151,"")))))))))))</f>
        <v>#REF!</v>
      </c>
      <c r="AV136" s="1387" t="e">
        <f>IF('A-80 DirEntInv'!#REF!&lt;&gt;"",'A-80 DirEntInv'!#REF!,IF(AK136=summaryref2!B25,summaryref2!L25,IF(Summary!AK136=summaryref2!B39,summaryref2!L39,IF(AK136=summaryref2!B53,summaryref2!L53,IF(AK136=summaryref2!B67,summaryref2!L67,IF(AK136=summaryref2!B81,summaryref2!L81,IF(AK136=summaryref2!B95,summaryref2!L95,IF(AK136=summaryref2!B109,summaryref2!L109,IF(AK136=summaryref2!B123,summaryref2!L123,IF(AK136=summaryref2!B137,summaryref2!L137,IF(AK136=summaryref2!B151,summaryref2!L151,"")))))))))))</f>
        <v>#REF!</v>
      </c>
      <c r="AW136" s="1387" t="e">
        <f>IF('A-80 DirEntInv'!#REF!&lt;&gt;"",'A-80 DirEntInv'!#REF!,IF(AK136=summaryref2!B25,summaryref2!M25,IF(Summary!AK136=summaryref2!B39,summaryref2!M39,IF(AK136=summaryref2!B53,summaryref2!M53,IF(AK136=summaryref2!B67,summaryref2!M67,IF(AK136=summaryref2!B81,summaryref2!M81,IF(AK136=summaryref2!B95,summaryref2!M95,IF(AK136=summaryref2!B109,summaryref2!M109,IF(AK136=summaryref2!B123,summaryref2!M123,IF(AK136=summaryref2!B137,summaryref2!M137,IF(AK136=summaryref2!B151,summaryref2!M151,"")))))))))))</f>
        <v>#REF!</v>
      </c>
      <c r="AX136" s="1387" t="e">
        <f>IF('A-80 DirEntInv'!#REF!&lt;&gt;"",'A-80 DirEntInv'!#REF!,IF(AK136=summaryref2!B25,summaryref2!N25,IF(Summary!AK136=summaryref2!B39,summaryref2!N39,IF(AK136=summaryref2!B53,summaryref2!N53,IF(AK136=summaryref2!B67,summaryref2!N67,IF(AK136=summaryref2!B81,summaryref2!N81,IF(AK136=summaryref2!B95,summaryref2!N95,IF(AK136=summaryref2!B109,summaryref2!N109,IF(AK136=summaryref2!B123,summaryref2!N123,IF(AK136=summaryref2!B137,summaryref2!N137,IF(AK136=summaryref2!B151,summaryref2!N151,"")))))))))))</f>
        <v>#REF!</v>
      </c>
      <c r="AY136" s="1387" t="e">
        <f>IF('A-80 DirEntInv'!#REF!&lt;&gt;"",'A-80 DirEntInv'!#REF!,IF(AK136=summaryref2!B25,summaryref2!O25,IF(Summary!AK136=summaryref2!B39,summaryref2!O39,IF(AK136=summaryref2!B53,summaryref2!O53,IF(AK136=summaryref2!B67,summaryref2!O67,IF(AK136=summaryref2!B81,summaryref2!O81,IF(AK136=summaryref2!B95,summaryref2!O95,IF(AK136=summaryref2!B109,summaryref2!O109,IF(AK136=summaryref2!B123,summaryref2!O123,IF(AK136=summaryref2!B137,summaryref2!O137,IF(AK136=summaryref2!B151,summaryref2!O151,"")))))))))))</f>
        <v>#REF!</v>
      </c>
      <c r="AZ136" s="1387" t="e">
        <f>IF('A-80 DirEntInv'!#REF!&lt;&gt;"",'A-80 DirEntInv'!#REF!,IF(AK136=summaryref2!B25,summaryref2!P25,IF(Summary!AK136=summaryref2!B39,summaryref2!P39,IF(AK136=summaryref2!B53,summaryref2!P53,IF(AK136=summaryref2!B67,summaryref2!P67,IF(AK136=summaryref2!B81,summaryref2!P81,IF(AK136=summaryref2!B95,summaryref2!P95,IF(AK136=summaryref2!B109,summaryref2!P109,IF(AK136=summaryref2!B123,summaryref2!P123,IF(AK136=summaryref2!B137,summaryref2!P137,IF(AK136=summaryref2!B151,summaryref2!P151,"")))))))))))</f>
        <v>#REF!</v>
      </c>
      <c r="BA136" s="1387" t="e">
        <f>IF('A-80 DirEntInv'!#REF!&lt;&gt;"",'A-80 DirEntInv'!#REF!,IF(AK136=summaryref2!B25,summaryref2!Q25,IF(Summary!AK136=summaryref2!B39,summaryref2!Q39,IF(AK136=summaryref2!B53,summaryref2!Q53,IF(AK136=summaryref2!B67,summaryref2!Q67,IF(AK136=summaryref2!B81,summaryref2!Q81,IF(AK136=summaryref2!B95,summaryref2!Q95,IF(AK136=summaryref2!B109,summaryref2!Q109,IF(AK136=summaryref2!B123,summaryref2!Q123,IF(AK136=summaryref2!B137,summaryref2!Q137,IF(AK136=summaryref2!B151,summaryref2!Q151,"")))))))))))</f>
        <v>#REF!</v>
      </c>
      <c r="BB136" s="1387" t="e">
        <f>IF('A-80 DirEntInv'!#REF!&lt;&gt;"",'A-80 DirEntInv'!#REF!,IF(AK136=summaryref2!B25,summaryref2!R25,IF(Summary!AK136=summaryref2!B39,summaryref2!R39,IF(AK136=summaryref2!B53,summaryref2!R53,IF(AK136=summaryref2!B67,summaryref2!R67,IF(AK136=summaryref2!B81,summaryref2!R81,IF(AK136=summaryref2!B95,summaryref2!R95,IF(AK136=summaryref2!B109,summaryref2!R109,IF(AK136=summaryref2!B123,summaryref2!R123,IF(AK136=summaryref2!B137,summaryref2!R137,IF(AK136=summaryref2!B151,summaryref2!R151,"")))))))))))</f>
        <v>#REF!</v>
      </c>
      <c r="BC136" s="1387" t="e">
        <f>IF('A-80 DirEntInv'!#REF!&lt;&gt;0,'A-80 DirEntInv'!#REF!,IF(AK136=summaryref2!B25,summaryref2!S25,IF(Summary!AK136=summaryref2!B39,summaryref2!S39,IF(AK136=summaryref2!B53,summaryref2!S53,IF(AK136=summaryref2!B67,summaryref2!S67,IF(AK136=summaryref2!B81,summaryref2!S81,IF(AK136=summaryref2!B95,summaryref2!S95,IF(AK136=summaryref2!B109,summaryref2!S109,IF(AK136=summaryref2!B123,summaryref2!S123,IF(AK136=summaryref2!B137,summaryref2!S137,IF(AK136=summaryref2!B151,summaryref2!S151,"")))))))))))</f>
        <v>#REF!</v>
      </c>
      <c r="BD136" s="1118" t="e">
        <f>IF('A-80 DirEntInv'!#REF!&lt;&gt;"",'A-80 DirEntInv'!#REF!,IF(AK136=summaryref2!B25,summaryref2!T25,IF(Summary!AK136=summaryref2!B39,summaryref2!T39,IF(AK136=summaryref2!B53,summaryref2!T53,IF(AK136=summaryref2!B67,summaryref2!T67,IF(AK136=summaryref2!B81,summaryref2!T81,IF(AK136=summaryref2!B95,summaryref2!T95,IF(AK136=summaryref2!B109,summaryref2!T109,IF(AK136=summaryref2!B123,summaryref2!T123,IF(AK136=summaryref2!B137,summaryref2!T137,IF(AK136=summaryref2!B151,summaryref2!T151,"")))))))))))</f>
        <v>#REF!</v>
      </c>
      <c r="BE136" s="1186" t="e">
        <f>IF('A-80 DirEntInv'!#REF!&lt;&gt;"",'A-80 DirEntInv'!#REF!,IF(AK136=summaryref2!B25,summaryref2!U25,IF(Summary!AK136=summaryref2!B39,summaryref2!U39,IF(AK136=summaryref2!B53,summaryref2!U53,IF(AK136=summaryref2!B67,summaryref2!U67,IF(AK136=summaryref2!B81,summaryref2!U81,IF(AK136=summaryref2!B95,summaryref2!U95,IF(AK136=summaryref2!B109,summaryref2!U109,IF(AK136=summaryref2!B123,summaryref2!U123,IF(AK136=summaryref2!B137,summaryref2!U137,IF(AK136=summaryref2!B151,summaryref2!U151,"")))))))))))</f>
        <v>#REF!</v>
      </c>
      <c r="BF136" s="1432"/>
      <c r="BG136" s="1432"/>
      <c r="BJ136" s="1047" t="str">
        <f>Codes!$C$173</f>
        <v>YR - Hybrid Rail (DO)</v>
      </c>
      <c r="BK136" s="1050" t="str">
        <f>Valid!$B$86</f>
        <v>Grade Crossings</v>
      </c>
      <c r="BL136" s="1369" t="e">
        <f>IF('A-80 DirEntInv'!#REF!&lt;&gt;"",'A-80 DirEntInv'!#REF!,IF(BJ136=summaryref2!X18,summaryref2!Z18,IF(BJ136=summaryref2!X25,summaryref2!Z25,IF(BJ136=summaryref2!X32,summaryref2!Z32,IF(BJ136=summaryref2!X39,summaryref2!Z39,IF(BJ136=summaryref2!X46,summaryref2!Z46,IF(BJ136=summaryref2!X53,summaryref2!Z53,IF(BJ136=summaryref2!X60,summaryref2!Z60,IF(BJ136=summaryref2!X67,summaryref2!Z67,IF(BJ136=summaryref2!X74,summaryref2!Z74,IF(BJ136=summaryref2!X81,summaryref2!Z81,"")))))))))))</f>
        <v>#REF!</v>
      </c>
      <c r="BM136" s="1050" t="str">
        <f>VLOOKUP(BK136,Valid!$B$80:$C$86,2,FALSE)</f>
        <v>Each</v>
      </c>
      <c r="BN136" s="1210" t="e">
        <f>IF('A-80 DirEntInv'!#REF!&lt;&gt;"",'A-80 DirEntInv'!#REF!,IF(BJ136=summaryref2!X18,summaryref2!AB18,IF(BJ136=summaryref2!X25,summaryref2!AB25,IF(BJ136=summaryref2!X32,summaryref2!AB32,IF(BJ136=summaryref2!X39,summaryref2!AB39,IF(BJ136=summaryref2!X46,summaryref2!AB46,IF(BJ136=summaryref2!X53,summaryref2!AB53,IF(BJ136=summaryref2!X60,summaryref2!AB60,IF(BJ136=summaryref2!X67,summaryref2!AB67,IF(BJ136=summaryref2!X74,summaryref2!AB74,IF(BJ136=summaryref2!X81,summaryref2!AB81,"")))))))))))</f>
        <v>#REF!</v>
      </c>
      <c r="BO136" s="1117" t="e">
        <f>IF('A-80 DirEntInv'!#REF!&lt;&gt;"",'A-80 DirEntInv'!#REF!,IF(BJ136=summaryref2!X18,summaryref2!AC18,IF(BJ136=summaryref2!X25,summaryref2!AC25,IF(BJ136=summaryref2!X32,summaryref2!AC32,IF(BJ136=summaryref2!X39,summaryref2!AC39,IF(BJ136=summaryref2!X46,summaryref2!AC46,IF(BJ136=summaryref2!X53,summaryref2!AC53,IF(BJ136=summaryref2!X60,summaryref2!AC60,IF(BJ136=summaryref2!X67,summaryref2!AC67,IF(BJ136=summaryref2!X74,summaryref2!AC74,IF(BJ136=summaryref2!X81,summaryref2!AC81,"")))))))))))</f>
        <v>#REF!</v>
      </c>
      <c r="BP136" s="1321" t="e">
        <f>IF('A-80 DirEntInv'!#REF!&lt;&gt;"",'A-80 DirEntInv'!#REF!,IF(BJ136=summaryref2!X18,summaryref2!AD18,IF(BJ136=summaryref2!X25,summaryref2!AD25,IF(BJ136=summaryref2!X32,summaryref2!AD32,IF(BJ136=summaryref2!X39,summaryref2!AD39,IF(BJ136=summaryref2!X46,summaryref2!AD46,IF(BJ136=summaryref2!X53,summaryref2!AD53,IF(BJ136=summaryref2!X60,summaryref2!AD60,IF(BJ136=summaryref2!X67,summaryref2!AD67,IF(BJ136=summaryref2!X74,summaryref2!AD74,IF(BJ136=summaryref2!X81,summaryref2!AD81,"")))))))))))</f>
        <v>#REF!</v>
      </c>
      <c r="BU136" s="962"/>
      <c r="CD136" s="589"/>
      <c r="CE136" s="590"/>
      <c r="CF136" s="590"/>
      <c r="CG136" s="590"/>
      <c r="CH136" s="590"/>
      <c r="CI136" s="590"/>
      <c r="CJ136" s="589"/>
      <c r="CK136" s="589"/>
      <c r="CL136" s="589"/>
      <c r="CM136" s="587"/>
      <c r="CN136" s="587"/>
      <c r="CO136" s="589"/>
      <c r="CP136" s="587"/>
      <c r="CQ136" s="592"/>
      <c r="CR136" s="589"/>
      <c r="CS136" s="592"/>
      <c r="CT136" s="589"/>
      <c r="CU136" s="589"/>
      <c r="CV136" s="589"/>
      <c r="CW136" s="587"/>
      <c r="CX136" s="590"/>
      <c r="CY136" s="590"/>
      <c r="CZ136" s="590"/>
      <c r="DA136" s="1054"/>
      <c r="DB136" s="1054"/>
      <c r="DC136" s="587"/>
      <c r="DD136" s="587"/>
    </row>
    <row r="137" spans="1:108" s="588" customFormat="1" x14ac:dyDescent="0.2">
      <c r="A137" s="589">
        <f t="shared" si="1"/>
        <v>127</v>
      </c>
      <c r="B137" s="587"/>
      <c r="C137" s="587"/>
      <c r="D137" s="587"/>
      <c r="J137" s="589"/>
      <c r="K137" s="590"/>
      <c r="L137" s="591"/>
      <c r="M137" s="592"/>
      <c r="N137" s="589"/>
      <c r="O137" s="587"/>
      <c r="R137" s="1052"/>
      <c r="S137" s="1052"/>
      <c r="T137" s="1052"/>
      <c r="U137" s="1052"/>
      <c r="V137" s="1052"/>
      <c r="W137" s="1053"/>
      <c r="X137" s="1053"/>
      <c r="Y137" s="1053"/>
      <c r="Z137" s="1052"/>
      <c r="AA137" s="1052"/>
      <c r="AB137" s="962"/>
      <c r="AC137" s="590"/>
      <c r="AD137" s="590"/>
      <c r="AE137" s="591"/>
      <c r="AF137" s="592"/>
      <c r="AG137" s="1053"/>
      <c r="AH137" s="587"/>
      <c r="AK137" s="1043" t="str">
        <f>Codes!$C$165</f>
        <v>LR - Light Rail (DO)</v>
      </c>
      <c r="AL137" s="1303" t="str">
        <f>Valid!$B$71</f>
        <v>At-Grade/Ballast (including expressway)</v>
      </c>
      <c r="AM137" s="1092" t="e">
        <f>IF('A-80 DirEntInv'!#REF!&lt;&gt;"",'A-80 DirEntInv'!#REF!,IF(AK137=summaryref2!B12,summaryref2!D12,IF(Summary!AK137=summaryref2!B26,summaryref2!D26,IF(AK137=summaryref2!B40,summaryref2!D40,IF(AK137=summaryref2!B54,summaryref2!D54,IF(AK137=summaryref2!B68,summaryref2!D68,IF(AK137=summaryref2!B82,summaryref2!D82,IF(AK137=summaryref2!B96,summaryref2!D96,IF(AK137=summaryref2!B110,summaryref2!D110,IF(AK137=summaryref2!B124,summaryref2!D124,IF(AK137=summaryref2!B138,summaryref2!D138,"")))))))))))</f>
        <v>#REF!</v>
      </c>
      <c r="AN137" s="1127" t="e">
        <f ca="1">IF('A-80 DirEntInv'!#REF!&lt;&gt;"",'A-80 DirEntInv'!#REF!,IF(INDIRECT(ADDRESS(SumRef!#REF!,SumRef!CG$16,,,SumRef!$C$7))="","",INDIRECT(ADDRESS(SumRef!#REF!,SumRef!CG$16,,,SumRef!$C$7))))</f>
        <v>#REF!</v>
      </c>
      <c r="AO137" s="1092" t="e">
        <f>IF('A-80 DirEntInv'!#REF!&lt;&gt;"",'A-80 DirEntInv'!#REF!,IF(AK137=summaryref2!B12,summaryref2!F12,IF(Summary!AK137=summaryref2!B26,summaryref2!F26,IF(AK137=summaryref2!B40,summaryref2!F40,IF(AK137=summaryref2!B54,summaryref2!F54,IF(AK137=summaryref2!B68,summaryref2!F68,IF(AK137=summaryref2!B82,summaryref2!F82,IF(AK137=summaryref2!B96,summaryref2!F96,IF(AK137=summaryref2!B110,summaryref2!F110,IF(AK137=summaryref2!B124,summaryref2!F124,IF(AK137=summaryref2!B138,summaryref2!F138,"")))))))))))</f>
        <v>#REF!</v>
      </c>
      <c r="AP137" s="1127" t="e">
        <f ca="1">IF('A-80 DirEntInv'!#REF!&lt;&gt;"",'A-80 DirEntInv'!#REF!,IF(INDIRECT(ADDRESS(SumRef!#REF!,SumRef!#REF!,,,SumRef!$C$7))="","",INDIRECT(ADDRESS(SumRef!#REF!,SumRef!#REF!,,,SumRef!$C$7))))</f>
        <v>#REF!</v>
      </c>
      <c r="AQ137" s="1146" t="e">
        <f>IF('A-80 DirEntInv'!#REF!&lt;&gt;"",'A-80 DirEntInv'!#REF!,IF(AK137=summaryref2!B12,summaryref2!G12,IF(Summary!AK137=summaryref2!B26,summaryref2!G26,IF(AK137=summaryref2!B40,summaryref2!G40,IF(AK137=summaryref2!B54,summaryref2!G54,IF(AK137=summaryref2!B68,summaryref2!G68,IF(AK137=summaryref2!B82,summaryref2!G82,IF(AK137=summaryref2!B96,summaryref2!G96,IF(AK137=summaryref2!B110,summaryref2!G110,IF(AK137=summaryref2!B124,summaryref2!G124,IF(AK137=summaryref2!B138,summaryref2!G138,"")))))))))))</f>
        <v>#REF!</v>
      </c>
      <c r="AR137" s="1146" t="e">
        <f>IF('A-80 DirEntInv'!#REF!&lt;&gt;"",'A-80 DirEntInv'!#REF!,IF(AK137=summaryref2!B12,summaryref2!H12,IF(Summary!AK137=summaryref2!B26,summaryref2!H26,IF(AK137=summaryref2!B40,summaryref2!H40,IF(AK137=summaryref2!B54,summaryref2!H54,IF(AK137=summaryref2!B68,summaryref2!H68,IF(AK137=summaryref2!B82,summaryref2!H82,IF(AK137=summaryref2!B96,summaryref2!H96,IF(AK137=summaryref2!B110,summaryref2!H110,IF(AK137=summaryref2!B124,summaryref2!H124,IF(AK137=summaryref2!B138,summaryref2!H138,"")))))))))))</f>
        <v>#REF!</v>
      </c>
      <c r="AS137" s="1092" t="e">
        <f>IF('A-80 DirEntInv'!#REF!&lt;&gt;"",'A-80 DirEntInv'!#REF!,IF(AK137=summaryref2!B12,summaryref2!I12,IF(Summary!AK137=summaryref2!B26,summaryref2!I26,IF(AK137=summaryref2!B40,summaryref2!I40,IF(AK137=summaryref2!B54,summaryref2!I54,IF(AK137=summaryref2!B68,summaryref2!I68,IF(AK137=summaryref2!B82,summaryref2!I82,IF(AK137=summaryref2!B96,summaryref2!I96,IF(AK137=summaryref2!B110,summaryref2!I110,IF(AK137=summaryref2!B124,summaryref2!I124,IF(AK137=summaryref2!B138,summaryref2!I138,"")))))))))))</f>
        <v>#REF!</v>
      </c>
      <c r="AT137" s="1092" t="e">
        <f>IF('A-80 DirEntInv'!#REF!&lt;&gt;"",'A-80 DirEntInv'!#REF!,IF(AK137=summaryref2!B12,summaryref2!J12,IF(Summary!AK137=summaryref2!B26,summaryref2!J26,IF(AK137=summaryref2!B40,summaryref2!J40,IF(AK137=summaryref2!B54,summaryref2!J54,IF(AK137=summaryref2!B68,summaryref2!J68,IF(AK137=summaryref2!B82,summaryref2!J82,IF(AK137=summaryref2!B96,summaryref2!J96,IF(AK137=summaryref2!B110,summaryref2!J110,IF(AK137=summaryref2!B124,summaryref2!J124,IF(AK137=summaryref2!B138,summaryref2!J138,"")))))))))))</f>
        <v>#REF!</v>
      </c>
      <c r="AU137" s="1092" t="e">
        <f>IF('A-80 DirEntInv'!#REF!&lt;&gt;"",'A-80 DirEntInv'!#REF!,IF(AK137=summaryref2!B12,summaryref2!K12,IF(Summary!AK137=summaryref2!B26,summaryref2!K26,IF(AK137=summaryref2!B40,summaryref2!K40,IF(AK137=summaryref2!B54,summaryref2!K54,IF(AK137=summaryref2!B68,summaryref2!K68,IF(AK137=summaryref2!B82,summaryref2!K82,IF(AK137=summaryref2!B96,summaryref2!K96,IF(AK137=summaryref2!B110,summaryref2!K110,IF(AK137=summaryref2!B124,summaryref2!K124,IF(AK137=summaryref2!B138,summaryref2!K138,"")))))))))))</f>
        <v>#REF!</v>
      </c>
      <c r="AV137" s="1092" t="e">
        <f>IF('A-80 DirEntInv'!#REF!&lt;&gt;"",'A-80 DirEntInv'!#REF!,IF(AK137=summaryref2!B12,summaryref2!L12,IF(Summary!AK137=summaryref2!B26,summaryref2!L26,IF(AK137=summaryref2!B40,summaryref2!L40,IF(AK137=summaryref2!B54,summaryref2!L54,IF(AK137=summaryref2!B68,summaryref2!L68,IF(AK137=summaryref2!B82,summaryref2!L82,IF(AK137=summaryref2!B96,summaryref2!L96,IF(AK137=summaryref2!B110,summaryref2!L110,IF(AK137=summaryref2!B124,summaryref2!L124,IF(AK137=summaryref2!B138,summaryref2!L138,"")))))))))))</f>
        <v>#REF!</v>
      </c>
      <c r="AW137" s="1092" t="e">
        <f>IF('A-80 DirEntInv'!#REF!&lt;&gt;"",'A-80 DirEntInv'!#REF!,IF($AK137=summaryref2!$B$12,summaryref2!M$12,IF(Summary!$AK137=summaryref2!$B$26,summaryref2!M$26,IF($AK137=summaryref2!$B$40,summaryref2!M$40,IF($AK137=summaryref2!$B$54,summaryref2!M$54,IF($AK137=summaryref2!$B$68,summaryref2!M$68,IF($AK137=summaryref2!$B$82,summaryref2!M$82,IF($AK137=summaryref2!$B$96,summaryref2!M$96,IF($AK137=summaryref2!$B$110,summaryref2!M$110,IF($AK137=summaryref2!$B$124,summaryref2!M$124,IF($AK137=summaryref2!$B$138,summaryref2!M$138,"")))))))))))</f>
        <v>#REF!</v>
      </c>
      <c r="AX137" s="1092" t="e">
        <f>IF('A-80 DirEntInv'!#REF!&lt;&gt;"",'A-80 DirEntInv'!#REF!,IF(AK137=summaryref2!B12,summaryref2!N12,IF(Summary!AK137=summaryref2!B26,summaryref2!N26,IF(AK137=summaryref2!B40,summaryref2!N40,IF(AK137=summaryref2!B54,summaryref2!N54,IF(AK137=summaryref2!B68,summaryref2!N68,IF(AK137=summaryref2!B82,summaryref2!N82,IF(AK137=summaryref2!B96,summaryref2!N96,IF(AK137=summaryref2!B110,summaryref2!N110,IF(AK137=summaryref2!B124,summaryref2!N124,IF(AK137=summaryref2!B138,summaryref2!N138,"")))))))))))</f>
        <v>#REF!</v>
      </c>
      <c r="AY137" s="1092" t="e">
        <f>IF('A-80 DirEntInv'!#REF!&lt;&gt;"",'A-80 DirEntInv'!#REF!,IF(AK137=summaryref2!B12,summaryref2!O12,IF(Summary!AK137=summaryref2!B26,summaryref2!O26,IF(AK137=summaryref2!B40,summaryref2!O40,IF(AK137=summaryref2!B54,summaryref2!O54,IF(AK137=summaryref2!B68,summaryref2!O68,IF(AK137=summaryref2!B82,summaryref2!O82,IF(AK137=summaryref2!B96,summaryref2!O96,IF(AK137=summaryref2!B110,summaryref2!O110,IF(AK137=summaryref2!B124,summaryref2!O124,IF(AK137=summaryref2!B138,summaryref2!O138,"")))))))))))</f>
        <v>#REF!</v>
      </c>
      <c r="AZ137" s="1092" t="e">
        <f>IF('A-80 DirEntInv'!#REF!&lt;&gt;"",'A-80 DirEntInv'!#REF!,IF(AK137=summaryref2!B12,summaryref2!P12,IF(Summary!AK137=summaryref2!B26,summaryref2!P26,IF(AK137=summaryref2!B40,summaryref2!P40,IF(AK137=summaryref2!B54,summaryref2!P54,IF(AK137=summaryref2!B68,summaryref2!P68,IF(AK137=summaryref2!B82,summaryref2!P82,IF(AK137=summaryref2!B96,summaryref2!P96,IF(AK137=summaryref2!B110,summaryref2!P110,IF(AK137=summaryref2!B124,summaryref2!P124,IF(AK137=summaryref2!B138,summaryref2!P138,"")))))))))))</f>
        <v>#REF!</v>
      </c>
      <c r="BA137" s="1092" t="e">
        <f>IF('A-80 DirEntInv'!#REF!&lt;&gt;"",'A-80 DirEntInv'!#REF!,IF(AK137=summaryref2!B12,summaryref2!Q12,IF(Summary!AK137=summaryref2!B26,summaryref2!Q26,IF(AK137=summaryref2!B40,summaryref2!Q40,IF(AK137=summaryref2!B54,summaryref2!Q54,IF(AK137=summaryref2!B68,summaryref2!Q68,IF(AK137=summaryref2!B82,summaryref2!Q82,IF(AK137=summaryref2!B96,summaryref2!Q96,IF(AK137=summaryref2!B110,summaryref2!Q110,IF(AK137=summaryref2!B124,summaryref2!Q124,IF(AK137=summaryref2!B138,summaryref2!Q138,"")))))))))))</f>
        <v>#REF!</v>
      </c>
      <c r="BB137" s="1092" t="e">
        <f>IF('A-80 DirEntInv'!#REF!&lt;&gt;"",'A-80 DirEntInv'!#REF!,IF(AK137=summaryref2!B12,summaryref2!R12,IF(Summary!AK137=summaryref2!B26,summaryref2!R26,IF(AK137=summaryref2!B40,summaryref2!R40,IF(AK137=summaryref2!B54,summaryref2!R54,IF(AK137=summaryref2!B68,summaryref2!R68,IF(AK137=summaryref2!B82,summaryref2!R82,IF(AK137=summaryref2!B96,summaryref2!R96,IF(AK137=summaryref2!B110,summaryref2!R110,IF(AK137=summaryref2!B124,summaryref2!R124,IF(AK137=summaryref2!B138,summaryref2!R138,"")))))))))))</f>
        <v>#REF!</v>
      </c>
      <c r="BC137" s="1092" t="e">
        <f>IF('A-80 DirEntInv'!#REF!&lt;&gt;0,'A-80 DirEntInv'!#REF!,IF(AK137=summaryref2!B12,summaryref2!S12,IF(Summary!AK137=summaryref2!B26,summaryref2!S26,IF(AK137=summaryref2!B40,summaryref2!S40,IF(AK137=summaryref2!B54,summaryref2!S54,IF(AK137=summaryref2!B68,summaryref2!S68,IF(AK137=summaryref2!B82,summaryref2!S82,IF(AK137=summaryref2!B96,summaryref2!S96,IF(AK137=summaryref2!B110,summaryref2!S110,IF(AK137=summaryref2!B124,summaryref2!S124,IF(AK137=summaryref2!B138,summaryref2!S138,"")))))))))))</f>
        <v>#REF!</v>
      </c>
      <c r="BD137" s="1093" t="e">
        <f>IF('A-80 DirEntInv'!#REF!&lt;&gt;"",'A-80 DirEntInv'!#REF!,IF(AK137=summaryref2!B12,summaryref2!T12,IF(Summary!AK137=summaryref2!B26,summaryref2!T26,IF(AK137=summaryref2!B40,summaryref2!T40,IF(AK137=summaryref2!B54,summaryref2!T54,IF(AK137=summaryref2!B68,summaryref2!T68,IF(AK137=summaryref2!B82,summaryref2!T82,IF(AK137=summaryref2!B96,summaryref2!T96,IF(AK137=summaryref2!B110,summaryref2!T110,IF(AK137=summaryref2!B124,summaryref2!T124,IF(AK137=summaryref2!B138,summaryref2!T138,"")))))))))))</f>
        <v>#REF!</v>
      </c>
      <c r="BE137" s="1189" t="e">
        <f>IF('A-80 DirEntInv'!#REF!&lt;&gt;"",'A-80 DirEntInv'!#REF!,IF(AK137=summaryref2!B12,summaryref2!U12,IF(Summary!AK137=summaryref2!B26,summaryref2!U26,IF(AK137=summaryref2!B40,summaryref2!U40,IF(AK137=summaryref2!B54,summaryref2!U54,IF(AK137=summaryref2!B68,summaryref2!U68,IF(AK137=summaryref2!B82,summaryref2!U82,IF(AK137=summaryref2!B96,summaryref2!U96,IF(AK137=summaryref2!B110,summaryref2!U110,IF(AK137=summaryref2!B124,summaryref2!U124,IF(AK137=summaryref2!B138,summaryref2!U138,"")))))))))))</f>
        <v>#REF!</v>
      </c>
      <c r="BF137" s="1431"/>
      <c r="BG137" s="1431"/>
      <c r="BJ137" s="1043" t="str">
        <f>Codes!$C$174</f>
        <v>YR - Hybrid Rail (PT)</v>
      </c>
      <c r="BK137" s="1303" t="str">
        <f>Valid!$B$80</f>
        <v>Tangent</v>
      </c>
      <c r="BL137" s="1366" t="e">
        <f>IF('A-80 DirEntInv'!#REF!&lt;&gt;"",'A-80 DirEntInv'!#REF!,IF(BJ137=summaryref2!X12,summaryref2!Z12,IF(BJ137=summaryref2!X19,summaryref2!Z19,IF(BJ137=summaryref2!X26,summaryref2!Z26,IF(BJ137=summaryref2!X33,summaryref2!Z33,IF(BJ137=summaryref2!X40,summaryref2!Z40,IF(BJ137=summaryref2!X47,summaryref2!Z47,IF(BJ137=summaryref2!X54,summaryref2!Z54,IF(BJ137=summaryref2!X61,summaryref2!Z61,IF(BJ137=summaryref2!X68,summaryref2!Z68,IF(BJ137=summaryref2!X75,summaryref2!Z75,"")))))))))))</f>
        <v>#REF!</v>
      </c>
      <c r="BM137" s="1303" t="str">
        <f>VLOOKUP(BK137,Valid!$B$80:$C$86,2,FALSE)</f>
        <v>Track Feet</v>
      </c>
      <c r="BN137" s="1208" t="e">
        <f>IF('A-80 DirEntInv'!#REF!&lt;&gt;"",'A-80 DirEntInv'!#REF!,IF(BJ137=summaryref2!X12,summaryref2!AB12,IF(BJ137=summaryref2!X19,summaryref2!AB19,IF(BJ137=summaryref2!X26,summaryref2!AB26,IF(BJ137=summaryref2!X33,summaryref2!AB33,IF(BJ137=summaryref2!X40,summaryref2!AB40,IF(BJ137=summaryref2!X47,summaryref2!AB47,IF(BJ137=summaryref2!X54,summaryref2!AB54,IF(BJ137=summaryref2!X61,summaryref2!AB61,IF(BJ137=summaryref2!X68,summaryref2!AB68,IF(BJ137=summaryref2!X75,summaryref2!AB75,"")))))))))))</f>
        <v>#REF!</v>
      </c>
      <c r="BO137" s="1112" t="e">
        <f>IF('A-80 DirEntInv'!#REF!&lt;&gt;"",'A-80 DirEntInv'!#REF!,IF(BJ137=summaryref2!X12,summaryref2!AC12,IF(BJ137=summaryref2!X19,summaryref2!AC19,IF(BJ137=summaryref2!X26,summaryref2!AC26,IF(BJ137=summaryref2!X33,summaryref2!AC33,IF(BJ137=summaryref2!X40,summaryref2!AC40,IF(BJ137=summaryref2!X47,summaryref2!AC47,IF(BJ137=summaryref2!X54,summaryref2!AC54,IF(BJ137=summaryref2!X61,summaryref2!AC61,IF(BJ137=summaryref2!X68,summaryref2!AC68,IF(BJ137=summaryref2!X75,summaryref2!AC75,"")))))))))))</f>
        <v>#REF!</v>
      </c>
      <c r="BP137" s="1320" t="e">
        <f>IF('A-80 DirEntInv'!#REF!&lt;&gt;"",'A-80 DirEntInv'!#REF!,IF(BJ137=summaryref2!X12,summaryref2!AD12,IF(BJ137=summaryref2!X19,summaryref2!AD19,IF(BJ137=summaryref2!X26,summaryref2!AD26,IF(BJ137=summaryref2!X33,summaryref2!AD33,IF(BJ137=summaryref2!X40,summaryref2!AD40,IF(BJ137=summaryref2!X47,summaryref2!AD47,IF(BJ137=summaryref2!X54,summaryref2!AD54,IF(BJ137=summaryref2!X61,summaryref2!AD61,IF(BJ137=summaryref2!X68,summaryref2!AD68,IF(BJ137=summaryref2!X75,summaryref2!AD75,"")))))))))))</f>
        <v>#REF!</v>
      </c>
      <c r="BU137" s="962"/>
      <c r="CD137" s="589"/>
      <c r="CE137" s="590"/>
      <c r="CF137" s="590"/>
      <c r="CG137" s="590"/>
      <c r="CH137" s="590"/>
      <c r="CI137" s="590"/>
      <c r="CJ137" s="589"/>
      <c r="CK137" s="589"/>
      <c r="CL137" s="589"/>
      <c r="CM137" s="587"/>
      <c r="CN137" s="587"/>
      <c r="CO137" s="589"/>
      <c r="CP137" s="587"/>
      <c r="CQ137" s="592"/>
      <c r="CR137" s="589"/>
      <c r="CS137" s="592"/>
      <c r="CT137" s="589"/>
      <c r="CU137" s="589"/>
      <c r="CV137" s="589"/>
      <c r="CW137" s="587"/>
      <c r="CX137" s="590"/>
      <c r="CY137" s="590"/>
      <c r="CZ137" s="590"/>
      <c r="DA137" s="1054"/>
      <c r="DB137" s="1054"/>
      <c r="DC137" s="587"/>
      <c r="DD137" s="587"/>
    </row>
    <row r="138" spans="1:108" s="588" customFormat="1" ht="13.5" thickBot="1" x14ac:dyDescent="0.25">
      <c r="A138" s="589">
        <f t="shared" si="1"/>
        <v>128</v>
      </c>
      <c r="B138" s="587"/>
      <c r="C138" s="587"/>
      <c r="D138" s="587"/>
      <c r="J138" s="589"/>
      <c r="K138" s="590"/>
      <c r="L138" s="591"/>
      <c r="M138" s="592"/>
      <c r="N138" s="589"/>
      <c r="O138" s="587"/>
      <c r="R138" s="1052"/>
      <c r="S138" s="1052"/>
      <c r="T138" s="1052"/>
      <c r="U138" s="1052"/>
      <c r="V138" s="1052"/>
      <c r="W138" s="1053"/>
      <c r="X138" s="1053"/>
      <c r="Y138" s="1053"/>
      <c r="Z138" s="1052"/>
      <c r="AA138" s="1052"/>
      <c r="AB138" s="962"/>
      <c r="AC138" s="590"/>
      <c r="AD138" s="590"/>
      <c r="AE138" s="591"/>
      <c r="AF138" s="592"/>
      <c r="AG138" s="1053"/>
      <c r="AH138" s="587"/>
      <c r="AK138" s="1041" t="str">
        <f>Codes!$C$165</f>
        <v>LR - Light Rail (DO)</v>
      </c>
      <c r="AL138" s="1042" t="str">
        <f>Valid!$B$72</f>
        <v>At-Grade/In-Street/Embedded</v>
      </c>
      <c r="AM138" s="1108" t="e">
        <f>IF('A-80 DirEntInv'!#REF!&lt;&gt;"",'A-80 DirEntInv'!#REF!,IF(AK138=summaryref2!B13,summaryref2!D13,IF(Summary!AK138=summaryref2!B27,summaryref2!D27,IF(AK138=summaryref2!B41,summaryref2!D41,IF(AK138=summaryref2!B55,summaryref2!D55,IF(AK138=summaryref2!B69,summaryref2!D69,IF(AK138=summaryref2!B83,summaryref2!D83,IF(AK138=summaryref2!B97,summaryref2!D97,IF(AK138=summaryref2!B111,summaryref2!D111,IF(AK138=summaryref2!B125,summaryref2!D125,IF(AK138=summaryref2!B139,summaryref2!D139,"")))))))))))</f>
        <v>#REF!</v>
      </c>
      <c r="AN138" s="1109" t="e">
        <f ca="1">IF('A-80 DirEntInv'!#REF!&lt;&gt;"",'A-80 DirEntInv'!#REF!,IF(INDIRECT(ADDRESS(SumRef!CG339,SumRef!CG$16,,,SumRef!$C$7))="","",INDIRECT(ADDRESS(SumRef!CG339,SumRef!CG$16,,,SumRef!$C$7))))</f>
        <v>#REF!</v>
      </c>
      <c r="AO138" s="1108" t="e">
        <f>IF('A-80 DirEntInv'!#REF!&lt;&gt;"",'A-80 DirEntInv'!#REF!,IF(AK138=summaryref2!B13,summaryref2!F13,IF(Summary!AK138=summaryref2!B27,summaryref2!F27,IF(AK138=summaryref2!B41,summaryref2!F41,IF(AK138=summaryref2!B55,summaryref2!F55,IF(AK138=summaryref2!B69,summaryref2!F69,IF(AK138=summaryref2!B83,summaryref2!F83,IF(AK138=summaryref2!B97,summaryref2!F97,IF(AK138=summaryref2!B111,summaryref2!F111,IF(AK138=summaryref2!B125,summaryref2!F125,IF(AK138=summaryref2!B139,summaryref2!F139,"")))))))))))</f>
        <v>#REF!</v>
      </c>
      <c r="AP138" s="1109" t="e">
        <f ca="1">IF('A-80 DirEntInv'!#REF!&lt;&gt;"",'A-80 DirEntInv'!#REF!,IF(INDIRECT(ADDRESS(SumRef!#REF!,SumRef!#REF!,,,SumRef!$C$7))="","",INDIRECT(ADDRESS(SumRef!#REF!,SumRef!#REF!,,,SumRef!$C$7))))</f>
        <v>#REF!</v>
      </c>
      <c r="AQ138" s="1147" t="e">
        <f>IF('A-80 DirEntInv'!#REF!&lt;&gt;"",'A-80 DirEntInv'!#REF!,IF(AK138=summaryref2!B13,summaryref2!G13,IF(Summary!AK138=summaryref2!B27,summaryref2!G27,IF(AK138=summaryref2!B41,summaryref2!G41,IF(AK138=summaryref2!B55,summaryref2!G55,IF(AK138=summaryref2!B69,summaryref2!G69,IF(AK138=summaryref2!B83,summaryref2!G83,IF(AK138=summaryref2!B97,summaryref2!G97,IF(AK138=summaryref2!B111,summaryref2!G111,IF(AK138=summaryref2!B125,summaryref2!G125,IF(AK138=summaryref2!B139,summaryref2!G139,"")))))))))))</f>
        <v>#REF!</v>
      </c>
      <c r="AR138" s="1147" t="e">
        <f>IF('A-80 DirEntInv'!#REF!&lt;&gt;"",'A-80 DirEntInv'!#REF!,IF(AK138=summaryref2!B13,summaryref2!H13,IF(Summary!AK138=summaryref2!B27,summaryref2!H27,IF(AK138=summaryref2!B41,summaryref2!H41,IF(AK138=summaryref2!B55,summaryref2!H55,IF(AK138=summaryref2!B69,summaryref2!H69,IF(AK138=summaryref2!B83,summaryref2!H83,IF(AK138=summaryref2!B97,summaryref2!H97,IF(AK138=summaryref2!B111,summaryref2!H111,IF(AK138=summaryref2!B125,summaryref2!H125,IF(AK138=summaryref2!B139,summaryref2!H139,"")))))))))))</f>
        <v>#REF!</v>
      </c>
      <c r="AS138" s="1110" t="e">
        <f>IF('A-80 DirEntInv'!#REF!&lt;&gt;"",'A-80 DirEntInv'!#REF!,IF(AK138=summaryref2!B13,summaryref2!I13,IF(Summary!AK138=summaryref2!B27,summaryref2!I27,IF(AK138=summaryref2!B41,summaryref2!I41,IF(AK138=summaryref2!B55,summaryref2!I55,IF(AK138=summaryref2!B69,summaryref2!I69,IF(AK138=summaryref2!B83,summaryref2!I83,IF(AK138=summaryref2!B97,summaryref2!I97,IF(AK138=summaryref2!B111,summaryref2!I111,IF(AK138=summaryref2!B125,summaryref2!I125,IF(AK138=summaryref2!B139,summaryref2!I139,"")))))))))))</f>
        <v>#REF!</v>
      </c>
      <c r="AT138" s="1110" t="e">
        <f>IF('A-80 DirEntInv'!#REF!&lt;&gt;"",'A-80 DirEntInv'!#REF!,IF(AK138=summaryref2!B13,summaryref2!J13,IF(Summary!AK138=summaryref2!B27,summaryref2!J27,IF(AK138=summaryref2!B41,summaryref2!J41,IF(AK138=summaryref2!B55,summaryref2!J55,IF(AK138=summaryref2!B69,summaryref2!J69,IF(AK138=summaryref2!B83,summaryref2!J83,IF(AK138=summaryref2!B97,summaryref2!J97,IF(AK138=summaryref2!B111,summaryref2!J111,IF(AK138=summaryref2!B125,summaryref2!J125,IF(AK138=summaryref2!B139,summaryref2!J139,"")))))))))))</f>
        <v>#REF!</v>
      </c>
      <c r="AU138" s="1110" t="e">
        <f>IF('A-80 DirEntInv'!#REF!&lt;&gt;"",'A-80 DirEntInv'!#REF!,IF(AK138=summaryref2!B13,summaryref2!K13,IF(Summary!AK138=summaryref2!B27,summaryref2!K27,IF(AK138=summaryref2!B41,summaryref2!K41,IF(AK138=summaryref2!B55,summaryref2!K55,IF(AK138=summaryref2!B69,summaryref2!K69,IF(AK138=summaryref2!B83,summaryref2!K83,IF(AK138=summaryref2!B97,summaryref2!K97,IF(AK138=summaryref2!B111,summaryref2!K111,IF(AK138=summaryref2!B125,summaryref2!K125,IF(AK138=summaryref2!B139,summaryref2!K139,"")))))))))))</f>
        <v>#REF!</v>
      </c>
      <c r="AV138" s="1110" t="e">
        <f>IF('A-80 DirEntInv'!#REF!&lt;&gt;"",'A-80 DirEntInv'!#REF!,IF(AK138=summaryref2!B13,summaryref2!L13,IF(Summary!AK138=summaryref2!B27,summaryref2!L27,IF(AK138=summaryref2!B41,summaryref2!L41,IF(AK138=summaryref2!B55,summaryref2!L55,IF(AK138=summaryref2!B69,summaryref2!L69,IF(AK138=summaryref2!B83,summaryref2!L83,IF(AK138=summaryref2!B97,summaryref2!L97,IF(AK138=summaryref2!B111,summaryref2!L111,IF(AK138=summaryref2!B125,summaryref2!L125,IF(AK138=summaryref2!B139,summaryref2!L139,"")))))))))))</f>
        <v>#REF!</v>
      </c>
      <c r="AW138" s="1110" t="e">
        <f>IF('A-80 DirEntInv'!#REF!&lt;&gt;"",'A-80 DirEntInv'!#REF!,IF(AK138=summaryref2!B13,summaryref2!M13,IF(Summary!AK138=summaryref2!B27,summaryref2!M27,IF(AK138=summaryref2!B41,summaryref2!M41,IF(AK138=summaryref2!B55,summaryref2!M55,IF(AK138=summaryref2!B69,summaryref2!M69,IF(AK138=summaryref2!B83,summaryref2!M83,IF(AK138=summaryref2!B97,summaryref2!M97,IF(AK138=summaryref2!B111,summaryref2!M111,IF(AK138=summaryref2!B125,summaryref2!M125,IF(AK138=summaryref2!B139,summaryref2!M139,"")))))))))))</f>
        <v>#REF!</v>
      </c>
      <c r="AX138" s="1110" t="e">
        <f>IF('A-80 DirEntInv'!#REF!&lt;&gt;"",'A-80 DirEntInv'!#REF!,IF(AK138=summaryref2!B13,summaryref2!N13,IF(Summary!AK138=summaryref2!B27,summaryref2!N27,IF(AK138=summaryref2!B41,summaryref2!N41,IF(AK138=summaryref2!B55,summaryref2!N55,IF(AK138=summaryref2!B69,summaryref2!N69,IF(AK138=summaryref2!B83,summaryref2!N83,IF(AK138=summaryref2!B97,summaryref2!N97,IF(AK138=summaryref2!B111,summaryref2!N111,IF(AK138=summaryref2!B125,summaryref2!N125,IF(AK138=summaryref2!B139,summaryref2!N139,"")))))))))))</f>
        <v>#REF!</v>
      </c>
      <c r="AY138" s="1110" t="e">
        <f>IF('A-80 DirEntInv'!#REF!&lt;&gt;"",'A-80 DirEntInv'!#REF!,IF(AK138=summaryref2!B13,summaryref2!O13,IF(Summary!AK138=summaryref2!B27,summaryref2!O27,IF(AK138=summaryref2!B41,summaryref2!O41,IF(AK138=summaryref2!B55,summaryref2!O55,IF(AK138=summaryref2!B69,summaryref2!O69,IF(AK138=summaryref2!B83,summaryref2!O83,IF(AK138=summaryref2!B97,summaryref2!O97,IF(AK138=summaryref2!B111,summaryref2!O111,IF(AK138=summaryref2!B125,summaryref2!O125,IF(AK138=summaryref2!B139,summaryref2!O139,"")))))))))))</f>
        <v>#REF!</v>
      </c>
      <c r="AZ138" s="1110" t="e">
        <f>IF('A-80 DirEntInv'!#REF!&lt;&gt;"",'A-80 DirEntInv'!#REF!,IF(AK138=summaryref2!B13,summaryref2!P13,IF(Summary!AK138=summaryref2!B27,summaryref2!P27,IF(AK138=summaryref2!B41,summaryref2!P41,IF(AK138=summaryref2!B55,summaryref2!P55,IF(AK138=summaryref2!B69,summaryref2!P69,IF(AK138=summaryref2!B83,summaryref2!P83,IF(AK138=summaryref2!B97,summaryref2!P97,IF(AK138=summaryref2!B111,summaryref2!P111,IF(AK138=summaryref2!B125,summaryref2!P125,IF(AK138=summaryref2!B139,summaryref2!P139,"")))))))))))</f>
        <v>#REF!</v>
      </c>
      <c r="BA138" s="1110" t="e">
        <f>IF('A-80 DirEntInv'!#REF!&lt;&gt;"",'A-80 DirEntInv'!#REF!,IF(AK138=summaryref2!B13,summaryref2!Q13,IF(Summary!AK138=summaryref2!B27,summaryref2!Q27,IF(AK138=summaryref2!B41,summaryref2!Q41,IF(AK138=summaryref2!B55,summaryref2!Q55,IF(AK138=summaryref2!B69,summaryref2!Q69,IF(AK138=summaryref2!B83,summaryref2!Q83,IF(AK138=summaryref2!B97,summaryref2!Q97,IF(AK138=summaryref2!B111,summaryref2!Q111,IF(AK138=summaryref2!B125,summaryref2!Q125,IF(AK138=summaryref2!B139,summaryref2!Q139,"")))))))))))</f>
        <v>#REF!</v>
      </c>
      <c r="BB138" s="1110" t="e">
        <f>IF('A-80 DirEntInv'!#REF!&lt;&gt;"",'A-80 DirEntInv'!#REF!,IF(AK138=summaryref2!B13,summaryref2!R13,IF(Summary!AK138=summaryref2!B27,summaryref2!R27,IF(AK138=summaryref2!B41,summaryref2!R41,IF(AK138=summaryref2!B55,summaryref2!R55,IF(AK138=summaryref2!B69,summaryref2!R69,IF(AK138=summaryref2!B83,summaryref2!R83,IF(AK138=summaryref2!B97,summaryref2!R97,IF(AK138=summaryref2!B111,summaryref2!R111,IF(AK138=summaryref2!B125,summaryref2!R125,IF(AK138=summaryref2!B139,summaryref2!R139,"")))))))))))</f>
        <v>#REF!</v>
      </c>
      <c r="BC138" s="1110" t="e">
        <f>IF('A-80 DirEntInv'!#REF!&lt;&gt;0,'A-80 DirEntInv'!#REF!,IF(AK138=summaryref2!B13,summaryref2!S13,IF(Summary!AK138=summaryref2!B27,summaryref2!S27,IF(AK138=summaryref2!B41,summaryref2!S41,IF(AK138=summaryref2!B55,summaryref2!S55,IF(AK138=summaryref2!B69,summaryref2!S69,IF(AK138=summaryref2!B83,summaryref2!S83,IF(AK138=summaryref2!B97,summaryref2!S97,IF(AK138=summaryref2!B111,summaryref2!S111,IF(AK138=summaryref2!B125,summaryref2!S125,IF(AK138=summaryref2!B139,summaryref2!S139,"")))))))))))</f>
        <v>#REF!</v>
      </c>
      <c r="BD138" s="1111" t="e">
        <f>IF('A-80 DirEntInv'!#REF!&lt;&gt;"",'A-80 DirEntInv'!#REF!,IF(AK138=summaryref2!B13,summaryref2!T13,IF(Summary!AK138=summaryref2!B27,summaryref2!T27,IF(AK138=summaryref2!B41,summaryref2!T41,IF(AK138=summaryref2!B55,summaryref2!T55,IF(AK138=summaryref2!B69,summaryref2!T69,IF(AK138=summaryref2!B83,summaryref2!T83,IF(AK138=summaryref2!B97,summaryref2!T97,IF(AK138=summaryref2!B111,summaryref2!T111,IF(AK138=summaryref2!B125,summaryref2!T125,IF(AK138=summaryref2!B139,summaryref2!T139,"")))))))))))</f>
        <v>#REF!</v>
      </c>
      <c r="BE138" s="1184" t="e">
        <f>IF('A-80 DirEntInv'!#REF!&lt;&gt;"",'A-80 DirEntInv'!#REF!,IF(AK138=summaryref2!B13,summaryref2!U13,IF(Summary!AK138=summaryref2!B27,summaryref2!U27,IF(AK138=summaryref2!B41,summaryref2!U41,IF(AK138=summaryref2!B55,summaryref2!U55,IF(AK138=summaryref2!B69,summaryref2!U69,IF(AK138=summaryref2!B83,summaryref2!U83,IF(AK138=summaryref2!B97,summaryref2!U97,IF(AK138=summaryref2!B111,summaryref2!U111,IF(AK138=summaryref2!B125,summaryref2!U125,IF(AK138=summaryref2!B139,summaryref2!U139,"")))))))))))</f>
        <v>#REF!</v>
      </c>
      <c r="BF138" s="1432"/>
      <c r="BG138" s="1432"/>
      <c r="BJ138" s="1048" t="str">
        <f>Codes!$C$174</f>
        <v>YR - Hybrid Rail (PT)</v>
      </c>
      <c r="BK138" s="1049" t="str">
        <f>Valid!$B$81</f>
        <v>Curve</v>
      </c>
      <c r="BL138" s="1367" t="e">
        <f>IF('A-80 DirEntInv'!#REF!&lt;&gt;"",'A-80 DirEntInv'!#REF!,IF(BJ138=summaryref2!X13,summaryref2!Z13,IF(BJ138=summaryref2!X20,summaryref2!Z20,IF(BJ138=summaryref2!X27,summaryref2!Z27,IF(BJ138=summaryref2!X34,summaryref2!Z34,IF(BJ138=summaryref2!X41,summaryref2!Z41,IF(BJ138=summaryref2!X48,summaryref2!Z48,IF(BJ138=summaryref2!X55,summaryref2!Z55,IF(BJ138=summaryref2!X62,summaryref2!Z62,IF(BJ138=summaryref2!X69,summaryref2!Z69,IF(BJ138=summaryref2!X76,summaryref2!Z76,"")))))))))))</f>
        <v>#REF!</v>
      </c>
      <c r="BM138" s="1049" t="str">
        <f>VLOOKUP(BK138,Valid!$B$80:$C$86,2,FALSE)</f>
        <v>Track Feet</v>
      </c>
      <c r="BN138" s="1324" t="e">
        <f>IF('A-80 DirEntInv'!#REF!&lt;&gt;"",'A-80 DirEntInv'!#REF!,IF(BJ138=summaryref2!X13,summaryref2!AB13,IF(BJ138=summaryref2!X20,summaryref2!AB20,IF(BJ138=summaryref2!X27,summaryref2!AB27,IF(BJ138=summaryref2!X34,summaryref2!AB34,IF(BJ138=summaryref2!X41,summaryref2!AB41,IF(BJ138=summaryref2!X48,summaryref2!AB48,IF(BJ138=summaryref2!X55,summaryref2!AB55,IF(BJ138=summaryref2!X62,summaryref2!AB62,IF(BJ138=summaryref2!X69,summaryref2!AB69,IF(BJ138=summaryref2!X76,summaryref2!AB76,"")))))))))))</f>
        <v>#REF!</v>
      </c>
      <c r="BO138" s="1326" t="e">
        <f>IF('A-80 DirEntInv'!#REF!&lt;&gt;"",'A-80 DirEntInv'!#REF!,IF(BJ138=summaryref2!X13,summaryref2!AC13,IF(BJ138=summaryref2!X20,summaryref2!AC20,IF(BJ138=summaryref2!X27,summaryref2!AC27,IF(BJ138=summaryref2!X34,summaryref2!AC34,IF(BJ138=summaryref2!X41,summaryref2!AC41,IF(BJ138=summaryref2!X48,summaryref2!AC48,IF(BJ138=summaryref2!X55,summaryref2!AC55,IF(BJ138=summaryref2!X62,summaryref2!AC62,IF(BJ138=summaryref2!X69,summaryref2!AC69,IF(BJ138=summaryref2!X76,summaryref2!AC76,"")))))))))))</f>
        <v>#REF!</v>
      </c>
      <c r="BP138" s="1323" t="e">
        <f>IF('A-80 DirEntInv'!#REF!&lt;&gt;"",'A-80 DirEntInv'!#REF!,IF(BJ138=summaryref2!X13,summaryref2!AD13,IF(BJ138=summaryref2!X20,summaryref2!AD20,IF(BJ138=summaryref2!X27,summaryref2!AD27,IF(BJ138=summaryref2!X34,summaryref2!AD34,IF(BJ138=summaryref2!X41,summaryref2!AD41,IF(BJ138=summaryref2!X48,summaryref2!AD48,IF(BJ138=summaryref2!X55,summaryref2!AD55,IF(BJ138=summaryref2!X62,summaryref2!AD62,IF(BJ138=summaryref2!X69,summaryref2!AD69,IF(BJ138=summaryref2!X76,summaryref2!AD76,"")))))))))))</f>
        <v>#REF!</v>
      </c>
      <c r="BU138" s="962"/>
      <c r="CD138" s="589"/>
      <c r="CE138" s="590"/>
      <c r="CF138" s="590"/>
      <c r="CG138" s="590"/>
      <c r="CH138" s="590"/>
      <c r="CI138" s="590"/>
      <c r="CJ138" s="589"/>
      <c r="CK138" s="589"/>
      <c r="CL138" s="589"/>
      <c r="CM138" s="587"/>
      <c r="CN138" s="587"/>
      <c r="CO138" s="589"/>
      <c r="CP138" s="587"/>
      <c r="CQ138" s="592"/>
      <c r="CR138" s="589"/>
      <c r="CS138" s="592"/>
      <c r="CT138" s="589"/>
      <c r="CU138" s="589"/>
      <c r="CV138" s="589"/>
      <c r="CW138" s="587"/>
      <c r="CX138" s="590"/>
      <c r="CY138" s="590"/>
      <c r="CZ138" s="590"/>
      <c r="DA138" s="1054"/>
      <c r="DB138" s="1054"/>
      <c r="DC138" s="587"/>
      <c r="DD138" s="587"/>
    </row>
    <row r="139" spans="1:108" s="588" customFormat="1" ht="13.5" thickTop="1" x14ac:dyDescent="0.2">
      <c r="A139" s="589">
        <f t="shared" si="1"/>
        <v>129</v>
      </c>
      <c r="B139" s="587"/>
      <c r="C139" s="587"/>
      <c r="D139" s="587"/>
      <c r="J139" s="589"/>
      <c r="K139" s="590"/>
      <c r="L139" s="591"/>
      <c r="M139" s="592"/>
      <c r="N139" s="589"/>
      <c r="O139" s="587"/>
      <c r="R139" s="1052"/>
      <c r="S139" s="1052"/>
      <c r="T139" s="1052"/>
      <c r="U139" s="1052"/>
      <c r="V139" s="1052"/>
      <c r="W139" s="1053"/>
      <c r="X139" s="1053"/>
      <c r="Y139" s="1053"/>
      <c r="Z139" s="1052"/>
      <c r="AA139" s="1052"/>
      <c r="AB139" s="962"/>
      <c r="AC139" s="590"/>
      <c r="AD139" s="590"/>
      <c r="AE139" s="591"/>
      <c r="AF139" s="592"/>
      <c r="AG139" s="1053"/>
      <c r="AH139" s="587"/>
      <c r="AK139" s="1041" t="str">
        <f>Codes!$C$165</f>
        <v>LR - Light Rail (DO)</v>
      </c>
      <c r="AL139" s="1042" t="str">
        <f>Valid!$B$73</f>
        <v>Elevated/Retained Fill</v>
      </c>
      <c r="AM139" s="1108" t="e">
        <f>IF('A-80 DirEntInv'!#REF!&lt;&gt;"",'A-80 DirEntInv'!#REF!,IF(AK139=summaryref2!B14,summaryref2!D14,IF(Summary!AK139=summaryref2!B28,summaryref2!D28,IF(AK139=summaryref2!B42,summaryref2!D42,IF(AK139=summaryref2!B56,summaryref2!D56,IF(AK139=summaryref2!B70,summaryref2!D70,IF(AK139=summaryref2!B84,summaryref2!D84,IF(AK139=summaryref2!B98,summaryref2!D98,IF(AK139=summaryref2!B112,summaryref2!D112,IF(AK139=summaryref2!B126,summaryref2!D126,IF(AK139=summaryref2!B140,summaryref2!D140,"")))))))))))</f>
        <v>#REF!</v>
      </c>
      <c r="AN139" s="1109" t="e">
        <f ca="1">IF('A-80 DirEntInv'!#REF!&lt;&gt;"",'A-80 DirEntInv'!#REF!,IF(INDIRECT(ADDRESS(SumRef!CG340,SumRef!CG$16,,,SumRef!$C$7))="","",INDIRECT(ADDRESS(SumRef!CG340,SumRef!CG$16,,,SumRef!$C$7))))</f>
        <v>#REF!</v>
      </c>
      <c r="AO139" s="1108" t="e">
        <f>IF('A-80 DirEntInv'!#REF!&lt;&gt;"",'A-80 DirEntInv'!#REF!,IF(AK139=summaryref2!B14,summaryref2!F14,IF(Summary!AK139=summaryref2!B28,summaryref2!F28,IF(AK139=summaryref2!B42,summaryref2!F42,IF(AK139=summaryref2!B56,summaryref2!F56,IF(AK139=summaryref2!B70,summaryref2!F70,IF(AK139=summaryref2!B84,summaryref2!F84,IF(AK139=summaryref2!B98,summaryref2!F98,IF(AK139=summaryref2!B112,summaryref2!F112,IF(AK139=summaryref2!B126,summaryref2!F126,IF(AK139=summaryref2!B140,summaryref2!F140,"")))))))))))</f>
        <v>#REF!</v>
      </c>
      <c r="AP139" s="1109" t="e">
        <f ca="1">IF('A-80 DirEntInv'!#REF!&lt;&gt;"",'A-80 DirEntInv'!#REF!,IF(INDIRECT(ADDRESS(SumRef!#REF!,SumRef!#REF!,,,SumRef!$C$7))="","",INDIRECT(ADDRESS(SumRef!#REF!,SumRef!#REF!,,,SumRef!$C$7))))</f>
        <v>#REF!</v>
      </c>
      <c r="AQ139" s="1147" t="e">
        <f>IF('A-80 DirEntInv'!#REF!&lt;&gt;"",'A-80 DirEntInv'!#REF!,IF(AK139=summaryref2!B14,summaryref2!G14,IF(Summary!AK139=summaryref2!B28,summaryref2!G28,IF(AK139=summaryref2!B42,summaryref2!G42,IF(AK139=summaryref2!B56,summaryref2!G56,IF(AK139=summaryref2!B70,summaryref2!G70,IF(AK139=summaryref2!B84,summaryref2!G84,IF(AK139=summaryref2!B98,summaryref2!G98,IF(AK139=summaryref2!B112,summaryref2!G112,IF(AK139=summaryref2!B126,summaryref2!G126,IF(AK139=summaryref2!B140,summaryref2!G140,"")))))))))))</f>
        <v>#REF!</v>
      </c>
      <c r="AR139" s="1147" t="e">
        <f>IF('A-80 DirEntInv'!#REF!&lt;&gt;"",'A-80 DirEntInv'!#REF!,IF(AK139=summaryref2!B14,summaryref2!H14,IF(Summary!AK139=summaryref2!B28,summaryref2!H28,IF(AK139=summaryref2!B42,summaryref2!H42,IF(AK139=summaryref2!B56,summaryref2!H56,IF(AK139=summaryref2!B70,summaryref2!H70,IF(AK139=summaryref2!B84,summaryref2!H84,IF(AK139=summaryref2!B98,summaryref2!H98,IF(AK139=summaryref2!B112,summaryref2!H112,IF(AK139=summaryref2!B126,summaryref2!H126,IF(AK139=summaryref2!B140,summaryref2!H140,"")))))))))))</f>
        <v>#REF!</v>
      </c>
      <c r="AS139" s="1110" t="e">
        <f>IF('A-80 DirEntInv'!#REF!&lt;&gt;"",'A-80 DirEntInv'!#REF!,IF(AK139=summaryref2!B14,summaryref2!I14,IF(Summary!AK139=summaryref2!B28,summaryref2!I28,IF(AK139=summaryref2!B42,summaryref2!I42,IF(AK139=summaryref2!B56,summaryref2!I56,IF(AK139=summaryref2!B70,summaryref2!I70,IF(AK139=summaryref2!B84,summaryref2!I84,IF(AK139=summaryref2!B98,summaryref2!I98,IF(AK139=summaryref2!B112,summaryref2!I112,IF(AK139=summaryref2!B126,summaryref2!I126,IF(AK139=summaryref2!B140,summaryref2!I140,"")))))))))))</f>
        <v>#REF!</v>
      </c>
      <c r="AT139" s="1110" t="e">
        <f>IF('A-80 DirEntInv'!#REF!&lt;&gt;"",'A-80 DirEntInv'!#REF!,IF(AK139=summaryref2!B14,summaryref2!J14,IF(Summary!AK139=summaryref2!B28,summaryref2!J28,IF(AK139=summaryref2!B42,summaryref2!J42,IF(AK139=summaryref2!B56,summaryref2!J56,IF(AK139=summaryref2!B70,summaryref2!J70,IF(AK139=summaryref2!B84,summaryref2!J84,IF(AK139=summaryref2!B98,summaryref2!J98,IF(AK139=summaryref2!B112,summaryref2!J112,IF(AK139=summaryref2!B126,summaryref2!J126,IF(AK139=summaryref2!B140,summaryref2!J140,"")))))))))))</f>
        <v>#REF!</v>
      </c>
      <c r="AU139" s="1110" t="e">
        <f>IF('A-80 DirEntInv'!#REF!&lt;&gt;"",'A-80 DirEntInv'!#REF!,IF(AK139=summaryref2!B14,summaryref2!K14,IF(Summary!AK139=summaryref2!B28,summaryref2!K28,IF(AK139=summaryref2!B42,summaryref2!K42,IF(AK139=summaryref2!B56,summaryref2!K56,IF(AK139=summaryref2!B70,summaryref2!K70,IF(AK139=summaryref2!B84,summaryref2!K84,IF(AK139=summaryref2!B98,summaryref2!K98,IF(AK139=summaryref2!B112,summaryref2!K112,IF(AK139=summaryref2!B126,summaryref2!K126,IF(AK139=summaryref2!B140,summaryref2!K140,"")))))))))))</f>
        <v>#REF!</v>
      </c>
      <c r="AV139" s="1110" t="e">
        <f>IF('A-80 DirEntInv'!#REF!&lt;&gt;"",'A-80 DirEntInv'!#REF!,IF(AK139=summaryref2!B14,summaryref2!L14,IF(Summary!AK139=summaryref2!B28,summaryref2!L28,IF(AK139=summaryref2!B42,summaryref2!L42,IF(AK139=summaryref2!B56,summaryref2!L56,IF(AK139=summaryref2!B70,summaryref2!L70,IF(AK139=summaryref2!B84,summaryref2!L84,IF(AK139=summaryref2!B98,summaryref2!L98,IF(AK139=summaryref2!B112,summaryref2!L112,IF(AK139=summaryref2!B126,summaryref2!L126,IF(AK139=summaryref2!B140,summaryref2!L140,"")))))))))))</f>
        <v>#REF!</v>
      </c>
      <c r="AW139" s="1110" t="e">
        <f>IF('A-80 DirEntInv'!#REF!&lt;&gt;"",'A-80 DirEntInv'!#REF!,IF(AK139=summaryref2!B14,summaryref2!M14,IF(Summary!AK139=summaryref2!B28,summaryref2!M28,IF(AK139=summaryref2!B42,summaryref2!M42,IF(AK139=summaryref2!B56,summaryref2!M56,IF(AK139=summaryref2!B70,summaryref2!M70,IF(AK139=summaryref2!B84,summaryref2!M84,IF(AK139=summaryref2!B98,summaryref2!M98,IF(AK139=summaryref2!B112,summaryref2!M112,IF(AK139=summaryref2!B126,summaryref2!M126,IF(AK139=summaryref2!B140,summaryref2!M140,"")))))))))))</f>
        <v>#REF!</v>
      </c>
      <c r="AX139" s="1110" t="e">
        <f>IF('A-80 DirEntInv'!#REF!&lt;&gt;"",'A-80 DirEntInv'!#REF!,IF(AK139=summaryref2!B14,summaryref2!N14,IF(Summary!AK139=summaryref2!B28,summaryref2!N28,IF(AK139=summaryref2!B42,summaryref2!N42,IF(AK139=summaryref2!B56,summaryref2!N56,IF(AK139=summaryref2!B70,summaryref2!N70,IF(AK139=summaryref2!B84,summaryref2!N84,IF(AK139=summaryref2!B98,summaryref2!N98,IF(AK139=summaryref2!B112,summaryref2!N112,IF(AK139=summaryref2!B126,summaryref2!N126,IF(AK139=summaryref2!B140,summaryref2!N140,"")))))))))))</f>
        <v>#REF!</v>
      </c>
      <c r="AY139" s="1110" t="e">
        <f>IF('A-80 DirEntInv'!#REF!&lt;&gt;"",'A-80 DirEntInv'!#REF!,IF(AK139=summaryref2!B14,summaryref2!O14,IF(Summary!AK139=summaryref2!B28,summaryref2!O28,IF(AK139=summaryref2!B42,summaryref2!O42,IF(AK139=summaryref2!B56,summaryref2!O56,IF(AK139=summaryref2!B70,summaryref2!O70,IF(AK139=summaryref2!B84,summaryref2!O84,IF(AK139=summaryref2!B98,summaryref2!O98,IF(AK139=summaryref2!B112,summaryref2!O112,IF(AK139=summaryref2!B126,summaryref2!O126,IF(AK139=summaryref2!B140,summaryref2!O140,"")))))))))))</f>
        <v>#REF!</v>
      </c>
      <c r="AZ139" s="1110" t="e">
        <f>IF('A-80 DirEntInv'!#REF!&lt;&gt;"",'A-80 DirEntInv'!#REF!,IF(AK139=summaryref2!B14,summaryref2!P14,IF(Summary!AK139=summaryref2!B28,summaryref2!P28,IF(AK139=summaryref2!B42,summaryref2!P42,IF(AK139=summaryref2!B56,summaryref2!P56,IF(AK139=summaryref2!B70,summaryref2!P70,IF(AK139=summaryref2!B84,summaryref2!P84,IF(AK139=summaryref2!B98,summaryref2!P98,IF(AK139=summaryref2!B112,summaryref2!P112,IF(AK139=summaryref2!B126,summaryref2!P126,IF(AK139=summaryref2!B140,summaryref2!P140,"")))))))))))</f>
        <v>#REF!</v>
      </c>
      <c r="BA139" s="1110" t="e">
        <f>IF('A-80 DirEntInv'!#REF!&lt;&gt;"",'A-80 DirEntInv'!#REF!,IF(AK139=summaryref2!B14,summaryref2!Q14,IF(Summary!AK139=summaryref2!B28,summaryref2!Q28,IF(AK139=summaryref2!B42,summaryref2!Q42,IF(AK139=summaryref2!B56,summaryref2!Q56,IF(AK139=summaryref2!B70,summaryref2!Q70,IF(AK139=summaryref2!B84,summaryref2!Q84,IF(AK139=summaryref2!B98,summaryref2!Q98,IF(AK139=summaryref2!B112,summaryref2!Q112,IF(AK139=summaryref2!B126,summaryref2!Q126,IF(AK139=summaryref2!B140,summaryref2!Q140,"")))))))))))</f>
        <v>#REF!</v>
      </c>
      <c r="BB139" s="1110" t="e">
        <f>IF('A-80 DirEntInv'!#REF!&lt;&gt;"",'A-80 DirEntInv'!#REF!,IF(AK139=summaryref2!B14,summaryref2!R14,IF(Summary!AK139=summaryref2!B28,summaryref2!R28,IF(AK139=summaryref2!B42,summaryref2!R42,IF(AK139=summaryref2!B56,summaryref2!R56,IF(AK139=summaryref2!B70,summaryref2!R70,IF(AK139=summaryref2!B84,summaryref2!R84,IF(AK139=summaryref2!B98,summaryref2!R98,IF(AK139=summaryref2!B112,summaryref2!R112,IF(AK139=summaryref2!B126,summaryref2!R126,IF(AK139=summaryref2!B140,summaryref2!R140,"")))))))))))</f>
        <v>#REF!</v>
      </c>
      <c r="BC139" s="1110" t="e">
        <f>IF('A-80 DirEntInv'!#REF!&lt;&gt;0,'A-80 DirEntInv'!#REF!,IF(AK139=summaryref2!B14,summaryref2!S14,IF(Summary!AK139=summaryref2!B28,summaryref2!S28,IF(AK139=summaryref2!B42,summaryref2!S42,IF(AK139=summaryref2!B56,summaryref2!S56,IF(AK139=summaryref2!B70,summaryref2!S70,IF(AK139=summaryref2!B84,summaryref2!S84,IF(AK139=summaryref2!B98,summaryref2!S98,IF(AK139=summaryref2!B112,summaryref2!S112,IF(AK139=summaryref2!B126,summaryref2!S126,IF(AK139=summaryref2!B140,summaryref2!S140,"")))))))))))</f>
        <v>#REF!</v>
      </c>
      <c r="BD139" s="1111" t="e">
        <f>IF('A-80 DirEntInv'!#REF!&lt;&gt;"",'A-80 DirEntInv'!#REF!,IF(AK139=summaryref2!B14,summaryref2!T14,IF(Summary!AK139=summaryref2!B28,summaryref2!T28,IF(AK139=summaryref2!B42,summaryref2!T42,IF(AK139=summaryref2!B56,summaryref2!T56,IF(AK139=summaryref2!B70,summaryref2!T70,IF(AK139=summaryref2!B84,summaryref2!T84,IF(AK139=summaryref2!B98,summaryref2!T98,IF(AK139=summaryref2!B112,summaryref2!T112,IF(AK139=summaryref2!B126,summaryref2!T126,IF(AK139=summaryref2!B140,summaryref2!T140,"")))))))))))</f>
        <v>#REF!</v>
      </c>
      <c r="BE139" s="1184" t="e">
        <f>IF('A-80 DirEntInv'!#REF!&lt;&gt;"",'A-80 DirEntInv'!#REF!,IF(AK139=summaryref2!B14,summaryref2!U14,IF(Summary!AK139=summaryref2!B28,summaryref2!U28,IF(AK139=summaryref2!B42,summaryref2!U42,IF(AK139=summaryref2!B56,summaryref2!U56,IF(AK139=summaryref2!B70,summaryref2!U70,IF(AK139=summaryref2!B84,summaryref2!U84,IF(AK139=summaryref2!B98,summaryref2!U98,IF(AK139=summaryref2!B112,summaryref2!U112,IF(AK139=summaryref2!B126,summaryref2!U126,IF(AK139=summaryref2!B140,summaryref2!U140,"")))))))))))</f>
        <v>#REF!</v>
      </c>
      <c r="BF139" s="1432"/>
      <c r="BG139" s="1432"/>
      <c r="BJ139" s="1045" t="str">
        <f>Codes!$C$174</f>
        <v>YR - Hybrid Rail (PT)</v>
      </c>
      <c r="BK139" s="1046" t="str">
        <f>Valid!$B$82</f>
        <v>Double Diamond Crossover</v>
      </c>
      <c r="BL139" s="1368" t="e">
        <f>IF('A-80 DirEntInv'!#REF!&lt;&gt;"",'A-80 DirEntInv'!#REF!,IF(BJ139=summaryref2!X14,summaryref2!Z14,IF(BJ139=summaryref2!X21,summaryref2!Z21,IF(BJ139=summaryref2!X28,summaryref2!Z28,IF(BJ139=summaryref2!X35,summaryref2!Z35,IF(BJ139=summaryref2!X42,summaryref2!Z42,IF(BJ139=summaryref2!X49,summaryref2!Z49,IF(BJ139=summaryref2!X56,summaryref2!Z56,IF(BJ139=summaryref2!X63,summaryref2!Z63,IF(BJ139=summaryref2!X70,summaryref2!Z70,IF(BJ139=summaryref2!X77,summaryref2!Z77,"")))))))))))</f>
        <v>#REF!</v>
      </c>
      <c r="BM139" s="1046" t="str">
        <f>VLOOKUP(BK139,Valid!$B$80:$C$86,2,FALSE)</f>
        <v>Each</v>
      </c>
      <c r="BN139" s="1325" t="e">
        <f>IF('A-80 DirEntInv'!#REF!&lt;&gt;"",'A-80 DirEntInv'!#REF!,IF(BJ139=summaryref2!X14,summaryref2!AB14,IF(BJ139=summaryref2!X21,summaryref2!AB21,IF(BJ139=summaryref2!X28,summaryref2!AB28,IF(BJ139=summaryref2!X35,summaryref2!AB35,IF(BJ139=summaryref2!X42,summaryref2!AB42,IF(BJ139=summaryref2!X49,summaryref2!AB49,IF(BJ139=summaryref2!X56,summaryref2!AB56,IF(BJ139=summaryref2!X63,summaryref2!AB63,IF(BJ139=summaryref2!X70,summaryref2!AB70,IF(BJ139=summaryref2!X77,summaryref2!AB77,"")))))))))))</f>
        <v>#REF!</v>
      </c>
      <c r="BO139" s="1327" t="e">
        <f>IF('A-80 DirEntInv'!#REF!&lt;&gt;"",'A-80 DirEntInv'!#REF!,IF(BJ139=summaryref2!X14,summaryref2!AC14,IF(BJ139=summaryref2!X21,summaryref2!AC21,IF(BJ139=summaryref2!X28,summaryref2!AC28,IF(BJ139=summaryref2!X35,summaryref2!AC35,IF(BJ139=summaryref2!X42,summaryref2!AC42,IF(BJ139=summaryref2!X49,summaryref2!AC49,IF(BJ139=summaryref2!X56,summaryref2!AC56,IF(BJ139=summaryref2!X63,summaryref2!AC63,IF(BJ139=summaryref2!X70,summaryref2!AC70,IF(BJ139=summaryref2!X77,summaryref2!AC77,"")))))))))))</f>
        <v>#REF!</v>
      </c>
      <c r="BP139" s="1322" t="e">
        <f>IF('A-80 DirEntInv'!#REF!&lt;&gt;"",'A-80 DirEntInv'!#REF!,IF(BJ139=summaryref2!X14,summaryref2!AD14,IF(BJ139=summaryref2!X21,summaryref2!AD21,IF(BJ139=summaryref2!X28,summaryref2!AD28,IF(BJ139=summaryref2!X35,summaryref2!AD35,IF(BJ139=summaryref2!X42,summaryref2!AD42,IF(BJ139=summaryref2!X49,summaryref2!AD49,IF(BJ139=summaryref2!X56,summaryref2!AD56,IF(BJ139=summaryref2!X63,summaryref2!AD63,IF(BJ139=summaryref2!X70,summaryref2!AD70,IF(BJ139=summaryref2!X77,summaryref2!AD77,"")))))))))))</f>
        <v>#REF!</v>
      </c>
      <c r="BU139" s="962"/>
      <c r="CD139" s="589"/>
      <c r="CE139" s="590"/>
      <c r="CF139" s="590"/>
      <c r="CG139" s="590"/>
      <c r="CH139" s="590"/>
      <c r="CI139" s="590"/>
      <c r="CJ139" s="589"/>
      <c r="CK139" s="589"/>
      <c r="CL139" s="589"/>
      <c r="CM139" s="587"/>
      <c r="CN139" s="587"/>
      <c r="CO139" s="589"/>
      <c r="CP139" s="587"/>
      <c r="CQ139" s="592"/>
      <c r="CR139" s="589"/>
      <c r="CS139" s="592"/>
      <c r="CT139" s="589"/>
      <c r="CU139" s="589"/>
      <c r="CV139" s="589"/>
      <c r="CW139" s="587"/>
      <c r="CX139" s="590"/>
      <c r="CY139" s="590"/>
      <c r="CZ139" s="590"/>
      <c r="DA139" s="1054"/>
      <c r="DB139" s="1054"/>
      <c r="DC139" s="587"/>
      <c r="DD139" s="587"/>
    </row>
    <row r="140" spans="1:108" s="588" customFormat="1" x14ac:dyDescent="0.2">
      <c r="A140" s="589">
        <f t="shared" si="1"/>
        <v>130</v>
      </c>
      <c r="B140" s="587"/>
      <c r="C140" s="587"/>
      <c r="D140" s="587"/>
      <c r="J140" s="589"/>
      <c r="K140" s="590"/>
      <c r="L140" s="591"/>
      <c r="M140" s="592"/>
      <c r="N140" s="589"/>
      <c r="O140" s="587"/>
      <c r="R140" s="1052"/>
      <c r="S140" s="1052"/>
      <c r="T140" s="1052"/>
      <c r="U140" s="1052"/>
      <c r="V140" s="1052"/>
      <c r="W140" s="1053"/>
      <c r="X140" s="1053"/>
      <c r="Y140" s="1053"/>
      <c r="Z140" s="1052"/>
      <c r="AA140" s="1052"/>
      <c r="AB140" s="962"/>
      <c r="AC140" s="590"/>
      <c r="AD140" s="590"/>
      <c r="AE140" s="591"/>
      <c r="AF140" s="592"/>
      <c r="AG140" s="1053"/>
      <c r="AH140" s="587"/>
      <c r="AK140" s="1041" t="str">
        <f>Codes!$C$165</f>
        <v>LR - Light Rail (DO)</v>
      </c>
      <c r="AL140" s="1042" t="str">
        <f>Valid!$B$74</f>
        <v>Elevated/Concrete</v>
      </c>
      <c r="AM140" s="1108" t="e">
        <f>IF('A-80 DirEntInv'!#REF!&lt;&gt;"",'A-80 DirEntInv'!#REF!,IF(AK140=summaryref2!B15,summaryref2!D15,IF(Summary!AK140=summaryref2!B29,summaryref2!D29,IF(AK140=summaryref2!B43,summaryref2!D43,IF(AK140=summaryref2!B57,summaryref2!D57,IF(AK140=summaryref2!B71,summaryref2!D71,IF(AK140=summaryref2!B85,summaryref2!D85,IF(AK140=summaryref2!B99,summaryref2!D99,IF(AK140=summaryref2!B113,summaryref2!D113,IF(AK140=summaryref2!B127,summaryref2!D127,IF(AK140=summaryref2!B141,summaryref2!D141,"")))))))))))</f>
        <v>#REF!</v>
      </c>
      <c r="AN140" s="1109" t="e">
        <f ca="1">IF('A-80 DirEntInv'!#REF!&lt;&gt;"",'A-80 DirEntInv'!#REF!,IF(INDIRECT(ADDRESS(SumRef!CG341,SumRef!CG$16,,,SumRef!$C$7))="","",INDIRECT(ADDRESS(SumRef!CG341,SumRef!CG$16,,,SumRef!$C$7))))</f>
        <v>#REF!</v>
      </c>
      <c r="AO140" s="1108" t="e">
        <f>IF('A-80 DirEntInv'!#REF!&lt;&gt;"",'A-80 DirEntInv'!#REF!,IF(AK140=summaryref2!B15,summaryref2!F15,IF(Summary!AK140=summaryref2!B29,summaryref2!F29,IF(AK140=summaryref2!B43,summaryref2!F43,IF(AK140=summaryref2!B57,summaryref2!F57,IF(AK140=summaryref2!B71,summaryref2!F71,IF(AK140=summaryref2!B85,summaryref2!F85,IF(AK140=summaryref2!B99,summaryref2!F99,IF(AK140=summaryref2!B113,summaryref2!F113,IF(AK140=summaryref2!B127,summaryref2!F127,IF(AK140=summaryref2!B141,summaryref2!F141,"")))))))))))</f>
        <v>#REF!</v>
      </c>
      <c r="AP140" s="1109" t="e">
        <f ca="1">IF('A-80 DirEntInv'!#REF!&lt;&gt;"",'A-80 DirEntInv'!#REF!,IF(INDIRECT(ADDRESS(SumRef!#REF!,SumRef!#REF!,,,SumRef!$C$7))="","",INDIRECT(ADDRESS(SumRef!#REF!,SumRef!#REF!,,,SumRef!$C$7))))</f>
        <v>#REF!</v>
      </c>
      <c r="AQ140" s="1147" t="e">
        <f>IF('A-80 DirEntInv'!#REF!&lt;&gt;"",'A-80 DirEntInv'!#REF!,IF(AK140=summaryref2!B15,summaryref2!G15,IF(Summary!AK140=summaryref2!B29,summaryref2!G29,IF(AK140=summaryref2!B43,summaryref2!G43,IF(AK140=summaryref2!B57,summaryref2!G57,IF(AK140=summaryref2!B71,summaryref2!G71,IF(AK140=summaryref2!B85,summaryref2!G85,IF(AK140=summaryref2!B99,summaryref2!G99,IF(AK140=summaryref2!B113,summaryref2!G113,IF(AK140=summaryref2!B127,summaryref2!G127,IF(AK140=summaryref2!B141,summaryref2!G141,"")))))))))))</f>
        <v>#REF!</v>
      </c>
      <c r="AR140" s="1147" t="e">
        <f>IF('A-80 DirEntInv'!#REF!&lt;&gt;"",'A-80 DirEntInv'!#REF!,IF(AK140=summaryref2!B15,summaryref2!H15,IF(Summary!AK140=summaryref2!B29,summaryref2!H29,IF(AK140=summaryref2!B43,summaryref2!H43,IF(AK140=summaryref2!B57,summaryref2!H57,IF(AK140=summaryref2!B71,summaryref2!H71,IF(AK140=summaryref2!B85,summaryref2!H85,IF(AK140=summaryref2!B99,summaryref2!H99,IF(AK140=summaryref2!B113,summaryref2!H113,IF(AK140=summaryref2!B127,summaryref2!H127,IF(AK140=summaryref2!B141,summaryref2!H141,"")))))))))))</f>
        <v>#REF!</v>
      </c>
      <c r="AS140" s="1110" t="e">
        <f>IF('A-80 DirEntInv'!#REF!&lt;&gt;"",'A-80 DirEntInv'!#REF!,IF(AK140=summaryref2!B15,summaryref2!I15,IF(Summary!AK140=summaryref2!B29,summaryref2!I29,IF(AK140=summaryref2!B43,summaryref2!I43,IF(AK140=summaryref2!B57,summaryref2!I57,IF(AK140=summaryref2!B71,summaryref2!I71,IF(AK140=summaryref2!B85,summaryref2!I85,IF(AK140=summaryref2!B99,summaryref2!I99,IF(AK140=summaryref2!B113,summaryref2!I113,IF(AK140=summaryref2!B127,summaryref2!I127,IF(AK140=summaryref2!B141,summaryref2!I141,"")))))))))))</f>
        <v>#REF!</v>
      </c>
      <c r="AT140" s="1110" t="e">
        <f>IF('A-80 DirEntInv'!#REF!&lt;&gt;"",'A-80 DirEntInv'!#REF!,IF(AK140=summaryref2!B15,summaryref2!J15,IF(Summary!AK140=summaryref2!B29,summaryref2!J29,IF(AK140=summaryref2!B43,summaryref2!J43,IF(AK140=summaryref2!B57,summaryref2!J57,IF(AK140=summaryref2!B71,summaryref2!J71,IF(AK140=summaryref2!B85,summaryref2!J85,IF(AK140=summaryref2!B99,summaryref2!J99,IF(AK140=summaryref2!B113,summaryref2!J113,IF(AK140=summaryref2!B127,summaryref2!J127,IF(AK140=summaryref2!B141,summaryref2!J141,"")))))))))))</f>
        <v>#REF!</v>
      </c>
      <c r="AU140" s="1110" t="e">
        <f>IF('A-80 DirEntInv'!#REF!&lt;&gt;"",'A-80 DirEntInv'!#REF!,IF(AK140=summaryref2!B15,summaryref2!K15,IF(Summary!AK140=summaryref2!B29,summaryref2!K29,IF(AK140=summaryref2!B43,summaryref2!K43,IF(AK140=summaryref2!B57,summaryref2!K57,IF(AK140=summaryref2!B71,summaryref2!K71,IF(AK140=summaryref2!B85,summaryref2!K85,IF(AK140=summaryref2!B99,summaryref2!K99,IF(AK140=summaryref2!B113,summaryref2!K113,IF(AK140=summaryref2!B127,summaryref2!K127,IF(AK140=summaryref2!B141,summaryref2!K141,"")))))))))))</f>
        <v>#REF!</v>
      </c>
      <c r="AV140" s="1110" t="e">
        <f>IF('A-80 DirEntInv'!#REF!&lt;&gt;"",'A-80 DirEntInv'!#REF!,IF(AK140=summaryref2!B15,summaryref2!L15,IF(Summary!AK140=summaryref2!B29,summaryref2!L29,IF(AK140=summaryref2!B43,summaryref2!L43,IF(AK140=summaryref2!B57,summaryref2!L57,IF(AK140=summaryref2!B71,summaryref2!L71,IF(AK140=summaryref2!B85,summaryref2!L85,IF(AK140=summaryref2!B99,summaryref2!L99,IF(AK140=summaryref2!B113,summaryref2!L113,IF(AK140=summaryref2!B127,summaryref2!L127,IF(AK140=summaryref2!B141,summaryref2!L141,"")))))))))))</f>
        <v>#REF!</v>
      </c>
      <c r="AW140" s="1110" t="e">
        <f>IF('A-80 DirEntInv'!#REF!&lt;&gt;"",'A-80 DirEntInv'!#REF!,IF(AK140=summaryref2!B15,summaryref2!M15,IF(Summary!AK140=summaryref2!B29,summaryref2!M29,IF(AK140=summaryref2!B43,summaryref2!M43,IF(AK140=summaryref2!B57,summaryref2!M57,IF(AK140=summaryref2!B71,summaryref2!M71,IF(AK140=summaryref2!B85,summaryref2!M85,IF(AK140=summaryref2!B99,summaryref2!M99,IF(AK140=summaryref2!B113,summaryref2!M113,IF(AK140=summaryref2!B127,summaryref2!M127,IF(AK140=summaryref2!B141,summaryref2!M141,"")))))))))))</f>
        <v>#REF!</v>
      </c>
      <c r="AX140" s="1110" t="e">
        <f>IF('A-80 DirEntInv'!#REF!&lt;&gt;"",'A-80 DirEntInv'!#REF!,IF(AK140=summaryref2!B15,summaryref2!N15,IF(Summary!AK140=summaryref2!B29,summaryref2!N29,IF(AK140=summaryref2!B43,summaryref2!N43,IF(AK140=summaryref2!B57,summaryref2!N57,IF(AK140=summaryref2!B71,summaryref2!N71,IF(AK140=summaryref2!B85,summaryref2!N85,IF(AK140=summaryref2!B99,summaryref2!N99,IF(AK140=summaryref2!B113,summaryref2!N113,IF(AK140=summaryref2!B127,summaryref2!N127,IF(AK140=summaryref2!B141,summaryref2!N141,"")))))))))))</f>
        <v>#REF!</v>
      </c>
      <c r="AY140" s="1110" t="e">
        <f>IF('A-80 DirEntInv'!#REF!&lt;&gt;"",'A-80 DirEntInv'!#REF!,IF(AK140=summaryref2!B15,summaryref2!O15,IF(Summary!AK140=summaryref2!B29,summaryref2!O29,IF(AK140=summaryref2!B43,summaryref2!O43,IF(AK140=summaryref2!B57,summaryref2!O57,IF(AK140=summaryref2!B71,summaryref2!O71,IF(AK140=summaryref2!B85,summaryref2!O85,IF(AK140=summaryref2!B99,summaryref2!O99,IF(AK140=summaryref2!B113,summaryref2!O113,IF(AK140=summaryref2!B127,summaryref2!O127,IF(AK140=summaryref2!B141,summaryref2!O141,"")))))))))))</f>
        <v>#REF!</v>
      </c>
      <c r="AZ140" s="1110" t="e">
        <f>IF('A-80 DirEntInv'!#REF!&lt;&gt;"",'A-80 DirEntInv'!#REF!,IF(AK140=summaryref2!B15,summaryref2!P15,IF(Summary!AK140=summaryref2!B29,summaryref2!P29,IF(AK140=summaryref2!B43,summaryref2!P43,IF(AK140=summaryref2!B57,summaryref2!P57,IF(AK140=summaryref2!B71,summaryref2!P71,IF(AK140=summaryref2!B85,summaryref2!P85,IF(AK140=summaryref2!B99,summaryref2!P99,IF(AK140=summaryref2!B113,summaryref2!P113,IF(AK140=summaryref2!B127,summaryref2!P127,IF(AK140=summaryref2!B141,summaryref2!P141,"")))))))))))</f>
        <v>#REF!</v>
      </c>
      <c r="BA140" s="1110" t="e">
        <f>IF('A-80 DirEntInv'!#REF!&lt;&gt;"",'A-80 DirEntInv'!#REF!,IF(AK140=summaryref2!B15,summaryref2!Q15,IF(Summary!AK140=summaryref2!B29,summaryref2!Q29,IF(AK140=summaryref2!B43,summaryref2!Q43,IF(AK140=summaryref2!B57,summaryref2!Q57,IF(AK140=summaryref2!B71,summaryref2!Q71,IF(AK140=summaryref2!B85,summaryref2!Q85,IF(AK140=summaryref2!B99,summaryref2!Q99,IF(AK140=summaryref2!B113,summaryref2!Q113,IF(AK140=summaryref2!B127,summaryref2!Q127,IF(AK140=summaryref2!B141,summaryref2!Q141,"")))))))))))</f>
        <v>#REF!</v>
      </c>
      <c r="BB140" s="1110" t="e">
        <f>IF('A-80 DirEntInv'!#REF!&lt;&gt;"",'A-80 DirEntInv'!#REF!,IF(AK140=summaryref2!B15,summaryref2!R15,IF(Summary!AK140=summaryref2!B29,summaryref2!R29,IF(AK140=summaryref2!B43,summaryref2!R43,IF(AK140=summaryref2!B57,summaryref2!R57,IF(AK140=summaryref2!B71,summaryref2!R71,IF(AK140=summaryref2!B85,summaryref2!R85,IF(AK140=summaryref2!B99,summaryref2!R99,IF(AK140=summaryref2!B113,summaryref2!R113,IF(AK140=summaryref2!B127,summaryref2!R127,IF(AK140=summaryref2!B141,summaryref2!R141,"")))))))))))</f>
        <v>#REF!</v>
      </c>
      <c r="BC140" s="1110" t="e">
        <f>IF('A-80 DirEntInv'!#REF!&lt;&gt;0,'A-80 DirEntInv'!#REF!,IF(AK140=summaryref2!B15,summaryref2!S15,IF(Summary!AK140=summaryref2!B29,summaryref2!S29,IF(AK140=summaryref2!B43,summaryref2!S43,IF(AK140=summaryref2!B57,summaryref2!S57,IF(AK140=summaryref2!B71,summaryref2!S71,IF(AK140=summaryref2!B85,summaryref2!S85,IF(AK140=summaryref2!B99,summaryref2!S99,IF(AK140=summaryref2!B113,summaryref2!S113,IF(AK140=summaryref2!B127,summaryref2!S127,IF(AK140=summaryref2!B141,summaryref2!S141,"")))))))))))</f>
        <v>#REF!</v>
      </c>
      <c r="BD140" s="1111" t="e">
        <f>IF('A-80 DirEntInv'!#REF!&lt;&gt;"",'A-80 DirEntInv'!#REF!,IF(AK140=summaryref2!B15,summaryref2!T15,IF(Summary!AK140=summaryref2!B29,summaryref2!T29,IF(AK140=summaryref2!B43,summaryref2!T43,IF(AK140=summaryref2!B57,summaryref2!T57,IF(AK140=summaryref2!B71,summaryref2!T71,IF(AK140=summaryref2!B85,summaryref2!T85,IF(AK140=summaryref2!B99,summaryref2!T99,IF(AK140=summaryref2!B113,summaryref2!T113,IF(AK140=summaryref2!B127,summaryref2!T127,IF(AK140=summaryref2!B141,summaryref2!T141,"")))))))))))</f>
        <v>#REF!</v>
      </c>
      <c r="BE140" s="1184" t="e">
        <f>IF('A-80 DirEntInv'!#REF!&lt;&gt;"",'A-80 DirEntInv'!#REF!,IF(AK140=summaryref2!B15,summaryref2!U15,IF(Summary!AK140=summaryref2!B29,summaryref2!U29,IF(AK140=summaryref2!B43,summaryref2!U43,IF(AK140=summaryref2!B57,summaryref2!U57,IF(AK140=summaryref2!B71,summaryref2!U71,IF(AK140=summaryref2!B85,summaryref2!U85,IF(AK140=summaryref2!B99,summaryref2!U99,IF(AK140=summaryref2!B113,summaryref2!U113,IF(AK140=summaryref2!B127,summaryref2!U127,IF(AK140=summaryref2!B141,summaryref2!U141,"")))))))))))</f>
        <v>#REF!</v>
      </c>
      <c r="BF140" s="1432"/>
      <c r="BG140" s="1432"/>
      <c r="BJ140" s="1041" t="str">
        <f>Codes!$C$174</f>
        <v>YR - Hybrid Rail (PT)</v>
      </c>
      <c r="BK140" s="1042" t="str">
        <f>Valid!$B$83</f>
        <v>Single Crossover</v>
      </c>
      <c r="BL140" s="1375" t="e">
        <f>IF('A-80 DirEntInv'!#REF!&lt;&gt;"",'A-80 DirEntInv'!#REF!,IF(BJ140=summaryref2!X15,summaryref2!Z15,IF(BJ140=summaryref2!X22,summaryref2!Z22,IF(BJ140=summaryref2!X29,summaryref2!Z29,IF(BJ140=summaryref2!X36,summaryref2!Z36,IF(BJ140=summaryref2!X43,summaryref2!Z43,IF(BJ140=summaryref2!X50,summaryref2!Z50,IF(BJ140=summaryref2!X57,summaryref2!Z57,IF(BJ140=summaryref2!X64,summaryref2!Z64,IF(BJ140=summaryref2!X71,summaryref2!Z71,IF(BJ140=summaryref2!X78,summaryref2!Z78,"")))))))))))</f>
        <v>#REF!</v>
      </c>
      <c r="BM140" s="1042" t="str">
        <f>VLOOKUP(BK140,Valid!$B$80:$C$86,2,FALSE)</f>
        <v>Each</v>
      </c>
      <c r="BN140" s="1209" t="e">
        <f>IF('A-80 DirEntInv'!#REF!&lt;&gt;"",'A-80 DirEntInv'!#REF!,IF(BJ140=summaryref2!X15,summaryref2!AB15,IF(BJ140=summaryref2!X22,summaryref2!AB22,IF(BJ140=summaryref2!X29,summaryref2!AB29,IF(BJ140=summaryref2!X36,summaryref2!AB36,IF(BJ140=summaryref2!X43,summaryref2!AB43,IF(BJ140=summaryref2!X50,summaryref2!AB50,IF(BJ140=summaryref2!X57,summaryref2!AB57,IF(BJ140=summaryref2!X64,summaryref2!AB64,IF(BJ140=summaryref2!X71,summaryref2!AB71,IF(BJ140=summaryref2!X78,summaryref2!AB78,"")))))))))))</f>
        <v>#REF!</v>
      </c>
      <c r="BO140" s="1116" t="e">
        <f>IF('A-80 DirEntInv'!#REF!&lt;&gt;"",'A-80 DirEntInv'!#REF!,IF(BJ140=summaryref2!X15,summaryref2!AC15,IF(BJ140=summaryref2!X22,summaryref2!AC22,IF(BJ140=summaryref2!X29,summaryref2!AC29,IF(BJ140=summaryref2!X36,summaryref2!AC36,IF(BJ140=summaryref2!X43,summaryref2!AC43,IF(BJ140=summaryref2!X50,summaryref2!AC50,IF(BJ140=summaryref2!X57,summaryref2!AC57,IF(BJ140=summaryref2!X64,summaryref2!AC64,IF(BJ140=summaryref2!X71,summaryref2!AC71,IF(BJ140=summaryref2!X78,summaryref2!AC78,"")))))))))))</f>
        <v>#REF!</v>
      </c>
      <c r="BP140" s="1384" t="e">
        <f>IF('A-80 DirEntInv'!#REF!&lt;&gt;"",'A-80 DirEntInv'!#REF!,IF(BJ140=summaryref2!X15,summaryref2!AD15,IF(BJ140=summaryref2!X22,summaryref2!AD22,IF(BJ140=summaryref2!X29,summaryref2!AD29,IF(BJ140=summaryref2!X36,summaryref2!AD36,IF(BJ140=summaryref2!X43,summaryref2!AD43,IF(BJ140=summaryref2!X50,summaryref2!AD50,IF(BJ140=summaryref2!X57,summaryref2!AD57,IF(BJ140=summaryref2!X64,summaryref2!AD64,IF(BJ140=summaryref2!X71,summaryref2!AD71,IF(BJ140=summaryref2!X78,summaryref2!AD78,"")))))))))))</f>
        <v>#REF!</v>
      </c>
      <c r="BU140" s="962"/>
      <c r="CD140" s="589"/>
      <c r="CE140" s="590"/>
      <c r="CF140" s="590"/>
      <c r="CG140" s="590"/>
      <c r="CH140" s="590"/>
      <c r="CI140" s="590"/>
      <c r="CJ140" s="589"/>
      <c r="CK140" s="589"/>
      <c r="CL140" s="589"/>
      <c r="CM140" s="587"/>
      <c r="CN140" s="587"/>
      <c r="CO140" s="589"/>
      <c r="CP140" s="587"/>
      <c r="CQ140" s="592"/>
      <c r="CR140" s="589"/>
      <c r="CS140" s="592"/>
      <c r="CT140" s="589"/>
      <c r="CU140" s="589"/>
      <c r="CV140" s="589"/>
      <c r="CW140" s="587"/>
      <c r="CX140" s="590"/>
      <c r="CY140" s="590"/>
      <c r="CZ140" s="590"/>
      <c r="DA140" s="1054"/>
      <c r="DB140" s="1054"/>
      <c r="DC140" s="587"/>
      <c r="DD140" s="587"/>
    </row>
    <row r="141" spans="1:108" s="588" customFormat="1" x14ac:dyDescent="0.2">
      <c r="A141" s="589">
        <f t="shared" ref="A141:A204" si="2">A140+1</f>
        <v>131</v>
      </c>
      <c r="B141" s="587"/>
      <c r="C141" s="587"/>
      <c r="D141" s="587"/>
      <c r="J141" s="589"/>
      <c r="K141" s="590"/>
      <c r="L141" s="591"/>
      <c r="M141" s="592"/>
      <c r="N141" s="589"/>
      <c r="O141" s="587"/>
      <c r="R141" s="1052"/>
      <c r="S141" s="1052"/>
      <c r="T141" s="1052"/>
      <c r="U141" s="1052"/>
      <c r="V141" s="1052"/>
      <c r="W141" s="1053"/>
      <c r="X141" s="1053"/>
      <c r="Y141" s="1053"/>
      <c r="Z141" s="1052"/>
      <c r="AA141" s="1052"/>
      <c r="AB141" s="962"/>
      <c r="AC141" s="590"/>
      <c r="AD141" s="590"/>
      <c r="AE141" s="591"/>
      <c r="AF141" s="592"/>
      <c r="AG141" s="1053"/>
      <c r="AH141" s="587"/>
      <c r="AK141" s="1041" t="str">
        <f>Codes!$C$165</f>
        <v>LR - Light Rail (DO)</v>
      </c>
      <c r="AL141" s="1042" t="str">
        <f>Valid!$B$75</f>
        <v>Elevated/Steel Viaduct or Bridge</v>
      </c>
      <c r="AM141" s="1108" t="e">
        <f>IF('A-80 DirEntInv'!#REF!&lt;&gt;"",'A-80 DirEntInv'!#REF!,IF(AK141=summaryref2!B16,summaryref2!D16,IF(Summary!AK141=summaryref2!B30,summaryref2!D30,IF(AK141=summaryref2!B44,summaryref2!D44,IF(AK141=summaryref2!B58,summaryref2!D58,IF(AK141=summaryref2!B72,summaryref2!D72,IF(AK141=summaryref2!B86,summaryref2!D86,IF(AK141=summaryref2!B100,summaryref2!D100,IF(AK141=summaryref2!B114,summaryref2!D114,IF(AK141=summaryref2!B128,summaryref2!D128,IF(AK141=summaryref2!B142,summaryref2!D142,"")))))))))))</f>
        <v>#REF!</v>
      </c>
      <c r="AN141" s="1109" t="e">
        <f ca="1">IF('A-80 DirEntInv'!#REF!&lt;&gt;"",'A-80 DirEntInv'!#REF!,IF(INDIRECT(ADDRESS(SumRef!CG342,SumRef!CG$16,,,SumRef!$C$7))="","",INDIRECT(ADDRESS(SumRef!CG342,SumRef!CG$16,,,SumRef!$C$7))))</f>
        <v>#REF!</v>
      </c>
      <c r="AO141" s="1108" t="e">
        <f>IF('A-80 DirEntInv'!#REF!&lt;&gt;"",'A-80 DirEntInv'!#REF!,IF(AK141=summaryref2!B16,summaryref2!F16,IF(Summary!AK141=summaryref2!B30,summaryref2!F30,IF(AK141=summaryref2!B44,summaryref2!F44,IF(AK141=summaryref2!B58,summaryref2!F58,IF(AK141=summaryref2!B72,summaryref2!F72,IF(AK141=summaryref2!B86,summaryref2!F86,IF(AK141=summaryref2!B100,summaryref2!F100,IF(AK141=summaryref2!B114,summaryref2!F114,IF(AK141=summaryref2!B128,summaryref2!F128,IF(AK141=summaryref2!B142,summaryref2!F142,"")))))))))))</f>
        <v>#REF!</v>
      </c>
      <c r="AP141" s="1109" t="e">
        <f ca="1">IF('A-80 DirEntInv'!#REF!&lt;&gt;"",'A-80 DirEntInv'!#REF!,IF(INDIRECT(ADDRESS(SumRef!#REF!,SumRef!#REF!,,,SumRef!$C$7))="","",INDIRECT(ADDRESS(SumRef!#REF!,SumRef!#REF!,,,SumRef!$C$7))))</f>
        <v>#REF!</v>
      </c>
      <c r="AQ141" s="1147" t="e">
        <f>IF('A-80 DirEntInv'!#REF!&lt;&gt;"",'A-80 DirEntInv'!#REF!,IF(AK141=summaryref2!B16,summaryref2!G16,IF(Summary!AK141=summaryref2!B30,summaryref2!G30,IF(AK141=summaryref2!B44,summaryref2!G44,IF(AK141=summaryref2!B58,summaryref2!G58,IF(AK141=summaryref2!B72,summaryref2!G72,IF(AK141=summaryref2!B86,summaryref2!G86,IF(AK141=summaryref2!B100,summaryref2!G100,IF(AK141=summaryref2!B114,summaryref2!G114,IF(AK141=summaryref2!B128,summaryref2!G128,IF(AK141=summaryref2!B142,summaryref2!G142,"")))))))))))</f>
        <v>#REF!</v>
      </c>
      <c r="AR141" s="1147" t="e">
        <f>IF('A-80 DirEntInv'!#REF!&lt;&gt;"",'A-80 DirEntInv'!#REF!,IF(AK141=summaryref2!B16,summaryref2!H16,IF(Summary!AK141=summaryref2!B30,summaryref2!H30,IF(AK141=summaryref2!B44,summaryref2!H44,IF(AK141=summaryref2!B58,summaryref2!H58,IF(AK141=summaryref2!B72,summaryref2!H72,IF(AK141=summaryref2!B86,summaryref2!H86,IF(AK141=summaryref2!B100,summaryref2!H100,IF(AK141=summaryref2!B114,summaryref2!H114,IF(AK141=summaryref2!B128,summaryref2!H128,IF(AK141=summaryref2!B142,summaryref2!H142,"")))))))))))</f>
        <v>#REF!</v>
      </c>
      <c r="AS141" s="1110" t="e">
        <f>IF('A-80 DirEntInv'!#REF!&lt;&gt;"",'A-80 DirEntInv'!#REF!,IF(AK141=summaryref2!B16,summaryref2!I16,IF(Summary!AK141=summaryref2!B30,summaryref2!I30,IF(AK141=summaryref2!B44,summaryref2!I44,IF(AK141=summaryref2!B58,summaryref2!I58,IF(AK141=summaryref2!B72,summaryref2!I72,IF(AK141=summaryref2!B86,summaryref2!I86,IF(AK141=summaryref2!B100,summaryref2!I100,IF(AK141=summaryref2!B114,summaryref2!I114,IF(AK141=summaryref2!B128,summaryref2!I128,IF(AK141=summaryref2!B142,summaryref2!I142,"")))))))))))</f>
        <v>#REF!</v>
      </c>
      <c r="AT141" s="1110" t="e">
        <f>IF('A-80 DirEntInv'!#REF!&lt;&gt;"",'A-80 DirEntInv'!#REF!,IF(AK141=summaryref2!B16,summaryref2!J16,IF(Summary!AK141=summaryref2!B30,summaryref2!J30,IF(AK141=summaryref2!B44,summaryref2!J44,IF(AK141=summaryref2!B58,summaryref2!J58,IF(AK141=summaryref2!B72,summaryref2!J72,IF(AK141=summaryref2!B86,summaryref2!J86,IF(AK141=summaryref2!B100,summaryref2!J100,IF(AK141=summaryref2!B114,summaryref2!J114,IF(AK141=summaryref2!B128,summaryref2!J128,IF(AK141=summaryref2!B142,summaryref2!J142,"")))))))))))</f>
        <v>#REF!</v>
      </c>
      <c r="AU141" s="1110" t="e">
        <f>IF('A-80 DirEntInv'!#REF!&lt;&gt;"",'A-80 DirEntInv'!#REF!,IF(AK141=summaryref2!B16,summaryref2!K16,IF(Summary!AK141=summaryref2!B30,summaryref2!K30,IF(AK141=summaryref2!B44,summaryref2!K44,IF(AK141=summaryref2!B58,summaryref2!K58,IF(AK141=summaryref2!B72,summaryref2!K72,IF(AK141=summaryref2!B86,summaryref2!K86,IF(AK141=summaryref2!B100,summaryref2!K100,IF(AK141=summaryref2!B114,summaryref2!K114,IF(AK141=summaryref2!B128,summaryref2!K128,IF(AK141=summaryref2!B142,summaryref2!K142,"")))))))))))</f>
        <v>#REF!</v>
      </c>
      <c r="AV141" s="1110" t="e">
        <f>IF('A-80 DirEntInv'!#REF!&lt;&gt;"",'A-80 DirEntInv'!#REF!,IF(AK141=summaryref2!B16,summaryref2!L16,IF(Summary!AK141=summaryref2!B30,summaryref2!L30,IF(AK141=summaryref2!B44,summaryref2!L44,IF(AK141=summaryref2!B58,summaryref2!L58,IF(AK141=summaryref2!B72,summaryref2!L72,IF(AK141=summaryref2!B86,summaryref2!L86,IF(AK141=summaryref2!B100,summaryref2!L100,IF(AK141=summaryref2!B114,summaryref2!L114,IF(AK141=summaryref2!B128,summaryref2!L128,IF(AK141=summaryref2!B142,summaryref2!L142,"")))))))))))</f>
        <v>#REF!</v>
      </c>
      <c r="AW141" s="1110" t="e">
        <f>IF('A-80 DirEntInv'!#REF!&lt;&gt;"",'A-80 DirEntInv'!#REF!,IF(AK141=summaryref2!B16,summaryref2!M16,IF(Summary!AK141=summaryref2!B30,summaryref2!M30,IF(AK141=summaryref2!B44,summaryref2!M44,IF(AK141=summaryref2!B58,summaryref2!M58,IF(AK141=summaryref2!B72,summaryref2!M72,IF(AK141=summaryref2!B86,summaryref2!M86,IF(AK141=summaryref2!B100,summaryref2!M100,IF(AK141=summaryref2!B114,summaryref2!M114,IF(AK141=summaryref2!B128,summaryref2!M128,IF(AK141=summaryref2!B142,summaryref2!M142,"")))))))))))</f>
        <v>#REF!</v>
      </c>
      <c r="AX141" s="1110" t="e">
        <f>IF('A-80 DirEntInv'!#REF!&lt;&gt;"",'A-80 DirEntInv'!#REF!,IF(AK141=summaryref2!B16,summaryref2!N16,IF(Summary!AK141=summaryref2!B30,summaryref2!N30,IF(AK141=summaryref2!B44,summaryref2!N44,IF(AK141=summaryref2!B58,summaryref2!N58,IF(AK141=summaryref2!B72,summaryref2!N72,IF(AK141=summaryref2!B86,summaryref2!N86,IF(AK141=summaryref2!B100,summaryref2!N100,IF(AK141=summaryref2!B114,summaryref2!N114,IF(AK141=summaryref2!B128,summaryref2!N128,IF(AK141=summaryref2!B142,summaryref2!N142,"")))))))))))</f>
        <v>#REF!</v>
      </c>
      <c r="AY141" s="1110" t="e">
        <f>IF('A-80 DirEntInv'!#REF!&lt;&gt;"",'A-80 DirEntInv'!#REF!,IF(AK141=summaryref2!B16,summaryref2!O16,IF(Summary!AK141=summaryref2!B30,summaryref2!O30,IF(AK141=summaryref2!B44,summaryref2!O44,IF(AK141=summaryref2!B58,summaryref2!O58,IF(AK141=summaryref2!B72,summaryref2!O72,IF(AK141=summaryref2!B86,summaryref2!O86,IF(AK141=summaryref2!B100,summaryref2!O100,IF(AK141=summaryref2!B114,summaryref2!O114,IF(AK141=summaryref2!B128,summaryref2!O128,IF(AK141=summaryref2!B142,summaryref2!O142,"")))))))))))</f>
        <v>#REF!</v>
      </c>
      <c r="AZ141" s="1110" t="e">
        <f>IF('A-80 DirEntInv'!#REF!&lt;&gt;"",'A-80 DirEntInv'!#REF!,IF(AK141=summaryref2!B16,summaryref2!P16,IF(Summary!AK141=summaryref2!B30,summaryref2!P30,IF(AK141=summaryref2!B44,summaryref2!P44,IF(AK141=summaryref2!B58,summaryref2!P58,IF(AK141=summaryref2!B72,summaryref2!P72,IF(AK141=summaryref2!B86,summaryref2!P86,IF(AK141=summaryref2!B100,summaryref2!P100,IF(AK141=summaryref2!B114,summaryref2!P114,IF(AK141=summaryref2!B128,summaryref2!P128,IF(AK141=summaryref2!B142,summaryref2!P142,"")))))))))))</f>
        <v>#REF!</v>
      </c>
      <c r="BA141" s="1110" t="e">
        <f>IF('A-80 DirEntInv'!#REF!&lt;&gt;"",'A-80 DirEntInv'!#REF!,IF(AK141=summaryref2!B16,summaryref2!Q16,IF(Summary!AK141=summaryref2!B30,summaryref2!Q30,IF(AK141=summaryref2!B44,summaryref2!Q44,IF(AK141=summaryref2!B58,summaryref2!Q58,IF(AK141=summaryref2!B72,summaryref2!Q72,IF(AK141=summaryref2!B86,summaryref2!Q86,IF(AK141=summaryref2!B100,summaryref2!Q100,IF(AK141=summaryref2!B114,summaryref2!Q114,IF(AK141=summaryref2!B128,summaryref2!Q128,IF(AK141=summaryref2!B142,summaryref2!Q142,"")))))))))))</f>
        <v>#REF!</v>
      </c>
      <c r="BB141" s="1110" t="e">
        <f>IF('A-80 DirEntInv'!#REF!&lt;&gt;"",'A-80 DirEntInv'!#REF!,IF(AK141=summaryref2!B16,summaryref2!R16,IF(Summary!AK141=summaryref2!B30,summaryref2!R30,IF(AK141=summaryref2!B44,summaryref2!R44,IF(AK141=summaryref2!B58,summaryref2!R58,IF(AK141=summaryref2!B72,summaryref2!R72,IF(AK141=summaryref2!B86,summaryref2!R86,IF(AK141=summaryref2!B100,summaryref2!R100,IF(AK141=summaryref2!B114,summaryref2!R114,IF(AK141=summaryref2!B128,summaryref2!R128,IF(AK141=summaryref2!B142,summaryref2!R142,"")))))))))))</f>
        <v>#REF!</v>
      </c>
      <c r="BC141" s="1110" t="e">
        <f>IF('A-80 DirEntInv'!#REF!&lt;&gt;0,'A-80 DirEntInv'!#REF!,IF(AK141=summaryref2!B16,summaryref2!S16,IF(Summary!AK141=summaryref2!B30,summaryref2!S30,IF(AK141=summaryref2!B44,summaryref2!S44,IF(AK141=summaryref2!B58,summaryref2!S58,IF(AK141=summaryref2!B72,summaryref2!S72,IF(AK141=summaryref2!B86,summaryref2!S86,IF(AK141=summaryref2!B100,summaryref2!S100,IF(AK141=summaryref2!B114,summaryref2!S114,IF(AK141=summaryref2!B128,summaryref2!S128,IF(AK141=summaryref2!B142,summaryref2!S142,"")))))))))))</f>
        <v>#REF!</v>
      </c>
      <c r="BD141" s="1111" t="e">
        <f>IF('A-80 DirEntInv'!#REF!&lt;&gt;"",'A-80 DirEntInv'!#REF!,IF(AK141=summaryref2!B16,summaryref2!T16,IF(Summary!AK141=summaryref2!B30,summaryref2!T30,IF(AK141=summaryref2!B44,summaryref2!T44,IF(AK141=summaryref2!B58,summaryref2!T58,IF(AK141=summaryref2!B72,summaryref2!T72,IF(AK141=summaryref2!B86,summaryref2!T86,IF(AK141=summaryref2!B100,summaryref2!T100,IF(AK141=summaryref2!B114,summaryref2!T114,IF(AK141=summaryref2!B128,summaryref2!T128,IF(AK141=summaryref2!B142,summaryref2!T142,"")))))))))))</f>
        <v>#REF!</v>
      </c>
      <c r="BE141" s="1184" t="e">
        <f>IF('A-80 DirEntInv'!#REF!&lt;&gt;"",'A-80 DirEntInv'!#REF!,IF(AK141=summaryref2!B16,summaryref2!U16,IF(Summary!AK141=summaryref2!B30,summaryref2!U30,IF(AK141=summaryref2!B44,summaryref2!U44,IF(AK141=summaryref2!B58,summaryref2!U58,IF(AK141=summaryref2!B72,summaryref2!U72,IF(AK141=summaryref2!B86,summaryref2!U86,IF(AK141=summaryref2!B100,summaryref2!U100,IF(AK141=summaryref2!B114,summaryref2!U114,IF(AK141=summaryref2!B128,summaryref2!U128,IF(AK141=summaryref2!B142,summaryref2!U142,"")))))))))))</f>
        <v>#REF!</v>
      </c>
      <c r="BF141" s="1432"/>
      <c r="BG141" s="1432"/>
      <c r="BJ141" s="1041" t="str">
        <f>Codes!$C$174</f>
        <v>YR - Hybrid Rail (PT)</v>
      </c>
      <c r="BK141" s="1042" t="str">
        <f>Valid!$B$84</f>
        <v>Half Grand Union</v>
      </c>
      <c r="BL141" s="1375" t="e">
        <f>IF('A-80 DirEntInv'!#REF!&lt;&gt;"",'A-80 DirEntInv'!#REF!,IF(BJ141=summaryref2!X16,summaryref2!Z16,IF(BJ141=summaryref2!X23,summaryref2!Z23,IF(BJ141=summaryref2!X30,summaryref2!Z30,IF(BJ141=summaryref2!X37,summaryref2!Z37,IF(BJ141=summaryref2!X44,summaryref2!Z44,IF(BJ141=summaryref2!X51,summaryref2!Z51,IF(BJ141=summaryref2!X58,summaryref2!Z58,IF(BJ141=summaryref2!X65,summaryref2!Z65,IF(BJ141=summaryref2!X72,summaryref2!Z72,IF(BJ141=summaryref2!X79,summaryref2!Z79,"")))))))))))</f>
        <v>#REF!</v>
      </c>
      <c r="BM141" s="1042" t="str">
        <f>VLOOKUP(BK141,Valid!$B$80:$C$86,2,FALSE)</f>
        <v>Each</v>
      </c>
      <c r="BN141" s="1209" t="e">
        <f>IF('A-80 DirEntInv'!#REF!&lt;&gt;"",'A-80 DirEntInv'!#REF!,IF(BJ141=summaryref2!X16,summaryref2!AB16,IF(BJ141=summaryref2!X23,summaryref2!AB23,IF(BJ141=summaryref2!X30,summaryref2!AB30,IF(BJ141=summaryref2!X37,summaryref2!AB37,IF(BJ141=summaryref2!X44,summaryref2!AB44,IF(BJ141=summaryref2!X51,summaryref2!AB51,IF(BJ141=summaryref2!X58,summaryref2!AB58,IF(BJ141=summaryref2!X65,summaryref2!AB65,IF(BJ141=summaryref2!X72,summaryref2!AB72,IF(BJ141=summaryref2!X79,summaryref2!AB79,"")))))))))))</f>
        <v>#REF!</v>
      </c>
      <c r="BO141" s="1116" t="e">
        <f>IF('A-80 DirEntInv'!#REF!&lt;&gt;"",'A-80 DirEntInv'!#REF!,IF(BJ141=summaryref2!X16,summaryref2!AC16,IF(BJ141=summaryref2!X23,summaryref2!AC23,IF(BJ141=summaryref2!X30,summaryref2!AC30,IF(BJ141=summaryref2!X37,summaryref2!AC37,IF(BJ141=summaryref2!X44,summaryref2!AC44,IF(BJ141=summaryref2!X51,summaryref2!AC51,IF(BJ141=summaryref2!X58,summaryref2!AC58,IF(BJ141=summaryref2!X65,summaryref2!AC65,IF(BJ141=summaryref2!X72,summaryref2!AC72,IF(BJ141=summaryref2!X79,summaryref2!AC79,"")))))))))))</f>
        <v>#REF!</v>
      </c>
      <c r="BP141" s="1384" t="e">
        <f>IF('A-80 DirEntInv'!#REF!&lt;&gt;"",'A-80 DirEntInv'!#REF!,IF(BJ141=summaryref2!X16,summaryref2!AD16,IF(BJ141=summaryref2!X23,summaryref2!AD23,IF(BJ141=summaryref2!X30,summaryref2!AD30,IF(BJ141=summaryref2!X37,summaryref2!AD37,IF(BJ141=summaryref2!X44,summaryref2!AD44,IF(BJ141=summaryref2!X51,summaryref2!AD51,IF(BJ141=summaryref2!X58,summaryref2!AD58,IF(BJ141=summaryref2!X65,summaryref2!AD65,IF(BJ141=summaryref2!X72,summaryref2!AD72,IF(BJ141=summaryref2!X79,summaryref2!AD79,"")))))))))))</f>
        <v>#REF!</v>
      </c>
      <c r="BU141" s="962"/>
      <c r="CD141" s="589"/>
      <c r="CE141" s="590"/>
      <c r="CF141" s="590"/>
      <c r="CG141" s="590"/>
      <c r="CH141" s="590"/>
      <c r="CI141" s="590"/>
      <c r="CJ141" s="589"/>
      <c r="CK141" s="589"/>
      <c r="CL141" s="589"/>
      <c r="CM141" s="587"/>
      <c r="CN141" s="587"/>
      <c r="CO141" s="589"/>
      <c r="CP141" s="587"/>
      <c r="CQ141" s="592"/>
      <c r="CR141" s="589"/>
      <c r="CS141" s="592"/>
      <c r="CT141" s="589"/>
      <c r="CU141" s="589"/>
      <c r="CV141" s="589"/>
      <c r="CW141" s="587"/>
      <c r="CX141" s="590"/>
      <c r="CY141" s="590"/>
      <c r="CZ141" s="590"/>
      <c r="DA141" s="1054"/>
      <c r="DB141" s="1054"/>
      <c r="DC141" s="587"/>
      <c r="DD141" s="587"/>
    </row>
    <row r="142" spans="1:108" s="588" customFormat="1" x14ac:dyDescent="0.2">
      <c r="A142" s="589">
        <f t="shared" si="2"/>
        <v>132</v>
      </c>
      <c r="B142" s="587"/>
      <c r="C142" s="587"/>
      <c r="D142" s="587"/>
      <c r="J142" s="589"/>
      <c r="K142" s="590"/>
      <c r="L142" s="591"/>
      <c r="M142" s="592"/>
      <c r="N142" s="589"/>
      <c r="O142" s="587"/>
      <c r="R142" s="1052"/>
      <c r="S142" s="1052"/>
      <c r="T142" s="1052"/>
      <c r="U142" s="1052"/>
      <c r="V142" s="1052"/>
      <c r="W142" s="1053"/>
      <c r="X142" s="1053"/>
      <c r="Y142" s="1053"/>
      <c r="Z142" s="1052"/>
      <c r="AA142" s="1052"/>
      <c r="AB142" s="962"/>
      <c r="AC142" s="590"/>
      <c r="AD142" s="590"/>
      <c r="AE142" s="591"/>
      <c r="AF142" s="592"/>
      <c r="AG142" s="1053"/>
      <c r="AH142" s="587"/>
      <c r="AK142" s="1041" t="str">
        <f>Codes!$C$165</f>
        <v>LR - Light Rail (DO)</v>
      </c>
      <c r="AL142" s="1042" t="str">
        <f>Valid!$B$76</f>
        <v>Below-Grade/Retained Cut</v>
      </c>
      <c r="AM142" s="1108" t="e">
        <f>IF('A-80 DirEntInv'!#REF!&lt;&gt;"",'A-80 DirEntInv'!#REF!,IF(AK142=summaryref2!B17,summaryref2!D17,IF(Summary!AK142=summaryref2!B31,summaryref2!D31,IF(AK142=summaryref2!B45,summaryref2!D45,IF(AK142=summaryref2!B59,summaryref2!D59,IF(AK142=summaryref2!B73,summaryref2!D73,IF(AK142=summaryref2!B87,summaryref2!D87,IF(AK142=summaryref2!B101,summaryref2!D101,IF(AK142=summaryref2!B115,summaryref2!D115,IF(AK142=summaryref2!B129,summaryref2!D129,IF(AK142=summaryref2!B143,summaryref2!D143,"")))))))))))</f>
        <v>#REF!</v>
      </c>
      <c r="AN142" s="1109" t="e">
        <f ca="1">IF('A-80 DirEntInv'!#REF!&lt;&gt;"",'A-80 DirEntInv'!#REF!,IF(INDIRECT(ADDRESS(SumRef!CG344,SumRef!CG$16,,,SumRef!$C$7))="","",INDIRECT(ADDRESS(SumRef!CG344,SumRef!CG$16,,,SumRef!$C$7))))</f>
        <v>#REF!</v>
      </c>
      <c r="AO142" s="1108" t="e">
        <f>IF('A-80 DirEntInv'!#REF!&lt;&gt;"",'A-80 DirEntInv'!#REF!,IF(AK142=summaryref2!B17,summaryref2!F17,IF(Summary!AK142=summaryref2!B31,summaryref2!F31,IF(AK142=summaryref2!B45,summaryref2!F45,IF(AK142=summaryref2!B59,summaryref2!F59,IF(AK142=summaryref2!B73,summaryref2!F73,IF(AK142=summaryref2!B87,summaryref2!F87,IF(AK142=summaryref2!B101,summaryref2!F101,IF(AK142=summaryref2!B115,summaryref2!F115,IF(AK142=summaryref2!B129,summaryref2!F129,IF(AK142=summaryref2!B143,summaryref2!F143,"")))))))))))</f>
        <v>#REF!</v>
      </c>
      <c r="AP142" s="1109" t="e">
        <f ca="1">IF('A-80 DirEntInv'!#REF!&lt;&gt;"",'A-80 DirEntInv'!#REF!,IF(INDIRECT(ADDRESS(SumRef!#REF!,SumRef!#REF!,,,SumRef!$C$7))="","",INDIRECT(ADDRESS(SumRef!#REF!,SumRef!#REF!,,,SumRef!$C$7))))</f>
        <v>#REF!</v>
      </c>
      <c r="AQ142" s="1147" t="e">
        <f>IF('A-80 DirEntInv'!#REF!&lt;&gt;"",'A-80 DirEntInv'!#REF!,IF(AK142=summaryref2!B17,summaryref2!G17,IF(Summary!AK142=summaryref2!B31,summaryref2!G31,IF(AK142=summaryref2!B45,summaryref2!G45,IF(AK142=summaryref2!B59,summaryref2!G59,IF(AK142=summaryref2!B73,summaryref2!G73,IF(AK142=summaryref2!B87,summaryref2!G87,IF(AK142=summaryref2!B101,summaryref2!G101,IF(AK142=summaryref2!B115,summaryref2!G115,IF(AK142=summaryref2!B129,summaryref2!G129,IF(AK142=summaryref2!B143,summaryref2!G143,"")))))))))))</f>
        <v>#REF!</v>
      </c>
      <c r="AR142" s="1147" t="e">
        <f>IF('A-80 DirEntInv'!#REF!&lt;&gt;"",'A-80 DirEntInv'!#REF!,IF(AK142=summaryref2!B17,summaryref2!H17,IF(Summary!AK142=summaryref2!B31,summaryref2!H31,IF(AK142=summaryref2!B45,summaryref2!H45,IF(AK142=summaryref2!B59,summaryref2!H59,IF(AK142=summaryref2!B73,summaryref2!H73,IF(AK142=summaryref2!B87,summaryref2!H87,IF(AK142=summaryref2!B101,summaryref2!H101,IF(AK142=summaryref2!B115,summaryref2!H115,IF(AK142=summaryref2!B129,summaryref2!H129,IF(AK142=summaryref2!B143,summaryref2!H143,"")))))))))))</f>
        <v>#REF!</v>
      </c>
      <c r="AS142" s="1110" t="e">
        <f>IF('A-80 DirEntInv'!#REF!&lt;&gt;"",'A-80 DirEntInv'!#REF!,IF(AK142=summaryref2!B17,summaryref2!I17,IF(Summary!AK142=summaryref2!B31,summaryref2!I31,IF(AK142=summaryref2!B45,summaryref2!I45,IF(AK142=summaryref2!B59,summaryref2!I59,IF(AK142=summaryref2!B73,summaryref2!I73,IF(AK142=summaryref2!B87,summaryref2!I87,IF(AK142=summaryref2!B101,summaryref2!I101,IF(AK142=summaryref2!B115,summaryref2!I115,IF(AK142=summaryref2!B129,summaryref2!I129,IF(AK142=summaryref2!B143,summaryref2!I143,"")))))))))))</f>
        <v>#REF!</v>
      </c>
      <c r="AT142" s="1110" t="e">
        <f>IF('A-80 DirEntInv'!#REF!&lt;&gt;"",'A-80 DirEntInv'!#REF!,IF(AK142=summaryref2!B17,summaryref2!J17,IF(Summary!AK142=summaryref2!B31,summaryref2!J31,IF(AK142=summaryref2!B45,summaryref2!J45,IF(AK142=summaryref2!B59,summaryref2!J59,IF(AK142=summaryref2!B73,summaryref2!J73,IF(AK142=summaryref2!B87,summaryref2!J87,IF(AK142=summaryref2!B101,summaryref2!J101,IF(AK142=summaryref2!B115,summaryref2!J115,IF(AK142=summaryref2!B129,summaryref2!J129,IF(AK142=summaryref2!B143,summaryref2!J143,"")))))))))))</f>
        <v>#REF!</v>
      </c>
      <c r="AU142" s="1110" t="e">
        <f>IF('A-80 DirEntInv'!#REF!&lt;&gt;"",'A-80 DirEntInv'!#REF!,IF(AK142=summaryref2!B17,summaryref2!K17,IF(Summary!AK142=summaryref2!B31,summaryref2!K31,IF(AK142=summaryref2!B45,summaryref2!K45,IF(AK142=summaryref2!B59,summaryref2!K59,IF(AK142=summaryref2!B73,summaryref2!K73,IF(AK142=summaryref2!B87,summaryref2!K87,IF(AK142=summaryref2!B101,summaryref2!K101,IF(AK142=summaryref2!B115,summaryref2!K115,IF(AK142=summaryref2!B129,summaryref2!K129,IF(AK142=summaryref2!B143,summaryref2!K143,"")))))))))))</f>
        <v>#REF!</v>
      </c>
      <c r="AV142" s="1110" t="e">
        <f>IF('A-80 DirEntInv'!#REF!&lt;&gt;"",'A-80 DirEntInv'!#REF!,IF(AK142=summaryref2!B17,summaryref2!L17,IF(Summary!AK142=summaryref2!B31,summaryref2!L31,IF(AK142=summaryref2!B45,summaryref2!L45,IF(AK142=summaryref2!B59,summaryref2!L59,IF(AK142=summaryref2!B73,summaryref2!L73,IF(AK142=summaryref2!B87,summaryref2!L87,IF(AK142=summaryref2!B101,summaryref2!L101,IF(AK142=summaryref2!B115,summaryref2!L115,IF(AK142=summaryref2!B129,summaryref2!L129,IF(AK142=summaryref2!B143,summaryref2!L143,"")))))))))))</f>
        <v>#REF!</v>
      </c>
      <c r="AW142" s="1110" t="e">
        <f>IF('A-80 DirEntInv'!#REF!&lt;&gt;"",'A-80 DirEntInv'!#REF!,IF(AK142=summaryref2!B17,summaryref2!M17,IF(Summary!AK142=summaryref2!B31,summaryref2!M31,IF(AK142=summaryref2!B45,summaryref2!M45,IF(AK142=summaryref2!B59,summaryref2!M59,IF(AK142=summaryref2!B73,summaryref2!M73,IF(AK142=summaryref2!B87,summaryref2!M87,IF(AK142=summaryref2!B101,summaryref2!M101,IF(AK142=summaryref2!B115,summaryref2!M115,IF(AK142=summaryref2!B129,summaryref2!M129,IF(AK142=summaryref2!B143,summaryref2!M143,"")))))))))))</f>
        <v>#REF!</v>
      </c>
      <c r="AX142" s="1110" t="e">
        <f>IF('A-80 DirEntInv'!#REF!&lt;&gt;"",'A-80 DirEntInv'!#REF!,IF(AK142=summaryref2!B17,summaryref2!N17,IF(Summary!AK142=summaryref2!B31,summaryref2!N31,IF(AK142=summaryref2!B45,summaryref2!N45,IF(AK142=summaryref2!B59,summaryref2!N59,IF(AK142=summaryref2!B73,summaryref2!N73,IF(AK142=summaryref2!B87,summaryref2!N87,IF(AK142=summaryref2!B101,summaryref2!N101,IF(AK142=summaryref2!B115,summaryref2!N115,IF(AK142=summaryref2!B129,summaryref2!N129,IF(AK142=summaryref2!B143,summaryref2!N143,"")))))))))))</f>
        <v>#REF!</v>
      </c>
      <c r="AY142" s="1110" t="e">
        <f>IF('A-80 DirEntInv'!#REF!&lt;&gt;"",'A-80 DirEntInv'!#REF!,IF(AK142=summaryref2!B17,summaryref2!O17,IF(Summary!AK142=summaryref2!B31,summaryref2!O31,IF(AK142=summaryref2!B45,summaryref2!O45,IF(AK142=summaryref2!B59,summaryref2!O59,IF(AK142=summaryref2!B73,summaryref2!O73,IF(AK142=summaryref2!B87,summaryref2!O87,IF(AK142=summaryref2!B101,summaryref2!O101,IF(AK142=summaryref2!B115,summaryref2!O115,IF(AK142=summaryref2!B129,summaryref2!O129,IF(AK142=summaryref2!B143,summaryref2!O143,"")))))))))))</f>
        <v>#REF!</v>
      </c>
      <c r="AZ142" s="1110" t="e">
        <f>IF('A-80 DirEntInv'!#REF!&lt;&gt;"",'A-80 DirEntInv'!#REF!,IF(AK142=summaryref2!B17,summaryref2!P17,IF(Summary!AK142=summaryref2!B31,summaryref2!P31,IF(AK142=summaryref2!B45,summaryref2!P45,IF(AK142=summaryref2!B59,summaryref2!P59,IF(AK142=summaryref2!B73,summaryref2!P73,IF(AK142=summaryref2!B87,summaryref2!P87,IF(AK142=summaryref2!B101,summaryref2!P101,IF(AK142=summaryref2!B115,summaryref2!P115,IF(AK142=summaryref2!B129,summaryref2!P129,IF(AK142=summaryref2!B143,summaryref2!P143,"")))))))))))</f>
        <v>#REF!</v>
      </c>
      <c r="BA142" s="1110" t="e">
        <f>IF('A-80 DirEntInv'!#REF!&lt;&gt;"",'A-80 DirEntInv'!#REF!,IF(AK142=summaryref2!B17,summaryref2!Q17,IF(Summary!AK142=summaryref2!B31,summaryref2!Q31,IF(AK142=summaryref2!B45,summaryref2!Q45,IF(AK142=summaryref2!B59,summaryref2!Q59,IF(AK142=summaryref2!B73,summaryref2!Q73,IF(AK142=summaryref2!B87,summaryref2!Q87,IF(AK142=summaryref2!B101,summaryref2!Q101,IF(AK142=summaryref2!B115,summaryref2!Q115,IF(AK142=summaryref2!B129,summaryref2!Q129,IF(AK142=summaryref2!B143,summaryref2!Q143,"")))))))))))</f>
        <v>#REF!</v>
      </c>
      <c r="BB142" s="1110" t="e">
        <f>IF('A-80 DirEntInv'!#REF!&lt;&gt;"",'A-80 DirEntInv'!#REF!,IF(AK142=summaryref2!B17,summaryref2!R17,IF(Summary!AK142=summaryref2!B31,summaryref2!R31,IF(AK142=summaryref2!B45,summaryref2!R45,IF(AK142=summaryref2!B59,summaryref2!R59,IF(AK142=summaryref2!B73,summaryref2!R73,IF(AK142=summaryref2!B87,summaryref2!R87,IF(AK142=summaryref2!B101,summaryref2!R101,IF(AK142=summaryref2!B115,summaryref2!R115,IF(AK142=summaryref2!B129,summaryref2!R129,IF(AK142=summaryref2!B143,summaryref2!R143,"")))))))))))</f>
        <v>#REF!</v>
      </c>
      <c r="BC142" s="1110" t="e">
        <f>IF('A-80 DirEntInv'!#REF!&lt;&gt;0,'A-80 DirEntInv'!#REF!,IF(AK142=summaryref2!B17,summaryref2!S17,IF(Summary!AK142=summaryref2!B31,summaryref2!S31,IF(AK142=summaryref2!B45,summaryref2!S45,IF(AK142=summaryref2!B59,summaryref2!S59,IF(AK142=summaryref2!B73,summaryref2!S73,IF(AK142=summaryref2!B87,summaryref2!S87,IF(AK142=summaryref2!B101,summaryref2!S101,IF(AK142=summaryref2!B115,summaryref2!S115,IF(AK142=summaryref2!B129,summaryref2!S129,IF(AK142=summaryref2!B143,summaryref2!S143,"")))))))))))</f>
        <v>#REF!</v>
      </c>
      <c r="BD142" s="1111" t="e">
        <f>IF('A-80 DirEntInv'!#REF!&lt;&gt;"",'A-80 DirEntInv'!#REF!,IF(AK142=summaryref2!B17,summaryref2!T17,IF(Summary!AK142=summaryref2!B31,summaryref2!T31,IF(AK142=summaryref2!B45,summaryref2!T45,IF(AK142=summaryref2!B59,summaryref2!T59,IF(AK142=summaryref2!B73,summaryref2!T73,IF(AK142=summaryref2!B87,summaryref2!T87,IF(AK142=summaryref2!B101,summaryref2!T101,IF(AK142=summaryref2!B115,summaryref2!T115,IF(AK142=summaryref2!B129,summaryref2!T129,IF(AK142=summaryref2!B143,summaryref2!T143,"")))))))))))</f>
        <v>#REF!</v>
      </c>
      <c r="BE142" s="1184" t="e">
        <f>IF('A-80 DirEntInv'!#REF!&lt;&gt;"",'A-80 DirEntInv'!#REF!,IF(AK142=summaryref2!B17,summaryref2!U17,IF(Summary!AK142=summaryref2!B31,summaryref2!U31,IF(AK142=summaryref2!B45,summaryref2!U45,IF(AK142=summaryref2!B59,summaryref2!U59,IF(AK142=summaryref2!B73,summaryref2!U73,IF(AK142=summaryref2!B87,summaryref2!U87,IF(AK142=summaryref2!B101,summaryref2!U101,IF(AK142=summaryref2!B115,summaryref2!U115,IF(AK142=summaryref2!B129,summaryref2!U129,IF(AK142=summaryref2!B143,summaryref2!U143,"")))))))))))</f>
        <v>#REF!</v>
      </c>
      <c r="BF142" s="1432"/>
      <c r="BG142" s="1432"/>
      <c r="BJ142" s="1041" t="str">
        <f>Codes!$C$174</f>
        <v>YR - Hybrid Rail (PT)</v>
      </c>
      <c r="BK142" s="1042" t="str">
        <f>Valid!$B$85</f>
        <v>Single Turnout</v>
      </c>
      <c r="BL142" s="1375" t="e">
        <f>IF('A-80 DirEntInv'!#REF!&lt;&gt;"",'A-80 DirEntInv'!#REF!,IF(BJ142=summaryref2!X17,summaryref2!Z17,IF(BJ142=summaryref2!X24,summaryref2!Z24,IF(BJ142=summaryref2!X31,summaryref2!Z31,IF(BJ142=summaryref2!X38,summaryref2!Z38,IF(BJ142=summaryref2!X45,summaryref2!Z45,IF(BJ142=summaryref2!X52,summaryref2!Z52,IF(BJ142=summaryref2!X59,summaryref2!Z59,IF(BJ142=summaryref2!X66,summaryref2!Z66,IF(BJ142=summaryref2!X73,summaryref2!Z73,IF(BJ142=summaryref2!X80,summaryref2!Z80,"")))))))))))</f>
        <v>#REF!</v>
      </c>
      <c r="BM142" s="1042" t="str">
        <f>VLOOKUP(BK142,Valid!$B$80:$C$86,2,FALSE)</f>
        <v>Each</v>
      </c>
      <c r="BN142" s="1209" t="e">
        <f>IF('A-80 DirEntInv'!#REF!&lt;&gt;"",'A-80 DirEntInv'!#REF!,IF(BJ142=summaryref2!X17,summaryref2!AB17,IF(BJ142=summaryref2!X24,summaryref2!AB24,IF(BJ142=summaryref2!X31,summaryref2!AB31,IF(BJ142=summaryref2!X38,summaryref2!AB38,IF(BJ142=summaryref2!X45,summaryref2!AB45,IF(BJ142=summaryref2!X52,summaryref2!AB52,IF(BJ142=summaryref2!X59,summaryref2!AB59,IF(BJ142=summaryref2!X66,summaryref2!AB66,IF(BJ142=summaryref2!X73,summaryref2!AB73,IF(BJ142=summaryref2!X80,summaryref2!AB80,"")))))))))))</f>
        <v>#REF!</v>
      </c>
      <c r="BO142" s="1116" t="e">
        <f>IF('A-80 DirEntInv'!#REF!&lt;&gt;"",'A-80 DirEntInv'!#REF!,IF(BJ142=summaryref2!X17,summaryref2!AC17,IF(BJ142=summaryref2!X24,summaryref2!AC24,IF(BJ142=summaryref2!X31,summaryref2!AC31,IF(BJ142=summaryref2!X38,summaryref2!AC38,IF(BJ142=summaryref2!X45,summaryref2!AC45,IF(BJ142=summaryref2!X52,summaryref2!AC52,IF(BJ142=summaryref2!X59,summaryref2!AC59,IF(BJ142=summaryref2!X66,summaryref2!AC66,IF(BJ142=summaryref2!X73,summaryref2!AC73,IF(BJ142=summaryref2!X80,summaryref2!AC80,"")))))))))))</f>
        <v>#REF!</v>
      </c>
      <c r="BP142" s="1384" t="e">
        <f>IF('A-80 DirEntInv'!#REF!&lt;&gt;"",'A-80 DirEntInv'!#REF!,IF(BJ142=summaryref2!X17,summaryref2!AD17,IF(BJ142=summaryref2!X24,summaryref2!AD24,IF(BJ142=summaryref2!X31,summaryref2!AD31,IF(BJ142=summaryref2!X38,summaryref2!AD38,IF(BJ142=summaryref2!X45,summaryref2!AD45,IF(BJ142=summaryref2!X52,summaryref2!AD52,IF(BJ142=summaryref2!X59,summaryref2!AD59,IF(BJ142=summaryref2!X66,summaryref2!AD66,IF(BJ142=summaryref2!X73,summaryref2!AD73,IF(BJ142=summaryref2!X80,summaryref2!AD80,"")))))))))))</f>
        <v>#REF!</v>
      </c>
      <c r="BU142" s="962"/>
      <c r="CD142" s="589"/>
      <c r="CE142" s="590"/>
      <c r="CF142" s="590"/>
      <c r="CG142" s="590"/>
      <c r="CH142" s="590"/>
      <c r="CI142" s="590"/>
      <c r="CJ142" s="589"/>
      <c r="CK142" s="589"/>
      <c r="CL142" s="589"/>
      <c r="CM142" s="587"/>
      <c r="CN142" s="587"/>
      <c r="CO142" s="589"/>
      <c r="CP142" s="587"/>
      <c r="CQ142" s="592"/>
      <c r="CR142" s="589"/>
      <c r="CS142" s="592"/>
      <c r="CT142" s="589"/>
      <c r="CU142" s="589"/>
      <c r="CV142" s="589"/>
      <c r="CW142" s="587"/>
      <c r="CX142" s="590"/>
      <c r="CY142" s="590"/>
      <c r="CZ142" s="590"/>
      <c r="DA142" s="1054"/>
      <c r="DB142" s="1054"/>
      <c r="DC142" s="587"/>
      <c r="DD142" s="587"/>
    </row>
    <row r="143" spans="1:108" s="588" customFormat="1" ht="13.5" thickBot="1" x14ac:dyDescent="0.25">
      <c r="A143" s="589">
        <f t="shared" si="2"/>
        <v>133</v>
      </c>
      <c r="B143" s="587"/>
      <c r="C143" s="587"/>
      <c r="D143" s="587"/>
      <c r="J143" s="589"/>
      <c r="K143" s="590"/>
      <c r="L143" s="591"/>
      <c r="M143" s="592"/>
      <c r="N143" s="589"/>
      <c r="O143" s="587"/>
      <c r="R143" s="1052"/>
      <c r="S143" s="1052"/>
      <c r="T143" s="1052"/>
      <c r="U143" s="1052"/>
      <c r="V143" s="1052"/>
      <c r="W143" s="1053"/>
      <c r="X143" s="1053"/>
      <c r="Y143" s="1053"/>
      <c r="Z143" s="1052"/>
      <c r="AA143" s="1052"/>
      <c r="AB143" s="962"/>
      <c r="AC143" s="590"/>
      <c r="AD143" s="590"/>
      <c r="AE143" s="591"/>
      <c r="AF143" s="592"/>
      <c r="AG143" s="1053"/>
      <c r="AH143" s="587"/>
      <c r="AK143" s="1041" t="str">
        <f>Codes!$C$165</f>
        <v>LR - Light Rail (DO)</v>
      </c>
      <c r="AL143" s="1042" t="str">
        <f>Valid!$B$77</f>
        <v>Below-Grade/Cut-and-Cover Tunnel</v>
      </c>
      <c r="AM143" s="1108" t="e">
        <f>IF('A-80 DirEntInv'!#REF!&lt;&gt;"",'A-80 DirEntInv'!#REF!,IF(AK143=summaryref2!B18,summaryref2!D18,IF(Summary!AK143=summaryref2!B32,summaryref2!D32,IF(AK143=summaryref2!B46,summaryref2!D46,IF(AK143=summaryref2!B60,summaryref2!D60,IF(AK143=summaryref2!B74,summaryref2!D74,IF(AK143=summaryref2!B88,summaryref2!D88,IF(AK143=summaryref2!B102,summaryref2!D102,IF(AK143=summaryref2!B116,summaryref2!D116,IF(AK143=summaryref2!B130,summaryref2!D130,IF(AK143=summaryref2!B144,summaryref2!D144,"")))))))))))</f>
        <v>#REF!</v>
      </c>
      <c r="AN143" s="1109" t="e">
        <f ca="1">IF('A-80 DirEntInv'!#REF!&lt;&gt;"",'A-80 DirEntInv'!#REF!,IF(INDIRECT(ADDRESS(SumRef!CG345,SumRef!CG$16,,,SumRef!$C$7))="","",INDIRECT(ADDRESS(SumRef!CG345,SumRef!CG$16,,,SumRef!$C$7))))</f>
        <v>#REF!</v>
      </c>
      <c r="AO143" s="1108" t="e">
        <f>IF('A-80 DirEntInv'!#REF!&lt;&gt;"",'A-80 DirEntInv'!#REF!,IF(AK143=summaryref2!B18,summaryref2!F18,IF(Summary!AK143=summaryref2!B32,summaryref2!F32,IF(AK143=summaryref2!B46,summaryref2!F46,IF(AK143=summaryref2!B60,summaryref2!F60,IF(AK143=summaryref2!B74,summaryref2!F74,IF(AK143=summaryref2!B88,summaryref2!F88,IF(AK143=summaryref2!B102,summaryref2!F102,IF(AK143=summaryref2!B116,summaryref2!F116,IF(AK143=summaryref2!B130,summaryref2!F130,IF(AK143=summaryref2!B144,summaryref2!F144,"")))))))))))</f>
        <v>#REF!</v>
      </c>
      <c r="AP143" s="1109" t="e">
        <f ca="1">IF('A-80 DirEntInv'!#REF!&lt;&gt;"",'A-80 DirEntInv'!#REF!,IF(INDIRECT(ADDRESS(SumRef!#REF!,SumRef!#REF!,,,SumRef!$C$7))="","",INDIRECT(ADDRESS(SumRef!#REF!,SumRef!#REF!,,,SumRef!$C$7))))</f>
        <v>#REF!</v>
      </c>
      <c r="AQ143" s="1147" t="e">
        <f>IF('A-80 DirEntInv'!#REF!&lt;&gt;"",'A-80 DirEntInv'!#REF!,IF(AK143=summaryref2!B18,summaryref2!G18,IF(Summary!AK143=summaryref2!B32,summaryref2!G32,IF(AK143=summaryref2!B46,summaryref2!G46,IF(AK143=summaryref2!B60,summaryref2!G60,IF(AK143=summaryref2!B74,summaryref2!G74,IF(AK143=summaryref2!B88,summaryref2!G88,IF(AK143=summaryref2!B102,summaryref2!G102,IF(AK143=summaryref2!B116,summaryref2!G116,IF(AK143=summaryref2!B130,summaryref2!G130,IF(AK143=summaryref2!B144,summaryref2!G144,"")))))))))))</f>
        <v>#REF!</v>
      </c>
      <c r="AR143" s="1147" t="e">
        <f>IF('A-80 DirEntInv'!#REF!&lt;&gt;"",'A-80 DirEntInv'!#REF!,IF(AK143=summaryref2!B18,summaryref2!H18,IF(Summary!AK143=summaryref2!B32,summaryref2!H32,IF(AK143=summaryref2!B46,summaryref2!H46,IF(AK143=summaryref2!B60,summaryref2!H60,IF(AK143=summaryref2!B74,summaryref2!H74,IF(AK143=summaryref2!B88,summaryref2!H88,IF(AK143=summaryref2!B102,summaryref2!H102,IF(AK143=summaryref2!B116,summaryref2!H116,IF(AK143=summaryref2!B130,summaryref2!H130,IF(AK143=summaryref2!B144,summaryref2!H144,"")))))))))))</f>
        <v>#REF!</v>
      </c>
      <c r="AS143" s="1110" t="e">
        <f>IF('A-80 DirEntInv'!#REF!&lt;&gt;"",'A-80 DirEntInv'!#REF!,IF(AK143=summaryref2!B18,summaryref2!I18,IF(Summary!AK143=summaryref2!B32,summaryref2!I32,IF(AK143=summaryref2!B46,summaryref2!I46,IF(AK143=summaryref2!B60,summaryref2!I60,IF(AK143=summaryref2!B74,summaryref2!I74,IF(AK143=summaryref2!B88,summaryref2!I88,IF(AK143=summaryref2!B102,summaryref2!I102,IF(AK143=summaryref2!B116,summaryref2!I116,IF(AK143=summaryref2!B130,summaryref2!I130,IF(AK143=summaryref2!B144,summaryref2!I144,"")))))))))))</f>
        <v>#REF!</v>
      </c>
      <c r="AT143" s="1110" t="e">
        <f>IF('A-80 DirEntInv'!#REF!&lt;&gt;"",'A-80 DirEntInv'!#REF!,IF(AK143=summaryref2!B18,summaryref2!J18,IF(Summary!AK143=summaryref2!B32,summaryref2!J32,IF(AK143=summaryref2!B46,summaryref2!J46,IF(AK143=summaryref2!B60,summaryref2!J60,IF(AK143=summaryref2!B74,summaryref2!J74,IF(AK143=summaryref2!B88,summaryref2!J88,IF(AK143=summaryref2!B102,summaryref2!J102,IF(AK143=summaryref2!B116,summaryref2!J116,IF(AK143=summaryref2!B130,summaryref2!J130,IF(AK143=summaryref2!B144,summaryref2!J144,"")))))))))))</f>
        <v>#REF!</v>
      </c>
      <c r="AU143" s="1110" t="e">
        <f>IF('A-80 DirEntInv'!#REF!&lt;&gt;"",'A-80 DirEntInv'!#REF!,IF(AK143=summaryref2!B18,summaryref2!K18,IF(Summary!AK143=summaryref2!B32,summaryref2!K32,IF(AK143=summaryref2!B46,summaryref2!K46,IF(AK143=summaryref2!B60,summaryref2!K60,IF(AK143=summaryref2!B74,summaryref2!K74,IF(AK143=summaryref2!B88,summaryref2!K88,IF(AK143=summaryref2!B102,summaryref2!K102,IF(AK143=summaryref2!B116,summaryref2!K116,IF(AK143=summaryref2!B130,summaryref2!K130,IF(AK143=summaryref2!B144,summaryref2!K144,"")))))))))))</f>
        <v>#REF!</v>
      </c>
      <c r="AV143" s="1110" t="e">
        <f>IF('A-80 DirEntInv'!#REF!&lt;&gt;"",'A-80 DirEntInv'!#REF!,IF(AK143=summaryref2!B18,summaryref2!L18,IF(Summary!AK143=summaryref2!B32,summaryref2!L32,IF(AK143=summaryref2!B46,summaryref2!L46,IF(AK143=summaryref2!B60,summaryref2!L60,IF(AK143=summaryref2!B74,summaryref2!L74,IF(AK143=summaryref2!B88,summaryref2!L88,IF(AK143=summaryref2!B102,summaryref2!L102,IF(AK143=summaryref2!B116,summaryref2!L116,IF(AK143=summaryref2!B130,summaryref2!L130,IF(AK143=summaryref2!B144,summaryref2!L144,"")))))))))))</f>
        <v>#REF!</v>
      </c>
      <c r="AW143" s="1110" t="e">
        <f>IF('A-80 DirEntInv'!#REF!&lt;&gt;"",'A-80 DirEntInv'!#REF!,IF(AK143=summaryref2!B18,summaryref2!M18,IF(Summary!AK143=summaryref2!B32,summaryref2!M32,IF(AK143=summaryref2!B46,summaryref2!M46,IF(AK143=summaryref2!B60,summaryref2!M60,IF(AK143=summaryref2!B74,summaryref2!M74,IF(AK143=summaryref2!B88,summaryref2!M88,IF(AK143=summaryref2!B102,summaryref2!M102,IF(AK143=summaryref2!B116,summaryref2!M116,IF(AK143=summaryref2!B130,summaryref2!M130,IF(AK143=summaryref2!B144,summaryref2!M144,"")))))))))))</f>
        <v>#REF!</v>
      </c>
      <c r="AX143" s="1110" t="e">
        <f>IF('A-80 DirEntInv'!#REF!&lt;&gt;"",'A-80 DirEntInv'!#REF!,IF(AK143=summaryref2!B18,summaryref2!N18,IF(Summary!AK143=summaryref2!B32,summaryref2!N32,IF(AK143=summaryref2!B46,summaryref2!N46,IF(AK143=summaryref2!B60,summaryref2!N60,IF(AK143=summaryref2!B74,summaryref2!N74,IF(AK143=summaryref2!B88,summaryref2!N88,IF(AK143=summaryref2!B102,summaryref2!N102,IF(AK143=summaryref2!B116,summaryref2!N116,IF(AK143=summaryref2!B130,summaryref2!N130,IF(AK143=summaryref2!B144,summaryref2!N144,"")))))))))))</f>
        <v>#REF!</v>
      </c>
      <c r="AY143" s="1110" t="e">
        <f>IF('A-80 DirEntInv'!#REF!&lt;&gt;"",'A-80 DirEntInv'!#REF!,IF(AK143=summaryref2!B18,summaryref2!O18,IF(Summary!AK143=summaryref2!B32,summaryref2!O32,IF(AK143=summaryref2!B46,summaryref2!O46,IF(AK143=summaryref2!B60,summaryref2!O60,IF(AK143=summaryref2!B74,summaryref2!O74,IF(AK143=summaryref2!B88,summaryref2!O88,IF(AK143=summaryref2!B102,summaryref2!O102,IF(AK143=summaryref2!B116,summaryref2!O116,IF(AK143=summaryref2!B130,summaryref2!O130,IF(AK143=summaryref2!B144,summaryref2!O144,"")))))))))))</f>
        <v>#REF!</v>
      </c>
      <c r="AZ143" s="1110" t="e">
        <f>IF('A-80 DirEntInv'!#REF!&lt;&gt;"",'A-80 DirEntInv'!#REF!,IF(AK143=summaryref2!B18,summaryref2!P18,IF(Summary!AK143=summaryref2!B32,summaryref2!P32,IF(AK143=summaryref2!B46,summaryref2!P46,IF(AK143=summaryref2!B60,summaryref2!P60,IF(AK143=summaryref2!B74,summaryref2!P74,IF(AK143=summaryref2!B88,summaryref2!P88,IF(AK143=summaryref2!B102,summaryref2!P102,IF(AK143=summaryref2!B116,summaryref2!P116,IF(AK143=summaryref2!B130,summaryref2!P130,IF(AK143=summaryref2!B144,summaryref2!P144,"")))))))))))</f>
        <v>#REF!</v>
      </c>
      <c r="BA143" s="1110" t="e">
        <f>IF('A-80 DirEntInv'!#REF!&lt;&gt;"",'A-80 DirEntInv'!#REF!,IF(AK143=summaryref2!B18,summaryref2!Q18,IF(Summary!AK143=summaryref2!B32,summaryref2!Q32,IF(AK143=summaryref2!B46,summaryref2!Q46,IF(AK143=summaryref2!B60,summaryref2!Q60,IF(AK143=summaryref2!B74,summaryref2!Q74,IF(AK143=summaryref2!B88,summaryref2!Q88,IF(AK143=summaryref2!B102,summaryref2!Q102,IF(AK143=summaryref2!B116,summaryref2!Q116,IF(AK143=summaryref2!B130,summaryref2!Q130,IF(AK143=summaryref2!B144,summaryref2!Q144,"")))))))))))</f>
        <v>#REF!</v>
      </c>
      <c r="BB143" s="1110" t="e">
        <f>IF('A-80 DirEntInv'!#REF!&lt;&gt;"",'A-80 DirEntInv'!#REF!,IF(AK143=summaryref2!B18,summaryref2!R18,IF(Summary!AK143=summaryref2!B32,summaryref2!R32,IF(AK143=summaryref2!B46,summaryref2!R46,IF(AK143=summaryref2!B60,summaryref2!R60,IF(AK143=summaryref2!B74,summaryref2!R74,IF(AK143=summaryref2!B88,summaryref2!R88,IF(AK143=summaryref2!B102,summaryref2!R102,IF(AK143=summaryref2!B116,summaryref2!R116,IF(AK143=summaryref2!B130,summaryref2!R130,IF(AK143=summaryref2!B144,summaryref2!R144,"")))))))))))</f>
        <v>#REF!</v>
      </c>
      <c r="BC143" s="1110" t="e">
        <f>IF('A-80 DirEntInv'!#REF!&lt;&gt;0,'A-80 DirEntInv'!#REF!,IF(AK143=summaryref2!B18,summaryref2!S18,IF(Summary!AK143=summaryref2!B32,summaryref2!S32,IF(AK143=summaryref2!B46,summaryref2!S46,IF(AK143=summaryref2!B60,summaryref2!S60,IF(AK143=summaryref2!B74,summaryref2!S74,IF(AK143=summaryref2!B88,summaryref2!S88,IF(AK143=summaryref2!B102,summaryref2!S102,IF(AK143=summaryref2!B116,summaryref2!S116,IF(AK143=summaryref2!B130,summaryref2!S130,IF(AK143=summaryref2!B144,summaryref2!S144,"")))))))))))</f>
        <v>#REF!</v>
      </c>
      <c r="BD143" s="1111" t="e">
        <f>IF('A-80 DirEntInv'!#REF!&lt;&gt;"",'A-80 DirEntInv'!#REF!,IF(AK143=summaryref2!B18,summaryref2!T18,IF(Summary!AK143=summaryref2!B32,summaryref2!T32,IF(AK143=summaryref2!B46,summaryref2!T46,IF(AK143=summaryref2!B60,summaryref2!T60,IF(AK143=summaryref2!B74,summaryref2!T74,IF(AK143=summaryref2!B88,summaryref2!T88,IF(AK143=summaryref2!B102,summaryref2!T102,IF(AK143=summaryref2!B116,summaryref2!T116,IF(AK143=summaryref2!B130,summaryref2!T130,IF(AK143=summaryref2!B144,summaryref2!T144,"")))))))))))</f>
        <v>#REF!</v>
      </c>
      <c r="BE143" s="1184" t="e">
        <f>IF('A-80 DirEntInv'!#REF!&lt;&gt;"",'A-80 DirEntInv'!#REF!,IF(AK143=summaryref2!B18,summaryref2!U18,IF(Summary!AK143=summaryref2!B32,summaryref2!U32,IF(AK143=summaryref2!B46,summaryref2!U46,IF(AK143=summaryref2!B60,summaryref2!U60,IF(AK143=summaryref2!B74,summaryref2!U74,IF(AK143=summaryref2!B88,summaryref2!U88,IF(AK143=summaryref2!B102,summaryref2!U102,IF(AK143=summaryref2!B116,summaryref2!U116,IF(AK143=summaryref2!B130,summaryref2!U130,IF(AK143=summaryref2!B144,summaryref2!U144,"")))))))))))</f>
        <v>#REF!</v>
      </c>
      <c r="BF143" s="1432"/>
      <c r="BG143" s="1432"/>
      <c r="BJ143" s="1047" t="str">
        <f>Codes!$C$174</f>
        <v>YR - Hybrid Rail (PT)</v>
      </c>
      <c r="BK143" s="1050" t="str">
        <f>Valid!$B$86</f>
        <v>Grade Crossings</v>
      </c>
      <c r="BL143" s="1369" t="e">
        <f>IF('A-80 DirEntInv'!#REF!&lt;&gt;"",'A-80 DirEntInv'!#REF!,IF(BJ143=summaryref2!X18,summaryref2!Z18,IF(BJ143=summaryref2!X25,summaryref2!Z25,IF(BJ143=summaryref2!X32,summaryref2!Z32,IF(BJ143=summaryref2!X39,summaryref2!Z39,IF(BJ143=summaryref2!X46,summaryref2!Z46,IF(BJ143=summaryref2!X53,summaryref2!Z53,IF(BJ143=summaryref2!X60,summaryref2!Z60,IF(BJ143=summaryref2!X67,summaryref2!Z67,IF(BJ143=summaryref2!X74,summaryref2!Z74,IF(BJ143=summaryref2!X81,summaryref2!Z81,"")))))))))))</f>
        <v>#REF!</v>
      </c>
      <c r="BM143" s="1050" t="str">
        <f>VLOOKUP(BK143,Valid!$B$80:$C$86,2,FALSE)</f>
        <v>Each</v>
      </c>
      <c r="BN143" s="1210" t="e">
        <f>IF('A-80 DirEntInv'!#REF!&lt;&gt;"",'A-80 DirEntInv'!#REF!,IF(BJ143=summaryref2!X18,summaryref2!AB18,IF(BJ143=summaryref2!X25,summaryref2!AB25,IF(BJ143=summaryref2!X32,summaryref2!AB32,IF(BJ143=summaryref2!X39,summaryref2!AB39,IF(BJ143=summaryref2!X46,summaryref2!AB46,IF(BJ143=summaryref2!X53,summaryref2!AB53,IF(BJ143=summaryref2!X60,summaryref2!AB60,IF(BJ143=summaryref2!X67,summaryref2!AB67,IF(BJ143=summaryref2!X74,summaryref2!AB74,IF(BJ143=summaryref2!X81,summaryref2!AB81,"")))))))))))</f>
        <v>#REF!</v>
      </c>
      <c r="BO143" s="1117" t="e">
        <f>IF('A-80 DirEntInv'!#REF!&lt;&gt;"",'A-80 DirEntInv'!#REF!,IF(BJ143=summaryref2!X18,summaryref2!AC18,IF(BJ143=summaryref2!X25,summaryref2!AC25,IF(BJ143=summaryref2!X32,summaryref2!AC32,IF(BJ143=summaryref2!X39,summaryref2!AC39,IF(BJ143=summaryref2!X46,summaryref2!AC46,IF(BJ143=summaryref2!X53,summaryref2!AC53,IF(BJ143=summaryref2!X60,summaryref2!AC60,IF(BJ143=summaryref2!X67,summaryref2!AC67,IF(BJ143=summaryref2!X74,summaryref2!AC74,IF(BJ143=summaryref2!X81,summaryref2!AC81,"")))))))))))</f>
        <v>#REF!</v>
      </c>
      <c r="BP143" s="1321" t="e">
        <f>IF('A-80 DirEntInv'!#REF!&lt;&gt;"",'A-80 DirEntInv'!#REF!,IF(BJ143=summaryref2!X18,summaryref2!AD18,IF(BJ143=summaryref2!X25,summaryref2!AD25,IF(BJ143=summaryref2!X32,summaryref2!AD32,IF(BJ143=summaryref2!X39,summaryref2!AD39,IF(BJ143=summaryref2!X46,summaryref2!AD46,IF(BJ143=summaryref2!X53,summaryref2!AD53,IF(BJ143=summaryref2!X60,summaryref2!AD60,IF(BJ143=summaryref2!X67,summaryref2!AD67,IF(BJ143=summaryref2!X74,summaryref2!AD74,IF(BJ143=summaryref2!X81,summaryref2!AD81,"")))))))))))</f>
        <v>#REF!</v>
      </c>
      <c r="BU143" s="962"/>
      <c r="CD143" s="589"/>
      <c r="CE143" s="590"/>
      <c r="CF143" s="590"/>
      <c r="CG143" s="590"/>
      <c r="CH143" s="590"/>
      <c r="CI143" s="590"/>
      <c r="CJ143" s="589"/>
      <c r="CK143" s="589"/>
      <c r="CL143" s="589"/>
      <c r="CM143" s="587"/>
      <c r="CN143" s="587"/>
      <c r="CO143" s="589"/>
      <c r="CP143" s="587"/>
      <c r="CQ143" s="592"/>
      <c r="CR143" s="589"/>
      <c r="CS143" s="592"/>
      <c r="CT143" s="589"/>
      <c r="CU143" s="589"/>
      <c r="CV143" s="589"/>
      <c r="CW143" s="587"/>
      <c r="CX143" s="590"/>
      <c r="CY143" s="590"/>
      <c r="CZ143" s="590"/>
      <c r="DA143" s="1054"/>
      <c r="DB143" s="1054"/>
      <c r="DC143" s="587"/>
      <c r="DD143" s="587"/>
    </row>
    <row r="144" spans="1:108" s="588" customFormat="1" x14ac:dyDescent="0.2">
      <c r="A144" s="589">
        <f t="shared" si="2"/>
        <v>134</v>
      </c>
      <c r="B144" s="587"/>
      <c r="C144" s="587"/>
      <c r="D144" s="587"/>
      <c r="J144" s="589"/>
      <c r="K144" s="590"/>
      <c r="L144" s="591"/>
      <c r="M144" s="592"/>
      <c r="N144" s="589"/>
      <c r="O144" s="587"/>
      <c r="R144" s="1052"/>
      <c r="S144" s="1052"/>
      <c r="T144" s="1052"/>
      <c r="U144" s="1052"/>
      <c r="V144" s="1052"/>
      <c r="W144" s="1053"/>
      <c r="X144" s="1053"/>
      <c r="Y144" s="1053"/>
      <c r="Z144" s="1052"/>
      <c r="AA144" s="1052"/>
      <c r="AB144" s="962"/>
      <c r="AC144" s="590"/>
      <c r="AD144" s="590"/>
      <c r="AE144" s="591"/>
      <c r="AF144" s="592"/>
      <c r="AG144" s="1053"/>
      <c r="AH144" s="587"/>
      <c r="AK144" s="1041" t="str">
        <f>Codes!$C$165</f>
        <v>LR - Light Rail (DO)</v>
      </c>
      <c r="AL144" s="1042" t="str">
        <f>Valid!$B$78</f>
        <v>Below-Grade/Bored or Blasted Tunnel</v>
      </c>
      <c r="AM144" s="1108" t="e">
        <f>IF('A-80 DirEntInv'!#REF!&lt;&gt;"",'A-80 DirEntInv'!#REF!,IF(AK144=summaryref2!B19,summaryref2!D19,IF(Summary!AK144=summaryref2!B33,summaryref2!D33,IF(AK144=summaryref2!B47,summaryref2!D47,IF(AK144=summaryref2!B61,summaryref2!D61,IF(AK144=summaryref2!B75,summaryref2!D75,IF(AK144=summaryref2!B89,summaryref2!D89,IF(AK144=summaryref2!B103,summaryref2!D103,IF(AK144=summaryref2!B117,summaryref2!D117,IF(AK144=summaryref2!B131,summaryref2!D131,IF(AK144=summaryref2!B145,summaryref2!D145,"")))))))))))</f>
        <v>#REF!</v>
      </c>
      <c r="AN144" s="1109" t="e">
        <f ca="1">IF('A-80 DirEntInv'!#REF!&lt;&gt;"",'A-80 DirEntInv'!#REF!,IF(INDIRECT(ADDRESS(SumRef!CG346,SumRef!CG$16,,,SumRef!$C$7))="","",INDIRECT(ADDRESS(SumRef!CG346,SumRef!CG$16,,,SumRef!$C$7))))</f>
        <v>#REF!</v>
      </c>
      <c r="AO144" s="1108" t="e">
        <f>IF('A-80 DirEntInv'!#REF!&lt;&gt;"",'A-80 DirEntInv'!#REF!,IF(AK144=summaryref2!B19,summaryref2!F19,IF(Summary!AK144=summaryref2!B33,summaryref2!F33,IF(AK144=summaryref2!B47,summaryref2!F47,IF(AK144=summaryref2!B61,summaryref2!F61,IF(AK144=summaryref2!B75,summaryref2!F75,IF(AK144=summaryref2!B89,summaryref2!F89,IF(AK144=summaryref2!B103,summaryref2!F103,IF(AK144=summaryref2!B117,summaryref2!F117,IF(AK144=summaryref2!B131,summaryref2!F131,IF(AK144=summaryref2!B145,summaryref2!F145,"")))))))))))</f>
        <v>#REF!</v>
      </c>
      <c r="AP144" s="1109" t="e">
        <f ca="1">IF('A-80 DirEntInv'!#REF!&lt;&gt;"",'A-80 DirEntInv'!#REF!,IF(INDIRECT(ADDRESS(SumRef!#REF!,SumRef!#REF!,,,SumRef!$C$7))="","",INDIRECT(ADDRESS(SumRef!#REF!,SumRef!#REF!,,,SumRef!$C$7))))</f>
        <v>#REF!</v>
      </c>
      <c r="AQ144" s="1147" t="e">
        <f>IF('A-80 DirEntInv'!#REF!&lt;&gt;"",'A-80 DirEntInv'!#REF!,IF(AK144=summaryref2!B19,summaryref2!G19,IF(Summary!AK144=summaryref2!B33,summaryref2!G33,IF(AK144=summaryref2!B47,summaryref2!G47,IF(AK144=summaryref2!B61,summaryref2!G61,IF(AK144=summaryref2!B75,summaryref2!G75,IF(AK144=summaryref2!B89,summaryref2!G89,IF(AK144=summaryref2!B103,summaryref2!G103,IF(AK144=summaryref2!B117,summaryref2!G117,IF(AK144=summaryref2!B131,summaryref2!G131,IF(AK144=summaryref2!B145,summaryref2!G145,"")))))))))))</f>
        <v>#REF!</v>
      </c>
      <c r="AR144" s="1147" t="e">
        <f>IF('A-80 DirEntInv'!#REF!&lt;&gt;"",'A-80 DirEntInv'!#REF!,IF(AK144=summaryref2!B19,summaryref2!H19,IF(Summary!AK144=summaryref2!B33,summaryref2!H33,IF(AK144=summaryref2!B47,summaryref2!H47,IF(AK144=summaryref2!B61,summaryref2!H61,IF(AK144=summaryref2!B75,summaryref2!H75,IF(AK144=summaryref2!B89,summaryref2!H89,IF(AK144=summaryref2!B103,summaryref2!H103,IF(AK144=summaryref2!B117,summaryref2!H117,IF(AK144=summaryref2!B131,summaryref2!H131,IF(AK144=summaryref2!B145,summaryref2!H145,"")))))))))))</f>
        <v>#REF!</v>
      </c>
      <c r="AS144" s="1110" t="e">
        <f>IF('A-80 DirEntInv'!#REF!&lt;&gt;"",'A-80 DirEntInv'!#REF!,IF(AK144=summaryref2!B19,summaryref2!I19,IF(Summary!AK144=summaryref2!B33,summaryref2!I33,IF(AK144=summaryref2!B47,summaryref2!I47,IF(AK144=summaryref2!B61,summaryref2!I61,IF(AK144=summaryref2!B75,summaryref2!I75,IF(AK144=summaryref2!B89,summaryref2!I89,IF(AK144=summaryref2!B103,summaryref2!I103,IF(AK144=summaryref2!B117,summaryref2!I117,IF(AK144=summaryref2!B131,summaryref2!I131,IF(AK144=summaryref2!B145,summaryref2!I145,"")))))))))))</f>
        <v>#REF!</v>
      </c>
      <c r="AT144" s="1110" t="e">
        <f>IF('A-80 DirEntInv'!#REF!&lt;&gt;"",'A-80 DirEntInv'!#REF!,IF(AK144=summaryref2!B19,summaryref2!J19,IF(Summary!AK144=summaryref2!B33,summaryref2!J33,IF(AK144=summaryref2!B47,summaryref2!J47,IF(AK144=summaryref2!B61,summaryref2!J61,IF(AK144=summaryref2!B75,summaryref2!J75,IF(AK144=summaryref2!B89,summaryref2!J89,IF(AK144=summaryref2!B103,summaryref2!J103,IF(AK144=summaryref2!B117,summaryref2!J117,IF(AK144=summaryref2!B131,summaryref2!J131,IF(AK144=summaryref2!B145,summaryref2!J145,"")))))))))))</f>
        <v>#REF!</v>
      </c>
      <c r="AU144" s="1110" t="e">
        <f>IF('A-80 DirEntInv'!#REF!&lt;&gt;"",'A-80 DirEntInv'!#REF!,IF(AK144=summaryref2!B19,summaryref2!K19,IF(Summary!AK144=summaryref2!B33,summaryref2!K33,IF(AK144=summaryref2!B47,summaryref2!K47,IF(AK144=summaryref2!B61,summaryref2!K61,IF(AK144=summaryref2!B75,summaryref2!K75,IF(AK144=summaryref2!B89,summaryref2!K89,IF(AK144=summaryref2!B103,summaryref2!K103,IF(AK144=summaryref2!B117,summaryref2!K117,IF(AK144=summaryref2!B131,summaryref2!K131,IF(AK144=summaryref2!B145,summaryref2!K145,"")))))))))))</f>
        <v>#REF!</v>
      </c>
      <c r="AV144" s="1110" t="e">
        <f>IF('A-80 DirEntInv'!#REF!&lt;&gt;"",'A-80 DirEntInv'!#REF!,IF(AK144=summaryref2!B19,summaryref2!L19,IF(Summary!AK144=summaryref2!B33,summaryref2!L33,IF(AK144=summaryref2!B47,summaryref2!L47,IF(AK144=summaryref2!B61,summaryref2!L61,IF(AK144=summaryref2!B75,summaryref2!L75,IF(AK144=summaryref2!B89,summaryref2!L89,IF(AK144=summaryref2!B103,summaryref2!L103,IF(AK144=summaryref2!B117,summaryref2!L117,IF(AK144=summaryref2!B131,summaryref2!L131,IF(AK144=summaryref2!B145,summaryref2!L145,"")))))))))))</f>
        <v>#REF!</v>
      </c>
      <c r="AW144" s="1110" t="e">
        <f>IF('A-80 DirEntInv'!#REF!&lt;&gt;"",'A-80 DirEntInv'!#REF!,IF(AK144=summaryref2!B19,summaryref2!M19,IF(Summary!AK144=summaryref2!B33,summaryref2!M33,IF(AK144=summaryref2!B47,summaryref2!M47,IF(AK144=summaryref2!B61,summaryref2!M61,IF(AK144=summaryref2!B75,summaryref2!M75,IF(AK144=summaryref2!B89,summaryref2!M89,IF(AK144=summaryref2!B103,summaryref2!M103,IF(AK144=summaryref2!B117,summaryref2!M117,IF(AK144=summaryref2!B131,summaryref2!M131,IF(AK144=summaryref2!B145,summaryref2!M145,"")))))))))))</f>
        <v>#REF!</v>
      </c>
      <c r="AX144" s="1110" t="e">
        <f>IF('A-80 DirEntInv'!#REF!&lt;&gt;"",'A-80 DirEntInv'!#REF!,IF(AK144=summaryref2!B19,summaryref2!N19,IF(Summary!AK144=summaryref2!B33,summaryref2!N33,IF(AK144=summaryref2!B47,summaryref2!N47,IF(AK144=summaryref2!B61,summaryref2!N61,IF(AK144=summaryref2!B75,summaryref2!N75,IF(AK144=summaryref2!B89,summaryref2!N89,IF(AK144=summaryref2!B103,summaryref2!N103,IF(AK144=summaryref2!B117,summaryref2!N117,IF(AK144=summaryref2!B131,summaryref2!N131,IF(AK144=summaryref2!B145,summaryref2!N145,"")))))))))))</f>
        <v>#REF!</v>
      </c>
      <c r="AY144" s="1110" t="e">
        <f>IF('A-80 DirEntInv'!#REF!&lt;&gt;"",'A-80 DirEntInv'!#REF!,IF(AK144=summaryref2!B19,summaryref2!O19,IF(Summary!AK144=summaryref2!B33,summaryref2!O33,IF(AK144=summaryref2!B47,summaryref2!O47,IF(AK144=summaryref2!B61,summaryref2!O61,IF(AK144=summaryref2!B75,summaryref2!O75,IF(AK144=summaryref2!B89,summaryref2!O89,IF(AK144=summaryref2!B103,summaryref2!O103,IF(AK144=summaryref2!B117,summaryref2!O117,IF(AK144=summaryref2!B131,summaryref2!O131,IF(AK144=summaryref2!B145,summaryref2!O145,"")))))))))))</f>
        <v>#REF!</v>
      </c>
      <c r="AZ144" s="1110" t="e">
        <f>IF('A-80 DirEntInv'!#REF!&lt;&gt;"",'A-80 DirEntInv'!#REF!,IF(AK144=summaryref2!B19,summaryref2!P19,IF(Summary!AK144=summaryref2!B33,summaryref2!P33,IF(AK144=summaryref2!B47,summaryref2!P47,IF(AK144=summaryref2!B61,summaryref2!P61,IF(AK144=summaryref2!B75,summaryref2!P75,IF(AK144=summaryref2!B89,summaryref2!P89,IF(AK144=summaryref2!B103,summaryref2!P103,IF(AK144=summaryref2!B117,summaryref2!P117,IF(AK144=summaryref2!B131,summaryref2!P131,IF(AK144=summaryref2!B145,summaryref2!P145,"")))))))))))</f>
        <v>#REF!</v>
      </c>
      <c r="BA144" s="1110" t="e">
        <f>IF('A-80 DirEntInv'!#REF!&lt;&gt;"",'A-80 DirEntInv'!#REF!,IF(AK144=summaryref2!B19,summaryref2!Q19,IF(Summary!AK144=summaryref2!B33,summaryref2!Q33,IF(AK144=summaryref2!B47,summaryref2!Q47,IF(AK144=summaryref2!B61,summaryref2!Q61,IF(AK144=summaryref2!B75,summaryref2!Q75,IF(AK144=summaryref2!B89,summaryref2!Q89,IF(AK144=summaryref2!B103,summaryref2!Q103,IF(AK144=summaryref2!B117,summaryref2!Q117,IF(AK144=summaryref2!B131,summaryref2!Q131,IF(AK144=summaryref2!B145,summaryref2!Q145,"")))))))))))</f>
        <v>#REF!</v>
      </c>
      <c r="BB144" s="1110" t="e">
        <f>IF('A-80 DirEntInv'!#REF!&lt;&gt;"",'A-80 DirEntInv'!#REF!,IF(AK144=summaryref2!B19,summaryref2!R19,IF(Summary!AK144=summaryref2!B33,summaryref2!R33,IF(AK144=summaryref2!B47,summaryref2!R47,IF(AK144=summaryref2!B61,summaryref2!R61,IF(AK144=summaryref2!B75,summaryref2!R75,IF(AK144=summaryref2!B89,summaryref2!R89,IF(AK144=summaryref2!B103,summaryref2!R103,IF(AK144=summaryref2!B117,summaryref2!R117,IF(AK144=summaryref2!B131,summaryref2!R131,IF(AK144=summaryref2!B145,summaryref2!R145,"")))))))))))</f>
        <v>#REF!</v>
      </c>
      <c r="BC144" s="1110" t="e">
        <f>IF('A-80 DirEntInv'!#REF!&lt;&gt;0,'A-80 DirEntInv'!#REF!,IF(AK144=summaryref2!B19,summaryref2!S19,IF(Summary!AK144=summaryref2!B33,summaryref2!S33,IF(AK144=summaryref2!B47,summaryref2!S47,IF(AK144=summaryref2!B61,summaryref2!S61,IF(AK144=summaryref2!B75,summaryref2!S75,IF(AK144=summaryref2!B89,summaryref2!S89,IF(AK144=summaryref2!B103,summaryref2!S103,IF(AK144=summaryref2!B117,summaryref2!S117,IF(AK144=summaryref2!B131,summaryref2!S131,IF(AK144=summaryref2!B145,summaryref2!S145,"")))))))))))</f>
        <v>#REF!</v>
      </c>
      <c r="BD144" s="1111" t="e">
        <f>IF('A-80 DirEntInv'!#REF!&lt;&gt;"",'A-80 DirEntInv'!#REF!,IF(AK144=summaryref2!B19,summaryref2!T19,IF(Summary!AK144=summaryref2!B33,summaryref2!T33,IF(AK144=summaryref2!B47,summaryref2!T47,IF(AK144=summaryref2!B61,summaryref2!T61,IF(AK144=summaryref2!B75,summaryref2!T75,IF(AK144=summaryref2!B89,summaryref2!T89,IF(AK144=summaryref2!B103,summaryref2!T103,IF(AK144=summaryref2!B117,summaryref2!T117,IF(AK144=summaryref2!B131,summaryref2!T131,IF(AK144=summaryref2!B145,summaryref2!T145,"")))))))))))</f>
        <v>#REF!</v>
      </c>
      <c r="BE144" s="1184" t="e">
        <f>IF('A-80 DirEntInv'!#REF!&lt;&gt;"",'A-80 DirEntInv'!#REF!,IF(AK144=summaryref2!B19,summaryref2!U19,IF(Summary!AK144=summaryref2!B33,summaryref2!U33,IF(AK144=summaryref2!B47,summaryref2!U47,IF(AK144=summaryref2!B61,summaryref2!U61,IF(AK144=summaryref2!B75,summaryref2!U75,IF(AK144=summaryref2!B89,summaryref2!U89,IF(AK144=summaryref2!B103,summaryref2!U103,IF(AK144=summaryref2!B117,summaryref2!U117,IF(AK144=summaryref2!B131,summaryref2!U131,IF(AK144=summaryref2!B145,summaryref2!U145,"")))))))))))</f>
        <v>#REF!</v>
      </c>
      <c r="BF144" s="1432"/>
      <c r="BG144" s="1432"/>
      <c r="BU144" s="962"/>
      <c r="CD144" s="589"/>
      <c r="CE144" s="590"/>
      <c r="CF144" s="590"/>
      <c r="CG144" s="590"/>
      <c r="CH144" s="590"/>
      <c r="CI144" s="590"/>
      <c r="CJ144" s="589"/>
      <c r="CK144" s="589"/>
      <c r="CL144" s="589"/>
      <c r="CM144" s="587"/>
      <c r="CN144" s="587"/>
      <c r="CO144" s="589"/>
      <c r="CP144" s="587"/>
      <c r="CQ144" s="592"/>
      <c r="CR144" s="589"/>
      <c r="CS144" s="592"/>
      <c r="CT144" s="589"/>
      <c r="CU144" s="589"/>
      <c r="CV144" s="589"/>
      <c r="CW144" s="587"/>
      <c r="CX144" s="590"/>
      <c r="CY144" s="590"/>
      <c r="CZ144" s="590"/>
      <c r="DA144" s="1054"/>
      <c r="DB144" s="1054"/>
      <c r="DC144" s="587"/>
      <c r="DD144" s="587"/>
    </row>
    <row r="145" spans="1:108" s="588" customFormat="1" ht="13.5" thickBot="1" x14ac:dyDescent="0.25">
      <c r="A145" s="589">
        <f t="shared" si="2"/>
        <v>135</v>
      </c>
      <c r="B145" s="587"/>
      <c r="C145" s="587"/>
      <c r="D145" s="587"/>
      <c r="J145" s="589"/>
      <c r="K145" s="590"/>
      <c r="L145" s="591"/>
      <c r="M145" s="592"/>
      <c r="N145" s="589"/>
      <c r="O145" s="587"/>
      <c r="R145" s="1052"/>
      <c r="S145" s="1052"/>
      <c r="T145" s="1052"/>
      <c r="U145" s="1052"/>
      <c r="V145" s="1052"/>
      <c r="W145" s="1053"/>
      <c r="X145" s="1053"/>
      <c r="Y145" s="1053"/>
      <c r="Z145" s="1052"/>
      <c r="AA145" s="1052"/>
      <c r="AB145" s="962"/>
      <c r="AC145" s="590"/>
      <c r="AD145" s="590"/>
      <c r="AE145" s="591"/>
      <c r="AF145" s="592"/>
      <c r="AG145" s="1053"/>
      <c r="AH145" s="587"/>
      <c r="AK145" s="1048" t="str">
        <f>Codes!$C$165</f>
        <v>LR - Light Rail (DO)</v>
      </c>
      <c r="AL145" s="1049" t="str">
        <f>Valid!$B$79</f>
        <v>Below-Grade/Submerged Tube</v>
      </c>
      <c r="AM145" s="1119" t="e">
        <f>IF('A-80 DirEntInv'!#REF!&lt;&gt;"",'A-80 DirEntInv'!#REF!,IF(AK145=summaryref2!B20,summaryref2!D20,IF(Summary!AK145=summaryref2!B34,summaryref2!D34,IF(AK145=summaryref2!B48,summaryref2!D48,IF(AK145=summaryref2!B62,summaryref2!D62,IF(AK145=summaryref2!B76,summaryref2!D76,IF(AK145=summaryref2!B90,summaryref2!D90,IF(AK145=summaryref2!B104,summaryref2!D104,IF(AK145=summaryref2!B118,summaryref2!D118,IF(AK145=summaryref2!B132,summaryref2!D132,IF(AK145=summaryref2!B146,summaryref2!D146,"")))))))))))</f>
        <v>#REF!</v>
      </c>
      <c r="AN145" s="1120" t="e">
        <f ca="1">IF('A-80 DirEntInv'!#REF!&lt;&gt;"",'A-80 DirEntInv'!#REF!,IF(INDIRECT(ADDRESS(SumRef!CG347,SumRef!CG$16,,,SumRef!$C$7))="","",INDIRECT(ADDRESS(SumRef!CG347,SumRef!CG$16,,,SumRef!$C$7))))</f>
        <v>#REF!</v>
      </c>
      <c r="AO145" s="1119" t="e">
        <f>IF('A-80 DirEntInv'!#REF!&lt;&gt;"",'A-80 DirEntInv'!#REF!,IF(AK145=summaryref2!B20,summaryref2!F20,IF(Summary!AK145=summaryref2!B34,summaryref2!F34,IF(AK145=summaryref2!B48,summaryref2!F48,IF(AK145=summaryref2!B62,summaryref2!F62,IF(AK145=summaryref2!B76,summaryref2!F76,IF(AK145=summaryref2!B90,summaryref2!F90,IF(AK145=summaryref2!B104,summaryref2!F104,IF(AK145=summaryref2!B118,summaryref2!F118,IF(AK145=summaryref2!B132,summaryref2!F132,IF(AK145=summaryref2!B146,summaryref2!F146,"")))))))))))</f>
        <v>#REF!</v>
      </c>
      <c r="AP145" s="1120" t="e">
        <f ca="1">IF('A-80 DirEntInv'!#REF!&lt;&gt;"",'A-80 DirEntInv'!#REF!,IF(INDIRECT(ADDRESS(SumRef!#REF!,SumRef!#REF!,,,SumRef!$C$7))="","",INDIRECT(ADDRESS(SumRef!#REF!,SumRef!#REF!,,,SumRef!$C$7))))</f>
        <v>#REF!</v>
      </c>
      <c r="AQ145" s="1148" t="e">
        <f>IF('A-80 DirEntInv'!#REF!&lt;&gt;"",'A-80 DirEntInv'!#REF!,IF(AK145=summaryref2!B20,summaryref2!G20,IF(Summary!AK145=summaryref2!B34,summaryref2!G34,IF(AK145=summaryref2!B48,summaryref2!G48,IF(AK145=summaryref2!B62,summaryref2!G62,IF(AK145=summaryref2!B76,summaryref2!G76,IF(AK145=summaryref2!B90,summaryref2!G90,IF(AK145=summaryref2!B104,summaryref2!G104,IF(AK145=summaryref2!B118,summaryref2!G118,IF(AK145=summaryref2!B132,summaryref2!G132,IF(AK145=summaryref2!B146,summaryref2!G146,"")))))))))))</f>
        <v>#REF!</v>
      </c>
      <c r="AR145" s="1148" t="e">
        <f>IF('A-80 DirEntInv'!#REF!&lt;&gt;"",'A-80 DirEntInv'!#REF!,IF(AK145=summaryref2!B20,summaryref2!H20,IF(Summary!AK145=summaryref2!B34,summaryref2!H34,IF(AK145=summaryref2!B48,summaryref2!H48,IF(AK145=summaryref2!B62,summaryref2!H62,IF(AK145=summaryref2!B76,summaryref2!H76,IF(AK145=summaryref2!B90,summaryref2!H90,IF(AK145=summaryref2!B104,summaryref2!H104,IF(AK145=summaryref2!B118,summaryref2!H118,IF(AK145=summaryref2!B132,summaryref2!H132,IF(AK145=summaryref2!B146,summaryref2!H146,"")))))))))))</f>
        <v>#REF!</v>
      </c>
      <c r="AS145" s="1121" t="e">
        <f>IF('A-80 DirEntInv'!#REF!&lt;&gt;"",'A-80 DirEntInv'!#REF!,IF(AK145=summaryref2!B20,summaryref2!I20,IF(Summary!AK145=summaryref2!B34,summaryref2!I34,IF(AK145=summaryref2!B48,summaryref2!I48,IF(AK145=summaryref2!B62,summaryref2!I62,IF(AK145=summaryref2!B76,summaryref2!I76,IF(AK145=summaryref2!B90,summaryref2!I90,IF(AK145=summaryref2!B104,summaryref2!I104,IF(AK145=summaryref2!B118,summaryref2!I118,IF(AK145=summaryref2!B132,summaryref2!I132,IF(AK145=summaryref2!B146,summaryref2!I146,"")))))))))))</f>
        <v>#REF!</v>
      </c>
      <c r="AT145" s="1121" t="e">
        <f>IF('A-80 DirEntInv'!#REF!&lt;&gt;"",'A-80 DirEntInv'!#REF!,IF(AK145=summaryref2!B20,summaryref2!J20,IF(Summary!AK145=summaryref2!B34,summaryref2!J34,IF(AK145=summaryref2!B48,summaryref2!J48,IF(AK145=summaryref2!B62,summaryref2!J62,IF(AK145=summaryref2!B76,summaryref2!J76,IF(AK145=summaryref2!B90,summaryref2!J90,IF(AK145=summaryref2!B104,summaryref2!J104,IF(AK145=summaryref2!B118,summaryref2!J118,IF(AK145=summaryref2!B132,summaryref2!J132,IF(AK145=summaryref2!B146,summaryref2!J146,"")))))))))))</f>
        <v>#REF!</v>
      </c>
      <c r="AU145" s="1121" t="e">
        <f>IF('A-80 DirEntInv'!#REF!&lt;&gt;"",'A-80 DirEntInv'!#REF!,IF(AK145=summaryref2!B20,summaryref2!K20,IF(Summary!AK145=summaryref2!B34,summaryref2!K34,IF(AK145=summaryref2!B48,summaryref2!K48,IF(AK145=summaryref2!B62,summaryref2!K62,IF(AK145=summaryref2!B76,summaryref2!K76,IF(AK145=summaryref2!B90,summaryref2!K90,IF(AK145=summaryref2!B104,summaryref2!K104,IF(AK145=summaryref2!B118,summaryref2!K118,IF(AK145=summaryref2!B132,summaryref2!K132,IF(AK145=summaryref2!B146,summaryref2!K146,"")))))))))))</f>
        <v>#REF!</v>
      </c>
      <c r="AV145" s="1121" t="e">
        <f>IF('A-80 DirEntInv'!#REF!&lt;&gt;"",'A-80 DirEntInv'!#REF!,IF(AK145=summaryref2!B20,summaryref2!L20,IF(Summary!AK145=summaryref2!B34,summaryref2!L34,IF(AK145=summaryref2!B48,summaryref2!L48,IF(AK145=summaryref2!B62,summaryref2!L62,IF(AK145=summaryref2!B76,summaryref2!L76,IF(AK145=summaryref2!B90,summaryref2!L90,IF(AK145=summaryref2!B104,summaryref2!L104,IF(AK145=summaryref2!B118,summaryref2!L118,IF(AK145=summaryref2!B132,summaryref2!L132,IF(AK145=summaryref2!B146,summaryref2!L146,"")))))))))))</f>
        <v>#REF!</v>
      </c>
      <c r="AW145" s="1121" t="e">
        <f>IF('A-80 DirEntInv'!#REF!&lt;&gt;"",'A-80 DirEntInv'!#REF!,IF(AK145=summaryref2!B20,summaryref2!M20,IF(Summary!AK145=summaryref2!B34,summaryref2!M34,IF(AK145=summaryref2!B48,summaryref2!M48,IF(AK145=summaryref2!B62,summaryref2!M62,IF(AK145=summaryref2!B76,summaryref2!M76,IF(AK145=summaryref2!B90,summaryref2!M90,IF(AK145=summaryref2!B104,summaryref2!M104,IF(AK145=summaryref2!B118,summaryref2!M118,IF(AK145=summaryref2!B132,summaryref2!M132,IF(AK145=summaryref2!B146,summaryref2!M146,"")))))))))))</f>
        <v>#REF!</v>
      </c>
      <c r="AX145" s="1121" t="e">
        <f>IF('A-80 DirEntInv'!#REF!&lt;&gt;"",'A-80 DirEntInv'!#REF!,IF(AK145=summaryref2!B20,summaryref2!N20,IF(Summary!AK145=summaryref2!B34,summaryref2!N34,IF(AK145=summaryref2!B48,summaryref2!N48,IF(AK145=summaryref2!B62,summaryref2!N62,IF(AK145=summaryref2!B76,summaryref2!N76,IF(AK145=summaryref2!B90,summaryref2!N90,IF(AK145=summaryref2!B104,summaryref2!N104,IF(AK145=summaryref2!B118,summaryref2!N118,IF(AK145=summaryref2!B132,summaryref2!N132,IF(AK145=summaryref2!B146,summaryref2!N146,"")))))))))))</f>
        <v>#REF!</v>
      </c>
      <c r="AY145" s="1121" t="e">
        <f>IF('A-80 DirEntInv'!#REF!&lt;&gt;"",'A-80 DirEntInv'!#REF!,IF(AK145=summaryref2!B20,summaryref2!O20,IF(Summary!AK145=summaryref2!B34,summaryref2!O34,IF(AK145=summaryref2!B48,summaryref2!O48,IF(AK145=summaryref2!B62,summaryref2!O62,IF(AK145=summaryref2!B76,summaryref2!O76,IF(AK145=summaryref2!B90,summaryref2!O90,IF(AK145=summaryref2!B104,summaryref2!O104,IF(AK145=summaryref2!B118,summaryref2!O118,IF(AK145=summaryref2!B132,summaryref2!O132,IF(AK145=summaryref2!B146,summaryref2!O146,"")))))))))))</f>
        <v>#REF!</v>
      </c>
      <c r="AZ145" s="1121" t="e">
        <f>IF('A-80 DirEntInv'!#REF!&lt;&gt;"",'A-80 DirEntInv'!#REF!,IF(AK145=summaryref2!B20,summaryref2!P20,IF(Summary!AK145=summaryref2!B34,summaryref2!P34,IF(AK145=summaryref2!B48,summaryref2!P48,IF(AK145=summaryref2!B62,summaryref2!P62,IF(AK145=summaryref2!B76,summaryref2!P76,IF(AK145=summaryref2!B90,summaryref2!P90,IF(AK145=summaryref2!B104,summaryref2!P104,IF(AK145=summaryref2!B118,summaryref2!P118,IF(AK145=summaryref2!B132,summaryref2!P132,IF(AK145=summaryref2!B146,summaryref2!P146,"")))))))))))</f>
        <v>#REF!</v>
      </c>
      <c r="BA145" s="1121" t="e">
        <f>IF('A-80 DirEntInv'!#REF!&lt;&gt;"",'A-80 DirEntInv'!#REF!,IF(AK145=summaryref2!B20,summaryref2!Q20,IF(Summary!AK145=summaryref2!B34,summaryref2!Q34,IF(AK145=summaryref2!B48,summaryref2!Q48,IF(AK145=summaryref2!B62,summaryref2!Q62,IF(AK145=summaryref2!B76,summaryref2!Q76,IF(AK145=summaryref2!B90,summaryref2!Q90,IF(AK145=summaryref2!B104,summaryref2!Q104,IF(AK145=summaryref2!B118,summaryref2!Q118,IF(AK145=summaryref2!B132,summaryref2!Q132,IF(AK145=summaryref2!B146,summaryref2!Q146,"")))))))))))</f>
        <v>#REF!</v>
      </c>
      <c r="BB145" s="1121" t="e">
        <f>IF('A-80 DirEntInv'!#REF!&lt;&gt;"",'A-80 DirEntInv'!#REF!,IF(AK145=summaryref2!B20,summaryref2!R20,IF(Summary!AK145=summaryref2!B34,summaryref2!R34,IF(AK145=summaryref2!B48,summaryref2!R48,IF(AK145=summaryref2!B62,summaryref2!R62,IF(AK145=summaryref2!B76,summaryref2!R76,IF(AK145=summaryref2!B90,summaryref2!R90,IF(AK145=summaryref2!B104,summaryref2!R104,IF(AK145=summaryref2!B118,summaryref2!R118,IF(AK145=summaryref2!B132,summaryref2!R132,IF(AK145=summaryref2!B146,summaryref2!R146,"")))))))))))</f>
        <v>#REF!</v>
      </c>
      <c r="BC145" s="1121" t="e">
        <f>IF('A-80 DirEntInv'!#REF!&lt;&gt;0,'A-80 DirEntInv'!#REF!,IF(AK145=summaryref2!B20,summaryref2!S20,IF(Summary!AK145=summaryref2!B34,summaryref2!S34,IF(AK145=summaryref2!B48,summaryref2!S48,IF(AK145=summaryref2!B62,summaryref2!S62,IF(AK145=summaryref2!B76,summaryref2!S76,IF(AK145=summaryref2!B90,summaryref2!S90,IF(AK145=summaryref2!B104,summaryref2!S104,IF(AK145=summaryref2!B118,summaryref2!S118,IF(AK145=summaryref2!B132,summaryref2!S132,IF(AK145=summaryref2!B146,summaryref2!S146,"")))))))))))</f>
        <v>#REF!</v>
      </c>
      <c r="BD145" s="1122" t="e">
        <f>IF('A-80 DirEntInv'!#REF!&lt;&gt;"",'A-80 DirEntInv'!#REF!,IF(AK145=summaryref2!B20,summaryref2!T20,IF(Summary!AK145=summaryref2!B34,summaryref2!T34,IF(AK145=summaryref2!B48,summaryref2!T48,IF(AK145=summaryref2!B62,summaryref2!T62,IF(AK145=summaryref2!B76,summaryref2!T76,IF(AK145=summaryref2!B90,summaryref2!T90,IF(AK145=summaryref2!B104,summaryref2!T104,IF(AK145=summaryref2!B118,summaryref2!T118,IF(AK145=summaryref2!B132,summaryref2!T132,IF(AK145=summaryref2!B146,summaryref2!T146,"")))))))))))</f>
        <v>#REF!</v>
      </c>
      <c r="BE145" s="1190" t="e">
        <f>IF('A-80 DirEntInv'!#REF!&lt;&gt;"",'A-80 DirEntInv'!#REF!,IF(AK145=summaryref2!B20,summaryref2!U20,IF(Summary!AK145=summaryref2!B34,summaryref2!U34,IF(AK145=summaryref2!B48,summaryref2!U48,IF(AK145=summaryref2!B62,summaryref2!U62,IF(AK145=summaryref2!B76,summaryref2!U76,IF(AK145=summaryref2!B90,summaryref2!U90,IF(AK145=summaryref2!B104,summaryref2!U104,IF(AK145=summaryref2!B118,summaryref2!U118,IF(AK145=summaryref2!B132,summaryref2!U132,IF(AK145=summaryref2!B146,summaryref2!U146,"")))))))))))</f>
        <v>#REF!</v>
      </c>
      <c r="BF145" s="1432"/>
      <c r="BG145" s="1432"/>
      <c r="BU145" s="962"/>
      <c r="CD145" s="589"/>
      <c r="CE145" s="590"/>
      <c r="CF145" s="590"/>
      <c r="CG145" s="590"/>
      <c r="CH145" s="590"/>
      <c r="CI145" s="590"/>
      <c r="CJ145" s="589"/>
      <c r="CK145" s="589"/>
      <c r="CL145" s="589"/>
      <c r="CM145" s="587"/>
      <c r="CN145" s="587"/>
      <c r="CO145" s="589"/>
      <c r="CP145" s="587"/>
      <c r="CQ145" s="592"/>
      <c r="CR145" s="589"/>
      <c r="CS145" s="592"/>
      <c r="CT145" s="589"/>
      <c r="CU145" s="589"/>
      <c r="CV145" s="589"/>
      <c r="CW145" s="587"/>
      <c r="CX145" s="590"/>
      <c r="CY145" s="590"/>
      <c r="CZ145" s="590"/>
      <c r="DA145" s="1054"/>
      <c r="DB145" s="1054"/>
      <c r="DC145" s="587"/>
      <c r="DD145" s="587"/>
    </row>
    <row r="146" spans="1:108" s="588" customFormat="1" ht="21.75" thickTop="1" thickBot="1" x14ac:dyDescent="0.25">
      <c r="A146" s="589">
        <f t="shared" si="2"/>
        <v>136</v>
      </c>
      <c r="B146" s="587"/>
      <c r="C146" s="587"/>
      <c r="D146" s="587"/>
      <c r="J146" s="589"/>
      <c r="K146" s="590"/>
      <c r="L146" s="591"/>
      <c r="M146" s="592"/>
      <c r="N146" s="589"/>
      <c r="O146" s="587"/>
      <c r="R146" s="1052"/>
      <c r="S146" s="1052"/>
      <c r="T146" s="1052"/>
      <c r="U146" s="1052"/>
      <c r="V146" s="1052"/>
      <c r="W146" s="1053"/>
      <c r="X146" s="1053"/>
      <c r="Y146" s="1053"/>
      <c r="Z146" s="1052"/>
      <c r="AA146" s="1052"/>
      <c r="AB146" s="962"/>
      <c r="AC146" s="590"/>
      <c r="AD146" s="590"/>
      <c r="AE146" s="591"/>
      <c r="AF146" s="592"/>
      <c r="AG146" s="1053"/>
      <c r="AH146" s="587"/>
      <c r="AK146" s="1181" t="str">
        <f>Codes!$C$165</f>
        <v>LR - Light Rail (DO)</v>
      </c>
      <c r="AL146" s="1182" t="str">
        <f>Valid!$B$87</f>
        <v>Substation Building</v>
      </c>
      <c r="AM146" s="1123" t="e">
        <f>IF('A-80 DirEntInv'!#REF!&lt;&gt;"",'A-80 DirEntInv'!#REF!,IF(AK146=summaryref2!B21,summaryref2!D21,IF(Summary!AK146=summaryref2!B35,summaryref2!D35,IF(AK146=summaryref2!B49,summaryref2!D49,IF(AK146=summaryref2!B63,summaryref2!D63,IF(AK146=summaryref2!B77,summaryref2!D77,IF(AK146=summaryref2!B91,summaryref2!D91,IF(AK146=summaryref2!B105,summaryref2!D105,IF(AK146=summaryref2!B119,summaryref2!D119,IF(AK146=summaryref2!B133,summaryref2!D133,IF(AK146=summaryref2!B197,summaryref2!D147,"")))))))))))</f>
        <v>#REF!</v>
      </c>
      <c r="AN146" s="1124" t="s">
        <v>13</v>
      </c>
      <c r="AO146" s="1123"/>
      <c r="AP146" s="1124"/>
      <c r="AQ146" s="1149" t="e">
        <f>IF('A-80 DirEntInv'!#REF!&lt;&gt;"",'A-80 DirEntInv'!#REF!,IF(AK146=summaryref2!B21,summaryref2!G21,IF(Summary!AK146=summaryref2!B35,summaryref2!G35,IF(AK146=summaryref2!B49,summaryref2!G49,IF(AK146=summaryref2!B63,summaryref2!G63,IF(AK146=summaryref2!B77,summaryref2!G77,IF(AK146=summaryref2!B91,summaryref2!G91,IF(AK146=summaryref2!B105,summaryref2!G105,IF(AK146=summaryref2!B119,summaryref2!G119,IF(AK146=summaryref2!B133,summaryref2!G133,IF(AK146=summaryref2!B147,summaryref2!G147,"")))))))))))</f>
        <v>#REF!</v>
      </c>
      <c r="AR146" s="1149" t="e">
        <f>IF('A-80 DirEntInv'!#REF!&lt;&gt;"",'A-80 DirEntInv'!#REF!,IF(AK146=summaryref2!B21,summaryref2!H21,IF(Summary!AK146=summaryref2!B35,summaryref2!H35,IF(AK146=summaryref2!B49,summaryref2!H49,IF(AK146=summaryref2!B63,summaryref2!H63,IF(AK146=summaryref2!B77,summaryref2!H77,IF(AK146=summaryref2!B91,summaryref2!H91,IF(AK146=summaryref2!B105,summaryref2!H105,IF(AK146=summaryref2!B119,summaryref2!H119,IF(AK146=summaryref2!B133,summaryref2!H133,IF(AK146=summaryref2!B147,summaryref2!H147,"")))))))))))</f>
        <v>#REF!</v>
      </c>
      <c r="AS146" s="1125" t="e">
        <f>IF('A-80 DirEntInv'!#REF!&lt;&gt;"",'A-80 DirEntInv'!#REF!,IF(AK146=summaryref2!B21,summaryref2!I21,IF(Summary!AK146=summaryref2!B35,summaryref2!I35,IF(AK146=summaryref2!B49,summaryref2!I49,IF(AK146=summaryref2!B63,summaryref2!I63,IF(AK146=summaryref2!B77,summaryref2!I77,IF(AK146=summaryref2!B91,summaryref2!I91,IF(AK146=summaryref2!B105,summaryref2!I105,IF(AK146=summaryref2!B119,summaryref2!I119,IF(AK146=summaryref2!B133,summaryref2!I133,IF(AK146=summaryref2!B147,summaryref2!I147,"")))))))))))</f>
        <v>#REF!</v>
      </c>
      <c r="AT146" s="1125" t="e">
        <f>IF('A-80 DirEntInv'!#REF!&lt;&gt;"",'A-80 DirEntInv'!#REF!,IF(AK146=summaryref2!B21,summaryref2!J21,IF(Summary!AK146=summaryref2!B35,summaryref2!J35,IF(AK146=summaryref2!B49,summaryref2!J49,IF(AK146=summaryref2!B63,summaryref2!J63,IF(AK146=summaryref2!B77,summaryref2!J77,IF(AK146=summaryref2!B91,summaryref2!J91,IF(AK146=summaryref2!B105,summaryref2!J105,IF(AK146=summaryref2!B119,summaryref2!J119,IF(AK146=summaryref2!B133,summaryref2!J133,IF(AK146=summaryref2!B147,summaryref2!J147,"")))))))))))</f>
        <v>#REF!</v>
      </c>
      <c r="AU146" s="1125" t="e">
        <f>IF('A-80 DirEntInv'!#REF!&lt;&gt;"",'A-80 DirEntInv'!#REF!,IF(AK146=summaryref2!B21,summaryref2!K21,IF(Summary!AK146=summaryref2!B35,summaryref2!K35,IF(AK146=summaryref2!B49,summaryref2!K49,IF(AK146=summaryref2!B63,summaryref2!K63,IF(AK146=summaryref2!B77,summaryref2!K77,IF(AK146=summaryref2!B91,summaryref2!K91,IF(AK146=summaryref2!B105,summaryref2!K105,IF(AK146=summaryref2!B119,summaryref2!K119,IF(AK146=summaryref2!B133,summaryref2!K133,IF(AK146=summaryref2!B147,summaryref2!K147,"")))))))))))</f>
        <v>#REF!</v>
      </c>
      <c r="AV146" s="1125" t="e">
        <f>IF('A-80 DirEntInv'!#REF!&lt;&gt;"",'A-80 DirEntInv'!#REF!,IF(AK146=summaryref2!B21,summaryref2!L21,IF(Summary!AK146=summaryref2!B35,summaryref2!L35,IF(AK146=summaryref2!B49,summaryref2!L49,IF(AK146=summaryref2!B63,summaryref2!L63,IF(AK146=summaryref2!B77,summaryref2!L77,IF(AK146=summaryref2!B91,summaryref2!L91,IF(AK146=summaryref2!B105,summaryref2!L105,IF(AK146=summaryref2!B119,summaryref2!L119,IF(AK146=summaryref2!B133,summaryref2!L133,IF(AK146=summaryref2!B147,summaryref2!L147,"")))))))))))</f>
        <v>#REF!</v>
      </c>
      <c r="AW146" s="1125" t="e">
        <f>IF('A-80 DirEntInv'!#REF!&lt;&gt;"",'A-80 DirEntInv'!#REF!,IF(AK146=summaryref2!B21,summaryref2!M21,IF(Summary!AK146=summaryref2!B35,summaryref2!M35,IF(AK146=summaryref2!B49,summaryref2!M49,IF(AK146=summaryref2!B63,summaryref2!M63,IF(AK146=summaryref2!B77,summaryref2!M77,IF(AK146=summaryref2!B91,summaryref2!M91,IF(AK146=summaryref2!B105,summaryref2!M105,IF(AK146=summaryref2!B119,summaryref2!M119,IF(AK146=summaryref2!B133,summaryref2!M133,IF(AK146=summaryref2!B147,summaryref2!M147,"")))))))))))</f>
        <v>#REF!</v>
      </c>
      <c r="AX146" s="1125" t="e">
        <f>IF('A-80 DirEntInv'!#REF!&lt;&gt;"",'A-80 DirEntInv'!#REF!,IF(AK146=summaryref2!B21,summaryref2!N21,IF(Summary!AK146=summaryref2!B35,summaryref2!N35,IF(AK146=summaryref2!B49,summaryref2!N49,IF(AK146=summaryref2!B63,summaryref2!N63,IF(AK146=summaryref2!B77,summaryref2!N77,IF(AK146=summaryref2!B91,summaryref2!N91,IF(AK146=summaryref2!B105,summaryref2!N105,IF(AK146=summaryref2!B119,summaryref2!N119,IF(AK146=summaryref2!B133,summaryref2!N133,IF(AK146=summaryref2!B147,summaryref2!N147,"")))))))))))</f>
        <v>#REF!</v>
      </c>
      <c r="AY146" s="1125" t="e">
        <f>IF('A-80 DirEntInv'!#REF!&lt;&gt;"",'A-80 DirEntInv'!#REF!,IF(AK146=summaryref2!B21,summaryref2!O21,IF(Summary!AK146=summaryref2!B35,summaryref2!O35,IF(AK146=summaryref2!B49,summaryref2!O49,IF(AK146=summaryref2!B63,summaryref2!O63,IF(AK146=summaryref2!B77,summaryref2!O77,IF(AK146=summaryref2!B91,summaryref2!O91,IF(AK146=summaryref2!B105,summaryref2!O105,IF(AK146=summaryref2!B119,summaryref2!O119,IF(AK146=summaryref2!B133,summaryref2!O133,IF(AK146=summaryref2!B147,summaryref2!O147,"")))))))))))</f>
        <v>#REF!</v>
      </c>
      <c r="AZ146" s="1125" t="e">
        <f>IF('A-80 DirEntInv'!#REF!&lt;&gt;"",'A-80 DirEntInv'!#REF!,IF(AK146=summaryref2!B21,summaryref2!P21,IF(Summary!AK146=summaryref2!B35,summaryref2!P35,IF(AK146=summaryref2!B49,summaryref2!P49,IF(AK146=summaryref2!B63,summaryref2!P63,IF(AK146=summaryref2!B77,summaryref2!P77,IF(AK146=summaryref2!B91,summaryref2!P91,IF(AK146=summaryref2!B105,summaryref2!P105,IF(AK146=summaryref2!B119,summaryref2!P119,IF(AK146=summaryref2!B133,summaryref2!P133,IF(AK146=summaryref2!B147,summaryref2!P147,"")))))))))))</f>
        <v>#REF!</v>
      </c>
      <c r="BA146" s="1125" t="e">
        <f>IF('A-80 DirEntInv'!#REF!&lt;&gt;"",'A-80 DirEntInv'!#REF!,IF(AK146=summaryref2!B21,summaryref2!Q21,IF(Summary!AK146=summaryref2!B35,summaryref2!Q35,IF(AK146=summaryref2!B49,summaryref2!Q49,IF(AK146=summaryref2!B63,summaryref2!Q63,IF(AK146=summaryref2!B77,summaryref2!Q77,IF(AK146=summaryref2!B91,summaryref2!Q91,IF(AK146=summaryref2!B105,summaryref2!Q105,IF(AK146=summaryref2!B119,summaryref2!Q119,IF(AK146=summaryref2!B133,summaryref2!Q133,IF(AK146=summaryref2!B147,summaryref2!Q147,"")))))))))))</f>
        <v>#REF!</v>
      </c>
      <c r="BB146" s="1125" t="e">
        <f>IF('A-80 DirEntInv'!#REF!&lt;&gt;"",'A-80 DirEntInv'!#REF!,IF(AK146=summaryref2!B21,summaryref2!R21,IF(Summary!AK146=summaryref2!B35,summaryref2!R35,IF(AK146=summaryref2!B49,summaryref2!R49,IF(AK146=summaryref2!B63,summaryref2!R63,IF(AK146=summaryref2!B77,summaryref2!R77,IF(AK146=summaryref2!B91,summaryref2!R91,IF(AK146=summaryref2!B105,summaryref2!R105,IF(AK146=summaryref2!B119,summaryref2!R119,IF(AK146=summaryref2!B133,summaryref2!R133,IF(AK146=summaryref2!B147,summaryref2!R147,"")))))))))))</f>
        <v>#REF!</v>
      </c>
      <c r="BC146" s="1125" t="e">
        <f>IF('A-80 DirEntInv'!#REF!&lt;&gt;0,'A-80 DirEntInv'!#REF!,IF(AK146=summaryref2!B21,summaryref2!S21,IF(Summary!AK146=summaryref2!B35,summaryref2!S35,IF(AK146=summaryref2!B49,summaryref2!S49,IF(AK146=summaryref2!B63,summaryref2!S63,IF(AK146=summaryref2!B77,summaryref2!S77,IF(AK146=summaryref2!B91,summaryref2!S91,IF(AK146=summaryref2!B105,summaryref2!S105,IF(AK146=summaryref2!B119,summaryref2!S119,IF(AK146=summaryref2!B133,summaryref2!S133,IF(AK146=summaryref2!B147,summaryref2!S147,"")))))))))))</f>
        <v>#REF!</v>
      </c>
      <c r="BD146" s="1126" t="e">
        <f>IF('A-80 DirEntInv'!#REF!&lt;&gt;"",'A-80 DirEntInv'!#REF!,IF(AK146=summaryref2!B21,summaryref2!T21,IF(Summary!AK146=summaryref2!B35,summaryref2!T35,IF(AK146=summaryref2!B49,summaryref2!T49,IF(AK146=summaryref2!B63,summaryref2!T63,IF(AK146=summaryref2!B77,summaryref2!T77,IF(AK146=summaryref2!B91,summaryref2!T91,IF(AK146=summaryref2!B105,summaryref2!T105,IF(AK146=summaryref2!B119,summaryref2!T119,IF(AK146=summaryref2!B133,summaryref2!T133,IF(AK146=summaryref2!B147,summaryref2!T147,"")))))))))))</f>
        <v>#REF!</v>
      </c>
      <c r="BE146" s="1183" t="e">
        <f>IF('A-80 DirEntInv'!#REF!&lt;&gt;"",'A-80 DirEntInv'!#REF!,IF(AK146=summaryref2!B21,summaryref2!U21,IF(Summary!AK146=summaryref2!B35,summaryref2!U35,IF(AK146=summaryref2!B49,summaryref2!U49,IF(AK146=summaryref2!B63,summaryref2!U63,IF(AK146=summaryref2!B77,summaryref2!U77,IF(AK146=summaryref2!B91,summaryref2!U91,IF(AK146=summaryref2!B105,summaryref2!U105,IF(AK146=summaryref2!B119,summaryref2!U119,IF(AK146=summaryref2!B133,summaryref2!U133,IF(AK146=summaryref2!B147,summaryref2!U147,"")))))))))))</f>
        <v>#REF!</v>
      </c>
      <c r="BF146" s="1432"/>
      <c r="BG146" s="1432"/>
      <c r="BJ146" s="2041" t="s">
        <v>2338</v>
      </c>
      <c r="BK146" s="2041"/>
      <c r="BU146" s="962"/>
      <c r="CD146" s="589"/>
      <c r="CE146" s="590"/>
      <c r="CF146" s="590"/>
      <c r="CG146" s="590"/>
      <c r="CH146" s="590"/>
      <c r="CI146" s="590"/>
      <c r="CJ146" s="589"/>
      <c r="CK146" s="589"/>
      <c r="CL146" s="589"/>
      <c r="CM146" s="587"/>
      <c r="CN146" s="587"/>
      <c r="CO146" s="589"/>
      <c r="CP146" s="587"/>
      <c r="CQ146" s="592"/>
      <c r="CR146" s="589"/>
      <c r="CS146" s="592"/>
      <c r="CT146" s="589"/>
      <c r="CU146" s="589"/>
      <c r="CV146" s="589"/>
      <c r="CW146" s="587"/>
      <c r="CX146" s="590"/>
      <c r="CY146" s="590"/>
      <c r="CZ146" s="590"/>
      <c r="DA146" s="1054"/>
      <c r="DB146" s="1054"/>
      <c r="DC146" s="587"/>
      <c r="DD146" s="587"/>
    </row>
    <row r="147" spans="1:108" s="588" customFormat="1" x14ac:dyDescent="0.2">
      <c r="A147" s="589">
        <f t="shared" si="2"/>
        <v>137</v>
      </c>
      <c r="B147" s="587"/>
      <c r="C147" s="587"/>
      <c r="D147" s="587"/>
      <c r="J147" s="589"/>
      <c r="K147" s="590"/>
      <c r="L147" s="591"/>
      <c r="M147" s="592"/>
      <c r="N147" s="589"/>
      <c r="O147" s="587"/>
      <c r="R147" s="1052"/>
      <c r="S147" s="1052"/>
      <c r="T147" s="1052"/>
      <c r="U147" s="1052"/>
      <c r="V147" s="1052"/>
      <c r="W147" s="1053"/>
      <c r="X147" s="1053"/>
      <c r="Y147" s="1053"/>
      <c r="Z147" s="1052"/>
      <c r="AA147" s="1052"/>
      <c r="AB147" s="962"/>
      <c r="AC147" s="590"/>
      <c r="AD147" s="590"/>
      <c r="AE147" s="591"/>
      <c r="AF147" s="592"/>
      <c r="AG147" s="1053"/>
      <c r="AH147" s="587"/>
      <c r="AK147" s="1041" t="str">
        <f>Codes!$C$165</f>
        <v>LR - Light Rail (DO)</v>
      </c>
      <c r="AL147" s="1042" t="str">
        <f>Valid!$B$88</f>
        <v>Substation Equipment</v>
      </c>
      <c r="AM147" s="1187"/>
      <c r="AN147" s="1046"/>
      <c r="AO147" s="1187"/>
      <c r="AP147" s="1046"/>
      <c r="AQ147" s="1147" t="e">
        <f>IF('A-80 DirEntInv'!#REF!&lt;&gt;"",'A-80 DirEntInv'!#REF!,IF(AK147=summaryref2!B22,summaryref2!G22,IF(Summary!AK147=summaryref2!B36,summaryref2!G36,IF(AK147=summaryref2!B50,summaryref2!G50,IF(AK147=summaryref2!B64,summaryref2!G64,IF(AK147=summaryref2!B78,summaryref2!G78,IF(AK147=summaryref2!B92,summaryref2!G92,IF(AK147=summaryref2!B106,summaryref2!G106,IF(AK147=summaryref2!B120,summaryref2!G120,IF(AK147=summaryref2!B134,summaryref2!G134,IF(AK147=summaryref2!B148,summaryref2!G148,"")))))))))))</f>
        <v>#REF!</v>
      </c>
      <c r="AR147" s="1147" t="e">
        <f>IF('A-80 DirEntInv'!#REF!&lt;&gt;"",'A-80 DirEntInv'!#REF!,IF(AK147=summaryref2!B22,summaryref2!H22,IF(Summary!AK147=summaryref2!B36,summaryref2!H36,IF(AK147=summaryref2!B50,summaryref2!H50,IF(AK147=summaryref2!B64,summaryref2!H64,IF(AK147=summaryref2!B78,summaryref2!H78,IF(AK147=summaryref2!B92,summaryref2!H92,IF(AK147=summaryref2!B106,summaryref2!H106,IF(AK147=summaryref2!B120,summaryref2!H120,IF(AK147=summaryref2!B134,summaryref2!H134,IF(AK147=summaryref2!B148,summaryref2!H148,"")))))))))))</f>
        <v>#REF!</v>
      </c>
      <c r="AS147" s="1110" t="e">
        <f>IF('A-80 DirEntInv'!#REF!&lt;&gt;"",'A-80 DirEntInv'!#REF!,IF(AK147=summaryref2!B22,summaryref2!I22,IF(Summary!AK147=summaryref2!B36,summaryref2!I36,IF(AK147=summaryref2!B50,summaryref2!I50,IF(AK147=summaryref2!B64,summaryref2!I64,IF(AK147=summaryref2!B78,summaryref2!I78,IF(AK147=summaryref2!B92,summaryref2!I92,IF(AK147=summaryref2!B106,summaryref2!I106,IF(AK147=summaryref2!B120,summaryref2!I120,IF(AK147=summaryref2!B134,summaryref2!I134,IF(AK147=summaryref2!B148,summaryref2!I148,"")))))))))))</f>
        <v>#REF!</v>
      </c>
      <c r="AT147" s="1110" t="e">
        <f>IF('A-80 DirEntInv'!#REF!&lt;&gt;"",'A-80 DirEntInv'!#REF!,IF(AK147=summaryref2!B22,summaryref2!J22,IF(Summary!AK147=summaryref2!B36,summaryref2!J36,IF(AK147=summaryref2!B50,summaryref2!J50,IF(AK147=summaryref2!B64,summaryref2!J64,IF(AK147=summaryref2!B78,summaryref2!J78,IF(AK147=summaryref2!B92,summaryref2!J92,IF(AK147=summaryref2!B106,summaryref2!J106,IF(AK147=summaryref2!B120,summaryref2!J120,IF(AK147=summaryref2!B134,summaryref2!J134,IF(AK147=summaryref2!B148,summaryref2!J148,"")))))))))))</f>
        <v>#REF!</v>
      </c>
      <c r="AU147" s="1110" t="e">
        <f>IF('A-80 DirEntInv'!#REF!&lt;&gt;"",'A-80 DirEntInv'!#REF!,IF(AK147=summaryref2!B22,summaryref2!K22,IF(Summary!AK147=summaryref2!B36,summaryref2!K36,IF(AK147=summaryref2!B50,summaryref2!K50,IF(AK147=summaryref2!B64,summaryref2!K64,IF(AK147=summaryref2!B78,summaryref2!K78,IF(AK147=summaryref2!B92,summaryref2!K92,IF(AK147=summaryref2!B106,summaryref2!K106,IF(AK147=summaryref2!B120,summaryref2!K120,IF(AK147=summaryref2!B134,summaryref2!K134,IF(AK147=summaryref2!B148,summaryref2!K148,"")))))))))))</f>
        <v>#REF!</v>
      </c>
      <c r="AV147" s="1110" t="e">
        <f>IF('A-80 DirEntInv'!#REF!&lt;&gt;"",'A-80 DirEntInv'!#REF!,IF(AK147=summaryref2!B22,summaryref2!L22,IF(Summary!AK147=summaryref2!B36,summaryref2!L36,IF(AK147=summaryref2!B50,summaryref2!L50,IF(AK147=summaryref2!B64,summaryref2!L64,IF(AK147=summaryref2!B78,summaryref2!L78,IF(AK147=summaryref2!B92,summaryref2!L92,IF(AK147=summaryref2!B106,summaryref2!L106,IF(AK147=summaryref2!B120,summaryref2!L120,IF(AK147=summaryref2!B134,summaryref2!L134,IF(AK147=summaryref2!B148,summaryref2!L148,"")))))))))))</f>
        <v>#REF!</v>
      </c>
      <c r="AW147" s="1110" t="e">
        <f>IF('A-80 DirEntInv'!#REF!&lt;&gt;"",'A-80 DirEntInv'!#REF!,IF(AK147=summaryref2!B22,summaryref2!M22,IF(Summary!AK147=summaryref2!B36,summaryref2!M36,IF(AK147=summaryref2!B50,summaryref2!M50,IF(AK147=summaryref2!B64,summaryref2!M64,IF(AK147=summaryref2!B78,summaryref2!M78,IF(AK147=summaryref2!B92,summaryref2!M92,IF(AK147=summaryref2!B106,summaryref2!M106,IF(AK147=summaryref2!B120,summaryref2!M120,IF(AK147=summaryref2!B134,summaryref2!M134,IF(AK147=summaryref2!B148,summaryref2!M148,"")))))))))))</f>
        <v>#REF!</v>
      </c>
      <c r="AX147" s="1110" t="e">
        <f>IF('A-80 DirEntInv'!#REF!&lt;&gt;"",'A-80 DirEntInv'!#REF!,IF(AK147=summaryref2!B22,summaryref2!N22,IF(Summary!AK147=summaryref2!B36,summaryref2!N36,IF(AK147=summaryref2!B50,summaryref2!N50,IF(AK147=summaryref2!B64,summaryref2!N64,IF(AK147=summaryref2!B78,summaryref2!N78,IF(AK147=summaryref2!B92,summaryref2!N92,IF(AK147=summaryref2!B106,summaryref2!N106,IF(AK147=summaryref2!B120,summaryref2!N120,IF(AK147=summaryref2!B134,summaryref2!N134,IF(AK147=summaryref2!B148,summaryref2!N148,"")))))))))))</f>
        <v>#REF!</v>
      </c>
      <c r="AY147" s="1110" t="e">
        <f>IF('A-80 DirEntInv'!#REF!&lt;&gt;"",'A-80 DirEntInv'!#REF!,IF(AK147=summaryref2!B22,summaryref2!O22,IF(Summary!AK147=summaryref2!B36,summaryref2!O36,IF(AK147=summaryref2!B50,summaryref2!O50,IF(AK147=summaryref2!B64,summaryref2!O64,IF(AK147=summaryref2!B78,summaryref2!O78,IF(AK147=summaryref2!B92,summaryref2!O92,IF(AK147=summaryref2!B106,summaryref2!O106,IF(AK147=summaryref2!B120,summaryref2!O120,IF(AK147=summaryref2!B134,summaryref2!O134,IF(AK147=summaryref2!B148,summaryref2!O148,"")))))))))))</f>
        <v>#REF!</v>
      </c>
      <c r="AZ147" s="1110" t="e">
        <f>IF('A-80 DirEntInv'!#REF!&lt;&gt;"",'A-80 DirEntInv'!#REF!,IF(AK147=summaryref2!B22,summaryref2!P22,IF(Summary!AK147=summaryref2!B36,summaryref2!P36,IF(AK147=summaryref2!B50,summaryref2!P50,IF(AK147=summaryref2!B64,summaryref2!P64,IF(AK147=summaryref2!B78,summaryref2!P78,IF(AK147=summaryref2!B92,summaryref2!P92,IF(AK147=summaryref2!B106,summaryref2!P106,IF(AK147=summaryref2!B120,summaryref2!P120,IF(AK147=summaryref2!B134,summaryref2!P134,IF(AK147=summaryref2!B148,summaryref2!P148,"")))))))))))</f>
        <v>#REF!</v>
      </c>
      <c r="BA147" s="1110" t="e">
        <f>IF('A-80 DirEntInv'!#REF!&lt;&gt;"",'A-80 DirEntInv'!#REF!,IF(AK147=summaryref2!B22,summaryref2!Q22,IF(Summary!AK147=summaryref2!B36,summaryref2!Q36,IF(AK147=summaryref2!B50,summaryref2!Q50,IF(AK147=summaryref2!B64,summaryref2!Q64,IF(AK147=summaryref2!B78,summaryref2!Q78,IF(AK147=summaryref2!B92,summaryref2!Q92,IF(AK147=summaryref2!B106,summaryref2!Q106,IF(AK147=summaryref2!B120,summaryref2!Q120,IF(AK147=summaryref2!B134,summaryref2!Q134,IF(AK147=summaryref2!B148,summaryref2!Q148,"")))))))))))</f>
        <v>#REF!</v>
      </c>
      <c r="BB147" s="1110" t="e">
        <f>IF('A-80 DirEntInv'!#REF!&lt;&gt;"",'A-80 DirEntInv'!#REF!,IF(AK147=summaryref2!B22,summaryref2!R22,IF(Summary!AK147=summaryref2!B36,summaryref2!R36,IF(AK147=summaryref2!B50,summaryref2!R50,IF(AK147=summaryref2!B64,summaryref2!R64,IF(AK147=summaryref2!B78,summaryref2!R78,IF(AK147=summaryref2!B92,summaryref2!R92,IF(AK147=summaryref2!B106,summaryref2!R106,IF(AK147=summaryref2!B120,summaryref2!R120,IF(AK147=summaryref2!B134,summaryref2!R134,IF(AK147=summaryref2!B148,summaryref2!R148,"")))))))))))</f>
        <v>#REF!</v>
      </c>
      <c r="BC147" s="1110" t="e">
        <f>IF('A-80 DirEntInv'!#REF!&lt;&gt;0,'A-80 DirEntInv'!#REF!,IF(AK147=summaryref2!B22,summaryref2!S22,IF(Summary!AK147=summaryref2!B36,summaryref2!S36,IF(AK147=summaryref2!B50,summaryref2!S50,IF(AK147=summaryref2!B64,summaryref2!S64,IF(AK147=summaryref2!B78,summaryref2!S78,IF(AK147=summaryref2!B92,summaryref2!S92,IF(AK147=summaryref2!B106,summaryref2!S106,IF(AK147=summaryref2!B120,summaryref2!S120,IF(AK147=summaryref2!B134,summaryref2!S134,IF(AK147=summaryref2!B148,summaryref2!S148,"")))))))))))</f>
        <v>#REF!</v>
      </c>
      <c r="BD147" s="1111" t="e">
        <f>IF('A-80 DirEntInv'!#REF!&lt;&gt;"",'A-80 DirEntInv'!#REF!,IF(AK147=summaryref2!B22,summaryref2!T22,IF(Summary!AK147=summaryref2!B36,summaryref2!T36,IF(AK147=summaryref2!B50,summaryref2!T50,IF(AK147=summaryref2!B64,summaryref2!T64,IF(AK147=summaryref2!B78,summaryref2!T78,IF(AK147=summaryref2!B92,summaryref2!T92,IF(AK147=summaryref2!B106,summaryref2!T106,IF(AK147=summaryref2!B120,summaryref2!T120,IF(AK147=summaryref2!B134,summaryref2!T134,IF(AK147=summaryref2!B148,summaryref2!T148,"")))))))))))</f>
        <v>#REF!</v>
      </c>
      <c r="BE147" s="1184" t="e">
        <f>IF('A-80 DirEntInv'!#REF!&lt;&gt;"",'A-80 DirEntInv'!#REF!,IF(AK147=summaryref2!B22,summaryref2!U22,IF(Summary!AK147=summaryref2!B36,summaryref2!U36,IF(AK147=summaryref2!B50,summaryref2!U50,IF(AK147=summaryref2!B64,summaryref2!U64,IF(AK147=summaryref2!B78,summaryref2!U78,IF(AK147=summaryref2!B92,summaryref2!U92,IF(AK147=summaryref2!B106,summaryref2!U106,IF(AK147=summaryref2!B120,summaryref2!U120,IF(AK147=summaryref2!B134,summaryref2!U134,IF(AK147=summaryref2!B148,summaryref2!U148,"")))))))))))</f>
        <v>#REF!</v>
      </c>
      <c r="BF147" s="1432"/>
      <c r="BG147" s="1432"/>
      <c r="BJ147" s="1430" t="s">
        <v>2164</v>
      </c>
      <c r="BK147" s="1433" t="s">
        <v>2339</v>
      </c>
      <c r="BU147" s="962"/>
      <c r="CD147" s="589"/>
      <c r="CE147" s="590"/>
      <c r="CF147" s="590"/>
      <c r="CG147" s="590"/>
      <c r="CH147" s="590"/>
      <c r="CI147" s="590"/>
      <c r="CJ147" s="589"/>
      <c r="CK147" s="589"/>
      <c r="CL147" s="589"/>
      <c r="CM147" s="587"/>
      <c r="CN147" s="587"/>
      <c r="CO147" s="589"/>
      <c r="CP147" s="587"/>
      <c r="CQ147" s="592"/>
      <c r="CR147" s="589"/>
      <c r="CS147" s="592"/>
      <c r="CT147" s="589"/>
      <c r="CU147" s="589"/>
      <c r="CV147" s="589"/>
      <c r="CW147" s="587"/>
      <c r="CX147" s="590"/>
      <c r="CY147" s="590"/>
      <c r="CZ147" s="590"/>
      <c r="DA147" s="1054"/>
      <c r="DB147" s="1054"/>
      <c r="DC147" s="587"/>
      <c r="DD147" s="587"/>
    </row>
    <row r="148" spans="1:108" s="588" customFormat="1" x14ac:dyDescent="0.2">
      <c r="A148" s="589">
        <f t="shared" si="2"/>
        <v>138</v>
      </c>
      <c r="B148" s="587"/>
      <c r="C148" s="587"/>
      <c r="D148" s="587"/>
      <c r="J148" s="589"/>
      <c r="K148" s="590"/>
      <c r="L148" s="591"/>
      <c r="M148" s="592"/>
      <c r="N148" s="589"/>
      <c r="O148" s="587"/>
      <c r="R148" s="1052"/>
      <c r="S148" s="1052"/>
      <c r="T148" s="1052"/>
      <c r="U148" s="1052"/>
      <c r="V148" s="1052"/>
      <c r="W148" s="1053"/>
      <c r="X148" s="1053"/>
      <c r="Y148" s="1053"/>
      <c r="Z148" s="1052"/>
      <c r="AA148" s="1052"/>
      <c r="AB148" s="962"/>
      <c r="AC148" s="590"/>
      <c r="AD148" s="590"/>
      <c r="AE148" s="591"/>
      <c r="AF148" s="592"/>
      <c r="AG148" s="1053"/>
      <c r="AH148" s="587"/>
      <c r="AK148" s="1041" t="str">
        <f>Codes!$C$165</f>
        <v>LR - Light Rail (DO)</v>
      </c>
      <c r="AL148" s="1042" t="str">
        <f>Valid!$B$89</f>
        <v>Third Rail/Power Distribution</v>
      </c>
      <c r="AM148" s="1108"/>
      <c r="AN148" s="1042"/>
      <c r="AO148" s="1108"/>
      <c r="AP148" s="1042"/>
      <c r="AQ148" s="1147" t="e">
        <f>IF('A-80 DirEntInv'!#REF!&lt;&gt;"",'A-80 DirEntInv'!#REF!,IF(AK148=summaryref2!B23,summaryref2!G23,IF(Summary!AK148=summaryref2!B37,summaryref2!G37,IF(AK148=summaryref2!B51,summaryref2!G51,IF(AK148=summaryref2!B65,summaryref2!G65,IF(AK148=summaryref2!B79,summaryref2!G79,IF(AK148=summaryref2!B93,summaryref2!G93,IF(AK148=summaryref2!B107,summaryref2!G107,IF(AK148=summaryref2!B121,summaryref2!G121,IF(AK148=summaryref2!B135,summaryref2!G135,IF(AK148=summaryref2!B149,summaryref2!G149,"")))))))))))</f>
        <v>#REF!</v>
      </c>
      <c r="AR148" s="1147" t="e">
        <f>IF('A-80 DirEntInv'!#REF!&lt;&gt;"",'A-80 DirEntInv'!#REF!,IF(AK148=summaryref2!B23,summaryref2!H23,IF(Summary!AK148=summaryref2!B37,summaryref2!H37,IF(AK148=summaryref2!B51,summaryref2!H51,IF(AK148=summaryref2!B65,summaryref2!H65,IF(AK148=summaryref2!B79,summaryref2!H79,IF(AK148=summaryref2!B93,summaryref2!H93,IF(AK148=summaryref2!B107,summaryref2!H107,IF(AK148=summaryref2!B121,summaryref2!H121,IF(AK148=summaryref2!B135,summaryref2!H135,IF(AK148=summaryref2!B149,summaryref2!H149,"")))))))))))</f>
        <v>#REF!</v>
      </c>
      <c r="AS148" s="1110" t="e">
        <f>IF('A-80 DirEntInv'!#REF!&lt;&gt;"",'A-80 DirEntInv'!#REF!,IF(AK148=summaryref2!B23,summaryref2!I23,IF(Summary!AK148=summaryref2!B37,summaryref2!I37,IF(AK148=summaryref2!B51,summaryref2!I51,IF(AK148=summaryref2!B65,summaryref2!I65,IF(AK148=summaryref2!B79,summaryref2!I79,IF(AK148=summaryref2!B93,summaryref2!I93,IF(AK148=summaryref2!B107,summaryref2!I107,IF(AK148=summaryref2!B121,summaryref2!I121,IF(AK148=summaryref2!B135,summaryref2!I135,IF(AK148=summaryref2!B149,summaryref2!I149,"")))))))))))</f>
        <v>#REF!</v>
      </c>
      <c r="AT148" s="1110" t="e">
        <f>IF('A-80 DirEntInv'!#REF!&lt;&gt;"",'A-80 DirEntInv'!#REF!,IF(AK148=summaryref2!B23,summaryref2!J23,IF(Summary!AK148=summaryref2!B37,summaryref2!J37,IF(AK148=summaryref2!B51,summaryref2!J51,IF(AK148=summaryref2!B65,summaryref2!J65,IF(AK148=summaryref2!B79,summaryref2!J79,IF(AK148=summaryref2!B93,summaryref2!J93,IF(AK148=summaryref2!B107,summaryref2!J107,IF(AK148=summaryref2!B121,summaryref2!J121,IF(AK148=summaryref2!B135,summaryref2!J135,IF(AK148=summaryref2!B149,summaryref2!J149,"")))))))))))</f>
        <v>#REF!</v>
      </c>
      <c r="AU148" s="1110" t="e">
        <f>IF('A-80 DirEntInv'!#REF!&lt;&gt;"",'A-80 DirEntInv'!#REF!,IF(AK148=summaryref2!B23,summaryref2!K23,IF(Summary!AK148=summaryref2!B37,summaryref2!K37,IF(AK148=summaryref2!B51,summaryref2!K51,IF(AK148=summaryref2!B65,summaryref2!K65,IF(AK148=summaryref2!B79,summaryref2!K79,IF(AK148=summaryref2!B93,summaryref2!K93,IF(AK148=summaryref2!B107,summaryref2!K107,IF(AK148=summaryref2!B121,summaryref2!K121,IF(AK148=summaryref2!B135,summaryref2!K135,IF(AK148=summaryref2!B149,summaryref2!K149,"")))))))))))</f>
        <v>#REF!</v>
      </c>
      <c r="AV148" s="1110" t="e">
        <f>IF('A-80 DirEntInv'!#REF!&lt;&gt;"",'A-80 DirEntInv'!#REF!,IF(AK148=summaryref2!B23,summaryref2!L23,IF(Summary!AK148=summaryref2!B37,summaryref2!L37,IF(AK148=summaryref2!B51,summaryref2!L51,IF(AK148=summaryref2!B65,summaryref2!L65,IF(AK148=summaryref2!B79,summaryref2!L79,IF(AK148=summaryref2!B93,summaryref2!L93,IF(AK148=summaryref2!B107,summaryref2!L107,IF(AK148=summaryref2!B121,summaryref2!L121,IF(AK148=summaryref2!B135,summaryref2!L135,IF(AK148=summaryref2!B149,summaryref2!L149,"")))))))))))</f>
        <v>#REF!</v>
      </c>
      <c r="AW148" s="1110" t="e">
        <f>IF('A-80 DirEntInv'!#REF!&lt;&gt;"",'A-80 DirEntInv'!#REF!,IF(AK148=summaryref2!B23,summaryref2!M23,IF(Summary!AK148=summaryref2!B37,summaryref2!M37,IF(AK148=summaryref2!B51,summaryref2!M51,IF(AK148=summaryref2!B65,summaryref2!M65,IF(AK148=summaryref2!B79,summaryref2!M79,IF(AK148=summaryref2!B93,summaryref2!M93,IF(AK148=summaryref2!B107,summaryref2!M107,IF(AK148=summaryref2!B121,summaryref2!M121,IF(AK148=summaryref2!B135,summaryref2!M135,IF(AK148=summaryref2!B149,summaryref2!M149,"")))))))))))</f>
        <v>#REF!</v>
      </c>
      <c r="AX148" s="1110" t="e">
        <f>IF('A-80 DirEntInv'!#REF!&lt;&gt;"",'A-80 DirEntInv'!#REF!,IF(AK148=summaryref2!B23,summaryref2!N23,IF(Summary!AK148=summaryref2!B37,summaryref2!N37,IF(AK148=summaryref2!B51,summaryref2!N51,IF(AK148=summaryref2!B65,summaryref2!N65,IF(AK148=summaryref2!B79,summaryref2!N79,IF(AK148=summaryref2!B93,summaryref2!N93,IF(AK148=summaryref2!B107,summaryref2!N107,IF(AK148=summaryref2!B121,summaryref2!N121,IF(AK148=summaryref2!B135,summaryref2!N135,IF(AK148=summaryref2!B149,summaryref2!N149,"")))))))))))</f>
        <v>#REF!</v>
      </c>
      <c r="AY148" s="1110" t="e">
        <f>IF('A-80 DirEntInv'!#REF!&lt;&gt;"",'A-80 DirEntInv'!#REF!,IF(AK148=summaryref2!B23,summaryref2!O23,IF(Summary!AK148=summaryref2!B37,summaryref2!O37,IF(AK148=summaryref2!B51,summaryref2!O51,IF(AK148=summaryref2!B65,summaryref2!O65,IF(AK148=summaryref2!B79,summaryref2!O79,IF(AK148=summaryref2!B93,summaryref2!O93,IF(AK148=summaryref2!B107,summaryref2!O107,IF(AK148=summaryref2!B121,summaryref2!O121,IF(AK148=summaryref2!B135,summaryref2!O135,IF(AK148=summaryref2!B149,summaryref2!O149,"")))))))))))</f>
        <v>#REF!</v>
      </c>
      <c r="AZ148" s="1110" t="e">
        <f>IF('A-80 DirEntInv'!#REF!&lt;&gt;"",'A-80 DirEntInv'!#REF!,IF(AK148=summaryref2!B23,summaryref2!P23,IF(Summary!AK148=summaryref2!B37,summaryref2!P37,IF(AK148=summaryref2!B51,summaryref2!P51,IF(AK148=summaryref2!B65,summaryref2!P65,IF(AK148=summaryref2!B79,summaryref2!P79,IF(AK148=summaryref2!B93,summaryref2!P93,IF(AK148=summaryref2!B107,summaryref2!P107,IF(AK148=summaryref2!B121,summaryref2!P121,IF(AK148=summaryref2!B135,summaryref2!P135,IF(AK148=summaryref2!B149,summaryref2!P149,"")))))))))))</f>
        <v>#REF!</v>
      </c>
      <c r="BA148" s="1110" t="e">
        <f>IF('A-80 DirEntInv'!#REF!&lt;&gt;"",'A-80 DirEntInv'!#REF!,IF(AK148=summaryref2!B23,summaryref2!Q23,IF(Summary!AK148=summaryref2!B37,summaryref2!Q37,IF(AK148=summaryref2!B51,summaryref2!Q51,IF(AK148=summaryref2!B65,summaryref2!Q65,IF(AK148=summaryref2!B79,summaryref2!Q79,IF(AK148=summaryref2!B93,summaryref2!Q93,IF(AK148=summaryref2!B107,summaryref2!Q107,IF(AK148=summaryref2!B121,summaryref2!Q121,IF(AK148=summaryref2!B135,summaryref2!Q135,IF(AK148=summaryref2!B149,summaryref2!Q149,"")))))))))))</f>
        <v>#REF!</v>
      </c>
      <c r="BB148" s="1110" t="e">
        <f>IF('A-80 DirEntInv'!#REF!&lt;&gt;"",'A-80 DirEntInv'!#REF!,IF(AK148=summaryref2!B23,summaryref2!R23,IF(Summary!AK148=summaryref2!B37,summaryref2!R37,IF(AK148=summaryref2!B51,summaryref2!R51,IF(AK148=summaryref2!B65,summaryref2!R65,IF(AK148=summaryref2!B79,summaryref2!R79,IF(AK148=summaryref2!B93,summaryref2!R93,IF(AK148=summaryref2!B107,summaryref2!R107,IF(AK148=summaryref2!B121,summaryref2!R121,IF(AK148=summaryref2!B135,summaryref2!R135,IF(AK148=summaryref2!B149,summaryref2!R149,"")))))))))))</f>
        <v>#REF!</v>
      </c>
      <c r="BC148" s="1110" t="e">
        <f>IF('A-80 DirEntInv'!#REF!&lt;&gt;0,'A-80 DirEntInv'!#REF!,IF(AK148=summaryref2!B23,summaryref2!S23,IF(Summary!AK148=summaryref2!B37,summaryref2!S37,IF(AK148=summaryref2!B51,summaryref2!S51,IF(AK148=summaryref2!B65,summaryref2!S65,IF(AK148=summaryref2!B79,summaryref2!S79,IF(AK148=summaryref2!B93,summaryref2!S93,IF(AK148=summaryref2!B107,summaryref2!S107,IF(AK148=summaryref2!B121,summaryref2!S121,IF(AK148=summaryref2!B135,summaryref2!S135,IF(AK148=summaryref2!B149,summaryref2!S149,"")))))))))))</f>
        <v>#REF!</v>
      </c>
      <c r="BD148" s="1111" t="e">
        <f>IF('A-80 DirEntInv'!#REF!&lt;&gt;"",'A-80 DirEntInv'!#REF!,IF(AK148=summaryref2!B23,summaryref2!T23,IF(Summary!AK148=summaryref2!B37,summaryref2!T37,IF(AK148=summaryref2!B51,summaryref2!T51,IF(AK148=summaryref2!B65,summaryref2!T65,IF(AK148=summaryref2!B79,summaryref2!T79,IF(AK148=summaryref2!B93,summaryref2!T93,IF(AK148=summaryref2!B107,summaryref2!T107,IF(AK148=summaryref2!B121,summaryref2!T121,IF(AK148=summaryref2!B135,summaryref2!T135,IF(AK148=summaryref2!B149,summaryref2!T149,"")))))))))))</f>
        <v>#REF!</v>
      </c>
      <c r="BE148" s="1184" t="e">
        <f>IF('A-80 DirEntInv'!#REF!&lt;&gt;"",'A-80 DirEntInv'!#REF!,IF(AK148=summaryref2!B23,summaryref2!U23,IF(Summary!AK148=summaryref2!B37,summaryref2!U37,IF(AK148=summaryref2!B51,summaryref2!U51,IF(AK148=summaryref2!B65,summaryref2!U65,IF(AK148=summaryref2!B79,summaryref2!U79,IF(AK148=summaryref2!B93,summaryref2!U93,IF(AK148=summaryref2!B107,summaryref2!U107,IF(AK148=summaryref2!B121,summaryref2!U121,IF(AK148=summaryref2!B135,summaryref2!U135,IF(AK148=summaryref2!B149,summaryref2!U149,"")))))))))))</f>
        <v>#REF!</v>
      </c>
      <c r="BF148" s="1432"/>
      <c r="BG148" s="1432"/>
      <c r="BJ148" s="1041" t="s">
        <v>2202</v>
      </c>
      <c r="BK148" s="1384" t="e">
        <f>IF('A-80 DirEntInv'!#REF!&lt;&gt;"",'A-80 DirEntInv'!#REF!,VLOOKUP(Summary!BJ148,Codes!$L$181:$L$199,2,FALSE))</f>
        <v>#REF!</v>
      </c>
      <c r="BU148" s="962"/>
      <c r="CD148" s="589"/>
      <c r="CE148" s="590"/>
      <c r="CF148" s="590"/>
      <c r="CG148" s="590"/>
      <c r="CH148" s="590"/>
      <c r="CI148" s="590"/>
      <c r="CJ148" s="589"/>
      <c r="CK148" s="589"/>
      <c r="CL148" s="589"/>
      <c r="CM148" s="587"/>
      <c r="CN148" s="587"/>
      <c r="CO148" s="589"/>
      <c r="CP148" s="587"/>
      <c r="CQ148" s="592"/>
      <c r="CR148" s="589"/>
      <c r="CS148" s="592"/>
      <c r="CT148" s="589"/>
      <c r="CU148" s="589"/>
      <c r="CV148" s="589"/>
      <c r="CW148" s="587"/>
      <c r="CX148" s="590"/>
      <c r="CY148" s="590"/>
      <c r="CZ148" s="590"/>
      <c r="DA148" s="1054"/>
      <c r="DB148" s="1054"/>
      <c r="DC148" s="587"/>
      <c r="DD148" s="587"/>
    </row>
    <row r="149" spans="1:108" s="588" customFormat="1" x14ac:dyDescent="0.2">
      <c r="A149" s="589">
        <f t="shared" si="2"/>
        <v>139</v>
      </c>
      <c r="B149" s="587"/>
      <c r="C149" s="587"/>
      <c r="D149" s="587"/>
      <c r="J149" s="589"/>
      <c r="K149" s="590"/>
      <c r="L149" s="591"/>
      <c r="M149" s="592"/>
      <c r="N149" s="589"/>
      <c r="O149" s="587"/>
      <c r="R149" s="1052"/>
      <c r="S149" s="1052"/>
      <c r="T149" s="1052"/>
      <c r="U149" s="1052"/>
      <c r="V149" s="1052"/>
      <c r="W149" s="1053"/>
      <c r="X149" s="1053"/>
      <c r="Y149" s="1053"/>
      <c r="Z149" s="1052"/>
      <c r="AA149" s="1052"/>
      <c r="AB149" s="962"/>
      <c r="AC149" s="590"/>
      <c r="AD149" s="590"/>
      <c r="AE149" s="591"/>
      <c r="AF149" s="592"/>
      <c r="AG149" s="1053"/>
      <c r="AH149" s="587"/>
      <c r="AK149" s="1041" t="str">
        <f>Codes!$C$165</f>
        <v>LR - Light Rail (DO)</v>
      </c>
      <c r="AL149" s="1042" t="str">
        <f>Valid!$B$90</f>
        <v>Overhead Contact System/Power Distribution</v>
      </c>
      <c r="AM149" s="1108"/>
      <c r="AN149" s="1042"/>
      <c r="AO149" s="1108"/>
      <c r="AP149" s="1042"/>
      <c r="AQ149" s="1147" t="e">
        <f>IF('A-80 DirEntInv'!#REF!&lt;&gt;"",'A-80 DirEntInv'!#REF!,IF(AK149=summaryref2!B24,summaryref2!G24,IF(Summary!AK149=summaryref2!B38,summaryref2!G38,IF(AK149=summaryref2!B52,summaryref2!G52,IF(AK149=summaryref2!B66,summaryref2!G66,IF(AK149=summaryref2!B80,summaryref2!G80,IF(AK149=summaryref2!B94,summaryref2!G94,IF(AK149=summaryref2!B108,summaryref2!G108,IF(AK149=summaryref2!B122,summaryref2!G122,IF(AK149=summaryref2!B136,summaryref2!G136,IF(AK149=summaryref2!B150,summaryref2!G150,"")))))))))))</f>
        <v>#REF!</v>
      </c>
      <c r="AR149" s="1147" t="e">
        <f>IF('A-80 DirEntInv'!#REF!&lt;&gt;"",'A-80 DirEntInv'!#REF!,IF(AK149=summaryref2!B24,summaryref2!H24,IF(Summary!AK149=summaryref2!B38,summaryref2!H38,IF(AK149=summaryref2!B52,summaryref2!H52,IF(AK149=summaryref2!B66,summaryref2!H66,IF(AK149=summaryref2!B80,summaryref2!H80,IF(AK149=summaryref2!B94,summaryref2!H94,IF(AK149=summaryref2!B108,summaryref2!H108,IF(AK149=summaryref2!B122,summaryref2!H122,IF(AK149=summaryref2!B136,summaryref2!H136,IF(AK149=summaryref2!B150,summaryref2!H150,"")))))))))))</f>
        <v>#REF!</v>
      </c>
      <c r="AS149" s="1110" t="e">
        <f>IF('A-80 DirEntInv'!#REF!&lt;&gt;"",'A-80 DirEntInv'!#REF!,IF(AK149=summaryref2!B24,summaryref2!I24,IF(Summary!AK149=summaryref2!B38,summaryref2!I38,IF(AK149=summaryref2!B52,summaryref2!I52,IF(AK149=summaryref2!B66,summaryref2!I66,IF(AK149=summaryref2!B80,summaryref2!I80,IF(AK149=summaryref2!B94,summaryref2!I94,IF(AK149=summaryref2!B108,summaryref2!I108,IF(AK149=summaryref2!B122,summaryref2!I122,IF(AK149=summaryref2!B136,summaryref2!I136,IF(AK149=summaryref2!B150,summaryref2!I150,"")))))))))))</f>
        <v>#REF!</v>
      </c>
      <c r="AT149" s="1110" t="e">
        <f>IF('A-80 DirEntInv'!#REF!&lt;&gt;"",'A-80 DirEntInv'!#REF!,IF(AK149=summaryref2!B24,summaryref2!J24,IF(Summary!AK149=summaryref2!B38,summaryref2!J38,IF(AK149=summaryref2!B52,summaryref2!J52,IF(AK149=summaryref2!B66,summaryref2!J66,IF(AK149=summaryref2!B80,summaryref2!J80,IF(AK149=summaryref2!B94,summaryref2!J94,IF(AK149=summaryref2!B108,summaryref2!J108,IF(AK149=summaryref2!B122,summaryref2!J122,IF(AK149=summaryref2!B136,summaryref2!J136,IF(AK149=summaryref2!B150,summaryref2!J150,"")))))))))))</f>
        <v>#REF!</v>
      </c>
      <c r="AU149" s="1110" t="e">
        <f>IF('A-80 DirEntInv'!#REF!&lt;&gt;"",'A-80 DirEntInv'!#REF!,IF(AK149=summaryref2!B24,summaryref2!K24,IF(Summary!AK149=summaryref2!B38,summaryref2!K38,IF(AK149=summaryref2!B52,summaryref2!K52,IF(AK149=summaryref2!B66,summaryref2!K66,IF(AK149=summaryref2!B80,summaryref2!K80,IF(AK149=summaryref2!B94,summaryref2!K94,IF(AK149=summaryref2!B108,summaryref2!K108,IF(AK149=summaryref2!B122,summaryref2!K122,IF(AK149=summaryref2!B136,summaryref2!K136,IF(AK149=summaryref2!B150,summaryref2!K150,"")))))))))))</f>
        <v>#REF!</v>
      </c>
      <c r="AV149" s="1110" t="e">
        <f>IF('A-80 DirEntInv'!#REF!&lt;&gt;"",'A-80 DirEntInv'!#REF!,IF(AK149=summaryref2!B24,summaryref2!L24,IF(Summary!AK149=summaryref2!B38,summaryref2!L38,IF(AK149=summaryref2!B52,summaryref2!L52,IF(AK149=summaryref2!B66,summaryref2!L66,IF(AK149=summaryref2!B80,summaryref2!L80,IF(AK149=summaryref2!B94,summaryref2!L94,IF(AK149=summaryref2!B108,summaryref2!L108,IF(AK149=summaryref2!B122,summaryref2!L122,IF(AK149=summaryref2!B136,summaryref2!L136,IF(AK149=summaryref2!B150,summaryref2!L150,"")))))))))))</f>
        <v>#REF!</v>
      </c>
      <c r="AW149" s="1110" t="e">
        <f>IF('A-80 DirEntInv'!#REF!&lt;&gt;"",'A-80 DirEntInv'!#REF!,IF(AK149=summaryref2!B24,summaryref2!M24,IF(Summary!AK149=summaryref2!B38,summaryref2!M38,IF(AK149=summaryref2!B52,summaryref2!M52,IF(AK149=summaryref2!B66,summaryref2!M66,IF(AK149=summaryref2!B80,summaryref2!M80,IF(AK149=summaryref2!B94,summaryref2!M94,IF(AK149=summaryref2!B108,summaryref2!M108,IF(AK149=summaryref2!B122,summaryref2!M122,IF(AK149=summaryref2!B136,summaryref2!M136,IF(AK149=summaryref2!B150,summaryref2!M150,"")))))))))))</f>
        <v>#REF!</v>
      </c>
      <c r="AX149" s="1110" t="e">
        <f>IF('A-80 DirEntInv'!#REF!&lt;&gt;"",'A-80 DirEntInv'!#REF!,IF(AK149=summaryref2!B24,summaryref2!N24,IF(Summary!AK149=summaryref2!B38,summaryref2!N38,IF(AK149=summaryref2!B52,summaryref2!N52,IF(AK149=summaryref2!B66,summaryref2!N66,IF(AK149=summaryref2!B80,summaryref2!N80,IF(AK149=summaryref2!B94,summaryref2!N94,IF(AK149=summaryref2!B108,summaryref2!N108,IF(AK149=summaryref2!B122,summaryref2!N122,IF(AK149=summaryref2!B136,summaryref2!N136,IF(AK149=summaryref2!B150,summaryref2!N150,"")))))))))))</f>
        <v>#REF!</v>
      </c>
      <c r="AY149" s="1110" t="e">
        <f>IF('A-80 DirEntInv'!#REF!&lt;&gt;"",'A-80 DirEntInv'!#REF!,IF(AK149=summaryref2!B24,summaryref2!O24,IF(Summary!AK149=summaryref2!B38,summaryref2!O38,IF(AK149=summaryref2!B52,summaryref2!O52,IF(AK149=summaryref2!B66,summaryref2!O66,IF(AK149=summaryref2!B80,summaryref2!O80,IF(AK149=summaryref2!B94,summaryref2!O94,IF(AK149=summaryref2!B108,summaryref2!O108,IF(AK149=summaryref2!B122,summaryref2!O122,IF(AK149=summaryref2!B136,summaryref2!O136,IF(AK149=summaryref2!B150,summaryref2!O150,"")))))))))))</f>
        <v>#REF!</v>
      </c>
      <c r="AZ149" s="1110" t="e">
        <f>IF('A-80 DirEntInv'!#REF!&lt;&gt;"",'A-80 DirEntInv'!#REF!,IF(AK149=summaryref2!B24,summaryref2!P24,IF(Summary!AK149=summaryref2!B38,summaryref2!P38,IF(AK149=summaryref2!B52,summaryref2!P52,IF(AK149=summaryref2!B66,summaryref2!P66,IF(AK149=summaryref2!B80,summaryref2!P80,IF(AK149=summaryref2!B94,summaryref2!P94,IF(AK149=summaryref2!B108,summaryref2!P108,IF(AK149=summaryref2!B122,summaryref2!P122,IF(AK149=summaryref2!B136,summaryref2!P136,IF(AK149=summaryref2!B150,summaryref2!P150,"")))))))))))</f>
        <v>#REF!</v>
      </c>
      <c r="BA149" s="1110" t="e">
        <f>IF('A-80 DirEntInv'!#REF!&lt;&gt;"",'A-80 DirEntInv'!#REF!,IF(AK149=summaryref2!B24,summaryref2!Q24,IF(Summary!AK149=summaryref2!B38,summaryref2!Q38,IF(AK149=summaryref2!B52,summaryref2!Q52,IF(AK149=summaryref2!B66,summaryref2!Q66,IF(AK149=summaryref2!B80,summaryref2!Q80,IF(AK149=summaryref2!B94,summaryref2!Q94,IF(AK149=summaryref2!B108,summaryref2!Q108,IF(AK149=summaryref2!B122,summaryref2!Q122,IF(AK149=summaryref2!B136,summaryref2!Q136,IF(AK149=summaryref2!B150,summaryref2!Q150,"")))))))))))</f>
        <v>#REF!</v>
      </c>
      <c r="BB149" s="1110" t="e">
        <f>IF('A-80 DirEntInv'!#REF!&lt;&gt;"",'A-80 DirEntInv'!#REF!,IF(AK149=summaryref2!B24,summaryref2!R24,IF(Summary!AK149=summaryref2!B38,summaryref2!R38,IF(AK149=summaryref2!B52,summaryref2!R52,IF(AK149=summaryref2!B66,summaryref2!R66,IF(AK149=summaryref2!B80,summaryref2!R80,IF(AK149=summaryref2!B94,summaryref2!R94,IF(AK149=summaryref2!B108,summaryref2!R108,IF(AK149=summaryref2!B122,summaryref2!R122,IF(AK149=summaryref2!B136,summaryref2!R136,IF(AK149=summaryref2!B150,summaryref2!R150,"")))))))))))</f>
        <v>#REF!</v>
      </c>
      <c r="BC149" s="1110" t="e">
        <f>IF('A-80 DirEntInv'!#REF!&lt;&gt;0,'A-80 DirEntInv'!#REF!,IF(AK149=summaryref2!B24,summaryref2!S24,IF(Summary!AK149=summaryref2!B38,summaryref2!S38,IF(AK149=summaryref2!B52,summaryref2!S52,IF(AK149=summaryref2!B66,summaryref2!S66,IF(AK149=summaryref2!B80,summaryref2!S80,IF(AK149=summaryref2!B94,summaryref2!S94,IF(AK149=summaryref2!B108,summaryref2!S108,IF(AK149=summaryref2!B122,summaryref2!S122,IF(AK149=summaryref2!B136,summaryref2!S136,IF(AK149=summaryref2!B150,summaryref2!S150,"")))))))))))</f>
        <v>#REF!</v>
      </c>
      <c r="BD149" s="1111" t="e">
        <f>IF('A-80 DirEntInv'!#REF!&lt;&gt;"",'A-80 DirEntInv'!#REF!,IF(AK149=summaryref2!B24,summaryref2!T24,IF(Summary!AK149=summaryref2!B38,summaryref2!T38,IF(AK149=summaryref2!B52,summaryref2!T52,IF(AK149=summaryref2!B66,summaryref2!T66,IF(AK149=summaryref2!B80,summaryref2!T80,IF(AK149=summaryref2!B94,summaryref2!T94,IF(AK149=summaryref2!B108,summaryref2!T108,IF(AK149=summaryref2!B122,summaryref2!T122,IF(AK149=summaryref2!B136,summaryref2!T136,IF(AK149=summaryref2!B150,summaryref2!T150,"")))))))))))</f>
        <v>#REF!</v>
      </c>
      <c r="BE149" s="1184" t="e">
        <f>IF('A-80 DirEntInv'!#REF!&lt;&gt;"",'A-80 DirEntInv'!#REF!,IF(AK149=summaryref2!B24,summaryref2!U24,IF(Summary!AK149=summaryref2!B38,summaryref2!U38,IF(AK149=summaryref2!B52,summaryref2!U52,IF(AK149=summaryref2!B66,summaryref2!U66,IF(AK149=summaryref2!B80,summaryref2!U80,IF(AK149=summaryref2!B94,summaryref2!U94,IF(AK149=summaryref2!B108,summaryref2!U108,IF(AK149=summaryref2!B122,summaryref2!U122,IF(AK149=summaryref2!B136,summaryref2!U136,IF(AK149=summaryref2!B150,summaryref2!U150,"")))))))))))</f>
        <v>#REF!</v>
      </c>
      <c r="BF149" s="1432"/>
      <c r="BG149" s="1432"/>
      <c r="BJ149" s="1041" t="s">
        <v>2211</v>
      </c>
      <c r="BK149" s="1384" t="e">
        <f>IF('A-80 DirEntInv'!#REF!&lt;&gt;"",'A-80 DirEntInv'!#REF!,VLOOKUP(Summary!BJ149,Codes!$L$181:$L$199,2,FALSE))</f>
        <v>#REF!</v>
      </c>
      <c r="BU149" s="962"/>
      <c r="CD149" s="589"/>
      <c r="CE149" s="590"/>
      <c r="CF149" s="590"/>
      <c r="CG149" s="590"/>
      <c r="CH149" s="590"/>
      <c r="CI149" s="590"/>
      <c r="CJ149" s="589"/>
      <c r="CK149" s="589"/>
      <c r="CL149" s="589"/>
      <c r="CM149" s="587"/>
      <c r="CN149" s="587"/>
      <c r="CO149" s="589"/>
      <c r="CP149" s="587"/>
      <c r="CQ149" s="592"/>
      <c r="CR149" s="589"/>
      <c r="CS149" s="592"/>
      <c r="CT149" s="589"/>
      <c r="CU149" s="589"/>
      <c r="CV149" s="589"/>
      <c r="CW149" s="587"/>
      <c r="CX149" s="590"/>
      <c r="CY149" s="590"/>
      <c r="CZ149" s="590"/>
      <c r="DA149" s="1054"/>
      <c r="DB149" s="1054"/>
      <c r="DC149" s="587"/>
      <c r="DD149" s="587"/>
    </row>
    <row r="150" spans="1:108" s="588" customFormat="1" ht="13.5" thickBot="1" x14ac:dyDescent="0.25">
      <c r="A150" s="589">
        <f t="shared" si="2"/>
        <v>140</v>
      </c>
      <c r="B150" s="587"/>
      <c r="C150" s="587"/>
      <c r="D150" s="587"/>
      <c r="J150" s="589"/>
      <c r="K150" s="590"/>
      <c r="L150" s="591"/>
      <c r="M150" s="592"/>
      <c r="N150" s="589"/>
      <c r="O150" s="587"/>
      <c r="R150" s="1052"/>
      <c r="S150" s="1052"/>
      <c r="T150" s="1052"/>
      <c r="U150" s="1052"/>
      <c r="V150" s="1052"/>
      <c r="W150" s="1053"/>
      <c r="X150" s="1053"/>
      <c r="Y150" s="1053"/>
      <c r="Z150" s="1052"/>
      <c r="AA150" s="1052"/>
      <c r="AB150" s="962"/>
      <c r="AC150" s="590"/>
      <c r="AD150" s="590"/>
      <c r="AE150" s="591"/>
      <c r="AF150" s="592"/>
      <c r="AG150" s="1053"/>
      <c r="AH150" s="587"/>
      <c r="AK150" s="1047" t="str">
        <f>Codes!$C$165</f>
        <v>LR - Light Rail (DO)</v>
      </c>
      <c r="AL150" s="1050" t="str">
        <f>Valid!$B$91</f>
        <v>Train Control &amp; Signaling</v>
      </c>
      <c r="AM150" s="1185"/>
      <c r="AN150" s="1050"/>
      <c r="AO150" s="1185"/>
      <c r="AP150" s="1050"/>
      <c r="AQ150" s="1386" t="e">
        <f>IF('A-80 DirEntInv'!#REF!&lt;&gt;"",'A-80 DirEntInv'!#REF!,IF(AK150=summaryref2!B25,summaryref2!G25,IF(Summary!AK150=summaryref2!B39,summaryref2!G39,IF(AK150=summaryref2!B53,summaryref2!G53,IF(AK150=summaryref2!B67,summaryref2!G67,IF(AK150=summaryref2!B81,summaryref2!G81,IF(AK150=summaryref2!B95,summaryref2!G95,IF(AK150=summaryref2!B109,summaryref2!G109,IF(AK150=summaryref2!B123,summaryref2!G123,IF(AK150=summaryref2!B137,summaryref2!G137,IF(AK150=summaryref2!B151,summaryref2!G151,"")))))))))))</f>
        <v>#REF!</v>
      </c>
      <c r="AR150" s="1386" t="e">
        <f>IF('A-80 DirEntInv'!#REF!&lt;&gt;"",'A-80 DirEntInv'!#REF!,IF(AK150=summaryref2!B25,summaryref2!H25,IF(Summary!AK150=summaryref2!B39,summaryref2!H39,IF(AK150=summaryref2!B53,summaryref2!H53,IF(AK150=summaryref2!B67,summaryref2!H67,IF(AK150=summaryref2!B81,summaryref2!H81,IF(AK150=summaryref2!B95,summaryref2!H95,IF(AK150=summaryref2!B109,summaryref2!H109,IF(AK150=summaryref2!B123,summaryref2!H123,IF(AK150=summaryref2!B137,summaryref2!H137,IF(AK150=summaryref2!B151,summaryref2!H151,"")))))))))))</f>
        <v>#REF!</v>
      </c>
      <c r="AS150" s="1387" t="e">
        <f>IF('A-80 DirEntInv'!#REF!&lt;&gt;"",'A-80 DirEntInv'!#REF!,IF(AK150=summaryref2!B25,summaryref2!I25,IF(Summary!AK150=summaryref2!B39,summaryref2!I39,IF(AK150=summaryref2!B53,summaryref2!I53,IF(AK150=summaryref2!B67,summaryref2!I67,IF(AK150=summaryref2!B81,summaryref2!I81,IF(AK150=summaryref2!B95,summaryref2!I95,IF(AK150=summaryref2!B109,summaryref2!I109,IF(AK150=summaryref2!B123,summaryref2!I123,IF(AK150=summaryref2!B137,summaryref2!I137,IF(AK150=summaryref2!B151,summaryref2!I151,"")))))))))))</f>
        <v>#REF!</v>
      </c>
      <c r="AT150" s="1387" t="e">
        <f>IF('A-80 DirEntInv'!#REF!&lt;&gt;"",'A-80 DirEntInv'!#REF!,IF(AK150=summaryref2!B25,summaryref2!J25,IF(Summary!AK150=summaryref2!B39,summaryref2!J39,IF(AK150=summaryref2!B53,summaryref2!J53,IF(AK150=summaryref2!B67,summaryref2!J67,IF(AK150=summaryref2!B81,summaryref2!J81,IF(AK150=summaryref2!B95,summaryref2!J95,IF(AK150=summaryref2!B109,summaryref2!J109,IF(AK150=summaryref2!B123,summaryref2!J123,IF(AK150=summaryref2!B137,summaryref2!J137,IF(AK150=summaryref2!B151,summaryref2!J151,"")))))))))))</f>
        <v>#REF!</v>
      </c>
      <c r="AU150" s="1387" t="e">
        <f>IF('A-80 DirEntInv'!#REF!&lt;&gt;"",'A-80 DirEntInv'!#REF!,IF(AK150=summaryref2!B25,summaryref2!K25,IF(Summary!AK150=summaryref2!B39,summaryref2!K39,IF(AK150=summaryref2!B53,summaryref2!K53,IF(AK150=summaryref2!B67,summaryref2!K67,IF(AK150=summaryref2!B81,summaryref2!K81,IF(AK150=summaryref2!B95,summaryref2!K95,IF(AK150=summaryref2!B109,summaryref2!K109,IF(AK150=summaryref2!B123,summaryref2!K123,IF(AK150=summaryref2!B137,summaryref2!K137,IF(AK150=summaryref2!B151,summaryref2!K151,"")))))))))))</f>
        <v>#REF!</v>
      </c>
      <c r="AV150" s="1387" t="e">
        <f>IF('A-80 DirEntInv'!#REF!&lt;&gt;"",'A-80 DirEntInv'!#REF!,IF(AK150=summaryref2!B25,summaryref2!L25,IF(Summary!AK150=summaryref2!B39,summaryref2!L39,IF(AK150=summaryref2!B53,summaryref2!L53,IF(AK150=summaryref2!B67,summaryref2!L67,IF(AK150=summaryref2!B81,summaryref2!L81,IF(AK150=summaryref2!B95,summaryref2!L95,IF(AK150=summaryref2!B109,summaryref2!L109,IF(AK150=summaryref2!B123,summaryref2!L123,IF(AK150=summaryref2!B137,summaryref2!L137,IF(AK150=summaryref2!B151,summaryref2!L151,"")))))))))))</f>
        <v>#REF!</v>
      </c>
      <c r="AW150" s="1387" t="e">
        <f>IF('A-80 DirEntInv'!#REF!&lt;&gt;"",'A-80 DirEntInv'!#REF!,IF(AK150=summaryref2!B25,summaryref2!M25,IF(Summary!AK150=summaryref2!B39,summaryref2!M39,IF(AK150=summaryref2!B53,summaryref2!M53,IF(AK150=summaryref2!B67,summaryref2!M67,IF(AK150=summaryref2!B81,summaryref2!M81,IF(AK150=summaryref2!B95,summaryref2!M95,IF(AK150=summaryref2!B109,summaryref2!M109,IF(AK150=summaryref2!B123,summaryref2!M123,IF(AK150=summaryref2!B137,summaryref2!M137,IF(AK150=summaryref2!B151,summaryref2!M151,"")))))))))))</f>
        <v>#REF!</v>
      </c>
      <c r="AX150" s="1387" t="e">
        <f>IF('A-80 DirEntInv'!#REF!&lt;&gt;"",'A-80 DirEntInv'!#REF!,IF(AK150=summaryref2!B25,summaryref2!N25,IF(Summary!AK150=summaryref2!B39,summaryref2!N39,IF(AK150=summaryref2!B53,summaryref2!N53,IF(AK150=summaryref2!B67,summaryref2!N67,IF(AK150=summaryref2!B81,summaryref2!N81,IF(AK150=summaryref2!B95,summaryref2!N95,IF(AK150=summaryref2!B109,summaryref2!N109,IF(AK150=summaryref2!B123,summaryref2!N123,IF(AK150=summaryref2!B137,summaryref2!N137,IF(AK150=summaryref2!B151,summaryref2!N151,"")))))))))))</f>
        <v>#REF!</v>
      </c>
      <c r="AY150" s="1387" t="e">
        <f>IF('A-80 DirEntInv'!#REF!&lt;&gt;"",'A-80 DirEntInv'!#REF!,IF(AK150=summaryref2!B25,summaryref2!O25,IF(Summary!AK150=summaryref2!B39,summaryref2!O39,IF(AK150=summaryref2!B53,summaryref2!O53,IF(AK150=summaryref2!B67,summaryref2!O67,IF(AK150=summaryref2!B81,summaryref2!O81,IF(AK150=summaryref2!B95,summaryref2!O95,IF(AK150=summaryref2!B109,summaryref2!O109,IF(AK150=summaryref2!B123,summaryref2!O123,IF(AK150=summaryref2!B137,summaryref2!O137,IF(AK150=summaryref2!B151,summaryref2!O151,"")))))))))))</f>
        <v>#REF!</v>
      </c>
      <c r="AZ150" s="1387" t="e">
        <f>IF('A-80 DirEntInv'!#REF!&lt;&gt;"",'A-80 DirEntInv'!#REF!,IF(AK150=summaryref2!B25,summaryref2!P25,IF(Summary!AK150=summaryref2!B39,summaryref2!P39,IF(AK150=summaryref2!B53,summaryref2!P53,IF(AK150=summaryref2!B67,summaryref2!P67,IF(AK150=summaryref2!B81,summaryref2!P81,IF(AK150=summaryref2!B95,summaryref2!P95,IF(AK150=summaryref2!B109,summaryref2!P109,IF(AK150=summaryref2!B123,summaryref2!P123,IF(AK150=summaryref2!B137,summaryref2!P137,IF(AK150=summaryref2!B151,summaryref2!P151,"")))))))))))</f>
        <v>#REF!</v>
      </c>
      <c r="BA150" s="1387" t="e">
        <f>IF('A-80 DirEntInv'!#REF!&lt;&gt;"",'A-80 DirEntInv'!#REF!,IF(AK150=summaryref2!B25,summaryref2!Q25,IF(Summary!AK150=summaryref2!B39,summaryref2!Q39,IF(AK150=summaryref2!B53,summaryref2!Q53,IF(AK150=summaryref2!B67,summaryref2!Q67,IF(AK150=summaryref2!B81,summaryref2!Q81,IF(AK150=summaryref2!B95,summaryref2!Q95,IF(AK150=summaryref2!B109,summaryref2!Q109,IF(AK150=summaryref2!B123,summaryref2!Q123,IF(AK150=summaryref2!B137,summaryref2!Q137,IF(AK150=summaryref2!B151,summaryref2!Q151,"")))))))))))</f>
        <v>#REF!</v>
      </c>
      <c r="BB150" s="1387" t="e">
        <f>IF('A-80 DirEntInv'!#REF!&lt;&gt;"",'A-80 DirEntInv'!#REF!,IF(AK150=summaryref2!B25,summaryref2!R25,IF(Summary!AK150=summaryref2!B39,summaryref2!R39,IF(AK150=summaryref2!B53,summaryref2!R53,IF(AK150=summaryref2!B67,summaryref2!R67,IF(AK150=summaryref2!B81,summaryref2!R81,IF(AK150=summaryref2!B95,summaryref2!R95,IF(AK150=summaryref2!B109,summaryref2!R109,IF(AK150=summaryref2!B123,summaryref2!R123,IF(AK150=summaryref2!B137,summaryref2!R137,IF(AK150=summaryref2!B151,summaryref2!R151,"")))))))))))</f>
        <v>#REF!</v>
      </c>
      <c r="BC150" s="1387" t="e">
        <f>IF('A-80 DirEntInv'!#REF!&lt;&gt;0,'A-80 DirEntInv'!#REF!,IF(AK150=summaryref2!B25,summaryref2!S25,IF(Summary!AK150=summaryref2!B39,summaryref2!S39,IF(AK150=summaryref2!B53,summaryref2!S53,IF(AK150=summaryref2!B67,summaryref2!S67,IF(AK150=summaryref2!B81,summaryref2!S81,IF(AK150=summaryref2!B95,summaryref2!S95,IF(AK150=summaryref2!B109,summaryref2!S109,IF(AK150=summaryref2!B123,summaryref2!S123,IF(AK150=summaryref2!B137,summaryref2!S137,IF(AK150=summaryref2!B151,summaryref2!S151,"")))))))))))</f>
        <v>#REF!</v>
      </c>
      <c r="BD150" s="1118" t="e">
        <f>IF('A-80 DirEntInv'!#REF!&lt;&gt;"",'A-80 DirEntInv'!#REF!,IF(AK150=summaryref2!B25,summaryref2!T25,IF(Summary!AK150=summaryref2!B39,summaryref2!T39,IF(AK150=summaryref2!B53,summaryref2!T53,IF(AK150=summaryref2!B67,summaryref2!T67,IF(AK150=summaryref2!B81,summaryref2!T81,IF(AK150=summaryref2!B95,summaryref2!T95,IF(AK150=summaryref2!B109,summaryref2!T109,IF(AK150=summaryref2!B123,summaryref2!T123,IF(AK150=summaryref2!B137,summaryref2!T137,IF(AK150=summaryref2!B151,summaryref2!T151,"")))))))))))</f>
        <v>#REF!</v>
      </c>
      <c r="BE150" s="1186" t="e">
        <f>IF('A-80 DirEntInv'!#REF!&lt;&gt;"",'A-80 DirEntInv'!#REF!,IF(AK150=summaryref2!B25,summaryref2!U25,IF(Summary!AK150=summaryref2!B39,summaryref2!U39,IF(AK150=summaryref2!B53,summaryref2!U53,IF(AK150=summaryref2!B67,summaryref2!U67,IF(AK150=summaryref2!B81,summaryref2!U81,IF(AK150=summaryref2!B95,summaryref2!U95,IF(AK150=summaryref2!B109,summaryref2!U109,IF(AK150=summaryref2!B123,summaryref2!U123,IF(AK150=summaryref2!B137,summaryref2!U137,IF(AK150=summaryref2!B151,summaryref2!U151,"")))))))))))</f>
        <v>#REF!</v>
      </c>
      <c r="BF150" s="1432"/>
      <c r="BG150" s="1432"/>
      <c r="BJ150" s="1041" t="s">
        <v>1019</v>
      </c>
      <c r="BK150" s="1384" t="e">
        <f>IF('A-80 DirEntInv'!#REF!&lt;&gt;"",'A-80 DirEntInv'!#REF!,VLOOKUP(Summary!BJ150,Codes!$L$181:$L$199,2,FALSE))</f>
        <v>#REF!</v>
      </c>
      <c r="BU150" s="962"/>
      <c r="CD150" s="589"/>
      <c r="CE150" s="590"/>
      <c r="CF150" s="590"/>
      <c r="CG150" s="590"/>
      <c r="CH150" s="590"/>
      <c r="CI150" s="590"/>
      <c r="CJ150" s="589"/>
      <c r="CK150" s="589"/>
      <c r="CL150" s="589"/>
      <c r="CM150" s="587"/>
      <c r="CN150" s="587"/>
      <c r="CO150" s="589"/>
      <c r="CP150" s="587"/>
      <c r="CQ150" s="592"/>
      <c r="CR150" s="589"/>
      <c r="CS150" s="592"/>
      <c r="CT150" s="589"/>
      <c r="CU150" s="589"/>
      <c r="CV150" s="589"/>
      <c r="CW150" s="587"/>
      <c r="CX150" s="590"/>
      <c r="CY150" s="590"/>
      <c r="CZ150" s="590"/>
      <c r="DA150" s="1054"/>
      <c r="DB150" s="1054"/>
      <c r="DC150" s="587"/>
      <c r="DD150" s="587"/>
    </row>
    <row r="151" spans="1:108" s="588" customFormat="1" x14ac:dyDescent="0.2">
      <c r="A151" s="589">
        <f t="shared" si="2"/>
        <v>141</v>
      </c>
      <c r="B151" s="587"/>
      <c r="C151" s="587"/>
      <c r="D151" s="587"/>
      <c r="J151" s="589"/>
      <c r="K151" s="590"/>
      <c r="L151" s="591"/>
      <c r="M151" s="592"/>
      <c r="N151" s="589"/>
      <c r="O151" s="587"/>
      <c r="R151" s="1052"/>
      <c r="S151" s="1052"/>
      <c r="T151" s="1052"/>
      <c r="U151" s="1052"/>
      <c r="V151" s="1052"/>
      <c r="W151" s="1053"/>
      <c r="X151" s="1053"/>
      <c r="Y151" s="1053"/>
      <c r="Z151" s="1052"/>
      <c r="AA151" s="1052"/>
      <c r="AB151" s="962"/>
      <c r="AC151" s="590"/>
      <c r="AD151" s="590"/>
      <c r="AE151" s="591"/>
      <c r="AF151" s="592"/>
      <c r="AG151" s="1053"/>
      <c r="AH151" s="587"/>
      <c r="AK151" s="1043" t="str">
        <f>Codes!$C$166</f>
        <v>LR - Light Rail (PT)</v>
      </c>
      <c r="AL151" s="1303" t="str">
        <f>Valid!$B$71</f>
        <v>At-Grade/Ballast (including expressway)</v>
      </c>
      <c r="AM151" s="1092" t="e">
        <f>IF('A-80 DirEntInv'!#REF!&lt;&gt;"",'A-80 DirEntInv'!#REF!,IF(AK151=summaryref2!B12,summaryref2!D12,IF(Summary!AK151=summaryref2!B26,summaryref2!D26,IF(AK151=summaryref2!B40,summaryref2!D40,IF(AK151=summaryref2!B54,summaryref2!D54,IF(AK151=summaryref2!B68,summaryref2!D68,IF(AK151=summaryref2!B82,summaryref2!D82,IF(AK151=summaryref2!B96,summaryref2!D96,IF(AK151=summaryref2!B110,summaryref2!D110,IF(AK151=summaryref2!B124,summaryref2!D124,IF(AK151=summaryref2!B138,summaryref2!D138,"")))))))))))</f>
        <v>#REF!</v>
      </c>
      <c r="AN151" s="1127" t="e">
        <f ca="1">IF('A-80 DirEntInv'!#REF!&lt;&gt;"",'A-80 DirEntInv'!#REF!,IF(INDIRECT(ADDRESS(SumRef!CG147,SumRef!CG$16,,,SumRef!$C$7))="","",INDIRECT(ADDRESS(SumRef!CG147,SumRef!CG$16,,,SumRef!$C$7))))</f>
        <v>#REF!</v>
      </c>
      <c r="AO151" s="1092" t="e">
        <f>IF('A-80 DirEntInv'!#REF!&lt;&gt;"",'A-80 DirEntInv'!#REF!,IF(AK151=summaryref2!B12,summaryref2!F12,IF(Summary!AK151=summaryref2!B26,summaryref2!F26,IF(AK151=summaryref2!B40,summaryref2!F40,IF(AK151=summaryref2!B54,summaryref2!F54,IF(AK151=summaryref2!B68,summaryref2!F68,IF(AK151=summaryref2!B82,summaryref2!F82,IF(AK151=summaryref2!B96,summaryref2!F96,IF(AK151=summaryref2!B110,summaryref2!F110,IF(AK151=summaryref2!B124,summaryref2!F124,IF(AK151=summaryref2!B138,summaryref2!F138,"")))))))))))</f>
        <v>#REF!</v>
      </c>
      <c r="AP151" s="1127" t="e">
        <f ca="1">IF('A-80 DirEntInv'!#REF!&lt;&gt;"",'A-80 DirEntInv'!#REF!,IF(INDIRECT(ADDRESS(SumRef!#REF!,SumRef!#REF!,,,SumRef!$C$7))="","",INDIRECT(ADDRESS(SumRef!#REF!,SumRef!#REF!,,,SumRef!$C$7))))</f>
        <v>#REF!</v>
      </c>
      <c r="AQ151" s="1146" t="e">
        <f>IF('A-80 DirEntInv'!#REF!&lt;&gt;"",'A-80 DirEntInv'!#REF!,IF(AK151=summaryref2!B12,summaryref2!G12,IF(Summary!AK151=summaryref2!B26,summaryref2!G26,IF(AK151=summaryref2!B40,summaryref2!G40,IF(AK151=summaryref2!B54,summaryref2!G54,IF(AK151=summaryref2!B68,summaryref2!G68,IF(AK151=summaryref2!B82,summaryref2!G82,IF(AK151=summaryref2!B96,summaryref2!G96,IF(AK151=summaryref2!B110,summaryref2!G110,IF(AK151=summaryref2!B124,summaryref2!G124,IF(AK151=summaryref2!B138,summaryref2!G138,"")))))))))))</f>
        <v>#REF!</v>
      </c>
      <c r="AR151" s="1146" t="e">
        <f>IF('A-80 DirEntInv'!#REF!&lt;&gt;"",'A-80 DirEntInv'!#REF!,IF(AK151=summaryref2!B12,summaryref2!H12,IF(Summary!AK151=summaryref2!B26,summaryref2!H26,IF(AK151=summaryref2!B40,summaryref2!H40,IF(AK151=summaryref2!B54,summaryref2!H54,IF(AK151=summaryref2!B68,summaryref2!H68,IF(AK151=summaryref2!B82,summaryref2!H82,IF(AK151=summaryref2!B96,summaryref2!H96,IF(AK151=summaryref2!B110,summaryref2!H110,IF(AK151=summaryref2!B124,summaryref2!H124,IF(AK151=summaryref2!B138,summaryref2!H138,"")))))))))))</f>
        <v>#REF!</v>
      </c>
      <c r="AS151" s="1092" t="e">
        <f>IF('A-80 DirEntInv'!#REF!&lt;&gt;"",'A-80 DirEntInv'!#REF!,IF(AK151=summaryref2!B12,summaryref2!I12,IF(Summary!AK151=summaryref2!B26,summaryref2!I26,IF(AK151=summaryref2!B40,summaryref2!I40,IF(AK151=summaryref2!B54,summaryref2!I54,IF(AK151=summaryref2!B68,summaryref2!I68,IF(AK151=summaryref2!B82,summaryref2!I82,IF(AK151=summaryref2!B96,summaryref2!I96,IF(AK151=summaryref2!B110,summaryref2!I110,IF(AK151=summaryref2!B124,summaryref2!I124,IF(AK151=summaryref2!B138,summaryref2!I138,"")))))))))))</f>
        <v>#REF!</v>
      </c>
      <c r="AT151" s="1092" t="e">
        <f>IF('A-80 DirEntInv'!#REF!&lt;&gt;"",'A-80 DirEntInv'!#REF!,IF(AK151=summaryref2!B12,summaryref2!J12,IF(Summary!AK151=summaryref2!B26,summaryref2!J26,IF(AK151=summaryref2!B40,summaryref2!J40,IF(AK151=summaryref2!B54,summaryref2!J54,IF(AK151=summaryref2!B68,summaryref2!J68,IF(AK151=summaryref2!B82,summaryref2!J82,IF(AK151=summaryref2!B96,summaryref2!J96,IF(AK151=summaryref2!B110,summaryref2!J110,IF(AK151=summaryref2!B124,summaryref2!J124,IF(AK151=summaryref2!B138,summaryref2!J138,"")))))))))))</f>
        <v>#REF!</v>
      </c>
      <c r="AU151" s="1092" t="e">
        <f>IF('A-80 DirEntInv'!#REF!&lt;&gt;"",'A-80 DirEntInv'!#REF!,IF(AK151=summaryref2!B12,summaryref2!K12,IF(Summary!AK151=summaryref2!B26,summaryref2!K26,IF(AK151=summaryref2!B40,summaryref2!K40,IF(AK151=summaryref2!B54,summaryref2!K54,IF(AK151=summaryref2!B68,summaryref2!K68,IF(AK151=summaryref2!B82,summaryref2!K82,IF(AK151=summaryref2!B96,summaryref2!K96,IF(AK151=summaryref2!B110,summaryref2!K110,IF(AK151=summaryref2!B124,summaryref2!K124,IF(AK151=summaryref2!B138,summaryref2!K138,"")))))))))))</f>
        <v>#REF!</v>
      </c>
      <c r="AV151" s="1092" t="e">
        <f>IF('A-80 DirEntInv'!#REF!&lt;&gt;"",'A-80 DirEntInv'!#REF!,IF(AK151=summaryref2!B12,summaryref2!L12,IF(Summary!AK151=summaryref2!B26,summaryref2!L26,IF(AK151=summaryref2!B40,summaryref2!L40,IF(AK151=summaryref2!B54,summaryref2!L54,IF(AK151=summaryref2!B68,summaryref2!L68,IF(AK151=summaryref2!B82,summaryref2!L82,IF(AK151=summaryref2!B96,summaryref2!L96,IF(AK151=summaryref2!B110,summaryref2!L110,IF(AK151=summaryref2!B124,summaryref2!L124,IF(AK151=summaryref2!B138,summaryref2!L138,"")))))))))))</f>
        <v>#REF!</v>
      </c>
      <c r="AW151" s="1092" t="e">
        <f>IF('A-80 DirEntInv'!#REF!&lt;&gt;"",'A-80 DirEntInv'!#REF!,IF($AK151=summaryref2!$B$12,summaryref2!M$12,IF(Summary!$AK151=summaryref2!$B$26,summaryref2!M$26,IF($AK151=summaryref2!$B$40,summaryref2!M$40,IF($AK151=summaryref2!$B$54,summaryref2!M$54,IF($AK151=summaryref2!$B$68,summaryref2!M$68,IF($AK151=summaryref2!$B$82,summaryref2!M$82,IF($AK151=summaryref2!$B$96,summaryref2!M$96,IF($AK151=summaryref2!$B$110,summaryref2!M$110,IF($AK151=summaryref2!$B$124,summaryref2!M$124,IF($AK151=summaryref2!$B$138,summaryref2!M$138,"")))))))))))</f>
        <v>#REF!</v>
      </c>
      <c r="AX151" s="1092" t="e">
        <f>IF('A-80 DirEntInv'!#REF!&lt;&gt;"",'A-80 DirEntInv'!#REF!,IF(AK151=summaryref2!B12,summaryref2!N12,IF(Summary!AK151=summaryref2!B26,summaryref2!N26,IF(AK151=summaryref2!B40,summaryref2!N40,IF(AK151=summaryref2!B54,summaryref2!N54,IF(AK151=summaryref2!B68,summaryref2!N68,IF(AK151=summaryref2!B82,summaryref2!N82,IF(AK151=summaryref2!B96,summaryref2!N96,IF(AK151=summaryref2!B110,summaryref2!N110,IF(AK151=summaryref2!B124,summaryref2!N124,IF(AK151=summaryref2!B138,summaryref2!N138,"")))))))))))</f>
        <v>#REF!</v>
      </c>
      <c r="AY151" s="1092" t="e">
        <f>IF('A-80 DirEntInv'!#REF!&lt;&gt;"",'A-80 DirEntInv'!#REF!,IF(AK151=summaryref2!B12,summaryref2!O12,IF(Summary!AK151=summaryref2!B26,summaryref2!O26,IF(AK151=summaryref2!B40,summaryref2!O40,IF(AK151=summaryref2!B54,summaryref2!O54,IF(AK151=summaryref2!B68,summaryref2!O68,IF(AK151=summaryref2!B82,summaryref2!O82,IF(AK151=summaryref2!B96,summaryref2!O96,IF(AK151=summaryref2!B110,summaryref2!O110,IF(AK151=summaryref2!B124,summaryref2!O124,IF(AK151=summaryref2!B138,summaryref2!O138,"")))))))))))</f>
        <v>#REF!</v>
      </c>
      <c r="AZ151" s="1092" t="e">
        <f>IF('A-80 DirEntInv'!#REF!&lt;&gt;"",'A-80 DirEntInv'!#REF!,IF(AK151=summaryref2!B12,summaryref2!P12,IF(Summary!AK151=summaryref2!B26,summaryref2!P26,IF(AK151=summaryref2!B40,summaryref2!P40,IF(AK151=summaryref2!B54,summaryref2!P54,IF(AK151=summaryref2!B68,summaryref2!P68,IF(AK151=summaryref2!B82,summaryref2!P82,IF(AK151=summaryref2!B96,summaryref2!P96,IF(AK151=summaryref2!B110,summaryref2!P110,IF(AK151=summaryref2!B124,summaryref2!P124,IF(AK151=summaryref2!B138,summaryref2!P138,"")))))))))))</f>
        <v>#REF!</v>
      </c>
      <c r="BA151" s="1092" t="e">
        <f>IF('A-80 DirEntInv'!#REF!&lt;&gt;"",'A-80 DirEntInv'!#REF!,IF(AK151=summaryref2!B12,summaryref2!Q12,IF(Summary!AK151=summaryref2!B26,summaryref2!Q26,IF(AK151=summaryref2!B40,summaryref2!Q40,IF(AK151=summaryref2!B54,summaryref2!Q54,IF(AK151=summaryref2!B68,summaryref2!Q68,IF(AK151=summaryref2!B82,summaryref2!Q82,IF(AK151=summaryref2!B96,summaryref2!Q96,IF(AK151=summaryref2!B110,summaryref2!Q110,IF(AK151=summaryref2!B124,summaryref2!Q124,IF(AK151=summaryref2!B138,summaryref2!Q138,"")))))))))))</f>
        <v>#REF!</v>
      </c>
      <c r="BB151" s="1092" t="e">
        <f>IF('A-80 DirEntInv'!#REF!&lt;&gt;"",'A-80 DirEntInv'!#REF!,IF(AK151=summaryref2!B12,summaryref2!R12,IF(Summary!AK151=summaryref2!B26,summaryref2!R26,IF(AK151=summaryref2!B40,summaryref2!R40,IF(AK151=summaryref2!B54,summaryref2!R54,IF(AK151=summaryref2!B68,summaryref2!R68,IF(AK151=summaryref2!B82,summaryref2!R82,IF(AK151=summaryref2!B96,summaryref2!R96,IF(AK151=summaryref2!B110,summaryref2!R110,IF(AK151=summaryref2!B124,summaryref2!R124,IF(AK151=summaryref2!B138,summaryref2!R138,"")))))))))))</f>
        <v>#REF!</v>
      </c>
      <c r="BC151" s="1092" t="e">
        <f>IF('A-80 DirEntInv'!#REF!&lt;&gt;0,'A-80 DirEntInv'!#REF!,IF(AK151=summaryref2!B12,summaryref2!S12,IF(Summary!AK151=summaryref2!B26,summaryref2!S26,IF(AK151=summaryref2!B40,summaryref2!S40,IF(AK151=summaryref2!B54,summaryref2!S54,IF(AK151=summaryref2!B68,summaryref2!S68,IF(AK151=summaryref2!B82,summaryref2!S82,IF(AK151=summaryref2!B96,summaryref2!S96,IF(AK151=summaryref2!B110,summaryref2!S110,IF(AK151=summaryref2!B124,summaryref2!S124,IF(AK151=summaryref2!B138,summaryref2!S138,"")))))))))))</f>
        <v>#REF!</v>
      </c>
      <c r="BD151" s="1093" t="e">
        <f>IF('A-80 DirEntInv'!#REF!&lt;&gt;"",'A-80 DirEntInv'!#REF!,IF(AK151=summaryref2!B12,summaryref2!T12,IF(Summary!AK151=summaryref2!B26,summaryref2!T26,IF(AK151=summaryref2!B40,summaryref2!T40,IF(AK151=summaryref2!B54,summaryref2!T54,IF(AK151=summaryref2!B68,summaryref2!T68,IF(AK151=summaryref2!B82,summaryref2!T82,IF(AK151=summaryref2!B96,summaryref2!T96,IF(AK151=summaryref2!B110,summaryref2!T110,IF(AK151=summaryref2!B124,summaryref2!T124,IF(AK151=summaryref2!B138,summaryref2!T138,"")))))))))))</f>
        <v>#REF!</v>
      </c>
      <c r="BE151" s="1189" t="e">
        <f>IF('A-80 DirEntInv'!#REF!&lt;&gt;"",'A-80 DirEntInv'!#REF!,IF(AK151=summaryref2!B12,summaryref2!U12,IF(Summary!AK151=summaryref2!B26,summaryref2!U26,IF(AK151=summaryref2!B40,summaryref2!U40,IF(AK151=summaryref2!B54,summaryref2!U54,IF(AK151=summaryref2!B68,summaryref2!U68,IF(AK151=summaryref2!B82,summaryref2!U82,IF(AK151=summaryref2!B96,summaryref2!U96,IF(AK151=summaryref2!B110,summaryref2!U110,IF(AK151=summaryref2!B124,summaryref2!U124,IF(AK151=summaryref2!B138,summaryref2!U138,"")))))))))))</f>
        <v>#REF!</v>
      </c>
      <c r="BF151" s="1431"/>
      <c r="BG151" s="1431"/>
      <c r="BJ151" s="1041" t="s">
        <v>2203</v>
      </c>
      <c r="BK151" s="1384" t="e">
        <f>IF('A-80 DirEntInv'!#REF!&lt;&gt;"",'A-80 DirEntInv'!#REF!,VLOOKUP(Summary!BJ151,Codes!$L$181:$L$199,2,FALSE))</f>
        <v>#REF!</v>
      </c>
      <c r="BU151" s="962"/>
      <c r="CD151" s="589"/>
      <c r="CE151" s="590"/>
      <c r="CF151" s="590"/>
      <c r="CG151" s="590"/>
      <c r="CH151" s="590"/>
      <c r="CI151" s="590"/>
      <c r="CJ151" s="589"/>
      <c r="CK151" s="589"/>
      <c r="CL151" s="589"/>
      <c r="CM151" s="587"/>
      <c r="CN151" s="587"/>
      <c r="CO151" s="589"/>
      <c r="CP151" s="587"/>
      <c r="CQ151" s="592"/>
      <c r="CR151" s="589"/>
      <c r="CS151" s="592"/>
      <c r="CT151" s="589"/>
      <c r="CU151" s="589"/>
      <c r="CV151" s="589"/>
      <c r="CW151" s="587"/>
      <c r="CX151" s="590"/>
      <c r="CY151" s="590"/>
      <c r="CZ151" s="590"/>
      <c r="DA151" s="1054"/>
      <c r="DB151" s="1054"/>
      <c r="DC151" s="587"/>
      <c r="DD151" s="587"/>
    </row>
    <row r="152" spans="1:108" s="588" customFormat="1" x14ac:dyDescent="0.2">
      <c r="A152" s="589">
        <f t="shared" si="2"/>
        <v>142</v>
      </c>
      <c r="B152" s="587"/>
      <c r="C152" s="587"/>
      <c r="D152" s="587"/>
      <c r="J152" s="589"/>
      <c r="K152" s="590"/>
      <c r="L152" s="591"/>
      <c r="M152" s="592"/>
      <c r="N152" s="589"/>
      <c r="O152" s="587"/>
      <c r="R152" s="1052"/>
      <c r="S152" s="1052"/>
      <c r="T152" s="1052"/>
      <c r="U152" s="1052"/>
      <c r="V152" s="1052"/>
      <c r="W152" s="1053"/>
      <c r="X152" s="1053"/>
      <c r="Y152" s="1053"/>
      <c r="Z152" s="1052"/>
      <c r="AA152" s="1052"/>
      <c r="AB152" s="962"/>
      <c r="AC152" s="590"/>
      <c r="AD152" s="590"/>
      <c r="AE152" s="591"/>
      <c r="AF152" s="592"/>
      <c r="AG152" s="1053"/>
      <c r="AH152" s="587"/>
      <c r="AK152" s="1041" t="str">
        <f>Codes!$C$166</f>
        <v>LR - Light Rail (PT)</v>
      </c>
      <c r="AL152" s="1042" t="str">
        <f>Valid!$B$72</f>
        <v>At-Grade/In-Street/Embedded</v>
      </c>
      <c r="AM152" s="1108" t="e">
        <f>IF('A-80 DirEntInv'!#REF!&lt;&gt;"",'A-80 DirEntInv'!#REF!,IF(AK152=summaryref2!B13,summaryref2!D13,IF(Summary!AK152=summaryref2!B27,summaryref2!D27,IF(AK152=summaryref2!B41,summaryref2!D41,IF(AK152=summaryref2!B55,summaryref2!D55,IF(AK152=summaryref2!B69,summaryref2!D69,IF(AK152=summaryref2!B83,summaryref2!D83,IF(AK152=summaryref2!B97,summaryref2!D97,IF(AK152=summaryref2!B111,summaryref2!D111,IF(AK152=summaryref2!B125,summaryref2!D125,IF(AK152=summaryref2!B139,summaryref2!D139,"")))))))))))</f>
        <v>#REF!</v>
      </c>
      <c r="AN152" s="1109" t="e">
        <f ca="1">IF('A-80 DirEntInv'!#REF!&lt;&gt;"",'A-80 DirEntInv'!#REF!,IF(INDIRECT(ADDRESS(SumRef!CG149,SumRef!CG$16,,,SumRef!$C$7))="","",INDIRECT(ADDRESS(SumRef!CG149,SumRef!CG$16,,,SumRef!$C$7))))</f>
        <v>#REF!</v>
      </c>
      <c r="AO152" s="1108" t="e">
        <f>IF('A-80 DirEntInv'!#REF!&lt;&gt;"",'A-80 DirEntInv'!#REF!,IF(AK152=summaryref2!B13,summaryref2!F13,IF(Summary!AK152=summaryref2!B27,summaryref2!F27,IF(AK152=summaryref2!B41,summaryref2!F41,IF(AK152=summaryref2!B55,summaryref2!F55,IF(AK152=summaryref2!B69,summaryref2!F69,IF(AK152=summaryref2!B83,summaryref2!F83,IF(AK152=summaryref2!B97,summaryref2!F97,IF(AK152=summaryref2!B111,summaryref2!F111,IF(AK152=summaryref2!B125,summaryref2!F125,IF(AK152=summaryref2!B139,summaryref2!F139,"")))))))))))</f>
        <v>#REF!</v>
      </c>
      <c r="AP152" s="1109" t="e">
        <f ca="1">IF('A-80 DirEntInv'!#REF!&lt;&gt;"",'A-80 DirEntInv'!#REF!,IF(INDIRECT(ADDRESS(SumRef!#REF!,SumRef!#REF!,,,SumRef!$C$7))="","",INDIRECT(ADDRESS(SumRef!#REF!,SumRef!#REF!,,,SumRef!$C$7))))</f>
        <v>#REF!</v>
      </c>
      <c r="AQ152" s="1147" t="e">
        <f>IF('A-80 DirEntInv'!#REF!&lt;&gt;"",'A-80 DirEntInv'!#REF!,IF(AK152=summaryref2!B13,summaryref2!G13,IF(Summary!AK152=summaryref2!B27,summaryref2!G27,IF(AK152=summaryref2!B41,summaryref2!G41,IF(AK152=summaryref2!B55,summaryref2!G55,IF(AK152=summaryref2!B69,summaryref2!G69,IF(AK152=summaryref2!B83,summaryref2!G83,IF(AK152=summaryref2!B97,summaryref2!G97,IF(AK152=summaryref2!B111,summaryref2!G111,IF(AK152=summaryref2!B125,summaryref2!G125,IF(AK152=summaryref2!B139,summaryref2!G139,"")))))))))))</f>
        <v>#REF!</v>
      </c>
      <c r="AR152" s="1147" t="e">
        <f>IF('A-80 DirEntInv'!#REF!&lt;&gt;"",'A-80 DirEntInv'!#REF!,IF(AK152=summaryref2!B13,summaryref2!H13,IF(Summary!AK152=summaryref2!B27,summaryref2!H27,IF(AK152=summaryref2!B41,summaryref2!H41,IF(AK152=summaryref2!B55,summaryref2!H55,IF(AK152=summaryref2!B69,summaryref2!H69,IF(AK152=summaryref2!B83,summaryref2!H83,IF(AK152=summaryref2!B97,summaryref2!H97,IF(AK152=summaryref2!B111,summaryref2!H111,IF(AK152=summaryref2!B125,summaryref2!H125,IF(AK152=summaryref2!B139,summaryref2!H139,"")))))))))))</f>
        <v>#REF!</v>
      </c>
      <c r="AS152" s="1110" t="e">
        <f>IF('A-80 DirEntInv'!#REF!&lt;&gt;"",'A-80 DirEntInv'!#REF!,IF(AK152=summaryref2!B13,summaryref2!I13,IF(Summary!AK152=summaryref2!B27,summaryref2!I27,IF(AK152=summaryref2!B41,summaryref2!I41,IF(AK152=summaryref2!B55,summaryref2!I55,IF(AK152=summaryref2!B69,summaryref2!I69,IF(AK152=summaryref2!B83,summaryref2!I83,IF(AK152=summaryref2!B97,summaryref2!I97,IF(AK152=summaryref2!B111,summaryref2!I111,IF(AK152=summaryref2!B125,summaryref2!I125,IF(AK152=summaryref2!B139,summaryref2!I139,"")))))))))))</f>
        <v>#REF!</v>
      </c>
      <c r="AT152" s="1110" t="e">
        <f>IF('A-80 DirEntInv'!#REF!&lt;&gt;"",'A-80 DirEntInv'!#REF!,IF(AK152=summaryref2!B13,summaryref2!J13,IF(Summary!AK152=summaryref2!B27,summaryref2!J27,IF(AK152=summaryref2!B41,summaryref2!J41,IF(AK152=summaryref2!B55,summaryref2!J55,IF(AK152=summaryref2!B69,summaryref2!J69,IF(AK152=summaryref2!B83,summaryref2!J83,IF(AK152=summaryref2!B97,summaryref2!J97,IF(AK152=summaryref2!B111,summaryref2!J111,IF(AK152=summaryref2!B125,summaryref2!J125,IF(AK152=summaryref2!B139,summaryref2!J139,"")))))))))))</f>
        <v>#REF!</v>
      </c>
      <c r="AU152" s="1110" t="e">
        <f>IF('A-80 DirEntInv'!#REF!&lt;&gt;"",'A-80 DirEntInv'!#REF!,IF(AK152=summaryref2!B13,summaryref2!K13,IF(Summary!AK152=summaryref2!B27,summaryref2!K27,IF(AK152=summaryref2!B41,summaryref2!K41,IF(AK152=summaryref2!B55,summaryref2!K55,IF(AK152=summaryref2!B69,summaryref2!K69,IF(AK152=summaryref2!B83,summaryref2!K83,IF(AK152=summaryref2!B97,summaryref2!K97,IF(AK152=summaryref2!B111,summaryref2!K111,IF(AK152=summaryref2!B125,summaryref2!K125,IF(AK152=summaryref2!B139,summaryref2!K139,"")))))))))))</f>
        <v>#REF!</v>
      </c>
      <c r="AV152" s="1110" t="e">
        <f>IF('A-80 DirEntInv'!#REF!&lt;&gt;"",'A-80 DirEntInv'!#REF!,IF(AK152=summaryref2!B13,summaryref2!L13,IF(Summary!AK152=summaryref2!B27,summaryref2!L27,IF(AK152=summaryref2!B41,summaryref2!L41,IF(AK152=summaryref2!B55,summaryref2!L55,IF(AK152=summaryref2!B69,summaryref2!L69,IF(AK152=summaryref2!B83,summaryref2!L83,IF(AK152=summaryref2!B97,summaryref2!L97,IF(AK152=summaryref2!B111,summaryref2!L111,IF(AK152=summaryref2!B125,summaryref2!L125,IF(AK152=summaryref2!B139,summaryref2!L139,"")))))))))))</f>
        <v>#REF!</v>
      </c>
      <c r="AW152" s="1110" t="e">
        <f>IF('A-80 DirEntInv'!#REF!&lt;&gt;"",'A-80 DirEntInv'!#REF!,IF(AK152=summaryref2!B13,summaryref2!M13,IF(Summary!AK152=summaryref2!B27,summaryref2!M27,IF(AK152=summaryref2!B41,summaryref2!M41,IF(AK152=summaryref2!B55,summaryref2!M55,IF(AK152=summaryref2!B69,summaryref2!M69,IF(AK152=summaryref2!B83,summaryref2!M83,IF(AK152=summaryref2!B97,summaryref2!M97,IF(AK152=summaryref2!B111,summaryref2!M111,IF(AK152=summaryref2!B125,summaryref2!M125,IF(AK152=summaryref2!B139,summaryref2!M139,"")))))))))))</f>
        <v>#REF!</v>
      </c>
      <c r="AX152" s="1110" t="e">
        <f>IF('A-80 DirEntInv'!#REF!&lt;&gt;"",'A-80 DirEntInv'!#REF!,IF(AK152=summaryref2!B13,summaryref2!N13,IF(Summary!AK152=summaryref2!B27,summaryref2!N27,IF(AK152=summaryref2!B41,summaryref2!N41,IF(AK152=summaryref2!B55,summaryref2!N55,IF(AK152=summaryref2!B69,summaryref2!N69,IF(AK152=summaryref2!B83,summaryref2!N83,IF(AK152=summaryref2!B97,summaryref2!N97,IF(AK152=summaryref2!B111,summaryref2!N111,IF(AK152=summaryref2!B125,summaryref2!N125,IF(AK152=summaryref2!B139,summaryref2!N139,"")))))))))))</f>
        <v>#REF!</v>
      </c>
      <c r="AY152" s="1110" t="e">
        <f>IF('A-80 DirEntInv'!#REF!&lt;&gt;"",'A-80 DirEntInv'!#REF!,IF(AK152=summaryref2!B13,summaryref2!O13,IF(Summary!AK152=summaryref2!B27,summaryref2!O27,IF(AK152=summaryref2!B41,summaryref2!O41,IF(AK152=summaryref2!B55,summaryref2!O55,IF(AK152=summaryref2!B69,summaryref2!O69,IF(AK152=summaryref2!B83,summaryref2!O83,IF(AK152=summaryref2!B97,summaryref2!O97,IF(AK152=summaryref2!B111,summaryref2!O111,IF(AK152=summaryref2!B125,summaryref2!O125,IF(AK152=summaryref2!B139,summaryref2!O139,"")))))))))))</f>
        <v>#REF!</v>
      </c>
      <c r="AZ152" s="1110" t="e">
        <f>IF('A-80 DirEntInv'!#REF!&lt;&gt;"",'A-80 DirEntInv'!#REF!,IF(AK152=summaryref2!B13,summaryref2!P13,IF(Summary!AK152=summaryref2!B27,summaryref2!P27,IF(AK152=summaryref2!B41,summaryref2!P41,IF(AK152=summaryref2!B55,summaryref2!P55,IF(AK152=summaryref2!B69,summaryref2!P69,IF(AK152=summaryref2!B83,summaryref2!P83,IF(AK152=summaryref2!B97,summaryref2!P97,IF(AK152=summaryref2!B111,summaryref2!P111,IF(AK152=summaryref2!B125,summaryref2!P125,IF(AK152=summaryref2!B139,summaryref2!P139,"")))))))))))</f>
        <v>#REF!</v>
      </c>
      <c r="BA152" s="1110" t="e">
        <f>IF('A-80 DirEntInv'!#REF!&lt;&gt;"",'A-80 DirEntInv'!#REF!,IF(AK152=summaryref2!B13,summaryref2!Q13,IF(Summary!AK152=summaryref2!B27,summaryref2!Q27,IF(AK152=summaryref2!B41,summaryref2!Q41,IF(AK152=summaryref2!B55,summaryref2!Q55,IF(AK152=summaryref2!B69,summaryref2!Q69,IF(AK152=summaryref2!B83,summaryref2!Q83,IF(AK152=summaryref2!B97,summaryref2!Q97,IF(AK152=summaryref2!B111,summaryref2!Q111,IF(AK152=summaryref2!B125,summaryref2!Q125,IF(AK152=summaryref2!B139,summaryref2!Q139,"")))))))))))</f>
        <v>#REF!</v>
      </c>
      <c r="BB152" s="1110" t="e">
        <f>IF('A-80 DirEntInv'!#REF!&lt;&gt;"",'A-80 DirEntInv'!#REF!,IF(AK152=summaryref2!B13,summaryref2!R13,IF(Summary!AK152=summaryref2!B27,summaryref2!R27,IF(AK152=summaryref2!B41,summaryref2!R41,IF(AK152=summaryref2!B55,summaryref2!R55,IF(AK152=summaryref2!B69,summaryref2!R69,IF(AK152=summaryref2!B83,summaryref2!R83,IF(AK152=summaryref2!B97,summaryref2!R97,IF(AK152=summaryref2!B111,summaryref2!R111,IF(AK152=summaryref2!B125,summaryref2!R125,IF(AK152=summaryref2!B139,summaryref2!R139,"")))))))))))</f>
        <v>#REF!</v>
      </c>
      <c r="BC152" s="1110" t="e">
        <f>IF('A-80 DirEntInv'!#REF!&lt;&gt;0,'A-80 DirEntInv'!#REF!,IF(AK152=summaryref2!B13,summaryref2!S13,IF(Summary!AK152=summaryref2!B27,summaryref2!S27,IF(AK152=summaryref2!B41,summaryref2!S41,IF(AK152=summaryref2!B55,summaryref2!S55,IF(AK152=summaryref2!B69,summaryref2!S69,IF(AK152=summaryref2!B83,summaryref2!S83,IF(AK152=summaryref2!B97,summaryref2!S97,IF(AK152=summaryref2!B111,summaryref2!S111,IF(AK152=summaryref2!B125,summaryref2!S125,IF(AK152=summaryref2!B139,summaryref2!S139,"")))))))))))</f>
        <v>#REF!</v>
      </c>
      <c r="BD152" s="1111" t="e">
        <f>IF('A-80 DirEntInv'!#REF!&lt;&gt;"",'A-80 DirEntInv'!#REF!,IF(AK152=summaryref2!B13,summaryref2!T13,IF(Summary!AK152=summaryref2!B27,summaryref2!T27,IF(AK152=summaryref2!B41,summaryref2!T41,IF(AK152=summaryref2!B55,summaryref2!T55,IF(AK152=summaryref2!B69,summaryref2!T69,IF(AK152=summaryref2!B83,summaryref2!T83,IF(AK152=summaryref2!B97,summaryref2!T97,IF(AK152=summaryref2!B111,summaryref2!T111,IF(AK152=summaryref2!B125,summaryref2!T125,IF(AK152=summaryref2!B139,summaryref2!T139,"")))))))))))</f>
        <v>#REF!</v>
      </c>
      <c r="BE152" s="1184" t="e">
        <f>IF('A-80 DirEntInv'!#REF!&lt;&gt;"",'A-80 DirEntInv'!#REF!,IF(AK152=summaryref2!B13,summaryref2!U13,IF(Summary!AK152=summaryref2!B27,summaryref2!U27,IF(AK152=summaryref2!B41,summaryref2!U41,IF(AK152=summaryref2!B55,summaryref2!U55,IF(AK152=summaryref2!B69,summaryref2!U69,IF(AK152=summaryref2!B83,summaryref2!U83,IF(AK152=summaryref2!B97,summaryref2!U97,IF(AK152=summaryref2!B111,summaryref2!U111,IF(AK152=summaryref2!B125,summaryref2!U125,IF(AK152=summaryref2!B139,summaryref2!U139,"")))))))))))</f>
        <v>#REF!</v>
      </c>
      <c r="BF152" s="1432"/>
      <c r="BG152" s="1432"/>
      <c r="BJ152" s="1041" t="s">
        <v>2212</v>
      </c>
      <c r="BK152" s="1384" t="e">
        <f>IF('A-80 DirEntInv'!#REF!&lt;&gt;"",'A-80 DirEntInv'!#REF!,VLOOKUP(Summary!BJ152,Codes!$L$181:$L$199,2,FALSE))</f>
        <v>#REF!</v>
      </c>
      <c r="BU152" s="962"/>
      <c r="CD152" s="589"/>
      <c r="CE152" s="590"/>
      <c r="CF152" s="590"/>
      <c r="CG152" s="590"/>
      <c r="CH152" s="590"/>
      <c r="CI152" s="590"/>
      <c r="CJ152" s="589"/>
      <c r="CK152" s="589"/>
      <c r="CL152" s="589"/>
      <c r="CM152" s="587"/>
      <c r="CN152" s="587"/>
      <c r="CO152" s="589"/>
      <c r="CP152" s="587"/>
      <c r="CQ152" s="592"/>
      <c r="CR152" s="589"/>
      <c r="CS152" s="592"/>
      <c r="CT152" s="589"/>
      <c r="CU152" s="589"/>
      <c r="CV152" s="589"/>
      <c r="CW152" s="587"/>
      <c r="CX152" s="590"/>
      <c r="CY152" s="590"/>
      <c r="CZ152" s="590"/>
      <c r="DA152" s="1054"/>
      <c r="DB152" s="1054"/>
      <c r="DC152" s="587"/>
      <c r="DD152" s="587"/>
    </row>
    <row r="153" spans="1:108" s="588" customFormat="1" x14ac:dyDescent="0.2">
      <c r="A153" s="589">
        <f t="shared" si="2"/>
        <v>143</v>
      </c>
      <c r="B153" s="587"/>
      <c r="C153" s="587"/>
      <c r="D153" s="587"/>
      <c r="J153" s="589"/>
      <c r="K153" s="590"/>
      <c r="L153" s="591"/>
      <c r="M153" s="592"/>
      <c r="N153" s="589"/>
      <c r="O153" s="587"/>
      <c r="R153" s="1052"/>
      <c r="S153" s="1052"/>
      <c r="T153" s="1052"/>
      <c r="U153" s="1052"/>
      <c r="V153" s="1052"/>
      <c r="W153" s="1053"/>
      <c r="X153" s="1053"/>
      <c r="Y153" s="1053"/>
      <c r="Z153" s="1052"/>
      <c r="AA153" s="1052"/>
      <c r="AB153" s="962"/>
      <c r="AC153" s="590"/>
      <c r="AD153" s="590"/>
      <c r="AE153" s="591"/>
      <c r="AF153" s="592"/>
      <c r="AG153" s="1053"/>
      <c r="AH153" s="587"/>
      <c r="AK153" s="1041" t="str">
        <f>Codes!$C$166</f>
        <v>LR - Light Rail (PT)</v>
      </c>
      <c r="AL153" s="1042" t="str">
        <f>Valid!$B$73</f>
        <v>Elevated/Retained Fill</v>
      </c>
      <c r="AM153" s="1108" t="e">
        <f>IF('A-80 DirEntInv'!#REF!&lt;&gt;"",'A-80 DirEntInv'!#REF!,IF(AK153=summaryref2!B14,summaryref2!D14,IF(Summary!AK153=summaryref2!B28,summaryref2!D28,IF(AK153=summaryref2!B42,summaryref2!D42,IF(AK153=summaryref2!B56,summaryref2!D56,IF(AK153=summaryref2!B70,summaryref2!D70,IF(AK153=summaryref2!B84,summaryref2!D84,IF(AK153=summaryref2!B98,summaryref2!D98,IF(AK153=summaryref2!B112,summaryref2!D112,IF(AK153=summaryref2!B126,summaryref2!D126,IF(AK153=summaryref2!B140,summaryref2!D140,"")))))))))))</f>
        <v>#REF!</v>
      </c>
      <c r="AN153" s="1109" t="e">
        <f ca="1">IF('A-80 DirEntInv'!#REF!&lt;&gt;"",'A-80 DirEntInv'!#REF!,IF(INDIRECT(ADDRESS(SumRef!CG150,SumRef!CG$16,,,SumRef!$C$7))="","",INDIRECT(ADDRESS(SumRef!CG150,SumRef!CG$16,,,SumRef!$C$7))))</f>
        <v>#REF!</v>
      </c>
      <c r="AO153" s="1108" t="e">
        <f>IF('A-80 DirEntInv'!#REF!&lt;&gt;"",'A-80 DirEntInv'!#REF!,IF(AK153=summaryref2!B14,summaryref2!F14,IF(Summary!AK153=summaryref2!B28,summaryref2!F28,IF(AK153=summaryref2!B42,summaryref2!F42,IF(AK153=summaryref2!B56,summaryref2!F56,IF(AK153=summaryref2!B70,summaryref2!F70,IF(AK153=summaryref2!B84,summaryref2!F84,IF(AK153=summaryref2!B98,summaryref2!F98,IF(AK153=summaryref2!B112,summaryref2!F112,IF(AK153=summaryref2!B126,summaryref2!F126,IF(AK153=summaryref2!B140,summaryref2!F140,"")))))))))))</f>
        <v>#REF!</v>
      </c>
      <c r="AP153" s="1109" t="e">
        <f ca="1">IF('A-80 DirEntInv'!#REF!&lt;&gt;"",'A-80 DirEntInv'!#REF!,IF(INDIRECT(ADDRESS(SumRef!#REF!,SumRef!#REF!,,,SumRef!$C$7))="","",INDIRECT(ADDRESS(SumRef!#REF!,SumRef!#REF!,,,SumRef!$C$7))))</f>
        <v>#REF!</v>
      </c>
      <c r="AQ153" s="1147" t="e">
        <f>IF('A-80 DirEntInv'!#REF!&lt;&gt;"",'A-80 DirEntInv'!#REF!,IF(AK153=summaryref2!B14,summaryref2!G14,IF(Summary!AK153=summaryref2!B28,summaryref2!G28,IF(AK153=summaryref2!B42,summaryref2!G42,IF(AK153=summaryref2!B56,summaryref2!G56,IF(AK153=summaryref2!B70,summaryref2!G70,IF(AK153=summaryref2!B84,summaryref2!G84,IF(AK153=summaryref2!B98,summaryref2!G98,IF(AK153=summaryref2!B112,summaryref2!G112,IF(AK153=summaryref2!B126,summaryref2!G126,IF(AK153=summaryref2!B140,summaryref2!G140,"")))))))))))</f>
        <v>#REF!</v>
      </c>
      <c r="AR153" s="1147" t="e">
        <f>IF('A-80 DirEntInv'!#REF!&lt;&gt;"",'A-80 DirEntInv'!#REF!,IF(AK153=summaryref2!B14,summaryref2!H14,IF(Summary!AK153=summaryref2!B28,summaryref2!H28,IF(AK153=summaryref2!B42,summaryref2!H42,IF(AK153=summaryref2!B56,summaryref2!H56,IF(AK153=summaryref2!B70,summaryref2!H70,IF(AK153=summaryref2!B84,summaryref2!H84,IF(AK153=summaryref2!B98,summaryref2!H98,IF(AK153=summaryref2!B112,summaryref2!H112,IF(AK153=summaryref2!B126,summaryref2!H126,IF(AK153=summaryref2!B140,summaryref2!H140,"")))))))))))</f>
        <v>#REF!</v>
      </c>
      <c r="AS153" s="1110" t="e">
        <f>IF('A-80 DirEntInv'!#REF!&lt;&gt;"",'A-80 DirEntInv'!#REF!,IF(AK153=summaryref2!B14,summaryref2!I14,IF(Summary!AK153=summaryref2!B28,summaryref2!I28,IF(AK153=summaryref2!B42,summaryref2!I42,IF(AK153=summaryref2!B56,summaryref2!I56,IF(AK153=summaryref2!B70,summaryref2!I70,IF(AK153=summaryref2!B84,summaryref2!I84,IF(AK153=summaryref2!B98,summaryref2!I98,IF(AK153=summaryref2!B112,summaryref2!I112,IF(AK153=summaryref2!B126,summaryref2!I126,IF(AK153=summaryref2!B140,summaryref2!I140,"")))))))))))</f>
        <v>#REF!</v>
      </c>
      <c r="AT153" s="1110" t="e">
        <f>IF('A-80 DirEntInv'!#REF!&lt;&gt;"",'A-80 DirEntInv'!#REF!,IF(AK153=summaryref2!B14,summaryref2!J14,IF(Summary!AK153=summaryref2!B28,summaryref2!J28,IF(AK153=summaryref2!B42,summaryref2!J42,IF(AK153=summaryref2!B56,summaryref2!J56,IF(AK153=summaryref2!B70,summaryref2!J70,IF(AK153=summaryref2!B84,summaryref2!J84,IF(AK153=summaryref2!B98,summaryref2!J98,IF(AK153=summaryref2!B112,summaryref2!J112,IF(AK153=summaryref2!B126,summaryref2!J126,IF(AK153=summaryref2!B140,summaryref2!J140,"")))))))))))</f>
        <v>#REF!</v>
      </c>
      <c r="AU153" s="1110" t="e">
        <f>IF('A-80 DirEntInv'!#REF!&lt;&gt;"",'A-80 DirEntInv'!#REF!,IF(AK153=summaryref2!B14,summaryref2!K14,IF(Summary!AK153=summaryref2!B28,summaryref2!K28,IF(AK153=summaryref2!B42,summaryref2!K42,IF(AK153=summaryref2!B56,summaryref2!K56,IF(AK153=summaryref2!B70,summaryref2!K70,IF(AK153=summaryref2!B84,summaryref2!K84,IF(AK153=summaryref2!B98,summaryref2!K98,IF(AK153=summaryref2!B112,summaryref2!K112,IF(AK153=summaryref2!B126,summaryref2!K126,IF(AK153=summaryref2!B140,summaryref2!K140,"")))))))))))</f>
        <v>#REF!</v>
      </c>
      <c r="AV153" s="1110" t="e">
        <f>IF('A-80 DirEntInv'!#REF!&lt;&gt;"",'A-80 DirEntInv'!#REF!,IF(AK153=summaryref2!B14,summaryref2!L14,IF(Summary!AK153=summaryref2!B28,summaryref2!L28,IF(AK153=summaryref2!B42,summaryref2!L42,IF(AK153=summaryref2!B56,summaryref2!L56,IF(AK153=summaryref2!B70,summaryref2!L70,IF(AK153=summaryref2!B84,summaryref2!L84,IF(AK153=summaryref2!B98,summaryref2!L98,IF(AK153=summaryref2!B112,summaryref2!L112,IF(AK153=summaryref2!B126,summaryref2!L126,IF(AK153=summaryref2!B140,summaryref2!L140,"")))))))))))</f>
        <v>#REF!</v>
      </c>
      <c r="AW153" s="1110" t="e">
        <f>IF('A-80 DirEntInv'!#REF!&lt;&gt;"",'A-80 DirEntInv'!#REF!,IF(AK153=summaryref2!B14,summaryref2!M14,IF(Summary!AK153=summaryref2!B28,summaryref2!M28,IF(AK153=summaryref2!B42,summaryref2!M42,IF(AK153=summaryref2!B56,summaryref2!M56,IF(AK153=summaryref2!B70,summaryref2!M70,IF(AK153=summaryref2!B84,summaryref2!M84,IF(AK153=summaryref2!B98,summaryref2!M98,IF(AK153=summaryref2!B112,summaryref2!M112,IF(AK153=summaryref2!B126,summaryref2!M126,IF(AK153=summaryref2!B140,summaryref2!M140,"")))))))))))</f>
        <v>#REF!</v>
      </c>
      <c r="AX153" s="1110" t="e">
        <f>IF('A-80 DirEntInv'!#REF!&lt;&gt;"",'A-80 DirEntInv'!#REF!,IF(AK153=summaryref2!B14,summaryref2!N14,IF(Summary!AK153=summaryref2!B28,summaryref2!N28,IF(AK153=summaryref2!B42,summaryref2!N42,IF(AK153=summaryref2!B56,summaryref2!N56,IF(AK153=summaryref2!B70,summaryref2!N70,IF(AK153=summaryref2!B84,summaryref2!N84,IF(AK153=summaryref2!B98,summaryref2!N98,IF(AK153=summaryref2!B112,summaryref2!N112,IF(AK153=summaryref2!B126,summaryref2!N126,IF(AK153=summaryref2!B140,summaryref2!N140,"")))))))))))</f>
        <v>#REF!</v>
      </c>
      <c r="AY153" s="1110" t="e">
        <f>IF('A-80 DirEntInv'!#REF!&lt;&gt;"",'A-80 DirEntInv'!#REF!,IF(AK153=summaryref2!B14,summaryref2!O14,IF(Summary!AK153=summaryref2!B28,summaryref2!O28,IF(AK153=summaryref2!B42,summaryref2!O42,IF(AK153=summaryref2!B56,summaryref2!O56,IF(AK153=summaryref2!B70,summaryref2!O70,IF(AK153=summaryref2!B84,summaryref2!O84,IF(AK153=summaryref2!B98,summaryref2!O98,IF(AK153=summaryref2!B112,summaryref2!O112,IF(AK153=summaryref2!B126,summaryref2!O126,IF(AK153=summaryref2!B140,summaryref2!O140,"")))))))))))</f>
        <v>#REF!</v>
      </c>
      <c r="AZ153" s="1110" t="e">
        <f>IF('A-80 DirEntInv'!#REF!&lt;&gt;"",'A-80 DirEntInv'!#REF!,IF(AK153=summaryref2!B14,summaryref2!P14,IF(Summary!AK153=summaryref2!B28,summaryref2!P28,IF(AK153=summaryref2!B42,summaryref2!P42,IF(AK153=summaryref2!B56,summaryref2!P56,IF(AK153=summaryref2!B70,summaryref2!P70,IF(AK153=summaryref2!B84,summaryref2!P84,IF(AK153=summaryref2!B98,summaryref2!P98,IF(AK153=summaryref2!B112,summaryref2!P112,IF(AK153=summaryref2!B126,summaryref2!P126,IF(AK153=summaryref2!B140,summaryref2!P140,"")))))))))))</f>
        <v>#REF!</v>
      </c>
      <c r="BA153" s="1110" t="e">
        <f>IF('A-80 DirEntInv'!#REF!&lt;&gt;"",'A-80 DirEntInv'!#REF!,IF(AK153=summaryref2!B14,summaryref2!Q14,IF(Summary!AK153=summaryref2!B28,summaryref2!Q28,IF(AK153=summaryref2!B42,summaryref2!Q42,IF(AK153=summaryref2!B56,summaryref2!Q56,IF(AK153=summaryref2!B70,summaryref2!Q70,IF(AK153=summaryref2!B84,summaryref2!Q84,IF(AK153=summaryref2!B98,summaryref2!Q98,IF(AK153=summaryref2!B112,summaryref2!Q112,IF(AK153=summaryref2!B126,summaryref2!Q126,IF(AK153=summaryref2!B140,summaryref2!Q140,"")))))))))))</f>
        <v>#REF!</v>
      </c>
      <c r="BB153" s="1110" t="e">
        <f>IF('A-80 DirEntInv'!#REF!&lt;&gt;"",'A-80 DirEntInv'!#REF!,IF(AK153=summaryref2!B14,summaryref2!R14,IF(Summary!AK153=summaryref2!B28,summaryref2!R28,IF(AK153=summaryref2!B42,summaryref2!R42,IF(AK153=summaryref2!B56,summaryref2!R56,IF(AK153=summaryref2!B70,summaryref2!R70,IF(AK153=summaryref2!B84,summaryref2!R84,IF(AK153=summaryref2!B98,summaryref2!R98,IF(AK153=summaryref2!B112,summaryref2!R112,IF(AK153=summaryref2!B126,summaryref2!R126,IF(AK153=summaryref2!B140,summaryref2!R140,"")))))))))))</f>
        <v>#REF!</v>
      </c>
      <c r="BC153" s="1110" t="e">
        <f>IF('A-80 DirEntInv'!#REF!&lt;&gt;0,'A-80 DirEntInv'!#REF!,IF(AK153=summaryref2!B14,summaryref2!S14,IF(Summary!AK153=summaryref2!B28,summaryref2!S28,IF(AK153=summaryref2!B42,summaryref2!S42,IF(AK153=summaryref2!B56,summaryref2!S56,IF(AK153=summaryref2!B70,summaryref2!S70,IF(AK153=summaryref2!B84,summaryref2!S84,IF(AK153=summaryref2!B98,summaryref2!S98,IF(AK153=summaryref2!B112,summaryref2!S112,IF(AK153=summaryref2!B126,summaryref2!S126,IF(AK153=summaryref2!B140,summaryref2!S140,"")))))))))))</f>
        <v>#REF!</v>
      </c>
      <c r="BD153" s="1111" t="e">
        <f>IF('A-80 DirEntInv'!#REF!&lt;&gt;"",'A-80 DirEntInv'!#REF!,IF(AK153=summaryref2!B14,summaryref2!T14,IF(Summary!AK153=summaryref2!B28,summaryref2!T28,IF(AK153=summaryref2!B42,summaryref2!T42,IF(AK153=summaryref2!B56,summaryref2!T56,IF(AK153=summaryref2!B70,summaryref2!T70,IF(AK153=summaryref2!B84,summaryref2!T84,IF(AK153=summaryref2!B98,summaryref2!T98,IF(AK153=summaryref2!B112,summaryref2!T112,IF(AK153=summaryref2!B126,summaryref2!T126,IF(AK153=summaryref2!B140,summaryref2!T140,"")))))))))))</f>
        <v>#REF!</v>
      </c>
      <c r="BE153" s="1184" t="e">
        <f>IF('A-80 DirEntInv'!#REF!&lt;&gt;"",'A-80 DirEntInv'!#REF!,IF(AK153=summaryref2!B14,summaryref2!U14,IF(Summary!AK153=summaryref2!B28,summaryref2!U28,IF(AK153=summaryref2!B42,summaryref2!U42,IF(AK153=summaryref2!B56,summaryref2!U56,IF(AK153=summaryref2!B70,summaryref2!U70,IF(AK153=summaryref2!B84,summaryref2!U84,IF(AK153=summaryref2!B98,summaryref2!U98,IF(AK153=summaryref2!B112,summaryref2!U112,IF(AK153=summaryref2!B126,summaryref2!U126,IF(AK153=summaryref2!B140,summaryref2!U140,"")))))))))))</f>
        <v>#REF!</v>
      </c>
      <c r="BF153" s="1432"/>
      <c r="BG153" s="1432"/>
      <c r="BJ153" s="1041" t="s">
        <v>2204</v>
      </c>
      <c r="BK153" s="1384" t="e">
        <f>IF('A-80 DirEntInv'!#REF!&lt;&gt;"",'A-80 DirEntInv'!#REF!,VLOOKUP(Summary!BJ153,Codes!$L$181:$L$199,2,FALSE))</f>
        <v>#REF!</v>
      </c>
      <c r="BU153" s="962"/>
      <c r="CD153" s="589"/>
      <c r="CE153" s="590"/>
      <c r="CF153" s="590"/>
      <c r="CG153" s="590"/>
      <c r="CH153" s="590"/>
      <c r="CI153" s="590"/>
      <c r="CJ153" s="589"/>
      <c r="CK153" s="589"/>
      <c r="CL153" s="589"/>
      <c r="CM153" s="587"/>
      <c r="CN153" s="587"/>
      <c r="CO153" s="589"/>
      <c r="CP153" s="587"/>
      <c r="CQ153" s="592"/>
      <c r="CR153" s="589"/>
      <c r="CS153" s="592"/>
      <c r="CT153" s="589"/>
      <c r="CU153" s="589"/>
      <c r="CV153" s="589"/>
      <c r="CW153" s="587"/>
      <c r="CX153" s="590"/>
      <c r="CY153" s="590"/>
      <c r="CZ153" s="590"/>
      <c r="DA153" s="1054"/>
      <c r="DB153" s="1054"/>
      <c r="DC153" s="587"/>
      <c r="DD153" s="587"/>
    </row>
    <row r="154" spans="1:108" s="588" customFormat="1" x14ac:dyDescent="0.2">
      <c r="A154" s="589">
        <f t="shared" si="2"/>
        <v>144</v>
      </c>
      <c r="B154" s="587"/>
      <c r="C154" s="587"/>
      <c r="D154" s="587"/>
      <c r="J154" s="589"/>
      <c r="K154" s="590"/>
      <c r="L154" s="591"/>
      <c r="M154" s="592"/>
      <c r="N154" s="589"/>
      <c r="O154" s="587"/>
      <c r="R154" s="1052"/>
      <c r="S154" s="1052"/>
      <c r="T154" s="1052"/>
      <c r="U154" s="1052"/>
      <c r="V154" s="1052"/>
      <c r="W154" s="1053"/>
      <c r="X154" s="1053"/>
      <c r="Y154" s="1053"/>
      <c r="Z154" s="1052"/>
      <c r="AA154" s="1052"/>
      <c r="AB154" s="962"/>
      <c r="AC154" s="590"/>
      <c r="AD154" s="590"/>
      <c r="AE154" s="591"/>
      <c r="AF154" s="592"/>
      <c r="AG154" s="1053"/>
      <c r="AH154" s="587"/>
      <c r="AK154" s="1041" t="str">
        <f>Codes!$C$166</f>
        <v>LR - Light Rail (PT)</v>
      </c>
      <c r="AL154" s="1042" t="str">
        <f>Valid!$B$74</f>
        <v>Elevated/Concrete</v>
      </c>
      <c r="AM154" s="1108" t="e">
        <f>IF('A-80 DirEntInv'!#REF!&lt;&gt;"",'A-80 DirEntInv'!#REF!,IF(AK154=summaryref2!B15,summaryref2!D15,IF(Summary!AK154=summaryref2!B29,summaryref2!D29,IF(AK154=summaryref2!B43,summaryref2!D43,IF(AK154=summaryref2!B57,summaryref2!D57,IF(AK154=summaryref2!B71,summaryref2!D71,IF(AK154=summaryref2!B85,summaryref2!D85,IF(AK154=summaryref2!B99,summaryref2!D99,IF(AK154=summaryref2!B113,summaryref2!D113,IF(AK154=summaryref2!B127,summaryref2!D127,IF(AK154=summaryref2!B141,summaryref2!D141,"")))))))))))</f>
        <v>#REF!</v>
      </c>
      <c r="AN154" s="1109" t="e">
        <f ca="1">IF('A-80 DirEntInv'!#REF!&lt;&gt;"",'A-80 DirEntInv'!#REF!,IF(INDIRECT(ADDRESS(SumRef!CG151,SumRef!CG$16,,,SumRef!$C$7))="","",INDIRECT(ADDRESS(SumRef!CG151,SumRef!CG$16,,,SumRef!$C$7))))</f>
        <v>#REF!</v>
      </c>
      <c r="AO154" s="1108" t="e">
        <f>IF('A-80 DirEntInv'!#REF!&lt;&gt;"",'A-80 DirEntInv'!#REF!,IF(AK154=summaryref2!B15,summaryref2!F15,IF(Summary!AK154=summaryref2!B29,summaryref2!F29,IF(AK154=summaryref2!B43,summaryref2!F43,IF(AK154=summaryref2!B57,summaryref2!F57,IF(AK154=summaryref2!B71,summaryref2!F71,IF(AK154=summaryref2!B85,summaryref2!F85,IF(AK154=summaryref2!B99,summaryref2!F99,IF(AK154=summaryref2!B113,summaryref2!F113,IF(AK154=summaryref2!B127,summaryref2!F127,IF(AK154=summaryref2!B141,summaryref2!F141,"")))))))))))</f>
        <v>#REF!</v>
      </c>
      <c r="AP154" s="1109" t="e">
        <f ca="1">IF('A-80 DirEntInv'!#REF!&lt;&gt;"",'A-80 DirEntInv'!#REF!,IF(INDIRECT(ADDRESS(SumRef!#REF!,SumRef!#REF!,,,SumRef!$C$7))="","",INDIRECT(ADDRESS(SumRef!#REF!,SumRef!#REF!,,,SumRef!$C$7))))</f>
        <v>#REF!</v>
      </c>
      <c r="AQ154" s="1147" t="e">
        <f>IF('A-80 DirEntInv'!#REF!&lt;&gt;"",'A-80 DirEntInv'!#REF!,IF(AK154=summaryref2!B15,summaryref2!G15,IF(Summary!AK154=summaryref2!B29,summaryref2!G29,IF(AK154=summaryref2!B43,summaryref2!G43,IF(AK154=summaryref2!B57,summaryref2!G57,IF(AK154=summaryref2!B71,summaryref2!G71,IF(AK154=summaryref2!B85,summaryref2!G85,IF(AK154=summaryref2!B99,summaryref2!G99,IF(AK154=summaryref2!B113,summaryref2!G113,IF(AK154=summaryref2!B127,summaryref2!G127,IF(AK154=summaryref2!B141,summaryref2!G141,"")))))))))))</f>
        <v>#REF!</v>
      </c>
      <c r="AR154" s="1147" t="e">
        <f>IF('A-80 DirEntInv'!#REF!&lt;&gt;"",'A-80 DirEntInv'!#REF!,IF(AK154=summaryref2!B15,summaryref2!H15,IF(Summary!AK154=summaryref2!B29,summaryref2!H29,IF(AK154=summaryref2!B43,summaryref2!H43,IF(AK154=summaryref2!B57,summaryref2!H57,IF(AK154=summaryref2!B71,summaryref2!H71,IF(AK154=summaryref2!B85,summaryref2!H85,IF(AK154=summaryref2!B99,summaryref2!H99,IF(AK154=summaryref2!B113,summaryref2!H113,IF(AK154=summaryref2!B127,summaryref2!H127,IF(AK154=summaryref2!B141,summaryref2!H141,"")))))))))))</f>
        <v>#REF!</v>
      </c>
      <c r="AS154" s="1110" t="e">
        <f>IF('A-80 DirEntInv'!#REF!&lt;&gt;"",'A-80 DirEntInv'!#REF!,IF(AK154=summaryref2!B15,summaryref2!I15,IF(Summary!AK154=summaryref2!B29,summaryref2!I29,IF(AK154=summaryref2!B43,summaryref2!I43,IF(AK154=summaryref2!B57,summaryref2!I57,IF(AK154=summaryref2!B71,summaryref2!I71,IF(AK154=summaryref2!B85,summaryref2!I85,IF(AK154=summaryref2!B99,summaryref2!I99,IF(AK154=summaryref2!B113,summaryref2!I113,IF(AK154=summaryref2!B127,summaryref2!I127,IF(AK154=summaryref2!B141,summaryref2!I141,"")))))))))))</f>
        <v>#REF!</v>
      </c>
      <c r="AT154" s="1110" t="e">
        <f>IF('A-80 DirEntInv'!#REF!&lt;&gt;"",'A-80 DirEntInv'!#REF!,IF(AK154=summaryref2!B15,summaryref2!J15,IF(Summary!AK154=summaryref2!B29,summaryref2!J29,IF(AK154=summaryref2!B43,summaryref2!J43,IF(AK154=summaryref2!B57,summaryref2!J57,IF(AK154=summaryref2!B71,summaryref2!J71,IF(AK154=summaryref2!B85,summaryref2!J85,IF(AK154=summaryref2!B99,summaryref2!J99,IF(AK154=summaryref2!B113,summaryref2!J113,IF(AK154=summaryref2!B127,summaryref2!J127,IF(AK154=summaryref2!B141,summaryref2!J141,"")))))))))))</f>
        <v>#REF!</v>
      </c>
      <c r="AU154" s="1110" t="e">
        <f>IF('A-80 DirEntInv'!#REF!&lt;&gt;"",'A-80 DirEntInv'!#REF!,IF(AK154=summaryref2!B15,summaryref2!K15,IF(Summary!AK154=summaryref2!B29,summaryref2!K29,IF(AK154=summaryref2!B43,summaryref2!K43,IF(AK154=summaryref2!B57,summaryref2!K57,IF(AK154=summaryref2!B71,summaryref2!K71,IF(AK154=summaryref2!B85,summaryref2!K85,IF(AK154=summaryref2!B99,summaryref2!K99,IF(AK154=summaryref2!B113,summaryref2!K113,IF(AK154=summaryref2!B127,summaryref2!K127,IF(AK154=summaryref2!B141,summaryref2!K141,"")))))))))))</f>
        <v>#REF!</v>
      </c>
      <c r="AV154" s="1110" t="e">
        <f>IF('A-80 DirEntInv'!#REF!&lt;&gt;"",'A-80 DirEntInv'!#REF!,IF(AK154=summaryref2!B15,summaryref2!L15,IF(Summary!AK154=summaryref2!B29,summaryref2!L29,IF(AK154=summaryref2!B43,summaryref2!L43,IF(AK154=summaryref2!B57,summaryref2!L57,IF(AK154=summaryref2!B71,summaryref2!L71,IF(AK154=summaryref2!B85,summaryref2!L85,IF(AK154=summaryref2!B99,summaryref2!L99,IF(AK154=summaryref2!B113,summaryref2!L113,IF(AK154=summaryref2!B127,summaryref2!L127,IF(AK154=summaryref2!B141,summaryref2!L141,"")))))))))))</f>
        <v>#REF!</v>
      </c>
      <c r="AW154" s="1110" t="e">
        <f>IF('A-80 DirEntInv'!#REF!&lt;&gt;"",'A-80 DirEntInv'!#REF!,IF(AK154=summaryref2!B15,summaryref2!M15,IF(Summary!AK154=summaryref2!B29,summaryref2!M29,IF(AK154=summaryref2!B43,summaryref2!M43,IF(AK154=summaryref2!B57,summaryref2!M57,IF(AK154=summaryref2!B71,summaryref2!M71,IF(AK154=summaryref2!B85,summaryref2!M85,IF(AK154=summaryref2!B99,summaryref2!M99,IF(AK154=summaryref2!B113,summaryref2!M113,IF(AK154=summaryref2!B127,summaryref2!M127,IF(AK154=summaryref2!B141,summaryref2!M141,"")))))))))))</f>
        <v>#REF!</v>
      </c>
      <c r="AX154" s="1110" t="e">
        <f>IF('A-80 DirEntInv'!#REF!&lt;&gt;"",'A-80 DirEntInv'!#REF!,IF(AK154=summaryref2!B15,summaryref2!N15,IF(Summary!AK154=summaryref2!B29,summaryref2!N29,IF(AK154=summaryref2!B43,summaryref2!N43,IF(AK154=summaryref2!B57,summaryref2!N57,IF(AK154=summaryref2!B71,summaryref2!N71,IF(AK154=summaryref2!B85,summaryref2!N85,IF(AK154=summaryref2!B99,summaryref2!N99,IF(AK154=summaryref2!B113,summaryref2!N113,IF(AK154=summaryref2!B127,summaryref2!N127,IF(AK154=summaryref2!B141,summaryref2!N141,"")))))))))))</f>
        <v>#REF!</v>
      </c>
      <c r="AY154" s="1110" t="e">
        <f>IF('A-80 DirEntInv'!#REF!&lt;&gt;"",'A-80 DirEntInv'!#REF!,IF(AK154=summaryref2!B15,summaryref2!O15,IF(Summary!AK154=summaryref2!B29,summaryref2!O29,IF(AK154=summaryref2!B43,summaryref2!O43,IF(AK154=summaryref2!B57,summaryref2!O57,IF(AK154=summaryref2!B71,summaryref2!O71,IF(AK154=summaryref2!B85,summaryref2!O85,IF(AK154=summaryref2!B99,summaryref2!O99,IF(AK154=summaryref2!B113,summaryref2!O113,IF(AK154=summaryref2!B127,summaryref2!O127,IF(AK154=summaryref2!B141,summaryref2!O141,"")))))))))))</f>
        <v>#REF!</v>
      </c>
      <c r="AZ154" s="1110" t="e">
        <f>IF('A-80 DirEntInv'!#REF!&lt;&gt;"",'A-80 DirEntInv'!#REF!,IF(AK154=summaryref2!B15,summaryref2!P15,IF(Summary!AK154=summaryref2!B29,summaryref2!P29,IF(AK154=summaryref2!B43,summaryref2!P43,IF(AK154=summaryref2!B57,summaryref2!P57,IF(AK154=summaryref2!B71,summaryref2!P71,IF(AK154=summaryref2!B85,summaryref2!P85,IF(AK154=summaryref2!B99,summaryref2!P99,IF(AK154=summaryref2!B113,summaryref2!P113,IF(AK154=summaryref2!B127,summaryref2!P127,IF(AK154=summaryref2!B141,summaryref2!P141,"")))))))))))</f>
        <v>#REF!</v>
      </c>
      <c r="BA154" s="1110" t="e">
        <f>IF('A-80 DirEntInv'!#REF!&lt;&gt;"",'A-80 DirEntInv'!#REF!,IF(AK154=summaryref2!B15,summaryref2!Q15,IF(Summary!AK154=summaryref2!B29,summaryref2!Q29,IF(AK154=summaryref2!B43,summaryref2!Q43,IF(AK154=summaryref2!B57,summaryref2!Q57,IF(AK154=summaryref2!B71,summaryref2!Q71,IF(AK154=summaryref2!B85,summaryref2!Q85,IF(AK154=summaryref2!B99,summaryref2!Q99,IF(AK154=summaryref2!B113,summaryref2!Q113,IF(AK154=summaryref2!B127,summaryref2!Q127,IF(AK154=summaryref2!B141,summaryref2!Q141,"")))))))))))</f>
        <v>#REF!</v>
      </c>
      <c r="BB154" s="1110" t="e">
        <f>IF('A-80 DirEntInv'!#REF!&lt;&gt;"",'A-80 DirEntInv'!#REF!,IF(AK154=summaryref2!B15,summaryref2!R15,IF(Summary!AK154=summaryref2!B29,summaryref2!R29,IF(AK154=summaryref2!B43,summaryref2!R43,IF(AK154=summaryref2!B57,summaryref2!R57,IF(AK154=summaryref2!B71,summaryref2!R71,IF(AK154=summaryref2!B85,summaryref2!R85,IF(AK154=summaryref2!B99,summaryref2!R99,IF(AK154=summaryref2!B113,summaryref2!R113,IF(AK154=summaryref2!B127,summaryref2!R127,IF(AK154=summaryref2!B141,summaryref2!R141,"")))))))))))</f>
        <v>#REF!</v>
      </c>
      <c r="BC154" s="1110" t="e">
        <f>IF('A-80 DirEntInv'!#REF!&lt;&gt;0,'A-80 DirEntInv'!#REF!,IF(AK154=summaryref2!B15,summaryref2!S15,IF(Summary!AK154=summaryref2!B29,summaryref2!S29,IF(AK154=summaryref2!B43,summaryref2!S43,IF(AK154=summaryref2!B57,summaryref2!S57,IF(AK154=summaryref2!B71,summaryref2!S71,IF(AK154=summaryref2!B85,summaryref2!S85,IF(AK154=summaryref2!B99,summaryref2!S99,IF(AK154=summaryref2!B113,summaryref2!S113,IF(AK154=summaryref2!B127,summaryref2!S127,IF(AK154=summaryref2!B141,summaryref2!S141,"")))))))))))</f>
        <v>#REF!</v>
      </c>
      <c r="BD154" s="1111" t="e">
        <f>IF('A-80 DirEntInv'!#REF!&lt;&gt;"",'A-80 DirEntInv'!#REF!,IF(AK154=summaryref2!B15,summaryref2!T15,IF(Summary!AK154=summaryref2!B29,summaryref2!T29,IF(AK154=summaryref2!B43,summaryref2!T43,IF(AK154=summaryref2!B57,summaryref2!T57,IF(AK154=summaryref2!B71,summaryref2!T71,IF(AK154=summaryref2!B85,summaryref2!T85,IF(AK154=summaryref2!B99,summaryref2!T99,IF(AK154=summaryref2!B113,summaryref2!T113,IF(AK154=summaryref2!B127,summaryref2!T127,IF(AK154=summaryref2!B141,summaryref2!T141,"")))))))))))</f>
        <v>#REF!</v>
      </c>
      <c r="BE154" s="1184" t="e">
        <f>IF('A-80 DirEntInv'!#REF!&lt;&gt;"",'A-80 DirEntInv'!#REF!,IF(AK154=summaryref2!B15,summaryref2!U15,IF(Summary!AK154=summaryref2!B29,summaryref2!U29,IF(AK154=summaryref2!B43,summaryref2!U43,IF(AK154=summaryref2!B57,summaryref2!U57,IF(AK154=summaryref2!B71,summaryref2!U71,IF(AK154=summaryref2!B85,summaryref2!U85,IF(AK154=summaryref2!B99,summaryref2!U99,IF(AK154=summaryref2!B113,summaryref2!U113,IF(AK154=summaryref2!B127,summaryref2!U127,IF(AK154=summaryref2!B141,summaryref2!U141,"")))))))))))</f>
        <v>#REF!</v>
      </c>
      <c r="BF154" s="1432"/>
      <c r="BG154" s="1432"/>
      <c r="BJ154" s="1041" t="s">
        <v>2213</v>
      </c>
      <c r="BK154" s="1384" t="e">
        <f>IF('A-80 DirEntInv'!#REF!&lt;&gt;"",'A-80 DirEntInv'!#REF!,VLOOKUP(Summary!BJ154,Codes!$L$181:$L$199,2,FALSE))</f>
        <v>#REF!</v>
      </c>
      <c r="BU154" s="962"/>
      <c r="CD154" s="589"/>
      <c r="CE154" s="590"/>
      <c r="CF154" s="590"/>
      <c r="CG154" s="590"/>
      <c r="CH154" s="590"/>
      <c r="CI154" s="590"/>
      <c r="CJ154" s="589"/>
      <c r="CK154" s="589"/>
      <c r="CL154" s="589"/>
      <c r="CM154" s="587"/>
      <c r="CN154" s="587"/>
      <c r="CO154" s="589"/>
      <c r="CP154" s="587"/>
      <c r="CQ154" s="592"/>
      <c r="CR154" s="589"/>
      <c r="CS154" s="592"/>
      <c r="CT154" s="589"/>
      <c r="CU154" s="589"/>
      <c r="CV154" s="589"/>
      <c r="CW154" s="587"/>
      <c r="CX154" s="590"/>
      <c r="CY154" s="590"/>
      <c r="CZ154" s="590"/>
      <c r="DA154" s="1054"/>
      <c r="DB154" s="1054"/>
      <c r="DC154" s="587"/>
      <c r="DD154" s="587"/>
    </row>
    <row r="155" spans="1:108" s="588" customFormat="1" x14ac:dyDescent="0.2">
      <c r="A155" s="589">
        <f t="shared" si="2"/>
        <v>145</v>
      </c>
      <c r="B155" s="587"/>
      <c r="C155" s="587"/>
      <c r="D155" s="587"/>
      <c r="J155" s="589"/>
      <c r="K155" s="590"/>
      <c r="L155" s="591"/>
      <c r="M155" s="592"/>
      <c r="N155" s="589"/>
      <c r="O155" s="587"/>
      <c r="R155" s="1052"/>
      <c r="S155" s="1052"/>
      <c r="T155" s="1052"/>
      <c r="U155" s="1052"/>
      <c r="V155" s="1052"/>
      <c r="W155" s="1053"/>
      <c r="X155" s="1053"/>
      <c r="Y155" s="1053"/>
      <c r="Z155" s="1052"/>
      <c r="AA155" s="1052"/>
      <c r="AB155" s="962"/>
      <c r="AC155" s="590"/>
      <c r="AD155" s="590"/>
      <c r="AE155" s="591"/>
      <c r="AF155" s="592"/>
      <c r="AG155" s="1053"/>
      <c r="AH155" s="587"/>
      <c r="AK155" s="1041" t="str">
        <f>Codes!$C$166</f>
        <v>LR - Light Rail (PT)</v>
      </c>
      <c r="AL155" s="1042" t="str">
        <f>Valid!$B$75</f>
        <v>Elevated/Steel Viaduct or Bridge</v>
      </c>
      <c r="AM155" s="1108" t="e">
        <f>IF('A-80 DirEntInv'!#REF!&lt;&gt;"",'A-80 DirEntInv'!#REF!,IF(AK155=summaryref2!B16,summaryref2!D16,IF(Summary!AK155=summaryref2!B30,summaryref2!D30,IF(AK155=summaryref2!B44,summaryref2!D44,IF(AK155=summaryref2!B58,summaryref2!D58,IF(AK155=summaryref2!B72,summaryref2!D72,IF(AK155=summaryref2!B86,summaryref2!D86,IF(AK155=summaryref2!B100,summaryref2!D100,IF(AK155=summaryref2!B114,summaryref2!D114,IF(AK155=summaryref2!B128,summaryref2!D128,IF(AK155=summaryref2!B142,summaryref2!D142,"")))))))))))</f>
        <v>#REF!</v>
      </c>
      <c r="AN155" s="1109" t="e">
        <f ca="1">IF('A-80 DirEntInv'!#REF!&lt;&gt;"",'A-80 DirEntInv'!#REF!,IF(INDIRECT(ADDRESS(SumRef!CG197,SumRef!CG$16,,,SumRef!$C$7))="","",INDIRECT(ADDRESS(SumRef!CG197,SumRef!CG$16,,,SumRef!$C$7))))</f>
        <v>#REF!</v>
      </c>
      <c r="AO155" s="1108" t="e">
        <f>IF('A-80 DirEntInv'!#REF!&lt;&gt;"",'A-80 DirEntInv'!#REF!,IF(AK155=summaryref2!B16,summaryref2!F16,IF(Summary!AK155=summaryref2!B30,summaryref2!F30,IF(AK155=summaryref2!B44,summaryref2!F44,IF(AK155=summaryref2!B58,summaryref2!F58,IF(AK155=summaryref2!B72,summaryref2!F72,IF(AK155=summaryref2!B86,summaryref2!F86,IF(AK155=summaryref2!B100,summaryref2!F100,IF(AK155=summaryref2!B114,summaryref2!F114,IF(AK155=summaryref2!B128,summaryref2!F128,IF(AK155=summaryref2!B142,summaryref2!F142,"")))))))))))</f>
        <v>#REF!</v>
      </c>
      <c r="AP155" s="1109" t="e">
        <f ca="1">IF('A-80 DirEntInv'!#REF!&lt;&gt;"",'A-80 DirEntInv'!#REF!,IF(INDIRECT(ADDRESS(SumRef!#REF!,SumRef!#REF!,,,SumRef!$C$7))="","",INDIRECT(ADDRESS(SumRef!#REF!,SumRef!#REF!,,,SumRef!$C$7))))</f>
        <v>#REF!</v>
      </c>
      <c r="AQ155" s="1147" t="e">
        <f>IF('A-80 DirEntInv'!#REF!&lt;&gt;"",'A-80 DirEntInv'!#REF!,IF(AK155=summaryref2!B16,summaryref2!G16,IF(Summary!AK155=summaryref2!B30,summaryref2!G30,IF(AK155=summaryref2!B44,summaryref2!G44,IF(AK155=summaryref2!B58,summaryref2!G58,IF(AK155=summaryref2!B72,summaryref2!G72,IF(AK155=summaryref2!B86,summaryref2!G86,IF(AK155=summaryref2!B100,summaryref2!G100,IF(AK155=summaryref2!B114,summaryref2!G114,IF(AK155=summaryref2!B128,summaryref2!G128,IF(AK155=summaryref2!B142,summaryref2!G142,"")))))))))))</f>
        <v>#REF!</v>
      </c>
      <c r="AR155" s="1147" t="e">
        <f>IF('A-80 DirEntInv'!#REF!&lt;&gt;"",'A-80 DirEntInv'!#REF!,IF(AK155=summaryref2!B16,summaryref2!H16,IF(Summary!AK155=summaryref2!B30,summaryref2!H30,IF(AK155=summaryref2!B44,summaryref2!H44,IF(AK155=summaryref2!B58,summaryref2!H58,IF(AK155=summaryref2!B72,summaryref2!H72,IF(AK155=summaryref2!B86,summaryref2!H86,IF(AK155=summaryref2!B100,summaryref2!H100,IF(AK155=summaryref2!B114,summaryref2!H114,IF(AK155=summaryref2!B128,summaryref2!H128,IF(AK155=summaryref2!B142,summaryref2!H142,"")))))))))))</f>
        <v>#REF!</v>
      </c>
      <c r="AS155" s="1110" t="e">
        <f>IF('A-80 DirEntInv'!#REF!&lt;&gt;"",'A-80 DirEntInv'!#REF!,IF(AK155=summaryref2!B16,summaryref2!I16,IF(Summary!AK155=summaryref2!B30,summaryref2!I30,IF(AK155=summaryref2!B44,summaryref2!I44,IF(AK155=summaryref2!B58,summaryref2!I58,IF(AK155=summaryref2!B72,summaryref2!I72,IF(AK155=summaryref2!B86,summaryref2!I86,IF(AK155=summaryref2!B100,summaryref2!I100,IF(AK155=summaryref2!B114,summaryref2!I114,IF(AK155=summaryref2!B128,summaryref2!I128,IF(AK155=summaryref2!B142,summaryref2!I142,"")))))))))))</f>
        <v>#REF!</v>
      </c>
      <c r="AT155" s="1110" t="e">
        <f>IF('A-80 DirEntInv'!#REF!&lt;&gt;"",'A-80 DirEntInv'!#REF!,IF(AK155=summaryref2!B16,summaryref2!J16,IF(Summary!AK155=summaryref2!B30,summaryref2!J30,IF(AK155=summaryref2!B44,summaryref2!J44,IF(AK155=summaryref2!B58,summaryref2!J58,IF(AK155=summaryref2!B72,summaryref2!J72,IF(AK155=summaryref2!B86,summaryref2!J86,IF(AK155=summaryref2!B100,summaryref2!J100,IF(AK155=summaryref2!B114,summaryref2!J114,IF(AK155=summaryref2!B128,summaryref2!J128,IF(AK155=summaryref2!B142,summaryref2!J142,"")))))))))))</f>
        <v>#REF!</v>
      </c>
      <c r="AU155" s="1110" t="e">
        <f>IF('A-80 DirEntInv'!#REF!&lt;&gt;"",'A-80 DirEntInv'!#REF!,IF(AK155=summaryref2!B16,summaryref2!K16,IF(Summary!AK155=summaryref2!B30,summaryref2!K30,IF(AK155=summaryref2!B44,summaryref2!K44,IF(AK155=summaryref2!B58,summaryref2!K58,IF(AK155=summaryref2!B72,summaryref2!K72,IF(AK155=summaryref2!B86,summaryref2!K86,IF(AK155=summaryref2!B100,summaryref2!K100,IF(AK155=summaryref2!B114,summaryref2!K114,IF(AK155=summaryref2!B128,summaryref2!K128,IF(AK155=summaryref2!B142,summaryref2!K142,"")))))))))))</f>
        <v>#REF!</v>
      </c>
      <c r="AV155" s="1110" t="e">
        <f>IF('A-80 DirEntInv'!#REF!&lt;&gt;"",'A-80 DirEntInv'!#REF!,IF(AK155=summaryref2!B16,summaryref2!L16,IF(Summary!AK155=summaryref2!B30,summaryref2!L30,IF(AK155=summaryref2!B44,summaryref2!L44,IF(AK155=summaryref2!B58,summaryref2!L58,IF(AK155=summaryref2!B72,summaryref2!L72,IF(AK155=summaryref2!B86,summaryref2!L86,IF(AK155=summaryref2!B100,summaryref2!L100,IF(AK155=summaryref2!B114,summaryref2!L114,IF(AK155=summaryref2!B128,summaryref2!L128,IF(AK155=summaryref2!B142,summaryref2!L142,"")))))))))))</f>
        <v>#REF!</v>
      </c>
      <c r="AW155" s="1110" t="e">
        <f>IF('A-80 DirEntInv'!#REF!&lt;&gt;"",'A-80 DirEntInv'!#REF!,IF(AK155=summaryref2!B16,summaryref2!M16,IF(Summary!AK155=summaryref2!B30,summaryref2!M30,IF(AK155=summaryref2!B44,summaryref2!M44,IF(AK155=summaryref2!B58,summaryref2!M58,IF(AK155=summaryref2!B72,summaryref2!M72,IF(AK155=summaryref2!B86,summaryref2!M86,IF(AK155=summaryref2!B100,summaryref2!M100,IF(AK155=summaryref2!B114,summaryref2!M114,IF(AK155=summaryref2!B128,summaryref2!M128,IF(AK155=summaryref2!B142,summaryref2!M142,"")))))))))))</f>
        <v>#REF!</v>
      </c>
      <c r="AX155" s="1110" t="e">
        <f>IF('A-80 DirEntInv'!#REF!&lt;&gt;"",'A-80 DirEntInv'!#REF!,IF(AK155=summaryref2!B16,summaryref2!N16,IF(Summary!AK155=summaryref2!B30,summaryref2!N30,IF(AK155=summaryref2!B44,summaryref2!N44,IF(AK155=summaryref2!B58,summaryref2!N58,IF(AK155=summaryref2!B72,summaryref2!N72,IF(AK155=summaryref2!B86,summaryref2!N86,IF(AK155=summaryref2!B100,summaryref2!N100,IF(AK155=summaryref2!B114,summaryref2!N114,IF(AK155=summaryref2!B128,summaryref2!N128,IF(AK155=summaryref2!B142,summaryref2!N142,"")))))))))))</f>
        <v>#REF!</v>
      </c>
      <c r="AY155" s="1110" t="e">
        <f>IF('A-80 DirEntInv'!#REF!&lt;&gt;"",'A-80 DirEntInv'!#REF!,IF(AK155=summaryref2!B16,summaryref2!O16,IF(Summary!AK155=summaryref2!B30,summaryref2!O30,IF(AK155=summaryref2!B44,summaryref2!O44,IF(AK155=summaryref2!B58,summaryref2!O58,IF(AK155=summaryref2!B72,summaryref2!O72,IF(AK155=summaryref2!B86,summaryref2!O86,IF(AK155=summaryref2!B100,summaryref2!O100,IF(AK155=summaryref2!B114,summaryref2!O114,IF(AK155=summaryref2!B128,summaryref2!O128,IF(AK155=summaryref2!B142,summaryref2!O142,"")))))))))))</f>
        <v>#REF!</v>
      </c>
      <c r="AZ155" s="1110" t="e">
        <f>IF('A-80 DirEntInv'!#REF!&lt;&gt;"",'A-80 DirEntInv'!#REF!,IF(AK155=summaryref2!B16,summaryref2!P16,IF(Summary!AK155=summaryref2!B30,summaryref2!P30,IF(AK155=summaryref2!B44,summaryref2!P44,IF(AK155=summaryref2!B58,summaryref2!P58,IF(AK155=summaryref2!B72,summaryref2!P72,IF(AK155=summaryref2!B86,summaryref2!P86,IF(AK155=summaryref2!B100,summaryref2!P100,IF(AK155=summaryref2!B114,summaryref2!P114,IF(AK155=summaryref2!B128,summaryref2!P128,IF(AK155=summaryref2!B142,summaryref2!P142,"")))))))))))</f>
        <v>#REF!</v>
      </c>
      <c r="BA155" s="1110" t="e">
        <f>IF('A-80 DirEntInv'!#REF!&lt;&gt;"",'A-80 DirEntInv'!#REF!,IF(AK155=summaryref2!B16,summaryref2!Q16,IF(Summary!AK155=summaryref2!B30,summaryref2!Q30,IF(AK155=summaryref2!B44,summaryref2!Q44,IF(AK155=summaryref2!B58,summaryref2!Q58,IF(AK155=summaryref2!B72,summaryref2!Q72,IF(AK155=summaryref2!B86,summaryref2!Q86,IF(AK155=summaryref2!B100,summaryref2!Q100,IF(AK155=summaryref2!B114,summaryref2!Q114,IF(AK155=summaryref2!B128,summaryref2!Q128,IF(AK155=summaryref2!B142,summaryref2!Q142,"")))))))))))</f>
        <v>#REF!</v>
      </c>
      <c r="BB155" s="1110" t="e">
        <f>IF('A-80 DirEntInv'!#REF!&lt;&gt;"",'A-80 DirEntInv'!#REF!,IF(AK155=summaryref2!B16,summaryref2!R16,IF(Summary!AK155=summaryref2!B30,summaryref2!R30,IF(AK155=summaryref2!B44,summaryref2!R44,IF(AK155=summaryref2!B58,summaryref2!R58,IF(AK155=summaryref2!B72,summaryref2!R72,IF(AK155=summaryref2!B86,summaryref2!R86,IF(AK155=summaryref2!B100,summaryref2!R100,IF(AK155=summaryref2!B114,summaryref2!R114,IF(AK155=summaryref2!B128,summaryref2!R128,IF(AK155=summaryref2!B142,summaryref2!R142,"")))))))))))</f>
        <v>#REF!</v>
      </c>
      <c r="BC155" s="1110" t="e">
        <f>IF('A-80 DirEntInv'!#REF!&lt;&gt;0,'A-80 DirEntInv'!#REF!,IF(AK155=summaryref2!B16,summaryref2!S16,IF(Summary!AK155=summaryref2!B30,summaryref2!S30,IF(AK155=summaryref2!B44,summaryref2!S44,IF(AK155=summaryref2!B58,summaryref2!S58,IF(AK155=summaryref2!B72,summaryref2!S72,IF(AK155=summaryref2!B86,summaryref2!S86,IF(AK155=summaryref2!B100,summaryref2!S100,IF(AK155=summaryref2!B114,summaryref2!S114,IF(AK155=summaryref2!B128,summaryref2!S128,IF(AK155=summaryref2!B142,summaryref2!S142,"")))))))))))</f>
        <v>#REF!</v>
      </c>
      <c r="BD155" s="1111" t="e">
        <f>IF('A-80 DirEntInv'!#REF!&lt;&gt;"",'A-80 DirEntInv'!#REF!,IF(AK155=summaryref2!B16,summaryref2!T16,IF(Summary!AK155=summaryref2!B30,summaryref2!T30,IF(AK155=summaryref2!B44,summaryref2!T44,IF(AK155=summaryref2!B58,summaryref2!T58,IF(AK155=summaryref2!B72,summaryref2!T72,IF(AK155=summaryref2!B86,summaryref2!T86,IF(AK155=summaryref2!B100,summaryref2!T100,IF(AK155=summaryref2!B114,summaryref2!T114,IF(AK155=summaryref2!B128,summaryref2!T128,IF(AK155=summaryref2!B142,summaryref2!T142,"")))))))))))</f>
        <v>#REF!</v>
      </c>
      <c r="BE155" s="1184" t="e">
        <f>IF('A-80 DirEntInv'!#REF!&lt;&gt;"",'A-80 DirEntInv'!#REF!,IF(AK155=summaryref2!B16,summaryref2!U16,IF(Summary!AK155=summaryref2!B30,summaryref2!U30,IF(AK155=summaryref2!B44,summaryref2!U44,IF(AK155=summaryref2!B58,summaryref2!U58,IF(AK155=summaryref2!B72,summaryref2!U72,IF(AK155=summaryref2!B86,summaryref2!U86,IF(AK155=summaryref2!B100,summaryref2!U100,IF(AK155=summaryref2!B114,summaryref2!U114,IF(AK155=summaryref2!B128,summaryref2!U128,IF(AK155=summaryref2!B142,summaryref2!U142,"")))))))))))</f>
        <v>#REF!</v>
      </c>
      <c r="BF155" s="1432"/>
      <c r="BG155" s="1432"/>
      <c r="BJ155" s="1041" t="s">
        <v>2205</v>
      </c>
      <c r="BK155" s="1384" t="e">
        <f>IF('A-80 DirEntInv'!#REF!&lt;&gt;"",'A-80 DirEntInv'!#REF!,VLOOKUP(Summary!BJ155,Codes!$L$181:$L$199,2,FALSE))</f>
        <v>#REF!</v>
      </c>
      <c r="BU155" s="962"/>
      <c r="CD155" s="589"/>
      <c r="CE155" s="590"/>
      <c r="CF155" s="590"/>
      <c r="CG155" s="590"/>
      <c r="CH155" s="590"/>
      <c r="CI155" s="590"/>
      <c r="CJ155" s="589"/>
      <c r="CK155" s="589"/>
      <c r="CL155" s="589"/>
      <c r="CM155" s="587"/>
      <c r="CN155" s="587"/>
      <c r="CO155" s="589"/>
      <c r="CP155" s="587"/>
      <c r="CQ155" s="592"/>
      <c r="CR155" s="589"/>
      <c r="CS155" s="592"/>
      <c r="CT155" s="589"/>
      <c r="CU155" s="589"/>
      <c r="CV155" s="589"/>
      <c r="CW155" s="587"/>
      <c r="CX155" s="590"/>
      <c r="CY155" s="590"/>
      <c r="CZ155" s="590"/>
      <c r="DA155" s="1054"/>
      <c r="DB155" s="1054"/>
      <c r="DC155" s="587"/>
      <c r="DD155" s="587"/>
    </row>
    <row r="156" spans="1:108" s="588" customFormat="1" x14ac:dyDescent="0.2">
      <c r="A156" s="589">
        <f t="shared" si="2"/>
        <v>146</v>
      </c>
      <c r="B156" s="587"/>
      <c r="C156" s="587"/>
      <c r="D156" s="587"/>
      <c r="J156" s="589"/>
      <c r="K156" s="590"/>
      <c r="L156" s="591"/>
      <c r="M156" s="592"/>
      <c r="N156" s="589"/>
      <c r="O156" s="587"/>
      <c r="R156" s="1052"/>
      <c r="S156" s="1052"/>
      <c r="T156" s="1052"/>
      <c r="U156" s="1052"/>
      <c r="V156" s="1052"/>
      <c r="W156" s="1053"/>
      <c r="X156" s="1053"/>
      <c r="Y156" s="1053"/>
      <c r="Z156" s="1052"/>
      <c r="AA156" s="1052"/>
      <c r="AB156" s="962"/>
      <c r="AC156" s="590"/>
      <c r="AD156" s="590"/>
      <c r="AE156" s="591"/>
      <c r="AF156" s="592"/>
      <c r="AG156" s="1053"/>
      <c r="AH156" s="587"/>
      <c r="AK156" s="1041" t="str">
        <f>Codes!$C$166</f>
        <v>LR - Light Rail (PT)</v>
      </c>
      <c r="AL156" s="1042" t="str">
        <f>Valid!$B$76</f>
        <v>Below-Grade/Retained Cut</v>
      </c>
      <c r="AM156" s="1108" t="e">
        <f>IF('A-80 DirEntInv'!#REF!&lt;&gt;"",'A-80 DirEntInv'!#REF!,IF(AK156=summaryref2!B17,summaryref2!D17,IF(Summary!AK156=summaryref2!B31,summaryref2!D31,IF(AK156=summaryref2!B45,summaryref2!D45,IF(AK156=summaryref2!B59,summaryref2!D59,IF(AK156=summaryref2!B73,summaryref2!D73,IF(AK156=summaryref2!B87,summaryref2!D87,IF(AK156=summaryref2!B101,summaryref2!D101,IF(AK156=summaryref2!B115,summaryref2!D115,IF(AK156=summaryref2!B129,summaryref2!D129,IF(AK156=summaryref2!B143,summaryref2!D143,"")))))))))))</f>
        <v>#REF!</v>
      </c>
      <c r="AN156" s="1109" t="e">
        <f ca="1">IF('A-80 DirEntInv'!#REF!&lt;&gt;"",'A-80 DirEntInv'!#REF!,IF(INDIRECT(ADDRESS(SumRef!CG199,SumRef!CG$16,,,SumRef!$C$7))="","",INDIRECT(ADDRESS(SumRef!CG199,SumRef!CG$16,,,SumRef!$C$7))))</f>
        <v>#REF!</v>
      </c>
      <c r="AO156" s="1108" t="e">
        <f>IF('A-80 DirEntInv'!#REF!&lt;&gt;"",'A-80 DirEntInv'!#REF!,IF(AK156=summaryref2!B17,summaryref2!F17,IF(Summary!AK156=summaryref2!B31,summaryref2!F31,IF(AK156=summaryref2!B45,summaryref2!F45,IF(AK156=summaryref2!B59,summaryref2!F59,IF(AK156=summaryref2!B73,summaryref2!F73,IF(AK156=summaryref2!B87,summaryref2!F87,IF(AK156=summaryref2!B101,summaryref2!F101,IF(AK156=summaryref2!B115,summaryref2!F115,IF(AK156=summaryref2!B129,summaryref2!F129,IF(AK156=summaryref2!B143,summaryref2!F143,"")))))))))))</f>
        <v>#REF!</v>
      </c>
      <c r="AP156" s="1109" t="e">
        <f ca="1">IF('A-80 DirEntInv'!#REF!&lt;&gt;"",'A-80 DirEntInv'!#REF!,IF(INDIRECT(ADDRESS(SumRef!#REF!,SumRef!#REF!,,,SumRef!$C$7))="","",INDIRECT(ADDRESS(SumRef!#REF!,SumRef!#REF!,,,SumRef!$C$7))))</f>
        <v>#REF!</v>
      </c>
      <c r="AQ156" s="1147" t="e">
        <f>IF('A-80 DirEntInv'!#REF!&lt;&gt;"",'A-80 DirEntInv'!#REF!,IF(AK156=summaryref2!B17,summaryref2!G17,IF(Summary!AK156=summaryref2!B31,summaryref2!G31,IF(AK156=summaryref2!B45,summaryref2!G45,IF(AK156=summaryref2!B59,summaryref2!G59,IF(AK156=summaryref2!B73,summaryref2!G73,IF(AK156=summaryref2!B87,summaryref2!G87,IF(AK156=summaryref2!B101,summaryref2!G101,IF(AK156=summaryref2!B115,summaryref2!G115,IF(AK156=summaryref2!B129,summaryref2!G129,IF(AK156=summaryref2!B143,summaryref2!G143,"")))))))))))</f>
        <v>#REF!</v>
      </c>
      <c r="AR156" s="1147" t="e">
        <f>IF('A-80 DirEntInv'!#REF!&lt;&gt;"",'A-80 DirEntInv'!#REF!,IF(AK156=summaryref2!B17,summaryref2!H17,IF(Summary!AK156=summaryref2!B31,summaryref2!H31,IF(AK156=summaryref2!B45,summaryref2!H45,IF(AK156=summaryref2!B59,summaryref2!H59,IF(AK156=summaryref2!B73,summaryref2!H73,IF(AK156=summaryref2!B87,summaryref2!H87,IF(AK156=summaryref2!B101,summaryref2!H101,IF(AK156=summaryref2!B115,summaryref2!H115,IF(AK156=summaryref2!B129,summaryref2!H129,IF(AK156=summaryref2!B143,summaryref2!H143,"")))))))))))</f>
        <v>#REF!</v>
      </c>
      <c r="AS156" s="1110" t="e">
        <f>IF('A-80 DirEntInv'!#REF!&lt;&gt;"",'A-80 DirEntInv'!#REF!,IF(AK156=summaryref2!B17,summaryref2!I17,IF(Summary!AK156=summaryref2!B31,summaryref2!I31,IF(AK156=summaryref2!B45,summaryref2!I45,IF(AK156=summaryref2!B59,summaryref2!I59,IF(AK156=summaryref2!B73,summaryref2!I73,IF(AK156=summaryref2!B87,summaryref2!I87,IF(AK156=summaryref2!B101,summaryref2!I101,IF(AK156=summaryref2!B115,summaryref2!I115,IF(AK156=summaryref2!B129,summaryref2!I129,IF(AK156=summaryref2!B143,summaryref2!I143,"")))))))))))</f>
        <v>#REF!</v>
      </c>
      <c r="AT156" s="1110" t="e">
        <f>IF('A-80 DirEntInv'!#REF!&lt;&gt;"",'A-80 DirEntInv'!#REF!,IF(AK156=summaryref2!B17,summaryref2!J17,IF(Summary!AK156=summaryref2!B31,summaryref2!J31,IF(AK156=summaryref2!B45,summaryref2!J45,IF(AK156=summaryref2!B59,summaryref2!J59,IF(AK156=summaryref2!B73,summaryref2!J73,IF(AK156=summaryref2!B87,summaryref2!J87,IF(AK156=summaryref2!B101,summaryref2!J101,IF(AK156=summaryref2!B115,summaryref2!J115,IF(AK156=summaryref2!B129,summaryref2!J129,IF(AK156=summaryref2!B143,summaryref2!J143,"")))))))))))</f>
        <v>#REF!</v>
      </c>
      <c r="AU156" s="1110" t="e">
        <f>IF('A-80 DirEntInv'!#REF!&lt;&gt;"",'A-80 DirEntInv'!#REF!,IF(AK156=summaryref2!B17,summaryref2!K17,IF(Summary!AK156=summaryref2!B31,summaryref2!K31,IF(AK156=summaryref2!B45,summaryref2!K45,IF(AK156=summaryref2!B59,summaryref2!K59,IF(AK156=summaryref2!B73,summaryref2!K73,IF(AK156=summaryref2!B87,summaryref2!K87,IF(AK156=summaryref2!B101,summaryref2!K101,IF(AK156=summaryref2!B115,summaryref2!K115,IF(AK156=summaryref2!B129,summaryref2!K129,IF(AK156=summaryref2!B143,summaryref2!K143,"")))))))))))</f>
        <v>#REF!</v>
      </c>
      <c r="AV156" s="1110" t="e">
        <f>IF('A-80 DirEntInv'!#REF!&lt;&gt;"",'A-80 DirEntInv'!#REF!,IF(AK156=summaryref2!B17,summaryref2!L17,IF(Summary!AK156=summaryref2!B31,summaryref2!L31,IF(AK156=summaryref2!B45,summaryref2!L45,IF(AK156=summaryref2!B59,summaryref2!L59,IF(AK156=summaryref2!B73,summaryref2!L73,IF(AK156=summaryref2!B87,summaryref2!L87,IF(AK156=summaryref2!B101,summaryref2!L101,IF(AK156=summaryref2!B115,summaryref2!L115,IF(AK156=summaryref2!B129,summaryref2!L129,IF(AK156=summaryref2!B143,summaryref2!L143,"")))))))))))</f>
        <v>#REF!</v>
      </c>
      <c r="AW156" s="1110" t="e">
        <f>IF('A-80 DirEntInv'!#REF!&lt;&gt;"",'A-80 DirEntInv'!#REF!,IF(AK156=summaryref2!B17,summaryref2!M17,IF(Summary!AK156=summaryref2!B31,summaryref2!M31,IF(AK156=summaryref2!B45,summaryref2!M45,IF(AK156=summaryref2!B59,summaryref2!M59,IF(AK156=summaryref2!B73,summaryref2!M73,IF(AK156=summaryref2!B87,summaryref2!M87,IF(AK156=summaryref2!B101,summaryref2!M101,IF(AK156=summaryref2!B115,summaryref2!M115,IF(AK156=summaryref2!B129,summaryref2!M129,IF(AK156=summaryref2!B143,summaryref2!M143,"")))))))))))</f>
        <v>#REF!</v>
      </c>
      <c r="AX156" s="1110" t="e">
        <f>IF('A-80 DirEntInv'!#REF!&lt;&gt;"",'A-80 DirEntInv'!#REF!,IF(AK156=summaryref2!B17,summaryref2!N17,IF(Summary!AK156=summaryref2!B31,summaryref2!N31,IF(AK156=summaryref2!B45,summaryref2!N45,IF(AK156=summaryref2!B59,summaryref2!N59,IF(AK156=summaryref2!B73,summaryref2!N73,IF(AK156=summaryref2!B87,summaryref2!N87,IF(AK156=summaryref2!B101,summaryref2!N101,IF(AK156=summaryref2!B115,summaryref2!N115,IF(AK156=summaryref2!B129,summaryref2!N129,IF(AK156=summaryref2!B143,summaryref2!N143,"")))))))))))</f>
        <v>#REF!</v>
      </c>
      <c r="AY156" s="1110" t="e">
        <f>IF('A-80 DirEntInv'!#REF!&lt;&gt;"",'A-80 DirEntInv'!#REF!,IF(AK156=summaryref2!B17,summaryref2!O17,IF(Summary!AK156=summaryref2!B31,summaryref2!O31,IF(AK156=summaryref2!B45,summaryref2!O45,IF(AK156=summaryref2!B59,summaryref2!O59,IF(AK156=summaryref2!B73,summaryref2!O73,IF(AK156=summaryref2!B87,summaryref2!O87,IF(AK156=summaryref2!B101,summaryref2!O101,IF(AK156=summaryref2!B115,summaryref2!O115,IF(AK156=summaryref2!B129,summaryref2!O129,IF(AK156=summaryref2!B143,summaryref2!O143,"")))))))))))</f>
        <v>#REF!</v>
      </c>
      <c r="AZ156" s="1110" t="e">
        <f>IF('A-80 DirEntInv'!#REF!&lt;&gt;"",'A-80 DirEntInv'!#REF!,IF(AK156=summaryref2!B17,summaryref2!P17,IF(Summary!AK156=summaryref2!B31,summaryref2!P31,IF(AK156=summaryref2!B45,summaryref2!P45,IF(AK156=summaryref2!B59,summaryref2!P59,IF(AK156=summaryref2!B73,summaryref2!P73,IF(AK156=summaryref2!B87,summaryref2!P87,IF(AK156=summaryref2!B101,summaryref2!P101,IF(AK156=summaryref2!B115,summaryref2!P115,IF(AK156=summaryref2!B129,summaryref2!P129,IF(AK156=summaryref2!B143,summaryref2!P143,"")))))))))))</f>
        <v>#REF!</v>
      </c>
      <c r="BA156" s="1110" t="e">
        <f>IF('A-80 DirEntInv'!#REF!&lt;&gt;"",'A-80 DirEntInv'!#REF!,IF(AK156=summaryref2!B17,summaryref2!Q17,IF(Summary!AK156=summaryref2!B31,summaryref2!Q31,IF(AK156=summaryref2!B45,summaryref2!Q45,IF(AK156=summaryref2!B59,summaryref2!Q59,IF(AK156=summaryref2!B73,summaryref2!Q73,IF(AK156=summaryref2!B87,summaryref2!Q87,IF(AK156=summaryref2!B101,summaryref2!Q101,IF(AK156=summaryref2!B115,summaryref2!Q115,IF(AK156=summaryref2!B129,summaryref2!Q129,IF(AK156=summaryref2!B143,summaryref2!Q143,"")))))))))))</f>
        <v>#REF!</v>
      </c>
      <c r="BB156" s="1110" t="e">
        <f>IF('A-80 DirEntInv'!#REF!&lt;&gt;"",'A-80 DirEntInv'!#REF!,IF(AK156=summaryref2!B17,summaryref2!R17,IF(Summary!AK156=summaryref2!B31,summaryref2!R31,IF(AK156=summaryref2!B45,summaryref2!R45,IF(AK156=summaryref2!B59,summaryref2!R59,IF(AK156=summaryref2!B73,summaryref2!R73,IF(AK156=summaryref2!B87,summaryref2!R87,IF(AK156=summaryref2!B101,summaryref2!R101,IF(AK156=summaryref2!B115,summaryref2!R115,IF(AK156=summaryref2!B129,summaryref2!R129,IF(AK156=summaryref2!B143,summaryref2!R143,"")))))))))))</f>
        <v>#REF!</v>
      </c>
      <c r="BC156" s="1110" t="e">
        <f>IF('A-80 DirEntInv'!#REF!&lt;&gt;0,'A-80 DirEntInv'!#REF!,IF(AK156=summaryref2!B17,summaryref2!S17,IF(Summary!AK156=summaryref2!B31,summaryref2!S31,IF(AK156=summaryref2!B45,summaryref2!S45,IF(AK156=summaryref2!B59,summaryref2!S59,IF(AK156=summaryref2!B73,summaryref2!S73,IF(AK156=summaryref2!B87,summaryref2!S87,IF(AK156=summaryref2!B101,summaryref2!S101,IF(AK156=summaryref2!B115,summaryref2!S115,IF(AK156=summaryref2!B129,summaryref2!S129,IF(AK156=summaryref2!B143,summaryref2!S143,"")))))))))))</f>
        <v>#REF!</v>
      </c>
      <c r="BD156" s="1111" t="e">
        <f>IF('A-80 DirEntInv'!#REF!&lt;&gt;"",'A-80 DirEntInv'!#REF!,IF(AK156=summaryref2!B17,summaryref2!T17,IF(Summary!AK156=summaryref2!B31,summaryref2!T31,IF(AK156=summaryref2!B45,summaryref2!T45,IF(AK156=summaryref2!B59,summaryref2!T59,IF(AK156=summaryref2!B73,summaryref2!T73,IF(AK156=summaryref2!B87,summaryref2!T87,IF(AK156=summaryref2!B101,summaryref2!T101,IF(AK156=summaryref2!B115,summaryref2!T115,IF(AK156=summaryref2!B129,summaryref2!T129,IF(AK156=summaryref2!B143,summaryref2!T143,"")))))))))))</f>
        <v>#REF!</v>
      </c>
      <c r="BE156" s="1184" t="e">
        <f>IF('A-80 DirEntInv'!#REF!&lt;&gt;"",'A-80 DirEntInv'!#REF!,IF(AK156=summaryref2!B17,summaryref2!U17,IF(Summary!AK156=summaryref2!B31,summaryref2!U31,IF(AK156=summaryref2!B45,summaryref2!U45,IF(AK156=summaryref2!B59,summaryref2!U59,IF(AK156=summaryref2!B73,summaryref2!U73,IF(AK156=summaryref2!B87,summaryref2!U87,IF(AK156=summaryref2!B101,summaryref2!U101,IF(AK156=summaryref2!B115,summaryref2!U115,IF(AK156=summaryref2!B129,summaryref2!U129,IF(AK156=summaryref2!B143,summaryref2!U143,"")))))))))))</f>
        <v>#REF!</v>
      </c>
      <c r="BF156" s="1432"/>
      <c r="BG156" s="1432"/>
      <c r="BJ156" s="1041" t="s">
        <v>2214</v>
      </c>
      <c r="BK156" s="1384" t="e">
        <f>IF('A-80 DirEntInv'!#REF!&lt;&gt;"",'A-80 DirEntInv'!#REF!,VLOOKUP(Summary!BJ156,Codes!$L$181:$L$199,2,FALSE))</f>
        <v>#REF!</v>
      </c>
      <c r="BU156" s="962"/>
      <c r="CD156" s="589"/>
      <c r="CE156" s="590"/>
      <c r="CF156" s="590"/>
      <c r="CG156" s="590"/>
      <c r="CH156" s="590"/>
      <c r="CI156" s="590"/>
      <c r="CJ156" s="589"/>
      <c r="CK156" s="589"/>
      <c r="CL156" s="589"/>
      <c r="CM156" s="587"/>
      <c r="CN156" s="587"/>
      <c r="CO156" s="589"/>
      <c r="CP156" s="587"/>
      <c r="CQ156" s="592"/>
      <c r="CR156" s="589"/>
      <c r="CS156" s="592"/>
      <c r="CT156" s="589"/>
      <c r="CU156" s="589"/>
      <c r="CV156" s="589"/>
      <c r="CW156" s="587"/>
      <c r="CX156" s="590"/>
      <c r="CY156" s="590"/>
      <c r="CZ156" s="590"/>
      <c r="DA156" s="1054"/>
      <c r="DB156" s="1054"/>
      <c r="DC156" s="587"/>
      <c r="DD156" s="587"/>
    </row>
    <row r="157" spans="1:108" s="588" customFormat="1" x14ac:dyDescent="0.2">
      <c r="A157" s="589">
        <f t="shared" si="2"/>
        <v>147</v>
      </c>
      <c r="B157" s="587"/>
      <c r="C157" s="587"/>
      <c r="D157" s="587"/>
      <c r="J157" s="589"/>
      <c r="K157" s="590"/>
      <c r="L157" s="591"/>
      <c r="M157" s="592"/>
      <c r="N157" s="589"/>
      <c r="O157" s="587"/>
      <c r="R157" s="1052"/>
      <c r="S157" s="1052"/>
      <c r="T157" s="1052"/>
      <c r="U157" s="1052"/>
      <c r="V157" s="1052"/>
      <c r="W157" s="1053"/>
      <c r="X157" s="1053"/>
      <c r="Y157" s="1053"/>
      <c r="Z157" s="1052"/>
      <c r="AA157" s="1052"/>
      <c r="AB157" s="962"/>
      <c r="AC157" s="590"/>
      <c r="AD157" s="590"/>
      <c r="AE157" s="591"/>
      <c r="AF157" s="592"/>
      <c r="AG157" s="1053"/>
      <c r="AH157" s="587"/>
      <c r="AK157" s="1041" t="str">
        <f>Codes!$C$166</f>
        <v>LR - Light Rail (PT)</v>
      </c>
      <c r="AL157" s="1042" t="str">
        <f>Valid!$B$77</f>
        <v>Below-Grade/Cut-and-Cover Tunnel</v>
      </c>
      <c r="AM157" s="1108" t="e">
        <f>IF('A-80 DirEntInv'!#REF!&lt;&gt;"",'A-80 DirEntInv'!#REF!,IF(AK157=summaryref2!B18,summaryref2!D18,IF(Summary!AK157=summaryref2!B32,summaryref2!D32,IF(AK157=summaryref2!B46,summaryref2!D46,IF(AK157=summaryref2!B60,summaryref2!D60,IF(AK157=summaryref2!B74,summaryref2!D74,IF(AK157=summaryref2!B88,summaryref2!D88,IF(AK157=summaryref2!B102,summaryref2!D102,IF(AK157=summaryref2!B116,summaryref2!D116,IF(AK157=summaryref2!B130,summaryref2!D130,IF(AK157=summaryref2!B144,summaryref2!D144,"")))))))))))</f>
        <v>#REF!</v>
      </c>
      <c r="AN157" s="1109" t="e">
        <f ca="1">IF('A-80 DirEntInv'!#REF!&lt;&gt;"",'A-80 DirEntInv'!#REF!,IF(INDIRECT(ADDRESS(SumRef!CG200,SumRef!CG$16,,,SumRef!$C$7))="","",INDIRECT(ADDRESS(SumRef!CG200,SumRef!CG$16,,,SumRef!$C$7))))</f>
        <v>#REF!</v>
      </c>
      <c r="AO157" s="1108" t="e">
        <f>IF('A-80 DirEntInv'!#REF!&lt;&gt;"",'A-80 DirEntInv'!#REF!,IF(AK157=summaryref2!B18,summaryref2!F18,IF(Summary!AK157=summaryref2!B32,summaryref2!F32,IF(AK157=summaryref2!B46,summaryref2!F46,IF(AK157=summaryref2!B60,summaryref2!F60,IF(AK157=summaryref2!B74,summaryref2!F74,IF(AK157=summaryref2!B88,summaryref2!F88,IF(AK157=summaryref2!B102,summaryref2!F102,IF(AK157=summaryref2!B116,summaryref2!F116,IF(AK157=summaryref2!B130,summaryref2!F130,IF(AK157=summaryref2!B144,summaryref2!F144,"")))))))))))</f>
        <v>#REF!</v>
      </c>
      <c r="AP157" s="1109" t="e">
        <f ca="1">IF('A-80 DirEntInv'!#REF!&lt;&gt;"",'A-80 DirEntInv'!#REF!,IF(INDIRECT(ADDRESS(SumRef!#REF!,SumRef!#REF!,,,SumRef!$C$7))="","",INDIRECT(ADDRESS(SumRef!#REF!,SumRef!#REF!,,,SumRef!$C$7))))</f>
        <v>#REF!</v>
      </c>
      <c r="AQ157" s="1147" t="e">
        <f>IF('A-80 DirEntInv'!#REF!&lt;&gt;"",'A-80 DirEntInv'!#REF!,IF(AK157=summaryref2!B18,summaryref2!G18,IF(Summary!AK157=summaryref2!B32,summaryref2!G32,IF(AK157=summaryref2!B46,summaryref2!G46,IF(AK157=summaryref2!B60,summaryref2!G60,IF(AK157=summaryref2!B74,summaryref2!G74,IF(AK157=summaryref2!B88,summaryref2!G88,IF(AK157=summaryref2!B102,summaryref2!G102,IF(AK157=summaryref2!B116,summaryref2!G116,IF(AK157=summaryref2!B130,summaryref2!G130,IF(AK157=summaryref2!B144,summaryref2!G144,"")))))))))))</f>
        <v>#REF!</v>
      </c>
      <c r="AR157" s="1147" t="e">
        <f>IF('A-80 DirEntInv'!#REF!&lt;&gt;"",'A-80 DirEntInv'!#REF!,IF(AK157=summaryref2!B18,summaryref2!H18,IF(Summary!AK157=summaryref2!B32,summaryref2!H32,IF(AK157=summaryref2!B46,summaryref2!H46,IF(AK157=summaryref2!B60,summaryref2!H60,IF(AK157=summaryref2!B74,summaryref2!H74,IF(AK157=summaryref2!B88,summaryref2!H88,IF(AK157=summaryref2!B102,summaryref2!H102,IF(AK157=summaryref2!B116,summaryref2!H116,IF(AK157=summaryref2!B130,summaryref2!H130,IF(AK157=summaryref2!B144,summaryref2!H144,"")))))))))))</f>
        <v>#REF!</v>
      </c>
      <c r="AS157" s="1110" t="e">
        <f>IF('A-80 DirEntInv'!#REF!&lt;&gt;"",'A-80 DirEntInv'!#REF!,IF(AK157=summaryref2!B18,summaryref2!I18,IF(Summary!AK157=summaryref2!B32,summaryref2!I32,IF(AK157=summaryref2!B46,summaryref2!I46,IF(AK157=summaryref2!B60,summaryref2!I60,IF(AK157=summaryref2!B74,summaryref2!I74,IF(AK157=summaryref2!B88,summaryref2!I88,IF(AK157=summaryref2!B102,summaryref2!I102,IF(AK157=summaryref2!B116,summaryref2!I116,IF(AK157=summaryref2!B130,summaryref2!I130,IF(AK157=summaryref2!B144,summaryref2!I144,"")))))))))))</f>
        <v>#REF!</v>
      </c>
      <c r="AT157" s="1110" t="e">
        <f>IF('A-80 DirEntInv'!#REF!&lt;&gt;"",'A-80 DirEntInv'!#REF!,IF(AK157=summaryref2!B18,summaryref2!J18,IF(Summary!AK157=summaryref2!B32,summaryref2!J32,IF(AK157=summaryref2!B46,summaryref2!J46,IF(AK157=summaryref2!B60,summaryref2!J60,IF(AK157=summaryref2!B74,summaryref2!J74,IF(AK157=summaryref2!B88,summaryref2!J88,IF(AK157=summaryref2!B102,summaryref2!J102,IF(AK157=summaryref2!B116,summaryref2!J116,IF(AK157=summaryref2!B130,summaryref2!J130,IF(AK157=summaryref2!B144,summaryref2!J144,"")))))))))))</f>
        <v>#REF!</v>
      </c>
      <c r="AU157" s="1110" t="e">
        <f>IF('A-80 DirEntInv'!#REF!&lt;&gt;"",'A-80 DirEntInv'!#REF!,IF(AK157=summaryref2!B18,summaryref2!K18,IF(Summary!AK157=summaryref2!B32,summaryref2!K32,IF(AK157=summaryref2!B46,summaryref2!K46,IF(AK157=summaryref2!B60,summaryref2!K60,IF(AK157=summaryref2!B74,summaryref2!K74,IF(AK157=summaryref2!B88,summaryref2!K88,IF(AK157=summaryref2!B102,summaryref2!K102,IF(AK157=summaryref2!B116,summaryref2!K116,IF(AK157=summaryref2!B130,summaryref2!K130,IF(AK157=summaryref2!B144,summaryref2!K144,"")))))))))))</f>
        <v>#REF!</v>
      </c>
      <c r="AV157" s="1110" t="e">
        <f>IF('A-80 DirEntInv'!#REF!&lt;&gt;"",'A-80 DirEntInv'!#REF!,IF(AK157=summaryref2!B18,summaryref2!L18,IF(Summary!AK157=summaryref2!B32,summaryref2!L32,IF(AK157=summaryref2!B46,summaryref2!L46,IF(AK157=summaryref2!B60,summaryref2!L60,IF(AK157=summaryref2!B74,summaryref2!L74,IF(AK157=summaryref2!B88,summaryref2!L88,IF(AK157=summaryref2!B102,summaryref2!L102,IF(AK157=summaryref2!B116,summaryref2!L116,IF(AK157=summaryref2!B130,summaryref2!L130,IF(AK157=summaryref2!B144,summaryref2!L144,"")))))))))))</f>
        <v>#REF!</v>
      </c>
      <c r="AW157" s="1110" t="e">
        <f>IF('A-80 DirEntInv'!#REF!&lt;&gt;"",'A-80 DirEntInv'!#REF!,IF(AK157=summaryref2!B18,summaryref2!M18,IF(Summary!AK157=summaryref2!B32,summaryref2!M32,IF(AK157=summaryref2!B46,summaryref2!M46,IF(AK157=summaryref2!B60,summaryref2!M60,IF(AK157=summaryref2!B74,summaryref2!M74,IF(AK157=summaryref2!B88,summaryref2!M88,IF(AK157=summaryref2!B102,summaryref2!M102,IF(AK157=summaryref2!B116,summaryref2!M116,IF(AK157=summaryref2!B130,summaryref2!M130,IF(AK157=summaryref2!B144,summaryref2!M144,"")))))))))))</f>
        <v>#REF!</v>
      </c>
      <c r="AX157" s="1110" t="e">
        <f>IF('A-80 DirEntInv'!#REF!&lt;&gt;"",'A-80 DirEntInv'!#REF!,IF(AK157=summaryref2!B18,summaryref2!N18,IF(Summary!AK157=summaryref2!B32,summaryref2!N32,IF(AK157=summaryref2!B46,summaryref2!N46,IF(AK157=summaryref2!B60,summaryref2!N60,IF(AK157=summaryref2!B74,summaryref2!N74,IF(AK157=summaryref2!B88,summaryref2!N88,IF(AK157=summaryref2!B102,summaryref2!N102,IF(AK157=summaryref2!B116,summaryref2!N116,IF(AK157=summaryref2!B130,summaryref2!N130,IF(AK157=summaryref2!B144,summaryref2!N144,"")))))))))))</f>
        <v>#REF!</v>
      </c>
      <c r="AY157" s="1110" t="e">
        <f>IF('A-80 DirEntInv'!#REF!&lt;&gt;"",'A-80 DirEntInv'!#REF!,IF(AK157=summaryref2!B18,summaryref2!O18,IF(Summary!AK157=summaryref2!B32,summaryref2!O32,IF(AK157=summaryref2!B46,summaryref2!O46,IF(AK157=summaryref2!B60,summaryref2!O60,IF(AK157=summaryref2!B74,summaryref2!O74,IF(AK157=summaryref2!B88,summaryref2!O88,IF(AK157=summaryref2!B102,summaryref2!O102,IF(AK157=summaryref2!B116,summaryref2!O116,IF(AK157=summaryref2!B130,summaryref2!O130,IF(AK157=summaryref2!B144,summaryref2!O144,"")))))))))))</f>
        <v>#REF!</v>
      </c>
      <c r="AZ157" s="1110" t="e">
        <f>IF('A-80 DirEntInv'!#REF!&lt;&gt;"",'A-80 DirEntInv'!#REF!,IF(AK157=summaryref2!B18,summaryref2!P18,IF(Summary!AK157=summaryref2!B32,summaryref2!P32,IF(AK157=summaryref2!B46,summaryref2!P46,IF(AK157=summaryref2!B60,summaryref2!P60,IF(AK157=summaryref2!B74,summaryref2!P74,IF(AK157=summaryref2!B88,summaryref2!P88,IF(AK157=summaryref2!B102,summaryref2!P102,IF(AK157=summaryref2!B116,summaryref2!P116,IF(AK157=summaryref2!B130,summaryref2!P130,IF(AK157=summaryref2!B144,summaryref2!P144,"")))))))))))</f>
        <v>#REF!</v>
      </c>
      <c r="BA157" s="1110" t="e">
        <f>IF('A-80 DirEntInv'!#REF!&lt;&gt;"",'A-80 DirEntInv'!#REF!,IF(AK157=summaryref2!B18,summaryref2!Q18,IF(Summary!AK157=summaryref2!B32,summaryref2!Q32,IF(AK157=summaryref2!B46,summaryref2!Q46,IF(AK157=summaryref2!B60,summaryref2!Q60,IF(AK157=summaryref2!B74,summaryref2!Q74,IF(AK157=summaryref2!B88,summaryref2!Q88,IF(AK157=summaryref2!B102,summaryref2!Q102,IF(AK157=summaryref2!B116,summaryref2!Q116,IF(AK157=summaryref2!B130,summaryref2!Q130,IF(AK157=summaryref2!B144,summaryref2!Q144,"")))))))))))</f>
        <v>#REF!</v>
      </c>
      <c r="BB157" s="1110" t="e">
        <f>IF('A-80 DirEntInv'!#REF!&lt;&gt;"",'A-80 DirEntInv'!#REF!,IF(AK157=summaryref2!B18,summaryref2!R18,IF(Summary!AK157=summaryref2!B32,summaryref2!R32,IF(AK157=summaryref2!B46,summaryref2!R46,IF(AK157=summaryref2!B60,summaryref2!R60,IF(AK157=summaryref2!B74,summaryref2!R74,IF(AK157=summaryref2!B88,summaryref2!R88,IF(AK157=summaryref2!B102,summaryref2!R102,IF(AK157=summaryref2!B116,summaryref2!R116,IF(AK157=summaryref2!B130,summaryref2!R130,IF(AK157=summaryref2!B144,summaryref2!R144,"")))))))))))</f>
        <v>#REF!</v>
      </c>
      <c r="BC157" s="1110" t="e">
        <f>IF('A-80 DirEntInv'!#REF!&lt;&gt;0,'A-80 DirEntInv'!#REF!,IF(AK157=summaryref2!B18,summaryref2!S18,IF(Summary!AK157=summaryref2!B32,summaryref2!S32,IF(AK157=summaryref2!B46,summaryref2!S46,IF(AK157=summaryref2!B60,summaryref2!S60,IF(AK157=summaryref2!B74,summaryref2!S74,IF(AK157=summaryref2!B88,summaryref2!S88,IF(AK157=summaryref2!B102,summaryref2!S102,IF(AK157=summaryref2!B116,summaryref2!S116,IF(AK157=summaryref2!B130,summaryref2!S130,IF(AK157=summaryref2!B144,summaryref2!S144,"")))))))))))</f>
        <v>#REF!</v>
      </c>
      <c r="BD157" s="1111" t="e">
        <f>IF('A-80 DirEntInv'!#REF!&lt;&gt;"",'A-80 DirEntInv'!#REF!,IF(AK157=summaryref2!B18,summaryref2!T18,IF(Summary!AK157=summaryref2!B32,summaryref2!T32,IF(AK157=summaryref2!B46,summaryref2!T46,IF(AK157=summaryref2!B60,summaryref2!T60,IF(AK157=summaryref2!B74,summaryref2!T74,IF(AK157=summaryref2!B88,summaryref2!T88,IF(AK157=summaryref2!B102,summaryref2!T102,IF(AK157=summaryref2!B116,summaryref2!T116,IF(AK157=summaryref2!B130,summaryref2!T130,IF(AK157=summaryref2!B144,summaryref2!T144,"")))))))))))</f>
        <v>#REF!</v>
      </c>
      <c r="BE157" s="1184" t="e">
        <f>IF('A-80 DirEntInv'!#REF!&lt;&gt;"",'A-80 DirEntInv'!#REF!,IF(AK157=summaryref2!B18,summaryref2!U18,IF(Summary!AK157=summaryref2!B32,summaryref2!U32,IF(AK157=summaryref2!B46,summaryref2!U46,IF(AK157=summaryref2!B60,summaryref2!U60,IF(AK157=summaryref2!B74,summaryref2!U74,IF(AK157=summaryref2!B88,summaryref2!U88,IF(AK157=summaryref2!B102,summaryref2!U102,IF(AK157=summaryref2!B116,summaryref2!U116,IF(AK157=summaryref2!B130,summaryref2!U130,IF(AK157=summaryref2!B144,summaryref2!U144,"")))))))))))</f>
        <v>#REF!</v>
      </c>
      <c r="BF157" s="1432"/>
      <c r="BG157" s="1432"/>
      <c r="BJ157" s="1041" t="s">
        <v>2206</v>
      </c>
      <c r="BK157" s="1384" t="e">
        <f>IF('A-80 DirEntInv'!#REF!&lt;&gt;"",'A-80 DirEntInv'!#REF!,VLOOKUP(Summary!BJ157,Codes!$L$181:$L$199,2,FALSE))</f>
        <v>#REF!</v>
      </c>
      <c r="BU157" s="962"/>
      <c r="CD157" s="589"/>
      <c r="CE157" s="590"/>
      <c r="CF157" s="590"/>
      <c r="CG157" s="590"/>
      <c r="CH157" s="590"/>
      <c r="CI157" s="590"/>
      <c r="CJ157" s="589"/>
      <c r="CK157" s="589"/>
      <c r="CL157" s="589"/>
      <c r="CM157" s="587"/>
      <c r="CN157" s="587"/>
      <c r="CO157" s="589"/>
      <c r="CP157" s="587"/>
      <c r="CQ157" s="592"/>
      <c r="CR157" s="589"/>
      <c r="CS157" s="592"/>
      <c r="CT157" s="589"/>
      <c r="CU157" s="589"/>
      <c r="CV157" s="589"/>
      <c r="CW157" s="587"/>
      <c r="CX157" s="590"/>
      <c r="CY157" s="590"/>
      <c r="CZ157" s="590"/>
      <c r="DA157" s="1054"/>
      <c r="DB157" s="1054"/>
      <c r="DC157" s="587"/>
      <c r="DD157" s="587"/>
    </row>
    <row r="158" spans="1:108" s="588" customFormat="1" x14ac:dyDescent="0.2">
      <c r="A158" s="589">
        <f t="shared" si="2"/>
        <v>148</v>
      </c>
      <c r="B158" s="587"/>
      <c r="C158" s="587"/>
      <c r="D158" s="587"/>
      <c r="J158" s="589"/>
      <c r="K158" s="590"/>
      <c r="L158" s="591"/>
      <c r="M158" s="592"/>
      <c r="N158" s="589"/>
      <c r="O158" s="587"/>
      <c r="R158" s="1052"/>
      <c r="S158" s="1052"/>
      <c r="T158" s="1052"/>
      <c r="U158" s="1052"/>
      <c r="V158" s="1052"/>
      <c r="W158" s="1053"/>
      <c r="X158" s="1053"/>
      <c r="Y158" s="1053"/>
      <c r="Z158" s="1052"/>
      <c r="AA158" s="1052"/>
      <c r="AB158" s="962"/>
      <c r="AC158" s="590"/>
      <c r="AD158" s="590"/>
      <c r="AE158" s="591"/>
      <c r="AF158" s="592"/>
      <c r="AG158" s="1053"/>
      <c r="AH158" s="587"/>
      <c r="AK158" s="1041" t="str">
        <f>Codes!$C$166</f>
        <v>LR - Light Rail (PT)</v>
      </c>
      <c r="AL158" s="1042" t="str">
        <f>Valid!$B$78</f>
        <v>Below-Grade/Bored or Blasted Tunnel</v>
      </c>
      <c r="AM158" s="1108" t="e">
        <f>IF('A-80 DirEntInv'!#REF!&lt;&gt;"",'A-80 DirEntInv'!#REF!,IF(AK158=summaryref2!B19,summaryref2!D19,IF(Summary!AK158=summaryref2!B33,summaryref2!D33,IF(AK158=summaryref2!B47,summaryref2!D47,IF(AK158=summaryref2!B61,summaryref2!D61,IF(AK158=summaryref2!B75,summaryref2!D75,IF(AK158=summaryref2!B89,summaryref2!D89,IF(AK158=summaryref2!B103,summaryref2!D103,IF(AK158=summaryref2!B117,summaryref2!D117,IF(AK158=summaryref2!B131,summaryref2!D131,IF(AK158=summaryref2!B145,summaryref2!D145,"")))))))))))</f>
        <v>#REF!</v>
      </c>
      <c r="AN158" s="1109" t="e">
        <f ca="1">IF('A-80 DirEntInv'!#REF!&lt;&gt;"",'A-80 DirEntInv'!#REF!,IF(INDIRECT(ADDRESS(SumRef!CG201,SumRef!CG$16,,,SumRef!$C$7))="","",INDIRECT(ADDRESS(SumRef!CG201,SumRef!CG$16,,,SumRef!$C$7))))</f>
        <v>#REF!</v>
      </c>
      <c r="AO158" s="1108" t="e">
        <f>IF('A-80 DirEntInv'!#REF!&lt;&gt;"",'A-80 DirEntInv'!#REF!,IF(AK158=summaryref2!B19,summaryref2!F19,IF(Summary!AK158=summaryref2!B33,summaryref2!F33,IF(AK158=summaryref2!B47,summaryref2!F47,IF(AK158=summaryref2!B61,summaryref2!F61,IF(AK158=summaryref2!B75,summaryref2!F75,IF(AK158=summaryref2!B89,summaryref2!F89,IF(AK158=summaryref2!B103,summaryref2!F103,IF(AK158=summaryref2!B117,summaryref2!F117,IF(AK158=summaryref2!B131,summaryref2!F131,IF(AK158=summaryref2!B145,summaryref2!F145,"")))))))))))</f>
        <v>#REF!</v>
      </c>
      <c r="AP158" s="1109" t="e">
        <f ca="1">IF('A-80 DirEntInv'!#REF!&lt;&gt;"",'A-80 DirEntInv'!#REF!,IF(INDIRECT(ADDRESS(SumRef!#REF!,SumRef!#REF!,,,SumRef!$C$7))="","",INDIRECT(ADDRESS(SumRef!#REF!,SumRef!#REF!,,,SumRef!$C$7))))</f>
        <v>#REF!</v>
      </c>
      <c r="AQ158" s="1147" t="e">
        <f>IF('A-80 DirEntInv'!#REF!&lt;&gt;"",'A-80 DirEntInv'!#REF!,IF(AK158=summaryref2!B19,summaryref2!G19,IF(Summary!AK158=summaryref2!B33,summaryref2!G33,IF(AK158=summaryref2!B47,summaryref2!G47,IF(AK158=summaryref2!B61,summaryref2!G61,IF(AK158=summaryref2!B75,summaryref2!G75,IF(AK158=summaryref2!B89,summaryref2!G89,IF(AK158=summaryref2!B103,summaryref2!G103,IF(AK158=summaryref2!B117,summaryref2!G117,IF(AK158=summaryref2!B131,summaryref2!G131,IF(AK158=summaryref2!B145,summaryref2!G145,"")))))))))))</f>
        <v>#REF!</v>
      </c>
      <c r="AR158" s="1147" t="e">
        <f>IF('A-80 DirEntInv'!#REF!&lt;&gt;"",'A-80 DirEntInv'!#REF!,IF(AK158=summaryref2!B19,summaryref2!H19,IF(Summary!AK158=summaryref2!B33,summaryref2!H33,IF(AK158=summaryref2!B47,summaryref2!H47,IF(AK158=summaryref2!B61,summaryref2!H61,IF(AK158=summaryref2!B75,summaryref2!H75,IF(AK158=summaryref2!B89,summaryref2!H89,IF(AK158=summaryref2!B103,summaryref2!H103,IF(AK158=summaryref2!B117,summaryref2!H117,IF(AK158=summaryref2!B131,summaryref2!H131,IF(AK158=summaryref2!B145,summaryref2!H145,"")))))))))))</f>
        <v>#REF!</v>
      </c>
      <c r="AS158" s="1110" t="e">
        <f>IF('A-80 DirEntInv'!#REF!&lt;&gt;"",'A-80 DirEntInv'!#REF!,IF(AK158=summaryref2!B19,summaryref2!I19,IF(Summary!AK158=summaryref2!B33,summaryref2!I33,IF(AK158=summaryref2!B47,summaryref2!I47,IF(AK158=summaryref2!B61,summaryref2!I61,IF(AK158=summaryref2!B75,summaryref2!I75,IF(AK158=summaryref2!B89,summaryref2!I89,IF(AK158=summaryref2!B103,summaryref2!I103,IF(AK158=summaryref2!B117,summaryref2!I117,IF(AK158=summaryref2!B131,summaryref2!I131,IF(AK158=summaryref2!B145,summaryref2!I145,"")))))))))))</f>
        <v>#REF!</v>
      </c>
      <c r="AT158" s="1110" t="e">
        <f>IF('A-80 DirEntInv'!#REF!&lt;&gt;"",'A-80 DirEntInv'!#REF!,IF(AK158=summaryref2!B19,summaryref2!J19,IF(Summary!AK158=summaryref2!B33,summaryref2!J33,IF(AK158=summaryref2!B47,summaryref2!J47,IF(AK158=summaryref2!B61,summaryref2!J61,IF(AK158=summaryref2!B75,summaryref2!J75,IF(AK158=summaryref2!B89,summaryref2!J89,IF(AK158=summaryref2!B103,summaryref2!J103,IF(AK158=summaryref2!B117,summaryref2!J117,IF(AK158=summaryref2!B131,summaryref2!J131,IF(AK158=summaryref2!B145,summaryref2!J145,"")))))))))))</f>
        <v>#REF!</v>
      </c>
      <c r="AU158" s="1110" t="e">
        <f>IF('A-80 DirEntInv'!#REF!&lt;&gt;"",'A-80 DirEntInv'!#REF!,IF(AK158=summaryref2!B19,summaryref2!K19,IF(Summary!AK158=summaryref2!B33,summaryref2!K33,IF(AK158=summaryref2!B47,summaryref2!K47,IF(AK158=summaryref2!B61,summaryref2!K61,IF(AK158=summaryref2!B75,summaryref2!K75,IF(AK158=summaryref2!B89,summaryref2!K89,IF(AK158=summaryref2!B103,summaryref2!K103,IF(AK158=summaryref2!B117,summaryref2!K117,IF(AK158=summaryref2!B131,summaryref2!K131,IF(AK158=summaryref2!B145,summaryref2!K145,"")))))))))))</f>
        <v>#REF!</v>
      </c>
      <c r="AV158" s="1110" t="e">
        <f>IF('A-80 DirEntInv'!#REF!&lt;&gt;"",'A-80 DirEntInv'!#REF!,IF(AK158=summaryref2!B19,summaryref2!L19,IF(Summary!AK158=summaryref2!B33,summaryref2!L33,IF(AK158=summaryref2!B47,summaryref2!L47,IF(AK158=summaryref2!B61,summaryref2!L61,IF(AK158=summaryref2!B75,summaryref2!L75,IF(AK158=summaryref2!B89,summaryref2!L89,IF(AK158=summaryref2!B103,summaryref2!L103,IF(AK158=summaryref2!B117,summaryref2!L117,IF(AK158=summaryref2!B131,summaryref2!L131,IF(AK158=summaryref2!B145,summaryref2!L145,"")))))))))))</f>
        <v>#REF!</v>
      </c>
      <c r="AW158" s="1110" t="e">
        <f>IF('A-80 DirEntInv'!#REF!&lt;&gt;"",'A-80 DirEntInv'!#REF!,IF(AK158=summaryref2!B19,summaryref2!M19,IF(Summary!AK158=summaryref2!B33,summaryref2!M33,IF(AK158=summaryref2!B47,summaryref2!M47,IF(AK158=summaryref2!B61,summaryref2!M61,IF(AK158=summaryref2!B75,summaryref2!M75,IF(AK158=summaryref2!B89,summaryref2!M89,IF(AK158=summaryref2!B103,summaryref2!M103,IF(AK158=summaryref2!B117,summaryref2!M117,IF(AK158=summaryref2!B131,summaryref2!M131,IF(AK158=summaryref2!B145,summaryref2!M145,"")))))))))))</f>
        <v>#REF!</v>
      </c>
      <c r="AX158" s="1110" t="e">
        <f>IF('A-80 DirEntInv'!#REF!&lt;&gt;"",'A-80 DirEntInv'!#REF!,IF(AK158=summaryref2!B19,summaryref2!N19,IF(Summary!AK158=summaryref2!B33,summaryref2!N33,IF(AK158=summaryref2!B47,summaryref2!N47,IF(AK158=summaryref2!B61,summaryref2!N61,IF(AK158=summaryref2!B75,summaryref2!N75,IF(AK158=summaryref2!B89,summaryref2!N89,IF(AK158=summaryref2!B103,summaryref2!N103,IF(AK158=summaryref2!B117,summaryref2!N117,IF(AK158=summaryref2!B131,summaryref2!N131,IF(AK158=summaryref2!B145,summaryref2!N145,"")))))))))))</f>
        <v>#REF!</v>
      </c>
      <c r="AY158" s="1110" t="e">
        <f>IF('A-80 DirEntInv'!#REF!&lt;&gt;"",'A-80 DirEntInv'!#REF!,IF(AK158=summaryref2!B19,summaryref2!O19,IF(Summary!AK158=summaryref2!B33,summaryref2!O33,IF(AK158=summaryref2!B47,summaryref2!O47,IF(AK158=summaryref2!B61,summaryref2!O61,IF(AK158=summaryref2!B75,summaryref2!O75,IF(AK158=summaryref2!B89,summaryref2!O89,IF(AK158=summaryref2!B103,summaryref2!O103,IF(AK158=summaryref2!B117,summaryref2!O117,IF(AK158=summaryref2!B131,summaryref2!O131,IF(AK158=summaryref2!B145,summaryref2!O145,"")))))))))))</f>
        <v>#REF!</v>
      </c>
      <c r="AZ158" s="1110" t="e">
        <f>IF('A-80 DirEntInv'!#REF!&lt;&gt;"",'A-80 DirEntInv'!#REF!,IF(AK158=summaryref2!B19,summaryref2!P19,IF(Summary!AK158=summaryref2!B33,summaryref2!P33,IF(AK158=summaryref2!B47,summaryref2!P47,IF(AK158=summaryref2!B61,summaryref2!P61,IF(AK158=summaryref2!B75,summaryref2!P75,IF(AK158=summaryref2!B89,summaryref2!P89,IF(AK158=summaryref2!B103,summaryref2!P103,IF(AK158=summaryref2!B117,summaryref2!P117,IF(AK158=summaryref2!B131,summaryref2!P131,IF(AK158=summaryref2!B145,summaryref2!P145,"")))))))))))</f>
        <v>#REF!</v>
      </c>
      <c r="BA158" s="1110" t="e">
        <f>IF('A-80 DirEntInv'!#REF!&lt;&gt;"",'A-80 DirEntInv'!#REF!,IF(AK158=summaryref2!B19,summaryref2!Q19,IF(Summary!AK158=summaryref2!B33,summaryref2!Q33,IF(AK158=summaryref2!B47,summaryref2!Q47,IF(AK158=summaryref2!B61,summaryref2!Q61,IF(AK158=summaryref2!B75,summaryref2!Q75,IF(AK158=summaryref2!B89,summaryref2!Q89,IF(AK158=summaryref2!B103,summaryref2!Q103,IF(AK158=summaryref2!B117,summaryref2!Q117,IF(AK158=summaryref2!B131,summaryref2!Q131,IF(AK158=summaryref2!B145,summaryref2!Q145,"")))))))))))</f>
        <v>#REF!</v>
      </c>
      <c r="BB158" s="1110" t="e">
        <f>IF('A-80 DirEntInv'!#REF!&lt;&gt;"",'A-80 DirEntInv'!#REF!,IF(AK158=summaryref2!B19,summaryref2!R19,IF(Summary!AK158=summaryref2!B33,summaryref2!R33,IF(AK158=summaryref2!B47,summaryref2!R47,IF(AK158=summaryref2!B61,summaryref2!R61,IF(AK158=summaryref2!B75,summaryref2!R75,IF(AK158=summaryref2!B89,summaryref2!R89,IF(AK158=summaryref2!B103,summaryref2!R103,IF(AK158=summaryref2!B117,summaryref2!R117,IF(AK158=summaryref2!B131,summaryref2!R131,IF(AK158=summaryref2!B145,summaryref2!R145,"")))))))))))</f>
        <v>#REF!</v>
      </c>
      <c r="BC158" s="1110" t="e">
        <f>IF('A-80 DirEntInv'!#REF!&lt;&gt;0,'A-80 DirEntInv'!#REF!,IF(AK158=summaryref2!B19,summaryref2!S19,IF(Summary!AK158=summaryref2!B33,summaryref2!S33,IF(AK158=summaryref2!B47,summaryref2!S47,IF(AK158=summaryref2!B61,summaryref2!S61,IF(AK158=summaryref2!B75,summaryref2!S75,IF(AK158=summaryref2!B89,summaryref2!S89,IF(AK158=summaryref2!B103,summaryref2!S103,IF(AK158=summaryref2!B117,summaryref2!S117,IF(AK158=summaryref2!B131,summaryref2!S131,IF(AK158=summaryref2!B145,summaryref2!S145,"")))))))))))</f>
        <v>#REF!</v>
      </c>
      <c r="BD158" s="1111" t="e">
        <f>IF('A-80 DirEntInv'!#REF!&lt;&gt;"",'A-80 DirEntInv'!#REF!,IF(AK158=summaryref2!B19,summaryref2!T19,IF(Summary!AK158=summaryref2!B33,summaryref2!T33,IF(AK158=summaryref2!B47,summaryref2!T47,IF(AK158=summaryref2!B61,summaryref2!T61,IF(AK158=summaryref2!B75,summaryref2!T75,IF(AK158=summaryref2!B89,summaryref2!T89,IF(AK158=summaryref2!B103,summaryref2!T103,IF(AK158=summaryref2!B117,summaryref2!T117,IF(AK158=summaryref2!B131,summaryref2!T131,IF(AK158=summaryref2!B145,summaryref2!T145,"")))))))))))</f>
        <v>#REF!</v>
      </c>
      <c r="BE158" s="1184" t="e">
        <f>IF('A-80 DirEntInv'!#REF!&lt;&gt;"",'A-80 DirEntInv'!#REF!,IF(AK158=summaryref2!B19,summaryref2!U19,IF(Summary!AK158=summaryref2!B33,summaryref2!U33,IF(AK158=summaryref2!B47,summaryref2!U47,IF(AK158=summaryref2!B61,summaryref2!U61,IF(AK158=summaryref2!B75,summaryref2!U75,IF(AK158=summaryref2!B89,summaryref2!U89,IF(AK158=summaryref2!B103,summaryref2!U103,IF(AK158=summaryref2!B117,summaryref2!U117,IF(AK158=summaryref2!B131,summaryref2!U131,IF(AK158=summaryref2!B145,summaryref2!U145,"")))))))))))</f>
        <v>#REF!</v>
      </c>
      <c r="BF158" s="1432"/>
      <c r="BG158" s="1432"/>
      <c r="BJ158" s="1041" t="s">
        <v>2215</v>
      </c>
      <c r="BK158" s="1384" t="e">
        <f>IF('A-80 DirEntInv'!#REF!&lt;&gt;"",'A-80 DirEntInv'!#REF!,VLOOKUP(Summary!BJ158,Codes!$L$181:$L$199,2,FALSE))</f>
        <v>#REF!</v>
      </c>
      <c r="BU158" s="962"/>
      <c r="CD158" s="589"/>
      <c r="CE158" s="590"/>
      <c r="CF158" s="590"/>
      <c r="CG158" s="590"/>
      <c r="CH158" s="590"/>
      <c r="CI158" s="590"/>
      <c r="CJ158" s="589"/>
      <c r="CK158" s="589"/>
      <c r="CL158" s="589"/>
      <c r="CM158" s="587"/>
      <c r="CN158" s="587"/>
      <c r="CO158" s="589"/>
      <c r="CP158" s="587"/>
      <c r="CQ158" s="592"/>
      <c r="CR158" s="589"/>
      <c r="CS158" s="592"/>
      <c r="CT158" s="589"/>
      <c r="CU158" s="589"/>
      <c r="CV158" s="589"/>
      <c r="CW158" s="587"/>
      <c r="CX158" s="590"/>
      <c r="CY158" s="590"/>
      <c r="CZ158" s="590"/>
      <c r="DA158" s="1054"/>
      <c r="DB158" s="1054"/>
      <c r="DC158" s="587"/>
      <c r="DD158" s="587"/>
    </row>
    <row r="159" spans="1:108" s="588" customFormat="1" ht="13.5" thickBot="1" x14ac:dyDescent="0.25">
      <c r="A159" s="589">
        <f t="shared" si="2"/>
        <v>149</v>
      </c>
      <c r="B159" s="587"/>
      <c r="C159" s="587"/>
      <c r="D159" s="587"/>
      <c r="J159" s="589"/>
      <c r="K159" s="590"/>
      <c r="L159" s="591"/>
      <c r="M159" s="592"/>
      <c r="N159" s="589"/>
      <c r="O159" s="587"/>
      <c r="R159" s="1052"/>
      <c r="S159" s="1052"/>
      <c r="T159" s="1052"/>
      <c r="U159" s="1052"/>
      <c r="V159" s="1052"/>
      <c r="W159" s="1053"/>
      <c r="X159" s="1053"/>
      <c r="Y159" s="1053"/>
      <c r="Z159" s="1052"/>
      <c r="AA159" s="1052"/>
      <c r="AB159" s="962"/>
      <c r="AC159" s="590"/>
      <c r="AD159" s="590"/>
      <c r="AE159" s="591"/>
      <c r="AF159" s="592"/>
      <c r="AG159" s="1053"/>
      <c r="AH159" s="587"/>
      <c r="AK159" s="1048" t="str">
        <f>Codes!$C$166</f>
        <v>LR - Light Rail (PT)</v>
      </c>
      <c r="AL159" s="1049" t="str">
        <f>Valid!$B$79</f>
        <v>Below-Grade/Submerged Tube</v>
      </c>
      <c r="AM159" s="1119" t="e">
        <f>IF('A-80 DirEntInv'!#REF!&lt;&gt;"",'A-80 DirEntInv'!#REF!,IF(AK159=summaryref2!B20,summaryref2!D20,IF(Summary!AK159=summaryref2!B34,summaryref2!D34,IF(AK159=summaryref2!B48,summaryref2!D48,IF(AK159=summaryref2!B62,summaryref2!D62,IF(AK159=summaryref2!B76,summaryref2!D76,IF(AK159=summaryref2!B90,summaryref2!D90,IF(AK159=summaryref2!B104,summaryref2!D104,IF(AK159=summaryref2!B118,summaryref2!D118,IF(AK159=summaryref2!B132,summaryref2!D132,IF(AK159=summaryref2!B146,summaryref2!D146,"")))))))))))</f>
        <v>#REF!</v>
      </c>
      <c r="AN159" s="1120" t="e">
        <f ca="1">IF('A-80 DirEntInv'!#REF!&lt;&gt;"",'A-80 DirEntInv'!#REF!,IF(INDIRECT(ADDRESS(SumRef!CG152,SumRef!CG$16,,,SumRef!$C$7))="","",INDIRECT(ADDRESS(SumRef!CG152,SumRef!CG$16,,,SumRef!$C$7))))</f>
        <v>#REF!</v>
      </c>
      <c r="AO159" s="1119" t="e">
        <f>IF('A-80 DirEntInv'!#REF!&lt;&gt;"",'A-80 DirEntInv'!#REF!,IF(AK159=summaryref2!B20,summaryref2!F20,IF(Summary!AK159=summaryref2!B34,summaryref2!F34,IF(AK159=summaryref2!B48,summaryref2!F48,IF(AK159=summaryref2!B62,summaryref2!F62,IF(AK159=summaryref2!B76,summaryref2!F76,IF(AK159=summaryref2!B90,summaryref2!F90,IF(AK159=summaryref2!B104,summaryref2!F104,IF(AK159=summaryref2!B118,summaryref2!F118,IF(AK159=summaryref2!B132,summaryref2!F132,IF(AK159=summaryref2!B146,summaryref2!F146,"")))))))))))</f>
        <v>#REF!</v>
      </c>
      <c r="AP159" s="1120" t="e">
        <f ca="1">IF('A-80 DirEntInv'!#REF!&lt;&gt;"",'A-80 DirEntInv'!#REF!,IF(INDIRECT(ADDRESS(SumRef!#REF!,SumRef!#REF!,,,SumRef!$C$7))="","",INDIRECT(ADDRESS(SumRef!#REF!,SumRef!#REF!,,,SumRef!$C$7))))</f>
        <v>#REF!</v>
      </c>
      <c r="AQ159" s="1148" t="e">
        <f>IF('A-80 DirEntInv'!#REF!&lt;&gt;"",'A-80 DirEntInv'!#REF!,IF(AK159=summaryref2!B20,summaryref2!G20,IF(Summary!AK159=summaryref2!B34,summaryref2!G34,IF(AK159=summaryref2!B48,summaryref2!G48,IF(AK159=summaryref2!B62,summaryref2!G62,IF(AK159=summaryref2!B76,summaryref2!G76,IF(AK159=summaryref2!B90,summaryref2!G90,IF(AK159=summaryref2!B104,summaryref2!G104,IF(AK159=summaryref2!B118,summaryref2!G118,IF(AK159=summaryref2!B132,summaryref2!G132,IF(AK159=summaryref2!B146,summaryref2!G146,"")))))))))))</f>
        <v>#REF!</v>
      </c>
      <c r="AR159" s="1148" t="e">
        <f>IF('A-80 DirEntInv'!#REF!&lt;&gt;"",'A-80 DirEntInv'!#REF!,IF(AK159=summaryref2!B20,summaryref2!H20,IF(Summary!AK159=summaryref2!B34,summaryref2!H34,IF(AK159=summaryref2!B48,summaryref2!H48,IF(AK159=summaryref2!B62,summaryref2!H62,IF(AK159=summaryref2!B76,summaryref2!H76,IF(AK159=summaryref2!B90,summaryref2!H90,IF(AK159=summaryref2!B104,summaryref2!H104,IF(AK159=summaryref2!B118,summaryref2!H118,IF(AK159=summaryref2!B132,summaryref2!H132,IF(AK159=summaryref2!B146,summaryref2!H146,"")))))))))))</f>
        <v>#REF!</v>
      </c>
      <c r="AS159" s="1121" t="e">
        <f>IF('A-80 DirEntInv'!#REF!&lt;&gt;"",'A-80 DirEntInv'!#REF!,IF(AK159=summaryref2!B20,summaryref2!I20,IF(Summary!AK159=summaryref2!B34,summaryref2!I34,IF(AK159=summaryref2!B48,summaryref2!I48,IF(AK159=summaryref2!B62,summaryref2!I62,IF(AK159=summaryref2!B76,summaryref2!I76,IF(AK159=summaryref2!B90,summaryref2!I90,IF(AK159=summaryref2!B104,summaryref2!I104,IF(AK159=summaryref2!B118,summaryref2!I118,IF(AK159=summaryref2!B132,summaryref2!I132,IF(AK159=summaryref2!B146,summaryref2!I146,"")))))))))))</f>
        <v>#REF!</v>
      </c>
      <c r="AT159" s="1121" t="e">
        <f>IF('A-80 DirEntInv'!#REF!&lt;&gt;"",'A-80 DirEntInv'!#REF!,IF(AK159=summaryref2!B20,summaryref2!J20,IF(Summary!AK159=summaryref2!B34,summaryref2!J34,IF(AK159=summaryref2!B48,summaryref2!J48,IF(AK159=summaryref2!B62,summaryref2!J62,IF(AK159=summaryref2!B76,summaryref2!J76,IF(AK159=summaryref2!B90,summaryref2!J90,IF(AK159=summaryref2!B104,summaryref2!J104,IF(AK159=summaryref2!B118,summaryref2!J118,IF(AK159=summaryref2!B132,summaryref2!J132,IF(AK159=summaryref2!B146,summaryref2!J146,"")))))))))))</f>
        <v>#REF!</v>
      </c>
      <c r="AU159" s="1121" t="e">
        <f>IF('A-80 DirEntInv'!#REF!&lt;&gt;"",'A-80 DirEntInv'!#REF!,IF(AK159=summaryref2!B20,summaryref2!K20,IF(Summary!AK159=summaryref2!B34,summaryref2!K34,IF(AK159=summaryref2!B48,summaryref2!K48,IF(AK159=summaryref2!B62,summaryref2!K62,IF(AK159=summaryref2!B76,summaryref2!K76,IF(AK159=summaryref2!B90,summaryref2!K90,IF(AK159=summaryref2!B104,summaryref2!K104,IF(AK159=summaryref2!B118,summaryref2!K118,IF(AK159=summaryref2!B132,summaryref2!K132,IF(AK159=summaryref2!B146,summaryref2!K146,"")))))))))))</f>
        <v>#REF!</v>
      </c>
      <c r="AV159" s="1121" t="e">
        <f>IF('A-80 DirEntInv'!#REF!&lt;&gt;"",'A-80 DirEntInv'!#REF!,IF(AK159=summaryref2!B20,summaryref2!L20,IF(Summary!AK159=summaryref2!B34,summaryref2!L34,IF(AK159=summaryref2!B48,summaryref2!L48,IF(AK159=summaryref2!B62,summaryref2!L62,IF(AK159=summaryref2!B76,summaryref2!L76,IF(AK159=summaryref2!B90,summaryref2!L90,IF(AK159=summaryref2!B104,summaryref2!L104,IF(AK159=summaryref2!B118,summaryref2!L118,IF(AK159=summaryref2!B132,summaryref2!L132,IF(AK159=summaryref2!B146,summaryref2!L146,"")))))))))))</f>
        <v>#REF!</v>
      </c>
      <c r="AW159" s="1121" t="e">
        <f>IF('A-80 DirEntInv'!#REF!&lt;&gt;"",'A-80 DirEntInv'!#REF!,IF(AK159=summaryref2!B20,summaryref2!M20,IF(Summary!AK159=summaryref2!B34,summaryref2!M34,IF(AK159=summaryref2!B48,summaryref2!M48,IF(AK159=summaryref2!B62,summaryref2!M62,IF(AK159=summaryref2!B76,summaryref2!M76,IF(AK159=summaryref2!B90,summaryref2!M90,IF(AK159=summaryref2!B104,summaryref2!M104,IF(AK159=summaryref2!B118,summaryref2!M118,IF(AK159=summaryref2!B132,summaryref2!M132,IF(AK159=summaryref2!B146,summaryref2!M146,"")))))))))))</f>
        <v>#REF!</v>
      </c>
      <c r="AX159" s="1121" t="e">
        <f>IF('A-80 DirEntInv'!#REF!&lt;&gt;"",'A-80 DirEntInv'!#REF!,IF(AK159=summaryref2!B20,summaryref2!N20,IF(Summary!AK159=summaryref2!B34,summaryref2!N34,IF(AK159=summaryref2!B48,summaryref2!N48,IF(AK159=summaryref2!B62,summaryref2!N62,IF(AK159=summaryref2!B76,summaryref2!N76,IF(AK159=summaryref2!B90,summaryref2!N90,IF(AK159=summaryref2!B104,summaryref2!N104,IF(AK159=summaryref2!B118,summaryref2!N118,IF(AK159=summaryref2!B132,summaryref2!N132,IF(AK159=summaryref2!B146,summaryref2!N146,"")))))))))))</f>
        <v>#REF!</v>
      </c>
      <c r="AY159" s="1121" t="e">
        <f>IF('A-80 DirEntInv'!#REF!&lt;&gt;"",'A-80 DirEntInv'!#REF!,IF(AK159=summaryref2!B20,summaryref2!O20,IF(Summary!AK159=summaryref2!B34,summaryref2!O34,IF(AK159=summaryref2!B48,summaryref2!O48,IF(AK159=summaryref2!B62,summaryref2!O62,IF(AK159=summaryref2!B76,summaryref2!O76,IF(AK159=summaryref2!B90,summaryref2!O90,IF(AK159=summaryref2!B104,summaryref2!O104,IF(AK159=summaryref2!B118,summaryref2!O118,IF(AK159=summaryref2!B132,summaryref2!O132,IF(AK159=summaryref2!B146,summaryref2!O146,"")))))))))))</f>
        <v>#REF!</v>
      </c>
      <c r="AZ159" s="1121" t="e">
        <f>IF('A-80 DirEntInv'!#REF!&lt;&gt;"",'A-80 DirEntInv'!#REF!,IF(AK159=summaryref2!B20,summaryref2!P20,IF(Summary!AK159=summaryref2!B34,summaryref2!P34,IF(AK159=summaryref2!B48,summaryref2!P48,IF(AK159=summaryref2!B62,summaryref2!P62,IF(AK159=summaryref2!B76,summaryref2!P76,IF(AK159=summaryref2!B90,summaryref2!P90,IF(AK159=summaryref2!B104,summaryref2!P104,IF(AK159=summaryref2!B118,summaryref2!P118,IF(AK159=summaryref2!B132,summaryref2!P132,IF(AK159=summaryref2!B146,summaryref2!P146,"")))))))))))</f>
        <v>#REF!</v>
      </c>
      <c r="BA159" s="1121" t="e">
        <f>IF('A-80 DirEntInv'!#REF!&lt;&gt;"",'A-80 DirEntInv'!#REF!,IF(AK159=summaryref2!B20,summaryref2!Q20,IF(Summary!AK159=summaryref2!B34,summaryref2!Q34,IF(AK159=summaryref2!B48,summaryref2!Q48,IF(AK159=summaryref2!B62,summaryref2!Q62,IF(AK159=summaryref2!B76,summaryref2!Q76,IF(AK159=summaryref2!B90,summaryref2!Q90,IF(AK159=summaryref2!B104,summaryref2!Q104,IF(AK159=summaryref2!B118,summaryref2!Q118,IF(AK159=summaryref2!B132,summaryref2!Q132,IF(AK159=summaryref2!B146,summaryref2!Q146,"")))))))))))</f>
        <v>#REF!</v>
      </c>
      <c r="BB159" s="1121" t="e">
        <f>IF('A-80 DirEntInv'!#REF!&lt;&gt;"",'A-80 DirEntInv'!#REF!,IF(AK159=summaryref2!B20,summaryref2!R20,IF(Summary!AK159=summaryref2!B34,summaryref2!R34,IF(AK159=summaryref2!B48,summaryref2!R48,IF(AK159=summaryref2!B62,summaryref2!R62,IF(AK159=summaryref2!B76,summaryref2!R76,IF(AK159=summaryref2!B90,summaryref2!R90,IF(AK159=summaryref2!B104,summaryref2!R104,IF(AK159=summaryref2!B118,summaryref2!R118,IF(AK159=summaryref2!B132,summaryref2!R132,IF(AK159=summaryref2!B146,summaryref2!R146,"")))))))))))</f>
        <v>#REF!</v>
      </c>
      <c r="BC159" s="1121" t="e">
        <f>IF('A-80 DirEntInv'!#REF!&lt;&gt;0,'A-80 DirEntInv'!#REF!,IF(AK159=summaryref2!B20,summaryref2!S20,IF(Summary!AK159=summaryref2!B34,summaryref2!S34,IF(AK159=summaryref2!B48,summaryref2!S48,IF(AK159=summaryref2!B62,summaryref2!S62,IF(AK159=summaryref2!B76,summaryref2!S76,IF(AK159=summaryref2!B90,summaryref2!S90,IF(AK159=summaryref2!B104,summaryref2!S104,IF(AK159=summaryref2!B118,summaryref2!S118,IF(AK159=summaryref2!B132,summaryref2!S132,IF(AK159=summaryref2!B146,summaryref2!S146,"")))))))))))</f>
        <v>#REF!</v>
      </c>
      <c r="BD159" s="1122" t="e">
        <f>IF('A-80 DirEntInv'!#REF!&lt;&gt;"",'A-80 DirEntInv'!#REF!,IF(AK159=summaryref2!B20,summaryref2!T20,IF(Summary!AK159=summaryref2!B34,summaryref2!T34,IF(AK159=summaryref2!B48,summaryref2!T48,IF(AK159=summaryref2!B62,summaryref2!T62,IF(AK159=summaryref2!B76,summaryref2!T76,IF(AK159=summaryref2!B90,summaryref2!T90,IF(AK159=summaryref2!B104,summaryref2!T104,IF(AK159=summaryref2!B118,summaryref2!T118,IF(AK159=summaryref2!B132,summaryref2!T132,IF(AK159=summaryref2!B146,summaryref2!T146,"")))))))))))</f>
        <v>#REF!</v>
      </c>
      <c r="BE159" s="1190" t="e">
        <f>IF('A-80 DirEntInv'!#REF!&lt;&gt;"",'A-80 DirEntInv'!#REF!,IF(AK159=summaryref2!B20,summaryref2!U20,IF(Summary!AK159=summaryref2!B34,summaryref2!U34,IF(AK159=summaryref2!B48,summaryref2!U48,IF(AK159=summaryref2!B62,summaryref2!U62,IF(AK159=summaryref2!B76,summaryref2!U76,IF(AK159=summaryref2!B90,summaryref2!U90,IF(AK159=summaryref2!B104,summaryref2!U104,IF(AK159=summaryref2!B118,summaryref2!U118,IF(AK159=summaryref2!B132,summaryref2!U132,IF(AK159=summaryref2!B146,summaryref2!U146,"")))))))))))</f>
        <v>#REF!</v>
      </c>
      <c r="BF159" s="1432"/>
      <c r="BG159" s="1432"/>
      <c r="BJ159" s="1041" t="s">
        <v>2207</v>
      </c>
      <c r="BK159" s="1384" t="e">
        <f>IF('A-80 DirEntInv'!#REF!&lt;&gt;"",'A-80 DirEntInv'!#REF!,VLOOKUP(Summary!BJ159,Codes!$L$181:$L$199,2,FALSE))</f>
        <v>#REF!</v>
      </c>
      <c r="BU159" s="962"/>
      <c r="CD159" s="589"/>
      <c r="CE159" s="590"/>
      <c r="CF159" s="590"/>
      <c r="CG159" s="590"/>
      <c r="CH159" s="590"/>
      <c r="CI159" s="590"/>
      <c r="CJ159" s="589"/>
      <c r="CK159" s="589"/>
      <c r="CL159" s="589"/>
      <c r="CM159" s="587"/>
      <c r="CN159" s="587"/>
      <c r="CO159" s="589"/>
      <c r="CP159" s="587"/>
      <c r="CQ159" s="592"/>
      <c r="CR159" s="589"/>
      <c r="CS159" s="592"/>
      <c r="CT159" s="589"/>
      <c r="CU159" s="589"/>
      <c r="CV159" s="589"/>
      <c r="CW159" s="587"/>
      <c r="CX159" s="590"/>
      <c r="CY159" s="590"/>
      <c r="CZ159" s="590"/>
      <c r="DA159" s="1054"/>
      <c r="DB159" s="1054"/>
      <c r="DC159" s="587"/>
      <c r="DD159" s="587"/>
    </row>
    <row r="160" spans="1:108" s="588" customFormat="1" ht="13.5" thickTop="1" x14ac:dyDescent="0.2">
      <c r="A160" s="589">
        <f t="shared" si="2"/>
        <v>150</v>
      </c>
      <c r="B160" s="587"/>
      <c r="C160" s="587"/>
      <c r="D160" s="587"/>
      <c r="J160" s="589"/>
      <c r="K160" s="590"/>
      <c r="L160" s="591"/>
      <c r="M160" s="592"/>
      <c r="N160" s="589"/>
      <c r="O160" s="587"/>
      <c r="R160" s="1052"/>
      <c r="S160" s="1052"/>
      <c r="T160" s="1052"/>
      <c r="U160" s="1052"/>
      <c r="V160" s="1052"/>
      <c r="W160" s="1053"/>
      <c r="X160" s="1053"/>
      <c r="Y160" s="1053"/>
      <c r="Z160" s="1052"/>
      <c r="AA160" s="1052"/>
      <c r="AB160" s="962"/>
      <c r="AC160" s="590"/>
      <c r="AD160" s="590"/>
      <c r="AE160" s="591"/>
      <c r="AF160" s="592"/>
      <c r="AG160" s="1053"/>
      <c r="AH160" s="587"/>
      <c r="AK160" s="1181" t="str">
        <f>Codes!$C$166</f>
        <v>LR - Light Rail (PT)</v>
      </c>
      <c r="AL160" s="1182" t="str">
        <f>Valid!$B$87</f>
        <v>Substation Building</v>
      </c>
      <c r="AM160" s="1123" t="e">
        <f>IF('A-80 DirEntInv'!#REF!&lt;&gt;"",'A-80 DirEntInv'!#REF!,IF(AK160=summaryref2!B21,summaryref2!D21,IF(Summary!AK160=summaryref2!B35,summaryref2!D35,IF(AK160=summaryref2!B49,summaryref2!D49,IF(AK160=summaryref2!B63,summaryref2!D63,IF(AK160=summaryref2!B77,summaryref2!D77,IF(AK160=summaryref2!B91,summaryref2!D91,IF(AK160=summaryref2!B105,summaryref2!D105,IF(AK160=summaryref2!B119,summaryref2!D119,IF(AK160=summaryref2!B133,summaryref2!D133,IF(AK160=summaryref2!B197,summaryref2!D147,"")))))))))))</f>
        <v>#REF!</v>
      </c>
      <c r="AN160" s="1124" t="s">
        <v>13</v>
      </c>
      <c r="AO160" s="1123"/>
      <c r="AP160" s="1124"/>
      <c r="AQ160" s="1149" t="e">
        <f>IF('A-80 DirEntInv'!#REF!&lt;&gt;"",'A-80 DirEntInv'!#REF!,IF(AK160=summaryref2!B21,summaryref2!G21,IF(Summary!AK160=summaryref2!B35,summaryref2!G35,IF(AK160=summaryref2!B49,summaryref2!G49,IF(AK160=summaryref2!B63,summaryref2!G63,IF(AK160=summaryref2!B77,summaryref2!G77,IF(AK160=summaryref2!B91,summaryref2!G91,IF(AK160=summaryref2!B105,summaryref2!G105,IF(AK160=summaryref2!B119,summaryref2!G119,IF(AK160=summaryref2!B133,summaryref2!G133,IF(AK160=summaryref2!B147,summaryref2!G147,"")))))))))))</f>
        <v>#REF!</v>
      </c>
      <c r="AR160" s="1149" t="e">
        <f>IF('A-80 DirEntInv'!#REF!&lt;&gt;"",'A-80 DirEntInv'!#REF!,IF(AK160=summaryref2!B21,summaryref2!H21,IF(Summary!AK160=summaryref2!B35,summaryref2!H35,IF(AK160=summaryref2!B49,summaryref2!H49,IF(AK160=summaryref2!B63,summaryref2!H63,IF(AK160=summaryref2!B77,summaryref2!H77,IF(AK160=summaryref2!B91,summaryref2!H91,IF(AK160=summaryref2!B105,summaryref2!H105,IF(AK160=summaryref2!B119,summaryref2!H119,IF(AK160=summaryref2!B133,summaryref2!H133,IF(AK160=summaryref2!B147,summaryref2!H147,"")))))))))))</f>
        <v>#REF!</v>
      </c>
      <c r="AS160" s="1125" t="e">
        <f>IF('A-80 DirEntInv'!#REF!&lt;&gt;"",'A-80 DirEntInv'!#REF!,IF(AK160=summaryref2!B21,summaryref2!I21,IF(Summary!AK160=summaryref2!B35,summaryref2!I35,IF(AK160=summaryref2!B49,summaryref2!I49,IF(AK160=summaryref2!B63,summaryref2!I63,IF(AK160=summaryref2!B77,summaryref2!I77,IF(AK160=summaryref2!B91,summaryref2!I91,IF(AK160=summaryref2!B105,summaryref2!I105,IF(AK160=summaryref2!B119,summaryref2!I119,IF(AK160=summaryref2!B133,summaryref2!I133,IF(AK160=summaryref2!B147,summaryref2!I147,"")))))))))))</f>
        <v>#REF!</v>
      </c>
      <c r="AT160" s="1125" t="e">
        <f>IF('A-80 DirEntInv'!#REF!&lt;&gt;"",'A-80 DirEntInv'!#REF!,IF(AK160=summaryref2!B21,summaryref2!J21,IF(Summary!AK160=summaryref2!B35,summaryref2!J35,IF(AK160=summaryref2!B49,summaryref2!J49,IF(AK160=summaryref2!B63,summaryref2!J63,IF(AK160=summaryref2!B77,summaryref2!J77,IF(AK160=summaryref2!B91,summaryref2!J91,IF(AK160=summaryref2!B105,summaryref2!J105,IF(AK160=summaryref2!B119,summaryref2!J119,IF(AK160=summaryref2!B133,summaryref2!J133,IF(AK160=summaryref2!B147,summaryref2!J147,"")))))))))))</f>
        <v>#REF!</v>
      </c>
      <c r="AU160" s="1125" t="e">
        <f>IF('A-80 DirEntInv'!#REF!&lt;&gt;"",'A-80 DirEntInv'!#REF!,IF(AK160=summaryref2!B21,summaryref2!K21,IF(Summary!AK160=summaryref2!B35,summaryref2!K35,IF(AK160=summaryref2!B49,summaryref2!K49,IF(AK160=summaryref2!B63,summaryref2!K63,IF(AK160=summaryref2!B77,summaryref2!K77,IF(AK160=summaryref2!B91,summaryref2!K91,IF(AK160=summaryref2!B105,summaryref2!K105,IF(AK160=summaryref2!B119,summaryref2!K119,IF(AK160=summaryref2!B133,summaryref2!K133,IF(AK160=summaryref2!B147,summaryref2!K147,"")))))))))))</f>
        <v>#REF!</v>
      </c>
      <c r="AV160" s="1125" t="e">
        <f>IF('A-80 DirEntInv'!#REF!&lt;&gt;"",'A-80 DirEntInv'!#REF!,IF(AK160=summaryref2!B21,summaryref2!L21,IF(Summary!AK160=summaryref2!B35,summaryref2!L35,IF(AK160=summaryref2!B49,summaryref2!L49,IF(AK160=summaryref2!B63,summaryref2!L63,IF(AK160=summaryref2!B77,summaryref2!L77,IF(AK160=summaryref2!B91,summaryref2!L91,IF(AK160=summaryref2!B105,summaryref2!L105,IF(AK160=summaryref2!B119,summaryref2!L119,IF(AK160=summaryref2!B133,summaryref2!L133,IF(AK160=summaryref2!B147,summaryref2!L147,"")))))))))))</f>
        <v>#REF!</v>
      </c>
      <c r="AW160" s="1125" t="e">
        <f>IF('A-80 DirEntInv'!#REF!&lt;&gt;"",'A-80 DirEntInv'!#REF!,IF(AK160=summaryref2!B21,summaryref2!M21,IF(Summary!AK160=summaryref2!B35,summaryref2!M35,IF(AK160=summaryref2!B49,summaryref2!M49,IF(AK160=summaryref2!B63,summaryref2!M63,IF(AK160=summaryref2!B77,summaryref2!M77,IF(AK160=summaryref2!B91,summaryref2!M91,IF(AK160=summaryref2!B105,summaryref2!M105,IF(AK160=summaryref2!B119,summaryref2!M119,IF(AK160=summaryref2!B133,summaryref2!M133,IF(AK160=summaryref2!B147,summaryref2!M147,"")))))))))))</f>
        <v>#REF!</v>
      </c>
      <c r="AX160" s="1125" t="e">
        <f>IF('A-80 DirEntInv'!#REF!&lt;&gt;"",'A-80 DirEntInv'!#REF!,IF(AK160=summaryref2!B21,summaryref2!N21,IF(Summary!AK160=summaryref2!B35,summaryref2!N35,IF(AK160=summaryref2!B49,summaryref2!N49,IF(AK160=summaryref2!B63,summaryref2!N63,IF(AK160=summaryref2!B77,summaryref2!N77,IF(AK160=summaryref2!B91,summaryref2!N91,IF(AK160=summaryref2!B105,summaryref2!N105,IF(AK160=summaryref2!B119,summaryref2!N119,IF(AK160=summaryref2!B133,summaryref2!N133,IF(AK160=summaryref2!B147,summaryref2!N147,"")))))))))))</f>
        <v>#REF!</v>
      </c>
      <c r="AY160" s="1125" t="e">
        <f>IF('A-80 DirEntInv'!#REF!&lt;&gt;"",'A-80 DirEntInv'!#REF!,IF(AK160=summaryref2!B21,summaryref2!O21,IF(Summary!AK160=summaryref2!B35,summaryref2!O35,IF(AK160=summaryref2!B49,summaryref2!O49,IF(AK160=summaryref2!B63,summaryref2!O63,IF(AK160=summaryref2!B77,summaryref2!O77,IF(AK160=summaryref2!B91,summaryref2!O91,IF(AK160=summaryref2!B105,summaryref2!O105,IF(AK160=summaryref2!B119,summaryref2!O119,IF(AK160=summaryref2!B133,summaryref2!O133,IF(AK160=summaryref2!B147,summaryref2!O147,"")))))))))))</f>
        <v>#REF!</v>
      </c>
      <c r="AZ160" s="1125" t="e">
        <f>IF('A-80 DirEntInv'!#REF!&lt;&gt;"",'A-80 DirEntInv'!#REF!,IF(AK160=summaryref2!B21,summaryref2!P21,IF(Summary!AK160=summaryref2!B35,summaryref2!P35,IF(AK160=summaryref2!B49,summaryref2!P49,IF(AK160=summaryref2!B63,summaryref2!P63,IF(AK160=summaryref2!B77,summaryref2!P77,IF(AK160=summaryref2!B91,summaryref2!P91,IF(AK160=summaryref2!B105,summaryref2!P105,IF(AK160=summaryref2!B119,summaryref2!P119,IF(AK160=summaryref2!B133,summaryref2!P133,IF(AK160=summaryref2!B147,summaryref2!P147,"")))))))))))</f>
        <v>#REF!</v>
      </c>
      <c r="BA160" s="1125" t="e">
        <f>IF('A-80 DirEntInv'!#REF!&lt;&gt;"",'A-80 DirEntInv'!#REF!,IF(AK160=summaryref2!B21,summaryref2!Q21,IF(Summary!AK160=summaryref2!B35,summaryref2!Q35,IF(AK160=summaryref2!B49,summaryref2!Q49,IF(AK160=summaryref2!B63,summaryref2!Q63,IF(AK160=summaryref2!B77,summaryref2!Q77,IF(AK160=summaryref2!B91,summaryref2!Q91,IF(AK160=summaryref2!B105,summaryref2!Q105,IF(AK160=summaryref2!B119,summaryref2!Q119,IF(AK160=summaryref2!B133,summaryref2!Q133,IF(AK160=summaryref2!B147,summaryref2!Q147,"")))))))))))</f>
        <v>#REF!</v>
      </c>
      <c r="BB160" s="1125" t="e">
        <f>IF('A-80 DirEntInv'!#REF!&lt;&gt;"",'A-80 DirEntInv'!#REF!,IF(AK160=summaryref2!B21,summaryref2!R21,IF(Summary!AK160=summaryref2!B35,summaryref2!R35,IF(AK160=summaryref2!B49,summaryref2!R49,IF(AK160=summaryref2!B63,summaryref2!R63,IF(AK160=summaryref2!B77,summaryref2!R77,IF(AK160=summaryref2!B91,summaryref2!R91,IF(AK160=summaryref2!B105,summaryref2!R105,IF(AK160=summaryref2!B119,summaryref2!R119,IF(AK160=summaryref2!B133,summaryref2!R133,IF(AK160=summaryref2!B147,summaryref2!R147,"")))))))))))</f>
        <v>#REF!</v>
      </c>
      <c r="BC160" s="1125" t="e">
        <f>IF('A-80 DirEntInv'!#REF!&lt;&gt;0,'A-80 DirEntInv'!#REF!,IF(AK160=summaryref2!B21,summaryref2!S21,IF(Summary!AK160=summaryref2!B35,summaryref2!S35,IF(AK160=summaryref2!B49,summaryref2!S49,IF(AK160=summaryref2!B63,summaryref2!S63,IF(AK160=summaryref2!B77,summaryref2!S77,IF(AK160=summaryref2!B91,summaryref2!S91,IF(AK160=summaryref2!B105,summaryref2!S105,IF(AK160=summaryref2!B119,summaryref2!S119,IF(AK160=summaryref2!B133,summaryref2!S133,IF(AK160=summaryref2!B147,summaryref2!S147,"")))))))))))</f>
        <v>#REF!</v>
      </c>
      <c r="BD160" s="1126" t="e">
        <f>IF('A-80 DirEntInv'!#REF!&lt;&gt;"",'A-80 DirEntInv'!#REF!,IF(AK160=summaryref2!B21,summaryref2!T21,IF(Summary!AK160=summaryref2!B35,summaryref2!T35,IF(AK160=summaryref2!B49,summaryref2!T49,IF(AK160=summaryref2!B63,summaryref2!T63,IF(AK160=summaryref2!B77,summaryref2!T77,IF(AK160=summaryref2!B91,summaryref2!T91,IF(AK160=summaryref2!B105,summaryref2!T105,IF(AK160=summaryref2!B119,summaryref2!T119,IF(AK160=summaryref2!B133,summaryref2!T133,IF(AK160=summaryref2!B147,summaryref2!T147,"")))))))))))</f>
        <v>#REF!</v>
      </c>
      <c r="BE160" s="1183" t="e">
        <f>IF('A-80 DirEntInv'!#REF!&lt;&gt;"",'A-80 DirEntInv'!#REF!,IF(AK160=summaryref2!B21,summaryref2!U21,IF(Summary!AK160=summaryref2!B35,summaryref2!U35,IF(AK160=summaryref2!B49,summaryref2!U49,IF(AK160=summaryref2!B63,summaryref2!U63,IF(AK160=summaryref2!B77,summaryref2!U77,IF(AK160=summaryref2!B91,summaryref2!U91,IF(AK160=summaryref2!B105,summaryref2!U105,IF(AK160=summaryref2!B119,summaryref2!U119,IF(AK160=summaryref2!B133,summaryref2!U133,IF(AK160=summaryref2!B147,summaryref2!U147,"")))))))))))</f>
        <v>#REF!</v>
      </c>
      <c r="BF160" s="1432"/>
      <c r="BG160" s="1432"/>
      <c r="BJ160" s="1041" t="s">
        <v>2216</v>
      </c>
      <c r="BK160" s="1384" t="e">
        <f>IF('A-80 DirEntInv'!#REF!&lt;&gt;"",'A-80 DirEntInv'!#REF!,VLOOKUP(Summary!BJ160,Codes!$L$181:$L$199,2,FALSE))</f>
        <v>#REF!</v>
      </c>
      <c r="BU160" s="962"/>
      <c r="CD160" s="589"/>
      <c r="CE160" s="590"/>
      <c r="CF160" s="590"/>
      <c r="CG160" s="590"/>
      <c r="CH160" s="590"/>
      <c r="CI160" s="590"/>
      <c r="CJ160" s="589"/>
      <c r="CK160" s="589"/>
      <c r="CL160" s="589"/>
      <c r="CM160" s="587"/>
      <c r="CN160" s="587"/>
      <c r="CO160" s="589"/>
      <c r="CP160" s="587"/>
      <c r="CQ160" s="592"/>
      <c r="CR160" s="589"/>
      <c r="CS160" s="592"/>
      <c r="CT160" s="589"/>
      <c r="CU160" s="589"/>
      <c r="CV160" s="589"/>
      <c r="CW160" s="587"/>
      <c r="CX160" s="590"/>
      <c r="CY160" s="590"/>
      <c r="CZ160" s="590"/>
      <c r="DA160" s="1054"/>
      <c r="DB160" s="1054"/>
      <c r="DC160" s="587"/>
      <c r="DD160" s="587"/>
    </row>
    <row r="161" spans="1:108" s="588" customFormat="1" x14ac:dyDescent="0.2">
      <c r="A161" s="589">
        <f t="shared" si="2"/>
        <v>151</v>
      </c>
      <c r="B161" s="587"/>
      <c r="C161" s="587"/>
      <c r="D161" s="587"/>
      <c r="J161" s="589"/>
      <c r="K161" s="590"/>
      <c r="L161" s="591"/>
      <c r="M161" s="592"/>
      <c r="N161" s="589"/>
      <c r="O161" s="587"/>
      <c r="R161" s="1052"/>
      <c r="S161" s="1052"/>
      <c r="T161" s="1052"/>
      <c r="U161" s="1052"/>
      <c r="V161" s="1052"/>
      <c r="W161" s="1053"/>
      <c r="X161" s="1053"/>
      <c r="Y161" s="1053"/>
      <c r="Z161" s="1052"/>
      <c r="AA161" s="1052"/>
      <c r="AB161" s="962"/>
      <c r="AC161" s="590"/>
      <c r="AD161" s="590"/>
      <c r="AE161" s="591"/>
      <c r="AF161" s="592"/>
      <c r="AG161" s="1053"/>
      <c r="AH161" s="587"/>
      <c r="AJ161" s="589"/>
      <c r="AK161" s="1041" t="str">
        <f>Codes!$C$166</f>
        <v>LR - Light Rail (PT)</v>
      </c>
      <c r="AL161" s="1042" t="str">
        <f>Valid!$B$88</f>
        <v>Substation Equipment</v>
      </c>
      <c r="AM161" s="1187"/>
      <c r="AN161" s="1046"/>
      <c r="AO161" s="1187"/>
      <c r="AP161" s="1046"/>
      <c r="AQ161" s="1147" t="e">
        <f>IF('A-80 DirEntInv'!#REF!&lt;&gt;"",'A-80 DirEntInv'!#REF!,IF(AK161=summaryref2!B22,summaryref2!G22,IF(Summary!AK161=summaryref2!B36,summaryref2!G36,IF(AK161=summaryref2!B50,summaryref2!G50,IF(AK161=summaryref2!B64,summaryref2!G64,IF(AK161=summaryref2!B78,summaryref2!G78,IF(AK161=summaryref2!B92,summaryref2!G92,IF(AK161=summaryref2!B106,summaryref2!G106,IF(AK161=summaryref2!B120,summaryref2!G120,IF(AK161=summaryref2!B134,summaryref2!G134,IF(AK161=summaryref2!B148,summaryref2!G148,"")))))))))))</f>
        <v>#REF!</v>
      </c>
      <c r="AR161" s="1147" t="e">
        <f>IF('A-80 DirEntInv'!#REF!&lt;&gt;"",'A-80 DirEntInv'!#REF!,IF(AK161=summaryref2!B22,summaryref2!H22,IF(Summary!AK161=summaryref2!B36,summaryref2!H36,IF(AK161=summaryref2!B50,summaryref2!H50,IF(AK161=summaryref2!B64,summaryref2!H64,IF(AK161=summaryref2!B78,summaryref2!H78,IF(AK161=summaryref2!B92,summaryref2!H92,IF(AK161=summaryref2!B106,summaryref2!H106,IF(AK161=summaryref2!B120,summaryref2!H120,IF(AK161=summaryref2!B134,summaryref2!H134,IF(AK161=summaryref2!B148,summaryref2!H148,"")))))))))))</f>
        <v>#REF!</v>
      </c>
      <c r="AS161" s="1110" t="e">
        <f>IF('A-80 DirEntInv'!#REF!&lt;&gt;"",'A-80 DirEntInv'!#REF!,IF(AK161=summaryref2!B22,summaryref2!I22,IF(Summary!AK161=summaryref2!B36,summaryref2!I36,IF(AK161=summaryref2!B50,summaryref2!I50,IF(AK161=summaryref2!B64,summaryref2!I64,IF(AK161=summaryref2!B78,summaryref2!I78,IF(AK161=summaryref2!B92,summaryref2!I92,IF(AK161=summaryref2!B106,summaryref2!I106,IF(AK161=summaryref2!B120,summaryref2!I120,IF(AK161=summaryref2!B134,summaryref2!I134,IF(AK161=summaryref2!B148,summaryref2!I148,"")))))))))))</f>
        <v>#REF!</v>
      </c>
      <c r="AT161" s="1110" t="e">
        <f>IF('A-80 DirEntInv'!#REF!&lt;&gt;"",'A-80 DirEntInv'!#REF!,IF(AK161=summaryref2!B22,summaryref2!J22,IF(Summary!AK161=summaryref2!B36,summaryref2!J36,IF(AK161=summaryref2!B50,summaryref2!J50,IF(AK161=summaryref2!B64,summaryref2!J64,IF(AK161=summaryref2!B78,summaryref2!J78,IF(AK161=summaryref2!B92,summaryref2!J92,IF(AK161=summaryref2!B106,summaryref2!J106,IF(AK161=summaryref2!B120,summaryref2!J120,IF(AK161=summaryref2!B134,summaryref2!J134,IF(AK161=summaryref2!B148,summaryref2!J148,"")))))))))))</f>
        <v>#REF!</v>
      </c>
      <c r="AU161" s="1110" t="e">
        <f>IF('A-80 DirEntInv'!#REF!&lt;&gt;"",'A-80 DirEntInv'!#REF!,IF(AK161=summaryref2!B22,summaryref2!K22,IF(Summary!AK161=summaryref2!B36,summaryref2!K36,IF(AK161=summaryref2!B50,summaryref2!K50,IF(AK161=summaryref2!B64,summaryref2!K64,IF(AK161=summaryref2!B78,summaryref2!K78,IF(AK161=summaryref2!B92,summaryref2!K92,IF(AK161=summaryref2!B106,summaryref2!K106,IF(AK161=summaryref2!B120,summaryref2!K120,IF(AK161=summaryref2!B134,summaryref2!K134,IF(AK161=summaryref2!B148,summaryref2!K148,"")))))))))))</f>
        <v>#REF!</v>
      </c>
      <c r="AV161" s="1110" t="e">
        <f>IF('A-80 DirEntInv'!#REF!&lt;&gt;"",'A-80 DirEntInv'!#REF!,IF(AK161=summaryref2!B22,summaryref2!L22,IF(Summary!AK161=summaryref2!B36,summaryref2!L36,IF(AK161=summaryref2!B50,summaryref2!L50,IF(AK161=summaryref2!B64,summaryref2!L64,IF(AK161=summaryref2!B78,summaryref2!L78,IF(AK161=summaryref2!B92,summaryref2!L92,IF(AK161=summaryref2!B106,summaryref2!L106,IF(AK161=summaryref2!B120,summaryref2!L120,IF(AK161=summaryref2!B134,summaryref2!L134,IF(AK161=summaryref2!B148,summaryref2!L148,"")))))))))))</f>
        <v>#REF!</v>
      </c>
      <c r="AW161" s="1110" t="e">
        <f>IF('A-80 DirEntInv'!#REF!&lt;&gt;"",'A-80 DirEntInv'!#REF!,IF(AK161=summaryref2!B22,summaryref2!M22,IF(Summary!AK161=summaryref2!B36,summaryref2!M36,IF(AK161=summaryref2!B50,summaryref2!M50,IF(AK161=summaryref2!B64,summaryref2!M64,IF(AK161=summaryref2!B78,summaryref2!M78,IF(AK161=summaryref2!B92,summaryref2!M92,IF(AK161=summaryref2!B106,summaryref2!M106,IF(AK161=summaryref2!B120,summaryref2!M120,IF(AK161=summaryref2!B134,summaryref2!M134,IF(AK161=summaryref2!B148,summaryref2!M148,"")))))))))))</f>
        <v>#REF!</v>
      </c>
      <c r="AX161" s="1110" t="e">
        <f>IF('A-80 DirEntInv'!#REF!&lt;&gt;"",'A-80 DirEntInv'!#REF!,IF(AK161=summaryref2!B22,summaryref2!N22,IF(Summary!AK161=summaryref2!B36,summaryref2!N36,IF(AK161=summaryref2!B50,summaryref2!N50,IF(AK161=summaryref2!B64,summaryref2!N64,IF(AK161=summaryref2!B78,summaryref2!N78,IF(AK161=summaryref2!B92,summaryref2!N92,IF(AK161=summaryref2!B106,summaryref2!N106,IF(AK161=summaryref2!B120,summaryref2!N120,IF(AK161=summaryref2!B134,summaryref2!N134,IF(AK161=summaryref2!B148,summaryref2!N148,"")))))))))))</f>
        <v>#REF!</v>
      </c>
      <c r="AY161" s="1110" t="e">
        <f>IF('A-80 DirEntInv'!#REF!&lt;&gt;"",'A-80 DirEntInv'!#REF!,IF(AK161=summaryref2!B22,summaryref2!O22,IF(Summary!AK161=summaryref2!B36,summaryref2!O36,IF(AK161=summaryref2!B50,summaryref2!O50,IF(AK161=summaryref2!B64,summaryref2!O64,IF(AK161=summaryref2!B78,summaryref2!O78,IF(AK161=summaryref2!B92,summaryref2!O92,IF(AK161=summaryref2!B106,summaryref2!O106,IF(AK161=summaryref2!B120,summaryref2!O120,IF(AK161=summaryref2!B134,summaryref2!O134,IF(AK161=summaryref2!B148,summaryref2!O148,"")))))))))))</f>
        <v>#REF!</v>
      </c>
      <c r="AZ161" s="1110" t="e">
        <f>IF('A-80 DirEntInv'!#REF!&lt;&gt;"",'A-80 DirEntInv'!#REF!,IF(AK161=summaryref2!B22,summaryref2!P22,IF(Summary!AK161=summaryref2!B36,summaryref2!P36,IF(AK161=summaryref2!B50,summaryref2!P50,IF(AK161=summaryref2!B64,summaryref2!P64,IF(AK161=summaryref2!B78,summaryref2!P78,IF(AK161=summaryref2!B92,summaryref2!P92,IF(AK161=summaryref2!B106,summaryref2!P106,IF(AK161=summaryref2!B120,summaryref2!P120,IF(AK161=summaryref2!B134,summaryref2!P134,IF(AK161=summaryref2!B148,summaryref2!P148,"")))))))))))</f>
        <v>#REF!</v>
      </c>
      <c r="BA161" s="1110" t="e">
        <f>IF('A-80 DirEntInv'!#REF!&lt;&gt;"",'A-80 DirEntInv'!#REF!,IF(AK161=summaryref2!B22,summaryref2!Q22,IF(Summary!AK161=summaryref2!B36,summaryref2!Q36,IF(AK161=summaryref2!B50,summaryref2!Q50,IF(AK161=summaryref2!B64,summaryref2!Q64,IF(AK161=summaryref2!B78,summaryref2!Q78,IF(AK161=summaryref2!B92,summaryref2!Q92,IF(AK161=summaryref2!B106,summaryref2!Q106,IF(AK161=summaryref2!B120,summaryref2!Q120,IF(AK161=summaryref2!B134,summaryref2!Q134,IF(AK161=summaryref2!B148,summaryref2!Q148,"")))))))))))</f>
        <v>#REF!</v>
      </c>
      <c r="BB161" s="1110" t="e">
        <f>IF('A-80 DirEntInv'!#REF!&lt;&gt;"",'A-80 DirEntInv'!#REF!,IF(AK161=summaryref2!B22,summaryref2!R22,IF(Summary!AK161=summaryref2!B36,summaryref2!R36,IF(AK161=summaryref2!B50,summaryref2!R50,IF(AK161=summaryref2!B64,summaryref2!R64,IF(AK161=summaryref2!B78,summaryref2!R78,IF(AK161=summaryref2!B92,summaryref2!R92,IF(AK161=summaryref2!B106,summaryref2!R106,IF(AK161=summaryref2!B120,summaryref2!R120,IF(AK161=summaryref2!B134,summaryref2!R134,IF(AK161=summaryref2!B148,summaryref2!R148,"")))))))))))</f>
        <v>#REF!</v>
      </c>
      <c r="BC161" s="1110" t="e">
        <f>IF('A-80 DirEntInv'!#REF!&lt;&gt;0,'A-80 DirEntInv'!#REF!,IF(AK161=summaryref2!B22,summaryref2!S22,IF(Summary!AK161=summaryref2!B36,summaryref2!S36,IF(AK161=summaryref2!B50,summaryref2!S50,IF(AK161=summaryref2!B64,summaryref2!S64,IF(AK161=summaryref2!B78,summaryref2!S78,IF(AK161=summaryref2!B92,summaryref2!S92,IF(AK161=summaryref2!B106,summaryref2!S106,IF(AK161=summaryref2!B120,summaryref2!S120,IF(AK161=summaryref2!B134,summaryref2!S134,IF(AK161=summaryref2!B148,summaryref2!S148,"")))))))))))</f>
        <v>#REF!</v>
      </c>
      <c r="BD161" s="1111" t="e">
        <f>IF('A-80 DirEntInv'!#REF!&lt;&gt;"",'A-80 DirEntInv'!#REF!,IF(AK161=summaryref2!B22,summaryref2!T22,IF(Summary!AK161=summaryref2!B36,summaryref2!T36,IF(AK161=summaryref2!B50,summaryref2!T50,IF(AK161=summaryref2!B64,summaryref2!T64,IF(AK161=summaryref2!B78,summaryref2!T78,IF(AK161=summaryref2!B92,summaryref2!T92,IF(AK161=summaryref2!B106,summaryref2!T106,IF(AK161=summaryref2!B120,summaryref2!T120,IF(AK161=summaryref2!B134,summaryref2!T134,IF(AK161=summaryref2!B148,summaryref2!T148,"")))))))))))</f>
        <v>#REF!</v>
      </c>
      <c r="BE161" s="1184" t="e">
        <f>IF('A-80 DirEntInv'!#REF!&lt;&gt;"",'A-80 DirEntInv'!#REF!,IF(AK161=summaryref2!B22,summaryref2!U22,IF(Summary!AK161=summaryref2!B36,summaryref2!U36,IF(AK161=summaryref2!B50,summaryref2!U50,IF(AK161=summaryref2!B64,summaryref2!U64,IF(AK161=summaryref2!B78,summaryref2!U78,IF(AK161=summaryref2!B92,summaryref2!U92,IF(AK161=summaryref2!B106,summaryref2!U106,IF(AK161=summaryref2!B120,summaryref2!U120,IF(AK161=summaryref2!B134,summaryref2!U134,IF(AK161=summaryref2!B148,summaryref2!U148,"")))))))))))</f>
        <v>#REF!</v>
      </c>
      <c r="BF161" s="1432"/>
      <c r="BG161" s="1432"/>
      <c r="BJ161" s="1041" t="s">
        <v>2208</v>
      </c>
      <c r="BK161" s="1384" t="e">
        <f>IF('A-80 DirEntInv'!#REF!&lt;&gt;"",'A-80 DirEntInv'!#REF!,VLOOKUP(Summary!BJ161,Codes!$L$181:$L$199,2,FALSE))</f>
        <v>#REF!</v>
      </c>
      <c r="BU161" s="962"/>
      <c r="CD161" s="589"/>
      <c r="CE161" s="590"/>
      <c r="CF161" s="590"/>
      <c r="CG161" s="590"/>
      <c r="CH161" s="590"/>
      <c r="CI161" s="590"/>
      <c r="CJ161" s="589"/>
      <c r="CK161" s="589"/>
      <c r="CL161" s="589"/>
      <c r="CM161" s="587"/>
      <c r="CN161" s="587"/>
      <c r="CO161" s="589"/>
      <c r="CP161" s="587"/>
      <c r="CQ161" s="592"/>
      <c r="CR161" s="589"/>
      <c r="CS161" s="592"/>
      <c r="CT161" s="589"/>
      <c r="CU161" s="589"/>
      <c r="CV161" s="589"/>
      <c r="CW161" s="587"/>
      <c r="CX161" s="590"/>
      <c r="CY161" s="590"/>
      <c r="CZ161" s="590"/>
      <c r="DA161" s="1054"/>
      <c r="DB161" s="1054"/>
      <c r="DC161" s="587"/>
      <c r="DD161" s="587"/>
    </row>
    <row r="162" spans="1:108" s="588" customFormat="1" x14ac:dyDescent="0.2">
      <c r="A162" s="589">
        <f t="shared" si="2"/>
        <v>152</v>
      </c>
      <c r="B162" s="587"/>
      <c r="C162" s="587"/>
      <c r="D162" s="587"/>
      <c r="J162" s="589"/>
      <c r="K162" s="590"/>
      <c r="L162" s="591"/>
      <c r="M162" s="592"/>
      <c r="N162" s="589"/>
      <c r="O162" s="587"/>
      <c r="R162" s="1052"/>
      <c r="S162" s="1052"/>
      <c r="T162" s="1052"/>
      <c r="U162" s="1052"/>
      <c r="V162" s="1052"/>
      <c r="W162" s="1053"/>
      <c r="X162" s="1053"/>
      <c r="Y162" s="1053"/>
      <c r="Z162" s="1052"/>
      <c r="AA162" s="1052"/>
      <c r="AB162" s="962"/>
      <c r="AC162" s="590"/>
      <c r="AD162" s="590"/>
      <c r="AE162" s="591"/>
      <c r="AF162" s="592"/>
      <c r="AG162" s="1053"/>
      <c r="AH162" s="587"/>
      <c r="AK162" s="1041" t="str">
        <f>Codes!$C$166</f>
        <v>LR - Light Rail (PT)</v>
      </c>
      <c r="AL162" s="1042" t="str">
        <f>Valid!$B$89</f>
        <v>Third Rail/Power Distribution</v>
      </c>
      <c r="AM162" s="1108"/>
      <c r="AN162" s="1042"/>
      <c r="AO162" s="1108"/>
      <c r="AP162" s="1042"/>
      <c r="AQ162" s="1147" t="e">
        <f>IF('A-80 DirEntInv'!#REF!&lt;&gt;"",'A-80 DirEntInv'!#REF!,IF(AK162=summaryref2!B23,summaryref2!G23,IF(Summary!AK162=summaryref2!B37,summaryref2!G37,IF(AK162=summaryref2!B51,summaryref2!G51,IF(AK162=summaryref2!B65,summaryref2!G65,IF(AK162=summaryref2!B79,summaryref2!G79,IF(AK162=summaryref2!B93,summaryref2!G93,IF(AK162=summaryref2!B107,summaryref2!G107,IF(AK162=summaryref2!B121,summaryref2!G121,IF(AK162=summaryref2!B135,summaryref2!G135,IF(AK162=summaryref2!B149,summaryref2!G149,"")))))))))))</f>
        <v>#REF!</v>
      </c>
      <c r="AR162" s="1147" t="e">
        <f>IF('A-80 DirEntInv'!#REF!&lt;&gt;"",'A-80 DirEntInv'!#REF!,IF(AK162=summaryref2!B23,summaryref2!H23,IF(Summary!AK162=summaryref2!B37,summaryref2!H37,IF(AK162=summaryref2!B51,summaryref2!H51,IF(AK162=summaryref2!B65,summaryref2!H65,IF(AK162=summaryref2!B79,summaryref2!H79,IF(AK162=summaryref2!B93,summaryref2!H93,IF(AK162=summaryref2!B107,summaryref2!H107,IF(AK162=summaryref2!B121,summaryref2!H121,IF(AK162=summaryref2!B135,summaryref2!H135,IF(AK162=summaryref2!B149,summaryref2!H149,"")))))))))))</f>
        <v>#REF!</v>
      </c>
      <c r="AS162" s="1110" t="e">
        <f>IF('A-80 DirEntInv'!#REF!&lt;&gt;"",'A-80 DirEntInv'!#REF!,IF(AK162=summaryref2!B23,summaryref2!I23,IF(Summary!AK162=summaryref2!B37,summaryref2!I37,IF(AK162=summaryref2!B51,summaryref2!I51,IF(AK162=summaryref2!B65,summaryref2!I65,IF(AK162=summaryref2!B79,summaryref2!I79,IF(AK162=summaryref2!B93,summaryref2!I93,IF(AK162=summaryref2!B107,summaryref2!I107,IF(AK162=summaryref2!B121,summaryref2!I121,IF(AK162=summaryref2!B135,summaryref2!I135,IF(AK162=summaryref2!B149,summaryref2!I149,"")))))))))))</f>
        <v>#REF!</v>
      </c>
      <c r="AT162" s="1110" t="e">
        <f>IF('A-80 DirEntInv'!#REF!&lt;&gt;"",'A-80 DirEntInv'!#REF!,IF(AK162=summaryref2!B23,summaryref2!J23,IF(Summary!AK162=summaryref2!B37,summaryref2!J37,IF(AK162=summaryref2!B51,summaryref2!J51,IF(AK162=summaryref2!B65,summaryref2!J65,IF(AK162=summaryref2!B79,summaryref2!J79,IF(AK162=summaryref2!B93,summaryref2!J93,IF(AK162=summaryref2!B107,summaryref2!J107,IF(AK162=summaryref2!B121,summaryref2!J121,IF(AK162=summaryref2!B135,summaryref2!J135,IF(AK162=summaryref2!B149,summaryref2!J149,"")))))))))))</f>
        <v>#REF!</v>
      </c>
      <c r="AU162" s="1110" t="e">
        <f>IF('A-80 DirEntInv'!#REF!&lt;&gt;"",'A-80 DirEntInv'!#REF!,IF(AK162=summaryref2!B23,summaryref2!K23,IF(Summary!AK162=summaryref2!B37,summaryref2!K37,IF(AK162=summaryref2!B51,summaryref2!K51,IF(AK162=summaryref2!B65,summaryref2!K65,IF(AK162=summaryref2!B79,summaryref2!K79,IF(AK162=summaryref2!B93,summaryref2!K93,IF(AK162=summaryref2!B107,summaryref2!K107,IF(AK162=summaryref2!B121,summaryref2!K121,IF(AK162=summaryref2!B135,summaryref2!K135,IF(AK162=summaryref2!B149,summaryref2!K149,"")))))))))))</f>
        <v>#REF!</v>
      </c>
      <c r="AV162" s="1110" t="e">
        <f>IF('A-80 DirEntInv'!#REF!&lt;&gt;"",'A-80 DirEntInv'!#REF!,IF(AK162=summaryref2!B23,summaryref2!L23,IF(Summary!AK162=summaryref2!B37,summaryref2!L37,IF(AK162=summaryref2!B51,summaryref2!L51,IF(AK162=summaryref2!B65,summaryref2!L65,IF(AK162=summaryref2!B79,summaryref2!L79,IF(AK162=summaryref2!B93,summaryref2!L93,IF(AK162=summaryref2!B107,summaryref2!L107,IF(AK162=summaryref2!B121,summaryref2!L121,IF(AK162=summaryref2!B135,summaryref2!L135,IF(AK162=summaryref2!B149,summaryref2!L149,"")))))))))))</f>
        <v>#REF!</v>
      </c>
      <c r="AW162" s="1110" t="e">
        <f>IF('A-80 DirEntInv'!#REF!&lt;&gt;"",'A-80 DirEntInv'!#REF!,IF(AK162=summaryref2!B23,summaryref2!M23,IF(Summary!AK162=summaryref2!B37,summaryref2!M37,IF(AK162=summaryref2!B51,summaryref2!M51,IF(AK162=summaryref2!B65,summaryref2!M65,IF(AK162=summaryref2!B79,summaryref2!M79,IF(AK162=summaryref2!B93,summaryref2!M93,IF(AK162=summaryref2!B107,summaryref2!M107,IF(AK162=summaryref2!B121,summaryref2!M121,IF(AK162=summaryref2!B135,summaryref2!M135,IF(AK162=summaryref2!B149,summaryref2!M149,"")))))))))))</f>
        <v>#REF!</v>
      </c>
      <c r="AX162" s="1110" t="e">
        <f>IF('A-80 DirEntInv'!#REF!&lt;&gt;"",'A-80 DirEntInv'!#REF!,IF(AK162=summaryref2!B23,summaryref2!N23,IF(Summary!AK162=summaryref2!B37,summaryref2!N37,IF(AK162=summaryref2!B51,summaryref2!N51,IF(AK162=summaryref2!B65,summaryref2!N65,IF(AK162=summaryref2!B79,summaryref2!N79,IF(AK162=summaryref2!B93,summaryref2!N93,IF(AK162=summaryref2!B107,summaryref2!N107,IF(AK162=summaryref2!B121,summaryref2!N121,IF(AK162=summaryref2!B135,summaryref2!N135,IF(AK162=summaryref2!B149,summaryref2!N149,"")))))))))))</f>
        <v>#REF!</v>
      </c>
      <c r="AY162" s="1110" t="e">
        <f>IF('A-80 DirEntInv'!#REF!&lt;&gt;"",'A-80 DirEntInv'!#REF!,IF(AK162=summaryref2!B23,summaryref2!O23,IF(Summary!AK162=summaryref2!B37,summaryref2!O37,IF(AK162=summaryref2!B51,summaryref2!O51,IF(AK162=summaryref2!B65,summaryref2!O65,IF(AK162=summaryref2!B79,summaryref2!O79,IF(AK162=summaryref2!B93,summaryref2!O93,IF(AK162=summaryref2!B107,summaryref2!O107,IF(AK162=summaryref2!B121,summaryref2!O121,IF(AK162=summaryref2!B135,summaryref2!O135,IF(AK162=summaryref2!B149,summaryref2!O149,"")))))))))))</f>
        <v>#REF!</v>
      </c>
      <c r="AZ162" s="1110" t="e">
        <f>IF('A-80 DirEntInv'!#REF!&lt;&gt;"",'A-80 DirEntInv'!#REF!,IF(AK162=summaryref2!B23,summaryref2!P23,IF(Summary!AK162=summaryref2!B37,summaryref2!P37,IF(AK162=summaryref2!B51,summaryref2!P51,IF(AK162=summaryref2!B65,summaryref2!P65,IF(AK162=summaryref2!B79,summaryref2!P79,IF(AK162=summaryref2!B93,summaryref2!P93,IF(AK162=summaryref2!B107,summaryref2!P107,IF(AK162=summaryref2!B121,summaryref2!P121,IF(AK162=summaryref2!B135,summaryref2!P135,IF(AK162=summaryref2!B149,summaryref2!P149,"")))))))))))</f>
        <v>#REF!</v>
      </c>
      <c r="BA162" s="1110" t="e">
        <f>IF('A-80 DirEntInv'!#REF!&lt;&gt;"",'A-80 DirEntInv'!#REF!,IF(AK162=summaryref2!B23,summaryref2!Q23,IF(Summary!AK162=summaryref2!B37,summaryref2!Q37,IF(AK162=summaryref2!B51,summaryref2!Q51,IF(AK162=summaryref2!B65,summaryref2!Q65,IF(AK162=summaryref2!B79,summaryref2!Q79,IF(AK162=summaryref2!B93,summaryref2!Q93,IF(AK162=summaryref2!B107,summaryref2!Q107,IF(AK162=summaryref2!B121,summaryref2!Q121,IF(AK162=summaryref2!B135,summaryref2!Q135,IF(AK162=summaryref2!B149,summaryref2!Q149,"")))))))))))</f>
        <v>#REF!</v>
      </c>
      <c r="BB162" s="1110" t="e">
        <f>IF('A-80 DirEntInv'!#REF!&lt;&gt;"",'A-80 DirEntInv'!#REF!,IF(AK162=summaryref2!B23,summaryref2!R23,IF(Summary!AK162=summaryref2!B37,summaryref2!R37,IF(AK162=summaryref2!B51,summaryref2!R51,IF(AK162=summaryref2!B65,summaryref2!R65,IF(AK162=summaryref2!B79,summaryref2!R79,IF(AK162=summaryref2!B93,summaryref2!R93,IF(AK162=summaryref2!B107,summaryref2!R107,IF(AK162=summaryref2!B121,summaryref2!R121,IF(AK162=summaryref2!B135,summaryref2!R135,IF(AK162=summaryref2!B149,summaryref2!R149,"")))))))))))</f>
        <v>#REF!</v>
      </c>
      <c r="BC162" s="1110" t="e">
        <f>IF('A-80 DirEntInv'!#REF!&lt;&gt;0,'A-80 DirEntInv'!#REF!,IF(AK162=summaryref2!B23,summaryref2!S23,IF(Summary!AK162=summaryref2!B37,summaryref2!S37,IF(AK162=summaryref2!B51,summaryref2!S51,IF(AK162=summaryref2!B65,summaryref2!S65,IF(AK162=summaryref2!B79,summaryref2!S79,IF(AK162=summaryref2!B93,summaryref2!S93,IF(AK162=summaryref2!B107,summaryref2!S107,IF(AK162=summaryref2!B121,summaryref2!S121,IF(AK162=summaryref2!B135,summaryref2!S135,IF(AK162=summaryref2!B149,summaryref2!S149,"")))))))))))</f>
        <v>#REF!</v>
      </c>
      <c r="BD162" s="1111" t="e">
        <f>IF('A-80 DirEntInv'!#REF!&lt;&gt;"",'A-80 DirEntInv'!#REF!,IF(AK162=summaryref2!B23,summaryref2!T23,IF(Summary!AK162=summaryref2!B37,summaryref2!T37,IF(AK162=summaryref2!B51,summaryref2!T51,IF(AK162=summaryref2!B65,summaryref2!T65,IF(AK162=summaryref2!B79,summaryref2!T79,IF(AK162=summaryref2!B93,summaryref2!T93,IF(AK162=summaryref2!B107,summaryref2!T107,IF(AK162=summaryref2!B121,summaryref2!T121,IF(AK162=summaryref2!B135,summaryref2!T135,IF(AK162=summaryref2!B149,summaryref2!T149,"")))))))))))</f>
        <v>#REF!</v>
      </c>
      <c r="BE162" s="1184" t="e">
        <f>IF('A-80 DirEntInv'!#REF!&lt;&gt;"",'A-80 DirEntInv'!#REF!,IF(AK162=summaryref2!B23,summaryref2!U23,IF(Summary!AK162=summaryref2!B37,summaryref2!U37,IF(AK162=summaryref2!B51,summaryref2!U51,IF(AK162=summaryref2!B65,summaryref2!U65,IF(AK162=summaryref2!B79,summaryref2!U79,IF(AK162=summaryref2!B93,summaryref2!U93,IF(AK162=summaryref2!B107,summaryref2!U107,IF(AK162=summaryref2!B121,summaryref2!U121,IF(AK162=summaryref2!B135,summaryref2!U135,IF(AK162=summaryref2!B149,summaryref2!U149,"")))))))))))</f>
        <v>#REF!</v>
      </c>
      <c r="BF162" s="1432"/>
      <c r="BG162" s="1432"/>
      <c r="BJ162" s="1041" t="s">
        <v>2217</v>
      </c>
      <c r="BK162" s="1384" t="e">
        <f>IF('A-80 DirEntInv'!#REF!&lt;&gt;"",'A-80 DirEntInv'!#REF!,VLOOKUP(Summary!BJ162,Codes!$L$181:$L$199,2,FALSE))</f>
        <v>#REF!</v>
      </c>
      <c r="BU162" s="962"/>
      <c r="CD162" s="589"/>
      <c r="CE162" s="590"/>
      <c r="CF162" s="590"/>
      <c r="CG162" s="590"/>
      <c r="CH162" s="590"/>
      <c r="CI162" s="590"/>
      <c r="CJ162" s="589"/>
      <c r="CK162" s="589"/>
      <c r="CL162" s="589"/>
      <c r="CM162" s="587"/>
      <c r="CN162" s="587"/>
      <c r="CO162" s="589"/>
      <c r="CP162" s="587"/>
      <c r="CQ162" s="592"/>
      <c r="CR162" s="589"/>
      <c r="CS162" s="592"/>
      <c r="CT162" s="589"/>
      <c r="CU162" s="589"/>
      <c r="CV162" s="589"/>
      <c r="CW162" s="587"/>
      <c r="CX162" s="590"/>
      <c r="CY162" s="590"/>
      <c r="CZ162" s="590"/>
      <c r="DA162" s="1054"/>
      <c r="DB162" s="1054"/>
      <c r="DC162" s="587"/>
      <c r="DD162" s="587"/>
    </row>
    <row r="163" spans="1:108" s="588" customFormat="1" x14ac:dyDescent="0.2">
      <c r="A163" s="589">
        <f t="shared" si="2"/>
        <v>153</v>
      </c>
      <c r="B163" s="587"/>
      <c r="C163" s="587"/>
      <c r="D163" s="587"/>
      <c r="J163" s="589"/>
      <c r="K163" s="590"/>
      <c r="L163" s="591"/>
      <c r="M163" s="592"/>
      <c r="N163" s="589"/>
      <c r="O163" s="587"/>
      <c r="R163" s="1052"/>
      <c r="S163" s="1052"/>
      <c r="T163" s="1052"/>
      <c r="U163" s="1052"/>
      <c r="V163" s="1052"/>
      <c r="W163" s="1053"/>
      <c r="X163" s="1053"/>
      <c r="Y163" s="1053"/>
      <c r="Z163" s="1052"/>
      <c r="AA163" s="1052"/>
      <c r="AB163" s="962"/>
      <c r="AC163" s="590"/>
      <c r="AD163" s="590"/>
      <c r="AE163" s="591"/>
      <c r="AF163" s="592"/>
      <c r="AG163" s="1053"/>
      <c r="AH163" s="587"/>
      <c r="AK163" s="1041" t="str">
        <f>Codes!$C$166</f>
        <v>LR - Light Rail (PT)</v>
      </c>
      <c r="AL163" s="1042" t="str">
        <f>Valid!$B$90</f>
        <v>Overhead Contact System/Power Distribution</v>
      </c>
      <c r="AM163" s="1108"/>
      <c r="AN163" s="1042"/>
      <c r="AO163" s="1108"/>
      <c r="AP163" s="1042"/>
      <c r="AQ163" s="1147" t="e">
        <f>IF('A-80 DirEntInv'!#REF!&lt;&gt;"",'A-80 DirEntInv'!#REF!,IF(AK163=summaryref2!B24,summaryref2!G24,IF(Summary!AK163=summaryref2!B38,summaryref2!G38,IF(AK163=summaryref2!B52,summaryref2!G52,IF(AK163=summaryref2!B66,summaryref2!G66,IF(AK163=summaryref2!B80,summaryref2!G80,IF(AK163=summaryref2!B94,summaryref2!G94,IF(AK163=summaryref2!B108,summaryref2!G108,IF(AK163=summaryref2!B122,summaryref2!G122,IF(AK163=summaryref2!B136,summaryref2!G136,IF(AK163=summaryref2!B150,summaryref2!G150,"")))))))))))</f>
        <v>#REF!</v>
      </c>
      <c r="AR163" s="1147" t="e">
        <f>IF('A-80 DirEntInv'!#REF!&lt;&gt;"",'A-80 DirEntInv'!#REF!,IF(AK163=summaryref2!B24,summaryref2!H24,IF(Summary!AK163=summaryref2!B38,summaryref2!H38,IF(AK163=summaryref2!B52,summaryref2!H52,IF(AK163=summaryref2!B66,summaryref2!H66,IF(AK163=summaryref2!B80,summaryref2!H80,IF(AK163=summaryref2!B94,summaryref2!H94,IF(AK163=summaryref2!B108,summaryref2!H108,IF(AK163=summaryref2!B122,summaryref2!H122,IF(AK163=summaryref2!B136,summaryref2!H136,IF(AK163=summaryref2!B150,summaryref2!H150,"")))))))))))</f>
        <v>#REF!</v>
      </c>
      <c r="AS163" s="1110" t="e">
        <f>IF('A-80 DirEntInv'!#REF!&lt;&gt;"",'A-80 DirEntInv'!#REF!,IF(AK163=summaryref2!B24,summaryref2!I24,IF(Summary!AK163=summaryref2!B38,summaryref2!I38,IF(AK163=summaryref2!B52,summaryref2!I52,IF(AK163=summaryref2!B66,summaryref2!I66,IF(AK163=summaryref2!B80,summaryref2!I80,IF(AK163=summaryref2!B94,summaryref2!I94,IF(AK163=summaryref2!B108,summaryref2!I108,IF(AK163=summaryref2!B122,summaryref2!I122,IF(AK163=summaryref2!B136,summaryref2!I136,IF(AK163=summaryref2!B150,summaryref2!I150,"")))))))))))</f>
        <v>#REF!</v>
      </c>
      <c r="AT163" s="1110" t="e">
        <f>IF('A-80 DirEntInv'!#REF!&lt;&gt;"",'A-80 DirEntInv'!#REF!,IF(AK163=summaryref2!B24,summaryref2!J24,IF(Summary!AK163=summaryref2!B38,summaryref2!J38,IF(AK163=summaryref2!B52,summaryref2!J52,IF(AK163=summaryref2!B66,summaryref2!J66,IF(AK163=summaryref2!B80,summaryref2!J80,IF(AK163=summaryref2!B94,summaryref2!J94,IF(AK163=summaryref2!B108,summaryref2!J108,IF(AK163=summaryref2!B122,summaryref2!J122,IF(AK163=summaryref2!B136,summaryref2!J136,IF(AK163=summaryref2!B150,summaryref2!J150,"")))))))))))</f>
        <v>#REF!</v>
      </c>
      <c r="AU163" s="1110" t="e">
        <f>IF('A-80 DirEntInv'!#REF!&lt;&gt;"",'A-80 DirEntInv'!#REF!,IF(AK163=summaryref2!B24,summaryref2!K24,IF(Summary!AK163=summaryref2!B38,summaryref2!K38,IF(AK163=summaryref2!B52,summaryref2!K52,IF(AK163=summaryref2!B66,summaryref2!K66,IF(AK163=summaryref2!B80,summaryref2!K80,IF(AK163=summaryref2!B94,summaryref2!K94,IF(AK163=summaryref2!B108,summaryref2!K108,IF(AK163=summaryref2!B122,summaryref2!K122,IF(AK163=summaryref2!B136,summaryref2!K136,IF(AK163=summaryref2!B150,summaryref2!K150,"")))))))))))</f>
        <v>#REF!</v>
      </c>
      <c r="AV163" s="1110" t="e">
        <f>IF('A-80 DirEntInv'!#REF!&lt;&gt;"",'A-80 DirEntInv'!#REF!,IF(AK163=summaryref2!B24,summaryref2!L24,IF(Summary!AK163=summaryref2!B38,summaryref2!L38,IF(AK163=summaryref2!B52,summaryref2!L52,IF(AK163=summaryref2!B66,summaryref2!L66,IF(AK163=summaryref2!B80,summaryref2!L80,IF(AK163=summaryref2!B94,summaryref2!L94,IF(AK163=summaryref2!B108,summaryref2!L108,IF(AK163=summaryref2!B122,summaryref2!L122,IF(AK163=summaryref2!B136,summaryref2!L136,IF(AK163=summaryref2!B150,summaryref2!L150,"")))))))))))</f>
        <v>#REF!</v>
      </c>
      <c r="AW163" s="1110" t="e">
        <f>IF('A-80 DirEntInv'!#REF!&lt;&gt;"",'A-80 DirEntInv'!#REF!,IF(AK163=summaryref2!B24,summaryref2!M24,IF(Summary!AK163=summaryref2!B38,summaryref2!M38,IF(AK163=summaryref2!B52,summaryref2!M52,IF(AK163=summaryref2!B66,summaryref2!M66,IF(AK163=summaryref2!B80,summaryref2!M80,IF(AK163=summaryref2!B94,summaryref2!M94,IF(AK163=summaryref2!B108,summaryref2!M108,IF(AK163=summaryref2!B122,summaryref2!M122,IF(AK163=summaryref2!B136,summaryref2!M136,IF(AK163=summaryref2!B150,summaryref2!M150,"")))))))))))</f>
        <v>#REF!</v>
      </c>
      <c r="AX163" s="1110" t="e">
        <f>IF('A-80 DirEntInv'!#REF!&lt;&gt;"",'A-80 DirEntInv'!#REF!,IF(AK163=summaryref2!B24,summaryref2!N24,IF(Summary!AK163=summaryref2!B38,summaryref2!N38,IF(AK163=summaryref2!B52,summaryref2!N52,IF(AK163=summaryref2!B66,summaryref2!N66,IF(AK163=summaryref2!B80,summaryref2!N80,IF(AK163=summaryref2!B94,summaryref2!N94,IF(AK163=summaryref2!B108,summaryref2!N108,IF(AK163=summaryref2!B122,summaryref2!N122,IF(AK163=summaryref2!B136,summaryref2!N136,IF(AK163=summaryref2!B150,summaryref2!N150,"")))))))))))</f>
        <v>#REF!</v>
      </c>
      <c r="AY163" s="1110" t="e">
        <f>IF('A-80 DirEntInv'!#REF!&lt;&gt;"",'A-80 DirEntInv'!#REF!,IF(AK163=summaryref2!B24,summaryref2!O24,IF(Summary!AK163=summaryref2!B38,summaryref2!O38,IF(AK163=summaryref2!B52,summaryref2!O52,IF(AK163=summaryref2!B66,summaryref2!O66,IF(AK163=summaryref2!B80,summaryref2!O80,IF(AK163=summaryref2!B94,summaryref2!O94,IF(AK163=summaryref2!B108,summaryref2!O108,IF(AK163=summaryref2!B122,summaryref2!O122,IF(AK163=summaryref2!B136,summaryref2!O136,IF(AK163=summaryref2!B150,summaryref2!O150,"")))))))))))</f>
        <v>#REF!</v>
      </c>
      <c r="AZ163" s="1110" t="e">
        <f>IF('A-80 DirEntInv'!#REF!&lt;&gt;"",'A-80 DirEntInv'!#REF!,IF(AK163=summaryref2!B24,summaryref2!P24,IF(Summary!AK163=summaryref2!B38,summaryref2!P38,IF(AK163=summaryref2!B52,summaryref2!P52,IF(AK163=summaryref2!B66,summaryref2!P66,IF(AK163=summaryref2!B80,summaryref2!P80,IF(AK163=summaryref2!B94,summaryref2!P94,IF(AK163=summaryref2!B108,summaryref2!P108,IF(AK163=summaryref2!B122,summaryref2!P122,IF(AK163=summaryref2!B136,summaryref2!P136,IF(AK163=summaryref2!B150,summaryref2!P150,"")))))))))))</f>
        <v>#REF!</v>
      </c>
      <c r="BA163" s="1110" t="e">
        <f>IF('A-80 DirEntInv'!#REF!&lt;&gt;"",'A-80 DirEntInv'!#REF!,IF(AK163=summaryref2!B24,summaryref2!Q24,IF(Summary!AK163=summaryref2!B38,summaryref2!Q38,IF(AK163=summaryref2!B52,summaryref2!Q52,IF(AK163=summaryref2!B66,summaryref2!Q66,IF(AK163=summaryref2!B80,summaryref2!Q80,IF(AK163=summaryref2!B94,summaryref2!Q94,IF(AK163=summaryref2!B108,summaryref2!Q108,IF(AK163=summaryref2!B122,summaryref2!Q122,IF(AK163=summaryref2!B136,summaryref2!Q136,IF(AK163=summaryref2!B150,summaryref2!Q150,"")))))))))))</f>
        <v>#REF!</v>
      </c>
      <c r="BB163" s="1110" t="e">
        <f>IF('A-80 DirEntInv'!#REF!&lt;&gt;"",'A-80 DirEntInv'!#REF!,IF(AK163=summaryref2!B24,summaryref2!R24,IF(Summary!AK163=summaryref2!B38,summaryref2!R38,IF(AK163=summaryref2!B52,summaryref2!R52,IF(AK163=summaryref2!B66,summaryref2!R66,IF(AK163=summaryref2!B80,summaryref2!R80,IF(AK163=summaryref2!B94,summaryref2!R94,IF(AK163=summaryref2!B108,summaryref2!R108,IF(AK163=summaryref2!B122,summaryref2!R122,IF(AK163=summaryref2!B136,summaryref2!R136,IF(AK163=summaryref2!B150,summaryref2!R150,"")))))))))))</f>
        <v>#REF!</v>
      </c>
      <c r="BC163" s="1110" t="e">
        <f>IF('A-80 DirEntInv'!#REF!&lt;&gt;0,'A-80 DirEntInv'!#REF!,IF(AK163=summaryref2!B24,summaryref2!S24,IF(Summary!AK163=summaryref2!B38,summaryref2!S38,IF(AK163=summaryref2!B52,summaryref2!S52,IF(AK163=summaryref2!B66,summaryref2!S66,IF(AK163=summaryref2!B80,summaryref2!S80,IF(AK163=summaryref2!B94,summaryref2!S94,IF(AK163=summaryref2!B108,summaryref2!S108,IF(AK163=summaryref2!B122,summaryref2!S122,IF(AK163=summaryref2!B136,summaryref2!S136,IF(AK163=summaryref2!B150,summaryref2!S150,"")))))))))))</f>
        <v>#REF!</v>
      </c>
      <c r="BD163" s="1111" t="e">
        <f>IF('A-80 DirEntInv'!#REF!&lt;&gt;"",'A-80 DirEntInv'!#REF!,IF(AK163=summaryref2!B24,summaryref2!T24,IF(Summary!AK163=summaryref2!B38,summaryref2!T38,IF(AK163=summaryref2!B52,summaryref2!T52,IF(AK163=summaryref2!B66,summaryref2!T66,IF(AK163=summaryref2!B80,summaryref2!T80,IF(AK163=summaryref2!B94,summaryref2!T94,IF(AK163=summaryref2!B108,summaryref2!T108,IF(AK163=summaryref2!B122,summaryref2!T122,IF(AK163=summaryref2!B136,summaryref2!T136,IF(AK163=summaryref2!B150,summaryref2!T150,"")))))))))))</f>
        <v>#REF!</v>
      </c>
      <c r="BE163" s="1184" t="e">
        <f>IF('A-80 DirEntInv'!#REF!&lt;&gt;"",'A-80 DirEntInv'!#REF!,IF(AK163=summaryref2!B24,summaryref2!U24,IF(Summary!AK163=summaryref2!B38,summaryref2!U38,IF(AK163=summaryref2!B52,summaryref2!U52,IF(AK163=summaryref2!B66,summaryref2!U66,IF(AK163=summaryref2!B80,summaryref2!U80,IF(AK163=summaryref2!B94,summaryref2!U94,IF(AK163=summaryref2!B108,summaryref2!U108,IF(AK163=summaryref2!B122,summaryref2!U122,IF(AK163=summaryref2!B136,summaryref2!U136,IF(AK163=summaryref2!B150,summaryref2!U150,"")))))))))))</f>
        <v>#REF!</v>
      </c>
      <c r="BF163" s="1432"/>
      <c r="BG163" s="1432"/>
      <c r="BJ163" s="1041" t="s">
        <v>2209</v>
      </c>
      <c r="BK163" s="1384" t="e">
        <f>IF('A-80 DirEntInv'!#REF!&lt;&gt;"",'A-80 DirEntInv'!#REF!,VLOOKUP(Summary!BJ163,Codes!$L$181:$L$199,2,FALSE))</f>
        <v>#REF!</v>
      </c>
      <c r="BU163" s="962"/>
      <c r="CD163" s="589"/>
      <c r="CE163" s="590"/>
      <c r="CF163" s="590"/>
      <c r="CG163" s="590"/>
      <c r="CH163" s="590"/>
      <c r="CI163" s="590"/>
      <c r="CJ163" s="589"/>
      <c r="CK163" s="589"/>
      <c r="CL163" s="589"/>
      <c r="CM163" s="587"/>
      <c r="CN163" s="587"/>
      <c r="CO163" s="589"/>
      <c r="CP163" s="587"/>
      <c r="CQ163" s="592"/>
      <c r="CR163" s="589"/>
      <c r="CS163" s="592"/>
      <c r="CT163" s="589"/>
      <c r="CU163" s="589"/>
      <c r="CV163" s="589"/>
      <c r="CW163" s="587"/>
      <c r="CX163" s="590"/>
      <c r="CY163" s="590"/>
      <c r="CZ163" s="590"/>
      <c r="DA163" s="1054"/>
      <c r="DB163" s="1054"/>
      <c r="DC163" s="587"/>
      <c r="DD163" s="587"/>
    </row>
    <row r="164" spans="1:108" s="588" customFormat="1" ht="13.5" thickBot="1" x14ac:dyDescent="0.25">
      <c r="A164" s="589">
        <f t="shared" si="2"/>
        <v>154</v>
      </c>
      <c r="B164" s="587"/>
      <c r="C164" s="587"/>
      <c r="D164" s="587"/>
      <c r="J164" s="589"/>
      <c r="K164" s="590"/>
      <c r="L164" s="591"/>
      <c r="M164" s="592"/>
      <c r="N164" s="589"/>
      <c r="O164" s="587"/>
      <c r="R164" s="1052"/>
      <c r="S164" s="1052"/>
      <c r="T164" s="1052"/>
      <c r="U164" s="1052"/>
      <c r="V164" s="1052"/>
      <c r="W164" s="1053"/>
      <c r="X164" s="1053"/>
      <c r="Y164" s="1053"/>
      <c r="Z164" s="1052"/>
      <c r="AA164" s="1052"/>
      <c r="AB164" s="962"/>
      <c r="AC164" s="590"/>
      <c r="AD164" s="590"/>
      <c r="AE164" s="591"/>
      <c r="AF164" s="592"/>
      <c r="AG164" s="1053"/>
      <c r="AH164" s="587"/>
      <c r="AK164" s="1047" t="str">
        <f>Codes!$C$166</f>
        <v>LR - Light Rail (PT)</v>
      </c>
      <c r="AL164" s="1050" t="str">
        <f>Valid!$B$91</f>
        <v>Train Control &amp; Signaling</v>
      </c>
      <c r="AM164" s="1185"/>
      <c r="AN164" s="1050"/>
      <c r="AO164" s="1185"/>
      <c r="AP164" s="1050"/>
      <c r="AQ164" s="1386" t="e">
        <f>IF('A-80 DirEntInv'!#REF!&lt;&gt;"",'A-80 DirEntInv'!#REF!,IF(AK164=summaryref2!B25,summaryref2!G25,IF(Summary!AK164=summaryref2!B39,summaryref2!G39,IF(AK164=summaryref2!B53,summaryref2!G53,IF(AK164=summaryref2!B67,summaryref2!G67,IF(AK164=summaryref2!B81,summaryref2!G81,IF(AK164=summaryref2!B95,summaryref2!G95,IF(AK164=summaryref2!B109,summaryref2!G109,IF(AK164=summaryref2!B123,summaryref2!G123,IF(AK164=summaryref2!B137,summaryref2!G137,IF(AK164=summaryref2!B151,summaryref2!G151,"")))))))))))</f>
        <v>#REF!</v>
      </c>
      <c r="AR164" s="1386" t="e">
        <f>IF('A-80 DirEntInv'!#REF!&lt;&gt;"",'A-80 DirEntInv'!#REF!,IF(AK164=summaryref2!B25,summaryref2!H25,IF(Summary!AK164=summaryref2!B39,summaryref2!H39,IF(AK164=summaryref2!B53,summaryref2!H53,IF(AK164=summaryref2!B67,summaryref2!H67,IF(AK164=summaryref2!B81,summaryref2!H81,IF(AK164=summaryref2!B95,summaryref2!H95,IF(AK164=summaryref2!B109,summaryref2!H109,IF(AK164=summaryref2!B123,summaryref2!H123,IF(AK164=summaryref2!B137,summaryref2!H137,IF(AK164=summaryref2!B151,summaryref2!H151,"")))))))))))</f>
        <v>#REF!</v>
      </c>
      <c r="AS164" s="1387" t="e">
        <f>IF('A-80 DirEntInv'!#REF!&lt;&gt;"",'A-80 DirEntInv'!#REF!,IF(AK164=summaryref2!B25,summaryref2!I25,IF(Summary!AK164=summaryref2!B39,summaryref2!I39,IF(AK164=summaryref2!B53,summaryref2!I53,IF(AK164=summaryref2!B67,summaryref2!I67,IF(AK164=summaryref2!B81,summaryref2!I81,IF(AK164=summaryref2!B95,summaryref2!I95,IF(AK164=summaryref2!B109,summaryref2!I109,IF(AK164=summaryref2!B123,summaryref2!I123,IF(AK164=summaryref2!B137,summaryref2!I137,IF(AK164=summaryref2!B151,summaryref2!I151,"")))))))))))</f>
        <v>#REF!</v>
      </c>
      <c r="AT164" s="1387" t="e">
        <f>IF('A-80 DirEntInv'!#REF!&lt;&gt;"",'A-80 DirEntInv'!#REF!,IF(AK164=summaryref2!B25,summaryref2!J25,IF(Summary!AK164=summaryref2!B39,summaryref2!J39,IF(AK164=summaryref2!B53,summaryref2!J53,IF(AK164=summaryref2!B67,summaryref2!J67,IF(AK164=summaryref2!B81,summaryref2!J81,IF(AK164=summaryref2!B95,summaryref2!J95,IF(AK164=summaryref2!B109,summaryref2!J109,IF(AK164=summaryref2!B123,summaryref2!J123,IF(AK164=summaryref2!B137,summaryref2!J137,IF(AK164=summaryref2!B151,summaryref2!J151,"")))))))))))</f>
        <v>#REF!</v>
      </c>
      <c r="AU164" s="1387" t="e">
        <f>IF('A-80 DirEntInv'!#REF!&lt;&gt;"",'A-80 DirEntInv'!#REF!,IF(AK164=summaryref2!B25,summaryref2!K25,IF(Summary!AK164=summaryref2!B39,summaryref2!K39,IF(AK164=summaryref2!B53,summaryref2!K53,IF(AK164=summaryref2!B67,summaryref2!K67,IF(AK164=summaryref2!B81,summaryref2!K81,IF(AK164=summaryref2!B95,summaryref2!K95,IF(AK164=summaryref2!B109,summaryref2!K109,IF(AK164=summaryref2!B123,summaryref2!K123,IF(AK164=summaryref2!B137,summaryref2!K137,IF(AK164=summaryref2!B151,summaryref2!K151,"")))))))))))</f>
        <v>#REF!</v>
      </c>
      <c r="AV164" s="1387" t="e">
        <f>IF('A-80 DirEntInv'!#REF!&lt;&gt;"",'A-80 DirEntInv'!#REF!,IF(AK164=summaryref2!B25,summaryref2!L25,IF(Summary!AK164=summaryref2!B39,summaryref2!L39,IF(AK164=summaryref2!B53,summaryref2!L53,IF(AK164=summaryref2!B67,summaryref2!L67,IF(AK164=summaryref2!B81,summaryref2!L81,IF(AK164=summaryref2!B95,summaryref2!L95,IF(AK164=summaryref2!B109,summaryref2!L109,IF(AK164=summaryref2!B123,summaryref2!L123,IF(AK164=summaryref2!B137,summaryref2!L137,IF(AK164=summaryref2!B151,summaryref2!L151,"")))))))))))</f>
        <v>#REF!</v>
      </c>
      <c r="AW164" s="1387" t="e">
        <f>IF('A-80 DirEntInv'!#REF!&lt;&gt;"",'A-80 DirEntInv'!#REF!,IF(AK164=summaryref2!B25,summaryref2!M25,IF(Summary!AK164=summaryref2!B39,summaryref2!M39,IF(AK164=summaryref2!B53,summaryref2!M53,IF(AK164=summaryref2!B67,summaryref2!M67,IF(AK164=summaryref2!B81,summaryref2!M81,IF(AK164=summaryref2!B95,summaryref2!M95,IF(AK164=summaryref2!B109,summaryref2!M109,IF(AK164=summaryref2!B123,summaryref2!M123,IF(AK164=summaryref2!B137,summaryref2!M137,IF(AK164=summaryref2!B151,summaryref2!M151,"")))))))))))</f>
        <v>#REF!</v>
      </c>
      <c r="AX164" s="1387" t="e">
        <f>IF('A-80 DirEntInv'!#REF!&lt;&gt;"",'A-80 DirEntInv'!#REF!,IF(AK164=summaryref2!B25,summaryref2!N25,IF(Summary!AK164=summaryref2!B39,summaryref2!N39,IF(AK164=summaryref2!B53,summaryref2!N53,IF(AK164=summaryref2!B67,summaryref2!N67,IF(AK164=summaryref2!B81,summaryref2!N81,IF(AK164=summaryref2!B95,summaryref2!N95,IF(AK164=summaryref2!B109,summaryref2!N109,IF(AK164=summaryref2!B123,summaryref2!N123,IF(AK164=summaryref2!B137,summaryref2!N137,IF(AK164=summaryref2!B151,summaryref2!N151,"")))))))))))</f>
        <v>#REF!</v>
      </c>
      <c r="AY164" s="1387" t="e">
        <f>IF('A-80 DirEntInv'!#REF!&lt;&gt;"",'A-80 DirEntInv'!#REF!,IF(AK164=summaryref2!B25,summaryref2!O25,IF(Summary!AK164=summaryref2!B39,summaryref2!O39,IF(AK164=summaryref2!B53,summaryref2!O53,IF(AK164=summaryref2!B67,summaryref2!O67,IF(AK164=summaryref2!B81,summaryref2!O81,IF(AK164=summaryref2!B95,summaryref2!O95,IF(AK164=summaryref2!B109,summaryref2!O109,IF(AK164=summaryref2!B123,summaryref2!O123,IF(AK164=summaryref2!B137,summaryref2!O137,IF(AK164=summaryref2!B151,summaryref2!O151,"")))))))))))</f>
        <v>#REF!</v>
      </c>
      <c r="AZ164" s="1387" t="e">
        <f>IF('A-80 DirEntInv'!#REF!&lt;&gt;"",'A-80 DirEntInv'!#REF!,IF(AK164=summaryref2!B25,summaryref2!P25,IF(Summary!AK164=summaryref2!B39,summaryref2!P39,IF(AK164=summaryref2!B53,summaryref2!P53,IF(AK164=summaryref2!B67,summaryref2!P67,IF(AK164=summaryref2!B81,summaryref2!P81,IF(AK164=summaryref2!B95,summaryref2!P95,IF(AK164=summaryref2!B109,summaryref2!P109,IF(AK164=summaryref2!B123,summaryref2!P123,IF(AK164=summaryref2!B137,summaryref2!P137,IF(AK164=summaryref2!B151,summaryref2!P151,"")))))))))))</f>
        <v>#REF!</v>
      </c>
      <c r="BA164" s="1387" t="e">
        <f>IF('A-80 DirEntInv'!#REF!&lt;&gt;"",'A-80 DirEntInv'!#REF!,IF(AK164=summaryref2!B25,summaryref2!Q25,IF(Summary!AK164=summaryref2!B39,summaryref2!Q39,IF(AK164=summaryref2!B53,summaryref2!Q53,IF(AK164=summaryref2!B67,summaryref2!Q67,IF(AK164=summaryref2!B81,summaryref2!Q81,IF(AK164=summaryref2!B95,summaryref2!Q95,IF(AK164=summaryref2!B109,summaryref2!Q109,IF(AK164=summaryref2!B123,summaryref2!Q123,IF(AK164=summaryref2!B137,summaryref2!Q137,IF(AK164=summaryref2!B151,summaryref2!Q151,"")))))))))))</f>
        <v>#REF!</v>
      </c>
      <c r="BB164" s="1387" t="e">
        <f>IF('A-80 DirEntInv'!#REF!&lt;&gt;"",'A-80 DirEntInv'!#REF!,IF(AK164=summaryref2!B25,summaryref2!R25,IF(Summary!AK164=summaryref2!B39,summaryref2!R39,IF(AK164=summaryref2!B53,summaryref2!R53,IF(AK164=summaryref2!B67,summaryref2!R67,IF(AK164=summaryref2!B81,summaryref2!R81,IF(AK164=summaryref2!B95,summaryref2!R95,IF(AK164=summaryref2!B109,summaryref2!R109,IF(AK164=summaryref2!B123,summaryref2!R123,IF(AK164=summaryref2!B137,summaryref2!R137,IF(AK164=summaryref2!B151,summaryref2!R151,"")))))))))))</f>
        <v>#REF!</v>
      </c>
      <c r="BC164" s="1387" t="e">
        <f>IF('A-80 DirEntInv'!#REF!&lt;&gt;0,'A-80 DirEntInv'!#REF!,IF(AK164=summaryref2!B25,summaryref2!S25,IF(Summary!AK164=summaryref2!B39,summaryref2!S39,IF(AK164=summaryref2!B53,summaryref2!S53,IF(AK164=summaryref2!B67,summaryref2!S67,IF(AK164=summaryref2!B81,summaryref2!S81,IF(AK164=summaryref2!B95,summaryref2!S95,IF(AK164=summaryref2!B109,summaryref2!S109,IF(AK164=summaryref2!B123,summaryref2!S123,IF(AK164=summaryref2!B137,summaryref2!S137,IF(AK164=summaryref2!B151,summaryref2!S151,"")))))))))))</f>
        <v>#REF!</v>
      </c>
      <c r="BD164" s="1118" t="e">
        <f>IF('A-80 DirEntInv'!#REF!&lt;&gt;"",'A-80 DirEntInv'!#REF!,IF(AK164=summaryref2!B25,summaryref2!T25,IF(Summary!AK164=summaryref2!B39,summaryref2!T39,IF(AK164=summaryref2!B53,summaryref2!T53,IF(AK164=summaryref2!B67,summaryref2!T67,IF(AK164=summaryref2!B81,summaryref2!T81,IF(AK164=summaryref2!B95,summaryref2!T95,IF(AK164=summaryref2!B109,summaryref2!T109,IF(AK164=summaryref2!B123,summaryref2!T123,IF(AK164=summaryref2!B137,summaryref2!T137,IF(AK164=summaryref2!B151,summaryref2!T151,"")))))))))))</f>
        <v>#REF!</v>
      </c>
      <c r="BE164" s="1186" t="e">
        <f>IF('A-80 DirEntInv'!#REF!&lt;&gt;"",'A-80 DirEntInv'!#REF!,IF(AK164=summaryref2!B25,summaryref2!U25,IF(Summary!AK164=summaryref2!B39,summaryref2!U39,IF(AK164=summaryref2!B53,summaryref2!U53,IF(AK164=summaryref2!B67,summaryref2!U67,IF(AK164=summaryref2!B81,summaryref2!U81,IF(AK164=summaryref2!B95,summaryref2!U95,IF(AK164=summaryref2!B109,summaryref2!U109,IF(AK164=summaryref2!B123,summaryref2!U123,IF(AK164=summaryref2!B137,summaryref2!U137,IF(AK164=summaryref2!B151,summaryref2!U151,"")))))))))))</f>
        <v>#REF!</v>
      </c>
      <c r="BF164" s="1432"/>
      <c r="BG164" s="1432"/>
      <c r="BJ164" s="1041" t="s">
        <v>2218</v>
      </c>
      <c r="BK164" s="1384" t="e">
        <f>IF('A-80 DirEntInv'!#REF!&lt;&gt;"",'A-80 DirEntInv'!#REF!,VLOOKUP(Summary!BJ164,Codes!$L$181:$L$199,2,FALSE))</f>
        <v>#REF!</v>
      </c>
      <c r="BU164" s="962"/>
      <c r="CD164" s="589"/>
      <c r="CE164" s="590"/>
      <c r="CF164" s="590"/>
      <c r="CG164" s="590"/>
      <c r="CH164" s="590"/>
      <c r="CI164" s="590"/>
      <c r="CJ164" s="589"/>
      <c r="CK164" s="589"/>
      <c r="CL164" s="589"/>
      <c r="CM164" s="587"/>
      <c r="CN164" s="587"/>
      <c r="CO164" s="589"/>
      <c r="CP164" s="587"/>
      <c r="CQ164" s="592"/>
      <c r="CR164" s="589"/>
      <c r="CS164" s="592"/>
      <c r="CT164" s="589"/>
      <c r="CU164" s="589"/>
      <c r="CV164" s="589"/>
      <c r="CW164" s="587"/>
      <c r="CX164" s="590"/>
      <c r="CY164" s="590"/>
      <c r="CZ164" s="590"/>
      <c r="DA164" s="1054"/>
      <c r="DB164" s="1054"/>
      <c r="DC164" s="587"/>
      <c r="DD164" s="587"/>
    </row>
    <row r="165" spans="1:108" s="588" customFormat="1" x14ac:dyDescent="0.2">
      <c r="A165" s="589">
        <f t="shared" si="2"/>
        <v>155</v>
      </c>
      <c r="B165" s="587"/>
      <c r="C165" s="587"/>
      <c r="D165" s="587"/>
      <c r="J165" s="589"/>
      <c r="K165" s="590"/>
      <c r="L165" s="591"/>
      <c r="M165" s="592"/>
      <c r="N165" s="589"/>
      <c r="O165" s="587"/>
      <c r="R165" s="1052"/>
      <c r="S165" s="1052"/>
      <c r="T165" s="1052"/>
      <c r="U165" s="1052"/>
      <c r="V165" s="1052"/>
      <c r="W165" s="1053"/>
      <c r="X165" s="1053"/>
      <c r="Y165" s="1053"/>
      <c r="Z165" s="1052"/>
      <c r="AA165" s="1052"/>
      <c r="AB165" s="962"/>
      <c r="AC165" s="590"/>
      <c r="AD165" s="590"/>
      <c r="AE165" s="591"/>
      <c r="AF165" s="592"/>
      <c r="AG165" s="1053"/>
      <c r="AH165" s="587"/>
      <c r="AK165" s="1043" t="str">
        <f>Codes!$C$167</f>
        <v>MG - Monorail/Automated Guideway (DO)</v>
      </c>
      <c r="AL165" s="1303" t="str">
        <f>Valid!$B$71</f>
        <v>At-Grade/Ballast (including expressway)</v>
      </c>
      <c r="AM165" s="1092" t="e">
        <f>IF('A-80 DirEntInv'!#REF!&lt;&gt;"",'A-80 DirEntInv'!#REF!,IF(AK165=summaryref2!B12,summaryref2!D12,IF(Summary!AK165=summaryref2!B26,summaryref2!D26,IF(AK165=summaryref2!B40,summaryref2!D40,IF(AK165=summaryref2!B54,summaryref2!D54,IF(AK165=summaryref2!B68,summaryref2!D68,IF(AK165=summaryref2!B82,summaryref2!D82,IF(AK165=summaryref2!B96,summaryref2!D96,IF(AK165=summaryref2!B110,summaryref2!D110,IF(AK165=summaryref2!B124,summaryref2!D124,IF(AK165=summaryref2!B138,summaryref2!D138,"")))))))))))</f>
        <v>#REF!</v>
      </c>
      <c r="AN165" s="1127" t="e">
        <f ca="1">IF('A-80 DirEntInv'!#REF!&lt;&gt;"",'A-80 DirEntInv'!#REF!,IF(INDIRECT(ADDRESS(SumRef!#REF!,SumRef!CG$16,,,SumRef!$C$7))="","",INDIRECT(ADDRESS(SumRef!#REF!,SumRef!CG$16,,,SumRef!$C$7))))</f>
        <v>#REF!</v>
      </c>
      <c r="AO165" s="1092" t="e">
        <f>IF('A-80 DirEntInv'!#REF!&lt;&gt;"",'A-80 DirEntInv'!#REF!,IF(AK165=summaryref2!B12,summaryref2!F12,IF(Summary!AK165=summaryref2!B26,summaryref2!F26,IF(AK165=summaryref2!B40,summaryref2!F40,IF(AK165=summaryref2!B54,summaryref2!F54,IF(AK165=summaryref2!B68,summaryref2!F68,IF(AK165=summaryref2!B82,summaryref2!F82,IF(AK165=summaryref2!B96,summaryref2!F96,IF(AK165=summaryref2!B110,summaryref2!F110,IF(AK165=summaryref2!B124,summaryref2!F124,IF(AK165=summaryref2!B138,summaryref2!F138,"")))))))))))</f>
        <v>#REF!</v>
      </c>
      <c r="AP165" s="1127" t="e">
        <f ca="1">IF('A-80 DirEntInv'!#REF!&lt;&gt;"",'A-80 DirEntInv'!#REF!,IF(INDIRECT(ADDRESS(SumRef!#REF!,SumRef!#REF!,,,SumRef!$C$7))="","",INDIRECT(ADDRESS(SumRef!#REF!,SumRef!#REF!,,,SumRef!$C$7))))</f>
        <v>#REF!</v>
      </c>
      <c r="AQ165" s="1146" t="e">
        <f>IF('A-80 DirEntInv'!#REF!&lt;&gt;"",'A-80 DirEntInv'!#REF!,IF(AK165=summaryref2!B12,summaryref2!G12,IF(Summary!AK165=summaryref2!B26,summaryref2!G26,IF(AK165=summaryref2!B40,summaryref2!G40,IF(AK165=summaryref2!B54,summaryref2!G54,IF(AK165=summaryref2!B68,summaryref2!G68,IF(AK165=summaryref2!B82,summaryref2!G82,IF(AK165=summaryref2!B96,summaryref2!G96,IF(AK165=summaryref2!B110,summaryref2!G110,IF(AK165=summaryref2!B124,summaryref2!G124,IF(AK165=summaryref2!B138,summaryref2!G138,"")))))))))))</f>
        <v>#REF!</v>
      </c>
      <c r="AR165" s="1146" t="e">
        <f>IF('A-80 DirEntInv'!#REF!&lt;&gt;"",'A-80 DirEntInv'!#REF!,IF(AK165=summaryref2!B12,summaryref2!H12,IF(Summary!AK165=summaryref2!B26,summaryref2!H26,IF(AK165=summaryref2!B40,summaryref2!H40,IF(AK165=summaryref2!B54,summaryref2!H54,IF(AK165=summaryref2!B68,summaryref2!H68,IF(AK165=summaryref2!B82,summaryref2!H82,IF(AK165=summaryref2!B96,summaryref2!H96,IF(AK165=summaryref2!B110,summaryref2!H110,IF(AK165=summaryref2!B124,summaryref2!H124,IF(AK165=summaryref2!B138,summaryref2!H138,"")))))))))))</f>
        <v>#REF!</v>
      </c>
      <c r="AS165" s="1092" t="e">
        <f>IF('A-80 DirEntInv'!#REF!&lt;&gt;"",'A-80 DirEntInv'!#REF!,IF(AK165=summaryref2!B12,summaryref2!I12,IF(Summary!AK165=summaryref2!B26,summaryref2!I26,IF(AK165=summaryref2!B40,summaryref2!I40,IF(AK165=summaryref2!B54,summaryref2!I54,IF(AK165=summaryref2!B68,summaryref2!I68,IF(AK165=summaryref2!B82,summaryref2!I82,IF(AK165=summaryref2!B96,summaryref2!I96,IF(AK165=summaryref2!B110,summaryref2!I110,IF(AK165=summaryref2!B124,summaryref2!I124,IF(AK165=summaryref2!B138,summaryref2!I138,"")))))))))))</f>
        <v>#REF!</v>
      </c>
      <c r="AT165" s="1092" t="e">
        <f>IF('A-80 DirEntInv'!#REF!&lt;&gt;"",'A-80 DirEntInv'!#REF!,IF(AK165=summaryref2!B12,summaryref2!J12,IF(Summary!AK165=summaryref2!B26,summaryref2!J26,IF(AK165=summaryref2!B40,summaryref2!J40,IF(AK165=summaryref2!B54,summaryref2!J54,IF(AK165=summaryref2!B68,summaryref2!J68,IF(AK165=summaryref2!B82,summaryref2!J82,IF(AK165=summaryref2!B96,summaryref2!J96,IF(AK165=summaryref2!B110,summaryref2!J110,IF(AK165=summaryref2!B124,summaryref2!J124,IF(AK165=summaryref2!B138,summaryref2!J138,"")))))))))))</f>
        <v>#REF!</v>
      </c>
      <c r="AU165" s="1092" t="e">
        <f>IF('A-80 DirEntInv'!#REF!&lt;&gt;"",'A-80 DirEntInv'!#REF!,IF(AK165=summaryref2!B12,summaryref2!K12,IF(Summary!AK165=summaryref2!B26,summaryref2!K26,IF(AK165=summaryref2!B40,summaryref2!K40,IF(AK165=summaryref2!B54,summaryref2!K54,IF(AK165=summaryref2!B68,summaryref2!K68,IF(AK165=summaryref2!B82,summaryref2!K82,IF(AK165=summaryref2!B96,summaryref2!K96,IF(AK165=summaryref2!B110,summaryref2!K110,IF(AK165=summaryref2!B124,summaryref2!K124,IF(AK165=summaryref2!B138,summaryref2!K138,"")))))))))))</f>
        <v>#REF!</v>
      </c>
      <c r="AV165" s="1092" t="e">
        <f>IF('A-80 DirEntInv'!#REF!&lt;&gt;"",'A-80 DirEntInv'!#REF!,IF(AK165=summaryref2!B12,summaryref2!L12,IF(Summary!AK165=summaryref2!B26,summaryref2!L26,IF(AK165=summaryref2!B40,summaryref2!L40,IF(AK165=summaryref2!B54,summaryref2!L54,IF(AK165=summaryref2!B68,summaryref2!L68,IF(AK165=summaryref2!B82,summaryref2!L82,IF(AK165=summaryref2!B96,summaryref2!L96,IF(AK165=summaryref2!B110,summaryref2!L110,IF(AK165=summaryref2!B124,summaryref2!L124,IF(AK165=summaryref2!B138,summaryref2!L138,"")))))))))))</f>
        <v>#REF!</v>
      </c>
      <c r="AW165" s="1092" t="e">
        <f>IF('A-80 DirEntInv'!#REF!&lt;&gt;"",'A-80 DirEntInv'!#REF!,IF($AK165=summaryref2!$B$12,summaryref2!M$12,IF(Summary!$AK165=summaryref2!$B$26,summaryref2!M$26,IF($AK165=summaryref2!$B$40,summaryref2!M$40,IF($AK165=summaryref2!$B$54,summaryref2!M$54,IF($AK165=summaryref2!$B$68,summaryref2!M$68,IF($AK165=summaryref2!$B$82,summaryref2!M$82,IF($AK165=summaryref2!$B$96,summaryref2!M$96,IF($AK165=summaryref2!$B$110,summaryref2!M$110,IF($AK165=summaryref2!$B$124,summaryref2!M$124,IF($AK165=summaryref2!$B$138,summaryref2!M$138,"")))))))))))</f>
        <v>#REF!</v>
      </c>
      <c r="AX165" s="1092" t="e">
        <f>IF('A-80 DirEntInv'!#REF!&lt;&gt;"",'A-80 DirEntInv'!#REF!,IF(AK165=summaryref2!B12,summaryref2!N12,IF(Summary!AK165=summaryref2!B26,summaryref2!N26,IF(AK165=summaryref2!B40,summaryref2!N40,IF(AK165=summaryref2!B54,summaryref2!N54,IF(AK165=summaryref2!B68,summaryref2!N68,IF(AK165=summaryref2!B82,summaryref2!N82,IF(AK165=summaryref2!B96,summaryref2!N96,IF(AK165=summaryref2!B110,summaryref2!N110,IF(AK165=summaryref2!B124,summaryref2!N124,IF(AK165=summaryref2!B138,summaryref2!N138,"")))))))))))</f>
        <v>#REF!</v>
      </c>
      <c r="AY165" s="1092" t="e">
        <f>IF('A-80 DirEntInv'!#REF!&lt;&gt;"",'A-80 DirEntInv'!#REF!,IF(AK165=summaryref2!B12,summaryref2!O12,IF(Summary!AK165=summaryref2!B26,summaryref2!O26,IF(AK165=summaryref2!B40,summaryref2!O40,IF(AK165=summaryref2!B54,summaryref2!O54,IF(AK165=summaryref2!B68,summaryref2!O68,IF(AK165=summaryref2!B82,summaryref2!O82,IF(AK165=summaryref2!B96,summaryref2!O96,IF(AK165=summaryref2!B110,summaryref2!O110,IF(AK165=summaryref2!B124,summaryref2!O124,IF(AK165=summaryref2!B138,summaryref2!O138,"")))))))))))</f>
        <v>#REF!</v>
      </c>
      <c r="AZ165" s="1092" t="e">
        <f>IF('A-80 DirEntInv'!#REF!&lt;&gt;"",'A-80 DirEntInv'!#REF!,IF(AK165=summaryref2!B12,summaryref2!P12,IF(Summary!AK165=summaryref2!B26,summaryref2!P26,IF(AK165=summaryref2!B40,summaryref2!P40,IF(AK165=summaryref2!B54,summaryref2!P54,IF(AK165=summaryref2!B68,summaryref2!P68,IF(AK165=summaryref2!B82,summaryref2!P82,IF(AK165=summaryref2!B96,summaryref2!P96,IF(AK165=summaryref2!B110,summaryref2!P110,IF(AK165=summaryref2!B124,summaryref2!P124,IF(AK165=summaryref2!B138,summaryref2!P138,"")))))))))))</f>
        <v>#REF!</v>
      </c>
      <c r="BA165" s="1092" t="e">
        <f>IF('A-80 DirEntInv'!#REF!&lt;&gt;"",'A-80 DirEntInv'!#REF!,IF(AK165=summaryref2!B12,summaryref2!Q12,IF(Summary!AK165=summaryref2!B26,summaryref2!Q26,IF(AK165=summaryref2!B40,summaryref2!Q40,IF(AK165=summaryref2!B54,summaryref2!Q54,IF(AK165=summaryref2!B68,summaryref2!Q68,IF(AK165=summaryref2!B82,summaryref2!Q82,IF(AK165=summaryref2!B96,summaryref2!Q96,IF(AK165=summaryref2!B110,summaryref2!Q110,IF(AK165=summaryref2!B124,summaryref2!Q124,IF(AK165=summaryref2!B138,summaryref2!Q138,"")))))))))))</f>
        <v>#REF!</v>
      </c>
      <c r="BB165" s="1092" t="e">
        <f>IF('A-80 DirEntInv'!#REF!&lt;&gt;"",'A-80 DirEntInv'!#REF!,IF(AK165=summaryref2!B12,summaryref2!R12,IF(Summary!AK165=summaryref2!B26,summaryref2!R26,IF(AK165=summaryref2!B40,summaryref2!R40,IF(AK165=summaryref2!B54,summaryref2!R54,IF(AK165=summaryref2!B68,summaryref2!R68,IF(AK165=summaryref2!B82,summaryref2!R82,IF(AK165=summaryref2!B96,summaryref2!R96,IF(AK165=summaryref2!B110,summaryref2!R110,IF(AK165=summaryref2!B124,summaryref2!R124,IF(AK165=summaryref2!B138,summaryref2!R138,"")))))))))))</f>
        <v>#REF!</v>
      </c>
      <c r="BC165" s="1092" t="e">
        <f>IF('A-80 DirEntInv'!#REF!&lt;&gt;0,'A-80 DirEntInv'!#REF!,IF(AK165=summaryref2!B12,summaryref2!S12,IF(Summary!AK165=summaryref2!B26,summaryref2!S26,IF(AK165=summaryref2!B40,summaryref2!S40,IF(AK165=summaryref2!B54,summaryref2!S54,IF(AK165=summaryref2!B68,summaryref2!S68,IF(AK165=summaryref2!B82,summaryref2!S82,IF(AK165=summaryref2!B96,summaryref2!S96,IF(AK165=summaryref2!B110,summaryref2!S110,IF(AK165=summaryref2!B124,summaryref2!S124,IF(AK165=summaryref2!B138,summaryref2!S138,"")))))))))))</f>
        <v>#REF!</v>
      </c>
      <c r="BD165" s="1093" t="e">
        <f>IF('A-80 DirEntInv'!#REF!&lt;&gt;"",'A-80 DirEntInv'!#REF!,IF(AK165=summaryref2!B12,summaryref2!T12,IF(Summary!AK165=summaryref2!B26,summaryref2!T26,IF(AK165=summaryref2!B40,summaryref2!T40,IF(AK165=summaryref2!B54,summaryref2!T54,IF(AK165=summaryref2!B68,summaryref2!T68,IF(AK165=summaryref2!B82,summaryref2!T82,IF(AK165=summaryref2!B96,summaryref2!T96,IF(AK165=summaryref2!B110,summaryref2!T110,IF(AK165=summaryref2!B124,summaryref2!T124,IF(AK165=summaryref2!B138,summaryref2!T138,"")))))))))))</f>
        <v>#REF!</v>
      </c>
      <c r="BE165" s="1189" t="e">
        <f>IF('A-80 DirEntInv'!#REF!&lt;&gt;"",'A-80 DirEntInv'!#REF!,IF(AK165=summaryref2!B12,summaryref2!U12,IF(Summary!AK165=summaryref2!B26,summaryref2!U26,IF(AK165=summaryref2!B40,summaryref2!U40,IF(AK165=summaryref2!B54,summaryref2!U54,IF(AK165=summaryref2!B68,summaryref2!U68,IF(AK165=summaryref2!B82,summaryref2!U82,IF(AK165=summaryref2!B96,summaryref2!U96,IF(AK165=summaryref2!B110,summaryref2!U110,IF(AK165=summaryref2!B124,summaryref2!U124,IF(AK165=summaryref2!B138,summaryref2!U138,"")))))))))))</f>
        <v>#REF!</v>
      </c>
      <c r="BF165" s="1431"/>
      <c r="BG165" s="1431"/>
      <c r="BJ165" s="1041" t="s">
        <v>2210</v>
      </c>
      <c r="BK165" s="1384" t="e">
        <f>IF('A-80 DirEntInv'!#REF!&lt;&gt;"",'A-80 DirEntInv'!#REF!,VLOOKUP(Summary!BJ165,Codes!$L$181:$L$199,2,FALSE))</f>
        <v>#REF!</v>
      </c>
      <c r="BU165" s="962"/>
      <c r="CD165" s="589"/>
      <c r="CE165" s="590"/>
      <c r="CF165" s="590"/>
      <c r="CG165" s="590"/>
      <c r="CH165" s="590"/>
      <c r="CI165" s="590"/>
      <c r="CJ165" s="589"/>
      <c r="CK165" s="589"/>
      <c r="CL165" s="589"/>
      <c r="CM165" s="587"/>
      <c r="CN165" s="587"/>
      <c r="CO165" s="589"/>
      <c r="CP165" s="587"/>
      <c r="CQ165" s="592"/>
      <c r="CR165" s="589"/>
      <c r="CS165" s="592"/>
      <c r="CT165" s="589"/>
      <c r="CU165" s="589"/>
      <c r="CV165" s="589"/>
      <c r="CW165" s="587"/>
      <c r="CX165" s="590"/>
      <c r="CY165" s="590"/>
      <c r="CZ165" s="590"/>
      <c r="DA165" s="1054"/>
      <c r="DB165" s="1054"/>
      <c r="DC165" s="587"/>
      <c r="DD165" s="587"/>
    </row>
    <row r="166" spans="1:108" s="588" customFormat="1" ht="13.5" thickBot="1" x14ac:dyDescent="0.25">
      <c r="A166" s="589">
        <f t="shared" si="2"/>
        <v>156</v>
      </c>
      <c r="B166" s="587"/>
      <c r="C166" s="587"/>
      <c r="D166" s="587"/>
      <c r="J166" s="589"/>
      <c r="K166" s="590"/>
      <c r="L166" s="591"/>
      <c r="M166" s="592"/>
      <c r="N166" s="589"/>
      <c r="O166" s="587"/>
      <c r="R166" s="1052"/>
      <c r="S166" s="1052"/>
      <c r="T166" s="1052"/>
      <c r="U166" s="1052"/>
      <c r="V166" s="1052"/>
      <c r="W166" s="1053"/>
      <c r="X166" s="1053"/>
      <c r="Y166" s="1053"/>
      <c r="Z166" s="1052"/>
      <c r="AA166" s="1052"/>
      <c r="AB166" s="962"/>
      <c r="AC166" s="590"/>
      <c r="AD166" s="590"/>
      <c r="AE166" s="591"/>
      <c r="AF166" s="592"/>
      <c r="AG166" s="1053"/>
      <c r="AH166" s="587"/>
      <c r="AK166" s="1041" t="str">
        <f>Codes!$C$167</f>
        <v>MG - Monorail/Automated Guideway (DO)</v>
      </c>
      <c r="AL166" s="1042" t="str">
        <f>Valid!$B$72</f>
        <v>At-Grade/In-Street/Embedded</v>
      </c>
      <c r="AM166" s="1108" t="e">
        <f>IF('A-80 DirEntInv'!#REF!&lt;&gt;"",'A-80 DirEntInv'!#REF!,IF(AK166=summaryref2!B13,summaryref2!D13,IF(Summary!AK166=summaryref2!B27,summaryref2!D27,IF(AK166=summaryref2!B41,summaryref2!D41,IF(AK166=summaryref2!B55,summaryref2!D55,IF(AK166=summaryref2!B69,summaryref2!D69,IF(AK166=summaryref2!B83,summaryref2!D83,IF(AK166=summaryref2!B97,summaryref2!D97,IF(AK166=summaryref2!B111,summaryref2!D111,IF(AK166=summaryref2!B125,summaryref2!D125,IF(AK166=summaryref2!B139,summaryref2!D139,"")))))))))))</f>
        <v>#REF!</v>
      </c>
      <c r="AN166" s="1109" t="e">
        <f ca="1">IF('A-80 DirEntInv'!#REF!&lt;&gt;"",'A-80 DirEntInv'!#REF!,IF(INDIRECT(ADDRESS(SumRef!CG364,SumRef!CG$16,,,SumRef!$C$7))="","",INDIRECT(ADDRESS(SumRef!CG364,SumRef!CG$16,,,SumRef!$C$7))))</f>
        <v>#REF!</v>
      </c>
      <c r="AO166" s="1108" t="e">
        <f>IF('A-80 DirEntInv'!#REF!&lt;&gt;"",'A-80 DirEntInv'!#REF!,IF(AK166=summaryref2!B13,summaryref2!F13,IF(Summary!AK166=summaryref2!B27,summaryref2!F27,IF(AK166=summaryref2!B41,summaryref2!F41,IF(AK166=summaryref2!B55,summaryref2!F55,IF(AK166=summaryref2!B69,summaryref2!F69,IF(AK166=summaryref2!B83,summaryref2!F83,IF(AK166=summaryref2!B97,summaryref2!F97,IF(AK166=summaryref2!B111,summaryref2!F111,IF(AK166=summaryref2!B125,summaryref2!F125,IF(AK166=summaryref2!B139,summaryref2!F139,"")))))))))))</f>
        <v>#REF!</v>
      </c>
      <c r="AP166" s="1109" t="e">
        <f ca="1">IF('A-80 DirEntInv'!#REF!&lt;&gt;"",'A-80 DirEntInv'!#REF!,IF(INDIRECT(ADDRESS(SumRef!#REF!,SumRef!#REF!,,,SumRef!$C$7))="","",INDIRECT(ADDRESS(SumRef!#REF!,SumRef!#REF!,,,SumRef!$C$7))))</f>
        <v>#REF!</v>
      </c>
      <c r="AQ166" s="1147" t="e">
        <f>IF('A-80 DirEntInv'!#REF!&lt;&gt;"",'A-80 DirEntInv'!#REF!,IF(AK166=summaryref2!B13,summaryref2!G13,IF(Summary!AK166=summaryref2!B27,summaryref2!G27,IF(AK166=summaryref2!B41,summaryref2!G41,IF(AK166=summaryref2!B55,summaryref2!G55,IF(AK166=summaryref2!B69,summaryref2!G69,IF(AK166=summaryref2!B83,summaryref2!G83,IF(AK166=summaryref2!B97,summaryref2!G97,IF(AK166=summaryref2!B111,summaryref2!G111,IF(AK166=summaryref2!B125,summaryref2!G125,IF(AK166=summaryref2!B139,summaryref2!G139,"")))))))))))</f>
        <v>#REF!</v>
      </c>
      <c r="AR166" s="1147" t="e">
        <f>IF('A-80 DirEntInv'!#REF!&lt;&gt;"",'A-80 DirEntInv'!#REF!,IF(AK166=summaryref2!B13,summaryref2!H13,IF(Summary!AK166=summaryref2!B27,summaryref2!H27,IF(AK166=summaryref2!B41,summaryref2!H41,IF(AK166=summaryref2!B55,summaryref2!H55,IF(AK166=summaryref2!B69,summaryref2!H69,IF(AK166=summaryref2!B83,summaryref2!H83,IF(AK166=summaryref2!B97,summaryref2!H97,IF(AK166=summaryref2!B111,summaryref2!H111,IF(AK166=summaryref2!B125,summaryref2!H125,IF(AK166=summaryref2!B139,summaryref2!H139,"")))))))))))</f>
        <v>#REF!</v>
      </c>
      <c r="AS166" s="1110" t="e">
        <f>IF('A-80 DirEntInv'!#REF!&lt;&gt;"",'A-80 DirEntInv'!#REF!,IF(AK166=summaryref2!B13,summaryref2!I13,IF(Summary!AK166=summaryref2!B27,summaryref2!I27,IF(AK166=summaryref2!B41,summaryref2!I41,IF(AK166=summaryref2!B55,summaryref2!I55,IF(AK166=summaryref2!B69,summaryref2!I69,IF(AK166=summaryref2!B83,summaryref2!I83,IF(AK166=summaryref2!B97,summaryref2!I97,IF(AK166=summaryref2!B111,summaryref2!I111,IF(AK166=summaryref2!B125,summaryref2!I125,IF(AK166=summaryref2!B139,summaryref2!I139,"")))))))))))</f>
        <v>#REF!</v>
      </c>
      <c r="AT166" s="1110" t="e">
        <f>IF('A-80 DirEntInv'!#REF!&lt;&gt;"",'A-80 DirEntInv'!#REF!,IF(AK166=summaryref2!B13,summaryref2!J13,IF(Summary!AK166=summaryref2!B27,summaryref2!J27,IF(AK166=summaryref2!B41,summaryref2!J41,IF(AK166=summaryref2!B55,summaryref2!J55,IF(AK166=summaryref2!B69,summaryref2!J69,IF(AK166=summaryref2!B83,summaryref2!J83,IF(AK166=summaryref2!B97,summaryref2!J97,IF(AK166=summaryref2!B111,summaryref2!J111,IF(AK166=summaryref2!B125,summaryref2!J125,IF(AK166=summaryref2!B139,summaryref2!J139,"")))))))))))</f>
        <v>#REF!</v>
      </c>
      <c r="AU166" s="1110" t="e">
        <f>IF('A-80 DirEntInv'!#REF!&lt;&gt;"",'A-80 DirEntInv'!#REF!,IF(AK166=summaryref2!B13,summaryref2!K13,IF(Summary!AK166=summaryref2!B27,summaryref2!K27,IF(AK166=summaryref2!B41,summaryref2!K41,IF(AK166=summaryref2!B55,summaryref2!K55,IF(AK166=summaryref2!B69,summaryref2!K69,IF(AK166=summaryref2!B83,summaryref2!K83,IF(AK166=summaryref2!B97,summaryref2!K97,IF(AK166=summaryref2!B111,summaryref2!K111,IF(AK166=summaryref2!B125,summaryref2!K125,IF(AK166=summaryref2!B139,summaryref2!K139,"")))))))))))</f>
        <v>#REF!</v>
      </c>
      <c r="AV166" s="1110" t="e">
        <f>IF('A-80 DirEntInv'!#REF!&lt;&gt;"",'A-80 DirEntInv'!#REF!,IF(AK166=summaryref2!B13,summaryref2!L13,IF(Summary!AK166=summaryref2!B27,summaryref2!L27,IF(AK166=summaryref2!B41,summaryref2!L41,IF(AK166=summaryref2!B55,summaryref2!L55,IF(AK166=summaryref2!B69,summaryref2!L69,IF(AK166=summaryref2!B83,summaryref2!L83,IF(AK166=summaryref2!B97,summaryref2!L97,IF(AK166=summaryref2!B111,summaryref2!L111,IF(AK166=summaryref2!B125,summaryref2!L125,IF(AK166=summaryref2!B139,summaryref2!L139,"")))))))))))</f>
        <v>#REF!</v>
      </c>
      <c r="AW166" s="1110" t="e">
        <f>IF('A-80 DirEntInv'!#REF!&lt;&gt;"",'A-80 DirEntInv'!#REF!,IF(AK166=summaryref2!B13,summaryref2!M13,IF(Summary!AK166=summaryref2!B27,summaryref2!M27,IF(AK166=summaryref2!B41,summaryref2!M41,IF(AK166=summaryref2!B55,summaryref2!M55,IF(AK166=summaryref2!B69,summaryref2!M69,IF(AK166=summaryref2!B83,summaryref2!M83,IF(AK166=summaryref2!B97,summaryref2!M97,IF(AK166=summaryref2!B111,summaryref2!M111,IF(AK166=summaryref2!B125,summaryref2!M125,IF(AK166=summaryref2!B139,summaryref2!M139,"")))))))))))</f>
        <v>#REF!</v>
      </c>
      <c r="AX166" s="1110" t="e">
        <f>IF('A-80 DirEntInv'!#REF!&lt;&gt;"",'A-80 DirEntInv'!#REF!,IF(AK166=summaryref2!B13,summaryref2!N13,IF(Summary!AK166=summaryref2!B27,summaryref2!N27,IF(AK166=summaryref2!B41,summaryref2!N41,IF(AK166=summaryref2!B55,summaryref2!N55,IF(AK166=summaryref2!B69,summaryref2!N69,IF(AK166=summaryref2!B83,summaryref2!N83,IF(AK166=summaryref2!B97,summaryref2!N97,IF(AK166=summaryref2!B111,summaryref2!N111,IF(AK166=summaryref2!B125,summaryref2!N125,IF(AK166=summaryref2!B139,summaryref2!N139,"")))))))))))</f>
        <v>#REF!</v>
      </c>
      <c r="AY166" s="1110" t="e">
        <f>IF('A-80 DirEntInv'!#REF!&lt;&gt;"",'A-80 DirEntInv'!#REF!,IF(AK166=summaryref2!B13,summaryref2!O13,IF(Summary!AK166=summaryref2!B27,summaryref2!O27,IF(AK166=summaryref2!B41,summaryref2!O41,IF(AK166=summaryref2!B55,summaryref2!O55,IF(AK166=summaryref2!B69,summaryref2!O69,IF(AK166=summaryref2!B83,summaryref2!O83,IF(AK166=summaryref2!B97,summaryref2!O97,IF(AK166=summaryref2!B111,summaryref2!O111,IF(AK166=summaryref2!B125,summaryref2!O125,IF(AK166=summaryref2!B139,summaryref2!O139,"")))))))))))</f>
        <v>#REF!</v>
      </c>
      <c r="AZ166" s="1110" t="e">
        <f>IF('A-80 DirEntInv'!#REF!&lt;&gt;"",'A-80 DirEntInv'!#REF!,IF(AK166=summaryref2!B13,summaryref2!P13,IF(Summary!AK166=summaryref2!B27,summaryref2!P27,IF(AK166=summaryref2!B41,summaryref2!P41,IF(AK166=summaryref2!B55,summaryref2!P55,IF(AK166=summaryref2!B69,summaryref2!P69,IF(AK166=summaryref2!B83,summaryref2!P83,IF(AK166=summaryref2!B97,summaryref2!P97,IF(AK166=summaryref2!B111,summaryref2!P111,IF(AK166=summaryref2!B125,summaryref2!P125,IF(AK166=summaryref2!B139,summaryref2!P139,"")))))))))))</f>
        <v>#REF!</v>
      </c>
      <c r="BA166" s="1110" t="e">
        <f>IF('A-80 DirEntInv'!#REF!&lt;&gt;"",'A-80 DirEntInv'!#REF!,IF(AK166=summaryref2!B13,summaryref2!Q13,IF(Summary!AK166=summaryref2!B27,summaryref2!Q27,IF(AK166=summaryref2!B41,summaryref2!Q41,IF(AK166=summaryref2!B55,summaryref2!Q55,IF(AK166=summaryref2!B69,summaryref2!Q69,IF(AK166=summaryref2!B83,summaryref2!Q83,IF(AK166=summaryref2!B97,summaryref2!Q97,IF(AK166=summaryref2!B111,summaryref2!Q111,IF(AK166=summaryref2!B125,summaryref2!Q125,IF(AK166=summaryref2!B139,summaryref2!Q139,"")))))))))))</f>
        <v>#REF!</v>
      </c>
      <c r="BB166" s="1110" t="e">
        <f>IF('A-80 DirEntInv'!#REF!&lt;&gt;"",'A-80 DirEntInv'!#REF!,IF(AK166=summaryref2!B13,summaryref2!R13,IF(Summary!AK166=summaryref2!B27,summaryref2!R27,IF(AK166=summaryref2!B41,summaryref2!R41,IF(AK166=summaryref2!B55,summaryref2!R55,IF(AK166=summaryref2!B69,summaryref2!R69,IF(AK166=summaryref2!B83,summaryref2!R83,IF(AK166=summaryref2!B97,summaryref2!R97,IF(AK166=summaryref2!B111,summaryref2!R111,IF(AK166=summaryref2!B125,summaryref2!R125,IF(AK166=summaryref2!B139,summaryref2!R139,"")))))))))))</f>
        <v>#REF!</v>
      </c>
      <c r="BC166" s="1110" t="e">
        <f>IF('A-80 DirEntInv'!#REF!&lt;&gt;0,'A-80 DirEntInv'!#REF!,IF(AK166=summaryref2!B13,summaryref2!S13,IF(Summary!AK166=summaryref2!B27,summaryref2!S27,IF(AK166=summaryref2!B41,summaryref2!S41,IF(AK166=summaryref2!B55,summaryref2!S55,IF(AK166=summaryref2!B69,summaryref2!S69,IF(AK166=summaryref2!B83,summaryref2!S83,IF(AK166=summaryref2!B97,summaryref2!S97,IF(AK166=summaryref2!B111,summaryref2!S111,IF(AK166=summaryref2!B125,summaryref2!S125,IF(AK166=summaryref2!B139,summaryref2!S139,"")))))))))))</f>
        <v>#REF!</v>
      </c>
      <c r="BD166" s="1111" t="e">
        <f>IF('A-80 DirEntInv'!#REF!&lt;&gt;"",'A-80 DirEntInv'!#REF!,IF(AK166=summaryref2!B13,summaryref2!T13,IF(Summary!AK166=summaryref2!B27,summaryref2!T27,IF(AK166=summaryref2!B41,summaryref2!T41,IF(AK166=summaryref2!B55,summaryref2!T55,IF(AK166=summaryref2!B69,summaryref2!T69,IF(AK166=summaryref2!B83,summaryref2!T83,IF(AK166=summaryref2!B97,summaryref2!T97,IF(AK166=summaryref2!B111,summaryref2!T111,IF(AK166=summaryref2!B125,summaryref2!T125,IF(AK166=summaryref2!B139,summaryref2!T139,"")))))))))))</f>
        <v>#REF!</v>
      </c>
      <c r="BE166" s="1184" t="e">
        <f>IF('A-80 DirEntInv'!#REF!&lt;&gt;"",'A-80 DirEntInv'!#REF!,IF(AK166=summaryref2!B13,summaryref2!U13,IF(Summary!AK166=summaryref2!B27,summaryref2!U27,IF(AK166=summaryref2!B41,summaryref2!U41,IF(AK166=summaryref2!B55,summaryref2!U55,IF(AK166=summaryref2!B69,summaryref2!U69,IF(AK166=summaryref2!B83,summaryref2!U83,IF(AK166=summaryref2!B97,summaryref2!U97,IF(AK166=summaryref2!B111,summaryref2!U111,IF(AK166=summaryref2!B125,summaryref2!U125,IF(AK166=summaryref2!B139,summaryref2!U139,"")))))))))))</f>
        <v>#REF!</v>
      </c>
      <c r="BF166" s="1432"/>
      <c r="BG166" s="1432"/>
      <c r="BJ166" s="1047" t="s">
        <v>2219</v>
      </c>
      <c r="BK166" s="1321" t="e">
        <f>IF('A-80 DirEntInv'!#REF!&lt;&gt;"",'A-80 DirEntInv'!#REF!,VLOOKUP(Summary!BJ166,Codes!$L$181:$L$199,2,FALSE))</f>
        <v>#REF!</v>
      </c>
      <c r="BU166" s="962"/>
      <c r="CD166" s="589"/>
      <c r="CE166" s="590"/>
      <c r="CF166" s="590"/>
      <c r="CG166" s="590"/>
      <c r="CH166" s="590"/>
      <c r="CI166" s="590"/>
      <c r="CJ166" s="589"/>
      <c r="CK166" s="589"/>
      <c r="CL166" s="589"/>
      <c r="CM166" s="587"/>
      <c r="CN166" s="587"/>
      <c r="CO166" s="589"/>
      <c r="CP166" s="587"/>
      <c r="CQ166" s="592"/>
      <c r="CR166" s="589"/>
      <c r="CS166" s="592"/>
      <c r="CT166" s="589"/>
      <c r="CU166" s="589"/>
      <c r="CV166" s="589"/>
      <c r="CW166" s="587"/>
      <c r="CX166" s="590"/>
      <c r="CY166" s="590"/>
      <c r="CZ166" s="590"/>
      <c r="DA166" s="1054"/>
      <c r="DB166" s="1054"/>
      <c r="DC166" s="587"/>
      <c r="DD166" s="587"/>
    </row>
    <row r="167" spans="1:108" s="588" customFormat="1" x14ac:dyDescent="0.2">
      <c r="A167" s="589">
        <f t="shared" si="2"/>
        <v>157</v>
      </c>
      <c r="B167" s="587"/>
      <c r="C167" s="587"/>
      <c r="D167" s="587"/>
      <c r="J167" s="589"/>
      <c r="K167" s="590"/>
      <c r="L167" s="591"/>
      <c r="M167" s="592"/>
      <c r="N167" s="589"/>
      <c r="O167" s="587"/>
      <c r="R167" s="1052"/>
      <c r="S167" s="1052"/>
      <c r="T167" s="1052"/>
      <c r="U167" s="1052"/>
      <c r="V167" s="1052"/>
      <c r="W167" s="1053"/>
      <c r="X167" s="1053"/>
      <c r="Y167" s="1053"/>
      <c r="Z167" s="1052"/>
      <c r="AA167" s="1052"/>
      <c r="AB167" s="962"/>
      <c r="AC167" s="590"/>
      <c r="AD167" s="590"/>
      <c r="AE167" s="591"/>
      <c r="AF167" s="592"/>
      <c r="AG167" s="1053"/>
      <c r="AH167" s="587"/>
      <c r="AK167" s="1041" t="str">
        <f>Codes!$C$167</f>
        <v>MG - Monorail/Automated Guideway (DO)</v>
      </c>
      <c r="AL167" s="1042" t="str">
        <f>Valid!$B$73</f>
        <v>Elevated/Retained Fill</v>
      </c>
      <c r="AM167" s="1108" t="e">
        <f>IF('A-80 DirEntInv'!#REF!&lt;&gt;"",'A-80 DirEntInv'!#REF!,IF(AK167=summaryref2!B14,summaryref2!D14,IF(Summary!AK167=summaryref2!B28,summaryref2!D28,IF(AK167=summaryref2!B42,summaryref2!D42,IF(AK167=summaryref2!B56,summaryref2!D56,IF(AK167=summaryref2!B70,summaryref2!D70,IF(AK167=summaryref2!B84,summaryref2!D84,IF(AK167=summaryref2!B98,summaryref2!D98,IF(AK167=summaryref2!B112,summaryref2!D112,IF(AK167=summaryref2!B126,summaryref2!D126,IF(AK167=summaryref2!B140,summaryref2!D140,"")))))))))))</f>
        <v>#REF!</v>
      </c>
      <c r="AN167" s="1109" t="e">
        <f ca="1">IF('A-80 DirEntInv'!#REF!&lt;&gt;"",'A-80 DirEntInv'!#REF!,IF(INDIRECT(ADDRESS(SumRef!CG365,SumRef!CG$16,,,SumRef!$C$7))="","",INDIRECT(ADDRESS(SumRef!CG365,SumRef!CG$16,,,SumRef!$C$7))))</f>
        <v>#REF!</v>
      </c>
      <c r="AO167" s="1108" t="e">
        <f>IF('A-80 DirEntInv'!#REF!&lt;&gt;"",'A-80 DirEntInv'!#REF!,IF(AK167=summaryref2!B14,summaryref2!F14,IF(Summary!AK167=summaryref2!B28,summaryref2!F28,IF(AK167=summaryref2!B42,summaryref2!F42,IF(AK167=summaryref2!B56,summaryref2!F56,IF(AK167=summaryref2!B70,summaryref2!F70,IF(AK167=summaryref2!B84,summaryref2!F84,IF(AK167=summaryref2!B98,summaryref2!F98,IF(AK167=summaryref2!B112,summaryref2!F112,IF(AK167=summaryref2!B126,summaryref2!F126,IF(AK167=summaryref2!B140,summaryref2!F140,"")))))))))))</f>
        <v>#REF!</v>
      </c>
      <c r="AP167" s="1109" t="e">
        <f ca="1">IF('A-80 DirEntInv'!#REF!&lt;&gt;"",'A-80 DirEntInv'!#REF!,IF(INDIRECT(ADDRESS(SumRef!#REF!,SumRef!#REF!,,,SumRef!$C$7))="","",INDIRECT(ADDRESS(SumRef!#REF!,SumRef!#REF!,,,SumRef!$C$7))))</f>
        <v>#REF!</v>
      </c>
      <c r="AQ167" s="1147" t="e">
        <f>IF('A-80 DirEntInv'!#REF!&lt;&gt;"",'A-80 DirEntInv'!#REF!,IF(AK167=summaryref2!B14,summaryref2!G14,IF(Summary!AK167=summaryref2!B28,summaryref2!G28,IF(AK167=summaryref2!B42,summaryref2!G42,IF(AK167=summaryref2!B56,summaryref2!G56,IF(AK167=summaryref2!B70,summaryref2!G70,IF(AK167=summaryref2!B84,summaryref2!G84,IF(AK167=summaryref2!B98,summaryref2!G98,IF(AK167=summaryref2!B112,summaryref2!G112,IF(AK167=summaryref2!B126,summaryref2!G126,IF(AK167=summaryref2!B140,summaryref2!G140,"")))))))))))</f>
        <v>#REF!</v>
      </c>
      <c r="AR167" s="1147" t="e">
        <f>IF('A-80 DirEntInv'!#REF!&lt;&gt;"",'A-80 DirEntInv'!#REF!,IF(AK167=summaryref2!B14,summaryref2!H14,IF(Summary!AK167=summaryref2!B28,summaryref2!H28,IF(AK167=summaryref2!B42,summaryref2!H42,IF(AK167=summaryref2!B56,summaryref2!H56,IF(AK167=summaryref2!B70,summaryref2!H70,IF(AK167=summaryref2!B84,summaryref2!H84,IF(AK167=summaryref2!B98,summaryref2!H98,IF(AK167=summaryref2!B112,summaryref2!H112,IF(AK167=summaryref2!B126,summaryref2!H126,IF(AK167=summaryref2!B140,summaryref2!H140,"")))))))))))</f>
        <v>#REF!</v>
      </c>
      <c r="AS167" s="1110" t="e">
        <f>IF('A-80 DirEntInv'!#REF!&lt;&gt;"",'A-80 DirEntInv'!#REF!,IF(AK167=summaryref2!B14,summaryref2!I14,IF(Summary!AK167=summaryref2!B28,summaryref2!I28,IF(AK167=summaryref2!B42,summaryref2!I42,IF(AK167=summaryref2!B56,summaryref2!I56,IF(AK167=summaryref2!B70,summaryref2!I70,IF(AK167=summaryref2!B84,summaryref2!I84,IF(AK167=summaryref2!B98,summaryref2!I98,IF(AK167=summaryref2!B112,summaryref2!I112,IF(AK167=summaryref2!B126,summaryref2!I126,IF(AK167=summaryref2!B140,summaryref2!I140,"")))))))))))</f>
        <v>#REF!</v>
      </c>
      <c r="AT167" s="1110" t="e">
        <f>IF('A-80 DirEntInv'!#REF!&lt;&gt;"",'A-80 DirEntInv'!#REF!,IF(AK167=summaryref2!B14,summaryref2!J14,IF(Summary!AK167=summaryref2!B28,summaryref2!J28,IF(AK167=summaryref2!B42,summaryref2!J42,IF(AK167=summaryref2!B56,summaryref2!J56,IF(AK167=summaryref2!B70,summaryref2!J70,IF(AK167=summaryref2!B84,summaryref2!J84,IF(AK167=summaryref2!B98,summaryref2!J98,IF(AK167=summaryref2!B112,summaryref2!J112,IF(AK167=summaryref2!B126,summaryref2!J126,IF(AK167=summaryref2!B140,summaryref2!J140,"")))))))))))</f>
        <v>#REF!</v>
      </c>
      <c r="AU167" s="1110" t="e">
        <f>IF('A-80 DirEntInv'!#REF!&lt;&gt;"",'A-80 DirEntInv'!#REF!,IF(AK167=summaryref2!B14,summaryref2!K14,IF(Summary!AK167=summaryref2!B28,summaryref2!K28,IF(AK167=summaryref2!B42,summaryref2!K42,IF(AK167=summaryref2!B56,summaryref2!K56,IF(AK167=summaryref2!B70,summaryref2!K70,IF(AK167=summaryref2!B84,summaryref2!K84,IF(AK167=summaryref2!B98,summaryref2!K98,IF(AK167=summaryref2!B112,summaryref2!K112,IF(AK167=summaryref2!B126,summaryref2!K126,IF(AK167=summaryref2!B140,summaryref2!K140,"")))))))))))</f>
        <v>#REF!</v>
      </c>
      <c r="AV167" s="1110" t="e">
        <f>IF('A-80 DirEntInv'!#REF!&lt;&gt;"",'A-80 DirEntInv'!#REF!,IF(AK167=summaryref2!B14,summaryref2!L14,IF(Summary!AK167=summaryref2!B28,summaryref2!L28,IF(AK167=summaryref2!B42,summaryref2!L42,IF(AK167=summaryref2!B56,summaryref2!L56,IF(AK167=summaryref2!B70,summaryref2!L70,IF(AK167=summaryref2!B84,summaryref2!L84,IF(AK167=summaryref2!B98,summaryref2!L98,IF(AK167=summaryref2!B112,summaryref2!L112,IF(AK167=summaryref2!B126,summaryref2!L126,IF(AK167=summaryref2!B140,summaryref2!L140,"")))))))))))</f>
        <v>#REF!</v>
      </c>
      <c r="AW167" s="1110" t="e">
        <f>IF('A-80 DirEntInv'!#REF!&lt;&gt;"",'A-80 DirEntInv'!#REF!,IF(AK167=summaryref2!B14,summaryref2!M14,IF(Summary!AK167=summaryref2!B28,summaryref2!M28,IF(AK167=summaryref2!B42,summaryref2!M42,IF(AK167=summaryref2!B56,summaryref2!M56,IF(AK167=summaryref2!B70,summaryref2!M70,IF(AK167=summaryref2!B84,summaryref2!M84,IF(AK167=summaryref2!B98,summaryref2!M98,IF(AK167=summaryref2!B112,summaryref2!M112,IF(AK167=summaryref2!B126,summaryref2!M126,IF(AK167=summaryref2!B140,summaryref2!M140,"")))))))))))</f>
        <v>#REF!</v>
      </c>
      <c r="AX167" s="1110" t="e">
        <f>IF('A-80 DirEntInv'!#REF!&lt;&gt;"",'A-80 DirEntInv'!#REF!,IF(AK167=summaryref2!B14,summaryref2!N14,IF(Summary!AK167=summaryref2!B28,summaryref2!N28,IF(AK167=summaryref2!B42,summaryref2!N42,IF(AK167=summaryref2!B56,summaryref2!N56,IF(AK167=summaryref2!B70,summaryref2!N70,IF(AK167=summaryref2!B84,summaryref2!N84,IF(AK167=summaryref2!B98,summaryref2!N98,IF(AK167=summaryref2!B112,summaryref2!N112,IF(AK167=summaryref2!B126,summaryref2!N126,IF(AK167=summaryref2!B140,summaryref2!N140,"")))))))))))</f>
        <v>#REF!</v>
      </c>
      <c r="AY167" s="1110" t="e">
        <f>IF('A-80 DirEntInv'!#REF!&lt;&gt;"",'A-80 DirEntInv'!#REF!,IF(AK167=summaryref2!B14,summaryref2!O14,IF(Summary!AK167=summaryref2!B28,summaryref2!O28,IF(AK167=summaryref2!B42,summaryref2!O42,IF(AK167=summaryref2!B56,summaryref2!O56,IF(AK167=summaryref2!B70,summaryref2!O70,IF(AK167=summaryref2!B84,summaryref2!O84,IF(AK167=summaryref2!B98,summaryref2!O98,IF(AK167=summaryref2!B112,summaryref2!O112,IF(AK167=summaryref2!B126,summaryref2!O126,IF(AK167=summaryref2!B140,summaryref2!O140,"")))))))))))</f>
        <v>#REF!</v>
      </c>
      <c r="AZ167" s="1110" t="e">
        <f>IF('A-80 DirEntInv'!#REF!&lt;&gt;"",'A-80 DirEntInv'!#REF!,IF(AK167=summaryref2!B14,summaryref2!P14,IF(Summary!AK167=summaryref2!B28,summaryref2!P28,IF(AK167=summaryref2!B42,summaryref2!P42,IF(AK167=summaryref2!B56,summaryref2!P56,IF(AK167=summaryref2!B70,summaryref2!P70,IF(AK167=summaryref2!B84,summaryref2!P84,IF(AK167=summaryref2!B98,summaryref2!P98,IF(AK167=summaryref2!B112,summaryref2!P112,IF(AK167=summaryref2!B126,summaryref2!P126,IF(AK167=summaryref2!B140,summaryref2!P140,"")))))))))))</f>
        <v>#REF!</v>
      </c>
      <c r="BA167" s="1110" t="e">
        <f>IF('A-80 DirEntInv'!#REF!&lt;&gt;"",'A-80 DirEntInv'!#REF!,IF(AK167=summaryref2!B14,summaryref2!Q14,IF(Summary!AK167=summaryref2!B28,summaryref2!Q28,IF(AK167=summaryref2!B42,summaryref2!Q42,IF(AK167=summaryref2!B56,summaryref2!Q56,IF(AK167=summaryref2!B70,summaryref2!Q70,IF(AK167=summaryref2!B84,summaryref2!Q84,IF(AK167=summaryref2!B98,summaryref2!Q98,IF(AK167=summaryref2!B112,summaryref2!Q112,IF(AK167=summaryref2!B126,summaryref2!Q126,IF(AK167=summaryref2!B140,summaryref2!Q140,"")))))))))))</f>
        <v>#REF!</v>
      </c>
      <c r="BB167" s="1110" t="e">
        <f>IF('A-80 DirEntInv'!#REF!&lt;&gt;"",'A-80 DirEntInv'!#REF!,IF(AK167=summaryref2!B14,summaryref2!R14,IF(Summary!AK167=summaryref2!B28,summaryref2!R28,IF(AK167=summaryref2!B42,summaryref2!R42,IF(AK167=summaryref2!B56,summaryref2!R56,IF(AK167=summaryref2!B70,summaryref2!R70,IF(AK167=summaryref2!B84,summaryref2!R84,IF(AK167=summaryref2!B98,summaryref2!R98,IF(AK167=summaryref2!B112,summaryref2!R112,IF(AK167=summaryref2!B126,summaryref2!R126,IF(AK167=summaryref2!B140,summaryref2!R140,"")))))))))))</f>
        <v>#REF!</v>
      </c>
      <c r="BC167" s="1110" t="e">
        <f>IF('A-80 DirEntInv'!#REF!&lt;&gt;0,'A-80 DirEntInv'!#REF!,IF(AK167=summaryref2!B14,summaryref2!S14,IF(Summary!AK167=summaryref2!B28,summaryref2!S28,IF(AK167=summaryref2!B42,summaryref2!S42,IF(AK167=summaryref2!B56,summaryref2!S56,IF(AK167=summaryref2!B70,summaryref2!S70,IF(AK167=summaryref2!B84,summaryref2!S84,IF(AK167=summaryref2!B98,summaryref2!S98,IF(AK167=summaryref2!B112,summaryref2!S112,IF(AK167=summaryref2!B126,summaryref2!S126,IF(AK167=summaryref2!B140,summaryref2!S140,"")))))))))))</f>
        <v>#REF!</v>
      </c>
      <c r="BD167" s="1111" t="e">
        <f>IF('A-80 DirEntInv'!#REF!&lt;&gt;"",'A-80 DirEntInv'!#REF!,IF(AK167=summaryref2!B14,summaryref2!T14,IF(Summary!AK167=summaryref2!B28,summaryref2!T28,IF(AK167=summaryref2!B42,summaryref2!T42,IF(AK167=summaryref2!B56,summaryref2!T56,IF(AK167=summaryref2!B70,summaryref2!T70,IF(AK167=summaryref2!B84,summaryref2!T84,IF(AK167=summaryref2!B98,summaryref2!T98,IF(AK167=summaryref2!B112,summaryref2!T112,IF(AK167=summaryref2!B126,summaryref2!T126,IF(AK167=summaryref2!B140,summaryref2!T140,"")))))))))))</f>
        <v>#REF!</v>
      </c>
      <c r="BE167" s="1184" t="e">
        <f>IF('A-80 DirEntInv'!#REF!&lt;&gt;"",'A-80 DirEntInv'!#REF!,IF(AK167=summaryref2!B14,summaryref2!U14,IF(Summary!AK167=summaryref2!B28,summaryref2!U28,IF(AK167=summaryref2!B42,summaryref2!U42,IF(AK167=summaryref2!B56,summaryref2!U56,IF(AK167=summaryref2!B70,summaryref2!U70,IF(AK167=summaryref2!B84,summaryref2!U84,IF(AK167=summaryref2!B98,summaryref2!U98,IF(AK167=summaryref2!B112,summaryref2!U112,IF(AK167=summaryref2!B126,summaryref2!U126,IF(AK167=summaryref2!B140,summaryref2!U140,"")))))))))))</f>
        <v>#REF!</v>
      </c>
      <c r="BF167" s="1432"/>
      <c r="BG167" s="1432"/>
      <c r="BU167" s="962"/>
      <c r="CD167" s="589"/>
      <c r="CE167" s="590"/>
      <c r="CF167" s="590"/>
      <c r="CG167" s="590"/>
      <c r="CH167" s="590"/>
      <c r="CI167" s="590"/>
      <c r="CJ167" s="589"/>
      <c r="CK167" s="589"/>
      <c r="CL167" s="589"/>
      <c r="CM167" s="587"/>
      <c r="CN167" s="587"/>
      <c r="CO167" s="589"/>
      <c r="CP167" s="587"/>
      <c r="CQ167" s="592"/>
      <c r="CR167" s="589"/>
      <c r="CS167" s="592"/>
      <c r="CT167" s="589"/>
      <c r="CU167" s="589"/>
      <c r="CV167" s="589"/>
      <c r="CW167" s="587"/>
      <c r="CX167" s="590"/>
      <c r="CY167" s="590"/>
      <c r="CZ167" s="590"/>
      <c r="DA167" s="1054"/>
      <c r="DB167" s="1054"/>
      <c r="DC167" s="587"/>
      <c r="DD167" s="587"/>
    </row>
    <row r="168" spans="1:108" s="588" customFormat="1" x14ac:dyDescent="0.2">
      <c r="A168" s="589">
        <f t="shared" si="2"/>
        <v>158</v>
      </c>
      <c r="B168" s="587"/>
      <c r="C168" s="587"/>
      <c r="D168" s="587"/>
      <c r="J168" s="589"/>
      <c r="K168" s="590"/>
      <c r="L168" s="591"/>
      <c r="M168" s="592"/>
      <c r="N168" s="589"/>
      <c r="O168" s="587"/>
      <c r="R168" s="1052"/>
      <c r="S168" s="1052"/>
      <c r="T168" s="1052"/>
      <c r="U168" s="1052"/>
      <c r="V168" s="1052"/>
      <c r="W168" s="1053"/>
      <c r="X168" s="1053"/>
      <c r="Y168" s="1053"/>
      <c r="Z168" s="1052"/>
      <c r="AA168" s="1052"/>
      <c r="AB168" s="962"/>
      <c r="AC168" s="590"/>
      <c r="AD168" s="590"/>
      <c r="AE168" s="591"/>
      <c r="AF168" s="592"/>
      <c r="AG168" s="1053"/>
      <c r="AH168" s="587"/>
      <c r="AK168" s="1041" t="str">
        <f>Codes!$C$167</f>
        <v>MG - Monorail/Automated Guideway (DO)</v>
      </c>
      <c r="AL168" s="1042" t="str">
        <f>Valid!$B$74</f>
        <v>Elevated/Concrete</v>
      </c>
      <c r="AM168" s="1108" t="e">
        <f>IF('A-80 DirEntInv'!#REF!&lt;&gt;"",'A-80 DirEntInv'!#REF!,IF(AK168=summaryref2!B15,summaryref2!D15,IF(Summary!AK168=summaryref2!B29,summaryref2!D29,IF(AK168=summaryref2!B43,summaryref2!D43,IF(AK168=summaryref2!B57,summaryref2!D57,IF(AK168=summaryref2!B71,summaryref2!D71,IF(AK168=summaryref2!B85,summaryref2!D85,IF(AK168=summaryref2!B99,summaryref2!D99,IF(AK168=summaryref2!B113,summaryref2!D113,IF(AK168=summaryref2!B127,summaryref2!D127,IF(AK168=summaryref2!B141,summaryref2!D141,"")))))))))))</f>
        <v>#REF!</v>
      </c>
      <c r="AN168" s="1109" t="e">
        <f ca="1">IF('A-80 DirEntInv'!#REF!&lt;&gt;"",'A-80 DirEntInv'!#REF!,IF(INDIRECT(ADDRESS(SumRef!CG366,SumRef!CG$16,,,SumRef!$C$7))="","",INDIRECT(ADDRESS(SumRef!CG366,SumRef!CG$16,,,SumRef!$C$7))))</f>
        <v>#REF!</v>
      </c>
      <c r="AO168" s="1108" t="e">
        <f>IF('A-80 DirEntInv'!#REF!&lt;&gt;"",'A-80 DirEntInv'!#REF!,IF(AK168=summaryref2!B15,summaryref2!F15,IF(Summary!AK168=summaryref2!B29,summaryref2!F29,IF(AK168=summaryref2!B43,summaryref2!F43,IF(AK168=summaryref2!B57,summaryref2!F57,IF(AK168=summaryref2!B71,summaryref2!F71,IF(AK168=summaryref2!B85,summaryref2!F85,IF(AK168=summaryref2!B99,summaryref2!F99,IF(AK168=summaryref2!B113,summaryref2!F113,IF(AK168=summaryref2!B127,summaryref2!F127,IF(AK168=summaryref2!B141,summaryref2!F141,"")))))))))))</f>
        <v>#REF!</v>
      </c>
      <c r="AP168" s="1109" t="e">
        <f ca="1">IF('A-80 DirEntInv'!#REF!&lt;&gt;"",'A-80 DirEntInv'!#REF!,IF(INDIRECT(ADDRESS(SumRef!#REF!,SumRef!#REF!,,,SumRef!$C$7))="","",INDIRECT(ADDRESS(SumRef!#REF!,SumRef!#REF!,,,SumRef!$C$7))))</f>
        <v>#REF!</v>
      </c>
      <c r="AQ168" s="1147" t="e">
        <f>IF('A-80 DirEntInv'!#REF!&lt;&gt;"",'A-80 DirEntInv'!#REF!,IF(AK168=summaryref2!B15,summaryref2!G15,IF(Summary!AK168=summaryref2!B29,summaryref2!G29,IF(AK168=summaryref2!B43,summaryref2!G43,IF(AK168=summaryref2!B57,summaryref2!G57,IF(AK168=summaryref2!B71,summaryref2!G71,IF(AK168=summaryref2!B85,summaryref2!G85,IF(AK168=summaryref2!B99,summaryref2!G99,IF(AK168=summaryref2!B113,summaryref2!G113,IF(AK168=summaryref2!B127,summaryref2!G127,IF(AK168=summaryref2!B141,summaryref2!G141,"")))))))))))</f>
        <v>#REF!</v>
      </c>
      <c r="AR168" s="1147" t="e">
        <f>IF('A-80 DirEntInv'!#REF!&lt;&gt;"",'A-80 DirEntInv'!#REF!,IF(AK168=summaryref2!B15,summaryref2!H15,IF(Summary!AK168=summaryref2!B29,summaryref2!H29,IF(AK168=summaryref2!B43,summaryref2!H43,IF(AK168=summaryref2!B57,summaryref2!H57,IF(AK168=summaryref2!B71,summaryref2!H71,IF(AK168=summaryref2!B85,summaryref2!H85,IF(AK168=summaryref2!B99,summaryref2!H99,IF(AK168=summaryref2!B113,summaryref2!H113,IF(AK168=summaryref2!B127,summaryref2!H127,IF(AK168=summaryref2!B141,summaryref2!H141,"")))))))))))</f>
        <v>#REF!</v>
      </c>
      <c r="AS168" s="1110" t="e">
        <f>IF('A-80 DirEntInv'!#REF!&lt;&gt;"",'A-80 DirEntInv'!#REF!,IF(AK168=summaryref2!B15,summaryref2!I15,IF(Summary!AK168=summaryref2!B29,summaryref2!I29,IF(AK168=summaryref2!B43,summaryref2!I43,IF(AK168=summaryref2!B57,summaryref2!I57,IF(AK168=summaryref2!B71,summaryref2!I71,IF(AK168=summaryref2!B85,summaryref2!I85,IF(AK168=summaryref2!B99,summaryref2!I99,IF(AK168=summaryref2!B113,summaryref2!I113,IF(AK168=summaryref2!B127,summaryref2!I127,IF(AK168=summaryref2!B141,summaryref2!I141,"")))))))))))</f>
        <v>#REF!</v>
      </c>
      <c r="AT168" s="1110" t="e">
        <f>IF('A-80 DirEntInv'!#REF!&lt;&gt;"",'A-80 DirEntInv'!#REF!,IF(AK168=summaryref2!B15,summaryref2!J15,IF(Summary!AK168=summaryref2!B29,summaryref2!J29,IF(AK168=summaryref2!B43,summaryref2!J43,IF(AK168=summaryref2!B57,summaryref2!J57,IF(AK168=summaryref2!B71,summaryref2!J71,IF(AK168=summaryref2!B85,summaryref2!J85,IF(AK168=summaryref2!B99,summaryref2!J99,IF(AK168=summaryref2!B113,summaryref2!J113,IF(AK168=summaryref2!B127,summaryref2!J127,IF(AK168=summaryref2!B141,summaryref2!J141,"")))))))))))</f>
        <v>#REF!</v>
      </c>
      <c r="AU168" s="1110" t="e">
        <f>IF('A-80 DirEntInv'!#REF!&lt;&gt;"",'A-80 DirEntInv'!#REF!,IF(AK168=summaryref2!B15,summaryref2!K15,IF(Summary!AK168=summaryref2!B29,summaryref2!K29,IF(AK168=summaryref2!B43,summaryref2!K43,IF(AK168=summaryref2!B57,summaryref2!K57,IF(AK168=summaryref2!B71,summaryref2!K71,IF(AK168=summaryref2!B85,summaryref2!K85,IF(AK168=summaryref2!B99,summaryref2!K99,IF(AK168=summaryref2!B113,summaryref2!K113,IF(AK168=summaryref2!B127,summaryref2!K127,IF(AK168=summaryref2!B141,summaryref2!K141,"")))))))))))</f>
        <v>#REF!</v>
      </c>
      <c r="AV168" s="1110" t="e">
        <f>IF('A-80 DirEntInv'!#REF!&lt;&gt;"",'A-80 DirEntInv'!#REF!,IF(AK168=summaryref2!B15,summaryref2!L15,IF(Summary!AK168=summaryref2!B29,summaryref2!L29,IF(AK168=summaryref2!B43,summaryref2!L43,IF(AK168=summaryref2!B57,summaryref2!L57,IF(AK168=summaryref2!B71,summaryref2!L71,IF(AK168=summaryref2!B85,summaryref2!L85,IF(AK168=summaryref2!B99,summaryref2!L99,IF(AK168=summaryref2!B113,summaryref2!L113,IF(AK168=summaryref2!B127,summaryref2!L127,IF(AK168=summaryref2!B141,summaryref2!L141,"")))))))))))</f>
        <v>#REF!</v>
      </c>
      <c r="AW168" s="1110" t="e">
        <f>IF('A-80 DirEntInv'!#REF!&lt;&gt;"",'A-80 DirEntInv'!#REF!,IF(AK168=summaryref2!B15,summaryref2!M15,IF(Summary!AK168=summaryref2!B29,summaryref2!M29,IF(AK168=summaryref2!B43,summaryref2!M43,IF(AK168=summaryref2!B57,summaryref2!M57,IF(AK168=summaryref2!B71,summaryref2!M71,IF(AK168=summaryref2!B85,summaryref2!M85,IF(AK168=summaryref2!B99,summaryref2!M99,IF(AK168=summaryref2!B113,summaryref2!M113,IF(AK168=summaryref2!B127,summaryref2!M127,IF(AK168=summaryref2!B141,summaryref2!M141,"")))))))))))</f>
        <v>#REF!</v>
      </c>
      <c r="AX168" s="1110" t="e">
        <f>IF('A-80 DirEntInv'!#REF!&lt;&gt;"",'A-80 DirEntInv'!#REF!,IF(AK168=summaryref2!B15,summaryref2!N15,IF(Summary!AK168=summaryref2!B29,summaryref2!N29,IF(AK168=summaryref2!B43,summaryref2!N43,IF(AK168=summaryref2!B57,summaryref2!N57,IF(AK168=summaryref2!B71,summaryref2!N71,IF(AK168=summaryref2!B85,summaryref2!N85,IF(AK168=summaryref2!B99,summaryref2!N99,IF(AK168=summaryref2!B113,summaryref2!N113,IF(AK168=summaryref2!B127,summaryref2!N127,IF(AK168=summaryref2!B141,summaryref2!N141,"")))))))))))</f>
        <v>#REF!</v>
      </c>
      <c r="AY168" s="1110" t="e">
        <f>IF('A-80 DirEntInv'!#REF!&lt;&gt;"",'A-80 DirEntInv'!#REF!,IF(AK168=summaryref2!B15,summaryref2!O15,IF(Summary!AK168=summaryref2!B29,summaryref2!O29,IF(AK168=summaryref2!B43,summaryref2!O43,IF(AK168=summaryref2!B57,summaryref2!O57,IF(AK168=summaryref2!B71,summaryref2!O71,IF(AK168=summaryref2!B85,summaryref2!O85,IF(AK168=summaryref2!B99,summaryref2!O99,IF(AK168=summaryref2!B113,summaryref2!O113,IF(AK168=summaryref2!B127,summaryref2!O127,IF(AK168=summaryref2!B141,summaryref2!O141,"")))))))))))</f>
        <v>#REF!</v>
      </c>
      <c r="AZ168" s="1110" t="e">
        <f>IF('A-80 DirEntInv'!#REF!&lt;&gt;"",'A-80 DirEntInv'!#REF!,IF(AK168=summaryref2!B15,summaryref2!P15,IF(Summary!AK168=summaryref2!B29,summaryref2!P29,IF(AK168=summaryref2!B43,summaryref2!P43,IF(AK168=summaryref2!B57,summaryref2!P57,IF(AK168=summaryref2!B71,summaryref2!P71,IF(AK168=summaryref2!B85,summaryref2!P85,IF(AK168=summaryref2!B99,summaryref2!P99,IF(AK168=summaryref2!B113,summaryref2!P113,IF(AK168=summaryref2!B127,summaryref2!P127,IF(AK168=summaryref2!B141,summaryref2!P141,"")))))))))))</f>
        <v>#REF!</v>
      </c>
      <c r="BA168" s="1110" t="e">
        <f>IF('A-80 DirEntInv'!#REF!&lt;&gt;"",'A-80 DirEntInv'!#REF!,IF(AK168=summaryref2!B15,summaryref2!Q15,IF(Summary!AK168=summaryref2!B29,summaryref2!Q29,IF(AK168=summaryref2!B43,summaryref2!Q43,IF(AK168=summaryref2!B57,summaryref2!Q57,IF(AK168=summaryref2!B71,summaryref2!Q71,IF(AK168=summaryref2!B85,summaryref2!Q85,IF(AK168=summaryref2!B99,summaryref2!Q99,IF(AK168=summaryref2!B113,summaryref2!Q113,IF(AK168=summaryref2!B127,summaryref2!Q127,IF(AK168=summaryref2!B141,summaryref2!Q141,"")))))))))))</f>
        <v>#REF!</v>
      </c>
      <c r="BB168" s="1110" t="e">
        <f>IF('A-80 DirEntInv'!#REF!&lt;&gt;"",'A-80 DirEntInv'!#REF!,IF(AK168=summaryref2!B15,summaryref2!R15,IF(Summary!AK168=summaryref2!B29,summaryref2!R29,IF(AK168=summaryref2!B43,summaryref2!R43,IF(AK168=summaryref2!B57,summaryref2!R57,IF(AK168=summaryref2!B71,summaryref2!R71,IF(AK168=summaryref2!B85,summaryref2!R85,IF(AK168=summaryref2!B99,summaryref2!R99,IF(AK168=summaryref2!B113,summaryref2!R113,IF(AK168=summaryref2!B127,summaryref2!R127,IF(AK168=summaryref2!B141,summaryref2!R141,"")))))))))))</f>
        <v>#REF!</v>
      </c>
      <c r="BC168" s="1110" t="e">
        <f>IF('A-80 DirEntInv'!#REF!&lt;&gt;0,'A-80 DirEntInv'!#REF!,IF(AK168=summaryref2!B15,summaryref2!S15,IF(Summary!AK168=summaryref2!B29,summaryref2!S29,IF(AK168=summaryref2!B43,summaryref2!S43,IF(AK168=summaryref2!B57,summaryref2!S57,IF(AK168=summaryref2!B71,summaryref2!S71,IF(AK168=summaryref2!B85,summaryref2!S85,IF(AK168=summaryref2!B99,summaryref2!S99,IF(AK168=summaryref2!B113,summaryref2!S113,IF(AK168=summaryref2!B127,summaryref2!S127,IF(AK168=summaryref2!B141,summaryref2!S141,"")))))))))))</f>
        <v>#REF!</v>
      </c>
      <c r="BD168" s="1111" t="e">
        <f>IF('A-80 DirEntInv'!#REF!&lt;&gt;"",'A-80 DirEntInv'!#REF!,IF(AK168=summaryref2!B15,summaryref2!T15,IF(Summary!AK168=summaryref2!B29,summaryref2!T29,IF(AK168=summaryref2!B43,summaryref2!T43,IF(AK168=summaryref2!B57,summaryref2!T57,IF(AK168=summaryref2!B71,summaryref2!T71,IF(AK168=summaryref2!B85,summaryref2!T85,IF(AK168=summaryref2!B99,summaryref2!T99,IF(AK168=summaryref2!B113,summaryref2!T113,IF(AK168=summaryref2!B127,summaryref2!T127,IF(AK168=summaryref2!B141,summaryref2!T141,"")))))))))))</f>
        <v>#REF!</v>
      </c>
      <c r="BE168" s="1184" t="e">
        <f>IF('A-80 DirEntInv'!#REF!&lt;&gt;"",'A-80 DirEntInv'!#REF!,IF(AK168=summaryref2!B15,summaryref2!U15,IF(Summary!AK168=summaryref2!B29,summaryref2!U29,IF(AK168=summaryref2!B43,summaryref2!U43,IF(AK168=summaryref2!B57,summaryref2!U57,IF(AK168=summaryref2!B71,summaryref2!U71,IF(AK168=summaryref2!B85,summaryref2!U85,IF(AK168=summaryref2!B99,summaryref2!U99,IF(AK168=summaryref2!B113,summaryref2!U113,IF(AK168=summaryref2!B127,summaryref2!U127,IF(AK168=summaryref2!B141,summaryref2!U141,"")))))))))))</f>
        <v>#REF!</v>
      </c>
      <c r="BF168" s="1432"/>
      <c r="BG168" s="1432"/>
      <c r="BU168" s="962"/>
      <c r="CD168" s="589"/>
      <c r="CE168" s="590"/>
      <c r="CF168" s="590"/>
      <c r="CG168" s="590"/>
      <c r="CH168" s="590"/>
      <c r="CI168" s="590"/>
      <c r="CJ168" s="589"/>
      <c r="CK168" s="589"/>
      <c r="CL168" s="589"/>
      <c r="CM168" s="587"/>
      <c r="CN168" s="587"/>
      <c r="CO168" s="589"/>
      <c r="CP168" s="587"/>
      <c r="CQ168" s="592"/>
      <c r="CR168" s="589"/>
      <c r="CS168" s="592"/>
      <c r="CT168" s="589"/>
      <c r="CU168" s="589"/>
      <c r="CV168" s="589"/>
      <c r="CW168" s="587"/>
      <c r="CX168" s="590"/>
      <c r="CY168" s="590"/>
      <c r="CZ168" s="590"/>
      <c r="DA168" s="1054"/>
      <c r="DB168" s="1054"/>
      <c r="DC168" s="587"/>
      <c r="DD168" s="587"/>
    </row>
    <row r="169" spans="1:108" s="588" customFormat="1" x14ac:dyDescent="0.2">
      <c r="A169" s="589">
        <f t="shared" si="2"/>
        <v>159</v>
      </c>
      <c r="B169" s="587"/>
      <c r="C169" s="587"/>
      <c r="D169" s="587"/>
      <c r="J169" s="589"/>
      <c r="K169" s="590"/>
      <c r="L169" s="591"/>
      <c r="M169" s="592"/>
      <c r="N169" s="589"/>
      <c r="O169" s="587"/>
      <c r="R169" s="1052"/>
      <c r="S169" s="1052"/>
      <c r="T169" s="1052"/>
      <c r="U169" s="1052"/>
      <c r="V169" s="1052"/>
      <c r="W169" s="1053"/>
      <c r="X169" s="1053"/>
      <c r="Y169" s="1053"/>
      <c r="Z169" s="1052"/>
      <c r="AA169" s="1052"/>
      <c r="AB169" s="962"/>
      <c r="AC169" s="590"/>
      <c r="AD169" s="590"/>
      <c r="AE169" s="591"/>
      <c r="AF169" s="592"/>
      <c r="AG169" s="1053"/>
      <c r="AH169" s="587"/>
      <c r="AK169" s="1041" t="str">
        <f>Codes!$C$167</f>
        <v>MG - Monorail/Automated Guideway (DO)</v>
      </c>
      <c r="AL169" s="1042" t="str">
        <f>Valid!$B$75</f>
        <v>Elevated/Steel Viaduct or Bridge</v>
      </c>
      <c r="AM169" s="1108" t="e">
        <f>IF('A-80 DirEntInv'!#REF!&lt;&gt;"",'A-80 DirEntInv'!#REF!,IF(AK169=summaryref2!B16,summaryref2!D16,IF(Summary!AK169=summaryref2!B30,summaryref2!D30,IF(AK169=summaryref2!B44,summaryref2!D44,IF(AK169=summaryref2!B58,summaryref2!D58,IF(AK169=summaryref2!B72,summaryref2!D72,IF(AK169=summaryref2!B86,summaryref2!D86,IF(AK169=summaryref2!B100,summaryref2!D100,IF(AK169=summaryref2!B114,summaryref2!D114,IF(AK169=summaryref2!B128,summaryref2!D128,IF(AK169=summaryref2!B142,summaryref2!D142,"")))))))))))</f>
        <v>#REF!</v>
      </c>
      <c r="AN169" s="1109" t="e">
        <f ca="1">IF('A-80 DirEntInv'!#REF!&lt;&gt;"",'A-80 DirEntInv'!#REF!,IF(INDIRECT(ADDRESS(SumRef!CG367,SumRef!CG$16,,,SumRef!$C$7))="","",INDIRECT(ADDRESS(SumRef!CG367,SumRef!CG$16,,,SumRef!$C$7))))</f>
        <v>#REF!</v>
      </c>
      <c r="AO169" s="1108" t="e">
        <f>IF('A-80 DirEntInv'!#REF!&lt;&gt;"",'A-80 DirEntInv'!#REF!,IF(AK169=summaryref2!B16,summaryref2!F16,IF(Summary!AK169=summaryref2!B30,summaryref2!F30,IF(AK169=summaryref2!B44,summaryref2!F44,IF(AK169=summaryref2!B58,summaryref2!F58,IF(AK169=summaryref2!B72,summaryref2!F72,IF(AK169=summaryref2!B86,summaryref2!F86,IF(AK169=summaryref2!B100,summaryref2!F100,IF(AK169=summaryref2!B114,summaryref2!F114,IF(AK169=summaryref2!B128,summaryref2!F128,IF(AK169=summaryref2!B142,summaryref2!F142,"")))))))))))</f>
        <v>#REF!</v>
      </c>
      <c r="AP169" s="1109" t="e">
        <f ca="1">IF('A-80 DirEntInv'!#REF!&lt;&gt;"",'A-80 DirEntInv'!#REF!,IF(INDIRECT(ADDRESS(SumRef!#REF!,SumRef!#REF!,,,SumRef!$C$7))="","",INDIRECT(ADDRESS(SumRef!#REF!,SumRef!#REF!,,,SumRef!$C$7))))</f>
        <v>#REF!</v>
      </c>
      <c r="AQ169" s="1147" t="e">
        <f>IF('A-80 DirEntInv'!#REF!&lt;&gt;"",'A-80 DirEntInv'!#REF!,IF(AK169=summaryref2!B16,summaryref2!G16,IF(Summary!AK169=summaryref2!B30,summaryref2!G30,IF(AK169=summaryref2!B44,summaryref2!G44,IF(AK169=summaryref2!B58,summaryref2!G58,IF(AK169=summaryref2!B72,summaryref2!G72,IF(AK169=summaryref2!B86,summaryref2!G86,IF(AK169=summaryref2!B100,summaryref2!G100,IF(AK169=summaryref2!B114,summaryref2!G114,IF(AK169=summaryref2!B128,summaryref2!G128,IF(AK169=summaryref2!B142,summaryref2!G142,"")))))))))))</f>
        <v>#REF!</v>
      </c>
      <c r="AR169" s="1147" t="e">
        <f>IF('A-80 DirEntInv'!#REF!&lt;&gt;"",'A-80 DirEntInv'!#REF!,IF(AK169=summaryref2!B16,summaryref2!H16,IF(Summary!AK169=summaryref2!B30,summaryref2!H30,IF(AK169=summaryref2!B44,summaryref2!H44,IF(AK169=summaryref2!B58,summaryref2!H58,IF(AK169=summaryref2!B72,summaryref2!H72,IF(AK169=summaryref2!B86,summaryref2!H86,IF(AK169=summaryref2!B100,summaryref2!H100,IF(AK169=summaryref2!B114,summaryref2!H114,IF(AK169=summaryref2!B128,summaryref2!H128,IF(AK169=summaryref2!B142,summaryref2!H142,"")))))))))))</f>
        <v>#REF!</v>
      </c>
      <c r="AS169" s="1110" t="e">
        <f>IF('A-80 DirEntInv'!#REF!&lt;&gt;"",'A-80 DirEntInv'!#REF!,IF(AK169=summaryref2!B16,summaryref2!I16,IF(Summary!AK169=summaryref2!B30,summaryref2!I30,IF(AK169=summaryref2!B44,summaryref2!I44,IF(AK169=summaryref2!B58,summaryref2!I58,IF(AK169=summaryref2!B72,summaryref2!I72,IF(AK169=summaryref2!B86,summaryref2!I86,IF(AK169=summaryref2!B100,summaryref2!I100,IF(AK169=summaryref2!B114,summaryref2!I114,IF(AK169=summaryref2!B128,summaryref2!I128,IF(AK169=summaryref2!B142,summaryref2!I142,"")))))))))))</f>
        <v>#REF!</v>
      </c>
      <c r="AT169" s="1110" t="e">
        <f>IF('A-80 DirEntInv'!#REF!&lt;&gt;"",'A-80 DirEntInv'!#REF!,IF(AK169=summaryref2!B16,summaryref2!J16,IF(Summary!AK169=summaryref2!B30,summaryref2!J30,IF(AK169=summaryref2!B44,summaryref2!J44,IF(AK169=summaryref2!B58,summaryref2!J58,IF(AK169=summaryref2!B72,summaryref2!J72,IF(AK169=summaryref2!B86,summaryref2!J86,IF(AK169=summaryref2!B100,summaryref2!J100,IF(AK169=summaryref2!B114,summaryref2!J114,IF(AK169=summaryref2!B128,summaryref2!J128,IF(AK169=summaryref2!B142,summaryref2!J142,"")))))))))))</f>
        <v>#REF!</v>
      </c>
      <c r="AU169" s="1110" t="e">
        <f>IF('A-80 DirEntInv'!#REF!&lt;&gt;"",'A-80 DirEntInv'!#REF!,IF(AK169=summaryref2!B16,summaryref2!K16,IF(Summary!AK169=summaryref2!B30,summaryref2!K30,IF(AK169=summaryref2!B44,summaryref2!K44,IF(AK169=summaryref2!B58,summaryref2!K58,IF(AK169=summaryref2!B72,summaryref2!K72,IF(AK169=summaryref2!B86,summaryref2!K86,IF(AK169=summaryref2!B100,summaryref2!K100,IF(AK169=summaryref2!B114,summaryref2!K114,IF(AK169=summaryref2!B128,summaryref2!K128,IF(AK169=summaryref2!B142,summaryref2!K142,"")))))))))))</f>
        <v>#REF!</v>
      </c>
      <c r="AV169" s="1110" t="e">
        <f>IF('A-80 DirEntInv'!#REF!&lt;&gt;"",'A-80 DirEntInv'!#REF!,IF(AK169=summaryref2!B16,summaryref2!L16,IF(Summary!AK169=summaryref2!B30,summaryref2!L30,IF(AK169=summaryref2!B44,summaryref2!L44,IF(AK169=summaryref2!B58,summaryref2!L58,IF(AK169=summaryref2!B72,summaryref2!L72,IF(AK169=summaryref2!B86,summaryref2!L86,IF(AK169=summaryref2!B100,summaryref2!L100,IF(AK169=summaryref2!B114,summaryref2!L114,IF(AK169=summaryref2!B128,summaryref2!L128,IF(AK169=summaryref2!B142,summaryref2!L142,"")))))))))))</f>
        <v>#REF!</v>
      </c>
      <c r="AW169" s="1110" t="e">
        <f>IF('A-80 DirEntInv'!#REF!&lt;&gt;"",'A-80 DirEntInv'!#REF!,IF(AK169=summaryref2!B16,summaryref2!M16,IF(Summary!AK169=summaryref2!B30,summaryref2!M30,IF(AK169=summaryref2!B44,summaryref2!M44,IF(AK169=summaryref2!B58,summaryref2!M58,IF(AK169=summaryref2!B72,summaryref2!M72,IF(AK169=summaryref2!B86,summaryref2!M86,IF(AK169=summaryref2!B100,summaryref2!M100,IF(AK169=summaryref2!B114,summaryref2!M114,IF(AK169=summaryref2!B128,summaryref2!M128,IF(AK169=summaryref2!B142,summaryref2!M142,"")))))))))))</f>
        <v>#REF!</v>
      </c>
      <c r="AX169" s="1110" t="e">
        <f>IF('A-80 DirEntInv'!#REF!&lt;&gt;"",'A-80 DirEntInv'!#REF!,IF(AK169=summaryref2!B16,summaryref2!N16,IF(Summary!AK169=summaryref2!B30,summaryref2!N30,IF(AK169=summaryref2!B44,summaryref2!N44,IF(AK169=summaryref2!B58,summaryref2!N58,IF(AK169=summaryref2!B72,summaryref2!N72,IF(AK169=summaryref2!B86,summaryref2!N86,IF(AK169=summaryref2!B100,summaryref2!N100,IF(AK169=summaryref2!B114,summaryref2!N114,IF(AK169=summaryref2!B128,summaryref2!N128,IF(AK169=summaryref2!B142,summaryref2!N142,"")))))))))))</f>
        <v>#REF!</v>
      </c>
      <c r="AY169" s="1110" t="e">
        <f>IF('A-80 DirEntInv'!#REF!&lt;&gt;"",'A-80 DirEntInv'!#REF!,IF(AK169=summaryref2!B16,summaryref2!O16,IF(Summary!AK169=summaryref2!B30,summaryref2!O30,IF(AK169=summaryref2!B44,summaryref2!O44,IF(AK169=summaryref2!B58,summaryref2!O58,IF(AK169=summaryref2!B72,summaryref2!O72,IF(AK169=summaryref2!B86,summaryref2!O86,IF(AK169=summaryref2!B100,summaryref2!O100,IF(AK169=summaryref2!B114,summaryref2!O114,IF(AK169=summaryref2!B128,summaryref2!O128,IF(AK169=summaryref2!B142,summaryref2!O142,"")))))))))))</f>
        <v>#REF!</v>
      </c>
      <c r="AZ169" s="1110" t="e">
        <f>IF('A-80 DirEntInv'!#REF!&lt;&gt;"",'A-80 DirEntInv'!#REF!,IF(AK169=summaryref2!B16,summaryref2!P16,IF(Summary!AK169=summaryref2!B30,summaryref2!P30,IF(AK169=summaryref2!B44,summaryref2!P44,IF(AK169=summaryref2!B58,summaryref2!P58,IF(AK169=summaryref2!B72,summaryref2!P72,IF(AK169=summaryref2!B86,summaryref2!P86,IF(AK169=summaryref2!B100,summaryref2!P100,IF(AK169=summaryref2!B114,summaryref2!P114,IF(AK169=summaryref2!B128,summaryref2!P128,IF(AK169=summaryref2!B142,summaryref2!P142,"")))))))))))</f>
        <v>#REF!</v>
      </c>
      <c r="BA169" s="1110" t="e">
        <f>IF('A-80 DirEntInv'!#REF!&lt;&gt;"",'A-80 DirEntInv'!#REF!,IF(AK169=summaryref2!B16,summaryref2!Q16,IF(Summary!AK169=summaryref2!B30,summaryref2!Q30,IF(AK169=summaryref2!B44,summaryref2!Q44,IF(AK169=summaryref2!B58,summaryref2!Q58,IF(AK169=summaryref2!B72,summaryref2!Q72,IF(AK169=summaryref2!B86,summaryref2!Q86,IF(AK169=summaryref2!B100,summaryref2!Q100,IF(AK169=summaryref2!B114,summaryref2!Q114,IF(AK169=summaryref2!B128,summaryref2!Q128,IF(AK169=summaryref2!B142,summaryref2!Q142,"")))))))))))</f>
        <v>#REF!</v>
      </c>
      <c r="BB169" s="1110" t="e">
        <f>IF('A-80 DirEntInv'!#REF!&lt;&gt;"",'A-80 DirEntInv'!#REF!,IF(AK169=summaryref2!B16,summaryref2!R16,IF(Summary!AK169=summaryref2!B30,summaryref2!R30,IF(AK169=summaryref2!B44,summaryref2!R44,IF(AK169=summaryref2!B58,summaryref2!R58,IF(AK169=summaryref2!B72,summaryref2!R72,IF(AK169=summaryref2!B86,summaryref2!R86,IF(AK169=summaryref2!B100,summaryref2!R100,IF(AK169=summaryref2!B114,summaryref2!R114,IF(AK169=summaryref2!B128,summaryref2!R128,IF(AK169=summaryref2!B142,summaryref2!R142,"")))))))))))</f>
        <v>#REF!</v>
      </c>
      <c r="BC169" s="1110" t="e">
        <f>IF('A-80 DirEntInv'!#REF!&lt;&gt;0,'A-80 DirEntInv'!#REF!,IF(AK169=summaryref2!B16,summaryref2!S16,IF(Summary!AK169=summaryref2!B30,summaryref2!S30,IF(AK169=summaryref2!B44,summaryref2!S44,IF(AK169=summaryref2!B58,summaryref2!S58,IF(AK169=summaryref2!B72,summaryref2!S72,IF(AK169=summaryref2!B86,summaryref2!S86,IF(AK169=summaryref2!B100,summaryref2!S100,IF(AK169=summaryref2!B114,summaryref2!S114,IF(AK169=summaryref2!B128,summaryref2!S128,IF(AK169=summaryref2!B142,summaryref2!S142,"")))))))))))</f>
        <v>#REF!</v>
      </c>
      <c r="BD169" s="1111" t="e">
        <f>IF('A-80 DirEntInv'!#REF!&lt;&gt;"",'A-80 DirEntInv'!#REF!,IF(AK169=summaryref2!B16,summaryref2!T16,IF(Summary!AK169=summaryref2!B30,summaryref2!T30,IF(AK169=summaryref2!B44,summaryref2!T44,IF(AK169=summaryref2!B58,summaryref2!T58,IF(AK169=summaryref2!B72,summaryref2!T72,IF(AK169=summaryref2!B86,summaryref2!T86,IF(AK169=summaryref2!B100,summaryref2!T100,IF(AK169=summaryref2!B114,summaryref2!T114,IF(AK169=summaryref2!B128,summaryref2!T128,IF(AK169=summaryref2!B142,summaryref2!T142,"")))))))))))</f>
        <v>#REF!</v>
      </c>
      <c r="BE169" s="1184" t="e">
        <f>IF('A-80 DirEntInv'!#REF!&lt;&gt;"",'A-80 DirEntInv'!#REF!,IF(AK169=summaryref2!B16,summaryref2!U16,IF(Summary!AK169=summaryref2!B30,summaryref2!U30,IF(AK169=summaryref2!B44,summaryref2!U44,IF(AK169=summaryref2!B58,summaryref2!U58,IF(AK169=summaryref2!B72,summaryref2!U72,IF(AK169=summaryref2!B86,summaryref2!U86,IF(AK169=summaryref2!B100,summaryref2!U100,IF(AK169=summaryref2!B114,summaryref2!U114,IF(AK169=summaryref2!B128,summaryref2!U128,IF(AK169=summaryref2!B142,summaryref2!U142,"")))))))))))</f>
        <v>#REF!</v>
      </c>
      <c r="BF169" s="1432"/>
      <c r="BG169" s="1432"/>
      <c r="BU169" s="962"/>
      <c r="CD169" s="589"/>
      <c r="CE169" s="590"/>
      <c r="CF169" s="590"/>
      <c r="CG169" s="590"/>
      <c r="CH169" s="590"/>
      <c r="CI169" s="590"/>
      <c r="CJ169" s="589"/>
      <c r="CK169" s="589"/>
      <c r="CL169" s="589"/>
      <c r="CM169" s="587"/>
      <c r="CN169" s="587"/>
      <c r="CO169" s="589"/>
      <c r="CP169" s="587"/>
      <c r="CQ169" s="592"/>
      <c r="CR169" s="589"/>
      <c r="CS169" s="592"/>
      <c r="CT169" s="589"/>
      <c r="CU169" s="589"/>
      <c r="CV169" s="589"/>
      <c r="CW169" s="587"/>
      <c r="CX169" s="590"/>
      <c r="CY169" s="590"/>
      <c r="CZ169" s="590"/>
      <c r="DA169" s="1054"/>
      <c r="DB169" s="1054"/>
      <c r="DC169" s="587"/>
      <c r="DD169" s="587"/>
    </row>
    <row r="170" spans="1:108" s="588" customFormat="1" x14ac:dyDescent="0.2">
      <c r="A170" s="589">
        <f t="shared" si="2"/>
        <v>160</v>
      </c>
      <c r="B170" s="587"/>
      <c r="C170" s="587"/>
      <c r="D170" s="587"/>
      <c r="J170" s="589"/>
      <c r="K170" s="590"/>
      <c r="L170" s="591"/>
      <c r="M170" s="592"/>
      <c r="N170" s="589"/>
      <c r="O170" s="587"/>
      <c r="R170" s="1052"/>
      <c r="S170" s="1052"/>
      <c r="T170" s="1052"/>
      <c r="U170" s="1052"/>
      <c r="V170" s="1052"/>
      <c r="W170" s="1053"/>
      <c r="X170" s="1053"/>
      <c r="Y170" s="1053"/>
      <c r="Z170" s="1052"/>
      <c r="AA170" s="1052"/>
      <c r="AB170" s="962"/>
      <c r="AC170" s="590"/>
      <c r="AD170" s="590"/>
      <c r="AE170" s="591"/>
      <c r="AF170" s="592"/>
      <c r="AG170" s="1053"/>
      <c r="AH170" s="587"/>
      <c r="AK170" s="1041" t="str">
        <f>Codes!$C$167</f>
        <v>MG - Monorail/Automated Guideway (DO)</v>
      </c>
      <c r="AL170" s="1042" t="str">
        <f>Valid!$B$76</f>
        <v>Below-Grade/Retained Cut</v>
      </c>
      <c r="AM170" s="1108" t="e">
        <f>IF('A-80 DirEntInv'!#REF!&lt;&gt;"",'A-80 DirEntInv'!#REF!,IF(AK170=summaryref2!B17,summaryref2!D17,IF(Summary!AK170=summaryref2!B31,summaryref2!D31,IF(AK170=summaryref2!B45,summaryref2!D45,IF(AK170=summaryref2!B59,summaryref2!D59,IF(AK170=summaryref2!B73,summaryref2!D73,IF(AK170=summaryref2!B87,summaryref2!D87,IF(AK170=summaryref2!B101,summaryref2!D101,IF(AK170=summaryref2!B115,summaryref2!D115,IF(AK170=summaryref2!B129,summaryref2!D129,IF(AK170=summaryref2!B143,summaryref2!D143,"")))))))))))</f>
        <v>#REF!</v>
      </c>
      <c r="AN170" s="1109" t="e">
        <f ca="1">IF('A-80 DirEntInv'!#REF!&lt;&gt;"",'A-80 DirEntInv'!#REF!,IF(INDIRECT(ADDRESS(SumRef!CG369,SumRef!CG$16,,,SumRef!$C$7))="","",INDIRECT(ADDRESS(SumRef!CG369,SumRef!CG$16,,,SumRef!$C$7))))</f>
        <v>#REF!</v>
      </c>
      <c r="AO170" s="1108" t="e">
        <f>IF('A-80 DirEntInv'!#REF!&lt;&gt;"",'A-80 DirEntInv'!#REF!,IF(AK170=summaryref2!B17,summaryref2!F17,IF(Summary!AK170=summaryref2!B31,summaryref2!F31,IF(AK170=summaryref2!B45,summaryref2!F45,IF(AK170=summaryref2!B59,summaryref2!F59,IF(AK170=summaryref2!B73,summaryref2!F73,IF(AK170=summaryref2!B87,summaryref2!F87,IF(AK170=summaryref2!B101,summaryref2!F101,IF(AK170=summaryref2!B115,summaryref2!F115,IF(AK170=summaryref2!B129,summaryref2!F129,IF(AK170=summaryref2!B143,summaryref2!F143,"")))))))))))</f>
        <v>#REF!</v>
      </c>
      <c r="AP170" s="1109" t="e">
        <f ca="1">IF('A-80 DirEntInv'!#REF!&lt;&gt;"",'A-80 DirEntInv'!#REF!,IF(INDIRECT(ADDRESS(SumRef!#REF!,SumRef!#REF!,,,SumRef!$C$7))="","",INDIRECT(ADDRESS(SumRef!#REF!,SumRef!#REF!,,,SumRef!$C$7))))</f>
        <v>#REF!</v>
      </c>
      <c r="AQ170" s="1147" t="e">
        <f>IF('A-80 DirEntInv'!#REF!&lt;&gt;"",'A-80 DirEntInv'!#REF!,IF(AK170=summaryref2!B17,summaryref2!G17,IF(Summary!AK170=summaryref2!B31,summaryref2!G31,IF(AK170=summaryref2!B45,summaryref2!G45,IF(AK170=summaryref2!B59,summaryref2!G59,IF(AK170=summaryref2!B73,summaryref2!G73,IF(AK170=summaryref2!B87,summaryref2!G87,IF(AK170=summaryref2!B101,summaryref2!G101,IF(AK170=summaryref2!B115,summaryref2!G115,IF(AK170=summaryref2!B129,summaryref2!G129,IF(AK170=summaryref2!B143,summaryref2!G143,"")))))))))))</f>
        <v>#REF!</v>
      </c>
      <c r="AR170" s="1147" t="e">
        <f>IF('A-80 DirEntInv'!#REF!&lt;&gt;"",'A-80 DirEntInv'!#REF!,IF(AK170=summaryref2!B17,summaryref2!H17,IF(Summary!AK170=summaryref2!B31,summaryref2!H31,IF(AK170=summaryref2!B45,summaryref2!H45,IF(AK170=summaryref2!B59,summaryref2!H59,IF(AK170=summaryref2!B73,summaryref2!H73,IF(AK170=summaryref2!B87,summaryref2!H87,IF(AK170=summaryref2!B101,summaryref2!H101,IF(AK170=summaryref2!B115,summaryref2!H115,IF(AK170=summaryref2!B129,summaryref2!H129,IF(AK170=summaryref2!B143,summaryref2!H143,"")))))))))))</f>
        <v>#REF!</v>
      </c>
      <c r="AS170" s="1110" t="e">
        <f>IF('A-80 DirEntInv'!#REF!&lt;&gt;"",'A-80 DirEntInv'!#REF!,IF(AK170=summaryref2!B17,summaryref2!I17,IF(Summary!AK170=summaryref2!B31,summaryref2!I31,IF(AK170=summaryref2!B45,summaryref2!I45,IF(AK170=summaryref2!B59,summaryref2!I59,IF(AK170=summaryref2!B73,summaryref2!I73,IF(AK170=summaryref2!B87,summaryref2!I87,IF(AK170=summaryref2!B101,summaryref2!I101,IF(AK170=summaryref2!B115,summaryref2!I115,IF(AK170=summaryref2!B129,summaryref2!I129,IF(AK170=summaryref2!B143,summaryref2!I143,"")))))))))))</f>
        <v>#REF!</v>
      </c>
      <c r="AT170" s="1110" t="e">
        <f>IF('A-80 DirEntInv'!#REF!&lt;&gt;"",'A-80 DirEntInv'!#REF!,IF(AK170=summaryref2!B17,summaryref2!J17,IF(Summary!AK170=summaryref2!B31,summaryref2!J31,IF(AK170=summaryref2!B45,summaryref2!J45,IF(AK170=summaryref2!B59,summaryref2!J59,IF(AK170=summaryref2!B73,summaryref2!J73,IF(AK170=summaryref2!B87,summaryref2!J87,IF(AK170=summaryref2!B101,summaryref2!J101,IF(AK170=summaryref2!B115,summaryref2!J115,IF(AK170=summaryref2!B129,summaryref2!J129,IF(AK170=summaryref2!B143,summaryref2!J143,"")))))))))))</f>
        <v>#REF!</v>
      </c>
      <c r="AU170" s="1110" t="e">
        <f>IF('A-80 DirEntInv'!#REF!&lt;&gt;"",'A-80 DirEntInv'!#REF!,IF(AK170=summaryref2!B17,summaryref2!K17,IF(Summary!AK170=summaryref2!B31,summaryref2!K31,IF(AK170=summaryref2!B45,summaryref2!K45,IF(AK170=summaryref2!B59,summaryref2!K59,IF(AK170=summaryref2!B73,summaryref2!K73,IF(AK170=summaryref2!B87,summaryref2!K87,IF(AK170=summaryref2!B101,summaryref2!K101,IF(AK170=summaryref2!B115,summaryref2!K115,IF(AK170=summaryref2!B129,summaryref2!K129,IF(AK170=summaryref2!B143,summaryref2!K143,"")))))))))))</f>
        <v>#REF!</v>
      </c>
      <c r="AV170" s="1110" t="e">
        <f>IF('A-80 DirEntInv'!#REF!&lt;&gt;"",'A-80 DirEntInv'!#REF!,IF(AK170=summaryref2!B17,summaryref2!L17,IF(Summary!AK170=summaryref2!B31,summaryref2!L31,IF(AK170=summaryref2!B45,summaryref2!L45,IF(AK170=summaryref2!B59,summaryref2!L59,IF(AK170=summaryref2!B73,summaryref2!L73,IF(AK170=summaryref2!B87,summaryref2!L87,IF(AK170=summaryref2!B101,summaryref2!L101,IF(AK170=summaryref2!B115,summaryref2!L115,IF(AK170=summaryref2!B129,summaryref2!L129,IF(AK170=summaryref2!B143,summaryref2!L143,"")))))))))))</f>
        <v>#REF!</v>
      </c>
      <c r="AW170" s="1110" t="e">
        <f>IF('A-80 DirEntInv'!#REF!&lt;&gt;"",'A-80 DirEntInv'!#REF!,IF(AK170=summaryref2!B17,summaryref2!M17,IF(Summary!AK170=summaryref2!B31,summaryref2!M31,IF(AK170=summaryref2!B45,summaryref2!M45,IF(AK170=summaryref2!B59,summaryref2!M59,IF(AK170=summaryref2!B73,summaryref2!M73,IF(AK170=summaryref2!B87,summaryref2!M87,IF(AK170=summaryref2!B101,summaryref2!M101,IF(AK170=summaryref2!B115,summaryref2!M115,IF(AK170=summaryref2!B129,summaryref2!M129,IF(AK170=summaryref2!B143,summaryref2!M143,"")))))))))))</f>
        <v>#REF!</v>
      </c>
      <c r="AX170" s="1110" t="e">
        <f>IF('A-80 DirEntInv'!#REF!&lt;&gt;"",'A-80 DirEntInv'!#REF!,IF(AK170=summaryref2!B17,summaryref2!N17,IF(Summary!AK170=summaryref2!B31,summaryref2!N31,IF(AK170=summaryref2!B45,summaryref2!N45,IF(AK170=summaryref2!B59,summaryref2!N59,IF(AK170=summaryref2!B73,summaryref2!N73,IF(AK170=summaryref2!B87,summaryref2!N87,IF(AK170=summaryref2!B101,summaryref2!N101,IF(AK170=summaryref2!B115,summaryref2!N115,IF(AK170=summaryref2!B129,summaryref2!N129,IF(AK170=summaryref2!B143,summaryref2!N143,"")))))))))))</f>
        <v>#REF!</v>
      </c>
      <c r="AY170" s="1110" t="e">
        <f>IF('A-80 DirEntInv'!#REF!&lt;&gt;"",'A-80 DirEntInv'!#REF!,IF(AK170=summaryref2!B17,summaryref2!O17,IF(Summary!AK170=summaryref2!B31,summaryref2!O31,IF(AK170=summaryref2!B45,summaryref2!O45,IF(AK170=summaryref2!B59,summaryref2!O59,IF(AK170=summaryref2!B73,summaryref2!O73,IF(AK170=summaryref2!B87,summaryref2!O87,IF(AK170=summaryref2!B101,summaryref2!O101,IF(AK170=summaryref2!B115,summaryref2!O115,IF(AK170=summaryref2!B129,summaryref2!O129,IF(AK170=summaryref2!B143,summaryref2!O143,"")))))))))))</f>
        <v>#REF!</v>
      </c>
      <c r="AZ170" s="1110" t="e">
        <f>IF('A-80 DirEntInv'!#REF!&lt;&gt;"",'A-80 DirEntInv'!#REF!,IF(AK170=summaryref2!B17,summaryref2!P17,IF(Summary!AK170=summaryref2!B31,summaryref2!P31,IF(AK170=summaryref2!B45,summaryref2!P45,IF(AK170=summaryref2!B59,summaryref2!P59,IF(AK170=summaryref2!B73,summaryref2!P73,IF(AK170=summaryref2!B87,summaryref2!P87,IF(AK170=summaryref2!B101,summaryref2!P101,IF(AK170=summaryref2!B115,summaryref2!P115,IF(AK170=summaryref2!B129,summaryref2!P129,IF(AK170=summaryref2!B143,summaryref2!P143,"")))))))))))</f>
        <v>#REF!</v>
      </c>
      <c r="BA170" s="1110" t="e">
        <f>IF('A-80 DirEntInv'!#REF!&lt;&gt;"",'A-80 DirEntInv'!#REF!,IF(AK170=summaryref2!B17,summaryref2!Q17,IF(Summary!AK170=summaryref2!B31,summaryref2!Q31,IF(AK170=summaryref2!B45,summaryref2!Q45,IF(AK170=summaryref2!B59,summaryref2!Q59,IF(AK170=summaryref2!B73,summaryref2!Q73,IF(AK170=summaryref2!B87,summaryref2!Q87,IF(AK170=summaryref2!B101,summaryref2!Q101,IF(AK170=summaryref2!B115,summaryref2!Q115,IF(AK170=summaryref2!B129,summaryref2!Q129,IF(AK170=summaryref2!B143,summaryref2!Q143,"")))))))))))</f>
        <v>#REF!</v>
      </c>
      <c r="BB170" s="1110" t="e">
        <f>IF('A-80 DirEntInv'!#REF!&lt;&gt;"",'A-80 DirEntInv'!#REF!,IF(AK170=summaryref2!B17,summaryref2!R17,IF(Summary!AK170=summaryref2!B31,summaryref2!R31,IF(AK170=summaryref2!B45,summaryref2!R45,IF(AK170=summaryref2!B59,summaryref2!R59,IF(AK170=summaryref2!B73,summaryref2!R73,IF(AK170=summaryref2!B87,summaryref2!R87,IF(AK170=summaryref2!B101,summaryref2!R101,IF(AK170=summaryref2!B115,summaryref2!R115,IF(AK170=summaryref2!B129,summaryref2!R129,IF(AK170=summaryref2!B143,summaryref2!R143,"")))))))))))</f>
        <v>#REF!</v>
      </c>
      <c r="BC170" s="1110" t="e">
        <f>IF('A-80 DirEntInv'!#REF!&lt;&gt;0,'A-80 DirEntInv'!#REF!,IF(AK170=summaryref2!B17,summaryref2!S17,IF(Summary!AK170=summaryref2!B31,summaryref2!S31,IF(AK170=summaryref2!B45,summaryref2!S45,IF(AK170=summaryref2!B59,summaryref2!S59,IF(AK170=summaryref2!B73,summaryref2!S73,IF(AK170=summaryref2!B87,summaryref2!S87,IF(AK170=summaryref2!B101,summaryref2!S101,IF(AK170=summaryref2!B115,summaryref2!S115,IF(AK170=summaryref2!B129,summaryref2!S129,IF(AK170=summaryref2!B143,summaryref2!S143,"")))))))))))</f>
        <v>#REF!</v>
      </c>
      <c r="BD170" s="1111" t="e">
        <f>IF('A-80 DirEntInv'!#REF!&lt;&gt;"",'A-80 DirEntInv'!#REF!,IF(AK170=summaryref2!B17,summaryref2!T17,IF(Summary!AK170=summaryref2!B31,summaryref2!T31,IF(AK170=summaryref2!B45,summaryref2!T45,IF(AK170=summaryref2!B59,summaryref2!T59,IF(AK170=summaryref2!B73,summaryref2!T73,IF(AK170=summaryref2!B87,summaryref2!T87,IF(AK170=summaryref2!B101,summaryref2!T101,IF(AK170=summaryref2!B115,summaryref2!T115,IF(AK170=summaryref2!B129,summaryref2!T129,IF(AK170=summaryref2!B143,summaryref2!T143,"")))))))))))</f>
        <v>#REF!</v>
      </c>
      <c r="BE170" s="1184" t="e">
        <f>IF('A-80 DirEntInv'!#REF!&lt;&gt;"",'A-80 DirEntInv'!#REF!,IF(AK170=summaryref2!B17,summaryref2!U17,IF(Summary!AK170=summaryref2!B31,summaryref2!U31,IF(AK170=summaryref2!B45,summaryref2!U45,IF(AK170=summaryref2!B59,summaryref2!U59,IF(AK170=summaryref2!B73,summaryref2!U73,IF(AK170=summaryref2!B87,summaryref2!U87,IF(AK170=summaryref2!B101,summaryref2!U101,IF(AK170=summaryref2!B115,summaryref2!U115,IF(AK170=summaryref2!B129,summaryref2!U129,IF(AK170=summaryref2!B143,summaryref2!U143,"")))))))))))</f>
        <v>#REF!</v>
      </c>
      <c r="BF170" s="1432"/>
      <c r="BG170" s="1432"/>
      <c r="BU170" s="962"/>
      <c r="CD170" s="589"/>
      <c r="CE170" s="590"/>
      <c r="CF170" s="590"/>
      <c r="CG170" s="590"/>
      <c r="CH170" s="590"/>
      <c r="CI170" s="590"/>
      <c r="CJ170" s="589"/>
      <c r="CK170" s="589"/>
      <c r="CL170" s="589"/>
      <c r="CM170" s="587"/>
      <c r="CN170" s="587"/>
      <c r="CO170" s="589"/>
      <c r="CP170" s="587"/>
      <c r="CQ170" s="592"/>
      <c r="CR170" s="589"/>
      <c r="CS170" s="592"/>
      <c r="CT170" s="589"/>
      <c r="CU170" s="589"/>
      <c r="CV170" s="589"/>
      <c r="CW170" s="587"/>
      <c r="CX170" s="590"/>
      <c r="CY170" s="590"/>
      <c r="CZ170" s="590"/>
      <c r="DA170" s="1054"/>
      <c r="DB170" s="1054"/>
      <c r="DC170" s="587"/>
      <c r="DD170" s="587"/>
    </row>
    <row r="171" spans="1:108" s="588" customFormat="1" x14ac:dyDescent="0.2">
      <c r="A171" s="589">
        <f t="shared" si="2"/>
        <v>161</v>
      </c>
      <c r="B171" s="587"/>
      <c r="C171" s="587"/>
      <c r="D171" s="587"/>
      <c r="J171" s="589"/>
      <c r="K171" s="590"/>
      <c r="L171" s="591"/>
      <c r="M171" s="592"/>
      <c r="N171" s="589"/>
      <c r="O171" s="587"/>
      <c r="R171" s="1052"/>
      <c r="S171" s="1052"/>
      <c r="T171" s="1052"/>
      <c r="U171" s="1052"/>
      <c r="V171" s="1052"/>
      <c r="W171" s="1053"/>
      <c r="X171" s="1053"/>
      <c r="Y171" s="1053"/>
      <c r="Z171" s="1052"/>
      <c r="AA171" s="1052"/>
      <c r="AB171" s="962"/>
      <c r="AC171" s="590"/>
      <c r="AD171" s="590"/>
      <c r="AE171" s="591"/>
      <c r="AF171" s="592"/>
      <c r="AG171" s="1053"/>
      <c r="AH171" s="587"/>
      <c r="AK171" s="1041" t="str">
        <f>Codes!$C$167</f>
        <v>MG - Monorail/Automated Guideway (DO)</v>
      </c>
      <c r="AL171" s="1042" t="str">
        <f>Valid!$B$77</f>
        <v>Below-Grade/Cut-and-Cover Tunnel</v>
      </c>
      <c r="AM171" s="1108" t="e">
        <f>IF('A-80 DirEntInv'!#REF!&lt;&gt;"",'A-80 DirEntInv'!#REF!,IF(AK171=summaryref2!B18,summaryref2!D18,IF(Summary!AK171=summaryref2!B32,summaryref2!D32,IF(AK171=summaryref2!B46,summaryref2!D46,IF(AK171=summaryref2!B60,summaryref2!D60,IF(AK171=summaryref2!B74,summaryref2!D74,IF(AK171=summaryref2!B88,summaryref2!D88,IF(AK171=summaryref2!B102,summaryref2!D102,IF(AK171=summaryref2!B116,summaryref2!D116,IF(AK171=summaryref2!B130,summaryref2!D130,IF(AK171=summaryref2!B144,summaryref2!D144,"")))))))))))</f>
        <v>#REF!</v>
      </c>
      <c r="AN171" s="1109" t="e">
        <f ca="1">IF('A-80 DirEntInv'!#REF!&lt;&gt;"",'A-80 DirEntInv'!#REF!,IF(INDIRECT(ADDRESS(SumRef!CG370,SumRef!CG$16,,,SumRef!$C$7))="","",INDIRECT(ADDRESS(SumRef!CG370,SumRef!CG$16,,,SumRef!$C$7))))</f>
        <v>#REF!</v>
      </c>
      <c r="AO171" s="1108" t="e">
        <f>IF('A-80 DirEntInv'!#REF!&lt;&gt;"",'A-80 DirEntInv'!#REF!,IF(AK171=summaryref2!B18,summaryref2!F18,IF(Summary!AK171=summaryref2!B32,summaryref2!F32,IF(AK171=summaryref2!B46,summaryref2!F46,IF(AK171=summaryref2!B60,summaryref2!F60,IF(AK171=summaryref2!B74,summaryref2!F74,IF(AK171=summaryref2!B88,summaryref2!F88,IF(AK171=summaryref2!B102,summaryref2!F102,IF(AK171=summaryref2!B116,summaryref2!F116,IF(AK171=summaryref2!B130,summaryref2!F130,IF(AK171=summaryref2!B144,summaryref2!F144,"")))))))))))</f>
        <v>#REF!</v>
      </c>
      <c r="AP171" s="1109" t="e">
        <f ca="1">IF('A-80 DirEntInv'!#REF!&lt;&gt;"",'A-80 DirEntInv'!#REF!,IF(INDIRECT(ADDRESS(SumRef!#REF!,SumRef!#REF!,,,SumRef!$C$7))="","",INDIRECT(ADDRESS(SumRef!#REF!,SumRef!#REF!,,,SumRef!$C$7))))</f>
        <v>#REF!</v>
      </c>
      <c r="AQ171" s="1147" t="e">
        <f>IF('A-80 DirEntInv'!#REF!&lt;&gt;"",'A-80 DirEntInv'!#REF!,IF(AK171=summaryref2!B18,summaryref2!G18,IF(Summary!AK171=summaryref2!B32,summaryref2!G32,IF(AK171=summaryref2!B46,summaryref2!G46,IF(AK171=summaryref2!B60,summaryref2!G60,IF(AK171=summaryref2!B74,summaryref2!G74,IF(AK171=summaryref2!B88,summaryref2!G88,IF(AK171=summaryref2!B102,summaryref2!G102,IF(AK171=summaryref2!B116,summaryref2!G116,IF(AK171=summaryref2!B130,summaryref2!G130,IF(AK171=summaryref2!B144,summaryref2!G144,"")))))))))))</f>
        <v>#REF!</v>
      </c>
      <c r="AR171" s="1147" t="e">
        <f>IF('A-80 DirEntInv'!#REF!&lt;&gt;"",'A-80 DirEntInv'!#REF!,IF(AK171=summaryref2!B18,summaryref2!H18,IF(Summary!AK171=summaryref2!B32,summaryref2!H32,IF(AK171=summaryref2!B46,summaryref2!H46,IF(AK171=summaryref2!B60,summaryref2!H60,IF(AK171=summaryref2!B74,summaryref2!H74,IF(AK171=summaryref2!B88,summaryref2!H88,IF(AK171=summaryref2!B102,summaryref2!H102,IF(AK171=summaryref2!B116,summaryref2!H116,IF(AK171=summaryref2!B130,summaryref2!H130,IF(AK171=summaryref2!B144,summaryref2!H144,"")))))))))))</f>
        <v>#REF!</v>
      </c>
      <c r="AS171" s="1110" t="e">
        <f>IF('A-80 DirEntInv'!#REF!&lt;&gt;"",'A-80 DirEntInv'!#REF!,IF(AK171=summaryref2!B18,summaryref2!I18,IF(Summary!AK171=summaryref2!B32,summaryref2!I32,IF(AK171=summaryref2!B46,summaryref2!I46,IF(AK171=summaryref2!B60,summaryref2!I60,IF(AK171=summaryref2!B74,summaryref2!I74,IF(AK171=summaryref2!B88,summaryref2!I88,IF(AK171=summaryref2!B102,summaryref2!I102,IF(AK171=summaryref2!B116,summaryref2!I116,IF(AK171=summaryref2!B130,summaryref2!I130,IF(AK171=summaryref2!B144,summaryref2!I144,"")))))))))))</f>
        <v>#REF!</v>
      </c>
      <c r="AT171" s="1110" t="e">
        <f>IF('A-80 DirEntInv'!#REF!&lt;&gt;"",'A-80 DirEntInv'!#REF!,IF(AK171=summaryref2!B18,summaryref2!J18,IF(Summary!AK171=summaryref2!B32,summaryref2!J32,IF(AK171=summaryref2!B46,summaryref2!J46,IF(AK171=summaryref2!B60,summaryref2!J60,IF(AK171=summaryref2!B74,summaryref2!J74,IF(AK171=summaryref2!B88,summaryref2!J88,IF(AK171=summaryref2!B102,summaryref2!J102,IF(AK171=summaryref2!B116,summaryref2!J116,IF(AK171=summaryref2!B130,summaryref2!J130,IF(AK171=summaryref2!B144,summaryref2!J144,"")))))))))))</f>
        <v>#REF!</v>
      </c>
      <c r="AU171" s="1110" t="e">
        <f>IF('A-80 DirEntInv'!#REF!&lt;&gt;"",'A-80 DirEntInv'!#REF!,IF(AK171=summaryref2!B18,summaryref2!K18,IF(Summary!AK171=summaryref2!B32,summaryref2!K32,IF(AK171=summaryref2!B46,summaryref2!K46,IF(AK171=summaryref2!B60,summaryref2!K60,IF(AK171=summaryref2!B74,summaryref2!K74,IF(AK171=summaryref2!B88,summaryref2!K88,IF(AK171=summaryref2!B102,summaryref2!K102,IF(AK171=summaryref2!B116,summaryref2!K116,IF(AK171=summaryref2!B130,summaryref2!K130,IF(AK171=summaryref2!B144,summaryref2!K144,"")))))))))))</f>
        <v>#REF!</v>
      </c>
      <c r="AV171" s="1110" t="e">
        <f>IF('A-80 DirEntInv'!#REF!&lt;&gt;"",'A-80 DirEntInv'!#REF!,IF(AK171=summaryref2!B18,summaryref2!L18,IF(Summary!AK171=summaryref2!B32,summaryref2!L32,IF(AK171=summaryref2!B46,summaryref2!L46,IF(AK171=summaryref2!B60,summaryref2!L60,IF(AK171=summaryref2!B74,summaryref2!L74,IF(AK171=summaryref2!B88,summaryref2!L88,IF(AK171=summaryref2!B102,summaryref2!L102,IF(AK171=summaryref2!B116,summaryref2!L116,IF(AK171=summaryref2!B130,summaryref2!L130,IF(AK171=summaryref2!B144,summaryref2!L144,"")))))))))))</f>
        <v>#REF!</v>
      </c>
      <c r="AW171" s="1110" t="e">
        <f>IF('A-80 DirEntInv'!#REF!&lt;&gt;"",'A-80 DirEntInv'!#REF!,IF(AK171=summaryref2!B18,summaryref2!M18,IF(Summary!AK171=summaryref2!B32,summaryref2!M32,IF(AK171=summaryref2!B46,summaryref2!M46,IF(AK171=summaryref2!B60,summaryref2!M60,IF(AK171=summaryref2!B74,summaryref2!M74,IF(AK171=summaryref2!B88,summaryref2!M88,IF(AK171=summaryref2!B102,summaryref2!M102,IF(AK171=summaryref2!B116,summaryref2!M116,IF(AK171=summaryref2!B130,summaryref2!M130,IF(AK171=summaryref2!B144,summaryref2!M144,"")))))))))))</f>
        <v>#REF!</v>
      </c>
      <c r="AX171" s="1110" t="e">
        <f>IF('A-80 DirEntInv'!#REF!&lt;&gt;"",'A-80 DirEntInv'!#REF!,IF(AK171=summaryref2!B18,summaryref2!N18,IF(Summary!AK171=summaryref2!B32,summaryref2!N32,IF(AK171=summaryref2!B46,summaryref2!N46,IF(AK171=summaryref2!B60,summaryref2!N60,IF(AK171=summaryref2!B74,summaryref2!N74,IF(AK171=summaryref2!B88,summaryref2!N88,IF(AK171=summaryref2!B102,summaryref2!N102,IF(AK171=summaryref2!B116,summaryref2!N116,IF(AK171=summaryref2!B130,summaryref2!N130,IF(AK171=summaryref2!B144,summaryref2!N144,"")))))))))))</f>
        <v>#REF!</v>
      </c>
      <c r="AY171" s="1110" t="e">
        <f>IF('A-80 DirEntInv'!#REF!&lt;&gt;"",'A-80 DirEntInv'!#REF!,IF(AK171=summaryref2!B18,summaryref2!O18,IF(Summary!AK171=summaryref2!B32,summaryref2!O32,IF(AK171=summaryref2!B46,summaryref2!O46,IF(AK171=summaryref2!B60,summaryref2!O60,IF(AK171=summaryref2!B74,summaryref2!O74,IF(AK171=summaryref2!B88,summaryref2!O88,IF(AK171=summaryref2!B102,summaryref2!O102,IF(AK171=summaryref2!B116,summaryref2!O116,IF(AK171=summaryref2!B130,summaryref2!O130,IF(AK171=summaryref2!B144,summaryref2!O144,"")))))))))))</f>
        <v>#REF!</v>
      </c>
      <c r="AZ171" s="1110" t="e">
        <f>IF('A-80 DirEntInv'!#REF!&lt;&gt;"",'A-80 DirEntInv'!#REF!,IF(AK171=summaryref2!B18,summaryref2!P18,IF(Summary!AK171=summaryref2!B32,summaryref2!P32,IF(AK171=summaryref2!B46,summaryref2!P46,IF(AK171=summaryref2!B60,summaryref2!P60,IF(AK171=summaryref2!B74,summaryref2!P74,IF(AK171=summaryref2!B88,summaryref2!P88,IF(AK171=summaryref2!B102,summaryref2!P102,IF(AK171=summaryref2!B116,summaryref2!P116,IF(AK171=summaryref2!B130,summaryref2!P130,IF(AK171=summaryref2!B144,summaryref2!P144,"")))))))))))</f>
        <v>#REF!</v>
      </c>
      <c r="BA171" s="1110" t="e">
        <f>IF('A-80 DirEntInv'!#REF!&lt;&gt;"",'A-80 DirEntInv'!#REF!,IF(AK171=summaryref2!B18,summaryref2!Q18,IF(Summary!AK171=summaryref2!B32,summaryref2!Q32,IF(AK171=summaryref2!B46,summaryref2!Q46,IF(AK171=summaryref2!B60,summaryref2!Q60,IF(AK171=summaryref2!B74,summaryref2!Q74,IF(AK171=summaryref2!B88,summaryref2!Q88,IF(AK171=summaryref2!B102,summaryref2!Q102,IF(AK171=summaryref2!B116,summaryref2!Q116,IF(AK171=summaryref2!B130,summaryref2!Q130,IF(AK171=summaryref2!B144,summaryref2!Q144,"")))))))))))</f>
        <v>#REF!</v>
      </c>
      <c r="BB171" s="1110" t="e">
        <f>IF('A-80 DirEntInv'!#REF!&lt;&gt;"",'A-80 DirEntInv'!#REF!,IF(AK171=summaryref2!B18,summaryref2!R18,IF(Summary!AK171=summaryref2!B32,summaryref2!R32,IF(AK171=summaryref2!B46,summaryref2!R46,IF(AK171=summaryref2!B60,summaryref2!R60,IF(AK171=summaryref2!B74,summaryref2!R74,IF(AK171=summaryref2!B88,summaryref2!R88,IF(AK171=summaryref2!B102,summaryref2!R102,IF(AK171=summaryref2!B116,summaryref2!R116,IF(AK171=summaryref2!B130,summaryref2!R130,IF(AK171=summaryref2!B144,summaryref2!R144,"")))))))))))</f>
        <v>#REF!</v>
      </c>
      <c r="BC171" s="1110" t="e">
        <f>IF('A-80 DirEntInv'!#REF!&lt;&gt;0,'A-80 DirEntInv'!#REF!,IF(AK171=summaryref2!B18,summaryref2!S18,IF(Summary!AK171=summaryref2!B32,summaryref2!S32,IF(AK171=summaryref2!B46,summaryref2!S46,IF(AK171=summaryref2!B60,summaryref2!S60,IF(AK171=summaryref2!B74,summaryref2!S74,IF(AK171=summaryref2!B88,summaryref2!S88,IF(AK171=summaryref2!B102,summaryref2!S102,IF(AK171=summaryref2!B116,summaryref2!S116,IF(AK171=summaryref2!B130,summaryref2!S130,IF(AK171=summaryref2!B144,summaryref2!S144,"")))))))))))</f>
        <v>#REF!</v>
      </c>
      <c r="BD171" s="1111" t="e">
        <f>IF('A-80 DirEntInv'!#REF!&lt;&gt;"",'A-80 DirEntInv'!#REF!,IF(AK171=summaryref2!B18,summaryref2!T18,IF(Summary!AK171=summaryref2!B32,summaryref2!T32,IF(AK171=summaryref2!B46,summaryref2!T46,IF(AK171=summaryref2!B60,summaryref2!T60,IF(AK171=summaryref2!B74,summaryref2!T74,IF(AK171=summaryref2!B88,summaryref2!T88,IF(AK171=summaryref2!B102,summaryref2!T102,IF(AK171=summaryref2!B116,summaryref2!T116,IF(AK171=summaryref2!B130,summaryref2!T130,IF(AK171=summaryref2!B144,summaryref2!T144,"")))))))))))</f>
        <v>#REF!</v>
      </c>
      <c r="BE171" s="1184" t="e">
        <f>IF('A-80 DirEntInv'!#REF!&lt;&gt;"",'A-80 DirEntInv'!#REF!,IF(AK171=summaryref2!B18,summaryref2!U18,IF(Summary!AK171=summaryref2!B32,summaryref2!U32,IF(AK171=summaryref2!B46,summaryref2!U46,IF(AK171=summaryref2!B60,summaryref2!U60,IF(AK171=summaryref2!B74,summaryref2!U74,IF(AK171=summaryref2!B88,summaryref2!U88,IF(AK171=summaryref2!B102,summaryref2!U102,IF(AK171=summaryref2!B116,summaryref2!U116,IF(AK171=summaryref2!B130,summaryref2!U130,IF(AK171=summaryref2!B144,summaryref2!U144,"")))))))))))</f>
        <v>#REF!</v>
      </c>
      <c r="BF171" s="1432"/>
      <c r="BG171" s="1432"/>
      <c r="BU171" s="962"/>
      <c r="CD171" s="589"/>
      <c r="CE171" s="590"/>
      <c r="CF171" s="590"/>
      <c r="CG171" s="590"/>
      <c r="CH171" s="590"/>
      <c r="CI171" s="590"/>
      <c r="CJ171" s="589"/>
      <c r="CK171" s="589"/>
      <c r="CL171" s="589"/>
      <c r="CM171" s="587"/>
      <c r="CN171" s="587"/>
      <c r="CO171" s="589"/>
      <c r="CP171" s="587"/>
      <c r="CQ171" s="592"/>
      <c r="CR171" s="589"/>
      <c r="CS171" s="592"/>
      <c r="CT171" s="589"/>
      <c r="CU171" s="589"/>
      <c r="CV171" s="589"/>
      <c r="CW171" s="587"/>
      <c r="CX171" s="590"/>
      <c r="CY171" s="590"/>
      <c r="CZ171" s="590"/>
      <c r="DA171" s="1054"/>
      <c r="DB171" s="1054"/>
      <c r="DC171" s="587"/>
      <c r="DD171" s="587"/>
    </row>
    <row r="172" spans="1:108" s="588" customFormat="1" x14ac:dyDescent="0.2">
      <c r="A172" s="589">
        <f t="shared" si="2"/>
        <v>162</v>
      </c>
      <c r="B172" s="587"/>
      <c r="C172" s="587"/>
      <c r="D172" s="587"/>
      <c r="J172" s="589"/>
      <c r="K172" s="590"/>
      <c r="L172" s="591"/>
      <c r="M172" s="592"/>
      <c r="N172" s="589"/>
      <c r="O172" s="587"/>
      <c r="R172" s="1052"/>
      <c r="S172" s="1052"/>
      <c r="T172" s="1052"/>
      <c r="U172" s="1052"/>
      <c r="V172" s="1052"/>
      <c r="W172" s="1053"/>
      <c r="X172" s="1053"/>
      <c r="Y172" s="1053"/>
      <c r="Z172" s="1052"/>
      <c r="AA172" s="1052"/>
      <c r="AB172" s="962"/>
      <c r="AC172" s="590"/>
      <c r="AD172" s="590"/>
      <c r="AE172" s="591"/>
      <c r="AF172" s="592"/>
      <c r="AG172" s="1053"/>
      <c r="AH172" s="587"/>
      <c r="AK172" s="1041" t="str">
        <f>Codes!$C$167</f>
        <v>MG - Monorail/Automated Guideway (DO)</v>
      </c>
      <c r="AL172" s="1042" t="str">
        <f>Valid!$B$78</f>
        <v>Below-Grade/Bored or Blasted Tunnel</v>
      </c>
      <c r="AM172" s="1108" t="e">
        <f>IF('A-80 DirEntInv'!#REF!&lt;&gt;"",'A-80 DirEntInv'!#REF!,IF(AK172=summaryref2!B19,summaryref2!D19,IF(Summary!AK172=summaryref2!B33,summaryref2!D33,IF(AK172=summaryref2!B47,summaryref2!D47,IF(AK172=summaryref2!B61,summaryref2!D61,IF(AK172=summaryref2!B75,summaryref2!D75,IF(AK172=summaryref2!B89,summaryref2!D89,IF(AK172=summaryref2!B103,summaryref2!D103,IF(AK172=summaryref2!B117,summaryref2!D117,IF(AK172=summaryref2!B131,summaryref2!D131,IF(AK172=summaryref2!B145,summaryref2!D145,"")))))))))))</f>
        <v>#REF!</v>
      </c>
      <c r="AN172" s="1109" t="e">
        <f ca="1">IF('A-80 DirEntInv'!#REF!&lt;&gt;"",'A-80 DirEntInv'!#REF!,IF(INDIRECT(ADDRESS(SumRef!CG371,SumRef!CG$16,,,SumRef!$C$7))="","",INDIRECT(ADDRESS(SumRef!CG371,SumRef!CG$16,,,SumRef!$C$7))))</f>
        <v>#REF!</v>
      </c>
      <c r="AO172" s="1108" t="e">
        <f>IF('A-80 DirEntInv'!#REF!&lt;&gt;"",'A-80 DirEntInv'!#REF!,IF(AK172=summaryref2!B19,summaryref2!F19,IF(Summary!AK172=summaryref2!B33,summaryref2!F33,IF(AK172=summaryref2!B47,summaryref2!F47,IF(AK172=summaryref2!B61,summaryref2!F61,IF(AK172=summaryref2!B75,summaryref2!F75,IF(AK172=summaryref2!B89,summaryref2!F89,IF(AK172=summaryref2!B103,summaryref2!F103,IF(AK172=summaryref2!B117,summaryref2!F117,IF(AK172=summaryref2!B131,summaryref2!F131,IF(AK172=summaryref2!B145,summaryref2!F145,"")))))))))))</f>
        <v>#REF!</v>
      </c>
      <c r="AP172" s="1109" t="e">
        <f ca="1">IF('A-80 DirEntInv'!#REF!&lt;&gt;"",'A-80 DirEntInv'!#REF!,IF(INDIRECT(ADDRESS(SumRef!#REF!,SumRef!#REF!,,,SumRef!$C$7))="","",INDIRECT(ADDRESS(SumRef!#REF!,SumRef!#REF!,,,SumRef!$C$7))))</f>
        <v>#REF!</v>
      </c>
      <c r="AQ172" s="1147" t="e">
        <f>IF('A-80 DirEntInv'!#REF!&lt;&gt;"",'A-80 DirEntInv'!#REF!,IF(AK172=summaryref2!B19,summaryref2!G19,IF(Summary!AK172=summaryref2!B33,summaryref2!G33,IF(AK172=summaryref2!B47,summaryref2!G47,IF(AK172=summaryref2!B61,summaryref2!G61,IF(AK172=summaryref2!B75,summaryref2!G75,IF(AK172=summaryref2!B89,summaryref2!G89,IF(AK172=summaryref2!B103,summaryref2!G103,IF(AK172=summaryref2!B117,summaryref2!G117,IF(AK172=summaryref2!B131,summaryref2!G131,IF(AK172=summaryref2!B145,summaryref2!G145,"")))))))))))</f>
        <v>#REF!</v>
      </c>
      <c r="AR172" s="1147" t="e">
        <f>IF('A-80 DirEntInv'!#REF!&lt;&gt;"",'A-80 DirEntInv'!#REF!,IF(AK172=summaryref2!B19,summaryref2!H19,IF(Summary!AK172=summaryref2!B33,summaryref2!H33,IF(AK172=summaryref2!B47,summaryref2!H47,IF(AK172=summaryref2!B61,summaryref2!H61,IF(AK172=summaryref2!B75,summaryref2!H75,IF(AK172=summaryref2!B89,summaryref2!H89,IF(AK172=summaryref2!B103,summaryref2!H103,IF(AK172=summaryref2!B117,summaryref2!H117,IF(AK172=summaryref2!B131,summaryref2!H131,IF(AK172=summaryref2!B145,summaryref2!H145,"")))))))))))</f>
        <v>#REF!</v>
      </c>
      <c r="AS172" s="1110" t="e">
        <f>IF('A-80 DirEntInv'!#REF!&lt;&gt;"",'A-80 DirEntInv'!#REF!,IF(AK172=summaryref2!B19,summaryref2!I19,IF(Summary!AK172=summaryref2!B33,summaryref2!I33,IF(AK172=summaryref2!B47,summaryref2!I47,IF(AK172=summaryref2!B61,summaryref2!I61,IF(AK172=summaryref2!B75,summaryref2!I75,IF(AK172=summaryref2!B89,summaryref2!I89,IF(AK172=summaryref2!B103,summaryref2!I103,IF(AK172=summaryref2!B117,summaryref2!I117,IF(AK172=summaryref2!B131,summaryref2!I131,IF(AK172=summaryref2!B145,summaryref2!I145,"")))))))))))</f>
        <v>#REF!</v>
      </c>
      <c r="AT172" s="1110" t="e">
        <f>IF('A-80 DirEntInv'!#REF!&lt;&gt;"",'A-80 DirEntInv'!#REF!,IF(AK172=summaryref2!B19,summaryref2!J19,IF(Summary!AK172=summaryref2!B33,summaryref2!J33,IF(AK172=summaryref2!B47,summaryref2!J47,IF(AK172=summaryref2!B61,summaryref2!J61,IF(AK172=summaryref2!B75,summaryref2!J75,IF(AK172=summaryref2!B89,summaryref2!J89,IF(AK172=summaryref2!B103,summaryref2!J103,IF(AK172=summaryref2!B117,summaryref2!J117,IF(AK172=summaryref2!B131,summaryref2!J131,IF(AK172=summaryref2!B145,summaryref2!J145,"")))))))))))</f>
        <v>#REF!</v>
      </c>
      <c r="AU172" s="1110" t="e">
        <f>IF('A-80 DirEntInv'!#REF!&lt;&gt;"",'A-80 DirEntInv'!#REF!,IF(AK172=summaryref2!B19,summaryref2!K19,IF(Summary!AK172=summaryref2!B33,summaryref2!K33,IF(AK172=summaryref2!B47,summaryref2!K47,IF(AK172=summaryref2!B61,summaryref2!K61,IF(AK172=summaryref2!B75,summaryref2!K75,IF(AK172=summaryref2!B89,summaryref2!K89,IF(AK172=summaryref2!B103,summaryref2!K103,IF(AK172=summaryref2!B117,summaryref2!K117,IF(AK172=summaryref2!B131,summaryref2!K131,IF(AK172=summaryref2!B145,summaryref2!K145,"")))))))))))</f>
        <v>#REF!</v>
      </c>
      <c r="AV172" s="1110" t="e">
        <f>IF('A-80 DirEntInv'!#REF!&lt;&gt;"",'A-80 DirEntInv'!#REF!,IF(AK172=summaryref2!B19,summaryref2!L19,IF(Summary!AK172=summaryref2!B33,summaryref2!L33,IF(AK172=summaryref2!B47,summaryref2!L47,IF(AK172=summaryref2!B61,summaryref2!L61,IF(AK172=summaryref2!B75,summaryref2!L75,IF(AK172=summaryref2!B89,summaryref2!L89,IF(AK172=summaryref2!B103,summaryref2!L103,IF(AK172=summaryref2!B117,summaryref2!L117,IF(AK172=summaryref2!B131,summaryref2!L131,IF(AK172=summaryref2!B145,summaryref2!L145,"")))))))))))</f>
        <v>#REF!</v>
      </c>
      <c r="AW172" s="1110" t="e">
        <f>IF('A-80 DirEntInv'!#REF!&lt;&gt;"",'A-80 DirEntInv'!#REF!,IF(AK172=summaryref2!B19,summaryref2!M19,IF(Summary!AK172=summaryref2!B33,summaryref2!M33,IF(AK172=summaryref2!B47,summaryref2!M47,IF(AK172=summaryref2!B61,summaryref2!M61,IF(AK172=summaryref2!B75,summaryref2!M75,IF(AK172=summaryref2!B89,summaryref2!M89,IF(AK172=summaryref2!B103,summaryref2!M103,IF(AK172=summaryref2!B117,summaryref2!M117,IF(AK172=summaryref2!B131,summaryref2!M131,IF(AK172=summaryref2!B145,summaryref2!M145,"")))))))))))</f>
        <v>#REF!</v>
      </c>
      <c r="AX172" s="1110" t="e">
        <f>IF('A-80 DirEntInv'!#REF!&lt;&gt;"",'A-80 DirEntInv'!#REF!,IF(AK172=summaryref2!B19,summaryref2!N19,IF(Summary!AK172=summaryref2!B33,summaryref2!N33,IF(AK172=summaryref2!B47,summaryref2!N47,IF(AK172=summaryref2!B61,summaryref2!N61,IF(AK172=summaryref2!B75,summaryref2!N75,IF(AK172=summaryref2!B89,summaryref2!N89,IF(AK172=summaryref2!B103,summaryref2!N103,IF(AK172=summaryref2!B117,summaryref2!N117,IF(AK172=summaryref2!B131,summaryref2!N131,IF(AK172=summaryref2!B145,summaryref2!N145,"")))))))))))</f>
        <v>#REF!</v>
      </c>
      <c r="AY172" s="1110" t="e">
        <f>IF('A-80 DirEntInv'!#REF!&lt;&gt;"",'A-80 DirEntInv'!#REF!,IF(AK172=summaryref2!B19,summaryref2!O19,IF(Summary!AK172=summaryref2!B33,summaryref2!O33,IF(AK172=summaryref2!B47,summaryref2!O47,IF(AK172=summaryref2!B61,summaryref2!O61,IF(AK172=summaryref2!B75,summaryref2!O75,IF(AK172=summaryref2!B89,summaryref2!O89,IF(AK172=summaryref2!B103,summaryref2!O103,IF(AK172=summaryref2!B117,summaryref2!O117,IF(AK172=summaryref2!B131,summaryref2!O131,IF(AK172=summaryref2!B145,summaryref2!O145,"")))))))))))</f>
        <v>#REF!</v>
      </c>
      <c r="AZ172" s="1110" t="e">
        <f>IF('A-80 DirEntInv'!#REF!&lt;&gt;"",'A-80 DirEntInv'!#REF!,IF(AK172=summaryref2!B19,summaryref2!P19,IF(Summary!AK172=summaryref2!B33,summaryref2!P33,IF(AK172=summaryref2!B47,summaryref2!P47,IF(AK172=summaryref2!B61,summaryref2!P61,IF(AK172=summaryref2!B75,summaryref2!P75,IF(AK172=summaryref2!B89,summaryref2!P89,IF(AK172=summaryref2!B103,summaryref2!P103,IF(AK172=summaryref2!B117,summaryref2!P117,IF(AK172=summaryref2!B131,summaryref2!P131,IF(AK172=summaryref2!B145,summaryref2!P145,"")))))))))))</f>
        <v>#REF!</v>
      </c>
      <c r="BA172" s="1110" t="e">
        <f>IF('A-80 DirEntInv'!#REF!&lt;&gt;"",'A-80 DirEntInv'!#REF!,IF(AK172=summaryref2!B19,summaryref2!Q19,IF(Summary!AK172=summaryref2!B33,summaryref2!Q33,IF(AK172=summaryref2!B47,summaryref2!Q47,IF(AK172=summaryref2!B61,summaryref2!Q61,IF(AK172=summaryref2!B75,summaryref2!Q75,IF(AK172=summaryref2!B89,summaryref2!Q89,IF(AK172=summaryref2!B103,summaryref2!Q103,IF(AK172=summaryref2!B117,summaryref2!Q117,IF(AK172=summaryref2!B131,summaryref2!Q131,IF(AK172=summaryref2!B145,summaryref2!Q145,"")))))))))))</f>
        <v>#REF!</v>
      </c>
      <c r="BB172" s="1110" t="e">
        <f>IF('A-80 DirEntInv'!#REF!&lt;&gt;"",'A-80 DirEntInv'!#REF!,IF(AK172=summaryref2!B19,summaryref2!R19,IF(Summary!AK172=summaryref2!B33,summaryref2!R33,IF(AK172=summaryref2!B47,summaryref2!R47,IF(AK172=summaryref2!B61,summaryref2!R61,IF(AK172=summaryref2!B75,summaryref2!R75,IF(AK172=summaryref2!B89,summaryref2!R89,IF(AK172=summaryref2!B103,summaryref2!R103,IF(AK172=summaryref2!B117,summaryref2!R117,IF(AK172=summaryref2!B131,summaryref2!R131,IF(AK172=summaryref2!B145,summaryref2!R145,"")))))))))))</f>
        <v>#REF!</v>
      </c>
      <c r="BC172" s="1110" t="e">
        <f>IF('A-80 DirEntInv'!#REF!&lt;&gt;0,'A-80 DirEntInv'!#REF!,IF(AK172=summaryref2!B19,summaryref2!S19,IF(Summary!AK172=summaryref2!B33,summaryref2!S33,IF(AK172=summaryref2!B47,summaryref2!S47,IF(AK172=summaryref2!B61,summaryref2!S61,IF(AK172=summaryref2!B75,summaryref2!S75,IF(AK172=summaryref2!B89,summaryref2!S89,IF(AK172=summaryref2!B103,summaryref2!S103,IF(AK172=summaryref2!B117,summaryref2!S117,IF(AK172=summaryref2!B131,summaryref2!S131,IF(AK172=summaryref2!B145,summaryref2!S145,"")))))))))))</f>
        <v>#REF!</v>
      </c>
      <c r="BD172" s="1111" t="e">
        <f>IF('A-80 DirEntInv'!#REF!&lt;&gt;"",'A-80 DirEntInv'!#REF!,IF(AK172=summaryref2!B19,summaryref2!T19,IF(Summary!AK172=summaryref2!B33,summaryref2!T33,IF(AK172=summaryref2!B47,summaryref2!T47,IF(AK172=summaryref2!B61,summaryref2!T61,IF(AK172=summaryref2!B75,summaryref2!T75,IF(AK172=summaryref2!B89,summaryref2!T89,IF(AK172=summaryref2!B103,summaryref2!T103,IF(AK172=summaryref2!B117,summaryref2!T117,IF(AK172=summaryref2!B131,summaryref2!T131,IF(AK172=summaryref2!B145,summaryref2!T145,"")))))))))))</f>
        <v>#REF!</v>
      </c>
      <c r="BE172" s="1184" t="e">
        <f>IF('A-80 DirEntInv'!#REF!&lt;&gt;"",'A-80 DirEntInv'!#REF!,IF(AK172=summaryref2!B19,summaryref2!U19,IF(Summary!AK172=summaryref2!B33,summaryref2!U33,IF(AK172=summaryref2!B47,summaryref2!U47,IF(AK172=summaryref2!B61,summaryref2!U61,IF(AK172=summaryref2!B75,summaryref2!U75,IF(AK172=summaryref2!B89,summaryref2!U89,IF(AK172=summaryref2!B103,summaryref2!U103,IF(AK172=summaryref2!B117,summaryref2!U117,IF(AK172=summaryref2!B131,summaryref2!U131,IF(AK172=summaryref2!B145,summaryref2!U145,"")))))))))))</f>
        <v>#REF!</v>
      </c>
      <c r="BF172" s="1432"/>
      <c r="BG172" s="1432"/>
      <c r="BU172" s="962"/>
      <c r="CD172" s="589"/>
      <c r="CE172" s="590"/>
      <c r="CF172" s="590"/>
      <c r="CG172" s="590"/>
      <c r="CH172" s="590"/>
      <c r="CI172" s="590"/>
      <c r="CJ172" s="589"/>
      <c r="CK172" s="589"/>
      <c r="CL172" s="589"/>
      <c r="CM172" s="587"/>
      <c r="CN172" s="587"/>
      <c r="CO172" s="589"/>
      <c r="CP172" s="587"/>
      <c r="CQ172" s="592"/>
      <c r="CR172" s="589"/>
      <c r="CS172" s="592"/>
      <c r="CT172" s="589"/>
      <c r="CU172" s="589"/>
      <c r="CV172" s="589"/>
      <c r="CW172" s="587"/>
      <c r="CX172" s="590"/>
      <c r="CY172" s="590"/>
      <c r="CZ172" s="590"/>
      <c r="DA172" s="1054"/>
      <c r="DB172" s="1054"/>
      <c r="DC172" s="587"/>
      <c r="DD172" s="587"/>
    </row>
    <row r="173" spans="1:108" s="588" customFormat="1" ht="13.5" thickBot="1" x14ac:dyDescent="0.25">
      <c r="A173" s="589">
        <f t="shared" si="2"/>
        <v>163</v>
      </c>
      <c r="B173" s="587"/>
      <c r="C173" s="587"/>
      <c r="D173" s="587"/>
      <c r="J173" s="589"/>
      <c r="K173" s="590"/>
      <c r="L173" s="591"/>
      <c r="M173" s="592"/>
      <c r="N173" s="589"/>
      <c r="O173" s="587"/>
      <c r="R173" s="1052"/>
      <c r="S173" s="1052"/>
      <c r="T173" s="1052"/>
      <c r="U173" s="1052"/>
      <c r="V173" s="1052"/>
      <c r="W173" s="1053"/>
      <c r="X173" s="1053"/>
      <c r="Y173" s="1053"/>
      <c r="Z173" s="1052"/>
      <c r="AA173" s="1052"/>
      <c r="AB173" s="962"/>
      <c r="AC173" s="590"/>
      <c r="AD173" s="590"/>
      <c r="AE173" s="591"/>
      <c r="AF173" s="592"/>
      <c r="AG173" s="1053"/>
      <c r="AH173" s="587"/>
      <c r="AK173" s="1048" t="str">
        <f>Codes!$C$167</f>
        <v>MG - Monorail/Automated Guideway (DO)</v>
      </c>
      <c r="AL173" s="1049" t="str">
        <f>Valid!$B$79</f>
        <v>Below-Grade/Submerged Tube</v>
      </c>
      <c r="AM173" s="1119" t="e">
        <f>IF('A-80 DirEntInv'!#REF!&lt;&gt;"",'A-80 DirEntInv'!#REF!,IF(AK173=summaryref2!B20,summaryref2!D20,IF(Summary!AK173=summaryref2!B34,summaryref2!D34,IF(AK173=summaryref2!B48,summaryref2!D48,IF(AK173=summaryref2!B62,summaryref2!D62,IF(AK173=summaryref2!B76,summaryref2!D76,IF(AK173=summaryref2!B90,summaryref2!D90,IF(AK173=summaryref2!B104,summaryref2!D104,IF(AK173=summaryref2!B118,summaryref2!D118,IF(AK173=summaryref2!B132,summaryref2!D132,IF(AK173=summaryref2!B146,summaryref2!D146,"")))))))))))</f>
        <v>#REF!</v>
      </c>
      <c r="AN173" s="1120" t="e">
        <f ca="1">IF('A-80 DirEntInv'!#REF!&lt;&gt;"",'A-80 DirEntInv'!#REF!,IF(INDIRECT(ADDRESS(SumRef!CG372,SumRef!CG$16,,,SumRef!$C$7))="","",INDIRECT(ADDRESS(SumRef!CG372,SumRef!CG$16,,,SumRef!$C$7))))</f>
        <v>#REF!</v>
      </c>
      <c r="AO173" s="1119" t="e">
        <f>IF('A-80 DirEntInv'!#REF!&lt;&gt;"",'A-80 DirEntInv'!#REF!,IF(AK173=summaryref2!B20,summaryref2!F20,IF(Summary!AK173=summaryref2!B34,summaryref2!F34,IF(AK173=summaryref2!B48,summaryref2!F48,IF(AK173=summaryref2!B62,summaryref2!F62,IF(AK173=summaryref2!B76,summaryref2!F76,IF(AK173=summaryref2!B90,summaryref2!F90,IF(AK173=summaryref2!B104,summaryref2!F104,IF(AK173=summaryref2!B118,summaryref2!F118,IF(AK173=summaryref2!B132,summaryref2!F132,IF(AK173=summaryref2!B146,summaryref2!F146,"")))))))))))</f>
        <v>#REF!</v>
      </c>
      <c r="AP173" s="1120" t="e">
        <f ca="1">IF('A-80 DirEntInv'!#REF!&lt;&gt;"",'A-80 DirEntInv'!#REF!,IF(INDIRECT(ADDRESS(SumRef!#REF!,SumRef!#REF!,,,SumRef!$C$7))="","",INDIRECT(ADDRESS(SumRef!#REF!,SumRef!#REF!,,,SumRef!$C$7))))</f>
        <v>#REF!</v>
      </c>
      <c r="AQ173" s="1148" t="e">
        <f>IF('A-80 DirEntInv'!#REF!&lt;&gt;"",'A-80 DirEntInv'!#REF!,IF(AK173=summaryref2!B20,summaryref2!G20,IF(Summary!AK173=summaryref2!B34,summaryref2!G34,IF(AK173=summaryref2!B48,summaryref2!G48,IF(AK173=summaryref2!B62,summaryref2!G62,IF(AK173=summaryref2!B76,summaryref2!G76,IF(AK173=summaryref2!B90,summaryref2!G90,IF(AK173=summaryref2!B104,summaryref2!G104,IF(AK173=summaryref2!B118,summaryref2!G118,IF(AK173=summaryref2!B132,summaryref2!G132,IF(AK173=summaryref2!B146,summaryref2!G146,"")))))))))))</f>
        <v>#REF!</v>
      </c>
      <c r="AR173" s="1148" t="e">
        <f>IF('A-80 DirEntInv'!#REF!&lt;&gt;"",'A-80 DirEntInv'!#REF!,IF(AK173=summaryref2!B20,summaryref2!H20,IF(Summary!AK173=summaryref2!B34,summaryref2!H34,IF(AK173=summaryref2!B48,summaryref2!H48,IF(AK173=summaryref2!B62,summaryref2!H62,IF(AK173=summaryref2!B76,summaryref2!H76,IF(AK173=summaryref2!B90,summaryref2!H90,IF(AK173=summaryref2!B104,summaryref2!H104,IF(AK173=summaryref2!B118,summaryref2!H118,IF(AK173=summaryref2!B132,summaryref2!H132,IF(AK173=summaryref2!B146,summaryref2!H146,"")))))))))))</f>
        <v>#REF!</v>
      </c>
      <c r="AS173" s="1121" t="e">
        <f>IF('A-80 DirEntInv'!#REF!&lt;&gt;"",'A-80 DirEntInv'!#REF!,IF(AK173=summaryref2!B20,summaryref2!I20,IF(Summary!AK173=summaryref2!B34,summaryref2!I34,IF(AK173=summaryref2!B48,summaryref2!I48,IF(AK173=summaryref2!B62,summaryref2!I62,IF(AK173=summaryref2!B76,summaryref2!I76,IF(AK173=summaryref2!B90,summaryref2!I90,IF(AK173=summaryref2!B104,summaryref2!I104,IF(AK173=summaryref2!B118,summaryref2!I118,IF(AK173=summaryref2!B132,summaryref2!I132,IF(AK173=summaryref2!B146,summaryref2!I146,"")))))))))))</f>
        <v>#REF!</v>
      </c>
      <c r="AT173" s="1121" t="e">
        <f>IF('A-80 DirEntInv'!#REF!&lt;&gt;"",'A-80 DirEntInv'!#REF!,IF(AK173=summaryref2!B20,summaryref2!J20,IF(Summary!AK173=summaryref2!B34,summaryref2!J34,IF(AK173=summaryref2!B48,summaryref2!J48,IF(AK173=summaryref2!B62,summaryref2!J62,IF(AK173=summaryref2!B76,summaryref2!J76,IF(AK173=summaryref2!B90,summaryref2!J90,IF(AK173=summaryref2!B104,summaryref2!J104,IF(AK173=summaryref2!B118,summaryref2!J118,IF(AK173=summaryref2!B132,summaryref2!J132,IF(AK173=summaryref2!B146,summaryref2!J146,"")))))))))))</f>
        <v>#REF!</v>
      </c>
      <c r="AU173" s="1121" t="e">
        <f>IF('A-80 DirEntInv'!#REF!&lt;&gt;"",'A-80 DirEntInv'!#REF!,IF(AK173=summaryref2!B20,summaryref2!K20,IF(Summary!AK173=summaryref2!B34,summaryref2!K34,IF(AK173=summaryref2!B48,summaryref2!K48,IF(AK173=summaryref2!B62,summaryref2!K62,IF(AK173=summaryref2!B76,summaryref2!K76,IF(AK173=summaryref2!B90,summaryref2!K90,IF(AK173=summaryref2!B104,summaryref2!K104,IF(AK173=summaryref2!B118,summaryref2!K118,IF(AK173=summaryref2!B132,summaryref2!K132,IF(AK173=summaryref2!B146,summaryref2!K146,"")))))))))))</f>
        <v>#REF!</v>
      </c>
      <c r="AV173" s="1121" t="e">
        <f>IF('A-80 DirEntInv'!#REF!&lt;&gt;"",'A-80 DirEntInv'!#REF!,IF(AK173=summaryref2!B20,summaryref2!L20,IF(Summary!AK173=summaryref2!B34,summaryref2!L34,IF(AK173=summaryref2!B48,summaryref2!L48,IF(AK173=summaryref2!B62,summaryref2!L62,IF(AK173=summaryref2!B76,summaryref2!L76,IF(AK173=summaryref2!B90,summaryref2!L90,IF(AK173=summaryref2!B104,summaryref2!L104,IF(AK173=summaryref2!B118,summaryref2!L118,IF(AK173=summaryref2!B132,summaryref2!L132,IF(AK173=summaryref2!B146,summaryref2!L146,"")))))))))))</f>
        <v>#REF!</v>
      </c>
      <c r="AW173" s="1121" t="e">
        <f>IF('A-80 DirEntInv'!#REF!&lt;&gt;"",'A-80 DirEntInv'!#REF!,IF(AK173=summaryref2!B20,summaryref2!M20,IF(Summary!AK173=summaryref2!B34,summaryref2!M34,IF(AK173=summaryref2!B48,summaryref2!M48,IF(AK173=summaryref2!B62,summaryref2!M62,IF(AK173=summaryref2!B76,summaryref2!M76,IF(AK173=summaryref2!B90,summaryref2!M90,IF(AK173=summaryref2!B104,summaryref2!M104,IF(AK173=summaryref2!B118,summaryref2!M118,IF(AK173=summaryref2!B132,summaryref2!M132,IF(AK173=summaryref2!B146,summaryref2!M146,"")))))))))))</f>
        <v>#REF!</v>
      </c>
      <c r="AX173" s="1121" t="e">
        <f>IF('A-80 DirEntInv'!#REF!&lt;&gt;"",'A-80 DirEntInv'!#REF!,IF(AK173=summaryref2!B20,summaryref2!N20,IF(Summary!AK173=summaryref2!B34,summaryref2!N34,IF(AK173=summaryref2!B48,summaryref2!N48,IF(AK173=summaryref2!B62,summaryref2!N62,IF(AK173=summaryref2!B76,summaryref2!N76,IF(AK173=summaryref2!B90,summaryref2!N90,IF(AK173=summaryref2!B104,summaryref2!N104,IF(AK173=summaryref2!B118,summaryref2!N118,IF(AK173=summaryref2!B132,summaryref2!N132,IF(AK173=summaryref2!B146,summaryref2!N146,"")))))))))))</f>
        <v>#REF!</v>
      </c>
      <c r="AY173" s="1121" t="e">
        <f>IF('A-80 DirEntInv'!#REF!&lt;&gt;"",'A-80 DirEntInv'!#REF!,IF(AK173=summaryref2!B20,summaryref2!O20,IF(Summary!AK173=summaryref2!B34,summaryref2!O34,IF(AK173=summaryref2!B48,summaryref2!O48,IF(AK173=summaryref2!B62,summaryref2!O62,IF(AK173=summaryref2!B76,summaryref2!O76,IF(AK173=summaryref2!B90,summaryref2!O90,IF(AK173=summaryref2!B104,summaryref2!O104,IF(AK173=summaryref2!B118,summaryref2!O118,IF(AK173=summaryref2!B132,summaryref2!O132,IF(AK173=summaryref2!B146,summaryref2!O146,"")))))))))))</f>
        <v>#REF!</v>
      </c>
      <c r="AZ173" s="1121" t="e">
        <f>IF('A-80 DirEntInv'!#REF!&lt;&gt;"",'A-80 DirEntInv'!#REF!,IF(AK173=summaryref2!B20,summaryref2!P20,IF(Summary!AK173=summaryref2!B34,summaryref2!P34,IF(AK173=summaryref2!B48,summaryref2!P48,IF(AK173=summaryref2!B62,summaryref2!P62,IF(AK173=summaryref2!B76,summaryref2!P76,IF(AK173=summaryref2!B90,summaryref2!P90,IF(AK173=summaryref2!B104,summaryref2!P104,IF(AK173=summaryref2!B118,summaryref2!P118,IF(AK173=summaryref2!B132,summaryref2!P132,IF(AK173=summaryref2!B146,summaryref2!P146,"")))))))))))</f>
        <v>#REF!</v>
      </c>
      <c r="BA173" s="1121" t="e">
        <f>IF('A-80 DirEntInv'!#REF!&lt;&gt;"",'A-80 DirEntInv'!#REF!,IF(AK173=summaryref2!B20,summaryref2!Q20,IF(Summary!AK173=summaryref2!B34,summaryref2!Q34,IF(AK173=summaryref2!B48,summaryref2!Q48,IF(AK173=summaryref2!B62,summaryref2!Q62,IF(AK173=summaryref2!B76,summaryref2!Q76,IF(AK173=summaryref2!B90,summaryref2!Q90,IF(AK173=summaryref2!B104,summaryref2!Q104,IF(AK173=summaryref2!B118,summaryref2!Q118,IF(AK173=summaryref2!B132,summaryref2!Q132,IF(AK173=summaryref2!B146,summaryref2!Q146,"")))))))))))</f>
        <v>#REF!</v>
      </c>
      <c r="BB173" s="1121" t="e">
        <f>IF('A-80 DirEntInv'!#REF!&lt;&gt;"",'A-80 DirEntInv'!#REF!,IF(AK173=summaryref2!B20,summaryref2!R20,IF(Summary!AK173=summaryref2!B34,summaryref2!R34,IF(AK173=summaryref2!B48,summaryref2!R48,IF(AK173=summaryref2!B62,summaryref2!R62,IF(AK173=summaryref2!B76,summaryref2!R76,IF(AK173=summaryref2!B90,summaryref2!R90,IF(AK173=summaryref2!B104,summaryref2!R104,IF(AK173=summaryref2!B118,summaryref2!R118,IF(AK173=summaryref2!B132,summaryref2!R132,IF(AK173=summaryref2!B146,summaryref2!R146,"")))))))))))</f>
        <v>#REF!</v>
      </c>
      <c r="BC173" s="1121" t="e">
        <f>IF('A-80 DirEntInv'!#REF!&lt;&gt;0,'A-80 DirEntInv'!#REF!,IF(AK173=summaryref2!B20,summaryref2!S20,IF(Summary!AK173=summaryref2!B34,summaryref2!S34,IF(AK173=summaryref2!B48,summaryref2!S48,IF(AK173=summaryref2!B62,summaryref2!S62,IF(AK173=summaryref2!B76,summaryref2!S76,IF(AK173=summaryref2!B90,summaryref2!S90,IF(AK173=summaryref2!B104,summaryref2!S104,IF(AK173=summaryref2!B118,summaryref2!S118,IF(AK173=summaryref2!B132,summaryref2!S132,IF(AK173=summaryref2!B146,summaryref2!S146,"")))))))))))</f>
        <v>#REF!</v>
      </c>
      <c r="BD173" s="1122" t="e">
        <f>IF('A-80 DirEntInv'!#REF!&lt;&gt;"",'A-80 DirEntInv'!#REF!,IF(AK173=summaryref2!B20,summaryref2!T20,IF(Summary!AK173=summaryref2!B34,summaryref2!T34,IF(AK173=summaryref2!B48,summaryref2!T48,IF(AK173=summaryref2!B62,summaryref2!T62,IF(AK173=summaryref2!B76,summaryref2!T76,IF(AK173=summaryref2!B90,summaryref2!T90,IF(AK173=summaryref2!B104,summaryref2!T104,IF(AK173=summaryref2!B118,summaryref2!T118,IF(AK173=summaryref2!B132,summaryref2!T132,IF(AK173=summaryref2!B146,summaryref2!T146,"")))))))))))</f>
        <v>#REF!</v>
      </c>
      <c r="BE173" s="1190" t="e">
        <f>IF('A-80 DirEntInv'!#REF!&lt;&gt;"",'A-80 DirEntInv'!#REF!,IF(AK173=summaryref2!B20,summaryref2!U20,IF(Summary!AK173=summaryref2!B34,summaryref2!U34,IF(AK173=summaryref2!B48,summaryref2!U48,IF(AK173=summaryref2!B62,summaryref2!U62,IF(AK173=summaryref2!B76,summaryref2!U76,IF(AK173=summaryref2!B90,summaryref2!U90,IF(AK173=summaryref2!B104,summaryref2!U104,IF(AK173=summaryref2!B118,summaryref2!U118,IF(AK173=summaryref2!B132,summaryref2!U132,IF(AK173=summaryref2!B146,summaryref2!U146,"")))))))))))</f>
        <v>#REF!</v>
      </c>
      <c r="BF173" s="1432"/>
      <c r="BG173" s="1432"/>
      <c r="BU173" s="962"/>
      <c r="CD173" s="589"/>
      <c r="CE173" s="590"/>
      <c r="CF173" s="590"/>
      <c r="CG173" s="590"/>
      <c r="CH173" s="590"/>
      <c r="CI173" s="590"/>
      <c r="CJ173" s="589"/>
      <c r="CK173" s="589"/>
      <c r="CL173" s="589"/>
      <c r="CM173" s="587"/>
      <c r="CN173" s="587"/>
      <c r="CO173" s="589"/>
      <c r="CP173" s="587"/>
      <c r="CQ173" s="592"/>
      <c r="CR173" s="589"/>
      <c r="CS173" s="592"/>
      <c r="CT173" s="589"/>
      <c r="CU173" s="589"/>
      <c r="CV173" s="589"/>
      <c r="CW173" s="587"/>
      <c r="CX173" s="590"/>
      <c r="CY173" s="590"/>
      <c r="CZ173" s="590"/>
      <c r="DA173" s="1054"/>
      <c r="DB173" s="1054"/>
      <c r="DC173" s="587"/>
      <c r="DD173" s="587"/>
    </row>
    <row r="174" spans="1:108" s="588" customFormat="1" ht="13.5" thickTop="1" x14ac:dyDescent="0.2">
      <c r="A174" s="589">
        <f t="shared" si="2"/>
        <v>164</v>
      </c>
      <c r="B174" s="587"/>
      <c r="C174" s="587"/>
      <c r="D174" s="587"/>
      <c r="J174" s="589"/>
      <c r="K174" s="590"/>
      <c r="L174" s="591"/>
      <c r="M174" s="592"/>
      <c r="N174" s="589"/>
      <c r="O174" s="587"/>
      <c r="R174" s="1052"/>
      <c r="S174" s="1052"/>
      <c r="T174" s="1052"/>
      <c r="U174" s="1052"/>
      <c r="V174" s="1052"/>
      <c r="W174" s="1053"/>
      <c r="X174" s="1053"/>
      <c r="Y174" s="1053"/>
      <c r="Z174" s="1052"/>
      <c r="AA174" s="1052"/>
      <c r="AB174" s="962"/>
      <c r="AC174" s="590"/>
      <c r="AD174" s="590"/>
      <c r="AE174" s="591"/>
      <c r="AF174" s="592"/>
      <c r="AG174" s="1053"/>
      <c r="AH174" s="587"/>
      <c r="AK174" s="1181" t="str">
        <f>Codes!$C$167</f>
        <v>MG - Monorail/Automated Guideway (DO)</v>
      </c>
      <c r="AL174" s="1182" t="str">
        <f>Valid!$B$87</f>
        <v>Substation Building</v>
      </c>
      <c r="AM174" s="1123" t="e">
        <f>IF('A-80 DirEntInv'!#REF!&lt;&gt;"",'A-80 DirEntInv'!#REF!,IF(AK174=summaryref2!B21,summaryref2!D21,IF(Summary!AK174=summaryref2!B35,summaryref2!D35,IF(AK174=summaryref2!B49,summaryref2!D49,IF(AK174=summaryref2!B63,summaryref2!D63,IF(AK174=summaryref2!B77,summaryref2!D77,IF(AK174=summaryref2!B91,summaryref2!D91,IF(AK174=summaryref2!B105,summaryref2!D105,IF(AK174=summaryref2!B119,summaryref2!D119,IF(AK174=summaryref2!B133,summaryref2!D133,IF(AK174=summaryref2!B197,summaryref2!D147,"")))))))))))</f>
        <v>#REF!</v>
      </c>
      <c r="AN174" s="1124" t="s">
        <v>13</v>
      </c>
      <c r="AO174" s="1123"/>
      <c r="AP174" s="1124"/>
      <c r="AQ174" s="1149" t="e">
        <f>IF('A-80 DirEntInv'!#REF!&lt;&gt;"",'A-80 DirEntInv'!#REF!,IF(AK174=summaryref2!B21,summaryref2!G21,IF(Summary!AK174=summaryref2!B35,summaryref2!G35,IF(AK174=summaryref2!B49,summaryref2!G49,IF(AK174=summaryref2!B63,summaryref2!G63,IF(AK174=summaryref2!B77,summaryref2!G77,IF(AK174=summaryref2!B91,summaryref2!G91,IF(AK174=summaryref2!B105,summaryref2!G105,IF(AK174=summaryref2!B119,summaryref2!G119,IF(AK174=summaryref2!B133,summaryref2!G133,IF(AK174=summaryref2!B147,summaryref2!G147,"")))))))))))</f>
        <v>#REF!</v>
      </c>
      <c r="AR174" s="1149" t="e">
        <f>IF('A-80 DirEntInv'!#REF!&lt;&gt;"",'A-80 DirEntInv'!#REF!,IF(AK174=summaryref2!B21,summaryref2!H21,IF(Summary!AK174=summaryref2!B35,summaryref2!H35,IF(AK174=summaryref2!B49,summaryref2!H49,IF(AK174=summaryref2!B63,summaryref2!H63,IF(AK174=summaryref2!B77,summaryref2!H77,IF(AK174=summaryref2!B91,summaryref2!H91,IF(AK174=summaryref2!B105,summaryref2!H105,IF(AK174=summaryref2!B119,summaryref2!H119,IF(AK174=summaryref2!B133,summaryref2!H133,IF(AK174=summaryref2!B147,summaryref2!H147,"")))))))))))</f>
        <v>#REF!</v>
      </c>
      <c r="AS174" s="1125" t="e">
        <f>IF('A-80 DirEntInv'!#REF!&lt;&gt;"",'A-80 DirEntInv'!#REF!,IF(AK174=summaryref2!B21,summaryref2!I21,IF(Summary!AK174=summaryref2!B35,summaryref2!I35,IF(AK174=summaryref2!B49,summaryref2!I49,IF(AK174=summaryref2!B63,summaryref2!I63,IF(AK174=summaryref2!B77,summaryref2!I77,IF(AK174=summaryref2!B91,summaryref2!I91,IF(AK174=summaryref2!B105,summaryref2!I105,IF(AK174=summaryref2!B119,summaryref2!I119,IF(AK174=summaryref2!B133,summaryref2!I133,IF(AK174=summaryref2!B147,summaryref2!I147,"")))))))))))</f>
        <v>#REF!</v>
      </c>
      <c r="AT174" s="1125" t="e">
        <f>IF('A-80 DirEntInv'!#REF!&lt;&gt;"",'A-80 DirEntInv'!#REF!,IF(AK174=summaryref2!B21,summaryref2!J21,IF(Summary!AK174=summaryref2!B35,summaryref2!J35,IF(AK174=summaryref2!B49,summaryref2!J49,IF(AK174=summaryref2!B63,summaryref2!J63,IF(AK174=summaryref2!B77,summaryref2!J77,IF(AK174=summaryref2!B91,summaryref2!J91,IF(AK174=summaryref2!B105,summaryref2!J105,IF(AK174=summaryref2!B119,summaryref2!J119,IF(AK174=summaryref2!B133,summaryref2!J133,IF(AK174=summaryref2!B147,summaryref2!J147,"")))))))))))</f>
        <v>#REF!</v>
      </c>
      <c r="AU174" s="1125" t="e">
        <f>IF('A-80 DirEntInv'!#REF!&lt;&gt;"",'A-80 DirEntInv'!#REF!,IF(AK174=summaryref2!B21,summaryref2!K21,IF(Summary!AK174=summaryref2!B35,summaryref2!K35,IF(AK174=summaryref2!B49,summaryref2!K49,IF(AK174=summaryref2!B63,summaryref2!K63,IF(AK174=summaryref2!B77,summaryref2!K77,IF(AK174=summaryref2!B91,summaryref2!K91,IF(AK174=summaryref2!B105,summaryref2!K105,IF(AK174=summaryref2!B119,summaryref2!K119,IF(AK174=summaryref2!B133,summaryref2!K133,IF(AK174=summaryref2!B147,summaryref2!K147,"")))))))))))</f>
        <v>#REF!</v>
      </c>
      <c r="AV174" s="1125" t="e">
        <f>IF('A-80 DirEntInv'!#REF!&lt;&gt;"",'A-80 DirEntInv'!#REF!,IF(AK174=summaryref2!B21,summaryref2!L21,IF(Summary!AK174=summaryref2!B35,summaryref2!L35,IF(AK174=summaryref2!B49,summaryref2!L49,IF(AK174=summaryref2!B63,summaryref2!L63,IF(AK174=summaryref2!B77,summaryref2!L77,IF(AK174=summaryref2!B91,summaryref2!L91,IF(AK174=summaryref2!B105,summaryref2!L105,IF(AK174=summaryref2!B119,summaryref2!L119,IF(AK174=summaryref2!B133,summaryref2!L133,IF(AK174=summaryref2!B147,summaryref2!L147,"")))))))))))</f>
        <v>#REF!</v>
      </c>
      <c r="AW174" s="1125" t="e">
        <f>IF('A-80 DirEntInv'!#REF!&lt;&gt;"",'A-80 DirEntInv'!#REF!,IF(AK174=summaryref2!B21,summaryref2!M21,IF(Summary!AK174=summaryref2!B35,summaryref2!M35,IF(AK174=summaryref2!B49,summaryref2!M49,IF(AK174=summaryref2!B63,summaryref2!M63,IF(AK174=summaryref2!B77,summaryref2!M77,IF(AK174=summaryref2!B91,summaryref2!M91,IF(AK174=summaryref2!B105,summaryref2!M105,IF(AK174=summaryref2!B119,summaryref2!M119,IF(AK174=summaryref2!B133,summaryref2!M133,IF(AK174=summaryref2!B147,summaryref2!M147,"")))))))))))</f>
        <v>#REF!</v>
      </c>
      <c r="AX174" s="1125" t="e">
        <f>IF('A-80 DirEntInv'!#REF!&lt;&gt;"",'A-80 DirEntInv'!#REF!,IF(AK174=summaryref2!B21,summaryref2!N21,IF(Summary!AK174=summaryref2!B35,summaryref2!N35,IF(AK174=summaryref2!B49,summaryref2!N49,IF(AK174=summaryref2!B63,summaryref2!N63,IF(AK174=summaryref2!B77,summaryref2!N77,IF(AK174=summaryref2!B91,summaryref2!N91,IF(AK174=summaryref2!B105,summaryref2!N105,IF(AK174=summaryref2!B119,summaryref2!N119,IF(AK174=summaryref2!B133,summaryref2!N133,IF(AK174=summaryref2!B147,summaryref2!N147,"")))))))))))</f>
        <v>#REF!</v>
      </c>
      <c r="AY174" s="1125" t="e">
        <f>IF('A-80 DirEntInv'!#REF!&lt;&gt;"",'A-80 DirEntInv'!#REF!,IF(AK174=summaryref2!B21,summaryref2!O21,IF(Summary!AK174=summaryref2!B35,summaryref2!O35,IF(AK174=summaryref2!B49,summaryref2!O49,IF(AK174=summaryref2!B63,summaryref2!O63,IF(AK174=summaryref2!B77,summaryref2!O77,IF(AK174=summaryref2!B91,summaryref2!O91,IF(AK174=summaryref2!B105,summaryref2!O105,IF(AK174=summaryref2!B119,summaryref2!O119,IF(AK174=summaryref2!B133,summaryref2!O133,IF(AK174=summaryref2!B147,summaryref2!O147,"")))))))))))</f>
        <v>#REF!</v>
      </c>
      <c r="AZ174" s="1125" t="e">
        <f>IF('A-80 DirEntInv'!#REF!&lt;&gt;"",'A-80 DirEntInv'!#REF!,IF(AK174=summaryref2!B21,summaryref2!P21,IF(Summary!AK174=summaryref2!B35,summaryref2!P35,IF(AK174=summaryref2!B49,summaryref2!P49,IF(AK174=summaryref2!B63,summaryref2!P63,IF(AK174=summaryref2!B77,summaryref2!P77,IF(AK174=summaryref2!B91,summaryref2!P91,IF(AK174=summaryref2!B105,summaryref2!P105,IF(AK174=summaryref2!B119,summaryref2!P119,IF(AK174=summaryref2!B133,summaryref2!P133,IF(AK174=summaryref2!B147,summaryref2!P147,"")))))))))))</f>
        <v>#REF!</v>
      </c>
      <c r="BA174" s="1125" t="e">
        <f>IF('A-80 DirEntInv'!#REF!&lt;&gt;"",'A-80 DirEntInv'!#REF!,IF(AK174=summaryref2!B21,summaryref2!Q21,IF(Summary!AK174=summaryref2!B35,summaryref2!Q35,IF(AK174=summaryref2!B49,summaryref2!Q49,IF(AK174=summaryref2!B63,summaryref2!Q63,IF(AK174=summaryref2!B77,summaryref2!Q77,IF(AK174=summaryref2!B91,summaryref2!Q91,IF(AK174=summaryref2!B105,summaryref2!Q105,IF(AK174=summaryref2!B119,summaryref2!Q119,IF(AK174=summaryref2!B133,summaryref2!Q133,IF(AK174=summaryref2!B147,summaryref2!Q147,"")))))))))))</f>
        <v>#REF!</v>
      </c>
      <c r="BB174" s="1125" t="e">
        <f>IF('A-80 DirEntInv'!#REF!&lt;&gt;"",'A-80 DirEntInv'!#REF!,IF(AK174=summaryref2!B21,summaryref2!R21,IF(Summary!AK174=summaryref2!B35,summaryref2!R35,IF(AK174=summaryref2!B49,summaryref2!R49,IF(AK174=summaryref2!B63,summaryref2!R63,IF(AK174=summaryref2!B77,summaryref2!R77,IF(AK174=summaryref2!B91,summaryref2!R91,IF(AK174=summaryref2!B105,summaryref2!R105,IF(AK174=summaryref2!B119,summaryref2!R119,IF(AK174=summaryref2!B133,summaryref2!R133,IF(AK174=summaryref2!B147,summaryref2!R147,"")))))))))))</f>
        <v>#REF!</v>
      </c>
      <c r="BC174" s="1125" t="e">
        <f>IF('A-80 DirEntInv'!#REF!&lt;&gt;0,'A-80 DirEntInv'!#REF!,IF(AK174=summaryref2!B21,summaryref2!S21,IF(Summary!AK174=summaryref2!B35,summaryref2!S35,IF(AK174=summaryref2!B49,summaryref2!S49,IF(AK174=summaryref2!B63,summaryref2!S63,IF(AK174=summaryref2!B77,summaryref2!S77,IF(AK174=summaryref2!B91,summaryref2!S91,IF(AK174=summaryref2!B105,summaryref2!S105,IF(AK174=summaryref2!B119,summaryref2!S119,IF(AK174=summaryref2!B133,summaryref2!S133,IF(AK174=summaryref2!B147,summaryref2!S147,"")))))))))))</f>
        <v>#REF!</v>
      </c>
      <c r="BD174" s="1126" t="e">
        <f>IF('A-80 DirEntInv'!#REF!&lt;&gt;"",'A-80 DirEntInv'!#REF!,IF(AK174=summaryref2!B21,summaryref2!T21,IF(Summary!AK174=summaryref2!B35,summaryref2!T35,IF(AK174=summaryref2!B49,summaryref2!T49,IF(AK174=summaryref2!B63,summaryref2!T63,IF(AK174=summaryref2!B77,summaryref2!T77,IF(AK174=summaryref2!B91,summaryref2!T91,IF(AK174=summaryref2!B105,summaryref2!T105,IF(AK174=summaryref2!B119,summaryref2!T119,IF(AK174=summaryref2!B133,summaryref2!T133,IF(AK174=summaryref2!B147,summaryref2!T147,"")))))))))))</f>
        <v>#REF!</v>
      </c>
      <c r="BE174" s="1183" t="e">
        <f>IF('A-80 DirEntInv'!#REF!&lt;&gt;"",'A-80 DirEntInv'!#REF!,IF(AK174=summaryref2!B21,summaryref2!U21,IF(Summary!AK174=summaryref2!B35,summaryref2!U35,IF(AK174=summaryref2!B49,summaryref2!U49,IF(AK174=summaryref2!B63,summaryref2!U63,IF(AK174=summaryref2!B77,summaryref2!U77,IF(AK174=summaryref2!B91,summaryref2!U91,IF(AK174=summaryref2!B105,summaryref2!U105,IF(AK174=summaryref2!B119,summaryref2!U119,IF(AK174=summaryref2!B133,summaryref2!U133,IF(AK174=summaryref2!B147,summaryref2!U147,"")))))))))))</f>
        <v>#REF!</v>
      </c>
      <c r="BF174" s="1432"/>
      <c r="BG174" s="1432"/>
      <c r="BU174" s="962"/>
      <c r="CD174" s="589"/>
      <c r="CE174" s="590"/>
      <c r="CF174" s="590"/>
      <c r="CG174" s="590"/>
      <c r="CH174" s="590"/>
      <c r="CI174" s="590"/>
      <c r="CJ174" s="589"/>
      <c r="CK174" s="589"/>
      <c r="CL174" s="589"/>
      <c r="CM174" s="587"/>
      <c r="CN174" s="587"/>
      <c r="CO174" s="589"/>
      <c r="CP174" s="587"/>
      <c r="CQ174" s="592"/>
      <c r="CR174" s="589"/>
      <c r="CS174" s="592"/>
      <c r="CT174" s="589"/>
      <c r="CU174" s="589"/>
      <c r="CV174" s="589"/>
      <c r="CW174" s="587"/>
      <c r="CX174" s="590"/>
      <c r="CY174" s="590"/>
      <c r="CZ174" s="590"/>
      <c r="DA174" s="1054"/>
      <c r="DB174" s="1054"/>
      <c r="DC174" s="587"/>
      <c r="DD174" s="587"/>
    </row>
    <row r="175" spans="1:108" s="588" customFormat="1" x14ac:dyDescent="0.2">
      <c r="A175" s="589">
        <f t="shared" si="2"/>
        <v>165</v>
      </c>
      <c r="B175" s="587"/>
      <c r="C175" s="587"/>
      <c r="D175" s="587"/>
      <c r="J175" s="589"/>
      <c r="K175" s="590"/>
      <c r="L175" s="591"/>
      <c r="M175" s="592"/>
      <c r="N175" s="589"/>
      <c r="O175" s="587"/>
      <c r="R175" s="1052"/>
      <c r="S175" s="1052"/>
      <c r="T175" s="1052"/>
      <c r="U175" s="1052"/>
      <c r="V175" s="1052"/>
      <c r="W175" s="1053"/>
      <c r="X175" s="1053"/>
      <c r="Y175" s="1053"/>
      <c r="Z175" s="1052"/>
      <c r="AA175" s="1052"/>
      <c r="AB175" s="962"/>
      <c r="AC175" s="590"/>
      <c r="AD175" s="590"/>
      <c r="AE175" s="591"/>
      <c r="AF175" s="592"/>
      <c r="AG175" s="1053"/>
      <c r="AH175" s="587"/>
      <c r="AK175" s="1041" t="str">
        <f>Codes!$C$167</f>
        <v>MG - Monorail/Automated Guideway (DO)</v>
      </c>
      <c r="AL175" s="1042" t="str">
        <f>Valid!$B$88</f>
        <v>Substation Equipment</v>
      </c>
      <c r="AM175" s="1187"/>
      <c r="AN175" s="1046"/>
      <c r="AO175" s="1187"/>
      <c r="AP175" s="1046"/>
      <c r="AQ175" s="1147" t="e">
        <f>IF('A-80 DirEntInv'!#REF!&lt;&gt;"",'A-80 DirEntInv'!#REF!,IF(AK175=summaryref2!B22,summaryref2!G22,IF(Summary!AK175=summaryref2!B36,summaryref2!G36,IF(AK175=summaryref2!B50,summaryref2!G50,IF(AK175=summaryref2!B64,summaryref2!G64,IF(AK175=summaryref2!B78,summaryref2!G78,IF(AK175=summaryref2!B92,summaryref2!G92,IF(AK175=summaryref2!B106,summaryref2!G106,IF(AK175=summaryref2!B120,summaryref2!G120,IF(AK175=summaryref2!B134,summaryref2!G134,IF(AK175=summaryref2!B148,summaryref2!G148,"")))))))))))</f>
        <v>#REF!</v>
      </c>
      <c r="AR175" s="1147" t="e">
        <f>IF('A-80 DirEntInv'!#REF!&lt;&gt;"",'A-80 DirEntInv'!#REF!,IF(AK175=summaryref2!B22,summaryref2!H22,IF(Summary!AK175=summaryref2!B36,summaryref2!H36,IF(AK175=summaryref2!B50,summaryref2!H50,IF(AK175=summaryref2!B64,summaryref2!H64,IF(AK175=summaryref2!B78,summaryref2!H78,IF(AK175=summaryref2!B92,summaryref2!H92,IF(AK175=summaryref2!B106,summaryref2!H106,IF(AK175=summaryref2!B120,summaryref2!H120,IF(AK175=summaryref2!B134,summaryref2!H134,IF(AK175=summaryref2!B148,summaryref2!H148,"")))))))))))</f>
        <v>#REF!</v>
      </c>
      <c r="AS175" s="1110" t="e">
        <f>IF('A-80 DirEntInv'!#REF!&lt;&gt;"",'A-80 DirEntInv'!#REF!,IF(AK175=summaryref2!B22,summaryref2!I22,IF(Summary!AK175=summaryref2!B36,summaryref2!I36,IF(AK175=summaryref2!B50,summaryref2!I50,IF(AK175=summaryref2!B64,summaryref2!I64,IF(AK175=summaryref2!B78,summaryref2!I78,IF(AK175=summaryref2!B92,summaryref2!I92,IF(AK175=summaryref2!B106,summaryref2!I106,IF(AK175=summaryref2!B120,summaryref2!I120,IF(AK175=summaryref2!B134,summaryref2!I134,IF(AK175=summaryref2!B148,summaryref2!I148,"")))))))))))</f>
        <v>#REF!</v>
      </c>
      <c r="AT175" s="1110" t="e">
        <f>IF('A-80 DirEntInv'!#REF!&lt;&gt;"",'A-80 DirEntInv'!#REF!,IF(AK175=summaryref2!B22,summaryref2!J22,IF(Summary!AK175=summaryref2!B36,summaryref2!J36,IF(AK175=summaryref2!B50,summaryref2!J50,IF(AK175=summaryref2!B64,summaryref2!J64,IF(AK175=summaryref2!B78,summaryref2!J78,IF(AK175=summaryref2!B92,summaryref2!J92,IF(AK175=summaryref2!B106,summaryref2!J106,IF(AK175=summaryref2!B120,summaryref2!J120,IF(AK175=summaryref2!B134,summaryref2!J134,IF(AK175=summaryref2!B148,summaryref2!J148,"")))))))))))</f>
        <v>#REF!</v>
      </c>
      <c r="AU175" s="1110" t="e">
        <f>IF('A-80 DirEntInv'!#REF!&lt;&gt;"",'A-80 DirEntInv'!#REF!,IF(AK175=summaryref2!B22,summaryref2!K22,IF(Summary!AK175=summaryref2!B36,summaryref2!K36,IF(AK175=summaryref2!B50,summaryref2!K50,IF(AK175=summaryref2!B64,summaryref2!K64,IF(AK175=summaryref2!B78,summaryref2!K78,IF(AK175=summaryref2!B92,summaryref2!K92,IF(AK175=summaryref2!B106,summaryref2!K106,IF(AK175=summaryref2!B120,summaryref2!K120,IF(AK175=summaryref2!B134,summaryref2!K134,IF(AK175=summaryref2!B148,summaryref2!K148,"")))))))))))</f>
        <v>#REF!</v>
      </c>
      <c r="AV175" s="1110" t="e">
        <f>IF('A-80 DirEntInv'!#REF!&lt;&gt;"",'A-80 DirEntInv'!#REF!,IF(AK175=summaryref2!B22,summaryref2!L22,IF(Summary!AK175=summaryref2!B36,summaryref2!L36,IF(AK175=summaryref2!B50,summaryref2!L50,IF(AK175=summaryref2!B64,summaryref2!L64,IF(AK175=summaryref2!B78,summaryref2!L78,IF(AK175=summaryref2!B92,summaryref2!L92,IF(AK175=summaryref2!B106,summaryref2!L106,IF(AK175=summaryref2!B120,summaryref2!L120,IF(AK175=summaryref2!B134,summaryref2!L134,IF(AK175=summaryref2!B148,summaryref2!L148,"")))))))))))</f>
        <v>#REF!</v>
      </c>
      <c r="AW175" s="1110" t="e">
        <f>IF('A-80 DirEntInv'!#REF!&lt;&gt;"",'A-80 DirEntInv'!#REF!,IF(AK175=summaryref2!B22,summaryref2!M22,IF(Summary!AK175=summaryref2!B36,summaryref2!M36,IF(AK175=summaryref2!B50,summaryref2!M50,IF(AK175=summaryref2!B64,summaryref2!M64,IF(AK175=summaryref2!B78,summaryref2!M78,IF(AK175=summaryref2!B92,summaryref2!M92,IF(AK175=summaryref2!B106,summaryref2!M106,IF(AK175=summaryref2!B120,summaryref2!M120,IF(AK175=summaryref2!B134,summaryref2!M134,IF(AK175=summaryref2!B148,summaryref2!M148,"")))))))))))</f>
        <v>#REF!</v>
      </c>
      <c r="AX175" s="1110" t="e">
        <f>IF('A-80 DirEntInv'!#REF!&lt;&gt;"",'A-80 DirEntInv'!#REF!,IF(AK175=summaryref2!B22,summaryref2!N22,IF(Summary!AK175=summaryref2!B36,summaryref2!N36,IF(AK175=summaryref2!B50,summaryref2!N50,IF(AK175=summaryref2!B64,summaryref2!N64,IF(AK175=summaryref2!B78,summaryref2!N78,IF(AK175=summaryref2!B92,summaryref2!N92,IF(AK175=summaryref2!B106,summaryref2!N106,IF(AK175=summaryref2!B120,summaryref2!N120,IF(AK175=summaryref2!B134,summaryref2!N134,IF(AK175=summaryref2!B148,summaryref2!N148,"")))))))))))</f>
        <v>#REF!</v>
      </c>
      <c r="AY175" s="1110" t="e">
        <f>IF('A-80 DirEntInv'!#REF!&lt;&gt;"",'A-80 DirEntInv'!#REF!,IF(AK175=summaryref2!B22,summaryref2!O22,IF(Summary!AK175=summaryref2!B36,summaryref2!O36,IF(AK175=summaryref2!B50,summaryref2!O50,IF(AK175=summaryref2!B64,summaryref2!O64,IF(AK175=summaryref2!B78,summaryref2!O78,IF(AK175=summaryref2!B92,summaryref2!O92,IF(AK175=summaryref2!B106,summaryref2!O106,IF(AK175=summaryref2!B120,summaryref2!O120,IF(AK175=summaryref2!B134,summaryref2!O134,IF(AK175=summaryref2!B148,summaryref2!O148,"")))))))))))</f>
        <v>#REF!</v>
      </c>
      <c r="AZ175" s="1110" t="e">
        <f>IF('A-80 DirEntInv'!#REF!&lt;&gt;"",'A-80 DirEntInv'!#REF!,IF(AK175=summaryref2!B22,summaryref2!P22,IF(Summary!AK175=summaryref2!B36,summaryref2!P36,IF(AK175=summaryref2!B50,summaryref2!P50,IF(AK175=summaryref2!B64,summaryref2!P64,IF(AK175=summaryref2!B78,summaryref2!P78,IF(AK175=summaryref2!B92,summaryref2!P92,IF(AK175=summaryref2!B106,summaryref2!P106,IF(AK175=summaryref2!B120,summaryref2!P120,IF(AK175=summaryref2!B134,summaryref2!P134,IF(AK175=summaryref2!B148,summaryref2!P148,"")))))))))))</f>
        <v>#REF!</v>
      </c>
      <c r="BA175" s="1110" t="e">
        <f>IF('A-80 DirEntInv'!#REF!&lt;&gt;"",'A-80 DirEntInv'!#REF!,IF(AK175=summaryref2!B22,summaryref2!Q22,IF(Summary!AK175=summaryref2!B36,summaryref2!Q36,IF(AK175=summaryref2!B50,summaryref2!Q50,IF(AK175=summaryref2!B64,summaryref2!Q64,IF(AK175=summaryref2!B78,summaryref2!Q78,IF(AK175=summaryref2!B92,summaryref2!Q92,IF(AK175=summaryref2!B106,summaryref2!Q106,IF(AK175=summaryref2!B120,summaryref2!Q120,IF(AK175=summaryref2!B134,summaryref2!Q134,IF(AK175=summaryref2!B148,summaryref2!Q148,"")))))))))))</f>
        <v>#REF!</v>
      </c>
      <c r="BB175" s="1110" t="e">
        <f>IF('A-80 DirEntInv'!#REF!&lt;&gt;"",'A-80 DirEntInv'!#REF!,IF(AK175=summaryref2!B22,summaryref2!R22,IF(Summary!AK175=summaryref2!B36,summaryref2!R36,IF(AK175=summaryref2!B50,summaryref2!R50,IF(AK175=summaryref2!B64,summaryref2!R64,IF(AK175=summaryref2!B78,summaryref2!R78,IF(AK175=summaryref2!B92,summaryref2!R92,IF(AK175=summaryref2!B106,summaryref2!R106,IF(AK175=summaryref2!B120,summaryref2!R120,IF(AK175=summaryref2!B134,summaryref2!R134,IF(AK175=summaryref2!B148,summaryref2!R148,"")))))))))))</f>
        <v>#REF!</v>
      </c>
      <c r="BC175" s="1110" t="e">
        <f>IF('A-80 DirEntInv'!#REF!&lt;&gt;0,'A-80 DirEntInv'!#REF!,IF(AK175=summaryref2!B22,summaryref2!S22,IF(Summary!AK175=summaryref2!B36,summaryref2!S36,IF(AK175=summaryref2!B50,summaryref2!S50,IF(AK175=summaryref2!B64,summaryref2!S64,IF(AK175=summaryref2!B78,summaryref2!S78,IF(AK175=summaryref2!B92,summaryref2!S92,IF(AK175=summaryref2!B106,summaryref2!S106,IF(AK175=summaryref2!B120,summaryref2!S120,IF(AK175=summaryref2!B134,summaryref2!S134,IF(AK175=summaryref2!B148,summaryref2!S148,"")))))))))))</f>
        <v>#REF!</v>
      </c>
      <c r="BD175" s="1111" t="e">
        <f>IF('A-80 DirEntInv'!#REF!&lt;&gt;"",'A-80 DirEntInv'!#REF!,IF(AK175=summaryref2!B22,summaryref2!T22,IF(Summary!AK175=summaryref2!B36,summaryref2!T36,IF(AK175=summaryref2!B50,summaryref2!T50,IF(AK175=summaryref2!B64,summaryref2!T64,IF(AK175=summaryref2!B78,summaryref2!T78,IF(AK175=summaryref2!B92,summaryref2!T92,IF(AK175=summaryref2!B106,summaryref2!T106,IF(AK175=summaryref2!B120,summaryref2!T120,IF(AK175=summaryref2!B134,summaryref2!T134,IF(AK175=summaryref2!B148,summaryref2!T148,"")))))))))))</f>
        <v>#REF!</v>
      </c>
      <c r="BE175" s="1184" t="e">
        <f>IF('A-80 DirEntInv'!#REF!&lt;&gt;"",'A-80 DirEntInv'!#REF!,IF(AK175=summaryref2!B22,summaryref2!U22,IF(Summary!AK175=summaryref2!B36,summaryref2!U36,IF(AK175=summaryref2!B50,summaryref2!U50,IF(AK175=summaryref2!B64,summaryref2!U64,IF(AK175=summaryref2!B78,summaryref2!U78,IF(AK175=summaryref2!B92,summaryref2!U92,IF(AK175=summaryref2!B106,summaryref2!U106,IF(AK175=summaryref2!B120,summaryref2!U120,IF(AK175=summaryref2!B134,summaryref2!U134,IF(AK175=summaryref2!B148,summaryref2!U148,"")))))))))))</f>
        <v>#REF!</v>
      </c>
      <c r="BF175" s="1432"/>
      <c r="BG175" s="1432"/>
      <c r="BU175" s="962"/>
      <c r="CD175" s="589"/>
      <c r="CE175" s="590"/>
      <c r="CF175" s="590"/>
      <c r="CG175" s="590"/>
      <c r="CH175" s="590"/>
      <c r="CI175" s="590"/>
      <c r="CJ175" s="589"/>
      <c r="CK175" s="589"/>
      <c r="CL175" s="589"/>
      <c r="CM175" s="587"/>
      <c r="CN175" s="587"/>
      <c r="CO175" s="589"/>
      <c r="CP175" s="587"/>
      <c r="CQ175" s="592"/>
      <c r="CR175" s="589"/>
      <c r="CS175" s="592"/>
      <c r="CT175" s="589"/>
      <c r="CU175" s="589"/>
      <c r="CV175" s="589"/>
      <c r="CW175" s="587"/>
      <c r="CX175" s="590"/>
      <c r="CY175" s="590"/>
      <c r="CZ175" s="590"/>
      <c r="DA175" s="1054"/>
      <c r="DB175" s="1054"/>
      <c r="DC175" s="587"/>
      <c r="DD175" s="587"/>
    </row>
    <row r="176" spans="1:108" s="588" customFormat="1" x14ac:dyDescent="0.2">
      <c r="A176" s="589">
        <f t="shared" si="2"/>
        <v>166</v>
      </c>
      <c r="B176" s="587"/>
      <c r="C176" s="587"/>
      <c r="D176" s="587"/>
      <c r="J176" s="589"/>
      <c r="K176" s="590"/>
      <c r="L176" s="591"/>
      <c r="M176" s="592"/>
      <c r="N176" s="589"/>
      <c r="O176" s="587"/>
      <c r="R176" s="1052"/>
      <c r="S176" s="1052"/>
      <c r="T176" s="1052"/>
      <c r="U176" s="1052"/>
      <c r="V176" s="1052"/>
      <c r="W176" s="1053"/>
      <c r="X176" s="1053"/>
      <c r="Y176" s="1053"/>
      <c r="Z176" s="1052"/>
      <c r="AA176" s="1052"/>
      <c r="AB176" s="962"/>
      <c r="AC176" s="590"/>
      <c r="AD176" s="590"/>
      <c r="AE176" s="591"/>
      <c r="AF176" s="592"/>
      <c r="AG176" s="1053"/>
      <c r="AH176" s="587"/>
      <c r="AK176" s="1041" t="str">
        <f>Codes!$C$167</f>
        <v>MG - Monorail/Automated Guideway (DO)</v>
      </c>
      <c r="AL176" s="1042" t="str">
        <f>Valid!$B$89</f>
        <v>Third Rail/Power Distribution</v>
      </c>
      <c r="AM176" s="1108"/>
      <c r="AN176" s="1042"/>
      <c r="AO176" s="1108"/>
      <c r="AP176" s="1042"/>
      <c r="AQ176" s="1147" t="e">
        <f>IF('A-80 DirEntInv'!#REF!&lt;&gt;"",'A-80 DirEntInv'!#REF!,IF(AK176=summaryref2!B23,summaryref2!G23,IF(Summary!AK176=summaryref2!B37,summaryref2!G37,IF(AK176=summaryref2!B51,summaryref2!G51,IF(AK176=summaryref2!B65,summaryref2!G65,IF(AK176=summaryref2!B79,summaryref2!G79,IF(AK176=summaryref2!B93,summaryref2!G93,IF(AK176=summaryref2!B107,summaryref2!G107,IF(AK176=summaryref2!B121,summaryref2!G121,IF(AK176=summaryref2!B135,summaryref2!G135,IF(AK176=summaryref2!B149,summaryref2!G149,"")))))))))))</f>
        <v>#REF!</v>
      </c>
      <c r="AR176" s="1147" t="e">
        <f>IF('A-80 DirEntInv'!#REF!&lt;&gt;"",'A-80 DirEntInv'!#REF!,IF(AK176=summaryref2!B23,summaryref2!H23,IF(Summary!AK176=summaryref2!B37,summaryref2!H37,IF(AK176=summaryref2!B51,summaryref2!H51,IF(AK176=summaryref2!B65,summaryref2!H65,IF(AK176=summaryref2!B79,summaryref2!H79,IF(AK176=summaryref2!B93,summaryref2!H93,IF(AK176=summaryref2!B107,summaryref2!H107,IF(AK176=summaryref2!B121,summaryref2!H121,IF(AK176=summaryref2!B135,summaryref2!H135,IF(AK176=summaryref2!B149,summaryref2!H149,"")))))))))))</f>
        <v>#REF!</v>
      </c>
      <c r="AS176" s="1110" t="e">
        <f>IF('A-80 DirEntInv'!#REF!&lt;&gt;"",'A-80 DirEntInv'!#REF!,IF(AK176=summaryref2!B23,summaryref2!I23,IF(Summary!AK176=summaryref2!B37,summaryref2!I37,IF(AK176=summaryref2!B51,summaryref2!I51,IF(AK176=summaryref2!B65,summaryref2!I65,IF(AK176=summaryref2!B79,summaryref2!I79,IF(AK176=summaryref2!B93,summaryref2!I93,IF(AK176=summaryref2!B107,summaryref2!I107,IF(AK176=summaryref2!B121,summaryref2!I121,IF(AK176=summaryref2!B135,summaryref2!I135,IF(AK176=summaryref2!B149,summaryref2!I149,"")))))))))))</f>
        <v>#REF!</v>
      </c>
      <c r="AT176" s="1110" t="e">
        <f>IF('A-80 DirEntInv'!#REF!&lt;&gt;"",'A-80 DirEntInv'!#REF!,IF(AK176=summaryref2!B23,summaryref2!J23,IF(Summary!AK176=summaryref2!B37,summaryref2!J37,IF(AK176=summaryref2!B51,summaryref2!J51,IF(AK176=summaryref2!B65,summaryref2!J65,IF(AK176=summaryref2!B79,summaryref2!J79,IF(AK176=summaryref2!B93,summaryref2!J93,IF(AK176=summaryref2!B107,summaryref2!J107,IF(AK176=summaryref2!B121,summaryref2!J121,IF(AK176=summaryref2!B135,summaryref2!J135,IF(AK176=summaryref2!B149,summaryref2!J149,"")))))))))))</f>
        <v>#REF!</v>
      </c>
      <c r="AU176" s="1110" t="e">
        <f>IF('A-80 DirEntInv'!#REF!&lt;&gt;"",'A-80 DirEntInv'!#REF!,IF(AK176=summaryref2!B23,summaryref2!K23,IF(Summary!AK176=summaryref2!B37,summaryref2!K37,IF(AK176=summaryref2!B51,summaryref2!K51,IF(AK176=summaryref2!B65,summaryref2!K65,IF(AK176=summaryref2!B79,summaryref2!K79,IF(AK176=summaryref2!B93,summaryref2!K93,IF(AK176=summaryref2!B107,summaryref2!K107,IF(AK176=summaryref2!B121,summaryref2!K121,IF(AK176=summaryref2!B135,summaryref2!K135,IF(AK176=summaryref2!B149,summaryref2!K149,"")))))))))))</f>
        <v>#REF!</v>
      </c>
      <c r="AV176" s="1110" t="e">
        <f>IF('A-80 DirEntInv'!#REF!&lt;&gt;"",'A-80 DirEntInv'!#REF!,IF(AK176=summaryref2!B23,summaryref2!L23,IF(Summary!AK176=summaryref2!B37,summaryref2!L37,IF(AK176=summaryref2!B51,summaryref2!L51,IF(AK176=summaryref2!B65,summaryref2!L65,IF(AK176=summaryref2!B79,summaryref2!L79,IF(AK176=summaryref2!B93,summaryref2!L93,IF(AK176=summaryref2!B107,summaryref2!L107,IF(AK176=summaryref2!B121,summaryref2!L121,IF(AK176=summaryref2!B135,summaryref2!L135,IF(AK176=summaryref2!B149,summaryref2!L149,"")))))))))))</f>
        <v>#REF!</v>
      </c>
      <c r="AW176" s="1110" t="e">
        <f>IF('A-80 DirEntInv'!#REF!&lt;&gt;"",'A-80 DirEntInv'!#REF!,IF(AK176=summaryref2!B23,summaryref2!M23,IF(Summary!AK176=summaryref2!B37,summaryref2!M37,IF(AK176=summaryref2!B51,summaryref2!M51,IF(AK176=summaryref2!B65,summaryref2!M65,IF(AK176=summaryref2!B79,summaryref2!M79,IF(AK176=summaryref2!B93,summaryref2!M93,IF(AK176=summaryref2!B107,summaryref2!M107,IF(AK176=summaryref2!B121,summaryref2!M121,IF(AK176=summaryref2!B135,summaryref2!M135,IF(AK176=summaryref2!B149,summaryref2!M149,"")))))))))))</f>
        <v>#REF!</v>
      </c>
      <c r="AX176" s="1110" t="e">
        <f>IF('A-80 DirEntInv'!#REF!&lt;&gt;"",'A-80 DirEntInv'!#REF!,IF(AK176=summaryref2!B23,summaryref2!N23,IF(Summary!AK176=summaryref2!B37,summaryref2!N37,IF(AK176=summaryref2!B51,summaryref2!N51,IF(AK176=summaryref2!B65,summaryref2!N65,IF(AK176=summaryref2!B79,summaryref2!N79,IF(AK176=summaryref2!B93,summaryref2!N93,IF(AK176=summaryref2!B107,summaryref2!N107,IF(AK176=summaryref2!B121,summaryref2!N121,IF(AK176=summaryref2!B135,summaryref2!N135,IF(AK176=summaryref2!B149,summaryref2!N149,"")))))))))))</f>
        <v>#REF!</v>
      </c>
      <c r="AY176" s="1110" t="e">
        <f>IF('A-80 DirEntInv'!#REF!&lt;&gt;"",'A-80 DirEntInv'!#REF!,IF(AK176=summaryref2!B23,summaryref2!O23,IF(Summary!AK176=summaryref2!B37,summaryref2!O37,IF(AK176=summaryref2!B51,summaryref2!O51,IF(AK176=summaryref2!B65,summaryref2!O65,IF(AK176=summaryref2!B79,summaryref2!O79,IF(AK176=summaryref2!B93,summaryref2!O93,IF(AK176=summaryref2!B107,summaryref2!O107,IF(AK176=summaryref2!B121,summaryref2!O121,IF(AK176=summaryref2!B135,summaryref2!O135,IF(AK176=summaryref2!B149,summaryref2!O149,"")))))))))))</f>
        <v>#REF!</v>
      </c>
      <c r="AZ176" s="1110" t="e">
        <f>IF('A-80 DirEntInv'!#REF!&lt;&gt;"",'A-80 DirEntInv'!#REF!,IF(AK176=summaryref2!B23,summaryref2!P23,IF(Summary!AK176=summaryref2!B37,summaryref2!P37,IF(AK176=summaryref2!B51,summaryref2!P51,IF(AK176=summaryref2!B65,summaryref2!P65,IF(AK176=summaryref2!B79,summaryref2!P79,IF(AK176=summaryref2!B93,summaryref2!P93,IF(AK176=summaryref2!B107,summaryref2!P107,IF(AK176=summaryref2!B121,summaryref2!P121,IF(AK176=summaryref2!B135,summaryref2!P135,IF(AK176=summaryref2!B149,summaryref2!P149,"")))))))))))</f>
        <v>#REF!</v>
      </c>
      <c r="BA176" s="1110" t="e">
        <f>IF('A-80 DirEntInv'!#REF!&lt;&gt;"",'A-80 DirEntInv'!#REF!,IF(AK176=summaryref2!B23,summaryref2!Q23,IF(Summary!AK176=summaryref2!B37,summaryref2!Q37,IF(AK176=summaryref2!B51,summaryref2!Q51,IF(AK176=summaryref2!B65,summaryref2!Q65,IF(AK176=summaryref2!B79,summaryref2!Q79,IF(AK176=summaryref2!B93,summaryref2!Q93,IF(AK176=summaryref2!B107,summaryref2!Q107,IF(AK176=summaryref2!B121,summaryref2!Q121,IF(AK176=summaryref2!B135,summaryref2!Q135,IF(AK176=summaryref2!B149,summaryref2!Q149,"")))))))))))</f>
        <v>#REF!</v>
      </c>
      <c r="BB176" s="1110" t="e">
        <f>IF('A-80 DirEntInv'!#REF!&lt;&gt;"",'A-80 DirEntInv'!#REF!,IF(AK176=summaryref2!B23,summaryref2!R23,IF(Summary!AK176=summaryref2!B37,summaryref2!R37,IF(AK176=summaryref2!B51,summaryref2!R51,IF(AK176=summaryref2!B65,summaryref2!R65,IF(AK176=summaryref2!B79,summaryref2!R79,IF(AK176=summaryref2!B93,summaryref2!R93,IF(AK176=summaryref2!B107,summaryref2!R107,IF(AK176=summaryref2!B121,summaryref2!R121,IF(AK176=summaryref2!B135,summaryref2!R135,IF(AK176=summaryref2!B149,summaryref2!R149,"")))))))))))</f>
        <v>#REF!</v>
      </c>
      <c r="BC176" s="1110" t="e">
        <f>IF('A-80 DirEntInv'!#REF!&lt;&gt;0,'A-80 DirEntInv'!#REF!,IF(AK176=summaryref2!B23,summaryref2!S23,IF(Summary!AK176=summaryref2!B37,summaryref2!S37,IF(AK176=summaryref2!B51,summaryref2!S51,IF(AK176=summaryref2!B65,summaryref2!S65,IF(AK176=summaryref2!B79,summaryref2!S79,IF(AK176=summaryref2!B93,summaryref2!S93,IF(AK176=summaryref2!B107,summaryref2!S107,IF(AK176=summaryref2!B121,summaryref2!S121,IF(AK176=summaryref2!B135,summaryref2!S135,IF(AK176=summaryref2!B149,summaryref2!S149,"")))))))))))</f>
        <v>#REF!</v>
      </c>
      <c r="BD176" s="1111" t="e">
        <f>IF('A-80 DirEntInv'!#REF!&lt;&gt;"",'A-80 DirEntInv'!#REF!,IF(AK176=summaryref2!B23,summaryref2!T23,IF(Summary!AK176=summaryref2!B37,summaryref2!T37,IF(AK176=summaryref2!B51,summaryref2!T51,IF(AK176=summaryref2!B65,summaryref2!T65,IF(AK176=summaryref2!B79,summaryref2!T79,IF(AK176=summaryref2!B93,summaryref2!T93,IF(AK176=summaryref2!B107,summaryref2!T107,IF(AK176=summaryref2!B121,summaryref2!T121,IF(AK176=summaryref2!B135,summaryref2!T135,IF(AK176=summaryref2!B149,summaryref2!T149,"")))))))))))</f>
        <v>#REF!</v>
      </c>
      <c r="BE176" s="1184" t="e">
        <f>IF('A-80 DirEntInv'!#REF!&lt;&gt;"",'A-80 DirEntInv'!#REF!,IF(AK176=summaryref2!B23,summaryref2!U23,IF(Summary!AK176=summaryref2!B37,summaryref2!U37,IF(AK176=summaryref2!B51,summaryref2!U51,IF(AK176=summaryref2!B65,summaryref2!U65,IF(AK176=summaryref2!B79,summaryref2!U79,IF(AK176=summaryref2!B93,summaryref2!U93,IF(AK176=summaryref2!B107,summaryref2!U107,IF(AK176=summaryref2!B121,summaryref2!U121,IF(AK176=summaryref2!B135,summaryref2!U135,IF(AK176=summaryref2!B149,summaryref2!U149,"")))))))))))</f>
        <v>#REF!</v>
      </c>
      <c r="BF176" s="1432"/>
      <c r="BG176" s="1432"/>
      <c r="BU176" s="962"/>
      <c r="CD176" s="589"/>
      <c r="CE176" s="590"/>
      <c r="CF176" s="590"/>
      <c r="CG176" s="590"/>
      <c r="CH176" s="590"/>
      <c r="CI176" s="590"/>
      <c r="CJ176" s="589"/>
      <c r="CK176" s="589"/>
      <c r="CL176" s="589"/>
      <c r="CM176" s="587"/>
      <c r="CN176" s="587"/>
      <c r="CO176" s="589"/>
      <c r="CP176" s="587"/>
      <c r="CQ176" s="592"/>
      <c r="CR176" s="589"/>
      <c r="CS176" s="592"/>
      <c r="CT176" s="589"/>
      <c r="CU176" s="589"/>
      <c r="CV176" s="589"/>
      <c r="CW176" s="587"/>
      <c r="CX176" s="590"/>
      <c r="CY176" s="590"/>
      <c r="CZ176" s="590"/>
      <c r="DA176" s="1054"/>
      <c r="DB176" s="1054"/>
      <c r="DC176" s="587"/>
      <c r="DD176" s="587"/>
    </row>
    <row r="177" spans="1:108" s="588" customFormat="1" x14ac:dyDescent="0.2">
      <c r="A177" s="589">
        <f t="shared" si="2"/>
        <v>167</v>
      </c>
      <c r="B177" s="587"/>
      <c r="C177" s="587"/>
      <c r="D177" s="587"/>
      <c r="J177" s="589"/>
      <c r="K177" s="590"/>
      <c r="L177" s="591"/>
      <c r="M177" s="592"/>
      <c r="N177" s="589"/>
      <c r="O177" s="587"/>
      <c r="R177" s="1052"/>
      <c r="S177" s="1052"/>
      <c r="T177" s="1052"/>
      <c r="U177" s="1052"/>
      <c r="V177" s="1052"/>
      <c r="W177" s="1053"/>
      <c r="X177" s="1053"/>
      <c r="Y177" s="1053"/>
      <c r="Z177" s="1052"/>
      <c r="AA177" s="1052"/>
      <c r="AB177" s="962"/>
      <c r="AC177" s="590"/>
      <c r="AD177" s="590"/>
      <c r="AE177" s="591"/>
      <c r="AF177" s="592"/>
      <c r="AG177" s="1053"/>
      <c r="AH177" s="587"/>
      <c r="AK177" s="1041" t="str">
        <f>Codes!$C$167</f>
        <v>MG - Monorail/Automated Guideway (DO)</v>
      </c>
      <c r="AL177" s="1042" t="str">
        <f>Valid!$B$90</f>
        <v>Overhead Contact System/Power Distribution</v>
      </c>
      <c r="AM177" s="1108"/>
      <c r="AN177" s="1042"/>
      <c r="AO177" s="1108"/>
      <c r="AP177" s="1042"/>
      <c r="AQ177" s="1147" t="e">
        <f>IF('A-80 DirEntInv'!#REF!&lt;&gt;"",'A-80 DirEntInv'!#REF!,IF(AK177=summaryref2!B24,summaryref2!G24,IF(Summary!AK177=summaryref2!B38,summaryref2!G38,IF(AK177=summaryref2!B52,summaryref2!G52,IF(AK177=summaryref2!B66,summaryref2!G66,IF(AK177=summaryref2!B80,summaryref2!G80,IF(AK177=summaryref2!B94,summaryref2!G94,IF(AK177=summaryref2!B108,summaryref2!G108,IF(AK177=summaryref2!B122,summaryref2!G122,IF(AK177=summaryref2!B136,summaryref2!G136,IF(AK177=summaryref2!B150,summaryref2!G150,"")))))))))))</f>
        <v>#REF!</v>
      </c>
      <c r="AR177" s="1147" t="e">
        <f>IF('A-80 DirEntInv'!#REF!&lt;&gt;"",'A-80 DirEntInv'!#REF!,IF(AK177=summaryref2!B24,summaryref2!H24,IF(Summary!AK177=summaryref2!B38,summaryref2!H38,IF(AK177=summaryref2!B52,summaryref2!H52,IF(AK177=summaryref2!B66,summaryref2!H66,IF(AK177=summaryref2!B80,summaryref2!H80,IF(AK177=summaryref2!B94,summaryref2!H94,IF(AK177=summaryref2!B108,summaryref2!H108,IF(AK177=summaryref2!B122,summaryref2!H122,IF(AK177=summaryref2!B136,summaryref2!H136,IF(AK177=summaryref2!B150,summaryref2!H150,"")))))))))))</f>
        <v>#REF!</v>
      </c>
      <c r="AS177" s="1110" t="e">
        <f>IF('A-80 DirEntInv'!#REF!&lt;&gt;"",'A-80 DirEntInv'!#REF!,IF(AK177=summaryref2!B24,summaryref2!I24,IF(Summary!AK177=summaryref2!B38,summaryref2!I38,IF(AK177=summaryref2!B52,summaryref2!I52,IF(AK177=summaryref2!B66,summaryref2!I66,IF(AK177=summaryref2!B80,summaryref2!I80,IF(AK177=summaryref2!B94,summaryref2!I94,IF(AK177=summaryref2!B108,summaryref2!I108,IF(AK177=summaryref2!B122,summaryref2!I122,IF(AK177=summaryref2!B136,summaryref2!I136,IF(AK177=summaryref2!B150,summaryref2!I150,"")))))))))))</f>
        <v>#REF!</v>
      </c>
      <c r="AT177" s="1110" t="e">
        <f>IF('A-80 DirEntInv'!#REF!&lt;&gt;"",'A-80 DirEntInv'!#REF!,IF(AK177=summaryref2!B24,summaryref2!J24,IF(Summary!AK177=summaryref2!B38,summaryref2!J38,IF(AK177=summaryref2!B52,summaryref2!J52,IF(AK177=summaryref2!B66,summaryref2!J66,IF(AK177=summaryref2!B80,summaryref2!J80,IF(AK177=summaryref2!B94,summaryref2!J94,IF(AK177=summaryref2!B108,summaryref2!J108,IF(AK177=summaryref2!B122,summaryref2!J122,IF(AK177=summaryref2!B136,summaryref2!J136,IF(AK177=summaryref2!B150,summaryref2!J150,"")))))))))))</f>
        <v>#REF!</v>
      </c>
      <c r="AU177" s="1110" t="e">
        <f>IF('A-80 DirEntInv'!#REF!&lt;&gt;"",'A-80 DirEntInv'!#REF!,IF(AK177=summaryref2!B24,summaryref2!K24,IF(Summary!AK177=summaryref2!B38,summaryref2!K38,IF(AK177=summaryref2!B52,summaryref2!K52,IF(AK177=summaryref2!B66,summaryref2!K66,IF(AK177=summaryref2!B80,summaryref2!K80,IF(AK177=summaryref2!B94,summaryref2!K94,IF(AK177=summaryref2!B108,summaryref2!K108,IF(AK177=summaryref2!B122,summaryref2!K122,IF(AK177=summaryref2!B136,summaryref2!K136,IF(AK177=summaryref2!B150,summaryref2!K150,"")))))))))))</f>
        <v>#REF!</v>
      </c>
      <c r="AV177" s="1110" t="e">
        <f>IF('A-80 DirEntInv'!#REF!&lt;&gt;"",'A-80 DirEntInv'!#REF!,IF(AK177=summaryref2!B24,summaryref2!L24,IF(Summary!AK177=summaryref2!B38,summaryref2!L38,IF(AK177=summaryref2!B52,summaryref2!L52,IF(AK177=summaryref2!B66,summaryref2!L66,IF(AK177=summaryref2!B80,summaryref2!L80,IF(AK177=summaryref2!B94,summaryref2!L94,IF(AK177=summaryref2!B108,summaryref2!L108,IF(AK177=summaryref2!B122,summaryref2!L122,IF(AK177=summaryref2!B136,summaryref2!L136,IF(AK177=summaryref2!B150,summaryref2!L150,"")))))))))))</f>
        <v>#REF!</v>
      </c>
      <c r="AW177" s="1110" t="e">
        <f>IF('A-80 DirEntInv'!#REF!&lt;&gt;"",'A-80 DirEntInv'!#REF!,IF(AK177=summaryref2!B24,summaryref2!M24,IF(Summary!AK177=summaryref2!B38,summaryref2!M38,IF(AK177=summaryref2!B52,summaryref2!M52,IF(AK177=summaryref2!B66,summaryref2!M66,IF(AK177=summaryref2!B80,summaryref2!M80,IF(AK177=summaryref2!B94,summaryref2!M94,IF(AK177=summaryref2!B108,summaryref2!M108,IF(AK177=summaryref2!B122,summaryref2!M122,IF(AK177=summaryref2!B136,summaryref2!M136,IF(AK177=summaryref2!B150,summaryref2!M150,"")))))))))))</f>
        <v>#REF!</v>
      </c>
      <c r="AX177" s="1110" t="e">
        <f>IF('A-80 DirEntInv'!#REF!&lt;&gt;"",'A-80 DirEntInv'!#REF!,IF(AK177=summaryref2!B24,summaryref2!N24,IF(Summary!AK177=summaryref2!B38,summaryref2!N38,IF(AK177=summaryref2!B52,summaryref2!N52,IF(AK177=summaryref2!B66,summaryref2!N66,IF(AK177=summaryref2!B80,summaryref2!N80,IF(AK177=summaryref2!B94,summaryref2!N94,IF(AK177=summaryref2!B108,summaryref2!N108,IF(AK177=summaryref2!B122,summaryref2!N122,IF(AK177=summaryref2!B136,summaryref2!N136,IF(AK177=summaryref2!B150,summaryref2!N150,"")))))))))))</f>
        <v>#REF!</v>
      </c>
      <c r="AY177" s="1110" t="e">
        <f>IF('A-80 DirEntInv'!#REF!&lt;&gt;"",'A-80 DirEntInv'!#REF!,IF(AK177=summaryref2!B24,summaryref2!O24,IF(Summary!AK177=summaryref2!B38,summaryref2!O38,IF(AK177=summaryref2!B52,summaryref2!O52,IF(AK177=summaryref2!B66,summaryref2!O66,IF(AK177=summaryref2!B80,summaryref2!O80,IF(AK177=summaryref2!B94,summaryref2!O94,IF(AK177=summaryref2!B108,summaryref2!O108,IF(AK177=summaryref2!B122,summaryref2!O122,IF(AK177=summaryref2!B136,summaryref2!O136,IF(AK177=summaryref2!B150,summaryref2!O150,"")))))))))))</f>
        <v>#REF!</v>
      </c>
      <c r="AZ177" s="1110" t="e">
        <f>IF('A-80 DirEntInv'!#REF!&lt;&gt;"",'A-80 DirEntInv'!#REF!,IF(AK177=summaryref2!B24,summaryref2!P24,IF(Summary!AK177=summaryref2!B38,summaryref2!P38,IF(AK177=summaryref2!B52,summaryref2!P52,IF(AK177=summaryref2!B66,summaryref2!P66,IF(AK177=summaryref2!B80,summaryref2!P80,IF(AK177=summaryref2!B94,summaryref2!P94,IF(AK177=summaryref2!B108,summaryref2!P108,IF(AK177=summaryref2!B122,summaryref2!P122,IF(AK177=summaryref2!B136,summaryref2!P136,IF(AK177=summaryref2!B150,summaryref2!P150,"")))))))))))</f>
        <v>#REF!</v>
      </c>
      <c r="BA177" s="1110" t="e">
        <f>IF('A-80 DirEntInv'!#REF!&lt;&gt;"",'A-80 DirEntInv'!#REF!,IF(AK177=summaryref2!B24,summaryref2!Q24,IF(Summary!AK177=summaryref2!B38,summaryref2!Q38,IF(AK177=summaryref2!B52,summaryref2!Q52,IF(AK177=summaryref2!B66,summaryref2!Q66,IF(AK177=summaryref2!B80,summaryref2!Q80,IF(AK177=summaryref2!B94,summaryref2!Q94,IF(AK177=summaryref2!B108,summaryref2!Q108,IF(AK177=summaryref2!B122,summaryref2!Q122,IF(AK177=summaryref2!B136,summaryref2!Q136,IF(AK177=summaryref2!B150,summaryref2!Q150,"")))))))))))</f>
        <v>#REF!</v>
      </c>
      <c r="BB177" s="1110" t="e">
        <f>IF('A-80 DirEntInv'!#REF!&lt;&gt;"",'A-80 DirEntInv'!#REF!,IF(AK177=summaryref2!B24,summaryref2!R24,IF(Summary!AK177=summaryref2!B38,summaryref2!R38,IF(AK177=summaryref2!B52,summaryref2!R52,IF(AK177=summaryref2!B66,summaryref2!R66,IF(AK177=summaryref2!B80,summaryref2!R80,IF(AK177=summaryref2!B94,summaryref2!R94,IF(AK177=summaryref2!B108,summaryref2!R108,IF(AK177=summaryref2!B122,summaryref2!R122,IF(AK177=summaryref2!B136,summaryref2!R136,IF(AK177=summaryref2!B150,summaryref2!R150,"")))))))))))</f>
        <v>#REF!</v>
      </c>
      <c r="BC177" s="1110" t="e">
        <f>IF('A-80 DirEntInv'!#REF!&lt;&gt;0,'A-80 DirEntInv'!#REF!,IF(AK177=summaryref2!B24,summaryref2!S24,IF(Summary!AK177=summaryref2!B38,summaryref2!S38,IF(AK177=summaryref2!B52,summaryref2!S52,IF(AK177=summaryref2!B66,summaryref2!S66,IF(AK177=summaryref2!B80,summaryref2!S80,IF(AK177=summaryref2!B94,summaryref2!S94,IF(AK177=summaryref2!B108,summaryref2!S108,IF(AK177=summaryref2!B122,summaryref2!S122,IF(AK177=summaryref2!B136,summaryref2!S136,IF(AK177=summaryref2!B150,summaryref2!S150,"")))))))))))</f>
        <v>#REF!</v>
      </c>
      <c r="BD177" s="1111" t="e">
        <f>IF('A-80 DirEntInv'!#REF!&lt;&gt;"",'A-80 DirEntInv'!#REF!,IF(AK177=summaryref2!B24,summaryref2!T24,IF(Summary!AK177=summaryref2!B38,summaryref2!T38,IF(AK177=summaryref2!B52,summaryref2!T52,IF(AK177=summaryref2!B66,summaryref2!T66,IF(AK177=summaryref2!B80,summaryref2!T80,IF(AK177=summaryref2!B94,summaryref2!T94,IF(AK177=summaryref2!B108,summaryref2!T108,IF(AK177=summaryref2!B122,summaryref2!T122,IF(AK177=summaryref2!B136,summaryref2!T136,IF(AK177=summaryref2!B150,summaryref2!T150,"")))))))))))</f>
        <v>#REF!</v>
      </c>
      <c r="BE177" s="1184" t="e">
        <f>IF('A-80 DirEntInv'!#REF!&lt;&gt;"",'A-80 DirEntInv'!#REF!,IF(AK177=summaryref2!B24,summaryref2!U24,IF(Summary!AK177=summaryref2!B38,summaryref2!U38,IF(AK177=summaryref2!B52,summaryref2!U52,IF(AK177=summaryref2!B66,summaryref2!U66,IF(AK177=summaryref2!B80,summaryref2!U80,IF(AK177=summaryref2!B94,summaryref2!U94,IF(AK177=summaryref2!B108,summaryref2!U108,IF(AK177=summaryref2!B122,summaryref2!U122,IF(AK177=summaryref2!B136,summaryref2!U136,IF(AK177=summaryref2!B150,summaryref2!U150,"")))))))))))</f>
        <v>#REF!</v>
      </c>
      <c r="BF177" s="1432"/>
      <c r="BG177" s="1432"/>
      <c r="BU177" s="962"/>
      <c r="CD177" s="589"/>
      <c r="CE177" s="590"/>
      <c r="CF177" s="590"/>
      <c r="CG177" s="590"/>
      <c r="CH177" s="590"/>
      <c r="CI177" s="590"/>
      <c r="CJ177" s="589"/>
      <c r="CK177" s="589"/>
      <c r="CL177" s="589"/>
      <c r="CM177" s="587"/>
      <c r="CN177" s="587"/>
      <c r="CO177" s="589"/>
      <c r="CP177" s="587"/>
      <c r="CQ177" s="592"/>
      <c r="CR177" s="589"/>
      <c r="CS177" s="592"/>
      <c r="CT177" s="589"/>
      <c r="CU177" s="589"/>
      <c r="CV177" s="589"/>
      <c r="CW177" s="587"/>
      <c r="CX177" s="590"/>
      <c r="CY177" s="590"/>
      <c r="CZ177" s="590"/>
      <c r="DA177" s="1054"/>
      <c r="DB177" s="1054"/>
      <c r="DC177" s="587"/>
      <c r="DD177" s="587"/>
    </row>
    <row r="178" spans="1:108" s="588" customFormat="1" ht="13.5" thickBot="1" x14ac:dyDescent="0.25">
      <c r="A178" s="589">
        <f t="shared" si="2"/>
        <v>168</v>
      </c>
      <c r="B178" s="587"/>
      <c r="C178" s="587"/>
      <c r="D178" s="587"/>
      <c r="J178" s="589"/>
      <c r="K178" s="590"/>
      <c r="L178" s="591"/>
      <c r="M178" s="592"/>
      <c r="N178" s="589"/>
      <c r="O178" s="587"/>
      <c r="R178" s="1052"/>
      <c r="S178" s="1052"/>
      <c r="T178" s="1052"/>
      <c r="U178" s="1052"/>
      <c r="V178" s="1052"/>
      <c r="W178" s="1053"/>
      <c r="X178" s="1053"/>
      <c r="Y178" s="1053"/>
      <c r="Z178" s="1052"/>
      <c r="AA178" s="1052"/>
      <c r="AB178" s="962"/>
      <c r="AC178" s="590"/>
      <c r="AD178" s="590"/>
      <c r="AE178" s="591"/>
      <c r="AF178" s="592"/>
      <c r="AG178" s="1053"/>
      <c r="AH178" s="587"/>
      <c r="AK178" s="1047" t="str">
        <f>Codes!$C$167</f>
        <v>MG - Monorail/Automated Guideway (DO)</v>
      </c>
      <c r="AL178" s="1050" t="str">
        <f>Valid!$B$91</f>
        <v>Train Control &amp; Signaling</v>
      </c>
      <c r="AM178" s="1185"/>
      <c r="AN178" s="1050"/>
      <c r="AO178" s="1185"/>
      <c r="AP178" s="1050"/>
      <c r="AQ178" s="1386" t="e">
        <f>IF('A-80 DirEntInv'!#REF!&lt;&gt;"",'A-80 DirEntInv'!#REF!,IF(AK178=summaryref2!B25,summaryref2!G25,IF(Summary!AK178=summaryref2!B39,summaryref2!G39,IF(AK178=summaryref2!B53,summaryref2!G53,IF(AK178=summaryref2!B67,summaryref2!G67,IF(AK178=summaryref2!B81,summaryref2!G81,IF(AK178=summaryref2!B95,summaryref2!G95,IF(AK178=summaryref2!B109,summaryref2!G109,IF(AK178=summaryref2!B123,summaryref2!G123,IF(AK178=summaryref2!B137,summaryref2!G137,IF(AK178=summaryref2!B151,summaryref2!G151,"")))))))))))</f>
        <v>#REF!</v>
      </c>
      <c r="AR178" s="1386" t="e">
        <f>IF('A-80 DirEntInv'!#REF!&lt;&gt;"",'A-80 DirEntInv'!#REF!,IF(AK178=summaryref2!B25,summaryref2!H25,IF(Summary!AK178=summaryref2!B39,summaryref2!H39,IF(AK178=summaryref2!B53,summaryref2!H53,IF(AK178=summaryref2!B67,summaryref2!H67,IF(AK178=summaryref2!B81,summaryref2!H81,IF(AK178=summaryref2!B95,summaryref2!H95,IF(AK178=summaryref2!B109,summaryref2!H109,IF(AK178=summaryref2!B123,summaryref2!H123,IF(AK178=summaryref2!B137,summaryref2!H137,IF(AK178=summaryref2!B151,summaryref2!H151,"")))))))))))</f>
        <v>#REF!</v>
      </c>
      <c r="AS178" s="1387" t="e">
        <f>IF('A-80 DirEntInv'!#REF!&lt;&gt;"",'A-80 DirEntInv'!#REF!,IF(AK178=summaryref2!B25,summaryref2!I25,IF(Summary!AK178=summaryref2!B39,summaryref2!I39,IF(AK178=summaryref2!B53,summaryref2!I53,IF(AK178=summaryref2!B67,summaryref2!I67,IF(AK178=summaryref2!B81,summaryref2!I81,IF(AK178=summaryref2!B95,summaryref2!I95,IF(AK178=summaryref2!B109,summaryref2!I109,IF(AK178=summaryref2!B123,summaryref2!I123,IF(AK178=summaryref2!B137,summaryref2!I137,IF(AK178=summaryref2!B151,summaryref2!I151,"")))))))))))</f>
        <v>#REF!</v>
      </c>
      <c r="AT178" s="1387" t="e">
        <f>IF('A-80 DirEntInv'!#REF!&lt;&gt;"",'A-80 DirEntInv'!#REF!,IF(AK178=summaryref2!B25,summaryref2!J25,IF(Summary!AK178=summaryref2!B39,summaryref2!J39,IF(AK178=summaryref2!B53,summaryref2!J53,IF(AK178=summaryref2!B67,summaryref2!J67,IF(AK178=summaryref2!B81,summaryref2!J81,IF(AK178=summaryref2!B95,summaryref2!J95,IF(AK178=summaryref2!B109,summaryref2!J109,IF(AK178=summaryref2!B123,summaryref2!J123,IF(AK178=summaryref2!B137,summaryref2!J137,IF(AK178=summaryref2!B151,summaryref2!J151,"")))))))))))</f>
        <v>#REF!</v>
      </c>
      <c r="AU178" s="1387" t="e">
        <f>IF('A-80 DirEntInv'!#REF!&lt;&gt;"",'A-80 DirEntInv'!#REF!,IF(AK178=summaryref2!B25,summaryref2!K25,IF(Summary!AK178=summaryref2!B39,summaryref2!K39,IF(AK178=summaryref2!B53,summaryref2!K53,IF(AK178=summaryref2!B67,summaryref2!K67,IF(AK178=summaryref2!B81,summaryref2!K81,IF(AK178=summaryref2!B95,summaryref2!K95,IF(AK178=summaryref2!B109,summaryref2!K109,IF(AK178=summaryref2!B123,summaryref2!K123,IF(AK178=summaryref2!B137,summaryref2!K137,IF(AK178=summaryref2!B151,summaryref2!K151,"")))))))))))</f>
        <v>#REF!</v>
      </c>
      <c r="AV178" s="1387" t="e">
        <f>IF('A-80 DirEntInv'!#REF!&lt;&gt;"",'A-80 DirEntInv'!#REF!,IF(AK178=summaryref2!B25,summaryref2!L25,IF(Summary!AK178=summaryref2!B39,summaryref2!L39,IF(AK178=summaryref2!B53,summaryref2!L53,IF(AK178=summaryref2!B67,summaryref2!L67,IF(AK178=summaryref2!B81,summaryref2!L81,IF(AK178=summaryref2!B95,summaryref2!L95,IF(AK178=summaryref2!B109,summaryref2!L109,IF(AK178=summaryref2!B123,summaryref2!L123,IF(AK178=summaryref2!B137,summaryref2!L137,IF(AK178=summaryref2!B151,summaryref2!L151,"")))))))))))</f>
        <v>#REF!</v>
      </c>
      <c r="AW178" s="1387" t="e">
        <f>IF('A-80 DirEntInv'!#REF!&lt;&gt;"",'A-80 DirEntInv'!#REF!,IF(AK178=summaryref2!B25,summaryref2!M25,IF(Summary!AK178=summaryref2!B39,summaryref2!M39,IF(AK178=summaryref2!B53,summaryref2!M53,IF(AK178=summaryref2!B67,summaryref2!M67,IF(AK178=summaryref2!B81,summaryref2!M81,IF(AK178=summaryref2!B95,summaryref2!M95,IF(AK178=summaryref2!B109,summaryref2!M109,IF(AK178=summaryref2!B123,summaryref2!M123,IF(AK178=summaryref2!B137,summaryref2!M137,IF(AK178=summaryref2!B151,summaryref2!M151,"")))))))))))</f>
        <v>#REF!</v>
      </c>
      <c r="AX178" s="1387" t="e">
        <f>IF('A-80 DirEntInv'!#REF!&lt;&gt;"",'A-80 DirEntInv'!#REF!,IF(AK178=summaryref2!B25,summaryref2!N25,IF(Summary!AK178=summaryref2!B39,summaryref2!N39,IF(AK178=summaryref2!B53,summaryref2!N53,IF(AK178=summaryref2!B67,summaryref2!N67,IF(AK178=summaryref2!B81,summaryref2!N81,IF(AK178=summaryref2!B95,summaryref2!N95,IF(AK178=summaryref2!B109,summaryref2!N109,IF(AK178=summaryref2!B123,summaryref2!N123,IF(AK178=summaryref2!B137,summaryref2!N137,IF(AK178=summaryref2!B151,summaryref2!N151,"")))))))))))</f>
        <v>#REF!</v>
      </c>
      <c r="AY178" s="1387" t="e">
        <f>IF('A-80 DirEntInv'!#REF!&lt;&gt;"",'A-80 DirEntInv'!#REF!,IF(AK178=summaryref2!B25,summaryref2!O25,IF(Summary!AK178=summaryref2!B39,summaryref2!O39,IF(AK178=summaryref2!B53,summaryref2!O53,IF(AK178=summaryref2!B67,summaryref2!O67,IF(AK178=summaryref2!B81,summaryref2!O81,IF(AK178=summaryref2!B95,summaryref2!O95,IF(AK178=summaryref2!B109,summaryref2!O109,IF(AK178=summaryref2!B123,summaryref2!O123,IF(AK178=summaryref2!B137,summaryref2!O137,IF(AK178=summaryref2!B151,summaryref2!O151,"")))))))))))</f>
        <v>#REF!</v>
      </c>
      <c r="AZ178" s="1387" t="e">
        <f>IF('A-80 DirEntInv'!#REF!&lt;&gt;"",'A-80 DirEntInv'!#REF!,IF(AK178=summaryref2!B25,summaryref2!P25,IF(Summary!AK178=summaryref2!B39,summaryref2!P39,IF(AK178=summaryref2!B53,summaryref2!P53,IF(AK178=summaryref2!B67,summaryref2!P67,IF(AK178=summaryref2!B81,summaryref2!P81,IF(AK178=summaryref2!B95,summaryref2!P95,IF(AK178=summaryref2!B109,summaryref2!P109,IF(AK178=summaryref2!B123,summaryref2!P123,IF(AK178=summaryref2!B137,summaryref2!P137,IF(AK178=summaryref2!B151,summaryref2!P151,"")))))))))))</f>
        <v>#REF!</v>
      </c>
      <c r="BA178" s="1387" t="e">
        <f>IF('A-80 DirEntInv'!#REF!&lt;&gt;"",'A-80 DirEntInv'!#REF!,IF(AK178=summaryref2!B25,summaryref2!Q25,IF(Summary!AK178=summaryref2!B39,summaryref2!Q39,IF(AK178=summaryref2!B53,summaryref2!Q53,IF(AK178=summaryref2!B67,summaryref2!Q67,IF(AK178=summaryref2!B81,summaryref2!Q81,IF(AK178=summaryref2!B95,summaryref2!Q95,IF(AK178=summaryref2!B109,summaryref2!Q109,IF(AK178=summaryref2!B123,summaryref2!Q123,IF(AK178=summaryref2!B137,summaryref2!Q137,IF(AK178=summaryref2!B151,summaryref2!Q151,"")))))))))))</f>
        <v>#REF!</v>
      </c>
      <c r="BB178" s="1387" t="e">
        <f>IF('A-80 DirEntInv'!#REF!&lt;&gt;"",'A-80 DirEntInv'!#REF!,IF(AK178=summaryref2!B25,summaryref2!R25,IF(Summary!AK178=summaryref2!B39,summaryref2!R39,IF(AK178=summaryref2!B53,summaryref2!R53,IF(AK178=summaryref2!B67,summaryref2!R67,IF(AK178=summaryref2!B81,summaryref2!R81,IF(AK178=summaryref2!B95,summaryref2!R95,IF(AK178=summaryref2!B109,summaryref2!R109,IF(AK178=summaryref2!B123,summaryref2!R123,IF(AK178=summaryref2!B137,summaryref2!R137,IF(AK178=summaryref2!B151,summaryref2!R151,"")))))))))))</f>
        <v>#REF!</v>
      </c>
      <c r="BC178" s="1387" t="e">
        <f>IF('A-80 DirEntInv'!#REF!&lt;&gt;0,'A-80 DirEntInv'!#REF!,IF(AK178=summaryref2!B25,summaryref2!S25,IF(Summary!AK178=summaryref2!B39,summaryref2!S39,IF(AK178=summaryref2!B53,summaryref2!S53,IF(AK178=summaryref2!B67,summaryref2!S67,IF(AK178=summaryref2!B81,summaryref2!S81,IF(AK178=summaryref2!B95,summaryref2!S95,IF(AK178=summaryref2!B109,summaryref2!S109,IF(AK178=summaryref2!B123,summaryref2!S123,IF(AK178=summaryref2!B137,summaryref2!S137,IF(AK178=summaryref2!B151,summaryref2!S151,"")))))))))))</f>
        <v>#REF!</v>
      </c>
      <c r="BD178" s="1118" t="e">
        <f>IF('A-80 DirEntInv'!#REF!&lt;&gt;"",'A-80 DirEntInv'!#REF!,IF(AK178=summaryref2!B25,summaryref2!T25,IF(Summary!AK178=summaryref2!B39,summaryref2!T39,IF(AK178=summaryref2!B53,summaryref2!T53,IF(AK178=summaryref2!B67,summaryref2!T67,IF(AK178=summaryref2!B81,summaryref2!T81,IF(AK178=summaryref2!B95,summaryref2!T95,IF(AK178=summaryref2!B109,summaryref2!T109,IF(AK178=summaryref2!B123,summaryref2!T123,IF(AK178=summaryref2!B137,summaryref2!T137,IF(AK178=summaryref2!B151,summaryref2!T151,"")))))))))))</f>
        <v>#REF!</v>
      </c>
      <c r="BE178" s="1186" t="e">
        <f>IF('A-80 DirEntInv'!#REF!&lt;&gt;"",'A-80 DirEntInv'!#REF!,IF(AK178=summaryref2!B25,summaryref2!U25,IF(Summary!AK178=summaryref2!B39,summaryref2!U39,IF(AK178=summaryref2!B53,summaryref2!U53,IF(AK178=summaryref2!B67,summaryref2!U67,IF(AK178=summaryref2!B81,summaryref2!U81,IF(AK178=summaryref2!B95,summaryref2!U95,IF(AK178=summaryref2!B109,summaryref2!U109,IF(AK178=summaryref2!B123,summaryref2!U123,IF(AK178=summaryref2!B137,summaryref2!U137,IF(AK178=summaryref2!B151,summaryref2!U151,"")))))))))))</f>
        <v>#REF!</v>
      </c>
      <c r="BF178" s="1432"/>
      <c r="BG178" s="1432"/>
      <c r="BU178" s="962"/>
      <c r="CD178" s="589"/>
      <c r="CE178" s="590"/>
      <c r="CF178" s="590"/>
      <c r="CG178" s="590"/>
      <c r="CH178" s="590"/>
      <c r="CI178" s="590"/>
      <c r="CJ178" s="589"/>
      <c r="CK178" s="589"/>
      <c r="CL178" s="589"/>
      <c r="CM178" s="587"/>
      <c r="CN178" s="587"/>
      <c r="CO178" s="589"/>
      <c r="CP178" s="587"/>
      <c r="CQ178" s="592"/>
      <c r="CR178" s="589"/>
      <c r="CS178" s="592"/>
      <c r="CT178" s="589"/>
      <c r="CU178" s="589"/>
      <c r="CV178" s="589"/>
      <c r="CW178" s="587"/>
      <c r="CX178" s="590"/>
      <c r="CY178" s="590"/>
      <c r="CZ178" s="590"/>
      <c r="DA178" s="1054"/>
      <c r="DB178" s="1054"/>
      <c r="DC178" s="587"/>
      <c r="DD178" s="587"/>
    </row>
    <row r="179" spans="1:108" s="588" customFormat="1" x14ac:dyDescent="0.2">
      <c r="A179" s="589">
        <f t="shared" si="2"/>
        <v>169</v>
      </c>
      <c r="B179" s="587"/>
      <c r="C179" s="587"/>
      <c r="D179" s="587"/>
      <c r="J179" s="589"/>
      <c r="K179" s="590"/>
      <c r="L179" s="591"/>
      <c r="M179" s="592"/>
      <c r="N179" s="589"/>
      <c r="O179" s="587"/>
      <c r="R179" s="1052"/>
      <c r="S179" s="1052"/>
      <c r="T179" s="1052"/>
      <c r="U179" s="1052"/>
      <c r="V179" s="1052"/>
      <c r="W179" s="1053"/>
      <c r="X179" s="1053"/>
      <c r="Y179" s="1053"/>
      <c r="Z179" s="1052"/>
      <c r="AA179" s="1052"/>
      <c r="AB179" s="962"/>
      <c r="AC179" s="590"/>
      <c r="AD179" s="590"/>
      <c r="AE179" s="591"/>
      <c r="AF179" s="592"/>
      <c r="AG179" s="1053"/>
      <c r="AH179" s="587"/>
      <c r="AK179" s="1043" t="str">
        <f>Codes!$C$168</f>
        <v>MG - Monorail/Automated Guideway (PT)</v>
      </c>
      <c r="AL179" s="1303" t="str">
        <f>Valid!$B$71</f>
        <v>At-Grade/Ballast (including expressway)</v>
      </c>
      <c r="AM179" s="1092" t="e">
        <f>IF('A-80 DirEntInv'!#REF!&lt;&gt;"",'A-80 DirEntInv'!#REF!,IF(AK179=summaryref2!B12,summaryref2!D12,IF(Summary!AK179=summaryref2!B26,summaryref2!D26,IF(AK179=summaryref2!B40,summaryref2!D40,IF(AK179=summaryref2!B54,summaryref2!D54,IF(AK179=summaryref2!B68,summaryref2!D68,IF(AK179=summaryref2!B82,summaryref2!D82,IF(AK179=summaryref2!B96,summaryref2!D96,IF(AK179=summaryref2!B110,summaryref2!D110,IF(AK179=summaryref2!B124,summaryref2!D124,IF(AK179=summaryref2!B138,summaryref2!D138,"")))))))))))</f>
        <v>#REF!</v>
      </c>
      <c r="AN179" s="1127" t="e">
        <f ca="1">IF('A-80 DirEntInv'!#REF!&lt;&gt;"",'A-80 DirEntInv'!#REF!,IF(INDIRECT(ADDRESS(SumRef!CG227,SumRef!CG$16,,,SumRef!$C$7))="","",INDIRECT(ADDRESS(SumRef!CG227,SumRef!CG$16,,,SumRef!$C$7))))</f>
        <v>#REF!</v>
      </c>
      <c r="AO179" s="1092" t="e">
        <f>IF('A-80 DirEntInv'!#REF!&lt;&gt;"",'A-80 DirEntInv'!#REF!,IF(AK179=summaryref2!B12,summaryref2!F12,IF(Summary!AK179=summaryref2!B26,summaryref2!F26,IF(AK179=summaryref2!B40,summaryref2!F40,IF(AK179=summaryref2!B54,summaryref2!F54,IF(AK179=summaryref2!B68,summaryref2!F68,IF(AK179=summaryref2!B82,summaryref2!F82,IF(AK179=summaryref2!B96,summaryref2!F96,IF(AK179=summaryref2!B110,summaryref2!F110,IF(AK179=summaryref2!B124,summaryref2!F124,IF(AK179=summaryref2!B138,summaryref2!F138,"")))))))))))</f>
        <v>#REF!</v>
      </c>
      <c r="AP179" s="1127" t="e">
        <f ca="1">IF('A-80 DirEntInv'!#REF!&lt;&gt;"",'A-80 DirEntInv'!#REF!,IF(INDIRECT(ADDRESS(SumRef!#REF!,SumRef!#REF!,,,SumRef!$C$7))="","",INDIRECT(ADDRESS(SumRef!#REF!,SumRef!#REF!,,,SumRef!$C$7))))</f>
        <v>#REF!</v>
      </c>
      <c r="AQ179" s="1146" t="e">
        <f>IF('A-80 DirEntInv'!#REF!&lt;&gt;"",'A-80 DirEntInv'!#REF!,IF(AK179=summaryref2!B12,summaryref2!G12,IF(Summary!AK179=summaryref2!B26,summaryref2!G26,IF(AK179=summaryref2!B40,summaryref2!G40,IF(AK179=summaryref2!B54,summaryref2!G54,IF(AK179=summaryref2!B68,summaryref2!G68,IF(AK179=summaryref2!B82,summaryref2!G82,IF(AK179=summaryref2!B96,summaryref2!G96,IF(AK179=summaryref2!B110,summaryref2!G110,IF(AK179=summaryref2!B124,summaryref2!G124,IF(AK179=summaryref2!B138,summaryref2!G138,"")))))))))))</f>
        <v>#REF!</v>
      </c>
      <c r="AR179" s="1146" t="e">
        <f>IF('A-80 DirEntInv'!#REF!&lt;&gt;"",'A-80 DirEntInv'!#REF!,IF(AK179=summaryref2!B12,summaryref2!H12,IF(Summary!AK179=summaryref2!B26,summaryref2!H26,IF(AK179=summaryref2!B40,summaryref2!H40,IF(AK179=summaryref2!B54,summaryref2!H54,IF(AK179=summaryref2!B68,summaryref2!H68,IF(AK179=summaryref2!B82,summaryref2!H82,IF(AK179=summaryref2!B96,summaryref2!H96,IF(AK179=summaryref2!B110,summaryref2!H110,IF(AK179=summaryref2!B124,summaryref2!H124,IF(AK179=summaryref2!B138,summaryref2!H138,"")))))))))))</f>
        <v>#REF!</v>
      </c>
      <c r="AS179" s="1092" t="e">
        <f>IF('A-80 DirEntInv'!#REF!&lt;&gt;"",'A-80 DirEntInv'!#REF!,IF(AK179=summaryref2!B12,summaryref2!I12,IF(Summary!AK179=summaryref2!B26,summaryref2!I26,IF(AK179=summaryref2!B40,summaryref2!I40,IF(AK179=summaryref2!B54,summaryref2!I54,IF(AK179=summaryref2!B68,summaryref2!I68,IF(AK179=summaryref2!B82,summaryref2!I82,IF(AK179=summaryref2!B96,summaryref2!I96,IF(AK179=summaryref2!B110,summaryref2!I110,IF(AK179=summaryref2!B124,summaryref2!I124,IF(AK179=summaryref2!B138,summaryref2!I138,"")))))))))))</f>
        <v>#REF!</v>
      </c>
      <c r="AT179" s="1092" t="e">
        <f>IF('A-80 DirEntInv'!#REF!&lt;&gt;"",'A-80 DirEntInv'!#REF!,IF(AK179=summaryref2!B12,summaryref2!J12,IF(Summary!AK179=summaryref2!B26,summaryref2!J26,IF(AK179=summaryref2!B40,summaryref2!J40,IF(AK179=summaryref2!B54,summaryref2!J54,IF(AK179=summaryref2!B68,summaryref2!J68,IF(AK179=summaryref2!B82,summaryref2!J82,IF(AK179=summaryref2!B96,summaryref2!J96,IF(AK179=summaryref2!B110,summaryref2!J110,IF(AK179=summaryref2!B124,summaryref2!J124,IF(AK179=summaryref2!B138,summaryref2!J138,"")))))))))))</f>
        <v>#REF!</v>
      </c>
      <c r="AU179" s="1092" t="e">
        <f>IF('A-80 DirEntInv'!#REF!&lt;&gt;"",'A-80 DirEntInv'!#REF!,IF(AK179=summaryref2!B12,summaryref2!K12,IF(Summary!AK179=summaryref2!B26,summaryref2!K26,IF(AK179=summaryref2!B40,summaryref2!K40,IF(AK179=summaryref2!B54,summaryref2!K54,IF(AK179=summaryref2!B68,summaryref2!K68,IF(AK179=summaryref2!B82,summaryref2!K82,IF(AK179=summaryref2!B96,summaryref2!K96,IF(AK179=summaryref2!B110,summaryref2!K110,IF(AK179=summaryref2!B124,summaryref2!K124,IF(AK179=summaryref2!B138,summaryref2!K138,"")))))))))))</f>
        <v>#REF!</v>
      </c>
      <c r="AV179" s="1092" t="e">
        <f>IF('A-80 DirEntInv'!#REF!&lt;&gt;"",'A-80 DirEntInv'!#REF!,IF(AK179=summaryref2!B12,summaryref2!L12,IF(Summary!AK179=summaryref2!B26,summaryref2!L26,IF(AK179=summaryref2!B40,summaryref2!L40,IF(AK179=summaryref2!B54,summaryref2!L54,IF(AK179=summaryref2!B68,summaryref2!L68,IF(AK179=summaryref2!B82,summaryref2!L82,IF(AK179=summaryref2!B96,summaryref2!L96,IF(AK179=summaryref2!B110,summaryref2!L110,IF(AK179=summaryref2!B124,summaryref2!L124,IF(AK179=summaryref2!B138,summaryref2!L138,"")))))))))))</f>
        <v>#REF!</v>
      </c>
      <c r="AW179" s="1092" t="e">
        <f>IF('A-80 DirEntInv'!#REF!&lt;&gt;"",'A-80 DirEntInv'!#REF!,IF($AK179=summaryref2!$B$12,summaryref2!M$12,IF(Summary!$AK179=summaryref2!$B$26,summaryref2!M$26,IF($AK179=summaryref2!$B$40,summaryref2!M$40,IF($AK179=summaryref2!$B$54,summaryref2!M$54,IF($AK179=summaryref2!$B$68,summaryref2!M$68,IF($AK179=summaryref2!$B$82,summaryref2!M$82,IF($AK179=summaryref2!$B$96,summaryref2!M$96,IF($AK179=summaryref2!$B$110,summaryref2!M$110,IF($AK179=summaryref2!$B$124,summaryref2!M$124,IF($AK179=summaryref2!$B$138,summaryref2!M$138,"")))))))))))</f>
        <v>#REF!</v>
      </c>
      <c r="AX179" s="1092" t="e">
        <f>IF('A-80 DirEntInv'!#REF!&lt;&gt;"",'A-80 DirEntInv'!#REF!,IF(AK179=summaryref2!B12,summaryref2!N12,IF(Summary!AK179=summaryref2!B26,summaryref2!N26,IF(AK179=summaryref2!B40,summaryref2!N40,IF(AK179=summaryref2!B54,summaryref2!N54,IF(AK179=summaryref2!B68,summaryref2!N68,IF(AK179=summaryref2!B82,summaryref2!N82,IF(AK179=summaryref2!B96,summaryref2!N96,IF(AK179=summaryref2!B110,summaryref2!N110,IF(AK179=summaryref2!B124,summaryref2!N124,IF(AK179=summaryref2!B138,summaryref2!N138,"")))))))))))</f>
        <v>#REF!</v>
      </c>
      <c r="AY179" s="1092" t="e">
        <f>IF('A-80 DirEntInv'!#REF!&lt;&gt;"",'A-80 DirEntInv'!#REF!,IF(AK179=summaryref2!B12,summaryref2!O12,IF(Summary!AK179=summaryref2!B26,summaryref2!O26,IF(AK179=summaryref2!B40,summaryref2!O40,IF(AK179=summaryref2!B54,summaryref2!O54,IF(AK179=summaryref2!B68,summaryref2!O68,IF(AK179=summaryref2!B82,summaryref2!O82,IF(AK179=summaryref2!B96,summaryref2!O96,IF(AK179=summaryref2!B110,summaryref2!O110,IF(AK179=summaryref2!B124,summaryref2!O124,IF(AK179=summaryref2!B138,summaryref2!O138,"")))))))))))</f>
        <v>#REF!</v>
      </c>
      <c r="AZ179" s="1092" t="e">
        <f>IF('A-80 DirEntInv'!#REF!&lt;&gt;"",'A-80 DirEntInv'!#REF!,IF(AK179=summaryref2!B12,summaryref2!P12,IF(Summary!AK179=summaryref2!B26,summaryref2!P26,IF(AK179=summaryref2!B40,summaryref2!P40,IF(AK179=summaryref2!B54,summaryref2!P54,IF(AK179=summaryref2!B68,summaryref2!P68,IF(AK179=summaryref2!B82,summaryref2!P82,IF(AK179=summaryref2!B96,summaryref2!P96,IF(AK179=summaryref2!B110,summaryref2!P110,IF(AK179=summaryref2!B124,summaryref2!P124,IF(AK179=summaryref2!B138,summaryref2!P138,"")))))))))))</f>
        <v>#REF!</v>
      </c>
      <c r="BA179" s="1092" t="e">
        <f>IF('A-80 DirEntInv'!#REF!&lt;&gt;"",'A-80 DirEntInv'!#REF!,IF(AK179=summaryref2!B12,summaryref2!Q12,IF(Summary!AK179=summaryref2!B26,summaryref2!Q26,IF(AK179=summaryref2!B40,summaryref2!Q40,IF(AK179=summaryref2!B54,summaryref2!Q54,IF(AK179=summaryref2!B68,summaryref2!Q68,IF(AK179=summaryref2!B82,summaryref2!Q82,IF(AK179=summaryref2!B96,summaryref2!Q96,IF(AK179=summaryref2!B110,summaryref2!Q110,IF(AK179=summaryref2!B124,summaryref2!Q124,IF(AK179=summaryref2!B138,summaryref2!Q138,"")))))))))))</f>
        <v>#REF!</v>
      </c>
      <c r="BB179" s="1092" t="e">
        <f>IF('A-80 DirEntInv'!#REF!&lt;&gt;"",'A-80 DirEntInv'!#REF!,IF(AK179=summaryref2!B12,summaryref2!R12,IF(Summary!AK179=summaryref2!B26,summaryref2!R26,IF(AK179=summaryref2!B40,summaryref2!R40,IF(AK179=summaryref2!B54,summaryref2!R54,IF(AK179=summaryref2!B68,summaryref2!R68,IF(AK179=summaryref2!B82,summaryref2!R82,IF(AK179=summaryref2!B96,summaryref2!R96,IF(AK179=summaryref2!B110,summaryref2!R110,IF(AK179=summaryref2!B124,summaryref2!R124,IF(AK179=summaryref2!B138,summaryref2!R138,"")))))))))))</f>
        <v>#REF!</v>
      </c>
      <c r="BC179" s="1092" t="e">
        <f>IF('A-80 DirEntInv'!#REF!&lt;&gt;0,'A-80 DirEntInv'!#REF!,IF(AK179=summaryref2!B12,summaryref2!S12,IF(Summary!AK179=summaryref2!B26,summaryref2!S26,IF(AK179=summaryref2!B40,summaryref2!S40,IF(AK179=summaryref2!B54,summaryref2!S54,IF(AK179=summaryref2!B68,summaryref2!S68,IF(AK179=summaryref2!B82,summaryref2!S82,IF(AK179=summaryref2!B96,summaryref2!S96,IF(AK179=summaryref2!B110,summaryref2!S110,IF(AK179=summaryref2!B124,summaryref2!S124,IF(AK179=summaryref2!B138,summaryref2!S138,"")))))))))))</f>
        <v>#REF!</v>
      </c>
      <c r="BD179" s="1093" t="e">
        <f>IF('A-80 DirEntInv'!#REF!&lt;&gt;"",'A-80 DirEntInv'!#REF!,IF(AK179=summaryref2!B12,summaryref2!T12,IF(Summary!AK179=summaryref2!B26,summaryref2!T26,IF(AK179=summaryref2!B40,summaryref2!T40,IF(AK179=summaryref2!B54,summaryref2!T54,IF(AK179=summaryref2!B68,summaryref2!T68,IF(AK179=summaryref2!B82,summaryref2!T82,IF(AK179=summaryref2!B96,summaryref2!T96,IF(AK179=summaryref2!B110,summaryref2!T110,IF(AK179=summaryref2!B124,summaryref2!T124,IF(AK179=summaryref2!B138,summaryref2!T138,"")))))))))))</f>
        <v>#REF!</v>
      </c>
      <c r="BE179" s="1189" t="e">
        <f>IF('A-80 DirEntInv'!#REF!&lt;&gt;"",'A-80 DirEntInv'!#REF!,IF(AK179=summaryref2!B12,summaryref2!U12,IF(Summary!AK179=summaryref2!B26,summaryref2!U26,IF(AK179=summaryref2!B40,summaryref2!U40,IF(AK179=summaryref2!B54,summaryref2!U54,IF(AK179=summaryref2!B68,summaryref2!U68,IF(AK179=summaryref2!B82,summaryref2!U82,IF(AK179=summaryref2!B96,summaryref2!U96,IF(AK179=summaryref2!B110,summaryref2!U110,IF(AK179=summaryref2!B124,summaryref2!U124,IF(AK179=summaryref2!B138,summaryref2!U138,"")))))))))))</f>
        <v>#REF!</v>
      </c>
      <c r="BF179" s="1431"/>
      <c r="BG179" s="1431"/>
      <c r="BU179" s="962"/>
      <c r="CD179" s="589"/>
      <c r="CE179" s="590"/>
      <c r="CF179" s="590"/>
      <c r="CG179" s="590"/>
      <c r="CH179" s="590"/>
      <c r="CI179" s="590"/>
      <c r="CJ179" s="589"/>
      <c r="CK179" s="589"/>
      <c r="CL179" s="589"/>
      <c r="CM179" s="587"/>
      <c r="CN179" s="587"/>
      <c r="CO179" s="589"/>
      <c r="CP179" s="587"/>
      <c r="CQ179" s="592"/>
      <c r="CR179" s="589"/>
      <c r="CS179" s="592"/>
      <c r="CT179" s="589"/>
      <c r="CU179" s="589"/>
      <c r="CV179" s="589"/>
      <c r="CW179" s="587"/>
      <c r="CX179" s="590"/>
      <c r="CY179" s="590"/>
      <c r="CZ179" s="590"/>
      <c r="DA179" s="1054"/>
      <c r="DB179" s="1054"/>
      <c r="DC179" s="587"/>
      <c r="DD179" s="587"/>
    </row>
    <row r="180" spans="1:108" s="588" customFormat="1" x14ac:dyDescent="0.2">
      <c r="A180" s="589">
        <f t="shared" si="2"/>
        <v>170</v>
      </c>
      <c r="B180" s="587"/>
      <c r="C180" s="587"/>
      <c r="D180" s="587"/>
      <c r="J180" s="589"/>
      <c r="K180" s="590"/>
      <c r="L180" s="591"/>
      <c r="M180" s="592"/>
      <c r="N180" s="589"/>
      <c r="O180" s="587"/>
      <c r="R180" s="1052"/>
      <c r="S180" s="1052"/>
      <c r="T180" s="1052"/>
      <c r="U180" s="1052"/>
      <c r="V180" s="1052"/>
      <c r="W180" s="1053"/>
      <c r="X180" s="1053"/>
      <c r="Y180" s="1053"/>
      <c r="Z180" s="1052"/>
      <c r="AA180" s="1052"/>
      <c r="AB180" s="962"/>
      <c r="AC180" s="590"/>
      <c r="AD180" s="590"/>
      <c r="AE180" s="591"/>
      <c r="AF180" s="592"/>
      <c r="AG180" s="1053"/>
      <c r="AH180" s="587"/>
      <c r="AK180" s="1041" t="str">
        <f>Codes!$C$168</f>
        <v>MG - Monorail/Automated Guideway (PT)</v>
      </c>
      <c r="AL180" s="1042" t="str">
        <f>Valid!$B$72</f>
        <v>At-Grade/In-Street/Embedded</v>
      </c>
      <c r="AM180" s="1108" t="e">
        <f>IF('A-80 DirEntInv'!#REF!&lt;&gt;"",'A-80 DirEntInv'!#REF!,IF(AK180=summaryref2!B13,summaryref2!D13,IF(Summary!AK180=summaryref2!B27,summaryref2!D27,IF(AK180=summaryref2!B41,summaryref2!D41,IF(AK180=summaryref2!B55,summaryref2!D55,IF(AK180=summaryref2!B69,summaryref2!D69,IF(AK180=summaryref2!B83,summaryref2!D83,IF(AK180=summaryref2!B97,summaryref2!D97,IF(AK180=summaryref2!B111,summaryref2!D111,IF(AK180=summaryref2!B125,summaryref2!D125,IF(AK180=summaryref2!B139,summaryref2!D139,"")))))))))))</f>
        <v>#REF!</v>
      </c>
      <c r="AN180" s="1109" t="e">
        <f ca="1">IF('A-80 DirEntInv'!#REF!&lt;&gt;"",'A-80 DirEntInv'!#REF!,IF(INDIRECT(ADDRESS(SumRef!CG229,SumRef!CG$16,,,SumRef!$C$7))="","",INDIRECT(ADDRESS(SumRef!CG229,SumRef!CG$16,,,SumRef!$C$7))))</f>
        <v>#REF!</v>
      </c>
      <c r="AO180" s="1108" t="e">
        <f>IF('A-80 DirEntInv'!#REF!&lt;&gt;"",'A-80 DirEntInv'!#REF!,IF(AK180=summaryref2!B13,summaryref2!F13,IF(Summary!AK180=summaryref2!B27,summaryref2!F27,IF(AK180=summaryref2!B41,summaryref2!F41,IF(AK180=summaryref2!B55,summaryref2!F55,IF(AK180=summaryref2!B69,summaryref2!F69,IF(AK180=summaryref2!B83,summaryref2!F83,IF(AK180=summaryref2!B97,summaryref2!F97,IF(AK180=summaryref2!B111,summaryref2!F111,IF(AK180=summaryref2!B125,summaryref2!F125,IF(AK180=summaryref2!B139,summaryref2!F139,"")))))))))))</f>
        <v>#REF!</v>
      </c>
      <c r="AP180" s="1109" t="e">
        <f ca="1">IF('A-80 DirEntInv'!#REF!&lt;&gt;"",'A-80 DirEntInv'!#REF!,IF(INDIRECT(ADDRESS(SumRef!#REF!,SumRef!#REF!,,,SumRef!$C$7))="","",INDIRECT(ADDRESS(SumRef!#REF!,SumRef!#REF!,,,SumRef!$C$7))))</f>
        <v>#REF!</v>
      </c>
      <c r="AQ180" s="1147" t="e">
        <f>IF('A-80 DirEntInv'!#REF!&lt;&gt;"",'A-80 DirEntInv'!#REF!,IF(AK180=summaryref2!B13,summaryref2!G13,IF(Summary!AK180=summaryref2!B27,summaryref2!G27,IF(AK180=summaryref2!B41,summaryref2!G41,IF(AK180=summaryref2!B55,summaryref2!G55,IF(AK180=summaryref2!B69,summaryref2!G69,IF(AK180=summaryref2!B83,summaryref2!G83,IF(AK180=summaryref2!B97,summaryref2!G97,IF(AK180=summaryref2!B111,summaryref2!G111,IF(AK180=summaryref2!B125,summaryref2!G125,IF(AK180=summaryref2!B139,summaryref2!G139,"")))))))))))</f>
        <v>#REF!</v>
      </c>
      <c r="AR180" s="1147" t="e">
        <f>IF('A-80 DirEntInv'!#REF!&lt;&gt;"",'A-80 DirEntInv'!#REF!,IF(AK180=summaryref2!B13,summaryref2!H13,IF(Summary!AK180=summaryref2!B27,summaryref2!H27,IF(AK180=summaryref2!B41,summaryref2!H41,IF(AK180=summaryref2!B55,summaryref2!H55,IF(AK180=summaryref2!B69,summaryref2!H69,IF(AK180=summaryref2!B83,summaryref2!H83,IF(AK180=summaryref2!B97,summaryref2!H97,IF(AK180=summaryref2!B111,summaryref2!H111,IF(AK180=summaryref2!B125,summaryref2!H125,IF(AK180=summaryref2!B139,summaryref2!H139,"")))))))))))</f>
        <v>#REF!</v>
      </c>
      <c r="AS180" s="1110" t="e">
        <f>IF('A-80 DirEntInv'!#REF!&lt;&gt;"",'A-80 DirEntInv'!#REF!,IF(AK180=summaryref2!B13,summaryref2!I13,IF(Summary!AK180=summaryref2!B27,summaryref2!I27,IF(AK180=summaryref2!B41,summaryref2!I41,IF(AK180=summaryref2!B55,summaryref2!I55,IF(AK180=summaryref2!B69,summaryref2!I69,IF(AK180=summaryref2!B83,summaryref2!I83,IF(AK180=summaryref2!B97,summaryref2!I97,IF(AK180=summaryref2!B111,summaryref2!I111,IF(AK180=summaryref2!B125,summaryref2!I125,IF(AK180=summaryref2!B139,summaryref2!I139,"")))))))))))</f>
        <v>#REF!</v>
      </c>
      <c r="AT180" s="1110" t="e">
        <f>IF('A-80 DirEntInv'!#REF!&lt;&gt;"",'A-80 DirEntInv'!#REF!,IF(AK180=summaryref2!B13,summaryref2!J13,IF(Summary!AK180=summaryref2!B27,summaryref2!J27,IF(AK180=summaryref2!B41,summaryref2!J41,IF(AK180=summaryref2!B55,summaryref2!J55,IF(AK180=summaryref2!B69,summaryref2!J69,IF(AK180=summaryref2!B83,summaryref2!J83,IF(AK180=summaryref2!B97,summaryref2!J97,IF(AK180=summaryref2!B111,summaryref2!J111,IF(AK180=summaryref2!B125,summaryref2!J125,IF(AK180=summaryref2!B139,summaryref2!J139,"")))))))))))</f>
        <v>#REF!</v>
      </c>
      <c r="AU180" s="1110" t="e">
        <f>IF('A-80 DirEntInv'!#REF!&lt;&gt;"",'A-80 DirEntInv'!#REF!,IF(AK180=summaryref2!B13,summaryref2!K13,IF(Summary!AK180=summaryref2!B27,summaryref2!K27,IF(AK180=summaryref2!B41,summaryref2!K41,IF(AK180=summaryref2!B55,summaryref2!K55,IF(AK180=summaryref2!B69,summaryref2!K69,IF(AK180=summaryref2!B83,summaryref2!K83,IF(AK180=summaryref2!B97,summaryref2!K97,IF(AK180=summaryref2!B111,summaryref2!K111,IF(AK180=summaryref2!B125,summaryref2!K125,IF(AK180=summaryref2!B139,summaryref2!K139,"")))))))))))</f>
        <v>#REF!</v>
      </c>
      <c r="AV180" s="1110" t="e">
        <f>IF('A-80 DirEntInv'!#REF!&lt;&gt;"",'A-80 DirEntInv'!#REF!,IF(AK180=summaryref2!B13,summaryref2!L13,IF(Summary!AK180=summaryref2!B27,summaryref2!L27,IF(AK180=summaryref2!B41,summaryref2!L41,IF(AK180=summaryref2!B55,summaryref2!L55,IF(AK180=summaryref2!B69,summaryref2!L69,IF(AK180=summaryref2!B83,summaryref2!L83,IF(AK180=summaryref2!B97,summaryref2!L97,IF(AK180=summaryref2!B111,summaryref2!L111,IF(AK180=summaryref2!B125,summaryref2!L125,IF(AK180=summaryref2!B139,summaryref2!L139,"")))))))))))</f>
        <v>#REF!</v>
      </c>
      <c r="AW180" s="1110" t="e">
        <f>IF('A-80 DirEntInv'!#REF!&lt;&gt;"",'A-80 DirEntInv'!#REF!,IF(AK180=summaryref2!B13,summaryref2!M13,IF(Summary!AK180=summaryref2!B27,summaryref2!M27,IF(AK180=summaryref2!B41,summaryref2!M41,IF(AK180=summaryref2!B55,summaryref2!M55,IF(AK180=summaryref2!B69,summaryref2!M69,IF(AK180=summaryref2!B83,summaryref2!M83,IF(AK180=summaryref2!B97,summaryref2!M97,IF(AK180=summaryref2!B111,summaryref2!M111,IF(AK180=summaryref2!B125,summaryref2!M125,IF(AK180=summaryref2!B139,summaryref2!M139,"")))))))))))</f>
        <v>#REF!</v>
      </c>
      <c r="AX180" s="1110" t="e">
        <f>IF('A-80 DirEntInv'!#REF!&lt;&gt;"",'A-80 DirEntInv'!#REF!,IF(AK180=summaryref2!B13,summaryref2!N13,IF(Summary!AK180=summaryref2!B27,summaryref2!N27,IF(AK180=summaryref2!B41,summaryref2!N41,IF(AK180=summaryref2!B55,summaryref2!N55,IF(AK180=summaryref2!B69,summaryref2!N69,IF(AK180=summaryref2!B83,summaryref2!N83,IF(AK180=summaryref2!B97,summaryref2!N97,IF(AK180=summaryref2!B111,summaryref2!N111,IF(AK180=summaryref2!B125,summaryref2!N125,IF(AK180=summaryref2!B139,summaryref2!N139,"")))))))))))</f>
        <v>#REF!</v>
      </c>
      <c r="AY180" s="1110" t="e">
        <f>IF('A-80 DirEntInv'!#REF!&lt;&gt;"",'A-80 DirEntInv'!#REF!,IF(AK180=summaryref2!B13,summaryref2!O13,IF(Summary!AK180=summaryref2!B27,summaryref2!O27,IF(AK180=summaryref2!B41,summaryref2!O41,IF(AK180=summaryref2!B55,summaryref2!O55,IF(AK180=summaryref2!B69,summaryref2!O69,IF(AK180=summaryref2!B83,summaryref2!O83,IF(AK180=summaryref2!B97,summaryref2!O97,IF(AK180=summaryref2!B111,summaryref2!O111,IF(AK180=summaryref2!B125,summaryref2!O125,IF(AK180=summaryref2!B139,summaryref2!O139,"")))))))))))</f>
        <v>#REF!</v>
      </c>
      <c r="AZ180" s="1110" t="e">
        <f>IF('A-80 DirEntInv'!#REF!&lt;&gt;"",'A-80 DirEntInv'!#REF!,IF(AK180=summaryref2!B13,summaryref2!P13,IF(Summary!AK180=summaryref2!B27,summaryref2!P27,IF(AK180=summaryref2!B41,summaryref2!P41,IF(AK180=summaryref2!B55,summaryref2!P55,IF(AK180=summaryref2!B69,summaryref2!P69,IF(AK180=summaryref2!B83,summaryref2!P83,IF(AK180=summaryref2!B97,summaryref2!P97,IF(AK180=summaryref2!B111,summaryref2!P111,IF(AK180=summaryref2!B125,summaryref2!P125,IF(AK180=summaryref2!B139,summaryref2!P139,"")))))))))))</f>
        <v>#REF!</v>
      </c>
      <c r="BA180" s="1110" t="e">
        <f>IF('A-80 DirEntInv'!#REF!&lt;&gt;"",'A-80 DirEntInv'!#REF!,IF(AK180=summaryref2!B13,summaryref2!Q13,IF(Summary!AK180=summaryref2!B27,summaryref2!Q27,IF(AK180=summaryref2!B41,summaryref2!Q41,IF(AK180=summaryref2!B55,summaryref2!Q55,IF(AK180=summaryref2!B69,summaryref2!Q69,IF(AK180=summaryref2!B83,summaryref2!Q83,IF(AK180=summaryref2!B97,summaryref2!Q97,IF(AK180=summaryref2!B111,summaryref2!Q111,IF(AK180=summaryref2!B125,summaryref2!Q125,IF(AK180=summaryref2!B139,summaryref2!Q139,"")))))))))))</f>
        <v>#REF!</v>
      </c>
      <c r="BB180" s="1110" t="e">
        <f>IF('A-80 DirEntInv'!#REF!&lt;&gt;"",'A-80 DirEntInv'!#REF!,IF(AK180=summaryref2!B13,summaryref2!R13,IF(Summary!AK180=summaryref2!B27,summaryref2!R27,IF(AK180=summaryref2!B41,summaryref2!R41,IF(AK180=summaryref2!B55,summaryref2!R55,IF(AK180=summaryref2!B69,summaryref2!R69,IF(AK180=summaryref2!B83,summaryref2!R83,IF(AK180=summaryref2!B97,summaryref2!R97,IF(AK180=summaryref2!B111,summaryref2!R111,IF(AK180=summaryref2!B125,summaryref2!R125,IF(AK180=summaryref2!B139,summaryref2!R139,"")))))))))))</f>
        <v>#REF!</v>
      </c>
      <c r="BC180" s="1110" t="e">
        <f>IF('A-80 DirEntInv'!#REF!&lt;&gt;0,'A-80 DirEntInv'!#REF!,IF(AK180=summaryref2!B13,summaryref2!S13,IF(Summary!AK180=summaryref2!B27,summaryref2!S27,IF(AK180=summaryref2!B41,summaryref2!S41,IF(AK180=summaryref2!B55,summaryref2!S55,IF(AK180=summaryref2!B69,summaryref2!S69,IF(AK180=summaryref2!B83,summaryref2!S83,IF(AK180=summaryref2!B97,summaryref2!S97,IF(AK180=summaryref2!B111,summaryref2!S111,IF(AK180=summaryref2!B125,summaryref2!S125,IF(AK180=summaryref2!B139,summaryref2!S139,"")))))))))))</f>
        <v>#REF!</v>
      </c>
      <c r="BD180" s="1111" t="e">
        <f>IF('A-80 DirEntInv'!#REF!&lt;&gt;"",'A-80 DirEntInv'!#REF!,IF(AK180=summaryref2!B13,summaryref2!T13,IF(Summary!AK180=summaryref2!B27,summaryref2!T27,IF(AK180=summaryref2!B41,summaryref2!T41,IF(AK180=summaryref2!B55,summaryref2!T55,IF(AK180=summaryref2!B69,summaryref2!T69,IF(AK180=summaryref2!B83,summaryref2!T83,IF(AK180=summaryref2!B97,summaryref2!T97,IF(AK180=summaryref2!B111,summaryref2!T111,IF(AK180=summaryref2!B125,summaryref2!T125,IF(AK180=summaryref2!B139,summaryref2!T139,"")))))))))))</f>
        <v>#REF!</v>
      </c>
      <c r="BE180" s="1184" t="e">
        <f>IF('A-80 DirEntInv'!#REF!&lt;&gt;"",'A-80 DirEntInv'!#REF!,IF(AK180=summaryref2!B13,summaryref2!U13,IF(Summary!AK180=summaryref2!B27,summaryref2!U27,IF(AK180=summaryref2!B41,summaryref2!U41,IF(AK180=summaryref2!B55,summaryref2!U55,IF(AK180=summaryref2!B69,summaryref2!U69,IF(AK180=summaryref2!B83,summaryref2!U83,IF(AK180=summaryref2!B97,summaryref2!U97,IF(AK180=summaryref2!B111,summaryref2!U111,IF(AK180=summaryref2!B125,summaryref2!U125,IF(AK180=summaryref2!B139,summaryref2!U139,"")))))))))))</f>
        <v>#REF!</v>
      </c>
      <c r="BF180" s="1432"/>
      <c r="BG180" s="1432"/>
      <c r="BU180" s="962"/>
      <c r="CD180" s="589"/>
      <c r="CE180" s="590"/>
      <c r="CF180" s="590"/>
      <c r="CG180" s="590"/>
      <c r="CH180" s="590"/>
      <c r="CI180" s="590"/>
      <c r="CJ180" s="589"/>
      <c r="CK180" s="589"/>
      <c r="CL180" s="589"/>
      <c r="CM180" s="587"/>
      <c r="CN180" s="587"/>
      <c r="CO180" s="589"/>
      <c r="CP180" s="587"/>
      <c r="CQ180" s="592"/>
      <c r="CR180" s="589"/>
      <c r="CS180" s="592"/>
      <c r="CT180" s="589"/>
      <c r="CU180" s="589"/>
      <c r="CV180" s="589"/>
      <c r="CW180" s="587"/>
      <c r="CX180" s="590"/>
      <c r="CY180" s="590"/>
      <c r="CZ180" s="590"/>
      <c r="DA180" s="1054"/>
      <c r="DB180" s="1054"/>
      <c r="DC180" s="587"/>
      <c r="DD180" s="587"/>
    </row>
    <row r="181" spans="1:108" s="588" customFormat="1" x14ac:dyDescent="0.2">
      <c r="A181" s="589">
        <f t="shared" si="2"/>
        <v>171</v>
      </c>
      <c r="B181" s="587"/>
      <c r="C181" s="587"/>
      <c r="D181" s="587"/>
      <c r="J181" s="589"/>
      <c r="K181" s="590"/>
      <c r="L181" s="591"/>
      <c r="M181" s="592"/>
      <c r="N181" s="589"/>
      <c r="O181" s="587"/>
      <c r="R181" s="1052"/>
      <c r="S181" s="1052"/>
      <c r="T181" s="1052"/>
      <c r="U181" s="1052"/>
      <c r="V181" s="1052"/>
      <c r="W181" s="1053"/>
      <c r="X181" s="1053"/>
      <c r="Y181" s="1053"/>
      <c r="Z181" s="1052"/>
      <c r="AA181" s="1052"/>
      <c r="AB181" s="962"/>
      <c r="AC181" s="590"/>
      <c r="AD181" s="590"/>
      <c r="AE181" s="591"/>
      <c r="AF181" s="592"/>
      <c r="AG181" s="1053"/>
      <c r="AH181" s="587"/>
      <c r="AK181" s="1041" t="str">
        <f>Codes!$C$168</f>
        <v>MG - Monorail/Automated Guideway (PT)</v>
      </c>
      <c r="AL181" s="1042" t="str">
        <f>Valid!$B$73</f>
        <v>Elevated/Retained Fill</v>
      </c>
      <c r="AM181" s="1108" t="e">
        <f>IF('A-80 DirEntInv'!#REF!&lt;&gt;"",'A-80 DirEntInv'!#REF!,IF(AK181=summaryref2!B14,summaryref2!D14,IF(Summary!AK181=summaryref2!B28,summaryref2!D28,IF(AK181=summaryref2!B42,summaryref2!D42,IF(AK181=summaryref2!B56,summaryref2!D56,IF(AK181=summaryref2!B70,summaryref2!D70,IF(AK181=summaryref2!B84,summaryref2!D84,IF(AK181=summaryref2!B98,summaryref2!D98,IF(AK181=summaryref2!B112,summaryref2!D112,IF(AK181=summaryref2!B126,summaryref2!D126,IF(AK181=summaryref2!B140,summaryref2!D140,"")))))))))))</f>
        <v>#REF!</v>
      </c>
      <c r="AN181" s="1109" t="e">
        <f ca="1">IF('A-80 DirEntInv'!#REF!&lt;&gt;"",'A-80 DirEntInv'!#REF!,IF(INDIRECT(ADDRESS(SumRef!CG230,SumRef!CG$16,,,SumRef!$C$7))="","",INDIRECT(ADDRESS(SumRef!CG230,SumRef!CG$16,,,SumRef!$C$7))))</f>
        <v>#REF!</v>
      </c>
      <c r="AO181" s="1108" t="e">
        <f>IF('A-80 DirEntInv'!#REF!&lt;&gt;"",'A-80 DirEntInv'!#REF!,IF(AK181=summaryref2!B14,summaryref2!F14,IF(Summary!AK181=summaryref2!B28,summaryref2!F28,IF(AK181=summaryref2!B42,summaryref2!F42,IF(AK181=summaryref2!B56,summaryref2!F56,IF(AK181=summaryref2!B70,summaryref2!F70,IF(AK181=summaryref2!B84,summaryref2!F84,IF(AK181=summaryref2!B98,summaryref2!F98,IF(AK181=summaryref2!B112,summaryref2!F112,IF(AK181=summaryref2!B126,summaryref2!F126,IF(AK181=summaryref2!B140,summaryref2!F140,"")))))))))))</f>
        <v>#REF!</v>
      </c>
      <c r="AP181" s="1109" t="e">
        <f ca="1">IF('A-80 DirEntInv'!#REF!&lt;&gt;"",'A-80 DirEntInv'!#REF!,IF(INDIRECT(ADDRESS(SumRef!#REF!,SumRef!#REF!,,,SumRef!$C$7))="","",INDIRECT(ADDRESS(SumRef!#REF!,SumRef!#REF!,,,SumRef!$C$7))))</f>
        <v>#REF!</v>
      </c>
      <c r="AQ181" s="1147" t="e">
        <f>IF('A-80 DirEntInv'!#REF!&lt;&gt;"",'A-80 DirEntInv'!#REF!,IF(AK181=summaryref2!B14,summaryref2!G14,IF(Summary!AK181=summaryref2!B28,summaryref2!G28,IF(AK181=summaryref2!B42,summaryref2!G42,IF(AK181=summaryref2!B56,summaryref2!G56,IF(AK181=summaryref2!B70,summaryref2!G70,IF(AK181=summaryref2!B84,summaryref2!G84,IF(AK181=summaryref2!B98,summaryref2!G98,IF(AK181=summaryref2!B112,summaryref2!G112,IF(AK181=summaryref2!B126,summaryref2!G126,IF(AK181=summaryref2!B140,summaryref2!G140,"")))))))))))</f>
        <v>#REF!</v>
      </c>
      <c r="AR181" s="1147" t="e">
        <f>IF('A-80 DirEntInv'!#REF!&lt;&gt;"",'A-80 DirEntInv'!#REF!,IF(AK181=summaryref2!B14,summaryref2!H14,IF(Summary!AK181=summaryref2!B28,summaryref2!H28,IF(AK181=summaryref2!B42,summaryref2!H42,IF(AK181=summaryref2!B56,summaryref2!H56,IF(AK181=summaryref2!B70,summaryref2!H70,IF(AK181=summaryref2!B84,summaryref2!H84,IF(AK181=summaryref2!B98,summaryref2!H98,IF(AK181=summaryref2!B112,summaryref2!H112,IF(AK181=summaryref2!B126,summaryref2!H126,IF(AK181=summaryref2!B140,summaryref2!H140,"")))))))))))</f>
        <v>#REF!</v>
      </c>
      <c r="AS181" s="1110" t="e">
        <f>IF('A-80 DirEntInv'!#REF!&lt;&gt;"",'A-80 DirEntInv'!#REF!,IF(AK181=summaryref2!B14,summaryref2!I14,IF(Summary!AK181=summaryref2!B28,summaryref2!I28,IF(AK181=summaryref2!B42,summaryref2!I42,IF(AK181=summaryref2!B56,summaryref2!I56,IF(AK181=summaryref2!B70,summaryref2!I70,IF(AK181=summaryref2!B84,summaryref2!I84,IF(AK181=summaryref2!B98,summaryref2!I98,IF(AK181=summaryref2!B112,summaryref2!I112,IF(AK181=summaryref2!B126,summaryref2!I126,IF(AK181=summaryref2!B140,summaryref2!I140,"")))))))))))</f>
        <v>#REF!</v>
      </c>
      <c r="AT181" s="1110" t="e">
        <f>IF('A-80 DirEntInv'!#REF!&lt;&gt;"",'A-80 DirEntInv'!#REF!,IF(AK181=summaryref2!B14,summaryref2!J14,IF(Summary!AK181=summaryref2!B28,summaryref2!J28,IF(AK181=summaryref2!B42,summaryref2!J42,IF(AK181=summaryref2!B56,summaryref2!J56,IF(AK181=summaryref2!B70,summaryref2!J70,IF(AK181=summaryref2!B84,summaryref2!J84,IF(AK181=summaryref2!B98,summaryref2!J98,IF(AK181=summaryref2!B112,summaryref2!J112,IF(AK181=summaryref2!B126,summaryref2!J126,IF(AK181=summaryref2!B140,summaryref2!J140,"")))))))))))</f>
        <v>#REF!</v>
      </c>
      <c r="AU181" s="1110" t="e">
        <f>IF('A-80 DirEntInv'!#REF!&lt;&gt;"",'A-80 DirEntInv'!#REF!,IF(AK181=summaryref2!B14,summaryref2!K14,IF(Summary!AK181=summaryref2!B28,summaryref2!K28,IF(AK181=summaryref2!B42,summaryref2!K42,IF(AK181=summaryref2!B56,summaryref2!K56,IF(AK181=summaryref2!B70,summaryref2!K70,IF(AK181=summaryref2!B84,summaryref2!K84,IF(AK181=summaryref2!B98,summaryref2!K98,IF(AK181=summaryref2!B112,summaryref2!K112,IF(AK181=summaryref2!B126,summaryref2!K126,IF(AK181=summaryref2!B140,summaryref2!K140,"")))))))))))</f>
        <v>#REF!</v>
      </c>
      <c r="AV181" s="1110" t="e">
        <f>IF('A-80 DirEntInv'!#REF!&lt;&gt;"",'A-80 DirEntInv'!#REF!,IF(AK181=summaryref2!B14,summaryref2!L14,IF(Summary!AK181=summaryref2!B28,summaryref2!L28,IF(AK181=summaryref2!B42,summaryref2!L42,IF(AK181=summaryref2!B56,summaryref2!L56,IF(AK181=summaryref2!B70,summaryref2!L70,IF(AK181=summaryref2!B84,summaryref2!L84,IF(AK181=summaryref2!B98,summaryref2!L98,IF(AK181=summaryref2!B112,summaryref2!L112,IF(AK181=summaryref2!B126,summaryref2!L126,IF(AK181=summaryref2!B140,summaryref2!L140,"")))))))))))</f>
        <v>#REF!</v>
      </c>
      <c r="AW181" s="1110" t="e">
        <f>IF('A-80 DirEntInv'!#REF!&lt;&gt;"",'A-80 DirEntInv'!#REF!,IF(AK181=summaryref2!B14,summaryref2!M14,IF(Summary!AK181=summaryref2!B28,summaryref2!M28,IF(AK181=summaryref2!B42,summaryref2!M42,IF(AK181=summaryref2!B56,summaryref2!M56,IF(AK181=summaryref2!B70,summaryref2!M70,IF(AK181=summaryref2!B84,summaryref2!M84,IF(AK181=summaryref2!B98,summaryref2!M98,IF(AK181=summaryref2!B112,summaryref2!M112,IF(AK181=summaryref2!B126,summaryref2!M126,IF(AK181=summaryref2!B140,summaryref2!M140,"")))))))))))</f>
        <v>#REF!</v>
      </c>
      <c r="AX181" s="1110" t="e">
        <f>IF('A-80 DirEntInv'!#REF!&lt;&gt;"",'A-80 DirEntInv'!#REF!,IF(AK181=summaryref2!B14,summaryref2!N14,IF(Summary!AK181=summaryref2!B28,summaryref2!N28,IF(AK181=summaryref2!B42,summaryref2!N42,IF(AK181=summaryref2!B56,summaryref2!N56,IF(AK181=summaryref2!B70,summaryref2!N70,IF(AK181=summaryref2!B84,summaryref2!N84,IF(AK181=summaryref2!B98,summaryref2!N98,IF(AK181=summaryref2!B112,summaryref2!N112,IF(AK181=summaryref2!B126,summaryref2!N126,IF(AK181=summaryref2!B140,summaryref2!N140,"")))))))))))</f>
        <v>#REF!</v>
      </c>
      <c r="AY181" s="1110" t="e">
        <f>IF('A-80 DirEntInv'!#REF!&lt;&gt;"",'A-80 DirEntInv'!#REF!,IF(AK181=summaryref2!B14,summaryref2!O14,IF(Summary!AK181=summaryref2!B28,summaryref2!O28,IF(AK181=summaryref2!B42,summaryref2!O42,IF(AK181=summaryref2!B56,summaryref2!O56,IF(AK181=summaryref2!B70,summaryref2!O70,IF(AK181=summaryref2!B84,summaryref2!O84,IF(AK181=summaryref2!B98,summaryref2!O98,IF(AK181=summaryref2!B112,summaryref2!O112,IF(AK181=summaryref2!B126,summaryref2!O126,IF(AK181=summaryref2!B140,summaryref2!O140,"")))))))))))</f>
        <v>#REF!</v>
      </c>
      <c r="AZ181" s="1110" t="e">
        <f>IF('A-80 DirEntInv'!#REF!&lt;&gt;"",'A-80 DirEntInv'!#REF!,IF(AK181=summaryref2!B14,summaryref2!P14,IF(Summary!AK181=summaryref2!B28,summaryref2!P28,IF(AK181=summaryref2!B42,summaryref2!P42,IF(AK181=summaryref2!B56,summaryref2!P56,IF(AK181=summaryref2!B70,summaryref2!P70,IF(AK181=summaryref2!B84,summaryref2!P84,IF(AK181=summaryref2!B98,summaryref2!P98,IF(AK181=summaryref2!B112,summaryref2!P112,IF(AK181=summaryref2!B126,summaryref2!P126,IF(AK181=summaryref2!B140,summaryref2!P140,"")))))))))))</f>
        <v>#REF!</v>
      </c>
      <c r="BA181" s="1110" t="e">
        <f>IF('A-80 DirEntInv'!#REF!&lt;&gt;"",'A-80 DirEntInv'!#REF!,IF(AK181=summaryref2!B14,summaryref2!Q14,IF(Summary!AK181=summaryref2!B28,summaryref2!Q28,IF(AK181=summaryref2!B42,summaryref2!Q42,IF(AK181=summaryref2!B56,summaryref2!Q56,IF(AK181=summaryref2!B70,summaryref2!Q70,IF(AK181=summaryref2!B84,summaryref2!Q84,IF(AK181=summaryref2!B98,summaryref2!Q98,IF(AK181=summaryref2!B112,summaryref2!Q112,IF(AK181=summaryref2!B126,summaryref2!Q126,IF(AK181=summaryref2!B140,summaryref2!Q140,"")))))))))))</f>
        <v>#REF!</v>
      </c>
      <c r="BB181" s="1110" t="e">
        <f>IF('A-80 DirEntInv'!#REF!&lt;&gt;"",'A-80 DirEntInv'!#REF!,IF(AK181=summaryref2!B14,summaryref2!R14,IF(Summary!AK181=summaryref2!B28,summaryref2!R28,IF(AK181=summaryref2!B42,summaryref2!R42,IF(AK181=summaryref2!B56,summaryref2!R56,IF(AK181=summaryref2!B70,summaryref2!R70,IF(AK181=summaryref2!B84,summaryref2!R84,IF(AK181=summaryref2!B98,summaryref2!R98,IF(AK181=summaryref2!B112,summaryref2!R112,IF(AK181=summaryref2!B126,summaryref2!R126,IF(AK181=summaryref2!B140,summaryref2!R140,"")))))))))))</f>
        <v>#REF!</v>
      </c>
      <c r="BC181" s="1110" t="e">
        <f>IF('A-80 DirEntInv'!#REF!&lt;&gt;0,'A-80 DirEntInv'!#REF!,IF(AK181=summaryref2!B14,summaryref2!S14,IF(Summary!AK181=summaryref2!B28,summaryref2!S28,IF(AK181=summaryref2!B42,summaryref2!S42,IF(AK181=summaryref2!B56,summaryref2!S56,IF(AK181=summaryref2!B70,summaryref2!S70,IF(AK181=summaryref2!B84,summaryref2!S84,IF(AK181=summaryref2!B98,summaryref2!S98,IF(AK181=summaryref2!B112,summaryref2!S112,IF(AK181=summaryref2!B126,summaryref2!S126,IF(AK181=summaryref2!B140,summaryref2!S140,"")))))))))))</f>
        <v>#REF!</v>
      </c>
      <c r="BD181" s="1111" t="e">
        <f>IF('A-80 DirEntInv'!#REF!&lt;&gt;"",'A-80 DirEntInv'!#REF!,IF(AK181=summaryref2!B14,summaryref2!T14,IF(Summary!AK181=summaryref2!B28,summaryref2!T28,IF(AK181=summaryref2!B42,summaryref2!T42,IF(AK181=summaryref2!B56,summaryref2!T56,IF(AK181=summaryref2!B70,summaryref2!T70,IF(AK181=summaryref2!B84,summaryref2!T84,IF(AK181=summaryref2!B98,summaryref2!T98,IF(AK181=summaryref2!B112,summaryref2!T112,IF(AK181=summaryref2!B126,summaryref2!T126,IF(AK181=summaryref2!B140,summaryref2!T140,"")))))))))))</f>
        <v>#REF!</v>
      </c>
      <c r="BE181" s="1184" t="e">
        <f>IF('A-80 DirEntInv'!#REF!&lt;&gt;"",'A-80 DirEntInv'!#REF!,IF(AK181=summaryref2!B14,summaryref2!U14,IF(Summary!AK181=summaryref2!B28,summaryref2!U28,IF(AK181=summaryref2!B42,summaryref2!U42,IF(AK181=summaryref2!B56,summaryref2!U56,IF(AK181=summaryref2!B70,summaryref2!U70,IF(AK181=summaryref2!B84,summaryref2!U84,IF(AK181=summaryref2!B98,summaryref2!U98,IF(AK181=summaryref2!B112,summaryref2!U112,IF(AK181=summaryref2!B126,summaryref2!U126,IF(AK181=summaryref2!B140,summaryref2!U140,"")))))))))))</f>
        <v>#REF!</v>
      </c>
      <c r="BF181" s="1432"/>
      <c r="BG181" s="1432"/>
      <c r="BU181" s="962"/>
      <c r="CD181" s="589"/>
      <c r="CE181" s="590"/>
      <c r="CF181" s="590"/>
      <c r="CG181" s="590"/>
      <c r="CH181" s="590"/>
      <c r="CI181" s="590"/>
      <c r="CJ181" s="589"/>
      <c r="CK181" s="589"/>
      <c r="CL181" s="589"/>
      <c r="CM181" s="587"/>
      <c r="CN181" s="587"/>
      <c r="CO181" s="589"/>
      <c r="CP181" s="587"/>
      <c r="CQ181" s="592"/>
      <c r="CR181" s="589"/>
      <c r="CS181" s="592"/>
      <c r="CT181" s="589"/>
      <c r="CU181" s="589"/>
      <c r="CV181" s="589"/>
      <c r="CW181" s="587"/>
      <c r="CX181" s="590"/>
      <c r="CY181" s="590"/>
      <c r="CZ181" s="590"/>
      <c r="DA181" s="1054"/>
      <c r="DB181" s="1054"/>
      <c r="DC181" s="587"/>
      <c r="DD181" s="587"/>
    </row>
    <row r="182" spans="1:108" s="588" customFormat="1" x14ac:dyDescent="0.2">
      <c r="A182" s="589">
        <f t="shared" si="2"/>
        <v>172</v>
      </c>
      <c r="B182" s="587"/>
      <c r="C182" s="587"/>
      <c r="D182" s="587"/>
      <c r="J182" s="589"/>
      <c r="K182" s="590"/>
      <c r="L182" s="591"/>
      <c r="M182" s="592"/>
      <c r="N182" s="589"/>
      <c r="O182" s="587"/>
      <c r="R182" s="1052"/>
      <c r="S182" s="1052"/>
      <c r="T182" s="1052"/>
      <c r="U182" s="1052"/>
      <c r="V182" s="1052"/>
      <c r="W182" s="1053"/>
      <c r="X182" s="1053"/>
      <c r="Y182" s="1053"/>
      <c r="Z182" s="1052"/>
      <c r="AA182" s="1052"/>
      <c r="AB182" s="962"/>
      <c r="AC182" s="590"/>
      <c r="AD182" s="590"/>
      <c r="AE182" s="591"/>
      <c r="AF182" s="592"/>
      <c r="AG182" s="1053"/>
      <c r="AH182" s="587"/>
      <c r="AK182" s="1041" t="str">
        <f>Codes!$C$168</f>
        <v>MG - Monorail/Automated Guideway (PT)</v>
      </c>
      <c r="AL182" s="1042" t="str">
        <f>Valid!$B$74</f>
        <v>Elevated/Concrete</v>
      </c>
      <c r="AM182" s="1108" t="e">
        <f>IF('A-80 DirEntInv'!#REF!&lt;&gt;"",'A-80 DirEntInv'!#REF!,IF(AK182=summaryref2!B15,summaryref2!D15,IF(Summary!AK182=summaryref2!B29,summaryref2!D29,IF(AK182=summaryref2!B43,summaryref2!D43,IF(AK182=summaryref2!B57,summaryref2!D57,IF(AK182=summaryref2!B71,summaryref2!D71,IF(AK182=summaryref2!B85,summaryref2!D85,IF(AK182=summaryref2!B99,summaryref2!D99,IF(AK182=summaryref2!B113,summaryref2!D113,IF(AK182=summaryref2!B127,summaryref2!D127,IF(AK182=summaryref2!B141,summaryref2!D141,"")))))))))))</f>
        <v>#REF!</v>
      </c>
      <c r="AN182" s="1109" t="e">
        <f ca="1">IF('A-80 DirEntInv'!#REF!&lt;&gt;"",'A-80 DirEntInv'!#REF!,IF(INDIRECT(ADDRESS(SumRef!CG231,SumRef!CG$16,,,SumRef!$C$7))="","",INDIRECT(ADDRESS(SumRef!CG231,SumRef!CG$16,,,SumRef!$C$7))))</f>
        <v>#REF!</v>
      </c>
      <c r="AO182" s="1108" t="e">
        <f>IF('A-80 DirEntInv'!#REF!&lt;&gt;"",'A-80 DirEntInv'!#REF!,IF(AK182=summaryref2!B15,summaryref2!F15,IF(Summary!AK182=summaryref2!B29,summaryref2!F29,IF(AK182=summaryref2!B43,summaryref2!F43,IF(AK182=summaryref2!B57,summaryref2!F57,IF(AK182=summaryref2!B71,summaryref2!F71,IF(AK182=summaryref2!B85,summaryref2!F85,IF(AK182=summaryref2!B99,summaryref2!F99,IF(AK182=summaryref2!B113,summaryref2!F113,IF(AK182=summaryref2!B127,summaryref2!F127,IF(AK182=summaryref2!B141,summaryref2!F141,"")))))))))))</f>
        <v>#REF!</v>
      </c>
      <c r="AP182" s="1109" t="e">
        <f ca="1">IF('A-80 DirEntInv'!#REF!&lt;&gt;"",'A-80 DirEntInv'!#REF!,IF(INDIRECT(ADDRESS(SumRef!#REF!,SumRef!#REF!,,,SumRef!$C$7))="","",INDIRECT(ADDRESS(SumRef!#REF!,SumRef!#REF!,,,SumRef!$C$7))))</f>
        <v>#REF!</v>
      </c>
      <c r="AQ182" s="1147" t="e">
        <f>IF('A-80 DirEntInv'!#REF!&lt;&gt;"",'A-80 DirEntInv'!#REF!,IF(AK182=summaryref2!B15,summaryref2!G15,IF(Summary!AK182=summaryref2!B29,summaryref2!G29,IF(AK182=summaryref2!B43,summaryref2!G43,IF(AK182=summaryref2!B57,summaryref2!G57,IF(AK182=summaryref2!B71,summaryref2!G71,IF(AK182=summaryref2!B85,summaryref2!G85,IF(AK182=summaryref2!B99,summaryref2!G99,IF(AK182=summaryref2!B113,summaryref2!G113,IF(AK182=summaryref2!B127,summaryref2!G127,IF(AK182=summaryref2!B141,summaryref2!G141,"")))))))))))</f>
        <v>#REF!</v>
      </c>
      <c r="AR182" s="1147" t="e">
        <f>IF('A-80 DirEntInv'!#REF!&lt;&gt;"",'A-80 DirEntInv'!#REF!,IF(AK182=summaryref2!B15,summaryref2!H15,IF(Summary!AK182=summaryref2!B29,summaryref2!H29,IF(AK182=summaryref2!B43,summaryref2!H43,IF(AK182=summaryref2!B57,summaryref2!H57,IF(AK182=summaryref2!B71,summaryref2!H71,IF(AK182=summaryref2!B85,summaryref2!H85,IF(AK182=summaryref2!B99,summaryref2!H99,IF(AK182=summaryref2!B113,summaryref2!H113,IF(AK182=summaryref2!B127,summaryref2!H127,IF(AK182=summaryref2!B141,summaryref2!H141,"")))))))))))</f>
        <v>#REF!</v>
      </c>
      <c r="AS182" s="1110" t="e">
        <f>IF('A-80 DirEntInv'!#REF!&lt;&gt;"",'A-80 DirEntInv'!#REF!,IF(AK182=summaryref2!B15,summaryref2!I15,IF(Summary!AK182=summaryref2!B29,summaryref2!I29,IF(AK182=summaryref2!B43,summaryref2!I43,IF(AK182=summaryref2!B57,summaryref2!I57,IF(AK182=summaryref2!B71,summaryref2!I71,IF(AK182=summaryref2!B85,summaryref2!I85,IF(AK182=summaryref2!B99,summaryref2!I99,IF(AK182=summaryref2!B113,summaryref2!I113,IF(AK182=summaryref2!B127,summaryref2!I127,IF(AK182=summaryref2!B141,summaryref2!I141,"")))))))))))</f>
        <v>#REF!</v>
      </c>
      <c r="AT182" s="1110" t="e">
        <f>IF('A-80 DirEntInv'!#REF!&lt;&gt;"",'A-80 DirEntInv'!#REF!,IF(AK182=summaryref2!B15,summaryref2!J15,IF(Summary!AK182=summaryref2!B29,summaryref2!J29,IF(AK182=summaryref2!B43,summaryref2!J43,IF(AK182=summaryref2!B57,summaryref2!J57,IF(AK182=summaryref2!B71,summaryref2!J71,IF(AK182=summaryref2!B85,summaryref2!J85,IF(AK182=summaryref2!B99,summaryref2!J99,IF(AK182=summaryref2!B113,summaryref2!J113,IF(AK182=summaryref2!B127,summaryref2!J127,IF(AK182=summaryref2!B141,summaryref2!J141,"")))))))))))</f>
        <v>#REF!</v>
      </c>
      <c r="AU182" s="1110" t="e">
        <f>IF('A-80 DirEntInv'!#REF!&lt;&gt;"",'A-80 DirEntInv'!#REF!,IF(AK182=summaryref2!B15,summaryref2!K15,IF(Summary!AK182=summaryref2!B29,summaryref2!K29,IF(AK182=summaryref2!B43,summaryref2!K43,IF(AK182=summaryref2!B57,summaryref2!K57,IF(AK182=summaryref2!B71,summaryref2!K71,IF(AK182=summaryref2!B85,summaryref2!K85,IF(AK182=summaryref2!B99,summaryref2!K99,IF(AK182=summaryref2!B113,summaryref2!K113,IF(AK182=summaryref2!B127,summaryref2!K127,IF(AK182=summaryref2!B141,summaryref2!K141,"")))))))))))</f>
        <v>#REF!</v>
      </c>
      <c r="AV182" s="1110" t="e">
        <f>IF('A-80 DirEntInv'!#REF!&lt;&gt;"",'A-80 DirEntInv'!#REF!,IF(AK182=summaryref2!B15,summaryref2!L15,IF(Summary!AK182=summaryref2!B29,summaryref2!L29,IF(AK182=summaryref2!B43,summaryref2!L43,IF(AK182=summaryref2!B57,summaryref2!L57,IF(AK182=summaryref2!B71,summaryref2!L71,IF(AK182=summaryref2!B85,summaryref2!L85,IF(AK182=summaryref2!B99,summaryref2!L99,IF(AK182=summaryref2!B113,summaryref2!L113,IF(AK182=summaryref2!B127,summaryref2!L127,IF(AK182=summaryref2!B141,summaryref2!L141,"")))))))))))</f>
        <v>#REF!</v>
      </c>
      <c r="AW182" s="1110" t="e">
        <f>IF('A-80 DirEntInv'!#REF!&lt;&gt;"",'A-80 DirEntInv'!#REF!,IF(AK182=summaryref2!B15,summaryref2!M15,IF(Summary!AK182=summaryref2!B29,summaryref2!M29,IF(AK182=summaryref2!B43,summaryref2!M43,IF(AK182=summaryref2!B57,summaryref2!M57,IF(AK182=summaryref2!B71,summaryref2!M71,IF(AK182=summaryref2!B85,summaryref2!M85,IF(AK182=summaryref2!B99,summaryref2!M99,IF(AK182=summaryref2!B113,summaryref2!M113,IF(AK182=summaryref2!B127,summaryref2!M127,IF(AK182=summaryref2!B141,summaryref2!M141,"")))))))))))</f>
        <v>#REF!</v>
      </c>
      <c r="AX182" s="1110" t="e">
        <f>IF('A-80 DirEntInv'!#REF!&lt;&gt;"",'A-80 DirEntInv'!#REF!,IF(AK182=summaryref2!B15,summaryref2!N15,IF(Summary!AK182=summaryref2!B29,summaryref2!N29,IF(AK182=summaryref2!B43,summaryref2!N43,IF(AK182=summaryref2!B57,summaryref2!N57,IF(AK182=summaryref2!B71,summaryref2!N71,IF(AK182=summaryref2!B85,summaryref2!N85,IF(AK182=summaryref2!B99,summaryref2!N99,IF(AK182=summaryref2!B113,summaryref2!N113,IF(AK182=summaryref2!B127,summaryref2!N127,IF(AK182=summaryref2!B141,summaryref2!N141,"")))))))))))</f>
        <v>#REF!</v>
      </c>
      <c r="AY182" s="1110" t="e">
        <f>IF('A-80 DirEntInv'!#REF!&lt;&gt;"",'A-80 DirEntInv'!#REF!,IF(AK182=summaryref2!B15,summaryref2!O15,IF(Summary!AK182=summaryref2!B29,summaryref2!O29,IF(AK182=summaryref2!B43,summaryref2!O43,IF(AK182=summaryref2!B57,summaryref2!O57,IF(AK182=summaryref2!B71,summaryref2!O71,IF(AK182=summaryref2!B85,summaryref2!O85,IF(AK182=summaryref2!B99,summaryref2!O99,IF(AK182=summaryref2!B113,summaryref2!O113,IF(AK182=summaryref2!B127,summaryref2!O127,IF(AK182=summaryref2!B141,summaryref2!O141,"")))))))))))</f>
        <v>#REF!</v>
      </c>
      <c r="AZ182" s="1110" t="e">
        <f>IF('A-80 DirEntInv'!#REF!&lt;&gt;"",'A-80 DirEntInv'!#REF!,IF(AK182=summaryref2!B15,summaryref2!P15,IF(Summary!AK182=summaryref2!B29,summaryref2!P29,IF(AK182=summaryref2!B43,summaryref2!P43,IF(AK182=summaryref2!B57,summaryref2!P57,IF(AK182=summaryref2!B71,summaryref2!P71,IF(AK182=summaryref2!B85,summaryref2!P85,IF(AK182=summaryref2!B99,summaryref2!P99,IF(AK182=summaryref2!B113,summaryref2!P113,IF(AK182=summaryref2!B127,summaryref2!P127,IF(AK182=summaryref2!B141,summaryref2!P141,"")))))))))))</f>
        <v>#REF!</v>
      </c>
      <c r="BA182" s="1110" t="e">
        <f>IF('A-80 DirEntInv'!#REF!&lt;&gt;"",'A-80 DirEntInv'!#REF!,IF(AK182=summaryref2!B15,summaryref2!Q15,IF(Summary!AK182=summaryref2!B29,summaryref2!Q29,IF(AK182=summaryref2!B43,summaryref2!Q43,IF(AK182=summaryref2!B57,summaryref2!Q57,IF(AK182=summaryref2!B71,summaryref2!Q71,IF(AK182=summaryref2!B85,summaryref2!Q85,IF(AK182=summaryref2!B99,summaryref2!Q99,IF(AK182=summaryref2!B113,summaryref2!Q113,IF(AK182=summaryref2!B127,summaryref2!Q127,IF(AK182=summaryref2!B141,summaryref2!Q141,"")))))))))))</f>
        <v>#REF!</v>
      </c>
      <c r="BB182" s="1110" t="e">
        <f>IF('A-80 DirEntInv'!#REF!&lt;&gt;"",'A-80 DirEntInv'!#REF!,IF(AK182=summaryref2!B15,summaryref2!R15,IF(Summary!AK182=summaryref2!B29,summaryref2!R29,IF(AK182=summaryref2!B43,summaryref2!R43,IF(AK182=summaryref2!B57,summaryref2!R57,IF(AK182=summaryref2!B71,summaryref2!R71,IF(AK182=summaryref2!B85,summaryref2!R85,IF(AK182=summaryref2!B99,summaryref2!R99,IF(AK182=summaryref2!B113,summaryref2!R113,IF(AK182=summaryref2!B127,summaryref2!R127,IF(AK182=summaryref2!B141,summaryref2!R141,"")))))))))))</f>
        <v>#REF!</v>
      </c>
      <c r="BC182" s="1110" t="e">
        <f>IF('A-80 DirEntInv'!#REF!&lt;&gt;0,'A-80 DirEntInv'!#REF!,IF(AK182=summaryref2!B15,summaryref2!S15,IF(Summary!AK182=summaryref2!B29,summaryref2!S29,IF(AK182=summaryref2!B43,summaryref2!S43,IF(AK182=summaryref2!B57,summaryref2!S57,IF(AK182=summaryref2!B71,summaryref2!S71,IF(AK182=summaryref2!B85,summaryref2!S85,IF(AK182=summaryref2!B99,summaryref2!S99,IF(AK182=summaryref2!B113,summaryref2!S113,IF(AK182=summaryref2!B127,summaryref2!S127,IF(AK182=summaryref2!B141,summaryref2!S141,"")))))))))))</f>
        <v>#REF!</v>
      </c>
      <c r="BD182" s="1111" t="e">
        <f>IF('A-80 DirEntInv'!#REF!&lt;&gt;"",'A-80 DirEntInv'!#REF!,IF(AK182=summaryref2!B15,summaryref2!T15,IF(Summary!AK182=summaryref2!B29,summaryref2!T29,IF(AK182=summaryref2!B43,summaryref2!T43,IF(AK182=summaryref2!B57,summaryref2!T57,IF(AK182=summaryref2!B71,summaryref2!T71,IF(AK182=summaryref2!B85,summaryref2!T85,IF(AK182=summaryref2!B99,summaryref2!T99,IF(AK182=summaryref2!B113,summaryref2!T113,IF(AK182=summaryref2!B127,summaryref2!T127,IF(AK182=summaryref2!B141,summaryref2!T141,"")))))))))))</f>
        <v>#REF!</v>
      </c>
      <c r="BE182" s="1184" t="e">
        <f>IF('A-80 DirEntInv'!#REF!&lt;&gt;"",'A-80 DirEntInv'!#REF!,IF(AK182=summaryref2!B15,summaryref2!U15,IF(Summary!AK182=summaryref2!B29,summaryref2!U29,IF(AK182=summaryref2!B43,summaryref2!U43,IF(AK182=summaryref2!B57,summaryref2!U57,IF(AK182=summaryref2!B71,summaryref2!U71,IF(AK182=summaryref2!B85,summaryref2!U85,IF(AK182=summaryref2!B99,summaryref2!U99,IF(AK182=summaryref2!B113,summaryref2!U113,IF(AK182=summaryref2!B127,summaryref2!U127,IF(AK182=summaryref2!B141,summaryref2!U141,"")))))))))))</f>
        <v>#REF!</v>
      </c>
      <c r="BF182" s="1432"/>
      <c r="BG182" s="1432"/>
      <c r="BU182" s="962"/>
      <c r="CD182" s="589"/>
      <c r="CE182" s="590"/>
      <c r="CF182" s="590"/>
      <c r="CG182" s="590"/>
      <c r="CH182" s="590"/>
      <c r="CI182" s="590"/>
      <c r="CJ182" s="589"/>
      <c r="CK182" s="589"/>
      <c r="CL182" s="589"/>
      <c r="CM182" s="587"/>
      <c r="CN182" s="587"/>
      <c r="CO182" s="589"/>
      <c r="CP182" s="587"/>
      <c r="CQ182" s="592"/>
      <c r="CR182" s="589"/>
      <c r="CS182" s="592"/>
      <c r="CT182" s="589"/>
      <c r="CU182" s="589"/>
      <c r="CV182" s="589"/>
      <c r="CW182" s="587"/>
      <c r="CX182" s="590"/>
      <c r="CY182" s="590"/>
      <c r="CZ182" s="590"/>
      <c r="DA182" s="1054"/>
      <c r="DB182" s="1054"/>
      <c r="DC182" s="587"/>
      <c r="DD182" s="587"/>
    </row>
    <row r="183" spans="1:108" s="588" customFormat="1" x14ac:dyDescent="0.2">
      <c r="A183" s="589">
        <f t="shared" si="2"/>
        <v>173</v>
      </c>
      <c r="B183" s="587"/>
      <c r="C183" s="587"/>
      <c r="D183" s="587"/>
      <c r="J183" s="589"/>
      <c r="K183" s="590"/>
      <c r="L183" s="591"/>
      <c r="M183" s="592"/>
      <c r="N183" s="589"/>
      <c r="O183" s="587"/>
      <c r="R183" s="1052"/>
      <c r="S183" s="1052"/>
      <c r="T183" s="1052"/>
      <c r="U183" s="1052"/>
      <c r="V183" s="1052"/>
      <c r="W183" s="1053"/>
      <c r="X183" s="1053"/>
      <c r="Y183" s="1053"/>
      <c r="Z183" s="1052"/>
      <c r="AA183" s="1052"/>
      <c r="AB183" s="962"/>
      <c r="AC183" s="590"/>
      <c r="AD183" s="590"/>
      <c r="AE183" s="591"/>
      <c r="AF183" s="592"/>
      <c r="AG183" s="1053"/>
      <c r="AH183" s="587"/>
      <c r="AK183" s="1041" t="str">
        <f>Codes!$C$168</f>
        <v>MG - Monorail/Automated Guideway (PT)</v>
      </c>
      <c r="AL183" s="1042" t="str">
        <f>Valid!$B$75</f>
        <v>Elevated/Steel Viaduct or Bridge</v>
      </c>
      <c r="AM183" s="1108" t="e">
        <f>IF('A-80 DirEntInv'!#REF!&lt;&gt;"",'A-80 DirEntInv'!#REF!,IF(AK183=summaryref2!B16,summaryref2!D16,IF(Summary!AK183=summaryref2!B30,summaryref2!D30,IF(AK183=summaryref2!B44,summaryref2!D44,IF(AK183=summaryref2!B58,summaryref2!D58,IF(AK183=summaryref2!B72,summaryref2!D72,IF(AK183=summaryref2!B86,summaryref2!D86,IF(AK183=summaryref2!B100,summaryref2!D100,IF(AK183=summaryref2!B114,summaryref2!D114,IF(AK183=summaryref2!B128,summaryref2!D128,IF(AK183=summaryref2!B142,summaryref2!D142,"")))))))))))</f>
        <v>#REF!</v>
      </c>
      <c r="AN183" s="1109" t="e">
        <f ca="1">IF('A-80 DirEntInv'!#REF!&lt;&gt;"",'A-80 DirEntInv'!#REF!,IF(INDIRECT(ADDRESS(SumRef!CG232,SumRef!CG$16,,,SumRef!$C$7))="","",INDIRECT(ADDRESS(SumRef!CG232,SumRef!CG$16,,,SumRef!$C$7))))</f>
        <v>#REF!</v>
      </c>
      <c r="AO183" s="1108" t="e">
        <f>IF('A-80 DirEntInv'!#REF!&lt;&gt;"",'A-80 DirEntInv'!#REF!,IF(AK183=summaryref2!B16,summaryref2!F16,IF(Summary!AK183=summaryref2!B30,summaryref2!F30,IF(AK183=summaryref2!B44,summaryref2!F44,IF(AK183=summaryref2!B58,summaryref2!F58,IF(AK183=summaryref2!B72,summaryref2!F72,IF(AK183=summaryref2!B86,summaryref2!F86,IF(AK183=summaryref2!B100,summaryref2!F100,IF(AK183=summaryref2!B114,summaryref2!F114,IF(AK183=summaryref2!B128,summaryref2!F128,IF(AK183=summaryref2!B142,summaryref2!F142,"")))))))))))</f>
        <v>#REF!</v>
      </c>
      <c r="AP183" s="1109" t="e">
        <f ca="1">IF('A-80 DirEntInv'!#REF!&lt;&gt;"",'A-80 DirEntInv'!#REF!,IF(INDIRECT(ADDRESS(SumRef!#REF!,SumRef!#REF!,,,SumRef!$C$7))="","",INDIRECT(ADDRESS(SumRef!#REF!,SumRef!#REF!,,,SumRef!$C$7))))</f>
        <v>#REF!</v>
      </c>
      <c r="AQ183" s="1147" t="e">
        <f>IF('A-80 DirEntInv'!#REF!&lt;&gt;"",'A-80 DirEntInv'!#REF!,IF(AK183=summaryref2!B16,summaryref2!G16,IF(Summary!AK183=summaryref2!B30,summaryref2!G30,IF(AK183=summaryref2!B44,summaryref2!G44,IF(AK183=summaryref2!B58,summaryref2!G58,IF(AK183=summaryref2!B72,summaryref2!G72,IF(AK183=summaryref2!B86,summaryref2!G86,IF(AK183=summaryref2!B100,summaryref2!G100,IF(AK183=summaryref2!B114,summaryref2!G114,IF(AK183=summaryref2!B128,summaryref2!G128,IF(AK183=summaryref2!B142,summaryref2!G142,"")))))))))))</f>
        <v>#REF!</v>
      </c>
      <c r="AR183" s="1147" t="e">
        <f>IF('A-80 DirEntInv'!#REF!&lt;&gt;"",'A-80 DirEntInv'!#REF!,IF(AK183=summaryref2!B16,summaryref2!H16,IF(Summary!AK183=summaryref2!B30,summaryref2!H30,IF(AK183=summaryref2!B44,summaryref2!H44,IF(AK183=summaryref2!B58,summaryref2!H58,IF(AK183=summaryref2!B72,summaryref2!H72,IF(AK183=summaryref2!B86,summaryref2!H86,IF(AK183=summaryref2!B100,summaryref2!H100,IF(AK183=summaryref2!B114,summaryref2!H114,IF(AK183=summaryref2!B128,summaryref2!H128,IF(AK183=summaryref2!B142,summaryref2!H142,"")))))))))))</f>
        <v>#REF!</v>
      </c>
      <c r="AS183" s="1110" t="e">
        <f>IF('A-80 DirEntInv'!#REF!&lt;&gt;"",'A-80 DirEntInv'!#REF!,IF(AK183=summaryref2!B16,summaryref2!I16,IF(Summary!AK183=summaryref2!B30,summaryref2!I30,IF(AK183=summaryref2!B44,summaryref2!I44,IF(AK183=summaryref2!B58,summaryref2!I58,IF(AK183=summaryref2!B72,summaryref2!I72,IF(AK183=summaryref2!B86,summaryref2!I86,IF(AK183=summaryref2!B100,summaryref2!I100,IF(AK183=summaryref2!B114,summaryref2!I114,IF(AK183=summaryref2!B128,summaryref2!I128,IF(AK183=summaryref2!B142,summaryref2!I142,"")))))))))))</f>
        <v>#REF!</v>
      </c>
      <c r="AT183" s="1110" t="e">
        <f>IF('A-80 DirEntInv'!#REF!&lt;&gt;"",'A-80 DirEntInv'!#REF!,IF(AK183=summaryref2!B16,summaryref2!J16,IF(Summary!AK183=summaryref2!B30,summaryref2!J30,IF(AK183=summaryref2!B44,summaryref2!J44,IF(AK183=summaryref2!B58,summaryref2!J58,IF(AK183=summaryref2!B72,summaryref2!J72,IF(AK183=summaryref2!B86,summaryref2!J86,IF(AK183=summaryref2!B100,summaryref2!J100,IF(AK183=summaryref2!B114,summaryref2!J114,IF(AK183=summaryref2!B128,summaryref2!J128,IF(AK183=summaryref2!B142,summaryref2!J142,"")))))))))))</f>
        <v>#REF!</v>
      </c>
      <c r="AU183" s="1110" t="e">
        <f>IF('A-80 DirEntInv'!#REF!&lt;&gt;"",'A-80 DirEntInv'!#REF!,IF(AK183=summaryref2!B16,summaryref2!K16,IF(Summary!AK183=summaryref2!B30,summaryref2!K30,IF(AK183=summaryref2!B44,summaryref2!K44,IF(AK183=summaryref2!B58,summaryref2!K58,IF(AK183=summaryref2!B72,summaryref2!K72,IF(AK183=summaryref2!B86,summaryref2!K86,IF(AK183=summaryref2!B100,summaryref2!K100,IF(AK183=summaryref2!B114,summaryref2!K114,IF(AK183=summaryref2!B128,summaryref2!K128,IF(AK183=summaryref2!B142,summaryref2!K142,"")))))))))))</f>
        <v>#REF!</v>
      </c>
      <c r="AV183" s="1110" t="e">
        <f>IF('A-80 DirEntInv'!#REF!&lt;&gt;"",'A-80 DirEntInv'!#REF!,IF(AK183=summaryref2!B16,summaryref2!L16,IF(Summary!AK183=summaryref2!B30,summaryref2!L30,IF(AK183=summaryref2!B44,summaryref2!L44,IF(AK183=summaryref2!B58,summaryref2!L58,IF(AK183=summaryref2!B72,summaryref2!L72,IF(AK183=summaryref2!B86,summaryref2!L86,IF(AK183=summaryref2!B100,summaryref2!L100,IF(AK183=summaryref2!B114,summaryref2!L114,IF(AK183=summaryref2!B128,summaryref2!L128,IF(AK183=summaryref2!B142,summaryref2!L142,"")))))))))))</f>
        <v>#REF!</v>
      </c>
      <c r="AW183" s="1110" t="e">
        <f>IF('A-80 DirEntInv'!#REF!&lt;&gt;"",'A-80 DirEntInv'!#REF!,IF(AK183=summaryref2!B16,summaryref2!M16,IF(Summary!AK183=summaryref2!B30,summaryref2!M30,IF(AK183=summaryref2!B44,summaryref2!M44,IF(AK183=summaryref2!B58,summaryref2!M58,IF(AK183=summaryref2!B72,summaryref2!M72,IF(AK183=summaryref2!B86,summaryref2!M86,IF(AK183=summaryref2!B100,summaryref2!M100,IF(AK183=summaryref2!B114,summaryref2!M114,IF(AK183=summaryref2!B128,summaryref2!M128,IF(AK183=summaryref2!B142,summaryref2!M142,"")))))))))))</f>
        <v>#REF!</v>
      </c>
      <c r="AX183" s="1110" t="e">
        <f>IF('A-80 DirEntInv'!#REF!&lt;&gt;"",'A-80 DirEntInv'!#REF!,IF(AK183=summaryref2!B16,summaryref2!N16,IF(Summary!AK183=summaryref2!B30,summaryref2!N30,IF(AK183=summaryref2!B44,summaryref2!N44,IF(AK183=summaryref2!B58,summaryref2!N58,IF(AK183=summaryref2!B72,summaryref2!N72,IF(AK183=summaryref2!B86,summaryref2!N86,IF(AK183=summaryref2!B100,summaryref2!N100,IF(AK183=summaryref2!B114,summaryref2!N114,IF(AK183=summaryref2!B128,summaryref2!N128,IF(AK183=summaryref2!B142,summaryref2!N142,"")))))))))))</f>
        <v>#REF!</v>
      </c>
      <c r="AY183" s="1110" t="e">
        <f>IF('A-80 DirEntInv'!#REF!&lt;&gt;"",'A-80 DirEntInv'!#REF!,IF(AK183=summaryref2!B16,summaryref2!O16,IF(Summary!AK183=summaryref2!B30,summaryref2!O30,IF(AK183=summaryref2!B44,summaryref2!O44,IF(AK183=summaryref2!B58,summaryref2!O58,IF(AK183=summaryref2!B72,summaryref2!O72,IF(AK183=summaryref2!B86,summaryref2!O86,IF(AK183=summaryref2!B100,summaryref2!O100,IF(AK183=summaryref2!B114,summaryref2!O114,IF(AK183=summaryref2!B128,summaryref2!O128,IF(AK183=summaryref2!B142,summaryref2!O142,"")))))))))))</f>
        <v>#REF!</v>
      </c>
      <c r="AZ183" s="1110" t="e">
        <f>IF('A-80 DirEntInv'!#REF!&lt;&gt;"",'A-80 DirEntInv'!#REF!,IF(AK183=summaryref2!B16,summaryref2!P16,IF(Summary!AK183=summaryref2!B30,summaryref2!P30,IF(AK183=summaryref2!B44,summaryref2!P44,IF(AK183=summaryref2!B58,summaryref2!P58,IF(AK183=summaryref2!B72,summaryref2!P72,IF(AK183=summaryref2!B86,summaryref2!P86,IF(AK183=summaryref2!B100,summaryref2!P100,IF(AK183=summaryref2!B114,summaryref2!P114,IF(AK183=summaryref2!B128,summaryref2!P128,IF(AK183=summaryref2!B142,summaryref2!P142,"")))))))))))</f>
        <v>#REF!</v>
      </c>
      <c r="BA183" s="1110" t="e">
        <f>IF('A-80 DirEntInv'!#REF!&lt;&gt;"",'A-80 DirEntInv'!#REF!,IF(AK183=summaryref2!B16,summaryref2!Q16,IF(Summary!AK183=summaryref2!B30,summaryref2!Q30,IF(AK183=summaryref2!B44,summaryref2!Q44,IF(AK183=summaryref2!B58,summaryref2!Q58,IF(AK183=summaryref2!B72,summaryref2!Q72,IF(AK183=summaryref2!B86,summaryref2!Q86,IF(AK183=summaryref2!B100,summaryref2!Q100,IF(AK183=summaryref2!B114,summaryref2!Q114,IF(AK183=summaryref2!B128,summaryref2!Q128,IF(AK183=summaryref2!B142,summaryref2!Q142,"")))))))))))</f>
        <v>#REF!</v>
      </c>
      <c r="BB183" s="1110" t="e">
        <f>IF('A-80 DirEntInv'!#REF!&lt;&gt;"",'A-80 DirEntInv'!#REF!,IF(AK183=summaryref2!B16,summaryref2!R16,IF(Summary!AK183=summaryref2!B30,summaryref2!R30,IF(AK183=summaryref2!B44,summaryref2!R44,IF(AK183=summaryref2!B58,summaryref2!R58,IF(AK183=summaryref2!B72,summaryref2!R72,IF(AK183=summaryref2!B86,summaryref2!R86,IF(AK183=summaryref2!B100,summaryref2!R100,IF(AK183=summaryref2!B114,summaryref2!R114,IF(AK183=summaryref2!B128,summaryref2!R128,IF(AK183=summaryref2!B142,summaryref2!R142,"")))))))))))</f>
        <v>#REF!</v>
      </c>
      <c r="BC183" s="1110" t="e">
        <f>IF('A-80 DirEntInv'!#REF!&lt;&gt;0,'A-80 DirEntInv'!#REF!,IF(AK183=summaryref2!B16,summaryref2!S16,IF(Summary!AK183=summaryref2!B30,summaryref2!S30,IF(AK183=summaryref2!B44,summaryref2!S44,IF(AK183=summaryref2!B58,summaryref2!S58,IF(AK183=summaryref2!B72,summaryref2!S72,IF(AK183=summaryref2!B86,summaryref2!S86,IF(AK183=summaryref2!B100,summaryref2!S100,IF(AK183=summaryref2!B114,summaryref2!S114,IF(AK183=summaryref2!B128,summaryref2!S128,IF(AK183=summaryref2!B142,summaryref2!S142,"")))))))))))</f>
        <v>#REF!</v>
      </c>
      <c r="BD183" s="1111" t="e">
        <f>IF('A-80 DirEntInv'!#REF!&lt;&gt;"",'A-80 DirEntInv'!#REF!,IF(AK183=summaryref2!B16,summaryref2!T16,IF(Summary!AK183=summaryref2!B30,summaryref2!T30,IF(AK183=summaryref2!B44,summaryref2!T44,IF(AK183=summaryref2!B58,summaryref2!T58,IF(AK183=summaryref2!B72,summaryref2!T72,IF(AK183=summaryref2!B86,summaryref2!T86,IF(AK183=summaryref2!B100,summaryref2!T100,IF(AK183=summaryref2!B114,summaryref2!T114,IF(AK183=summaryref2!B128,summaryref2!T128,IF(AK183=summaryref2!B142,summaryref2!T142,"")))))))))))</f>
        <v>#REF!</v>
      </c>
      <c r="BE183" s="1184" t="e">
        <f>IF('A-80 DirEntInv'!#REF!&lt;&gt;"",'A-80 DirEntInv'!#REF!,IF(AK183=summaryref2!B16,summaryref2!U16,IF(Summary!AK183=summaryref2!B30,summaryref2!U30,IF(AK183=summaryref2!B44,summaryref2!U44,IF(AK183=summaryref2!B58,summaryref2!U58,IF(AK183=summaryref2!B72,summaryref2!U72,IF(AK183=summaryref2!B86,summaryref2!U86,IF(AK183=summaryref2!B100,summaryref2!U100,IF(AK183=summaryref2!B114,summaryref2!U114,IF(AK183=summaryref2!B128,summaryref2!U128,IF(AK183=summaryref2!B142,summaryref2!U142,"")))))))))))</f>
        <v>#REF!</v>
      </c>
      <c r="BF183" s="1432"/>
      <c r="BG183" s="1432"/>
      <c r="BU183" s="962"/>
      <c r="CD183" s="589"/>
      <c r="CE183" s="590"/>
      <c r="CF183" s="590"/>
      <c r="CG183" s="590"/>
      <c r="CH183" s="590"/>
      <c r="CI183" s="590"/>
      <c r="CJ183" s="589"/>
      <c r="CK183" s="589"/>
      <c r="CL183" s="589"/>
      <c r="CM183" s="587"/>
      <c r="CN183" s="587"/>
      <c r="CO183" s="589"/>
      <c r="CP183" s="587"/>
      <c r="CQ183" s="592"/>
      <c r="CR183" s="589"/>
      <c r="CS183" s="592"/>
      <c r="CT183" s="589"/>
      <c r="CU183" s="589"/>
      <c r="CV183" s="589"/>
      <c r="CW183" s="587"/>
      <c r="CX183" s="590"/>
      <c r="CY183" s="590"/>
      <c r="CZ183" s="590"/>
      <c r="DA183" s="1054"/>
      <c r="DB183" s="1054"/>
      <c r="DC183" s="587"/>
      <c r="DD183" s="587"/>
    </row>
    <row r="184" spans="1:108" s="588" customFormat="1" x14ac:dyDescent="0.2">
      <c r="A184" s="589">
        <f t="shared" si="2"/>
        <v>174</v>
      </c>
      <c r="B184" s="587"/>
      <c r="C184" s="587"/>
      <c r="D184" s="587"/>
      <c r="J184" s="589"/>
      <c r="K184" s="590"/>
      <c r="L184" s="591"/>
      <c r="M184" s="592"/>
      <c r="N184" s="589"/>
      <c r="O184" s="587"/>
      <c r="R184" s="1052"/>
      <c r="S184" s="1052"/>
      <c r="T184" s="1052"/>
      <c r="U184" s="1052"/>
      <c r="V184" s="1052"/>
      <c r="W184" s="1053"/>
      <c r="X184" s="1053"/>
      <c r="Y184" s="1053"/>
      <c r="Z184" s="1052"/>
      <c r="AA184" s="1052"/>
      <c r="AB184" s="962"/>
      <c r="AC184" s="590"/>
      <c r="AD184" s="590"/>
      <c r="AE184" s="591"/>
      <c r="AF184" s="592"/>
      <c r="AG184" s="1053"/>
      <c r="AH184" s="587"/>
      <c r="AK184" s="1041" t="str">
        <f>Codes!$C$168</f>
        <v>MG - Monorail/Automated Guideway (PT)</v>
      </c>
      <c r="AL184" s="1042" t="str">
        <f>Valid!$B$76</f>
        <v>Below-Grade/Retained Cut</v>
      </c>
      <c r="AM184" s="1108" t="e">
        <f>IF('A-80 DirEntInv'!#REF!&lt;&gt;"",'A-80 DirEntInv'!#REF!,IF(AK184=summaryref2!B17,summaryref2!D17,IF(Summary!AK184=summaryref2!B31,summaryref2!D31,IF(AK184=summaryref2!B45,summaryref2!D45,IF(AK184=summaryref2!B59,summaryref2!D59,IF(AK184=summaryref2!B73,summaryref2!D73,IF(AK184=summaryref2!B87,summaryref2!D87,IF(AK184=summaryref2!B101,summaryref2!D101,IF(AK184=summaryref2!B115,summaryref2!D115,IF(AK184=summaryref2!B129,summaryref2!D129,IF(AK184=summaryref2!B143,summaryref2!D143,"")))))))))))</f>
        <v>#REF!</v>
      </c>
      <c r="AN184" s="1109" t="e">
        <f ca="1">IF('A-80 DirEntInv'!#REF!&lt;&gt;"",'A-80 DirEntInv'!#REF!,IF(INDIRECT(ADDRESS(SumRef!CG234,SumRef!CG$16,,,SumRef!$C$7))="","",INDIRECT(ADDRESS(SumRef!CG234,SumRef!CG$16,,,SumRef!$C$7))))</f>
        <v>#REF!</v>
      </c>
      <c r="AO184" s="1108" t="e">
        <f>IF('A-80 DirEntInv'!#REF!&lt;&gt;"",'A-80 DirEntInv'!#REF!,IF(AK184=summaryref2!B17,summaryref2!F17,IF(Summary!AK184=summaryref2!B31,summaryref2!F31,IF(AK184=summaryref2!B45,summaryref2!F45,IF(AK184=summaryref2!B59,summaryref2!F59,IF(AK184=summaryref2!B73,summaryref2!F73,IF(AK184=summaryref2!B87,summaryref2!F87,IF(AK184=summaryref2!B101,summaryref2!F101,IF(AK184=summaryref2!B115,summaryref2!F115,IF(AK184=summaryref2!B129,summaryref2!F129,IF(AK184=summaryref2!B143,summaryref2!F143,"")))))))))))</f>
        <v>#REF!</v>
      </c>
      <c r="AP184" s="1109" t="e">
        <f ca="1">IF('A-80 DirEntInv'!#REF!&lt;&gt;"",'A-80 DirEntInv'!#REF!,IF(INDIRECT(ADDRESS(SumRef!#REF!,SumRef!#REF!,,,SumRef!$C$7))="","",INDIRECT(ADDRESS(SumRef!#REF!,SumRef!#REF!,,,SumRef!$C$7))))</f>
        <v>#REF!</v>
      </c>
      <c r="AQ184" s="1147" t="e">
        <f>IF('A-80 DirEntInv'!#REF!&lt;&gt;"",'A-80 DirEntInv'!#REF!,IF(AK184=summaryref2!B17,summaryref2!G17,IF(Summary!AK184=summaryref2!B31,summaryref2!G31,IF(AK184=summaryref2!B45,summaryref2!G45,IF(AK184=summaryref2!B59,summaryref2!G59,IF(AK184=summaryref2!B73,summaryref2!G73,IF(AK184=summaryref2!B87,summaryref2!G87,IF(AK184=summaryref2!B101,summaryref2!G101,IF(AK184=summaryref2!B115,summaryref2!G115,IF(AK184=summaryref2!B129,summaryref2!G129,IF(AK184=summaryref2!B143,summaryref2!G143,"")))))))))))</f>
        <v>#REF!</v>
      </c>
      <c r="AR184" s="1147" t="e">
        <f>IF('A-80 DirEntInv'!#REF!&lt;&gt;"",'A-80 DirEntInv'!#REF!,IF(AK184=summaryref2!B17,summaryref2!H17,IF(Summary!AK184=summaryref2!B31,summaryref2!H31,IF(AK184=summaryref2!B45,summaryref2!H45,IF(AK184=summaryref2!B59,summaryref2!H59,IF(AK184=summaryref2!B73,summaryref2!H73,IF(AK184=summaryref2!B87,summaryref2!H87,IF(AK184=summaryref2!B101,summaryref2!H101,IF(AK184=summaryref2!B115,summaryref2!H115,IF(AK184=summaryref2!B129,summaryref2!H129,IF(AK184=summaryref2!B143,summaryref2!H143,"")))))))))))</f>
        <v>#REF!</v>
      </c>
      <c r="AS184" s="1110" t="e">
        <f>IF('A-80 DirEntInv'!#REF!&lt;&gt;"",'A-80 DirEntInv'!#REF!,IF(AK184=summaryref2!B17,summaryref2!I17,IF(Summary!AK184=summaryref2!B31,summaryref2!I31,IF(AK184=summaryref2!B45,summaryref2!I45,IF(AK184=summaryref2!B59,summaryref2!I59,IF(AK184=summaryref2!B73,summaryref2!I73,IF(AK184=summaryref2!B87,summaryref2!I87,IF(AK184=summaryref2!B101,summaryref2!I101,IF(AK184=summaryref2!B115,summaryref2!I115,IF(AK184=summaryref2!B129,summaryref2!I129,IF(AK184=summaryref2!B143,summaryref2!I143,"")))))))))))</f>
        <v>#REF!</v>
      </c>
      <c r="AT184" s="1110" t="e">
        <f>IF('A-80 DirEntInv'!#REF!&lt;&gt;"",'A-80 DirEntInv'!#REF!,IF(AK184=summaryref2!B17,summaryref2!J17,IF(Summary!AK184=summaryref2!B31,summaryref2!J31,IF(AK184=summaryref2!B45,summaryref2!J45,IF(AK184=summaryref2!B59,summaryref2!J59,IF(AK184=summaryref2!B73,summaryref2!J73,IF(AK184=summaryref2!B87,summaryref2!J87,IF(AK184=summaryref2!B101,summaryref2!J101,IF(AK184=summaryref2!B115,summaryref2!J115,IF(AK184=summaryref2!B129,summaryref2!J129,IF(AK184=summaryref2!B143,summaryref2!J143,"")))))))))))</f>
        <v>#REF!</v>
      </c>
      <c r="AU184" s="1110" t="e">
        <f>IF('A-80 DirEntInv'!#REF!&lt;&gt;"",'A-80 DirEntInv'!#REF!,IF(AK184=summaryref2!B17,summaryref2!K17,IF(Summary!AK184=summaryref2!B31,summaryref2!K31,IF(AK184=summaryref2!B45,summaryref2!K45,IF(AK184=summaryref2!B59,summaryref2!K59,IF(AK184=summaryref2!B73,summaryref2!K73,IF(AK184=summaryref2!B87,summaryref2!K87,IF(AK184=summaryref2!B101,summaryref2!K101,IF(AK184=summaryref2!B115,summaryref2!K115,IF(AK184=summaryref2!B129,summaryref2!K129,IF(AK184=summaryref2!B143,summaryref2!K143,"")))))))))))</f>
        <v>#REF!</v>
      </c>
      <c r="AV184" s="1110" t="e">
        <f>IF('A-80 DirEntInv'!#REF!&lt;&gt;"",'A-80 DirEntInv'!#REF!,IF(AK184=summaryref2!B17,summaryref2!L17,IF(Summary!AK184=summaryref2!B31,summaryref2!L31,IF(AK184=summaryref2!B45,summaryref2!L45,IF(AK184=summaryref2!B59,summaryref2!L59,IF(AK184=summaryref2!B73,summaryref2!L73,IF(AK184=summaryref2!B87,summaryref2!L87,IF(AK184=summaryref2!B101,summaryref2!L101,IF(AK184=summaryref2!B115,summaryref2!L115,IF(AK184=summaryref2!B129,summaryref2!L129,IF(AK184=summaryref2!B143,summaryref2!L143,"")))))))))))</f>
        <v>#REF!</v>
      </c>
      <c r="AW184" s="1110" t="e">
        <f>IF('A-80 DirEntInv'!#REF!&lt;&gt;"",'A-80 DirEntInv'!#REF!,IF(AK184=summaryref2!B17,summaryref2!M17,IF(Summary!AK184=summaryref2!B31,summaryref2!M31,IF(AK184=summaryref2!B45,summaryref2!M45,IF(AK184=summaryref2!B59,summaryref2!M59,IF(AK184=summaryref2!B73,summaryref2!M73,IF(AK184=summaryref2!B87,summaryref2!M87,IF(AK184=summaryref2!B101,summaryref2!M101,IF(AK184=summaryref2!B115,summaryref2!M115,IF(AK184=summaryref2!B129,summaryref2!M129,IF(AK184=summaryref2!B143,summaryref2!M143,"")))))))))))</f>
        <v>#REF!</v>
      </c>
      <c r="AX184" s="1110" t="e">
        <f>IF('A-80 DirEntInv'!#REF!&lt;&gt;"",'A-80 DirEntInv'!#REF!,IF(AK184=summaryref2!B17,summaryref2!N17,IF(Summary!AK184=summaryref2!B31,summaryref2!N31,IF(AK184=summaryref2!B45,summaryref2!N45,IF(AK184=summaryref2!B59,summaryref2!N59,IF(AK184=summaryref2!B73,summaryref2!N73,IF(AK184=summaryref2!B87,summaryref2!N87,IF(AK184=summaryref2!B101,summaryref2!N101,IF(AK184=summaryref2!B115,summaryref2!N115,IF(AK184=summaryref2!B129,summaryref2!N129,IF(AK184=summaryref2!B143,summaryref2!N143,"")))))))))))</f>
        <v>#REF!</v>
      </c>
      <c r="AY184" s="1110" t="e">
        <f>IF('A-80 DirEntInv'!#REF!&lt;&gt;"",'A-80 DirEntInv'!#REF!,IF(AK184=summaryref2!B17,summaryref2!O17,IF(Summary!AK184=summaryref2!B31,summaryref2!O31,IF(AK184=summaryref2!B45,summaryref2!O45,IF(AK184=summaryref2!B59,summaryref2!O59,IF(AK184=summaryref2!B73,summaryref2!O73,IF(AK184=summaryref2!B87,summaryref2!O87,IF(AK184=summaryref2!B101,summaryref2!O101,IF(AK184=summaryref2!B115,summaryref2!O115,IF(AK184=summaryref2!B129,summaryref2!O129,IF(AK184=summaryref2!B143,summaryref2!O143,"")))))))))))</f>
        <v>#REF!</v>
      </c>
      <c r="AZ184" s="1110" t="e">
        <f>IF('A-80 DirEntInv'!#REF!&lt;&gt;"",'A-80 DirEntInv'!#REF!,IF(AK184=summaryref2!B17,summaryref2!P17,IF(Summary!AK184=summaryref2!B31,summaryref2!P31,IF(AK184=summaryref2!B45,summaryref2!P45,IF(AK184=summaryref2!B59,summaryref2!P59,IF(AK184=summaryref2!B73,summaryref2!P73,IF(AK184=summaryref2!B87,summaryref2!P87,IF(AK184=summaryref2!B101,summaryref2!P101,IF(AK184=summaryref2!B115,summaryref2!P115,IF(AK184=summaryref2!B129,summaryref2!P129,IF(AK184=summaryref2!B143,summaryref2!P143,"")))))))))))</f>
        <v>#REF!</v>
      </c>
      <c r="BA184" s="1110" t="e">
        <f>IF('A-80 DirEntInv'!#REF!&lt;&gt;"",'A-80 DirEntInv'!#REF!,IF(AK184=summaryref2!B17,summaryref2!Q17,IF(Summary!AK184=summaryref2!B31,summaryref2!Q31,IF(AK184=summaryref2!B45,summaryref2!Q45,IF(AK184=summaryref2!B59,summaryref2!Q59,IF(AK184=summaryref2!B73,summaryref2!Q73,IF(AK184=summaryref2!B87,summaryref2!Q87,IF(AK184=summaryref2!B101,summaryref2!Q101,IF(AK184=summaryref2!B115,summaryref2!Q115,IF(AK184=summaryref2!B129,summaryref2!Q129,IF(AK184=summaryref2!B143,summaryref2!Q143,"")))))))))))</f>
        <v>#REF!</v>
      </c>
      <c r="BB184" s="1110" t="e">
        <f>IF('A-80 DirEntInv'!#REF!&lt;&gt;"",'A-80 DirEntInv'!#REF!,IF(AK184=summaryref2!B17,summaryref2!R17,IF(Summary!AK184=summaryref2!B31,summaryref2!R31,IF(AK184=summaryref2!B45,summaryref2!R45,IF(AK184=summaryref2!B59,summaryref2!R59,IF(AK184=summaryref2!B73,summaryref2!R73,IF(AK184=summaryref2!B87,summaryref2!R87,IF(AK184=summaryref2!B101,summaryref2!R101,IF(AK184=summaryref2!B115,summaryref2!R115,IF(AK184=summaryref2!B129,summaryref2!R129,IF(AK184=summaryref2!B143,summaryref2!R143,"")))))))))))</f>
        <v>#REF!</v>
      </c>
      <c r="BC184" s="1110" t="e">
        <f>IF('A-80 DirEntInv'!#REF!&lt;&gt;0,'A-80 DirEntInv'!#REF!,IF(AK184=summaryref2!B17,summaryref2!S17,IF(Summary!AK184=summaryref2!B31,summaryref2!S31,IF(AK184=summaryref2!B45,summaryref2!S45,IF(AK184=summaryref2!B59,summaryref2!S59,IF(AK184=summaryref2!B73,summaryref2!S73,IF(AK184=summaryref2!B87,summaryref2!S87,IF(AK184=summaryref2!B101,summaryref2!S101,IF(AK184=summaryref2!B115,summaryref2!S115,IF(AK184=summaryref2!B129,summaryref2!S129,IF(AK184=summaryref2!B143,summaryref2!S143,"")))))))))))</f>
        <v>#REF!</v>
      </c>
      <c r="BD184" s="1111" t="e">
        <f>IF('A-80 DirEntInv'!#REF!&lt;&gt;"",'A-80 DirEntInv'!#REF!,IF(AK184=summaryref2!B17,summaryref2!T17,IF(Summary!AK184=summaryref2!B31,summaryref2!T31,IF(AK184=summaryref2!B45,summaryref2!T45,IF(AK184=summaryref2!B59,summaryref2!T59,IF(AK184=summaryref2!B73,summaryref2!T73,IF(AK184=summaryref2!B87,summaryref2!T87,IF(AK184=summaryref2!B101,summaryref2!T101,IF(AK184=summaryref2!B115,summaryref2!T115,IF(AK184=summaryref2!B129,summaryref2!T129,IF(AK184=summaryref2!B143,summaryref2!T143,"")))))))))))</f>
        <v>#REF!</v>
      </c>
      <c r="BE184" s="1184" t="e">
        <f>IF('A-80 DirEntInv'!#REF!&lt;&gt;"",'A-80 DirEntInv'!#REF!,IF(AK184=summaryref2!B17,summaryref2!U17,IF(Summary!AK184=summaryref2!B31,summaryref2!U31,IF(AK184=summaryref2!B45,summaryref2!U45,IF(AK184=summaryref2!B59,summaryref2!U59,IF(AK184=summaryref2!B73,summaryref2!U73,IF(AK184=summaryref2!B87,summaryref2!U87,IF(AK184=summaryref2!B101,summaryref2!U101,IF(AK184=summaryref2!B115,summaryref2!U115,IF(AK184=summaryref2!B129,summaryref2!U129,IF(AK184=summaryref2!B143,summaryref2!U143,"")))))))))))</f>
        <v>#REF!</v>
      </c>
      <c r="BF184" s="1432"/>
      <c r="BG184" s="1432"/>
      <c r="BU184" s="962"/>
      <c r="CD184" s="589"/>
      <c r="CE184" s="590"/>
      <c r="CF184" s="590"/>
      <c r="CG184" s="590"/>
      <c r="CH184" s="590"/>
      <c r="CI184" s="590"/>
      <c r="CJ184" s="589"/>
      <c r="CK184" s="589"/>
      <c r="CL184" s="589"/>
      <c r="CM184" s="587"/>
      <c r="CN184" s="587"/>
      <c r="CO184" s="589"/>
      <c r="CP184" s="587"/>
      <c r="CQ184" s="592"/>
      <c r="CR184" s="589"/>
      <c r="CS184" s="592"/>
      <c r="CT184" s="589"/>
      <c r="CU184" s="589"/>
      <c r="CV184" s="589"/>
      <c r="CW184" s="587"/>
      <c r="CX184" s="590"/>
      <c r="CY184" s="590"/>
      <c r="CZ184" s="590"/>
      <c r="DA184" s="1054"/>
      <c r="DB184" s="1054"/>
      <c r="DC184" s="587"/>
      <c r="DD184" s="587"/>
    </row>
    <row r="185" spans="1:108" s="588" customFormat="1" x14ac:dyDescent="0.2">
      <c r="A185" s="589">
        <f t="shared" si="2"/>
        <v>175</v>
      </c>
      <c r="B185" s="587"/>
      <c r="C185" s="587"/>
      <c r="D185" s="587"/>
      <c r="J185" s="589"/>
      <c r="K185" s="590"/>
      <c r="L185" s="591"/>
      <c r="M185" s="592"/>
      <c r="N185" s="589"/>
      <c r="O185" s="587"/>
      <c r="R185" s="1052"/>
      <c r="S185" s="1052"/>
      <c r="T185" s="1052"/>
      <c r="U185" s="1052"/>
      <c r="V185" s="1052"/>
      <c r="W185" s="1053"/>
      <c r="X185" s="1053"/>
      <c r="Y185" s="1053"/>
      <c r="Z185" s="1052"/>
      <c r="AA185" s="1052"/>
      <c r="AB185" s="962"/>
      <c r="AC185" s="590"/>
      <c r="AD185" s="590"/>
      <c r="AE185" s="591"/>
      <c r="AF185" s="592"/>
      <c r="AG185" s="1053"/>
      <c r="AH185" s="587"/>
      <c r="AK185" s="1041" t="str">
        <f>Codes!$C$168</f>
        <v>MG - Monorail/Automated Guideway (PT)</v>
      </c>
      <c r="AL185" s="1042" t="str">
        <f>Valid!$B$77</f>
        <v>Below-Grade/Cut-and-Cover Tunnel</v>
      </c>
      <c r="AM185" s="1108" t="e">
        <f>IF('A-80 DirEntInv'!#REF!&lt;&gt;"",'A-80 DirEntInv'!#REF!,IF(AK185=summaryref2!B18,summaryref2!D18,IF(Summary!AK185=summaryref2!B32,summaryref2!D32,IF(AK185=summaryref2!B46,summaryref2!D46,IF(AK185=summaryref2!B60,summaryref2!D60,IF(AK185=summaryref2!B74,summaryref2!D74,IF(AK185=summaryref2!B88,summaryref2!D88,IF(AK185=summaryref2!B102,summaryref2!D102,IF(AK185=summaryref2!B116,summaryref2!D116,IF(AK185=summaryref2!B130,summaryref2!D130,IF(AK185=summaryref2!B144,summaryref2!D144,"")))))))))))</f>
        <v>#REF!</v>
      </c>
      <c r="AN185" s="1109" t="e">
        <f ca="1">IF('A-80 DirEntInv'!#REF!&lt;&gt;"",'A-80 DirEntInv'!#REF!,IF(INDIRECT(ADDRESS(SumRef!CG235,SumRef!CG$16,,,SumRef!$C$7))="","",INDIRECT(ADDRESS(SumRef!CG235,SumRef!CG$16,,,SumRef!$C$7))))</f>
        <v>#REF!</v>
      </c>
      <c r="AO185" s="1108" t="e">
        <f>IF('A-80 DirEntInv'!#REF!&lt;&gt;"",'A-80 DirEntInv'!#REF!,IF(AK185=summaryref2!B18,summaryref2!F18,IF(Summary!AK185=summaryref2!B32,summaryref2!F32,IF(AK185=summaryref2!B46,summaryref2!F46,IF(AK185=summaryref2!B60,summaryref2!F60,IF(AK185=summaryref2!B74,summaryref2!F74,IF(AK185=summaryref2!B88,summaryref2!F88,IF(AK185=summaryref2!B102,summaryref2!F102,IF(AK185=summaryref2!B116,summaryref2!F116,IF(AK185=summaryref2!B130,summaryref2!F130,IF(AK185=summaryref2!B144,summaryref2!F144,"")))))))))))</f>
        <v>#REF!</v>
      </c>
      <c r="AP185" s="1109" t="e">
        <f ca="1">IF('A-80 DirEntInv'!#REF!&lt;&gt;"",'A-80 DirEntInv'!#REF!,IF(INDIRECT(ADDRESS(SumRef!#REF!,SumRef!#REF!,,,SumRef!$C$7))="","",INDIRECT(ADDRESS(SumRef!#REF!,SumRef!#REF!,,,SumRef!$C$7))))</f>
        <v>#REF!</v>
      </c>
      <c r="AQ185" s="1147" t="e">
        <f>IF('A-80 DirEntInv'!#REF!&lt;&gt;"",'A-80 DirEntInv'!#REF!,IF(AK185=summaryref2!B18,summaryref2!G18,IF(Summary!AK185=summaryref2!B32,summaryref2!G32,IF(AK185=summaryref2!B46,summaryref2!G46,IF(AK185=summaryref2!B60,summaryref2!G60,IF(AK185=summaryref2!B74,summaryref2!G74,IF(AK185=summaryref2!B88,summaryref2!G88,IF(AK185=summaryref2!B102,summaryref2!G102,IF(AK185=summaryref2!B116,summaryref2!G116,IF(AK185=summaryref2!B130,summaryref2!G130,IF(AK185=summaryref2!B144,summaryref2!G144,"")))))))))))</f>
        <v>#REF!</v>
      </c>
      <c r="AR185" s="1147" t="e">
        <f>IF('A-80 DirEntInv'!#REF!&lt;&gt;"",'A-80 DirEntInv'!#REF!,IF(AK185=summaryref2!B18,summaryref2!H18,IF(Summary!AK185=summaryref2!B32,summaryref2!H32,IF(AK185=summaryref2!B46,summaryref2!H46,IF(AK185=summaryref2!B60,summaryref2!H60,IF(AK185=summaryref2!B74,summaryref2!H74,IF(AK185=summaryref2!B88,summaryref2!H88,IF(AK185=summaryref2!B102,summaryref2!H102,IF(AK185=summaryref2!B116,summaryref2!H116,IF(AK185=summaryref2!B130,summaryref2!H130,IF(AK185=summaryref2!B144,summaryref2!H144,"")))))))))))</f>
        <v>#REF!</v>
      </c>
      <c r="AS185" s="1110" t="e">
        <f>IF('A-80 DirEntInv'!#REF!&lt;&gt;"",'A-80 DirEntInv'!#REF!,IF(AK185=summaryref2!B18,summaryref2!I18,IF(Summary!AK185=summaryref2!B32,summaryref2!I32,IF(AK185=summaryref2!B46,summaryref2!I46,IF(AK185=summaryref2!B60,summaryref2!I60,IF(AK185=summaryref2!B74,summaryref2!I74,IF(AK185=summaryref2!B88,summaryref2!I88,IF(AK185=summaryref2!B102,summaryref2!I102,IF(AK185=summaryref2!B116,summaryref2!I116,IF(AK185=summaryref2!B130,summaryref2!I130,IF(AK185=summaryref2!B144,summaryref2!I144,"")))))))))))</f>
        <v>#REF!</v>
      </c>
      <c r="AT185" s="1110" t="e">
        <f>IF('A-80 DirEntInv'!#REF!&lt;&gt;"",'A-80 DirEntInv'!#REF!,IF(AK185=summaryref2!B18,summaryref2!J18,IF(Summary!AK185=summaryref2!B32,summaryref2!J32,IF(AK185=summaryref2!B46,summaryref2!J46,IF(AK185=summaryref2!B60,summaryref2!J60,IF(AK185=summaryref2!B74,summaryref2!J74,IF(AK185=summaryref2!B88,summaryref2!J88,IF(AK185=summaryref2!B102,summaryref2!J102,IF(AK185=summaryref2!B116,summaryref2!J116,IF(AK185=summaryref2!B130,summaryref2!J130,IF(AK185=summaryref2!B144,summaryref2!J144,"")))))))))))</f>
        <v>#REF!</v>
      </c>
      <c r="AU185" s="1110" t="e">
        <f>IF('A-80 DirEntInv'!#REF!&lt;&gt;"",'A-80 DirEntInv'!#REF!,IF(AK185=summaryref2!B18,summaryref2!K18,IF(Summary!AK185=summaryref2!B32,summaryref2!K32,IF(AK185=summaryref2!B46,summaryref2!K46,IF(AK185=summaryref2!B60,summaryref2!K60,IF(AK185=summaryref2!B74,summaryref2!K74,IF(AK185=summaryref2!B88,summaryref2!K88,IF(AK185=summaryref2!B102,summaryref2!K102,IF(AK185=summaryref2!B116,summaryref2!K116,IF(AK185=summaryref2!B130,summaryref2!K130,IF(AK185=summaryref2!B144,summaryref2!K144,"")))))))))))</f>
        <v>#REF!</v>
      </c>
      <c r="AV185" s="1110" t="e">
        <f>IF('A-80 DirEntInv'!#REF!&lt;&gt;"",'A-80 DirEntInv'!#REF!,IF(AK185=summaryref2!B18,summaryref2!L18,IF(Summary!AK185=summaryref2!B32,summaryref2!L32,IF(AK185=summaryref2!B46,summaryref2!L46,IF(AK185=summaryref2!B60,summaryref2!L60,IF(AK185=summaryref2!B74,summaryref2!L74,IF(AK185=summaryref2!B88,summaryref2!L88,IF(AK185=summaryref2!B102,summaryref2!L102,IF(AK185=summaryref2!B116,summaryref2!L116,IF(AK185=summaryref2!B130,summaryref2!L130,IF(AK185=summaryref2!B144,summaryref2!L144,"")))))))))))</f>
        <v>#REF!</v>
      </c>
      <c r="AW185" s="1110" t="e">
        <f>IF('A-80 DirEntInv'!#REF!&lt;&gt;"",'A-80 DirEntInv'!#REF!,IF(AK185=summaryref2!B18,summaryref2!M18,IF(Summary!AK185=summaryref2!B32,summaryref2!M32,IF(AK185=summaryref2!B46,summaryref2!M46,IF(AK185=summaryref2!B60,summaryref2!M60,IF(AK185=summaryref2!B74,summaryref2!M74,IF(AK185=summaryref2!B88,summaryref2!M88,IF(AK185=summaryref2!B102,summaryref2!M102,IF(AK185=summaryref2!B116,summaryref2!M116,IF(AK185=summaryref2!B130,summaryref2!M130,IF(AK185=summaryref2!B144,summaryref2!M144,"")))))))))))</f>
        <v>#REF!</v>
      </c>
      <c r="AX185" s="1110" t="e">
        <f>IF('A-80 DirEntInv'!#REF!&lt;&gt;"",'A-80 DirEntInv'!#REF!,IF(AK185=summaryref2!B18,summaryref2!N18,IF(Summary!AK185=summaryref2!B32,summaryref2!N32,IF(AK185=summaryref2!B46,summaryref2!N46,IF(AK185=summaryref2!B60,summaryref2!N60,IF(AK185=summaryref2!B74,summaryref2!N74,IF(AK185=summaryref2!B88,summaryref2!N88,IF(AK185=summaryref2!B102,summaryref2!N102,IF(AK185=summaryref2!B116,summaryref2!N116,IF(AK185=summaryref2!B130,summaryref2!N130,IF(AK185=summaryref2!B144,summaryref2!N144,"")))))))))))</f>
        <v>#REF!</v>
      </c>
      <c r="AY185" s="1110" t="e">
        <f>IF('A-80 DirEntInv'!#REF!&lt;&gt;"",'A-80 DirEntInv'!#REF!,IF(AK185=summaryref2!B18,summaryref2!O18,IF(Summary!AK185=summaryref2!B32,summaryref2!O32,IF(AK185=summaryref2!B46,summaryref2!O46,IF(AK185=summaryref2!B60,summaryref2!O60,IF(AK185=summaryref2!B74,summaryref2!O74,IF(AK185=summaryref2!B88,summaryref2!O88,IF(AK185=summaryref2!B102,summaryref2!O102,IF(AK185=summaryref2!B116,summaryref2!O116,IF(AK185=summaryref2!B130,summaryref2!O130,IF(AK185=summaryref2!B144,summaryref2!O144,"")))))))))))</f>
        <v>#REF!</v>
      </c>
      <c r="AZ185" s="1110" t="e">
        <f>IF('A-80 DirEntInv'!#REF!&lt;&gt;"",'A-80 DirEntInv'!#REF!,IF(AK185=summaryref2!B18,summaryref2!P18,IF(Summary!AK185=summaryref2!B32,summaryref2!P32,IF(AK185=summaryref2!B46,summaryref2!P46,IF(AK185=summaryref2!B60,summaryref2!P60,IF(AK185=summaryref2!B74,summaryref2!P74,IF(AK185=summaryref2!B88,summaryref2!P88,IF(AK185=summaryref2!B102,summaryref2!P102,IF(AK185=summaryref2!B116,summaryref2!P116,IF(AK185=summaryref2!B130,summaryref2!P130,IF(AK185=summaryref2!B144,summaryref2!P144,"")))))))))))</f>
        <v>#REF!</v>
      </c>
      <c r="BA185" s="1110" t="e">
        <f>IF('A-80 DirEntInv'!#REF!&lt;&gt;"",'A-80 DirEntInv'!#REF!,IF(AK185=summaryref2!B18,summaryref2!Q18,IF(Summary!AK185=summaryref2!B32,summaryref2!Q32,IF(AK185=summaryref2!B46,summaryref2!Q46,IF(AK185=summaryref2!B60,summaryref2!Q60,IF(AK185=summaryref2!B74,summaryref2!Q74,IF(AK185=summaryref2!B88,summaryref2!Q88,IF(AK185=summaryref2!B102,summaryref2!Q102,IF(AK185=summaryref2!B116,summaryref2!Q116,IF(AK185=summaryref2!B130,summaryref2!Q130,IF(AK185=summaryref2!B144,summaryref2!Q144,"")))))))))))</f>
        <v>#REF!</v>
      </c>
      <c r="BB185" s="1110" t="e">
        <f>IF('A-80 DirEntInv'!#REF!&lt;&gt;"",'A-80 DirEntInv'!#REF!,IF(AK185=summaryref2!B18,summaryref2!R18,IF(Summary!AK185=summaryref2!B32,summaryref2!R32,IF(AK185=summaryref2!B46,summaryref2!R46,IF(AK185=summaryref2!B60,summaryref2!R60,IF(AK185=summaryref2!B74,summaryref2!R74,IF(AK185=summaryref2!B88,summaryref2!R88,IF(AK185=summaryref2!B102,summaryref2!R102,IF(AK185=summaryref2!B116,summaryref2!R116,IF(AK185=summaryref2!B130,summaryref2!R130,IF(AK185=summaryref2!B144,summaryref2!R144,"")))))))))))</f>
        <v>#REF!</v>
      </c>
      <c r="BC185" s="1110" t="e">
        <f>IF('A-80 DirEntInv'!#REF!&lt;&gt;0,'A-80 DirEntInv'!#REF!,IF(AK185=summaryref2!B18,summaryref2!S18,IF(Summary!AK185=summaryref2!B32,summaryref2!S32,IF(AK185=summaryref2!B46,summaryref2!S46,IF(AK185=summaryref2!B60,summaryref2!S60,IF(AK185=summaryref2!B74,summaryref2!S74,IF(AK185=summaryref2!B88,summaryref2!S88,IF(AK185=summaryref2!B102,summaryref2!S102,IF(AK185=summaryref2!B116,summaryref2!S116,IF(AK185=summaryref2!B130,summaryref2!S130,IF(AK185=summaryref2!B144,summaryref2!S144,"")))))))))))</f>
        <v>#REF!</v>
      </c>
      <c r="BD185" s="1111" t="e">
        <f>IF('A-80 DirEntInv'!#REF!&lt;&gt;"",'A-80 DirEntInv'!#REF!,IF(AK185=summaryref2!B18,summaryref2!T18,IF(Summary!AK185=summaryref2!B32,summaryref2!T32,IF(AK185=summaryref2!B46,summaryref2!T46,IF(AK185=summaryref2!B60,summaryref2!T60,IF(AK185=summaryref2!B74,summaryref2!T74,IF(AK185=summaryref2!B88,summaryref2!T88,IF(AK185=summaryref2!B102,summaryref2!T102,IF(AK185=summaryref2!B116,summaryref2!T116,IF(AK185=summaryref2!B130,summaryref2!T130,IF(AK185=summaryref2!B144,summaryref2!T144,"")))))))))))</f>
        <v>#REF!</v>
      </c>
      <c r="BE185" s="1184" t="e">
        <f>IF('A-80 DirEntInv'!#REF!&lt;&gt;"",'A-80 DirEntInv'!#REF!,IF(AK185=summaryref2!B18,summaryref2!U18,IF(Summary!AK185=summaryref2!B32,summaryref2!U32,IF(AK185=summaryref2!B46,summaryref2!U46,IF(AK185=summaryref2!B60,summaryref2!U60,IF(AK185=summaryref2!B74,summaryref2!U74,IF(AK185=summaryref2!B88,summaryref2!U88,IF(AK185=summaryref2!B102,summaryref2!U102,IF(AK185=summaryref2!B116,summaryref2!U116,IF(AK185=summaryref2!B130,summaryref2!U130,IF(AK185=summaryref2!B144,summaryref2!U144,"")))))))))))</f>
        <v>#REF!</v>
      </c>
      <c r="BF185" s="1432"/>
      <c r="BG185" s="1432"/>
      <c r="BU185" s="962"/>
      <c r="CD185" s="589"/>
      <c r="CE185" s="590"/>
      <c r="CF185" s="590"/>
      <c r="CG185" s="590"/>
      <c r="CH185" s="590"/>
      <c r="CI185" s="590"/>
      <c r="CJ185" s="589"/>
      <c r="CK185" s="589"/>
      <c r="CL185" s="589"/>
      <c r="CM185" s="587"/>
      <c r="CN185" s="587"/>
      <c r="CO185" s="589"/>
      <c r="CP185" s="587"/>
      <c r="CQ185" s="592"/>
      <c r="CR185" s="589"/>
      <c r="CS185" s="592"/>
      <c r="CT185" s="589"/>
      <c r="CU185" s="589"/>
      <c r="CV185" s="589"/>
      <c r="CW185" s="587"/>
      <c r="CX185" s="590"/>
      <c r="CY185" s="590"/>
      <c r="CZ185" s="590"/>
      <c r="DA185" s="1054"/>
      <c r="DB185" s="1054"/>
      <c r="DC185" s="587"/>
      <c r="DD185" s="587"/>
    </row>
    <row r="186" spans="1:108" s="588" customFormat="1" x14ac:dyDescent="0.2">
      <c r="A186" s="589">
        <f t="shared" si="2"/>
        <v>176</v>
      </c>
      <c r="B186" s="587"/>
      <c r="C186" s="587"/>
      <c r="D186" s="587"/>
      <c r="J186" s="589"/>
      <c r="K186" s="590"/>
      <c r="L186" s="591"/>
      <c r="M186" s="592"/>
      <c r="N186" s="589"/>
      <c r="O186" s="587"/>
      <c r="R186" s="1052"/>
      <c r="S186" s="1052"/>
      <c r="T186" s="1052"/>
      <c r="U186" s="1052"/>
      <c r="V186" s="1052"/>
      <c r="W186" s="1053"/>
      <c r="X186" s="1053"/>
      <c r="Y186" s="1053"/>
      <c r="Z186" s="1052"/>
      <c r="AA186" s="1052"/>
      <c r="AB186" s="962"/>
      <c r="AC186" s="590"/>
      <c r="AD186" s="590"/>
      <c r="AE186" s="591"/>
      <c r="AF186" s="592"/>
      <c r="AG186" s="1053"/>
      <c r="AH186" s="587"/>
      <c r="AK186" s="1041" t="str">
        <f>Codes!$C$168</f>
        <v>MG - Monorail/Automated Guideway (PT)</v>
      </c>
      <c r="AL186" s="1042" t="str">
        <f>Valid!$B$78</f>
        <v>Below-Grade/Bored or Blasted Tunnel</v>
      </c>
      <c r="AM186" s="1108" t="e">
        <f>IF('A-80 DirEntInv'!#REF!&lt;&gt;"",'A-80 DirEntInv'!#REF!,IF(AK186=summaryref2!B19,summaryref2!D19,IF(Summary!AK186=summaryref2!B33,summaryref2!D33,IF(AK186=summaryref2!B47,summaryref2!D47,IF(AK186=summaryref2!B61,summaryref2!D61,IF(AK186=summaryref2!B75,summaryref2!D75,IF(AK186=summaryref2!B89,summaryref2!D89,IF(AK186=summaryref2!B103,summaryref2!D103,IF(AK186=summaryref2!B117,summaryref2!D117,IF(AK186=summaryref2!B131,summaryref2!D131,IF(AK186=summaryref2!B145,summaryref2!D145,"")))))))))))</f>
        <v>#REF!</v>
      </c>
      <c r="AN186" s="1109" t="e">
        <f ca="1">IF('A-80 DirEntInv'!#REF!&lt;&gt;"",'A-80 DirEntInv'!#REF!,IF(INDIRECT(ADDRESS(SumRef!CG236,SumRef!CG$16,,,SumRef!$C$7))="","",INDIRECT(ADDRESS(SumRef!CG236,SumRef!CG$16,,,SumRef!$C$7))))</f>
        <v>#REF!</v>
      </c>
      <c r="AO186" s="1108" t="e">
        <f>IF('A-80 DirEntInv'!#REF!&lt;&gt;"",'A-80 DirEntInv'!#REF!,IF(AK186=summaryref2!B19,summaryref2!F19,IF(Summary!AK186=summaryref2!B33,summaryref2!F33,IF(AK186=summaryref2!B47,summaryref2!F47,IF(AK186=summaryref2!B61,summaryref2!F61,IF(AK186=summaryref2!B75,summaryref2!F75,IF(AK186=summaryref2!B89,summaryref2!F89,IF(AK186=summaryref2!B103,summaryref2!F103,IF(AK186=summaryref2!B117,summaryref2!F117,IF(AK186=summaryref2!B131,summaryref2!F131,IF(AK186=summaryref2!B145,summaryref2!F145,"")))))))))))</f>
        <v>#REF!</v>
      </c>
      <c r="AP186" s="1109" t="e">
        <f ca="1">IF('A-80 DirEntInv'!#REF!&lt;&gt;"",'A-80 DirEntInv'!#REF!,IF(INDIRECT(ADDRESS(SumRef!#REF!,SumRef!#REF!,,,SumRef!$C$7))="","",INDIRECT(ADDRESS(SumRef!#REF!,SumRef!#REF!,,,SumRef!$C$7))))</f>
        <v>#REF!</v>
      </c>
      <c r="AQ186" s="1147" t="e">
        <f>IF('A-80 DirEntInv'!#REF!&lt;&gt;"",'A-80 DirEntInv'!#REF!,IF(AK186=summaryref2!B19,summaryref2!G19,IF(Summary!AK186=summaryref2!B33,summaryref2!G33,IF(AK186=summaryref2!B47,summaryref2!G47,IF(AK186=summaryref2!B61,summaryref2!G61,IF(AK186=summaryref2!B75,summaryref2!G75,IF(AK186=summaryref2!B89,summaryref2!G89,IF(AK186=summaryref2!B103,summaryref2!G103,IF(AK186=summaryref2!B117,summaryref2!G117,IF(AK186=summaryref2!B131,summaryref2!G131,IF(AK186=summaryref2!B145,summaryref2!G145,"")))))))))))</f>
        <v>#REF!</v>
      </c>
      <c r="AR186" s="1147" t="e">
        <f>IF('A-80 DirEntInv'!#REF!&lt;&gt;"",'A-80 DirEntInv'!#REF!,IF(AK186=summaryref2!B19,summaryref2!H19,IF(Summary!AK186=summaryref2!B33,summaryref2!H33,IF(AK186=summaryref2!B47,summaryref2!H47,IF(AK186=summaryref2!B61,summaryref2!H61,IF(AK186=summaryref2!B75,summaryref2!H75,IF(AK186=summaryref2!B89,summaryref2!H89,IF(AK186=summaryref2!B103,summaryref2!H103,IF(AK186=summaryref2!B117,summaryref2!H117,IF(AK186=summaryref2!B131,summaryref2!H131,IF(AK186=summaryref2!B145,summaryref2!H145,"")))))))))))</f>
        <v>#REF!</v>
      </c>
      <c r="AS186" s="1110" t="e">
        <f>IF('A-80 DirEntInv'!#REF!&lt;&gt;"",'A-80 DirEntInv'!#REF!,IF(AK186=summaryref2!B19,summaryref2!I19,IF(Summary!AK186=summaryref2!B33,summaryref2!I33,IF(AK186=summaryref2!B47,summaryref2!I47,IF(AK186=summaryref2!B61,summaryref2!I61,IF(AK186=summaryref2!B75,summaryref2!I75,IF(AK186=summaryref2!B89,summaryref2!I89,IF(AK186=summaryref2!B103,summaryref2!I103,IF(AK186=summaryref2!B117,summaryref2!I117,IF(AK186=summaryref2!B131,summaryref2!I131,IF(AK186=summaryref2!B145,summaryref2!I145,"")))))))))))</f>
        <v>#REF!</v>
      </c>
      <c r="AT186" s="1110" t="e">
        <f>IF('A-80 DirEntInv'!#REF!&lt;&gt;"",'A-80 DirEntInv'!#REF!,IF(AK186=summaryref2!B19,summaryref2!J19,IF(Summary!AK186=summaryref2!B33,summaryref2!J33,IF(AK186=summaryref2!B47,summaryref2!J47,IF(AK186=summaryref2!B61,summaryref2!J61,IF(AK186=summaryref2!B75,summaryref2!J75,IF(AK186=summaryref2!B89,summaryref2!J89,IF(AK186=summaryref2!B103,summaryref2!J103,IF(AK186=summaryref2!B117,summaryref2!J117,IF(AK186=summaryref2!B131,summaryref2!J131,IF(AK186=summaryref2!B145,summaryref2!J145,"")))))))))))</f>
        <v>#REF!</v>
      </c>
      <c r="AU186" s="1110" t="e">
        <f>IF('A-80 DirEntInv'!#REF!&lt;&gt;"",'A-80 DirEntInv'!#REF!,IF(AK186=summaryref2!B19,summaryref2!K19,IF(Summary!AK186=summaryref2!B33,summaryref2!K33,IF(AK186=summaryref2!B47,summaryref2!K47,IF(AK186=summaryref2!B61,summaryref2!K61,IF(AK186=summaryref2!B75,summaryref2!K75,IF(AK186=summaryref2!B89,summaryref2!K89,IF(AK186=summaryref2!B103,summaryref2!K103,IF(AK186=summaryref2!B117,summaryref2!K117,IF(AK186=summaryref2!B131,summaryref2!K131,IF(AK186=summaryref2!B145,summaryref2!K145,"")))))))))))</f>
        <v>#REF!</v>
      </c>
      <c r="AV186" s="1110" t="e">
        <f>IF('A-80 DirEntInv'!#REF!&lt;&gt;"",'A-80 DirEntInv'!#REF!,IF(AK186=summaryref2!B19,summaryref2!L19,IF(Summary!AK186=summaryref2!B33,summaryref2!L33,IF(AK186=summaryref2!B47,summaryref2!L47,IF(AK186=summaryref2!B61,summaryref2!L61,IF(AK186=summaryref2!B75,summaryref2!L75,IF(AK186=summaryref2!B89,summaryref2!L89,IF(AK186=summaryref2!B103,summaryref2!L103,IF(AK186=summaryref2!B117,summaryref2!L117,IF(AK186=summaryref2!B131,summaryref2!L131,IF(AK186=summaryref2!B145,summaryref2!L145,"")))))))))))</f>
        <v>#REF!</v>
      </c>
      <c r="AW186" s="1110" t="e">
        <f>IF('A-80 DirEntInv'!#REF!&lt;&gt;"",'A-80 DirEntInv'!#REF!,IF(AK186=summaryref2!B19,summaryref2!M19,IF(Summary!AK186=summaryref2!B33,summaryref2!M33,IF(AK186=summaryref2!B47,summaryref2!M47,IF(AK186=summaryref2!B61,summaryref2!M61,IF(AK186=summaryref2!B75,summaryref2!M75,IF(AK186=summaryref2!B89,summaryref2!M89,IF(AK186=summaryref2!B103,summaryref2!M103,IF(AK186=summaryref2!B117,summaryref2!M117,IF(AK186=summaryref2!B131,summaryref2!M131,IF(AK186=summaryref2!B145,summaryref2!M145,"")))))))))))</f>
        <v>#REF!</v>
      </c>
      <c r="AX186" s="1110" t="e">
        <f>IF('A-80 DirEntInv'!#REF!&lt;&gt;"",'A-80 DirEntInv'!#REF!,IF(AK186=summaryref2!B19,summaryref2!N19,IF(Summary!AK186=summaryref2!B33,summaryref2!N33,IF(AK186=summaryref2!B47,summaryref2!N47,IF(AK186=summaryref2!B61,summaryref2!N61,IF(AK186=summaryref2!B75,summaryref2!N75,IF(AK186=summaryref2!B89,summaryref2!N89,IF(AK186=summaryref2!B103,summaryref2!N103,IF(AK186=summaryref2!B117,summaryref2!N117,IF(AK186=summaryref2!B131,summaryref2!N131,IF(AK186=summaryref2!B145,summaryref2!N145,"")))))))))))</f>
        <v>#REF!</v>
      </c>
      <c r="AY186" s="1110" t="e">
        <f>IF('A-80 DirEntInv'!#REF!&lt;&gt;"",'A-80 DirEntInv'!#REF!,IF(AK186=summaryref2!B19,summaryref2!O19,IF(Summary!AK186=summaryref2!B33,summaryref2!O33,IF(AK186=summaryref2!B47,summaryref2!O47,IF(AK186=summaryref2!B61,summaryref2!O61,IF(AK186=summaryref2!B75,summaryref2!O75,IF(AK186=summaryref2!B89,summaryref2!O89,IF(AK186=summaryref2!B103,summaryref2!O103,IF(AK186=summaryref2!B117,summaryref2!O117,IF(AK186=summaryref2!B131,summaryref2!O131,IF(AK186=summaryref2!B145,summaryref2!O145,"")))))))))))</f>
        <v>#REF!</v>
      </c>
      <c r="AZ186" s="1110" t="e">
        <f>IF('A-80 DirEntInv'!#REF!&lt;&gt;"",'A-80 DirEntInv'!#REF!,IF(AK186=summaryref2!B19,summaryref2!P19,IF(Summary!AK186=summaryref2!B33,summaryref2!P33,IF(AK186=summaryref2!B47,summaryref2!P47,IF(AK186=summaryref2!B61,summaryref2!P61,IF(AK186=summaryref2!B75,summaryref2!P75,IF(AK186=summaryref2!B89,summaryref2!P89,IF(AK186=summaryref2!B103,summaryref2!P103,IF(AK186=summaryref2!B117,summaryref2!P117,IF(AK186=summaryref2!B131,summaryref2!P131,IF(AK186=summaryref2!B145,summaryref2!P145,"")))))))))))</f>
        <v>#REF!</v>
      </c>
      <c r="BA186" s="1110" t="e">
        <f>IF('A-80 DirEntInv'!#REF!&lt;&gt;"",'A-80 DirEntInv'!#REF!,IF(AK186=summaryref2!B19,summaryref2!Q19,IF(Summary!AK186=summaryref2!B33,summaryref2!Q33,IF(AK186=summaryref2!B47,summaryref2!Q47,IF(AK186=summaryref2!B61,summaryref2!Q61,IF(AK186=summaryref2!B75,summaryref2!Q75,IF(AK186=summaryref2!B89,summaryref2!Q89,IF(AK186=summaryref2!B103,summaryref2!Q103,IF(AK186=summaryref2!B117,summaryref2!Q117,IF(AK186=summaryref2!B131,summaryref2!Q131,IF(AK186=summaryref2!B145,summaryref2!Q145,"")))))))))))</f>
        <v>#REF!</v>
      </c>
      <c r="BB186" s="1110" t="e">
        <f>IF('A-80 DirEntInv'!#REF!&lt;&gt;"",'A-80 DirEntInv'!#REF!,IF(AK186=summaryref2!B19,summaryref2!R19,IF(Summary!AK186=summaryref2!B33,summaryref2!R33,IF(AK186=summaryref2!B47,summaryref2!R47,IF(AK186=summaryref2!B61,summaryref2!R61,IF(AK186=summaryref2!B75,summaryref2!R75,IF(AK186=summaryref2!B89,summaryref2!R89,IF(AK186=summaryref2!B103,summaryref2!R103,IF(AK186=summaryref2!B117,summaryref2!R117,IF(AK186=summaryref2!B131,summaryref2!R131,IF(AK186=summaryref2!B145,summaryref2!R145,"")))))))))))</f>
        <v>#REF!</v>
      </c>
      <c r="BC186" s="1110" t="e">
        <f>IF('A-80 DirEntInv'!#REF!&lt;&gt;0,'A-80 DirEntInv'!#REF!,IF(AK186=summaryref2!B19,summaryref2!S19,IF(Summary!AK186=summaryref2!B33,summaryref2!S33,IF(AK186=summaryref2!B47,summaryref2!S47,IF(AK186=summaryref2!B61,summaryref2!S61,IF(AK186=summaryref2!B75,summaryref2!S75,IF(AK186=summaryref2!B89,summaryref2!S89,IF(AK186=summaryref2!B103,summaryref2!S103,IF(AK186=summaryref2!B117,summaryref2!S117,IF(AK186=summaryref2!B131,summaryref2!S131,IF(AK186=summaryref2!B145,summaryref2!S145,"")))))))))))</f>
        <v>#REF!</v>
      </c>
      <c r="BD186" s="1111" t="e">
        <f>IF('A-80 DirEntInv'!#REF!&lt;&gt;"",'A-80 DirEntInv'!#REF!,IF(AK186=summaryref2!B19,summaryref2!T19,IF(Summary!AK186=summaryref2!B33,summaryref2!T33,IF(AK186=summaryref2!B47,summaryref2!T47,IF(AK186=summaryref2!B61,summaryref2!T61,IF(AK186=summaryref2!B75,summaryref2!T75,IF(AK186=summaryref2!B89,summaryref2!T89,IF(AK186=summaryref2!B103,summaryref2!T103,IF(AK186=summaryref2!B117,summaryref2!T117,IF(AK186=summaryref2!B131,summaryref2!T131,IF(AK186=summaryref2!B145,summaryref2!T145,"")))))))))))</f>
        <v>#REF!</v>
      </c>
      <c r="BE186" s="1184" t="e">
        <f>IF('A-80 DirEntInv'!#REF!&lt;&gt;"",'A-80 DirEntInv'!#REF!,IF(AK186=summaryref2!B19,summaryref2!U19,IF(Summary!AK186=summaryref2!B33,summaryref2!U33,IF(AK186=summaryref2!B47,summaryref2!U47,IF(AK186=summaryref2!B61,summaryref2!U61,IF(AK186=summaryref2!B75,summaryref2!U75,IF(AK186=summaryref2!B89,summaryref2!U89,IF(AK186=summaryref2!B103,summaryref2!U103,IF(AK186=summaryref2!B117,summaryref2!U117,IF(AK186=summaryref2!B131,summaryref2!U131,IF(AK186=summaryref2!B145,summaryref2!U145,"")))))))))))</f>
        <v>#REF!</v>
      </c>
      <c r="BF186" s="1432"/>
      <c r="BG186" s="1432"/>
      <c r="BU186" s="962"/>
      <c r="CD186" s="589"/>
      <c r="CE186" s="590"/>
      <c r="CF186" s="590"/>
      <c r="CG186" s="590"/>
      <c r="CH186" s="590"/>
      <c r="CI186" s="590"/>
      <c r="CJ186" s="589"/>
      <c r="CK186" s="589"/>
      <c r="CL186" s="589"/>
      <c r="CM186" s="587"/>
      <c r="CN186" s="587"/>
      <c r="CO186" s="589"/>
      <c r="CP186" s="587"/>
      <c r="CQ186" s="592"/>
      <c r="CR186" s="589"/>
      <c r="CS186" s="592"/>
      <c r="CT186" s="589"/>
      <c r="CU186" s="589"/>
      <c r="CV186" s="589"/>
      <c r="CW186" s="587"/>
      <c r="CX186" s="590"/>
      <c r="CY186" s="590"/>
      <c r="CZ186" s="590"/>
      <c r="DA186" s="1054"/>
      <c r="DB186" s="1054"/>
      <c r="DC186" s="587"/>
      <c r="DD186" s="587"/>
    </row>
    <row r="187" spans="1:108" s="588" customFormat="1" ht="13.5" thickBot="1" x14ac:dyDescent="0.25">
      <c r="A187" s="589">
        <f t="shared" si="2"/>
        <v>177</v>
      </c>
      <c r="B187" s="587"/>
      <c r="C187" s="587"/>
      <c r="D187" s="587"/>
      <c r="J187" s="589"/>
      <c r="K187" s="590"/>
      <c r="L187" s="591"/>
      <c r="M187" s="592"/>
      <c r="N187" s="589"/>
      <c r="O187" s="587"/>
      <c r="R187" s="1052"/>
      <c r="S187" s="1052"/>
      <c r="T187" s="1052"/>
      <c r="U187" s="1052"/>
      <c r="V187" s="1052"/>
      <c r="W187" s="1053"/>
      <c r="X187" s="1053"/>
      <c r="Y187" s="1053"/>
      <c r="Z187" s="1052"/>
      <c r="AA187" s="1052"/>
      <c r="AB187" s="962"/>
      <c r="AC187" s="590"/>
      <c r="AD187" s="590"/>
      <c r="AE187" s="591"/>
      <c r="AF187" s="592"/>
      <c r="AG187" s="1053"/>
      <c r="AH187" s="587"/>
      <c r="AK187" s="1048" t="str">
        <f>Codes!$C$168</f>
        <v>MG - Monorail/Automated Guideway (PT)</v>
      </c>
      <c r="AL187" s="1049" t="str">
        <f>Valid!$B$79</f>
        <v>Below-Grade/Submerged Tube</v>
      </c>
      <c r="AM187" s="1119" t="e">
        <f>IF('A-80 DirEntInv'!#REF!&lt;&gt;"",'A-80 DirEntInv'!#REF!,IF(AK187=summaryref2!B20,summaryref2!D20,IF(Summary!AK187=summaryref2!B34,summaryref2!D34,IF(AK187=summaryref2!B48,summaryref2!D48,IF(AK187=summaryref2!B62,summaryref2!D62,IF(AK187=summaryref2!B76,summaryref2!D76,IF(AK187=summaryref2!B90,summaryref2!D90,IF(AK187=summaryref2!B104,summaryref2!D104,IF(AK187=summaryref2!B118,summaryref2!D118,IF(AK187=summaryref2!B132,summaryref2!D132,IF(AK187=summaryref2!B146,summaryref2!D146,"")))))))))))</f>
        <v>#REF!</v>
      </c>
      <c r="AN187" s="1120" t="e">
        <f ca="1">IF('A-80 DirEntInv'!#REF!&lt;&gt;"",'A-80 DirEntInv'!#REF!,IF(INDIRECT(ADDRESS(SumRef!CG237,SumRef!CG$16,,,SumRef!$C$7))="","",INDIRECT(ADDRESS(SumRef!CG237,SumRef!CG$16,,,SumRef!$C$7))))</f>
        <v>#REF!</v>
      </c>
      <c r="AO187" s="1119" t="e">
        <f>IF('A-80 DirEntInv'!#REF!&lt;&gt;"",'A-80 DirEntInv'!#REF!,IF(AK187=summaryref2!B20,summaryref2!F20,IF(Summary!AK187=summaryref2!B34,summaryref2!F34,IF(AK187=summaryref2!B48,summaryref2!F48,IF(AK187=summaryref2!B62,summaryref2!F62,IF(AK187=summaryref2!B76,summaryref2!F76,IF(AK187=summaryref2!B90,summaryref2!F90,IF(AK187=summaryref2!B104,summaryref2!F104,IF(AK187=summaryref2!B118,summaryref2!F118,IF(AK187=summaryref2!B132,summaryref2!F132,IF(AK187=summaryref2!B146,summaryref2!F146,"")))))))))))</f>
        <v>#REF!</v>
      </c>
      <c r="AP187" s="1120" t="e">
        <f ca="1">IF('A-80 DirEntInv'!#REF!&lt;&gt;"",'A-80 DirEntInv'!#REF!,IF(INDIRECT(ADDRESS(SumRef!#REF!,SumRef!#REF!,,,SumRef!$C$7))="","",INDIRECT(ADDRESS(SumRef!#REF!,SumRef!#REF!,,,SumRef!$C$7))))</f>
        <v>#REF!</v>
      </c>
      <c r="AQ187" s="1148" t="e">
        <f>IF('A-80 DirEntInv'!#REF!&lt;&gt;"",'A-80 DirEntInv'!#REF!,IF(AK187=summaryref2!B20,summaryref2!G20,IF(Summary!AK187=summaryref2!B34,summaryref2!G34,IF(AK187=summaryref2!B48,summaryref2!G48,IF(AK187=summaryref2!B62,summaryref2!G62,IF(AK187=summaryref2!B76,summaryref2!G76,IF(AK187=summaryref2!B90,summaryref2!G90,IF(AK187=summaryref2!B104,summaryref2!G104,IF(AK187=summaryref2!B118,summaryref2!G118,IF(AK187=summaryref2!B132,summaryref2!G132,IF(AK187=summaryref2!B146,summaryref2!G146,"")))))))))))</f>
        <v>#REF!</v>
      </c>
      <c r="AR187" s="1148" t="e">
        <f>IF('A-80 DirEntInv'!#REF!&lt;&gt;"",'A-80 DirEntInv'!#REF!,IF(AK187=summaryref2!B20,summaryref2!H20,IF(Summary!AK187=summaryref2!B34,summaryref2!H34,IF(AK187=summaryref2!B48,summaryref2!H48,IF(AK187=summaryref2!B62,summaryref2!H62,IF(AK187=summaryref2!B76,summaryref2!H76,IF(AK187=summaryref2!B90,summaryref2!H90,IF(AK187=summaryref2!B104,summaryref2!H104,IF(AK187=summaryref2!B118,summaryref2!H118,IF(AK187=summaryref2!B132,summaryref2!H132,IF(AK187=summaryref2!B146,summaryref2!H146,"")))))))))))</f>
        <v>#REF!</v>
      </c>
      <c r="AS187" s="1121" t="e">
        <f>IF('A-80 DirEntInv'!#REF!&lt;&gt;"",'A-80 DirEntInv'!#REF!,IF(AK187=summaryref2!B20,summaryref2!I20,IF(Summary!AK187=summaryref2!B34,summaryref2!I34,IF(AK187=summaryref2!B48,summaryref2!I48,IF(AK187=summaryref2!B62,summaryref2!I62,IF(AK187=summaryref2!B76,summaryref2!I76,IF(AK187=summaryref2!B90,summaryref2!I90,IF(AK187=summaryref2!B104,summaryref2!I104,IF(AK187=summaryref2!B118,summaryref2!I118,IF(AK187=summaryref2!B132,summaryref2!I132,IF(AK187=summaryref2!B146,summaryref2!I146,"")))))))))))</f>
        <v>#REF!</v>
      </c>
      <c r="AT187" s="1121" t="e">
        <f>IF('A-80 DirEntInv'!#REF!&lt;&gt;"",'A-80 DirEntInv'!#REF!,IF(AK187=summaryref2!B20,summaryref2!J20,IF(Summary!AK187=summaryref2!B34,summaryref2!J34,IF(AK187=summaryref2!B48,summaryref2!J48,IF(AK187=summaryref2!B62,summaryref2!J62,IF(AK187=summaryref2!B76,summaryref2!J76,IF(AK187=summaryref2!B90,summaryref2!J90,IF(AK187=summaryref2!B104,summaryref2!J104,IF(AK187=summaryref2!B118,summaryref2!J118,IF(AK187=summaryref2!B132,summaryref2!J132,IF(AK187=summaryref2!B146,summaryref2!J146,"")))))))))))</f>
        <v>#REF!</v>
      </c>
      <c r="AU187" s="1121" t="e">
        <f>IF('A-80 DirEntInv'!#REF!&lt;&gt;"",'A-80 DirEntInv'!#REF!,IF(AK187=summaryref2!B20,summaryref2!K20,IF(Summary!AK187=summaryref2!B34,summaryref2!K34,IF(AK187=summaryref2!B48,summaryref2!K48,IF(AK187=summaryref2!B62,summaryref2!K62,IF(AK187=summaryref2!B76,summaryref2!K76,IF(AK187=summaryref2!B90,summaryref2!K90,IF(AK187=summaryref2!B104,summaryref2!K104,IF(AK187=summaryref2!B118,summaryref2!K118,IF(AK187=summaryref2!B132,summaryref2!K132,IF(AK187=summaryref2!B146,summaryref2!K146,"")))))))))))</f>
        <v>#REF!</v>
      </c>
      <c r="AV187" s="1121" t="e">
        <f>IF('A-80 DirEntInv'!#REF!&lt;&gt;"",'A-80 DirEntInv'!#REF!,IF(AK187=summaryref2!B20,summaryref2!L20,IF(Summary!AK187=summaryref2!B34,summaryref2!L34,IF(AK187=summaryref2!B48,summaryref2!L48,IF(AK187=summaryref2!B62,summaryref2!L62,IF(AK187=summaryref2!B76,summaryref2!L76,IF(AK187=summaryref2!B90,summaryref2!L90,IF(AK187=summaryref2!B104,summaryref2!L104,IF(AK187=summaryref2!B118,summaryref2!L118,IF(AK187=summaryref2!B132,summaryref2!L132,IF(AK187=summaryref2!B146,summaryref2!L146,"")))))))))))</f>
        <v>#REF!</v>
      </c>
      <c r="AW187" s="1121" t="e">
        <f>IF('A-80 DirEntInv'!#REF!&lt;&gt;"",'A-80 DirEntInv'!#REF!,IF(AK187=summaryref2!B20,summaryref2!M20,IF(Summary!AK187=summaryref2!B34,summaryref2!M34,IF(AK187=summaryref2!B48,summaryref2!M48,IF(AK187=summaryref2!B62,summaryref2!M62,IF(AK187=summaryref2!B76,summaryref2!M76,IF(AK187=summaryref2!B90,summaryref2!M90,IF(AK187=summaryref2!B104,summaryref2!M104,IF(AK187=summaryref2!B118,summaryref2!M118,IF(AK187=summaryref2!B132,summaryref2!M132,IF(AK187=summaryref2!B146,summaryref2!M146,"")))))))))))</f>
        <v>#REF!</v>
      </c>
      <c r="AX187" s="1121" t="e">
        <f>IF('A-80 DirEntInv'!#REF!&lt;&gt;"",'A-80 DirEntInv'!#REF!,IF(AK187=summaryref2!B20,summaryref2!N20,IF(Summary!AK187=summaryref2!B34,summaryref2!N34,IF(AK187=summaryref2!B48,summaryref2!N48,IF(AK187=summaryref2!B62,summaryref2!N62,IF(AK187=summaryref2!B76,summaryref2!N76,IF(AK187=summaryref2!B90,summaryref2!N90,IF(AK187=summaryref2!B104,summaryref2!N104,IF(AK187=summaryref2!B118,summaryref2!N118,IF(AK187=summaryref2!B132,summaryref2!N132,IF(AK187=summaryref2!B146,summaryref2!N146,"")))))))))))</f>
        <v>#REF!</v>
      </c>
      <c r="AY187" s="1121" t="e">
        <f>IF('A-80 DirEntInv'!#REF!&lt;&gt;"",'A-80 DirEntInv'!#REF!,IF(AK187=summaryref2!B20,summaryref2!O20,IF(Summary!AK187=summaryref2!B34,summaryref2!O34,IF(AK187=summaryref2!B48,summaryref2!O48,IF(AK187=summaryref2!B62,summaryref2!O62,IF(AK187=summaryref2!B76,summaryref2!O76,IF(AK187=summaryref2!B90,summaryref2!O90,IF(AK187=summaryref2!B104,summaryref2!O104,IF(AK187=summaryref2!B118,summaryref2!O118,IF(AK187=summaryref2!B132,summaryref2!O132,IF(AK187=summaryref2!B146,summaryref2!O146,"")))))))))))</f>
        <v>#REF!</v>
      </c>
      <c r="AZ187" s="1121" t="e">
        <f>IF('A-80 DirEntInv'!#REF!&lt;&gt;"",'A-80 DirEntInv'!#REF!,IF(AK187=summaryref2!B20,summaryref2!P20,IF(Summary!AK187=summaryref2!B34,summaryref2!P34,IF(AK187=summaryref2!B48,summaryref2!P48,IF(AK187=summaryref2!B62,summaryref2!P62,IF(AK187=summaryref2!B76,summaryref2!P76,IF(AK187=summaryref2!B90,summaryref2!P90,IF(AK187=summaryref2!B104,summaryref2!P104,IF(AK187=summaryref2!B118,summaryref2!P118,IF(AK187=summaryref2!B132,summaryref2!P132,IF(AK187=summaryref2!B146,summaryref2!P146,"")))))))))))</f>
        <v>#REF!</v>
      </c>
      <c r="BA187" s="1121" t="e">
        <f>IF('A-80 DirEntInv'!#REF!&lt;&gt;"",'A-80 DirEntInv'!#REF!,IF(AK187=summaryref2!B20,summaryref2!Q20,IF(Summary!AK187=summaryref2!B34,summaryref2!Q34,IF(AK187=summaryref2!B48,summaryref2!Q48,IF(AK187=summaryref2!B62,summaryref2!Q62,IF(AK187=summaryref2!B76,summaryref2!Q76,IF(AK187=summaryref2!B90,summaryref2!Q90,IF(AK187=summaryref2!B104,summaryref2!Q104,IF(AK187=summaryref2!B118,summaryref2!Q118,IF(AK187=summaryref2!B132,summaryref2!Q132,IF(AK187=summaryref2!B146,summaryref2!Q146,"")))))))))))</f>
        <v>#REF!</v>
      </c>
      <c r="BB187" s="1121" t="e">
        <f>IF('A-80 DirEntInv'!#REF!&lt;&gt;"",'A-80 DirEntInv'!#REF!,IF(AK187=summaryref2!B20,summaryref2!R20,IF(Summary!AK187=summaryref2!B34,summaryref2!R34,IF(AK187=summaryref2!B48,summaryref2!R48,IF(AK187=summaryref2!B62,summaryref2!R62,IF(AK187=summaryref2!B76,summaryref2!R76,IF(AK187=summaryref2!B90,summaryref2!R90,IF(AK187=summaryref2!B104,summaryref2!R104,IF(AK187=summaryref2!B118,summaryref2!R118,IF(AK187=summaryref2!B132,summaryref2!R132,IF(AK187=summaryref2!B146,summaryref2!R146,"")))))))))))</f>
        <v>#REF!</v>
      </c>
      <c r="BC187" s="1121" t="e">
        <f>IF('A-80 DirEntInv'!#REF!&lt;&gt;0,'A-80 DirEntInv'!#REF!,IF(AK187=summaryref2!B20,summaryref2!S20,IF(Summary!AK187=summaryref2!B34,summaryref2!S34,IF(AK187=summaryref2!B48,summaryref2!S48,IF(AK187=summaryref2!B62,summaryref2!S62,IF(AK187=summaryref2!B76,summaryref2!S76,IF(AK187=summaryref2!B90,summaryref2!S90,IF(AK187=summaryref2!B104,summaryref2!S104,IF(AK187=summaryref2!B118,summaryref2!S118,IF(AK187=summaryref2!B132,summaryref2!S132,IF(AK187=summaryref2!B146,summaryref2!S146,"")))))))))))</f>
        <v>#REF!</v>
      </c>
      <c r="BD187" s="1122" t="e">
        <f>IF('A-80 DirEntInv'!#REF!&lt;&gt;"",'A-80 DirEntInv'!#REF!,IF(AK187=summaryref2!B20,summaryref2!T20,IF(Summary!AK187=summaryref2!B34,summaryref2!T34,IF(AK187=summaryref2!B48,summaryref2!T48,IF(AK187=summaryref2!B62,summaryref2!T62,IF(AK187=summaryref2!B76,summaryref2!T76,IF(AK187=summaryref2!B90,summaryref2!T90,IF(AK187=summaryref2!B104,summaryref2!T104,IF(AK187=summaryref2!B118,summaryref2!T118,IF(AK187=summaryref2!B132,summaryref2!T132,IF(AK187=summaryref2!B146,summaryref2!T146,"")))))))))))</f>
        <v>#REF!</v>
      </c>
      <c r="BE187" s="1190" t="e">
        <f>IF('A-80 DirEntInv'!#REF!&lt;&gt;"",'A-80 DirEntInv'!#REF!,IF(AK187=summaryref2!B20,summaryref2!U20,IF(Summary!AK187=summaryref2!B34,summaryref2!U34,IF(AK187=summaryref2!B48,summaryref2!U48,IF(AK187=summaryref2!B62,summaryref2!U62,IF(AK187=summaryref2!B76,summaryref2!U76,IF(AK187=summaryref2!B90,summaryref2!U90,IF(AK187=summaryref2!B104,summaryref2!U104,IF(AK187=summaryref2!B118,summaryref2!U118,IF(AK187=summaryref2!B132,summaryref2!U132,IF(AK187=summaryref2!B146,summaryref2!U146,"")))))))))))</f>
        <v>#REF!</v>
      </c>
      <c r="BF187" s="1432"/>
      <c r="BG187" s="1432"/>
      <c r="BU187" s="962"/>
      <c r="CD187" s="589"/>
      <c r="CE187" s="590"/>
      <c r="CF187" s="590"/>
      <c r="CG187" s="590"/>
      <c r="CH187" s="590"/>
      <c r="CI187" s="590"/>
      <c r="CJ187" s="589"/>
      <c r="CK187" s="589"/>
      <c r="CL187" s="589"/>
      <c r="CM187" s="587"/>
      <c r="CN187" s="587"/>
      <c r="CO187" s="589"/>
      <c r="CP187" s="587"/>
      <c r="CQ187" s="592"/>
      <c r="CR187" s="589"/>
      <c r="CS187" s="592"/>
      <c r="CT187" s="589"/>
      <c r="CU187" s="589"/>
      <c r="CV187" s="589"/>
      <c r="CW187" s="587"/>
      <c r="CX187" s="590"/>
      <c r="CY187" s="590"/>
      <c r="CZ187" s="590"/>
      <c r="DA187" s="1054"/>
      <c r="DB187" s="1054"/>
      <c r="DC187" s="587"/>
      <c r="DD187" s="587"/>
    </row>
    <row r="188" spans="1:108" s="588" customFormat="1" ht="13.5" thickTop="1" x14ac:dyDescent="0.2">
      <c r="A188" s="589">
        <f t="shared" si="2"/>
        <v>178</v>
      </c>
      <c r="B188" s="587"/>
      <c r="C188" s="587"/>
      <c r="D188" s="587"/>
      <c r="J188" s="589"/>
      <c r="K188" s="590"/>
      <c r="L188" s="591"/>
      <c r="M188" s="592"/>
      <c r="N188" s="589"/>
      <c r="O188" s="587"/>
      <c r="R188" s="1052"/>
      <c r="S188" s="1052"/>
      <c r="T188" s="1052"/>
      <c r="U188" s="1052"/>
      <c r="V188" s="1052"/>
      <c r="W188" s="1053"/>
      <c r="X188" s="1053"/>
      <c r="Y188" s="1053"/>
      <c r="Z188" s="1052"/>
      <c r="AA188" s="1052"/>
      <c r="AB188" s="962"/>
      <c r="AC188" s="590"/>
      <c r="AD188" s="590"/>
      <c r="AE188" s="591"/>
      <c r="AF188" s="592"/>
      <c r="AG188" s="1053"/>
      <c r="AH188" s="587"/>
      <c r="AK188" s="1181" t="str">
        <f>Codes!$C$168</f>
        <v>MG - Monorail/Automated Guideway (PT)</v>
      </c>
      <c r="AL188" s="1182" t="str">
        <f>Valid!$B$87</f>
        <v>Substation Building</v>
      </c>
      <c r="AM188" s="1123" t="e">
        <f>IF('A-80 DirEntInv'!#REF!&lt;&gt;"",'A-80 DirEntInv'!#REF!,IF(AK188=summaryref2!B21,summaryref2!D21,IF(Summary!AK188=summaryref2!B35,summaryref2!D35,IF(AK188=summaryref2!B49,summaryref2!D49,IF(AK188=summaryref2!B63,summaryref2!D63,IF(AK188=summaryref2!B77,summaryref2!D77,IF(AK188=summaryref2!B91,summaryref2!D91,IF(AK188=summaryref2!B105,summaryref2!D105,IF(AK188=summaryref2!B119,summaryref2!D119,IF(AK188=summaryref2!B133,summaryref2!D133,IF(AK188=summaryref2!B197,summaryref2!D147,"")))))))))))</f>
        <v>#REF!</v>
      </c>
      <c r="AN188" s="1124" t="s">
        <v>13</v>
      </c>
      <c r="AO188" s="1123"/>
      <c r="AP188" s="1124"/>
      <c r="AQ188" s="1149" t="e">
        <f>IF('A-80 DirEntInv'!#REF!&lt;&gt;"",'A-80 DirEntInv'!#REF!,IF(AK188=summaryref2!B21,summaryref2!G21,IF(Summary!AK188=summaryref2!B35,summaryref2!G35,IF(AK188=summaryref2!B49,summaryref2!G49,IF(AK188=summaryref2!B63,summaryref2!G63,IF(AK188=summaryref2!B77,summaryref2!G77,IF(AK188=summaryref2!B91,summaryref2!G91,IF(AK188=summaryref2!B105,summaryref2!G105,IF(AK188=summaryref2!B119,summaryref2!G119,IF(AK188=summaryref2!B133,summaryref2!G133,IF(AK188=summaryref2!B147,summaryref2!G147,"")))))))))))</f>
        <v>#REF!</v>
      </c>
      <c r="AR188" s="1149" t="e">
        <f>IF('A-80 DirEntInv'!#REF!&lt;&gt;"",'A-80 DirEntInv'!#REF!,IF(AK188=summaryref2!B21,summaryref2!H21,IF(Summary!AK188=summaryref2!B35,summaryref2!H35,IF(AK188=summaryref2!B49,summaryref2!H49,IF(AK188=summaryref2!B63,summaryref2!H63,IF(AK188=summaryref2!B77,summaryref2!H77,IF(AK188=summaryref2!B91,summaryref2!H91,IF(AK188=summaryref2!B105,summaryref2!H105,IF(AK188=summaryref2!B119,summaryref2!H119,IF(AK188=summaryref2!B133,summaryref2!H133,IF(AK188=summaryref2!B147,summaryref2!H147,"")))))))))))</f>
        <v>#REF!</v>
      </c>
      <c r="AS188" s="1125" t="e">
        <f>IF('A-80 DirEntInv'!#REF!&lt;&gt;"",'A-80 DirEntInv'!#REF!,IF(AK188=summaryref2!B21,summaryref2!I21,IF(Summary!AK188=summaryref2!B35,summaryref2!I35,IF(AK188=summaryref2!B49,summaryref2!I49,IF(AK188=summaryref2!B63,summaryref2!I63,IF(AK188=summaryref2!B77,summaryref2!I77,IF(AK188=summaryref2!B91,summaryref2!I91,IF(AK188=summaryref2!B105,summaryref2!I105,IF(AK188=summaryref2!B119,summaryref2!I119,IF(AK188=summaryref2!B133,summaryref2!I133,IF(AK188=summaryref2!B147,summaryref2!I147,"")))))))))))</f>
        <v>#REF!</v>
      </c>
      <c r="AT188" s="1125" t="e">
        <f>IF('A-80 DirEntInv'!#REF!&lt;&gt;"",'A-80 DirEntInv'!#REF!,IF(AK188=summaryref2!B21,summaryref2!J21,IF(Summary!AK188=summaryref2!B35,summaryref2!J35,IF(AK188=summaryref2!B49,summaryref2!J49,IF(AK188=summaryref2!B63,summaryref2!J63,IF(AK188=summaryref2!B77,summaryref2!J77,IF(AK188=summaryref2!B91,summaryref2!J91,IF(AK188=summaryref2!B105,summaryref2!J105,IF(AK188=summaryref2!B119,summaryref2!J119,IF(AK188=summaryref2!B133,summaryref2!J133,IF(AK188=summaryref2!B147,summaryref2!J147,"")))))))))))</f>
        <v>#REF!</v>
      </c>
      <c r="AU188" s="1125" t="e">
        <f>IF('A-80 DirEntInv'!#REF!&lt;&gt;"",'A-80 DirEntInv'!#REF!,IF(AK188=summaryref2!B21,summaryref2!K21,IF(Summary!AK188=summaryref2!B35,summaryref2!K35,IF(AK188=summaryref2!B49,summaryref2!K49,IF(AK188=summaryref2!B63,summaryref2!K63,IF(AK188=summaryref2!B77,summaryref2!K77,IF(AK188=summaryref2!B91,summaryref2!K91,IF(AK188=summaryref2!B105,summaryref2!K105,IF(AK188=summaryref2!B119,summaryref2!K119,IF(AK188=summaryref2!B133,summaryref2!K133,IF(AK188=summaryref2!B147,summaryref2!K147,"")))))))))))</f>
        <v>#REF!</v>
      </c>
      <c r="AV188" s="1125" t="e">
        <f>IF('A-80 DirEntInv'!#REF!&lt;&gt;"",'A-80 DirEntInv'!#REF!,IF(AK188=summaryref2!B21,summaryref2!L21,IF(Summary!AK188=summaryref2!B35,summaryref2!L35,IF(AK188=summaryref2!B49,summaryref2!L49,IF(AK188=summaryref2!B63,summaryref2!L63,IF(AK188=summaryref2!B77,summaryref2!L77,IF(AK188=summaryref2!B91,summaryref2!L91,IF(AK188=summaryref2!B105,summaryref2!L105,IF(AK188=summaryref2!B119,summaryref2!L119,IF(AK188=summaryref2!B133,summaryref2!L133,IF(AK188=summaryref2!B147,summaryref2!L147,"")))))))))))</f>
        <v>#REF!</v>
      </c>
      <c r="AW188" s="1125" t="e">
        <f>IF('A-80 DirEntInv'!#REF!&lt;&gt;"",'A-80 DirEntInv'!#REF!,IF(AK188=summaryref2!B21,summaryref2!M21,IF(Summary!AK188=summaryref2!B35,summaryref2!M35,IF(AK188=summaryref2!B49,summaryref2!M49,IF(AK188=summaryref2!B63,summaryref2!M63,IF(AK188=summaryref2!B77,summaryref2!M77,IF(AK188=summaryref2!B91,summaryref2!M91,IF(AK188=summaryref2!B105,summaryref2!M105,IF(AK188=summaryref2!B119,summaryref2!M119,IF(AK188=summaryref2!B133,summaryref2!M133,IF(AK188=summaryref2!B147,summaryref2!M147,"")))))))))))</f>
        <v>#REF!</v>
      </c>
      <c r="AX188" s="1125" t="e">
        <f>IF('A-80 DirEntInv'!#REF!&lt;&gt;"",'A-80 DirEntInv'!#REF!,IF(AK188=summaryref2!B21,summaryref2!N21,IF(Summary!AK188=summaryref2!B35,summaryref2!N35,IF(AK188=summaryref2!B49,summaryref2!N49,IF(AK188=summaryref2!B63,summaryref2!N63,IF(AK188=summaryref2!B77,summaryref2!N77,IF(AK188=summaryref2!B91,summaryref2!N91,IF(AK188=summaryref2!B105,summaryref2!N105,IF(AK188=summaryref2!B119,summaryref2!N119,IF(AK188=summaryref2!B133,summaryref2!N133,IF(AK188=summaryref2!B147,summaryref2!N147,"")))))))))))</f>
        <v>#REF!</v>
      </c>
      <c r="AY188" s="1125" t="e">
        <f>IF('A-80 DirEntInv'!#REF!&lt;&gt;"",'A-80 DirEntInv'!#REF!,IF(AK188=summaryref2!B21,summaryref2!O21,IF(Summary!AK188=summaryref2!B35,summaryref2!O35,IF(AK188=summaryref2!B49,summaryref2!O49,IF(AK188=summaryref2!B63,summaryref2!O63,IF(AK188=summaryref2!B77,summaryref2!O77,IF(AK188=summaryref2!B91,summaryref2!O91,IF(AK188=summaryref2!B105,summaryref2!O105,IF(AK188=summaryref2!B119,summaryref2!O119,IF(AK188=summaryref2!B133,summaryref2!O133,IF(AK188=summaryref2!B147,summaryref2!O147,"")))))))))))</f>
        <v>#REF!</v>
      </c>
      <c r="AZ188" s="1125" t="e">
        <f>IF('A-80 DirEntInv'!#REF!&lt;&gt;"",'A-80 DirEntInv'!#REF!,IF(AK188=summaryref2!B21,summaryref2!P21,IF(Summary!AK188=summaryref2!B35,summaryref2!P35,IF(AK188=summaryref2!B49,summaryref2!P49,IF(AK188=summaryref2!B63,summaryref2!P63,IF(AK188=summaryref2!B77,summaryref2!P77,IF(AK188=summaryref2!B91,summaryref2!P91,IF(AK188=summaryref2!B105,summaryref2!P105,IF(AK188=summaryref2!B119,summaryref2!P119,IF(AK188=summaryref2!B133,summaryref2!P133,IF(AK188=summaryref2!B147,summaryref2!P147,"")))))))))))</f>
        <v>#REF!</v>
      </c>
      <c r="BA188" s="1125" t="e">
        <f>IF('A-80 DirEntInv'!#REF!&lt;&gt;"",'A-80 DirEntInv'!#REF!,IF(AK188=summaryref2!B21,summaryref2!Q21,IF(Summary!AK188=summaryref2!B35,summaryref2!Q35,IF(AK188=summaryref2!B49,summaryref2!Q49,IF(AK188=summaryref2!B63,summaryref2!Q63,IF(AK188=summaryref2!B77,summaryref2!Q77,IF(AK188=summaryref2!B91,summaryref2!Q91,IF(AK188=summaryref2!B105,summaryref2!Q105,IF(AK188=summaryref2!B119,summaryref2!Q119,IF(AK188=summaryref2!B133,summaryref2!Q133,IF(AK188=summaryref2!B147,summaryref2!Q147,"")))))))))))</f>
        <v>#REF!</v>
      </c>
      <c r="BB188" s="1125" t="e">
        <f>IF('A-80 DirEntInv'!#REF!&lt;&gt;"",'A-80 DirEntInv'!#REF!,IF(AK188=summaryref2!B21,summaryref2!R21,IF(Summary!AK188=summaryref2!B35,summaryref2!R35,IF(AK188=summaryref2!B49,summaryref2!R49,IF(AK188=summaryref2!B63,summaryref2!R63,IF(AK188=summaryref2!B77,summaryref2!R77,IF(AK188=summaryref2!B91,summaryref2!R91,IF(AK188=summaryref2!B105,summaryref2!R105,IF(AK188=summaryref2!B119,summaryref2!R119,IF(AK188=summaryref2!B133,summaryref2!R133,IF(AK188=summaryref2!B147,summaryref2!R147,"")))))))))))</f>
        <v>#REF!</v>
      </c>
      <c r="BC188" s="1125" t="e">
        <f>IF('A-80 DirEntInv'!#REF!&lt;&gt;0,'A-80 DirEntInv'!#REF!,IF(AK188=summaryref2!B21,summaryref2!S21,IF(Summary!AK188=summaryref2!B35,summaryref2!S35,IF(AK188=summaryref2!B49,summaryref2!S49,IF(AK188=summaryref2!B63,summaryref2!S63,IF(AK188=summaryref2!B77,summaryref2!S77,IF(AK188=summaryref2!B91,summaryref2!S91,IF(AK188=summaryref2!B105,summaryref2!S105,IF(AK188=summaryref2!B119,summaryref2!S119,IF(AK188=summaryref2!B133,summaryref2!S133,IF(AK188=summaryref2!B147,summaryref2!S147,"")))))))))))</f>
        <v>#REF!</v>
      </c>
      <c r="BD188" s="1126" t="e">
        <f>IF('A-80 DirEntInv'!#REF!&lt;&gt;"",'A-80 DirEntInv'!#REF!,IF(AK188=summaryref2!B21,summaryref2!T21,IF(Summary!AK188=summaryref2!B35,summaryref2!T35,IF(AK188=summaryref2!B49,summaryref2!T49,IF(AK188=summaryref2!B63,summaryref2!T63,IF(AK188=summaryref2!B77,summaryref2!T77,IF(AK188=summaryref2!B91,summaryref2!T91,IF(AK188=summaryref2!B105,summaryref2!T105,IF(AK188=summaryref2!B119,summaryref2!T119,IF(AK188=summaryref2!B133,summaryref2!T133,IF(AK188=summaryref2!B147,summaryref2!T147,"")))))))))))</f>
        <v>#REF!</v>
      </c>
      <c r="BE188" s="1183" t="e">
        <f>IF('A-80 DirEntInv'!#REF!&lt;&gt;"",'A-80 DirEntInv'!#REF!,IF(AK188=summaryref2!B21,summaryref2!U21,IF(Summary!AK188=summaryref2!B35,summaryref2!U35,IF(AK188=summaryref2!B49,summaryref2!U49,IF(AK188=summaryref2!B63,summaryref2!U63,IF(AK188=summaryref2!B77,summaryref2!U77,IF(AK188=summaryref2!B91,summaryref2!U91,IF(AK188=summaryref2!B105,summaryref2!U105,IF(AK188=summaryref2!B119,summaryref2!U119,IF(AK188=summaryref2!B133,summaryref2!U133,IF(AK188=summaryref2!B147,summaryref2!U147,"")))))))))))</f>
        <v>#REF!</v>
      </c>
      <c r="BF188" s="1432"/>
      <c r="BG188" s="1432"/>
      <c r="BU188" s="962"/>
      <c r="CD188" s="589"/>
      <c r="CE188" s="590"/>
      <c r="CF188" s="590"/>
      <c r="CG188" s="590"/>
      <c r="CH188" s="590"/>
      <c r="CI188" s="590"/>
      <c r="CJ188" s="589"/>
      <c r="CK188" s="589"/>
      <c r="CL188" s="589"/>
      <c r="CM188" s="587"/>
      <c r="CN188" s="587"/>
      <c r="CO188" s="589"/>
      <c r="CP188" s="587"/>
      <c r="CQ188" s="592"/>
      <c r="CR188" s="589"/>
      <c r="CS188" s="592"/>
      <c r="CT188" s="589"/>
      <c r="CU188" s="589"/>
      <c r="CV188" s="589"/>
      <c r="CW188" s="587"/>
      <c r="CX188" s="590"/>
      <c r="CY188" s="590"/>
      <c r="CZ188" s="590"/>
      <c r="DA188" s="1054"/>
      <c r="DB188" s="1054"/>
      <c r="DC188" s="587"/>
      <c r="DD188" s="587"/>
    </row>
    <row r="189" spans="1:108" s="588" customFormat="1" x14ac:dyDescent="0.2">
      <c r="A189" s="589">
        <f t="shared" si="2"/>
        <v>179</v>
      </c>
      <c r="B189" s="587"/>
      <c r="C189" s="587"/>
      <c r="D189" s="587"/>
      <c r="J189" s="589"/>
      <c r="K189" s="590"/>
      <c r="L189" s="591"/>
      <c r="M189" s="592"/>
      <c r="N189" s="589"/>
      <c r="O189" s="587"/>
      <c r="R189" s="1052"/>
      <c r="S189" s="1052"/>
      <c r="T189" s="1052"/>
      <c r="U189" s="1052"/>
      <c r="V189" s="1052"/>
      <c r="W189" s="1053"/>
      <c r="X189" s="1053"/>
      <c r="Y189" s="1053"/>
      <c r="Z189" s="1052"/>
      <c r="AA189" s="1052"/>
      <c r="AB189" s="962"/>
      <c r="AC189" s="590"/>
      <c r="AD189" s="590"/>
      <c r="AE189" s="591"/>
      <c r="AF189" s="592"/>
      <c r="AG189" s="1053"/>
      <c r="AH189" s="587"/>
      <c r="AK189" s="1041" t="str">
        <f>Codes!$C$168</f>
        <v>MG - Monorail/Automated Guideway (PT)</v>
      </c>
      <c r="AL189" s="1042" t="str">
        <f>Valid!$B$88</f>
        <v>Substation Equipment</v>
      </c>
      <c r="AM189" s="1187"/>
      <c r="AN189" s="1046"/>
      <c r="AO189" s="1187"/>
      <c r="AP189" s="1046"/>
      <c r="AQ189" s="1147" t="e">
        <f>IF('A-80 DirEntInv'!#REF!&lt;&gt;"",'A-80 DirEntInv'!#REF!,IF(AK189=summaryref2!B22,summaryref2!G22,IF(Summary!AK189=summaryref2!B36,summaryref2!G36,IF(AK189=summaryref2!B50,summaryref2!G50,IF(AK189=summaryref2!B64,summaryref2!G64,IF(AK189=summaryref2!B78,summaryref2!G78,IF(AK189=summaryref2!B92,summaryref2!G92,IF(AK189=summaryref2!B106,summaryref2!G106,IF(AK189=summaryref2!B120,summaryref2!G120,IF(AK189=summaryref2!B134,summaryref2!G134,IF(AK189=summaryref2!B148,summaryref2!G148,"")))))))))))</f>
        <v>#REF!</v>
      </c>
      <c r="AR189" s="1147" t="e">
        <f>IF('A-80 DirEntInv'!#REF!&lt;&gt;"",'A-80 DirEntInv'!#REF!,IF(AK189=summaryref2!B22,summaryref2!H22,IF(Summary!AK189=summaryref2!B36,summaryref2!H36,IF(AK189=summaryref2!B50,summaryref2!H50,IF(AK189=summaryref2!B64,summaryref2!H64,IF(AK189=summaryref2!B78,summaryref2!H78,IF(AK189=summaryref2!B92,summaryref2!H92,IF(AK189=summaryref2!B106,summaryref2!H106,IF(AK189=summaryref2!B120,summaryref2!H120,IF(AK189=summaryref2!B134,summaryref2!H134,IF(AK189=summaryref2!B148,summaryref2!H148,"")))))))))))</f>
        <v>#REF!</v>
      </c>
      <c r="AS189" s="1110" t="e">
        <f>IF('A-80 DirEntInv'!#REF!&lt;&gt;"",'A-80 DirEntInv'!#REF!,IF(AK189=summaryref2!B22,summaryref2!I22,IF(Summary!AK189=summaryref2!B36,summaryref2!I36,IF(AK189=summaryref2!B50,summaryref2!I50,IF(AK189=summaryref2!B64,summaryref2!I64,IF(AK189=summaryref2!B78,summaryref2!I78,IF(AK189=summaryref2!B92,summaryref2!I92,IF(AK189=summaryref2!B106,summaryref2!I106,IF(AK189=summaryref2!B120,summaryref2!I120,IF(AK189=summaryref2!B134,summaryref2!I134,IF(AK189=summaryref2!B148,summaryref2!I148,"")))))))))))</f>
        <v>#REF!</v>
      </c>
      <c r="AT189" s="1110" t="e">
        <f>IF('A-80 DirEntInv'!#REF!&lt;&gt;"",'A-80 DirEntInv'!#REF!,IF(AK189=summaryref2!B22,summaryref2!J22,IF(Summary!AK189=summaryref2!B36,summaryref2!J36,IF(AK189=summaryref2!B50,summaryref2!J50,IF(AK189=summaryref2!B64,summaryref2!J64,IF(AK189=summaryref2!B78,summaryref2!J78,IF(AK189=summaryref2!B92,summaryref2!J92,IF(AK189=summaryref2!B106,summaryref2!J106,IF(AK189=summaryref2!B120,summaryref2!J120,IF(AK189=summaryref2!B134,summaryref2!J134,IF(AK189=summaryref2!B148,summaryref2!J148,"")))))))))))</f>
        <v>#REF!</v>
      </c>
      <c r="AU189" s="1110" t="e">
        <f>IF('A-80 DirEntInv'!#REF!&lt;&gt;"",'A-80 DirEntInv'!#REF!,IF(AK189=summaryref2!B22,summaryref2!K22,IF(Summary!AK189=summaryref2!B36,summaryref2!K36,IF(AK189=summaryref2!B50,summaryref2!K50,IF(AK189=summaryref2!B64,summaryref2!K64,IF(AK189=summaryref2!B78,summaryref2!K78,IF(AK189=summaryref2!B92,summaryref2!K92,IF(AK189=summaryref2!B106,summaryref2!K106,IF(AK189=summaryref2!B120,summaryref2!K120,IF(AK189=summaryref2!B134,summaryref2!K134,IF(AK189=summaryref2!B148,summaryref2!K148,"")))))))))))</f>
        <v>#REF!</v>
      </c>
      <c r="AV189" s="1110" t="e">
        <f>IF('A-80 DirEntInv'!#REF!&lt;&gt;"",'A-80 DirEntInv'!#REF!,IF(AK189=summaryref2!B22,summaryref2!L22,IF(Summary!AK189=summaryref2!B36,summaryref2!L36,IF(AK189=summaryref2!B50,summaryref2!L50,IF(AK189=summaryref2!B64,summaryref2!L64,IF(AK189=summaryref2!B78,summaryref2!L78,IF(AK189=summaryref2!B92,summaryref2!L92,IF(AK189=summaryref2!B106,summaryref2!L106,IF(AK189=summaryref2!B120,summaryref2!L120,IF(AK189=summaryref2!B134,summaryref2!L134,IF(AK189=summaryref2!B148,summaryref2!L148,"")))))))))))</f>
        <v>#REF!</v>
      </c>
      <c r="AW189" s="1110" t="e">
        <f>IF('A-80 DirEntInv'!#REF!&lt;&gt;"",'A-80 DirEntInv'!#REF!,IF(AK189=summaryref2!B22,summaryref2!M22,IF(Summary!AK189=summaryref2!B36,summaryref2!M36,IF(AK189=summaryref2!B50,summaryref2!M50,IF(AK189=summaryref2!B64,summaryref2!M64,IF(AK189=summaryref2!B78,summaryref2!M78,IF(AK189=summaryref2!B92,summaryref2!M92,IF(AK189=summaryref2!B106,summaryref2!M106,IF(AK189=summaryref2!B120,summaryref2!M120,IF(AK189=summaryref2!B134,summaryref2!M134,IF(AK189=summaryref2!B148,summaryref2!M148,"")))))))))))</f>
        <v>#REF!</v>
      </c>
      <c r="AX189" s="1110" t="e">
        <f>IF('A-80 DirEntInv'!#REF!&lt;&gt;"",'A-80 DirEntInv'!#REF!,IF(AK189=summaryref2!B22,summaryref2!N22,IF(Summary!AK189=summaryref2!B36,summaryref2!N36,IF(AK189=summaryref2!B50,summaryref2!N50,IF(AK189=summaryref2!B64,summaryref2!N64,IF(AK189=summaryref2!B78,summaryref2!N78,IF(AK189=summaryref2!B92,summaryref2!N92,IF(AK189=summaryref2!B106,summaryref2!N106,IF(AK189=summaryref2!B120,summaryref2!N120,IF(AK189=summaryref2!B134,summaryref2!N134,IF(AK189=summaryref2!B148,summaryref2!N148,"")))))))))))</f>
        <v>#REF!</v>
      </c>
      <c r="AY189" s="1110" t="e">
        <f>IF('A-80 DirEntInv'!#REF!&lt;&gt;"",'A-80 DirEntInv'!#REF!,IF(AK189=summaryref2!B22,summaryref2!O22,IF(Summary!AK189=summaryref2!B36,summaryref2!O36,IF(AK189=summaryref2!B50,summaryref2!O50,IF(AK189=summaryref2!B64,summaryref2!O64,IF(AK189=summaryref2!B78,summaryref2!O78,IF(AK189=summaryref2!B92,summaryref2!O92,IF(AK189=summaryref2!B106,summaryref2!O106,IF(AK189=summaryref2!B120,summaryref2!O120,IF(AK189=summaryref2!B134,summaryref2!O134,IF(AK189=summaryref2!B148,summaryref2!O148,"")))))))))))</f>
        <v>#REF!</v>
      </c>
      <c r="AZ189" s="1110" t="e">
        <f>IF('A-80 DirEntInv'!#REF!&lt;&gt;"",'A-80 DirEntInv'!#REF!,IF(AK189=summaryref2!B22,summaryref2!P22,IF(Summary!AK189=summaryref2!B36,summaryref2!P36,IF(AK189=summaryref2!B50,summaryref2!P50,IF(AK189=summaryref2!B64,summaryref2!P64,IF(AK189=summaryref2!B78,summaryref2!P78,IF(AK189=summaryref2!B92,summaryref2!P92,IF(AK189=summaryref2!B106,summaryref2!P106,IF(AK189=summaryref2!B120,summaryref2!P120,IF(AK189=summaryref2!B134,summaryref2!P134,IF(AK189=summaryref2!B148,summaryref2!P148,"")))))))))))</f>
        <v>#REF!</v>
      </c>
      <c r="BA189" s="1110" t="e">
        <f>IF('A-80 DirEntInv'!#REF!&lt;&gt;"",'A-80 DirEntInv'!#REF!,IF(AK189=summaryref2!B22,summaryref2!Q22,IF(Summary!AK189=summaryref2!B36,summaryref2!Q36,IF(AK189=summaryref2!B50,summaryref2!Q50,IF(AK189=summaryref2!B64,summaryref2!Q64,IF(AK189=summaryref2!B78,summaryref2!Q78,IF(AK189=summaryref2!B92,summaryref2!Q92,IF(AK189=summaryref2!B106,summaryref2!Q106,IF(AK189=summaryref2!B120,summaryref2!Q120,IF(AK189=summaryref2!B134,summaryref2!Q134,IF(AK189=summaryref2!B148,summaryref2!Q148,"")))))))))))</f>
        <v>#REF!</v>
      </c>
      <c r="BB189" s="1110" t="e">
        <f>IF('A-80 DirEntInv'!#REF!&lt;&gt;"",'A-80 DirEntInv'!#REF!,IF(AK189=summaryref2!B22,summaryref2!R22,IF(Summary!AK189=summaryref2!B36,summaryref2!R36,IF(AK189=summaryref2!B50,summaryref2!R50,IF(AK189=summaryref2!B64,summaryref2!R64,IF(AK189=summaryref2!B78,summaryref2!R78,IF(AK189=summaryref2!B92,summaryref2!R92,IF(AK189=summaryref2!B106,summaryref2!R106,IF(AK189=summaryref2!B120,summaryref2!R120,IF(AK189=summaryref2!B134,summaryref2!R134,IF(AK189=summaryref2!B148,summaryref2!R148,"")))))))))))</f>
        <v>#REF!</v>
      </c>
      <c r="BC189" s="1110" t="e">
        <f>IF('A-80 DirEntInv'!#REF!&lt;&gt;0,'A-80 DirEntInv'!#REF!,IF(AK189=summaryref2!B22,summaryref2!S22,IF(Summary!AK189=summaryref2!B36,summaryref2!S36,IF(AK189=summaryref2!B50,summaryref2!S50,IF(AK189=summaryref2!B64,summaryref2!S64,IF(AK189=summaryref2!B78,summaryref2!S78,IF(AK189=summaryref2!B92,summaryref2!S92,IF(AK189=summaryref2!B106,summaryref2!S106,IF(AK189=summaryref2!B120,summaryref2!S120,IF(AK189=summaryref2!B134,summaryref2!S134,IF(AK189=summaryref2!B148,summaryref2!S148,"")))))))))))</f>
        <v>#REF!</v>
      </c>
      <c r="BD189" s="1111" t="e">
        <f>IF('A-80 DirEntInv'!#REF!&lt;&gt;"",'A-80 DirEntInv'!#REF!,IF(AK189=summaryref2!B22,summaryref2!T22,IF(Summary!AK189=summaryref2!B36,summaryref2!T36,IF(AK189=summaryref2!B50,summaryref2!T50,IF(AK189=summaryref2!B64,summaryref2!T64,IF(AK189=summaryref2!B78,summaryref2!T78,IF(AK189=summaryref2!B92,summaryref2!T92,IF(AK189=summaryref2!B106,summaryref2!T106,IF(AK189=summaryref2!B120,summaryref2!T120,IF(AK189=summaryref2!B134,summaryref2!T134,IF(AK189=summaryref2!B148,summaryref2!T148,"")))))))))))</f>
        <v>#REF!</v>
      </c>
      <c r="BE189" s="1184" t="e">
        <f>IF('A-80 DirEntInv'!#REF!&lt;&gt;"",'A-80 DirEntInv'!#REF!,IF(AK189=summaryref2!B22,summaryref2!U22,IF(Summary!AK189=summaryref2!B36,summaryref2!U36,IF(AK189=summaryref2!B50,summaryref2!U50,IF(AK189=summaryref2!B64,summaryref2!U64,IF(AK189=summaryref2!B78,summaryref2!U78,IF(AK189=summaryref2!B92,summaryref2!U92,IF(AK189=summaryref2!B106,summaryref2!U106,IF(AK189=summaryref2!B120,summaryref2!U120,IF(AK189=summaryref2!B134,summaryref2!U134,IF(AK189=summaryref2!B148,summaryref2!U148,"")))))))))))</f>
        <v>#REF!</v>
      </c>
      <c r="BF189" s="1432"/>
      <c r="BG189" s="1432"/>
      <c r="BU189" s="962"/>
      <c r="CD189" s="589"/>
      <c r="CE189" s="590"/>
      <c r="CF189" s="590"/>
      <c r="CG189" s="590"/>
      <c r="CH189" s="590"/>
      <c r="CI189" s="590"/>
      <c r="CJ189" s="589"/>
      <c r="CK189" s="589"/>
      <c r="CL189" s="589"/>
      <c r="CM189" s="587"/>
      <c r="CN189" s="587"/>
      <c r="CO189" s="589"/>
      <c r="CP189" s="587"/>
      <c r="CQ189" s="592"/>
      <c r="CR189" s="589"/>
      <c r="CS189" s="592"/>
      <c r="CT189" s="589"/>
      <c r="CU189" s="589"/>
      <c r="CV189" s="589"/>
      <c r="CW189" s="587"/>
      <c r="CX189" s="590"/>
      <c r="CY189" s="590"/>
      <c r="CZ189" s="590"/>
      <c r="DA189" s="1054"/>
      <c r="DB189" s="1054"/>
      <c r="DC189" s="587"/>
      <c r="DD189" s="587"/>
    </row>
    <row r="190" spans="1:108" s="588" customFormat="1" x14ac:dyDescent="0.2">
      <c r="A190" s="589">
        <f t="shared" si="2"/>
        <v>180</v>
      </c>
      <c r="B190" s="587"/>
      <c r="C190" s="587"/>
      <c r="D190" s="587"/>
      <c r="J190" s="589"/>
      <c r="K190" s="590"/>
      <c r="L190" s="591"/>
      <c r="M190" s="592"/>
      <c r="N190" s="589"/>
      <c r="O190" s="587"/>
      <c r="R190" s="1052"/>
      <c r="S190" s="1052"/>
      <c r="T190" s="1052"/>
      <c r="U190" s="1052"/>
      <c r="V190" s="1052"/>
      <c r="W190" s="1053"/>
      <c r="X190" s="1053"/>
      <c r="Y190" s="1053"/>
      <c r="Z190" s="1052"/>
      <c r="AA190" s="1052"/>
      <c r="AB190" s="962"/>
      <c r="AC190" s="590"/>
      <c r="AD190" s="590"/>
      <c r="AE190" s="591"/>
      <c r="AF190" s="592"/>
      <c r="AG190" s="1053"/>
      <c r="AH190" s="587"/>
      <c r="AK190" s="1041" t="str">
        <f>Codes!$C$168</f>
        <v>MG - Monorail/Automated Guideway (PT)</v>
      </c>
      <c r="AL190" s="1042" t="str">
        <f>Valid!$B$89</f>
        <v>Third Rail/Power Distribution</v>
      </c>
      <c r="AM190" s="1108"/>
      <c r="AN190" s="1042"/>
      <c r="AO190" s="1108"/>
      <c r="AP190" s="1042"/>
      <c r="AQ190" s="1147" t="e">
        <f>IF('A-80 DirEntInv'!#REF!&lt;&gt;"",'A-80 DirEntInv'!#REF!,IF(AK190=summaryref2!B23,summaryref2!G23,IF(Summary!AK190=summaryref2!B37,summaryref2!G37,IF(AK190=summaryref2!B51,summaryref2!G51,IF(AK190=summaryref2!B65,summaryref2!G65,IF(AK190=summaryref2!B79,summaryref2!G79,IF(AK190=summaryref2!B93,summaryref2!G93,IF(AK190=summaryref2!B107,summaryref2!G107,IF(AK190=summaryref2!B121,summaryref2!G121,IF(AK190=summaryref2!B135,summaryref2!G135,IF(AK190=summaryref2!B149,summaryref2!G149,"")))))))))))</f>
        <v>#REF!</v>
      </c>
      <c r="AR190" s="1147" t="e">
        <f>IF('A-80 DirEntInv'!#REF!&lt;&gt;"",'A-80 DirEntInv'!#REF!,IF(AK190=summaryref2!B23,summaryref2!H23,IF(Summary!AK190=summaryref2!B37,summaryref2!H37,IF(AK190=summaryref2!B51,summaryref2!H51,IF(AK190=summaryref2!B65,summaryref2!H65,IF(AK190=summaryref2!B79,summaryref2!H79,IF(AK190=summaryref2!B93,summaryref2!H93,IF(AK190=summaryref2!B107,summaryref2!H107,IF(AK190=summaryref2!B121,summaryref2!H121,IF(AK190=summaryref2!B135,summaryref2!H135,IF(AK190=summaryref2!B149,summaryref2!H149,"")))))))))))</f>
        <v>#REF!</v>
      </c>
      <c r="AS190" s="1110" t="e">
        <f>IF('A-80 DirEntInv'!#REF!&lt;&gt;"",'A-80 DirEntInv'!#REF!,IF(AK190=summaryref2!B23,summaryref2!I23,IF(Summary!AK190=summaryref2!B37,summaryref2!I37,IF(AK190=summaryref2!B51,summaryref2!I51,IF(AK190=summaryref2!B65,summaryref2!I65,IF(AK190=summaryref2!B79,summaryref2!I79,IF(AK190=summaryref2!B93,summaryref2!I93,IF(AK190=summaryref2!B107,summaryref2!I107,IF(AK190=summaryref2!B121,summaryref2!I121,IF(AK190=summaryref2!B135,summaryref2!I135,IF(AK190=summaryref2!B149,summaryref2!I149,"")))))))))))</f>
        <v>#REF!</v>
      </c>
      <c r="AT190" s="1110" t="e">
        <f>IF('A-80 DirEntInv'!#REF!&lt;&gt;"",'A-80 DirEntInv'!#REF!,IF(AK190=summaryref2!B23,summaryref2!J23,IF(Summary!AK190=summaryref2!B37,summaryref2!J37,IF(AK190=summaryref2!B51,summaryref2!J51,IF(AK190=summaryref2!B65,summaryref2!J65,IF(AK190=summaryref2!B79,summaryref2!J79,IF(AK190=summaryref2!B93,summaryref2!J93,IF(AK190=summaryref2!B107,summaryref2!J107,IF(AK190=summaryref2!B121,summaryref2!J121,IF(AK190=summaryref2!B135,summaryref2!J135,IF(AK190=summaryref2!B149,summaryref2!J149,"")))))))))))</f>
        <v>#REF!</v>
      </c>
      <c r="AU190" s="1110" t="e">
        <f>IF('A-80 DirEntInv'!#REF!&lt;&gt;"",'A-80 DirEntInv'!#REF!,IF(AK190=summaryref2!B23,summaryref2!K23,IF(Summary!AK190=summaryref2!B37,summaryref2!K37,IF(AK190=summaryref2!B51,summaryref2!K51,IF(AK190=summaryref2!B65,summaryref2!K65,IF(AK190=summaryref2!B79,summaryref2!K79,IF(AK190=summaryref2!B93,summaryref2!K93,IF(AK190=summaryref2!B107,summaryref2!K107,IF(AK190=summaryref2!B121,summaryref2!K121,IF(AK190=summaryref2!B135,summaryref2!K135,IF(AK190=summaryref2!B149,summaryref2!K149,"")))))))))))</f>
        <v>#REF!</v>
      </c>
      <c r="AV190" s="1110" t="e">
        <f>IF('A-80 DirEntInv'!#REF!&lt;&gt;"",'A-80 DirEntInv'!#REF!,IF(AK190=summaryref2!B23,summaryref2!L23,IF(Summary!AK190=summaryref2!B37,summaryref2!L37,IF(AK190=summaryref2!B51,summaryref2!L51,IF(AK190=summaryref2!B65,summaryref2!L65,IF(AK190=summaryref2!B79,summaryref2!L79,IF(AK190=summaryref2!B93,summaryref2!L93,IF(AK190=summaryref2!B107,summaryref2!L107,IF(AK190=summaryref2!B121,summaryref2!L121,IF(AK190=summaryref2!B135,summaryref2!L135,IF(AK190=summaryref2!B149,summaryref2!L149,"")))))))))))</f>
        <v>#REF!</v>
      </c>
      <c r="AW190" s="1110" t="e">
        <f>IF('A-80 DirEntInv'!#REF!&lt;&gt;"",'A-80 DirEntInv'!#REF!,IF(AK190=summaryref2!B23,summaryref2!M23,IF(Summary!AK190=summaryref2!B37,summaryref2!M37,IF(AK190=summaryref2!B51,summaryref2!M51,IF(AK190=summaryref2!B65,summaryref2!M65,IF(AK190=summaryref2!B79,summaryref2!M79,IF(AK190=summaryref2!B93,summaryref2!M93,IF(AK190=summaryref2!B107,summaryref2!M107,IF(AK190=summaryref2!B121,summaryref2!M121,IF(AK190=summaryref2!B135,summaryref2!M135,IF(AK190=summaryref2!B149,summaryref2!M149,"")))))))))))</f>
        <v>#REF!</v>
      </c>
      <c r="AX190" s="1110" t="e">
        <f>IF('A-80 DirEntInv'!#REF!&lt;&gt;"",'A-80 DirEntInv'!#REF!,IF(AK190=summaryref2!B23,summaryref2!N23,IF(Summary!AK190=summaryref2!B37,summaryref2!N37,IF(AK190=summaryref2!B51,summaryref2!N51,IF(AK190=summaryref2!B65,summaryref2!N65,IF(AK190=summaryref2!B79,summaryref2!N79,IF(AK190=summaryref2!B93,summaryref2!N93,IF(AK190=summaryref2!B107,summaryref2!N107,IF(AK190=summaryref2!B121,summaryref2!N121,IF(AK190=summaryref2!B135,summaryref2!N135,IF(AK190=summaryref2!B149,summaryref2!N149,"")))))))))))</f>
        <v>#REF!</v>
      </c>
      <c r="AY190" s="1110" t="e">
        <f>IF('A-80 DirEntInv'!#REF!&lt;&gt;"",'A-80 DirEntInv'!#REF!,IF(AK190=summaryref2!B23,summaryref2!O23,IF(Summary!AK190=summaryref2!B37,summaryref2!O37,IF(AK190=summaryref2!B51,summaryref2!O51,IF(AK190=summaryref2!B65,summaryref2!O65,IF(AK190=summaryref2!B79,summaryref2!O79,IF(AK190=summaryref2!B93,summaryref2!O93,IF(AK190=summaryref2!B107,summaryref2!O107,IF(AK190=summaryref2!B121,summaryref2!O121,IF(AK190=summaryref2!B135,summaryref2!O135,IF(AK190=summaryref2!B149,summaryref2!O149,"")))))))))))</f>
        <v>#REF!</v>
      </c>
      <c r="AZ190" s="1110" t="e">
        <f>IF('A-80 DirEntInv'!#REF!&lt;&gt;"",'A-80 DirEntInv'!#REF!,IF(AK190=summaryref2!B23,summaryref2!P23,IF(Summary!AK190=summaryref2!B37,summaryref2!P37,IF(AK190=summaryref2!B51,summaryref2!P51,IF(AK190=summaryref2!B65,summaryref2!P65,IF(AK190=summaryref2!B79,summaryref2!P79,IF(AK190=summaryref2!B93,summaryref2!P93,IF(AK190=summaryref2!B107,summaryref2!P107,IF(AK190=summaryref2!B121,summaryref2!P121,IF(AK190=summaryref2!B135,summaryref2!P135,IF(AK190=summaryref2!B149,summaryref2!P149,"")))))))))))</f>
        <v>#REF!</v>
      </c>
      <c r="BA190" s="1110" t="e">
        <f>IF('A-80 DirEntInv'!#REF!&lt;&gt;"",'A-80 DirEntInv'!#REF!,IF(AK190=summaryref2!B23,summaryref2!Q23,IF(Summary!AK190=summaryref2!B37,summaryref2!Q37,IF(AK190=summaryref2!B51,summaryref2!Q51,IF(AK190=summaryref2!B65,summaryref2!Q65,IF(AK190=summaryref2!B79,summaryref2!Q79,IF(AK190=summaryref2!B93,summaryref2!Q93,IF(AK190=summaryref2!B107,summaryref2!Q107,IF(AK190=summaryref2!B121,summaryref2!Q121,IF(AK190=summaryref2!B135,summaryref2!Q135,IF(AK190=summaryref2!B149,summaryref2!Q149,"")))))))))))</f>
        <v>#REF!</v>
      </c>
      <c r="BB190" s="1110" t="e">
        <f>IF('A-80 DirEntInv'!#REF!&lt;&gt;"",'A-80 DirEntInv'!#REF!,IF(AK190=summaryref2!B23,summaryref2!R23,IF(Summary!AK190=summaryref2!B37,summaryref2!R37,IF(AK190=summaryref2!B51,summaryref2!R51,IF(AK190=summaryref2!B65,summaryref2!R65,IF(AK190=summaryref2!B79,summaryref2!R79,IF(AK190=summaryref2!B93,summaryref2!R93,IF(AK190=summaryref2!B107,summaryref2!R107,IF(AK190=summaryref2!B121,summaryref2!R121,IF(AK190=summaryref2!B135,summaryref2!R135,IF(AK190=summaryref2!B149,summaryref2!R149,"")))))))))))</f>
        <v>#REF!</v>
      </c>
      <c r="BC190" s="1110" t="e">
        <f>IF('A-80 DirEntInv'!#REF!&lt;&gt;0,'A-80 DirEntInv'!#REF!,IF(AK190=summaryref2!B23,summaryref2!S23,IF(Summary!AK190=summaryref2!B37,summaryref2!S37,IF(AK190=summaryref2!B51,summaryref2!S51,IF(AK190=summaryref2!B65,summaryref2!S65,IF(AK190=summaryref2!B79,summaryref2!S79,IF(AK190=summaryref2!B93,summaryref2!S93,IF(AK190=summaryref2!B107,summaryref2!S107,IF(AK190=summaryref2!B121,summaryref2!S121,IF(AK190=summaryref2!B135,summaryref2!S135,IF(AK190=summaryref2!B149,summaryref2!S149,"")))))))))))</f>
        <v>#REF!</v>
      </c>
      <c r="BD190" s="1111" t="e">
        <f>IF('A-80 DirEntInv'!#REF!&lt;&gt;"",'A-80 DirEntInv'!#REF!,IF(AK190=summaryref2!B23,summaryref2!T23,IF(Summary!AK190=summaryref2!B37,summaryref2!T37,IF(AK190=summaryref2!B51,summaryref2!T51,IF(AK190=summaryref2!B65,summaryref2!T65,IF(AK190=summaryref2!B79,summaryref2!T79,IF(AK190=summaryref2!B93,summaryref2!T93,IF(AK190=summaryref2!B107,summaryref2!T107,IF(AK190=summaryref2!B121,summaryref2!T121,IF(AK190=summaryref2!B135,summaryref2!T135,IF(AK190=summaryref2!B149,summaryref2!T149,"")))))))))))</f>
        <v>#REF!</v>
      </c>
      <c r="BE190" s="1184" t="e">
        <f>IF('A-80 DirEntInv'!#REF!&lt;&gt;"",'A-80 DirEntInv'!#REF!,IF(AK190=summaryref2!B23,summaryref2!U23,IF(Summary!AK190=summaryref2!B37,summaryref2!U37,IF(AK190=summaryref2!B51,summaryref2!U51,IF(AK190=summaryref2!B65,summaryref2!U65,IF(AK190=summaryref2!B79,summaryref2!U79,IF(AK190=summaryref2!B93,summaryref2!U93,IF(AK190=summaryref2!B107,summaryref2!U107,IF(AK190=summaryref2!B121,summaryref2!U121,IF(AK190=summaryref2!B135,summaryref2!U135,IF(AK190=summaryref2!B149,summaryref2!U149,"")))))))))))</f>
        <v>#REF!</v>
      </c>
      <c r="BF190" s="1432"/>
      <c r="BG190" s="1432"/>
      <c r="BU190" s="962"/>
      <c r="CD190" s="589"/>
      <c r="CE190" s="590"/>
      <c r="CF190" s="590"/>
      <c r="CG190" s="590"/>
      <c r="CH190" s="590"/>
      <c r="CI190" s="590"/>
      <c r="CJ190" s="589"/>
      <c r="CK190" s="589"/>
      <c r="CL190" s="589"/>
      <c r="CM190" s="587"/>
      <c r="CN190" s="587"/>
      <c r="CO190" s="589"/>
      <c r="CP190" s="587"/>
      <c r="CQ190" s="592"/>
      <c r="CR190" s="589"/>
      <c r="CS190" s="592"/>
      <c r="CT190" s="589"/>
      <c r="CU190" s="589"/>
      <c r="CV190" s="589"/>
      <c r="CW190" s="587"/>
      <c r="CX190" s="590"/>
      <c r="CY190" s="590"/>
      <c r="CZ190" s="590"/>
      <c r="DA190" s="1054"/>
      <c r="DB190" s="1054"/>
      <c r="DC190" s="587"/>
      <c r="DD190" s="587"/>
    </row>
    <row r="191" spans="1:108" s="588" customFormat="1" x14ac:dyDescent="0.2">
      <c r="A191" s="589">
        <f t="shared" si="2"/>
        <v>181</v>
      </c>
      <c r="B191" s="587"/>
      <c r="C191" s="587"/>
      <c r="D191" s="587"/>
      <c r="J191" s="589"/>
      <c r="K191" s="590"/>
      <c r="L191" s="591"/>
      <c r="M191" s="592"/>
      <c r="N191" s="589"/>
      <c r="O191" s="587"/>
      <c r="R191" s="1052"/>
      <c r="S191" s="1052"/>
      <c r="T191" s="1052"/>
      <c r="U191" s="1052"/>
      <c r="V191" s="1052"/>
      <c r="W191" s="1053"/>
      <c r="X191" s="1053"/>
      <c r="Y191" s="1053"/>
      <c r="Z191" s="1052"/>
      <c r="AA191" s="1052"/>
      <c r="AB191" s="962"/>
      <c r="AC191" s="590"/>
      <c r="AD191" s="590"/>
      <c r="AE191" s="591"/>
      <c r="AF191" s="592"/>
      <c r="AG191" s="1053"/>
      <c r="AH191" s="587"/>
      <c r="AJ191" s="589"/>
      <c r="AK191" s="1041" t="str">
        <f>Codes!$C$168</f>
        <v>MG - Monorail/Automated Guideway (PT)</v>
      </c>
      <c r="AL191" s="1042" t="str">
        <f>Valid!$B$90</f>
        <v>Overhead Contact System/Power Distribution</v>
      </c>
      <c r="AM191" s="1108"/>
      <c r="AN191" s="1042"/>
      <c r="AO191" s="1108"/>
      <c r="AP191" s="1042"/>
      <c r="AQ191" s="1147" t="e">
        <f>IF('A-80 DirEntInv'!#REF!&lt;&gt;"",'A-80 DirEntInv'!#REF!,IF(AK191=summaryref2!B24,summaryref2!G24,IF(Summary!AK191=summaryref2!B38,summaryref2!G38,IF(AK191=summaryref2!B52,summaryref2!G52,IF(AK191=summaryref2!B66,summaryref2!G66,IF(AK191=summaryref2!B80,summaryref2!G80,IF(AK191=summaryref2!B94,summaryref2!G94,IF(AK191=summaryref2!B108,summaryref2!G108,IF(AK191=summaryref2!B122,summaryref2!G122,IF(AK191=summaryref2!B136,summaryref2!G136,IF(AK191=summaryref2!B150,summaryref2!G150,"")))))))))))</f>
        <v>#REF!</v>
      </c>
      <c r="AR191" s="1147" t="e">
        <f>IF('A-80 DirEntInv'!#REF!&lt;&gt;"",'A-80 DirEntInv'!#REF!,IF(AK191=summaryref2!B24,summaryref2!H24,IF(Summary!AK191=summaryref2!B38,summaryref2!H38,IF(AK191=summaryref2!B52,summaryref2!H52,IF(AK191=summaryref2!B66,summaryref2!H66,IF(AK191=summaryref2!B80,summaryref2!H80,IF(AK191=summaryref2!B94,summaryref2!H94,IF(AK191=summaryref2!B108,summaryref2!H108,IF(AK191=summaryref2!B122,summaryref2!H122,IF(AK191=summaryref2!B136,summaryref2!H136,IF(AK191=summaryref2!B150,summaryref2!H150,"")))))))))))</f>
        <v>#REF!</v>
      </c>
      <c r="AS191" s="1110" t="e">
        <f>IF('A-80 DirEntInv'!#REF!&lt;&gt;"",'A-80 DirEntInv'!#REF!,IF(AK191=summaryref2!B24,summaryref2!I24,IF(Summary!AK191=summaryref2!B38,summaryref2!I38,IF(AK191=summaryref2!B52,summaryref2!I52,IF(AK191=summaryref2!B66,summaryref2!I66,IF(AK191=summaryref2!B80,summaryref2!I80,IF(AK191=summaryref2!B94,summaryref2!I94,IF(AK191=summaryref2!B108,summaryref2!I108,IF(AK191=summaryref2!B122,summaryref2!I122,IF(AK191=summaryref2!B136,summaryref2!I136,IF(AK191=summaryref2!B150,summaryref2!I150,"")))))))))))</f>
        <v>#REF!</v>
      </c>
      <c r="AT191" s="1110" t="e">
        <f>IF('A-80 DirEntInv'!#REF!&lt;&gt;"",'A-80 DirEntInv'!#REF!,IF(AK191=summaryref2!B24,summaryref2!J24,IF(Summary!AK191=summaryref2!B38,summaryref2!J38,IF(AK191=summaryref2!B52,summaryref2!J52,IF(AK191=summaryref2!B66,summaryref2!J66,IF(AK191=summaryref2!B80,summaryref2!J80,IF(AK191=summaryref2!B94,summaryref2!J94,IF(AK191=summaryref2!B108,summaryref2!J108,IF(AK191=summaryref2!B122,summaryref2!J122,IF(AK191=summaryref2!B136,summaryref2!J136,IF(AK191=summaryref2!B150,summaryref2!J150,"")))))))))))</f>
        <v>#REF!</v>
      </c>
      <c r="AU191" s="1110" t="e">
        <f>IF('A-80 DirEntInv'!#REF!&lt;&gt;"",'A-80 DirEntInv'!#REF!,IF(AK191=summaryref2!B24,summaryref2!K24,IF(Summary!AK191=summaryref2!B38,summaryref2!K38,IF(AK191=summaryref2!B52,summaryref2!K52,IF(AK191=summaryref2!B66,summaryref2!K66,IF(AK191=summaryref2!B80,summaryref2!K80,IF(AK191=summaryref2!B94,summaryref2!K94,IF(AK191=summaryref2!B108,summaryref2!K108,IF(AK191=summaryref2!B122,summaryref2!K122,IF(AK191=summaryref2!B136,summaryref2!K136,IF(AK191=summaryref2!B150,summaryref2!K150,"")))))))))))</f>
        <v>#REF!</v>
      </c>
      <c r="AV191" s="1110" t="e">
        <f>IF('A-80 DirEntInv'!#REF!&lt;&gt;"",'A-80 DirEntInv'!#REF!,IF(AK191=summaryref2!B24,summaryref2!L24,IF(Summary!AK191=summaryref2!B38,summaryref2!L38,IF(AK191=summaryref2!B52,summaryref2!L52,IF(AK191=summaryref2!B66,summaryref2!L66,IF(AK191=summaryref2!B80,summaryref2!L80,IF(AK191=summaryref2!B94,summaryref2!L94,IF(AK191=summaryref2!B108,summaryref2!L108,IF(AK191=summaryref2!B122,summaryref2!L122,IF(AK191=summaryref2!B136,summaryref2!L136,IF(AK191=summaryref2!B150,summaryref2!L150,"")))))))))))</f>
        <v>#REF!</v>
      </c>
      <c r="AW191" s="1110" t="e">
        <f>IF('A-80 DirEntInv'!#REF!&lt;&gt;"",'A-80 DirEntInv'!#REF!,IF(AK191=summaryref2!B24,summaryref2!M24,IF(Summary!AK191=summaryref2!B38,summaryref2!M38,IF(AK191=summaryref2!B52,summaryref2!M52,IF(AK191=summaryref2!B66,summaryref2!M66,IF(AK191=summaryref2!B80,summaryref2!M80,IF(AK191=summaryref2!B94,summaryref2!M94,IF(AK191=summaryref2!B108,summaryref2!M108,IF(AK191=summaryref2!B122,summaryref2!M122,IF(AK191=summaryref2!B136,summaryref2!M136,IF(AK191=summaryref2!B150,summaryref2!M150,"")))))))))))</f>
        <v>#REF!</v>
      </c>
      <c r="AX191" s="1110" t="e">
        <f>IF('A-80 DirEntInv'!#REF!&lt;&gt;"",'A-80 DirEntInv'!#REF!,IF(AK191=summaryref2!B24,summaryref2!N24,IF(Summary!AK191=summaryref2!B38,summaryref2!N38,IF(AK191=summaryref2!B52,summaryref2!N52,IF(AK191=summaryref2!B66,summaryref2!N66,IF(AK191=summaryref2!B80,summaryref2!N80,IF(AK191=summaryref2!B94,summaryref2!N94,IF(AK191=summaryref2!B108,summaryref2!N108,IF(AK191=summaryref2!B122,summaryref2!N122,IF(AK191=summaryref2!B136,summaryref2!N136,IF(AK191=summaryref2!B150,summaryref2!N150,"")))))))))))</f>
        <v>#REF!</v>
      </c>
      <c r="AY191" s="1110" t="e">
        <f>IF('A-80 DirEntInv'!#REF!&lt;&gt;"",'A-80 DirEntInv'!#REF!,IF(AK191=summaryref2!B24,summaryref2!O24,IF(Summary!AK191=summaryref2!B38,summaryref2!O38,IF(AK191=summaryref2!B52,summaryref2!O52,IF(AK191=summaryref2!B66,summaryref2!O66,IF(AK191=summaryref2!B80,summaryref2!O80,IF(AK191=summaryref2!B94,summaryref2!O94,IF(AK191=summaryref2!B108,summaryref2!O108,IF(AK191=summaryref2!B122,summaryref2!O122,IF(AK191=summaryref2!B136,summaryref2!O136,IF(AK191=summaryref2!B150,summaryref2!O150,"")))))))))))</f>
        <v>#REF!</v>
      </c>
      <c r="AZ191" s="1110" t="e">
        <f>IF('A-80 DirEntInv'!#REF!&lt;&gt;"",'A-80 DirEntInv'!#REF!,IF(AK191=summaryref2!B24,summaryref2!P24,IF(Summary!AK191=summaryref2!B38,summaryref2!P38,IF(AK191=summaryref2!B52,summaryref2!P52,IF(AK191=summaryref2!B66,summaryref2!P66,IF(AK191=summaryref2!B80,summaryref2!P80,IF(AK191=summaryref2!B94,summaryref2!P94,IF(AK191=summaryref2!B108,summaryref2!P108,IF(AK191=summaryref2!B122,summaryref2!P122,IF(AK191=summaryref2!B136,summaryref2!P136,IF(AK191=summaryref2!B150,summaryref2!P150,"")))))))))))</f>
        <v>#REF!</v>
      </c>
      <c r="BA191" s="1110" t="e">
        <f>IF('A-80 DirEntInv'!#REF!&lt;&gt;"",'A-80 DirEntInv'!#REF!,IF(AK191=summaryref2!B24,summaryref2!Q24,IF(Summary!AK191=summaryref2!B38,summaryref2!Q38,IF(AK191=summaryref2!B52,summaryref2!Q52,IF(AK191=summaryref2!B66,summaryref2!Q66,IF(AK191=summaryref2!B80,summaryref2!Q80,IF(AK191=summaryref2!B94,summaryref2!Q94,IF(AK191=summaryref2!B108,summaryref2!Q108,IF(AK191=summaryref2!B122,summaryref2!Q122,IF(AK191=summaryref2!B136,summaryref2!Q136,IF(AK191=summaryref2!B150,summaryref2!Q150,"")))))))))))</f>
        <v>#REF!</v>
      </c>
      <c r="BB191" s="1110" t="e">
        <f>IF('A-80 DirEntInv'!#REF!&lt;&gt;"",'A-80 DirEntInv'!#REF!,IF(AK191=summaryref2!B24,summaryref2!R24,IF(Summary!AK191=summaryref2!B38,summaryref2!R38,IF(AK191=summaryref2!B52,summaryref2!R52,IF(AK191=summaryref2!B66,summaryref2!R66,IF(AK191=summaryref2!B80,summaryref2!R80,IF(AK191=summaryref2!B94,summaryref2!R94,IF(AK191=summaryref2!B108,summaryref2!R108,IF(AK191=summaryref2!B122,summaryref2!R122,IF(AK191=summaryref2!B136,summaryref2!R136,IF(AK191=summaryref2!B150,summaryref2!R150,"")))))))))))</f>
        <v>#REF!</v>
      </c>
      <c r="BC191" s="1110" t="e">
        <f>IF('A-80 DirEntInv'!#REF!&lt;&gt;0,'A-80 DirEntInv'!#REF!,IF(AK191=summaryref2!B24,summaryref2!S24,IF(Summary!AK191=summaryref2!B38,summaryref2!S38,IF(AK191=summaryref2!B52,summaryref2!S52,IF(AK191=summaryref2!B66,summaryref2!S66,IF(AK191=summaryref2!B80,summaryref2!S80,IF(AK191=summaryref2!B94,summaryref2!S94,IF(AK191=summaryref2!B108,summaryref2!S108,IF(AK191=summaryref2!B122,summaryref2!S122,IF(AK191=summaryref2!B136,summaryref2!S136,IF(AK191=summaryref2!B150,summaryref2!S150,"")))))))))))</f>
        <v>#REF!</v>
      </c>
      <c r="BD191" s="1111" t="e">
        <f>IF('A-80 DirEntInv'!#REF!&lt;&gt;"",'A-80 DirEntInv'!#REF!,IF(AK191=summaryref2!B24,summaryref2!T24,IF(Summary!AK191=summaryref2!B38,summaryref2!T38,IF(AK191=summaryref2!B52,summaryref2!T52,IF(AK191=summaryref2!B66,summaryref2!T66,IF(AK191=summaryref2!B80,summaryref2!T80,IF(AK191=summaryref2!B94,summaryref2!T94,IF(AK191=summaryref2!B108,summaryref2!T108,IF(AK191=summaryref2!B122,summaryref2!T122,IF(AK191=summaryref2!B136,summaryref2!T136,IF(AK191=summaryref2!B150,summaryref2!T150,"")))))))))))</f>
        <v>#REF!</v>
      </c>
      <c r="BE191" s="1184" t="e">
        <f>IF('A-80 DirEntInv'!#REF!&lt;&gt;"",'A-80 DirEntInv'!#REF!,IF(AK191=summaryref2!B24,summaryref2!U24,IF(Summary!AK191=summaryref2!B38,summaryref2!U38,IF(AK191=summaryref2!B52,summaryref2!U52,IF(AK191=summaryref2!B66,summaryref2!U66,IF(AK191=summaryref2!B80,summaryref2!U80,IF(AK191=summaryref2!B94,summaryref2!U94,IF(AK191=summaryref2!B108,summaryref2!U108,IF(AK191=summaryref2!B122,summaryref2!U122,IF(AK191=summaryref2!B136,summaryref2!U136,IF(AK191=summaryref2!B150,summaryref2!U150,"")))))))))))</f>
        <v>#REF!</v>
      </c>
      <c r="BF191" s="1432"/>
      <c r="BG191" s="1432"/>
      <c r="BU191" s="962"/>
      <c r="CD191" s="589"/>
      <c r="CE191" s="590"/>
      <c r="CF191" s="590"/>
      <c r="CG191" s="590"/>
      <c r="CH191" s="590"/>
      <c r="CI191" s="590"/>
      <c r="CJ191" s="589"/>
      <c r="CK191" s="589"/>
      <c r="CL191" s="589"/>
      <c r="CM191" s="587"/>
      <c r="CN191" s="587"/>
      <c r="CO191" s="589"/>
      <c r="CP191" s="587"/>
      <c r="CQ191" s="592"/>
      <c r="CR191" s="589"/>
      <c r="CS191" s="592"/>
      <c r="CT191" s="589"/>
      <c r="CU191" s="589"/>
      <c r="CV191" s="589"/>
      <c r="CW191" s="587"/>
      <c r="CX191" s="590"/>
      <c r="CY191" s="590"/>
      <c r="CZ191" s="590"/>
      <c r="DA191" s="1054"/>
      <c r="DB191" s="1054"/>
      <c r="DC191" s="587"/>
      <c r="DD191" s="587"/>
    </row>
    <row r="192" spans="1:108" s="588" customFormat="1" ht="13.5" thickBot="1" x14ac:dyDescent="0.25">
      <c r="A192" s="589">
        <f t="shared" si="2"/>
        <v>182</v>
      </c>
      <c r="B192" s="587"/>
      <c r="C192" s="587"/>
      <c r="D192" s="587"/>
      <c r="J192" s="589"/>
      <c r="K192" s="590"/>
      <c r="L192" s="591"/>
      <c r="M192" s="592"/>
      <c r="N192" s="589"/>
      <c r="O192" s="587"/>
      <c r="R192" s="1052"/>
      <c r="S192" s="1052"/>
      <c r="T192" s="1052"/>
      <c r="U192" s="1052"/>
      <c r="V192" s="1052"/>
      <c r="W192" s="1053"/>
      <c r="X192" s="1053"/>
      <c r="Y192" s="1053"/>
      <c r="Z192" s="1052"/>
      <c r="AA192" s="1052"/>
      <c r="AB192" s="962"/>
      <c r="AC192" s="590"/>
      <c r="AD192" s="590"/>
      <c r="AE192" s="591"/>
      <c r="AF192" s="592"/>
      <c r="AG192" s="1053"/>
      <c r="AH192" s="587"/>
      <c r="AK192" s="1047" t="str">
        <f>Codes!$C$168</f>
        <v>MG - Monorail/Automated Guideway (PT)</v>
      </c>
      <c r="AL192" s="1050" t="str">
        <f>Valid!$B$91</f>
        <v>Train Control &amp; Signaling</v>
      </c>
      <c r="AM192" s="1185"/>
      <c r="AN192" s="1050"/>
      <c r="AO192" s="1185"/>
      <c r="AP192" s="1050"/>
      <c r="AQ192" s="1386" t="e">
        <f>IF('A-80 DirEntInv'!#REF!&lt;&gt;"",'A-80 DirEntInv'!#REF!,IF(AK192=summaryref2!B25,summaryref2!G25,IF(Summary!AK192=summaryref2!B39,summaryref2!G39,IF(AK192=summaryref2!B53,summaryref2!G53,IF(AK192=summaryref2!B67,summaryref2!G67,IF(AK192=summaryref2!B81,summaryref2!G81,IF(AK192=summaryref2!B95,summaryref2!G95,IF(AK192=summaryref2!B109,summaryref2!G109,IF(AK192=summaryref2!B123,summaryref2!G123,IF(AK192=summaryref2!B137,summaryref2!G137,IF(AK192=summaryref2!B151,summaryref2!G151,"")))))))))))</f>
        <v>#REF!</v>
      </c>
      <c r="AR192" s="1386" t="e">
        <f>IF('A-80 DirEntInv'!#REF!&lt;&gt;"",'A-80 DirEntInv'!#REF!,IF(AK192=summaryref2!B25,summaryref2!H25,IF(Summary!AK192=summaryref2!B39,summaryref2!H39,IF(AK192=summaryref2!B53,summaryref2!H53,IF(AK192=summaryref2!B67,summaryref2!H67,IF(AK192=summaryref2!B81,summaryref2!H81,IF(AK192=summaryref2!B95,summaryref2!H95,IF(AK192=summaryref2!B109,summaryref2!H109,IF(AK192=summaryref2!B123,summaryref2!H123,IF(AK192=summaryref2!B137,summaryref2!H137,IF(AK192=summaryref2!B151,summaryref2!H151,"")))))))))))</f>
        <v>#REF!</v>
      </c>
      <c r="AS192" s="1387" t="e">
        <f>IF('A-80 DirEntInv'!#REF!&lt;&gt;"",'A-80 DirEntInv'!#REF!,IF(AK192=summaryref2!B25,summaryref2!I25,IF(Summary!AK192=summaryref2!B39,summaryref2!I39,IF(AK192=summaryref2!B53,summaryref2!I53,IF(AK192=summaryref2!B67,summaryref2!I67,IF(AK192=summaryref2!B81,summaryref2!I81,IF(AK192=summaryref2!B95,summaryref2!I95,IF(AK192=summaryref2!B109,summaryref2!I109,IF(AK192=summaryref2!B123,summaryref2!I123,IF(AK192=summaryref2!B137,summaryref2!I137,IF(AK192=summaryref2!B151,summaryref2!I151,"")))))))))))</f>
        <v>#REF!</v>
      </c>
      <c r="AT192" s="1387" t="e">
        <f>IF('A-80 DirEntInv'!#REF!&lt;&gt;"",'A-80 DirEntInv'!#REF!,IF(AK192=summaryref2!B25,summaryref2!J25,IF(Summary!AK192=summaryref2!B39,summaryref2!J39,IF(AK192=summaryref2!B53,summaryref2!J53,IF(AK192=summaryref2!B67,summaryref2!J67,IF(AK192=summaryref2!B81,summaryref2!J81,IF(AK192=summaryref2!B95,summaryref2!J95,IF(AK192=summaryref2!B109,summaryref2!J109,IF(AK192=summaryref2!B123,summaryref2!J123,IF(AK192=summaryref2!B137,summaryref2!J137,IF(AK192=summaryref2!B151,summaryref2!J151,"")))))))))))</f>
        <v>#REF!</v>
      </c>
      <c r="AU192" s="1387" t="e">
        <f>IF('A-80 DirEntInv'!#REF!&lt;&gt;"",'A-80 DirEntInv'!#REF!,IF(AK192=summaryref2!B25,summaryref2!K25,IF(Summary!AK192=summaryref2!B39,summaryref2!K39,IF(AK192=summaryref2!B53,summaryref2!K53,IF(AK192=summaryref2!B67,summaryref2!K67,IF(AK192=summaryref2!B81,summaryref2!K81,IF(AK192=summaryref2!B95,summaryref2!K95,IF(AK192=summaryref2!B109,summaryref2!K109,IF(AK192=summaryref2!B123,summaryref2!K123,IF(AK192=summaryref2!B137,summaryref2!K137,IF(AK192=summaryref2!B151,summaryref2!K151,"")))))))))))</f>
        <v>#REF!</v>
      </c>
      <c r="AV192" s="1387" t="e">
        <f>IF('A-80 DirEntInv'!#REF!&lt;&gt;"",'A-80 DirEntInv'!#REF!,IF(AK192=summaryref2!B25,summaryref2!L25,IF(Summary!AK192=summaryref2!B39,summaryref2!L39,IF(AK192=summaryref2!B53,summaryref2!L53,IF(AK192=summaryref2!B67,summaryref2!L67,IF(AK192=summaryref2!B81,summaryref2!L81,IF(AK192=summaryref2!B95,summaryref2!L95,IF(AK192=summaryref2!B109,summaryref2!L109,IF(AK192=summaryref2!B123,summaryref2!L123,IF(AK192=summaryref2!B137,summaryref2!L137,IF(AK192=summaryref2!B151,summaryref2!L151,"")))))))))))</f>
        <v>#REF!</v>
      </c>
      <c r="AW192" s="1387" t="e">
        <f>IF('A-80 DirEntInv'!#REF!&lt;&gt;"",'A-80 DirEntInv'!#REF!,IF(AK192=summaryref2!B25,summaryref2!M25,IF(Summary!AK192=summaryref2!B39,summaryref2!M39,IF(AK192=summaryref2!B53,summaryref2!M53,IF(AK192=summaryref2!B67,summaryref2!M67,IF(AK192=summaryref2!B81,summaryref2!M81,IF(AK192=summaryref2!B95,summaryref2!M95,IF(AK192=summaryref2!B109,summaryref2!M109,IF(AK192=summaryref2!B123,summaryref2!M123,IF(AK192=summaryref2!B137,summaryref2!M137,IF(AK192=summaryref2!B151,summaryref2!M151,"")))))))))))</f>
        <v>#REF!</v>
      </c>
      <c r="AX192" s="1387" t="e">
        <f>IF('A-80 DirEntInv'!#REF!&lt;&gt;"",'A-80 DirEntInv'!#REF!,IF(AK192=summaryref2!B25,summaryref2!N25,IF(Summary!AK192=summaryref2!B39,summaryref2!N39,IF(AK192=summaryref2!B53,summaryref2!N53,IF(AK192=summaryref2!B67,summaryref2!N67,IF(AK192=summaryref2!B81,summaryref2!N81,IF(AK192=summaryref2!B95,summaryref2!N95,IF(AK192=summaryref2!B109,summaryref2!N109,IF(AK192=summaryref2!B123,summaryref2!N123,IF(AK192=summaryref2!B137,summaryref2!N137,IF(AK192=summaryref2!B151,summaryref2!N151,"")))))))))))</f>
        <v>#REF!</v>
      </c>
      <c r="AY192" s="1387" t="e">
        <f>IF('A-80 DirEntInv'!#REF!&lt;&gt;"",'A-80 DirEntInv'!#REF!,IF(AK192=summaryref2!B25,summaryref2!O25,IF(Summary!AK192=summaryref2!B39,summaryref2!O39,IF(AK192=summaryref2!B53,summaryref2!O53,IF(AK192=summaryref2!B67,summaryref2!O67,IF(AK192=summaryref2!B81,summaryref2!O81,IF(AK192=summaryref2!B95,summaryref2!O95,IF(AK192=summaryref2!B109,summaryref2!O109,IF(AK192=summaryref2!B123,summaryref2!O123,IF(AK192=summaryref2!B137,summaryref2!O137,IF(AK192=summaryref2!B151,summaryref2!O151,"")))))))))))</f>
        <v>#REF!</v>
      </c>
      <c r="AZ192" s="1387" t="e">
        <f>IF('A-80 DirEntInv'!#REF!&lt;&gt;"",'A-80 DirEntInv'!#REF!,IF(AK192=summaryref2!B25,summaryref2!P25,IF(Summary!AK192=summaryref2!B39,summaryref2!P39,IF(AK192=summaryref2!B53,summaryref2!P53,IF(AK192=summaryref2!B67,summaryref2!P67,IF(AK192=summaryref2!B81,summaryref2!P81,IF(AK192=summaryref2!B95,summaryref2!P95,IF(AK192=summaryref2!B109,summaryref2!P109,IF(AK192=summaryref2!B123,summaryref2!P123,IF(AK192=summaryref2!B137,summaryref2!P137,IF(AK192=summaryref2!B151,summaryref2!P151,"")))))))))))</f>
        <v>#REF!</v>
      </c>
      <c r="BA192" s="1387" t="e">
        <f>IF('A-80 DirEntInv'!#REF!&lt;&gt;"",'A-80 DirEntInv'!#REF!,IF(AK192=summaryref2!B25,summaryref2!Q25,IF(Summary!AK192=summaryref2!B39,summaryref2!Q39,IF(AK192=summaryref2!B53,summaryref2!Q53,IF(AK192=summaryref2!B67,summaryref2!Q67,IF(AK192=summaryref2!B81,summaryref2!Q81,IF(AK192=summaryref2!B95,summaryref2!Q95,IF(AK192=summaryref2!B109,summaryref2!Q109,IF(AK192=summaryref2!B123,summaryref2!Q123,IF(AK192=summaryref2!B137,summaryref2!Q137,IF(AK192=summaryref2!B151,summaryref2!Q151,"")))))))))))</f>
        <v>#REF!</v>
      </c>
      <c r="BB192" s="1387" t="e">
        <f>IF('A-80 DirEntInv'!#REF!&lt;&gt;"",'A-80 DirEntInv'!#REF!,IF(AK192=summaryref2!B25,summaryref2!R25,IF(Summary!AK192=summaryref2!B39,summaryref2!R39,IF(AK192=summaryref2!B53,summaryref2!R53,IF(AK192=summaryref2!B67,summaryref2!R67,IF(AK192=summaryref2!B81,summaryref2!R81,IF(AK192=summaryref2!B95,summaryref2!R95,IF(AK192=summaryref2!B109,summaryref2!R109,IF(AK192=summaryref2!B123,summaryref2!R123,IF(AK192=summaryref2!B137,summaryref2!R137,IF(AK192=summaryref2!B151,summaryref2!R151,"")))))))))))</f>
        <v>#REF!</v>
      </c>
      <c r="BC192" s="1387" t="e">
        <f>IF('A-80 DirEntInv'!#REF!&lt;&gt;0,'A-80 DirEntInv'!#REF!,IF(AK192=summaryref2!B25,summaryref2!S25,IF(Summary!AK192=summaryref2!B39,summaryref2!S39,IF(AK192=summaryref2!B53,summaryref2!S53,IF(AK192=summaryref2!B67,summaryref2!S67,IF(AK192=summaryref2!B81,summaryref2!S81,IF(AK192=summaryref2!B95,summaryref2!S95,IF(AK192=summaryref2!B109,summaryref2!S109,IF(AK192=summaryref2!B123,summaryref2!S123,IF(AK192=summaryref2!B137,summaryref2!S137,IF(AK192=summaryref2!B151,summaryref2!S151,"")))))))))))</f>
        <v>#REF!</v>
      </c>
      <c r="BD192" s="1118" t="e">
        <f>IF('A-80 DirEntInv'!#REF!&lt;&gt;"",'A-80 DirEntInv'!#REF!,IF(AK192=summaryref2!B25,summaryref2!T25,IF(Summary!AK192=summaryref2!B39,summaryref2!T39,IF(AK192=summaryref2!B53,summaryref2!T53,IF(AK192=summaryref2!B67,summaryref2!T67,IF(AK192=summaryref2!B81,summaryref2!T81,IF(AK192=summaryref2!B95,summaryref2!T95,IF(AK192=summaryref2!B109,summaryref2!T109,IF(AK192=summaryref2!B123,summaryref2!T123,IF(AK192=summaryref2!B137,summaryref2!T137,IF(AK192=summaryref2!B151,summaryref2!T151,"")))))))))))</f>
        <v>#REF!</v>
      </c>
      <c r="BE192" s="1186" t="e">
        <f>IF('A-80 DirEntInv'!#REF!&lt;&gt;"",'A-80 DirEntInv'!#REF!,IF(AK192=summaryref2!B25,summaryref2!U25,IF(Summary!AK192=summaryref2!B39,summaryref2!U39,IF(AK192=summaryref2!B53,summaryref2!U53,IF(AK192=summaryref2!B67,summaryref2!U67,IF(AK192=summaryref2!B81,summaryref2!U81,IF(AK192=summaryref2!B95,summaryref2!U95,IF(AK192=summaryref2!B109,summaryref2!U109,IF(AK192=summaryref2!B123,summaryref2!U123,IF(AK192=summaryref2!B137,summaryref2!U137,IF(AK192=summaryref2!B151,summaryref2!U151,"")))))))))))</f>
        <v>#REF!</v>
      </c>
      <c r="BF192" s="1432"/>
      <c r="BG192" s="1432"/>
      <c r="BU192" s="962"/>
      <c r="CD192" s="589"/>
      <c r="CE192" s="590"/>
      <c r="CF192" s="590"/>
      <c r="CG192" s="590"/>
      <c r="CH192" s="590"/>
      <c r="CI192" s="590"/>
      <c r="CJ192" s="589"/>
      <c r="CK192" s="589"/>
      <c r="CL192" s="589"/>
      <c r="CM192" s="587"/>
      <c r="CN192" s="587"/>
      <c r="CO192" s="589"/>
      <c r="CP192" s="587"/>
      <c r="CQ192" s="592"/>
      <c r="CR192" s="589"/>
      <c r="CS192" s="592"/>
      <c r="CT192" s="589"/>
      <c r="CU192" s="589"/>
      <c r="CV192" s="589"/>
      <c r="CW192" s="587"/>
      <c r="CX192" s="590"/>
      <c r="CY192" s="590"/>
      <c r="CZ192" s="590"/>
      <c r="DA192" s="1054"/>
      <c r="DB192" s="1054"/>
      <c r="DC192" s="587"/>
      <c r="DD192" s="587"/>
    </row>
    <row r="193" spans="1:108" s="588" customFormat="1" x14ac:dyDescent="0.2">
      <c r="A193" s="589">
        <f t="shared" si="2"/>
        <v>183</v>
      </c>
      <c r="B193" s="587"/>
      <c r="C193" s="587"/>
      <c r="D193" s="587"/>
      <c r="J193" s="589"/>
      <c r="K193" s="590"/>
      <c r="L193" s="591"/>
      <c r="M193" s="592"/>
      <c r="N193" s="589"/>
      <c r="O193" s="587"/>
      <c r="R193" s="1052"/>
      <c r="S193" s="1052"/>
      <c r="T193" s="1052"/>
      <c r="U193" s="1052"/>
      <c r="V193" s="1052"/>
      <c r="W193" s="1053"/>
      <c r="X193" s="1053"/>
      <c r="Y193" s="1053"/>
      <c r="Z193" s="1052"/>
      <c r="AA193" s="1052"/>
      <c r="AB193" s="962"/>
      <c r="AC193" s="590"/>
      <c r="AD193" s="590"/>
      <c r="AE193" s="591"/>
      <c r="AF193" s="592"/>
      <c r="AG193" s="1053"/>
      <c r="AH193" s="587"/>
      <c r="AK193" s="1043" t="str">
        <f>Codes!$C$169</f>
        <v>SR - Streetcar Rail (DO)</v>
      </c>
      <c r="AL193" s="1303" t="str">
        <f>Valid!$B$71</f>
        <v>At-Grade/Ballast (including expressway)</v>
      </c>
      <c r="AM193" s="1092" t="e">
        <f>IF('A-80 DirEntInv'!#REF!&lt;&gt;"",'A-80 DirEntInv'!#REF!,IF(AK193=summaryref2!B12,summaryref2!D12,IF(Summary!AK193=summaryref2!B26,summaryref2!D26,IF(AK193=summaryref2!B40,summaryref2!D40,IF(AK193=summaryref2!B54,summaryref2!D54,IF(AK193=summaryref2!B68,summaryref2!D68,IF(AK193=summaryref2!B82,summaryref2!D82,IF(AK193=summaryref2!B96,summaryref2!D96,IF(AK193=summaryref2!B110,summaryref2!D110,IF(AK193=summaryref2!B124,summaryref2!D124,IF(AK193=summaryref2!B138,summaryref2!D138,"")))))))))))</f>
        <v>#REF!</v>
      </c>
      <c r="AN193" s="1127" t="e">
        <f ca="1">IF('A-80 DirEntInv'!#REF!&lt;&gt;"",'A-80 DirEntInv'!#REF!,IF(INDIRECT(ADDRESS(SumRef!CG97,SumRef!CG$16,,,SumRef!$C$7))="","",INDIRECT(ADDRESS(SumRef!CG97,SumRef!CG$16,,,SumRef!$C$7))))</f>
        <v>#REF!</v>
      </c>
      <c r="AO193" s="1092" t="e">
        <f>IF('A-80 DirEntInv'!#REF!&lt;&gt;"",'A-80 DirEntInv'!#REF!,IF(AK193=summaryref2!B12,summaryref2!F12,IF(Summary!AK193=summaryref2!B26,summaryref2!F26,IF(AK193=summaryref2!B40,summaryref2!F40,IF(AK193=summaryref2!B54,summaryref2!F54,IF(AK193=summaryref2!B68,summaryref2!F68,IF(AK193=summaryref2!B82,summaryref2!F82,IF(AK193=summaryref2!B96,summaryref2!F96,IF(AK193=summaryref2!B110,summaryref2!F110,IF(AK193=summaryref2!B124,summaryref2!F124,IF(AK193=summaryref2!B138,summaryref2!F138,"")))))))))))</f>
        <v>#REF!</v>
      </c>
      <c r="AP193" s="1127" t="e">
        <f ca="1">IF('A-80 DirEntInv'!#REF!&lt;&gt;"",'A-80 DirEntInv'!#REF!,IF(INDIRECT(ADDRESS(SumRef!#REF!,SumRef!#REF!,,,SumRef!$C$7))="","",INDIRECT(ADDRESS(SumRef!#REF!,SumRef!#REF!,,,SumRef!$C$7))))</f>
        <v>#REF!</v>
      </c>
      <c r="AQ193" s="1146" t="e">
        <f>IF('A-80 DirEntInv'!#REF!&lt;&gt;"",'A-80 DirEntInv'!#REF!,IF(AK193=summaryref2!B12,summaryref2!G12,IF(Summary!AK193=summaryref2!B26,summaryref2!G26,IF(AK193=summaryref2!B40,summaryref2!G40,IF(AK193=summaryref2!B54,summaryref2!G54,IF(AK193=summaryref2!B68,summaryref2!G68,IF(AK193=summaryref2!B82,summaryref2!G82,IF(AK193=summaryref2!B96,summaryref2!G96,IF(AK193=summaryref2!B110,summaryref2!G110,IF(AK193=summaryref2!B124,summaryref2!G124,IF(AK193=summaryref2!B138,summaryref2!G138,"")))))))))))</f>
        <v>#REF!</v>
      </c>
      <c r="AR193" s="1146" t="e">
        <f>IF('A-80 DirEntInv'!#REF!&lt;&gt;"",'A-80 DirEntInv'!#REF!,IF(AK193=summaryref2!B12,summaryref2!H12,IF(Summary!AK193=summaryref2!B26,summaryref2!H26,IF(AK193=summaryref2!B40,summaryref2!H40,IF(AK193=summaryref2!B54,summaryref2!H54,IF(AK193=summaryref2!B68,summaryref2!H68,IF(AK193=summaryref2!B82,summaryref2!H82,IF(AK193=summaryref2!B96,summaryref2!H96,IF(AK193=summaryref2!B110,summaryref2!H110,IF(AK193=summaryref2!B124,summaryref2!H124,IF(AK193=summaryref2!B138,summaryref2!H138,"")))))))))))</f>
        <v>#REF!</v>
      </c>
      <c r="AS193" s="1092" t="e">
        <f>IF('A-80 DirEntInv'!#REF!&lt;&gt;"",'A-80 DirEntInv'!#REF!,IF(AK193=summaryref2!B12,summaryref2!I12,IF(Summary!AK193=summaryref2!B26,summaryref2!I26,IF(AK193=summaryref2!B40,summaryref2!I40,IF(AK193=summaryref2!B54,summaryref2!I54,IF(AK193=summaryref2!B68,summaryref2!I68,IF(AK193=summaryref2!B82,summaryref2!I82,IF(AK193=summaryref2!B96,summaryref2!I96,IF(AK193=summaryref2!B110,summaryref2!I110,IF(AK193=summaryref2!B124,summaryref2!I124,IF(AK193=summaryref2!B138,summaryref2!I138,"")))))))))))</f>
        <v>#REF!</v>
      </c>
      <c r="AT193" s="1092" t="e">
        <f>IF('A-80 DirEntInv'!#REF!&lt;&gt;"",'A-80 DirEntInv'!#REF!,IF(AK193=summaryref2!B12,summaryref2!J12,IF(Summary!AK193=summaryref2!B26,summaryref2!J26,IF(AK193=summaryref2!B40,summaryref2!J40,IF(AK193=summaryref2!B54,summaryref2!J54,IF(AK193=summaryref2!B68,summaryref2!J68,IF(AK193=summaryref2!B82,summaryref2!J82,IF(AK193=summaryref2!B96,summaryref2!J96,IF(AK193=summaryref2!B110,summaryref2!J110,IF(AK193=summaryref2!B124,summaryref2!J124,IF(AK193=summaryref2!B138,summaryref2!J138,"")))))))))))</f>
        <v>#REF!</v>
      </c>
      <c r="AU193" s="1092" t="e">
        <f>IF('A-80 DirEntInv'!#REF!&lt;&gt;"",'A-80 DirEntInv'!#REF!,IF(AK193=summaryref2!B12,summaryref2!K12,IF(Summary!AK193=summaryref2!B26,summaryref2!K26,IF(AK193=summaryref2!B40,summaryref2!K40,IF(AK193=summaryref2!B54,summaryref2!K54,IF(AK193=summaryref2!B68,summaryref2!K68,IF(AK193=summaryref2!B82,summaryref2!K82,IF(AK193=summaryref2!B96,summaryref2!K96,IF(AK193=summaryref2!B110,summaryref2!K110,IF(AK193=summaryref2!B124,summaryref2!K124,IF(AK193=summaryref2!B138,summaryref2!K138,"")))))))))))</f>
        <v>#REF!</v>
      </c>
      <c r="AV193" s="1092" t="e">
        <f>IF('A-80 DirEntInv'!#REF!&lt;&gt;"",'A-80 DirEntInv'!#REF!,IF(AK193=summaryref2!B12,summaryref2!L12,IF(Summary!AK193=summaryref2!B26,summaryref2!L26,IF(AK193=summaryref2!B40,summaryref2!L40,IF(AK193=summaryref2!B54,summaryref2!L54,IF(AK193=summaryref2!B68,summaryref2!L68,IF(AK193=summaryref2!B82,summaryref2!L82,IF(AK193=summaryref2!B96,summaryref2!L96,IF(AK193=summaryref2!B110,summaryref2!L110,IF(AK193=summaryref2!B124,summaryref2!L124,IF(AK193=summaryref2!B138,summaryref2!L138,"")))))))))))</f>
        <v>#REF!</v>
      </c>
      <c r="AW193" s="1092" t="e">
        <f>IF('A-80 DirEntInv'!#REF!&lt;&gt;"",'A-80 DirEntInv'!#REF!,IF($AK193=summaryref2!$B$12,summaryref2!M$12,IF(Summary!$AK193=summaryref2!$B$26,summaryref2!M$26,IF($AK193=summaryref2!$B$40,summaryref2!M$40,IF($AK193=summaryref2!$B$54,summaryref2!M$54,IF($AK193=summaryref2!$B$68,summaryref2!M$68,IF($AK193=summaryref2!$B$82,summaryref2!M$82,IF($AK193=summaryref2!$B$96,summaryref2!M$96,IF($AK193=summaryref2!$B$110,summaryref2!M$110,IF($AK193=summaryref2!$B$124,summaryref2!M$124,IF($AK193=summaryref2!$B$138,summaryref2!M$138,"")))))))))))</f>
        <v>#REF!</v>
      </c>
      <c r="AX193" s="1092" t="e">
        <f>IF('A-80 DirEntInv'!#REF!&lt;&gt;"",'A-80 DirEntInv'!#REF!,IF(AK193=summaryref2!B12,summaryref2!N12,IF(Summary!AK193=summaryref2!B26,summaryref2!N26,IF(AK193=summaryref2!B40,summaryref2!N40,IF(AK193=summaryref2!B54,summaryref2!N54,IF(AK193=summaryref2!B68,summaryref2!N68,IF(AK193=summaryref2!B82,summaryref2!N82,IF(AK193=summaryref2!B96,summaryref2!N96,IF(AK193=summaryref2!B110,summaryref2!N110,IF(AK193=summaryref2!B124,summaryref2!N124,IF(AK193=summaryref2!B138,summaryref2!N138,"")))))))))))</f>
        <v>#REF!</v>
      </c>
      <c r="AY193" s="1092" t="e">
        <f>IF('A-80 DirEntInv'!#REF!&lt;&gt;"",'A-80 DirEntInv'!#REF!,IF(AK193=summaryref2!B12,summaryref2!O12,IF(Summary!AK193=summaryref2!B26,summaryref2!O26,IF(AK193=summaryref2!B40,summaryref2!O40,IF(AK193=summaryref2!B54,summaryref2!O54,IF(AK193=summaryref2!B68,summaryref2!O68,IF(AK193=summaryref2!B82,summaryref2!O82,IF(AK193=summaryref2!B96,summaryref2!O96,IF(AK193=summaryref2!B110,summaryref2!O110,IF(AK193=summaryref2!B124,summaryref2!O124,IF(AK193=summaryref2!B138,summaryref2!O138,"")))))))))))</f>
        <v>#REF!</v>
      </c>
      <c r="AZ193" s="1092" t="e">
        <f>IF('A-80 DirEntInv'!#REF!&lt;&gt;"",'A-80 DirEntInv'!#REF!,IF(AK193=summaryref2!B12,summaryref2!P12,IF(Summary!AK193=summaryref2!B26,summaryref2!P26,IF(AK193=summaryref2!B40,summaryref2!P40,IF(AK193=summaryref2!B54,summaryref2!P54,IF(AK193=summaryref2!B68,summaryref2!P68,IF(AK193=summaryref2!B82,summaryref2!P82,IF(AK193=summaryref2!B96,summaryref2!P96,IF(AK193=summaryref2!B110,summaryref2!P110,IF(AK193=summaryref2!B124,summaryref2!P124,IF(AK193=summaryref2!B138,summaryref2!P138,"")))))))))))</f>
        <v>#REF!</v>
      </c>
      <c r="BA193" s="1092" t="e">
        <f>IF('A-80 DirEntInv'!#REF!&lt;&gt;"",'A-80 DirEntInv'!#REF!,IF(AK193=summaryref2!B12,summaryref2!Q12,IF(Summary!AK193=summaryref2!B26,summaryref2!Q26,IF(AK193=summaryref2!B40,summaryref2!Q40,IF(AK193=summaryref2!B54,summaryref2!Q54,IF(AK193=summaryref2!B68,summaryref2!Q68,IF(AK193=summaryref2!B82,summaryref2!Q82,IF(AK193=summaryref2!B96,summaryref2!Q96,IF(AK193=summaryref2!B110,summaryref2!Q110,IF(AK193=summaryref2!B124,summaryref2!Q124,IF(AK193=summaryref2!B138,summaryref2!Q138,"")))))))))))</f>
        <v>#REF!</v>
      </c>
      <c r="BB193" s="1092" t="e">
        <f>IF('A-80 DirEntInv'!#REF!&lt;&gt;"",'A-80 DirEntInv'!#REF!,IF(AK193=summaryref2!B12,summaryref2!R12,IF(Summary!AK193=summaryref2!B26,summaryref2!R26,IF(AK193=summaryref2!B40,summaryref2!R40,IF(AK193=summaryref2!B54,summaryref2!R54,IF(AK193=summaryref2!B68,summaryref2!R68,IF(AK193=summaryref2!B82,summaryref2!R82,IF(AK193=summaryref2!B96,summaryref2!R96,IF(AK193=summaryref2!B110,summaryref2!R110,IF(AK193=summaryref2!B124,summaryref2!R124,IF(AK193=summaryref2!B138,summaryref2!R138,"")))))))))))</f>
        <v>#REF!</v>
      </c>
      <c r="BC193" s="1092" t="e">
        <f>IF('A-80 DirEntInv'!#REF!&lt;&gt;0,'A-80 DirEntInv'!#REF!,IF(AK193=summaryref2!B12,summaryref2!S12,IF(Summary!AK193=summaryref2!B26,summaryref2!S26,IF(AK193=summaryref2!B40,summaryref2!S40,IF(AK193=summaryref2!B54,summaryref2!S54,IF(AK193=summaryref2!B68,summaryref2!S68,IF(AK193=summaryref2!B82,summaryref2!S82,IF(AK193=summaryref2!B96,summaryref2!S96,IF(AK193=summaryref2!B110,summaryref2!S110,IF(AK193=summaryref2!B124,summaryref2!S124,IF(AK193=summaryref2!B138,summaryref2!S138,"")))))))))))</f>
        <v>#REF!</v>
      </c>
      <c r="BD193" s="1093" t="e">
        <f>IF('A-80 DirEntInv'!#REF!&lt;&gt;"",'A-80 DirEntInv'!#REF!,IF(AK193=summaryref2!B12,summaryref2!T12,IF(Summary!AK193=summaryref2!B26,summaryref2!T26,IF(AK193=summaryref2!B40,summaryref2!T40,IF(AK193=summaryref2!B54,summaryref2!T54,IF(AK193=summaryref2!B68,summaryref2!T68,IF(AK193=summaryref2!B82,summaryref2!T82,IF(AK193=summaryref2!B96,summaryref2!T96,IF(AK193=summaryref2!B110,summaryref2!T110,IF(AK193=summaryref2!B124,summaryref2!T124,IF(AK193=summaryref2!B138,summaryref2!T138,"")))))))))))</f>
        <v>#REF!</v>
      </c>
      <c r="BE193" s="1189" t="e">
        <f>IF('A-80 DirEntInv'!#REF!&lt;&gt;"",'A-80 DirEntInv'!#REF!,IF(AK193=summaryref2!B12,summaryref2!U12,IF(Summary!AK193=summaryref2!B26,summaryref2!U26,IF(AK193=summaryref2!B40,summaryref2!U40,IF(AK193=summaryref2!B54,summaryref2!U54,IF(AK193=summaryref2!B68,summaryref2!U68,IF(AK193=summaryref2!B82,summaryref2!U82,IF(AK193=summaryref2!B96,summaryref2!U96,IF(AK193=summaryref2!B110,summaryref2!U110,IF(AK193=summaryref2!B124,summaryref2!U124,IF(AK193=summaryref2!B138,summaryref2!U138,"")))))))))))</f>
        <v>#REF!</v>
      </c>
      <c r="BF193" s="1431"/>
      <c r="BG193" s="1431"/>
      <c r="BU193" s="962"/>
      <c r="CD193" s="589"/>
      <c r="CE193" s="590"/>
      <c r="CF193" s="590"/>
      <c r="CG193" s="590"/>
      <c r="CH193" s="590"/>
      <c r="CI193" s="590"/>
      <c r="CJ193" s="589"/>
      <c r="CK193" s="589"/>
      <c r="CL193" s="589"/>
      <c r="CM193" s="587"/>
      <c r="CN193" s="587"/>
      <c r="CO193" s="589"/>
      <c r="CP193" s="587"/>
      <c r="CQ193" s="592"/>
      <c r="CR193" s="589"/>
      <c r="CS193" s="592"/>
      <c r="CT193" s="589"/>
      <c r="CU193" s="589"/>
      <c r="CV193" s="589"/>
      <c r="CW193" s="587"/>
      <c r="CX193" s="590"/>
      <c r="CY193" s="590"/>
      <c r="CZ193" s="590"/>
      <c r="DA193" s="1054"/>
      <c r="DB193" s="1054"/>
      <c r="DC193" s="587"/>
      <c r="DD193" s="587"/>
    </row>
    <row r="194" spans="1:108" s="588" customFormat="1" x14ac:dyDescent="0.2">
      <c r="A194" s="589">
        <f t="shared" si="2"/>
        <v>184</v>
      </c>
      <c r="B194" s="587"/>
      <c r="C194" s="587"/>
      <c r="D194" s="587"/>
      <c r="J194" s="589"/>
      <c r="K194" s="590"/>
      <c r="L194" s="591"/>
      <c r="M194" s="592"/>
      <c r="N194" s="589"/>
      <c r="O194" s="587"/>
      <c r="R194" s="1052"/>
      <c r="S194" s="1052"/>
      <c r="T194" s="1052"/>
      <c r="U194" s="1052"/>
      <c r="V194" s="1052"/>
      <c r="W194" s="1053"/>
      <c r="X194" s="1053"/>
      <c r="Y194" s="1053"/>
      <c r="Z194" s="1052"/>
      <c r="AA194" s="1052"/>
      <c r="AB194" s="962"/>
      <c r="AC194" s="590"/>
      <c r="AD194" s="590"/>
      <c r="AE194" s="591"/>
      <c r="AF194" s="592"/>
      <c r="AG194" s="1053"/>
      <c r="AH194" s="587"/>
      <c r="AK194" s="1041" t="str">
        <f>Codes!$C$169</f>
        <v>SR - Streetcar Rail (DO)</v>
      </c>
      <c r="AL194" s="1042" t="str">
        <f>Valid!$B$72</f>
        <v>At-Grade/In-Street/Embedded</v>
      </c>
      <c r="AM194" s="1108" t="e">
        <f>IF('A-80 DirEntInv'!#REF!&lt;&gt;"",'A-80 DirEntInv'!#REF!,IF(AK194=summaryref2!B13,summaryref2!D13,IF(Summary!AK194=summaryref2!B27,summaryref2!D27,IF(AK194=summaryref2!B41,summaryref2!D41,IF(AK194=summaryref2!B55,summaryref2!D55,IF(AK194=summaryref2!B69,summaryref2!D69,IF(AK194=summaryref2!B83,summaryref2!D83,IF(AK194=summaryref2!B97,summaryref2!D97,IF(AK194=summaryref2!B111,summaryref2!D111,IF(AK194=summaryref2!B125,summaryref2!D125,IF(AK194=summaryref2!B139,summaryref2!D139,"")))))))))))</f>
        <v>#REF!</v>
      </c>
      <c r="AN194" s="1109" t="e">
        <f ca="1">IF('A-80 DirEntInv'!#REF!&lt;&gt;"",'A-80 DirEntInv'!#REF!,IF(INDIRECT(ADDRESS(SumRef!CG434,SumRef!CG$16,,,SumRef!$C$7))="","",INDIRECT(ADDRESS(SumRef!CG434,SumRef!CG$16,,,SumRef!$C$7))))</f>
        <v>#REF!</v>
      </c>
      <c r="AO194" s="1108" t="e">
        <f>IF('A-80 DirEntInv'!#REF!&lt;&gt;"",'A-80 DirEntInv'!#REF!,IF(AK194=summaryref2!B13,summaryref2!F13,IF(Summary!AK194=summaryref2!B27,summaryref2!F27,IF(AK194=summaryref2!B41,summaryref2!F41,IF(AK194=summaryref2!B55,summaryref2!F55,IF(AK194=summaryref2!B69,summaryref2!F69,IF(AK194=summaryref2!B83,summaryref2!F83,IF(AK194=summaryref2!B97,summaryref2!F97,IF(AK194=summaryref2!B111,summaryref2!F111,IF(AK194=summaryref2!B125,summaryref2!F125,IF(AK194=summaryref2!B139,summaryref2!F139,"")))))))))))</f>
        <v>#REF!</v>
      </c>
      <c r="AP194" s="1109" t="e">
        <f ca="1">IF('A-80 DirEntInv'!#REF!&lt;&gt;"",'A-80 DirEntInv'!#REF!,IF(INDIRECT(ADDRESS(SumRef!#REF!,SumRef!#REF!,,,SumRef!$C$7))="","",INDIRECT(ADDRESS(SumRef!#REF!,SumRef!#REF!,,,SumRef!$C$7))))</f>
        <v>#REF!</v>
      </c>
      <c r="AQ194" s="1147" t="e">
        <f>IF('A-80 DirEntInv'!#REF!&lt;&gt;"",'A-80 DirEntInv'!#REF!,IF(AK194=summaryref2!B13,summaryref2!G13,IF(Summary!AK194=summaryref2!B27,summaryref2!G27,IF(AK194=summaryref2!B41,summaryref2!G41,IF(AK194=summaryref2!B55,summaryref2!G55,IF(AK194=summaryref2!B69,summaryref2!G69,IF(AK194=summaryref2!B83,summaryref2!G83,IF(AK194=summaryref2!B97,summaryref2!G97,IF(AK194=summaryref2!B111,summaryref2!G111,IF(AK194=summaryref2!B125,summaryref2!G125,IF(AK194=summaryref2!B139,summaryref2!G139,"")))))))))))</f>
        <v>#REF!</v>
      </c>
      <c r="AR194" s="1147" t="e">
        <f>IF('A-80 DirEntInv'!#REF!&lt;&gt;"",'A-80 DirEntInv'!#REF!,IF(AK194=summaryref2!B13,summaryref2!H13,IF(Summary!AK194=summaryref2!B27,summaryref2!H27,IF(AK194=summaryref2!B41,summaryref2!H41,IF(AK194=summaryref2!B55,summaryref2!H55,IF(AK194=summaryref2!B69,summaryref2!H69,IF(AK194=summaryref2!B83,summaryref2!H83,IF(AK194=summaryref2!B97,summaryref2!H97,IF(AK194=summaryref2!B111,summaryref2!H111,IF(AK194=summaryref2!B125,summaryref2!H125,IF(AK194=summaryref2!B139,summaryref2!H139,"")))))))))))</f>
        <v>#REF!</v>
      </c>
      <c r="AS194" s="1110" t="e">
        <f>IF('A-80 DirEntInv'!#REF!&lt;&gt;"",'A-80 DirEntInv'!#REF!,IF(AK194=summaryref2!B13,summaryref2!I13,IF(Summary!AK194=summaryref2!B27,summaryref2!I27,IF(AK194=summaryref2!B41,summaryref2!I41,IF(AK194=summaryref2!B55,summaryref2!I55,IF(AK194=summaryref2!B69,summaryref2!I69,IF(AK194=summaryref2!B83,summaryref2!I83,IF(AK194=summaryref2!B97,summaryref2!I97,IF(AK194=summaryref2!B111,summaryref2!I111,IF(AK194=summaryref2!B125,summaryref2!I125,IF(AK194=summaryref2!B139,summaryref2!I139,"")))))))))))</f>
        <v>#REF!</v>
      </c>
      <c r="AT194" s="1110" t="e">
        <f>IF('A-80 DirEntInv'!#REF!&lt;&gt;"",'A-80 DirEntInv'!#REF!,IF(AK194=summaryref2!B13,summaryref2!J13,IF(Summary!AK194=summaryref2!B27,summaryref2!J27,IF(AK194=summaryref2!B41,summaryref2!J41,IF(AK194=summaryref2!B55,summaryref2!J55,IF(AK194=summaryref2!B69,summaryref2!J69,IF(AK194=summaryref2!B83,summaryref2!J83,IF(AK194=summaryref2!B97,summaryref2!J97,IF(AK194=summaryref2!B111,summaryref2!J111,IF(AK194=summaryref2!B125,summaryref2!J125,IF(AK194=summaryref2!B139,summaryref2!J139,"")))))))))))</f>
        <v>#REF!</v>
      </c>
      <c r="AU194" s="1110" t="e">
        <f>IF('A-80 DirEntInv'!#REF!&lt;&gt;"",'A-80 DirEntInv'!#REF!,IF(AK194=summaryref2!B13,summaryref2!K13,IF(Summary!AK194=summaryref2!B27,summaryref2!K27,IF(AK194=summaryref2!B41,summaryref2!K41,IF(AK194=summaryref2!B55,summaryref2!K55,IF(AK194=summaryref2!B69,summaryref2!K69,IF(AK194=summaryref2!B83,summaryref2!K83,IF(AK194=summaryref2!B97,summaryref2!K97,IF(AK194=summaryref2!B111,summaryref2!K111,IF(AK194=summaryref2!B125,summaryref2!K125,IF(AK194=summaryref2!B139,summaryref2!K139,"")))))))))))</f>
        <v>#REF!</v>
      </c>
      <c r="AV194" s="1110" t="e">
        <f>IF('A-80 DirEntInv'!#REF!&lt;&gt;"",'A-80 DirEntInv'!#REF!,IF(AK194=summaryref2!B13,summaryref2!L13,IF(Summary!AK194=summaryref2!B27,summaryref2!L27,IF(AK194=summaryref2!B41,summaryref2!L41,IF(AK194=summaryref2!B55,summaryref2!L55,IF(AK194=summaryref2!B69,summaryref2!L69,IF(AK194=summaryref2!B83,summaryref2!L83,IF(AK194=summaryref2!B97,summaryref2!L97,IF(AK194=summaryref2!B111,summaryref2!L111,IF(AK194=summaryref2!B125,summaryref2!L125,IF(AK194=summaryref2!B139,summaryref2!L139,"")))))))))))</f>
        <v>#REF!</v>
      </c>
      <c r="AW194" s="1110" t="e">
        <f>IF('A-80 DirEntInv'!#REF!&lt;&gt;"",'A-80 DirEntInv'!#REF!,IF(AK194=summaryref2!B13,summaryref2!M13,IF(Summary!AK194=summaryref2!B27,summaryref2!M27,IF(AK194=summaryref2!B41,summaryref2!M41,IF(AK194=summaryref2!B55,summaryref2!M55,IF(AK194=summaryref2!B69,summaryref2!M69,IF(AK194=summaryref2!B83,summaryref2!M83,IF(AK194=summaryref2!B97,summaryref2!M97,IF(AK194=summaryref2!B111,summaryref2!M111,IF(AK194=summaryref2!B125,summaryref2!M125,IF(AK194=summaryref2!B139,summaryref2!M139,"")))))))))))</f>
        <v>#REF!</v>
      </c>
      <c r="AX194" s="1110" t="e">
        <f>IF('A-80 DirEntInv'!#REF!&lt;&gt;"",'A-80 DirEntInv'!#REF!,IF(AK194=summaryref2!B13,summaryref2!N13,IF(Summary!AK194=summaryref2!B27,summaryref2!N27,IF(AK194=summaryref2!B41,summaryref2!N41,IF(AK194=summaryref2!B55,summaryref2!N55,IF(AK194=summaryref2!B69,summaryref2!N69,IF(AK194=summaryref2!B83,summaryref2!N83,IF(AK194=summaryref2!B97,summaryref2!N97,IF(AK194=summaryref2!B111,summaryref2!N111,IF(AK194=summaryref2!B125,summaryref2!N125,IF(AK194=summaryref2!B139,summaryref2!N139,"")))))))))))</f>
        <v>#REF!</v>
      </c>
      <c r="AY194" s="1110" t="e">
        <f>IF('A-80 DirEntInv'!#REF!&lt;&gt;"",'A-80 DirEntInv'!#REF!,IF(AK194=summaryref2!B13,summaryref2!O13,IF(Summary!AK194=summaryref2!B27,summaryref2!O27,IF(AK194=summaryref2!B41,summaryref2!O41,IF(AK194=summaryref2!B55,summaryref2!O55,IF(AK194=summaryref2!B69,summaryref2!O69,IF(AK194=summaryref2!B83,summaryref2!O83,IF(AK194=summaryref2!B97,summaryref2!O97,IF(AK194=summaryref2!B111,summaryref2!O111,IF(AK194=summaryref2!B125,summaryref2!O125,IF(AK194=summaryref2!B139,summaryref2!O139,"")))))))))))</f>
        <v>#REF!</v>
      </c>
      <c r="AZ194" s="1110" t="e">
        <f>IF('A-80 DirEntInv'!#REF!&lt;&gt;"",'A-80 DirEntInv'!#REF!,IF(AK194=summaryref2!B13,summaryref2!P13,IF(Summary!AK194=summaryref2!B27,summaryref2!P27,IF(AK194=summaryref2!B41,summaryref2!P41,IF(AK194=summaryref2!B55,summaryref2!P55,IF(AK194=summaryref2!B69,summaryref2!P69,IF(AK194=summaryref2!B83,summaryref2!P83,IF(AK194=summaryref2!B97,summaryref2!P97,IF(AK194=summaryref2!B111,summaryref2!P111,IF(AK194=summaryref2!B125,summaryref2!P125,IF(AK194=summaryref2!B139,summaryref2!P139,"")))))))))))</f>
        <v>#REF!</v>
      </c>
      <c r="BA194" s="1110" t="e">
        <f>IF('A-80 DirEntInv'!#REF!&lt;&gt;"",'A-80 DirEntInv'!#REF!,IF(AK194=summaryref2!B13,summaryref2!Q13,IF(Summary!AK194=summaryref2!B27,summaryref2!Q27,IF(AK194=summaryref2!B41,summaryref2!Q41,IF(AK194=summaryref2!B55,summaryref2!Q55,IF(AK194=summaryref2!B69,summaryref2!Q69,IF(AK194=summaryref2!B83,summaryref2!Q83,IF(AK194=summaryref2!B97,summaryref2!Q97,IF(AK194=summaryref2!B111,summaryref2!Q111,IF(AK194=summaryref2!B125,summaryref2!Q125,IF(AK194=summaryref2!B139,summaryref2!Q139,"")))))))))))</f>
        <v>#REF!</v>
      </c>
      <c r="BB194" s="1110" t="e">
        <f>IF('A-80 DirEntInv'!#REF!&lt;&gt;"",'A-80 DirEntInv'!#REF!,IF(AK194=summaryref2!B13,summaryref2!R13,IF(Summary!AK194=summaryref2!B27,summaryref2!R27,IF(AK194=summaryref2!B41,summaryref2!R41,IF(AK194=summaryref2!B55,summaryref2!R55,IF(AK194=summaryref2!B69,summaryref2!R69,IF(AK194=summaryref2!B83,summaryref2!R83,IF(AK194=summaryref2!B97,summaryref2!R97,IF(AK194=summaryref2!B111,summaryref2!R111,IF(AK194=summaryref2!B125,summaryref2!R125,IF(AK194=summaryref2!B139,summaryref2!R139,"")))))))))))</f>
        <v>#REF!</v>
      </c>
      <c r="BC194" s="1110" t="e">
        <f>IF('A-80 DirEntInv'!#REF!&lt;&gt;0,'A-80 DirEntInv'!#REF!,IF(AK194=summaryref2!B13,summaryref2!S13,IF(Summary!AK194=summaryref2!B27,summaryref2!S27,IF(AK194=summaryref2!B41,summaryref2!S41,IF(AK194=summaryref2!B55,summaryref2!S55,IF(AK194=summaryref2!B69,summaryref2!S69,IF(AK194=summaryref2!B83,summaryref2!S83,IF(AK194=summaryref2!B97,summaryref2!S97,IF(AK194=summaryref2!B111,summaryref2!S111,IF(AK194=summaryref2!B125,summaryref2!S125,IF(AK194=summaryref2!B139,summaryref2!S139,"")))))))))))</f>
        <v>#REF!</v>
      </c>
      <c r="BD194" s="1111" t="e">
        <f>IF('A-80 DirEntInv'!#REF!&lt;&gt;"",'A-80 DirEntInv'!#REF!,IF(AK194=summaryref2!B13,summaryref2!T13,IF(Summary!AK194=summaryref2!B27,summaryref2!T27,IF(AK194=summaryref2!B41,summaryref2!T41,IF(AK194=summaryref2!B55,summaryref2!T55,IF(AK194=summaryref2!B69,summaryref2!T69,IF(AK194=summaryref2!B83,summaryref2!T83,IF(AK194=summaryref2!B97,summaryref2!T97,IF(AK194=summaryref2!B111,summaryref2!T111,IF(AK194=summaryref2!B125,summaryref2!T125,IF(AK194=summaryref2!B139,summaryref2!T139,"")))))))))))</f>
        <v>#REF!</v>
      </c>
      <c r="BE194" s="1184" t="e">
        <f>IF('A-80 DirEntInv'!#REF!&lt;&gt;"",'A-80 DirEntInv'!#REF!,IF(AK194=summaryref2!B13,summaryref2!U13,IF(Summary!AK194=summaryref2!B27,summaryref2!U27,IF(AK194=summaryref2!B41,summaryref2!U41,IF(AK194=summaryref2!B55,summaryref2!U55,IF(AK194=summaryref2!B69,summaryref2!U69,IF(AK194=summaryref2!B83,summaryref2!U83,IF(AK194=summaryref2!B97,summaryref2!U97,IF(AK194=summaryref2!B111,summaryref2!U111,IF(AK194=summaryref2!B125,summaryref2!U125,IF(AK194=summaryref2!B139,summaryref2!U139,"")))))))))))</f>
        <v>#REF!</v>
      </c>
      <c r="BF194" s="1432"/>
      <c r="BG194" s="1432"/>
      <c r="BU194" s="962"/>
      <c r="CD194" s="589"/>
      <c r="CE194" s="590"/>
      <c r="CF194" s="590"/>
      <c r="CG194" s="590"/>
      <c r="CH194" s="590"/>
      <c r="CI194" s="590"/>
      <c r="CJ194" s="589"/>
      <c r="CK194" s="589"/>
      <c r="CL194" s="589"/>
      <c r="CM194" s="587"/>
      <c r="CN194" s="587"/>
      <c r="CO194" s="589"/>
      <c r="CP194" s="587"/>
      <c r="CQ194" s="592"/>
      <c r="CR194" s="589"/>
      <c r="CS194" s="592"/>
      <c r="CT194" s="589"/>
      <c r="CU194" s="589"/>
      <c r="CV194" s="589"/>
      <c r="CW194" s="587"/>
      <c r="CX194" s="590"/>
      <c r="CY194" s="590"/>
      <c r="CZ194" s="590"/>
      <c r="DA194" s="1054"/>
      <c r="DB194" s="1054"/>
      <c r="DC194" s="587"/>
      <c r="DD194" s="587"/>
    </row>
    <row r="195" spans="1:108" s="588" customFormat="1" x14ac:dyDescent="0.2">
      <c r="A195" s="589">
        <f t="shared" si="2"/>
        <v>185</v>
      </c>
      <c r="B195" s="587"/>
      <c r="C195" s="587"/>
      <c r="D195" s="587"/>
      <c r="J195" s="589"/>
      <c r="K195" s="590"/>
      <c r="L195" s="591"/>
      <c r="M195" s="592"/>
      <c r="N195" s="589"/>
      <c r="O195" s="587"/>
      <c r="R195" s="1052"/>
      <c r="S195" s="1052"/>
      <c r="T195" s="1052"/>
      <c r="U195" s="1052"/>
      <c r="V195" s="1052"/>
      <c r="W195" s="1053"/>
      <c r="X195" s="1053"/>
      <c r="Y195" s="1053"/>
      <c r="Z195" s="1052"/>
      <c r="AA195" s="1052"/>
      <c r="AB195" s="962"/>
      <c r="AC195" s="590"/>
      <c r="AD195" s="590"/>
      <c r="AE195" s="591"/>
      <c r="AF195" s="592"/>
      <c r="AG195" s="1053"/>
      <c r="AH195" s="587"/>
      <c r="AK195" s="1041" t="str">
        <f>Codes!$C$169</f>
        <v>SR - Streetcar Rail (DO)</v>
      </c>
      <c r="AL195" s="1042" t="str">
        <f>Valid!$B$73</f>
        <v>Elevated/Retained Fill</v>
      </c>
      <c r="AM195" s="1108" t="e">
        <f>IF('A-80 DirEntInv'!#REF!&lt;&gt;"",'A-80 DirEntInv'!#REF!,IF(AK195=summaryref2!B14,summaryref2!D14,IF(Summary!AK195=summaryref2!B28,summaryref2!D28,IF(AK195=summaryref2!B42,summaryref2!D42,IF(AK195=summaryref2!B56,summaryref2!D56,IF(AK195=summaryref2!B70,summaryref2!D70,IF(AK195=summaryref2!B84,summaryref2!D84,IF(AK195=summaryref2!B98,summaryref2!D98,IF(AK195=summaryref2!B112,summaryref2!D112,IF(AK195=summaryref2!B126,summaryref2!D126,IF(AK195=summaryref2!B140,summaryref2!D140,"")))))))))))</f>
        <v>#REF!</v>
      </c>
      <c r="AN195" s="1109" t="e">
        <f ca="1">IF('A-80 DirEntInv'!#REF!&lt;&gt;"",'A-80 DirEntInv'!#REF!,IF(INDIRECT(ADDRESS(SumRef!CG435,SumRef!CG$16,,,SumRef!$C$7))="","",INDIRECT(ADDRESS(SumRef!CG435,SumRef!CG$16,,,SumRef!$C$7))))</f>
        <v>#REF!</v>
      </c>
      <c r="AO195" s="1108" t="e">
        <f>IF('A-80 DirEntInv'!#REF!&lt;&gt;"",'A-80 DirEntInv'!#REF!,IF(AK195=summaryref2!B14,summaryref2!F14,IF(Summary!AK195=summaryref2!B28,summaryref2!F28,IF(AK195=summaryref2!B42,summaryref2!F42,IF(AK195=summaryref2!B56,summaryref2!F56,IF(AK195=summaryref2!B70,summaryref2!F70,IF(AK195=summaryref2!B84,summaryref2!F84,IF(AK195=summaryref2!B98,summaryref2!F98,IF(AK195=summaryref2!B112,summaryref2!F112,IF(AK195=summaryref2!B126,summaryref2!F126,IF(AK195=summaryref2!B140,summaryref2!F140,"")))))))))))</f>
        <v>#REF!</v>
      </c>
      <c r="AP195" s="1109" t="e">
        <f ca="1">IF('A-80 DirEntInv'!#REF!&lt;&gt;"",'A-80 DirEntInv'!#REF!,IF(INDIRECT(ADDRESS(SumRef!#REF!,SumRef!#REF!,,,SumRef!$C$7))="","",INDIRECT(ADDRESS(SumRef!#REF!,SumRef!#REF!,,,SumRef!$C$7))))</f>
        <v>#REF!</v>
      </c>
      <c r="AQ195" s="1147" t="e">
        <f>IF('A-80 DirEntInv'!#REF!&lt;&gt;"",'A-80 DirEntInv'!#REF!,IF(AK195=summaryref2!B14,summaryref2!G14,IF(Summary!AK195=summaryref2!B28,summaryref2!G28,IF(AK195=summaryref2!B42,summaryref2!G42,IF(AK195=summaryref2!B56,summaryref2!G56,IF(AK195=summaryref2!B70,summaryref2!G70,IF(AK195=summaryref2!B84,summaryref2!G84,IF(AK195=summaryref2!B98,summaryref2!G98,IF(AK195=summaryref2!B112,summaryref2!G112,IF(AK195=summaryref2!B126,summaryref2!G126,IF(AK195=summaryref2!B140,summaryref2!G140,"")))))))))))</f>
        <v>#REF!</v>
      </c>
      <c r="AR195" s="1147" t="e">
        <f>IF('A-80 DirEntInv'!#REF!&lt;&gt;"",'A-80 DirEntInv'!#REF!,IF(AK195=summaryref2!B14,summaryref2!H14,IF(Summary!AK195=summaryref2!B28,summaryref2!H28,IF(AK195=summaryref2!B42,summaryref2!H42,IF(AK195=summaryref2!B56,summaryref2!H56,IF(AK195=summaryref2!B70,summaryref2!H70,IF(AK195=summaryref2!B84,summaryref2!H84,IF(AK195=summaryref2!B98,summaryref2!H98,IF(AK195=summaryref2!B112,summaryref2!H112,IF(AK195=summaryref2!B126,summaryref2!H126,IF(AK195=summaryref2!B140,summaryref2!H140,"")))))))))))</f>
        <v>#REF!</v>
      </c>
      <c r="AS195" s="1110" t="e">
        <f>IF('A-80 DirEntInv'!#REF!&lt;&gt;"",'A-80 DirEntInv'!#REF!,IF(AK195=summaryref2!B14,summaryref2!I14,IF(Summary!AK195=summaryref2!B28,summaryref2!I28,IF(AK195=summaryref2!B42,summaryref2!I42,IF(AK195=summaryref2!B56,summaryref2!I56,IF(AK195=summaryref2!B70,summaryref2!I70,IF(AK195=summaryref2!B84,summaryref2!I84,IF(AK195=summaryref2!B98,summaryref2!I98,IF(AK195=summaryref2!B112,summaryref2!I112,IF(AK195=summaryref2!B126,summaryref2!I126,IF(AK195=summaryref2!B140,summaryref2!I140,"")))))))))))</f>
        <v>#REF!</v>
      </c>
      <c r="AT195" s="1110" t="e">
        <f>IF('A-80 DirEntInv'!#REF!&lt;&gt;"",'A-80 DirEntInv'!#REF!,IF(AK195=summaryref2!B14,summaryref2!J14,IF(Summary!AK195=summaryref2!B28,summaryref2!J28,IF(AK195=summaryref2!B42,summaryref2!J42,IF(AK195=summaryref2!B56,summaryref2!J56,IF(AK195=summaryref2!B70,summaryref2!J70,IF(AK195=summaryref2!B84,summaryref2!J84,IF(AK195=summaryref2!B98,summaryref2!J98,IF(AK195=summaryref2!B112,summaryref2!J112,IF(AK195=summaryref2!B126,summaryref2!J126,IF(AK195=summaryref2!B140,summaryref2!J140,"")))))))))))</f>
        <v>#REF!</v>
      </c>
      <c r="AU195" s="1110" t="e">
        <f>IF('A-80 DirEntInv'!#REF!&lt;&gt;"",'A-80 DirEntInv'!#REF!,IF(AK195=summaryref2!B14,summaryref2!K14,IF(Summary!AK195=summaryref2!B28,summaryref2!K28,IF(AK195=summaryref2!B42,summaryref2!K42,IF(AK195=summaryref2!B56,summaryref2!K56,IF(AK195=summaryref2!B70,summaryref2!K70,IF(AK195=summaryref2!B84,summaryref2!K84,IF(AK195=summaryref2!B98,summaryref2!K98,IF(AK195=summaryref2!B112,summaryref2!K112,IF(AK195=summaryref2!B126,summaryref2!K126,IF(AK195=summaryref2!B140,summaryref2!K140,"")))))))))))</f>
        <v>#REF!</v>
      </c>
      <c r="AV195" s="1110" t="e">
        <f>IF('A-80 DirEntInv'!#REF!&lt;&gt;"",'A-80 DirEntInv'!#REF!,IF(AK195=summaryref2!B14,summaryref2!L14,IF(Summary!AK195=summaryref2!B28,summaryref2!L28,IF(AK195=summaryref2!B42,summaryref2!L42,IF(AK195=summaryref2!B56,summaryref2!L56,IF(AK195=summaryref2!B70,summaryref2!L70,IF(AK195=summaryref2!B84,summaryref2!L84,IF(AK195=summaryref2!B98,summaryref2!L98,IF(AK195=summaryref2!B112,summaryref2!L112,IF(AK195=summaryref2!B126,summaryref2!L126,IF(AK195=summaryref2!B140,summaryref2!L140,"")))))))))))</f>
        <v>#REF!</v>
      </c>
      <c r="AW195" s="1110" t="e">
        <f>IF('A-80 DirEntInv'!#REF!&lt;&gt;"",'A-80 DirEntInv'!#REF!,IF(AK195=summaryref2!B14,summaryref2!M14,IF(Summary!AK195=summaryref2!B28,summaryref2!M28,IF(AK195=summaryref2!B42,summaryref2!M42,IF(AK195=summaryref2!B56,summaryref2!M56,IF(AK195=summaryref2!B70,summaryref2!M70,IF(AK195=summaryref2!B84,summaryref2!M84,IF(AK195=summaryref2!B98,summaryref2!M98,IF(AK195=summaryref2!B112,summaryref2!M112,IF(AK195=summaryref2!B126,summaryref2!M126,IF(AK195=summaryref2!B140,summaryref2!M140,"")))))))))))</f>
        <v>#REF!</v>
      </c>
      <c r="AX195" s="1110" t="e">
        <f>IF('A-80 DirEntInv'!#REF!&lt;&gt;"",'A-80 DirEntInv'!#REF!,IF(AK195=summaryref2!B14,summaryref2!N14,IF(Summary!AK195=summaryref2!B28,summaryref2!N28,IF(AK195=summaryref2!B42,summaryref2!N42,IF(AK195=summaryref2!B56,summaryref2!N56,IF(AK195=summaryref2!B70,summaryref2!N70,IF(AK195=summaryref2!B84,summaryref2!N84,IF(AK195=summaryref2!B98,summaryref2!N98,IF(AK195=summaryref2!B112,summaryref2!N112,IF(AK195=summaryref2!B126,summaryref2!N126,IF(AK195=summaryref2!B140,summaryref2!N140,"")))))))))))</f>
        <v>#REF!</v>
      </c>
      <c r="AY195" s="1110" t="e">
        <f>IF('A-80 DirEntInv'!#REF!&lt;&gt;"",'A-80 DirEntInv'!#REF!,IF(AK195=summaryref2!B14,summaryref2!O14,IF(Summary!AK195=summaryref2!B28,summaryref2!O28,IF(AK195=summaryref2!B42,summaryref2!O42,IF(AK195=summaryref2!B56,summaryref2!O56,IF(AK195=summaryref2!B70,summaryref2!O70,IF(AK195=summaryref2!B84,summaryref2!O84,IF(AK195=summaryref2!B98,summaryref2!O98,IF(AK195=summaryref2!B112,summaryref2!O112,IF(AK195=summaryref2!B126,summaryref2!O126,IF(AK195=summaryref2!B140,summaryref2!O140,"")))))))))))</f>
        <v>#REF!</v>
      </c>
      <c r="AZ195" s="1110" t="e">
        <f>IF('A-80 DirEntInv'!#REF!&lt;&gt;"",'A-80 DirEntInv'!#REF!,IF(AK195=summaryref2!B14,summaryref2!P14,IF(Summary!AK195=summaryref2!B28,summaryref2!P28,IF(AK195=summaryref2!B42,summaryref2!P42,IF(AK195=summaryref2!B56,summaryref2!P56,IF(AK195=summaryref2!B70,summaryref2!P70,IF(AK195=summaryref2!B84,summaryref2!P84,IF(AK195=summaryref2!B98,summaryref2!P98,IF(AK195=summaryref2!B112,summaryref2!P112,IF(AK195=summaryref2!B126,summaryref2!P126,IF(AK195=summaryref2!B140,summaryref2!P140,"")))))))))))</f>
        <v>#REF!</v>
      </c>
      <c r="BA195" s="1110" t="e">
        <f>IF('A-80 DirEntInv'!#REF!&lt;&gt;"",'A-80 DirEntInv'!#REF!,IF(AK195=summaryref2!B14,summaryref2!Q14,IF(Summary!AK195=summaryref2!B28,summaryref2!Q28,IF(AK195=summaryref2!B42,summaryref2!Q42,IF(AK195=summaryref2!B56,summaryref2!Q56,IF(AK195=summaryref2!B70,summaryref2!Q70,IF(AK195=summaryref2!B84,summaryref2!Q84,IF(AK195=summaryref2!B98,summaryref2!Q98,IF(AK195=summaryref2!B112,summaryref2!Q112,IF(AK195=summaryref2!B126,summaryref2!Q126,IF(AK195=summaryref2!B140,summaryref2!Q140,"")))))))))))</f>
        <v>#REF!</v>
      </c>
      <c r="BB195" s="1110" t="e">
        <f>IF('A-80 DirEntInv'!#REF!&lt;&gt;"",'A-80 DirEntInv'!#REF!,IF(AK195=summaryref2!B14,summaryref2!R14,IF(Summary!AK195=summaryref2!B28,summaryref2!R28,IF(AK195=summaryref2!B42,summaryref2!R42,IF(AK195=summaryref2!B56,summaryref2!R56,IF(AK195=summaryref2!B70,summaryref2!R70,IF(AK195=summaryref2!B84,summaryref2!R84,IF(AK195=summaryref2!B98,summaryref2!R98,IF(AK195=summaryref2!B112,summaryref2!R112,IF(AK195=summaryref2!B126,summaryref2!R126,IF(AK195=summaryref2!B140,summaryref2!R140,"")))))))))))</f>
        <v>#REF!</v>
      </c>
      <c r="BC195" s="1110" t="e">
        <f>IF('A-80 DirEntInv'!#REF!&lt;&gt;0,'A-80 DirEntInv'!#REF!,IF(AK195=summaryref2!B14,summaryref2!S14,IF(Summary!AK195=summaryref2!B28,summaryref2!S28,IF(AK195=summaryref2!B42,summaryref2!S42,IF(AK195=summaryref2!B56,summaryref2!S56,IF(AK195=summaryref2!B70,summaryref2!S70,IF(AK195=summaryref2!B84,summaryref2!S84,IF(AK195=summaryref2!B98,summaryref2!S98,IF(AK195=summaryref2!B112,summaryref2!S112,IF(AK195=summaryref2!B126,summaryref2!S126,IF(AK195=summaryref2!B140,summaryref2!S140,"")))))))))))</f>
        <v>#REF!</v>
      </c>
      <c r="BD195" s="1111" t="e">
        <f>IF('A-80 DirEntInv'!#REF!&lt;&gt;"",'A-80 DirEntInv'!#REF!,IF(AK195=summaryref2!B14,summaryref2!T14,IF(Summary!AK195=summaryref2!B28,summaryref2!T28,IF(AK195=summaryref2!B42,summaryref2!T42,IF(AK195=summaryref2!B56,summaryref2!T56,IF(AK195=summaryref2!B70,summaryref2!T70,IF(AK195=summaryref2!B84,summaryref2!T84,IF(AK195=summaryref2!B98,summaryref2!T98,IF(AK195=summaryref2!B112,summaryref2!T112,IF(AK195=summaryref2!B126,summaryref2!T126,IF(AK195=summaryref2!B140,summaryref2!T140,"")))))))))))</f>
        <v>#REF!</v>
      </c>
      <c r="BE195" s="1184" t="e">
        <f>IF('A-80 DirEntInv'!#REF!&lt;&gt;"",'A-80 DirEntInv'!#REF!,IF(AK195=summaryref2!B14,summaryref2!U14,IF(Summary!AK195=summaryref2!B28,summaryref2!U28,IF(AK195=summaryref2!B42,summaryref2!U42,IF(AK195=summaryref2!B56,summaryref2!U56,IF(AK195=summaryref2!B70,summaryref2!U70,IF(AK195=summaryref2!B84,summaryref2!U84,IF(AK195=summaryref2!B98,summaryref2!U98,IF(AK195=summaryref2!B112,summaryref2!U112,IF(AK195=summaryref2!B126,summaryref2!U126,IF(AK195=summaryref2!B140,summaryref2!U140,"")))))))))))</f>
        <v>#REF!</v>
      </c>
      <c r="BF195" s="1432"/>
      <c r="BG195" s="1432"/>
      <c r="BU195" s="962"/>
      <c r="CD195" s="589"/>
      <c r="CE195" s="590"/>
      <c r="CF195" s="590"/>
      <c r="CG195" s="590"/>
      <c r="CH195" s="590"/>
      <c r="CI195" s="590"/>
      <c r="CJ195" s="589"/>
      <c r="CK195" s="589"/>
      <c r="CL195" s="589"/>
      <c r="CM195" s="587"/>
      <c r="CN195" s="587"/>
      <c r="CO195" s="589"/>
      <c r="CP195" s="587"/>
      <c r="CQ195" s="592"/>
      <c r="CR195" s="589"/>
      <c r="CS195" s="592"/>
      <c r="CT195" s="589"/>
      <c r="CU195" s="589"/>
      <c r="CV195" s="589"/>
      <c r="CW195" s="587"/>
      <c r="CX195" s="590"/>
      <c r="CY195" s="590"/>
      <c r="CZ195" s="590"/>
      <c r="DA195" s="1054"/>
      <c r="DB195" s="1054"/>
      <c r="DC195" s="587"/>
      <c r="DD195" s="587"/>
    </row>
    <row r="196" spans="1:108" s="588" customFormat="1" x14ac:dyDescent="0.2">
      <c r="A196" s="589">
        <f t="shared" si="2"/>
        <v>186</v>
      </c>
      <c r="B196" s="587"/>
      <c r="C196" s="587"/>
      <c r="D196" s="587"/>
      <c r="J196" s="589"/>
      <c r="K196" s="590"/>
      <c r="L196" s="591"/>
      <c r="M196" s="592"/>
      <c r="N196" s="589"/>
      <c r="O196" s="587"/>
      <c r="R196" s="1052"/>
      <c r="S196" s="1052"/>
      <c r="T196" s="1052"/>
      <c r="U196" s="1052"/>
      <c r="V196" s="1052"/>
      <c r="W196" s="1053"/>
      <c r="X196" s="1053"/>
      <c r="Y196" s="1053"/>
      <c r="Z196" s="1052"/>
      <c r="AA196" s="1052"/>
      <c r="AB196" s="962"/>
      <c r="AC196" s="590"/>
      <c r="AD196" s="590"/>
      <c r="AE196" s="591"/>
      <c r="AF196" s="592"/>
      <c r="AG196" s="1053"/>
      <c r="AH196" s="587"/>
      <c r="AK196" s="1041" t="str">
        <f>Codes!$C$169</f>
        <v>SR - Streetcar Rail (DO)</v>
      </c>
      <c r="AL196" s="1042" t="str">
        <f>Valid!$B$74</f>
        <v>Elevated/Concrete</v>
      </c>
      <c r="AM196" s="1108" t="e">
        <f>IF('A-80 DirEntInv'!#REF!&lt;&gt;"",'A-80 DirEntInv'!#REF!,IF(AK196=summaryref2!B15,summaryref2!D15,IF(Summary!AK196=summaryref2!B29,summaryref2!D29,IF(AK196=summaryref2!B43,summaryref2!D43,IF(AK196=summaryref2!B57,summaryref2!D57,IF(AK196=summaryref2!B71,summaryref2!D71,IF(AK196=summaryref2!B85,summaryref2!D85,IF(AK196=summaryref2!B99,summaryref2!D99,IF(AK196=summaryref2!B113,summaryref2!D113,IF(AK196=summaryref2!B127,summaryref2!D127,IF(AK196=summaryref2!B141,summaryref2!D141,"")))))))))))</f>
        <v>#REF!</v>
      </c>
      <c r="AN196" s="1109" t="e">
        <f ca="1">IF('A-80 DirEntInv'!#REF!&lt;&gt;"",'A-80 DirEntInv'!#REF!,IF(INDIRECT(ADDRESS(SumRef!CG436,SumRef!CG$16,,,SumRef!$C$7))="","",INDIRECT(ADDRESS(SumRef!CG436,SumRef!CG$16,,,SumRef!$C$7))))</f>
        <v>#REF!</v>
      </c>
      <c r="AO196" s="1108" t="e">
        <f>IF('A-80 DirEntInv'!#REF!&lt;&gt;"",'A-80 DirEntInv'!#REF!,IF(AK196=summaryref2!B15,summaryref2!F15,IF(Summary!AK196=summaryref2!B29,summaryref2!F29,IF(AK196=summaryref2!B43,summaryref2!F43,IF(AK196=summaryref2!B57,summaryref2!F57,IF(AK196=summaryref2!B71,summaryref2!F71,IF(AK196=summaryref2!B85,summaryref2!F85,IF(AK196=summaryref2!B99,summaryref2!F99,IF(AK196=summaryref2!B113,summaryref2!F113,IF(AK196=summaryref2!B127,summaryref2!F127,IF(AK196=summaryref2!B141,summaryref2!F141,"")))))))))))</f>
        <v>#REF!</v>
      </c>
      <c r="AP196" s="1109" t="e">
        <f ca="1">IF('A-80 DirEntInv'!#REF!&lt;&gt;"",'A-80 DirEntInv'!#REF!,IF(INDIRECT(ADDRESS(SumRef!#REF!,SumRef!#REF!,,,SumRef!$C$7))="","",INDIRECT(ADDRESS(SumRef!#REF!,SumRef!#REF!,,,SumRef!$C$7))))</f>
        <v>#REF!</v>
      </c>
      <c r="AQ196" s="1147" t="e">
        <f>IF('A-80 DirEntInv'!#REF!&lt;&gt;"",'A-80 DirEntInv'!#REF!,IF(AK196=summaryref2!B15,summaryref2!G15,IF(Summary!AK196=summaryref2!B29,summaryref2!G29,IF(AK196=summaryref2!B43,summaryref2!G43,IF(AK196=summaryref2!B57,summaryref2!G57,IF(AK196=summaryref2!B71,summaryref2!G71,IF(AK196=summaryref2!B85,summaryref2!G85,IF(AK196=summaryref2!B99,summaryref2!G99,IF(AK196=summaryref2!B113,summaryref2!G113,IF(AK196=summaryref2!B127,summaryref2!G127,IF(AK196=summaryref2!B141,summaryref2!G141,"")))))))))))</f>
        <v>#REF!</v>
      </c>
      <c r="AR196" s="1147" t="e">
        <f>IF('A-80 DirEntInv'!#REF!&lt;&gt;"",'A-80 DirEntInv'!#REF!,IF(AK196=summaryref2!B15,summaryref2!H15,IF(Summary!AK196=summaryref2!B29,summaryref2!H29,IF(AK196=summaryref2!B43,summaryref2!H43,IF(AK196=summaryref2!B57,summaryref2!H57,IF(AK196=summaryref2!B71,summaryref2!H71,IF(AK196=summaryref2!B85,summaryref2!H85,IF(AK196=summaryref2!B99,summaryref2!H99,IF(AK196=summaryref2!B113,summaryref2!H113,IF(AK196=summaryref2!B127,summaryref2!H127,IF(AK196=summaryref2!B141,summaryref2!H141,"")))))))))))</f>
        <v>#REF!</v>
      </c>
      <c r="AS196" s="1110" t="e">
        <f>IF('A-80 DirEntInv'!#REF!&lt;&gt;"",'A-80 DirEntInv'!#REF!,IF(AK196=summaryref2!B15,summaryref2!I15,IF(Summary!AK196=summaryref2!B29,summaryref2!I29,IF(AK196=summaryref2!B43,summaryref2!I43,IF(AK196=summaryref2!B57,summaryref2!I57,IF(AK196=summaryref2!B71,summaryref2!I71,IF(AK196=summaryref2!B85,summaryref2!I85,IF(AK196=summaryref2!B99,summaryref2!I99,IF(AK196=summaryref2!B113,summaryref2!I113,IF(AK196=summaryref2!B127,summaryref2!I127,IF(AK196=summaryref2!B141,summaryref2!I141,"")))))))))))</f>
        <v>#REF!</v>
      </c>
      <c r="AT196" s="1110" t="e">
        <f>IF('A-80 DirEntInv'!#REF!&lt;&gt;"",'A-80 DirEntInv'!#REF!,IF(AK196=summaryref2!B15,summaryref2!J15,IF(Summary!AK196=summaryref2!B29,summaryref2!J29,IF(AK196=summaryref2!B43,summaryref2!J43,IF(AK196=summaryref2!B57,summaryref2!J57,IF(AK196=summaryref2!B71,summaryref2!J71,IF(AK196=summaryref2!B85,summaryref2!J85,IF(AK196=summaryref2!B99,summaryref2!J99,IF(AK196=summaryref2!B113,summaryref2!J113,IF(AK196=summaryref2!B127,summaryref2!J127,IF(AK196=summaryref2!B141,summaryref2!J141,"")))))))))))</f>
        <v>#REF!</v>
      </c>
      <c r="AU196" s="1110" t="e">
        <f>IF('A-80 DirEntInv'!#REF!&lt;&gt;"",'A-80 DirEntInv'!#REF!,IF(AK196=summaryref2!B15,summaryref2!K15,IF(Summary!AK196=summaryref2!B29,summaryref2!K29,IF(AK196=summaryref2!B43,summaryref2!K43,IF(AK196=summaryref2!B57,summaryref2!K57,IF(AK196=summaryref2!B71,summaryref2!K71,IF(AK196=summaryref2!B85,summaryref2!K85,IF(AK196=summaryref2!B99,summaryref2!K99,IF(AK196=summaryref2!B113,summaryref2!K113,IF(AK196=summaryref2!B127,summaryref2!K127,IF(AK196=summaryref2!B141,summaryref2!K141,"")))))))))))</f>
        <v>#REF!</v>
      </c>
      <c r="AV196" s="1110" t="e">
        <f>IF('A-80 DirEntInv'!#REF!&lt;&gt;"",'A-80 DirEntInv'!#REF!,IF(AK196=summaryref2!B15,summaryref2!L15,IF(Summary!AK196=summaryref2!B29,summaryref2!L29,IF(AK196=summaryref2!B43,summaryref2!L43,IF(AK196=summaryref2!B57,summaryref2!L57,IF(AK196=summaryref2!B71,summaryref2!L71,IF(AK196=summaryref2!B85,summaryref2!L85,IF(AK196=summaryref2!B99,summaryref2!L99,IF(AK196=summaryref2!B113,summaryref2!L113,IF(AK196=summaryref2!B127,summaryref2!L127,IF(AK196=summaryref2!B141,summaryref2!L141,"")))))))))))</f>
        <v>#REF!</v>
      </c>
      <c r="AW196" s="1110" t="e">
        <f>IF('A-80 DirEntInv'!#REF!&lt;&gt;"",'A-80 DirEntInv'!#REF!,IF(AK196=summaryref2!B15,summaryref2!M15,IF(Summary!AK196=summaryref2!B29,summaryref2!M29,IF(AK196=summaryref2!B43,summaryref2!M43,IF(AK196=summaryref2!B57,summaryref2!M57,IF(AK196=summaryref2!B71,summaryref2!M71,IF(AK196=summaryref2!B85,summaryref2!M85,IF(AK196=summaryref2!B99,summaryref2!M99,IF(AK196=summaryref2!B113,summaryref2!M113,IF(AK196=summaryref2!B127,summaryref2!M127,IF(AK196=summaryref2!B141,summaryref2!M141,"")))))))))))</f>
        <v>#REF!</v>
      </c>
      <c r="AX196" s="1110" t="e">
        <f>IF('A-80 DirEntInv'!#REF!&lt;&gt;"",'A-80 DirEntInv'!#REF!,IF(AK196=summaryref2!B15,summaryref2!N15,IF(Summary!AK196=summaryref2!B29,summaryref2!N29,IF(AK196=summaryref2!B43,summaryref2!N43,IF(AK196=summaryref2!B57,summaryref2!N57,IF(AK196=summaryref2!B71,summaryref2!N71,IF(AK196=summaryref2!B85,summaryref2!N85,IF(AK196=summaryref2!B99,summaryref2!N99,IF(AK196=summaryref2!B113,summaryref2!N113,IF(AK196=summaryref2!B127,summaryref2!N127,IF(AK196=summaryref2!B141,summaryref2!N141,"")))))))))))</f>
        <v>#REF!</v>
      </c>
      <c r="AY196" s="1110" t="e">
        <f>IF('A-80 DirEntInv'!#REF!&lt;&gt;"",'A-80 DirEntInv'!#REF!,IF(AK196=summaryref2!B15,summaryref2!O15,IF(Summary!AK196=summaryref2!B29,summaryref2!O29,IF(AK196=summaryref2!B43,summaryref2!O43,IF(AK196=summaryref2!B57,summaryref2!O57,IF(AK196=summaryref2!B71,summaryref2!O71,IF(AK196=summaryref2!B85,summaryref2!O85,IF(AK196=summaryref2!B99,summaryref2!O99,IF(AK196=summaryref2!B113,summaryref2!O113,IF(AK196=summaryref2!B127,summaryref2!O127,IF(AK196=summaryref2!B141,summaryref2!O141,"")))))))))))</f>
        <v>#REF!</v>
      </c>
      <c r="AZ196" s="1110" t="e">
        <f>IF('A-80 DirEntInv'!#REF!&lt;&gt;"",'A-80 DirEntInv'!#REF!,IF(AK196=summaryref2!B15,summaryref2!P15,IF(Summary!AK196=summaryref2!B29,summaryref2!P29,IF(AK196=summaryref2!B43,summaryref2!P43,IF(AK196=summaryref2!B57,summaryref2!P57,IF(AK196=summaryref2!B71,summaryref2!P71,IF(AK196=summaryref2!B85,summaryref2!P85,IF(AK196=summaryref2!B99,summaryref2!P99,IF(AK196=summaryref2!B113,summaryref2!P113,IF(AK196=summaryref2!B127,summaryref2!P127,IF(AK196=summaryref2!B141,summaryref2!P141,"")))))))))))</f>
        <v>#REF!</v>
      </c>
      <c r="BA196" s="1110" t="e">
        <f>IF('A-80 DirEntInv'!#REF!&lt;&gt;"",'A-80 DirEntInv'!#REF!,IF(AK196=summaryref2!B15,summaryref2!Q15,IF(Summary!AK196=summaryref2!B29,summaryref2!Q29,IF(AK196=summaryref2!B43,summaryref2!Q43,IF(AK196=summaryref2!B57,summaryref2!Q57,IF(AK196=summaryref2!B71,summaryref2!Q71,IF(AK196=summaryref2!B85,summaryref2!Q85,IF(AK196=summaryref2!B99,summaryref2!Q99,IF(AK196=summaryref2!B113,summaryref2!Q113,IF(AK196=summaryref2!B127,summaryref2!Q127,IF(AK196=summaryref2!B141,summaryref2!Q141,"")))))))))))</f>
        <v>#REF!</v>
      </c>
      <c r="BB196" s="1110" t="e">
        <f>IF('A-80 DirEntInv'!#REF!&lt;&gt;"",'A-80 DirEntInv'!#REF!,IF(AK196=summaryref2!B15,summaryref2!R15,IF(Summary!AK196=summaryref2!B29,summaryref2!R29,IF(AK196=summaryref2!B43,summaryref2!R43,IF(AK196=summaryref2!B57,summaryref2!R57,IF(AK196=summaryref2!B71,summaryref2!R71,IF(AK196=summaryref2!B85,summaryref2!R85,IF(AK196=summaryref2!B99,summaryref2!R99,IF(AK196=summaryref2!B113,summaryref2!R113,IF(AK196=summaryref2!B127,summaryref2!R127,IF(AK196=summaryref2!B141,summaryref2!R141,"")))))))))))</f>
        <v>#REF!</v>
      </c>
      <c r="BC196" s="1110" t="e">
        <f>IF('A-80 DirEntInv'!#REF!&lt;&gt;0,'A-80 DirEntInv'!#REF!,IF(AK196=summaryref2!B15,summaryref2!S15,IF(Summary!AK196=summaryref2!B29,summaryref2!S29,IF(AK196=summaryref2!B43,summaryref2!S43,IF(AK196=summaryref2!B57,summaryref2!S57,IF(AK196=summaryref2!B71,summaryref2!S71,IF(AK196=summaryref2!B85,summaryref2!S85,IF(AK196=summaryref2!B99,summaryref2!S99,IF(AK196=summaryref2!B113,summaryref2!S113,IF(AK196=summaryref2!B127,summaryref2!S127,IF(AK196=summaryref2!B141,summaryref2!S141,"")))))))))))</f>
        <v>#REF!</v>
      </c>
      <c r="BD196" s="1111" t="e">
        <f>IF('A-80 DirEntInv'!#REF!&lt;&gt;"",'A-80 DirEntInv'!#REF!,IF(AK196=summaryref2!B15,summaryref2!T15,IF(Summary!AK196=summaryref2!B29,summaryref2!T29,IF(AK196=summaryref2!B43,summaryref2!T43,IF(AK196=summaryref2!B57,summaryref2!T57,IF(AK196=summaryref2!B71,summaryref2!T71,IF(AK196=summaryref2!B85,summaryref2!T85,IF(AK196=summaryref2!B99,summaryref2!T99,IF(AK196=summaryref2!B113,summaryref2!T113,IF(AK196=summaryref2!B127,summaryref2!T127,IF(AK196=summaryref2!B141,summaryref2!T141,"")))))))))))</f>
        <v>#REF!</v>
      </c>
      <c r="BE196" s="1184" t="e">
        <f>IF('A-80 DirEntInv'!#REF!&lt;&gt;"",'A-80 DirEntInv'!#REF!,IF(AK196=summaryref2!B15,summaryref2!U15,IF(Summary!AK196=summaryref2!B29,summaryref2!U29,IF(AK196=summaryref2!B43,summaryref2!U43,IF(AK196=summaryref2!B57,summaryref2!U57,IF(AK196=summaryref2!B71,summaryref2!U71,IF(AK196=summaryref2!B85,summaryref2!U85,IF(AK196=summaryref2!B99,summaryref2!U99,IF(AK196=summaryref2!B113,summaryref2!U113,IF(AK196=summaryref2!B127,summaryref2!U127,IF(AK196=summaryref2!B141,summaryref2!U141,"")))))))))))</f>
        <v>#REF!</v>
      </c>
      <c r="BF196" s="1432"/>
      <c r="BG196" s="1432"/>
      <c r="BU196" s="962"/>
      <c r="CD196" s="589"/>
      <c r="CE196" s="590"/>
      <c r="CF196" s="590"/>
      <c r="CG196" s="590"/>
      <c r="CH196" s="590"/>
      <c r="CI196" s="590"/>
      <c r="CJ196" s="589"/>
      <c r="CK196" s="589"/>
      <c r="CL196" s="589"/>
      <c r="CM196" s="587"/>
      <c r="CN196" s="587"/>
      <c r="CO196" s="589"/>
      <c r="CP196" s="587"/>
      <c r="CQ196" s="592"/>
      <c r="CR196" s="589"/>
      <c r="CS196" s="592"/>
      <c r="CT196" s="589"/>
      <c r="CU196" s="589"/>
      <c r="CV196" s="589"/>
      <c r="CW196" s="587"/>
      <c r="CX196" s="590"/>
      <c r="CY196" s="590"/>
      <c r="CZ196" s="590"/>
      <c r="DA196" s="1054"/>
      <c r="DB196" s="1054"/>
      <c r="DC196" s="587"/>
      <c r="DD196" s="587"/>
    </row>
    <row r="197" spans="1:108" s="588" customFormat="1" x14ac:dyDescent="0.2">
      <c r="A197" s="589">
        <f t="shared" si="2"/>
        <v>187</v>
      </c>
      <c r="B197" s="587"/>
      <c r="C197" s="587"/>
      <c r="D197" s="587"/>
      <c r="J197" s="589"/>
      <c r="K197" s="590"/>
      <c r="L197" s="591"/>
      <c r="M197" s="592"/>
      <c r="N197" s="589"/>
      <c r="O197" s="587"/>
      <c r="R197" s="1052"/>
      <c r="S197" s="1052"/>
      <c r="T197" s="1052"/>
      <c r="U197" s="1052"/>
      <c r="V197" s="1052"/>
      <c r="W197" s="1053"/>
      <c r="X197" s="1053"/>
      <c r="Y197" s="1053"/>
      <c r="Z197" s="1052"/>
      <c r="AA197" s="1052"/>
      <c r="AB197" s="962"/>
      <c r="AC197" s="590"/>
      <c r="AD197" s="590"/>
      <c r="AE197" s="591"/>
      <c r="AF197" s="592"/>
      <c r="AG197" s="1053"/>
      <c r="AH197" s="587"/>
      <c r="AK197" s="1041" t="str">
        <f>Codes!$C$169</f>
        <v>SR - Streetcar Rail (DO)</v>
      </c>
      <c r="AL197" s="1042" t="str">
        <f>Valid!$B$75</f>
        <v>Elevated/Steel Viaduct or Bridge</v>
      </c>
      <c r="AM197" s="1108" t="e">
        <f>IF('A-80 DirEntInv'!#REF!&lt;&gt;"",'A-80 DirEntInv'!#REF!,IF(AK197=summaryref2!B16,summaryref2!D16,IF(Summary!AK197=summaryref2!B30,summaryref2!D30,IF(AK197=summaryref2!B44,summaryref2!D44,IF(AK197=summaryref2!B58,summaryref2!D58,IF(AK197=summaryref2!B72,summaryref2!D72,IF(AK197=summaryref2!B86,summaryref2!D86,IF(AK197=summaryref2!B100,summaryref2!D100,IF(AK197=summaryref2!B114,summaryref2!D114,IF(AK197=summaryref2!B128,summaryref2!D128,IF(AK197=summaryref2!B142,summaryref2!D142,"")))))))))))</f>
        <v>#REF!</v>
      </c>
      <c r="AN197" s="1109" t="e">
        <f ca="1">IF('A-80 DirEntInv'!#REF!&lt;&gt;"",'A-80 DirEntInv'!#REF!,IF(INDIRECT(ADDRESS(SumRef!CG437,SumRef!CG$16,,,SumRef!$C$7))="","",INDIRECT(ADDRESS(SumRef!CG437,SumRef!CG$16,,,SumRef!$C$7))))</f>
        <v>#REF!</v>
      </c>
      <c r="AO197" s="1108" t="e">
        <f>IF('A-80 DirEntInv'!#REF!&lt;&gt;"",'A-80 DirEntInv'!#REF!,IF(AK197=summaryref2!B16,summaryref2!F16,IF(Summary!AK197=summaryref2!B30,summaryref2!F30,IF(AK197=summaryref2!B44,summaryref2!F44,IF(AK197=summaryref2!B58,summaryref2!F58,IF(AK197=summaryref2!B72,summaryref2!F72,IF(AK197=summaryref2!B86,summaryref2!F86,IF(AK197=summaryref2!B100,summaryref2!F100,IF(AK197=summaryref2!B114,summaryref2!F114,IF(AK197=summaryref2!B128,summaryref2!F128,IF(AK197=summaryref2!B142,summaryref2!F142,"")))))))))))</f>
        <v>#REF!</v>
      </c>
      <c r="AP197" s="1109" t="e">
        <f ca="1">IF('A-80 DirEntInv'!#REF!&lt;&gt;"",'A-80 DirEntInv'!#REF!,IF(INDIRECT(ADDRESS(SumRef!#REF!,SumRef!#REF!,,,SumRef!$C$7))="","",INDIRECT(ADDRESS(SumRef!#REF!,SumRef!#REF!,,,SumRef!$C$7))))</f>
        <v>#REF!</v>
      </c>
      <c r="AQ197" s="1147" t="e">
        <f>IF('A-80 DirEntInv'!#REF!&lt;&gt;"",'A-80 DirEntInv'!#REF!,IF(AK197=summaryref2!B16,summaryref2!G16,IF(Summary!AK197=summaryref2!B30,summaryref2!G30,IF(AK197=summaryref2!B44,summaryref2!G44,IF(AK197=summaryref2!B58,summaryref2!G58,IF(AK197=summaryref2!B72,summaryref2!G72,IF(AK197=summaryref2!B86,summaryref2!G86,IF(AK197=summaryref2!B100,summaryref2!G100,IF(AK197=summaryref2!B114,summaryref2!G114,IF(AK197=summaryref2!B128,summaryref2!G128,IF(AK197=summaryref2!B142,summaryref2!G142,"")))))))))))</f>
        <v>#REF!</v>
      </c>
      <c r="AR197" s="1147" t="e">
        <f>IF('A-80 DirEntInv'!#REF!&lt;&gt;"",'A-80 DirEntInv'!#REF!,IF(AK197=summaryref2!B16,summaryref2!H16,IF(Summary!AK197=summaryref2!B30,summaryref2!H30,IF(AK197=summaryref2!B44,summaryref2!H44,IF(AK197=summaryref2!B58,summaryref2!H58,IF(AK197=summaryref2!B72,summaryref2!H72,IF(AK197=summaryref2!B86,summaryref2!H86,IF(AK197=summaryref2!B100,summaryref2!H100,IF(AK197=summaryref2!B114,summaryref2!H114,IF(AK197=summaryref2!B128,summaryref2!H128,IF(AK197=summaryref2!B142,summaryref2!H142,"")))))))))))</f>
        <v>#REF!</v>
      </c>
      <c r="AS197" s="1110" t="e">
        <f>IF('A-80 DirEntInv'!#REF!&lt;&gt;"",'A-80 DirEntInv'!#REF!,IF(AK197=summaryref2!B16,summaryref2!I16,IF(Summary!AK197=summaryref2!B30,summaryref2!I30,IF(AK197=summaryref2!B44,summaryref2!I44,IF(AK197=summaryref2!B58,summaryref2!I58,IF(AK197=summaryref2!B72,summaryref2!I72,IF(AK197=summaryref2!B86,summaryref2!I86,IF(AK197=summaryref2!B100,summaryref2!I100,IF(AK197=summaryref2!B114,summaryref2!I114,IF(AK197=summaryref2!B128,summaryref2!I128,IF(AK197=summaryref2!B142,summaryref2!I142,"")))))))))))</f>
        <v>#REF!</v>
      </c>
      <c r="AT197" s="1110" t="e">
        <f>IF('A-80 DirEntInv'!#REF!&lt;&gt;"",'A-80 DirEntInv'!#REF!,IF(AK197=summaryref2!B16,summaryref2!J16,IF(Summary!AK197=summaryref2!B30,summaryref2!J30,IF(AK197=summaryref2!B44,summaryref2!J44,IF(AK197=summaryref2!B58,summaryref2!J58,IF(AK197=summaryref2!B72,summaryref2!J72,IF(AK197=summaryref2!B86,summaryref2!J86,IF(AK197=summaryref2!B100,summaryref2!J100,IF(AK197=summaryref2!B114,summaryref2!J114,IF(AK197=summaryref2!B128,summaryref2!J128,IF(AK197=summaryref2!B142,summaryref2!J142,"")))))))))))</f>
        <v>#REF!</v>
      </c>
      <c r="AU197" s="1110" t="e">
        <f>IF('A-80 DirEntInv'!#REF!&lt;&gt;"",'A-80 DirEntInv'!#REF!,IF(AK197=summaryref2!B16,summaryref2!K16,IF(Summary!AK197=summaryref2!B30,summaryref2!K30,IF(AK197=summaryref2!B44,summaryref2!K44,IF(AK197=summaryref2!B58,summaryref2!K58,IF(AK197=summaryref2!B72,summaryref2!K72,IF(AK197=summaryref2!B86,summaryref2!K86,IF(AK197=summaryref2!B100,summaryref2!K100,IF(AK197=summaryref2!B114,summaryref2!K114,IF(AK197=summaryref2!B128,summaryref2!K128,IF(AK197=summaryref2!B142,summaryref2!K142,"")))))))))))</f>
        <v>#REF!</v>
      </c>
      <c r="AV197" s="1110" t="e">
        <f>IF('A-80 DirEntInv'!#REF!&lt;&gt;"",'A-80 DirEntInv'!#REF!,IF(AK197=summaryref2!B16,summaryref2!L16,IF(Summary!AK197=summaryref2!B30,summaryref2!L30,IF(AK197=summaryref2!B44,summaryref2!L44,IF(AK197=summaryref2!B58,summaryref2!L58,IF(AK197=summaryref2!B72,summaryref2!L72,IF(AK197=summaryref2!B86,summaryref2!L86,IF(AK197=summaryref2!B100,summaryref2!L100,IF(AK197=summaryref2!B114,summaryref2!L114,IF(AK197=summaryref2!B128,summaryref2!L128,IF(AK197=summaryref2!B142,summaryref2!L142,"")))))))))))</f>
        <v>#REF!</v>
      </c>
      <c r="AW197" s="1110" t="e">
        <f>IF('A-80 DirEntInv'!#REF!&lt;&gt;"",'A-80 DirEntInv'!#REF!,IF(AK197=summaryref2!B16,summaryref2!M16,IF(Summary!AK197=summaryref2!B30,summaryref2!M30,IF(AK197=summaryref2!B44,summaryref2!M44,IF(AK197=summaryref2!B58,summaryref2!M58,IF(AK197=summaryref2!B72,summaryref2!M72,IF(AK197=summaryref2!B86,summaryref2!M86,IF(AK197=summaryref2!B100,summaryref2!M100,IF(AK197=summaryref2!B114,summaryref2!M114,IF(AK197=summaryref2!B128,summaryref2!M128,IF(AK197=summaryref2!B142,summaryref2!M142,"")))))))))))</f>
        <v>#REF!</v>
      </c>
      <c r="AX197" s="1110" t="e">
        <f>IF('A-80 DirEntInv'!#REF!&lt;&gt;"",'A-80 DirEntInv'!#REF!,IF(AK197=summaryref2!B16,summaryref2!N16,IF(Summary!AK197=summaryref2!B30,summaryref2!N30,IF(AK197=summaryref2!B44,summaryref2!N44,IF(AK197=summaryref2!B58,summaryref2!N58,IF(AK197=summaryref2!B72,summaryref2!N72,IF(AK197=summaryref2!B86,summaryref2!N86,IF(AK197=summaryref2!B100,summaryref2!N100,IF(AK197=summaryref2!B114,summaryref2!N114,IF(AK197=summaryref2!B128,summaryref2!N128,IF(AK197=summaryref2!B142,summaryref2!N142,"")))))))))))</f>
        <v>#REF!</v>
      </c>
      <c r="AY197" s="1110" t="e">
        <f>IF('A-80 DirEntInv'!#REF!&lt;&gt;"",'A-80 DirEntInv'!#REF!,IF(AK197=summaryref2!B16,summaryref2!O16,IF(Summary!AK197=summaryref2!B30,summaryref2!O30,IF(AK197=summaryref2!B44,summaryref2!O44,IF(AK197=summaryref2!B58,summaryref2!O58,IF(AK197=summaryref2!B72,summaryref2!O72,IF(AK197=summaryref2!B86,summaryref2!O86,IF(AK197=summaryref2!B100,summaryref2!O100,IF(AK197=summaryref2!B114,summaryref2!O114,IF(AK197=summaryref2!B128,summaryref2!O128,IF(AK197=summaryref2!B142,summaryref2!O142,"")))))))))))</f>
        <v>#REF!</v>
      </c>
      <c r="AZ197" s="1110" t="e">
        <f>IF('A-80 DirEntInv'!#REF!&lt;&gt;"",'A-80 DirEntInv'!#REF!,IF(AK197=summaryref2!B16,summaryref2!P16,IF(Summary!AK197=summaryref2!B30,summaryref2!P30,IF(AK197=summaryref2!B44,summaryref2!P44,IF(AK197=summaryref2!B58,summaryref2!P58,IF(AK197=summaryref2!B72,summaryref2!P72,IF(AK197=summaryref2!B86,summaryref2!P86,IF(AK197=summaryref2!B100,summaryref2!P100,IF(AK197=summaryref2!B114,summaryref2!P114,IF(AK197=summaryref2!B128,summaryref2!P128,IF(AK197=summaryref2!B142,summaryref2!P142,"")))))))))))</f>
        <v>#REF!</v>
      </c>
      <c r="BA197" s="1110" t="e">
        <f>IF('A-80 DirEntInv'!#REF!&lt;&gt;"",'A-80 DirEntInv'!#REF!,IF(AK197=summaryref2!B16,summaryref2!Q16,IF(Summary!AK197=summaryref2!B30,summaryref2!Q30,IF(AK197=summaryref2!B44,summaryref2!Q44,IF(AK197=summaryref2!B58,summaryref2!Q58,IF(AK197=summaryref2!B72,summaryref2!Q72,IF(AK197=summaryref2!B86,summaryref2!Q86,IF(AK197=summaryref2!B100,summaryref2!Q100,IF(AK197=summaryref2!B114,summaryref2!Q114,IF(AK197=summaryref2!B128,summaryref2!Q128,IF(AK197=summaryref2!B142,summaryref2!Q142,"")))))))))))</f>
        <v>#REF!</v>
      </c>
      <c r="BB197" s="1110" t="e">
        <f>IF('A-80 DirEntInv'!#REF!&lt;&gt;"",'A-80 DirEntInv'!#REF!,IF(AK197=summaryref2!B16,summaryref2!R16,IF(Summary!AK197=summaryref2!B30,summaryref2!R30,IF(AK197=summaryref2!B44,summaryref2!R44,IF(AK197=summaryref2!B58,summaryref2!R58,IF(AK197=summaryref2!B72,summaryref2!R72,IF(AK197=summaryref2!B86,summaryref2!R86,IF(AK197=summaryref2!B100,summaryref2!R100,IF(AK197=summaryref2!B114,summaryref2!R114,IF(AK197=summaryref2!B128,summaryref2!R128,IF(AK197=summaryref2!B142,summaryref2!R142,"")))))))))))</f>
        <v>#REF!</v>
      </c>
      <c r="BC197" s="1110" t="e">
        <f>IF('A-80 DirEntInv'!#REF!&lt;&gt;0,'A-80 DirEntInv'!#REF!,IF(AK197=summaryref2!B16,summaryref2!S16,IF(Summary!AK197=summaryref2!B30,summaryref2!S30,IF(AK197=summaryref2!B44,summaryref2!S44,IF(AK197=summaryref2!B58,summaryref2!S58,IF(AK197=summaryref2!B72,summaryref2!S72,IF(AK197=summaryref2!B86,summaryref2!S86,IF(AK197=summaryref2!B100,summaryref2!S100,IF(AK197=summaryref2!B114,summaryref2!S114,IF(AK197=summaryref2!B128,summaryref2!S128,IF(AK197=summaryref2!B142,summaryref2!S142,"")))))))))))</f>
        <v>#REF!</v>
      </c>
      <c r="BD197" s="1111" t="e">
        <f>IF('A-80 DirEntInv'!#REF!&lt;&gt;"",'A-80 DirEntInv'!#REF!,IF(AK197=summaryref2!B16,summaryref2!T16,IF(Summary!AK197=summaryref2!B30,summaryref2!T30,IF(AK197=summaryref2!B44,summaryref2!T44,IF(AK197=summaryref2!B58,summaryref2!T58,IF(AK197=summaryref2!B72,summaryref2!T72,IF(AK197=summaryref2!B86,summaryref2!T86,IF(AK197=summaryref2!B100,summaryref2!T100,IF(AK197=summaryref2!B114,summaryref2!T114,IF(AK197=summaryref2!B128,summaryref2!T128,IF(AK197=summaryref2!B142,summaryref2!T142,"")))))))))))</f>
        <v>#REF!</v>
      </c>
      <c r="BE197" s="1184" t="e">
        <f>IF('A-80 DirEntInv'!#REF!&lt;&gt;"",'A-80 DirEntInv'!#REF!,IF(AK197=summaryref2!B16,summaryref2!U16,IF(Summary!AK197=summaryref2!B30,summaryref2!U30,IF(AK197=summaryref2!B44,summaryref2!U44,IF(AK197=summaryref2!B58,summaryref2!U58,IF(AK197=summaryref2!B72,summaryref2!U72,IF(AK197=summaryref2!B86,summaryref2!U86,IF(AK197=summaryref2!B100,summaryref2!U100,IF(AK197=summaryref2!B114,summaryref2!U114,IF(AK197=summaryref2!B128,summaryref2!U128,IF(AK197=summaryref2!B142,summaryref2!U142,"")))))))))))</f>
        <v>#REF!</v>
      </c>
      <c r="BF197" s="1432"/>
      <c r="BG197" s="1432"/>
      <c r="BU197" s="962"/>
      <c r="CD197" s="589"/>
      <c r="CE197" s="590"/>
      <c r="CF197" s="590"/>
      <c r="CG197" s="590"/>
      <c r="CH197" s="590"/>
      <c r="CI197" s="590"/>
      <c r="CJ197" s="589"/>
      <c r="CK197" s="589"/>
      <c r="CL197" s="589"/>
      <c r="CM197" s="587"/>
      <c r="CN197" s="587"/>
      <c r="CO197" s="589"/>
      <c r="CP197" s="587"/>
      <c r="CQ197" s="592"/>
      <c r="CR197" s="589"/>
      <c r="CS197" s="592"/>
      <c r="CT197" s="589"/>
      <c r="CU197" s="589"/>
      <c r="CV197" s="589"/>
      <c r="CW197" s="587"/>
      <c r="CX197" s="590"/>
      <c r="CY197" s="590"/>
      <c r="CZ197" s="590"/>
      <c r="DA197" s="1054"/>
      <c r="DB197" s="1054"/>
      <c r="DC197" s="587"/>
      <c r="DD197" s="587"/>
    </row>
    <row r="198" spans="1:108" s="588" customFormat="1" x14ac:dyDescent="0.2">
      <c r="A198" s="589">
        <f t="shared" si="2"/>
        <v>188</v>
      </c>
      <c r="B198" s="587"/>
      <c r="C198" s="587"/>
      <c r="D198" s="587"/>
      <c r="J198" s="589"/>
      <c r="K198" s="590"/>
      <c r="L198" s="591"/>
      <c r="M198" s="592"/>
      <c r="N198" s="589"/>
      <c r="O198" s="587"/>
      <c r="R198" s="1052"/>
      <c r="S198" s="1052"/>
      <c r="T198" s="1052"/>
      <c r="U198" s="1052"/>
      <c r="V198" s="1052"/>
      <c r="W198" s="1053"/>
      <c r="X198" s="1053"/>
      <c r="Y198" s="1053"/>
      <c r="Z198" s="1052"/>
      <c r="AA198" s="1052"/>
      <c r="AB198" s="962"/>
      <c r="AC198" s="590"/>
      <c r="AD198" s="590"/>
      <c r="AE198" s="591"/>
      <c r="AF198" s="592"/>
      <c r="AG198" s="1053"/>
      <c r="AH198" s="587"/>
      <c r="AK198" s="1041" t="str">
        <f>Codes!$C$169</f>
        <v>SR - Streetcar Rail (DO)</v>
      </c>
      <c r="AL198" s="1042" t="str">
        <f>Valid!$B$76</f>
        <v>Below-Grade/Retained Cut</v>
      </c>
      <c r="AM198" s="1108" t="e">
        <f>IF('A-80 DirEntInv'!#REF!&lt;&gt;"",'A-80 DirEntInv'!#REF!,IF(AK198=summaryref2!B17,summaryref2!D17,IF(Summary!AK198=summaryref2!B31,summaryref2!D31,IF(AK198=summaryref2!B45,summaryref2!D45,IF(AK198=summaryref2!B59,summaryref2!D59,IF(AK198=summaryref2!B73,summaryref2!D73,IF(AK198=summaryref2!B87,summaryref2!D87,IF(AK198=summaryref2!B101,summaryref2!D101,IF(AK198=summaryref2!B115,summaryref2!D115,IF(AK198=summaryref2!B129,summaryref2!D129,IF(AK198=summaryref2!B143,summaryref2!D143,"")))))))))))</f>
        <v>#REF!</v>
      </c>
      <c r="AN198" s="1109" t="e">
        <f ca="1">IF('A-80 DirEntInv'!#REF!&lt;&gt;"",'A-80 DirEntInv'!#REF!,IF(INDIRECT(ADDRESS(SumRef!CG439,SumRef!CG$16,,,SumRef!$C$7))="","",INDIRECT(ADDRESS(SumRef!CG439,SumRef!CG$16,,,SumRef!$C$7))))</f>
        <v>#REF!</v>
      </c>
      <c r="AO198" s="1108" t="e">
        <f>IF('A-80 DirEntInv'!#REF!&lt;&gt;"",'A-80 DirEntInv'!#REF!,IF(AK198=summaryref2!B17,summaryref2!F17,IF(Summary!AK198=summaryref2!B31,summaryref2!F31,IF(AK198=summaryref2!B45,summaryref2!F45,IF(AK198=summaryref2!B59,summaryref2!F59,IF(AK198=summaryref2!B73,summaryref2!F73,IF(AK198=summaryref2!B87,summaryref2!F87,IF(AK198=summaryref2!B101,summaryref2!F101,IF(AK198=summaryref2!B115,summaryref2!F115,IF(AK198=summaryref2!B129,summaryref2!F129,IF(AK198=summaryref2!B143,summaryref2!F143,"")))))))))))</f>
        <v>#REF!</v>
      </c>
      <c r="AP198" s="1109" t="e">
        <f ca="1">IF('A-80 DirEntInv'!#REF!&lt;&gt;"",'A-80 DirEntInv'!#REF!,IF(INDIRECT(ADDRESS(SumRef!#REF!,SumRef!#REF!,,,SumRef!$C$7))="","",INDIRECT(ADDRESS(SumRef!#REF!,SumRef!#REF!,,,SumRef!$C$7))))</f>
        <v>#REF!</v>
      </c>
      <c r="AQ198" s="1147" t="e">
        <f>IF('A-80 DirEntInv'!#REF!&lt;&gt;"",'A-80 DirEntInv'!#REF!,IF(AK198=summaryref2!B17,summaryref2!G17,IF(Summary!AK198=summaryref2!B31,summaryref2!G31,IF(AK198=summaryref2!B45,summaryref2!G45,IF(AK198=summaryref2!B59,summaryref2!G59,IF(AK198=summaryref2!B73,summaryref2!G73,IF(AK198=summaryref2!B87,summaryref2!G87,IF(AK198=summaryref2!B101,summaryref2!G101,IF(AK198=summaryref2!B115,summaryref2!G115,IF(AK198=summaryref2!B129,summaryref2!G129,IF(AK198=summaryref2!B143,summaryref2!G143,"")))))))))))</f>
        <v>#REF!</v>
      </c>
      <c r="AR198" s="1147" t="e">
        <f>IF('A-80 DirEntInv'!#REF!&lt;&gt;"",'A-80 DirEntInv'!#REF!,IF(AK198=summaryref2!B17,summaryref2!H17,IF(Summary!AK198=summaryref2!B31,summaryref2!H31,IF(AK198=summaryref2!B45,summaryref2!H45,IF(AK198=summaryref2!B59,summaryref2!H59,IF(AK198=summaryref2!B73,summaryref2!H73,IF(AK198=summaryref2!B87,summaryref2!H87,IF(AK198=summaryref2!B101,summaryref2!H101,IF(AK198=summaryref2!B115,summaryref2!H115,IF(AK198=summaryref2!B129,summaryref2!H129,IF(AK198=summaryref2!B143,summaryref2!H143,"")))))))))))</f>
        <v>#REF!</v>
      </c>
      <c r="AS198" s="1110" t="e">
        <f>IF('A-80 DirEntInv'!#REF!&lt;&gt;"",'A-80 DirEntInv'!#REF!,IF(AK198=summaryref2!B17,summaryref2!I17,IF(Summary!AK198=summaryref2!B31,summaryref2!I31,IF(AK198=summaryref2!B45,summaryref2!I45,IF(AK198=summaryref2!B59,summaryref2!I59,IF(AK198=summaryref2!B73,summaryref2!I73,IF(AK198=summaryref2!B87,summaryref2!I87,IF(AK198=summaryref2!B101,summaryref2!I101,IF(AK198=summaryref2!B115,summaryref2!I115,IF(AK198=summaryref2!B129,summaryref2!I129,IF(AK198=summaryref2!B143,summaryref2!I143,"")))))))))))</f>
        <v>#REF!</v>
      </c>
      <c r="AT198" s="1110" t="e">
        <f>IF('A-80 DirEntInv'!#REF!&lt;&gt;"",'A-80 DirEntInv'!#REF!,IF(AK198=summaryref2!B17,summaryref2!J17,IF(Summary!AK198=summaryref2!B31,summaryref2!J31,IF(AK198=summaryref2!B45,summaryref2!J45,IF(AK198=summaryref2!B59,summaryref2!J59,IF(AK198=summaryref2!B73,summaryref2!J73,IF(AK198=summaryref2!B87,summaryref2!J87,IF(AK198=summaryref2!B101,summaryref2!J101,IF(AK198=summaryref2!B115,summaryref2!J115,IF(AK198=summaryref2!B129,summaryref2!J129,IF(AK198=summaryref2!B143,summaryref2!J143,"")))))))))))</f>
        <v>#REF!</v>
      </c>
      <c r="AU198" s="1110" t="e">
        <f>IF('A-80 DirEntInv'!#REF!&lt;&gt;"",'A-80 DirEntInv'!#REF!,IF(AK198=summaryref2!B17,summaryref2!K17,IF(Summary!AK198=summaryref2!B31,summaryref2!K31,IF(AK198=summaryref2!B45,summaryref2!K45,IF(AK198=summaryref2!B59,summaryref2!K59,IF(AK198=summaryref2!B73,summaryref2!K73,IF(AK198=summaryref2!B87,summaryref2!K87,IF(AK198=summaryref2!B101,summaryref2!K101,IF(AK198=summaryref2!B115,summaryref2!K115,IF(AK198=summaryref2!B129,summaryref2!K129,IF(AK198=summaryref2!B143,summaryref2!K143,"")))))))))))</f>
        <v>#REF!</v>
      </c>
      <c r="AV198" s="1110" t="e">
        <f>IF('A-80 DirEntInv'!#REF!&lt;&gt;"",'A-80 DirEntInv'!#REF!,IF(AK198=summaryref2!B17,summaryref2!L17,IF(Summary!AK198=summaryref2!B31,summaryref2!L31,IF(AK198=summaryref2!B45,summaryref2!L45,IF(AK198=summaryref2!B59,summaryref2!L59,IF(AK198=summaryref2!B73,summaryref2!L73,IF(AK198=summaryref2!B87,summaryref2!L87,IF(AK198=summaryref2!B101,summaryref2!L101,IF(AK198=summaryref2!B115,summaryref2!L115,IF(AK198=summaryref2!B129,summaryref2!L129,IF(AK198=summaryref2!B143,summaryref2!L143,"")))))))))))</f>
        <v>#REF!</v>
      </c>
      <c r="AW198" s="1110" t="e">
        <f>IF('A-80 DirEntInv'!#REF!&lt;&gt;"",'A-80 DirEntInv'!#REF!,IF(AK198=summaryref2!B17,summaryref2!M17,IF(Summary!AK198=summaryref2!B31,summaryref2!M31,IF(AK198=summaryref2!B45,summaryref2!M45,IF(AK198=summaryref2!B59,summaryref2!M59,IF(AK198=summaryref2!B73,summaryref2!M73,IF(AK198=summaryref2!B87,summaryref2!M87,IF(AK198=summaryref2!B101,summaryref2!M101,IF(AK198=summaryref2!B115,summaryref2!M115,IF(AK198=summaryref2!B129,summaryref2!M129,IF(AK198=summaryref2!B143,summaryref2!M143,"")))))))))))</f>
        <v>#REF!</v>
      </c>
      <c r="AX198" s="1110" t="e">
        <f>IF('A-80 DirEntInv'!#REF!&lt;&gt;"",'A-80 DirEntInv'!#REF!,IF(AK198=summaryref2!B17,summaryref2!N17,IF(Summary!AK198=summaryref2!B31,summaryref2!N31,IF(AK198=summaryref2!B45,summaryref2!N45,IF(AK198=summaryref2!B59,summaryref2!N59,IF(AK198=summaryref2!B73,summaryref2!N73,IF(AK198=summaryref2!B87,summaryref2!N87,IF(AK198=summaryref2!B101,summaryref2!N101,IF(AK198=summaryref2!B115,summaryref2!N115,IF(AK198=summaryref2!B129,summaryref2!N129,IF(AK198=summaryref2!B143,summaryref2!N143,"")))))))))))</f>
        <v>#REF!</v>
      </c>
      <c r="AY198" s="1110" t="e">
        <f>IF('A-80 DirEntInv'!#REF!&lt;&gt;"",'A-80 DirEntInv'!#REF!,IF(AK198=summaryref2!B17,summaryref2!O17,IF(Summary!AK198=summaryref2!B31,summaryref2!O31,IF(AK198=summaryref2!B45,summaryref2!O45,IF(AK198=summaryref2!B59,summaryref2!O59,IF(AK198=summaryref2!B73,summaryref2!O73,IF(AK198=summaryref2!B87,summaryref2!O87,IF(AK198=summaryref2!B101,summaryref2!O101,IF(AK198=summaryref2!B115,summaryref2!O115,IF(AK198=summaryref2!B129,summaryref2!O129,IF(AK198=summaryref2!B143,summaryref2!O143,"")))))))))))</f>
        <v>#REF!</v>
      </c>
      <c r="AZ198" s="1110" t="e">
        <f>IF('A-80 DirEntInv'!#REF!&lt;&gt;"",'A-80 DirEntInv'!#REF!,IF(AK198=summaryref2!B17,summaryref2!P17,IF(Summary!AK198=summaryref2!B31,summaryref2!P31,IF(AK198=summaryref2!B45,summaryref2!P45,IF(AK198=summaryref2!B59,summaryref2!P59,IF(AK198=summaryref2!B73,summaryref2!P73,IF(AK198=summaryref2!B87,summaryref2!P87,IF(AK198=summaryref2!B101,summaryref2!P101,IF(AK198=summaryref2!B115,summaryref2!P115,IF(AK198=summaryref2!B129,summaryref2!P129,IF(AK198=summaryref2!B143,summaryref2!P143,"")))))))))))</f>
        <v>#REF!</v>
      </c>
      <c r="BA198" s="1110" t="e">
        <f>IF('A-80 DirEntInv'!#REF!&lt;&gt;"",'A-80 DirEntInv'!#REF!,IF(AK198=summaryref2!B17,summaryref2!Q17,IF(Summary!AK198=summaryref2!B31,summaryref2!Q31,IF(AK198=summaryref2!B45,summaryref2!Q45,IF(AK198=summaryref2!B59,summaryref2!Q59,IF(AK198=summaryref2!B73,summaryref2!Q73,IF(AK198=summaryref2!B87,summaryref2!Q87,IF(AK198=summaryref2!B101,summaryref2!Q101,IF(AK198=summaryref2!B115,summaryref2!Q115,IF(AK198=summaryref2!B129,summaryref2!Q129,IF(AK198=summaryref2!B143,summaryref2!Q143,"")))))))))))</f>
        <v>#REF!</v>
      </c>
      <c r="BB198" s="1110" t="e">
        <f>IF('A-80 DirEntInv'!#REF!&lt;&gt;"",'A-80 DirEntInv'!#REF!,IF(AK198=summaryref2!B17,summaryref2!R17,IF(Summary!AK198=summaryref2!B31,summaryref2!R31,IF(AK198=summaryref2!B45,summaryref2!R45,IF(AK198=summaryref2!B59,summaryref2!R59,IF(AK198=summaryref2!B73,summaryref2!R73,IF(AK198=summaryref2!B87,summaryref2!R87,IF(AK198=summaryref2!B101,summaryref2!R101,IF(AK198=summaryref2!B115,summaryref2!R115,IF(AK198=summaryref2!B129,summaryref2!R129,IF(AK198=summaryref2!B143,summaryref2!R143,"")))))))))))</f>
        <v>#REF!</v>
      </c>
      <c r="BC198" s="1110" t="e">
        <f>IF('A-80 DirEntInv'!#REF!&lt;&gt;0,'A-80 DirEntInv'!#REF!,IF(AK198=summaryref2!B17,summaryref2!S17,IF(Summary!AK198=summaryref2!B31,summaryref2!S31,IF(AK198=summaryref2!B45,summaryref2!S45,IF(AK198=summaryref2!B59,summaryref2!S59,IF(AK198=summaryref2!B73,summaryref2!S73,IF(AK198=summaryref2!B87,summaryref2!S87,IF(AK198=summaryref2!B101,summaryref2!S101,IF(AK198=summaryref2!B115,summaryref2!S115,IF(AK198=summaryref2!B129,summaryref2!S129,IF(AK198=summaryref2!B143,summaryref2!S143,"")))))))))))</f>
        <v>#REF!</v>
      </c>
      <c r="BD198" s="1111" t="e">
        <f>IF('A-80 DirEntInv'!#REF!&lt;&gt;"",'A-80 DirEntInv'!#REF!,IF(AK198=summaryref2!B17,summaryref2!T17,IF(Summary!AK198=summaryref2!B31,summaryref2!T31,IF(AK198=summaryref2!B45,summaryref2!T45,IF(AK198=summaryref2!B59,summaryref2!T59,IF(AK198=summaryref2!B73,summaryref2!T73,IF(AK198=summaryref2!B87,summaryref2!T87,IF(AK198=summaryref2!B101,summaryref2!T101,IF(AK198=summaryref2!B115,summaryref2!T115,IF(AK198=summaryref2!B129,summaryref2!T129,IF(AK198=summaryref2!B143,summaryref2!T143,"")))))))))))</f>
        <v>#REF!</v>
      </c>
      <c r="BE198" s="1184" t="e">
        <f>IF('A-80 DirEntInv'!#REF!&lt;&gt;"",'A-80 DirEntInv'!#REF!,IF(AK198=summaryref2!B17,summaryref2!U17,IF(Summary!AK198=summaryref2!B31,summaryref2!U31,IF(AK198=summaryref2!B45,summaryref2!U45,IF(AK198=summaryref2!B59,summaryref2!U59,IF(AK198=summaryref2!B73,summaryref2!U73,IF(AK198=summaryref2!B87,summaryref2!U87,IF(AK198=summaryref2!B101,summaryref2!U101,IF(AK198=summaryref2!B115,summaryref2!U115,IF(AK198=summaryref2!B129,summaryref2!U129,IF(AK198=summaryref2!B143,summaryref2!U143,"")))))))))))</f>
        <v>#REF!</v>
      </c>
      <c r="BF198" s="1432"/>
      <c r="BG198" s="1432"/>
      <c r="BU198" s="962"/>
      <c r="CD198" s="589"/>
      <c r="CE198" s="590"/>
      <c r="CF198" s="590"/>
      <c r="CG198" s="590"/>
      <c r="CH198" s="590"/>
      <c r="CI198" s="590"/>
      <c r="CJ198" s="589"/>
      <c r="CK198" s="589"/>
      <c r="CL198" s="589"/>
      <c r="CM198" s="587"/>
      <c r="CN198" s="587"/>
      <c r="CO198" s="589"/>
      <c r="CP198" s="587"/>
      <c r="CQ198" s="592"/>
      <c r="CR198" s="589"/>
      <c r="CS198" s="592"/>
      <c r="CT198" s="589"/>
      <c r="CU198" s="589"/>
      <c r="CV198" s="589"/>
      <c r="CW198" s="587"/>
      <c r="CX198" s="590"/>
      <c r="CY198" s="590"/>
      <c r="CZ198" s="590"/>
      <c r="DA198" s="1054"/>
      <c r="DB198" s="1054"/>
      <c r="DC198" s="587"/>
      <c r="DD198" s="587"/>
    </row>
    <row r="199" spans="1:108" s="588" customFormat="1" x14ac:dyDescent="0.2">
      <c r="A199" s="589">
        <f t="shared" si="2"/>
        <v>189</v>
      </c>
      <c r="B199" s="587"/>
      <c r="C199" s="587"/>
      <c r="D199" s="587"/>
      <c r="J199" s="589"/>
      <c r="K199" s="590"/>
      <c r="L199" s="591"/>
      <c r="M199" s="592"/>
      <c r="N199" s="589"/>
      <c r="O199" s="587"/>
      <c r="R199" s="1052"/>
      <c r="S199" s="1052"/>
      <c r="T199" s="1052"/>
      <c r="U199" s="1052"/>
      <c r="V199" s="1052"/>
      <c r="W199" s="1053"/>
      <c r="X199" s="1053"/>
      <c r="Y199" s="1053"/>
      <c r="Z199" s="1052"/>
      <c r="AA199" s="1052"/>
      <c r="AB199" s="962"/>
      <c r="AC199" s="590"/>
      <c r="AD199" s="590"/>
      <c r="AE199" s="591"/>
      <c r="AF199" s="592"/>
      <c r="AG199" s="1053"/>
      <c r="AH199" s="587"/>
      <c r="AK199" s="1041" t="str">
        <f>Codes!$C$169</f>
        <v>SR - Streetcar Rail (DO)</v>
      </c>
      <c r="AL199" s="1042" t="str">
        <f>Valid!$B$77</f>
        <v>Below-Grade/Cut-and-Cover Tunnel</v>
      </c>
      <c r="AM199" s="1108" t="e">
        <f>IF('A-80 DirEntInv'!#REF!&lt;&gt;"",'A-80 DirEntInv'!#REF!,IF(AK199=summaryref2!B18,summaryref2!D18,IF(Summary!AK199=summaryref2!B32,summaryref2!D32,IF(AK199=summaryref2!B46,summaryref2!D46,IF(AK199=summaryref2!B60,summaryref2!D60,IF(AK199=summaryref2!B74,summaryref2!D74,IF(AK199=summaryref2!B88,summaryref2!D88,IF(AK199=summaryref2!B102,summaryref2!D102,IF(AK199=summaryref2!B116,summaryref2!D116,IF(AK199=summaryref2!B130,summaryref2!D130,IF(AK199=summaryref2!B144,summaryref2!D144,"")))))))))))</f>
        <v>#REF!</v>
      </c>
      <c r="AN199" s="1109" t="e">
        <f ca="1">IF('A-80 DirEntInv'!#REF!&lt;&gt;"",'A-80 DirEntInv'!#REF!,IF(INDIRECT(ADDRESS(SumRef!CG440,SumRef!CG$16,,,SumRef!$C$7))="","",INDIRECT(ADDRESS(SumRef!CG440,SumRef!CG$16,,,SumRef!$C$7))))</f>
        <v>#REF!</v>
      </c>
      <c r="AO199" s="1108" t="e">
        <f>IF('A-80 DirEntInv'!#REF!&lt;&gt;"",'A-80 DirEntInv'!#REF!,IF(AK199=summaryref2!B18,summaryref2!F18,IF(Summary!AK199=summaryref2!B32,summaryref2!F32,IF(AK199=summaryref2!B46,summaryref2!F46,IF(AK199=summaryref2!B60,summaryref2!F60,IF(AK199=summaryref2!B74,summaryref2!F74,IF(AK199=summaryref2!B88,summaryref2!F88,IF(AK199=summaryref2!B102,summaryref2!F102,IF(AK199=summaryref2!B116,summaryref2!F116,IF(AK199=summaryref2!B130,summaryref2!F130,IF(AK199=summaryref2!B144,summaryref2!F144,"")))))))))))</f>
        <v>#REF!</v>
      </c>
      <c r="AP199" s="1109" t="e">
        <f ca="1">IF('A-80 DirEntInv'!#REF!&lt;&gt;"",'A-80 DirEntInv'!#REF!,IF(INDIRECT(ADDRESS(SumRef!#REF!,SumRef!#REF!,,,SumRef!$C$7))="","",INDIRECT(ADDRESS(SumRef!#REF!,SumRef!#REF!,,,SumRef!$C$7))))</f>
        <v>#REF!</v>
      </c>
      <c r="AQ199" s="1147" t="e">
        <f>IF('A-80 DirEntInv'!#REF!&lt;&gt;"",'A-80 DirEntInv'!#REF!,IF(AK199=summaryref2!B18,summaryref2!G18,IF(Summary!AK199=summaryref2!B32,summaryref2!G32,IF(AK199=summaryref2!B46,summaryref2!G46,IF(AK199=summaryref2!B60,summaryref2!G60,IF(AK199=summaryref2!B74,summaryref2!G74,IF(AK199=summaryref2!B88,summaryref2!G88,IF(AK199=summaryref2!B102,summaryref2!G102,IF(AK199=summaryref2!B116,summaryref2!G116,IF(AK199=summaryref2!B130,summaryref2!G130,IF(AK199=summaryref2!B144,summaryref2!G144,"")))))))))))</f>
        <v>#REF!</v>
      </c>
      <c r="AR199" s="1147" t="e">
        <f>IF('A-80 DirEntInv'!#REF!&lt;&gt;"",'A-80 DirEntInv'!#REF!,IF(AK199=summaryref2!B18,summaryref2!H18,IF(Summary!AK199=summaryref2!B32,summaryref2!H32,IF(AK199=summaryref2!B46,summaryref2!H46,IF(AK199=summaryref2!B60,summaryref2!H60,IF(AK199=summaryref2!B74,summaryref2!H74,IF(AK199=summaryref2!B88,summaryref2!H88,IF(AK199=summaryref2!B102,summaryref2!H102,IF(AK199=summaryref2!B116,summaryref2!H116,IF(AK199=summaryref2!B130,summaryref2!H130,IF(AK199=summaryref2!B144,summaryref2!H144,"")))))))))))</f>
        <v>#REF!</v>
      </c>
      <c r="AS199" s="1110" t="e">
        <f>IF('A-80 DirEntInv'!#REF!&lt;&gt;"",'A-80 DirEntInv'!#REF!,IF(AK199=summaryref2!B18,summaryref2!I18,IF(Summary!AK199=summaryref2!B32,summaryref2!I32,IF(AK199=summaryref2!B46,summaryref2!I46,IF(AK199=summaryref2!B60,summaryref2!I60,IF(AK199=summaryref2!B74,summaryref2!I74,IF(AK199=summaryref2!B88,summaryref2!I88,IF(AK199=summaryref2!B102,summaryref2!I102,IF(AK199=summaryref2!B116,summaryref2!I116,IF(AK199=summaryref2!B130,summaryref2!I130,IF(AK199=summaryref2!B144,summaryref2!I144,"")))))))))))</f>
        <v>#REF!</v>
      </c>
      <c r="AT199" s="1110" t="e">
        <f>IF('A-80 DirEntInv'!#REF!&lt;&gt;"",'A-80 DirEntInv'!#REF!,IF(AK199=summaryref2!B18,summaryref2!J18,IF(Summary!AK199=summaryref2!B32,summaryref2!J32,IF(AK199=summaryref2!B46,summaryref2!J46,IF(AK199=summaryref2!B60,summaryref2!J60,IF(AK199=summaryref2!B74,summaryref2!J74,IF(AK199=summaryref2!B88,summaryref2!J88,IF(AK199=summaryref2!B102,summaryref2!J102,IF(AK199=summaryref2!B116,summaryref2!J116,IF(AK199=summaryref2!B130,summaryref2!J130,IF(AK199=summaryref2!B144,summaryref2!J144,"")))))))))))</f>
        <v>#REF!</v>
      </c>
      <c r="AU199" s="1110" t="e">
        <f>IF('A-80 DirEntInv'!#REF!&lt;&gt;"",'A-80 DirEntInv'!#REF!,IF(AK199=summaryref2!B18,summaryref2!K18,IF(Summary!AK199=summaryref2!B32,summaryref2!K32,IF(AK199=summaryref2!B46,summaryref2!K46,IF(AK199=summaryref2!B60,summaryref2!K60,IF(AK199=summaryref2!B74,summaryref2!K74,IF(AK199=summaryref2!B88,summaryref2!K88,IF(AK199=summaryref2!B102,summaryref2!K102,IF(AK199=summaryref2!B116,summaryref2!K116,IF(AK199=summaryref2!B130,summaryref2!K130,IF(AK199=summaryref2!B144,summaryref2!K144,"")))))))))))</f>
        <v>#REF!</v>
      </c>
      <c r="AV199" s="1110" t="e">
        <f>IF('A-80 DirEntInv'!#REF!&lt;&gt;"",'A-80 DirEntInv'!#REF!,IF(AK199=summaryref2!B18,summaryref2!L18,IF(Summary!AK199=summaryref2!B32,summaryref2!L32,IF(AK199=summaryref2!B46,summaryref2!L46,IF(AK199=summaryref2!B60,summaryref2!L60,IF(AK199=summaryref2!B74,summaryref2!L74,IF(AK199=summaryref2!B88,summaryref2!L88,IF(AK199=summaryref2!B102,summaryref2!L102,IF(AK199=summaryref2!B116,summaryref2!L116,IF(AK199=summaryref2!B130,summaryref2!L130,IF(AK199=summaryref2!B144,summaryref2!L144,"")))))))))))</f>
        <v>#REF!</v>
      </c>
      <c r="AW199" s="1110" t="e">
        <f>IF('A-80 DirEntInv'!#REF!&lt;&gt;"",'A-80 DirEntInv'!#REF!,IF(AK199=summaryref2!B18,summaryref2!M18,IF(Summary!AK199=summaryref2!B32,summaryref2!M32,IF(AK199=summaryref2!B46,summaryref2!M46,IF(AK199=summaryref2!B60,summaryref2!M60,IF(AK199=summaryref2!B74,summaryref2!M74,IF(AK199=summaryref2!B88,summaryref2!M88,IF(AK199=summaryref2!B102,summaryref2!M102,IF(AK199=summaryref2!B116,summaryref2!M116,IF(AK199=summaryref2!B130,summaryref2!M130,IF(AK199=summaryref2!B144,summaryref2!M144,"")))))))))))</f>
        <v>#REF!</v>
      </c>
      <c r="AX199" s="1110" t="e">
        <f>IF('A-80 DirEntInv'!#REF!&lt;&gt;"",'A-80 DirEntInv'!#REF!,IF(AK199=summaryref2!B18,summaryref2!N18,IF(Summary!AK199=summaryref2!B32,summaryref2!N32,IF(AK199=summaryref2!B46,summaryref2!N46,IF(AK199=summaryref2!B60,summaryref2!N60,IF(AK199=summaryref2!B74,summaryref2!N74,IF(AK199=summaryref2!B88,summaryref2!N88,IF(AK199=summaryref2!B102,summaryref2!N102,IF(AK199=summaryref2!B116,summaryref2!N116,IF(AK199=summaryref2!B130,summaryref2!N130,IF(AK199=summaryref2!B144,summaryref2!N144,"")))))))))))</f>
        <v>#REF!</v>
      </c>
      <c r="AY199" s="1110" t="e">
        <f>IF('A-80 DirEntInv'!#REF!&lt;&gt;"",'A-80 DirEntInv'!#REF!,IF(AK199=summaryref2!B18,summaryref2!O18,IF(Summary!AK199=summaryref2!B32,summaryref2!O32,IF(AK199=summaryref2!B46,summaryref2!O46,IF(AK199=summaryref2!B60,summaryref2!O60,IF(AK199=summaryref2!B74,summaryref2!O74,IF(AK199=summaryref2!B88,summaryref2!O88,IF(AK199=summaryref2!B102,summaryref2!O102,IF(AK199=summaryref2!B116,summaryref2!O116,IF(AK199=summaryref2!B130,summaryref2!O130,IF(AK199=summaryref2!B144,summaryref2!O144,"")))))))))))</f>
        <v>#REF!</v>
      </c>
      <c r="AZ199" s="1110" t="e">
        <f>IF('A-80 DirEntInv'!#REF!&lt;&gt;"",'A-80 DirEntInv'!#REF!,IF(AK199=summaryref2!B18,summaryref2!P18,IF(Summary!AK199=summaryref2!B32,summaryref2!P32,IF(AK199=summaryref2!B46,summaryref2!P46,IF(AK199=summaryref2!B60,summaryref2!P60,IF(AK199=summaryref2!B74,summaryref2!P74,IF(AK199=summaryref2!B88,summaryref2!P88,IF(AK199=summaryref2!B102,summaryref2!P102,IF(AK199=summaryref2!B116,summaryref2!P116,IF(AK199=summaryref2!B130,summaryref2!P130,IF(AK199=summaryref2!B144,summaryref2!P144,"")))))))))))</f>
        <v>#REF!</v>
      </c>
      <c r="BA199" s="1110" t="e">
        <f>IF('A-80 DirEntInv'!#REF!&lt;&gt;"",'A-80 DirEntInv'!#REF!,IF(AK199=summaryref2!B18,summaryref2!Q18,IF(Summary!AK199=summaryref2!B32,summaryref2!Q32,IF(AK199=summaryref2!B46,summaryref2!Q46,IF(AK199=summaryref2!B60,summaryref2!Q60,IF(AK199=summaryref2!B74,summaryref2!Q74,IF(AK199=summaryref2!B88,summaryref2!Q88,IF(AK199=summaryref2!B102,summaryref2!Q102,IF(AK199=summaryref2!B116,summaryref2!Q116,IF(AK199=summaryref2!B130,summaryref2!Q130,IF(AK199=summaryref2!B144,summaryref2!Q144,"")))))))))))</f>
        <v>#REF!</v>
      </c>
      <c r="BB199" s="1110" t="e">
        <f>IF('A-80 DirEntInv'!#REF!&lt;&gt;"",'A-80 DirEntInv'!#REF!,IF(AK199=summaryref2!B18,summaryref2!R18,IF(Summary!AK199=summaryref2!B32,summaryref2!R32,IF(AK199=summaryref2!B46,summaryref2!R46,IF(AK199=summaryref2!B60,summaryref2!R60,IF(AK199=summaryref2!B74,summaryref2!R74,IF(AK199=summaryref2!B88,summaryref2!R88,IF(AK199=summaryref2!B102,summaryref2!R102,IF(AK199=summaryref2!B116,summaryref2!R116,IF(AK199=summaryref2!B130,summaryref2!R130,IF(AK199=summaryref2!B144,summaryref2!R144,"")))))))))))</f>
        <v>#REF!</v>
      </c>
      <c r="BC199" s="1110" t="e">
        <f>IF('A-80 DirEntInv'!#REF!&lt;&gt;0,'A-80 DirEntInv'!#REF!,IF(AK199=summaryref2!B18,summaryref2!S18,IF(Summary!AK199=summaryref2!B32,summaryref2!S32,IF(AK199=summaryref2!B46,summaryref2!S46,IF(AK199=summaryref2!B60,summaryref2!S60,IF(AK199=summaryref2!B74,summaryref2!S74,IF(AK199=summaryref2!B88,summaryref2!S88,IF(AK199=summaryref2!B102,summaryref2!S102,IF(AK199=summaryref2!B116,summaryref2!S116,IF(AK199=summaryref2!B130,summaryref2!S130,IF(AK199=summaryref2!B144,summaryref2!S144,"")))))))))))</f>
        <v>#REF!</v>
      </c>
      <c r="BD199" s="1111" t="e">
        <f>IF('A-80 DirEntInv'!#REF!&lt;&gt;"",'A-80 DirEntInv'!#REF!,IF(AK199=summaryref2!B18,summaryref2!T18,IF(Summary!AK199=summaryref2!B32,summaryref2!T32,IF(AK199=summaryref2!B46,summaryref2!T46,IF(AK199=summaryref2!B60,summaryref2!T60,IF(AK199=summaryref2!B74,summaryref2!T74,IF(AK199=summaryref2!B88,summaryref2!T88,IF(AK199=summaryref2!B102,summaryref2!T102,IF(AK199=summaryref2!B116,summaryref2!T116,IF(AK199=summaryref2!B130,summaryref2!T130,IF(AK199=summaryref2!B144,summaryref2!T144,"")))))))))))</f>
        <v>#REF!</v>
      </c>
      <c r="BE199" s="1184" t="e">
        <f>IF('A-80 DirEntInv'!#REF!&lt;&gt;"",'A-80 DirEntInv'!#REF!,IF(AK199=summaryref2!B18,summaryref2!U18,IF(Summary!AK199=summaryref2!B32,summaryref2!U32,IF(AK199=summaryref2!B46,summaryref2!U46,IF(AK199=summaryref2!B60,summaryref2!U60,IF(AK199=summaryref2!B74,summaryref2!U74,IF(AK199=summaryref2!B88,summaryref2!U88,IF(AK199=summaryref2!B102,summaryref2!U102,IF(AK199=summaryref2!B116,summaryref2!U116,IF(AK199=summaryref2!B130,summaryref2!U130,IF(AK199=summaryref2!B144,summaryref2!U144,"")))))))))))</f>
        <v>#REF!</v>
      </c>
      <c r="BF199" s="1432"/>
      <c r="BG199" s="1432"/>
      <c r="BU199" s="962"/>
      <c r="CD199" s="589"/>
      <c r="CE199" s="590"/>
      <c r="CF199" s="590"/>
      <c r="CG199" s="590"/>
      <c r="CH199" s="590"/>
      <c r="CI199" s="590"/>
      <c r="CJ199" s="589"/>
      <c r="CK199" s="589"/>
      <c r="CL199" s="589"/>
      <c r="CM199" s="587"/>
      <c r="CN199" s="587"/>
      <c r="CO199" s="589"/>
      <c r="CP199" s="587"/>
      <c r="CQ199" s="592"/>
      <c r="CR199" s="589"/>
      <c r="CS199" s="592"/>
      <c r="CT199" s="589"/>
      <c r="CU199" s="589"/>
      <c r="CV199" s="589"/>
      <c r="CW199" s="587"/>
      <c r="CX199" s="590"/>
      <c r="CY199" s="590"/>
      <c r="CZ199" s="590"/>
      <c r="DA199" s="1054"/>
      <c r="DB199" s="1054"/>
      <c r="DC199" s="587"/>
      <c r="DD199" s="587"/>
    </row>
    <row r="200" spans="1:108" s="588" customFormat="1" x14ac:dyDescent="0.2">
      <c r="A200" s="589">
        <f t="shared" si="2"/>
        <v>190</v>
      </c>
      <c r="B200" s="587"/>
      <c r="C200" s="587"/>
      <c r="D200" s="587"/>
      <c r="J200" s="589"/>
      <c r="K200" s="590"/>
      <c r="L200" s="591"/>
      <c r="M200" s="592"/>
      <c r="N200" s="589"/>
      <c r="O200" s="587"/>
      <c r="R200" s="1052"/>
      <c r="S200" s="1052"/>
      <c r="T200" s="1052"/>
      <c r="U200" s="1052"/>
      <c r="V200" s="1052"/>
      <c r="W200" s="1053"/>
      <c r="X200" s="1053"/>
      <c r="Y200" s="1053"/>
      <c r="Z200" s="1052"/>
      <c r="AA200" s="1052"/>
      <c r="AB200" s="962"/>
      <c r="AC200" s="590"/>
      <c r="AD200" s="590"/>
      <c r="AE200" s="591"/>
      <c r="AF200" s="592"/>
      <c r="AG200" s="1053"/>
      <c r="AH200" s="587"/>
      <c r="AK200" s="1041" t="str">
        <f>Codes!$C$169</f>
        <v>SR - Streetcar Rail (DO)</v>
      </c>
      <c r="AL200" s="1042" t="str">
        <f>Valid!$B$78</f>
        <v>Below-Grade/Bored or Blasted Tunnel</v>
      </c>
      <c r="AM200" s="1108" t="e">
        <f>IF('A-80 DirEntInv'!#REF!&lt;&gt;"",'A-80 DirEntInv'!#REF!,IF(AK200=summaryref2!B19,summaryref2!D19,IF(Summary!AK200=summaryref2!B33,summaryref2!D33,IF(AK200=summaryref2!B47,summaryref2!D47,IF(AK200=summaryref2!B61,summaryref2!D61,IF(AK200=summaryref2!B75,summaryref2!D75,IF(AK200=summaryref2!B89,summaryref2!D89,IF(AK200=summaryref2!B103,summaryref2!D103,IF(AK200=summaryref2!B117,summaryref2!D117,IF(AK200=summaryref2!B131,summaryref2!D131,IF(AK200=summaryref2!B145,summaryref2!D145,"")))))))))))</f>
        <v>#REF!</v>
      </c>
      <c r="AN200" s="1109" t="e">
        <f ca="1">IF('A-80 DirEntInv'!#REF!&lt;&gt;"",'A-80 DirEntInv'!#REF!,IF(INDIRECT(ADDRESS(SumRef!CG441,SumRef!CG$16,,,SumRef!$C$7))="","",INDIRECT(ADDRESS(SumRef!CG441,SumRef!CG$16,,,SumRef!$C$7))))</f>
        <v>#REF!</v>
      </c>
      <c r="AO200" s="1108" t="e">
        <f>IF('A-80 DirEntInv'!#REF!&lt;&gt;"",'A-80 DirEntInv'!#REF!,IF(AK200=summaryref2!B19,summaryref2!F19,IF(Summary!AK200=summaryref2!B33,summaryref2!F33,IF(AK200=summaryref2!B47,summaryref2!F47,IF(AK200=summaryref2!B61,summaryref2!F61,IF(AK200=summaryref2!B75,summaryref2!F75,IF(AK200=summaryref2!B89,summaryref2!F89,IF(AK200=summaryref2!B103,summaryref2!F103,IF(AK200=summaryref2!B117,summaryref2!F117,IF(AK200=summaryref2!B131,summaryref2!F131,IF(AK200=summaryref2!B145,summaryref2!F145,"")))))))))))</f>
        <v>#REF!</v>
      </c>
      <c r="AP200" s="1109" t="e">
        <f ca="1">IF('A-80 DirEntInv'!#REF!&lt;&gt;"",'A-80 DirEntInv'!#REF!,IF(INDIRECT(ADDRESS(SumRef!#REF!,SumRef!#REF!,,,SumRef!$C$7))="","",INDIRECT(ADDRESS(SumRef!#REF!,SumRef!#REF!,,,SumRef!$C$7))))</f>
        <v>#REF!</v>
      </c>
      <c r="AQ200" s="1147" t="e">
        <f>IF('A-80 DirEntInv'!#REF!&lt;&gt;"",'A-80 DirEntInv'!#REF!,IF(AK200=summaryref2!B19,summaryref2!G19,IF(Summary!AK200=summaryref2!B33,summaryref2!G33,IF(AK200=summaryref2!B47,summaryref2!G47,IF(AK200=summaryref2!B61,summaryref2!G61,IF(AK200=summaryref2!B75,summaryref2!G75,IF(AK200=summaryref2!B89,summaryref2!G89,IF(AK200=summaryref2!B103,summaryref2!G103,IF(AK200=summaryref2!B117,summaryref2!G117,IF(AK200=summaryref2!B131,summaryref2!G131,IF(AK200=summaryref2!B145,summaryref2!G145,"")))))))))))</f>
        <v>#REF!</v>
      </c>
      <c r="AR200" s="1147" t="e">
        <f>IF('A-80 DirEntInv'!#REF!&lt;&gt;"",'A-80 DirEntInv'!#REF!,IF(AK200=summaryref2!B19,summaryref2!H19,IF(Summary!AK200=summaryref2!B33,summaryref2!H33,IF(AK200=summaryref2!B47,summaryref2!H47,IF(AK200=summaryref2!B61,summaryref2!H61,IF(AK200=summaryref2!B75,summaryref2!H75,IF(AK200=summaryref2!B89,summaryref2!H89,IF(AK200=summaryref2!B103,summaryref2!H103,IF(AK200=summaryref2!B117,summaryref2!H117,IF(AK200=summaryref2!B131,summaryref2!H131,IF(AK200=summaryref2!B145,summaryref2!H145,"")))))))))))</f>
        <v>#REF!</v>
      </c>
      <c r="AS200" s="1110" t="e">
        <f>IF('A-80 DirEntInv'!#REF!&lt;&gt;"",'A-80 DirEntInv'!#REF!,IF(AK200=summaryref2!B19,summaryref2!I19,IF(Summary!AK200=summaryref2!B33,summaryref2!I33,IF(AK200=summaryref2!B47,summaryref2!I47,IF(AK200=summaryref2!B61,summaryref2!I61,IF(AK200=summaryref2!B75,summaryref2!I75,IF(AK200=summaryref2!B89,summaryref2!I89,IF(AK200=summaryref2!B103,summaryref2!I103,IF(AK200=summaryref2!B117,summaryref2!I117,IF(AK200=summaryref2!B131,summaryref2!I131,IF(AK200=summaryref2!B145,summaryref2!I145,"")))))))))))</f>
        <v>#REF!</v>
      </c>
      <c r="AT200" s="1110" t="e">
        <f>IF('A-80 DirEntInv'!#REF!&lt;&gt;"",'A-80 DirEntInv'!#REF!,IF(AK200=summaryref2!B19,summaryref2!J19,IF(Summary!AK200=summaryref2!B33,summaryref2!J33,IF(AK200=summaryref2!B47,summaryref2!J47,IF(AK200=summaryref2!B61,summaryref2!J61,IF(AK200=summaryref2!B75,summaryref2!J75,IF(AK200=summaryref2!B89,summaryref2!J89,IF(AK200=summaryref2!B103,summaryref2!J103,IF(AK200=summaryref2!B117,summaryref2!J117,IF(AK200=summaryref2!B131,summaryref2!J131,IF(AK200=summaryref2!B145,summaryref2!J145,"")))))))))))</f>
        <v>#REF!</v>
      </c>
      <c r="AU200" s="1110" t="e">
        <f>IF('A-80 DirEntInv'!#REF!&lt;&gt;"",'A-80 DirEntInv'!#REF!,IF(AK200=summaryref2!B19,summaryref2!K19,IF(Summary!AK200=summaryref2!B33,summaryref2!K33,IF(AK200=summaryref2!B47,summaryref2!K47,IF(AK200=summaryref2!B61,summaryref2!K61,IF(AK200=summaryref2!B75,summaryref2!K75,IF(AK200=summaryref2!B89,summaryref2!K89,IF(AK200=summaryref2!B103,summaryref2!K103,IF(AK200=summaryref2!B117,summaryref2!K117,IF(AK200=summaryref2!B131,summaryref2!K131,IF(AK200=summaryref2!B145,summaryref2!K145,"")))))))))))</f>
        <v>#REF!</v>
      </c>
      <c r="AV200" s="1110" t="e">
        <f>IF('A-80 DirEntInv'!#REF!&lt;&gt;"",'A-80 DirEntInv'!#REF!,IF(AK200=summaryref2!B19,summaryref2!L19,IF(Summary!AK200=summaryref2!B33,summaryref2!L33,IF(AK200=summaryref2!B47,summaryref2!L47,IF(AK200=summaryref2!B61,summaryref2!L61,IF(AK200=summaryref2!B75,summaryref2!L75,IF(AK200=summaryref2!B89,summaryref2!L89,IF(AK200=summaryref2!B103,summaryref2!L103,IF(AK200=summaryref2!B117,summaryref2!L117,IF(AK200=summaryref2!B131,summaryref2!L131,IF(AK200=summaryref2!B145,summaryref2!L145,"")))))))))))</f>
        <v>#REF!</v>
      </c>
      <c r="AW200" s="1110" t="e">
        <f>IF('A-80 DirEntInv'!#REF!&lt;&gt;"",'A-80 DirEntInv'!#REF!,IF(AK200=summaryref2!B19,summaryref2!M19,IF(Summary!AK200=summaryref2!B33,summaryref2!M33,IF(AK200=summaryref2!B47,summaryref2!M47,IF(AK200=summaryref2!B61,summaryref2!M61,IF(AK200=summaryref2!B75,summaryref2!M75,IF(AK200=summaryref2!B89,summaryref2!M89,IF(AK200=summaryref2!B103,summaryref2!M103,IF(AK200=summaryref2!B117,summaryref2!M117,IF(AK200=summaryref2!B131,summaryref2!M131,IF(AK200=summaryref2!B145,summaryref2!M145,"")))))))))))</f>
        <v>#REF!</v>
      </c>
      <c r="AX200" s="1110" t="e">
        <f>IF('A-80 DirEntInv'!#REF!&lt;&gt;"",'A-80 DirEntInv'!#REF!,IF(AK200=summaryref2!B19,summaryref2!N19,IF(Summary!AK200=summaryref2!B33,summaryref2!N33,IF(AK200=summaryref2!B47,summaryref2!N47,IF(AK200=summaryref2!B61,summaryref2!N61,IF(AK200=summaryref2!B75,summaryref2!N75,IF(AK200=summaryref2!B89,summaryref2!N89,IF(AK200=summaryref2!B103,summaryref2!N103,IF(AK200=summaryref2!B117,summaryref2!N117,IF(AK200=summaryref2!B131,summaryref2!N131,IF(AK200=summaryref2!B145,summaryref2!N145,"")))))))))))</f>
        <v>#REF!</v>
      </c>
      <c r="AY200" s="1110" t="e">
        <f>IF('A-80 DirEntInv'!#REF!&lt;&gt;"",'A-80 DirEntInv'!#REF!,IF(AK200=summaryref2!B19,summaryref2!O19,IF(Summary!AK200=summaryref2!B33,summaryref2!O33,IF(AK200=summaryref2!B47,summaryref2!O47,IF(AK200=summaryref2!B61,summaryref2!O61,IF(AK200=summaryref2!B75,summaryref2!O75,IF(AK200=summaryref2!B89,summaryref2!O89,IF(AK200=summaryref2!B103,summaryref2!O103,IF(AK200=summaryref2!B117,summaryref2!O117,IF(AK200=summaryref2!B131,summaryref2!O131,IF(AK200=summaryref2!B145,summaryref2!O145,"")))))))))))</f>
        <v>#REF!</v>
      </c>
      <c r="AZ200" s="1110" t="e">
        <f>IF('A-80 DirEntInv'!#REF!&lt;&gt;"",'A-80 DirEntInv'!#REF!,IF(AK200=summaryref2!B19,summaryref2!P19,IF(Summary!AK200=summaryref2!B33,summaryref2!P33,IF(AK200=summaryref2!B47,summaryref2!P47,IF(AK200=summaryref2!B61,summaryref2!P61,IF(AK200=summaryref2!B75,summaryref2!P75,IF(AK200=summaryref2!B89,summaryref2!P89,IF(AK200=summaryref2!B103,summaryref2!P103,IF(AK200=summaryref2!B117,summaryref2!P117,IF(AK200=summaryref2!B131,summaryref2!P131,IF(AK200=summaryref2!B145,summaryref2!P145,"")))))))))))</f>
        <v>#REF!</v>
      </c>
      <c r="BA200" s="1110" t="e">
        <f>IF('A-80 DirEntInv'!#REF!&lt;&gt;"",'A-80 DirEntInv'!#REF!,IF(AK200=summaryref2!B19,summaryref2!Q19,IF(Summary!AK200=summaryref2!B33,summaryref2!Q33,IF(AK200=summaryref2!B47,summaryref2!Q47,IF(AK200=summaryref2!B61,summaryref2!Q61,IF(AK200=summaryref2!B75,summaryref2!Q75,IF(AK200=summaryref2!B89,summaryref2!Q89,IF(AK200=summaryref2!B103,summaryref2!Q103,IF(AK200=summaryref2!B117,summaryref2!Q117,IF(AK200=summaryref2!B131,summaryref2!Q131,IF(AK200=summaryref2!B145,summaryref2!Q145,"")))))))))))</f>
        <v>#REF!</v>
      </c>
      <c r="BB200" s="1110" t="e">
        <f>IF('A-80 DirEntInv'!#REF!&lt;&gt;"",'A-80 DirEntInv'!#REF!,IF(AK200=summaryref2!B19,summaryref2!R19,IF(Summary!AK200=summaryref2!B33,summaryref2!R33,IF(AK200=summaryref2!B47,summaryref2!R47,IF(AK200=summaryref2!B61,summaryref2!R61,IF(AK200=summaryref2!B75,summaryref2!R75,IF(AK200=summaryref2!B89,summaryref2!R89,IF(AK200=summaryref2!B103,summaryref2!R103,IF(AK200=summaryref2!B117,summaryref2!R117,IF(AK200=summaryref2!B131,summaryref2!R131,IF(AK200=summaryref2!B145,summaryref2!R145,"")))))))))))</f>
        <v>#REF!</v>
      </c>
      <c r="BC200" s="1110" t="e">
        <f>IF('A-80 DirEntInv'!#REF!&lt;&gt;0,'A-80 DirEntInv'!#REF!,IF(AK200=summaryref2!B19,summaryref2!S19,IF(Summary!AK200=summaryref2!B33,summaryref2!S33,IF(AK200=summaryref2!B47,summaryref2!S47,IF(AK200=summaryref2!B61,summaryref2!S61,IF(AK200=summaryref2!B75,summaryref2!S75,IF(AK200=summaryref2!B89,summaryref2!S89,IF(AK200=summaryref2!B103,summaryref2!S103,IF(AK200=summaryref2!B117,summaryref2!S117,IF(AK200=summaryref2!B131,summaryref2!S131,IF(AK200=summaryref2!B145,summaryref2!S145,"")))))))))))</f>
        <v>#REF!</v>
      </c>
      <c r="BD200" s="1111" t="e">
        <f>IF('A-80 DirEntInv'!#REF!&lt;&gt;"",'A-80 DirEntInv'!#REF!,IF(AK200=summaryref2!B19,summaryref2!T19,IF(Summary!AK200=summaryref2!B33,summaryref2!T33,IF(AK200=summaryref2!B47,summaryref2!T47,IF(AK200=summaryref2!B61,summaryref2!T61,IF(AK200=summaryref2!B75,summaryref2!T75,IF(AK200=summaryref2!B89,summaryref2!T89,IF(AK200=summaryref2!B103,summaryref2!T103,IF(AK200=summaryref2!B117,summaryref2!T117,IF(AK200=summaryref2!B131,summaryref2!T131,IF(AK200=summaryref2!B145,summaryref2!T145,"")))))))))))</f>
        <v>#REF!</v>
      </c>
      <c r="BE200" s="1184" t="e">
        <f>IF('A-80 DirEntInv'!#REF!&lt;&gt;"",'A-80 DirEntInv'!#REF!,IF(AK200=summaryref2!B19,summaryref2!U19,IF(Summary!AK200=summaryref2!B33,summaryref2!U33,IF(AK200=summaryref2!B47,summaryref2!U47,IF(AK200=summaryref2!B61,summaryref2!U61,IF(AK200=summaryref2!B75,summaryref2!U75,IF(AK200=summaryref2!B89,summaryref2!U89,IF(AK200=summaryref2!B103,summaryref2!U103,IF(AK200=summaryref2!B117,summaryref2!U117,IF(AK200=summaryref2!B131,summaryref2!U131,IF(AK200=summaryref2!B145,summaryref2!U145,"")))))))))))</f>
        <v>#REF!</v>
      </c>
      <c r="BF200" s="1432"/>
      <c r="BG200" s="1432"/>
      <c r="BU200" s="962"/>
      <c r="CD200" s="589"/>
      <c r="CE200" s="590"/>
      <c r="CF200" s="590"/>
      <c r="CG200" s="590"/>
      <c r="CH200" s="590"/>
      <c r="CI200" s="590"/>
      <c r="CJ200" s="589"/>
      <c r="CK200" s="589"/>
      <c r="CL200" s="589"/>
      <c r="CM200" s="587"/>
      <c r="CN200" s="587"/>
      <c r="CO200" s="589"/>
      <c r="CP200" s="587"/>
      <c r="CQ200" s="592"/>
      <c r="CR200" s="589"/>
      <c r="CS200" s="592"/>
      <c r="CT200" s="589"/>
      <c r="CU200" s="589"/>
      <c r="CV200" s="589"/>
      <c r="CW200" s="587"/>
      <c r="CX200" s="590"/>
      <c r="CY200" s="590"/>
      <c r="CZ200" s="590"/>
      <c r="DA200" s="1054"/>
      <c r="DB200" s="1054"/>
      <c r="DC200" s="587"/>
      <c r="DD200" s="587"/>
    </row>
    <row r="201" spans="1:108" s="588" customFormat="1" ht="13.5" thickBot="1" x14ac:dyDescent="0.25">
      <c r="A201" s="589">
        <f t="shared" si="2"/>
        <v>191</v>
      </c>
      <c r="B201" s="587"/>
      <c r="C201" s="587"/>
      <c r="D201" s="587"/>
      <c r="J201" s="589"/>
      <c r="K201" s="590"/>
      <c r="L201" s="591"/>
      <c r="M201" s="592"/>
      <c r="N201" s="589"/>
      <c r="O201" s="587"/>
      <c r="R201" s="1052"/>
      <c r="S201" s="1052"/>
      <c r="T201" s="1052"/>
      <c r="U201" s="1052"/>
      <c r="V201" s="1052"/>
      <c r="W201" s="1053"/>
      <c r="X201" s="1053"/>
      <c r="Y201" s="1053"/>
      <c r="Z201" s="1052"/>
      <c r="AA201" s="1052"/>
      <c r="AB201" s="962"/>
      <c r="AC201" s="590"/>
      <c r="AD201" s="590"/>
      <c r="AE201" s="591"/>
      <c r="AF201" s="592"/>
      <c r="AG201" s="1053"/>
      <c r="AH201" s="587"/>
      <c r="AK201" s="1048" t="str">
        <f>Codes!$C$169</f>
        <v>SR - Streetcar Rail (DO)</v>
      </c>
      <c r="AL201" s="1049" t="str">
        <f>Valid!$B$79</f>
        <v>Below-Grade/Submerged Tube</v>
      </c>
      <c r="AM201" s="1119" t="e">
        <f>IF('A-80 DirEntInv'!#REF!&lt;&gt;"",'A-80 DirEntInv'!#REF!,IF(AK201=summaryref2!B20,summaryref2!D20,IF(Summary!AK201=summaryref2!B34,summaryref2!D34,IF(AK201=summaryref2!B48,summaryref2!D48,IF(AK201=summaryref2!B62,summaryref2!D62,IF(AK201=summaryref2!B76,summaryref2!D76,IF(AK201=summaryref2!B90,summaryref2!D90,IF(AK201=summaryref2!B104,summaryref2!D104,IF(AK201=summaryref2!B118,summaryref2!D118,IF(AK201=summaryref2!B132,summaryref2!D132,IF(AK201=summaryref2!B146,summaryref2!D146,"")))))))))))</f>
        <v>#REF!</v>
      </c>
      <c r="AN201" s="1120" t="e">
        <f ca="1">IF('A-80 DirEntInv'!#REF!&lt;&gt;"",'A-80 DirEntInv'!#REF!,IF(INDIRECT(ADDRESS(SumRef!CG442,SumRef!CG$16,,,SumRef!$C$7))="","",INDIRECT(ADDRESS(SumRef!CG442,SumRef!CG$16,,,SumRef!$C$7))))</f>
        <v>#REF!</v>
      </c>
      <c r="AO201" s="1119" t="e">
        <f>IF('A-80 DirEntInv'!#REF!&lt;&gt;"",'A-80 DirEntInv'!#REF!,IF(AK201=summaryref2!B20,summaryref2!F20,IF(Summary!AK201=summaryref2!B34,summaryref2!F34,IF(AK201=summaryref2!B48,summaryref2!F48,IF(AK201=summaryref2!B62,summaryref2!F62,IF(AK201=summaryref2!B76,summaryref2!F76,IF(AK201=summaryref2!B90,summaryref2!F90,IF(AK201=summaryref2!B104,summaryref2!F104,IF(AK201=summaryref2!B118,summaryref2!F118,IF(AK201=summaryref2!B132,summaryref2!F132,IF(AK201=summaryref2!B146,summaryref2!F146,"")))))))))))</f>
        <v>#REF!</v>
      </c>
      <c r="AP201" s="1120" t="e">
        <f ca="1">IF('A-80 DirEntInv'!#REF!&lt;&gt;"",'A-80 DirEntInv'!#REF!,IF(INDIRECT(ADDRESS(SumRef!#REF!,SumRef!#REF!,,,SumRef!$C$7))="","",INDIRECT(ADDRESS(SumRef!#REF!,SumRef!#REF!,,,SumRef!$C$7))))</f>
        <v>#REF!</v>
      </c>
      <c r="AQ201" s="1148" t="e">
        <f>IF('A-80 DirEntInv'!#REF!&lt;&gt;"",'A-80 DirEntInv'!#REF!,IF(AK201=summaryref2!B20,summaryref2!G20,IF(Summary!AK201=summaryref2!B34,summaryref2!G34,IF(AK201=summaryref2!B48,summaryref2!G48,IF(AK201=summaryref2!B62,summaryref2!G62,IF(AK201=summaryref2!B76,summaryref2!G76,IF(AK201=summaryref2!B90,summaryref2!G90,IF(AK201=summaryref2!B104,summaryref2!G104,IF(AK201=summaryref2!B118,summaryref2!G118,IF(AK201=summaryref2!B132,summaryref2!G132,IF(AK201=summaryref2!B146,summaryref2!G146,"")))))))))))</f>
        <v>#REF!</v>
      </c>
      <c r="AR201" s="1148" t="e">
        <f>IF('A-80 DirEntInv'!#REF!&lt;&gt;"",'A-80 DirEntInv'!#REF!,IF(AK201=summaryref2!B20,summaryref2!H20,IF(Summary!AK201=summaryref2!B34,summaryref2!H34,IF(AK201=summaryref2!B48,summaryref2!H48,IF(AK201=summaryref2!B62,summaryref2!H62,IF(AK201=summaryref2!B76,summaryref2!H76,IF(AK201=summaryref2!B90,summaryref2!H90,IF(AK201=summaryref2!B104,summaryref2!H104,IF(AK201=summaryref2!B118,summaryref2!H118,IF(AK201=summaryref2!B132,summaryref2!H132,IF(AK201=summaryref2!B146,summaryref2!H146,"")))))))))))</f>
        <v>#REF!</v>
      </c>
      <c r="AS201" s="1121" t="e">
        <f>IF('A-80 DirEntInv'!#REF!&lt;&gt;"",'A-80 DirEntInv'!#REF!,IF(AK201=summaryref2!B20,summaryref2!I20,IF(Summary!AK201=summaryref2!B34,summaryref2!I34,IF(AK201=summaryref2!B48,summaryref2!I48,IF(AK201=summaryref2!B62,summaryref2!I62,IF(AK201=summaryref2!B76,summaryref2!I76,IF(AK201=summaryref2!B90,summaryref2!I90,IF(AK201=summaryref2!B104,summaryref2!I104,IF(AK201=summaryref2!B118,summaryref2!I118,IF(AK201=summaryref2!B132,summaryref2!I132,IF(AK201=summaryref2!B146,summaryref2!I146,"")))))))))))</f>
        <v>#REF!</v>
      </c>
      <c r="AT201" s="1121" t="e">
        <f>IF('A-80 DirEntInv'!#REF!&lt;&gt;"",'A-80 DirEntInv'!#REF!,IF(AK201=summaryref2!B20,summaryref2!J20,IF(Summary!AK201=summaryref2!B34,summaryref2!J34,IF(AK201=summaryref2!B48,summaryref2!J48,IF(AK201=summaryref2!B62,summaryref2!J62,IF(AK201=summaryref2!B76,summaryref2!J76,IF(AK201=summaryref2!B90,summaryref2!J90,IF(AK201=summaryref2!B104,summaryref2!J104,IF(AK201=summaryref2!B118,summaryref2!J118,IF(AK201=summaryref2!B132,summaryref2!J132,IF(AK201=summaryref2!B146,summaryref2!J146,"")))))))))))</f>
        <v>#REF!</v>
      </c>
      <c r="AU201" s="1121" t="e">
        <f>IF('A-80 DirEntInv'!#REF!&lt;&gt;"",'A-80 DirEntInv'!#REF!,IF(AK201=summaryref2!B20,summaryref2!K20,IF(Summary!AK201=summaryref2!B34,summaryref2!K34,IF(AK201=summaryref2!B48,summaryref2!K48,IF(AK201=summaryref2!B62,summaryref2!K62,IF(AK201=summaryref2!B76,summaryref2!K76,IF(AK201=summaryref2!B90,summaryref2!K90,IF(AK201=summaryref2!B104,summaryref2!K104,IF(AK201=summaryref2!B118,summaryref2!K118,IF(AK201=summaryref2!B132,summaryref2!K132,IF(AK201=summaryref2!B146,summaryref2!K146,"")))))))))))</f>
        <v>#REF!</v>
      </c>
      <c r="AV201" s="1121" t="e">
        <f>IF('A-80 DirEntInv'!#REF!&lt;&gt;"",'A-80 DirEntInv'!#REF!,IF(AK201=summaryref2!B20,summaryref2!L20,IF(Summary!AK201=summaryref2!B34,summaryref2!L34,IF(AK201=summaryref2!B48,summaryref2!L48,IF(AK201=summaryref2!B62,summaryref2!L62,IF(AK201=summaryref2!B76,summaryref2!L76,IF(AK201=summaryref2!B90,summaryref2!L90,IF(AK201=summaryref2!B104,summaryref2!L104,IF(AK201=summaryref2!B118,summaryref2!L118,IF(AK201=summaryref2!B132,summaryref2!L132,IF(AK201=summaryref2!B146,summaryref2!L146,"")))))))))))</f>
        <v>#REF!</v>
      </c>
      <c r="AW201" s="1121" t="e">
        <f>IF('A-80 DirEntInv'!#REF!&lt;&gt;"",'A-80 DirEntInv'!#REF!,IF(AK201=summaryref2!B20,summaryref2!M20,IF(Summary!AK201=summaryref2!B34,summaryref2!M34,IF(AK201=summaryref2!B48,summaryref2!M48,IF(AK201=summaryref2!B62,summaryref2!M62,IF(AK201=summaryref2!B76,summaryref2!M76,IF(AK201=summaryref2!B90,summaryref2!M90,IF(AK201=summaryref2!B104,summaryref2!M104,IF(AK201=summaryref2!B118,summaryref2!M118,IF(AK201=summaryref2!B132,summaryref2!M132,IF(AK201=summaryref2!B146,summaryref2!M146,"")))))))))))</f>
        <v>#REF!</v>
      </c>
      <c r="AX201" s="1121" t="e">
        <f>IF('A-80 DirEntInv'!#REF!&lt;&gt;"",'A-80 DirEntInv'!#REF!,IF(AK201=summaryref2!B20,summaryref2!N20,IF(Summary!AK201=summaryref2!B34,summaryref2!N34,IF(AK201=summaryref2!B48,summaryref2!N48,IF(AK201=summaryref2!B62,summaryref2!N62,IF(AK201=summaryref2!B76,summaryref2!N76,IF(AK201=summaryref2!B90,summaryref2!N90,IF(AK201=summaryref2!B104,summaryref2!N104,IF(AK201=summaryref2!B118,summaryref2!N118,IF(AK201=summaryref2!B132,summaryref2!N132,IF(AK201=summaryref2!B146,summaryref2!N146,"")))))))))))</f>
        <v>#REF!</v>
      </c>
      <c r="AY201" s="1121" t="e">
        <f>IF('A-80 DirEntInv'!#REF!&lt;&gt;"",'A-80 DirEntInv'!#REF!,IF(AK201=summaryref2!B20,summaryref2!O20,IF(Summary!AK201=summaryref2!B34,summaryref2!O34,IF(AK201=summaryref2!B48,summaryref2!O48,IF(AK201=summaryref2!B62,summaryref2!O62,IF(AK201=summaryref2!B76,summaryref2!O76,IF(AK201=summaryref2!B90,summaryref2!O90,IF(AK201=summaryref2!B104,summaryref2!O104,IF(AK201=summaryref2!B118,summaryref2!O118,IF(AK201=summaryref2!B132,summaryref2!O132,IF(AK201=summaryref2!B146,summaryref2!O146,"")))))))))))</f>
        <v>#REF!</v>
      </c>
      <c r="AZ201" s="1121" t="e">
        <f>IF('A-80 DirEntInv'!#REF!&lt;&gt;"",'A-80 DirEntInv'!#REF!,IF(AK201=summaryref2!B20,summaryref2!P20,IF(Summary!AK201=summaryref2!B34,summaryref2!P34,IF(AK201=summaryref2!B48,summaryref2!P48,IF(AK201=summaryref2!B62,summaryref2!P62,IF(AK201=summaryref2!B76,summaryref2!P76,IF(AK201=summaryref2!B90,summaryref2!P90,IF(AK201=summaryref2!B104,summaryref2!P104,IF(AK201=summaryref2!B118,summaryref2!P118,IF(AK201=summaryref2!B132,summaryref2!P132,IF(AK201=summaryref2!B146,summaryref2!P146,"")))))))))))</f>
        <v>#REF!</v>
      </c>
      <c r="BA201" s="1121" t="e">
        <f>IF('A-80 DirEntInv'!#REF!&lt;&gt;"",'A-80 DirEntInv'!#REF!,IF(AK201=summaryref2!B20,summaryref2!Q20,IF(Summary!AK201=summaryref2!B34,summaryref2!Q34,IF(AK201=summaryref2!B48,summaryref2!Q48,IF(AK201=summaryref2!B62,summaryref2!Q62,IF(AK201=summaryref2!B76,summaryref2!Q76,IF(AK201=summaryref2!B90,summaryref2!Q90,IF(AK201=summaryref2!B104,summaryref2!Q104,IF(AK201=summaryref2!B118,summaryref2!Q118,IF(AK201=summaryref2!B132,summaryref2!Q132,IF(AK201=summaryref2!B146,summaryref2!Q146,"")))))))))))</f>
        <v>#REF!</v>
      </c>
      <c r="BB201" s="1121" t="e">
        <f>IF('A-80 DirEntInv'!#REF!&lt;&gt;"",'A-80 DirEntInv'!#REF!,IF(AK201=summaryref2!B20,summaryref2!R20,IF(Summary!AK201=summaryref2!B34,summaryref2!R34,IF(AK201=summaryref2!B48,summaryref2!R48,IF(AK201=summaryref2!B62,summaryref2!R62,IF(AK201=summaryref2!B76,summaryref2!R76,IF(AK201=summaryref2!B90,summaryref2!R90,IF(AK201=summaryref2!B104,summaryref2!R104,IF(AK201=summaryref2!B118,summaryref2!R118,IF(AK201=summaryref2!B132,summaryref2!R132,IF(AK201=summaryref2!B146,summaryref2!R146,"")))))))))))</f>
        <v>#REF!</v>
      </c>
      <c r="BC201" s="1121" t="e">
        <f>IF('A-80 DirEntInv'!#REF!&lt;&gt;0,'A-80 DirEntInv'!#REF!,IF(AK201=summaryref2!B20,summaryref2!S20,IF(Summary!AK201=summaryref2!B34,summaryref2!S34,IF(AK201=summaryref2!B48,summaryref2!S48,IF(AK201=summaryref2!B62,summaryref2!S62,IF(AK201=summaryref2!B76,summaryref2!S76,IF(AK201=summaryref2!B90,summaryref2!S90,IF(AK201=summaryref2!B104,summaryref2!S104,IF(AK201=summaryref2!B118,summaryref2!S118,IF(AK201=summaryref2!B132,summaryref2!S132,IF(AK201=summaryref2!B146,summaryref2!S146,"")))))))))))</f>
        <v>#REF!</v>
      </c>
      <c r="BD201" s="1122" t="e">
        <f>IF('A-80 DirEntInv'!#REF!&lt;&gt;"",'A-80 DirEntInv'!#REF!,IF(AK201=summaryref2!B20,summaryref2!T20,IF(Summary!AK201=summaryref2!B34,summaryref2!T34,IF(AK201=summaryref2!B48,summaryref2!T48,IF(AK201=summaryref2!B62,summaryref2!T62,IF(AK201=summaryref2!B76,summaryref2!T76,IF(AK201=summaryref2!B90,summaryref2!T90,IF(AK201=summaryref2!B104,summaryref2!T104,IF(AK201=summaryref2!B118,summaryref2!T118,IF(AK201=summaryref2!B132,summaryref2!T132,IF(AK201=summaryref2!B146,summaryref2!T146,"")))))))))))</f>
        <v>#REF!</v>
      </c>
      <c r="BE201" s="1190" t="e">
        <f>IF('A-80 DirEntInv'!#REF!&lt;&gt;"",'A-80 DirEntInv'!#REF!,IF(AK201=summaryref2!B20,summaryref2!U20,IF(Summary!AK201=summaryref2!B34,summaryref2!U34,IF(AK201=summaryref2!B48,summaryref2!U48,IF(AK201=summaryref2!B62,summaryref2!U62,IF(AK201=summaryref2!B76,summaryref2!U76,IF(AK201=summaryref2!B90,summaryref2!U90,IF(AK201=summaryref2!B104,summaryref2!U104,IF(AK201=summaryref2!B118,summaryref2!U118,IF(AK201=summaryref2!B132,summaryref2!U132,IF(AK201=summaryref2!B146,summaryref2!U146,"")))))))))))</f>
        <v>#REF!</v>
      </c>
      <c r="BF201" s="1432"/>
      <c r="BG201" s="1432"/>
      <c r="BU201" s="962"/>
      <c r="CD201" s="589"/>
      <c r="CE201" s="590"/>
      <c r="CF201" s="590"/>
      <c r="CG201" s="590"/>
      <c r="CH201" s="590"/>
      <c r="CI201" s="590"/>
      <c r="CJ201" s="589"/>
      <c r="CK201" s="589"/>
      <c r="CL201" s="589"/>
      <c r="CM201" s="587"/>
      <c r="CN201" s="587"/>
      <c r="CO201" s="589"/>
      <c r="CP201" s="587"/>
      <c r="CQ201" s="592"/>
      <c r="CR201" s="589"/>
      <c r="CS201" s="592"/>
      <c r="CT201" s="589"/>
      <c r="CU201" s="589"/>
      <c r="CV201" s="589"/>
      <c r="CW201" s="587"/>
      <c r="CX201" s="590"/>
      <c r="CY201" s="590"/>
      <c r="CZ201" s="590"/>
      <c r="DA201" s="1054"/>
      <c r="DB201" s="1054"/>
      <c r="DC201" s="587"/>
      <c r="DD201" s="587"/>
    </row>
    <row r="202" spans="1:108" s="588" customFormat="1" ht="13.5" thickTop="1" x14ac:dyDescent="0.2">
      <c r="A202" s="589">
        <f t="shared" si="2"/>
        <v>192</v>
      </c>
      <c r="B202" s="587"/>
      <c r="C202" s="587"/>
      <c r="D202" s="587"/>
      <c r="J202" s="589"/>
      <c r="K202" s="590"/>
      <c r="L202" s="591"/>
      <c r="M202" s="592"/>
      <c r="N202" s="589"/>
      <c r="O202" s="587"/>
      <c r="R202" s="1052"/>
      <c r="S202" s="1052"/>
      <c r="T202" s="1052"/>
      <c r="U202" s="1052"/>
      <c r="V202" s="1052"/>
      <c r="W202" s="1053"/>
      <c r="X202" s="1053"/>
      <c r="Y202" s="1053"/>
      <c r="Z202" s="1052"/>
      <c r="AA202" s="1052"/>
      <c r="AB202" s="962"/>
      <c r="AC202" s="590"/>
      <c r="AD202" s="590"/>
      <c r="AE202" s="591"/>
      <c r="AF202" s="592"/>
      <c r="AG202" s="1053"/>
      <c r="AH202" s="587"/>
      <c r="AK202" s="1181" t="str">
        <f>Codes!$C$169</f>
        <v>SR - Streetcar Rail (DO)</v>
      </c>
      <c r="AL202" s="1182" t="str">
        <f>Valid!$B$87</f>
        <v>Substation Building</v>
      </c>
      <c r="AM202" s="1123" t="e">
        <f>IF('A-80 DirEntInv'!#REF!&lt;&gt;"",'A-80 DirEntInv'!#REF!,IF(AK202=summaryref2!B21,summaryref2!D21,IF(Summary!AK202=summaryref2!B35,summaryref2!D35,IF(AK202=summaryref2!B49,summaryref2!D49,IF(AK202=summaryref2!B63,summaryref2!D63,IF(AK202=summaryref2!B77,summaryref2!D77,IF(AK202=summaryref2!B91,summaryref2!D91,IF(AK202=summaryref2!B105,summaryref2!D105,IF(AK202=summaryref2!B119,summaryref2!D119,IF(AK202=summaryref2!B133,summaryref2!D133,IF(AK202=summaryref2!B197,summaryref2!D147,"")))))))))))</f>
        <v>#REF!</v>
      </c>
      <c r="AN202" s="1124" t="s">
        <v>13</v>
      </c>
      <c r="AO202" s="1123"/>
      <c r="AP202" s="1124"/>
      <c r="AQ202" s="1149" t="e">
        <f>IF('A-80 DirEntInv'!#REF!&lt;&gt;"",'A-80 DirEntInv'!#REF!,IF(AK202=summaryref2!B21,summaryref2!G21,IF(Summary!AK202=summaryref2!B35,summaryref2!G35,IF(AK202=summaryref2!B49,summaryref2!G49,IF(AK202=summaryref2!B63,summaryref2!G63,IF(AK202=summaryref2!B77,summaryref2!G77,IF(AK202=summaryref2!B91,summaryref2!G91,IF(AK202=summaryref2!B105,summaryref2!G105,IF(AK202=summaryref2!B119,summaryref2!G119,IF(AK202=summaryref2!B133,summaryref2!G133,IF(AK202=summaryref2!B147,summaryref2!G147,"")))))))))))</f>
        <v>#REF!</v>
      </c>
      <c r="AR202" s="1149" t="e">
        <f>IF('A-80 DirEntInv'!#REF!&lt;&gt;"",'A-80 DirEntInv'!#REF!,IF(AK202=summaryref2!B21,summaryref2!H21,IF(Summary!AK202=summaryref2!B35,summaryref2!H35,IF(AK202=summaryref2!B49,summaryref2!H49,IF(AK202=summaryref2!B63,summaryref2!H63,IF(AK202=summaryref2!B77,summaryref2!H77,IF(AK202=summaryref2!B91,summaryref2!H91,IF(AK202=summaryref2!B105,summaryref2!H105,IF(AK202=summaryref2!B119,summaryref2!H119,IF(AK202=summaryref2!B133,summaryref2!H133,IF(AK202=summaryref2!B147,summaryref2!H147,"")))))))))))</f>
        <v>#REF!</v>
      </c>
      <c r="AS202" s="1125" t="e">
        <f>IF('A-80 DirEntInv'!#REF!&lt;&gt;"",'A-80 DirEntInv'!#REF!,IF(AK202=summaryref2!B21,summaryref2!I21,IF(Summary!AK202=summaryref2!B35,summaryref2!I35,IF(AK202=summaryref2!B49,summaryref2!I49,IF(AK202=summaryref2!B63,summaryref2!I63,IF(AK202=summaryref2!B77,summaryref2!I77,IF(AK202=summaryref2!B91,summaryref2!I91,IF(AK202=summaryref2!B105,summaryref2!I105,IF(AK202=summaryref2!B119,summaryref2!I119,IF(AK202=summaryref2!B133,summaryref2!I133,IF(AK202=summaryref2!B147,summaryref2!I147,"")))))))))))</f>
        <v>#REF!</v>
      </c>
      <c r="AT202" s="1125" t="e">
        <f>IF('A-80 DirEntInv'!#REF!&lt;&gt;"",'A-80 DirEntInv'!#REF!,IF(AK202=summaryref2!B21,summaryref2!J21,IF(Summary!AK202=summaryref2!B35,summaryref2!J35,IF(AK202=summaryref2!B49,summaryref2!J49,IF(AK202=summaryref2!B63,summaryref2!J63,IF(AK202=summaryref2!B77,summaryref2!J77,IF(AK202=summaryref2!B91,summaryref2!J91,IF(AK202=summaryref2!B105,summaryref2!J105,IF(AK202=summaryref2!B119,summaryref2!J119,IF(AK202=summaryref2!B133,summaryref2!J133,IF(AK202=summaryref2!B147,summaryref2!J147,"")))))))))))</f>
        <v>#REF!</v>
      </c>
      <c r="AU202" s="1125" t="e">
        <f>IF('A-80 DirEntInv'!#REF!&lt;&gt;"",'A-80 DirEntInv'!#REF!,IF(AK202=summaryref2!B21,summaryref2!K21,IF(Summary!AK202=summaryref2!B35,summaryref2!K35,IF(AK202=summaryref2!B49,summaryref2!K49,IF(AK202=summaryref2!B63,summaryref2!K63,IF(AK202=summaryref2!B77,summaryref2!K77,IF(AK202=summaryref2!B91,summaryref2!K91,IF(AK202=summaryref2!B105,summaryref2!K105,IF(AK202=summaryref2!B119,summaryref2!K119,IF(AK202=summaryref2!B133,summaryref2!K133,IF(AK202=summaryref2!B147,summaryref2!K147,"")))))))))))</f>
        <v>#REF!</v>
      </c>
      <c r="AV202" s="1125" t="e">
        <f>IF('A-80 DirEntInv'!#REF!&lt;&gt;"",'A-80 DirEntInv'!#REF!,IF(AK202=summaryref2!B21,summaryref2!L21,IF(Summary!AK202=summaryref2!B35,summaryref2!L35,IF(AK202=summaryref2!B49,summaryref2!L49,IF(AK202=summaryref2!B63,summaryref2!L63,IF(AK202=summaryref2!B77,summaryref2!L77,IF(AK202=summaryref2!B91,summaryref2!L91,IF(AK202=summaryref2!B105,summaryref2!L105,IF(AK202=summaryref2!B119,summaryref2!L119,IF(AK202=summaryref2!B133,summaryref2!L133,IF(AK202=summaryref2!B147,summaryref2!L147,"")))))))))))</f>
        <v>#REF!</v>
      </c>
      <c r="AW202" s="1125" t="e">
        <f>IF('A-80 DirEntInv'!#REF!&lt;&gt;"",'A-80 DirEntInv'!#REF!,IF(AK202=summaryref2!B21,summaryref2!M21,IF(Summary!AK202=summaryref2!B35,summaryref2!M35,IF(AK202=summaryref2!B49,summaryref2!M49,IF(AK202=summaryref2!B63,summaryref2!M63,IF(AK202=summaryref2!B77,summaryref2!M77,IF(AK202=summaryref2!B91,summaryref2!M91,IF(AK202=summaryref2!B105,summaryref2!M105,IF(AK202=summaryref2!B119,summaryref2!M119,IF(AK202=summaryref2!B133,summaryref2!M133,IF(AK202=summaryref2!B147,summaryref2!M147,"")))))))))))</f>
        <v>#REF!</v>
      </c>
      <c r="AX202" s="1125" t="e">
        <f>IF('A-80 DirEntInv'!#REF!&lt;&gt;"",'A-80 DirEntInv'!#REF!,IF(AK202=summaryref2!B21,summaryref2!N21,IF(Summary!AK202=summaryref2!B35,summaryref2!N35,IF(AK202=summaryref2!B49,summaryref2!N49,IF(AK202=summaryref2!B63,summaryref2!N63,IF(AK202=summaryref2!B77,summaryref2!N77,IF(AK202=summaryref2!B91,summaryref2!N91,IF(AK202=summaryref2!B105,summaryref2!N105,IF(AK202=summaryref2!B119,summaryref2!N119,IF(AK202=summaryref2!B133,summaryref2!N133,IF(AK202=summaryref2!B147,summaryref2!N147,"")))))))))))</f>
        <v>#REF!</v>
      </c>
      <c r="AY202" s="1125" t="e">
        <f>IF('A-80 DirEntInv'!#REF!&lt;&gt;"",'A-80 DirEntInv'!#REF!,IF(AK202=summaryref2!B21,summaryref2!O21,IF(Summary!AK202=summaryref2!B35,summaryref2!O35,IF(AK202=summaryref2!B49,summaryref2!O49,IF(AK202=summaryref2!B63,summaryref2!O63,IF(AK202=summaryref2!B77,summaryref2!O77,IF(AK202=summaryref2!B91,summaryref2!O91,IF(AK202=summaryref2!B105,summaryref2!O105,IF(AK202=summaryref2!B119,summaryref2!O119,IF(AK202=summaryref2!B133,summaryref2!O133,IF(AK202=summaryref2!B147,summaryref2!O147,"")))))))))))</f>
        <v>#REF!</v>
      </c>
      <c r="AZ202" s="1125" t="e">
        <f>IF('A-80 DirEntInv'!#REF!&lt;&gt;"",'A-80 DirEntInv'!#REF!,IF(AK202=summaryref2!B21,summaryref2!P21,IF(Summary!AK202=summaryref2!B35,summaryref2!P35,IF(AK202=summaryref2!B49,summaryref2!P49,IF(AK202=summaryref2!B63,summaryref2!P63,IF(AK202=summaryref2!B77,summaryref2!P77,IF(AK202=summaryref2!B91,summaryref2!P91,IF(AK202=summaryref2!B105,summaryref2!P105,IF(AK202=summaryref2!B119,summaryref2!P119,IF(AK202=summaryref2!B133,summaryref2!P133,IF(AK202=summaryref2!B147,summaryref2!P147,"")))))))))))</f>
        <v>#REF!</v>
      </c>
      <c r="BA202" s="1125" t="e">
        <f>IF('A-80 DirEntInv'!#REF!&lt;&gt;"",'A-80 DirEntInv'!#REF!,IF(AK202=summaryref2!B21,summaryref2!Q21,IF(Summary!AK202=summaryref2!B35,summaryref2!Q35,IF(AK202=summaryref2!B49,summaryref2!Q49,IF(AK202=summaryref2!B63,summaryref2!Q63,IF(AK202=summaryref2!B77,summaryref2!Q77,IF(AK202=summaryref2!B91,summaryref2!Q91,IF(AK202=summaryref2!B105,summaryref2!Q105,IF(AK202=summaryref2!B119,summaryref2!Q119,IF(AK202=summaryref2!B133,summaryref2!Q133,IF(AK202=summaryref2!B147,summaryref2!Q147,"")))))))))))</f>
        <v>#REF!</v>
      </c>
      <c r="BB202" s="1125" t="e">
        <f>IF('A-80 DirEntInv'!#REF!&lt;&gt;"",'A-80 DirEntInv'!#REF!,IF(AK202=summaryref2!B21,summaryref2!R21,IF(Summary!AK202=summaryref2!B35,summaryref2!R35,IF(AK202=summaryref2!B49,summaryref2!R49,IF(AK202=summaryref2!B63,summaryref2!R63,IF(AK202=summaryref2!B77,summaryref2!R77,IF(AK202=summaryref2!B91,summaryref2!R91,IF(AK202=summaryref2!B105,summaryref2!R105,IF(AK202=summaryref2!B119,summaryref2!R119,IF(AK202=summaryref2!B133,summaryref2!R133,IF(AK202=summaryref2!B147,summaryref2!R147,"")))))))))))</f>
        <v>#REF!</v>
      </c>
      <c r="BC202" s="1125" t="e">
        <f>IF('A-80 DirEntInv'!#REF!&lt;&gt;0,'A-80 DirEntInv'!#REF!,IF(AK202=summaryref2!B21,summaryref2!S21,IF(Summary!AK202=summaryref2!B35,summaryref2!S35,IF(AK202=summaryref2!B49,summaryref2!S49,IF(AK202=summaryref2!B63,summaryref2!S63,IF(AK202=summaryref2!B77,summaryref2!S77,IF(AK202=summaryref2!B91,summaryref2!S91,IF(AK202=summaryref2!B105,summaryref2!S105,IF(AK202=summaryref2!B119,summaryref2!S119,IF(AK202=summaryref2!B133,summaryref2!S133,IF(AK202=summaryref2!B147,summaryref2!S147,"")))))))))))</f>
        <v>#REF!</v>
      </c>
      <c r="BD202" s="1126" t="e">
        <f>IF('A-80 DirEntInv'!#REF!&lt;&gt;"",'A-80 DirEntInv'!#REF!,IF(AK202=summaryref2!B21,summaryref2!T21,IF(Summary!AK202=summaryref2!B35,summaryref2!T35,IF(AK202=summaryref2!B49,summaryref2!T49,IF(AK202=summaryref2!B63,summaryref2!T63,IF(AK202=summaryref2!B77,summaryref2!T77,IF(AK202=summaryref2!B91,summaryref2!T91,IF(AK202=summaryref2!B105,summaryref2!T105,IF(AK202=summaryref2!B119,summaryref2!T119,IF(AK202=summaryref2!B133,summaryref2!T133,IF(AK202=summaryref2!B147,summaryref2!T147,"")))))))))))</f>
        <v>#REF!</v>
      </c>
      <c r="BE202" s="1183" t="e">
        <f>IF('A-80 DirEntInv'!#REF!&lt;&gt;"",'A-80 DirEntInv'!#REF!,IF(AK202=summaryref2!B21,summaryref2!U21,IF(Summary!AK202=summaryref2!B35,summaryref2!U35,IF(AK202=summaryref2!B49,summaryref2!U49,IF(AK202=summaryref2!B63,summaryref2!U63,IF(AK202=summaryref2!B77,summaryref2!U77,IF(AK202=summaryref2!B91,summaryref2!U91,IF(AK202=summaryref2!B105,summaryref2!U105,IF(AK202=summaryref2!B119,summaryref2!U119,IF(AK202=summaryref2!B133,summaryref2!U133,IF(AK202=summaryref2!B147,summaryref2!U147,"")))))))))))</f>
        <v>#REF!</v>
      </c>
      <c r="BF202" s="1432"/>
      <c r="BG202" s="1432"/>
      <c r="BU202" s="962"/>
      <c r="CD202" s="589"/>
      <c r="CE202" s="590"/>
      <c r="CF202" s="590"/>
      <c r="CG202" s="590"/>
      <c r="CH202" s="590"/>
      <c r="CI202" s="590"/>
      <c r="CJ202" s="589"/>
      <c r="CK202" s="589"/>
      <c r="CL202" s="589"/>
      <c r="CM202" s="587"/>
      <c r="CN202" s="587"/>
      <c r="CO202" s="589"/>
      <c r="CP202" s="587"/>
      <c r="CQ202" s="592"/>
      <c r="CR202" s="589"/>
      <c r="CS202" s="592"/>
      <c r="CT202" s="589"/>
      <c r="CU202" s="589"/>
      <c r="CV202" s="589"/>
      <c r="CW202" s="587"/>
      <c r="CX202" s="590"/>
      <c r="CY202" s="590"/>
      <c r="CZ202" s="590"/>
      <c r="DA202" s="1054"/>
      <c r="DB202" s="1054"/>
      <c r="DC202" s="587"/>
      <c r="DD202" s="587"/>
    </row>
    <row r="203" spans="1:108" s="588" customFormat="1" x14ac:dyDescent="0.2">
      <c r="A203" s="589">
        <f t="shared" si="2"/>
        <v>193</v>
      </c>
      <c r="B203" s="587"/>
      <c r="C203" s="587"/>
      <c r="D203" s="587"/>
      <c r="J203" s="589"/>
      <c r="K203" s="590"/>
      <c r="L203" s="591"/>
      <c r="M203" s="592"/>
      <c r="N203" s="589"/>
      <c r="O203" s="587"/>
      <c r="R203" s="1052"/>
      <c r="S203" s="1052"/>
      <c r="T203" s="1052"/>
      <c r="U203" s="1052"/>
      <c r="V203" s="1052"/>
      <c r="W203" s="1053"/>
      <c r="X203" s="1053"/>
      <c r="Y203" s="1053"/>
      <c r="Z203" s="1052"/>
      <c r="AA203" s="1052"/>
      <c r="AB203" s="962"/>
      <c r="AC203" s="590"/>
      <c r="AD203" s="590"/>
      <c r="AE203" s="591"/>
      <c r="AF203" s="592"/>
      <c r="AG203" s="1053"/>
      <c r="AH203" s="587"/>
      <c r="AK203" s="1041" t="str">
        <f>Codes!$C$169</f>
        <v>SR - Streetcar Rail (DO)</v>
      </c>
      <c r="AL203" s="1042" t="str">
        <f>Valid!$B$88</f>
        <v>Substation Equipment</v>
      </c>
      <c r="AM203" s="1187"/>
      <c r="AN203" s="1046"/>
      <c r="AO203" s="1187"/>
      <c r="AP203" s="1046"/>
      <c r="AQ203" s="1147" t="e">
        <f>IF('A-80 DirEntInv'!#REF!&lt;&gt;"",'A-80 DirEntInv'!#REF!,IF(AK203=summaryref2!B22,summaryref2!G22,IF(Summary!AK203=summaryref2!B36,summaryref2!G36,IF(AK203=summaryref2!B50,summaryref2!G50,IF(AK203=summaryref2!B64,summaryref2!G64,IF(AK203=summaryref2!B78,summaryref2!G78,IF(AK203=summaryref2!B92,summaryref2!G92,IF(AK203=summaryref2!B106,summaryref2!G106,IF(AK203=summaryref2!B120,summaryref2!G120,IF(AK203=summaryref2!B134,summaryref2!G134,IF(AK203=summaryref2!B148,summaryref2!G148,"")))))))))))</f>
        <v>#REF!</v>
      </c>
      <c r="AR203" s="1147" t="e">
        <f>IF('A-80 DirEntInv'!#REF!&lt;&gt;"",'A-80 DirEntInv'!#REF!,IF(AK203=summaryref2!B22,summaryref2!H22,IF(Summary!AK203=summaryref2!B36,summaryref2!H36,IF(AK203=summaryref2!B50,summaryref2!H50,IF(AK203=summaryref2!B64,summaryref2!H64,IF(AK203=summaryref2!B78,summaryref2!H78,IF(AK203=summaryref2!B92,summaryref2!H92,IF(AK203=summaryref2!B106,summaryref2!H106,IF(AK203=summaryref2!B120,summaryref2!H120,IF(AK203=summaryref2!B134,summaryref2!H134,IF(AK203=summaryref2!B148,summaryref2!H148,"")))))))))))</f>
        <v>#REF!</v>
      </c>
      <c r="AS203" s="1110" t="e">
        <f>IF('A-80 DirEntInv'!#REF!&lt;&gt;"",'A-80 DirEntInv'!#REF!,IF(AK203=summaryref2!B22,summaryref2!I22,IF(Summary!AK203=summaryref2!B36,summaryref2!I36,IF(AK203=summaryref2!B50,summaryref2!I50,IF(AK203=summaryref2!B64,summaryref2!I64,IF(AK203=summaryref2!B78,summaryref2!I78,IF(AK203=summaryref2!B92,summaryref2!I92,IF(AK203=summaryref2!B106,summaryref2!I106,IF(AK203=summaryref2!B120,summaryref2!I120,IF(AK203=summaryref2!B134,summaryref2!I134,IF(AK203=summaryref2!B148,summaryref2!I148,"")))))))))))</f>
        <v>#REF!</v>
      </c>
      <c r="AT203" s="1110" t="e">
        <f>IF('A-80 DirEntInv'!#REF!&lt;&gt;"",'A-80 DirEntInv'!#REF!,IF(AK203=summaryref2!B22,summaryref2!J22,IF(Summary!AK203=summaryref2!B36,summaryref2!J36,IF(AK203=summaryref2!B50,summaryref2!J50,IF(AK203=summaryref2!B64,summaryref2!J64,IF(AK203=summaryref2!B78,summaryref2!J78,IF(AK203=summaryref2!B92,summaryref2!J92,IF(AK203=summaryref2!B106,summaryref2!J106,IF(AK203=summaryref2!B120,summaryref2!J120,IF(AK203=summaryref2!B134,summaryref2!J134,IF(AK203=summaryref2!B148,summaryref2!J148,"")))))))))))</f>
        <v>#REF!</v>
      </c>
      <c r="AU203" s="1110" t="e">
        <f>IF('A-80 DirEntInv'!#REF!&lt;&gt;"",'A-80 DirEntInv'!#REF!,IF(AK203=summaryref2!B22,summaryref2!K22,IF(Summary!AK203=summaryref2!B36,summaryref2!K36,IF(AK203=summaryref2!B50,summaryref2!K50,IF(AK203=summaryref2!B64,summaryref2!K64,IF(AK203=summaryref2!B78,summaryref2!K78,IF(AK203=summaryref2!B92,summaryref2!K92,IF(AK203=summaryref2!B106,summaryref2!K106,IF(AK203=summaryref2!B120,summaryref2!K120,IF(AK203=summaryref2!B134,summaryref2!K134,IF(AK203=summaryref2!B148,summaryref2!K148,"")))))))))))</f>
        <v>#REF!</v>
      </c>
      <c r="AV203" s="1110" t="e">
        <f>IF('A-80 DirEntInv'!#REF!&lt;&gt;"",'A-80 DirEntInv'!#REF!,IF(AK203=summaryref2!B22,summaryref2!L22,IF(Summary!AK203=summaryref2!B36,summaryref2!L36,IF(AK203=summaryref2!B50,summaryref2!L50,IF(AK203=summaryref2!B64,summaryref2!L64,IF(AK203=summaryref2!B78,summaryref2!L78,IF(AK203=summaryref2!B92,summaryref2!L92,IF(AK203=summaryref2!B106,summaryref2!L106,IF(AK203=summaryref2!B120,summaryref2!L120,IF(AK203=summaryref2!B134,summaryref2!L134,IF(AK203=summaryref2!B148,summaryref2!L148,"")))))))))))</f>
        <v>#REF!</v>
      </c>
      <c r="AW203" s="1110" t="e">
        <f>IF('A-80 DirEntInv'!#REF!&lt;&gt;"",'A-80 DirEntInv'!#REF!,IF(AK203=summaryref2!B22,summaryref2!M22,IF(Summary!AK203=summaryref2!B36,summaryref2!M36,IF(AK203=summaryref2!B50,summaryref2!M50,IF(AK203=summaryref2!B64,summaryref2!M64,IF(AK203=summaryref2!B78,summaryref2!M78,IF(AK203=summaryref2!B92,summaryref2!M92,IF(AK203=summaryref2!B106,summaryref2!M106,IF(AK203=summaryref2!B120,summaryref2!M120,IF(AK203=summaryref2!B134,summaryref2!M134,IF(AK203=summaryref2!B148,summaryref2!M148,"")))))))))))</f>
        <v>#REF!</v>
      </c>
      <c r="AX203" s="1110" t="e">
        <f>IF('A-80 DirEntInv'!#REF!&lt;&gt;"",'A-80 DirEntInv'!#REF!,IF(AK203=summaryref2!B22,summaryref2!N22,IF(Summary!AK203=summaryref2!B36,summaryref2!N36,IF(AK203=summaryref2!B50,summaryref2!N50,IF(AK203=summaryref2!B64,summaryref2!N64,IF(AK203=summaryref2!B78,summaryref2!N78,IF(AK203=summaryref2!B92,summaryref2!N92,IF(AK203=summaryref2!B106,summaryref2!N106,IF(AK203=summaryref2!B120,summaryref2!N120,IF(AK203=summaryref2!B134,summaryref2!N134,IF(AK203=summaryref2!B148,summaryref2!N148,"")))))))))))</f>
        <v>#REF!</v>
      </c>
      <c r="AY203" s="1110" t="e">
        <f>IF('A-80 DirEntInv'!#REF!&lt;&gt;"",'A-80 DirEntInv'!#REF!,IF(AK203=summaryref2!B22,summaryref2!O22,IF(Summary!AK203=summaryref2!B36,summaryref2!O36,IF(AK203=summaryref2!B50,summaryref2!O50,IF(AK203=summaryref2!B64,summaryref2!O64,IF(AK203=summaryref2!B78,summaryref2!O78,IF(AK203=summaryref2!B92,summaryref2!O92,IF(AK203=summaryref2!B106,summaryref2!O106,IF(AK203=summaryref2!B120,summaryref2!O120,IF(AK203=summaryref2!B134,summaryref2!O134,IF(AK203=summaryref2!B148,summaryref2!O148,"")))))))))))</f>
        <v>#REF!</v>
      </c>
      <c r="AZ203" s="1110" t="e">
        <f>IF('A-80 DirEntInv'!#REF!&lt;&gt;"",'A-80 DirEntInv'!#REF!,IF(AK203=summaryref2!B22,summaryref2!P22,IF(Summary!AK203=summaryref2!B36,summaryref2!P36,IF(AK203=summaryref2!B50,summaryref2!P50,IF(AK203=summaryref2!B64,summaryref2!P64,IF(AK203=summaryref2!B78,summaryref2!P78,IF(AK203=summaryref2!B92,summaryref2!P92,IF(AK203=summaryref2!B106,summaryref2!P106,IF(AK203=summaryref2!B120,summaryref2!P120,IF(AK203=summaryref2!B134,summaryref2!P134,IF(AK203=summaryref2!B148,summaryref2!P148,"")))))))))))</f>
        <v>#REF!</v>
      </c>
      <c r="BA203" s="1110" t="e">
        <f>IF('A-80 DirEntInv'!#REF!&lt;&gt;"",'A-80 DirEntInv'!#REF!,IF(AK203=summaryref2!B22,summaryref2!Q22,IF(Summary!AK203=summaryref2!B36,summaryref2!Q36,IF(AK203=summaryref2!B50,summaryref2!Q50,IF(AK203=summaryref2!B64,summaryref2!Q64,IF(AK203=summaryref2!B78,summaryref2!Q78,IF(AK203=summaryref2!B92,summaryref2!Q92,IF(AK203=summaryref2!B106,summaryref2!Q106,IF(AK203=summaryref2!B120,summaryref2!Q120,IF(AK203=summaryref2!B134,summaryref2!Q134,IF(AK203=summaryref2!B148,summaryref2!Q148,"")))))))))))</f>
        <v>#REF!</v>
      </c>
      <c r="BB203" s="1110" t="e">
        <f>IF('A-80 DirEntInv'!#REF!&lt;&gt;"",'A-80 DirEntInv'!#REF!,IF(AK203=summaryref2!B22,summaryref2!R22,IF(Summary!AK203=summaryref2!B36,summaryref2!R36,IF(AK203=summaryref2!B50,summaryref2!R50,IF(AK203=summaryref2!B64,summaryref2!R64,IF(AK203=summaryref2!B78,summaryref2!R78,IF(AK203=summaryref2!B92,summaryref2!R92,IF(AK203=summaryref2!B106,summaryref2!R106,IF(AK203=summaryref2!B120,summaryref2!R120,IF(AK203=summaryref2!B134,summaryref2!R134,IF(AK203=summaryref2!B148,summaryref2!R148,"")))))))))))</f>
        <v>#REF!</v>
      </c>
      <c r="BC203" s="1110" t="e">
        <f>IF('A-80 DirEntInv'!#REF!&lt;&gt;0,'A-80 DirEntInv'!#REF!,IF(AK203=summaryref2!B22,summaryref2!S22,IF(Summary!AK203=summaryref2!B36,summaryref2!S36,IF(AK203=summaryref2!B50,summaryref2!S50,IF(AK203=summaryref2!B64,summaryref2!S64,IF(AK203=summaryref2!B78,summaryref2!S78,IF(AK203=summaryref2!B92,summaryref2!S92,IF(AK203=summaryref2!B106,summaryref2!S106,IF(AK203=summaryref2!B120,summaryref2!S120,IF(AK203=summaryref2!B134,summaryref2!S134,IF(AK203=summaryref2!B148,summaryref2!S148,"")))))))))))</f>
        <v>#REF!</v>
      </c>
      <c r="BD203" s="1111" t="e">
        <f>IF('A-80 DirEntInv'!#REF!&lt;&gt;"",'A-80 DirEntInv'!#REF!,IF(AK203=summaryref2!B22,summaryref2!T22,IF(Summary!AK203=summaryref2!B36,summaryref2!T36,IF(AK203=summaryref2!B50,summaryref2!T50,IF(AK203=summaryref2!B64,summaryref2!T64,IF(AK203=summaryref2!B78,summaryref2!T78,IF(AK203=summaryref2!B92,summaryref2!T92,IF(AK203=summaryref2!B106,summaryref2!T106,IF(AK203=summaryref2!B120,summaryref2!T120,IF(AK203=summaryref2!B134,summaryref2!T134,IF(AK203=summaryref2!B148,summaryref2!T148,"")))))))))))</f>
        <v>#REF!</v>
      </c>
      <c r="BE203" s="1184" t="e">
        <f>IF('A-80 DirEntInv'!#REF!&lt;&gt;"",'A-80 DirEntInv'!#REF!,IF(AK203=summaryref2!B22,summaryref2!U22,IF(Summary!AK203=summaryref2!B36,summaryref2!U36,IF(AK203=summaryref2!B50,summaryref2!U50,IF(AK203=summaryref2!B64,summaryref2!U64,IF(AK203=summaryref2!B78,summaryref2!U78,IF(AK203=summaryref2!B92,summaryref2!U92,IF(AK203=summaryref2!B106,summaryref2!U106,IF(AK203=summaryref2!B120,summaryref2!U120,IF(AK203=summaryref2!B134,summaryref2!U134,IF(AK203=summaryref2!B148,summaryref2!U148,"")))))))))))</f>
        <v>#REF!</v>
      </c>
      <c r="BF203" s="1432"/>
      <c r="BG203" s="1432"/>
      <c r="BU203" s="962"/>
      <c r="CD203" s="589"/>
      <c r="CE203" s="590"/>
      <c r="CF203" s="590"/>
      <c r="CG203" s="590"/>
      <c r="CH203" s="590"/>
      <c r="CI203" s="590"/>
      <c r="CJ203" s="589"/>
      <c r="CK203" s="589"/>
      <c r="CL203" s="589"/>
      <c r="CM203" s="587"/>
      <c r="CN203" s="587"/>
      <c r="CO203" s="589"/>
      <c r="CP203" s="587"/>
      <c r="CQ203" s="592"/>
      <c r="CR203" s="589"/>
      <c r="CS203" s="592"/>
      <c r="CT203" s="589"/>
      <c r="CU203" s="589"/>
      <c r="CV203" s="589"/>
      <c r="CW203" s="587"/>
      <c r="CX203" s="590"/>
      <c r="CY203" s="590"/>
      <c r="CZ203" s="590"/>
      <c r="DA203" s="1054"/>
      <c r="DB203" s="1054"/>
      <c r="DC203" s="587"/>
      <c r="DD203" s="587"/>
    </row>
    <row r="204" spans="1:108" s="588" customFormat="1" x14ac:dyDescent="0.2">
      <c r="A204" s="589">
        <f t="shared" si="2"/>
        <v>194</v>
      </c>
      <c r="B204" s="587"/>
      <c r="C204" s="587"/>
      <c r="D204" s="587"/>
      <c r="J204" s="589"/>
      <c r="K204" s="590"/>
      <c r="L204" s="591"/>
      <c r="M204" s="592"/>
      <c r="N204" s="589"/>
      <c r="O204" s="587"/>
      <c r="R204" s="1052"/>
      <c r="S204" s="1052"/>
      <c r="T204" s="1052"/>
      <c r="U204" s="1052"/>
      <c r="V204" s="1052"/>
      <c r="W204" s="1053"/>
      <c r="X204" s="1053"/>
      <c r="Y204" s="1053"/>
      <c r="Z204" s="1052"/>
      <c r="AA204" s="1052"/>
      <c r="AB204" s="962"/>
      <c r="AC204" s="590"/>
      <c r="AD204" s="590"/>
      <c r="AE204" s="591"/>
      <c r="AF204" s="592"/>
      <c r="AG204" s="1053"/>
      <c r="AH204" s="587"/>
      <c r="AK204" s="1041" t="str">
        <f>Codes!$C$169</f>
        <v>SR - Streetcar Rail (DO)</v>
      </c>
      <c r="AL204" s="1042" t="str">
        <f>Valid!$B$89</f>
        <v>Third Rail/Power Distribution</v>
      </c>
      <c r="AM204" s="1108"/>
      <c r="AN204" s="1042"/>
      <c r="AO204" s="1108"/>
      <c r="AP204" s="1042"/>
      <c r="AQ204" s="1147" t="e">
        <f>IF('A-80 DirEntInv'!#REF!&lt;&gt;"",'A-80 DirEntInv'!#REF!,IF(AK204=summaryref2!B23,summaryref2!G23,IF(Summary!AK204=summaryref2!B37,summaryref2!G37,IF(AK204=summaryref2!B51,summaryref2!G51,IF(AK204=summaryref2!B65,summaryref2!G65,IF(AK204=summaryref2!B79,summaryref2!G79,IF(AK204=summaryref2!B93,summaryref2!G93,IF(AK204=summaryref2!B107,summaryref2!G107,IF(AK204=summaryref2!B121,summaryref2!G121,IF(AK204=summaryref2!B135,summaryref2!G135,IF(AK204=summaryref2!B149,summaryref2!G149,"")))))))))))</f>
        <v>#REF!</v>
      </c>
      <c r="AR204" s="1147" t="e">
        <f>IF('A-80 DirEntInv'!#REF!&lt;&gt;"",'A-80 DirEntInv'!#REF!,IF(AK204=summaryref2!B23,summaryref2!H23,IF(Summary!AK204=summaryref2!B37,summaryref2!H37,IF(AK204=summaryref2!B51,summaryref2!H51,IF(AK204=summaryref2!B65,summaryref2!H65,IF(AK204=summaryref2!B79,summaryref2!H79,IF(AK204=summaryref2!B93,summaryref2!H93,IF(AK204=summaryref2!B107,summaryref2!H107,IF(AK204=summaryref2!B121,summaryref2!H121,IF(AK204=summaryref2!B135,summaryref2!H135,IF(AK204=summaryref2!B149,summaryref2!H149,"")))))))))))</f>
        <v>#REF!</v>
      </c>
      <c r="AS204" s="1110" t="e">
        <f>IF('A-80 DirEntInv'!#REF!&lt;&gt;"",'A-80 DirEntInv'!#REF!,IF(AK204=summaryref2!B23,summaryref2!I23,IF(Summary!AK204=summaryref2!B37,summaryref2!I37,IF(AK204=summaryref2!B51,summaryref2!I51,IF(AK204=summaryref2!B65,summaryref2!I65,IF(AK204=summaryref2!B79,summaryref2!I79,IF(AK204=summaryref2!B93,summaryref2!I93,IF(AK204=summaryref2!B107,summaryref2!I107,IF(AK204=summaryref2!B121,summaryref2!I121,IF(AK204=summaryref2!B135,summaryref2!I135,IF(AK204=summaryref2!B149,summaryref2!I149,"")))))))))))</f>
        <v>#REF!</v>
      </c>
      <c r="AT204" s="1110" t="e">
        <f>IF('A-80 DirEntInv'!#REF!&lt;&gt;"",'A-80 DirEntInv'!#REF!,IF(AK204=summaryref2!B23,summaryref2!J23,IF(Summary!AK204=summaryref2!B37,summaryref2!J37,IF(AK204=summaryref2!B51,summaryref2!J51,IF(AK204=summaryref2!B65,summaryref2!J65,IF(AK204=summaryref2!B79,summaryref2!J79,IF(AK204=summaryref2!B93,summaryref2!J93,IF(AK204=summaryref2!B107,summaryref2!J107,IF(AK204=summaryref2!B121,summaryref2!J121,IF(AK204=summaryref2!B135,summaryref2!J135,IF(AK204=summaryref2!B149,summaryref2!J149,"")))))))))))</f>
        <v>#REF!</v>
      </c>
      <c r="AU204" s="1110" t="e">
        <f>IF('A-80 DirEntInv'!#REF!&lt;&gt;"",'A-80 DirEntInv'!#REF!,IF(AK204=summaryref2!B23,summaryref2!K23,IF(Summary!AK204=summaryref2!B37,summaryref2!K37,IF(AK204=summaryref2!B51,summaryref2!K51,IF(AK204=summaryref2!B65,summaryref2!K65,IF(AK204=summaryref2!B79,summaryref2!K79,IF(AK204=summaryref2!B93,summaryref2!K93,IF(AK204=summaryref2!B107,summaryref2!K107,IF(AK204=summaryref2!B121,summaryref2!K121,IF(AK204=summaryref2!B135,summaryref2!K135,IF(AK204=summaryref2!B149,summaryref2!K149,"")))))))))))</f>
        <v>#REF!</v>
      </c>
      <c r="AV204" s="1110" t="e">
        <f>IF('A-80 DirEntInv'!#REF!&lt;&gt;"",'A-80 DirEntInv'!#REF!,IF(AK204=summaryref2!B23,summaryref2!L23,IF(Summary!AK204=summaryref2!B37,summaryref2!L37,IF(AK204=summaryref2!B51,summaryref2!L51,IF(AK204=summaryref2!B65,summaryref2!L65,IF(AK204=summaryref2!B79,summaryref2!L79,IF(AK204=summaryref2!B93,summaryref2!L93,IF(AK204=summaryref2!B107,summaryref2!L107,IF(AK204=summaryref2!B121,summaryref2!L121,IF(AK204=summaryref2!B135,summaryref2!L135,IF(AK204=summaryref2!B149,summaryref2!L149,"")))))))))))</f>
        <v>#REF!</v>
      </c>
      <c r="AW204" s="1110" t="e">
        <f>IF('A-80 DirEntInv'!#REF!&lt;&gt;"",'A-80 DirEntInv'!#REF!,IF(AK204=summaryref2!B23,summaryref2!M23,IF(Summary!AK204=summaryref2!B37,summaryref2!M37,IF(AK204=summaryref2!B51,summaryref2!M51,IF(AK204=summaryref2!B65,summaryref2!M65,IF(AK204=summaryref2!B79,summaryref2!M79,IF(AK204=summaryref2!B93,summaryref2!M93,IF(AK204=summaryref2!B107,summaryref2!M107,IF(AK204=summaryref2!B121,summaryref2!M121,IF(AK204=summaryref2!B135,summaryref2!M135,IF(AK204=summaryref2!B149,summaryref2!M149,"")))))))))))</f>
        <v>#REF!</v>
      </c>
      <c r="AX204" s="1110" t="e">
        <f>IF('A-80 DirEntInv'!#REF!&lt;&gt;"",'A-80 DirEntInv'!#REF!,IF(AK204=summaryref2!B23,summaryref2!N23,IF(Summary!AK204=summaryref2!B37,summaryref2!N37,IF(AK204=summaryref2!B51,summaryref2!N51,IF(AK204=summaryref2!B65,summaryref2!N65,IF(AK204=summaryref2!B79,summaryref2!N79,IF(AK204=summaryref2!B93,summaryref2!N93,IF(AK204=summaryref2!B107,summaryref2!N107,IF(AK204=summaryref2!B121,summaryref2!N121,IF(AK204=summaryref2!B135,summaryref2!N135,IF(AK204=summaryref2!B149,summaryref2!N149,"")))))))))))</f>
        <v>#REF!</v>
      </c>
      <c r="AY204" s="1110" t="e">
        <f>IF('A-80 DirEntInv'!#REF!&lt;&gt;"",'A-80 DirEntInv'!#REF!,IF(AK204=summaryref2!B23,summaryref2!O23,IF(Summary!AK204=summaryref2!B37,summaryref2!O37,IF(AK204=summaryref2!B51,summaryref2!O51,IF(AK204=summaryref2!B65,summaryref2!O65,IF(AK204=summaryref2!B79,summaryref2!O79,IF(AK204=summaryref2!B93,summaryref2!O93,IF(AK204=summaryref2!B107,summaryref2!O107,IF(AK204=summaryref2!B121,summaryref2!O121,IF(AK204=summaryref2!B135,summaryref2!O135,IF(AK204=summaryref2!B149,summaryref2!O149,"")))))))))))</f>
        <v>#REF!</v>
      </c>
      <c r="AZ204" s="1110" t="e">
        <f>IF('A-80 DirEntInv'!#REF!&lt;&gt;"",'A-80 DirEntInv'!#REF!,IF(AK204=summaryref2!B23,summaryref2!P23,IF(Summary!AK204=summaryref2!B37,summaryref2!P37,IF(AK204=summaryref2!B51,summaryref2!P51,IF(AK204=summaryref2!B65,summaryref2!P65,IF(AK204=summaryref2!B79,summaryref2!P79,IF(AK204=summaryref2!B93,summaryref2!P93,IF(AK204=summaryref2!B107,summaryref2!P107,IF(AK204=summaryref2!B121,summaryref2!P121,IF(AK204=summaryref2!B135,summaryref2!P135,IF(AK204=summaryref2!B149,summaryref2!P149,"")))))))))))</f>
        <v>#REF!</v>
      </c>
      <c r="BA204" s="1110" t="e">
        <f>IF('A-80 DirEntInv'!#REF!&lt;&gt;"",'A-80 DirEntInv'!#REF!,IF(AK204=summaryref2!B23,summaryref2!Q23,IF(Summary!AK204=summaryref2!B37,summaryref2!Q37,IF(AK204=summaryref2!B51,summaryref2!Q51,IF(AK204=summaryref2!B65,summaryref2!Q65,IF(AK204=summaryref2!B79,summaryref2!Q79,IF(AK204=summaryref2!B93,summaryref2!Q93,IF(AK204=summaryref2!B107,summaryref2!Q107,IF(AK204=summaryref2!B121,summaryref2!Q121,IF(AK204=summaryref2!B135,summaryref2!Q135,IF(AK204=summaryref2!B149,summaryref2!Q149,"")))))))))))</f>
        <v>#REF!</v>
      </c>
      <c r="BB204" s="1110" t="e">
        <f>IF('A-80 DirEntInv'!#REF!&lt;&gt;"",'A-80 DirEntInv'!#REF!,IF(AK204=summaryref2!B23,summaryref2!R23,IF(Summary!AK204=summaryref2!B37,summaryref2!R37,IF(AK204=summaryref2!B51,summaryref2!R51,IF(AK204=summaryref2!B65,summaryref2!R65,IF(AK204=summaryref2!B79,summaryref2!R79,IF(AK204=summaryref2!B93,summaryref2!R93,IF(AK204=summaryref2!B107,summaryref2!R107,IF(AK204=summaryref2!B121,summaryref2!R121,IF(AK204=summaryref2!B135,summaryref2!R135,IF(AK204=summaryref2!B149,summaryref2!R149,"")))))))))))</f>
        <v>#REF!</v>
      </c>
      <c r="BC204" s="1110" t="e">
        <f>IF('A-80 DirEntInv'!#REF!&lt;&gt;0,'A-80 DirEntInv'!#REF!,IF(AK204=summaryref2!B23,summaryref2!S23,IF(Summary!AK204=summaryref2!B37,summaryref2!S37,IF(AK204=summaryref2!B51,summaryref2!S51,IF(AK204=summaryref2!B65,summaryref2!S65,IF(AK204=summaryref2!B79,summaryref2!S79,IF(AK204=summaryref2!B93,summaryref2!S93,IF(AK204=summaryref2!B107,summaryref2!S107,IF(AK204=summaryref2!B121,summaryref2!S121,IF(AK204=summaryref2!B135,summaryref2!S135,IF(AK204=summaryref2!B149,summaryref2!S149,"")))))))))))</f>
        <v>#REF!</v>
      </c>
      <c r="BD204" s="1111" t="e">
        <f>IF('A-80 DirEntInv'!#REF!&lt;&gt;"",'A-80 DirEntInv'!#REF!,IF(AK204=summaryref2!B23,summaryref2!T23,IF(Summary!AK204=summaryref2!B37,summaryref2!T37,IF(AK204=summaryref2!B51,summaryref2!T51,IF(AK204=summaryref2!B65,summaryref2!T65,IF(AK204=summaryref2!B79,summaryref2!T79,IF(AK204=summaryref2!B93,summaryref2!T93,IF(AK204=summaryref2!B107,summaryref2!T107,IF(AK204=summaryref2!B121,summaryref2!T121,IF(AK204=summaryref2!B135,summaryref2!T135,IF(AK204=summaryref2!B149,summaryref2!T149,"")))))))))))</f>
        <v>#REF!</v>
      </c>
      <c r="BE204" s="1184" t="e">
        <f>IF('A-80 DirEntInv'!#REF!&lt;&gt;"",'A-80 DirEntInv'!#REF!,IF(AK204=summaryref2!B23,summaryref2!U23,IF(Summary!AK204=summaryref2!B37,summaryref2!U37,IF(AK204=summaryref2!B51,summaryref2!U51,IF(AK204=summaryref2!B65,summaryref2!U65,IF(AK204=summaryref2!B79,summaryref2!U79,IF(AK204=summaryref2!B93,summaryref2!U93,IF(AK204=summaryref2!B107,summaryref2!U107,IF(AK204=summaryref2!B121,summaryref2!U121,IF(AK204=summaryref2!B135,summaryref2!U135,IF(AK204=summaryref2!B149,summaryref2!U149,"")))))))))))</f>
        <v>#REF!</v>
      </c>
      <c r="BF204" s="1432"/>
      <c r="BG204" s="1432"/>
      <c r="BU204" s="962"/>
      <c r="CD204" s="589"/>
      <c r="CE204" s="590"/>
      <c r="CF204" s="590"/>
      <c r="CG204" s="590"/>
      <c r="CH204" s="590"/>
      <c r="CI204" s="590"/>
      <c r="CJ204" s="589"/>
      <c r="CK204" s="589"/>
      <c r="CL204" s="589"/>
      <c r="CM204" s="587"/>
      <c r="CN204" s="587"/>
      <c r="CO204" s="589"/>
      <c r="CP204" s="587"/>
      <c r="CQ204" s="592"/>
      <c r="CR204" s="589"/>
      <c r="CS204" s="592"/>
      <c r="CT204" s="589"/>
      <c r="CU204" s="589"/>
      <c r="CV204" s="589"/>
      <c r="CW204" s="587"/>
      <c r="CX204" s="590"/>
      <c r="CY204" s="590"/>
      <c r="CZ204" s="590"/>
      <c r="DA204" s="1054"/>
      <c r="DB204" s="1054"/>
      <c r="DC204" s="587"/>
      <c r="DD204" s="587"/>
    </row>
    <row r="205" spans="1:108" s="588" customFormat="1" x14ac:dyDescent="0.2">
      <c r="A205" s="589">
        <f t="shared" ref="A205:A268" si="3">A204+1</f>
        <v>195</v>
      </c>
      <c r="B205" s="587"/>
      <c r="C205" s="587"/>
      <c r="D205" s="587"/>
      <c r="J205" s="589"/>
      <c r="K205" s="590"/>
      <c r="L205" s="591"/>
      <c r="M205" s="592"/>
      <c r="N205" s="589"/>
      <c r="O205" s="587"/>
      <c r="R205" s="1052"/>
      <c r="S205" s="1052"/>
      <c r="T205" s="1052"/>
      <c r="U205" s="1052"/>
      <c r="V205" s="1052"/>
      <c r="W205" s="1053"/>
      <c r="X205" s="1053"/>
      <c r="Y205" s="1053"/>
      <c r="Z205" s="1052"/>
      <c r="AA205" s="1052"/>
      <c r="AB205" s="962"/>
      <c r="AC205" s="590"/>
      <c r="AD205" s="590"/>
      <c r="AE205" s="591"/>
      <c r="AF205" s="592"/>
      <c r="AG205" s="1053"/>
      <c r="AH205" s="587"/>
      <c r="AK205" s="1041" t="str">
        <f>Codes!$C$169</f>
        <v>SR - Streetcar Rail (DO)</v>
      </c>
      <c r="AL205" s="1042" t="str">
        <f>Valid!$B$90</f>
        <v>Overhead Contact System/Power Distribution</v>
      </c>
      <c r="AM205" s="1108"/>
      <c r="AN205" s="1042"/>
      <c r="AO205" s="1108"/>
      <c r="AP205" s="1042"/>
      <c r="AQ205" s="1147" t="e">
        <f>IF('A-80 DirEntInv'!#REF!&lt;&gt;"",'A-80 DirEntInv'!#REF!,IF(AK205=summaryref2!B24,summaryref2!G24,IF(Summary!AK205=summaryref2!B38,summaryref2!G38,IF(AK205=summaryref2!B52,summaryref2!G52,IF(AK205=summaryref2!B66,summaryref2!G66,IF(AK205=summaryref2!B80,summaryref2!G80,IF(AK205=summaryref2!B94,summaryref2!G94,IF(AK205=summaryref2!B108,summaryref2!G108,IF(AK205=summaryref2!B122,summaryref2!G122,IF(AK205=summaryref2!B136,summaryref2!G136,IF(AK205=summaryref2!B150,summaryref2!G150,"")))))))))))</f>
        <v>#REF!</v>
      </c>
      <c r="AR205" s="1147" t="e">
        <f>IF('A-80 DirEntInv'!#REF!&lt;&gt;"",'A-80 DirEntInv'!#REF!,IF(AK205=summaryref2!B24,summaryref2!H24,IF(Summary!AK205=summaryref2!B38,summaryref2!H38,IF(AK205=summaryref2!B52,summaryref2!H52,IF(AK205=summaryref2!B66,summaryref2!H66,IF(AK205=summaryref2!B80,summaryref2!H80,IF(AK205=summaryref2!B94,summaryref2!H94,IF(AK205=summaryref2!B108,summaryref2!H108,IF(AK205=summaryref2!B122,summaryref2!H122,IF(AK205=summaryref2!B136,summaryref2!H136,IF(AK205=summaryref2!B150,summaryref2!H150,"")))))))))))</f>
        <v>#REF!</v>
      </c>
      <c r="AS205" s="1110" t="e">
        <f>IF('A-80 DirEntInv'!#REF!&lt;&gt;"",'A-80 DirEntInv'!#REF!,IF(AK205=summaryref2!B24,summaryref2!I24,IF(Summary!AK205=summaryref2!B38,summaryref2!I38,IF(AK205=summaryref2!B52,summaryref2!I52,IF(AK205=summaryref2!B66,summaryref2!I66,IF(AK205=summaryref2!B80,summaryref2!I80,IF(AK205=summaryref2!B94,summaryref2!I94,IF(AK205=summaryref2!B108,summaryref2!I108,IF(AK205=summaryref2!B122,summaryref2!I122,IF(AK205=summaryref2!B136,summaryref2!I136,IF(AK205=summaryref2!B150,summaryref2!I150,"")))))))))))</f>
        <v>#REF!</v>
      </c>
      <c r="AT205" s="1110" t="e">
        <f>IF('A-80 DirEntInv'!#REF!&lt;&gt;"",'A-80 DirEntInv'!#REF!,IF(AK205=summaryref2!B24,summaryref2!J24,IF(Summary!AK205=summaryref2!B38,summaryref2!J38,IF(AK205=summaryref2!B52,summaryref2!J52,IF(AK205=summaryref2!B66,summaryref2!J66,IF(AK205=summaryref2!B80,summaryref2!J80,IF(AK205=summaryref2!B94,summaryref2!J94,IF(AK205=summaryref2!B108,summaryref2!J108,IF(AK205=summaryref2!B122,summaryref2!J122,IF(AK205=summaryref2!B136,summaryref2!J136,IF(AK205=summaryref2!B150,summaryref2!J150,"")))))))))))</f>
        <v>#REF!</v>
      </c>
      <c r="AU205" s="1110" t="e">
        <f>IF('A-80 DirEntInv'!#REF!&lt;&gt;"",'A-80 DirEntInv'!#REF!,IF(AK205=summaryref2!B24,summaryref2!K24,IF(Summary!AK205=summaryref2!B38,summaryref2!K38,IF(AK205=summaryref2!B52,summaryref2!K52,IF(AK205=summaryref2!B66,summaryref2!K66,IF(AK205=summaryref2!B80,summaryref2!K80,IF(AK205=summaryref2!B94,summaryref2!K94,IF(AK205=summaryref2!B108,summaryref2!K108,IF(AK205=summaryref2!B122,summaryref2!K122,IF(AK205=summaryref2!B136,summaryref2!K136,IF(AK205=summaryref2!B150,summaryref2!K150,"")))))))))))</f>
        <v>#REF!</v>
      </c>
      <c r="AV205" s="1110" t="e">
        <f>IF('A-80 DirEntInv'!#REF!&lt;&gt;"",'A-80 DirEntInv'!#REF!,IF(AK205=summaryref2!B24,summaryref2!L24,IF(Summary!AK205=summaryref2!B38,summaryref2!L38,IF(AK205=summaryref2!B52,summaryref2!L52,IF(AK205=summaryref2!B66,summaryref2!L66,IF(AK205=summaryref2!B80,summaryref2!L80,IF(AK205=summaryref2!B94,summaryref2!L94,IF(AK205=summaryref2!B108,summaryref2!L108,IF(AK205=summaryref2!B122,summaryref2!L122,IF(AK205=summaryref2!B136,summaryref2!L136,IF(AK205=summaryref2!B150,summaryref2!L150,"")))))))))))</f>
        <v>#REF!</v>
      </c>
      <c r="AW205" s="1110" t="e">
        <f>IF('A-80 DirEntInv'!#REF!&lt;&gt;"",'A-80 DirEntInv'!#REF!,IF(AK205=summaryref2!B24,summaryref2!M24,IF(Summary!AK205=summaryref2!B38,summaryref2!M38,IF(AK205=summaryref2!B52,summaryref2!M52,IF(AK205=summaryref2!B66,summaryref2!M66,IF(AK205=summaryref2!B80,summaryref2!M80,IF(AK205=summaryref2!B94,summaryref2!M94,IF(AK205=summaryref2!B108,summaryref2!M108,IF(AK205=summaryref2!B122,summaryref2!M122,IF(AK205=summaryref2!B136,summaryref2!M136,IF(AK205=summaryref2!B150,summaryref2!M150,"")))))))))))</f>
        <v>#REF!</v>
      </c>
      <c r="AX205" s="1110" t="e">
        <f>IF('A-80 DirEntInv'!#REF!&lt;&gt;"",'A-80 DirEntInv'!#REF!,IF(AK205=summaryref2!B24,summaryref2!N24,IF(Summary!AK205=summaryref2!B38,summaryref2!N38,IF(AK205=summaryref2!B52,summaryref2!N52,IF(AK205=summaryref2!B66,summaryref2!N66,IF(AK205=summaryref2!B80,summaryref2!N80,IF(AK205=summaryref2!B94,summaryref2!N94,IF(AK205=summaryref2!B108,summaryref2!N108,IF(AK205=summaryref2!B122,summaryref2!N122,IF(AK205=summaryref2!B136,summaryref2!N136,IF(AK205=summaryref2!B150,summaryref2!N150,"")))))))))))</f>
        <v>#REF!</v>
      </c>
      <c r="AY205" s="1110" t="e">
        <f>IF('A-80 DirEntInv'!#REF!&lt;&gt;"",'A-80 DirEntInv'!#REF!,IF(AK205=summaryref2!B24,summaryref2!O24,IF(Summary!AK205=summaryref2!B38,summaryref2!O38,IF(AK205=summaryref2!B52,summaryref2!O52,IF(AK205=summaryref2!B66,summaryref2!O66,IF(AK205=summaryref2!B80,summaryref2!O80,IF(AK205=summaryref2!B94,summaryref2!O94,IF(AK205=summaryref2!B108,summaryref2!O108,IF(AK205=summaryref2!B122,summaryref2!O122,IF(AK205=summaryref2!B136,summaryref2!O136,IF(AK205=summaryref2!B150,summaryref2!O150,"")))))))))))</f>
        <v>#REF!</v>
      </c>
      <c r="AZ205" s="1110" t="e">
        <f>IF('A-80 DirEntInv'!#REF!&lt;&gt;"",'A-80 DirEntInv'!#REF!,IF(AK205=summaryref2!B24,summaryref2!P24,IF(Summary!AK205=summaryref2!B38,summaryref2!P38,IF(AK205=summaryref2!B52,summaryref2!P52,IF(AK205=summaryref2!B66,summaryref2!P66,IF(AK205=summaryref2!B80,summaryref2!P80,IF(AK205=summaryref2!B94,summaryref2!P94,IF(AK205=summaryref2!B108,summaryref2!P108,IF(AK205=summaryref2!B122,summaryref2!P122,IF(AK205=summaryref2!B136,summaryref2!P136,IF(AK205=summaryref2!B150,summaryref2!P150,"")))))))))))</f>
        <v>#REF!</v>
      </c>
      <c r="BA205" s="1110" t="e">
        <f>IF('A-80 DirEntInv'!#REF!&lt;&gt;"",'A-80 DirEntInv'!#REF!,IF(AK205=summaryref2!B24,summaryref2!Q24,IF(Summary!AK205=summaryref2!B38,summaryref2!Q38,IF(AK205=summaryref2!B52,summaryref2!Q52,IF(AK205=summaryref2!B66,summaryref2!Q66,IF(AK205=summaryref2!B80,summaryref2!Q80,IF(AK205=summaryref2!B94,summaryref2!Q94,IF(AK205=summaryref2!B108,summaryref2!Q108,IF(AK205=summaryref2!B122,summaryref2!Q122,IF(AK205=summaryref2!B136,summaryref2!Q136,IF(AK205=summaryref2!B150,summaryref2!Q150,"")))))))))))</f>
        <v>#REF!</v>
      </c>
      <c r="BB205" s="1110" t="e">
        <f>IF('A-80 DirEntInv'!#REF!&lt;&gt;"",'A-80 DirEntInv'!#REF!,IF(AK205=summaryref2!B24,summaryref2!R24,IF(Summary!AK205=summaryref2!B38,summaryref2!R38,IF(AK205=summaryref2!B52,summaryref2!R52,IF(AK205=summaryref2!B66,summaryref2!R66,IF(AK205=summaryref2!B80,summaryref2!R80,IF(AK205=summaryref2!B94,summaryref2!R94,IF(AK205=summaryref2!B108,summaryref2!R108,IF(AK205=summaryref2!B122,summaryref2!R122,IF(AK205=summaryref2!B136,summaryref2!R136,IF(AK205=summaryref2!B150,summaryref2!R150,"")))))))))))</f>
        <v>#REF!</v>
      </c>
      <c r="BC205" s="1110" t="e">
        <f>IF('A-80 DirEntInv'!#REF!&lt;&gt;0,'A-80 DirEntInv'!#REF!,IF(AK205=summaryref2!B24,summaryref2!S24,IF(Summary!AK205=summaryref2!B38,summaryref2!S38,IF(AK205=summaryref2!B52,summaryref2!S52,IF(AK205=summaryref2!B66,summaryref2!S66,IF(AK205=summaryref2!B80,summaryref2!S80,IF(AK205=summaryref2!B94,summaryref2!S94,IF(AK205=summaryref2!B108,summaryref2!S108,IF(AK205=summaryref2!B122,summaryref2!S122,IF(AK205=summaryref2!B136,summaryref2!S136,IF(AK205=summaryref2!B150,summaryref2!S150,"")))))))))))</f>
        <v>#REF!</v>
      </c>
      <c r="BD205" s="1111" t="e">
        <f>IF('A-80 DirEntInv'!#REF!&lt;&gt;"",'A-80 DirEntInv'!#REF!,IF(AK205=summaryref2!B24,summaryref2!T24,IF(Summary!AK205=summaryref2!B38,summaryref2!T38,IF(AK205=summaryref2!B52,summaryref2!T52,IF(AK205=summaryref2!B66,summaryref2!T66,IF(AK205=summaryref2!B80,summaryref2!T80,IF(AK205=summaryref2!B94,summaryref2!T94,IF(AK205=summaryref2!B108,summaryref2!T108,IF(AK205=summaryref2!B122,summaryref2!T122,IF(AK205=summaryref2!B136,summaryref2!T136,IF(AK205=summaryref2!B150,summaryref2!T150,"")))))))))))</f>
        <v>#REF!</v>
      </c>
      <c r="BE205" s="1184" t="e">
        <f>IF('A-80 DirEntInv'!#REF!&lt;&gt;"",'A-80 DirEntInv'!#REF!,IF(AK205=summaryref2!B24,summaryref2!U24,IF(Summary!AK205=summaryref2!B38,summaryref2!U38,IF(AK205=summaryref2!B52,summaryref2!U52,IF(AK205=summaryref2!B66,summaryref2!U66,IF(AK205=summaryref2!B80,summaryref2!U80,IF(AK205=summaryref2!B94,summaryref2!U94,IF(AK205=summaryref2!B108,summaryref2!U108,IF(AK205=summaryref2!B122,summaryref2!U122,IF(AK205=summaryref2!B136,summaryref2!U136,IF(AK205=summaryref2!B150,summaryref2!U150,"")))))))))))</f>
        <v>#REF!</v>
      </c>
      <c r="BF205" s="1432"/>
      <c r="BG205" s="1432"/>
      <c r="BU205" s="962"/>
      <c r="CD205" s="589"/>
      <c r="CE205" s="590"/>
      <c r="CF205" s="590"/>
      <c r="CG205" s="590"/>
      <c r="CH205" s="590"/>
      <c r="CI205" s="590"/>
      <c r="CJ205" s="589"/>
      <c r="CK205" s="589"/>
      <c r="CL205" s="589"/>
      <c r="CM205" s="587"/>
      <c r="CN205" s="587"/>
      <c r="CO205" s="589"/>
      <c r="CP205" s="587"/>
      <c r="CQ205" s="592"/>
      <c r="CR205" s="589"/>
      <c r="CS205" s="592"/>
      <c r="CT205" s="589"/>
      <c r="CU205" s="589"/>
      <c r="CV205" s="589"/>
      <c r="CW205" s="587"/>
      <c r="CX205" s="590"/>
      <c r="CY205" s="590"/>
      <c r="CZ205" s="590"/>
      <c r="DA205" s="1054"/>
      <c r="DB205" s="1054"/>
      <c r="DC205" s="587"/>
      <c r="DD205" s="587"/>
    </row>
    <row r="206" spans="1:108" s="588" customFormat="1" ht="13.5" thickBot="1" x14ac:dyDescent="0.25">
      <c r="A206" s="589">
        <f t="shared" si="3"/>
        <v>196</v>
      </c>
      <c r="B206" s="587"/>
      <c r="C206" s="587"/>
      <c r="D206" s="587"/>
      <c r="J206" s="589"/>
      <c r="K206" s="590"/>
      <c r="L206" s="591"/>
      <c r="M206" s="592"/>
      <c r="N206" s="589"/>
      <c r="O206" s="587"/>
      <c r="R206" s="1052"/>
      <c r="S206" s="1052"/>
      <c r="T206" s="1052"/>
      <c r="U206" s="1052"/>
      <c r="V206" s="1052"/>
      <c r="W206" s="1053"/>
      <c r="X206" s="1053"/>
      <c r="Y206" s="1053"/>
      <c r="Z206" s="1052"/>
      <c r="AA206" s="1052"/>
      <c r="AB206" s="962"/>
      <c r="AC206" s="590"/>
      <c r="AD206" s="590"/>
      <c r="AE206" s="591"/>
      <c r="AF206" s="592"/>
      <c r="AG206" s="1053"/>
      <c r="AH206" s="587"/>
      <c r="AK206" s="1047" t="str">
        <f>Codes!$C$169</f>
        <v>SR - Streetcar Rail (DO)</v>
      </c>
      <c r="AL206" s="1050" t="str">
        <f>Valid!$B$91</f>
        <v>Train Control &amp; Signaling</v>
      </c>
      <c r="AM206" s="1185"/>
      <c r="AN206" s="1050"/>
      <c r="AO206" s="1185"/>
      <c r="AP206" s="1050"/>
      <c r="AQ206" s="1386" t="e">
        <f>IF('A-80 DirEntInv'!#REF!&lt;&gt;"",'A-80 DirEntInv'!#REF!,IF(AK206=summaryref2!B25,summaryref2!G25,IF(Summary!AK206=summaryref2!B39,summaryref2!G39,IF(AK206=summaryref2!B53,summaryref2!G53,IF(AK206=summaryref2!B67,summaryref2!G67,IF(AK206=summaryref2!B81,summaryref2!G81,IF(AK206=summaryref2!B95,summaryref2!G95,IF(AK206=summaryref2!B109,summaryref2!G109,IF(AK206=summaryref2!B123,summaryref2!G123,IF(AK206=summaryref2!B137,summaryref2!G137,IF(AK206=summaryref2!B151,summaryref2!G151,"")))))))))))</f>
        <v>#REF!</v>
      </c>
      <c r="AR206" s="1386" t="e">
        <f>IF('A-80 DirEntInv'!#REF!&lt;&gt;"",'A-80 DirEntInv'!#REF!,IF(AK206=summaryref2!B25,summaryref2!H25,IF(Summary!AK206=summaryref2!B39,summaryref2!H39,IF(AK206=summaryref2!B53,summaryref2!H53,IF(AK206=summaryref2!B67,summaryref2!H67,IF(AK206=summaryref2!B81,summaryref2!H81,IF(AK206=summaryref2!B95,summaryref2!H95,IF(AK206=summaryref2!B109,summaryref2!H109,IF(AK206=summaryref2!B123,summaryref2!H123,IF(AK206=summaryref2!B137,summaryref2!H137,IF(AK206=summaryref2!B151,summaryref2!H151,"")))))))))))</f>
        <v>#REF!</v>
      </c>
      <c r="AS206" s="1387" t="e">
        <f>IF('A-80 DirEntInv'!#REF!&lt;&gt;"",'A-80 DirEntInv'!#REF!,IF(AK206=summaryref2!B25,summaryref2!I25,IF(Summary!AK206=summaryref2!B39,summaryref2!I39,IF(AK206=summaryref2!B53,summaryref2!I53,IF(AK206=summaryref2!B67,summaryref2!I67,IF(AK206=summaryref2!B81,summaryref2!I81,IF(AK206=summaryref2!B95,summaryref2!I95,IF(AK206=summaryref2!B109,summaryref2!I109,IF(AK206=summaryref2!B123,summaryref2!I123,IF(AK206=summaryref2!B137,summaryref2!I137,IF(AK206=summaryref2!B151,summaryref2!I151,"")))))))))))</f>
        <v>#REF!</v>
      </c>
      <c r="AT206" s="1387" t="e">
        <f>IF('A-80 DirEntInv'!#REF!&lt;&gt;"",'A-80 DirEntInv'!#REF!,IF(AK206=summaryref2!B25,summaryref2!J25,IF(Summary!AK206=summaryref2!B39,summaryref2!J39,IF(AK206=summaryref2!B53,summaryref2!J53,IF(AK206=summaryref2!B67,summaryref2!J67,IF(AK206=summaryref2!B81,summaryref2!J81,IF(AK206=summaryref2!B95,summaryref2!J95,IF(AK206=summaryref2!B109,summaryref2!J109,IF(AK206=summaryref2!B123,summaryref2!J123,IF(AK206=summaryref2!B137,summaryref2!J137,IF(AK206=summaryref2!B151,summaryref2!J151,"")))))))))))</f>
        <v>#REF!</v>
      </c>
      <c r="AU206" s="1387" t="e">
        <f>IF('A-80 DirEntInv'!#REF!&lt;&gt;"",'A-80 DirEntInv'!#REF!,IF(AK206=summaryref2!B25,summaryref2!K25,IF(Summary!AK206=summaryref2!B39,summaryref2!K39,IF(AK206=summaryref2!B53,summaryref2!K53,IF(AK206=summaryref2!B67,summaryref2!K67,IF(AK206=summaryref2!B81,summaryref2!K81,IF(AK206=summaryref2!B95,summaryref2!K95,IF(AK206=summaryref2!B109,summaryref2!K109,IF(AK206=summaryref2!B123,summaryref2!K123,IF(AK206=summaryref2!B137,summaryref2!K137,IF(AK206=summaryref2!B151,summaryref2!K151,"")))))))))))</f>
        <v>#REF!</v>
      </c>
      <c r="AV206" s="1387" t="e">
        <f>IF('A-80 DirEntInv'!#REF!&lt;&gt;"",'A-80 DirEntInv'!#REF!,IF(AK206=summaryref2!B25,summaryref2!L25,IF(Summary!AK206=summaryref2!B39,summaryref2!L39,IF(AK206=summaryref2!B53,summaryref2!L53,IF(AK206=summaryref2!B67,summaryref2!L67,IF(AK206=summaryref2!B81,summaryref2!L81,IF(AK206=summaryref2!B95,summaryref2!L95,IF(AK206=summaryref2!B109,summaryref2!L109,IF(AK206=summaryref2!B123,summaryref2!L123,IF(AK206=summaryref2!B137,summaryref2!L137,IF(AK206=summaryref2!B151,summaryref2!L151,"")))))))))))</f>
        <v>#REF!</v>
      </c>
      <c r="AW206" s="1387" t="e">
        <f>IF('A-80 DirEntInv'!#REF!&lt;&gt;"",'A-80 DirEntInv'!#REF!,IF(AK206=summaryref2!B25,summaryref2!M25,IF(Summary!AK206=summaryref2!B39,summaryref2!M39,IF(AK206=summaryref2!B53,summaryref2!M53,IF(AK206=summaryref2!B67,summaryref2!M67,IF(AK206=summaryref2!B81,summaryref2!M81,IF(AK206=summaryref2!B95,summaryref2!M95,IF(AK206=summaryref2!B109,summaryref2!M109,IF(AK206=summaryref2!B123,summaryref2!M123,IF(AK206=summaryref2!B137,summaryref2!M137,IF(AK206=summaryref2!B151,summaryref2!M151,"")))))))))))</f>
        <v>#REF!</v>
      </c>
      <c r="AX206" s="1387" t="e">
        <f>IF('A-80 DirEntInv'!#REF!&lt;&gt;"",'A-80 DirEntInv'!#REF!,IF(AK206=summaryref2!B25,summaryref2!N25,IF(Summary!AK206=summaryref2!B39,summaryref2!N39,IF(AK206=summaryref2!B53,summaryref2!N53,IF(AK206=summaryref2!B67,summaryref2!N67,IF(AK206=summaryref2!B81,summaryref2!N81,IF(AK206=summaryref2!B95,summaryref2!N95,IF(AK206=summaryref2!B109,summaryref2!N109,IF(AK206=summaryref2!B123,summaryref2!N123,IF(AK206=summaryref2!B137,summaryref2!N137,IF(AK206=summaryref2!B151,summaryref2!N151,"")))))))))))</f>
        <v>#REF!</v>
      </c>
      <c r="AY206" s="1387" t="e">
        <f>IF('A-80 DirEntInv'!#REF!&lt;&gt;"",'A-80 DirEntInv'!#REF!,IF(AK206=summaryref2!B25,summaryref2!O25,IF(Summary!AK206=summaryref2!B39,summaryref2!O39,IF(AK206=summaryref2!B53,summaryref2!O53,IF(AK206=summaryref2!B67,summaryref2!O67,IF(AK206=summaryref2!B81,summaryref2!O81,IF(AK206=summaryref2!B95,summaryref2!O95,IF(AK206=summaryref2!B109,summaryref2!O109,IF(AK206=summaryref2!B123,summaryref2!O123,IF(AK206=summaryref2!B137,summaryref2!O137,IF(AK206=summaryref2!B151,summaryref2!O151,"")))))))))))</f>
        <v>#REF!</v>
      </c>
      <c r="AZ206" s="1387" t="e">
        <f>IF('A-80 DirEntInv'!#REF!&lt;&gt;"",'A-80 DirEntInv'!#REF!,IF(AK206=summaryref2!B25,summaryref2!P25,IF(Summary!AK206=summaryref2!B39,summaryref2!P39,IF(AK206=summaryref2!B53,summaryref2!P53,IF(AK206=summaryref2!B67,summaryref2!P67,IF(AK206=summaryref2!B81,summaryref2!P81,IF(AK206=summaryref2!B95,summaryref2!P95,IF(AK206=summaryref2!B109,summaryref2!P109,IF(AK206=summaryref2!B123,summaryref2!P123,IF(AK206=summaryref2!B137,summaryref2!P137,IF(AK206=summaryref2!B151,summaryref2!P151,"")))))))))))</f>
        <v>#REF!</v>
      </c>
      <c r="BA206" s="1387" t="e">
        <f>IF('A-80 DirEntInv'!#REF!&lt;&gt;"",'A-80 DirEntInv'!#REF!,IF(AK206=summaryref2!B25,summaryref2!Q25,IF(Summary!AK206=summaryref2!B39,summaryref2!Q39,IF(AK206=summaryref2!B53,summaryref2!Q53,IF(AK206=summaryref2!B67,summaryref2!Q67,IF(AK206=summaryref2!B81,summaryref2!Q81,IF(AK206=summaryref2!B95,summaryref2!Q95,IF(AK206=summaryref2!B109,summaryref2!Q109,IF(AK206=summaryref2!B123,summaryref2!Q123,IF(AK206=summaryref2!B137,summaryref2!Q137,IF(AK206=summaryref2!B151,summaryref2!Q151,"")))))))))))</f>
        <v>#REF!</v>
      </c>
      <c r="BB206" s="1387" t="e">
        <f>IF('A-80 DirEntInv'!#REF!&lt;&gt;"",'A-80 DirEntInv'!#REF!,IF(AK206=summaryref2!B25,summaryref2!R25,IF(Summary!AK206=summaryref2!B39,summaryref2!R39,IF(AK206=summaryref2!B53,summaryref2!R53,IF(AK206=summaryref2!B67,summaryref2!R67,IF(AK206=summaryref2!B81,summaryref2!R81,IF(AK206=summaryref2!B95,summaryref2!R95,IF(AK206=summaryref2!B109,summaryref2!R109,IF(AK206=summaryref2!B123,summaryref2!R123,IF(AK206=summaryref2!B137,summaryref2!R137,IF(AK206=summaryref2!B151,summaryref2!R151,"")))))))))))</f>
        <v>#REF!</v>
      </c>
      <c r="BC206" s="1387" t="e">
        <f>IF('A-80 DirEntInv'!#REF!&lt;&gt;0,'A-80 DirEntInv'!#REF!,IF(AK206=summaryref2!B25,summaryref2!S25,IF(Summary!AK206=summaryref2!B39,summaryref2!S39,IF(AK206=summaryref2!B53,summaryref2!S53,IF(AK206=summaryref2!B67,summaryref2!S67,IF(AK206=summaryref2!B81,summaryref2!S81,IF(AK206=summaryref2!B95,summaryref2!S95,IF(AK206=summaryref2!B109,summaryref2!S109,IF(AK206=summaryref2!B123,summaryref2!S123,IF(AK206=summaryref2!B137,summaryref2!S137,IF(AK206=summaryref2!B151,summaryref2!S151,"")))))))))))</f>
        <v>#REF!</v>
      </c>
      <c r="BD206" s="1118" t="e">
        <f>IF('A-80 DirEntInv'!#REF!&lt;&gt;"",'A-80 DirEntInv'!#REF!,IF(AK206=summaryref2!B25,summaryref2!T25,IF(Summary!AK206=summaryref2!B39,summaryref2!T39,IF(AK206=summaryref2!B53,summaryref2!T53,IF(AK206=summaryref2!B67,summaryref2!T67,IF(AK206=summaryref2!B81,summaryref2!T81,IF(AK206=summaryref2!B95,summaryref2!T95,IF(AK206=summaryref2!B109,summaryref2!T109,IF(AK206=summaryref2!B123,summaryref2!T123,IF(AK206=summaryref2!B137,summaryref2!T137,IF(AK206=summaryref2!B151,summaryref2!T151,"")))))))))))</f>
        <v>#REF!</v>
      </c>
      <c r="BE206" s="1186" t="e">
        <f>IF('A-80 DirEntInv'!#REF!&lt;&gt;"",'A-80 DirEntInv'!#REF!,IF(AK206=summaryref2!B25,summaryref2!U25,IF(Summary!AK206=summaryref2!B39,summaryref2!U39,IF(AK206=summaryref2!B53,summaryref2!U53,IF(AK206=summaryref2!B67,summaryref2!U67,IF(AK206=summaryref2!B81,summaryref2!U81,IF(AK206=summaryref2!B95,summaryref2!U95,IF(AK206=summaryref2!B109,summaryref2!U109,IF(AK206=summaryref2!B123,summaryref2!U123,IF(AK206=summaryref2!B137,summaryref2!U137,IF(AK206=summaryref2!B151,summaryref2!U151,"")))))))))))</f>
        <v>#REF!</v>
      </c>
      <c r="BF206" s="1432"/>
      <c r="BG206" s="1432"/>
      <c r="BU206" s="962"/>
      <c r="CD206" s="589"/>
      <c r="CE206" s="590"/>
      <c r="CF206" s="590"/>
      <c r="CG206" s="590"/>
      <c r="CH206" s="590"/>
      <c r="CI206" s="590"/>
      <c r="CJ206" s="589"/>
      <c r="CK206" s="589"/>
      <c r="CL206" s="589"/>
      <c r="CM206" s="587"/>
      <c r="CN206" s="587"/>
      <c r="CO206" s="589"/>
      <c r="CP206" s="587"/>
      <c r="CQ206" s="592"/>
      <c r="CR206" s="589"/>
      <c r="CS206" s="592"/>
      <c r="CT206" s="589"/>
      <c r="CU206" s="589"/>
      <c r="CV206" s="589"/>
      <c r="CW206" s="587"/>
      <c r="CX206" s="590"/>
      <c r="CY206" s="590"/>
      <c r="CZ206" s="590"/>
      <c r="DA206" s="1054"/>
      <c r="DB206" s="1054"/>
      <c r="DC206" s="587"/>
      <c r="DD206" s="587"/>
    </row>
    <row r="207" spans="1:108" s="588" customFormat="1" x14ac:dyDescent="0.2">
      <c r="A207" s="589">
        <f t="shared" si="3"/>
        <v>197</v>
      </c>
      <c r="B207" s="587"/>
      <c r="C207" s="587"/>
      <c r="D207" s="587"/>
      <c r="J207" s="589"/>
      <c r="K207" s="590"/>
      <c r="L207" s="591"/>
      <c r="M207" s="592"/>
      <c r="N207" s="589"/>
      <c r="O207" s="587"/>
      <c r="R207" s="1052"/>
      <c r="S207" s="1052"/>
      <c r="T207" s="1052"/>
      <c r="U207" s="1052"/>
      <c r="V207" s="1052"/>
      <c r="W207" s="1053"/>
      <c r="X207" s="1053"/>
      <c r="Y207" s="1053"/>
      <c r="Z207" s="1052"/>
      <c r="AA207" s="1052"/>
      <c r="AB207" s="962"/>
      <c r="AC207" s="590"/>
      <c r="AD207" s="590"/>
      <c r="AE207" s="591"/>
      <c r="AF207" s="592"/>
      <c r="AG207" s="1053"/>
      <c r="AH207" s="587"/>
      <c r="AK207" s="1043" t="str">
        <f>Codes!$C$170</f>
        <v>SR - Streetcar Rail (PT)</v>
      </c>
      <c r="AL207" s="1303" t="str">
        <f>Valid!$B$71</f>
        <v>At-Grade/Ballast (including expressway)</v>
      </c>
      <c r="AM207" s="1092" t="e">
        <f>IF('A-80 DirEntInv'!#REF!&lt;&gt;"",'A-80 DirEntInv'!#REF!,IF(AK207=summaryref2!B12,summaryref2!D12,IF(Summary!AK207=summaryref2!B26,summaryref2!D26,IF(AK207=summaryref2!B40,summaryref2!D40,IF(AK207=summaryref2!B54,summaryref2!D54,IF(AK207=summaryref2!B68,summaryref2!D68,IF(AK207=summaryref2!B82,summaryref2!D82,IF(AK207=summaryref2!B96,summaryref2!D96,IF(AK207=summaryref2!B110,summaryref2!D110,IF(AK207=summaryref2!B124,summaryref2!D124,IF(AK207=summaryref2!B138,summaryref2!D138,"")))))))))))</f>
        <v>#REF!</v>
      </c>
      <c r="AN207" s="1127" t="e">
        <f ca="1">IF('A-80 DirEntInv'!#REF!&lt;&gt;"",'A-80 DirEntInv'!#REF!,IF(INDIRECT(ADDRESS(SumRef!CG262,SumRef!CG$16,,,SumRef!$C$7))="","",INDIRECT(ADDRESS(SumRef!CG262,SumRef!CG$16,,,SumRef!$C$7))))</f>
        <v>#REF!</v>
      </c>
      <c r="AO207" s="1092" t="e">
        <f>IF('A-80 DirEntInv'!#REF!&lt;&gt;"",'A-80 DirEntInv'!#REF!,IF(AK207=summaryref2!B12,summaryref2!F12,IF(Summary!AK207=summaryref2!B26,summaryref2!F26,IF(AK207=summaryref2!B40,summaryref2!F40,IF(AK207=summaryref2!B54,summaryref2!F54,IF(AK207=summaryref2!B68,summaryref2!F68,IF(AK207=summaryref2!B82,summaryref2!F82,IF(AK207=summaryref2!B96,summaryref2!F96,IF(AK207=summaryref2!B110,summaryref2!F110,IF(AK207=summaryref2!B124,summaryref2!F124,IF(AK207=summaryref2!B138,summaryref2!F138,"")))))))))))</f>
        <v>#REF!</v>
      </c>
      <c r="AP207" s="1127" t="e">
        <f ca="1">IF('A-80 DirEntInv'!#REF!&lt;&gt;"",'A-80 DirEntInv'!#REF!,IF(INDIRECT(ADDRESS(SumRef!#REF!,SumRef!#REF!,,,SumRef!$C$7))="","",INDIRECT(ADDRESS(SumRef!#REF!,SumRef!#REF!,,,SumRef!$C$7))))</f>
        <v>#REF!</v>
      </c>
      <c r="AQ207" s="1146" t="e">
        <f>IF('A-80 DirEntInv'!#REF!&lt;&gt;"",'A-80 DirEntInv'!#REF!,IF(AK207=summaryref2!B12,summaryref2!G12,IF(Summary!AK207=summaryref2!B26,summaryref2!G26,IF(AK207=summaryref2!B40,summaryref2!G40,IF(AK207=summaryref2!B54,summaryref2!G54,IF(AK207=summaryref2!B68,summaryref2!G68,IF(AK207=summaryref2!B82,summaryref2!G82,IF(AK207=summaryref2!B96,summaryref2!G96,IF(AK207=summaryref2!B110,summaryref2!G110,IF(AK207=summaryref2!B124,summaryref2!G124,IF(AK207=summaryref2!B138,summaryref2!G138,"")))))))))))</f>
        <v>#REF!</v>
      </c>
      <c r="AR207" s="1146" t="e">
        <f>IF('A-80 DirEntInv'!#REF!&lt;&gt;"",'A-80 DirEntInv'!#REF!,IF(AK207=summaryref2!B12,summaryref2!H12,IF(Summary!AK207=summaryref2!B26,summaryref2!H26,IF(AK207=summaryref2!B40,summaryref2!H40,IF(AK207=summaryref2!B54,summaryref2!H54,IF(AK207=summaryref2!B68,summaryref2!H68,IF(AK207=summaryref2!B82,summaryref2!H82,IF(AK207=summaryref2!B96,summaryref2!H96,IF(AK207=summaryref2!B110,summaryref2!H110,IF(AK207=summaryref2!B124,summaryref2!H124,IF(AK207=summaryref2!B138,summaryref2!H138,"")))))))))))</f>
        <v>#REF!</v>
      </c>
      <c r="AS207" s="1092" t="e">
        <f>IF('A-80 DirEntInv'!#REF!&lt;&gt;"",'A-80 DirEntInv'!#REF!,IF(AK207=summaryref2!B12,summaryref2!I12,IF(Summary!AK207=summaryref2!B26,summaryref2!I26,IF(AK207=summaryref2!B40,summaryref2!I40,IF(AK207=summaryref2!B54,summaryref2!I54,IF(AK207=summaryref2!B68,summaryref2!I68,IF(AK207=summaryref2!B82,summaryref2!I82,IF(AK207=summaryref2!B96,summaryref2!I96,IF(AK207=summaryref2!B110,summaryref2!I110,IF(AK207=summaryref2!B124,summaryref2!I124,IF(AK207=summaryref2!B138,summaryref2!I138,"")))))))))))</f>
        <v>#REF!</v>
      </c>
      <c r="AT207" s="1092" t="e">
        <f>IF('A-80 DirEntInv'!#REF!&lt;&gt;"",'A-80 DirEntInv'!#REF!,IF(AK207=summaryref2!B12,summaryref2!J12,IF(Summary!AK207=summaryref2!B26,summaryref2!J26,IF(AK207=summaryref2!B40,summaryref2!J40,IF(AK207=summaryref2!B54,summaryref2!J54,IF(AK207=summaryref2!B68,summaryref2!J68,IF(AK207=summaryref2!B82,summaryref2!J82,IF(AK207=summaryref2!B96,summaryref2!J96,IF(AK207=summaryref2!B110,summaryref2!J110,IF(AK207=summaryref2!B124,summaryref2!J124,IF(AK207=summaryref2!B138,summaryref2!J138,"")))))))))))</f>
        <v>#REF!</v>
      </c>
      <c r="AU207" s="1092" t="e">
        <f>IF('A-80 DirEntInv'!#REF!&lt;&gt;"",'A-80 DirEntInv'!#REF!,IF(AK207=summaryref2!B12,summaryref2!K12,IF(Summary!AK207=summaryref2!B26,summaryref2!K26,IF(AK207=summaryref2!B40,summaryref2!K40,IF(AK207=summaryref2!B54,summaryref2!K54,IF(AK207=summaryref2!B68,summaryref2!K68,IF(AK207=summaryref2!B82,summaryref2!K82,IF(AK207=summaryref2!B96,summaryref2!K96,IF(AK207=summaryref2!B110,summaryref2!K110,IF(AK207=summaryref2!B124,summaryref2!K124,IF(AK207=summaryref2!B138,summaryref2!K138,"")))))))))))</f>
        <v>#REF!</v>
      </c>
      <c r="AV207" s="1092" t="e">
        <f>IF('A-80 DirEntInv'!#REF!&lt;&gt;"",'A-80 DirEntInv'!#REF!,IF(AK207=summaryref2!B12,summaryref2!L12,IF(Summary!AK207=summaryref2!B26,summaryref2!L26,IF(AK207=summaryref2!B40,summaryref2!L40,IF(AK207=summaryref2!B54,summaryref2!L54,IF(AK207=summaryref2!B68,summaryref2!L68,IF(AK207=summaryref2!B82,summaryref2!L82,IF(AK207=summaryref2!B96,summaryref2!L96,IF(AK207=summaryref2!B110,summaryref2!L110,IF(AK207=summaryref2!B124,summaryref2!L124,IF(AK207=summaryref2!B138,summaryref2!L138,"")))))))))))</f>
        <v>#REF!</v>
      </c>
      <c r="AW207" s="1092" t="e">
        <f>IF('A-80 DirEntInv'!#REF!&lt;&gt;"",'A-80 DirEntInv'!#REF!,IF($AK207=summaryref2!$B$12,summaryref2!M$12,IF(Summary!$AK207=summaryref2!$B$26,summaryref2!M$26,IF($AK207=summaryref2!$B$40,summaryref2!M$40,IF($AK207=summaryref2!$B$54,summaryref2!M$54,IF($AK207=summaryref2!$B$68,summaryref2!M$68,IF($AK207=summaryref2!$B$82,summaryref2!M$82,IF($AK207=summaryref2!$B$96,summaryref2!M$96,IF($AK207=summaryref2!$B$110,summaryref2!M$110,IF($AK207=summaryref2!$B$124,summaryref2!M$124,IF($AK207=summaryref2!$B$138,summaryref2!M$138,"")))))))))))</f>
        <v>#REF!</v>
      </c>
      <c r="AX207" s="1092" t="e">
        <f>IF('A-80 DirEntInv'!#REF!&lt;&gt;"",'A-80 DirEntInv'!#REF!,IF(AK207=summaryref2!B12,summaryref2!N12,IF(Summary!AK207=summaryref2!B26,summaryref2!N26,IF(AK207=summaryref2!B40,summaryref2!N40,IF(AK207=summaryref2!B54,summaryref2!N54,IF(AK207=summaryref2!B68,summaryref2!N68,IF(AK207=summaryref2!B82,summaryref2!N82,IF(AK207=summaryref2!B96,summaryref2!N96,IF(AK207=summaryref2!B110,summaryref2!N110,IF(AK207=summaryref2!B124,summaryref2!N124,IF(AK207=summaryref2!B138,summaryref2!N138,"")))))))))))</f>
        <v>#REF!</v>
      </c>
      <c r="AY207" s="1092" t="e">
        <f>IF('A-80 DirEntInv'!#REF!&lt;&gt;"",'A-80 DirEntInv'!#REF!,IF(AK207=summaryref2!B12,summaryref2!O12,IF(Summary!AK207=summaryref2!B26,summaryref2!O26,IF(AK207=summaryref2!B40,summaryref2!O40,IF(AK207=summaryref2!B54,summaryref2!O54,IF(AK207=summaryref2!B68,summaryref2!O68,IF(AK207=summaryref2!B82,summaryref2!O82,IF(AK207=summaryref2!B96,summaryref2!O96,IF(AK207=summaryref2!B110,summaryref2!O110,IF(AK207=summaryref2!B124,summaryref2!O124,IF(AK207=summaryref2!B138,summaryref2!O138,"")))))))))))</f>
        <v>#REF!</v>
      </c>
      <c r="AZ207" s="1092" t="e">
        <f>IF('A-80 DirEntInv'!#REF!&lt;&gt;"",'A-80 DirEntInv'!#REF!,IF(AK207=summaryref2!B12,summaryref2!P12,IF(Summary!AK207=summaryref2!B26,summaryref2!P26,IF(AK207=summaryref2!B40,summaryref2!P40,IF(AK207=summaryref2!B54,summaryref2!P54,IF(AK207=summaryref2!B68,summaryref2!P68,IF(AK207=summaryref2!B82,summaryref2!P82,IF(AK207=summaryref2!B96,summaryref2!P96,IF(AK207=summaryref2!B110,summaryref2!P110,IF(AK207=summaryref2!B124,summaryref2!P124,IF(AK207=summaryref2!B138,summaryref2!P138,"")))))))))))</f>
        <v>#REF!</v>
      </c>
      <c r="BA207" s="1092" t="e">
        <f>IF('A-80 DirEntInv'!#REF!&lt;&gt;"",'A-80 DirEntInv'!#REF!,IF(AK207=summaryref2!B12,summaryref2!Q12,IF(Summary!AK207=summaryref2!B26,summaryref2!Q26,IF(AK207=summaryref2!B40,summaryref2!Q40,IF(AK207=summaryref2!B54,summaryref2!Q54,IF(AK207=summaryref2!B68,summaryref2!Q68,IF(AK207=summaryref2!B82,summaryref2!Q82,IF(AK207=summaryref2!B96,summaryref2!Q96,IF(AK207=summaryref2!B110,summaryref2!Q110,IF(AK207=summaryref2!B124,summaryref2!Q124,IF(AK207=summaryref2!B138,summaryref2!Q138,"")))))))))))</f>
        <v>#REF!</v>
      </c>
      <c r="BB207" s="1092" t="e">
        <f>IF('A-80 DirEntInv'!#REF!&lt;&gt;"",'A-80 DirEntInv'!#REF!,IF(AK207=summaryref2!B12,summaryref2!R12,IF(Summary!AK207=summaryref2!B26,summaryref2!R26,IF(AK207=summaryref2!B40,summaryref2!R40,IF(AK207=summaryref2!B54,summaryref2!R54,IF(AK207=summaryref2!B68,summaryref2!R68,IF(AK207=summaryref2!B82,summaryref2!R82,IF(AK207=summaryref2!B96,summaryref2!R96,IF(AK207=summaryref2!B110,summaryref2!R110,IF(AK207=summaryref2!B124,summaryref2!R124,IF(AK207=summaryref2!B138,summaryref2!R138,"")))))))))))</f>
        <v>#REF!</v>
      </c>
      <c r="BC207" s="1092" t="e">
        <f>IF('A-80 DirEntInv'!#REF!&lt;&gt;0,'A-80 DirEntInv'!#REF!,IF(AK207=summaryref2!B12,summaryref2!S12,IF(Summary!AK207=summaryref2!B26,summaryref2!S26,IF(AK207=summaryref2!B40,summaryref2!S40,IF(AK207=summaryref2!B54,summaryref2!S54,IF(AK207=summaryref2!B68,summaryref2!S68,IF(AK207=summaryref2!B82,summaryref2!S82,IF(AK207=summaryref2!B96,summaryref2!S96,IF(AK207=summaryref2!B110,summaryref2!S110,IF(AK207=summaryref2!B124,summaryref2!S124,IF(AK207=summaryref2!B138,summaryref2!S138,"")))))))))))</f>
        <v>#REF!</v>
      </c>
      <c r="BD207" s="1093" t="e">
        <f>IF('A-80 DirEntInv'!#REF!&lt;&gt;"",'A-80 DirEntInv'!#REF!,IF(AK207=summaryref2!B12,summaryref2!T12,IF(Summary!AK207=summaryref2!B26,summaryref2!T26,IF(AK207=summaryref2!B40,summaryref2!T40,IF(AK207=summaryref2!B54,summaryref2!T54,IF(AK207=summaryref2!B68,summaryref2!T68,IF(AK207=summaryref2!B82,summaryref2!T82,IF(AK207=summaryref2!B96,summaryref2!T96,IF(AK207=summaryref2!B110,summaryref2!T110,IF(AK207=summaryref2!B124,summaryref2!T124,IF(AK207=summaryref2!B138,summaryref2!T138,"")))))))))))</f>
        <v>#REF!</v>
      </c>
      <c r="BE207" s="1189" t="e">
        <f>IF('A-80 DirEntInv'!#REF!&lt;&gt;"",'A-80 DirEntInv'!#REF!,IF(AK207=summaryref2!B12,summaryref2!U12,IF(Summary!AK207=summaryref2!B26,summaryref2!U26,IF(AK207=summaryref2!B40,summaryref2!U40,IF(AK207=summaryref2!B54,summaryref2!U54,IF(AK207=summaryref2!B68,summaryref2!U68,IF(AK207=summaryref2!B82,summaryref2!U82,IF(AK207=summaryref2!B96,summaryref2!U96,IF(AK207=summaryref2!B110,summaryref2!U110,IF(AK207=summaryref2!B124,summaryref2!U124,IF(AK207=summaryref2!B138,summaryref2!U138,"")))))))))))</f>
        <v>#REF!</v>
      </c>
      <c r="BF207" s="1431"/>
      <c r="BG207" s="1431"/>
      <c r="BU207" s="962"/>
      <c r="CD207" s="589"/>
      <c r="CE207" s="590"/>
      <c r="CF207" s="590"/>
      <c r="CG207" s="590"/>
      <c r="CH207" s="590"/>
      <c r="CI207" s="590"/>
      <c r="CJ207" s="589"/>
      <c r="CK207" s="589"/>
      <c r="CL207" s="589"/>
      <c r="CM207" s="587"/>
      <c r="CN207" s="587"/>
      <c r="CO207" s="589"/>
      <c r="CP207" s="587"/>
      <c r="CQ207" s="592"/>
      <c r="CR207" s="589"/>
      <c r="CS207" s="592"/>
      <c r="CT207" s="589"/>
      <c r="CU207" s="589"/>
      <c r="CV207" s="589"/>
      <c r="CW207" s="587"/>
      <c r="CX207" s="590"/>
      <c r="CY207" s="590"/>
      <c r="CZ207" s="590"/>
      <c r="DA207" s="1054"/>
      <c r="DB207" s="1054"/>
      <c r="DC207" s="587"/>
      <c r="DD207" s="587"/>
    </row>
    <row r="208" spans="1:108" s="588" customFormat="1" x14ac:dyDescent="0.2">
      <c r="A208" s="589">
        <f t="shared" si="3"/>
        <v>198</v>
      </c>
      <c r="B208" s="587"/>
      <c r="C208" s="587"/>
      <c r="D208" s="587"/>
      <c r="J208" s="589"/>
      <c r="K208" s="590"/>
      <c r="L208" s="591"/>
      <c r="M208" s="592"/>
      <c r="N208" s="589"/>
      <c r="O208" s="587"/>
      <c r="R208" s="1052"/>
      <c r="S208" s="1052"/>
      <c r="T208" s="1052"/>
      <c r="U208" s="1052"/>
      <c r="V208" s="1052"/>
      <c r="W208" s="1053"/>
      <c r="X208" s="1053"/>
      <c r="Y208" s="1053"/>
      <c r="Z208" s="1052"/>
      <c r="AA208" s="1052"/>
      <c r="AB208" s="962"/>
      <c r="AC208" s="590"/>
      <c r="AD208" s="590"/>
      <c r="AE208" s="591"/>
      <c r="AF208" s="592"/>
      <c r="AG208" s="1053"/>
      <c r="AH208" s="587"/>
      <c r="AK208" s="1041" t="str">
        <f>Codes!$C$170</f>
        <v>SR - Streetcar Rail (PT)</v>
      </c>
      <c r="AL208" s="1042" t="str">
        <f>Valid!$B$72</f>
        <v>At-Grade/In-Street/Embedded</v>
      </c>
      <c r="AM208" s="1108" t="e">
        <f>IF('A-80 DirEntInv'!#REF!&lt;&gt;"",'A-80 DirEntInv'!#REF!,IF(AK208=summaryref2!B13,summaryref2!D13,IF(Summary!AK208=summaryref2!B27,summaryref2!D27,IF(AK208=summaryref2!B41,summaryref2!D41,IF(AK208=summaryref2!B55,summaryref2!D55,IF(AK208=summaryref2!B69,summaryref2!D69,IF(AK208=summaryref2!B83,summaryref2!D83,IF(AK208=summaryref2!B97,summaryref2!D97,IF(AK208=summaryref2!B111,summaryref2!D111,IF(AK208=summaryref2!B125,summaryref2!D125,IF(AK208=summaryref2!B139,summaryref2!D139,"")))))))))))</f>
        <v>#REF!</v>
      </c>
      <c r="AN208" s="1109" t="e">
        <f ca="1">IF('A-80 DirEntInv'!#REF!&lt;&gt;"",'A-80 DirEntInv'!#REF!,IF(INDIRECT(ADDRESS(SumRef!CG264,SumRef!CG$16,,,SumRef!$C$7))="","",INDIRECT(ADDRESS(SumRef!CG264,SumRef!CG$16,,,SumRef!$C$7))))</f>
        <v>#REF!</v>
      </c>
      <c r="AO208" s="1108" t="e">
        <f>IF('A-80 DirEntInv'!#REF!&lt;&gt;"",'A-80 DirEntInv'!#REF!,IF(AK208=summaryref2!B13,summaryref2!F13,IF(Summary!AK208=summaryref2!B27,summaryref2!F27,IF(AK208=summaryref2!B41,summaryref2!F41,IF(AK208=summaryref2!B55,summaryref2!F55,IF(AK208=summaryref2!B69,summaryref2!F69,IF(AK208=summaryref2!B83,summaryref2!F83,IF(AK208=summaryref2!B97,summaryref2!F97,IF(AK208=summaryref2!B111,summaryref2!F111,IF(AK208=summaryref2!B125,summaryref2!F125,IF(AK208=summaryref2!B139,summaryref2!F139,"")))))))))))</f>
        <v>#REF!</v>
      </c>
      <c r="AP208" s="1109" t="e">
        <f ca="1">IF('A-80 DirEntInv'!#REF!&lt;&gt;"",'A-80 DirEntInv'!#REF!,IF(INDIRECT(ADDRESS(SumRef!#REF!,SumRef!#REF!,,,SumRef!$C$7))="","",INDIRECT(ADDRESS(SumRef!#REF!,SumRef!#REF!,,,SumRef!$C$7))))</f>
        <v>#REF!</v>
      </c>
      <c r="AQ208" s="1147" t="e">
        <f>IF('A-80 DirEntInv'!#REF!&lt;&gt;"",'A-80 DirEntInv'!#REF!,IF(AK208=summaryref2!B13,summaryref2!G13,IF(Summary!AK208=summaryref2!B27,summaryref2!G27,IF(AK208=summaryref2!B41,summaryref2!G41,IF(AK208=summaryref2!B55,summaryref2!G55,IF(AK208=summaryref2!B69,summaryref2!G69,IF(AK208=summaryref2!B83,summaryref2!G83,IF(AK208=summaryref2!B97,summaryref2!G97,IF(AK208=summaryref2!B111,summaryref2!G111,IF(AK208=summaryref2!B125,summaryref2!G125,IF(AK208=summaryref2!B139,summaryref2!G139,"")))))))))))</f>
        <v>#REF!</v>
      </c>
      <c r="AR208" s="1147" t="e">
        <f>IF('A-80 DirEntInv'!#REF!&lt;&gt;"",'A-80 DirEntInv'!#REF!,IF(AK208=summaryref2!B13,summaryref2!H13,IF(Summary!AK208=summaryref2!B27,summaryref2!H27,IF(AK208=summaryref2!B41,summaryref2!H41,IF(AK208=summaryref2!B55,summaryref2!H55,IF(AK208=summaryref2!B69,summaryref2!H69,IF(AK208=summaryref2!B83,summaryref2!H83,IF(AK208=summaryref2!B97,summaryref2!H97,IF(AK208=summaryref2!B111,summaryref2!H111,IF(AK208=summaryref2!B125,summaryref2!H125,IF(AK208=summaryref2!B139,summaryref2!H139,"")))))))))))</f>
        <v>#REF!</v>
      </c>
      <c r="AS208" s="1110" t="e">
        <f>IF('A-80 DirEntInv'!#REF!&lt;&gt;"",'A-80 DirEntInv'!#REF!,IF(AK208=summaryref2!B13,summaryref2!I13,IF(Summary!AK208=summaryref2!B27,summaryref2!I27,IF(AK208=summaryref2!B41,summaryref2!I41,IF(AK208=summaryref2!B55,summaryref2!I55,IF(AK208=summaryref2!B69,summaryref2!I69,IF(AK208=summaryref2!B83,summaryref2!I83,IF(AK208=summaryref2!B97,summaryref2!I97,IF(AK208=summaryref2!B111,summaryref2!I111,IF(AK208=summaryref2!B125,summaryref2!I125,IF(AK208=summaryref2!B139,summaryref2!I139,"")))))))))))</f>
        <v>#REF!</v>
      </c>
      <c r="AT208" s="1110" t="e">
        <f>IF('A-80 DirEntInv'!#REF!&lt;&gt;"",'A-80 DirEntInv'!#REF!,IF(AK208=summaryref2!B13,summaryref2!J13,IF(Summary!AK208=summaryref2!B27,summaryref2!J27,IF(AK208=summaryref2!B41,summaryref2!J41,IF(AK208=summaryref2!B55,summaryref2!J55,IF(AK208=summaryref2!B69,summaryref2!J69,IF(AK208=summaryref2!B83,summaryref2!J83,IF(AK208=summaryref2!B97,summaryref2!J97,IF(AK208=summaryref2!B111,summaryref2!J111,IF(AK208=summaryref2!B125,summaryref2!J125,IF(AK208=summaryref2!B139,summaryref2!J139,"")))))))))))</f>
        <v>#REF!</v>
      </c>
      <c r="AU208" s="1110" t="e">
        <f>IF('A-80 DirEntInv'!#REF!&lt;&gt;"",'A-80 DirEntInv'!#REF!,IF(AK208=summaryref2!B13,summaryref2!K13,IF(Summary!AK208=summaryref2!B27,summaryref2!K27,IF(AK208=summaryref2!B41,summaryref2!K41,IF(AK208=summaryref2!B55,summaryref2!K55,IF(AK208=summaryref2!B69,summaryref2!K69,IF(AK208=summaryref2!B83,summaryref2!K83,IF(AK208=summaryref2!B97,summaryref2!K97,IF(AK208=summaryref2!B111,summaryref2!K111,IF(AK208=summaryref2!B125,summaryref2!K125,IF(AK208=summaryref2!B139,summaryref2!K139,"")))))))))))</f>
        <v>#REF!</v>
      </c>
      <c r="AV208" s="1110" t="e">
        <f>IF('A-80 DirEntInv'!#REF!&lt;&gt;"",'A-80 DirEntInv'!#REF!,IF(AK208=summaryref2!B13,summaryref2!L13,IF(Summary!AK208=summaryref2!B27,summaryref2!L27,IF(AK208=summaryref2!B41,summaryref2!L41,IF(AK208=summaryref2!B55,summaryref2!L55,IF(AK208=summaryref2!B69,summaryref2!L69,IF(AK208=summaryref2!B83,summaryref2!L83,IF(AK208=summaryref2!B97,summaryref2!L97,IF(AK208=summaryref2!B111,summaryref2!L111,IF(AK208=summaryref2!B125,summaryref2!L125,IF(AK208=summaryref2!B139,summaryref2!L139,"")))))))))))</f>
        <v>#REF!</v>
      </c>
      <c r="AW208" s="1110" t="e">
        <f>IF('A-80 DirEntInv'!#REF!&lt;&gt;"",'A-80 DirEntInv'!#REF!,IF(AK208=summaryref2!B13,summaryref2!M13,IF(Summary!AK208=summaryref2!B27,summaryref2!M27,IF(AK208=summaryref2!B41,summaryref2!M41,IF(AK208=summaryref2!B55,summaryref2!M55,IF(AK208=summaryref2!B69,summaryref2!M69,IF(AK208=summaryref2!B83,summaryref2!M83,IF(AK208=summaryref2!B97,summaryref2!M97,IF(AK208=summaryref2!B111,summaryref2!M111,IF(AK208=summaryref2!B125,summaryref2!M125,IF(AK208=summaryref2!B139,summaryref2!M139,"")))))))))))</f>
        <v>#REF!</v>
      </c>
      <c r="AX208" s="1110" t="e">
        <f>IF('A-80 DirEntInv'!#REF!&lt;&gt;"",'A-80 DirEntInv'!#REF!,IF(AK208=summaryref2!B13,summaryref2!N13,IF(Summary!AK208=summaryref2!B27,summaryref2!N27,IF(AK208=summaryref2!B41,summaryref2!N41,IF(AK208=summaryref2!B55,summaryref2!N55,IF(AK208=summaryref2!B69,summaryref2!N69,IF(AK208=summaryref2!B83,summaryref2!N83,IF(AK208=summaryref2!B97,summaryref2!N97,IF(AK208=summaryref2!B111,summaryref2!N111,IF(AK208=summaryref2!B125,summaryref2!N125,IF(AK208=summaryref2!B139,summaryref2!N139,"")))))))))))</f>
        <v>#REF!</v>
      </c>
      <c r="AY208" s="1110" t="e">
        <f>IF('A-80 DirEntInv'!#REF!&lt;&gt;"",'A-80 DirEntInv'!#REF!,IF(AK208=summaryref2!B13,summaryref2!O13,IF(Summary!AK208=summaryref2!B27,summaryref2!O27,IF(AK208=summaryref2!B41,summaryref2!O41,IF(AK208=summaryref2!B55,summaryref2!O55,IF(AK208=summaryref2!B69,summaryref2!O69,IF(AK208=summaryref2!B83,summaryref2!O83,IF(AK208=summaryref2!B97,summaryref2!O97,IF(AK208=summaryref2!B111,summaryref2!O111,IF(AK208=summaryref2!B125,summaryref2!O125,IF(AK208=summaryref2!B139,summaryref2!O139,"")))))))))))</f>
        <v>#REF!</v>
      </c>
      <c r="AZ208" s="1110" t="e">
        <f>IF('A-80 DirEntInv'!#REF!&lt;&gt;"",'A-80 DirEntInv'!#REF!,IF(AK208=summaryref2!B13,summaryref2!P13,IF(Summary!AK208=summaryref2!B27,summaryref2!P27,IF(AK208=summaryref2!B41,summaryref2!P41,IF(AK208=summaryref2!B55,summaryref2!P55,IF(AK208=summaryref2!B69,summaryref2!P69,IF(AK208=summaryref2!B83,summaryref2!P83,IF(AK208=summaryref2!B97,summaryref2!P97,IF(AK208=summaryref2!B111,summaryref2!P111,IF(AK208=summaryref2!B125,summaryref2!P125,IF(AK208=summaryref2!B139,summaryref2!P139,"")))))))))))</f>
        <v>#REF!</v>
      </c>
      <c r="BA208" s="1110" t="e">
        <f>IF('A-80 DirEntInv'!#REF!&lt;&gt;"",'A-80 DirEntInv'!#REF!,IF(AK208=summaryref2!B13,summaryref2!Q13,IF(Summary!AK208=summaryref2!B27,summaryref2!Q27,IF(AK208=summaryref2!B41,summaryref2!Q41,IF(AK208=summaryref2!B55,summaryref2!Q55,IF(AK208=summaryref2!B69,summaryref2!Q69,IF(AK208=summaryref2!B83,summaryref2!Q83,IF(AK208=summaryref2!B97,summaryref2!Q97,IF(AK208=summaryref2!B111,summaryref2!Q111,IF(AK208=summaryref2!B125,summaryref2!Q125,IF(AK208=summaryref2!B139,summaryref2!Q139,"")))))))))))</f>
        <v>#REF!</v>
      </c>
      <c r="BB208" s="1110" t="e">
        <f>IF('A-80 DirEntInv'!#REF!&lt;&gt;"",'A-80 DirEntInv'!#REF!,IF(AK208=summaryref2!B13,summaryref2!R13,IF(Summary!AK208=summaryref2!B27,summaryref2!R27,IF(AK208=summaryref2!B41,summaryref2!R41,IF(AK208=summaryref2!B55,summaryref2!R55,IF(AK208=summaryref2!B69,summaryref2!R69,IF(AK208=summaryref2!B83,summaryref2!R83,IF(AK208=summaryref2!B97,summaryref2!R97,IF(AK208=summaryref2!B111,summaryref2!R111,IF(AK208=summaryref2!B125,summaryref2!R125,IF(AK208=summaryref2!B139,summaryref2!R139,"")))))))))))</f>
        <v>#REF!</v>
      </c>
      <c r="BC208" s="1110" t="e">
        <f>IF('A-80 DirEntInv'!#REF!&lt;&gt;0,'A-80 DirEntInv'!#REF!,IF(AK208=summaryref2!B13,summaryref2!S13,IF(Summary!AK208=summaryref2!B27,summaryref2!S27,IF(AK208=summaryref2!B41,summaryref2!S41,IF(AK208=summaryref2!B55,summaryref2!S55,IF(AK208=summaryref2!B69,summaryref2!S69,IF(AK208=summaryref2!B83,summaryref2!S83,IF(AK208=summaryref2!B97,summaryref2!S97,IF(AK208=summaryref2!B111,summaryref2!S111,IF(AK208=summaryref2!B125,summaryref2!S125,IF(AK208=summaryref2!B139,summaryref2!S139,"")))))))))))</f>
        <v>#REF!</v>
      </c>
      <c r="BD208" s="1111" t="e">
        <f>IF('A-80 DirEntInv'!#REF!&lt;&gt;"",'A-80 DirEntInv'!#REF!,IF(AK208=summaryref2!B13,summaryref2!T13,IF(Summary!AK208=summaryref2!B27,summaryref2!T27,IF(AK208=summaryref2!B41,summaryref2!T41,IF(AK208=summaryref2!B55,summaryref2!T55,IF(AK208=summaryref2!B69,summaryref2!T69,IF(AK208=summaryref2!B83,summaryref2!T83,IF(AK208=summaryref2!B97,summaryref2!T97,IF(AK208=summaryref2!B111,summaryref2!T111,IF(AK208=summaryref2!B125,summaryref2!T125,IF(AK208=summaryref2!B139,summaryref2!T139,"")))))))))))</f>
        <v>#REF!</v>
      </c>
      <c r="BE208" s="1184" t="e">
        <f>IF('A-80 DirEntInv'!#REF!&lt;&gt;"",'A-80 DirEntInv'!#REF!,IF(AK208=summaryref2!B13,summaryref2!U13,IF(Summary!AK208=summaryref2!B27,summaryref2!U27,IF(AK208=summaryref2!B41,summaryref2!U41,IF(AK208=summaryref2!B55,summaryref2!U55,IF(AK208=summaryref2!B69,summaryref2!U69,IF(AK208=summaryref2!B83,summaryref2!U83,IF(AK208=summaryref2!B97,summaryref2!U97,IF(AK208=summaryref2!B111,summaryref2!U111,IF(AK208=summaryref2!B125,summaryref2!U125,IF(AK208=summaryref2!B139,summaryref2!U139,"")))))))))))</f>
        <v>#REF!</v>
      </c>
      <c r="BF208" s="1432"/>
      <c r="BG208" s="1432"/>
      <c r="BU208" s="962"/>
      <c r="CD208" s="589"/>
      <c r="CE208" s="590"/>
      <c r="CF208" s="590"/>
      <c r="CG208" s="590"/>
      <c r="CH208" s="590"/>
      <c r="CI208" s="590"/>
      <c r="CJ208" s="589"/>
      <c r="CK208" s="589"/>
      <c r="CL208" s="589"/>
      <c r="CM208" s="587"/>
      <c r="CN208" s="587"/>
      <c r="CO208" s="589"/>
      <c r="CP208" s="587"/>
      <c r="CQ208" s="592"/>
      <c r="CR208" s="589"/>
      <c r="CS208" s="592"/>
      <c r="CT208" s="589"/>
      <c r="CU208" s="589"/>
      <c r="CV208" s="589"/>
      <c r="CW208" s="587"/>
      <c r="CX208" s="590"/>
      <c r="CY208" s="590"/>
      <c r="CZ208" s="590"/>
      <c r="DA208" s="1054"/>
      <c r="DB208" s="1054"/>
      <c r="DC208" s="587"/>
      <c r="DD208" s="587"/>
    </row>
    <row r="209" spans="1:108" s="588" customFormat="1" x14ac:dyDescent="0.2">
      <c r="A209" s="589">
        <f t="shared" si="3"/>
        <v>199</v>
      </c>
      <c r="B209" s="587"/>
      <c r="C209" s="587"/>
      <c r="D209" s="587"/>
      <c r="J209" s="589"/>
      <c r="K209" s="590"/>
      <c r="L209" s="591"/>
      <c r="M209" s="592"/>
      <c r="N209" s="589"/>
      <c r="O209" s="587"/>
      <c r="R209" s="1052"/>
      <c r="S209" s="1052"/>
      <c r="T209" s="1052"/>
      <c r="U209" s="1052"/>
      <c r="V209" s="1052"/>
      <c r="W209" s="1053"/>
      <c r="X209" s="1053"/>
      <c r="Y209" s="1053"/>
      <c r="Z209" s="1052"/>
      <c r="AA209" s="1052"/>
      <c r="AB209" s="962"/>
      <c r="AC209" s="590"/>
      <c r="AD209" s="590"/>
      <c r="AE209" s="591"/>
      <c r="AF209" s="592"/>
      <c r="AG209" s="1053"/>
      <c r="AH209" s="587"/>
      <c r="AK209" s="1041" t="str">
        <f>Codes!$C$170</f>
        <v>SR - Streetcar Rail (PT)</v>
      </c>
      <c r="AL209" s="1042" t="str">
        <f>Valid!$B$73</f>
        <v>Elevated/Retained Fill</v>
      </c>
      <c r="AM209" s="1108" t="e">
        <f>IF('A-80 DirEntInv'!#REF!&lt;&gt;"",'A-80 DirEntInv'!#REF!,IF(AK209=summaryref2!B14,summaryref2!D14,IF(Summary!AK209=summaryref2!B28,summaryref2!D28,IF(AK209=summaryref2!B42,summaryref2!D42,IF(AK209=summaryref2!B56,summaryref2!D56,IF(AK209=summaryref2!B70,summaryref2!D70,IF(AK209=summaryref2!B84,summaryref2!D84,IF(AK209=summaryref2!B98,summaryref2!D98,IF(AK209=summaryref2!B112,summaryref2!D112,IF(AK209=summaryref2!B126,summaryref2!D126,IF(AK209=summaryref2!B140,summaryref2!D140,"")))))))))))</f>
        <v>#REF!</v>
      </c>
      <c r="AN209" s="1109" t="e">
        <f ca="1">IF('A-80 DirEntInv'!#REF!&lt;&gt;"",'A-80 DirEntInv'!#REF!,IF(INDIRECT(ADDRESS(SumRef!CG265,SumRef!CG$16,,,SumRef!$C$7))="","",INDIRECT(ADDRESS(SumRef!CG265,SumRef!CG$16,,,SumRef!$C$7))))</f>
        <v>#REF!</v>
      </c>
      <c r="AO209" s="1108" t="e">
        <f>IF('A-80 DirEntInv'!#REF!&lt;&gt;"",'A-80 DirEntInv'!#REF!,IF(AK209=summaryref2!B14,summaryref2!F14,IF(Summary!AK209=summaryref2!B28,summaryref2!F28,IF(AK209=summaryref2!B42,summaryref2!F42,IF(AK209=summaryref2!B56,summaryref2!F56,IF(AK209=summaryref2!B70,summaryref2!F70,IF(AK209=summaryref2!B84,summaryref2!F84,IF(AK209=summaryref2!B98,summaryref2!F98,IF(AK209=summaryref2!B112,summaryref2!F112,IF(AK209=summaryref2!B126,summaryref2!F126,IF(AK209=summaryref2!B140,summaryref2!F140,"")))))))))))</f>
        <v>#REF!</v>
      </c>
      <c r="AP209" s="1109" t="e">
        <f ca="1">IF('A-80 DirEntInv'!#REF!&lt;&gt;"",'A-80 DirEntInv'!#REF!,IF(INDIRECT(ADDRESS(SumRef!#REF!,SumRef!#REF!,,,SumRef!$C$7))="","",INDIRECT(ADDRESS(SumRef!#REF!,SumRef!#REF!,,,SumRef!$C$7))))</f>
        <v>#REF!</v>
      </c>
      <c r="AQ209" s="1147" t="e">
        <f>IF('A-80 DirEntInv'!#REF!&lt;&gt;"",'A-80 DirEntInv'!#REF!,IF(AK209=summaryref2!B14,summaryref2!G14,IF(Summary!AK209=summaryref2!B28,summaryref2!G28,IF(AK209=summaryref2!B42,summaryref2!G42,IF(AK209=summaryref2!B56,summaryref2!G56,IF(AK209=summaryref2!B70,summaryref2!G70,IF(AK209=summaryref2!B84,summaryref2!G84,IF(AK209=summaryref2!B98,summaryref2!G98,IF(AK209=summaryref2!B112,summaryref2!G112,IF(AK209=summaryref2!B126,summaryref2!G126,IF(AK209=summaryref2!B140,summaryref2!G140,"")))))))))))</f>
        <v>#REF!</v>
      </c>
      <c r="AR209" s="1147" t="e">
        <f>IF('A-80 DirEntInv'!#REF!&lt;&gt;"",'A-80 DirEntInv'!#REF!,IF(AK209=summaryref2!B14,summaryref2!H14,IF(Summary!AK209=summaryref2!B28,summaryref2!H28,IF(AK209=summaryref2!B42,summaryref2!H42,IF(AK209=summaryref2!B56,summaryref2!H56,IF(AK209=summaryref2!B70,summaryref2!H70,IF(AK209=summaryref2!B84,summaryref2!H84,IF(AK209=summaryref2!B98,summaryref2!H98,IF(AK209=summaryref2!B112,summaryref2!H112,IF(AK209=summaryref2!B126,summaryref2!H126,IF(AK209=summaryref2!B140,summaryref2!H140,"")))))))))))</f>
        <v>#REF!</v>
      </c>
      <c r="AS209" s="1110" t="e">
        <f>IF('A-80 DirEntInv'!#REF!&lt;&gt;"",'A-80 DirEntInv'!#REF!,IF(AK209=summaryref2!B14,summaryref2!I14,IF(Summary!AK209=summaryref2!B28,summaryref2!I28,IF(AK209=summaryref2!B42,summaryref2!I42,IF(AK209=summaryref2!B56,summaryref2!I56,IF(AK209=summaryref2!B70,summaryref2!I70,IF(AK209=summaryref2!B84,summaryref2!I84,IF(AK209=summaryref2!B98,summaryref2!I98,IF(AK209=summaryref2!B112,summaryref2!I112,IF(AK209=summaryref2!B126,summaryref2!I126,IF(AK209=summaryref2!B140,summaryref2!I140,"")))))))))))</f>
        <v>#REF!</v>
      </c>
      <c r="AT209" s="1110" t="e">
        <f>IF('A-80 DirEntInv'!#REF!&lt;&gt;"",'A-80 DirEntInv'!#REF!,IF(AK209=summaryref2!B14,summaryref2!J14,IF(Summary!AK209=summaryref2!B28,summaryref2!J28,IF(AK209=summaryref2!B42,summaryref2!J42,IF(AK209=summaryref2!B56,summaryref2!J56,IF(AK209=summaryref2!B70,summaryref2!J70,IF(AK209=summaryref2!B84,summaryref2!J84,IF(AK209=summaryref2!B98,summaryref2!J98,IF(AK209=summaryref2!B112,summaryref2!J112,IF(AK209=summaryref2!B126,summaryref2!J126,IF(AK209=summaryref2!B140,summaryref2!J140,"")))))))))))</f>
        <v>#REF!</v>
      </c>
      <c r="AU209" s="1110" t="e">
        <f>IF('A-80 DirEntInv'!#REF!&lt;&gt;"",'A-80 DirEntInv'!#REF!,IF(AK209=summaryref2!B14,summaryref2!K14,IF(Summary!AK209=summaryref2!B28,summaryref2!K28,IF(AK209=summaryref2!B42,summaryref2!K42,IF(AK209=summaryref2!B56,summaryref2!K56,IF(AK209=summaryref2!B70,summaryref2!K70,IF(AK209=summaryref2!B84,summaryref2!K84,IF(AK209=summaryref2!B98,summaryref2!K98,IF(AK209=summaryref2!B112,summaryref2!K112,IF(AK209=summaryref2!B126,summaryref2!K126,IF(AK209=summaryref2!B140,summaryref2!K140,"")))))))))))</f>
        <v>#REF!</v>
      </c>
      <c r="AV209" s="1110" t="e">
        <f>IF('A-80 DirEntInv'!#REF!&lt;&gt;"",'A-80 DirEntInv'!#REF!,IF(AK209=summaryref2!B14,summaryref2!L14,IF(Summary!AK209=summaryref2!B28,summaryref2!L28,IF(AK209=summaryref2!B42,summaryref2!L42,IF(AK209=summaryref2!B56,summaryref2!L56,IF(AK209=summaryref2!B70,summaryref2!L70,IF(AK209=summaryref2!B84,summaryref2!L84,IF(AK209=summaryref2!B98,summaryref2!L98,IF(AK209=summaryref2!B112,summaryref2!L112,IF(AK209=summaryref2!B126,summaryref2!L126,IF(AK209=summaryref2!B140,summaryref2!L140,"")))))))))))</f>
        <v>#REF!</v>
      </c>
      <c r="AW209" s="1110" t="e">
        <f>IF('A-80 DirEntInv'!#REF!&lt;&gt;"",'A-80 DirEntInv'!#REF!,IF(AK209=summaryref2!B14,summaryref2!M14,IF(Summary!AK209=summaryref2!B28,summaryref2!M28,IF(AK209=summaryref2!B42,summaryref2!M42,IF(AK209=summaryref2!B56,summaryref2!M56,IF(AK209=summaryref2!B70,summaryref2!M70,IF(AK209=summaryref2!B84,summaryref2!M84,IF(AK209=summaryref2!B98,summaryref2!M98,IF(AK209=summaryref2!B112,summaryref2!M112,IF(AK209=summaryref2!B126,summaryref2!M126,IF(AK209=summaryref2!B140,summaryref2!M140,"")))))))))))</f>
        <v>#REF!</v>
      </c>
      <c r="AX209" s="1110" t="e">
        <f>IF('A-80 DirEntInv'!#REF!&lt;&gt;"",'A-80 DirEntInv'!#REF!,IF(AK209=summaryref2!B14,summaryref2!N14,IF(Summary!AK209=summaryref2!B28,summaryref2!N28,IF(AK209=summaryref2!B42,summaryref2!N42,IF(AK209=summaryref2!B56,summaryref2!N56,IF(AK209=summaryref2!B70,summaryref2!N70,IF(AK209=summaryref2!B84,summaryref2!N84,IF(AK209=summaryref2!B98,summaryref2!N98,IF(AK209=summaryref2!B112,summaryref2!N112,IF(AK209=summaryref2!B126,summaryref2!N126,IF(AK209=summaryref2!B140,summaryref2!N140,"")))))))))))</f>
        <v>#REF!</v>
      </c>
      <c r="AY209" s="1110" t="e">
        <f>IF('A-80 DirEntInv'!#REF!&lt;&gt;"",'A-80 DirEntInv'!#REF!,IF(AK209=summaryref2!B14,summaryref2!O14,IF(Summary!AK209=summaryref2!B28,summaryref2!O28,IF(AK209=summaryref2!B42,summaryref2!O42,IF(AK209=summaryref2!B56,summaryref2!O56,IF(AK209=summaryref2!B70,summaryref2!O70,IF(AK209=summaryref2!B84,summaryref2!O84,IF(AK209=summaryref2!B98,summaryref2!O98,IF(AK209=summaryref2!B112,summaryref2!O112,IF(AK209=summaryref2!B126,summaryref2!O126,IF(AK209=summaryref2!B140,summaryref2!O140,"")))))))))))</f>
        <v>#REF!</v>
      </c>
      <c r="AZ209" s="1110" t="e">
        <f>IF('A-80 DirEntInv'!#REF!&lt;&gt;"",'A-80 DirEntInv'!#REF!,IF(AK209=summaryref2!B14,summaryref2!P14,IF(Summary!AK209=summaryref2!B28,summaryref2!P28,IF(AK209=summaryref2!B42,summaryref2!P42,IF(AK209=summaryref2!B56,summaryref2!P56,IF(AK209=summaryref2!B70,summaryref2!P70,IF(AK209=summaryref2!B84,summaryref2!P84,IF(AK209=summaryref2!B98,summaryref2!P98,IF(AK209=summaryref2!B112,summaryref2!P112,IF(AK209=summaryref2!B126,summaryref2!P126,IF(AK209=summaryref2!B140,summaryref2!P140,"")))))))))))</f>
        <v>#REF!</v>
      </c>
      <c r="BA209" s="1110" t="e">
        <f>IF('A-80 DirEntInv'!#REF!&lt;&gt;"",'A-80 DirEntInv'!#REF!,IF(AK209=summaryref2!B14,summaryref2!Q14,IF(Summary!AK209=summaryref2!B28,summaryref2!Q28,IF(AK209=summaryref2!B42,summaryref2!Q42,IF(AK209=summaryref2!B56,summaryref2!Q56,IF(AK209=summaryref2!B70,summaryref2!Q70,IF(AK209=summaryref2!B84,summaryref2!Q84,IF(AK209=summaryref2!B98,summaryref2!Q98,IF(AK209=summaryref2!B112,summaryref2!Q112,IF(AK209=summaryref2!B126,summaryref2!Q126,IF(AK209=summaryref2!B140,summaryref2!Q140,"")))))))))))</f>
        <v>#REF!</v>
      </c>
      <c r="BB209" s="1110" t="e">
        <f>IF('A-80 DirEntInv'!#REF!&lt;&gt;"",'A-80 DirEntInv'!#REF!,IF(AK209=summaryref2!B14,summaryref2!R14,IF(Summary!AK209=summaryref2!B28,summaryref2!R28,IF(AK209=summaryref2!B42,summaryref2!R42,IF(AK209=summaryref2!B56,summaryref2!R56,IF(AK209=summaryref2!B70,summaryref2!R70,IF(AK209=summaryref2!B84,summaryref2!R84,IF(AK209=summaryref2!B98,summaryref2!R98,IF(AK209=summaryref2!B112,summaryref2!R112,IF(AK209=summaryref2!B126,summaryref2!R126,IF(AK209=summaryref2!B140,summaryref2!R140,"")))))))))))</f>
        <v>#REF!</v>
      </c>
      <c r="BC209" s="1110" t="e">
        <f>IF('A-80 DirEntInv'!#REF!&lt;&gt;0,'A-80 DirEntInv'!#REF!,IF(AK209=summaryref2!B14,summaryref2!S14,IF(Summary!AK209=summaryref2!B28,summaryref2!S28,IF(AK209=summaryref2!B42,summaryref2!S42,IF(AK209=summaryref2!B56,summaryref2!S56,IF(AK209=summaryref2!B70,summaryref2!S70,IF(AK209=summaryref2!B84,summaryref2!S84,IF(AK209=summaryref2!B98,summaryref2!S98,IF(AK209=summaryref2!B112,summaryref2!S112,IF(AK209=summaryref2!B126,summaryref2!S126,IF(AK209=summaryref2!B140,summaryref2!S140,"")))))))))))</f>
        <v>#REF!</v>
      </c>
      <c r="BD209" s="1111" t="e">
        <f>IF('A-80 DirEntInv'!#REF!&lt;&gt;"",'A-80 DirEntInv'!#REF!,IF(AK209=summaryref2!B14,summaryref2!T14,IF(Summary!AK209=summaryref2!B28,summaryref2!T28,IF(AK209=summaryref2!B42,summaryref2!T42,IF(AK209=summaryref2!B56,summaryref2!T56,IF(AK209=summaryref2!B70,summaryref2!T70,IF(AK209=summaryref2!B84,summaryref2!T84,IF(AK209=summaryref2!B98,summaryref2!T98,IF(AK209=summaryref2!B112,summaryref2!T112,IF(AK209=summaryref2!B126,summaryref2!T126,IF(AK209=summaryref2!B140,summaryref2!T140,"")))))))))))</f>
        <v>#REF!</v>
      </c>
      <c r="BE209" s="1184" t="e">
        <f>IF('A-80 DirEntInv'!#REF!&lt;&gt;"",'A-80 DirEntInv'!#REF!,IF(AK209=summaryref2!B14,summaryref2!U14,IF(Summary!AK209=summaryref2!B28,summaryref2!U28,IF(AK209=summaryref2!B42,summaryref2!U42,IF(AK209=summaryref2!B56,summaryref2!U56,IF(AK209=summaryref2!B70,summaryref2!U70,IF(AK209=summaryref2!B84,summaryref2!U84,IF(AK209=summaryref2!B98,summaryref2!U98,IF(AK209=summaryref2!B112,summaryref2!U112,IF(AK209=summaryref2!B126,summaryref2!U126,IF(AK209=summaryref2!B140,summaryref2!U140,"")))))))))))</f>
        <v>#REF!</v>
      </c>
      <c r="BF209" s="1432"/>
      <c r="BG209" s="1432"/>
      <c r="BU209" s="962"/>
      <c r="CD209" s="589"/>
      <c r="CE209" s="590"/>
      <c r="CF209" s="590"/>
      <c r="CG209" s="590"/>
      <c r="CH209" s="590"/>
      <c r="CI209" s="590"/>
      <c r="CJ209" s="589"/>
      <c r="CK209" s="589"/>
      <c r="CL209" s="589"/>
      <c r="CM209" s="587"/>
      <c r="CN209" s="587"/>
      <c r="CO209" s="589"/>
      <c r="CP209" s="587"/>
      <c r="CQ209" s="592"/>
      <c r="CR209" s="589"/>
      <c r="CS209" s="592"/>
      <c r="CT209" s="589"/>
      <c r="CU209" s="589"/>
      <c r="CV209" s="589"/>
      <c r="CW209" s="587"/>
      <c r="CX209" s="590"/>
      <c r="CY209" s="590"/>
      <c r="CZ209" s="590"/>
      <c r="DA209" s="1054"/>
      <c r="DB209" s="1054"/>
      <c r="DC209" s="587"/>
      <c r="DD209" s="587"/>
    </row>
    <row r="210" spans="1:108" s="588" customFormat="1" x14ac:dyDescent="0.2">
      <c r="A210" s="589">
        <f t="shared" si="3"/>
        <v>200</v>
      </c>
      <c r="B210" s="587"/>
      <c r="C210" s="587"/>
      <c r="D210" s="587"/>
      <c r="J210" s="589"/>
      <c r="K210" s="590"/>
      <c r="L210" s="591"/>
      <c r="M210" s="592"/>
      <c r="N210" s="589"/>
      <c r="O210" s="587"/>
      <c r="R210" s="1052"/>
      <c r="S210" s="1052"/>
      <c r="T210" s="1052"/>
      <c r="U210" s="1052"/>
      <c r="V210" s="1052"/>
      <c r="W210" s="1053"/>
      <c r="X210" s="1053"/>
      <c r="Y210" s="1053"/>
      <c r="Z210" s="1052"/>
      <c r="AA210" s="1052"/>
      <c r="AB210" s="962"/>
      <c r="AC210" s="590"/>
      <c r="AD210" s="590"/>
      <c r="AE210" s="591"/>
      <c r="AF210" s="592"/>
      <c r="AG210" s="1053"/>
      <c r="AH210" s="587"/>
      <c r="AK210" s="1041" t="str">
        <f>Codes!$C$170</f>
        <v>SR - Streetcar Rail (PT)</v>
      </c>
      <c r="AL210" s="1042" t="str">
        <f>Valid!$B$74</f>
        <v>Elevated/Concrete</v>
      </c>
      <c r="AM210" s="1108" t="e">
        <f>IF('A-80 DirEntInv'!#REF!&lt;&gt;"",'A-80 DirEntInv'!#REF!,IF(AK210=summaryref2!B15,summaryref2!D15,IF(Summary!AK210=summaryref2!B29,summaryref2!D29,IF(AK210=summaryref2!B43,summaryref2!D43,IF(AK210=summaryref2!B57,summaryref2!D57,IF(AK210=summaryref2!B71,summaryref2!D71,IF(AK210=summaryref2!B85,summaryref2!D85,IF(AK210=summaryref2!B99,summaryref2!D99,IF(AK210=summaryref2!B113,summaryref2!D113,IF(AK210=summaryref2!B127,summaryref2!D127,IF(AK210=summaryref2!B141,summaryref2!D141,"")))))))))))</f>
        <v>#REF!</v>
      </c>
      <c r="AN210" s="1109" t="e">
        <f ca="1">IF('A-80 DirEntInv'!#REF!&lt;&gt;"",'A-80 DirEntInv'!#REF!,IF(INDIRECT(ADDRESS(SumRef!CG266,SumRef!CG$16,,,SumRef!$C$7))="","",INDIRECT(ADDRESS(SumRef!CG266,SumRef!CG$16,,,SumRef!$C$7))))</f>
        <v>#REF!</v>
      </c>
      <c r="AO210" s="1108" t="e">
        <f>IF('A-80 DirEntInv'!#REF!&lt;&gt;"",'A-80 DirEntInv'!#REF!,IF(AK210=summaryref2!B15,summaryref2!F15,IF(Summary!AK210=summaryref2!B29,summaryref2!F29,IF(AK210=summaryref2!B43,summaryref2!F43,IF(AK210=summaryref2!B57,summaryref2!F57,IF(AK210=summaryref2!B71,summaryref2!F71,IF(AK210=summaryref2!B85,summaryref2!F85,IF(AK210=summaryref2!B99,summaryref2!F99,IF(AK210=summaryref2!B113,summaryref2!F113,IF(AK210=summaryref2!B127,summaryref2!F127,IF(AK210=summaryref2!B141,summaryref2!F141,"")))))))))))</f>
        <v>#REF!</v>
      </c>
      <c r="AP210" s="1109" t="e">
        <f ca="1">IF('A-80 DirEntInv'!#REF!&lt;&gt;"",'A-80 DirEntInv'!#REF!,IF(INDIRECT(ADDRESS(SumRef!#REF!,SumRef!#REF!,,,SumRef!$C$7))="","",INDIRECT(ADDRESS(SumRef!#REF!,SumRef!#REF!,,,SumRef!$C$7))))</f>
        <v>#REF!</v>
      </c>
      <c r="AQ210" s="1147" t="e">
        <f>IF('A-80 DirEntInv'!#REF!&lt;&gt;"",'A-80 DirEntInv'!#REF!,IF(AK210=summaryref2!B15,summaryref2!G15,IF(Summary!AK210=summaryref2!B29,summaryref2!G29,IF(AK210=summaryref2!B43,summaryref2!G43,IF(AK210=summaryref2!B57,summaryref2!G57,IF(AK210=summaryref2!B71,summaryref2!G71,IF(AK210=summaryref2!B85,summaryref2!G85,IF(AK210=summaryref2!B99,summaryref2!G99,IF(AK210=summaryref2!B113,summaryref2!G113,IF(AK210=summaryref2!B127,summaryref2!G127,IF(AK210=summaryref2!B141,summaryref2!G141,"")))))))))))</f>
        <v>#REF!</v>
      </c>
      <c r="AR210" s="1147" t="e">
        <f>IF('A-80 DirEntInv'!#REF!&lt;&gt;"",'A-80 DirEntInv'!#REF!,IF(AK210=summaryref2!B15,summaryref2!H15,IF(Summary!AK210=summaryref2!B29,summaryref2!H29,IF(AK210=summaryref2!B43,summaryref2!H43,IF(AK210=summaryref2!B57,summaryref2!H57,IF(AK210=summaryref2!B71,summaryref2!H71,IF(AK210=summaryref2!B85,summaryref2!H85,IF(AK210=summaryref2!B99,summaryref2!H99,IF(AK210=summaryref2!B113,summaryref2!H113,IF(AK210=summaryref2!B127,summaryref2!H127,IF(AK210=summaryref2!B141,summaryref2!H141,"")))))))))))</f>
        <v>#REF!</v>
      </c>
      <c r="AS210" s="1110" t="e">
        <f>IF('A-80 DirEntInv'!#REF!&lt;&gt;"",'A-80 DirEntInv'!#REF!,IF(AK210=summaryref2!B15,summaryref2!I15,IF(Summary!AK210=summaryref2!B29,summaryref2!I29,IF(AK210=summaryref2!B43,summaryref2!I43,IF(AK210=summaryref2!B57,summaryref2!I57,IF(AK210=summaryref2!B71,summaryref2!I71,IF(AK210=summaryref2!B85,summaryref2!I85,IF(AK210=summaryref2!B99,summaryref2!I99,IF(AK210=summaryref2!B113,summaryref2!I113,IF(AK210=summaryref2!B127,summaryref2!I127,IF(AK210=summaryref2!B141,summaryref2!I141,"")))))))))))</f>
        <v>#REF!</v>
      </c>
      <c r="AT210" s="1110" t="e">
        <f>IF('A-80 DirEntInv'!#REF!&lt;&gt;"",'A-80 DirEntInv'!#REF!,IF(AK210=summaryref2!B15,summaryref2!J15,IF(Summary!AK210=summaryref2!B29,summaryref2!J29,IF(AK210=summaryref2!B43,summaryref2!J43,IF(AK210=summaryref2!B57,summaryref2!J57,IF(AK210=summaryref2!B71,summaryref2!J71,IF(AK210=summaryref2!B85,summaryref2!J85,IF(AK210=summaryref2!B99,summaryref2!J99,IF(AK210=summaryref2!B113,summaryref2!J113,IF(AK210=summaryref2!B127,summaryref2!J127,IF(AK210=summaryref2!B141,summaryref2!J141,"")))))))))))</f>
        <v>#REF!</v>
      </c>
      <c r="AU210" s="1110" t="e">
        <f>IF('A-80 DirEntInv'!#REF!&lt;&gt;"",'A-80 DirEntInv'!#REF!,IF(AK210=summaryref2!B15,summaryref2!K15,IF(Summary!AK210=summaryref2!B29,summaryref2!K29,IF(AK210=summaryref2!B43,summaryref2!K43,IF(AK210=summaryref2!B57,summaryref2!K57,IF(AK210=summaryref2!B71,summaryref2!K71,IF(AK210=summaryref2!B85,summaryref2!K85,IF(AK210=summaryref2!B99,summaryref2!K99,IF(AK210=summaryref2!B113,summaryref2!K113,IF(AK210=summaryref2!B127,summaryref2!K127,IF(AK210=summaryref2!B141,summaryref2!K141,"")))))))))))</f>
        <v>#REF!</v>
      </c>
      <c r="AV210" s="1110" t="e">
        <f>IF('A-80 DirEntInv'!#REF!&lt;&gt;"",'A-80 DirEntInv'!#REF!,IF(AK210=summaryref2!B15,summaryref2!L15,IF(Summary!AK210=summaryref2!B29,summaryref2!L29,IF(AK210=summaryref2!B43,summaryref2!L43,IF(AK210=summaryref2!B57,summaryref2!L57,IF(AK210=summaryref2!B71,summaryref2!L71,IF(AK210=summaryref2!B85,summaryref2!L85,IF(AK210=summaryref2!B99,summaryref2!L99,IF(AK210=summaryref2!B113,summaryref2!L113,IF(AK210=summaryref2!B127,summaryref2!L127,IF(AK210=summaryref2!B141,summaryref2!L141,"")))))))))))</f>
        <v>#REF!</v>
      </c>
      <c r="AW210" s="1110" t="e">
        <f>IF('A-80 DirEntInv'!#REF!&lt;&gt;"",'A-80 DirEntInv'!#REF!,IF(AK210=summaryref2!B15,summaryref2!M15,IF(Summary!AK210=summaryref2!B29,summaryref2!M29,IF(AK210=summaryref2!B43,summaryref2!M43,IF(AK210=summaryref2!B57,summaryref2!M57,IF(AK210=summaryref2!B71,summaryref2!M71,IF(AK210=summaryref2!B85,summaryref2!M85,IF(AK210=summaryref2!B99,summaryref2!M99,IF(AK210=summaryref2!B113,summaryref2!M113,IF(AK210=summaryref2!B127,summaryref2!M127,IF(AK210=summaryref2!B141,summaryref2!M141,"")))))))))))</f>
        <v>#REF!</v>
      </c>
      <c r="AX210" s="1110" t="e">
        <f>IF('A-80 DirEntInv'!#REF!&lt;&gt;"",'A-80 DirEntInv'!#REF!,IF(AK210=summaryref2!B15,summaryref2!N15,IF(Summary!AK210=summaryref2!B29,summaryref2!N29,IF(AK210=summaryref2!B43,summaryref2!N43,IF(AK210=summaryref2!B57,summaryref2!N57,IF(AK210=summaryref2!B71,summaryref2!N71,IF(AK210=summaryref2!B85,summaryref2!N85,IF(AK210=summaryref2!B99,summaryref2!N99,IF(AK210=summaryref2!B113,summaryref2!N113,IF(AK210=summaryref2!B127,summaryref2!N127,IF(AK210=summaryref2!B141,summaryref2!N141,"")))))))))))</f>
        <v>#REF!</v>
      </c>
      <c r="AY210" s="1110" t="e">
        <f>IF('A-80 DirEntInv'!#REF!&lt;&gt;"",'A-80 DirEntInv'!#REF!,IF(AK210=summaryref2!B15,summaryref2!O15,IF(Summary!AK210=summaryref2!B29,summaryref2!O29,IF(AK210=summaryref2!B43,summaryref2!O43,IF(AK210=summaryref2!B57,summaryref2!O57,IF(AK210=summaryref2!B71,summaryref2!O71,IF(AK210=summaryref2!B85,summaryref2!O85,IF(AK210=summaryref2!B99,summaryref2!O99,IF(AK210=summaryref2!B113,summaryref2!O113,IF(AK210=summaryref2!B127,summaryref2!O127,IF(AK210=summaryref2!B141,summaryref2!O141,"")))))))))))</f>
        <v>#REF!</v>
      </c>
      <c r="AZ210" s="1110" t="e">
        <f>IF('A-80 DirEntInv'!#REF!&lt;&gt;"",'A-80 DirEntInv'!#REF!,IF(AK210=summaryref2!B15,summaryref2!P15,IF(Summary!AK210=summaryref2!B29,summaryref2!P29,IF(AK210=summaryref2!B43,summaryref2!P43,IF(AK210=summaryref2!B57,summaryref2!P57,IF(AK210=summaryref2!B71,summaryref2!P71,IF(AK210=summaryref2!B85,summaryref2!P85,IF(AK210=summaryref2!B99,summaryref2!P99,IF(AK210=summaryref2!B113,summaryref2!P113,IF(AK210=summaryref2!B127,summaryref2!P127,IF(AK210=summaryref2!B141,summaryref2!P141,"")))))))))))</f>
        <v>#REF!</v>
      </c>
      <c r="BA210" s="1110" t="e">
        <f>IF('A-80 DirEntInv'!#REF!&lt;&gt;"",'A-80 DirEntInv'!#REF!,IF(AK210=summaryref2!B15,summaryref2!Q15,IF(Summary!AK210=summaryref2!B29,summaryref2!Q29,IF(AK210=summaryref2!B43,summaryref2!Q43,IF(AK210=summaryref2!B57,summaryref2!Q57,IF(AK210=summaryref2!B71,summaryref2!Q71,IF(AK210=summaryref2!B85,summaryref2!Q85,IF(AK210=summaryref2!B99,summaryref2!Q99,IF(AK210=summaryref2!B113,summaryref2!Q113,IF(AK210=summaryref2!B127,summaryref2!Q127,IF(AK210=summaryref2!B141,summaryref2!Q141,"")))))))))))</f>
        <v>#REF!</v>
      </c>
      <c r="BB210" s="1110" t="e">
        <f>IF('A-80 DirEntInv'!#REF!&lt;&gt;"",'A-80 DirEntInv'!#REF!,IF(AK210=summaryref2!B15,summaryref2!R15,IF(Summary!AK210=summaryref2!B29,summaryref2!R29,IF(AK210=summaryref2!B43,summaryref2!R43,IF(AK210=summaryref2!B57,summaryref2!R57,IF(AK210=summaryref2!B71,summaryref2!R71,IF(AK210=summaryref2!B85,summaryref2!R85,IF(AK210=summaryref2!B99,summaryref2!R99,IF(AK210=summaryref2!B113,summaryref2!R113,IF(AK210=summaryref2!B127,summaryref2!R127,IF(AK210=summaryref2!B141,summaryref2!R141,"")))))))))))</f>
        <v>#REF!</v>
      </c>
      <c r="BC210" s="1110" t="e">
        <f>IF('A-80 DirEntInv'!#REF!&lt;&gt;0,'A-80 DirEntInv'!#REF!,IF(AK210=summaryref2!B15,summaryref2!S15,IF(Summary!AK210=summaryref2!B29,summaryref2!S29,IF(AK210=summaryref2!B43,summaryref2!S43,IF(AK210=summaryref2!B57,summaryref2!S57,IF(AK210=summaryref2!B71,summaryref2!S71,IF(AK210=summaryref2!B85,summaryref2!S85,IF(AK210=summaryref2!B99,summaryref2!S99,IF(AK210=summaryref2!B113,summaryref2!S113,IF(AK210=summaryref2!B127,summaryref2!S127,IF(AK210=summaryref2!B141,summaryref2!S141,"")))))))))))</f>
        <v>#REF!</v>
      </c>
      <c r="BD210" s="1111" t="e">
        <f>IF('A-80 DirEntInv'!#REF!&lt;&gt;"",'A-80 DirEntInv'!#REF!,IF(AK210=summaryref2!B15,summaryref2!T15,IF(Summary!AK210=summaryref2!B29,summaryref2!T29,IF(AK210=summaryref2!B43,summaryref2!T43,IF(AK210=summaryref2!B57,summaryref2!T57,IF(AK210=summaryref2!B71,summaryref2!T71,IF(AK210=summaryref2!B85,summaryref2!T85,IF(AK210=summaryref2!B99,summaryref2!T99,IF(AK210=summaryref2!B113,summaryref2!T113,IF(AK210=summaryref2!B127,summaryref2!T127,IF(AK210=summaryref2!B141,summaryref2!T141,"")))))))))))</f>
        <v>#REF!</v>
      </c>
      <c r="BE210" s="1184" t="e">
        <f>IF('A-80 DirEntInv'!#REF!&lt;&gt;"",'A-80 DirEntInv'!#REF!,IF(AK210=summaryref2!B15,summaryref2!U15,IF(Summary!AK210=summaryref2!B29,summaryref2!U29,IF(AK210=summaryref2!B43,summaryref2!U43,IF(AK210=summaryref2!B57,summaryref2!U57,IF(AK210=summaryref2!B71,summaryref2!U71,IF(AK210=summaryref2!B85,summaryref2!U85,IF(AK210=summaryref2!B99,summaryref2!U99,IF(AK210=summaryref2!B113,summaryref2!U113,IF(AK210=summaryref2!B127,summaryref2!U127,IF(AK210=summaryref2!B141,summaryref2!U141,"")))))))))))</f>
        <v>#REF!</v>
      </c>
      <c r="BF210" s="1432"/>
      <c r="BG210" s="1432"/>
      <c r="BU210" s="962"/>
      <c r="CD210" s="589"/>
      <c r="CE210" s="590"/>
      <c r="CF210" s="590"/>
      <c r="CG210" s="590"/>
      <c r="CH210" s="590"/>
      <c r="CI210" s="590"/>
      <c r="CJ210" s="589"/>
      <c r="CK210" s="589"/>
      <c r="CL210" s="589"/>
      <c r="CM210" s="587"/>
      <c r="CN210" s="587"/>
      <c r="CO210" s="589"/>
      <c r="CP210" s="587"/>
      <c r="CQ210" s="592"/>
      <c r="CR210" s="589"/>
      <c r="CS210" s="592"/>
      <c r="CT210" s="589"/>
      <c r="CU210" s="589"/>
      <c r="CV210" s="589"/>
      <c r="CW210" s="587"/>
      <c r="CX210" s="590"/>
      <c r="CY210" s="590"/>
      <c r="CZ210" s="590"/>
      <c r="DA210" s="1054"/>
      <c r="DB210" s="1054"/>
      <c r="DC210" s="587"/>
      <c r="DD210" s="587"/>
    </row>
    <row r="211" spans="1:108" s="588" customFormat="1" x14ac:dyDescent="0.2">
      <c r="A211" s="589">
        <f t="shared" si="3"/>
        <v>201</v>
      </c>
      <c r="B211" s="587"/>
      <c r="C211" s="587"/>
      <c r="D211" s="587"/>
      <c r="J211" s="589"/>
      <c r="K211" s="590"/>
      <c r="L211" s="591"/>
      <c r="M211" s="592"/>
      <c r="N211" s="589"/>
      <c r="O211" s="587"/>
      <c r="R211" s="1052"/>
      <c r="S211" s="1052"/>
      <c r="T211" s="1052"/>
      <c r="U211" s="1052"/>
      <c r="V211" s="1052"/>
      <c r="W211" s="1053"/>
      <c r="X211" s="1053"/>
      <c r="Y211" s="1053"/>
      <c r="Z211" s="1052"/>
      <c r="AA211" s="1052"/>
      <c r="AB211" s="962"/>
      <c r="AC211" s="590"/>
      <c r="AD211" s="590"/>
      <c r="AE211" s="591"/>
      <c r="AF211" s="592"/>
      <c r="AG211" s="1053"/>
      <c r="AH211" s="587"/>
      <c r="AK211" s="1041" t="str">
        <f>Codes!$C$170</f>
        <v>SR - Streetcar Rail (PT)</v>
      </c>
      <c r="AL211" s="1042" t="str">
        <f>Valid!$B$75</f>
        <v>Elevated/Steel Viaduct or Bridge</v>
      </c>
      <c r="AM211" s="1108" t="e">
        <f>IF('A-80 DirEntInv'!#REF!&lt;&gt;"",'A-80 DirEntInv'!#REF!,IF(AK211=summaryref2!B16,summaryref2!D16,IF(Summary!AK211=summaryref2!B30,summaryref2!D30,IF(AK211=summaryref2!B44,summaryref2!D44,IF(AK211=summaryref2!B58,summaryref2!D58,IF(AK211=summaryref2!B72,summaryref2!D72,IF(AK211=summaryref2!B86,summaryref2!D86,IF(AK211=summaryref2!B100,summaryref2!D100,IF(AK211=summaryref2!B114,summaryref2!D114,IF(AK211=summaryref2!B128,summaryref2!D128,IF(AK211=summaryref2!B142,summaryref2!D142,"")))))))))))</f>
        <v>#REF!</v>
      </c>
      <c r="AN211" s="1109" t="e">
        <f ca="1">IF('A-80 DirEntInv'!#REF!&lt;&gt;"",'A-80 DirEntInv'!#REF!,IF(INDIRECT(ADDRESS(SumRef!CG267,SumRef!CG$16,,,SumRef!$C$7))="","",INDIRECT(ADDRESS(SumRef!CG267,SumRef!CG$16,,,SumRef!$C$7))))</f>
        <v>#REF!</v>
      </c>
      <c r="AO211" s="1108" t="e">
        <f>IF('A-80 DirEntInv'!#REF!&lt;&gt;"",'A-80 DirEntInv'!#REF!,IF(AK211=summaryref2!B16,summaryref2!F16,IF(Summary!AK211=summaryref2!B30,summaryref2!F30,IF(AK211=summaryref2!B44,summaryref2!F44,IF(AK211=summaryref2!B58,summaryref2!F58,IF(AK211=summaryref2!B72,summaryref2!F72,IF(AK211=summaryref2!B86,summaryref2!F86,IF(AK211=summaryref2!B100,summaryref2!F100,IF(AK211=summaryref2!B114,summaryref2!F114,IF(AK211=summaryref2!B128,summaryref2!F128,IF(AK211=summaryref2!B142,summaryref2!F142,"")))))))))))</f>
        <v>#REF!</v>
      </c>
      <c r="AP211" s="1109" t="e">
        <f ca="1">IF('A-80 DirEntInv'!#REF!&lt;&gt;"",'A-80 DirEntInv'!#REF!,IF(INDIRECT(ADDRESS(SumRef!#REF!,SumRef!#REF!,,,SumRef!$C$7))="","",INDIRECT(ADDRESS(SumRef!#REF!,SumRef!#REF!,,,SumRef!$C$7))))</f>
        <v>#REF!</v>
      </c>
      <c r="AQ211" s="1147" t="e">
        <f>IF('A-80 DirEntInv'!#REF!&lt;&gt;"",'A-80 DirEntInv'!#REF!,IF(AK211=summaryref2!B16,summaryref2!G16,IF(Summary!AK211=summaryref2!B30,summaryref2!G30,IF(AK211=summaryref2!B44,summaryref2!G44,IF(AK211=summaryref2!B58,summaryref2!G58,IF(AK211=summaryref2!B72,summaryref2!G72,IF(AK211=summaryref2!B86,summaryref2!G86,IF(AK211=summaryref2!B100,summaryref2!G100,IF(AK211=summaryref2!B114,summaryref2!G114,IF(AK211=summaryref2!B128,summaryref2!G128,IF(AK211=summaryref2!B142,summaryref2!G142,"")))))))))))</f>
        <v>#REF!</v>
      </c>
      <c r="AR211" s="1147" t="e">
        <f>IF('A-80 DirEntInv'!#REF!&lt;&gt;"",'A-80 DirEntInv'!#REF!,IF(AK211=summaryref2!B16,summaryref2!H16,IF(Summary!AK211=summaryref2!B30,summaryref2!H30,IF(AK211=summaryref2!B44,summaryref2!H44,IF(AK211=summaryref2!B58,summaryref2!H58,IF(AK211=summaryref2!B72,summaryref2!H72,IF(AK211=summaryref2!B86,summaryref2!H86,IF(AK211=summaryref2!B100,summaryref2!H100,IF(AK211=summaryref2!B114,summaryref2!H114,IF(AK211=summaryref2!B128,summaryref2!H128,IF(AK211=summaryref2!B142,summaryref2!H142,"")))))))))))</f>
        <v>#REF!</v>
      </c>
      <c r="AS211" s="1110" t="e">
        <f>IF('A-80 DirEntInv'!#REF!&lt;&gt;"",'A-80 DirEntInv'!#REF!,IF(AK211=summaryref2!B16,summaryref2!I16,IF(Summary!AK211=summaryref2!B30,summaryref2!I30,IF(AK211=summaryref2!B44,summaryref2!I44,IF(AK211=summaryref2!B58,summaryref2!I58,IF(AK211=summaryref2!B72,summaryref2!I72,IF(AK211=summaryref2!B86,summaryref2!I86,IF(AK211=summaryref2!B100,summaryref2!I100,IF(AK211=summaryref2!B114,summaryref2!I114,IF(AK211=summaryref2!B128,summaryref2!I128,IF(AK211=summaryref2!B142,summaryref2!I142,"")))))))))))</f>
        <v>#REF!</v>
      </c>
      <c r="AT211" s="1110" t="e">
        <f>IF('A-80 DirEntInv'!#REF!&lt;&gt;"",'A-80 DirEntInv'!#REF!,IF(AK211=summaryref2!B16,summaryref2!J16,IF(Summary!AK211=summaryref2!B30,summaryref2!J30,IF(AK211=summaryref2!B44,summaryref2!J44,IF(AK211=summaryref2!B58,summaryref2!J58,IF(AK211=summaryref2!B72,summaryref2!J72,IF(AK211=summaryref2!B86,summaryref2!J86,IF(AK211=summaryref2!B100,summaryref2!J100,IF(AK211=summaryref2!B114,summaryref2!J114,IF(AK211=summaryref2!B128,summaryref2!J128,IF(AK211=summaryref2!B142,summaryref2!J142,"")))))))))))</f>
        <v>#REF!</v>
      </c>
      <c r="AU211" s="1110" t="e">
        <f>IF('A-80 DirEntInv'!#REF!&lt;&gt;"",'A-80 DirEntInv'!#REF!,IF(AK211=summaryref2!B16,summaryref2!K16,IF(Summary!AK211=summaryref2!B30,summaryref2!K30,IF(AK211=summaryref2!B44,summaryref2!K44,IF(AK211=summaryref2!B58,summaryref2!K58,IF(AK211=summaryref2!B72,summaryref2!K72,IF(AK211=summaryref2!B86,summaryref2!K86,IF(AK211=summaryref2!B100,summaryref2!K100,IF(AK211=summaryref2!B114,summaryref2!K114,IF(AK211=summaryref2!B128,summaryref2!K128,IF(AK211=summaryref2!B142,summaryref2!K142,"")))))))))))</f>
        <v>#REF!</v>
      </c>
      <c r="AV211" s="1110" t="e">
        <f>IF('A-80 DirEntInv'!#REF!&lt;&gt;"",'A-80 DirEntInv'!#REF!,IF(AK211=summaryref2!B16,summaryref2!L16,IF(Summary!AK211=summaryref2!B30,summaryref2!L30,IF(AK211=summaryref2!B44,summaryref2!L44,IF(AK211=summaryref2!B58,summaryref2!L58,IF(AK211=summaryref2!B72,summaryref2!L72,IF(AK211=summaryref2!B86,summaryref2!L86,IF(AK211=summaryref2!B100,summaryref2!L100,IF(AK211=summaryref2!B114,summaryref2!L114,IF(AK211=summaryref2!B128,summaryref2!L128,IF(AK211=summaryref2!B142,summaryref2!L142,"")))))))))))</f>
        <v>#REF!</v>
      </c>
      <c r="AW211" s="1110" t="e">
        <f>IF('A-80 DirEntInv'!#REF!&lt;&gt;"",'A-80 DirEntInv'!#REF!,IF(AK211=summaryref2!B16,summaryref2!M16,IF(Summary!AK211=summaryref2!B30,summaryref2!M30,IF(AK211=summaryref2!B44,summaryref2!M44,IF(AK211=summaryref2!B58,summaryref2!M58,IF(AK211=summaryref2!B72,summaryref2!M72,IF(AK211=summaryref2!B86,summaryref2!M86,IF(AK211=summaryref2!B100,summaryref2!M100,IF(AK211=summaryref2!B114,summaryref2!M114,IF(AK211=summaryref2!B128,summaryref2!M128,IF(AK211=summaryref2!B142,summaryref2!M142,"")))))))))))</f>
        <v>#REF!</v>
      </c>
      <c r="AX211" s="1110" t="e">
        <f>IF('A-80 DirEntInv'!#REF!&lt;&gt;"",'A-80 DirEntInv'!#REF!,IF(AK211=summaryref2!B16,summaryref2!N16,IF(Summary!AK211=summaryref2!B30,summaryref2!N30,IF(AK211=summaryref2!B44,summaryref2!N44,IF(AK211=summaryref2!B58,summaryref2!N58,IF(AK211=summaryref2!B72,summaryref2!N72,IF(AK211=summaryref2!B86,summaryref2!N86,IF(AK211=summaryref2!B100,summaryref2!N100,IF(AK211=summaryref2!B114,summaryref2!N114,IF(AK211=summaryref2!B128,summaryref2!N128,IF(AK211=summaryref2!B142,summaryref2!N142,"")))))))))))</f>
        <v>#REF!</v>
      </c>
      <c r="AY211" s="1110" t="e">
        <f>IF('A-80 DirEntInv'!#REF!&lt;&gt;"",'A-80 DirEntInv'!#REF!,IF(AK211=summaryref2!B16,summaryref2!O16,IF(Summary!AK211=summaryref2!B30,summaryref2!O30,IF(AK211=summaryref2!B44,summaryref2!O44,IF(AK211=summaryref2!B58,summaryref2!O58,IF(AK211=summaryref2!B72,summaryref2!O72,IF(AK211=summaryref2!B86,summaryref2!O86,IF(AK211=summaryref2!B100,summaryref2!O100,IF(AK211=summaryref2!B114,summaryref2!O114,IF(AK211=summaryref2!B128,summaryref2!O128,IF(AK211=summaryref2!B142,summaryref2!O142,"")))))))))))</f>
        <v>#REF!</v>
      </c>
      <c r="AZ211" s="1110" t="e">
        <f>IF('A-80 DirEntInv'!#REF!&lt;&gt;"",'A-80 DirEntInv'!#REF!,IF(AK211=summaryref2!B16,summaryref2!P16,IF(Summary!AK211=summaryref2!B30,summaryref2!P30,IF(AK211=summaryref2!B44,summaryref2!P44,IF(AK211=summaryref2!B58,summaryref2!P58,IF(AK211=summaryref2!B72,summaryref2!P72,IF(AK211=summaryref2!B86,summaryref2!P86,IF(AK211=summaryref2!B100,summaryref2!P100,IF(AK211=summaryref2!B114,summaryref2!P114,IF(AK211=summaryref2!B128,summaryref2!P128,IF(AK211=summaryref2!B142,summaryref2!P142,"")))))))))))</f>
        <v>#REF!</v>
      </c>
      <c r="BA211" s="1110" t="e">
        <f>IF('A-80 DirEntInv'!#REF!&lt;&gt;"",'A-80 DirEntInv'!#REF!,IF(AK211=summaryref2!B16,summaryref2!Q16,IF(Summary!AK211=summaryref2!B30,summaryref2!Q30,IF(AK211=summaryref2!B44,summaryref2!Q44,IF(AK211=summaryref2!B58,summaryref2!Q58,IF(AK211=summaryref2!B72,summaryref2!Q72,IF(AK211=summaryref2!B86,summaryref2!Q86,IF(AK211=summaryref2!B100,summaryref2!Q100,IF(AK211=summaryref2!B114,summaryref2!Q114,IF(AK211=summaryref2!B128,summaryref2!Q128,IF(AK211=summaryref2!B142,summaryref2!Q142,"")))))))))))</f>
        <v>#REF!</v>
      </c>
      <c r="BB211" s="1110" t="e">
        <f>IF('A-80 DirEntInv'!#REF!&lt;&gt;"",'A-80 DirEntInv'!#REF!,IF(AK211=summaryref2!B16,summaryref2!R16,IF(Summary!AK211=summaryref2!B30,summaryref2!R30,IF(AK211=summaryref2!B44,summaryref2!R44,IF(AK211=summaryref2!B58,summaryref2!R58,IF(AK211=summaryref2!B72,summaryref2!R72,IF(AK211=summaryref2!B86,summaryref2!R86,IF(AK211=summaryref2!B100,summaryref2!R100,IF(AK211=summaryref2!B114,summaryref2!R114,IF(AK211=summaryref2!B128,summaryref2!R128,IF(AK211=summaryref2!B142,summaryref2!R142,"")))))))))))</f>
        <v>#REF!</v>
      </c>
      <c r="BC211" s="1110" t="e">
        <f>IF('A-80 DirEntInv'!#REF!&lt;&gt;0,'A-80 DirEntInv'!#REF!,IF(AK211=summaryref2!B16,summaryref2!S16,IF(Summary!AK211=summaryref2!B30,summaryref2!S30,IF(AK211=summaryref2!B44,summaryref2!S44,IF(AK211=summaryref2!B58,summaryref2!S58,IF(AK211=summaryref2!B72,summaryref2!S72,IF(AK211=summaryref2!B86,summaryref2!S86,IF(AK211=summaryref2!B100,summaryref2!S100,IF(AK211=summaryref2!B114,summaryref2!S114,IF(AK211=summaryref2!B128,summaryref2!S128,IF(AK211=summaryref2!B142,summaryref2!S142,"")))))))))))</f>
        <v>#REF!</v>
      </c>
      <c r="BD211" s="1111" t="e">
        <f>IF('A-80 DirEntInv'!#REF!&lt;&gt;"",'A-80 DirEntInv'!#REF!,IF(AK211=summaryref2!B16,summaryref2!T16,IF(Summary!AK211=summaryref2!B30,summaryref2!T30,IF(AK211=summaryref2!B44,summaryref2!T44,IF(AK211=summaryref2!B58,summaryref2!T58,IF(AK211=summaryref2!B72,summaryref2!T72,IF(AK211=summaryref2!B86,summaryref2!T86,IF(AK211=summaryref2!B100,summaryref2!T100,IF(AK211=summaryref2!B114,summaryref2!T114,IF(AK211=summaryref2!B128,summaryref2!T128,IF(AK211=summaryref2!B142,summaryref2!T142,"")))))))))))</f>
        <v>#REF!</v>
      </c>
      <c r="BE211" s="1184" t="e">
        <f>IF('A-80 DirEntInv'!#REF!&lt;&gt;"",'A-80 DirEntInv'!#REF!,IF(AK211=summaryref2!B16,summaryref2!U16,IF(Summary!AK211=summaryref2!B30,summaryref2!U30,IF(AK211=summaryref2!B44,summaryref2!U44,IF(AK211=summaryref2!B58,summaryref2!U58,IF(AK211=summaryref2!B72,summaryref2!U72,IF(AK211=summaryref2!B86,summaryref2!U86,IF(AK211=summaryref2!B100,summaryref2!U100,IF(AK211=summaryref2!B114,summaryref2!U114,IF(AK211=summaryref2!B128,summaryref2!U128,IF(AK211=summaryref2!B142,summaryref2!U142,"")))))))))))</f>
        <v>#REF!</v>
      </c>
      <c r="BF211" s="1432"/>
      <c r="BG211" s="1432"/>
      <c r="BU211" s="962"/>
      <c r="CD211" s="589"/>
      <c r="CE211" s="590"/>
      <c r="CF211" s="590"/>
      <c r="CG211" s="590"/>
      <c r="CH211" s="590"/>
      <c r="CI211" s="590"/>
      <c r="CJ211" s="589"/>
      <c r="CK211" s="589"/>
      <c r="CL211" s="589"/>
      <c r="CM211" s="587"/>
      <c r="CN211" s="587"/>
      <c r="CO211" s="589"/>
      <c r="CP211" s="587"/>
      <c r="CQ211" s="592"/>
      <c r="CR211" s="589"/>
      <c r="CS211" s="592"/>
      <c r="CT211" s="589"/>
      <c r="CU211" s="589"/>
      <c r="CV211" s="589"/>
      <c r="CW211" s="587"/>
      <c r="CX211" s="590"/>
      <c r="CY211" s="590"/>
      <c r="CZ211" s="590"/>
      <c r="DA211" s="1054"/>
      <c r="DB211" s="1054"/>
      <c r="DC211" s="587"/>
      <c r="DD211" s="587"/>
    </row>
    <row r="212" spans="1:108" s="588" customFormat="1" x14ac:dyDescent="0.2">
      <c r="A212" s="589">
        <f t="shared" si="3"/>
        <v>202</v>
      </c>
      <c r="B212" s="587"/>
      <c r="C212" s="587"/>
      <c r="D212" s="587"/>
      <c r="J212" s="589"/>
      <c r="K212" s="590"/>
      <c r="L212" s="591"/>
      <c r="M212" s="592"/>
      <c r="N212" s="589"/>
      <c r="O212" s="587"/>
      <c r="R212" s="1052"/>
      <c r="S212" s="1052"/>
      <c r="T212" s="1052"/>
      <c r="U212" s="1052"/>
      <c r="V212" s="1052"/>
      <c r="W212" s="1053"/>
      <c r="X212" s="1053"/>
      <c r="Y212" s="1053"/>
      <c r="Z212" s="1052"/>
      <c r="AA212" s="1052"/>
      <c r="AB212" s="962"/>
      <c r="AC212" s="590"/>
      <c r="AD212" s="590"/>
      <c r="AE212" s="591"/>
      <c r="AF212" s="592"/>
      <c r="AG212" s="1053"/>
      <c r="AH212" s="587"/>
      <c r="AK212" s="1041" t="str">
        <f>Codes!$C$170</f>
        <v>SR - Streetcar Rail (PT)</v>
      </c>
      <c r="AL212" s="1042" t="str">
        <f>Valid!$B$76</f>
        <v>Below-Grade/Retained Cut</v>
      </c>
      <c r="AM212" s="1108" t="e">
        <f>IF('A-80 DirEntInv'!#REF!&lt;&gt;"",'A-80 DirEntInv'!#REF!,IF(AK212=summaryref2!B17,summaryref2!D17,IF(Summary!AK212=summaryref2!B31,summaryref2!D31,IF(AK212=summaryref2!B45,summaryref2!D45,IF(AK212=summaryref2!B59,summaryref2!D59,IF(AK212=summaryref2!B73,summaryref2!D73,IF(AK212=summaryref2!B87,summaryref2!D87,IF(AK212=summaryref2!B101,summaryref2!D101,IF(AK212=summaryref2!B115,summaryref2!D115,IF(AK212=summaryref2!B129,summaryref2!D129,IF(AK212=summaryref2!B143,summaryref2!D143,"")))))))))))</f>
        <v>#REF!</v>
      </c>
      <c r="AN212" s="1109" t="e">
        <f ca="1">IF('A-80 DirEntInv'!#REF!&lt;&gt;"",'A-80 DirEntInv'!#REF!,IF(INDIRECT(ADDRESS(SumRef!CG269,SumRef!CG$16,,,SumRef!$C$7))="","",INDIRECT(ADDRESS(SumRef!CG269,SumRef!CG$16,,,SumRef!$C$7))))</f>
        <v>#REF!</v>
      </c>
      <c r="AO212" s="1108" t="e">
        <f>IF('A-80 DirEntInv'!#REF!&lt;&gt;"",'A-80 DirEntInv'!#REF!,IF(AK212=summaryref2!B17,summaryref2!F17,IF(Summary!AK212=summaryref2!B31,summaryref2!F31,IF(AK212=summaryref2!B45,summaryref2!F45,IF(AK212=summaryref2!B59,summaryref2!F59,IF(AK212=summaryref2!B73,summaryref2!F73,IF(AK212=summaryref2!B87,summaryref2!F87,IF(AK212=summaryref2!B101,summaryref2!F101,IF(AK212=summaryref2!B115,summaryref2!F115,IF(AK212=summaryref2!B129,summaryref2!F129,IF(AK212=summaryref2!B143,summaryref2!F143,"")))))))))))</f>
        <v>#REF!</v>
      </c>
      <c r="AP212" s="1109" t="e">
        <f ca="1">IF('A-80 DirEntInv'!#REF!&lt;&gt;"",'A-80 DirEntInv'!#REF!,IF(INDIRECT(ADDRESS(SumRef!#REF!,SumRef!#REF!,,,SumRef!$C$7))="","",INDIRECT(ADDRESS(SumRef!#REF!,SumRef!#REF!,,,SumRef!$C$7))))</f>
        <v>#REF!</v>
      </c>
      <c r="AQ212" s="1147" t="e">
        <f>IF('A-80 DirEntInv'!#REF!&lt;&gt;"",'A-80 DirEntInv'!#REF!,IF(AK212=summaryref2!B17,summaryref2!G17,IF(Summary!AK212=summaryref2!B31,summaryref2!G31,IF(AK212=summaryref2!B45,summaryref2!G45,IF(AK212=summaryref2!B59,summaryref2!G59,IF(AK212=summaryref2!B73,summaryref2!G73,IF(AK212=summaryref2!B87,summaryref2!G87,IF(AK212=summaryref2!B101,summaryref2!G101,IF(AK212=summaryref2!B115,summaryref2!G115,IF(AK212=summaryref2!B129,summaryref2!G129,IF(AK212=summaryref2!B143,summaryref2!G143,"")))))))))))</f>
        <v>#REF!</v>
      </c>
      <c r="AR212" s="1147" t="e">
        <f>IF('A-80 DirEntInv'!#REF!&lt;&gt;"",'A-80 DirEntInv'!#REF!,IF(AK212=summaryref2!B17,summaryref2!H17,IF(Summary!AK212=summaryref2!B31,summaryref2!H31,IF(AK212=summaryref2!B45,summaryref2!H45,IF(AK212=summaryref2!B59,summaryref2!H59,IF(AK212=summaryref2!B73,summaryref2!H73,IF(AK212=summaryref2!B87,summaryref2!H87,IF(AK212=summaryref2!B101,summaryref2!H101,IF(AK212=summaryref2!B115,summaryref2!H115,IF(AK212=summaryref2!B129,summaryref2!H129,IF(AK212=summaryref2!B143,summaryref2!H143,"")))))))))))</f>
        <v>#REF!</v>
      </c>
      <c r="AS212" s="1110" t="e">
        <f>IF('A-80 DirEntInv'!#REF!&lt;&gt;"",'A-80 DirEntInv'!#REF!,IF(AK212=summaryref2!B17,summaryref2!I17,IF(Summary!AK212=summaryref2!B31,summaryref2!I31,IF(AK212=summaryref2!B45,summaryref2!I45,IF(AK212=summaryref2!B59,summaryref2!I59,IF(AK212=summaryref2!B73,summaryref2!I73,IF(AK212=summaryref2!B87,summaryref2!I87,IF(AK212=summaryref2!B101,summaryref2!I101,IF(AK212=summaryref2!B115,summaryref2!I115,IF(AK212=summaryref2!B129,summaryref2!I129,IF(AK212=summaryref2!B143,summaryref2!I143,"")))))))))))</f>
        <v>#REF!</v>
      </c>
      <c r="AT212" s="1110" t="e">
        <f>IF('A-80 DirEntInv'!#REF!&lt;&gt;"",'A-80 DirEntInv'!#REF!,IF(AK212=summaryref2!B17,summaryref2!J17,IF(Summary!AK212=summaryref2!B31,summaryref2!J31,IF(AK212=summaryref2!B45,summaryref2!J45,IF(AK212=summaryref2!B59,summaryref2!J59,IF(AK212=summaryref2!B73,summaryref2!J73,IF(AK212=summaryref2!B87,summaryref2!J87,IF(AK212=summaryref2!B101,summaryref2!J101,IF(AK212=summaryref2!B115,summaryref2!J115,IF(AK212=summaryref2!B129,summaryref2!J129,IF(AK212=summaryref2!B143,summaryref2!J143,"")))))))))))</f>
        <v>#REF!</v>
      </c>
      <c r="AU212" s="1110" t="e">
        <f>IF('A-80 DirEntInv'!#REF!&lt;&gt;"",'A-80 DirEntInv'!#REF!,IF(AK212=summaryref2!B17,summaryref2!K17,IF(Summary!AK212=summaryref2!B31,summaryref2!K31,IF(AK212=summaryref2!B45,summaryref2!K45,IF(AK212=summaryref2!B59,summaryref2!K59,IF(AK212=summaryref2!B73,summaryref2!K73,IF(AK212=summaryref2!B87,summaryref2!K87,IF(AK212=summaryref2!B101,summaryref2!K101,IF(AK212=summaryref2!B115,summaryref2!K115,IF(AK212=summaryref2!B129,summaryref2!K129,IF(AK212=summaryref2!B143,summaryref2!K143,"")))))))))))</f>
        <v>#REF!</v>
      </c>
      <c r="AV212" s="1110" t="e">
        <f>IF('A-80 DirEntInv'!#REF!&lt;&gt;"",'A-80 DirEntInv'!#REF!,IF(AK212=summaryref2!B17,summaryref2!L17,IF(Summary!AK212=summaryref2!B31,summaryref2!L31,IF(AK212=summaryref2!B45,summaryref2!L45,IF(AK212=summaryref2!B59,summaryref2!L59,IF(AK212=summaryref2!B73,summaryref2!L73,IF(AK212=summaryref2!B87,summaryref2!L87,IF(AK212=summaryref2!B101,summaryref2!L101,IF(AK212=summaryref2!B115,summaryref2!L115,IF(AK212=summaryref2!B129,summaryref2!L129,IF(AK212=summaryref2!B143,summaryref2!L143,"")))))))))))</f>
        <v>#REF!</v>
      </c>
      <c r="AW212" s="1110" t="e">
        <f>IF('A-80 DirEntInv'!#REF!&lt;&gt;"",'A-80 DirEntInv'!#REF!,IF(AK212=summaryref2!B17,summaryref2!M17,IF(Summary!AK212=summaryref2!B31,summaryref2!M31,IF(AK212=summaryref2!B45,summaryref2!M45,IF(AK212=summaryref2!B59,summaryref2!M59,IF(AK212=summaryref2!B73,summaryref2!M73,IF(AK212=summaryref2!B87,summaryref2!M87,IF(AK212=summaryref2!B101,summaryref2!M101,IF(AK212=summaryref2!B115,summaryref2!M115,IF(AK212=summaryref2!B129,summaryref2!M129,IF(AK212=summaryref2!B143,summaryref2!M143,"")))))))))))</f>
        <v>#REF!</v>
      </c>
      <c r="AX212" s="1110" t="e">
        <f>IF('A-80 DirEntInv'!#REF!&lt;&gt;"",'A-80 DirEntInv'!#REF!,IF(AK212=summaryref2!B17,summaryref2!N17,IF(Summary!AK212=summaryref2!B31,summaryref2!N31,IF(AK212=summaryref2!B45,summaryref2!N45,IF(AK212=summaryref2!B59,summaryref2!N59,IF(AK212=summaryref2!B73,summaryref2!N73,IF(AK212=summaryref2!B87,summaryref2!N87,IF(AK212=summaryref2!B101,summaryref2!N101,IF(AK212=summaryref2!B115,summaryref2!N115,IF(AK212=summaryref2!B129,summaryref2!N129,IF(AK212=summaryref2!B143,summaryref2!N143,"")))))))))))</f>
        <v>#REF!</v>
      </c>
      <c r="AY212" s="1110" t="e">
        <f>IF('A-80 DirEntInv'!#REF!&lt;&gt;"",'A-80 DirEntInv'!#REF!,IF(AK212=summaryref2!B17,summaryref2!O17,IF(Summary!AK212=summaryref2!B31,summaryref2!O31,IF(AK212=summaryref2!B45,summaryref2!O45,IF(AK212=summaryref2!B59,summaryref2!O59,IF(AK212=summaryref2!B73,summaryref2!O73,IF(AK212=summaryref2!B87,summaryref2!O87,IF(AK212=summaryref2!B101,summaryref2!O101,IF(AK212=summaryref2!B115,summaryref2!O115,IF(AK212=summaryref2!B129,summaryref2!O129,IF(AK212=summaryref2!B143,summaryref2!O143,"")))))))))))</f>
        <v>#REF!</v>
      </c>
      <c r="AZ212" s="1110" t="e">
        <f>IF('A-80 DirEntInv'!#REF!&lt;&gt;"",'A-80 DirEntInv'!#REF!,IF(AK212=summaryref2!B17,summaryref2!P17,IF(Summary!AK212=summaryref2!B31,summaryref2!P31,IF(AK212=summaryref2!B45,summaryref2!P45,IF(AK212=summaryref2!B59,summaryref2!P59,IF(AK212=summaryref2!B73,summaryref2!P73,IF(AK212=summaryref2!B87,summaryref2!P87,IF(AK212=summaryref2!B101,summaryref2!P101,IF(AK212=summaryref2!B115,summaryref2!P115,IF(AK212=summaryref2!B129,summaryref2!P129,IF(AK212=summaryref2!B143,summaryref2!P143,"")))))))))))</f>
        <v>#REF!</v>
      </c>
      <c r="BA212" s="1110" t="e">
        <f>IF('A-80 DirEntInv'!#REF!&lt;&gt;"",'A-80 DirEntInv'!#REF!,IF(AK212=summaryref2!B17,summaryref2!Q17,IF(Summary!AK212=summaryref2!B31,summaryref2!Q31,IF(AK212=summaryref2!B45,summaryref2!Q45,IF(AK212=summaryref2!B59,summaryref2!Q59,IF(AK212=summaryref2!B73,summaryref2!Q73,IF(AK212=summaryref2!B87,summaryref2!Q87,IF(AK212=summaryref2!B101,summaryref2!Q101,IF(AK212=summaryref2!B115,summaryref2!Q115,IF(AK212=summaryref2!B129,summaryref2!Q129,IF(AK212=summaryref2!B143,summaryref2!Q143,"")))))))))))</f>
        <v>#REF!</v>
      </c>
      <c r="BB212" s="1110" t="e">
        <f>IF('A-80 DirEntInv'!#REF!&lt;&gt;"",'A-80 DirEntInv'!#REF!,IF(AK212=summaryref2!B17,summaryref2!R17,IF(Summary!AK212=summaryref2!B31,summaryref2!R31,IF(AK212=summaryref2!B45,summaryref2!R45,IF(AK212=summaryref2!B59,summaryref2!R59,IF(AK212=summaryref2!B73,summaryref2!R73,IF(AK212=summaryref2!B87,summaryref2!R87,IF(AK212=summaryref2!B101,summaryref2!R101,IF(AK212=summaryref2!B115,summaryref2!R115,IF(AK212=summaryref2!B129,summaryref2!R129,IF(AK212=summaryref2!B143,summaryref2!R143,"")))))))))))</f>
        <v>#REF!</v>
      </c>
      <c r="BC212" s="1110" t="e">
        <f>IF('A-80 DirEntInv'!#REF!&lt;&gt;0,'A-80 DirEntInv'!#REF!,IF(AK212=summaryref2!B17,summaryref2!S17,IF(Summary!AK212=summaryref2!B31,summaryref2!S31,IF(AK212=summaryref2!B45,summaryref2!S45,IF(AK212=summaryref2!B59,summaryref2!S59,IF(AK212=summaryref2!B73,summaryref2!S73,IF(AK212=summaryref2!B87,summaryref2!S87,IF(AK212=summaryref2!B101,summaryref2!S101,IF(AK212=summaryref2!B115,summaryref2!S115,IF(AK212=summaryref2!B129,summaryref2!S129,IF(AK212=summaryref2!B143,summaryref2!S143,"")))))))))))</f>
        <v>#REF!</v>
      </c>
      <c r="BD212" s="1111" t="e">
        <f>IF('A-80 DirEntInv'!#REF!&lt;&gt;"",'A-80 DirEntInv'!#REF!,IF(AK212=summaryref2!B17,summaryref2!T17,IF(Summary!AK212=summaryref2!B31,summaryref2!T31,IF(AK212=summaryref2!B45,summaryref2!T45,IF(AK212=summaryref2!B59,summaryref2!T59,IF(AK212=summaryref2!B73,summaryref2!T73,IF(AK212=summaryref2!B87,summaryref2!T87,IF(AK212=summaryref2!B101,summaryref2!T101,IF(AK212=summaryref2!B115,summaryref2!T115,IF(AK212=summaryref2!B129,summaryref2!T129,IF(AK212=summaryref2!B143,summaryref2!T143,"")))))))))))</f>
        <v>#REF!</v>
      </c>
      <c r="BE212" s="1184" t="e">
        <f>IF('A-80 DirEntInv'!#REF!&lt;&gt;"",'A-80 DirEntInv'!#REF!,IF(AK212=summaryref2!B17,summaryref2!U17,IF(Summary!AK212=summaryref2!B31,summaryref2!U31,IF(AK212=summaryref2!B45,summaryref2!U45,IF(AK212=summaryref2!B59,summaryref2!U59,IF(AK212=summaryref2!B73,summaryref2!U73,IF(AK212=summaryref2!B87,summaryref2!U87,IF(AK212=summaryref2!B101,summaryref2!U101,IF(AK212=summaryref2!B115,summaryref2!U115,IF(AK212=summaryref2!B129,summaryref2!U129,IF(AK212=summaryref2!B143,summaryref2!U143,"")))))))))))</f>
        <v>#REF!</v>
      </c>
      <c r="BF212" s="1432"/>
      <c r="BG212" s="1432"/>
      <c r="BU212" s="962"/>
      <c r="CD212" s="589"/>
      <c r="CE212" s="590"/>
      <c r="CF212" s="590"/>
      <c r="CG212" s="590"/>
      <c r="CH212" s="590"/>
      <c r="CI212" s="590"/>
      <c r="CJ212" s="589"/>
      <c r="CK212" s="589"/>
      <c r="CL212" s="589"/>
      <c r="CM212" s="587"/>
      <c r="CN212" s="587"/>
      <c r="CO212" s="589"/>
      <c r="CP212" s="587"/>
      <c r="CQ212" s="592"/>
      <c r="CR212" s="589"/>
      <c r="CS212" s="592"/>
      <c r="CT212" s="589"/>
      <c r="CU212" s="589"/>
      <c r="CV212" s="589"/>
      <c r="CW212" s="587"/>
      <c r="CX212" s="590"/>
      <c r="CY212" s="590"/>
      <c r="CZ212" s="590"/>
      <c r="DA212" s="1054"/>
      <c r="DB212" s="1054"/>
      <c r="DC212" s="587"/>
      <c r="DD212" s="587"/>
    </row>
    <row r="213" spans="1:108" s="588" customFormat="1" x14ac:dyDescent="0.2">
      <c r="A213" s="589">
        <f t="shared" si="3"/>
        <v>203</v>
      </c>
      <c r="B213" s="587"/>
      <c r="C213" s="587"/>
      <c r="D213" s="587"/>
      <c r="J213" s="589"/>
      <c r="K213" s="590"/>
      <c r="L213" s="591"/>
      <c r="M213" s="592"/>
      <c r="N213" s="589"/>
      <c r="O213" s="587"/>
      <c r="R213" s="1052"/>
      <c r="S213" s="1052"/>
      <c r="T213" s="1052"/>
      <c r="U213" s="1052"/>
      <c r="V213" s="1052"/>
      <c r="W213" s="1053"/>
      <c r="X213" s="1053"/>
      <c r="Y213" s="1053"/>
      <c r="Z213" s="1052"/>
      <c r="AA213" s="1052"/>
      <c r="AB213" s="962"/>
      <c r="AC213" s="590"/>
      <c r="AD213" s="590"/>
      <c r="AE213" s="591"/>
      <c r="AF213" s="592"/>
      <c r="AG213" s="1053"/>
      <c r="AH213" s="587"/>
      <c r="AK213" s="1041" t="str">
        <f>Codes!$C$170</f>
        <v>SR - Streetcar Rail (PT)</v>
      </c>
      <c r="AL213" s="1042" t="str">
        <f>Valid!$B$77</f>
        <v>Below-Grade/Cut-and-Cover Tunnel</v>
      </c>
      <c r="AM213" s="1108" t="e">
        <f>IF('A-80 DirEntInv'!#REF!&lt;&gt;"",'A-80 DirEntInv'!#REF!,IF(AK213=summaryref2!B18,summaryref2!D18,IF(Summary!AK213=summaryref2!B32,summaryref2!D32,IF(AK213=summaryref2!B46,summaryref2!D46,IF(AK213=summaryref2!B60,summaryref2!D60,IF(AK213=summaryref2!B74,summaryref2!D74,IF(AK213=summaryref2!B88,summaryref2!D88,IF(AK213=summaryref2!B102,summaryref2!D102,IF(AK213=summaryref2!B116,summaryref2!D116,IF(AK213=summaryref2!B130,summaryref2!D130,IF(AK213=summaryref2!B144,summaryref2!D144,"")))))))))))</f>
        <v>#REF!</v>
      </c>
      <c r="AN213" s="1109" t="e">
        <f ca="1">IF('A-80 DirEntInv'!#REF!&lt;&gt;"",'A-80 DirEntInv'!#REF!,IF(INDIRECT(ADDRESS(SumRef!CG270,SumRef!CG$16,,,SumRef!$C$7))="","",INDIRECT(ADDRESS(SumRef!CG270,SumRef!CG$16,,,SumRef!$C$7))))</f>
        <v>#REF!</v>
      </c>
      <c r="AO213" s="1108" t="e">
        <f>IF('A-80 DirEntInv'!#REF!&lt;&gt;"",'A-80 DirEntInv'!#REF!,IF(AK213=summaryref2!B18,summaryref2!F18,IF(Summary!AK213=summaryref2!B32,summaryref2!F32,IF(AK213=summaryref2!B46,summaryref2!F46,IF(AK213=summaryref2!B60,summaryref2!F60,IF(AK213=summaryref2!B74,summaryref2!F74,IF(AK213=summaryref2!B88,summaryref2!F88,IF(AK213=summaryref2!B102,summaryref2!F102,IF(AK213=summaryref2!B116,summaryref2!F116,IF(AK213=summaryref2!B130,summaryref2!F130,IF(AK213=summaryref2!B144,summaryref2!F144,"")))))))))))</f>
        <v>#REF!</v>
      </c>
      <c r="AP213" s="1109" t="e">
        <f ca="1">IF('A-80 DirEntInv'!#REF!&lt;&gt;"",'A-80 DirEntInv'!#REF!,IF(INDIRECT(ADDRESS(SumRef!#REF!,SumRef!#REF!,,,SumRef!$C$7))="","",INDIRECT(ADDRESS(SumRef!#REF!,SumRef!#REF!,,,SumRef!$C$7))))</f>
        <v>#REF!</v>
      </c>
      <c r="AQ213" s="1147" t="e">
        <f>IF('A-80 DirEntInv'!#REF!&lt;&gt;"",'A-80 DirEntInv'!#REF!,IF(AK213=summaryref2!B18,summaryref2!G18,IF(Summary!AK213=summaryref2!B32,summaryref2!G32,IF(AK213=summaryref2!B46,summaryref2!G46,IF(AK213=summaryref2!B60,summaryref2!G60,IF(AK213=summaryref2!B74,summaryref2!G74,IF(AK213=summaryref2!B88,summaryref2!G88,IF(AK213=summaryref2!B102,summaryref2!G102,IF(AK213=summaryref2!B116,summaryref2!G116,IF(AK213=summaryref2!B130,summaryref2!G130,IF(AK213=summaryref2!B144,summaryref2!G144,"")))))))))))</f>
        <v>#REF!</v>
      </c>
      <c r="AR213" s="1147" t="e">
        <f>IF('A-80 DirEntInv'!#REF!&lt;&gt;"",'A-80 DirEntInv'!#REF!,IF(AK213=summaryref2!B18,summaryref2!H18,IF(Summary!AK213=summaryref2!B32,summaryref2!H32,IF(AK213=summaryref2!B46,summaryref2!H46,IF(AK213=summaryref2!B60,summaryref2!H60,IF(AK213=summaryref2!B74,summaryref2!H74,IF(AK213=summaryref2!B88,summaryref2!H88,IF(AK213=summaryref2!B102,summaryref2!H102,IF(AK213=summaryref2!B116,summaryref2!H116,IF(AK213=summaryref2!B130,summaryref2!H130,IF(AK213=summaryref2!B144,summaryref2!H144,"")))))))))))</f>
        <v>#REF!</v>
      </c>
      <c r="AS213" s="1110" t="e">
        <f>IF('A-80 DirEntInv'!#REF!&lt;&gt;"",'A-80 DirEntInv'!#REF!,IF(AK213=summaryref2!B18,summaryref2!I18,IF(Summary!AK213=summaryref2!B32,summaryref2!I32,IF(AK213=summaryref2!B46,summaryref2!I46,IF(AK213=summaryref2!B60,summaryref2!I60,IF(AK213=summaryref2!B74,summaryref2!I74,IF(AK213=summaryref2!B88,summaryref2!I88,IF(AK213=summaryref2!B102,summaryref2!I102,IF(AK213=summaryref2!B116,summaryref2!I116,IF(AK213=summaryref2!B130,summaryref2!I130,IF(AK213=summaryref2!B144,summaryref2!I144,"")))))))))))</f>
        <v>#REF!</v>
      </c>
      <c r="AT213" s="1110" t="e">
        <f>IF('A-80 DirEntInv'!#REF!&lt;&gt;"",'A-80 DirEntInv'!#REF!,IF(AK213=summaryref2!B18,summaryref2!J18,IF(Summary!AK213=summaryref2!B32,summaryref2!J32,IF(AK213=summaryref2!B46,summaryref2!J46,IF(AK213=summaryref2!B60,summaryref2!J60,IF(AK213=summaryref2!B74,summaryref2!J74,IF(AK213=summaryref2!B88,summaryref2!J88,IF(AK213=summaryref2!B102,summaryref2!J102,IF(AK213=summaryref2!B116,summaryref2!J116,IF(AK213=summaryref2!B130,summaryref2!J130,IF(AK213=summaryref2!B144,summaryref2!J144,"")))))))))))</f>
        <v>#REF!</v>
      </c>
      <c r="AU213" s="1110" t="e">
        <f>IF('A-80 DirEntInv'!#REF!&lt;&gt;"",'A-80 DirEntInv'!#REF!,IF(AK213=summaryref2!B18,summaryref2!K18,IF(Summary!AK213=summaryref2!B32,summaryref2!K32,IF(AK213=summaryref2!B46,summaryref2!K46,IF(AK213=summaryref2!B60,summaryref2!K60,IF(AK213=summaryref2!B74,summaryref2!K74,IF(AK213=summaryref2!B88,summaryref2!K88,IF(AK213=summaryref2!B102,summaryref2!K102,IF(AK213=summaryref2!B116,summaryref2!K116,IF(AK213=summaryref2!B130,summaryref2!K130,IF(AK213=summaryref2!B144,summaryref2!K144,"")))))))))))</f>
        <v>#REF!</v>
      </c>
      <c r="AV213" s="1110" t="e">
        <f>IF('A-80 DirEntInv'!#REF!&lt;&gt;"",'A-80 DirEntInv'!#REF!,IF(AK213=summaryref2!B18,summaryref2!L18,IF(Summary!AK213=summaryref2!B32,summaryref2!L32,IF(AK213=summaryref2!B46,summaryref2!L46,IF(AK213=summaryref2!B60,summaryref2!L60,IF(AK213=summaryref2!B74,summaryref2!L74,IF(AK213=summaryref2!B88,summaryref2!L88,IF(AK213=summaryref2!B102,summaryref2!L102,IF(AK213=summaryref2!B116,summaryref2!L116,IF(AK213=summaryref2!B130,summaryref2!L130,IF(AK213=summaryref2!B144,summaryref2!L144,"")))))))))))</f>
        <v>#REF!</v>
      </c>
      <c r="AW213" s="1110" t="e">
        <f>IF('A-80 DirEntInv'!#REF!&lt;&gt;"",'A-80 DirEntInv'!#REF!,IF(AK213=summaryref2!B18,summaryref2!M18,IF(Summary!AK213=summaryref2!B32,summaryref2!M32,IF(AK213=summaryref2!B46,summaryref2!M46,IF(AK213=summaryref2!B60,summaryref2!M60,IF(AK213=summaryref2!B74,summaryref2!M74,IF(AK213=summaryref2!B88,summaryref2!M88,IF(AK213=summaryref2!B102,summaryref2!M102,IF(AK213=summaryref2!B116,summaryref2!M116,IF(AK213=summaryref2!B130,summaryref2!M130,IF(AK213=summaryref2!B144,summaryref2!M144,"")))))))))))</f>
        <v>#REF!</v>
      </c>
      <c r="AX213" s="1110" t="e">
        <f>IF('A-80 DirEntInv'!#REF!&lt;&gt;"",'A-80 DirEntInv'!#REF!,IF(AK213=summaryref2!B18,summaryref2!N18,IF(Summary!AK213=summaryref2!B32,summaryref2!N32,IF(AK213=summaryref2!B46,summaryref2!N46,IF(AK213=summaryref2!B60,summaryref2!N60,IF(AK213=summaryref2!B74,summaryref2!N74,IF(AK213=summaryref2!B88,summaryref2!N88,IF(AK213=summaryref2!B102,summaryref2!N102,IF(AK213=summaryref2!B116,summaryref2!N116,IF(AK213=summaryref2!B130,summaryref2!N130,IF(AK213=summaryref2!B144,summaryref2!N144,"")))))))))))</f>
        <v>#REF!</v>
      </c>
      <c r="AY213" s="1110" t="e">
        <f>IF('A-80 DirEntInv'!#REF!&lt;&gt;"",'A-80 DirEntInv'!#REF!,IF(AK213=summaryref2!B18,summaryref2!O18,IF(Summary!AK213=summaryref2!B32,summaryref2!O32,IF(AK213=summaryref2!B46,summaryref2!O46,IF(AK213=summaryref2!B60,summaryref2!O60,IF(AK213=summaryref2!B74,summaryref2!O74,IF(AK213=summaryref2!B88,summaryref2!O88,IF(AK213=summaryref2!B102,summaryref2!O102,IF(AK213=summaryref2!B116,summaryref2!O116,IF(AK213=summaryref2!B130,summaryref2!O130,IF(AK213=summaryref2!B144,summaryref2!O144,"")))))))))))</f>
        <v>#REF!</v>
      </c>
      <c r="AZ213" s="1110" t="e">
        <f>IF('A-80 DirEntInv'!#REF!&lt;&gt;"",'A-80 DirEntInv'!#REF!,IF(AK213=summaryref2!B18,summaryref2!P18,IF(Summary!AK213=summaryref2!B32,summaryref2!P32,IF(AK213=summaryref2!B46,summaryref2!P46,IF(AK213=summaryref2!B60,summaryref2!P60,IF(AK213=summaryref2!B74,summaryref2!P74,IF(AK213=summaryref2!B88,summaryref2!P88,IF(AK213=summaryref2!B102,summaryref2!P102,IF(AK213=summaryref2!B116,summaryref2!P116,IF(AK213=summaryref2!B130,summaryref2!P130,IF(AK213=summaryref2!B144,summaryref2!P144,"")))))))))))</f>
        <v>#REF!</v>
      </c>
      <c r="BA213" s="1110" t="e">
        <f>IF('A-80 DirEntInv'!#REF!&lt;&gt;"",'A-80 DirEntInv'!#REF!,IF(AK213=summaryref2!B18,summaryref2!Q18,IF(Summary!AK213=summaryref2!B32,summaryref2!Q32,IF(AK213=summaryref2!B46,summaryref2!Q46,IF(AK213=summaryref2!B60,summaryref2!Q60,IF(AK213=summaryref2!B74,summaryref2!Q74,IF(AK213=summaryref2!B88,summaryref2!Q88,IF(AK213=summaryref2!B102,summaryref2!Q102,IF(AK213=summaryref2!B116,summaryref2!Q116,IF(AK213=summaryref2!B130,summaryref2!Q130,IF(AK213=summaryref2!B144,summaryref2!Q144,"")))))))))))</f>
        <v>#REF!</v>
      </c>
      <c r="BB213" s="1110" t="e">
        <f>IF('A-80 DirEntInv'!#REF!&lt;&gt;"",'A-80 DirEntInv'!#REF!,IF(AK213=summaryref2!B18,summaryref2!R18,IF(Summary!AK213=summaryref2!B32,summaryref2!R32,IF(AK213=summaryref2!B46,summaryref2!R46,IF(AK213=summaryref2!B60,summaryref2!R60,IF(AK213=summaryref2!B74,summaryref2!R74,IF(AK213=summaryref2!B88,summaryref2!R88,IF(AK213=summaryref2!B102,summaryref2!R102,IF(AK213=summaryref2!B116,summaryref2!R116,IF(AK213=summaryref2!B130,summaryref2!R130,IF(AK213=summaryref2!B144,summaryref2!R144,"")))))))))))</f>
        <v>#REF!</v>
      </c>
      <c r="BC213" s="1110" t="e">
        <f>IF('A-80 DirEntInv'!#REF!&lt;&gt;0,'A-80 DirEntInv'!#REF!,IF(AK213=summaryref2!B18,summaryref2!S18,IF(Summary!AK213=summaryref2!B32,summaryref2!S32,IF(AK213=summaryref2!B46,summaryref2!S46,IF(AK213=summaryref2!B60,summaryref2!S60,IF(AK213=summaryref2!B74,summaryref2!S74,IF(AK213=summaryref2!B88,summaryref2!S88,IF(AK213=summaryref2!B102,summaryref2!S102,IF(AK213=summaryref2!B116,summaryref2!S116,IF(AK213=summaryref2!B130,summaryref2!S130,IF(AK213=summaryref2!B144,summaryref2!S144,"")))))))))))</f>
        <v>#REF!</v>
      </c>
      <c r="BD213" s="1111" t="e">
        <f>IF('A-80 DirEntInv'!#REF!&lt;&gt;"",'A-80 DirEntInv'!#REF!,IF(AK213=summaryref2!B18,summaryref2!T18,IF(Summary!AK213=summaryref2!B32,summaryref2!T32,IF(AK213=summaryref2!B46,summaryref2!T46,IF(AK213=summaryref2!B60,summaryref2!T60,IF(AK213=summaryref2!B74,summaryref2!T74,IF(AK213=summaryref2!B88,summaryref2!T88,IF(AK213=summaryref2!B102,summaryref2!T102,IF(AK213=summaryref2!B116,summaryref2!T116,IF(AK213=summaryref2!B130,summaryref2!T130,IF(AK213=summaryref2!B144,summaryref2!T144,"")))))))))))</f>
        <v>#REF!</v>
      </c>
      <c r="BE213" s="1184" t="e">
        <f>IF('A-80 DirEntInv'!#REF!&lt;&gt;"",'A-80 DirEntInv'!#REF!,IF(AK213=summaryref2!B18,summaryref2!U18,IF(Summary!AK213=summaryref2!B32,summaryref2!U32,IF(AK213=summaryref2!B46,summaryref2!U46,IF(AK213=summaryref2!B60,summaryref2!U60,IF(AK213=summaryref2!B74,summaryref2!U74,IF(AK213=summaryref2!B88,summaryref2!U88,IF(AK213=summaryref2!B102,summaryref2!U102,IF(AK213=summaryref2!B116,summaryref2!U116,IF(AK213=summaryref2!B130,summaryref2!U130,IF(AK213=summaryref2!B144,summaryref2!U144,"")))))))))))</f>
        <v>#REF!</v>
      </c>
      <c r="BF213" s="1432"/>
      <c r="BG213" s="1432"/>
      <c r="BU213" s="962"/>
      <c r="CD213" s="589"/>
      <c r="CE213" s="590"/>
      <c r="CF213" s="590"/>
      <c r="CG213" s="590"/>
      <c r="CH213" s="590"/>
      <c r="CI213" s="590"/>
      <c r="CJ213" s="589"/>
      <c r="CK213" s="589"/>
      <c r="CL213" s="589"/>
      <c r="CM213" s="587"/>
      <c r="CN213" s="587"/>
      <c r="CO213" s="589"/>
      <c r="CP213" s="587"/>
      <c r="CQ213" s="592"/>
      <c r="CR213" s="589"/>
      <c r="CS213" s="592"/>
      <c r="CT213" s="589"/>
      <c r="CU213" s="589"/>
      <c r="CV213" s="589"/>
      <c r="CW213" s="587"/>
      <c r="CX213" s="590"/>
      <c r="CY213" s="590"/>
      <c r="CZ213" s="590"/>
      <c r="DA213" s="1054"/>
      <c r="DB213" s="1054"/>
      <c r="DC213" s="587"/>
      <c r="DD213" s="587"/>
    </row>
    <row r="214" spans="1:108" s="588" customFormat="1" x14ac:dyDescent="0.2">
      <c r="A214" s="589">
        <f t="shared" si="3"/>
        <v>204</v>
      </c>
      <c r="B214" s="587"/>
      <c r="C214" s="587"/>
      <c r="D214" s="587"/>
      <c r="J214" s="589"/>
      <c r="K214" s="590"/>
      <c r="L214" s="591"/>
      <c r="M214" s="592"/>
      <c r="N214" s="589"/>
      <c r="O214" s="587"/>
      <c r="R214" s="1052"/>
      <c r="S214" s="1052"/>
      <c r="T214" s="1052"/>
      <c r="U214" s="1052"/>
      <c r="V214" s="1052"/>
      <c r="W214" s="1053"/>
      <c r="X214" s="1053"/>
      <c r="Y214" s="1053"/>
      <c r="Z214" s="1052"/>
      <c r="AA214" s="1052"/>
      <c r="AB214" s="962"/>
      <c r="AC214" s="590"/>
      <c r="AD214" s="590"/>
      <c r="AE214" s="591"/>
      <c r="AF214" s="592"/>
      <c r="AG214" s="1053"/>
      <c r="AH214" s="587"/>
      <c r="AK214" s="1041" t="str">
        <f>Codes!$C$170</f>
        <v>SR - Streetcar Rail (PT)</v>
      </c>
      <c r="AL214" s="1042" t="str">
        <f>Valid!$B$78</f>
        <v>Below-Grade/Bored or Blasted Tunnel</v>
      </c>
      <c r="AM214" s="1108" t="e">
        <f>IF('A-80 DirEntInv'!#REF!&lt;&gt;"",'A-80 DirEntInv'!#REF!,IF(AK214=summaryref2!B19,summaryref2!D19,IF(Summary!AK214=summaryref2!B33,summaryref2!D33,IF(AK214=summaryref2!B47,summaryref2!D47,IF(AK214=summaryref2!B61,summaryref2!D61,IF(AK214=summaryref2!B75,summaryref2!D75,IF(AK214=summaryref2!B89,summaryref2!D89,IF(AK214=summaryref2!B103,summaryref2!D103,IF(AK214=summaryref2!B117,summaryref2!D117,IF(AK214=summaryref2!B131,summaryref2!D131,IF(AK214=summaryref2!B145,summaryref2!D145,"")))))))))))</f>
        <v>#REF!</v>
      </c>
      <c r="AN214" s="1109" t="e">
        <f ca="1">IF('A-80 DirEntInv'!#REF!&lt;&gt;"",'A-80 DirEntInv'!#REF!,IF(INDIRECT(ADDRESS(SumRef!CG271,SumRef!CG$16,,,SumRef!$C$7))="","",INDIRECT(ADDRESS(SumRef!CG271,SumRef!CG$16,,,SumRef!$C$7))))</f>
        <v>#REF!</v>
      </c>
      <c r="AO214" s="1108" t="e">
        <f>IF('A-80 DirEntInv'!#REF!&lt;&gt;"",'A-80 DirEntInv'!#REF!,IF(AK214=summaryref2!B19,summaryref2!F19,IF(Summary!AK214=summaryref2!B33,summaryref2!F33,IF(AK214=summaryref2!B47,summaryref2!F47,IF(AK214=summaryref2!B61,summaryref2!F61,IF(AK214=summaryref2!B75,summaryref2!F75,IF(AK214=summaryref2!B89,summaryref2!F89,IF(AK214=summaryref2!B103,summaryref2!F103,IF(AK214=summaryref2!B117,summaryref2!F117,IF(AK214=summaryref2!B131,summaryref2!F131,IF(AK214=summaryref2!B145,summaryref2!F145,"")))))))))))</f>
        <v>#REF!</v>
      </c>
      <c r="AP214" s="1109" t="e">
        <f ca="1">IF('A-80 DirEntInv'!#REF!&lt;&gt;"",'A-80 DirEntInv'!#REF!,IF(INDIRECT(ADDRESS(SumRef!#REF!,SumRef!#REF!,,,SumRef!$C$7))="","",INDIRECT(ADDRESS(SumRef!#REF!,SumRef!#REF!,,,SumRef!$C$7))))</f>
        <v>#REF!</v>
      </c>
      <c r="AQ214" s="1147" t="e">
        <f>IF('A-80 DirEntInv'!#REF!&lt;&gt;"",'A-80 DirEntInv'!#REF!,IF(AK214=summaryref2!B19,summaryref2!G19,IF(Summary!AK214=summaryref2!B33,summaryref2!G33,IF(AK214=summaryref2!B47,summaryref2!G47,IF(AK214=summaryref2!B61,summaryref2!G61,IF(AK214=summaryref2!B75,summaryref2!G75,IF(AK214=summaryref2!B89,summaryref2!G89,IF(AK214=summaryref2!B103,summaryref2!G103,IF(AK214=summaryref2!B117,summaryref2!G117,IF(AK214=summaryref2!B131,summaryref2!G131,IF(AK214=summaryref2!B145,summaryref2!G145,"")))))))))))</f>
        <v>#REF!</v>
      </c>
      <c r="AR214" s="1147" t="e">
        <f>IF('A-80 DirEntInv'!#REF!&lt;&gt;"",'A-80 DirEntInv'!#REF!,IF(AK214=summaryref2!B19,summaryref2!H19,IF(Summary!AK214=summaryref2!B33,summaryref2!H33,IF(AK214=summaryref2!B47,summaryref2!H47,IF(AK214=summaryref2!B61,summaryref2!H61,IF(AK214=summaryref2!B75,summaryref2!H75,IF(AK214=summaryref2!B89,summaryref2!H89,IF(AK214=summaryref2!B103,summaryref2!H103,IF(AK214=summaryref2!B117,summaryref2!H117,IF(AK214=summaryref2!B131,summaryref2!H131,IF(AK214=summaryref2!B145,summaryref2!H145,"")))))))))))</f>
        <v>#REF!</v>
      </c>
      <c r="AS214" s="1110" t="e">
        <f>IF('A-80 DirEntInv'!#REF!&lt;&gt;"",'A-80 DirEntInv'!#REF!,IF(AK214=summaryref2!B19,summaryref2!I19,IF(Summary!AK214=summaryref2!B33,summaryref2!I33,IF(AK214=summaryref2!B47,summaryref2!I47,IF(AK214=summaryref2!B61,summaryref2!I61,IF(AK214=summaryref2!B75,summaryref2!I75,IF(AK214=summaryref2!B89,summaryref2!I89,IF(AK214=summaryref2!B103,summaryref2!I103,IF(AK214=summaryref2!B117,summaryref2!I117,IF(AK214=summaryref2!B131,summaryref2!I131,IF(AK214=summaryref2!B145,summaryref2!I145,"")))))))))))</f>
        <v>#REF!</v>
      </c>
      <c r="AT214" s="1110" t="e">
        <f>IF('A-80 DirEntInv'!#REF!&lt;&gt;"",'A-80 DirEntInv'!#REF!,IF(AK214=summaryref2!B19,summaryref2!J19,IF(Summary!AK214=summaryref2!B33,summaryref2!J33,IF(AK214=summaryref2!B47,summaryref2!J47,IF(AK214=summaryref2!B61,summaryref2!J61,IF(AK214=summaryref2!B75,summaryref2!J75,IF(AK214=summaryref2!B89,summaryref2!J89,IF(AK214=summaryref2!B103,summaryref2!J103,IF(AK214=summaryref2!B117,summaryref2!J117,IF(AK214=summaryref2!B131,summaryref2!J131,IF(AK214=summaryref2!B145,summaryref2!J145,"")))))))))))</f>
        <v>#REF!</v>
      </c>
      <c r="AU214" s="1110" t="e">
        <f>IF('A-80 DirEntInv'!#REF!&lt;&gt;"",'A-80 DirEntInv'!#REF!,IF(AK214=summaryref2!B19,summaryref2!K19,IF(Summary!AK214=summaryref2!B33,summaryref2!K33,IF(AK214=summaryref2!B47,summaryref2!K47,IF(AK214=summaryref2!B61,summaryref2!K61,IF(AK214=summaryref2!B75,summaryref2!K75,IF(AK214=summaryref2!B89,summaryref2!K89,IF(AK214=summaryref2!B103,summaryref2!K103,IF(AK214=summaryref2!B117,summaryref2!K117,IF(AK214=summaryref2!B131,summaryref2!K131,IF(AK214=summaryref2!B145,summaryref2!K145,"")))))))))))</f>
        <v>#REF!</v>
      </c>
      <c r="AV214" s="1110" t="e">
        <f>IF('A-80 DirEntInv'!#REF!&lt;&gt;"",'A-80 DirEntInv'!#REF!,IF(AK214=summaryref2!B19,summaryref2!L19,IF(Summary!AK214=summaryref2!B33,summaryref2!L33,IF(AK214=summaryref2!B47,summaryref2!L47,IF(AK214=summaryref2!B61,summaryref2!L61,IF(AK214=summaryref2!B75,summaryref2!L75,IF(AK214=summaryref2!B89,summaryref2!L89,IF(AK214=summaryref2!B103,summaryref2!L103,IF(AK214=summaryref2!B117,summaryref2!L117,IF(AK214=summaryref2!B131,summaryref2!L131,IF(AK214=summaryref2!B145,summaryref2!L145,"")))))))))))</f>
        <v>#REF!</v>
      </c>
      <c r="AW214" s="1110" t="e">
        <f>IF('A-80 DirEntInv'!#REF!&lt;&gt;"",'A-80 DirEntInv'!#REF!,IF(AK214=summaryref2!B19,summaryref2!M19,IF(Summary!AK214=summaryref2!B33,summaryref2!M33,IF(AK214=summaryref2!B47,summaryref2!M47,IF(AK214=summaryref2!B61,summaryref2!M61,IF(AK214=summaryref2!B75,summaryref2!M75,IF(AK214=summaryref2!B89,summaryref2!M89,IF(AK214=summaryref2!B103,summaryref2!M103,IF(AK214=summaryref2!B117,summaryref2!M117,IF(AK214=summaryref2!B131,summaryref2!M131,IF(AK214=summaryref2!B145,summaryref2!M145,"")))))))))))</f>
        <v>#REF!</v>
      </c>
      <c r="AX214" s="1110" t="e">
        <f>IF('A-80 DirEntInv'!#REF!&lt;&gt;"",'A-80 DirEntInv'!#REF!,IF(AK214=summaryref2!B19,summaryref2!N19,IF(Summary!AK214=summaryref2!B33,summaryref2!N33,IF(AK214=summaryref2!B47,summaryref2!N47,IF(AK214=summaryref2!B61,summaryref2!N61,IF(AK214=summaryref2!B75,summaryref2!N75,IF(AK214=summaryref2!B89,summaryref2!N89,IF(AK214=summaryref2!B103,summaryref2!N103,IF(AK214=summaryref2!B117,summaryref2!N117,IF(AK214=summaryref2!B131,summaryref2!N131,IF(AK214=summaryref2!B145,summaryref2!N145,"")))))))))))</f>
        <v>#REF!</v>
      </c>
      <c r="AY214" s="1110" t="e">
        <f>IF('A-80 DirEntInv'!#REF!&lt;&gt;"",'A-80 DirEntInv'!#REF!,IF(AK214=summaryref2!B19,summaryref2!O19,IF(Summary!AK214=summaryref2!B33,summaryref2!O33,IF(AK214=summaryref2!B47,summaryref2!O47,IF(AK214=summaryref2!B61,summaryref2!O61,IF(AK214=summaryref2!B75,summaryref2!O75,IF(AK214=summaryref2!B89,summaryref2!O89,IF(AK214=summaryref2!B103,summaryref2!O103,IF(AK214=summaryref2!B117,summaryref2!O117,IF(AK214=summaryref2!B131,summaryref2!O131,IF(AK214=summaryref2!B145,summaryref2!O145,"")))))))))))</f>
        <v>#REF!</v>
      </c>
      <c r="AZ214" s="1110" t="e">
        <f>IF('A-80 DirEntInv'!#REF!&lt;&gt;"",'A-80 DirEntInv'!#REF!,IF(AK214=summaryref2!B19,summaryref2!P19,IF(Summary!AK214=summaryref2!B33,summaryref2!P33,IF(AK214=summaryref2!B47,summaryref2!P47,IF(AK214=summaryref2!B61,summaryref2!P61,IF(AK214=summaryref2!B75,summaryref2!P75,IF(AK214=summaryref2!B89,summaryref2!P89,IF(AK214=summaryref2!B103,summaryref2!P103,IF(AK214=summaryref2!B117,summaryref2!P117,IF(AK214=summaryref2!B131,summaryref2!P131,IF(AK214=summaryref2!B145,summaryref2!P145,"")))))))))))</f>
        <v>#REF!</v>
      </c>
      <c r="BA214" s="1110" t="e">
        <f>IF('A-80 DirEntInv'!#REF!&lt;&gt;"",'A-80 DirEntInv'!#REF!,IF(AK214=summaryref2!B19,summaryref2!Q19,IF(Summary!AK214=summaryref2!B33,summaryref2!Q33,IF(AK214=summaryref2!B47,summaryref2!Q47,IF(AK214=summaryref2!B61,summaryref2!Q61,IF(AK214=summaryref2!B75,summaryref2!Q75,IF(AK214=summaryref2!B89,summaryref2!Q89,IF(AK214=summaryref2!B103,summaryref2!Q103,IF(AK214=summaryref2!B117,summaryref2!Q117,IF(AK214=summaryref2!B131,summaryref2!Q131,IF(AK214=summaryref2!B145,summaryref2!Q145,"")))))))))))</f>
        <v>#REF!</v>
      </c>
      <c r="BB214" s="1110" t="e">
        <f>IF('A-80 DirEntInv'!#REF!&lt;&gt;"",'A-80 DirEntInv'!#REF!,IF(AK214=summaryref2!B19,summaryref2!R19,IF(Summary!AK214=summaryref2!B33,summaryref2!R33,IF(AK214=summaryref2!B47,summaryref2!R47,IF(AK214=summaryref2!B61,summaryref2!R61,IF(AK214=summaryref2!B75,summaryref2!R75,IF(AK214=summaryref2!B89,summaryref2!R89,IF(AK214=summaryref2!B103,summaryref2!R103,IF(AK214=summaryref2!B117,summaryref2!R117,IF(AK214=summaryref2!B131,summaryref2!R131,IF(AK214=summaryref2!B145,summaryref2!R145,"")))))))))))</f>
        <v>#REF!</v>
      </c>
      <c r="BC214" s="1110" t="e">
        <f>IF('A-80 DirEntInv'!#REF!&lt;&gt;0,'A-80 DirEntInv'!#REF!,IF(AK214=summaryref2!B19,summaryref2!S19,IF(Summary!AK214=summaryref2!B33,summaryref2!S33,IF(AK214=summaryref2!B47,summaryref2!S47,IF(AK214=summaryref2!B61,summaryref2!S61,IF(AK214=summaryref2!B75,summaryref2!S75,IF(AK214=summaryref2!B89,summaryref2!S89,IF(AK214=summaryref2!B103,summaryref2!S103,IF(AK214=summaryref2!B117,summaryref2!S117,IF(AK214=summaryref2!B131,summaryref2!S131,IF(AK214=summaryref2!B145,summaryref2!S145,"")))))))))))</f>
        <v>#REF!</v>
      </c>
      <c r="BD214" s="1111" t="e">
        <f>IF('A-80 DirEntInv'!#REF!&lt;&gt;"",'A-80 DirEntInv'!#REF!,IF(AK214=summaryref2!B19,summaryref2!T19,IF(Summary!AK214=summaryref2!B33,summaryref2!T33,IF(AK214=summaryref2!B47,summaryref2!T47,IF(AK214=summaryref2!B61,summaryref2!T61,IF(AK214=summaryref2!B75,summaryref2!T75,IF(AK214=summaryref2!B89,summaryref2!T89,IF(AK214=summaryref2!B103,summaryref2!T103,IF(AK214=summaryref2!B117,summaryref2!T117,IF(AK214=summaryref2!B131,summaryref2!T131,IF(AK214=summaryref2!B145,summaryref2!T145,"")))))))))))</f>
        <v>#REF!</v>
      </c>
      <c r="BE214" s="1184" t="e">
        <f>IF('A-80 DirEntInv'!#REF!&lt;&gt;"",'A-80 DirEntInv'!#REF!,IF(AK214=summaryref2!B19,summaryref2!U19,IF(Summary!AK214=summaryref2!B33,summaryref2!U33,IF(AK214=summaryref2!B47,summaryref2!U47,IF(AK214=summaryref2!B61,summaryref2!U61,IF(AK214=summaryref2!B75,summaryref2!U75,IF(AK214=summaryref2!B89,summaryref2!U89,IF(AK214=summaryref2!B103,summaryref2!U103,IF(AK214=summaryref2!B117,summaryref2!U117,IF(AK214=summaryref2!B131,summaryref2!U131,IF(AK214=summaryref2!B145,summaryref2!U145,"")))))))))))</f>
        <v>#REF!</v>
      </c>
      <c r="BF214" s="1432"/>
      <c r="BG214" s="1432"/>
      <c r="BU214" s="962"/>
      <c r="CD214" s="589"/>
      <c r="CE214" s="590"/>
      <c r="CF214" s="590"/>
      <c r="CG214" s="590"/>
      <c r="CH214" s="590"/>
      <c r="CI214" s="590"/>
      <c r="CJ214" s="589"/>
      <c r="CK214" s="589"/>
      <c r="CL214" s="589"/>
      <c r="CM214" s="587"/>
      <c r="CN214" s="587"/>
      <c r="CO214" s="589"/>
      <c r="CP214" s="587"/>
      <c r="CQ214" s="592"/>
      <c r="CR214" s="589"/>
      <c r="CS214" s="592"/>
      <c r="CT214" s="589"/>
      <c r="CU214" s="589"/>
      <c r="CV214" s="589"/>
      <c r="CW214" s="587"/>
      <c r="CX214" s="590"/>
      <c r="CY214" s="590"/>
      <c r="CZ214" s="590"/>
      <c r="DA214" s="1054"/>
      <c r="DB214" s="1054"/>
      <c r="DC214" s="587"/>
      <c r="DD214" s="587"/>
    </row>
    <row r="215" spans="1:108" s="588" customFormat="1" ht="13.5" thickBot="1" x14ac:dyDescent="0.25">
      <c r="A215" s="589">
        <f t="shared" si="3"/>
        <v>205</v>
      </c>
      <c r="B215" s="587"/>
      <c r="C215" s="587"/>
      <c r="D215" s="587"/>
      <c r="J215" s="589"/>
      <c r="K215" s="590"/>
      <c r="L215" s="591"/>
      <c r="M215" s="592"/>
      <c r="N215" s="589"/>
      <c r="O215" s="587"/>
      <c r="R215" s="1052"/>
      <c r="S215" s="1052"/>
      <c r="T215" s="1052"/>
      <c r="U215" s="1052"/>
      <c r="V215" s="1052"/>
      <c r="W215" s="1053"/>
      <c r="X215" s="1053"/>
      <c r="Y215" s="1053"/>
      <c r="Z215" s="1052"/>
      <c r="AA215" s="1052"/>
      <c r="AB215" s="962"/>
      <c r="AC215" s="590"/>
      <c r="AD215" s="590"/>
      <c r="AE215" s="591"/>
      <c r="AF215" s="592"/>
      <c r="AG215" s="1053"/>
      <c r="AH215" s="587"/>
      <c r="AK215" s="1048" t="str">
        <f>Codes!$C$170</f>
        <v>SR - Streetcar Rail (PT)</v>
      </c>
      <c r="AL215" s="1049" t="str">
        <f>Valid!$B$79</f>
        <v>Below-Grade/Submerged Tube</v>
      </c>
      <c r="AM215" s="1119" t="e">
        <f>IF('A-80 DirEntInv'!#REF!&lt;&gt;"",'A-80 DirEntInv'!#REF!,IF(AK215=summaryref2!B20,summaryref2!D20,IF(Summary!AK215=summaryref2!B34,summaryref2!D34,IF(AK215=summaryref2!B48,summaryref2!D48,IF(AK215=summaryref2!B62,summaryref2!D62,IF(AK215=summaryref2!B76,summaryref2!D76,IF(AK215=summaryref2!B90,summaryref2!D90,IF(AK215=summaryref2!B104,summaryref2!D104,IF(AK215=summaryref2!B118,summaryref2!D118,IF(AK215=summaryref2!B132,summaryref2!D132,IF(AK215=summaryref2!B146,summaryref2!D146,"")))))))))))</f>
        <v>#REF!</v>
      </c>
      <c r="AN215" s="1120" t="e">
        <f ca="1">IF('A-80 DirEntInv'!#REF!&lt;&gt;"",'A-80 DirEntInv'!#REF!,IF(INDIRECT(ADDRESS(SumRef!CG272,SumRef!CG$16,,,SumRef!$C$7))="","",INDIRECT(ADDRESS(SumRef!CG272,SumRef!CG$16,,,SumRef!$C$7))))</f>
        <v>#REF!</v>
      </c>
      <c r="AO215" s="1119" t="e">
        <f>IF('A-80 DirEntInv'!#REF!&lt;&gt;"",'A-80 DirEntInv'!#REF!,IF(AK215=summaryref2!B20,summaryref2!F20,IF(Summary!AK215=summaryref2!B34,summaryref2!F34,IF(AK215=summaryref2!B48,summaryref2!F48,IF(AK215=summaryref2!B62,summaryref2!F62,IF(AK215=summaryref2!B76,summaryref2!F76,IF(AK215=summaryref2!B90,summaryref2!F90,IF(AK215=summaryref2!B104,summaryref2!F104,IF(AK215=summaryref2!B118,summaryref2!F118,IF(AK215=summaryref2!B132,summaryref2!F132,IF(AK215=summaryref2!B146,summaryref2!F146,"")))))))))))</f>
        <v>#REF!</v>
      </c>
      <c r="AP215" s="1120" t="e">
        <f ca="1">IF('A-80 DirEntInv'!#REF!&lt;&gt;"",'A-80 DirEntInv'!#REF!,IF(INDIRECT(ADDRESS(SumRef!#REF!,SumRef!#REF!,,,SumRef!$C$7))="","",INDIRECT(ADDRESS(SumRef!#REF!,SumRef!#REF!,,,SumRef!$C$7))))</f>
        <v>#REF!</v>
      </c>
      <c r="AQ215" s="1148" t="e">
        <f>IF('A-80 DirEntInv'!#REF!&lt;&gt;"",'A-80 DirEntInv'!#REF!,IF(AK215=summaryref2!B20,summaryref2!G20,IF(Summary!AK215=summaryref2!B34,summaryref2!G34,IF(AK215=summaryref2!B48,summaryref2!G48,IF(AK215=summaryref2!B62,summaryref2!G62,IF(AK215=summaryref2!B76,summaryref2!G76,IF(AK215=summaryref2!B90,summaryref2!G90,IF(AK215=summaryref2!B104,summaryref2!G104,IF(AK215=summaryref2!B118,summaryref2!G118,IF(AK215=summaryref2!B132,summaryref2!G132,IF(AK215=summaryref2!B146,summaryref2!G146,"")))))))))))</f>
        <v>#REF!</v>
      </c>
      <c r="AR215" s="1148" t="e">
        <f>IF('A-80 DirEntInv'!#REF!&lt;&gt;"",'A-80 DirEntInv'!#REF!,IF(AK215=summaryref2!B20,summaryref2!H20,IF(Summary!AK215=summaryref2!B34,summaryref2!H34,IF(AK215=summaryref2!B48,summaryref2!H48,IF(AK215=summaryref2!B62,summaryref2!H62,IF(AK215=summaryref2!B76,summaryref2!H76,IF(AK215=summaryref2!B90,summaryref2!H90,IF(AK215=summaryref2!B104,summaryref2!H104,IF(AK215=summaryref2!B118,summaryref2!H118,IF(AK215=summaryref2!B132,summaryref2!H132,IF(AK215=summaryref2!B146,summaryref2!H146,"")))))))))))</f>
        <v>#REF!</v>
      </c>
      <c r="AS215" s="1121" t="e">
        <f>IF('A-80 DirEntInv'!#REF!&lt;&gt;"",'A-80 DirEntInv'!#REF!,IF(AK215=summaryref2!B20,summaryref2!I20,IF(Summary!AK215=summaryref2!B34,summaryref2!I34,IF(AK215=summaryref2!B48,summaryref2!I48,IF(AK215=summaryref2!B62,summaryref2!I62,IF(AK215=summaryref2!B76,summaryref2!I76,IF(AK215=summaryref2!B90,summaryref2!I90,IF(AK215=summaryref2!B104,summaryref2!I104,IF(AK215=summaryref2!B118,summaryref2!I118,IF(AK215=summaryref2!B132,summaryref2!I132,IF(AK215=summaryref2!B146,summaryref2!I146,"")))))))))))</f>
        <v>#REF!</v>
      </c>
      <c r="AT215" s="1121" t="e">
        <f>IF('A-80 DirEntInv'!#REF!&lt;&gt;"",'A-80 DirEntInv'!#REF!,IF(AK215=summaryref2!B20,summaryref2!J20,IF(Summary!AK215=summaryref2!B34,summaryref2!J34,IF(AK215=summaryref2!B48,summaryref2!J48,IF(AK215=summaryref2!B62,summaryref2!J62,IF(AK215=summaryref2!B76,summaryref2!J76,IF(AK215=summaryref2!B90,summaryref2!J90,IF(AK215=summaryref2!B104,summaryref2!J104,IF(AK215=summaryref2!B118,summaryref2!J118,IF(AK215=summaryref2!B132,summaryref2!J132,IF(AK215=summaryref2!B146,summaryref2!J146,"")))))))))))</f>
        <v>#REF!</v>
      </c>
      <c r="AU215" s="1121" t="e">
        <f>IF('A-80 DirEntInv'!#REF!&lt;&gt;"",'A-80 DirEntInv'!#REF!,IF(AK215=summaryref2!B20,summaryref2!K20,IF(Summary!AK215=summaryref2!B34,summaryref2!K34,IF(AK215=summaryref2!B48,summaryref2!K48,IF(AK215=summaryref2!B62,summaryref2!K62,IF(AK215=summaryref2!B76,summaryref2!K76,IF(AK215=summaryref2!B90,summaryref2!K90,IF(AK215=summaryref2!B104,summaryref2!K104,IF(AK215=summaryref2!B118,summaryref2!K118,IF(AK215=summaryref2!B132,summaryref2!K132,IF(AK215=summaryref2!B146,summaryref2!K146,"")))))))))))</f>
        <v>#REF!</v>
      </c>
      <c r="AV215" s="1121" t="e">
        <f>IF('A-80 DirEntInv'!#REF!&lt;&gt;"",'A-80 DirEntInv'!#REF!,IF(AK215=summaryref2!B20,summaryref2!L20,IF(Summary!AK215=summaryref2!B34,summaryref2!L34,IF(AK215=summaryref2!B48,summaryref2!L48,IF(AK215=summaryref2!B62,summaryref2!L62,IF(AK215=summaryref2!B76,summaryref2!L76,IF(AK215=summaryref2!B90,summaryref2!L90,IF(AK215=summaryref2!B104,summaryref2!L104,IF(AK215=summaryref2!B118,summaryref2!L118,IF(AK215=summaryref2!B132,summaryref2!L132,IF(AK215=summaryref2!B146,summaryref2!L146,"")))))))))))</f>
        <v>#REF!</v>
      </c>
      <c r="AW215" s="1121" t="e">
        <f>IF('A-80 DirEntInv'!#REF!&lt;&gt;"",'A-80 DirEntInv'!#REF!,IF(AK215=summaryref2!B20,summaryref2!M20,IF(Summary!AK215=summaryref2!B34,summaryref2!M34,IF(AK215=summaryref2!B48,summaryref2!M48,IF(AK215=summaryref2!B62,summaryref2!M62,IF(AK215=summaryref2!B76,summaryref2!M76,IF(AK215=summaryref2!B90,summaryref2!M90,IF(AK215=summaryref2!B104,summaryref2!M104,IF(AK215=summaryref2!B118,summaryref2!M118,IF(AK215=summaryref2!B132,summaryref2!M132,IF(AK215=summaryref2!B146,summaryref2!M146,"")))))))))))</f>
        <v>#REF!</v>
      </c>
      <c r="AX215" s="1121" t="e">
        <f>IF('A-80 DirEntInv'!#REF!&lt;&gt;"",'A-80 DirEntInv'!#REF!,IF(AK215=summaryref2!B20,summaryref2!N20,IF(Summary!AK215=summaryref2!B34,summaryref2!N34,IF(AK215=summaryref2!B48,summaryref2!N48,IF(AK215=summaryref2!B62,summaryref2!N62,IF(AK215=summaryref2!B76,summaryref2!N76,IF(AK215=summaryref2!B90,summaryref2!N90,IF(AK215=summaryref2!B104,summaryref2!N104,IF(AK215=summaryref2!B118,summaryref2!N118,IF(AK215=summaryref2!B132,summaryref2!N132,IF(AK215=summaryref2!B146,summaryref2!N146,"")))))))))))</f>
        <v>#REF!</v>
      </c>
      <c r="AY215" s="1121" t="e">
        <f>IF('A-80 DirEntInv'!#REF!&lt;&gt;"",'A-80 DirEntInv'!#REF!,IF(AK215=summaryref2!B20,summaryref2!O20,IF(Summary!AK215=summaryref2!B34,summaryref2!O34,IF(AK215=summaryref2!B48,summaryref2!O48,IF(AK215=summaryref2!B62,summaryref2!O62,IF(AK215=summaryref2!B76,summaryref2!O76,IF(AK215=summaryref2!B90,summaryref2!O90,IF(AK215=summaryref2!B104,summaryref2!O104,IF(AK215=summaryref2!B118,summaryref2!O118,IF(AK215=summaryref2!B132,summaryref2!O132,IF(AK215=summaryref2!B146,summaryref2!O146,"")))))))))))</f>
        <v>#REF!</v>
      </c>
      <c r="AZ215" s="1121" t="e">
        <f>IF('A-80 DirEntInv'!#REF!&lt;&gt;"",'A-80 DirEntInv'!#REF!,IF(AK215=summaryref2!B20,summaryref2!P20,IF(Summary!AK215=summaryref2!B34,summaryref2!P34,IF(AK215=summaryref2!B48,summaryref2!P48,IF(AK215=summaryref2!B62,summaryref2!P62,IF(AK215=summaryref2!B76,summaryref2!P76,IF(AK215=summaryref2!B90,summaryref2!P90,IF(AK215=summaryref2!B104,summaryref2!P104,IF(AK215=summaryref2!B118,summaryref2!P118,IF(AK215=summaryref2!B132,summaryref2!P132,IF(AK215=summaryref2!B146,summaryref2!P146,"")))))))))))</f>
        <v>#REF!</v>
      </c>
      <c r="BA215" s="1121" t="e">
        <f>IF('A-80 DirEntInv'!#REF!&lt;&gt;"",'A-80 DirEntInv'!#REF!,IF(AK215=summaryref2!B20,summaryref2!Q20,IF(Summary!AK215=summaryref2!B34,summaryref2!Q34,IF(AK215=summaryref2!B48,summaryref2!Q48,IF(AK215=summaryref2!B62,summaryref2!Q62,IF(AK215=summaryref2!B76,summaryref2!Q76,IF(AK215=summaryref2!B90,summaryref2!Q90,IF(AK215=summaryref2!B104,summaryref2!Q104,IF(AK215=summaryref2!B118,summaryref2!Q118,IF(AK215=summaryref2!B132,summaryref2!Q132,IF(AK215=summaryref2!B146,summaryref2!Q146,"")))))))))))</f>
        <v>#REF!</v>
      </c>
      <c r="BB215" s="1121" t="e">
        <f>IF('A-80 DirEntInv'!#REF!&lt;&gt;"",'A-80 DirEntInv'!#REF!,IF(AK215=summaryref2!B20,summaryref2!R20,IF(Summary!AK215=summaryref2!B34,summaryref2!R34,IF(AK215=summaryref2!B48,summaryref2!R48,IF(AK215=summaryref2!B62,summaryref2!R62,IF(AK215=summaryref2!B76,summaryref2!R76,IF(AK215=summaryref2!B90,summaryref2!R90,IF(AK215=summaryref2!B104,summaryref2!R104,IF(AK215=summaryref2!B118,summaryref2!R118,IF(AK215=summaryref2!B132,summaryref2!R132,IF(AK215=summaryref2!B146,summaryref2!R146,"")))))))))))</f>
        <v>#REF!</v>
      </c>
      <c r="BC215" s="1121" t="e">
        <f>IF('A-80 DirEntInv'!#REF!&lt;&gt;0,'A-80 DirEntInv'!#REF!,IF(AK215=summaryref2!B20,summaryref2!S20,IF(Summary!AK215=summaryref2!B34,summaryref2!S34,IF(AK215=summaryref2!B48,summaryref2!S48,IF(AK215=summaryref2!B62,summaryref2!S62,IF(AK215=summaryref2!B76,summaryref2!S76,IF(AK215=summaryref2!B90,summaryref2!S90,IF(AK215=summaryref2!B104,summaryref2!S104,IF(AK215=summaryref2!B118,summaryref2!S118,IF(AK215=summaryref2!B132,summaryref2!S132,IF(AK215=summaryref2!B146,summaryref2!S146,"")))))))))))</f>
        <v>#REF!</v>
      </c>
      <c r="BD215" s="1122" t="e">
        <f>IF('A-80 DirEntInv'!#REF!&lt;&gt;"",'A-80 DirEntInv'!#REF!,IF(AK215=summaryref2!B20,summaryref2!T20,IF(Summary!AK215=summaryref2!B34,summaryref2!T34,IF(AK215=summaryref2!B48,summaryref2!T48,IF(AK215=summaryref2!B62,summaryref2!T62,IF(AK215=summaryref2!B76,summaryref2!T76,IF(AK215=summaryref2!B90,summaryref2!T90,IF(AK215=summaryref2!B104,summaryref2!T104,IF(AK215=summaryref2!B118,summaryref2!T118,IF(AK215=summaryref2!B132,summaryref2!T132,IF(AK215=summaryref2!B146,summaryref2!T146,"")))))))))))</f>
        <v>#REF!</v>
      </c>
      <c r="BE215" s="1190" t="e">
        <f>IF('A-80 DirEntInv'!#REF!&lt;&gt;"",'A-80 DirEntInv'!#REF!,IF(AK215=summaryref2!B20,summaryref2!U20,IF(Summary!AK215=summaryref2!B34,summaryref2!U34,IF(AK215=summaryref2!B48,summaryref2!U48,IF(AK215=summaryref2!B62,summaryref2!U62,IF(AK215=summaryref2!B76,summaryref2!U76,IF(AK215=summaryref2!B90,summaryref2!U90,IF(AK215=summaryref2!B104,summaryref2!U104,IF(AK215=summaryref2!B118,summaryref2!U118,IF(AK215=summaryref2!B132,summaryref2!U132,IF(AK215=summaryref2!B146,summaryref2!U146,"")))))))))))</f>
        <v>#REF!</v>
      </c>
      <c r="BF215" s="1432"/>
      <c r="BG215" s="1432"/>
      <c r="BU215" s="962"/>
      <c r="CD215" s="589"/>
      <c r="CE215" s="590"/>
      <c r="CF215" s="590"/>
      <c r="CG215" s="590"/>
      <c r="CH215" s="590"/>
      <c r="CI215" s="590"/>
      <c r="CJ215" s="589"/>
      <c r="CK215" s="589"/>
      <c r="CL215" s="589"/>
      <c r="CM215" s="587"/>
      <c r="CN215" s="587"/>
      <c r="CO215" s="589"/>
      <c r="CP215" s="587"/>
      <c r="CQ215" s="592"/>
      <c r="CR215" s="589"/>
      <c r="CS215" s="592"/>
      <c r="CT215" s="589"/>
      <c r="CU215" s="589"/>
      <c r="CV215" s="589"/>
      <c r="CW215" s="587"/>
      <c r="CX215" s="590"/>
      <c r="CY215" s="590"/>
      <c r="CZ215" s="590"/>
      <c r="DA215" s="1054"/>
      <c r="DB215" s="1054"/>
      <c r="DC215" s="587"/>
      <c r="DD215" s="587"/>
    </row>
    <row r="216" spans="1:108" s="588" customFormat="1" ht="13.5" thickTop="1" x14ac:dyDescent="0.2">
      <c r="A216" s="589">
        <f t="shared" si="3"/>
        <v>206</v>
      </c>
      <c r="B216" s="587"/>
      <c r="C216" s="587"/>
      <c r="D216" s="587"/>
      <c r="J216" s="589"/>
      <c r="K216" s="590"/>
      <c r="L216" s="591"/>
      <c r="M216" s="592"/>
      <c r="N216" s="589"/>
      <c r="O216" s="587"/>
      <c r="R216" s="1052"/>
      <c r="S216" s="1052"/>
      <c r="T216" s="1052"/>
      <c r="U216" s="1052"/>
      <c r="V216" s="1052"/>
      <c r="W216" s="1053"/>
      <c r="X216" s="1053"/>
      <c r="Y216" s="1053"/>
      <c r="Z216" s="1052"/>
      <c r="AA216" s="1052"/>
      <c r="AB216" s="962"/>
      <c r="AC216" s="590"/>
      <c r="AD216" s="590"/>
      <c r="AE216" s="591"/>
      <c r="AF216" s="592"/>
      <c r="AG216" s="1053"/>
      <c r="AH216" s="587"/>
      <c r="AK216" s="1181" t="str">
        <f>Codes!$C$170</f>
        <v>SR - Streetcar Rail (PT)</v>
      </c>
      <c r="AL216" s="1182" t="str">
        <f>Valid!$B$87</f>
        <v>Substation Building</v>
      </c>
      <c r="AM216" s="1123" t="e">
        <f>IF('A-80 DirEntInv'!#REF!&lt;&gt;"",'A-80 DirEntInv'!#REF!,IF(AK216=summaryref2!B21,summaryref2!D21,IF(Summary!AK216=summaryref2!B35,summaryref2!D35,IF(AK216=summaryref2!B49,summaryref2!D49,IF(AK216=summaryref2!B63,summaryref2!D63,IF(AK216=summaryref2!B77,summaryref2!D77,IF(AK216=summaryref2!B91,summaryref2!D91,IF(AK216=summaryref2!B105,summaryref2!D105,IF(AK216=summaryref2!B119,summaryref2!D119,IF(AK216=summaryref2!B133,summaryref2!D133,IF(AK216=summaryref2!B197,summaryref2!D147,"")))))))))))</f>
        <v>#REF!</v>
      </c>
      <c r="AN216" s="1124" t="s">
        <v>13</v>
      </c>
      <c r="AO216" s="1123"/>
      <c r="AP216" s="1124"/>
      <c r="AQ216" s="1149" t="e">
        <f>IF('A-80 DirEntInv'!#REF!&lt;&gt;"",'A-80 DirEntInv'!#REF!,IF(AK216=summaryref2!B21,summaryref2!G21,IF(Summary!AK216=summaryref2!B35,summaryref2!G35,IF(AK216=summaryref2!B49,summaryref2!G49,IF(AK216=summaryref2!B63,summaryref2!G63,IF(AK216=summaryref2!B77,summaryref2!G77,IF(AK216=summaryref2!B91,summaryref2!G91,IF(AK216=summaryref2!B105,summaryref2!G105,IF(AK216=summaryref2!B119,summaryref2!G119,IF(AK216=summaryref2!B133,summaryref2!G133,IF(AK216=summaryref2!B147,summaryref2!G147,"")))))))))))</f>
        <v>#REF!</v>
      </c>
      <c r="AR216" s="1149" t="e">
        <f>IF('A-80 DirEntInv'!#REF!&lt;&gt;"",'A-80 DirEntInv'!#REF!,IF(AK216=summaryref2!B21,summaryref2!H21,IF(Summary!AK216=summaryref2!B35,summaryref2!H35,IF(AK216=summaryref2!B49,summaryref2!H49,IF(AK216=summaryref2!B63,summaryref2!H63,IF(AK216=summaryref2!B77,summaryref2!H77,IF(AK216=summaryref2!B91,summaryref2!H91,IF(AK216=summaryref2!B105,summaryref2!H105,IF(AK216=summaryref2!B119,summaryref2!H119,IF(AK216=summaryref2!B133,summaryref2!H133,IF(AK216=summaryref2!B147,summaryref2!H147,"")))))))))))</f>
        <v>#REF!</v>
      </c>
      <c r="AS216" s="1125" t="e">
        <f>IF('A-80 DirEntInv'!#REF!&lt;&gt;"",'A-80 DirEntInv'!#REF!,IF(AK216=summaryref2!B21,summaryref2!I21,IF(Summary!AK216=summaryref2!B35,summaryref2!I35,IF(AK216=summaryref2!B49,summaryref2!I49,IF(AK216=summaryref2!B63,summaryref2!I63,IF(AK216=summaryref2!B77,summaryref2!I77,IF(AK216=summaryref2!B91,summaryref2!I91,IF(AK216=summaryref2!B105,summaryref2!I105,IF(AK216=summaryref2!B119,summaryref2!I119,IF(AK216=summaryref2!B133,summaryref2!I133,IF(AK216=summaryref2!B147,summaryref2!I147,"")))))))))))</f>
        <v>#REF!</v>
      </c>
      <c r="AT216" s="1125" t="e">
        <f>IF('A-80 DirEntInv'!#REF!&lt;&gt;"",'A-80 DirEntInv'!#REF!,IF(AK216=summaryref2!B21,summaryref2!J21,IF(Summary!AK216=summaryref2!B35,summaryref2!J35,IF(AK216=summaryref2!B49,summaryref2!J49,IF(AK216=summaryref2!B63,summaryref2!J63,IF(AK216=summaryref2!B77,summaryref2!J77,IF(AK216=summaryref2!B91,summaryref2!J91,IF(AK216=summaryref2!B105,summaryref2!J105,IF(AK216=summaryref2!B119,summaryref2!J119,IF(AK216=summaryref2!B133,summaryref2!J133,IF(AK216=summaryref2!B147,summaryref2!J147,"")))))))))))</f>
        <v>#REF!</v>
      </c>
      <c r="AU216" s="1125" t="e">
        <f>IF('A-80 DirEntInv'!#REF!&lt;&gt;"",'A-80 DirEntInv'!#REF!,IF(AK216=summaryref2!B21,summaryref2!K21,IF(Summary!AK216=summaryref2!B35,summaryref2!K35,IF(AK216=summaryref2!B49,summaryref2!K49,IF(AK216=summaryref2!B63,summaryref2!K63,IF(AK216=summaryref2!B77,summaryref2!K77,IF(AK216=summaryref2!B91,summaryref2!K91,IF(AK216=summaryref2!B105,summaryref2!K105,IF(AK216=summaryref2!B119,summaryref2!K119,IF(AK216=summaryref2!B133,summaryref2!K133,IF(AK216=summaryref2!B147,summaryref2!K147,"")))))))))))</f>
        <v>#REF!</v>
      </c>
      <c r="AV216" s="1125" t="e">
        <f>IF('A-80 DirEntInv'!#REF!&lt;&gt;"",'A-80 DirEntInv'!#REF!,IF(AK216=summaryref2!B21,summaryref2!L21,IF(Summary!AK216=summaryref2!B35,summaryref2!L35,IF(AK216=summaryref2!B49,summaryref2!L49,IF(AK216=summaryref2!B63,summaryref2!L63,IF(AK216=summaryref2!B77,summaryref2!L77,IF(AK216=summaryref2!B91,summaryref2!L91,IF(AK216=summaryref2!B105,summaryref2!L105,IF(AK216=summaryref2!B119,summaryref2!L119,IF(AK216=summaryref2!B133,summaryref2!L133,IF(AK216=summaryref2!B147,summaryref2!L147,"")))))))))))</f>
        <v>#REF!</v>
      </c>
      <c r="AW216" s="1125" t="e">
        <f>IF('A-80 DirEntInv'!#REF!&lt;&gt;"",'A-80 DirEntInv'!#REF!,IF(AK216=summaryref2!B21,summaryref2!M21,IF(Summary!AK216=summaryref2!B35,summaryref2!M35,IF(AK216=summaryref2!B49,summaryref2!M49,IF(AK216=summaryref2!B63,summaryref2!M63,IF(AK216=summaryref2!B77,summaryref2!M77,IF(AK216=summaryref2!B91,summaryref2!M91,IF(AK216=summaryref2!B105,summaryref2!M105,IF(AK216=summaryref2!B119,summaryref2!M119,IF(AK216=summaryref2!B133,summaryref2!M133,IF(AK216=summaryref2!B147,summaryref2!M147,"")))))))))))</f>
        <v>#REF!</v>
      </c>
      <c r="AX216" s="1125" t="e">
        <f>IF('A-80 DirEntInv'!#REF!&lt;&gt;"",'A-80 DirEntInv'!#REF!,IF(AK216=summaryref2!B21,summaryref2!N21,IF(Summary!AK216=summaryref2!B35,summaryref2!N35,IF(AK216=summaryref2!B49,summaryref2!N49,IF(AK216=summaryref2!B63,summaryref2!N63,IF(AK216=summaryref2!B77,summaryref2!N77,IF(AK216=summaryref2!B91,summaryref2!N91,IF(AK216=summaryref2!B105,summaryref2!N105,IF(AK216=summaryref2!B119,summaryref2!N119,IF(AK216=summaryref2!B133,summaryref2!N133,IF(AK216=summaryref2!B147,summaryref2!N147,"")))))))))))</f>
        <v>#REF!</v>
      </c>
      <c r="AY216" s="1125" t="e">
        <f>IF('A-80 DirEntInv'!#REF!&lt;&gt;"",'A-80 DirEntInv'!#REF!,IF(AK216=summaryref2!B21,summaryref2!O21,IF(Summary!AK216=summaryref2!B35,summaryref2!O35,IF(AK216=summaryref2!B49,summaryref2!O49,IF(AK216=summaryref2!B63,summaryref2!O63,IF(AK216=summaryref2!B77,summaryref2!O77,IF(AK216=summaryref2!B91,summaryref2!O91,IF(AK216=summaryref2!B105,summaryref2!O105,IF(AK216=summaryref2!B119,summaryref2!O119,IF(AK216=summaryref2!B133,summaryref2!O133,IF(AK216=summaryref2!B147,summaryref2!O147,"")))))))))))</f>
        <v>#REF!</v>
      </c>
      <c r="AZ216" s="1125" t="e">
        <f>IF('A-80 DirEntInv'!#REF!&lt;&gt;"",'A-80 DirEntInv'!#REF!,IF(AK216=summaryref2!B21,summaryref2!P21,IF(Summary!AK216=summaryref2!B35,summaryref2!P35,IF(AK216=summaryref2!B49,summaryref2!P49,IF(AK216=summaryref2!B63,summaryref2!P63,IF(AK216=summaryref2!B77,summaryref2!P77,IF(AK216=summaryref2!B91,summaryref2!P91,IF(AK216=summaryref2!B105,summaryref2!P105,IF(AK216=summaryref2!B119,summaryref2!P119,IF(AK216=summaryref2!B133,summaryref2!P133,IF(AK216=summaryref2!B147,summaryref2!P147,"")))))))))))</f>
        <v>#REF!</v>
      </c>
      <c r="BA216" s="1125" t="e">
        <f>IF('A-80 DirEntInv'!#REF!&lt;&gt;"",'A-80 DirEntInv'!#REF!,IF(AK216=summaryref2!B21,summaryref2!Q21,IF(Summary!AK216=summaryref2!B35,summaryref2!Q35,IF(AK216=summaryref2!B49,summaryref2!Q49,IF(AK216=summaryref2!B63,summaryref2!Q63,IF(AK216=summaryref2!B77,summaryref2!Q77,IF(AK216=summaryref2!B91,summaryref2!Q91,IF(AK216=summaryref2!B105,summaryref2!Q105,IF(AK216=summaryref2!B119,summaryref2!Q119,IF(AK216=summaryref2!B133,summaryref2!Q133,IF(AK216=summaryref2!B147,summaryref2!Q147,"")))))))))))</f>
        <v>#REF!</v>
      </c>
      <c r="BB216" s="1125" t="e">
        <f>IF('A-80 DirEntInv'!#REF!&lt;&gt;"",'A-80 DirEntInv'!#REF!,IF(AK216=summaryref2!B21,summaryref2!R21,IF(Summary!AK216=summaryref2!B35,summaryref2!R35,IF(AK216=summaryref2!B49,summaryref2!R49,IF(AK216=summaryref2!B63,summaryref2!R63,IF(AK216=summaryref2!B77,summaryref2!R77,IF(AK216=summaryref2!B91,summaryref2!R91,IF(AK216=summaryref2!B105,summaryref2!R105,IF(AK216=summaryref2!B119,summaryref2!R119,IF(AK216=summaryref2!B133,summaryref2!R133,IF(AK216=summaryref2!B147,summaryref2!R147,"")))))))))))</f>
        <v>#REF!</v>
      </c>
      <c r="BC216" s="1125" t="e">
        <f>IF('A-80 DirEntInv'!#REF!&lt;&gt;0,'A-80 DirEntInv'!#REF!,IF(AK216=summaryref2!B21,summaryref2!S21,IF(Summary!AK216=summaryref2!B35,summaryref2!S35,IF(AK216=summaryref2!B49,summaryref2!S49,IF(AK216=summaryref2!B63,summaryref2!S63,IF(AK216=summaryref2!B77,summaryref2!S77,IF(AK216=summaryref2!B91,summaryref2!S91,IF(AK216=summaryref2!B105,summaryref2!S105,IF(AK216=summaryref2!B119,summaryref2!S119,IF(AK216=summaryref2!B133,summaryref2!S133,IF(AK216=summaryref2!B147,summaryref2!S147,"")))))))))))</f>
        <v>#REF!</v>
      </c>
      <c r="BD216" s="1126" t="e">
        <f>IF('A-80 DirEntInv'!#REF!&lt;&gt;"",'A-80 DirEntInv'!#REF!,IF(AK216=summaryref2!B21,summaryref2!T21,IF(Summary!AK216=summaryref2!B35,summaryref2!T35,IF(AK216=summaryref2!B49,summaryref2!T49,IF(AK216=summaryref2!B63,summaryref2!T63,IF(AK216=summaryref2!B77,summaryref2!T77,IF(AK216=summaryref2!B91,summaryref2!T91,IF(AK216=summaryref2!B105,summaryref2!T105,IF(AK216=summaryref2!B119,summaryref2!T119,IF(AK216=summaryref2!B133,summaryref2!T133,IF(AK216=summaryref2!B147,summaryref2!T147,"")))))))))))</f>
        <v>#REF!</v>
      </c>
      <c r="BE216" s="1183" t="e">
        <f>IF('A-80 DirEntInv'!#REF!&lt;&gt;"",'A-80 DirEntInv'!#REF!,IF(AK216=summaryref2!B21,summaryref2!U21,IF(Summary!AK216=summaryref2!B35,summaryref2!U35,IF(AK216=summaryref2!B49,summaryref2!U49,IF(AK216=summaryref2!B63,summaryref2!U63,IF(AK216=summaryref2!B77,summaryref2!U77,IF(AK216=summaryref2!B91,summaryref2!U91,IF(AK216=summaryref2!B105,summaryref2!U105,IF(AK216=summaryref2!B119,summaryref2!U119,IF(AK216=summaryref2!B133,summaryref2!U133,IF(AK216=summaryref2!B147,summaryref2!U147,"")))))))))))</f>
        <v>#REF!</v>
      </c>
      <c r="BF216" s="1432"/>
      <c r="BG216" s="1432"/>
      <c r="BU216" s="962"/>
      <c r="CD216" s="589"/>
      <c r="CE216" s="590"/>
      <c r="CF216" s="590"/>
      <c r="CG216" s="590"/>
      <c r="CH216" s="590"/>
      <c r="CI216" s="590"/>
      <c r="CJ216" s="589"/>
      <c r="CK216" s="589"/>
      <c r="CL216" s="589"/>
      <c r="CM216" s="587"/>
      <c r="CN216" s="587"/>
      <c r="CO216" s="589"/>
      <c r="CP216" s="587"/>
      <c r="CQ216" s="592"/>
      <c r="CR216" s="589"/>
      <c r="CS216" s="592"/>
      <c r="CT216" s="589"/>
      <c r="CU216" s="589"/>
      <c r="CV216" s="589"/>
      <c r="CW216" s="587"/>
      <c r="CX216" s="590"/>
      <c r="CY216" s="590"/>
      <c r="CZ216" s="590"/>
      <c r="DA216" s="1054"/>
      <c r="DB216" s="1054"/>
      <c r="DC216" s="587"/>
      <c r="DD216" s="587"/>
    </row>
    <row r="217" spans="1:108" s="588" customFormat="1" x14ac:dyDescent="0.2">
      <c r="A217" s="589">
        <f t="shared" si="3"/>
        <v>207</v>
      </c>
      <c r="B217" s="587"/>
      <c r="C217" s="587"/>
      <c r="D217" s="587"/>
      <c r="J217" s="589"/>
      <c r="K217" s="590"/>
      <c r="L217" s="591"/>
      <c r="M217" s="592"/>
      <c r="N217" s="589"/>
      <c r="O217" s="587"/>
      <c r="R217" s="1052"/>
      <c r="S217" s="1052"/>
      <c r="T217" s="1052"/>
      <c r="U217" s="1052"/>
      <c r="V217" s="1052"/>
      <c r="W217" s="1053"/>
      <c r="X217" s="1053"/>
      <c r="Y217" s="1053"/>
      <c r="Z217" s="1052"/>
      <c r="AA217" s="1052"/>
      <c r="AB217" s="962"/>
      <c r="AC217" s="590"/>
      <c r="AD217" s="590"/>
      <c r="AE217" s="591"/>
      <c r="AF217" s="592"/>
      <c r="AG217" s="1053"/>
      <c r="AH217" s="587"/>
      <c r="AK217" s="1041" t="str">
        <f>Codes!$C$170</f>
        <v>SR - Streetcar Rail (PT)</v>
      </c>
      <c r="AL217" s="1042" t="str">
        <f>Valid!$B$88</f>
        <v>Substation Equipment</v>
      </c>
      <c r="AM217" s="1187"/>
      <c r="AN217" s="1046"/>
      <c r="AO217" s="1187"/>
      <c r="AP217" s="1046"/>
      <c r="AQ217" s="1147" t="e">
        <f>IF('A-80 DirEntInv'!#REF!&lt;&gt;"",'A-80 DirEntInv'!#REF!,IF(AK217=summaryref2!B22,summaryref2!G22,IF(Summary!AK217=summaryref2!B36,summaryref2!G36,IF(AK217=summaryref2!B50,summaryref2!G50,IF(AK217=summaryref2!B64,summaryref2!G64,IF(AK217=summaryref2!B78,summaryref2!G78,IF(AK217=summaryref2!B92,summaryref2!G92,IF(AK217=summaryref2!B106,summaryref2!G106,IF(AK217=summaryref2!B120,summaryref2!G120,IF(AK217=summaryref2!B134,summaryref2!G134,IF(AK217=summaryref2!B148,summaryref2!G148,"")))))))))))</f>
        <v>#REF!</v>
      </c>
      <c r="AR217" s="1147" t="e">
        <f>IF('A-80 DirEntInv'!#REF!&lt;&gt;"",'A-80 DirEntInv'!#REF!,IF(AK217=summaryref2!B22,summaryref2!H22,IF(Summary!AK217=summaryref2!B36,summaryref2!H36,IF(AK217=summaryref2!B50,summaryref2!H50,IF(AK217=summaryref2!B64,summaryref2!H64,IF(AK217=summaryref2!B78,summaryref2!H78,IF(AK217=summaryref2!B92,summaryref2!H92,IF(AK217=summaryref2!B106,summaryref2!H106,IF(AK217=summaryref2!B120,summaryref2!H120,IF(AK217=summaryref2!B134,summaryref2!H134,IF(AK217=summaryref2!B148,summaryref2!H148,"")))))))))))</f>
        <v>#REF!</v>
      </c>
      <c r="AS217" s="1110" t="e">
        <f>IF('A-80 DirEntInv'!#REF!&lt;&gt;"",'A-80 DirEntInv'!#REF!,IF(AK217=summaryref2!B22,summaryref2!I22,IF(Summary!AK217=summaryref2!B36,summaryref2!I36,IF(AK217=summaryref2!B50,summaryref2!I50,IF(AK217=summaryref2!B64,summaryref2!I64,IF(AK217=summaryref2!B78,summaryref2!I78,IF(AK217=summaryref2!B92,summaryref2!I92,IF(AK217=summaryref2!B106,summaryref2!I106,IF(AK217=summaryref2!B120,summaryref2!I120,IF(AK217=summaryref2!B134,summaryref2!I134,IF(AK217=summaryref2!B148,summaryref2!I148,"")))))))))))</f>
        <v>#REF!</v>
      </c>
      <c r="AT217" s="1110" t="e">
        <f>IF('A-80 DirEntInv'!#REF!&lt;&gt;"",'A-80 DirEntInv'!#REF!,IF(AK217=summaryref2!B22,summaryref2!J22,IF(Summary!AK217=summaryref2!B36,summaryref2!J36,IF(AK217=summaryref2!B50,summaryref2!J50,IF(AK217=summaryref2!B64,summaryref2!J64,IF(AK217=summaryref2!B78,summaryref2!J78,IF(AK217=summaryref2!B92,summaryref2!J92,IF(AK217=summaryref2!B106,summaryref2!J106,IF(AK217=summaryref2!B120,summaryref2!J120,IF(AK217=summaryref2!B134,summaryref2!J134,IF(AK217=summaryref2!B148,summaryref2!J148,"")))))))))))</f>
        <v>#REF!</v>
      </c>
      <c r="AU217" s="1110" t="e">
        <f>IF('A-80 DirEntInv'!#REF!&lt;&gt;"",'A-80 DirEntInv'!#REF!,IF(AK217=summaryref2!B22,summaryref2!K22,IF(Summary!AK217=summaryref2!B36,summaryref2!K36,IF(AK217=summaryref2!B50,summaryref2!K50,IF(AK217=summaryref2!B64,summaryref2!K64,IF(AK217=summaryref2!B78,summaryref2!K78,IF(AK217=summaryref2!B92,summaryref2!K92,IF(AK217=summaryref2!B106,summaryref2!K106,IF(AK217=summaryref2!B120,summaryref2!K120,IF(AK217=summaryref2!B134,summaryref2!K134,IF(AK217=summaryref2!B148,summaryref2!K148,"")))))))))))</f>
        <v>#REF!</v>
      </c>
      <c r="AV217" s="1110" t="e">
        <f>IF('A-80 DirEntInv'!#REF!&lt;&gt;"",'A-80 DirEntInv'!#REF!,IF(AK217=summaryref2!B22,summaryref2!L22,IF(Summary!AK217=summaryref2!B36,summaryref2!L36,IF(AK217=summaryref2!B50,summaryref2!L50,IF(AK217=summaryref2!B64,summaryref2!L64,IF(AK217=summaryref2!B78,summaryref2!L78,IF(AK217=summaryref2!B92,summaryref2!L92,IF(AK217=summaryref2!B106,summaryref2!L106,IF(AK217=summaryref2!B120,summaryref2!L120,IF(AK217=summaryref2!B134,summaryref2!L134,IF(AK217=summaryref2!B148,summaryref2!L148,"")))))))))))</f>
        <v>#REF!</v>
      </c>
      <c r="AW217" s="1110" t="e">
        <f>IF('A-80 DirEntInv'!#REF!&lt;&gt;"",'A-80 DirEntInv'!#REF!,IF(AK217=summaryref2!B22,summaryref2!M22,IF(Summary!AK217=summaryref2!B36,summaryref2!M36,IF(AK217=summaryref2!B50,summaryref2!M50,IF(AK217=summaryref2!B64,summaryref2!M64,IF(AK217=summaryref2!B78,summaryref2!M78,IF(AK217=summaryref2!B92,summaryref2!M92,IF(AK217=summaryref2!B106,summaryref2!M106,IF(AK217=summaryref2!B120,summaryref2!M120,IF(AK217=summaryref2!B134,summaryref2!M134,IF(AK217=summaryref2!B148,summaryref2!M148,"")))))))))))</f>
        <v>#REF!</v>
      </c>
      <c r="AX217" s="1110" t="e">
        <f>IF('A-80 DirEntInv'!#REF!&lt;&gt;"",'A-80 DirEntInv'!#REF!,IF(AK217=summaryref2!B22,summaryref2!N22,IF(Summary!AK217=summaryref2!B36,summaryref2!N36,IF(AK217=summaryref2!B50,summaryref2!N50,IF(AK217=summaryref2!B64,summaryref2!N64,IF(AK217=summaryref2!B78,summaryref2!N78,IF(AK217=summaryref2!B92,summaryref2!N92,IF(AK217=summaryref2!B106,summaryref2!N106,IF(AK217=summaryref2!B120,summaryref2!N120,IF(AK217=summaryref2!B134,summaryref2!N134,IF(AK217=summaryref2!B148,summaryref2!N148,"")))))))))))</f>
        <v>#REF!</v>
      </c>
      <c r="AY217" s="1110" t="e">
        <f>IF('A-80 DirEntInv'!#REF!&lt;&gt;"",'A-80 DirEntInv'!#REF!,IF(AK217=summaryref2!B22,summaryref2!O22,IF(Summary!AK217=summaryref2!B36,summaryref2!O36,IF(AK217=summaryref2!B50,summaryref2!O50,IF(AK217=summaryref2!B64,summaryref2!O64,IF(AK217=summaryref2!B78,summaryref2!O78,IF(AK217=summaryref2!B92,summaryref2!O92,IF(AK217=summaryref2!B106,summaryref2!O106,IF(AK217=summaryref2!B120,summaryref2!O120,IF(AK217=summaryref2!B134,summaryref2!O134,IF(AK217=summaryref2!B148,summaryref2!O148,"")))))))))))</f>
        <v>#REF!</v>
      </c>
      <c r="AZ217" s="1110" t="e">
        <f>IF('A-80 DirEntInv'!#REF!&lt;&gt;"",'A-80 DirEntInv'!#REF!,IF(AK217=summaryref2!B22,summaryref2!P22,IF(Summary!AK217=summaryref2!B36,summaryref2!P36,IF(AK217=summaryref2!B50,summaryref2!P50,IF(AK217=summaryref2!B64,summaryref2!P64,IF(AK217=summaryref2!B78,summaryref2!P78,IF(AK217=summaryref2!B92,summaryref2!P92,IF(AK217=summaryref2!B106,summaryref2!P106,IF(AK217=summaryref2!B120,summaryref2!P120,IF(AK217=summaryref2!B134,summaryref2!P134,IF(AK217=summaryref2!B148,summaryref2!P148,"")))))))))))</f>
        <v>#REF!</v>
      </c>
      <c r="BA217" s="1110" t="e">
        <f>IF('A-80 DirEntInv'!#REF!&lt;&gt;"",'A-80 DirEntInv'!#REF!,IF(AK217=summaryref2!B22,summaryref2!Q22,IF(Summary!AK217=summaryref2!B36,summaryref2!Q36,IF(AK217=summaryref2!B50,summaryref2!Q50,IF(AK217=summaryref2!B64,summaryref2!Q64,IF(AK217=summaryref2!B78,summaryref2!Q78,IF(AK217=summaryref2!B92,summaryref2!Q92,IF(AK217=summaryref2!B106,summaryref2!Q106,IF(AK217=summaryref2!B120,summaryref2!Q120,IF(AK217=summaryref2!B134,summaryref2!Q134,IF(AK217=summaryref2!B148,summaryref2!Q148,"")))))))))))</f>
        <v>#REF!</v>
      </c>
      <c r="BB217" s="1110" t="e">
        <f>IF('A-80 DirEntInv'!#REF!&lt;&gt;"",'A-80 DirEntInv'!#REF!,IF(AK217=summaryref2!B22,summaryref2!R22,IF(Summary!AK217=summaryref2!B36,summaryref2!R36,IF(AK217=summaryref2!B50,summaryref2!R50,IF(AK217=summaryref2!B64,summaryref2!R64,IF(AK217=summaryref2!B78,summaryref2!R78,IF(AK217=summaryref2!B92,summaryref2!R92,IF(AK217=summaryref2!B106,summaryref2!R106,IF(AK217=summaryref2!B120,summaryref2!R120,IF(AK217=summaryref2!B134,summaryref2!R134,IF(AK217=summaryref2!B148,summaryref2!R148,"")))))))))))</f>
        <v>#REF!</v>
      </c>
      <c r="BC217" s="1110" t="e">
        <f>IF('A-80 DirEntInv'!#REF!&lt;&gt;0,'A-80 DirEntInv'!#REF!,IF(AK217=summaryref2!B22,summaryref2!S22,IF(Summary!AK217=summaryref2!B36,summaryref2!S36,IF(AK217=summaryref2!B50,summaryref2!S50,IF(AK217=summaryref2!B64,summaryref2!S64,IF(AK217=summaryref2!B78,summaryref2!S78,IF(AK217=summaryref2!B92,summaryref2!S92,IF(AK217=summaryref2!B106,summaryref2!S106,IF(AK217=summaryref2!B120,summaryref2!S120,IF(AK217=summaryref2!B134,summaryref2!S134,IF(AK217=summaryref2!B148,summaryref2!S148,"")))))))))))</f>
        <v>#REF!</v>
      </c>
      <c r="BD217" s="1111" t="e">
        <f>IF('A-80 DirEntInv'!#REF!&lt;&gt;"",'A-80 DirEntInv'!#REF!,IF(AK217=summaryref2!B22,summaryref2!T22,IF(Summary!AK217=summaryref2!B36,summaryref2!T36,IF(AK217=summaryref2!B50,summaryref2!T50,IF(AK217=summaryref2!B64,summaryref2!T64,IF(AK217=summaryref2!B78,summaryref2!T78,IF(AK217=summaryref2!B92,summaryref2!T92,IF(AK217=summaryref2!B106,summaryref2!T106,IF(AK217=summaryref2!B120,summaryref2!T120,IF(AK217=summaryref2!B134,summaryref2!T134,IF(AK217=summaryref2!B148,summaryref2!T148,"")))))))))))</f>
        <v>#REF!</v>
      </c>
      <c r="BE217" s="1184" t="e">
        <f>IF('A-80 DirEntInv'!#REF!&lt;&gt;"",'A-80 DirEntInv'!#REF!,IF(AK217=summaryref2!B22,summaryref2!U22,IF(Summary!AK217=summaryref2!B36,summaryref2!U36,IF(AK217=summaryref2!B50,summaryref2!U50,IF(AK217=summaryref2!B64,summaryref2!U64,IF(AK217=summaryref2!B78,summaryref2!U78,IF(AK217=summaryref2!B92,summaryref2!U92,IF(AK217=summaryref2!B106,summaryref2!U106,IF(AK217=summaryref2!B120,summaryref2!U120,IF(AK217=summaryref2!B134,summaryref2!U134,IF(AK217=summaryref2!B148,summaryref2!U148,"")))))))))))</f>
        <v>#REF!</v>
      </c>
      <c r="BF217" s="1432"/>
      <c r="BG217" s="1432"/>
      <c r="BU217" s="962"/>
      <c r="CD217" s="589"/>
      <c r="CE217" s="590"/>
      <c r="CF217" s="590"/>
      <c r="CG217" s="590"/>
      <c r="CH217" s="590"/>
      <c r="CI217" s="590"/>
      <c r="CJ217" s="589"/>
      <c r="CK217" s="589"/>
      <c r="CL217" s="589"/>
      <c r="CM217" s="587"/>
      <c r="CN217" s="587"/>
      <c r="CO217" s="589"/>
      <c r="CP217" s="587"/>
      <c r="CQ217" s="592"/>
      <c r="CR217" s="589"/>
      <c r="CS217" s="592"/>
      <c r="CT217" s="589"/>
      <c r="CU217" s="589"/>
      <c r="CV217" s="589"/>
      <c r="CW217" s="587"/>
      <c r="CX217" s="590"/>
      <c r="CY217" s="590"/>
      <c r="CZ217" s="590"/>
      <c r="DA217" s="1054"/>
      <c r="DB217" s="1054"/>
      <c r="DC217" s="587"/>
      <c r="DD217" s="587"/>
    </row>
    <row r="218" spans="1:108" s="588" customFormat="1" x14ac:dyDescent="0.2">
      <c r="A218" s="589">
        <f t="shared" si="3"/>
        <v>208</v>
      </c>
      <c r="B218" s="587"/>
      <c r="C218" s="587"/>
      <c r="D218" s="587"/>
      <c r="J218" s="589"/>
      <c r="K218" s="590"/>
      <c r="L218" s="591"/>
      <c r="M218" s="592"/>
      <c r="N218" s="589"/>
      <c r="O218" s="587"/>
      <c r="R218" s="1052"/>
      <c r="S218" s="1052"/>
      <c r="T218" s="1052"/>
      <c r="U218" s="1052"/>
      <c r="V218" s="1052"/>
      <c r="W218" s="1053"/>
      <c r="X218" s="1053"/>
      <c r="Y218" s="1053"/>
      <c r="Z218" s="1052"/>
      <c r="AA218" s="1052"/>
      <c r="AB218" s="962"/>
      <c r="AC218" s="590"/>
      <c r="AD218" s="590"/>
      <c r="AE218" s="591"/>
      <c r="AF218" s="592"/>
      <c r="AG218" s="1053"/>
      <c r="AH218" s="587"/>
      <c r="AK218" s="1041" t="str">
        <f>Codes!$C$170</f>
        <v>SR - Streetcar Rail (PT)</v>
      </c>
      <c r="AL218" s="1042" t="str">
        <f>Valid!$B$89</f>
        <v>Third Rail/Power Distribution</v>
      </c>
      <c r="AM218" s="1108"/>
      <c r="AN218" s="1042"/>
      <c r="AO218" s="1108"/>
      <c r="AP218" s="1042"/>
      <c r="AQ218" s="1147" t="e">
        <f>IF('A-80 DirEntInv'!#REF!&lt;&gt;"",'A-80 DirEntInv'!#REF!,IF(AK218=summaryref2!B23,summaryref2!G23,IF(Summary!AK218=summaryref2!B37,summaryref2!G37,IF(AK218=summaryref2!B51,summaryref2!G51,IF(AK218=summaryref2!B65,summaryref2!G65,IF(AK218=summaryref2!B79,summaryref2!G79,IF(AK218=summaryref2!B93,summaryref2!G93,IF(AK218=summaryref2!B107,summaryref2!G107,IF(AK218=summaryref2!B121,summaryref2!G121,IF(AK218=summaryref2!B135,summaryref2!G135,IF(AK218=summaryref2!B149,summaryref2!G149,"")))))))))))</f>
        <v>#REF!</v>
      </c>
      <c r="AR218" s="1147" t="e">
        <f>IF('A-80 DirEntInv'!#REF!&lt;&gt;"",'A-80 DirEntInv'!#REF!,IF(AK218=summaryref2!B23,summaryref2!H23,IF(Summary!AK218=summaryref2!B37,summaryref2!H37,IF(AK218=summaryref2!B51,summaryref2!H51,IF(AK218=summaryref2!B65,summaryref2!H65,IF(AK218=summaryref2!B79,summaryref2!H79,IF(AK218=summaryref2!B93,summaryref2!H93,IF(AK218=summaryref2!B107,summaryref2!H107,IF(AK218=summaryref2!B121,summaryref2!H121,IF(AK218=summaryref2!B135,summaryref2!H135,IF(AK218=summaryref2!B149,summaryref2!H149,"")))))))))))</f>
        <v>#REF!</v>
      </c>
      <c r="AS218" s="1110" t="e">
        <f>IF('A-80 DirEntInv'!#REF!&lt;&gt;"",'A-80 DirEntInv'!#REF!,IF(AK218=summaryref2!B23,summaryref2!I23,IF(Summary!AK218=summaryref2!B37,summaryref2!I37,IF(AK218=summaryref2!B51,summaryref2!I51,IF(AK218=summaryref2!B65,summaryref2!I65,IF(AK218=summaryref2!B79,summaryref2!I79,IF(AK218=summaryref2!B93,summaryref2!I93,IF(AK218=summaryref2!B107,summaryref2!I107,IF(AK218=summaryref2!B121,summaryref2!I121,IF(AK218=summaryref2!B135,summaryref2!I135,IF(AK218=summaryref2!B149,summaryref2!I149,"")))))))))))</f>
        <v>#REF!</v>
      </c>
      <c r="AT218" s="1110" t="e">
        <f>IF('A-80 DirEntInv'!#REF!&lt;&gt;"",'A-80 DirEntInv'!#REF!,IF(AK218=summaryref2!B23,summaryref2!J23,IF(Summary!AK218=summaryref2!B37,summaryref2!J37,IF(AK218=summaryref2!B51,summaryref2!J51,IF(AK218=summaryref2!B65,summaryref2!J65,IF(AK218=summaryref2!B79,summaryref2!J79,IF(AK218=summaryref2!B93,summaryref2!J93,IF(AK218=summaryref2!B107,summaryref2!J107,IF(AK218=summaryref2!B121,summaryref2!J121,IF(AK218=summaryref2!B135,summaryref2!J135,IF(AK218=summaryref2!B149,summaryref2!J149,"")))))))))))</f>
        <v>#REF!</v>
      </c>
      <c r="AU218" s="1110" t="e">
        <f>IF('A-80 DirEntInv'!#REF!&lt;&gt;"",'A-80 DirEntInv'!#REF!,IF(AK218=summaryref2!B23,summaryref2!K23,IF(Summary!AK218=summaryref2!B37,summaryref2!K37,IF(AK218=summaryref2!B51,summaryref2!K51,IF(AK218=summaryref2!B65,summaryref2!K65,IF(AK218=summaryref2!B79,summaryref2!K79,IF(AK218=summaryref2!B93,summaryref2!K93,IF(AK218=summaryref2!B107,summaryref2!K107,IF(AK218=summaryref2!B121,summaryref2!K121,IF(AK218=summaryref2!B135,summaryref2!K135,IF(AK218=summaryref2!B149,summaryref2!K149,"")))))))))))</f>
        <v>#REF!</v>
      </c>
      <c r="AV218" s="1110" t="e">
        <f>IF('A-80 DirEntInv'!#REF!&lt;&gt;"",'A-80 DirEntInv'!#REF!,IF(AK218=summaryref2!B23,summaryref2!L23,IF(Summary!AK218=summaryref2!B37,summaryref2!L37,IF(AK218=summaryref2!B51,summaryref2!L51,IF(AK218=summaryref2!B65,summaryref2!L65,IF(AK218=summaryref2!B79,summaryref2!L79,IF(AK218=summaryref2!B93,summaryref2!L93,IF(AK218=summaryref2!B107,summaryref2!L107,IF(AK218=summaryref2!B121,summaryref2!L121,IF(AK218=summaryref2!B135,summaryref2!L135,IF(AK218=summaryref2!B149,summaryref2!L149,"")))))))))))</f>
        <v>#REF!</v>
      </c>
      <c r="AW218" s="1110" t="e">
        <f>IF('A-80 DirEntInv'!#REF!&lt;&gt;"",'A-80 DirEntInv'!#REF!,IF(AK218=summaryref2!B23,summaryref2!M23,IF(Summary!AK218=summaryref2!B37,summaryref2!M37,IF(AK218=summaryref2!B51,summaryref2!M51,IF(AK218=summaryref2!B65,summaryref2!M65,IF(AK218=summaryref2!B79,summaryref2!M79,IF(AK218=summaryref2!B93,summaryref2!M93,IF(AK218=summaryref2!B107,summaryref2!M107,IF(AK218=summaryref2!B121,summaryref2!M121,IF(AK218=summaryref2!B135,summaryref2!M135,IF(AK218=summaryref2!B149,summaryref2!M149,"")))))))))))</f>
        <v>#REF!</v>
      </c>
      <c r="AX218" s="1110" t="e">
        <f>IF('A-80 DirEntInv'!#REF!&lt;&gt;"",'A-80 DirEntInv'!#REF!,IF(AK218=summaryref2!B23,summaryref2!N23,IF(Summary!AK218=summaryref2!B37,summaryref2!N37,IF(AK218=summaryref2!B51,summaryref2!N51,IF(AK218=summaryref2!B65,summaryref2!N65,IF(AK218=summaryref2!B79,summaryref2!N79,IF(AK218=summaryref2!B93,summaryref2!N93,IF(AK218=summaryref2!B107,summaryref2!N107,IF(AK218=summaryref2!B121,summaryref2!N121,IF(AK218=summaryref2!B135,summaryref2!N135,IF(AK218=summaryref2!B149,summaryref2!N149,"")))))))))))</f>
        <v>#REF!</v>
      </c>
      <c r="AY218" s="1110" t="e">
        <f>IF('A-80 DirEntInv'!#REF!&lt;&gt;"",'A-80 DirEntInv'!#REF!,IF(AK218=summaryref2!B23,summaryref2!O23,IF(Summary!AK218=summaryref2!B37,summaryref2!O37,IF(AK218=summaryref2!B51,summaryref2!O51,IF(AK218=summaryref2!B65,summaryref2!O65,IF(AK218=summaryref2!B79,summaryref2!O79,IF(AK218=summaryref2!B93,summaryref2!O93,IF(AK218=summaryref2!B107,summaryref2!O107,IF(AK218=summaryref2!B121,summaryref2!O121,IF(AK218=summaryref2!B135,summaryref2!O135,IF(AK218=summaryref2!B149,summaryref2!O149,"")))))))))))</f>
        <v>#REF!</v>
      </c>
      <c r="AZ218" s="1110" t="e">
        <f>IF('A-80 DirEntInv'!#REF!&lt;&gt;"",'A-80 DirEntInv'!#REF!,IF(AK218=summaryref2!B23,summaryref2!P23,IF(Summary!AK218=summaryref2!B37,summaryref2!P37,IF(AK218=summaryref2!B51,summaryref2!P51,IF(AK218=summaryref2!B65,summaryref2!P65,IF(AK218=summaryref2!B79,summaryref2!P79,IF(AK218=summaryref2!B93,summaryref2!P93,IF(AK218=summaryref2!B107,summaryref2!P107,IF(AK218=summaryref2!B121,summaryref2!P121,IF(AK218=summaryref2!B135,summaryref2!P135,IF(AK218=summaryref2!B149,summaryref2!P149,"")))))))))))</f>
        <v>#REF!</v>
      </c>
      <c r="BA218" s="1110" t="e">
        <f>IF('A-80 DirEntInv'!#REF!&lt;&gt;"",'A-80 DirEntInv'!#REF!,IF(AK218=summaryref2!B23,summaryref2!Q23,IF(Summary!AK218=summaryref2!B37,summaryref2!Q37,IF(AK218=summaryref2!B51,summaryref2!Q51,IF(AK218=summaryref2!B65,summaryref2!Q65,IF(AK218=summaryref2!B79,summaryref2!Q79,IF(AK218=summaryref2!B93,summaryref2!Q93,IF(AK218=summaryref2!B107,summaryref2!Q107,IF(AK218=summaryref2!B121,summaryref2!Q121,IF(AK218=summaryref2!B135,summaryref2!Q135,IF(AK218=summaryref2!B149,summaryref2!Q149,"")))))))))))</f>
        <v>#REF!</v>
      </c>
      <c r="BB218" s="1110" t="e">
        <f>IF('A-80 DirEntInv'!#REF!&lt;&gt;"",'A-80 DirEntInv'!#REF!,IF(AK218=summaryref2!B23,summaryref2!R23,IF(Summary!AK218=summaryref2!B37,summaryref2!R37,IF(AK218=summaryref2!B51,summaryref2!R51,IF(AK218=summaryref2!B65,summaryref2!R65,IF(AK218=summaryref2!B79,summaryref2!R79,IF(AK218=summaryref2!B93,summaryref2!R93,IF(AK218=summaryref2!B107,summaryref2!R107,IF(AK218=summaryref2!B121,summaryref2!R121,IF(AK218=summaryref2!B135,summaryref2!R135,IF(AK218=summaryref2!B149,summaryref2!R149,"")))))))))))</f>
        <v>#REF!</v>
      </c>
      <c r="BC218" s="1110" t="e">
        <f>IF('A-80 DirEntInv'!#REF!&lt;&gt;0,'A-80 DirEntInv'!#REF!,IF(AK218=summaryref2!B23,summaryref2!S23,IF(Summary!AK218=summaryref2!B37,summaryref2!S37,IF(AK218=summaryref2!B51,summaryref2!S51,IF(AK218=summaryref2!B65,summaryref2!S65,IF(AK218=summaryref2!B79,summaryref2!S79,IF(AK218=summaryref2!B93,summaryref2!S93,IF(AK218=summaryref2!B107,summaryref2!S107,IF(AK218=summaryref2!B121,summaryref2!S121,IF(AK218=summaryref2!B135,summaryref2!S135,IF(AK218=summaryref2!B149,summaryref2!S149,"")))))))))))</f>
        <v>#REF!</v>
      </c>
      <c r="BD218" s="1111" t="e">
        <f>IF('A-80 DirEntInv'!#REF!&lt;&gt;"",'A-80 DirEntInv'!#REF!,IF(AK218=summaryref2!B23,summaryref2!T23,IF(Summary!AK218=summaryref2!B37,summaryref2!T37,IF(AK218=summaryref2!B51,summaryref2!T51,IF(AK218=summaryref2!B65,summaryref2!T65,IF(AK218=summaryref2!B79,summaryref2!T79,IF(AK218=summaryref2!B93,summaryref2!T93,IF(AK218=summaryref2!B107,summaryref2!T107,IF(AK218=summaryref2!B121,summaryref2!T121,IF(AK218=summaryref2!B135,summaryref2!T135,IF(AK218=summaryref2!B149,summaryref2!T149,"")))))))))))</f>
        <v>#REF!</v>
      </c>
      <c r="BE218" s="1184" t="e">
        <f>IF('A-80 DirEntInv'!#REF!&lt;&gt;"",'A-80 DirEntInv'!#REF!,IF(AK218=summaryref2!B23,summaryref2!U23,IF(Summary!AK218=summaryref2!B37,summaryref2!U37,IF(AK218=summaryref2!B51,summaryref2!U51,IF(AK218=summaryref2!B65,summaryref2!U65,IF(AK218=summaryref2!B79,summaryref2!U79,IF(AK218=summaryref2!B93,summaryref2!U93,IF(AK218=summaryref2!B107,summaryref2!U107,IF(AK218=summaryref2!B121,summaryref2!U121,IF(AK218=summaryref2!B135,summaryref2!U135,IF(AK218=summaryref2!B149,summaryref2!U149,"")))))))))))</f>
        <v>#REF!</v>
      </c>
      <c r="BF218" s="1432"/>
      <c r="BG218" s="1432"/>
      <c r="BU218" s="962"/>
      <c r="CD218" s="589"/>
      <c r="CE218" s="590"/>
      <c r="CF218" s="590"/>
      <c r="CG218" s="590"/>
      <c r="CH218" s="590"/>
      <c r="CI218" s="590"/>
      <c r="CJ218" s="589"/>
      <c r="CK218" s="589"/>
      <c r="CL218" s="589"/>
      <c r="CM218" s="587"/>
      <c r="CN218" s="587"/>
      <c r="CO218" s="589"/>
      <c r="CP218" s="587"/>
      <c r="CQ218" s="592"/>
      <c r="CR218" s="589"/>
      <c r="CS218" s="592"/>
      <c r="CT218" s="589"/>
      <c r="CU218" s="589"/>
      <c r="CV218" s="589"/>
      <c r="CW218" s="587"/>
      <c r="CX218" s="590"/>
      <c r="CY218" s="590"/>
      <c r="CZ218" s="590"/>
      <c r="DA218" s="1054"/>
      <c r="DB218" s="1054"/>
      <c r="DC218" s="587"/>
      <c r="DD218" s="587"/>
    </row>
    <row r="219" spans="1:108" s="588" customFormat="1" x14ac:dyDescent="0.2">
      <c r="A219" s="589">
        <f t="shared" si="3"/>
        <v>209</v>
      </c>
      <c r="B219" s="587"/>
      <c r="C219" s="587"/>
      <c r="D219" s="587"/>
      <c r="J219" s="589"/>
      <c r="K219" s="590"/>
      <c r="L219" s="591"/>
      <c r="M219" s="592"/>
      <c r="N219" s="589"/>
      <c r="O219" s="587"/>
      <c r="R219" s="1052"/>
      <c r="S219" s="1052"/>
      <c r="T219" s="1052"/>
      <c r="U219" s="1052"/>
      <c r="V219" s="1052"/>
      <c r="W219" s="1053"/>
      <c r="X219" s="1053"/>
      <c r="Y219" s="1053"/>
      <c r="Z219" s="1052"/>
      <c r="AA219" s="1052"/>
      <c r="AB219" s="962"/>
      <c r="AC219" s="590"/>
      <c r="AD219" s="590"/>
      <c r="AE219" s="591"/>
      <c r="AF219" s="592"/>
      <c r="AG219" s="1053"/>
      <c r="AH219" s="587"/>
      <c r="AK219" s="1041" t="str">
        <f>Codes!$C$170</f>
        <v>SR - Streetcar Rail (PT)</v>
      </c>
      <c r="AL219" s="1042" t="str">
        <f>Valid!$B$90</f>
        <v>Overhead Contact System/Power Distribution</v>
      </c>
      <c r="AM219" s="1108"/>
      <c r="AN219" s="1042"/>
      <c r="AO219" s="1108"/>
      <c r="AP219" s="1042"/>
      <c r="AQ219" s="1147" t="e">
        <f>IF('A-80 DirEntInv'!#REF!&lt;&gt;"",'A-80 DirEntInv'!#REF!,IF(AK219=summaryref2!B24,summaryref2!G24,IF(Summary!AK219=summaryref2!B38,summaryref2!G38,IF(AK219=summaryref2!B52,summaryref2!G52,IF(AK219=summaryref2!B66,summaryref2!G66,IF(AK219=summaryref2!B80,summaryref2!G80,IF(AK219=summaryref2!B94,summaryref2!G94,IF(AK219=summaryref2!B108,summaryref2!G108,IF(AK219=summaryref2!B122,summaryref2!G122,IF(AK219=summaryref2!B136,summaryref2!G136,IF(AK219=summaryref2!B150,summaryref2!G150,"")))))))))))</f>
        <v>#REF!</v>
      </c>
      <c r="AR219" s="1147" t="e">
        <f>IF('A-80 DirEntInv'!#REF!&lt;&gt;"",'A-80 DirEntInv'!#REF!,IF(AK219=summaryref2!B24,summaryref2!H24,IF(Summary!AK219=summaryref2!B38,summaryref2!H38,IF(AK219=summaryref2!B52,summaryref2!H52,IF(AK219=summaryref2!B66,summaryref2!H66,IF(AK219=summaryref2!B80,summaryref2!H80,IF(AK219=summaryref2!B94,summaryref2!H94,IF(AK219=summaryref2!B108,summaryref2!H108,IF(AK219=summaryref2!B122,summaryref2!H122,IF(AK219=summaryref2!B136,summaryref2!H136,IF(AK219=summaryref2!B150,summaryref2!H150,"")))))))))))</f>
        <v>#REF!</v>
      </c>
      <c r="AS219" s="1110" t="e">
        <f>IF('A-80 DirEntInv'!#REF!&lt;&gt;"",'A-80 DirEntInv'!#REF!,IF(AK219=summaryref2!B24,summaryref2!I24,IF(Summary!AK219=summaryref2!B38,summaryref2!I38,IF(AK219=summaryref2!B52,summaryref2!I52,IF(AK219=summaryref2!B66,summaryref2!I66,IF(AK219=summaryref2!B80,summaryref2!I80,IF(AK219=summaryref2!B94,summaryref2!I94,IF(AK219=summaryref2!B108,summaryref2!I108,IF(AK219=summaryref2!B122,summaryref2!I122,IF(AK219=summaryref2!B136,summaryref2!I136,IF(AK219=summaryref2!B150,summaryref2!I150,"")))))))))))</f>
        <v>#REF!</v>
      </c>
      <c r="AT219" s="1110" t="e">
        <f>IF('A-80 DirEntInv'!#REF!&lt;&gt;"",'A-80 DirEntInv'!#REF!,IF(AK219=summaryref2!B24,summaryref2!J24,IF(Summary!AK219=summaryref2!B38,summaryref2!J38,IF(AK219=summaryref2!B52,summaryref2!J52,IF(AK219=summaryref2!B66,summaryref2!J66,IF(AK219=summaryref2!B80,summaryref2!J80,IF(AK219=summaryref2!B94,summaryref2!J94,IF(AK219=summaryref2!B108,summaryref2!J108,IF(AK219=summaryref2!B122,summaryref2!J122,IF(AK219=summaryref2!B136,summaryref2!J136,IF(AK219=summaryref2!B150,summaryref2!J150,"")))))))))))</f>
        <v>#REF!</v>
      </c>
      <c r="AU219" s="1110" t="e">
        <f>IF('A-80 DirEntInv'!#REF!&lt;&gt;"",'A-80 DirEntInv'!#REF!,IF(AK219=summaryref2!B24,summaryref2!K24,IF(Summary!AK219=summaryref2!B38,summaryref2!K38,IF(AK219=summaryref2!B52,summaryref2!K52,IF(AK219=summaryref2!B66,summaryref2!K66,IF(AK219=summaryref2!B80,summaryref2!K80,IF(AK219=summaryref2!B94,summaryref2!K94,IF(AK219=summaryref2!B108,summaryref2!K108,IF(AK219=summaryref2!B122,summaryref2!K122,IF(AK219=summaryref2!B136,summaryref2!K136,IF(AK219=summaryref2!B150,summaryref2!K150,"")))))))))))</f>
        <v>#REF!</v>
      </c>
      <c r="AV219" s="1110" t="e">
        <f>IF('A-80 DirEntInv'!#REF!&lt;&gt;"",'A-80 DirEntInv'!#REF!,IF(AK219=summaryref2!B24,summaryref2!L24,IF(Summary!AK219=summaryref2!B38,summaryref2!L38,IF(AK219=summaryref2!B52,summaryref2!L52,IF(AK219=summaryref2!B66,summaryref2!L66,IF(AK219=summaryref2!B80,summaryref2!L80,IF(AK219=summaryref2!B94,summaryref2!L94,IF(AK219=summaryref2!B108,summaryref2!L108,IF(AK219=summaryref2!B122,summaryref2!L122,IF(AK219=summaryref2!B136,summaryref2!L136,IF(AK219=summaryref2!B150,summaryref2!L150,"")))))))))))</f>
        <v>#REF!</v>
      </c>
      <c r="AW219" s="1110" t="e">
        <f>IF('A-80 DirEntInv'!#REF!&lt;&gt;"",'A-80 DirEntInv'!#REF!,IF(AK219=summaryref2!B24,summaryref2!M24,IF(Summary!AK219=summaryref2!B38,summaryref2!M38,IF(AK219=summaryref2!B52,summaryref2!M52,IF(AK219=summaryref2!B66,summaryref2!M66,IF(AK219=summaryref2!B80,summaryref2!M80,IF(AK219=summaryref2!B94,summaryref2!M94,IF(AK219=summaryref2!B108,summaryref2!M108,IF(AK219=summaryref2!B122,summaryref2!M122,IF(AK219=summaryref2!B136,summaryref2!M136,IF(AK219=summaryref2!B150,summaryref2!M150,"")))))))))))</f>
        <v>#REF!</v>
      </c>
      <c r="AX219" s="1110" t="e">
        <f>IF('A-80 DirEntInv'!#REF!&lt;&gt;"",'A-80 DirEntInv'!#REF!,IF(AK219=summaryref2!B24,summaryref2!N24,IF(Summary!AK219=summaryref2!B38,summaryref2!N38,IF(AK219=summaryref2!B52,summaryref2!N52,IF(AK219=summaryref2!B66,summaryref2!N66,IF(AK219=summaryref2!B80,summaryref2!N80,IF(AK219=summaryref2!B94,summaryref2!N94,IF(AK219=summaryref2!B108,summaryref2!N108,IF(AK219=summaryref2!B122,summaryref2!N122,IF(AK219=summaryref2!B136,summaryref2!N136,IF(AK219=summaryref2!B150,summaryref2!N150,"")))))))))))</f>
        <v>#REF!</v>
      </c>
      <c r="AY219" s="1110" t="e">
        <f>IF('A-80 DirEntInv'!#REF!&lt;&gt;"",'A-80 DirEntInv'!#REF!,IF(AK219=summaryref2!B24,summaryref2!O24,IF(Summary!AK219=summaryref2!B38,summaryref2!O38,IF(AK219=summaryref2!B52,summaryref2!O52,IF(AK219=summaryref2!B66,summaryref2!O66,IF(AK219=summaryref2!B80,summaryref2!O80,IF(AK219=summaryref2!B94,summaryref2!O94,IF(AK219=summaryref2!B108,summaryref2!O108,IF(AK219=summaryref2!B122,summaryref2!O122,IF(AK219=summaryref2!B136,summaryref2!O136,IF(AK219=summaryref2!B150,summaryref2!O150,"")))))))))))</f>
        <v>#REF!</v>
      </c>
      <c r="AZ219" s="1110" t="e">
        <f>IF('A-80 DirEntInv'!#REF!&lt;&gt;"",'A-80 DirEntInv'!#REF!,IF(AK219=summaryref2!B24,summaryref2!P24,IF(Summary!AK219=summaryref2!B38,summaryref2!P38,IF(AK219=summaryref2!B52,summaryref2!P52,IF(AK219=summaryref2!B66,summaryref2!P66,IF(AK219=summaryref2!B80,summaryref2!P80,IF(AK219=summaryref2!B94,summaryref2!P94,IF(AK219=summaryref2!B108,summaryref2!P108,IF(AK219=summaryref2!B122,summaryref2!P122,IF(AK219=summaryref2!B136,summaryref2!P136,IF(AK219=summaryref2!B150,summaryref2!P150,"")))))))))))</f>
        <v>#REF!</v>
      </c>
      <c r="BA219" s="1110" t="e">
        <f>IF('A-80 DirEntInv'!#REF!&lt;&gt;"",'A-80 DirEntInv'!#REF!,IF(AK219=summaryref2!B24,summaryref2!Q24,IF(Summary!AK219=summaryref2!B38,summaryref2!Q38,IF(AK219=summaryref2!B52,summaryref2!Q52,IF(AK219=summaryref2!B66,summaryref2!Q66,IF(AK219=summaryref2!B80,summaryref2!Q80,IF(AK219=summaryref2!B94,summaryref2!Q94,IF(AK219=summaryref2!B108,summaryref2!Q108,IF(AK219=summaryref2!B122,summaryref2!Q122,IF(AK219=summaryref2!B136,summaryref2!Q136,IF(AK219=summaryref2!B150,summaryref2!Q150,"")))))))))))</f>
        <v>#REF!</v>
      </c>
      <c r="BB219" s="1110" t="e">
        <f>IF('A-80 DirEntInv'!#REF!&lt;&gt;"",'A-80 DirEntInv'!#REF!,IF(AK219=summaryref2!B24,summaryref2!R24,IF(Summary!AK219=summaryref2!B38,summaryref2!R38,IF(AK219=summaryref2!B52,summaryref2!R52,IF(AK219=summaryref2!B66,summaryref2!R66,IF(AK219=summaryref2!B80,summaryref2!R80,IF(AK219=summaryref2!B94,summaryref2!R94,IF(AK219=summaryref2!B108,summaryref2!R108,IF(AK219=summaryref2!B122,summaryref2!R122,IF(AK219=summaryref2!B136,summaryref2!R136,IF(AK219=summaryref2!B150,summaryref2!R150,"")))))))))))</f>
        <v>#REF!</v>
      </c>
      <c r="BC219" s="1110" t="e">
        <f>IF('A-80 DirEntInv'!#REF!&lt;&gt;0,'A-80 DirEntInv'!#REF!,IF(AK219=summaryref2!B24,summaryref2!S24,IF(Summary!AK219=summaryref2!B38,summaryref2!S38,IF(AK219=summaryref2!B52,summaryref2!S52,IF(AK219=summaryref2!B66,summaryref2!S66,IF(AK219=summaryref2!B80,summaryref2!S80,IF(AK219=summaryref2!B94,summaryref2!S94,IF(AK219=summaryref2!B108,summaryref2!S108,IF(AK219=summaryref2!B122,summaryref2!S122,IF(AK219=summaryref2!B136,summaryref2!S136,IF(AK219=summaryref2!B150,summaryref2!S150,"")))))))))))</f>
        <v>#REF!</v>
      </c>
      <c r="BD219" s="1111" t="e">
        <f>IF('A-80 DirEntInv'!#REF!&lt;&gt;"",'A-80 DirEntInv'!#REF!,IF(AK219=summaryref2!B24,summaryref2!T24,IF(Summary!AK219=summaryref2!B38,summaryref2!T38,IF(AK219=summaryref2!B52,summaryref2!T52,IF(AK219=summaryref2!B66,summaryref2!T66,IF(AK219=summaryref2!B80,summaryref2!T80,IF(AK219=summaryref2!B94,summaryref2!T94,IF(AK219=summaryref2!B108,summaryref2!T108,IF(AK219=summaryref2!B122,summaryref2!T122,IF(AK219=summaryref2!B136,summaryref2!T136,IF(AK219=summaryref2!B150,summaryref2!T150,"")))))))))))</f>
        <v>#REF!</v>
      </c>
      <c r="BE219" s="1184" t="e">
        <f>IF('A-80 DirEntInv'!#REF!&lt;&gt;"",'A-80 DirEntInv'!#REF!,IF(AK219=summaryref2!B24,summaryref2!U24,IF(Summary!AK219=summaryref2!B38,summaryref2!U38,IF(AK219=summaryref2!B52,summaryref2!U52,IF(AK219=summaryref2!B66,summaryref2!U66,IF(AK219=summaryref2!B80,summaryref2!U80,IF(AK219=summaryref2!B94,summaryref2!U94,IF(AK219=summaryref2!B108,summaryref2!U108,IF(AK219=summaryref2!B122,summaryref2!U122,IF(AK219=summaryref2!B136,summaryref2!U136,IF(AK219=summaryref2!B150,summaryref2!U150,"")))))))))))</f>
        <v>#REF!</v>
      </c>
      <c r="BF219" s="1432"/>
      <c r="BG219" s="1432"/>
      <c r="BU219" s="962"/>
      <c r="CD219" s="589"/>
      <c r="CE219" s="590"/>
      <c r="CF219" s="590"/>
      <c r="CG219" s="590"/>
      <c r="CH219" s="590"/>
      <c r="CI219" s="590"/>
      <c r="CJ219" s="589"/>
      <c r="CK219" s="589"/>
      <c r="CL219" s="589"/>
      <c r="CM219" s="587"/>
      <c r="CN219" s="587"/>
      <c r="CO219" s="589"/>
      <c r="CP219" s="587"/>
      <c r="CQ219" s="592"/>
      <c r="CR219" s="589"/>
      <c r="CS219" s="592"/>
      <c r="CT219" s="589"/>
      <c r="CU219" s="589"/>
      <c r="CV219" s="589"/>
      <c r="CW219" s="587"/>
      <c r="CX219" s="590"/>
      <c r="CY219" s="590"/>
      <c r="CZ219" s="590"/>
      <c r="DA219" s="1054"/>
      <c r="DB219" s="1054"/>
      <c r="DC219" s="587"/>
      <c r="DD219" s="587"/>
    </row>
    <row r="220" spans="1:108" s="588" customFormat="1" ht="13.5" thickBot="1" x14ac:dyDescent="0.25">
      <c r="A220" s="589">
        <f t="shared" si="3"/>
        <v>210</v>
      </c>
      <c r="B220" s="587"/>
      <c r="C220" s="587"/>
      <c r="D220" s="587"/>
      <c r="J220" s="589"/>
      <c r="K220" s="590"/>
      <c r="L220" s="591"/>
      <c r="M220" s="592"/>
      <c r="N220" s="589"/>
      <c r="O220" s="587"/>
      <c r="R220" s="1052"/>
      <c r="S220" s="1052"/>
      <c r="T220" s="1052"/>
      <c r="U220" s="1052"/>
      <c r="V220" s="1052"/>
      <c r="W220" s="1053"/>
      <c r="X220" s="1053"/>
      <c r="Y220" s="1053"/>
      <c r="Z220" s="1052"/>
      <c r="AA220" s="1052"/>
      <c r="AB220" s="962"/>
      <c r="AC220" s="590"/>
      <c r="AD220" s="590"/>
      <c r="AE220" s="591"/>
      <c r="AF220" s="592"/>
      <c r="AG220" s="1053"/>
      <c r="AH220" s="587"/>
      <c r="AK220" s="1047" t="str">
        <f>Codes!$C$170</f>
        <v>SR - Streetcar Rail (PT)</v>
      </c>
      <c r="AL220" s="1050" t="str">
        <f>Valid!$B$91</f>
        <v>Train Control &amp; Signaling</v>
      </c>
      <c r="AM220" s="1185"/>
      <c r="AN220" s="1050"/>
      <c r="AO220" s="1185"/>
      <c r="AP220" s="1050"/>
      <c r="AQ220" s="1386" t="e">
        <f>IF('A-80 DirEntInv'!#REF!&lt;&gt;"",'A-80 DirEntInv'!#REF!,IF(AK220=summaryref2!B25,summaryref2!G25,IF(Summary!AK220=summaryref2!B39,summaryref2!G39,IF(AK220=summaryref2!B53,summaryref2!G53,IF(AK220=summaryref2!B67,summaryref2!G67,IF(AK220=summaryref2!B81,summaryref2!G81,IF(AK220=summaryref2!B95,summaryref2!G95,IF(AK220=summaryref2!B109,summaryref2!G109,IF(AK220=summaryref2!B123,summaryref2!G123,IF(AK220=summaryref2!B137,summaryref2!G137,IF(AK220=summaryref2!B151,summaryref2!G151,"")))))))))))</f>
        <v>#REF!</v>
      </c>
      <c r="AR220" s="1386" t="e">
        <f>IF('A-80 DirEntInv'!#REF!&lt;&gt;"",'A-80 DirEntInv'!#REF!,IF(AK220=summaryref2!B25,summaryref2!H25,IF(Summary!AK220=summaryref2!B39,summaryref2!H39,IF(AK220=summaryref2!B53,summaryref2!H53,IF(AK220=summaryref2!B67,summaryref2!H67,IF(AK220=summaryref2!B81,summaryref2!H81,IF(AK220=summaryref2!B95,summaryref2!H95,IF(AK220=summaryref2!B109,summaryref2!H109,IF(AK220=summaryref2!B123,summaryref2!H123,IF(AK220=summaryref2!B137,summaryref2!H137,IF(AK220=summaryref2!B151,summaryref2!H151,"")))))))))))</f>
        <v>#REF!</v>
      </c>
      <c r="AS220" s="1387" t="e">
        <f>IF('A-80 DirEntInv'!#REF!&lt;&gt;"",'A-80 DirEntInv'!#REF!,IF(AK220=summaryref2!B25,summaryref2!I25,IF(Summary!AK220=summaryref2!B39,summaryref2!I39,IF(AK220=summaryref2!B53,summaryref2!I53,IF(AK220=summaryref2!B67,summaryref2!I67,IF(AK220=summaryref2!B81,summaryref2!I81,IF(AK220=summaryref2!B95,summaryref2!I95,IF(AK220=summaryref2!B109,summaryref2!I109,IF(AK220=summaryref2!B123,summaryref2!I123,IF(AK220=summaryref2!B137,summaryref2!I137,IF(AK220=summaryref2!B151,summaryref2!I151,"")))))))))))</f>
        <v>#REF!</v>
      </c>
      <c r="AT220" s="1387" t="e">
        <f>IF('A-80 DirEntInv'!#REF!&lt;&gt;"",'A-80 DirEntInv'!#REF!,IF(AK220=summaryref2!B25,summaryref2!J25,IF(Summary!AK220=summaryref2!B39,summaryref2!J39,IF(AK220=summaryref2!B53,summaryref2!J53,IF(AK220=summaryref2!B67,summaryref2!J67,IF(AK220=summaryref2!B81,summaryref2!J81,IF(AK220=summaryref2!B95,summaryref2!J95,IF(AK220=summaryref2!B109,summaryref2!J109,IF(AK220=summaryref2!B123,summaryref2!J123,IF(AK220=summaryref2!B137,summaryref2!J137,IF(AK220=summaryref2!B151,summaryref2!J151,"")))))))))))</f>
        <v>#REF!</v>
      </c>
      <c r="AU220" s="1387" t="e">
        <f>IF('A-80 DirEntInv'!#REF!&lt;&gt;"",'A-80 DirEntInv'!#REF!,IF(AK220=summaryref2!B25,summaryref2!K25,IF(Summary!AK220=summaryref2!B39,summaryref2!K39,IF(AK220=summaryref2!B53,summaryref2!K53,IF(AK220=summaryref2!B67,summaryref2!K67,IF(AK220=summaryref2!B81,summaryref2!K81,IF(AK220=summaryref2!B95,summaryref2!K95,IF(AK220=summaryref2!B109,summaryref2!K109,IF(AK220=summaryref2!B123,summaryref2!K123,IF(AK220=summaryref2!B137,summaryref2!K137,IF(AK220=summaryref2!B151,summaryref2!K151,"")))))))))))</f>
        <v>#REF!</v>
      </c>
      <c r="AV220" s="1387" t="e">
        <f>IF('A-80 DirEntInv'!#REF!&lt;&gt;"",'A-80 DirEntInv'!#REF!,IF(AK220=summaryref2!B25,summaryref2!L25,IF(Summary!AK220=summaryref2!B39,summaryref2!L39,IF(AK220=summaryref2!B53,summaryref2!L53,IF(AK220=summaryref2!B67,summaryref2!L67,IF(AK220=summaryref2!B81,summaryref2!L81,IF(AK220=summaryref2!B95,summaryref2!L95,IF(AK220=summaryref2!B109,summaryref2!L109,IF(AK220=summaryref2!B123,summaryref2!L123,IF(AK220=summaryref2!B137,summaryref2!L137,IF(AK220=summaryref2!B151,summaryref2!L151,"")))))))))))</f>
        <v>#REF!</v>
      </c>
      <c r="AW220" s="1387" t="e">
        <f>IF('A-80 DirEntInv'!#REF!&lt;&gt;"",'A-80 DirEntInv'!#REF!,IF(AK220=summaryref2!B25,summaryref2!M25,IF(Summary!AK220=summaryref2!B39,summaryref2!M39,IF(AK220=summaryref2!B53,summaryref2!M53,IF(AK220=summaryref2!B67,summaryref2!M67,IF(AK220=summaryref2!B81,summaryref2!M81,IF(AK220=summaryref2!B95,summaryref2!M95,IF(AK220=summaryref2!B109,summaryref2!M109,IF(AK220=summaryref2!B123,summaryref2!M123,IF(AK220=summaryref2!B137,summaryref2!M137,IF(AK220=summaryref2!B151,summaryref2!M151,"")))))))))))</f>
        <v>#REF!</v>
      </c>
      <c r="AX220" s="1387" t="e">
        <f>IF('A-80 DirEntInv'!#REF!&lt;&gt;"",'A-80 DirEntInv'!#REF!,IF(AK220=summaryref2!B25,summaryref2!N25,IF(Summary!AK220=summaryref2!B39,summaryref2!N39,IF(AK220=summaryref2!B53,summaryref2!N53,IF(AK220=summaryref2!B67,summaryref2!N67,IF(AK220=summaryref2!B81,summaryref2!N81,IF(AK220=summaryref2!B95,summaryref2!N95,IF(AK220=summaryref2!B109,summaryref2!N109,IF(AK220=summaryref2!B123,summaryref2!N123,IF(AK220=summaryref2!B137,summaryref2!N137,IF(AK220=summaryref2!B151,summaryref2!N151,"")))))))))))</f>
        <v>#REF!</v>
      </c>
      <c r="AY220" s="1387" t="e">
        <f>IF('A-80 DirEntInv'!#REF!&lt;&gt;"",'A-80 DirEntInv'!#REF!,IF(AK220=summaryref2!B25,summaryref2!O25,IF(Summary!AK220=summaryref2!B39,summaryref2!O39,IF(AK220=summaryref2!B53,summaryref2!O53,IF(AK220=summaryref2!B67,summaryref2!O67,IF(AK220=summaryref2!B81,summaryref2!O81,IF(AK220=summaryref2!B95,summaryref2!O95,IF(AK220=summaryref2!B109,summaryref2!O109,IF(AK220=summaryref2!B123,summaryref2!O123,IF(AK220=summaryref2!B137,summaryref2!O137,IF(AK220=summaryref2!B151,summaryref2!O151,"")))))))))))</f>
        <v>#REF!</v>
      </c>
      <c r="AZ220" s="1387" t="e">
        <f>IF('A-80 DirEntInv'!#REF!&lt;&gt;"",'A-80 DirEntInv'!#REF!,IF(AK220=summaryref2!B25,summaryref2!P25,IF(Summary!AK220=summaryref2!B39,summaryref2!P39,IF(AK220=summaryref2!B53,summaryref2!P53,IF(AK220=summaryref2!B67,summaryref2!P67,IF(AK220=summaryref2!B81,summaryref2!P81,IF(AK220=summaryref2!B95,summaryref2!P95,IF(AK220=summaryref2!B109,summaryref2!P109,IF(AK220=summaryref2!B123,summaryref2!P123,IF(AK220=summaryref2!B137,summaryref2!P137,IF(AK220=summaryref2!B151,summaryref2!P151,"")))))))))))</f>
        <v>#REF!</v>
      </c>
      <c r="BA220" s="1387" t="e">
        <f>IF('A-80 DirEntInv'!#REF!&lt;&gt;"",'A-80 DirEntInv'!#REF!,IF(AK220=summaryref2!B25,summaryref2!Q25,IF(Summary!AK220=summaryref2!B39,summaryref2!Q39,IF(AK220=summaryref2!B53,summaryref2!Q53,IF(AK220=summaryref2!B67,summaryref2!Q67,IF(AK220=summaryref2!B81,summaryref2!Q81,IF(AK220=summaryref2!B95,summaryref2!Q95,IF(AK220=summaryref2!B109,summaryref2!Q109,IF(AK220=summaryref2!B123,summaryref2!Q123,IF(AK220=summaryref2!B137,summaryref2!Q137,IF(AK220=summaryref2!B151,summaryref2!Q151,"")))))))))))</f>
        <v>#REF!</v>
      </c>
      <c r="BB220" s="1387" t="e">
        <f>IF('A-80 DirEntInv'!#REF!&lt;&gt;"",'A-80 DirEntInv'!#REF!,IF(AK220=summaryref2!B25,summaryref2!R25,IF(Summary!AK220=summaryref2!B39,summaryref2!R39,IF(AK220=summaryref2!B53,summaryref2!R53,IF(AK220=summaryref2!B67,summaryref2!R67,IF(AK220=summaryref2!B81,summaryref2!R81,IF(AK220=summaryref2!B95,summaryref2!R95,IF(AK220=summaryref2!B109,summaryref2!R109,IF(AK220=summaryref2!B123,summaryref2!R123,IF(AK220=summaryref2!B137,summaryref2!R137,IF(AK220=summaryref2!B151,summaryref2!R151,"")))))))))))</f>
        <v>#REF!</v>
      </c>
      <c r="BC220" s="1387" t="e">
        <f>IF('A-80 DirEntInv'!#REF!&lt;&gt;0,'A-80 DirEntInv'!#REF!,IF(AK220=summaryref2!B25,summaryref2!S25,IF(Summary!AK220=summaryref2!B39,summaryref2!S39,IF(AK220=summaryref2!B53,summaryref2!S53,IF(AK220=summaryref2!B67,summaryref2!S67,IF(AK220=summaryref2!B81,summaryref2!S81,IF(AK220=summaryref2!B95,summaryref2!S95,IF(AK220=summaryref2!B109,summaryref2!S109,IF(AK220=summaryref2!B123,summaryref2!S123,IF(AK220=summaryref2!B137,summaryref2!S137,IF(AK220=summaryref2!B151,summaryref2!S151,"")))))))))))</f>
        <v>#REF!</v>
      </c>
      <c r="BD220" s="1118" t="e">
        <f>IF('A-80 DirEntInv'!#REF!&lt;&gt;"",'A-80 DirEntInv'!#REF!,IF(AK220=summaryref2!B25,summaryref2!T25,IF(Summary!AK220=summaryref2!B39,summaryref2!T39,IF(AK220=summaryref2!B53,summaryref2!T53,IF(AK220=summaryref2!B67,summaryref2!T67,IF(AK220=summaryref2!B81,summaryref2!T81,IF(AK220=summaryref2!B95,summaryref2!T95,IF(AK220=summaryref2!B109,summaryref2!T109,IF(AK220=summaryref2!B123,summaryref2!T123,IF(AK220=summaryref2!B137,summaryref2!T137,IF(AK220=summaryref2!B151,summaryref2!T151,"")))))))))))</f>
        <v>#REF!</v>
      </c>
      <c r="BE220" s="1186" t="e">
        <f>IF('A-80 DirEntInv'!#REF!&lt;&gt;"",'A-80 DirEntInv'!#REF!,IF(AK220=summaryref2!B25,summaryref2!U25,IF(Summary!AK220=summaryref2!B39,summaryref2!U39,IF(AK220=summaryref2!B53,summaryref2!U53,IF(AK220=summaryref2!B67,summaryref2!U67,IF(AK220=summaryref2!B81,summaryref2!U81,IF(AK220=summaryref2!B95,summaryref2!U95,IF(AK220=summaryref2!B109,summaryref2!U109,IF(AK220=summaryref2!B123,summaryref2!U123,IF(AK220=summaryref2!B137,summaryref2!U137,IF(AK220=summaryref2!B151,summaryref2!U151,"")))))))))))</f>
        <v>#REF!</v>
      </c>
      <c r="BF220" s="1432"/>
      <c r="BG220" s="1432"/>
      <c r="BU220" s="962"/>
      <c r="CD220" s="589"/>
      <c r="CE220" s="590"/>
      <c r="CF220" s="590"/>
      <c r="CG220" s="590"/>
      <c r="CH220" s="590"/>
      <c r="CI220" s="590"/>
      <c r="CJ220" s="589"/>
      <c r="CK220" s="589"/>
      <c r="CL220" s="589"/>
      <c r="CM220" s="587"/>
      <c r="CN220" s="587"/>
      <c r="CO220" s="589"/>
      <c r="CP220" s="587"/>
      <c r="CQ220" s="592"/>
      <c r="CR220" s="589"/>
      <c r="CS220" s="592"/>
      <c r="CT220" s="589"/>
      <c r="CU220" s="589"/>
      <c r="CV220" s="589"/>
      <c r="CW220" s="587"/>
      <c r="CX220" s="590"/>
      <c r="CY220" s="590"/>
      <c r="CZ220" s="590"/>
      <c r="DA220" s="1054"/>
      <c r="DB220" s="1054"/>
      <c r="DC220" s="587"/>
      <c r="DD220" s="587"/>
    </row>
    <row r="221" spans="1:108" s="588" customFormat="1" x14ac:dyDescent="0.2">
      <c r="A221" s="589">
        <f t="shared" si="3"/>
        <v>211</v>
      </c>
      <c r="B221" s="587"/>
      <c r="C221" s="587"/>
      <c r="D221" s="587"/>
      <c r="J221" s="589"/>
      <c r="K221" s="590"/>
      <c r="L221" s="591"/>
      <c r="M221" s="592"/>
      <c r="N221" s="589"/>
      <c r="O221" s="587"/>
      <c r="R221" s="1052"/>
      <c r="S221" s="1052"/>
      <c r="T221" s="1052"/>
      <c r="U221" s="1052"/>
      <c r="V221" s="1052"/>
      <c r="W221" s="1053"/>
      <c r="X221" s="1053"/>
      <c r="Y221" s="1053"/>
      <c r="Z221" s="1052"/>
      <c r="AA221" s="1052"/>
      <c r="AB221" s="962"/>
      <c r="AC221" s="590"/>
      <c r="AD221" s="590"/>
      <c r="AE221" s="591"/>
      <c r="AF221" s="592"/>
      <c r="AG221" s="1053"/>
      <c r="AH221" s="587"/>
      <c r="AJ221" s="589"/>
      <c r="AK221" s="1043" t="str">
        <f>Codes!$C$171</f>
        <v>TR - Aerial Tramway (DO)</v>
      </c>
      <c r="AL221" s="1303" t="str">
        <f>Valid!$B$71</f>
        <v>At-Grade/Ballast (including expressway)</v>
      </c>
      <c r="AM221" s="1092" t="e">
        <f>IF('A-80 DirEntInv'!#REF!&lt;&gt;"",'A-80 DirEntInv'!#REF!,IF(AK221=summaryref2!B12,summaryref2!D12,IF(Summary!AK221=summaryref2!B26,summaryref2!D26,IF(AK221=summaryref2!B40,summaryref2!D40,IF(AK221=summaryref2!B54,summaryref2!D54,IF(AK221=summaryref2!B68,summaryref2!D68,IF(AK221=summaryref2!B82,summaryref2!D82,IF(AK221=summaryref2!B96,summaryref2!D96,IF(AK221=summaryref2!B110,summaryref2!D110,IF(AK221=summaryref2!B124,summaryref2!D124,IF(AK221=summaryref2!B138,summaryref2!D138,"")))))))))))</f>
        <v>#REF!</v>
      </c>
      <c r="AN221" s="1127" t="e">
        <f ca="1">IF('A-80 DirEntInv'!#REF!&lt;&gt;"",'A-80 DirEntInv'!#REF!,IF(INDIRECT(ADDRESS(SumRef!CG207,SumRef!CG$16,,,SumRef!$C$7))="","",INDIRECT(ADDRESS(SumRef!CG207,SumRef!CG$16,,,SumRef!$C$7))))</f>
        <v>#REF!</v>
      </c>
      <c r="AO221" s="1092" t="e">
        <f>IF('A-80 DirEntInv'!#REF!&lt;&gt;"",'A-80 DirEntInv'!#REF!,IF(AK221=summaryref2!B12,summaryref2!F12,IF(Summary!AK221=summaryref2!B26,summaryref2!F26,IF(AK221=summaryref2!B40,summaryref2!F40,IF(AK221=summaryref2!B54,summaryref2!F54,IF(AK221=summaryref2!B68,summaryref2!F68,IF(AK221=summaryref2!B82,summaryref2!F82,IF(AK221=summaryref2!B96,summaryref2!F96,IF(AK221=summaryref2!B110,summaryref2!F110,IF(AK221=summaryref2!B124,summaryref2!F124,IF(AK221=summaryref2!B138,summaryref2!F138,"")))))))))))</f>
        <v>#REF!</v>
      </c>
      <c r="AP221" s="1127" t="e">
        <f ca="1">IF('A-80 DirEntInv'!#REF!&lt;&gt;"",'A-80 DirEntInv'!#REF!,IF(INDIRECT(ADDRESS(SumRef!#REF!,SumRef!#REF!,,,SumRef!$C$7))="","",INDIRECT(ADDRESS(SumRef!#REF!,SumRef!#REF!,,,SumRef!$C$7))))</f>
        <v>#REF!</v>
      </c>
      <c r="AQ221" s="1146" t="e">
        <f>IF('A-80 DirEntInv'!#REF!&lt;&gt;"",'A-80 DirEntInv'!#REF!,IF(AK221=summaryref2!B12,summaryref2!G12,IF(Summary!AK221=summaryref2!B26,summaryref2!G26,IF(AK221=summaryref2!B40,summaryref2!G40,IF(AK221=summaryref2!B54,summaryref2!G54,IF(AK221=summaryref2!B68,summaryref2!G68,IF(AK221=summaryref2!B82,summaryref2!G82,IF(AK221=summaryref2!B96,summaryref2!G96,IF(AK221=summaryref2!B110,summaryref2!G110,IF(AK221=summaryref2!B124,summaryref2!G124,IF(AK221=summaryref2!B138,summaryref2!G138,"")))))))))))</f>
        <v>#REF!</v>
      </c>
      <c r="AR221" s="1146" t="e">
        <f>IF('A-80 DirEntInv'!#REF!&lt;&gt;"",'A-80 DirEntInv'!#REF!,IF(AK221=summaryref2!B12,summaryref2!H12,IF(Summary!AK221=summaryref2!B26,summaryref2!H26,IF(AK221=summaryref2!B40,summaryref2!H40,IF(AK221=summaryref2!B54,summaryref2!H54,IF(AK221=summaryref2!B68,summaryref2!H68,IF(AK221=summaryref2!B82,summaryref2!H82,IF(AK221=summaryref2!B96,summaryref2!H96,IF(AK221=summaryref2!B110,summaryref2!H110,IF(AK221=summaryref2!B124,summaryref2!H124,IF(AK221=summaryref2!B138,summaryref2!H138,"")))))))))))</f>
        <v>#REF!</v>
      </c>
      <c r="AS221" s="1092" t="e">
        <f>IF('A-80 DirEntInv'!#REF!&lt;&gt;"",'A-80 DirEntInv'!#REF!,IF(AK221=summaryref2!B12,summaryref2!I12,IF(Summary!AK221=summaryref2!B26,summaryref2!I26,IF(AK221=summaryref2!B40,summaryref2!I40,IF(AK221=summaryref2!B54,summaryref2!I54,IF(AK221=summaryref2!B68,summaryref2!I68,IF(AK221=summaryref2!B82,summaryref2!I82,IF(AK221=summaryref2!B96,summaryref2!I96,IF(AK221=summaryref2!B110,summaryref2!I110,IF(AK221=summaryref2!B124,summaryref2!I124,IF(AK221=summaryref2!B138,summaryref2!I138,"")))))))))))</f>
        <v>#REF!</v>
      </c>
      <c r="AT221" s="1092" t="e">
        <f>IF('A-80 DirEntInv'!#REF!&lt;&gt;"",'A-80 DirEntInv'!#REF!,IF(AK221=summaryref2!B12,summaryref2!J12,IF(Summary!AK221=summaryref2!B26,summaryref2!J26,IF(AK221=summaryref2!B40,summaryref2!J40,IF(AK221=summaryref2!B54,summaryref2!J54,IF(AK221=summaryref2!B68,summaryref2!J68,IF(AK221=summaryref2!B82,summaryref2!J82,IF(AK221=summaryref2!B96,summaryref2!J96,IF(AK221=summaryref2!B110,summaryref2!J110,IF(AK221=summaryref2!B124,summaryref2!J124,IF(AK221=summaryref2!B138,summaryref2!J138,"")))))))))))</f>
        <v>#REF!</v>
      </c>
      <c r="AU221" s="1092" t="e">
        <f>IF('A-80 DirEntInv'!#REF!&lt;&gt;"",'A-80 DirEntInv'!#REF!,IF(AK221=summaryref2!B12,summaryref2!K12,IF(Summary!AK221=summaryref2!B26,summaryref2!K26,IF(AK221=summaryref2!B40,summaryref2!K40,IF(AK221=summaryref2!B54,summaryref2!K54,IF(AK221=summaryref2!B68,summaryref2!K68,IF(AK221=summaryref2!B82,summaryref2!K82,IF(AK221=summaryref2!B96,summaryref2!K96,IF(AK221=summaryref2!B110,summaryref2!K110,IF(AK221=summaryref2!B124,summaryref2!K124,IF(AK221=summaryref2!B138,summaryref2!K138,"")))))))))))</f>
        <v>#REF!</v>
      </c>
      <c r="AV221" s="1092" t="e">
        <f>IF('A-80 DirEntInv'!#REF!&lt;&gt;"",'A-80 DirEntInv'!#REF!,IF(AK221=summaryref2!B12,summaryref2!L12,IF(Summary!AK221=summaryref2!B26,summaryref2!L26,IF(AK221=summaryref2!B40,summaryref2!L40,IF(AK221=summaryref2!B54,summaryref2!L54,IF(AK221=summaryref2!B68,summaryref2!L68,IF(AK221=summaryref2!B82,summaryref2!L82,IF(AK221=summaryref2!B96,summaryref2!L96,IF(AK221=summaryref2!B110,summaryref2!L110,IF(AK221=summaryref2!B124,summaryref2!L124,IF(AK221=summaryref2!B138,summaryref2!L138,"")))))))))))</f>
        <v>#REF!</v>
      </c>
      <c r="AW221" s="1092" t="e">
        <f>IF('A-80 DirEntInv'!#REF!&lt;&gt;"",'A-80 DirEntInv'!#REF!,IF($AK221=summaryref2!$B$12,summaryref2!M$12,IF(Summary!$AK221=summaryref2!$B$26,summaryref2!M$26,IF($AK221=summaryref2!$B$40,summaryref2!M$40,IF($AK221=summaryref2!$B$54,summaryref2!M$54,IF($AK221=summaryref2!$B$68,summaryref2!M$68,IF($AK221=summaryref2!$B$82,summaryref2!M$82,IF($AK221=summaryref2!$B$96,summaryref2!M$96,IF($AK221=summaryref2!$B$110,summaryref2!M$110,IF($AK221=summaryref2!$B$124,summaryref2!M$124,IF($AK221=summaryref2!$B$138,summaryref2!M$138,"")))))))))))</f>
        <v>#REF!</v>
      </c>
      <c r="AX221" s="1092" t="e">
        <f>IF('A-80 DirEntInv'!#REF!&lt;&gt;"",'A-80 DirEntInv'!#REF!,IF(AK221=summaryref2!B12,summaryref2!N12,IF(Summary!AK221=summaryref2!B26,summaryref2!N26,IF(AK221=summaryref2!B40,summaryref2!N40,IF(AK221=summaryref2!B54,summaryref2!N54,IF(AK221=summaryref2!B68,summaryref2!N68,IF(AK221=summaryref2!B82,summaryref2!N82,IF(AK221=summaryref2!B96,summaryref2!N96,IF(AK221=summaryref2!B110,summaryref2!N110,IF(AK221=summaryref2!B124,summaryref2!N124,IF(AK221=summaryref2!B138,summaryref2!N138,"")))))))))))</f>
        <v>#REF!</v>
      </c>
      <c r="AY221" s="1092" t="e">
        <f>IF('A-80 DirEntInv'!#REF!&lt;&gt;"",'A-80 DirEntInv'!#REF!,IF(AK221=summaryref2!B12,summaryref2!O12,IF(Summary!AK221=summaryref2!B26,summaryref2!O26,IF(AK221=summaryref2!B40,summaryref2!O40,IF(AK221=summaryref2!B54,summaryref2!O54,IF(AK221=summaryref2!B68,summaryref2!O68,IF(AK221=summaryref2!B82,summaryref2!O82,IF(AK221=summaryref2!B96,summaryref2!O96,IF(AK221=summaryref2!B110,summaryref2!O110,IF(AK221=summaryref2!B124,summaryref2!O124,IF(AK221=summaryref2!B138,summaryref2!O138,"")))))))))))</f>
        <v>#REF!</v>
      </c>
      <c r="AZ221" s="1092" t="e">
        <f>IF('A-80 DirEntInv'!#REF!&lt;&gt;"",'A-80 DirEntInv'!#REF!,IF(AK221=summaryref2!B12,summaryref2!P12,IF(Summary!AK221=summaryref2!B26,summaryref2!P26,IF(AK221=summaryref2!B40,summaryref2!P40,IF(AK221=summaryref2!B54,summaryref2!P54,IF(AK221=summaryref2!B68,summaryref2!P68,IF(AK221=summaryref2!B82,summaryref2!P82,IF(AK221=summaryref2!B96,summaryref2!P96,IF(AK221=summaryref2!B110,summaryref2!P110,IF(AK221=summaryref2!B124,summaryref2!P124,IF(AK221=summaryref2!B138,summaryref2!P138,"")))))))))))</f>
        <v>#REF!</v>
      </c>
      <c r="BA221" s="1092" t="e">
        <f>IF('A-80 DirEntInv'!#REF!&lt;&gt;"",'A-80 DirEntInv'!#REF!,IF(AK221=summaryref2!B12,summaryref2!Q12,IF(Summary!AK221=summaryref2!B26,summaryref2!Q26,IF(AK221=summaryref2!B40,summaryref2!Q40,IF(AK221=summaryref2!B54,summaryref2!Q54,IF(AK221=summaryref2!B68,summaryref2!Q68,IF(AK221=summaryref2!B82,summaryref2!Q82,IF(AK221=summaryref2!B96,summaryref2!Q96,IF(AK221=summaryref2!B110,summaryref2!Q110,IF(AK221=summaryref2!B124,summaryref2!Q124,IF(AK221=summaryref2!B138,summaryref2!Q138,"")))))))))))</f>
        <v>#REF!</v>
      </c>
      <c r="BB221" s="1092" t="e">
        <f>IF('A-80 DirEntInv'!#REF!&lt;&gt;"",'A-80 DirEntInv'!#REF!,IF(AK221=summaryref2!B12,summaryref2!R12,IF(Summary!AK221=summaryref2!B26,summaryref2!R26,IF(AK221=summaryref2!B40,summaryref2!R40,IF(AK221=summaryref2!B54,summaryref2!R54,IF(AK221=summaryref2!B68,summaryref2!R68,IF(AK221=summaryref2!B82,summaryref2!R82,IF(AK221=summaryref2!B96,summaryref2!R96,IF(AK221=summaryref2!B110,summaryref2!R110,IF(AK221=summaryref2!B124,summaryref2!R124,IF(AK221=summaryref2!B138,summaryref2!R138,"")))))))))))</f>
        <v>#REF!</v>
      </c>
      <c r="BC221" s="1092" t="e">
        <f>IF('A-80 DirEntInv'!#REF!&lt;&gt;0,'A-80 DirEntInv'!#REF!,IF(AK221=summaryref2!B12,summaryref2!S12,IF(Summary!AK221=summaryref2!B26,summaryref2!S26,IF(AK221=summaryref2!B40,summaryref2!S40,IF(AK221=summaryref2!B54,summaryref2!S54,IF(AK221=summaryref2!B68,summaryref2!S68,IF(AK221=summaryref2!B82,summaryref2!S82,IF(AK221=summaryref2!B96,summaryref2!S96,IF(AK221=summaryref2!B110,summaryref2!S110,IF(AK221=summaryref2!B124,summaryref2!S124,IF(AK221=summaryref2!B138,summaryref2!S138,"")))))))))))</f>
        <v>#REF!</v>
      </c>
      <c r="BD221" s="1093" t="e">
        <f>IF('A-80 DirEntInv'!#REF!&lt;&gt;"",'A-80 DirEntInv'!#REF!,IF(AK221=summaryref2!B12,summaryref2!T12,IF(Summary!AK221=summaryref2!B26,summaryref2!T26,IF(AK221=summaryref2!B40,summaryref2!T40,IF(AK221=summaryref2!B54,summaryref2!T54,IF(AK221=summaryref2!B68,summaryref2!T68,IF(AK221=summaryref2!B82,summaryref2!T82,IF(AK221=summaryref2!B96,summaryref2!T96,IF(AK221=summaryref2!B110,summaryref2!T110,IF(AK221=summaryref2!B124,summaryref2!T124,IF(AK221=summaryref2!B138,summaryref2!T138,"")))))))))))</f>
        <v>#REF!</v>
      </c>
      <c r="BE221" s="1189" t="e">
        <f>IF('A-80 DirEntInv'!#REF!&lt;&gt;"",'A-80 DirEntInv'!#REF!,IF(AK221=summaryref2!B12,summaryref2!U12,IF(Summary!AK221=summaryref2!B26,summaryref2!U26,IF(AK221=summaryref2!B40,summaryref2!U40,IF(AK221=summaryref2!B54,summaryref2!U54,IF(AK221=summaryref2!B68,summaryref2!U68,IF(AK221=summaryref2!B82,summaryref2!U82,IF(AK221=summaryref2!B96,summaryref2!U96,IF(AK221=summaryref2!B110,summaryref2!U110,IF(AK221=summaryref2!B124,summaryref2!U124,IF(AK221=summaryref2!B138,summaryref2!U138,"")))))))))))</f>
        <v>#REF!</v>
      </c>
      <c r="BF221" s="1431"/>
      <c r="BG221" s="1431"/>
      <c r="BU221" s="962"/>
      <c r="CD221" s="589"/>
      <c r="CE221" s="590"/>
      <c r="CF221" s="590"/>
      <c r="CG221" s="590"/>
      <c r="CH221" s="590"/>
      <c r="CI221" s="590"/>
      <c r="CJ221" s="589"/>
      <c r="CK221" s="589"/>
      <c r="CL221" s="589"/>
      <c r="CM221" s="587"/>
      <c r="CN221" s="587"/>
      <c r="CO221" s="589"/>
      <c r="CP221" s="587"/>
      <c r="CQ221" s="592"/>
      <c r="CR221" s="589"/>
      <c r="CS221" s="592"/>
      <c r="CT221" s="589"/>
      <c r="CU221" s="589"/>
      <c r="CV221" s="589"/>
      <c r="CW221" s="587"/>
      <c r="CX221" s="590"/>
      <c r="CY221" s="590"/>
      <c r="CZ221" s="590"/>
      <c r="DA221" s="1054"/>
      <c r="DB221" s="1054"/>
      <c r="DC221" s="587"/>
      <c r="DD221" s="587"/>
    </row>
    <row r="222" spans="1:108" s="588" customFormat="1" x14ac:dyDescent="0.2">
      <c r="A222" s="589">
        <f t="shared" si="3"/>
        <v>212</v>
      </c>
      <c r="B222" s="587"/>
      <c r="C222" s="587"/>
      <c r="D222" s="587"/>
      <c r="J222" s="589"/>
      <c r="K222" s="590"/>
      <c r="L222" s="591"/>
      <c r="M222" s="592"/>
      <c r="N222" s="589"/>
      <c r="O222" s="587"/>
      <c r="R222" s="1052"/>
      <c r="S222" s="1052"/>
      <c r="T222" s="1052"/>
      <c r="U222" s="1052"/>
      <c r="V222" s="1052"/>
      <c r="W222" s="1053"/>
      <c r="X222" s="1053"/>
      <c r="Y222" s="1053"/>
      <c r="Z222" s="1052"/>
      <c r="AA222" s="1052"/>
      <c r="AB222" s="962"/>
      <c r="AC222" s="590"/>
      <c r="AD222" s="590"/>
      <c r="AE222" s="591"/>
      <c r="AF222" s="592"/>
      <c r="AG222" s="1053"/>
      <c r="AH222" s="587"/>
      <c r="AK222" s="1041" t="str">
        <f>Codes!$C$171</f>
        <v>TR - Aerial Tramway (DO)</v>
      </c>
      <c r="AL222" s="1042" t="str">
        <f>Valid!$B$72</f>
        <v>At-Grade/In-Street/Embedded</v>
      </c>
      <c r="AM222" s="1108" t="e">
        <f>IF('A-80 DirEntInv'!#REF!&lt;&gt;"",'A-80 DirEntInv'!#REF!,IF(AK222=summaryref2!B13,summaryref2!D13,IF(Summary!AK222=summaryref2!B27,summaryref2!D27,IF(AK222=summaryref2!B41,summaryref2!D41,IF(AK222=summaryref2!B55,summaryref2!D55,IF(AK222=summaryref2!B69,summaryref2!D69,IF(AK222=summaryref2!B83,summaryref2!D83,IF(AK222=summaryref2!B97,summaryref2!D97,IF(AK222=summaryref2!B111,summaryref2!D111,IF(AK222=summaryref2!B125,summaryref2!D125,IF(AK222=summaryref2!B139,summaryref2!D139,"")))))))))))</f>
        <v>#REF!</v>
      </c>
      <c r="AN222" s="1109" t="e">
        <f ca="1">IF('A-80 DirEntInv'!#REF!&lt;&gt;"",'A-80 DirEntInv'!#REF!,IF(INDIRECT(ADDRESS(SumRef!CG504,SumRef!CG$16,,,SumRef!$C$7))="","",INDIRECT(ADDRESS(SumRef!CG504,SumRef!CG$16,,,SumRef!$C$7))))</f>
        <v>#REF!</v>
      </c>
      <c r="AO222" s="1108" t="e">
        <f>IF('A-80 DirEntInv'!#REF!&lt;&gt;"",'A-80 DirEntInv'!#REF!,IF(AK222=summaryref2!B13,summaryref2!F13,IF(Summary!AK222=summaryref2!B27,summaryref2!F27,IF(AK222=summaryref2!B41,summaryref2!F41,IF(AK222=summaryref2!B55,summaryref2!F55,IF(AK222=summaryref2!B69,summaryref2!F69,IF(AK222=summaryref2!B83,summaryref2!F83,IF(AK222=summaryref2!B97,summaryref2!F97,IF(AK222=summaryref2!B111,summaryref2!F111,IF(AK222=summaryref2!B125,summaryref2!F125,IF(AK222=summaryref2!B139,summaryref2!F139,"")))))))))))</f>
        <v>#REF!</v>
      </c>
      <c r="AP222" s="1109" t="e">
        <f ca="1">IF('A-80 DirEntInv'!#REF!&lt;&gt;"",'A-80 DirEntInv'!#REF!,IF(INDIRECT(ADDRESS(SumRef!#REF!,SumRef!#REF!,,,SumRef!$C$7))="","",INDIRECT(ADDRESS(SumRef!#REF!,SumRef!#REF!,,,SumRef!$C$7))))</f>
        <v>#REF!</v>
      </c>
      <c r="AQ222" s="1147" t="e">
        <f>IF('A-80 DirEntInv'!#REF!&lt;&gt;"",'A-80 DirEntInv'!#REF!,IF(AK222=summaryref2!B13,summaryref2!G13,IF(Summary!AK222=summaryref2!B27,summaryref2!G27,IF(AK222=summaryref2!B41,summaryref2!G41,IF(AK222=summaryref2!B55,summaryref2!G55,IF(AK222=summaryref2!B69,summaryref2!G69,IF(AK222=summaryref2!B83,summaryref2!G83,IF(AK222=summaryref2!B97,summaryref2!G97,IF(AK222=summaryref2!B111,summaryref2!G111,IF(AK222=summaryref2!B125,summaryref2!G125,IF(AK222=summaryref2!B139,summaryref2!G139,"")))))))))))</f>
        <v>#REF!</v>
      </c>
      <c r="AR222" s="1147" t="e">
        <f>IF('A-80 DirEntInv'!#REF!&lt;&gt;"",'A-80 DirEntInv'!#REF!,IF(AK222=summaryref2!B13,summaryref2!H13,IF(Summary!AK222=summaryref2!B27,summaryref2!H27,IF(AK222=summaryref2!B41,summaryref2!H41,IF(AK222=summaryref2!B55,summaryref2!H55,IF(AK222=summaryref2!B69,summaryref2!H69,IF(AK222=summaryref2!B83,summaryref2!H83,IF(AK222=summaryref2!B97,summaryref2!H97,IF(AK222=summaryref2!B111,summaryref2!H111,IF(AK222=summaryref2!B125,summaryref2!H125,IF(AK222=summaryref2!B139,summaryref2!H139,"")))))))))))</f>
        <v>#REF!</v>
      </c>
      <c r="AS222" s="1110" t="e">
        <f>IF('A-80 DirEntInv'!#REF!&lt;&gt;"",'A-80 DirEntInv'!#REF!,IF(AK222=summaryref2!B13,summaryref2!I13,IF(Summary!AK222=summaryref2!B27,summaryref2!I27,IF(AK222=summaryref2!B41,summaryref2!I41,IF(AK222=summaryref2!B55,summaryref2!I55,IF(AK222=summaryref2!B69,summaryref2!I69,IF(AK222=summaryref2!B83,summaryref2!I83,IF(AK222=summaryref2!B97,summaryref2!I97,IF(AK222=summaryref2!B111,summaryref2!I111,IF(AK222=summaryref2!B125,summaryref2!I125,IF(AK222=summaryref2!B139,summaryref2!I139,"")))))))))))</f>
        <v>#REF!</v>
      </c>
      <c r="AT222" s="1110" t="e">
        <f>IF('A-80 DirEntInv'!#REF!&lt;&gt;"",'A-80 DirEntInv'!#REF!,IF(AK222=summaryref2!B13,summaryref2!J13,IF(Summary!AK222=summaryref2!B27,summaryref2!J27,IF(AK222=summaryref2!B41,summaryref2!J41,IF(AK222=summaryref2!B55,summaryref2!J55,IF(AK222=summaryref2!B69,summaryref2!J69,IF(AK222=summaryref2!B83,summaryref2!J83,IF(AK222=summaryref2!B97,summaryref2!J97,IF(AK222=summaryref2!B111,summaryref2!J111,IF(AK222=summaryref2!B125,summaryref2!J125,IF(AK222=summaryref2!B139,summaryref2!J139,"")))))))))))</f>
        <v>#REF!</v>
      </c>
      <c r="AU222" s="1110" t="e">
        <f>IF('A-80 DirEntInv'!#REF!&lt;&gt;"",'A-80 DirEntInv'!#REF!,IF(AK222=summaryref2!B13,summaryref2!K13,IF(Summary!AK222=summaryref2!B27,summaryref2!K27,IF(AK222=summaryref2!B41,summaryref2!K41,IF(AK222=summaryref2!B55,summaryref2!K55,IF(AK222=summaryref2!B69,summaryref2!K69,IF(AK222=summaryref2!B83,summaryref2!K83,IF(AK222=summaryref2!B97,summaryref2!K97,IF(AK222=summaryref2!B111,summaryref2!K111,IF(AK222=summaryref2!B125,summaryref2!K125,IF(AK222=summaryref2!B139,summaryref2!K139,"")))))))))))</f>
        <v>#REF!</v>
      </c>
      <c r="AV222" s="1110" t="e">
        <f>IF('A-80 DirEntInv'!#REF!&lt;&gt;"",'A-80 DirEntInv'!#REF!,IF(AK222=summaryref2!B13,summaryref2!L13,IF(Summary!AK222=summaryref2!B27,summaryref2!L27,IF(AK222=summaryref2!B41,summaryref2!L41,IF(AK222=summaryref2!B55,summaryref2!L55,IF(AK222=summaryref2!B69,summaryref2!L69,IF(AK222=summaryref2!B83,summaryref2!L83,IF(AK222=summaryref2!B97,summaryref2!L97,IF(AK222=summaryref2!B111,summaryref2!L111,IF(AK222=summaryref2!B125,summaryref2!L125,IF(AK222=summaryref2!B139,summaryref2!L139,"")))))))))))</f>
        <v>#REF!</v>
      </c>
      <c r="AW222" s="1110" t="e">
        <f>IF('A-80 DirEntInv'!#REF!&lt;&gt;"",'A-80 DirEntInv'!#REF!,IF(AK222=summaryref2!B13,summaryref2!M13,IF(Summary!AK222=summaryref2!B27,summaryref2!M27,IF(AK222=summaryref2!B41,summaryref2!M41,IF(AK222=summaryref2!B55,summaryref2!M55,IF(AK222=summaryref2!B69,summaryref2!M69,IF(AK222=summaryref2!B83,summaryref2!M83,IF(AK222=summaryref2!B97,summaryref2!M97,IF(AK222=summaryref2!B111,summaryref2!M111,IF(AK222=summaryref2!B125,summaryref2!M125,IF(AK222=summaryref2!B139,summaryref2!M139,"")))))))))))</f>
        <v>#REF!</v>
      </c>
      <c r="AX222" s="1110" t="e">
        <f>IF('A-80 DirEntInv'!#REF!&lt;&gt;"",'A-80 DirEntInv'!#REF!,IF(AK222=summaryref2!B13,summaryref2!N13,IF(Summary!AK222=summaryref2!B27,summaryref2!N27,IF(AK222=summaryref2!B41,summaryref2!N41,IF(AK222=summaryref2!B55,summaryref2!N55,IF(AK222=summaryref2!B69,summaryref2!N69,IF(AK222=summaryref2!B83,summaryref2!N83,IF(AK222=summaryref2!B97,summaryref2!N97,IF(AK222=summaryref2!B111,summaryref2!N111,IF(AK222=summaryref2!B125,summaryref2!N125,IF(AK222=summaryref2!B139,summaryref2!N139,"")))))))))))</f>
        <v>#REF!</v>
      </c>
      <c r="AY222" s="1110" t="e">
        <f>IF('A-80 DirEntInv'!#REF!&lt;&gt;"",'A-80 DirEntInv'!#REF!,IF(AK222=summaryref2!B13,summaryref2!O13,IF(Summary!AK222=summaryref2!B27,summaryref2!O27,IF(AK222=summaryref2!B41,summaryref2!O41,IF(AK222=summaryref2!B55,summaryref2!O55,IF(AK222=summaryref2!B69,summaryref2!O69,IF(AK222=summaryref2!B83,summaryref2!O83,IF(AK222=summaryref2!B97,summaryref2!O97,IF(AK222=summaryref2!B111,summaryref2!O111,IF(AK222=summaryref2!B125,summaryref2!O125,IF(AK222=summaryref2!B139,summaryref2!O139,"")))))))))))</f>
        <v>#REF!</v>
      </c>
      <c r="AZ222" s="1110" t="e">
        <f>IF('A-80 DirEntInv'!#REF!&lt;&gt;"",'A-80 DirEntInv'!#REF!,IF(AK222=summaryref2!B13,summaryref2!P13,IF(Summary!AK222=summaryref2!B27,summaryref2!P27,IF(AK222=summaryref2!B41,summaryref2!P41,IF(AK222=summaryref2!B55,summaryref2!P55,IF(AK222=summaryref2!B69,summaryref2!P69,IF(AK222=summaryref2!B83,summaryref2!P83,IF(AK222=summaryref2!B97,summaryref2!P97,IF(AK222=summaryref2!B111,summaryref2!P111,IF(AK222=summaryref2!B125,summaryref2!P125,IF(AK222=summaryref2!B139,summaryref2!P139,"")))))))))))</f>
        <v>#REF!</v>
      </c>
      <c r="BA222" s="1110" t="e">
        <f>IF('A-80 DirEntInv'!#REF!&lt;&gt;"",'A-80 DirEntInv'!#REF!,IF(AK222=summaryref2!B13,summaryref2!Q13,IF(Summary!AK222=summaryref2!B27,summaryref2!Q27,IF(AK222=summaryref2!B41,summaryref2!Q41,IF(AK222=summaryref2!B55,summaryref2!Q55,IF(AK222=summaryref2!B69,summaryref2!Q69,IF(AK222=summaryref2!B83,summaryref2!Q83,IF(AK222=summaryref2!B97,summaryref2!Q97,IF(AK222=summaryref2!B111,summaryref2!Q111,IF(AK222=summaryref2!B125,summaryref2!Q125,IF(AK222=summaryref2!B139,summaryref2!Q139,"")))))))))))</f>
        <v>#REF!</v>
      </c>
      <c r="BB222" s="1110" t="e">
        <f>IF('A-80 DirEntInv'!#REF!&lt;&gt;"",'A-80 DirEntInv'!#REF!,IF(AK222=summaryref2!B13,summaryref2!R13,IF(Summary!AK222=summaryref2!B27,summaryref2!R27,IF(AK222=summaryref2!B41,summaryref2!R41,IF(AK222=summaryref2!B55,summaryref2!R55,IF(AK222=summaryref2!B69,summaryref2!R69,IF(AK222=summaryref2!B83,summaryref2!R83,IF(AK222=summaryref2!B97,summaryref2!R97,IF(AK222=summaryref2!B111,summaryref2!R111,IF(AK222=summaryref2!B125,summaryref2!R125,IF(AK222=summaryref2!B139,summaryref2!R139,"")))))))))))</f>
        <v>#REF!</v>
      </c>
      <c r="BC222" s="1110" t="e">
        <f>IF('A-80 DirEntInv'!#REF!&lt;&gt;0,'A-80 DirEntInv'!#REF!,IF(AK222=summaryref2!B13,summaryref2!S13,IF(Summary!AK222=summaryref2!B27,summaryref2!S27,IF(AK222=summaryref2!B41,summaryref2!S41,IF(AK222=summaryref2!B55,summaryref2!S55,IF(AK222=summaryref2!B69,summaryref2!S69,IF(AK222=summaryref2!B83,summaryref2!S83,IF(AK222=summaryref2!B97,summaryref2!S97,IF(AK222=summaryref2!B111,summaryref2!S111,IF(AK222=summaryref2!B125,summaryref2!S125,IF(AK222=summaryref2!B139,summaryref2!S139,"")))))))))))</f>
        <v>#REF!</v>
      </c>
      <c r="BD222" s="1111" t="e">
        <f>IF('A-80 DirEntInv'!#REF!&lt;&gt;"",'A-80 DirEntInv'!#REF!,IF(AK222=summaryref2!B13,summaryref2!T13,IF(Summary!AK222=summaryref2!B27,summaryref2!T27,IF(AK222=summaryref2!B41,summaryref2!T41,IF(AK222=summaryref2!B55,summaryref2!T55,IF(AK222=summaryref2!B69,summaryref2!T69,IF(AK222=summaryref2!B83,summaryref2!T83,IF(AK222=summaryref2!B97,summaryref2!T97,IF(AK222=summaryref2!B111,summaryref2!T111,IF(AK222=summaryref2!B125,summaryref2!T125,IF(AK222=summaryref2!B139,summaryref2!T139,"")))))))))))</f>
        <v>#REF!</v>
      </c>
      <c r="BE222" s="1184" t="e">
        <f>IF('A-80 DirEntInv'!#REF!&lt;&gt;"",'A-80 DirEntInv'!#REF!,IF(AK222=summaryref2!B13,summaryref2!U13,IF(Summary!AK222=summaryref2!B27,summaryref2!U27,IF(AK222=summaryref2!B41,summaryref2!U41,IF(AK222=summaryref2!B55,summaryref2!U55,IF(AK222=summaryref2!B69,summaryref2!U69,IF(AK222=summaryref2!B83,summaryref2!U83,IF(AK222=summaryref2!B97,summaryref2!U97,IF(AK222=summaryref2!B111,summaryref2!U111,IF(AK222=summaryref2!B125,summaryref2!U125,IF(AK222=summaryref2!B139,summaryref2!U139,"")))))))))))</f>
        <v>#REF!</v>
      </c>
      <c r="BF222" s="1432"/>
      <c r="BG222" s="1432"/>
      <c r="BU222" s="962"/>
      <c r="CD222" s="589"/>
      <c r="CE222" s="590"/>
      <c r="CF222" s="590"/>
      <c r="CG222" s="590"/>
      <c r="CH222" s="590"/>
      <c r="CI222" s="590"/>
      <c r="CJ222" s="589"/>
      <c r="CK222" s="589"/>
      <c r="CL222" s="589"/>
      <c r="CM222" s="587"/>
      <c r="CN222" s="587"/>
      <c r="CO222" s="589"/>
      <c r="CP222" s="587"/>
      <c r="CQ222" s="592"/>
      <c r="CR222" s="589"/>
      <c r="CS222" s="592"/>
      <c r="CT222" s="589"/>
      <c r="CU222" s="589"/>
      <c r="CV222" s="589"/>
      <c r="CW222" s="587"/>
      <c r="CX222" s="590"/>
      <c r="CY222" s="590"/>
      <c r="CZ222" s="590"/>
      <c r="DA222" s="1054"/>
      <c r="DB222" s="1054"/>
      <c r="DC222" s="587"/>
      <c r="DD222" s="587"/>
    </row>
    <row r="223" spans="1:108" s="588" customFormat="1" x14ac:dyDescent="0.2">
      <c r="A223" s="589">
        <f t="shared" si="3"/>
        <v>213</v>
      </c>
      <c r="B223" s="587"/>
      <c r="C223" s="587"/>
      <c r="D223" s="587"/>
      <c r="J223" s="589"/>
      <c r="K223" s="590"/>
      <c r="L223" s="591"/>
      <c r="M223" s="592"/>
      <c r="N223" s="589"/>
      <c r="O223" s="587"/>
      <c r="R223" s="1052"/>
      <c r="S223" s="1052"/>
      <c r="T223" s="1052"/>
      <c r="U223" s="1052"/>
      <c r="V223" s="1052"/>
      <c r="W223" s="1053"/>
      <c r="X223" s="1053"/>
      <c r="Y223" s="1053"/>
      <c r="Z223" s="1052"/>
      <c r="AA223" s="1052"/>
      <c r="AB223" s="962"/>
      <c r="AC223" s="590"/>
      <c r="AD223" s="590"/>
      <c r="AE223" s="591"/>
      <c r="AF223" s="592"/>
      <c r="AG223" s="1053"/>
      <c r="AH223" s="587"/>
      <c r="AK223" s="1041" t="str">
        <f>Codes!$C$171</f>
        <v>TR - Aerial Tramway (DO)</v>
      </c>
      <c r="AL223" s="1042" t="str">
        <f>Valid!$B$73</f>
        <v>Elevated/Retained Fill</v>
      </c>
      <c r="AM223" s="1108" t="e">
        <f>IF('A-80 DirEntInv'!#REF!&lt;&gt;"",'A-80 DirEntInv'!#REF!,IF(AK223=summaryref2!B14,summaryref2!D14,IF(Summary!AK223=summaryref2!B28,summaryref2!D28,IF(AK223=summaryref2!B42,summaryref2!D42,IF(AK223=summaryref2!B56,summaryref2!D56,IF(AK223=summaryref2!B70,summaryref2!D70,IF(AK223=summaryref2!B84,summaryref2!D84,IF(AK223=summaryref2!B98,summaryref2!D98,IF(AK223=summaryref2!B112,summaryref2!D112,IF(AK223=summaryref2!B126,summaryref2!D126,IF(AK223=summaryref2!B140,summaryref2!D140,"")))))))))))</f>
        <v>#REF!</v>
      </c>
      <c r="AN223" s="1109" t="e">
        <f ca="1">IF('A-80 DirEntInv'!#REF!&lt;&gt;"",'A-80 DirEntInv'!#REF!,IF(INDIRECT(ADDRESS(SumRef!CG505,SumRef!CG$16,,,SumRef!$C$7))="","",INDIRECT(ADDRESS(SumRef!CG505,SumRef!CG$16,,,SumRef!$C$7))))</f>
        <v>#REF!</v>
      </c>
      <c r="AO223" s="1108" t="e">
        <f>IF('A-80 DirEntInv'!#REF!&lt;&gt;"",'A-80 DirEntInv'!#REF!,IF(AK223=summaryref2!B14,summaryref2!F14,IF(Summary!AK223=summaryref2!B28,summaryref2!F28,IF(AK223=summaryref2!B42,summaryref2!F42,IF(AK223=summaryref2!B56,summaryref2!F56,IF(AK223=summaryref2!B70,summaryref2!F70,IF(AK223=summaryref2!B84,summaryref2!F84,IF(AK223=summaryref2!B98,summaryref2!F98,IF(AK223=summaryref2!B112,summaryref2!F112,IF(AK223=summaryref2!B126,summaryref2!F126,IF(AK223=summaryref2!B140,summaryref2!F140,"")))))))))))</f>
        <v>#REF!</v>
      </c>
      <c r="AP223" s="1109" t="e">
        <f ca="1">IF('A-80 DirEntInv'!#REF!&lt;&gt;"",'A-80 DirEntInv'!#REF!,IF(INDIRECT(ADDRESS(SumRef!#REF!,SumRef!#REF!,,,SumRef!$C$7))="","",INDIRECT(ADDRESS(SumRef!#REF!,SumRef!#REF!,,,SumRef!$C$7))))</f>
        <v>#REF!</v>
      </c>
      <c r="AQ223" s="1147" t="e">
        <f>IF('A-80 DirEntInv'!#REF!&lt;&gt;"",'A-80 DirEntInv'!#REF!,IF(AK223=summaryref2!B14,summaryref2!G14,IF(Summary!AK223=summaryref2!B28,summaryref2!G28,IF(AK223=summaryref2!B42,summaryref2!G42,IF(AK223=summaryref2!B56,summaryref2!G56,IF(AK223=summaryref2!B70,summaryref2!G70,IF(AK223=summaryref2!B84,summaryref2!G84,IF(AK223=summaryref2!B98,summaryref2!G98,IF(AK223=summaryref2!B112,summaryref2!G112,IF(AK223=summaryref2!B126,summaryref2!G126,IF(AK223=summaryref2!B140,summaryref2!G140,"")))))))))))</f>
        <v>#REF!</v>
      </c>
      <c r="AR223" s="1147" t="e">
        <f>IF('A-80 DirEntInv'!#REF!&lt;&gt;"",'A-80 DirEntInv'!#REF!,IF(AK223=summaryref2!B14,summaryref2!H14,IF(Summary!AK223=summaryref2!B28,summaryref2!H28,IF(AK223=summaryref2!B42,summaryref2!H42,IF(AK223=summaryref2!B56,summaryref2!H56,IF(AK223=summaryref2!B70,summaryref2!H70,IF(AK223=summaryref2!B84,summaryref2!H84,IF(AK223=summaryref2!B98,summaryref2!H98,IF(AK223=summaryref2!B112,summaryref2!H112,IF(AK223=summaryref2!B126,summaryref2!H126,IF(AK223=summaryref2!B140,summaryref2!H140,"")))))))))))</f>
        <v>#REF!</v>
      </c>
      <c r="AS223" s="1110" t="e">
        <f>IF('A-80 DirEntInv'!#REF!&lt;&gt;"",'A-80 DirEntInv'!#REF!,IF(AK223=summaryref2!B14,summaryref2!I14,IF(Summary!AK223=summaryref2!B28,summaryref2!I28,IF(AK223=summaryref2!B42,summaryref2!I42,IF(AK223=summaryref2!B56,summaryref2!I56,IF(AK223=summaryref2!B70,summaryref2!I70,IF(AK223=summaryref2!B84,summaryref2!I84,IF(AK223=summaryref2!B98,summaryref2!I98,IF(AK223=summaryref2!B112,summaryref2!I112,IF(AK223=summaryref2!B126,summaryref2!I126,IF(AK223=summaryref2!B140,summaryref2!I140,"")))))))))))</f>
        <v>#REF!</v>
      </c>
      <c r="AT223" s="1110" t="e">
        <f>IF('A-80 DirEntInv'!#REF!&lt;&gt;"",'A-80 DirEntInv'!#REF!,IF(AK223=summaryref2!B14,summaryref2!J14,IF(Summary!AK223=summaryref2!B28,summaryref2!J28,IF(AK223=summaryref2!B42,summaryref2!J42,IF(AK223=summaryref2!B56,summaryref2!J56,IF(AK223=summaryref2!B70,summaryref2!J70,IF(AK223=summaryref2!B84,summaryref2!J84,IF(AK223=summaryref2!B98,summaryref2!J98,IF(AK223=summaryref2!B112,summaryref2!J112,IF(AK223=summaryref2!B126,summaryref2!J126,IF(AK223=summaryref2!B140,summaryref2!J140,"")))))))))))</f>
        <v>#REF!</v>
      </c>
      <c r="AU223" s="1110" t="e">
        <f>IF('A-80 DirEntInv'!#REF!&lt;&gt;"",'A-80 DirEntInv'!#REF!,IF(AK223=summaryref2!B14,summaryref2!K14,IF(Summary!AK223=summaryref2!B28,summaryref2!K28,IF(AK223=summaryref2!B42,summaryref2!K42,IF(AK223=summaryref2!B56,summaryref2!K56,IF(AK223=summaryref2!B70,summaryref2!K70,IF(AK223=summaryref2!B84,summaryref2!K84,IF(AK223=summaryref2!B98,summaryref2!K98,IF(AK223=summaryref2!B112,summaryref2!K112,IF(AK223=summaryref2!B126,summaryref2!K126,IF(AK223=summaryref2!B140,summaryref2!K140,"")))))))))))</f>
        <v>#REF!</v>
      </c>
      <c r="AV223" s="1110" t="e">
        <f>IF('A-80 DirEntInv'!#REF!&lt;&gt;"",'A-80 DirEntInv'!#REF!,IF(AK223=summaryref2!B14,summaryref2!L14,IF(Summary!AK223=summaryref2!B28,summaryref2!L28,IF(AK223=summaryref2!B42,summaryref2!L42,IF(AK223=summaryref2!B56,summaryref2!L56,IF(AK223=summaryref2!B70,summaryref2!L70,IF(AK223=summaryref2!B84,summaryref2!L84,IF(AK223=summaryref2!B98,summaryref2!L98,IF(AK223=summaryref2!B112,summaryref2!L112,IF(AK223=summaryref2!B126,summaryref2!L126,IF(AK223=summaryref2!B140,summaryref2!L140,"")))))))))))</f>
        <v>#REF!</v>
      </c>
      <c r="AW223" s="1110" t="e">
        <f>IF('A-80 DirEntInv'!#REF!&lt;&gt;"",'A-80 DirEntInv'!#REF!,IF(AK223=summaryref2!B14,summaryref2!M14,IF(Summary!AK223=summaryref2!B28,summaryref2!M28,IF(AK223=summaryref2!B42,summaryref2!M42,IF(AK223=summaryref2!B56,summaryref2!M56,IF(AK223=summaryref2!B70,summaryref2!M70,IF(AK223=summaryref2!B84,summaryref2!M84,IF(AK223=summaryref2!B98,summaryref2!M98,IF(AK223=summaryref2!B112,summaryref2!M112,IF(AK223=summaryref2!B126,summaryref2!M126,IF(AK223=summaryref2!B140,summaryref2!M140,"")))))))))))</f>
        <v>#REF!</v>
      </c>
      <c r="AX223" s="1110" t="e">
        <f>IF('A-80 DirEntInv'!#REF!&lt;&gt;"",'A-80 DirEntInv'!#REF!,IF(AK223=summaryref2!B14,summaryref2!N14,IF(Summary!AK223=summaryref2!B28,summaryref2!N28,IF(AK223=summaryref2!B42,summaryref2!N42,IF(AK223=summaryref2!B56,summaryref2!N56,IF(AK223=summaryref2!B70,summaryref2!N70,IF(AK223=summaryref2!B84,summaryref2!N84,IF(AK223=summaryref2!B98,summaryref2!N98,IF(AK223=summaryref2!B112,summaryref2!N112,IF(AK223=summaryref2!B126,summaryref2!N126,IF(AK223=summaryref2!B140,summaryref2!N140,"")))))))))))</f>
        <v>#REF!</v>
      </c>
      <c r="AY223" s="1110" t="e">
        <f>IF('A-80 DirEntInv'!#REF!&lt;&gt;"",'A-80 DirEntInv'!#REF!,IF(AK223=summaryref2!B14,summaryref2!O14,IF(Summary!AK223=summaryref2!B28,summaryref2!O28,IF(AK223=summaryref2!B42,summaryref2!O42,IF(AK223=summaryref2!B56,summaryref2!O56,IF(AK223=summaryref2!B70,summaryref2!O70,IF(AK223=summaryref2!B84,summaryref2!O84,IF(AK223=summaryref2!B98,summaryref2!O98,IF(AK223=summaryref2!B112,summaryref2!O112,IF(AK223=summaryref2!B126,summaryref2!O126,IF(AK223=summaryref2!B140,summaryref2!O140,"")))))))))))</f>
        <v>#REF!</v>
      </c>
      <c r="AZ223" s="1110" t="e">
        <f>IF('A-80 DirEntInv'!#REF!&lt;&gt;"",'A-80 DirEntInv'!#REF!,IF(AK223=summaryref2!B14,summaryref2!P14,IF(Summary!AK223=summaryref2!B28,summaryref2!P28,IF(AK223=summaryref2!B42,summaryref2!P42,IF(AK223=summaryref2!B56,summaryref2!P56,IF(AK223=summaryref2!B70,summaryref2!P70,IF(AK223=summaryref2!B84,summaryref2!P84,IF(AK223=summaryref2!B98,summaryref2!P98,IF(AK223=summaryref2!B112,summaryref2!P112,IF(AK223=summaryref2!B126,summaryref2!P126,IF(AK223=summaryref2!B140,summaryref2!P140,"")))))))))))</f>
        <v>#REF!</v>
      </c>
      <c r="BA223" s="1110" t="e">
        <f>IF('A-80 DirEntInv'!#REF!&lt;&gt;"",'A-80 DirEntInv'!#REF!,IF(AK223=summaryref2!B14,summaryref2!Q14,IF(Summary!AK223=summaryref2!B28,summaryref2!Q28,IF(AK223=summaryref2!B42,summaryref2!Q42,IF(AK223=summaryref2!B56,summaryref2!Q56,IF(AK223=summaryref2!B70,summaryref2!Q70,IF(AK223=summaryref2!B84,summaryref2!Q84,IF(AK223=summaryref2!B98,summaryref2!Q98,IF(AK223=summaryref2!B112,summaryref2!Q112,IF(AK223=summaryref2!B126,summaryref2!Q126,IF(AK223=summaryref2!B140,summaryref2!Q140,"")))))))))))</f>
        <v>#REF!</v>
      </c>
      <c r="BB223" s="1110" t="e">
        <f>IF('A-80 DirEntInv'!#REF!&lt;&gt;"",'A-80 DirEntInv'!#REF!,IF(AK223=summaryref2!B14,summaryref2!R14,IF(Summary!AK223=summaryref2!B28,summaryref2!R28,IF(AK223=summaryref2!B42,summaryref2!R42,IF(AK223=summaryref2!B56,summaryref2!R56,IF(AK223=summaryref2!B70,summaryref2!R70,IF(AK223=summaryref2!B84,summaryref2!R84,IF(AK223=summaryref2!B98,summaryref2!R98,IF(AK223=summaryref2!B112,summaryref2!R112,IF(AK223=summaryref2!B126,summaryref2!R126,IF(AK223=summaryref2!B140,summaryref2!R140,"")))))))))))</f>
        <v>#REF!</v>
      </c>
      <c r="BC223" s="1110" t="e">
        <f>IF('A-80 DirEntInv'!#REF!&lt;&gt;0,'A-80 DirEntInv'!#REF!,IF(AK223=summaryref2!B14,summaryref2!S14,IF(Summary!AK223=summaryref2!B28,summaryref2!S28,IF(AK223=summaryref2!B42,summaryref2!S42,IF(AK223=summaryref2!B56,summaryref2!S56,IF(AK223=summaryref2!B70,summaryref2!S70,IF(AK223=summaryref2!B84,summaryref2!S84,IF(AK223=summaryref2!B98,summaryref2!S98,IF(AK223=summaryref2!B112,summaryref2!S112,IF(AK223=summaryref2!B126,summaryref2!S126,IF(AK223=summaryref2!B140,summaryref2!S140,"")))))))))))</f>
        <v>#REF!</v>
      </c>
      <c r="BD223" s="1111" t="e">
        <f>IF('A-80 DirEntInv'!#REF!&lt;&gt;"",'A-80 DirEntInv'!#REF!,IF(AK223=summaryref2!B14,summaryref2!T14,IF(Summary!AK223=summaryref2!B28,summaryref2!T28,IF(AK223=summaryref2!B42,summaryref2!T42,IF(AK223=summaryref2!B56,summaryref2!T56,IF(AK223=summaryref2!B70,summaryref2!T70,IF(AK223=summaryref2!B84,summaryref2!T84,IF(AK223=summaryref2!B98,summaryref2!T98,IF(AK223=summaryref2!B112,summaryref2!T112,IF(AK223=summaryref2!B126,summaryref2!T126,IF(AK223=summaryref2!B140,summaryref2!T140,"")))))))))))</f>
        <v>#REF!</v>
      </c>
      <c r="BE223" s="1184" t="e">
        <f>IF('A-80 DirEntInv'!#REF!&lt;&gt;"",'A-80 DirEntInv'!#REF!,IF(AK223=summaryref2!B14,summaryref2!U14,IF(Summary!AK223=summaryref2!B28,summaryref2!U28,IF(AK223=summaryref2!B42,summaryref2!U42,IF(AK223=summaryref2!B56,summaryref2!U56,IF(AK223=summaryref2!B70,summaryref2!U70,IF(AK223=summaryref2!B84,summaryref2!U84,IF(AK223=summaryref2!B98,summaryref2!U98,IF(AK223=summaryref2!B112,summaryref2!U112,IF(AK223=summaryref2!B126,summaryref2!U126,IF(AK223=summaryref2!B140,summaryref2!U140,"")))))))))))</f>
        <v>#REF!</v>
      </c>
      <c r="BF223" s="1432"/>
      <c r="BG223" s="1432"/>
      <c r="BU223" s="962"/>
      <c r="CD223" s="589"/>
      <c r="CE223" s="590"/>
      <c r="CF223" s="590"/>
      <c r="CG223" s="590"/>
      <c r="CH223" s="590"/>
      <c r="CI223" s="590"/>
      <c r="CJ223" s="589"/>
      <c r="CK223" s="589"/>
      <c r="CL223" s="589"/>
      <c r="CM223" s="587"/>
      <c r="CN223" s="587"/>
      <c r="CO223" s="589"/>
      <c r="CP223" s="587"/>
      <c r="CQ223" s="592"/>
      <c r="CR223" s="589"/>
      <c r="CS223" s="592"/>
      <c r="CT223" s="589"/>
      <c r="CU223" s="589"/>
      <c r="CV223" s="589"/>
      <c r="CW223" s="587"/>
      <c r="CX223" s="590"/>
      <c r="CY223" s="590"/>
      <c r="CZ223" s="590"/>
      <c r="DA223" s="1054"/>
      <c r="DB223" s="1054"/>
      <c r="DC223" s="587"/>
      <c r="DD223" s="587"/>
    </row>
    <row r="224" spans="1:108" s="588" customFormat="1" x14ac:dyDescent="0.2">
      <c r="A224" s="589">
        <f t="shared" si="3"/>
        <v>214</v>
      </c>
      <c r="B224" s="587"/>
      <c r="C224" s="587"/>
      <c r="D224" s="587"/>
      <c r="J224" s="589"/>
      <c r="K224" s="590"/>
      <c r="L224" s="591"/>
      <c r="M224" s="592"/>
      <c r="N224" s="589"/>
      <c r="O224" s="587"/>
      <c r="R224" s="1052"/>
      <c r="S224" s="1052"/>
      <c r="T224" s="1052"/>
      <c r="U224" s="1052"/>
      <c r="V224" s="1052"/>
      <c r="W224" s="1053"/>
      <c r="X224" s="1053"/>
      <c r="Y224" s="1053"/>
      <c r="Z224" s="1052"/>
      <c r="AA224" s="1052"/>
      <c r="AB224" s="962"/>
      <c r="AC224" s="590"/>
      <c r="AD224" s="590"/>
      <c r="AE224" s="591"/>
      <c r="AF224" s="592"/>
      <c r="AG224" s="1053"/>
      <c r="AH224" s="587"/>
      <c r="AK224" s="1041" t="str">
        <f>Codes!$C$171</f>
        <v>TR - Aerial Tramway (DO)</v>
      </c>
      <c r="AL224" s="1042" t="str">
        <f>Valid!$B$74</f>
        <v>Elevated/Concrete</v>
      </c>
      <c r="AM224" s="1108" t="e">
        <f>IF('A-80 DirEntInv'!#REF!&lt;&gt;"",'A-80 DirEntInv'!#REF!,IF(AK224=summaryref2!B15,summaryref2!D15,IF(Summary!AK224=summaryref2!B29,summaryref2!D29,IF(AK224=summaryref2!B43,summaryref2!D43,IF(AK224=summaryref2!B57,summaryref2!D57,IF(AK224=summaryref2!B71,summaryref2!D71,IF(AK224=summaryref2!B85,summaryref2!D85,IF(AK224=summaryref2!B99,summaryref2!D99,IF(AK224=summaryref2!B113,summaryref2!D113,IF(AK224=summaryref2!B127,summaryref2!D127,IF(AK224=summaryref2!B141,summaryref2!D141,"")))))))))))</f>
        <v>#REF!</v>
      </c>
      <c r="AN224" s="1109" t="e">
        <f ca="1">IF('A-80 DirEntInv'!#REF!&lt;&gt;"",'A-80 DirEntInv'!#REF!,IF(INDIRECT(ADDRESS(SumRef!CG506,SumRef!CG$16,,,SumRef!$C$7))="","",INDIRECT(ADDRESS(SumRef!CG506,SumRef!CG$16,,,SumRef!$C$7))))</f>
        <v>#REF!</v>
      </c>
      <c r="AO224" s="1108" t="e">
        <f>IF('A-80 DirEntInv'!#REF!&lt;&gt;"",'A-80 DirEntInv'!#REF!,IF(AK224=summaryref2!B15,summaryref2!F15,IF(Summary!AK224=summaryref2!B29,summaryref2!F29,IF(AK224=summaryref2!B43,summaryref2!F43,IF(AK224=summaryref2!B57,summaryref2!F57,IF(AK224=summaryref2!B71,summaryref2!F71,IF(AK224=summaryref2!B85,summaryref2!F85,IF(AK224=summaryref2!B99,summaryref2!F99,IF(AK224=summaryref2!B113,summaryref2!F113,IF(AK224=summaryref2!B127,summaryref2!F127,IF(AK224=summaryref2!B141,summaryref2!F141,"")))))))))))</f>
        <v>#REF!</v>
      </c>
      <c r="AP224" s="1109" t="e">
        <f ca="1">IF('A-80 DirEntInv'!#REF!&lt;&gt;"",'A-80 DirEntInv'!#REF!,IF(INDIRECT(ADDRESS(SumRef!#REF!,SumRef!#REF!,,,SumRef!$C$7))="","",INDIRECT(ADDRESS(SumRef!#REF!,SumRef!#REF!,,,SumRef!$C$7))))</f>
        <v>#REF!</v>
      </c>
      <c r="AQ224" s="1147" t="e">
        <f>IF('A-80 DirEntInv'!#REF!&lt;&gt;"",'A-80 DirEntInv'!#REF!,IF(AK224=summaryref2!B15,summaryref2!G15,IF(Summary!AK224=summaryref2!B29,summaryref2!G29,IF(AK224=summaryref2!B43,summaryref2!G43,IF(AK224=summaryref2!B57,summaryref2!G57,IF(AK224=summaryref2!B71,summaryref2!G71,IF(AK224=summaryref2!B85,summaryref2!G85,IF(AK224=summaryref2!B99,summaryref2!G99,IF(AK224=summaryref2!B113,summaryref2!G113,IF(AK224=summaryref2!B127,summaryref2!G127,IF(AK224=summaryref2!B141,summaryref2!G141,"")))))))))))</f>
        <v>#REF!</v>
      </c>
      <c r="AR224" s="1147" t="e">
        <f>IF('A-80 DirEntInv'!#REF!&lt;&gt;"",'A-80 DirEntInv'!#REF!,IF(AK224=summaryref2!B15,summaryref2!H15,IF(Summary!AK224=summaryref2!B29,summaryref2!H29,IF(AK224=summaryref2!B43,summaryref2!H43,IF(AK224=summaryref2!B57,summaryref2!H57,IF(AK224=summaryref2!B71,summaryref2!H71,IF(AK224=summaryref2!B85,summaryref2!H85,IF(AK224=summaryref2!B99,summaryref2!H99,IF(AK224=summaryref2!B113,summaryref2!H113,IF(AK224=summaryref2!B127,summaryref2!H127,IF(AK224=summaryref2!B141,summaryref2!H141,"")))))))))))</f>
        <v>#REF!</v>
      </c>
      <c r="AS224" s="1110" t="e">
        <f>IF('A-80 DirEntInv'!#REF!&lt;&gt;"",'A-80 DirEntInv'!#REF!,IF(AK224=summaryref2!B15,summaryref2!I15,IF(Summary!AK224=summaryref2!B29,summaryref2!I29,IF(AK224=summaryref2!B43,summaryref2!I43,IF(AK224=summaryref2!B57,summaryref2!I57,IF(AK224=summaryref2!B71,summaryref2!I71,IF(AK224=summaryref2!B85,summaryref2!I85,IF(AK224=summaryref2!B99,summaryref2!I99,IF(AK224=summaryref2!B113,summaryref2!I113,IF(AK224=summaryref2!B127,summaryref2!I127,IF(AK224=summaryref2!B141,summaryref2!I141,"")))))))))))</f>
        <v>#REF!</v>
      </c>
      <c r="AT224" s="1110" t="e">
        <f>IF('A-80 DirEntInv'!#REF!&lt;&gt;"",'A-80 DirEntInv'!#REF!,IF(AK224=summaryref2!B15,summaryref2!J15,IF(Summary!AK224=summaryref2!B29,summaryref2!J29,IF(AK224=summaryref2!B43,summaryref2!J43,IF(AK224=summaryref2!B57,summaryref2!J57,IF(AK224=summaryref2!B71,summaryref2!J71,IF(AK224=summaryref2!B85,summaryref2!J85,IF(AK224=summaryref2!B99,summaryref2!J99,IF(AK224=summaryref2!B113,summaryref2!J113,IF(AK224=summaryref2!B127,summaryref2!J127,IF(AK224=summaryref2!B141,summaryref2!J141,"")))))))))))</f>
        <v>#REF!</v>
      </c>
      <c r="AU224" s="1110" t="e">
        <f>IF('A-80 DirEntInv'!#REF!&lt;&gt;"",'A-80 DirEntInv'!#REF!,IF(AK224=summaryref2!B15,summaryref2!K15,IF(Summary!AK224=summaryref2!B29,summaryref2!K29,IF(AK224=summaryref2!B43,summaryref2!K43,IF(AK224=summaryref2!B57,summaryref2!K57,IF(AK224=summaryref2!B71,summaryref2!K71,IF(AK224=summaryref2!B85,summaryref2!K85,IF(AK224=summaryref2!B99,summaryref2!K99,IF(AK224=summaryref2!B113,summaryref2!K113,IF(AK224=summaryref2!B127,summaryref2!K127,IF(AK224=summaryref2!B141,summaryref2!K141,"")))))))))))</f>
        <v>#REF!</v>
      </c>
      <c r="AV224" s="1110" t="e">
        <f>IF('A-80 DirEntInv'!#REF!&lt;&gt;"",'A-80 DirEntInv'!#REF!,IF(AK224=summaryref2!B15,summaryref2!L15,IF(Summary!AK224=summaryref2!B29,summaryref2!L29,IF(AK224=summaryref2!B43,summaryref2!L43,IF(AK224=summaryref2!B57,summaryref2!L57,IF(AK224=summaryref2!B71,summaryref2!L71,IF(AK224=summaryref2!B85,summaryref2!L85,IF(AK224=summaryref2!B99,summaryref2!L99,IF(AK224=summaryref2!B113,summaryref2!L113,IF(AK224=summaryref2!B127,summaryref2!L127,IF(AK224=summaryref2!B141,summaryref2!L141,"")))))))))))</f>
        <v>#REF!</v>
      </c>
      <c r="AW224" s="1110" t="e">
        <f>IF('A-80 DirEntInv'!#REF!&lt;&gt;"",'A-80 DirEntInv'!#REF!,IF(AK224=summaryref2!B15,summaryref2!M15,IF(Summary!AK224=summaryref2!B29,summaryref2!M29,IF(AK224=summaryref2!B43,summaryref2!M43,IF(AK224=summaryref2!B57,summaryref2!M57,IF(AK224=summaryref2!B71,summaryref2!M71,IF(AK224=summaryref2!B85,summaryref2!M85,IF(AK224=summaryref2!B99,summaryref2!M99,IF(AK224=summaryref2!B113,summaryref2!M113,IF(AK224=summaryref2!B127,summaryref2!M127,IF(AK224=summaryref2!B141,summaryref2!M141,"")))))))))))</f>
        <v>#REF!</v>
      </c>
      <c r="AX224" s="1110" t="e">
        <f>IF('A-80 DirEntInv'!#REF!&lt;&gt;"",'A-80 DirEntInv'!#REF!,IF(AK224=summaryref2!B15,summaryref2!N15,IF(Summary!AK224=summaryref2!B29,summaryref2!N29,IF(AK224=summaryref2!B43,summaryref2!N43,IF(AK224=summaryref2!B57,summaryref2!N57,IF(AK224=summaryref2!B71,summaryref2!N71,IF(AK224=summaryref2!B85,summaryref2!N85,IF(AK224=summaryref2!B99,summaryref2!N99,IF(AK224=summaryref2!B113,summaryref2!N113,IF(AK224=summaryref2!B127,summaryref2!N127,IF(AK224=summaryref2!B141,summaryref2!N141,"")))))))))))</f>
        <v>#REF!</v>
      </c>
      <c r="AY224" s="1110" t="e">
        <f>IF('A-80 DirEntInv'!#REF!&lt;&gt;"",'A-80 DirEntInv'!#REF!,IF(AK224=summaryref2!B15,summaryref2!O15,IF(Summary!AK224=summaryref2!B29,summaryref2!O29,IF(AK224=summaryref2!B43,summaryref2!O43,IF(AK224=summaryref2!B57,summaryref2!O57,IF(AK224=summaryref2!B71,summaryref2!O71,IF(AK224=summaryref2!B85,summaryref2!O85,IF(AK224=summaryref2!B99,summaryref2!O99,IF(AK224=summaryref2!B113,summaryref2!O113,IF(AK224=summaryref2!B127,summaryref2!O127,IF(AK224=summaryref2!B141,summaryref2!O141,"")))))))))))</f>
        <v>#REF!</v>
      </c>
      <c r="AZ224" s="1110" t="e">
        <f>IF('A-80 DirEntInv'!#REF!&lt;&gt;"",'A-80 DirEntInv'!#REF!,IF(AK224=summaryref2!B15,summaryref2!P15,IF(Summary!AK224=summaryref2!B29,summaryref2!P29,IF(AK224=summaryref2!B43,summaryref2!P43,IF(AK224=summaryref2!B57,summaryref2!P57,IF(AK224=summaryref2!B71,summaryref2!P71,IF(AK224=summaryref2!B85,summaryref2!P85,IF(AK224=summaryref2!B99,summaryref2!P99,IF(AK224=summaryref2!B113,summaryref2!P113,IF(AK224=summaryref2!B127,summaryref2!P127,IF(AK224=summaryref2!B141,summaryref2!P141,"")))))))))))</f>
        <v>#REF!</v>
      </c>
      <c r="BA224" s="1110" t="e">
        <f>IF('A-80 DirEntInv'!#REF!&lt;&gt;"",'A-80 DirEntInv'!#REF!,IF(AK224=summaryref2!B15,summaryref2!Q15,IF(Summary!AK224=summaryref2!B29,summaryref2!Q29,IF(AK224=summaryref2!B43,summaryref2!Q43,IF(AK224=summaryref2!B57,summaryref2!Q57,IF(AK224=summaryref2!B71,summaryref2!Q71,IF(AK224=summaryref2!B85,summaryref2!Q85,IF(AK224=summaryref2!B99,summaryref2!Q99,IF(AK224=summaryref2!B113,summaryref2!Q113,IF(AK224=summaryref2!B127,summaryref2!Q127,IF(AK224=summaryref2!B141,summaryref2!Q141,"")))))))))))</f>
        <v>#REF!</v>
      </c>
      <c r="BB224" s="1110" t="e">
        <f>IF('A-80 DirEntInv'!#REF!&lt;&gt;"",'A-80 DirEntInv'!#REF!,IF(AK224=summaryref2!B15,summaryref2!R15,IF(Summary!AK224=summaryref2!B29,summaryref2!R29,IF(AK224=summaryref2!B43,summaryref2!R43,IF(AK224=summaryref2!B57,summaryref2!R57,IF(AK224=summaryref2!B71,summaryref2!R71,IF(AK224=summaryref2!B85,summaryref2!R85,IF(AK224=summaryref2!B99,summaryref2!R99,IF(AK224=summaryref2!B113,summaryref2!R113,IF(AK224=summaryref2!B127,summaryref2!R127,IF(AK224=summaryref2!B141,summaryref2!R141,"")))))))))))</f>
        <v>#REF!</v>
      </c>
      <c r="BC224" s="1110" t="e">
        <f>IF('A-80 DirEntInv'!#REF!&lt;&gt;0,'A-80 DirEntInv'!#REF!,IF(AK224=summaryref2!B15,summaryref2!S15,IF(Summary!AK224=summaryref2!B29,summaryref2!S29,IF(AK224=summaryref2!B43,summaryref2!S43,IF(AK224=summaryref2!B57,summaryref2!S57,IF(AK224=summaryref2!B71,summaryref2!S71,IF(AK224=summaryref2!B85,summaryref2!S85,IF(AK224=summaryref2!B99,summaryref2!S99,IF(AK224=summaryref2!B113,summaryref2!S113,IF(AK224=summaryref2!B127,summaryref2!S127,IF(AK224=summaryref2!B141,summaryref2!S141,"")))))))))))</f>
        <v>#REF!</v>
      </c>
      <c r="BD224" s="1111" t="e">
        <f>IF('A-80 DirEntInv'!#REF!&lt;&gt;"",'A-80 DirEntInv'!#REF!,IF(AK224=summaryref2!B15,summaryref2!T15,IF(Summary!AK224=summaryref2!B29,summaryref2!T29,IF(AK224=summaryref2!B43,summaryref2!T43,IF(AK224=summaryref2!B57,summaryref2!T57,IF(AK224=summaryref2!B71,summaryref2!T71,IF(AK224=summaryref2!B85,summaryref2!T85,IF(AK224=summaryref2!B99,summaryref2!T99,IF(AK224=summaryref2!B113,summaryref2!T113,IF(AK224=summaryref2!B127,summaryref2!T127,IF(AK224=summaryref2!B141,summaryref2!T141,"")))))))))))</f>
        <v>#REF!</v>
      </c>
      <c r="BE224" s="1184" t="e">
        <f>IF('A-80 DirEntInv'!#REF!&lt;&gt;"",'A-80 DirEntInv'!#REF!,IF(AK224=summaryref2!B15,summaryref2!U15,IF(Summary!AK224=summaryref2!B29,summaryref2!U29,IF(AK224=summaryref2!B43,summaryref2!U43,IF(AK224=summaryref2!B57,summaryref2!U57,IF(AK224=summaryref2!B71,summaryref2!U71,IF(AK224=summaryref2!B85,summaryref2!U85,IF(AK224=summaryref2!B99,summaryref2!U99,IF(AK224=summaryref2!B113,summaryref2!U113,IF(AK224=summaryref2!B127,summaryref2!U127,IF(AK224=summaryref2!B141,summaryref2!U141,"")))))))))))</f>
        <v>#REF!</v>
      </c>
      <c r="BF224" s="1432"/>
      <c r="BG224" s="1432"/>
      <c r="BU224" s="962"/>
      <c r="CD224" s="589"/>
      <c r="CE224" s="590"/>
      <c r="CF224" s="590"/>
      <c r="CG224" s="590"/>
      <c r="CH224" s="590"/>
      <c r="CI224" s="590"/>
      <c r="CJ224" s="589"/>
      <c r="CK224" s="589"/>
      <c r="CL224" s="589"/>
      <c r="CM224" s="587"/>
      <c r="CN224" s="587"/>
      <c r="CO224" s="589"/>
      <c r="CP224" s="587"/>
      <c r="CQ224" s="592"/>
      <c r="CR224" s="589"/>
      <c r="CS224" s="592"/>
      <c r="CT224" s="589"/>
      <c r="CU224" s="589"/>
      <c r="CV224" s="589"/>
      <c r="CW224" s="587"/>
      <c r="CX224" s="590"/>
      <c r="CY224" s="590"/>
      <c r="CZ224" s="590"/>
      <c r="DA224" s="1054"/>
      <c r="DB224" s="1054"/>
      <c r="DC224" s="587"/>
      <c r="DD224" s="587"/>
    </row>
    <row r="225" spans="1:108" s="588" customFormat="1" x14ac:dyDescent="0.2">
      <c r="A225" s="589">
        <f t="shared" si="3"/>
        <v>215</v>
      </c>
      <c r="B225" s="587"/>
      <c r="C225" s="587"/>
      <c r="D225" s="587"/>
      <c r="J225" s="589"/>
      <c r="K225" s="590"/>
      <c r="L225" s="591"/>
      <c r="M225" s="592"/>
      <c r="N225" s="589"/>
      <c r="O225" s="587"/>
      <c r="R225" s="1052"/>
      <c r="S225" s="1052"/>
      <c r="T225" s="1052"/>
      <c r="U225" s="1052"/>
      <c r="V225" s="1052"/>
      <c r="W225" s="1053"/>
      <c r="X225" s="1053"/>
      <c r="Y225" s="1053"/>
      <c r="Z225" s="1052"/>
      <c r="AA225" s="1052"/>
      <c r="AB225" s="962"/>
      <c r="AC225" s="590"/>
      <c r="AD225" s="590"/>
      <c r="AE225" s="591"/>
      <c r="AF225" s="592"/>
      <c r="AG225" s="1053"/>
      <c r="AH225" s="587"/>
      <c r="AK225" s="1041" t="str">
        <f>Codes!$C$171</f>
        <v>TR - Aerial Tramway (DO)</v>
      </c>
      <c r="AL225" s="1042" t="str">
        <f>Valid!$B$75</f>
        <v>Elevated/Steel Viaduct or Bridge</v>
      </c>
      <c r="AM225" s="1108" t="e">
        <f>IF('A-80 DirEntInv'!#REF!&lt;&gt;"",'A-80 DirEntInv'!#REF!,IF(AK225=summaryref2!B16,summaryref2!D16,IF(Summary!AK225=summaryref2!B30,summaryref2!D30,IF(AK225=summaryref2!B44,summaryref2!D44,IF(AK225=summaryref2!B58,summaryref2!D58,IF(AK225=summaryref2!B72,summaryref2!D72,IF(AK225=summaryref2!B86,summaryref2!D86,IF(AK225=summaryref2!B100,summaryref2!D100,IF(AK225=summaryref2!B114,summaryref2!D114,IF(AK225=summaryref2!B128,summaryref2!D128,IF(AK225=summaryref2!B142,summaryref2!D142,"")))))))))))</f>
        <v>#REF!</v>
      </c>
      <c r="AN225" s="1109" t="e">
        <f ca="1">IF('A-80 DirEntInv'!#REF!&lt;&gt;"",'A-80 DirEntInv'!#REF!,IF(INDIRECT(ADDRESS(SumRef!CG507,SumRef!CG$16,,,SumRef!$C$7))="","",INDIRECT(ADDRESS(SumRef!CG507,SumRef!CG$16,,,SumRef!$C$7))))</f>
        <v>#REF!</v>
      </c>
      <c r="AO225" s="1108" t="e">
        <f>IF('A-80 DirEntInv'!#REF!&lt;&gt;"",'A-80 DirEntInv'!#REF!,IF(AK225=summaryref2!B16,summaryref2!F16,IF(Summary!AK225=summaryref2!B30,summaryref2!F30,IF(AK225=summaryref2!B44,summaryref2!F44,IF(AK225=summaryref2!B58,summaryref2!F58,IF(AK225=summaryref2!B72,summaryref2!F72,IF(AK225=summaryref2!B86,summaryref2!F86,IF(AK225=summaryref2!B100,summaryref2!F100,IF(AK225=summaryref2!B114,summaryref2!F114,IF(AK225=summaryref2!B128,summaryref2!F128,IF(AK225=summaryref2!B142,summaryref2!F142,"")))))))))))</f>
        <v>#REF!</v>
      </c>
      <c r="AP225" s="1109" t="e">
        <f ca="1">IF('A-80 DirEntInv'!#REF!&lt;&gt;"",'A-80 DirEntInv'!#REF!,IF(INDIRECT(ADDRESS(SumRef!#REF!,SumRef!#REF!,,,SumRef!$C$7))="","",INDIRECT(ADDRESS(SumRef!#REF!,SumRef!#REF!,,,SumRef!$C$7))))</f>
        <v>#REF!</v>
      </c>
      <c r="AQ225" s="1147" t="e">
        <f>IF('A-80 DirEntInv'!#REF!&lt;&gt;"",'A-80 DirEntInv'!#REF!,IF(AK225=summaryref2!B16,summaryref2!G16,IF(Summary!AK225=summaryref2!B30,summaryref2!G30,IF(AK225=summaryref2!B44,summaryref2!G44,IF(AK225=summaryref2!B58,summaryref2!G58,IF(AK225=summaryref2!B72,summaryref2!G72,IF(AK225=summaryref2!B86,summaryref2!G86,IF(AK225=summaryref2!B100,summaryref2!G100,IF(AK225=summaryref2!B114,summaryref2!G114,IF(AK225=summaryref2!B128,summaryref2!G128,IF(AK225=summaryref2!B142,summaryref2!G142,"")))))))))))</f>
        <v>#REF!</v>
      </c>
      <c r="AR225" s="1147" t="e">
        <f>IF('A-80 DirEntInv'!#REF!&lt;&gt;"",'A-80 DirEntInv'!#REF!,IF(AK225=summaryref2!B16,summaryref2!H16,IF(Summary!AK225=summaryref2!B30,summaryref2!H30,IF(AK225=summaryref2!B44,summaryref2!H44,IF(AK225=summaryref2!B58,summaryref2!H58,IF(AK225=summaryref2!B72,summaryref2!H72,IF(AK225=summaryref2!B86,summaryref2!H86,IF(AK225=summaryref2!B100,summaryref2!H100,IF(AK225=summaryref2!B114,summaryref2!H114,IF(AK225=summaryref2!B128,summaryref2!H128,IF(AK225=summaryref2!B142,summaryref2!H142,"")))))))))))</f>
        <v>#REF!</v>
      </c>
      <c r="AS225" s="1110" t="e">
        <f>IF('A-80 DirEntInv'!#REF!&lt;&gt;"",'A-80 DirEntInv'!#REF!,IF(AK225=summaryref2!B16,summaryref2!I16,IF(Summary!AK225=summaryref2!B30,summaryref2!I30,IF(AK225=summaryref2!B44,summaryref2!I44,IF(AK225=summaryref2!B58,summaryref2!I58,IF(AK225=summaryref2!B72,summaryref2!I72,IF(AK225=summaryref2!B86,summaryref2!I86,IF(AK225=summaryref2!B100,summaryref2!I100,IF(AK225=summaryref2!B114,summaryref2!I114,IF(AK225=summaryref2!B128,summaryref2!I128,IF(AK225=summaryref2!B142,summaryref2!I142,"")))))))))))</f>
        <v>#REF!</v>
      </c>
      <c r="AT225" s="1110" t="e">
        <f>IF('A-80 DirEntInv'!#REF!&lt;&gt;"",'A-80 DirEntInv'!#REF!,IF(AK225=summaryref2!B16,summaryref2!J16,IF(Summary!AK225=summaryref2!B30,summaryref2!J30,IF(AK225=summaryref2!B44,summaryref2!J44,IF(AK225=summaryref2!B58,summaryref2!J58,IF(AK225=summaryref2!B72,summaryref2!J72,IF(AK225=summaryref2!B86,summaryref2!J86,IF(AK225=summaryref2!B100,summaryref2!J100,IF(AK225=summaryref2!B114,summaryref2!J114,IF(AK225=summaryref2!B128,summaryref2!J128,IF(AK225=summaryref2!B142,summaryref2!J142,"")))))))))))</f>
        <v>#REF!</v>
      </c>
      <c r="AU225" s="1110" t="e">
        <f>IF('A-80 DirEntInv'!#REF!&lt;&gt;"",'A-80 DirEntInv'!#REF!,IF(AK225=summaryref2!B16,summaryref2!K16,IF(Summary!AK225=summaryref2!B30,summaryref2!K30,IF(AK225=summaryref2!B44,summaryref2!K44,IF(AK225=summaryref2!B58,summaryref2!K58,IF(AK225=summaryref2!B72,summaryref2!K72,IF(AK225=summaryref2!B86,summaryref2!K86,IF(AK225=summaryref2!B100,summaryref2!K100,IF(AK225=summaryref2!B114,summaryref2!K114,IF(AK225=summaryref2!B128,summaryref2!K128,IF(AK225=summaryref2!B142,summaryref2!K142,"")))))))))))</f>
        <v>#REF!</v>
      </c>
      <c r="AV225" s="1110" t="e">
        <f>IF('A-80 DirEntInv'!#REF!&lt;&gt;"",'A-80 DirEntInv'!#REF!,IF(AK225=summaryref2!B16,summaryref2!L16,IF(Summary!AK225=summaryref2!B30,summaryref2!L30,IF(AK225=summaryref2!B44,summaryref2!L44,IF(AK225=summaryref2!B58,summaryref2!L58,IF(AK225=summaryref2!B72,summaryref2!L72,IF(AK225=summaryref2!B86,summaryref2!L86,IF(AK225=summaryref2!B100,summaryref2!L100,IF(AK225=summaryref2!B114,summaryref2!L114,IF(AK225=summaryref2!B128,summaryref2!L128,IF(AK225=summaryref2!B142,summaryref2!L142,"")))))))))))</f>
        <v>#REF!</v>
      </c>
      <c r="AW225" s="1110" t="e">
        <f>IF('A-80 DirEntInv'!#REF!&lt;&gt;"",'A-80 DirEntInv'!#REF!,IF(AK225=summaryref2!B16,summaryref2!M16,IF(Summary!AK225=summaryref2!B30,summaryref2!M30,IF(AK225=summaryref2!B44,summaryref2!M44,IF(AK225=summaryref2!B58,summaryref2!M58,IF(AK225=summaryref2!B72,summaryref2!M72,IF(AK225=summaryref2!B86,summaryref2!M86,IF(AK225=summaryref2!B100,summaryref2!M100,IF(AK225=summaryref2!B114,summaryref2!M114,IF(AK225=summaryref2!B128,summaryref2!M128,IF(AK225=summaryref2!B142,summaryref2!M142,"")))))))))))</f>
        <v>#REF!</v>
      </c>
      <c r="AX225" s="1110" t="e">
        <f>IF('A-80 DirEntInv'!#REF!&lt;&gt;"",'A-80 DirEntInv'!#REF!,IF(AK225=summaryref2!B16,summaryref2!N16,IF(Summary!AK225=summaryref2!B30,summaryref2!N30,IF(AK225=summaryref2!B44,summaryref2!N44,IF(AK225=summaryref2!B58,summaryref2!N58,IF(AK225=summaryref2!B72,summaryref2!N72,IF(AK225=summaryref2!B86,summaryref2!N86,IF(AK225=summaryref2!B100,summaryref2!N100,IF(AK225=summaryref2!B114,summaryref2!N114,IF(AK225=summaryref2!B128,summaryref2!N128,IF(AK225=summaryref2!B142,summaryref2!N142,"")))))))))))</f>
        <v>#REF!</v>
      </c>
      <c r="AY225" s="1110" t="e">
        <f>IF('A-80 DirEntInv'!#REF!&lt;&gt;"",'A-80 DirEntInv'!#REF!,IF(AK225=summaryref2!B16,summaryref2!O16,IF(Summary!AK225=summaryref2!B30,summaryref2!O30,IF(AK225=summaryref2!B44,summaryref2!O44,IF(AK225=summaryref2!B58,summaryref2!O58,IF(AK225=summaryref2!B72,summaryref2!O72,IF(AK225=summaryref2!B86,summaryref2!O86,IF(AK225=summaryref2!B100,summaryref2!O100,IF(AK225=summaryref2!B114,summaryref2!O114,IF(AK225=summaryref2!B128,summaryref2!O128,IF(AK225=summaryref2!B142,summaryref2!O142,"")))))))))))</f>
        <v>#REF!</v>
      </c>
      <c r="AZ225" s="1110" t="e">
        <f>IF('A-80 DirEntInv'!#REF!&lt;&gt;"",'A-80 DirEntInv'!#REF!,IF(AK225=summaryref2!B16,summaryref2!P16,IF(Summary!AK225=summaryref2!B30,summaryref2!P30,IF(AK225=summaryref2!B44,summaryref2!P44,IF(AK225=summaryref2!B58,summaryref2!P58,IF(AK225=summaryref2!B72,summaryref2!P72,IF(AK225=summaryref2!B86,summaryref2!P86,IF(AK225=summaryref2!B100,summaryref2!P100,IF(AK225=summaryref2!B114,summaryref2!P114,IF(AK225=summaryref2!B128,summaryref2!P128,IF(AK225=summaryref2!B142,summaryref2!P142,"")))))))))))</f>
        <v>#REF!</v>
      </c>
      <c r="BA225" s="1110" t="e">
        <f>IF('A-80 DirEntInv'!#REF!&lt;&gt;"",'A-80 DirEntInv'!#REF!,IF(AK225=summaryref2!B16,summaryref2!Q16,IF(Summary!AK225=summaryref2!B30,summaryref2!Q30,IF(AK225=summaryref2!B44,summaryref2!Q44,IF(AK225=summaryref2!B58,summaryref2!Q58,IF(AK225=summaryref2!B72,summaryref2!Q72,IF(AK225=summaryref2!B86,summaryref2!Q86,IF(AK225=summaryref2!B100,summaryref2!Q100,IF(AK225=summaryref2!B114,summaryref2!Q114,IF(AK225=summaryref2!B128,summaryref2!Q128,IF(AK225=summaryref2!B142,summaryref2!Q142,"")))))))))))</f>
        <v>#REF!</v>
      </c>
      <c r="BB225" s="1110" t="e">
        <f>IF('A-80 DirEntInv'!#REF!&lt;&gt;"",'A-80 DirEntInv'!#REF!,IF(AK225=summaryref2!B16,summaryref2!R16,IF(Summary!AK225=summaryref2!B30,summaryref2!R30,IF(AK225=summaryref2!B44,summaryref2!R44,IF(AK225=summaryref2!B58,summaryref2!R58,IF(AK225=summaryref2!B72,summaryref2!R72,IF(AK225=summaryref2!B86,summaryref2!R86,IF(AK225=summaryref2!B100,summaryref2!R100,IF(AK225=summaryref2!B114,summaryref2!R114,IF(AK225=summaryref2!B128,summaryref2!R128,IF(AK225=summaryref2!B142,summaryref2!R142,"")))))))))))</f>
        <v>#REF!</v>
      </c>
      <c r="BC225" s="1110" t="e">
        <f>IF('A-80 DirEntInv'!#REF!&lt;&gt;0,'A-80 DirEntInv'!#REF!,IF(AK225=summaryref2!B16,summaryref2!S16,IF(Summary!AK225=summaryref2!B30,summaryref2!S30,IF(AK225=summaryref2!B44,summaryref2!S44,IF(AK225=summaryref2!B58,summaryref2!S58,IF(AK225=summaryref2!B72,summaryref2!S72,IF(AK225=summaryref2!B86,summaryref2!S86,IF(AK225=summaryref2!B100,summaryref2!S100,IF(AK225=summaryref2!B114,summaryref2!S114,IF(AK225=summaryref2!B128,summaryref2!S128,IF(AK225=summaryref2!B142,summaryref2!S142,"")))))))))))</f>
        <v>#REF!</v>
      </c>
      <c r="BD225" s="1111" t="e">
        <f>IF('A-80 DirEntInv'!#REF!&lt;&gt;"",'A-80 DirEntInv'!#REF!,IF(AK225=summaryref2!B16,summaryref2!T16,IF(Summary!AK225=summaryref2!B30,summaryref2!T30,IF(AK225=summaryref2!B44,summaryref2!T44,IF(AK225=summaryref2!B58,summaryref2!T58,IF(AK225=summaryref2!B72,summaryref2!T72,IF(AK225=summaryref2!B86,summaryref2!T86,IF(AK225=summaryref2!B100,summaryref2!T100,IF(AK225=summaryref2!B114,summaryref2!T114,IF(AK225=summaryref2!B128,summaryref2!T128,IF(AK225=summaryref2!B142,summaryref2!T142,"")))))))))))</f>
        <v>#REF!</v>
      </c>
      <c r="BE225" s="1184" t="e">
        <f>IF('A-80 DirEntInv'!#REF!&lt;&gt;"",'A-80 DirEntInv'!#REF!,IF(AK225=summaryref2!B16,summaryref2!U16,IF(Summary!AK225=summaryref2!B30,summaryref2!U30,IF(AK225=summaryref2!B44,summaryref2!U44,IF(AK225=summaryref2!B58,summaryref2!U58,IF(AK225=summaryref2!B72,summaryref2!U72,IF(AK225=summaryref2!B86,summaryref2!U86,IF(AK225=summaryref2!B100,summaryref2!U100,IF(AK225=summaryref2!B114,summaryref2!U114,IF(AK225=summaryref2!B128,summaryref2!U128,IF(AK225=summaryref2!B142,summaryref2!U142,"")))))))))))</f>
        <v>#REF!</v>
      </c>
      <c r="BF225" s="1432"/>
      <c r="BG225" s="1432"/>
      <c r="BU225" s="962"/>
      <c r="CD225" s="589"/>
      <c r="CE225" s="590"/>
      <c r="CF225" s="590"/>
      <c r="CG225" s="590"/>
      <c r="CH225" s="590"/>
      <c r="CI225" s="590"/>
      <c r="CJ225" s="589"/>
      <c r="CK225" s="589"/>
      <c r="CL225" s="589"/>
      <c r="CM225" s="587"/>
      <c r="CN225" s="587"/>
      <c r="CO225" s="589"/>
      <c r="CP225" s="587"/>
      <c r="CQ225" s="592"/>
      <c r="CR225" s="589"/>
      <c r="CS225" s="592"/>
      <c r="CT225" s="589"/>
      <c r="CU225" s="589"/>
      <c r="CV225" s="589"/>
      <c r="CW225" s="587"/>
      <c r="CX225" s="590"/>
      <c r="CY225" s="590"/>
      <c r="CZ225" s="590"/>
      <c r="DA225" s="1054"/>
      <c r="DB225" s="1054"/>
      <c r="DC225" s="587"/>
      <c r="DD225" s="587"/>
    </row>
    <row r="226" spans="1:108" s="588" customFormat="1" x14ac:dyDescent="0.2">
      <c r="A226" s="589">
        <f t="shared" si="3"/>
        <v>216</v>
      </c>
      <c r="B226" s="587"/>
      <c r="C226" s="587"/>
      <c r="D226" s="587"/>
      <c r="J226" s="589"/>
      <c r="K226" s="590"/>
      <c r="L226" s="591"/>
      <c r="M226" s="592"/>
      <c r="N226" s="589"/>
      <c r="O226" s="587"/>
      <c r="R226" s="1052"/>
      <c r="S226" s="1052"/>
      <c r="T226" s="1052"/>
      <c r="U226" s="1052"/>
      <c r="V226" s="1052"/>
      <c r="W226" s="1053"/>
      <c r="X226" s="1053"/>
      <c r="Y226" s="1053"/>
      <c r="Z226" s="1052"/>
      <c r="AA226" s="1052"/>
      <c r="AB226" s="962"/>
      <c r="AC226" s="590"/>
      <c r="AD226" s="590"/>
      <c r="AE226" s="591"/>
      <c r="AF226" s="592"/>
      <c r="AG226" s="1053"/>
      <c r="AH226" s="587"/>
      <c r="AK226" s="1041" t="str">
        <f>Codes!$C$171</f>
        <v>TR - Aerial Tramway (DO)</v>
      </c>
      <c r="AL226" s="1042" t="str">
        <f>Valid!$B$76</f>
        <v>Below-Grade/Retained Cut</v>
      </c>
      <c r="AM226" s="1108" t="e">
        <f>IF('A-80 DirEntInv'!#REF!&lt;&gt;"",'A-80 DirEntInv'!#REF!,IF(AK226=summaryref2!B17,summaryref2!D17,IF(Summary!AK226=summaryref2!B31,summaryref2!D31,IF(AK226=summaryref2!B45,summaryref2!D45,IF(AK226=summaryref2!B59,summaryref2!D59,IF(AK226=summaryref2!B73,summaryref2!D73,IF(AK226=summaryref2!B87,summaryref2!D87,IF(AK226=summaryref2!B101,summaryref2!D101,IF(AK226=summaryref2!B115,summaryref2!D115,IF(AK226=summaryref2!B129,summaryref2!D129,IF(AK226=summaryref2!B143,summaryref2!D143,"")))))))))))</f>
        <v>#REF!</v>
      </c>
      <c r="AN226" s="1109" t="e">
        <f ca="1">IF('A-80 DirEntInv'!#REF!&lt;&gt;"",'A-80 DirEntInv'!#REF!,IF(INDIRECT(ADDRESS(SumRef!CG509,SumRef!CG$16,,,SumRef!$C$7))="","",INDIRECT(ADDRESS(SumRef!CG509,SumRef!CG$16,,,SumRef!$C$7))))</f>
        <v>#REF!</v>
      </c>
      <c r="AO226" s="1108" t="e">
        <f>IF('A-80 DirEntInv'!#REF!&lt;&gt;"",'A-80 DirEntInv'!#REF!,IF(AK226=summaryref2!B17,summaryref2!F17,IF(Summary!AK226=summaryref2!B31,summaryref2!F31,IF(AK226=summaryref2!B45,summaryref2!F45,IF(AK226=summaryref2!B59,summaryref2!F59,IF(AK226=summaryref2!B73,summaryref2!F73,IF(AK226=summaryref2!B87,summaryref2!F87,IF(AK226=summaryref2!B101,summaryref2!F101,IF(AK226=summaryref2!B115,summaryref2!F115,IF(AK226=summaryref2!B129,summaryref2!F129,IF(AK226=summaryref2!B143,summaryref2!F143,"")))))))))))</f>
        <v>#REF!</v>
      </c>
      <c r="AP226" s="1109" t="e">
        <f ca="1">IF('A-80 DirEntInv'!#REF!&lt;&gt;"",'A-80 DirEntInv'!#REF!,IF(INDIRECT(ADDRESS(SumRef!#REF!,SumRef!#REF!,,,SumRef!$C$7))="","",INDIRECT(ADDRESS(SumRef!#REF!,SumRef!#REF!,,,SumRef!$C$7))))</f>
        <v>#REF!</v>
      </c>
      <c r="AQ226" s="1147" t="e">
        <f>IF('A-80 DirEntInv'!#REF!&lt;&gt;"",'A-80 DirEntInv'!#REF!,IF(AK226=summaryref2!B17,summaryref2!G17,IF(Summary!AK226=summaryref2!B31,summaryref2!G31,IF(AK226=summaryref2!B45,summaryref2!G45,IF(AK226=summaryref2!B59,summaryref2!G59,IF(AK226=summaryref2!B73,summaryref2!G73,IF(AK226=summaryref2!B87,summaryref2!G87,IF(AK226=summaryref2!B101,summaryref2!G101,IF(AK226=summaryref2!B115,summaryref2!G115,IF(AK226=summaryref2!B129,summaryref2!G129,IF(AK226=summaryref2!B143,summaryref2!G143,"")))))))))))</f>
        <v>#REF!</v>
      </c>
      <c r="AR226" s="1147" t="e">
        <f>IF('A-80 DirEntInv'!#REF!&lt;&gt;"",'A-80 DirEntInv'!#REF!,IF(AK226=summaryref2!B17,summaryref2!H17,IF(Summary!AK226=summaryref2!B31,summaryref2!H31,IF(AK226=summaryref2!B45,summaryref2!H45,IF(AK226=summaryref2!B59,summaryref2!H59,IF(AK226=summaryref2!B73,summaryref2!H73,IF(AK226=summaryref2!B87,summaryref2!H87,IF(AK226=summaryref2!B101,summaryref2!H101,IF(AK226=summaryref2!B115,summaryref2!H115,IF(AK226=summaryref2!B129,summaryref2!H129,IF(AK226=summaryref2!B143,summaryref2!H143,"")))))))))))</f>
        <v>#REF!</v>
      </c>
      <c r="AS226" s="1110" t="e">
        <f>IF('A-80 DirEntInv'!#REF!&lt;&gt;"",'A-80 DirEntInv'!#REF!,IF(AK226=summaryref2!B17,summaryref2!I17,IF(Summary!AK226=summaryref2!B31,summaryref2!I31,IF(AK226=summaryref2!B45,summaryref2!I45,IF(AK226=summaryref2!B59,summaryref2!I59,IF(AK226=summaryref2!B73,summaryref2!I73,IF(AK226=summaryref2!B87,summaryref2!I87,IF(AK226=summaryref2!B101,summaryref2!I101,IF(AK226=summaryref2!B115,summaryref2!I115,IF(AK226=summaryref2!B129,summaryref2!I129,IF(AK226=summaryref2!B143,summaryref2!I143,"")))))))))))</f>
        <v>#REF!</v>
      </c>
      <c r="AT226" s="1110" t="e">
        <f>IF('A-80 DirEntInv'!#REF!&lt;&gt;"",'A-80 DirEntInv'!#REF!,IF(AK226=summaryref2!B17,summaryref2!J17,IF(Summary!AK226=summaryref2!B31,summaryref2!J31,IF(AK226=summaryref2!B45,summaryref2!J45,IF(AK226=summaryref2!B59,summaryref2!J59,IF(AK226=summaryref2!B73,summaryref2!J73,IF(AK226=summaryref2!B87,summaryref2!J87,IF(AK226=summaryref2!B101,summaryref2!J101,IF(AK226=summaryref2!B115,summaryref2!J115,IF(AK226=summaryref2!B129,summaryref2!J129,IF(AK226=summaryref2!B143,summaryref2!J143,"")))))))))))</f>
        <v>#REF!</v>
      </c>
      <c r="AU226" s="1110" t="e">
        <f>IF('A-80 DirEntInv'!#REF!&lt;&gt;"",'A-80 DirEntInv'!#REF!,IF(AK226=summaryref2!B17,summaryref2!K17,IF(Summary!AK226=summaryref2!B31,summaryref2!K31,IF(AK226=summaryref2!B45,summaryref2!K45,IF(AK226=summaryref2!B59,summaryref2!K59,IF(AK226=summaryref2!B73,summaryref2!K73,IF(AK226=summaryref2!B87,summaryref2!K87,IF(AK226=summaryref2!B101,summaryref2!K101,IF(AK226=summaryref2!B115,summaryref2!K115,IF(AK226=summaryref2!B129,summaryref2!K129,IF(AK226=summaryref2!B143,summaryref2!K143,"")))))))))))</f>
        <v>#REF!</v>
      </c>
      <c r="AV226" s="1110" t="e">
        <f>IF('A-80 DirEntInv'!#REF!&lt;&gt;"",'A-80 DirEntInv'!#REF!,IF(AK226=summaryref2!B17,summaryref2!L17,IF(Summary!AK226=summaryref2!B31,summaryref2!L31,IF(AK226=summaryref2!B45,summaryref2!L45,IF(AK226=summaryref2!B59,summaryref2!L59,IF(AK226=summaryref2!B73,summaryref2!L73,IF(AK226=summaryref2!B87,summaryref2!L87,IF(AK226=summaryref2!B101,summaryref2!L101,IF(AK226=summaryref2!B115,summaryref2!L115,IF(AK226=summaryref2!B129,summaryref2!L129,IF(AK226=summaryref2!B143,summaryref2!L143,"")))))))))))</f>
        <v>#REF!</v>
      </c>
      <c r="AW226" s="1110" t="e">
        <f>IF('A-80 DirEntInv'!#REF!&lt;&gt;"",'A-80 DirEntInv'!#REF!,IF(AK226=summaryref2!B17,summaryref2!M17,IF(Summary!AK226=summaryref2!B31,summaryref2!M31,IF(AK226=summaryref2!B45,summaryref2!M45,IF(AK226=summaryref2!B59,summaryref2!M59,IF(AK226=summaryref2!B73,summaryref2!M73,IF(AK226=summaryref2!B87,summaryref2!M87,IF(AK226=summaryref2!B101,summaryref2!M101,IF(AK226=summaryref2!B115,summaryref2!M115,IF(AK226=summaryref2!B129,summaryref2!M129,IF(AK226=summaryref2!B143,summaryref2!M143,"")))))))))))</f>
        <v>#REF!</v>
      </c>
      <c r="AX226" s="1110" t="e">
        <f>IF('A-80 DirEntInv'!#REF!&lt;&gt;"",'A-80 DirEntInv'!#REF!,IF(AK226=summaryref2!B17,summaryref2!N17,IF(Summary!AK226=summaryref2!B31,summaryref2!N31,IF(AK226=summaryref2!B45,summaryref2!N45,IF(AK226=summaryref2!B59,summaryref2!N59,IF(AK226=summaryref2!B73,summaryref2!N73,IF(AK226=summaryref2!B87,summaryref2!N87,IF(AK226=summaryref2!B101,summaryref2!N101,IF(AK226=summaryref2!B115,summaryref2!N115,IF(AK226=summaryref2!B129,summaryref2!N129,IF(AK226=summaryref2!B143,summaryref2!N143,"")))))))))))</f>
        <v>#REF!</v>
      </c>
      <c r="AY226" s="1110" t="e">
        <f>IF('A-80 DirEntInv'!#REF!&lt;&gt;"",'A-80 DirEntInv'!#REF!,IF(AK226=summaryref2!B17,summaryref2!O17,IF(Summary!AK226=summaryref2!B31,summaryref2!O31,IF(AK226=summaryref2!B45,summaryref2!O45,IF(AK226=summaryref2!B59,summaryref2!O59,IF(AK226=summaryref2!B73,summaryref2!O73,IF(AK226=summaryref2!B87,summaryref2!O87,IF(AK226=summaryref2!B101,summaryref2!O101,IF(AK226=summaryref2!B115,summaryref2!O115,IF(AK226=summaryref2!B129,summaryref2!O129,IF(AK226=summaryref2!B143,summaryref2!O143,"")))))))))))</f>
        <v>#REF!</v>
      </c>
      <c r="AZ226" s="1110" t="e">
        <f>IF('A-80 DirEntInv'!#REF!&lt;&gt;"",'A-80 DirEntInv'!#REF!,IF(AK226=summaryref2!B17,summaryref2!P17,IF(Summary!AK226=summaryref2!B31,summaryref2!P31,IF(AK226=summaryref2!B45,summaryref2!P45,IF(AK226=summaryref2!B59,summaryref2!P59,IF(AK226=summaryref2!B73,summaryref2!P73,IF(AK226=summaryref2!B87,summaryref2!P87,IF(AK226=summaryref2!B101,summaryref2!P101,IF(AK226=summaryref2!B115,summaryref2!P115,IF(AK226=summaryref2!B129,summaryref2!P129,IF(AK226=summaryref2!B143,summaryref2!P143,"")))))))))))</f>
        <v>#REF!</v>
      </c>
      <c r="BA226" s="1110" t="e">
        <f>IF('A-80 DirEntInv'!#REF!&lt;&gt;"",'A-80 DirEntInv'!#REF!,IF(AK226=summaryref2!B17,summaryref2!Q17,IF(Summary!AK226=summaryref2!B31,summaryref2!Q31,IF(AK226=summaryref2!B45,summaryref2!Q45,IF(AK226=summaryref2!B59,summaryref2!Q59,IF(AK226=summaryref2!B73,summaryref2!Q73,IF(AK226=summaryref2!B87,summaryref2!Q87,IF(AK226=summaryref2!B101,summaryref2!Q101,IF(AK226=summaryref2!B115,summaryref2!Q115,IF(AK226=summaryref2!B129,summaryref2!Q129,IF(AK226=summaryref2!B143,summaryref2!Q143,"")))))))))))</f>
        <v>#REF!</v>
      </c>
      <c r="BB226" s="1110" t="e">
        <f>IF('A-80 DirEntInv'!#REF!&lt;&gt;"",'A-80 DirEntInv'!#REF!,IF(AK226=summaryref2!B17,summaryref2!R17,IF(Summary!AK226=summaryref2!B31,summaryref2!R31,IF(AK226=summaryref2!B45,summaryref2!R45,IF(AK226=summaryref2!B59,summaryref2!R59,IF(AK226=summaryref2!B73,summaryref2!R73,IF(AK226=summaryref2!B87,summaryref2!R87,IF(AK226=summaryref2!B101,summaryref2!R101,IF(AK226=summaryref2!B115,summaryref2!R115,IF(AK226=summaryref2!B129,summaryref2!R129,IF(AK226=summaryref2!B143,summaryref2!R143,"")))))))))))</f>
        <v>#REF!</v>
      </c>
      <c r="BC226" s="1110" t="e">
        <f>IF('A-80 DirEntInv'!#REF!&lt;&gt;0,'A-80 DirEntInv'!#REF!,IF(AK226=summaryref2!B17,summaryref2!S17,IF(Summary!AK226=summaryref2!B31,summaryref2!S31,IF(AK226=summaryref2!B45,summaryref2!S45,IF(AK226=summaryref2!B59,summaryref2!S59,IF(AK226=summaryref2!B73,summaryref2!S73,IF(AK226=summaryref2!B87,summaryref2!S87,IF(AK226=summaryref2!B101,summaryref2!S101,IF(AK226=summaryref2!B115,summaryref2!S115,IF(AK226=summaryref2!B129,summaryref2!S129,IF(AK226=summaryref2!B143,summaryref2!S143,"")))))))))))</f>
        <v>#REF!</v>
      </c>
      <c r="BD226" s="1111" t="e">
        <f>IF('A-80 DirEntInv'!#REF!&lt;&gt;"",'A-80 DirEntInv'!#REF!,IF(AK226=summaryref2!B17,summaryref2!T17,IF(Summary!AK226=summaryref2!B31,summaryref2!T31,IF(AK226=summaryref2!B45,summaryref2!T45,IF(AK226=summaryref2!B59,summaryref2!T59,IF(AK226=summaryref2!B73,summaryref2!T73,IF(AK226=summaryref2!B87,summaryref2!T87,IF(AK226=summaryref2!B101,summaryref2!T101,IF(AK226=summaryref2!B115,summaryref2!T115,IF(AK226=summaryref2!B129,summaryref2!T129,IF(AK226=summaryref2!B143,summaryref2!T143,"")))))))))))</f>
        <v>#REF!</v>
      </c>
      <c r="BE226" s="1184" t="e">
        <f>IF('A-80 DirEntInv'!#REF!&lt;&gt;"",'A-80 DirEntInv'!#REF!,IF(AK226=summaryref2!B17,summaryref2!U17,IF(Summary!AK226=summaryref2!B31,summaryref2!U31,IF(AK226=summaryref2!B45,summaryref2!U45,IF(AK226=summaryref2!B59,summaryref2!U59,IF(AK226=summaryref2!B73,summaryref2!U73,IF(AK226=summaryref2!B87,summaryref2!U87,IF(AK226=summaryref2!B101,summaryref2!U101,IF(AK226=summaryref2!B115,summaryref2!U115,IF(AK226=summaryref2!B129,summaryref2!U129,IF(AK226=summaryref2!B143,summaryref2!U143,"")))))))))))</f>
        <v>#REF!</v>
      </c>
      <c r="BF226" s="1432"/>
      <c r="BG226" s="1432"/>
      <c r="BU226" s="962"/>
      <c r="CD226" s="589"/>
      <c r="CE226" s="590"/>
      <c r="CF226" s="590"/>
      <c r="CG226" s="590"/>
      <c r="CH226" s="590"/>
      <c r="CI226" s="590"/>
      <c r="CJ226" s="589"/>
      <c r="CK226" s="589"/>
      <c r="CL226" s="589"/>
      <c r="CM226" s="587"/>
      <c r="CN226" s="587"/>
      <c r="CO226" s="589"/>
      <c r="CP226" s="587"/>
      <c r="CQ226" s="592"/>
      <c r="CR226" s="589"/>
      <c r="CS226" s="592"/>
      <c r="CT226" s="589"/>
      <c r="CU226" s="589"/>
      <c r="CV226" s="589"/>
      <c r="CW226" s="587"/>
      <c r="CX226" s="590"/>
      <c r="CY226" s="590"/>
      <c r="CZ226" s="590"/>
      <c r="DA226" s="1054"/>
      <c r="DB226" s="1054"/>
      <c r="DC226" s="587"/>
      <c r="DD226" s="587"/>
    </row>
    <row r="227" spans="1:108" s="588" customFormat="1" x14ac:dyDescent="0.2">
      <c r="A227" s="589">
        <f t="shared" si="3"/>
        <v>217</v>
      </c>
      <c r="B227" s="587"/>
      <c r="C227" s="587"/>
      <c r="D227" s="587"/>
      <c r="J227" s="589"/>
      <c r="K227" s="590"/>
      <c r="L227" s="591"/>
      <c r="M227" s="592"/>
      <c r="N227" s="589"/>
      <c r="O227" s="587"/>
      <c r="R227" s="1052"/>
      <c r="S227" s="1052"/>
      <c r="T227" s="1052"/>
      <c r="U227" s="1052"/>
      <c r="V227" s="1052"/>
      <c r="W227" s="1053"/>
      <c r="X227" s="1053"/>
      <c r="Y227" s="1053"/>
      <c r="Z227" s="1052"/>
      <c r="AA227" s="1052"/>
      <c r="AB227" s="962"/>
      <c r="AC227" s="590"/>
      <c r="AD227" s="590"/>
      <c r="AE227" s="591"/>
      <c r="AF227" s="592"/>
      <c r="AG227" s="1053"/>
      <c r="AH227" s="587"/>
      <c r="AK227" s="1041" t="str">
        <f>Codes!$C$171</f>
        <v>TR - Aerial Tramway (DO)</v>
      </c>
      <c r="AL227" s="1042" t="str">
        <f>Valid!$B$77</f>
        <v>Below-Grade/Cut-and-Cover Tunnel</v>
      </c>
      <c r="AM227" s="1108" t="e">
        <f>IF('A-80 DirEntInv'!#REF!&lt;&gt;"",'A-80 DirEntInv'!#REF!,IF(AK227=summaryref2!B18,summaryref2!D18,IF(Summary!AK227=summaryref2!B32,summaryref2!D32,IF(AK227=summaryref2!B46,summaryref2!D46,IF(AK227=summaryref2!B60,summaryref2!D60,IF(AK227=summaryref2!B74,summaryref2!D74,IF(AK227=summaryref2!B88,summaryref2!D88,IF(AK227=summaryref2!B102,summaryref2!D102,IF(AK227=summaryref2!B116,summaryref2!D116,IF(AK227=summaryref2!B130,summaryref2!D130,IF(AK227=summaryref2!B144,summaryref2!D144,"")))))))))))</f>
        <v>#REF!</v>
      </c>
      <c r="AN227" s="1109" t="e">
        <f ca="1">IF('A-80 DirEntInv'!#REF!&lt;&gt;"",'A-80 DirEntInv'!#REF!,IF(INDIRECT(ADDRESS(SumRef!CG510,SumRef!CG$16,,,SumRef!$C$7))="","",INDIRECT(ADDRESS(SumRef!CG510,SumRef!CG$16,,,SumRef!$C$7))))</f>
        <v>#REF!</v>
      </c>
      <c r="AO227" s="1108" t="e">
        <f>IF('A-80 DirEntInv'!#REF!&lt;&gt;"",'A-80 DirEntInv'!#REF!,IF(AK227=summaryref2!B18,summaryref2!F18,IF(Summary!AK227=summaryref2!B32,summaryref2!F32,IF(AK227=summaryref2!B46,summaryref2!F46,IF(AK227=summaryref2!B60,summaryref2!F60,IF(AK227=summaryref2!B74,summaryref2!F74,IF(AK227=summaryref2!B88,summaryref2!F88,IF(AK227=summaryref2!B102,summaryref2!F102,IF(AK227=summaryref2!B116,summaryref2!F116,IF(AK227=summaryref2!B130,summaryref2!F130,IF(AK227=summaryref2!B144,summaryref2!F144,"")))))))))))</f>
        <v>#REF!</v>
      </c>
      <c r="AP227" s="1109" t="e">
        <f ca="1">IF('A-80 DirEntInv'!#REF!&lt;&gt;"",'A-80 DirEntInv'!#REF!,IF(INDIRECT(ADDRESS(SumRef!#REF!,SumRef!#REF!,,,SumRef!$C$7))="","",INDIRECT(ADDRESS(SumRef!#REF!,SumRef!#REF!,,,SumRef!$C$7))))</f>
        <v>#REF!</v>
      </c>
      <c r="AQ227" s="1147" t="e">
        <f>IF('A-80 DirEntInv'!#REF!&lt;&gt;"",'A-80 DirEntInv'!#REF!,IF(AK227=summaryref2!B18,summaryref2!G18,IF(Summary!AK227=summaryref2!B32,summaryref2!G32,IF(AK227=summaryref2!B46,summaryref2!G46,IF(AK227=summaryref2!B60,summaryref2!G60,IF(AK227=summaryref2!B74,summaryref2!G74,IF(AK227=summaryref2!B88,summaryref2!G88,IF(AK227=summaryref2!B102,summaryref2!G102,IF(AK227=summaryref2!B116,summaryref2!G116,IF(AK227=summaryref2!B130,summaryref2!G130,IF(AK227=summaryref2!B144,summaryref2!G144,"")))))))))))</f>
        <v>#REF!</v>
      </c>
      <c r="AR227" s="1147" t="e">
        <f>IF('A-80 DirEntInv'!#REF!&lt;&gt;"",'A-80 DirEntInv'!#REF!,IF(AK227=summaryref2!B18,summaryref2!H18,IF(Summary!AK227=summaryref2!B32,summaryref2!H32,IF(AK227=summaryref2!B46,summaryref2!H46,IF(AK227=summaryref2!B60,summaryref2!H60,IF(AK227=summaryref2!B74,summaryref2!H74,IF(AK227=summaryref2!B88,summaryref2!H88,IF(AK227=summaryref2!B102,summaryref2!H102,IF(AK227=summaryref2!B116,summaryref2!H116,IF(AK227=summaryref2!B130,summaryref2!H130,IF(AK227=summaryref2!B144,summaryref2!H144,"")))))))))))</f>
        <v>#REF!</v>
      </c>
      <c r="AS227" s="1110" t="e">
        <f>IF('A-80 DirEntInv'!#REF!&lt;&gt;"",'A-80 DirEntInv'!#REF!,IF(AK227=summaryref2!B18,summaryref2!I18,IF(Summary!AK227=summaryref2!B32,summaryref2!I32,IF(AK227=summaryref2!B46,summaryref2!I46,IF(AK227=summaryref2!B60,summaryref2!I60,IF(AK227=summaryref2!B74,summaryref2!I74,IF(AK227=summaryref2!B88,summaryref2!I88,IF(AK227=summaryref2!B102,summaryref2!I102,IF(AK227=summaryref2!B116,summaryref2!I116,IF(AK227=summaryref2!B130,summaryref2!I130,IF(AK227=summaryref2!B144,summaryref2!I144,"")))))))))))</f>
        <v>#REF!</v>
      </c>
      <c r="AT227" s="1110" t="e">
        <f>IF('A-80 DirEntInv'!#REF!&lt;&gt;"",'A-80 DirEntInv'!#REF!,IF(AK227=summaryref2!B18,summaryref2!J18,IF(Summary!AK227=summaryref2!B32,summaryref2!J32,IF(AK227=summaryref2!B46,summaryref2!J46,IF(AK227=summaryref2!B60,summaryref2!J60,IF(AK227=summaryref2!B74,summaryref2!J74,IF(AK227=summaryref2!B88,summaryref2!J88,IF(AK227=summaryref2!B102,summaryref2!J102,IF(AK227=summaryref2!B116,summaryref2!J116,IF(AK227=summaryref2!B130,summaryref2!J130,IF(AK227=summaryref2!B144,summaryref2!J144,"")))))))))))</f>
        <v>#REF!</v>
      </c>
      <c r="AU227" s="1110" t="e">
        <f>IF('A-80 DirEntInv'!#REF!&lt;&gt;"",'A-80 DirEntInv'!#REF!,IF(AK227=summaryref2!B18,summaryref2!K18,IF(Summary!AK227=summaryref2!B32,summaryref2!K32,IF(AK227=summaryref2!B46,summaryref2!K46,IF(AK227=summaryref2!B60,summaryref2!K60,IF(AK227=summaryref2!B74,summaryref2!K74,IF(AK227=summaryref2!B88,summaryref2!K88,IF(AK227=summaryref2!B102,summaryref2!K102,IF(AK227=summaryref2!B116,summaryref2!K116,IF(AK227=summaryref2!B130,summaryref2!K130,IF(AK227=summaryref2!B144,summaryref2!K144,"")))))))))))</f>
        <v>#REF!</v>
      </c>
      <c r="AV227" s="1110" t="e">
        <f>IF('A-80 DirEntInv'!#REF!&lt;&gt;"",'A-80 DirEntInv'!#REF!,IF(AK227=summaryref2!B18,summaryref2!L18,IF(Summary!AK227=summaryref2!B32,summaryref2!L32,IF(AK227=summaryref2!B46,summaryref2!L46,IF(AK227=summaryref2!B60,summaryref2!L60,IF(AK227=summaryref2!B74,summaryref2!L74,IF(AK227=summaryref2!B88,summaryref2!L88,IF(AK227=summaryref2!B102,summaryref2!L102,IF(AK227=summaryref2!B116,summaryref2!L116,IF(AK227=summaryref2!B130,summaryref2!L130,IF(AK227=summaryref2!B144,summaryref2!L144,"")))))))))))</f>
        <v>#REF!</v>
      </c>
      <c r="AW227" s="1110" t="e">
        <f>IF('A-80 DirEntInv'!#REF!&lt;&gt;"",'A-80 DirEntInv'!#REF!,IF(AK227=summaryref2!B18,summaryref2!M18,IF(Summary!AK227=summaryref2!B32,summaryref2!M32,IF(AK227=summaryref2!B46,summaryref2!M46,IF(AK227=summaryref2!B60,summaryref2!M60,IF(AK227=summaryref2!B74,summaryref2!M74,IF(AK227=summaryref2!B88,summaryref2!M88,IF(AK227=summaryref2!B102,summaryref2!M102,IF(AK227=summaryref2!B116,summaryref2!M116,IF(AK227=summaryref2!B130,summaryref2!M130,IF(AK227=summaryref2!B144,summaryref2!M144,"")))))))))))</f>
        <v>#REF!</v>
      </c>
      <c r="AX227" s="1110" t="e">
        <f>IF('A-80 DirEntInv'!#REF!&lt;&gt;"",'A-80 DirEntInv'!#REF!,IF(AK227=summaryref2!B18,summaryref2!N18,IF(Summary!AK227=summaryref2!B32,summaryref2!N32,IF(AK227=summaryref2!B46,summaryref2!N46,IF(AK227=summaryref2!B60,summaryref2!N60,IF(AK227=summaryref2!B74,summaryref2!N74,IF(AK227=summaryref2!B88,summaryref2!N88,IF(AK227=summaryref2!B102,summaryref2!N102,IF(AK227=summaryref2!B116,summaryref2!N116,IF(AK227=summaryref2!B130,summaryref2!N130,IF(AK227=summaryref2!B144,summaryref2!N144,"")))))))))))</f>
        <v>#REF!</v>
      </c>
      <c r="AY227" s="1110" t="e">
        <f>IF('A-80 DirEntInv'!#REF!&lt;&gt;"",'A-80 DirEntInv'!#REF!,IF(AK227=summaryref2!B18,summaryref2!O18,IF(Summary!AK227=summaryref2!B32,summaryref2!O32,IF(AK227=summaryref2!B46,summaryref2!O46,IF(AK227=summaryref2!B60,summaryref2!O60,IF(AK227=summaryref2!B74,summaryref2!O74,IF(AK227=summaryref2!B88,summaryref2!O88,IF(AK227=summaryref2!B102,summaryref2!O102,IF(AK227=summaryref2!B116,summaryref2!O116,IF(AK227=summaryref2!B130,summaryref2!O130,IF(AK227=summaryref2!B144,summaryref2!O144,"")))))))))))</f>
        <v>#REF!</v>
      </c>
      <c r="AZ227" s="1110" t="e">
        <f>IF('A-80 DirEntInv'!#REF!&lt;&gt;"",'A-80 DirEntInv'!#REF!,IF(AK227=summaryref2!B18,summaryref2!P18,IF(Summary!AK227=summaryref2!B32,summaryref2!P32,IF(AK227=summaryref2!B46,summaryref2!P46,IF(AK227=summaryref2!B60,summaryref2!P60,IF(AK227=summaryref2!B74,summaryref2!P74,IF(AK227=summaryref2!B88,summaryref2!P88,IF(AK227=summaryref2!B102,summaryref2!P102,IF(AK227=summaryref2!B116,summaryref2!P116,IF(AK227=summaryref2!B130,summaryref2!P130,IF(AK227=summaryref2!B144,summaryref2!P144,"")))))))))))</f>
        <v>#REF!</v>
      </c>
      <c r="BA227" s="1110" t="e">
        <f>IF('A-80 DirEntInv'!#REF!&lt;&gt;"",'A-80 DirEntInv'!#REF!,IF(AK227=summaryref2!B18,summaryref2!Q18,IF(Summary!AK227=summaryref2!B32,summaryref2!Q32,IF(AK227=summaryref2!B46,summaryref2!Q46,IF(AK227=summaryref2!B60,summaryref2!Q60,IF(AK227=summaryref2!B74,summaryref2!Q74,IF(AK227=summaryref2!B88,summaryref2!Q88,IF(AK227=summaryref2!B102,summaryref2!Q102,IF(AK227=summaryref2!B116,summaryref2!Q116,IF(AK227=summaryref2!B130,summaryref2!Q130,IF(AK227=summaryref2!B144,summaryref2!Q144,"")))))))))))</f>
        <v>#REF!</v>
      </c>
      <c r="BB227" s="1110" t="e">
        <f>IF('A-80 DirEntInv'!#REF!&lt;&gt;"",'A-80 DirEntInv'!#REF!,IF(AK227=summaryref2!B18,summaryref2!R18,IF(Summary!AK227=summaryref2!B32,summaryref2!R32,IF(AK227=summaryref2!B46,summaryref2!R46,IF(AK227=summaryref2!B60,summaryref2!R60,IF(AK227=summaryref2!B74,summaryref2!R74,IF(AK227=summaryref2!B88,summaryref2!R88,IF(AK227=summaryref2!B102,summaryref2!R102,IF(AK227=summaryref2!B116,summaryref2!R116,IF(AK227=summaryref2!B130,summaryref2!R130,IF(AK227=summaryref2!B144,summaryref2!R144,"")))))))))))</f>
        <v>#REF!</v>
      </c>
      <c r="BC227" s="1110" t="e">
        <f>IF('A-80 DirEntInv'!#REF!&lt;&gt;0,'A-80 DirEntInv'!#REF!,IF(AK227=summaryref2!B18,summaryref2!S18,IF(Summary!AK227=summaryref2!B32,summaryref2!S32,IF(AK227=summaryref2!B46,summaryref2!S46,IF(AK227=summaryref2!B60,summaryref2!S60,IF(AK227=summaryref2!B74,summaryref2!S74,IF(AK227=summaryref2!B88,summaryref2!S88,IF(AK227=summaryref2!B102,summaryref2!S102,IF(AK227=summaryref2!B116,summaryref2!S116,IF(AK227=summaryref2!B130,summaryref2!S130,IF(AK227=summaryref2!B144,summaryref2!S144,"")))))))))))</f>
        <v>#REF!</v>
      </c>
      <c r="BD227" s="1111" t="e">
        <f>IF('A-80 DirEntInv'!#REF!&lt;&gt;"",'A-80 DirEntInv'!#REF!,IF(AK227=summaryref2!B18,summaryref2!T18,IF(Summary!AK227=summaryref2!B32,summaryref2!T32,IF(AK227=summaryref2!B46,summaryref2!T46,IF(AK227=summaryref2!B60,summaryref2!T60,IF(AK227=summaryref2!B74,summaryref2!T74,IF(AK227=summaryref2!B88,summaryref2!T88,IF(AK227=summaryref2!B102,summaryref2!T102,IF(AK227=summaryref2!B116,summaryref2!T116,IF(AK227=summaryref2!B130,summaryref2!T130,IF(AK227=summaryref2!B144,summaryref2!T144,"")))))))))))</f>
        <v>#REF!</v>
      </c>
      <c r="BE227" s="1184" t="e">
        <f>IF('A-80 DirEntInv'!#REF!&lt;&gt;"",'A-80 DirEntInv'!#REF!,IF(AK227=summaryref2!B18,summaryref2!U18,IF(Summary!AK227=summaryref2!B32,summaryref2!U32,IF(AK227=summaryref2!B46,summaryref2!U46,IF(AK227=summaryref2!B60,summaryref2!U60,IF(AK227=summaryref2!B74,summaryref2!U74,IF(AK227=summaryref2!B88,summaryref2!U88,IF(AK227=summaryref2!B102,summaryref2!U102,IF(AK227=summaryref2!B116,summaryref2!U116,IF(AK227=summaryref2!B130,summaryref2!U130,IF(AK227=summaryref2!B144,summaryref2!U144,"")))))))))))</f>
        <v>#REF!</v>
      </c>
      <c r="BF227" s="1432"/>
      <c r="BG227" s="1432"/>
      <c r="BU227" s="962"/>
      <c r="CD227" s="589"/>
      <c r="CE227" s="590"/>
      <c r="CF227" s="590"/>
      <c r="CG227" s="590"/>
      <c r="CH227" s="590"/>
      <c r="CI227" s="590"/>
      <c r="CJ227" s="589"/>
      <c r="CK227" s="589"/>
      <c r="CL227" s="589"/>
      <c r="CM227" s="587"/>
      <c r="CN227" s="587"/>
      <c r="CO227" s="589"/>
      <c r="CP227" s="587"/>
      <c r="CQ227" s="592"/>
      <c r="CR227" s="589"/>
      <c r="CS227" s="592"/>
      <c r="CT227" s="589"/>
      <c r="CU227" s="589"/>
      <c r="CV227" s="589"/>
      <c r="CW227" s="587"/>
      <c r="CX227" s="590"/>
      <c r="CY227" s="590"/>
      <c r="CZ227" s="590"/>
      <c r="DA227" s="1054"/>
      <c r="DB227" s="1054"/>
      <c r="DC227" s="587"/>
      <c r="DD227" s="587"/>
    </row>
    <row r="228" spans="1:108" s="588" customFormat="1" x14ac:dyDescent="0.2">
      <c r="A228" s="589">
        <f t="shared" si="3"/>
        <v>218</v>
      </c>
      <c r="B228" s="587"/>
      <c r="C228" s="587"/>
      <c r="D228" s="587"/>
      <c r="J228" s="589"/>
      <c r="K228" s="590"/>
      <c r="L228" s="591"/>
      <c r="M228" s="592"/>
      <c r="N228" s="589"/>
      <c r="O228" s="587"/>
      <c r="R228" s="1052"/>
      <c r="S228" s="1052"/>
      <c r="T228" s="1052"/>
      <c r="U228" s="1052"/>
      <c r="V228" s="1052"/>
      <c r="W228" s="1053"/>
      <c r="X228" s="1053"/>
      <c r="Y228" s="1053"/>
      <c r="Z228" s="1052"/>
      <c r="AA228" s="1052"/>
      <c r="AB228" s="962"/>
      <c r="AC228" s="590"/>
      <c r="AD228" s="590"/>
      <c r="AE228" s="591"/>
      <c r="AF228" s="592"/>
      <c r="AG228" s="1053"/>
      <c r="AH228" s="587"/>
      <c r="AK228" s="1041" t="str">
        <f>Codes!$C$171</f>
        <v>TR - Aerial Tramway (DO)</v>
      </c>
      <c r="AL228" s="1042" t="str">
        <f>Valid!$B$78</f>
        <v>Below-Grade/Bored or Blasted Tunnel</v>
      </c>
      <c r="AM228" s="1108" t="e">
        <f>IF('A-80 DirEntInv'!#REF!&lt;&gt;"",'A-80 DirEntInv'!#REF!,IF(AK228=summaryref2!B19,summaryref2!D19,IF(Summary!AK228=summaryref2!B33,summaryref2!D33,IF(AK228=summaryref2!B47,summaryref2!D47,IF(AK228=summaryref2!B61,summaryref2!D61,IF(AK228=summaryref2!B75,summaryref2!D75,IF(AK228=summaryref2!B89,summaryref2!D89,IF(AK228=summaryref2!B103,summaryref2!D103,IF(AK228=summaryref2!B117,summaryref2!D117,IF(AK228=summaryref2!B131,summaryref2!D131,IF(AK228=summaryref2!B145,summaryref2!D145,"")))))))))))</f>
        <v>#REF!</v>
      </c>
      <c r="AN228" s="1109" t="e">
        <f ca="1">IF('A-80 DirEntInv'!#REF!&lt;&gt;"",'A-80 DirEntInv'!#REF!,IF(INDIRECT(ADDRESS(SumRef!CG511,SumRef!CG$16,,,SumRef!$C$7))="","",INDIRECT(ADDRESS(SumRef!CG511,SumRef!CG$16,,,SumRef!$C$7))))</f>
        <v>#REF!</v>
      </c>
      <c r="AO228" s="1108" t="e">
        <f>IF('A-80 DirEntInv'!#REF!&lt;&gt;"",'A-80 DirEntInv'!#REF!,IF(AK228=summaryref2!B19,summaryref2!F19,IF(Summary!AK228=summaryref2!B33,summaryref2!F33,IF(AK228=summaryref2!B47,summaryref2!F47,IF(AK228=summaryref2!B61,summaryref2!F61,IF(AK228=summaryref2!B75,summaryref2!F75,IF(AK228=summaryref2!B89,summaryref2!F89,IF(AK228=summaryref2!B103,summaryref2!F103,IF(AK228=summaryref2!B117,summaryref2!F117,IF(AK228=summaryref2!B131,summaryref2!F131,IF(AK228=summaryref2!B145,summaryref2!F145,"")))))))))))</f>
        <v>#REF!</v>
      </c>
      <c r="AP228" s="1109" t="e">
        <f ca="1">IF('A-80 DirEntInv'!#REF!&lt;&gt;"",'A-80 DirEntInv'!#REF!,IF(INDIRECT(ADDRESS(SumRef!#REF!,SumRef!#REF!,,,SumRef!$C$7))="","",INDIRECT(ADDRESS(SumRef!#REF!,SumRef!#REF!,,,SumRef!$C$7))))</f>
        <v>#REF!</v>
      </c>
      <c r="AQ228" s="1147" t="e">
        <f>IF('A-80 DirEntInv'!#REF!&lt;&gt;"",'A-80 DirEntInv'!#REF!,IF(AK228=summaryref2!B19,summaryref2!G19,IF(Summary!AK228=summaryref2!B33,summaryref2!G33,IF(AK228=summaryref2!B47,summaryref2!G47,IF(AK228=summaryref2!B61,summaryref2!G61,IF(AK228=summaryref2!B75,summaryref2!G75,IF(AK228=summaryref2!B89,summaryref2!G89,IF(AK228=summaryref2!B103,summaryref2!G103,IF(AK228=summaryref2!B117,summaryref2!G117,IF(AK228=summaryref2!B131,summaryref2!G131,IF(AK228=summaryref2!B145,summaryref2!G145,"")))))))))))</f>
        <v>#REF!</v>
      </c>
      <c r="AR228" s="1147" t="e">
        <f>IF('A-80 DirEntInv'!#REF!&lt;&gt;"",'A-80 DirEntInv'!#REF!,IF(AK228=summaryref2!B19,summaryref2!H19,IF(Summary!AK228=summaryref2!B33,summaryref2!H33,IF(AK228=summaryref2!B47,summaryref2!H47,IF(AK228=summaryref2!B61,summaryref2!H61,IF(AK228=summaryref2!B75,summaryref2!H75,IF(AK228=summaryref2!B89,summaryref2!H89,IF(AK228=summaryref2!B103,summaryref2!H103,IF(AK228=summaryref2!B117,summaryref2!H117,IF(AK228=summaryref2!B131,summaryref2!H131,IF(AK228=summaryref2!B145,summaryref2!H145,"")))))))))))</f>
        <v>#REF!</v>
      </c>
      <c r="AS228" s="1110" t="e">
        <f>IF('A-80 DirEntInv'!#REF!&lt;&gt;"",'A-80 DirEntInv'!#REF!,IF(AK228=summaryref2!B19,summaryref2!I19,IF(Summary!AK228=summaryref2!B33,summaryref2!I33,IF(AK228=summaryref2!B47,summaryref2!I47,IF(AK228=summaryref2!B61,summaryref2!I61,IF(AK228=summaryref2!B75,summaryref2!I75,IF(AK228=summaryref2!B89,summaryref2!I89,IF(AK228=summaryref2!B103,summaryref2!I103,IF(AK228=summaryref2!B117,summaryref2!I117,IF(AK228=summaryref2!B131,summaryref2!I131,IF(AK228=summaryref2!B145,summaryref2!I145,"")))))))))))</f>
        <v>#REF!</v>
      </c>
      <c r="AT228" s="1110" t="e">
        <f>IF('A-80 DirEntInv'!#REF!&lt;&gt;"",'A-80 DirEntInv'!#REF!,IF(AK228=summaryref2!B19,summaryref2!J19,IF(Summary!AK228=summaryref2!B33,summaryref2!J33,IF(AK228=summaryref2!B47,summaryref2!J47,IF(AK228=summaryref2!B61,summaryref2!J61,IF(AK228=summaryref2!B75,summaryref2!J75,IF(AK228=summaryref2!B89,summaryref2!J89,IF(AK228=summaryref2!B103,summaryref2!J103,IF(AK228=summaryref2!B117,summaryref2!J117,IF(AK228=summaryref2!B131,summaryref2!J131,IF(AK228=summaryref2!B145,summaryref2!J145,"")))))))))))</f>
        <v>#REF!</v>
      </c>
      <c r="AU228" s="1110" t="e">
        <f>IF('A-80 DirEntInv'!#REF!&lt;&gt;"",'A-80 DirEntInv'!#REF!,IF(AK228=summaryref2!B19,summaryref2!K19,IF(Summary!AK228=summaryref2!B33,summaryref2!K33,IF(AK228=summaryref2!B47,summaryref2!K47,IF(AK228=summaryref2!B61,summaryref2!K61,IF(AK228=summaryref2!B75,summaryref2!K75,IF(AK228=summaryref2!B89,summaryref2!K89,IF(AK228=summaryref2!B103,summaryref2!K103,IF(AK228=summaryref2!B117,summaryref2!K117,IF(AK228=summaryref2!B131,summaryref2!K131,IF(AK228=summaryref2!B145,summaryref2!K145,"")))))))))))</f>
        <v>#REF!</v>
      </c>
      <c r="AV228" s="1110" t="e">
        <f>IF('A-80 DirEntInv'!#REF!&lt;&gt;"",'A-80 DirEntInv'!#REF!,IF(AK228=summaryref2!B19,summaryref2!L19,IF(Summary!AK228=summaryref2!B33,summaryref2!L33,IF(AK228=summaryref2!B47,summaryref2!L47,IF(AK228=summaryref2!B61,summaryref2!L61,IF(AK228=summaryref2!B75,summaryref2!L75,IF(AK228=summaryref2!B89,summaryref2!L89,IF(AK228=summaryref2!B103,summaryref2!L103,IF(AK228=summaryref2!B117,summaryref2!L117,IF(AK228=summaryref2!B131,summaryref2!L131,IF(AK228=summaryref2!B145,summaryref2!L145,"")))))))))))</f>
        <v>#REF!</v>
      </c>
      <c r="AW228" s="1110" t="e">
        <f>IF('A-80 DirEntInv'!#REF!&lt;&gt;"",'A-80 DirEntInv'!#REF!,IF(AK228=summaryref2!B19,summaryref2!M19,IF(Summary!AK228=summaryref2!B33,summaryref2!M33,IF(AK228=summaryref2!B47,summaryref2!M47,IF(AK228=summaryref2!B61,summaryref2!M61,IF(AK228=summaryref2!B75,summaryref2!M75,IF(AK228=summaryref2!B89,summaryref2!M89,IF(AK228=summaryref2!B103,summaryref2!M103,IF(AK228=summaryref2!B117,summaryref2!M117,IF(AK228=summaryref2!B131,summaryref2!M131,IF(AK228=summaryref2!B145,summaryref2!M145,"")))))))))))</f>
        <v>#REF!</v>
      </c>
      <c r="AX228" s="1110" t="e">
        <f>IF('A-80 DirEntInv'!#REF!&lt;&gt;"",'A-80 DirEntInv'!#REF!,IF(AK228=summaryref2!B19,summaryref2!N19,IF(Summary!AK228=summaryref2!B33,summaryref2!N33,IF(AK228=summaryref2!B47,summaryref2!N47,IF(AK228=summaryref2!B61,summaryref2!N61,IF(AK228=summaryref2!B75,summaryref2!N75,IF(AK228=summaryref2!B89,summaryref2!N89,IF(AK228=summaryref2!B103,summaryref2!N103,IF(AK228=summaryref2!B117,summaryref2!N117,IF(AK228=summaryref2!B131,summaryref2!N131,IF(AK228=summaryref2!B145,summaryref2!N145,"")))))))))))</f>
        <v>#REF!</v>
      </c>
      <c r="AY228" s="1110" t="e">
        <f>IF('A-80 DirEntInv'!#REF!&lt;&gt;"",'A-80 DirEntInv'!#REF!,IF(AK228=summaryref2!B19,summaryref2!O19,IF(Summary!AK228=summaryref2!B33,summaryref2!O33,IF(AK228=summaryref2!B47,summaryref2!O47,IF(AK228=summaryref2!B61,summaryref2!O61,IF(AK228=summaryref2!B75,summaryref2!O75,IF(AK228=summaryref2!B89,summaryref2!O89,IF(AK228=summaryref2!B103,summaryref2!O103,IF(AK228=summaryref2!B117,summaryref2!O117,IF(AK228=summaryref2!B131,summaryref2!O131,IF(AK228=summaryref2!B145,summaryref2!O145,"")))))))))))</f>
        <v>#REF!</v>
      </c>
      <c r="AZ228" s="1110" t="e">
        <f>IF('A-80 DirEntInv'!#REF!&lt;&gt;"",'A-80 DirEntInv'!#REF!,IF(AK228=summaryref2!B19,summaryref2!P19,IF(Summary!AK228=summaryref2!B33,summaryref2!P33,IF(AK228=summaryref2!B47,summaryref2!P47,IF(AK228=summaryref2!B61,summaryref2!P61,IF(AK228=summaryref2!B75,summaryref2!P75,IF(AK228=summaryref2!B89,summaryref2!P89,IF(AK228=summaryref2!B103,summaryref2!P103,IF(AK228=summaryref2!B117,summaryref2!P117,IF(AK228=summaryref2!B131,summaryref2!P131,IF(AK228=summaryref2!B145,summaryref2!P145,"")))))))))))</f>
        <v>#REF!</v>
      </c>
      <c r="BA228" s="1110" t="e">
        <f>IF('A-80 DirEntInv'!#REF!&lt;&gt;"",'A-80 DirEntInv'!#REF!,IF(AK228=summaryref2!B19,summaryref2!Q19,IF(Summary!AK228=summaryref2!B33,summaryref2!Q33,IF(AK228=summaryref2!B47,summaryref2!Q47,IF(AK228=summaryref2!B61,summaryref2!Q61,IF(AK228=summaryref2!B75,summaryref2!Q75,IF(AK228=summaryref2!B89,summaryref2!Q89,IF(AK228=summaryref2!B103,summaryref2!Q103,IF(AK228=summaryref2!B117,summaryref2!Q117,IF(AK228=summaryref2!B131,summaryref2!Q131,IF(AK228=summaryref2!B145,summaryref2!Q145,"")))))))))))</f>
        <v>#REF!</v>
      </c>
      <c r="BB228" s="1110" t="e">
        <f>IF('A-80 DirEntInv'!#REF!&lt;&gt;"",'A-80 DirEntInv'!#REF!,IF(AK228=summaryref2!B19,summaryref2!R19,IF(Summary!AK228=summaryref2!B33,summaryref2!R33,IF(AK228=summaryref2!B47,summaryref2!R47,IF(AK228=summaryref2!B61,summaryref2!R61,IF(AK228=summaryref2!B75,summaryref2!R75,IF(AK228=summaryref2!B89,summaryref2!R89,IF(AK228=summaryref2!B103,summaryref2!R103,IF(AK228=summaryref2!B117,summaryref2!R117,IF(AK228=summaryref2!B131,summaryref2!R131,IF(AK228=summaryref2!B145,summaryref2!R145,"")))))))))))</f>
        <v>#REF!</v>
      </c>
      <c r="BC228" s="1110" t="e">
        <f>IF('A-80 DirEntInv'!#REF!&lt;&gt;0,'A-80 DirEntInv'!#REF!,IF(AK228=summaryref2!B19,summaryref2!S19,IF(Summary!AK228=summaryref2!B33,summaryref2!S33,IF(AK228=summaryref2!B47,summaryref2!S47,IF(AK228=summaryref2!B61,summaryref2!S61,IF(AK228=summaryref2!B75,summaryref2!S75,IF(AK228=summaryref2!B89,summaryref2!S89,IF(AK228=summaryref2!B103,summaryref2!S103,IF(AK228=summaryref2!B117,summaryref2!S117,IF(AK228=summaryref2!B131,summaryref2!S131,IF(AK228=summaryref2!B145,summaryref2!S145,"")))))))))))</f>
        <v>#REF!</v>
      </c>
      <c r="BD228" s="1111" t="e">
        <f>IF('A-80 DirEntInv'!#REF!&lt;&gt;"",'A-80 DirEntInv'!#REF!,IF(AK228=summaryref2!B19,summaryref2!T19,IF(Summary!AK228=summaryref2!B33,summaryref2!T33,IF(AK228=summaryref2!B47,summaryref2!T47,IF(AK228=summaryref2!B61,summaryref2!T61,IF(AK228=summaryref2!B75,summaryref2!T75,IF(AK228=summaryref2!B89,summaryref2!T89,IF(AK228=summaryref2!B103,summaryref2!T103,IF(AK228=summaryref2!B117,summaryref2!T117,IF(AK228=summaryref2!B131,summaryref2!T131,IF(AK228=summaryref2!B145,summaryref2!T145,"")))))))))))</f>
        <v>#REF!</v>
      </c>
      <c r="BE228" s="1184" t="e">
        <f>IF('A-80 DirEntInv'!#REF!&lt;&gt;"",'A-80 DirEntInv'!#REF!,IF(AK228=summaryref2!B19,summaryref2!U19,IF(Summary!AK228=summaryref2!B33,summaryref2!U33,IF(AK228=summaryref2!B47,summaryref2!U47,IF(AK228=summaryref2!B61,summaryref2!U61,IF(AK228=summaryref2!B75,summaryref2!U75,IF(AK228=summaryref2!B89,summaryref2!U89,IF(AK228=summaryref2!B103,summaryref2!U103,IF(AK228=summaryref2!B117,summaryref2!U117,IF(AK228=summaryref2!B131,summaryref2!U131,IF(AK228=summaryref2!B145,summaryref2!U145,"")))))))))))</f>
        <v>#REF!</v>
      </c>
      <c r="BF228" s="1432"/>
      <c r="BG228" s="1432"/>
      <c r="BU228" s="962"/>
      <c r="CD228" s="589"/>
      <c r="CE228" s="590"/>
      <c r="CF228" s="590"/>
      <c r="CG228" s="590"/>
      <c r="CH228" s="590"/>
      <c r="CI228" s="590"/>
      <c r="CJ228" s="589"/>
      <c r="CK228" s="589"/>
      <c r="CL228" s="589"/>
      <c r="CM228" s="587"/>
      <c r="CN228" s="587"/>
      <c r="CO228" s="589"/>
      <c r="CP228" s="587"/>
      <c r="CQ228" s="592"/>
      <c r="CR228" s="589"/>
      <c r="CS228" s="592"/>
      <c r="CT228" s="589"/>
      <c r="CU228" s="589"/>
      <c r="CV228" s="589"/>
      <c r="CW228" s="587"/>
      <c r="CX228" s="590"/>
      <c r="CY228" s="590"/>
      <c r="CZ228" s="590"/>
      <c r="DA228" s="1054"/>
      <c r="DB228" s="1054"/>
      <c r="DC228" s="587"/>
      <c r="DD228" s="587"/>
    </row>
    <row r="229" spans="1:108" s="588" customFormat="1" ht="13.5" thickBot="1" x14ac:dyDescent="0.25">
      <c r="A229" s="589">
        <f t="shared" si="3"/>
        <v>219</v>
      </c>
      <c r="B229" s="587"/>
      <c r="C229" s="587"/>
      <c r="D229" s="587"/>
      <c r="J229" s="589"/>
      <c r="K229" s="590"/>
      <c r="L229" s="591"/>
      <c r="M229" s="592"/>
      <c r="N229" s="589"/>
      <c r="O229" s="587"/>
      <c r="R229" s="1052"/>
      <c r="S229" s="1052"/>
      <c r="T229" s="1052"/>
      <c r="U229" s="1052"/>
      <c r="V229" s="1052"/>
      <c r="W229" s="1053"/>
      <c r="X229" s="1053"/>
      <c r="Y229" s="1053"/>
      <c r="Z229" s="1052"/>
      <c r="AA229" s="1052"/>
      <c r="AB229" s="962"/>
      <c r="AC229" s="590"/>
      <c r="AD229" s="590"/>
      <c r="AE229" s="591"/>
      <c r="AF229" s="592"/>
      <c r="AG229" s="1053"/>
      <c r="AH229" s="587"/>
      <c r="AK229" s="1048" t="str">
        <f>Codes!$C$171</f>
        <v>TR - Aerial Tramway (DO)</v>
      </c>
      <c r="AL229" s="1049" t="str">
        <f>Valid!$B$79</f>
        <v>Below-Grade/Submerged Tube</v>
      </c>
      <c r="AM229" s="1119" t="e">
        <f>IF('A-80 DirEntInv'!#REF!&lt;&gt;"",'A-80 DirEntInv'!#REF!,IF(AK229=summaryref2!B20,summaryref2!D20,IF(Summary!AK229=summaryref2!B34,summaryref2!D34,IF(AK229=summaryref2!B48,summaryref2!D48,IF(AK229=summaryref2!B62,summaryref2!D62,IF(AK229=summaryref2!B76,summaryref2!D76,IF(AK229=summaryref2!B90,summaryref2!D90,IF(AK229=summaryref2!B104,summaryref2!D104,IF(AK229=summaryref2!B118,summaryref2!D118,IF(AK229=summaryref2!B132,summaryref2!D132,IF(AK229=summaryref2!B146,summaryref2!D146,"")))))))))))</f>
        <v>#REF!</v>
      </c>
      <c r="AN229" s="1120" t="e">
        <f ca="1">IF('A-80 DirEntInv'!#REF!&lt;&gt;"",'A-80 DirEntInv'!#REF!,IF(INDIRECT(ADDRESS(SumRef!CG512,SumRef!CG$16,,,SumRef!$C$7))="","",INDIRECT(ADDRESS(SumRef!CG512,SumRef!CG$16,,,SumRef!$C$7))))</f>
        <v>#REF!</v>
      </c>
      <c r="AO229" s="1119" t="e">
        <f>IF('A-80 DirEntInv'!#REF!&lt;&gt;"",'A-80 DirEntInv'!#REF!,IF(AK229=summaryref2!B20,summaryref2!F20,IF(Summary!AK229=summaryref2!B34,summaryref2!F34,IF(AK229=summaryref2!B48,summaryref2!F48,IF(AK229=summaryref2!B62,summaryref2!F62,IF(AK229=summaryref2!B76,summaryref2!F76,IF(AK229=summaryref2!B90,summaryref2!F90,IF(AK229=summaryref2!B104,summaryref2!F104,IF(AK229=summaryref2!B118,summaryref2!F118,IF(AK229=summaryref2!B132,summaryref2!F132,IF(AK229=summaryref2!B146,summaryref2!F146,"")))))))))))</f>
        <v>#REF!</v>
      </c>
      <c r="AP229" s="1120" t="e">
        <f ca="1">IF('A-80 DirEntInv'!#REF!&lt;&gt;"",'A-80 DirEntInv'!#REF!,IF(INDIRECT(ADDRESS(SumRef!#REF!,SumRef!#REF!,,,SumRef!$C$7))="","",INDIRECT(ADDRESS(SumRef!#REF!,SumRef!#REF!,,,SumRef!$C$7))))</f>
        <v>#REF!</v>
      </c>
      <c r="AQ229" s="1148" t="e">
        <f>IF('A-80 DirEntInv'!#REF!&lt;&gt;"",'A-80 DirEntInv'!#REF!,IF(AK229=summaryref2!B20,summaryref2!G20,IF(Summary!AK229=summaryref2!B34,summaryref2!G34,IF(AK229=summaryref2!B48,summaryref2!G48,IF(AK229=summaryref2!B62,summaryref2!G62,IF(AK229=summaryref2!B76,summaryref2!G76,IF(AK229=summaryref2!B90,summaryref2!G90,IF(AK229=summaryref2!B104,summaryref2!G104,IF(AK229=summaryref2!B118,summaryref2!G118,IF(AK229=summaryref2!B132,summaryref2!G132,IF(AK229=summaryref2!B146,summaryref2!G146,"")))))))))))</f>
        <v>#REF!</v>
      </c>
      <c r="AR229" s="1148" t="e">
        <f>IF('A-80 DirEntInv'!#REF!&lt;&gt;"",'A-80 DirEntInv'!#REF!,IF(AK229=summaryref2!B20,summaryref2!H20,IF(Summary!AK229=summaryref2!B34,summaryref2!H34,IF(AK229=summaryref2!B48,summaryref2!H48,IF(AK229=summaryref2!B62,summaryref2!H62,IF(AK229=summaryref2!B76,summaryref2!H76,IF(AK229=summaryref2!B90,summaryref2!H90,IF(AK229=summaryref2!B104,summaryref2!H104,IF(AK229=summaryref2!B118,summaryref2!H118,IF(AK229=summaryref2!B132,summaryref2!H132,IF(AK229=summaryref2!B146,summaryref2!H146,"")))))))))))</f>
        <v>#REF!</v>
      </c>
      <c r="AS229" s="1121" t="e">
        <f>IF('A-80 DirEntInv'!#REF!&lt;&gt;"",'A-80 DirEntInv'!#REF!,IF(AK229=summaryref2!B20,summaryref2!I20,IF(Summary!AK229=summaryref2!B34,summaryref2!I34,IF(AK229=summaryref2!B48,summaryref2!I48,IF(AK229=summaryref2!B62,summaryref2!I62,IF(AK229=summaryref2!B76,summaryref2!I76,IF(AK229=summaryref2!B90,summaryref2!I90,IF(AK229=summaryref2!B104,summaryref2!I104,IF(AK229=summaryref2!B118,summaryref2!I118,IF(AK229=summaryref2!B132,summaryref2!I132,IF(AK229=summaryref2!B146,summaryref2!I146,"")))))))))))</f>
        <v>#REF!</v>
      </c>
      <c r="AT229" s="1121" t="e">
        <f>IF('A-80 DirEntInv'!#REF!&lt;&gt;"",'A-80 DirEntInv'!#REF!,IF(AK229=summaryref2!B20,summaryref2!J20,IF(Summary!AK229=summaryref2!B34,summaryref2!J34,IF(AK229=summaryref2!B48,summaryref2!J48,IF(AK229=summaryref2!B62,summaryref2!J62,IF(AK229=summaryref2!B76,summaryref2!J76,IF(AK229=summaryref2!B90,summaryref2!J90,IF(AK229=summaryref2!B104,summaryref2!J104,IF(AK229=summaryref2!B118,summaryref2!J118,IF(AK229=summaryref2!B132,summaryref2!J132,IF(AK229=summaryref2!B146,summaryref2!J146,"")))))))))))</f>
        <v>#REF!</v>
      </c>
      <c r="AU229" s="1121" t="e">
        <f>IF('A-80 DirEntInv'!#REF!&lt;&gt;"",'A-80 DirEntInv'!#REF!,IF(AK229=summaryref2!B20,summaryref2!K20,IF(Summary!AK229=summaryref2!B34,summaryref2!K34,IF(AK229=summaryref2!B48,summaryref2!K48,IF(AK229=summaryref2!B62,summaryref2!K62,IF(AK229=summaryref2!B76,summaryref2!K76,IF(AK229=summaryref2!B90,summaryref2!K90,IF(AK229=summaryref2!B104,summaryref2!K104,IF(AK229=summaryref2!B118,summaryref2!K118,IF(AK229=summaryref2!B132,summaryref2!K132,IF(AK229=summaryref2!B146,summaryref2!K146,"")))))))))))</f>
        <v>#REF!</v>
      </c>
      <c r="AV229" s="1121" t="e">
        <f>IF('A-80 DirEntInv'!#REF!&lt;&gt;"",'A-80 DirEntInv'!#REF!,IF(AK229=summaryref2!B20,summaryref2!L20,IF(Summary!AK229=summaryref2!B34,summaryref2!L34,IF(AK229=summaryref2!B48,summaryref2!L48,IF(AK229=summaryref2!B62,summaryref2!L62,IF(AK229=summaryref2!B76,summaryref2!L76,IF(AK229=summaryref2!B90,summaryref2!L90,IF(AK229=summaryref2!B104,summaryref2!L104,IF(AK229=summaryref2!B118,summaryref2!L118,IF(AK229=summaryref2!B132,summaryref2!L132,IF(AK229=summaryref2!B146,summaryref2!L146,"")))))))))))</f>
        <v>#REF!</v>
      </c>
      <c r="AW229" s="1121" t="e">
        <f>IF('A-80 DirEntInv'!#REF!&lt;&gt;"",'A-80 DirEntInv'!#REF!,IF(AK229=summaryref2!B20,summaryref2!M20,IF(Summary!AK229=summaryref2!B34,summaryref2!M34,IF(AK229=summaryref2!B48,summaryref2!M48,IF(AK229=summaryref2!B62,summaryref2!M62,IF(AK229=summaryref2!B76,summaryref2!M76,IF(AK229=summaryref2!B90,summaryref2!M90,IF(AK229=summaryref2!B104,summaryref2!M104,IF(AK229=summaryref2!B118,summaryref2!M118,IF(AK229=summaryref2!B132,summaryref2!M132,IF(AK229=summaryref2!B146,summaryref2!M146,"")))))))))))</f>
        <v>#REF!</v>
      </c>
      <c r="AX229" s="1121" t="e">
        <f>IF('A-80 DirEntInv'!#REF!&lt;&gt;"",'A-80 DirEntInv'!#REF!,IF(AK229=summaryref2!B20,summaryref2!N20,IF(Summary!AK229=summaryref2!B34,summaryref2!N34,IF(AK229=summaryref2!B48,summaryref2!N48,IF(AK229=summaryref2!B62,summaryref2!N62,IF(AK229=summaryref2!B76,summaryref2!N76,IF(AK229=summaryref2!B90,summaryref2!N90,IF(AK229=summaryref2!B104,summaryref2!N104,IF(AK229=summaryref2!B118,summaryref2!N118,IF(AK229=summaryref2!B132,summaryref2!N132,IF(AK229=summaryref2!B146,summaryref2!N146,"")))))))))))</f>
        <v>#REF!</v>
      </c>
      <c r="AY229" s="1121" t="e">
        <f>IF('A-80 DirEntInv'!#REF!&lt;&gt;"",'A-80 DirEntInv'!#REF!,IF(AK229=summaryref2!B20,summaryref2!O20,IF(Summary!AK229=summaryref2!B34,summaryref2!O34,IF(AK229=summaryref2!B48,summaryref2!O48,IF(AK229=summaryref2!B62,summaryref2!O62,IF(AK229=summaryref2!B76,summaryref2!O76,IF(AK229=summaryref2!B90,summaryref2!O90,IF(AK229=summaryref2!B104,summaryref2!O104,IF(AK229=summaryref2!B118,summaryref2!O118,IF(AK229=summaryref2!B132,summaryref2!O132,IF(AK229=summaryref2!B146,summaryref2!O146,"")))))))))))</f>
        <v>#REF!</v>
      </c>
      <c r="AZ229" s="1121" t="e">
        <f>IF('A-80 DirEntInv'!#REF!&lt;&gt;"",'A-80 DirEntInv'!#REF!,IF(AK229=summaryref2!B20,summaryref2!P20,IF(Summary!AK229=summaryref2!B34,summaryref2!P34,IF(AK229=summaryref2!B48,summaryref2!P48,IF(AK229=summaryref2!B62,summaryref2!P62,IF(AK229=summaryref2!B76,summaryref2!P76,IF(AK229=summaryref2!B90,summaryref2!P90,IF(AK229=summaryref2!B104,summaryref2!P104,IF(AK229=summaryref2!B118,summaryref2!P118,IF(AK229=summaryref2!B132,summaryref2!P132,IF(AK229=summaryref2!B146,summaryref2!P146,"")))))))))))</f>
        <v>#REF!</v>
      </c>
      <c r="BA229" s="1121" t="e">
        <f>IF('A-80 DirEntInv'!#REF!&lt;&gt;"",'A-80 DirEntInv'!#REF!,IF(AK229=summaryref2!B20,summaryref2!Q20,IF(Summary!AK229=summaryref2!B34,summaryref2!Q34,IF(AK229=summaryref2!B48,summaryref2!Q48,IF(AK229=summaryref2!B62,summaryref2!Q62,IF(AK229=summaryref2!B76,summaryref2!Q76,IF(AK229=summaryref2!B90,summaryref2!Q90,IF(AK229=summaryref2!B104,summaryref2!Q104,IF(AK229=summaryref2!B118,summaryref2!Q118,IF(AK229=summaryref2!B132,summaryref2!Q132,IF(AK229=summaryref2!B146,summaryref2!Q146,"")))))))))))</f>
        <v>#REF!</v>
      </c>
      <c r="BB229" s="1121" t="e">
        <f>IF('A-80 DirEntInv'!#REF!&lt;&gt;"",'A-80 DirEntInv'!#REF!,IF(AK229=summaryref2!B20,summaryref2!R20,IF(Summary!AK229=summaryref2!B34,summaryref2!R34,IF(AK229=summaryref2!B48,summaryref2!R48,IF(AK229=summaryref2!B62,summaryref2!R62,IF(AK229=summaryref2!B76,summaryref2!R76,IF(AK229=summaryref2!B90,summaryref2!R90,IF(AK229=summaryref2!B104,summaryref2!R104,IF(AK229=summaryref2!B118,summaryref2!R118,IF(AK229=summaryref2!B132,summaryref2!R132,IF(AK229=summaryref2!B146,summaryref2!R146,"")))))))))))</f>
        <v>#REF!</v>
      </c>
      <c r="BC229" s="1121" t="e">
        <f>IF('A-80 DirEntInv'!#REF!&lt;&gt;0,'A-80 DirEntInv'!#REF!,IF(AK229=summaryref2!B20,summaryref2!S20,IF(Summary!AK229=summaryref2!B34,summaryref2!S34,IF(AK229=summaryref2!B48,summaryref2!S48,IF(AK229=summaryref2!B62,summaryref2!S62,IF(AK229=summaryref2!B76,summaryref2!S76,IF(AK229=summaryref2!B90,summaryref2!S90,IF(AK229=summaryref2!B104,summaryref2!S104,IF(AK229=summaryref2!B118,summaryref2!S118,IF(AK229=summaryref2!B132,summaryref2!S132,IF(AK229=summaryref2!B146,summaryref2!S146,"")))))))))))</f>
        <v>#REF!</v>
      </c>
      <c r="BD229" s="1122" t="e">
        <f>IF('A-80 DirEntInv'!#REF!&lt;&gt;"",'A-80 DirEntInv'!#REF!,IF(AK229=summaryref2!B20,summaryref2!T20,IF(Summary!AK229=summaryref2!B34,summaryref2!T34,IF(AK229=summaryref2!B48,summaryref2!T48,IF(AK229=summaryref2!B62,summaryref2!T62,IF(AK229=summaryref2!B76,summaryref2!T76,IF(AK229=summaryref2!B90,summaryref2!T90,IF(AK229=summaryref2!B104,summaryref2!T104,IF(AK229=summaryref2!B118,summaryref2!T118,IF(AK229=summaryref2!B132,summaryref2!T132,IF(AK229=summaryref2!B146,summaryref2!T146,"")))))))))))</f>
        <v>#REF!</v>
      </c>
      <c r="BE229" s="1190" t="e">
        <f>IF('A-80 DirEntInv'!#REF!&lt;&gt;"",'A-80 DirEntInv'!#REF!,IF(AK229=summaryref2!B20,summaryref2!U20,IF(Summary!AK229=summaryref2!B34,summaryref2!U34,IF(AK229=summaryref2!B48,summaryref2!U48,IF(AK229=summaryref2!B62,summaryref2!U62,IF(AK229=summaryref2!B76,summaryref2!U76,IF(AK229=summaryref2!B90,summaryref2!U90,IF(AK229=summaryref2!B104,summaryref2!U104,IF(AK229=summaryref2!B118,summaryref2!U118,IF(AK229=summaryref2!B132,summaryref2!U132,IF(AK229=summaryref2!B146,summaryref2!U146,"")))))))))))</f>
        <v>#REF!</v>
      </c>
      <c r="BF229" s="1432"/>
      <c r="BG229" s="1432"/>
      <c r="BU229" s="962"/>
      <c r="CD229" s="589"/>
      <c r="CE229" s="590"/>
      <c r="CF229" s="590"/>
      <c r="CG229" s="590"/>
      <c r="CH229" s="590"/>
      <c r="CI229" s="590"/>
      <c r="CJ229" s="589"/>
      <c r="CK229" s="589"/>
      <c r="CL229" s="589"/>
      <c r="CM229" s="587"/>
      <c r="CN229" s="587"/>
      <c r="CO229" s="589"/>
      <c r="CP229" s="587"/>
      <c r="CQ229" s="592"/>
      <c r="CR229" s="589"/>
      <c r="CS229" s="592"/>
      <c r="CT229" s="589"/>
      <c r="CU229" s="589"/>
      <c r="CV229" s="589"/>
      <c r="CW229" s="587"/>
      <c r="CX229" s="590"/>
      <c r="CY229" s="590"/>
      <c r="CZ229" s="590"/>
      <c r="DA229" s="1054"/>
      <c r="DB229" s="1054"/>
      <c r="DC229" s="587"/>
      <c r="DD229" s="587"/>
    </row>
    <row r="230" spans="1:108" s="588" customFormat="1" ht="13.5" thickTop="1" x14ac:dyDescent="0.2">
      <c r="A230" s="589">
        <f t="shared" si="3"/>
        <v>220</v>
      </c>
      <c r="B230" s="587"/>
      <c r="C230" s="587"/>
      <c r="D230" s="587"/>
      <c r="J230" s="589"/>
      <c r="K230" s="590"/>
      <c r="L230" s="591"/>
      <c r="M230" s="592"/>
      <c r="N230" s="589"/>
      <c r="O230" s="587"/>
      <c r="R230" s="1052"/>
      <c r="S230" s="1052"/>
      <c r="T230" s="1052"/>
      <c r="U230" s="1052"/>
      <c r="V230" s="1052"/>
      <c r="W230" s="1053"/>
      <c r="X230" s="1053"/>
      <c r="Y230" s="1053"/>
      <c r="Z230" s="1052"/>
      <c r="AA230" s="1052"/>
      <c r="AB230" s="962"/>
      <c r="AC230" s="590"/>
      <c r="AD230" s="590"/>
      <c r="AE230" s="591"/>
      <c r="AF230" s="592"/>
      <c r="AG230" s="1053"/>
      <c r="AH230" s="587"/>
      <c r="AK230" s="1181" t="str">
        <f>Codes!$C$171</f>
        <v>TR - Aerial Tramway (DO)</v>
      </c>
      <c r="AL230" s="1182" t="str">
        <f>Valid!$B$87</f>
        <v>Substation Building</v>
      </c>
      <c r="AM230" s="1123" t="e">
        <f>IF('A-80 DirEntInv'!#REF!&lt;&gt;"",'A-80 DirEntInv'!#REF!,IF(AK230=summaryref2!B21,summaryref2!D21,IF(Summary!AK230=summaryref2!B35,summaryref2!D35,IF(AK230=summaryref2!B49,summaryref2!D49,IF(AK230=summaryref2!B63,summaryref2!D63,IF(AK230=summaryref2!B77,summaryref2!D77,IF(AK230=summaryref2!B91,summaryref2!D91,IF(AK230=summaryref2!B105,summaryref2!D105,IF(AK230=summaryref2!B119,summaryref2!D119,IF(AK230=summaryref2!B133,summaryref2!D133,IF(AK230=summaryref2!B197,summaryref2!D147,"")))))))))))</f>
        <v>#REF!</v>
      </c>
      <c r="AN230" s="1124" t="s">
        <v>13</v>
      </c>
      <c r="AO230" s="1123"/>
      <c r="AP230" s="1124"/>
      <c r="AQ230" s="1149" t="e">
        <f>IF('A-80 DirEntInv'!#REF!&lt;&gt;"",'A-80 DirEntInv'!#REF!,IF(AK230=summaryref2!B21,summaryref2!G21,IF(Summary!AK230=summaryref2!B35,summaryref2!G35,IF(AK230=summaryref2!B49,summaryref2!G49,IF(AK230=summaryref2!B63,summaryref2!G63,IF(AK230=summaryref2!B77,summaryref2!G77,IF(AK230=summaryref2!B91,summaryref2!G91,IF(AK230=summaryref2!B105,summaryref2!G105,IF(AK230=summaryref2!B119,summaryref2!G119,IF(AK230=summaryref2!B133,summaryref2!G133,IF(AK230=summaryref2!B147,summaryref2!G147,"")))))))))))</f>
        <v>#REF!</v>
      </c>
      <c r="AR230" s="1149" t="e">
        <f>IF('A-80 DirEntInv'!#REF!&lt;&gt;"",'A-80 DirEntInv'!#REF!,IF(AK230=summaryref2!B21,summaryref2!H21,IF(Summary!AK230=summaryref2!B35,summaryref2!H35,IF(AK230=summaryref2!B49,summaryref2!H49,IF(AK230=summaryref2!B63,summaryref2!H63,IF(AK230=summaryref2!B77,summaryref2!H77,IF(AK230=summaryref2!B91,summaryref2!H91,IF(AK230=summaryref2!B105,summaryref2!H105,IF(AK230=summaryref2!B119,summaryref2!H119,IF(AK230=summaryref2!B133,summaryref2!H133,IF(AK230=summaryref2!B147,summaryref2!H147,"")))))))))))</f>
        <v>#REF!</v>
      </c>
      <c r="AS230" s="1125" t="e">
        <f>IF('A-80 DirEntInv'!#REF!&lt;&gt;"",'A-80 DirEntInv'!#REF!,IF(AK230=summaryref2!B21,summaryref2!I21,IF(Summary!AK230=summaryref2!B35,summaryref2!I35,IF(AK230=summaryref2!B49,summaryref2!I49,IF(AK230=summaryref2!B63,summaryref2!I63,IF(AK230=summaryref2!B77,summaryref2!I77,IF(AK230=summaryref2!B91,summaryref2!I91,IF(AK230=summaryref2!B105,summaryref2!I105,IF(AK230=summaryref2!B119,summaryref2!I119,IF(AK230=summaryref2!B133,summaryref2!I133,IF(AK230=summaryref2!B147,summaryref2!I147,"")))))))))))</f>
        <v>#REF!</v>
      </c>
      <c r="AT230" s="1125" t="e">
        <f>IF('A-80 DirEntInv'!#REF!&lt;&gt;"",'A-80 DirEntInv'!#REF!,IF(AK230=summaryref2!B21,summaryref2!J21,IF(Summary!AK230=summaryref2!B35,summaryref2!J35,IF(AK230=summaryref2!B49,summaryref2!J49,IF(AK230=summaryref2!B63,summaryref2!J63,IF(AK230=summaryref2!B77,summaryref2!J77,IF(AK230=summaryref2!B91,summaryref2!J91,IF(AK230=summaryref2!B105,summaryref2!J105,IF(AK230=summaryref2!B119,summaryref2!J119,IF(AK230=summaryref2!B133,summaryref2!J133,IF(AK230=summaryref2!B147,summaryref2!J147,"")))))))))))</f>
        <v>#REF!</v>
      </c>
      <c r="AU230" s="1125" t="e">
        <f>IF('A-80 DirEntInv'!#REF!&lt;&gt;"",'A-80 DirEntInv'!#REF!,IF(AK230=summaryref2!B21,summaryref2!K21,IF(Summary!AK230=summaryref2!B35,summaryref2!K35,IF(AK230=summaryref2!B49,summaryref2!K49,IF(AK230=summaryref2!B63,summaryref2!K63,IF(AK230=summaryref2!B77,summaryref2!K77,IF(AK230=summaryref2!B91,summaryref2!K91,IF(AK230=summaryref2!B105,summaryref2!K105,IF(AK230=summaryref2!B119,summaryref2!K119,IF(AK230=summaryref2!B133,summaryref2!K133,IF(AK230=summaryref2!B147,summaryref2!K147,"")))))))))))</f>
        <v>#REF!</v>
      </c>
      <c r="AV230" s="1125" t="e">
        <f>IF('A-80 DirEntInv'!#REF!&lt;&gt;"",'A-80 DirEntInv'!#REF!,IF(AK230=summaryref2!B21,summaryref2!L21,IF(Summary!AK230=summaryref2!B35,summaryref2!L35,IF(AK230=summaryref2!B49,summaryref2!L49,IF(AK230=summaryref2!B63,summaryref2!L63,IF(AK230=summaryref2!B77,summaryref2!L77,IF(AK230=summaryref2!B91,summaryref2!L91,IF(AK230=summaryref2!B105,summaryref2!L105,IF(AK230=summaryref2!B119,summaryref2!L119,IF(AK230=summaryref2!B133,summaryref2!L133,IF(AK230=summaryref2!B147,summaryref2!L147,"")))))))))))</f>
        <v>#REF!</v>
      </c>
      <c r="AW230" s="1125" t="e">
        <f>IF('A-80 DirEntInv'!#REF!&lt;&gt;"",'A-80 DirEntInv'!#REF!,IF(AK230=summaryref2!B21,summaryref2!M21,IF(Summary!AK230=summaryref2!B35,summaryref2!M35,IF(AK230=summaryref2!B49,summaryref2!M49,IF(AK230=summaryref2!B63,summaryref2!M63,IF(AK230=summaryref2!B77,summaryref2!M77,IF(AK230=summaryref2!B91,summaryref2!M91,IF(AK230=summaryref2!B105,summaryref2!M105,IF(AK230=summaryref2!B119,summaryref2!M119,IF(AK230=summaryref2!B133,summaryref2!M133,IF(AK230=summaryref2!B147,summaryref2!M147,"")))))))))))</f>
        <v>#REF!</v>
      </c>
      <c r="AX230" s="1125" t="e">
        <f>IF('A-80 DirEntInv'!#REF!&lt;&gt;"",'A-80 DirEntInv'!#REF!,IF(AK230=summaryref2!B21,summaryref2!N21,IF(Summary!AK230=summaryref2!B35,summaryref2!N35,IF(AK230=summaryref2!B49,summaryref2!N49,IF(AK230=summaryref2!B63,summaryref2!N63,IF(AK230=summaryref2!B77,summaryref2!N77,IF(AK230=summaryref2!B91,summaryref2!N91,IF(AK230=summaryref2!B105,summaryref2!N105,IF(AK230=summaryref2!B119,summaryref2!N119,IF(AK230=summaryref2!B133,summaryref2!N133,IF(AK230=summaryref2!B147,summaryref2!N147,"")))))))))))</f>
        <v>#REF!</v>
      </c>
      <c r="AY230" s="1125" t="e">
        <f>IF('A-80 DirEntInv'!#REF!&lt;&gt;"",'A-80 DirEntInv'!#REF!,IF(AK230=summaryref2!B21,summaryref2!O21,IF(Summary!AK230=summaryref2!B35,summaryref2!O35,IF(AK230=summaryref2!B49,summaryref2!O49,IF(AK230=summaryref2!B63,summaryref2!O63,IF(AK230=summaryref2!B77,summaryref2!O77,IF(AK230=summaryref2!B91,summaryref2!O91,IF(AK230=summaryref2!B105,summaryref2!O105,IF(AK230=summaryref2!B119,summaryref2!O119,IF(AK230=summaryref2!B133,summaryref2!O133,IF(AK230=summaryref2!B147,summaryref2!O147,"")))))))))))</f>
        <v>#REF!</v>
      </c>
      <c r="AZ230" s="1125" t="e">
        <f>IF('A-80 DirEntInv'!#REF!&lt;&gt;"",'A-80 DirEntInv'!#REF!,IF(AK230=summaryref2!B21,summaryref2!P21,IF(Summary!AK230=summaryref2!B35,summaryref2!P35,IF(AK230=summaryref2!B49,summaryref2!P49,IF(AK230=summaryref2!B63,summaryref2!P63,IF(AK230=summaryref2!B77,summaryref2!P77,IF(AK230=summaryref2!B91,summaryref2!P91,IF(AK230=summaryref2!B105,summaryref2!P105,IF(AK230=summaryref2!B119,summaryref2!P119,IF(AK230=summaryref2!B133,summaryref2!P133,IF(AK230=summaryref2!B147,summaryref2!P147,"")))))))))))</f>
        <v>#REF!</v>
      </c>
      <c r="BA230" s="1125" t="e">
        <f>IF('A-80 DirEntInv'!#REF!&lt;&gt;"",'A-80 DirEntInv'!#REF!,IF(AK230=summaryref2!B21,summaryref2!Q21,IF(Summary!AK230=summaryref2!B35,summaryref2!Q35,IF(AK230=summaryref2!B49,summaryref2!Q49,IF(AK230=summaryref2!B63,summaryref2!Q63,IF(AK230=summaryref2!B77,summaryref2!Q77,IF(AK230=summaryref2!B91,summaryref2!Q91,IF(AK230=summaryref2!B105,summaryref2!Q105,IF(AK230=summaryref2!B119,summaryref2!Q119,IF(AK230=summaryref2!B133,summaryref2!Q133,IF(AK230=summaryref2!B147,summaryref2!Q147,"")))))))))))</f>
        <v>#REF!</v>
      </c>
      <c r="BB230" s="1125" t="e">
        <f>IF('A-80 DirEntInv'!#REF!&lt;&gt;"",'A-80 DirEntInv'!#REF!,IF(AK230=summaryref2!B21,summaryref2!R21,IF(Summary!AK230=summaryref2!B35,summaryref2!R35,IF(AK230=summaryref2!B49,summaryref2!R49,IF(AK230=summaryref2!B63,summaryref2!R63,IF(AK230=summaryref2!B77,summaryref2!R77,IF(AK230=summaryref2!B91,summaryref2!R91,IF(AK230=summaryref2!B105,summaryref2!R105,IF(AK230=summaryref2!B119,summaryref2!R119,IF(AK230=summaryref2!B133,summaryref2!R133,IF(AK230=summaryref2!B147,summaryref2!R147,"")))))))))))</f>
        <v>#REF!</v>
      </c>
      <c r="BC230" s="1125" t="e">
        <f>IF('A-80 DirEntInv'!#REF!&lt;&gt;0,'A-80 DirEntInv'!#REF!,IF(AK230=summaryref2!B21,summaryref2!S21,IF(Summary!AK230=summaryref2!B35,summaryref2!S35,IF(AK230=summaryref2!B49,summaryref2!S49,IF(AK230=summaryref2!B63,summaryref2!S63,IF(AK230=summaryref2!B77,summaryref2!S77,IF(AK230=summaryref2!B91,summaryref2!S91,IF(AK230=summaryref2!B105,summaryref2!S105,IF(AK230=summaryref2!B119,summaryref2!S119,IF(AK230=summaryref2!B133,summaryref2!S133,IF(AK230=summaryref2!B147,summaryref2!S147,"")))))))))))</f>
        <v>#REF!</v>
      </c>
      <c r="BD230" s="1126" t="e">
        <f>IF('A-80 DirEntInv'!#REF!&lt;&gt;"",'A-80 DirEntInv'!#REF!,IF(AK230=summaryref2!B21,summaryref2!T21,IF(Summary!AK230=summaryref2!B35,summaryref2!T35,IF(AK230=summaryref2!B49,summaryref2!T49,IF(AK230=summaryref2!B63,summaryref2!T63,IF(AK230=summaryref2!B77,summaryref2!T77,IF(AK230=summaryref2!B91,summaryref2!T91,IF(AK230=summaryref2!B105,summaryref2!T105,IF(AK230=summaryref2!B119,summaryref2!T119,IF(AK230=summaryref2!B133,summaryref2!T133,IF(AK230=summaryref2!B147,summaryref2!T147,"")))))))))))</f>
        <v>#REF!</v>
      </c>
      <c r="BE230" s="1183" t="e">
        <f>IF('A-80 DirEntInv'!#REF!&lt;&gt;"",'A-80 DirEntInv'!#REF!,IF(AK230=summaryref2!B21,summaryref2!U21,IF(Summary!AK230=summaryref2!B35,summaryref2!U35,IF(AK230=summaryref2!B49,summaryref2!U49,IF(AK230=summaryref2!B63,summaryref2!U63,IF(AK230=summaryref2!B77,summaryref2!U77,IF(AK230=summaryref2!B91,summaryref2!U91,IF(AK230=summaryref2!B105,summaryref2!U105,IF(AK230=summaryref2!B119,summaryref2!U119,IF(AK230=summaryref2!B133,summaryref2!U133,IF(AK230=summaryref2!B147,summaryref2!U147,"")))))))))))</f>
        <v>#REF!</v>
      </c>
      <c r="BF230" s="1432"/>
      <c r="BG230" s="1432"/>
      <c r="BU230" s="962"/>
      <c r="CD230" s="589"/>
      <c r="CE230" s="590"/>
      <c r="CF230" s="590"/>
      <c r="CG230" s="590"/>
      <c r="CH230" s="590"/>
      <c r="CI230" s="590"/>
      <c r="CJ230" s="589"/>
      <c r="CK230" s="589"/>
      <c r="CL230" s="589"/>
      <c r="CM230" s="587"/>
      <c r="CN230" s="587"/>
      <c r="CO230" s="589"/>
      <c r="CP230" s="587"/>
      <c r="CQ230" s="592"/>
      <c r="CR230" s="589"/>
      <c r="CS230" s="592"/>
      <c r="CT230" s="589"/>
      <c r="CU230" s="589"/>
      <c r="CV230" s="589"/>
      <c r="CW230" s="587"/>
      <c r="CX230" s="590"/>
      <c r="CY230" s="590"/>
      <c r="CZ230" s="590"/>
      <c r="DA230" s="1054"/>
      <c r="DB230" s="1054"/>
      <c r="DC230" s="587"/>
      <c r="DD230" s="587"/>
    </row>
    <row r="231" spans="1:108" s="588" customFormat="1" x14ac:dyDescent="0.2">
      <c r="A231" s="589">
        <f t="shared" si="3"/>
        <v>221</v>
      </c>
      <c r="B231" s="587"/>
      <c r="C231" s="587"/>
      <c r="D231" s="587"/>
      <c r="J231" s="589"/>
      <c r="K231" s="590"/>
      <c r="L231" s="591"/>
      <c r="M231" s="592"/>
      <c r="N231" s="589"/>
      <c r="O231" s="587"/>
      <c r="R231" s="1052"/>
      <c r="S231" s="1052"/>
      <c r="T231" s="1052"/>
      <c r="U231" s="1052"/>
      <c r="V231" s="1052"/>
      <c r="W231" s="1053"/>
      <c r="X231" s="1053"/>
      <c r="Y231" s="1053"/>
      <c r="Z231" s="1052"/>
      <c r="AA231" s="1052"/>
      <c r="AB231" s="962"/>
      <c r="AC231" s="590"/>
      <c r="AD231" s="590"/>
      <c r="AE231" s="591"/>
      <c r="AF231" s="592"/>
      <c r="AG231" s="1053"/>
      <c r="AH231" s="587"/>
      <c r="AK231" s="1041" t="str">
        <f>Codes!$C$171</f>
        <v>TR - Aerial Tramway (DO)</v>
      </c>
      <c r="AL231" s="1042" t="str">
        <f>Valid!$B$88</f>
        <v>Substation Equipment</v>
      </c>
      <c r="AM231" s="1187"/>
      <c r="AN231" s="1046"/>
      <c r="AO231" s="1187"/>
      <c r="AP231" s="1046"/>
      <c r="AQ231" s="1147" t="e">
        <f>IF('A-80 DirEntInv'!#REF!&lt;&gt;"",'A-80 DirEntInv'!#REF!,IF(AK231=summaryref2!B22,summaryref2!G22,IF(Summary!AK231=summaryref2!B36,summaryref2!G36,IF(AK231=summaryref2!B50,summaryref2!G50,IF(AK231=summaryref2!B64,summaryref2!G64,IF(AK231=summaryref2!B78,summaryref2!G78,IF(AK231=summaryref2!B92,summaryref2!G92,IF(AK231=summaryref2!B106,summaryref2!G106,IF(AK231=summaryref2!B120,summaryref2!G120,IF(AK231=summaryref2!B134,summaryref2!G134,IF(AK231=summaryref2!B148,summaryref2!G148,"")))))))))))</f>
        <v>#REF!</v>
      </c>
      <c r="AR231" s="1147" t="e">
        <f>IF('A-80 DirEntInv'!#REF!&lt;&gt;"",'A-80 DirEntInv'!#REF!,IF(AK231=summaryref2!B22,summaryref2!H22,IF(Summary!AK231=summaryref2!B36,summaryref2!H36,IF(AK231=summaryref2!B50,summaryref2!H50,IF(AK231=summaryref2!B64,summaryref2!H64,IF(AK231=summaryref2!B78,summaryref2!H78,IF(AK231=summaryref2!B92,summaryref2!H92,IF(AK231=summaryref2!B106,summaryref2!H106,IF(AK231=summaryref2!B120,summaryref2!H120,IF(AK231=summaryref2!B134,summaryref2!H134,IF(AK231=summaryref2!B148,summaryref2!H148,"")))))))))))</f>
        <v>#REF!</v>
      </c>
      <c r="AS231" s="1110" t="e">
        <f>IF('A-80 DirEntInv'!#REF!&lt;&gt;"",'A-80 DirEntInv'!#REF!,IF(AK231=summaryref2!B22,summaryref2!I22,IF(Summary!AK231=summaryref2!B36,summaryref2!I36,IF(AK231=summaryref2!B50,summaryref2!I50,IF(AK231=summaryref2!B64,summaryref2!I64,IF(AK231=summaryref2!B78,summaryref2!I78,IF(AK231=summaryref2!B92,summaryref2!I92,IF(AK231=summaryref2!B106,summaryref2!I106,IF(AK231=summaryref2!B120,summaryref2!I120,IF(AK231=summaryref2!B134,summaryref2!I134,IF(AK231=summaryref2!B148,summaryref2!I148,"")))))))))))</f>
        <v>#REF!</v>
      </c>
      <c r="AT231" s="1110" t="e">
        <f>IF('A-80 DirEntInv'!#REF!&lt;&gt;"",'A-80 DirEntInv'!#REF!,IF(AK231=summaryref2!B22,summaryref2!J22,IF(Summary!AK231=summaryref2!B36,summaryref2!J36,IF(AK231=summaryref2!B50,summaryref2!J50,IF(AK231=summaryref2!B64,summaryref2!J64,IF(AK231=summaryref2!B78,summaryref2!J78,IF(AK231=summaryref2!B92,summaryref2!J92,IF(AK231=summaryref2!B106,summaryref2!J106,IF(AK231=summaryref2!B120,summaryref2!J120,IF(AK231=summaryref2!B134,summaryref2!J134,IF(AK231=summaryref2!B148,summaryref2!J148,"")))))))))))</f>
        <v>#REF!</v>
      </c>
      <c r="AU231" s="1110" t="e">
        <f>IF('A-80 DirEntInv'!#REF!&lt;&gt;"",'A-80 DirEntInv'!#REF!,IF(AK231=summaryref2!B22,summaryref2!K22,IF(Summary!AK231=summaryref2!B36,summaryref2!K36,IF(AK231=summaryref2!B50,summaryref2!K50,IF(AK231=summaryref2!B64,summaryref2!K64,IF(AK231=summaryref2!B78,summaryref2!K78,IF(AK231=summaryref2!B92,summaryref2!K92,IF(AK231=summaryref2!B106,summaryref2!K106,IF(AK231=summaryref2!B120,summaryref2!K120,IF(AK231=summaryref2!B134,summaryref2!K134,IF(AK231=summaryref2!B148,summaryref2!K148,"")))))))))))</f>
        <v>#REF!</v>
      </c>
      <c r="AV231" s="1110" t="e">
        <f>IF('A-80 DirEntInv'!#REF!&lt;&gt;"",'A-80 DirEntInv'!#REF!,IF(AK231=summaryref2!B22,summaryref2!L22,IF(Summary!AK231=summaryref2!B36,summaryref2!L36,IF(AK231=summaryref2!B50,summaryref2!L50,IF(AK231=summaryref2!B64,summaryref2!L64,IF(AK231=summaryref2!B78,summaryref2!L78,IF(AK231=summaryref2!B92,summaryref2!L92,IF(AK231=summaryref2!B106,summaryref2!L106,IF(AK231=summaryref2!B120,summaryref2!L120,IF(AK231=summaryref2!B134,summaryref2!L134,IF(AK231=summaryref2!B148,summaryref2!L148,"")))))))))))</f>
        <v>#REF!</v>
      </c>
      <c r="AW231" s="1110" t="e">
        <f>IF('A-80 DirEntInv'!#REF!&lt;&gt;"",'A-80 DirEntInv'!#REF!,IF(AK231=summaryref2!B22,summaryref2!M22,IF(Summary!AK231=summaryref2!B36,summaryref2!M36,IF(AK231=summaryref2!B50,summaryref2!M50,IF(AK231=summaryref2!B64,summaryref2!M64,IF(AK231=summaryref2!B78,summaryref2!M78,IF(AK231=summaryref2!B92,summaryref2!M92,IF(AK231=summaryref2!B106,summaryref2!M106,IF(AK231=summaryref2!B120,summaryref2!M120,IF(AK231=summaryref2!B134,summaryref2!M134,IF(AK231=summaryref2!B148,summaryref2!M148,"")))))))))))</f>
        <v>#REF!</v>
      </c>
      <c r="AX231" s="1110" t="e">
        <f>IF('A-80 DirEntInv'!#REF!&lt;&gt;"",'A-80 DirEntInv'!#REF!,IF(AK231=summaryref2!B22,summaryref2!N22,IF(Summary!AK231=summaryref2!B36,summaryref2!N36,IF(AK231=summaryref2!B50,summaryref2!N50,IF(AK231=summaryref2!B64,summaryref2!N64,IF(AK231=summaryref2!B78,summaryref2!N78,IF(AK231=summaryref2!B92,summaryref2!N92,IF(AK231=summaryref2!B106,summaryref2!N106,IF(AK231=summaryref2!B120,summaryref2!N120,IF(AK231=summaryref2!B134,summaryref2!N134,IF(AK231=summaryref2!B148,summaryref2!N148,"")))))))))))</f>
        <v>#REF!</v>
      </c>
      <c r="AY231" s="1110" t="e">
        <f>IF('A-80 DirEntInv'!#REF!&lt;&gt;"",'A-80 DirEntInv'!#REF!,IF(AK231=summaryref2!B22,summaryref2!O22,IF(Summary!AK231=summaryref2!B36,summaryref2!O36,IF(AK231=summaryref2!B50,summaryref2!O50,IF(AK231=summaryref2!B64,summaryref2!O64,IF(AK231=summaryref2!B78,summaryref2!O78,IF(AK231=summaryref2!B92,summaryref2!O92,IF(AK231=summaryref2!B106,summaryref2!O106,IF(AK231=summaryref2!B120,summaryref2!O120,IF(AK231=summaryref2!B134,summaryref2!O134,IF(AK231=summaryref2!B148,summaryref2!O148,"")))))))))))</f>
        <v>#REF!</v>
      </c>
      <c r="AZ231" s="1110" t="e">
        <f>IF('A-80 DirEntInv'!#REF!&lt;&gt;"",'A-80 DirEntInv'!#REF!,IF(AK231=summaryref2!B22,summaryref2!P22,IF(Summary!AK231=summaryref2!B36,summaryref2!P36,IF(AK231=summaryref2!B50,summaryref2!P50,IF(AK231=summaryref2!B64,summaryref2!P64,IF(AK231=summaryref2!B78,summaryref2!P78,IF(AK231=summaryref2!B92,summaryref2!P92,IF(AK231=summaryref2!B106,summaryref2!P106,IF(AK231=summaryref2!B120,summaryref2!P120,IF(AK231=summaryref2!B134,summaryref2!P134,IF(AK231=summaryref2!B148,summaryref2!P148,"")))))))))))</f>
        <v>#REF!</v>
      </c>
      <c r="BA231" s="1110" t="e">
        <f>IF('A-80 DirEntInv'!#REF!&lt;&gt;"",'A-80 DirEntInv'!#REF!,IF(AK231=summaryref2!B22,summaryref2!Q22,IF(Summary!AK231=summaryref2!B36,summaryref2!Q36,IF(AK231=summaryref2!B50,summaryref2!Q50,IF(AK231=summaryref2!B64,summaryref2!Q64,IF(AK231=summaryref2!B78,summaryref2!Q78,IF(AK231=summaryref2!B92,summaryref2!Q92,IF(AK231=summaryref2!B106,summaryref2!Q106,IF(AK231=summaryref2!B120,summaryref2!Q120,IF(AK231=summaryref2!B134,summaryref2!Q134,IF(AK231=summaryref2!B148,summaryref2!Q148,"")))))))))))</f>
        <v>#REF!</v>
      </c>
      <c r="BB231" s="1110" t="e">
        <f>IF('A-80 DirEntInv'!#REF!&lt;&gt;"",'A-80 DirEntInv'!#REF!,IF(AK231=summaryref2!B22,summaryref2!R22,IF(Summary!AK231=summaryref2!B36,summaryref2!R36,IF(AK231=summaryref2!B50,summaryref2!R50,IF(AK231=summaryref2!B64,summaryref2!R64,IF(AK231=summaryref2!B78,summaryref2!R78,IF(AK231=summaryref2!B92,summaryref2!R92,IF(AK231=summaryref2!B106,summaryref2!R106,IF(AK231=summaryref2!B120,summaryref2!R120,IF(AK231=summaryref2!B134,summaryref2!R134,IF(AK231=summaryref2!B148,summaryref2!R148,"")))))))))))</f>
        <v>#REF!</v>
      </c>
      <c r="BC231" s="1110" t="e">
        <f>IF('A-80 DirEntInv'!#REF!&lt;&gt;0,'A-80 DirEntInv'!#REF!,IF(AK231=summaryref2!B22,summaryref2!S22,IF(Summary!AK231=summaryref2!B36,summaryref2!S36,IF(AK231=summaryref2!B50,summaryref2!S50,IF(AK231=summaryref2!B64,summaryref2!S64,IF(AK231=summaryref2!B78,summaryref2!S78,IF(AK231=summaryref2!B92,summaryref2!S92,IF(AK231=summaryref2!B106,summaryref2!S106,IF(AK231=summaryref2!B120,summaryref2!S120,IF(AK231=summaryref2!B134,summaryref2!S134,IF(AK231=summaryref2!B148,summaryref2!S148,"")))))))))))</f>
        <v>#REF!</v>
      </c>
      <c r="BD231" s="1111" t="e">
        <f>IF('A-80 DirEntInv'!#REF!&lt;&gt;"",'A-80 DirEntInv'!#REF!,IF(AK231=summaryref2!B22,summaryref2!T22,IF(Summary!AK231=summaryref2!B36,summaryref2!T36,IF(AK231=summaryref2!B50,summaryref2!T50,IF(AK231=summaryref2!B64,summaryref2!T64,IF(AK231=summaryref2!B78,summaryref2!T78,IF(AK231=summaryref2!B92,summaryref2!T92,IF(AK231=summaryref2!B106,summaryref2!T106,IF(AK231=summaryref2!B120,summaryref2!T120,IF(AK231=summaryref2!B134,summaryref2!T134,IF(AK231=summaryref2!B148,summaryref2!T148,"")))))))))))</f>
        <v>#REF!</v>
      </c>
      <c r="BE231" s="1184" t="e">
        <f>IF('A-80 DirEntInv'!#REF!&lt;&gt;"",'A-80 DirEntInv'!#REF!,IF(AK231=summaryref2!B22,summaryref2!U22,IF(Summary!AK231=summaryref2!B36,summaryref2!U36,IF(AK231=summaryref2!B50,summaryref2!U50,IF(AK231=summaryref2!B64,summaryref2!U64,IF(AK231=summaryref2!B78,summaryref2!U78,IF(AK231=summaryref2!B92,summaryref2!U92,IF(AK231=summaryref2!B106,summaryref2!U106,IF(AK231=summaryref2!B120,summaryref2!U120,IF(AK231=summaryref2!B134,summaryref2!U134,IF(AK231=summaryref2!B148,summaryref2!U148,"")))))))))))</f>
        <v>#REF!</v>
      </c>
      <c r="BF231" s="1432"/>
      <c r="BG231" s="1432"/>
      <c r="BU231" s="962"/>
      <c r="CD231" s="589"/>
      <c r="CE231" s="590"/>
      <c r="CF231" s="590"/>
      <c r="CG231" s="590"/>
      <c r="CH231" s="590"/>
      <c r="CI231" s="590"/>
      <c r="CJ231" s="589"/>
      <c r="CK231" s="589"/>
      <c r="CL231" s="589"/>
      <c r="CM231" s="587"/>
      <c r="CN231" s="587"/>
      <c r="CO231" s="589"/>
      <c r="CP231" s="587"/>
      <c r="CQ231" s="592"/>
      <c r="CR231" s="589"/>
      <c r="CS231" s="592"/>
      <c r="CT231" s="589"/>
      <c r="CU231" s="589"/>
      <c r="CV231" s="589"/>
      <c r="CW231" s="587"/>
      <c r="CX231" s="590"/>
      <c r="CY231" s="590"/>
      <c r="CZ231" s="590"/>
      <c r="DA231" s="1054"/>
      <c r="DB231" s="1054"/>
      <c r="DC231" s="587"/>
      <c r="DD231" s="587"/>
    </row>
    <row r="232" spans="1:108" s="588" customFormat="1" x14ac:dyDescent="0.2">
      <c r="A232" s="589">
        <f t="shared" si="3"/>
        <v>222</v>
      </c>
      <c r="B232" s="587"/>
      <c r="C232" s="587"/>
      <c r="D232" s="587"/>
      <c r="J232" s="589"/>
      <c r="K232" s="590"/>
      <c r="L232" s="591"/>
      <c r="M232" s="592"/>
      <c r="N232" s="589"/>
      <c r="O232" s="587"/>
      <c r="R232" s="1052"/>
      <c r="S232" s="1052"/>
      <c r="T232" s="1052"/>
      <c r="U232" s="1052"/>
      <c r="V232" s="1052"/>
      <c r="W232" s="1053"/>
      <c r="X232" s="1053"/>
      <c r="Y232" s="1053"/>
      <c r="Z232" s="1052"/>
      <c r="AA232" s="1052"/>
      <c r="AB232" s="962"/>
      <c r="AC232" s="590"/>
      <c r="AD232" s="590"/>
      <c r="AE232" s="591"/>
      <c r="AF232" s="592"/>
      <c r="AG232" s="1053"/>
      <c r="AH232" s="587"/>
      <c r="AK232" s="1041" t="str">
        <f>Codes!$C$171</f>
        <v>TR - Aerial Tramway (DO)</v>
      </c>
      <c r="AL232" s="1042" t="str">
        <f>Valid!$B$89</f>
        <v>Third Rail/Power Distribution</v>
      </c>
      <c r="AM232" s="1108"/>
      <c r="AN232" s="1042"/>
      <c r="AO232" s="1108"/>
      <c r="AP232" s="1042"/>
      <c r="AQ232" s="1147" t="e">
        <f>IF('A-80 DirEntInv'!#REF!&lt;&gt;"",'A-80 DirEntInv'!#REF!,IF(AK232=summaryref2!B23,summaryref2!G23,IF(Summary!AK232=summaryref2!B37,summaryref2!G37,IF(AK232=summaryref2!B51,summaryref2!G51,IF(AK232=summaryref2!B65,summaryref2!G65,IF(AK232=summaryref2!B79,summaryref2!G79,IF(AK232=summaryref2!B93,summaryref2!G93,IF(AK232=summaryref2!B107,summaryref2!G107,IF(AK232=summaryref2!B121,summaryref2!G121,IF(AK232=summaryref2!B135,summaryref2!G135,IF(AK232=summaryref2!B149,summaryref2!G149,"")))))))))))</f>
        <v>#REF!</v>
      </c>
      <c r="AR232" s="1147" t="e">
        <f>IF('A-80 DirEntInv'!#REF!&lt;&gt;"",'A-80 DirEntInv'!#REF!,IF(AK232=summaryref2!B23,summaryref2!H23,IF(Summary!AK232=summaryref2!B37,summaryref2!H37,IF(AK232=summaryref2!B51,summaryref2!H51,IF(AK232=summaryref2!B65,summaryref2!H65,IF(AK232=summaryref2!B79,summaryref2!H79,IF(AK232=summaryref2!B93,summaryref2!H93,IF(AK232=summaryref2!B107,summaryref2!H107,IF(AK232=summaryref2!B121,summaryref2!H121,IF(AK232=summaryref2!B135,summaryref2!H135,IF(AK232=summaryref2!B149,summaryref2!H149,"")))))))))))</f>
        <v>#REF!</v>
      </c>
      <c r="AS232" s="1110" t="e">
        <f>IF('A-80 DirEntInv'!#REF!&lt;&gt;"",'A-80 DirEntInv'!#REF!,IF(AK232=summaryref2!B23,summaryref2!I23,IF(Summary!AK232=summaryref2!B37,summaryref2!I37,IF(AK232=summaryref2!B51,summaryref2!I51,IF(AK232=summaryref2!B65,summaryref2!I65,IF(AK232=summaryref2!B79,summaryref2!I79,IF(AK232=summaryref2!B93,summaryref2!I93,IF(AK232=summaryref2!B107,summaryref2!I107,IF(AK232=summaryref2!B121,summaryref2!I121,IF(AK232=summaryref2!B135,summaryref2!I135,IF(AK232=summaryref2!B149,summaryref2!I149,"")))))))))))</f>
        <v>#REF!</v>
      </c>
      <c r="AT232" s="1110" t="e">
        <f>IF('A-80 DirEntInv'!#REF!&lt;&gt;"",'A-80 DirEntInv'!#REF!,IF(AK232=summaryref2!B23,summaryref2!J23,IF(Summary!AK232=summaryref2!B37,summaryref2!J37,IF(AK232=summaryref2!B51,summaryref2!J51,IF(AK232=summaryref2!B65,summaryref2!J65,IF(AK232=summaryref2!B79,summaryref2!J79,IF(AK232=summaryref2!B93,summaryref2!J93,IF(AK232=summaryref2!B107,summaryref2!J107,IF(AK232=summaryref2!B121,summaryref2!J121,IF(AK232=summaryref2!B135,summaryref2!J135,IF(AK232=summaryref2!B149,summaryref2!J149,"")))))))))))</f>
        <v>#REF!</v>
      </c>
      <c r="AU232" s="1110" t="e">
        <f>IF('A-80 DirEntInv'!#REF!&lt;&gt;"",'A-80 DirEntInv'!#REF!,IF(AK232=summaryref2!B23,summaryref2!K23,IF(Summary!AK232=summaryref2!B37,summaryref2!K37,IF(AK232=summaryref2!B51,summaryref2!K51,IF(AK232=summaryref2!B65,summaryref2!K65,IF(AK232=summaryref2!B79,summaryref2!K79,IF(AK232=summaryref2!B93,summaryref2!K93,IF(AK232=summaryref2!B107,summaryref2!K107,IF(AK232=summaryref2!B121,summaryref2!K121,IF(AK232=summaryref2!B135,summaryref2!K135,IF(AK232=summaryref2!B149,summaryref2!K149,"")))))))))))</f>
        <v>#REF!</v>
      </c>
      <c r="AV232" s="1110" t="e">
        <f>IF('A-80 DirEntInv'!#REF!&lt;&gt;"",'A-80 DirEntInv'!#REF!,IF(AK232=summaryref2!B23,summaryref2!L23,IF(Summary!AK232=summaryref2!B37,summaryref2!L37,IF(AK232=summaryref2!B51,summaryref2!L51,IF(AK232=summaryref2!B65,summaryref2!L65,IF(AK232=summaryref2!B79,summaryref2!L79,IF(AK232=summaryref2!B93,summaryref2!L93,IF(AK232=summaryref2!B107,summaryref2!L107,IF(AK232=summaryref2!B121,summaryref2!L121,IF(AK232=summaryref2!B135,summaryref2!L135,IF(AK232=summaryref2!B149,summaryref2!L149,"")))))))))))</f>
        <v>#REF!</v>
      </c>
      <c r="AW232" s="1110" t="e">
        <f>IF('A-80 DirEntInv'!#REF!&lt;&gt;"",'A-80 DirEntInv'!#REF!,IF(AK232=summaryref2!B23,summaryref2!M23,IF(Summary!AK232=summaryref2!B37,summaryref2!M37,IF(AK232=summaryref2!B51,summaryref2!M51,IF(AK232=summaryref2!B65,summaryref2!M65,IF(AK232=summaryref2!B79,summaryref2!M79,IF(AK232=summaryref2!B93,summaryref2!M93,IF(AK232=summaryref2!B107,summaryref2!M107,IF(AK232=summaryref2!B121,summaryref2!M121,IF(AK232=summaryref2!B135,summaryref2!M135,IF(AK232=summaryref2!B149,summaryref2!M149,"")))))))))))</f>
        <v>#REF!</v>
      </c>
      <c r="AX232" s="1110" t="e">
        <f>IF('A-80 DirEntInv'!#REF!&lt;&gt;"",'A-80 DirEntInv'!#REF!,IF(AK232=summaryref2!B23,summaryref2!N23,IF(Summary!AK232=summaryref2!B37,summaryref2!N37,IF(AK232=summaryref2!B51,summaryref2!N51,IF(AK232=summaryref2!B65,summaryref2!N65,IF(AK232=summaryref2!B79,summaryref2!N79,IF(AK232=summaryref2!B93,summaryref2!N93,IF(AK232=summaryref2!B107,summaryref2!N107,IF(AK232=summaryref2!B121,summaryref2!N121,IF(AK232=summaryref2!B135,summaryref2!N135,IF(AK232=summaryref2!B149,summaryref2!N149,"")))))))))))</f>
        <v>#REF!</v>
      </c>
      <c r="AY232" s="1110" t="e">
        <f>IF('A-80 DirEntInv'!#REF!&lt;&gt;"",'A-80 DirEntInv'!#REF!,IF(AK232=summaryref2!B23,summaryref2!O23,IF(Summary!AK232=summaryref2!B37,summaryref2!O37,IF(AK232=summaryref2!B51,summaryref2!O51,IF(AK232=summaryref2!B65,summaryref2!O65,IF(AK232=summaryref2!B79,summaryref2!O79,IF(AK232=summaryref2!B93,summaryref2!O93,IF(AK232=summaryref2!B107,summaryref2!O107,IF(AK232=summaryref2!B121,summaryref2!O121,IF(AK232=summaryref2!B135,summaryref2!O135,IF(AK232=summaryref2!B149,summaryref2!O149,"")))))))))))</f>
        <v>#REF!</v>
      </c>
      <c r="AZ232" s="1110" t="e">
        <f>IF('A-80 DirEntInv'!#REF!&lt;&gt;"",'A-80 DirEntInv'!#REF!,IF(AK232=summaryref2!B23,summaryref2!P23,IF(Summary!AK232=summaryref2!B37,summaryref2!P37,IF(AK232=summaryref2!B51,summaryref2!P51,IF(AK232=summaryref2!B65,summaryref2!P65,IF(AK232=summaryref2!B79,summaryref2!P79,IF(AK232=summaryref2!B93,summaryref2!P93,IF(AK232=summaryref2!B107,summaryref2!P107,IF(AK232=summaryref2!B121,summaryref2!P121,IF(AK232=summaryref2!B135,summaryref2!P135,IF(AK232=summaryref2!B149,summaryref2!P149,"")))))))))))</f>
        <v>#REF!</v>
      </c>
      <c r="BA232" s="1110" t="e">
        <f>IF('A-80 DirEntInv'!#REF!&lt;&gt;"",'A-80 DirEntInv'!#REF!,IF(AK232=summaryref2!B23,summaryref2!Q23,IF(Summary!AK232=summaryref2!B37,summaryref2!Q37,IF(AK232=summaryref2!B51,summaryref2!Q51,IF(AK232=summaryref2!B65,summaryref2!Q65,IF(AK232=summaryref2!B79,summaryref2!Q79,IF(AK232=summaryref2!B93,summaryref2!Q93,IF(AK232=summaryref2!B107,summaryref2!Q107,IF(AK232=summaryref2!B121,summaryref2!Q121,IF(AK232=summaryref2!B135,summaryref2!Q135,IF(AK232=summaryref2!B149,summaryref2!Q149,"")))))))))))</f>
        <v>#REF!</v>
      </c>
      <c r="BB232" s="1110" t="e">
        <f>IF('A-80 DirEntInv'!#REF!&lt;&gt;"",'A-80 DirEntInv'!#REF!,IF(AK232=summaryref2!B23,summaryref2!R23,IF(Summary!AK232=summaryref2!B37,summaryref2!R37,IF(AK232=summaryref2!B51,summaryref2!R51,IF(AK232=summaryref2!B65,summaryref2!R65,IF(AK232=summaryref2!B79,summaryref2!R79,IF(AK232=summaryref2!B93,summaryref2!R93,IF(AK232=summaryref2!B107,summaryref2!R107,IF(AK232=summaryref2!B121,summaryref2!R121,IF(AK232=summaryref2!B135,summaryref2!R135,IF(AK232=summaryref2!B149,summaryref2!R149,"")))))))))))</f>
        <v>#REF!</v>
      </c>
      <c r="BC232" s="1110" t="e">
        <f>IF('A-80 DirEntInv'!#REF!&lt;&gt;0,'A-80 DirEntInv'!#REF!,IF(AK232=summaryref2!B23,summaryref2!S23,IF(Summary!AK232=summaryref2!B37,summaryref2!S37,IF(AK232=summaryref2!B51,summaryref2!S51,IF(AK232=summaryref2!B65,summaryref2!S65,IF(AK232=summaryref2!B79,summaryref2!S79,IF(AK232=summaryref2!B93,summaryref2!S93,IF(AK232=summaryref2!B107,summaryref2!S107,IF(AK232=summaryref2!B121,summaryref2!S121,IF(AK232=summaryref2!B135,summaryref2!S135,IF(AK232=summaryref2!B149,summaryref2!S149,"")))))))))))</f>
        <v>#REF!</v>
      </c>
      <c r="BD232" s="1111" t="e">
        <f>IF('A-80 DirEntInv'!#REF!&lt;&gt;"",'A-80 DirEntInv'!#REF!,IF(AK232=summaryref2!B23,summaryref2!T23,IF(Summary!AK232=summaryref2!B37,summaryref2!T37,IF(AK232=summaryref2!B51,summaryref2!T51,IF(AK232=summaryref2!B65,summaryref2!T65,IF(AK232=summaryref2!B79,summaryref2!T79,IF(AK232=summaryref2!B93,summaryref2!T93,IF(AK232=summaryref2!B107,summaryref2!T107,IF(AK232=summaryref2!B121,summaryref2!T121,IF(AK232=summaryref2!B135,summaryref2!T135,IF(AK232=summaryref2!B149,summaryref2!T149,"")))))))))))</f>
        <v>#REF!</v>
      </c>
      <c r="BE232" s="1184" t="e">
        <f>IF('A-80 DirEntInv'!#REF!&lt;&gt;"",'A-80 DirEntInv'!#REF!,IF(AK232=summaryref2!B23,summaryref2!U23,IF(Summary!AK232=summaryref2!B37,summaryref2!U37,IF(AK232=summaryref2!B51,summaryref2!U51,IF(AK232=summaryref2!B65,summaryref2!U65,IF(AK232=summaryref2!B79,summaryref2!U79,IF(AK232=summaryref2!B93,summaryref2!U93,IF(AK232=summaryref2!B107,summaryref2!U107,IF(AK232=summaryref2!B121,summaryref2!U121,IF(AK232=summaryref2!B135,summaryref2!U135,IF(AK232=summaryref2!B149,summaryref2!U149,"")))))))))))</f>
        <v>#REF!</v>
      </c>
      <c r="BF232" s="1432"/>
      <c r="BG232" s="1432"/>
      <c r="BU232" s="962"/>
      <c r="CD232" s="589"/>
      <c r="CE232" s="590"/>
      <c r="CF232" s="590"/>
      <c r="CG232" s="590"/>
      <c r="CH232" s="590"/>
      <c r="CI232" s="590"/>
      <c r="CJ232" s="589"/>
      <c r="CK232" s="589"/>
      <c r="CL232" s="589"/>
      <c r="CM232" s="587"/>
      <c r="CN232" s="587"/>
      <c r="CO232" s="589"/>
      <c r="CP232" s="587"/>
      <c r="CQ232" s="592"/>
      <c r="CR232" s="589"/>
      <c r="CS232" s="592"/>
      <c r="CT232" s="589"/>
      <c r="CU232" s="589"/>
      <c r="CV232" s="589"/>
      <c r="CW232" s="587"/>
      <c r="CX232" s="590"/>
      <c r="CY232" s="590"/>
      <c r="CZ232" s="590"/>
      <c r="DA232" s="1054"/>
      <c r="DB232" s="1054"/>
      <c r="DC232" s="587"/>
      <c r="DD232" s="587"/>
    </row>
    <row r="233" spans="1:108" s="588" customFormat="1" x14ac:dyDescent="0.2">
      <c r="A233" s="589">
        <f t="shared" si="3"/>
        <v>223</v>
      </c>
      <c r="B233" s="587"/>
      <c r="C233" s="587"/>
      <c r="D233" s="587"/>
      <c r="J233" s="589"/>
      <c r="K233" s="590"/>
      <c r="L233" s="591"/>
      <c r="M233" s="592"/>
      <c r="N233" s="589"/>
      <c r="O233" s="587"/>
      <c r="R233" s="1052"/>
      <c r="S233" s="1052"/>
      <c r="T233" s="1052"/>
      <c r="U233" s="1052"/>
      <c r="V233" s="1052"/>
      <c r="W233" s="1053"/>
      <c r="X233" s="1053"/>
      <c r="Y233" s="1053"/>
      <c r="Z233" s="1052"/>
      <c r="AA233" s="1052"/>
      <c r="AB233" s="962"/>
      <c r="AC233" s="590"/>
      <c r="AD233" s="590"/>
      <c r="AE233" s="591"/>
      <c r="AF233" s="592"/>
      <c r="AG233" s="1053"/>
      <c r="AH233" s="587"/>
      <c r="AK233" s="1041" t="str">
        <f>Codes!$C$171</f>
        <v>TR - Aerial Tramway (DO)</v>
      </c>
      <c r="AL233" s="1042" t="str">
        <f>Valid!$B$90</f>
        <v>Overhead Contact System/Power Distribution</v>
      </c>
      <c r="AM233" s="1108"/>
      <c r="AN233" s="1042"/>
      <c r="AO233" s="1108"/>
      <c r="AP233" s="1042"/>
      <c r="AQ233" s="1147" t="e">
        <f>IF('A-80 DirEntInv'!#REF!&lt;&gt;"",'A-80 DirEntInv'!#REF!,IF(AK233=summaryref2!B24,summaryref2!G24,IF(Summary!AK233=summaryref2!B38,summaryref2!G38,IF(AK233=summaryref2!B52,summaryref2!G52,IF(AK233=summaryref2!B66,summaryref2!G66,IF(AK233=summaryref2!B80,summaryref2!G80,IF(AK233=summaryref2!B94,summaryref2!G94,IF(AK233=summaryref2!B108,summaryref2!G108,IF(AK233=summaryref2!B122,summaryref2!G122,IF(AK233=summaryref2!B136,summaryref2!G136,IF(AK233=summaryref2!B150,summaryref2!G150,"")))))))))))</f>
        <v>#REF!</v>
      </c>
      <c r="AR233" s="1147" t="e">
        <f>IF('A-80 DirEntInv'!#REF!&lt;&gt;"",'A-80 DirEntInv'!#REF!,IF(AK233=summaryref2!B24,summaryref2!H24,IF(Summary!AK233=summaryref2!B38,summaryref2!H38,IF(AK233=summaryref2!B52,summaryref2!H52,IF(AK233=summaryref2!B66,summaryref2!H66,IF(AK233=summaryref2!B80,summaryref2!H80,IF(AK233=summaryref2!B94,summaryref2!H94,IF(AK233=summaryref2!B108,summaryref2!H108,IF(AK233=summaryref2!B122,summaryref2!H122,IF(AK233=summaryref2!B136,summaryref2!H136,IF(AK233=summaryref2!B150,summaryref2!H150,"")))))))))))</f>
        <v>#REF!</v>
      </c>
      <c r="AS233" s="1110" t="e">
        <f>IF('A-80 DirEntInv'!#REF!&lt;&gt;"",'A-80 DirEntInv'!#REF!,IF(AK233=summaryref2!B24,summaryref2!I24,IF(Summary!AK233=summaryref2!B38,summaryref2!I38,IF(AK233=summaryref2!B52,summaryref2!I52,IF(AK233=summaryref2!B66,summaryref2!I66,IF(AK233=summaryref2!B80,summaryref2!I80,IF(AK233=summaryref2!B94,summaryref2!I94,IF(AK233=summaryref2!B108,summaryref2!I108,IF(AK233=summaryref2!B122,summaryref2!I122,IF(AK233=summaryref2!B136,summaryref2!I136,IF(AK233=summaryref2!B150,summaryref2!I150,"")))))))))))</f>
        <v>#REF!</v>
      </c>
      <c r="AT233" s="1110" t="e">
        <f>IF('A-80 DirEntInv'!#REF!&lt;&gt;"",'A-80 DirEntInv'!#REF!,IF(AK233=summaryref2!B24,summaryref2!J24,IF(Summary!AK233=summaryref2!B38,summaryref2!J38,IF(AK233=summaryref2!B52,summaryref2!J52,IF(AK233=summaryref2!B66,summaryref2!J66,IF(AK233=summaryref2!B80,summaryref2!J80,IF(AK233=summaryref2!B94,summaryref2!J94,IF(AK233=summaryref2!B108,summaryref2!J108,IF(AK233=summaryref2!B122,summaryref2!J122,IF(AK233=summaryref2!B136,summaryref2!J136,IF(AK233=summaryref2!B150,summaryref2!J150,"")))))))))))</f>
        <v>#REF!</v>
      </c>
      <c r="AU233" s="1110" t="e">
        <f>IF('A-80 DirEntInv'!#REF!&lt;&gt;"",'A-80 DirEntInv'!#REF!,IF(AK233=summaryref2!B24,summaryref2!K24,IF(Summary!AK233=summaryref2!B38,summaryref2!K38,IF(AK233=summaryref2!B52,summaryref2!K52,IF(AK233=summaryref2!B66,summaryref2!K66,IF(AK233=summaryref2!B80,summaryref2!K80,IF(AK233=summaryref2!B94,summaryref2!K94,IF(AK233=summaryref2!B108,summaryref2!K108,IF(AK233=summaryref2!B122,summaryref2!K122,IF(AK233=summaryref2!B136,summaryref2!K136,IF(AK233=summaryref2!B150,summaryref2!K150,"")))))))))))</f>
        <v>#REF!</v>
      </c>
      <c r="AV233" s="1110" t="e">
        <f>IF('A-80 DirEntInv'!#REF!&lt;&gt;"",'A-80 DirEntInv'!#REF!,IF(AK233=summaryref2!B24,summaryref2!L24,IF(Summary!AK233=summaryref2!B38,summaryref2!L38,IF(AK233=summaryref2!B52,summaryref2!L52,IF(AK233=summaryref2!B66,summaryref2!L66,IF(AK233=summaryref2!B80,summaryref2!L80,IF(AK233=summaryref2!B94,summaryref2!L94,IF(AK233=summaryref2!B108,summaryref2!L108,IF(AK233=summaryref2!B122,summaryref2!L122,IF(AK233=summaryref2!B136,summaryref2!L136,IF(AK233=summaryref2!B150,summaryref2!L150,"")))))))))))</f>
        <v>#REF!</v>
      </c>
      <c r="AW233" s="1110" t="e">
        <f>IF('A-80 DirEntInv'!#REF!&lt;&gt;"",'A-80 DirEntInv'!#REF!,IF(AK233=summaryref2!B24,summaryref2!M24,IF(Summary!AK233=summaryref2!B38,summaryref2!M38,IF(AK233=summaryref2!B52,summaryref2!M52,IF(AK233=summaryref2!B66,summaryref2!M66,IF(AK233=summaryref2!B80,summaryref2!M80,IF(AK233=summaryref2!B94,summaryref2!M94,IF(AK233=summaryref2!B108,summaryref2!M108,IF(AK233=summaryref2!B122,summaryref2!M122,IF(AK233=summaryref2!B136,summaryref2!M136,IF(AK233=summaryref2!B150,summaryref2!M150,"")))))))))))</f>
        <v>#REF!</v>
      </c>
      <c r="AX233" s="1110" t="e">
        <f>IF('A-80 DirEntInv'!#REF!&lt;&gt;"",'A-80 DirEntInv'!#REF!,IF(AK233=summaryref2!B24,summaryref2!N24,IF(Summary!AK233=summaryref2!B38,summaryref2!N38,IF(AK233=summaryref2!B52,summaryref2!N52,IF(AK233=summaryref2!B66,summaryref2!N66,IF(AK233=summaryref2!B80,summaryref2!N80,IF(AK233=summaryref2!B94,summaryref2!N94,IF(AK233=summaryref2!B108,summaryref2!N108,IF(AK233=summaryref2!B122,summaryref2!N122,IF(AK233=summaryref2!B136,summaryref2!N136,IF(AK233=summaryref2!B150,summaryref2!N150,"")))))))))))</f>
        <v>#REF!</v>
      </c>
      <c r="AY233" s="1110" t="e">
        <f>IF('A-80 DirEntInv'!#REF!&lt;&gt;"",'A-80 DirEntInv'!#REF!,IF(AK233=summaryref2!B24,summaryref2!O24,IF(Summary!AK233=summaryref2!B38,summaryref2!O38,IF(AK233=summaryref2!B52,summaryref2!O52,IF(AK233=summaryref2!B66,summaryref2!O66,IF(AK233=summaryref2!B80,summaryref2!O80,IF(AK233=summaryref2!B94,summaryref2!O94,IF(AK233=summaryref2!B108,summaryref2!O108,IF(AK233=summaryref2!B122,summaryref2!O122,IF(AK233=summaryref2!B136,summaryref2!O136,IF(AK233=summaryref2!B150,summaryref2!O150,"")))))))))))</f>
        <v>#REF!</v>
      </c>
      <c r="AZ233" s="1110" t="e">
        <f>IF('A-80 DirEntInv'!#REF!&lt;&gt;"",'A-80 DirEntInv'!#REF!,IF(AK233=summaryref2!B24,summaryref2!P24,IF(Summary!AK233=summaryref2!B38,summaryref2!P38,IF(AK233=summaryref2!B52,summaryref2!P52,IF(AK233=summaryref2!B66,summaryref2!P66,IF(AK233=summaryref2!B80,summaryref2!P80,IF(AK233=summaryref2!B94,summaryref2!P94,IF(AK233=summaryref2!B108,summaryref2!P108,IF(AK233=summaryref2!B122,summaryref2!P122,IF(AK233=summaryref2!B136,summaryref2!P136,IF(AK233=summaryref2!B150,summaryref2!P150,"")))))))))))</f>
        <v>#REF!</v>
      </c>
      <c r="BA233" s="1110" t="e">
        <f>IF('A-80 DirEntInv'!#REF!&lt;&gt;"",'A-80 DirEntInv'!#REF!,IF(AK233=summaryref2!B24,summaryref2!Q24,IF(Summary!AK233=summaryref2!B38,summaryref2!Q38,IF(AK233=summaryref2!B52,summaryref2!Q52,IF(AK233=summaryref2!B66,summaryref2!Q66,IF(AK233=summaryref2!B80,summaryref2!Q80,IF(AK233=summaryref2!B94,summaryref2!Q94,IF(AK233=summaryref2!B108,summaryref2!Q108,IF(AK233=summaryref2!B122,summaryref2!Q122,IF(AK233=summaryref2!B136,summaryref2!Q136,IF(AK233=summaryref2!B150,summaryref2!Q150,"")))))))))))</f>
        <v>#REF!</v>
      </c>
      <c r="BB233" s="1110" t="e">
        <f>IF('A-80 DirEntInv'!#REF!&lt;&gt;"",'A-80 DirEntInv'!#REF!,IF(AK233=summaryref2!B24,summaryref2!R24,IF(Summary!AK233=summaryref2!B38,summaryref2!R38,IF(AK233=summaryref2!B52,summaryref2!R52,IF(AK233=summaryref2!B66,summaryref2!R66,IF(AK233=summaryref2!B80,summaryref2!R80,IF(AK233=summaryref2!B94,summaryref2!R94,IF(AK233=summaryref2!B108,summaryref2!R108,IF(AK233=summaryref2!B122,summaryref2!R122,IF(AK233=summaryref2!B136,summaryref2!R136,IF(AK233=summaryref2!B150,summaryref2!R150,"")))))))))))</f>
        <v>#REF!</v>
      </c>
      <c r="BC233" s="1110" t="e">
        <f>IF('A-80 DirEntInv'!#REF!&lt;&gt;0,'A-80 DirEntInv'!#REF!,IF(AK233=summaryref2!B24,summaryref2!S24,IF(Summary!AK233=summaryref2!B38,summaryref2!S38,IF(AK233=summaryref2!B52,summaryref2!S52,IF(AK233=summaryref2!B66,summaryref2!S66,IF(AK233=summaryref2!B80,summaryref2!S80,IF(AK233=summaryref2!B94,summaryref2!S94,IF(AK233=summaryref2!B108,summaryref2!S108,IF(AK233=summaryref2!B122,summaryref2!S122,IF(AK233=summaryref2!B136,summaryref2!S136,IF(AK233=summaryref2!B150,summaryref2!S150,"")))))))))))</f>
        <v>#REF!</v>
      </c>
      <c r="BD233" s="1111" t="e">
        <f>IF('A-80 DirEntInv'!#REF!&lt;&gt;"",'A-80 DirEntInv'!#REF!,IF(AK233=summaryref2!B24,summaryref2!T24,IF(Summary!AK233=summaryref2!B38,summaryref2!T38,IF(AK233=summaryref2!B52,summaryref2!T52,IF(AK233=summaryref2!B66,summaryref2!T66,IF(AK233=summaryref2!B80,summaryref2!T80,IF(AK233=summaryref2!B94,summaryref2!T94,IF(AK233=summaryref2!B108,summaryref2!T108,IF(AK233=summaryref2!B122,summaryref2!T122,IF(AK233=summaryref2!B136,summaryref2!T136,IF(AK233=summaryref2!B150,summaryref2!T150,"")))))))))))</f>
        <v>#REF!</v>
      </c>
      <c r="BE233" s="1184" t="e">
        <f>IF('A-80 DirEntInv'!#REF!&lt;&gt;"",'A-80 DirEntInv'!#REF!,IF(AK233=summaryref2!B24,summaryref2!U24,IF(Summary!AK233=summaryref2!B38,summaryref2!U38,IF(AK233=summaryref2!B52,summaryref2!U52,IF(AK233=summaryref2!B66,summaryref2!U66,IF(AK233=summaryref2!B80,summaryref2!U80,IF(AK233=summaryref2!B94,summaryref2!U94,IF(AK233=summaryref2!B108,summaryref2!U108,IF(AK233=summaryref2!B122,summaryref2!U122,IF(AK233=summaryref2!B136,summaryref2!U136,IF(AK233=summaryref2!B150,summaryref2!U150,"")))))))))))</f>
        <v>#REF!</v>
      </c>
      <c r="BF233" s="1432"/>
      <c r="BG233" s="1432"/>
      <c r="BU233" s="962"/>
      <c r="CD233" s="589"/>
      <c r="CE233" s="590"/>
      <c r="CF233" s="590"/>
      <c r="CG233" s="590"/>
      <c r="CH233" s="590"/>
      <c r="CI233" s="590"/>
      <c r="CJ233" s="589"/>
      <c r="CK233" s="589"/>
      <c r="CL233" s="589"/>
      <c r="CM233" s="587"/>
      <c r="CN233" s="587"/>
      <c r="CO233" s="589"/>
      <c r="CP233" s="587"/>
      <c r="CQ233" s="592"/>
      <c r="CR233" s="589"/>
      <c r="CS233" s="592"/>
      <c r="CT233" s="589"/>
      <c r="CU233" s="589"/>
      <c r="CV233" s="589"/>
      <c r="CW233" s="587"/>
      <c r="CX233" s="590"/>
      <c r="CY233" s="590"/>
      <c r="CZ233" s="590"/>
      <c r="DA233" s="1054"/>
      <c r="DB233" s="1054"/>
      <c r="DC233" s="587"/>
      <c r="DD233" s="587"/>
    </row>
    <row r="234" spans="1:108" s="588" customFormat="1" ht="13.5" thickBot="1" x14ac:dyDescent="0.25">
      <c r="A234" s="589">
        <f t="shared" si="3"/>
        <v>224</v>
      </c>
      <c r="B234" s="587"/>
      <c r="C234" s="587"/>
      <c r="D234" s="587"/>
      <c r="J234" s="589"/>
      <c r="K234" s="590"/>
      <c r="L234" s="591"/>
      <c r="M234" s="592"/>
      <c r="N234" s="589"/>
      <c r="O234" s="587"/>
      <c r="R234" s="1052"/>
      <c r="S234" s="1052"/>
      <c r="T234" s="1052"/>
      <c r="U234" s="1052"/>
      <c r="V234" s="1052"/>
      <c r="W234" s="1053"/>
      <c r="X234" s="1053"/>
      <c r="Y234" s="1053"/>
      <c r="Z234" s="1052"/>
      <c r="AA234" s="1052"/>
      <c r="AB234" s="962"/>
      <c r="AC234" s="590"/>
      <c r="AD234" s="590"/>
      <c r="AE234" s="591"/>
      <c r="AF234" s="592"/>
      <c r="AG234" s="1053"/>
      <c r="AH234" s="587"/>
      <c r="AK234" s="1047" t="str">
        <f>Codes!$C$171</f>
        <v>TR - Aerial Tramway (DO)</v>
      </c>
      <c r="AL234" s="1050" t="str">
        <f>Valid!$B$91</f>
        <v>Train Control &amp; Signaling</v>
      </c>
      <c r="AM234" s="1185"/>
      <c r="AN234" s="1050"/>
      <c r="AO234" s="1185"/>
      <c r="AP234" s="1050"/>
      <c r="AQ234" s="1386" t="e">
        <f>IF('A-80 DirEntInv'!#REF!&lt;&gt;"",'A-80 DirEntInv'!#REF!,IF(AK234=summaryref2!B25,summaryref2!G25,IF(Summary!AK234=summaryref2!B39,summaryref2!G39,IF(AK234=summaryref2!B53,summaryref2!G53,IF(AK234=summaryref2!B67,summaryref2!G67,IF(AK234=summaryref2!B81,summaryref2!G81,IF(AK234=summaryref2!B95,summaryref2!G95,IF(AK234=summaryref2!B109,summaryref2!G109,IF(AK234=summaryref2!B123,summaryref2!G123,IF(AK234=summaryref2!B137,summaryref2!G137,IF(AK234=summaryref2!B151,summaryref2!G151,"")))))))))))</f>
        <v>#REF!</v>
      </c>
      <c r="AR234" s="1386" t="e">
        <f>IF('A-80 DirEntInv'!#REF!&lt;&gt;"",'A-80 DirEntInv'!#REF!,IF(AK234=summaryref2!B25,summaryref2!H25,IF(Summary!AK234=summaryref2!B39,summaryref2!H39,IF(AK234=summaryref2!B53,summaryref2!H53,IF(AK234=summaryref2!B67,summaryref2!H67,IF(AK234=summaryref2!B81,summaryref2!H81,IF(AK234=summaryref2!B95,summaryref2!H95,IF(AK234=summaryref2!B109,summaryref2!H109,IF(AK234=summaryref2!B123,summaryref2!H123,IF(AK234=summaryref2!B137,summaryref2!H137,IF(AK234=summaryref2!B151,summaryref2!H151,"")))))))))))</f>
        <v>#REF!</v>
      </c>
      <c r="AS234" s="1387" t="e">
        <f>IF('A-80 DirEntInv'!#REF!&lt;&gt;"",'A-80 DirEntInv'!#REF!,IF(AK234=summaryref2!B25,summaryref2!I25,IF(Summary!AK234=summaryref2!B39,summaryref2!I39,IF(AK234=summaryref2!B53,summaryref2!I53,IF(AK234=summaryref2!B67,summaryref2!I67,IF(AK234=summaryref2!B81,summaryref2!I81,IF(AK234=summaryref2!B95,summaryref2!I95,IF(AK234=summaryref2!B109,summaryref2!I109,IF(AK234=summaryref2!B123,summaryref2!I123,IF(AK234=summaryref2!B137,summaryref2!I137,IF(AK234=summaryref2!B151,summaryref2!I151,"")))))))))))</f>
        <v>#REF!</v>
      </c>
      <c r="AT234" s="1387" t="e">
        <f>IF('A-80 DirEntInv'!#REF!&lt;&gt;"",'A-80 DirEntInv'!#REF!,IF(AK234=summaryref2!B25,summaryref2!J25,IF(Summary!AK234=summaryref2!B39,summaryref2!J39,IF(AK234=summaryref2!B53,summaryref2!J53,IF(AK234=summaryref2!B67,summaryref2!J67,IF(AK234=summaryref2!B81,summaryref2!J81,IF(AK234=summaryref2!B95,summaryref2!J95,IF(AK234=summaryref2!B109,summaryref2!J109,IF(AK234=summaryref2!B123,summaryref2!J123,IF(AK234=summaryref2!B137,summaryref2!J137,IF(AK234=summaryref2!B151,summaryref2!J151,"")))))))))))</f>
        <v>#REF!</v>
      </c>
      <c r="AU234" s="1387" t="e">
        <f>IF('A-80 DirEntInv'!#REF!&lt;&gt;"",'A-80 DirEntInv'!#REF!,IF(AK234=summaryref2!B25,summaryref2!K25,IF(Summary!AK234=summaryref2!B39,summaryref2!K39,IF(AK234=summaryref2!B53,summaryref2!K53,IF(AK234=summaryref2!B67,summaryref2!K67,IF(AK234=summaryref2!B81,summaryref2!K81,IF(AK234=summaryref2!B95,summaryref2!K95,IF(AK234=summaryref2!B109,summaryref2!K109,IF(AK234=summaryref2!B123,summaryref2!K123,IF(AK234=summaryref2!B137,summaryref2!K137,IF(AK234=summaryref2!B151,summaryref2!K151,"")))))))))))</f>
        <v>#REF!</v>
      </c>
      <c r="AV234" s="1387" t="e">
        <f>IF('A-80 DirEntInv'!#REF!&lt;&gt;"",'A-80 DirEntInv'!#REF!,IF(AK234=summaryref2!B25,summaryref2!L25,IF(Summary!AK234=summaryref2!B39,summaryref2!L39,IF(AK234=summaryref2!B53,summaryref2!L53,IF(AK234=summaryref2!B67,summaryref2!L67,IF(AK234=summaryref2!B81,summaryref2!L81,IF(AK234=summaryref2!B95,summaryref2!L95,IF(AK234=summaryref2!B109,summaryref2!L109,IF(AK234=summaryref2!B123,summaryref2!L123,IF(AK234=summaryref2!B137,summaryref2!L137,IF(AK234=summaryref2!B151,summaryref2!L151,"")))))))))))</f>
        <v>#REF!</v>
      </c>
      <c r="AW234" s="1387" t="e">
        <f>IF('A-80 DirEntInv'!#REF!&lt;&gt;"",'A-80 DirEntInv'!#REF!,IF(AK234=summaryref2!B25,summaryref2!M25,IF(Summary!AK234=summaryref2!B39,summaryref2!M39,IF(AK234=summaryref2!B53,summaryref2!M53,IF(AK234=summaryref2!B67,summaryref2!M67,IF(AK234=summaryref2!B81,summaryref2!M81,IF(AK234=summaryref2!B95,summaryref2!M95,IF(AK234=summaryref2!B109,summaryref2!M109,IF(AK234=summaryref2!B123,summaryref2!M123,IF(AK234=summaryref2!B137,summaryref2!M137,IF(AK234=summaryref2!B151,summaryref2!M151,"")))))))))))</f>
        <v>#REF!</v>
      </c>
      <c r="AX234" s="1387" t="e">
        <f>IF('A-80 DirEntInv'!#REF!&lt;&gt;"",'A-80 DirEntInv'!#REF!,IF(AK234=summaryref2!B25,summaryref2!N25,IF(Summary!AK234=summaryref2!B39,summaryref2!N39,IF(AK234=summaryref2!B53,summaryref2!N53,IF(AK234=summaryref2!B67,summaryref2!N67,IF(AK234=summaryref2!B81,summaryref2!N81,IF(AK234=summaryref2!B95,summaryref2!N95,IF(AK234=summaryref2!B109,summaryref2!N109,IF(AK234=summaryref2!B123,summaryref2!N123,IF(AK234=summaryref2!B137,summaryref2!N137,IF(AK234=summaryref2!B151,summaryref2!N151,"")))))))))))</f>
        <v>#REF!</v>
      </c>
      <c r="AY234" s="1387" t="e">
        <f>IF('A-80 DirEntInv'!#REF!&lt;&gt;"",'A-80 DirEntInv'!#REF!,IF(AK234=summaryref2!B25,summaryref2!O25,IF(Summary!AK234=summaryref2!B39,summaryref2!O39,IF(AK234=summaryref2!B53,summaryref2!O53,IF(AK234=summaryref2!B67,summaryref2!O67,IF(AK234=summaryref2!B81,summaryref2!O81,IF(AK234=summaryref2!B95,summaryref2!O95,IF(AK234=summaryref2!B109,summaryref2!O109,IF(AK234=summaryref2!B123,summaryref2!O123,IF(AK234=summaryref2!B137,summaryref2!O137,IF(AK234=summaryref2!B151,summaryref2!O151,"")))))))))))</f>
        <v>#REF!</v>
      </c>
      <c r="AZ234" s="1387" t="e">
        <f>IF('A-80 DirEntInv'!#REF!&lt;&gt;"",'A-80 DirEntInv'!#REF!,IF(AK234=summaryref2!B25,summaryref2!P25,IF(Summary!AK234=summaryref2!B39,summaryref2!P39,IF(AK234=summaryref2!B53,summaryref2!P53,IF(AK234=summaryref2!B67,summaryref2!P67,IF(AK234=summaryref2!B81,summaryref2!P81,IF(AK234=summaryref2!B95,summaryref2!P95,IF(AK234=summaryref2!B109,summaryref2!P109,IF(AK234=summaryref2!B123,summaryref2!P123,IF(AK234=summaryref2!B137,summaryref2!P137,IF(AK234=summaryref2!B151,summaryref2!P151,"")))))))))))</f>
        <v>#REF!</v>
      </c>
      <c r="BA234" s="1387" t="e">
        <f>IF('A-80 DirEntInv'!#REF!&lt;&gt;"",'A-80 DirEntInv'!#REF!,IF(AK234=summaryref2!B25,summaryref2!Q25,IF(Summary!AK234=summaryref2!B39,summaryref2!Q39,IF(AK234=summaryref2!B53,summaryref2!Q53,IF(AK234=summaryref2!B67,summaryref2!Q67,IF(AK234=summaryref2!B81,summaryref2!Q81,IF(AK234=summaryref2!B95,summaryref2!Q95,IF(AK234=summaryref2!B109,summaryref2!Q109,IF(AK234=summaryref2!B123,summaryref2!Q123,IF(AK234=summaryref2!B137,summaryref2!Q137,IF(AK234=summaryref2!B151,summaryref2!Q151,"")))))))))))</f>
        <v>#REF!</v>
      </c>
      <c r="BB234" s="1387" t="e">
        <f>IF('A-80 DirEntInv'!#REF!&lt;&gt;"",'A-80 DirEntInv'!#REF!,IF(AK234=summaryref2!B25,summaryref2!R25,IF(Summary!AK234=summaryref2!B39,summaryref2!R39,IF(AK234=summaryref2!B53,summaryref2!R53,IF(AK234=summaryref2!B67,summaryref2!R67,IF(AK234=summaryref2!B81,summaryref2!R81,IF(AK234=summaryref2!B95,summaryref2!R95,IF(AK234=summaryref2!B109,summaryref2!R109,IF(AK234=summaryref2!B123,summaryref2!R123,IF(AK234=summaryref2!B137,summaryref2!R137,IF(AK234=summaryref2!B151,summaryref2!R151,"")))))))))))</f>
        <v>#REF!</v>
      </c>
      <c r="BC234" s="1387" t="e">
        <f>IF('A-80 DirEntInv'!#REF!&lt;&gt;0,'A-80 DirEntInv'!#REF!,IF(AK234=summaryref2!B25,summaryref2!S25,IF(Summary!AK234=summaryref2!B39,summaryref2!S39,IF(AK234=summaryref2!B53,summaryref2!S53,IF(AK234=summaryref2!B67,summaryref2!S67,IF(AK234=summaryref2!B81,summaryref2!S81,IF(AK234=summaryref2!B95,summaryref2!S95,IF(AK234=summaryref2!B109,summaryref2!S109,IF(AK234=summaryref2!B123,summaryref2!S123,IF(AK234=summaryref2!B137,summaryref2!S137,IF(AK234=summaryref2!B151,summaryref2!S151,"")))))))))))</f>
        <v>#REF!</v>
      </c>
      <c r="BD234" s="1118" t="e">
        <f>IF('A-80 DirEntInv'!#REF!&lt;&gt;"",'A-80 DirEntInv'!#REF!,IF(AK234=summaryref2!B25,summaryref2!T25,IF(Summary!AK234=summaryref2!B39,summaryref2!T39,IF(AK234=summaryref2!B53,summaryref2!T53,IF(AK234=summaryref2!B67,summaryref2!T67,IF(AK234=summaryref2!B81,summaryref2!T81,IF(AK234=summaryref2!B95,summaryref2!T95,IF(AK234=summaryref2!B109,summaryref2!T109,IF(AK234=summaryref2!B123,summaryref2!T123,IF(AK234=summaryref2!B137,summaryref2!T137,IF(AK234=summaryref2!B151,summaryref2!T151,"")))))))))))</f>
        <v>#REF!</v>
      </c>
      <c r="BE234" s="1186" t="e">
        <f>IF('A-80 DirEntInv'!#REF!&lt;&gt;"",'A-80 DirEntInv'!#REF!,IF(AK234=summaryref2!B25,summaryref2!U25,IF(Summary!AK234=summaryref2!B39,summaryref2!U39,IF(AK234=summaryref2!B53,summaryref2!U53,IF(AK234=summaryref2!B67,summaryref2!U67,IF(AK234=summaryref2!B81,summaryref2!U81,IF(AK234=summaryref2!B95,summaryref2!U95,IF(AK234=summaryref2!B109,summaryref2!U109,IF(AK234=summaryref2!B123,summaryref2!U123,IF(AK234=summaryref2!B137,summaryref2!U137,IF(AK234=summaryref2!B151,summaryref2!U151,"")))))))))))</f>
        <v>#REF!</v>
      </c>
      <c r="BF234" s="1432"/>
      <c r="BG234" s="1432"/>
      <c r="BU234" s="962"/>
      <c r="CD234" s="589"/>
      <c r="CE234" s="590"/>
      <c r="CF234" s="590"/>
      <c r="CG234" s="590"/>
      <c r="CH234" s="590"/>
      <c r="CI234" s="590"/>
      <c r="CJ234" s="589"/>
      <c r="CK234" s="589"/>
      <c r="CL234" s="589"/>
      <c r="CM234" s="587"/>
      <c r="CN234" s="587"/>
      <c r="CO234" s="589"/>
      <c r="CP234" s="587"/>
      <c r="CQ234" s="592"/>
      <c r="CR234" s="589"/>
      <c r="CS234" s="592"/>
      <c r="CT234" s="589"/>
      <c r="CU234" s="589"/>
      <c r="CV234" s="589"/>
      <c r="CW234" s="587"/>
      <c r="CX234" s="590"/>
      <c r="CY234" s="590"/>
      <c r="CZ234" s="590"/>
      <c r="DA234" s="1054"/>
      <c r="DB234" s="1054"/>
      <c r="DC234" s="587"/>
      <c r="DD234" s="587"/>
    </row>
    <row r="235" spans="1:108" s="588" customFormat="1" x14ac:dyDescent="0.2">
      <c r="A235" s="589">
        <f t="shared" si="3"/>
        <v>225</v>
      </c>
      <c r="B235" s="587"/>
      <c r="C235" s="587"/>
      <c r="D235" s="587"/>
      <c r="J235" s="589"/>
      <c r="K235" s="590"/>
      <c r="L235" s="591"/>
      <c r="M235" s="592"/>
      <c r="N235" s="589"/>
      <c r="O235" s="587"/>
      <c r="R235" s="1052"/>
      <c r="S235" s="1052"/>
      <c r="T235" s="1052"/>
      <c r="U235" s="1052"/>
      <c r="V235" s="1052"/>
      <c r="W235" s="1053"/>
      <c r="X235" s="1053"/>
      <c r="Y235" s="1053"/>
      <c r="Z235" s="1052"/>
      <c r="AA235" s="1052"/>
      <c r="AB235" s="962"/>
      <c r="AC235" s="590"/>
      <c r="AD235" s="590"/>
      <c r="AE235" s="591"/>
      <c r="AF235" s="592"/>
      <c r="AG235" s="1053"/>
      <c r="AH235" s="587"/>
      <c r="AK235" s="1043" t="str">
        <f>Codes!$C$172</f>
        <v>TR - Aerial Tramway (PT)</v>
      </c>
      <c r="AL235" s="1303" t="str">
        <f>Valid!$B$71</f>
        <v>At-Grade/Ballast (including expressway)</v>
      </c>
      <c r="AM235" s="1092" t="e">
        <f>IF('A-80 DirEntInv'!#REF!&lt;&gt;"",'A-80 DirEntInv'!#REF!,IF(AK235=summaryref2!B12,summaryref2!D12,IF(Summary!AK235=summaryref2!B26,summaryref2!D26,IF(AK235=summaryref2!B40,summaryref2!D40,IF(AK235=summaryref2!B54,summaryref2!D54,IF(AK235=summaryref2!B68,summaryref2!D68,IF(AK235=summaryref2!B82,summaryref2!D82,IF(AK235=summaryref2!B96,summaryref2!D96,IF(AK235=summaryref2!B110,summaryref2!D110,IF(AK235=summaryref2!B124,summaryref2!D124,IF(AK235=summaryref2!B138,summaryref2!D138,"")))))))))))</f>
        <v>#REF!</v>
      </c>
      <c r="AN235" s="1127" t="e">
        <f ca="1">IF('A-80 DirEntInv'!#REF!&lt;&gt;"",'A-80 DirEntInv'!#REF!,IF(INDIRECT(ADDRESS(SumRef!CG297,SumRef!CG$16,,,SumRef!$C$7))="","",INDIRECT(ADDRESS(SumRef!CG297,SumRef!CG$16,,,SumRef!$C$7))))</f>
        <v>#REF!</v>
      </c>
      <c r="AO235" s="1092" t="e">
        <f>IF('A-80 DirEntInv'!#REF!&lt;&gt;"",'A-80 DirEntInv'!#REF!,IF(AK235=summaryref2!B12,summaryref2!F12,IF(Summary!AK235=summaryref2!B26,summaryref2!F26,IF(AK235=summaryref2!B40,summaryref2!F40,IF(AK235=summaryref2!B54,summaryref2!F54,IF(AK235=summaryref2!B68,summaryref2!F68,IF(AK235=summaryref2!B82,summaryref2!F82,IF(AK235=summaryref2!B96,summaryref2!F96,IF(AK235=summaryref2!B110,summaryref2!F110,IF(AK235=summaryref2!B124,summaryref2!F124,IF(AK235=summaryref2!B138,summaryref2!F138,"")))))))))))</f>
        <v>#REF!</v>
      </c>
      <c r="AP235" s="1127" t="e">
        <f ca="1">IF('A-80 DirEntInv'!#REF!&lt;&gt;"",'A-80 DirEntInv'!#REF!,IF(INDIRECT(ADDRESS(SumRef!#REF!,SumRef!#REF!,,,SumRef!$C$7))="","",INDIRECT(ADDRESS(SumRef!#REF!,SumRef!#REF!,,,SumRef!$C$7))))</f>
        <v>#REF!</v>
      </c>
      <c r="AQ235" s="1146" t="e">
        <f>IF('A-80 DirEntInv'!#REF!&lt;&gt;"",'A-80 DirEntInv'!#REF!,IF(AK235=summaryref2!B12,summaryref2!G12,IF(Summary!AK235=summaryref2!B26,summaryref2!G26,IF(AK235=summaryref2!B40,summaryref2!G40,IF(AK235=summaryref2!B54,summaryref2!G54,IF(AK235=summaryref2!B68,summaryref2!G68,IF(AK235=summaryref2!B82,summaryref2!G82,IF(AK235=summaryref2!B96,summaryref2!G96,IF(AK235=summaryref2!B110,summaryref2!G110,IF(AK235=summaryref2!B124,summaryref2!G124,IF(AK235=summaryref2!B138,summaryref2!G138,"")))))))))))</f>
        <v>#REF!</v>
      </c>
      <c r="AR235" s="1146" t="e">
        <f>IF('A-80 DirEntInv'!#REF!&lt;&gt;"",'A-80 DirEntInv'!#REF!,IF(AK235=summaryref2!B12,summaryref2!H12,IF(Summary!AK235=summaryref2!B26,summaryref2!H26,IF(AK235=summaryref2!B40,summaryref2!H40,IF(AK235=summaryref2!B54,summaryref2!H54,IF(AK235=summaryref2!B68,summaryref2!H68,IF(AK235=summaryref2!B82,summaryref2!H82,IF(AK235=summaryref2!B96,summaryref2!H96,IF(AK235=summaryref2!B110,summaryref2!H110,IF(AK235=summaryref2!B124,summaryref2!H124,IF(AK235=summaryref2!B138,summaryref2!H138,"")))))))))))</f>
        <v>#REF!</v>
      </c>
      <c r="AS235" s="1092" t="e">
        <f>IF('A-80 DirEntInv'!#REF!&lt;&gt;"",'A-80 DirEntInv'!#REF!,IF(AK235=summaryref2!B12,summaryref2!I12,IF(Summary!AK235=summaryref2!B26,summaryref2!I26,IF(AK235=summaryref2!B40,summaryref2!I40,IF(AK235=summaryref2!B54,summaryref2!I54,IF(AK235=summaryref2!B68,summaryref2!I68,IF(AK235=summaryref2!B82,summaryref2!I82,IF(AK235=summaryref2!B96,summaryref2!I96,IF(AK235=summaryref2!B110,summaryref2!I110,IF(AK235=summaryref2!B124,summaryref2!I124,IF(AK235=summaryref2!B138,summaryref2!I138,"")))))))))))</f>
        <v>#REF!</v>
      </c>
      <c r="AT235" s="1092" t="e">
        <f>IF('A-80 DirEntInv'!#REF!&lt;&gt;"",'A-80 DirEntInv'!#REF!,IF(AK235=summaryref2!B12,summaryref2!J12,IF(Summary!AK235=summaryref2!B26,summaryref2!J26,IF(AK235=summaryref2!B40,summaryref2!J40,IF(AK235=summaryref2!B54,summaryref2!J54,IF(AK235=summaryref2!B68,summaryref2!J68,IF(AK235=summaryref2!B82,summaryref2!J82,IF(AK235=summaryref2!B96,summaryref2!J96,IF(AK235=summaryref2!B110,summaryref2!J110,IF(AK235=summaryref2!B124,summaryref2!J124,IF(AK235=summaryref2!B138,summaryref2!J138,"")))))))))))</f>
        <v>#REF!</v>
      </c>
      <c r="AU235" s="1092" t="e">
        <f>IF('A-80 DirEntInv'!#REF!&lt;&gt;"",'A-80 DirEntInv'!#REF!,IF(AK235=summaryref2!B12,summaryref2!K12,IF(Summary!AK235=summaryref2!B26,summaryref2!K26,IF(AK235=summaryref2!B40,summaryref2!K40,IF(AK235=summaryref2!B54,summaryref2!K54,IF(AK235=summaryref2!B68,summaryref2!K68,IF(AK235=summaryref2!B82,summaryref2!K82,IF(AK235=summaryref2!B96,summaryref2!K96,IF(AK235=summaryref2!B110,summaryref2!K110,IF(AK235=summaryref2!B124,summaryref2!K124,IF(AK235=summaryref2!B138,summaryref2!K138,"")))))))))))</f>
        <v>#REF!</v>
      </c>
      <c r="AV235" s="1092" t="e">
        <f>IF('A-80 DirEntInv'!#REF!&lt;&gt;"",'A-80 DirEntInv'!#REF!,IF(AK235=summaryref2!B12,summaryref2!L12,IF(Summary!AK235=summaryref2!B26,summaryref2!L26,IF(AK235=summaryref2!B40,summaryref2!L40,IF(AK235=summaryref2!B54,summaryref2!L54,IF(AK235=summaryref2!B68,summaryref2!L68,IF(AK235=summaryref2!B82,summaryref2!L82,IF(AK235=summaryref2!B96,summaryref2!L96,IF(AK235=summaryref2!B110,summaryref2!L110,IF(AK235=summaryref2!B124,summaryref2!L124,IF(AK235=summaryref2!B138,summaryref2!L138,"")))))))))))</f>
        <v>#REF!</v>
      </c>
      <c r="AW235" s="1092" t="e">
        <f>IF('A-80 DirEntInv'!#REF!&lt;&gt;"",'A-80 DirEntInv'!#REF!,IF($AK235=summaryref2!$B$12,summaryref2!M$12,IF(Summary!$AK235=summaryref2!$B$26,summaryref2!M$26,IF($AK235=summaryref2!$B$40,summaryref2!M$40,IF($AK235=summaryref2!$B$54,summaryref2!M$54,IF($AK235=summaryref2!$B$68,summaryref2!M$68,IF($AK235=summaryref2!$B$82,summaryref2!M$82,IF($AK235=summaryref2!$B$96,summaryref2!M$96,IF($AK235=summaryref2!$B$110,summaryref2!M$110,IF($AK235=summaryref2!$B$124,summaryref2!M$124,IF($AK235=summaryref2!$B$138,summaryref2!M$138,"")))))))))))</f>
        <v>#REF!</v>
      </c>
      <c r="AX235" s="1092" t="e">
        <f>IF('A-80 DirEntInv'!#REF!&lt;&gt;"",'A-80 DirEntInv'!#REF!,IF(AK235=summaryref2!B12,summaryref2!N12,IF(Summary!AK235=summaryref2!B26,summaryref2!N26,IF(AK235=summaryref2!B40,summaryref2!N40,IF(AK235=summaryref2!B54,summaryref2!N54,IF(AK235=summaryref2!B68,summaryref2!N68,IF(AK235=summaryref2!B82,summaryref2!N82,IF(AK235=summaryref2!B96,summaryref2!N96,IF(AK235=summaryref2!B110,summaryref2!N110,IF(AK235=summaryref2!B124,summaryref2!N124,IF(AK235=summaryref2!B138,summaryref2!N138,"")))))))))))</f>
        <v>#REF!</v>
      </c>
      <c r="AY235" s="1092" t="e">
        <f>IF('A-80 DirEntInv'!#REF!&lt;&gt;"",'A-80 DirEntInv'!#REF!,IF(AK235=summaryref2!B12,summaryref2!O12,IF(Summary!AK235=summaryref2!B26,summaryref2!O26,IF(AK235=summaryref2!B40,summaryref2!O40,IF(AK235=summaryref2!B54,summaryref2!O54,IF(AK235=summaryref2!B68,summaryref2!O68,IF(AK235=summaryref2!B82,summaryref2!O82,IF(AK235=summaryref2!B96,summaryref2!O96,IF(AK235=summaryref2!B110,summaryref2!O110,IF(AK235=summaryref2!B124,summaryref2!O124,IF(AK235=summaryref2!B138,summaryref2!O138,"")))))))))))</f>
        <v>#REF!</v>
      </c>
      <c r="AZ235" s="1092" t="e">
        <f>IF('A-80 DirEntInv'!#REF!&lt;&gt;"",'A-80 DirEntInv'!#REF!,IF(AK235=summaryref2!B12,summaryref2!P12,IF(Summary!AK235=summaryref2!B26,summaryref2!P26,IF(AK235=summaryref2!B40,summaryref2!P40,IF(AK235=summaryref2!B54,summaryref2!P54,IF(AK235=summaryref2!B68,summaryref2!P68,IF(AK235=summaryref2!B82,summaryref2!P82,IF(AK235=summaryref2!B96,summaryref2!P96,IF(AK235=summaryref2!B110,summaryref2!P110,IF(AK235=summaryref2!B124,summaryref2!P124,IF(AK235=summaryref2!B138,summaryref2!P138,"")))))))))))</f>
        <v>#REF!</v>
      </c>
      <c r="BA235" s="1092" t="e">
        <f>IF('A-80 DirEntInv'!#REF!&lt;&gt;"",'A-80 DirEntInv'!#REF!,IF(AK235=summaryref2!B12,summaryref2!Q12,IF(Summary!AK235=summaryref2!B26,summaryref2!Q26,IF(AK235=summaryref2!B40,summaryref2!Q40,IF(AK235=summaryref2!B54,summaryref2!Q54,IF(AK235=summaryref2!B68,summaryref2!Q68,IF(AK235=summaryref2!B82,summaryref2!Q82,IF(AK235=summaryref2!B96,summaryref2!Q96,IF(AK235=summaryref2!B110,summaryref2!Q110,IF(AK235=summaryref2!B124,summaryref2!Q124,IF(AK235=summaryref2!B138,summaryref2!Q138,"")))))))))))</f>
        <v>#REF!</v>
      </c>
      <c r="BB235" s="1092" t="e">
        <f>IF('A-80 DirEntInv'!#REF!&lt;&gt;"",'A-80 DirEntInv'!#REF!,IF(AK235=summaryref2!B12,summaryref2!R12,IF(Summary!AK235=summaryref2!B26,summaryref2!R26,IF(AK235=summaryref2!B40,summaryref2!R40,IF(AK235=summaryref2!B54,summaryref2!R54,IF(AK235=summaryref2!B68,summaryref2!R68,IF(AK235=summaryref2!B82,summaryref2!R82,IF(AK235=summaryref2!B96,summaryref2!R96,IF(AK235=summaryref2!B110,summaryref2!R110,IF(AK235=summaryref2!B124,summaryref2!R124,IF(AK235=summaryref2!B138,summaryref2!R138,"")))))))))))</f>
        <v>#REF!</v>
      </c>
      <c r="BC235" s="1092" t="e">
        <f>IF('A-80 DirEntInv'!#REF!&lt;&gt;0,'A-80 DirEntInv'!#REF!,IF(AK235=summaryref2!B12,summaryref2!S12,IF(Summary!AK235=summaryref2!B26,summaryref2!S26,IF(AK235=summaryref2!B40,summaryref2!S40,IF(AK235=summaryref2!B54,summaryref2!S54,IF(AK235=summaryref2!B68,summaryref2!S68,IF(AK235=summaryref2!B82,summaryref2!S82,IF(AK235=summaryref2!B96,summaryref2!S96,IF(AK235=summaryref2!B110,summaryref2!S110,IF(AK235=summaryref2!B124,summaryref2!S124,IF(AK235=summaryref2!B138,summaryref2!S138,"")))))))))))</f>
        <v>#REF!</v>
      </c>
      <c r="BD235" s="1093" t="e">
        <f>IF('A-80 DirEntInv'!#REF!&lt;&gt;"",'A-80 DirEntInv'!#REF!,IF(AK235=summaryref2!B12,summaryref2!T12,IF(Summary!AK235=summaryref2!B26,summaryref2!T26,IF(AK235=summaryref2!B40,summaryref2!T40,IF(AK235=summaryref2!B54,summaryref2!T54,IF(AK235=summaryref2!B68,summaryref2!T68,IF(AK235=summaryref2!B82,summaryref2!T82,IF(AK235=summaryref2!B96,summaryref2!T96,IF(AK235=summaryref2!B110,summaryref2!T110,IF(AK235=summaryref2!B124,summaryref2!T124,IF(AK235=summaryref2!B138,summaryref2!T138,"")))))))))))</f>
        <v>#REF!</v>
      </c>
      <c r="BE235" s="1189" t="e">
        <f>IF('A-80 DirEntInv'!#REF!&lt;&gt;"",'A-80 DirEntInv'!#REF!,IF(AK235=summaryref2!B12,summaryref2!U12,IF(Summary!AK235=summaryref2!B26,summaryref2!U26,IF(AK235=summaryref2!B40,summaryref2!U40,IF(AK235=summaryref2!B54,summaryref2!U54,IF(AK235=summaryref2!B68,summaryref2!U68,IF(AK235=summaryref2!B82,summaryref2!U82,IF(AK235=summaryref2!B96,summaryref2!U96,IF(AK235=summaryref2!B110,summaryref2!U110,IF(AK235=summaryref2!B124,summaryref2!U124,IF(AK235=summaryref2!B138,summaryref2!U138,"")))))))))))</f>
        <v>#REF!</v>
      </c>
      <c r="BF235" s="1431"/>
      <c r="BG235" s="1431"/>
      <c r="BU235" s="962"/>
      <c r="CD235" s="589"/>
      <c r="CE235" s="590"/>
      <c r="CF235" s="590"/>
      <c r="CG235" s="590"/>
      <c r="CH235" s="590"/>
      <c r="CI235" s="590"/>
      <c r="CJ235" s="589"/>
      <c r="CK235" s="589"/>
      <c r="CL235" s="589"/>
      <c r="CM235" s="587"/>
      <c r="CN235" s="587"/>
      <c r="CO235" s="589"/>
      <c r="CP235" s="587"/>
      <c r="CQ235" s="592"/>
      <c r="CR235" s="589"/>
      <c r="CS235" s="592"/>
      <c r="CT235" s="589"/>
      <c r="CU235" s="589"/>
      <c r="CV235" s="589"/>
      <c r="CW235" s="587"/>
      <c r="CX235" s="590"/>
      <c r="CY235" s="590"/>
      <c r="CZ235" s="590"/>
      <c r="DA235" s="1054"/>
      <c r="DB235" s="1054"/>
      <c r="DC235" s="587"/>
      <c r="DD235" s="587"/>
    </row>
    <row r="236" spans="1:108" s="588" customFormat="1" x14ac:dyDescent="0.2">
      <c r="A236" s="589">
        <f t="shared" si="3"/>
        <v>226</v>
      </c>
      <c r="B236" s="587"/>
      <c r="C236" s="587"/>
      <c r="D236" s="587"/>
      <c r="J236" s="589"/>
      <c r="K236" s="590"/>
      <c r="L236" s="591"/>
      <c r="M236" s="592"/>
      <c r="N236" s="589"/>
      <c r="O236" s="587"/>
      <c r="R236" s="1052"/>
      <c r="S236" s="1052"/>
      <c r="T236" s="1052"/>
      <c r="U236" s="1052"/>
      <c r="V236" s="1052"/>
      <c r="W236" s="1053"/>
      <c r="X236" s="1053"/>
      <c r="Y236" s="1053"/>
      <c r="Z236" s="1052"/>
      <c r="AA236" s="1052"/>
      <c r="AB236" s="962"/>
      <c r="AC236" s="590"/>
      <c r="AD236" s="590"/>
      <c r="AE236" s="591"/>
      <c r="AF236" s="592"/>
      <c r="AG236" s="1053"/>
      <c r="AH236" s="587"/>
      <c r="AK236" s="1041" t="str">
        <f>Codes!$C$172</f>
        <v>TR - Aerial Tramway (PT)</v>
      </c>
      <c r="AL236" s="1042" t="str">
        <f>Valid!$B$72</f>
        <v>At-Grade/In-Street/Embedded</v>
      </c>
      <c r="AM236" s="1108" t="e">
        <f>IF('A-80 DirEntInv'!#REF!&lt;&gt;"",'A-80 DirEntInv'!#REF!,IF(AK236=summaryref2!B13,summaryref2!D13,IF(Summary!AK236=summaryref2!B27,summaryref2!D27,IF(AK236=summaryref2!B41,summaryref2!D41,IF(AK236=summaryref2!B55,summaryref2!D55,IF(AK236=summaryref2!B69,summaryref2!D69,IF(AK236=summaryref2!B83,summaryref2!D83,IF(AK236=summaryref2!B97,summaryref2!D97,IF(AK236=summaryref2!B111,summaryref2!D111,IF(AK236=summaryref2!B125,summaryref2!D125,IF(AK236=summaryref2!B139,summaryref2!D139,"")))))))))))</f>
        <v>#REF!</v>
      </c>
      <c r="AN236" s="1109" t="e">
        <f ca="1">IF('A-80 DirEntInv'!#REF!&lt;&gt;"",'A-80 DirEntInv'!#REF!,IF(INDIRECT(ADDRESS(SumRef!CG299,SumRef!CG$16,,,SumRef!$C$7))="","",INDIRECT(ADDRESS(SumRef!CG299,SumRef!CG$16,,,SumRef!$C$7))))</f>
        <v>#REF!</v>
      </c>
      <c r="AO236" s="1108" t="e">
        <f>IF('A-80 DirEntInv'!#REF!&lt;&gt;"",'A-80 DirEntInv'!#REF!,IF(AK236=summaryref2!B13,summaryref2!F13,IF(Summary!AK236=summaryref2!B27,summaryref2!F27,IF(AK236=summaryref2!B41,summaryref2!F41,IF(AK236=summaryref2!B55,summaryref2!F55,IF(AK236=summaryref2!B69,summaryref2!F69,IF(AK236=summaryref2!B83,summaryref2!F83,IF(AK236=summaryref2!B97,summaryref2!F97,IF(AK236=summaryref2!B111,summaryref2!F111,IF(AK236=summaryref2!B125,summaryref2!F125,IF(AK236=summaryref2!B139,summaryref2!F139,"")))))))))))</f>
        <v>#REF!</v>
      </c>
      <c r="AP236" s="1109" t="e">
        <f ca="1">IF('A-80 DirEntInv'!#REF!&lt;&gt;"",'A-80 DirEntInv'!#REF!,IF(INDIRECT(ADDRESS(SumRef!#REF!,SumRef!#REF!,,,SumRef!$C$7))="","",INDIRECT(ADDRESS(SumRef!#REF!,SumRef!#REF!,,,SumRef!$C$7))))</f>
        <v>#REF!</v>
      </c>
      <c r="AQ236" s="1147" t="e">
        <f>IF('A-80 DirEntInv'!#REF!&lt;&gt;"",'A-80 DirEntInv'!#REF!,IF(AK236=summaryref2!B13,summaryref2!G13,IF(Summary!AK236=summaryref2!B27,summaryref2!G27,IF(AK236=summaryref2!B41,summaryref2!G41,IF(AK236=summaryref2!B55,summaryref2!G55,IF(AK236=summaryref2!B69,summaryref2!G69,IF(AK236=summaryref2!B83,summaryref2!G83,IF(AK236=summaryref2!B97,summaryref2!G97,IF(AK236=summaryref2!B111,summaryref2!G111,IF(AK236=summaryref2!B125,summaryref2!G125,IF(AK236=summaryref2!B139,summaryref2!G139,"")))))))))))</f>
        <v>#REF!</v>
      </c>
      <c r="AR236" s="1147" t="e">
        <f>IF('A-80 DirEntInv'!#REF!&lt;&gt;"",'A-80 DirEntInv'!#REF!,IF(AK236=summaryref2!B13,summaryref2!H13,IF(Summary!AK236=summaryref2!B27,summaryref2!H27,IF(AK236=summaryref2!B41,summaryref2!H41,IF(AK236=summaryref2!B55,summaryref2!H55,IF(AK236=summaryref2!B69,summaryref2!H69,IF(AK236=summaryref2!B83,summaryref2!H83,IF(AK236=summaryref2!B97,summaryref2!H97,IF(AK236=summaryref2!B111,summaryref2!H111,IF(AK236=summaryref2!B125,summaryref2!H125,IF(AK236=summaryref2!B139,summaryref2!H139,"")))))))))))</f>
        <v>#REF!</v>
      </c>
      <c r="AS236" s="1110" t="e">
        <f>IF('A-80 DirEntInv'!#REF!&lt;&gt;"",'A-80 DirEntInv'!#REF!,IF(AK236=summaryref2!B13,summaryref2!I13,IF(Summary!AK236=summaryref2!B27,summaryref2!I27,IF(AK236=summaryref2!B41,summaryref2!I41,IF(AK236=summaryref2!B55,summaryref2!I55,IF(AK236=summaryref2!B69,summaryref2!I69,IF(AK236=summaryref2!B83,summaryref2!I83,IF(AK236=summaryref2!B97,summaryref2!I97,IF(AK236=summaryref2!B111,summaryref2!I111,IF(AK236=summaryref2!B125,summaryref2!I125,IF(AK236=summaryref2!B139,summaryref2!I139,"")))))))))))</f>
        <v>#REF!</v>
      </c>
      <c r="AT236" s="1110" t="e">
        <f>IF('A-80 DirEntInv'!#REF!&lt;&gt;"",'A-80 DirEntInv'!#REF!,IF(AK236=summaryref2!B13,summaryref2!J13,IF(Summary!AK236=summaryref2!B27,summaryref2!J27,IF(AK236=summaryref2!B41,summaryref2!J41,IF(AK236=summaryref2!B55,summaryref2!J55,IF(AK236=summaryref2!B69,summaryref2!J69,IF(AK236=summaryref2!B83,summaryref2!J83,IF(AK236=summaryref2!B97,summaryref2!J97,IF(AK236=summaryref2!B111,summaryref2!J111,IF(AK236=summaryref2!B125,summaryref2!J125,IF(AK236=summaryref2!B139,summaryref2!J139,"")))))))))))</f>
        <v>#REF!</v>
      </c>
      <c r="AU236" s="1110" t="e">
        <f>IF('A-80 DirEntInv'!#REF!&lt;&gt;"",'A-80 DirEntInv'!#REF!,IF(AK236=summaryref2!B13,summaryref2!K13,IF(Summary!AK236=summaryref2!B27,summaryref2!K27,IF(AK236=summaryref2!B41,summaryref2!K41,IF(AK236=summaryref2!B55,summaryref2!K55,IF(AK236=summaryref2!B69,summaryref2!K69,IF(AK236=summaryref2!B83,summaryref2!K83,IF(AK236=summaryref2!B97,summaryref2!K97,IF(AK236=summaryref2!B111,summaryref2!K111,IF(AK236=summaryref2!B125,summaryref2!K125,IF(AK236=summaryref2!B139,summaryref2!K139,"")))))))))))</f>
        <v>#REF!</v>
      </c>
      <c r="AV236" s="1110" t="e">
        <f>IF('A-80 DirEntInv'!#REF!&lt;&gt;"",'A-80 DirEntInv'!#REF!,IF(AK236=summaryref2!B13,summaryref2!L13,IF(Summary!AK236=summaryref2!B27,summaryref2!L27,IF(AK236=summaryref2!B41,summaryref2!L41,IF(AK236=summaryref2!B55,summaryref2!L55,IF(AK236=summaryref2!B69,summaryref2!L69,IF(AK236=summaryref2!B83,summaryref2!L83,IF(AK236=summaryref2!B97,summaryref2!L97,IF(AK236=summaryref2!B111,summaryref2!L111,IF(AK236=summaryref2!B125,summaryref2!L125,IF(AK236=summaryref2!B139,summaryref2!L139,"")))))))))))</f>
        <v>#REF!</v>
      </c>
      <c r="AW236" s="1110" t="e">
        <f>IF('A-80 DirEntInv'!#REF!&lt;&gt;"",'A-80 DirEntInv'!#REF!,IF(AK236=summaryref2!B13,summaryref2!M13,IF(Summary!AK236=summaryref2!B27,summaryref2!M27,IF(AK236=summaryref2!B41,summaryref2!M41,IF(AK236=summaryref2!B55,summaryref2!M55,IF(AK236=summaryref2!B69,summaryref2!M69,IF(AK236=summaryref2!B83,summaryref2!M83,IF(AK236=summaryref2!B97,summaryref2!M97,IF(AK236=summaryref2!B111,summaryref2!M111,IF(AK236=summaryref2!B125,summaryref2!M125,IF(AK236=summaryref2!B139,summaryref2!M139,"")))))))))))</f>
        <v>#REF!</v>
      </c>
      <c r="AX236" s="1110" t="e">
        <f>IF('A-80 DirEntInv'!#REF!&lt;&gt;"",'A-80 DirEntInv'!#REF!,IF(AK236=summaryref2!B13,summaryref2!N13,IF(Summary!AK236=summaryref2!B27,summaryref2!N27,IF(AK236=summaryref2!B41,summaryref2!N41,IF(AK236=summaryref2!B55,summaryref2!N55,IF(AK236=summaryref2!B69,summaryref2!N69,IF(AK236=summaryref2!B83,summaryref2!N83,IF(AK236=summaryref2!B97,summaryref2!N97,IF(AK236=summaryref2!B111,summaryref2!N111,IF(AK236=summaryref2!B125,summaryref2!N125,IF(AK236=summaryref2!B139,summaryref2!N139,"")))))))))))</f>
        <v>#REF!</v>
      </c>
      <c r="AY236" s="1110" t="e">
        <f>IF('A-80 DirEntInv'!#REF!&lt;&gt;"",'A-80 DirEntInv'!#REF!,IF(AK236=summaryref2!B13,summaryref2!O13,IF(Summary!AK236=summaryref2!B27,summaryref2!O27,IF(AK236=summaryref2!B41,summaryref2!O41,IF(AK236=summaryref2!B55,summaryref2!O55,IF(AK236=summaryref2!B69,summaryref2!O69,IF(AK236=summaryref2!B83,summaryref2!O83,IF(AK236=summaryref2!B97,summaryref2!O97,IF(AK236=summaryref2!B111,summaryref2!O111,IF(AK236=summaryref2!B125,summaryref2!O125,IF(AK236=summaryref2!B139,summaryref2!O139,"")))))))))))</f>
        <v>#REF!</v>
      </c>
      <c r="AZ236" s="1110" t="e">
        <f>IF('A-80 DirEntInv'!#REF!&lt;&gt;"",'A-80 DirEntInv'!#REF!,IF(AK236=summaryref2!B13,summaryref2!P13,IF(Summary!AK236=summaryref2!B27,summaryref2!P27,IF(AK236=summaryref2!B41,summaryref2!P41,IF(AK236=summaryref2!B55,summaryref2!P55,IF(AK236=summaryref2!B69,summaryref2!P69,IF(AK236=summaryref2!B83,summaryref2!P83,IF(AK236=summaryref2!B97,summaryref2!P97,IF(AK236=summaryref2!B111,summaryref2!P111,IF(AK236=summaryref2!B125,summaryref2!P125,IF(AK236=summaryref2!B139,summaryref2!P139,"")))))))))))</f>
        <v>#REF!</v>
      </c>
      <c r="BA236" s="1110" t="e">
        <f>IF('A-80 DirEntInv'!#REF!&lt;&gt;"",'A-80 DirEntInv'!#REF!,IF(AK236=summaryref2!B13,summaryref2!Q13,IF(Summary!AK236=summaryref2!B27,summaryref2!Q27,IF(AK236=summaryref2!B41,summaryref2!Q41,IF(AK236=summaryref2!B55,summaryref2!Q55,IF(AK236=summaryref2!B69,summaryref2!Q69,IF(AK236=summaryref2!B83,summaryref2!Q83,IF(AK236=summaryref2!B97,summaryref2!Q97,IF(AK236=summaryref2!B111,summaryref2!Q111,IF(AK236=summaryref2!B125,summaryref2!Q125,IF(AK236=summaryref2!B139,summaryref2!Q139,"")))))))))))</f>
        <v>#REF!</v>
      </c>
      <c r="BB236" s="1110" t="e">
        <f>IF('A-80 DirEntInv'!#REF!&lt;&gt;"",'A-80 DirEntInv'!#REF!,IF(AK236=summaryref2!B13,summaryref2!R13,IF(Summary!AK236=summaryref2!B27,summaryref2!R27,IF(AK236=summaryref2!B41,summaryref2!R41,IF(AK236=summaryref2!B55,summaryref2!R55,IF(AK236=summaryref2!B69,summaryref2!R69,IF(AK236=summaryref2!B83,summaryref2!R83,IF(AK236=summaryref2!B97,summaryref2!R97,IF(AK236=summaryref2!B111,summaryref2!R111,IF(AK236=summaryref2!B125,summaryref2!R125,IF(AK236=summaryref2!B139,summaryref2!R139,"")))))))))))</f>
        <v>#REF!</v>
      </c>
      <c r="BC236" s="1110" t="e">
        <f>IF('A-80 DirEntInv'!#REF!&lt;&gt;0,'A-80 DirEntInv'!#REF!,IF(AK236=summaryref2!B13,summaryref2!S13,IF(Summary!AK236=summaryref2!B27,summaryref2!S27,IF(AK236=summaryref2!B41,summaryref2!S41,IF(AK236=summaryref2!B55,summaryref2!S55,IF(AK236=summaryref2!B69,summaryref2!S69,IF(AK236=summaryref2!B83,summaryref2!S83,IF(AK236=summaryref2!B97,summaryref2!S97,IF(AK236=summaryref2!B111,summaryref2!S111,IF(AK236=summaryref2!B125,summaryref2!S125,IF(AK236=summaryref2!B139,summaryref2!S139,"")))))))))))</f>
        <v>#REF!</v>
      </c>
      <c r="BD236" s="1111" t="e">
        <f>IF('A-80 DirEntInv'!#REF!&lt;&gt;"",'A-80 DirEntInv'!#REF!,IF(AK236=summaryref2!B13,summaryref2!T13,IF(Summary!AK236=summaryref2!B27,summaryref2!T27,IF(AK236=summaryref2!B41,summaryref2!T41,IF(AK236=summaryref2!B55,summaryref2!T55,IF(AK236=summaryref2!B69,summaryref2!T69,IF(AK236=summaryref2!B83,summaryref2!T83,IF(AK236=summaryref2!B97,summaryref2!T97,IF(AK236=summaryref2!B111,summaryref2!T111,IF(AK236=summaryref2!B125,summaryref2!T125,IF(AK236=summaryref2!B139,summaryref2!T139,"")))))))))))</f>
        <v>#REF!</v>
      </c>
      <c r="BE236" s="1184" t="e">
        <f>IF('A-80 DirEntInv'!#REF!&lt;&gt;"",'A-80 DirEntInv'!#REF!,IF(AK236=summaryref2!B13,summaryref2!U13,IF(Summary!AK236=summaryref2!B27,summaryref2!U27,IF(AK236=summaryref2!B41,summaryref2!U41,IF(AK236=summaryref2!B55,summaryref2!U55,IF(AK236=summaryref2!B69,summaryref2!U69,IF(AK236=summaryref2!B83,summaryref2!U83,IF(AK236=summaryref2!B97,summaryref2!U97,IF(AK236=summaryref2!B111,summaryref2!U111,IF(AK236=summaryref2!B125,summaryref2!U125,IF(AK236=summaryref2!B139,summaryref2!U139,"")))))))))))</f>
        <v>#REF!</v>
      </c>
      <c r="BF236" s="1432"/>
      <c r="BG236" s="1432"/>
      <c r="BU236" s="962"/>
      <c r="CD236" s="589"/>
      <c r="CE236" s="590"/>
      <c r="CF236" s="590"/>
      <c r="CG236" s="590"/>
      <c r="CH236" s="590"/>
      <c r="CI236" s="590"/>
      <c r="CJ236" s="589"/>
      <c r="CK236" s="589"/>
      <c r="CL236" s="589"/>
      <c r="CM236" s="587"/>
      <c r="CN236" s="587"/>
      <c r="CO236" s="589"/>
      <c r="CP236" s="587"/>
      <c r="CQ236" s="592"/>
      <c r="CR236" s="589"/>
      <c r="CS236" s="592"/>
      <c r="CT236" s="589"/>
      <c r="CU236" s="589"/>
      <c r="CV236" s="589"/>
      <c r="CW236" s="587"/>
      <c r="CX236" s="590"/>
      <c r="CY236" s="590"/>
      <c r="CZ236" s="590"/>
      <c r="DA236" s="1054"/>
      <c r="DB236" s="1054"/>
      <c r="DC236" s="587"/>
      <c r="DD236" s="587"/>
    </row>
    <row r="237" spans="1:108" s="588" customFormat="1" x14ac:dyDescent="0.2">
      <c r="A237" s="589">
        <f t="shared" si="3"/>
        <v>227</v>
      </c>
      <c r="B237" s="587"/>
      <c r="C237" s="587"/>
      <c r="D237" s="587"/>
      <c r="J237" s="589"/>
      <c r="K237" s="590"/>
      <c r="L237" s="591"/>
      <c r="M237" s="592"/>
      <c r="N237" s="589"/>
      <c r="O237" s="587"/>
      <c r="R237" s="1052"/>
      <c r="S237" s="1052"/>
      <c r="T237" s="1052"/>
      <c r="U237" s="1052"/>
      <c r="V237" s="1052"/>
      <c r="W237" s="1053"/>
      <c r="X237" s="1053"/>
      <c r="Y237" s="1053"/>
      <c r="Z237" s="1052"/>
      <c r="AA237" s="1052"/>
      <c r="AB237" s="962"/>
      <c r="AC237" s="590"/>
      <c r="AD237" s="590"/>
      <c r="AE237" s="591"/>
      <c r="AF237" s="592"/>
      <c r="AG237" s="1053"/>
      <c r="AH237" s="587"/>
      <c r="AK237" s="1041" t="str">
        <f>Codes!$C$172</f>
        <v>TR - Aerial Tramway (PT)</v>
      </c>
      <c r="AL237" s="1042" t="str">
        <f>Valid!$B$73</f>
        <v>Elevated/Retained Fill</v>
      </c>
      <c r="AM237" s="1108" t="e">
        <f>IF('A-80 DirEntInv'!#REF!&lt;&gt;"",'A-80 DirEntInv'!#REF!,IF(AK237=summaryref2!B14,summaryref2!D14,IF(Summary!AK237=summaryref2!B28,summaryref2!D28,IF(AK237=summaryref2!B42,summaryref2!D42,IF(AK237=summaryref2!B56,summaryref2!D56,IF(AK237=summaryref2!B70,summaryref2!D70,IF(AK237=summaryref2!B84,summaryref2!D84,IF(AK237=summaryref2!B98,summaryref2!D98,IF(AK237=summaryref2!B112,summaryref2!D112,IF(AK237=summaryref2!B126,summaryref2!D126,IF(AK237=summaryref2!B140,summaryref2!D140,"")))))))))))</f>
        <v>#REF!</v>
      </c>
      <c r="AN237" s="1109" t="e">
        <f ca="1">IF('A-80 DirEntInv'!#REF!&lt;&gt;"",'A-80 DirEntInv'!#REF!,IF(INDIRECT(ADDRESS(SumRef!CG300,SumRef!CG$16,,,SumRef!$C$7))="","",INDIRECT(ADDRESS(SumRef!CG300,SumRef!CG$16,,,SumRef!$C$7))))</f>
        <v>#REF!</v>
      </c>
      <c r="AO237" s="1108" t="e">
        <f>IF('A-80 DirEntInv'!#REF!&lt;&gt;"",'A-80 DirEntInv'!#REF!,IF(AK237=summaryref2!B14,summaryref2!F14,IF(Summary!AK237=summaryref2!B28,summaryref2!F28,IF(AK237=summaryref2!B42,summaryref2!F42,IF(AK237=summaryref2!B56,summaryref2!F56,IF(AK237=summaryref2!B70,summaryref2!F70,IF(AK237=summaryref2!B84,summaryref2!F84,IF(AK237=summaryref2!B98,summaryref2!F98,IF(AK237=summaryref2!B112,summaryref2!F112,IF(AK237=summaryref2!B126,summaryref2!F126,IF(AK237=summaryref2!B140,summaryref2!F140,"")))))))))))</f>
        <v>#REF!</v>
      </c>
      <c r="AP237" s="1109" t="e">
        <f ca="1">IF('A-80 DirEntInv'!#REF!&lt;&gt;"",'A-80 DirEntInv'!#REF!,IF(INDIRECT(ADDRESS(SumRef!#REF!,SumRef!#REF!,,,SumRef!$C$7))="","",INDIRECT(ADDRESS(SumRef!#REF!,SumRef!#REF!,,,SumRef!$C$7))))</f>
        <v>#REF!</v>
      </c>
      <c r="AQ237" s="1147" t="e">
        <f>IF('A-80 DirEntInv'!#REF!&lt;&gt;"",'A-80 DirEntInv'!#REF!,IF(AK237=summaryref2!B14,summaryref2!G14,IF(Summary!AK237=summaryref2!B28,summaryref2!G28,IF(AK237=summaryref2!B42,summaryref2!G42,IF(AK237=summaryref2!B56,summaryref2!G56,IF(AK237=summaryref2!B70,summaryref2!G70,IF(AK237=summaryref2!B84,summaryref2!G84,IF(AK237=summaryref2!B98,summaryref2!G98,IF(AK237=summaryref2!B112,summaryref2!G112,IF(AK237=summaryref2!B126,summaryref2!G126,IF(AK237=summaryref2!B140,summaryref2!G140,"")))))))))))</f>
        <v>#REF!</v>
      </c>
      <c r="AR237" s="1147" t="e">
        <f>IF('A-80 DirEntInv'!#REF!&lt;&gt;"",'A-80 DirEntInv'!#REF!,IF(AK237=summaryref2!B14,summaryref2!H14,IF(Summary!AK237=summaryref2!B28,summaryref2!H28,IF(AK237=summaryref2!B42,summaryref2!H42,IF(AK237=summaryref2!B56,summaryref2!H56,IF(AK237=summaryref2!B70,summaryref2!H70,IF(AK237=summaryref2!B84,summaryref2!H84,IF(AK237=summaryref2!B98,summaryref2!H98,IF(AK237=summaryref2!B112,summaryref2!H112,IF(AK237=summaryref2!B126,summaryref2!H126,IF(AK237=summaryref2!B140,summaryref2!H140,"")))))))))))</f>
        <v>#REF!</v>
      </c>
      <c r="AS237" s="1110" t="e">
        <f>IF('A-80 DirEntInv'!#REF!&lt;&gt;"",'A-80 DirEntInv'!#REF!,IF(AK237=summaryref2!B14,summaryref2!I14,IF(Summary!AK237=summaryref2!B28,summaryref2!I28,IF(AK237=summaryref2!B42,summaryref2!I42,IF(AK237=summaryref2!B56,summaryref2!I56,IF(AK237=summaryref2!B70,summaryref2!I70,IF(AK237=summaryref2!B84,summaryref2!I84,IF(AK237=summaryref2!B98,summaryref2!I98,IF(AK237=summaryref2!B112,summaryref2!I112,IF(AK237=summaryref2!B126,summaryref2!I126,IF(AK237=summaryref2!B140,summaryref2!I140,"")))))))))))</f>
        <v>#REF!</v>
      </c>
      <c r="AT237" s="1110" t="e">
        <f>IF('A-80 DirEntInv'!#REF!&lt;&gt;"",'A-80 DirEntInv'!#REF!,IF(AK237=summaryref2!B14,summaryref2!J14,IF(Summary!AK237=summaryref2!B28,summaryref2!J28,IF(AK237=summaryref2!B42,summaryref2!J42,IF(AK237=summaryref2!B56,summaryref2!J56,IF(AK237=summaryref2!B70,summaryref2!J70,IF(AK237=summaryref2!B84,summaryref2!J84,IF(AK237=summaryref2!B98,summaryref2!J98,IF(AK237=summaryref2!B112,summaryref2!J112,IF(AK237=summaryref2!B126,summaryref2!J126,IF(AK237=summaryref2!B140,summaryref2!J140,"")))))))))))</f>
        <v>#REF!</v>
      </c>
      <c r="AU237" s="1110" t="e">
        <f>IF('A-80 DirEntInv'!#REF!&lt;&gt;"",'A-80 DirEntInv'!#REF!,IF(AK237=summaryref2!B14,summaryref2!K14,IF(Summary!AK237=summaryref2!B28,summaryref2!K28,IF(AK237=summaryref2!B42,summaryref2!K42,IF(AK237=summaryref2!B56,summaryref2!K56,IF(AK237=summaryref2!B70,summaryref2!K70,IF(AK237=summaryref2!B84,summaryref2!K84,IF(AK237=summaryref2!B98,summaryref2!K98,IF(AK237=summaryref2!B112,summaryref2!K112,IF(AK237=summaryref2!B126,summaryref2!K126,IF(AK237=summaryref2!B140,summaryref2!K140,"")))))))))))</f>
        <v>#REF!</v>
      </c>
      <c r="AV237" s="1110" t="e">
        <f>IF('A-80 DirEntInv'!#REF!&lt;&gt;"",'A-80 DirEntInv'!#REF!,IF(AK237=summaryref2!B14,summaryref2!L14,IF(Summary!AK237=summaryref2!B28,summaryref2!L28,IF(AK237=summaryref2!B42,summaryref2!L42,IF(AK237=summaryref2!B56,summaryref2!L56,IF(AK237=summaryref2!B70,summaryref2!L70,IF(AK237=summaryref2!B84,summaryref2!L84,IF(AK237=summaryref2!B98,summaryref2!L98,IF(AK237=summaryref2!B112,summaryref2!L112,IF(AK237=summaryref2!B126,summaryref2!L126,IF(AK237=summaryref2!B140,summaryref2!L140,"")))))))))))</f>
        <v>#REF!</v>
      </c>
      <c r="AW237" s="1110" t="e">
        <f>IF('A-80 DirEntInv'!#REF!&lt;&gt;"",'A-80 DirEntInv'!#REF!,IF(AK237=summaryref2!B14,summaryref2!M14,IF(Summary!AK237=summaryref2!B28,summaryref2!M28,IF(AK237=summaryref2!B42,summaryref2!M42,IF(AK237=summaryref2!B56,summaryref2!M56,IF(AK237=summaryref2!B70,summaryref2!M70,IF(AK237=summaryref2!B84,summaryref2!M84,IF(AK237=summaryref2!B98,summaryref2!M98,IF(AK237=summaryref2!B112,summaryref2!M112,IF(AK237=summaryref2!B126,summaryref2!M126,IF(AK237=summaryref2!B140,summaryref2!M140,"")))))))))))</f>
        <v>#REF!</v>
      </c>
      <c r="AX237" s="1110" t="e">
        <f>IF('A-80 DirEntInv'!#REF!&lt;&gt;"",'A-80 DirEntInv'!#REF!,IF(AK237=summaryref2!B14,summaryref2!N14,IF(Summary!AK237=summaryref2!B28,summaryref2!N28,IF(AK237=summaryref2!B42,summaryref2!N42,IF(AK237=summaryref2!B56,summaryref2!N56,IF(AK237=summaryref2!B70,summaryref2!N70,IF(AK237=summaryref2!B84,summaryref2!N84,IF(AK237=summaryref2!B98,summaryref2!N98,IF(AK237=summaryref2!B112,summaryref2!N112,IF(AK237=summaryref2!B126,summaryref2!N126,IF(AK237=summaryref2!B140,summaryref2!N140,"")))))))))))</f>
        <v>#REF!</v>
      </c>
      <c r="AY237" s="1110" t="e">
        <f>IF('A-80 DirEntInv'!#REF!&lt;&gt;"",'A-80 DirEntInv'!#REF!,IF(AK237=summaryref2!B14,summaryref2!O14,IF(Summary!AK237=summaryref2!B28,summaryref2!O28,IF(AK237=summaryref2!B42,summaryref2!O42,IF(AK237=summaryref2!B56,summaryref2!O56,IF(AK237=summaryref2!B70,summaryref2!O70,IF(AK237=summaryref2!B84,summaryref2!O84,IF(AK237=summaryref2!B98,summaryref2!O98,IF(AK237=summaryref2!B112,summaryref2!O112,IF(AK237=summaryref2!B126,summaryref2!O126,IF(AK237=summaryref2!B140,summaryref2!O140,"")))))))))))</f>
        <v>#REF!</v>
      </c>
      <c r="AZ237" s="1110" t="e">
        <f>IF('A-80 DirEntInv'!#REF!&lt;&gt;"",'A-80 DirEntInv'!#REF!,IF(AK237=summaryref2!B14,summaryref2!P14,IF(Summary!AK237=summaryref2!B28,summaryref2!P28,IF(AK237=summaryref2!B42,summaryref2!P42,IF(AK237=summaryref2!B56,summaryref2!P56,IF(AK237=summaryref2!B70,summaryref2!P70,IF(AK237=summaryref2!B84,summaryref2!P84,IF(AK237=summaryref2!B98,summaryref2!P98,IF(AK237=summaryref2!B112,summaryref2!P112,IF(AK237=summaryref2!B126,summaryref2!P126,IF(AK237=summaryref2!B140,summaryref2!P140,"")))))))))))</f>
        <v>#REF!</v>
      </c>
      <c r="BA237" s="1110" t="e">
        <f>IF('A-80 DirEntInv'!#REF!&lt;&gt;"",'A-80 DirEntInv'!#REF!,IF(AK237=summaryref2!B14,summaryref2!Q14,IF(Summary!AK237=summaryref2!B28,summaryref2!Q28,IF(AK237=summaryref2!B42,summaryref2!Q42,IF(AK237=summaryref2!B56,summaryref2!Q56,IF(AK237=summaryref2!B70,summaryref2!Q70,IF(AK237=summaryref2!B84,summaryref2!Q84,IF(AK237=summaryref2!B98,summaryref2!Q98,IF(AK237=summaryref2!B112,summaryref2!Q112,IF(AK237=summaryref2!B126,summaryref2!Q126,IF(AK237=summaryref2!B140,summaryref2!Q140,"")))))))))))</f>
        <v>#REF!</v>
      </c>
      <c r="BB237" s="1110" t="e">
        <f>IF('A-80 DirEntInv'!#REF!&lt;&gt;"",'A-80 DirEntInv'!#REF!,IF(AK237=summaryref2!B14,summaryref2!R14,IF(Summary!AK237=summaryref2!B28,summaryref2!R28,IF(AK237=summaryref2!B42,summaryref2!R42,IF(AK237=summaryref2!B56,summaryref2!R56,IF(AK237=summaryref2!B70,summaryref2!R70,IF(AK237=summaryref2!B84,summaryref2!R84,IF(AK237=summaryref2!B98,summaryref2!R98,IF(AK237=summaryref2!B112,summaryref2!R112,IF(AK237=summaryref2!B126,summaryref2!R126,IF(AK237=summaryref2!B140,summaryref2!R140,"")))))))))))</f>
        <v>#REF!</v>
      </c>
      <c r="BC237" s="1110" t="e">
        <f>IF('A-80 DirEntInv'!#REF!&lt;&gt;0,'A-80 DirEntInv'!#REF!,IF(AK237=summaryref2!B14,summaryref2!S14,IF(Summary!AK237=summaryref2!B28,summaryref2!S28,IF(AK237=summaryref2!B42,summaryref2!S42,IF(AK237=summaryref2!B56,summaryref2!S56,IF(AK237=summaryref2!B70,summaryref2!S70,IF(AK237=summaryref2!B84,summaryref2!S84,IF(AK237=summaryref2!B98,summaryref2!S98,IF(AK237=summaryref2!B112,summaryref2!S112,IF(AK237=summaryref2!B126,summaryref2!S126,IF(AK237=summaryref2!B140,summaryref2!S140,"")))))))))))</f>
        <v>#REF!</v>
      </c>
      <c r="BD237" s="1111" t="e">
        <f>IF('A-80 DirEntInv'!#REF!&lt;&gt;"",'A-80 DirEntInv'!#REF!,IF(AK237=summaryref2!B14,summaryref2!T14,IF(Summary!AK237=summaryref2!B28,summaryref2!T28,IF(AK237=summaryref2!B42,summaryref2!T42,IF(AK237=summaryref2!B56,summaryref2!T56,IF(AK237=summaryref2!B70,summaryref2!T70,IF(AK237=summaryref2!B84,summaryref2!T84,IF(AK237=summaryref2!B98,summaryref2!T98,IF(AK237=summaryref2!B112,summaryref2!T112,IF(AK237=summaryref2!B126,summaryref2!T126,IF(AK237=summaryref2!B140,summaryref2!T140,"")))))))))))</f>
        <v>#REF!</v>
      </c>
      <c r="BE237" s="1184" t="e">
        <f>IF('A-80 DirEntInv'!#REF!&lt;&gt;"",'A-80 DirEntInv'!#REF!,IF(AK237=summaryref2!B14,summaryref2!U14,IF(Summary!AK237=summaryref2!B28,summaryref2!U28,IF(AK237=summaryref2!B42,summaryref2!U42,IF(AK237=summaryref2!B56,summaryref2!U56,IF(AK237=summaryref2!B70,summaryref2!U70,IF(AK237=summaryref2!B84,summaryref2!U84,IF(AK237=summaryref2!B98,summaryref2!U98,IF(AK237=summaryref2!B112,summaryref2!U112,IF(AK237=summaryref2!B126,summaryref2!U126,IF(AK237=summaryref2!B140,summaryref2!U140,"")))))))))))</f>
        <v>#REF!</v>
      </c>
      <c r="BF237" s="1432"/>
      <c r="BG237" s="1432"/>
      <c r="BU237" s="962"/>
      <c r="CD237" s="589"/>
      <c r="CE237" s="590"/>
      <c r="CF237" s="590"/>
      <c r="CG237" s="590"/>
      <c r="CH237" s="590"/>
      <c r="CI237" s="590"/>
      <c r="CJ237" s="589"/>
      <c r="CK237" s="589"/>
      <c r="CL237" s="589"/>
      <c r="CM237" s="587"/>
      <c r="CN237" s="587"/>
      <c r="CO237" s="589"/>
      <c r="CP237" s="587"/>
      <c r="CQ237" s="592"/>
      <c r="CR237" s="589"/>
      <c r="CS237" s="592"/>
      <c r="CT237" s="589"/>
      <c r="CU237" s="589"/>
      <c r="CV237" s="589"/>
      <c r="CW237" s="587"/>
      <c r="CX237" s="590"/>
      <c r="CY237" s="590"/>
      <c r="CZ237" s="590"/>
      <c r="DA237" s="1054"/>
      <c r="DB237" s="1054"/>
      <c r="DC237" s="587"/>
      <c r="DD237" s="587"/>
    </row>
    <row r="238" spans="1:108" s="588" customFormat="1" x14ac:dyDescent="0.2">
      <c r="A238" s="589">
        <f t="shared" si="3"/>
        <v>228</v>
      </c>
      <c r="B238" s="587"/>
      <c r="C238" s="587"/>
      <c r="D238" s="587"/>
      <c r="J238" s="589"/>
      <c r="K238" s="590"/>
      <c r="L238" s="591"/>
      <c r="M238" s="592"/>
      <c r="N238" s="589"/>
      <c r="O238" s="587"/>
      <c r="R238" s="1052"/>
      <c r="S238" s="1052"/>
      <c r="T238" s="1052"/>
      <c r="U238" s="1052"/>
      <c r="V238" s="1052"/>
      <c r="W238" s="1053"/>
      <c r="X238" s="1053"/>
      <c r="Y238" s="1053"/>
      <c r="Z238" s="1052"/>
      <c r="AA238" s="1052"/>
      <c r="AB238" s="962"/>
      <c r="AC238" s="590"/>
      <c r="AD238" s="590"/>
      <c r="AE238" s="591"/>
      <c r="AF238" s="592"/>
      <c r="AG238" s="1053"/>
      <c r="AH238" s="587"/>
      <c r="AK238" s="1041" t="str">
        <f>Codes!$C$172</f>
        <v>TR - Aerial Tramway (PT)</v>
      </c>
      <c r="AL238" s="1042" t="str">
        <f>Valid!$B$74</f>
        <v>Elevated/Concrete</v>
      </c>
      <c r="AM238" s="1108" t="e">
        <f>IF('A-80 DirEntInv'!#REF!&lt;&gt;"",'A-80 DirEntInv'!#REF!,IF(AK238=summaryref2!B15,summaryref2!D15,IF(Summary!AK238=summaryref2!B29,summaryref2!D29,IF(AK238=summaryref2!B43,summaryref2!D43,IF(AK238=summaryref2!B57,summaryref2!D57,IF(AK238=summaryref2!B71,summaryref2!D71,IF(AK238=summaryref2!B85,summaryref2!D85,IF(AK238=summaryref2!B99,summaryref2!D99,IF(AK238=summaryref2!B113,summaryref2!D113,IF(AK238=summaryref2!B127,summaryref2!D127,IF(AK238=summaryref2!B141,summaryref2!D141,"")))))))))))</f>
        <v>#REF!</v>
      </c>
      <c r="AN238" s="1109" t="e">
        <f ca="1">IF('A-80 DirEntInv'!#REF!&lt;&gt;"",'A-80 DirEntInv'!#REF!,IF(INDIRECT(ADDRESS(SumRef!CG301,SumRef!CG$16,,,SumRef!$C$7))="","",INDIRECT(ADDRESS(SumRef!CG301,SumRef!CG$16,,,SumRef!$C$7))))</f>
        <v>#REF!</v>
      </c>
      <c r="AO238" s="1108" t="e">
        <f>IF('A-80 DirEntInv'!#REF!&lt;&gt;"",'A-80 DirEntInv'!#REF!,IF(AK238=summaryref2!B15,summaryref2!F15,IF(Summary!AK238=summaryref2!B29,summaryref2!F29,IF(AK238=summaryref2!B43,summaryref2!F43,IF(AK238=summaryref2!B57,summaryref2!F57,IF(AK238=summaryref2!B71,summaryref2!F71,IF(AK238=summaryref2!B85,summaryref2!F85,IF(AK238=summaryref2!B99,summaryref2!F99,IF(AK238=summaryref2!B113,summaryref2!F113,IF(AK238=summaryref2!B127,summaryref2!F127,IF(AK238=summaryref2!B141,summaryref2!F141,"")))))))))))</f>
        <v>#REF!</v>
      </c>
      <c r="AP238" s="1109" t="e">
        <f ca="1">IF('A-80 DirEntInv'!#REF!&lt;&gt;"",'A-80 DirEntInv'!#REF!,IF(INDIRECT(ADDRESS(SumRef!#REF!,SumRef!#REF!,,,SumRef!$C$7))="","",INDIRECT(ADDRESS(SumRef!#REF!,SumRef!#REF!,,,SumRef!$C$7))))</f>
        <v>#REF!</v>
      </c>
      <c r="AQ238" s="1147" t="e">
        <f>IF('A-80 DirEntInv'!#REF!&lt;&gt;"",'A-80 DirEntInv'!#REF!,IF(AK238=summaryref2!B15,summaryref2!G15,IF(Summary!AK238=summaryref2!B29,summaryref2!G29,IF(AK238=summaryref2!B43,summaryref2!G43,IF(AK238=summaryref2!B57,summaryref2!G57,IF(AK238=summaryref2!B71,summaryref2!G71,IF(AK238=summaryref2!B85,summaryref2!G85,IF(AK238=summaryref2!B99,summaryref2!G99,IF(AK238=summaryref2!B113,summaryref2!G113,IF(AK238=summaryref2!B127,summaryref2!G127,IF(AK238=summaryref2!B141,summaryref2!G141,"")))))))))))</f>
        <v>#REF!</v>
      </c>
      <c r="AR238" s="1147" t="e">
        <f>IF('A-80 DirEntInv'!#REF!&lt;&gt;"",'A-80 DirEntInv'!#REF!,IF(AK238=summaryref2!B15,summaryref2!H15,IF(Summary!AK238=summaryref2!B29,summaryref2!H29,IF(AK238=summaryref2!B43,summaryref2!H43,IF(AK238=summaryref2!B57,summaryref2!H57,IF(AK238=summaryref2!B71,summaryref2!H71,IF(AK238=summaryref2!B85,summaryref2!H85,IF(AK238=summaryref2!B99,summaryref2!H99,IF(AK238=summaryref2!B113,summaryref2!H113,IF(AK238=summaryref2!B127,summaryref2!H127,IF(AK238=summaryref2!B141,summaryref2!H141,"")))))))))))</f>
        <v>#REF!</v>
      </c>
      <c r="AS238" s="1110" t="e">
        <f>IF('A-80 DirEntInv'!#REF!&lt;&gt;"",'A-80 DirEntInv'!#REF!,IF(AK238=summaryref2!B15,summaryref2!I15,IF(Summary!AK238=summaryref2!B29,summaryref2!I29,IF(AK238=summaryref2!B43,summaryref2!I43,IF(AK238=summaryref2!B57,summaryref2!I57,IF(AK238=summaryref2!B71,summaryref2!I71,IF(AK238=summaryref2!B85,summaryref2!I85,IF(AK238=summaryref2!B99,summaryref2!I99,IF(AK238=summaryref2!B113,summaryref2!I113,IF(AK238=summaryref2!B127,summaryref2!I127,IF(AK238=summaryref2!B141,summaryref2!I141,"")))))))))))</f>
        <v>#REF!</v>
      </c>
      <c r="AT238" s="1110" t="e">
        <f>IF('A-80 DirEntInv'!#REF!&lt;&gt;"",'A-80 DirEntInv'!#REF!,IF(AK238=summaryref2!B15,summaryref2!J15,IF(Summary!AK238=summaryref2!B29,summaryref2!J29,IF(AK238=summaryref2!B43,summaryref2!J43,IF(AK238=summaryref2!B57,summaryref2!J57,IF(AK238=summaryref2!B71,summaryref2!J71,IF(AK238=summaryref2!B85,summaryref2!J85,IF(AK238=summaryref2!B99,summaryref2!J99,IF(AK238=summaryref2!B113,summaryref2!J113,IF(AK238=summaryref2!B127,summaryref2!J127,IF(AK238=summaryref2!B141,summaryref2!J141,"")))))))))))</f>
        <v>#REF!</v>
      </c>
      <c r="AU238" s="1110" t="e">
        <f>IF('A-80 DirEntInv'!#REF!&lt;&gt;"",'A-80 DirEntInv'!#REF!,IF(AK238=summaryref2!B15,summaryref2!K15,IF(Summary!AK238=summaryref2!B29,summaryref2!K29,IF(AK238=summaryref2!B43,summaryref2!K43,IF(AK238=summaryref2!B57,summaryref2!K57,IF(AK238=summaryref2!B71,summaryref2!K71,IF(AK238=summaryref2!B85,summaryref2!K85,IF(AK238=summaryref2!B99,summaryref2!K99,IF(AK238=summaryref2!B113,summaryref2!K113,IF(AK238=summaryref2!B127,summaryref2!K127,IF(AK238=summaryref2!B141,summaryref2!K141,"")))))))))))</f>
        <v>#REF!</v>
      </c>
      <c r="AV238" s="1110" t="e">
        <f>IF('A-80 DirEntInv'!#REF!&lt;&gt;"",'A-80 DirEntInv'!#REF!,IF(AK238=summaryref2!B15,summaryref2!L15,IF(Summary!AK238=summaryref2!B29,summaryref2!L29,IF(AK238=summaryref2!B43,summaryref2!L43,IF(AK238=summaryref2!B57,summaryref2!L57,IF(AK238=summaryref2!B71,summaryref2!L71,IF(AK238=summaryref2!B85,summaryref2!L85,IF(AK238=summaryref2!B99,summaryref2!L99,IF(AK238=summaryref2!B113,summaryref2!L113,IF(AK238=summaryref2!B127,summaryref2!L127,IF(AK238=summaryref2!B141,summaryref2!L141,"")))))))))))</f>
        <v>#REF!</v>
      </c>
      <c r="AW238" s="1110" t="e">
        <f>IF('A-80 DirEntInv'!#REF!&lt;&gt;"",'A-80 DirEntInv'!#REF!,IF(AK238=summaryref2!B15,summaryref2!M15,IF(Summary!AK238=summaryref2!B29,summaryref2!M29,IF(AK238=summaryref2!B43,summaryref2!M43,IF(AK238=summaryref2!B57,summaryref2!M57,IF(AK238=summaryref2!B71,summaryref2!M71,IF(AK238=summaryref2!B85,summaryref2!M85,IF(AK238=summaryref2!B99,summaryref2!M99,IF(AK238=summaryref2!B113,summaryref2!M113,IF(AK238=summaryref2!B127,summaryref2!M127,IF(AK238=summaryref2!B141,summaryref2!M141,"")))))))))))</f>
        <v>#REF!</v>
      </c>
      <c r="AX238" s="1110" t="e">
        <f>IF('A-80 DirEntInv'!#REF!&lt;&gt;"",'A-80 DirEntInv'!#REF!,IF(AK238=summaryref2!B15,summaryref2!N15,IF(Summary!AK238=summaryref2!B29,summaryref2!N29,IF(AK238=summaryref2!B43,summaryref2!N43,IF(AK238=summaryref2!B57,summaryref2!N57,IF(AK238=summaryref2!B71,summaryref2!N71,IF(AK238=summaryref2!B85,summaryref2!N85,IF(AK238=summaryref2!B99,summaryref2!N99,IF(AK238=summaryref2!B113,summaryref2!N113,IF(AK238=summaryref2!B127,summaryref2!N127,IF(AK238=summaryref2!B141,summaryref2!N141,"")))))))))))</f>
        <v>#REF!</v>
      </c>
      <c r="AY238" s="1110" t="e">
        <f>IF('A-80 DirEntInv'!#REF!&lt;&gt;"",'A-80 DirEntInv'!#REF!,IF(AK238=summaryref2!B15,summaryref2!O15,IF(Summary!AK238=summaryref2!B29,summaryref2!O29,IF(AK238=summaryref2!B43,summaryref2!O43,IF(AK238=summaryref2!B57,summaryref2!O57,IF(AK238=summaryref2!B71,summaryref2!O71,IF(AK238=summaryref2!B85,summaryref2!O85,IF(AK238=summaryref2!B99,summaryref2!O99,IF(AK238=summaryref2!B113,summaryref2!O113,IF(AK238=summaryref2!B127,summaryref2!O127,IF(AK238=summaryref2!B141,summaryref2!O141,"")))))))))))</f>
        <v>#REF!</v>
      </c>
      <c r="AZ238" s="1110" t="e">
        <f>IF('A-80 DirEntInv'!#REF!&lt;&gt;"",'A-80 DirEntInv'!#REF!,IF(AK238=summaryref2!B15,summaryref2!P15,IF(Summary!AK238=summaryref2!B29,summaryref2!P29,IF(AK238=summaryref2!B43,summaryref2!P43,IF(AK238=summaryref2!B57,summaryref2!P57,IF(AK238=summaryref2!B71,summaryref2!P71,IF(AK238=summaryref2!B85,summaryref2!P85,IF(AK238=summaryref2!B99,summaryref2!P99,IF(AK238=summaryref2!B113,summaryref2!P113,IF(AK238=summaryref2!B127,summaryref2!P127,IF(AK238=summaryref2!B141,summaryref2!P141,"")))))))))))</f>
        <v>#REF!</v>
      </c>
      <c r="BA238" s="1110" t="e">
        <f>IF('A-80 DirEntInv'!#REF!&lt;&gt;"",'A-80 DirEntInv'!#REF!,IF(AK238=summaryref2!B15,summaryref2!Q15,IF(Summary!AK238=summaryref2!B29,summaryref2!Q29,IF(AK238=summaryref2!B43,summaryref2!Q43,IF(AK238=summaryref2!B57,summaryref2!Q57,IF(AK238=summaryref2!B71,summaryref2!Q71,IF(AK238=summaryref2!B85,summaryref2!Q85,IF(AK238=summaryref2!B99,summaryref2!Q99,IF(AK238=summaryref2!B113,summaryref2!Q113,IF(AK238=summaryref2!B127,summaryref2!Q127,IF(AK238=summaryref2!B141,summaryref2!Q141,"")))))))))))</f>
        <v>#REF!</v>
      </c>
      <c r="BB238" s="1110" t="e">
        <f>IF('A-80 DirEntInv'!#REF!&lt;&gt;"",'A-80 DirEntInv'!#REF!,IF(AK238=summaryref2!B15,summaryref2!R15,IF(Summary!AK238=summaryref2!B29,summaryref2!R29,IF(AK238=summaryref2!B43,summaryref2!R43,IF(AK238=summaryref2!B57,summaryref2!R57,IF(AK238=summaryref2!B71,summaryref2!R71,IF(AK238=summaryref2!B85,summaryref2!R85,IF(AK238=summaryref2!B99,summaryref2!R99,IF(AK238=summaryref2!B113,summaryref2!R113,IF(AK238=summaryref2!B127,summaryref2!R127,IF(AK238=summaryref2!B141,summaryref2!R141,"")))))))))))</f>
        <v>#REF!</v>
      </c>
      <c r="BC238" s="1110" t="e">
        <f>IF('A-80 DirEntInv'!#REF!&lt;&gt;0,'A-80 DirEntInv'!#REF!,IF(AK238=summaryref2!B15,summaryref2!S15,IF(Summary!AK238=summaryref2!B29,summaryref2!S29,IF(AK238=summaryref2!B43,summaryref2!S43,IF(AK238=summaryref2!B57,summaryref2!S57,IF(AK238=summaryref2!B71,summaryref2!S71,IF(AK238=summaryref2!B85,summaryref2!S85,IF(AK238=summaryref2!B99,summaryref2!S99,IF(AK238=summaryref2!B113,summaryref2!S113,IF(AK238=summaryref2!B127,summaryref2!S127,IF(AK238=summaryref2!B141,summaryref2!S141,"")))))))))))</f>
        <v>#REF!</v>
      </c>
      <c r="BD238" s="1111" t="e">
        <f>IF('A-80 DirEntInv'!#REF!&lt;&gt;"",'A-80 DirEntInv'!#REF!,IF(AK238=summaryref2!B15,summaryref2!T15,IF(Summary!AK238=summaryref2!B29,summaryref2!T29,IF(AK238=summaryref2!B43,summaryref2!T43,IF(AK238=summaryref2!B57,summaryref2!T57,IF(AK238=summaryref2!B71,summaryref2!T71,IF(AK238=summaryref2!B85,summaryref2!T85,IF(AK238=summaryref2!B99,summaryref2!T99,IF(AK238=summaryref2!B113,summaryref2!T113,IF(AK238=summaryref2!B127,summaryref2!T127,IF(AK238=summaryref2!B141,summaryref2!T141,"")))))))))))</f>
        <v>#REF!</v>
      </c>
      <c r="BE238" s="1184" t="e">
        <f>IF('A-80 DirEntInv'!#REF!&lt;&gt;"",'A-80 DirEntInv'!#REF!,IF(AK238=summaryref2!B15,summaryref2!U15,IF(Summary!AK238=summaryref2!B29,summaryref2!U29,IF(AK238=summaryref2!B43,summaryref2!U43,IF(AK238=summaryref2!B57,summaryref2!U57,IF(AK238=summaryref2!B71,summaryref2!U71,IF(AK238=summaryref2!B85,summaryref2!U85,IF(AK238=summaryref2!B99,summaryref2!U99,IF(AK238=summaryref2!B113,summaryref2!U113,IF(AK238=summaryref2!B127,summaryref2!U127,IF(AK238=summaryref2!B141,summaryref2!U141,"")))))))))))</f>
        <v>#REF!</v>
      </c>
      <c r="BF238" s="1432"/>
      <c r="BG238" s="1432"/>
      <c r="BU238" s="962"/>
      <c r="CD238" s="589"/>
      <c r="CE238" s="590"/>
      <c r="CF238" s="590"/>
      <c r="CG238" s="590"/>
      <c r="CH238" s="590"/>
      <c r="CI238" s="590"/>
      <c r="CJ238" s="589"/>
      <c r="CK238" s="589"/>
      <c r="CL238" s="589"/>
      <c r="CM238" s="587"/>
      <c r="CN238" s="587"/>
      <c r="CO238" s="589"/>
      <c r="CP238" s="587"/>
      <c r="CQ238" s="592"/>
      <c r="CR238" s="589"/>
      <c r="CS238" s="592"/>
      <c r="CT238" s="589"/>
      <c r="CU238" s="589"/>
      <c r="CV238" s="589"/>
      <c r="CW238" s="587"/>
      <c r="CX238" s="590"/>
      <c r="CY238" s="590"/>
      <c r="CZ238" s="590"/>
      <c r="DA238" s="1054"/>
      <c r="DB238" s="1054"/>
      <c r="DC238" s="587"/>
      <c r="DD238" s="587"/>
    </row>
    <row r="239" spans="1:108" s="588" customFormat="1" x14ac:dyDescent="0.2">
      <c r="A239" s="589">
        <f t="shared" si="3"/>
        <v>229</v>
      </c>
      <c r="B239" s="587"/>
      <c r="C239" s="587"/>
      <c r="D239" s="587"/>
      <c r="J239" s="589"/>
      <c r="K239" s="590"/>
      <c r="L239" s="591"/>
      <c r="M239" s="592"/>
      <c r="N239" s="589"/>
      <c r="O239" s="587"/>
      <c r="R239" s="1052"/>
      <c r="S239" s="1052"/>
      <c r="T239" s="1052"/>
      <c r="U239" s="1052"/>
      <c r="V239" s="1052"/>
      <c r="W239" s="1053"/>
      <c r="X239" s="1053"/>
      <c r="Y239" s="1053"/>
      <c r="Z239" s="1052"/>
      <c r="AA239" s="1052"/>
      <c r="AB239" s="962"/>
      <c r="AC239" s="590"/>
      <c r="AD239" s="590"/>
      <c r="AE239" s="591"/>
      <c r="AF239" s="592"/>
      <c r="AG239" s="1053"/>
      <c r="AH239" s="587"/>
      <c r="AK239" s="1041" t="str">
        <f>Codes!$C$172</f>
        <v>TR - Aerial Tramway (PT)</v>
      </c>
      <c r="AL239" s="1042" t="str">
        <f>Valid!$B$75</f>
        <v>Elevated/Steel Viaduct or Bridge</v>
      </c>
      <c r="AM239" s="1108" t="e">
        <f>IF('A-80 DirEntInv'!#REF!&lt;&gt;"",'A-80 DirEntInv'!#REF!,IF(AK239=summaryref2!B16,summaryref2!D16,IF(Summary!AK239=summaryref2!B30,summaryref2!D30,IF(AK239=summaryref2!B44,summaryref2!D44,IF(AK239=summaryref2!B58,summaryref2!D58,IF(AK239=summaryref2!B72,summaryref2!D72,IF(AK239=summaryref2!B86,summaryref2!D86,IF(AK239=summaryref2!B100,summaryref2!D100,IF(AK239=summaryref2!B114,summaryref2!D114,IF(AK239=summaryref2!B128,summaryref2!D128,IF(AK239=summaryref2!B142,summaryref2!D142,"")))))))))))</f>
        <v>#REF!</v>
      </c>
      <c r="AN239" s="1109" t="e">
        <f ca="1">IF('A-80 DirEntInv'!#REF!&lt;&gt;"",'A-80 DirEntInv'!#REF!,IF(INDIRECT(ADDRESS(SumRef!CG302,SumRef!CG$16,,,SumRef!$C$7))="","",INDIRECT(ADDRESS(SumRef!CG302,SumRef!CG$16,,,SumRef!$C$7))))</f>
        <v>#REF!</v>
      </c>
      <c r="AO239" s="1108" t="e">
        <f>IF('A-80 DirEntInv'!#REF!&lt;&gt;"",'A-80 DirEntInv'!#REF!,IF(AK239=summaryref2!B16,summaryref2!F16,IF(Summary!AK239=summaryref2!B30,summaryref2!F30,IF(AK239=summaryref2!B44,summaryref2!F44,IF(AK239=summaryref2!B58,summaryref2!F58,IF(AK239=summaryref2!B72,summaryref2!F72,IF(AK239=summaryref2!B86,summaryref2!F86,IF(AK239=summaryref2!B100,summaryref2!F100,IF(AK239=summaryref2!B114,summaryref2!F114,IF(AK239=summaryref2!B128,summaryref2!F128,IF(AK239=summaryref2!B142,summaryref2!F142,"")))))))))))</f>
        <v>#REF!</v>
      </c>
      <c r="AP239" s="1109" t="e">
        <f ca="1">IF('A-80 DirEntInv'!#REF!&lt;&gt;"",'A-80 DirEntInv'!#REF!,IF(INDIRECT(ADDRESS(SumRef!#REF!,SumRef!#REF!,,,SumRef!$C$7))="","",INDIRECT(ADDRESS(SumRef!#REF!,SumRef!#REF!,,,SumRef!$C$7))))</f>
        <v>#REF!</v>
      </c>
      <c r="AQ239" s="1147" t="e">
        <f>IF('A-80 DirEntInv'!#REF!&lt;&gt;"",'A-80 DirEntInv'!#REF!,IF(AK239=summaryref2!B16,summaryref2!G16,IF(Summary!AK239=summaryref2!B30,summaryref2!G30,IF(AK239=summaryref2!B44,summaryref2!G44,IF(AK239=summaryref2!B58,summaryref2!G58,IF(AK239=summaryref2!B72,summaryref2!G72,IF(AK239=summaryref2!B86,summaryref2!G86,IF(AK239=summaryref2!B100,summaryref2!G100,IF(AK239=summaryref2!B114,summaryref2!G114,IF(AK239=summaryref2!B128,summaryref2!G128,IF(AK239=summaryref2!B142,summaryref2!G142,"")))))))))))</f>
        <v>#REF!</v>
      </c>
      <c r="AR239" s="1147" t="e">
        <f>IF('A-80 DirEntInv'!#REF!&lt;&gt;"",'A-80 DirEntInv'!#REF!,IF(AK239=summaryref2!B16,summaryref2!H16,IF(Summary!AK239=summaryref2!B30,summaryref2!H30,IF(AK239=summaryref2!B44,summaryref2!H44,IF(AK239=summaryref2!B58,summaryref2!H58,IF(AK239=summaryref2!B72,summaryref2!H72,IF(AK239=summaryref2!B86,summaryref2!H86,IF(AK239=summaryref2!B100,summaryref2!H100,IF(AK239=summaryref2!B114,summaryref2!H114,IF(AK239=summaryref2!B128,summaryref2!H128,IF(AK239=summaryref2!B142,summaryref2!H142,"")))))))))))</f>
        <v>#REF!</v>
      </c>
      <c r="AS239" s="1110" t="e">
        <f>IF('A-80 DirEntInv'!#REF!&lt;&gt;"",'A-80 DirEntInv'!#REF!,IF(AK239=summaryref2!B16,summaryref2!I16,IF(Summary!AK239=summaryref2!B30,summaryref2!I30,IF(AK239=summaryref2!B44,summaryref2!I44,IF(AK239=summaryref2!B58,summaryref2!I58,IF(AK239=summaryref2!B72,summaryref2!I72,IF(AK239=summaryref2!B86,summaryref2!I86,IF(AK239=summaryref2!B100,summaryref2!I100,IF(AK239=summaryref2!B114,summaryref2!I114,IF(AK239=summaryref2!B128,summaryref2!I128,IF(AK239=summaryref2!B142,summaryref2!I142,"")))))))))))</f>
        <v>#REF!</v>
      </c>
      <c r="AT239" s="1110" t="e">
        <f>IF('A-80 DirEntInv'!#REF!&lt;&gt;"",'A-80 DirEntInv'!#REF!,IF(AK239=summaryref2!B16,summaryref2!J16,IF(Summary!AK239=summaryref2!B30,summaryref2!J30,IF(AK239=summaryref2!B44,summaryref2!J44,IF(AK239=summaryref2!B58,summaryref2!J58,IF(AK239=summaryref2!B72,summaryref2!J72,IF(AK239=summaryref2!B86,summaryref2!J86,IF(AK239=summaryref2!B100,summaryref2!J100,IF(AK239=summaryref2!B114,summaryref2!J114,IF(AK239=summaryref2!B128,summaryref2!J128,IF(AK239=summaryref2!B142,summaryref2!J142,"")))))))))))</f>
        <v>#REF!</v>
      </c>
      <c r="AU239" s="1110" t="e">
        <f>IF('A-80 DirEntInv'!#REF!&lt;&gt;"",'A-80 DirEntInv'!#REF!,IF(AK239=summaryref2!B16,summaryref2!K16,IF(Summary!AK239=summaryref2!B30,summaryref2!K30,IF(AK239=summaryref2!B44,summaryref2!K44,IF(AK239=summaryref2!B58,summaryref2!K58,IF(AK239=summaryref2!B72,summaryref2!K72,IF(AK239=summaryref2!B86,summaryref2!K86,IF(AK239=summaryref2!B100,summaryref2!K100,IF(AK239=summaryref2!B114,summaryref2!K114,IF(AK239=summaryref2!B128,summaryref2!K128,IF(AK239=summaryref2!B142,summaryref2!K142,"")))))))))))</f>
        <v>#REF!</v>
      </c>
      <c r="AV239" s="1110" t="e">
        <f>IF('A-80 DirEntInv'!#REF!&lt;&gt;"",'A-80 DirEntInv'!#REF!,IF(AK239=summaryref2!B16,summaryref2!L16,IF(Summary!AK239=summaryref2!B30,summaryref2!L30,IF(AK239=summaryref2!B44,summaryref2!L44,IF(AK239=summaryref2!B58,summaryref2!L58,IF(AK239=summaryref2!B72,summaryref2!L72,IF(AK239=summaryref2!B86,summaryref2!L86,IF(AK239=summaryref2!B100,summaryref2!L100,IF(AK239=summaryref2!B114,summaryref2!L114,IF(AK239=summaryref2!B128,summaryref2!L128,IF(AK239=summaryref2!B142,summaryref2!L142,"")))))))))))</f>
        <v>#REF!</v>
      </c>
      <c r="AW239" s="1110" t="e">
        <f>IF('A-80 DirEntInv'!#REF!&lt;&gt;"",'A-80 DirEntInv'!#REF!,IF(AK239=summaryref2!B16,summaryref2!M16,IF(Summary!AK239=summaryref2!B30,summaryref2!M30,IF(AK239=summaryref2!B44,summaryref2!M44,IF(AK239=summaryref2!B58,summaryref2!M58,IF(AK239=summaryref2!B72,summaryref2!M72,IF(AK239=summaryref2!B86,summaryref2!M86,IF(AK239=summaryref2!B100,summaryref2!M100,IF(AK239=summaryref2!B114,summaryref2!M114,IF(AK239=summaryref2!B128,summaryref2!M128,IF(AK239=summaryref2!B142,summaryref2!M142,"")))))))))))</f>
        <v>#REF!</v>
      </c>
      <c r="AX239" s="1110" t="e">
        <f>IF('A-80 DirEntInv'!#REF!&lt;&gt;"",'A-80 DirEntInv'!#REF!,IF(AK239=summaryref2!B16,summaryref2!N16,IF(Summary!AK239=summaryref2!B30,summaryref2!N30,IF(AK239=summaryref2!B44,summaryref2!N44,IF(AK239=summaryref2!B58,summaryref2!N58,IF(AK239=summaryref2!B72,summaryref2!N72,IF(AK239=summaryref2!B86,summaryref2!N86,IF(AK239=summaryref2!B100,summaryref2!N100,IF(AK239=summaryref2!B114,summaryref2!N114,IF(AK239=summaryref2!B128,summaryref2!N128,IF(AK239=summaryref2!B142,summaryref2!N142,"")))))))))))</f>
        <v>#REF!</v>
      </c>
      <c r="AY239" s="1110" t="e">
        <f>IF('A-80 DirEntInv'!#REF!&lt;&gt;"",'A-80 DirEntInv'!#REF!,IF(AK239=summaryref2!B16,summaryref2!O16,IF(Summary!AK239=summaryref2!B30,summaryref2!O30,IF(AK239=summaryref2!B44,summaryref2!O44,IF(AK239=summaryref2!B58,summaryref2!O58,IF(AK239=summaryref2!B72,summaryref2!O72,IF(AK239=summaryref2!B86,summaryref2!O86,IF(AK239=summaryref2!B100,summaryref2!O100,IF(AK239=summaryref2!B114,summaryref2!O114,IF(AK239=summaryref2!B128,summaryref2!O128,IF(AK239=summaryref2!B142,summaryref2!O142,"")))))))))))</f>
        <v>#REF!</v>
      </c>
      <c r="AZ239" s="1110" t="e">
        <f>IF('A-80 DirEntInv'!#REF!&lt;&gt;"",'A-80 DirEntInv'!#REF!,IF(AK239=summaryref2!B16,summaryref2!P16,IF(Summary!AK239=summaryref2!B30,summaryref2!P30,IF(AK239=summaryref2!B44,summaryref2!P44,IF(AK239=summaryref2!B58,summaryref2!P58,IF(AK239=summaryref2!B72,summaryref2!P72,IF(AK239=summaryref2!B86,summaryref2!P86,IF(AK239=summaryref2!B100,summaryref2!P100,IF(AK239=summaryref2!B114,summaryref2!P114,IF(AK239=summaryref2!B128,summaryref2!P128,IF(AK239=summaryref2!B142,summaryref2!P142,"")))))))))))</f>
        <v>#REF!</v>
      </c>
      <c r="BA239" s="1110" t="e">
        <f>IF('A-80 DirEntInv'!#REF!&lt;&gt;"",'A-80 DirEntInv'!#REF!,IF(AK239=summaryref2!B16,summaryref2!Q16,IF(Summary!AK239=summaryref2!B30,summaryref2!Q30,IF(AK239=summaryref2!B44,summaryref2!Q44,IF(AK239=summaryref2!B58,summaryref2!Q58,IF(AK239=summaryref2!B72,summaryref2!Q72,IF(AK239=summaryref2!B86,summaryref2!Q86,IF(AK239=summaryref2!B100,summaryref2!Q100,IF(AK239=summaryref2!B114,summaryref2!Q114,IF(AK239=summaryref2!B128,summaryref2!Q128,IF(AK239=summaryref2!B142,summaryref2!Q142,"")))))))))))</f>
        <v>#REF!</v>
      </c>
      <c r="BB239" s="1110" t="e">
        <f>IF('A-80 DirEntInv'!#REF!&lt;&gt;"",'A-80 DirEntInv'!#REF!,IF(AK239=summaryref2!B16,summaryref2!R16,IF(Summary!AK239=summaryref2!B30,summaryref2!R30,IF(AK239=summaryref2!B44,summaryref2!R44,IF(AK239=summaryref2!B58,summaryref2!R58,IF(AK239=summaryref2!B72,summaryref2!R72,IF(AK239=summaryref2!B86,summaryref2!R86,IF(AK239=summaryref2!B100,summaryref2!R100,IF(AK239=summaryref2!B114,summaryref2!R114,IF(AK239=summaryref2!B128,summaryref2!R128,IF(AK239=summaryref2!B142,summaryref2!R142,"")))))))))))</f>
        <v>#REF!</v>
      </c>
      <c r="BC239" s="1110" t="e">
        <f>IF('A-80 DirEntInv'!#REF!&lt;&gt;0,'A-80 DirEntInv'!#REF!,IF(AK239=summaryref2!B16,summaryref2!S16,IF(Summary!AK239=summaryref2!B30,summaryref2!S30,IF(AK239=summaryref2!B44,summaryref2!S44,IF(AK239=summaryref2!B58,summaryref2!S58,IF(AK239=summaryref2!B72,summaryref2!S72,IF(AK239=summaryref2!B86,summaryref2!S86,IF(AK239=summaryref2!B100,summaryref2!S100,IF(AK239=summaryref2!B114,summaryref2!S114,IF(AK239=summaryref2!B128,summaryref2!S128,IF(AK239=summaryref2!B142,summaryref2!S142,"")))))))))))</f>
        <v>#REF!</v>
      </c>
      <c r="BD239" s="1111" t="e">
        <f>IF('A-80 DirEntInv'!#REF!&lt;&gt;"",'A-80 DirEntInv'!#REF!,IF(AK239=summaryref2!B16,summaryref2!T16,IF(Summary!AK239=summaryref2!B30,summaryref2!T30,IF(AK239=summaryref2!B44,summaryref2!T44,IF(AK239=summaryref2!B58,summaryref2!T58,IF(AK239=summaryref2!B72,summaryref2!T72,IF(AK239=summaryref2!B86,summaryref2!T86,IF(AK239=summaryref2!B100,summaryref2!T100,IF(AK239=summaryref2!B114,summaryref2!T114,IF(AK239=summaryref2!B128,summaryref2!T128,IF(AK239=summaryref2!B142,summaryref2!T142,"")))))))))))</f>
        <v>#REF!</v>
      </c>
      <c r="BE239" s="1184" t="e">
        <f>IF('A-80 DirEntInv'!#REF!&lt;&gt;"",'A-80 DirEntInv'!#REF!,IF(AK239=summaryref2!B16,summaryref2!U16,IF(Summary!AK239=summaryref2!B30,summaryref2!U30,IF(AK239=summaryref2!B44,summaryref2!U44,IF(AK239=summaryref2!B58,summaryref2!U58,IF(AK239=summaryref2!B72,summaryref2!U72,IF(AK239=summaryref2!B86,summaryref2!U86,IF(AK239=summaryref2!B100,summaryref2!U100,IF(AK239=summaryref2!B114,summaryref2!U114,IF(AK239=summaryref2!B128,summaryref2!U128,IF(AK239=summaryref2!B142,summaryref2!U142,"")))))))))))</f>
        <v>#REF!</v>
      </c>
      <c r="BF239" s="1432"/>
      <c r="BG239" s="1432"/>
      <c r="BU239" s="962"/>
      <c r="CD239" s="589"/>
      <c r="CE239" s="590"/>
      <c r="CF239" s="590"/>
      <c r="CG239" s="590"/>
      <c r="CH239" s="590"/>
      <c r="CI239" s="590"/>
      <c r="CJ239" s="589"/>
      <c r="CK239" s="589"/>
      <c r="CL239" s="589"/>
      <c r="CM239" s="587"/>
      <c r="CN239" s="587"/>
      <c r="CO239" s="589"/>
      <c r="CP239" s="587"/>
      <c r="CQ239" s="592"/>
      <c r="CR239" s="589"/>
      <c r="CS239" s="592"/>
      <c r="CT239" s="589"/>
      <c r="CU239" s="589"/>
      <c r="CV239" s="589"/>
      <c r="CW239" s="587"/>
      <c r="CX239" s="590"/>
      <c r="CY239" s="590"/>
      <c r="CZ239" s="590"/>
      <c r="DA239" s="1054"/>
      <c r="DB239" s="1054"/>
      <c r="DC239" s="587"/>
      <c r="DD239" s="587"/>
    </row>
    <row r="240" spans="1:108" s="588" customFormat="1" x14ac:dyDescent="0.2">
      <c r="A240" s="589">
        <f t="shared" si="3"/>
        <v>230</v>
      </c>
      <c r="B240" s="587"/>
      <c r="C240" s="587"/>
      <c r="D240" s="587"/>
      <c r="J240" s="589"/>
      <c r="K240" s="590"/>
      <c r="L240" s="591"/>
      <c r="M240" s="592"/>
      <c r="N240" s="589"/>
      <c r="O240" s="587"/>
      <c r="R240" s="1052"/>
      <c r="S240" s="1052"/>
      <c r="T240" s="1052"/>
      <c r="U240" s="1052"/>
      <c r="V240" s="1052"/>
      <c r="W240" s="1053"/>
      <c r="X240" s="1053"/>
      <c r="Y240" s="1053"/>
      <c r="Z240" s="1052"/>
      <c r="AA240" s="1052"/>
      <c r="AB240" s="962"/>
      <c r="AC240" s="590"/>
      <c r="AD240" s="590"/>
      <c r="AE240" s="591"/>
      <c r="AF240" s="592"/>
      <c r="AG240" s="1053"/>
      <c r="AH240" s="587"/>
      <c r="AK240" s="1041" t="str">
        <f>Codes!$C$172</f>
        <v>TR - Aerial Tramway (PT)</v>
      </c>
      <c r="AL240" s="1042" t="str">
        <f>Valid!$B$76</f>
        <v>Below-Grade/Retained Cut</v>
      </c>
      <c r="AM240" s="1108" t="e">
        <f>IF('A-80 DirEntInv'!#REF!&lt;&gt;"",'A-80 DirEntInv'!#REF!,IF(AK240=summaryref2!B17,summaryref2!D17,IF(Summary!AK240=summaryref2!B31,summaryref2!D31,IF(AK240=summaryref2!B45,summaryref2!D45,IF(AK240=summaryref2!B59,summaryref2!D59,IF(AK240=summaryref2!B73,summaryref2!D73,IF(AK240=summaryref2!B87,summaryref2!D87,IF(AK240=summaryref2!B101,summaryref2!D101,IF(AK240=summaryref2!B115,summaryref2!D115,IF(AK240=summaryref2!B129,summaryref2!D129,IF(AK240=summaryref2!B143,summaryref2!D143,"")))))))))))</f>
        <v>#REF!</v>
      </c>
      <c r="AN240" s="1109" t="e">
        <f ca="1">IF('A-80 DirEntInv'!#REF!&lt;&gt;"",'A-80 DirEntInv'!#REF!,IF(INDIRECT(ADDRESS(SumRef!CG304,SumRef!CG$16,,,SumRef!$C$7))="","",INDIRECT(ADDRESS(SumRef!CG304,SumRef!CG$16,,,SumRef!$C$7))))</f>
        <v>#REF!</v>
      </c>
      <c r="AO240" s="1108" t="e">
        <f>IF('A-80 DirEntInv'!#REF!&lt;&gt;"",'A-80 DirEntInv'!#REF!,IF(AK240=summaryref2!B17,summaryref2!F17,IF(Summary!AK240=summaryref2!B31,summaryref2!F31,IF(AK240=summaryref2!B45,summaryref2!F45,IF(AK240=summaryref2!B59,summaryref2!F59,IF(AK240=summaryref2!B73,summaryref2!F73,IF(AK240=summaryref2!B87,summaryref2!F87,IF(AK240=summaryref2!B101,summaryref2!F101,IF(AK240=summaryref2!B115,summaryref2!F115,IF(AK240=summaryref2!B129,summaryref2!F129,IF(AK240=summaryref2!B143,summaryref2!F143,"")))))))))))</f>
        <v>#REF!</v>
      </c>
      <c r="AP240" s="1109" t="e">
        <f ca="1">IF('A-80 DirEntInv'!#REF!&lt;&gt;"",'A-80 DirEntInv'!#REF!,IF(INDIRECT(ADDRESS(SumRef!#REF!,SumRef!#REF!,,,SumRef!$C$7))="","",INDIRECT(ADDRESS(SumRef!#REF!,SumRef!#REF!,,,SumRef!$C$7))))</f>
        <v>#REF!</v>
      </c>
      <c r="AQ240" s="1147" t="e">
        <f>IF('A-80 DirEntInv'!#REF!&lt;&gt;"",'A-80 DirEntInv'!#REF!,IF(AK240=summaryref2!B17,summaryref2!G17,IF(Summary!AK240=summaryref2!B31,summaryref2!G31,IF(AK240=summaryref2!B45,summaryref2!G45,IF(AK240=summaryref2!B59,summaryref2!G59,IF(AK240=summaryref2!B73,summaryref2!G73,IF(AK240=summaryref2!B87,summaryref2!G87,IF(AK240=summaryref2!B101,summaryref2!G101,IF(AK240=summaryref2!B115,summaryref2!G115,IF(AK240=summaryref2!B129,summaryref2!G129,IF(AK240=summaryref2!B143,summaryref2!G143,"")))))))))))</f>
        <v>#REF!</v>
      </c>
      <c r="AR240" s="1147" t="e">
        <f>IF('A-80 DirEntInv'!#REF!&lt;&gt;"",'A-80 DirEntInv'!#REF!,IF(AK240=summaryref2!B17,summaryref2!H17,IF(Summary!AK240=summaryref2!B31,summaryref2!H31,IF(AK240=summaryref2!B45,summaryref2!H45,IF(AK240=summaryref2!B59,summaryref2!H59,IF(AK240=summaryref2!B73,summaryref2!H73,IF(AK240=summaryref2!B87,summaryref2!H87,IF(AK240=summaryref2!B101,summaryref2!H101,IF(AK240=summaryref2!B115,summaryref2!H115,IF(AK240=summaryref2!B129,summaryref2!H129,IF(AK240=summaryref2!B143,summaryref2!H143,"")))))))))))</f>
        <v>#REF!</v>
      </c>
      <c r="AS240" s="1110" t="e">
        <f>IF('A-80 DirEntInv'!#REF!&lt;&gt;"",'A-80 DirEntInv'!#REF!,IF(AK240=summaryref2!B17,summaryref2!I17,IF(Summary!AK240=summaryref2!B31,summaryref2!I31,IF(AK240=summaryref2!B45,summaryref2!I45,IF(AK240=summaryref2!B59,summaryref2!I59,IF(AK240=summaryref2!B73,summaryref2!I73,IF(AK240=summaryref2!B87,summaryref2!I87,IF(AK240=summaryref2!B101,summaryref2!I101,IF(AK240=summaryref2!B115,summaryref2!I115,IF(AK240=summaryref2!B129,summaryref2!I129,IF(AK240=summaryref2!B143,summaryref2!I143,"")))))))))))</f>
        <v>#REF!</v>
      </c>
      <c r="AT240" s="1110" t="e">
        <f>IF('A-80 DirEntInv'!#REF!&lt;&gt;"",'A-80 DirEntInv'!#REF!,IF(AK240=summaryref2!B17,summaryref2!J17,IF(Summary!AK240=summaryref2!B31,summaryref2!J31,IF(AK240=summaryref2!B45,summaryref2!J45,IF(AK240=summaryref2!B59,summaryref2!J59,IF(AK240=summaryref2!B73,summaryref2!J73,IF(AK240=summaryref2!B87,summaryref2!J87,IF(AK240=summaryref2!B101,summaryref2!J101,IF(AK240=summaryref2!B115,summaryref2!J115,IF(AK240=summaryref2!B129,summaryref2!J129,IF(AK240=summaryref2!B143,summaryref2!J143,"")))))))))))</f>
        <v>#REF!</v>
      </c>
      <c r="AU240" s="1110" t="e">
        <f>IF('A-80 DirEntInv'!#REF!&lt;&gt;"",'A-80 DirEntInv'!#REF!,IF(AK240=summaryref2!B17,summaryref2!K17,IF(Summary!AK240=summaryref2!B31,summaryref2!K31,IF(AK240=summaryref2!B45,summaryref2!K45,IF(AK240=summaryref2!B59,summaryref2!K59,IF(AK240=summaryref2!B73,summaryref2!K73,IF(AK240=summaryref2!B87,summaryref2!K87,IF(AK240=summaryref2!B101,summaryref2!K101,IF(AK240=summaryref2!B115,summaryref2!K115,IF(AK240=summaryref2!B129,summaryref2!K129,IF(AK240=summaryref2!B143,summaryref2!K143,"")))))))))))</f>
        <v>#REF!</v>
      </c>
      <c r="AV240" s="1110" t="e">
        <f>IF('A-80 DirEntInv'!#REF!&lt;&gt;"",'A-80 DirEntInv'!#REF!,IF(AK240=summaryref2!B17,summaryref2!L17,IF(Summary!AK240=summaryref2!B31,summaryref2!L31,IF(AK240=summaryref2!B45,summaryref2!L45,IF(AK240=summaryref2!B59,summaryref2!L59,IF(AK240=summaryref2!B73,summaryref2!L73,IF(AK240=summaryref2!B87,summaryref2!L87,IF(AK240=summaryref2!B101,summaryref2!L101,IF(AK240=summaryref2!B115,summaryref2!L115,IF(AK240=summaryref2!B129,summaryref2!L129,IF(AK240=summaryref2!B143,summaryref2!L143,"")))))))))))</f>
        <v>#REF!</v>
      </c>
      <c r="AW240" s="1110" t="e">
        <f>IF('A-80 DirEntInv'!#REF!&lt;&gt;"",'A-80 DirEntInv'!#REF!,IF(AK240=summaryref2!B17,summaryref2!M17,IF(Summary!AK240=summaryref2!B31,summaryref2!M31,IF(AK240=summaryref2!B45,summaryref2!M45,IF(AK240=summaryref2!B59,summaryref2!M59,IF(AK240=summaryref2!B73,summaryref2!M73,IF(AK240=summaryref2!B87,summaryref2!M87,IF(AK240=summaryref2!B101,summaryref2!M101,IF(AK240=summaryref2!B115,summaryref2!M115,IF(AK240=summaryref2!B129,summaryref2!M129,IF(AK240=summaryref2!B143,summaryref2!M143,"")))))))))))</f>
        <v>#REF!</v>
      </c>
      <c r="AX240" s="1110" t="e">
        <f>IF('A-80 DirEntInv'!#REF!&lt;&gt;"",'A-80 DirEntInv'!#REF!,IF(AK240=summaryref2!B17,summaryref2!N17,IF(Summary!AK240=summaryref2!B31,summaryref2!N31,IF(AK240=summaryref2!B45,summaryref2!N45,IF(AK240=summaryref2!B59,summaryref2!N59,IF(AK240=summaryref2!B73,summaryref2!N73,IF(AK240=summaryref2!B87,summaryref2!N87,IF(AK240=summaryref2!B101,summaryref2!N101,IF(AK240=summaryref2!B115,summaryref2!N115,IF(AK240=summaryref2!B129,summaryref2!N129,IF(AK240=summaryref2!B143,summaryref2!N143,"")))))))))))</f>
        <v>#REF!</v>
      </c>
      <c r="AY240" s="1110" t="e">
        <f>IF('A-80 DirEntInv'!#REF!&lt;&gt;"",'A-80 DirEntInv'!#REF!,IF(AK240=summaryref2!B17,summaryref2!O17,IF(Summary!AK240=summaryref2!B31,summaryref2!O31,IF(AK240=summaryref2!B45,summaryref2!O45,IF(AK240=summaryref2!B59,summaryref2!O59,IF(AK240=summaryref2!B73,summaryref2!O73,IF(AK240=summaryref2!B87,summaryref2!O87,IF(AK240=summaryref2!B101,summaryref2!O101,IF(AK240=summaryref2!B115,summaryref2!O115,IF(AK240=summaryref2!B129,summaryref2!O129,IF(AK240=summaryref2!B143,summaryref2!O143,"")))))))))))</f>
        <v>#REF!</v>
      </c>
      <c r="AZ240" s="1110" t="e">
        <f>IF('A-80 DirEntInv'!#REF!&lt;&gt;"",'A-80 DirEntInv'!#REF!,IF(AK240=summaryref2!B17,summaryref2!P17,IF(Summary!AK240=summaryref2!B31,summaryref2!P31,IF(AK240=summaryref2!B45,summaryref2!P45,IF(AK240=summaryref2!B59,summaryref2!P59,IF(AK240=summaryref2!B73,summaryref2!P73,IF(AK240=summaryref2!B87,summaryref2!P87,IF(AK240=summaryref2!B101,summaryref2!P101,IF(AK240=summaryref2!B115,summaryref2!P115,IF(AK240=summaryref2!B129,summaryref2!P129,IF(AK240=summaryref2!B143,summaryref2!P143,"")))))))))))</f>
        <v>#REF!</v>
      </c>
      <c r="BA240" s="1110" t="e">
        <f>IF('A-80 DirEntInv'!#REF!&lt;&gt;"",'A-80 DirEntInv'!#REF!,IF(AK240=summaryref2!B17,summaryref2!Q17,IF(Summary!AK240=summaryref2!B31,summaryref2!Q31,IF(AK240=summaryref2!B45,summaryref2!Q45,IF(AK240=summaryref2!B59,summaryref2!Q59,IF(AK240=summaryref2!B73,summaryref2!Q73,IF(AK240=summaryref2!B87,summaryref2!Q87,IF(AK240=summaryref2!B101,summaryref2!Q101,IF(AK240=summaryref2!B115,summaryref2!Q115,IF(AK240=summaryref2!B129,summaryref2!Q129,IF(AK240=summaryref2!B143,summaryref2!Q143,"")))))))))))</f>
        <v>#REF!</v>
      </c>
      <c r="BB240" s="1110" t="e">
        <f>IF('A-80 DirEntInv'!#REF!&lt;&gt;"",'A-80 DirEntInv'!#REF!,IF(AK240=summaryref2!B17,summaryref2!R17,IF(Summary!AK240=summaryref2!B31,summaryref2!R31,IF(AK240=summaryref2!B45,summaryref2!R45,IF(AK240=summaryref2!B59,summaryref2!R59,IF(AK240=summaryref2!B73,summaryref2!R73,IF(AK240=summaryref2!B87,summaryref2!R87,IF(AK240=summaryref2!B101,summaryref2!R101,IF(AK240=summaryref2!B115,summaryref2!R115,IF(AK240=summaryref2!B129,summaryref2!R129,IF(AK240=summaryref2!B143,summaryref2!R143,"")))))))))))</f>
        <v>#REF!</v>
      </c>
      <c r="BC240" s="1110" t="e">
        <f>IF('A-80 DirEntInv'!#REF!&lt;&gt;0,'A-80 DirEntInv'!#REF!,IF(AK240=summaryref2!B17,summaryref2!S17,IF(Summary!AK240=summaryref2!B31,summaryref2!S31,IF(AK240=summaryref2!B45,summaryref2!S45,IF(AK240=summaryref2!B59,summaryref2!S59,IF(AK240=summaryref2!B73,summaryref2!S73,IF(AK240=summaryref2!B87,summaryref2!S87,IF(AK240=summaryref2!B101,summaryref2!S101,IF(AK240=summaryref2!B115,summaryref2!S115,IF(AK240=summaryref2!B129,summaryref2!S129,IF(AK240=summaryref2!B143,summaryref2!S143,"")))))))))))</f>
        <v>#REF!</v>
      </c>
      <c r="BD240" s="1111" t="e">
        <f>IF('A-80 DirEntInv'!#REF!&lt;&gt;"",'A-80 DirEntInv'!#REF!,IF(AK240=summaryref2!B17,summaryref2!T17,IF(Summary!AK240=summaryref2!B31,summaryref2!T31,IF(AK240=summaryref2!B45,summaryref2!T45,IF(AK240=summaryref2!B59,summaryref2!T59,IF(AK240=summaryref2!B73,summaryref2!T73,IF(AK240=summaryref2!B87,summaryref2!T87,IF(AK240=summaryref2!B101,summaryref2!T101,IF(AK240=summaryref2!B115,summaryref2!T115,IF(AK240=summaryref2!B129,summaryref2!T129,IF(AK240=summaryref2!B143,summaryref2!T143,"")))))))))))</f>
        <v>#REF!</v>
      </c>
      <c r="BE240" s="1184" t="e">
        <f>IF('A-80 DirEntInv'!#REF!&lt;&gt;"",'A-80 DirEntInv'!#REF!,IF(AK240=summaryref2!B17,summaryref2!U17,IF(Summary!AK240=summaryref2!B31,summaryref2!U31,IF(AK240=summaryref2!B45,summaryref2!U45,IF(AK240=summaryref2!B59,summaryref2!U59,IF(AK240=summaryref2!B73,summaryref2!U73,IF(AK240=summaryref2!B87,summaryref2!U87,IF(AK240=summaryref2!B101,summaryref2!U101,IF(AK240=summaryref2!B115,summaryref2!U115,IF(AK240=summaryref2!B129,summaryref2!U129,IF(AK240=summaryref2!B143,summaryref2!U143,"")))))))))))</f>
        <v>#REF!</v>
      </c>
      <c r="BF240" s="1432"/>
      <c r="BG240" s="1432"/>
      <c r="BU240" s="962"/>
      <c r="CD240" s="589"/>
      <c r="CE240" s="590"/>
      <c r="CF240" s="590"/>
      <c r="CG240" s="590"/>
      <c r="CH240" s="590"/>
      <c r="CI240" s="590"/>
      <c r="CJ240" s="589"/>
      <c r="CK240" s="589"/>
      <c r="CL240" s="589"/>
      <c r="CM240" s="587"/>
      <c r="CN240" s="587"/>
      <c r="CO240" s="589"/>
      <c r="CP240" s="587"/>
      <c r="CQ240" s="592"/>
      <c r="CR240" s="589"/>
      <c r="CS240" s="592"/>
      <c r="CT240" s="589"/>
      <c r="CU240" s="589"/>
      <c r="CV240" s="589"/>
      <c r="CW240" s="587"/>
      <c r="CX240" s="590"/>
      <c r="CY240" s="590"/>
      <c r="CZ240" s="590"/>
      <c r="DA240" s="1054"/>
      <c r="DB240" s="1054"/>
      <c r="DC240" s="587"/>
      <c r="DD240" s="587"/>
    </row>
    <row r="241" spans="1:108" s="588" customFormat="1" x14ac:dyDescent="0.2">
      <c r="A241" s="589">
        <f t="shared" si="3"/>
        <v>231</v>
      </c>
      <c r="B241" s="587"/>
      <c r="C241" s="587"/>
      <c r="D241" s="587"/>
      <c r="J241" s="589"/>
      <c r="K241" s="590"/>
      <c r="L241" s="591"/>
      <c r="M241" s="592"/>
      <c r="N241" s="589"/>
      <c r="O241" s="587"/>
      <c r="R241" s="1052"/>
      <c r="S241" s="1052"/>
      <c r="T241" s="1052"/>
      <c r="U241" s="1052"/>
      <c r="V241" s="1052"/>
      <c r="W241" s="1053"/>
      <c r="X241" s="1053"/>
      <c r="Y241" s="1053"/>
      <c r="Z241" s="1052"/>
      <c r="AA241" s="1052"/>
      <c r="AB241" s="962"/>
      <c r="AC241" s="590"/>
      <c r="AD241" s="590"/>
      <c r="AE241" s="591"/>
      <c r="AF241" s="592"/>
      <c r="AG241" s="1053"/>
      <c r="AH241" s="587"/>
      <c r="AK241" s="1041" t="str">
        <f>Codes!$C$172</f>
        <v>TR - Aerial Tramway (PT)</v>
      </c>
      <c r="AL241" s="1042" t="str">
        <f>Valid!$B$77</f>
        <v>Below-Grade/Cut-and-Cover Tunnel</v>
      </c>
      <c r="AM241" s="1108" t="e">
        <f>IF('A-80 DirEntInv'!#REF!&lt;&gt;"",'A-80 DirEntInv'!#REF!,IF(AK241=summaryref2!B18,summaryref2!D18,IF(Summary!AK241=summaryref2!B32,summaryref2!D32,IF(AK241=summaryref2!B46,summaryref2!D46,IF(AK241=summaryref2!B60,summaryref2!D60,IF(AK241=summaryref2!B74,summaryref2!D74,IF(AK241=summaryref2!B88,summaryref2!D88,IF(AK241=summaryref2!B102,summaryref2!D102,IF(AK241=summaryref2!B116,summaryref2!D116,IF(AK241=summaryref2!B130,summaryref2!D130,IF(AK241=summaryref2!B144,summaryref2!D144,"")))))))))))</f>
        <v>#REF!</v>
      </c>
      <c r="AN241" s="1109" t="e">
        <f ca="1">IF('A-80 DirEntInv'!#REF!&lt;&gt;"",'A-80 DirEntInv'!#REF!,IF(INDIRECT(ADDRESS(SumRef!CG305,SumRef!CG$16,,,SumRef!$C$7))="","",INDIRECT(ADDRESS(SumRef!CG305,SumRef!CG$16,,,SumRef!$C$7))))</f>
        <v>#REF!</v>
      </c>
      <c r="AO241" s="1108" t="e">
        <f>IF('A-80 DirEntInv'!#REF!&lt;&gt;"",'A-80 DirEntInv'!#REF!,IF(AK241=summaryref2!B18,summaryref2!F18,IF(Summary!AK241=summaryref2!B32,summaryref2!F32,IF(AK241=summaryref2!B46,summaryref2!F46,IF(AK241=summaryref2!B60,summaryref2!F60,IF(AK241=summaryref2!B74,summaryref2!F74,IF(AK241=summaryref2!B88,summaryref2!F88,IF(AK241=summaryref2!B102,summaryref2!F102,IF(AK241=summaryref2!B116,summaryref2!F116,IF(AK241=summaryref2!B130,summaryref2!F130,IF(AK241=summaryref2!B144,summaryref2!F144,"")))))))))))</f>
        <v>#REF!</v>
      </c>
      <c r="AP241" s="1109" t="e">
        <f ca="1">IF('A-80 DirEntInv'!#REF!&lt;&gt;"",'A-80 DirEntInv'!#REF!,IF(INDIRECT(ADDRESS(SumRef!#REF!,SumRef!#REF!,,,SumRef!$C$7))="","",INDIRECT(ADDRESS(SumRef!#REF!,SumRef!#REF!,,,SumRef!$C$7))))</f>
        <v>#REF!</v>
      </c>
      <c r="AQ241" s="1147" t="e">
        <f>IF('A-80 DirEntInv'!#REF!&lt;&gt;"",'A-80 DirEntInv'!#REF!,IF(AK241=summaryref2!B18,summaryref2!G18,IF(Summary!AK241=summaryref2!B32,summaryref2!G32,IF(AK241=summaryref2!B46,summaryref2!G46,IF(AK241=summaryref2!B60,summaryref2!G60,IF(AK241=summaryref2!B74,summaryref2!G74,IF(AK241=summaryref2!B88,summaryref2!G88,IF(AK241=summaryref2!B102,summaryref2!G102,IF(AK241=summaryref2!B116,summaryref2!G116,IF(AK241=summaryref2!B130,summaryref2!G130,IF(AK241=summaryref2!B144,summaryref2!G144,"")))))))))))</f>
        <v>#REF!</v>
      </c>
      <c r="AR241" s="1147" t="e">
        <f>IF('A-80 DirEntInv'!#REF!&lt;&gt;"",'A-80 DirEntInv'!#REF!,IF(AK241=summaryref2!B18,summaryref2!H18,IF(Summary!AK241=summaryref2!B32,summaryref2!H32,IF(AK241=summaryref2!B46,summaryref2!H46,IF(AK241=summaryref2!B60,summaryref2!H60,IF(AK241=summaryref2!B74,summaryref2!H74,IF(AK241=summaryref2!B88,summaryref2!H88,IF(AK241=summaryref2!B102,summaryref2!H102,IF(AK241=summaryref2!B116,summaryref2!H116,IF(AK241=summaryref2!B130,summaryref2!H130,IF(AK241=summaryref2!B144,summaryref2!H144,"")))))))))))</f>
        <v>#REF!</v>
      </c>
      <c r="AS241" s="1110" t="e">
        <f>IF('A-80 DirEntInv'!#REF!&lt;&gt;"",'A-80 DirEntInv'!#REF!,IF(AK241=summaryref2!B18,summaryref2!I18,IF(Summary!AK241=summaryref2!B32,summaryref2!I32,IF(AK241=summaryref2!B46,summaryref2!I46,IF(AK241=summaryref2!B60,summaryref2!I60,IF(AK241=summaryref2!B74,summaryref2!I74,IF(AK241=summaryref2!B88,summaryref2!I88,IF(AK241=summaryref2!B102,summaryref2!I102,IF(AK241=summaryref2!B116,summaryref2!I116,IF(AK241=summaryref2!B130,summaryref2!I130,IF(AK241=summaryref2!B144,summaryref2!I144,"")))))))))))</f>
        <v>#REF!</v>
      </c>
      <c r="AT241" s="1110" t="e">
        <f>IF('A-80 DirEntInv'!#REF!&lt;&gt;"",'A-80 DirEntInv'!#REF!,IF(AK241=summaryref2!B18,summaryref2!J18,IF(Summary!AK241=summaryref2!B32,summaryref2!J32,IF(AK241=summaryref2!B46,summaryref2!J46,IF(AK241=summaryref2!B60,summaryref2!J60,IF(AK241=summaryref2!B74,summaryref2!J74,IF(AK241=summaryref2!B88,summaryref2!J88,IF(AK241=summaryref2!B102,summaryref2!J102,IF(AK241=summaryref2!B116,summaryref2!J116,IF(AK241=summaryref2!B130,summaryref2!J130,IF(AK241=summaryref2!B144,summaryref2!J144,"")))))))))))</f>
        <v>#REF!</v>
      </c>
      <c r="AU241" s="1110" t="e">
        <f>IF('A-80 DirEntInv'!#REF!&lt;&gt;"",'A-80 DirEntInv'!#REF!,IF(AK241=summaryref2!B18,summaryref2!K18,IF(Summary!AK241=summaryref2!B32,summaryref2!K32,IF(AK241=summaryref2!B46,summaryref2!K46,IF(AK241=summaryref2!B60,summaryref2!K60,IF(AK241=summaryref2!B74,summaryref2!K74,IF(AK241=summaryref2!B88,summaryref2!K88,IF(AK241=summaryref2!B102,summaryref2!K102,IF(AK241=summaryref2!B116,summaryref2!K116,IF(AK241=summaryref2!B130,summaryref2!K130,IF(AK241=summaryref2!B144,summaryref2!K144,"")))))))))))</f>
        <v>#REF!</v>
      </c>
      <c r="AV241" s="1110" t="e">
        <f>IF('A-80 DirEntInv'!#REF!&lt;&gt;"",'A-80 DirEntInv'!#REF!,IF(AK241=summaryref2!B18,summaryref2!L18,IF(Summary!AK241=summaryref2!B32,summaryref2!L32,IF(AK241=summaryref2!B46,summaryref2!L46,IF(AK241=summaryref2!B60,summaryref2!L60,IF(AK241=summaryref2!B74,summaryref2!L74,IF(AK241=summaryref2!B88,summaryref2!L88,IF(AK241=summaryref2!B102,summaryref2!L102,IF(AK241=summaryref2!B116,summaryref2!L116,IF(AK241=summaryref2!B130,summaryref2!L130,IF(AK241=summaryref2!B144,summaryref2!L144,"")))))))))))</f>
        <v>#REF!</v>
      </c>
      <c r="AW241" s="1110" t="e">
        <f>IF('A-80 DirEntInv'!#REF!&lt;&gt;"",'A-80 DirEntInv'!#REF!,IF(AK241=summaryref2!B18,summaryref2!M18,IF(Summary!AK241=summaryref2!B32,summaryref2!M32,IF(AK241=summaryref2!B46,summaryref2!M46,IF(AK241=summaryref2!B60,summaryref2!M60,IF(AK241=summaryref2!B74,summaryref2!M74,IF(AK241=summaryref2!B88,summaryref2!M88,IF(AK241=summaryref2!B102,summaryref2!M102,IF(AK241=summaryref2!B116,summaryref2!M116,IF(AK241=summaryref2!B130,summaryref2!M130,IF(AK241=summaryref2!B144,summaryref2!M144,"")))))))))))</f>
        <v>#REF!</v>
      </c>
      <c r="AX241" s="1110" t="e">
        <f>IF('A-80 DirEntInv'!#REF!&lt;&gt;"",'A-80 DirEntInv'!#REF!,IF(AK241=summaryref2!B18,summaryref2!N18,IF(Summary!AK241=summaryref2!B32,summaryref2!N32,IF(AK241=summaryref2!B46,summaryref2!N46,IF(AK241=summaryref2!B60,summaryref2!N60,IF(AK241=summaryref2!B74,summaryref2!N74,IF(AK241=summaryref2!B88,summaryref2!N88,IF(AK241=summaryref2!B102,summaryref2!N102,IF(AK241=summaryref2!B116,summaryref2!N116,IF(AK241=summaryref2!B130,summaryref2!N130,IF(AK241=summaryref2!B144,summaryref2!N144,"")))))))))))</f>
        <v>#REF!</v>
      </c>
      <c r="AY241" s="1110" t="e">
        <f>IF('A-80 DirEntInv'!#REF!&lt;&gt;"",'A-80 DirEntInv'!#REF!,IF(AK241=summaryref2!B18,summaryref2!O18,IF(Summary!AK241=summaryref2!B32,summaryref2!O32,IF(AK241=summaryref2!B46,summaryref2!O46,IF(AK241=summaryref2!B60,summaryref2!O60,IF(AK241=summaryref2!B74,summaryref2!O74,IF(AK241=summaryref2!B88,summaryref2!O88,IF(AK241=summaryref2!B102,summaryref2!O102,IF(AK241=summaryref2!B116,summaryref2!O116,IF(AK241=summaryref2!B130,summaryref2!O130,IF(AK241=summaryref2!B144,summaryref2!O144,"")))))))))))</f>
        <v>#REF!</v>
      </c>
      <c r="AZ241" s="1110" t="e">
        <f>IF('A-80 DirEntInv'!#REF!&lt;&gt;"",'A-80 DirEntInv'!#REF!,IF(AK241=summaryref2!B18,summaryref2!P18,IF(Summary!AK241=summaryref2!B32,summaryref2!P32,IF(AK241=summaryref2!B46,summaryref2!P46,IF(AK241=summaryref2!B60,summaryref2!P60,IF(AK241=summaryref2!B74,summaryref2!P74,IF(AK241=summaryref2!B88,summaryref2!P88,IF(AK241=summaryref2!B102,summaryref2!P102,IF(AK241=summaryref2!B116,summaryref2!P116,IF(AK241=summaryref2!B130,summaryref2!P130,IF(AK241=summaryref2!B144,summaryref2!P144,"")))))))))))</f>
        <v>#REF!</v>
      </c>
      <c r="BA241" s="1110" t="e">
        <f>IF('A-80 DirEntInv'!#REF!&lt;&gt;"",'A-80 DirEntInv'!#REF!,IF(AK241=summaryref2!B18,summaryref2!Q18,IF(Summary!AK241=summaryref2!B32,summaryref2!Q32,IF(AK241=summaryref2!B46,summaryref2!Q46,IF(AK241=summaryref2!B60,summaryref2!Q60,IF(AK241=summaryref2!B74,summaryref2!Q74,IF(AK241=summaryref2!B88,summaryref2!Q88,IF(AK241=summaryref2!B102,summaryref2!Q102,IF(AK241=summaryref2!B116,summaryref2!Q116,IF(AK241=summaryref2!B130,summaryref2!Q130,IF(AK241=summaryref2!B144,summaryref2!Q144,"")))))))))))</f>
        <v>#REF!</v>
      </c>
      <c r="BB241" s="1110" t="e">
        <f>IF('A-80 DirEntInv'!#REF!&lt;&gt;"",'A-80 DirEntInv'!#REF!,IF(AK241=summaryref2!B18,summaryref2!R18,IF(Summary!AK241=summaryref2!B32,summaryref2!R32,IF(AK241=summaryref2!B46,summaryref2!R46,IF(AK241=summaryref2!B60,summaryref2!R60,IF(AK241=summaryref2!B74,summaryref2!R74,IF(AK241=summaryref2!B88,summaryref2!R88,IF(AK241=summaryref2!B102,summaryref2!R102,IF(AK241=summaryref2!B116,summaryref2!R116,IF(AK241=summaryref2!B130,summaryref2!R130,IF(AK241=summaryref2!B144,summaryref2!R144,"")))))))))))</f>
        <v>#REF!</v>
      </c>
      <c r="BC241" s="1110" t="e">
        <f>IF('A-80 DirEntInv'!#REF!&lt;&gt;0,'A-80 DirEntInv'!#REF!,IF(AK241=summaryref2!B18,summaryref2!S18,IF(Summary!AK241=summaryref2!B32,summaryref2!S32,IF(AK241=summaryref2!B46,summaryref2!S46,IF(AK241=summaryref2!B60,summaryref2!S60,IF(AK241=summaryref2!B74,summaryref2!S74,IF(AK241=summaryref2!B88,summaryref2!S88,IF(AK241=summaryref2!B102,summaryref2!S102,IF(AK241=summaryref2!B116,summaryref2!S116,IF(AK241=summaryref2!B130,summaryref2!S130,IF(AK241=summaryref2!B144,summaryref2!S144,"")))))))))))</f>
        <v>#REF!</v>
      </c>
      <c r="BD241" s="1111" t="e">
        <f>IF('A-80 DirEntInv'!#REF!&lt;&gt;"",'A-80 DirEntInv'!#REF!,IF(AK241=summaryref2!B18,summaryref2!T18,IF(Summary!AK241=summaryref2!B32,summaryref2!T32,IF(AK241=summaryref2!B46,summaryref2!T46,IF(AK241=summaryref2!B60,summaryref2!T60,IF(AK241=summaryref2!B74,summaryref2!T74,IF(AK241=summaryref2!B88,summaryref2!T88,IF(AK241=summaryref2!B102,summaryref2!T102,IF(AK241=summaryref2!B116,summaryref2!T116,IF(AK241=summaryref2!B130,summaryref2!T130,IF(AK241=summaryref2!B144,summaryref2!T144,"")))))))))))</f>
        <v>#REF!</v>
      </c>
      <c r="BE241" s="1184" t="e">
        <f>IF('A-80 DirEntInv'!#REF!&lt;&gt;"",'A-80 DirEntInv'!#REF!,IF(AK241=summaryref2!B18,summaryref2!U18,IF(Summary!AK241=summaryref2!B32,summaryref2!U32,IF(AK241=summaryref2!B46,summaryref2!U46,IF(AK241=summaryref2!B60,summaryref2!U60,IF(AK241=summaryref2!B74,summaryref2!U74,IF(AK241=summaryref2!B88,summaryref2!U88,IF(AK241=summaryref2!B102,summaryref2!U102,IF(AK241=summaryref2!B116,summaryref2!U116,IF(AK241=summaryref2!B130,summaryref2!U130,IF(AK241=summaryref2!B144,summaryref2!U144,"")))))))))))</f>
        <v>#REF!</v>
      </c>
      <c r="BF241" s="1432"/>
      <c r="BG241" s="1432"/>
      <c r="BU241" s="962"/>
      <c r="CD241" s="589"/>
      <c r="CE241" s="590"/>
      <c r="CF241" s="590"/>
      <c r="CG241" s="590"/>
      <c r="CH241" s="590"/>
      <c r="CI241" s="590"/>
      <c r="CJ241" s="589"/>
      <c r="CK241" s="589"/>
      <c r="CL241" s="589"/>
      <c r="CM241" s="587"/>
      <c r="CN241" s="587"/>
      <c r="CO241" s="589"/>
      <c r="CP241" s="587"/>
      <c r="CQ241" s="592"/>
      <c r="CR241" s="589"/>
      <c r="CS241" s="592"/>
      <c r="CT241" s="589"/>
      <c r="CU241" s="589"/>
      <c r="CV241" s="589"/>
      <c r="CW241" s="587"/>
      <c r="CX241" s="590"/>
      <c r="CY241" s="590"/>
      <c r="CZ241" s="590"/>
      <c r="DA241" s="1054"/>
      <c r="DB241" s="1054"/>
      <c r="DC241" s="587"/>
      <c r="DD241" s="587"/>
    </row>
    <row r="242" spans="1:108" s="588" customFormat="1" x14ac:dyDescent="0.2">
      <c r="A242" s="589">
        <f t="shared" si="3"/>
        <v>232</v>
      </c>
      <c r="B242" s="587"/>
      <c r="C242" s="587"/>
      <c r="D242" s="587"/>
      <c r="J242" s="589"/>
      <c r="K242" s="590"/>
      <c r="L242" s="591"/>
      <c r="M242" s="592"/>
      <c r="N242" s="589"/>
      <c r="O242" s="587"/>
      <c r="R242" s="1052"/>
      <c r="S242" s="1052"/>
      <c r="T242" s="1052"/>
      <c r="U242" s="1052"/>
      <c r="V242" s="1052"/>
      <c r="W242" s="1053"/>
      <c r="X242" s="1053"/>
      <c r="Y242" s="1053"/>
      <c r="Z242" s="1052"/>
      <c r="AA242" s="1052"/>
      <c r="AB242" s="962"/>
      <c r="AC242" s="590"/>
      <c r="AD242" s="590"/>
      <c r="AE242" s="591"/>
      <c r="AF242" s="592"/>
      <c r="AG242" s="1053"/>
      <c r="AH242" s="587"/>
      <c r="AK242" s="1041" t="str">
        <f>Codes!$C$172</f>
        <v>TR - Aerial Tramway (PT)</v>
      </c>
      <c r="AL242" s="1042" t="str">
        <f>Valid!$B$78</f>
        <v>Below-Grade/Bored or Blasted Tunnel</v>
      </c>
      <c r="AM242" s="1108" t="e">
        <f>IF('A-80 DirEntInv'!#REF!&lt;&gt;"",'A-80 DirEntInv'!#REF!,IF(AK242=summaryref2!B19,summaryref2!D19,IF(Summary!AK242=summaryref2!B33,summaryref2!D33,IF(AK242=summaryref2!B47,summaryref2!D47,IF(AK242=summaryref2!B61,summaryref2!D61,IF(AK242=summaryref2!B75,summaryref2!D75,IF(AK242=summaryref2!B89,summaryref2!D89,IF(AK242=summaryref2!B103,summaryref2!D103,IF(AK242=summaryref2!B117,summaryref2!D117,IF(AK242=summaryref2!B131,summaryref2!D131,IF(AK242=summaryref2!B145,summaryref2!D145,"")))))))))))</f>
        <v>#REF!</v>
      </c>
      <c r="AN242" s="1109" t="e">
        <f ca="1">IF('A-80 DirEntInv'!#REF!&lt;&gt;"",'A-80 DirEntInv'!#REF!,IF(INDIRECT(ADDRESS(SumRef!CG306,SumRef!CG$16,,,SumRef!$C$7))="","",INDIRECT(ADDRESS(SumRef!CG306,SumRef!CG$16,,,SumRef!$C$7))))</f>
        <v>#REF!</v>
      </c>
      <c r="AO242" s="1108" t="e">
        <f>IF('A-80 DirEntInv'!#REF!&lt;&gt;"",'A-80 DirEntInv'!#REF!,IF(AK242=summaryref2!B19,summaryref2!F19,IF(Summary!AK242=summaryref2!B33,summaryref2!F33,IF(AK242=summaryref2!B47,summaryref2!F47,IF(AK242=summaryref2!B61,summaryref2!F61,IF(AK242=summaryref2!B75,summaryref2!F75,IF(AK242=summaryref2!B89,summaryref2!F89,IF(AK242=summaryref2!B103,summaryref2!F103,IF(AK242=summaryref2!B117,summaryref2!F117,IF(AK242=summaryref2!B131,summaryref2!F131,IF(AK242=summaryref2!B145,summaryref2!F145,"")))))))))))</f>
        <v>#REF!</v>
      </c>
      <c r="AP242" s="1109" t="e">
        <f ca="1">IF('A-80 DirEntInv'!#REF!&lt;&gt;"",'A-80 DirEntInv'!#REF!,IF(INDIRECT(ADDRESS(SumRef!#REF!,SumRef!#REF!,,,SumRef!$C$7))="","",INDIRECT(ADDRESS(SumRef!#REF!,SumRef!#REF!,,,SumRef!$C$7))))</f>
        <v>#REF!</v>
      </c>
      <c r="AQ242" s="1147" t="e">
        <f>IF('A-80 DirEntInv'!#REF!&lt;&gt;"",'A-80 DirEntInv'!#REF!,IF(AK242=summaryref2!B19,summaryref2!G19,IF(Summary!AK242=summaryref2!B33,summaryref2!G33,IF(AK242=summaryref2!B47,summaryref2!G47,IF(AK242=summaryref2!B61,summaryref2!G61,IF(AK242=summaryref2!B75,summaryref2!G75,IF(AK242=summaryref2!B89,summaryref2!G89,IF(AK242=summaryref2!B103,summaryref2!G103,IF(AK242=summaryref2!B117,summaryref2!G117,IF(AK242=summaryref2!B131,summaryref2!G131,IF(AK242=summaryref2!B145,summaryref2!G145,"")))))))))))</f>
        <v>#REF!</v>
      </c>
      <c r="AR242" s="1147" t="e">
        <f>IF('A-80 DirEntInv'!#REF!&lt;&gt;"",'A-80 DirEntInv'!#REF!,IF(AK242=summaryref2!B19,summaryref2!H19,IF(Summary!AK242=summaryref2!B33,summaryref2!H33,IF(AK242=summaryref2!B47,summaryref2!H47,IF(AK242=summaryref2!B61,summaryref2!H61,IF(AK242=summaryref2!B75,summaryref2!H75,IF(AK242=summaryref2!B89,summaryref2!H89,IF(AK242=summaryref2!B103,summaryref2!H103,IF(AK242=summaryref2!B117,summaryref2!H117,IF(AK242=summaryref2!B131,summaryref2!H131,IF(AK242=summaryref2!B145,summaryref2!H145,"")))))))))))</f>
        <v>#REF!</v>
      </c>
      <c r="AS242" s="1110" t="e">
        <f>IF('A-80 DirEntInv'!#REF!&lt;&gt;"",'A-80 DirEntInv'!#REF!,IF(AK242=summaryref2!B19,summaryref2!I19,IF(Summary!AK242=summaryref2!B33,summaryref2!I33,IF(AK242=summaryref2!B47,summaryref2!I47,IF(AK242=summaryref2!B61,summaryref2!I61,IF(AK242=summaryref2!B75,summaryref2!I75,IF(AK242=summaryref2!B89,summaryref2!I89,IF(AK242=summaryref2!B103,summaryref2!I103,IF(AK242=summaryref2!B117,summaryref2!I117,IF(AK242=summaryref2!B131,summaryref2!I131,IF(AK242=summaryref2!B145,summaryref2!I145,"")))))))))))</f>
        <v>#REF!</v>
      </c>
      <c r="AT242" s="1110" t="e">
        <f>IF('A-80 DirEntInv'!#REF!&lt;&gt;"",'A-80 DirEntInv'!#REF!,IF(AK242=summaryref2!B19,summaryref2!J19,IF(Summary!AK242=summaryref2!B33,summaryref2!J33,IF(AK242=summaryref2!B47,summaryref2!J47,IF(AK242=summaryref2!B61,summaryref2!J61,IF(AK242=summaryref2!B75,summaryref2!J75,IF(AK242=summaryref2!B89,summaryref2!J89,IF(AK242=summaryref2!B103,summaryref2!J103,IF(AK242=summaryref2!B117,summaryref2!J117,IF(AK242=summaryref2!B131,summaryref2!J131,IF(AK242=summaryref2!B145,summaryref2!J145,"")))))))))))</f>
        <v>#REF!</v>
      </c>
      <c r="AU242" s="1110" t="e">
        <f>IF('A-80 DirEntInv'!#REF!&lt;&gt;"",'A-80 DirEntInv'!#REF!,IF(AK242=summaryref2!B19,summaryref2!K19,IF(Summary!AK242=summaryref2!B33,summaryref2!K33,IF(AK242=summaryref2!B47,summaryref2!K47,IF(AK242=summaryref2!B61,summaryref2!K61,IF(AK242=summaryref2!B75,summaryref2!K75,IF(AK242=summaryref2!B89,summaryref2!K89,IF(AK242=summaryref2!B103,summaryref2!K103,IF(AK242=summaryref2!B117,summaryref2!K117,IF(AK242=summaryref2!B131,summaryref2!K131,IF(AK242=summaryref2!B145,summaryref2!K145,"")))))))))))</f>
        <v>#REF!</v>
      </c>
      <c r="AV242" s="1110" t="e">
        <f>IF('A-80 DirEntInv'!#REF!&lt;&gt;"",'A-80 DirEntInv'!#REF!,IF(AK242=summaryref2!B19,summaryref2!L19,IF(Summary!AK242=summaryref2!B33,summaryref2!L33,IF(AK242=summaryref2!B47,summaryref2!L47,IF(AK242=summaryref2!B61,summaryref2!L61,IF(AK242=summaryref2!B75,summaryref2!L75,IF(AK242=summaryref2!B89,summaryref2!L89,IF(AK242=summaryref2!B103,summaryref2!L103,IF(AK242=summaryref2!B117,summaryref2!L117,IF(AK242=summaryref2!B131,summaryref2!L131,IF(AK242=summaryref2!B145,summaryref2!L145,"")))))))))))</f>
        <v>#REF!</v>
      </c>
      <c r="AW242" s="1110" t="e">
        <f>IF('A-80 DirEntInv'!#REF!&lt;&gt;"",'A-80 DirEntInv'!#REF!,IF(AK242=summaryref2!B19,summaryref2!M19,IF(Summary!AK242=summaryref2!B33,summaryref2!M33,IF(AK242=summaryref2!B47,summaryref2!M47,IF(AK242=summaryref2!B61,summaryref2!M61,IF(AK242=summaryref2!B75,summaryref2!M75,IF(AK242=summaryref2!B89,summaryref2!M89,IF(AK242=summaryref2!B103,summaryref2!M103,IF(AK242=summaryref2!B117,summaryref2!M117,IF(AK242=summaryref2!B131,summaryref2!M131,IF(AK242=summaryref2!B145,summaryref2!M145,"")))))))))))</f>
        <v>#REF!</v>
      </c>
      <c r="AX242" s="1110" t="e">
        <f>IF('A-80 DirEntInv'!#REF!&lt;&gt;"",'A-80 DirEntInv'!#REF!,IF(AK242=summaryref2!B19,summaryref2!N19,IF(Summary!AK242=summaryref2!B33,summaryref2!N33,IF(AK242=summaryref2!B47,summaryref2!N47,IF(AK242=summaryref2!B61,summaryref2!N61,IF(AK242=summaryref2!B75,summaryref2!N75,IF(AK242=summaryref2!B89,summaryref2!N89,IF(AK242=summaryref2!B103,summaryref2!N103,IF(AK242=summaryref2!B117,summaryref2!N117,IF(AK242=summaryref2!B131,summaryref2!N131,IF(AK242=summaryref2!B145,summaryref2!N145,"")))))))))))</f>
        <v>#REF!</v>
      </c>
      <c r="AY242" s="1110" t="e">
        <f>IF('A-80 DirEntInv'!#REF!&lt;&gt;"",'A-80 DirEntInv'!#REF!,IF(AK242=summaryref2!B19,summaryref2!O19,IF(Summary!AK242=summaryref2!B33,summaryref2!O33,IF(AK242=summaryref2!B47,summaryref2!O47,IF(AK242=summaryref2!B61,summaryref2!O61,IF(AK242=summaryref2!B75,summaryref2!O75,IF(AK242=summaryref2!B89,summaryref2!O89,IF(AK242=summaryref2!B103,summaryref2!O103,IF(AK242=summaryref2!B117,summaryref2!O117,IF(AK242=summaryref2!B131,summaryref2!O131,IF(AK242=summaryref2!B145,summaryref2!O145,"")))))))))))</f>
        <v>#REF!</v>
      </c>
      <c r="AZ242" s="1110" t="e">
        <f>IF('A-80 DirEntInv'!#REF!&lt;&gt;"",'A-80 DirEntInv'!#REF!,IF(AK242=summaryref2!B19,summaryref2!P19,IF(Summary!AK242=summaryref2!B33,summaryref2!P33,IF(AK242=summaryref2!B47,summaryref2!P47,IF(AK242=summaryref2!B61,summaryref2!P61,IF(AK242=summaryref2!B75,summaryref2!P75,IF(AK242=summaryref2!B89,summaryref2!P89,IF(AK242=summaryref2!B103,summaryref2!P103,IF(AK242=summaryref2!B117,summaryref2!P117,IF(AK242=summaryref2!B131,summaryref2!P131,IF(AK242=summaryref2!B145,summaryref2!P145,"")))))))))))</f>
        <v>#REF!</v>
      </c>
      <c r="BA242" s="1110" t="e">
        <f>IF('A-80 DirEntInv'!#REF!&lt;&gt;"",'A-80 DirEntInv'!#REF!,IF(AK242=summaryref2!B19,summaryref2!Q19,IF(Summary!AK242=summaryref2!B33,summaryref2!Q33,IF(AK242=summaryref2!B47,summaryref2!Q47,IF(AK242=summaryref2!B61,summaryref2!Q61,IF(AK242=summaryref2!B75,summaryref2!Q75,IF(AK242=summaryref2!B89,summaryref2!Q89,IF(AK242=summaryref2!B103,summaryref2!Q103,IF(AK242=summaryref2!B117,summaryref2!Q117,IF(AK242=summaryref2!B131,summaryref2!Q131,IF(AK242=summaryref2!B145,summaryref2!Q145,"")))))))))))</f>
        <v>#REF!</v>
      </c>
      <c r="BB242" s="1110" t="e">
        <f>IF('A-80 DirEntInv'!#REF!&lt;&gt;"",'A-80 DirEntInv'!#REF!,IF(AK242=summaryref2!B19,summaryref2!R19,IF(Summary!AK242=summaryref2!B33,summaryref2!R33,IF(AK242=summaryref2!B47,summaryref2!R47,IF(AK242=summaryref2!B61,summaryref2!R61,IF(AK242=summaryref2!B75,summaryref2!R75,IF(AK242=summaryref2!B89,summaryref2!R89,IF(AK242=summaryref2!B103,summaryref2!R103,IF(AK242=summaryref2!B117,summaryref2!R117,IF(AK242=summaryref2!B131,summaryref2!R131,IF(AK242=summaryref2!B145,summaryref2!R145,"")))))))))))</f>
        <v>#REF!</v>
      </c>
      <c r="BC242" s="1110" t="e">
        <f>IF('A-80 DirEntInv'!#REF!&lt;&gt;0,'A-80 DirEntInv'!#REF!,IF(AK242=summaryref2!B19,summaryref2!S19,IF(Summary!AK242=summaryref2!B33,summaryref2!S33,IF(AK242=summaryref2!B47,summaryref2!S47,IF(AK242=summaryref2!B61,summaryref2!S61,IF(AK242=summaryref2!B75,summaryref2!S75,IF(AK242=summaryref2!B89,summaryref2!S89,IF(AK242=summaryref2!B103,summaryref2!S103,IF(AK242=summaryref2!B117,summaryref2!S117,IF(AK242=summaryref2!B131,summaryref2!S131,IF(AK242=summaryref2!B145,summaryref2!S145,"")))))))))))</f>
        <v>#REF!</v>
      </c>
      <c r="BD242" s="1111" t="e">
        <f>IF('A-80 DirEntInv'!#REF!&lt;&gt;"",'A-80 DirEntInv'!#REF!,IF(AK242=summaryref2!B19,summaryref2!T19,IF(Summary!AK242=summaryref2!B33,summaryref2!T33,IF(AK242=summaryref2!B47,summaryref2!T47,IF(AK242=summaryref2!B61,summaryref2!T61,IF(AK242=summaryref2!B75,summaryref2!T75,IF(AK242=summaryref2!B89,summaryref2!T89,IF(AK242=summaryref2!B103,summaryref2!T103,IF(AK242=summaryref2!B117,summaryref2!T117,IF(AK242=summaryref2!B131,summaryref2!T131,IF(AK242=summaryref2!B145,summaryref2!T145,"")))))))))))</f>
        <v>#REF!</v>
      </c>
      <c r="BE242" s="1184" t="e">
        <f>IF('A-80 DirEntInv'!#REF!&lt;&gt;"",'A-80 DirEntInv'!#REF!,IF(AK242=summaryref2!B19,summaryref2!U19,IF(Summary!AK242=summaryref2!B33,summaryref2!U33,IF(AK242=summaryref2!B47,summaryref2!U47,IF(AK242=summaryref2!B61,summaryref2!U61,IF(AK242=summaryref2!B75,summaryref2!U75,IF(AK242=summaryref2!B89,summaryref2!U89,IF(AK242=summaryref2!B103,summaryref2!U103,IF(AK242=summaryref2!B117,summaryref2!U117,IF(AK242=summaryref2!B131,summaryref2!U131,IF(AK242=summaryref2!B145,summaryref2!U145,"")))))))))))</f>
        <v>#REF!</v>
      </c>
      <c r="BF242" s="1432"/>
      <c r="BG242" s="1432"/>
      <c r="BU242" s="962"/>
      <c r="CD242" s="589"/>
      <c r="CE242" s="590"/>
      <c r="CF242" s="590"/>
      <c r="CG242" s="590"/>
      <c r="CH242" s="590"/>
      <c r="CI242" s="590"/>
      <c r="CJ242" s="589"/>
      <c r="CK242" s="589"/>
      <c r="CL242" s="589"/>
      <c r="CM242" s="587"/>
      <c r="CN242" s="587"/>
      <c r="CO242" s="589"/>
      <c r="CP242" s="587"/>
      <c r="CQ242" s="592"/>
      <c r="CR242" s="589"/>
      <c r="CS242" s="592"/>
      <c r="CT242" s="589"/>
      <c r="CU242" s="589"/>
      <c r="CV242" s="589"/>
      <c r="CW242" s="587"/>
      <c r="CX242" s="590"/>
      <c r="CY242" s="590"/>
      <c r="CZ242" s="590"/>
      <c r="DA242" s="1054"/>
      <c r="DB242" s="1054"/>
      <c r="DC242" s="587"/>
      <c r="DD242" s="587"/>
    </row>
    <row r="243" spans="1:108" s="588" customFormat="1" ht="13.5" thickBot="1" x14ac:dyDescent="0.25">
      <c r="A243" s="589">
        <f t="shared" si="3"/>
        <v>233</v>
      </c>
      <c r="B243" s="587"/>
      <c r="C243" s="587"/>
      <c r="D243" s="587"/>
      <c r="J243" s="589"/>
      <c r="K243" s="590"/>
      <c r="L243" s="591"/>
      <c r="M243" s="592"/>
      <c r="N243" s="589"/>
      <c r="O243" s="587"/>
      <c r="R243" s="1052"/>
      <c r="S243" s="1052"/>
      <c r="T243" s="1052"/>
      <c r="U243" s="1052"/>
      <c r="V243" s="1052"/>
      <c r="W243" s="1053"/>
      <c r="X243" s="1053"/>
      <c r="Y243" s="1053"/>
      <c r="Z243" s="1052"/>
      <c r="AA243" s="1052"/>
      <c r="AB243" s="962"/>
      <c r="AC243" s="590"/>
      <c r="AD243" s="590"/>
      <c r="AE243" s="591"/>
      <c r="AF243" s="592"/>
      <c r="AG243" s="1053"/>
      <c r="AH243" s="587"/>
      <c r="AK243" s="1048" t="str">
        <f>Codes!$C$172</f>
        <v>TR - Aerial Tramway (PT)</v>
      </c>
      <c r="AL243" s="1049" t="str">
        <f>Valid!$B$79</f>
        <v>Below-Grade/Submerged Tube</v>
      </c>
      <c r="AM243" s="1119" t="e">
        <f>IF('A-80 DirEntInv'!#REF!&lt;&gt;"",'A-80 DirEntInv'!#REF!,IF(AK243=summaryref2!B20,summaryref2!D20,IF(Summary!AK243=summaryref2!B34,summaryref2!D34,IF(AK243=summaryref2!B48,summaryref2!D48,IF(AK243=summaryref2!B62,summaryref2!D62,IF(AK243=summaryref2!B76,summaryref2!D76,IF(AK243=summaryref2!B90,summaryref2!D90,IF(AK243=summaryref2!B104,summaryref2!D104,IF(AK243=summaryref2!B118,summaryref2!D118,IF(AK243=summaryref2!B132,summaryref2!D132,IF(AK243=summaryref2!B146,summaryref2!D146,"")))))))))))</f>
        <v>#REF!</v>
      </c>
      <c r="AN243" s="1120" t="e">
        <f ca="1">IF('A-80 DirEntInv'!#REF!&lt;&gt;"",'A-80 DirEntInv'!#REF!,IF(INDIRECT(ADDRESS(SumRef!CG307,SumRef!CG$16,,,SumRef!$C$7))="","",INDIRECT(ADDRESS(SumRef!CG307,SumRef!CG$16,,,SumRef!$C$7))))</f>
        <v>#REF!</v>
      </c>
      <c r="AO243" s="1119" t="e">
        <f>IF('A-80 DirEntInv'!#REF!&lt;&gt;"",'A-80 DirEntInv'!#REF!,IF(AK243=summaryref2!B20,summaryref2!F20,IF(Summary!AK243=summaryref2!B34,summaryref2!F34,IF(AK243=summaryref2!B48,summaryref2!F48,IF(AK243=summaryref2!B62,summaryref2!F62,IF(AK243=summaryref2!B76,summaryref2!F76,IF(AK243=summaryref2!B90,summaryref2!F90,IF(AK243=summaryref2!B104,summaryref2!F104,IF(AK243=summaryref2!B118,summaryref2!F118,IF(AK243=summaryref2!B132,summaryref2!F132,IF(AK243=summaryref2!B146,summaryref2!F146,"")))))))))))</f>
        <v>#REF!</v>
      </c>
      <c r="AP243" s="1120" t="e">
        <f ca="1">IF('A-80 DirEntInv'!#REF!&lt;&gt;"",'A-80 DirEntInv'!#REF!,IF(INDIRECT(ADDRESS(SumRef!#REF!,SumRef!#REF!,,,SumRef!$C$7))="","",INDIRECT(ADDRESS(SumRef!#REF!,SumRef!#REF!,,,SumRef!$C$7))))</f>
        <v>#REF!</v>
      </c>
      <c r="AQ243" s="1148" t="e">
        <f>IF('A-80 DirEntInv'!#REF!&lt;&gt;"",'A-80 DirEntInv'!#REF!,IF(AK243=summaryref2!B20,summaryref2!G20,IF(Summary!AK243=summaryref2!B34,summaryref2!G34,IF(AK243=summaryref2!B48,summaryref2!G48,IF(AK243=summaryref2!B62,summaryref2!G62,IF(AK243=summaryref2!B76,summaryref2!G76,IF(AK243=summaryref2!B90,summaryref2!G90,IF(AK243=summaryref2!B104,summaryref2!G104,IF(AK243=summaryref2!B118,summaryref2!G118,IF(AK243=summaryref2!B132,summaryref2!G132,IF(AK243=summaryref2!B146,summaryref2!G146,"")))))))))))</f>
        <v>#REF!</v>
      </c>
      <c r="AR243" s="1148" t="e">
        <f>IF('A-80 DirEntInv'!#REF!&lt;&gt;"",'A-80 DirEntInv'!#REF!,IF(AK243=summaryref2!B20,summaryref2!H20,IF(Summary!AK243=summaryref2!B34,summaryref2!H34,IF(AK243=summaryref2!B48,summaryref2!H48,IF(AK243=summaryref2!B62,summaryref2!H62,IF(AK243=summaryref2!B76,summaryref2!H76,IF(AK243=summaryref2!B90,summaryref2!H90,IF(AK243=summaryref2!B104,summaryref2!H104,IF(AK243=summaryref2!B118,summaryref2!H118,IF(AK243=summaryref2!B132,summaryref2!H132,IF(AK243=summaryref2!B146,summaryref2!H146,"")))))))))))</f>
        <v>#REF!</v>
      </c>
      <c r="AS243" s="1121" t="e">
        <f>IF('A-80 DirEntInv'!#REF!&lt;&gt;"",'A-80 DirEntInv'!#REF!,IF(AK243=summaryref2!B20,summaryref2!I20,IF(Summary!AK243=summaryref2!B34,summaryref2!I34,IF(AK243=summaryref2!B48,summaryref2!I48,IF(AK243=summaryref2!B62,summaryref2!I62,IF(AK243=summaryref2!B76,summaryref2!I76,IF(AK243=summaryref2!B90,summaryref2!I90,IF(AK243=summaryref2!B104,summaryref2!I104,IF(AK243=summaryref2!B118,summaryref2!I118,IF(AK243=summaryref2!B132,summaryref2!I132,IF(AK243=summaryref2!B146,summaryref2!I146,"")))))))))))</f>
        <v>#REF!</v>
      </c>
      <c r="AT243" s="1121" t="e">
        <f>IF('A-80 DirEntInv'!#REF!&lt;&gt;"",'A-80 DirEntInv'!#REF!,IF(AK243=summaryref2!B20,summaryref2!J20,IF(Summary!AK243=summaryref2!B34,summaryref2!J34,IF(AK243=summaryref2!B48,summaryref2!J48,IF(AK243=summaryref2!B62,summaryref2!J62,IF(AK243=summaryref2!B76,summaryref2!J76,IF(AK243=summaryref2!B90,summaryref2!J90,IF(AK243=summaryref2!B104,summaryref2!J104,IF(AK243=summaryref2!B118,summaryref2!J118,IF(AK243=summaryref2!B132,summaryref2!J132,IF(AK243=summaryref2!B146,summaryref2!J146,"")))))))))))</f>
        <v>#REF!</v>
      </c>
      <c r="AU243" s="1121" t="e">
        <f>IF('A-80 DirEntInv'!#REF!&lt;&gt;"",'A-80 DirEntInv'!#REF!,IF(AK243=summaryref2!B20,summaryref2!K20,IF(Summary!AK243=summaryref2!B34,summaryref2!K34,IF(AK243=summaryref2!B48,summaryref2!K48,IF(AK243=summaryref2!B62,summaryref2!K62,IF(AK243=summaryref2!B76,summaryref2!K76,IF(AK243=summaryref2!B90,summaryref2!K90,IF(AK243=summaryref2!B104,summaryref2!K104,IF(AK243=summaryref2!B118,summaryref2!K118,IF(AK243=summaryref2!B132,summaryref2!K132,IF(AK243=summaryref2!B146,summaryref2!K146,"")))))))))))</f>
        <v>#REF!</v>
      </c>
      <c r="AV243" s="1121" t="e">
        <f>IF('A-80 DirEntInv'!#REF!&lt;&gt;"",'A-80 DirEntInv'!#REF!,IF(AK243=summaryref2!B20,summaryref2!L20,IF(Summary!AK243=summaryref2!B34,summaryref2!L34,IF(AK243=summaryref2!B48,summaryref2!L48,IF(AK243=summaryref2!B62,summaryref2!L62,IF(AK243=summaryref2!B76,summaryref2!L76,IF(AK243=summaryref2!B90,summaryref2!L90,IF(AK243=summaryref2!B104,summaryref2!L104,IF(AK243=summaryref2!B118,summaryref2!L118,IF(AK243=summaryref2!B132,summaryref2!L132,IF(AK243=summaryref2!B146,summaryref2!L146,"")))))))))))</f>
        <v>#REF!</v>
      </c>
      <c r="AW243" s="1121" t="e">
        <f>IF('A-80 DirEntInv'!#REF!&lt;&gt;"",'A-80 DirEntInv'!#REF!,IF(AK243=summaryref2!B20,summaryref2!M20,IF(Summary!AK243=summaryref2!B34,summaryref2!M34,IF(AK243=summaryref2!B48,summaryref2!M48,IF(AK243=summaryref2!B62,summaryref2!M62,IF(AK243=summaryref2!B76,summaryref2!M76,IF(AK243=summaryref2!B90,summaryref2!M90,IF(AK243=summaryref2!B104,summaryref2!M104,IF(AK243=summaryref2!B118,summaryref2!M118,IF(AK243=summaryref2!B132,summaryref2!M132,IF(AK243=summaryref2!B146,summaryref2!M146,"")))))))))))</f>
        <v>#REF!</v>
      </c>
      <c r="AX243" s="1121" t="e">
        <f>IF('A-80 DirEntInv'!#REF!&lt;&gt;"",'A-80 DirEntInv'!#REF!,IF(AK243=summaryref2!B20,summaryref2!N20,IF(Summary!AK243=summaryref2!B34,summaryref2!N34,IF(AK243=summaryref2!B48,summaryref2!N48,IF(AK243=summaryref2!B62,summaryref2!N62,IF(AK243=summaryref2!B76,summaryref2!N76,IF(AK243=summaryref2!B90,summaryref2!N90,IF(AK243=summaryref2!B104,summaryref2!N104,IF(AK243=summaryref2!B118,summaryref2!N118,IF(AK243=summaryref2!B132,summaryref2!N132,IF(AK243=summaryref2!B146,summaryref2!N146,"")))))))))))</f>
        <v>#REF!</v>
      </c>
      <c r="AY243" s="1121" t="e">
        <f>IF('A-80 DirEntInv'!#REF!&lt;&gt;"",'A-80 DirEntInv'!#REF!,IF(AK243=summaryref2!B20,summaryref2!O20,IF(Summary!AK243=summaryref2!B34,summaryref2!O34,IF(AK243=summaryref2!B48,summaryref2!O48,IF(AK243=summaryref2!B62,summaryref2!O62,IF(AK243=summaryref2!B76,summaryref2!O76,IF(AK243=summaryref2!B90,summaryref2!O90,IF(AK243=summaryref2!B104,summaryref2!O104,IF(AK243=summaryref2!B118,summaryref2!O118,IF(AK243=summaryref2!B132,summaryref2!O132,IF(AK243=summaryref2!B146,summaryref2!O146,"")))))))))))</f>
        <v>#REF!</v>
      </c>
      <c r="AZ243" s="1121" t="e">
        <f>IF('A-80 DirEntInv'!#REF!&lt;&gt;"",'A-80 DirEntInv'!#REF!,IF(AK243=summaryref2!B20,summaryref2!P20,IF(Summary!AK243=summaryref2!B34,summaryref2!P34,IF(AK243=summaryref2!B48,summaryref2!P48,IF(AK243=summaryref2!B62,summaryref2!P62,IF(AK243=summaryref2!B76,summaryref2!P76,IF(AK243=summaryref2!B90,summaryref2!P90,IF(AK243=summaryref2!B104,summaryref2!P104,IF(AK243=summaryref2!B118,summaryref2!P118,IF(AK243=summaryref2!B132,summaryref2!P132,IF(AK243=summaryref2!B146,summaryref2!P146,"")))))))))))</f>
        <v>#REF!</v>
      </c>
      <c r="BA243" s="1121" t="e">
        <f>IF('A-80 DirEntInv'!#REF!&lt;&gt;"",'A-80 DirEntInv'!#REF!,IF(AK243=summaryref2!B20,summaryref2!Q20,IF(Summary!AK243=summaryref2!B34,summaryref2!Q34,IF(AK243=summaryref2!B48,summaryref2!Q48,IF(AK243=summaryref2!B62,summaryref2!Q62,IF(AK243=summaryref2!B76,summaryref2!Q76,IF(AK243=summaryref2!B90,summaryref2!Q90,IF(AK243=summaryref2!B104,summaryref2!Q104,IF(AK243=summaryref2!B118,summaryref2!Q118,IF(AK243=summaryref2!B132,summaryref2!Q132,IF(AK243=summaryref2!B146,summaryref2!Q146,"")))))))))))</f>
        <v>#REF!</v>
      </c>
      <c r="BB243" s="1121" t="e">
        <f>IF('A-80 DirEntInv'!#REF!&lt;&gt;"",'A-80 DirEntInv'!#REF!,IF(AK243=summaryref2!B20,summaryref2!R20,IF(Summary!AK243=summaryref2!B34,summaryref2!R34,IF(AK243=summaryref2!B48,summaryref2!R48,IF(AK243=summaryref2!B62,summaryref2!R62,IF(AK243=summaryref2!B76,summaryref2!R76,IF(AK243=summaryref2!B90,summaryref2!R90,IF(AK243=summaryref2!B104,summaryref2!R104,IF(AK243=summaryref2!B118,summaryref2!R118,IF(AK243=summaryref2!B132,summaryref2!R132,IF(AK243=summaryref2!B146,summaryref2!R146,"")))))))))))</f>
        <v>#REF!</v>
      </c>
      <c r="BC243" s="1121" t="e">
        <f>IF('A-80 DirEntInv'!#REF!&lt;&gt;0,'A-80 DirEntInv'!#REF!,IF(AK243=summaryref2!B20,summaryref2!S20,IF(Summary!AK243=summaryref2!B34,summaryref2!S34,IF(AK243=summaryref2!B48,summaryref2!S48,IF(AK243=summaryref2!B62,summaryref2!S62,IF(AK243=summaryref2!B76,summaryref2!S76,IF(AK243=summaryref2!B90,summaryref2!S90,IF(AK243=summaryref2!B104,summaryref2!S104,IF(AK243=summaryref2!B118,summaryref2!S118,IF(AK243=summaryref2!B132,summaryref2!S132,IF(AK243=summaryref2!B146,summaryref2!S146,"")))))))))))</f>
        <v>#REF!</v>
      </c>
      <c r="BD243" s="1122" t="e">
        <f>IF('A-80 DirEntInv'!#REF!&lt;&gt;"",'A-80 DirEntInv'!#REF!,IF(AK243=summaryref2!B20,summaryref2!T20,IF(Summary!AK243=summaryref2!B34,summaryref2!T34,IF(AK243=summaryref2!B48,summaryref2!T48,IF(AK243=summaryref2!B62,summaryref2!T62,IF(AK243=summaryref2!B76,summaryref2!T76,IF(AK243=summaryref2!B90,summaryref2!T90,IF(AK243=summaryref2!B104,summaryref2!T104,IF(AK243=summaryref2!B118,summaryref2!T118,IF(AK243=summaryref2!B132,summaryref2!T132,IF(AK243=summaryref2!B146,summaryref2!T146,"")))))))))))</f>
        <v>#REF!</v>
      </c>
      <c r="BE243" s="1190" t="e">
        <f>IF('A-80 DirEntInv'!#REF!&lt;&gt;"",'A-80 DirEntInv'!#REF!,IF(AK243=summaryref2!B20,summaryref2!U20,IF(Summary!AK243=summaryref2!B34,summaryref2!U34,IF(AK243=summaryref2!B48,summaryref2!U48,IF(AK243=summaryref2!B62,summaryref2!U62,IF(AK243=summaryref2!B76,summaryref2!U76,IF(AK243=summaryref2!B90,summaryref2!U90,IF(AK243=summaryref2!B104,summaryref2!U104,IF(AK243=summaryref2!B118,summaryref2!U118,IF(AK243=summaryref2!B132,summaryref2!U132,IF(AK243=summaryref2!B146,summaryref2!U146,"")))))))))))</f>
        <v>#REF!</v>
      </c>
      <c r="BF243" s="1432"/>
      <c r="BG243" s="1432"/>
      <c r="BU243" s="962"/>
      <c r="CD243" s="589"/>
      <c r="CE243" s="590"/>
      <c r="CF243" s="590"/>
      <c r="CG243" s="590"/>
      <c r="CH243" s="590"/>
      <c r="CI243" s="590"/>
      <c r="CJ243" s="589"/>
      <c r="CK243" s="589"/>
      <c r="CL243" s="589"/>
      <c r="CM243" s="587"/>
      <c r="CN243" s="587"/>
      <c r="CO243" s="589"/>
      <c r="CP243" s="587"/>
      <c r="CQ243" s="592"/>
      <c r="CR243" s="589"/>
      <c r="CS243" s="592"/>
      <c r="CT243" s="589"/>
      <c r="CU243" s="589"/>
      <c r="CV243" s="589"/>
      <c r="CW243" s="587"/>
      <c r="CX243" s="590"/>
      <c r="CY243" s="590"/>
      <c r="CZ243" s="590"/>
      <c r="DA243" s="1054"/>
      <c r="DB243" s="1054"/>
      <c r="DC243" s="587"/>
      <c r="DD243" s="587"/>
    </row>
    <row r="244" spans="1:108" s="588" customFormat="1" ht="13.5" thickTop="1" x14ac:dyDescent="0.2">
      <c r="A244" s="589">
        <f t="shared" si="3"/>
        <v>234</v>
      </c>
      <c r="B244" s="587"/>
      <c r="C244" s="587"/>
      <c r="D244" s="587"/>
      <c r="J244" s="589"/>
      <c r="K244" s="590"/>
      <c r="L244" s="591"/>
      <c r="M244" s="592"/>
      <c r="N244" s="589"/>
      <c r="O244" s="587"/>
      <c r="R244" s="1052"/>
      <c r="S244" s="1052"/>
      <c r="T244" s="1052"/>
      <c r="U244" s="1052"/>
      <c r="V244" s="1052"/>
      <c r="W244" s="1053"/>
      <c r="X244" s="1053"/>
      <c r="Y244" s="1053"/>
      <c r="Z244" s="1052"/>
      <c r="AA244" s="1052"/>
      <c r="AB244" s="962"/>
      <c r="AC244" s="590"/>
      <c r="AD244" s="590"/>
      <c r="AE244" s="591"/>
      <c r="AF244" s="592"/>
      <c r="AG244" s="1053"/>
      <c r="AH244" s="587"/>
      <c r="AK244" s="1181" t="str">
        <f>Codes!$C$172</f>
        <v>TR - Aerial Tramway (PT)</v>
      </c>
      <c r="AL244" s="1182" t="str">
        <f>Valid!$B$87</f>
        <v>Substation Building</v>
      </c>
      <c r="AM244" s="1123" t="e">
        <f>IF('A-80 DirEntInv'!#REF!&lt;&gt;"",'A-80 DirEntInv'!#REF!,IF(AK244=summaryref2!B21,summaryref2!D21,IF(Summary!AK244=summaryref2!B35,summaryref2!D35,IF(AK244=summaryref2!B49,summaryref2!D49,IF(AK244=summaryref2!B63,summaryref2!D63,IF(AK244=summaryref2!B77,summaryref2!D77,IF(AK244=summaryref2!B91,summaryref2!D91,IF(AK244=summaryref2!B105,summaryref2!D105,IF(AK244=summaryref2!B119,summaryref2!D119,IF(AK244=summaryref2!B133,summaryref2!D133,IF(AK244=summaryref2!B197,summaryref2!D147,"")))))))))))</f>
        <v>#REF!</v>
      </c>
      <c r="AN244" s="1124" t="s">
        <v>13</v>
      </c>
      <c r="AO244" s="1123"/>
      <c r="AP244" s="1124"/>
      <c r="AQ244" s="1149" t="e">
        <f>IF('A-80 DirEntInv'!#REF!&lt;&gt;"",'A-80 DirEntInv'!#REF!,IF(AK244=summaryref2!B21,summaryref2!G21,IF(Summary!AK244=summaryref2!B35,summaryref2!G35,IF(AK244=summaryref2!B49,summaryref2!G49,IF(AK244=summaryref2!B63,summaryref2!G63,IF(AK244=summaryref2!B77,summaryref2!G77,IF(AK244=summaryref2!B91,summaryref2!G91,IF(AK244=summaryref2!B105,summaryref2!G105,IF(AK244=summaryref2!B119,summaryref2!G119,IF(AK244=summaryref2!B133,summaryref2!G133,IF(AK244=summaryref2!B147,summaryref2!G147,"")))))))))))</f>
        <v>#REF!</v>
      </c>
      <c r="AR244" s="1149" t="e">
        <f>IF('A-80 DirEntInv'!#REF!&lt;&gt;"",'A-80 DirEntInv'!#REF!,IF(AK244=summaryref2!B21,summaryref2!H21,IF(Summary!AK244=summaryref2!B35,summaryref2!H35,IF(AK244=summaryref2!B49,summaryref2!H49,IF(AK244=summaryref2!B63,summaryref2!H63,IF(AK244=summaryref2!B77,summaryref2!H77,IF(AK244=summaryref2!B91,summaryref2!H91,IF(AK244=summaryref2!B105,summaryref2!H105,IF(AK244=summaryref2!B119,summaryref2!H119,IF(AK244=summaryref2!B133,summaryref2!H133,IF(AK244=summaryref2!B147,summaryref2!H147,"")))))))))))</f>
        <v>#REF!</v>
      </c>
      <c r="AS244" s="1125" t="e">
        <f>IF('A-80 DirEntInv'!#REF!&lt;&gt;"",'A-80 DirEntInv'!#REF!,IF(AK244=summaryref2!B21,summaryref2!I21,IF(Summary!AK244=summaryref2!B35,summaryref2!I35,IF(AK244=summaryref2!B49,summaryref2!I49,IF(AK244=summaryref2!B63,summaryref2!I63,IF(AK244=summaryref2!B77,summaryref2!I77,IF(AK244=summaryref2!B91,summaryref2!I91,IF(AK244=summaryref2!B105,summaryref2!I105,IF(AK244=summaryref2!B119,summaryref2!I119,IF(AK244=summaryref2!B133,summaryref2!I133,IF(AK244=summaryref2!B147,summaryref2!I147,"")))))))))))</f>
        <v>#REF!</v>
      </c>
      <c r="AT244" s="1125" t="e">
        <f>IF('A-80 DirEntInv'!#REF!&lt;&gt;"",'A-80 DirEntInv'!#REF!,IF(AK244=summaryref2!B21,summaryref2!J21,IF(Summary!AK244=summaryref2!B35,summaryref2!J35,IF(AK244=summaryref2!B49,summaryref2!J49,IF(AK244=summaryref2!B63,summaryref2!J63,IF(AK244=summaryref2!B77,summaryref2!J77,IF(AK244=summaryref2!B91,summaryref2!J91,IF(AK244=summaryref2!B105,summaryref2!J105,IF(AK244=summaryref2!B119,summaryref2!J119,IF(AK244=summaryref2!B133,summaryref2!J133,IF(AK244=summaryref2!B147,summaryref2!J147,"")))))))))))</f>
        <v>#REF!</v>
      </c>
      <c r="AU244" s="1125" t="e">
        <f>IF('A-80 DirEntInv'!#REF!&lt;&gt;"",'A-80 DirEntInv'!#REF!,IF(AK244=summaryref2!B21,summaryref2!K21,IF(Summary!AK244=summaryref2!B35,summaryref2!K35,IF(AK244=summaryref2!B49,summaryref2!K49,IF(AK244=summaryref2!B63,summaryref2!K63,IF(AK244=summaryref2!B77,summaryref2!K77,IF(AK244=summaryref2!B91,summaryref2!K91,IF(AK244=summaryref2!B105,summaryref2!K105,IF(AK244=summaryref2!B119,summaryref2!K119,IF(AK244=summaryref2!B133,summaryref2!K133,IF(AK244=summaryref2!B147,summaryref2!K147,"")))))))))))</f>
        <v>#REF!</v>
      </c>
      <c r="AV244" s="1125" t="e">
        <f>IF('A-80 DirEntInv'!#REF!&lt;&gt;"",'A-80 DirEntInv'!#REF!,IF(AK244=summaryref2!B21,summaryref2!L21,IF(Summary!AK244=summaryref2!B35,summaryref2!L35,IF(AK244=summaryref2!B49,summaryref2!L49,IF(AK244=summaryref2!B63,summaryref2!L63,IF(AK244=summaryref2!B77,summaryref2!L77,IF(AK244=summaryref2!B91,summaryref2!L91,IF(AK244=summaryref2!B105,summaryref2!L105,IF(AK244=summaryref2!B119,summaryref2!L119,IF(AK244=summaryref2!B133,summaryref2!L133,IF(AK244=summaryref2!B147,summaryref2!L147,"")))))))))))</f>
        <v>#REF!</v>
      </c>
      <c r="AW244" s="1125" t="e">
        <f>IF('A-80 DirEntInv'!#REF!&lt;&gt;"",'A-80 DirEntInv'!#REF!,IF(AK244=summaryref2!B21,summaryref2!M21,IF(Summary!AK244=summaryref2!B35,summaryref2!M35,IF(AK244=summaryref2!B49,summaryref2!M49,IF(AK244=summaryref2!B63,summaryref2!M63,IF(AK244=summaryref2!B77,summaryref2!M77,IF(AK244=summaryref2!B91,summaryref2!M91,IF(AK244=summaryref2!B105,summaryref2!M105,IF(AK244=summaryref2!B119,summaryref2!M119,IF(AK244=summaryref2!B133,summaryref2!M133,IF(AK244=summaryref2!B147,summaryref2!M147,"")))))))))))</f>
        <v>#REF!</v>
      </c>
      <c r="AX244" s="1125" t="e">
        <f>IF('A-80 DirEntInv'!#REF!&lt;&gt;"",'A-80 DirEntInv'!#REF!,IF(AK244=summaryref2!B21,summaryref2!N21,IF(Summary!AK244=summaryref2!B35,summaryref2!N35,IF(AK244=summaryref2!B49,summaryref2!N49,IF(AK244=summaryref2!B63,summaryref2!N63,IF(AK244=summaryref2!B77,summaryref2!N77,IF(AK244=summaryref2!B91,summaryref2!N91,IF(AK244=summaryref2!B105,summaryref2!N105,IF(AK244=summaryref2!B119,summaryref2!N119,IF(AK244=summaryref2!B133,summaryref2!N133,IF(AK244=summaryref2!B147,summaryref2!N147,"")))))))))))</f>
        <v>#REF!</v>
      </c>
      <c r="AY244" s="1125" t="e">
        <f>IF('A-80 DirEntInv'!#REF!&lt;&gt;"",'A-80 DirEntInv'!#REF!,IF(AK244=summaryref2!B21,summaryref2!O21,IF(Summary!AK244=summaryref2!B35,summaryref2!O35,IF(AK244=summaryref2!B49,summaryref2!O49,IF(AK244=summaryref2!B63,summaryref2!O63,IF(AK244=summaryref2!B77,summaryref2!O77,IF(AK244=summaryref2!B91,summaryref2!O91,IF(AK244=summaryref2!B105,summaryref2!O105,IF(AK244=summaryref2!B119,summaryref2!O119,IF(AK244=summaryref2!B133,summaryref2!O133,IF(AK244=summaryref2!B147,summaryref2!O147,"")))))))))))</f>
        <v>#REF!</v>
      </c>
      <c r="AZ244" s="1125" t="e">
        <f>IF('A-80 DirEntInv'!#REF!&lt;&gt;"",'A-80 DirEntInv'!#REF!,IF(AK244=summaryref2!B21,summaryref2!P21,IF(Summary!AK244=summaryref2!B35,summaryref2!P35,IF(AK244=summaryref2!B49,summaryref2!P49,IF(AK244=summaryref2!B63,summaryref2!P63,IF(AK244=summaryref2!B77,summaryref2!P77,IF(AK244=summaryref2!B91,summaryref2!P91,IF(AK244=summaryref2!B105,summaryref2!P105,IF(AK244=summaryref2!B119,summaryref2!P119,IF(AK244=summaryref2!B133,summaryref2!P133,IF(AK244=summaryref2!B147,summaryref2!P147,"")))))))))))</f>
        <v>#REF!</v>
      </c>
      <c r="BA244" s="1125" t="e">
        <f>IF('A-80 DirEntInv'!#REF!&lt;&gt;"",'A-80 DirEntInv'!#REF!,IF(AK244=summaryref2!B21,summaryref2!Q21,IF(Summary!AK244=summaryref2!B35,summaryref2!Q35,IF(AK244=summaryref2!B49,summaryref2!Q49,IF(AK244=summaryref2!B63,summaryref2!Q63,IF(AK244=summaryref2!B77,summaryref2!Q77,IF(AK244=summaryref2!B91,summaryref2!Q91,IF(AK244=summaryref2!B105,summaryref2!Q105,IF(AK244=summaryref2!B119,summaryref2!Q119,IF(AK244=summaryref2!B133,summaryref2!Q133,IF(AK244=summaryref2!B147,summaryref2!Q147,"")))))))))))</f>
        <v>#REF!</v>
      </c>
      <c r="BB244" s="1125" t="e">
        <f>IF('A-80 DirEntInv'!#REF!&lt;&gt;"",'A-80 DirEntInv'!#REF!,IF(AK244=summaryref2!B21,summaryref2!R21,IF(Summary!AK244=summaryref2!B35,summaryref2!R35,IF(AK244=summaryref2!B49,summaryref2!R49,IF(AK244=summaryref2!B63,summaryref2!R63,IF(AK244=summaryref2!B77,summaryref2!R77,IF(AK244=summaryref2!B91,summaryref2!R91,IF(AK244=summaryref2!B105,summaryref2!R105,IF(AK244=summaryref2!B119,summaryref2!R119,IF(AK244=summaryref2!B133,summaryref2!R133,IF(AK244=summaryref2!B147,summaryref2!R147,"")))))))))))</f>
        <v>#REF!</v>
      </c>
      <c r="BC244" s="1125" t="e">
        <f>IF('A-80 DirEntInv'!#REF!&lt;&gt;0,'A-80 DirEntInv'!#REF!,IF(AK244=summaryref2!B21,summaryref2!S21,IF(Summary!AK244=summaryref2!B35,summaryref2!S35,IF(AK244=summaryref2!B49,summaryref2!S49,IF(AK244=summaryref2!B63,summaryref2!S63,IF(AK244=summaryref2!B77,summaryref2!S77,IF(AK244=summaryref2!B91,summaryref2!S91,IF(AK244=summaryref2!B105,summaryref2!S105,IF(AK244=summaryref2!B119,summaryref2!S119,IF(AK244=summaryref2!B133,summaryref2!S133,IF(AK244=summaryref2!B147,summaryref2!S147,"")))))))))))</f>
        <v>#REF!</v>
      </c>
      <c r="BD244" s="1126" t="e">
        <f>IF('A-80 DirEntInv'!#REF!&lt;&gt;"",'A-80 DirEntInv'!#REF!,IF(AK244=summaryref2!B21,summaryref2!T21,IF(Summary!AK244=summaryref2!B35,summaryref2!T35,IF(AK244=summaryref2!B49,summaryref2!T49,IF(AK244=summaryref2!B63,summaryref2!T63,IF(AK244=summaryref2!B77,summaryref2!T77,IF(AK244=summaryref2!B91,summaryref2!T91,IF(AK244=summaryref2!B105,summaryref2!T105,IF(AK244=summaryref2!B119,summaryref2!T119,IF(AK244=summaryref2!B133,summaryref2!T133,IF(AK244=summaryref2!B147,summaryref2!T147,"")))))))))))</f>
        <v>#REF!</v>
      </c>
      <c r="BE244" s="1183" t="e">
        <f>IF('A-80 DirEntInv'!#REF!&lt;&gt;"",'A-80 DirEntInv'!#REF!,IF(AK244=summaryref2!B21,summaryref2!U21,IF(Summary!AK244=summaryref2!B35,summaryref2!U35,IF(AK244=summaryref2!B49,summaryref2!U49,IF(AK244=summaryref2!B63,summaryref2!U63,IF(AK244=summaryref2!B77,summaryref2!U77,IF(AK244=summaryref2!B91,summaryref2!U91,IF(AK244=summaryref2!B105,summaryref2!U105,IF(AK244=summaryref2!B119,summaryref2!U119,IF(AK244=summaryref2!B133,summaryref2!U133,IF(AK244=summaryref2!B147,summaryref2!U147,"")))))))))))</f>
        <v>#REF!</v>
      </c>
      <c r="BF244" s="1432"/>
      <c r="BG244" s="1432"/>
      <c r="BU244" s="962"/>
      <c r="CD244" s="589"/>
      <c r="CE244" s="590"/>
      <c r="CF244" s="590"/>
      <c r="CG244" s="590"/>
      <c r="CH244" s="590"/>
      <c r="CI244" s="590"/>
      <c r="CJ244" s="589"/>
      <c r="CK244" s="589"/>
      <c r="CL244" s="589"/>
      <c r="CM244" s="587"/>
      <c r="CN244" s="587"/>
      <c r="CO244" s="589"/>
      <c r="CP244" s="587"/>
      <c r="CQ244" s="592"/>
      <c r="CR244" s="589"/>
      <c r="CS244" s="592"/>
      <c r="CT244" s="589"/>
      <c r="CU244" s="589"/>
      <c r="CV244" s="589"/>
      <c r="CW244" s="587"/>
      <c r="CX244" s="590"/>
      <c r="CY244" s="590"/>
      <c r="CZ244" s="590"/>
      <c r="DA244" s="1054"/>
      <c r="DB244" s="1054"/>
      <c r="DC244" s="587"/>
      <c r="DD244" s="587"/>
    </row>
    <row r="245" spans="1:108" s="588" customFormat="1" x14ac:dyDescent="0.2">
      <c r="A245" s="589">
        <f t="shared" si="3"/>
        <v>235</v>
      </c>
      <c r="B245" s="587"/>
      <c r="C245" s="587"/>
      <c r="D245" s="587"/>
      <c r="J245" s="589"/>
      <c r="K245" s="590"/>
      <c r="L245" s="591"/>
      <c r="M245" s="592"/>
      <c r="N245" s="589"/>
      <c r="O245" s="587"/>
      <c r="R245" s="1052"/>
      <c r="S245" s="1052"/>
      <c r="T245" s="1052"/>
      <c r="U245" s="1052"/>
      <c r="V245" s="1052"/>
      <c r="W245" s="1053"/>
      <c r="X245" s="1053"/>
      <c r="Y245" s="1053"/>
      <c r="Z245" s="1052"/>
      <c r="AA245" s="1052"/>
      <c r="AB245" s="962"/>
      <c r="AC245" s="590"/>
      <c r="AD245" s="590"/>
      <c r="AE245" s="591"/>
      <c r="AF245" s="592"/>
      <c r="AG245" s="1053"/>
      <c r="AH245" s="587"/>
      <c r="AK245" s="1041" t="str">
        <f>Codes!$C$172</f>
        <v>TR - Aerial Tramway (PT)</v>
      </c>
      <c r="AL245" s="1042" t="str">
        <f>Valid!$B$88</f>
        <v>Substation Equipment</v>
      </c>
      <c r="AM245" s="1187"/>
      <c r="AN245" s="1046"/>
      <c r="AO245" s="1187"/>
      <c r="AP245" s="1046"/>
      <c r="AQ245" s="1147" t="e">
        <f>IF('A-80 DirEntInv'!#REF!&lt;&gt;"",'A-80 DirEntInv'!#REF!,IF(AK245=summaryref2!B22,summaryref2!G22,IF(Summary!AK245=summaryref2!B36,summaryref2!G36,IF(AK245=summaryref2!B50,summaryref2!G50,IF(AK245=summaryref2!B64,summaryref2!G64,IF(AK245=summaryref2!B78,summaryref2!G78,IF(AK245=summaryref2!B92,summaryref2!G92,IF(AK245=summaryref2!B106,summaryref2!G106,IF(AK245=summaryref2!B120,summaryref2!G120,IF(AK245=summaryref2!B134,summaryref2!G134,IF(AK245=summaryref2!B148,summaryref2!G148,"")))))))))))</f>
        <v>#REF!</v>
      </c>
      <c r="AR245" s="1147" t="e">
        <f>IF('A-80 DirEntInv'!#REF!&lt;&gt;"",'A-80 DirEntInv'!#REF!,IF(AK245=summaryref2!B22,summaryref2!H22,IF(Summary!AK245=summaryref2!B36,summaryref2!H36,IF(AK245=summaryref2!B50,summaryref2!H50,IF(AK245=summaryref2!B64,summaryref2!H64,IF(AK245=summaryref2!B78,summaryref2!H78,IF(AK245=summaryref2!B92,summaryref2!H92,IF(AK245=summaryref2!B106,summaryref2!H106,IF(AK245=summaryref2!B120,summaryref2!H120,IF(AK245=summaryref2!B134,summaryref2!H134,IF(AK245=summaryref2!B148,summaryref2!H148,"")))))))))))</f>
        <v>#REF!</v>
      </c>
      <c r="AS245" s="1110" t="e">
        <f>IF('A-80 DirEntInv'!#REF!&lt;&gt;"",'A-80 DirEntInv'!#REF!,IF(AK245=summaryref2!B22,summaryref2!I22,IF(Summary!AK245=summaryref2!B36,summaryref2!I36,IF(AK245=summaryref2!B50,summaryref2!I50,IF(AK245=summaryref2!B64,summaryref2!I64,IF(AK245=summaryref2!B78,summaryref2!I78,IF(AK245=summaryref2!B92,summaryref2!I92,IF(AK245=summaryref2!B106,summaryref2!I106,IF(AK245=summaryref2!B120,summaryref2!I120,IF(AK245=summaryref2!B134,summaryref2!I134,IF(AK245=summaryref2!B148,summaryref2!I148,"")))))))))))</f>
        <v>#REF!</v>
      </c>
      <c r="AT245" s="1110" t="e">
        <f>IF('A-80 DirEntInv'!#REF!&lt;&gt;"",'A-80 DirEntInv'!#REF!,IF(AK245=summaryref2!B22,summaryref2!J22,IF(Summary!AK245=summaryref2!B36,summaryref2!J36,IF(AK245=summaryref2!B50,summaryref2!J50,IF(AK245=summaryref2!B64,summaryref2!J64,IF(AK245=summaryref2!B78,summaryref2!J78,IF(AK245=summaryref2!B92,summaryref2!J92,IF(AK245=summaryref2!B106,summaryref2!J106,IF(AK245=summaryref2!B120,summaryref2!J120,IF(AK245=summaryref2!B134,summaryref2!J134,IF(AK245=summaryref2!B148,summaryref2!J148,"")))))))))))</f>
        <v>#REF!</v>
      </c>
      <c r="AU245" s="1110" t="e">
        <f>IF('A-80 DirEntInv'!#REF!&lt;&gt;"",'A-80 DirEntInv'!#REF!,IF(AK245=summaryref2!B22,summaryref2!K22,IF(Summary!AK245=summaryref2!B36,summaryref2!K36,IF(AK245=summaryref2!B50,summaryref2!K50,IF(AK245=summaryref2!B64,summaryref2!K64,IF(AK245=summaryref2!B78,summaryref2!K78,IF(AK245=summaryref2!B92,summaryref2!K92,IF(AK245=summaryref2!B106,summaryref2!K106,IF(AK245=summaryref2!B120,summaryref2!K120,IF(AK245=summaryref2!B134,summaryref2!K134,IF(AK245=summaryref2!B148,summaryref2!K148,"")))))))))))</f>
        <v>#REF!</v>
      </c>
      <c r="AV245" s="1110" t="e">
        <f>IF('A-80 DirEntInv'!#REF!&lt;&gt;"",'A-80 DirEntInv'!#REF!,IF(AK245=summaryref2!B22,summaryref2!L22,IF(Summary!AK245=summaryref2!B36,summaryref2!L36,IF(AK245=summaryref2!B50,summaryref2!L50,IF(AK245=summaryref2!B64,summaryref2!L64,IF(AK245=summaryref2!B78,summaryref2!L78,IF(AK245=summaryref2!B92,summaryref2!L92,IF(AK245=summaryref2!B106,summaryref2!L106,IF(AK245=summaryref2!B120,summaryref2!L120,IF(AK245=summaryref2!B134,summaryref2!L134,IF(AK245=summaryref2!B148,summaryref2!L148,"")))))))))))</f>
        <v>#REF!</v>
      </c>
      <c r="AW245" s="1110" t="e">
        <f>IF('A-80 DirEntInv'!#REF!&lt;&gt;"",'A-80 DirEntInv'!#REF!,IF(AK245=summaryref2!B22,summaryref2!M22,IF(Summary!AK245=summaryref2!B36,summaryref2!M36,IF(AK245=summaryref2!B50,summaryref2!M50,IF(AK245=summaryref2!B64,summaryref2!M64,IF(AK245=summaryref2!B78,summaryref2!M78,IF(AK245=summaryref2!B92,summaryref2!M92,IF(AK245=summaryref2!B106,summaryref2!M106,IF(AK245=summaryref2!B120,summaryref2!M120,IF(AK245=summaryref2!B134,summaryref2!M134,IF(AK245=summaryref2!B148,summaryref2!M148,"")))))))))))</f>
        <v>#REF!</v>
      </c>
      <c r="AX245" s="1110" t="e">
        <f>IF('A-80 DirEntInv'!#REF!&lt;&gt;"",'A-80 DirEntInv'!#REF!,IF(AK245=summaryref2!B22,summaryref2!N22,IF(Summary!AK245=summaryref2!B36,summaryref2!N36,IF(AK245=summaryref2!B50,summaryref2!N50,IF(AK245=summaryref2!B64,summaryref2!N64,IF(AK245=summaryref2!B78,summaryref2!N78,IF(AK245=summaryref2!B92,summaryref2!N92,IF(AK245=summaryref2!B106,summaryref2!N106,IF(AK245=summaryref2!B120,summaryref2!N120,IF(AK245=summaryref2!B134,summaryref2!N134,IF(AK245=summaryref2!B148,summaryref2!N148,"")))))))))))</f>
        <v>#REF!</v>
      </c>
      <c r="AY245" s="1110" t="e">
        <f>IF('A-80 DirEntInv'!#REF!&lt;&gt;"",'A-80 DirEntInv'!#REF!,IF(AK245=summaryref2!B22,summaryref2!O22,IF(Summary!AK245=summaryref2!B36,summaryref2!O36,IF(AK245=summaryref2!B50,summaryref2!O50,IF(AK245=summaryref2!B64,summaryref2!O64,IF(AK245=summaryref2!B78,summaryref2!O78,IF(AK245=summaryref2!B92,summaryref2!O92,IF(AK245=summaryref2!B106,summaryref2!O106,IF(AK245=summaryref2!B120,summaryref2!O120,IF(AK245=summaryref2!B134,summaryref2!O134,IF(AK245=summaryref2!B148,summaryref2!O148,"")))))))))))</f>
        <v>#REF!</v>
      </c>
      <c r="AZ245" s="1110" t="e">
        <f>IF('A-80 DirEntInv'!#REF!&lt;&gt;"",'A-80 DirEntInv'!#REF!,IF(AK245=summaryref2!B22,summaryref2!P22,IF(Summary!AK245=summaryref2!B36,summaryref2!P36,IF(AK245=summaryref2!B50,summaryref2!P50,IF(AK245=summaryref2!B64,summaryref2!P64,IF(AK245=summaryref2!B78,summaryref2!P78,IF(AK245=summaryref2!B92,summaryref2!P92,IF(AK245=summaryref2!B106,summaryref2!P106,IF(AK245=summaryref2!B120,summaryref2!P120,IF(AK245=summaryref2!B134,summaryref2!P134,IF(AK245=summaryref2!B148,summaryref2!P148,"")))))))))))</f>
        <v>#REF!</v>
      </c>
      <c r="BA245" s="1110" t="e">
        <f>IF('A-80 DirEntInv'!#REF!&lt;&gt;"",'A-80 DirEntInv'!#REF!,IF(AK245=summaryref2!B22,summaryref2!Q22,IF(Summary!AK245=summaryref2!B36,summaryref2!Q36,IF(AK245=summaryref2!B50,summaryref2!Q50,IF(AK245=summaryref2!B64,summaryref2!Q64,IF(AK245=summaryref2!B78,summaryref2!Q78,IF(AK245=summaryref2!B92,summaryref2!Q92,IF(AK245=summaryref2!B106,summaryref2!Q106,IF(AK245=summaryref2!B120,summaryref2!Q120,IF(AK245=summaryref2!B134,summaryref2!Q134,IF(AK245=summaryref2!B148,summaryref2!Q148,"")))))))))))</f>
        <v>#REF!</v>
      </c>
      <c r="BB245" s="1110" t="e">
        <f>IF('A-80 DirEntInv'!#REF!&lt;&gt;"",'A-80 DirEntInv'!#REF!,IF(AK245=summaryref2!B22,summaryref2!R22,IF(Summary!AK245=summaryref2!B36,summaryref2!R36,IF(AK245=summaryref2!B50,summaryref2!R50,IF(AK245=summaryref2!B64,summaryref2!R64,IF(AK245=summaryref2!B78,summaryref2!R78,IF(AK245=summaryref2!B92,summaryref2!R92,IF(AK245=summaryref2!B106,summaryref2!R106,IF(AK245=summaryref2!B120,summaryref2!R120,IF(AK245=summaryref2!B134,summaryref2!R134,IF(AK245=summaryref2!B148,summaryref2!R148,"")))))))))))</f>
        <v>#REF!</v>
      </c>
      <c r="BC245" s="1110" t="e">
        <f>IF('A-80 DirEntInv'!#REF!&lt;&gt;0,'A-80 DirEntInv'!#REF!,IF(AK245=summaryref2!B22,summaryref2!S22,IF(Summary!AK245=summaryref2!B36,summaryref2!S36,IF(AK245=summaryref2!B50,summaryref2!S50,IF(AK245=summaryref2!B64,summaryref2!S64,IF(AK245=summaryref2!B78,summaryref2!S78,IF(AK245=summaryref2!B92,summaryref2!S92,IF(AK245=summaryref2!B106,summaryref2!S106,IF(AK245=summaryref2!B120,summaryref2!S120,IF(AK245=summaryref2!B134,summaryref2!S134,IF(AK245=summaryref2!B148,summaryref2!S148,"")))))))))))</f>
        <v>#REF!</v>
      </c>
      <c r="BD245" s="1111" t="e">
        <f>IF('A-80 DirEntInv'!#REF!&lt;&gt;"",'A-80 DirEntInv'!#REF!,IF(AK245=summaryref2!B22,summaryref2!T22,IF(Summary!AK245=summaryref2!B36,summaryref2!T36,IF(AK245=summaryref2!B50,summaryref2!T50,IF(AK245=summaryref2!B64,summaryref2!T64,IF(AK245=summaryref2!B78,summaryref2!T78,IF(AK245=summaryref2!B92,summaryref2!T92,IF(AK245=summaryref2!B106,summaryref2!T106,IF(AK245=summaryref2!B120,summaryref2!T120,IF(AK245=summaryref2!B134,summaryref2!T134,IF(AK245=summaryref2!B148,summaryref2!T148,"")))))))))))</f>
        <v>#REF!</v>
      </c>
      <c r="BE245" s="1184" t="e">
        <f>IF('A-80 DirEntInv'!#REF!&lt;&gt;"",'A-80 DirEntInv'!#REF!,IF(AK245=summaryref2!B22,summaryref2!U22,IF(Summary!AK245=summaryref2!B36,summaryref2!U36,IF(AK245=summaryref2!B50,summaryref2!U50,IF(AK245=summaryref2!B64,summaryref2!U64,IF(AK245=summaryref2!B78,summaryref2!U78,IF(AK245=summaryref2!B92,summaryref2!U92,IF(AK245=summaryref2!B106,summaryref2!U106,IF(AK245=summaryref2!B120,summaryref2!U120,IF(AK245=summaryref2!B134,summaryref2!U134,IF(AK245=summaryref2!B148,summaryref2!U148,"")))))))))))</f>
        <v>#REF!</v>
      </c>
      <c r="BF245" s="1432"/>
      <c r="BG245" s="1432"/>
      <c r="BU245" s="962"/>
      <c r="CD245" s="589"/>
      <c r="CE245" s="590"/>
      <c r="CF245" s="590"/>
      <c r="CG245" s="590"/>
      <c r="CH245" s="590"/>
      <c r="CI245" s="590"/>
      <c r="CJ245" s="589"/>
      <c r="CK245" s="589"/>
      <c r="CL245" s="589"/>
      <c r="CM245" s="587"/>
      <c r="CN245" s="587"/>
      <c r="CO245" s="589"/>
      <c r="CP245" s="587"/>
      <c r="CQ245" s="592"/>
      <c r="CR245" s="589"/>
      <c r="CS245" s="592"/>
      <c r="CT245" s="589"/>
      <c r="CU245" s="589"/>
      <c r="CV245" s="589"/>
      <c r="CW245" s="587"/>
      <c r="CX245" s="590"/>
      <c r="CY245" s="590"/>
      <c r="CZ245" s="590"/>
      <c r="DA245" s="1054"/>
      <c r="DB245" s="1054"/>
      <c r="DC245" s="587"/>
      <c r="DD245" s="587"/>
    </row>
    <row r="246" spans="1:108" s="588" customFormat="1" x14ac:dyDescent="0.2">
      <c r="A246" s="589">
        <f t="shared" si="3"/>
        <v>236</v>
      </c>
      <c r="B246" s="587"/>
      <c r="C246" s="587"/>
      <c r="D246" s="587"/>
      <c r="J246" s="589"/>
      <c r="K246" s="590"/>
      <c r="L246" s="591"/>
      <c r="M246" s="592"/>
      <c r="N246" s="589"/>
      <c r="O246" s="587"/>
      <c r="R246" s="1052"/>
      <c r="S246" s="1052"/>
      <c r="T246" s="1052"/>
      <c r="U246" s="1052"/>
      <c r="V246" s="1052"/>
      <c r="W246" s="1053"/>
      <c r="X246" s="1053"/>
      <c r="Y246" s="1053"/>
      <c r="Z246" s="1052"/>
      <c r="AA246" s="1052"/>
      <c r="AB246" s="962"/>
      <c r="AC246" s="590"/>
      <c r="AD246" s="590"/>
      <c r="AE246" s="591"/>
      <c r="AF246" s="592"/>
      <c r="AG246" s="1053"/>
      <c r="AH246" s="587"/>
      <c r="AK246" s="1041" t="str">
        <f>Codes!$C$172</f>
        <v>TR - Aerial Tramway (PT)</v>
      </c>
      <c r="AL246" s="1042" t="str">
        <f>Valid!$B$89</f>
        <v>Third Rail/Power Distribution</v>
      </c>
      <c r="AM246" s="1108"/>
      <c r="AN246" s="1042"/>
      <c r="AO246" s="1108"/>
      <c r="AP246" s="1042"/>
      <c r="AQ246" s="1147" t="e">
        <f>IF('A-80 DirEntInv'!#REF!&lt;&gt;"",'A-80 DirEntInv'!#REF!,IF(AK246=summaryref2!B23,summaryref2!G23,IF(Summary!AK246=summaryref2!B37,summaryref2!G37,IF(AK246=summaryref2!B51,summaryref2!G51,IF(AK246=summaryref2!B65,summaryref2!G65,IF(AK246=summaryref2!B79,summaryref2!G79,IF(AK246=summaryref2!B93,summaryref2!G93,IF(AK246=summaryref2!B107,summaryref2!G107,IF(AK246=summaryref2!B121,summaryref2!G121,IF(AK246=summaryref2!B135,summaryref2!G135,IF(AK246=summaryref2!B149,summaryref2!G149,"")))))))))))</f>
        <v>#REF!</v>
      </c>
      <c r="AR246" s="1147" t="e">
        <f>IF('A-80 DirEntInv'!#REF!&lt;&gt;"",'A-80 DirEntInv'!#REF!,IF(AK246=summaryref2!B23,summaryref2!H23,IF(Summary!AK246=summaryref2!B37,summaryref2!H37,IF(AK246=summaryref2!B51,summaryref2!H51,IF(AK246=summaryref2!B65,summaryref2!H65,IF(AK246=summaryref2!B79,summaryref2!H79,IF(AK246=summaryref2!B93,summaryref2!H93,IF(AK246=summaryref2!B107,summaryref2!H107,IF(AK246=summaryref2!B121,summaryref2!H121,IF(AK246=summaryref2!B135,summaryref2!H135,IF(AK246=summaryref2!B149,summaryref2!H149,"")))))))))))</f>
        <v>#REF!</v>
      </c>
      <c r="AS246" s="1110" t="e">
        <f>IF('A-80 DirEntInv'!#REF!&lt;&gt;"",'A-80 DirEntInv'!#REF!,IF(AK246=summaryref2!B23,summaryref2!I23,IF(Summary!AK246=summaryref2!B37,summaryref2!I37,IF(AK246=summaryref2!B51,summaryref2!I51,IF(AK246=summaryref2!B65,summaryref2!I65,IF(AK246=summaryref2!B79,summaryref2!I79,IF(AK246=summaryref2!B93,summaryref2!I93,IF(AK246=summaryref2!B107,summaryref2!I107,IF(AK246=summaryref2!B121,summaryref2!I121,IF(AK246=summaryref2!B135,summaryref2!I135,IF(AK246=summaryref2!B149,summaryref2!I149,"")))))))))))</f>
        <v>#REF!</v>
      </c>
      <c r="AT246" s="1110" t="e">
        <f>IF('A-80 DirEntInv'!#REF!&lt;&gt;"",'A-80 DirEntInv'!#REF!,IF(AK246=summaryref2!B23,summaryref2!J23,IF(Summary!AK246=summaryref2!B37,summaryref2!J37,IF(AK246=summaryref2!B51,summaryref2!J51,IF(AK246=summaryref2!B65,summaryref2!J65,IF(AK246=summaryref2!B79,summaryref2!J79,IF(AK246=summaryref2!B93,summaryref2!J93,IF(AK246=summaryref2!B107,summaryref2!J107,IF(AK246=summaryref2!B121,summaryref2!J121,IF(AK246=summaryref2!B135,summaryref2!J135,IF(AK246=summaryref2!B149,summaryref2!J149,"")))))))))))</f>
        <v>#REF!</v>
      </c>
      <c r="AU246" s="1110" t="e">
        <f>IF('A-80 DirEntInv'!#REF!&lt;&gt;"",'A-80 DirEntInv'!#REF!,IF(AK246=summaryref2!B23,summaryref2!K23,IF(Summary!AK246=summaryref2!B37,summaryref2!K37,IF(AK246=summaryref2!B51,summaryref2!K51,IF(AK246=summaryref2!B65,summaryref2!K65,IF(AK246=summaryref2!B79,summaryref2!K79,IF(AK246=summaryref2!B93,summaryref2!K93,IF(AK246=summaryref2!B107,summaryref2!K107,IF(AK246=summaryref2!B121,summaryref2!K121,IF(AK246=summaryref2!B135,summaryref2!K135,IF(AK246=summaryref2!B149,summaryref2!K149,"")))))))))))</f>
        <v>#REF!</v>
      </c>
      <c r="AV246" s="1110" t="e">
        <f>IF('A-80 DirEntInv'!#REF!&lt;&gt;"",'A-80 DirEntInv'!#REF!,IF(AK246=summaryref2!B23,summaryref2!L23,IF(Summary!AK246=summaryref2!B37,summaryref2!L37,IF(AK246=summaryref2!B51,summaryref2!L51,IF(AK246=summaryref2!B65,summaryref2!L65,IF(AK246=summaryref2!B79,summaryref2!L79,IF(AK246=summaryref2!B93,summaryref2!L93,IF(AK246=summaryref2!B107,summaryref2!L107,IF(AK246=summaryref2!B121,summaryref2!L121,IF(AK246=summaryref2!B135,summaryref2!L135,IF(AK246=summaryref2!B149,summaryref2!L149,"")))))))))))</f>
        <v>#REF!</v>
      </c>
      <c r="AW246" s="1110" t="e">
        <f>IF('A-80 DirEntInv'!#REF!&lt;&gt;"",'A-80 DirEntInv'!#REF!,IF(AK246=summaryref2!B23,summaryref2!M23,IF(Summary!AK246=summaryref2!B37,summaryref2!M37,IF(AK246=summaryref2!B51,summaryref2!M51,IF(AK246=summaryref2!B65,summaryref2!M65,IF(AK246=summaryref2!B79,summaryref2!M79,IF(AK246=summaryref2!B93,summaryref2!M93,IF(AK246=summaryref2!B107,summaryref2!M107,IF(AK246=summaryref2!B121,summaryref2!M121,IF(AK246=summaryref2!B135,summaryref2!M135,IF(AK246=summaryref2!B149,summaryref2!M149,"")))))))))))</f>
        <v>#REF!</v>
      </c>
      <c r="AX246" s="1110" t="e">
        <f>IF('A-80 DirEntInv'!#REF!&lt;&gt;"",'A-80 DirEntInv'!#REF!,IF(AK246=summaryref2!B23,summaryref2!N23,IF(Summary!AK246=summaryref2!B37,summaryref2!N37,IF(AK246=summaryref2!B51,summaryref2!N51,IF(AK246=summaryref2!B65,summaryref2!N65,IF(AK246=summaryref2!B79,summaryref2!N79,IF(AK246=summaryref2!B93,summaryref2!N93,IF(AK246=summaryref2!B107,summaryref2!N107,IF(AK246=summaryref2!B121,summaryref2!N121,IF(AK246=summaryref2!B135,summaryref2!N135,IF(AK246=summaryref2!B149,summaryref2!N149,"")))))))))))</f>
        <v>#REF!</v>
      </c>
      <c r="AY246" s="1110" t="e">
        <f>IF('A-80 DirEntInv'!#REF!&lt;&gt;"",'A-80 DirEntInv'!#REF!,IF(AK246=summaryref2!B23,summaryref2!O23,IF(Summary!AK246=summaryref2!B37,summaryref2!O37,IF(AK246=summaryref2!B51,summaryref2!O51,IF(AK246=summaryref2!B65,summaryref2!O65,IF(AK246=summaryref2!B79,summaryref2!O79,IF(AK246=summaryref2!B93,summaryref2!O93,IF(AK246=summaryref2!B107,summaryref2!O107,IF(AK246=summaryref2!B121,summaryref2!O121,IF(AK246=summaryref2!B135,summaryref2!O135,IF(AK246=summaryref2!B149,summaryref2!O149,"")))))))))))</f>
        <v>#REF!</v>
      </c>
      <c r="AZ246" s="1110" t="e">
        <f>IF('A-80 DirEntInv'!#REF!&lt;&gt;"",'A-80 DirEntInv'!#REF!,IF(AK246=summaryref2!B23,summaryref2!P23,IF(Summary!AK246=summaryref2!B37,summaryref2!P37,IF(AK246=summaryref2!B51,summaryref2!P51,IF(AK246=summaryref2!B65,summaryref2!P65,IF(AK246=summaryref2!B79,summaryref2!P79,IF(AK246=summaryref2!B93,summaryref2!P93,IF(AK246=summaryref2!B107,summaryref2!P107,IF(AK246=summaryref2!B121,summaryref2!P121,IF(AK246=summaryref2!B135,summaryref2!P135,IF(AK246=summaryref2!B149,summaryref2!P149,"")))))))))))</f>
        <v>#REF!</v>
      </c>
      <c r="BA246" s="1110" t="e">
        <f>IF('A-80 DirEntInv'!#REF!&lt;&gt;"",'A-80 DirEntInv'!#REF!,IF(AK246=summaryref2!B23,summaryref2!Q23,IF(Summary!AK246=summaryref2!B37,summaryref2!Q37,IF(AK246=summaryref2!B51,summaryref2!Q51,IF(AK246=summaryref2!B65,summaryref2!Q65,IF(AK246=summaryref2!B79,summaryref2!Q79,IF(AK246=summaryref2!B93,summaryref2!Q93,IF(AK246=summaryref2!B107,summaryref2!Q107,IF(AK246=summaryref2!B121,summaryref2!Q121,IF(AK246=summaryref2!B135,summaryref2!Q135,IF(AK246=summaryref2!B149,summaryref2!Q149,"")))))))))))</f>
        <v>#REF!</v>
      </c>
      <c r="BB246" s="1110" t="e">
        <f>IF('A-80 DirEntInv'!#REF!&lt;&gt;"",'A-80 DirEntInv'!#REF!,IF(AK246=summaryref2!B23,summaryref2!R23,IF(Summary!AK246=summaryref2!B37,summaryref2!R37,IF(AK246=summaryref2!B51,summaryref2!R51,IF(AK246=summaryref2!B65,summaryref2!R65,IF(AK246=summaryref2!B79,summaryref2!R79,IF(AK246=summaryref2!B93,summaryref2!R93,IF(AK246=summaryref2!B107,summaryref2!R107,IF(AK246=summaryref2!B121,summaryref2!R121,IF(AK246=summaryref2!B135,summaryref2!R135,IF(AK246=summaryref2!B149,summaryref2!R149,"")))))))))))</f>
        <v>#REF!</v>
      </c>
      <c r="BC246" s="1110" t="e">
        <f>IF('A-80 DirEntInv'!#REF!&lt;&gt;0,'A-80 DirEntInv'!#REF!,IF(AK246=summaryref2!B23,summaryref2!S23,IF(Summary!AK246=summaryref2!B37,summaryref2!S37,IF(AK246=summaryref2!B51,summaryref2!S51,IF(AK246=summaryref2!B65,summaryref2!S65,IF(AK246=summaryref2!B79,summaryref2!S79,IF(AK246=summaryref2!B93,summaryref2!S93,IF(AK246=summaryref2!B107,summaryref2!S107,IF(AK246=summaryref2!B121,summaryref2!S121,IF(AK246=summaryref2!B135,summaryref2!S135,IF(AK246=summaryref2!B149,summaryref2!S149,"")))))))))))</f>
        <v>#REF!</v>
      </c>
      <c r="BD246" s="1111" t="e">
        <f>IF('A-80 DirEntInv'!#REF!&lt;&gt;"",'A-80 DirEntInv'!#REF!,IF(AK246=summaryref2!B23,summaryref2!T23,IF(Summary!AK246=summaryref2!B37,summaryref2!T37,IF(AK246=summaryref2!B51,summaryref2!T51,IF(AK246=summaryref2!B65,summaryref2!T65,IF(AK246=summaryref2!B79,summaryref2!T79,IF(AK246=summaryref2!B93,summaryref2!T93,IF(AK246=summaryref2!B107,summaryref2!T107,IF(AK246=summaryref2!B121,summaryref2!T121,IF(AK246=summaryref2!B135,summaryref2!T135,IF(AK246=summaryref2!B149,summaryref2!T149,"")))))))))))</f>
        <v>#REF!</v>
      </c>
      <c r="BE246" s="1184" t="e">
        <f>IF('A-80 DirEntInv'!#REF!&lt;&gt;"",'A-80 DirEntInv'!#REF!,IF(AK246=summaryref2!B23,summaryref2!U23,IF(Summary!AK246=summaryref2!B37,summaryref2!U37,IF(AK246=summaryref2!B51,summaryref2!U51,IF(AK246=summaryref2!B65,summaryref2!U65,IF(AK246=summaryref2!B79,summaryref2!U79,IF(AK246=summaryref2!B93,summaryref2!U93,IF(AK246=summaryref2!B107,summaryref2!U107,IF(AK246=summaryref2!B121,summaryref2!U121,IF(AK246=summaryref2!B135,summaryref2!U135,IF(AK246=summaryref2!B149,summaryref2!U149,"")))))))))))</f>
        <v>#REF!</v>
      </c>
      <c r="BF246" s="1432"/>
      <c r="BG246" s="1432"/>
      <c r="BU246" s="962"/>
      <c r="CD246" s="589"/>
      <c r="CE246" s="590"/>
      <c r="CF246" s="590"/>
      <c r="CG246" s="590"/>
      <c r="CH246" s="590"/>
      <c r="CI246" s="590"/>
      <c r="CJ246" s="589"/>
      <c r="CK246" s="589"/>
      <c r="CL246" s="589"/>
      <c r="CM246" s="587"/>
      <c r="CN246" s="587"/>
      <c r="CO246" s="589"/>
      <c r="CP246" s="587"/>
      <c r="CQ246" s="592"/>
      <c r="CR246" s="589"/>
      <c r="CS246" s="592"/>
      <c r="CT246" s="589"/>
      <c r="CU246" s="589"/>
      <c r="CV246" s="589"/>
      <c r="CW246" s="587"/>
      <c r="CX246" s="590"/>
      <c r="CY246" s="590"/>
      <c r="CZ246" s="590"/>
      <c r="DA246" s="1054"/>
      <c r="DB246" s="1054"/>
      <c r="DC246" s="587"/>
      <c r="DD246" s="587"/>
    </row>
    <row r="247" spans="1:108" s="588" customFormat="1" x14ac:dyDescent="0.2">
      <c r="A247" s="589">
        <f t="shared" si="3"/>
        <v>237</v>
      </c>
      <c r="B247" s="587"/>
      <c r="C247" s="587"/>
      <c r="D247" s="587"/>
      <c r="J247" s="589"/>
      <c r="K247" s="590"/>
      <c r="L247" s="591"/>
      <c r="M247" s="592"/>
      <c r="N247" s="589"/>
      <c r="O247" s="587"/>
      <c r="R247" s="1052"/>
      <c r="S247" s="1052"/>
      <c r="T247" s="1052"/>
      <c r="U247" s="1052"/>
      <c r="V247" s="1052"/>
      <c r="W247" s="1053"/>
      <c r="X247" s="1053"/>
      <c r="Y247" s="1053"/>
      <c r="Z247" s="1052"/>
      <c r="AA247" s="1052"/>
      <c r="AB247" s="962"/>
      <c r="AC247" s="590"/>
      <c r="AD247" s="590"/>
      <c r="AE247" s="591"/>
      <c r="AF247" s="592"/>
      <c r="AG247" s="1053"/>
      <c r="AH247" s="587"/>
      <c r="AK247" s="1041" t="str">
        <f>Codes!$C$172</f>
        <v>TR - Aerial Tramway (PT)</v>
      </c>
      <c r="AL247" s="1042" t="str">
        <f>Valid!$B$90</f>
        <v>Overhead Contact System/Power Distribution</v>
      </c>
      <c r="AM247" s="1108"/>
      <c r="AN247" s="1042"/>
      <c r="AO247" s="1108"/>
      <c r="AP247" s="1042"/>
      <c r="AQ247" s="1147" t="e">
        <f>IF('A-80 DirEntInv'!#REF!&lt;&gt;"",'A-80 DirEntInv'!#REF!,IF(AK247=summaryref2!B24,summaryref2!G24,IF(Summary!AK247=summaryref2!B38,summaryref2!G38,IF(AK247=summaryref2!B52,summaryref2!G52,IF(AK247=summaryref2!B66,summaryref2!G66,IF(AK247=summaryref2!B80,summaryref2!G80,IF(AK247=summaryref2!B94,summaryref2!G94,IF(AK247=summaryref2!B108,summaryref2!G108,IF(AK247=summaryref2!B122,summaryref2!G122,IF(AK247=summaryref2!B136,summaryref2!G136,IF(AK247=summaryref2!B150,summaryref2!G150,"")))))))))))</f>
        <v>#REF!</v>
      </c>
      <c r="AR247" s="1147" t="e">
        <f>IF('A-80 DirEntInv'!#REF!&lt;&gt;"",'A-80 DirEntInv'!#REF!,IF(AK247=summaryref2!B24,summaryref2!H24,IF(Summary!AK247=summaryref2!B38,summaryref2!H38,IF(AK247=summaryref2!B52,summaryref2!H52,IF(AK247=summaryref2!B66,summaryref2!H66,IF(AK247=summaryref2!B80,summaryref2!H80,IF(AK247=summaryref2!B94,summaryref2!H94,IF(AK247=summaryref2!B108,summaryref2!H108,IF(AK247=summaryref2!B122,summaryref2!H122,IF(AK247=summaryref2!B136,summaryref2!H136,IF(AK247=summaryref2!B150,summaryref2!H150,"")))))))))))</f>
        <v>#REF!</v>
      </c>
      <c r="AS247" s="1110" t="e">
        <f>IF('A-80 DirEntInv'!#REF!&lt;&gt;"",'A-80 DirEntInv'!#REF!,IF(AK247=summaryref2!B24,summaryref2!I24,IF(Summary!AK247=summaryref2!B38,summaryref2!I38,IF(AK247=summaryref2!B52,summaryref2!I52,IF(AK247=summaryref2!B66,summaryref2!I66,IF(AK247=summaryref2!B80,summaryref2!I80,IF(AK247=summaryref2!B94,summaryref2!I94,IF(AK247=summaryref2!B108,summaryref2!I108,IF(AK247=summaryref2!B122,summaryref2!I122,IF(AK247=summaryref2!B136,summaryref2!I136,IF(AK247=summaryref2!B150,summaryref2!I150,"")))))))))))</f>
        <v>#REF!</v>
      </c>
      <c r="AT247" s="1110" t="e">
        <f>IF('A-80 DirEntInv'!#REF!&lt;&gt;"",'A-80 DirEntInv'!#REF!,IF(AK247=summaryref2!B24,summaryref2!J24,IF(Summary!AK247=summaryref2!B38,summaryref2!J38,IF(AK247=summaryref2!B52,summaryref2!J52,IF(AK247=summaryref2!B66,summaryref2!J66,IF(AK247=summaryref2!B80,summaryref2!J80,IF(AK247=summaryref2!B94,summaryref2!J94,IF(AK247=summaryref2!B108,summaryref2!J108,IF(AK247=summaryref2!B122,summaryref2!J122,IF(AK247=summaryref2!B136,summaryref2!J136,IF(AK247=summaryref2!B150,summaryref2!J150,"")))))))))))</f>
        <v>#REF!</v>
      </c>
      <c r="AU247" s="1110" t="e">
        <f>IF('A-80 DirEntInv'!#REF!&lt;&gt;"",'A-80 DirEntInv'!#REF!,IF(AK247=summaryref2!B24,summaryref2!K24,IF(Summary!AK247=summaryref2!B38,summaryref2!K38,IF(AK247=summaryref2!B52,summaryref2!K52,IF(AK247=summaryref2!B66,summaryref2!K66,IF(AK247=summaryref2!B80,summaryref2!K80,IF(AK247=summaryref2!B94,summaryref2!K94,IF(AK247=summaryref2!B108,summaryref2!K108,IF(AK247=summaryref2!B122,summaryref2!K122,IF(AK247=summaryref2!B136,summaryref2!K136,IF(AK247=summaryref2!B150,summaryref2!K150,"")))))))))))</f>
        <v>#REF!</v>
      </c>
      <c r="AV247" s="1110" t="e">
        <f>IF('A-80 DirEntInv'!#REF!&lt;&gt;"",'A-80 DirEntInv'!#REF!,IF(AK247=summaryref2!B24,summaryref2!L24,IF(Summary!AK247=summaryref2!B38,summaryref2!L38,IF(AK247=summaryref2!B52,summaryref2!L52,IF(AK247=summaryref2!B66,summaryref2!L66,IF(AK247=summaryref2!B80,summaryref2!L80,IF(AK247=summaryref2!B94,summaryref2!L94,IF(AK247=summaryref2!B108,summaryref2!L108,IF(AK247=summaryref2!B122,summaryref2!L122,IF(AK247=summaryref2!B136,summaryref2!L136,IF(AK247=summaryref2!B150,summaryref2!L150,"")))))))))))</f>
        <v>#REF!</v>
      </c>
      <c r="AW247" s="1110" t="e">
        <f>IF('A-80 DirEntInv'!#REF!&lt;&gt;"",'A-80 DirEntInv'!#REF!,IF(AK247=summaryref2!B24,summaryref2!M24,IF(Summary!AK247=summaryref2!B38,summaryref2!M38,IF(AK247=summaryref2!B52,summaryref2!M52,IF(AK247=summaryref2!B66,summaryref2!M66,IF(AK247=summaryref2!B80,summaryref2!M80,IF(AK247=summaryref2!B94,summaryref2!M94,IF(AK247=summaryref2!B108,summaryref2!M108,IF(AK247=summaryref2!B122,summaryref2!M122,IF(AK247=summaryref2!B136,summaryref2!M136,IF(AK247=summaryref2!B150,summaryref2!M150,"")))))))))))</f>
        <v>#REF!</v>
      </c>
      <c r="AX247" s="1110" t="e">
        <f>IF('A-80 DirEntInv'!#REF!&lt;&gt;"",'A-80 DirEntInv'!#REF!,IF(AK247=summaryref2!B24,summaryref2!N24,IF(Summary!AK247=summaryref2!B38,summaryref2!N38,IF(AK247=summaryref2!B52,summaryref2!N52,IF(AK247=summaryref2!B66,summaryref2!N66,IF(AK247=summaryref2!B80,summaryref2!N80,IF(AK247=summaryref2!B94,summaryref2!N94,IF(AK247=summaryref2!B108,summaryref2!N108,IF(AK247=summaryref2!B122,summaryref2!N122,IF(AK247=summaryref2!B136,summaryref2!N136,IF(AK247=summaryref2!B150,summaryref2!N150,"")))))))))))</f>
        <v>#REF!</v>
      </c>
      <c r="AY247" s="1110" t="e">
        <f>IF('A-80 DirEntInv'!#REF!&lt;&gt;"",'A-80 DirEntInv'!#REF!,IF(AK247=summaryref2!B24,summaryref2!O24,IF(Summary!AK247=summaryref2!B38,summaryref2!O38,IF(AK247=summaryref2!B52,summaryref2!O52,IF(AK247=summaryref2!B66,summaryref2!O66,IF(AK247=summaryref2!B80,summaryref2!O80,IF(AK247=summaryref2!B94,summaryref2!O94,IF(AK247=summaryref2!B108,summaryref2!O108,IF(AK247=summaryref2!B122,summaryref2!O122,IF(AK247=summaryref2!B136,summaryref2!O136,IF(AK247=summaryref2!B150,summaryref2!O150,"")))))))))))</f>
        <v>#REF!</v>
      </c>
      <c r="AZ247" s="1110" t="e">
        <f>IF('A-80 DirEntInv'!#REF!&lt;&gt;"",'A-80 DirEntInv'!#REF!,IF(AK247=summaryref2!B24,summaryref2!P24,IF(Summary!AK247=summaryref2!B38,summaryref2!P38,IF(AK247=summaryref2!B52,summaryref2!P52,IF(AK247=summaryref2!B66,summaryref2!P66,IF(AK247=summaryref2!B80,summaryref2!P80,IF(AK247=summaryref2!B94,summaryref2!P94,IF(AK247=summaryref2!B108,summaryref2!P108,IF(AK247=summaryref2!B122,summaryref2!P122,IF(AK247=summaryref2!B136,summaryref2!P136,IF(AK247=summaryref2!B150,summaryref2!P150,"")))))))))))</f>
        <v>#REF!</v>
      </c>
      <c r="BA247" s="1110" t="e">
        <f>IF('A-80 DirEntInv'!#REF!&lt;&gt;"",'A-80 DirEntInv'!#REF!,IF(AK247=summaryref2!B24,summaryref2!Q24,IF(Summary!AK247=summaryref2!B38,summaryref2!Q38,IF(AK247=summaryref2!B52,summaryref2!Q52,IF(AK247=summaryref2!B66,summaryref2!Q66,IF(AK247=summaryref2!B80,summaryref2!Q80,IF(AK247=summaryref2!B94,summaryref2!Q94,IF(AK247=summaryref2!B108,summaryref2!Q108,IF(AK247=summaryref2!B122,summaryref2!Q122,IF(AK247=summaryref2!B136,summaryref2!Q136,IF(AK247=summaryref2!B150,summaryref2!Q150,"")))))))))))</f>
        <v>#REF!</v>
      </c>
      <c r="BB247" s="1110" t="e">
        <f>IF('A-80 DirEntInv'!#REF!&lt;&gt;"",'A-80 DirEntInv'!#REF!,IF(AK247=summaryref2!B24,summaryref2!R24,IF(Summary!AK247=summaryref2!B38,summaryref2!R38,IF(AK247=summaryref2!B52,summaryref2!R52,IF(AK247=summaryref2!B66,summaryref2!R66,IF(AK247=summaryref2!B80,summaryref2!R80,IF(AK247=summaryref2!B94,summaryref2!R94,IF(AK247=summaryref2!B108,summaryref2!R108,IF(AK247=summaryref2!B122,summaryref2!R122,IF(AK247=summaryref2!B136,summaryref2!R136,IF(AK247=summaryref2!B150,summaryref2!R150,"")))))))))))</f>
        <v>#REF!</v>
      </c>
      <c r="BC247" s="1110" t="e">
        <f>IF('A-80 DirEntInv'!#REF!&lt;&gt;0,'A-80 DirEntInv'!#REF!,IF(AK247=summaryref2!B24,summaryref2!S24,IF(Summary!AK247=summaryref2!B38,summaryref2!S38,IF(AK247=summaryref2!B52,summaryref2!S52,IF(AK247=summaryref2!B66,summaryref2!S66,IF(AK247=summaryref2!B80,summaryref2!S80,IF(AK247=summaryref2!B94,summaryref2!S94,IF(AK247=summaryref2!B108,summaryref2!S108,IF(AK247=summaryref2!B122,summaryref2!S122,IF(AK247=summaryref2!B136,summaryref2!S136,IF(AK247=summaryref2!B150,summaryref2!S150,"")))))))))))</f>
        <v>#REF!</v>
      </c>
      <c r="BD247" s="1111" t="e">
        <f>IF('A-80 DirEntInv'!#REF!&lt;&gt;"",'A-80 DirEntInv'!#REF!,IF(AK247=summaryref2!B24,summaryref2!T24,IF(Summary!AK247=summaryref2!B38,summaryref2!T38,IF(AK247=summaryref2!B52,summaryref2!T52,IF(AK247=summaryref2!B66,summaryref2!T66,IF(AK247=summaryref2!B80,summaryref2!T80,IF(AK247=summaryref2!B94,summaryref2!T94,IF(AK247=summaryref2!B108,summaryref2!T108,IF(AK247=summaryref2!B122,summaryref2!T122,IF(AK247=summaryref2!B136,summaryref2!T136,IF(AK247=summaryref2!B150,summaryref2!T150,"")))))))))))</f>
        <v>#REF!</v>
      </c>
      <c r="BE247" s="1184" t="e">
        <f>IF('A-80 DirEntInv'!#REF!&lt;&gt;"",'A-80 DirEntInv'!#REF!,IF(AK247=summaryref2!B24,summaryref2!U24,IF(Summary!AK247=summaryref2!B38,summaryref2!U38,IF(AK247=summaryref2!B52,summaryref2!U52,IF(AK247=summaryref2!B66,summaryref2!U66,IF(AK247=summaryref2!B80,summaryref2!U80,IF(AK247=summaryref2!B94,summaryref2!U94,IF(AK247=summaryref2!B108,summaryref2!U108,IF(AK247=summaryref2!B122,summaryref2!U122,IF(AK247=summaryref2!B136,summaryref2!U136,IF(AK247=summaryref2!B150,summaryref2!U150,"")))))))))))</f>
        <v>#REF!</v>
      </c>
      <c r="BF247" s="1432"/>
      <c r="BG247" s="1432"/>
      <c r="BU247" s="962"/>
      <c r="CD247" s="589"/>
      <c r="CE247" s="590"/>
      <c r="CF247" s="590"/>
      <c r="CG247" s="590"/>
      <c r="CH247" s="590"/>
      <c r="CI247" s="590"/>
      <c r="CJ247" s="589"/>
      <c r="CK247" s="589"/>
      <c r="CL247" s="589"/>
      <c r="CM247" s="587"/>
      <c r="CN247" s="587"/>
      <c r="CO247" s="589"/>
      <c r="CP247" s="587"/>
      <c r="CQ247" s="592"/>
      <c r="CR247" s="589"/>
      <c r="CS247" s="592"/>
      <c r="CT247" s="589"/>
      <c r="CU247" s="589"/>
      <c r="CV247" s="589"/>
      <c r="CW247" s="587"/>
      <c r="CX247" s="590"/>
      <c r="CY247" s="590"/>
      <c r="CZ247" s="590"/>
      <c r="DA247" s="1054"/>
      <c r="DB247" s="1054"/>
      <c r="DC247" s="587"/>
      <c r="DD247" s="587"/>
    </row>
    <row r="248" spans="1:108" s="588" customFormat="1" ht="13.5" thickBot="1" x14ac:dyDescent="0.25">
      <c r="A248" s="589">
        <f t="shared" si="3"/>
        <v>238</v>
      </c>
      <c r="B248" s="587"/>
      <c r="C248" s="587"/>
      <c r="D248" s="587"/>
      <c r="J248" s="589"/>
      <c r="K248" s="590"/>
      <c r="L248" s="591"/>
      <c r="M248" s="592"/>
      <c r="N248" s="589"/>
      <c r="O248" s="587"/>
      <c r="R248" s="1052"/>
      <c r="S248" s="1052"/>
      <c r="T248" s="1052"/>
      <c r="U248" s="1052"/>
      <c r="V248" s="1052"/>
      <c r="W248" s="1053"/>
      <c r="X248" s="1053"/>
      <c r="Y248" s="1053"/>
      <c r="Z248" s="1052"/>
      <c r="AA248" s="1052"/>
      <c r="AB248" s="962"/>
      <c r="AC248" s="590"/>
      <c r="AD248" s="590"/>
      <c r="AE248" s="591"/>
      <c r="AF248" s="592"/>
      <c r="AG248" s="1053"/>
      <c r="AH248" s="587"/>
      <c r="AK248" s="1047" t="str">
        <f>Codes!$C$172</f>
        <v>TR - Aerial Tramway (PT)</v>
      </c>
      <c r="AL248" s="1050" t="str">
        <f>Valid!$B$91</f>
        <v>Train Control &amp; Signaling</v>
      </c>
      <c r="AM248" s="1185"/>
      <c r="AN248" s="1050"/>
      <c r="AO248" s="1185"/>
      <c r="AP248" s="1050"/>
      <c r="AQ248" s="1386" t="e">
        <f>IF('A-80 DirEntInv'!#REF!&lt;&gt;"",'A-80 DirEntInv'!#REF!,IF(AK248=summaryref2!B25,summaryref2!G25,IF(Summary!AK248=summaryref2!B39,summaryref2!G39,IF(AK248=summaryref2!B53,summaryref2!G53,IF(AK248=summaryref2!B67,summaryref2!G67,IF(AK248=summaryref2!B81,summaryref2!G81,IF(AK248=summaryref2!B95,summaryref2!G95,IF(AK248=summaryref2!B109,summaryref2!G109,IF(AK248=summaryref2!B123,summaryref2!G123,IF(AK248=summaryref2!B137,summaryref2!G137,IF(AK248=summaryref2!B151,summaryref2!G151,"")))))))))))</f>
        <v>#REF!</v>
      </c>
      <c r="AR248" s="1386" t="e">
        <f>IF('A-80 DirEntInv'!#REF!&lt;&gt;"",'A-80 DirEntInv'!#REF!,IF(AK248=summaryref2!B25,summaryref2!H25,IF(Summary!AK248=summaryref2!B39,summaryref2!H39,IF(AK248=summaryref2!B53,summaryref2!H53,IF(AK248=summaryref2!B67,summaryref2!H67,IF(AK248=summaryref2!B81,summaryref2!H81,IF(AK248=summaryref2!B95,summaryref2!H95,IF(AK248=summaryref2!B109,summaryref2!H109,IF(AK248=summaryref2!B123,summaryref2!H123,IF(AK248=summaryref2!B137,summaryref2!H137,IF(AK248=summaryref2!B151,summaryref2!H151,"")))))))))))</f>
        <v>#REF!</v>
      </c>
      <c r="AS248" s="1387" t="e">
        <f>IF('A-80 DirEntInv'!#REF!&lt;&gt;"",'A-80 DirEntInv'!#REF!,IF(AK248=summaryref2!B25,summaryref2!I25,IF(Summary!AK248=summaryref2!B39,summaryref2!I39,IF(AK248=summaryref2!B53,summaryref2!I53,IF(AK248=summaryref2!B67,summaryref2!I67,IF(AK248=summaryref2!B81,summaryref2!I81,IF(AK248=summaryref2!B95,summaryref2!I95,IF(AK248=summaryref2!B109,summaryref2!I109,IF(AK248=summaryref2!B123,summaryref2!I123,IF(AK248=summaryref2!B137,summaryref2!I137,IF(AK248=summaryref2!B151,summaryref2!I151,"")))))))))))</f>
        <v>#REF!</v>
      </c>
      <c r="AT248" s="1387" t="e">
        <f>IF('A-80 DirEntInv'!#REF!&lt;&gt;"",'A-80 DirEntInv'!#REF!,IF(AK248=summaryref2!B25,summaryref2!J25,IF(Summary!AK248=summaryref2!B39,summaryref2!J39,IF(AK248=summaryref2!B53,summaryref2!J53,IF(AK248=summaryref2!B67,summaryref2!J67,IF(AK248=summaryref2!B81,summaryref2!J81,IF(AK248=summaryref2!B95,summaryref2!J95,IF(AK248=summaryref2!B109,summaryref2!J109,IF(AK248=summaryref2!B123,summaryref2!J123,IF(AK248=summaryref2!B137,summaryref2!J137,IF(AK248=summaryref2!B151,summaryref2!J151,"")))))))))))</f>
        <v>#REF!</v>
      </c>
      <c r="AU248" s="1387" t="e">
        <f>IF('A-80 DirEntInv'!#REF!&lt;&gt;"",'A-80 DirEntInv'!#REF!,IF(AK248=summaryref2!B25,summaryref2!K25,IF(Summary!AK248=summaryref2!B39,summaryref2!K39,IF(AK248=summaryref2!B53,summaryref2!K53,IF(AK248=summaryref2!B67,summaryref2!K67,IF(AK248=summaryref2!B81,summaryref2!K81,IF(AK248=summaryref2!B95,summaryref2!K95,IF(AK248=summaryref2!B109,summaryref2!K109,IF(AK248=summaryref2!B123,summaryref2!K123,IF(AK248=summaryref2!B137,summaryref2!K137,IF(AK248=summaryref2!B151,summaryref2!K151,"")))))))))))</f>
        <v>#REF!</v>
      </c>
      <c r="AV248" s="1387" t="e">
        <f>IF('A-80 DirEntInv'!#REF!&lt;&gt;"",'A-80 DirEntInv'!#REF!,IF(AK248=summaryref2!B25,summaryref2!L25,IF(Summary!AK248=summaryref2!B39,summaryref2!L39,IF(AK248=summaryref2!B53,summaryref2!L53,IF(AK248=summaryref2!B67,summaryref2!L67,IF(AK248=summaryref2!B81,summaryref2!L81,IF(AK248=summaryref2!B95,summaryref2!L95,IF(AK248=summaryref2!B109,summaryref2!L109,IF(AK248=summaryref2!B123,summaryref2!L123,IF(AK248=summaryref2!B137,summaryref2!L137,IF(AK248=summaryref2!B151,summaryref2!L151,"")))))))))))</f>
        <v>#REF!</v>
      </c>
      <c r="AW248" s="1387" t="e">
        <f>IF('A-80 DirEntInv'!#REF!&lt;&gt;"",'A-80 DirEntInv'!#REF!,IF(AK248=summaryref2!B25,summaryref2!M25,IF(Summary!AK248=summaryref2!B39,summaryref2!M39,IF(AK248=summaryref2!B53,summaryref2!M53,IF(AK248=summaryref2!B67,summaryref2!M67,IF(AK248=summaryref2!B81,summaryref2!M81,IF(AK248=summaryref2!B95,summaryref2!M95,IF(AK248=summaryref2!B109,summaryref2!M109,IF(AK248=summaryref2!B123,summaryref2!M123,IF(AK248=summaryref2!B137,summaryref2!M137,IF(AK248=summaryref2!B151,summaryref2!M151,"")))))))))))</f>
        <v>#REF!</v>
      </c>
      <c r="AX248" s="1387" t="e">
        <f>IF('A-80 DirEntInv'!#REF!&lt;&gt;"",'A-80 DirEntInv'!#REF!,IF(AK248=summaryref2!B25,summaryref2!N25,IF(Summary!AK248=summaryref2!B39,summaryref2!N39,IF(AK248=summaryref2!B53,summaryref2!N53,IF(AK248=summaryref2!B67,summaryref2!N67,IF(AK248=summaryref2!B81,summaryref2!N81,IF(AK248=summaryref2!B95,summaryref2!N95,IF(AK248=summaryref2!B109,summaryref2!N109,IF(AK248=summaryref2!B123,summaryref2!N123,IF(AK248=summaryref2!B137,summaryref2!N137,IF(AK248=summaryref2!B151,summaryref2!N151,"")))))))))))</f>
        <v>#REF!</v>
      </c>
      <c r="AY248" s="1387" t="e">
        <f>IF('A-80 DirEntInv'!#REF!&lt;&gt;"",'A-80 DirEntInv'!#REF!,IF(AK248=summaryref2!B25,summaryref2!O25,IF(Summary!AK248=summaryref2!B39,summaryref2!O39,IF(AK248=summaryref2!B53,summaryref2!O53,IF(AK248=summaryref2!B67,summaryref2!O67,IF(AK248=summaryref2!B81,summaryref2!O81,IF(AK248=summaryref2!B95,summaryref2!O95,IF(AK248=summaryref2!B109,summaryref2!O109,IF(AK248=summaryref2!B123,summaryref2!O123,IF(AK248=summaryref2!B137,summaryref2!O137,IF(AK248=summaryref2!B151,summaryref2!O151,"")))))))))))</f>
        <v>#REF!</v>
      </c>
      <c r="AZ248" s="1387" t="e">
        <f>IF('A-80 DirEntInv'!#REF!&lt;&gt;"",'A-80 DirEntInv'!#REF!,IF(AK248=summaryref2!B25,summaryref2!P25,IF(Summary!AK248=summaryref2!B39,summaryref2!P39,IF(AK248=summaryref2!B53,summaryref2!P53,IF(AK248=summaryref2!B67,summaryref2!P67,IF(AK248=summaryref2!B81,summaryref2!P81,IF(AK248=summaryref2!B95,summaryref2!P95,IF(AK248=summaryref2!B109,summaryref2!P109,IF(AK248=summaryref2!B123,summaryref2!P123,IF(AK248=summaryref2!B137,summaryref2!P137,IF(AK248=summaryref2!B151,summaryref2!P151,"")))))))))))</f>
        <v>#REF!</v>
      </c>
      <c r="BA248" s="1387" t="e">
        <f>IF('A-80 DirEntInv'!#REF!&lt;&gt;"",'A-80 DirEntInv'!#REF!,IF(AK248=summaryref2!B25,summaryref2!Q25,IF(Summary!AK248=summaryref2!B39,summaryref2!Q39,IF(AK248=summaryref2!B53,summaryref2!Q53,IF(AK248=summaryref2!B67,summaryref2!Q67,IF(AK248=summaryref2!B81,summaryref2!Q81,IF(AK248=summaryref2!B95,summaryref2!Q95,IF(AK248=summaryref2!B109,summaryref2!Q109,IF(AK248=summaryref2!B123,summaryref2!Q123,IF(AK248=summaryref2!B137,summaryref2!Q137,IF(AK248=summaryref2!B151,summaryref2!Q151,"")))))))))))</f>
        <v>#REF!</v>
      </c>
      <c r="BB248" s="1387" t="e">
        <f>IF('A-80 DirEntInv'!#REF!&lt;&gt;"",'A-80 DirEntInv'!#REF!,IF(AK248=summaryref2!B25,summaryref2!R25,IF(Summary!AK248=summaryref2!B39,summaryref2!R39,IF(AK248=summaryref2!B53,summaryref2!R53,IF(AK248=summaryref2!B67,summaryref2!R67,IF(AK248=summaryref2!B81,summaryref2!R81,IF(AK248=summaryref2!B95,summaryref2!R95,IF(AK248=summaryref2!B109,summaryref2!R109,IF(AK248=summaryref2!B123,summaryref2!R123,IF(AK248=summaryref2!B137,summaryref2!R137,IF(AK248=summaryref2!B151,summaryref2!R151,"")))))))))))</f>
        <v>#REF!</v>
      </c>
      <c r="BC248" s="1387" t="e">
        <f>IF('A-80 DirEntInv'!#REF!&lt;&gt;0,'A-80 DirEntInv'!#REF!,IF(AK248=summaryref2!B25,summaryref2!S25,IF(Summary!AK248=summaryref2!B39,summaryref2!S39,IF(AK248=summaryref2!B53,summaryref2!S53,IF(AK248=summaryref2!B67,summaryref2!S67,IF(AK248=summaryref2!B81,summaryref2!S81,IF(AK248=summaryref2!B95,summaryref2!S95,IF(AK248=summaryref2!B109,summaryref2!S109,IF(AK248=summaryref2!B123,summaryref2!S123,IF(AK248=summaryref2!B137,summaryref2!S137,IF(AK248=summaryref2!B151,summaryref2!S151,"")))))))))))</f>
        <v>#REF!</v>
      </c>
      <c r="BD248" s="1118" t="e">
        <f>IF('A-80 DirEntInv'!#REF!&lt;&gt;"",'A-80 DirEntInv'!#REF!,IF(AK248=summaryref2!B25,summaryref2!T25,IF(Summary!AK248=summaryref2!B39,summaryref2!T39,IF(AK248=summaryref2!B53,summaryref2!T53,IF(AK248=summaryref2!B67,summaryref2!T67,IF(AK248=summaryref2!B81,summaryref2!T81,IF(AK248=summaryref2!B95,summaryref2!T95,IF(AK248=summaryref2!B109,summaryref2!T109,IF(AK248=summaryref2!B123,summaryref2!T123,IF(AK248=summaryref2!B137,summaryref2!T137,IF(AK248=summaryref2!B151,summaryref2!T151,"")))))))))))</f>
        <v>#REF!</v>
      </c>
      <c r="BE248" s="1186" t="e">
        <f>IF('A-80 DirEntInv'!#REF!&lt;&gt;"",'A-80 DirEntInv'!#REF!,IF(AK248=summaryref2!B25,summaryref2!U25,IF(Summary!AK248=summaryref2!B39,summaryref2!U39,IF(AK248=summaryref2!B53,summaryref2!U53,IF(AK248=summaryref2!B67,summaryref2!U67,IF(AK248=summaryref2!B81,summaryref2!U81,IF(AK248=summaryref2!B95,summaryref2!U95,IF(AK248=summaryref2!B109,summaryref2!U109,IF(AK248=summaryref2!B123,summaryref2!U123,IF(AK248=summaryref2!B137,summaryref2!U137,IF(AK248=summaryref2!B151,summaryref2!U151,"")))))))))))</f>
        <v>#REF!</v>
      </c>
      <c r="BF248" s="1432"/>
      <c r="BG248" s="1432"/>
      <c r="BU248" s="962"/>
      <c r="CD248" s="589"/>
      <c r="CE248" s="590"/>
      <c r="CF248" s="590"/>
      <c r="CG248" s="590"/>
      <c r="CH248" s="590"/>
      <c r="CI248" s="590"/>
      <c r="CJ248" s="589"/>
      <c r="CK248" s="589"/>
      <c r="CL248" s="589"/>
      <c r="CM248" s="587"/>
      <c r="CN248" s="587"/>
      <c r="CO248" s="589"/>
      <c r="CP248" s="587"/>
      <c r="CQ248" s="592"/>
      <c r="CR248" s="589"/>
      <c r="CS248" s="592"/>
      <c r="CT248" s="589"/>
      <c r="CU248" s="589"/>
      <c r="CV248" s="589"/>
      <c r="CW248" s="587"/>
      <c r="CX248" s="590"/>
      <c r="CY248" s="590"/>
      <c r="CZ248" s="590"/>
      <c r="DA248" s="1054"/>
      <c r="DB248" s="1054"/>
      <c r="DC248" s="587"/>
      <c r="DD248" s="587"/>
    </row>
    <row r="249" spans="1:108" s="588" customFormat="1" x14ac:dyDescent="0.2">
      <c r="A249" s="589">
        <f t="shared" si="3"/>
        <v>239</v>
      </c>
      <c r="B249" s="587"/>
      <c r="C249" s="587"/>
      <c r="D249" s="587"/>
      <c r="J249" s="589"/>
      <c r="K249" s="590"/>
      <c r="L249" s="591"/>
      <c r="M249" s="592"/>
      <c r="N249" s="589"/>
      <c r="O249" s="587"/>
      <c r="R249" s="1052"/>
      <c r="S249" s="1052"/>
      <c r="T249" s="1052"/>
      <c r="U249" s="1052"/>
      <c r="V249" s="1052"/>
      <c r="W249" s="1053"/>
      <c r="X249" s="1053"/>
      <c r="Y249" s="1053"/>
      <c r="Z249" s="1052"/>
      <c r="AA249" s="1052"/>
      <c r="AB249" s="962"/>
      <c r="AC249" s="590"/>
      <c r="AD249" s="590"/>
      <c r="AE249" s="591"/>
      <c r="AF249" s="592"/>
      <c r="AG249" s="1053"/>
      <c r="AH249" s="587"/>
      <c r="AK249" s="1043" t="str">
        <f>Codes!$C$173</f>
        <v>YR - Hybrid Rail (DO)</v>
      </c>
      <c r="AL249" s="1303" t="str">
        <f>Valid!$B$71</f>
        <v>At-Grade/Ballast (including expressway)</v>
      </c>
      <c r="AM249" s="1092" t="e">
        <f>IF('A-80 DirEntInv'!#REF!&lt;&gt;"",'A-80 DirEntInv'!#REF!,IF(AK249=summaryref2!B12,summaryref2!D12,IF(Summary!AK249=summaryref2!B26,summaryref2!D26,IF(AK249=summaryref2!B40,summaryref2!D40,IF(AK249=summaryref2!B54,summaryref2!D54,IF(AK249=summaryref2!B68,summaryref2!D68,IF(AK249=summaryref2!B82,summaryref2!D82,IF(AK249=summaryref2!B96,summaryref2!D96,IF(AK249=summaryref2!B110,summaryref2!D110,IF(AK249=summaryref2!B124,summaryref2!D124,IF(AK249=summaryref2!B138,summaryref2!D138,"")))))))))))</f>
        <v>#REF!</v>
      </c>
      <c r="AN249" s="1127" t="e">
        <f ca="1">IF('A-80 DirEntInv'!#REF!&lt;&gt;"",'A-80 DirEntInv'!#REF!,IF(INDIRECT(ADDRESS(SumRef!CG287,SumRef!CG$16,,,SumRef!$C$7))="","",INDIRECT(ADDRESS(SumRef!CG287,SumRef!CG$16,,,SumRef!$C$7))))</f>
        <v>#REF!</v>
      </c>
      <c r="AO249" s="1092" t="e">
        <f>IF('A-80 DirEntInv'!#REF!&lt;&gt;"",'A-80 DirEntInv'!#REF!,IF(AK249=summaryref2!B12,summaryref2!F12,IF(Summary!AK249=summaryref2!B26,summaryref2!F26,IF(AK249=summaryref2!B40,summaryref2!F40,IF(AK249=summaryref2!B54,summaryref2!F54,IF(AK249=summaryref2!B68,summaryref2!F68,IF(AK249=summaryref2!B82,summaryref2!F82,IF(AK249=summaryref2!B96,summaryref2!F96,IF(AK249=summaryref2!B110,summaryref2!F110,IF(AK249=summaryref2!B124,summaryref2!F124,IF(AK249=summaryref2!B138,summaryref2!F138,"")))))))))))</f>
        <v>#REF!</v>
      </c>
      <c r="AP249" s="1127" t="e">
        <f ca="1">IF('A-80 DirEntInv'!#REF!&lt;&gt;"",'A-80 DirEntInv'!#REF!,IF(INDIRECT(ADDRESS(SumRef!#REF!,SumRef!#REF!,,,SumRef!$C$7))="","",INDIRECT(ADDRESS(SumRef!#REF!,SumRef!#REF!,,,SumRef!$C$7))))</f>
        <v>#REF!</v>
      </c>
      <c r="AQ249" s="1146" t="e">
        <f>IF('A-80 DirEntInv'!#REF!&lt;&gt;"",'A-80 DirEntInv'!#REF!,IF(AK249=summaryref2!B12,summaryref2!G12,IF(Summary!AK249=summaryref2!B26,summaryref2!G26,IF(AK249=summaryref2!B40,summaryref2!G40,IF(AK249=summaryref2!B54,summaryref2!G54,IF(AK249=summaryref2!B68,summaryref2!G68,IF(AK249=summaryref2!B82,summaryref2!G82,IF(AK249=summaryref2!B96,summaryref2!G96,IF(AK249=summaryref2!B110,summaryref2!G110,IF(AK249=summaryref2!B124,summaryref2!G124,IF(AK249=summaryref2!B138,summaryref2!G138,"")))))))))))</f>
        <v>#REF!</v>
      </c>
      <c r="AR249" s="1146" t="e">
        <f>IF('A-80 DirEntInv'!#REF!&lt;&gt;"",'A-80 DirEntInv'!#REF!,IF(AK249=summaryref2!B12,summaryref2!H12,IF(Summary!AK249=summaryref2!B26,summaryref2!H26,IF(AK249=summaryref2!B40,summaryref2!H40,IF(AK249=summaryref2!B54,summaryref2!H54,IF(AK249=summaryref2!B68,summaryref2!H68,IF(AK249=summaryref2!B82,summaryref2!H82,IF(AK249=summaryref2!B96,summaryref2!H96,IF(AK249=summaryref2!B110,summaryref2!H110,IF(AK249=summaryref2!B124,summaryref2!H124,IF(AK249=summaryref2!B138,summaryref2!H138,"")))))))))))</f>
        <v>#REF!</v>
      </c>
      <c r="AS249" s="1092" t="e">
        <f>IF('A-80 DirEntInv'!#REF!&lt;&gt;"",'A-80 DirEntInv'!#REF!,IF(AK249=summaryref2!B12,summaryref2!I12,IF(Summary!AK249=summaryref2!B26,summaryref2!I26,IF(AK249=summaryref2!B40,summaryref2!I40,IF(AK249=summaryref2!B54,summaryref2!I54,IF(AK249=summaryref2!B68,summaryref2!I68,IF(AK249=summaryref2!B82,summaryref2!I82,IF(AK249=summaryref2!B96,summaryref2!I96,IF(AK249=summaryref2!B110,summaryref2!I110,IF(AK249=summaryref2!B124,summaryref2!I124,IF(AK249=summaryref2!B138,summaryref2!I138,"")))))))))))</f>
        <v>#REF!</v>
      </c>
      <c r="AT249" s="1092" t="e">
        <f>IF('A-80 DirEntInv'!#REF!&lt;&gt;"",'A-80 DirEntInv'!#REF!,IF(AK249=summaryref2!B12,summaryref2!J12,IF(Summary!AK249=summaryref2!B26,summaryref2!J26,IF(AK249=summaryref2!B40,summaryref2!J40,IF(AK249=summaryref2!B54,summaryref2!J54,IF(AK249=summaryref2!B68,summaryref2!J68,IF(AK249=summaryref2!B82,summaryref2!J82,IF(AK249=summaryref2!B96,summaryref2!J96,IF(AK249=summaryref2!B110,summaryref2!J110,IF(AK249=summaryref2!B124,summaryref2!J124,IF(AK249=summaryref2!B138,summaryref2!J138,"")))))))))))</f>
        <v>#REF!</v>
      </c>
      <c r="AU249" s="1092" t="e">
        <f>IF('A-80 DirEntInv'!#REF!&lt;&gt;"",'A-80 DirEntInv'!#REF!,IF(AK249=summaryref2!B12,summaryref2!K12,IF(Summary!AK249=summaryref2!B26,summaryref2!K26,IF(AK249=summaryref2!B40,summaryref2!K40,IF(AK249=summaryref2!B54,summaryref2!K54,IF(AK249=summaryref2!B68,summaryref2!K68,IF(AK249=summaryref2!B82,summaryref2!K82,IF(AK249=summaryref2!B96,summaryref2!K96,IF(AK249=summaryref2!B110,summaryref2!K110,IF(AK249=summaryref2!B124,summaryref2!K124,IF(AK249=summaryref2!B138,summaryref2!K138,"")))))))))))</f>
        <v>#REF!</v>
      </c>
      <c r="AV249" s="1092" t="e">
        <f>IF('A-80 DirEntInv'!#REF!&lt;&gt;"",'A-80 DirEntInv'!#REF!,IF(AK249=summaryref2!B12,summaryref2!L12,IF(Summary!AK249=summaryref2!B26,summaryref2!L26,IF(AK249=summaryref2!B40,summaryref2!L40,IF(AK249=summaryref2!B54,summaryref2!L54,IF(AK249=summaryref2!B68,summaryref2!L68,IF(AK249=summaryref2!B82,summaryref2!L82,IF(AK249=summaryref2!B96,summaryref2!L96,IF(AK249=summaryref2!B110,summaryref2!L110,IF(AK249=summaryref2!B124,summaryref2!L124,IF(AK249=summaryref2!B138,summaryref2!L138,"")))))))))))</f>
        <v>#REF!</v>
      </c>
      <c r="AW249" s="1092" t="e">
        <f>IF('A-80 DirEntInv'!#REF!&lt;&gt;"",'A-80 DirEntInv'!#REF!,IF($AK249=summaryref2!$B$12,summaryref2!M$12,IF(Summary!$AK249=summaryref2!$B$26,summaryref2!M$26,IF($AK249=summaryref2!$B$40,summaryref2!M$40,IF($AK249=summaryref2!$B$54,summaryref2!M$54,IF($AK249=summaryref2!$B$68,summaryref2!M$68,IF($AK249=summaryref2!$B$82,summaryref2!M$82,IF($AK249=summaryref2!$B$96,summaryref2!M$96,IF($AK249=summaryref2!$B$110,summaryref2!M$110,IF($AK249=summaryref2!$B$124,summaryref2!M$124,IF($AK249=summaryref2!$B$138,summaryref2!M$138,"")))))))))))</f>
        <v>#REF!</v>
      </c>
      <c r="AX249" s="1092" t="e">
        <f>IF('A-80 DirEntInv'!#REF!&lt;&gt;"",'A-80 DirEntInv'!#REF!,IF(AK249=summaryref2!B12,summaryref2!N12,IF(Summary!AK249=summaryref2!B26,summaryref2!N26,IF(AK249=summaryref2!B40,summaryref2!N40,IF(AK249=summaryref2!B54,summaryref2!N54,IF(AK249=summaryref2!B68,summaryref2!N68,IF(AK249=summaryref2!B82,summaryref2!N82,IF(AK249=summaryref2!B96,summaryref2!N96,IF(AK249=summaryref2!B110,summaryref2!N110,IF(AK249=summaryref2!B124,summaryref2!N124,IF(AK249=summaryref2!B138,summaryref2!N138,"")))))))))))</f>
        <v>#REF!</v>
      </c>
      <c r="AY249" s="1092" t="e">
        <f>IF('A-80 DirEntInv'!#REF!&lt;&gt;"",'A-80 DirEntInv'!#REF!,IF(AK249=summaryref2!B12,summaryref2!O12,IF(Summary!AK249=summaryref2!B26,summaryref2!O26,IF(AK249=summaryref2!B40,summaryref2!O40,IF(AK249=summaryref2!B54,summaryref2!O54,IF(AK249=summaryref2!B68,summaryref2!O68,IF(AK249=summaryref2!B82,summaryref2!O82,IF(AK249=summaryref2!B96,summaryref2!O96,IF(AK249=summaryref2!B110,summaryref2!O110,IF(AK249=summaryref2!B124,summaryref2!O124,IF(AK249=summaryref2!B138,summaryref2!O138,"")))))))))))</f>
        <v>#REF!</v>
      </c>
      <c r="AZ249" s="1092" t="e">
        <f>IF('A-80 DirEntInv'!#REF!&lt;&gt;"",'A-80 DirEntInv'!#REF!,IF(AK249=summaryref2!B12,summaryref2!P12,IF(Summary!AK249=summaryref2!B26,summaryref2!P26,IF(AK249=summaryref2!B40,summaryref2!P40,IF(AK249=summaryref2!B54,summaryref2!P54,IF(AK249=summaryref2!B68,summaryref2!P68,IF(AK249=summaryref2!B82,summaryref2!P82,IF(AK249=summaryref2!B96,summaryref2!P96,IF(AK249=summaryref2!B110,summaryref2!P110,IF(AK249=summaryref2!B124,summaryref2!P124,IF(AK249=summaryref2!B138,summaryref2!P138,"")))))))))))</f>
        <v>#REF!</v>
      </c>
      <c r="BA249" s="1092" t="e">
        <f>IF('A-80 DirEntInv'!#REF!&lt;&gt;"",'A-80 DirEntInv'!#REF!,IF(AK249=summaryref2!B12,summaryref2!Q12,IF(Summary!AK249=summaryref2!B26,summaryref2!Q26,IF(AK249=summaryref2!B40,summaryref2!Q40,IF(AK249=summaryref2!B54,summaryref2!Q54,IF(AK249=summaryref2!B68,summaryref2!Q68,IF(AK249=summaryref2!B82,summaryref2!Q82,IF(AK249=summaryref2!B96,summaryref2!Q96,IF(AK249=summaryref2!B110,summaryref2!Q110,IF(AK249=summaryref2!B124,summaryref2!Q124,IF(AK249=summaryref2!B138,summaryref2!Q138,"")))))))))))</f>
        <v>#REF!</v>
      </c>
      <c r="BB249" s="1092" t="e">
        <f>IF('A-80 DirEntInv'!#REF!&lt;&gt;"",'A-80 DirEntInv'!#REF!,IF(AK249=summaryref2!B12,summaryref2!R12,IF(Summary!AK249=summaryref2!B26,summaryref2!R26,IF(AK249=summaryref2!B40,summaryref2!R40,IF(AK249=summaryref2!B54,summaryref2!R54,IF(AK249=summaryref2!B68,summaryref2!R68,IF(AK249=summaryref2!B82,summaryref2!R82,IF(AK249=summaryref2!B96,summaryref2!R96,IF(AK249=summaryref2!B110,summaryref2!R110,IF(AK249=summaryref2!B124,summaryref2!R124,IF(AK249=summaryref2!B138,summaryref2!R138,"")))))))))))</f>
        <v>#REF!</v>
      </c>
      <c r="BC249" s="1092" t="e">
        <f>IF('A-80 DirEntInv'!#REF!&lt;&gt;0,'A-80 DirEntInv'!#REF!,IF(AK249=summaryref2!B12,summaryref2!S12,IF(Summary!AK249=summaryref2!B26,summaryref2!S26,IF(AK249=summaryref2!B40,summaryref2!S40,IF(AK249=summaryref2!B54,summaryref2!S54,IF(AK249=summaryref2!B68,summaryref2!S68,IF(AK249=summaryref2!B82,summaryref2!S82,IF(AK249=summaryref2!B96,summaryref2!S96,IF(AK249=summaryref2!B110,summaryref2!S110,IF(AK249=summaryref2!B124,summaryref2!S124,IF(AK249=summaryref2!B138,summaryref2!S138,"")))))))))))</f>
        <v>#REF!</v>
      </c>
      <c r="BD249" s="1093" t="e">
        <f>IF('A-80 DirEntInv'!#REF!&lt;&gt;"",'A-80 DirEntInv'!#REF!,IF(AK249=summaryref2!B12,summaryref2!T12,IF(Summary!AK249=summaryref2!B26,summaryref2!T26,IF(AK249=summaryref2!B40,summaryref2!T40,IF(AK249=summaryref2!B54,summaryref2!T54,IF(AK249=summaryref2!B68,summaryref2!T68,IF(AK249=summaryref2!B82,summaryref2!T82,IF(AK249=summaryref2!B96,summaryref2!T96,IF(AK249=summaryref2!B110,summaryref2!T110,IF(AK249=summaryref2!B124,summaryref2!T124,IF(AK249=summaryref2!B138,summaryref2!T138,"")))))))))))</f>
        <v>#REF!</v>
      </c>
      <c r="BE249" s="1189" t="e">
        <f>IF('A-80 DirEntInv'!#REF!&lt;&gt;"",'A-80 DirEntInv'!#REF!,IF(AK249=summaryref2!B12,summaryref2!U12,IF(Summary!AK249=summaryref2!B26,summaryref2!U26,IF(AK249=summaryref2!B40,summaryref2!U40,IF(AK249=summaryref2!B54,summaryref2!U54,IF(AK249=summaryref2!B68,summaryref2!U68,IF(AK249=summaryref2!B82,summaryref2!U82,IF(AK249=summaryref2!B96,summaryref2!U96,IF(AK249=summaryref2!B110,summaryref2!U110,IF(AK249=summaryref2!B124,summaryref2!U124,IF(AK249=summaryref2!B138,summaryref2!U138,"")))))))))))</f>
        <v>#REF!</v>
      </c>
      <c r="BF249" s="1431"/>
      <c r="BG249" s="1431"/>
      <c r="BU249" s="962"/>
      <c r="CD249" s="589"/>
      <c r="CE249" s="590"/>
      <c r="CF249" s="590"/>
      <c r="CG249" s="590"/>
      <c r="CH249" s="590"/>
      <c r="CI249" s="590"/>
      <c r="CJ249" s="589"/>
      <c r="CK249" s="589"/>
      <c r="CL249" s="589"/>
      <c r="CM249" s="587"/>
      <c r="CN249" s="587"/>
      <c r="CO249" s="589"/>
      <c r="CP249" s="587"/>
      <c r="CQ249" s="592"/>
      <c r="CR249" s="589"/>
      <c r="CS249" s="592"/>
      <c r="CT249" s="589"/>
      <c r="CU249" s="589"/>
      <c r="CV249" s="589"/>
      <c r="CW249" s="587"/>
      <c r="CX249" s="590"/>
      <c r="CY249" s="590"/>
      <c r="CZ249" s="590"/>
      <c r="DA249" s="1054"/>
      <c r="DB249" s="1054"/>
      <c r="DC249" s="587"/>
      <c r="DD249" s="587"/>
    </row>
    <row r="250" spans="1:108" s="588" customFormat="1" x14ac:dyDescent="0.2">
      <c r="A250" s="589">
        <f t="shared" si="3"/>
        <v>240</v>
      </c>
      <c r="B250" s="587"/>
      <c r="C250" s="587"/>
      <c r="D250" s="587"/>
      <c r="J250" s="589"/>
      <c r="K250" s="590"/>
      <c r="L250" s="591"/>
      <c r="M250" s="592"/>
      <c r="N250" s="589"/>
      <c r="O250" s="587"/>
      <c r="R250" s="1052"/>
      <c r="S250" s="1052"/>
      <c r="T250" s="1052"/>
      <c r="U250" s="1052"/>
      <c r="V250" s="1052"/>
      <c r="W250" s="1053"/>
      <c r="X250" s="1053"/>
      <c r="Y250" s="1053"/>
      <c r="Z250" s="1052"/>
      <c r="AA250" s="1052"/>
      <c r="AB250" s="962"/>
      <c r="AC250" s="590"/>
      <c r="AD250" s="590"/>
      <c r="AE250" s="591"/>
      <c r="AF250" s="592"/>
      <c r="AG250" s="1053"/>
      <c r="AH250" s="587"/>
      <c r="AK250" s="1041" t="str">
        <f>Codes!$C$173</f>
        <v>YR - Hybrid Rail (DO)</v>
      </c>
      <c r="AL250" s="1042" t="str">
        <f>Valid!$B$72</f>
        <v>At-Grade/In-Street/Embedded</v>
      </c>
      <c r="AM250" s="1108" t="e">
        <f>IF('A-80 DirEntInv'!#REF!&lt;&gt;"",'A-80 DirEntInv'!#REF!,IF(AK250=summaryref2!B13,summaryref2!D13,IF(Summary!AK250=summaryref2!B27,summaryref2!D27,IF(AK250=summaryref2!B41,summaryref2!D41,IF(AK250=summaryref2!B55,summaryref2!D55,IF(AK250=summaryref2!B69,summaryref2!D69,IF(AK250=summaryref2!B83,summaryref2!D83,IF(AK250=summaryref2!B97,summaryref2!D97,IF(AK250=summaryref2!B111,summaryref2!D111,IF(AK250=summaryref2!B125,summaryref2!D125,IF(AK250=summaryref2!B139,summaryref2!D139,"")))))))))))</f>
        <v>#REF!</v>
      </c>
      <c r="AN250" s="1109" t="e">
        <f ca="1">IF('A-80 DirEntInv'!#REF!&lt;&gt;"",'A-80 DirEntInv'!#REF!,IF(INDIRECT(ADDRESS(SumRef!CG574,SumRef!CG$16,,,SumRef!$C$7))="","",INDIRECT(ADDRESS(SumRef!CG574,SumRef!CG$16,,,SumRef!$C$7))))</f>
        <v>#REF!</v>
      </c>
      <c r="AO250" s="1108" t="e">
        <f>IF('A-80 DirEntInv'!#REF!&lt;&gt;"",'A-80 DirEntInv'!#REF!,IF(AK250=summaryref2!B13,summaryref2!F13,IF(Summary!AK250=summaryref2!B27,summaryref2!F27,IF(AK250=summaryref2!B41,summaryref2!F41,IF(AK250=summaryref2!B55,summaryref2!F55,IF(AK250=summaryref2!B69,summaryref2!F69,IF(AK250=summaryref2!B83,summaryref2!F83,IF(AK250=summaryref2!B97,summaryref2!F97,IF(AK250=summaryref2!B111,summaryref2!F111,IF(AK250=summaryref2!B125,summaryref2!F125,IF(AK250=summaryref2!B139,summaryref2!F139,"")))))))))))</f>
        <v>#REF!</v>
      </c>
      <c r="AP250" s="1109" t="e">
        <f ca="1">IF('A-80 DirEntInv'!#REF!&lt;&gt;"",'A-80 DirEntInv'!#REF!,IF(INDIRECT(ADDRESS(SumRef!#REF!,SumRef!#REF!,,,SumRef!$C$7))="","",INDIRECT(ADDRESS(SumRef!#REF!,SumRef!#REF!,,,SumRef!$C$7))))</f>
        <v>#REF!</v>
      </c>
      <c r="AQ250" s="1147" t="e">
        <f>IF('A-80 DirEntInv'!#REF!&lt;&gt;"",'A-80 DirEntInv'!#REF!,IF(AK250=summaryref2!B13,summaryref2!G13,IF(Summary!AK250=summaryref2!B27,summaryref2!G27,IF(AK250=summaryref2!B41,summaryref2!G41,IF(AK250=summaryref2!B55,summaryref2!G55,IF(AK250=summaryref2!B69,summaryref2!G69,IF(AK250=summaryref2!B83,summaryref2!G83,IF(AK250=summaryref2!B97,summaryref2!G97,IF(AK250=summaryref2!B111,summaryref2!G111,IF(AK250=summaryref2!B125,summaryref2!G125,IF(AK250=summaryref2!B139,summaryref2!G139,"")))))))))))</f>
        <v>#REF!</v>
      </c>
      <c r="AR250" s="1147" t="e">
        <f>IF('A-80 DirEntInv'!#REF!&lt;&gt;"",'A-80 DirEntInv'!#REF!,IF(AK250=summaryref2!B13,summaryref2!H13,IF(Summary!AK250=summaryref2!B27,summaryref2!H27,IF(AK250=summaryref2!B41,summaryref2!H41,IF(AK250=summaryref2!B55,summaryref2!H55,IF(AK250=summaryref2!B69,summaryref2!H69,IF(AK250=summaryref2!B83,summaryref2!H83,IF(AK250=summaryref2!B97,summaryref2!H97,IF(AK250=summaryref2!B111,summaryref2!H111,IF(AK250=summaryref2!B125,summaryref2!H125,IF(AK250=summaryref2!B139,summaryref2!H139,"")))))))))))</f>
        <v>#REF!</v>
      </c>
      <c r="AS250" s="1110" t="e">
        <f>IF('A-80 DirEntInv'!#REF!&lt;&gt;"",'A-80 DirEntInv'!#REF!,IF(AK250=summaryref2!B13,summaryref2!I13,IF(Summary!AK250=summaryref2!B27,summaryref2!I27,IF(AK250=summaryref2!B41,summaryref2!I41,IF(AK250=summaryref2!B55,summaryref2!I55,IF(AK250=summaryref2!B69,summaryref2!I69,IF(AK250=summaryref2!B83,summaryref2!I83,IF(AK250=summaryref2!B97,summaryref2!I97,IF(AK250=summaryref2!B111,summaryref2!I111,IF(AK250=summaryref2!B125,summaryref2!I125,IF(AK250=summaryref2!B139,summaryref2!I139,"")))))))))))</f>
        <v>#REF!</v>
      </c>
      <c r="AT250" s="1110" t="e">
        <f>IF('A-80 DirEntInv'!#REF!&lt;&gt;"",'A-80 DirEntInv'!#REF!,IF(AK250=summaryref2!B13,summaryref2!J13,IF(Summary!AK250=summaryref2!B27,summaryref2!J27,IF(AK250=summaryref2!B41,summaryref2!J41,IF(AK250=summaryref2!B55,summaryref2!J55,IF(AK250=summaryref2!B69,summaryref2!J69,IF(AK250=summaryref2!B83,summaryref2!J83,IF(AK250=summaryref2!B97,summaryref2!J97,IF(AK250=summaryref2!B111,summaryref2!J111,IF(AK250=summaryref2!B125,summaryref2!J125,IF(AK250=summaryref2!B139,summaryref2!J139,"")))))))))))</f>
        <v>#REF!</v>
      </c>
      <c r="AU250" s="1110" t="e">
        <f>IF('A-80 DirEntInv'!#REF!&lt;&gt;"",'A-80 DirEntInv'!#REF!,IF(AK250=summaryref2!B13,summaryref2!K13,IF(Summary!AK250=summaryref2!B27,summaryref2!K27,IF(AK250=summaryref2!B41,summaryref2!K41,IF(AK250=summaryref2!B55,summaryref2!K55,IF(AK250=summaryref2!B69,summaryref2!K69,IF(AK250=summaryref2!B83,summaryref2!K83,IF(AK250=summaryref2!B97,summaryref2!K97,IF(AK250=summaryref2!B111,summaryref2!K111,IF(AK250=summaryref2!B125,summaryref2!K125,IF(AK250=summaryref2!B139,summaryref2!K139,"")))))))))))</f>
        <v>#REF!</v>
      </c>
      <c r="AV250" s="1110" t="e">
        <f>IF('A-80 DirEntInv'!#REF!&lt;&gt;"",'A-80 DirEntInv'!#REF!,IF(AK250=summaryref2!B13,summaryref2!L13,IF(Summary!AK250=summaryref2!B27,summaryref2!L27,IF(AK250=summaryref2!B41,summaryref2!L41,IF(AK250=summaryref2!B55,summaryref2!L55,IF(AK250=summaryref2!B69,summaryref2!L69,IF(AK250=summaryref2!B83,summaryref2!L83,IF(AK250=summaryref2!B97,summaryref2!L97,IF(AK250=summaryref2!B111,summaryref2!L111,IF(AK250=summaryref2!B125,summaryref2!L125,IF(AK250=summaryref2!B139,summaryref2!L139,"")))))))))))</f>
        <v>#REF!</v>
      </c>
      <c r="AW250" s="1110" t="e">
        <f>IF('A-80 DirEntInv'!#REF!&lt;&gt;"",'A-80 DirEntInv'!#REF!,IF(AK250=summaryref2!B13,summaryref2!M13,IF(Summary!AK250=summaryref2!B27,summaryref2!M27,IF(AK250=summaryref2!B41,summaryref2!M41,IF(AK250=summaryref2!B55,summaryref2!M55,IF(AK250=summaryref2!B69,summaryref2!M69,IF(AK250=summaryref2!B83,summaryref2!M83,IF(AK250=summaryref2!B97,summaryref2!M97,IF(AK250=summaryref2!B111,summaryref2!M111,IF(AK250=summaryref2!B125,summaryref2!M125,IF(AK250=summaryref2!B139,summaryref2!M139,"")))))))))))</f>
        <v>#REF!</v>
      </c>
      <c r="AX250" s="1110" t="e">
        <f>IF('A-80 DirEntInv'!#REF!&lt;&gt;"",'A-80 DirEntInv'!#REF!,IF(AK250=summaryref2!B13,summaryref2!N13,IF(Summary!AK250=summaryref2!B27,summaryref2!N27,IF(AK250=summaryref2!B41,summaryref2!N41,IF(AK250=summaryref2!B55,summaryref2!N55,IF(AK250=summaryref2!B69,summaryref2!N69,IF(AK250=summaryref2!B83,summaryref2!N83,IF(AK250=summaryref2!B97,summaryref2!N97,IF(AK250=summaryref2!B111,summaryref2!N111,IF(AK250=summaryref2!B125,summaryref2!N125,IF(AK250=summaryref2!B139,summaryref2!N139,"")))))))))))</f>
        <v>#REF!</v>
      </c>
      <c r="AY250" s="1110" t="e">
        <f>IF('A-80 DirEntInv'!#REF!&lt;&gt;"",'A-80 DirEntInv'!#REF!,IF(AK250=summaryref2!B13,summaryref2!O13,IF(Summary!AK250=summaryref2!B27,summaryref2!O27,IF(AK250=summaryref2!B41,summaryref2!O41,IF(AK250=summaryref2!B55,summaryref2!O55,IF(AK250=summaryref2!B69,summaryref2!O69,IF(AK250=summaryref2!B83,summaryref2!O83,IF(AK250=summaryref2!B97,summaryref2!O97,IF(AK250=summaryref2!B111,summaryref2!O111,IF(AK250=summaryref2!B125,summaryref2!O125,IF(AK250=summaryref2!B139,summaryref2!O139,"")))))))))))</f>
        <v>#REF!</v>
      </c>
      <c r="AZ250" s="1110" t="e">
        <f>IF('A-80 DirEntInv'!#REF!&lt;&gt;"",'A-80 DirEntInv'!#REF!,IF(AK250=summaryref2!B13,summaryref2!P13,IF(Summary!AK250=summaryref2!B27,summaryref2!P27,IF(AK250=summaryref2!B41,summaryref2!P41,IF(AK250=summaryref2!B55,summaryref2!P55,IF(AK250=summaryref2!B69,summaryref2!P69,IF(AK250=summaryref2!B83,summaryref2!P83,IF(AK250=summaryref2!B97,summaryref2!P97,IF(AK250=summaryref2!B111,summaryref2!P111,IF(AK250=summaryref2!B125,summaryref2!P125,IF(AK250=summaryref2!B139,summaryref2!P139,"")))))))))))</f>
        <v>#REF!</v>
      </c>
      <c r="BA250" s="1110" t="e">
        <f>IF('A-80 DirEntInv'!#REF!&lt;&gt;"",'A-80 DirEntInv'!#REF!,IF(AK250=summaryref2!B13,summaryref2!Q13,IF(Summary!AK250=summaryref2!B27,summaryref2!Q27,IF(AK250=summaryref2!B41,summaryref2!Q41,IF(AK250=summaryref2!B55,summaryref2!Q55,IF(AK250=summaryref2!B69,summaryref2!Q69,IF(AK250=summaryref2!B83,summaryref2!Q83,IF(AK250=summaryref2!B97,summaryref2!Q97,IF(AK250=summaryref2!B111,summaryref2!Q111,IF(AK250=summaryref2!B125,summaryref2!Q125,IF(AK250=summaryref2!B139,summaryref2!Q139,"")))))))))))</f>
        <v>#REF!</v>
      </c>
      <c r="BB250" s="1110" t="e">
        <f>IF('A-80 DirEntInv'!#REF!&lt;&gt;"",'A-80 DirEntInv'!#REF!,IF(AK250=summaryref2!B13,summaryref2!R13,IF(Summary!AK250=summaryref2!B27,summaryref2!R27,IF(AK250=summaryref2!B41,summaryref2!R41,IF(AK250=summaryref2!B55,summaryref2!R55,IF(AK250=summaryref2!B69,summaryref2!R69,IF(AK250=summaryref2!B83,summaryref2!R83,IF(AK250=summaryref2!B97,summaryref2!R97,IF(AK250=summaryref2!B111,summaryref2!R111,IF(AK250=summaryref2!B125,summaryref2!R125,IF(AK250=summaryref2!B139,summaryref2!R139,"")))))))))))</f>
        <v>#REF!</v>
      </c>
      <c r="BC250" s="1110" t="e">
        <f>IF('A-80 DirEntInv'!#REF!&lt;&gt;0,'A-80 DirEntInv'!#REF!,IF(AK250=summaryref2!B13,summaryref2!S13,IF(Summary!AK250=summaryref2!B27,summaryref2!S27,IF(AK250=summaryref2!B41,summaryref2!S41,IF(AK250=summaryref2!B55,summaryref2!S55,IF(AK250=summaryref2!B69,summaryref2!S69,IF(AK250=summaryref2!B83,summaryref2!S83,IF(AK250=summaryref2!B97,summaryref2!S97,IF(AK250=summaryref2!B111,summaryref2!S111,IF(AK250=summaryref2!B125,summaryref2!S125,IF(AK250=summaryref2!B139,summaryref2!S139,"")))))))))))</f>
        <v>#REF!</v>
      </c>
      <c r="BD250" s="1111" t="e">
        <f>IF('A-80 DirEntInv'!#REF!&lt;&gt;"",'A-80 DirEntInv'!#REF!,IF(AK250=summaryref2!B13,summaryref2!T13,IF(Summary!AK250=summaryref2!B27,summaryref2!T27,IF(AK250=summaryref2!B41,summaryref2!T41,IF(AK250=summaryref2!B55,summaryref2!T55,IF(AK250=summaryref2!B69,summaryref2!T69,IF(AK250=summaryref2!B83,summaryref2!T83,IF(AK250=summaryref2!B97,summaryref2!T97,IF(AK250=summaryref2!B111,summaryref2!T111,IF(AK250=summaryref2!B125,summaryref2!T125,IF(AK250=summaryref2!B139,summaryref2!T139,"")))))))))))</f>
        <v>#REF!</v>
      </c>
      <c r="BE250" s="1184" t="e">
        <f>IF('A-80 DirEntInv'!#REF!&lt;&gt;"",'A-80 DirEntInv'!#REF!,IF(AK250=summaryref2!B13,summaryref2!U13,IF(Summary!AK250=summaryref2!B27,summaryref2!U27,IF(AK250=summaryref2!B41,summaryref2!U41,IF(AK250=summaryref2!B55,summaryref2!U55,IF(AK250=summaryref2!B69,summaryref2!U69,IF(AK250=summaryref2!B83,summaryref2!U83,IF(AK250=summaryref2!B97,summaryref2!U97,IF(AK250=summaryref2!B111,summaryref2!U111,IF(AK250=summaryref2!B125,summaryref2!U125,IF(AK250=summaryref2!B139,summaryref2!U139,"")))))))))))</f>
        <v>#REF!</v>
      </c>
      <c r="BF250" s="1432"/>
      <c r="BG250" s="1432"/>
      <c r="BU250" s="962"/>
      <c r="CD250" s="589"/>
      <c r="CE250" s="590"/>
      <c r="CF250" s="590"/>
      <c r="CG250" s="590"/>
      <c r="CH250" s="590"/>
      <c r="CI250" s="590"/>
      <c r="CJ250" s="589"/>
      <c r="CK250" s="589"/>
      <c r="CL250" s="589"/>
      <c r="CM250" s="587"/>
      <c r="CN250" s="587"/>
      <c r="CO250" s="589"/>
      <c r="CP250" s="587"/>
      <c r="CQ250" s="592"/>
      <c r="CR250" s="589"/>
      <c r="CS250" s="592"/>
      <c r="CT250" s="589"/>
      <c r="CU250" s="589"/>
      <c r="CV250" s="589"/>
      <c r="CW250" s="587"/>
      <c r="CX250" s="590"/>
      <c r="CY250" s="590"/>
      <c r="CZ250" s="590"/>
      <c r="DA250" s="1054"/>
      <c r="DB250" s="1054"/>
      <c r="DC250" s="587"/>
      <c r="DD250" s="587"/>
    </row>
    <row r="251" spans="1:108" s="588" customFormat="1" x14ac:dyDescent="0.2">
      <c r="A251" s="589">
        <f t="shared" si="3"/>
        <v>241</v>
      </c>
      <c r="B251" s="587"/>
      <c r="C251" s="587"/>
      <c r="D251" s="587"/>
      <c r="J251" s="589"/>
      <c r="K251" s="590"/>
      <c r="L251" s="591"/>
      <c r="M251" s="592"/>
      <c r="N251" s="589"/>
      <c r="O251" s="587"/>
      <c r="R251" s="1052"/>
      <c r="S251" s="1052"/>
      <c r="T251" s="1052"/>
      <c r="U251" s="1052"/>
      <c r="V251" s="1052"/>
      <c r="W251" s="1053"/>
      <c r="X251" s="1053"/>
      <c r="Y251" s="1053"/>
      <c r="Z251" s="1052"/>
      <c r="AA251" s="1052"/>
      <c r="AB251" s="962"/>
      <c r="AC251" s="590"/>
      <c r="AD251" s="590"/>
      <c r="AE251" s="591"/>
      <c r="AF251" s="592"/>
      <c r="AG251" s="1053"/>
      <c r="AH251" s="587"/>
      <c r="AJ251" s="589"/>
      <c r="AK251" s="1041" t="str">
        <f>Codes!$C$173</f>
        <v>YR - Hybrid Rail (DO)</v>
      </c>
      <c r="AL251" s="1042" t="str">
        <f>Valid!$B$73</f>
        <v>Elevated/Retained Fill</v>
      </c>
      <c r="AM251" s="1108" t="e">
        <f>IF('A-80 DirEntInv'!#REF!&lt;&gt;"",'A-80 DirEntInv'!#REF!,IF(AK251=summaryref2!B14,summaryref2!D14,IF(Summary!AK251=summaryref2!B28,summaryref2!D28,IF(AK251=summaryref2!B42,summaryref2!D42,IF(AK251=summaryref2!B56,summaryref2!D56,IF(AK251=summaryref2!B70,summaryref2!D70,IF(AK251=summaryref2!B84,summaryref2!D84,IF(AK251=summaryref2!B98,summaryref2!D98,IF(AK251=summaryref2!B112,summaryref2!D112,IF(AK251=summaryref2!B126,summaryref2!D126,IF(AK251=summaryref2!B140,summaryref2!D140,"")))))))))))</f>
        <v>#REF!</v>
      </c>
      <c r="AN251" s="1109" t="e">
        <f ca="1">IF('A-80 DirEntInv'!#REF!&lt;&gt;"",'A-80 DirEntInv'!#REF!,IF(INDIRECT(ADDRESS(SumRef!CG575,SumRef!CG$16,,,SumRef!$C$7))="","",INDIRECT(ADDRESS(SumRef!CG575,SumRef!CG$16,,,SumRef!$C$7))))</f>
        <v>#REF!</v>
      </c>
      <c r="AO251" s="1108" t="e">
        <f>IF('A-80 DirEntInv'!#REF!&lt;&gt;"",'A-80 DirEntInv'!#REF!,IF(AK251=summaryref2!B14,summaryref2!F14,IF(Summary!AK251=summaryref2!B28,summaryref2!F28,IF(AK251=summaryref2!B42,summaryref2!F42,IF(AK251=summaryref2!B56,summaryref2!F56,IF(AK251=summaryref2!B70,summaryref2!F70,IF(AK251=summaryref2!B84,summaryref2!F84,IF(AK251=summaryref2!B98,summaryref2!F98,IF(AK251=summaryref2!B112,summaryref2!F112,IF(AK251=summaryref2!B126,summaryref2!F126,IF(AK251=summaryref2!B140,summaryref2!F140,"")))))))))))</f>
        <v>#REF!</v>
      </c>
      <c r="AP251" s="1109" t="e">
        <f ca="1">IF('A-80 DirEntInv'!#REF!&lt;&gt;"",'A-80 DirEntInv'!#REF!,IF(INDIRECT(ADDRESS(SumRef!#REF!,SumRef!#REF!,,,SumRef!$C$7))="","",INDIRECT(ADDRESS(SumRef!#REF!,SumRef!#REF!,,,SumRef!$C$7))))</f>
        <v>#REF!</v>
      </c>
      <c r="AQ251" s="1147" t="e">
        <f>IF('A-80 DirEntInv'!#REF!&lt;&gt;"",'A-80 DirEntInv'!#REF!,IF(AK251=summaryref2!B14,summaryref2!G14,IF(Summary!AK251=summaryref2!B28,summaryref2!G28,IF(AK251=summaryref2!B42,summaryref2!G42,IF(AK251=summaryref2!B56,summaryref2!G56,IF(AK251=summaryref2!B70,summaryref2!G70,IF(AK251=summaryref2!B84,summaryref2!G84,IF(AK251=summaryref2!B98,summaryref2!G98,IF(AK251=summaryref2!B112,summaryref2!G112,IF(AK251=summaryref2!B126,summaryref2!G126,IF(AK251=summaryref2!B140,summaryref2!G140,"")))))))))))</f>
        <v>#REF!</v>
      </c>
      <c r="AR251" s="1147" t="e">
        <f>IF('A-80 DirEntInv'!#REF!&lt;&gt;"",'A-80 DirEntInv'!#REF!,IF(AK251=summaryref2!B14,summaryref2!H14,IF(Summary!AK251=summaryref2!B28,summaryref2!H28,IF(AK251=summaryref2!B42,summaryref2!H42,IF(AK251=summaryref2!B56,summaryref2!H56,IF(AK251=summaryref2!B70,summaryref2!H70,IF(AK251=summaryref2!B84,summaryref2!H84,IF(AK251=summaryref2!B98,summaryref2!H98,IF(AK251=summaryref2!B112,summaryref2!H112,IF(AK251=summaryref2!B126,summaryref2!H126,IF(AK251=summaryref2!B140,summaryref2!H140,"")))))))))))</f>
        <v>#REF!</v>
      </c>
      <c r="AS251" s="1110" t="e">
        <f>IF('A-80 DirEntInv'!#REF!&lt;&gt;"",'A-80 DirEntInv'!#REF!,IF(AK251=summaryref2!B14,summaryref2!I14,IF(Summary!AK251=summaryref2!B28,summaryref2!I28,IF(AK251=summaryref2!B42,summaryref2!I42,IF(AK251=summaryref2!B56,summaryref2!I56,IF(AK251=summaryref2!B70,summaryref2!I70,IF(AK251=summaryref2!B84,summaryref2!I84,IF(AK251=summaryref2!B98,summaryref2!I98,IF(AK251=summaryref2!B112,summaryref2!I112,IF(AK251=summaryref2!B126,summaryref2!I126,IF(AK251=summaryref2!B140,summaryref2!I140,"")))))))))))</f>
        <v>#REF!</v>
      </c>
      <c r="AT251" s="1110" t="e">
        <f>IF('A-80 DirEntInv'!#REF!&lt;&gt;"",'A-80 DirEntInv'!#REF!,IF(AK251=summaryref2!B14,summaryref2!J14,IF(Summary!AK251=summaryref2!B28,summaryref2!J28,IF(AK251=summaryref2!B42,summaryref2!J42,IF(AK251=summaryref2!B56,summaryref2!J56,IF(AK251=summaryref2!B70,summaryref2!J70,IF(AK251=summaryref2!B84,summaryref2!J84,IF(AK251=summaryref2!B98,summaryref2!J98,IF(AK251=summaryref2!B112,summaryref2!J112,IF(AK251=summaryref2!B126,summaryref2!J126,IF(AK251=summaryref2!B140,summaryref2!J140,"")))))))))))</f>
        <v>#REF!</v>
      </c>
      <c r="AU251" s="1110" t="e">
        <f>IF('A-80 DirEntInv'!#REF!&lt;&gt;"",'A-80 DirEntInv'!#REF!,IF(AK251=summaryref2!B14,summaryref2!K14,IF(Summary!AK251=summaryref2!B28,summaryref2!K28,IF(AK251=summaryref2!B42,summaryref2!K42,IF(AK251=summaryref2!B56,summaryref2!K56,IF(AK251=summaryref2!B70,summaryref2!K70,IF(AK251=summaryref2!B84,summaryref2!K84,IF(AK251=summaryref2!B98,summaryref2!K98,IF(AK251=summaryref2!B112,summaryref2!K112,IF(AK251=summaryref2!B126,summaryref2!K126,IF(AK251=summaryref2!B140,summaryref2!K140,"")))))))))))</f>
        <v>#REF!</v>
      </c>
      <c r="AV251" s="1110" t="e">
        <f>IF('A-80 DirEntInv'!#REF!&lt;&gt;"",'A-80 DirEntInv'!#REF!,IF(AK251=summaryref2!B14,summaryref2!L14,IF(Summary!AK251=summaryref2!B28,summaryref2!L28,IF(AK251=summaryref2!B42,summaryref2!L42,IF(AK251=summaryref2!B56,summaryref2!L56,IF(AK251=summaryref2!B70,summaryref2!L70,IF(AK251=summaryref2!B84,summaryref2!L84,IF(AK251=summaryref2!B98,summaryref2!L98,IF(AK251=summaryref2!B112,summaryref2!L112,IF(AK251=summaryref2!B126,summaryref2!L126,IF(AK251=summaryref2!B140,summaryref2!L140,"")))))))))))</f>
        <v>#REF!</v>
      </c>
      <c r="AW251" s="1110" t="e">
        <f>IF('A-80 DirEntInv'!#REF!&lt;&gt;"",'A-80 DirEntInv'!#REF!,IF(AK251=summaryref2!B14,summaryref2!M14,IF(Summary!AK251=summaryref2!B28,summaryref2!M28,IF(AK251=summaryref2!B42,summaryref2!M42,IF(AK251=summaryref2!B56,summaryref2!M56,IF(AK251=summaryref2!B70,summaryref2!M70,IF(AK251=summaryref2!B84,summaryref2!M84,IF(AK251=summaryref2!B98,summaryref2!M98,IF(AK251=summaryref2!B112,summaryref2!M112,IF(AK251=summaryref2!B126,summaryref2!M126,IF(AK251=summaryref2!B140,summaryref2!M140,"")))))))))))</f>
        <v>#REF!</v>
      </c>
      <c r="AX251" s="1110" t="e">
        <f>IF('A-80 DirEntInv'!#REF!&lt;&gt;"",'A-80 DirEntInv'!#REF!,IF(AK251=summaryref2!B14,summaryref2!N14,IF(Summary!AK251=summaryref2!B28,summaryref2!N28,IF(AK251=summaryref2!B42,summaryref2!N42,IF(AK251=summaryref2!B56,summaryref2!N56,IF(AK251=summaryref2!B70,summaryref2!N70,IF(AK251=summaryref2!B84,summaryref2!N84,IF(AK251=summaryref2!B98,summaryref2!N98,IF(AK251=summaryref2!B112,summaryref2!N112,IF(AK251=summaryref2!B126,summaryref2!N126,IF(AK251=summaryref2!B140,summaryref2!N140,"")))))))))))</f>
        <v>#REF!</v>
      </c>
      <c r="AY251" s="1110" t="e">
        <f>IF('A-80 DirEntInv'!#REF!&lt;&gt;"",'A-80 DirEntInv'!#REF!,IF(AK251=summaryref2!B14,summaryref2!O14,IF(Summary!AK251=summaryref2!B28,summaryref2!O28,IF(AK251=summaryref2!B42,summaryref2!O42,IF(AK251=summaryref2!B56,summaryref2!O56,IF(AK251=summaryref2!B70,summaryref2!O70,IF(AK251=summaryref2!B84,summaryref2!O84,IF(AK251=summaryref2!B98,summaryref2!O98,IF(AK251=summaryref2!B112,summaryref2!O112,IF(AK251=summaryref2!B126,summaryref2!O126,IF(AK251=summaryref2!B140,summaryref2!O140,"")))))))))))</f>
        <v>#REF!</v>
      </c>
      <c r="AZ251" s="1110" t="e">
        <f>IF('A-80 DirEntInv'!#REF!&lt;&gt;"",'A-80 DirEntInv'!#REF!,IF(AK251=summaryref2!B14,summaryref2!P14,IF(Summary!AK251=summaryref2!B28,summaryref2!P28,IF(AK251=summaryref2!B42,summaryref2!P42,IF(AK251=summaryref2!B56,summaryref2!P56,IF(AK251=summaryref2!B70,summaryref2!P70,IF(AK251=summaryref2!B84,summaryref2!P84,IF(AK251=summaryref2!B98,summaryref2!P98,IF(AK251=summaryref2!B112,summaryref2!P112,IF(AK251=summaryref2!B126,summaryref2!P126,IF(AK251=summaryref2!B140,summaryref2!P140,"")))))))))))</f>
        <v>#REF!</v>
      </c>
      <c r="BA251" s="1110" t="e">
        <f>IF('A-80 DirEntInv'!#REF!&lt;&gt;"",'A-80 DirEntInv'!#REF!,IF(AK251=summaryref2!B14,summaryref2!Q14,IF(Summary!AK251=summaryref2!B28,summaryref2!Q28,IF(AK251=summaryref2!B42,summaryref2!Q42,IF(AK251=summaryref2!B56,summaryref2!Q56,IF(AK251=summaryref2!B70,summaryref2!Q70,IF(AK251=summaryref2!B84,summaryref2!Q84,IF(AK251=summaryref2!B98,summaryref2!Q98,IF(AK251=summaryref2!B112,summaryref2!Q112,IF(AK251=summaryref2!B126,summaryref2!Q126,IF(AK251=summaryref2!B140,summaryref2!Q140,"")))))))))))</f>
        <v>#REF!</v>
      </c>
      <c r="BB251" s="1110" t="e">
        <f>IF('A-80 DirEntInv'!#REF!&lt;&gt;"",'A-80 DirEntInv'!#REF!,IF(AK251=summaryref2!B14,summaryref2!R14,IF(Summary!AK251=summaryref2!B28,summaryref2!R28,IF(AK251=summaryref2!B42,summaryref2!R42,IF(AK251=summaryref2!B56,summaryref2!R56,IF(AK251=summaryref2!B70,summaryref2!R70,IF(AK251=summaryref2!B84,summaryref2!R84,IF(AK251=summaryref2!B98,summaryref2!R98,IF(AK251=summaryref2!B112,summaryref2!R112,IF(AK251=summaryref2!B126,summaryref2!R126,IF(AK251=summaryref2!B140,summaryref2!R140,"")))))))))))</f>
        <v>#REF!</v>
      </c>
      <c r="BC251" s="1110" t="e">
        <f>IF('A-80 DirEntInv'!#REF!&lt;&gt;0,'A-80 DirEntInv'!#REF!,IF(AK251=summaryref2!B14,summaryref2!S14,IF(Summary!AK251=summaryref2!B28,summaryref2!S28,IF(AK251=summaryref2!B42,summaryref2!S42,IF(AK251=summaryref2!B56,summaryref2!S56,IF(AK251=summaryref2!B70,summaryref2!S70,IF(AK251=summaryref2!B84,summaryref2!S84,IF(AK251=summaryref2!B98,summaryref2!S98,IF(AK251=summaryref2!B112,summaryref2!S112,IF(AK251=summaryref2!B126,summaryref2!S126,IF(AK251=summaryref2!B140,summaryref2!S140,"")))))))))))</f>
        <v>#REF!</v>
      </c>
      <c r="BD251" s="1111" t="e">
        <f>IF('A-80 DirEntInv'!#REF!&lt;&gt;"",'A-80 DirEntInv'!#REF!,IF(AK251=summaryref2!B14,summaryref2!T14,IF(Summary!AK251=summaryref2!B28,summaryref2!T28,IF(AK251=summaryref2!B42,summaryref2!T42,IF(AK251=summaryref2!B56,summaryref2!T56,IF(AK251=summaryref2!B70,summaryref2!T70,IF(AK251=summaryref2!B84,summaryref2!T84,IF(AK251=summaryref2!B98,summaryref2!T98,IF(AK251=summaryref2!B112,summaryref2!T112,IF(AK251=summaryref2!B126,summaryref2!T126,IF(AK251=summaryref2!B140,summaryref2!T140,"")))))))))))</f>
        <v>#REF!</v>
      </c>
      <c r="BE251" s="1184" t="e">
        <f>IF('A-80 DirEntInv'!#REF!&lt;&gt;"",'A-80 DirEntInv'!#REF!,IF(AK251=summaryref2!B14,summaryref2!U14,IF(Summary!AK251=summaryref2!B28,summaryref2!U28,IF(AK251=summaryref2!B42,summaryref2!U42,IF(AK251=summaryref2!B56,summaryref2!U56,IF(AK251=summaryref2!B70,summaryref2!U70,IF(AK251=summaryref2!B84,summaryref2!U84,IF(AK251=summaryref2!B98,summaryref2!U98,IF(AK251=summaryref2!B112,summaryref2!U112,IF(AK251=summaryref2!B126,summaryref2!U126,IF(AK251=summaryref2!B140,summaryref2!U140,"")))))))))))</f>
        <v>#REF!</v>
      </c>
      <c r="BF251" s="1432"/>
      <c r="BG251" s="1432"/>
      <c r="BU251" s="962"/>
      <c r="CD251" s="589"/>
      <c r="CE251" s="590"/>
      <c r="CF251" s="590"/>
      <c r="CG251" s="590"/>
      <c r="CH251" s="590"/>
      <c r="CI251" s="590"/>
      <c r="CJ251" s="589"/>
      <c r="CK251" s="589"/>
      <c r="CL251" s="589"/>
      <c r="CM251" s="587"/>
      <c r="CN251" s="587"/>
      <c r="CO251" s="589"/>
      <c r="CP251" s="587"/>
      <c r="CQ251" s="592"/>
      <c r="CR251" s="589"/>
      <c r="CS251" s="592"/>
      <c r="CT251" s="589"/>
      <c r="CU251" s="589"/>
      <c r="CV251" s="589"/>
      <c r="CW251" s="587"/>
      <c r="CX251" s="590"/>
      <c r="CY251" s="590"/>
      <c r="CZ251" s="590"/>
      <c r="DA251" s="1054"/>
      <c r="DB251" s="1054"/>
      <c r="DC251" s="587"/>
      <c r="DD251" s="587"/>
    </row>
    <row r="252" spans="1:108" s="588" customFormat="1" x14ac:dyDescent="0.2">
      <c r="A252" s="589">
        <f t="shared" si="3"/>
        <v>242</v>
      </c>
      <c r="B252" s="587"/>
      <c r="C252" s="587"/>
      <c r="D252" s="587"/>
      <c r="J252" s="589"/>
      <c r="K252" s="590"/>
      <c r="L252" s="591"/>
      <c r="M252" s="592"/>
      <c r="N252" s="589"/>
      <c r="O252" s="587"/>
      <c r="R252" s="1052"/>
      <c r="S252" s="1052"/>
      <c r="T252" s="1052"/>
      <c r="U252" s="1052"/>
      <c r="V252" s="1052"/>
      <c r="W252" s="1053"/>
      <c r="X252" s="1053"/>
      <c r="Y252" s="1053"/>
      <c r="Z252" s="1052"/>
      <c r="AA252" s="1052"/>
      <c r="AB252" s="962"/>
      <c r="AC252" s="590"/>
      <c r="AD252" s="590"/>
      <c r="AE252" s="591"/>
      <c r="AF252" s="592"/>
      <c r="AG252" s="1053"/>
      <c r="AH252" s="587"/>
      <c r="AK252" s="1041" t="str">
        <f>Codes!$C$173</f>
        <v>YR - Hybrid Rail (DO)</v>
      </c>
      <c r="AL252" s="1042" t="str">
        <f>Valid!$B$74</f>
        <v>Elevated/Concrete</v>
      </c>
      <c r="AM252" s="1108" t="e">
        <f>IF('A-80 DirEntInv'!#REF!&lt;&gt;"",'A-80 DirEntInv'!#REF!,IF(AK252=summaryref2!B15,summaryref2!D15,IF(Summary!AK252=summaryref2!B29,summaryref2!D29,IF(AK252=summaryref2!B43,summaryref2!D43,IF(AK252=summaryref2!B57,summaryref2!D57,IF(AK252=summaryref2!B71,summaryref2!D71,IF(AK252=summaryref2!B85,summaryref2!D85,IF(AK252=summaryref2!B99,summaryref2!D99,IF(AK252=summaryref2!B113,summaryref2!D113,IF(AK252=summaryref2!B127,summaryref2!D127,IF(AK252=summaryref2!B141,summaryref2!D141,"")))))))))))</f>
        <v>#REF!</v>
      </c>
      <c r="AN252" s="1109" t="e">
        <f ca="1">IF('A-80 DirEntInv'!#REF!&lt;&gt;"",'A-80 DirEntInv'!#REF!,IF(INDIRECT(ADDRESS(SumRef!CG576,SumRef!CG$16,,,SumRef!$C$7))="","",INDIRECT(ADDRESS(SumRef!CG576,SumRef!CG$16,,,SumRef!$C$7))))</f>
        <v>#REF!</v>
      </c>
      <c r="AO252" s="1108" t="e">
        <f>IF('A-80 DirEntInv'!#REF!&lt;&gt;"",'A-80 DirEntInv'!#REF!,IF(AK252=summaryref2!B15,summaryref2!F15,IF(Summary!AK252=summaryref2!B29,summaryref2!F29,IF(AK252=summaryref2!B43,summaryref2!F43,IF(AK252=summaryref2!B57,summaryref2!F57,IF(AK252=summaryref2!B71,summaryref2!F71,IF(AK252=summaryref2!B85,summaryref2!F85,IF(AK252=summaryref2!B99,summaryref2!F99,IF(AK252=summaryref2!B113,summaryref2!F113,IF(AK252=summaryref2!B127,summaryref2!F127,IF(AK252=summaryref2!B141,summaryref2!F141,"")))))))))))</f>
        <v>#REF!</v>
      </c>
      <c r="AP252" s="1109" t="e">
        <f ca="1">IF('A-80 DirEntInv'!#REF!&lt;&gt;"",'A-80 DirEntInv'!#REF!,IF(INDIRECT(ADDRESS(SumRef!#REF!,SumRef!#REF!,,,SumRef!$C$7))="","",INDIRECT(ADDRESS(SumRef!#REF!,SumRef!#REF!,,,SumRef!$C$7))))</f>
        <v>#REF!</v>
      </c>
      <c r="AQ252" s="1147" t="e">
        <f>IF('A-80 DirEntInv'!#REF!&lt;&gt;"",'A-80 DirEntInv'!#REF!,IF(AK252=summaryref2!B15,summaryref2!G15,IF(Summary!AK252=summaryref2!B29,summaryref2!G29,IF(AK252=summaryref2!B43,summaryref2!G43,IF(AK252=summaryref2!B57,summaryref2!G57,IF(AK252=summaryref2!B71,summaryref2!G71,IF(AK252=summaryref2!B85,summaryref2!G85,IF(AK252=summaryref2!B99,summaryref2!G99,IF(AK252=summaryref2!B113,summaryref2!G113,IF(AK252=summaryref2!B127,summaryref2!G127,IF(AK252=summaryref2!B141,summaryref2!G141,"")))))))))))</f>
        <v>#REF!</v>
      </c>
      <c r="AR252" s="1147" t="e">
        <f>IF('A-80 DirEntInv'!#REF!&lt;&gt;"",'A-80 DirEntInv'!#REF!,IF(AK252=summaryref2!B15,summaryref2!H15,IF(Summary!AK252=summaryref2!B29,summaryref2!H29,IF(AK252=summaryref2!B43,summaryref2!H43,IF(AK252=summaryref2!B57,summaryref2!H57,IF(AK252=summaryref2!B71,summaryref2!H71,IF(AK252=summaryref2!B85,summaryref2!H85,IF(AK252=summaryref2!B99,summaryref2!H99,IF(AK252=summaryref2!B113,summaryref2!H113,IF(AK252=summaryref2!B127,summaryref2!H127,IF(AK252=summaryref2!B141,summaryref2!H141,"")))))))))))</f>
        <v>#REF!</v>
      </c>
      <c r="AS252" s="1110" t="e">
        <f>IF('A-80 DirEntInv'!#REF!&lt;&gt;"",'A-80 DirEntInv'!#REF!,IF(AK252=summaryref2!B15,summaryref2!I15,IF(Summary!AK252=summaryref2!B29,summaryref2!I29,IF(AK252=summaryref2!B43,summaryref2!I43,IF(AK252=summaryref2!B57,summaryref2!I57,IF(AK252=summaryref2!B71,summaryref2!I71,IF(AK252=summaryref2!B85,summaryref2!I85,IF(AK252=summaryref2!B99,summaryref2!I99,IF(AK252=summaryref2!B113,summaryref2!I113,IF(AK252=summaryref2!B127,summaryref2!I127,IF(AK252=summaryref2!B141,summaryref2!I141,"")))))))))))</f>
        <v>#REF!</v>
      </c>
      <c r="AT252" s="1110" t="e">
        <f>IF('A-80 DirEntInv'!#REF!&lt;&gt;"",'A-80 DirEntInv'!#REF!,IF(AK252=summaryref2!B15,summaryref2!J15,IF(Summary!AK252=summaryref2!B29,summaryref2!J29,IF(AK252=summaryref2!B43,summaryref2!J43,IF(AK252=summaryref2!B57,summaryref2!J57,IF(AK252=summaryref2!B71,summaryref2!J71,IF(AK252=summaryref2!B85,summaryref2!J85,IF(AK252=summaryref2!B99,summaryref2!J99,IF(AK252=summaryref2!B113,summaryref2!J113,IF(AK252=summaryref2!B127,summaryref2!J127,IF(AK252=summaryref2!B141,summaryref2!J141,"")))))))))))</f>
        <v>#REF!</v>
      </c>
      <c r="AU252" s="1110" t="e">
        <f>IF('A-80 DirEntInv'!#REF!&lt;&gt;"",'A-80 DirEntInv'!#REF!,IF(AK252=summaryref2!B15,summaryref2!K15,IF(Summary!AK252=summaryref2!B29,summaryref2!K29,IF(AK252=summaryref2!B43,summaryref2!K43,IF(AK252=summaryref2!B57,summaryref2!K57,IF(AK252=summaryref2!B71,summaryref2!K71,IF(AK252=summaryref2!B85,summaryref2!K85,IF(AK252=summaryref2!B99,summaryref2!K99,IF(AK252=summaryref2!B113,summaryref2!K113,IF(AK252=summaryref2!B127,summaryref2!K127,IF(AK252=summaryref2!B141,summaryref2!K141,"")))))))))))</f>
        <v>#REF!</v>
      </c>
      <c r="AV252" s="1110" t="e">
        <f>IF('A-80 DirEntInv'!#REF!&lt;&gt;"",'A-80 DirEntInv'!#REF!,IF(AK252=summaryref2!B15,summaryref2!L15,IF(Summary!AK252=summaryref2!B29,summaryref2!L29,IF(AK252=summaryref2!B43,summaryref2!L43,IF(AK252=summaryref2!B57,summaryref2!L57,IF(AK252=summaryref2!B71,summaryref2!L71,IF(AK252=summaryref2!B85,summaryref2!L85,IF(AK252=summaryref2!B99,summaryref2!L99,IF(AK252=summaryref2!B113,summaryref2!L113,IF(AK252=summaryref2!B127,summaryref2!L127,IF(AK252=summaryref2!B141,summaryref2!L141,"")))))))))))</f>
        <v>#REF!</v>
      </c>
      <c r="AW252" s="1110" t="e">
        <f>IF('A-80 DirEntInv'!#REF!&lt;&gt;"",'A-80 DirEntInv'!#REF!,IF(AK252=summaryref2!B15,summaryref2!M15,IF(Summary!AK252=summaryref2!B29,summaryref2!M29,IF(AK252=summaryref2!B43,summaryref2!M43,IF(AK252=summaryref2!B57,summaryref2!M57,IF(AK252=summaryref2!B71,summaryref2!M71,IF(AK252=summaryref2!B85,summaryref2!M85,IF(AK252=summaryref2!B99,summaryref2!M99,IF(AK252=summaryref2!B113,summaryref2!M113,IF(AK252=summaryref2!B127,summaryref2!M127,IF(AK252=summaryref2!B141,summaryref2!M141,"")))))))))))</f>
        <v>#REF!</v>
      </c>
      <c r="AX252" s="1110" t="e">
        <f>IF('A-80 DirEntInv'!#REF!&lt;&gt;"",'A-80 DirEntInv'!#REF!,IF(AK252=summaryref2!B15,summaryref2!N15,IF(Summary!AK252=summaryref2!B29,summaryref2!N29,IF(AK252=summaryref2!B43,summaryref2!N43,IF(AK252=summaryref2!B57,summaryref2!N57,IF(AK252=summaryref2!B71,summaryref2!N71,IF(AK252=summaryref2!B85,summaryref2!N85,IF(AK252=summaryref2!B99,summaryref2!N99,IF(AK252=summaryref2!B113,summaryref2!N113,IF(AK252=summaryref2!B127,summaryref2!N127,IF(AK252=summaryref2!B141,summaryref2!N141,"")))))))))))</f>
        <v>#REF!</v>
      </c>
      <c r="AY252" s="1110" t="e">
        <f>IF('A-80 DirEntInv'!#REF!&lt;&gt;"",'A-80 DirEntInv'!#REF!,IF(AK252=summaryref2!B15,summaryref2!O15,IF(Summary!AK252=summaryref2!B29,summaryref2!O29,IF(AK252=summaryref2!B43,summaryref2!O43,IF(AK252=summaryref2!B57,summaryref2!O57,IF(AK252=summaryref2!B71,summaryref2!O71,IF(AK252=summaryref2!B85,summaryref2!O85,IF(AK252=summaryref2!B99,summaryref2!O99,IF(AK252=summaryref2!B113,summaryref2!O113,IF(AK252=summaryref2!B127,summaryref2!O127,IF(AK252=summaryref2!B141,summaryref2!O141,"")))))))))))</f>
        <v>#REF!</v>
      </c>
      <c r="AZ252" s="1110" t="e">
        <f>IF('A-80 DirEntInv'!#REF!&lt;&gt;"",'A-80 DirEntInv'!#REF!,IF(AK252=summaryref2!B15,summaryref2!P15,IF(Summary!AK252=summaryref2!B29,summaryref2!P29,IF(AK252=summaryref2!B43,summaryref2!P43,IF(AK252=summaryref2!B57,summaryref2!P57,IF(AK252=summaryref2!B71,summaryref2!P71,IF(AK252=summaryref2!B85,summaryref2!P85,IF(AK252=summaryref2!B99,summaryref2!P99,IF(AK252=summaryref2!B113,summaryref2!P113,IF(AK252=summaryref2!B127,summaryref2!P127,IF(AK252=summaryref2!B141,summaryref2!P141,"")))))))))))</f>
        <v>#REF!</v>
      </c>
      <c r="BA252" s="1110" t="e">
        <f>IF('A-80 DirEntInv'!#REF!&lt;&gt;"",'A-80 DirEntInv'!#REF!,IF(AK252=summaryref2!B15,summaryref2!Q15,IF(Summary!AK252=summaryref2!B29,summaryref2!Q29,IF(AK252=summaryref2!B43,summaryref2!Q43,IF(AK252=summaryref2!B57,summaryref2!Q57,IF(AK252=summaryref2!B71,summaryref2!Q71,IF(AK252=summaryref2!B85,summaryref2!Q85,IF(AK252=summaryref2!B99,summaryref2!Q99,IF(AK252=summaryref2!B113,summaryref2!Q113,IF(AK252=summaryref2!B127,summaryref2!Q127,IF(AK252=summaryref2!B141,summaryref2!Q141,"")))))))))))</f>
        <v>#REF!</v>
      </c>
      <c r="BB252" s="1110" t="e">
        <f>IF('A-80 DirEntInv'!#REF!&lt;&gt;"",'A-80 DirEntInv'!#REF!,IF(AK252=summaryref2!B15,summaryref2!R15,IF(Summary!AK252=summaryref2!B29,summaryref2!R29,IF(AK252=summaryref2!B43,summaryref2!R43,IF(AK252=summaryref2!B57,summaryref2!R57,IF(AK252=summaryref2!B71,summaryref2!R71,IF(AK252=summaryref2!B85,summaryref2!R85,IF(AK252=summaryref2!B99,summaryref2!R99,IF(AK252=summaryref2!B113,summaryref2!R113,IF(AK252=summaryref2!B127,summaryref2!R127,IF(AK252=summaryref2!B141,summaryref2!R141,"")))))))))))</f>
        <v>#REF!</v>
      </c>
      <c r="BC252" s="1110" t="e">
        <f>IF('A-80 DirEntInv'!#REF!&lt;&gt;0,'A-80 DirEntInv'!#REF!,IF(AK252=summaryref2!B15,summaryref2!S15,IF(Summary!AK252=summaryref2!B29,summaryref2!S29,IF(AK252=summaryref2!B43,summaryref2!S43,IF(AK252=summaryref2!B57,summaryref2!S57,IF(AK252=summaryref2!B71,summaryref2!S71,IF(AK252=summaryref2!B85,summaryref2!S85,IF(AK252=summaryref2!B99,summaryref2!S99,IF(AK252=summaryref2!B113,summaryref2!S113,IF(AK252=summaryref2!B127,summaryref2!S127,IF(AK252=summaryref2!B141,summaryref2!S141,"")))))))))))</f>
        <v>#REF!</v>
      </c>
      <c r="BD252" s="1111" t="e">
        <f>IF('A-80 DirEntInv'!#REF!&lt;&gt;"",'A-80 DirEntInv'!#REF!,IF(AK252=summaryref2!B15,summaryref2!T15,IF(Summary!AK252=summaryref2!B29,summaryref2!T29,IF(AK252=summaryref2!B43,summaryref2!T43,IF(AK252=summaryref2!B57,summaryref2!T57,IF(AK252=summaryref2!B71,summaryref2!T71,IF(AK252=summaryref2!B85,summaryref2!T85,IF(AK252=summaryref2!B99,summaryref2!T99,IF(AK252=summaryref2!B113,summaryref2!T113,IF(AK252=summaryref2!B127,summaryref2!T127,IF(AK252=summaryref2!B141,summaryref2!T141,"")))))))))))</f>
        <v>#REF!</v>
      </c>
      <c r="BE252" s="1184" t="e">
        <f>IF('A-80 DirEntInv'!#REF!&lt;&gt;"",'A-80 DirEntInv'!#REF!,IF(AK252=summaryref2!B15,summaryref2!U15,IF(Summary!AK252=summaryref2!B29,summaryref2!U29,IF(AK252=summaryref2!B43,summaryref2!U43,IF(AK252=summaryref2!B57,summaryref2!U57,IF(AK252=summaryref2!B71,summaryref2!U71,IF(AK252=summaryref2!B85,summaryref2!U85,IF(AK252=summaryref2!B99,summaryref2!U99,IF(AK252=summaryref2!B113,summaryref2!U113,IF(AK252=summaryref2!B127,summaryref2!U127,IF(AK252=summaryref2!B141,summaryref2!U141,"")))))))))))</f>
        <v>#REF!</v>
      </c>
      <c r="BF252" s="1432"/>
      <c r="BG252" s="1432"/>
      <c r="BU252" s="962"/>
      <c r="CD252" s="589"/>
      <c r="CE252" s="590"/>
      <c r="CF252" s="590"/>
      <c r="CG252" s="590"/>
      <c r="CH252" s="590"/>
      <c r="CI252" s="590"/>
      <c r="CJ252" s="589"/>
      <c r="CK252" s="589"/>
      <c r="CL252" s="589"/>
      <c r="CM252" s="587"/>
      <c r="CN252" s="587"/>
      <c r="CO252" s="589"/>
      <c r="CP252" s="587"/>
      <c r="CQ252" s="592"/>
      <c r="CR252" s="589"/>
      <c r="CS252" s="592"/>
      <c r="CT252" s="589"/>
      <c r="CU252" s="589"/>
      <c r="CV252" s="589"/>
      <c r="CW252" s="587"/>
      <c r="CX252" s="590"/>
      <c r="CY252" s="590"/>
      <c r="CZ252" s="590"/>
      <c r="DA252" s="1054"/>
      <c r="DB252" s="1054"/>
      <c r="DC252" s="587"/>
      <c r="DD252" s="587"/>
    </row>
    <row r="253" spans="1:108" s="588" customFormat="1" x14ac:dyDescent="0.2">
      <c r="A253" s="589">
        <f t="shared" si="3"/>
        <v>243</v>
      </c>
      <c r="B253" s="587"/>
      <c r="C253" s="587"/>
      <c r="D253" s="587"/>
      <c r="J253" s="589"/>
      <c r="K253" s="590"/>
      <c r="L253" s="591"/>
      <c r="M253" s="592"/>
      <c r="N253" s="589"/>
      <c r="O253" s="587"/>
      <c r="R253" s="1052"/>
      <c r="S253" s="1052"/>
      <c r="T253" s="1052"/>
      <c r="U253" s="1052"/>
      <c r="V253" s="1052"/>
      <c r="W253" s="1053"/>
      <c r="X253" s="1053"/>
      <c r="Y253" s="1053"/>
      <c r="Z253" s="1052"/>
      <c r="AA253" s="1052"/>
      <c r="AB253" s="962"/>
      <c r="AC253" s="590"/>
      <c r="AD253" s="590"/>
      <c r="AE253" s="591"/>
      <c r="AF253" s="592"/>
      <c r="AG253" s="1053"/>
      <c r="AH253" s="587"/>
      <c r="AK253" s="1041" t="str">
        <f>Codes!$C$173</f>
        <v>YR - Hybrid Rail (DO)</v>
      </c>
      <c r="AL253" s="1042" t="str">
        <f>Valid!$B$75</f>
        <v>Elevated/Steel Viaduct or Bridge</v>
      </c>
      <c r="AM253" s="1108" t="e">
        <f>IF('A-80 DirEntInv'!#REF!&lt;&gt;"",'A-80 DirEntInv'!#REF!,IF(AK253=summaryref2!B16,summaryref2!D16,IF(Summary!AK253=summaryref2!B30,summaryref2!D30,IF(AK253=summaryref2!B44,summaryref2!D44,IF(AK253=summaryref2!B58,summaryref2!D58,IF(AK253=summaryref2!B72,summaryref2!D72,IF(AK253=summaryref2!B86,summaryref2!D86,IF(AK253=summaryref2!B100,summaryref2!D100,IF(AK253=summaryref2!B114,summaryref2!D114,IF(AK253=summaryref2!B128,summaryref2!D128,IF(AK253=summaryref2!B142,summaryref2!D142,"")))))))))))</f>
        <v>#REF!</v>
      </c>
      <c r="AN253" s="1109" t="e">
        <f ca="1">IF('A-80 DirEntInv'!#REF!&lt;&gt;"",'A-80 DirEntInv'!#REF!,IF(INDIRECT(ADDRESS(SumRef!CG577,SumRef!CG$16,,,SumRef!$C$7))="","",INDIRECT(ADDRESS(SumRef!CG577,SumRef!CG$16,,,SumRef!$C$7))))</f>
        <v>#REF!</v>
      </c>
      <c r="AO253" s="1108" t="e">
        <f>IF('A-80 DirEntInv'!#REF!&lt;&gt;"",'A-80 DirEntInv'!#REF!,IF(AK253=summaryref2!B16,summaryref2!F16,IF(Summary!AK253=summaryref2!B30,summaryref2!F30,IF(AK253=summaryref2!B44,summaryref2!F44,IF(AK253=summaryref2!B58,summaryref2!F58,IF(AK253=summaryref2!B72,summaryref2!F72,IF(AK253=summaryref2!B86,summaryref2!F86,IF(AK253=summaryref2!B100,summaryref2!F100,IF(AK253=summaryref2!B114,summaryref2!F114,IF(AK253=summaryref2!B128,summaryref2!F128,IF(AK253=summaryref2!B142,summaryref2!F142,"")))))))))))</f>
        <v>#REF!</v>
      </c>
      <c r="AP253" s="1109" t="e">
        <f ca="1">IF('A-80 DirEntInv'!#REF!&lt;&gt;"",'A-80 DirEntInv'!#REF!,IF(INDIRECT(ADDRESS(SumRef!#REF!,SumRef!#REF!,,,SumRef!$C$7))="","",INDIRECT(ADDRESS(SumRef!#REF!,SumRef!#REF!,,,SumRef!$C$7))))</f>
        <v>#REF!</v>
      </c>
      <c r="AQ253" s="1147" t="e">
        <f>IF('A-80 DirEntInv'!#REF!&lt;&gt;"",'A-80 DirEntInv'!#REF!,IF(AK253=summaryref2!B16,summaryref2!G16,IF(Summary!AK253=summaryref2!B30,summaryref2!G30,IF(AK253=summaryref2!B44,summaryref2!G44,IF(AK253=summaryref2!B58,summaryref2!G58,IF(AK253=summaryref2!B72,summaryref2!G72,IF(AK253=summaryref2!B86,summaryref2!G86,IF(AK253=summaryref2!B100,summaryref2!G100,IF(AK253=summaryref2!B114,summaryref2!G114,IF(AK253=summaryref2!B128,summaryref2!G128,IF(AK253=summaryref2!B142,summaryref2!G142,"")))))))))))</f>
        <v>#REF!</v>
      </c>
      <c r="AR253" s="1147" t="e">
        <f>IF('A-80 DirEntInv'!#REF!&lt;&gt;"",'A-80 DirEntInv'!#REF!,IF(AK253=summaryref2!B16,summaryref2!H16,IF(Summary!AK253=summaryref2!B30,summaryref2!H30,IF(AK253=summaryref2!B44,summaryref2!H44,IF(AK253=summaryref2!B58,summaryref2!H58,IF(AK253=summaryref2!B72,summaryref2!H72,IF(AK253=summaryref2!B86,summaryref2!H86,IF(AK253=summaryref2!B100,summaryref2!H100,IF(AK253=summaryref2!B114,summaryref2!H114,IF(AK253=summaryref2!B128,summaryref2!H128,IF(AK253=summaryref2!B142,summaryref2!H142,"")))))))))))</f>
        <v>#REF!</v>
      </c>
      <c r="AS253" s="1110" t="e">
        <f>IF('A-80 DirEntInv'!#REF!&lt;&gt;"",'A-80 DirEntInv'!#REF!,IF(AK253=summaryref2!B16,summaryref2!I16,IF(Summary!AK253=summaryref2!B30,summaryref2!I30,IF(AK253=summaryref2!B44,summaryref2!I44,IF(AK253=summaryref2!B58,summaryref2!I58,IF(AK253=summaryref2!B72,summaryref2!I72,IF(AK253=summaryref2!B86,summaryref2!I86,IF(AK253=summaryref2!B100,summaryref2!I100,IF(AK253=summaryref2!B114,summaryref2!I114,IF(AK253=summaryref2!B128,summaryref2!I128,IF(AK253=summaryref2!B142,summaryref2!I142,"")))))))))))</f>
        <v>#REF!</v>
      </c>
      <c r="AT253" s="1110" t="e">
        <f>IF('A-80 DirEntInv'!#REF!&lt;&gt;"",'A-80 DirEntInv'!#REF!,IF(AK253=summaryref2!B16,summaryref2!J16,IF(Summary!AK253=summaryref2!B30,summaryref2!J30,IF(AK253=summaryref2!B44,summaryref2!J44,IF(AK253=summaryref2!B58,summaryref2!J58,IF(AK253=summaryref2!B72,summaryref2!J72,IF(AK253=summaryref2!B86,summaryref2!J86,IF(AK253=summaryref2!B100,summaryref2!J100,IF(AK253=summaryref2!B114,summaryref2!J114,IF(AK253=summaryref2!B128,summaryref2!J128,IF(AK253=summaryref2!B142,summaryref2!J142,"")))))))))))</f>
        <v>#REF!</v>
      </c>
      <c r="AU253" s="1110" t="e">
        <f>IF('A-80 DirEntInv'!#REF!&lt;&gt;"",'A-80 DirEntInv'!#REF!,IF(AK253=summaryref2!B16,summaryref2!K16,IF(Summary!AK253=summaryref2!B30,summaryref2!K30,IF(AK253=summaryref2!B44,summaryref2!K44,IF(AK253=summaryref2!B58,summaryref2!K58,IF(AK253=summaryref2!B72,summaryref2!K72,IF(AK253=summaryref2!B86,summaryref2!K86,IF(AK253=summaryref2!B100,summaryref2!K100,IF(AK253=summaryref2!B114,summaryref2!K114,IF(AK253=summaryref2!B128,summaryref2!K128,IF(AK253=summaryref2!B142,summaryref2!K142,"")))))))))))</f>
        <v>#REF!</v>
      </c>
      <c r="AV253" s="1110" t="e">
        <f>IF('A-80 DirEntInv'!#REF!&lt;&gt;"",'A-80 DirEntInv'!#REF!,IF(AK253=summaryref2!B16,summaryref2!L16,IF(Summary!AK253=summaryref2!B30,summaryref2!L30,IF(AK253=summaryref2!B44,summaryref2!L44,IF(AK253=summaryref2!B58,summaryref2!L58,IF(AK253=summaryref2!B72,summaryref2!L72,IF(AK253=summaryref2!B86,summaryref2!L86,IF(AK253=summaryref2!B100,summaryref2!L100,IF(AK253=summaryref2!B114,summaryref2!L114,IF(AK253=summaryref2!B128,summaryref2!L128,IF(AK253=summaryref2!B142,summaryref2!L142,"")))))))))))</f>
        <v>#REF!</v>
      </c>
      <c r="AW253" s="1110" t="e">
        <f>IF('A-80 DirEntInv'!#REF!&lt;&gt;"",'A-80 DirEntInv'!#REF!,IF(AK253=summaryref2!B16,summaryref2!M16,IF(Summary!AK253=summaryref2!B30,summaryref2!M30,IF(AK253=summaryref2!B44,summaryref2!M44,IF(AK253=summaryref2!B58,summaryref2!M58,IF(AK253=summaryref2!B72,summaryref2!M72,IF(AK253=summaryref2!B86,summaryref2!M86,IF(AK253=summaryref2!B100,summaryref2!M100,IF(AK253=summaryref2!B114,summaryref2!M114,IF(AK253=summaryref2!B128,summaryref2!M128,IF(AK253=summaryref2!B142,summaryref2!M142,"")))))))))))</f>
        <v>#REF!</v>
      </c>
      <c r="AX253" s="1110" t="e">
        <f>IF('A-80 DirEntInv'!#REF!&lt;&gt;"",'A-80 DirEntInv'!#REF!,IF(AK253=summaryref2!B16,summaryref2!N16,IF(Summary!AK253=summaryref2!B30,summaryref2!N30,IF(AK253=summaryref2!B44,summaryref2!N44,IF(AK253=summaryref2!B58,summaryref2!N58,IF(AK253=summaryref2!B72,summaryref2!N72,IF(AK253=summaryref2!B86,summaryref2!N86,IF(AK253=summaryref2!B100,summaryref2!N100,IF(AK253=summaryref2!B114,summaryref2!N114,IF(AK253=summaryref2!B128,summaryref2!N128,IF(AK253=summaryref2!B142,summaryref2!N142,"")))))))))))</f>
        <v>#REF!</v>
      </c>
      <c r="AY253" s="1110" t="e">
        <f>IF('A-80 DirEntInv'!#REF!&lt;&gt;"",'A-80 DirEntInv'!#REF!,IF(AK253=summaryref2!B16,summaryref2!O16,IF(Summary!AK253=summaryref2!B30,summaryref2!O30,IF(AK253=summaryref2!B44,summaryref2!O44,IF(AK253=summaryref2!B58,summaryref2!O58,IF(AK253=summaryref2!B72,summaryref2!O72,IF(AK253=summaryref2!B86,summaryref2!O86,IF(AK253=summaryref2!B100,summaryref2!O100,IF(AK253=summaryref2!B114,summaryref2!O114,IF(AK253=summaryref2!B128,summaryref2!O128,IF(AK253=summaryref2!B142,summaryref2!O142,"")))))))))))</f>
        <v>#REF!</v>
      </c>
      <c r="AZ253" s="1110" t="e">
        <f>IF('A-80 DirEntInv'!#REF!&lt;&gt;"",'A-80 DirEntInv'!#REF!,IF(AK253=summaryref2!B16,summaryref2!P16,IF(Summary!AK253=summaryref2!B30,summaryref2!P30,IF(AK253=summaryref2!B44,summaryref2!P44,IF(AK253=summaryref2!B58,summaryref2!P58,IF(AK253=summaryref2!B72,summaryref2!P72,IF(AK253=summaryref2!B86,summaryref2!P86,IF(AK253=summaryref2!B100,summaryref2!P100,IF(AK253=summaryref2!B114,summaryref2!P114,IF(AK253=summaryref2!B128,summaryref2!P128,IF(AK253=summaryref2!B142,summaryref2!P142,"")))))))))))</f>
        <v>#REF!</v>
      </c>
      <c r="BA253" s="1110" t="e">
        <f>IF('A-80 DirEntInv'!#REF!&lt;&gt;"",'A-80 DirEntInv'!#REF!,IF(AK253=summaryref2!B16,summaryref2!Q16,IF(Summary!AK253=summaryref2!B30,summaryref2!Q30,IF(AK253=summaryref2!B44,summaryref2!Q44,IF(AK253=summaryref2!B58,summaryref2!Q58,IF(AK253=summaryref2!B72,summaryref2!Q72,IF(AK253=summaryref2!B86,summaryref2!Q86,IF(AK253=summaryref2!B100,summaryref2!Q100,IF(AK253=summaryref2!B114,summaryref2!Q114,IF(AK253=summaryref2!B128,summaryref2!Q128,IF(AK253=summaryref2!B142,summaryref2!Q142,"")))))))))))</f>
        <v>#REF!</v>
      </c>
      <c r="BB253" s="1110" t="e">
        <f>IF('A-80 DirEntInv'!#REF!&lt;&gt;"",'A-80 DirEntInv'!#REF!,IF(AK253=summaryref2!B16,summaryref2!R16,IF(Summary!AK253=summaryref2!B30,summaryref2!R30,IF(AK253=summaryref2!B44,summaryref2!R44,IF(AK253=summaryref2!B58,summaryref2!R58,IF(AK253=summaryref2!B72,summaryref2!R72,IF(AK253=summaryref2!B86,summaryref2!R86,IF(AK253=summaryref2!B100,summaryref2!R100,IF(AK253=summaryref2!B114,summaryref2!R114,IF(AK253=summaryref2!B128,summaryref2!R128,IF(AK253=summaryref2!B142,summaryref2!R142,"")))))))))))</f>
        <v>#REF!</v>
      </c>
      <c r="BC253" s="1110" t="e">
        <f>IF('A-80 DirEntInv'!#REF!&lt;&gt;0,'A-80 DirEntInv'!#REF!,IF(AK253=summaryref2!B16,summaryref2!S16,IF(Summary!AK253=summaryref2!B30,summaryref2!S30,IF(AK253=summaryref2!B44,summaryref2!S44,IF(AK253=summaryref2!B58,summaryref2!S58,IF(AK253=summaryref2!B72,summaryref2!S72,IF(AK253=summaryref2!B86,summaryref2!S86,IF(AK253=summaryref2!B100,summaryref2!S100,IF(AK253=summaryref2!B114,summaryref2!S114,IF(AK253=summaryref2!B128,summaryref2!S128,IF(AK253=summaryref2!B142,summaryref2!S142,"")))))))))))</f>
        <v>#REF!</v>
      </c>
      <c r="BD253" s="1111" t="e">
        <f>IF('A-80 DirEntInv'!#REF!&lt;&gt;"",'A-80 DirEntInv'!#REF!,IF(AK253=summaryref2!B16,summaryref2!T16,IF(Summary!AK253=summaryref2!B30,summaryref2!T30,IF(AK253=summaryref2!B44,summaryref2!T44,IF(AK253=summaryref2!B58,summaryref2!T58,IF(AK253=summaryref2!B72,summaryref2!T72,IF(AK253=summaryref2!B86,summaryref2!T86,IF(AK253=summaryref2!B100,summaryref2!T100,IF(AK253=summaryref2!B114,summaryref2!T114,IF(AK253=summaryref2!B128,summaryref2!T128,IF(AK253=summaryref2!B142,summaryref2!T142,"")))))))))))</f>
        <v>#REF!</v>
      </c>
      <c r="BE253" s="1184" t="e">
        <f>IF('A-80 DirEntInv'!#REF!&lt;&gt;"",'A-80 DirEntInv'!#REF!,IF(AK253=summaryref2!B16,summaryref2!U16,IF(Summary!AK253=summaryref2!B30,summaryref2!U30,IF(AK253=summaryref2!B44,summaryref2!U44,IF(AK253=summaryref2!B58,summaryref2!U58,IF(AK253=summaryref2!B72,summaryref2!U72,IF(AK253=summaryref2!B86,summaryref2!U86,IF(AK253=summaryref2!B100,summaryref2!U100,IF(AK253=summaryref2!B114,summaryref2!U114,IF(AK253=summaryref2!B128,summaryref2!U128,IF(AK253=summaryref2!B142,summaryref2!U142,"")))))))))))</f>
        <v>#REF!</v>
      </c>
      <c r="BF253" s="1432"/>
      <c r="BG253" s="1432"/>
      <c r="BU253" s="962"/>
      <c r="CD253" s="589"/>
      <c r="CE253" s="590"/>
      <c r="CF253" s="590"/>
      <c r="CG253" s="590"/>
      <c r="CH253" s="590"/>
      <c r="CI253" s="590"/>
      <c r="CJ253" s="589"/>
      <c r="CK253" s="589"/>
      <c r="CL253" s="589"/>
      <c r="CM253" s="587"/>
      <c r="CN253" s="587"/>
      <c r="CO253" s="589"/>
      <c r="CP253" s="587"/>
      <c r="CQ253" s="592"/>
      <c r="CR253" s="589"/>
      <c r="CS253" s="592"/>
      <c r="CT253" s="589"/>
      <c r="CU253" s="589"/>
      <c r="CV253" s="589"/>
      <c r="CW253" s="587"/>
      <c r="CX253" s="590"/>
      <c r="CY253" s="590"/>
      <c r="CZ253" s="590"/>
      <c r="DA253" s="1054"/>
      <c r="DB253" s="1054"/>
      <c r="DC253" s="587"/>
      <c r="DD253" s="587"/>
    </row>
    <row r="254" spans="1:108" s="588" customFormat="1" x14ac:dyDescent="0.2">
      <c r="A254" s="589">
        <f t="shared" si="3"/>
        <v>244</v>
      </c>
      <c r="B254" s="587"/>
      <c r="C254" s="587"/>
      <c r="D254" s="587"/>
      <c r="J254" s="589"/>
      <c r="K254" s="590"/>
      <c r="L254" s="591"/>
      <c r="M254" s="592"/>
      <c r="N254" s="589"/>
      <c r="O254" s="587"/>
      <c r="R254" s="1052"/>
      <c r="S254" s="1052"/>
      <c r="T254" s="1052"/>
      <c r="U254" s="1052"/>
      <c r="V254" s="1052"/>
      <c r="W254" s="1053"/>
      <c r="X254" s="1053"/>
      <c r="Y254" s="1053"/>
      <c r="Z254" s="1052"/>
      <c r="AA254" s="1052"/>
      <c r="AB254" s="962"/>
      <c r="AC254" s="590"/>
      <c r="AD254" s="590"/>
      <c r="AE254" s="591"/>
      <c r="AF254" s="592"/>
      <c r="AG254" s="1053"/>
      <c r="AH254" s="587"/>
      <c r="AK254" s="1041" t="str">
        <f>Codes!$C$173</f>
        <v>YR - Hybrid Rail (DO)</v>
      </c>
      <c r="AL254" s="1042" t="str">
        <f>Valid!$B$76</f>
        <v>Below-Grade/Retained Cut</v>
      </c>
      <c r="AM254" s="1108" t="e">
        <f>IF('A-80 DirEntInv'!#REF!&lt;&gt;"",'A-80 DirEntInv'!#REF!,IF(AK254=summaryref2!B17,summaryref2!D17,IF(Summary!AK254=summaryref2!B31,summaryref2!D31,IF(AK254=summaryref2!B45,summaryref2!D45,IF(AK254=summaryref2!B59,summaryref2!D59,IF(AK254=summaryref2!B73,summaryref2!D73,IF(AK254=summaryref2!B87,summaryref2!D87,IF(AK254=summaryref2!B101,summaryref2!D101,IF(AK254=summaryref2!B115,summaryref2!D115,IF(AK254=summaryref2!B129,summaryref2!D129,IF(AK254=summaryref2!B143,summaryref2!D143,"")))))))))))</f>
        <v>#REF!</v>
      </c>
      <c r="AN254" s="1109" t="e">
        <f ca="1">IF('A-80 DirEntInv'!#REF!&lt;&gt;"",'A-80 DirEntInv'!#REF!,IF(INDIRECT(ADDRESS(SumRef!CG579,SumRef!CG$16,,,SumRef!$C$7))="","",INDIRECT(ADDRESS(SumRef!CG579,SumRef!CG$16,,,SumRef!$C$7))))</f>
        <v>#REF!</v>
      </c>
      <c r="AO254" s="1108" t="e">
        <f>IF('A-80 DirEntInv'!#REF!&lt;&gt;"",'A-80 DirEntInv'!#REF!,IF(AK254=summaryref2!B17,summaryref2!F17,IF(Summary!AK254=summaryref2!B31,summaryref2!F31,IF(AK254=summaryref2!B45,summaryref2!F45,IF(AK254=summaryref2!B59,summaryref2!F59,IF(AK254=summaryref2!B73,summaryref2!F73,IF(AK254=summaryref2!B87,summaryref2!F87,IF(AK254=summaryref2!B101,summaryref2!F101,IF(AK254=summaryref2!B115,summaryref2!F115,IF(AK254=summaryref2!B129,summaryref2!F129,IF(AK254=summaryref2!B143,summaryref2!F143,"")))))))))))</f>
        <v>#REF!</v>
      </c>
      <c r="AP254" s="1109" t="e">
        <f ca="1">IF('A-80 DirEntInv'!#REF!&lt;&gt;"",'A-80 DirEntInv'!#REF!,IF(INDIRECT(ADDRESS(SumRef!#REF!,SumRef!#REF!,,,SumRef!$C$7))="","",INDIRECT(ADDRESS(SumRef!#REF!,SumRef!#REF!,,,SumRef!$C$7))))</f>
        <v>#REF!</v>
      </c>
      <c r="AQ254" s="1147" t="e">
        <f>IF('A-80 DirEntInv'!#REF!&lt;&gt;"",'A-80 DirEntInv'!#REF!,IF(AK254=summaryref2!B17,summaryref2!G17,IF(Summary!AK254=summaryref2!B31,summaryref2!G31,IF(AK254=summaryref2!B45,summaryref2!G45,IF(AK254=summaryref2!B59,summaryref2!G59,IF(AK254=summaryref2!B73,summaryref2!G73,IF(AK254=summaryref2!B87,summaryref2!G87,IF(AK254=summaryref2!B101,summaryref2!G101,IF(AK254=summaryref2!B115,summaryref2!G115,IF(AK254=summaryref2!B129,summaryref2!G129,IF(AK254=summaryref2!B143,summaryref2!G143,"")))))))))))</f>
        <v>#REF!</v>
      </c>
      <c r="AR254" s="1147" t="e">
        <f>IF('A-80 DirEntInv'!#REF!&lt;&gt;"",'A-80 DirEntInv'!#REF!,IF(AK254=summaryref2!B17,summaryref2!H17,IF(Summary!AK254=summaryref2!B31,summaryref2!H31,IF(AK254=summaryref2!B45,summaryref2!H45,IF(AK254=summaryref2!B59,summaryref2!H59,IF(AK254=summaryref2!B73,summaryref2!H73,IF(AK254=summaryref2!B87,summaryref2!H87,IF(AK254=summaryref2!B101,summaryref2!H101,IF(AK254=summaryref2!B115,summaryref2!H115,IF(AK254=summaryref2!B129,summaryref2!H129,IF(AK254=summaryref2!B143,summaryref2!H143,"")))))))))))</f>
        <v>#REF!</v>
      </c>
      <c r="AS254" s="1110" t="e">
        <f>IF('A-80 DirEntInv'!#REF!&lt;&gt;"",'A-80 DirEntInv'!#REF!,IF(AK254=summaryref2!B17,summaryref2!I17,IF(Summary!AK254=summaryref2!B31,summaryref2!I31,IF(AK254=summaryref2!B45,summaryref2!I45,IF(AK254=summaryref2!B59,summaryref2!I59,IF(AK254=summaryref2!B73,summaryref2!I73,IF(AK254=summaryref2!B87,summaryref2!I87,IF(AK254=summaryref2!B101,summaryref2!I101,IF(AK254=summaryref2!B115,summaryref2!I115,IF(AK254=summaryref2!B129,summaryref2!I129,IF(AK254=summaryref2!B143,summaryref2!I143,"")))))))))))</f>
        <v>#REF!</v>
      </c>
      <c r="AT254" s="1110" t="e">
        <f>IF('A-80 DirEntInv'!#REF!&lt;&gt;"",'A-80 DirEntInv'!#REF!,IF(AK254=summaryref2!B17,summaryref2!J17,IF(Summary!AK254=summaryref2!B31,summaryref2!J31,IF(AK254=summaryref2!B45,summaryref2!J45,IF(AK254=summaryref2!B59,summaryref2!J59,IF(AK254=summaryref2!B73,summaryref2!J73,IF(AK254=summaryref2!B87,summaryref2!J87,IF(AK254=summaryref2!B101,summaryref2!J101,IF(AK254=summaryref2!B115,summaryref2!J115,IF(AK254=summaryref2!B129,summaryref2!J129,IF(AK254=summaryref2!B143,summaryref2!J143,"")))))))))))</f>
        <v>#REF!</v>
      </c>
      <c r="AU254" s="1110" t="e">
        <f>IF('A-80 DirEntInv'!#REF!&lt;&gt;"",'A-80 DirEntInv'!#REF!,IF(AK254=summaryref2!B17,summaryref2!K17,IF(Summary!AK254=summaryref2!B31,summaryref2!K31,IF(AK254=summaryref2!B45,summaryref2!K45,IF(AK254=summaryref2!B59,summaryref2!K59,IF(AK254=summaryref2!B73,summaryref2!K73,IF(AK254=summaryref2!B87,summaryref2!K87,IF(AK254=summaryref2!B101,summaryref2!K101,IF(AK254=summaryref2!B115,summaryref2!K115,IF(AK254=summaryref2!B129,summaryref2!K129,IF(AK254=summaryref2!B143,summaryref2!K143,"")))))))))))</f>
        <v>#REF!</v>
      </c>
      <c r="AV254" s="1110" t="e">
        <f>IF('A-80 DirEntInv'!#REF!&lt;&gt;"",'A-80 DirEntInv'!#REF!,IF(AK254=summaryref2!B17,summaryref2!L17,IF(Summary!AK254=summaryref2!B31,summaryref2!L31,IF(AK254=summaryref2!B45,summaryref2!L45,IF(AK254=summaryref2!B59,summaryref2!L59,IF(AK254=summaryref2!B73,summaryref2!L73,IF(AK254=summaryref2!B87,summaryref2!L87,IF(AK254=summaryref2!B101,summaryref2!L101,IF(AK254=summaryref2!B115,summaryref2!L115,IF(AK254=summaryref2!B129,summaryref2!L129,IF(AK254=summaryref2!B143,summaryref2!L143,"")))))))))))</f>
        <v>#REF!</v>
      </c>
      <c r="AW254" s="1110" t="e">
        <f>IF('A-80 DirEntInv'!#REF!&lt;&gt;"",'A-80 DirEntInv'!#REF!,IF(AK254=summaryref2!B17,summaryref2!M17,IF(Summary!AK254=summaryref2!B31,summaryref2!M31,IF(AK254=summaryref2!B45,summaryref2!M45,IF(AK254=summaryref2!B59,summaryref2!M59,IF(AK254=summaryref2!B73,summaryref2!M73,IF(AK254=summaryref2!B87,summaryref2!M87,IF(AK254=summaryref2!B101,summaryref2!M101,IF(AK254=summaryref2!B115,summaryref2!M115,IF(AK254=summaryref2!B129,summaryref2!M129,IF(AK254=summaryref2!B143,summaryref2!M143,"")))))))))))</f>
        <v>#REF!</v>
      </c>
      <c r="AX254" s="1110" t="e">
        <f>IF('A-80 DirEntInv'!#REF!&lt;&gt;"",'A-80 DirEntInv'!#REF!,IF(AK254=summaryref2!B17,summaryref2!N17,IF(Summary!AK254=summaryref2!B31,summaryref2!N31,IF(AK254=summaryref2!B45,summaryref2!N45,IF(AK254=summaryref2!B59,summaryref2!N59,IF(AK254=summaryref2!B73,summaryref2!N73,IF(AK254=summaryref2!B87,summaryref2!N87,IF(AK254=summaryref2!B101,summaryref2!N101,IF(AK254=summaryref2!B115,summaryref2!N115,IF(AK254=summaryref2!B129,summaryref2!N129,IF(AK254=summaryref2!B143,summaryref2!N143,"")))))))))))</f>
        <v>#REF!</v>
      </c>
      <c r="AY254" s="1110" t="e">
        <f>IF('A-80 DirEntInv'!#REF!&lt;&gt;"",'A-80 DirEntInv'!#REF!,IF(AK254=summaryref2!B17,summaryref2!O17,IF(Summary!AK254=summaryref2!B31,summaryref2!O31,IF(AK254=summaryref2!B45,summaryref2!O45,IF(AK254=summaryref2!B59,summaryref2!O59,IF(AK254=summaryref2!B73,summaryref2!O73,IF(AK254=summaryref2!B87,summaryref2!O87,IF(AK254=summaryref2!B101,summaryref2!O101,IF(AK254=summaryref2!B115,summaryref2!O115,IF(AK254=summaryref2!B129,summaryref2!O129,IF(AK254=summaryref2!B143,summaryref2!O143,"")))))))))))</f>
        <v>#REF!</v>
      </c>
      <c r="AZ254" s="1110" t="e">
        <f>IF('A-80 DirEntInv'!#REF!&lt;&gt;"",'A-80 DirEntInv'!#REF!,IF(AK254=summaryref2!B17,summaryref2!P17,IF(Summary!AK254=summaryref2!B31,summaryref2!P31,IF(AK254=summaryref2!B45,summaryref2!P45,IF(AK254=summaryref2!B59,summaryref2!P59,IF(AK254=summaryref2!B73,summaryref2!P73,IF(AK254=summaryref2!B87,summaryref2!P87,IF(AK254=summaryref2!B101,summaryref2!P101,IF(AK254=summaryref2!B115,summaryref2!P115,IF(AK254=summaryref2!B129,summaryref2!P129,IF(AK254=summaryref2!B143,summaryref2!P143,"")))))))))))</f>
        <v>#REF!</v>
      </c>
      <c r="BA254" s="1110" t="e">
        <f>IF('A-80 DirEntInv'!#REF!&lt;&gt;"",'A-80 DirEntInv'!#REF!,IF(AK254=summaryref2!B17,summaryref2!Q17,IF(Summary!AK254=summaryref2!B31,summaryref2!Q31,IF(AK254=summaryref2!B45,summaryref2!Q45,IF(AK254=summaryref2!B59,summaryref2!Q59,IF(AK254=summaryref2!B73,summaryref2!Q73,IF(AK254=summaryref2!B87,summaryref2!Q87,IF(AK254=summaryref2!B101,summaryref2!Q101,IF(AK254=summaryref2!B115,summaryref2!Q115,IF(AK254=summaryref2!B129,summaryref2!Q129,IF(AK254=summaryref2!B143,summaryref2!Q143,"")))))))))))</f>
        <v>#REF!</v>
      </c>
      <c r="BB254" s="1110" t="e">
        <f>IF('A-80 DirEntInv'!#REF!&lt;&gt;"",'A-80 DirEntInv'!#REF!,IF(AK254=summaryref2!B17,summaryref2!R17,IF(Summary!AK254=summaryref2!B31,summaryref2!R31,IF(AK254=summaryref2!B45,summaryref2!R45,IF(AK254=summaryref2!B59,summaryref2!R59,IF(AK254=summaryref2!B73,summaryref2!R73,IF(AK254=summaryref2!B87,summaryref2!R87,IF(AK254=summaryref2!B101,summaryref2!R101,IF(AK254=summaryref2!B115,summaryref2!R115,IF(AK254=summaryref2!B129,summaryref2!R129,IF(AK254=summaryref2!B143,summaryref2!R143,"")))))))))))</f>
        <v>#REF!</v>
      </c>
      <c r="BC254" s="1110" t="e">
        <f>IF('A-80 DirEntInv'!#REF!&lt;&gt;0,'A-80 DirEntInv'!#REF!,IF(AK254=summaryref2!B17,summaryref2!S17,IF(Summary!AK254=summaryref2!B31,summaryref2!S31,IF(AK254=summaryref2!B45,summaryref2!S45,IF(AK254=summaryref2!B59,summaryref2!S59,IF(AK254=summaryref2!B73,summaryref2!S73,IF(AK254=summaryref2!B87,summaryref2!S87,IF(AK254=summaryref2!B101,summaryref2!S101,IF(AK254=summaryref2!B115,summaryref2!S115,IF(AK254=summaryref2!B129,summaryref2!S129,IF(AK254=summaryref2!B143,summaryref2!S143,"")))))))))))</f>
        <v>#REF!</v>
      </c>
      <c r="BD254" s="1111" t="e">
        <f>IF('A-80 DirEntInv'!#REF!&lt;&gt;"",'A-80 DirEntInv'!#REF!,IF(AK254=summaryref2!B17,summaryref2!T17,IF(Summary!AK254=summaryref2!B31,summaryref2!T31,IF(AK254=summaryref2!B45,summaryref2!T45,IF(AK254=summaryref2!B59,summaryref2!T59,IF(AK254=summaryref2!B73,summaryref2!T73,IF(AK254=summaryref2!B87,summaryref2!T87,IF(AK254=summaryref2!B101,summaryref2!T101,IF(AK254=summaryref2!B115,summaryref2!T115,IF(AK254=summaryref2!B129,summaryref2!T129,IF(AK254=summaryref2!B143,summaryref2!T143,"")))))))))))</f>
        <v>#REF!</v>
      </c>
      <c r="BE254" s="1184" t="e">
        <f>IF('A-80 DirEntInv'!#REF!&lt;&gt;"",'A-80 DirEntInv'!#REF!,IF(AK254=summaryref2!B17,summaryref2!U17,IF(Summary!AK254=summaryref2!B31,summaryref2!U31,IF(AK254=summaryref2!B45,summaryref2!U45,IF(AK254=summaryref2!B59,summaryref2!U59,IF(AK254=summaryref2!B73,summaryref2!U73,IF(AK254=summaryref2!B87,summaryref2!U87,IF(AK254=summaryref2!B101,summaryref2!U101,IF(AK254=summaryref2!B115,summaryref2!U115,IF(AK254=summaryref2!B129,summaryref2!U129,IF(AK254=summaryref2!B143,summaryref2!U143,"")))))))))))</f>
        <v>#REF!</v>
      </c>
      <c r="BF254" s="1432"/>
      <c r="BG254" s="1432"/>
      <c r="BU254" s="962"/>
      <c r="CD254" s="589"/>
      <c r="CE254" s="590"/>
      <c r="CF254" s="590"/>
      <c r="CG254" s="590"/>
      <c r="CH254" s="590"/>
      <c r="CI254" s="590"/>
      <c r="CJ254" s="589"/>
      <c r="CK254" s="589"/>
      <c r="CL254" s="589"/>
      <c r="CM254" s="587"/>
      <c r="CN254" s="587"/>
      <c r="CO254" s="589"/>
      <c r="CP254" s="587"/>
      <c r="CQ254" s="592"/>
      <c r="CR254" s="589"/>
      <c r="CS254" s="592"/>
      <c r="CT254" s="589"/>
      <c r="CU254" s="589"/>
      <c r="CV254" s="589"/>
      <c r="CW254" s="587"/>
      <c r="CX254" s="590"/>
      <c r="CY254" s="590"/>
      <c r="CZ254" s="590"/>
      <c r="DA254" s="1054"/>
      <c r="DB254" s="1054"/>
      <c r="DC254" s="587"/>
      <c r="DD254" s="587"/>
    </row>
    <row r="255" spans="1:108" s="588" customFormat="1" x14ac:dyDescent="0.2">
      <c r="A255" s="589">
        <f t="shared" si="3"/>
        <v>245</v>
      </c>
      <c r="B255" s="587"/>
      <c r="C255" s="587"/>
      <c r="D255" s="587"/>
      <c r="J255" s="589"/>
      <c r="K255" s="590"/>
      <c r="L255" s="591"/>
      <c r="M255" s="592"/>
      <c r="N255" s="589"/>
      <c r="O255" s="587"/>
      <c r="R255" s="1052"/>
      <c r="S255" s="1052"/>
      <c r="T255" s="1052"/>
      <c r="U255" s="1052"/>
      <c r="V255" s="1052"/>
      <c r="W255" s="1053"/>
      <c r="X255" s="1053"/>
      <c r="Y255" s="1053"/>
      <c r="Z255" s="1052"/>
      <c r="AA255" s="1052"/>
      <c r="AB255" s="962"/>
      <c r="AC255" s="590"/>
      <c r="AD255" s="590"/>
      <c r="AE255" s="591"/>
      <c r="AF255" s="592"/>
      <c r="AG255" s="1053"/>
      <c r="AH255" s="587"/>
      <c r="AK255" s="1041" t="str">
        <f>Codes!$C$173</f>
        <v>YR - Hybrid Rail (DO)</v>
      </c>
      <c r="AL255" s="1042" t="str">
        <f>Valid!$B$77</f>
        <v>Below-Grade/Cut-and-Cover Tunnel</v>
      </c>
      <c r="AM255" s="1108" t="e">
        <f>IF('A-80 DirEntInv'!#REF!&lt;&gt;"",'A-80 DirEntInv'!#REF!,IF(AK255=summaryref2!B18,summaryref2!D18,IF(Summary!AK255=summaryref2!B32,summaryref2!D32,IF(AK255=summaryref2!B46,summaryref2!D46,IF(AK255=summaryref2!B60,summaryref2!D60,IF(AK255=summaryref2!B74,summaryref2!D74,IF(AK255=summaryref2!B88,summaryref2!D88,IF(AK255=summaryref2!B102,summaryref2!D102,IF(AK255=summaryref2!B116,summaryref2!D116,IF(AK255=summaryref2!B130,summaryref2!D130,IF(AK255=summaryref2!B144,summaryref2!D144,"")))))))))))</f>
        <v>#REF!</v>
      </c>
      <c r="AN255" s="1109" t="e">
        <f ca="1">IF('A-80 DirEntInv'!#REF!&lt;&gt;"",'A-80 DirEntInv'!#REF!,IF(INDIRECT(ADDRESS(SumRef!CG580,SumRef!CG$16,,,SumRef!$C$7))="","",INDIRECT(ADDRESS(SumRef!CG580,SumRef!CG$16,,,SumRef!$C$7))))</f>
        <v>#REF!</v>
      </c>
      <c r="AO255" s="1108" t="e">
        <f>IF('A-80 DirEntInv'!#REF!&lt;&gt;"",'A-80 DirEntInv'!#REF!,IF(AK255=summaryref2!B18,summaryref2!F18,IF(Summary!AK255=summaryref2!B32,summaryref2!F32,IF(AK255=summaryref2!B46,summaryref2!F46,IF(AK255=summaryref2!B60,summaryref2!F60,IF(AK255=summaryref2!B74,summaryref2!F74,IF(AK255=summaryref2!B88,summaryref2!F88,IF(AK255=summaryref2!B102,summaryref2!F102,IF(AK255=summaryref2!B116,summaryref2!F116,IF(AK255=summaryref2!B130,summaryref2!F130,IF(AK255=summaryref2!B144,summaryref2!F144,"")))))))))))</f>
        <v>#REF!</v>
      </c>
      <c r="AP255" s="1109" t="e">
        <f ca="1">IF('A-80 DirEntInv'!#REF!&lt;&gt;"",'A-80 DirEntInv'!#REF!,IF(INDIRECT(ADDRESS(SumRef!#REF!,SumRef!#REF!,,,SumRef!$C$7))="","",INDIRECT(ADDRESS(SumRef!#REF!,SumRef!#REF!,,,SumRef!$C$7))))</f>
        <v>#REF!</v>
      </c>
      <c r="AQ255" s="1147" t="e">
        <f>IF('A-80 DirEntInv'!#REF!&lt;&gt;"",'A-80 DirEntInv'!#REF!,IF(AK255=summaryref2!B18,summaryref2!G18,IF(Summary!AK255=summaryref2!B32,summaryref2!G32,IF(AK255=summaryref2!B46,summaryref2!G46,IF(AK255=summaryref2!B60,summaryref2!G60,IF(AK255=summaryref2!B74,summaryref2!G74,IF(AK255=summaryref2!B88,summaryref2!G88,IF(AK255=summaryref2!B102,summaryref2!G102,IF(AK255=summaryref2!B116,summaryref2!G116,IF(AK255=summaryref2!B130,summaryref2!G130,IF(AK255=summaryref2!B144,summaryref2!G144,"")))))))))))</f>
        <v>#REF!</v>
      </c>
      <c r="AR255" s="1147" t="e">
        <f>IF('A-80 DirEntInv'!#REF!&lt;&gt;"",'A-80 DirEntInv'!#REF!,IF(AK255=summaryref2!B18,summaryref2!H18,IF(Summary!AK255=summaryref2!B32,summaryref2!H32,IF(AK255=summaryref2!B46,summaryref2!H46,IF(AK255=summaryref2!B60,summaryref2!H60,IF(AK255=summaryref2!B74,summaryref2!H74,IF(AK255=summaryref2!B88,summaryref2!H88,IF(AK255=summaryref2!B102,summaryref2!H102,IF(AK255=summaryref2!B116,summaryref2!H116,IF(AK255=summaryref2!B130,summaryref2!H130,IF(AK255=summaryref2!B144,summaryref2!H144,"")))))))))))</f>
        <v>#REF!</v>
      </c>
      <c r="AS255" s="1110" t="e">
        <f>IF('A-80 DirEntInv'!#REF!&lt;&gt;"",'A-80 DirEntInv'!#REF!,IF(AK255=summaryref2!B18,summaryref2!I18,IF(Summary!AK255=summaryref2!B32,summaryref2!I32,IF(AK255=summaryref2!B46,summaryref2!I46,IF(AK255=summaryref2!B60,summaryref2!I60,IF(AK255=summaryref2!B74,summaryref2!I74,IF(AK255=summaryref2!B88,summaryref2!I88,IF(AK255=summaryref2!B102,summaryref2!I102,IF(AK255=summaryref2!B116,summaryref2!I116,IF(AK255=summaryref2!B130,summaryref2!I130,IF(AK255=summaryref2!B144,summaryref2!I144,"")))))))))))</f>
        <v>#REF!</v>
      </c>
      <c r="AT255" s="1110" t="e">
        <f>IF('A-80 DirEntInv'!#REF!&lt;&gt;"",'A-80 DirEntInv'!#REF!,IF(AK255=summaryref2!B18,summaryref2!J18,IF(Summary!AK255=summaryref2!B32,summaryref2!J32,IF(AK255=summaryref2!B46,summaryref2!J46,IF(AK255=summaryref2!B60,summaryref2!J60,IF(AK255=summaryref2!B74,summaryref2!J74,IF(AK255=summaryref2!B88,summaryref2!J88,IF(AK255=summaryref2!B102,summaryref2!J102,IF(AK255=summaryref2!B116,summaryref2!J116,IF(AK255=summaryref2!B130,summaryref2!J130,IF(AK255=summaryref2!B144,summaryref2!J144,"")))))))))))</f>
        <v>#REF!</v>
      </c>
      <c r="AU255" s="1110" t="e">
        <f>IF('A-80 DirEntInv'!#REF!&lt;&gt;"",'A-80 DirEntInv'!#REF!,IF(AK255=summaryref2!B18,summaryref2!K18,IF(Summary!AK255=summaryref2!B32,summaryref2!K32,IF(AK255=summaryref2!B46,summaryref2!K46,IF(AK255=summaryref2!B60,summaryref2!K60,IF(AK255=summaryref2!B74,summaryref2!K74,IF(AK255=summaryref2!B88,summaryref2!K88,IF(AK255=summaryref2!B102,summaryref2!K102,IF(AK255=summaryref2!B116,summaryref2!K116,IF(AK255=summaryref2!B130,summaryref2!K130,IF(AK255=summaryref2!B144,summaryref2!K144,"")))))))))))</f>
        <v>#REF!</v>
      </c>
      <c r="AV255" s="1110" t="e">
        <f>IF('A-80 DirEntInv'!#REF!&lt;&gt;"",'A-80 DirEntInv'!#REF!,IF(AK255=summaryref2!B18,summaryref2!L18,IF(Summary!AK255=summaryref2!B32,summaryref2!L32,IF(AK255=summaryref2!B46,summaryref2!L46,IF(AK255=summaryref2!B60,summaryref2!L60,IF(AK255=summaryref2!B74,summaryref2!L74,IF(AK255=summaryref2!B88,summaryref2!L88,IF(AK255=summaryref2!B102,summaryref2!L102,IF(AK255=summaryref2!B116,summaryref2!L116,IF(AK255=summaryref2!B130,summaryref2!L130,IF(AK255=summaryref2!B144,summaryref2!L144,"")))))))))))</f>
        <v>#REF!</v>
      </c>
      <c r="AW255" s="1110" t="e">
        <f>IF('A-80 DirEntInv'!#REF!&lt;&gt;"",'A-80 DirEntInv'!#REF!,IF(AK255=summaryref2!B18,summaryref2!M18,IF(Summary!AK255=summaryref2!B32,summaryref2!M32,IF(AK255=summaryref2!B46,summaryref2!M46,IF(AK255=summaryref2!B60,summaryref2!M60,IF(AK255=summaryref2!B74,summaryref2!M74,IF(AK255=summaryref2!B88,summaryref2!M88,IF(AK255=summaryref2!B102,summaryref2!M102,IF(AK255=summaryref2!B116,summaryref2!M116,IF(AK255=summaryref2!B130,summaryref2!M130,IF(AK255=summaryref2!B144,summaryref2!M144,"")))))))))))</f>
        <v>#REF!</v>
      </c>
      <c r="AX255" s="1110" t="e">
        <f>IF('A-80 DirEntInv'!#REF!&lt;&gt;"",'A-80 DirEntInv'!#REF!,IF(AK255=summaryref2!B18,summaryref2!N18,IF(Summary!AK255=summaryref2!B32,summaryref2!N32,IF(AK255=summaryref2!B46,summaryref2!N46,IF(AK255=summaryref2!B60,summaryref2!N60,IF(AK255=summaryref2!B74,summaryref2!N74,IF(AK255=summaryref2!B88,summaryref2!N88,IF(AK255=summaryref2!B102,summaryref2!N102,IF(AK255=summaryref2!B116,summaryref2!N116,IF(AK255=summaryref2!B130,summaryref2!N130,IF(AK255=summaryref2!B144,summaryref2!N144,"")))))))))))</f>
        <v>#REF!</v>
      </c>
      <c r="AY255" s="1110" t="e">
        <f>IF('A-80 DirEntInv'!#REF!&lt;&gt;"",'A-80 DirEntInv'!#REF!,IF(AK255=summaryref2!B18,summaryref2!O18,IF(Summary!AK255=summaryref2!B32,summaryref2!O32,IF(AK255=summaryref2!B46,summaryref2!O46,IF(AK255=summaryref2!B60,summaryref2!O60,IF(AK255=summaryref2!B74,summaryref2!O74,IF(AK255=summaryref2!B88,summaryref2!O88,IF(AK255=summaryref2!B102,summaryref2!O102,IF(AK255=summaryref2!B116,summaryref2!O116,IF(AK255=summaryref2!B130,summaryref2!O130,IF(AK255=summaryref2!B144,summaryref2!O144,"")))))))))))</f>
        <v>#REF!</v>
      </c>
      <c r="AZ255" s="1110" t="e">
        <f>IF('A-80 DirEntInv'!#REF!&lt;&gt;"",'A-80 DirEntInv'!#REF!,IF(AK255=summaryref2!B18,summaryref2!P18,IF(Summary!AK255=summaryref2!B32,summaryref2!P32,IF(AK255=summaryref2!B46,summaryref2!P46,IF(AK255=summaryref2!B60,summaryref2!P60,IF(AK255=summaryref2!B74,summaryref2!P74,IF(AK255=summaryref2!B88,summaryref2!P88,IF(AK255=summaryref2!B102,summaryref2!P102,IF(AK255=summaryref2!B116,summaryref2!P116,IF(AK255=summaryref2!B130,summaryref2!P130,IF(AK255=summaryref2!B144,summaryref2!P144,"")))))))))))</f>
        <v>#REF!</v>
      </c>
      <c r="BA255" s="1110" t="e">
        <f>IF('A-80 DirEntInv'!#REF!&lt;&gt;"",'A-80 DirEntInv'!#REF!,IF(AK255=summaryref2!B18,summaryref2!Q18,IF(Summary!AK255=summaryref2!B32,summaryref2!Q32,IF(AK255=summaryref2!B46,summaryref2!Q46,IF(AK255=summaryref2!B60,summaryref2!Q60,IF(AK255=summaryref2!B74,summaryref2!Q74,IF(AK255=summaryref2!B88,summaryref2!Q88,IF(AK255=summaryref2!B102,summaryref2!Q102,IF(AK255=summaryref2!B116,summaryref2!Q116,IF(AK255=summaryref2!B130,summaryref2!Q130,IF(AK255=summaryref2!B144,summaryref2!Q144,"")))))))))))</f>
        <v>#REF!</v>
      </c>
      <c r="BB255" s="1110" t="e">
        <f>IF('A-80 DirEntInv'!#REF!&lt;&gt;"",'A-80 DirEntInv'!#REF!,IF(AK255=summaryref2!B18,summaryref2!R18,IF(Summary!AK255=summaryref2!B32,summaryref2!R32,IF(AK255=summaryref2!B46,summaryref2!R46,IF(AK255=summaryref2!B60,summaryref2!R60,IF(AK255=summaryref2!B74,summaryref2!R74,IF(AK255=summaryref2!B88,summaryref2!R88,IF(AK255=summaryref2!B102,summaryref2!R102,IF(AK255=summaryref2!B116,summaryref2!R116,IF(AK255=summaryref2!B130,summaryref2!R130,IF(AK255=summaryref2!B144,summaryref2!R144,"")))))))))))</f>
        <v>#REF!</v>
      </c>
      <c r="BC255" s="1110" t="e">
        <f>IF('A-80 DirEntInv'!#REF!&lt;&gt;0,'A-80 DirEntInv'!#REF!,IF(AK255=summaryref2!B18,summaryref2!S18,IF(Summary!AK255=summaryref2!B32,summaryref2!S32,IF(AK255=summaryref2!B46,summaryref2!S46,IF(AK255=summaryref2!B60,summaryref2!S60,IF(AK255=summaryref2!B74,summaryref2!S74,IF(AK255=summaryref2!B88,summaryref2!S88,IF(AK255=summaryref2!B102,summaryref2!S102,IF(AK255=summaryref2!B116,summaryref2!S116,IF(AK255=summaryref2!B130,summaryref2!S130,IF(AK255=summaryref2!B144,summaryref2!S144,"")))))))))))</f>
        <v>#REF!</v>
      </c>
      <c r="BD255" s="1111" t="e">
        <f>IF('A-80 DirEntInv'!#REF!&lt;&gt;"",'A-80 DirEntInv'!#REF!,IF(AK255=summaryref2!B18,summaryref2!T18,IF(Summary!AK255=summaryref2!B32,summaryref2!T32,IF(AK255=summaryref2!B46,summaryref2!T46,IF(AK255=summaryref2!B60,summaryref2!T60,IF(AK255=summaryref2!B74,summaryref2!T74,IF(AK255=summaryref2!B88,summaryref2!T88,IF(AK255=summaryref2!B102,summaryref2!T102,IF(AK255=summaryref2!B116,summaryref2!T116,IF(AK255=summaryref2!B130,summaryref2!T130,IF(AK255=summaryref2!B144,summaryref2!T144,"")))))))))))</f>
        <v>#REF!</v>
      </c>
      <c r="BE255" s="1184" t="e">
        <f>IF('A-80 DirEntInv'!#REF!&lt;&gt;"",'A-80 DirEntInv'!#REF!,IF(AK255=summaryref2!B18,summaryref2!U18,IF(Summary!AK255=summaryref2!B32,summaryref2!U32,IF(AK255=summaryref2!B46,summaryref2!U46,IF(AK255=summaryref2!B60,summaryref2!U60,IF(AK255=summaryref2!B74,summaryref2!U74,IF(AK255=summaryref2!B88,summaryref2!U88,IF(AK255=summaryref2!B102,summaryref2!U102,IF(AK255=summaryref2!B116,summaryref2!U116,IF(AK255=summaryref2!B130,summaryref2!U130,IF(AK255=summaryref2!B144,summaryref2!U144,"")))))))))))</f>
        <v>#REF!</v>
      </c>
      <c r="BF255" s="1432"/>
      <c r="BG255" s="1432"/>
      <c r="BU255" s="962"/>
      <c r="CD255" s="589"/>
      <c r="CE255" s="590"/>
      <c r="CF255" s="590"/>
      <c r="CG255" s="590"/>
      <c r="CH255" s="590"/>
      <c r="CI255" s="590"/>
      <c r="CJ255" s="589"/>
      <c r="CK255" s="589"/>
      <c r="CL255" s="589"/>
      <c r="CM255" s="587"/>
      <c r="CN255" s="587"/>
      <c r="CO255" s="589"/>
      <c r="CP255" s="587"/>
      <c r="CQ255" s="592"/>
      <c r="CR255" s="589"/>
      <c r="CS255" s="592"/>
      <c r="CT255" s="589"/>
      <c r="CU255" s="589"/>
      <c r="CV255" s="589"/>
      <c r="CW255" s="587"/>
      <c r="CX255" s="590"/>
      <c r="CY255" s="590"/>
      <c r="CZ255" s="590"/>
      <c r="DA255" s="1054"/>
      <c r="DB255" s="1054"/>
      <c r="DC255" s="587"/>
      <c r="DD255" s="587"/>
    </row>
    <row r="256" spans="1:108" s="588" customFormat="1" x14ac:dyDescent="0.2">
      <c r="A256" s="589">
        <f t="shared" si="3"/>
        <v>246</v>
      </c>
      <c r="B256" s="587"/>
      <c r="C256" s="587"/>
      <c r="D256" s="587"/>
      <c r="J256" s="589"/>
      <c r="K256" s="590"/>
      <c r="L256" s="591"/>
      <c r="M256" s="592"/>
      <c r="N256" s="589"/>
      <c r="O256" s="587"/>
      <c r="R256" s="1052"/>
      <c r="S256" s="1052"/>
      <c r="T256" s="1052"/>
      <c r="U256" s="1052"/>
      <c r="V256" s="1052"/>
      <c r="W256" s="1053"/>
      <c r="X256" s="1053"/>
      <c r="Y256" s="1053"/>
      <c r="Z256" s="1052"/>
      <c r="AA256" s="1052"/>
      <c r="AB256" s="962"/>
      <c r="AC256" s="590"/>
      <c r="AD256" s="590"/>
      <c r="AE256" s="591"/>
      <c r="AF256" s="592"/>
      <c r="AG256" s="1053"/>
      <c r="AH256" s="587"/>
      <c r="AK256" s="1041" t="str">
        <f>Codes!$C$173</f>
        <v>YR - Hybrid Rail (DO)</v>
      </c>
      <c r="AL256" s="1042" t="str">
        <f>Valid!$B$78</f>
        <v>Below-Grade/Bored or Blasted Tunnel</v>
      </c>
      <c r="AM256" s="1108" t="e">
        <f>IF('A-80 DirEntInv'!#REF!&lt;&gt;"",'A-80 DirEntInv'!#REF!,IF(AK256=summaryref2!B19,summaryref2!D19,IF(Summary!AK256=summaryref2!B33,summaryref2!D33,IF(AK256=summaryref2!B47,summaryref2!D47,IF(AK256=summaryref2!B61,summaryref2!D61,IF(AK256=summaryref2!B75,summaryref2!D75,IF(AK256=summaryref2!B89,summaryref2!D89,IF(AK256=summaryref2!B103,summaryref2!D103,IF(AK256=summaryref2!B117,summaryref2!D117,IF(AK256=summaryref2!B131,summaryref2!D131,IF(AK256=summaryref2!B145,summaryref2!D145,"")))))))))))</f>
        <v>#REF!</v>
      </c>
      <c r="AN256" s="1109" t="e">
        <f ca="1">IF('A-80 DirEntInv'!#REF!&lt;&gt;"",'A-80 DirEntInv'!#REF!,IF(INDIRECT(ADDRESS(SumRef!CG581,SumRef!CG$16,,,SumRef!$C$7))="","",INDIRECT(ADDRESS(SumRef!CG581,SumRef!CG$16,,,SumRef!$C$7))))</f>
        <v>#REF!</v>
      </c>
      <c r="AO256" s="1108" t="e">
        <f>IF('A-80 DirEntInv'!#REF!&lt;&gt;"",'A-80 DirEntInv'!#REF!,IF(AK256=summaryref2!B19,summaryref2!F19,IF(Summary!AK256=summaryref2!B33,summaryref2!F33,IF(AK256=summaryref2!B47,summaryref2!F47,IF(AK256=summaryref2!B61,summaryref2!F61,IF(AK256=summaryref2!B75,summaryref2!F75,IF(AK256=summaryref2!B89,summaryref2!F89,IF(AK256=summaryref2!B103,summaryref2!F103,IF(AK256=summaryref2!B117,summaryref2!F117,IF(AK256=summaryref2!B131,summaryref2!F131,IF(AK256=summaryref2!B145,summaryref2!F145,"")))))))))))</f>
        <v>#REF!</v>
      </c>
      <c r="AP256" s="1109" t="e">
        <f ca="1">IF('A-80 DirEntInv'!#REF!&lt;&gt;"",'A-80 DirEntInv'!#REF!,IF(INDIRECT(ADDRESS(SumRef!#REF!,SumRef!#REF!,,,SumRef!$C$7))="","",INDIRECT(ADDRESS(SumRef!#REF!,SumRef!#REF!,,,SumRef!$C$7))))</f>
        <v>#REF!</v>
      </c>
      <c r="AQ256" s="1147" t="e">
        <f>IF('A-80 DirEntInv'!#REF!&lt;&gt;"",'A-80 DirEntInv'!#REF!,IF(AK256=summaryref2!B19,summaryref2!G19,IF(Summary!AK256=summaryref2!B33,summaryref2!G33,IF(AK256=summaryref2!B47,summaryref2!G47,IF(AK256=summaryref2!B61,summaryref2!G61,IF(AK256=summaryref2!B75,summaryref2!G75,IF(AK256=summaryref2!B89,summaryref2!G89,IF(AK256=summaryref2!B103,summaryref2!G103,IF(AK256=summaryref2!B117,summaryref2!G117,IF(AK256=summaryref2!B131,summaryref2!G131,IF(AK256=summaryref2!B145,summaryref2!G145,"")))))))))))</f>
        <v>#REF!</v>
      </c>
      <c r="AR256" s="1147" t="e">
        <f>IF('A-80 DirEntInv'!#REF!&lt;&gt;"",'A-80 DirEntInv'!#REF!,IF(AK256=summaryref2!B19,summaryref2!H19,IF(Summary!AK256=summaryref2!B33,summaryref2!H33,IF(AK256=summaryref2!B47,summaryref2!H47,IF(AK256=summaryref2!B61,summaryref2!H61,IF(AK256=summaryref2!B75,summaryref2!H75,IF(AK256=summaryref2!B89,summaryref2!H89,IF(AK256=summaryref2!B103,summaryref2!H103,IF(AK256=summaryref2!B117,summaryref2!H117,IF(AK256=summaryref2!B131,summaryref2!H131,IF(AK256=summaryref2!B145,summaryref2!H145,"")))))))))))</f>
        <v>#REF!</v>
      </c>
      <c r="AS256" s="1110" t="e">
        <f>IF('A-80 DirEntInv'!#REF!&lt;&gt;"",'A-80 DirEntInv'!#REF!,IF(AK256=summaryref2!B19,summaryref2!I19,IF(Summary!AK256=summaryref2!B33,summaryref2!I33,IF(AK256=summaryref2!B47,summaryref2!I47,IF(AK256=summaryref2!B61,summaryref2!I61,IF(AK256=summaryref2!B75,summaryref2!I75,IF(AK256=summaryref2!B89,summaryref2!I89,IF(AK256=summaryref2!B103,summaryref2!I103,IF(AK256=summaryref2!B117,summaryref2!I117,IF(AK256=summaryref2!B131,summaryref2!I131,IF(AK256=summaryref2!B145,summaryref2!I145,"")))))))))))</f>
        <v>#REF!</v>
      </c>
      <c r="AT256" s="1110" t="e">
        <f>IF('A-80 DirEntInv'!#REF!&lt;&gt;"",'A-80 DirEntInv'!#REF!,IF(AK256=summaryref2!B19,summaryref2!J19,IF(Summary!AK256=summaryref2!B33,summaryref2!J33,IF(AK256=summaryref2!B47,summaryref2!J47,IF(AK256=summaryref2!B61,summaryref2!J61,IF(AK256=summaryref2!B75,summaryref2!J75,IF(AK256=summaryref2!B89,summaryref2!J89,IF(AK256=summaryref2!B103,summaryref2!J103,IF(AK256=summaryref2!B117,summaryref2!J117,IF(AK256=summaryref2!B131,summaryref2!J131,IF(AK256=summaryref2!B145,summaryref2!J145,"")))))))))))</f>
        <v>#REF!</v>
      </c>
      <c r="AU256" s="1110" t="e">
        <f>IF('A-80 DirEntInv'!#REF!&lt;&gt;"",'A-80 DirEntInv'!#REF!,IF(AK256=summaryref2!B19,summaryref2!K19,IF(Summary!AK256=summaryref2!B33,summaryref2!K33,IF(AK256=summaryref2!B47,summaryref2!K47,IF(AK256=summaryref2!B61,summaryref2!K61,IF(AK256=summaryref2!B75,summaryref2!K75,IF(AK256=summaryref2!B89,summaryref2!K89,IF(AK256=summaryref2!B103,summaryref2!K103,IF(AK256=summaryref2!B117,summaryref2!K117,IF(AK256=summaryref2!B131,summaryref2!K131,IF(AK256=summaryref2!B145,summaryref2!K145,"")))))))))))</f>
        <v>#REF!</v>
      </c>
      <c r="AV256" s="1110" t="e">
        <f>IF('A-80 DirEntInv'!#REF!&lt;&gt;"",'A-80 DirEntInv'!#REF!,IF(AK256=summaryref2!B19,summaryref2!L19,IF(Summary!AK256=summaryref2!B33,summaryref2!L33,IF(AK256=summaryref2!B47,summaryref2!L47,IF(AK256=summaryref2!B61,summaryref2!L61,IF(AK256=summaryref2!B75,summaryref2!L75,IF(AK256=summaryref2!B89,summaryref2!L89,IF(AK256=summaryref2!B103,summaryref2!L103,IF(AK256=summaryref2!B117,summaryref2!L117,IF(AK256=summaryref2!B131,summaryref2!L131,IF(AK256=summaryref2!B145,summaryref2!L145,"")))))))))))</f>
        <v>#REF!</v>
      </c>
      <c r="AW256" s="1110" t="e">
        <f>IF('A-80 DirEntInv'!#REF!&lt;&gt;"",'A-80 DirEntInv'!#REF!,IF(AK256=summaryref2!B19,summaryref2!M19,IF(Summary!AK256=summaryref2!B33,summaryref2!M33,IF(AK256=summaryref2!B47,summaryref2!M47,IF(AK256=summaryref2!B61,summaryref2!M61,IF(AK256=summaryref2!B75,summaryref2!M75,IF(AK256=summaryref2!B89,summaryref2!M89,IF(AK256=summaryref2!B103,summaryref2!M103,IF(AK256=summaryref2!B117,summaryref2!M117,IF(AK256=summaryref2!B131,summaryref2!M131,IF(AK256=summaryref2!B145,summaryref2!M145,"")))))))))))</f>
        <v>#REF!</v>
      </c>
      <c r="AX256" s="1110" t="e">
        <f>IF('A-80 DirEntInv'!#REF!&lt;&gt;"",'A-80 DirEntInv'!#REF!,IF(AK256=summaryref2!B19,summaryref2!N19,IF(Summary!AK256=summaryref2!B33,summaryref2!N33,IF(AK256=summaryref2!B47,summaryref2!N47,IF(AK256=summaryref2!B61,summaryref2!N61,IF(AK256=summaryref2!B75,summaryref2!N75,IF(AK256=summaryref2!B89,summaryref2!N89,IF(AK256=summaryref2!B103,summaryref2!N103,IF(AK256=summaryref2!B117,summaryref2!N117,IF(AK256=summaryref2!B131,summaryref2!N131,IF(AK256=summaryref2!B145,summaryref2!N145,"")))))))))))</f>
        <v>#REF!</v>
      </c>
      <c r="AY256" s="1110" t="e">
        <f>IF('A-80 DirEntInv'!#REF!&lt;&gt;"",'A-80 DirEntInv'!#REF!,IF(AK256=summaryref2!B19,summaryref2!O19,IF(Summary!AK256=summaryref2!B33,summaryref2!O33,IF(AK256=summaryref2!B47,summaryref2!O47,IF(AK256=summaryref2!B61,summaryref2!O61,IF(AK256=summaryref2!B75,summaryref2!O75,IF(AK256=summaryref2!B89,summaryref2!O89,IF(AK256=summaryref2!B103,summaryref2!O103,IF(AK256=summaryref2!B117,summaryref2!O117,IF(AK256=summaryref2!B131,summaryref2!O131,IF(AK256=summaryref2!B145,summaryref2!O145,"")))))))))))</f>
        <v>#REF!</v>
      </c>
      <c r="AZ256" s="1110" t="e">
        <f>IF('A-80 DirEntInv'!#REF!&lt;&gt;"",'A-80 DirEntInv'!#REF!,IF(AK256=summaryref2!B19,summaryref2!P19,IF(Summary!AK256=summaryref2!B33,summaryref2!P33,IF(AK256=summaryref2!B47,summaryref2!P47,IF(AK256=summaryref2!B61,summaryref2!P61,IF(AK256=summaryref2!B75,summaryref2!P75,IF(AK256=summaryref2!B89,summaryref2!P89,IF(AK256=summaryref2!B103,summaryref2!P103,IF(AK256=summaryref2!B117,summaryref2!P117,IF(AK256=summaryref2!B131,summaryref2!P131,IF(AK256=summaryref2!B145,summaryref2!P145,"")))))))))))</f>
        <v>#REF!</v>
      </c>
      <c r="BA256" s="1110" t="e">
        <f>IF('A-80 DirEntInv'!#REF!&lt;&gt;"",'A-80 DirEntInv'!#REF!,IF(AK256=summaryref2!B19,summaryref2!Q19,IF(Summary!AK256=summaryref2!B33,summaryref2!Q33,IF(AK256=summaryref2!B47,summaryref2!Q47,IF(AK256=summaryref2!B61,summaryref2!Q61,IF(AK256=summaryref2!B75,summaryref2!Q75,IF(AK256=summaryref2!B89,summaryref2!Q89,IF(AK256=summaryref2!B103,summaryref2!Q103,IF(AK256=summaryref2!B117,summaryref2!Q117,IF(AK256=summaryref2!B131,summaryref2!Q131,IF(AK256=summaryref2!B145,summaryref2!Q145,"")))))))))))</f>
        <v>#REF!</v>
      </c>
      <c r="BB256" s="1110" t="e">
        <f>IF('A-80 DirEntInv'!#REF!&lt;&gt;"",'A-80 DirEntInv'!#REF!,IF(AK256=summaryref2!B19,summaryref2!R19,IF(Summary!AK256=summaryref2!B33,summaryref2!R33,IF(AK256=summaryref2!B47,summaryref2!R47,IF(AK256=summaryref2!B61,summaryref2!R61,IF(AK256=summaryref2!B75,summaryref2!R75,IF(AK256=summaryref2!B89,summaryref2!R89,IF(AK256=summaryref2!B103,summaryref2!R103,IF(AK256=summaryref2!B117,summaryref2!R117,IF(AK256=summaryref2!B131,summaryref2!R131,IF(AK256=summaryref2!B145,summaryref2!R145,"")))))))))))</f>
        <v>#REF!</v>
      </c>
      <c r="BC256" s="1110" t="e">
        <f>IF('A-80 DirEntInv'!#REF!&lt;&gt;0,'A-80 DirEntInv'!#REF!,IF(AK256=summaryref2!B19,summaryref2!S19,IF(Summary!AK256=summaryref2!B33,summaryref2!S33,IF(AK256=summaryref2!B47,summaryref2!S47,IF(AK256=summaryref2!B61,summaryref2!S61,IF(AK256=summaryref2!B75,summaryref2!S75,IF(AK256=summaryref2!B89,summaryref2!S89,IF(AK256=summaryref2!B103,summaryref2!S103,IF(AK256=summaryref2!B117,summaryref2!S117,IF(AK256=summaryref2!B131,summaryref2!S131,IF(AK256=summaryref2!B145,summaryref2!S145,"")))))))))))</f>
        <v>#REF!</v>
      </c>
      <c r="BD256" s="1111" t="e">
        <f>IF('A-80 DirEntInv'!#REF!&lt;&gt;"",'A-80 DirEntInv'!#REF!,IF(AK256=summaryref2!B19,summaryref2!T19,IF(Summary!AK256=summaryref2!B33,summaryref2!T33,IF(AK256=summaryref2!B47,summaryref2!T47,IF(AK256=summaryref2!B61,summaryref2!T61,IF(AK256=summaryref2!B75,summaryref2!T75,IF(AK256=summaryref2!B89,summaryref2!T89,IF(AK256=summaryref2!B103,summaryref2!T103,IF(AK256=summaryref2!B117,summaryref2!T117,IF(AK256=summaryref2!B131,summaryref2!T131,IF(AK256=summaryref2!B145,summaryref2!T145,"")))))))))))</f>
        <v>#REF!</v>
      </c>
      <c r="BE256" s="1184" t="e">
        <f>IF('A-80 DirEntInv'!#REF!&lt;&gt;"",'A-80 DirEntInv'!#REF!,IF(AK256=summaryref2!B19,summaryref2!U19,IF(Summary!AK256=summaryref2!B33,summaryref2!U33,IF(AK256=summaryref2!B47,summaryref2!U47,IF(AK256=summaryref2!B61,summaryref2!U61,IF(AK256=summaryref2!B75,summaryref2!U75,IF(AK256=summaryref2!B89,summaryref2!U89,IF(AK256=summaryref2!B103,summaryref2!U103,IF(AK256=summaryref2!B117,summaryref2!U117,IF(AK256=summaryref2!B131,summaryref2!U131,IF(AK256=summaryref2!B145,summaryref2!U145,"")))))))))))</f>
        <v>#REF!</v>
      </c>
      <c r="BF256" s="1432"/>
      <c r="BG256" s="1432"/>
      <c r="BU256" s="962"/>
      <c r="CD256" s="589"/>
      <c r="CE256" s="590"/>
      <c r="CF256" s="590"/>
      <c r="CG256" s="590"/>
      <c r="CH256" s="590"/>
      <c r="CI256" s="590"/>
      <c r="CJ256" s="589"/>
      <c r="CK256" s="589"/>
      <c r="CL256" s="589"/>
      <c r="CM256" s="587"/>
      <c r="CN256" s="587"/>
      <c r="CO256" s="589"/>
      <c r="CP256" s="587"/>
      <c r="CQ256" s="592"/>
      <c r="CR256" s="589"/>
      <c r="CS256" s="592"/>
      <c r="CT256" s="589"/>
      <c r="CU256" s="589"/>
      <c r="CV256" s="589"/>
      <c r="CW256" s="587"/>
      <c r="CX256" s="590"/>
      <c r="CY256" s="590"/>
      <c r="CZ256" s="590"/>
      <c r="DA256" s="1054"/>
      <c r="DB256" s="1054"/>
      <c r="DC256" s="587"/>
      <c r="DD256" s="587"/>
    </row>
    <row r="257" spans="1:108" s="588" customFormat="1" ht="13.5" thickBot="1" x14ac:dyDescent="0.25">
      <c r="A257" s="589">
        <f t="shared" si="3"/>
        <v>247</v>
      </c>
      <c r="B257" s="587"/>
      <c r="C257" s="587"/>
      <c r="D257" s="587"/>
      <c r="J257" s="589"/>
      <c r="K257" s="590"/>
      <c r="L257" s="591"/>
      <c r="M257" s="592"/>
      <c r="N257" s="589"/>
      <c r="O257" s="587"/>
      <c r="R257" s="1052"/>
      <c r="S257" s="1052"/>
      <c r="T257" s="1052"/>
      <c r="U257" s="1052"/>
      <c r="V257" s="1052"/>
      <c r="W257" s="1053"/>
      <c r="X257" s="1053"/>
      <c r="Y257" s="1053"/>
      <c r="Z257" s="1052"/>
      <c r="AA257" s="1052"/>
      <c r="AB257" s="962"/>
      <c r="AC257" s="590"/>
      <c r="AD257" s="590"/>
      <c r="AE257" s="591"/>
      <c r="AF257" s="592"/>
      <c r="AG257" s="1053"/>
      <c r="AH257" s="587"/>
      <c r="AK257" s="1048" t="str">
        <f>Codes!$C$173</f>
        <v>YR - Hybrid Rail (DO)</v>
      </c>
      <c r="AL257" s="1049" t="str">
        <f>Valid!$B$79</f>
        <v>Below-Grade/Submerged Tube</v>
      </c>
      <c r="AM257" s="1119" t="e">
        <f>IF('A-80 DirEntInv'!#REF!&lt;&gt;"",'A-80 DirEntInv'!#REF!,IF(AK257=summaryref2!B20,summaryref2!D20,IF(Summary!AK257=summaryref2!B34,summaryref2!D34,IF(AK257=summaryref2!B48,summaryref2!D48,IF(AK257=summaryref2!B62,summaryref2!D62,IF(AK257=summaryref2!B76,summaryref2!D76,IF(AK257=summaryref2!B90,summaryref2!D90,IF(AK257=summaryref2!B104,summaryref2!D104,IF(AK257=summaryref2!B118,summaryref2!D118,IF(AK257=summaryref2!B132,summaryref2!D132,IF(AK257=summaryref2!B146,summaryref2!D146,"")))))))))))</f>
        <v>#REF!</v>
      </c>
      <c r="AN257" s="1120" t="e">
        <f ca="1">IF('A-80 DirEntInv'!#REF!&lt;&gt;"",'A-80 DirEntInv'!#REF!,IF(INDIRECT(ADDRESS(SumRef!CG582,SumRef!CG$16,,,SumRef!$C$7))="","",INDIRECT(ADDRESS(SumRef!CG582,SumRef!CG$16,,,SumRef!$C$7))))</f>
        <v>#REF!</v>
      </c>
      <c r="AO257" s="1119" t="e">
        <f>IF('A-80 DirEntInv'!#REF!&lt;&gt;"",'A-80 DirEntInv'!#REF!,IF(AK257=summaryref2!B20,summaryref2!F20,IF(Summary!AK257=summaryref2!B34,summaryref2!F34,IF(AK257=summaryref2!B48,summaryref2!F48,IF(AK257=summaryref2!B62,summaryref2!F62,IF(AK257=summaryref2!B76,summaryref2!F76,IF(AK257=summaryref2!B90,summaryref2!F90,IF(AK257=summaryref2!B104,summaryref2!F104,IF(AK257=summaryref2!B118,summaryref2!F118,IF(AK257=summaryref2!B132,summaryref2!F132,IF(AK257=summaryref2!B146,summaryref2!F146,"")))))))))))</f>
        <v>#REF!</v>
      </c>
      <c r="AP257" s="1120" t="e">
        <f ca="1">IF('A-80 DirEntInv'!#REF!&lt;&gt;"",'A-80 DirEntInv'!#REF!,IF(INDIRECT(ADDRESS(SumRef!#REF!,SumRef!#REF!,,,SumRef!$C$7))="","",INDIRECT(ADDRESS(SumRef!#REF!,SumRef!#REF!,,,SumRef!$C$7))))</f>
        <v>#REF!</v>
      </c>
      <c r="AQ257" s="1148" t="e">
        <f>IF('A-80 DirEntInv'!#REF!&lt;&gt;"",'A-80 DirEntInv'!#REF!,IF(AK257=summaryref2!B20,summaryref2!G20,IF(Summary!AK257=summaryref2!B34,summaryref2!G34,IF(AK257=summaryref2!B48,summaryref2!G48,IF(AK257=summaryref2!B62,summaryref2!G62,IF(AK257=summaryref2!B76,summaryref2!G76,IF(AK257=summaryref2!B90,summaryref2!G90,IF(AK257=summaryref2!B104,summaryref2!G104,IF(AK257=summaryref2!B118,summaryref2!G118,IF(AK257=summaryref2!B132,summaryref2!G132,IF(AK257=summaryref2!B146,summaryref2!G146,"")))))))))))</f>
        <v>#REF!</v>
      </c>
      <c r="AR257" s="1148" t="e">
        <f>IF('A-80 DirEntInv'!#REF!&lt;&gt;"",'A-80 DirEntInv'!#REF!,IF(AK257=summaryref2!B20,summaryref2!H20,IF(Summary!AK257=summaryref2!B34,summaryref2!H34,IF(AK257=summaryref2!B48,summaryref2!H48,IF(AK257=summaryref2!B62,summaryref2!H62,IF(AK257=summaryref2!B76,summaryref2!H76,IF(AK257=summaryref2!B90,summaryref2!H90,IF(AK257=summaryref2!B104,summaryref2!H104,IF(AK257=summaryref2!B118,summaryref2!H118,IF(AK257=summaryref2!B132,summaryref2!H132,IF(AK257=summaryref2!B146,summaryref2!H146,"")))))))))))</f>
        <v>#REF!</v>
      </c>
      <c r="AS257" s="1121" t="e">
        <f>IF('A-80 DirEntInv'!#REF!&lt;&gt;"",'A-80 DirEntInv'!#REF!,IF(AK257=summaryref2!B20,summaryref2!I20,IF(Summary!AK257=summaryref2!B34,summaryref2!I34,IF(AK257=summaryref2!B48,summaryref2!I48,IF(AK257=summaryref2!B62,summaryref2!I62,IF(AK257=summaryref2!B76,summaryref2!I76,IF(AK257=summaryref2!B90,summaryref2!I90,IF(AK257=summaryref2!B104,summaryref2!I104,IF(AK257=summaryref2!B118,summaryref2!I118,IF(AK257=summaryref2!B132,summaryref2!I132,IF(AK257=summaryref2!B146,summaryref2!I146,"")))))))))))</f>
        <v>#REF!</v>
      </c>
      <c r="AT257" s="1121" t="e">
        <f>IF('A-80 DirEntInv'!#REF!&lt;&gt;"",'A-80 DirEntInv'!#REF!,IF(AK257=summaryref2!B20,summaryref2!J20,IF(Summary!AK257=summaryref2!B34,summaryref2!J34,IF(AK257=summaryref2!B48,summaryref2!J48,IF(AK257=summaryref2!B62,summaryref2!J62,IF(AK257=summaryref2!B76,summaryref2!J76,IF(AK257=summaryref2!B90,summaryref2!J90,IF(AK257=summaryref2!B104,summaryref2!J104,IF(AK257=summaryref2!B118,summaryref2!J118,IF(AK257=summaryref2!B132,summaryref2!J132,IF(AK257=summaryref2!B146,summaryref2!J146,"")))))))))))</f>
        <v>#REF!</v>
      </c>
      <c r="AU257" s="1121" t="e">
        <f>IF('A-80 DirEntInv'!#REF!&lt;&gt;"",'A-80 DirEntInv'!#REF!,IF(AK257=summaryref2!B20,summaryref2!K20,IF(Summary!AK257=summaryref2!B34,summaryref2!K34,IF(AK257=summaryref2!B48,summaryref2!K48,IF(AK257=summaryref2!B62,summaryref2!K62,IF(AK257=summaryref2!B76,summaryref2!K76,IF(AK257=summaryref2!B90,summaryref2!K90,IF(AK257=summaryref2!B104,summaryref2!K104,IF(AK257=summaryref2!B118,summaryref2!K118,IF(AK257=summaryref2!B132,summaryref2!K132,IF(AK257=summaryref2!B146,summaryref2!K146,"")))))))))))</f>
        <v>#REF!</v>
      </c>
      <c r="AV257" s="1121" t="e">
        <f>IF('A-80 DirEntInv'!#REF!&lt;&gt;"",'A-80 DirEntInv'!#REF!,IF(AK257=summaryref2!B20,summaryref2!L20,IF(Summary!AK257=summaryref2!B34,summaryref2!L34,IF(AK257=summaryref2!B48,summaryref2!L48,IF(AK257=summaryref2!B62,summaryref2!L62,IF(AK257=summaryref2!B76,summaryref2!L76,IF(AK257=summaryref2!B90,summaryref2!L90,IF(AK257=summaryref2!B104,summaryref2!L104,IF(AK257=summaryref2!B118,summaryref2!L118,IF(AK257=summaryref2!B132,summaryref2!L132,IF(AK257=summaryref2!B146,summaryref2!L146,"")))))))))))</f>
        <v>#REF!</v>
      </c>
      <c r="AW257" s="1121" t="e">
        <f>IF('A-80 DirEntInv'!#REF!&lt;&gt;"",'A-80 DirEntInv'!#REF!,IF(AK257=summaryref2!B20,summaryref2!M20,IF(Summary!AK257=summaryref2!B34,summaryref2!M34,IF(AK257=summaryref2!B48,summaryref2!M48,IF(AK257=summaryref2!B62,summaryref2!M62,IF(AK257=summaryref2!B76,summaryref2!M76,IF(AK257=summaryref2!B90,summaryref2!M90,IF(AK257=summaryref2!B104,summaryref2!M104,IF(AK257=summaryref2!B118,summaryref2!M118,IF(AK257=summaryref2!B132,summaryref2!M132,IF(AK257=summaryref2!B146,summaryref2!M146,"")))))))))))</f>
        <v>#REF!</v>
      </c>
      <c r="AX257" s="1121" t="e">
        <f>IF('A-80 DirEntInv'!#REF!&lt;&gt;"",'A-80 DirEntInv'!#REF!,IF(AK257=summaryref2!B20,summaryref2!N20,IF(Summary!AK257=summaryref2!B34,summaryref2!N34,IF(AK257=summaryref2!B48,summaryref2!N48,IF(AK257=summaryref2!B62,summaryref2!N62,IF(AK257=summaryref2!B76,summaryref2!N76,IF(AK257=summaryref2!B90,summaryref2!N90,IF(AK257=summaryref2!B104,summaryref2!N104,IF(AK257=summaryref2!B118,summaryref2!N118,IF(AK257=summaryref2!B132,summaryref2!N132,IF(AK257=summaryref2!B146,summaryref2!N146,"")))))))))))</f>
        <v>#REF!</v>
      </c>
      <c r="AY257" s="1121" t="e">
        <f>IF('A-80 DirEntInv'!#REF!&lt;&gt;"",'A-80 DirEntInv'!#REF!,IF(AK257=summaryref2!B20,summaryref2!O20,IF(Summary!AK257=summaryref2!B34,summaryref2!O34,IF(AK257=summaryref2!B48,summaryref2!O48,IF(AK257=summaryref2!B62,summaryref2!O62,IF(AK257=summaryref2!B76,summaryref2!O76,IF(AK257=summaryref2!B90,summaryref2!O90,IF(AK257=summaryref2!B104,summaryref2!O104,IF(AK257=summaryref2!B118,summaryref2!O118,IF(AK257=summaryref2!B132,summaryref2!O132,IF(AK257=summaryref2!B146,summaryref2!O146,"")))))))))))</f>
        <v>#REF!</v>
      </c>
      <c r="AZ257" s="1121" t="e">
        <f>IF('A-80 DirEntInv'!#REF!&lt;&gt;"",'A-80 DirEntInv'!#REF!,IF(AK257=summaryref2!B20,summaryref2!P20,IF(Summary!AK257=summaryref2!B34,summaryref2!P34,IF(AK257=summaryref2!B48,summaryref2!P48,IF(AK257=summaryref2!B62,summaryref2!P62,IF(AK257=summaryref2!B76,summaryref2!P76,IF(AK257=summaryref2!B90,summaryref2!P90,IF(AK257=summaryref2!B104,summaryref2!P104,IF(AK257=summaryref2!B118,summaryref2!P118,IF(AK257=summaryref2!B132,summaryref2!P132,IF(AK257=summaryref2!B146,summaryref2!P146,"")))))))))))</f>
        <v>#REF!</v>
      </c>
      <c r="BA257" s="1121" t="e">
        <f>IF('A-80 DirEntInv'!#REF!&lt;&gt;"",'A-80 DirEntInv'!#REF!,IF(AK257=summaryref2!B20,summaryref2!Q20,IF(Summary!AK257=summaryref2!B34,summaryref2!Q34,IF(AK257=summaryref2!B48,summaryref2!Q48,IF(AK257=summaryref2!B62,summaryref2!Q62,IF(AK257=summaryref2!B76,summaryref2!Q76,IF(AK257=summaryref2!B90,summaryref2!Q90,IF(AK257=summaryref2!B104,summaryref2!Q104,IF(AK257=summaryref2!B118,summaryref2!Q118,IF(AK257=summaryref2!B132,summaryref2!Q132,IF(AK257=summaryref2!B146,summaryref2!Q146,"")))))))))))</f>
        <v>#REF!</v>
      </c>
      <c r="BB257" s="1121" t="e">
        <f>IF('A-80 DirEntInv'!#REF!&lt;&gt;"",'A-80 DirEntInv'!#REF!,IF(AK257=summaryref2!B20,summaryref2!R20,IF(Summary!AK257=summaryref2!B34,summaryref2!R34,IF(AK257=summaryref2!B48,summaryref2!R48,IF(AK257=summaryref2!B62,summaryref2!R62,IF(AK257=summaryref2!B76,summaryref2!R76,IF(AK257=summaryref2!B90,summaryref2!R90,IF(AK257=summaryref2!B104,summaryref2!R104,IF(AK257=summaryref2!B118,summaryref2!R118,IF(AK257=summaryref2!B132,summaryref2!R132,IF(AK257=summaryref2!B146,summaryref2!R146,"")))))))))))</f>
        <v>#REF!</v>
      </c>
      <c r="BC257" s="1121" t="e">
        <f>IF('A-80 DirEntInv'!#REF!&lt;&gt;0,'A-80 DirEntInv'!#REF!,IF(AK257=summaryref2!B20,summaryref2!S20,IF(Summary!AK257=summaryref2!B34,summaryref2!S34,IF(AK257=summaryref2!B48,summaryref2!S48,IF(AK257=summaryref2!B62,summaryref2!S62,IF(AK257=summaryref2!B76,summaryref2!S76,IF(AK257=summaryref2!B90,summaryref2!S90,IF(AK257=summaryref2!B104,summaryref2!S104,IF(AK257=summaryref2!B118,summaryref2!S118,IF(AK257=summaryref2!B132,summaryref2!S132,IF(AK257=summaryref2!B146,summaryref2!S146,"")))))))))))</f>
        <v>#REF!</v>
      </c>
      <c r="BD257" s="1122" t="e">
        <f>IF('A-80 DirEntInv'!#REF!&lt;&gt;"",'A-80 DirEntInv'!#REF!,IF(AK257=summaryref2!B20,summaryref2!T20,IF(Summary!AK257=summaryref2!B34,summaryref2!T34,IF(AK257=summaryref2!B48,summaryref2!T48,IF(AK257=summaryref2!B62,summaryref2!T62,IF(AK257=summaryref2!B76,summaryref2!T76,IF(AK257=summaryref2!B90,summaryref2!T90,IF(AK257=summaryref2!B104,summaryref2!T104,IF(AK257=summaryref2!B118,summaryref2!T118,IF(AK257=summaryref2!B132,summaryref2!T132,IF(AK257=summaryref2!B146,summaryref2!T146,"")))))))))))</f>
        <v>#REF!</v>
      </c>
      <c r="BE257" s="1190" t="e">
        <f>IF('A-80 DirEntInv'!#REF!&lt;&gt;"",'A-80 DirEntInv'!#REF!,IF(AK257=summaryref2!B20,summaryref2!U20,IF(Summary!AK257=summaryref2!B34,summaryref2!U34,IF(AK257=summaryref2!B48,summaryref2!U48,IF(AK257=summaryref2!B62,summaryref2!U62,IF(AK257=summaryref2!B76,summaryref2!U76,IF(AK257=summaryref2!B90,summaryref2!U90,IF(AK257=summaryref2!B104,summaryref2!U104,IF(AK257=summaryref2!B118,summaryref2!U118,IF(AK257=summaryref2!B132,summaryref2!U132,IF(AK257=summaryref2!B146,summaryref2!U146,"")))))))))))</f>
        <v>#REF!</v>
      </c>
      <c r="BF257" s="1432"/>
      <c r="BG257" s="1432"/>
      <c r="BU257" s="962"/>
      <c r="CD257" s="589"/>
      <c r="CE257" s="590"/>
      <c r="CF257" s="590"/>
      <c r="CG257" s="590"/>
      <c r="CH257" s="590"/>
      <c r="CI257" s="590"/>
      <c r="CJ257" s="589"/>
      <c r="CK257" s="589"/>
      <c r="CL257" s="589"/>
      <c r="CM257" s="587"/>
      <c r="CN257" s="587"/>
      <c r="CO257" s="589"/>
      <c r="CP257" s="587"/>
      <c r="CQ257" s="592"/>
      <c r="CR257" s="589"/>
      <c r="CS257" s="592"/>
      <c r="CT257" s="589"/>
      <c r="CU257" s="589"/>
      <c r="CV257" s="589"/>
      <c r="CW257" s="587"/>
      <c r="CX257" s="590"/>
      <c r="CY257" s="590"/>
      <c r="CZ257" s="590"/>
      <c r="DA257" s="1054"/>
      <c r="DB257" s="1054"/>
      <c r="DC257" s="587"/>
      <c r="DD257" s="587"/>
    </row>
    <row r="258" spans="1:108" s="588" customFormat="1" ht="13.5" thickTop="1" x14ac:dyDescent="0.2">
      <c r="A258" s="589">
        <f t="shared" si="3"/>
        <v>248</v>
      </c>
      <c r="B258" s="587"/>
      <c r="C258" s="587"/>
      <c r="D258" s="587"/>
      <c r="J258" s="589"/>
      <c r="K258" s="590"/>
      <c r="L258" s="591"/>
      <c r="M258" s="592"/>
      <c r="N258" s="589"/>
      <c r="O258" s="587"/>
      <c r="R258" s="1052"/>
      <c r="S258" s="1052"/>
      <c r="T258" s="1052"/>
      <c r="U258" s="1052"/>
      <c r="V258" s="1052"/>
      <c r="W258" s="1053"/>
      <c r="X258" s="1053"/>
      <c r="Y258" s="1053"/>
      <c r="Z258" s="1052"/>
      <c r="AA258" s="1052"/>
      <c r="AB258" s="962"/>
      <c r="AC258" s="590"/>
      <c r="AD258" s="590"/>
      <c r="AE258" s="591"/>
      <c r="AF258" s="592"/>
      <c r="AG258" s="1053"/>
      <c r="AH258" s="587"/>
      <c r="AK258" s="1181" t="str">
        <f>Codes!$C$173</f>
        <v>YR - Hybrid Rail (DO)</v>
      </c>
      <c r="AL258" s="1182" t="str">
        <f>Valid!$B$87</f>
        <v>Substation Building</v>
      </c>
      <c r="AM258" s="1123" t="e">
        <f>IF('A-80 DirEntInv'!#REF!&lt;&gt;"",'A-80 DirEntInv'!#REF!,IF(AK258=summaryref2!B21,summaryref2!D21,IF(Summary!AK258=summaryref2!B35,summaryref2!D35,IF(AK258=summaryref2!B49,summaryref2!D49,IF(AK258=summaryref2!B63,summaryref2!D63,IF(AK258=summaryref2!B77,summaryref2!D77,IF(AK258=summaryref2!B91,summaryref2!D91,IF(AK258=summaryref2!B105,summaryref2!D105,IF(AK258=summaryref2!B119,summaryref2!D119,IF(AK258=summaryref2!B133,summaryref2!D133,IF(AK258=summaryref2!B197,summaryref2!D147,"")))))))))))</f>
        <v>#REF!</v>
      </c>
      <c r="AN258" s="1124" t="s">
        <v>13</v>
      </c>
      <c r="AO258" s="1123"/>
      <c r="AP258" s="1124"/>
      <c r="AQ258" s="1149" t="e">
        <f>IF('A-80 DirEntInv'!#REF!&lt;&gt;"",'A-80 DirEntInv'!#REF!,IF(AK258=summaryref2!B21,summaryref2!G21,IF(Summary!AK258=summaryref2!B35,summaryref2!G35,IF(AK258=summaryref2!B49,summaryref2!G49,IF(AK258=summaryref2!B63,summaryref2!G63,IF(AK258=summaryref2!B77,summaryref2!G77,IF(AK258=summaryref2!B91,summaryref2!G91,IF(AK258=summaryref2!B105,summaryref2!G105,IF(AK258=summaryref2!B119,summaryref2!G119,IF(AK258=summaryref2!B133,summaryref2!G133,IF(AK258=summaryref2!B147,summaryref2!G147,"")))))))))))</f>
        <v>#REF!</v>
      </c>
      <c r="AR258" s="1149" t="e">
        <f>IF('A-80 DirEntInv'!#REF!&lt;&gt;"",'A-80 DirEntInv'!#REF!,IF(AK258=summaryref2!B21,summaryref2!H21,IF(Summary!AK258=summaryref2!B35,summaryref2!H35,IF(AK258=summaryref2!B49,summaryref2!H49,IF(AK258=summaryref2!B63,summaryref2!H63,IF(AK258=summaryref2!B77,summaryref2!H77,IF(AK258=summaryref2!B91,summaryref2!H91,IF(AK258=summaryref2!B105,summaryref2!H105,IF(AK258=summaryref2!B119,summaryref2!H119,IF(AK258=summaryref2!B133,summaryref2!H133,IF(AK258=summaryref2!B147,summaryref2!H147,"")))))))))))</f>
        <v>#REF!</v>
      </c>
      <c r="AS258" s="1125" t="e">
        <f>IF('A-80 DirEntInv'!#REF!&lt;&gt;"",'A-80 DirEntInv'!#REF!,IF(AK258=summaryref2!B21,summaryref2!I21,IF(Summary!AK258=summaryref2!B35,summaryref2!I35,IF(AK258=summaryref2!B49,summaryref2!I49,IF(AK258=summaryref2!B63,summaryref2!I63,IF(AK258=summaryref2!B77,summaryref2!I77,IF(AK258=summaryref2!B91,summaryref2!I91,IF(AK258=summaryref2!B105,summaryref2!I105,IF(AK258=summaryref2!B119,summaryref2!I119,IF(AK258=summaryref2!B133,summaryref2!I133,IF(AK258=summaryref2!B147,summaryref2!I147,"")))))))))))</f>
        <v>#REF!</v>
      </c>
      <c r="AT258" s="1125" t="e">
        <f>IF('A-80 DirEntInv'!#REF!&lt;&gt;"",'A-80 DirEntInv'!#REF!,IF(AK258=summaryref2!B21,summaryref2!J21,IF(Summary!AK258=summaryref2!B35,summaryref2!J35,IF(AK258=summaryref2!B49,summaryref2!J49,IF(AK258=summaryref2!B63,summaryref2!J63,IF(AK258=summaryref2!B77,summaryref2!J77,IF(AK258=summaryref2!B91,summaryref2!J91,IF(AK258=summaryref2!B105,summaryref2!J105,IF(AK258=summaryref2!B119,summaryref2!J119,IF(AK258=summaryref2!B133,summaryref2!J133,IF(AK258=summaryref2!B147,summaryref2!J147,"")))))))))))</f>
        <v>#REF!</v>
      </c>
      <c r="AU258" s="1125" t="e">
        <f>IF('A-80 DirEntInv'!#REF!&lt;&gt;"",'A-80 DirEntInv'!#REF!,IF(AK258=summaryref2!B21,summaryref2!K21,IF(Summary!AK258=summaryref2!B35,summaryref2!K35,IF(AK258=summaryref2!B49,summaryref2!K49,IF(AK258=summaryref2!B63,summaryref2!K63,IF(AK258=summaryref2!B77,summaryref2!K77,IF(AK258=summaryref2!B91,summaryref2!K91,IF(AK258=summaryref2!B105,summaryref2!K105,IF(AK258=summaryref2!B119,summaryref2!K119,IF(AK258=summaryref2!B133,summaryref2!K133,IF(AK258=summaryref2!B147,summaryref2!K147,"")))))))))))</f>
        <v>#REF!</v>
      </c>
      <c r="AV258" s="1125" t="e">
        <f>IF('A-80 DirEntInv'!#REF!&lt;&gt;"",'A-80 DirEntInv'!#REF!,IF(AK258=summaryref2!B21,summaryref2!L21,IF(Summary!AK258=summaryref2!B35,summaryref2!L35,IF(AK258=summaryref2!B49,summaryref2!L49,IF(AK258=summaryref2!B63,summaryref2!L63,IF(AK258=summaryref2!B77,summaryref2!L77,IF(AK258=summaryref2!B91,summaryref2!L91,IF(AK258=summaryref2!B105,summaryref2!L105,IF(AK258=summaryref2!B119,summaryref2!L119,IF(AK258=summaryref2!B133,summaryref2!L133,IF(AK258=summaryref2!B147,summaryref2!L147,"")))))))))))</f>
        <v>#REF!</v>
      </c>
      <c r="AW258" s="1125" t="e">
        <f>IF('A-80 DirEntInv'!#REF!&lt;&gt;"",'A-80 DirEntInv'!#REF!,IF(AK258=summaryref2!B21,summaryref2!M21,IF(Summary!AK258=summaryref2!B35,summaryref2!M35,IF(AK258=summaryref2!B49,summaryref2!M49,IF(AK258=summaryref2!B63,summaryref2!M63,IF(AK258=summaryref2!B77,summaryref2!M77,IF(AK258=summaryref2!B91,summaryref2!M91,IF(AK258=summaryref2!B105,summaryref2!M105,IF(AK258=summaryref2!B119,summaryref2!M119,IF(AK258=summaryref2!B133,summaryref2!M133,IF(AK258=summaryref2!B147,summaryref2!M147,"")))))))))))</f>
        <v>#REF!</v>
      </c>
      <c r="AX258" s="1125" t="e">
        <f>IF('A-80 DirEntInv'!#REF!&lt;&gt;"",'A-80 DirEntInv'!#REF!,IF(AK258=summaryref2!B21,summaryref2!N21,IF(Summary!AK258=summaryref2!B35,summaryref2!N35,IF(AK258=summaryref2!B49,summaryref2!N49,IF(AK258=summaryref2!B63,summaryref2!N63,IF(AK258=summaryref2!B77,summaryref2!N77,IF(AK258=summaryref2!B91,summaryref2!N91,IF(AK258=summaryref2!B105,summaryref2!N105,IF(AK258=summaryref2!B119,summaryref2!N119,IF(AK258=summaryref2!B133,summaryref2!N133,IF(AK258=summaryref2!B147,summaryref2!N147,"")))))))))))</f>
        <v>#REF!</v>
      </c>
      <c r="AY258" s="1125" t="e">
        <f>IF('A-80 DirEntInv'!#REF!&lt;&gt;"",'A-80 DirEntInv'!#REF!,IF(AK258=summaryref2!B21,summaryref2!O21,IF(Summary!AK258=summaryref2!B35,summaryref2!O35,IF(AK258=summaryref2!B49,summaryref2!O49,IF(AK258=summaryref2!B63,summaryref2!O63,IF(AK258=summaryref2!B77,summaryref2!O77,IF(AK258=summaryref2!B91,summaryref2!O91,IF(AK258=summaryref2!B105,summaryref2!O105,IF(AK258=summaryref2!B119,summaryref2!O119,IF(AK258=summaryref2!B133,summaryref2!O133,IF(AK258=summaryref2!B147,summaryref2!O147,"")))))))))))</f>
        <v>#REF!</v>
      </c>
      <c r="AZ258" s="1125" t="e">
        <f>IF('A-80 DirEntInv'!#REF!&lt;&gt;"",'A-80 DirEntInv'!#REF!,IF(AK258=summaryref2!B21,summaryref2!P21,IF(Summary!AK258=summaryref2!B35,summaryref2!P35,IF(AK258=summaryref2!B49,summaryref2!P49,IF(AK258=summaryref2!B63,summaryref2!P63,IF(AK258=summaryref2!B77,summaryref2!P77,IF(AK258=summaryref2!B91,summaryref2!P91,IF(AK258=summaryref2!B105,summaryref2!P105,IF(AK258=summaryref2!B119,summaryref2!P119,IF(AK258=summaryref2!B133,summaryref2!P133,IF(AK258=summaryref2!B147,summaryref2!P147,"")))))))))))</f>
        <v>#REF!</v>
      </c>
      <c r="BA258" s="1125" t="e">
        <f>IF('A-80 DirEntInv'!#REF!&lt;&gt;"",'A-80 DirEntInv'!#REF!,IF(AK258=summaryref2!B21,summaryref2!Q21,IF(Summary!AK258=summaryref2!B35,summaryref2!Q35,IF(AK258=summaryref2!B49,summaryref2!Q49,IF(AK258=summaryref2!B63,summaryref2!Q63,IF(AK258=summaryref2!B77,summaryref2!Q77,IF(AK258=summaryref2!B91,summaryref2!Q91,IF(AK258=summaryref2!B105,summaryref2!Q105,IF(AK258=summaryref2!B119,summaryref2!Q119,IF(AK258=summaryref2!B133,summaryref2!Q133,IF(AK258=summaryref2!B147,summaryref2!Q147,"")))))))))))</f>
        <v>#REF!</v>
      </c>
      <c r="BB258" s="1125" t="e">
        <f>IF('A-80 DirEntInv'!#REF!&lt;&gt;"",'A-80 DirEntInv'!#REF!,IF(AK258=summaryref2!B21,summaryref2!R21,IF(Summary!AK258=summaryref2!B35,summaryref2!R35,IF(AK258=summaryref2!B49,summaryref2!R49,IF(AK258=summaryref2!B63,summaryref2!R63,IF(AK258=summaryref2!B77,summaryref2!R77,IF(AK258=summaryref2!B91,summaryref2!R91,IF(AK258=summaryref2!B105,summaryref2!R105,IF(AK258=summaryref2!B119,summaryref2!R119,IF(AK258=summaryref2!B133,summaryref2!R133,IF(AK258=summaryref2!B147,summaryref2!R147,"")))))))))))</f>
        <v>#REF!</v>
      </c>
      <c r="BC258" s="1125" t="e">
        <f>IF('A-80 DirEntInv'!#REF!&lt;&gt;0,'A-80 DirEntInv'!#REF!,IF(AK258=summaryref2!B21,summaryref2!S21,IF(Summary!AK258=summaryref2!B35,summaryref2!S35,IF(AK258=summaryref2!B49,summaryref2!S49,IF(AK258=summaryref2!B63,summaryref2!S63,IF(AK258=summaryref2!B77,summaryref2!S77,IF(AK258=summaryref2!B91,summaryref2!S91,IF(AK258=summaryref2!B105,summaryref2!S105,IF(AK258=summaryref2!B119,summaryref2!S119,IF(AK258=summaryref2!B133,summaryref2!S133,IF(AK258=summaryref2!B147,summaryref2!S147,"")))))))))))</f>
        <v>#REF!</v>
      </c>
      <c r="BD258" s="1126" t="e">
        <f>IF('A-80 DirEntInv'!#REF!&lt;&gt;"",'A-80 DirEntInv'!#REF!,IF(AK258=summaryref2!B21,summaryref2!T21,IF(Summary!AK258=summaryref2!B35,summaryref2!T35,IF(AK258=summaryref2!B49,summaryref2!T49,IF(AK258=summaryref2!B63,summaryref2!T63,IF(AK258=summaryref2!B77,summaryref2!T77,IF(AK258=summaryref2!B91,summaryref2!T91,IF(AK258=summaryref2!B105,summaryref2!T105,IF(AK258=summaryref2!B119,summaryref2!T119,IF(AK258=summaryref2!B133,summaryref2!T133,IF(AK258=summaryref2!B147,summaryref2!T147,"")))))))))))</f>
        <v>#REF!</v>
      </c>
      <c r="BE258" s="1183" t="e">
        <f>IF('A-80 DirEntInv'!#REF!&lt;&gt;"",'A-80 DirEntInv'!#REF!,IF(AK258=summaryref2!B21,summaryref2!U21,IF(Summary!AK258=summaryref2!B35,summaryref2!U35,IF(AK258=summaryref2!B49,summaryref2!U49,IF(AK258=summaryref2!B63,summaryref2!U63,IF(AK258=summaryref2!B77,summaryref2!U77,IF(AK258=summaryref2!B91,summaryref2!U91,IF(AK258=summaryref2!B105,summaryref2!U105,IF(AK258=summaryref2!B119,summaryref2!U119,IF(AK258=summaryref2!B133,summaryref2!U133,IF(AK258=summaryref2!B147,summaryref2!U147,"")))))))))))</f>
        <v>#REF!</v>
      </c>
      <c r="BF258" s="1432"/>
      <c r="BG258" s="1432"/>
      <c r="BU258" s="962"/>
      <c r="CD258" s="589"/>
      <c r="CE258" s="590"/>
      <c r="CF258" s="590"/>
      <c r="CG258" s="590"/>
      <c r="CH258" s="590"/>
      <c r="CI258" s="590"/>
      <c r="CJ258" s="589"/>
      <c r="CK258" s="589"/>
      <c r="CL258" s="589"/>
      <c r="CM258" s="587"/>
      <c r="CN258" s="587"/>
      <c r="CO258" s="589"/>
      <c r="CP258" s="587"/>
      <c r="CQ258" s="592"/>
      <c r="CR258" s="589"/>
      <c r="CS258" s="592"/>
      <c r="CT258" s="589"/>
      <c r="CU258" s="589"/>
      <c r="CV258" s="589"/>
      <c r="CW258" s="587"/>
      <c r="CX258" s="590"/>
      <c r="CY258" s="590"/>
      <c r="CZ258" s="590"/>
      <c r="DA258" s="1054"/>
      <c r="DB258" s="1054"/>
      <c r="DC258" s="587"/>
      <c r="DD258" s="587"/>
    </row>
    <row r="259" spans="1:108" s="588" customFormat="1" x14ac:dyDescent="0.2">
      <c r="A259" s="589">
        <f t="shared" si="3"/>
        <v>249</v>
      </c>
      <c r="B259" s="587"/>
      <c r="C259" s="587"/>
      <c r="D259" s="587"/>
      <c r="J259" s="589"/>
      <c r="K259" s="590"/>
      <c r="L259" s="591"/>
      <c r="M259" s="592"/>
      <c r="N259" s="589"/>
      <c r="O259" s="587"/>
      <c r="R259" s="1052"/>
      <c r="S259" s="1052"/>
      <c r="T259" s="1052"/>
      <c r="U259" s="1052"/>
      <c r="V259" s="1052"/>
      <c r="W259" s="1053"/>
      <c r="X259" s="1053"/>
      <c r="Y259" s="1053"/>
      <c r="Z259" s="1052"/>
      <c r="AA259" s="1052"/>
      <c r="AB259" s="962"/>
      <c r="AC259" s="590"/>
      <c r="AD259" s="590"/>
      <c r="AE259" s="591"/>
      <c r="AF259" s="592"/>
      <c r="AG259" s="1053"/>
      <c r="AH259" s="587"/>
      <c r="AK259" s="1041" t="str">
        <f>Codes!$C$173</f>
        <v>YR - Hybrid Rail (DO)</v>
      </c>
      <c r="AL259" s="1042" t="str">
        <f>Valid!$B$88</f>
        <v>Substation Equipment</v>
      </c>
      <c r="AM259" s="1187"/>
      <c r="AN259" s="1046"/>
      <c r="AO259" s="1187"/>
      <c r="AP259" s="1046"/>
      <c r="AQ259" s="1147" t="e">
        <f>IF('A-80 DirEntInv'!#REF!&lt;&gt;"",'A-80 DirEntInv'!#REF!,IF(AK259=summaryref2!B22,summaryref2!G22,IF(Summary!AK259=summaryref2!B36,summaryref2!G36,IF(AK259=summaryref2!B50,summaryref2!G50,IF(AK259=summaryref2!B64,summaryref2!G64,IF(AK259=summaryref2!B78,summaryref2!G78,IF(AK259=summaryref2!B92,summaryref2!G92,IF(AK259=summaryref2!B106,summaryref2!G106,IF(AK259=summaryref2!B120,summaryref2!G120,IF(AK259=summaryref2!B134,summaryref2!G134,IF(AK259=summaryref2!B148,summaryref2!G148,"")))))))))))</f>
        <v>#REF!</v>
      </c>
      <c r="AR259" s="1147" t="e">
        <f>IF('A-80 DirEntInv'!#REF!&lt;&gt;"",'A-80 DirEntInv'!#REF!,IF(AK259=summaryref2!B22,summaryref2!H22,IF(Summary!AK259=summaryref2!B36,summaryref2!H36,IF(AK259=summaryref2!B50,summaryref2!H50,IF(AK259=summaryref2!B64,summaryref2!H64,IF(AK259=summaryref2!B78,summaryref2!H78,IF(AK259=summaryref2!B92,summaryref2!H92,IF(AK259=summaryref2!B106,summaryref2!H106,IF(AK259=summaryref2!B120,summaryref2!H120,IF(AK259=summaryref2!B134,summaryref2!H134,IF(AK259=summaryref2!B148,summaryref2!H148,"")))))))))))</f>
        <v>#REF!</v>
      </c>
      <c r="AS259" s="1110" t="e">
        <f>IF('A-80 DirEntInv'!#REF!&lt;&gt;"",'A-80 DirEntInv'!#REF!,IF(AK259=summaryref2!B22,summaryref2!I22,IF(Summary!AK259=summaryref2!B36,summaryref2!I36,IF(AK259=summaryref2!B50,summaryref2!I50,IF(AK259=summaryref2!B64,summaryref2!I64,IF(AK259=summaryref2!B78,summaryref2!I78,IF(AK259=summaryref2!B92,summaryref2!I92,IF(AK259=summaryref2!B106,summaryref2!I106,IF(AK259=summaryref2!B120,summaryref2!I120,IF(AK259=summaryref2!B134,summaryref2!I134,IF(AK259=summaryref2!B148,summaryref2!I148,"")))))))))))</f>
        <v>#REF!</v>
      </c>
      <c r="AT259" s="1110" t="e">
        <f>IF('A-80 DirEntInv'!#REF!&lt;&gt;"",'A-80 DirEntInv'!#REF!,IF(AK259=summaryref2!B22,summaryref2!J22,IF(Summary!AK259=summaryref2!B36,summaryref2!J36,IF(AK259=summaryref2!B50,summaryref2!J50,IF(AK259=summaryref2!B64,summaryref2!J64,IF(AK259=summaryref2!B78,summaryref2!J78,IF(AK259=summaryref2!B92,summaryref2!J92,IF(AK259=summaryref2!B106,summaryref2!J106,IF(AK259=summaryref2!B120,summaryref2!J120,IF(AK259=summaryref2!B134,summaryref2!J134,IF(AK259=summaryref2!B148,summaryref2!J148,"")))))))))))</f>
        <v>#REF!</v>
      </c>
      <c r="AU259" s="1110" t="e">
        <f>IF('A-80 DirEntInv'!#REF!&lt;&gt;"",'A-80 DirEntInv'!#REF!,IF(AK259=summaryref2!B22,summaryref2!K22,IF(Summary!AK259=summaryref2!B36,summaryref2!K36,IF(AK259=summaryref2!B50,summaryref2!K50,IF(AK259=summaryref2!B64,summaryref2!K64,IF(AK259=summaryref2!B78,summaryref2!K78,IF(AK259=summaryref2!B92,summaryref2!K92,IF(AK259=summaryref2!B106,summaryref2!K106,IF(AK259=summaryref2!B120,summaryref2!K120,IF(AK259=summaryref2!B134,summaryref2!K134,IF(AK259=summaryref2!B148,summaryref2!K148,"")))))))))))</f>
        <v>#REF!</v>
      </c>
      <c r="AV259" s="1110" t="e">
        <f>IF('A-80 DirEntInv'!#REF!&lt;&gt;"",'A-80 DirEntInv'!#REF!,IF(AK259=summaryref2!B22,summaryref2!L22,IF(Summary!AK259=summaryref2!B36,summaryref2!L36,IF(AK259=summaryref2!B50,summaryref2!L50,IF(AK259=summaryref2!B64,summaryref2!L64,IF(AK259=summaryref2!B78,summaryref2!L78,IF(AK259=summaryref2!B92,summaryref2!L92,IF(AK259=summaryref2!B106,summaryref2!L106,IF(AK259=summaryref2!B120,summaryref2!L120,IF(AK259=summaryref2!B134,summaryref2!L134,IF(AK259=summaryref2!B148,summaryref2!L148,"")))))))))))</f>
        <v>#REF!</v>
      </c>
      <c r="AW259" s="1110" t="e">
        <f>IF('A-80 DirEntInv'!#REF!&lt;&gt;"",'A-80 DirEntInv'!#REF!,IF(AK259=summaryref2!B22,summaryref2!M22,IF(Summary!AK259=summaryref2!B36,summaryref2!M36,IF(AK259=summaryref2!B50,summaryref2!M50,IF(AK259=summaryref2!B64,summaryref2!M64,IF(AK259=summaryref2!B78,summaryref2!M78,IF(AK259=summaryref2!B92,summaryref2!M92,IF(AK259=summaryref2!B106,summaryref2!M106,IF(AK259=summaryref2!B120,summaryref2!M120,IF(AK259=summaryref2!B134,summaryref2!M134,IF(AK259=summaryref2!B148,summaryref2!M148,"")))))))))))</f>
        <v>#REF!</v>
      </c>
      <c r="AX259" s="1110" t="e">
        <f>IF('A-80 DirEntInv'!#REF!&lt;&gt;"",'A-80 DirEntInv'!#REF!,IF(AK259=summaryref2!B22,summaryref2!N22,IF(Summary!AK259=summaryref2!B36,summaryref2!N36,IF(AK259=summaryref2!B50,summaryref2!N50,IF(AK259=summaryref2!B64,summaryref2!N64,IF(AK259=summaryref2!B78,summaryref2!N78,IF(AK259=summaryref2!B92,summaryref2!N92,IF(AK259=summaryref2!B106,summaryref2!N106,IF(AK259=summaryref2!B120,summaryref2!N120,IF(AK259=summaryref2!B134,summaryref2!N134,IF(AK259=summaryref2!B148,summaryref2!N148,"")))))))))))</f>
        <v>#REF!</v>
      </c>
      <c r="AY259" s="1110" t="e">
        <f>IF('A-80 DirEntInv'!#REF!&lt;&gt;"",'A-80 DirEntInv'!#REF!,IF(AK259=summaryref2!B22,summaryref2!O22,IF(Summary!AK259=summaryref2!B36,summaryref2!O36,IF(AK259=summaryref2!B50,summaryref2!O50,IF(AK259=summaryref2!B64,summaryref2!O64,IF(AK259=summaryref2!B78,summaryref2!O78,IF(AK259=summaryref2!B92,summaryref2!O92,IF(AK259=summaryref2!B106,summaryref2!O106,IF(AK259=summaryref2!B120,summaryref2!O120,IF(AK259=summaryref2!B134,summaryref2!O134,IF(AK259=summaryref2!B148,summaryref2!O148,"")))))))))))</f>
        <v>#REF!</v>
      </c>
      <c r="AZ259" s="1110" t="e">
        <f>IF('A-80 DirEntInv'!#REF!&lt;&gt;"",'A-80 DirEntInv'!#REF!,IF(AK259=summaryref2!B22,summaryref2!P22,IF(Summary!AK259=summaryref2!B36,summaryref2!P36,IF(AK259=summaryref2!B50,summaryref2!P50,IF(AK259=summaryref2!B64,summaryref2!P64,IF(AK259=summaryref2!B78,summaryref2!P78,IF(AK259=summaryref2!B92,summaryref2!P92,IF(AK259=summaryref2!B106,summaryref2!P106,IF(AK259=summaryref2!B120,summaryref2!P120,IF(AK259=summaryref2!B134,summaryref2!P134,IF(AK259=summaryref2!B148,summaryref2!P148,"")))))))))))</f>
        <v>#REF!</v>
      </c>
      <c r="BA259" s="1110" t="e">
        <f>IF('A-80 DirEntInv'!#REF!&lt;&gt;"",'A-80 DirEntInv'!#REF!,IF(AK259=summaryref2!B22,summaryref2!Q22,IF(Summary!AK259=summaryref2!B36,summaryref2!Q36,IF(AK259=summaryref2!B50,summaryref2!Q50,IF(AK259=summaryref2!B64,summaryref2!Q64,IF(AK259=summaryref2!B78,summaryref2!Q78,IF(AK259=summaryref2!B92,summaryref2!Q92,IF(AK259=summaryref2!B106,summaryref2!Q106,IF(AK259=summaryref2!B120,summaryref2!Q120,IF(AK259=summaryref2!B134,summaryref2!Q134,IF(AK259=summaryref2!B148,summaryref2!Q148,"")))))))))))</f>
        <v>#REF!</v>
      </c>
      <c r="BB259" s="1110" t="e">
        <f>IF('A-80 DirEntInv'!#REF!&lt;&gt;"",'A-80 DirEntInv'!#REF!,IF(AK259=summaryref2!B22,summaryref2!R22,IF(Summary!AK259=summaryref2!B36,summaryref2!R36,IF(AK259=summaryref2!B50,summaryref2!R50,IF(AK259=summaryref2!B64,summaryref2!R64,IF(AK259=summaryref2!B78,summaryref2!R78,IF(AK259=summaryref2!B92,summaryref2!R92,IF(AK259=summaryref2!B106,summaryref2!R106,IF(AK259=summaryref2!B120,summaryref2!R120,IF(AK259=summaryref2!B134,summaryref2!R134,IF(AK259=summaryref2!B148,summaryref2!R148,"")))))))))))</f>
        <v>#REF!</v>
      </c>
      <c r="BC259" s="1110" t="e">
        <f>IF('A-80 DirEntInv'!#REF!&lt;&gt;0,'A-80 DirEntInv'!#REF!,IF(AK259=summaryref2!B22,summaryref2!S22,IF(Summary!AK259=summaryref2!B36,summaryref2!S36,IF(AK259=summaryref2!B50,summaryref2!S50,IF(AK259=summaryref2!B64,summaryref2!S64,IF(AK259=summaryref2!B78,summaryref2!S78,IF(AK259=summaryref2!B92,summaryref2!S92,IF(AK259=summaryref2!B106,summaryref2!S106,IF(AK259=summaryref2!B120,summaryref2!S120,IF(AK259=summaryref2!B134,summaryref2!S134,IF(AK259=summaryref2!B148,summaryref2!S148,"")))))))))))</f>
        <v>#REF!</v>
      </c>
      <c r="BD259" s="1111" t="e">
        <f>IF('A-80 DirEntInv'!#REF!&lt;&gt;"",'A-80 DirEntInv'!#REF!,IF(AK259=summaryref2!B22,summaryref2!T22,IF(Summary!AK259=summaryref2!B36,summaryref2!T36,IF(AK259=summaryref2!B50,summaryref2!T50,IF(AK259=summaryref2!B64,summaryref2!T64,IF(AK259=summaryref2!B78,summaryref2!T78,IF(AK259=summaryref2!B92,summaryref2!T92,IF(AK259=summaryref2!B106,summaryref2!T106,IF(AK259=summaryref2!B120,summaryref2!T120,IF(AK259=summaryref2!B134,summaryref2!T134,IF(AK259=summaryref2!B148,summaryref2!T148,"")))))))))))</f>
        <v>#REF!</v>
      </c>
      <c r="BE259" s="1184" t="e">
        <f>IF('A-80 DirEntInv'!#REF!&lt;&gt;"",'A-80 DirEntInv'!#REF!,IF(AK259=summaryref2!B22,summaryref2!U22,IF(Summary!AK259=summaryref2!B36,summaryref2!U36,IF(AK259=summaryref2!B50,summaryref2!U50,IF(AK259=summaryref2!B64,summaryref2!U64,IF(AK259=summaryref2!B78,summaryref2!U78,IF(AK259=summaryref2!B92,summaryref2!U92,IF(AK259=summaryref2!B106,summaryref2!U106,IF(AK259=summaryref2!B120,summaryref2!U120,IF(AK259=summaryref2!B134,summaryref2!U134,IF(AK259=summaryref2!B148,summaryref2!U148,"")))))))))))</f>
        <v>#REF!</v>
      </c>
      <c r="BF259" s="1432"/>
      <c r="BG259" s="1432"/>
      <c r="BU259" s="962"/>
      <c r="CD259" s="589"/>
      <c r="CE259" s="590"/>
      <c r="CF259" s="590"/>
      <c r="CG259" s="590"/>
      <c r="CH259" s="590"/>
      <c r="CI259" s="590"/>
      <c r="CJ259" s="589"/>
      <c r="CK259" s="589"/>
      <c r="CL259" s="589"/>
      <c r="CM259" s="587"/>
      <c r="CN259" s="587"/>
      <c r="CO259" s="589"/>
      <c r="CP259" s="587"/>
      <c r="CQ259" s="592"/>
      <c r="CR259" s="589"/>
      <c r="CS259" s="592"/>
      <c r="CT259" s="589"/>
      <c r="CU259" s="589"/>
      <c r="CV259" s="589"/>
      <c r="CW259" s="587"/>
      <c r="CX259" s="590"/>
      <c r="CY259" s="590"/>
      <c r="CZ259" s="590"/>
      <c r="DA259" s="1054"/>
      <c r="DB259" s="1054"/>
      <c r="DC259" s="587"/>
      <c r="DD259" s="587"/>
    </row>
    <row r="260" spans="1:108" s="588" customFormat="1" x14ac:dyDescent="0.2">
      <c r="A260" s="589">
        <f t="shared" si="3"/>
        <v>250</v>
      </c>
      <c r="B260" s="587"/>
      <c r="C260" s="587"/>
      <c r="D260" s="587"/>
      <c r="J260" s="589"/>
      <c r="K260" s="590"/>
      <c r="L260" s="591"/>
      <c r="M260" s="592"/>
      <c r="N260" s="589"/>
      <c r="O260" s="587"/>
      <c r="R260" s="1052"/>
      <c r="S260" s="1052"/>
      <c r="T260" s="1052"/>
      <c r="U260" s="1052"/>
      <c r="V260" s="1052"/>
      <c r="W260" s="1053"/>
      <c r="X260" s="1053"/>
      <c r="Y260" s="1053"/>
      <c r="Z260" s="1052"/>
      <c r="AA260" s="1052"/>
      <c r="AB260" s="962"/>
      <c r="AC260" s="590"/>
      <c r="AD260" s="590"/>
      <c r="AE260" s="591"/>
      <c r="AF260" s="592"/>
      <c r="AG260" s="1053"/>
      <c r="AH260" s="587"/>
      <c r="AK260" s="1041" t="str">
        <f>Codes!$C$173</f>
        <v>YR - Hybrid Rail (DO)</v>
      </c>
      <c r="AL260" s="1042" t="str">
        <f>Valid!$B$89</f>
        <v>Third Rail/Power Distribution</v>
      </c>
      <c r="AM260" s="1108"/>
      <c r="AN260" s="1042"/>
      <c r="AO260" s="1108"/>
      <c r="AP260" s="1042"/>
      <c r="AQ260" s="1147" t="e">
        <f>IF('A-80 DirEntInv'!#REF!&lt;&gt;"",'A-80 DirEntInv'!#REF!,IF(AK260=summaryref2!B23,summaryref2!G23,IF(Summary!AK260=summaryref2!B37,summaryref2!G37,IF(AK260=summaryref2!B51,summaryref2!G51,IF(AK260=summaryref2!B65,summaryref2!G65,IF(AK260=summaryref2!B79,summaryref2!G79,IF(AK260=summaryref2!B93,summaryref2!G93,IF(AK260=summaryref2!B107,summaryref2!G107,IF(AK260=summaryref2!B121,summaryref2!G121,IF(AK260=summaryref2!B135,summaryref2!G135,IF(AK260=summaryref2!B149,summaryref2!G149,"")))))))))))</f>
        <v>#REF!</v>
      </c>
      <c r="AR260" s="1147" t="e">
        <f>IF('A-80 DirEntInv'!#REF!&lt;&gt;"",'A-80 DirEntInv'!#REF!,IF(AK260=summaryref2!B23,summaryref2!H23,IF(Summary!AK260=summaryref2!B37,summaryref2!H37,IF(AK260=summaryref2!B51,summaryref2!H51,IF(AK260=summaryref2!B65,summaryref2!H65,IF(AK260=summaryref2!B79,summaryref2!H79,IF(AK260=summaryref2!B93,summaryref2!H93,IF(AK260=summaryref2!B107,summaryref2!H107,IF(AK260=summaryref2!B121,summaryref2!H121,IF(AK260=summaryref2!B135,summaryref2!H135,IF(AK260=summaryref2!B149,summaryref2!H149,"")))))))))))</f>
        <v>#REF!</v>
      </c>
      <c r="AS260" s="1110" t="e">
        <f>IF('A-80 DirEntInv'!#REF!&lt;&gt;"",'A-80 DirEntInv'!#REF!,IF(AK260=summaryref2!B23,summaryref2!I23,IF(Summary!AK260=summaryref2!B37,summaryref2!I37,IF(AK260=summaryref2!B51,summaryref2!I51,IF(AK260=summaryref2!B65,summaryref2!I65,IF(AK260=summaryref2!B79,summaryref2!I79,IF(AK260=summaryref2!B93,summaryref2!I93,IF(AK260=summaryref2!B107,summaryref2!I107,IF(AK260=summaryref2!B121,summaryref2!I121,IF(AK260=summaryref2!B135,summaryref2!I135,IF(AK260=summaryref2!B149,summaryref2!I149,"")))))))))))</f>
        <v>#REF!</v>
      </c>
      <c r="AT260" s="1110" t="e">
        <f>IF('A-80 DirEntInv'!#REF!&lt;&gt;"",'A-80 DirEntInv'!#REF!,IF(AK260=summaryref2!B23,summaryref2!J23,IF(Summary!AK260=summaryref2!B37,summaryref2!J37,IF(AK260=summaryref2!B51,summaryref2!J51,IF(AK260=summaryref2!B65,summaryref2!J65,IF(AK260=summaryref2!B79,summaryref2!J79,IF(AK260=summaryref2!B93,summaryref2!J93,IF(AK260=summaryref2!B107,summaryref2!J107,IF(AK260=summaryref2!B121,summaryref2!J121,IF(AK260=summaryref2!B135,summaryref2!J135,IF(AK260=summaryref2!B149,summaryref2!J149,"")))))))))))</f>
        <v>#REF!</v>
      </c>
      <c r="AU260" s="1110" t="e">
        <f>IF('A-80 DirEntInv'!#REF!&lt;&gt;"",'A-80 DirEntInv'!#REF!,IF(AK260=summaryref2!B23,summaryref2!K23,IF(Summary!AK260=summaryref2!B37,summaryref2!K37,IF(AK260=summaryref2!B51,summaryref2!K51,IF(AK260=summaryref2!B65,summaryref2!K65,IF(AK260=summaryref2!B79,summaryref2!K79,IF(AK260=summaryref2!B93,summaryref2!K93,IF(AK260=summaryref2!B107,summaryref2!K107,IF(AK260=summaryref2!B121,summaryref2!K121,IF(AK260=summaryref2!B135,summaryref2!K135,IF(AK260=summaryref2!B149,summaryref2!K149,"")))))))))))</f>
        <v>#REF!</v>
      </c>
      <c r="AV260" s="1110" t="e">
        <f>IF('A-80 DirEntInv'!#REF!&lt;&gt;"",'A-80 DirEntInv'!#REF!,IF(AK260=summaryref2!B23,summaryref2!L23,IF(Summary!AK260=summaryref2!B37,summaryref2!L37,IF(AK260=summaryref2!B51,summaryref2!L51,IF(AK260=summaryref2!B65,summaryref2!L65,IF(AK260=summaryref2!B79,summaryref2!L79,IF(AK260=summaryref2!B93,summaryref2!L93,IF(AK260=summaryref2!B107,summaryref2!L107,IF(AK260=summaryref2!B121,summaryref2!L121,IF(AK260=summaryref2!B135,summaryref2!L135,IF(AK260=summaryref2!B149,summaryref2!L149,"")))))))))))</f>
        <v>#REF!</v>
      </c>
      <c r="AW260" s="1110" t="e">
        <f>IF('A-80 DirEntInv'!#REF!&lt;&gt;"",'A-80 DirEntInv'!#REF!,IF(AK260=summaryref2!B23,summaryref2!M23,IF(Summary!AK260=summaryref2!B37,summaryref2!M37,IF(AK260=summaryref2!B51,summaryref2!M51,IF(AK260=summaryref2!B65,summaryref2!M65,IF(AK260=summaryref2!B79,summaryref2!M79,IF(AK260=summaryref2!B93,summaryref2!M93,IF(AK260=summaryref2!B107,summaryref2!M107,IF(AK260=summaryref2!B121,summaryref2!M121,IF(AK260=summaryref2!B135,summaryref2!M135,IF(AK260=summaryref2!B149,summaryref2!M149,"")))))))))))</f>
        <v>#REF!</v>
      </c>
      <c r="AX260" s="1110" t="e">
        <f>IF('A-80 DirEntInv'!#REF!&lt;&gt;"",'A-80 DirEntInv'!#REF!,IF(AK260=summaryref2!B23,summaryref2!N23,IF(Summary!AK260=summaryref2!B37,summaryref2!N37,IF(AK260=summaryref2!B51,summaryref2!N51,IF(AK260=summaryref2!B65,summaryref2!N65,IF(AK260=summaryref2!B79,summaryref2!N79,IF(AK260=summaryref2!B93,summaryref2!N93,IF(AK260=summaryref2!B107,summaryref2!N107,IF(AK260=summaryref2!B121,summaryref2!N121,IF(AK260=summaryref2!B135,summaryref2!N135,IF(AK260=summaryref2!B149,summaryref2!N149,"")))))))))))</f>
        <v>#REF!</v>
      </c>
      <c r="AY260" s="1110" t="e">
        <f>IF('A-80 DirEntInv'!#REF!&lt;&gt;"",'A-80 DirEntInv'!#REF!,IF(AK260=summaryref2!B23,summaryref2!O23,IF(Summary!AK260=summaryref2!B37,summaryref2!O37,IF(AK260=summaryref2!B51,summaryref2!O51,IF(AK260=summaryref2!B65,summaryref2!O65,IF(AK260=summaryref2!B79,summaryref2!O79,IF(AK260=summaryref2!B93,summaryref2!O93,IF(AK260=summaryref2!B107,summaryref2!O107,IF(AK260=summaryref2!B121,summaryref2!O121,IF(AK260=summaryref2!B135,summaryref2!O135,IF(AK260=summaryref2!B149,summaryref2!O149,"")))))))))))</f>
        <v>#REF!</v>
      </c>
      <c r="AZ260" s="1110" t="e">
        <f>IF('A-80 DirEntInv'!#REF!&lt;&gt;"",'A-80 DirEntInv'!#REF!,IF(AK260=summaryref2!B23,summaryref2!P23,IF(Summary!AK260=summaryref2!B37,summaryref2!P37,IF(AK260=summaryref2!B51,summaryref2!P51,IF(AK260=summaryref2!B65,summaryref2!P65,IF(AK260=summaryref2!B79,summaryref2!P79,IF(AK260=summaryref2!B93,summaryref2!P93,IF(AK260=summaryref2!B107,summaryref2!P107,IF(AK260=summaryref2!B121,summaryref2!P121,IF(AK260=summaryref2!B135,summaryref2!P135,IF(AK260=summaryref2!B149,summaryref2!P149,"")))))))))))</f>
        <v>#REF!</v>
      </c>
      <c r="BA260" s="1110" t="e">
        <f>IF('A-80 DirEntInv'!#REF!&lt;&gt;"",'A-80 DirEntInv'!#REF!,IF(AK260=summaryref2!B23,summaryref2!Q23,IF(Summary!AK260=summaryref2!B37,summaryref2!Q37,IF(AK260=summaryref2!B51,summaryref2!Q51,IF(AK260=summaryref2!B65,summaryref2!Q65,IF(AK260=summaryref2!B79,summaryref2!Q79,IF(AK260=summaryref2!B93,summaryref2!Q93,IF(AK260=summaryref2!B107,summaryref2!Q107,IF(AK260=summaryref2!B121,summaryref2!Q121,IF(AK260=summaryref2!B135,summaryref2!Q135,IF(AK260=summaryref2!B149,summaryref2!Q149,"")))))))))))</f>
        <v>#REF!</v>
      </c>
      <c r="BB260" s="1110" t="e">
        <f>IF('A-80 DirEntInv'!#REF!&lt;&gt;"",'A-80 DirEntInv'!#REF!,IF(AK260=summaryref2!B23,summaryref2!R23,IF(Summary!AK260=summaryref2!B37,summaryref2!R37,IF(AK260=summaryref2!B51,summaryref2!R51,IF(AK260=summaryref2!B65,summaryref2!R65,IF(AK260=summaryref2!B79,summaryref2!R79,IF(AK260=summaryref2!B93,summaryref2!R93,IF(AK260=summaryref2!B107,summaryref2!R107,IF(AK260=summaryref2!B121,summaryref2!R121,IF(AK260=summaryref2!B135,summaryref2!R135,IF(AK260=summaryref2!B149,summaryref2!R149,"")))))))))))</f>
        <v>#REF!</v>
      </c>
      <c r="BC260" s="1110" t="e">
        <f>IF('A-80 DirEntInv'!#REF!&lt;&gt;0,'A-80 DirEntInv'!#REF!,IF(AK260=summaryref2!B23,summaryref2!S23,IF(Summary!AK260=summaryref2!B37,summaryref2!S37,IF(AK260=summaryref2!B51,summaryref2!S51,IF(AK260=summaryref2!B65,summaryref2!S65,IF(AK260=summaryref2!B79,summaryref2!S79,IF(AK260=summaryref2!B93,summaryref2!S93,IF(AK260=summaryref2!B107,summaryref2!S107,IF(AK260=summaryref2!B121,summaryref2!S121,IF(AK260=summaryref2!B135,summaryref2!S135,IF(AK260=summaryref2!B149,summaryref2!S149,"")))))))))))</f>
        <v>#REF!</v>
      </c>
      <c r="BD260" s="1111" t="e">
        <f>IF('A-80 DirEntInv'!#REF!&lt;&gt;"",'A-80 DirEntInv'!#REF!,IF(AK260=summaryref2!B23,summaryref2!T23,IF(Summary!AK260=summaryref2!B37,summaryref2!T37,IF(AK260=summaryref2!B51,summaryref2!T51,IF(AK260=summaryref2!B65,summaryref2!T65,IF(AK260=summaryref2!B79,summaryref2!T79,IF(AK260=summaryref2!B93,summaryref2!T93,IF(AK260=summaryref2!B107,summaryref2!T107,IF(AK260=summaryref2!B121,summaryref2!T121,IF(AK260=summaryref2!B135,summaryref2!T135,IF(AK260=summaryref2!B149,summaryref2!T149,"")))))))))))</f>
        <v>#REF!</v>
      </c>
      <c r="BE260" s="1184" t="e">
        <f>IF('A-80 DirEntInv'!#REF!&lt;&gt;"",'A-80 DirEntInv'!#REF!,IF(AK260=summaryref2!B23,summaryref2!U23,IF(Summary!AK260=summaryref2!B37,summaryref2!U37,IF(AK260=summaryref2!B51,summaryref2!U51,IF(AK260=summaryref2!B65,summaryref2!U65,IF(AK260=summaryref2!B79,summaryref2!U79,IF(AK260=summaryref2!B93,summaryref2!U93,IF(AK260=summaryref2!B107,summaryref2!U107,IF(AK260=summaryref2!B121,summaryref2!U121,IF(AK260=summaryref2!B135,summaryref2!U135,IF(AK260=summaryref2!B149,summaryref2!U149,"")))))))))))</f>
        <v>#REF!</v>
      </c>
      <c r="BF260" s="1432"/>
      <c r="BG260" s="1432"/>
      <c r="BU260" s="962"/>
      <c r="CD260" s="589"/>
      <c r="CE260" s="590"/>
      <c r="CF260" s="590"/>
      <c r="CG260" s="590"/>
      <c r="CH260" s="590"/>
      <c r="CI260" s="590"/>
      <c r="CJ260" s="589"/>
      <c r="CK260" s="589"/>
      <c r="CL260" s="589"/>
      <c r="CM260" s="587"/>
      <c r="CN260" s="587"/>
      <c r="CO260" s="589"/>
      <c r="CP260" s="587"/>
      <c r="CQ260" s="592"/>
      <c r="CR260" s="589"/>
      <c r="CS260" s="592"/>
      <c r="CT260" s="589"/>
      <c r="CU260" s="589"/>
      <c r="CV260" s="589"/>
      <c r="CW260" s="587"/>
      <c r="CX260" s="590"/>
      <c r="CY260" s="590"/>
      <c r="CZ260" s="590"/>
      <c r="DA260" s="1054"/>
      <c r="DB260" s="1054"/>
      <c r="DC260" s="587"/>
      <c r="DD260" s="587"/>
    </row>
    <row r="261" spans="1:108" s="588" customFormat="1" x14ac:dyDescent="0.2">
      <c r="A261" s="589">
        <f t="shared" si="3"/>
        <v>251</v>
      </c>
      <c r="B261" s="587"/>
      <c r="C261" s="587"/>
      <c r="D261" s="587"/>
      <c r="J261" s="589"/>
      <c r="K261" s="590"/>
      <c r="L261" s="591"/>
      <c r="M261" s="592"/>
      <c r="N261" s="589"/>
      <c r="O261" s="587"/>
      <c r="R261" s="1052"/>
      <c r="S261" s="1052"/>
      <c r="T261" s="1052"/>
      <c r="U261" s="1052"/>
      <c r="V261" s="1052"/>
      <c r="W261" s="1053"/>
      <c r="X261" s="1053"/>
      <c r="Y261" s="1053"/>
      <c r="Z261" s="1052"/>
      <c r="AA261" s="1052"/>
      <c r="AB261" s="962"/>
      <c r="AC261" s="590"/>
      <c r="AD261" s="590"/>
      <c r="AE261" s="591"/>
      <c r="AF261" s="592"/>
      <c r="AG261" s="1053"/>
      <c r="AH261" s="587"/>
      <c r="AK261" s="1041" t="str">
        <f>Codes!$C$173</f>
        <v>YR - Hybrid Rail (DO)</v>
      </c>
      <c r="AL261" s="1042" t="str">
        <f>Valid!$B$90</f>
        <v>Overhead Contact System/Power Distribution</v>
      </c>
      <c r="AM261" s="1108"/>
      <c r="AN261" s="1042"/>
      <c r="AO261" s="1108"/>
      <c r="AP261" s="1042"/>
      <c r="AQ261" s="1147" t="e">
        <f>IF('A-80 DirEntInv'!#REF!&lt;&gt;"",'A-80 DirEntInv'!#REF!,IF(AK261=summaryref2!B24,summaryref2!G24,IF(Summary!AK261=summaryref2!B38,summaryref2!G38,IF(AK261=summaryref2!B52,summaryref2!G52,IF(AK261=summaryref2!B66,summaryref2!G66,IF(AK261=summaryref2!B80,summaryref2!G80,IF(AK261=summaryref2!B94,summaryref2!G94,IF(AK261=summaryref2!B108,summaryref2!G108,IF(AK261=summaryref2!B122,summaryref2!G122,IF(AK261=summaryref2!B136,summaryref2!G136,IF(AK261=summaryref2!B150,summaryref2!G150,"")))))))))))</f>
        <v>#REF!</v>
      </c>
      <c r="AR261" s="1147" t="e">
        <f>IF('A-80 DirEntInv'!#REF!&lt;&gt;"",'A-80 DirEntInv'!#REF!,IF(AK261=summaryref2!B24,summaryref2!H24,IF(Summary!AK261=summaryref2!B38,summaryref2!H38,IF(AK261=summaryref2!B52,summaryref2!H52,IF(AK261=summaryref2!B66,summaryref2!H66,IF(AK261=summaryref2!B80,summaryref2!H80,IF(AK261=summaryref2!B94,summaryref2!H94,IF(AK261=summaryref2!B108,summaryref2!H108,IF(AK261=summaryref2!B122,summaryref2!H122,IF(AK261=summaryref2!B136,summaryref2!H136,IF(AK261=summaryref2!B150,summaryref2!H150,"")))))))))))</f>
        <v>#REF!</v>
      </c>
      <c r="AS261" s="1110" t="e">
        <f>IF('A-80 DirEntInv'!#REF!&lt;&gt;"",'A-80 DirEntInv'!#REF!,IF(AK261=summaryref2!B24,summaryref2!I24,IF(Summary!AK261=summaryref2!B38,summaryref2!I38,IF(AK261=summaryref2!B52,summaryref2!I52,IF(AK261=summaryref2!B66,summaryref2!I66,IF(AK261=summaryref2!B80,summaryref2!I80,IF(AK261=summaryref2!B94,summaryref2!I94,IF(AK261=summaryref2!B108,summaryref2!I108,IF(AK261=summaryref2!B122,summaryref2!I122,IF(AK261=summaryref2!B136,summaryref2!I136,IF(AK261=summaryref2!B150,summaryref2!I150,"")))))))))))</f>
        <v>#REF!</v>
      </c>
      <c r="AT261" s="1110" t="e">
        <f>IF('A-80 DirEntInv'!#REF!&lt;&gt;"",'A-80 DirEntInv'!#REF!,IF(AK261=summaryref2!B24,summaryref2!J24,IF(Summary!AK261=summaryref2!B38,summaryref2!J38,IF(AK261=summaryref2!B52,summaryref2!J52,IF(AK261=summaryref2!B66,summaryref2!J66,IF(AK261=summaryref2!B80,summaryref2!J80,IF(AK261=summaryref2!B94,summaryref2!J94,IF(AK261=summaryref2!B108,summaryref2!J108,IF(AK261=summaryref2!B122,summaryref2!J122,IF(AK261=summaryref2!B136,summaryref2!J136,IF(AK261=summaryref2!B150,summaryref2!J150,"")))))))))))</f>
        <v>#REF!</v>
      </c>
      <c r="AU261" s="1110" t="e">
        <f>IF('A-80 DirEntInv'!#REF!&lt;&gt;"",'A-80 DirEntInv'!#REF!,IF(AK261=summaryref2!B24,summaryref2!K24,IF(Summary!AK261=summaryref2!B38,summaryref2!K38,IF(AK261=summaryref2!B52,summaryref2!K52,IF(AK261=summaryref2!B66,summaryref2!K66,IF(AK261=summaryref2!B80,summaryref2!K80,IF(AK261=summaryref2!B94,summaryref2!K94,IF(AK261=summaryref2!B108,summaryref2!K108,IF(AK261=summaryref2!B122,summaryref2!K122,IF(AK261=summaryref2!B136,summaryref2!K136,IF(AK261=summaryref2!B150,summaryref2!K150,"")))))))))))</f>
        <v>#REF!</v>
      </c>
      <c r="AV261" s="1110" t="e">
        <f>IF('A-80 DirEntInv'!#REF!&lt;&gt;"",'A-80 DirEntInv'!#REF!,IF(AK261=summaryref2!B24,summaryref2!L24,IF(Summary!AK261=summaryref2!B38,summaryref2!L38,IF(AK261=summaryref2!B52,summaryref2!L52,IF(AK261=summaryref2!B66,summaryref2!L66,IF(AK261=summaryref2!B80,summaryref2!L80,IF(AK261=summaryref2!B94,summaryref2!L94,IF(AK261=summaryref2!B108,summaryref2!L108,IF(AK261=summaryref2!B122,summaryref2!L122,IF(AK261=summaryref2!B136,summaryref2!L136,IF(AK261=summaryref2!B150,summaryref2!L150,"")))))))))))</f>
        <v>#REF!</v>
      </c>
      <c r="AW261" s="1110" t="e">
        <f>IF('A-80 DirEntInv'!#REF!&lt;&gt;"",'A-80 DirEntInv'!#REF!,IF(AK261=summaryref2!B24,summaryref2!M24,IF(Summary!AK261=summaryref2!B38,summaryref2!M38,IF(AK261=summaryref2!B52,summaryref2!M52,IF(AK261=summaryref2!B66,summaryref2!M66,IF(AK261=summaryref2!B80,summaryref2!M80,IF(AK261=summaryref2!B94,summaryref2!M94,IF(AK261=summaryref2!B108,summaryref2!M108,IF(AK261=summaryref2!B122,summaryref2!M122,IF(AK261=summaryref2!B136,summaryref2!M136,IF(AK261=summaryref2!B150,summaryref2!M150,"")))))))))))</f>
        <v>#REF!</v>
      </c>
      <c r="AX261" s="1110" t="e">
        <f>IF('A-80 DirEntInv'!#REF!&lt;&gt;"",'A-80 DirEntInv'!#REF!,IF(AK261=summaryref2!B24,summaryref2!N24,IF(Summary!AK261=summaryref2!B38,summaryref2!N38,IF(AK261=summaryref2!B52,summaryref2!N52,IF(AK261=summaryref2!B66,summaryref2!N66,IF(AK261=summaryref2!B80,summaryref2!N80,IF(AK261=summaryref2!B94,summaryref2!N94,IF(AK261=summaryref2!B108,summaryref2!N108,IF(AK261=summaryref2!B122,summaryref2!N122,IF(AK261=summaryref2!B136,summaryref2!N136,IF(AK261=summaryref2!B150,summaryref2!N150,"")))))))))))</f>
        <v>#REF!</v>
      </c>
      <c r="AY261" s="1110" t="e">
        <f>IF('A-80 DirEntInv'!#REF!&lt;&gt;"",'A-80 DirEntInv'!#REF!,IF(AK261=summaryref2!B24,summaryref2!O24,IF(Summary!AK261=summaryref2!B38,summaryref2!O38,IF(AK261=summaryref2!B52,summaryref2!O52,IF(AK261=summaryref2!B66,summaryref2!O66,IF(AK261=summaryref2!B80,summaryref2!O80,IF(AK261=summaryref2!B94,summaryref2!O94,IF(AK261=summaryref2!B108,summaryref2!O108,IF(AK261=summaryref2!B122,summaryref2!O122,IF(AK261=summaryref2!B136,summaryref2!O136,IF(AK261=summaryref2!B150,summaryref2!O150,"")))))))))))</f>
        <v>#REF!</v>
      </c>
      <c r="AZ261" s="1110" t="e">
        <f>IF('A-80 DirEntInv'!#REF!&lt;&gt;"",'A-80 DirEntInv'!#REF!,IF(AK261=summaryref2!B24,summaryref2!P24,IF(Summary!AK261=summaryref2!B38,summaryref2!P38,IF(AK261=summaryref2!B52,summaryref2!P52,IF(AK261=summaryref2!B66,summaryref2!P66,IF(AK261=summaryref2!B80,summaryref2!P80,IF(AK261=summaryref2!B94,summaryref2!P94,IF(AK261=summaryref2!B108,summaryref2!P108,IF(AK261=summaryref2!B122,summaryref2!P122,IF(AK261=summaryref2!B136,summaryref2!P136,IF(AK261=summaryref2!B150,summaryref2!P150,"")))))))))))</f>
        <v>#REF!</v>
      </c>
      <c r="BA261" s="1110" t="e">
        <f>IF('A-80 DirEntInv'!#REF!&lt;&gt;"",'A-80 DirEntInv'!#REF!,IF(AK261=summaryref2!B24,summaryref2!Q24,IF(Summary!AK261=summaryref2!B38,summaryref2!Q38,IF(AK261=summaryref2!B52,summaryref2!Q52,IF(AK261=summaryref2!B66,summaryref2!Q66,IF(AK261=summaryref2!B80,summaryref2!Q80,IF(AK261=summaryref2!B94,summaryref2!Q94,IF(AK261=summaryref2!B108,summaryref2!Q108,IF(AK261=summaryref2!B122,summaryref2!Q122,IF(AK261=summaryref2!B136,summaryref2!Q136,IF(AK261=summaryref2!B150,summaryref2!Q150,"")))))))))))</f>
        <v>#REF!</v>
      </c>
      <c r="BB261" s="1110" t="e">
        <f>IF('A-80 DirEntInv'!#REF!&lt;&gt;"",'A-80 DirEntInv'!#REF!,IF(AK261=summaryref2!B24,summaryref2!R24,IF(Summary!AK261=summaryref2!B38,summaryref2!R38,IF(AK261=summaryref2!B52,summaryref2!R52,IF(AK261=summaryref2!B66,summaryref2!R66,IF(AK261=summaryref2!B80,summaryref2!R80,IF(AK261=summaryref2!B94,summaryref2!R94,IF(AK261=summaryref2!B108,summaryref2!R108,IF(AK261=summaryref2!B122,summaryref2!R122,IF(AK261=summaryref2!B136,summaryref2!R136,IF(AK261=summaryref2!B150,summaryref2!R150,"")))))))))))</f>
        <v>#REF!</v>
      </c>
      <c r="BC261" s="1110" t="e">
        <f>IF('A-80 DirEntInv'!#REF!&lt;&gt;0,'A-80 DirEntInv'!#REF!,IF(AK261=summaryref2!B24,summaryref2!S24,IF(Summary!AK261=summaryref2!B38,summaryref2!S38,IF(AK261=summaryref2!B52,summaryref2!S52,IF(AK261=summaryref2!B66,summaryref2!S66,IF(AK261=summaryref2!B80,summaryref2!S80,IF(AK261=summaryref2!B94,summaryref2!S94,IF(AK261=summaryref2!B108,summaryref2!S108,IF(AK261=summaryref2!B122,summaryref2!S122,IF(AK261=summaryref2!B136,summaryref2!S136,IF(AK261=summaryref2!B150,summaryref2!S150,"")))))))))))</f>
        <v>#REF!</v>
      </c>
      <c r="BD261" s="1111" t="e">
        <f>IF('A-80 DirEntInv'!#REF!&lt;&gt;"",'A-80 DirEntInv'!#REF!,IF(AK261=summaryref2!B24,summaryref2!T24,IF(Summary!AK261=summaryref2!B38,summaryref2!T38,IF(AK261=summaryref2!B52,summaryref2!T52,IF(AK261=summaryref2!B66,summaryref2!T66,IF(AK261=summaryref2!B80,summaryref2!T80,IF(AK261=summaryref2!B94,summaryref2!T94,IF(AK261=summaryref2!B108,summaryref2!T108,IF(AK261=summaryref2!B122,summaryref2!T122,IF(AK261=summaryref2!B136,summaryref2!T136,IF(AK261=summaryref2!B150,summaryref2!T150,"")))))))))))</f>
        <v>#REF!</v>
      </c>
      <c r="BE261" s="1184" t="e">
        <f>IF('A-80 DirEntInv'!#REF!&lt;&gt;"",'A-80 DirEntInv'!#REF!,IF(AK261=summaryref2!B24,summaryref2!U24,IF(Summary!AK261=summaryref2!B38,summaryref2!U38,IF(AK261=summaryref2!B52,summaryref2!U52,IF(AK261=summaryref2!B66,summaryref2!U66,IF(AK261=summaryref2!B80,summaryref2!U80,IF(AK261=summaryref2!B94,summaryref2!U94,IF(AK261=summaryref2!B108,summaryref2!U108,IF(AK261=summaryref2!B122,summaryref2!U122,IF(AK261=summaryref2!B136,summaryref2!U136,IF(AK261=summaryref2!B150,summaryref2!U150,"")))))))))))</f>
        <v>#REF!</v>
      </c>
      <c r="BF261" s="1432"/>
      <c r="BG261" s="1432"/>
      <c r="BU261" s="962"/>
      <c r="CD261" s="589"/>
      <c r="CE261" s="590"/>
      <c r="CF261" s="590"/>
      <c r="CG261" s="590"/>
      <c r="CH261" s="590"/>
      <c r="CI261" s="590"/>
      <c r="CJ261" s="589"/>
      <c r="CK261" s="589"/>
      <c r="CL261" s="589"/>
      <c r="CM261" s="587"/>
      <c r="CN261" s="587"/>
      <c r="CO261" s="589"/>
      <c r="CP261" s="587"/>
      <c r="CQ261" s="592"/>
      <c r="CR261" s="589"/>
      <c r="CS261" s="592"/>
      <c r="CT261" s="589"/>
      <c r="CU261" s="589"/>
      <c r="CV261" s="589"/>
      <c r="CW261" s="587"/>
      <c r="CX261" s="590"/>
      <c r="CY261" s="590"/>
      <c r="CZ261" s="590"/>
      <c r="DA261" s="1054"/>
      <c r="DB261" s="1054"/>
      <c r="DC261" s="587"/>
      <c r="DD261" s="587"/>
    </row>
    <row r="262" spans="1:108" s="588" customFormat="1" ht="13.5" thickBot="1" x14ac:dyDescent="0.25">
      <c r="A262" s="589">
        <f t="shared" si="3"/>
        <v>252</v>
      </c>
      <c r="B262" s="587"/>
      <c r="C262" s="587"/>
      <c r="D262" s="587"/>
      <c r="J262" s="589"/>
      <c r="K262" s="590"/>
      <c r="L262" s="591"/>
      <c r="M262" s="592"/>
      <c r="N262" s="589"/>
      <c r="O262" s="587"/>
      <c r="R262" s="1052"/>
      <c r="S262" s="1052"/>
      <c r="T262" s="1052"/>
      <c r="U262" s="1052"/>
      <c r="V262" s="1052"/>
      <c r="W262" s="1053"/>
      <c r="X262" s="1053"/>
      <c r="Y262" s="1053"/>
      <c r="Z262" s="1052"/>
      <c r="AA262" s="1052"/>
      <c r="AB262" s="962"/>
      <c r="AC262" s="590"/>
      <c r="AD262" s="590"/>
      <c r="AE262" s="591"/>
      <c r="AF262" s="592"/>
      <c r="AG262" s="1053"/>
      <c r="AH262" s="587"/>
      <c r="AK262" s="1047" t="str">
        <f>Codes!$C$173</f>
        <v>YR - Hybrid Rail (DO)</v>
      </c>
      <c r="AL262" s="1050" t="str">
        <f>Valid!$B$91</f>
        <v>Train Control &amp; Signaling</v>
      </c>
      <c r="AM262" s="1185"/>
      <c r="AN262" s="1050"/>
      <c r="AO262" s="1185"/>
      <c r="AP262" s="1050"/>
      <c r="AQ262" s="1386" t="e">
        <f>IF('A-80 DirEntInv'!#REF!&lt;&gt;"",'A-80 DirEntInv'!#REF!,IF(AK262=summaryref2!B25,summaryref2!G25,IF(Summary!AK262=summaryref2!B39,summaryref2!G39,IF(AK262=summaryref2!B53,summaryref2!G53,IF(AK262=summaryref2!B67,summaryref2!G67,IF(AK262=summaryref2!B81,summaryref2!G81,IF(AK262=summaryref2!B95,summaryref2!G95,IF(AK262=summaryref2!B109,summaryref2!G109,IF(AK262=summaryref2!B123,summaryref2!G123,IF(AK262=summaryref2!B137,summaryref2!G137,IF(AK262=summaryref2!B151,summaryref2!G151,"")))))))))))</f>
        <v>#REF!</v>
      </c>
      <c r="AR262" s="1386" t="e">
        <f>IF('A-80 DirEntInv'!#REF!&lt;&gt;"",'A-80 DirEntInv'!#REF!,IF(AK262=summaryref2!B25,summaryref2!H25,IF(Summary!AK262=summaryref2!B39,summaryref2!H39,IF(AK262=summaryref2!B53,summaryref2!H53,IF(AK262=summaryref2!B67,summaryref2!H67,IF(AK262=summaryref2!B81,summaryref2!H81,IF(AK262=summaryref2!B95,summaryref2!H95,IF(AK262=summaryref2!B109,summaryref2!H109,IF(AK262=summaryref2!B123,summaryref2!H123,IF(AK262=summaryref2!B137,summaryref2!H137,IF(AK262=summaryref2!B151,summaryref2!H151,"")))))))))))</f>
        <v>#REF!</v>
      </c>
      <c r="AS262" s="1387" t="e">
        <f>IF('A-80 DirEntInv'!#REF!&lt;&gt;"",'A-80 DirEntInv'!#REF!,IF(AK262=summaryref2!B25,summaryref2!I25,IF(Summary!AK262=summaryref2!B39,summaryref2!I39,IF(AK262=summaryref2!B53,summaryref2!I53,IF(AK262=summaryref2!B67,summaryref2!I67,IF(AK262=summaryref2!B81,summaryref2!I81,IF(AK262=summaryref2!B95,summaryref2!I95,IF(AK262=summaryref2!B109,summaryref2!I109,IF(AK262=summaryref2!B123,summaryref2!I123,IF(AK262=summaryref2!B137,summaryref2!I137,IF(AK262=summaryref2!B151,summaryref2!I151,"")))))))))))</f>
        <v>#REF!</v>
      </c>
      <c r="AT262" s="1387" t="e">
        <f>IF('A-80 DirEntInv'!#REF!&lt;&gt;"",'A-80 DirEntInv'!#REF!,IF(AK262=summaryref2!B25,summaryref2!J25,IF(Summary!AK262=summaryref2!B39,summaryref2!J39,IF(AK262=summaryref2!B53,summaryref2!J53,IF(AK262=summaryref2!B67,summaryref2!J67,IF(AK262=summaryref2!B81,summaryref2!J81,IF(AK262=summaryref2!B95,summaryref2!J95,IF(AK262=summaryref2!B109,summaryref2!J109,IF(AK262=summaryref2!B123,summaryref2!J123,IF(AK262=summaryref2!B137,summaryref2!J137,IF(AK262=summaryref2!B151,summaryref2!J151,"")))))))))))</f>
        <v>#REF!</v>
      </c>
      <c r="AU262" s="1387" t="e">
        <f>IF('A-80 DirEntInv'!#REF!&lt;&gt;"",'A-80 DirEntInv'!#REF!,IF(AK262=summaryref2!B25,summaryref2!K25,IF(Summary!AK262=summaryref2!B39,summaryref2!K39,IF(AK262=summaryref2!B53,summaryref2!K53,IF(AK262=summaryref2!B67,summaryref2!K67,IF(AK262=summaryref2!B81,summaryref2!K81,IF(AK262=summaryref2!B95,summaryref2!K95,IF(AK262=summaryref2!B109,summaryref2!K109,IF(AK262=summaryref2!B123,summaryref2!K123,IF(AK262=summaryref2!B137,summaryref2!K137,IF(AK262=summaryref2!B151,summaryref2!K151,"")))))))))))</f>
        <v>#REF!</v>
      </c>
      <c r="AV262" s="1387" t="e">
        <f>IF('A-80 DirEntInv'!#REF!&lt;&gt;"",'A-80 DirEntInv'!#REF!,IF(AK262=summaryref2!B25,summaryref2!L25,IF(Summary!AK262=summaryref2!B39,summaryref2!L39,IF(AK262=summaryref2!B53,summaryref2!L53,IF(AK262=summaryref2!B67,summaryref2!L67,IF(AK262=summaryref2!B81,summaryref2!L81,IF(AK262=summaryref2!B95,summaryref2!L95,IF(AK262=summaryref2!B109,summaryref2!L109,IF(AK262=summaryref2!B123,summaryref2!L123,IF(AK262=summaryref2!B137,summaryref2!L137,IF(AK262=summaryref2!B151,summaryref2!L151,"")))))))))))</f>
        <v>#REF!</v>
      </c>
      <c r="AW262" s="1387" t="e">
        <f>IF('A-80 DirEntInv'!#REF!&lt;&gt;"",'A-80 DirEntInv'!#REF!,IF(AK262=summaryref2!B25,summaryref2!M25,IF(Summary!AK262=summaryref2!B39,summaryref2!M39,IF(AK262=summaryref2!B53,summaryref2!M53,IF(AK262=summaryref2!B67,summaryref2!M67,IF(AK262=summaryref2!B81,summaryref2!M81,IF(AK262=summaryref2!B95,summaryref2!M95,IF(AK262=summaryref2!B109,summaryref2!M109,IF(AK262=summaryref2!B123,summaryref2!M123,IF(AK262=summaryref2!B137,summaryref2!M137,IF(AK262=summaryref2!B151,summaryref2!M151,"")))))))))))</f>
        <v>#REF!</v>
      </c>
      <c r="AX262" s="1387" t="e">
        <f>IF('A-80 DirEntInv'!#REF!&lt;&gt;"",'A-80 DirEntInv'!#REF!,IF(AK262=summaryref2!B25,summaryref2!N25,IF(Summary!AK262=summaryref2!B39,summaryref2!N39,IF(AK262=summaryref2!B53,summaryref2!N53,IF(AK262=summaryref2!B67,summaryref2!N67,IF(AK262=summaryref2!B81,summaryref2!N81,IF(AK262=summaryref2!B95,summaryref2!N95,IF(AK262=summaryref2!B109,summaryref2!N109,IF(AK262=summaryref2!B123,summaryref2!N123,IF(AK262=summaryref2!B137,summaryref2!N137,IF(AK262=summaryref2!B151,summaryref2!N151,"")))))))))))</f>
        <v>#REF!</v>
      </c>
      <c r="AY262" s="1387" t="e">
        <f>IF('A-80 DirEntInv'!#REF!&lt;&gt;"",'A-80 DirEntInv'!#REF!,IF(AK262=summaryref2!B25,summaryref2!O25,IF(Summary!AK262=summaryref2!B39,summaryref2!O39,IF(AK262=summaryref2!B53,summaryref2!O53,IF(AK262=summaryref2!B67,summaryref2!O67,IF(AK262=summaryref2!B81,summaryref2!O81,IF(AK262=summaryref2!B95,summaryref2!O95,IF(AK262=summaryref2!B109,summaryref2!O109,IF(AK262=summaryref2!B123,summaryref2!O123,IF(AK262=summaryref2!B137,summaryref2!O137,IF(AK262=summaryref2!B151,summaryref2!O151,"")))))))))))</f>
        <v>#REF!</v>
      </c>
      <c r="AZ262" s="1387" t="e">
        <f>IF('A-80 DirEntInv'!#REF!&lt;&gt;"",'A-80 DirEntInv'!#REF!,IF(AK262=summaryref2!B25,summaryref2!P25,IF(Summary!AK262=summaryref2!B39,summaryref2!P39,IF(AK262=summaryref2!B53,summaryref2!P53,IF(AK262=summaryref2!B67,summaryref2!P67,IF(AK262=summaryref2!B81,summaryref2!P81,IF(AK262=summaryref2!B95,summaryref2!P95,IF(AK262=summaryref2!B109,summaryref2!P109,IF(AK262=summaryref2!B123,summaryref2!P123,IF(AK262=summaryref2!B137,summaryref2!P137,IF(AK262=summaryref2!B151,summaryref2!P151,"")))))))))))</f>
        <v>#REF!</v>
      </c>
      <c r="BA262" s="1387" t="e">
        <f>IF('A-80 DirEntInv'!#REF!&lt;&gt;"",'A-80 DirEntInv'!#REF!,IF(AK262=summaryref2!B25,summaryref2!Q25,IF(Summary!AK262=summaryref2!B39,summaryref2!Q39,IF(AK262=summaryref2!B53,summaryref2!Q53,IF(AK262=summaryref2!B67,summaryref2!Q67,IF(AK262=summaryref2!B81,summaryref2!Q81,IF(AK262=summaryref2!B95,summaryref2!Q95,IF(AK262=summaryref2!B109,summaryref2!Q109,IF(AK262=summaryref2!B123,summaryref2!Q123,IF(AK262=summaryref2!B137,summaryref2!Q137,IF(AK262=summaryref2!B151,summaryref2!Q151,"")))))))))))</f>
        <v>#REF!</v>
      </c>
      <c r="BB262" s="1387" t="e">
        <f>IF('A-80 DirEntInv'!#REF!&lt;&gt;"",'A-80 DirEntInv'!#REF!,IF(AK262=summaryref2!B25,summaryref2!R25,IF(Summary!AK262=summaryref2!B39,summaryref2!R39,IF(AK262=summaryref2!B53,summaryref2!R53,IF(AK262=summaryref2!B67,summaryref2!R67,IF(AK262=summaryref2!B81,summaryref2!R81,IF(AK262=summaryref2!B95,summaryref2!R95,IF(AK262=summaryref2!B109,summaryref2!R109,IF(AK262=summaryref2!B123,summaryref2!R123,IF(AK262=summaryref2!B137,summaryref2!R137,IF(AK262=summaryref2!B151,summaryref2!R151,"")))))))))))</f>
        <v>#REF!</v>
      </c>
      <c r="BC262" s="1387" t="e">
        <f>IF('A-80 DirEntInv'!#REF!&lt;&gt;0,'A-80 DirEntInv'!#REF!,IF(AK262=summaryref2!B25,summaryref2!S25,IF(Summary!AK262=summaryref2!B39,summaryref2!S39,IF(AK262=summaryref2!B53,summaryref2!S53,IF(AK262=summaryref2!B67,summaryref2!S67,IF(AK262=summaryref2!B81,summaryref2!S81,IF(AK262=summaryref2!B95,summaryref2!S95,IF(AK262=summaryref2!B109,summaryref2!S109,IF(AK262=summaryref2!B123,summaryref2!S123,IF(AK262=summaryref2!B137,summaryref2!S137,IF(AK262=summaryref2!B151,summaryref2!S151,"")))))))))))</f>
        <v>#REF!</v>
      </c>
      <c r="BD262" s="1118" t="e">
        <f>IF('A-80 DirEntInv'!#REF!&lt;&gt;"",'A-80 DirEntInv'!#REF!,IF(AK262=summaryref2!B25,summaryref2!T25,IF(Summary!AK262=summaryref2!B39,summaryref2!T39,IF(AK262=summaryref2!B53,summaryref2!T53,IF(AK262=summaryref2!B67,summaryref2!T67,IF(AK262=summaryref2!B81,summaryref2!T81,IF(AK262=summaryref2!B95,summaryref2!T95,IF(AK262=summaryref2!B109,summaryref2!T109,IF(AK262=summaryref2!B123,summaryref2!T123,IF(AK262=summaryref2!B137,summaryref2!T137,IF(AK262=summaryref2!B151,summaryref2!T151,"")))))))))))</f>
        <v>#REF!</v>
      </c>
      <c r="BE262" s="1186" t="e">
        <f>IF('A-80 DirEntInv'!#REF!&lt;&gt;"",'A-80 DirEntInv'!#REF!,IF(AK262=summaryref2!B25,summaryref2!U25,IF(Summary!AK262=summaryref2!B39,summaryref2!U39,IF(AK262=summaryref2!B53,summaryref2!U53,IF(AK262=summaryref2!B67,summaryref2!U67,IF(AK262=summaryref2!B81,summaryref2!U81,IF(AK262=summaryref2!B95,summaryref2!U95,IF(AK262=summaryref2!B109,summaryref2!U109,IF(AK262=summaryref2!B123,summaryref2!U123,IF(AK262=summaryref2!B137,summaryref2!U137,IF(AK262=summaryref2!B151,summaryref2!U151,"")))))))))))</f>
        <v>#REF!</v>
      </c>
      <c r="BF262" s="1432"/>
      <c r="BG262" s="1432"/>
      <c r="BU262" s="962"/>
      <c r="CD262" s="589"/>
      <c r="CE262" s="590"/>
      <c r="CF262" s="590"/>
      <c r="CG262" s="590"/>
      <c r="CH262" s="590"/>
      <c r="CI262" s="590"/>
      <c r="CJ262" s="589"/>
      <c r="CK262" s="589"/>
      <c r="CL262" s="589"/>
      <c r="CM262" s="587"/>
      <c r="CN262" s="587"/>
      <c r="CO262" s="589"/>
      <c r="CP262" s="587"/>
      <c r="CQ262" s="592"/>
      <c r="CR262" s="589"/>
      <c r="CS262" s="592"/>
      <c r="CT262" s="589"/>
      <c r="CU262" s="589"/>
      <c r="CV262" s="589"/>
      <c r="CW262" s="587"/>
      <c r="CX262" s="590"/>
      <c r="CY262" s="590"/>
      <c r="CZ262" s="590"/>
      <c r="DA262" s="1054"/>
      <c r="DB262" s="1054"/>
      <c r="DC262" s="587"/>
      <c r="DD262" s="587"/>
    </row>
    <row r="263" spans="1:108" s="588" customFormat="1" x14ac:dyDescent="0.2">
      <c r="A263" s="589">
        <f t="shared" si="3"/>
        <v>253</v>
      </c>
      <c r="B263" s="587"/>
      <c r="C263" s="587"/>
      <c r="D263" s="587"/>
      <c r="J263" s="589"/>
      <c r="K263" s="590"/>
      <c r="L263" s="591"/>
      <c r="M263" s="592"/>
      <c r="N263" s="589"/>
      <c r="O263" s="587"/>
      <c r="R263" s="1052"/>
      <c r="S263" s="1052"/>
      <c r="T263" s="1052"/>
      <c r="U263" s="1052"/>
      <c r="V263" s="1052"/>
      <c r="W263" s="1053"/>
      <c r="X263" s="1053"/>
      <c r="Y263" s="1053"/>
      <c r="Z263" s="1052"/>
      <c r="AA263" s="1052"/>
      <c r="AB263" s="962"/>
      <c r="AC263" s="590"/>
      <c r="AD263" s="590"/>
      <c r="AE263" s="591"/>
      <c r="AF263" s="592"/>
      <c r="AG263" s="1053"/>
      <c r="AH263" s="587"/>
      <c r="AK263" s="1043" t="str">
        <f>Codes!$C$174</f>
        <v>YR - Hybrid Rail (PT)</v>
      </c>
      <c r="AL263" s="1303" t="str">
        <f>Valid!$B$71</f>
        <v>At-Grade/Ballast (including expressway)</v>
      </c>
      <c r="AM263" s="1092" t="e">
        <f>IF('A-80 DirEntInv'!#REF!&lt;&gt;"",'A-80 DirEntInv'!#REF!,IF(AK263=summaryref2!$B$12,summaryref2!$D$12,IF(Summary!AK263=summaryref2!$B$26,summaryref2!$D$26,IF(AK263=summaryref2!$B$40,summaryref2!$D$40,IF(AK263=summaryref2!$B$54,summaryref2!$D$54,IF(AK263=summaryref2!$B$68,summaryref2!$D$68,IF(AK263=summaryref2!$B$82,summaryref2!$D$82,IF(AK263=summaryref2!$B$96,summaryref2!$D$96,IF(AK263=summaryref2!$B$110,summaryref2!$D$110,IF(AK263=summaryref2!$B$124,summaryref2!$D$124,IF(AK263=summaryref2!$B$138,summaryref2!$D$138,"")))))))))))</f>
        <v>#REF!</v>
      </c>
      <c r="AN263" s="1127" t="e">
        <f ca="1">IF('A-80 DirEntInv'!#REF!&lt;&gt;"",'A-80 DirEntInv'!#REF!,IF(INDIRECT(ADDRESS(SumRef!CG332,SumRef!CG$16,,,SumRef!$C$7))="","",INDIRECT(ADDRESS(SumRef!CG332,SumRef!CG$16,,,SumRef!$C$7))))</f>
        <v>#REF!</v>
      </c>
      <c r="AO263" s="1092" t="e">
        <f>IF('A-80 DirEntInv'!#REF!&lt;&gt;"",'A-80 DirEntInv'!#REF!,IF(AK263=summaryref2!B12,summaryref2!F12,IF(Summary!AK263=summaryref2!B26,summaryref2!F26,IF(AK263=summaryref2!B40,summaryref2!F40,IF(AK263=summaryref2!B54,summaryref2!F54,IF(AK263=summaryref2!B68,summaryref2!F68,IF(AK263=summaryref2!B82,summaryref2!F82,IF(AK263=summaryref2!B96,summaryref2!F96,IF(AK263=summaryref2!B110,summaryref2!F110,IF(AK263=summaryref2!B124,summaryref2!F124,IF(AK263=summaryref2!B138,summaryref2!F138,"")))))))))))</f>
        <v>#REF!</v>
      </c>
      <c r="AP263" s="1127" t="e">
        <f ca="1">IF('A-80 DirEntInv'!#REF!&lt;&gt;"",'A-80 DirEntInv'!#REF!,IF(INDIRECT(ADDRESS(SumRef!#REF!,SumRef!#REF!,,,SumRef!$C$7))="","",INDIRECT(ADDRESS(SumRef!#REF!,SumRef!#REF!,,,SumRef!$C$7))))</f>
        <v>#REF!</v>
      </c>
      <c r="AQ263" s="1173" t="e">
        <f>IF('A-80 DirEntInv'!#REF!&lt;&gt;"",'A-80 DirEntInv'!#REF!,IF(AK263=summaryref2!B12,summaryref2!G12,IF(Summary!AK263=summaryref2!B26,summaryref2!G26,IF(AK263=summaryref2!B40,summaryref2!G40,IF(AK263=summaryref2!B54,summaryref2!G54,IF(AK263=summaryref2!B68,summaryref2!G68,IF(AK263=summaryref2!B82,summaryref2!G82,IF(AK263=summaryref2!B96,summaryref2!G96,IF(AK263=summaryref2!B110,summaryref2!G110,IF(AK263=summaryref2!B124,summaryref2!G124,IF(AK263=summaryref2!B138,summaryref2!G138,"")))))))))))</f>
        <v>#REF!</v>
      </c>
      <c r="AR263" s="1146" t="e">
        <f>IF('A-80 DirEntInv'!#REF!&lt;&gt;"",'A-80 DirEntInv'!#REF!,IF(AK263=summaryref2!B12,summaryref2!H12,IF(Summary!AK263=summaryref2!B26,summaryref2!H26,IF(AK263=summaryref2!B40,summaryref2!H40,IF(AK263=summaryref2!B54,summaryref2!H54,IF(AK263=summaryref2!B68,summaryref2!H68,IF(AK263=summaryref2!B82,summaryref2!H82,IF(AK263=summaryref2!B96,summaryref2!H96,IF(AK263=summaryref2!B110,summaryref2!H110,IF(AK263=summaryref2!B124,summaryref2!H124,IF(AK263=summaryref2!B138,summaryref2!H138,"")))))))))))</f>
        <v>#REF!</v>
      </c>
      <c r="AS263" s="1092" t="e">
        <f>IF('A-80 DirEntInv'!#REF!&lt;&gt;"",'A-80 DirEntInv'!#REF!,IF(AK263=summaryref2!B12,summaryref2!I12,IF(Summary!AK263=summaryref2!B26,summaryref2!I26,IF(AK263=summaryref2!B40,summaryref2!I40,IF(AK263=summaryref2!B54,summaryref2!I54,IF(AK263=summaryref2!B68,summaryref2!I68,IF(AK263=summaryref2!B82,summaryref2!I82,IF(AK263=summaryref2!B96,summaryref2!I96,IF(AK263=summaryref2!B110,summaryref2!I110,IF(AK263=summaryref2!B124,summaryref2!I124,IF(AK263=summaryref2!B138,summaryref2!I138,"")))))))))))</f>
        <v>#REF!</v>
      </c>
      <c r="AT263" s="1092" t="e">
        <f>IF('A-80 DirEntInv'!#REF!&lt;&gt;"",'A-80 DirEntInv'!#REF!,IF(AK263=summaryref2!B12,summaryref2!J12,IF(Summary!AK263=summaryref2!B26,summaryref2!J26,IF(AK263=summaryref2!B40,summaryref2!J40,IF(AK263=summaryref2!B54,summaryref2!J54,IF(AK263=summaryref2!B68,summaryref2!J68,IF(AK263=summaryref2!B82,summaryref2!J82,IF(AK263=summaryref2!B96,summaryref2!J96,IF(AK263=summaryref2!B110,summaryref2!J110,IF(AK263=summaryref2!B124,summaryref2!J124,IF(AK263=summaryref2!B138,summaryref2!J138,"")))))))))))</f>
        <v>#REF!</v>
      </c>
      <c r="AU263" s="1092" t="e">
        <f>IF('A-80 DirEntInv'!#REF!&lt;&gt;"",'A-80 DirEntInv'!#REF!,IF(AK263=summaryref2!B12,summaryref2!K12,IF(Summary!AK263=summaryref2!B26,summaryref2!K26,IF(AK263=summaryref2!B40,summaryref2!K40,IF(AK263=summaryref2!B54,summaryref2!K54,IF(AK263=summaryref2!B68,summaryref2!K68,IF(AK263=summaryref2!B82,summaryref2!K82,IF(AK263=summaryref2!B96,summaryref2!K96,IF(AK263=summaryref2!B110,summaryref2!K110,IF(AK263=summaryref2!B124,summaryref2!K124,IF(AK263=summaryref2!B138,summaryref2!K138,"")))))))))))</f>
        <v>#REF!</v>
      </c>
      <c r="AV263" s="1092" t="e">
        <f>IF('A-80 DirEntInv'!#REF!&lt;&gt;"",'A-80 DirEntInv'!#REF!,IF(AK263=summaryref2!B12,summaryref2!L12,IF(Summary!AK263=summaryref2!B26,summaryref2!L26,IF(AK263=summaryref2!B40,summaryref2!L40,IF(AK263=summaryref2!B54,summaryref2!L54,IF(AK263=summaryref2!B68,summaryref2!L68,IF(AK263=summaryref2!B82,summaryref2!L82,IF(AK263=summaryref2!B96,summaryref2!L96,IF(AK263=summaryref2!B110,summaryref2!L110,IF(AK263=summaryref2!B124,summaryref2!L124,IF(AK263=summaryref2!B138,summaryref2!L138,"")))))))))))</f>
        <v>#REF!</v>
      </c>
      <c r="AW263" s="1092" t="e">
        <f>IF('A-80 DirEntInv'!#REF!&lt;&gt;"",'A-80 DirEntInv'!#REF!,IF(AK263=summaryref2!B12,summaryref2!M12,IF(Summary!AK263=summaryref2!B26,summaryref2!M26,IF(AK263=summaryref2!B40,summaryref2!M40,IF(AK263=summaryref2!B54,summaryref2!M54,IF(AK263=summaryref2!B68,summaryref2!M68,IF(AK263=summaryref2!B82,summaryref2!M82,IF(AK263=summaryref2!B96,summaryref2!M96,IF(AK263=summaryref2!B110,summaryref2!M110,IF(AK263=summaryref2!B124,summaryref2!M124,IF(AK263=summaryref2!B138,summaryref2!M138,"")))))))))))</f>
        <v>#REF!</v>
      </c>
      <c r="AX263" s="1092" t="e">
        <f>IF('A-80 DirEntInv'!#REF!&lt;&gt;"",'A-80 DirEntInv'!#REF!,IF(AK263=summaryref2!B12,summaryref2!N12,IF(Summary!AK263=summaryref2!B26,summaryref2!N26,IF(AK263=summaryref2!B40,summaryref2!N40,IF(AK263=summaryref2!B54,summaryref2!N54,IF(AK263=summaryref2!B68,summaryref2!N68,IF(AK263=summaryref2!B82,summaryref2!N82,IF(AK263=summaryref2!B96,summaryref2!N96,IF(AK263=summaryref2!B110,summaryref2!N110,IF(AK263=summaryref2!B124,summaryref2!N124,IF(AK263=summaryref2!B138,summaryref2!N138,"")))))))))))</f>
        <v>#REF!</v>
      </c>
      <c r="AY263" s="1092" t="e">
        <f>IF('A-80 DirEntInv'!#REF!&lt;&gt;"",'A-80 DirEntInv'!#REF!,IF(AK263=summaryref2!B12,summaryref2!O12,IF(Summary!AK263=summaryref2!B26,summaryref2!O26,IF(AK263=summaryref2!B40,summaryref2!O40,IF(AK263=summaryref2!B54,summaryref2!O54,IF(AK263=summaryref2!B68,summaryref2!O68,IF(AK263=summaryref2!B82,summaryref2!O82,IF(AK263=summaryref2!B96,summaryref2!O96,IF(AK263=summaryref2!B110,summaryref2!O110,IF(AK263=summaryref2!B124,summaryref2!O124,IF(AK263=summaryref2!B138,summaryref2!O138,"")))))))))))</f>
        <v>#REF!</v>
      </c>
      <c r="AZ263" s="1092" t="e">
        <f>IF('A-80 DirEntInv'!#REF!&lt;&gt;"",'A-80 DirEntInv'!#REF!,IF(AK263=summaryref2!B12,summaryref2!P12,IF(Summary!AK263=summaryref2!B26,summaryref2!P26,IF(AK263=summaryref2!B40,summaryref2!P40,IF(AK263=summaryref2!B54,summaryref2!P54,IF(AK263=summaryref2!B68,summaryref2!P68,IF(AK263=summaryref2!B82,summaryref2!P82,IF(AK263=summaryref2!B96,summaryref2!P96,IF(AK263=summaryref2!B110,summaryref2!P110,IF(AK263=summaryref2!B124,summaryref2!P124,IF(AK263=summaryref2!B138,summaryref2!P138,"")))))))))))</f>
        <v>#REF!</v>
      </c>
      <c r="BA263" s="1092" t="e">
        <f>IF('A-80 DirEntInv'!#REF!&lt;&gt;"",'A-80 DirEntInv'!#REF!,IF(AK263=summaryref2!B12,summaryref2!Q12,IF(Summary!AK263=summaryref2!B26,summaryref2!Q26,IF(AK263=summaryref2!B40,summaryref2!Q40,IF(AK263=summaryref2!B54,summaryref2!Q54,IF(AK263=summaryref2!B68,summaryref2!Q68,IF(AK263=summaryref2!B82,summaryref2!Q82,IF(AK263=summaryref2!B96,summaryref2!Q96,IF(AK263=summaryref2!B110,summaryref2!Q110,IF(AK263=summaryref2!B124,summaryref2!Q124,IF(AK263=summaryref2!B138,summaryref2!Q138,"")))))))))))</f>
        <v>#REF!</v>
      </c>
      <c r="BB263" s="1092" t="e">
        <f>IF('A-80 DirEntInv'!#REF!&lt;&gt;"",'A-80 DirEntInv'!#REF!,IF(AK263=summaryref2!B12,summaryref2!R12,IF(Summary!AK263=summaryref2!B26,summaryref2!R26,IF(AK263=summaryref2!B40,summaryref2!R40,IF(AK263=summaryref2!B54,summaryref2!R54,IF(AK263=summaryref2!B68,summaryref2!R68,IF(AK263=summaryref2!B82,summaryref2!R82,IF(AK263=summaryref2!B96,summaryref2!R96,IF(AK263=summaryref2!B110,summaryref2!R110,IF(AK263=summaryref2!B124,summaryref2!R124,IF(AK263=summaryref2!B138,summaryref2!R138,"")))))))))))</f>
        <v>#REF!</v>
      </c>
      <c r="BC263" s="1092" t="e">
        <f>IF('A-80 DirEntInv'!#REF!&lt;&gt;0,'A-80 DirEntInv'!#REF!,IF(AK263=summaryref2!$B$12,summaryref2!$S$12,IF(Summary!AK263=summaryref2!$B$26,summaryref2!$S$26,IF(AK263=summaryref2!$B$40,summaryref2!$S$40,IF(AK263=summaryref2!$B$54,summaryref2!$S$54,IF(AK263=summaryref2!$B$68,summaryref2!$S$68,IF(AK263=summaryref2!$B$82,summaryref2!$S$82,IF(AK263=summaryref2!$B$96,summaryref2!$S$96,IF(AK263=summaryref2!$B$110,summaryref2!$S$110,IF(AK263=summaryref2!$B$124,summaryref2!$S$124,IF(AK263=summaryref2!$B$138,summaryref2!$S$138,"")))))))))))</f>
        <v>#REF!</v>
      </c>
      <c r="BD263" s="1093" t="e">
        <f>IF('A-80 DirEntInv'!#REF!&lt;&gt;"",'A-80 DirEntInv'!#REF!,IF(AK263=summaryref2!$B$12,summaryref2!$T$12,IF(Summary!AK263=summaryref2!$B$26,summaryref2!$T$26,IF(AK263=summaryref2!$B$40,summaryref2!$T$40,IF(AK263=summaryref2!$B$54,summaryref2!$T$54,IF(AK263=summaryref2!$B$68,summaryref2!$T$68,IF(AK263=summaryref2!$B$82,summaryref2!$T$82,IF(AK263=summaryref2!$B$96,summaryref2!$T$96,IF(AK263=summaryref2!$B$110,summaryref2!$T$110,IF(AK263=summaryref2!$B$124,summaryref2!$T$124,IF(AK263=summaryref2!$B$138,summaryref2!$T$138,"")))))))))))</f>
        <v>#REF!</v>
      </c>
      <c r="BE263" s="1189" t="e">
        <f>IF('A-80 DirEntInv'!#REF!&lt;&gt;"",'A-80 DirEntInv'!#REF!,IF(AK263=summaryref2!$B$12,summaryref2!$U$12,IF(Summary!AK263=summaryref2!$B$26,summaryref2!$U$26,IF(AK263=summaryref2!$B$40,summaryref2!$U$40,IF(AK263=summaryref2!$B$54,summaryref2!$U$54,IF(AK263=summaryref2!$B$68,summaryref2!$U$68,IF(AK263=summaryref2!$B$82,summaryref2!$U$82,IF(AK263=summaryref2!$B$96,summaryref2!$U$96,IF(AK263=summaryref2!$B$110,summaryref2!$U$110,IF(AK263=summaryref2!$B$124,summaryref2!$U$124,IF(AK263=summaryref2!$B$138,summaryref2!$U$138,"")))))))))))</f>
        <v>#REF!</v>
      </c>
      <c r="BF263" s="1431"/>
      <c r="BG263" s="1431"/>
      <c r="BU263" s="962"/>
      <c r="CD263" s="589"/>
      <c r="CE263" s="590"/>
      <c r="CF263" s="590"/>
      <c r="CG263" s="590"/>
      <c r="CH263" s="590"/>
      <c r="CI263" s="590"/>
      <c r="CJ263" s="589"/>
      <c r="CK263" s="589"/>
      <c r="CL263" s="589"/>
      <c r="CM263" s="587"/>
      <c r="CN263" s="587"/>
      <c r="CO263" s="589"/>
      <c r="CP263" s="587"/>
      <c r="CQ263" s="592"/>
      <c r="CR263" s="589"/>
      <c r="CS263" s="592"/>
      <c r="CT263" s="589"/>
      <c r="CU263" s="589"/>
      <c r="CV263" s="589"/>
      <c r="CW263" s="587"/>
      <c r="CX263" s="590"/>
      <c r="CY263" s="590"/>
      <c r="CZ263" s="590"/>
      <c r="DA263" s="1054"/>
      <c r="DB263" s="1054"/>
      <c r="DC263" s="587"/>
      <c r="DD263" s="587"/>
    </row>
    <row r="264" spans="1:108" s="588" customFormat="1" x14ac:dyDescent="0.2">
      <c r="A264" s="589">
        <f t="shared" si="3"/>
        <v>254</v>
      </c>
      <c r="B264" s="587"/>
      <c r="C264" s="587"/>
      <c r="D264" s="587"/>
      <c r="J264" s="589"/>
      <c r="K264" s="590"/>
      <c r="L264" s="591"/>
      <c r="M264" s="592"/>
      <c r="N264" s="589"/>
      <c r="O264" s="587"/>
      <c r="R264" s="1052"/>
      <c r="S264" s="1052"/>
      <c r="T264" s="1052"/>
      <c r="U264" s="1052"/>
      <c r="V264" s="1052"/>
      <c r="W264" s="1053"/>
      <c r="X264" s="1053"/>
      <c r="Y264" s="1053"/>
      <c r="Z264" s="1052"/>
      <c r="AA264" s="1052"/>
      <c r="AB264" s="962"/>
      <c r="AC264" s="590"/>
      <c r="AD264" s="590"/>
      <c r="AE264" s="591"/>
      <c r="AF264" s="592"/>
      <c r="AG264" s="1053"/>
      <c r="AH264" s="587"/>
      <c r="AK264" s="1041" t="str">
        <f>Codes!$C$174</f>
        <v>YR - Hybrid Rail (PT)</v>
      </c>
      <c r="AL264" s="1042" t="str">
        <f>Valid!$B$72</f>
        <v>At-Grade/In-Street/Embedded</v>
      </c>
      <c r="AM264" s="1108" t="e">
        <f>IF('A-80 DirEntInv'!#REF!&lt;&gt;"",'A-80 DirEntInv'!#REF!,IF(AK264=summaryref2!$B$12,summaryref2!$D$12,IF(Summary!AK264=summaryref2!$B$26,summaryref2!$D$26,IF(AK264=summaryref2!$B$40,summaryref2!$D$40,IF(AK264=summaryref2!$B$54,summaryref2!$D$54,IF(AK264=summaryref2!$B$68,summaryref2!$D$68,IF(AK264=summaryref2!$B$82,summaryref2!$D$82,IF(AK264=summaryref2!$B$96,summaryref2!$D$96,IF(AK264=summaryref2!$B$110,summaryref2!$D$110,IF(AK264=summaryref2!$B$124,summaryref2!$D$124,IF(AK264=summaryref2!$B$138,summaryref2!$D$138,"")))))))))))</f>
        <v>#REF!</v>
      </c>
      <c r="AN264" s="1109" t="e">
        <f ca="1">IF('A-80 DirEntInv'!#REF!&lt;&gt;"",'A-80 DirEntInv'!#REF!,IF(INDIRECT(ADDRESS(SumRef!CG334,SumRef!CG$16,,,SumRef!$C$7))="","",INDIRECT(ADDRESS(SumRef!CG334,SumRef!CG$16,,,SumRef!$C$7))))</f>
        <v>#REF!</v>
      </c>
      <c r="AO264" s="1108" t="e">
        <f>IF('A-80 DirEntInv'!#REF!&lt;&gt;"",'A-80 DirEntInv'!#REF!,IF(AK264=summaryref2!B13,summaryref2!F13,IF(Summary!AK264=summaryref2!B27,summaryref2!F27,IF(AK264=summaryref2!B41,summaryref2!F41,IF(AK264=summaryref2!B55,summaryref2!F55,IF(AK264=summaryref2!B69,summaryref2!F69,IF(AK264=summaryref2!B83,summaryref2!F83,IF(AK264=summaryref2!B97,summaryref2!F97,IF(AK264=summaryref2!B111,summaryref2!F111,IF(AK264=summaryref2!B125,summaryref2!F125,IF(AK264=summaryref2!B139,summaryref2!F139,"")))))))))))</f>
        <v>#REF!</v>
      </c>
      <c r="AP264" s="1109" t="e">
        <f ca="1">IF('A-80 DirEntInv'!#REF!&lt;&gt;"",'A-80 DirEntInv'!#REF!,IF(INDIRECT(ADDRESS(SumRef!#REF!,SumRef!#REF!,,,SumRef!$C$7))="","",INDIRECT(ADDRESS(SumRef!#REF!,SumRef!#REF!,,,SumRef!$C$7))))</f>
        <v>#REF!</v>
      </c>
      <c r="AQ264" s="1174" t="e">
        <f>IF('A-80 DirEntInv'!#REF!&lt;&gt;"",'A-80 DirEntInv'!#REF!,IF(AK264=summaryref2!B13,summaryref2!G13,IF(Summary!AK264=summaryref2!B27,summaryref2!G27,IF(AK264=summaryref2!B41,summaryref2!G41,IF(AK264=summaryref2!B55,summaryref2!G55,IF(AK264=summaryref2!B69,summaryref2!G69,IF(AK264=summaryref2!B83,summaryref2!G83,IF(AK264=summaryref2!B97,summaryref2!G97,IF(AK264=summaryref2!B111,summaryref2!G111,IF(AK264=summaryref2!B125,summaryref2!G125,IF(AK264=summaryref2!B139,summaryref2!G139,"")))))))))))</f>
        <v>#REF!</v>
      </c>
      <c r="AR264" s="1147" t="e">
        <f>IF('A-80 DirEntInv'!#REF!&lt;&gt;"",'A-80 DirEntInv'!#REF!,IF(AK264=summaryref2!B13,summaryref2!H13,IF(Summary!AK264=summaryref2!B27,summaryref2!H27,IF(AK264=summaryref2!B41,summaryref2!H41,IF(AK264=summaryref2!B55,summaryref2!H55,IF(AK264=summaryref2!B69,summaryref2!H69,IF(AK264=summaryref2!B83,summaryref2!H83,IF(AK264=summaryref2!B97,summaryref2!H97,IF(AK264=summaryref2!B111,summaryref2!H111,IF(AK264=summaryref2!B125,summaryref2!H125,IF(AK264=summaryref2!B139,summaryref2!H139,"")))))))))))</f>
        <v>#REF!</v>
      </c>
      <c r="AS264" s="1110" t="e">
        <f>IF('A-80 DirEntInv'!#REF!&lt;&gt;"",'A-80 DirEntInv'!#REF!,IF(AK264=summaryref2!B13,summaryref2!I13,IF(Summary!AK264=summaryref2!B27,summaryref2!I27,IF(AK264=summaryref2!B41,summaryref2!I41,IF(AK264=summaryref2!B55,summaryref2!I55,IF(AK264=summaryref2!B69,summaryref2!I69,IF(AK264=summaryref2!B83,summaryref2!I83,IF(AK264=summaryref2!B97,summaryref2!I97,IF(AK264=summaryref2!B111,summaryref2!I111,IF(AK264=summaryref2!B125,summaryref2!I125,IF(AK264=summaryref2!B139,summaryref2!I139,"")))))))))))</f>
        <v>#REF!</v>
      </c>
      <c r="AT264" s="1110" t="e">
        <f>IF('A-80 DirEntInv'!#REF!&lt;&gt;"",'A-80 DirEntInv'!#REF!,IF(AK264=summaryref2!B13,summaryref2!J13,IF(Summary!AK264=summaryref2!B27,summaryref2!J27,IF(AK264=summaryref2!B41,summaryref2!J41,IF(AK264=summaryref2!B55,summaryref2!J55,IF(AK264=summaryref2!B69,summaryref2!J69,IF(AK264=summaryref2!B83,summaryref2!J83,IF(AK264=summaryref2!B97,summaryref2!J97,IF(AK264=summaryref2!B111,summaryref2!J111,IF(AK264=summaryref2!B125,summaryref2!J125,IF(AK264=summaryref2!B139,summaryref2!J139,"")))))))))))</f>
        <v>#REF!</v>
      </c>
      <c r="AU264" s="1110" t="e">
        <f>IF('A-80 DirEntInv'!#REF!&lt;&gt;"",'A-80 DirEntInv'!#REF!,IF(AK264=summaryref2!B13,summaryref2!K13,IF(Summary!AK264=summaryref2!B27,summaryref2!K27,IF(AK264=summaryref2!B41,summaryref2!K41,IF(AK264=summaryref2!B55,summaryref2!K55,IF(AK264=summaryref2!B69,summaryref2!K69,IF(AK264=summaryref2!B83,summaryref2!K83,IF(AK264=summaryref2!B97,summaryref2!K97,IF(AK264=summaryref2!B111,summaryref2!K111,IF(AK264=summaryref2!B125,summaryref2!K125,IF(AK264=summaryref2!B139,summaryref2!K139,"")))))))))))</f>
        <v>#REF!</v>
      </c>
      <c r="AV264" s="1110" t="e">
        <f>IF('A-80 DirEntInv'!#REF!&lt;&gt;"",'A-80 DirEntInv'!#REF!,IF(AK264=summaryref2!B13,summaryref2!L13,IF(Summary!AK264=summaryref2!B27,summaryref2!L27,IF(AK264=summaryref2!B41,summaryref2!L41,IF(AK264=summaryref2!B55,summaryref2!L55,IF(AK264=summaryref2!B69,summaryref2!L69,IF(AK264=summaryref2!B83,summaryref2!L83,IF(AK264=summaryref2!B97,summaryref2!L97,IF(AK264=summaryref2!B111,summaryref2!L111,IF(AK264=summaryref2!B125,summaryref2!L125,IF(AK264=summaryref2!B139,summaryref2!L139,"")))))))))))</f>
        <v>#REF!</v>
      </c>
      <c r="AW264" s="1110" t="e">
        <f>IF('A-80 DirEntInv'!#REF!&lt;&gt;"",'A-80 DirEntInv'!#REF!,IF(AK264=summaryref2!B13,summaryref2!M13,IF(Summary!AK264=summaryref2!B27,summaryref2!M27,IF(AK264=summaryref2!B41,summaryref2!M41,IF(AK264=summaryref2!B55,summaryref2!M55,IF(AK264=summaryref2!B69,summaryref2!M69,IF(AK264=summaryref2!B83,summaryref2!M83,IF(AK264=summaryref2!B97,summaryref2!M97,IF(AK264=summaryref2!B111,summaryref2!M111,IF(AK264=summaryref2!B125,summaryref2!M125,IF(AK264=summaryref2!B139,summaryref2!M139,"")))))))))))</f>
        <v>#REF!</v>
      </c>
      <c r="AX264" s="1110" t="e">
        <f>IF('A-80 DirEntInv'!#REF!&lt;&gt;"",'A-80 DirEntInv'!#REF!,IF(AK264=summaryref2!B13,summaryref2!N13,IF(Summary!AK264=summaryref2!B27,summaryref2!N27,IF(AK264=summaryref2!B41,summaryref2!N41,IF(AK264=summaryref2!B55,summaryref2!N55,IF(AK264=summaryref2!B69,summaryref2!N69,IF(AK264=summaryref2!B83,summaryref2!N83,IF(AK264=summaryref2!B97,summaryref2!N97,IF(AK264=summaryref2!B111,summaryref2!N111,IF(AK264=summaryref2!B125,summaryref2!N125,IF(AK264=summaryref2!B139,summaryref2!N139,"")))))))))))</f>
        <v>#REF!</v>
      </c>
      <c r="AY264" s="1110" t="e">
        <f>IF('A-80 DirEntInv'!#REF!&lt;&gt;"",'A-80 DirEntInv'!#REF!,IF(AK264=summaryref2!B13,summaryref2!O13,IF(Summary!AK264=summaryref2!B27,summaryref2!O27,IF(AK264=summaryref2!B41,summaryref2!O41,IF(AK264=summaryref2!B55,summaryref2!O55,IF(AK264=summaryref2!B69,summaryref2!O69,IF(AK264=summaryref2!B83,summaryref2!O83,IF(AK264=summaryref2!B97,summaryref2!O97,IF(AK264=summaryref2!B111,summaryref2!O111,IF(AK264=summaryref2!B125,summaryref2!O125,IF(AK264=summaryref2!B139,summaryref2!O139,"")))))))))))</f>
        <v>#REF!</v>
      </c>
      <c r="AZ264" s="1110" t="e">
        <f>IF('A-80 DirEntInv'!#REF!&lt;&gt;"",'A-80 DirEntInv'!#REF!,IF(AK264=summaryref2!B13,summaryref2!P13,IF(Summary!AK264=summaryref2!B27,summaryref2!P27,IF(AK264=summaryref2!B41,summaryref2!P41,IF(AK264=summaryref2!B55,summaryref2!P55,IF(AK264=summaryref2!B69,summaryref2!P69,IF(AK264=summaryref2!B83,summaryref2!P83,IF(AK264=summaryref2!B97,summaryref2!P97,IF(AK264=summaryref2!B111,summaryref2!P111,IF(AK264=summaryref2!B125,summaryref2!P125,IF(AK264=summaryref2!B139,summaryref2!P139,"")))))))))))</f>
        <v>#REF!</v>
      </c>
      <c r="BA264" s="1110" t="e">
        <f>IF('A-80 DirEntInv'!#REF!&lt;&gt;"",'A-80 DirEntInv'!#REF!,IF(AK264=summaryref2!B13,summaryref2!Q13,IF(Summary!AK264=summaryref2!B27,summaryref2!Q27,IF(AK264=summaryref2!B41,summaryref2!Q41,IF(AK264=summaryref2!B55,summaryref2!Q55,IF(AK264=summaryref2!B69,summaryref2!Q69,IF(AK264=summaryref2!B83,summaryref2!Q83,IF(AK264=summaryref2!B97,summaryref2!Q97,IF(AK264=summaryref2!B111,summaryref2!Q111,IF(AK264=summaryref2!B125,summaryref2!Q125,IF(AK264=summaryref2!B139,summaryref2!Q139,"")))))))))))</f>
        <v>#REF!</v>
      </c>
      <c r="BB264" s="1110" t="e">
        <f>IF('A-80 DirEntInv'!#REF!&lt;&gt;"",'A-80 DirEntInv'!#REF!,IF(AK264=summaryref2!B13,summaryref2!R13,IF(Summary!AK264=summaryref2!B27,summaryref2!R27,IF(AK264=summaryref2!B41,summaryref2!R41,IF(AK264=summaryref2!B55,summaryref2!R55,IF(AK264=summaryref2!B69,summaryref2!R69,IF(AK264=summaryref2!B83,summaryref2!R83,IF(AK264=summaryref2!B97,summaryref2!R97,IF(AK264=summaryref2!B111,summaryref2!R111,IF(AK264=summaryref2!B125,summaryref2!R125,IF(AK264=summaryref2!B139,summaryref2!R139,"")))))))))))</f>
        <v>#REF!</v>
      </c>
      <c r="BC264" s="1110" t="e">
        <f>IF('A-80 DirEntInv'!#REF!&lt;&gt;0,'A-80 DirEntInv'!#REF!,IF(AK264=summaryref2!$B$12,summaryref2!$S$12,IF(Summary!AK264=summaryref2!$B$26,summaryref2!$S$26,IF(AK264=summaryref2!$B$40,summaryref2!$S$40,IF(AK264=summaryref2!$B$54,summaryref2!$S$54,IF(AK264=summaryref2!$B$68,summaryref2!$S$68,IF(AK264=summaryref2!$B$82,summaryref2!$S$82,IF(AK264=summaryref2!$B$96,summaryref2!$S$96,IF(AK264=summaryref2!$B$110,summaryref2!$S$110,IF(AK264=summaryref2!$B$124,summaryref2!$S$124,IF(AK264=summaryref2!$B$138,summaryref2!$S$138,"")))))))))))</f>
        <v>#REF!</v>
      </c>
      <c r="BD264" s="1111" t="e">
        <f>IF('A-80 DirEntInv'!#REF!&lt;&gt;"",'A-80 DirEntInv'!#REF!,IF(AK264=summaryref2!$B$12,summaryref2!$T$12,IF(Summary!AK264=summaryref2!$B$26,summaryref2!$T$26,IF(AK264=summaryref2!$B$40,summaryref2!$T$40,IF(AK264=summaryref2!$B$54,summaryref2!$T$54,IF(AK264=summaryref2!$B$68,summaryref2!$T$68,IF(AK264=summaryref2!$B$82,summaryref2!$T$82,IF(AK264=summaryref2!$B$96,summaryref2!$T$96,IF(AK264=summaryref2!$B$110,summaryref2!$T$110,IF(AK264=summaryref2!$B$124,summaryref2!$T$124,IF(AK264=summaryref2!$B$138,summaryref2!$T$138,"")))))))))))</f>
        <v>#REF!</v>
      </c>
      <c r="BE264" s="1184" t="e">
        <f>IF('A-80 DirEntInv'!#REF!&lt;&gt;"",'A-80 DirEntInv'!#REF!,IF(AK264=summaryref2!$B$12,summaryref2!$U$12,IF(Summary!AK264=summaryref2!$B$26,summaryref2!$U$26,IF(AK264=summaryref2!$B$40,summaryref2!$U$40,IF(AK264=summaryref2!$B$54,summaryref2!$U$54,IF(AK264=summaryref2!$B$68,summaryref2!$U$68,IF(AK264=summaryref2!$B$82,summaryref2!$U$82,IF(AK264=summaryref2!$B$96,summaryref2!$U$96,IF(AK264=summaryref2!$B$110,summaryref2!$U$110,IF(AK264=summaryref2!$B$124,summaryref2!$U$124,IF(AK264=summaryref2!$B$138,summaryref2!$U$138,"")))))))))))</f>
        <v>#REF!</v>
      </c>
      <c r="BF264" s="1432"/>
      <c r="BG264" s="1432"/>
      <c r="BU264" s="962"/>
      <c r="CD264" s="589"/>
      <c r="CE264" s="590"/>
      <c r="CF264" s="590"/>
      <c r="CG264" s="590"/>
      <c r="CH264" s="590"/>
      <c r="CI264" s="590"/>
      <c r="CJ264" s="589"/>
      <c r="CK264" s="589"/>
      <c r="CL264" s="589"/>
      <c r="CM264" s="587"/>
      <c r="CN264" s="587"/>
      <c r="CO264" s="589"/>
      <c r="CP264" s="587"/>
      <c r="CQ264" s="592"/>
      <c r="CR264" s="589"/>
      <c r="CS264" s="592"/>
      <c r="CT264" s="589"/>
      <c r="CU264" s="589"/>
      <c r="CV264" s="589"/>
      <c r="CW264" s="587"/>
      <c r="CX264" s="590"/>
      <c r="CY264" s="590"/>
      <c r="CZ264" s="590"/>
      <c r="DA264" s="1054"/>
      <c r="DB264" s="1054"/>
      <c r="DC264" s="587"/>
      <c r="DD264" s="587"/>
    </row>
    <row r="265" spans="1:108" s="588" customFormat="1" x14ac:dyDescent="0.2">
      <c r="A265" s="589">
        <f t="shared" si="3"/>
        <v>255</v>
      </c>
      <c r="B265" s="587"/>
      <c r="C265" s="587"/>
      <c r="D265" s="587"/>
      <c r="J265" s="589"/>
      <c r="K265" s="590"/>
      <c r="L265" s="591"/>
      <c r="M265" s="592"/>
      <c r="N265" s="589"/>
      <c r="O265" s="587"/>
      <c r="R265" s="1052"/>
      <c r="S265" s="1052"/>
      <c r="T265" s="1052"/>
      <c r="U265" s="1052"/>
      <c r="V265" s="1052"/>
      <c r="W265" s="1053"/>
      <c r="X265" s="1053"/>
      <c r="Y265" s="1053"/>
      <c r="Z265" s="1052"/>
      <c r="AA265" s="1052"/>
      <c r="AB265" s="962"/>
      <c r="AC265" s="590"/>
      <c r="AD265" s="590"/>
      <c r="AE265" s="591"/>
      <c r="AF265" s="592"/>
      <c r="AG265" s="1053"/>
      <c r="AH265" s="587"/>
      <c r="AK265" s="1041" t="str">
        <f>Codes!$C$174</f>
        <v>YR - Hybrid Rail (PT)</v>
      </c>
      <c r="AL265" s="1042" t="str">
        <f>Valid!$B$73</f>
        <v>Elevated/Retained Fill</v>
      </c>
      <c r="AM265" s="1108" t="e">
        <f>IF('A-80 DirEntInv'!#REF!&lt;&gt;"",'A-80 DirEntInv'!#REF!,IF(AK265=summaryref2!$B$12,summaryref2!$D$12,IF(Summary!AK265=summaryref2!$B$26,summaryref2!$D$26,IF(AK265=summaryref2!$B$40,summaryref2!$D$40,IF(AK265=summaryref2!$B$54,summaryref2!$D$54,IF(AK265=summaryref2!$B$68,summaryref2!$D$68,IF(AK265=summaryref2!$B$82,summaryref2!$D$82,IF(AK265=summaryref2!$B$96,summaryref2!$D$96,IF(AK265=summaryref2!$B$110,summaryref2!$D$110,IF(AK265=summaryref2!$B$124,summaryref2!$D$124,IF(AK265=summaryref2!$B$138,summaryref2!$D$138,"")))))))))))</f>
        <v>#REF!</v>
      </c>
      <c r="AN265" s="1109" t="e">
        <f ca="1">IF('A-80 DirEntInv'!#REF!&lt;&gt;"",'A-80 DirEntInv'!#REF!,IF(INDIRECT(ADDRESS(SumRef!CG335,SumRef!CG$16,,,SumRef!$C$7))="","",INDIRECT(ADDRESS(SumRef!CG335,SumRef!CG$16,,,SumRef!$C$7))))</f>
        <v>#REF!</v>
      </c>
      <c r="AO265" s="1108" t="e">
        <f>IF('A-80 DirEntInv'!#REF!&lt;&gt;"",'A-80 DirEntInv'!#REF!,IF(AK265=summaryref2!B14,summaryref2!F14,IF(Summary!AK265=summaryref2!B28,summaryref2!F28,IF(AK265=summaryref2!B42,summaryref2!F42,IF(AK265=summaryref2!B56,summaryref2!F56,IF(AK265=summaryref2!B70,summaryref2!F70,IF(AK265=summaryref2!B84,summaryref2!F84,IF(AK265=summaryref2!B98,summaryref2!F98,IF(AK265=summaryref2!B112,summaryref2!F112,IF(AK265=summaryref2!B126,summaryref2!F126,IF(AK265=summaryref2!B140,summaryref2!F140,"")))))))))))</f>
        <v>#REF!</v>
      </c>
      <c r="AP265" s="1109" t="e">
        <f ca="1">IF('A-80 DirEntInv'!#REF!&lt;&gt;"",'A-80 DirEntInv'!#REF!,IF(INDIRECT(ADDRESS(SumRef!#REF!,SumRef!#REF!,,,SumRef!$C$7))="","",INDIRECT(ADDRESS(SumRef!#REF!,SumRef!#REF!,,,SumRef!$C$7))))</f>
        <v>#REF!</v>
      </c>
      <c r="AQ265" s="1174" t="e">
        <f>IF('A-80 DirEntInv'!#REF!&lt;&gt;"",'A-80 DirEntInv'!#REF!,IF(AK265=summaryref2!B14,summaryref2!G14,IF(Summary!AK265=summaryref2!B28,summaryref2!G28,IF(AK265=summaryref2!B42,summaryref2!G42,IF(AK265=summaryref2!B56,summaryref2!G56,IF(AK265=summaryref2!B70,summaryref2!G70,IF(AK265=summaryref2!B84,summaryref2!G84,IF(AK265=summaryref2!B98,summaryref2!G98,IF(AK265=summaryref2!B112,summaryref2!G112,IF(AK265=summaryref2!B126,summaryref2!G126,IF(AK265=summaryref2!B140,summaryref2!G140,"")))))))))))</f>
        <v>#REF!</v>
      </c>
      <c r="AR265" s="1147" t="e">
        <f>IF('A-80 DirEntInv'!#REF!&lt;&gt;"",'A-80 DirEntInv'!#REF!,IF(AK265=summaryref2!B14,summaryref2!H14,IF(Summary!AK265=summaryref2!B28,summaryref2!H28,IF(AK265=summaryref2!B42,summaryref2!H42,IF(AK265=summaryref2!B56,summaryref2!H56,IF(AK265=summaryref2!B70,summaryref2!H70,IF(AK265=summaryref2!B84,summaryref2!H84,IF(AK265=summaryref2!B98,summaryref2!H98,IF(AK265=summaryref2!B112,summaryref2!H112,IF(AK265=summaryref2!B126,summaryref2!H126,IF(AK265=summaryref2!B140,summaryref2!H140,"")))))))))))</f>
        <v>#REF!</v>
      </c>
      <c r="AS265" s="1110" t="e">
        <f>IF('A-80 DirEntInv'!#REF!&lt;&gt;"",'A-80 DirEntInv'!#REF!,IF(AK265=summaryref2!B14,summaryref2!I14,IF(Summary!AK265=summaryref2!B28,summaryref2!I28,IF(AK265=summaryref2!B42,summaryref2!I42,IF(AK265=summaryref2!B56,summaryref2!I56,IF(AK265=summaryref2!B70,summaryref2!I70,IF(AK265=summaryref2!B84,summaryref2!I84,IF(AK265=summaryref2!B98,summaryref2!I98,IF(AK265=summaryref2!B112,summaryref2!I112,IF(AK265=summaryref2!B126,summaryref2!I126,IF(AK265=summaryref2!B140,summaryref2!I140,"")))))))))))</f>
        <v>#REF!</v>
      </c>
      <c r="AT265" s="1110" t="e">
        <f>IF('A-80 DirEntInv'!#REF!&lt;&gt;"",'A-80 DirEntInv'!#REF!,IF(AK265=summaryref2!B14,summaryref2!J14,IF(Summary!AK265=summaryref2!B28,summaryref2!J28,IF(AK265=summaryref2!B42,summaryref2!J42,IF(AK265=summaryref2!B56,summaryref2!J56,IF(AK265=summaryref2!B70,summaryref2!J70,IF(AK265=summaryref2!B84,summaryref2!J84,IF(AK265=summaryref2!B98,summaryref2!J98,IF(AK265=summaryref2!B112,summaryref2!J112,IF(AK265=summaryref2!B126,summaryref2!J126,IF(AK265=summaryref2!B140,summaryref2!J140,"")))))))))))</f>
        <v>#REF!</v>
      </c>
      <c r="AU265" s="1110" t="e">
        <f>IF('A-80 DirEntInv'!#REF!&lt;&gt;"",'A-80 DirEntInv'!#REF!,IF(AK265=summaryref2!B14,summaryref2!K14,IF(Summary!AK265=summaryref2!B28,summaryref2!K28,IF(AK265=summaryref2!B42,summaryref2!K42,IF(AK265=summaryref2!B56,summaryref2!K56,IF(AK265=summaryref2!B70,summaryref2!K70,IF(AK265=summaryref2!B84,summaryref2!K84,IF(AK265=summaryref2!B98,summaryref2!K98,IF(AK265=summaryref2!B112,summaryref2!K112,IF(AK265=summaryref2!B126,summaryref2!K126,IF(AK265=summaryref2!B140,summaryref2!K140,"")))))))))))</f>
        <v>#REF!</v>
      </c>
      <c r="AV265" s="1110" t="e">
        <f>IF('A-80 DirEntInv'!#REF!&lt;&gt;"",'A-80 DirEntInv'!#REF!,IF(AK265=summaryref2!B14,summaryref2!L14,IF(Summary!AK265=summaryref2!B28,summaryref2!L28,IF(AK265=summaryref2!B42,summaryref2!L42,IF(AK265=summaryref2!B56,summaryref2!L56,IF(AK265=summaryref2!B70,summaryref2!L70,IF(AK265=summaryref2!B84,summaryref2!L84,IF(AK265=summaryref2!B98,summaryref2!L98,IF(AK265=summaryref2!B112,summaryref2!L112,IF(AK265=summaryref2!B126,summaryref2!L126,IF(AK265=summaryref2!B140,summaryref2!L140,"")))))))))))</f>
        <v>#REF!</v>
      </c>
      <c r="AW265" s="1110" t="e">
        <f>IF('A-80 DirEntInv'!#REF!&lt;&gt;"",'A-80 DirEntInv'!#REF!,IF(AK265=summaryref2!B14,summaryref2!M14,IF(Summary!AK265=summaryref2!B28,summaryref2!M28,IF(AK265=summaryref2!B42,summaryref2!M42,IF(AK265=summaryref2!B56,summaryref2!M56,IF(AK265=summaryref2!B70,summaryref2!M70,IF(AK265=summaryref2!B84,summaryref2!M84,IF(AK265=summaryref2!B98,summaryref2!M98,IF(AK265=summaryref2!B112,summaryref2!M112,IF(AK265=summaryref2!B126,summaryref2!M126,IF(AK265=summaryref2!B140,summaryref2!M140,"")))))))))))</f>
        <v>#REF!</v>
      </c>
      <c r="AX265" s="1110" t="e">
        <f>IF('A-80 DirEntInv'!#REF!&lt;&gt;"",'A-80 DirEntInv'!#REF!,IF(AK265=summaryref2!B14,summaryref2!N14,IF(Summary!AK265=summaryref2!B28,summaryref2!N28,IF(AK265=summaryref2!B42,summaryref2!N42,IF(AK265=summaryref2!B56,summaryref2!N56,IF(AK265=summaryref2!B70,summaryref2!N70,IF(AK265=summaryref2!B84,summaryref2!N84,IF(AK265=summaryref2!B98,summaryref2!N98,IF(AK265=summaryref2!B112,summaryref2!N112,IF(AK265=summaryref2!B126,summaryref2!N126,IF(AK265=summaryref2!B140,summaryref2!N140,"")))))))))))</f>
        <v>#REF!</v>
      </c>
      <c r="AY265" s="1110" t="e">
        <f>IF('A-80 DirEntInv'!#REF!&lt;&gt;"",'A-80 DirEntInv'!#REF!,IF(AK265=summaryref2!B14,summaryref2!O14,IF(Summary!AK265=summaryref2!B28,summaryref2!O28,IF(AK265=summaryref2!B42,summaryref2!O42,IF(AK265=summaryref2!B56,summaryref2!O56,IF(AK265=summaryref2!B70,summaryref2!O70,IF(AK265=summaryref2!B84,summaryref2!O84,IF(AK265=summaryref2!B98,summaryref2!O98,IF(AK265=summaryref2!B112,summaryref2!O112,IF(AK265=summaryref2!B126,summaryref2!O126,IF(AK265=summaryref2!B140,summaryref2!O140,"")))))))))))</f>
        <v>#REF!</v>
      </c>
      <c r="AZ265" s="1110" t="e">
        <f>IF('A-80 DirEntInv'!#REF!&lt;&gt;"",'A-80 DirEntInv'!#REF!,IF(AK265=summaryref2!B14,summaryref2!P14,IF(Summary!AK265=summaryref2!B28,summaryref2!P28,IF(AK265=summaryref2!B42,summaryref2!P42,IF(AK265=summaryref2!B56,summaryref2!P56,IF(AK265=summaryref2!B70,summaryref2!P70,IF(AK265=summaryref2!B84,summaryref2!P84,IF(AK265=summaryref2!B98,summaryref2!P98,IF(AK265=summaryref2!B112,summaryref2!P112,IF(AK265=summaryref2!B126,summaryref2!P126,IF(AK265=summaryref2!B140,summaryref2!P140,"")))))))))))</f>
        <v>#REF!</v>
      </c>
      <c r="BA265" s="1110" t="e">
        <f>IF('A-80 DirEntInv'!#REF!&lt;&gt;"",'A-80 DirEntInv'!#REF!,IF(AK265=summaryref2!B14,summaryref2!Q14,IF(Summary!AK265=summaryref2!B28,summaryref2!Q28,IF(AK265=summaryref2!B42,summaryref2!Q42,IF(AK265=summaryref2!B56,summaryref2!Q56,IF(AK265=summaryref2!B70,summaryref2!Q70,IF(AK265=summaryref2!B84,summaryref2!Q84,IF(AK265=summaryref2!B98,summaryref2!Q98,IF(AK265=summaryref2!B112,summaryref2!Q112,IF(AK265=summaryref2!B126,summaryref2!Q126,IF(AK265=summaryref2!B140,summaryref2!Q140,"")))))))))))</f>
        <v>#REF!</v>
      </c>
      <c r="BB265" s="1110" t="e">
        <f>IF('A-80 DirEntInv'!#REF!&lt;&gt;"",'A-80 DirEntInv'!#REF!,IF(AK265=summaryref2!B14,summaryref2!R14,IF(Summary!AK265=summaryref2!B28,summaryref2!R28,IF(AK265=summaryref2!B42,summaryref2!R42,IF(AK265=summaryref2!B56,summaryref2!R56,IF(AK265=summaryref2!B70,summaryref2!R70,IF(AK265=summaryref2!B84,summaryref2!R84,IF(AK265=summaryref2!B98,summaryref2!R98,IF(AK265=summaryref2!B112,summaryref2!R112,IF(AK265=summaryref2!B126,summaryref2!R126,IF(AK265=summaryref2!B140,summaryref2!R140,"")))))))))))</f>
        <v>#REF!</v>
      </c>
      <c r="BC265" s="1110" t="e">
        <f>IF('A-80 DirEntInv'!#REF!&lt;&gt;0,'A-80 DirEntInv'!#REF!,IF(AK265=summaryref2!$B$12,summaryref2!$S$12,IF(Summary!AK265=summaryref2!$B$26,summaryref2!$S$26,IF(AK265=summaryref2!$B$40,summaryref2!$S$40,IF(AK265=summaryref2!$B$54,summaryref2!$S$54,IF(AK265=summaryref2!$B$68,summaryref2!$S$68,IF(AK265=summaryref2!$B$82,summaryref2!$S$82,IF(AK265=summaryref2!$B$96,summaryref2!$S$96,IF(AK265=summaryref2!$B$110,summaryref2!$S$110,IF(AK265=summaryref2!$B$124,summaryref2!$S$124,IF(AK265=summaryref2!$B$138,summaryref2!$S$138,"")))))))))))</f>
        <v>#REF!</v>
      </c>
      <c r="BD265" s="1111" t="e">
        <f>IF('A-80 DirEntInv'!#REF!&lt;&gt;"",'A-80 DirEntInv'!#REF!,IF(AK265=summaryref2!$B$12,summaryref2!$T$12,IF(Summary!AK265=summaryref2!$B$26,summaryref2!$T$26,IF(AK265=summaryref2!$B$40,summaryref2!$T$40,IF(AK265=summaryref2!$B$54,summaryref2!$T$54,IF(AK265=summaryref2!$B$68,summaryref2!$T$68,IF(AK265=summaryref2!$B$82,summaryref2!$T$82,IF(AK265=summaryref2!$B$96,summaryref2!$T$96,IF(AK265=summaryref2!$B$110,summaryref2!$T$110,IF(AK265=summaryref2!$B$124,summaryref2!$T$124,IF(AK265=summaryref2!$B$138,summaryref2!$T$138,"")))))))))))</f>
        <v>#REF!</v>
      </c>
      <c r="BE265" s="1184" t="e">
        <f>IF('A-80 DirEntInv'!#REF!&lt;&gt;"",'A-80 DirEntInv'!#REF!,IF(AK265=summaryref2!$B$12,summaryref2!$U$12,IF(Summary!AK265=summaryref2!$B$26,summaryref2!$U$26,IF(AK265=summaryref2!$B$40,summaryref2!$U$40,IF(AK265=summaryref2!$B$54,summaryref2!$U$54,IF(AK265=summaryref2!$B$68,summaryref2!$U$68,IF(AK265=summaryref2!$B$82,summaryref2!$U$82,IF(AK265=summaryref2!$B$96,summaryref2!$U$96,IF(AK265=summaryref2!$B$110,summaryref2!$U$110,IF(AK265=summaryref2!$B$124,summaryref2!$U$124,IF(AK265=summaryref2!$B$138,summaryref2!$U$138,"")))))))))))</f>
        <v>#REF!</v>
      </c>
      <c r="BF265" s="1432"/>
      <c r="BG265" s="1432"/>
      <c r="BU265" s="962"/>
      <c r="CD265" s="589"/>
      <c r="CE265" s="590"/>
      <c r="CF265" s="590"/>
      <c r="CG265" s="590"/>
      <c r="CH265" s="590"/>
      <c r="CI265" s="590"/>
      <c r="CJ265" s="589"/>
      <c r="CK265" s="589"/>
      <c r="CL265" s="589"/>
      <c r="CM265" s="587"/>
      <c r="CN265" s="587"/>
      <c r="CO265" s="589"/>
      <c r="CP265" s="587"/>
      <c r="CQ265" s="592"/>
      <c r="CR265" s="589"/>
      <c r="CS265" s="592"/>
      <c r="CT265" s="589"/>
      <c r="CU265" s="589"/>
      <c r="CV265" s="589"/>
      <c r="CW265" s="587"/>
      <c r="CX265" s="590"/>
      <c r="CY265" s="590"/>
      <c r="CZ265" s="590"/>
      <c r="DA265" s="1054"/>
      <c r="DB265" s="1054"/>
      <c r="DC265" s="587"/>
      <c r="DD265" s="587"/>
    </row>
    <row r="266" spans="1:108" s="588" customFormat="1" x14ac:dyDescent="0.2">
      <c r="A266" s="589">
        <f t="shared" si="3"/>
        <v>256</v>
      </c>
      <c r="B266" s="587"/>
      <c r="C266" s="587"/>
      <c r="D266" s="587"/>
      <c r="J266" s="589"/>
      <c r="K266" s="590"/>
      <c r="L266" s="591"/>
      <c r="M266" s="592"/>
      <c r="N266" s="589"/>
      <c r="O266" s="587"/>
      <c r="R266" s="1052"/>
      <c r="S266" s="1052"/>
      <c r="T266" s="1052"/>
      <c r="U266" s="1052"/>
      <c r="V266" s="1052"/>
      <c r="W266" s="1053"/>
      <c r="X266" s="1053"/>
      <c r="Y266" s="1053"/>
      <c r="Z266" s="1052"/>
      <c r="AA266" s="1052"/>
      <c r="AB266" s="962"/>
      <c r="AC266" s="590"/>
      <c r="AD266" s="590"/>
      <c r="AE266" s="591"/>
      <c r="AF266" s="592"/>
      <c r="AG266" s="1053"/>
      <c r="AH266" s="587"/>
      <c r="AK266" s="1041" t="str">
        <f>Codes!$C$174</f>
        <v>YR - Hybrid Rail (PT)</v>
      </c>
      <c r="AL266" s="1042" t="str">
        <f>Valid!$B$74</f>
        <v>Elevated/Concrete</v>
      </c>
      <c r="AM266" s="1108" t="e">
        <f>IF('A-80 DirEntInv'!#REF!&lt;&gt;"",'A-80 DirEntInv'!#REF!,IF(AK266=summaryref2!$B$12,summaryref2!$D$12,IF(Summary!AK266=summaryref2!$B$26,summaryref2!$D$26,IF(AK266=summaryref2!$B$40,summaryref2!$D$40,IF(AK266=summaryref2!$B$54,summaryref2!$D$54,IF(AK266=summaryref2!$B$68,summaryref2!$D$68,IF(AK266=summaryref2!$B$82,summaryref2!$D$82,IF(AK266=summaryref2!$B$96,summaryref2!$D$96,IF(AK266=summaryref2!$B$110,summaryref2!$D$110,IF(AK266=summaryref2!$B$124,summaryref2!$D$124,IF(AK266=summaryref2!$B$138,summaryref2!$D$138,"")))))))))))</f>
        <v>#REF!</v>
      </c>
      <c r="AN266" s="1109" t="e">
        <f ca="1">IF('A-80 DirEntInv'!#REF!&lt;&gt;"",'A-80 DirEntInv'!#REF!,IF(INDIRECT(ADDRESS(SumRef!CG336,SumRef!CG$16,,,SumRef!$C$7))="","",INDIRECT(ADDRESS(SumRef!CG336,SumRef!CG$16,,,SumRef!$C$7))))</f>
        <v>#REF!</v>
      </c>
      <c r="AO266" s="1108" t="e">
        <f>IF('A-80 DirEntInv'!#REF!&lt;&gt;"",'A-80 DirEntInv'!#REF!,IF(AK266=summaryref2!B15,summaryref2!F15,IF(Summary!AK266=summaryref2!B29,summaryref2!F29,IF(AK266=summaryref2!B43,summaryref2!F43,IF(AK266=summaryref2!B57,summaryref2!F57,IF(AK266=summaryref2!B71,summaryref2!F71,IF(AK266=summaryref2!B85,summaryref2!F85,IF(AK266=summaryref2!B99,summaryref2!F99,IF(AK266=summaryref2!B113,summaryref2!F113,IF(AK266=summaryref2!B127,summaryref2!F127,IF(AK266=summaryref2!B141,summaryref2!F141,"")))))))))))</f>
        <v>#REF!</v>
      </c>
      <c r="AP266" s="1109" t="e">
        <f ca="1">IF('A-80 DirEntInv'!#REF!&lt;&gt;"",'A-80 DirEntInv'!#REF!,IF(INDIRECT(ADDRESS(SumRef!#REF!,SumRef!#REF!,,,SumRef!$C$7))="","",INDIRECT(ADDRESS(SumRef!#REF!,SumRef!#REF!,,,SumRef!$C$7))))</f>
        <v>#REF!</v>
      </c>
      <c r="AQ266" s="1174" t="e">
        <f>IF('A-80 DirEntInv'!#REF!&lt;&gt;"",'A-80 DirEntInv'!#REF!,IF(AK266=summaryref2!B15,summaryref2!G15,IF(Summary!AK266=summaryref2!B29,summaryref2!G29,IF(AK266=summaryref2!B43,summaryref2!G43,IF(AK266=summaryref2!B57,summaryref2!G57,IF(AK266=summaryref2!B71,summaryref2!G71,IF(AK266=summaryref2!B85,summaryref2!G85,IF(AK266=summaryref2!B99,summaryref2!G99,IF(AK266=summaryref2!B113,summaryref2!G113,IF(AK266=summaryref2!B127,summaryref2!G127,IF(AK266=summaryref2!B141,summaryref2!G141,"")))))))))))</f>
        <v>#REF!</v>
      </c>
      <c r="AR266" s="1147" t="e">
        <f>IF('A-80 DirEntInv'!#REF!&lt;&gt;"",'A-80 DirEntInv'!#REF!,IF(AK266=summaryref2!B15,summaryref2!H15,IF(Summary!AK266=summaryref2!B29,summaryref2!H29,IF(AK266=summaryref2!B43,summaryref2!H43,IF(AK266=summaryref2!B57,summaryref2!H57,IF(AK266=summaryref2!B71,summaryref2!H71,IF(AK266=summaryref2!B85,summaryref2!H85,IF(AK266=summaryref2!B99,summaryref2!H99,IF(AK266=summaryref2!B113,summaryref2!H113,IF(AK266=summaryref2!B127,summaryref2!H127,IF(AK266=summaryref2!B141,summaryref2!H141,"")))))))))))</f>
        <v>#REF!</v>
      </c>
      <c r="AS266" s="1110" t="e">
        <f>IF('A-80 DirEntInv'!#REF!&lt;&gt;"",'A-80 DirEntInv'!#REF!,IF(AK266=summaryref2!B15,summaryref2!I15,IF(Summary!AK266=summaryref2!B29,summaryref2!I29,IF(AK266=summaryref2!B43,summaryref2!I43,IF(AK266=summaryref2!B57,summaryref2!I57,IF(AK266=summaryref2!B71,summaryref2!I71,IF(AK266=summaryref2!B85,summaryref2!I85,IF(AK266=summaryref2!B99,summaryref2!I99,IF(AK266=summaryref2!B113,summaryref2!I113,IF(AK266=summaryref2!B127,summaryref2!I127,IF(AK266=summaryref2!B141,summaryref2!I141,"")))))))))))</f>
        <v>#REF!</v>
      </c>
      <c r="AT266" s="1110" t="e">
        <f>IF('A-80 DirEntInv'!#REF!&lt;&gt;"",'A-80 DirEntInv'!#REF!,IF(AK266=summaryref2!B15,summaryref2!J15,IF(Summary!AK266=summaryref2!B29,summaryref2!J29,IF(AK266=summaryref2!B43,summaryref2!J43,IF(AK266=summaryref2!B57,summaryref2!J57,IF(AK266=summaryref2!B71,summaryref2!J71,IF(AK266=summaryref2!B85,summaryref2!J85,IF(AK266=summaryref2!B99,summaryref2!J99,IF(AK266=summaryref2!B113,summaryref2!J113,IF(AK266=summaryref2!B127,summaryref2!J127,IF(AK266=summaryref2!B141,summaryref2!J141,"")))))))))))</f>
        <v>#REF!</v>
      </c>
      <c r="AU266" s="1110" t="e">
        <f>IF('A-80 DirEntInv'!#REF!&lt;&gt;"",'A-80 DirEntInv'!#REF!,IF(AK266=summaryref2!B15,summaryref2!K15,IF(Summary!AK266=summaryref2!B29,summaryref2!K29,IF(AK266=summaryref2!B43,summaryref2!K43,IF(AK266=summaryref2!B57,summaryref2!K57,IF(AK266=summaryref2!B71,summaryref2!K71,IF(AK266=summaryref2!B85,summaryref2!K85,IF(AK266=summaryref2!B99,summaryref2!K99,IF(AK266=summaryref2!B113,summaryref2!K113,IF(AK266=summaryref2!B127,summaryref2!K127,IF(AK266=summaryref2!B141,summaryref2!K141,"")))))))))))</f>
        <v>#REF!</v>
      </c>
      <c r="AV266" s="1110" t="e">
        <f>IF('A-80 DirEntInv'!#REF!&lt;&gt;"",'A-80 DirEntInv'!#REF!,IF(AK266=summaryref2!B15,summaryref2!L15,IF(Summary!AK266=summaryref2!B29,summaryref2!L29,IF(AK266=summaryref2!B43,summaryref2!L43,IF(AK266=summaryref2!B57,summaryref2!L57,IF(AK266=summaryref2!B71,summaryref2!L71,IF(AK266=summaryref2!B85,summaryref2!L85,IF(AK266=summaryref2!B99,summaryref2!L99,IF(AK266=summaryref2!B113,summaryref2!L113,IF(AK266=summaryref2!B127,summaryref2!L127,IF(AK266=summaryref2!B141,summaryref2!L141,"")))))))))))</f>
        <v>#REF!</v>
      </c>
      <c r="AW266" s="1110" t="e">
        <f>IF('A-80 DirEntInv'!#REF!&lt;&gt;"",'A-80 DirEntInv'!#REF!,IF(AK266=summaryref2!B15,summaryref2!M15,IF(Summary!AK266=summaryref2!B29,summaryref2!M29,IF(AK266=summaryref2!B43,summaryref2!M43,IF(AK266=summaryref2!B57,summaryref2!M57,IF(AK266=summaryref2!B71,summaryref2!M71,IF(AK266=summaryref2!B85,summaryref2!M85,IF(AK266=summaryref2!B99,summaryref2!M99,IF(AK266=summaryref2!B113,summaryref2!M113,IF(AK266=summaryref2!B127,summaryref2!M127,IF(AK266=summaryref2!B141,summaryref2!M141,"")))))))))))</f>
        <v>#REF!</v>
      </c>
      <c r="AX266" s="1110" t="e">
        <f>IF('A-80 DirEntInv'!#REF!&lt;&gt;"",'A-80 DirEntInv'!#REF!,IF(AK266=summaryref2!B15,summaryref2!N15,IF(Summary!AK266=summaryref2!B29,summaryref2!N29,IF(AK266=summaryref2!B43,summaryref2!N43,IF(AK266=summaryref2!B57,summaryref2!N57,IF(AK266=summaryref2!B71,summaryref2!N71,IF(AK266=summaryref2!B85,summaryref2!N85,IF(AK266=summaryref2!B99,summaryref2!N99,IF(AK266=summaryref2!B113,summaryref2!N113,IF(AK266=summaryref2!B127,summaryref2!N127,IF(AK266=summaryref2!B141,summaryref2!N141,"")))))))))))</f>
        <v>#REF!</v>
      </c>
      <c r="AY266" s="1110" t="e">
        <f>IF('A-80 DirEntInv'!#REF!&lt;&gt;"",'A-80 DirEntInv'!#REF!,IF(AK266=summaryref2!B15,summaryref2!O15,IF(Summary!AK266=summaryref2!B29,summaryref2!O29,IF(AK266=summaryref2!B43,summaryref2!O43,IF(AK266=summaryref2!B57,summaryref2!O57,IF(AK266=summaryref2!B71,summaryref2!O71,IF(AK266=summaryref2!B85,summaryref2!O85,IF(AK266=summaryref2!B99,summaryref2!O99,IF(AK266=summaryref2!B113,summaryref2!O113,IF(AK266=summaryref2!B127,summaryref2!O127,IF(AK266=summaryref2!B141,summaryref2!O141,"")))))))))))</f>
        <v>#REF!</v>
      </c>
      <c r="AZ266" s="1110" t="e">
        <f>IF('A-80 DirEntInv'!#REF!&lt;&gt;"",'A-80 DirEntInv'!#REF!,IF(AK266=summaryref2!B15,summaryref2!P15,IF(Summary!AK266=summaryref2!B29,summaryref2!P29,IF(AK266=summaryref2!B43,summaryref2!P43,IF(AK266=summaryref2!B57,summaryref2!P57,IF(AK266=summaryref2!B71,summaryref2!P71,IF(AK266=summaryref2!B85,summaryref2!P85,IF(AK266=summaryref2!B99,summaryref2!P99,IF(AK266=summaryref2!B113,summaryref2!P113,IF(AK266=summaryref2!B127,summaryref2!P127,IF(AK266=summaryref2!B141,summaryref2!P141,"")))))))))))</f>
        <v>#REF!</v>
      </c>
      <c r="BA266" s="1110" t="e">
        <f>IF('A-80 DirEntInv'!#REF!&lt;&gt;"",'A-80 DirEntInv'!#REF!,IF(AK266=summaryref2!B15,summaryref2!Q15,IF(Summary!AK266=summaryref2!B29,summaryref2!Q29,IF(AK266=summaryref2!B43,summaryref2!Q43,IF(AK266=summaryref2!B57,summaryref2!Q57,IF(AK266=summaryref2!B71,summaryref2!Q71,IF(AK266=summaryref2!B85,summaryref2!Q85,IF(AK266=summaryref2!B99,summaryref2!Q99,IF(AK266=summaryref2!B113,summaryref2!Q113,IF(AK266=summaryref2!B127,summaryref2!Q127,IF(AK266=summaryref2!B141,summaryref2!Q141,"")))))))))))</f>
        <v>#REF!</v>
      </c>
      <c r="BB266" s="1110" t="e">
        <f>IF('A-80 DirEntInv'!#REF!&lt;&gt;"",'A-80 DirEntInv'!#REF!,IF(AK266=summaryref2!B15,summaryref2!R15,IF(Summary!AK266=summaryref2!B29,summaryref2!R29,IF(AK266=summaryref2!B43,summaryref2!R43,IF(AK266=summaryref2!B57,summaryref2!R57,IF(AK266=summaryref2!B71,summaryref2!R71,IF(AK266=summaryref2!B85,summaryref2!R85,IF(AK266=summaryref2!B99,summaryref2!R99,IF(AK266=summaryref2!B113,summaryref2!R113,IF(AK266=summaryref2!B127,summaryref2!R127,IF(AK266=summaryref2!B141,summaryref2!R141,"")))))))))))</f>
        <v>#REF!</v>
      </c>
      <c r="BC266" s="1110" t="e">
        <f>IF('A-80 DirEntInv'!#REF!&lt;&gt;0,'A-80 DirEntInv'!#REF!,IF(AK266=summaryref2!$B$12,summaryref2!$S$12,IF(Summary!AK266=summaryref2!$B$26,summaryref2!$S$26,IF(AK266=summaryref2!$B$40,summaryref2!$S$40,IF(AK266=summaryref2!$B$54,summaryref2!$S$54,IF(AK266=summaryref2!$B$68,summaryref2!$S$68,IF(AK266=summaryref2!$B$82,summaryref2!$S$82,IF(AK266=summaryref2!$B$96,summaryref2!$S$96,IF(AK266=summaryref2!$B$110,summaryref2!$S$110,IF(AK266=summaryref2!$B$124,summaryref2!$S$124,IF(AK266=summaryref2!$B$138,summaryref2!$S$138,"")))))))))))</f>
        <v>#REF!</v>
      </c>
      <c r="BD266" s="1111" t="e">
        <f>IF('A-80 DirEntInv'!#REF!&lt;&gt;"",'A-80 DirEntInv'!#REF!,IF(AK266=summaryref2!$B$12,summaryref2!$T$12,IF(Summary!AK266=summaryref2!$B$26,summaryref2!$T$26,IF(AK266=summaryref2!$B$40,summaryref2!$T$40,IF(AK266=summaryref2!$B$54,summaryref2!$T$54,IF(AK266=summaryref2!$B$68,summaryref2!$T$68,IF(AK266=summaryref2!$B$82,summaryref2!$T$82,IF(AK266=summaryref2!$B$96,summaryref2!$T$96,IF(AK266=summaryref2!$B$110,summaryref2!$T$110,IF(AK266=summaryref2!$B$124,summaryref2!$T$124,IF(AK266=summaryref2!$B$138,summaryref2!$T$138,"")))))))))))</f>
        <v>#REF!</v>
      </c>
      <c r="BE266" s="1184" t="e">
        <f>IF('A-80 DirEntInv'!#REF!&lt;&gt;"",'A-80 DirEntInv'!#REF!,IF(AK266=summaryref2!$B$12,summaryref2!$U$12,IF(Summary!AK266=summaryref2!$B$26,summaryref2!$U$26,IF(AK266=summaryref2!$B$40,summaryref2!$U$40,IF(AK266=summaryref2!$B$54,summaryref2!$U$54,IF(AK266=summaryref2!$B$68,summaryref2!$U$68,IF(AK266=summaryref2!$B$82,summaryref2!$U$82,IF(AK266=summaryref2!$B$96,summaryref2!$U$96,IF(AK266=summaryref2!$B$110,summaryref2!$U$110,IF(AK266=summaryref2!$B$124,summaryref2!$U$124,IF(AK266=summaryref2!$B$138,summaryref2!$U$138,"")))))))))))</f>
        <v>#REF!</v>
      </c>
      <c r="BF266" s="1432"/>
      <c r="BG266" s="1432"/>
      <c r="BU266" s="962"/>
      <c r="CD266" s="589"/>
      <c r="CE266" s="590"/>
      <c r="CF266" s="590"/>
      <c r="CG266" s="590"/>
      <c r="CH266" s="590"/>
      <c r="CI266" s="590"/>
      <c r="CJ266" s="589"/>
      <c r="CK266" s="589"/>
      <c r="CL266" s="589"/>
      <c r="CM266" s="587"/>
      <c r="CN266" s="587"/>
      <c r="CO266" s="589"/>
      <c r="CP266" s="587"/>
      <c r="CQ266" s="592"/>
      <c r="CR266" s="589"/>
      <c r="CS266" s="592"/>
      <c r="CT266" s="589"/>
      <c r="CU266" s="589"/>
      <c r="CV266" s="589"/>
      <c r="CW266" s="587"/>
      <c r="CX266" s="590"/>
      <c r="CY266" s="590"/>
      <c r="CZ266" s="590"/>
      <c r="DA266" s="1054"/>
      <c r="DB266" s="1054"/>
      <c r="DC266" s="587"/>
      <c r="DD266" s="587"/>
    </row>
    <row r="267" spans="1:108" s="588" customFormat="1" x14ac:dyDescent="0.2">
      <c r="A267" s="589">
        <f t="shared" si="3"/>
        <v>257</v>
      </c>
      <c r="B267" s="587"/>
      <c r="C267" s="587"/>
      <c r="D267" s="587"/>
      <c r="J267" s="589"/>
      <c r="K267" s="590"/>
      <c r="L267" s="591"/>
      <c r="M267" s="592"/>
      <c r="N267" s="589"/>
      <c r="O267" s="587"/>
      <c r="R267" s="1052"/>
      <c r="S267" s="1052"/>
      <c r="T267" s="1052"/>
      <c r="U267" s="1052"/>
      <c r="V267" s="1052"/>
      <c r="W267" s="1053"/>
      <c r="X267" s="1053"/>
      <c r="Y267" s="1053"/>
      <c r="Z267" s="1052"/>
      <c r="AA267" s="1052"/>
      <c r="AB267" s="962"/>
      <c r="AC267" s="590"/>
      <c r="AD267" s="590"/>
      <c r="AE267" s="591"/>
      <c r="AF267" s="592"/>
      <c r="AG267" s="1053"/>
      <c r="AH267" s="587"/>
      <c r="AK267" s="1041" t="str">
        <f>Codes!$C$174</f>
        <v>YR - Hybrid Rail (PT)</v>
      </c>
      <c r="AL267" s="1042" t="str">
        <f>Valid!$B$75</f>
        <v>Elevated/Steel Viaduct or Bridge</v>
      </c>
      <c r="AM267" s="1108" t="e">
        <f>IF('A-80 DirEntInv'!#REF!&lt;&gt;"",'A-80 DirEntInv'!#REF!,IF(AK267=summaryref2!$B$12,summaryref2!$D$12,IF(Summary!AK267=summaryref2!$B$26,summaryref2!$D$26,IF(AK267=summaryref2!$B$40,summaryref2!$D$40,IF(AK267=summaryref2!$B$54,summaryref2!$D$54,IF(AK267=summaryref2!$B$68,summaryref2!$D$68,IF(AK267=summaryref2!$B$82,summaryref2!$D$82,IF(AK267=summaryref2!$B$96,summaryref2!$D$96,IF(AK267=summaryref2!$B$110,summaryref2!$D$110,IF(AK267=summaryref2!$B$124,summaryref2!$D$124,IF(AK267=summaryref2!$B$138,summaryref2!$D$138,"")))))))))))</f>
        <v>#REF!</v>
      </c>
      <c r="AN267" s="1109" t="e">
        <f ca="1">IF('A-80 DirEntInv'!#REF!&lt;&gt;"",'A-80 DirEntInv'!#REF!,IF(INDIRECT(ADDRESS(SumRef!CG337,SumRef!CG$16,,,SumRef!$C$7))="","",INDIRECT(ADDRESS(SumRef!CG337,SumRef!CG$16,,,SumRef!$C$7))))</f>
        <v>#REF!</v>
      </c>
      <c r="AO267" s="1108" t="e">
        <f>IF('A-80 DirEntInv'!#REF!&lt;&gt;"",'A-80 DirEntInv'!#REF!,IF(AK267=summaryref2!B16,summaryref2!F16,IF(Summary!AK267=summaryref2!B30,summaryref2!F30,IF(AK267=summaryref2!B44,summaryref2!F44,IF(AK267=summaryref2!B58,summaryref2!F58,IF(AK267=summaryref2!B72,summaryref2!F72,IF(AK267=summaryref2!B86,summaryref2!F86,IF(AK267=summaryref2!B100,summaryref2!F100,IF(AK267=summaryref2!B114,summaryref2!F114,IF(AK267=summaryref2!B128,summaryref2!F128,IF(AK267=summaryref2!B142,summaryref2!F142,"")))))))))))</f>
        <v>#REF!</v>
      </c>
      <c r="AP267" s="1109" t="e">
        <f ca="1">IF('A-80 DirEntInv'!#REF!&lt;&gt;"",'A-80 DirEntInv'!#REF!,IF(INDIRECT(ADDRESS(SumRef!#REF!,SumRef!#REF!,,,SumRef!$C$7))="","",INDIRECT(ADDRESS(SumRef!#REF!,SumRef!#REF!,,,SumRef!$C$7))))</f>
        <v>#REF!</v>
      </c>
      <c r="AQ267" s="1174" t="e">
        <f>IF('A-80 DirEntInv'!#REF!&lt;&gt;"",'A-80 DirEntInv'!#REF!,IF(AK267=summaryref2!B16,summaryref2!G16,IF(Summary!AK267=summaryref2!B30,summaryref2!G30,IF(AK267=summaryref2!B44,summaryref2!G44,IF(AK267=summaryref2!B58,summaryref2!G58,IF(AK267=summaryref2!B72,summaryref2!G72,IF(AK267=summaryref2!B86,summaryref2!G86,IF(AK267=summaryref2!B100,summaryref2!G100,IF(AK267=summaryref2!B114,summaryref2!G114,IF(AK267=summaryref2!B128,summaryref2!G128,IF(AK267=summaryref2!B142,summaryref2!G142,"")))))))))))</f>
        <v>#REF!</v>
      </c>
      <c r="AR267" s="1147" t="e">
        <f>IF('A-80 DirEntInv'!#REF!&lt;&gt;"",'A-80 DirEntInv'!#REF!,IF(AK267=summaryref2!B16,summaryref2!H16,IF(Summary!AK267=summaryref2!B30,summaryref2!H30,IF(AK267=summaryref2!B44,summaryref2!H44,IF(AK267=summaryref2!B58,summaryref2!H58,IF(AK267=summaryref2!B72,summaryref2!H72,IF(AK267=summaryref2!B86,summaryref2!H86,IF(AK267=summaryref2!B100,summaryref2!H100,IF(AK267=summaryref2!B114,summaryref2!H114,IF(AK267=summaryref2!B128,summaryref2!H128,IF(AK267=summaryref2!B142,summaryref2!H142,"")))))))))))</f>
        <v>#REF!</v>
      </c>
      <c r="AS267" s="1110" t="e">
        <f>IF('A-80 DirEntInv'!#REF!&lt;&gt;"",'A-80 DirEntInv'!#REF!,IF(AK267=summaryref2!B16,summaryref2!I16,IF(Summary!AK267=summaryref2!B30,summaryref2!I30,IF(AK267=summaryref2!B44,summaryref2!I44,IF(AK267=summaryref2!B58,summaryref2!I58,IF(AK267=summaryref2!B72,summaryref2!I72,IF(AK267=summaryref2!B86,summaryref2!I86,IF(AK267=summaryref2!B100,summaryref2!I100,IF(AK267=summaryref2!B114,summaryref2!I114,IF(AK267=summaryref2!B128,summaryref2!I128,IF(AK267=summaryref2!B142,summaryref2!I142,"")))))))))))</f>
        <v>#REF!</v>
      </c>
      <c r="AT267" s="1110" t="e">
        <f>IF('A-80 DirEntInv'!#REF!&lt;&gt;"",'A-80 DirEntInv'!#REF!,IF(AK267=summaryref2!B16,summaryref2!J16,IF(Summary!AK267=summaryref2!B30,summaryref2!J30,IF(AK267=summaryref2!B44,summaryref2!J44,IF(AK267=summaryref2!B58,summaryref2!J58,IF(AK267=summaryref2!B72,summaryref2!J72,IF(AK267=summaryref2!B86,summaryref2!J86,IF(AK267=summaryref2!B100,summaryref2!J100,IF(AK267=summaryref2!B114,summaryref2!J114,IF(AK267=summaryref2!B128,summaryref2!J128,IF(AK267=summaryref2!B142,summaryref2!J142,"")))))))))))</f>
        <v>#REF!</v>
      </c>
      <c r="AU267" s="1110" t="e">
        <f>IF('A-80 DirEntInv'!#REF!&lt;&gt;"",'A-80 DirEntInv'!#REF!,IF(AK267=summaryref2!B16,summaryref2!K16,IF(Summary!AK267=summaryref2!B30,summaryref2!K30,IF(AK267=summaryref2!B44,summaryref2!K44,IF(AK267=summaryref2!B58,summaryref2!K58,IF(AK267=summaryref2!B72,summaryref2!K72,IF(AK267=summaryref2!B86,summaryref2!K86,IF(AK267=summaryref2!B100,summaryref2!K100,IF(AK267=summaryref2!B114,summaryref2!K114,IF(AK267=summaryref2!B128,summaryref2!K128,IF(AK267=summaryref2!B142,summaryref2!K142,"")))))))))))</f>
        <v>#REF!</v>
      </c>
      <c r="AV267" s="1110" t="e">
        <f>IF('A-80 DirEntInv'!#REF!&lt;&gt;"",'A-80 DirEntInv'!#REF!,IF(AK267=summaryref2!B16,summaryref2!L16,IF(Summary!AK267=summaryref2!B30,summaryref2!L30,IF(AK267=summaryref2!B44,summaryref2!L44,IF(AK267=summaryref2!B58,summaryref2!L58,IF(AK267=summaryref2!B72,summaryref2!L72,IF(AK267=summaryref2!B86,summaryref2!L86,IF(AK267=summaryref2!B100,summaryref2!L100,IF(AK267=summaryref2!B114,summaryref2!L114,IF(AK267=summaryref2!B128,summaryref2!L128,IF(AK267=summaryref2!B142,summaryref2!L142,"")))))))))))</f>
        <v>#REF!</v>
      </c>
      <c r="AW267" s="1110" t="e">
        <f>IF('A-80 DirEntInv'!#REF!&lt;&gt;"",'A-80 DirEntInv'!#REF!,IF(AK267=summaryref2!B16,summaryref2!M16,IF(Summary!AK267=summaryref2!B30,summaryref2!M30,IF(AK267=summaryref2!B44,summaryref2!M44,IF(AK267=summaryref2!B58,summaryref2!M58,IF(AK267=summaryref2!B72,summaryref2!M72,IF(AK267=summaryref2!B86,summaryref2!M86,IF(AK267=summaryref2!B100,summaryref2!M100,IF(AK267=summaryref2!B114,summaryref2!M114,IF(AK267=summaryref2!B128,summaryref2!M128,IF(AK267=summaryref2!B142,summaryref2!M142,"")))))))))))</f>
        <v>#REF!</v>
      </c>
      <c r="AX267" s="1110" t="e">
        <f>IF('A-80 DirEntInv'!#REF!&lt;&gt;"",'A-80 DirEntInv'!#REF!,IF(AK267=summaryref2!B16,summaryref2!N16,IF(Summary!AK267=summaryref2!B30,summaryref2!N30,IF(AK267=summaryref2!B44,summaryref2!N44,IF(AK267=summaryref2!B58,summaryref2!N58,IF(AK267=summaryref2!B72,summaryref2!N72,IF(AK267=summaryref2!B86,summaryref2!N86,IF(AK267=summaryref2!B100,summaryref2!N100,IF(AK267=summaryref2!B114,summaryref2!N114,IF(AK267=summaryref2!B128,summaryref2!N128,IF(AK267=summaryref2!B142,summaryref2!N142,"")))))))))))</f>
        <v>#REF!</v>
      </c>
      <c r="AY267" s="1110" t="e">
        <f>IF('A-80 DirEntInv'!#REF!&lt;&gt;"",'A-80 DirEntInv'!#REF!,IF(AK267=summaryref2!B16,summaryref2!O16,IF(Summary!AK267=summaryref2!B30,summaryref2!O30,IF(AK267=summaryref2!B44,summaryref2!O44,IF(AK267=summaryref2!B58,summaryref2!O58,IF(AK267=summaryref2!B72,summaryref2!O72,IF(AK267=summaryref2!B86,summaryref2!O86,IF(AK267=summaryref2!B100,summaryref2!O100,IF(AK267=summaryref2!B114,summaryref2!O114,IF(AK267=summaryref2!B128,summaryref2!O128,IF(AK267=summaryref2!B142,summaryref2!O142,"")))))))))))</f>
        <v>#REF!</v>
      </c>
      <c r="AZ267" s="1110" t="e">
        <f>IF('A-80 DirEntInv'!#REF!&lt;&gt;"",'A-80 DirEntInv'!#REF!,IF(AK267=summaryref2!B16,summaryref2!P16,IF(Summary!AK267=summaryref2!B30,summaryref2!P30,IF(AK267=summaryref2!B44,summaryref2!P44,IF(AK267=summaryref2!B58,summaryref2!P58,IF(AK267=summaryref2!B72,summaryref2!P72,IF(AK267=summaryref2!B86,summaryref2!P86,IF(AK267=summaryref2!B100,summaryref2!P100,IF(AK267=summaryref2!B114,summaryref2!P114,IF(AK267=summaryref2!B128,summaryref2!P128,IF(AK267=summaryref2!B142,summaryref2!P142,"")))))))))))</f>
        <v>#REF!</v>
      </c>
      <c r="BA267" s="1110" t="e">
        <f>IF('A-80 DirEntInv'!#REF!&lt;&gt;"",'A-80 DirEntInv'!#REF!,IF(AK267=summaryref2!B16,summaryref2!Q16,IF(Summary!AK267=summaryref2!B30,summaryref2!Q30,IF(AK267=summaryref2!B44,summaryref2!Q44,IF(AK267=summaryref2!B58,summaryref2!Q58,IF(AK267=summaryref2!B72,summaryref2!Q72,IF(AK267=summaryref2!B86,summaryref2!Q86,IF(AK267=summaryref2!B100,summaryref2!Q100,IF(AK267=summaryref2!B114,summaryref2!Q114,IF(AK267=summaryref2!B128,summaryref2!Q128,IF(AK267=summaryref2!B142,summaryref2!Q142,"")))))))))))</f>
        <v>#REF!</v>
      </c>
      <c r="BB267" s="1110" t="e">
        <f>IF('A-80 DirEntInv'!#REF!&lt;&gt;"",'A-80 DirEntInv'!#REF!,IF(AK267=summaryref2!B16,summaryref2!R16,IF(Summary!AK267=summaryref2!B30,summaryref2!R30,IF(AK267=summaryref2!B44,summaryref2!R44,IF(AK267=summaryref2!B58,summaryref2!R58,IF(AK267=summaryref2!B72,summaryref2!R72,IF(AK267=summaryref2!B86,summaryref2!R86,IF(AK267=summaryref2!B100,summaryref2!R100,IF(AK267=summaryref2!B114,summaryref2!R114,IF(AK267=summaryref2!B128,summaryref2!R128,IF(AK267=summaryref2!B142,summaryref2!R142,"")))))))))))</f>
        <v>#REF!</v>
      </c>
      <c r="BC267" s="1110" t="e">
        <f>IF('A-80 DirEntInv'!#REF!&lt;&gt;0,'A-80 DirEntInv'!#REF!,IF(AK267=summaryref2!$B$12,summaryref2!$S$12,IF(Summary!AK267=summaryref2!$B$26,summaryref2!$S$26,IF(AK267=summaryref2!$B$40,summaryref2!$S$40,IF(AK267=summaryref2!$B$54,summaryref2!$S$54,IF(AK267=summaryref2!$B$68,summaryref2!$S$68,IF(AK267=summaryref2!$B$82,summaryref2!$S$82,IF(AK267=summaryref2!$B$96,summaryref2!$S$96,IF(AK267=summaryref2!$B$110,summaryref2!$S$110,IF(AK267=summaryref2!$B$124,summaryref2!$S$124,IF(AK267=summaryref2!$B$138,summaryref2!$S$138,"")))))))))))</f>
        <v>#REF!</v>
      </c>
      <c r="BD267" s="1111" t="e">
        <f>IF('A-80 DirEntInv'!#REF!&lt;&gt;"",'A-80 DirEntInv'!#REF!,IF(AK267=summaryref2!$B$12,summaryref2!$T$12,IF(Summary!AK267=summaryref2!$B$26,summaryref2!$T$26,IF(AK267=summaryref2!$B$40,summaryref2!$T$40,IF(AK267=summaryref2!$B$54,summaryref2!$T$54,IF(AK267=summaryref2!$B$68,summaryref2!$T$68,IF(AK267=summaryref2!$B$82,summaryref2!$T$82,IF(AK267=summaryref2!$B$96,summaryref2!$T$96,IF(AK267=summaryref2!$B$110,summaryref2!$T$110,IF(AK267=summaryref2!$B$124,summaryref2!$T$124,IF(AK267=summaryref2!$B$138,summaryref2!$T$138,"")))))))))))</f>
        <v>#REF!</v>
      </c>
      <c r="BE267" s="1184" t="e">
        <f>IF('A-80 DirEntInv'!#REF!&lt;&gt;"",'A-80 DirEntInv'!#REF!,IF(AK267=summaryref2!$B$12,summaryref2!$U$12,IF(Summary!AK267=summaryref2!$B$26,summaryref2!$U$26,IF(AK267=summaryref2!$B$40,summaryref2!$U$40,IF(AK267=summaryref2!$B$54,summaryref2!$U$54,IF(AK267=summaryref2!$B$68,summaryref2!$U$68,IF(AK267=summaryref2!$B$82,summaryref2!$U$82,IF(AK267=summaryref2!$B$96,summaryref2!$U$96,IF(AK267=summaryref2!$B$110,summaryref2!$U$110,IF(AK267=summaryref2!$B$124,summaryref2!$U$124,IF(AK267=summaryref2!$B$138,summaryref2!$U$138,"")))))))))))</f>
        <v>#REF!</v>
      </c>
      <c r="BF267" s="1432"/>
      <c r="BG267" s="1432"/>
      <c r="BU267" s="962"/>
      <c r="CD267" s="589"/>
      <c r="CE267" s="590"/>
      <c r="CF267" s="590"/>
      <c r="CG267" s="590"/>
      <c r="CH267" s="590"/>
      <c r="CI267" s="590"/>
      <c r="CJ267" s="589"/>
      <c r="CK267" s="589"/>
      <c r="CL267" s="589"/>
      <c r="CM267" s="587"/>
      <c r="CN267" s="587"/>
      <c r="CO267" s="589"/>
      <c r="CP267" s="587"/>
      <c r="CQ267" s="592"/>
      <c r="CR267" s="589"/>
      <c r="CS267" s="592"/>
      <c r="CT267" s="589"/>
      <c r="CU267" s="589"/>
      <c r="CV267" s="589"/>
      <c r="CW267" s="587"/>
      <c r="CX267" s="590"/>
      <c r="CY267" s="590"/>
      <c r="CZ267" s="590"/>
      <c r="DA267" s="1054"/>
      <c r="DB267" s="1054"/>
      <c r="DC267" s="587"/>
      <c r="DD267" s="587"/>
    </row>
    <row r="268" spans="1:108" s="588" customFormat="1" x14ac:dyDescent="0.2">
      <c r="A268" s="589">
        <f t="shared" si="3"/>
        <v>258</v>
      </c>
      <c r="B268" s="587"/>
      <c r="C268" s="587"/>
      <c r="D268" s="587"/>
      <c r="J268" s="589"/>
      <c r="K268" s="590"/>
      <c r="L268" s="591"/>
      <c r="M268" s="592"/>
      <c r="N268" s="589"/>
      <c r="O268" s="587"/>
      <c r="R268" s="1052"/>
      <c r="S268" s="1052"/>
      <c r="T268" s="1052"/>
      <c r="U268" s="1052"/>
      <c r="V268" s="1052"/>
      <c r="W268" s="1053"/>
      <c r="X268" s="1053"/>
      <c r="Y268" s="1053"/>
      <c r="Z268" s="1052"/>
      <c r="AA268" s="1052"/>
      <c r="AB268" s="962"/>
      <c r="AC268" s="590"/>
      <c r="AD268" s="590"/>
      <c r="AE268" s="591"/>
      <c r="AF268" s="592"/>
      <c r="AG268" s="1053"/>
      <c r="AH268" s="587"/>
      <c r="AK268" s="1041" t="str">
        <f>Codes!$C$174</f>
        <v>YR - Hybrid Rail (PT)</v>
      </c>
      <c r="AL268" s="1042" t="str">
        <f>Valid!$B$76</f>
        <v>Below-Grade/Retained Cut</v>
      </c>
      <c r="AM268" s="1108" t="e">
        <f>IF('A-80 DirEntInv'!#REF!&lt;&gt;"",'A-80 DirEntInv'!#REF!,IF(AK268=summaryref2!$B$12,summaryref2!$D$12,IF(Summary!AK268=summaryref2!$B$26,summaryref2!$D$26,IF(AK268=summaryref2!$B$40,summaryref2!$D$40,IF(AK268=summaryref2!$B$54,summaryref2!$D$54,IF(AK268=summaryref2!$B$68,summaryref2!$D$68,IF(AK268=summaryref2!$B$82,summaryref2!$D$82,IF(AK268=summaryref2!$B$96,summaryref2!$D$96,IF(AK268=summaryref2!$B$110,summaryref2!$D$110,IF(AK268=summaryref2!$B$124,summaryref2!$D$124,IF(AK268=summaryref2!$B$138,summaryref2!$D$138,"")))))))))))</f>
        <v>#REF!</v>
      </c>
      <c r="AN268" s="1109" t="e">
        <f ca="1">IF('A-80 DirEntInv'!#REF!&lt;&gt;"",'A-80 DirEntInv'!#REF!,IF(INDIRECT(ADDRESS(SumRef!CG339,SumRef!CG$16,,,SumRef!$C$7))="","",INDIRECT(ADDRESS(SumRef!CG339,SumRef!CG$16,,,SumRef!$C$7))))</f>
        <v>#REF!</v>
      </c>
      <c r="AO268" s="1108" t="e">
        <f>IF('A-80 DirEntInv'!#REF!&lt;&gt;"",'A-80 DirEntInv'!#REF!,IF(AK268=summaryref2!B17,summaryref2!F17,IF(Summary!AK268=summaryref2!B31,summaryref2!F31,IF(AK268=summaryref2!B45,summaryref2!F45,IF(AK268=summaryref2!B59,summaryref2!F59,IF(AK268=summaryref2!B73,summaryref2!F73,IF(AK268=summaryref2!B87,summaryref2!F87,IF(AK268=summaryref2!B101,summaryref2!F101,IF(AK268=summaryref2!B115,summaryref2!F115,IF(AK268=summaryref2!B129,summaryref2!F129,IF(AK268=summaryref2!B143,summaryref2!F143,"")))))))))))</f>
        <v>#REF!</v>
      </c>
      <c r="AP268" s="1109" t="e">
        <f ca="1">IF('A-80 DirEntInv'!#REF!&lt;&gt;"",'A-80 DirEntInv'!#REF!,IF(INDIRECT(ADDRESS(SumRef!#REF!,SumRef!#REF!,,,SumRef!$C$7))="","",INDIRECT(ADDRESS(SumRef!#REF!,SumRef!#REF!,,,SumRef!$C$7))))</f>
        <v>#REF!</v>
      </c>
      <c r="AQ268" s="1174" t="e">
        <f>IF('A-80 DirEntInv'!#REF!&lt;&gt;"",'A-80 DirEntInv'!#REF!,IF(AK268=summaryref2!B17,summaryref2!G17,IF(Summary!AK268=summaryref2!B31,summaryref2!G31,IF(AK268=summaryref2!B45,summaryref2!G45,IF(AK268=summaryref2!B59,summaryref2!G59,IF(AK268=summaryref2!B73,summaryref2!G73,IF(AK268=summaryref2!B87,summaryref2!G87,IF(AK268=summaryref2!B101,summaryref2!G101,IF(AK268=summaryref2!B115,summaryref2!G115,IF(AK268=summaryref2!B129,summaryref2!G129,IF(AK268=summaryref2!B143,summaryref2!G143,"")))))))))))</f>
        <v>#REF!</v>
      </c>
      <c r="AR268" s="1147" t="e">
        <f>IF('A-80 DirEntInv'!#REF!&lt;&gt;"",'A-80 DirEntInv'!#REF!,IF(AK268=summaryref2!B17,summaryref2!H17,IF(Summary!AK268=summaryref2!B31,summaryref2!H31,IF(AK268=summaryref2!B45,summaryref2!H45,IF(AK268=summaryref2!B59,summaryref2!H59,IF(AK268=summaryref2!B73,summaryref2!H73,IF(AK268=summaryref2!B87,summaryref2!H87,IF(AK268=summaryref2!B101,summaryref2!H101,IF(AK268=summaryref2!B115,summaryref2!H115,IF(AK268=summaryref2!B129,summaryref2!H129,IF(AK268=summaryref2!B143,summaryref2!H143,"")))))))))))</f>
        <v>#REF!</v>
      </c>
      <c r="AS268" s="1110" t="e">
        <f>IF('A-80 DirEntInv'!#REF!&lt;&gt;"",'A-80 DirEntInv'!#REF!,IF(AK268=summaryref2!B17,summaryref2!I17,IF(Summary!AK268=summaryref2!B31,summaryref2!I31,IF(AK268=summaryref2!B45,summaryref2!I45,IF(AK268=summaryref2!B59,summaryref2!I59,IF(AK268=summaryref2!B73,summaryref2!I73,IF(AK268=summaryref2!B87,summaryref2!I87,IF(AK268=summaryref2!B101,summaryref2!I101,IF(AK268=summaryref2!B115,summaryref2!I115,IF(AK268=summaryref2!B129,summaryref2!I129,IF(AK268=summaryref2!B143,summaryref2!I143,"")))))))))))</f>
        <v>#REF!</v>
      </c>
      <c r="AT268" s="1110" t="e">
        <f>IF('A-80 DirEntInv'!#REF!&lt;&gt;"",'A-80 DirEntInv'!#REF!,IF(AK268=summaryref2!B17,summaryref2!J17,IF(Summary!AK268=summaryref2!B31,summaryref2!J31,IF(AK268=summaryref2!B45,summaryref2!J45,IF(AK268=summaryref2!B59,summaryref2!J59,IF(AK268=summaryref2!B73,summaryref2!J73,IF(AK268=summaryref2!B87,summaryref2!J87,IF(AK268=summaryref2!B101,summaryref2!J101,IF(AK268=summaryref2!B115,summaryref2!J115,IF(AK268=summaryref2!B129,summaryref2!J129,IF(AK268=summaryref2!B143,summaryref2!J143,"")))))))))))</f>
        <v>#REF!</v>
      </c>
      <c r="AU268" s="1110" t="e">
        <f>IF('A-80 DirEntInv'!#REF!&lt;&gt;"",'A-80 DirEntInv'!#REF!,IF(AK268=summaryref2!B17,summaryref2!K17,IF(Summary!AK268=summaryref2!B31,summaryref2!K31,IF(AK268=summaryref2!B45,summaryref2!K45,IF(AK268=summaryref2!B59,summaryref2!K59,IF(AK268=summaryref2!B73,summaryref2!K73,IF(AK268=summaryref2!B87,summaryref2!K87,IF(AK268=summaryref2!B101,summaryref2!K101,IF(AK268=summaryref2!B115,summaryref2!K115,IF(AK268=summaryref2!B129,summaryref2!K129,IF(AK268=summaryref2!B143,summaryref2!K143,"")))))))))))</f>
        <v>#REF!</v>
      </c>
      <c r="AV268" s="1110" t="e">
        <f>IF('A-80 DirEntInv'!#REF!&lt;&gt;"",'A-80 DirEntInv'!#REF!,IF(AK268=summaryref2!B17,summaryref2!L17,IF(Summary!AK268=summaryref2!B31,summaryref2!L31,IF(AK268=summaryref2!B45,summaryref2!L45,IF(AK268=summaryref2!B59,summaryref2!L59,IF(AK268=summaryref2!B73,summaryref2!L73,IF(AK268=summaryref2!B87,summaryref2!L87,IF(AK268=summaryref2!B101,summaryref2!L101,IF(AK268=summaryref2!B115,summaryref2!L115,IF(AK268=summaryref2!B129,summaryref2!L129,IF(AK268=summaryref2!B143,summaryref2!L143,"")))))))))))</f>
        <v>#REF!</v>
      </c>
      <c r="AW268" s="1110" t="e">
        <f>IF('A-80 DirEntInv'!#REF!&lt;&gt;"",'A-80 DirEntInv'!#REF!,IF(AK268=summaryref2!B17,summaryref2!M17,IF(Summary!AK268=summaryref2!B31,summaryref2!M31,IF(AK268=summaryref2!B45,summaryref2!M45,IF(AK268=summaryref2!B59,summaryref2!M59,IF(AK268=summaryref2!B73,summaryref2!M73,IF(AK268=summaryref2!B87,summaryref2!M87,IF(AK268=summaryref2!B101,summaryref2!M101,IF(AK268=summaryref2!B115,summaryref2!M115,IF(AK268=summaryref2!B129,summaryref2!M129,IF(AK268=summaryref2!B143,summaryref2!M143,"")))))))))))</f>
        <v>#REF!</v>
      </c>
      <c r="AX268" s="1110" t="e">
        <f>IF('A-80 DirEntInv'!#REF!&lt;&gt;"",'A-80 DirEntInv'!#REF!,IF(AK268=summaryref2!B17,summaryref2!N17,IF(Summary!AK268=summaryref2!B31,summaryref2!N31,IF(AK268=summaryref2!B45,summaryref2!N45,IF(AK268=summaryref2!B59,summaryref2!N59,IF(AK268=summaryref2!B73,summaryref2!N73,IF(AK268=summaryref2!B87,summaryref2!N87,IF(AK268=summaryref2!B101,summaryref2!N101,IF(AK268=summaryref2!B115,summaryref2!N115,IF(AK268=summaryref2!B129,summaryref2!N129,IF(AK268=summaryref2!B143,summaryref2!N143,"")))))))))))</f>
        <v>#REF!</v>
      </c>
      <c r="AY268" s="1110" t="e">
        <f>IF('A-80 DirEntInv'!#REF!&lt;&gt;"",'A-80 DirEntInv'!#REF!,IF(AK268=summaryref2!B17,summaryref2!O17,IF(Summary!AK268=summaryref2!B31,summaryref2!O31,IF(AK268=summaryref2!B45,summaryref2!O45,IF(AK268=summaryref2!B59,summaryref2!O59,IF(AK268=summaryref2!B73,summaryref2!O73,IF(AK268=summaryref2!B87,summaryref2!O87,IF(AK268=summaryref2!B101,summaryref2!O101,IF(AK268=summaryref2!B115,summaryref2!O115,IF(AK268=summaryref2!B129,summaryref2!O129,IF(AK268=summaryref2!B143,summaryref2!O143,"")))))))))))</f>
        <v>#REF!</v>
      </c>
      <c r="AZ268" s="1110" t="e">
        <f>IF('A-80 DirEntInv'!#REF!&lt;&gt;"",'A-80 DirEntInv'!#REF!,IF(AK268=summaryref2!B17,summaryref2!P17,IF(Summary!AK268=summaryref2!B31,summaryref2!P31,IF(AK268=summaryref2!B45,summaryref2!P45,IF(AK268=summaryref2!B59,summaryref2!P59,IF(AK268=summaryref2!B73,summaryref2!P73,IF(AK268=summaryref2!B87,summaryref2!P87,IF(AK268=summaryref2!B101,summaryref2!P101,IF(AK268=summaryref2!B115,summaryref2!P115,IF(AK268=summaryref2!B129,summaryref2!P129,IF(AK268=summaryref2!B143,summaryref2!P143,"")))))))))))</f>
        <v>#REF!</v>
      </c>
      <c r="BA268" s="1110" t="e">
        <f>IF('A-80 DirEntInv'!#REF!&lt;&gt;"",'A-80 DirEntInv'!#REF!,IF(AK268=summaryref2!B17,summaryref2!Q17,IF(Summary!AK268=summaryref2!B31,summaryref2!Q31,IF(AK268=summaryref2!B45,summaryref2!Q45,IF(AK268=summaryref2!B59,summaryref2!Q59,IF(AK268=summaryref2!B73,summaryref2!Q73,IF(AK268=summaryref2!B87,summaryref2!Q87,IF(AK268=summaryref2!B101,summaryref2!Q101,IF(AK268=summaryref2!B115,summaryref2!Q115,IF(AK268=summaryref2!B129,summaryref2!Q129,IF(AK268=summaryref2!B143,summaryref2!Q143,"")))))))))))</f>
        <v>#REF!</v>
      </c>
      <c r="BB268" s="1110" t="e">
        <f>IF('A-80 DirEntInv'!#REF!&lt;&gt;"",'A-80 DirEntInv'!#REF!,IF(AK268=summaryref2!B17,summaryref2!R17,IF(Summary!AK268=summaryref2!B31,summaryref2!R31,IF(AK268=summaryref2!B45,summaryref2!R45,IF(AK268=summaryref2!B59,summaryref2!R59,IF(AK268=summaryref2!B73,summaryref2!R73,IF(AK268=summaryref2!B87,summaryref2!R87,IF(AK268=summaryref2!B101,summaryref2!R101,IF(AK268=summaryref2!B115,summaryref2!R115,IF(AK268=summaryref2!B129,summaryref2!R129,IF(AK268=summaryref2!B143,summaryref2!R143,"")))))))))))</f>
        <v>#REF!</v>
      </c>
      <c r="BC268" s="1110" t="e">
        <f>IF('A-80 DirEntInv'!#REF!&lt;&gt;0,'A-80 DirEntInv'!#REF!,IF(AK268=summaryref2!$B$12,summaryref2!$S$12,IF(Summary!AK268=summaryref2!$B$26,summaryref2!$S$26,IF(AK268=summaryref2!$B$40,summaryref2!$S$40,IF(AK268=summaryref2!$B$54,summaryref2!$S$54,IF(AK268=summaryref2!$B$68,summaryref2!$S$68,IF(AK268=summaryref2!$B$82,summaryref2!$S$82,IF(AK268=summaryref2!$B$96,summaryref2!$S$96,IF(AK268=summaryref2!$B$110,summaryref2!$S$110,IF(AK268=summaryref2!$B$124,summaryref2!$S$124,IF(AK268=summaryref2!$B$138,summaryref2!$S$138,"")))))))))))</f>
        <v>#REF!</v>
      </c>
      <c r="BD268" s="1111" t="e">
        <f>IF('A-80 DirEntInv'!#REF!&lt;&gt;"",'A-80 DirEntInv'!#REF!,IF(AK268=summaryref2!$B$12,summaryref2!$T$12,IF(Summary!AK268=summaryref2!$B$26,summaryref2!$T$26,IF(AK268=summaryref2!$B$40,summaryref2!$T$40,IF(AK268=summaryref2!$B$54,summaryref2!$T$54,IF(AK268=summaryref2!$B$68,summaryref2!$T$68,IF(AK268=summaryref2!$B$82,summaryref2!$T$82,IF(AK268=summaryref2!$B$96,summaryref2!$T$96,IF(AK268=summaryref2!$B$110,summaryref2!$T$110,IF(AK268=summaryref2!$B$124,summaryref2!$T$124,IF(AK268=summaryref2!$B$138,summaryref2!$T$138,"")))))))))))</f>
        <v>#REF!</v>
      </c>
      <c r="BE268" s="1184" t="e">
        <f>IF('A-80 DirEntInv'!#REF!&lt;&gt;"",'A-80 DirEntInv'!#REF!,IF(AK268=summaryref2!$B$12,summaryref2!$U$12,IF(Summary!AK268=summaryref2!$B$26,summaryref2!$U$26,IF(AK268=summaryref2!$B$40,summaryref2!$U$40,IF(AK268=summaryref2!$B$54,summaryref2!$U$54,IF(AK268=summaryref2!$B$68,summaryref2!$U$68,IF(AK268=summaryref2!$B$82,summaryref2!$U$82,IF(AK268=summaryref2!$B$96,summaryref2!$U$96,IF(AK268=summaryref2!$B$110,summaryref2!$U$110,IF(AK268=summaryref2!$B$124,summaryref2!$U$124,IF(AK268=summaryref2!$B$138,summaryref2!$U$138,"")))))))))))</f>
        <v>#REF!</v>
      </c>
      <c r="BF268" s="1432"/>
      <c r="BG268" s="1432"/>
      <c r="BU268" s="962"/>
      <c r="CD268" s="589"/>
      <c r="CE268" s="590"/>
      <c r="CF268" s="590"/>
      <c r="CG268" s="590"/>
      <c r="CH268" s="590"/>
      <c r="CI268" s="590"/>
      <c r="CJ268" s="589"/>
      <c r="CK268" s="589"/>
      <c r="CL268" s="589"/>
      <c r="CM268" s="587"/>
      <c r="CN268" s="587"/>
      <c r="CO268" s="589"/>
      <c r="CP268" s="587"/>
      <c r="CQ268" s="592"/>
      <c r="CR268" s="589"/>
      <c r="CS268" s="592"/>
      <c r="CT268" s="589"/>
      <c r="CU268" s="589"/>
      <c r="CV268" s="589"/>
      <c r="CW268" s="587"/>
      <c r="CX268" s="590"/>
      <c r="CY268" s="590"/>
      <c r="CZ268" s="590"/>
      <c r="DA268" s="1054"/>
      <c r="DB268" s="1054"/>
      <c r="DC268" s="587"/>
      <c r="DD268" s="587"/>
    </row>
    <row r="269" spans="1:108" s="588" customFormat="1" x14ac:dyDescent="0.2">
      <c r="A269" s="589">
        <f t="shared" ref="A269:A315" si="4">A268+1</f>
        <v>259</v>
      </c>
      <c r="B269" s="587"/>
      <c r="C269" s="587"/>
      <c r="D269" s="587"/>
      <c r="J269" s="589"/>
      <c r="K269" s="590"/>
      <c r="L269" s="591"/>
      <c r="M269" s="592"/>
      <c r="N269" s="589"/>
      <c r="O269" s="587"/>
      <c r="R269" s="1052"/>
      <c r="S269" s="1052"/>
      <c r="T269" s="1052"/>
      <c r="U269" s="1052"/>
      <c r="V269" s="1052"/>
      <c r="W269" s="1053"/>
      <c r="X269" s="1053"/>
      <c r="Y269" s="1053"/>
      <c r="Z269" s="1052"/>
      <c r="AA269" s="1052"/>
      <c r="AB269" s="962"/>
      <c r="AC269" s="590"/>
      <c r="AD269" s="590"/>
      <c r="AE269" s="591"/>
      <c r="AF269" s="592"/>
      <c r="AG269" s="1053"/>
      <c r="AH269" s="587"/>
      <c r="AK269" s="1041" t="str">
        <f>Codes!$C$174</f>
        <v>YR - Hybrid Rail (PT)</v>
      </c>
      <c r="AL269" s="1042" t="str">
        <f>Valid!$B$77</f>
        <v>Below-Grade/Cut-and-Cover Tunnel</v>
      </c>
      <c r="AM269" s="1108" t="e">
        <f>IF('A-80 DirEntInv'!#REF!&lt;&gt;"",'A-80 DirEntInv'!#REF!,IF(AK269=summaryref2!$B$12,summaryref2!$D$12,IF(Summary!AK269=summaryref2!$B$26,summaryref2!$D$26,IF(AK269=summaryref2!$B$40,summaryref2!$D$40,IF(AK269=summaryref2!$B$54,summaryref2!$D$54,IF(AK269=summaryref2!$B$68,summaryref2!$D$68,IF(AK269=summaryref2!$B$82,summaryref2!$D$82,IF(AK269=summaryref2!$B$96,summaryref2!$D$96,IF(AK269=summaryref2!$B$110,summaryref2!$D$110,IF(AK269=summaryref2!$B$124,summaryref2!$D$124,IF(AK269=summaryref2!$B$138,summaryref2!$D$138,"")))))))))))</f>
        <v>#REF!</v>
      </c>
      <c r="AN269" s="1109" t="e">
        <f ca="1">IF('A-80 DirEntInv'!#REF!&lt;&gt;"",'A-80 DirEntInv'!#REF!,IF(INDIRECT(ADDRESS(SumRef!CG340,SumRef!CG$16,,,SumRef!$C$7))="","",INDIRECT(ADDRESS(SumRef!CG340,SumRef!CG$16,,,SumRef!$C$7))))</f>
        <v>#REF!</v>
      </c>
      <c r="AO269" s="1108" t="e">
        <f>IF('A-80 DirEntInv'!#REF!&lt;&gt;"",'A-80 DirEntInv'!#REF!,IF(AK269=summaryref2!B18,summaryref2!F18,IF(Summary!AK269=summaryref2!B32,summaryref2!F32,IF(AK269=summaryref2!B46,summaryref2!F46,IF(AK269=summaryref2!B60,summaryref2!F60,IF(AK269=summaryref2!B74,summaryref2!F74,IF(AK269=summaryref2!B88,summaryref2!F88,IF(AK269=summaryref2!B102,summaryref2!F102,IF(AK269=summaryref2!B116,summaryref2!F116,IF(AK269=summaryref2!B130,summaryref2!F130,IF(AK269=summaryref2!B144,summaryref2!F144,"")))))))))))</f>
        <v>#REF!</v>
      </c>
      <c r="AP269" s="1109" t="e">
        <f ca="1">IF('A-80 DirEntInv'!#REF!&lt;&gt;"",'A-80 DirEntInv'!#REF!,IF(INDIRECT(ADDRESS(SumRef!#REF!,SumRef!#REF!,,,SumRef!$C$7))="","",INDIRECT(ADDRESS(SumRef!#REF!,SumRef!#REF!,,,SumRef!$C$7))))</f>
        <v>#REF!</v>
      </c>
      <c r="AQ269" s="1174" t="e">
        <f>IF('A-80 DirEntInv'!#REF!&lt;&gt;"",'A-80 DirEntInv'!#REF!,IF(AK269=summaryref2!B18,summaryref2!G18,IF(Summary!AK269=summaryref2!B32,summaryref2!G32,IF(AK269=summaryref2!B46,summaryref2!G46,IF(AK269=summaryref2!B60,summaryref2!G60,IF(AK269=summaryref2!B74,summaryref2!G74,IF(AK269=summaryref2!B88,summaryref2!G88,IF(AK269=summaryref2!B102,summaryref2!G102,IF(AK269=summaryref2!B116,summaryref2!G116,IF(AK269=summaryref2!B130,summaryref2!G130,IF(AK269=summaryref2!B144,summaryref2!G144,"")))))))))))</f>
        <v>#REF!</v>
      </c>
      <c r="AR269" s="1147" t="e">
        <f>IF('A-80 DirEntInv'!#REF!&lt;&gt;"",'A-80 DirEntInv'!#REF!,IF(AK269=summaryref2!B18,summaryref2!H18,IF(Summary!AK269=summaryref2!B32,summaryref2!H32,IF(AK269=summaryref2!B46,summaryref2!H46,IF(AK269=summaryref2!B60,summaryref2!H60,IF(AK269=summaryref2!B74,summaryref2!H74,IF(AK269=summaryref2!B88,summaryref2!H88,IF(AK269=summaryref2!B102,summaryref2!H102,IF(AK269=summaryref2!B116,summaryref2!H116,IF(AK269=summaryref2!B130,summaryref2!H130,IF(AK269=summaryref2!B144,summaryref2!H144,"")))))))))))</f>
        <v>#REF!</v>
      </c>
      <c r="AS269" s="1110" t="e">
        <f>IF('A-80 DirEntInv'!#REF!&lt;&gt;"",'A-80 DirEntInv'!#REF!,IF(AK269=summaryref2!B18,summaryref2!I18,IF(Summary!AK269=summaryref2!B32,summaryref2!I32,IF(AK269=summaryref2!B46,summaryref2!I46,IF(AK269=summaryref2!B60,summaryref2!I60,IF(AK269=summaryref2!B74,summaryref2!I74,IF(AK269=summaryref2!B88,summaryref2!I88,IF(AK269=summaryref2!B102,summaryref2!I102,IF(AK269=summaryref2!B116,summaryref2!I116,IF(AK269=summaryref2!B130,summaryref2!I130,IF(AK269=summaryref2!B144,summaryref2!I144,"")))))))))))</f>
        <v>#REF!</v>
      </c>
      <c r="AT269" s="1110" t="e">
        <f>IF('A-80 DirEntInv'!#REF!&lt;&gt;"",'A-80 DirEntInv'!#REF!,IF(AK269=summaryref2!B18,summaryref2!J18,IF(Summary!AK269=summaryref2!B32,summaryref2!J32,IF(AK269=summaryref2!B46,summaryref2!J46,IF(AK269=summaryref2!B60,summaryref2!J60,IF(AK269=summaryref2!B74,summaryref2!J74,IF(AK269=summaryref2!B88,summaryref2!J88,IF(AK269=summaryref2!B102,summaryref2!J102,IF(AK269=summaryref2!B116,summaryref2!J116,IF(AK269=summaryref2!B130,summaryref2!J130,IF(AK269=summaryref2!B144,summaryref2!J144,"")))))))))))</f>
        <v>#REF!</v>
      </c>
      <c r="AU269" s="1110" t="e">
        <f>IF('A-80 DirEntInv'!#REF!&lt;&gt;"",'A-80 DirEntInv'!#REF!,IF(AK269=summaryref2!B18,summaryref2!K18,IF(Summary!AK269=summaryref2!B32,summaryref2!K32,IF(AK269=summaryref2!B46,summaryref2!K46,IF(AK269=summaryref2!B60,summaryref2!K60,IF(AK269=summaryref2!B74,summaryref2!K74,IF(AK269=summaryref2!B88,summaryref2!K88,IF(AK269=summaryref2!B102,summaryref2!K102,IF(AK269=summaryref2!B116,summaryref2!K116,IF(AK269=summaryref2!B130,summaryref2!K130,IF(AK269=summaryref2!B144,summaryref2!K144,"")))))))))))</f>
        <v>#REF!</v>
      </c>
      <c r="AV269" s="1110" t="e">
        <f>IF('A-80 DirEntInv'!#REF!&lt;&gt;"",'A-80 DirEntInv'!#REF!,IF(AK269=summaryref2!B18,summaryref2!L18,IF(Summary!AK269=summaryref2!B32,summaryref2!L32,IF(AK269=summaryref2!B46,summaryref2!L46,IF(AK269=summaryref2!B60,summaryref2!L60,IF(AK269=summaryref2!B74,summaryref2!L74,IF(AK269=summaryref2!B88,summaryref2!L88,IF(AK269=summaryref2!B102,summaryref2!L102,IF(AK269=summaryref2!B116,summaryref2!L116,IF(AK269=summaryref2!B130,summaryref2!L130,IF(AK269=summaryref2!B144,summaryref2!L144,"")))))))))))</f>
        <v>#REF!</v>
      </c>
      <c r="AW269" s="1110" t="e">
        <f>IF('A-80 DirEntInv'!#REF!&lt;&gt;"",'A-80 DirEntInv'!#REF!,IF(AK269=summaryref2!B18,summaryref2!M18,IF(Summary!AK269=summaryref2!B32,summaryref2!M32,IF(AK269=summaryref2!B46,summaryref2!M46,IF(AK269=summaryref2!B60,summaryref2!M60,IF(AK269=summaryref2!B74,summaryref2!M74,IF(AK269=summaryref2!B88,summaryref2!M88,IF(AK269=summaryref2!B102,summaryref2!M102,IF(AK269=summaryref2!B116,summaryref2!M116,IF(AK269=summaryref2!B130,summaryref2!M130,IF(AK269=summaryref2!B144,summaryref2!M144,"")))))))))))</f>
        <v>#REF!</v>
      </c>
      <c r="AX269" s="1110" t="e">
        <f>IF('A-80 DirEntInv'!#REF!&lt;&gt;"",'A-80 DirEntInv'!#REF!,IF(AK269=summaryref2!B18,summaryref2!N18,IF(Summary!AK269=summaryref2!B32,summaryref2!N32,IF(AK269=summaryref2!B46,summaryref2!N46,IF(AK269=summaryref2!B60,summaryref2!N60,IF(AK269=summaryref2!B74,summaryref2!N74,IF(AK269=summaryref2!B88,summaryref2!N88,IF(AK269=summaryref2!B102,summaryref2!N102,IF(AK269=summaryref2!B116,summaryref2!N116,IF(AK269=summaryref2!B130,summaryref2!N130,IF(AK269=summaryref2!B144,summaryref2!N144,"")))))))))))</f>
        <v>#REF!</v>
      </c>
      <c r="AY269" s="1110" t="e">
        <f>IF('A-80 DirEntInv'!#REF!&lt;&gt;"",'A-80 DirEntInv'!#REF!,IF(AK269=summaryref2!B18,summaryref2!O18,IF(Summary!AK269=summaryref2!B32,summaryref2!O32,IF(AK269=summaryref2!B46,summaryref2!O46,IF(AK269=summaryref2!B60,summaryref2!O60,IF(AK269=summaryref2!B74,summaryref2!O74,IF(AK269=summaryref2!B88,summaryref2!O88,IF(AK269=summaryref2!B102,summaryref2!O102,IF(AK269=summaryref2!B116,summaryref2!O116,IF(AK269=summaryref2!B130,summaryref2!O130,IF(AK269=summaryref2!B144,summaryref2!O144,"")))))))))))</f>
        <v>#REF!</v>
      </c>
      <c r="AZ269" s="1110" t="e">
        <f>IF('A-80 DirEntInv'!#REF!&lt;&gt;"",'A-80 DirEntInv'!#REF!,IF(AK269=summaryref2!B18,summaryref2!P18,IF(Summary!AK269=summaryref2!B32,summaryref2!P32,IF(AK269=summaryref2!B46,summaryref2!P46,IF(AK269=summaryref2!B60,summaryref2!P60,IF(AK269=summaryref2!B74,summaryref2!P74,IF(AK269=summaryref2!B88,summaryref2!P88,IF(AK269=summaryref2!B102,summaryref2!P102,IF(AK269=summaryref2!B116,summaryref2!P116,IF(AK269=summaryref2!B130,summaryref2!P130,IF(AK269=summaryref2!B144,summaryref2!P144,"")))))))))))</f>
        <v>#REF!</v>
      </c>
      <c r="BA269" s="1110" t="e">
        <f>IF('A-80 DirEntInv'!#REF!&lt;&gt;"",'A-80 DirEntInv'!#REF!,IF(AK269=summaryref2!B18,summaryref2!Q18,IF(Summary!AK269=summaryref2!B32,summaryref2!Q32,IF(AK269=summaryref2!B46,summaryref2!Q46,IF(AK269=summaryref2!B60,summaryref2!Q60,IF(AK269=summaryref2!B74,summaryref2!Q74,IF(AK269=summaryref2!B88,summaryref2!Q88,IF(AK269=summaryref2!B102,summaryref2!Q102,IF(AK269=summaryref2!B116,summaryref2!Q116,IF(AK269=summaryref2!B130,summaryref2!Q130,IF(AK269=summaryref2!B144,summaryref2!Q144,"")))))))))))</f>
        <v>#REF!</v>
      </c>
      <c r="BB269" s="1110" t="e">
        <f>IF('A-80 DirEntInv'!#REF!&lt;&gt;"",'A-80 DirEntInv'!#REF!,IF(AK269=summaryref2!B18,summaryref2!R18,IF(Summary!AK269=summaryref2!B32,summaryref2!R32,IF(AK269=summaryref2!B46,summaryref2!R46,IF(AK269=summaryref2!B60,summaryref2!R60,IF(AK269=summaryref2!B74,summaryref2!R74,IF(AK269=summaryref2!B88,summaryref2!R88,IF(AK269=summaryref2!B102,summaryref2!R102,IF(AK269=summaryref2!B116,summaryref2!R116,IF(AK269=summaryref2!B130,summaryref2!R130,IF(AK269=summaryref2!B144,summaryref2!R144,"")))))))))))</f>
        <v>#REF!</v>
      </c>
      <c r="BC269" s="1110" t="e">
        <f>IF('A-80 DirEntInv'!#REF!&lt;&gt;0,'A-80 DirEntInv'!#REF!,IF(AK269=summaryref2!$B$12,summaryref2!$S$12,IF(Summary!AK269=summaryref2!$B$26,summaryref2!$S$26,IF(AK269=summaryref2!$B$40,summaryref2!$S$40,IF(AK269=summaryref2!$B$54,summaryref2!$S$54,IF(AK269=summaryref2!$B$68,summaryref2!$S$68,IF(AK269=summaryref2!$B$82,summaryref2!$S$82,IF(AK269=summaryref2!$B$96,summaryref2!$S$96,IF(AK269=summaryref2!$B$110,summaryref2!$S$110,IF(AK269=summaryref2!$B$124,summaryref2!$S$124,IF(AK269=summaryref2!$B$138,summaryref2!$S$138,"")))))))))))</f>
        <v>#REF!</v>
      </c>
      <c r="BD269" s="1111" t="e">
        <f>IF('A-80 DirEntInv'!#REF!&lt;&gt;"",'A-80 DirEntInv'!#REF!,IF(AK269=summaryref2!$B$12,summaryref2!$T$12,IF(Summary!AK269=summaryref2!$B$26,summaryref2!$T$26,IF(AK269=summaryref2!$B$40,summaryref2!$T$40,IF(AK269=summaryref2!$B$54,summaryref2!$T$54,IF(AK269=summaryref2!$B$68,summaryref2!$T$68,IF(AK269=summaryref2!$B$82,summaryref2!$T$82,IF(AK269=summaryref2!$B$96,summaryref2!$T$96,IF(AK269=summaryref2!$B$110,summaryref2!$T$110,IF(AK269=summaryref2!$B$124,summaryref2!$T$124,IF(AK269=summaryref2!$B$138,summaryref2!$T$138,"")))))))))))</f>
        <v>#REF!</v>
      </c>
      <c r="BE269" s="1184" t="e">
        <f>IF('A-80 DirEntInv'!#REF!&lt;&gt;"",'A-80 DirEntInv'!#REF!,IF(AK269=summaryref2!$B$12,summaryref2!$U$12,IF(Summary!AK269=summaryref2!$B$26,summaryref2!$U$26,IF(AK269=summaryref2!$B$40,summaryref2!$U$40,IF(AK269=summaryref2!$B$54,summaryref2!$U$54,IF(AK269=summaryref2!$B$68,summaryref2!$U$68,IF(AK269=summaryref2!$B$82,summaryref2!$U$82,IF(AK269=summaryref2!$B$96,summaryref2!$U$96,IF(AK269=summaryref2!$B$110,summaryref2!$U$110,IF(AK269=summaryref2!$B$124,summaryref2!$U$124,IF(AK269=summaryref2!$B$138,summaryref2!$U$138,"")))))))))))</f>
        <v>#REF!</v>
      </c>
      <c r="BF269" s="1432"/>
      <c r="BG269" s="1432"/>
      <c r="BU269" s="962"/>
      <c r="CD269" s="589"/>
      <c r="CE269" s="590"/>
      <c r="CF269" s="590"/>
      <c r="CG269" s="590"/>
      <c r="CH269" s="590"/>
      <c r="CI269" s="590"/>
      <c r="CJ269" s="589"/>
      <c r="CK269" s="589"/>
      <c r="CL269" s="589"/>
      <c r="CM269" s="587"/>
      <c r="CN269" s="587"/>
      <c r="CO269" s="589"/>
      <c r="CP269" s="587"/>
      <c r="CQ269" s="592"/>
      <c r="CR269" s="589"/>
      <c r="CS269" s="592"/>
      <c r="CT269" s="589"/>
      <c r="CU269" s="589"/>
      <c r="CV269" s="589"/>
      <c r="CW269" s="587"/>
      <c r="CX269" s="590"/>
      <c r="CY269" s="590"/>
      <c r="CZ269" s="590"/>
      <c r="DA269" s="1054"/>
      <c r="DB269" s="1054"/>
      <c r="DC269" s="587"/>
      <c r="DD269" s="587"/>
    </row>
    <row r="270" spans="1:108" s="588" customFormat="1" x14ac:dyDescent="0.2">
      <c r="A270" s="589">
        <f t="shared" si="4"/>
        <v>260</v>
      </c>
      <c r="B270" s="587"/>
      <c r="C270" s="587"/>
      <c r="D270" s="587"/>
      <c r="J270" s="589"/>
      <c r="K270" s="590"/>
      <c r="L270" s="591"/>
      <c r="M270" s="592"/>
      <c r="N270" s="589"/>
      <c r="O270" s="587"/>
      <c r="R270" s="1052"/>
      <c r="S270" s="1052"/>
      <c r="T270" s="1052"/>
      <c r="U270" s="1052"/>
      <c r="V270" s="1052"/>
      <c r="W270" s="1053"/>
      <c r="X270" s="1053"/>
      <c r="Y270" s="1053"/>
      <c r="Z270" s="1052"/>
      <c r="AA270" s="1052"/>
      <c r="AB270" s="962"/>
      <c r="AC270" s="590"/>
      <c r="AD270" s="590"/>
      <c r="AE270" s="591"/>
      <c r="AF270" s="592"/>
      <c r="AG270" s="1053"/>
      <c r="AH270" s="587"/>
      <c r="AK270" s="1041" t="str">
        <f>Codes!$C$174</f>
        <v>YR - Hybrid Rail (PT)</v>
      </c>
      <c r="AL270" s="1042" t="str">
        <f>Valid!$B$78</f>
        <v>Below-Grade/Bored or Blasted Tunnel</v>
      </c>
      <c r="AM270" s="1108" t="e">
        <f>IF('A-80 DirEntInv'!#REF!&lt;&gt;"",'A-80 DirEntInv'!#REF!,IF(AK270=summaryref2!$B$12,summaryref2!$D$12,IF(Summary!AK270=summaryref2!$B$26,summaryref2!$D$26,IF(AK270=summaryref2!$B$40,summaryref2!$D$40,IF(AK270=summaryref2!$B$54,summaryref2!$D$54,IF(AK270=summaryref2!$B$68,summaryref2!$D$68,IF(AK270=summaryref2!$B$82,summaryref2!$D$82,IF(AK270=summaryref2!$B$96,summaryref2!$D$96,IF(AK270=summaryref2!$B$110,summaryref2!$D$110,IF(AK270=summaryref2!$B$124,summaryref2!$D$124,IF(AK270=summaryref2!$B$138,summaryref2!$D$138,"")))))))))))</f>
        <v>#REF!</v>
      </c>
      <c r="AN270" s="1109" t="e">
        <f ca="1">IF('A-80 DirEntInv'!#REF!&lt;&gt;"",'A-80 DirEntInv'!#REF!,IF(INDIRECT(ADDRESS(SumRef!CG341,SumRef!CG$16,,,SumRef!$C$7))="","",INDIRECT(ADDRESS(SumRef!CG341,SumRef!CG$16,,,SumRef!$C$7))))</f>
        <v>#REF!</v>
      </c>
      <c r="AO270" s="1108" t="e">
        <f>IF('A-80 DirEntInv'!#REF!&lt;&gt;"",'A-80 DirEntInv'!#REF!,IF(AK270=summaryref2!B19,summaryref2!F19,IF(Summary!AK270=summaryref2!B33,summaryref2!F33,IF(AK270=summaryref2!B47,summaryref2!F47,IF(AK270=summaryref2!B61,summaryref2!F61,IF(AK270=summaryref2!B75,summaryref2!F75,IF(AK270=summaryref2!B89,summaryref2!F89,IF(AK270=summaryref2!B103,summaryref2!F103,IF(AK270=summaryref2!B117,summaryref2!F117,IF(AK270=summaryref2!B131,summaryref2!F131,IF(AK270=summaryref2!B145,summaryref2!F145,"")))))))))))</f>
        <v>#REF!</v>
      </c>
      <c r="AP270" s="1109" t="e">
        <f ca="1">IF('A-80 DirEntInv'!#REF!&lt;&gt;"",'A-80 DirEntInv'!#REF!,IF(INDIRECT(ADDRESS(SumRef!#REF!,SumRef!#REF!,,,SumRef!$C$7))="","",INDIRECT(ADDRESS(SumRef!#REF!,SumRef!#REF!,,,SumRef!$C$7))))</f>
        <v>#REF!</v>
      </c>
      <c r="AQ270" s="1174" t="e">
        <f>IF('A-80 DirEntInv'!#REF!&lt;&gt;"",'A-80 DirEntInv'!#REF!,IF(AK270=summaryref2!B19,summaryref2!G19,IF(Summary!AK270=summaryref2!B33,summaryref2!G33,IF(AK270=summaryref2!B47,summaryref2!G47,IF(AK270=summaryref2!B61,summaryref2!G61,IF(AK270=summaryref2!B75,summaryref2!G75,IF(AK270=summaryref2!B89,summaryref2!G89,IF(AK270=summaryref2!B103,summaryref2!G103,IF(AK270=summaryref2!B117,summaryref2!G117,IF(AK270=summaryref2!B131,summaryref2!G131,IF(AK270=summaryref2!B145,summaryref2!G145,"")))))))))))</f>
        <v>#REF!</v>
      </c>
      <c r="AR270" s="1147" t="e">
        <f>IF('A-80 DirEntInv'!#REF!&lt;&gt;"",'A-80 DirEntInv'!#REF!,IF(AK270=summaryref2!B19,summaryref2!H19,IF(Summary!AK270=summaryref2!B33,summaryref2!H33,IF(AK270=summaryref2!B47,summaryref2!H47,IF(AK270=summaryref2!B61,summaryref2!H61,IF(AK270=summaryref2!B75,summaryref2!H75,IF(AK270=summaryref2!B89,summaryref2!H89,IF(AK270=summaryref2!B103,summaryref2!H103,IF(AK270=summaryref2!B117,summaryref2!H117,IF(AK270=summaryref2!B131,summaryref2!H131,IF(AK270=summaryref2!B145,summaryref2!H145,"")))))))))))</f>
        <v>#REF!</v>
      </c>
      <c r="AS270" s="1110" t="e">
        <f>IF('A-80 DirEntInv'!#REF!&lt;&gt;"",'A-80 DirEntInv'!#REF!,IF(AK270=summaryref2!B19,summaryref2!I19,IF(Summary!AK270=summaryref2!B33,summaryref2!I33,IF(AK270=summaryref2!B47,summaryref2!I47,IF(AK270=summaryref2!B61,summaryref2!I61,IF(AK270=summaryref2!B75,summaryref2!I75,IF(AK270=summaryref2!B89,summaryref2!I89,IF(AK270=summaryref2!B103,summaryref2!I103,IF(AK270=summaryref2!B117,summaryref2!I117,IF(AK270=summaryref2!B131,summaryref2!I131,IF(AK270=summaryref2!B145,summaryref2!I145,"")))))))))))</f>
        <v>#REF!</v>
      </c>
      <c r="AT270" s="1110" t="e">
        <f>IF('A-80 DirEntInv'!#REF!&lt;&gt;"",'A-80 DirEntInv'!#REF!,IF(AK270=summaryref2!B19,summaryref2!J19,IF(Summary!AK270=summaryref2!B33,summaryref2!J33,IF(AK270=summaryref2!B47,summaryref2!J47,IF(AK270=summaryref2!B61,summaryref2!J61,IF(AK270=summaryref2!B75,summaryref2!J75,IF(AK270=summaryref2!B89,summaryref2!J89,IF(AK270=summaryref2!B103,summaryref2!J103,IF(AK270=summaryref2!B117,summaryref2!J117,IF(AK270=summaryref2!B131,summaryref2!J131,IF(AK270=summaryref2!B145,summaryref2!J145,"")))))))))))</f>
        <v>#REF!</v>
      </c>
      <c r="AU270" s="1110" t="e">
        <f>IF('A-80 DirEntInv'!#REF!&lt;&gt;"",'A-80 DirEntInv'!#REF!,IF(AK270=summaryref2!B19,summaryref2!K19,IF(Summary!AK270=summaryref2!B33,summaryref2!K33,IF(AK270=summaryref2!B47,summaryref2!K47,IF(AK270=summaryref2!B61,summaryref2!K61,IF(AK270=summaryref2!B75,summaryref2!K75,IF(AK270=summaryref2!B89,summaryref2!K89,IF(AK270=summaryref2!B103,summaryref2!K103,IF(AK270=summaryref2!B117,summaryref2!K117,IF(AK270=summaryref2!B131,summaryref2!K131,IF(AK270=summaryref2!B145,summaryref2!K145,"")))))))))))</f>
        <v>#REF!</v>
      </c>
      <c r="AV270" s="1110" t="e">
        <f>IF('A-80 DirEntInv'!#REF!&lt;&gt;"",'A-80 DirEntInv'!#REF!,IF(AK270=summaryref2!B19,summaryref2!L19,IF(Summary!AK270=summaryref2!B33,summaryref2!L33,IF(AK270=summaryref2!B47,summaryref2!L47,IF(AK270=summaryref2!B61,summaryref2!L61,IF(AK270=summaryref2!B75,summaryref2!L75,IF(AK270=summaryref2!B89,summaryref2!L89,IF(AK270=summaryref2!B103,summaryref2!L103,IF(AK270=summaryref2!B117,summaryref2!L117,IF(AK270=summaryref2!B131,summaryref2!L131,IF(AK270=summaryref2!B145,summaryref2!L145,"")))))))))))</f>
        <v>#REF!</v>
      </c>
      <c r="AW270" s="1110" t="e">
        <f>IF('A-80 DirEntInv'!#REF!&lt;&gt;"",'A-80 DirEntInv'!#REF!,IF(AK270=summaryref2!B19,summaryref2!M19,IF(Summary!AK270=summaryref2!B33,summaryref2!M33,IF(AK270=summaryref2!B47,summaryref2!M47,IF(AK270=summaryref2!B61,summaryref2!M61,IF(AK270=summaryref2!B75,summaryref2!M75,IF(AK270=summaryref2!B89,summaryref2!M89,IF(AK270=summaryref2!B103,summaryref2!M103,IF(AK270=summaryref2!B117,summaryref2!M117,IF(AK270=summaryref2!B131,summaryref2!M131,IF(AK270=summaryref2!B145,summaryref2!M145,"")))))))))))</f>
        <v>#REF!</v>
      </c>
      <c r="AX270" s="1110" t="e">
        <f>IF('A-80 DirEntInv'!#REF!&lt;&gt;"",'A-80 DirEntInv'!#REF!,IF(AK270=summaryref2!B19,summaryref2!N19,IF(Summary!AK270=summaryref2!B33,summaryref2!N33,IF(AK270=summaryref2!B47,summaryref2!N47,IF(AK270=summaryref2!B61,summaryref2!N61,IF(AK270=summaryref2!B75,summaryref2!N75,IF(AK270=summaryref2!B89,summaryref2!N89,IF(AK270=summaryref2!B103,summaryref2!N103,IF(AK270=summaryref2!B117,summaryref2!N117,IF(AK270=summaryref2!B131,summaryref2!N131,IF(AK270=summaryref2!B145,summaryref2!N145,"")))))))))))</f>
        <v>#REF!</v>
      </c>
      <c r="AY270" s="1110" t="e">
        <f>IF('A-80 DirEntInv'!#REF!&lt;&gt;"",'A-80 DirEntInv'!#REF!,IF(AK270=summaryref2!B19,summaryref2!O19,IF(Summary!AK270=summaryref2!B33,summaryref2!O33,IF(AK270=summaryref2!B47,summaryref2!O47,IF(AK270=summaryref2!B61,summaryref2!O61,IF(AK270=summaryref2!B75,summaryref2!O75,IF(AK270=summaryref2!B89,summaryref2!O89,IF(AK270=summaryref2!B103,summaryref2!O103,IF(AK270=summaryref2!B117,summaryref2!O117,IF(AK270=summaryref2!B131,summaryref2!O131,IF(AK270=summaryref2!B145,summaryref2!O145,"")))))))))))</f>
        <v>#REF!</v>
      </c>
      <c r="AZ270" s="1110" t="e">
        <f>IF('A-80 DirEntInv'!#REF!&lt;&gt;"",'A-80 DirEntInv'!#REF!,IF(AK270=summaryref2!B19,summaryref2!P19,IF(Summary!AK270=summaryref2!B33,summaryref2!P33,IF(AK270=summaryref2!B47,summaryref2!P47,IF(AK270=summaryref2!B61,summaryref2!P61,IF(AK270=summaryref2!B75,summaryref2!P75,IF(AK270=summaryref2!B89,summaryref2!P89,IF(AK270=summaryref2!B103,summaryref2!P103,IF(AK270=summaryref2!B117,summaryref2!P117,IF(AK270=summaryref2!B131,summaryref2!P131,IF(AK270=summaryref2!B145,summaryref2!P145,"")))))))))))</f>
        <v>#REF!</v>
      </c>
      <c r="BA270" s="1110" t="e">
        <f>IF('A-80 DirEntInv'!#REF!&lt;&gt;"",'A-80 DirEntInv'!#REF!,IF(AK270=summaryref2!B19,summaryref2!Q19,IF(Summary!AK270=summaryref2!B33,summaryref2!Q33,IF(AK270=summaryref2!B47,summaryref2!Q47,IF(AK270=summaryref2!B61,summaryref2!Q61,IF(AK270=summaryref2!B75,summaryref2!Q75,IF(AK270=summaryref2!B89,summaryref2!Q89,IF(AK270=summaryref2!B103,summaryref2!Q103,IF(AK270=summaryref2!B117,summaryref2!Q117,IF(AK270=summaryref2!B131,summaryref2!Q131,IF(AK270=summaryref2!B145,summaryref2!Q145,"")))))))))))</f>
        <v>#REF!</v>
      </c>
      <c r="BB270" s="1110" t="e">
        <f>IF('A-80 DirEntInv'!#REF!&lt;&gt;"",'A-80 DirEntInv'!#REF!,IF(AK270=summaryref2!B19,summaryref2!R19,IF(Summary!AK270=summaryref2!B33,summaryref2!R33,IF(AK270=summaryref2!B47,summaryref2!R47,IF(AK270=summaryref2!B61,summaryref2!R61,IF(AK270=summaryref2!B75,summaryref2!R75,IF(AK270=summaryref2!B89,summaryref2!R89,IF(AK270=summaryref2!B103,summaryref2!R103,IF(AK270=summaryref2!B117,summaryref2!R117,IF(AK270=summaryref2!B131,summaryref2!R131,IF(AK270=summaryref2!B145,summaryref2!R145,"")))))))))))</f>
        <v>#REF!</v>
      </c>
      <c r="BC270" s="1110" t="e">
        <f>IF('A-80 DirEntInv'!#REF!&lt;&gt;0,'A-80 DirEntInv'!#REF!,IF(AK270=summaryref2!$B$12,summaryref2!$S$12,IF(Summary!AK270=summaryref2!$B$26,summaryref2!$S$26,IF(AK270=summaryref2!$B$40,summaryref2!$S$40,IF(AK270=summaryref2!$B$54,summaryref2!$S$54,IF(AK270=summaryref2!$B$68,summaryref2!$S$68,IF(AK270=summaryref2!$B$82,summaryref2!$S$82,IF(AK270=summaryref2!$B$96,summaryref2!$S$96,IF(AK270=summaryref2!$B$110,summaryref2!$S$110,IF(AK270=summaryref2!$B$124,summaryref2!$S$124,IF(AK270=summaryref2!$B$138,summaryref2!$S$138,"")))))))))))</f>
        <v>#REF!</v>
      </c>
      <c r="BD270" s="1111" t="e">
        <f>IF('A-80 DirEntInv'!#REF!&lt;&gt;"",'A-80 DirEntInv'!#REF!,IF(AK270=summaryref2!$B$12,summaryref2!$T$12,IF(Summary!AK270=summaryref2!$B$26,summaryref2!$T$26,IF(AK270=summaryref2!$B$40,summaryref2!$T$40,IF(AK270=summaryref2!$B$54,summaryref2!$T$54,IF(AK270=summaryref2!$B$68,summaryref2!$T$68,IF(AK270=summaryref2!$B$82,summaryref2!$T$82,IF(AK270=summaryref2!$B$96,summaryref2!$T$96,IF(AK270=summaryref2!$B$110,summaryref2!$T$110,IF(AK270=summaryref2!$B$124,summaryref2!$T$124,IF(AK270=summaryref2!$B$138,summaryref2!$T$138,"")))))))))))</f>
        <v>#REF!</v>
      </c>
      <c r="BE270" s="1184" t="e">
        <f>IF('A-80 DirEntInv'!#REF!&lt;&gt;"",'A-80 DirEntInv'!#REF!,IF(AK270=summaryref2!$B$12,summaryref2!$U$12,IF(Summary!AK270=summaryref2!$B$26,summaryref2!$U$26,IF(AK270=summaryref2!$B$40,summaryref2!$U$40,IF(AK270=summaryref2!$B$54,summaryref2!$U$54,IF(AK270=summaryref2!$B$68,summaryref2!$U$68,IF(AK270=summaryref2!$B$82,summaryref2!$U$82,IF(AK270=summaryref2!$B$96,summaryref2!$U$96,IF(AK270=summaryref2!$B$110,summaryref2!$U$110,IF(AK270=summaryref2!$B$124,summaryref2!$U$124,IF(AK270=summaryref2!$B$138,summaryref2!$U$138,"")))))))))))</f>
        <v>#REF!</v>
      </c>
      <c r="BF270" s="1432"/>
      <c r="BG270" s="1432"/>
      <c r="BU270" s="962"/>
      <c r="CD270" s="589"/>
      <c r="CE270" s="590"/>
      <c r="CF270" s="590"/>
      <c r="CG270" s="590"/>
      <c r="CH270" s="590"/>
      <c r="CI270" s="590"/>
      <c r="CJ270" s="589"/>
      <c r="CK270" s="589"/>
      <c r="CL270" s="589"/>
      <c r="CM270" s="587"/>
      <c r="CN270" s="587"/>
      <c r="CO270" s="589"/>
      <c r="CP270" s="587"/>
      <c r="CQ270" s="592"/>
      <c r="CR270" s="589"/>
      <c r="CS270" s="592"/>
      <c r="CT270" s="589"/>
      <c r="CU270" s="589"/>
      <c r="CV270" s="589"/>
      <c r="CW270" s="587"/>
      <c r="CX270" s="590"/>
      <c r="CY270" s="590"/>
      <c r="CZ270" s="590"/>
      <c r="DA270" s="1054"/>
      <c r="DB270" s="1054"/>
      <c r="DC270" s="587"/>
      <c r="DD270" s="587"/>
    </row>
    <row r="271" spans="1:108" s="588" customFormat="1" ht="13.5" thickBot="1" x14ac:dyDescent="0.25">
      <c r="A271" s="589">
        <f t="shared" si="4"/>
        <v>261</v>
      </c>
      <c r="B271" s="587"/>
      <c r="C271" s="587"/>
      <c r="D271" s="587"/>
      <c r="J271" s="589"/>
      <c r="K271" s="590"/>
      <c r="L271" s="591"/>
      <c r="M271" s="592"/>
      <c r="N271" s="589"/>
      <c r="O271" s="587"/>
      <c r="R271" s="1052"/>
      <c r="S271" s="1052"/>
      <c r="T271" s="1052"/>
      <c r="U271" s="1052"/>
      <c r="V271" s="1052"/>
      <c r="W271" s="1053"/>
      <c r="X271" s="1053"/>
      <c r="Y271" s="1053"/>
      <c r="Z271" s="1052"/>
      <c r="AA271" s="1052"/>
      <c r="AB271" s="962"/>
      <c r="AC271" s="590"/>
      <c r="AD271" s="590"/>
      <c r="AE271" s="591"/>
      <c r="AF271" s="592"/>
      <c r="AG271" s="1053"/>
      <c r="AH271" s="587"/>
      <c r="AK271" s="1048" t="str">
        <f>Codes!$C$174</f>
        <v>YR - Hybrid Rail (PT)</v>
      </c>
      <c r="AL271" s="1049" t="str">
        <f>Valid!$B$79</f>
        <v>Below-Grade/Submerged Tube</v>
      </c>
      <c r="AM271" s="1119" t="e">
        <f>IF('A-80 DirEntInv'!#REF!&lt;&gt;"",'A-80 DirEntInv'!#REF!,IF(AK271=summaryref2!$B$12,summaryref2!$D$12,IF(Summary!AK271=summaryref2!$B$26,summaryref2!$D$26,IF(AK271=summaryref2!$B$40,summaryref2!$D$40,IF(AK271=summaryref2!$B$54,summaryref2!$D$54,IF(AK271=summaryref2!$B$68,summaryref2!$D$68,IF(AK271=summaryref2!$B$82,summaryref2!$D$82,IF(AK271=summaryref2!$B$96,summaryref2!$D$96,IF(AK271=summaryref2!$B$110,summaryref2!$D$110,IF(AK271=summaryref2!$B$124,summaryref2!$D$124,IF(AK271=summaryref2!$B$138,summaryref2!$D$138,"")))))))))))</f>
        <v>#REF!</v>
      </c>
      <c r="AN271" s="1120" t="e">
        <f ca="1">IF('A-80 DirEntInv'!#REF!&lt;&gt;"",'A-80 DirEntInv'!#REF!,IF(INDIRECT(ADDRESS(SumRef!CG342,SumRef!CG$16,,,SumRef!$C$7))="","",INDIRECT(ADDRESS(SumRef!CG342,SumRef!CG$16,,,SumRef!$C$7))))</f>
        <v>#REF!</v>
      </c>
      <c r="AO271" s="1119" t="e">
        <f>IF('A-80 DirEntInv'!#REF!&lt;&gt;"",'A-80 DirEntInv'!#REF!,IF(AK271=summaryref2!B20,summaryref2!F20,IF(Summary!AK271=summaryref2!B34,summaryref2!F34,IF(AK271=summaryref2!B48,summaryref2!F48,IF(AK271=summaryref2!B62,summaryref2!F62,IF(AK271=summaryref2!B76,summaryref2!F76,IF(AK271=summaryref2!B90,summaryref2!F90,IF(AK271=summaryref2!B104,summaryref2!F104,IF(AK271=summaryref2!B118,summaryref2!F118,IF(AK271=summaryref2!B132,summaryref2!F132,IF(AK271=summaryref2!B146,summaryref2!F146,"")))))))))))</f>
        <v>#REF!</v>
      </c>
      <c r="AP271" s="1120" t="e">
        <f ca="1">IF('A-80 DirEntInv'!#REF!&lt;&gt;"",'A-80 DirEntInv'!#REF!,IF(INDIRECT(ADDRESS(SumRef!#REF!,SumRef!#REF!,,,SumRef!$C$7))="","",INDIRECT(ADDRESS(SumRef!#REF!,SumRef!#REF!,,,SumRef!$C$7))))</f>
        <v>#REF!</v>
      </c>
      <c r="AQ271" s="1175" t="e">
        <f>IF('A-80 DirEntInv'!#REF!&lt;&gt;"",'A-80 DirEntInv'!#REF!,IF(AK271=summaryref2!B20,summaryref2!G20,IF(Summary!AK271=summaryref2!B34,summaryref2!G34,IF(AK271=summaryref2!B48,summaryref2!G48,IF(AK271=summaryref2!B62,summaryref2!G62,IF(AK271=summaryref2!B76,summaryref2!G76,IF(AK271=summaryref2!B90,summaryref2!G90,IF(AK271=summaryref2!B104,summaryref2!G104,IF(AK271=summaryref2!B118,summaryref2!G118,IF(AK271=summaryref2!B132,summaryref2!G132,IF(AK271=summaryref2!B146,summaryref2!G146,"")))))))))))</f>
        <v>#REF!</v>
      </c>
      <c r="AR271" s="1148" t="e">
        <f>IF('A-80 DirEntInv'!#REF!&lt;&gt;"",'A-80 DirEntInv'!#REF!,IF(AK271=summaryref2!B20,summaryref2!H20,IF(Summary!AK271=summaryref2!B34,summaryref2!H34,IF(AK271=summaryref2!B48,summaryref2!H48,IF(AK271=summaryref2!B62,summaryref2!H62,IF(AK271=summaryref2!B76,summaryref2!H76,IF(AK271=summaryref2!B90,summaryref2!H90,IF(AK271=summaryref2!B104,summaryref2!H104,IF(AK271=summaryref2!B118,summaryref2!H118,IF(AK271=summaryref2!B132,summaryref2!H132,IF(AK271=summaryref2!B146,summaryref2!H146,"")))))))))))</f>
        <v>#REF!</v>
      </c>
      <c r="AS271" s="1121" t="e">
        <f>IF('A-80 DirEntInv'!#REF!&lt;&gt;"",'A-80 DirEntInv'!#REF!,IF(AK271=summaryref2!B20,summaryref2!I20,IF(Summary!AK271=summaryref2!B34,summaryref2!I34,IF(AK271=summaryref2!B48,summaryref2!I48,IF(AK271=summaryref2!B62,summaryref2!I62,IF(AK271=summaryref2!B76,summaryref2!I76,IF(AK271=summaryref2!B90,summaryref2!I90,IF(AK271=summaryref2!B104,summaryref2!I104,IF(AK271=summaryref2!B118,summaryref2!I118,IF(AK271=summaryref2!B132,summaryref2!I132,IF(AK271=summaryref2!B146,summaryref2!I146,"")))))))))))</f>
        <v>#REF!</v>
      </c>
      <c r="AT271" s="1121" t="e">
        <f>IF('A-80 DirEntInv'!#REF!&lt;&gt;"",'A-80 DirEntInv'!#REF!,IF(AK271=summaryref2!B20,summaryref2!J20,IF(Summary!AK271=summaryref2!B34,summaryref2!J34,IF(AK271=summaryref2!B48,summaryref2!J48,IF(AK271=summaryref2!B62,summaryref2!J62,IF(AK271=summaryref2!B76,summaryref2!J76,IF(AK271=summaryref2!B90,summaryref2!J90,IF(AK271=summaryref2!B104,summaryref2!J104,IF(AK271=summaryref2!B118,summaryref2!J118,IF(AK271=summaryref2!B132,summaryref2!J132,IF(AK271=summaryref2!B146,summaryref2!J146,"")))))))))))</f>
        <v>#REF!</v>
      </c>
      <c r="AU271" s="1121" t="e">
        <f>IF('A-80 DirEntInv'!#REF!&lt;&gt;"",'A-80 DirEntInv'!#REF!,IF(AK271=summaryref2!B20,summaryref2!K20,IF(Summary!AK271=summaryref2!B34,summaryref2!K34,IF(AK271=summaryref2!B48,summaryref2!K48,IF(AK271=summaryref2!B62,summaryref2!K62,IF(AK271=summaryref2!B76,summaryref2!K76,IF(AK271=summaryref2!B90,summaryref2!K90,IF(AK271=summaryref2!B104,summaryref2!K104,IF(AK271=summaryref2!B118,summaryref2!K118,IF(AK271=summaryref2!B132,summaryref2!K132,IF(AK271=summaryref2!B146,summaryref2!K146,"")))))))))))</f>
        <v>#REF!</v>
      </c>
      <c r="AV271" s="1121" t="e">
        <f>IF('A-80 DirEntInv'!#REF!&lt;&gt;"",'A-80 DirEntInv'!#REF!,IF(AK271=summaryref2!B20,summaryref2!L20,IF(Summary!AK271=summaryref2!B34,summaryref2!L34,IF(AK271=summaryref2!B48,summaryref2!L48,IF(AK271=summaryref2!B62,summaryref2!L62,IF(AK271=summaryref2!B76,summaryref2!L76,IF(AK271=summaryref2!B90,summaryref2!L90,IF(AK271=summaryref2!B104,summaryref2!L104,IF(AK271=summaryref2!B118,summaryref2!L118,IF(AK271=summaryref2!B132,summaryref2!L132,IF(AK271=summaryref2!B146,summaryref2!L146,"")))))))))))</f>
        <v>#REF!</v>
      </c>
      <c r="AW271" s="1121" t="e">
        <f>IF('A-80 DirEntInv'!#REF!&lt;&gt;"",'A-80 DirEntInv'!#REF!,IF(AK271=summaryref2!B20,summaryref2!M20,IF(Summary!AK271=summaryref2!B34,summaryref2!M34,IF(AK271=summaryref2!B48,summaryref2!M48,IF(AK271=summaryref2!B62,summaryref2!M62,IF(AK271=summaryref2!B76,summaryref2!M76,IF(AK271=summaryref2!B90,summaryref2!M90,IF(AK271=summaryref2!B104,summaryref2!M104,IF(AK271=summaryref2!B118,summaryref2!M118,IF(AK271=summaryref2!B132,summaryref2!M132,IF(AK271=summaryref2!B146,summaryref2!M146,"")))))))))))</f>
        <v>#REF!</v>
      </c>
      <c r="AX271" s="1121" t="e">
        <f>IF('A-80 DirEntInv'!#REF!&lt;&gt;"",'A-80 DirEntInv'!#REF!,IF(AK271=summaryref2!B20,summaryref2!N20,IF(Summary!AK271=summaryref2!B34,summaryref2!N34,IF(AK271=summaryref2!B48,summaryref2!N48,IF(AK271=summaryref2!B62,summaryref2!N62,IF(AK271=summaryref2!B76,summaryref2!N76,IF(AK271=summaryref2!B90,summaryref2!N90,IF(AK271=summaryref2!B104,summaryref2!N104,IF(AK271=summaryref2!B118,summaryref2!N118,IF(AK271=summaryref2!B132,summaryref2!N132,IF(AK271=summaryref2!B146,summaryref2!N146,"")))))))))))</f>
        <v>#REF!</v>
      </c>
      <c r="AY271" s="1121" t="e">
        <f>IF('A-80 DirEntInv'!#REF!&lt;&gt;"",'A-80 DirEntInv'!#REF!,IF(AK271=summaryref2!B20,summaryref2!O20,IF(Summary!AK271=summaryref2!B34,summaryref2!O34,IF(AK271=summaryref2!B48,summaryref2!O48,IF(AK271=summaryref2!B62,summaryref2!O62,IF(AK271=summaryref2!B76,summaryref2!O76,IF(AK271=summaryref2!B90,summaryref2!O90,IF(AK271=summaryref2!B104,summaryref2!O104,IF(AK271=summaryref2!B118,summaryref2!O118,IF(AK271=summaryref2!B132,summaryref2!O132,IF(AK271=summaryref2!B146,summaryref2!O146,"")))))))))))</f>
        <v>#REF!</v>
      </c>
      <c r="AZ271" s="1121" t="e">
        <f>IF('A-80 DirEntInv'!#REF!&lt;&gt;"",'A-80 DirEntInv'!#REF!,IF(AK271=summaryref2!B20,summaryref2!P20,IF(Summary!AK271=summaryref2!B34,summaryref2!P34,IF(AK271=summaryref2!B48,summaryref2!P48,IF(AK271=summaryref2!B62,summaryref2!P62,IF(AK271=summaryref2!B76,summaryref2!P76,IF(AK271=summaryref2!B90,summaryref2!P90,IF(AK271=summaryref2!B104,summaryref2!P104,IF(AK271=summaryref2!B118,summaryref2!P118,IF(AK271=summaryref2!B132,summaryref2!P132,IF(AK271=summaryref2!B146,summaryref2!P146,"")))))))))))</f>
        <v>#REF!</v>
      </c>
      <c r="BA271" s="1121" t="e">
        <f>IF('A-80 DirEntInv'!#REF!&lt;&gt;"",'A-80 DirEntInv'!#REF!,IF(AK271=summaryref2!B20,summaryref2!Q20,IF(Summary!AK271=summaryref2!B34,summaryref2!Q34,IF(AK271=summaryref2!B48,summaryref2!Q48,IF(AK271=summaryref2!B62,summaryref2!Q62,IF(AK271=summaryref2!B76,summaryref2!Q76,IF(AK271=summaryref2!B90,summaryref2!Q90,IF(AK271=summaryref2!B104,summaryref2!Q104,IF(AK271=summaryref2!B118,summaryref2!Q118,IF(AK271=summaryref2!B132,summaryref2!Q132,IF(AK271=summaryref2!B146,summaryref2!Q146,"")))))))))))</f>
        <v>#REF!</v>
      </c>
      <c r="BB271" s="1121" t="e">
        <f>IF('A-80 DirEntInv'!#REF!&lt;&gt;"",'A-80 DirEntInv'!#REF!,IF(AK271=summaryref2!B20,summaryref2!R20,IF(Summary!AK271=summaryref2!B34,summaryref2!R34,IF(AK271=summaryref2!B48,summaryref2!R48,IF(AK271=summaryref2!B62,summaryref2!R62,IF(AK271=summaryref2!B76,summaryref2!R76,IF(AK271=summaryref2!B90,summaryref2!R90,IF(AK271=summaryref2!B104,summaryref2!R104,IF(AK271=summaryref2!B118,summaryref2!R118,IF(AK271=summaryref2!B132,summaryref2!R132,IF(AK271=summaryref2!B146,summaryref2!R146,"")))))))))))</f>
        <v>#REF!</v>
      </c>
      <c r="BC271" s="1121" t="e">
        <f>IF('A-80 DirEntInv'!#REF!&lt;&gt;0,'A-80 DirEntInv'!#REF!,IF(AK271=summaryref2!$B$12,summaryref2!$S$12,IF(Summary!AK271=summaryref2!$B$26,summaryref2!$S$26,IF(AK271=summaryref2!$B$40,summaryref2!$S$40,IF(AK271=summaryref2!$B$54,summaryref2!$S$54,IF(AK271=summaryref2!$B$68,summaryref2!$S$68,IF(AK271=summaryref2!$B$82,summaryref2!$S$82,IF(AK271=summaryref2!$B$96,summaryref2!$S$96,IF(AK271=summaryref2!$B$110,summaryref2!$S$110,IF(AK271=summaryref2!$B$124,summaryref2!$S$124,IF(AK271=summaryref2!$B$138,summaryref2!$S$138,"")))))))))))</f>
        <v>#REF!</v>
      </c>
      <c r="BD271" s="1122" t="e">
        <f>IF('A-80 DirEntInv'!#REF!&lt;&gt;"",'A-80 DirEntInv'!#REF!,IF(AK271=summaryref2!$B$12,summaryref2!$T$12,IF(Summary!AK271=summaryref2!$B$26,summaryref2!$T$26,IF(AK271=summaryref2!$B$40,summaryref2!$T$40,IF(AK271=summaryref2!$B$54,summaryref2!$T$54,IF(AK271=summaryref2!$B$68,summaryref2!$T$68,IF(AK271=summaryref2!$B$82,summaryref2!$T$82,IF(AK271=summaryref2!$B$96,summaryref2!$T$96,IF(AK271=summaryref2!$B$110,summaryref2!$T$110,IF(AK271=summaryref2!$B$124,summaryref2!$T$124,IF(AK271=summaryref2!$B$138,summaryref2!$T$138,"")))))))))))</f>
        <v>#REF!</v>
      </c>
      <c r="BE271" s="1190" t="e">
        <f>IF('A-80 DirEntInv'!#REF!&lt;&gt;"",'A-80 DirEntInv'!#REF!,IF(AK271=summaryref2!$B$12,summaryref2!$U$12,IF(Summary!AK271=summaryref2!$B$26,summaryref2!$U$26,IF(AK271=summaryref2!$B$40,summaryref2!$U$40,IF(AK271=summaryref2!$B$54,summaryref2!$U$54,IF(AK271=summaryref2!$B$68,summaryref2!$U$68,IF(AK271=summaryref2!$B$82,summaryref2!$U$82,IF(AK271=summaryref2!$B$96,summaryref2!$U$96,IF(AK271=summaryref2!$B$110,summaryref2!$U$110,IF(AK271=summaryref2!$B$124,summaryref2!$U$124,IF(AK271=summaryref2!$B$138,summaryref2!$U$138,"")))))))))))</f>
        <v>#REF!</v>
      </c>
      <c r="BF271" s="1432"/>
      <c r="BG271" s="1432"/>
      <c r="BU271" s="962"/>
      <c r="CD271" s="589"/>
      <c r="CE271" s="590"/>
      <c r="CF271" s="590"/>
      <c r="CG271" s="590"/>
      <c r="CH271" s="590"/>
      <c r="CI271" s="590"/>
      <c r="CJ271" s="589"/>
      <c r="CK271" s="589"/>
      <c r="CL271" s="589"/>
      <c r="CM271" s="587"/>
      <c r="CN271" s="587"/>
      <c r="CO271" s="589"/>
      <c r="CP271" s="587"/>
      <c r="CQ271" s="592"/>
      <c r="CR271" s="589"/>
      <c r="CS271" s="592"/>
      <c r="CT271" s="589"/>
      <c r="CU271" s="589"/>
      <c r="CV271" s="589"/>
      <c r="CW271" s="587"/>
      <c r="CX271" s="590"/>
      <c r="CY271" s="590"/>
      <c r="CZ271" s="590"/>
      <c r="DA271" s="1054"/>
      <c r="DB271" s="1054"/>
      <c r="DC271" s="587"/>
      <c r="DD271" s="587"/>
    </row>
    <row r="272" spans="1:108" s="588" customFormat="1" ht="13.5" thickTop="1" x14ac:dyDescent="0.2">
      <c r="A272" s="589">
        <f t="shared" si="4"/>
        <v>262</v>
      </c>
      <c r="B272" s="587"/>
      <c r="C272" s="587"/>
      <c r="D272" s="587"/>
      <c r="J272" s="589"/>
      <c r="K272" s="590"/>
      <c r="L272" s="591"/>
      <c r="M272" s="592"/>
      <c r="N272" s="589"/>
      <c r="O272" s="587"/>
      <c r="R272" s="1052"/>
      <c r="S272" s="1052"/>
      <c r="T272" s="1052"/>
      <c r="U272" s="1052"/>
      <c r="V272" s="1052"/>
      <c r="W272" s="1053"/>
      <c r="X272" s="1053"/>
      <c r="Y272" s="1053"/>
      <c r="Z272" s="1052"/>
      <c r="AA272" s="1052"/>
      <c r="AB272" s="962"/>
      <c r="AC272" s="590"/>
      <c r="AD272" s="590"/>
      <c r="AE272" s="591"/>
      <c r="AF272" s="592"/>
      <c r="AG272" s="1053"/>
      <c r="AH272" s="587"/>
      <c r="AK272" s="1181" t="str">
        <f>Codes!$C$174</f>
        <v>YR - Hybrid Rail (PT)</v>
      </c>
      <c r="AL272" s="1182" t="str">
        <f>Valid!$B$87</f>
        <v>Substation Building</v>
      </c>
      <c r="AM272" s="1123" t="e">
        <f>IF('A-80 DirEntInv'!#REF!&lt;&gt;"",'A-80 DirEntInv'!#REF!,IF(AK272=summaryref2!$B$12,summaryref2!$D$12,IF(Summary!AK272=summaryref2!$B$26,summaryref2!$D$26,IF(AK272=summaryref2!$B$40,summaryref2!$D$40,IF(AK272=summaryref2!$B$54,summaryref2!$D$54,IF(AK272=summaryref2!$B$68,summaryref2!$D$68,IF(AK272=summaryref2!$B$82,summaryref2!$D$82,IF(AK272=summaryref2!$B$96,summaryref2!$D$96,IF(AK272=summaryref2!$B$110,summaryref2!$D$110,IF(AK272=summaryref2!$B$124,summaryref2!$D$124,IF(AK272=summaryref2!$B$138,summaryref2!$D$138,"")))))))))))</f>
        <v>#REF!</v>
      </c>
      <c r="AN272" s="1124" t="s">
        <v>13</v>
      </c>
      <c r="AO272" s="1123"/>
      <c r="AP272" s="1124"/>
      <c r="AQ272" s="1149" t="e">
        <f>IF('A-80 DirEntInv'!#REF!&lt;&gt;"",'A-80 DirEntInv'!#REF!,IF(AK272=summaryref2!B21,summaryref2!G21,IF(Summary!AK272=summaryref2!B35,summaryref2!G35,IF(AK272=summaryref2!B49,summaryref2!G49,IF(AK272=summaryref2!B63,summaryref2!G63,IF(AK272=summaryref2!B77,summaryref2!G77,IF(AK272=summaryref2!B91,summaryref2!G91,IF(AK272=summaryref2!B105,summaryref2!G105,IF(AK272=summaryref2!B119,summaryref2!G119,IF(AK272=summaryref2!B133,summaryref2!G133,IF(AK272=summaryref2!B147,summaryref2!G147,"")))))))))))</f>
        <v>#REF!</v>
      </c>
      <c r="AR272" s="1149" t="e">
        <f>IF('A-80 DirEntInv'!#REF!&lt;&gt;"",'A-80 DirEntInv'!#REF!,IF(AK272=summaryref2!B21,summaryref2!H21,IF(Summary!AK272=summaryref2!B35,summaryref2!H35,IF(AK272=summaryref2!B49,summaryref2!H49,IF(AK272=summaryref2!B63,summaryref2!H63,IF(AK272=summaryref2!B77,summaryref2!H77,IF(AK272=summaryref2!B91,summaryref2!H91,IF(AK272=summaryref2!B105,summaryref2!H105,IF(AK272=summaryref2!B119,summaryref2!H119,IF(AK272=summaryref2!B133,summaryref2!H133,IF(AK272=summaryref2!B147,summaryref2!H147,"")))))))))))</f>
        <v>#REF!</v>
      </c>
      <c r="AS272" s="1125" t="e">
        <f>IF('A-80 DirEntInv'!#REF!&lt;&gt;"",'A-80 DirEntInv'!#REF!,IF(AK272=summaryref2!B21,summaryref2!I21,IF(Summary!AK272=summaryref2!B35,summaryref2!I35,IF(AK272=summaryref2!B49,summaryref2!I49,IF(AK272=summaryref2!B63,summaryref2!I63,IF(AK272=summaryref2!B77,summaryref2!I77,IF(AK272=summaryref2!B91,summaryref2!I91,IF(AK272=summaryref2!B105,summaryref2!I105,IF(AK272=summaryref2!B119,summaryref2!I119,IF(AK272=summaryref2!B133,summaryref2!I133,IF(AK272=summaryref2!B147,summaryref2!I147,"")))))))))))</f>
        <v>#REF!</v>
      </c>
      <c r="AT272" s="1125" t="e">
        <f>IF('A-80 DirEntInv'!#REF!&lt;&gt;"",'A-80 DirEntInv'!#REF!,IF(AK272=summaryref2!B21,summaryref2!J21,IF(Summary!AK272=summaryref2!B35,summaryref2!J35,IF(AK272=summaryref2!B49,summaryref2!J49,IF(AK272=summaryref2!B63,summaryref2!J63,IF(AK272=summaryref2!B77,summaryref2!J77,IF(AK272=summaryref2!B91,summaryref2!J91,IF(AK272=summaryref2!B105,summaryref2!J105,IF(AK272=summaryref2!B119,summaryref2!J119,IF(AK272=summaryref2!B133,summaryref2!J133,IF(AK272=summaryref2!B147,summaryref2!J147,"")))))))))))</f>
        <v>#REF!</v>
      </c>
      <c r="AU272" s="1125" t="e">
        <f>IF('A-80 DirEntInv'!#REF!&lt;&gt;"",'A-80 DirEntInv'!#REF!,IF(AK272=summaryref2!B21,summaryref2!K21,IF(Summary!AK272=summaryref2!B35,summaryref2!K35,IF(AK272=summaryref2!B49,summaryref2!K49,IF(AK272=summaryref2!B63,summaryref2!K63,IF(AK272=summaryref2!B77,summaryref2!K77,IF(AK272=summaryref2!B91,summaryref2!K91,IF(AK272=summaryref2!B105,summaryref2!K105,IF(AK272=summaryref2!B119,summaryref2!K119,IF(AK272=summaryref2!B133,summaryref2!K133,IF(AK272=summaryref2!B147,summaryref2!K147,"")))))))))))</f>
        <v>#REF!</v>
      </c>
      <c r="AV272" s="1125" t="e">
        <f>IF('A-80 DirEntInv'!#REF!&lt;&gt;"",'A-80 DirEntInv'!#REF!,IF(AK272=summaryref2!B21,summaryref2!L21,IF(Summary!AK272=summaryref2!B35,summaryref2!L35,IF(AK272=summaryref2!B49,summaryref2!L49,IF(AK272=summaryref2!B63,summaryref2!L63,IF(AK272=summaryref2!B77,summaryref2!L77,IF(AK272=summaryref2!B91,summaryref2!L91,IF(AK272=summaryref2!B105,summaryref2!L105,IF(AK272=summaryref2!B119,summaryref2!L119,IF(AK272=summaryref2!B133,summaryref2!L133,IF(AK272=summaryref2!B147,summaryref2!L147,"")))))))))))</f>
        <v>#REF!</v>
      </c>
      <c r="AW272" s="1125" t="e">
        <f>IF('A-80 DirEntInv'!#REF!&lt;&gt;"",'A-80 DirEntInv'!#REF!,IF(AK272=summaryref2!B21,summaryref2!M21,IF(Summary!AK272=summaryref2!B35,summaryref2!M35,IF(AK272=summaryref2!B49,summaryref2!M49,IF(AK272=summaryref2!B63,summaryref2!M63,IF(AK272=summaryref2!B77,summaryref2!M77,IF(AK272=summaryref2!B91,summaryref2!M91,IF(AK272=summaryref2!B105,summaryref2!M105,IF(AK272=summaryref2!B119,summaryref2!M119,IF(AK272=summaryref2!B133,summaryref2!M133,IF(AK272=summaryref2!B147,summaryref2!M147,"")))))))))))</f>
        <v>#REF!</v>
      </c>
      <c r="AX272" s="1125" t="e">
        <f>IF('A-80 DirEntInv'!#REF!&lt;&gt;"",'A-80 DirEntInv'!#REF!,IF(AK272=summaryref2!B21,summaryref2!N21,IF(Summary!AK272=summaryref2!B35,summaryref2!N35,IF(AK272=summaryref2!B49,summaryref2!N49,IF(AK272=summaryref2!B63,summaryref2!N63,IF(AK272=summaryref2!B77,summaryref2!N77,IF(AK272=summaryref2!B91,summaryref2!N91,IF(AK272=summaryref2!B105,summaryref2!N105,IF(AK272=summaryref2!B119,summaryref2!N119,IF(AK272=summaryref2!B133,summaryref2!N133,IF(AK272=summaryref2!B147,summaryref2!N147,"")))))))))))</f>
        <v>#REF!</v>
      </c>
      <c r="AY272" s="1125" t="e">
        <f>IF('A-80 DirEntInv'!#REF!&lt;&gt;"",'A-80 DirEntInv'!#REF!,IF(AK272=summaryref2!B21,summaryref2!O21,IF(Summary!AK272=summaryref2!B35,summaryref2!O35,IF(AK272=summaryref2!B49,summaryref2!O49,IF(AK272=summaryref2!B63,summaryref2!O63,IF(AK272=summaryref2!B77,summaryref2!O77,IF(AK272=summaryref2!B91,summaryref2!O91,IF(AK272=summaryref2!B105,summaryref2!O105,IF(AK272=summaryref2!B119,summaryref2!O119,IF(AK272=summaryref2!B133,summaryref2!O133,IF(AK272=summaryref2!B147,summaryref2!O147,"")))))))))))</f>
        <v>#REF!</v>
      </c>
      <c r="AZ272" s="1125" t="e">
        <f>IF('A-80 DirEntInv'!#REF!&lt;&gt;"",'A-80 DirEntInv'!#REF!,IF(AK272=summaryref2!B21,summaryref2!P21,IF(Summary!AK272=summaryref2!B35,summaryref2!P35,IF(AK272=summaryref2!B49,summaryref2!P49,IF(AK272=summaryref2!B63,summaryref2!P63,IF(AK272=summaryref2!B77,summaryref2!P77,IF(AK272=summaryref2!B91,summaryref2!P91,IF(AK272=summaryref2!B105,summaryref2!P105,IF(AK272=summaryref2!B119,summaryref2!P119,IF(AK272=summaryref2!B133,summaryref2!P133,IF(AK272=summaryref2!B147,summaryref2!P147,"")))))))))))</f>
        <v>#REF!</v>
      </c>
      <c r="BA272" s="1125" t="e">
        <f>IF('A-80 DirEntInv'!#REF!&lt;&gt;"",'A-80 DirEntInv'!#REF!,IF(AK272=summaryref2!B21,summaryref2!Q21,IF(Summary!AK272=summaryref2!B35,summaryref2!Q35,IF(AK272=summaryref2!B49,summaryref2!Q49,IF(AK272=summaryref2!B63,summaryref2!Q63,IF(AK272=summaryref2!B77,summaryref2!Q77,IF(AK272=summaryref2!B91,summaryref2!Q91,IF(AK272=summaryref2!B105,summaryref2!Q105,IF(AK272=summaryref2!B119,summaryref2!Q119,IF(AK272=summaryref2!B133,summaryref2!Q133,IF(AK272=summaryref2!B147,summaryref2!Q147,"")))))))))))</f>
        <v>#REF!</v>
      </c>
      <c r="BB272" s="1125" t="e">
        <f>IF('A-80 DirEntInv'!#REF!&lt;&gt;"",'A-80 DirEntInv'!#REF!,IF(AK272=summaryref2!B21,summaryref2!R21,IF(Summary!AK272=summaryref2!B35,summaryref2!R35,IF(AK272=summaryref2!B49,summaryref2!R49,IF(AK272=summaryref2!B63,summaryref2!R63,IF(AK272=summaryref2!B77,summaryref2!R77,IF(AK272=summaryref2!B91,summaryref2!R91,IF(AK272=summaryref2!B105,summaryref2!R105,IF(AK272=summaryref2!B119,summaryref2!R119,IF(AK272=summaryref2!B133,summaryref2!R133,IF(AK272=summaryref2!B147,summaryref2!R147,"")))))))))))</f>
        <v>#REF!</v>
      </c>
      <c r="BC272" s="1125" t="e">
        <f>IF('A-80 DirEntInv'!#REF!&lt;&gt;0,'A-80 DirEntInv'!#REF!,IF(AK272=summaryref2!$B$12,summaryref2!$S$12,IF(Summary!AK272=summaryref2!$B$26,summaryref2!$S$26,IF(AK272=summaryref2!$B$40,summaryref2!$S$40,IF(AK272=summaryref2!$B$54,summaryref2!$S$54,IF(AK272=summaryref2!$B$68,summaryref2!$S$68,IF(AK272=summaryref2!$B$82,summaryref2!$S$82,IF(AK272=summaryref2!$B$96,summaryref2!$S$96,IF(AK272=summaryref2!$B$110,summaryref2!$S$110,IF(AK272=summaryref2!$B$124,summaryref2!$S$124,IF(AK272=summaryref2!$B$138,summaryref2!$S$138,"")))))))))))</f>
        <v>#REF!</v>
      </c>
      <c r="BD272" s="1126" t="e">
        <f>IF('A-80 DirEntInv'!#REF!&lt;&gt;"",'A-80 DirEntInv'!#REF!,IF(AK272=summaryref2!$B$12,summaryref2!$T$12,IF(Summary!AK272=summaryref2!$B$26,summaryref2!$T$26,IF(AK272=summaryref2!$B$40,summaryref2!$T$40,IF(AK272=summaryref2!$B$54,summaryref2!$T$54,IF(AK272=summaryref2!$B$68,summaryref2!$T$68,IF(AK272=summaryref2!$B$82,summaryref2!$T$82,IF(AK272=summaryref2!$B$96,summaryref2!$T$96,IF(AK272=summaryref2!$B$110,summaryref2!$T$110,IF(AK272=summaryref2!$B$124,summaryref2!$T$124,IF(AK272=summaryref2!$B$138,summaryref2!$T$138,"")))))))))))</f>
        <v>#REF!</v>
      </c>
      <c r="BE272" s="1183" t="e">
        <f>IF('A-80 DirEntInv'!#REF!&lt;&gt;"",'A-80 DirEntInv'!#REF!,IF(AK272=summaryref2!$B$12,summaryref2!$U$12,IF(Summary!AK272=summaryref2!$B$26,summaryref2!$U$26,IF(AK272=summaryref2!$B$40,summaryref2!$U$40,IF(AK272=summaryref2!$B$54,summaryref2!$U$54,IF(AK272=summaryref2!$B$68,summaryref2!$U$68,IF(AK272=summaryref2!$B$82,summaryref2!$U$82,IF(AK272=summaryref2!$B$96,summaryref2!$U$96,IF(AK272=summaryref2!$B$110,summaryref2!$U$110,IF(AK272=summaryref2!$B$124,summaryref2!$U$124,IF(AK272=summaryref2!$B$138,summaryref2!$U$138,"")))))))))))</f>
        <v>#REF!</v>
      </c>
      <c r="BF272" s="1432"/>
      <c r="BG272" s="1432"/>
      <c r="BU272" s="962"/>
      <c r="CD272" s="589"/>
      <c r="CE272" s="590"/>
      <c r="CF272" s="590"/>
      <c r="CG272" s="590"/>
      <c r="CH272" s="590"/>
      <c r="CI272" s="590"/>
      <c r="CJ272" s="589"/>
      <c r="CK272" s="589"/>
      <c r="CL272" s="589"/>
      <c r="CM272" s="587"/>
      <c r="CN272" s="587"/>
      <c r="CO272" s="589"/>
      <c r="CP272" s="587"/>
      <c r="CQ272" s="592"/>
      <c r="CR272" s="589"/>
      <c r="CS272" s="592"/>
      <c r="CT272" s="589"/>
      <c r="CU272" s="589"/>
      <c r="CV272" s="589"/>
      <c r="CW272" s="587"/>
      <c r="CX272" s="590"/>
      <c r="CY272" s="590"/>
      <c r="CZ272" s="590"/>
      <c r="DA272" s="1054"/>
      <c r="DB272" s="1054"/>
      <c r="DC272" s="587"/>
      <c r="DD272" s="587"/>
    </row>
    <row r="273" spans="1:108" s="588" customFormat="1" x14ac:dyDescent="0.2">
      <c r="A273" s="589">
        <f t="shared" si="4"/>
        <v>263</v>
      </c>
      <c r="B273" s="587"/>
      <c r="C273" s="587"/>
      <c r="D273" s="587"/>
      <c r="J273" s="589"/>
      <c r="K273" s="590"/>
      <c r="L273" s="591"/>
      <c r="M273" s="592"/>
      <c r="N273" s="589"/>
      <c r="O273" s="587"/>
      <c r="R273" s="1052"/>
      <c r="S273" s="1052"/>
      <c r="T273" s="1052"/>
      <c r="U273" s="1052"/>
      <c r="V273" s="1052"/>
      <c r="W273" s="1053"/>
      <c r="X273" s="1053"/>
      <c r="Y273" s="1053"/>
      <c r="Z273" s="1052"/>
      <c r="AA273" s="1052"/>
      <c r="AB273" s="962"/>
      <c r="AC273" s="590"/>
      <c r="AD273" s="590"/>
      <c r="AE273" s="591"/>
      <c r="AF273" s="592"/>
      <c r="AG273" s="1053"/>
      <c r="AH273" s="587"/>
      <c r="AK273" s="1041" t="str">
        <f>Codes!$C$174</f>
        <v>YR - Hybrid Rail (PT)</v>
      </c>
      <c r="AL273" s="1042" t="str">
        <f>Valid!$B$88</f>
        <v>Substation Equipment</v>
      </c>
      <c r="AM273" s="1187"/>
      <c r="AN273" s="1046"/>
      <c r="AO273" s="1187"/>
      <c r="AP273" s="1046"/>
      <c r="AQ273" s="1147" t="e">
        <f>IF('A-80 DirEntInv'!#REF!&lt;&gt;"",'A-80 DirEntInv'!#REF!,IF(AK273=summaryref2!B22,summaryref2!G22,IF(Summary!AK273=summaryref2!B36,summaryref2!G36,IF(AK273=summaryref2!B50,summaryref2!G50,IF(AK273=summaryref2!B64,summaryref2!G64,IF(AK273=summaryref2!B78,summaryref2!G78,IF(AK273=summaryref2!B92,summaryref2!G92,IF(AK273=summaryref2!B106,summaryref2!G106,IF(AK273=summaryref2!B120,summaryref2!G120,IF(AK273=summaryref2!B134,summaryref2!G134,IF(AK273=summaryref2!B148,summaryref2!G148,"")))))))))))</f>
        <v>#REF!</v>
      </c>
      <c r="AR273" s="1147" t="e">
        <f>IF('A-80 DirEntInv'!#REF!&lt;&gt;"",'A-80 DirEntInv'!#REF!,IF(AK273=summaryref2!B22,summaryref2!H22,IF(Summary!AK273=summaryref2!B36,summaryref2!H36,IF(AK273=summaryref2!B50,summaryref2!H50,IF(AK273=summaryref2!B64,summaryref2!H64,IF(AK273=summaryref2!B78,summaryref2!H78,IF(AK273=summaryref2!B92,summaryref2!H92,IF(AK273=summaryref2!B106,summaryref2!H106,IF(AK273=summaryref2!B120,summaryref2!H120,IF(AK273=summaryref2!B134,summaryref2!H134,IF(AK273=summaryref2!B148,summaryref2!H148,"")))))))))))</f>
        <v>#REF!</v>
      </c>
      <c r="AS273" s="1110" t="e">
        <f>IF('A-80 DirEntInv'!#REF!&lt;&gt;"",'A-80 DirEntInv'!#REF!,IF(AK273=summaryref2!B22,summaryref2!I22,IF(Summary!AK273=summaryref2!B36,summaryref2!I36,IF(AK273=summaryref2!B50,summaryref2!I50,IF(AK273=summaryref2!B64,summaryref2!I64,IF(AK273=summaryref2!B78,summaryref2!I78,IF(AK273=summaryref2!B92,summaryref2!I92,IF(AK273=summaryref2!B106,summaryref2!I106,IF(AK273=summaryref2!B120,summaryref2!I120,IF(AK273=summaryref2!B134,summaryref2!I134,IF(AK273=summaryref2!B148,summaryref2!I148,"")))))))))))</f>
        <v>#REF!</v>
      </c>
      <c r="AT273" s="1110" t="e">
        <f>IF('A-80 DirEntInv'!#REF!&lt;&gt;"",'A-80 DirEntInv'!#REF!,IF(AK273=summaryref2!B22,summaryref2!J22,IF(Summary!AK273=summaryref2!B36,summaryref2!J36,IF(AK273=summaryref2!B50,summaryref2!J50,IF(AK273=summaryref2!B64,summaryref2!J64,IF(AK273=summaryref2!B78,summaryref2!J78,IF(AK273=summaryref2!B92,summaryref2!J92,IF(AK273=summaryref2!B106,summaryref2!J106,IF(AK273=summaryref2!B120,summaryref2!J120,IF(AK273=summaryref2!B134,summaryref2!J134,IF(AK273=summaryref2!B148,summaryref2!J148,"")))))))))))</f>
        <v>#REF!</v>
      </c>
      <c r="AU273" s="1110" t="e">
        <f>IF('A-80 DirEntInv'!#REF!&lt;&gt;"",'A-80 DirEntInv'!#REF!,IF(AK273=summaryref2!B22,summaryref2!K22,IF(Summary!AK273=summaryref2!B36,summaryref2!K36,IF(AK273=summaryref2!B50,summaryref2!K50,IF(AK273=summaryref2!B64,summaryref2!K64,IF(AK273=summaryref2!B78,summaryref2!K78,IF(AK273=summaryref2!B92,summaryref2!K92,IF(AK273=summaryref2!B106,summaryref2!K106,IF(AK273=summaryref2!B120,summaryref2!K120,IF(AK273=summaryref2!B134,summaryref2!K134,IF(AK273=summaryref2!B148,summaryref2!K148,"")))))))))))</f>
        <v>#REF!</v>
      </c>
      <c r="AV273" s="1110" t="e">
        <f>IF('A-80 DirEntInv'!#REF!&lt;&gt;"",'A-80 DirEntInv'!#REF!,IF(AK273=summaryref2!B22,summaryref2!L22,IF(Summary!AK273=summaryref2!B36,summaryref2!L36,IF(AK273=summaryref2!B50,summaryref2!L50,IF(AK273=summaryref2!B64,summaryref2!L64,IF(AK273=summaryref2!B78,summaryref2!L78,IF(AK273=summaryref2!B92,summaryref2!L92,IF(AK273=summaryref2!B106,summaryref2!L106,IF(AK273=summaryref2!B120,summaryref2!L120,IF(AK273=summaryref2!B134,summaryref2!L134,IF(AK273=summaryref2!B148,summaryref2!L148,"")))))))))))</f>
        <v>#REF!</v>
      </c>
      <c r="AW273" s="1110" t="e">
        <f>IF('A-80 DirEntInv'!#REF!&lt;&gt;"",'A-80 DirEntInv'!#REF!,IF(AK273=summaryref2!B22,summaryref2!M22,IF(Summary!AK273=summaryref2!B36,summaryref2!M36,IF(AK273=summaryref2!B50,summaryref2!M50,IF(AK273=summaryref2!B64,summaryref2!M64,IF(AK273=summaryref2!B78,summaryref2!M78,IF(AK273=summaryref2!B92,summaryref2!M92,IF(AK273=summaryref2!B106,summaryref2!M106,IF(AK273=summaryref2!B120,summaryref2!M120,IF(AK273=summaryref2!B134,summaryref2!M134,IF(AK273=summaryref2!B148,summaryref2!M148,"")))))))))))</f>
        <v>#REF!</v>
      </c>
      <c r="AX273" s="1110" t="e">
        <f>IF('A-80 DirEntInv'!#REF!&lt;&gt;"",'A-80 DirEntInv'!#REF!,IF(AK273=summaryref2!B22,summaryref2!N22,IF(Summary!AK273=summaryref2!B36,summaryref2!N36,IF(AK273=summaryref2!B50,summaryref2!N50,IF(AK273=summaryref2!B64,summaryref2!N64,IF(AK273=summaryref2!B78,summaryref2!N78,IF(AK273=summaryref2!B92,summaryref2!N92,IF(AK273=summaryref2!B106,summaryref2!N106,IF(AK273=summaryref2!B120,summaryref2!N120,IF(AK273=summaryref2!B134,summaryref2!N134,IF(AK273=summaryref2!B148,summaryref2!N148,"")))))))))))</f>
        <v>#REF!</v>
      </c>
      <c r="AY273" s="1110" t="e">
        <f>IF('A-80 DirEntInv'!#REF!&lt;&gt;"",'A-80 DirEntInv'!#REF!,IF(AK273=summaryref2!B22,summaryref2!O22,IF(Summary!AK273=summaryref2!B36,summaryref2!O36,IF(AK273=summaryref2!B50,summaryref2!O50,IF(AK273=summaryref2!B64,summaryref2!O64,IF(AK273=summaryref2!B78,summaryref2!O78,IF(AK273=summaryref2!B92,summaryref2!O92,IF(AK273=summaryref2!B106,summaryref2!O106,IF(AK273=summaryref2!B120,summaryref2!O120,IF(AK273=summaryref2!B134,summaryref2!O134,IF(AK273=summaryref2!B148,summaryref2!O148,"")))))))))))</f>
        <v>#REF!</v>
      </c>
      <c r="AZ273" s="1110" t="e">
        <f>IF('A-80 DirEntInv'!#REF!&lt;&gt;"",'A-80 DirEntInv'!#REF!,IF(AK273=summaryref2!B22,summaryref2!P22,IF(Summary!AK273=summaryref2!B36,summaryref2!P36,IF(AK273=summaryref2!B50,summaryref2!P50,IF(AK273=summaryref2!B64,summaryref2!P64,IF(AK273=summaryref2!B78,summaryref2!P78,IF(AK273=summaryref2!B92,summaryref2!P92,IF(AK273=summaryref2!B106,summaryref2!P106,IF(AK273=summaryref2!B120,summaryref2!P120,IF(AK273=summaryref2!B134,summaryref2!P134,IF(AK273=summaryref2!B148,summaryref2!P148,"")))))))))))</f>
        <v>#REF!</v>
      </c>
      <c r="BA273" s="1110" t="e">
        <f>IF('A-80 DirEntInv'!#REF!&lt;&gt;"",'A-80 DirEntInv'!#REF!,IF(AK273=summaryref2!B22,summaryref2!Q22,IF(Summary!AK273=summaryref2!B36,summaryref2!Q36,IF(AK273=summaryref2!B50,summaryref2!Q50,IF(AK273=summaryref2!B64,summaryref2!Q64,IF(AK273=summaryref2!B78,summaryref2!Q78,IF(AK273=summaryref2!B92,summaryref2!Q92,IF(AK273=summaryref2!B106,summaryref2!Q106,IF(AK273=summaryref2!B120,summaryref2!Q120,IF(AK273=summaryref2!B134,summaryref2!Q134,IF(AK273=summaryref2!B148,summaryref2!Q148,"")))))))))))</f>
        <v>#REF!</v>
      </c>
      <c r="BB273" s="1110" t="e">
        <f>IF('A-80 DirEntInv'!#REF!&lt;&gt;"",'A-80 DirEntInv'!#REF!,IF(AK273=summaryref2!B22,summaryref2!R22,IF(Summary!AK273=summaryref2!B36,summaryref2!R36,IF(AK273=summaryref2!B50,summaryref2!R50,IF(AK273=summaryref2!B64,summaryref2!R64,IF(AK273=summaryref2!B78,summaryref2!R78,IF(AK273=summaryref2!B92,summaryref2!R92,IF(AK273=summaryref2!B106,summaryref2!R106,IF(AK273=summaryref2!B120,summaryref2!R120,IF(AK273=summaryref2!B134,summaryref2!R134,IF(AK273=summaryref2!B148,summaryref2!R148,"")))))))))))</f>
        <v>#REF!</v>
      </c>
      <c r="BC273" s="1110" t="e">
        <f>IF('A-80 DirEntInv'!#REF!&lt;&gt;0,'A-80 DirEntInv'!#REF!,IF(AK273=summaryref2!$B$12,summaryref2!$S$12,IF(Summary!AK273=summaryref2!$B$26,summaryref2!$S$26,IF(AK273=summaryref2!$B$40,summaryref2!$S$40,IF(AK273=summaryref2!$B$54,summaryref2!$S$54,IF(AK273=summaryref2!$B$68,summaryref2!$S$68,IF(AK273=summaryref2!$B$82,summaryref2!$S$82,IF(AK273=summaryref2!$B$96,summaryref2!$S$96,IF(AK273=summaryref2!$B$110,summaryref2!$S$110,IF(AK273=summaryref2!$B$124,summaryref2!$S$124,IF(AK273=summaryref2!$B$138,summaryref2!$S$138,"")))))))))))</f>
        <v>#REF!</v>
      </c>
      <c r="BD273" s="1111" t="e">
        <f>IF('A-80 DirEntInv'!#REF!&lt;&gt;"",'A-80 DirEntInv'!#REF!,IF(AK273=summaryref2!$B$12,summaryref2!$T$12,IF(Summary!AK273=summaryref2!$B$26,summaryref2!$T$26,IF(AK273=summaryref2!$B$40,summaryref2!$T$40,IF(AK273=summaryref2!$B$54,summaryref2!$T$54,IF(AK273=summaryref2!$B$68,summaryref2!$T$68,IF(AK273=summaryref2!$B$82,summaryref2!$T$82,IF(AK273=summaryref2!$B$96,summaryref2!$T$96,IF(AK273=summaryref2!$B$110,summaryref2!$T$110,IF(AK273=summaryref2!$B$124,summaryref2!$T$124,IF(AK273=summaryref2!$B$138,summaryref2!$T$138,"")))))))))))</f>
        <v>#REF!</v>
      </c>
      <c r="BE273" s="1184" t="e">
        <f>IF('A-80 DirEntInv'!#REF!&lt;&gt;"",'A-80 DirEntInv'!#REF!,IF(AK273=summaryref2!$B$12,summaryref2!$U$12,IF(Summary!AK273=summaryref2!$B$26,summaryref2!$U$26,IF(AK273=summaryref2!$B$40,summaryref2!$U$40,IF(AK273=summaryref2!$B$54,summaryref2!$U$54,IF(AK273=summaryref2!$B$68,summaryref2!$U$68,IF(AK273=summaryref2!$B$82,summaryref2!$U$82,IF(AK273=summaryref2!$B$96,summaryref2!$U$96,IF(AK273=summaryref2!$B$110,summaryref2!$U$110,IF(AK273=summaryref2!$B$124,summaryref2!$U$124,IF(AK273=summaryref2!$B$138,summaryref2!$U$138,"")))))))))))</f>
        <v>#REF!</v>
      </c>
      <c r="BF273" s="1432"/>
      <c r="BG273" s="1432"/>
      <c r="BU273" s="962"/>
      <c r="CD273" s="589"/>
      <c r="CE273" s="590"/>
      <c r="CF273" s="590"/>
      <c r="CG273" s="590"/>
      <c r="CH273" s="590"/>
      <c r="CI273" s="590"/>
      <c r="CJ273" s="589"/>
      <c r="CK273" s="589"/>
      <c r="CL273" s="589"/>
      <c r="CM273" s="587"/>
      <c r="CN273" s="587"/>
      <c r="CO273" s="589"/>
      <c r="CP273" s="587"/>
      <c r="CQ273" s="592"/>
      <c r="CR273" s="589"/>
      <c r="CS273" s="592"/>
      <c r="CT273" s="589"/>
      <c r="CU273" s="589"/>
      <c r="CV273" s="589"/>
      <c r="CW273" s="587"/>
      <c r="CX273" s="590"/>
      <c r="CY273" s="590"/>
      <c r="CZ273" s="590"/>
      <c r="DA273" s="1054"/>
      <c r="DB273" s="1054"/>
      <c r="DC273" s="587"/>
      <c r="DD273" s="587"/>
    </row>
    <row r="274" spans="1:108" s="588" customFormat="1" x14ac:dyDescent="0.2">
      <c r="A274" s="589">
        <f t="shared" si="4"/>
        <v>264</v>
      </c>
      <c r="B274" s="587"/>
      <c r="C274" s="587"/>
      <c r="D274" s="587"/>
      <c r="J274" s="589"/>
      <c r="K274" s="590"/>
      <c r="L274" s="591"/>
      <c r="M274" s="592"/>
      <c r="N274" s="589"/>
      <c r="O274" s="587"/>
      <c r="R274" s="1052"/>
      <c r="S274" s="1052"/>
      <c r="T274" s="1052"/>
      <c r="U274" s="1052"/>
      <c r="V274" s="1052"/>
      <c r="W274" s="1053"/>
      <c r="X274" s="1053"/>
      <c r="Y274" s="1053"/>
      <c r="Z274" s="1052"/>
      <c r="AA274" s="1052"/>
      <c r="AB274" s="962"/>
      <c r="AC274" s="590"/>
      <c r="AD274" s="590"/>
      <c r="AE274" s="591"/>
      <c r="AF274" s="592"/>
      <c r="AG274" s="1053"/>
      <c r="AH274" s="587"/>
      <c r="AK274" s="1041" t="str">
        <f>Codes!$C$174</f>
        <v>YR - Hybrid Rail (PT)</v>
      </c>
      <c r="AL274" s="1042" t="str">
        <f>Valid!$B$89</f>
        <v>Third Rail/Power Distribution</v>
      </c>
      <c r="AM274" s="1108"/>
      <c r="AN274" s="1042"/>
      <c r="AO274" s="1108"/>
      <c r="AP274" s="1042"/>
      <c r="AQ274" s="1147" t="e">
        <f>IF('A-80 DirEntInv'!#REF!&lt;&gt;"",'A-80 DirEntInv'!#REF!,IF(AK274=summaryref2!B23,summaryref2!G23,IF(Summary!AK274=summaryref2!B37,summaryref2!G37,IF(AK274=summaryref2!B51,summaryref2!G51,IF(AK274=summaryref2!B65,summaryref2!G65,IF(AK274=summaryref2!B79,summaryref2!G79,IF(AK274=summaryref2!B93,summaryref2!G93,IF(AK274=summaryref2!B107,summaryref2!G107,IF(AK274=summaryref2!B121,summaryref2!G121,IF(AK274=summaryref2!B135,summaryref2!G135,IF(AK274=summaryref2!B149,summaryref2!G149,"")))))))))))</f>
        <v>#REF!</v>
      </c>
      <c r="AR274" s="1147" t="e">
        <f>IF('A-80 DirEntInv'!#REF!&lt;&gt;"",'A-80 DirEntInv'!#REF!,IF(AK274=summaryref2!B23,summaryref2!H23,IF(Summary!AK274=summaryref2!B37,summaryref2!H37,IF(AK274=summaryref2!B51,summaryref2!H51,IF(AK274=summaryref2!B65,summaryref2!H65,IF(AK274=summaryref2!B79,summaryref2!H79,IF(AK274=summaryref2!B93,summaryref2!H93,IF(AK274=summaryref2!B107,summaryref2!H107,IF(AK274=summaryref2!B121,summaryref2!H121,IF(AK274=summaryref2!B135,summaryref2!H135,IF(AK274=summaryref2!B149,summaryref2!H149,"")))))))))))</f>
        <v>#REF!</v>
      </c>
      <c r="AS274" s="1110" t="e">
        <f>IF('A-80 DirEntInv'!#REF!&lt;&gt;"",'A-80 DirEntInv'!#REF!,IF(AK274=summaryref2!B23,summaryref2!I23,IF(Summary!AK274=summaryref2!B37,summaryref2!I37,IF(AK274=summaryref2!B51,summaryref2!I51,IF(AK274=summaryref2!B65,summaryref2!I65,IF(AK274=summaryref2!B79,summaryref2!I79,IF(AK274=summaryref2!B93,summaryref2!I93,IF(AK274=summaryref2!B107,summaryref2!I107,IF(AK274=summaryref2!B121,summaryref2!I121,IF(AK274=summaryref2!B135,summaryref2!I135,IF(AK274=summaryref2!B149,summaryref2!I149,"")))))))))))</f>
        <v>#REF!</v>
      </c>
      <c r="AT274" s="1110" t="e">
        <f>IF('A-80 DirEntInv'!#REF!&lt;&gt;"",'A-80 DirEntInv'!#REF!,IF(AK274=summaryref2!B23,summaryref2!J23,IF(Summary!AK274=summaryref2!B37,summaryref2!J37,IF(AK274=summaryref2!B51,summaryref2!J51,IF(AK274=summaryref2!B65,summaryref2!J65,IF(AK274=summaryref2!B79,summaryref2!J79,IF(AK274=summaryref2!B93,summaryref2!J93,IF(AK274=summaryref2!B107,summaryref2!J107,IF(AK274=summaryref2!B121,summaryref2!J121,IF(AK274=summaryref2!B135,summaryref2!J135,IF(AK274=summaryref2!B149,summaryref2!J149,"")))))))))))</f>
        <v>#REF!</v>
      </c>
      <c r="AU274" s="1110" t="e">
        <f>IF('A-80 DirEntInv'!#REF!&lt;&gt;"",'A-80 DirEntInv'!#REF!,IF(AK274=summaryref2!B23,summaryref2!K23,IF(Summary!AK274=summaryref2!B37,summaryref2!K37,IF(AK274=summaryref2!B51,summaryref2!K51,IF(AK274=summaryref2!B65,summaryref2!K65,IF(AK274=summaryref2!B79,summaryref2!K79,IF(AK274=summaryref2!B93,summaryref2!K93,IF(AK274=summaryref2!B107,summaryref2!K107,IF(AK274=summaryref2!B121,summaryref2!K121,IF(AK274=summaryref2!B135,summaryref2!K135,IF(AK274=summaryref2!B149,summaryref2!K149,"")))))))))))</f>
        <v>#REF!</v>
      </c>
      <c r="AV274" s="1110" t="e">
        <f>IF('A-80 DirEntInv'!#REF!&lt;&gt;"",'A-80 DirEntInv'!#REF!,IF(AK274=summaryref2!B23,summaryref2!L23,IF(Summary!AK274=summaryref2!B37,summaryref2!L37,IF(AK274=summaryref2!B51,summaryref2!L51,IF(AK274=summaryref2!B65,summaryref2!L65,IF(AK274=summaryref2!B79,summaryref2!L79,IF(AK274=summaryref2!B93,summaryref2!L93,IF(AK274=summaryref2!B107,summaryref2!L107,IF(AK274=summaryref2!B121,summaryref2!L121,IF(AK274=summaryref2!B135,summaryref2!L135,IF(AK274=summaryref2!B149,summaryref2!L149,"")))))))))))</f>
        <v>#REF!</v>
      </c>
      <c r="AW274" s="1110" t="e">
        <f>IF('A-80 DirEntInv'!#REF!&lt;&gt;"",'A-80 DirEntInv'!#REF!,IF(AK274=summaryref2!B23,summaryref2!M23,IF(Summary!AK274=summaryref2!B37,summaryref2!M37,IF(AK274=summaryref2!B51,summaryref2!M51,IF(AK274=summaryref2!B65,summaryref2!M65,IF(AK274=summaryref2!B79,summaryref2!M79,IF(AK274=summaryref2!B93,summaryref2!M93,IF(AK274=summaryref2!B107,summaryref2!M107,IF(AK274=summaryref2!B121,summaryref2!M121,IF(AK274=summaryref2!B135,summaryref2!M135,IF(AK274=summaryref2!B149,summaryref2!M149,"")))))))))))</f>
        <v>#REF!</v>
      </c>
      <c r="AX274" s="1110" t="e">
        <f>IF('A-80 DirEntInv'!#REF!&lt;&gt;"",'A-80 DirEntInv'!#REF!,IF(AK274=summaryref2!B23,summaryref2!N23,IF(Summary!AK274=summaryref2!B37,summaryref2!N37,IF(AK274=summaryref2!B51,summaryref2!N51,IF(AK274=summaryref2!B65,summaryref2!N65,IF(AK274=summaryref2!B79,summaryref2!N79,IF(AK274=summaryref2!B93,summaryref2!N93,IF(AK274=summaryref2!B107,summaryref2!N107,IF(AK274=summaryref2!B121,summaryref2!N121,IF(AK274=summaryref2!B135,summaryref2!N135,IF(AK274=summaryref2!B149,summaryref2!N149,"")))))))))))</f>
        <v>#REF!</v>
      </c>
      <c r="AY274" s="1110" t="e">
        <f>IF('A-80 DirEntInv'!#REF!&lt;&gt;"",'A-80 DirEntInv'!#REF!,IF(AK274=summaryref2!B23,summaryref2!O23,IF(Summary!AK274=summaryref2!B37,summaryref2!O37,IF(AK274=summaryref2!B51,summaryref2!O51,IF(AK274=summaryref2!B65,summaryref2!O65,IF(AK274=summaryref2!B79,summaryref2!O79,IF(AK274=summaryref2!B93,summaryref2!O93,IF(AK274=summaryref2!B107,summaryref2!O107,IF(AK274=summaryref2!B121,summaryref2!O121,IF(AK274=summaryref2!B135,summaryref2!O135,IF(AK274=summaryref2!B149,summaryref2!O149,"")))))))))))</f>
        <v>#REF!</v>
      </c>
      <c r="AZ274" s="1110" t="e">
        <f>IF('A-80 DirEntInv'!#REF!&lt;&gt;"",'A-80 DirEntInv'!#REF!,IF(AK274=summaryref2!B23,summaryref2!P23,IF(Summary!AK274=summaryref2!B37,summaryref2!P37,IF(AK274=summaryref2!B51,summaryref2!P51,IF(AK274=summaryref2!B65,summaryref2!P65,IF(AK274=summaryref2!B79,summaryref2!P79,IF(AK274=summaryref2!B93,summaryref2!P93,IF(AK274=summaryref2!B107,summaryref2!P107,IF(AK274=summaryref2!B121,summaryref2!P121,IF(AK274=summaryref2!B135,summaryref2!P135,IF(AK274=summaryref2!B149,summaryref2!P149,"")))))))))))</f>
        <v>#REF!</v>
      </c>
      <c r="BA274" s="1110" t="e">
        <f>IF('A-80 DirEntInv'!#REF!&lt;&gt;"",'A-80 DirEntInv'!#REF!,IF(AK274=summaryref2!B23,summaryref2!Q23,IF(Summary!AK274=summaryref2!B37,summaryref2!Q37,IF(AK274=summaryref2!B51,summaryref2!Q51,IF(AK274=summaryref2!B65,summaryref2!Q65,IF(AK274=summaryref2!B79,summaryref2!Q79,IF(AK274=summaryref2!B93,summaryref2!Q93,IF(AK274=summaryref2!B107,summaryref2!Q107,IF(AK274=summaryref2!B121,summaryref2!Q121,IF(AK274=summaryref2!B135,summaryref2!Q135,IF(AK274=summaryref2!B149,summaryref2!Q149,"")))))))))))</f>
        <v>#REF!</v>
      </c>
      <c r="BB274" s="1110" t="e">
        <f>IF('A-80 DirEntInv'!#REF!&lt;&gt;"",'A-80 DirEntInv'!#REF!,IF(AK274=summaryref2!B23,summaryref2!R23,IF(Summary!AK274=summaryref2!B37,summaryref2!R37,IF(AK274=summaryref2!B51,summaryref2!R51,IF(AK274=summaryref2!B65,summaryref2!R65,IF(AK274=summaryref2!B79,summaryref2!R79,IF(AK274=summaryref2!B93,summaryref2!R93,IF(AK274=summaryref2!B107,summaryref2!R107,IF(AK274=summaryref2!B121,summaryref2!R121,IF(AK274=summaryref2!B135,summaryref2!R135,IF(AK274=summaryref2!B149,summaryref2!R149,"")))))))))))</f>
        <v>#REF!</v>
      </c>
      <c r="BC274" s="1110" t="e">
        <f>IF('A-80 DirEntInv'!#REF!&lt;&gt;0,'A-80 DirEntInv'!#REF!,IF(AK274=summaryref2!$B$12,summaryref2!$S$12,IF(Summary!AK274=summaryref2!$B$26,summaryref2!$S$26,IF(AK274=summaryref2!$B$40,summaryref2!$S$40,IF(AK274=summaryref2!$B$54,summaryref2!$S$54,IF(AK274=summaryref2!$B$68,summaryref2!$S$68,IF(AK274=summaryref2!$B$82,summaryref2!$S$82,IF(AK274=summaryref2!$B$96,summaryref2!$S$96,IF(AK274=summaryref2!$B$110,summaryref2!$S$110,IF(AK274=summaryref2!$B$124,summaryref2!$S$124,IF(AK274=summaryref2!$B$138,summaryref2!$S$138,"")))))))))))</f>
        <v>#REF!</v>
      </c>
      <c r="BD274" s="1111" t="e">
        <f>IF('A-80 DirEntInv'!#REF!&lt;&gt;"",'A-80 DirEntInv'!#REF!,IF(AK274=summaryref2!$B$12,summaryref2!$T$12,IF(Summary!AK274=summaryref2!$B$26,summaryref2!$T$26,IF(AK274=summaryref2!$B$40,summaryref2!$T$40,IF(AK274=summaryref2!$B$54,summaryref2!$T$54,IF(AK274=summaryref2!$B$68,summaryref2!$T$68,IF(AK274=summaryref2!$B$82,summaryref2!$T$82,IF(AK274=summaryref2!$B$96,summaryref2!$T$96,IF(AK274=summaryref2!$B$110,summaryref2!$T$110,IF(AK274=summaryref2!$B$124,summaryref2!$T$124,IF(AK274=summaryref2!$B$138,summaryref2!$T$138,"")))))))))))</f>
        <v>#REF!</v>
      </c>
      <c r="BE274" s="1184" t="e">
        <f>IF('A-80 DirEntInv'!#REF!&lt;&gt;"",'A-80 DirEntInv'!#REF!,IF(AK274=summaryref2!$B$12,summaryref2!$U$12,IF(Summary!AK274=summaryref2!$B$26,summaryref2!$U$26,IF(AK274=summaryref2!$B$40,summaryref2!$U$40,IF(AK274=summaryref2!$B$54,summaryref2!$U$54,IF(AK274=summaryref2!$B$68,summaryref2!$U$68,IF(AK274=summaryref2!$B$82,summaryref2!$U$82,IF(AK274=summaryref2!$B$96,summaryref2!$U$96,IF(AK274=summaryref2!$B$110,summaryref2!$U$110,IF(AK274=summaryref2!$B$124,summaryref2!$U$124,IF(AK274=summaryref2!$B$138,summaryref2!$U$138,"")))))))))))</f>
        <v>#REF!</v>
      </c>
      <c r="BF274" s="1432"/>
      <c r="BG274" s="1432"/>
      <c r="BU274" s="962"/>
      <c r="CD274" s="589"/>
      <c r="CE274" s="590"/>
      <c r="CF274" s="590"/>
      <c r="CG274" s="590"/>
      <c r="CH274" s="590"/>
      <c r="CI274" s="590"/>
      <c r="CJ274" s="589"/>
      <c r="CK274" s="589"/>
      <c r="CL274" s="589"/>
      <c r="CM274" s="587"/>
      <c r="CN274" s="587"/>
      <c r="CO274" s="589"/>
      <c r="CP274" s="587"/>
      <c r="CQ274" s="592"/>
      <c r="CR274" s="589"/>
      <c r="CS274" s="592"/>
      <c r="CT274" s="589"/>
      <c r="CU274" s="589"/>
      <c r="CV274" s="589"/>
      <c r="CW274" s="587"/>
      <c r="CX274" s="590"/>
      <c r="CY274" s="590"/>
      <c r="CZ274" s="590"/>
      <c r="DA274" s="1054"/>
      <c r="DB274" s="1054"/>
      <c r="DC274" s="587"/>
      <c r="DD274" s="587"/>
    </row>
    <row r="275" spans="1:108" s="588" customFormat="1" x14ac:dyDescent="0.2">
      <c r="A275" s="589">
        <f t="shared" si="4"/>
        <v>265</v>
      </c>
      <c r="B275" s="587"/>
      <c r="C275" s="587"/>
      <c r="D275" s="587"/>
      <c r="J275" s="589"/>
      <c r="K275" s="590"/>
      <c r="L275" s="591"/>
      <c r="M275" s="592"/>
      <c r="N275" s="589"/>
      <c r="O275" s="587"/>
      <c r="R275" s="1052"/>
      <c r="S275" s="1052"/>
      <c r="T275" s="1052"/>
      <c r="U275" s="1052"/>
      <c r="V275" s="1052"/>
      <c r="W275" s="1053"/>
      <c r="X275" s="1053"/>
      <c r="Y275" s="1053"/>
      <c r="Z275" s="1052"/>
      <c r="AA275" s="1052"/>
      <c r="AB275" s="962"/>
      <c r="AC275" s="590"/>
      <c r="AD275" s="590"/>
      <c r="AE275" s="591"/>
      <c r="AF275" s="592"/>
      <c r="AG275" s="1053"/>
      <c r="AH275" s="587"/>
      <c r="AK275" s="1041" t="str">
        <f>Codes!$C$174</f>
        <v>YR - Hybrid Rail (PT)</v>
      </c>
      <c r="AL275" s="1042" t="str">
        <f>Valid!$B$90</f>
        <v>Overhead Contact System/Power Distribution</v>
      </c>
      <c r="AM275" s="1108"/>
      <c r="AN275" s="1042"/>
      <c r="AO275" s="1108"/>
      <c r="AP275" s="1042"/>
      <c r="AQ275" s="1147" t="e">
        <f>IF('A-80 DirEntInv'!#REF!&lt;&gt;"",'A-80 DirEntInv'!#REF!,IF(AK275=summaryref2!B24,summaryref2!G24,IF(Summary!AK275=summaryref2!B38,summaryref2!G38,IF(AK275=summaryref2!B52,summaryref2!G52,IF(AK275=summaryref2!B66,summaryref2!G66,IF(AK275=summaryref2!B80,summaryref2!G80,IF(AK275=summaryref2!B94,summaryref2!G94,IF(AK275=summaryref2!B108,summaryref2!G108,IF(AK275=summaryref2!B122,summaryref2!G122,IF(AK275=summaryref2!B136,summaryref2!G136,IF(AK275=summaryref2!B150,summaryref2!G150,"")))))))))))</f>
        <v>#REF!</v>
      </c>
      <c r="AR275" s="1147" t="e">
        <f>IF('A-80 DirEntInv'!#REF!&lt;&gt;"",'A-80 DirEntInv'!#REF!,IF(AK275=summaryref2!B24,summaryref2!H24,IF(Summary!AK275=summaryref2!B38,summaryref2!H38,IF(AK275=summaryref2!B52,summaryref2!H52,IF(AK275=summaryref2!B66,summaryref2!H66,IF(AK275=summaryref2!B80,summaryref2!H80,IF(AK275=summaryref2!B94,summaryref2!H94,IF(AK275=summaryref2!B108,summaryref2!H108,IF(AK275=summaryref2!B122,summaryref2!H122,IF(AK275=summaryref2!B136,summaryref2!H136,IF(AK275=summaryref2!B150,summaryref2!H150,"")))))))))))</f>
        <v>#REF!</v>
      </c>
      <c r="AS275" s="1110" t="e">
        <f>IF('A-80 DirEntInv'!#REF!&lt;&gt;"",'A-80 DirEntInv'!#REF!,IF(AK275=summaryref2!B24,summaryref2!I24,IF(Summary!AK275=summaryref2!B38,summaryref2!I38,IF(AK275=summaryref2!B52,summaryref2!I52,IF(AK275=summaryref2!B66,summaryref2!I66,IF(AK275=summaryref2!B80,summaryref2!I80,IF(AK275=summaryref2!B94,summaryref2!I94,IF(AK275=summaryref2!B108,summaryref2!I108,IF(AK275=summaryref2!B122,summaryref2!I122,IF(AK275=summaryref2!B136,summaryref2!I136,IF(AK275=summaryref2!B150,summaryref2!I150,"")))))))))))</f>
        <v>#REF!</v>
      </c>
      <c r="AT275" s="1110" t="e">
        <f>IF('A-80 DirEntInv'!#REF!&lt;&gt;"",'A-80 DirEntInv'!#REF!,IF(AK275=summaryref2!B24,summaryref2!J24,IF(Summary!AK275=summaryref2!B38,summaryref2!J38,IF(AK275=summaryref2!B52,summaryref2!J52,IF(AK275=summaryref2!B66,summaryref2!J66,IF(AK275=summaryref2!B80,summaryref2!J80,IF(AK275=summaryref2!B94,summaryref2!J94,IF(AK275=summaryref2!B108,summaryref2!J108,IF(AK275=summaryref2!B122,summaryref2!J122,IF(AK275=summaryref2!B136,summaryref2!J136,IF(AK275=summaryref2!B150,summaryref2!J150,"")))))))))))</f>
        <v>#REF!</v>
      </c>
      <c r="AU275" s="1110" t="e">
        <f>IF('A-80 DirEntInv'!#REF!&lt;&gt;"",'A-80 DirEntInv'!#REF!,IF(AK275=summaryref2!B24,summaryref2!K24,IF(Summary!AK275=summaryref2!B38,summaryref2!K38,IF(AK275=summaryref2!B52,summaryref2!K52,IF(AK275=summaryref2!B66,summaryref2!K66,IF(AK275=summaryref2!B80,summaryref2!K80,IF(AK275=summaryref2!B94,summaryref2!K94,IF(AK275=summaryref2!B108,summaryref2!K108,IF(AK275=summaryref2!B122,summaryref2!K122,IF(AK275=summaryref2!B136,summaryref2!K136,IF(AK275=summaryref2!B150,summaryref2!K150,"")))))))))))</f>
        <v>#REF!</v>
      </c>
      <c r="AV275" s="1110" t="e">
        <f>IF('A-80 DirEntInv'!#REF!&lt;&gt;"",'A-80 DirEntInv'!#REF!,IF(AK275=summaryref2!B24,summaryref2!L24,IF(Summary!AK275=summaryref2!B38,summaryref2!L38,IF(AK275=summaryref2!B52,summaryref2!L52,IF(AK275=summaryref2!B66,summaryref2!L66,IF(AK275=summaryref2!B80,summaryref2!L80,IF(AK275=summaryref2!B94,summaryref2!L94,IF(AK275=summaryref2!B108,summaryref2!L108,IF(AK275=summaryref2!B122,summaryref2!L122,IF(AK275=summaryref2!B136,summaryref2!L136,IF(AK275=summaryref2!B150,summaryref2!L150,"")))))))))))</f>
        <v>#REF!</v>
      </c>
      <c r="AW275" s="1110" t="e">
        <f>IF('A-80 DirEntInv'!#REF!&lt;&gt;"",'A-80 DirEntInv'!#REF!,IF(AK275=summaryref2!B24,summaryref2!M24,IF(Summary!AK275=summaryref2!B38,summaryref2!M38,IF(AK275=summaryref2!B52,summaryref2!M52,IF(AK275=summaryref2!B66,summaryref2!M66,IF(AK275=summaryref2!B80,summaryref2!M80,IF(AK275=summaryref2!B94,summaryref2!M94,IF(AK275=summaryref2!B108,summaryref2!M108,IF(AK275=summaryref2!B122,summaryref2!M122,IF(AK275=summaryref2!B136,summaryref2!M136,IF(AK275=summaryref2!B150,summaryref2!M150,"")))))))))))</f>
        <v>#REF!</v>
      </c>
      <c r="AX275" s="1110" t="e">
        <f>IF('A-80 DirEntInv'!#REF!&lt;&gt;"",'A-80 DirEntInv'!#REF!,IF(AK275=summaryref2!B24,summaryref2!N24,IF(Summary!AK275=summaryref2!B38,summaryref2!N38,IF(AK275=summaryref2!B52,summaryref2!N52,IF(AK275=summaryref2!B66,summaryref2!N66,IF(AK275=summaryref2!B80,summaryref2!N80,IF(AK275=summaryref2!B94,summaryref2!N94,IF(AK275=summaryref2!B108,summaryref2!N108,IF(AK275=summaryref2!B122,summaryref2!N122,IF(AK275=summaryref2!B136,summaryref2!N136,IF(AK275=summaryref2!B150,summaryref2!N150,"")))))))))))</f>
        <v>#REF!</v>
      </c>
      <c r="AY275" s="1110" t="e">
        <f>IF('A-80 DirEntInv'!#REF!&lt;&gt;"",'A-80 DirEntInv'!#REF!,IF(AK275=summaryref2!B24,summaryref2!O24,IF(Summary!AK275=summaryref2!B38,summaryref2!O38,IF(AK275=summaryref2!B52,summaryref2!O52,IF(AK275=summaryref2!B66,summaryref2!O66,IF(AK275=summaryref2!B80,summaryref2!O80,IF(AK275=summaryref2!B94,summaryref2!O94,IF(AK275=summaryref2!B108,summaryref2!O108,IF(AK275=summaryref2!B122,summaryref2!O122,IF(AK275=summaryref2!B136,summaryref2!O136,IF(AK275=summaryref2!B150,summaryref2!O150,"")))))))))))</f>
        <v>#REF!</v>
      </c>
      <c r="AZ275" s="1110" t="e">
        <f>IF('A-80 DirEntInv'!#REF!&lt;&gt;"",'A-80 DirEntInv'!#REF!,IF(AK275=summaryref2!B24,summaryref2!P24,IF(Summary!AK275=summaryref2!B38,summaryref2!P38,IF(AK275=summaryref2!B52,summaryref2!P52,IF(AK275=summaryref2!B66,summaryref2!P66,IF(AK275=summaryref2!B80,summaryref2!P80,IF(AK275=summaryref2!B94,summaryref2!P94,IF(AK275=summaryref2!B108,summaryref2!P108,IF(AK275=summaryref2!B122,summaryref2!P122,IF(AK275=summaryref2!B136,summaryref2!P136,IF(AK275=summaryref2!B150,summaryref2!P150,"")))))))))))</f>
        <v>#REF!</v>
      </c>
      <c r="BA275" s="1110" t="e">
        <f>IF('A-80 DirEntInv'!#REF!&lt;&gt;"",'A-80 DirEntInv'!#REF!,IF(AK275=summaryref2!B24,summaryref2!Q24,IF(Summary!AK275=summaryref2!B38,summaryref2!Q38,IF(AK275=summaryref2!B52,summaryref2!Q52,IF(AK275=summaryref2!B66,summaryref2!Q66,IF(AK275=summaryref2!B80,summaryref2!Q80,IF(AK275=summaryref2!B94,summaryref2!Q94,IF(AK275=summaryref2!B108,summaryref2!Q108,IF(AK275=summaryref2!B122,summaryref2!Q122,IF(AK275=summaryref2!B136,summaryref2!Q136,IF(AK275=summaryref2!B150,summaryref2!Q150,"")))))))))))</f>
        <v>#REF!</v>
      </c>
      <c r="BB275" s="1110" t="e">
        <f>IF('A-80 DirEntInv'!#REF!&lt;&gt;"",'A-80 DirEntInv'!#REF!,IF(AK275=summaryref2!B24,summaryref2!R24,IF(Summary!AK275=summaryref2!B38,summaryref2!R38,IF(AK275=summaryref2!B52,summaryref2!R52,IF(AK275=summaryref2!B66,summaryref2!R66,IF(AK275=summaryref2!B80,summaryref2!R80,IF(AK275=summaryref2!B94,summaryref2!R94,IF(AK275=summaryref2!B108,summaryref2!R108,IF(AK275=summaryref2!B122,summaryref2!R122,IF(AK275=summaryref2!B136,summaryref2!R136,IF(AK275=summaryref2!B150,summaryref2!R150,"")))))))))))</f>
        <v>#REF!</v>
      </c>
      <c r="BC275" s="1110" t="e">
        <f>IF('A-80 DirEntInv'!#REF!&lt;&gt;0,'A-80 DirEntInv'!#REF!,IF(AK275=summaryref2!$B$12,summaryref2!$S$12,IF(Summary!AK275=summaryref2!$B$26,summaryref2!$S$26,IF(AK275=summaryref2!$B$40,summaryref2!$S$40,IF(AK275=summaryref2!$B$54,summaryref2!$S$54,IF(AK275=summaryref2!$B$68,summaryref2!$S$68,IF(AK275=summaryref2!$B$82,summaryref2!$S$82,IF(AK275=summaryref2!$B$96,summaryref2!$S$96,IF(AK275=summaryref2!$B$110,summaryref2!$S$110,IF(AK275=summaryref2!$B$124,summaryref2!$S$124,IF(AK275=summaryref2!$B$138,summaryref2!$S$138,"")))))))))))</f>
        <v>#REF!</v>
      </c>
      <c r="BD275" s="1111" t="e">
        <f>IF('A-80 DirEntInv'!#REF!&lt;&gt;"",'A-80 DirEntInv'!#REF!,IF(AK275=summaryref2!$B$12,summaryref2!$T$12,IF(Summary!AK275=summaryref2!$B$26,summaryref2!$T$26,IF(AK275=summaryref2!$B$40,summaryref2!$T$40,IF(AK275=summaryref2!$B$54,summaryref2!$T$54,IF(AK275=summaryref2!$B$68,summaryref2!$T$68,IF(AK275=summaryref2!$B$82,summaryref2!$T$82,IF(AK275=summaryref2!$B$96,summaryref2!$T$96,IF(AK275=summaryref2!$B$110,summaryref2!$T$110,IF(AK275=summaryref2!$B$124,summaryref2!$T$124,IF(AK275=summaryref2!$B$138,summaryref2!$T$138,"")))))))))))</f>
        <v>#REF!</v>
      </c>
      <c r="BE275" s="1184" t="e">
        <f>IF('A-80 DirEntInv'!#REF!&lt;&gt;"",'A-80 DirEntInv'!#REF!,IF(AK275=summaryref2!$B$12,summaryref2!$U$12,IF(Summary!AK275=summaryref2!$B$26,summaryref2!$U$26,IF(AK275=summaryref2!$B$40,summaryref2!$U$40,IF(AK275=summaryref2!$B$54,summaryref2!$U$54,IF(AK275=summaryref2!$B$68,summaryref2!$U$68,IF(AK275=summaryref2!$B$82,summaryref2!$U$82,IF(AK275=summaryref2!$B$96,summaryref2!$U$96,IF(AK275=summaryref2!$B$110,summaryref2!$U$110,IF(AK275=summaryref2!$B$124,summaryref2!$U$124,IF(AK275=summaryref2!$B$138,summaryref2!$U$138,"")))))))))))</f>
        <v>#REF!</v>
      </c>
      <c r="BF275" s="1432"/>
      <c r="BG275" s="1432"/>
      <c r="BU275" s="962"/>
      <c r="CD275" s="589"/>
      <c r="CE275" s="590"/>
      <c r="CF275" s="590"/>
      <c r="CG275" s="590"/>
      <c r="CH275" s="590"/>
      <c r="CI275" s="590"/>
      <c r="CJ275" s="589"/>
      <c r="CK275" s="589"/>
      <c r="CL275" s="589"/>
      <c r="CM275" s="587"/>
      <c r="CN275" s="587"/>
      <c r="CO275" s="589"/>
      <c r="CP275" s="587"/>
      <c r="CQ275" s="592"/>
      <c r="CR275" s="589"/>
      <c r="CS275" s="592"/>
      <c r="CT275" s="589"/>
      <c r="CU275" s="589"/>
      <c r="CV275" s="589"/>
      <c r="CW275" s="587"/>
      <c r="CX275" s="590"/>
      <c r="CY275" s="590"/>
      <c r="CZ275" s="590"/>
      <c r="DA275" s="1054"/>
      <c r="DB275" s="1054"/>
      <c r="DC275" s="587"/>
      <c r="DD275" s="587"/>
    </row>
    <row r="276" spans="1:108" s="588" customFormat="1" ht="13.5" thickBot="1" x14ac:dyDescent="0.25">
      <c r="A276" s="589">
        <f t="shared" si="4"/>
        <v>266</v>
      </c>
      <c r="B276" s="587"/>
      <c r="C276" s="587"/>
      <c r="D276" s="587"/>
      <c r="J276" s="589"/>
      <c r="K276" s="590"/>
      <c r="L276" s="591"/>
      <c r="M276" s="592"/>
      <c r="N276" s="589"/>
      <c r="O276" s="587"/>
      <c r="R276" s="1052"/>
      <c r="S276" s="1052"/>
      <c r="T276" s="1052"/>
      <c r="U276" s="1052"/>
      <c r="V276" s="1052"/>
      <c r="W276" s="1053"/>
      <c r="X276" s="1053"/>
      <c r="Y276" s="1053"/>
      <c r="Z276" s="1052"/>
      <c r="AA276" s="1052"/>
      <c r="AB276" s="962"/>
      <c r="AC276" s="590"/>
      <c r="AD276" s="590"/>
      <c r="AE276" s="591"/>
      <c r="AF276" s="592"/>
      <c r="AG276" s="1053"/>
      <c r="AH276" s="587"/>
      <c r="AK276" s="1047" t="str">
        <f>Codes!$C$174</f>
        <v>YR - Hybrid Rail (PT)</v>
      </c>
      <c r="AL276" s="1050" t="str">
        <f>Valid!$B$91</f>
        <v>Train Control &amp; Signaling</v>
      </c>
      <c r="AM276" s="1185"/>
      <c r="AN276" s="1050"/>
      <c r="AO276" s="1185"/>
      <c r="AP276" s="1050"/>
      <c r="AQ276" s="1386" t="e">
        <f>IF('A-80 DirEntInv'!#REF!&lt;&gt;"",'A-80 DirEntInv'!#REF!,IF(AK276=summaryref2!B25,summaryref2!G25,IF(Summary!AK276=summaryref2!B39,summaryref2!G39,IF(AK276=summaryref2!B53,summaryref2!G53,IF(AK276=summaryref2!B67,summaryref2!G67,IF(AK276=summaryref2!B81,summaryref2!G81,IF(AK276=summaryref2!B95,summaryref2!G95,IF(AK276=summaryref2!B109,summaryref2!G109,IF(AK276=summaryref2!B123,summaryref2!G123,IF(AK276=summaryref2!B137,summaryref2!G137,IF(AK276=summaryref2!B151,summaryref2!G151,"")))))))))))</f>
        <v>#REF!</v>
      </c>
      <c r="AR276" s="1386" t="e">
        <f>IF('A-80 DirEntInv'!#REF!&lt;&gt;"",'A-80 DirEntInv'!#REF!,IF(AK276=summaryref2!B25,summaryref2!H25,IF(Summary!AK276=summaryref2!B39,summaryref2!H39,IF(AK276=summaryref2!B53,summaryref2!H53,IF(AK276=summaryref2!B67,summaryref2!H67,IF(AK276=summaryref2!B81,summaryref2!H81,IF(AK276=summaryref2!B95,summaryref2!H95,IF(AK276=summaryref2!B109,summaryref2!H109,IF(AK276=summaryref2!B123,summaryref2!H123,IF(AK276=summaryref2!B137,summaryref2!H137,IF(AK276=summaryref2!B151,summaryref2!H151,"")))))))))))</f>
        <v>#REF!</v>
      </c>
      <c r="AS276" s="1387" t="e">
        <f>IF('A-80 DirEntInv'!#REF!&lt;&gt;"",'A-80 DirEntInv'!#REF!,IF(AK276=summaryref2!B25,summaryref2!I25,IF(Summary!AK276=summaryref2!B39,summaryref2!I39,IF(AK276=summaryref2!B53,summaryref2!I53,IF(AK276=summaryref2!B67,summaryref2!I67,IF(AK276=summaryref2!B81,summaryref2!I81,IF(AK276=summaryref2!B95,summaryref2!I95,IF(AK276=summaryref2!B109,summaryref2!I109,IF(AK276=summaryref2!B123,summaryref2!I123,IF(AK276=summaryref2!B137,summaryref2!I137,IF(AK276=summaryref2!B151,summaryref2!I151,"")))))))))))</f>
        <v>#REF!</v>
      </c>
      <c r="AT276" s="1387" t="e">
        <f>IF('A-80 DirEntInv'!#REF!&lt;&gt;"",'A-80 DirEntInv'!#REF!,IF(AK276=summaryref2!B25,summaryref2!J25,IF(Summary!AK276=summaryref2!B39,summaryref2!J39,IF(AK276=summaryref2!B53,summaryref2!J53,IF(AK276=summaryref2!B67,summaryref2!J67,IF(AK276=summaryref2!B81,summaryref2!J81,IF(AK276=summaryref2!B95,summaryref2!J95,IF(AK276=summaryref2!B109,summaryref2!J109,IF(AK276=summaryref2!B123,summaryref2!J123,IF(AK276=summaryref2!B137,summaryref2!J137,IF(AK276=summaryref2!B151,summaryref2!J151,"")))))))))))</f>
        <v>#REF!</v>
      </c>
      <c r="AU276" s="1387" t="e">
        <f>IF('A-80 DirEntInv'!#REF!&lt;&gt;"",'A-80 DirEntInv'!#REF!,IF(AK276=summaryref2!B25,summaryref2!K25,IF(Summary!AK276=summaryref2!B39,summaryref2!K39,IF(AK276=summaryref2!B53,summaryref2!K53,IF(AK276=summaryref2!B67,summaryref2!K67,IF(AK276=summaryref2!B81,summaryref2!K81,IF(AK276=summaryref2!B95,summaryref2!K95,IF(AK276=summaryref2!B109,summaryref2!K109,IF(AK276=summaryref2!B123,summaryref2!K123,IF(AK276=summaryref2!B137,summaryref2!K137,IF(AK276=summaryref2!B151,summaryref2!K151,"")))))))))))</f>
        <v>#REF!</v>
      </c>
      <c r="AV276" s="1387" t="e">
        <f>IF('A-80 DirEntInv'!#REF!&lt;&gt;"",'A-80 DirEntInv'!#REF!,IF(AK276=summaryref2!B25,summaryref2!L25,IF(Summary!AK276=summaryref2!B39,summaryref2!L39,IF(AK276=summaryref2!B53,summaryref2!L53,IF(AK276=summaryref2!B67,summaryref2!L67,IF(AK276=summaryref2!B81,summaryref2!L81,IF(AK276=summaryref2!B95,summaryref2!L95,IF(AK276=summaryref2!B109,summaryref2!L109,IF(AK276=summaryref2!B123,summaryref2!L123,IF(AK276=summaryref2!B137,summaryref2!L137,IF(AK276=summaryref2!B151,summaryref2!L151,"")))))))))))</f>
        <v>#REF!</v>
      </c>
      <c r="AW276" s="1387" t="e">
        <f>IF('A-80 DirEntInv'!#REF!&lt;&gt;"",'A-80 DirEntInv'!#REF!,IF(AK276=summaryref2!B25,summaryref2!M25,IF(Summary!AK276=summaryref2!B39,summaryref2!M39,IF(AK276=summaryref2!B53,summaryref2!M53,IF(AK276=summaryref2!B67,summaryref2!M67,IF(AK276=summaryref2!B81,summaryref2!M81,IF(AK276=summaryref2!B95,summaryref2!M95,IF(AK276=summaryref2!B109,summaryref2!M109,IF(AK276=summaryref2!B123,summaryref2!M123,IF(AK276=summaryref2!B137,summaryref2!M137,IF(AK276=summaryref2!B151,summaryref2!M151,"")))))))))))</f>
        <v>#REF!</v>
      </c>
      <c r="AX276" s="1387" t="e">
        <f>IF('A-80 DirEntInv'!#REF!&lt;&gt;"",'A-80 DirEntInv'!#REF!,IF(AK276=summaryref2!B25,summaryref2!N25,IF(Summary!AK276=summaryref2!B39,summaryref2!N39,IF(AK276=summaryref2!B53,summaryref2!N53,IF(AK276=summaryref2!B67,summaryref2!N67,IF(AK276=summaryref2!B81,summaryref2!N81,IF(AK276=summaryref2!B95,summaryref2!N95,IF(AK276=summaryref2!B109,summaryref2!N109,IF(AK276=summaryref2!B123,summaryref2!N123,IF(AK276=summaryref2!B137,summaryref2!N137,IF(AK276=summaryref2!B151,summaryref2!N151,"")))))))))))</f>
        <v>#REF!</v>
      </c>
      <c r="AY276" s="1387" t="e">
        <f>IF('A-80 DirEntInv'!#REF!&lt;&gt;"",'A-80 DirEntInv'!#REF!,IF(AK276=summaryref2!B25,summaryref2!O25,IF(Summary!AK276=summaryref2!B39,summaryref2!O39,IF(AK276=summaryref2!B53,summaryref2!O53,IF(AK276=summaryref2!B67,summaryref2!O67,IF(AK276=summaryref2!B81,summaryref2!O81,IF(AK276=summaryref2!B95,summaryref2!O95,IF(AK276=summaryref2!B109,summaryref2!O109,IF(AK276=summaryref2!B123,summaryref2!O123,IF(AK276=summaryref2!B137,summaryref2!O137,IF(AK276=summaryref2!B151,summaryref2!O151,"")))))))))))</f>
        <v>#REF!</v>
      </c>
      <c r="AZ276" s="1387" t="e">
        <f>IF('A-80 DirEntInv'!#REF!&lt;&gt;"",'A-80 DirEntInv'!#REF!,IF(AK276=summaryref2!B25,summaryref2!P25,IF(Summary!AK276=summaryref2!B39,summaryref2!P39,IF(AK276=summaryref2!B53,summaryref2!P53,IF(AK276=summaryref2!B67,summaryref2!P67,IF(AK276=summaryref2!B81,summaryref2!P81,IF(AK276=summaryref2!B95,summaryref2!P95,IF(AK276=summaryref2!B109,summaryref2!P109,IF(AK276=summaryref2!B123,summaryref2!P123,IF(AK276=summaryref2!B137,summaryref2!P137,IF(AK276=summaryref2!B151,summaryref2!P151,"")))))))))))</f>
        <v>#REF!</v>
      </c>
      <c r="BA276" s="1387" t="e">
        <f>IF('A-80 DirEntInv'!#REF!&lt;&gt;"",'A-80 DirEntInv'!#REF!,IF(AK276=summaryref2!B25,summaryref2!Q25,IF(Summary!AK276=summaryref2!B39,summaryref2!Q39,IF(AK276=summaryref2!B53,summaryref2!Q53,IF(AK276=summaryref2!B67,summaryref2!Q67,IF(AK276=summaryref2!B81,summaryref2!Q81,IF(AK276=summaryref2!B95,summaryref2!Q95,IF(AK276=summaryref2!B109,summaryref2!Q109,IF(AK276=summaryref2!B123,summaryref2!Q123,IF(AK276=summaryref2!B137,summaryref2!Q137,IF(AK276=summaryref2!B151,summaryref2!Q151,"")))))))))))</f>
        <v>#REF!</v>
      </c>
      <c r="BB276" s="1387" t="e">
        <f>IF('A-80 DirEntInv'!#REF!&lt;&gt;"",'A-80 DirEntInv'!#REF!,IF(AK276=summaryref2!B25,summaryref2!R25,IF(Summary!AK276=summaryref2!B39,summaryref2!R39,IF(AK276=summaryref2!B53,summaryref2!R53,IF(AK276=summaryref2!B67,summaryref2!R67,IF(AK276=summaryref2!B81,summaryref2!R81,IF(AK276=summaryref2!B95,summaryref2!R95,IF(AK276=summaryref2!B109,summaryref2!R109,IF(AK276=summaryref2!B123,summaryref2!R123,IF(AK276=summaryref2!B137,summaryref2!R137,IF(AK276=summaryref2!B151,summaryref2!R151,"")))))))))))</f>
        <v>#REF!</v>
      </c>
      <c r="BC276" s="1387" t="e">
        <f>IF('A-80 DirEntInv'!#REF!&lt;&gt;0,'A-80 DirEntInv'!#REF!,IF(AK276=summaryref2!$B$12,summaryref2!$S$12,IF(Summary!AK276=summaryref2!$B$26,summaryref2!$S$26,IF(AK276=summaryref2!$B$40,summaryref2!$S$40,IF(AK276=summaryref2!$B$54,summaryref2!$S$54,IF(AK276=summaryref2!$B$68,summaryref2!$S$68,IF(AK276=summaryref2!$B$82,summaryref2!$S$82,IF(AK276=summaryref2!$B$96,summaryref2!$S$96,IF(AK276=summaryref2!$B$110,summaryref2!$S$110,IF(AK276=summaryref2!$B$124,summaryref2!$S$124,IF(AK276=summaryref2!$B$138,summaryref2!$S$138,"")))))))))))</f>
        <v>#REF!</v>
      </c>
      <c r="BD276" s="1118" t="e">
        <f>IF('A-80 DirEntInv'!#REF!&lt;&gt;"",'A-80 DirEntInv'!#REF!,IF(AK276=summaryref2!$B$12,summaryref2!$T$12,IF(Summary!AK276=summaryref2!$B$26,summaryref2!$T$26,IF(AK276=summaryref2!$B$40,summaryref2!$T$40,IF(AK276=summaryref2!$B$54,summaryref2!$T$54,IF(AK276=summaryref2!$B$68,summaryref2!$T$68,IF(AK276=summaryref2!$B$82,summaryref2!$T$82,IF(AK276=summaryref2!$B$96,summaryref2!$T$96,IF(AK276=summaryref2!$B$110,summaryref2!$T$110,IF(AK276=summaryref2!$B$124,summaryref2!$T$124,IF(AK276=summaryref2!$B$138,summaryref2!$T$138,"")))))))))))</f>
        <v>#REF!</v>
      </c>
      <c r="BE276" s="1186" t="e">
        <f>IF('A-80 DirEntInv'!#REF!&lt;&gt;"",'A-80 DirEntInv'!#REF!,IF(AK276=summaryref2!$B$12,summaryref2!$U$12,IF(Summary!AK276=summaryref2!$B$26,summaryref2!$U$26,IF(AK276=summaryref2!$B$40,summaryref2!$U$40,IF(AK276=summaryref2!$B$54,summaryref2!$U$54,IF(AK276=summaryref2!$B$68,summaryref2!$U$68,IF(AK276=summaryref2!$B$82,summaryref2!$U$82,IF(AK276=summaryref2!$B$96,summaryref2!$U$96,IF(AK276=summaryref2!$B$110,summaryref2!$U$110,IF(AK276=summaryref2!$B$124,summaryref2!$U$124,IF(AK276=summaryref2!$B$138,summaryref2!$U$138,"")))))))))))</f>
        <v>#REF!</v>
      </c>
      <c r="BF276" s="1432"/>
      <c r="BG276" s="1432"/>
      <c r="BU276" s="962"/>
      <c r="CD276" s="589"/>
      <c r="CE276" s="590"/>
      <c r="CF276" s="590"/>
      <c r="CG276" s="590"/>
      <c r="CH276" s="590"/>
      <c r="CI276" s="590"/>
      <c r="CJ276" s="589"/>
      <c r="CK276" s="589"/>
      <c r="CL276" s="589"/>
      <c r="CM276" s="587"/>
      <c r="CN276" s="587"/>
      <c r="CO276" s="589"/>
      <c r="CP276" s="587"/>
      <c r="CQ276" s="592"/>
      <c r="CR276" s="589"/>
      <c r="CS276" s="592"/>
      <c r="CT276" s="589"/>
      <c r="CU276" s="589"/>
      <c r="CV276" s="589"/>
      <c r="CW276" s="587"/>
      <c r="CX276" s="590"/>
      <c r="CY276" s="590"/>
      <c r="CZ276" s="590"/>
      <c r="DA276" s="1054"/>
      <c r="DB276" s="1054"/>
      <c r="DC276" s="587"/>
      <c r="DD276" s="587"/>
    </row>
    <row r="277" spans="1:108" s="588" customFormat="1" x14ac:dyDescent="0.2">
      <c r="A277" s="589">
        <f t="shared" si="4"/>
        <v>267</v>
      </c>
      <c r="B277" s="587"/>
      <c r="C277" s="587"/>
      <c r="D277" s="587"/>
      <c r="J277" s="589"/>
      <c r="K277" s="590"/>
      <c r="L277" s="591"/>
      <c r="M277" s="592"/>
      <c r="N277" s="589"/>
      <c r="O277" s="587"/>
      <c r="R277" s="1052"/>
      <c r="S277" s="1052"/>
      <c r="T277" s="1052"/>
      <c r="U277" s="1052"/>
      <c r="V277" s="1052"/>
      <c r="W277" s="1053"/>
      <c r="X277" s="1053"/>
      <c r="Y277" s="1053"/>
      <c r="Z277" s="1052"/>
      <c r="AA277" s="1052"/>
      <c r="AB277" s="962"/>
      <c r="AC277" s="590"/>
      <c r="AD277" s="590"/>
      <c r="AE277" s="591"/>
      <c r="AF277" s="592"/>
      <c r="AG277" s="1053"/>
      <c r="AH277" s="587"/>
      <c r="BU277" s="962"/>
      <c r="CD277" s="589"/>
      <c r="CE277" s="590"/>
      <c r="CF277" s="590"/>
      <c r="CG277" s="590"/>
      <c r="CH277" s="590"/>
      <c r="CI277" s="590"/>
      <c r="CJ277" s="589"/>
      <c r="CK277" s="589"/>
      <c r="CL277" s="589"/>
      <c r="CM277" s="587"/>
      <c r="CN277" s="587"/>
      <c r="CO277" s="589"/>
      <c r="CP277" s="587"/>
      <c r="CQ277" s="592"/>
      <c r="CR277" s="589"/>
      <c r="CS277" s="592"/>
      <c r="CT277" s="589"/>
      <c r="CU277" s="589"/>
      <c r="CV277" s="589"/>
      <c r="CW277" s="587"/>
      <c r="CX277" s="590"/>
      <c r="CY277" s="590"/>
      <c r="CZ277" s="590"/>
      <c r="DA277" s="1054"/>
      <c r="DB277" s="1054"/>
      <c r="DC277" s="587"/>
      <c r="DD277" s="587"/>
    </row>
    <row r="278" spans="1:108" s="588" customFormat="1" x14ac:dyDescent="0.2">
      <c r="A278" s="589">
        <f t="shared" si="4"/>
        <v>268</v>
      </c>
      <c r="B278" s="587"/>
      <c r="C278" s="587"/>
      <c r="D278" s="587"/>
      <c r="J278" s="589"/>
      <c r="K278" s="590"/>
      <c r="L278" s="591"/>
      <c r="M278" s="592"/>
      <c r="N278" s="589"/>
      <c r="O278" s="587"/>
      <c r="R278" s="1052"/>
      <c r="S278" s="1052"/>
      <c r="T278" s="1052"/>
      <c r="U278" s="1052"/>
      <c r="V278" s="1052"/>
      <c r="W278" s="1053"/>
      <c r="X278" s="1053"/>
      <c r="Y278" s="1053"/>
      <c r="Z278" s="1052"/>
      <c r="AA278" s="1052"/>
      <c r="AB278" s="962"/>
      <c r="AC278" s="590"/>
      <c r="AD278" s="590"/>
      <c r="AE278" s="591"/>
      <c r="AF278" s="592"/>
      <c r="AG278" s="1053"/>
      <c r="AH278" s="587"/>
      <c r="BU278" s="962"/>
      <c r="CD278" s="589"/>
      <c r="CE278" s="590"/>
      <c r="CF278" s="590"/>
      <c r="CG278" s="590"/>
      <c r="CH278" s="590"/>
      <c r="CI278" s="590"/>
      <c r="CJ278" s="589"/>
      <c r="CK278" s="589"/>
      <c r="CL278" s="589"/>
      <c r="CM278" s="587"/>
      <c r="CN278" s="587"/>
      <c r="CO278" s="589"/>
      <c r="CP278" s="587"/>
      <c r="CQ278" s="592"/>
      <c r="CR278" s="589"/>
      <c r="CS278" s="592"/>
      <c r="CT278" s="589"/>
      <c r="CU278" s="589"/>
      <c r="CV278" s="589"/>
      <c r="CW278" s="587"/>
      <c r="CX278" s="590"/>
      <c r="CY278" s="590"/>
      <c r="CZ278" s="590"/>
      <c r="DA278" s="1054"/>
      <c r="DB278" s="1054"/>
      <c r="DC278" s="587"/>
      <c r="DD278" s="587"/>
    </row>
    <row r="279" spans="1:108" s="588" customFormat="1" x14ac:dyDescent="0.2">
      <c r="A279" s="589">
        <f t="shared" si="4"/>
        <v>269</v>
      </c>
      <c r="B279" s="587"/>
      <c r="C279" s="587"/>
      <c r="D279" s="587"/>
      <c r="J279" s="589"/>
      <c r="K279" s="590"/>
      <c r="L279" s="591"/>
      <c r="M279" s="592"/>
      <c r="N279" s="589"/>
      <c r="O279" s="587"/>
      <c r="R279" s="1052"/>
      <c r="S279" s="1052"/>
      <c r="T279" s="1052"/>
      <c r="U279" s="1052"/>
      <c r="V279" s="1052"/>
      <c r="W279" s="1053"/>
      <c r="X279" s="1053"/>
      <c r="Y279" s="1053"/>
      <c r="Z279" s="1052"/>
      <c r="AA279" s="1052"/>
      <c r="AB279" s="962"/>
      <c r="AC279" s="590"/>
      <c r="AD279" s="590"/>
      <c r="AE279" s="591"/>
      <c r="AF279" s="592"/>
      <c r="AG279" s="1053"/>
      <c r="AH279" s="587"/>
      <c r="BU279" s="962"/>
      <c r="CD279" s="589"/>
      <c r="CE279" s="590"/>
      <c r="CF279" s="590"/>
      <c r="CG279" s="590"/>
      <c r="CH279" s="590"/>
      <c r="CI279" s="590"/>
      <c r="CJ279" s="589"/>
      <c r="CK279" s="589"/>
      <c r="CL279" s="589"/>
      <c r="CM279" s="587"/>
      <c r="CN279" s="587"/>
      <c r="CO279" s="589"/>
      <c r="CP279" s="587"/>
      <c r="CQ279" s="592"/>
      <c r="CR279" s="589"/>
      <c r="CS279" s="592"/>
      <c r="CT279" s="589"/>
      <c r="CU279" s="589"/>
      <c r="CV279" s="589"/>
      <c r="CW279" s="587"/>
      <c r="CX279" s="590"/>
      <c r="CY279" s="590"/>
      <c r="CZ279" s="590"/>
      <c r="DA279" s="1054"/>
      <c r="DB279" s="1054"/>
      <c r="DC279" s="587"/>
      <c r="DD279" s="587"/>
    </row>
    <row r="280" spans="1:108" s="588" customFormat="1" x14ac:dyDescent="0.2">
      <c r="A280" s="589">
        <f t="shared" si="4"/>
        <v>270</v>
      </c>
      <c r="B280" s="587"/>
      <c r="C280" s="587"/>
      <c r="D280" s="587"/>
      <c r="J280" s="589"/>
      <c r="K280" s="590"/>
      <c r="L280" s="591"/>
      <c r="M280" s="592"/>
      <c r="N280" s="589"/>
      <c r="O280" s="587"/>
      <c r="R280" s="1052"/>
      <c r="S280" s="1052"/>
      <c r="T280" s="1052"/>
      <c r="U280" s="1052"/>
      <c r="V280" s="1052"/>
      <c r="W280" s="1053"/>
      <c r="X280" s="1053"/>
      <c r="Y280" s="1053"/>
      <c r="Z280" s="1052"/>
      <c r="AA280" s="1052"/>
      <c r="AB280" s="962"/>
      <c r="AC280" s="590"/>
      <c r="AD280" s="590"/>
      <c r="AE280" s="591"/>
      <c r="AF280" s="592"/>
      <c r="AG280" s="1053"/>
      <c r="AH280" s="587"/>
      <c r="BU280" s="962"/>
      <c r="CD280" s="589"/>
      <c r="CE280" s="590"/>
      <c r="CF280" s="590"/>
      <c r="CG280" s="590"/>
      <c r="CH280" s="590"/>
      <c r="CI280" s="590"/>
      <c r="CJ280" s="589"/>
      <c r="CK280" s="589"/>
      <c r="CL280" s="589"/>
      <c r="CM280" s="587"/>
      <c r="CN280" s="587"/>
      <c r="CO280" s="589"/>
      <c r="CP280" s="587"/>
      <c r="CQ280" s="592"/>
      <c r="CR280" s="589"/>
      <c r="CS280" s="592"/>
      <c r="CT280" s="589"/>
      <c r="CU280" s="589"/>
      <c r="CV280" s="589"/>
      <c r="CW280" s="587"/>
      <c r="CX280" s="590"/>
      <c r="CY280" s="590"/>
      <c r="CZ280" s="590"/>
      <c r="DA280" s="1054"/>
      <c r="DB280" s="1054"/>
      <c r="DC280" s="587"/>
      <c r="DD280" s="587"/>
    </row>
    <row r="281" spans="1:108" s="588" customFormat="1" x14ac:dyDescent="0.2">
      <c r="A281" s="589">
        <f t="shared" si="4"/>
        <v>271</v>
      </c>
      <c r="B281" s="587"/>
      <c r="C281" s="587"/>
      <c r="D281" s="587"/>
      <c r="J281" s="589"/>
      <c r="K281" s="590"/>
      <c r="L281" s="591"/>
      <c r="M281" s="592"/>
      <c r="N281" s="589"/>
      <c r="O281" s="587"/>
      <c r="R281" s="1052"/>
      <c r="S281" s="1052"/>
      <c r="T281" s="1052"/>
      <c r="U281" s="1052"/>
      <c r="V281" s="1052"/>
      <c r="W281" s="1053"/>
      <c r="X281" s="1053"/>
      <c r="Y281" s="1053"/>
      <c r="Z281" s="1052"/>
      <c r="AA281" s="1052"/>
      <c r="AB281" s="962"/>
      <c r="AC281" s="590"/>
      <c r="AD281" s="590"/>
      <c r="AE281" s="591"/>
      <c r="AF281" s="592"/>
      <c r="AG281" s="1053"/>
      <c r="AH281" s="587"/>
      <c r="AJ281" s="589"/>
      <c r="BU281" s="962"/>
      <c r="CD281" s="589"/>
      <c r="CE281" s="590"/>
      <c r="CF281" s="590"/>
      <c r="CG281" s="590"/>
      <c r="CH281" s="590"/>
      <c r="CI281" s="590"/>
      <c r="CJ281" s="589"/>
      <c r="CK281" s="589"/>
      <c r="CL281" s="589"/>
      <c r="CM281" s="587"/>
      <c r="CN281" s="587"/>
      <c r="CO281" s="589"/>
      <c r="CP281" s="587"/>
      <c r="CQ281" s="592"/>
      <c r="CR281" s="589"/>
      <c r="CS281" s="592"/>
      <c r="CT281" s="589"/>
      <c r="CU281" s="589"/>
      <c r="CV281" s="589"/>
      <c r="CW281" s="587"/>
      <c r="CX281" s="590"/>
      <c r="CY281" s="590"/>
      <c r="CZ281" s="590"/>
      <c r="DA281" s="1054"/>
      <c r="DB281" s="1054"/>
      <c r="DC281" s="587"/>
      <c r="DD281" s="587"/>
    </row>
    <row r="282" spans="1:108" s="588" customFormat="1" x14ac:dyDescent="0.2">
      <c r="A282" s="589">
        <f t="shared" si="4"/>
        <v>272</v>
      </c>
      <c r="B282" s="587"/>
      <c r="C282" s="587"/>
      <c r="D282" s="587"/>
      <c r="J282" s="589"/>
      <c r="K282" s="590"/>
      <c r="L282" s="591"/>
      <c r="M282" s="592"/>
      <c r="N282" s="589"/>
      <c r="O282" s="587"/>
      <c r="R282" s="1052"/>
      <c r="S282" s="1052"/>
      <c r="T282" s="1052"/>
      <c r="U282" s="1052"/>
      <c r="V282" s="1052"/>
      <c r="W282" s="1053"/>
      <c r="X282" s="1053"/>
      <c r="Y282" s="1053"/>
      <c r="Z282" s="1052"/>
      <c r="AA282" s="1052"/>
      <c r="AB282" s="962"/>
      <c r="AC282" s="590"/>
      <c r="AD282" s="590"/>
      <c r="AE282" s="591"/>
      <c r="AF282" s="592"/>
      <c r="AG282" s="1053"/>
      <c r="AH282" s="587"/>
      <c r="BU282" s="962"/>
      <c r="CD282" s="589"/>
      <c r="CE282" s="590"/>
      <c r="CF282" s="590"/>
      <c r="CG282" s="590"/>
      <c r="CH282" s="590"/>
      <c r="CI282" s="590"/>
      <c r="CJ282" s="589"/>
      <c r="CK282" s="589"/>
      <c r="CL282" s="589"/>
      <c r="CM282" s="587"/>
      <c r="CN282" s="587"/>
      <c r="CO282" s="589"/>
      <c r="CP282" s="587"/>
      <c r="CQ282" s="592"/>
      <c r="CR282" s="589"/>
      <c r="CS282" s="592"/>
      <c r="CT282" s="589"/>
      <c r="CU282" s="589"/>
      <c r="CV282" s="589"/>
      <c r="CW282" s="587"/>
      <c r="CX282" s="590"/>
      <c r="CY282" s="590"/>
      <c r="CZ282" s="590"/>
      <c r="DA282" s="1054"/>
      <c r="DB282" s="1054"/>
      <c r="DC282" s="587"/>
      <c r="DD282" s="587"/>
    </row>
    <row r="283" spans="1:108" s="588" customFormat="1" x14ac:dyDescent="0.2">
      <c r="A283" s="589">
        <f t="shared" si="4"/>
        <v>273</v>
      </c>
      <c r="B283" s="587"/>
      <c r="C283" s="587"/>
      <c r="D283" s="587"/>
      <c r="J283" s="589"/>
      <c r="K283" s="590"/>
      <c r="L283" s="591"/>
      <c r="M283" s="592"/>
      <c r="N283" s="589"/>
      <c r="O283" s="587"/>
      <c r="R283" s="1052"/>
      <c r="S283" s="1052"/>
      <c r="T283" s="1052"/>
      <c r="U283" s="1052"/>
      <c r="V283" s="1052"/>
      <c r="W283" s="1053"/>
      <c r="X283" s="1053"/>
      <c r="Y283" s="1053"/>
      <c r="Z283" s="1052"/>
      <c r="AA283" s="1052"/>
      <c r="AB283" s="962"/>
      <c r="AC283" s="590"/>
      <c r="AD283" s="590"/>
      <c r="AE283" s="591"/>
      <c r="AF283" s="592"/>
      <c r="AG283" s="1053"/>
      <c r="AH283" s="587"/>
      <c r="BU283" s="962"/>
      <c r="CD283" s="589"/>
      <c r="CE283" s="590"/>
      <c r="CF283" s="590"/>
      <c r="CG283" s="590"/>
      <c r="CH283" s="590"/>
      <c r="CI283" s="590"/>
      <c r="CJ283" s="589"/>
      <c r="CK283" s="589"/>
      <c r="CL283" s="589"/>
      <c r="CM283" s="587"/>
      <c r="CN283" s="587"/>
      <c r="CO283" s="589"/>
      <c r="CP283" s="587"/>
      <c r="CQ283" s="592"/>
      <c r="CR283" s="589"/>
      <c r="CS283" s="592"/>
      <c r="CT283" s="589"/>
      <c r="CU283" s="589"/>
      <c r="CV283" s="589"/>
      <c r="CW283" s="587"/>
      <c r="CX283" s="590"/>
      <c r="CY283" s="590"/>
      <c r="CZ283" s="590"/>
      <c r="DA283" s="1054"/>
      <c r="DB283" s="1054"/>
      <c r="DC283" s="587"/>
      <c r="DD283" s="587"/>
    </row>
    <row r="284" spans="1:108" s="588" customFormat="1" x14ac:dyDescent="0.2">
      <c r="A284" s="589">
        <f t="shared" si="4"/>
        <v>274</v>
      </c>
      <c r="B284" s="587"/>
      <c r="C284" s="587"/>
      <c r="D284" s="587"/>
      <c r="J284" s="589"/>
      <c r="K284" s="590"/>
      <c r="L284" s="591"/>
      <c r="M284" s="592"/>
      <c r="N284" s="589"/>
      <c r="O284" s="587"/>
      <c r="R284" s="1052"/>
      <c r="S284" s="1052"/>
      <c r="T284" s="1052"/>
      <c r="U284" s="1052"/>
      <c r="V284" s="1052"/>
      <c r="W284" s="1053"/>
      <c r="X284" s="1053"/>
      <c r="Y284" s="1053"/>
      <c r="Z284" s="1052"/>
      <c r="AA284" s="1052"/>
      <c r="AB284" s="962"/>
      <c r="AC284" s="590"/>
      <c r="AD284" s="590"/>
      <c r="AE284" s="591"/>
      <c r="AF284" s="592"/>
      <c r="AG284" s="1053"/>
      <c r="AH284" s="587"/>
      <c r="BU284" s="962"/>
      <c r="CD284" s="589"/>
      <c r="CE284" s="590"/>
      <c r="CF284" s="590"/>
      <c r="CG284" s="590"/>
      <c r="CH284" s="590"/>
      <c r="CI284" s="590"/>
      <c r="CJ284" s="589"/>
      <c r="CK284" s="589"/>
      <c r="CL284" s="589"/>
      <c r="CM284" s="587"/>
      <c r="CN284" s="587"/>
      <c r="CO284" s="589"/>
      <c r="CP284" s="587"/>
      <c r="CQ284" s="592"/>
      <c r="CR284" s="589"/>
      <c r="CS284" s="592"/>
      <c r="CT284" s="589"/>
      <c r="CU284" s="589"/>
      <c r="CV284" s="589"/>
      <c r="CW284" s="587"/>
      <c r="CX284" s="590"/>
      <c r="CY284" s="590"/>
      <c r="CZ284" s="590"/>
      <c r="DA284" s="1054"/>
      <c r="DB284" s="1054"/>
      <c r="DC284" s="587"/>
      <c r="DD284" s="587"/>
    </row>
    <row r="285" spans="1:108" s="588" customFormat="1" x14ac:dyDescent="0.2">
      <c r="A285" s="589">
        <f t="shared" si="4"/>
        <v>275</v>
      </c>
      <c r="B285" s="587"/>
      <c r="C285" s="587"/>
      <c r="D285" s="587"/>
      <c r="J285" s="589"/>
      <c r="K285" s="590"/>
      <c r="L285" s="591"/>
      <c r="M285" s="592"/>
      <c r="N285" s="589"/>
      <c r="O285" s="587"/>
      <c r="R285" s="1052"/>
      <c r="S285" s="1052"/>
      <c r="T285" s="1052"/>
      <c r="U285" s="1052"/>
      <c r="V285" s="1052"/>
      <c r="W285" s="1053"/>
      <c r="X285" s="1053"/>
      <c r="Y285" s="1053"/>
      <c r="Z285" s="1052"/>
      <c r="AA285" s="1052"/>
      <c r="AB285" s="962"/>
      <c r="AC285" s="590"/>
      <c r="AD285" s="590"/>
      <c r="AE285" s="591"/>
      <c r="AF285" s="592"/>
      <c r="AG285" s="1053"/>
      <c r="AH285" s="587"/>
      <c r="BU285" s="962"/>
      <c r="CD285" s="589"/>
      <c r="CE285" s="590"/>
      <c r="CF285" s="590"/>
      <c r="CG285" s="590"/>
      <c r="CH285" s="590"/>
      <c r="CI285" s="590"/>
      <c r="CJ285" s="589"/>
      <c r="CK285" s="589"/>
      <c r="CL285" s="589"/>
      <c r="CM285" s="587"/>
      <c r="CN285" s="587"/>
      <c r="CO285" s="589"/>
      <c r="CP285" s="587"/>
      <c r="CQ285" s="592"/>
      <c r="CR285" s="589"/>
      <c r="CS285" s="592"/>
      <c r="CT285" s="589"/>
      <c r="CU285" s="589"/>
      <c r="CV285" s="589"/>
      <c r="CW285" s="587"/>
      <c r="CX285" s="590"/>
      <c r="CY285" s="590"/>
      <c r="CZ285" s="590"/>
      <c r="DA285" s="1054"/>
      <c r="DB285" s="1054"/>
      <c r="DC285" s="587"/>
      <c r="DD285" s="587"/>
    </row>
    <row r="286" spans="1:108" s="588" customFormat="1" x14ac:dyDescent="0.2">
      <c r="A286" s="589">
        <f t="shared" si="4"/>
        <v>276</v>
      </c>
      <c r="B286" s="587"/>
      <c r="C286" s="587"/>
      <c r="D286" s="587"/>
      <c r="J286" s="589"/>
      <c r="K286" s="590"/>
      <c r="L286" s="591"/>
      <c r="M286" s="592"/>
      <c r="N286" s="589"/>
      <c r="O286" s="587"/>
      <c r="R286" s="1052"/>
      <c r="S286" s="1052"/>
      <c r="T286" s="1052"/>
      <c r="U286" s="1052"/>
      <c r="V286" s="1052"/>
      <c r="W286" s="1053"/>
      <c r="X286" s="1053"/>
      <c r="Y286" s="1053"/>
      <c r="Z286" s="1052"/>
      <c r="AA286" s="1052"/>
      <c r="AB286" s="962"/>
      <c r="AC286" s="590"/>
      <c r="AD286" s="590"/>
      <c r="AE286" s="591"/>
      <c r="AF286" s="592"/>
      <c r="AG286" s="1053"/>
      <c r="AH286" s="587"/>
      <c r="BU286" s="962"/>
      <c r="CD286" s="589"/>
      <c r="CE286" s="590"/>
      <c r="CF286" s="590"/>
      <c r="CG286" s="590"/>
      <c r="CH286" s="590"/>
      <c r="CI286" s="590"/>
      <c r="CJ286" s="589"/>
      <c r="CK286" s="589"/>
      <c r="CL286" s="589"/>
      <c r="CM286" s="587"/>
      <c r="CN286" s="587"/>
      <c r="CO286" s="589"/>
      <c r="CP286" s="587"/>
      <c r="CQ286" s="592"/>
      <c r="CR286" s="589"/>
      <c r="CS286" s="592"/>
      <c r="CT286" s="589"/>
      <c r="CU286" s="589"/>
      <c r="CV286" s="589"/>
      <c r="CW286" s="587"/>
      <c r="CX286" s="590"/>
      <c r="CY286" s="590"/>
      <c r="CZ286" s="590"/>
      <c r="DA286" s="1054"/>
      <c r="DB286" s="1054"/>
      <c r="DC286" s="587"/>
      <c r="DD286" s="587"/>
    </row>
    <row r="287" spans="1:108" s="588" customFormat="1" x14ac:dyDescent="0.2">
      <c r="A287" s="589">
        <f t="shared" si="4"/>
        <v>277</v>
      </c>
      <c r="B287" s="587"/>
      <c r="C287" s="587"/>
      <c r="D287" s="587"/>
      <c r="J287" s="589"/>
      <c r="K287" s="590"/>
      <c r="L287" s="591"/>
      <c r="M287" s="592"/>
      <c r="N287" s="589"/>
      <c r="O287" s="587"/>
      <c r="R287" s="1052"/>
      <c r="S287" s="1052"/>
      <c r="T287" s="1052"/>
      <c r="U287" s="1052"/>
      <c r="V287" s="1052"/>
      <c r="W287" s="1053"/>
      <c r="X287" s="1053"/>
      <c r="Y287" s="1053"/>
      <c r="Z287" s="1052"/>
      <c r="AA287" s="1052"/>
      <c r="AB287" s="962"/>
      <c r="AC287" s="590"/>
      <c r="AD287" s="590"/>
      <c r="AE287" s="591"/>
      <c r="AF287" s="592"/>
      <c r="AG287" s="1053"/>
      <c r="AH287" s="587"/>
      <c r="BU287" s="962"/>
      <c r="CD287" s="589"/>
      <c r="CE287" s="590"/>
      <c r="CF287" s="590"/>
      <c r="CG287" s="590"/>
      <c r="CH287" s="590"/>
      <c r="CI287" s="590"/>
      <c r="CJ287" s="589"/>
      <c r="CK287" s="589"/>
      <c r="CL287" s="589"/>
      <c r="CM287" s="587"/>
      <c r="CN287" s="587"/>
      <c r="CO287" s="589"/>
      <c r="CP287" s="587"/>
      <c r="CQ287" s="592"/>
      <c r="CR287" s="589"/>
      <c r="CS287" s="592"/>
      <c r="CT287" s="589"/>
      <c r="CU287" s="589"/>
      <c r="CV287" s="589"/>
      <c r="CW287" s="587"/>
      <c r="CX287" s="590"/>
      <c r="CY287" s="590"/>
      <c r="CZ287" s="590"/>
      <c r="DA287" s="1054"/>
      <c r="DB287" s="1054"/>
      <c r="DC287" s="587"/>
      <c r="DD287" s="587"/>
    </row>
    <row r="288" spans="1:108" s="588" customFormat="1" x14ac:dyDescent="0.2">
      <c r="A288" s="589">
        <f t="shared" si="4"/>
        <v>278</v>
      </c>
      <c r="B288" s="587"/>
      <c r="C288" s="587"/>
      <c r="D288" s="587"/>
      <c r="J288" s="589"/>
      <c r="K288" s="590"/>
      <c r="L288" s="591"/>
      <c r="M288" s="592"/>
      <c r="N288" s="589"/>
      <c r="O288" s="587"/>
      <c r="R288" s="1052"/>
      <c r="S288" s="1052"/>
      <c r="T288" s="1052"/>
      <c r="U288" s="1052"/>
      <c r="V288" s="1052"/>
      <c r="W288" s="1053"/>
      <c r="X288" s="1053"/>
      <c r="Y288" s="1053"/>
      <c r="Z288" s="1052"/>
      <c r="AA288" s="1052"/>
      <c r="AB288" s="962"/>
      <c r="AC288" s="590"/>
      <c r="AD288" s="590"/>
      <c r="AE288" s="591"/>
      <c r="AF288" s="592"/>
      <c r="AG288" s="1053"/>
      <c r="AH288" s="587"/>
      <c r="BU288" s="962"/>
      <c r="CD288" s="589"/>
      <c r="CE288" s="590"/>
      <c r="CF288" s="590"/>
      <c r="CG288" s="590"/>
      <c r="CH288" s="590"/>
      <c r="CI288" s="590"/>
      <c r="CJ288" s="589"/>
      <c r="CK288" s="589"/>
      <c r="CL288" s="589"/>
      <c r="CM288" s="587"/>
      <c r="CN288" s="587"/>
      <c r="CO288" s="589"/>
      <c r="CP288" s="587"/>
      <c r="CQ288" s="592"/>
      <c r="CR288" s="589"/>
      <c r="CS288" s="592"/>
      <c r="CT288" s="589"/>
      <c r="CU288" s="589"/>
      <c r="CV288" s="589"/>
      <c r="CW288" s="587"/>
      <c r="CX288" s="590"/>
      <c r="CY288" s="590"/>
      <c r="CZ288" s="590"/>
      <c r="DA288" s="1054"/>
      <c r="DB288" s="1054"/>
      <c r="DC288" s="587"/>
      <c r="DD288" s="587"/>
    </row>
    <row r="289" spans="1:108" s="588" customFormat="1" x14ac:dyDescent="0.2">
      <c r="A289" s="589">
        <f t="shared" si="4"/>
        <v>279</v>
      </c>
      <c r="B289" s="587"/>
      <c r="C289" s="587"/>
      <c r="D289" s="587"/>
      <c r="J289" s="589"/>
      <c r="K289" s="590"/>
      <c r="L289" s="591"/>
      <c r="M289" s="592"/>
      <c r="N289" s="589"/>
      <c r="O289" s="587"/>
      <c r="R289" s="1052"/>
      <c r="S289" s="1052"/>
      <c r="T289" s="1052"/>
      <c r="U289" s="1052"/>
      <c r="V289" s="1052"/>
      <c r="W289" s="1053"/>
      <c r="X289" s="1053"/>
      <c r="Y289" s="1053"/>
      <c r="Z289" s="1052"/>
      <c r="AA289" s="1052"/>
      <c r="AB289" s="962"/>
      <c r="AC289" s="590"/>
      <c r="AD289" s="590"/>
      <c r="AE289" s="591"/>
      <c r="AF289" s="592"/>
      <c r="AG289" s="1053"/>
      <c r="AH289" s="587"/>
      <c r="BU289" s="962"/>
      <c r="CD289" s="589"/>
      <c r="CE289" s="590"/>
      <c r="CF289" s="590"/>
      <c r="CG289" s="590"/>
      <c r="CH289" s="590"/>
      <c r="CI289" s="590"/>
      <c r="CJ289" s="589"/>
      <c r="CK289" s="589"/>
      <c r="CL289" s="589"/>
      <c r="CM289" s="587"/>
      <c r="CN289" s="587"/>
      <c r="CO289" s="589"/>
      <c r="CP289" s="587"/>
      <c r="CQ289" s="592"/>
      <c r="CR289" s="589"/>
      <c r="CS289" s="592"/>
      <c r="CT289" s="589"/>
      <c r="CU289" s="589"/>
      <c r="CV289" s="589"/>
      <c r="CW289" s="587"/>
      <c r="CX289" s="590"/>
      <c r="CY289" s="590"/>
      <c r="CZ289" s="590"/>
      <c r="DA289" s="1054"/>
      <c r="DB289" s="1054"/>
      <c r="DC289" s="587"/>
      <c r="DD289" s="587"/>
    </row>
    <row r="290" spans="1:108" s="588" customFormat="1" x14ac:dyDescent="0.2">
      <c r="A290" s="589">
        <f t="shared" si="4"/>
        <v>280</v>
      </c>
      <c r="B290" s="587"/>
      <c r="C290" s="587"/>
      <c r="D290" s="587"/>
      <c r="J290" s="589"/>
      <c r="K290" s="590"/>
      <c r="L290" s="591"/>
      <c r="M290" s="592"/>
      <c r="N290" s="589"/>
      <c r="O290" s="587"/>
      <c r="R290" s="1052"/>
      <c r="S290" s="1052"/>
      <c r="T290" s="1052"/>
      <c r="U290" s="1052"/>
      <c r="V290" s="1052"/>
      <c r="W290" s="1053"/>
      <c r="X290" s="1053"/>
      <c r="Y290" s="1053"/>
      <c r="Z290" s="1052"/>
      <c r="AA290" s="1052"/>
      <c r="AB290" s="962"/>
      <c r="AC290" s="590"/>
      <c r="AD290" s="590"/>
      <c r="AE290" s="591"/>
      <c r="AF290" s="592"/>
      <c r="AG290" s="1053"/>
      <c r="AH290" s="587"/>
      <c r="BU290" s="962"/>
      <c r="CD290" s="589"/>
      <c r="CE290" s="590"/>
      <c r="CF290" s="590"/>
      <c r="CG290" s="590"/>
      <c r="CH290" s="590"/>
      <c r="CI290" s="590"/>
      <c r="CJ290" s="589"/>
      <c r="CK290" s="589"/>
      <c r="CL290" s="589"/>
      <c r="CM290" s="587"/>
      <c r="CN290" s="587"/>
      <c r="CO290" s="589"/>
      <c r="CP290" s="587"/>
      <c r="CQ290" s="592"/>
      <c r="CR290" s="589"/>
      <c r="CS290" s="592"/>
      <c r="CT290" s="589"/>
      <c r="CU290" s="589"/>
      <c r="CV290" s="589"/>
      <c r="CW290" s="587"/>
      <c r="CX290" s="590"/>
      <c r="CY290" s="590"/>
      <c r="CZ290" s="590"/>
      <c r="DA290" s="1054"/>
      <c r="DB290" s="1054"/>
      <c r="DC290" s="587"/>
      <c r="DD290" s="587"/>
    </row>
    <row r="291" spans="1:108" s="588" customFormat="1" x14ac:dyDescent="0.2">
      <c r="A291" s="589">
        <f t="shared" si="4"/>
        <v>281</v>
      </c>
      <c r="B291" s="587"/>
      <c r="C291" s="587"/>
      <c r="D291" s="587"/>
      <c r="J291" s="589"/>
      <c r="K291" s="590"/>
      <c r="L291" s="591"/>
      <c r="M291" s="592"/>
      <c r="N291" s="589"/>
      <c r="O291" s="587"/>
      <c r="R291" s="1052"/>
      <c r="S291" s="1052"/>
      <c r="T291" s="1052"/>
      <c r="U291" s="1052"/>
      <c r="V291" s="1052"/>
      <c r="W291" s="1053"/>
      <c r="X291" s="1053"/>
      <c r="Y291" s="1053"/>
      <c r="Z291" s="1052"/>
      <c r="AA291" s="1052"/>
      <c r="AB291" s="962"/>
      <c r="AC291" s="590"/>
      <c r="AD291" s="590"/>
      <c r="AE291" s="591"/>
      <c r="AF291" s="592"/>
      <c r="AG291" s="1053"/>
      <c r="AH291" s="587"/>
      <c r="BU291" s="962"/>
      <c r="CD291" s="589"/>
      <c r="CE291" s="590"/>
      <c r="CF291" s="590"/>
      <c r="CG291" s="590"/>
      <c r="CH291" s="590"/>
      <c r="CI291" s="590"/>
      <c r="CJ291" s="589"/>
      <c r="CK291" s="589"/>
      <c r="CL291" s="589"/>
      <c r="CM291" s="587"/>
      <c r="CN291" s="587"/>
      <c r="CO291" s="589"/>
      <c r="CP291" s="587"/>
      <c r="CQ291" s="592"/>
      <c r="CR291" s="589"/>
      <c r="CS291" s="592"/>
      <c r="CT291" s="589"/>
      <c r="CU291" s="589"/>
      <c r="CV291" s="589"/>
      <c r="CW291" s="587"/>
      <c r="CX291" s="590"/>
      <c r="CY291" s="590"/>
      <c r="CZ291" s="590"/>
      <c r="DA291" s="1054"/>
      <c r="DB291" s="1054"/>
      <c r="DC291" s="587"/>
      <c r="DD291" s="587"/>
    </row>
    <row r="292" spans="1:108" s="588" customFormat="1" x14ac:dyDescent="0.2">
      <c r="A292" s="589">
        <f t="shared" si="4"/>
        <v>282</v>
      </c>
      <c r="B292" s="587"/>
      <c r="C292" s="587"/>
      <c r="D292" s="587"/>
      <c r="J292" s="589"/>
      <c r="K292" s="590"/>
      <c r="L292" s="591"/>
      <c r="M292" s="592"/>
      <c r="N292" s="589"/>
      <c r="O292" s="587"/>
      <c r="R292" s="1052"/>
      <c r="S292" s="1052"/>
      <c r="T292" s="1052"/>
      <c r="U292" s="1052"/>
      <c r="V292" s="1052"/>
      <c r="W292" s="1053"/>
      <c r="X292" s="1053"/>
      <c r="Y292" s="1053"/>
      <c r="Z292" s="1052"/>
      <c r="AA292" s="1052"/>
      <c r="AB292" s="962"/>
      <c r="AC292" s="590"/>
      <c r="AD292" s="590"/>
      <c r="AE292" s="591"/>
      <c r="AF292" s="592"/>
      <c r="AG292" s="1053"/>
      <c r="AH292" s="587"/>
      <c r="BU292" s="962"/>
      <c r="CD292" s="589"/>
      <c r="CE292" s="590"/>
      <c r="CF292" s="590"/>
      <c r="CG292" s="590"/>
      <c r="CH292" s="590"/>
      <c r="CI292" s="590"/>
      <c r="CJ292" s="589"/>
      <c r="CK292" s="589"/>
      <c r="CL292" s="589"/>
      <c r="CM292" s="587"/>
      <c r="CN292" s="587"/>
      <c r="CO292" s="589"/>
      <c r="CP292" s="587"/>
      <c r="CQ292" s="592"/>
      <c r="CR292" s="589"/>
      <c r="CS292" s="592"/>
      <c r="CT292" s="589"/>
      <c r="CU292" s="589"/>
      <c r="CV292" s="589"/>
      <c r="CW292" s="587"/>
      <c r="CX292" s="590"/>
      <c r="CY292" s="590"/>
      <c r="CZ292" s="590"/>
      <c r="DA292" s="1054"/>
      <c r="DB292" s="1054"/>
      <c r="DC292" s="587"/>
      <c r="DD292" s="587"/>
    </row>
    <row r="293" spans="1:108" s="588" customFormat="1" x14ac:dyDescent="0.2">
      <c r="A293" s="589">
        <f t="shared" si="4"/>
        <v>283</v>
      </c>
      <c r="B293" s="587"/>
      <c r="C293" s="587"/>
      <c r="D293" s="587"/>
      <c r="J293" s="589"/>
      <c r="K293" s="590"/>
      <c r="L293" s="591"/>
      <c r="M293" s="592"/>
      <c r="N293" s="589"/>
      <c r="O293" s="587"/>
      <c r="R293" s="1052"/>
      <c r="S293" s="1052"/>
      <c r="T293" s="1052"/>
      <c r="U293" s="1052"/>
      <c r="V293" s="1052"/>
      <c r="W293" s="1053"/>
      <c r="X293" s="1053"/>
      <c r="Y293" s="1053"/>
      <c r="Z293" s="1052"/>
      <c r="AA293" s="1052"/>
      <c r="AB293" s="962"/>
      <c r="AC293" s="590"/>
      <c r="AD293" s="590"/>
      <c r="AE293" s="591"/>
      <c r="AF293" s="592"/>
      <c r="AG293" s="1053"/>
      <c r="AH293" s="587"/>
      <c r="BU293" s="962"/>
      <c r="CD293" s="589"/>
      <c r="CE293" s="590"/>
      <c r="CF293" s="590"/>
      <c r="CG293" s="590"/>
      <c r="CH293" s="590"/>
      <c r="CI293" s="590"/>
      <c r="CJ293" s="589"/>
      <c r="CK293" s="589"/>
      <c r="CL293" s="589"/>
      <c r="CM293" s="587"/>
      <c r="CN293" s="587"/>
      <c r="CO293" s="589"/>
      <c r="CP293" s="587"/>
      <c r="CQ293" s="592"/>
      <c r="CR293" s="589"/>
      <c r="CS293" s="592"/>
      <c r="CT293" s="589"/>
      <c r="CU293" s="589"/>
      <c r="CV293" s="589"/>
      <c r="CW293" s="587"/>
      <c r="CX293" s="590"/>
      <c r="CY293" s="590"/>
      <c r="CZ293" s="590"/>
      <c r="DA293" s="1054"/>
      <c r="DB293" s="1054"/>
      <c r="DC293" s="587"/>
      <c r="DD293" s="587"/>
    </row>
    <row r="294" spans="1:108" s="588" customFormat="1" x14ac:dyDescent="0.2">
      <c r="A294" s="589">
        <f t="shared" si="4"/>
        <v>284</v>
      </c>
      <c r="B294" s="587"/>
      <c r="C294" s="587"/>
      <c r="D294" s="587"/>
      <c r="J294" s="589"/>
      <c r="K294" s="590"/>
      <c r="L294" s="591"/>
      <c r="M294" s="592"/>
      <c r="N294" s="589"/>
      <c r="O294" s="587"/>
      <c r="R294" s="1052"/>
      <c r="S294" s="1052"/>
      <c r="T294" s="1052"/>
      <c r="U294" s="1052"/>
      <c r="V294" s="1052"/>
      <c r="W294" s="1053"/>
      <c r="X294" s="1053"/>
      <c r="Y294" s="1053"/>
      <c r="Z294" s="1052"/>
      <c r="AA294" s="1052"/>
      <c r="AB294" s="962"/>
      <c r="AC294" s="590"/>
      <c r="AD294" s="590"/>
      <c r="AE294" s="591"/>
      <c r="AF294" s="592"/>
      <c r="AG294" s="1053"/>
      <c r="AH294" s="587"/>
      <c r="BU294" s="962"/>
      <c r="CD294" s="589"/>
      <c r="CE294" s="590"/>
      <c r="CF294" s="590"/>
      <c r="CG294" s="590"/>
      <c r="CH294" s="590"/>
      <c r="CI294" s="590"/>
      <c r="CJ294" s="589"/>
      <c r="CK294" s="589"/>
      <c r="CL294" s="589"/>
      <c r="CM294" s="587"/>
      <c r="CN294" s="587"/>
      <c r="CO294" s="589"/>
      <c r="CP294" s="587"/>
      <c r="CQ294" s="592"/>
      <c r="CR294" s="589"/>
      <c r="CS294" s="592"/>
      <c r="CT294" s="589"/>
      <c r="CU294" s="589"/>
      <c r="CV294" s="589"/>
      <c r="CW294" s="587"/>
      <c r="CX294" s="590"/>
      <c r="CY294" s="590"/>
      <c r="CZ294" s="590"/>
      <c r="DA294" s="1054"/>
      <c r="DB294" s="1054"/>
      <c r="DC294" s="587"/>
      <c r="DD294" s="587"/>
    </row>
    <row r="295" spans="1:108" s="588" customFormat="1" x14ac:dyDescent="0.2">
      <c r="A295" s="589">
        <f t="shared" si="4"/>
        <v>285</v>
      </c>
      <c r="B295" s="587"/>
      <c r="C295" s="587"/>
      <c r="D295" s="587"/>
      <c r="J295" s="589"/>
      <c r="K295" s="590"/>
      <c r="L295" s="591"/>
      <c r="M295" s="592"/>
      <c r="N295" s="589"/>
      <c r="O295" s="587"/>
      <c r="R295" s="1052"/>
      <c r="S295" s="1052"/>
      <c r="T295" s="1052"/>
      <c r="U295" s="1052"/>
      <c r="V295" s="1052"/>
      <c r="W295" s="1053"/>
      <c r="X295" s="1053"/>
      <c r="Y295" s="1053"/>
      <c r="Z295" s="1052"/>
      <c r="AA295" s="1052"/>
      <c r="AB295" s="962"/>
      <c r="AC295" s="590"/>
      <c r="AD295" s="590"/>
      <c r="AE295" s="591"/>
      <c r="AF295" s="592"/>
      <c r="AG295" s="1053"/>
      <c r="AH295" s="587"/>
      <c r="BU295" s="962"/>
      <c r="CD295" s="589"/>
      <c r="CE295" s="590"/>
      <c r="CF295" s="590"/>
      <c r="CG295" s="590"/>
      <c r="CH295" s="590"/>
      <c r="CI295" s="590"/>
      <c r="CJ295" s="589"/>
      <c r="CK295" s="589"/>
      <c r="CL295" s="589"/>
      <c r="CM295" s="587"/>
      <c r="CN295" s="587"/>
      <c r="CO295" s="589"/>
      <c r="CP295" s="587"/>
      <c r="CQ295" s="592"/>
      <c r="CR295" s="589"/>
      <c r="CS295" s="592"/>
      <c r="CT295" s="589"/>
      <c r="CU295" s="589"/>
      <c r="CV295" s="589"/>
      <c r="CW295" s="587"/>
      <c r="CX295" s="590"/>
      <c r="CY295" s="590"/>
      <c r="CZ295" s="590"/>
      <c r="DA295" s="1054"/>
      <c r="DB295" s="1054"/>
      <c r="DC295" s="587"/>
      <c r="DD295" s="587"/>
    </row>
    <row r="296" spans="1:108" s="588" customFormat="1" x14ac:dyDescent="0.2">
      <c r="A296" s="589">
        <f t="shared" si="4"/>
        <v>286</v>
      </c>
      <c r="B296" s="587"/>
      <c r="C296" s="587"/>
      <c r="D296" s="587"/>
      <c r="J296" s="589"/>
      <c r="K296" s="590"/>
      <c r="L296" s="591"/>
      <c r="M296" s="592"/>
      <c r="N296" s="589"/>
      <c r="O296" s="587"/>
      <c r="R296" s="1052"/>
      <c r="S296" s="1052"/>
      <c r="T296" s="1052"/>
      <c r="U296" s="1052"/>
      <c r="V296" s="1052"/>
      <c r="W296" s="1053"/>
      <c r="X296" s="1053"/>
      <c r="Y296" s="1053"/>
      <c r="Z296" s="1052"/>
      <c r="AA296" s="1052"/>
      <c r="AB296" s="962"/>
      <c r="AC296" s="590"/>
      <c r="AD296" s="590"/>
      <c r="AE296" s="591"/>
      <c r="AF296" s="592"/>
      <c r="AG296" s="1053"/>
      <c r="AH296" s="587"/>
      <c r="BU296" s="962"/>
      <c r="CD296" s="589"/>
      <c r="CE296" s="590"/>
      <c r="CF296" s="590"/>
      <c r="CG296" s="590"/>
      <c r="CH296" s="590"/>
      <c r="CI296" s="590"/>
      <c r="CJ296" s="589"/>
      <c r="CK296" s="589"/>
      <c r="CL296" s="589"/>
      <c r="CM296" s="587"/>
      <c r="CN296" s="587"/>
      <c r="CO296" s="589"/>
      <c r="CP296" s="587"/>
      <c r="CQ296" s="592"/>
      <c r="CR296" s="589"/>
      <c r="CS296" s="592"/>
      <c r="CT296" s="589"/>
      <c r="CU296" s="589"/>
      <c r="CV296" s="589"/>
      <c r="CW296" s="587"/>
      <c r="CX296" s="590"/>
      <c r="CY296" s="590"/>
      <c r="CZ296" s="590"/>
      <c r="DA296" s="1054"/>
      <c r="DB296" s="1054"/>
      <c r="DC296" s="587"/>
      <c r="DD296" s="587"/>
    </row>
    <row r="297" spans="1:108" s="588" customFormat="1" x14ac:dyDescent="0.2">
      <c r="A297" s="589">
        <f t="shared" si="4"/>
        <v>287</v>
      </c>
      <c r="B297" s="587"/>
      <c r="C297" s="587"/>
      <c r="D297" s="587"/>
      <c r="J297" s="589"/>
      <c r="K297" s="590"/>
      <c r="L297" s="591"/>
      <c r="M297" s="592"/>
      <c r="N297" s="589"/>
      <c r="O297" s="587"/>
      <c r="R297" s="1052"/>
      <c r="S297" s="1052"/>
      <c r="T297" s="1052"/>
      <c r="U297" s="1052"/>
      <c r="V297" s="1052"/>
      <c r="W297" s="1053"/>
      <c r="X297" s="1053"/>
      <c r="Y297" s="1053"/>
      <c r="Z297" s="1052"/>
      <c r="AA297" s="1052"/>
      <c r="AB297" s="962"/>
      <c r="AC297" s="590"/>
      <c r="AD297" s="590"/>
      <c r="AE297" s="591"/>
      <c r="AF297" s="592"/>
      <c r="AG297" s="1053"/>
      <c r="AH297" s="587"/>
      <c r="BU297" s="962"/>
      <c r="CD297" s="589"/>
      <c r="CE297" s="590"/>
      <c r="CF297" s="590"/>
      <c r="CG297" s="590"/>
      <c r="CH297" s="590"/>
      <c r="CI297" s="590"/>
      <c r="CJ297" s="589"/>
      <c r="CK297" s="589"/>
      <c r="CL297" s="589"/>
      <c r="CM297" s="587"/>
      <c r="CN297" s="587"/>
      <c r="CO297" s="589"/>
      <c r="CP297" s="587"/>
      <c r="CQ297" s="592"/>
      <c r="CR297" s="589"/>
      <c r="CS297" s="592"/>
      <c r="CT297" s="589"/>
      <c r="CU297" s="589"/>
      <c r="CV297" s="589"/>
      <c r="CW297" s="587"/>
      <c r="CX297" s="590"/>
      <c r="CY297" s="590"/>
      <c r="CZ297" s="590"/>
      <c r="DA297" s="1054"/>
      <c r="DB297" s="1054"/>
      <c r="DC297" s="587"/>
      <c r="DD297" s="587"/>
    </row>
    <row r="298" spans="1:108" s="588" customFormat="1" x14ac:dyDescent="0.2">
      <c r="A298" s="589">
        <f t="shared" si="4"/>
        <v>288</v>
      </c>
      <c r="B298" s="587"/>
      <c r="C298" s="587"/>
      <c r="D298" s="587"/>
      <c r="J298" s="589"/>
      <c r="K298" s="590"/>
      <c r="L298" s="591"/>
      <c r="M298" s="592"/>
      <c r="N298" s="589"/>
      <c r="O298" s="587"/>
      <c r="R298" s="1052"/>
      <c r="S298" s="1052"/>
      <c r="T298" s="1052"/>
      <c r="U298" s="1052"/>
      <c r="V298" s="1052"/>
      <c r="W298" s="1053"/>
      <c r="X298" s="1053"/>
      <c r="Y298" s="1053"/>
      <c r="Z298" s="1052"/>
      <c r="AA298" s="1052"/>
      <c r="AB298" s="962"/>
      <c r="AC298" s="590"/>
      <c r="AD298" s="590"/>
      <c r="AE298" s="591"/>
      <c r="AF298" s="592"/>
      <c r="AG298" s="1053"/>
      <c r="AH298" s="587"/>
      <c r="BU298" s="962"/>
      <c r="CD298" s="589"/>
      <c r="CE298" s="590"/>
      <c r="CF298" s="590"/>
      <c r="CG298" s="590"/>
      <c r="CH298" s="590"/>
      <c r="CI298" s="590"/>
      <c r="CJ298" s="589"/>
      <c r="CK298" s="589"/>
      <c r="CL298" s="589"/>
      <c r="CM298" s="587"/>
      <c r="CN298" s="587"/>
      <c r="CO298" s="589"/>
      <c r="CP298" s="587"/>
      <c r="CQ298" s="592"/>
      <c r="CR298" s="589"/>
      <c r="CS298" s="592"/>
      <c r="CT298" s="589"/>
      <c r="CU298" s="589"/>
      <c r="CV298" s="589"/>
      <c r="CW298" s="587"/>
      <c r="CX298" s="590"/>
      <c r="CY298" s="590"/>
      <c r="CZ298" s="590"/>
      <c r="DA298" s="1054"/>
      <c r="DB298" s="1054"/>
      <c r="DC298" s="587"/>
      <c r="DD298" s="587"/>
    </row>
    <row r="299" spans="1:108" s="588" customFormat="1" x14ac:dyDescent="0.2">
      <c r="A299" s="589">
        <f t="shared" si="4"/>
        <v>289</v>
      </c>
      <c r="B299" s="587"/>
      <c r="C299" s="587"/>
      <c r="D299" s="587"/>
      <c r="J299" s="589"/>
      <c r="K299" s="590"/>
      <c r="L299" s="591"/>
      <c r="M299" s="592"/>
      <c r="N299" s="589"/>
      <c r="O299" s="587"/>
      <c r="R299" s="1052"/>
      <c r="S299" s="1052"/>
      <c r="T299" s="1052"/>
      <c r="U299" s="1052"/>
      <c r="V299" s="1052"/>
      <c r="W299" s="1053"/>
      <c r="X299" s="1053"/>
      <c r="Y299" s="1053"/>
      <c r="Z299" s="1052"/>
      <c r="AA299" s="1052"/>
      <c r="AB299" s="962"/>
      <c r="AC299" s="590"/>
      <c r="AD299" s="590"/>
      <c r="AE299" s="591"/>
      <c r="AF299" s="592"/>
      <c r="AG299" s="1053"/>
      <c r="AH299" s="587"/>
      <c r="BU299" s="962"/>
      <c r="CD299" s="589"/>
      <c r="CE299" s="590"/>
      <c r="CF299" s="590"/>
      <c r="CG299" s="590"/>
      <c r="CH299" s="590"/>
      <c r="CI299" s="590"/>
      <c r="CJ299" s="589"/>
      <c r="CK299" s="589"/>
      <c r="CL299" s="589"/>
      <c r="CM299" s="587"/>
      <c r="CN299" s="587"/>
      <c r="CO299" s="589"/>
      <c r="CP299" s="587"/>
      <c r="CQ299" s="592"/>
      <c r="CR299" s="589"/>
      <c r="CS299" s="592"/>
      <c r="CT299" s="589"/>
      <c r="CU299" s="589"/>
      <c r="CV299" s="589"/>
      <c r="CW299" s="587"/>
      <c r="CX299" s="590"/>
      <c r="CY299" s="590"/>
      <c r="CZ299" s="590"/>
      <c r="DA299" s="1054"/>
      <c r="DB299" s="1054"/>
      <c r="DC299" s="587"/>
      <c r="DD299" s="587"/>
    </row>
    <row r="300" spans="1:108" s="588" customFormat="1" x14ac:dyDescent="0.2">
      <c r="A300" s="589">
        <f t="shared" si="4"/>
        <v>290</v>
      </c>
      <c r="B300" s="587"/>
      <c r="C300" s="587"/>
      <c r="D300" s="587"/>
      <c r="J300" s="589"/>
      <c r="K300" s="590"/>
      <c r="L300" s="591"/>
      <c r="M300" s="592"/>
      <c r="N300" s="589"/>
      <c r="O300" s="587"/>
      <c r="R300" s="1052"/>
      <c r="S300" s="1052"/>
      <c r="T300" s="1052"/>
      <c r="U300" s="1052"/>
      <c r="V300" s="1052"/>
      <c r="W300" s="1053"/>
      <c r="X300" s="1053"/>
      <c r="Y300" s="1053"/>
      <c r="Z300" s="1052"/>
      <c r="AA300" s="1052"/>
      <c r="AB300" s="962"/>
      <c r="AC300" s="590"/>
      <c r="AD300" s="590"/>
      <c r="AE300" s="591"/>
      <c r="AF300" s="592"/>
      <c r="AG300" s="1053"/>
      <c r="AH300" s="587"/>
      <c r="BU300" s="962"/>
      <c r="CD300" s="589"/>
      <c r="CE300" s="590"/>
      <c r="CF300" s="590"/>
      <c r="CG300" s="590"/>
      <c r="CH300" s="590"/>
      <c r="CI300" s="590"/>
      <c r="CJ300" s="589"/>
      <c r="CK300" s="589"/>
      <c r="CL300" s="589"/>
      <c r="CM300" s="587"/>
      <c r="CN300" s="587"/>
      <c r="CO300" s="589"/>
      <c r="CP300" s="587"/>
      <c r="CQ300" s="592"/>
      <c r="CR300" s="589"/>
      <c r="CS300" s="592"/>
      <c r="CT300" s="589"/>
      <c r="CU300" s="589"/>
      <c r="CV300" s="589"/>
      <c r="CW300" s="587"/>
      <c r="CX300" s="590"/>
      <c r="CY300" s="590"/>
      <c r="CZ300" s="590"/>
      <c r="DA300" s="1054"/>
      <c r="DB300" s="1054"/>
      <c r="DC300" s="587"/>
      <c r="DD300" s="587"/>
    </row>
    <row r="301" spans="1:108" s="588" customFormat="1" x14ac:dyDescent="0.2">
      <c r="A301" s="589">
        <f t="shared" si="4"/>
        <v>291</v>
      </c>
      <c r="B301" s="587"/>
      <c r="C301" s="587"/>
      <c r="D301" s="587"/>
      <c r="J301" s="589"/>
      <c r="K301" s="590"/>
      <c r="L301" s="591"/>
      <c r="M301" s="592"/>
      <c r="N301" s="589"/>
      <c r="O301" s="587"/>
      <c r="R301" s="1052"/>
      <c r="S301" s="1052"/>
      <c r="T301" s="1052"/>
      <c r="U301" s="1052"/>
      <c r="V301" s="1052"/>
      <c r="W301" s="1053"/>
      <c r="X301" s="1053"/>
      <c r="Y301" s="1053"/>
      <c r="Z301" s="1052"/>
      <c r="AA301" s="1052"/>
      <c r="AB301" s="962"/>
      <c r="AC301" s="590"/>
      <c r="AD301" s="590"/>
      <c r="AE301" s="591"/>
      <c r="AF301" s="592"/>
      <c r="AG301" s="1053"/>
      <c r="AH301" s="587"/>
      <c r="BU301" s="962"/>
      <c r="CD301" s="589"/>
      <c r="CE301" s="590"/>
      <c r="CF301" s="590"/>
      <c r="CG301" s="590"/>
      <c r="CH301" s="590"/>
      <c r="CI301" s="590"/>
      <c r="CJ301" s="589"/>
      <c r="CK301" s="589"/>
      <c r="CL301" s="589"/>
      <c r="CM301" s="587"/>
      <c r="CN301" s="587"/>
      <c r="CO301" s="589"/>
      <c r="CP301" s="587"/>
      <c r="CQ301" s="592"/>
      <c r="CR301" s="589"/>
      <c r="CS301" s="592"/>
      <c r="CT301" s="589"/>
      <c r="CU301" s="589"/>
      <c r="CV301" s="589"/>
      <c r="CW301" s="587"/>
      <c r="CX301" s="590"/>
      <c r="CY301" s="590"/>
      <c r="CZ301" s="590"/>
      <c r="DA301" s="1054"/>
      <c r="DB301" s="1054"/>
      <c r="DC301" s="587"/>
      <c r="DD301" s="587"/>
    </row>
    <row r="302" spans="1:108" s="588" customFormat="1" x14ac:dyDescent="0.2">
      <c r="A302" s="589">
        <f t="shared" si="4"/>
        <v>292</v>
      </c>
      <c r="B302" s="587"/>
      <c r="C302" s="587"/>
      <c r="D302" s="587"/>
      <c r="J302" s="589"/>
      <c r="K302" s="590"/>
      <c r="L302" s="591"/>
      <c r="M302" s="592"/>
      <c r="N302" s="589"/>
      <c r="O302" s="587"/>
      <c r="R302" s="1052"/>
      <c r="S302" s="1052"/>
      <c r="T302" s="1052"/>
      <c r="U302" s="1052"/>
      <c r="V302" s="1052"/>
      <c r="W302" s="1053"/>
      <c r="X302" s="1053"/>
      <c r="Y302" s="1053"/>
      <c r="Z302" s="1052"/>
      <c r="AA302" s="1052"/>
      <c r="AB302" s="962"/>
      <c r="AC302" s="590"/>
      <c r="AD302" s="590"/>
      <c r="AE302" s="591"/>
      <c r="AF302" s="592"/>
      <c r="AG302" s="1053"/>
      <c r="AH302" s="587"/>
      <c r="BU302" s="962"/>
      <c r="CD302" s="589"/>
      <c r="CE302" s="590"/>
      <c r="CF302" s="590"/>
      <c r="CG302" s="590"/>
      <c r="CH302" s="590"/>
      <c r="CI302" s="590"/>
      <c r="CJ302" s="589"/>
      <c r="CK302" s="589"/>
      <c r="CL302" s="589"/>
      <c r="CM302" s="587"/>
      <c r="CN302" s="587"/>
      <c r="CO302" s="589"/>
      <c r="CP302" s="587"/>
      <c r="CQ302" s="592"/>
      <c r="CR302" s="589"/>
      <c r="CS302" s="592"/>
      <c r="CT302" s="589"/>
      <c r="CU302" s="589"/>
      <c r="CV302" s="589"/>
      <c r="CW302" s="587"/>
      <c r="CX302" s="590"/>
      <c r="CY302" s="590"/>
      <c r="CZ302" s="590"/>
      <c r="DA302" s="1054"/>
      <c r="DB302" s="1054"/>
      <c r="DC302" s="587"/>
      <c r="DD302" s="587"/>
    </row>
    <row r="303" spans="1:108" s="588" customFormat="1" x14ac:dyDescent="0.2">
      <c r="A303" s="589">
        <f t="shared" si="4"/>
        <v>293</v>
      </c>
      <c r="B303" s="587"/>
      <c r="C303" s="587"/>
      <c r="D303" s="587"/>
      <c r="J303" s="589"/>
      <c r="K303" s="590"/>
      <c r="L303" s="591"/>
      <c r="M303" s="592"/>
      <c r="N303" s="589"/>
      <c r="O303" s="587"/>
      <c r="R303" s="1052"/>
      <c r="S303" s="1052"/>
      <c r="T303" s="1052"/>
      <c r="U303" s="1052"/>
      <c r="V303" s="1052"/>
      <c r="W303" s="1053"/>
      <c r="X303" s="1053"/>
      <c r="Y303" s="1053"/>
      <c r="Z303" s="1052"/>
      <c r="AA303" s="1052"/>
      <c r="AB303" s="962"/>
      <c r="AC303" s="590"/>
      <c r="AD303" s="590"/>
      <c r="AE303" s="591"/>
      <c r="AF303" s="592"/>
      <c r="AG303" s="1053"/>
      <c r="AH303" s="587"/>
      <c r="BU303" s="962"/>
      <c r="CD303" s="589"/>
      <c r="CE303" s="590"/>
      <c r="CF303" s="590"/>
      <c r="CG303" s="590"/>
      <c r="CH303" s="590"/>
      <c r="CI303" s="590"/>
      <c r="CJ303" s="589"/>
      <c r="CK303" s="589"/>
      <c r="CL303" s="589"/>
      <c r="CM303" s="587"/>
      <c r="CN303" s="587"/>
      <c r="CO303" s="589"/>
      <c r="CP303" s="587"/>
      <c r="CQ303" s="592"/>
      <c r="CR303" s="589"/>
      <c r="CS303" s="592"/>
      <c r="CT303" s="589"/>
      <c r="CU303" s="589"/>
      <c r="CV303" s="589"/>
      <c r="CW303" s="587"/>
      <c r="CX303" s="590"/>
      <c r="CY303" s="590"/>
      <c r="CZ303" s="590"/>
      <c r="DA303" s="1054"/>
      <c r="DB303" s="1054"/>
      <c r="DC303" s="587"/>
      <c r="DD303" s="587"/>
    </row>
    <row r="304" spans="1:108" s="588" customFormat="1" x14ac:dyDescent="0.2">
      <c r="A304" s="589">
        <f t="shared" si="4"/>
        <v>294</v>
      </c>
      <c r="B304" s="587"/>
      <c r="C304" s="587"/>
      <c r="D304" s="587"/>
      <c r="J304" s="589"/>
      <c r="K304" s="590"/>
      <c r="L304" s="591"/>
      <c r="M304" s="592"/>
      <c r="N304" s="589"/>
      <c r="O304" s="587"/>
      <c r="R304" s="1052"/>
      <c r="S304" s="1052"/>
      <c r="T304" s="1052"/>
      <c r="U304" s="1052"/>
      <c r="V304" s="1052"/>
      <c r="W304" s="1053"/>
      <c r="X304" s="1053"/>
      <c r="Y304" s="1053"/>
      <c r="Z304" s="1052"/>
      <c r="AA304" s="1052"/>
      <c r="AB304" s="962"/>
      <c r="AC304" s="590"/>
      <c r="AD304" s="590"/>
      <c r="AE304" s="591"/>
      <c r="AF304" s="592"/>
      <c r="AG304" s="1053"/>
      <c r="AH304" s="587"/>
      <c r="BU304" s="962"/>
      <c r="CD304" s="589"/>
      <c r="CE304" s="590"/>
      <c r="CF304" s="590"/>
      <c r="CG304" s="590"/>
      <c r="CH304" s="590"/>
      <c r="CI304" s="590"/>
      <c r="CJ304" s="589"/>
      <c r="CK304" s="589"/>
      <c r="CL304" s="589"/>
      <c r="CM304" s="587"/>
      <c r="CN304" s="587"/>
      <c r="CO304" s="589"/>
      <c r="CP304" s="587"/>
      <c r="CQ304" s="592"/>
      <c r="CR304" s="589"/>
      <c r="CS304" s="592"/>
      <c r="CT304" s="589"/>
      <c r="CU304" s="589"/>
      <c r="CV304" s="589"/>
      <c r="CW304" s="587"/>
      <c r="CX304" s="590"/>
      <c r="CY304" s="590"/>
      <c r="CZ304" s="590"/>
      <c r="DA304" s="1054"/>
      <c r="DB304" s="1054"/>
      <c r="DC304" s="587"/>
      <c r="DD304" s="587"/>
    </row>
    <row r="305" spans="1:108" s="588" customFormat="1" x14ac:dyDescent="0.2">
      <c r="A305" s="589">
        <f t="shared" si="4"/>
        <v>295</v>
      </c>
      <c r="B305" s="587"/>
      <c r="C305" s="587"/>
      <c r="D305" s="587"/>
      <c r="J305" s="589"/>
      <c r="K305" s="590"/>
      <c r="L305" s="591"/>
      <c r="M305" s="592"/>
      <c r="N305" s="589"/>
      <c r="O305" s="587"/>
      <c r="R305" s="1052"/>
      <c r="S305" s="1052"/>
      <c r="T305" s="1052"/>
      <c r="U305" s="1052"/>
      <c r="V305" s="1052"/>
      <c r="W305" s="1053"/>
      <c r="X305" s="1053"/>
      <c r="Y305" s="1053"/>
      <c r="Z305" s="1052"/>
      <c r="AA305" s="1052"/>
      <c r="AB305" s="962"/>
      <c r="AC305" s="590"/>
      <c r="AD305" s="590"/>
      <c r="AE305" s="591"/>
      <c r="AF305" s="592"/>
      <c r="AG305" s="1053"/>
      <c r="AH305" s="587"/>
      <c r="BU305" s="962"/>
      <c r="CD305" s="589"/>
      <c r="CE305" s="590"/>
      <c r="CF305" s="590"/>
      <c r="CG305" s="590"/>
      <c r="CH305" s="590"/>
      <c r="CI305" s="590"/>
      <c r="CJ305" s="589"/>
      <c r="CK305" s="589"/>
      <c r="CL305" s="589"/>
      <c r="CM305" s="587"/>
      <c r="CN305" s="587"/>
      <c r="CO305" s="589"/>
      <c r="CP305" s="587"/>
      <c r="CQ305" s="592"/>
      <c r="CR305" s="589"/>
      <c r="CS305" s="592"/>
      <c r="CT305" s="589"/>
      <c r="CU305" s="589"/>
      <c r="CV305" s="589"/>
      <c r="CW305" s="587"/>
      <c r="CX305" s="590"/>
      <c r="CY305" s="590"/>
      <c r="CZ305" s="590"/>
      <c r="DA305" s="1054"/>
      <c r="DB305" s="1054"/>
      <c r="DC305" s="587"/>
      <c r="DD305" s="587"/>
    </row>
    <row r="306" spans="1:108" s="588" customFormat="1" x14ac:dyDescent="0.2">
      <c r="A306" s="589">
        <f t="shared" si="4"/>
        <v>296</v>
      </c>
      <c r="B306" s="587"/>
      <c r="C306" s="587"/>
      <c r="D306" s="587"/>
      <c r="J306" s="589"/>
      <c r="K306" s="590"/>
      <c r="L306" s="591"/>
      <c r="M306" s="592"/>
      <c r="N306" s="589"/>
      <c r="O306" s="587"/>
      <c r="R306" s="1052"/>
      <c r="S306" s="1052"/>
      <c r="T306" s="1052"/>
      <c r="U306" s="1052"/>
      <c r="V306" s="1052"/>
      <c r="W306" s="1053"/>
      <c r="X306" s="1053"/>
      <c r="Y306" s="1053"/>
      <c r="Z306" s="1052"/>
      <c r="AA306" s="1052"/>
      <c r="AB306" s="962"/>
      <c r="AC306" s="590"/>
      <c r="AD306" s="590"/>
      <c r="AE306" s="591"/>
      <c r="AF306" s="592"/>
      <c r="AG306" s="1053"/>
      <c r="AH306" s="587"/>
      <c r="BU306" s="962"/>
      <c r="CD306" s="589"/>
      <c r="CE306" s="590"/>
      <c r="CF306" s="590"/>
      <c r="CG306" s="590"/>
      <c r="CH306" s="590"/>
      <c r="CI306" s="590"/>
      <c r="CJ306" s="589"/>
      <c r="CK306" s="589"/>
      <c r="CL306" s="589"/>
      <c r="CM306" s="587"/>
      <c r="CN306" s="587"/>
      <c r="CO306" s="589"/>
      <c r="CP306" s="587"/>
      <c r="CQ306" s="592"/>
      <c r="CR306" s="589"/>
      <c r="CS306" s="592"/>
      <c r="CT306" s="589"/>
      <c r="CU306" s="589"/>
      <c r="CV306" s="589"/>
      <c r="CW306" s="587"/>
      <c r="CX306" s="590"/>
      <c r="CY306" s="590"/>
      <c r="CZ306" s="590"/>
      <c r="DA306" s="1054"/>
      <c r="DB306" s="1054"/>
      <c r="DC306" s="587"/>
      <c r="DD306" s="587"/>
    </row>
    <row r="307" spans="1:108" s="588" customFormat="1" x14ac:dyDescent="0.2">
      <c r="A307" s="589">
        <f t="shared" si="4"/>
        <v>297</v>
      </c>
      <c r="B307" s="587"/>
      <c r="C307" s="587"/>
      <c r="D307" s="587"/>
      <c r="J307" s="589"/>
      <c r="K307" s="590"/>
      <c r="L307" s="591"/>
      <c r="M307" s="592"/>
      <c r="N307" s="589"/>
      <c r="O307" s="587"/>
      <c r="R307" s="1052"/>
      <c r="S307" s="1052"/>
      <c r="T307" s="1052"/>
      <c r="U307" s="1052"/>
      <c r="V307" s="1052"/>
      <c r="W307" s="1053"/>
      <c r="X307" s="1053"/>
      <c r="Y307" s="1053"/>
      <c r="Z307" s="1052"/>
      <c r="AA307" s="1052"/>
      <c r="AB307" s="962"/>
      <c r="AC307" s="590"/>
      <c r="AD307" s="590"/>
      <c r="AE307" s="591"/>
      <c r="AF307" s="592"/>
      <c r="AG307" s="1053"/>
      <c r="AH307" s="587"/>
      <c r="BU307" s="962"/>
      <c r="CD307" s="589"/>
      <c r="CE307" s="590"/>
      <c r="CF307" s="590"/>
      <c r="CG307" s="590"/>
      <c r="CH307" s="590"/>
      <c r="CI307" s="590"/>
      <c r="CJ307" s="589"/>
      <c r="CK307" s="589"/>
      <c r="CL307" s="589"/>
      <c r="CM307" s="587"/>
      <c r="CN307" s="587"/>
      <c r="CO307" s="589"/>
      <c r="CP307" s="587"/>
      <c r="CQ307" s="592"/>
      <c r="CR307" s="589"/>
      <c r="CS307" s="592"/>
      <c r="CT307" s="589"/>
      <c r="CU307" s="589"/>
      <c r="CV307" s="589"/>
      <c r="CW307" s="587"/>
      <c r="CX307" s="590"/>
      <c r="CY307" s="590"/>
      <c r="CZ307" s="590"/>
      <c r="DA307" s="1054"/>
      <c r="DB307" s="1054"/>
      <c r="DC307" s="587"/>
      <c r="DD307" s="587"/>
    </row>
    <row r="308" spans="1:108" s="588" customFormat="1" x14ac:dyDescent="0.2">
      <c r="A308" s="589">
        <f t="shared" si="4"/>
        <v>298</v>
      </c>
      <c r="B308" s="587"/>
      <c r="C308" s="587"/>
      <c r="D308" s="587"/>
      <c r="J308" s="589"/>
      <c r="K308" s="590"/>
      <c r="L308" s="591"/>
      <c r="M308" s="592"/>
      <c r="N308" s="589"/>
      <c r="O308" s="587"/>
      <c r="R308" s="1052"/>
      <c r="S308" s="1052"/>
      <c r="T308" s="1052"/>
      <c r="U308" s="1052"/>
      <c r="V308" s="1052"/>
      <c r="W308" s="1053"/>
      <c r="X308" s="1053"/>
      <c r="Y308" s="1053"/>
      <c r="Z308" s="1052"/>
      <c r="AA308" s="1052"/>
      <c r="AB308" s="962"/>
      <c r="AC308" s="590"/>
      <c r="AD308" s="590"/>
      <c r="AE308" s="591"/>
      <c r="AF308" s="592"/>
      <c r="AG308" s="1053"/>
      <c r="AH308" s="587"/>
      <c r="BU308" s="962"/>
      <c r="CD308" s="589"/>
      <c r="CE308" s="590"/>
      <c r="CF308" s="590"/>
      <c r="CG308" s="590"/>
      <c r="CH308" s="590"/>
      <c r="CI308" s="590"/>
      <c r="CJ308" s="589"/>
      <c r="CK308" s="589"/>
      <c r="CL308" s="589"/>
      <c r="CM308" s="587"/>
      <c r="CN308" s="587"/>
      <c r="CO308" s="589"/>
      <c r="CP308" s="587"/>
      <c r="CQ308" s="592"/>
      <c r="CR308" s="589"/>
      <c r="CS308" s="592"/>
      <c r="CT308" s="589"/>
      <c r="CU308" s="589"/>
      <c r="CV308" s="589"/>
      <c r="CW308" s="587"/>
      <c r="CX308" s="590"/>
      <c r="CY308" s="590"/>
      <c r="CZ308" s="590"/>
      <c r="DA308" s="1054"/>
      <c r="DB308" s="1054"/>
      <c r="DC308" s="587"/>
      <c r="DD308" s="587"/>
    </row>
    <row r="309" spans="1:108" s="588" customFormat="1" x14ac:dyDescent="0.2">
      <c r="A309" s="589">
        <f t="shared" si="4"/>
        <v>299</v>
      </c>
      <c r="B309" s="587"/>
      <c r="C309" s="587"/>
      <c r="D309" s="587"/>
      <c r="J309" s="589"/>
      <c r="K309" s="590"/>
      <c r="L309" s="591"/>
      <c r="M309" s="592"/>
      <c r="N309" s="589"/>
      <c r="O309" s="587"/>
      <c r="R309" s="1052"/>
      <c r="S309" s="1052"/>
      <c r="T309" s="1052"/>
      <c r="U309" s="1052"/>
      <c r="V309" s="1052"/>
      <c r="W309" s="1053"/>
      <c r="X309" s="1053"/>
      <c r="Y309" s="1053"/>
      <c r="Z309" s="1052"/>
      <c r="AA309" s="1052"/>
      <c r="AB309" s="962"/>
      <c r="AC309" s="590"/>
      <c r="AD309" s="590"/>
      <c r="AE309" s="591"/>
      <c r="AF309" s="592"/>
      <c r="AG309" s="1053"/>
      <c r="AH309" s="587"/>
      <c r="BU309" s="962"/>
      <c r="CD309" s="589"/>
      <c r="CE309" s="590"/>
      <c r="CF309" s="590"/>
      <c r="CG309" s="590"/>
      <c r="CH309" s="590"/>
      <c r="CI309" s="590"/>
      <c r="CJ309" s="589"/>
      <c r="CK309" s="589"/>
      <c r="CL309" s="589"/>
      <c r="CM309" s="587"/>
      <c r="CN309" s="587"/>
      <c r="CO309" s="589"/>
      <c r="CP309" s="587"/>
      <c r="CQ309" s="592"/>
      <c r="CR309" s="589"/>
      <c r="CS309" s="592"/>
      <c r="CT309" s="589"/>
      <c r="CU309" s="589"/>
      <c r="CV309" s="589"/>
      <c r="CW309" s="587"/>
      <c r="CX309" s="590"/>
      <c r="CY309" s="590"/>
      <c r="CZ309" s="590"/>
      <c r="DA309" s="1054"/>
      <c r="DB309" s="1054"/>
      <c r="DC309" s="587"/>
      <c r="DD309" s="587"/>
    </row>
    <row r="310" spans="1:108" s="588" customFormat="1" x14ac:dyDescent="0.2">
      <c r="A310" s="589">
        <f t="shared" si="4"/>
        <v>300</v>
      </c>
      <c r="B310" s="587"/>
      <c r="C310" s="587"/>
      <c r="D310" s="587"/>
      <c r="J310" s="589"/>
      <c r="K310" s="590"/>
      <c r="L310" s="591"/>
      <c r="M310" s="592"/>
      <c r="N310" s="589"/>
      <c r="O310" s="587"/>
      <c r="R310" s="1052"/>
      <c r="S310" s="1052"/>
      <c r="T310" s="1052"/>
      <c r="U310" s="1052"/>
      <c r="V310" s="1052"/>
      <c r="W310" s="1053"/>
      <c r="X310" s="1053"/>
      <c r="Y310" s="1053"/>
      <c r="Z310" s="1052"/>
      <c r="AA310" s="1052"/>
      <c r="AB310" s="962"/>
      <c r="AC310" s="590"/>
      <c r="AD310" s="590"/>
      <c r="AE310" s="591"/>
      <c r="AF310" s="592"/>
      <c r="AG310" s="1053"/>
      <c r="AH310" s="587"/>
      <c r="BU310" s="962"/>
      <c r="CD310" s="589"/>
      <c r="CE310" s="590"/>
      <c r="CF310" s="590"/>
      <c r="CG310" s="590"/>
      <c r="CH310" s="590"/>
      <c r="CI310" s="590"/>
      <c r="CJ310" s="589"/>
      <c r="CK310" s="589"/>
      <c r="CL310" s="589"/>
      <c r="CM310" s="587"/>
      <c r="CN310" s="587"/>
      <c r="CO310" s="589"/>
      <c r="CP310" s="587"/>
      <c r="CQ310" s="592"/>
      <c r="CR310" s="589"/>
      <c r="CS310" s="592"/>
      <c r="CT310" s="589"/>
      <c r="CU310" s="589"/>
      <c r="CV310" s="589"/>
      <c r="CW310" s="587"/>
      <c r="CX310" s="590"/>
      <c r="CY310" s="590"/>
      <c r="CZ310" s="590"/>
      <c r="DA310" s="1054"/>
      <c r="DB310" s="1054"/>
      <c r="DC310" s="587"/>
      <c r="DD310" s="587"/>
    </row>
    <row r="311" spans="1:108" s="588" customFormat="1" x14ac:dyDescent="0.2">
      <c r="A311" s="589">
        <f t="shared" si="4"/>
        <v>301</v>
      </c>
      <c r="B311" s="587"/>
      <c r="C311" s="587"/>
      <c r="D311" s="587"/>
      <c r="J311" s="589"/>
      <c r="K311" s="590"/>
      <c r="L311" s="591"/>
      <c r="M311" s="592"/>
      <c r="N311" s="589"/>
      <c r="O311" s="587"/>
      <c r="R311" s="1052"/>
      <c r="S311" s="1052"/>
      <c r="T311" s="1052"/>
      <c r="U311" s="1052"/>
      <c r="V311" s="1052"/>
      <c r="W311" s="1053"/>
      <c r="X311" s="1053"/>
      <c r="Y311" s="1053"/>
      <c r="Z311" s="1052"/>
      <c r="AA311" s="1052"/>
      <c r="AB311" s="962"/>
      <c r="AC311" s="590"/>
      <c r="AD311" s="590"/>
      <c r="AE311" s="591"/>
      <c r="AF311" s="592"/>
      <c r="AG311" s="1053"/>
      <c r="AH311" s="587"/>
      <c r="AJ311" s="589"/>
      <c r="BU311" s="962"/>
      <c r="CD311" s="589"/>
      <c r="CE311" s="590"/>
      <c r="CF311" s="590"/>
      <c r="CG311" s="590"/>
      <c r="CH311" s="590"/>
      <c r="CI311" s="590"/>
      <c r="CJ311" s="589"/>
      <c r="CK311" s="589"/>
      <c r="CL311" s="589"/>
      <c r="CM311" s="587"/>
      <c r="CN311" s="587"/>
      <c r="CO311" s="589"/>
      <c r="CP311" s="587"/>
      <c r="CQ311" s="592"/>
      <c r="CR311" s="589"/>
      <c r="CS311" s="592"/>
      <c r="CT311" s="589"/>
      <c r="CU311" s="589"/>
      <c r="CV311" s="589"/>
      <c r="CW311" s="587"/>
      <c r="CX311" s="590"/>
      <c r="CY311" s="590"/>
      <c r="CZ311" s="590"/>
      <c r="DA311" s="1054"/>
      <c r="DB311" s="1054"/>
      <c r="DC311" s="587"/>
      <c r="DD311" s="587"/>
    </row>
    <row r="312" spans="1:108" s="588" customFormat="1" x14ac:dyDescent="0.2">
      <c r="A312" s="589">
        <f t="shared" si="4"/>
        <v>302</v>
      </c>
      <c r="B312" s="587"/>
      <c r="C312" s="587"/>
      <c r="D312" s="587"/>
      <c r="J312" s="589"/>
      <c r="K312" s="590"/>
      <c r="L312" s="591"/>
      <c r="M312" s="592"/>
      <c r="N312" s="589"/>
      <c r="O312" s="587"/>
      <c r="R312" s="1052"/>
      <c r="S312" s="1052"/>
      <c r="T312" s="1052"/>
      <c r="U312" s="1052"/>
      <c r="V312" s="1052"/>
      <c r="W312" s="1053"/>
      <c r="X312" s="1053"/>
      <c r="Y312" s="1053"/>
      <c r="Z312" s="1052"/>
      <c r="AA312" s="1052"/>
      <c r="AB312" s="962"/>
      <c r="AC312" s="590"/>
      <c r="AD312" s="590"/>
      <c r="AE312" s="591"/>
      <c r="AF312" s="592"/>
      <c r="AG312" s="1053"/>
      <c r="AH312" s="587"/>
      <c r="AJ312" s="589"/>
      <c r="BU312" s="962"/>
      <c r="CD312" s="589"/>
      <c r="CE312" s="590"/>
      <c r="CF312" s="590"/>
      <c r="CG312" s="590"/>
      <c r="CH312" s="590"/>
      <c r="CI312" s="590"/>
      <c r="CJ312" s="589"/>
      <c r="CK312" s="589"/>
      <c r="CL312" s="589"/>
      <c r="CM312" s="587"/>
      <c r="CN312" s="587"/>
      <c r="CO312" s="589"/>
      <c r="CP312" s="587"/>
      <c r="CQ312" s="592"/>
      <c r="CR312" s="589"/>
      <c r="CS312" s="592"/>
      <c r="CT312" s="589"/>
      <c r="CU312" s="589"/>
      <c r="CV312" s="589"/>
      <c r="CW312" s="587"/>
      <c r="CX312" s="590"/>
      <c r="CY312" s="590"/>
      <c r="CZ312" s="590"/>
      <c r="DA312" s="1054"/>
      <c r="DB312" s="1054"/>
      <c r="DC312" s="587"/>
      <c r="DD312" s="587"/>
    </row>
    <row r="313" spans="1:108" s="588" customFormat="1" x14ac:dyDescent="0.2">
      <c r="A313" s="589">
        <f t="shared" si="4"/>
        <v>303</v>
      </c>
      <c r="B313" s="587"/>
      <c r="C313" s="587"/>
      <c r="D313" s="587"/>
      <c r="J313" s="589"/>
      <c r="K313" s="590"/>
      <c r="L313" s="591"/>
      <c r="M313" s="592"/>
      <c r="N313" s="589"/>
      <c r="O313" s="587"/>
      <c r="R313" s="1052"/>
      <c r="S313" s="1052"/>
      <c r="T313" s="1052"/>
      <c r="U313" s="1052"/>
      <c r="V313" s="1052"/>
      <c r="W313" s="1053"/>
      <c r="X313" s="1053"/>
      <c r="Y313" s="1053"/>
      <c r="Z313" s="1052"/>
      <c r="AA313" s="1052"/>
      <c r="AB313" s="962"/>
      <c r="AC313" s="590"/>
      <c r="AD313" s="590"/>
      <c r="AE313" s="591"/>
      <c r="AF313" s="592"/>
      <c r="AG313" s="1053"/>
      <c r="AH313" s="587"/>
      <c r="AJ313" s="589"/>
      <c r="BU313" s="962"/>
      <c r="CD313" s="589"/>
      <c r="CE313" s="590"/>
      <c r="CF313" s="590"/>
      <c r="CG313" s="590"/>
      <c r="CH313" s="590"/>
      <c r="CI313" s="590"/>
      <c r="CJ313" s="589"/>
      <c r="CK313" s="589"/>
      <c r="CL313" s="589"/>
      <c r="CM313" s="587"/>
      <c r="CN313" s="587"/>
      <c r="CO313" s="589"/>
      <c r="CP313" s="587"/>
      <c r="CQ313" s="592"/>
      <c r="CR313" s="589"/>
      <c r="CS313" s="592"/>
      <c r="CT313" s="589"/>
      <c r="CU313" s="589"/>
      <c r="CV313" s="589"/>
      <c r="CW313" s="587"/>
      <c r="CX313" s="590"/>
      <c r="CY313" s="590"/>
      <c r="CZ313" s="590"/>
      <c r="DA313" s="1054"/>
      <c r="DB313" s="1054"/>
      <c r="DC313" s="587"/>
      <c r="DD313" s="587"/>
    </row>
    <row r="314" spans="1:108" s="588" customFormat="1" x14ac:dyDescent="0.2">
      <c r="A314" s="589">
        <f t="shared" si="4"/>
        <v>304</v>
      </c>
      <c r="B314" s="587"/>
      <c r="C314" s="587"/>
      <c r="D314" s="587"/>
      <c r="J314" s="589"/>
      <c r="K314" s="590"/>
      <c r="L314" s="591"/>
      <c r="M314" s="592"/>
      <c r="N314" s="589"/>
      <c r="O314" s="587"/>
      <c r="R314" s="1052"/>
      <c r="S314" s="1052"/>
      <c r="T314" s="1052"/>
      <c r="U314" s="1052"/>
      <c r="V314" s="1052"/>
      <c r="W314" s="1053"/>
      <c r="X314" s="1053"/>
      <c r="Y314" s="1053"/>
      <c r="Z314" s="1052"/>
      <c r="AA314" s="1052"/>
      <c r="AB314" s="962"/>
      <c r="AC314" s="590"/>
      <c r="AD314" s="590"/>
      <c r="AE314" s="591"/>
      <c r="AF314" s="592"/>
      <c r="AG314" s="1053"/>
      <c r="AH314" s="587"/>
      <c r="AJ314" s="589"/>
      <c r="BU314" s="962"/>
      <c r="CD314" s="589"/>
      <c r="CE314" s="590"/>
      <c r="CF314" s="590"/>
      <c r="CG314" s="590"/>
      <c r="CH314" s="590"/>
      <c r="CI314" s="590"/>
      <c r="CJ314" s="589"/>
      <c r="CK314" s="589"/>
      <c r="CL314" s="589"/>
      <c r="CM314" s="587"/>
      <c r="CN314" s="587"/>
      <c r="CO314" s="589"/>
      <c r="CP314" s="587"/>
      <c r="CQ314" s="592"/>
      <c r="CR314" s="589"/>
      <c r="CS314" s="592"/>
      <c r="CT314" s="589"/>
      <c r="CU314" s="589"/>
      <c r="CV314" s="589"/>
      <c r="CW314" s="587"/>
      <c r="CX314" s="590"/>
      <c r="CY314" s="590"/>
      <c r="CZ314" s="590"/>
      <c r="DA314" s="1054"/>
      <c r="DB314" s="1054"/>
      <c r="DC314" s="587"/>
      <c r="DD314" s="587"/>
    </row>
    <row r="315" spans="1:108" s="588" customFormat="1" x14ac:dyDescent="0.2">
      <c r="A315" s="589">
        <f t="shared" si="4"/>
        <v>305</v>
      </c>
      <c r="B315" s="587"/>
      <c r="C315" s="587"/>
      <c r="D315" s="587"/>
      <c r="J315" s="589"/>
      <c r="K315" s="590"/>
      <c r="L315" s="591"/>
      <c r="M315" s="592"/>
      <c r="N315" s="589"/>
      <c r="O315" s="587"/>
      <c r="R315" s="1052"/>
      <c r="S315" s="1052"/>
      <c r="T315" s="1052"/>
      <c r="U315" s="1052"/>
      <c r="V315" s="1052"/>
      <c r="W315" s="1053"/>
      <c r="X315" s="1053"/>
      <c r="Y315" s="1053"/>
      <c r="Z315" s="1052"/>
      <c r="AA315" s="1052"/>
      <c r="AB315" s="962"/>
      <c r="AC315" s="590"/>
      <c r="AD315" s="590"/>
      <c r="AE315" s="591"/>
      <c r="AF315" s="592"/>
      <c r="AG315" s="1053"/>
      <c r="AH315" s="587"/>
      <c r="AJ315" s="589"/>
      <c r="BU315" s="962"/>
      <c r="CD315" s="589"/>
      <c r="CE315" s="590"/>
      <c r="CF315" s="590"/>
      <c r="CG315" s="590"/>
      <c r="CH315" s="590"/>
      <c r="CI315" s="590"/>
      <c r="CJ315" s="589"/>
      <c r="CK315" s="589"/>
      <c r="CL315" s="589"/>
      <c r="CM315" s="587"/>
      <c r="CN315" s="587"/>
      <c r="CO315" s="589"/>
      <c r="CP315" s="587"/>
      <c r="CQ315" s="592"/>
      <c r="CR315" s="589"/>
      <c r="CS315" s="592"/>
      <c r="CT315" s="589"/>
      <c r="CU315" s="589"/>
      <c r="CV315" s="589"/>
      <c r="CW315" s="587"/>
      <c r="CX315" s="590"/>
      <c r="CY315" s="590"/>
      <c r="CZ315" s="590"/>
      <c r="DA315" s="1054"/>
      <c r="DB315" s="1054"/>
      <c r="DC315" s="587"/>
      <c r="DD315" s="587"/>
    </row>
    <row r="316" spans="1:108" x14ac:dyDescent="0.2"/>
    <row r="317" spans="1:108" x14ac:dyDescent="0.2"/>
    <row r="318" spans="1:108" x14ac:dyDescent="0.2"/>
    <row r="319" spans="1:108" x14ac:dyDescent="0.2"/>
    <row r="320" spans="1:108"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spans="37:59" x14ac:dyDescent="0.2"/>
    <row r="370" spans="37:59" x14ac:dyDescent="0.2"/>
    <row r="371" spans="37:59" x14ac:dyDescent="0.2"/>
    <row r="372" spans="37:59" x14ac:dyDescent="0.2"/>
    <row r="373" spans="37:59" x14ac:dyDescent="0.2"/>
    <row r="374" spans="37:59" x14ac:dyDescent="0.2"/>
    <row r="375" spans="37:59" x14ac:dyDescent="0.2"/>
    <row r="376" spans="37:59" hidden="1" x14ac:dyDescent="0.2">
      <c r="AK376" s="1041"/>
      <c r="AL376" s="1042"/>
      <c r="AM376" s="1108"/>
      <c r="AN376" s="1109"/>
      <c r="AO376" s="1109"/>
      <c r="AP376" s="1109"/>
      <c r="AQ376" s="1147"/>
      <c r="AR376" s="1147"/>
      <c r="AS376" s="1110"/>
      <c r="AT376" s="1110"/>
      <c r="AU376" s="1110"/>
      <c r="AV376" s="1110"/>
      <c r="AW376" s="1110"/>
      <c r="AX376" s="1110"/>
      <c r="AY376" s="1110"/>
      <c r="AZ376" s="1110"/>
      <c r="BA376" s="1110"/>
      <c r="BB376" s="1110"/>
      <c r="BC376" s="1110"/>
      <c r="BD376" s="1111"/>
      <c r="BE376" s="1184"/>
      <c r="BF376" s="1432"/>
      <c r="BG376" s="1432"/>
    </row>
    <row r="377" spans="37:59" hidden="1" x14ac:dyDescent="0.2">
      <c r="AK377" s="1041"/>
      <c r="AL377" s="1042"/>
      <c r="AM377" s="1108"/>
      <c r="AN377" s="1109"/>
      <c r="AO377" s="1109"/>
      <c r="AP377" s="1109"/>
      <c r="AQ377" s="1147"/>
      <c r="AR377" s="1147"/>
      <c r="AS377" s="1110"/>
      <c r="AT377" s="1110"/>
      <c r="AU377" s="1110"/>
      <c r="AV377" s="1110"/>
      <c r="AW377" s="1110"/>
      <c r="AX377" s="1110"/>
      <c r="AY377" s="1110"/>
      <c r="AZ377" s="1110"/>
      <c r="BA377" s="1110"/>
      <c r="BB377" s="1110"/>
      <c r="BC377" s="1110"/>
      <c r="BD377" s="1111"/>
      <c r="BE377" s="1184"/>
      <c r="BF377" s="1432"/>
      <c r="BG377" s="1432"/>
    </row>
    <row r="378" spans="37:59" hidden="1" x14ac:dyDescent="0.2">
      <c r="AK378" s="1041"/>
      <c r="AL378" s="1042"/>
      <c r="AM378" s="1108"/>
      <c r="AN378" s="1109"/>
      <c r="AO378" s="1109"/>
      <c r="AP378" s="1109"/>
      <c r="AQ378" s="1147"/>
      <c r="AR378" s="1147"/>
      <c r="AS378" s="1110"/>
      <c r="AT378" s="1110"/>
      <c r="AU378" s="1110"/>
      <c r="AV378" s="1110"/>
      <c r="AW378" s="1110"/>
      <c r="AX378" s="1110"/>
      <c r="AY378" s="1110"/>
      <c r="AZ378" s="1110"/>
      <c r="BA378" s="1110"/>
      <c r="BB378" s="1110"/>
      <c r="BC378" s="1110"/>
      <c r="BD378" s="1111"/>
      <c r="BE378" s="1184"/>
      <c r="BF378" s="1432"/>
      <c r="BG378" s="1432"/>
    </row>
    <row r="379" spans="37:59" hidden="1" x14ac:dyDescent="0.2">
      <c r="AK379" s="1041"/>
      <c r="AL379" s="1042"/>
      <c r="AM379" s="1108"/>
      <c r="AN379" s="1109"/>
      <c r="AO379" s="1109"/>
      <c r="AP379" s="1109"/>
      <c r="AQ379" s="1147"/>
      <c r="AR379" s="1147"/>
      <c r="AS379" s="1110"/>
      <c r="AT379" s="1110"/>
      <c r="AU379" s="1110"/>
      <c r="AV379" s="1110"/>
      <c r="AW379" s="1110"/>
      <c r="AX379" s="1110"/>
      <c r="AY379" s="1110"/>
      <c r="AZ379" s="1110"/>
      <c r="BA379" s="1110"/>
      <c r="BB379" s="1110"/>
      <c r="BC379" s="1110"/>
      <c r="BD379" s="1111"/>
      <c r="BE379" s="1184"/>
      <c r="BF379" s="1432"/>
      <c r="BG379" s="1432"/>
    </row>
    <row r="380" spans="37:59" hidden="1" x14ac:dyDescent="0.2">
      <c r="AK380" s="1041"/>
      <c r="AL380" s="1042"/>
      <c r="AM380" s="1108"/>
      <c r="AN380" s="1109"/>
      <c r="AO380" s="1109"/>
      <c r="AP380" s="1109"/>
      <c r="AQ380" s="1147"/>
      <c r="AR380" s="1147"/>
      <c r="AS380" s="1110"/>
      <c r="AT380" s="1110"/>
      <c r="AU380" s="1110"/>
      <c r="AV380" s="1110"/>
      <c r="AW380" s="1110"/>
      <c r="AX380" s="1110"/>
      <c r="AY380" s="1110"/>
      <c r="AZ380" s="1110"/>
      <c r="BA380" s="1110"/>
      <c r="BB380" s="1110"/>
      <c r="BC380" s="1110"/>
      <c r="BD380" s="1111"/>
      <c r="BE380" s="1184"/>
      <c r="BF380" s="1432"/>
      <c r="BG380" s="1432"/>
    </row>
    <row r="381" spans="37:59" hidden="1" x14ac:dyDescent="0.2">
      <c r="AK381" s="1041"/>
      <c r="AL381" s="1042"/>
      <c r="AM381" s="1108"/>
      <c r="AN381" s="1109"/>
      <c r="AO381" s="1109"/>
      <c r="AP381" s="1109"/>
      <c r="AQ381" s="1147"/>
      <c r="AR381" s="1147"/>
      <c r="AS381" s="1110"/>
      <c r="AT381" s="1110"/>
      <c r="AU381" s="1110"/>
      <c r="AV381" s="1110"/>
      <c r="AW381" s="1110"/>
      <c r="AX381" s="1110"/>
      <c r="AY381" s="1110"/>
      <c r="AZ381" s="1110"/>
      <c r="BA381" s="1110"/>
      <c r="BB381" s="1110"/>
      <c r="BC381" s="1110"/>
      <c r="BD381" s="1111"/>
      <c r="BE381" s="1184"/>
      <c r="BF381" s="1432"/>
      <c r="BG381" s="1432"/>
    </row>
    <row r="382" spans="37:59" hidden="1" x14ac:dyDescent="0.2"/>
    <row r="383" spans="37:59" hidden="1" x14ac:dyDescent="0.2"/>
    <row r="384" spans="37:59"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spans="37:59" hidden="1" x14ac:dyDescent="0.2"/>
    <row r="402" spans="37:59" hidden="1" x14ac:dyDescent="0.2"/>
    <row r="403" spans="37:59" hidden="1" x14ac:dyDescent="0.2"/>
    <row r="404" spans="37:59" hidden="1" x14ac:dyDescent="0.2"/>
    <row r="405" spans="37:59" hidden="1" x14ac:dyDescent="0.2"/>
    <row r="406" spans="37:59" hidden="1" x14ac:dyDescent="0.2"/>
    <row r="407" spans="37:59" hidden="1" x14ac:dyDescent="0.2">
      <c r="AK407" s="1041"/>
      <c r="AL407" s="1042"/>
      <c r="AM407" s="1108"/>
      <c r="AN407" s="1109"/>
      <c r="AO407" s="1109"/>
      <c r="AP407" s="1109"/>
      <c r="AQ407" s="1147"/>
      <c r="AR407" s="1147"/>
      <c r="AS407" s="1110"/>
      <c r="AT407" s="1110"/>
      <c r="AU407" s="1110"/>
      <c r="AV407" s="1110"/>
      <c r="AW407" s="1110"/>
      <c r="AX407" s="1110"/>
      <c r="AY407" s="1110"/>
      <c r="AZ407" s="1110"/>
      <c r="BA407" s="1110"/>
      <c r="BB407" s="1110"/>
      <c r="BC407" s="1110"/>
      <c r="BD407" s="1111"/>
      <c r="BE407" s="1184"/>
      <c r="BF407" s="1432"/>
      <c r="BG407" s="1432"/>
    </row>
    <row r="408" spans="37:59" hidden="1" x14ac:dyDescent="0.2">
      <c r="AK408" s="1041"/>
      <c r="AL408" s="1042"/>
      <c r="AM408" s="1108"/>
      <c r="AN408" s="1109"/>
      <c r="AO408" s="1109"/>
      <c r="AP408" s="1109"/>
      <c r="AQ408" s="1147"/>
      <c r="AR408" s="1147"/>
      <c r="AS408" s="1110"/>
      <c r="AT408" s="1110"/>
      <c r="AU408" s="1110"/>
      <c r="AV408" s="1110"/>
      <c r="AW408" s="1110"/>
      <c r="AX408" s="1110"/>
      <c r="AY408" s="1110"/>
      <c r="AZ408" s="1110"/>
      <c r="BA408" s="1110"/>
      <c r="BB408" s="1110"/>
      <c r="BC408" s="1110"/>
      <c r="BD408" s="1111"/>
      <c r="BE408" s="1184"/>
      <c r="BF408" s="1432"/>
      <c r="BG408" s="1432"/>
    </row>
    <row r="409" spans="37:59" hidden="1" x14ac:dyDescent="0.2">
      <c r="AK409" s="1041"/>
      <c r="AL409" s="1042"/>
      <c r="AM409" s="1108"/>
      <c r="AN409" s="1109"/>
      <c r="AO409" s="1109"/>
      <c r="AP409" s="1109"/>
      <c r="AQ409" s="1147"/>
      <c r="AR409" s="1147"/>
      <c r="AS409" s="1110"/>
      <c r="AT409" s="1110"/>
      <c r="AU409" s="1110"/>
      <c r="AV409" s="1110"/>
      <c r="AW409" s="1110"/>
      <c r="AX409" s="1110"/>
      <c r="AY409" s="1110"/>
      <c r="AZ409" s="1110"/>
      <c r="BA409" s="1110"/>
      <c r="BB409" s="1110"/>
      <c r="BC409" s="1110"/>
      <c r="BD409" s="1111"/>
      <c r="BE409" s="1184"/>
      <c r="BF409" s="1432"/>
      <c r="BG409" s="1432"/>
    </row>
    <row r="410" spans="37:59" hidden="1" x14ac:dyDescent="0.2">
      <c r="AK410" s="1041"/>
      <c r="AL410" s="1042"/>
      <c r="AM410" s="1108"/>
      <c r="AN410" s="1109"/>
      <c r="AO410" s="1109"/>
      <c r="AP410" s="1109"/>
      <c r="AQ410" s="1147"/>
      <c r="AR410" s="1147"/>
      <c r="AS410" s="1110"/>
      <c r="AT410" s="1110"/>
      <c r="AU410" s="1110"/>
      <c r="AV410" s="1110"/>
      <c r="AW410" s="1110"/>
      <c r="AX410" s="1110"/>
      <c r="AY410" s="1110"/>
      <c r="AZ410" s="1110"/>
      <c r="BA410" s="1110"/>
      <c r="BB410" s="1110"/>
      <c r="BC410" s="1110"/>
      <c r="BD410" s="1111"/>
      <c r="BE410" s="1184"/>
      <c r="BF410" s="1432"/>
      <c r="BG410" s="1432"/>
    </row>
    <row r="411" spans="37:59" hidden="1" x14ac:dyDescent="0.2">
      <c r="AK411" s="1041"/>
      <c r="AL411" s="1042"/>
      <c r="AM411" s="1108"/>
      <c r="AN411" s="1109"/>
      <c r="AO411" s="1109"/>
      <c r="AP411" s="1109"/>
      <c r="AQ411" s="1147"/>
      <c r="AR411" s="1147"/>
      <c r="AS411" s="1110"/>
      <c r="AT411" s="1110"/>
      <c r="AU411" s="1110"/>
      <c r="AV411" s="1110"/>
      <c r="AW411" s="1110"/>
      <c r="AX411" s="1110"/>
      <c r="AY411" s="1110"/>
      <c r="AZ411" s="1110"/>
      <c r="BA411" s="1110"/>
      <c r="BB411" s="1110"/>
      <c r="BC411" s="1110"/>
      <c r="BD411" s="1111"/>
      <c r="BE411" s="1184"/>
      <c r="BF411" s="1432"/>
      <c r="BG411" s="1432"/>
    </row>
    <row r="412" spans="37:59" hidden="1" x14ac:dyDescent="0.2">
      <c r="AK412" s="1041"/>
      <c r="AL412" s="1042"/>
      <c r="AM412" s="1108"/>
      <c r="AN412" s="1109"/>
      <c r="AO412" s="1109"/>
      <c r="AP412" s="1109"/>
      <c r="AQ412" s="1147"/>
      <c r="AR412" s="1147"/>
      <c r="AS412" s="1110"/>
      <c r="AT412" s="1110"/>
      <c r="AU412" s="1110"/>
      <c r="AV412" s="1110"/>
      <c r="AW412" s="1110"/>
      <c r="AX412" s="1110"/>
      <c r="AY412" s="1110"/>
      <c r="AZ412" s="1110"/>
      <c r="BA412" s="1110"/>
      <c r="BB412" s="1110"/>
      <c r="BC412" s="1110"/>
      <c r="BD412" s="1111"/>
      <c r="BE412" s="1184"/>
      <c r="BF412" s="1432"/>
      <c r="BG412" s="1432"/>
    </row>
    <row r="413" spans="37:59" hidden="1" x14ac:dyDescent="0.2">
      <c r="AK413" s="1041"/>
      <c r="AL413" s="1042"/>
      <c r="AM413" s="1108"/>
      <c r="AN413" s="1109"/>
      <c r="AO413" s="1109"/>
      <c r="AP413" s="1109"/>
      <c r="AQ413" s="1147"/>
      <c r="AR413" s="1147"/>
      <c r="AS413" s="1110"/>
      <c r="AT413" s="1110"/>
      <c r="AU413" s="1110"/>
      <c r="AV413" s="1110"/>
      <c r="AW413" s="1110"/>
      <c r="AX413" s="1110"/>
      <c r="AY413" s="1110"/>
      <c r="AZ413" s="1110"/>
      <c r="BA413" s="1110"/>
      <c r="BB413" s="1110"/>
      <c r="BC413" s="1110"/>
      <c r="BD413" s="1111"/>
      <c r="BE413" s="1184"/>
      <c r="BF413" s="1432"/>
      <c r="BG413" s="1432"/>
    </row>
    <row r="414" spans="37:59" hidden="1" x14ac:dyDescent="0.2">
      <c r="AK414" s="1041"/>
      <c r="AL414" s="1042"/>
      <c r="AM414" s="1108"/>
      <c r="AN414" s="1109"/>
      <c r="AO414" s="1109"/>
      <c r="AP414" s="1109"/>
      <c r="AQ414" s="1147"/>
      <c r="AR414" s="1147"/>
      <c r="AS414" s="1110"/>
      <c r="AT414" s="1110"/>
      <c r="AU414" s="1110"/>
      <c r="AV414" s="1110"/>
      <c r="AW414" s="1110"/>
      <c r="AX414" s="1110"/>
      <c r="AY414" s="1110"/>
      <c r="AZ414" s="1110"/>
      <c r="BA414" s="1110"/>
      <c r="BB414" s="1110"/>
      <c r="BC414" s="1110"/>
      <c r="BD414" s="1111"/>
      <c r="BE414" s="1184"/>
      <c r="BF414" s="1432"/>
      <c r="BG414" s="1432"/>
    </row>
    <row r="415" spans="37:59" hidden="1" x14ac:dyDescent="0.2">
      <c r="AK415" s="1041"/>
      <c r="AL415" s="1042"/>
      <c r="AM415" s="1108"/>
      <c r="AN415" s="1109"/>
      <c r="AO415" s="1109"/>
      <c r="AP415" s="1109"/>
      <c r="AQ415" s="1147"/>
      <c r="AR415" s="1147"/>
      <c r="AS415" s="1110"/>
      <c r="AT415" s="1110"/>
      <c r="AU415" s="1110"/>
      <c r="AV415" s="1110"/>
      <c r="AW415" s="1110"/>
      <c r="AX415" s="1110"/>
      <c r="AY415" s="1110"/>
      <c r="AZ415" s="1110"/>
      <c r="BA415" s="1110"/>
      <c r="BB415" s="1110"/>
      <c r="BC415" s="1110"/>
      <c r="BD415" s="1111"/>
      <c r="BE415" s="1184"/>
      <c r="BF415" s="1432"/>
      <c r="BG415" s="1432"/>
    </row>
    <row r="416" spans="37:59" hidden="1" x14ac:dyDescent="0.2">
      <c r="AK416" s="1041"/>
      <c r="AL416" s="1042"/>
      <c r="AM416" s="1108"/>
      <c r="AN416" s="1109"/>
      <c r="AO416" s="1109"/>
      <c r="AP416" s="1109"/>
      <c r="AQ416" s="1147"/>
      <c r="AR416" s="1147"/>
      <c r="AS416" s="1110"/>
      <c r="AT416" s="1110"/>
      <c r="AU416" s="1110"/>
      <c r="AV416" s="1110"/>
      <c r="AW416" s="1110"/>
      <c r="AX416" s="1110"/>
      <c r="AY416" s="1110"/>
      <c r="AZ416" s="1110"/>
      <c r="BA416" s="1110"/>
      <c r="BB416" s="1110"/>
      <c r="BC416" s="1110"/>
      <c r="BD416" s="1111"/>
      <c r="BE416" s="1184"/>
      <c r="BF416" s="1432"/>
      <c r="BG416" s="1432"/>
    </row>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spans="37:59" hidden="1" x14ac:dyDescent="0.2"/>
    <row r="434" spans="37:59" hidden="1" x14ac:dyDescent="0.2"/>
    <row r="435" spans="37:59" hidden="1" x14ac:dyDescent="0.2"/>
    <row r="436" spans="37:59" hidden="1" x14ac:dyDescent="0.2"/>
    <row r="437" spans="37:59" hidden="1" x14ac:dyDescent="0.2"/>
    <row r="438" spans="37:59" hidden="1" x14ac:dyDescent="0.2"/>
    <row r="439" spans="37:59" hidden="1" x14ac:dyDescent="0.2"/>
    <row r="440" spans="37:59" hidden="1" x14ac:dyDescent="0.2"/>
    <row r="441" spans="37:59" hidden="1" x14ac:dyDescent="0.2"/>
    <row r="442" spans="37:59" hidden="1" x14ac:dyDescent="0.2">
      <c r="AK442" s="1041"/>
      <c r="AL442" s="1042"/>
      <c r="AM442" s="1108"/>
      <c r="AN442" s="1109"/>
      <c r="AO442" s="1109"/>
      <c r="AP442" s="1109"/>
      <c r="AQ442" s="1147"/>
      <c r="AR442" s="1147"/>
      <c r="AS442" s="1110"/>
      <c r="AT442" s="1110"/>
      <c r="AU442" s="1110"/>
      <c r="AV442" s="1110"/>
      <c r="AW442" s="1110"/>
      <c r="AX442" s="1110"/>
      <c r="AY442" s="1110"/>
      <c r="AZ442" s="1110"/>
      <c r="BA442" s="1110"/>
      <c r="BB442" s="1110"/>
      <c r="BC442" s="1110"/>
      <c r="BD442" s="1111"/>
      <c r="BE442" s="1184"/>
      <c r="BF442" s="1432"/>
      <c r="BG442" s="1432"/>
    </row>
    <row r="443" spans="37:59" hidden="1" x14ac:dyDescent="0.2">
      <c r="AK443" s="1041"/>
      <c r="AL443" s="1042"/>
      <c r="AM443" s="1108"/>
      <c r="AN443" s="1109"/>
      <c r="AO443" s="1109"/>
      <c r="AP443" s="1109"/>
      <c r="AQ443" s="1147"/>
      <c r="AR443" s="1147"/>
      <c r="AS443" s="1110"/>
      <c r="AT443" s="1110"/>
      <c r="AU443" s="1110"/>
      <c r="AV443" s="1110"/>
      <c r="AW443" s="1110"/>
      <c r="AX443" s="1110"/>
      <c r="AY443" s="1110"/>
      <c r="AZ443" s="1110"/>
      <c r="BA443" s="1110"/>
      <c r="BB443" s="1110"/>
      <c r="BC443" s="1110"/>
      <c r="BD443" s="1111"/>
      <c r="BE443" s="1184"/>
      <c r="BF443" s="1432"/>
      <c r="BG443" s="1432"/>
    </row>
    <row r="444" spans="37:59" hidden="1" x14ac:dyDescent="0.2">
      <c r="AK444" s="1041"/>
      <c r="AL444" s="1042"/>
      <c r="AM444" s="1108"/>
      <c r="AN444" s="1109"/>
      <c r="AO444" s="1109"/>
      <c r="AP444" s="1109"/>
      <c r="AQ444" s="1147"/>
      <c r="AR444" s="1147"/>
      <c r="AS444" s="1110"/>
      <c r="AT444" s="1110"/>
      <c r="AU444" s="1110"/>
      <c r="AV444" s="1110"/>
      <c r="AW444" s="1110"/>
      <c r="AX444" s="1110"/>
      <c r="AY444" s="1110"/>
      <c r="AZ444" s="1110"/>
      <c r="BA444" s="1110"/>
      <c r="BB444" s="1110"/>
      <c r="BC444" s="1110"/>
      <c r="BD444" s="1111"/>
      <c r="BE444" s="1184"/>
      <c r="BF444" s="1432"/>
      <c r="BG444" s="1432"/>
    </row>
    <row r="445" spans="37:59" hidden="1" x14ac:dyDescent="0.2">
      <c r="AK445" s="1041"/>
      <c r="AL445" s="1042"/>
      <c r="AM445" s="1108"/>
      <c r="AN445" s="1109"/>
      <c r="AO445" s="1109"/>
      <c r="AP445" s="1109"/>
      <c r="AQ445" s="1147"/>
      <c r="AR445" s="1147"/>
      <c r="AS445" s="1110"/>
      <c r="AT445" s="1110"/>
      <c r="AU445" s="1110"/>
      <c r="AV445" s="1110"/>
      <c r="AW445" s="1110"/>
      <c r="AX445" s="1110"/>
      <c r="AY445" s="1110"/>
      <c r="AZ445" s="1110"/>
      <c r="BA445" s="1110"/>
      <c r="BB445" s="1110"/>
      <c r="BC445" s="1110"/>
      <c r="BD445" s="1111"/>
      <c r="BE445" s="1184"/>
      <c r="BF445" s="1432"/>
      <c r="BG445" s="1432"/>
    </row>
    <row r="446" spans="37:59" hidden="1" x14ac:dyDescent="0.2">
      <c r="AK446" s="1041"/>
      <c r="AL446" s="1042"/>
      <c r="AM446" s="1108"/>
      <c r="AN446" s="1109"/>
      <c r="AO446" s="1109"/>
      <c r="AP446" s="1109"/>
      <c r="AQ446" s="1147"/>
      <c r="AR446" s="1147"/>
      <c r="AS446" s="1110"/>
      <c r="AT446" s="1110"/>
      <c r="AU446" s="1110"/>
      <c r="AV446" s="1110"/>
      <c r="AW446" s="1110"/>
      <c r="AX446" s="1110"/>
      <c r="AY446" s="1110"/>
      <c r="AZ446" s="1110"/>
      <c r="BA446" s="1110"/>
      <c r="BB446" s="1110"/>
      <c r="BC446" s="1110"/>
      <c r="BD446" s="1111"/>
      <c r="BE446" s="1184"/>
      <c r="BF446" s="1432"/>
      <c r="BG446" s="1432"/>
    </row>
    <row r="447" spans="37:59" hidden="1" x14ac:dyDescent="0.2">
      <c r="AK447" s="1041"/>
      <c r="AL447" s="1042"/>
      <c r="AM447" s="1108"/>
      <c r="AN447" s="1109"/>
      <c r="AO447" s="1109"/>
      <c r="AP447" s="1109"/>
      <c r="AQ447" s="1147"/>
      <c r="AR447" s="1147"/>
      <c r="AS447" s="1110"/>
      <c r="AT447" s="1110"/>
      <c r="AU447" s="1110"/>
      <c r="AV447" s="1110"/>
      <c r="AW447" s="1110"/>
      <c r="AX447" s="1110"/>
      <c r="AY447" s="1110"/>
      <c r="AZ447" s="1110"/>
      <c r="BA447" s="1110"/>
      <c r="BB447" s="1110"/>
      <c r="BC447" s="1110"/>
      <c r="BD447" s="1111"/>
      <c r="BE447" s="1184"/>
      <c r="BF447" s="1432"/>
      <c r="BG447" s="1432"/>
    </row>
    <row r="448" spans="37:59" hidden="1" x14ac:dyDescent="0.2">
      <c r="AK448" s="1041"/>
      <c r="AL448" s="1042"/>
      <c r="AM448" s="1108"/>
      <c r="AN448" s="1109"/>
      <c r="AO448" s="1109"/>
      <c r="AP448" s="1109"/>
      <c r="AQ448" s="1147"/>
      <c r="AR448" s="1147"/>
      <c r="AS448" s="1110"/>
      <c r="AT448" s="1110"/>
      <c r="AU448" s="1110"/>
      <c r="AV448" s="1110"/>
      <c r="AW448" s="1110"/>
      <c r="AX448" s="1110"/>
      <c r="AY448" s="1110"/>
      <c r="AZ448" s="1110"/>
      <c r="BA448" s="1110"/>
      <c r="BB448" s="1110"/>
      <c r="BC448" s="1110"/>
      <c r="BD448" s="1111"/>
      <c r="BE448" s="1184"/>
      <c r="BF448" s="1432"/>
      <c r="BG448" s="1432"/>
    </row>
    <row r="449" spans="37:59" hidden="1" x14ac:dyDescent="0.2">
      <c r="AK449" s="1041"/>
      <c r="AL449" s="1042"/>
      <c r="AM449" s="1108"/>
      <c r="AN449" s="1109"/>
      <c r="AO449" s="1109"/>
      <c r="AP449" s="1109"/>
      <c r="AQ449" s="1147"/>
      <c r="AR449" s="1147"/>
      <c r="AS449" s="1110"/>
      <c r="AT449" s="1110"/>
      <c r="AU449" s="1110"/>
      <c r="AV449" s="1110"/>
      <c r="AW449" s="1110"/>
      <c r="AX449" s="1110"/>
      <c r="AY449" s="1110"/>
      <c r="AZ449" s="1110"/>
      <c r="BA449" s="1110"/>
      <c r="BB449" s="1110"/>
      <c r="BC449" s="1110"/>
      <c r="BD449" s="1111"/>
      <c r="BE449" s="1184"/>
      <c r="BF449" s="1432"/>
      <c r="BG449" s="1432"/>
    </row>
    <row r="450" spans="37:59" hidden="1" x14ac:dyDescent="0.2">
      <c r="AK450" s="1041"/>
      <c r="AL450" s="1042"/>
      <c r="AM450" s="1108"/>
      <c r="AN450" s="1109"/>
      <c r="AO450" s="1109"/>
      <c r="AP450" s="1109"/>
      <c r="AQ450" s="1147"/>
      <c r="AR450" s="1147"/>
      <c r="AS450" s="1110"/>
      <c r="AT450" s="1110"/>
      <c r="AU450" s="1110"/>
      <c r="AV450" s="1110"/>
      <c r="AW450" s="1110"/>
      <c r="AX450" s="1110"/>
      <c r="AY450" s="1110"/>
      <c r="AZ450" s="1110"/>
      <c r="BA450" s="1110"/>
      <c r="BB450" s="1110"/>
      <c r="BC450" s="1110"/>
      <c r="BD450" s="1111"/>
      <c r="BE450" s="1184"/>
      <c r="BF450" s="1432"/>
      <c r="BG450" s="1432"/>
    </row>
    <row r="451" spans="37:59" hidden="1" x14ac:dyDescent="0.2">
      <c r="AK451" s="1041"/>
      <c r="AL451" s="1042"/>
      <c r="AM451" s="1108"/>
      <c r="AN451" s="1109"/>
      <c r="AO451" s="1109"/>
      <c r="AP451" s="1109"/>
      <c r="AQ451" s="1147"/>
      <c r="AR451" s="1147"/>
      <c r="AS451" s="1110"/>
      <c r="AT451" s="1110"/>
      <c r="AU451" s="1110"/>
      <c r="AV451" s="1110"/>
      <c r="AW451" s="1110"/>
      <c r="AX451" s="1110"/>
      <c r="AY451" s="1110"/>
      <c r="AZ451" s="1110"/>
      <c r="BA451" s="1110"/>
      <c r="BB451" s="1110"/>
      <c r="BC451" s="1110"/>
      <c r="BD451" s="1111"/>
      <c r="BE451" s="1184"/>
      <c r="BF451" s="1432"/>
      <c r="BG451" s="1432"/>
    </row>
    <row r="452" spans="37:59" hidden="1" x14ac:dyDescent="0.2"/>
    <row r="453" spans="37:59" hidden="1" x14ac:dyDescent="0.2"/>
    <row r="454" spans="37:59" hidden="1" x14ac:dyDescent="0.2"/>
    <row r="455" spans="37:59" hidden="1" x14ac:dyDescent="0.2"/>
    <row r="456" spans="37:59" hidden="1" x14ac:dyDescent="0.2"/>
    <row r="457" spans="37:59" hidden="1" x14ac:dyDescent="0.2"/>
    <row r="458" spans="37:59" hidden="1" x14ac:dyDescent="0.2"/>
    <row r="459" spans="37:59" hidden="1" x14ac:dyDescent="0.2"/>
    <row r="460" spans="37:59" hidden="1" x14ac:dyDescent="0.2"/>
    <row r="461" spans="37:59" hidden="1" x14ac:dyDescent="0.2"/>
    <row r="462" spans="37:59" hidden="1" x14ac:dyDescent="0.2"/>
    <row r="463" spans="37:59" hidden="1" x14ac:dyDescent="0.2"/>
    <row r="464" spans="37:59" hidden="1" x14ac:dyDescent="0.2"/>
    <row r="465" spans="37:59" hidden="1" x14ac:dyDescent="0.2"/>
    <row r="466" spans="37:59" hidden="1" x14ac:dyDescent="0.2"/>
    <row r="467" spans="37:59" hidden="1" x14ac:dyDescent="0.2"/>
    <row r="468" spans="37:59" hidden="1" x14ac:dyDescent="0.2"/>
    <row r="469" spans="37:59" hidden="1" x14ac:dyDescent="0.2"/>
    <row r="470" spans="37:59" hidden="1" x14ac:dyDescent="0.2"/>
    <row r="471" spans="37:59" hidden="1" x14ac:dyDescent="0.2"/>
    <row r="472" spans="37:59" hidden="1" x14ac:dyDescent="0.2"/>
    <row r="473" spans="37:59" hidden="1" x14ac:dyDescent="0.2"/>
    <row r="474" spans="37:59" hidden="1" x14ac:dyDescent="0.2"/>
    <row r="475" spans="37:59" hidden="1" x14ac:dyDescent="0.2"/>
    <row r="476" spans="37:59" hidden="1" x14ac:dyDescent="0.2"/>
    <row r="477" spans="37:59" hidden="1" x14ac:dyDescent="0.2">
      <c r="AK477" s="1041"/>
      <c r="AL477" s="1042"/>
      <c r="AM477" s="1108"/>
      <c r="AN477" s="1109"/>
      <c r="AO477" s="1109"/>
      <c r="AP477" s="1109"/>
      <c r="AQ477" s="1147"/>
      <c r="AR477" s="1147"/>
      <c r="AS477" s="1110"/>
      <c r="AT477" s="1110"/>
      <c r="AU477" s="1110"/>
      <c r="AV477" s="1110"/>
      <c r="AW477" s="1110"/>
      <c r="AX477" s="1110"/>
      <c r="AY477" s="1110"/>
      <c r="AZ477" s="1110"/>
      <c r="BA477" s="1110"/>
      <c r="BB477" s="1110"/>
      <c r="BC477" s="1110"/>
      <c r="BD477" s="1111"/>
      <c r="BE477" s="1184"/>
      <c r="BF477" s="1432"/>
      <c r="BG477" s="1432"/>
    </row>
    <row r="478" spans="37:59" hidden="1" x14ac:dyDescent="0.2">
      <c r="AK478" s="1041"/>
      <c r="AL478" s="1042"/>
      <c r="AM478" s="1108"/>
      <c r="AN478" s="1109"/>
      <c r="AO478" s="1109"/>
      <c r="AP478" s="1109"/>
      <c r="AQ478" s="1147"/>
      <c r="AR478" s="1147"/>
      <c r="AS478" s="1110"/>
      <c r="AT478" s="1110"/>
      <c r="AU478" s="1110"/>
      <c r="AV478" s="1110"/>
      <c r="AW478" s="1110"/>
      <c r="AX478" s="1110"/>
      <c r="AY478" s="1110"/>
      <c r="AZ478" s="1110"/>
      <c r="BA478" s="1110"/>
      <c r="BB478" s="1110"/>
      <c r="BC478" s="1110"/>
      <c r="BD478" s="1111"/>
      <c r="BE478" s="1184"/>
      <c r="BF478" s="1432"/>
      <c r="BG478" s="1432"/>
    </row>
    <row r="479" spans="37:59" hidden="1" x14ac:dyDescent="0.2">
      <c r="AK479" s="1041"/>
      <c r="AL479" s="1042"/>
      <c r="AM479" s="1108"/>
      <c r="AN479" s="1109"/>
      <c r="AO479" s="1109"/>
      <c r="AP479" s="1109"/>
      <c r="AQ479" s="1147"/>
      <c r="AR479" s="1147"/>
      <c r="AS479" s="1110"/>
      <c r="AT479" s="1110"/>
      <c r="AU479" s="1110"/>
      <c r="AV479" s="1110"/>
      <c r="AW479" s="1110"/>
      <c r="AX479" s="1110"/>
      <c r="AY479" s="1110"/>
      <c r="AZ479" s="1110"/>
      <c r="BA479" s="1110"/>
      <c r="BB479" s="1110"/>
      <c r="BC479" s="1110"/>
      <c r="BD479" s="1111"/>
      <c r="BE479" s="1184"/>
      <c r="BF479" s="1432"/>
      <c r="BG479" s="1432"/>
    </row>
    <row r="480" spans="37:59" hidden="1" x14ac:dyDescent="0.2">
      <c r="AK480" s="1041"/>
      <c r="AL480" s="1042"/>
      <c r="AM480" s="1108"/>
      <c r="AN480" s="1109"/>
      <c r="AO480" s="1109"/>
      <c r="AP480" s="1109"/>
      <c r="AQ480" s="1147"/>
      <c r="AR480" s="1147"/>
      <c r="AS480" s="1110"/>
      <c r="AT480" s="1110"/>
      <c r="AU480" s="1110"/>
      <c r="AV480" s="1110"/>
      <c r="AW480" s="1110"/>
      <c r="AX480" s="1110"/>
      <c r="AY480" s="1110"/>
      <c r="AZ480" s="1110"/>
      <c r="BA480" s="1110"/>
      <c r="BB480" s="1110"/>
      <c r="BC480" s="1110"/>
      <c r="BD480" s="1111"/>
      <c r="BE480" s="1184"/>
      <c r="BF480" s="1432"/>
      <c r="BG480" s="1432"/>
    </row>
    <row r="481" spans="37:59" hidden="1" x14ac:dyDescent="0.2">
      <c r="AK481" s="1041"/>
      <c r="AL481" s="1042"/>
      <c r="AM481" s="1108"/>
      <c r="AN481" s="1109"/>
      <c r="AO481" s="1109"/>
      <c r="AP481" s="1109"/>
      <c r="AQ481" s="1147"/>
      <c r="AR481" s="1147"/>
      <c r="AS481" s="1110"/>
      <c r="AT481" s="1110"/>
      <c r="AU481" s="1110"/>
      <c r="AV481" s="1110"/>
      <c r="AW481" s="1110"/>
      <c r="AX481" s="1110"/>
      <c r="AY481" s="1110"/>
      <c r="AZ481" s="1110"/>
      <c r="BA481" s="1110"/>
      <c r="BB481" s="1110"/>
      <c r="BC481" s="1110"/>
      <c r="BD481" s="1111"/>
      <c r="BE481" s="1184"/>
      <c r="BF481" s="1432"/>
      <c r="BG481" s="1432"/>
    </row>
    <row r="482" spans="37:59" hidden="1" x14ac:dyDescent="0.2">
      <c r="AK482" s="1041"/>
      <c r="AL482" s="1042"/>
      <c r="AM482" s="1108"/>
      <c r="AN482" s="1109"/>
      <c r="AO482" s="1109"/>
      <c r="AP482" s="1109"/>
      <c r="AQ482" s="1147"/>
      <c r="AR482" s="1147"/>
      <c r="AS482" s="1110"/>
      <c r="AT482" s="1110"/>
      <c r="AU482" s="1110"/>
      <c r="AV482" s="1110"/>
      <c r="AW482" s="1110"/>
      <c r="AX482" s="1110"/>
      <c r="AY482" s="1110"/>
      <c r="AZ482" s="1110"/>
      <c r="BA482" s="1110"/>
      <c r="BB482" s="1110"/>
      <c r="BC482" s="1110"/>
      <c r="BD482" s="1111"/>
      <c r="BE482" s="1184"/>
      <c r="BF482" s="1432"/>
      <c r="BG482" s="1432"/>
    </row>
    <row r="483" spans="37:59" hidden="1" x14ac:dyDescent="0.2">
      <c r="AK483" s="1041"/>
      <c r="AL483" s="1042"/>
      <c r="AM483" s="1108"/>
      <c r="AN483" s="1109"/>
      <c r="AO483" s="1109"/>
      <c r="AP483" s="1109"/>
      <c r="AQ483" s="1147"/>
      <c r="AR483" s="1147"/>
      <c r="AS483" s="1110"/>
      <c r="AT483" s="1110"/>
      <c r="AU483" s="1110"/>
      <c r="AV483" s="1110"/>
      <c r="AW483" s="1110"/>
      <c r="AX483" s="1110"/>
      <c r="AY483" s="1110"/>
      <c r="AZ483" s="1110"/>
      <c r="BA483" s="1110"/>
      <c r="BB483" s="1110"/>
      <c r="BC483" s="1110"/>
      <c r="BD483" s="1111"/>
      <c r="BE483" s="1184"/>
      <c r="BF483" s="1432"/>
      <c r="BG483" s="1432"/>
    </row>
    <row r="484" spans="37:59" hidden="1" x14ac:dyDescent="0.2">
      <c r="AK484" s="1041"/>
      <c r="AL484" s="1042"/>
      <c r="AM484" s="1108"/>
      <c r="AN484" s="1109"/>
      <c r="AO484" s="1109"/>
      <c r="AP484" s="1109"/>
      <c r="AQ484" s="1147"/>
      <c r="AR484" s="1147"/>
      <c r="AS484" s="1110"/>
      <c r="AT484" s="1110"/>
      <c r="AU484" s="1110"/>
      <c r="AV484" s="1110"/>
      <c r="AW484" s="1110"/>
      <c r="AX484" s="1110"/>
      <c r="AY484" s="1110"/>
      <c r="AZ484" s="1110"/>
      <c r="BA484" s="1110"/>
      <c r="BB484" s="1110"/>
      <c r="BC484" s="1110"/>
      <c r="BD484" s="1111"/>
      <c r="BE484" s="1184"/>
      <c r="BF484" s="1432"/>
      <c r="BG484" s="1432"/>
    </row>
    <row r="485" spans="37:59" hidden="1" x14ac:dyDescent="0.2">
      <c r="AK485" s="1041"/>
      <c r="AL485" s="1042"/>
      <c r="AM485" s="1108"/>
      <c r="AN485" s="1109"/>
      <c r="AO485" s="1109"/>
      <c r="AP485" s="1109"/>
      <c r="AQ485" s="1147"/>
      <c r="AR485" s="1147"/>
      <c r="AS485" s="1110"/>
      <c r="AT485" s="1110"/>
      <c r="AU485" s="1110"/>
      <c r="AV485" s="1110"/>
      <c r="AW485" s="1110"/>
      <c r="AX485" s="1110"/>
      <c r="AY485" s="1110"/>
      <c r="AZ485" s="1110"/>
      <c r="BA485" s="1110"/>
      <c r="BB485" s="1110"/>
      <c r="BC485" s="1110"/>
      <c r="BD485" s="1111"/>
      <c r="BE485" s="1184"/>
      <c r="BF485" s="1432"/>
      <c r="BG485" s="1432"/>
    </row>
    <row r="486" spans="37:59" hidden="1" x14ac:dyDescent="0.2">
      <c r="AK486" s="1041"/>
      <c r="AL486" s="1042"/>
      <c r="AM486" s="1108"/>
      <c r="AN486" s="1109"/>
      <c r="AO486" s="1109"/>
      <c r="AP486" s="1109"/>
      <c r="AQ486" s="1147"/>
      <c r="AR486" s="1147"/>
      <c r="AS486" s="1110"/>
      <c r="AT486" s="1110"/>
      <c r="AU486" s="1110"/>
      <c r="AV486" s="1110"/>
      <c r="AW486" s="1110"/>
      <c r="AX486" s="1110"/>
      <c r="AY486" s="1110"/>
      <c r="AZ486" s="1110"/>
      <c r="BA486" s="1110"/>
      <c r="BB486" s="1110"/>
      <c r="BC486" s="1110"/>
      <c r="BD486" s="1111"/>
      <c r="BE486" s="1184"/>
      <c r="BF486" s="1432"/>
      <c r="BG486" s="1432"/>
    </row>
    <row r="487" spans="37:59" hidden="1" x14ac:dyDescent="0.2"/>
    <row r="488" spans="37:59" hidden="1" x14ac:dyDescent="0.2"/>
    <row r="489" spans="37:59" hidden="1" x14ac:dyDescent="0.2"/>
    <row r="490" spans="37:59" hidden="1" x14ac:dyDescent="0.2"/>
    <row r="491" spans="37:59" hidden="1" x14ac:dyDescent="0.2"/>
    <row r="492" spans="37:59" hidden="1" x14ac:dyDescent="0.2"/>
    <row r="493" spans="37:59" hidden="1" x14ac:dyDescent="0.2"/>
    <row r="494" spans="37:59" hidden="1" x14ac:dyDescent="0.2"/>
    <row r="495" spans="37:59" hidden="1" x14ac:dyDescent="0.2"/>
    <row r="496" spans="37:59" hidden="1" x14ac:dyDescent="0.2"/>
    <row r="497" spans="37:59" hidden="1" x14ac:dyDescent="0.2"/>
    <row r="498" spans="37:59" hidden="1" x14ac:dyDescent="0.2"/>
    <row r="499" spans="37:59" hidden="1" x14ac:dyDescent="0.2"/>
    <row r="500" spans="37:59" hidden="1" x14ac:dyDescent="0.2"/>
    <row r="501" spans="37:59" hidden="1" x14ac:dyDescent="0.2"/>
    <row r="502" spans="37:59" hidden="1" x14ac:dyDescent="0.2"/>
    <row r="503" spans="37:59" hidden="1" x14ac:dyDescent="0.2"/>
    <row r="504" spans="37:59" hidden="1" x14ac:dyDescent="0.2"/>
    <row r="505" spans="37:59" hidden="1" x14ac:dyDescent="0.2"/>
    <row r="506" spans="37:59" hidden="1" x14ac:dyDescent="0.2"/>
    <row r="507" spans="37:59" hidden="1" x14ac:dyDescent="0.2"/>
    <row r="508" spans="37:59" hidden="1" x14ac:dyDescent="0.2"/>
    <row r="509" spans="37:59" hidden="1" x14ac:dyDescent="0.2"/>
    <row r="510" spans="37:59" hidden="1" x14ac:dyDescent="0.2"/>
    <row r="511" spans="37:59" hidden="1" x14ac:dyDescent="0.2"/>
    <row r="512" spans="37:59" hidden="1" x14ac:dyDescent="0.2">
      <c r="AK512" s="1041"/>
      <c r="AL512" s="1042"/>
      <c r="AM512" s="1108"/>
      <c r="AN512" s="1109"/>
      <c r="AO512" s="1109"/>
      <c r="AP512" s="1109"/>
      <c r="AQ512" s="1147"/>
      <c r="AR512" s="1147"/>
      <c r="AS512" s="1110"/>
      <c r="AT512" s="1110"/>
      <c r="AU512" s="1110"/>
      <c r="AV512" s="1110"/>
      <c r="AW512" s="1110"/>
      <c r="AX512" s="1110"/>
      <c r="AY512" s="1110"/>
      <c r="AZ512" s="1110"/>
      <c r="BA512" s="1110"/>
      <c r="BB512" s="1110"/>
      <c r="BC512" s="1110"/>
      <c r="BD512" s="1111"/>
      <c r="BE512" s="1184"/>
      <c r="BF512" s="1432"/>
      <c r="BG512" s="1432"/>
    </row>
    <row r="513" spans="37:59" hidden="1" x14ac:dyDescent="0.2">
      <c r="AK513" s="1041"/>
      <c r="AL513" s="1042"/>
      <c r="AM513" s="1108"/>
      <c r="AN513" s="1109"/>
      <c r="AO513" s="1109"/>
      <c r="AP513" s="1109"/>
      <c r="AQ513" s="1147"/>
      <c r="AR513" s="1147"/>
      <c r="AS513" s="1110"/>
      <c r="AT513" s="1110"/>
      <c r="AU513" s="1110"/>
      <c r="AV513" s="1110"/>
      <c r="AW513" s="1110"/>
      <c r="AX513" s="1110"/>
      <c r="AY513" s="1110"/>
      <c r="AZ513" s="1110"/>
      <c r="BA513" s="1110"/>
      <c r="BB513" s="1110"/>
      <c r="BC513" s="1110"/>
      <c r="BD513" s="1111"/>
      <c r="BE513" s="1184"/>
      <c r="BF513" s="1432"/>
      <c r="BG513" s="1432"/>
    </row>
    <row r="514" spans="37:59" hidden="1" x14ac:dyDescent="0.2">
      <c r="AK514" s="1041"/>
      <c r="AL514" s="1042"/>
      <c r="AM514" s="1108"/>
      <c r="AN514" s="1109"/>
      <c r="AO514" s="1109"/>
      <c r="AP514" s="1109"/>
      <c r="AQ514" s="1147"/>
      <c r="AR514" s="1147"/>
      <c r="AS514" s="1110"/>
      <c r="AT514" s="1110"/>
      <c r="AU514" s="1110"/>
      <c r="AV514" s="1110"/>
      <c r="AW514" s="1110"/>
      <c r="AX514" s="1110"/>
      <c r="AY514" s="1110"/>
      <c r="AZ514" s="1110"/>
      <c r="BA514" s="1110"/>
      <c r="BB514" s="1110"/>
      <c r="BC514" s="1110"/>
      <c r="BD514" s="1111"/>
      <c r="BE514" s="1184"/>
      <c r="BF514" s="1432"/>
      <c r="BG514" s="1432"/>
    </row>
    <row r="515" spans="37:59" hidden="1" x14ac:dyDescent="0.2">
      <c r="AK515" s="1041"/>
      <c r="AL515" s="1042"/>
      <c r="AM515" s="1108"/>
      <c r="AN515" s="1109"/>
      <c r="AO515" s="1109"/>
      <c r="AP515" s="1109"/>
      <c r="AQ515" s="1147"/>
      <c r="AR515" s="1147"/>
      <c r="AS515" s="1110"/>
      <c r="AT515" s="1110"/>
      <c r="AU515" s="1110"/>
      <c r="AV515" s="1110"/>
      <c r="AW515" s="1110"/>
      <c r="AX515" s="1110"/>
      <c r="AY515" s="1110"/>
      <c r="AZ515" s="1110"/>
      <c r="BA515" s="1110"/>
      <c r="BB515" s="1110"/>
      <c r="BC515" s="1110"/>
      <c r="BD515" s="1111"/>
      <c r="BE515" s="1184"/>
      <c r="BF515" s="1432"/>
      <c r="BG515" s="1432"/>
    </row>
    <row r="516" spans="37:59" hidden="1" x14ac:dyDescent="0.2">
      <c r="AK516" s="1041"/>
      <c r="AL516" s="1042"/>
      <c r="AM516" s="1108"/>
      <c r="AN516" s="1109"/>
      <c r="AO516" s="1109"/>
      <c r="AP516" s="1109"/>
      <c r="AQ516" s="1147"/>
      <c r="AR516" s="1147"/>
      <c r="AS516" s="1110"/>
      <c r="AT516" s="1110"/>
      <c r="AU516" s="1110"/>
      <c r="AV516" s="1110"/>
      <c r="AW516" s="1110"/>
      <c r="AX516" s="1110"/>
      <c r="AY516" s="1110"/>
      <c r="AZ516" s="1110"/>
      <c r="BA516" s="1110"/>
      <c r="BB516" s="1110"/>
      <c r="BC516" s="1110"/>
      <c r="BD516" s="1111"/>
      <c r="BE516" s="1184"/>
      <c r="BF516" s="1432"/>
      <c r="BG516" s="1432"/>
    </row>
    <row r="517" spans="37:59" hidden="1" x14ac:dyDescent="0.2">
      <c r="AK517" s="1041"/>
      <c r="AL517" s="1042"/>
      <c r="AM517" s="1108"/>
      <c r="AN517" s="1109"/>
      <c r="AO517" s="1109"/>
      <c r="AP517" s="1109"/>
      <c r="AQ517" s="1147"/>
      <c r="AR517" s="1147"/>
      <c r="AS517" s="1110"/>
      <c r="AT517" s="1110"/>
      <c r="AU517" s="1110"/>
      <c r="AV517" s="1110"/>
      <c r="AW517" s="1110"/>
      <c r="AX517" s="1110"/>
      <c r="AY517" s="1110"/>
      <c r="AZ517" s="1110"/>
      <c r="BA517" s="1110"/>
      <c r="BB517" s="1110"/>
      <c r="BC517" s="1110"/>
      <c r="BD517" s="1111"/>
      <c r="BE517" s="1184"/>
      <c r="BF517" s="1432"/>
      <c r="BG517" s="1432"/>
    </row>
    <row r="518" spans="37:59" hidden="1" x14ac:dyDescent="0.2">
      <c r="AK518" s="1041"/>
      <c r="AL518" s="1042"/>
      <c r="AM518" s="1108"/>
      <c r="AN518" s="1109"/>
      <c r="AO518" s="1109"/>
      <c r="AP518" s="1109"/>
      <c r="AQ518" s="1147"/>
      <c r="AR518" s="1147"/>
      <c r="AS518" s="1110"/>
      <c r="AT518" s="1110"/>
      <c r="AU518" s="1110"/>
      <c r="AV518" s="1110"/>
      <c r="AW518" s="1110"/>
      <c r="AX518" s="1110"/>
      <c r="AY518" s="1110"/>
      <c r="AZ518" s="1110"/>
      <c r="BA518" s="1110"/>
      <c r="BB518" s="1110"/>
      <c r="BC518" s="1110"/>
      <c r="BD518" s="1111"/>
      <c r="BE518" s="1184"/>
      <c r="BF518" s="1432"/>
      <c r="BG518" s="1432"/>
    </row>
    <row r="519" spans="37:59" hidden="1" x14ac:dyDescent="0.2">
      <c r="AK519" s="1041"/>
      <c r="AL519" s="1042"/>
      <c r="AM519" s="1108"/>
      <c r="AN519" s="1109"/>
      <c r="AO519" s="1109"/>
      <c r="AP519" s="1109"/>
      <c r="AQ519" s="1147"/>
      <c r="AR519" s="1147"/>
      <c r="AS519" s="1110"/>
      <c r="AT519" s="1110"/>
      <c r="AU519" s="1110"/>
      <c r="AV519" s="1110"/>
      <c r="AW519" s="1110"/>
      <c r="AX519" s="1110"/>
      <c r="AY519" s="1110"/>
      <c r="AZ519" s="1110"/>
      <c r="BA519" s="1110"/>
      <c r="BB519" s="1110"/>
      <c r="BC519" s="1110"/>
      <c r="BD519" s="1111"/>
      <c r="BE519" s="1184"/>
      <c r="BF519" s="1432"/>
      <c r="BG519" s="1432"/>
    </row>
    <row r="520" spans="37:59" hidden="1" x14ac:dyDescent="0.2">
      <c r="AK520" s="1041"/>
      <c r="AL520" s="1042"/>
      <c r="AM520" s="1108"/>
      <c r="AN520" s="1109"/>
      <c r="AO520" s="1109"/>
      <c r="AP520" s="1109"/>
      <c r="AQ520" s="1147"/>
      <c r="AR520" s="1147"/>
      <c r="AS520" s="1110"/>
      <c r="AT520" s="1110"/>
      <c r="AU520" s="1110"/>
      <c r="AV520" s="1110"/>
      <c r="AW520" s="1110"/>
      <c r="AX520" s="1110"/>
      <c r="AY520" s="1110"/>
      <c r="AZ520" s="1110"/>
      <c r="BA520" s="1110"/>
      <c r="BB520" s="1110"/>
      <c r="BC520" s="1110"/>
      <c r="BD520" s="1111"/>
      <c r="BE520" s="1184"/>
      <c r="BF520" s="1432"/>
      <c r="BG520" s="1432"/>
    </row>
    <row r="521" spans="37:59" hidden="1" x14ac:dyDescent="0.2">
      <c r="AK521" s="1041"/>
      <c r="AL521" s="1042"/>
      <c r="AM521" s="1108"/>
      <c r="AN521" s="1109"/>
      <c r="AO521" s="1109"/>
      <c r="AP521" s="1109"/>
      <c r="AQ521" s="1147"/>
      <c r="AR521" s="1147"/>
      <c r="AS521" s="1110"/>
      <c r="AT521" s="1110"/>
      <c r="AU521" s="1110"/>
      <c r="AV521" s="1110"/>
      <c r="AW521" s="1110"/>
      <c r="AX521" s="1110"/>
      <c r="AY521" s="1110"/>
      <c r="AZ521" s="1110"/>
      <c r="BA521" s="1110"/>
      <c r="BB521" s="1110"/>
      <c r="BC521" s="1110"/>
      <c r="BD521" s="1111"/>
      <c r="BE521" s="1184"/>
      <c r="BF521" s="1432"/>
      <c r="BG521" s="1432"/>
    </row>
    <row r="522" spans="37:59" hidden="1" x14ac:dyDescent="0.2"/>
    <row r="523" spans="37:59" hidden="1" x14ac:dyDescent="0.2"/>
    <row r="524" spans="37:59" hidden="1" x14ac:dyDescent="0.2"/>
    <row r="525" spans="37:59" hidden="1" x14ac:dyDescent="0.2"/>
    <row r="526" spans="37:59" hidden="1" x14ac:dyDescent="0.2"/>
    <row r="527" spans="37:59" hidden="1" x14ac:dyDescent="0.2"/>
    <row r="528" spans="37:59"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spans="37:59" hidden="1" x14ac:dyDescent="0.2"/>
    <row r="546" spans="37:59" hidden="1" x14ac:dyDescent="0.2"/>
    <row r="547" spans="37:59" hidden="1" x14ac:dyDescent="0.2">
      <c r="AK547" s="1041"/>
      <c r="AL547" s="1042"/>
      <c r="AM547" s="1108"/>
      <c r="AN547" s="1109"/>
      <c r="AO547" s="1109"/>
      <c r="AP547" s="1109"/>
      <c r="AQ547" s="1147"/>
      <c r="AR547" s="1147"/>
      <c r="AS547" s="1110"/>
      <c r="AT547" s="1110"/>
      <c r="AU547" s="1110"/>
      <c r="AV547" s="1110"/>
      <c r="AW547" s="1110"/>
      <c r="AX547" s="1110"/>
      <c r="AY547" s="1110"/>
      <c r="AZ547" s="1110"/>
      <c r="BA547" s="1110"/>
      <c r="BB547" s="1110"/>
      <c r="BC547" s="1110"/>
      <c r="BD547" s="1111"/>
      <c r="BE547" s="1184"/>
      <c r="BF547" s="1432"/>
      <c r="BG547" s="1432"/>
    </row>
    <row r="548" spans="37:59" hidden="1" x14ac:dyDescent="0.2">
      <c r="AK548" s="1041"/>
      <c r="AL548" s="1042"/>
      <c r="AM548" s="1108"/>
      <c r="AN548" s="1109"/>
      <c r="AO548" s="1109"/>
      <c r="AP548" s="1109"/>
      <c r="AQ548" s="1147"/>
      <c r="AR548" s="1147"/>
      <c r="AS548" s="1110"/>
      <c r="AT548" s="1110"/>
      <c r="AU548" s="1110"/>
      <c r="AV548" s="1110"/>
      <c r="AW548" s="1110"/>
      <c r="AX548" s="1110"/>
      <c r="AY548" s="1110"/>
      <c r="AZ548" s="1110"/>
      <c r="BA548" s="1110"/>
      <c r="BB548" s="1110"/>
      <c r="BC548" s="1110"/>
      <c r="BD548" s="1111"/>
      <c r="BE548" s="1184"/>
      <c r="BF548" s="1432"/>
      <c r="BG548" s="1432"/>
    </row>
    <row r="549" spans="37:59" hidden="1" x14ac:dyDescent="0.2">
      <c r="AK549" s="1041"/>
      <c r="AL549" s="1042"/>
      <c r="AM549" s="1108"/>
      <c r="AN549" s="1109"/>
      <c r="AO549" s="1109"/>
      <c r="AP549" s="1109"/>
      <c r="AQ549" s="1147"/>
      <c r="AR549" s="1147"/>
      <c r="AS549" s="1110"/>
      <c r="AT549" s="1110"/>
      <c r="AU549" s="1110"/>
      <c r="AV549" s="1110"/>
      <c r="AW549" s="1110"/>
      <c r="AX549" s="1110"/>
      <c r="AY549" s="1110"/>
      <c r="AZ549" s="1110"/>
      <c r="BA549" s="1110"/>
      <c r="BB549" s="1110"/>
      <c r="BC549" s="1110"/>
      <c r="BD549" s="1111"/>
      <c r="BE549" s="1184"/>
      <c r="BF549" s="1432"/>
      <c r="BG549" s="1432"/>
    </row>
    <row r="550" spans="37:59" hidden="1" x14ac:dyDescent="0.2">
      <c r="AK550" s="1041"/>
      <c r="AL550" s="1042"/>
      <c r="AM550" s="1108"/>
      <c r="AN550" s="1109"/>
      <c r="AO550" s="1109"/>
      <c r="AP550" s="1109"/>
      <c r="AQ550" s="1147"/>
      <c r="AR550" s="1147"/>
      <c r="AS550" s="1110"/>
      <c r="AT550" s="1110"/>
      <c r="AU550" s="1110"/>
      <c r="AV550" s="1110"/>
      <c r="AW550" s="1110"/>
      <c r="AX550" s="1110"/>
      <c r="AY550" s="1110"/>
      <c r="AZ550" s="1110"/>
      <c r="BA550" s="1110"/>
      <c r="BB550" s="1110"/>
      <c r="BC550" s="1110"/>
      <c r="BD550" s="1111"/>
      <c r="BE550" s="1184"/>
      <c r="BF550" s="1432"/>
      <c r="BG550" s="1432"/>
    </row>
    <row r="551" spans="37:59" hidden="1" x14ac:dyDescent="0.2">
      <c r="AK551" s="1041"/>
      <c r="AL551" s="1042"/>
      <c r="AM551" s="1108"/>
      <c r="AN551" s="1109"/>
      <c r="AO551" s="1109"/>
      <c r="AP551" s="1109"/>
      <c r="AQ551" s="1147"/>
      <c r="AR551" s="1147"/>
      <c r="AS551" s="1110"/>
      <c r="AT551" s="1110"/>
      <c r="AU551" s="1110"/>
      <c r="AV551" s="1110"/>
      <c r="AW551" s="1110"/>
      <c r="AX551" s="1110"/>
      <c r="AY551" s="1110"/>
      <c r="AZ551" s="1110"/>
      <c r="BA551" s="1110"/>
      <c r="BB551" s="1110"/>
      <c r="BC551" s="1110"/>
      <c r="BD551" s="1111"/>
      <c r="BE551" s="1184"/>
      <c r="BF551" s="1432"/>
      <c r="BG551" s="1432"/>
    </row>
    <row r="552" spans="37:59" hidden="1" x14ac:dyDescent="0.2">
      <c r="AK552" s="1041"/>
      <c r="AL552" s="1042"/>
      <c r="AM552" s="1108"/>
      <c r="AN552" s="1109"/>
      <c r="AO552" s="1109"/>
      <c r="AP552" s="1109"/>
      <c r="AQ552" s="1147"/>
      <c r="AR552" s="1147"/>
      <c r="AS552" s="1110"/>
      <c r="AT552" s="1110"/>
      <c r="AU552" s="1110"/>
      <c r="AV552" s="1110"/>
      <c r="AW552" s="1110"/>
      <c r="AX552" s="1110"/>
      <c r="AY552" s="1110"/>
      <c r="AZ552" s="1110"/>
      <c r="BA552" s="1110"/>
      <c r="BB552" s="1110"/>
      <c r="BC552" s="1110"/>
      <c r="BD552" s="1111"/>
      <c r="BE552" s="1184"/>
      <c r="BF552" s="1432"/>
      <c r="BG552" s="1432"/>
    </row>
    <row r="553" spans="37:59" hidden="1" x14ac:dyDescent="0.2">
      <c r="AK553" s="1041"/>
      <c r="AL553" s="1042"/>
      <c r="AM553" s="1108"/>
      <c r="AN553" s="1109"/>
      <c r="AO553" s="1109"/>
      <c r="AP553" s="1109"/>
      <c r="AQ553" s="1147"/>
      <c r="AR553" s="1147"/>
      <c r="AS553" s="1110"/>
      <c r="AT553" s="1110"/>
      <c r="AU553" s="1110"/>
      <c r="AV553" s="1110"/>
      <c r="AW553" s="1110"/>
      <c r="AX553" s="1110"/>
      <c r="AY553" s="1110"/>
      <c r="AZ553" s="1110"/>
      <c r="BA553" s="1110"/>
      <c r="BB553" s="1110"/>
      <c r="BC553" s="1110"/>
      <c r="BD553" s="1111"/>
      <c r="BE553" s="1184"/>
      <c r="BF553" s="1432"/>
      <c r="BG553" s="1432"/>
    </row>
    <row r="554" spans="37:59" hidden="1" x14ac:dyDescent="0.2">
      <c r="AK554" s="1041"/>
      <c r="AL554" s="1042"/>
      <c r="AM554" s="1108"/>
      <c r="AN554" s="1109"/>
      <c r="AO554" s="1109"/>
      <c r="AP554" s="1109"/>
      <c r="AQ554" s="1147"/>
      <c r="AR554" s="1147"/>
      <c r="AS554" s="1110"/>
      <c r="AT554" s="1110"/>
      <c r="AU554" s="1110"/>
      <c r="AV554" s="1110"/>
      <c r="AW554" s="1110"/>
      <c r="AX554" s="1110"/>
      <c r="AY554" s="1110"/>
      <c r="AZ554" s="1110"/>
      <c r="BA554" s="1110"/>
      <c r="BB554" s="1110"/>
      <c r="BC554" s="1110"/>
      <c r="BD554" s="1111"/>
      <c r="BE554" s="1184"/>
      <c r="BF554" s="1432"/>
      <c r="BG554" s="1432"/>
    </row>
    <row r="555" spans="37:59" hidden="1" x14ac:dyDescent="0.2">
      <c r="AK555" s="1041"/>
      <c r="AL555" s="1042"/>
      <c r="AM555" s="1108"/>
      <c r="AN555" s="1109"/>
      <c r="AO555" s="1109"/>
      <c r="AP555" s="1109"/>
      <c r="AQ555" s="1147"/>
      <c r="AR555" s="1147"/>
      <c r="AS555" s="1110"/>
      <c r="AT555" s="1110"/>
      <c r="AU555" s="1110"/>
      <c r="AV555" s="1110"/>
      <c r="AW555" s="1110"/>
      <c r="AX555" s="1110"/>
      <c r="AY555" s="1110"/>
      <c r="AZ555" s="1110"/>
      <c r="BA555" s="1110"/>
      <c r="BB555" s="1110"/>
      <c r="BC555" s="1110"/>
      <c r="BD555" s="1111"/>
      <c r="BE555" s="1184"/>
      <c r="BF555" s="1432"/>
      <c r="BG555" s="1432"/>
    </row>
    <row r="556" spans="37:59" hidden="1" x14ac:dyDescent="0.2">
      <c r="AK556" s="1041"/>
      <c r="AL556" s="1042"/>
      <c r="AM556" s="1108"/>
      <c r="AN556" s="1109"/>
      <c r="AO556" s="1109"/>
      <c r="AP556" s="1109"/>
      <c r="AQ556" s="1147"/>
      <c r="AR556" s="1147"/>
      <c r="AS556" s="1110"/>
      <c r="AT556" s="1110"/>
      <c r="AU556" s="1110"/>
      <c r="AV556" s="1110"/>
      <c r="AW556" s="1110"/>
      <c r="AX556" s="1110"/>
      <c r="AY556" s="1110"/>
      <c r="AZ556" s="1110"/>
      <c r="BA556" s="1110"/>
      <c r="BB556" s="1110"/>
      <c r="BC556" s="1110"/>
      <c r="BD556" s="1111"/>
      <c r="BE556" s="1184"/>
      <c r="BF556" s="1432"/>
      <c r="BG556" s="1432"/>
    </row>
    <row r="557" spans="37:59" hidden="1" x14ac:dyDescent="0.2"/>
    <row r="558" spans="37:59" hidden="1" x14ac:dyDescent="0.2"/>
    <row r="559" spans="37:59" hidden="1" x14ac:dyDescent="0.2"/>
    <row r="560" spans="37:59"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spans="37:59" hidden="1" x14ac:dyDescent="0.2"/>
    <row r="578" spans="37:59" hidden="1" x14ac:dyDescent="0.2"/>
    <row r="579" spans="37:59" hidden="1" x14ac:dyDescent="0.2"/>
    <row r="580" spans="37:59" hidden="1" x14ac:dyDescent="0.2"/>
    <row r="581" spans="37:59" hidden="1" x14ac:dyDescent="0.2"/>
    <row r="582" spans="37:59" hidden="1" x14ac:dyDescent="0.2">
      <c r="AK582" s="1041"/>
      <c r="AL582" s="1042"/>
      <c r="AM582" s="1108"/>
      <c r="AN582" s="1109"/>
      <c r="AO582" s="1109"/>
      <c r="AP582" s="1109"/>
      <c r="AQ582" s="1147"/>
      <c r="AR582" s="1147"/>
      <c r="AS582" s="1110"/>
      <c r="AT582" s="1110"/>
      <c r="AU582" s="1110"/>
      <c r="AV582" s="1110"/>
      <c r="AW582" s="1110"/>
      <c r="AX582" s="1110"/>
      <c r="AY582" s="1110"/>
      <c r="AZ582" s="1110"/>
      <c r="BA582" s="1110"/>
      <c r="BB582" s="1110"/>
      <c r="BC582" s="1110"/>
      <c r="BD582" s="1111"/>
      <c r="BE582" s="1184"/>
      <c r="BF582" s="1432"/>
      <c r="BG582" s="1432"/>
    </row>
    <row r="583" spans="37:59" hidden="1" x14ac:dyDescent="0.2">
      <c r="AK583" s="1041"/>
      <c r="AL583" s="1042"/>
      <c r="AM583" s="1108"/>
      <c r="AN583" s="1109"/>
      <c r="AO583" s="1109"/>
      <c r="AP583" s="1109"/>
      <c r="AQ583" s="1147"/>
      <c r="AR583" s="1147"/>
      <c r="AS583" s="1110"/>
      <c r="AT583" s="1110"/>
      <c r="AU583" s="1110"/>
      <c r="AV583" s="1110"/>
      <c r="AW583" s="1110"/>
      <c r="AX583" s="1110"/>
      <c r="AY583" s="1110"/>
      <c r="AZ583" s="1110"/>
      <c r="BA583" s="1110"/>
      <c r="BB583" s="1110"/>
      <c r="BC583" s="1110"/>
      <c r="BD583" s="1111"/>
      <c r="BE583" s="1184"/>
      <c r="BF583" s="1432"/>
      <c r="BG583" s="1432"/>
    </row>
    <row r="584" spans="37:59" hidden="1" x14ac:dyDescent="0.2">
      <c r="AK584" s="1041"/>
      <c r="AL584" s="1042"/>
      <c r="AM584" s="1108"/>
      <c r="AN584" s="1109"/>
      <c r="AO584" s="1109"/>
      <c r="AP584" s="1109"/>
      <c r="AQ584" s="1147"/>
      <c r="AR584" s="1147"/>
      <c r="AS584" s="1110"/>
      <c r="AT584" s="1110"/>
      <c r="AU584" s="1110"/>
      <c r="AV584" s="1110"/>
      <c r="AW584" s="1110"/>
      <c r="AX584" s="1110"/>
      <c r="AY584" s="1110"/>
      <c r="AZ584" s="1110"/>
      <c r="BA584" s="1110"/>
      <c r="BB584" s="1110"/>
      <c r="BC584" s="1110"/>
      <c r="BD584" s="1111"/>
      <c r="BE584" s="1184"/>
      <c r="BF584" s="1432"/>
      <c r="BG584" s="1432"/>
    </row>
    <row r="585" spans="37:59" hidden="1" x14ac:dyDescent="0.2">
      <c r="AK585" s="1041"/>
      <c r="AL585" s="1042"/>
      <c r="AM585" s="1108"/>
      <c r="AN585" s="1109"/>
      <c r="AO585" s="1109"/>
      <c r="AP585" s="1109"/>
      <c r="AQ585" s="1147"/>
      <c r="AR585" s="1147"/>
      <c r="AS585" s="1110"/>
      <c r="AT585" s="1110"/>
      <c r="AU585" s="1110"/>
      <c r="AV585" s="1110"/>
      <c r="AW585" s="1110"/>
      <c r="AX585" s="1110"/>
      <c r="AY585" s="1110"/>
      <c r="AZ585" s="1110"/>
      <c r="BA585" s="1110"/>
      <c r="BB585" s="1110"/>
      <c r="BC585" s="1110"/>
      <c r="BD585" s="1111"/>
      <c r="BE585" s="1184"/>
      <c r="BF585" s="1432"/>
      <c r="BG585" s="1432"/>
    </row>
    <row r="586" spans="37:59" hidden="1" x14ac:dyDescent="0.2">
      <c r="AK586" s="1041"/>
      <c r="AL586" s="1042"/>
      <c r="AM586" s="1108"/>
      <c r="AN586" s="1109"/>
      <c r="AO586" s="1109"/>
      <c r="AP586" s="1109"/>
      <c r="AQ586" s="1147"/>
      <c r="AR586" s="1147"/>
      <c r="AS586" s="1110"/>
      <c r="AT586" s="1110"/>
      <c r="AU586" s="1110"/>
      <c r="AV586" s="1110"/>
      <c r="AW586" s="1110"/>
      <c r="AX586" s="1110"/>
      <c r="AY586" s="1110"/>
      <c r="AZ586" s="1110"/>
      <c r="BA586" s="1110"/>
      <c r="BB586" s="1110"/>
      <c r="BC586" s="1110"/>
      <c r="BD586" s="1111"/>
      <c r="BE586" s="1184"/>
      <c r="BF586" s="1432"/>
      <c r="BG586" s="1432"/>
    </row>
    <row r="587" spans="37:59" hidden="1" x14ac:dyDescent="0.2">
      <c r="AK587" s="1041"/>
      <c r="AL587" s="1042"/>
      <c r="AM587" s="1108"/>
      <c r="AN587" s="1109"/>
      <c r="AO587" s="1109"/>
      <c r="AP587" s="1109"/>
      <c r="AQ587" s="1147"/>
      <c r="AR587" s="1147"/>
      <c r="AS587" s="1110"/>
      <c r="AT587" s="1110"/>
      <c r="AU587" s="1110"/>
      <c r="AV587" s="1110"/>
      <c r="AW587" s="1110"/>
      <c r="AX587" s="1110"/>
      <c r="AY587" s="1110"/>
      <c r="AZ587" s="1110"/>
      <c r="BA587" s="1110"/>
      <c r="BB587" s="1110"/>
      <c r="BC587" s="1110"/>
      <c r="BD587" s="1111"/>
      <c r="BE587" s="1184"/>
      <c r="BF587" s="1432"/>
      <c r="BG587" s="1432"/>
    </row>
    <row r="588" spans="37:59" hidden="1" x14ac:dyDescent="0.2">
      <c r="AK588" s="1041"/>
      <c r="AL588" s="1042"/>
      <c r="AM588" s="1108"/>
      <c r="AN588" s="1109"/>
      <c r="AO588" s="1109"/>
      <c r="AP588" s="1109"/>
      <c r="AQ588" s="1147"/>
      <c r="AR588" s="1147"/>
      <c r="AS588" s="1110"/>
      <c r="AT588" s="1110"/>
      <c r="AU588" s="1110"/>
      <c r="AV588" s="1110"/>
      <c r="AW588" s="1110"/>
      <c r="AX588" s="1110"/>
      <c r="AY588" s="1110"/>
      <c r="AZ588" s="1110"/>
      <c r="BA588" s="1110"/>
      <c r="BB588" s="1110"/>
      <c r="BC588" s="1110"/>
      <c r="BD588" s="1111"/>
      <c r="BE588" s="1184"/>
      <c r="BF588" s="1432"/>
      <c r="BG588" s="1432"/>
    </row>
    <row r="589" spans="37:59" hidden="1" x14ac:dyDescent="0.2">
      <c r="AK589" s="1041"/>
      <c r="AL589" s="1042"/>
      <c r="AM589" s="1108"/>
      <c r="AN589" s="1109"/>
      <c r="AO589" s="1109"/>
      <c r="AP589" s="1109"/>
      <c r="AQ589" s="1147"/>
      <c r="AR589" s="1147"/>
      <c r="AS589" s="1110"/>
      <c r="AT589" s="1110"/>
      <c r="AU589" s="1110"/>
      <c r="AV589" s="1110"/>
      <c r="AW589" s="1110"/>
      <c r="AX589" s="1110"/>
      <c r="AY589" s="1110"/>
      <c r="AZ589" s="1110"/>
      <c r="BA589" s="1110"/>
      <c r="BB589" s="1110"/>
      <c r="BC589" s="1110"/>
      <c r="BD589" s="1111"/>
      <c r="BE589" s="1184"/>
      <c r="BF589" s="1432"/>
      <c r="BG589" s="1432"/>
    </row>
    <row r="590" spans="37:59" hidden="1" x14ac:dyDescent="0.2">
      <c r="AK590" s="1041"/>
      <c r="AL590" s="1042"/>
      <c r="AM590" s="1108"/>
      <c r="AN590" s="1109"/>
      <c r="AO590" s="1109"/>
      <c r="AP590" s="1109"/>
      <c r="AQ590" s="1147"/>
      <c r="AR590" s="1147"/>
      <c r="AS590" s="1110"/>
      <c r="AT590" s="1110"/>
      <c r="AU590" s="1110"/>
      <c r="AV590" s="1110"/>
      <c r="AW590" s="1110"/>
      <c r="AX590" s="1110"/>
      <c r="AY590" s="1110"/>
      <c r="AZ590" s="1110"/>
      <c r="BA590" s="1110"/>
      <c r="BB590" s="1110"/>
      <c r="BC590" s="1110"/>
      <c r="BD590" s="1111"/>
      <c r="BE590" s="1184"/>
      <c r="BF590" s="1432"/>
      <c r="BG590" s="1432"/>
    </row>
    <row r="591" spans="37:59" hidden="1" x14ac:dyDescent="0.2">
      <c r="AK591" s="1041"/>
      <c r="AL591" s="1042"/>
      <c r="AM591" s="1108"/>
      <c r="AN591" s="1109"/>
      <c r="AO591" s="1109"/>
      <c r="AP591" s="1109"/>
      <c r="AQ591" s="1147"/>
      <c r="AR591" s="1147"/>
      <c r="AS591" s="1110"/>
      <c r="AT591" s="1110"/>
      <c r="AU591" s="1110"/>
      <c r="AV591" s="1110"/>
      <c r="AW591" s="1110"/>
      <c r="AX591" s="1110"/>
      <c r="AY591" s="1110"/>
      <c r="AZ591" s="1110"/>
      <c r="BA591" s="1110"/>
      <c r="BB591" s="1110"/>
      <c r="BC591" s="1110"/>
      <c r="BD591" s="1111"/>
      <c r="BE591" s="1184"/>
      <c r="BF591" s="1432"/>
      <c r="BG591" s="1432"/>
    </row>
    <row r="592" spans="37:59"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spans="37:59" hidden="1" x14ac:dyDescent="0.2"/>
    <row r="610" spans="37:59" hidden="1" x14ac:dyDescent="0.2"/>
    <row r="611" spans="37:59" hidden="1" x14ac:dyDescent="0.2"/>
    <row r="612" spans="37:59" hidden="1" x14ac:dyDescent="0.2"/>
    <row r="613" spans="37:59" hidden="1" x14ac:dyDescent="0.2"/>
    <row r="614" spans="37:59" hidden="1" x14ac:dyDescent="0.2"/>
    <row r="615" spans="37:59" hidden="1" x14ac:dyDescent="0.2"/>
    <row r="616" spans="37:59" hidden="1" x14ac:dyDescent="0.2"/>
    <row r="617" spans="37:59" hidden="1" x14ac:dyDescent="0.2">
      <c r="AK617" s="1041"/>
      <c r="AL617" s="1042"/>
      <c r="AM617" s="1108"/>
      <c r="AN617" s="1109"/>
      <c r="AO617" s="1109"/>
      <c r="AP617" s="1109"/>
      <c r="AQ617" s="1147"/>
      <c r="AR617" s="1147"/>
      <c r="AS617" s="1110"/>
      <c r="AT617" s="1110"/>
      <c r="AU617" s="1110"/>
      <c r="AV617" s="1110"/>
      <c r="AW617" s="1110"/>
      <c r="AX617" s="1110"/>
      <c r="AY617" s="1110"/>
      <c r="AZ617" s="1110"/>
      <c r="BA617" s="1110"/>
      <c r="BB617" s="1110"/>
      <c r="BC617" s="1110"/>
      <c r="BD617" s="1111"/>
      <c r="BE617" s="1184"/>
      <c r="BF617" s="1432"/>
      <c r="BG617" s="1432"/>
    </row>
    <row r="618" spans="37:59" hidden="1" x14ac:dyDescent="0.2">
      <c r="AK618" s="1041"/>
      <c r="AL618" s="1042"/>
      <c r="AM618" s="1108"/>
      <c r="AN618" s="1109"/>
      <c r="AO618" s="1109"/>
      <c r="AP618" s="1109"/>
      <c r="AQ618" s="1147"/>
      <c r="AR618" s="1147"/>
      <c r="AS618" s="1110"/>
      <c r="AT618" s="1110"/>
      <c r="AU618" s="1110"/>
      <c r="AV618" s="1110"/>
      <c r="AW618" s="1110"/>
      <c r="AX618" s="1110"/>
      <c r="AY618" s="1110"/>
      <c r="AZ618" s="1110"/>
      <c r="BA618" s="1110"/>
      <c r="BB618" s="1110"/>
      <c r="BC618" s="1110"/>
      <c r="BD618" s="1111"/>
      <c r="BE618" s="1184"/>
      <c r="BF618" s="1432"/>
      <c r="BG618" s="1432"/>
    </row>
    <row r="619" spans="37:59" hidden="1" x14ac:dyDescent="0.2">
      <c r="AK619" s="1041"/>
      <c r="AL619" s="1042"/>
      <c r="AM619" s="1108"/>
      <c r="AN619" s="1109"/>
      <c r="AO619" s="1109"/>
      <c r="AP619" s="1109"/>
      <c r="AQ619" s="1147"/>
      <c r="AR619" s="1147"/>
      <c r="AS619" s="1110"/>
      <c r="AT619" s="1110"/>
      <c r="AU619" s="1110"/>
      <c r="AV619" s="1110"/>
      <c r="AW619" s="1110"/>
      <c r="AX619" s="1110"/>
      <c r="AY619" s="1110"/>
      <c r="AZ619" s="1110"/>
      <c r="BA619" s="1110"/>
      <c r="BB619" s="1110"/>
      <c r="BC619" s="1110"/>
      <c r="BD619" s="1111"/>
      <c r="BE619" s="1184"/>
      <c r="BF619" s="1432"/>
      <c r="BG619" s="1432"/>
    </row>
    <row r="620" spans="37:59" hidden="1" x14ac:dyDescent="0.2">
      <c r="AK620" s="1041"/>
      <c r="AL620" s="1042"/>
      <c r="AM620" s="1108"/>
      <c r="AN620" s="1109"/>
      <c r="AO620" s="1109"/>
      <c r="AP620" s="1109"/>
      <c r="AQ620" s="1147"/>
      <c r="AR620" s="1147"/>
      <c r="AS620" s="1110"/>
      <c r="AT620" s="1110"/>
      <c r="AU620" s="1110"/>
      <c r="AV620" s="1110"/>
      <c r="AW620" s="1110"/>
      <c r="AX620" s="1110"/>
      <c r="AY620" s="1110"/>
      <c r="AZ620" s="1110"/>
      <c r="BA620" s="1110"/>
      <c r="BB620" s="1110"/>
      <c r="BC620" s="1110"/>
      <c r="BD620" s="1111"/>
      <c r="BE620" s="1184"/>
      <c r="BF620" s="1432"/>
      <c r="BG620" s="1432"/>
    </row>
    <row r="621" spans="37:59" hidden="1" x14ac:dyDescent="0.2">
      <c r="AK621" s="1041"/>
      <c r="AL621" s="1042"/>
      <c r="AM621" s="1108"/>
      <c r="AN621" s="1109"/>
      <c r="AO621" s="1109"/>
      <c r="AP621" s="1109"/>
      <c r="AQ621" s="1147"/>
      <c r="AR621" s="1147"/>
      <c r="AS621" s="1110"/>
      <c r="AT621" s="1110"/>
      <c r="AU621" s="1110"/>
      <c r="AV621" s="1110"/>
      <c r="AW621" s="1110"/>
      <c r="AX621" s="1110"/>
      <c r="AY621" s="1110"/>
      <c r="AZ621" s="1110"/>
      <c r="BA621" s="1110"/>
      <c r="BB621" s="1110"/>
      <c r="BC621" s="1110"/>
      <c r="BD621" s="1111"/>
      <c r="BE621" s="1184"/>
      <c r="BF621" s="1432"/>
      <c r="BG621" s="1432"/>
    </row>
    <row r="622" spans="37:59" hidden="1" x14ac:dyDescent="0.2">
      <c r="AK622" s="1041"/>
      <c r="AL622" s="1042"/>
      <c r="AM622" s="1108"/>
      <c r="AN622" s="1109"/>
      <c r="AO622" s="1109"/>
      <c r="AP622" s="1109"/>
      <c r="AQ622" s="1147"/>
      <c r="AR622" s="1147"/>
      <c r="AS622" s="1110"/>
      <c r="AT622" s="1110"/>
      <c r="AU622" s="1110"/>
      <c r="AV622" s="1110"/>
      <c r="AW622" s="1110"/>
      <c r="AX622" s="1110"/>
      <c r="AY622" s="1110"/>
      <c r="AZ622" s="1110"/>
      <c r="BA622" s="1110"/>
      <c r="BB622" s="1110"/>
      <c r="BC622" s="1110"/>
      <c r="BD622" s="1111"/>
      <c r="BE622" s="1184"/>
      <c r="BF622" s="1432"/>
      <c r="BG622" s="1432"/>
    </row>
    <row r="623" spans="37:59" hidden="1" x14ac:dyDescent="0.2">
      <c r="AK623" s="1041"/>
      <c r="AL623" s="1042"/>
      <c r="AM623" s="1108"/>
      <c r="AN623" s="1109"/>
      <c r="AO623" s="1109"/>
      <c r="AP623" s="1109"/>
      <c r="AQ623" s="1147"/>
      <c r="AR623" s="1147"/>
      <c r="AS623" s="1110"/>
      <c r="AT623" s="1110"/>
      <c r="AU623" s="1110"/>
      <c r="AV623" s="1110"/>
      <c r="AW623" s="1110"/>
      <c r="AX623" s="1110"/>
      <c r="AY623" s="1110"/>
      <c r="AZ623" s="1110"/>
      <c r="BA623" s="1110"/>
      <c r="BB623" s="1110"/>
      <c r="BC623" s="1110"/>
      <c r="BD623" s="1111"/>
      <c r="BE623" s="1184"/>
      <c r="BF623" s="1432"/>
      <c r="BG623" s="1432"/>
    </row>
    <row r="624" spans="37:59" hidden="1" x14ac:dyDescent="0.2">
      <c r="AK624" s="1041"/>
      <c r="AL624" s="1042"/>
      <c r="AM624" s="1108"/>
      <c r="AN624" s="1109"/>
      <c r="AO624" s="1109"/>
      <c r="AP624" s="1109"/>
      <c r="AQ624" s="1147"/>
      <c r="AR624" s="1147"/>
      <c r="AS624" s="1110"/>
      <c r="AT624" s="1110"/>
      <c r="AU624" s="1110"/>
      <c r="AV624" s="1110"/>
      <c r="AW624" s="1110"/>
      <c r="AX624" s="1110"/>
      <c r="AY624" s="1110"/>
      <c r="AZ624" s="1110"/>
      <c r="BA624" s="1110"/>
      <c r="BB624" s="1110"/>
      <c r="BC624" s="1110"/>
      <c r="BD624" s="1111"/>
      <c r="BE624" s="1184"/>
      <c r="BF624" s="1432"/>
      <c r="BG624" s="1432"/>
    </row>
    <row r="625" spans="37:59" hidden="1" x14ac:dyDescent="0.2">
      <c r="AK625" s="1041"/>
      <c r="AL625" s="1042"/>
      <c r="AM625" s="1108"/>
      <c r="AN625" s="1109"/>
      <c r="AO625" s="1109"/>
      <c r="AP625" s="1109"/>
      <c r="AQ625" s="1147"/>
      <c r="AR625" s="1147"/>
      <c r="AS625" s="1110"/>
      <c r="AT625" s="1110"/>
      <c r="AU625" s="1110"/>
      <c r="AV625" s="1110"/>
      <c r="AW625" s="1110"/>
      <c r="AX625" s="1110"/>
      <c r="AY625" s="1110"/>
      <c r="AZ625" s="1110"/>
      <c r="BA625" s="1110"/>
      <c r="BB625" s="1110"/>
      <c r="BC625" s="1110"/>
      <c r="BD625" s="1111"/>
      <c r="BE625" s="1184"/>
      <c r="BF625" s="1432"/>
      <c r="BG625" s="1432"/>
    </row>
    <row r="626" spans="37:59" hidden="1" x14ac:dyDescent="0.2">
      <c r="AK626" s="1041"/>
      <c r="AL626" s="1042"/>
      <c r="AM626" s="1108"/>
      <c r="AN626" s="1109"/>
      <c r="AO626" s="1109"/>
      <c r="AP626" s="1109"/>
      <c r="AQ626" s="1147"/>
      <c r="AR626" s="1147"/>
      <c r="AS626" s="1110"/>
      <c r="AT626" s="1110"/>
      <c r="AU626" s="1110"/>
      <c r="AV626" s="1110"/>
      <c r="AW626" s="1110"/>
      <c r="AX626" s="1110"/>
      <c r="AY626" s="1110"/>
      <c r="AZ626" s="1110"/>
      <c r="BA626" s="1110"/>
      <c r="BB626" s="1110"/>
      <c r="BC626" s="1110"/>
      <c r="BD626" s="1111"/>
      <c r="BE626" s="1184"/>
      <c r="BF626" s="1432"/>
      <c r="BG626" s="1432"/>
    </row>
    <row r="627" spans="37:59" hidden="1" x14ac:dyDescent="0.2"/>
    <row r="628" spans="37:59" hidden="1" x14ac:dyDescent="0.2"/>
    <row r="629" spans="37:59" hidden="1" x14ac:dyDescent="0.2"/>
    <row r="630" spans="37:59" hidden="1" x14ac:dyDescent="0.2"/>
    <row r="631" spans="37:59" hidden="1" x14ac:dyDescent="0.2"/>
    <row r="632" spans="37:59" hidden="1" x14ac:dyDescent="0.2"/>
    <row r="633" spans="37:59" hidden="1" x14ac:dyDescent="0.2"/>
    <row r="634" spans="37:59" hidden="1" x14ac:dyDescent="0.2"/>
    <row r="635" spans="37:59" hidden="1" x14ac:dyDescent="0.2"/>
    <row r="636" spans="37:59" hidden="1" x14ac:dyDescent="0.2"/>
    <row r="637" spans="37:59" hidden="1" x14ac:dyDescent="0.2"/>
    <row r="638" spans="37:59" hidden="1" x14ac:dyDescent="0.2"/>
    <row r="639" spans="37:59" hidden="1" x14ac:dyDescent="0.2"/>
    <row r="640" spans="37:59"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sheetData>
  <sheetProtection algorithmName="SHA-512" hashValue="M/jnstlxYEHb7CKPRLGuHO5BAOMYAa5EUowVPIq+4oNIlsPo6P6U1XeXzuX28o21adGQ3oVoDmFPKJYDXf8STw==" saltValue="lSUucezTm+ElewOl64eLlw==" spinCount="100000" sheet="1" objects="1" scenarios="1" formatCells="0" formatColumns="0" formatRows="0" selectLockedCells="1" sort="0" autoFilter="0"/>
  <mergeCells count="13">
    <mergeCell ref="BJ146:BK146"/>
    <mergeCell ref="AS5:BC5"/>
    <mergeCell ref="CU6:CV9"/>
    <mergeCell ref="BB9:BB10"/>
    <mergeCell ref="BA9:BA10"/>
    <mergeCell ref="AZ9:AZ10"/>
    <mergeCell ref="AY9:AY10"/>
    <mergeCell ref="AX9:AX10"/>
    <mergeCell ref="AW9:AW10"/>
    <mergeCell ref="AV9:AV10"/>
    <mergeCell ref="AU9:AU10"/>
    <mergeCell ref="AT9:AT10"/>
    <mergeCell ref="AS9:AS10"/>
  </mergeCells>
  <phoneticPr fontId="0" type="noConversion"/>
  <conditionalFormatting sqref="AK582:AK591 AK407:AK416 AK512:AK521 AK617:AK626 AK477:AK486 AK442:AK451 AK547:AK556 AK376:AK381 AK11:AK276">
    <cfRule type="expression" dxfId="777" priority="467">
      <formula>#REF!</formula>
    </cfRule>
  </conditionalFormatting>
  <pageMargins left="0.75" right="0.75" top="0.25" bottom="0.25" header="0.5" footer="0.5"/>
  <pageSetup scale="2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fitToPage="1"/>
  </sheetPr>
  <dimension ref="A1:R63"/>
  <sheetViews>
    <sheetView showGridLines="0" tabSelected="1" zoomScaleNormal="100" workbookViewId="0">
      <selection activeCell="E5" sqref="E5"/>
    </sheetView>
  </sheetViews>
  <sheetFormatPr defaultColWidth="9.140625" defaultRowHeight="12.75" x14ac:dyDescent="0.2"/>
  <cols>
    <col min="1" max="1" width="1.42578125" style="656" customWidth="1"/>
    <col min="2" max="2" width="3" style="656" customWidth="1"/>
    <col min="3" max="3" width="20.85546875" style="656" customWidth="1"/>
    <col min="4" max="4" width="1.42578125" style="656" customWidth="1"/>
    <col min="5" max="5" width="31.5703125" style="656" customWidth="1"/>
    <col min="6" max="6" width="1.42578125" style="656" customWidth="1"/>
    <col min="7" max="7" width="5.42578125" style="656" customWidth="1"/>
    <col min="8" max="8" width="8.7109375" style="656" bestFit="1" customWidth="1"/>
    <col min="9" max="9" width="15" style="656" customWidth="1"/>
    <col min="10" max="11" width="4.5703125" style="656" customWidth="1"/>
    <col min="12" max="12" width="2.7109375" style="656" customWidth="1"/>
    <col min="13" max="14" width="4.5703125" style="656" customWidth="1"/>
    <col min="15" max="15" width="1.42578125" style="656" customWidth="1"/>
    <col min="16" max="16384" width="9.140625" style="656"/>
  </cols>
  <sheetData>
    <row r="1" spans="1:18" s="651" customFormat="1" ht="20.25" x14ac:dyDescent="0.3">
      <c r="A1" s="747" t="s">
        <v>1680</v>
      </c>
      <c r="B1" s="650"/>
      <c r="C1" s="649"/>
      <c r="D1" s="649"/>
      <c r="E1" s="649"/>
      <c r="F1" s="649"/>
      <c r="G1" s="649"/>
      <c r="H1" s="649"/>
      <c r="I1" s="649"/>
      <c r="J1" s="649"/>
      <c r="K1" s="649"/>
      <c r="L1" s="649"/>
      <c r="M1" s="649"/>
      <c r="N1" s="649"/>
      <c r="O1" s="649"/>
      <c r="P1" s="649"/>
      <c r="Q1" s="649"/>
      <c r="R1" s="649"/>
    </row>
    <row r="2" spans="1:18" s="908" customFormat="1" ht="6" customHeight="1" x14ac:dyDescent="0.2">
      <c r="A2" s="930"/>
      <c r="B2" s="652"/>
      <c r="C2" s="653"/>
      <c r="D2" s="652"/>
      <c r="E2" s="654"/>
      <c r="F2" s="654"/>
      <c r="G2" s="654"/>
      <c r="H2" s="654"/>
      <c r="I2" s="654"/>
      <c r="J2" s="654"/>
      <c r="K2" s="654"/>
      <c r="L2" s="654"/>
      <c r="M2" s="654"/>
      <c r="N2" s="654"/>
      <c r="O2" s="654"/>
      <c r="P2" s="655"/>
    </row>
    <row r="3" spans="1:18" s="930" customFormat="1" x14ac:dyDescent="0.2">
      <c r="B3" s="657"/>
      <c r="C3" s="658" t="s">
        <v>423</v>
      </c>
      <c r="D3" s="658"/>
      <c r="E3" s="658"/>
      <c r="F3" s="658"/>
      <c r="H3" s="375"/>
      <c r="I3" s="375"/>
      <c r="J3" s="375"/>
      <c r="K3" s="375"/>
      <c r="L3" s="375"/>
      <c r="M3" s="375"/>
      <c r="N3" s="375"/>
      <c r="O3" s="378"/>
      <c r="P3" s="659"/>
    </row>
    <row r="4" spans="1:18" s="930" customFormat="1" x14ac:dyDescent="0.2">
      <c r="B4" s="586"/>
      <c r="C4" s="375"/>
      <c r="D4" s="586"/>
      <c r="E4" s="378"/>
      <c r="F4" s="378"/>
      <c r="G4" s="378"/>
      <c r="H4" s="378"/>
      <c r="I4" s="378"/>
      <c r="J4" s="378"/>
      <c r="K4" s="378"/>
      <c r="L4" s="378"/>
      <c r="M4" s="378"/>
      <c r="N4" s="378"/>
      <c r="O4" s="378"/>
      <c r="P4" s="659"/>
    </row>
    <row r="5" spans="1:18" s="930" customFormat="1" x14ac:dyDescent="0.2">
      <c r="B5" s="1548">
        <v>1</v>
      </c>
      <c r="C5" s="1549" t="s">
        <v>424</v>
      </c>
      <c r="D5" s="586"/>
      <c r="E5" s="660"/>
      <c r="F5" s="378"/>
      <c r="G5" s="378"/>
      <c r="H5" s="378"/>
      <c r="I5" s="378"/>
      <c r="J5" s="378"/>
      <c r="K5" s="378"/>
      <c r="L5" s="378"/>
      <c r="M5" s="378"/>
      <c r="N5" s="378"/>
      <c r="O5" s="378"/>
      <c r="P5" s="659"/>
    </row>
    <row r="6" spans="1:18" s="930" customFormat="1" x14ac:dyDescent="0.2">
      <c r="B6" s="586"/>
      <c r="C6" s="375"/>
      <c r="D6" s="586"/>
      <c r="E6" s="375"/>
      <c r="F6" s="378"/>
      <c r="G6" s="378"/>
      <c r="H6" s="378"/>
      <c r="I6" s="378"/>
      <c r="J6" s="378"/>
      <c r="K6" s="378"/>
      <c r="L6" s="378"/>
      <c r="M6" s="378"/>
      <c r="N6" s="378"/>
      <c r="O6" s="378"/>
      <c r="P6" s="659"/>
    </row>
    <row r="7" spans="1:18" s="930" customFormat="1" x14ac:dyDescent="0.2">
      <c r="A7" s="1550"/>
      <c r="B7" s="1548">
        <f>B5+1</f>
        <v>2</v>
      </c>
      <c r="C7" s="1549" t="s">
        <v>904</v>
      </c>
      <c r="D7" s="378"/>
      <c r="E7" s="661"/>
      <c r="F7" s="378"/>
      <c r="G7" s="378"/>
      <c r="H7" s="378"/>
      <c r="I7" s="378"/>
      <c r="J7" s="378"/>
      <c r="K7" s="378"/>
      <c r="L7" s="378"/>
      <c r="M7" s="378"/>
      <c r="N7" s="378"/>
      <c r="O7" s="378"/>
      <c r="P7" s="659"/>
    </row>
    <row r="8" spans="1:18" s="930" customFormat="1" ht="6.75" customHeight="1" x14ac:dyDescent="0.2">
      <c r="A8" s="1550"/>
      <c r="B8" s="378"/>
      <c r="D8" s="378"/>
      <c r="E8" s="376"/>
      <c r="F8" s="378"/>
      <c r="G8" s="378"/>
      <c r="H8" s="378"/>
      <c r="I8" s="378"/>
      <c r="J8" s="378"/>
      <c r="K8" s="378"/>
      <c r="L8" s="378"/>
      <c r="M8" s="378"/>
      <c r="N8" s="378"/>
      <c r="O8" s="378"/>
      <c r="P8" s="659"/>
    </row>
    <row r="9" spans="1:18" s="930" customFormat="1" x14ac:dyDescent="0.2">
      <c r="B9" s="1548" t="s">
        <v>902</v>
      </c>
      <c r="C9" s="1549" t="s">
        <v>426</v>
      </c>
      <c r="D9" s="378"/>
      <c r="E9" s="662"/>
      <c r="F9" s="375"/>
      <c r="G9" s="1548" t="s">
        <v>903</v>
      </c>
      <c r="H9" s="1549" t="s">
        <v>901</v>
      </c>
      <c r="I9" s="663"/>
      <c r="J9" s="375"/>
      <c r="K9" s="375"/>
      <c r="L9" s="375"/>
      <c r="M9" s="375"/>
      <c r="N9" s="375"/>
      <c r="O9" s="378"/>
      <c r="P9" s="659"/>
    </row>
    <row r="10" spans="1:18" s="930" customFormat="1" ht="6.75" customHeight="1" x14ac:dyDescent="0.2">
      <c r="B10" s="378"/>
      <c r="D10" s="378"/>
      <c r="E10" s="375"/>
      <c r="F10" s="375"/>
      <c r="G10" s="375"/>
      <c r="H10" s="375"/>
      <c r="I10" s="375"/>
      <c r="J10" s="375"/>
      <c r="K10" s="375"/>
      <c r="L10" s="375"/>
      <c r="M10" s="375"/>
      <c r="N10" s="375"/>
      <c r="O10" s="378"/>
      <c r="P10" s="659"/>
    </row>
    <row r="11" spans="1:18" s="930" customFormat="1" x14ac:dyDescent="0.2">
      <c r="B11" s="1548">
        <v>4</v>
      </c>
      <c r="C11" s="1549" t="s">
        <v>426</v>
      </c>
      <c r="D11" s="378"/>
      <c r="E11" s="662"/>
      <c r="F11" s="375"/>
      <c r="G11" s="375"/>
      <c r="H11" s="375"/>
      <c r="I11" s="375"/>
      <c r="J11" s="375"/>
      <c r="K11" s="375"/>
      <c r="L11" s="375"/>
      <c r="M11" s="375"/>
      <c r="N11" s="375"/>
      <c r="O11" s="378"/>
      <c r="P11" s="659"/>
    </row>
    <row r="12" spans="1:18" s="930" customFormat="1" ht="6.75" customHeight="1" x14ac:dyDescent="0.2">
      <c r="B12" s="378"/>
      <c r="D12" s="378"/>
      <c r="E12" s="375"/>
      <c r="F12" s="375"/>
      <c r="G12" s="375"/>
      <c r="H12" s="375"/>
      <c r="I12" s="375"/>
      <c r="J12" s="375"/>
      <c r="K12" s="375"/>
      <c r="L12" s="375"/>
      <c r="M12" s="375"/>
      <c r="N12" s="375"/>
      <c r="O12" s="378"/>
      <c r="P12" s="659"/>
    </row>
    <row r="13" spans="1:18" s="930" customFormat="1" x14ac:dyDescent="0.2">
      <c r="B13" s="1548">
        <f>B11+1</f>
        <v>5</v>
      </c>
      <c r="C13" s="1549" t="s">
        <v>19</v>
      </c>
      <c r="D13" s="378"/>
      <c r="E13" s="661"/>
      <c r="F13" s="375"/>
      <c r="G13" s="375"/>
      <c r="H13" s="375"/>
      <c r="I13" s="375"/>
      <c r="J13" s="375"/>
      <c r="K13" s="375"/>
      <c r="L13" s="375"/>
      <c r="M13" s="375"/>
      <c r="N13" s="375"/>
      <c r="O13" s="378"/>
      <c r="P13" s="659"/>
    </row>
    <row r="14" spans="1:18" s="930" customFormat="1" ht="6.75" customHeight="1" x14ac:dyDescent="0.2">
      <c r="B14" s="378"/>
      <c r="D14" s="378"/>
      <c r="E14" s="376"/>
      <c r="F14" s="375"/>
      <c r="G14" s="375"/>
      <c r="H14" s="375"/>
      <c r="I14" s="375"/>
      <c r="J14" s="375"/>
      <c r="K14" s="375"/>
      <c r="L14" s="375"/>
      <c r="M14" s="375"/>
      <c r="N14" s="375"/>
      <c r="O14" s="378"/>
      <c r="P14" s="659"/>
    </row>
    <row r="15" spans="1:18" s="930" customFormat="1" x14ac:dyDescent="0.2">
      <c r="B15" s="1548">
        <f>B13+1</f>
        <v>6</v>
      </c>
      <c r="C15" s="1549" t="s">
        <v>425</v>
      </c>
      <c r="D15" s="378"/>
      <c r="E15" s="662"/>
      <c r="F15" s="375"/>
      <c r="G15" s="375"/>
      <c r="H15" s="378"/>
      <c r="I15" s="378"/>
      <c r="J15" s="378"/>
      <c r="K15" s="378"/>
      <c r="L15" s="378"/>
      <c r="M15" s="378"/>
      <c r="N15" s="378"/>
      <c r="O15" s="378"/>
      <c r="P15" s="659"/>
    </row>
    <row r="16" spans="1:18" s="930" customFormat="1" ht="6.75" customHeight="1" x14ac:dyDescent="0.2">
      <c r="B16" s="378"/>
      <c r="D16" s="378"/>
      <c r="E16" s="375"/>
      <c r="F16" s="375"/>
      <c r="G16" s="375"/>
      <c r="H16" s="378"/>
      <c r="I16" s="378"/>
      <c r="J16" s="378"/>
      <c r="K16" s="378"/>
      <c r="L16" s="378"/>
      <c r="M16" s="378"/>
      <c r="N16" s="378"/>
      <c r="O16" s="378"/>
      <c r="P16" s="659"/>
    </row>
    <row r="17" spans="2:16" s="930" customFormat="1" x14ac:dyDescent="0.2">
      <c r="B17" s="1548">
        <f>B15+1</f>
        <v>7</v>
      </c>
      <c r="C17" s="1549" t="s">
        <v>483</v>
      </c>
      <c r="D17" s="378"/>
      <c r="E17" s="662"/>
      <c r="F17" s="375"/>
      <c r="G17" s="375"/>
      <c r="H17" s="378"/>
      <c r="I17" s="378"/>
      <c r="J17" s="378"/>
      <c r="K17" s="378"/>
      <c r="L17" s="378"/>
      <c r="M17" s="378"/>
      <c r="N17" s="378"/>
      <c r="O17" s="378"/>
      <c r="P17" s="659"/>
    </row>
    <row r="18" spans="2:16" s="930" customFormat="1" ht="6.75" customHeight="1" x14ac:dyDescent="0.2">
      <c r="B18" s="378"/>
      <c r="D18" s="378"/>
      <c r="E18" s="375"/>
      <c r="F18" s="375"/>
      <c r="G18" s="375"/>
      <c r="H18" s="378"/>
      <c r="I18" s="378"/>
      <c r="J18" s="378"/>
      <c r="K18" s="378"/>
      <c r="L18" s="378"/>
      <c r="M18" s="378"/>
      <c r="N18" s="378"/>
      <c r="O18" s="378"/>
      <c r="P18" s="659"/>
    </row>
    <row r="19" spans="2:16" s="930" customFormat="1" ht="6.75" customHeight="1" x14ac:dyDescent="0.2">
      <c r="B19" s="378"/>
      <c r="D19" s="378"/>
      <c r="E19" s="375"/>
      <c r="F19" s="375"/>
      <c r="G19" s="375"/>
      <c r="H19" s="378"/>
      <c r="I19" s="378"/>
      <c r="J19" s="378"/>
      <c r="K19" s="378"/>
      <c r="L19" s="378"/>
      <c r="M19" s="378"/>
      <c r="N19" s="378"/>
      <c r="O19" s="378"/>
      <c r="P19" s="659"/>
    </row>
    <row r="20" spans="2:16" s="930" customFormat="1" x14ac:dyDescent="0.2">
      <c r="B20" s="657"/>
      <c r="C20" s="658" t="s">
        <v>20</v>
      </c>
      <c r="D20" s="378"/>
      <c r="F20" s="378"/>
      <c r="G20" s="378"/>
      <c r="H20" s="378"/>
      <c r="I20" s="378"/>
      <c r="J20" s="378"/>
      <c r="K20" s="378"/>
      <c r="L20" s="378"/>
      <c r="M20" s="378"/>
      <c r="N20" s="378"/>
      <c r="O20" s="378"/>
      <c r="P20" s="659"/>
    </row>
    <row r="21" spans="2:16" s="930" customFormat="1" x14ac:dyDescent="0.2">
      <c r="B21" s="378"/>
      <c r="D21" s="378"/>
      <c r="E21" s="377"/>
      <c r="F21" s="378"/>
      <c r="G21" s="378"/>
      <c r="H21" s="378"/>
      <c r="I21" s="378"/>
      <c r="J21" s="378"/>
      <c r="K21" s="378"/>
      <c r="L21" s="378"/>
      <c r="M21" s="378"/>
      <c r="N21" s="378"/>
      <c r="O21" s="378"/>
      <c r="P21" s="659"/>
    </row>
    <row r="22" spans="2:16" s="930" customFormat="1" x14ac:dyDescent="0.2">
      <c r="B22" s="1548">
        <f>B17+1</f>
        <v>8</v>
      </c>
      <c r="C22" s="1549" t="s">
        <v>26</v>
      </c>
      <c r="D22" s="378"/>
      <c r="E22" s="662"/>
      <c r="F22" s="375"/>
      <c r="G22" s="375"/>
      <c r="H22" s="375"/>
      <c r="I22" s="375"/>
      <c r="J22" s="375"/>
      <c r="K22" s="375"/>
      <c r="L22" s="375"/>
      <c r="M22" s="375"/>
      <c r="N22" s="375"/>
      <c r="O22" s="378"/>
      <c r="P22" s="659"/>
    </row>
    <row r="23" spans="2:16" s="930" customFormat="1" ht="6.75" customHeight="1" x14ac:dyDescent="0.2">
      <c r="B23" s="378"/>
      <c r="D23" s="378"/>
      <c r="E23" s="375"/>
      <c r="F23" s="375"/>
      <c r="G23" s="375"/>
      <c r="H23" s="375"/>
      <c r="I23" s="375"/>
      <c r="J23" s="375"/>
      <c r="K23" s="375"/>
      <c r="L23" s="375"/>
      <c r="M23" s="375"/>
      <c r="N23" s="375"/>
      <c r="O23" s="378"/>
      <c r="P23" s="659"/>
    </row>
    <row r="24" spans="2:16" s="930" customFormat="1" x14ac:dyDescent="0.2">
      <c r="B24" s="1548">
        <f>B22+1</f>
        <v>9</v>
      </c>
      <c r="C24" s="1549" t="s">
        <v>21</v>
      </c>
      <c r="D24" s="378"/>
      <c r="E24" s="661"/>
      <c r="F24" s="375"/>
      <c r="G24" s="375"/>
      <c r="H24" s="375"/>
      <c r="I24" s="375"/>
      <c r="J24" s="375"/>
      <c r="K24" s="375"/>
      <c r="L24" s="375"/>
      <c r="M24" s="375"/>
      <c r="N24" s="375"/>
      <c r="O24" s="378"/>
      <c r="P24" s="659"/>
    </row>
    <row r="25" spans="2:16" s="930" customFormat="1" ht="6.75" customHeight="1" x14ac:dyDescent="0.2">
      <c r="B25" s="378"/>
      <c r="D25" s="378"/>
      <c r="E25" s="376"/>
      <c r="F25" s="375"/>
      <c r="G25" s="375"/>
      <c r="H25" s="375"/>
      <c r="I25" s="375"/>
      <c r="J25" s="375"/>
      <c r="K25" s="375"/>
      <c r="L25" s="375"/>
      <c r="M25" s="375"/>
      <c r="N25" s="375"/>
      <c r="O25" s="378"/>
      <c r="P25" s="659"/>
    </row>
    <row r="26" spans="2:16" s="930" customFormat="1" x14ac:dyDescent="0.2">
      <c r="B26" s="1548">
        <f>B24+1</f>
        <v>10</v>
      </c>
      <c r="C26" s="1549" t="s">
        <v>22</v>
      </c>
      <c r="D26" s="378"/>
      <c r="E26" s="662"/>
      <c r="F26" s="375"/>
      <c r="G26" s="375"/>
      <c r="H26" s="375"/>
      <c r="I26" s="375"/>
      <c r="J26" s="375"/>
      <c r="K26" s="375"/>
      <c r="L26" s="375"/>
      <c r="M26" s="375"/>
      <c r="N26" s="375"/>
      <c r="O26" s="378"/>
      <c r="P26" s="659"/>
    </row>
    <row r="27" spans="2:16" s="930" customFormat="1" ht="6.75" customHeight="1" x14ac:dyDescent="0.2">
      <c r="B27" s="378"/>
      <c r="D27" s="378"/>
      <c r="E27" s="375"/>
      <c r="F27" s="375"/>
      <c r="G27" s="375"/>
      <c r="H27" s="375"/>
      <c r="I27" s="375"/>
      <c r="J27" s="375"/>
      <c r="K27" s="375"/>
      <c r="L27" s="375"/>
      <c r="M27" s="375"/>
      <c r="N27" s="375"/>
      <c r="O27" s="378"/>
      <c r="P27" s="659"/>
    </row>
    <row r="28" spans="2:16" s="930" customFormat="1" x14ac:dyDescent="0.2">
      <c r="B28" s="1548">
        <f>B26+1</f>
        <v>11</v>
      </c>
      <c r="C28" s="1549" t="s">
        <v>23</v>
      </c>
      <c r="D28" s="378"/>
      <c r="E28" s="664"/>
      <c r="F28" s="375"/>
      <c r="G28" s="375"/>
      <c r="H28" s="375"/>
      <c r="I28" s="375"/>
      <c r="J28" s="375"/>
      <c r="K28" s="375"/>
      <c r="L28" s="375"/>
      <c r="M28" s="375"/>
      <c r="N28" s="375"/>
      <c r="O28" s="378"/>
      <c r="P28" s="659"/>
    </row>
    <row r="29" spans="2:16" s="930" customFormat="1" ht="6.75" customHeight="1" x14ac:dyDescent="0.2">
      <c r="B29" s="378"/>
      <c r="D29" s="378"/>
      <c r="E29" s="375"/>
      <c r="F29" s="375"/>
      <c r="G29" s="375"/>
      <c r="H29" s="375"/>
      <c r="I29" s="375"/>
      <c r="J29" s="375"/>
      <c r="K29" s="375"/>
      <c r="L29" s="375"/>
      <c r="M29" s="375"/>
      <c r="N29" s="375"/>
      <c r="O29" s="378"/>
      <c r="P29" s="659"/>
    </row>
    <row r="30" spans="2:16" s="930" customFormat="1" x14ac:dyDescent="0.2">
      <c r="B30" s="1548">
        <f>B28+1</f>
        <v>12</v>
      </c>
      <c r="C30" s="1549" t="s">
        <v>24</v>
      </c>
      <c r="D30" s="378"/>
      <c r="E30" s="662"/>
      <c r="F30" s="375"/>
      <c r="G30" s="375"/>
      <c r="H30" s="378"/>
      <c r="I30" s="378"/>
      <c r="J30" s="378"/>
      <c r="K30" s="378"/>
      <c r="L30" s="378"/>
      <c r="M30" s="378"/>
      <c r="N30" s="378"/>
      <c r="O30" s="378"/>
      <c r="P30" s="659"/>
    </row>
    <row r="31" spans="2:16" s="930" customFormat="1" ht="6.75" customHeight="1" x14ac:dyDescent="0.2">
      <c r="B31" s="378"/>
      <c r="D31" s="378"/>
      <c r="E31" s="375"/>
      <c r="F31" s="375"/>
      <c r="G31" s="375"/>
      <c r="H31" s="378"/>
      <c r="I31" s="378"/>
      <c r="J31" s="378"/>
      <c r="K31" s="378"/>
      <c r="L31" s="378"/>
      <c r="M31" s="378"/>
      <c r="N31" s="378"/>
      <c r="O31" s="378"/>
      <c r="P31" s="659"/>
    </row>
    <row r="32" spans="2:16" s="930" customFormat="1" ht="6.75" customHeight="1" x14ac:dyDescent="0.2">
      <c r="B32" s="378"/>
      <c r="D32" s="378"/>
      <c r="E32" s="375"/>
      <c r="F32" s="375"/>
      <c r="G32" s="375"/>
      <c r="H32" s="378"/>
      <c r="I32" s="378"/>
      <c r="J32" s="378"/>
      <c r="K32" s="378"/>
      <c r="L32" s="378"/>
      <c r="M32" s="378"/>
      <c r="N32" s="378"/>
      <c r="O32" s="378"/>
      <c r="P32" s="659"/>
    </row>
    <row r="33" spans="2:16" s="930" customFormat="1" x14ac:dyDescent="0.2">
      <c r="B33" s="586"/>
      <c r="C33" s="2061" t="s">
        <v>1682</v>
      </c>
      <c r="D33" s="2061"/>
      <c r="E33" s="2061"/>
      <c r="F33" s="2061"/>
      <c r="G33" s="2061"/>
      <c r="H33" s="2061"/>
      <c r="I33" s="378"/>
      <c r="J33" s="378"/>
      <c r="K33" s="378"/>
      <c r="L33" s="378"/>
      <c r="M33" s="378"/>
      <c r="N33" s="378"/>
      <c r="O33" s="378"/>
      <c r="P33" s="659"/>
    </row>
    <row r="34" spans="2:16" s="930" customFormat="1" x14ac:dyDescent="0.2">
      <c r="C34" s="2061"/>
      <c r="D34" s="2061"/>
      <c r="E34" s="2061"/>
      <c r="F34" s="2061"/>
      <c r="G34" s="2061"/>
      <c r="H34" s="2061"/>
      <c r="I34" s="659"/>
      <c r="J34" s="659"/>
      <c r="K34" s="659"/>
      <c r="L34" s="659"/>
      <c r="M34" s="659"/>
      <c r="N34" s="659"/>
      <c r="O34" s="659"/>
      <c r="P34" s="659"/>
    </row>
    <row r="35" spans="2:16" s="930" customFormat="1" ht="6.75" customHeight="1" x14ac:dyDescent="0.2">
      <c r="C35" s="659"/>
      <c r="E35" s="659"/>
      <c r="F35" s="659"/>
      <c r="G35" s="659"/>
      <c r="H35" s="659"/>
      <c r="J35" s="659"/>
      <c r="K35" s="659"/>
      <c r="L35" s="659"/>
      <c r="M35" s="659"/>
      <c r="N35" s="659"/>
      <c r="O35" s="659"/>
      <c r="P35" s="659"/>
    </row>
    <row r="36" spans="2:16" s="930" customFormat="1" x14ac:dyDescent="0.2">
      <c r="B36" s="378">
        <f>B30+1</f>
        <v>13</v>
      </c>
      <c r="C36" s="1551" t="str">
        <f>IF(('A-00 ID'!E36=""),"   UZA 1? ","")</f>
        <v xml:space="preserve">   UZA 1? </v>
      </c>
      <c r="D36" s="1552"/>
      <c r="E36" s="662"/>
      <c r="F36" s="1552"/>
      <c r="G36" s="1552"/>
      <c r="H36" s="1553"/>
      <c r="J36" s="1553"/>
      <c r="K36" s="1553"/>
    </row>
    <row r="37" spans="2:16" s="930" customFormat="1" ht="6.75" customHeight="1" x14ac:dyDescent="0.2">
      <c r="C37" s="1554"/>
      <c r="D37" s="586"/>
      <c r="E37" s="586"/>
      <c r="F37" s="586"/>
      <c r="G37" s="586"/>
    </row>
    <row r="38" spans="2:16" s="930" customFormat="1" x14ac:dyDescent="0.2">
      <c r="B38" s="378">
        <f>B36+1</f>
        <v>14</v>
      </c>
      <c r="C38" s="1551" t="str">
        <f>IF(('A-00 ID'!E38=""),"   UZA 2? ","")</f>
        <v xml:space="preserve">   UZA 2? </v>
      </c>
      <c r="D38" s="1552"/>
      <c r="E38" s="662"/>
      <c r="F38" s="1552"/>
      <c r="G38" s="1552"/>
    </row>
    <row r="39" spans="2:16" s="930" customFormat="1" ht="6.75" customHeight="1" x14ac:dyDescent="0.2">
      <c r="C39" s="1554"/>
      <c r="D39" s="586"/>
      <c r="E39" s="586"/>
      <c r="F39" s="586"/>
      <c r="G39" s="586"/>
    </row>
    <row r="40" spans="2:16" s="930" customFormat="1" x14ac:dyDescent="0.2">
      <c r="B40" s="378">
        <f>B38+1</f>
        <v>15</v>
      </c>
      <c r="C40" s="1551" t="str">
        <f>IF(('A-00 ID'!E40=""),"   UZA 3? ","")</f>
        <v xml:space="preserve">   UZA 3? </v>
      </c>
      <c r="D40" s="1552"/>
      <c r="E40" s="662"/>
      <c r="F40" s="1552"/>
      <c r="G40" s="1552"/>
    </row>
    <row r="41" spans="2:16" s="930" customFormat="1" ht="6.75" customHeight="1" x14ac:dyDescent="0.2">
      <c r="C41" s="1554"/>
      <c r="D41" s="586"/>
      <c r="E41" s="586"/>
      <c r="F41" s="586"/>
      <c r="G41" s="586"/>
    </row>
    <row r="42" spans="2:16" s="930" customFormat="1" x14ac:dyDescent="0.2">
      <c r="B42" s="378">
        <f>B40+1</f>
        <v>16</v>
      </c>
      <c r="C42" s="1551" t="str">
        <f>IF(('A-00 ID'!E42=""),"   UZA 4? ","")</f>
        <v xml:space="preserve">   UZA 4? </v>
      </c>
      <c r="D42" s="1552"/>
      <c r="E42" s="662"/>
      <c r="F42" s="1552"/>
      <c r="G42" s="1552"/>
    </row>
    <row r="43" spans="2:16" s="930" customFormat="1" ht="6.75" customHeight="1" x14ac:dyDescent="0.2">
      <c r="C43" s="1554"/>
      <c r="D43" s="586"/>
      <c r="E43" s="586"/>
      <c r="F43" s="586"/>
      <c r="G43" s="586"/>
    </row>
    <row r="44" spans="2:16" s="930" customFormat="1" x14ac:dyDescent="0.2">
      <c r="B44" s="378">
        <f>B42+1</f>
        <v>17</v>
      </c>
      <c r="C44" s="1551" t="str">
        <f>IF(('A-00 ID'!E44=""),"   UZA 5? ","")</f>
        <v xml:space="preserve">   UZA 5? </v>
      </c>
      <c r="D44" s="1552"/>
      <c r="E44" s="662"/>
      <c r="F44" s="1552"/>
      <c r="G44" s="1552"/>
    </row>
    <row r="45" spans="2:16" s="930" customFormat="1" ht="6.75" customHeight="1" x14ac:dyDescent="0.2">
      <c r="C45" s="1554"/>
      <c r="D45" s="586"/>
      <c r="E45" s="586"/>
      <c r="F45" s="586"/>
      <c r="G45" s="586"/>
    </row>
    <row r="46" spans="2:16" s="930" customFormat="1" x14ac:dyDescent="0.2">
      <c r="B46" s="378">
        <f>B44+1</f>
        <v>18</v>
      </c>
      <c r="C46" s="1551" t="str">
        <f>IF(('A-00 ID'!E46=""),"   UZA 6? ","")</f>
        <v xml:space="preserve">   UZA 6? </v>
      </c>
      <c r="D46" s="1552"/>
      <c r="E46" s="662"/>
      <c r="F46" s="1552"/>
      <c r="G46" s="1552"/>
    </row>
    <row r="47" spans="2:16" s="930" customFormat="1" ht="6.75" customHeight="1" x14ac:dyDescent="0.2">
      <c r="C47" s="1554"/>
      <c r="D47" s="586"/>
      <c r="E47" s="586"/>
      <c r="F47" s="586"/>
      <c r="G47" s="586"/>
    </row>
    <row r="48" spans="2:16" s="930" customFormat="1" x14ac:dyDescent="0.2">
      <c r="B48" s="378">
        <f>B46+1</f>
        <v>19</v>
      </c>
      <c r="C48" s="1551" t="str">
        <f>IF(('A-00 ID'!E48=""),"   UZA 7? ","")</f>
        <v xml:space="preserve">   UZA 7? </v>
      </c>
      <c r="D48" s="1552"/>
      <c r="E48" s="662"/>
      <c r="F48" s="1552"/>
      <c r="G48" s="1552"/>
    </row>
    <row r="49" spans="2:14" s="930" customFormat="1" ht="6.75" customHeight="1" x14ac:dyDescent="0.2">
      <c r="C49" s="1554"/>
      <c r="D49" s="586"/>
      <c r="E49" s="586"/>
      <c r="F49" s="586"/>
      <c r="G49" s="586"/>
    </row>
    <row r="50" spans="2:14" s="930" customFormat="1" x14ac:dyDescent="0.2">
      <c r="B50" s="378">
        <f>B48+1</f>
        <v>20</v>
      </c>
      <c r="C50" s="1551" t="str">
        <f>IF(('A-00 ID'!E50=""),"   UZA 8? ","")</f>
        <v xml:space="preserve">   UZA 8? </v>
      </c>
      <c r="D50" s="1552"/>
      <c r="E50" s="662"/>
      <c r="F50" s="1552"/>
      <c r="G50" s="1552"/>
    </row>
    <row r="51" spans="2:14" s="930" customFormat="1" ht="6.75" customHeight="1" x14ac:dyDescent="0.2">
      <c r="C51" s="1554"/>
      <c r="D51" s="586"/>
      <c r="E51" s="586"/>
      <c r="F51" s="586"/>
      <c r="G51" s="586"/>
    </row>
    <row r="52" spans="2:14" s="930" customFormat="1" x14ac:dyDescent="0.2">
      <c r="B52" s="378">
        <f>B50+1</f>
        <v>21</v>
      </c>
      <c r="C52" s="1551" t="str">
        <f>IF(('A-00 ID'!E52=""),"   UZA 9? ","")</f>
        <v xml:space="preserve">   UZA 9? </v>
      </c>
      <c r="D52" s="1552"/>
      <c r="E52" s="662"/>
      <c r="F52" s="1552"/>
      <c r="G52" s="1552"/>
    </row>
    <row r="53" spans="2:14" s="930" customFormat="1" ht="6.75" customHeight="1" x14ac:dyDescent="0.2">
      <c r="C53" s="1554"/>
      <c r="D53" s="586"/>
      <c r="E53" s="586"/>
      <c r="F53" s="586"/>
      <c r="G53" s="586"/>
    </row>
    <row r="54" spans="2:14" s="930" customFormat="1" x14ac:dyDescent="0.2">
      <c r="B54" s="378">
        <f>B52+1</f>
        <v>22</v>
      </c>
      <c r="C54" s="1551" t="str">
        <f>IF(('A-00 ID'!E54=""),"   UZA 10? ","")</f>
        <v xml:space="preserve">   UZA 10? </v>
      </c>
      <c r="D54" s="1552"/>
      <c r="E54" s="662"/>
      <c r="F54" s="1552"/>
      <c r="G54" s="1552"/>
    </row>
    <row r="55" spans="2:14" s="930" customFormat="1" x14ac:dyDescent="0.2"/>
    <row r="56" spans="2:14" s="930" customFormat="1" x14ac:dyDescent="0.2">
      <c r="C56" s="2052" t="s">
        <v>1678</v>
      </c>
      <c r="D56" s="2053"/>
      <c r="E56" s="2053"/>
      <c r="F56" s="2053"/>
      <c r="G56" s="2053"/>
      <c r="H56" s="2053"/>
      <c r="I56" s="2053"/>
      <c r="J56" s="2053"/>
      <c r="K56" s="2053"/>
      <c r="L56" s="2053"/>
      <c r="M56" s="2053"/>
      <c r="N56" s="2054"/>
    </row>
    <row r="57" spans="2:14" s="930" customFormat="1" x14ac:dyDescent="0.2">
      <c r="C57" s="2055"/>
      <c r="D57" s="2056"/>
      <c r="E57" s="2056"/>
      <c r="F57" s="2056"/>
      <c r="G57" s="2056"/>
      <c r="H57" s="2056"/>
      <c r="I57" s="2056"/>
      <c r="J57" s="2056"/>
      <c r="K57" s="2056"/>
      <c r="L57" s="2056"/>
      <c r="M57" s="2056"/>
      <c r="N57" s="2057"/>
    </row>
    <row r="58" spans="2:14" s="930" customFormat="1" x14ac:dyDescent="0.2">
      <c r="C58" s="2058"/>
      <c r="D58" s="2059"/>
      <c r="E58" s="2059"/>
      <c r="F58" s="2059"/>
      <c r="G58" s="2059"/>
      <c r="H58" s="2059"/>
      <c r="I58" s="2059"/>
      <c r="J58" s="2059"/>
      <c r="K58" s="2059"/>
      <c r="L58" s="2059"/>
      <c r="M58" s="2059"/>
      <c r="N58" s="2060"/>
    </row>
    <row r="59" spans="2:14" s="930" customFormat="1" x14ac:dyDescent="0.2"/>
    <row r="60" spans="2:14" s="930" customFormat="1" x14ac:dyDescent="0.2"/>
    <row r="61" spans="2:14" s="908" customFormat="1" x14ac:dyDescent="0.2"/>
    <row r="62" spans="2:14" s="908" customFormat="1" x14ac:dyDescent="0.2"/>
    <row r="63" spans="2:14" s="908" customFormat="1" x14ac:dyDescent="0.2"/>
  </sheetData>
  <sheetProtection password="C82B" sheet="1" objects="1" scenarios="1" formatCells="0" formatColumns="0" formatRows="0" selectLockedCells="1" sort="0" autoFilter="0"/>
  <mergeCells count="2">
    <mergeCell ref="C56:N58"/>
    <mergeCell ref="C33:H34"/>
  </mergeCells>
  <phoneticPr fontId="0" type="noConversion"/>
  <dataValidations count="2">
    <dataValidation type="list" allowBlank="1" showInputMessage="1" showErrorMessage="1" sqref="E36 E54 E44 E42 E40 E38 E52 E46 E48 E50">
      <formula1>uza</formula1>
    </dataValidation>
    <dataValidation type="list" allowBlank="1" showInputMessage="1" showErrorMessage="1" sqref="E15">
      <formula1>StateCodes</formula1>
    </dataValidation>
  </dataValidations>
  <printOptions horizontalCentered="1"/>
  <pageMargins left="0.5" right="0.5" top="1"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BT213"/>
  <sheetViews>
    <sheetView showGridLines="0" zoomScaleNormal="100" workbookViewId="0">
      <pane xSplit="6" ySplit="11" topLeftCell="G12" activePane="bottomRight" state="frozen"/>
      <selection activeCell="C25" sqref="C25"/>
      <selection pane="topRight" activeCell="C25" sqref="C25"/>
      <selection pane="bottomLeft" activeCell="C25" sqref="C25"/>
      <selection pane="bottomRight" activeCell="J13" sqref="J13"/>
    </sheetView>
  </sheetViews>
  <sheetFormatPr defaultColWidth="9.140625" defaultRowHeight="12.75" x14ac:dyDescent="0.2"/>
  <cols>
    <col min="1" max="1" width="4.5703125" style="729" customWidth="1"/>
    <col min="2" max="2" width="2.7109375" style="730" customWidth="1"/>
    <col min="3" max="3" width="44.42578125" style="731" customWidth="1"/>
    <col min="4" max="4" width="1.42578125" style="729" customWidth="1"/>
    <col min="5" max="5" width="9.7109375" style="728" bestFit="1" customWidth="1"/>
    <col min="6" max="7" width="1.42578125" style="728" customWidth="1"/>
    <col min="8" max="8" width="9.7109375" style="728" customWidth="1"/>
    <col min="9" max="9" width="1.42578125" style="728" customWidth="1"/>
    <col min="10" max="10" width="28.5703125" style="732" customWidth="1"/>
    <col min="11" max="11" width="1.42578125" style="728" customWidth="1"/>
    <col min="12" max="12" width="17.140625" style="726" customWidth="1"/>
    <col min="13" max="13" width="1.42578125" style="728" customWidth="1"/>
    <col min="14" max="14" width="10.5703125" style="726" customWidth="1"/>
    <col min="15" max="15" width="1.42578125" style="728" customWidth="1"/>
    <col min="16" max="16" width="9" style="727" bestFit="1" customWidth="1"/>
    <col min="17" max="17" width="1.42578125" style="728" customWidth="1"/>
    <col min="18" max="18" width="20.28515625" style="728" customWidth="1"/>
    <col min="19" max="19" width="1.42578125" style="728" customWidth="1"/>
    <col min="20" max="20" width="31.7109375" style="728" customWidth="1"/>
    <col min="21" max="21" width="1.42578125" style="728" customWidth="1"/>
    <col min="22" max="22" width="14" style="728" bestFit="1" customWidth="1"/>
    <col min="23" max="23" width="1.42578125" style="728" customWidth="1"/>
    <col min="24" max="24" width="10.42578125" style="735" customWidth="1"/>
    <col min="25" max="25" width="1.42578125" style="729" customWidth="1"/>
    <col min="26" max="26" width="8.28515625" style="716" bestFit="1" customWidth="1"/>
    <col min="27" max="27" width="1.42578125" style="729" customWidth="1"/>
    <col min="28" max="28" width="11.42578125" style="735" bestFit="1" customWidth="1"/>
    <col min="29" max="29" width="1.42578125" style="729" customWidth="1"/>
    <col min="30" max="30" width="11.42578125" style="735" bestFit="1" customWidth="1"/>
    <col min="31" max="31" width="1.42578125" style="729" customWidth="1"/>
    <col min="32" max="32" width="13.7109375" style="1723" customWidth="1"/>
    <col min="33" max="33" width="1.42578125" style="729" customWidth="1"/>
    <col min="34" max="34" width="57.140625" style="728" customWidth="1"/>
    <col min="35" max="35" width="9.140625" style="728" customWidth="1"/>
    <col min="36" max="36" width="1.42578125" style="728" customWidth="1"/>
    <col min="37" max="37" width="14.85546875" style="728" hidden="1" customWidth="1"/>
    <col min="38" max="38" width="34.140625" style="728" hidden="1" customWidth="1"/>
    <col min="39" max="39" width="15.28515625" style="728" hidden="1" customWidth="1"/>
    <col min="40" max="40" width="10.7109375" style="728" hidden="1" customWidth="1"/>
    <col min="41" max="41" width="9.42578125" style="728" hidden="1" customWidth="1"/>
    <col min="42" max="42" width="10.28515625" style="728" hidden="1" customWidth="1"/>
    <col min="43" max="43" width="9" style="728" hidden="1" customWidth="1"/>
    <col min="44" max="46" width="13.85546875" style="728" hidden="1" customWidth="1"/>
    <col min="47" max="47" width="14.140625" style="728" hidden="1" customWidth="1"/>
    <col min="48" max="49" width="20" style="729" hidden="1" customWidth="1"/>
    <col min="50" max="51" width="7.28515625" style="729" hidden="1" customWidth="1"/>
    <col min="52" max="52" width="8.140625" style="729" hidden="1" customWidth="1"/>
    <col min="53" max="53" width="8.5703125" style="729" hidden="1" customWidth="1"/>
    <col min="54" max="54" width="8.140625" style="729" hidden="1" customWidth="1"/>
    <col min="55" max="56" width="9.140625" style="729" hidden="1" customWidth="1"/>
    <col min="57" max="57" width="7.5703125" style="729" hidden="1" customWidth="1"/>
    <col min="58" max="58" width="8.140625" style="729" hidden="1" customWidth="1"/>
    <col min="59" max="59" width="3.28515625" style="716" hidden="1" customWidth="1"/>
    <col min="60" max="60" width="7.7109375" style="729" hidden="1" customWidth="1"/>
    <col min="61" max="63" width="8.140625" style="729" hidden="1" customWidth="1"/>
    <col min="64" max="64" width="6.85546875" style="729" hidden="1" customWidth="1"/>
    <col min="65" max="65" width="10.42578125" style="729" hidden="1" customWidth="1"/>
    <col min="66" max="66" width="1.42578125" style="717" hidden="1" customWidth="1"/>
    <col min="67" max="67" width="9.140625" style="716" hidden="1" customWidth="1"/>
    <col min="68" max="68" width="9.140625" style="729" hidden="1" customWidth="1"/>
    <col min="69" max="72" width="9.140625" style="729" customWidth="1"/>
    <col min="73" max="16384" width="9.140625" style="729"/>
  </cols>
  <sheetData>
    <row r="1" spans="1:70" s="667" customFormat="1" ht="20.25" x14ac:dyDescent="0.3">
      <c r="A1" s="748" t="s">
        <v>1689</v>
      </c>
      <c r="B1" s="608"/>
      <c r="C1" s="608"/>
      <c r="D1" s="608"/>
      <c r="E1" s="608"/>
      <c r="F1" s="608"/>
      <c r="G1" s="608"/>
      <c r="H1" s="608"/>
      <c r="I1" s="608"/>
      <c r="J1" s="608"/>
      <c r="K1" s="608"/>
      <c r="L1" s="608"/>
      <c r="M1" s="608"/>
      <c r="N1" s="608"/>
      <c r="O1" s="608"/>
      <c r="P1" s="608"/>
      <c r="Q1" s="608"/>
      <c r="R1" s="608"/>
      <c r="S1" s="608"/>
      <c r="T1" s="608"/>
      <c r="U1" s="608"/>
      <c r="V1" s="608"/>
      <c r="W1" s="608"/>
      <c r="X1" s="665"/>
      <c r="Y1" s="665"/>
      <c r="Z1" s="665"/>
      <c r="AA1" s="665"/>
      <c r="AB1" s="665"/>
      <c r="AC1" s="665"/>
      <c r="AD1" s="665"/>
      <c r="AE1" s="665"/>
      <c r="AF1" s="1713"/>
      <c r="AG1" s="665"/>
      <c r="AH1" s="608"/>
      <c r="AI1" s="608"/>
      <c r="AJ1" s="666"/>
      <c r="AK1" s="666"/>
      <c r="AL1" s="666"/>
      <c r="AM1" s="666"/>
      <c r="AN1" s="666"/>
      <c r="AO1" s="666"/>
      <c r="AP1" s="666"/>
      <c r="AQ1" s="666"/>
      <c r="AR1" s="666"/>
      <c r="AS1" s="666"/>
      <c r="AT1" s="666"/>
      <c r="AU1" s="666"/>
      <c r="AW1" s="1725"/>
      <c r="BA1" s="1726"/>
      <c r="BB1" s="1726"/>
      <c r="BC1" s="1726"/>
      <c r="BD1" s="1726"/>
      <c r="BE1" s="1726"/>
      <c r="BF1" s="1727"/>
      <c r="BH1" s="1726"/>
      <c r="BI1" s="1726"/>
      <c r="BJ1" s="1726"/>
      <c r="BK1" s="1726"/>
      <c r="BL1" s="1726"/>
      <c r="BM1" s="1726"/>
      <c r="BN1" s="1728"/>
      <c r="BO1" s="1711" t="s">
        <v>2411</v>
      </c>
      <c r="BP1" s="924">
        <f>COUNTIFS($BO:$BO, "&gt;0")</f>
        <v>0</v>
      </c>
      <c r="BQ1" s="1726"/>
      <c r="BR1" s="1726"/>
    </row>
    <row r="2" spans="1:70" s="679" customFormat="1" x14ac:dyDescent="0.2">
      <c r="A2" s="670"/>
      <c r="B2" s="670"/>
      <c r="C2" s="671" t="str">
        <f>VLOOKUP(COLUMN(),Columns,2,FALSE)</f>
        <v>c</v>
      </c>
      <c r="D2" s="672"/>
      <c r="E2" s="671"/>
      <c r="F2" s="673"/>
      <c r="G2" s="673"/>
      <c r="H2" s="674" t="str">
        <f>VLOOKUP(COLUMN(),Columns,2,FALSE)</f>
        <v>h</v>
      </c>
      <c r="I2" s="673"/>
      <c r="J2" s="674" t="str">
        <f>VLOOKUP(COLUMN(),Columns,2,FALSE)</f>
        <v>j</v>
      </c>
      <c r="K2" s="672"/>
      <c r="L2" s="675" t="str">
        <f>VLOOKUP(COLUMN(),Columns,2,FALSE)</f>
        <v>l</v>
      </c>
      <c r="M2" s="676"/>
      <c r="N2" s="675" t="str">
        <f>VLOOKUP(COLUMN(),Columns,2,FALSE)</f>
        <v>n</v>
      </c>
      <c r="O2" s="676"/>
      <c r="P2" s="677" t="str">
        <f>VLOOKUP(COLUMN(),Columns,2,FALSE)</f>
        <v>p</v>
      </c>
      <c r="Q2" s="676"/>
      <c r="R2" s="671" t="str">
        <f>VLOOKUP(COLUMN(),Columns,2,FALSE)</f>
        <v>r</v>
      </c>
      <c r="S2" s="678"/>
      <c r="T2" s="671" t="str">
        <f>VLOOKUP(COLUMN(),Columns,2,FALSE)</f>
        <v>t</v>
      </c>
      <c r="U2" s="672"/>
      <c r="V2" s="671" t="str">
        <f>VLOOKUP(COLUMN(),Columns,2,FALSE)</f>
        <v>v</v>
      </c>
      <c r="W2" s="672"/>
      <c r="X2" s="671" t="str">
        <f>VLOOKUP(COLUMN(),Columns,2,FALSE)</f>
        <v>x</v>
      </c>
      <c r="Y2" s="671"/>
      <c r="Z2" s="671" t="str">
        <f>VLOOKUP(COLUMN(),Columns,2,FALSE)</f>
        <v>z</v>
      </c>
      <c r="AA2" s="671"/>
      <c r="AB2" s="671" t="str">
        <f>VLOOKUP(COLUMN(),Columns,2,FALSE)</f>
        <v>ab</v>
      </c>
      <c r="AC2" s="671"/>
      <c r="AD2" s="671" t="str">
        <f>VLOOKUP(COLUMN(),Columns,2,FALSE)</f>
        <v>ad</v>
      </c>
      <c r="AE2" s="671"/>
      <c r="AF2" s="1714" t="str">
        <f>VLOOKUP(COLUMN(),Columns,2,FALSE)</f>
        <v>af</v>
      </c>
      <c r="AG2" s="671"/>
      <c r="AH2" s="671" t="str">
        <f>VLOOKUP(COLUMN(),Columns,2,FALSE)</f>
        <v>ah</v>
      </c>
      <c r="AI2" s="673"/>
      <c r="BG2" s="680"/>
      <c r="BN2" s="680"/>
      <c r="BO2" s="1711" t="s">
        <v>2412</v>
      </c>
      <c r="BP2" s="924">
        <f>COUNTIFS($BO:$BO, 1)+COUNTIFS($BO:$BO,2)</f>
        <v>0</v>
      </c>
    </row>
    <row r="3" spans="1:70" s="681" customFormat="1" x14ac:dyDescent="0.2">
      <c r="A3" s="149"/>
      <c r="B3" s="149"/>
      <c r="C3" s="150" t="str">
        <f>IF($AL$7&gt;0,"Check Data Values in Cols. "&amp;$J$2&amp;" to "&amp;$AF$2,"NO BAD DATA")</f>
        <v>NO BAD DATA</v>
      </c>
      <c r="D3" s="149"/>
      <c r="E3" s="149"/>
      <c r="F3" s="149"/>
      <c r="G3" s="149"/>
      <c r="H3" s="149"/>
      <c r="I3" s="149"/>
      <c r="J3" s="149"/>
      <c r="K3" s="149"/>
      <c r="L3" s="149"/>
      <c r="M3" s="149"/>
      <c r="N3" s="149"/>
      <c r="O3" s="149"/>
      <c r="P3" s="149"/>
      <c r="Q3" s="149"/>
      <c r="R3" s="149"/>
      <c r="S3" s="149"/>
      <c r="T3" s="149"/>
      <c r="U3" s="149"/>
      <c r="V3" s="149" t="str">
        <f>IF($AV$7&gt;=1,"Bad Data","")</f>
        <v/>
      </c>
      <c r="W3" s="149"/>
      <c r="X3" s="149" t="str">
        <f>IF($AX$7&gt;=1,"Bad Data","")</f>
        <v/>
      </c>
      <c r="Y3" s="149"/>
      <c r="Z3" s="149" t="str">
        <f>IF($BA$7&gt;=1,"Bad Data","")</f>
        <v/>
      </c>
      <c r="AA3" s="149"/>
      <c r="AB3" s="149" t="str">
        <f>IF($BC$7&gt;=1,"Bad Data","")</f>
        <v/>
      </c>
      <c r="AC3" s="149"/>
      <c r="AD3" s="149" t="str">
        <f>IF($BC$7&gt;=1,"Bad Data","")</f>
        <v/>
      </c>
      <c r="AE3" s="149"/>
      <c r="AF3" s="1715" t="str">
        <f>IF($AV$7&gt;=1,"Bad Data","")</f>
        <v/>
      </c>
      <c r="AG3" s="149"/>
      <c r="AH3" s="149"/>
      <c r="AI3" s="149"/>
      <c r="AJ3" s="258"/>
      <c r="AK3" s="258"/>
      <c r="AL3" s="258"/>
      <c r="AM3" s="258" t="s">
        <v>347</v>
      </c>
      <c r="AN3" s="258" t="s">
        <v>347</v>
      </c>
      <c r="AO3" s="258" t="s">
        <v>347</v>
      </c>
      <c r="AP3" s="258" t="s">
        <v>347</v>
      </c>
      <c r="AQ3" s="258" t="s">
        <v>347</v>
      </c>
      <c r="AR3" s="258" t="s">
        <v>347</v>
      </c>
      <c r="AS3" s="258" t="s">
        <v>347</v>
      </c>
      <c r="AT3" s="258"/>
      <c r="AU3" s="258" t="s">
        <v>347</v>
      </c>
      <c r="AV3" s="258" t="s">
        <v>347</v>
      </c>
      <c r="AW3" s="258" t="s">
        <v>347</v>
      </c>
      <c r="AX3" s="258" t="s">
        <v>347</v>
      </c>
      <c r="AY3" s="258"/>
      <c r="AZ3" s="258" t="s">
        <v>347</v>
      </c>
      <c r="BA3" s="258" t="s">
        <v>347</v>
      </c>
      <c r="BB3" s="258" t="s">
        <v>347</v>
      </c>
      <c r="BC3" s="258" t="s">
        <v>347</v>
      </c>
      <c r="BD3" s="258" t="s">
        <v>347</v>
      </c>
      <c r="BE3" s="258" t="s">
        <v>347</v>
      </c>
      <c r="BF3" s="258" t="s">
        <v>347</v>
      </c>
      <c r="BG3" s="258"/>
      <c r="BH3" s="281">
        <f>Valid!G1</f>
        <v>6</v>
      </c>
      <c r="BI3" s="281">
        <f>Valid!D1</f>
        <v>3</v>
      </c>
      <c r="BJ3" s="281">
        <f>Valid!E1</f>
        <v>4</v>
      </c>
      <c r="BK3" s="281"/>
      <c r="BL3" s="281">
        <f>Valid!H1</f>
        <v>7</v>
      </c>
      <c r="BM3" s="281">
        <f>Valid!I1</f>
        <v>8</v>
      </c>
      <c r="BN3" s="258"/>
      <c r="BO3" s="258"/>
    </row>
    <row r="4" spans="1:70" s="686" customFormat="1" x14ac:dyDescent="0.2">
      <c r="A4" s="682"/>
      <c r="B4" s="682"/>
      <c r="C4" s="150" t="str">
        <f ca="1">IF($AL$8&gt;0,"Check for Missing Data in Cols. "&amp;$J$2&amp;" to "&amp;$AF$2,"NO MISSING DATA")</f>
        <v>NO MISSING DATA</v>
      </c>
      <c r="D4" s="682"/>
      <c r="E4" s="248"/>
      <c r="F4" s="250"/>
      <c r="G4" s="250"/>
      <c r="H4" s="250"/>
      <c r="I4" s="250"/>
      <c r="J4" s="248" t="str">
        <f>IF($AN$8&gt;=1,"Address?","")</f>
        <v/>
      </c>
      <c r="K4" s="682"/>
      <c r="L4" s="247" t="str">
        <f>IF($AO$8&gt;=1,"City?","")</f>
        <v/>
      </c>
      <c r="M4" s="247"/>
      <c r="N4" s="247" t="str">
        <f>IF($AP$8&gt;=1,"State?","")</f>
        <v/>
      </c>
      <c r="O4" s="247"/>
      <c r="P4" s="249" t="str">
        <f>IF($AQ$8&gt;=1,"Zip Code?","")</f>
        <v/>
      </c>
      <c r="Q4" s="247"/>
      <c r="R4" s="149" t="str">
        <f>IF($AR$8&gt;=1,"Mode?","")</f>
        <v/>
      </c>
      <c r="S4" s="147"/>
      <c r="T4" s="250" t="str">
        <f>IF($AU$8&gt;=1,"Facility Type?","")</f>
        <v/>
      </c>
      <c r="U4" s="250"/>
      <c r="V4" s="250" t="str">
        <f>IF($AW$8&gt;=1,"Year Built?","")</f>
        <v/>
      </c>
      <c r="W4" s="250"/>
      <c r="X4" s="250" t="str">
        <f>IF($AZ$8&gt;=1,"Square Feet?","")</f>
        <v/>
      </c>
      <c r="Y4" s="149"/>
      <c r="Z4" s="250" t="str">
        <f>IF($BB$8&gt;=1,"% Resp?","")</f>
        <v/>
      </c>
      <c r="AA4" s="149"/>
      <c r="AB4" s="250" t="str">
        <f ca="1">IF($BD$8&gt;=1,"Loaded Cost?","")</f>
        <v/>
      </c>
      <c r="AC4" s="149"/>
      <c r="AD4" s="250" t="str">
        <f ca="1">IF($BD$8&gt;=1,"Loaded Cost?","")</f>
        <v/>
      </c>
      <c r="AE4" s="149"/>
      <c r="AF4" s="1716" t="str">
        <f>IF($BF$8&gt;=1,"Year $?","")</f>
        <v/>
      </c>
      <c r="AG4" s="149"/>
      <c r="AH4" s="250"/>
      <c r="AI4" s="250"/>
      <c r="AJ4" s="259"/>
      <c r="AK4" s="259"/>
      <c r="AL4" s="259"/>
      <c r="AM4" s="683" t="s">
        <v>199</v>
      </c>
      <c r="AN4" s="684"/>
      <c r="AO4" s="684"/>
      <c r="AP4" s="684"/>
      <c r="AQ4" s="684"/>
      <c r="AR4" s="684"/>
      <c r="AS4" s="684"/>
      <c r="AT4" s="684"/>
      <c r="AU4" s="684"/>
      <c r="AV4" s="684"/>
      <c r="AW4" s="684"/>
      <c r="AX4" s="684"/>
      <c r="AY4" s="684"/>
      <c r="AZ4" s="684"/>
      <c r="BA4" s="684"/>
      <c r="BB4" s="684"/>
      <c r="BC4" s="684"/>
      <c r="BD4" s="684"/>
      <c r="BE4" s="684"/>
      <c r="BF4" s="684"/>
      <c r="BG4" s="685"/>
      <c r="BN4" s="259"/>
      <c r="BO4" s="1711" t="s">
        <v>2418</v>
      </c>
      <c r="BP4" s="924">
        <f>COUNTIFS($BO:$BO, 1,$Z:$Z,"&gt;0")+COUNTIFS($BO:$BO, 2,$Z:$Z,"&gt;0")</f>
        <v>0</v>
      </c>
    </row>
    <row r="5" spans="1:70" s="686" customFormat="1" x14ac:dyDescent="0.2">
      <c r="AJ5" s="681"/>
      <c r="AK5" s="1559"/>
      <c r="AL5" s="1559"/>
      <c r="AM5" s="1560" t="s">
        <v>82</v>
      </c>
      <c r="AN5" s="1561" t="s">
        <v>235</v>
      </c>
      <c r="AO5" s="1561" t="s">
        <v>19</v>
      </c>
      <c r="AP5" s="1561" t="s">
        <v>425</v>
      </c>
      <c r="AQ5" s="1561" t="s">
        <v>483</v>
      </c>
      <c r="AR5" s="1560" t="s">
        <v>162</v>
      </c>
      <c r="AS5" s="920" t="s">
        <v>2409</v>
      </c>
      <c r="AT5" s="1562"/>
      <c r="AU5" s="1563"/>
      <c r="AV5" s="2062" t="s">
        <v>1020</v>
      </c>
      <c r="AW5" s="2063"/>
      <c r="AX5" s="920" t="s">
        <v>202</v>
      </c>
      <c r="AY5" s="1562"/>
      <c r="AZ5" s="1564"/>
      <c r="BA5" s="920" t="s">
        <v>492</v>
      </c>
      <c r="BB5" s="1564"/>
      <c r="BC5" s="1563" t="s">
        <v>2405</v>
      </c>
      <c r="BD5" s="1564"/>
      <c r="BE5" s="920" t="s">
        <v>2406</v>
      </c>
      <c r="BF5" s="1564"/>
      <c r="BG5" s="699"/>
      <c r="BH5" s="1565" t="s">
        <v>300</v>
      </c>
      <c r="BI5" s="1566"/>
      <c r="BJ5" s="1566"/>
      <c r="BK5" s="1566"/>
      <c r="BL5" s="1566"/>
      <c r="BM5" s="1566"/>
      <c r="BN5" s="1259"/>
      <c r="BO5" s="685"/>
    </row>
    <row r="6" spans="1:70" s="782" customFormat="1" x14ac:dyDescent="0.2">
      <c r="B6" s="1567"/>
      <c r="C6" s="817"/>
      <c r="D6" s="1567"/>
      <c r="E6" s="737"/>
      <c r="F6" s="758"/>
      <c r="G6" s="758"/>
      <c r="H6" s="1568" t="s">
        <v>2324</v>
      </c>
      <c r="I6" s="758"/>
      <c r="J6" s="1569"/>
      <c r="K6" s="1558"/>
      <c r="L6" s="1556"/>
      <c r="M6" s="1558"/>
      <c r="N6" s="1556"/>
      <c r="O6" s="1558"/>
      <c r="P6" s="1557"/>
      <c r="Q6" s="1558"/>
      <c r="R6" s="1570"/>
      <c r="S6" s="1571"/>
      <c r="T6" s="1558"/>
      <c r="U6" s="1558"/>
      <c r="V6" s="737"/>
      <c r="W6" s="1558"/>
      <c r="X6" s="758"/>
      <c r="Y6" s="758"/>
      <c r="Z6" s="737" t="s">
        <v>200</v>
      </c>
      <c r="AA6" s="758"/>
      <c r="AB6" s="758"/>
      <c r="AC6" s="758"/>
      <c r="AD6" s="758"/>
      <c r="AE6" s="758"/>
      <c r="AF6" s="1717"/>
      <c r="AG6" s="758"/>
      <c r="AH6" s="758"/>
      <c r="AI6" s="1572"/>
      <c r="AJ6" s="1572"/>
      <c r="AK6" s="1559"/>
      <c r="AL6" s="1559"/>
      <c r="AM6" s="1573" t="s">
        <v>201</v>
      </c>
      <c r="AN6" s="1574" t="s">
        <v>201</v>
      </c>
      <c r="AO6" s="1574" t="s">
        <v>201</v>
      </c>
      <c r="AP6" s="1574" t="s">
        <v>201</v>
      </c>
      <c r="AQ6" s="1574" t="s">
        <v>201</v>
      </c>
      <c r="AR6" s="1573" t="s">
        <v>201</v>
      </c>
      <c r="AS6" s="1575" t="s">
        <v>201</v>
      </c>
      <c r="AT6" s="1576" t="s">
        <v>2314</v>
      </c>
      <c r="AU6" s="1574" t="s">
        <v>201</v>
      </c>
      <c r="AV6" s="1575" t="s">
        <v>201</v>
      </c>
      <c r="AW6" s="1575" t="s">
        <v>201</v>
      </c>
      <c r="AX6" s="1575" t="s">
        <v>2243</v>
      </c>
      <c r="AY6" s="1575" t="s">
        <v>2308</v>
      </c>
      <c r="AZ6" s="1575" t="s">
        <v>201</v>
      </c>
      <c r="BA6" s="1575" t="s">
        <v>201</v>
      </c>
      <c r="BB6" s="1575" t="s">
        <v>201</v>
      </c>
      <c r="BC6" s="1575" t="s">
        <v>201</v>
      </c>
      <c r="BD6" s="1575" t="s">
        <v>201</v>
      </c>
      <c r="BE6" s="1575" t="s">
        <v>57</v>
      </c>
      <c r="BF6" s="1575" t="s">
        <v>201</v>
      </c>
      <c r="BG6" s="705"/>
      <c r="BH6" s="613" t="s">
        <v>95</v>
      </c>
      <c r="BI6" s="613" t="s">
        <v>585</v>
      </c>
      <c r="BJ6" s="627" t="s">
        <v>585</v>
      </c>
      <c r="BK6" s="627" t="s">
        <v>275</v>
      </c>
      <c r="BL6" s="613" t="s">
        <v>586</v>
      </c>
      <c r="BM6" s="613" t="s">
        <v>586</v>
      </c>
      <c r="BN6" s="1242"/>
      <c r="BO6" s="1586" t="s">
        <v>2402</v>
      </c>
    </row>
    <row r="7" spans="1:70" s="1577" customFormat="1" x14ac:dyDescent="0.2">
      <c r="B7" s="1578"/>
      <c r="C7" s="817"/>
      <c r="D7" s="1578"/>
      <c r="E7" s="737"/>
      <c r="F7" s="756"/>
      <c r="G7" s="756"/>
      <c r="H7" s="1568" t="s">
        <v>2325</v>
      </c>
      <c r="I7" s="756"/>
      <c r="J7" s="1579"/>
      <c r="K7" s="823"/>
      <c r="L7" s="1580"/>
      <c r="M7" s="823"/>
      <c r="N7" s="1580"/>
      <c r="O7" s="823"/>
      <c r="P7" s="1581"/>
      <c r="Q7" s="823"/>
      <c r="R7" s="1582"/>
      <c r="S7" s="1583"/>
      <c r="T7" s="736" t="s">
        <v>1690</v>
      </c>
      <c r="U7" s="823"/>
      <c r="V7" s="737"/>
      <c r="W7" s="823"/>
      <c r="X7" s="758"/>
      <c r="Y7" s="758"/>
      <c r="Z7" s="737" t="s">
        <v>25</v>
      </c>
      <c r="AA7" s="758"/>
      <c r="AB7" s="737"/>
      <c r="AC7" s="737"/>
      <c r="AD7" s="737"/>
      <c r="AE7" s="737"/>
      <c r="AF7" s="737" t="s">
        <v>2163</v>
      </c>
      <c r="AG7" s="737"/>
      <c r="AH7" s="756"/>
      <c r="AI7" s="1584"/>
      <c r="AJ7" s="1584"/>
      <c r="AK7" s="1585" t="s">
        <v>301</v>
      </c>
      <c r="AL7" s="1585">
        <f>SUM(AM7:BF7)</f>
        <v>0</v>
      </c>
      <c r="AM7" s="1265"/>
      <c r="AN7" s="1265"/>
      <c r="AO7" s="1265"/>
      <c r="AP7" s="1265"/>
      <c r="AQ7" s="1265"/>
      <c r="AR7" s="1265"/>
      <c r="AS7" s="1265"/>
      <c r="AT7" s="1265"/>
      <c r="AU7" s="1265"/>
      <c r="AV7" s="1265">
        <f>COUNTIF(AV$13:AV$1048576,"True")</f>
        <v>0</v>
      </c>
      <c r="AW7" s="1265"/>
      <c r="AX7" s="1265">
        <f>COUNTIF(AX$13:AX$1048576,"True")</f>
        <v>0</v>
      </c>
      <c r="AY7" s="1265"/>
      <c r="AZ7" s="1265"/>
      <c r="BA7" s="1265">
        <f>COUNTIF(BA$13:BA$1048576,"True")</f>
        <v>0</v>
      </c>
      <c r="BB7" s="1265"/>
      <c r="BC7" s="1265"/>
      <c r="BD7" s="1265"/>
      <c r="BE7" s="1265">
        <f>COUNTIF(BE$13:BE$1048576,"True")</f>
        <v>0</v>
      </c>
      <c r="BF7" s="1265"/>
      <c r="BG7" s="705"/>
      <c r="BH7" s="613" t="s">
        <v>39</v>
      </c>
      <c r="BI7" s="613" t="s">
        <v>60</v>
      </c>
      <c r="BJ7" s="627" t="s">
        <v>61</v>
      </c>
      <c r="BK7" s="627" t="s">
        <v>2392</v>
      </c>
      <c r="BL7" s="613" t="s">
        <v>60</v>
      </c>
      <c r="BM7" s="613" t="s">
        <v>61</v>
      </c>
      <c r="BN7" s="699"/>
      <c r="BO7" s="1586" t="s">
        <v>2403</v>
      </c>
    </row>
    <row r="8" spans="1:70" s="1577" customFormat="1" x14ac:dyDescent="0.2">
      <c r="B8" s="1578"/>
      <c r="C8" s="1587"/>
      <c r="D8" s="1578"/>
      <c r="E8" s="736" t="s">
        <v>197</v>
      </c>
      <c r="F8" s="756"/>
      <c r="G8" s="756"/>
      <c r="H8" s="1568" t="s">
        <v>2326</v>
      </c>
      <c r="I8" s="756"/>
      <c r="J8" s="1588"/>
      <c r="L8" s="1589"/>
      <c r="M8" s="823"/>
      <c r="N8" s="1589"/>
      <c r="O8" s="823"/>
      <c r="P8" s="1590"/>
      <c r="Q8" s="823"/>
      <c r="R8" s="1582"/>
      <c r="S8" s="1583"/>
      <c r="T8" s="736" t="s">
        <v>1691</v>
      </c>
      <c r="U8" s="823"/>
      <c r="V8" s="737" t="s">
        <v>2623</v>
      </c>
      <c r="W8" s="823"/>
      <c r="X8" s="756"/>
      <c r="Y8" s="756"/>
      <c r="Z8" s="737" t="s">
        <v>148</v>
      </c>
      <c r="AA8" s="756"/>
      <c r="AB8" s="737" t="s">
        <v>2163</v>
      </c>
      <c r="AC8" s="737"/>
      <c r="AD8" s="737"/>
      <c r="AE8" s="737"/>
      <c r="AF8" s="737" t="s">
        <v>2404</v>
      </c>
      <c r="AG8" s="737"/>
      <c r="AH8" s="756"/>
      <c r="AI8" s="1584"/>
      <c r="AJ8" s="1584"/>
      <c r="AK8" s="1585" t="s">
        <v>302</v>
      </c>
      <c r="AL8" s="1585">
        <f ca="1">SUM(AM8:BF8)</f>
        <v>0</v>
      </c>
      <c r="AM8" s="1265">
        <f t="shared" ref="AM8:AS8" ca="1" si="0">COUNTIF(AM$13:AM$1048576,"True")</f>
        <v>0</v>
      </c>
      <c r="AN8" s="1265">
        <f t="shared" si="0"/>
        <v>0</v>
      </c>
      <c r="AO8" s="1265">
        <f t="shared" si="0"/>
        <v>0</v>
      </c>
      <c r="AP8" s="1265">
        <f t="shared" si="0"/>
        <v>0</v>
      </c>
      <c r="AQ8" s="1265">
        <f t="shared" si="0"/>
        <v>0</v>
      </c>
      <c r="AR8" s="1265">
        <f t="shared" si="0"/>
        <v>0</v>
      </c>
      <c r="AS8" s="1265">
        <f t="shared" si="0"/>
        <v>0</v>
      </c>
      <c r="AT8" s="1265"/>
      <c r="AU8" s="1265">
        <f>COUNTIF(AU$13:AU$1048576,"True")</f>
        <v>0</v>
      </c>
      <c r="AV8" s="1265"/>
      <c r="AW8" s="1265">
        <f>COUNTIF(AW$13:AW$1048576,"True")</f>
        <v>0</v>
      </c>
      <c r="AX8" s="1265"/>
      <c r="AY8" s="1265"/>
      <c r="AZ8" s="1265">
        <f>COUNTIF(AZ$13:AZ$1048576,"True")</f>
        <v>0</v>
      </c>
      <c r="BA8" s="1265"/>
      <c r="BB8" s="1265">
        <f>COUNTIF(BB$13:BB$1048576,"True")</f>
        <v>0</v>
      </c>
      <c r="BC8" s="1265"/>
      <c r="BD8" s="1265">
        <f ca="1">COUNTIF(BD$13:BD$1048576,"True")</f>
        <v>0</v>
      </c>
      <c r="BE8" s="1265"/>
      <c r="BF8" s="1265">
        <f>COUNTIF(BF$13:BF$1048576,"True")</f>
        <v>0</v>
      </c>
      <c r="BG8" s="711"/>
      <c r="BH8" s="1592"/>
      <c r="BI8" s="1592"/>
      <c r="BJ8" s="1593"/>
      <c r="BK8" s="1593"/>
      <c r="BL8" s="1592"/>
      <c r="BM8" s="1592"/>
      <c r="BN8" s="699"/>
      <c r="BO8" s="1586"/>
    </row>
    <row r="9" spans="1:70" s="1577" customFormat="1" x14ac:dyDescent="0.2">
      <c r="A9" s="1584"/>
      <c r="B9" s="699"/>
      <c r="C9" s="736"/>
      <c r="D9" s="699"/>
      <c r="E9" s="736" t="s">
        <v>484</v>
      </c>
      <c r="F9" s="756"/>
      <c r="G9" s="756"/>
      <c r="H9" s="1568" t="s">
        <v>2327</v>
      </c>
      <c r="I9" s="756"/>
      <c r="J9" s="1594"/>
      <c r="K9" s="737"/>
      <c r="L9" s="1595"/>
      <c r="M9" s="737"/>
      <c r="N9" s="1595"/>
      <c r="O9" s="737"/>
      <c r="P9" s="1596"/>
      <c r="Q9" s="737"/>
      <c r="R9" s="1597" t="s">
        <v>162</v>
      </c>
      <c r="S9" s="1598"/>
      <c r="T9" s="736" t="s">
        <v>275</v>
      </c>
      <c r="U9" s="737"/>
      <c r="V9" s="737" t="s">
        <v>1692</v>
      </c>
      <c r="W9" s="737"/>
      <c r="X9" s="737" t="s">
        <v>99</v>
      </c>
      <c r="Y9" s="823"/>
      <c r="Z9" s="737" t="s">
        <v>501</v>
      </c>
      <c r="AA9" s="823"/>
      <c r="AB9" s="737" t="s">
        <v>2402</v>
      </c>
      <c r="AC9" s="823"/>
      <c r="AD9" s="737" t="s">
        <v>2402</v>
      </c>
      <c r="AE9" s="823"/>
      <c r="AF9" s="1718" t="s">
        <v>2402</v>
      </c>
      <c r="AG9" s="823"/>
      <c r="AH9" s="737"/>
      <c r="AL9" s="1599" t="s">
        <v>500</v>
      </c>
      <c r="AM9" s="1600" t="str">
        <f ca="1">IF(OR(AM7&gt;=1,AM8&gt;=1),AM10,"")</f>
        <v/>
      </c>
      <c r="AN9" s="1600" t="str">
        <f t="shared" ref="AN9:BF9" si="1">IF(OR(AN7&gt;=1,AN8&gt;=1),AN10,"")</f>
        <v/>
      </c>
      <c r="AO9" s="1600" t="str">
        <f t="shared" si="1"/>
        <v/>
      </c>
      <c r="AP9" s="1600" t="str">
        <f t="shared" si="1"/>
        <v/>
      </c>
      <c r="AQ9" s="1600" t="str">
        <f t="shared" si="1"/>
        <v/>
      </c>
      <c r="AR9" s="1600" t="str">
        <f t="shared" si="1"/>
        <v/>
      </c>
      <c r="AS9" s="1600"/>
      <c r="AT9" s="1600"/>
      <c r="AU9" s="1600" t="str">
        <f t="shared" si="1"/>
        <v/>
      </c>
      <c r="AV9" s="1600" t="str">
        <f t="shared" si="1"/>
        <v/>
      </c>
      <c r="AW9" s="1600" t="str">
        <f t="shared" si="1"/>
        <v/>
      </c>
      <c r="AX9" s="1600" t="str">
        <f t="shared" si="1"/>
        <v/>
      </c>
      <c r="AY9" s="1600"/>
      <c r="AZ9" s="1600" t="str">
        <f t="shared" si="1"/>
        <v/>
      </c>
      <c r="BA9" s="1600" t="str">
        <f t="shared" si="1"/>
        <v/>
      </c>
      <c r="BB9" s="1600" t="str">
        <f t="shared" si="1"/>
        <v/>
      </c>
      <c r="BC9" s="1600" t="str">
        <f t="shared" si="1"/>
        <v/>
      </c>
      <c r="BD9" s="1600" t="str">
        <f t="shared" ca="1" si="1"/>
        <v/>
      </c>
      <c r="BE9" s="1600" t="str">
        <f t="shared" si="1"/>
        <v/>
      </c>
      <c r="BF9" s="1600" t="str">
        <f t="shared" si="1"/>
        <v/>
      </c>
      <c r="BG9" s="714"/>
      <c r="BH9" s="1592"/>
      <c r="BI9" s="1592"/>
      <c r="BJ9" s="1593"/>
      <c r="BK9" s="1593"/>
      <c r="BL9" s="1592"/>
      <c r="BM9" s="1592"/>
      <c r="BN9" s="1586"/>
      <c r="BO9" s="1586"/>
    </row>
    <row r="10" spans="1:70" s="1586" customFormat="1" ht="12.75" customHeight="1" x14ac:dyDescent="0.2">
      <c r="A10" s="1601" t="s">
        <v>196</v>
      </c>
      <c r="B10" s="699"/>
      <c r="C10" s="1601" t="s">
        <v>82</v>
      </c>
      <c r="D10" s="699"/>
      <c r="E10" s="736" t="s">
        <v>485</v>
      </c>
      <c r="F10" s="756"/>
      <c r="G10" s="756"/>
      <c r="H10" s="1568" t="s">
        <v>2328</v>
      </c>
      <c r="I10" s="756"/>
      <c r="J10" s="1568" t="s">
        <v>18</v>
      </c>
      <c r="K10" s="737"/>
      <c r="L10" s="1601" t="s">
        <v>19</v>
      </c>
      <c r="M10" s="1601"/>
      <c r="N10" s="1601" t="s">
        <v>425</v>
      </c>
      <c r="O10" s="1601"/>
      <c r="P10" s="1568" t="s">
        <v>483</v>
      </c>
      <c r="Q10" s="1601"/>
      <c r="R10" s="1597" t="s">
        <v>276</v>
      </c>
      <c r="S10" s="1598"/>
      <c r="T10" s="628" t="s">
        <v>101</v>
      </c>
      <c r="U10" s="737"/>
      <c r="V10" s="737" t="s">
        <v>1693</v>
      </c>
      <c r="W10" s="737"/>
      <c r="X10" s="737" t="s">
        <v>100</v>
      </c>
      <c r="Y10" s="823"/>
      <c r="Z10" s="737" t="s">
        <v>146</v>
      </c>
      <c r="AA10" s="823"/>
      <c r="AB10" s="737" t="s">
        <v>2403</v>
      </c>
      <c r="AC10" s="823"/>
      <c r="AD10" s="737" t="s">
        <v>2403</v>
      </c>
      <c r="AE10" s="823"/>
      <c r="AF10" s="1718" t="s">
        <v>2403</v>
      </c>
      <c r="AG10" s="823"/>
      <c r="AH10" s="628" t="s">
        <v>140</v>
      </c>
      <c r="AK10" s="1599"/>
      <c r="AL10" s="1599"/>
      <c r="AM10" s="1602" t="str">
        <f>$C$2</f>
        <v>c</v>
      </c>
      <c r="AN10" s="1603" t="str">
        <f>$J$2</f>
        <v>j</v>
      </c>
      <c r="AO10" s="1603" t="str">
        <f>$L$2</f>
        <v>l</v>
      </c>
      <c r="AP10" s="1603" t="str">
        <f>$N$2</f>
        <v>n</v>
      </c>
      <c r="AQ10" s="1603" t="str">
        <f>$P$2</f>
        <v>p</v>
      </c>
      <c r="AR10" s="1603" t="str">
        <f>$R$2</f>
        <v>r</v>
      </c>
      <c r="AS10" s="1603" t="s">
        <v>40</v>
      </c>
      <c r="AT10" s="1603"/>
      <c r="AU10" s="1602" t="str">
        <f>$T$2</f>
        <v>t</v>
      </c>
      <c r="AV10" s="1265" t="str">
        <f>$V$2</f>
        <v>v</v>
      </c>
      <c r="AW10" s="1265" t="str">
        <f>AV10</f>
        <v>v</v>
      </c>
      <c r="AX10" s="1265" t="str">
        <f>$X$2</f>
        <v>x</v>
      </c>
      <c r="AY10" s="1265"/>
      <c r="AZ10" s="1265" t="str">
        <f>AX10</f>
        <v>x</v>
      </c>
      <c r="BA10" s="1265" t="str">
        <f>$Z$2</f>
        <v>z</v>
      </c>
      <c r="BB10" s="1265" t="str">
        <f>BA10</f>
        <v>z</v>
      </c>
      <c r="BC10" s="1265" t="str">
        <f>$AB$2</f>
        <v>ab</v>
      </c>
      <c r="BD10" s="1265" t="str">
        <f>BC10</f>
        <v>ab</v>
      </c>
      <c r="BE10" s="1265" t="str">
        <f>$AF$2</f>
        <v>af</v>
      </c>
      <c r="BF10" s="1265" t="str">
        <f>BE10</f>
        <v>af</v>
      </c>
      <c r="BG10" s="711"/>
      <c r="BH10" s="1592"/>
      <c r="BI10" s="1592"/>
      <c r="BJ10" s="1593"/>
      <c r="BK10" s="1593"/>
      <c r="BL10" s="1592"/>
      <c r="BM10" s="1592"/>
    </row>
    <row r="11" spans="1:70" s="685" customFormat="1" ht="9.75" customHeight="1" x14ac:dyDescent="0.2">
      <c r="A11" s="1057"/>
      <c r="B11" s="1555"/>
      <c r="C11" s="1057"/>
      <c r="E11" s="1229"/>
      <c r="F11" s="1229"/>
      <c r="G11" s="1229"/>
      <c r="H11" s="1229"/>
      <c r="I11" s="1229"/>
      <c r="J11" s="1604"/>
      <c r="K11" s="1229"/>
      <c r="L11" s="1605"/>
      <c r="M11" s="1229"/>
      <c r="N11" s="1605"/>
      <c r="O11" s="1229"/>
      <c r="P11" s="1606"/>
      <c r="Q11" s="1229"/>
      <c r="R11" s="1607"/>
      <c r="S11" s="1608"/>
      <c r="T11" s="1608"/>
      <c r="U11" s="1608"/>
      <c r="V11" s="1608"/>
      <c r="W11" s="1608"/>
      <c r="X11" s="823"/>
      <c r="Y11" s="823"/>
      <c r="AA11" s="823"/>
      <c r="AB11" s="823"/>
      <c r="AC11" s="823"/>
      <c r="AD11" s="823"/>
      <c r="AE11" s="823"/>
      <c r="AF11" s="1719"/>
      <c r="AG11" s="823"/>
      <c r="AH11" s="1057"/>
      <c r="AI11" s="1229"/>
      <c r="AJ11" s="1229"/>
      <c r="AK11" s="1229"/>
      <c r="AL11" s="1229"/>
      <c r="AM11" s="1609"/>
      <c r="AN11" s="1609"/>
      <c r="AO11" s="1609"/>
      <c r="AP11" s="1609"/>
      <c r="AQ11" s="1609"/>
      <c r="AR11" s="1609"/>
      <c r="AS11" s="1609"/>
      <c r="AT11" s="1609"/>
      <c r="AU11" s="1609"/>
      <c r="AV11" s="1610"/>
      <c r="AW11" s="1610"/>
      <c r="AX11" s="1610"/>
      <c r="AY11" s="1610"/>
      <c r="AZ11" s="1610"/>
      <c r="BA11" s="1610"/>
      <c r="BB11" s="1610"/>
      <c r="BC11" s="1610"/>
      <c r="BD11" s="1610"/>
      <c r="BE11" s="1610"/>
      <c r="BF11" s="1610"/>
      <c r="BH11" s="848"/>
      <c r="BI11" s="848"/>
      <c r="BJ11" s="1611"/>
      <c r="BK11" s="1611"/>
      <c r="BL11" s="848"/>
      <c r="BM11" s="848"/>
      <c r="BN11" s="1229"/>
    </row>
    <row r="12" spans="1:70" s="685" customFormat="1" ht="6.75" customHeight="1" thickBot="1" x14ac:dyDescent="0.25">
      <c r="A12" s="1057"/>
      <c r="B12" s="1712">
        <v>0.5</v>
      </c>
      <c r="C12" s="1057"/>
      <c r="E12" s="1229"/>
      <c r="F12" s="1229"/>
      <c r="G12" s="1229"/>
      <c r="H12" s="1229"/>
      <c r="I12" s="1229"/>
      <c r="J12" s="1604"/>
      <c r="K12" s="1229"/>
      <c r="L12" s="1605"/>
      <c r="M12" s="1229"/>
      <c r="N12" s="1605"/>
      <c r="O12" s="1229"/>
      <c r="P12" s="1606"/>
      <c r="Q12" s="1229"/>
      <c r="R12" s="1607"/>
      <c r="S12" s="1608"/>
      <c r="T12" s="1608"/>
      <c r="U12" s="1608"/>
      <c r="V12" s="1608"/>
      <c r="W12" s="1608"/>
      <c r="X12" s="823"/>
      <c r="Y12" s="823"/>
      <c r="AA12" s="823"/>
      <c r="AB12" s="823"/>
      <c r="AC12" s="823"/>
      <c r="AD12" s="823"/>
      <c r="AE12" s="823"/>
      <c r="AF12" s="1719"/>
      <c r="AG12" s="823"/>
      <c r="AH12" s="1057"/>
      <c r="AI12" s="1229"/>
      <c r="AJ12" s="1229"/>
      <c r="AK12" s="1229"/>
      <c r="AL12" s="1229"/>
      <c r="AM12" s="1612"/>
      <c r="AN12" s="1612"/>
      <c r="AO12" s="1612"/>
      <c r="AP12" s="1612"/>
      <c r="AQ12" s="1612"/>
      <c r="AR12" s="1612"/>
      <c r="AS12" s="1612"/>
      <c r="AT12" s="1612"/>
      <c r="AU12" s="1612"/>
      <c r="AV12" s="848"/>
      <c r="AW12" s="848"/>
      <c r="AX12" s="848"/>
      <c r="AY12" s="848"/>
      <c r="AZ12" s="848"/>
      <c r="BA12" s="848"/>
      <c r="BB12" s="848"/>
      <c r="BC12" s="848"/>
      <c r="BD12" s="848"/>
      <c r="BE12" s="848"/>
      <c r="BF12" s="848"/>
      <c r="BH12" s="1610"/>
      <c r="BI12" s="1610"/>
      <c r="BJ12" s="1610"/>
      <c r="BK12" s="1610"/>
      <c r="BL12" s="1610"/>
      <c r="BM12" s="1610"/>
      <c r="BN12" s="1229"/>
      <c r="BO12" s="721" t="str">
        <f>IF(AF12="","",IF(COUNT(FIND({0,1,2,3,4,5,6,7,8,9},AF12))=0, 5, AB12))</f>
        <v/>
      </c>
    </row>
    <row r="13" spans="1:70" s="816" customFormat="1" ht="12.75" customHeight="1" x14ac:dyDescent="0.2">
      <c r="A13" s="840">
        <v>1</v>
      </c>
      <c r="B13" s="1712">
        <v>1</v>
      </c>
      <c r="C13" s="1613"/>
      <c r="D13" s="1248" t="str">
        <f>IF(AND(C13="",C11&lt;&gt;""),"Enter Facility "&amp;TEXT(A13,0)&amp;" Name, then Fill in Columns "&amp;TEXT($H$2,0)&amp;" - "&amp;TEXT($AH$2,0)&amp;"       ","")</f>
        <v/>
      </c>
      <c r="E13" s="1245" t="str">
        <f>IF(AL13="N/A","",AL13)</f>
        <v/>
      </c>
      <c r="F13" s="758"/>
      <c r="G13" s="758"/>
      <c r="H13" s="1614"/>
      <c r="I13" s="758"/>
      <c r="J13" s="1615"/>
      <c r="K13" s="1248" t="str">
        <f>IF(E13&lt;&gt;"","Enter Street Address                   ","")</f>
        <v/>
      </c>
      <c r="L13" s="1615"/>
      <c r="M13" s="1248" t="str">
        <f>IF(E13&lt;&gt;"","Enter City Name       ","")</f>
        <v/>
      </c>
      <c r="N13" s="1613"/>
      <c r="O13" s="1248" t="str">
        <f>IF(E13&lt;&gt;"","Select from Pull-Down List   ","")</f>
        <v/>
      </c>
      <c r="P13" s="1616"/>
      <c r="Q13" s="1248" t="str">
        <f>IF($E13&lt;&gt;"","Enter ZIP Code       ","")</f>
        <v/>
      </c>
      <c r="R13" s="1617"/>
      <c r="S13" s="1618" t="str">
        <f>IF($E13&lt;&gt;"","Select from Pull-Down List  ","")</f>
        <v/>
      </c>
      <c r="T13" s="1617"/>
      <c r="U13" s="1618" t="str">
        <f>IF(AND($C13&lt;&gt;"",T13=""),"Select from Pull-Down List  ","")</f>
        <v/>
      </c>
      <c r="V13" s="1619"/>
      <c r="W13" s="1248" t="str">
        <f>IF(E13&lt;&gt;"","Year?   ","")</f>
        <v/>
      </c>
      <c r="X13" s="1247"/>
      <c r="Y13" s="1620" t="str">
        <f>IF(E13&lt;&gt;"","Sq. Feet?    ","")</f>
        <v/>
      </c>
      <c r="Z13" s="1621"/>
      <c r="AA13" s="1618" t="str">
        <f>IF($E13&lt;&gt;"","% of Cap Resp.","")</f>
        <v/>
      </c>
      <c r="AB13" s="1800" t="str">
        <f ca="1">IFERROR(IF(BK13="", "", IF(BK13&gt;100, 1, VLOOKUP(BK13, Valid!$W$1:$AA$101, VLOOKUP(T13, Codes!$G$7:$I$17, 3, FALSE), FALSE))), "")</f>
        <v/>
      </c>
      <c r="AC13" s="1618"/>
      <c r="AD13" s="1247"/>
      <c r="AE13" s="1620" t="str">
        <f>IF($E13&lt;&gt;"","Drop-Down    ","")</f>
        <v/>
      </c>
      <c r="AF13" s="1720"/>
      <c r="AG13" s="1620" t="b">
        <f>IF(E13&lt;&gt;"","Date?   ")</f>
        <v>0</v>
      </c>
      <c r="AH13" s="1613"/>
      <c r="AI13" s="1248" t="str">
        <f>IF(OR(T13="Other (describe in Notes)",T13="Combined Administrative and Maintenance Facility (describe in notes)"),"Describe Facility                                                                                         ","")</f>
        <v/>
      </c>
      <c r="AJ13" s="1624"/>
      <c r="AK13" s="1624" t="b">
        <f>IF(AND(C13="",C15&lt;&gt;""),TRUE,FALSE)</f>
        <v>0</v>
      </c>
      <c r="AL13" s="1624" t="str">
        <f>IF(AND($C13&lt;&gt;"",OR($J13="",$L13="",$N13="",$P13="",$R13="",$T13="",$V13="",$X13="",$Z13="",$AD13="",$AF13="")),"No",IF(AND($C13="",OR($H13&lt;&gt;"",$J13&lt;&gt;"",$L13&lt;&gt;"",$N13&lt;&gt;"",$P13&lt;&gt;"",$R13&lt;&gt;"",$T13&lt;&gt;"",$V13&lt;&gt;"",$X13&lt;&gt;"",$Z13&lt;&gt;"",$AD13&lt;&gt;"",$AF13&lt;&gt;"")),"N",IF(AND($H13="",$C13="",$J13="",$L13="",$N13="",$P13="",$R13="",$T13="",$V13="",$X13="",$Z13="",$AD13="",$AF13=""),"N/A",IF(AND($C13&lt;&gt;"",$J13&lt;&gt;"",$L13&lt;&gt;"",$N13&lt;&gt;"",$P13&lt;&gt;"",$R13&lt;&gt;"",$T13&lt;&gt;"",$V13&lt;&gt;"",$X13&lt;&gt;"",$Z13&lt;&gt;"",$AD13&lt;&gt;"",$AF13&lt;&gt;""),"Yes",""))))</f>
        <v>N/A</v>
      </c>
      <c r="AM13" s="1625" t="b">
        <f ca="1">IF(AND($C13="",OR($J13&lt;&gt;"",$L13&lt;&gt;"",$N13&lt;&gt;"",$P13&lt;&gt;"",$R13&lt;&gt;"",$T13&lt;&gt;"",$V13&lt;&gt;"",$X13&lt;&gt;"",$Z13&lt;&gt;"",$AB13&lt;&gt;"",$AF13&lt;&gt;"")),TRUE,FALSE)</f>
        <v>0</v>
      </c>
      <c r="AN13" s="1625" t="b">
        <f>IF(AND($C13&lt;&gt;"",$J13=""),TRUE,FALSE)</f>
        <v>0</v>
      </c>
      <c r="AO13" s="1625" t="b">
        <f>IF(AND($C13&lt;&gt;"",$L13=""),TRUE,FALSE)</f>
        <v>0</v>
      </c>
      <c r="AP13" s="1625" t="b">
        <f>IF(AND($C13&lt;&gt;"",$N13=""),TRUE,FALSE)</f>
        <v>0</v>
      </c>
      <c r="AQ13" s="1625" t="b">
        <f>IF(AND($C13&lt;&gt;"",$P13=""),TRUE,FALSE)</f>
        <v>0</v>
      </c>
      <c r="AR13" s="1625" t="b">
        <f>IF(AND($C13&lt;&gt;"",$R13=""),TRUE,FALSE)</f>
        <v>0</v>
      </c>
      <c r="AS13" s="1625"/>
      <c r="AT13" s="1625" t="b">
        <f ca="1">IF(AND(T13="",OR(V13&lt;&gt;"",X13&lt;&gt;"",Z13&lt;&gt;"",AB13&lt;&gt;"",AF13&lt;&gt;"")),TRUE,FALSE)</f>
        <v>0</v>
      </c>
      <c r="AU13" s="1625" t="b">
        <f>IF(AND($C13&lt;&gt;"",$T13=""),TRUE,FALSE)</f>
        <v>0</v>
      </c>
      <c r="AV13" s="1625" t="b">
        <f>IF(V13="",FALSE,IF(T13="",FALSE,IF(AW13=TRUE,FALSE,IF(OR(V13&lt;BI13,V13&gt;BaseYear),TRUE,FALSE))))</f>
        <v>0</v>
      </c>
      <c r="AW13" s="1625" t="b">
        <f>IF(AND($C13&lt;&gt;"",$V13=""),TRUE,FALSE)</f>
        <v>0</v>
      </c>
      <c r="AX13" s="1625" t="b">
        <f>IF(X13="",FALSE,IF(T13="",FALSE,IF(AZ13=TRUE,FALSE,IF(X13&lt;BL13,TRUE,FALSE))))</f>
        <v>0</v>
      </c>
      <c r="AY13" s="1625" t="b">
        <f>IF(X13="",FALSE,IF(T13="",FALSE,IF(AZ13=TRUE,FALSE,IF(X13&gt;BM13,TRUE,FALSE))))</f>
        <v>0</v>
      </c>
      <c r="AZ13" s="1625" t="b">
        <f>IF(AND($C13&lt;&gt;"",$X13=""),TRUE,FALSE)</f>
        <v>0</v>
      </c>
      <c r="BA13" s="1626" t="b">
        <f>IF(BB13=TRUE,FALSE,IF(OR(Z13&lt;0,Z13&gt;1),TRUE,FALSE))</f>
        <v>0</v>
      </c>
      <c r="BB13" s="1625" t="b">
        <f>IF(AND($C13&lt;&gt;"",$Z13=""),TRUE,FALSE)</f>
        <v>0</v>
      </c>
      <c r="BC13" s="1626"/>
      <c r="BD13" s="1625" t="b">
        <f ca="1">IF(AND($C13&lt;&gt;"",$AB13=""),TRUE,FALSE)</f>
        <v>0</v>
      </c>
      <c r="BE13" s="1626" t="b">
        <f>IF(OR(AF13="", V13=""),FALSE,IF(COUNT(FIND({0,1,2,3,4,5,6,7,8,9}, AF13))=0, FALSE, IF(YEAR(AF13)&lt;V13, TRUE, FALSE)))</f>
        <v>0</v>
      </c>
      <c r="BF13" s="1625" t="b">
        <f>IF(AND($C13&lt;&gt;"",$AF13=""),TRUE,FALSE)</f>
        <v>0</v>
      </c>
      <c r="BG13" s="721"/>
      <c r="BH13" s="1625" t="str">
        <f>IF($T13="","",VLOOKUP($T13,val_facilities,BH$3,FALSE))</f>
        <v/>
      </c>
      <c r="BI13" s="1627" t="str">
        <f>IF($T13="","",VLOOKUP($T13,val_facilities,BI$3,FALSE))</f>
        <v/>
      </c>
      <c r="BJ13" s="1627" t="str">
        <f>IF($T13="","",VLOOKUP($T13,val_facilities,BJ$3,FALSE))</f>
        <v/>
      </c>
      <c r="BK13" s="1627" t="str">
        <f ca="1">IFERROR(IF(V13="", "", YEAR(TODAY())-V13), "")</f>
        <v/>
      </c>
      <c r="BL13" s="845" t="str">
        <f>IF($T13="","",VLOOKUP($T13,val_facilities,BL$3,FALSE))</f>
        <v/>
      </c>
      <c r="BM13" s="845" t="str">
        <f>IF($T13="","",VLOOKUP($T13,val_facilities,BM$3,FALSE))</f>
        <v/>
      </c>
      <c r="BN13" s="758"/>
      <c r="BO13" s="721">
        <f>IF(OR(AD13=" ",AD13= "na"),AB13,AD13)</f>
        <v>0</v>
      </c>
    </row>
    <row r="14" spans="1:70" s="721" customFormat="1" ht="6.75" customHeight="1" thickBot="1" x14ac:dyDescent="0.25">
      <c r="A14" s="840"/>
      <c r="B14" s="1712">
        <v>1.5</v>
      </c>
      <c r="C14" s="1607"/>
      <c r="D14" s="1248"/>
      <c r="F14" s="758"/>
      <c r="G14" s="758"/>
      <c r="H14" s="758"/>
      <c r="I14" s="758"/>
      <c r="J14" s="1628"/>
      <c r="K14" s="1248"/>
      <c r="L14" s="1629"/>
      <c r="M14" s="1248"/>
      <c r="N14" s="1629"/>
      <c r="O14" s="1248"/>
      <c r="P14" s="1630"/>
      <c r="Q14" s="1248"/>
      <c r="R14" s="1223"/>
      <c r="S14" s="1618"/>
      <c r="T14" s="1608"/>
      <c r="U14" s="1618"/>
      <c r="V14" s="1623"/>
      <c r="W14" s="1618"/>
      <c r="X14" s="1631"/>
      <c r="Y14" s="1632"/>
      <c r="Z14" s="822"/>
      <c r="AA14" s="1632"/>
      <c r="AB14" s="1631"/>
      <c r="AC14" s="1632"/>
      <c r="AD14" s="1631"/>
      <c r="AE14" s="1632"/>
      <c r="AF14" s="1719"/>
      <c r="AG14" s="1632"/>
      <c r="AH14" s="1243"/>
      <c r="AI14" s="1248"/>
      <c r="AJ14" s="758"/>
      <c r="AK14" s="758"/>
      <c r="AL14" s="758"/>
      <c r="AM14" s="1625"/>
      <c r="AN14" s="1625"/>
      <c r="AO14" s="1625"/>
      <c r="AP14" s="1625"/>
      <c r="AQ14" s="1625"/>
      <c r="AR14" s="1625"/>
      <c r="AS14" s="1625"/>
      <c r="AT14" s="1625"/>
      <c r="AU14" s="1625"/>
      <c r="AV14" s="1626"/>
      <c r="AW14" s="1626"/>
      <c r="AX14" s="1626"/>
      <c r="AY14" s="1626"/>
      <c r="AZ14" s="1626"/>
      <c r="BA14" s="1626"/>
      <c r="BB14" s="1626"/>
      <c r="BC14" s="1626"/>
      <c r="BD14" s="1626"/>
      <c r="BE14" s="1626"/>
      <c r="BF14" s="1626"/>
      <c r="BH14" s="1626"/>
      <c r="BI14" s="1626"/>
      <c r="BJ14" s="1626"/>
      <c r="BK14" s="1626"/>
      <c r="BL14" s="1626"/>
      <c r="BM14" s="1626"/>
      <c r="BN14" s="758"/>
      <c r="BO14" s="721">
        <f t="shared" ref="BO14:BO77" si="2">IF(OR(AD14=" ",AD14= "na"),AB14,AD14)</f>
        <v>0</v>
      </c>
    </row>
    <row r="15" spans="1:70" s="816" customFormat="1" ht="12.75" customHeight="1" x14ac:dyDescent="0.2">
      <c r="A15" s="840">
        <v>2</v>
      </c>
      <c r="B15" s="1712">
        <v>2</v>
      </c>
      <c r="C15" s="1613"/>
      <c r="D15" s="1248" t="str">
        <f>IF(AND(C15="",C13&lt;&gt;""),"Enter Facility "&amp;TEXT(A15,0)&amp;" Name, then Fill in Columns "&amp;TEXT($H$2,0)&amp;" - "&amp;TEXT($AH$2,0)&amp;"       ","")</f>
        <v/>
      </c>
      <c r="E15" s="1245" t="str">
        <f>IF(AL15="N/A","",AL15)</f>
        <v/>
      </c>
      <c r="F15" s="758"/>
      <c r="G15" s="758"/>
      <c r="H15" s="1614"/>
      <c r="I15" s="758"/>
      <c r="J15" s="1615"/>
      <c r="K15" s="1248" t="str">
        <f>IF(E15&lt;&gt;"","Enter Street Address                   ","")</f>
        <v/>
      </c>
      <c r="L15" s="1615"/>
      <c r="M15" s="1248" t="str">
        <f>IF(E15&lt;&gt;"","Enter City Name       ","")</f>
        <v/>
      </c>
      <c r="N15" s="1613"/>
      <c r="O15" s="1248" t="str">
        <f>IF(E15&lt;&gt;"","Select from Pull-Down List   ","")</f>
        <v/>
      </c>
      <c r="P15" s="1616"/>
      <c r="Q15" s="1248" t="str">
        <f>IF($E15&lt;&gt;"","Enter ZIP Code       ","")</f>
        <v/>
      </c>
      <c r="R15" s="1617"/>
      <c r="S15" s="1618" t="str">
        <f>IF($E15&lt;&gt;"","Select from Pull-Down List  ","")</f>
        <v/>
      </c>
      <c r="T15" s="1617"/>
      <c r="U15" s="1618" t="str">
        <f>IF(AND($C15&lt;&gt;"",T15=""),"Select from Pull-Down List  ","")</f>
        <v/>
      </c>
      <c r="V15" s="1619"/>
      <c r="W15" s="1248" t="str">
        <f>IF(E15&lt;&gt;"","Year?   ","")</f>
        <v/>
      </c>
      <c r="X15" s="1247"/>
      <c r="Y15" s="1620" t="str">
        <f>IF(E15&lt;&gt;"","Sq. Feet?   ","")</f>
        <v/>
      </c>
      <c r="Z15" s="1621"/>
      <c r="AA15" s="1618" t="str">
        <f>IF($E15&lt;&gt;"","% of Cap Resp.","")</f>
        <v/>
      </c>
      <c r="AB15" s="1782" t="str">
        <f ca="1">IFERROR(IF(BK15="", "", IF(BK15&gt;100, 1, VLOOKUP(BK15, Valid!$W$1:$AA$101, VLOOKUP(T15, Codes!$G$7:$I$17, 3, FALSE), FALSE))), "")</f>
        <v/>
      </c>
      <c r="AC15" s="1618"/>
      <c r="AD15" s="1247"/>
      <c r="AE15" s="1620" t="str">
        <f>IF($E15&lt;&gt;"","Drop-Down    ","")</f>
        <v/>
      </c>
      <c r="AF15" s="1720"/>
      <c r="AG15" s="1620" t="b">
        <f>IF(E15&lt;&gt;"","Date?   ")</f>
        <v>0</v>
      </c>
      <c r="AH15" s="1613"/>
      <c r="AI15" s="1248" t="str">
        <f>IF(OR(T15="Other (describe in Notes)",T15="Dual Administrative and Maintenance Facility"),"Describe Facility                                                                                         ","")</f>
        <v/>
      </c>
      <c r="AJ15" s="1624"/>
      <c r="AK15" s="1624" t="b">
        <f>IF(AND(C15="",C17&lt;&gt;""),TRUE,FALSE)</f>
        <v>0</v>
      </c>
      <c r="AL15" s="1624" t="str">
        <f>IF(AND($C15&lt;&gt;"",OR($J15="",$L15="",$N15="",$P15="",$R15="",$T15="",$V15="",$X15="",$Z15="",$AD15="",$AF15="")),"No",IF(AND($C15="",OR($H15&lt;&gt;"",$J15&lt;&gt;"",$L15&lt;&gt;"",$N15&lt;&gt;"",$P15&lt;&gt;"",$R15&lt;&gt;"",$T15&lt;&gt;"",$V15&lt;&gt;"",$X15&lt;&gt;"",$Z15&lt;&gt;"",$AD15&lt;&gt;"",$AF15&lt;&gt;"")),"N",IF(AND($H15="",$C15="",$J15="",$L15="",$N15="",$P15="",$R15="",$T15="",$V15="",$X15="",$Z15="",$AD15="",$AF15=""),"N/A",IF(AND($C15&lt;&gt;"",$J15&lt;&gt;"",$L15&lt;&gt;"",$N15&lt;&gt;"",$P15&lt;&gt;"",$R15&lt;&gt;"",$T15&lt;&gt;"",$V15&lt;&gt;"",$X15&lt;&gt;"",$Z15&lt;&gt;"",$AD15&lt;&gt;"",$AF15&lt;&gt;""),"Yes",""))))</f>
        <v>N/A</v>
      </c>
      <c r="AM15" s="1625" t="b">
        <f ca="1">IF(AND($C15="",OR($J15&lt;&gt;"",$L15&lt;&gt;"",$N15&lt;&gt;"",$P15&lt;&gt;"",$R15&lt;&gt;"",$T15&lt;&gt;"",$V15&lt;&gt;"",$X15&lt;&gt;"",$Z15&lt;&gt;"",$AB15&lt;&gt;"",$AF15&lt;&gt;"")),TRUE,FALSE)</f>
        <v>0</v>
      </c>
      <c r="AN15" s="1625" t="b">
        <f>IF(AND($C15&lt;&gt;"",$J15=""),TRUE,FALSE)</f>
        <v>0</v>
      </c>
      <c r="AO15" s="1625" t="b">
        <f>IF(AND($C15&lt;&gt;"",$L15=""),TRUE,FALSE)</f>
        <v>0</v>
      </c>
      <c r="AP15" s="1625" t="b">
        <f>IF(AND($C15&lt;&gt;"",$N15=""),TRUE,FALSE)</f>
        <v>0</v>
      </c>
      <c r="AQ15" s="1625" t="b">
        <f>IF(AND($C15&lt;&gt;"",$P15=""),TRUE,FALSE)</f>
        <v>0</v>
      </c>
      <c r="AR15" s="1625" t="b">
        <f>IF(AND($C15&lt;&gt;"",$R15=""),TRUE,FALSE)</f>
        <v>0</v>
      </c>
      <c r="AS15" s="1625"/>
      <c r="AT15" s="1625" t="b">
        <f ca="1">IF(AND(T15="",OR(V15&lt;&gt;"",X15&lt;&gt;"",Z15&lt;&gt;"",AB15&lt;&gt;"",AF15&lt;&gt;"")),TRUE,FALSE)</f>
        <v>0</v>
      </c>
      <c r="AU15" s="1625" t="b">
        <f>IF(AND($C15&lt;&gt;"",$T15=""),TRUE,FALSE)</f>
        <v>0</v>
      </c>
      <c r="AV15" s="1625" t="b">
        <f>IF(V15="",FALSE,IF(T15="",FALSE,IF(AW15=TRUE,FALSE,IF(OR(V15&lt;BI15,V15&gt;BaseYear),TRUE,FALSE))))</f>
        <v>0</v>
      </c>
      <c r="AW15" s="1625" t="b">
        <f>IF(AND($C15&lt;&gt;"",$V15=""),TRUE,FALSE)</f>
        <v>0</v>
      </c>
      <c r="AX15" s="1625" t="b">
        <f>IF(X15="",FALSE,IF(T15="",FALSE,IF(AZ15=TRUE,FALSE,IF(X15&lt;BL15,TRUE,FALSE))))</f>
        <v>0</v>
      </c>
      <c r="AY15" s="1625" t="b">
        <f>IF(X15="",FALSE,IF(T15="",FALSE,IF(AZ15=TRUE,FALSE,IF(X15&gt;BM15,TRUE,FALSE))))</f>
        <v>0</v>
      </c>
      <c r="AZ15" s="1625" t="b">
        <f>IF(AND($C15&lt;&gt;"",$X15=""),TRUE,FALSE)</f>
        <v>0</v>
      </c>
      <c r="BA15" s="1626" t="b">
        <f>IF(BB15=TRUE,FALSE,IF(OR(Z15&lt;0,Z15&gt;1),TRUE,FALSE))</f>
        <v>0</v>
      </c>
      <c r="BB15" s="1625" t="b">
        <f>IF(AND($C15&lt;&gt;"",$Z15=""),TRUE,FALSE)</f>
        <v>0</v>
      </c>
      <c r="BC15" s="1626"/>
      <c r="BD15" s="1625" t="b">
        <f ca="1">IF(AND($C15&lt;&gt;"",$AB15=""),TRUE,FALSE)</f>
        <v>0</v>
      </c>
      <c r="BE15" s="1626" t="b">
        <f>IF(OR(AF15="", V15=""),FALSE,IF(COUNT(FIND({0,1,2,3,4,5,6,7,8,9}, AF15))=0, FALSE, IF(YEAR(AF15)&lt;V15, TRUE, FALSE)))</f>
        <v>0</v>
      </c>
      <c r="BF15" s="1625" t="b">
        <f>IF(AND($C15&lt;&gt;"",$AF15=""),TRUE,FALSE)</f>
        <v>0</v>
      </c>
      <c r="BG15" s="721"/>
      <c r="BH15" s="1625" t="str">
        <f>IF($T15="","",VLOOKUP($T15,val_facilities,BH$3,FALSE))</f>
        <v/>
      </c>
      <c r="BI15" s="1627" t="str">
        <f>IF($T15="","",VLOOKUP($T15,val_facilities,BI$3,FALSE))</f>
        <v/>
      </c>
      <c r="BJ15" s="1627" t="str">
        <f>IF($T15="","",VLOOKUP($T15,val_facilities,BJ$3,FALSE))</f>
        <v/>
      </c>
      <c r="BK15" s="1627" t="str">
        <f ca="1">IFERROR(IF(V15="", "", YEAR(TODAY())-V15), "")</f>
        <v/>
      </c>
      <c r="BL15" s="845" t="str">
        <f>IF($T15="","",VLOOKUP($T15,val_facilities,BL$3,FALSE))</f>
        <v/>
      </c>
      <c r="BM15" s="845" t="str">
        <f>IF($T15="","",VLOOKUP($T15,val_facilities,BM$3,FALSE))</f>
        <v/>
      </c>
      <c r="BN15" s="758"/>
      <c r="BO15" s="721">
        <f t="shared" si="2"/>
        <v>0</v>
      </c>
    </row>
    <row r="16" spans="1:70" s="816" customFormat="1" ht="6.75" customHeight="1" thickBot="1" x14ac:dyDescent="0.25">
      <c r="A16" s="840"/>
      <c r="B16" s="1712">
        <v>2.5</v>
      </c>
      <c r="C16" s="721"/>
      <c r="D16" s="1248"/>
      <c r="F16" s="758"/>
      <c r="G16" s="758"/>
      <c r="H16" s="758"/>
      <c r="I16" s="758"/>
      <c r="J16" s="1633"/>
      <c r="K16" s="1248"/>
      <c r="L16" s="1634"/>
      <c r="M16" s="1248"/>
      <c r="N16" s="1634"/>
      <c r="O16" s="1248"/>
      <c r="P16" s="1635"/>
      <c r="Q16" s="1248"/>
      <c r="R16" s="1059"/>
      <c r="S16" s="1618"/>
      <c r="T16" s="1636"/>
      <c r="U16" s="1618"/>
      <c r="V16" s="1623"/>
      <c r="W16" s="1618"/>
      <c r="X16" s="722"/>
      <c r="Y16" s="723"/>
      <c r="Z16" s="724"/>
      <c r="AA16" s="723"/>
      <c r="AB16" s="722"/>
      <c r="AC16" s="723"/>
      <c r="AD16" s="722"/>
      <c r="AE16" s="723"/>
      <c r="AF16" s="1717"/>
      <c r="AG16" s="723"/>
      <c r="AH16" s="1637"/>
      <c r="AI16" s="1624"/>
      <c r="AJ16" s="1624"/>
      <c r="AK16" s="1624"/>
      <c r="AL16" s="1624"/>
      <c r="AM16" s="1625"/>
      <c r="AN16" s="1625"/>
      <c r="AO16" s="1625"/>
      <c r="AP16" s="1625"/>
      <c r="AQ16" s="1625"/>
      <c r="AR16" s="1625"/>
      <c r="AS16" s="1625"/>
      <c r="AT16" s="1625"/>
      <c r="AU16" s="1625"/>
      <c r="AV16" s="1626"/>
      <c r="AW16" s="1626"/>
      <c r="AX16" s="1626"/>
      <c r="AY16" s="1626"/>
      <c r="AZ16" s="1626"/>
      <c r="BA16" s="1626"/>
      <c r="BB16" s="1626"/>
      <c r="BC16" s="1626"/>
      <c r="BD16" s="1626"/>
      <c r="BE16" s="1626"/>
      <c r="BF16" s="1626"/>
      <c r="BG16" s="721"/>
      <c r="BH16" s="1626"/>
      <c r="BI16" s="1626"/>
      <c r="BJ16" s="1626"/>
      <c r="BK16" s="1626"/>
      <c r="BL16" s="1626"/>
      <c r="BM16" s="1626"/>
      <c r="BN16" s="758"/>
      <c r="BO16" s="721">
        <f t="shared" si="2"/>
        <v>0</v>
      </c>
    </row>
    <row r="17" spans="1:72" s="816" customFormat="1" x14ac:dyDescent="0.2">
      <c r="A17" s="840">
        <v>3</v>
      </c>
      <c r="B17" s="1712">
        <v>3</v>
      </c>
      <c r="C17" s="1613"/>
      <c r="D17" s="1248" t="str">
        <f>IF(AND(C17="",C15&lt;&gt;""),"Enter Facility "&amp;TEXT(A17,0)&amp;" Name, then Fill in Columns "&amp;TEXT($H$2,0)&amp;" - "&amp;TEXT($AH$2,0)&amp;"       ","")</f>
        <v/>
      </c>
      <c r="E17" s="1245" t="str">
        <f>IF(AL17="N/A","",AL17)</f>
        <v/>
      </c>
      <c r="F17" s="758"/>
      <c r="G17" s="758"/>
      <c r="H17" s="1614"/>
      <c r="I17" s="758"/>
      <c r="J17" s="1615"/>
      <c r="K17" s="1248" t="str">
        <f>IF(E17&lt;&gt;"","Enter Street Address                   ","")</f>
        <v/>
      </c>
      <c r="L17" s="1615"/>
      <c r="M17" s="1248" t="str">
        <f>IF(E17&lt;&gt;"","Enter City Name       ","")</f>
        <v/>
      </c>
      <c r="N17" s="1613"/>
      <c r="O17" s="1248" t="str">
        <f>IF(E17&lt;&gt;"","Select from Pull-Down List   ","")</f>
        <v/>
      </c>
      <c r="P17" s="1616"/>
      <c r="Q17" s="1248" t="str">
        <f>IF($E17&lt;&gt;"","Enter ZIP Code       ","")</f>
        <v/>
      </c>
      <c r="R17" s="1617"/>
      <c r="S17" s="1618" t="str">
        <f>IF($E17&lt;&gt;"","Select from Pull-Down List  ","")</f>
        <v/>
      </c>
      <c r="T17" s="1617"/>
      <c r="U17" s="1618" t="str">
        <f>IF(AND($C17&lt;&gt;"",T17=""),"Select from Pull-Down List  ","")</f>
        <v/>
      </c>
      <c r="V17" s="1619"/>
      <c r="W17" s="1248" t="str">
        <f>IF(E17&lt;&gt;"","Year?   ","")</f>
        <v/>
      </c>
      <c r="X17" s="1247"/>
      <c r="Y17" s="1620" t="str">
        <f>IF(E17&lt;&gt;"","Sq. Feet?   ","")</f>
        <v/>
      </c>
      <c r="Z17" s="1621"/>
      <c r="AA17" s="1618" t="str">
        <f>IF($E17&lt;&gt;"","% of Cap Resp.","")</f>
        <v/>
      </c>
      <c r="AB17" s="1782" t="str">
        <f ca="1">IFERROR(IF(BK17="", "", IF(BK17&gt;100, 1, VLOOKUP(BK17, Valid!$W$1:$AA$101, VLOOKUP(T17, Codes!$G$7:$I$17, 3, FALSE), FALSE))), "")</f>
        <v/>
      </c>
      <c r="AC17" s="1618"/>
      <c r="AD17" s="1247"/>
      <c r="AE17" s="1620" t="str">
        <f>IF($E17&lt;&gt;"","Drop-Down    ","")</f>
        <v/>
      </c>
      <c r="AF17" s="1720"/>
      <c r="AG17" s="1620" t="b">
        <f>IF(E17&lt;&gt;"","Date?   ")</f>
        <v>0</v>
      </c>
      <c r="AH17" s="1613"/>
      <c r="AI17" s="1248" t="str">
        <f>IF(OR(T17="Other (describe in Notes)",T17="Dual Administrative and Maintenance Facility"),"Describe Facility                                                                                         ","")</f>
        <v/>
      </c>
      <c r="AJ17" s="1624"/>
      <c r="AK17" s="1624" t="b">
        <f>IF(AND(C17="",C19&lt;&gt;""),TRUE,FALSE)</f>
        <v>0</v>
      </c>
      <c r="AL17" s="1624" t="str">
        <f>IF(AND($C17&lt;&gt;"",OR($J17="",$L17="",$N17="",$P17="",$R17="",$T17="",$V17="",$X17="",$Z17="",$AD17="",$AF17="")),"No",IF(AND($C17="",OR($H17&lt;&gt;"",$J17&lt;&gt;"",$L17&lt;&gt;"",$N17&lt;&gt;"",$P17&lt;&gt;"",$R17&lt;&gt;"",$T17&lt;&gt;"",$V17&lt;&gt;"",$X17&lt;&gt;"",$Z17&lt;&gt;"",$AD17&lt;&gt;"",$AF17&lt;&gt;"")),"N",IF(AND($H17="",$C17="",$J17="",$L17="",$N17="",$P17="",$R17="",$T17="",$V17="",$X17="",$Z17="",$AD17="",$AF17=""),"N/A",IF(AND($C17&lt;&gt;"",$J17&lt;&gt;"",$L17&lt;&gt;"",$N17&lt;&gt;"",$P17&lt;&gt;"",$R17&lt;&gt;"",$T17&lt;&gt;"",$V17&lt;&gt;"",$X17&lt;&gt;"",$Z17&lt;&gt;"",$AD17&lt;&gt;"",$AF17&lt;&gt;""),"Yes",""))))</f>
        <v>N/A</v>
      </c>
      <c r="AM17" s="1625" t="b">
        <f ca="1">IF(AND($C17="",OR($J17&lt;&gt;"",$L17&lt;&gt;"",$N17&lt;&gt;"",$P17&lt;&gt;"",$R17&lt;&gt;"",$T17&lt;&gt;"",$V17&lt;&gt;"",$X17&lt;&gt;"",$Z17&lt;&gt;"",$AB17&lt;&gt;"",$AF17&lt;&gt;"")),TRUE,FALSE)</f>
        <v>0</v>
      </c>
      <c r="AN17" s="1625" t="b">
        <f>IF(AND($C17&lt;&gt;"",$J17=""),TRUE,FALSE)</f>
        <v>0</v>
      </c>
      <c r="AO17" s="1625" t="b">
        <f>IF(AND($C17&lt;&gt;"",$L17=""),TRUE,FALSE)</f>
        <v>0</v>
      </c>
      <c r="AP17" s="1625" t="b">
        <f>IF(AND($C17&lt;&gt;"",$N17=""),TRUE,FALSE)</f>
        <v>0</v>
      </c>
      <c r="AQ17" s="1625" t="b">
        <f>IF(AND($C17&lt;&gt;"",$P17=""),TRUE,FALSE)</f>
        <v>0</v>
      </c>
      <c r="AR17" s="1625" t="b">
        <f>IF(AND($C17&lt;&gt;"",$R17=""),TRUE,FALSE)</f>
        <v>0</v>
      </c>
      <c r="AS17" s="1625"/>
      <c r="AT17" s="1625" t="b">
        <f ca="1">IF(AND(T17="",OR(V17&lt;&gt;"",X17&lt;&gt;"",Z17&lt;&gt;"",AB17&lt;&gt;"",AF17&lt;&gt;"")),TRUE,FALSE)</f>
        <v>0</v>
      </c>
      <c r="AU17" s="1625" t="b">
        <f>IF(AND($C17&lt;&gt;"",$T17=""),TRUE,FALSE)</f>
        <v>0</v>
      </c>
      <c r="AV17" s="1625" t="b">
        <f>IF(V17="",FALSE,IF(T17="",FALSE,IF(AW17=TRUE,FALSE,IF(OR(V17&lt;BI17,V17&gt;BaseYear),TRUE,FALSE))))</f>
        <v>0</v>
      </c>
      <c r="AW17" s="1625" t="b">
        <f>IF(AND($C17&lt;&gt;"",$V17=""),TRUE,FALSE)</f>
        <v>0</v>
      </c>
      <c r="AX17" s="1625" t="b">
        <f>IF(X17="",FALSE,IF(T17="",FALSE,IF(AZ17=TRUE,FALSE,IF(X17&lt;BL17,TRUE,FALSE))))</f>
        <v>0</v>
      </c>
      <c r="AY17" s="1625" t="b">
        <f>IF(X17="",FALSE,IF(T17="",FALSE,IF(AZ17=TRUE,FALSE,IF(X17&gt;BM17,TRUE,FALSE))))</f>
        <v>0</v>
      </c>
      <c r="AZ17" s="1625" t="b">
        <f>IF(AND($C17&lt;&gt;"",$X17=""),TRUE,FALSE)</f>
        <v>0</v>
      </c>
      <c r="BA17" s="1626" t="b">
        <f>IF(BB17=TRUE,FALSE,IF(OR(Z17&lt;0,Z17&gt;1),TRUE,FALSE))</f>
        <v>0</v>
      </c>
      <c r="BB17" s="1625" t="b">
        <f>IF(AND($C17&lt;&gt;"",$Z17=""),TRUE,FALSE)</f>
        <v>0</v>
      </c>
      <c r="BC17" s="1626"/>
      <c r="BD17" s="1625" t="b">
        <f ca="1">IF(AND($C17&lt;&gt;"",$AB17=""),TRUE,FALSE)</f>
        <v>0</v>
      </c>
      <c r="BE17" s="1626" t="b">
        <f>IF(OR(AF17="", V17=""),FALSE,IF(COUNT(FIND({0,1,2,3,4,5,6,7,8,9}, AF17))=0, FALSE, IF(YEAR(AF17)&lt;V17, TRUE, FALSE)))</f>
        <v>0</v>
      </c>
      <c r="BF17" s="1625" t="b">
        <f>IF(AND($C17&lt;&gt;"",$AF17=""),TRUE,FALSE)</f>
        <v>0</v>
      </c>
      <c r="BG17" s="721"/>
      <c r="BH17" s="1625" t="str">
        <f>IF($T17="","",VLOOKUP($T17,val_facilities,BH$3,FALSE))</f>
        <v/>
      </c>
      <c r="BI17" s="1627" t="str">
        <f>IF($T17="","",VLOOKUP($T17,val_facilities,BI$3,FALSE))</f>
        <v/>
      </c>
      <c r="BJ17" s="1627" t="str">
        <f>IF($T17="","",VLOOKUP($T17,val_facilities,BJ$3,FALSE))</f>
        <v/>
      </c>
      <c r="BK17" s="1627" t="str">
        <f ca="1">IFERROR(IF(V17="", "", YEAR(TODAY())-V17), "")</f>
        <v/>
      </c>
      <c r="BL17" s="845" t="str">
        <f>IF($T17="","",VLOOKUP($T17,val_facilities,BL$3,FALSE))</f>
        <v/>
      </c>
      <c r="BM17" s="845" t="str">
        <f>IF($T17="","",VLOOKUP($T17,val_facilities,BM$3,FALSE))</f>
        <v/>
      </c>
      <c r="BN17" s="758"/>
      <c r="BO17" s="721">
        <f t="shared" si="2"/>
        <v>0</v>
      </c>
    </row>
    <row r="18" spans="1:72" s="686" customFormat="1" ht="6.75" customHeight="1" thickBot="1" x14ac:dyDescent="0.25">
      <c r="A18" s="1638"/>
      <c r="B18" s="1712">
        <v>3.5</v>
      </c>
      <c r="C18" s="1057"/>
      <c r="D18" s="1248"/>
      <c r="E18" s="1057"/>
      <c r="F18" s="1229"/>
      <c r="G18" s="1229"/>
      <c r="H18" s="1229"/>
      <c r="I18" s="1229"/>
      <c r="J18" s="1604"/>
      <c r="K18" s="1640"/>
      <c r="L18" s="1641"/>
      <c r="M18" s="1248"/>
      <c r="N18" s="1641"/>
      <c r="O18" s="1248"/>
      <c r="P18" s="1642"/>
      <c r="Q18" s="1248"/>
      <c r="R18" s="1057"/>
      <c r="S18" s="1618"/>
      <c r="T18" s="1643"/>
      <c r="U18" s="1618"/>
      <c r="V18" s="1623"/>
      <c r="W18" s="1618"/>
      <c r="X18" s="733"/>
      <c r="Y18" s="1275"/>
      <c r="Z18" s="685"/>
      <c r="AA18" s="1275"/>
      <c r="AB18" s="733"/>
      <c r="AC18" s="1275"/>
      <c r="AD18" s="733"/>
      <c r="AE18" s="1275"/>
      <c r="AF18" s="1721"/>
      <c r="AG18" s="1275"/>
      <c r="AH18" s="1057"/>
      <c r="AI18" s="1644"/>
      <c r="AJ18" s="1644"/>
      <c r="AK18" s="1644"/>
      <c r="AL18" s="1644"/>
      <c r="AM18" s="1625"/>
      <c r="AN18" s="1625"/>
      <c r="AO18" s="1625"/>
      <c r="AP18" s="1625"/>
      <c r="AQ18" s="1625"/>
      <c r="AR18" s="848"/>
      <c r="AS18" s="848"/>
      <c r="AT18" s="848"/>
      <c r="AU18" s="848"/>
      <c r="AV18" s="848"/>
      <c r="AW18" s="848"/>
      <c r="AX18" s="848"/>
      <c r="AY18" s="848"/>
      <c r="AZ18" s="848"/>
      <c r="BA18" s="848"/>
      <c r="BB18" s="848"/>
      <c r="BC18" s="848"/>
      <c r="BD18" s="848"/>
      <c r="BE18" s="848"/>
      <c r="BF18" s="848"/>
      <c r="BG18" s="685"/>
      <c r="BH18" s="848"/>
      <c r="BI18" s="848"/>
      <c r="BJ18" s="848"/>
      <c r="BK18" s="848"/>
      <c r="BL18" s="848"/>
      <c r="BM18" s="848"/>
      <c r="BN18" s="1229"/>
      <c r="BO18" s="721">
        <f t="shared" si="2"/>
        <v>0</v>
      </c>
    </row>
    <row r="19" spans="1:72" s="686" customFormat="1" x14ac:dyDescent="0.2">
      <c r="A19" s="840">
        <v>4</v>
      </c>
      <c r="B19" s="1712">
        <v>4</v>
      </c>
      <c r="C19" s="1613"/>
      <c r="D19" s="1248" t="str">
        <f>IF(AND(C19="",C17&lt;&gt;""),"Enter Facility "&amp;TEXT(A19,0)&amp;" Name, then Fill in Columns "&amp;TEXT($H$2,0)&amp;" - "&amp;TEXT($AH$2,0)&amp;"       ","")</f>
        <v/>
      </c>
      <c r="E19" s="1245" t="str">
        <f>IF(AL19="N/A","",AL19)</f>
        <v/>
      </c>
      <c r="F19" s="758"/>
      <c r="G19" s="758"/>
      <c r="H19" s="1614"/>
      <c r="I19" s="758"/>
      <c r="J19" s="1615"/>
      <c r="K19" s="1248" t="str">
        <f>IF(E19&lt;&gt;"","Enter Street Address                   ","")</f>
        <v/>
      </c>
      <c r="L19" s="1615"/>
      <c r="M19" s="1248" t="str">
        <f>IF(E19&lt;&gt;"","Enter City Name       ","")</f>
        <v/>
      </c>
      <c r="N19" s="1613"/>
      <c r="O19" s="1248" t="str">
        <f>IF(E19&lt;&gt;"","Select from Pull-Down List   ","")</f>
        <v/>
      </c>
      <c r="P19" s="1616"/>
      <c r="Q19" s="1248" t="str">
        <f>IF($E19&lt;&gt;"","Enter ZIP Code       ","")</f>
        <v/>
      </c>
      <c r="R19" s="1617"/>
      <c r="S19" s="1618" t="str">
        <f>IF($E19&lt;&gt;"","Select from Pull-Down List  ","")</f>
        <v/>
      </c>
      <c r="T19" s="1617"/>
      <c r="U19" s="1618" t="str">
        <f>IF(AND($C19&lt;&gt;"",T19=""),"Select from Pull-Down List  ","")</f>
        <v/>
      </c>
      <c r="V19" s="1619"/>
      <c r="W19" s="1248" t="str">
        <f>IF(E19&lt;&gt;"","Year?   ","")</f>
        <v/>
      </c>
      <c r="X19" s="1247"/>
      <c r="Y19" s="1620" t="str">
        <f>IF(E19&lt;&gt;"","Sq. Feet?   ","")</f>
        <v/>
      </c>
      <c r="Z19" s="1621"/>
      <c r="AA19" s="1618" t="str">
        <f>IF($E19&lt;&gt;"","% of Cap Resp.","")</f>
        <v/>
      </c>
      <c r="AB19" s="1782" t="str">
        <f ca="1">IFERROR(IF(BK19="", "", IF(BK19&gt;100, 1, VLOOKUP(BK19, Valid!$W$1:$AA$101, VLOOKUP(T19, Codes!$G$7:$I$17, 3, FALSE), FALSE))), "")</f>
        <v/>
      </c>
      <c r="AC19" s="1618"/>
      <c r="AD19" s="1247"/>
      <c r="AE19" s="1620" t="str">
        <f>IF($E19&lt;&gt;"","Drop-Down    ","")</f>
        <v/>
      </c>
      <c r="AF19" s="1720"/>
      <c r="AG19" s="1620" t="b">
        <f>IF(E19&lt;&gt;"","Date?   ")</f>
        <v>0</v>
      </c>
      <c r="AH19" s="1613"/>
      <c r="AI19" s="1248" t="str">
        <f>IF(OR(T19="Other (describe in Notes)",T19="Dual Administrative and Maintenance Facility"),"Describe Facility                                                                                         ","")</f>
        <v/>
      </c>
      <c r="AJ19" s="1624"/>
      <c r="AK19" s="1624" t="b">
        <f>IF(AND(C19="",C21&lt;&gt;""),TRUE,FALSE)</f>
        <v>0</v>
      </c>
      <c r="AL19" s="1624" t="str">
        <f>IF(AND($C19&lt;&gt;"",OR($J19="",$L19="",$N19="",$P19="",$R19="",$T19="",$V19="",$X19="",$Z19="",$AD19="",$AF19="")),"No",IF(AND($C19="",OR($H19&lt;&gt;"",$J19&lt;&gt;"",$L19&lt;&gt;"",$N19&lt;&gt;"",$P19&lt;&gt;"",$R19&lt;&gt;"",$T19&lt;&gt;"",$V19&lt;&gt;"",$X19&lt;&gt;"",$Z19&lt;&gt;"",$AD19&lt;&gt;"",$AF19&lt;&gt;"")),"N",IF(AND($H19="",$C19="",$J19="",$L19="",$N19="",$P19="",$R19="",$T19="",$V19="",$X19="",$Z19="",$AD19="",$AF19=""),"N/A",IF(AND($C19&lt;&gt;"",$J19&lt;&gt;"",$L19&lt;&gt;"",$N19&lt;&gt;"",$P19&lt;&gt;"",$R19&lt;&gt;"",$T19&lt;&gt;"",$V19&lt;&gt;"",$X19&lt;&gt;"",$Z19&lt;&gt;"",$AD19&lt;&gt;"",$AF19&lt;&gt;""),"Yes",""))))</f>
        <v>N/A</v>
      </c>
      <c r="AM19" s="1625" t="b">
        <f ca="1">IF(AND($C19="",OR($J19&lt;&gt;"",$L19&lt;&gt;"",$N19&lt;&gt;"",$P19&lt;&gt;"",$R19&lt;&gt;"",$T19&lt;&gt;"",$V19&lt;&gt;"",$X19&lt;&gt;"",$Z19&lt;&gt;"",$AB19&lt;&gt;"",$AF19&lt;&gt;"")),TRUE,FALSE)</f>
        <v>0</v>
      </c>
      <c r="AN19" s="1625" t="b">
        <f>IF(AND($C19&lt;&gt;"",$J19=""),TRUE,FALSE)</f>
        <v>0</v>
      </c>
      <c r="AO19" s="1625" t="b">
        <f>IF(AND($C19&lt;&gt;"",$L19=""),TRUE,FALSE)</f>
        <v>0</v>
      </c>
      <c r="AP19" s="1625" t="b">
        <f>IF(AND($C19&lt;&gt;"",$N19=""),TRUE,FALSE)</f>
        <v>0</v>
      </c>
      <c r="AQ19" s="1625" t="b">
        <f>IF(AND($C19&lt;&gt;"",$P19=""),TRUE,FALSE)</f>
        <v>0</v>
      </c>
      <c r="AR19" s="1625" t="b">
        <f>IF(AND($C19&lt;&gt;"",$R19=""),TRUE,FALSE)</f>
        <v>0</v>
      </c>
      <c r="AS19" s="1625"/>
      <c r="AT19" s="1625" t="b">
        <f ca="1">IF(AND(T19="",OR(V19&lt;&gt;"",X19&lt;&gt;"",Z19&lt;&gt;"",AB19&lt;&gt;"",AF19&lt;&gt;"")),TRUE,FALSE)</f>
        <v>0</v>
      </c>
      <c r="AU19" s="1625" t="b">
        <f>IF(AND($C19&lt;&gt;"",$T19=""),TRUE,FALSE)</f>
        <v>0</v>
      </c>
      <c r="AV19" s="1625" t="b">
        <f>IF(V19="",FALSE,IF(T19="",FALSE,IF(AW19=TRUE,FALSE,IF(OR(V19&lt;BI19,V19&gt;BaseYear),TRUE,FALSE))))</f>
        <v>0</v>
      </c>
      <c r="AW19" s="1625" t="b">
        <f>IF(AND($C19&lt;&gt;"",$V19=""),TRUE,FALSE)</f>
        <v>0</v>
      </c>
      <c r="AX19" s="1625" t="b">
        <f>IF(X19="",FALSE,IF(T19="",FALSE,IF(AZ19=TRUE,FALSE,IF(X19&lt;BL19,TRUE,FALSE))))</f>
        <v>0</v>
      </c>
      <c r="AY19" s="1625" t="b">
        <f>IF(X19="",FALSE,IF(T19="",FALSE,IF(AZ19=TRUE,FALSE,IF(X19&gt;BM19,TRUE,FALSE))))</f>
        <v>0</v>
      </c>
      <c r="AZ19" s="1625" t="b">
        <f>IF(AND($C19&lt;&gt;"",$X19=""),TRUE,FALSE)</f>
        <v>0</v>
      </c>
      <c r="BA19" s="1626" t="b">
        <f>IF(BB19=TRUE,FALSE,IF(OR(Z19&lt;0,Z19&gt;1),TRUE,FALSE))</f>
        <v>0</v>
      </c>
      <c r="BB19" s="1625" t="b">
        <f>IF(AND($C19&lt;&gt;"",$Z19=""),TRUE,FALSE)</f>
        <v>0</v>
      </c>
      <c r="BC19" s="1626"/>
      <c r="BD19" s="1625" t="b">
        <f ca="1">IF(AND($C19&lt;&gt;"",$AB19=""),TRUE,FALSE)</f>
        <v>0</v>
      </c>
      <c r="BE19" s="1626" t="b">
        <f>IF(OR(AF19="", V19=""),FALSE,IF(COUNT(FIND({0,1,2,3,4,5,6,7,8,9}, AF19))=0, FALSE, IF(YEAR(AF19)&lt;V19, TRUE, FALSE)))</f>
        <v>0</v>
      </c>
      <c r="BF19" s="1625" t="b">
        <f>IF(AND($C19&lt;&gt;"",$AF19=""),TRUE,FALSE)</f>
        <v>0</v>
      </c>
      <c r="BG19" s="721"/>
      <c r="BH19" s="1625" t="str">
        <f>IF($T19="","",VLOOKUP($T19,val_facilities,BH$3,FALSE))</f>
        <v/>
      </c>
      <c r="BI19" s="1627" t="str">
        <f>IF($T19="","",VLOOKUP($T19,val_facilities,BI$3,FALSE))</f>
        <v/>
      </c>
      <c r="BJ19" s="1627" t="str">
        <f>IF($T19="","",VLOOKUP($T19,val_facilities,BJ$3,FALSE))</f>
        <v/>
      </c>
      <c r="BK19" s="1627" t="str">
        <f ca="1">IFERROR(IF(V19="", "", YEAR(TODAY())-V19), "")</f>
        <v/>
      </c>
      <c r="BL19" s="845" t="str">
        <f>IF($T19="","",VLOOKUP($T19,val_facilities,BL$3,FALSE))</f>
        <v/>
      </c>
      <c r="BM19" s="845" t="str">
        <f>IF($T19="","",VLOOKUP($T19,val_facilities,BM$3,FALSE))</f>
        <v/>
      </c>
      <c r="BN19" s="758"/>
      <c r="BO19" s="721">
        <f t="shared" si="2"/>
        <v>0</v>
      </c>
      <c r="BP19" s="816"/>
      <c r="BQ19" s="816"/>
      <c r="BR19" s="816"/>
      <c r="BS19" s="816"/>
      <c r="BT19" s="816"/>
    </row>
    <row r="20" spans="1:72" s="686" customFormat="1" ht="6.75" customHeight="1" thickBot="1" x14ac:dyDescent="0.25">
      <c r="A20" s="1638"/>
      <c r="B20" s="1712">
        <v>4.5</v>
      </c>
      <c r="C20" s="1057"/>
      <c r="D20" s="1248"/>
      <c r="E20" s="1639"/>
      <c r="F20" s="1229"/>
      <c r="G20" s="1229"/>
      <c r="H20" s="1229"/>
      <c r="I20" s="1229"/>
      <c r="J20" s="1604"/>
      <c r="K20" s="1640"/>
      <c r="L20" s="1645"/>
      <c r="M20" s="1646"/>
      <c r="N20" s="1645"/>
      <c r="O20" s="1646"/>
      <c r="P20" s="1647"/>
      <c r="Q20" s="1646"/>
      <c r="R20" s="1057"/>
      <c r="S20" s="1618"/>
      <c r="T20" s="1643"/>
      <c r="U20" s="1618"/>
      <c r="V20" s="1623"/>
      <c r="W20" s="1618"/>
      <c r="X20" s="722"/>
      <c r="Y20" s="1648"/>
      <c r="Z20" s="841"/>
      <c r="AA20" s="1648"/>
      <c r="AB20" s="722"/>
      <c r="AC20" s="1648"/>
      <c r="AD20" s="722"/>
      <c r="AE20" s="1648"/>
      <c r="AF20" s="1717"/>
      <c r="AG20" s="1648"/>
      <c r="AH20" s="1057"/>
      <c r="AI20" s="1644"/>
      <c r="AJ20" s="1644"/>
      <c r="AK20" s="1644"/>
      <c r="AL20" s="1644"/>
      <c r="AM20" s="1625"/>
      <c r="AN20" s="1625"/>
      <c r="AO20" s="1625"/>
      <c r="AP20" s="1625"/>
      <c r="AQ20" s="1625"/>
      <c r="AR20" s="848"/>
      <c r="AS20" s="848"/>
      <c r="AT20" s="848"/>
      <c r="AU20" s="848"/>
      <c r="AV20" s="848"/>
      <c r="AW20" s="848"/>
      <c r="AX20" s="848"/>
      <c r="AY20" s="848"/>
      <c r="AZ20" s="848"/>
      <c r="BA20" s="848"/>
      <c r="BB20" s="848"/>
      <c r="BC20" s="848"/>
      <c r="BD20" s="848"/>
      <c r="BE20" s="848"/>
      <c r="BF20" s="848"/>
      <c r="BG20" s="685"/>
      <c r="BH20" s="848"/>
      <c r="BI20" s="848"/>
      <c r="BJ20" s="848"/>
      <c r="BK20" s="848"/>
      <c r="BL20" s="848"/>
      <c r="BM20" s="848"/>
      <c r="BN20" s="1229"/>
      <c r="BO20" s="721">
        <f t="shared" si="2"/>
        <v>0</v>
      </c>
    </row>
    <row r="21" spans="1:72" s="686" customFormat="1" x14ac:dyDescent="0.2">
      <c r="A21" s="840">
        <v>5</v>
      </c>
      <c r="B21" s="1712">
        <v>5</v>
      </c>
      <c r="C21" s="1613"/>
      <c r="D21" s="1248" t="str">
        <f>IF(AND(C21="",C19&lt;&gt;""),"Enter Facility "&amp;TEXT(A21,0)&amp;" Name, then Fill in Columns "&amp;TEXT($H$2,0)&amp;" - "&amp;TEXT($AH$2,0)&amp;"       ","")</f>
        <v/>
      </c>
      <c r="E21" s="1245" t="str">
        <f>IF(AL21="N/A","",AL21)</f>
        <v/>
      </c>
      <c r="F21" s="758"/>
      <c r="G21" s="758"/>
      <c r="H21" s="1614"/>
      <c r="I21" s="758"/>
      <c r="J21" s="1615"/>
      <c r="K21" s="1248" t="str">
        <f>IF(E21&lt;&gt;"","Enter Street Address                   ","")</f>
        <v/>
      </c>
      <c r="L21" s="1615"/>
      <c r="M21" s="1248" t="str">
        <f>IF(E21&lt;&gt;"","Enter City Name       ","")</f>
        <v/>
      </c>
      <c r="N21" s="1613"/>
      <c r="O21" s="1248" t="str">
        <f>IF(E21&lt;&gt;"","Select from Pull-Down List   ","")</f>
        <v/>
      </c>
      <c r="P21" s="1616"/>
      <c r="Q21" s="1248" t="str">
        <f>IF($E21&lt;&gt;"","Enter ZIP Code       ","")</f>
        <v/>
      </c>
      <c r="R21" s="1617"/>
      <c r="S21" s="1618" t="str">
        <f>IF($E21&lt;&gt;"","Select from Pull-Down List  ","")</f>
        <v/>
      </c>
      <c r="T21" s="1617"/>
      <c r="U21" s="1618" t="str">
        <f>IF(AND($C21&lt;&gt;"",T21=""),"Select from Pull-Down List  ","")</f>
        <v/>
      </c>
      <c r="V21" s="1619"/>
      <c r="W21" s="1248" t="str">
        <f>IF(E21&lt;&gt;"","Year?   ","")</f>
        <v/>
      </c>
      <c r="X21" s="1247"/>
      <c r="Y21" s="1620" t="str">
        <f>IF(E21&lt;&gt;"","Sq. Feet?   ","")</f>
        <v/>
      </c>
      <c r="Z21" s="1621"/>
      <c r="AA21" s="1618" t="str">
        <f>IF($E21&lt;&gt;"","% of Cap Resp.","")</f>
        <v/>
      </c>
      <c r="AB21" s="1782" t="str">
        <f ca="1">IFERROR(IF(BK21="", "", IF(BK21&gt;100, 1, VLOOKUP(BK21, Valid!$W$1:$AA$101, VLOOKUP(T21, Codes!$G$7:$I$17, 3, FALSE), FALSE))), "")</f>
        <v/>
      </c>
      <c r="AC21" s="1618"/>
      <c r="AD21" s="1247"/>
      <c r="AE21" s="1620" t="str">
        <f>IF($E21&lt;&gt;"","Drop-Down    ","")</f>
        <v/>
      </c>
      <c r="AF21" s="1720"/>
      <c r="AG21" s="1620" t="b">
        <f>IF(E21&lt;&gt;"","Date?   ")</f>
        <v>0</v>
      </c>
      <c r="AH21" s="1613"/>
      <c r="AI21" s="1248" t="str">
        <f>IF(OR(T21="Other (describe in Notes)",T21="Dual Administrative and Maintenance Facility"),"Describe Facility                                                                                         ","")</f>
        <v/>
      </c>
      <c r="AJ21" s="1624"/>
      <c r="AK21" s="1624" t="b">
        <f>IF(AND(C21="",C23&lt;&gt;""),TRUE,FALSE)</f>
        <v>0</v>
      </c>
      <c r="AL21" s="1624" t="str">
        <f>IF(AND($C21&lt;&gt;"",OR($J21="",$L21="",$N21="",$P21="",$R21="",$T21="",$V21="",$X21="",$Z21="",$AD21="",$AF21="")),"No",IF(AND($C21="",OR($H21&lt;&gt;"",$J21&lt;&gt;"",$L21&lt;&gt;"",$N21&lt;&gt;"",$P21&lt;&gt;"",$R21&lt;&gt;"",$T21&lt;&gt;"",$V21&lt;&gt;"",$X21&lt;&gt;"",$Z21&lt;&gt;"",$AD21&lt;&gt;"",$AF21&lt;&gt;"")),"N",IF(AND($H21="",$C21="",$J21="",$L21="",$N21="",$P21="",$R21="",$T21="",$V21="",$X21="",$Z21="",$AD21="",$AF21=""),"N/A",IF(AND($C21&lt;&gt;"",$J21&lt;&gt;"",$L21&lt;&gt;"",$N21&lt;&gt;"",$P21&lt;&gt;"",$R21&lt;&gt;"",$T21&lt;&gt;"",$V21&lt;&gt;"",$X21&lt;&gt;"",$Z21&lt;&gt;"",$AD21&lt;&gt;"",$AF21&lt;&gt;""),"Yes",""))))</f>
        <v>N/A</v>
      </c>
      <c r="AM21" s="1625" t="b">
        <f ca="1">IF(AND($C21="",OR($J21&lt;&gt;"",$L21&lt;&gt;"",$N21&lt;&gt;"",$P21&lt;&gt;"",$R21&lt;&gt;"",$T21&lt;&gt;"",$V21&lt;&gt;"",$X21&lt;&gt;"",$Z21&lt;&gt;"",$AB21&lt;&gt;"",$AF21&lt;&gt;"")),TRUE,FALSE)</f>
        <v>0</v>
      </c>
      <c r="AN21" s="1625" t="b">
        <f>IF(AND($C21&lt;&gt;"",$J21=""),TRUE,FALSE)</f>
        <v>0</v>
      </c>
      <c r="AO21" s="1625" t="b">
        <f>IF(AND($C21&lt;&gt;"",$L21=""),TRUE,FALSE)</f>
        <v>0</v>
      </c>
      <c r="AP21" s="1625" t="b">
        <f>IF(AND($C21&lt;&gt;"",$N21=""),TRUE,FALSE)</f>
        <v>0</v>
      </c>
      <c r="AQ21" s="1625" t="b">
        <f>IF(AND($C21&lt;&gt;"",$P21=""),TRUE,FALSE)</f>
        <v>0</v>
      </c>
      <c r="AR21" s="1625" t="b">
        <f>IF(AND($C21&lt;&gt;"",$R21=""),TRUE,FALSE)</f>
        <v>0</v>
      </c>
      <c r="AS21" s="1625"/>
      <c r="AT21" s="1625" t="b">
        <f ca="1">IF(AND(T21="",OR(V21&lt;&gt;"",X21&lt;&gt;"",Z21&lt;&gt;"",AB21&lt;&gt;"",AF21&lt;&gt;"")),TRUE,FALSE)</f>
        <v>0</v>
      </c>
      <c r="AU21" s="1625" t="b">
        <f>IF(AND($C21&lt;&gt;"",$T21=""),TRUE,FALSE)</f>
        <v>0</v>
      </c>
      <c r="AV21" s="1625" t="b">
        <f>IF(V21="",FALSE,IF(T21="",FALSE,IF(AW21=TRUE,FALSE,IF(OR(V21&lt;BI21,V21&gt;BaseYear),TRUE,FALSE))))</f>
        <v>0</v>
      </c>
      <c r="AW21" s="1625" t="b">
        <f>IF(AND($C21&lt;&gt;"",$V21=""),TRUE,FALSE)</f>
        <v>0</v>
      </c>
      <c r="AX21" s="1625" t="b">
        <f>IF(X21="",FALSE,IF(T21="",FALSE,IF(AZ21=TRUE,FALSE,IF(X21&lt;BL21,TRUE,FALSE))))</f>
        <v>0</v>
      </c>
      <c r="AY21" s="1625" t="b">
        <f>IF(X21="",FALSE,IF(T21="",FALSE,IF(AZ21=TRUE,FALSE,IF(X21&gt;BM21,TRUE,FALSE))))</f>
        <v>0</v>
      </c>
      <c r="AZ21" s="1625" t="b">
        <f>IF(AND($C21&lt;&gt;"",$X21=""),TRUE,FALSE)</f>
        <v>0</v>
      </c>
      <c r="BA21" s="1626" t="b">
        <f>IF(BB21=TRUE,FALSE,IF(OR(Z21&lt;0,Z21&gt;1),TRUE,FALSE))</f>
        <v>0</v>
      </c>
      <c r="BB21" s="1625" t="b">
        <f>IF(AND($C21&lt;&gt;"",$Z21=""),TRUE,FALSE)</f>
        <v>0</v>
      </c>
      <c r="BC21" s="1626"/>
      <c r="BD21" s="1625" t="b">
        <f ca="1">IF(AND($C21&lt;&gt;"",$AB21=""),TRUE,FALSE)</f>
        <v>0</v>
      </c>
      <c r="BE21" s="1626" t="b">
        <f>IF(OR(AF21="", V21=""),FALSE,IF(COUNT(FIND({0,1,2,3,4,5,6,7,8,9}, AF21))=0, FALSE, IF(YEAR(AF21)&lt;V21, TRUE, FALSE)))</f>
        <v>0</v>
      </c>
      <c r="BF21" s="1625" t="b">
        <f>IF(AND($C21&lt;&gt;"",$AF21=""),TRUE,FALSE)</f>
        <v>0</v>
      </c>
      <c r="BG21" s="721"/>
      <c r="BH21" s="1625" t="str">
        <f>IF($T21="","",VLOOKUP($T21,val_facilities,BH$3,FALSE))</f>
        <v/>
      </c>
      <c r="BI21" s="1627" t="str">
        <f>IF($T21="","",VLOOKUP($T21,val_facilities,BI$3,FALSE))</f>
        <v/>
      </c>
      <c r="BJ21" s="1627" t="str">
        <f>IF($T21="","",VLOOKUP($T21,val_facilities,BJ$3,FALSE))</f>
        <v/>
      </c>
      <c r="BK21" s="1627" t="str">
        <f ca="1">IFERROR(IF(V21="", "", YEAR(TODAY())-V21), "")</f>
        <v/>
      </c>
      <c r="BL21" s="845" t="str">
        <f>IF($T21="","",VLOOKUP($T21,val_facilities,BL$3,FALSE))</f>
        <v/>
      </c>
      <c r="BM21" s="845" t="str">
        <f>IF($T21="","",VLOOKUP($T21,val_facilities,BM$3,FALSE))</f>
        <v/>
      </c>
      <c r="BN21" s="758"/>
      <c r="BO21" s="721">
        <f t="shared" si="2"/>
        <v>0</v>
      </c>
      <c r="BP21" s="816"/>
      <c r="BQ21" s="816"/>
      <c r="BR21" s="816"/>
      <c r="BS21" s="816"/>
      <c r="BT21" s="816"/>
    </row>
    <row r="22" spans="1:72" s="686" customFormat="1" ht="6.75" customHeight="1" thickBot="1" x14ac:dyDescent="0.25">
      <c r="A22" s="1638"/>
      <c r="B22" s="1712">
        <v>5.5</v>
      </c>
      <c r="C22" s="1057"/>
      <c r="D22" s="764"/>
      <c r="E22" s="1057"/>
      <c r="F22" s="1229"/>
      <c r="G22" s="1229"/>
      <c r="H22" s="1229"/>
      <c r="I22" s="1229"/>
      <c r="J22" s="1604"/>
      <c r="K22" s="1229"/>
      <c r="L22" s="1605"/>
      <c r="M22" s="1644"/>
      <c r="N22" s="1605"/>
      <c r="O22" s="1644"/>
      <c r="P22" s="1606"/>
      <c r="Q22" s="1644"/>
      <c r="R22" s="1057"/>
      <c r="S22" s="1623"/>
      <c r="T22" s="1643"/>
      <c r="U22" s="1623"/>
      <c r="V22" s="1623"/>
      <c r="W22" s="1623"/>
      <c r="X22" s="722"/>
      <c r="Y22" s="841"/>
      <c r="Z22" s="841"/>
      <c r="AA22" s="841"/>
      <c r="AB22" s="722"/>
      <c r="AC22" s="841"/>
      <c r="AD22" s="722"/>
      <c r="AE22" s="841"/>
      <c r="AF22" s="1717"/>
      <c r="AG22" s="841"/>
      <c r="AH22" s="1057"/>
      <c r="AI22" s="1644"/>
      <c r="AJ22" s="1644"/>
      <c r="AK22" s="1644"/>
      <c r="AL22" s="1644"/>
      <c r="AM22" s="1625"/>
      <c r="AN22" s="1625"/>
      <c r="AO22" s="1625"/>
      <c r="AP22" s="1625"/>
      <c r="AQ22" s="1625"/>
      <c r="AR22" s="848"/>
      <c r="AS22" s="848"/>
      <c r="AT22" s="848"/>
      <c r="AU22" s="848"/>
      <c r="AV22" s="848"/>
      <c r="AW22" s="848"/>
      <c r="AX22" s="848"/>
      <c r="AY22" s="848"/>
      <c r="AZ22" s="848"/>
      <c r="BA22" s="848"/>
      <c r="BB22" s="848"/>
      <c r="BC22" s="848"/>
      <c r="BD22" s="848"/>
      <c r="BE22" s="848"/>
      <c r="BF22" s="848"/>
      <c r="BG22" s="685"/>
      <c r="BH22" s="848"/>
      <c r="BI22" s="848"/>
      <c r="BJ22" s="848"/>
      <c r="BK22" s="848"/>
      <c r="BL22" s="848"/>
      <c r="BM22" s="848"/>
      <c r="BN22" s="1229"/>
      <c r="BO22" s="721">
        <f t="shared" si="2"/>
        <v>0</v>
      </c>
    </row>
    <row r="23" spans="1:72" s="816" customFormat="1" x14ac:dyDescent="0.2">
      <c r="A23" s="840">
        <v>6</v>
      </c>
      <c r="B23" s="1712">
        <v>6</v>
      </c>
      <c r="C23" s="1613"/>
      <c r="D23" s="1248" t="str">
        <f>IF(AND(C23="",C21&lt;&gt;""),"Enter Facility "&amp;TEXT(A23,0)&amp;" Name, then Fill in Columns "&amp;TEXT($H$2,0)&amp;" - "&amp;TEXT($AH$2,0)&amp;"       ","")</f>
        <v/>
      </c>
      <c r="E23" s="1245" t="str">
        <f>IF(AL23="N/A","",AL23)</f>
        <v/>
      </c>
      <c r="F23" s="758"/>
      <c r="G23" s="758"/>
      <c r="H23" s="1614"/>
      <c r="I23" s="758"/>
      <c r="J23" s="1615"/>
      <c r="K23" s="1248" t="str">
        <f>IF(E23&lt;&gt;"","Enter Street Address                   ","")</f>
        <v/>
      </c>
      <c r="L23" s="1615"/>
      <c r="M23" s="1248" t="str">
        <f>IF(E23&lt;&gt;"","Enter City Name       ","")</f>
        <v/>
      </c>
      <c r="N23" s="1613"/>
      <c r="O23" s="1248" t="str">
        <f>IF(E23&lt;&gt;"","Select from Pull-Down List   ","")</f>
        <v/>
      </c>
      <c r="P23" s="1616"/>
      <c r="Q23" s="1248" t="str">
        <f>IF($E23&lt;&gt;"","Enter ZIP Code       ","")</f>
        <v/>
      </c>
      <c r="R23" s="1617"/>
      <c r="S23" s="1618" t="str">
        <f>IF($E23&lt;&gt;"","Select from Pull-Down List  ","")</f>
        <v/>
      </c>
      <c r="T23" s="1617"/>
      <c r="U23" s="1618" t="str">
        <f>IF(AND($C23&lt;&gt;"",T23=""),"Select from Pull-Down List  ","")</f>
        <v/>
      </c>
      <c r="V23" s="1619"/>
      <c r="W23" s="1248" t="str">
        <f>IF(E23&lt;&gt;"","Year?   ","")</f>
        <v/>
      </c>
      <c r="X23" s="1247"/>
      <c r="Y23" s="1620" t="str">
        <f>IF(E23&lt;&gt;"","Sq. Feet?   ","")</f>
        <v/>
      </c>
      <c r="Z23" s="1621"/>
      <c r="AA23" s="1618" t="str">
        <f>IF($E23&lt;&gt;"","% of Cap Resp.","")</f>
        <v/>
      </c>
      <c r="AB23" s="1782" t="str">
        <f ca="1">IFERROR(IF(BK23="", "", IF(BK23&gt;100, 1, VLOOKUP(BK23, Valid!$W$1:$AA$101, VLOOKUP(T23, Codes!$G$7:$I$17, 3, FALSE), FALSE))), "")</f>
        <v/>
      </c>
      <c r="AC23" s="1618"/>
      <c r="AD23" s="1247"/>
      <c r="AE23" s="1620" t="str">
        <f>IF($E23&lt;&gt;"","Drop-Down    ","")</f>
        <v/>
      </c>
      <c r="AF23" s="1720"/>
      <c r="AG23" s="1620" t="b">
        <f>IF(E23&lt;&gt;"","Date?   ")</f>
        <v>0</v>
      </c>
      <c r="AH23" s="1613"/>
      <c r="AI23" s="1248" t="str">
        <f>IF(OR(T23="Other (describe in Notes)",T23="Dual Administrative and Maintenance Facility"),"Describe Facility                                                                                         ","")</f>
        <v/>
      </c>
      <c r="AJ23" s="1624"/>
      <c r="AK23" s="1624" t="b">
        <f>IF(AND(C23="",C25&lt;&gt;""),TRUE,FALSE)</f>
        <v>0</v>
      </c>
      <c r="AL23" s="1624" t="str">
        <f>IF(AND($C23&lt;&gt;"",OR($J23="",$L23="",$N23="",$P23="",$R23="",$T23="",$V23="",$X23="",$Z23="",$AD23="",$AF23="")),"No",IF(AND($C23="",OR($H23&lt;&gt;"",$J23&lt;&gt;"",$L23&lt;&gt;"",$N23&lt;&gt;"",$P23&lt;&gt;"",$R23&lt;&gt;"",$T23&lt;&gt;"",$V23&lt;&gt;"",$X23&lt;&gt;"",$Z23&lt;&gt;"",$AD23&lt;&gt;"",$AF23&lt;&gt;"")),"N",IF(AND($H23="",$C23="",$J23="",$L23="",$N23="",$P23="",$R23="",$T23="",$V23="",$X23="",$Z23="",$AD23="",$AF23=""),"N/A",IF(AND($C23&lt;&gt;"",$J23&lt;&gt;"",$L23&lt;&gt;"",$N23&lt;&gt;"",$P23&lt;&gt;"",$R23&lt;&gt;"",$T23&lt;&gt;"",$V23&lt;&gt;"",$X23&lt;&gt;"",$Z23&lt;&gt;"",$AD23&lt;&gt;"",$AF23&lt;&gt;""),"Yes",""))))</f>
        <v>N/A</v>
      </c>
      <c r="AM23" s="1625" t="b">
        <f ca="1">IF(AND($C23="",OR($J23&lt;&gt;"",$L23&lt;&gt;"",$N23&lt;&gt;"",$P23&lt;&gt;"",$R23&lt;&gt;"",$T23&lt;&gt;"",$V23&lt;&gt;"",$X23&lt;&gt;"",$Z23&lt;&gt;"",$AB23&lt;&gt;"",$AF23&lt;&gt;"")),TRUE,FALSE)</f>
        <v>0</v>
      </c>
      <c r="AN23" s="1625" t="b">
        <f>IF(AND($C23&lt;&gt;"",$J23=""),TRUE,FALSE)</f>
        <v>0</v>
      </c>
      <c r="AO23" s="1625" t="b">
        <f>IF(AND($C23&lt;&gt;"",$L23=""),TRUE,FALSE)</f>
        <v>0</v>
      </c>
      <c r="AP23" s="1625" t="b">
        <f>IF(AND($C23&lt;&gt;"",$N23=""),TRUE,FALSE)</f>
        <v>0</v>
      </c>
      <c r="AQ23" s="1625" t="b">
        <f>IF(AND($C23&lt;&gt;"",$P23=""),TRUE,FALSE)</f>
        <v>0</v>
      </c>
      <c r="AR23" s="1625" t="b">
        <f>IF(AND($C23&lt;&gt;"",$R23=""),TRUE,FALSE)</f>
        <v>0</v>
      </c>
      <c r="AS23" s="1625"/>
      <c r="AT23" s="1625" t="b">
        <f ca="1">IF(AND(T23="",OR(V23&lt;&gt;"",X23&lt;&gt;"",Z23&lt;&gt;"",AB23&lt;&gt;"",AF23&lt;&gt;"")),TRUE,FALSE)</f>
        <v>0</v>
      </c>
      <c r="AU23" s="1625" t="b">
        <f>IF(AND($C23&lt;&gt;"",$T23=""),TRUE,FALSE)</f>
        <v>0</v>
      </c>
      <c r="AV23" s="1625" t="b">
        <f>IF(V23="",FALSE,IF(T23="",FALSE,IF(AW23=TRUE,FALSE,IF(OR(V23&lt;BI23,V23&gt;BaseYear),TRUE,FALSE))))</f>
        <v>0</v>
      </c>
      <c r="AW23" s="1625" t="b">
        <f>IF(AND($C23&lt;&gt;"",$V23=""),TRUE,FALSE)</f>
        <v>0</v>
      </c>
      <c r="AX23" s="1625" t="b">
        <f>IF(X23="",FALSE,IF(T23="",FALSE,IF(AZ23=TRUE,FALSE,IF(X23&lt;BL23,TRUE,FALSE))))</f>
        <v>0</v>
      </c>
      <c r="AY23" s="1625" t="b">
        <f>IF(X23="",FALSE,IF(T23="",FALSE,IF(AZ23=TRUE,FALSE,IF(X23&gt;BM23,TRUE,FALSE))))</f>
        <v>0</v>
      </c>
      <c r="AZ23" s="1625" t="b">
        <f>IF(AND($C23&lt;&gt;"",$X23=""),TRUE,FALSE)</f>
        <v>0</v>
      </c>
      <c r="BA23" s="1626" t="b">
        <f>IF(BB23=TRUE,FALSE,IF(OR(Z23&lt;0,Z23&gt;1),TRUE,FALSE))</f>
        <v>0</v>
      </c>
      <c r="BB23" s="1625" t="b">
        <f>IF(AND($C23&lt;&gt;"",$Z23=""),TRUE,FALSE)</f>
        <v>0</v>
      </c>
      <c r="BC23" s="1626"/>
      <c r="BD23" s="1625" t="b">
        <f ca="1">IF(AND($C23&lt;&gt;"",$AB23=""),TRUE,FALSE)</f>
        <v>0</v>
      </c>
      <c r="BE23" s="1626" t="b">
        <f>IF(OR(AF23="", V23=""),FALSE,IF(COUNT(FIND({0,1,2,3,4,5,6,7,8,9}, AF23))=0, FALSE, IF(YEAR(AF23)&lt;V23, TRUE, FALSE)))</f>
        <v>0</v>
      </c>
      <c r="BF23" s="1625" t="b">
        <f>IF(AND($C23&lt;&gt;"",$AF23=""),TRUE,FALSE)</f>
        <v>0</v>
      </c>
      <c r="BG23" s="721"/>
      <c r="BH23" s="1625" t="str">
        <f>IF($T23="","",VLOOKUP($T23,val_facilities,BH$3,FALSE))</f>
        <v/>
      </c>
      <c r="BI23" s="1627" t="str">
        <f>IF($T23="","",VLOOKUP($T23,val_facilities,BI$3,FALSE))</f>
        <v/>
      </c>
      <c r="BJ23" s="1627" t="str">
        <f>IF($T23="","",VLOOKUP($T23,val_facilities,BJ$3,FALSE))</f>
        <v/>
      </c>
      <c r="BK23" s="1627" t="str">
        <f ca="1">IFERROR(IF(V23="", "", YEAR(TODAY())-V23), "")</f>
        <v/>
      </c>
      <c r="BL23" s="845" t="str">
        <f>IF($T23="","",VLOOKUP($T23,val_facilities,BL$3,FALSE))</f>
        <v/>
      </c>
      <c r="BM23" s="845" t="str">
        <f>IF($T23="","",VLOOKUP($T23,val_facilities,BM$3,FALSE))</f>
        <v/>
      </c>
      <c r="BN23" s="758"/>
      <c r="BO23" s="721">
        <f t="shared" si="2"/>
        <v>0</v>
      </c>
    </row>
    <row r="24" spans="1:72" s="816" customFormat="1" ht="6.75" customHeight="1" thickBot="1" x14ac:dyDescent="0.25">
      <c r="A24" s="840"/>
      <c r="B24" s="1712">
        <v>6.5</v>
      </c>
      <c r="C24" s="721"/>
      <c r="D24" s="1248"/>
      <c r="F24" s="758"/>
      <c r="G24" s="758"/>
      <c r="H24" s="758"/>
      <c r="I24" s="758"/>
      <c r="J24" s="1633"/>
      <c r="K24" s="1248"/>
      <c r="L24" s="1634"/>
      <c r="M24" s="1248"/>
      <c r="N24" s="1634"/>
      <c r="O24" s="1248"/>
      <c r="P24" s="1635"/>
      <c r="Q24" s="1248"/>
      <c r="R24" s="1059"/>
      <c r="S24" s="1618"/>
      <c r="T24" s="1636"/>
      <c r="U24" s="1618"/>
      <c r="V24" s="1623"/>
      <c r="W24" s="1618"/>
      <c r="X24" s="722"/>
      <c r="Y24" s="723"/>
      <c r="Z24" s="724"/>
      <c r="AA24" s="723"/>
      <c r="AB24" s="722"/>
      <c r="AC24" s="723"/>
      <c r="AD24" s="722"/>
      <c r="AE24" s="723"/>
      <c r="AF24" s="1717"/>
      <c r="AG24" s="723"/>
      <c r="AH24" s="1637"/>
      <c r="AI24" s="1624"/>
      <c r="AJ24" s="1624"/>
      <c r="AK24" s="1624"/>
      <c r="AL24" s="1624"/>
      <c r="AM24" s="1625"/>
      <c r="AN24" s="1625"/>
      <c r="AO24" s="1625"/>
      <c r="AP24" s="1625"/>
      <c r="AQ24" s="1625"/>
      <c r="AR24" s="1625"/>
      <c r="AS24" s="1625"/>
      <c r="AT24" s="1625"/>
      <c r="AU24" s="1625"/>
      <c r="AV24" s="1626"/>
      <c r="AW24" s="1626"/>
      <c r="AX24" s="1626"/>
      <c r="AY24" s="1626"/>
      <c r="AZ24" s="1626"/>
      <c r="BA24" s="1626"/>
      <c r="BB24" s="1626"/>
      <c r="BC24" s="1626"/>
      <c r="BD24" s="1626"/>
      <c r="BE24" s="1626"/>
      <c r="BF24" s="1626"/>
      <c r="BG24" s="721"/>
      <c r="BH24" s="1626"/>
      <c r="BI24" s="1626"/>
      <c r="BJ24" s="1626"/>
      <c r="BK24" s="1626"/>
      <c r="BL24" s="1626"/>
      <c r="BM24" s="1626"/>
      <c r="BN24" s="758"/>
      <c r="BO24" s="721">
        <f t="shared" si="2"/>
        <v>0</v>
      </c>
    </row>
    <row r="25" spans="1:72" s="816" customFormat="1" x14ac:dyDescent="0.2">
      <c r="A25" s="840">
        <v>7</v>
      </c>
      <c r="B25" s="1712">
        <v>7</v>
      </c>
      <c r="C25" s="1613"/>
      <c r="D25" s="1248" t="str">
        <f>IF(AND(C25="",C23&lt;&gt;""),"Enter Facility "&amp;TEXT(A25,0)&amp;" Name, then Fill in Columns "&amp;TEXT($H$2,0)&amp;" - "&amp;TEXT($AH$2,0)&amp;"       ","")</f>
        <v/>
      </c>
      <c r="E25" s="1245" t="str">
        <f>IF(AL25="N/A","",AL25)</f>
        <v/>
      </c>
      <c r="F25" s="758"/>
      <c r="G25" s="758"/>
      <c r="H25" s="1614"/>
      <c r="I25" s="758"/>
      <c r="J25" s="1615"/>
      <c r="K25" s="1248" t="str">
        <f>IF(E25&lt;&gt;"","Enter Street Address                   ","")</f>
        <v/>
      </c>
      <c r="L25" s="1615"/>
      <c r="M25" s="1248" t="str">
        <f>IF(E25&lt;&gt;"","Enter City Name       ","")</f>
        <v/>
      </c>
      <c r="N25" s="1613"/>
      <c r="O25" s="1248" t="str">
        <f>IF(E25&lt;&gt;"","Select from Pull-Down List   ","")</f>
        <v/>
      </c>
      <c r="P25" s="1616"/>
      <c r="Q25" s="1248" t="str">
        <f>IF($E25&lt;&gt;"","Enter ZIP Code       ","")</f>
        <v/>
      </c>
      <c r="R25" s="1617"/>
      <c r="S25" s="1618" t="str">
        <f>IF($E25&lt;&gt;"","Select from Pull-Down List  ","")</f>
        <v/>
      </c>
      <c r="T25" s="1617"/>
      <c r="U25" s="1618" t="str">
        <f>IF(AND($C25&lt;&gt;"",T25=""),"Select from Pull-Down List  ","")</f>
        <v/>
      </c>
      <c r="V25" s="1619"/>
      <c r="W25" s="1248" t="str">
        <f>IF(E25&lt;&gt;"","Year?   ","")</f>
        <v/>
      </c>
      <c r="X25" s="1247"/>
      <c r="Y25" s="1620" t="str">
        <f>IF(E25&lt;&gt;"","Sq. Feet?   ","")</f>
        <v/>
      </c>
      <c r="Z25" s="1621"/>
      <c r="AA25" s="1618" t="str">
        <f>IF($E25&lt;&gt;"","% of Cap Resp.","")</f>
        <v/>
      </c>
      <c r="AB25" s="1782" t="str">
        <f ca="1">IFERROR(IF(BK25="", "", IF(BK25&gt;100, 1, VLOOKUP(BK25, Valid!$W$1:$AA$101, VLOOKUP(T25, Codes!$G$7:$I$17, 3, FALSE), FALSE))), "")</f>
        <v/>
      </c>
      <c r="AC25" s="1618"/>
      <c r="AD25" s="1247"/>
      <c r="AE25" s="1620" t="str">
        <f>IF($E25&lt;&gt;"","Drop-Down    ","")</f>
        <v/>
      </c>
      <c r="AF25" s="1720"/>
      <c r="AG25" s="1620" t="b">
        <f>IF(E25&lt;&gt;"","Date?   ")</f>
        <v>0</v>
      </c>
      <c r="AH25" s="1613"/>
      <c r="AI25" s="1248" t="str">
        <f>IF(OR(T25="Other (describe in Notes)",T25="Dual Administrative and Maintenance Facility"),"Describe Facility                                                                                         ","")</f>
        <v/>
      </c>
      <c r="AJ25" s="1624"/>
      <c r="AK25" s="1624" t="b">
        <f>IF(AND(C25="",C27&lt;&gt;""),TRUE,FALSE)</f>
        <v>0</v>
      </c>
      <c r="AL25" s="1624" t="str">
        <f>IF(AND($C25&lt;&gt;"",OR($J25="",$L25="",$N25="",$P25="",$R25="",$T25="",$V25="",$X25="",$Z25="",$AD25="",$AF25="")),"No",IF(AND($C25="",OR($H25&lt;&gt;"",$J25&lt;&gt;"",$L25&lt;&gt;"",$N25&lt;&gt;"",$P25&lt;&gt;"",$R25&lt;&gt;"",$T25&lt;&gt;"",$V25&lt;&gt;"",$X25&lt;&gt;"",$Z25&lt;&gt;"",$AD25&lt;&gt;"",$AF25&lt;&gt;"")),"N",IF(AND($H25="",$C25="",$J25="",$L25="",$N25="",$P25="",$R25="",$T25="",$V25="",$X25="",$Z25="",$AD25="",$AF25=""),"N/A",IF(AND($C25&lt;&gt;"",$J25&lt;&gt;"",$L25&lt;&gt;"",$N25&lt;&gt;"",$P25&lt;&gt;"",$R25&lt;&gt;"",$T25&lt;&gt;"",$V25&lt;&gt;"",$X25&lt;&gt;"",$Z25&lt;&gt;"",$AD25&lt;&gt;"",$AF25&lt;&gt;""),"Yes",""))))</f>
        <v>N/A</v>
      </c>
      <c r="AM25" s="1625" t="b">
        <f ca="1">IF(AND($C25="",OR($J25&lt;&gt;"",$L25&lt;&gt;"",$N25&lt;&gt;"",$P25&lt;&gt;"",$R25&lt;&gt;"",$T25&lt;&gt;"",$V25&lt;&gt;"",$X25&lt;&gt;"",$Z25&lt;&gt;"",$AB25&lt;&gt;"",$AF25&lt;&gt;"")),TRUE,FALSE)</f>
        <v>0</v>
      </c>
      <c r="AN25" s="1625" t="b">
        <f>IF(AND($C25&lt;&gt;"",$J25=""),TRUE,FALSE)</f>
        <v>0</v>
      </c>
      <c r="AO25" s="1625" t="b">
        <f>IF(AND($C25&lt;&gt;"",$L25=""),TRUE,FALSE)</f>
        <v>0</v>
      </c>
      <c r="AP25" s="1625" t="b">
        <f>IF(AND($C25&lt;&gt;"",$N25=""),TRUE,FALSE)</f>
        <v>0</v>
      </c>
      <c r="AQ25" s="1625" t="b">
        <f>IF(AND($C25&lt;&gt;"",$P25=""),TRUE,FALSE)</f>
        <v>0</v>
      </c>
      <c r="AR25" s="1625" t="b">
        <f>IF(AND($C25&lt;&gt;"",$R25=""),TRUE,FALSE)</f>
        <v>0</v>
      </c>
      <c r="AS25" s="1625"/>
      <c r="AT25" s="1625" t="b">
        <f ca="1">IF(AND(T25="",OR(V25&lt;&gt;"",X25&lt;&gt;"",Z25&lt;&gt;"",AB25&lt;&gt;"",AF25&lt;&gt;"")),TRUE,FALSE)</f>
        <v>0</v>
      </c>
      <c r="AU25" s="1625" t="b">
        <f>IF(AND($C25&lt;&gt;"",$T25=""),TRUE,FALSE)</f>
        <v>0</v>
      </c>
      <c r="AV25" s="1625" t="b">
        <f>IF(V25="",FALSE,IF(T25="",FALSE,IF(AW25=TRUE,FALSE,IF(OR(V25&lt;BI25,V25&gt;BaseYear),TRUE,FALSE))))</f>
        <v>0</v>
      </c>
      <c r="AW25" s="1625" t="b">
        <f>IF(AND($C25&lt;&gt;"",$V25=""),TRUE,FALSE)</f>
        <v>0</v>
      </c>
      <c r="AX25" s="1625" t="b">
        <f>IF(X25="",FALSE,IF(T25="",FALSE,IF(AZ25=TRUE,FALSE,IF(X25&lt;BL25,TRUE,FALSE))))</f>
        <v>0</v>
      </c>
      <c r="AY25" s="1625" t="b">
        <f>IF(X25="",FALSE,IF(T25="",FALSE,IF(AZ25=TRUE,FALSE,IF(X25&gt;BM25,TRUE,FALSE))))</f>
        <v>0</v>
      </c>
      <c r="AZ25" s="1625" t="b">
        <f>IF(AND($C25&lt;&gt;"",$X25=""),TRUE,FALSE)</f>
        <v>0</v>
      </c>
      <c r="BA25" s="1626" t="b">
        <f>IF(BB25=TRUE,FALSE,IF(OR(Z25&lt;0,Z25&gt;1),TRUE,FALSE))</f>
        <v>0</v>
      </c>
      <c r="BB25" s="1625" t="b">
        <f>IF(AND($C25&lt;&gt;"",$Z25=""),TRUE,FALSE)</f>
        <v>0</v>
      </c>
      <c r="BC25" s="1626"/>
      <c r="BD25" s="1625" t="b">
        <f ca="1">IF(AND($C25&lt;&gt;"",$AB25=""),TRUE,FALSE)</f>
        <v>0</v>
      </c>
      <c r="BE25" s="1626" t="b">
        <f>IF(OR(AF25="", V25=""),FALSE,IF(COUNT(FIND({0,1,2,3,4,5,6,7,8,9}, AF25))=0, FALSE, IF(YEAR(AF25)&lt;V25, TRUE, FALSE)))</f>
        <v>0</v>
      </c>
      <c r="BF25" s="1625" t="b">
        <f>IF(AND($C25&lt;&gt;"",$AF25=""),TRUE,FALSE)</f>
        <v>0</v>
      </c>
      <c r="BG25" s="721"/>
      <c r="BH25" s="1625" t="str">
        <f>IF($T25="","",VLOOKUP($T25,val_facilities,BH$3,FALSE))</f>
        <v/>
      </c>
      <c r="BI25" s="1627" t="str">
        <f>IF($T25="","",VLOOKUP($T25,val_facilities,BI$3,FALSE))</f>
        <v/>
      </c>
      <c r="BJ25" s="1627" t="str">
        <f>IF($T25="","",VLOOKUP($T25,val_facilities,BJ$3,FALSE))</f>
        <v/>
      </c>
      <c r="BK25" s="1627" t="str">
        <f ca="1">IFERROR(IF(V25="", "", YEAR(TODAY())-V25), "")</f>
        <v/>
      </c>
      <c r="BL25" s="845" t="str">
        <f>IF($T25="","",VLOOKUP($T25,val_facilities,BL$3,FALSE))</f>
        <v/>
      </c>
      <c r="BM25" s="845" t="str">
        <f>IF($T25="","",VLOOKUP($T25,val_facilities,BM$3,FALSE))</f>
        <v/>
      </c>
      <c r="BN25" s="758"/>
      <c r="BO25" s="721">
        <f t="shared" si="2"/>
        <v>0</v>
      </c>
    </row>
    <row r="26" spans="1:72" s="686" customFormat="1" ht="6.75" customHeight="1" thickBot="1" x14ac:dyDescent="0.25">
      <c r="A26" s="1638"/>
      <c r="B26" s="1712">
        <v>7.5</v>
      </c>
      <c r="C26" s="1057"/>
      <c r="D26" s="1248"/>
      <c r="E26" s="1057"/>
      <c r="F26" s="1229"/>
      <c r="G26" s="1229"/>
      <c r="H26" s="1229"/>
      <c r="I26" s="1229"/>
      <c r="J26" s="1604"/>
      <c r="K26" s="1640"/>
      <c r="L26" s="1641"/>
      <c r="M26" s="1248"/>
      <c r="N26" s="1641"/>
      <c r="O26" s="1248"/>
      <c r="P26" s="1642"/>
      <c r="Q26" s="1248"/>
      <c r="R26" s="1057"/>
      <c r="S26" s="1618"/>
      <c r="T26" s="1643"/>
      <c r="U26" s="1618"/>
      <c r="V26" s="1623"/>
      <c r="W26" s="1618"/>
      <c r="X26" s="733"/>
      <c r="Y26" s="1275"/>
      <c r="Z26" s="685"/>
      <c r="AA26" s="1275"/>
      <c r="AB26" s="733"/>
      <c r="AC26" s="1275"/>
      <c r="AD26" s="733"/>
      <c r="AE26" s="1275"/>
      <c r="AF26" s="1721"/>
      <c r="AG26" s="1275"/>
      <c r="AH26" s="1057"/>
      <c r="AI26" s="1644"/>
      <c r="AJ26" s="1644"/>
      <c r="AK26" s="1644"/>
      <c r="AL26" s="1644"/>
      <c r="AM26" s="1625"/>
      <c r="AN26" s="1625"/>
      <c r="AO26" s="1625"/>
      <c r="AP26" s="1625"/>
      <c r="AQ26" s="1625"/>
      <c r="AR26" s="848"/>
      <c r="AS26" s="848"/>
      <c r="AT26" s="848"/>
      <c r="AU26" s="848"/>
      <c r="AV26" s="848"/>
      <c r="AW26" s="848"/>
      <c r="AX26" s="848"/>
      <c r="AY26" s="848"/>
      <c r="AZ26" s="848"/>
      <c r="BA26" s="848"/>
      <c r="BB26" s="848"/>
      <c r="BC26" s="848"/>
      <c r="BD26" s="848"/>
      <c r="BE26" s="848"/>
      <c r="BF26" s="848"/>
      <c r="BG26" s="685"/>
      <c r="BH26" s="848"/>
      <c r="BI26" s="848"/>
      <c r="BJ26" s="848"/>
      <c r="BK26" s="848"/>
      <c r="BL26" s="848"/>
      <c r="BM26" s="848"/>
      <c r="BN26" s="1229"/>
      <c r="BO26" s="721">
        <f t="shared" si="2"/>
        <v>0</v>
      </c>
    </row>
    <row r="27" spans="1:72" s="686" customFormat="1" x14ac:dyDescent="0.2">
      <c r="A27" s="840">
        <v>8</v>
      </c>
      <c r="B27" s="1712">
        <v>8</v>
      </c>
      <c r="C27" s="1613"/>
      <c r="D27" s="1248" t="str">
        <f>IF(AND(C27="",C25&lt;&gt;""),"Enter Facility "&amp;TEXT(A27,0)&amp;" Name, then Fill in Columns "&amp;TEXT($H$2,0)&amp;" - "&amp;TEXT($AH$2,0)&amp;"       ","")</f>
        <v/>
      </c>
      <c r="E27" s="1245" t="str">
        <f>IF(AL27="N/A","",AL27)</f>
        <v/>
      </c>
      <c r="F27" s="758"/>
      <c r="G27" s="758"/>
      <c r="H27" s="1614"/>
      <c r="I27" s="758"/>
      <c r="J27" s="1615"/>
      <c r="K27" s="1248" t="str">
        <f>IF(E27&lt;&gt;"","Enter Street Address                   ","")</f>
        <v/>
      </c>
      <c r="L27" s="1615"/>
      <c r="M27" s="1248" t="str">
        <f>IF(E27&lt;&gt;"","Enter City Name       ","")</f>
        <v/>
      </c>
      <c r="N27" s="1613"/>
      <c r="O27" s="1248" t="str">
        <f>IF(E27&lt;&gt;"","Select from Pull-Down List   ","")</f>
        <v/>
      </c>
      <c r="P27" s="1616"/>
      <c r="Q27" s="1248" t="str">
        <f>IF($E27&lt;&gt;"","Enter ZIP Code       ","")</f>
        <v/>
      </c>
      <c r="R27" s="1617"/>
      <c r="S27" s="1618" t="str">
        <f>IF($E27&lt;&gt;"","Select from Pull-Down List  ","")</f>
        <v/>
      </c>
      <c r="T27" s="1617"/>
      <c r="U27" s="1618" t="str">
        <f>IF(AND($C27&lt;&gt;"",T27=""),"Select from Pull-Down List  ","")</f>
        <v/>
      </c>
      <c r="V27" s="1619"/>
      <c r="W27" s="1248" t="str">
        <f>IF(E27&lt;&gt;"","Year?   ","")</f>
        <v/>
      </c>
      <c r="X27" s="1247"/>
      <c r="Y27" s="1620" t="str">
        <f>IF(E27&lt;&gt;"","Sq. Feet?   ","")</f>
        <v/>
      </c>
      <c r="Z27" s="1621"/>
      <c r="AA27" s="1618" t="str">
        <f>IF($E27&lt;&gt;"","% of Cap Resp.","")</f>
        <v/>
      </c>
      <c r="AB27" s="1782" t="str">
        <f ca="1">IFERROR(IF(BK27="", "", IF(BK27&gt;100, 1, VLOOKUP(BK27, Valid!$W$1:$AA$101, VLOOKUP(T27, Codes!$G$7:$I$17, 3, FALSE), FALSE))), "")</f>
        <v/>
      </c>
      <c r="AC27" s="1618"/>
      <c r="AD27" s="1247"/>
      <c r="AE27" s="1620" t="str">
        <f>IF($E27&lt;&gt;"","Drop-Down    ","")</f>
        <v/>
      </c>
      <c r="AF27" s="1720"/>
      <c r="AG27" s="1620" t="b">
        <f>IF(E27&lt;&gt;"","Date?   ")</f>
        <v>0</v>
      </c>
      <c r="AH27" s="1613"/>
      <c r="AI27" s="1248" t="str">
        <f>IF(OR(T27="Other (describe in Notes)",T27="Dual Administrative and Maintenance Facility"),"Describe Facility                                                                                         ","")</f>
        <v/>
      </c>
      <c r="AJ27" s="1624"/>
      <c r="AK27" s="1624" t="b">
        <f>IF(AND(C27="",C29&lt;&gt;""),TRUE,FALSE)</f>
        <v>0</v>
      </c>
      <c r="AL27" s="1624" t="str">
        <f>IF(AND($C27&lt;&gt;"",OR($J27="",$L27="",$N27="",$P27="",$R27="",$T27="",$V27="",$X27="",$Z27="",$AD27="",$AF27="")),"No",IF(AND($C27="",OR($H27&lt;&gt;"",$J27&lt;&gt;"",$L27&lt;&gt;"",$N27&lt;&gt;"",$P27&lt;&gt;"",$R27&lt;&gt;"",$T27&lt;&gt;"",$V27&lt;&gt;"",$X27&lt;&gt;"",$Z27&lt;&gt;"",$AD27&lt;&gt;"",$AF27&lt;&gt;"")),"N",IF(AND($H27="",$C27="",$J27="",$L27="",$N27="",$P27="",$R27="",$T27="",$V27="",$X27="",$Z27="",$AD27="",$AF27=""),"N/A",IF(AND($C27&lt;&gt;"",$J27&lt;&gt;"",$L27&lt;&gt;"",$N27&lt;&gt;"",$P27&lt;&gt;"",$R27&lt;&gt;"",$T27&lt;&gt;"",$V27&lt;&gt;"",$X27&lt;&gt;"",$Z27&lt;&gt;"",$AD27&lt;&gt;"",$AF27&lt;&gt;""),"Yes",""))))</f>
        <v>N/A</v>
      </c>
      <c r="AM27" s="1625" t="b">
        <f ca="1">IF(AND($C27="",OR($J27&lt;&gt;"",$L27&lt;&gt;"",$N27&lt;&gt;"",$P27&lt;&gt;"",$R27&lt;&gt;"",$T27&lt;&gt;"",$V27&lt;&gt;"",$X27&lt;&gt;"",$Z27&lt;&gt;"",$AB27&lt;&gt;"",$AF27&lt;&gt;"")),TRUE,FALSE)</f>
        <v>0</v>
      </c>
      <c r="AN27" s="1625" t="b">
        <f>IF(AND($C27&lt;&gt;"",$J27=""),TRUE,FALSE)</f>
        <v>0</v>
      </c>
      <c r="AO27" s="1625" t="b">
        <f>IF(AND($C27&lt;&gt;"",$L27=""),TRUE,FALSE)</f>
        <v>0</v>
      </c>
      <c r="AP27" s="1625" t="b">
        <f>IF(AND($C27&lt;&gt;"",$N27=""),TRUE,FALSE)</f>
        <v>0</v>
      </c>
      <c r="AQ27" s="1625" t="b">
        <f>IF(AND($C27&lt;&gt;"",$P27=""),TRUE,FALSE)</f>
        <v>0</v>
      </c>
      <c r="AR27" s="1625" t="b">
        <f>IF(AND($C27&lt;&gt;"",$R27=""),TRUE,FALSE)</f>
        <v>0</v>
      </c>
      <c r="AS27" s="1625"/>
      <c r="AT27" s="1625" t="b">
        <f ca="1">IF(AND(T27="",OR(V27&lt;&gt;"",X27&lt;&gt;"",Z27&lt;&gt;"",AB27&lt;&gt;"",AF27&lt;&gt;"")),TRUE,FALSE)</f>
        <v>0</v>
      </c>
      <c r="AU27" s="1625" t="b">
        <f>IF(AND($C27&lt;&gt;"",$T27=""),TRUE,FALSE)</f>
        <v>0</v>
      </c>
      <c r="AV27" s="1625" t="b">
        <f>IF(V27="",FALSE,IF(T27="",FALSE,IF(AW27=TRUE,FALSE,IF(OR(V27&lt;BI27,V27&gt;BaseYear),TRUE,FALSE))))</f>
        <v>0</v>
      </c>
      <c r="AW27" s="1625" t="b">
        <f>IF(AND($C27&lt;&gt;"",$V27=""),TRUE,FALSE)</f>
        <v>0</v>
      </c>
      <c r="AX27" s="1625" t="b">
        <f>IF(X27="",FALSE,IF(T27="",FALSE,IF(AZ27=TRUE,FALSE,IF(X27&lt;BL27,TRUE,FALSE))))</f>
        <v>0</v>
      </c>
      <c r="AY27" s="1625" t="b">
        <f>IF(X27="",FALSE,IF(T27="",FALSE,IF(AZ27=TRUE,FALSE,IF(X27&gt;BM27,TRUE,FALSE))))</f>
        <v>0</v>
      </c>
      <c r="AZ27" s="1625" t="b">
        <f>IF(AND($C27&lt;&gt;"",$X27=""),TRUE,FALSE)</f>
        <v>0</v>
      </c>
      <c r="BA27" s="1626" t="b">
        <f>IF(BB27=TRUE,FALSE,IF(OR(Z27&lt;0,Z27&gt;1),TRUE,FALSE))</f>
        <v>0</v>
      </c>
      <c r="BB27" s="1625" t="b">
        <f>IF(AND($C27&lt;&gt;"",$Z27=""),TRUE,FALSE)</f>
        <v>0</v>
      </c>
      <c r="BC27" s="1626"/>
      <c r="BD27" s="1625" t="b">
        <f ca="1">IF(AND($C27&lt;&gt;"",$AB27=""),TRUE,FALSE)</f>
        <v>0</v>
      </c>
      <c r="BE27" s="1626" t="b">
        <f>IF(OR(AF27="", V27=""),FALSE,IF(COUNT(FIND({0,1,2,3,4,5,6,7,8,9}, AF27))=0, FALSE, IF(YEAR(AF27)&lt;V27, TRUE, FALSE)))</f>
        <v>0</v>
      </c>
      <c r="BF27" s="1625" t="b">
        <f>IF(AND($C27&lt;&gt;"",$AF27=""),TRUE,FALSE)</f>
        <v>0</v>
      </c>
      <c r="BG27" s="721"/>
      <c r="BH27" s="1625" t="str">
        <f>IF($T27="","",VLOOKUP($T27,val_facilities,BH$3,FALSE))</f>
        <v/>
      </c>
      <c r="BI27" s="1627" t="str">
        <f>IF($T27="","",VLOOKUP($T27,val_facilities,BI$3,FALSE))</f>
        <v/>
      </c>
      <c r="BJ27" s="1627" t="str">
        <f>IF($T27="","",VLOOKUP($T27,val_facilities,BJ$3,FALSE))</f>
        <v/>
      </c>
      <c r="BK27" s="1627" t="str">
        <f ca="1">IFERROR(IF(V27="", "", YEAR(TODAY())-V27), "")</f>
        <v/>
      </c>
      <c r="BL27" s="845" t="str">
        <f>IF($T27="","",VLOOKUP($T27,val_facilities,BL$3,FALSE))</f>
        <v/>
      </c>
      <c r="BM27" s="845" t="str">
        <f>IF($T27="","",VLOOKUP($T27,val_facilities,BM$3,FALSE))</f>
        <v/>
      </c>
      <c r="BN27" s="758"/>
      <c r="BO27" s="721">
        <f t="shared" si="2"/>
        <v>0</v>
      </c>
      <c r="BP27" s="816"/>
      <c r="BQ27" s="816"/>
      <c r="BR27" s="816"/>
      <c r="BS27" s="816"/>
      <c r="BT27" s="816"/>
    </row>
    <row r="28" spans="1:72" s="686" customFormat="1" ht="6.75" customHeight="1" thickBot="1" x14ac:dyDescent="0.25">
      <c r="A28" s="1638"/>
      <c r="B28" s="1712">
        <v>8.5</v>
      </c>
      <c r="C28" s="1057"/>
      <c r="D28" s="1248"/>
      <c r="E28" s="1639"/>
      <c r="F28" s="1229"/>
      <c r="G28" s="1229"/>
      <c r="H28" s="1229"/>
      <c r="I28" s="1229"/>
      <c r="J28" s="1604"/>
      <c r="K28" s="1640"/>
      <c r="L28" s="1645"/>
      <c r="M28" s="1646"/>
      <c r="N28" s="1645"/>
      <c r="O28" s="1646"/>
      <c r="P28" s="1647"/>
      <c r="Q28" s="1646"/>
      <c r="R28" s="1057"/>
      <c r="S28" s="1618"/>
      <c r="T28" s="1643"/>
      <c r="U28" s="1618"/>
      <c r="V28" s="1623"/>
      <c r="W28" s="1618"/>
      <c r="X28" s="722"/>
      <c r="Y28" s="1648"/>
      <c r="Z28" s="841"/>
      <c r="AA28" s="1648"/>
      <c r="AB28" s="722"/>
      <c r="AC28" s="1648"/>
      <c r="AD28" s="722"/>
      <c r="AE28" s="1648"/>
      <c r="AF28" s="1717"/>
      <c r="AG28" s="1648"/>
      <c r="AH28" s="1057"/>
      <c r="AI28" s="1644"/>
      <c r="AJ28" s="1644"/>
      <c r="AK28" s="1644"/>
      <c r="AL28" s="1644"/>
      <c r="AM28" s="1625"/>
      <c r="AN28" s="1625"/>
      <c r="AO28" s="1625"/>
      <c r="AP28" s="1625"/>
      <c r="AQ28" s="1625"/>
      <c r="AR28" s="848"/>
      <c r="AS28" s="848"/>
      <c r="AT28" s="848"/>
      <c r="AU28" s="848"/>
      <c r="AV28" s="848"/>
      <c r="AW28" s="848"/>
      <c r="AX28" s="848"/>
      <c r="AY28" s="848"/>
      <c r="AZ28" s="848"/>
      <c r="BA28" s="848"/>
      <c r="BB28" s="848"/>
      <c r="BC28" s="848"/>
      <c r="BD28" s="848"/>
      <c r="BE28" s="848"/>
      <c r="BF28" s="848"/>
      <c r="BG28" s="685"/>
      <c r="BH28" s="848"/>
      <c r="BI28" s="848"/>
      <c r="BJ28" s="848"/>
      <c r="BK28" s="848"/>
      <c r="BL28" s="848"/>
      <c r="BM28" s="848"/>
      <c r="BN28" s="1229"/>
      <c r="BO28" s="721">
        <f t="shared" si="2"/>
        <v>0</v>
      </c>
    </row>
    <row r="29" spans="1:72" s="686" customFormat="1" x14ac:dyDescent="0.2">
      <c r="A29" s="840">
        <v>9</v>
      </c>
      <c r="B29" s="1712">
        <v>9</v>
      </c>
      <c r="C29" s="1613"/>
      <c r="D29" s="1248" t="str">
        <f>IF(AND(C29="",C27&lt;&gt;""),"Enter Facility "&amp;TEXT(A29,0)&amp;" Name, then Fill in Columns "&amp;TEXT($H$2,0)&amp;" - "&amp;TEXT($AH$2,0)&amp;"       ","")</f>
        <v/>
      </c>
      <c r="E29" s="1245" t="str">
        <f>IF(AL29="N/A","",AL29)</f>
        <v/>
      </c>
      <c r="F29" s="758"/>
      <c r="G29" s="758"/>
      <c r="H29" s="1614"/>
      <c r="I29" s="758"/>
      <c r="J29" s="1615"/>
      <c r="K29" s="1248" t="str">
        <f>IF(E29&lt;&gt;"","Enter Street Address                   ","")</f>
        <v/>
      </c>
      <c r="L29" s="1615"/>
      <c r="M29" s="1248" t="str">
        <f>IF(E29&lt;&gt;"","Enter City Name       ","")</f>
        <v/>
      </c>
      <c r="N29" s="1613"/>
      <c r="O29" s="1248" t="str">
        <f>IF(E29&lt;&gt;"","Select from Pull-Down List   ","")</f>
        <v/>
      </c>
      <c r="P29" s="1616"/>
      <c r="Q29" s="1248" t="str">
        <f>IF($E29&lt;&gt;"","Enter ZIP Code       ","")</f>
        <v/>
      </c>
      <c r="R29" s="1617"/>
      <c r="S29" s="1618" t="str">
        <f>IF($E29&lt;&gt;"","Select from Pull-Down List  ","")</f>
        <v/>
      </c>
      <c r="T29" s="1617"/>
      <c r="U29" s="1618" t="str">
        <f>IF(AND($C29&lt;&gt;"",T29=""),"Select from Pull-Down List  ","")</f>
        <v/>
      </c>
      <c r="V29" s="1619"/>
      <c r="W29" s="1248" t="str">
        <f>IF(E29&lt;&gt;"","Year?   ","")</f>
        <v/>
      </c>
      <c r="X29" s="1247"/>
      <c r="Y29" s="1620" t="str">
        <f>IF(E29&lt;&gt;"","Sq. Feet?   ","")</f>
        <v/>
      </c>
      <c r="Z29" s="1621"/>
      <c r="AA29" s="1618" t="str">
        <f>IF($E29&lt;&gt;"","% of Cap Resp.","")</f>
        <v/>
      </c>
      <c r="AB29" s="1782" t="str">
        <f ca="1">IFERROR(IF(BK29="", "", IF(BK29&gt;100, 1, VLOOKUP(BK29, Valid!$W$1:$AA$101, VLOOKUP(T29, Codes!$G$7:$I$17, 3, FALSE), FALSE))), "")</f>
        <v/>
      </c>
      <c r="AC29" s="1618"/>
      <c r="AD29" s="1247"/>
      <c r="AE29" s="1620" t="str">
        <f>IF($E29&lt;&gt;"","Drop-Down    ","")</f>
        <v/>
      </c>
      <c r="AF29" s="1720"/>
      <c r="AG29" s="1620" t="b">
        <f>IF(E29&lt;&gt;"","Date?   ")</f>
        <v>0</v>
      </c>
      <c r="AH29" s="1613"/>
      <c r="AI29" s="1248" t="str">
        <f>IF(OR(T29="Other (describe in Notes)",T29="Dual Administrative and Maintenance Facility"),"Describe Facility                                                                                         ","")</f>
        <v/>
      </c>
      <c r="AJ29" s="1624"/>
      <c r="AK29" s="1624" t="b">
        <f>IF(AND(C29="",C31&lt;&gt;""),TRUE,FALSE)</f>
        <v>0</v>
      </c>
      <c r="AL29" s="1624" t="str">
        <f>IF(AND($C29&lt;&gt;"",OR($J29="",$L29="",$N29="",$P29="",$R29="",$T29="",$V29="",$X29="",$Z29="",$AD29="",$AF29="")),"No",IF(AND($C29="",OR($H29&lt;&gt;"",$J29&lt;&gt;"",$L29&lt;&gt;"",$N29&lt;&gt;"",$P29&lt;&gt;"",$R29&lt;&gt;"",$T29&lt;&gt;"",$V29&lt;&gt;"",$X29&lt;&gt;"",$Z29&lt;&gt;"",$AD29&lt;&gt;"",$AF29&lt;&gt;"")),"N",IF(AND($H29="",$C29="",$J29="",$L29="",$N29="",$P29="",$R29="",$T29="",$V29="",$X29="",$Z29="",$AD29="",$AF29=""),"N/A",IF(AND($C29&lt;&gt;"",$J29&lt;&gt;"",$L29&lt;&gt;"",$N29&lt;&gt;"",$P29&lt;&gt;"",$R29&lt;&gt;"",$T29&lt;&gt;"",$V29&lt;&gt;"",$X29&lt;&gt;"",$Z29&lt;&gt;"",$AD29&lt;&gt;"",$AF29&lt;&gt;""),"Yes",""))))</f>
        <v>N/A</v>
      </c>
      <c r="AM29" s="1625" t="b">
        <f ca="1">IF(AND($C29="",OR($J29&lt;&gt;"",$L29&lt;&gt;"",$N29&lt;&gt;"",$P29&lt;&gt;"",$R29&lt;&gt;"",$T29&lt;&gt;"",$V29&lt;&gt;"",$X29&lt;&gt;"",$Z29&lt;&gt;"",$AB29&lt;&gt;"",$AF29&lt;&gt;"")),TRUE,FALSE)</f>
        <v>0</v>
      </c>
      <c r="AN29" s="1625" t="b">
        <f>IF(AND($C29&lt;&gt;"",$J29=""),TRUE,FALSE)</f>
        <v>0</v>
      </c>
      <c r="AO29" s="1625" t="b">
        <f>IF(AND($C29&lt;&gt;"",$L29=""),TRUE,FALSE)</f>
        <v>0</v>
      </c>
      <c r="AP29" s="1625" t="b">
        <f>IF(AND($C29&lt;&gt;"",$N29=""),TRUE,FALSE)</f>
        <v>0</v>
      </c>
      <c r="AQ29" s="1625" t="b">
        <f>IF(AND($C29&lt;&gt;"",$P29=""),TRUE,FALSE)</f>
        <v>0</v>
      </c>
      <c r="AR29" s="1625" t="b">
        <f>IF(AND($C29&lt;&gt;"",$R29=""),TRUE,FALSE)</f>
        <v>0</v>
      </c>
      <c r="AS29" s="1625"/>
      <c r="AT29" s="1625" t="b">
        <f ca="1">IF(AND(T29="",OR(V29&lt;&gt;"",X29&lt;&gt;"",Z29&lt;&gt;"",AB29&lt;&gt;"",AF29&lt;&gt;"")),TRUE,FALSE)</f>
        <v>0</v>
      </c>
      <c r="AU29" s="1625" t="b">
        <f>IF(AND($C29&lt;&gt;"",$T29=""),TRUE,FALSE)</f>
        <v>0</v>
      </c>
      <c r="AV29" s="1625" t="b">
        <f>IF(V29="",FALSE,IF(T29="",FALSE,IF(AW29=TRUE,FALSE,IF(OR(V29&lt;BI29,V29&gt;BaseYear),TRUE,FALSE))))</f>
        <v>0</v>
      </c>
      <c r="AW29" s="1625" t="b">
        <f>IF(AND($C29&lt;&gt;"",$V29=""),TRUE,FALSE)</f>
        <v>0</v>
      </c>
      <c r="AX29" s="1625" t="b">
        <f>IF(X29="",FALSE,IF(T29="",FALSE,IF(AZ29=TRUE,FALSE,IF(X29&lt;BL29,TRUE,FALSE))))</f>
        <v>0</v>
      </c>
      <c r="AY29" s="1625" t="b">
        <f>IF(X29="",FALSE,IF(T29="",FALSE,IF(AZ29=TRUE,FALSE,IF(X29&gt;BM29,TRUE,FALSE))))</f>
        <v>0</v>
      </c>
      <c r="AZ29" s="1625" t="b">
        <f>IF(AND($C29&lt;&gt;"",$X29=""),TRUE,FALSE)</f>
        <v>0</v>
      </c>
      <c r="BA29" s="1626" t="b">
        <f>IF(BB29=TRUE,FALSE,IF(OR(Z29&lt;0,Z29&gt;1),TRUE,FALSE))</f>
        <v>0</v>
      </c>
      <c r="BB29" s="1625" t="b">
        <f>IF(AND($C29&lt;&gt;"",$Z29=""),TRUE,FALSE)</f>
        <v>0</v>
      </c>
      <c r="BC29" s="1626"/>
      <c r="BD29" s="1625" t="b">
        <f ca="1">IF(AND($C29&lt;&gt;"",$AB29=""),TRUE,FALSE)</f>
        <v>0</v>
      </c>
      <c r="BE29" s="1626" t="b">
        <f>IF(OR(AF29="", V29=""),FALSE,IF(COUNT(FIND({0,1,2,3,4,5,6,7,8,9}, AF29))=0, FALSE, IF(YEAR(AF29)&lt;V29, TRUE, FALSE)))</f>
        <v>0</v>
      </c>
      <c r="BF29" s="1625" t="b">
        <f>IF(AND($C29&lt;&gt;"",$AF29=""),TRUE,FALSE)</f>
        <v>0</v>
      </c>
      <c r="BG29" s="721"/>
      <c r="BH29" s="1625" t="str">
        <f>IF($T29="","",VLOOKUP($T29,val_facilities,BH$3,FALSE))</f>
        <v/>
      </c>
      <c r="BI29" s="1627" t="str">
        <f>IF($T29="","",VLOOKUP($T29,val_facilities,BI$3,FALSE))</f>
        <v/>
      </c>
      <c r="BJ29" s="1627" t="str">
        <f>IF($T29="","",VLOOKUP($T29,val_facilities,BJ$3,FALSE))</f>
        <v/>
      </c>
      <c r="BK29" s="1627" t="str">
        <f ca="1">IFERROR(IF(V29="", "", YEAR(TODAY())-V29), "")</f>
        <v/>
      </c>
      <c r="BL29" s="845" t="str">
        <f>IF($T29="","",VLOOKUP($T29,val_facilities,BL$3,FALSE))</f>
        <v/>
      </c>
      <c r="BM29" s="845" t="str">
        <f>IF($T29="","",VLOOKUP($T29,val_facilities,BM$3,FALSE))</f>
        <v/>
      </c>
      <c r="BN29" s="758"/>
      <c r="BO29" s="721">
        <f t="shared" si="2"/>
        <v>0</v>
      </c>
      <c r="BP29" s="816"/>
      <c r="BQ29" s="816"/>
      <c r="BR29" s="816"/>
      <c r="BS29" s="816"/>
      <c r="BT29" s="816"/>
    </row>
    <row r="30" spans="1:72" s="686" customFormat="1" ht="6.75" customHeight="1" thickBot="1" x14ac:dyDescent="0.25">
      <c r="A30" s="1638"/>
      <c r="B30" s="1712">
        <v>9.5</v>
      </c>
      <c r="C30" s="1057"/>
      <c r="D30" s="764"/>
      <c r="E30" s="1057"/>
      <c r="F30" s="1229"/>
      <c r="G30" s="1229"/>
      <c r="H30" s="1229"/>
      <c r="I30" s="1229"/>
      <c r="J30" s="1604"/>
      <c r="K30" s="1229"/>
      <c r="L30" s="1605"/>
      <c r="M30" s="1644"/>
      <c r="N30" s="1605"/>
      <c r="O30" s="1644"/>
      <c r="P30" s="1606"/>
      <c r="Q30" s="1644"/>
      <c r="R30" s="1057"/>
      <c r="S30" s="1623"/>
      <c r="T30" s="1643"/>
      <c r="U30" s="1623"/>
      <c r="V30" s="1623"/>
      <c r="W30" s="1623"/>
      <c r="X30" s="722"/>
      <c r="Y30" s="841"/>
      <c r="Z30" s="841"/>
      <c r="AA30" s="841"/>
      <c r="AB30" s="722"/>
      <c r="AC30" s="841"/>
      <c r="AD30" s="722"/>
      <c r="AE30" s="841"/>
      <c r="AF30" s="1717"/>
      <c r="AG30" s="841"/>
      <c r="AH30" s="1057"/>
      <c r="AI30" s="1644"/>
      <c r="AJ30" s="1644"/>
      <c r="AK30" s="1644"/>
      <c r="AL30" s="1644"/>
      <c r="AM30" s="1625"/>
      <c r="AN30" s="1625"/>
      <c r="AO30" s="1625"/>
      <c r="AP30" s="1625"/>
      <c r="AQ30" s="1625"/>
      <c r="AR30" s="848"/>
      <c r="AS30" s="848"/>
      <c r="AT30" s="848"/>
      <c r="AU30" s="848"/>
      <c r="AV30" s="848"/>
      <c r="AW30" s="848"/>
      <c r="AX30" s="848"/>
      <c r="AY30" s="848"/>
      <c r="AZ30" s="848"/>
      <c r="BA30" s="848"/>
      <c r="BB30" s="848"/>
      <c r="BC30" s="848"/>
      <c r="BD30" s="848"/>
      <c r="BE30" s="848"/>
      <c r="BF30" s="848"/>
      <c r="BG30" s="685"/>
      <c r="BH30" s="848"/>
      <c r="BI30" s="848"/>
      <c r="BJ30" s="848"/>
      <c r="BK30" s="848"/>
      <c r="BL30" s="848"/>
      <c r="BM30" s="848"/>
      <c r="BN30" s="1229"/>
      <c r="BO30" s="721">
        <f t="shared" si="2"/>
        <v>0</v>
      </c>
    </row>
    <row r="31" spans="1:72" s="816" customFormat="1" x14ac:dyDescent="0.2">
      <c r="A31" s="840">
        <v>10</v>
      </c>
      <c r="B31" s="1712">
        <v>10</v>
      </c>
      <c r="C31" s="1613"/>
      <c r="D31" s="1248" t="str">
        <f>IF(AND(C31="",C29&lt;&gt;""),"Enter Facility "&amp;TEXT(A31,0)&amp;" Name, then Fill in Columns "&amp;TEXT($H$2,0)&amp;" - "&amp;TEXT($AH$2,0)&amp;"       ","")</f>
        <v/>
      </c>
      <c r="E31" s="1245" t="str">
        <f>IF(AL31="N/A","",AL31)</f>
        <v/>
      </c>
      <c r="F31" s="758"/>
      <c r="G31" s="758"/>
      <c r="H31" s="1614"/>
      <c r="I31" s="758"/>
      <c r="J31" s="1615"/>
      <c r="K31" s="1248" t="str">
        <f>IF(E31&lt;&gt;"","Enter Street Address                   ","")</f>
        <v/>
      </c>
      <c r="L31" s="1615"/>
      <c r="M31" s="1248" t="str">
        <f>IF(E31&lt;&gt;"","Enter City Name       ","")</f>
        <v/>
      </c>
      <c r="N31" s="1613"/>
      <c r="O31" s="1248" t="str">
        <f>IF(E31&lt;&gt;"","Select from Pull-Down List   ","")</f>
        <v/>
      </c>
      <c r="P31" s="1616"/>
      <c r="Q31" s="1248" t="str">
        <f>IF($E31&lt;&gt;"","Enter ZIP Code       ","")</f>
        <v/>
      </c>
      <c r="R31" s="1617"/>
      <c r="S31" s="1618" t="str">
        <f>IF($E31&lt;&gt;"","Select from Pull-Down List  ","")</f>
        <v/>
      </c>
      <c r="T31" s="1617"/>
      <c r="U31" s="1618" t="str">
        <f>IF(AND($C31&lt;&gt;"",T31=""),"Select from Pull-Down List  ","")</f>
        <v/>
      </c>
      <c r="V31" s="1619"/>
      <c r="W31" s="1248" t="str">
        <f>IF(E31&lt;&gt;"","Year?   ","")</f>
        <v/>
      </c>
      <c r="X31" s="1247"/>
      <c r="Y31" s="1620" t="str">
        <f>IF(E31&lt;&gt;"","Sq. Feet?   ","")</f>
        <v/>
      </c>
      <c r="Z31" s="1621"/>
      <c r="AA31" s="1618" t="str">
        <f>IF($E31&lt;&gt;"","% of Cap Resp.","")</f>
        <v/>
      </c>
      <c r="AB31" s="1782" t="str">
        <f ca="1">IFERROR(IF(BK31="", "", IF(BK31&gt;100, 1, VLOOKUP(BK31, Valid!$W$1:$AA$101, VLOOKUP(T31, Codes!$G$7:$I$17, 3, FALSE), FALSE))), "")</f>
        <v/>
      </c>
      <c r="AC31" s="1618"/>
      <c r="AD31" s="1247"/>
      <c r="AE31" s="1620" t="str">
        <f>IF($E31&lt;&gt;"","Drop-Down    ","")</f>
        <v/>
      </c>
      <c r="AF31" s="1720"/>
      <c r="AG31" s="1620" t="b">
        <f>IF(E31&lt;&gt;"","Date?   ")</f>
        <v>0</v>
      </c>
      <c r="AH31" s="1613"/>
      <c r="AI31" s="1248" t="str">
        <f>IF(OR(T31="Other (describe in Notes)",T31="Dual Administrative and Maintenance Facility"),"Describe Facility                                                                                         ","")</f>
        <v/>
      </c>
      <c r="AJ31" s="1624"/>
      <c r="AK31" s="1624" t="b">
        <f>IF(AND(C31="",C33&lt;&gt;""),TRUE,FALSE)</f>
        <v>0</v>
      </c>
      <c r="AL31" s="1624" t="str">
        <f>IF(AND($C31&lt;&gt;"",OR($J31="",$L31="",$N31="",$P31="",$R31="",$T31="",$V31="",$X31="",$Z31="",$AD31="",$AF31="")),"No",IF(AND($C31="",OR($H31&lt;&gt;"",$J31&lt;&gt;"",$L31&lt;&gt;"",$N31&lt;&gt;"",$P31&lt;&gt;"",$R31&lt;&gt;"",$T31&lt;&gt;"",$V31&lt;&gt;"",$X31&lt;&gt;"",$Z31&lt;&gt;"",$AD31&lt;&gt;"",$AF31&lt;&gt;"")),"N",IF(AND($H31="",$C31="",$J31="",$L31="",$N31="",$P31="",$R31="",$T31="",$V31="",$X31="",$Z31="",$AD31="",$AF31=""),"N/A",IF(AND($C31&lt;&gt;"",$J31&lt;&gt;"",$L31&lt;&gt;"",$N31&lt;&gt;"",$P31&lt;&gt;"",$R31&lt;&gt;"",$T31&lt;&gt;"",$V31&lt;&gt;"",$X31&lt;&gt;"",$Z31&lt;&gt;"",$AD31&lt;&gt;"",$AF31&lt;&gt;""),"Yes",""))))</f>
        <v>N/A</v>
      </c>
      <c r="AM31" s="1625" t="b">
        <f ca="1">IF(AND($C31="",OR($J31&lt;&gt;"",$L31&lt;&gt;"",$N31&lt;&gt;"",$P31&lt;&gt;"",$R31&lt;&gt;"",$T31&lt;&gt;"",$V31&lt;&gt;"",$X31&lt;&gt;"",$Z31&lt;&gt;"",$AB31&lt;&gt;"",$AF31&lt;&gt;"")),TRUE,FALSE)</f>
        <v>0</v>
      </c>
      <c r="AN31" s="1625" t="b">
        <f>IF(AND($C31&lt;&gt;"",$J31=""),TRUE,FALSE)</f>
        <v>0</v>
      </c>
      <c r="AO31" s="1625" t="b">
        <f>IF(AND($C31&lt;&gt;"",$L31=""),TRUE,FALSE)</f>
        <v>0</v>
      </c>
      <c r="AP31" s="1625" t="b">
        <f>IF(AND($C31&lt;&gt;"",$N31=""),TRUE,FALSE)</f>
        <v>0</v>
      </c>
      <c r="AQ31" s="1625" t="b">
        <f>IF(AND($C31&lt;&gt;"",$P31=""),TRUE,FALSE)</f>
        <v>0</v>
      </c>
      <c r="AR31" s="1625" t="b">
        <f>IF(AND($C31&lt;&gt;"",$R31=""),TRUE,FALSE)</f>
        <v>0</v>
      </c>
      <c r="AS31" s="1625"/>
      <c r="AT31" s="1625" t="b">
        <f ca="1">IF(AND(T31="",OR(V31&lt;&gt;"",X31&lt;&gt;"",Z31&lt;&gt;"",AB31&lt;&gt;"",AF31&lt;&gt;"")),TRUE,FALSE)</f>
        <v>0</v>
      </c>
      <c r="AU31" s="1625" t="b">
        <f>IF(AND($C31&lt;&gt;"",$T31=""),TRUE,FALSE)</f>
        <v>0</v>
      </c>
      <c r="AV31" s="1625" t="b">
        <f>IF(V31="",FALSE,IF(T31="",FALSE,IF(AW31=TRUE,FALSE,IF(OR(V31&lt;BI31,V31&gt;BaseYear),TRUE,FALSE))))</f>
        <v>0</v>
      </c>
      <c r="AW31" s="1625" t="b">
        <f>IF(AND($C31&lt;&gt;"",$V31=""),TRUE,FALSE)</f>
        <v>0</v>
      </c>
      <c r="AX31" s="1625" t="b">
        <f>IF(X31="",FALSE,IF(T31="",FALSE,IF(AZ31=TRUE,FALSE,IF(X31&lt;BL31,TRUE,FALSE))))</f>
        <v>0</v>
      </c>
      <c r="AY31" s="1625" t="b">
        <f>IF(X31="",FALSE,IF(T31="",FALSE,IF(AZ31=TRUE,FALSE,IF(X31&gt;BM31,TRUE,FALSE))))</f>
        <v>0</v>
      </c>
      <c r="AZ31" s="1625" t="b">
        <f>IF(AND($C31&lt;&gt;"",$X31=""),TRUE,FALSE)</f>
        <v>0</v>
      </c>
      <c r="BA31" s="1626" t="b">
        <f>IF(BB31=TRUE,FALSE,IF(OR(Z31&lt;0,Z31&gt;1),TRUE,FALSE))</f>
        <v>0</v>
      </c>
      <c r="BB31" s="1625" t="b">
        <f>IF(AND($C31&lt;&gt;"",$Z31=""),TRUE,FALSE)</f>
        <v>0</v>
      </c>
      <c r="BC31" s="1626"/>
      <c r="BD31" s="1625" t="b">
        <f ca="1">IF(AND($C31&lt;&gt;"",$AB31=""),TRUE,FALSE)</f>
        <v>0</v>
      </c>
      <c r="BE31" s="1626" t="b">
        <f>IF(OR(AF31="", V31=""),FALSE,IF(COUNT(FIND({0,1,2,3,4,5,6,7,8,9}, AF31))=0, FALSE, IF(YEAR(AF31)&lt;V31, TRUE, FALSE)))</f>
        <v>0</v>
      </c>
      <c r="BF31" s="1625" t="b">
        <f>IF(AND($C31&lt;&gt;"",$AF31=""),TRUE,FALSE)</f>
        <v>0</v>
      </c>
      <c r="BG31" s="721"/>
      <c r="BH31" s="1625" t="str">
        <f>IF($T31="","",VLOOKUP($T31,val_facilities,BH$3,FALSE))</f>
        <v/>
      </c>
      <c r="BI31" s="1627" t="str">
        <f>IF($T31="","",VLOOKUP($T31,val_facilities,BI$3,FALSE))</f>
        <v/>
      </c>
      <c r="BJ31" s="1627" t="str">
        <f>IF($T31="","",VLOOKUP($T31,val_facilities,BJ$3,FALSE))</f>
        <v/>
      </c>
      <c r="BK31" s="1627" t="str">
        <f ca="1">IFERROR(IF(V31="", "", YEAR(TODAY())-V31), "")</f>
        <v/>
      </c>
      <c r="BL31" s="845" t="str">
        <f>IF($T31="","",VLOOKUP($T31,val_facilities,BL$3,FALSE))</f>
        <v/>
      </c>
      <c r="BM31" s="845" t="str">
        <f>IF($T31="","",VLOOKUP($T31,val_facilities,BM$3,FALSE))</f>
        <v/>
      </c>
      <c r="BN31" s="758"/>
      <c r="BO31" s="721">
        <f t="shared" si="2"/>
        <v>0</v>
      </c>
    </row>
    <row r="32" spans="1:72" s="816" customFormat="1" ht="6.75" customHeight="1" thickBot="1" x14ac:dyDescent="0.25">
      <c r="A32" s="840"/>
      <c r="B32" s="1712">
        <v>10.5</v>
      </c>
      <c r="C32" s="721"/>
      <c r="D32" s="1248"/>
      <c r="F32" s="758"/>
      <c r="G32" s="758"/>
      <c r="H32" s="758"/>
      <c r="I32" s="758"/>
      <c r="J32" s="1633"/>
      <c r="K32" s="1248"/>
      <c r="L32" s="1634"/>
      <c r="M32" s="1248"/>
      <c r="N32" s="1634"/>
      <c r="O32" s="1248"/>
      <c r="P32" s="1635"/>
      <c r="Q32" s="1248"/>
      <c r="R32" s="1059"/>
      <c r="S32" s="1618"/>
      <c r="T32" s="1636"/>
      <c r="U32" s="1618"/>
      <c r="V32" s="1623"/>
      <c r="W32" s="1618"/>
      <c r="X32" s="722"/>
      <c r="Y32" s="723"/>
      <c r="Z32" s="724"/>
      <c r="AA32" s="723"/>
      <c r="AB32" s="722"/>
      <c r="AC32" s="723"/>
      <c r="AD32" s="722"/>
      <c r="AE32" s="723"/>
      <c r="AF32" s="1717"/>
      <c r="AG32" s="723"/>
      <c r="AH32" s="1637"/>
      <c r="AI32" s="1624"/>
      <c r="AJ32" s="1624"/>
      <c r="AK32" s="1624"/>
      <c r="AL32" s="1624"/>
      <c r="AM32" s="1625"/>
      <c r="AN32" s="1625"/>
      <c r="AO32" s="1625"/>
      <c r="AP32" s="1625"/>
      <c r="AQ32" s="1625"/>
      <c r="AR32" s="1625"/>
      <c r="AS32" s="1625"/>
      <c r="AT32" s="1625"/>
      <c r="AU32" s="1625"/>
      <c r="AV32" s="1626"/>
      <c r="AW32" s="1626"/>
      <c r="AX32" s="1626"/>
      <c r="AY32" s="1626"/>
      <c r="AZ32" s="1626"/>
      <c r="BA32" s="1626"/>
      <c r="BB32" s="1626"/>
      <c r="BC32" s="1626"/>
      <c r="BD32" s="1626"/>
      <c r="BE32" s="1626"/>
      <c r="BF32" s="1626"/>
      <c r="BG32" s="721"/>
      <c r="BH32" s="1626"/>
      <c r="BI32" s="1626"/>
      <c r="BJ32" s="1626"/>
      <c r="BK32" s="1626"/>
      <c r="BL32" s="1626"/>
      <c r="BM32" s="1626"/>
      <c r="BN32" s="758"/>
      <c r="BO32" s="721">
        <f t="shared" si="2"/>
        <v>0</v>
      </c>
    </row>
    <row r="33" spans="1:70" s="816" customFormat="1" x14ac:dyDescent="0.2">
      <c r="A33" s="840">
        <v>11</v>
      </c>
      <c r="B33" s="1712">
        <v>11</v>
      </c>
      <c r="C33" s="1613"/>
      <c r="D33" s="1248" t="str">
        <f>IF(AND(C33="",C31&lt;&gt;""),"Enter Facility "&amp;TEXT(A33,0)&amp;" Name, then Fill in Columns "&amp;TEXT($H$2,0)&amp;" - "&amp;TEXT($AH$2,0)&amp;"       ","")</f>
        <v/>
      </c>
      <c r="E33" s="1245" t="str">
        <f>IF(AL33="N/A","",AL33)</f>
        <v/>
      </c>
      <c r="F33" s="758"/>
      <c r="G33" s="758"/>
      <c r="H33" s="1614"/>
      <c r="I33" s="758"/>
      <c r="J33" s="1615"/>
      <c r="K33" s="1248" t="str">
        <f>IF(E33&lt;&gt;"","Enter Street Address                   ","")</f>
        <v/>
      </c>
      <c r="L33" s="1615"/>
      <c r="M33" s="1248" t="str">
        <f>IF(E33&lt;&gt;"","Enter City Name       ","")</f>
        <v/>
      </c>
      <c r="N33" s="1613"/>
      <c r="O33" s="1248" t="str">
        <f>IF(E33&lt;&gt;"","Select from Pull-Down List   ","")</f>
        <v/>
      </c>
      <c r="P33" s="1616"/>
      <c r="Q33" s="1248" t="str">
        <f>IF($E33&lt;&gt;"","Enter ZIP Code       ","")</f>
        <v/>
      </c>
      <c r="R33" s="1617"/>
      <c r="S33" s="1618" t="str">
        <f>IF($E33&lt;&gt;"","Select from Pull-Down List  ","")</f>
        <v/>
      </c>
      <c r="T33" s="1617"/>
      <c r="U33" s="1618" t="str">
        <f>IF(AND($C33&lt;&gt;"",T33=""),"Select from Pull-Down List  ","")</f>
        <v/>
      </c>
      <c r="V33" s="1619"/>
      <c r="W33" s="1248" t="str">
        <f>IF(E33&lt;&gt;"","Year?   ","")</f>
        <v/>
      </c>
      <c r="X33" s="1247"/>
      <c r="Y33" s="1620" t="str">
        <f>IF(E33&lt;&gt;"","Sq. Feet?   ","")</f>
        <v/>
      </c>
      <c r="Z33" s="1621"/>
      <c r="AA33" s="1618" t="str">
        <f>IF($E33&lt;&gt;"","% of Cap Resp.","")</f>
        <v/>
      </c>
      <c r="AB33" s="1782" t="str">
        <f ca="1">IFERROR(IF(BK33="", "", IF(BK33&gt;100, 1, VLOOKUP(BK33, Valid!$W$1:$AA$101, VLOOKUP(T33, Codes!$G$7:$I$17, 3, FALSE), FALSE))), "")</f>
        <v/>
      </c>
      <c r="AC33" s="1618"/>
      <c r="AD33" s="1247"/>
      <c r="AE33" s="1620" t="str">
        <f>IF($E33&lt;&gt;"","Drop-Down    ","")</f>
        <v/>
      </c>
      <c r="AF33" s="1720"/>
      <c r="AG33" s="1620" t="b">
        <f>IF(E33&lt;&gt;"","Date?   ")</f>
        <v>0</v>
      </c>
      <c r="AH33" s="1613"/>
      <c r="AI33" s="1248" t="str">
        <f>IF(OR(T33="Other (describe in Notes)",T33="Dual Administrative and Maintenance Facility"),"Describe Facility                                                                                         ","")</f>
        <v/>
      </c>
      <c r="AJ33" s="1624"/>
      <c r="AK33" s="1624" t="b">
        <f>IF(AND(C33="",C35&lt;&gt;""),TRUE,FALSE)</f>
        <v>0</v>
      </c>
      <c r="AL33" s="1624" t="str">
        <f>IF(AND($C33&lt;&gt;"",OR($J33="",$L33="",$N33="",$P33="",$R33="",$T33="",$V33="",$X33="",$Z33="",$AD33="",$AF33="")),"No",IF(AND($C33="",OR($H33&lt;&gt;"",$J33&lt;&gt;"",$L33&lt;&gt;"",$N33&lt;&gt;"",$P33&lt;&gt;"",$R33&lt;&gt;"",$T33&lt;&gt;"",$V33&lt;&gt;"",$X33&lt;&gt;"",$Z33&lt;&gt;"",$AD33&lt;&gt;"",$AF33&lt;&gt;"")),"N",IF(AND($H33="",$C33="",$J33="",$L33="",$N33="",$P33="",$R33="",$T33="",$V33="",$X33="",$Z33="",$AD33="",$AF33=""),"N/A",IF(AND($C33&lt;&gt;"",$J33&lt;&gt;"",$L33&lt;&gt;"",$N33&lt;&gt;"",$P33&lt;&gt;"",$R33&lt;&gt;"",$T33&lt;&gt;"",$V33&lt;&gt;"",$X33&lt;&gt;"",$Z33&lt;&gt;"",$AD33&lt;&gt;"",$AF33&lt;&gt;""),"Yes",""))))</f>
        <v>N/A</v>
      </c>
      <c r="AM33" s="1625" t="b">
        <f ca="1">IF(AND($C33="",OR($J33&lt;&gt;"",$L33&lt;&gt;"",$N33&lt;&gt;"",$P33&lt;&gt;"",$R33&lt;&gt;"",$T33&lt;&gt;"",$V33&lt;&gt;"",$X33&lt;&gt;"",$Z33&lt;&gt;"",$AB33&lt;&gt;"",$AF33&lt;&gt;"")),TRUE,FALSE)</f>
        <v>0</v>
      </c>
      <c r="AN33" s="1625" t="b">
        <f>IF(AND($C33&lt;&gt;"",$J33=""),TRUE,FALSE)</f>
        <v>0</v>
      </c>
      <c r="AO33" s="1625" t="b">
        <f>IF(AND($C33&lt;&gt;"",$L33=""),TRUE,FALSE)</f>
        <v>0</v>
      </c>
      <c r="AP33" s="1625" t="b">
        <f>IF(AND($C33&lt;&gt;"",$N33=""),TRUE,FALSE)</f>
        <v>0</v>
      </c>
      <c r="AQ33" s="1625" t="b">
        <f>IF(AND($C33&lt;&gt;"",$P33=""),TRUE,FALSE)</f>
        <v>0</v>
      </c>
      <c r="AR33" s="1625" t="b">
        <f>IF(AND($C33&lt;&gt;"",$R33=""),TRUE,FALSE)</f>
        <v>0</v>
      </c>
      <c r="AS33" s="1625"/>
      <c r="AT33" s="1625" t="b">
        <f ca="1">IF(AND(T33="",OR(V33&lt;&gt;"",X33&lt;&gt;"",Z33&lt;&gt;"",AB33&lt;&gt;"",AF33&lt;&gt;"")),TRUE,FALSE)</f>
        <v>0</v>
      </c>
      <c r="AU33" s="1625" t="b">
        <f>IF(AND($C33&lt;&gt;"",$T33=""),TRUE,FALSE)</f>
        <v>0</v>
      </c>
      <c r="AV33" s="1625" t="b">
        <f>IF(V33="",FALSE,IF(T33="",FALSE,IF(AW33=TRUE,FALSE,IF(OR(V33&lt;BI33,V33&gt;BaseYear),TRUE,FALSE))))</f>
        <v>0</v>
      </c>
      <c r="AW33" s="1625" t="b">
        <f>IF(AND($C33&lt;&gt;"",$V33=""),TRUE,FALSE)</f>
        <v>0</v>
      </c>
      <c r="AX33" s="1625" t="b">
        <f>IF(X33="",FALSE,IF(T33="",FALSE,IF(AZ33=TRUE,FALSE,IF(X33&lt;BL33,TRUE,FALSE))))</f>
        <v>0</v>
      </c>
      <c r="AY33" s="1625" t="b">
        <f>IF(X33="",FALSE,IF(T33="",FALSE,IF(AZ33=TRUE,FALSE,IF(X33&gt;BM33,TRUE,FALSE))))</f>
        <v>0</v>
      </c>
      <c r="AZ33" s="1625" t="b">
        <f>IF(AND($C33&lt;&gt;"",$X33=""),TRUE,FALSE)</f>
        <v>0</v>
      </c>
      <c r="BA33" s="1626" t="b">
        <f>IF(BB33=TRUE,FALSE,IF(OR(Z33&lt;0,Z33&gt;1),TRUE,FALSE))</f>
        <v>0</v>
      </c>
      <c r="BB33" s="1625" t="b">
        <f>IF(AND($C33&lt;&gt;"",$Z33=""),TRUE,FALSE)</f>
        <v>0</v>
      </c>
      <c r="BC33" s="1626"/>
      <c r="BD33" s="1625" t="b">
        <f ca="1">IF(AND($C33&lt;&gt;"",$AB33=""),TRUE,FALSE)</f>
        <v>0</v>
      </c>
      <c r="BE33" s="1626" t="b">
        <f>IF(OR(AF33="", V33=""),FALSE,IF(COUNT(FIND({0,1,2,3,4,5,6,7,8,9}, AF33))=0, FALSE, IF(YEAR(AF33)&lt;V33, TRUE, FALSE)))</f>
        <v>0</v>
      </c>
      <c r="BF33" s="1625" t="b">
        <f>IF(AND($C33&lt;&gt;"",$AF33=""),TRUE,FALSE)</f>
        <v>0</v>
      </c>
      <c r="BG33" s="721"/>
      <c r="BH33" s="1625" t="str">
        <f>IF($T33="","",VLOOKUP($T33,val_facilities,BH$3,FALSE))</f>
        <v/>
      </c>
      <c r="BI33" s="1627" t="str">
        <f>IF($T33="","",VLOOKUP($T33,val_facilities,BI$3,FALSE))</f>
        <v/>
      </c>
      <c r="BJ33" s="1627" t="str">
        <f>IF($T33="","",VLOOKUP($T33,val_facilities,BJ$3,FALSE))</f>
        <v/>
      </c>
      <c r="BK33" s="1627" t="str">
        <f ca="1">IFERROR(IF(V33="", "", YEAR(TODAY())-V33), "")</f>
        <v/>
      </c>
      <c r="BL33" s="845" t="str">
        <f>IF($T33="","",VLOOKUP($T33,val_facilities,BL$3,FALSE))</f>
        <v/>
      </c>
      <c r="BM33" s="845" t="str">
        <f>IF($T33="","",VLOOKUP($T33,val_facilities,BM$3,FALSE))</f>
        <v/>
      </c>
      <c r="BN33" s="758"/>
      <c r="BO33" s="721">
        <f t="shared" si="2"/>
        <v>0</v>
      </c>
    </row>
    <row r="34" spans="1:70" s="686" customFormat="1" ht="6.75" customHeight="1" thickBot="1" x14ac:dyDescent="0.25">
      <c r="A34" s="1638"/>
      <c r="B34" s="1712">
        <v>11.5</v>
      </c>
      <c r="C34" s="1607"/>
      <c r="D34" s="1248"/>
      <c r="E34" s="721"/>
      <c r="F34" s="758"/>
      <c r="G34" s="758"/>
      <c r="H34" s="758"/>
      <c r="I34" s="758"/>
      <c r="J34" s="1628"/>
      <c r="K34" s="1248"/>
      <c r="L34" s="1629"/>
      <c r="M34" s="1248"/>
      <c r="N34" s="1629"/>
      <c r="O34" s="1248"/>
      <c r="P34" s="1630"/>
      <c r="Q34" s="1248"/>
      <c r="R34" s="1223"/>
      <c r="S34" s="1618"/>
      <c r="T34" s="1608"/>
      <c r="U34" s="1618"/>
      <c r="V34" s="1623"/>
      <c r="W34" s="1618"/>
      <c r="X34" s="1631"/>
      <c r="Y34" s="1632"/>
      <c r="Z34" s="822"/>
      <c r="AA34" s="1632"/>
      <c r="AB34" s="1631"/>
      <c r="AC34" s="1632"/>
      <c r="AD34" s="1631"/>
      <c r="AE34" s="1632"/>
      <c r="AF34" s="1719"/>
      <c r="AG34" s="1632"/>
      <c r="AH34" s="1243"/>
      <c r="AI34" s="1248"/>
      <c r="AJ34" s="758"/>
      <c r="AK34" s="758"/>
      <c r="AL34" s="758"/>
      <c r="AM34" s="1625"/>
      <c r="AN34" s="1625"/>
      <c r="AO34" s="1625"/>
      <c r="AP34" s="1625"/>
      <c r="AQ34" s="1625"/>
      <c r="AR34" s="1625"/>
      <c r="AS34" s="1625"/>
      <c r="AT34" s="1625"/>
      <c r="AU34" s="1625"/>
      <c r="AV34" s="1626"/>
      <c r="AW34" s="1626"/>
      <c r="AX34" s="1626"/>
      <c r="AY34" s="1626"/>
      <c r="AZ34" s="1626"/>
      <c r="BA34" s="1626"/>
      <c r="BB34" s="1626"/>
      <c r="BC34" s="1626"/>
      <c r="BD34" s="1626"/>
      <c r="BE34" s="1626"/>
      <c r="BF34" s="1626"/>
      <c r="BG34" s="721"/>
      <c r="BH34" s="1626"/>
      <c r="BI34" s="1626"/>
      <c r="BJ34" s="1626"/>
      <c r="BK34" s="1626"/>
      <c r="BL34" s="1626"/>
      <c r="BM34" s="1626"/>
      <c r="BN34" s="758"/>
      <c r="BO34" s="721">
        <f t="shared" si="2"/>
        <v>0</v>
      </c>
      <c r="BP34" s="721"/>
      <c r="BQ34" s="721"/>
      <c r="BR34" s="721"/>
    </row>
    <row r="35" spans="1:70" s="686" customFormat="1" x14ac:dyDescent="0.2">
      <c r="A35" s="840">
        <v>12</v>
      </c>
      <c r="B35" s="1712">
        <v>12</v>
      </c>
      <c r="C35" s="1613"/>
      <c r="D35" s="1248" t="str">
        <f>IF(AND(C35="",C33&lt;&gt;""),"Enter Facility "&amp;TEXT(A35,0)&amp;" Name, then Fill in Columns "&amp;TEXT($H$2,0)&amp;" - "&amp;TEXT($AH$2,0)&amp;"       ","")</f>
        <v/>
      </c>
      <c r="E35" s="1245" t="str">
        <f>IF(AL35="N/A","",AL35)</f>
        <v/>
      </c>
      <c r="F35" s="758"/>
      <c r="G35" s="758"/>
      <c r="H35" s="1614"/>
      <c r="I35" s="758"/>
      <c r="J35" s="1615"/>
      <c r="K35" s="1248" t="str">
        <f>IF(E35&lt;&gt;"","Enter Street Address                   ","")</f>
        <v/>
      </c>
      <c r="L35" s="1615"/>
      <c r="M35" s="1248" t="str">
        <f>IF(E35&lt;&gt;"","Enter City Name       ","")</f>
        <v/>
      </c>
      <c r="N35" s="1613"/>
      <c r="O35" s="1248" t="str">
        <f>IF(E35&lt;&gt;"","Select from Pull-Down List   ","")</f>
        <v/>
      </c>
      <c r="P35" s="1616"/>
      <c r="Q35" s="1248" t="str">
        <f>IF($E35&lt;&gt;"","Enter ZIP Code       ","")</f>
        <v/>
      </c>
      <c r="R35" s="1617"/>
      <c r="S35" s="1618" t="str">
        <f>IF($E35&lt;&gt;"","Select from Pull-Down List  ","")</f>
        <v/>
      </c>
      <c r="T35" s="1617"/>
      <c r="U35" s="1618" t="str">
        <f>IF(AND($C35&lt;&gt;"",T35=""),"Select from Pull-Down List  ","")</f>
        <v/>
      </c>
      <c r="V35" s="1619"/>
      <c r="W35" s="1248" t="str">
        <f>IF(E35&lt;&gt;"","Year?   ","")</f>
        <v/>
      </c>
      <c r="X35" s="1247"/>
      <c r="Y35" s="1620" t="str">
        <f>IF(E35&lt;&gt;"","Sq. Feet?   ","")</f>
        <v/>
      </c>
      <c r="Z35" s="1621"/>
      <c r="AA35" s="1618" t="str">
        <f>IF($E35&lt;&gt;"","% of Cap Resp.","")</f>
        <v/>
      </c>
      <c r="AB35" s="1782" t="str">
        <f ca="1">IFERROR(IF(BK35="", "", IF(BK35&gt;100, 1, VLOOKUP(BK35, Valid!$W$1:$AA$101, VLOOKUP(T35, Codes!$G$7:$I$17, 3, FALSE), FALSE))), "")</f>
        <v/>
      </c>
      <c r="AC35" s="1618"/>
      <c r="AD35" s="1247"/>
      <c r="AE35" s="1620" t="str">
        <f>IF($E35&lt;&gt;"","Drop-Down    ","")</f>
        <v/>
      </c>
      <c r="AF35" s="1720"/>
      <c r="AG35" s="1620" t="b">
        <f>IF(E35&lt;&gt;"","Date?   ")</f>
        <v>0</v>
      </c>
      <c r="AH35" s="1613"/>
      <c r="AI35" s="1248" t="str">
        <f>IF(OR(T35="Other (describe in Notes)",T35="Dual Administrative and Maintenance Facility"),"Describe Facility                                                                                         ","")</f>
        <v/>
      </c>
      <c r="AJ35" s="1624"/>
      <c r="AK35" s="1624" t="b">
        <f>IF(AND(C35="",C37&lt;&gt;""),TRUE,FALSE)</f>
        <v>0</v>
      </c>
      <c r="AL35" s="1624" t="str">
        <f>IF(AND($C35&lt;&gt;"",OR($J35="",$L35="",$N35="",$P35="",$R35="",$T35="",$V35="",$X35="",$Z35="",$AD35="",$AF35="")),"No",IF(AND($C35="",OR($H35&lt;&gt;"",$J35&lt;&gt;"",$L35&lt;&gt;"",$N35&lt;&gt;"",$P35&lt;&gt;"",$R35&lt;&gt;"",$T35&lt;&gt;"",$V35&lt;&gt;"",$X35&lt;&gt;"",$Z35&lt;&gt;"",$AD35&lt;&gt;"",$AF35&lt;&gt;"")),"N",IF(AND($H35="",$C35="",$J35="",$L35="",$N35="",$P35="",$R35="",$T35="",$V35="",$X35="",$Z35="",$AD35="",$AF35=""),"N/A",IF(AND($C35&lt;&gt;"",$J35&lt;&gt;"",$L35&lt;&gt;"",$N35&lt;&gt;"",$P35&lt;&gt;"",$R35&lt;&gt;"",$T35&lt;&gt;"",$V35&lt;&gt;"",$X35&lt;&gt;"",$Z35&lt;&gt;"",$AD35&lt;&gt;"",$AF35&lt;&gt;""),"Yes",""))))</f>
        <v>N/A</v>
      </c>
      <c r="AM35" s="1625" t="b">
        <f ca="1">IF(AND($C35="",OR($J35&lt;&gt;"",$L35&lt;&gt;"",$N35&lt;&gt;"",$P35&lt;&gt;"",$R35&lt;&gt;"",$T35&lt;&gt;"",$V35&lt;&gt;"",$X35&lt;&gt;"",$Z35&lt;&gt;"",$AB35&lt;&gt;"",$AF35&lt;&gt;"")),TRUE,FALSE)</f>
        <v>0</v>
      </c>
      <c r="AN35" s="1625" t="b">
        <f>IF(AND($C35&lt;&gt;"",$J35=""),TRUE,FALSE)</f>
        <v>0</v>
      </c>
      <c r="AO35" s="1625" t="b">
        <f>IF(AND($C35&lt;&gt;"",$L35=""),TRUE,FALSE)</f>
        <v>0</v>
      </c>
      <c r="AP35" s="1625" t="b">
        <f>IF(AND($C35&lt;&gt;"",$N35=""),TRUE,FALSE)</f>
        <v>0</v>
      </c>
      <c r="AQ35" s="1625" t="b">
        <f>IF(AND($C35&lt;&gt;"",$P35=""),TRUE,FALSE)</f>
        <v>0</v>
      </c>
      <c r="AR35" s="1625" t="b">
        <f>IF(AND($C35&lt;&gt;"",$R35=""),TRUE,FALSE)</f>
        <v>0</v>
      </c>
      <c r="AS35" s="1625"/>
      <c r="AT35" s="1625" t="b">
        <f ca="1">IF(AND(T35="",OR(V35&lt;&gt;"",X35&lt;&gt;"",Z35&lt;&gt;"",AB35&lt;&gt;"",AF35&lt;&gt;"")),TRUE,FALSE)</f>
        <v>0</v>
      </c>
      <c r="AU35" s="1625" t="b">
        <f>IF(AND($C35&lt;&gt;"",$T35=""),TRUE,FALSE)</f>
        <v>0</v>
      </c>
      <c r="AV35" s="1625" t="b">
        <f>IF(V35="",FALSE,IF(T35="",FALSE,IF(AW35=TRUE,FALSE,IF(OR(V35&lt;BI35,V35&gt;BaseYear),TRUE,FALSE))))</f>
        <v>0</v>
      </c>
      <c r="AW35" s="1625" t="b">
        <f>IF(AND($C35&lt;&gt;"",$V35=""),TRUE,FALSE)</f>
        <v>0</v>
      </c>
      <c r="AX35" s="1625" t="b">
        <f>IF(X35="",FALSE,IF(T35="",FALSE,IF(AZ35=TRUE,FALSE,IF(X35&lt;BL35,TRUE,FALSE))))</f>
        <v>0</v>
      </c>
      <c r="AY35" s="1625" t="b">
        <f>IF(X35="",FALSE,IF(T35="",FALSE,IF(AZ35=TRUE,FALSE,IF(X35&gt;BM35,TRUE,FALSE))))</f>
        <v>0</v>
      </c>
      <c r="AZ35" s="1625" t="b">
        <f>IF(AND($C35&lt;&gt;"",$X35=""),TRUE,FALSE)</f>
        <v>0</v>
      </c>
      <c r="BA35" s="1626" t="b">
        <f>IF(BB35=TRUE,FALSE,IF(OR(Z35&lt;0,Z35&gt;1),TRUE,FALSE))</f>
        <v>0</v>
      </c>
      <c r="BB35" s="1625" t="b">
        <f>IF(AND($C35&lt;&gt;"",$Z35=""),TRUE,FALSE)</f>
        <v>0</v>
      </c>
      <c r="BC35" s="1626"/>
      <c r="BD35" s="1625" t="b">
        <f ca="1">IF(AND($C35&lt;&gt;"",$AB35=""),TRUE,FALSE)</f>
        <v>0</v>
      </c>
      <c r="BE35" s="1626" t="b">
        <f>IF(OR(AF35="", V35=""),FALSE,IF(COUNT(FIND({0,1,2,3,4,5,6,7,8,9}, AF35))=0, FALSE, IF(YEAR(AF35)&lt;V35, TRUE, FALSE)))</f>
        <v>0</v>
      </c>
      <c r="BF35" s="1625" t="b">
        <f>IF(AND($C35&lt;&gt;"",$AF35=""),TRUE,FALSE)</f>
        <v>0</v>
      </c>
      <c r="BG35" s="721"/>
      <c r="BH35" s="1625" t="str">
        <f>IF($T35="","",VLOOKUP($T35,val_facilities,BH$3,FALSE))</f>
        <v/>
      </c>
      <c r="BI35" s="1627" t="str">
        <f>IF($T35="","",VLOOKUP($T35,val_facilities,BI$3,FALSE))</f>
        <v/>
      </c>
      <c r="BJ35" s="1627" t="str">
        <f>IF($T35="","",VLOOKUP($T35,val_facilities,BJ$3,FALSE))</f>
        <v/>
      </c>
      <c r="BK35" s="1627" t="str">
        <f ca="1">IFERROR(IF(V35="", "", YEAR(TODAY())-V35), "")</f>
        <v/>
      </c>
      <c r="BL35" s="845" t="str">
        <f>IF($T35="","",VLOOKUP($T35,val_facilities,BL$3,FALSE))</f>
        <v/>
      </c>
      <c r="BM35" s="845" t="str">
        <f>IF($T35="","",VLOOKUP($T35,val_facilities,BM$3,FALSE))</f>
        <v/>
      </c>
      <c r="BN35" s="758"/>
      <c r="BO35" s="721">
        <f t="shared" si="2"/>
        <v>0</v>
      </c>
      <c r="BP35" s="816"/>
      <c r="BQ35" s="816"/>
      <c r="BR35" s="816"/>
    </row>
    <row r="36" spans="1:70" s="686" customFormat="1" ht="6.75" customHeight="1" thickBot="1" x14ac:dyDescent="0.25">
      <c r="A36" s="1638"/>
      <c r="B36" s="1712">
        <v>12.5</v>
      </c>
      <c r="C36" s="721"/>
      <c r="D36" s="1248"/>
      <c r="E36" s="816"/>
      <c r="F36" s="758"/>
      <c r="G36" s="758"/>
      <c r="H36" s="758"/>
      <c r="I36" s="758"/>
      <c r="J36" s="1633"/>
      <c r="K36" s="1248"/>
      <c r="L36" s="1634"/>
      <c r="M36" s="1248"/>
      <c r="N36" s="1634"/>
      <c r="O36" s="1248"/>
      <c r="P36" s="1635"/>
      <c r="Q36" s="1248"/>
      <c r="R36" s="1059"/>
      <c r="S36" s="1618"/>
      <c r="T36" s="1636"/>
      <c r="U36" s="1618"/>
      <c r="V36" s="1623"/>
      <c r="W36" s="1618"/>
      <c r="X36" s="722"/>
      <c r="Y36" s="723"/>
      <c r="Z36" s="724"/>
      <c r="AA36" s="723"/>
      <c r="AB36" s="722"/>
      <c r="AC36" s="723"/>
      <c r="AD36" s="722"/>
      <c r="AE36" s="723"/>
      <c r="AF36" s="1717"/>
      <c r="AG36" s="723"/>
      <c r="AH36" s="1637"/>
      <c r="AI36" s="1624"/>
      <c r="AJ36" s="1624"/>
      <c r="AK36" s="1624"/>
      <c r="AL36" s="1624"/>
      <c r="AM36" s="1625"/>
      <c r="AN36" s="1625"/>
      <c r="AO36" s="1625"/>
      <c r="AP36" s="1625"/>
      <c r="AQ36" s="1625"/>
      <c r="AR36" s="1625"/>
      <c r="AS36" s="1625"/>
      <c r="AT36" s="1625"/>
      <c r="AU36" s="1625"/>
      <c r="AV36" s="1626"/>
      <c r="AW36" s="1626"/>
      <c r="AX36" s="1626"/>
      <c r="AY36" s="1626"/>
      <c r="AZ36" s="1626"/>
      <c r="BA36" s="1626"/>
      <c r="BB36" s="1626"/>
      <c r="BC36" s="1626"/>
      <c r="BD36" s="1626"/>
      <c r="BE36" s="1626"/>
      <c r="BF36" s="1626"/>
      <c r="BG36" s="721"/>
      <c r="BH36" s="1626"/>
      <c r="BI36" s="1626"/>
      <c r="BJ36" s="1626"/>
      <c r="BK36" s="1626"/>
      <c r="BL36" s="1626"/>
      <c r="BM36" s="1626"/>
      <c r="BN36" s="758"/>
      <c r="BO36" s="721">
        <f t="shared" si="2"/>
        <v>0</v>
      </c>
      <c r="BP36" s="816"/>
      <c r="BQ36" s="816"/>
      <c r="BR36" s="816"/>
    </row>
    <row r="37" spans="1:70" s="686" customFormat="1" x14ac:dyDescent="0.2">
      <c r="A37" s="840">
        <v>13</v>
      </c>
      <c r="B37" s="1712">
        <v>13</v>
      </c>
      <c r="C37" s="1613"/>
      <c r="D37" s="1248" t="str">
        <f>IF(AND(C37="",C35&lt;&gt;""),"Enter Facility "&amp;TEXT(A37,0)&amp;" Name, then Fill in Columns "&amp;TEXT($H$2,0)&amp;" - "&amp;TEXT($AH$2,0)&amp;"       ","")</f>
        <v/>
      </c>
      <c r="E37" s="1245" t="str">
        <f>IF(AL37="N/A","",AL37)</f>
        <v/>
      </c>
      <c r="F37" s="758"/>
      <c r="G37" s="758"/>
      <c r="H37" s="1614"/>
      <c r="I37" s="758"/>
      <c r="J37" s="1615"/>
      <c r="K37" s="1248" t="str">
        <f>IF(E37&lt;&gt;"","Enter Street Address                   ","")</f>
        <v/>
      </c>
      <c r="L37" s="1615"/>
      <c r="M37" s="1248" t="str">
        <f>IF(E37&lt;&gt;"","Enter City Name       ","")</f>
        <v/>
      </c>
      <c r="N37" s="1613"/>
      <c r="O37" s="1248" t="str">
        <f>IF(E37&lt;&gt;"","Select from Pull-Down List   ","")</f>
        <v/>
      </c>
      <c r="P37" s="1616"/>
      <c r="Q37" s="1248" t="str">
        <f>IF($E37&lt;&gt;"","Enter ZIP Code       ","")</f>
        <v/>
      </c>
      <c r="R37" s="1617"/>
      <c r="S37" s="1618" t="str">
        <f>IF($E37&lt;&gt;"","Select from Pull-Down List  ","")</f>
        <v/>
      </c>
      <c r="T37" s="1617"/>
      <c r="U37" s="1618" t="str">
        <f>IF(AND($C37&lt;&gt;"",T37=""),"Select from Pull-Down List  ","")</f>
        <v/>
      </c>
      <c r="V37" s="1619"/>
      <c r="W37" s="1248" t="str">
        <f>IF(E37&lt;&gt;"","Year?   ","")</f>
        <v/>
      </c>
      <c r="X37" s="1247"/>
      <c r="Y37" s="1620" t="str">
        <f>IF(E37&lt;&gt;"","Sq. Feet?   ","")</f>
        <v/>
      </c>
      <c r="Z37" s="1621"/>
      <c r="AA37" s="1618" t="str">
        <f>IF($E37&lt;&gt;"","% of Cap Resp.","")</f>
        <v/>
      </c>
      <c r="AB37" s="1782" t="str">
        <f ca="1">IFERROR(IF(BK37="", "", IF(BK37&gt;100, 1, VLOOKUP(BK37, Valid!$W$1:$AA$101, VLOOKUP(T37, Codes!$G$7:$I$17, 3, FALSE), FALSE))), "")</f>
        <v/>
      </c>
      <c r="AC37" s="1618"/>
      <c r="AD37" s="1247"/>
      <c r="AE37" s="1620" t="str">
        <f>IF($E37&lt;&gt;"","Drop-Down    ","")</f>
        <v/>
      </c>
      <c r="AF37" s="1720"/>
      <c r="AG37" s="1620" t="b">
        <f>IF(E37&lt;&gt;"","Date?   ")</f>
        <v>0</v>
      </c>
      <c r="AH37" s="1613"/>
      <c r="AI37" s="1248" t="str">
        <f>IF(OR(T37="Other (describe in Notes)",T37="Dual Administrative and Maintenance Facility"),"Describe Facility                                                                                         ","")</f>
        <v/>
      </c>
      <c r="AJ37" s="1624"/>
      <c r="AK37" s="1624" t="b">
        <f>IF(AND(C37="",C39&lt;&gt;""),TRUE,FALSE)</f>
        <v>0</v>
      </c>
      <c r="AL37" s="1624" t="str">
        <f>IF(AND($C37&lt;&gt;"",OR($J37="",$L37="",$N37="",$P37="",$R37="",$T37="",$V37="",$X37="",$Z37="",$AD37="",$AF37="")),"No",IF(AND($C37="",OR($H37&lt;&gt;"",$J37&lt;&gt;"",$L37&lt;&gt;"",$N37&lt;&gt;"",$P37&lt;&gt;"",$R37&lt;&gt;"",$T37&lt;&gt;"",$V37&lt;&gt;"",$X37&lt;&gt;"",$Z37&lt;&gt;"",$AD37&lt;&gt;"",$AF37&lt;&gt;"")),"N",IF(AND($H37="",$C37="",$J37="",$L37="",$N37="",$P37="",$R37="",$T37="",$V37="",$X37="",$Z37="",$AD37="",$AF37=""),"N/A",IF(AND($C37&lt;&gt;"",$J37&lt;&gt;"",$L37&lt;&gt;"",$N37&lt;&gt;"",$P37&lt;&gt;"",$R37&lt;&gt;"",$T37&lt;&gt;"",$V37&lt;&gt;"",$X37&lt;&gt;"",$Z37&lt;&gt;"",$AD37&lt;&gt;"",$AF37&lt;&gt;""),"Yes",""))))</f>
        <v>N/A</v>
      </c>
      <c r="AM37" s="1625" t="b">
        <f ca="1">IF(AND($C37="",OR($J37&lt;&gt;"",$L37&lt;&gt;"",$N37&lt;&gt;"",$P37&lt;&gt;"",$R37&lt;&gt;"",$T37&lt;&gt;"",$V37&lt;&gt;"",$X37&lt;&gt;"",$Z37&lt;&gt;"",$AB37&lt;&gt;"",$AF37&lt;&gt;"")),TRUE,FALSE)</f>
        <v>0</v>
      </c>
      <c r="AN37" s="1625" t="b">
        <f>IF(AND($C37&lt;&gt;"",$J37=""),TRUE,FALSE)</f>
        <v>0</v>
      </c>
      <c r="AO37" s="1625" t="b">
        <f>IF(AND($C37&lt;&gt;"",$L37=""),TRUE,FALSE)</f>
        <v>0</v>
      </c>
      <c r="AP37" s="1625" t="b">
        <f>IF(AND($C37&lt;&gt;"",$N37=""),TRUE,FALSE)</f>
        <v>0</v>
      </c>
      <c r="AQ37" s="1625" t="b">
        <f>IF(AND($C37&lt;&gt;"",$P37=""),TRUE,FALSE)</f>
        <v>0</v>
      </c>
      <c r="AR37" s="1625" t="b">
        <f>IF(AND($C37&lt;&gt;"",$R37=""),TRUE,FALSE)</f>
        <v>0</v>
      </c>
      <c r="AS37" s="1625"/>
      <c r="AT37" s="1625" t="b">
        <f ca="1">IF(AND(T37="",OR(V37&lt;&gt;"",X37&lt;&gt;"",Z37&lt;&gt;"",AB37&lt;&gt;"",AF37&lt;&gt;"")),TRUE,FALSE)</f>
        <v>0</v>
      </c>
      <c r="AU37" s="1625" t="b">
        <f>IF(AND($C37&lt;&gt;"",$T37=""),TRUE,FALSE)</f>
        <v>0</v>
      </c>
      <c r="AV37" s="1625" t="b">
        <f>IF(V37="",FALSE,IF(T37="",FALSE,IF(AW37=TRUE,FALSE,IF(OR(V37&lt;BI37,V37&gt;BaseYear),TRUE,FALSE))))</f>
        <v>0</v>
      </c>
      <c r="AW37" s="1625" t="b">
        <f>IF(AND($C37&lt;&gt;"",$V37=""),TRUE,FALSE)</f>
        <v>0</v>
      </c>
      <c r="AX37" s="1625" t="b">
        <f>IF(X37="",FALSE,IF(T37="",FALSE,IF(AZ37=TRUE,FALSE,IF(X37&lt;BL37,TRUE,FALSE))))</f>
        <v>0</v>
      </c>
      <c r="AY37" s="1625" t="b">
        <f>IF(X37="",FALSE,IF(T37="",FALSE,IF(AZ37=TRUE,FALSE,IF(X37&gt;BM37,TRUE,FALSE))))</f>
        <v>0</v>
      </c>
      <c r="AZ37" s="1625" t="b">
        <f>IF(AND($C37&lt;&gt;"",$X37=""),TRUE,FALSE)</f>
        <v>0</v>
      </c>
      <c r="BA37" s="1626" t="b">
        <f>IF(BB37=TRUE,FALSE,IF(OR(Z37&lt;0,Z37&gt;1),TRUE,FALSE))</f>
        <v>0</v>
      </c>
      <c r="BB37" s="1625" t="b">
        <f>IF(AND($C37&lt;&gt;"",$Z37=""),TRUE,FALSE)</f>
        <v>0</v>
      </c>
      <c r="BC37" s="1626"/>
      <c r="BD37" s="1625" t="b">
        <f ca="1">IF(AND($C37&lt;&gt;"",$AB37=""),TRUE,FALSE)</f>
        <v>0</v>
      </c>
      <c r="BE37" s="1626" t="b">
        <f>IF(OR(AF37="", V37=""),FALSE,IF(COUNT(FIND({0,1,2,3,4,5,6,7,8,9}, AF37))=0, FALSE, IF(YEAR(AF37)&lt;V37, TRUE, FALSE)))</f>
        <v>0</v>
      </c>
      <c r="BF37" s="1625" t="b">
        <f>IF(AND($C37&lt;&gt;"",$AF37=""),TRUE,FALSE)</f>
        <v>0</v>
      </c>
      <c r="BG37" s="721"/>
      <c r="BH37" s="1625" t="str">
        <f>IF($T37="","",VLOOKUP($T37,val_facilities,BH$3,FALSE))</f>
        <v/>
      </c>
      <c r="BI37" s="1627" t="str">
        <f>IF($T37="","",VLOOKUP($T37,val_facilities,BI$3,FALSE))</f>
        <v/>
      </c>
      <c r="BJ37" s="1627" t="str">
        <f>IF($T37="","",VLOOKUP($T37,val_facilities,BJ$3,FALSE))</f>
        <v/>
      </c>
      <c r="BK37" s="1627" t="str">
        <f ca="1">IFERROR(IF(V37="", "", YEAR(TODAY())-V37), "")</f>
        <v/>
      </c>
      <c r="BL37" s="845" t="str">
        <f>IF($T37="","",VLOOKUP($T37,val_facilities,BL$3,FALSE))</f>
        <v/>
      </c>
      <c r="BM37" s="845" t="str">
        <f>IF($T37="","",VLOOKUP($T37,val_facilities,BM$3,FALSE))</f>
        <v/>
      </c>
      <c r="BN37" s="758"/>
      <c r="BO37" s="721">
        <f t="shared" si="2"/>
        <v>0</v>
      </c>
      <c r="BP37" s="816"/>
      <c r="BQ37" s="816"/>
      <c r="BR37" s="816"/>
    </row>
    <row r="38" spans="1:70" s="686" customFormat="1" ht="6.75" customHeight="1" thickBot="1" x14ac:dyDescent="0.25">
      <c r="A38" s="1638"/>
      <c r="B38" s="1712">
        <v>13.5</v>
      </c>
      <c r="C38" s="1057"/>
      <c r="D38" s="1248"/>
      <c r="E38" s="1057"/>
      <c r="F38" s="1229"/>
      <c r="G38" s="1229"/>
      <c r="H38" s="1229"/>
      <c r="I38" s="1229"/>
      <c r="J38" s="1604"/>
      <c r="K38" s="1640"/>
      <c r="L38" s="1641"/>
      <c r="M38" s="1248"/>
      <c r="N38" s="1641"/>
      <c r="O38" s="1248"/>
      <c r="P38" s="1642"/>
      <c r="Q38" s="1248"/>
      <c r="R38" s="1057"/>
      <c r="S38" s="1618"/>
      <c r="T38" s="1643"/>
      <c r="U38" s="1618"/>
      <c r="V38" s="1623"/>
      <c r="W38" s="1618"/>
      <c r="X38" s="733"/>
      <c r="Y38" s="1275"/>
      <c r="Z38" s="685"/>
      <c r="AA38" s="1275"/>
      <c r="AB38" s="733"/>
      <c r="AC38" s="1275"/>
      <c r="AD38" s="733"/>
      <c r="AE38" s="1275"/>
      <c r="AF38" s="1721"/>
      <c r="AG38" s="1275"/>
      <c r="AH38" s="1057"/>
      <c r="AI38" s="1644"/>
      <c r="AJ38" s="1644"/>
      <c r="AK38" s="1644"/>
      <c r="AL38" s="1644"/>
      <c r="AM38" s="1625"/>
      <c r="AN38" s="1625"/>
      <c r="AO38" s="1625"/>
      <c r="AP38" s="1625"/>
      <c r="AQ38" s="1625"/>
      <c r="AR38" s="848"/>
      <c r="AS38" s="848"/>
      <c r="AT38" s="848"/>
      <c r="AU38" s="848"/>
      <c r="AV38" s="848"/>
      <c r="AW38" s="848"/>
      <c r="AX38" s="848"/>
      <c r="AY38" s="848"/>
      <c r="AZ38" s="848"/>
      <c r="BA38" s="848"/>
      <c r="BB38" s="848"/>
      <c r="BC38" s="848"/>
      <c r="BD38" s="848"/>
      <c r="BE38" s="848"/>
      <c r="BF38" s="848"/>
      <c r="BG38" s="685"/>
      <c r="BH38" s="848"/>
      <c r="BI38" s="848"/>
      <c r="BJ38" s="848"/>
      <c r="BK38" s="848"/>
      <c r="BL38" s="848"/>
      <c r="BM38" s="848"/>
      <c r="BN38" s="1229"/>
      <c r="BO38" s="721">
        <f t="shared" si="2"/>
        <v>0</v>
      </c>
    </row>
    <row r="39" spans="1:70" s="816" customFormat="1" x14ac:dyDescent="0.2">
      <c r="A39" s="840">
        <v>14</v>
      </c>
      <c r="B39" s="1712">
        <v>14</v>
      </c>
      <c r="C39" s="1613"/>
      <c r="D39" s="1248" t="str">
        <f>IF(AND(C39="",C37&lt;&gt;""),"Enter Facility "&amp;TEXT(A39,0)&amp;" Name, then Fill in Columns "&amp;TEXT($H$2,0)&amp;" - "&amp;TEXT($AH$2,0)&amp;"       ","")</f>
        <v/>
      </c>
      <c r="E39" s="1245" t="str">
        <f>IF(AL39="N/A","",AL39)</f>
        <v/>
      </c>
      <c r="F39" s="758"/>
      <c r="G39" s="758"/>
      <c r="H39" s="1614"/>
      <c r="I39" s="758"/>
      <c r="J39" s="1615"/>
      <c r="K39" s="1248" t="str">
        <f>IF(E39&lt;&gt;"","Enter Street Address                   ","")</f>
        <v/>
      </c>
      <c r="L39" s="1615"/>
      <c r="M39" s="1248" t="str">
        <f>IF(E39&lt;&gt;"","Enter City Name       ","")</f>
        <v/>
      </c>
      <c r="N39" s="1613"/>
      <c r="O39" s="1248" t="str">
        <f>IF(E39&lt;&gt;"","Select from Pull-Down List   ","")</f>
        <v/>
      </c>
      <c r="P39" s="1616"/>
      <c r="Q39" s="1248" t="str">
        <f>IF($E39&lt;&gt;"","Enter ZIP Code       ","")</f>
        <v/>
      </c>
      <c r="R39" s="1617"/>
      <c r="S39" s="1618" t="str">
        <f>IF($E39&lt;&gt;"","Select from Pull-Down List  ","")</f>
        <v/>
      </c>
      <c r="T39" s="1617"/>
      <c r="U39" s="1618" t="str">
        <f>IF(AND($C39&lt;&gt;"",T39=""),"Select from Pull-Down List  ","")</f>
        <v/>
      </c>
      <c r="V39" s="1619"/>
      <c r="W39" s="1248" t="str">
        <f>IF(E39&lt;&gt;"","Year?   ","")</f>
        <v/>
      </c>
      <c r="X39" s="1247"/>
      <c r="Y39" s="1620" t="str">
        <f>IF(E39&lt;&gt;"","Sq. Feet?   ","")</f>
        <v/>
      </c>
      <c r="Z39" s="1621"/>
      <c r="AA39" s="1618" t="str">
        <f>IF($E39&lt;&gt;"","% of Cap Resp.","")</f>
        <v/>
      </c>
      <c r="AB39" s="1782" t="str">
        <f ca="1">IFERROR(IF(BK39="", "", IF(BK39&gt;100, 1, VLOOKUP(BK39, Valid!$W$1:$AA$101, VLOOKUP(T39, Codes!$G$7:$I$17, 3, FALSE), FALSE))), "")</f>
        <v/>
      </c>
      <c r="AC39" s="1618"/>
      <c r="AD39" s="1247"/>
      <c r="AE39" s="1620" t="str">
        <f>IF($E39&lt;&gt;"","Drop-Down    ","")</f>
        <v/>
      </c>
      <c r="AF39" s="1720"/>
      <c r="AG39" s="1620" t="b">
        <f>IF(E39&lt;&gt;"","Date?   ")</f>
        <v>0</v>
      </c>
      <c r="AH39" s="1613"/>
      <c r="AI39" s="1248" t="str">
        <f>IF(OR(T39="Other (describe in Notes)",T39="Dual Administrative and Maintenance Facility"),"Describe Facility                                                                                         ","")</f>
        <v/>
      </c>
      <c r="AJ39" s="1624"/>
      <c r="AK39" s="1624" t="b">
        <f>IF(AND(C39="",C41&lt;&gt;""),TRUE,FALSE)</f>
        <v>0</v>
      </c>
      <c r="AL39" s="1624" t="str">
        <f>IF(AND($C39&lt;&gt;"",OR($J39="",$L39="",$N39="",$P39="",$R39="",$T39="",$V39="",$X39="",$Z39="",$AD39="",$AF39="")),"No",IF(AND($C39="",OR($H39&lt;&gt;"",$J39&lt;&gt;"",$L39&lt;&gt;"",$N39&lt;&gt;"",$P39&lt;&gt;"",$R39&lt;&gt;"",$T39&lt;&gt;"",$V39&lt;&gt;"",$X39&lt;&gt;"",$Z39&lt;&gt;"",$AD39&lt;&gt;"",$AF39&lt;&gt;"")),"N",IF(AND($H39="",$C39="",$J39="",$L39="",$N39="",$P39="",$R39="",$T39="",$V39="",$X39="",$Z39="",$AD39="",$AF39=""),"N/A",IF(AND($C39&lt;&gt;"",$J39&lt;&gt;"",$L39&lt;&gt;"",$N39&lt;&gt;"",$P39&lt;&gt;"",$R39&lt;&gt;"",$T39&lt;&gt;"",$V39&lt;&gt;"",$X39&lt;&gt;"",$Z39&lt;&gt;"",$AD39&lt;&gt;"",$AF39&lt;&gt;""),"Yes",""))))</f>
        <v>N/A</v>
      </c>
      <c r="AM39" s="1625" t="b">
        <f ca="1">IF(AND($C39="",OR($J39&lt;&gt;"",$L39&lt;&gt;"",$N39&lt;&gt;"",$P39&lt;&gt;"",$R39&lt;&gt;"",$T39&lt;&gt;"",$V39&lt;&gt;"",$X39&lt;&gt;"",$Z39&lt;&gt;"",$AB39&lt;&gt;"",$AF39&lt;&gt;"")),TRUE,FALSE)</f>
        <v>0</v>
      </c>
      <c r="AN39" s="1625" t="b">
        <f>IF(AND($C39&lt;&gt;"",$J39=""),TRUE,FALSE)</f>
        <v>0</v>
      </c>
      <c r="AO39" s="1625" t="b">
        <f>IF(AND($C39&lt;&gt;"",$L39=""),TRUE,FALSE)</f>
        <v>0</v>
      </c>
      <c r="AP39" s="1625" t="b">
        <f>IF(AND($C39&lt;&gt;"",$N39=""),TRUE,FALSE)</f>
        <v>0</v>
      </c>
      <c r="AQ39" s="1625" t="b">
        <f>IF(AND($C39&lt;&gt;"",$P39=""),TRUE,FALSE)</f>
        <v>0</v>
      </c>
      <c r="AR39" s="1625" t="b">
        <f>IF(AND($C39&lt;&gt;"",$R39=""),TRUE,FALSE)</f>
        <v>0</v>
      </c>
      <c r="AS39" s="1625"/>
      <c r="AT39" s="1625" t="b">
        <f ca="1">IF(AND(T39="",OR(V39&lt;&gt;"",X39&lt;&gt;"",Z39&lt;&gt;"",AB39&lt;&gt;"",AF39&lt;&gt;"")),TRUE,FALSE)</f>
        <v>0</v>
      </c>
      <c r="AU39" s="1625" t="b">
        <f>IF(AND($C39&lt;&gt;"",$T39=""),TRUE,FALSE)</f>
        <v>0</v>
      </c>
      <c r="AV39" s="1625" t="b">
        <f>IF(V39="",FALSE,IF(T39="",FALSE,IF(AW39=TRUE,FALSE,IF(OR(V39&lt;BI39,V39&gt;BaseYear),TRUE,FALSE))))</f>
        <v>0</v>
      </c>
      <c r="AW39" s="1625" t="b">
        <f>IF(AND($C39&lt;&gt;"",$V39=""),TRUE,FALSE)</f>
        <v>0</v>
      </c>
      <c r="AX39" s="1625" t="b">
        <f>IF(X39="",FALSE,IF(T39="",FALSE,IF(AZ39=TRUE,FALSE,IF(X39&lt;BL39,TRUE,FALSE))))</f>
        <v>0</v>
      </c>
      <c r="AY39" s="1625" t="b">
        <f>IF(X39="",FALSE,IF(T39="",FALSE,IF(AZ39=TRUE,FALSE,IF(X39&gt;BM39,TRUE,FALSE))))</f>
        <v>0</v>
      </c>
      <c r="AZ39" s="1625" t="b">
        <f>IF(AND($C39&lt;&gt;"",$X39=""),TRUE,FALSE)</f>
        <v>0</v>
      </c>
      <c r="BA39" s="1626" t="b">
        <f>IF(BB39=TRUE,FALSE,IF(OR(Z39&lt;0,Z39&gt;1),TRUE,FALSE))</f>
        <v>0</v>
      </c>
      <c r="BB39" s="1625" t="b">
        <f>IF(AND($C39&lt;&gt;"",$Z39=""),TRUE,FALSE)</f>
        <v>0</v>
      </c>
      <c r="BC39" s="1626"/>
      <c r="BD39" s="1625" t="b">
        <f ca="1">IF(AND($C39&lt;&gt;"",$AB39=""),TRUE,FALSE)</f>
        <v>0</v>
      </c>
      <c r="BE39" s="1626" t="b">
        <f>IF(OR(AF39="", V39=""),FALSE,IF(COUNT(FIND({0,1,2,3,4,5,6,7,8,9}, AF39))=0, FALSE, IF(YEAR(AF39)&lt;V39, TRUE, FALSE)))</f>
        <v>0</v>
      </c>
      <c r="BF39" s="1625" t="b">
        <f>IF(AND($C39&lt;&gt;"",$AF39=""),TRUE,FALSE)</f>
        <v>0</v>
      </c>
      <c r="BG39" s="721"/>
      <c r="BH39" s="1625" t="str">
        <f>IF($T39="","",VLOOKUP($T39,val_facilities,BH$3,FALSE))</f>
        <v/>
      </c>
      <c r="BI39" s="1627" t="str">
        <f>IF($T39="","",VLOOKUP($T39,val_facilities,BI$3,FALSE))</f>
        <v/>
      </c>
      <c r="BJ39" s="1627" t="str">
        <f>IF($T39="","",VLOOKUP($T39,val_facilities,BJ$3,FALSE))</f>
        <v/>
      </c>
      <c r="BK39" s="1627" t="str">
        <f ca="1">IFERROR(IF(V39="", "", YEAR(TODAY())-V39), "")</f>
        <v/>
      </c>
      <c r="BL39" s="845" t="str">
        <f>IF($T39="","",VLOOKUP($T39,val_facilities,BL$3,FALSE))</f>
        <v/>
      </c>
      <c r="BM39" s="845" t="str">
        <f>IF($T39="","",VLOOKUP($T39,val_facilities,BM$3,FALSE))</f>
        <v/>
      </c>
      <c r="BN39" s="758"/>
      <c r="BO39" s="721">
        <f t="shared" si="2"/>
        <v>0</v>
      </c>
    </row>
    <row r="40" spans="1:70" s="816" customFormat="1" ht="6.75" customHeight="1" thickBot="1" x14ac:dyDescent="0.25">
      <c r="A40" s="840"/>
      <c r="B40" s="1712">
        <v>14.5</v>
      </c>
      <c r="C40" s="1057"/>
      <c r="D40" s="1248"/>
      <c r="E40" s="1639"/>
      <c r="F40" s="1229"/>
      <c r="G40" s="1229"/>
      <c r="H40" s="1229"/>
      <c r="I40" s="1229"/>
      <c r="J40" s="1604"/>
      <c r="K40" s="1640"/>
      <c r="L40" s="1645"/>
      <c r="M40" s="1646"/>
      <c r="N40" s="1645"/>
      <c r="O40" s="1646"/>
      <c r="P40" s="1647"/>
      <c r="Q40" s="1646"/>
      <c r="R40" s="1057"/>
      <c r="S40" s="1618"/>
      <c r="T40" s="1643"/>
      <c r="U40" s="1618"/>
      <c r="V40" s="1623"/>
      <c r="W40" s="1618"/>
      <c r="X40" s="722"/>
      <c r="Y40" s="1648"/>
      <c r="Z40" s="841"/>
      <c r="AA40" s="1648"/>
      <c r="AB40" s="722"/>
      <c r="AC40" s="1648"/>
      <c r="AD40" s="722"/>
      <c r="AE40" s="1648"/>
      <c r="AF40" s="1717"/>
      <c r="AG40" s="1648"/>
      <c r="AH40" s="1057"/>
      <c r="AI40" s="1644"/>
      <c r="AJ40" s="1644"/>
      <c r="AK40" s="1644"/>
      <c r="AL40" s="1644"/>
      <c r="AM40" s="1625"/>
      <c r="AN40" s="1625"/>
      <c r="AO40" s="1625"/>
      <c r="AP40" s="1625"/>
      <c r="AQ40" s="1625"/>
      <c r="AR40" s="848"/>
      <c r="AS40" s="848"/>
      <c r="AT40" s="848"/>
      <c r="AU40" s="848"/>
      <c r="AV40" s="848"/>
      <c r="AW40" s="848"/>
      <c r="AX40" s="848"/>
      <c r="AY40" s="848"/>
      <c r="AZ40" s="848"/>
      <c r="BA40" s="848"/>
      <c r="BB40" s="848"/>
      <c r="BC40" s="848"/>
      <c r="BD40" s="848"/>
      <c r="BE40" s="848"/>
      <c r="BF40" s="848"/>
      <c r="BG40" s="685"/>
      <c r="BH40" s="848"/>
      <c r="BI40" s="848"/>
      <c r="BJ40" s="848"/>
      <c r="BK40" s="848"/>
      <c r="BL40" s="848"/>
      <c r="BM40" s="848"/>
      <c r="BN40" s="1229"/>
      <c r="BO40" s="721">
        <f t="shared" si="2"/>
        <v>0</v>
      </c>
      <c r="BP40" s="686"/>
      <c r="BQ40" s="686"/>
      <c r="BR40" s="686"/>
    </row>
    <row r="41" spans="1:70" s="816" customFormat="1" x14ac:dyDescent="0.2">
      <c r="A41" s="840">
        <v>15</v>
      </c>
      <c r="B41" s="1712">
        <v>15</v>
      </c>
      <c r="C41" s="1613"/>
      <c r="D41" s="1248" t="str">
        <f>IF(AND(C41="",C39&lt;&gt;""),"Enter Facility "&amp;TEXT(A41,0)&amp;" Name, then Fill in Columns "&amp;TEXT($H$2,0)&amp;" - "&amp;TEXT($AH$2,0)&amp;"       ","")</f>
        <v/>
      </c>
      <c r="E41" s="1245" t="str">
        <f>IF(AL41="N/A","",AL41)</f>
        <v/>
      </c>
      <c r="F41" s="758"/>
      <c r="G41" s="758"/>
      <c r="H41" s="1614"/>
      <c r="I41" s="758"/>
      <c r="J41" s="1615"/>
      <c r="K41" s="1248" t="str">
        <f>IF(E41&lt;&gt;"","Enter Street Address                   ","")</f>
        <v/>
      </c>
      <c r="L41" s="1615"/>
      <c r="M41" s="1248" t="str">
        <f>IF(E41&lt;&gt;"","Enter City Name       ","")</f>
        <v/>
      </c>
      <c r="N41" s="1613"/>
      <c r="O41" s="1248" t="str">
        <f>IF(E41&lt;&gt;"","Select from Pull-Down List   ","")</f>
        <v/>
      </c>
      <c r="P41" s="1616"/>
      <c r="Q41" s="1248" t="str">
        <f>IF($E41&lt;&gt;"","Enter ZIP Code       ","")</f>
        <v/>
      </c>
      <c r="R41" s="1617"/>
      <c r="S41" s="1618" t="str">
        <f>IF($E41&lt;&gt;"","Select from Pull-Down List  ","")</f>
        <v/>
      </c>
      <c r="T41" s="1617"/>
      <c r="U41" s="1618" t="str">
        <f>IF(AND($C41&lt;&gt;"",T41=""),"Select from Pull-Down List  ","")</f>
        <v/>
      </c>
      <c r="V41" s="1619"/>
      <c r="W41" s="1248" t="str">
        <f>IF(E41&lt;&gt;"","Year?   ","")</f>
        <v/>
      </c>
      <c r="X41" s="1247"/>
      <c r="Y41" s="1620" t="str">
        <f>IF(E41&lt;&gt;"","Sq. Feet?   ","")</f>
        <v/>
      </c>
      <c r="Z41" s="1621"/>
      <c r="AA41" s="1618" t="str">
        <f>IF($E41&lt;&gt;"","% of Cap Resp.","")</f>
        <v/>
      </c>
      <c r="AB41" s="1782" t="str">
        <f ca="1">IFERROR(IF(BK41="", "", IF(BK41&gt;100, 1, VLOOKUP(BK41, Valid!$W$1:$AA$101, VLOOKUP(T41, Codes!$G$7:$I$17, 3, FALSE), FALSE))), "")</f>
        <v/>
      </c>
      <c r="AC41" s="1618"/>
      <c r="AD41" s="1247"/>
      <c r="AE41" s="1620" t="str">
        <f>IF($E41&lt;&gt;"","Drop-Down    ","")</f>
        <v/>
      </c>
      <c r="AF41" s="1720"/>
      <c r="AG41" s="1620" t="b">
        <f>IF(E41&lt;&gt;"","Date?   ")</f>
        <v>0</v>
      </c>
      <c r="AH41" s="1613"/>
      <c r="AI41" s="1248" t="str">
        <f>IF(OR(T41="Other (describe in Notes)",T41="Dual Administrative and Maintenance Facility"),"Describe Facility                                                                                         ","")</f>
        <v/>
      </c>
      <c r="AJ41" s="1624"/>
      <c r="AK41" s="1624" t="b">
        <f>IF(AND(C41="",C43&lt;&gt;""),TRUE,FALSE)</f>
        <v>0</v>
      </c>
      <c r="AL41" s="1624" t="str">
        <f>IF(AND($C41&lt;&gt;"",OR($J41="",$L41="",$N41="",$P41="",$R41="",$T41="",$V41="",$X41="",$Z41="",$AD41="",$AF41="")),"No",IF(AND($C41="",OR($H41&lt;&gt;"",$J41&lt;&gt;"",$L41&lt;&gt;"",$N41&lt;&gt;"",$P41&lt;&gt;"",$R41&lt;&gt;"",$T41&lt;&gt;"",$V41&lt;&gt;"",$X41&lt;&gt;"",$Z41&lt;&gt;"",$AD41&lt;&gt;"",$AF41&lt;&gt;"")),"N",IF(AND($H41="",$C41="",$J41="",$L41="",$N41="",$P41="",$R41="",$T41="",$V41="",$X41="",$Z41="",$AD41="",$AF41=""),"N/A",IF(AND($C41&lt;&gt;"",$J41&lt;&gt;"",$L41&lt;&gt;"",$N41&lt;&gt;"",$P41&lt;&gt;"",$R41&lt;&gt;"",$T41&lt;&gt;"",$V41&lt;&gt;"",$X41&lt;&gt;"",$Z41&lt;&gt;"",$AD41&lt;&gt;"",$AF41&lt;&gt;""),"Yes",""))))</f>
        <v>N/A</v>
      </c>
      <c r="AM41" s="1625" t="b">
        <f ca="1">IF(AND($C41="",OR($J41&lt;&gt;"",$L41&lt;&gt;"",$N41&lt;&gt;"",$P41&lt;&gt;"",$R41&lt;&gt;"",$T41&lt;&gt;"",$V41&lt;&gt;"",$X41&lt;&gt;"",$Z41&lt;&gt;"",$AB41&lt;&gt;"",$AF41&lt;&gt;"")),TRUE,FALSE)</f>
        <v>0</v>
      </c>
      <c r="AN41" s="1625" t="b">
        <f>IF(AND($C41&lt;&gt;"",$J41=""),TRUE,FALSE)</f>
        <v>0</v>
      </c>
      <c r="AO41" s="1625" t="b">
        <f>IF(AND($C41&lt;&gt;"",$L41=""),TRUE,FALSE)</f>
        <v>0</v>
      </c>
      <c r="AP41" s="1625" t="b">
        <f>IF(AND($C41&lt;&gt;"",$N41=""),TRUE,FALSE)</f>
        <v>0</v>
      </c>
      <c r="AQ41" s="1625" t="b">
        <f>IF(AND($C41&lt;&gt;"",$P41=""),TRUE,FALSE)</f>
        <v>0</v>
      </c>
      <c r="AR41" s="1625" t="b">
        <f>IF(AND($C41&lt;&gt;"",$R41=""),TRUE,FALSE)</f>
        <v>0</v>
      </c>
      <c r="AS41" s="1625"/>
      <c r="AT41" s="1625" t="b">
        <f ca="1">IF(AND(T41="",OR(V41&lt;&gt;"",X41&lt;&gt;"",Z41&lt;&gt;"",AB41&lt;&gt;"",AF41&lt;&gt;"")),TRUE,FALSE)</f>
        <v>0</v>
      </c>
      <c r="AU41" s="1625" t="b">
        <f>IF(AND($C41&lt;&gt;"",$T41=""),TRUE,FALSE)</f>
        <v>0</v>
      </c>
      <c r="AV41" s="1625" t="b">
        <f>IF(V41="",FALSE,IF(T41="",FALSE,IF(AW41=TRUE,FALSE,IF(OR(V41&lt;BI41,V41&gt;BaseYear),TRUE,FALSE))))</f>
        <v>0</v>
      </c>
      <c r="AW41" s="1625" t="b">
        <f>IF(AND($C41&lt;&gt;"",$V41=""),TRUE,FALSE)</f>
        <v>0</v>
      </c>
      <c r="AX41" s="1625" t="b">
        <f>IF(X41="",FALSE,IF(T41="",FALSE,IF(AZ41=TRUE,FALSE,IF(X41&lt;BL41,TRUE,FALSE))))</f>
        <v>0</v>
      </c>
      <c r="AY41" s="1625" t="b">
        <f>IF(X41="",FALSE,IF(T41="",FALSE,IF(AZ41=TRUE,FALSE,IF(X41&gt;BM41,TRUE,FALSE))))</f>
        <v>0</v>
      </c>
      <c r="AZ41" s="1625" t="b">
        <f>IF(AND($C41&lt;&gt;"",$X41=""),TRUE,FALSE)</f>
        <v>0</v>
      </c>
      <c r="BA41" s="1626" t="b">
        <f>IF(BB41=TRUE,FALSE,IF(OR(Z41&lt;0,Z41&gt;1),TRUE,FALSE))</f>
        <v>0</v>
      </c>
      <c r="BB41" s="1625" t="b">
        <f>IF(AND($C41&lt;&gt;"",$Z41=""),TRUE,FALSE)</f>
        <v>0</v>
      </c>
      <c r="BC41" s="1626"/>
      <c r="BD41" s="1625" t="b">
        <f ca="1">IF(AND($C41&lt;&gt;"",$AB41=""),TRUE,FALSE)</f>
        <v>0</v>
      </c>
      <c r="BE41" s="1626" t="b">
        <f>IF(OR(AF41="", V41=""),FALSE,IF(COUNT(FIND({0,1,2,3,4,5,6,7,8,9}, AF41))=0, FALSE, IF(YEAR(AF41)&lt;V41, TRUE, FALSE)))</f>
        <v>0</v>
      </c>
      <c r="BF41" s="1625" t="b">
        <f>IF(AND($C41&lt;&gt;"",$AF41=""),TRUE,FALSE)</f>
        <v>0</v>
      </c>
      <c r="BG41" s="721"/>
      <c r="BH41" s="1625" t="str">
        <f>IF($T41="","",VLOOKUP($T41,val_facilities,BH$3,FALSE))</f>
        <v/>
      </c>
      <c r="BI41" s="1627" t="str">
        <f>IF($T41="","",VLOOKUP($T41,val_facilities,BI$3,FALSE))</f>
        <v/>
      </c>
      <c r="BJ41" s="1627" t="str">
        <f>IF($T41="","",VLOOKUP($T41,val_facilities,BJ$3,FALSE))</f>
        <v/>
      </c>
      <c r="BK41" s="1627" t="str">
        <f ca="1">IFERROR(IF(V41="", "", YEAR(TODAY())-V41), "")</f>
        <v/>
      </c>
      <c r="BL41" s="845" t="str">
        <f>IF($T41="","",VLOOKUP($T41,val_facilities,BL$3,FALSE))</f>
        <v/>
      </c>
      <c r="BM41" s="845" t="str">
        <f>IF($T41="","",VLOOKUP($T41,val_facilities,BM$3,FALSE))</f>
        <v/>
      </c>
      <c r="BN41" s="758"/>
      <c r="BO41" s="721">
        <f t="shared" si="2"/>
        <v>0</v>
      </c>
    </row>
    <row r="42" spans="1:70" s="686" customFormat="1" ht="6.75" customHeight="1" thickBot="1" x14ac:dyDescent="0.25">
      <c r="A42" s="1638"/>
      <c r="B42" s="1712">
        <v>15.5</v>
      </c>
      <c r="C42" s="1057"/>
      <c r="D42" s="764"/>
      <c r="E42" s="1057"/>
      <c r="F42" s="1229"/>
      <c r="G42" s="1229"/>
      <c r="H42" s="1229"/>
      <c r="I42" s="1229"/>
      <c r="J42" s="1604"/>
      <c r="K42" s="1229"/>
      <c r="L42" s="1605"/>
      <c r="M42" s="1644"/>
      <c r="N42" s="1605"/>
      <c r="O42" s="1644"/>
      <c r="P42" s="1606"/>
      <c r="Q42" s="1644"/>
      <c r="R42" s="1057"/>
      <c r="S42" s="1623"/>
      <c r="T42" s="1643"/>
      <c r="U42" s="1623"/>
      <c r="V42" s="1623"/>
      <c r="W42" s="1623"/>
      <c r="X42" s="722"/>
      <c r="Y42" s="841"/>
      <c r="Z42" s="841"/>
      <c r="AA42" s="841"/>
      <c r="AB42" s="722"/>
      <c r="AC42" s="841"/>
      <c r="AD42" s="722"/>
      <c r="AE42" s="841"/>
      <c r="AF42" s="1717"/>
      <c r="AG42" s="841"/>
      <c r="AH42" s="1057"/>
      <c r="AI42" s="1644"/>
      <c r="AJ42" s="1644"/>
      <c r="AK42" s="1644"/>
      <c r="AL42" s="1644"/>
      <c r="AM42" s="1625"/>
      <c r="AN42" s="1625"/>
      <c r="AO42" s="1625"/>
      <c r="AP42" s="1625"/>
      <c r="AQ42" s="1625"/>
      <c r="AR42" s="848"/>
      <c r="AS42" s="848"/>
      <c r="AT42" s="848"/>
      <c r="AU42" s="848"/>
      <c r="AV42" s="848"/>
      <c r="AW42" s="848"/>
      <c r="AX42" s="848"/>
      <c r="AY42" s="848"/>
      <c r="AZ42" s="848"/>
      <c r="BA42" s="848"/>
      <c r="BB42" s="848"/>
      <c r="BC42" s="848"/>
      <c r="BD42" s="848"/>
      <c r="BE42" s="848"/>
      <c r="BF42" s="848"/>
      <c r="BG42" s="685"/>
      <c r="BH42" s="848"/>
      <c r="BI42" s="848"/>
      <c r="BJ42" s="848"/>
      <c r="BK42" s="848"/>
      <c r="BL42" s="848"/>
      <c r="BM42" s="848"/>
      <c r="BN42" s="1229"/>
      <c r="BO42" s="721">
        <f t="shared" si="2"/>
        <v>0</v>
      </c>
    </row>
    <row r="43" spans="1:70" s="686" customFormat="1" x14ac:dyDescent="0.2">
      <c r="A43" s="840">
        <v>16</v>
      </c>
      <c r="B43" s="1712">
        <v>16</v>
      </c>
      <c r="C43" s="1613"/>
      <c r="D43" s="1248" t="str">
        <f>IF(AND(C43="",C41&lt;&gt;""),"Enter Facility "&amp;TEXT(A43,0)&amp;" Name, then Fill in Columns "&amp;TEXT($H$2,0)&amp;" - "&amp;TEXT($AH$2,0)&amp;"       ","")</f>
        <v/>
      </c>
      <c r="E43" s="1245" t="str">
        <f>IF(AL43="N/A","",AL43)</f>
        <v/>
      </c>
      <c r="F43" s="758"/>
      <c r="G43" s="758"/>
      <c r="H43" s="1614"/>
      <c r="I43" s="758"/>
      <c r="J43" s="1615"/>
      <c r="K43" s="1248" t="str">
        <f>IF(E43&lt;&gt;"","Enter Street Address                   ","")</f>
        <v/>
      </c>
      <c r="L43" s="1615"/>
      <c r="M43" s="1248" t="str">
        <f>IF(E43&lt;&gt;"","Enter City Name       ","")</f>
        <v/>
      </c>
      <c r="N43" s="1613"/>
      <c r="O43" s="1248" t="str">
        <f>IF(E43&lt;&gt;"","Select from Pull-Down List   ","")</f>
        <v/>
      </c>
      <c r="P43" s="1616"/>
      <c r="Q43" s="1248" t="str">
        <f>IF($E43&lt;&gt;"","Enter ZIP Code       ","")</f>
        <v/>
      </c>
      <c r="R43" s="1617"/>
      <c r="S43" s="1618" t="str">
        <f>IF($E43&lt;&gt;"","Select from Pull-Down List  ","")</f>
        <v/>
      </c>
      <c r="T43" s="1617"/>
      <c r="U43" s="1618" t="str">
        <f>IF(AND($C43&lt;&gt;"",T43=""),"Select from Pull-Down List  ","")</f>
        <v/>
      </c>
      <c r="V43" s="1619"/>
      <c r="W43" s="1248" t="str">
        <f>IF(E43&lt;&gt;"","Year?   ","")</f>
        <v/>
      </c>
      <c r="X43" s="1247"/>
      <c r="Y43" s="1620" t="str">
        <f>IF(E43&lt;&gt;"","Sq. Feet?   ","")</f>
        <v/>
      </c>
      <c r="Z43" s="1621"/>
      <c r="AA43" s="1618" t="str">
        <f>IF($E43&lt;&gt;"","% of Cap Resp.","")</f>
        <v/>
      </c>
      <c r="AB43" s="1782" t="str">
        <f ca="1">IFERROR(IF(BK43="", "", IF(BK43&gt;100, 1, VLOOKUP(BK43, Valid!$W$1:$AA$101, VLOOKUP(T43, Codes!$G$7:$I$17, 3, FALSE), FALSE))), "")</f>
        <v/>
      </c>
      <c r="AC43" s="1618"/>
      <c r="AD43" s="1247"/>
      <c r="AE43" s="1620" t="str">
        <f>IF($E43&lt;&gt;"","Drop-Down    ","")</f>
        <v/>
      </c>
      <c r="AF43" s="1720"/>
      <c r="AG43" s="1620" t="b">
        <f>IF(E43&lt;&gt;"","Date?   ")</f>
        <v>0</v>
      </c>
      <c r="AH43" s="1613"/>
      <c r="AI43" s="1248" t="str">
        <f>IF(OR(T43="Other (describe in Notes)",T43="Dual Administrative and Maintenance Facility"),"Describe Facility                                                                                         ","")</f>
        <v/>
      </c>
      <c r="AJ43" s="1624"/>
      <c r="AK43" s="1624" t="b">
        <f>IF(AND(C43="",C45&lt;&gt;""),TRUE,FALSE)</f>
        <v>0</v>
      </c>
      <c r="AL43" s="1624" t="str">
        <f>IF(AND($C43&lt;&gt;"",OR($J43="",$L43="",$N43="",$P43="",$R43="",$T43="",$V43="",$X43="",$Z43="",$AD43="",$AF43="")),"No",IF(AND($C43="",OR($H43&lt;&gt;"",$J43&lt;&gt;"",$L43&lt;&gt;"",$N43&lt;&gt;"",$P43&lt;&gt;"",$R43&lt;&gt;"",$T43&lt;&gt;"",$V43&lt;&gt;"",$X43&lt;&gt;"",$Z43&lt;&gt;"",$AD43&lt;&gt;"",$AF43&lt;&gt;"")),"N",IF(AND($H43="",$C43="",$J43="",$L43="",$N43="",$P43="",$R43="",$T43="",$V43="",$X43="",$Z43="",$AD43="",$AF43=""),"N/A",IF(AND($C43&lt;&gt;"",$J43&lt;&gt;"",$L43&lt;&gt;"",$N43&lt;&gt;"",$P43&lt;&gt;"",$R43&lt;&gt;"",$T43&lt;&gt;"",$V43&lt;&gt;"",$X43&lt;&gt;"",$Z43&lt;&gt;"",$AD43&lt;&gt;"",$AF43&lt;&gt;""),"Yes",""))))</f>
        <v>N/A</v>
      </c>
      <c r="AM43" s="1625" t="b">
        <f ca="1">IF(AND($C43="",OR($J43&lt;&gt;"",$L43&lt;&gt;"",$N43&lt;&gt;"",$P43&lt;&gt;"",$R43&lt;&gt;"",$T43&lt;&gt;"",$V43&lt;&gt;"",$X43&lt;&gt;"",$Z43&lt;&gt;"",$AB43&lt;&gt;"",$AF43&lt;&gt;"")),TRUE,FALSE)</f>
        <v>0</v>
      </c>
      <c r="AN43" s="1625" t="b">
        <f>IF(AND($C43&lt;&gt;"",$J43=""),TRUE,FALSE)</f>
        <v>0</v>
      </c>
      <c r="AO43" s="1625" t="b">
        <f>IF(AND($C43&lt;&gt;"",$L43=""),TRUE,FALSE)</f>
        <v>0</v>
      </c>
      <c r="AP43" s="1625" t="b">
        <f>IF(AND($C43&lt;&gt;"",$N43=""),TRUE,FALSE)</f>
        <v>0</v>
      </c>
      <c r="AQ43" s="1625" t="b">
        <f>IF(AND($C43&lt;&gt;"",$P43=""),TRUE,FALSE)</f>
        <v>0</v>
      </c>
      <c r="AR43" s="1625" t="b">
        <f>IF(AND($C43&lt;&gt;"",$R43=""),TRUE,FALSE)</f>
        <v>0</v>
      </c>
      <c r="AS43" s="1625"/>
      <c r="AT43" s="1625" t="b">
        <f ca="1">IF(AND(T43="",OR(V43&lt;&gt;"",X43&lt;&gt;"",Z43&lt;&gt;"",AB43&lt;&gt;"",AF43&lt;&gt;"")),TRUE,FALSE)</f>
        <v>0</v>
      </c>
      <c r="AU43" s="1625" t="b">
        <f>IF(AND($C43&lt;&gt;"",$T43=""),TRUE,FALSE)</f>
        <v>0</v>
      </c>
      <c r="AV43" s="1625" t="b">
        <f>IF(V43="",FALSE,IF(T43="",FALSE,IF(AW43=TRUE,FALSE,IF(OR(V43&lt;BI43,V43&gt;BaseYear),TRUE,FALSE))))</f>
        <v>0</v>
      </c>
      <c r="AW43" s="1625" t="b">
        <f>IF(AND($C43&lt;&gt;"",$V43=""),TRUE,FALSE)</f>
        <v>0</v>
      </c>
      <c r="AX43" s="1625" t="b">
        <f>IF(X43="",FALSE,IF(T43="",FALSE,IF(AZ43=TRUE,FALSE,IF(X43&lt;BL43,TRUE,FALSE))))</f>
        <v>0</v>
      </c>
      <c r="AY43" s="1625" t="b">
        <f>IF(X43="",FALSE,IF(T43="",FALSE,IF(AZ43=TRUE,FALSE,IF(X43&gt;BM43,TRUE,FALSE))))</f>
        <v>0</v>
      </c>
      <c r="AZ43" s="1625" t="b">
        <f>IF(AND($C43&lt;&gt;"",$X43=""),TRUE,FALSE)</f>
        <v>0</v>
      </c>
      <c r="BA43" s="1626" t="b">
        <f>IF(BB43=TRUE,FALSE,IF(OR(Z43&lt;0,Z43&gt;1),TRUE,FALSE))</f>
        <v>0</v>
      </c>
      <c r="BB43" s="1625" t="b">
        <f>IF(AND($C43&lt;&gt;"",$Z43=""),TRUE,FALSE)</f>
        <v>0</v>
      </c>
      <c r="BC43" s="1626"/>
      <c r="BD43" s="1625" t="b">
        <f ca="1">IF(AND($C43&lt;&gt;"",$AB43=""),TRUE,FALSE)</f>
        <v>0</v>
      </c>
      <c r="BE43" s="1626" t="b">
        <f>IF(OR(AF43="", V43=""),FALSE,IF(COUNT(FIND({0,1,2,3,4,5,6,7,8,9}, AF43))=0, FALSE, IF(YEAR(AF43)&lt;V43, TRUE, FALSE)))</f>
        <v>0</v>
      </c>
      <c r="BF43" s="1625" t="b">
        <f>IF(AND($C43&lt;&gt;"",$AF43=""),TRUE,FALSE)</f>
        <v>0</v>
      </c>
      <c r="BG43" s="721"/>
      <c r="BH43" s="1625" t="str">
        <f>IF($T43="","",VLOOKUP($T43,val_facilities,BH$3,FALSE))</f>
        <v/>
      </c>
      <c r="BI43" s="1627" t="str">
        <f>IF($T43="","",VLOOKUP($T43,val_facilities,BI$3,FALSE))</f>
        <v/>
      </c>
      <c r="BJ43" s="1627" t="str">
        <f>IF($T43="","",VLOOKUP($T43,val_facilities,BJ$3,FALSE))</f>
        <v/>
      </c>
      <c r="BK43" s="1627" t="str">
        <f ca="1">IFERROR(IF(V43="", "", YEAR(TODAY())-V43), "")</f>
        <v/>
      </c>
      <c r="BL43" s="845" t="str">
        <f>IF($T43="","",VLOOKUP($T43,val_facilities,BL$3,FALSE))</f>
        <v/>
      </c>
      <c r="BM43" s="845" t="str">
        <f>IF($T43="","",VLOOKUP($T43,val_facilities,BM$3,FALSE))</f>
        <v/>
      </c>
      <c r="BN43" s="758"/>
      <c r="BO43" s="721">
        <f t="shared" si="2"/>
        <v>0</v>
      </c>
      <c r="BP43" s="816"/>
      <c r="BQ43" s="816"/>
      <c r="BR43" s="816"/>
    </row>
    <row r="44" spans="1:70" s="686" customFormat="1" ht="6.75" customHeight="1" thickBot="1" x14ac:dyDescent="0.25">
      <c r="A44" s="1638"/>
      <c r="B44" s="1712">
        <v>16.5</v>
      </c>
      <c r="C44" s="721"/>
      <c r="D44" s="1248"/>
      <c r="E44" s="816"/>
      <c r="F44" s="758"/>
      <c r="G44" s="758"/>
      <c r="H44" s="758"/>
      <c r="I44" s="758"/>
      <c r="J44" s="1633"/>
      <c r="K44" s="1248"/>
      <c r="L44" s="1634"/>
      <c r="M44" s="1248"/>
      <c r="N44" s="1634"/>
      <c r="O44" s="1248"/>
      <c r="P44" s="1635"/>
      <c r="Q44" s="1248"/>
      <c r="R44" s="1059"/>
      <c r="S44" s="1618"/>
      <c r="T44" s="1636"/>
      <c r="U44" s="1618"/>
      <c r="V44" s="1623"/>
      <c r="W44" s="1618"/>
      <c r="X44" s="722"/>
      <c r="Y44" s="723"/>
      <c r="Z44" s="724"/>
      <c r="AA44" s="723"/>
      <c r="AB44" s="722"/>
      <c r="AC44" s="723"/>
      <c r="AD44" s="722"/>
      <c r="AE44" s="723"/>
      <c r="AF44" s="1717"/>
      <c r="AG44" s="723"/>
      <c r="AH44" s="1637"/>
      <c r="AI44" s="1624"/>
      <c r="AJ44" s="1624"/>
      <c r="AK44" s="1624"/>
      <c r="AL44" s="1624"/>
      <c r="AM44" s="1625"/>
      <c r="AN44" s="1625"/>
      <c r="AO44" s="1625"/>
      <c r="AP44" s="1625"/>
      <c r="AQ44" s="1625"/>
      <c r="AR44" s="1625"/>
      <c r="AS44" s="1625"/>
      <c r="AT44" s="1625"/>
      <c r="AU44" s="1625"/>
      <c r="AV44" s="1626"/>
      <c r="AW44" s="1626"/>
      <c r="AX44" s="1626"/>
      <c r="AY44" s="1626"/>
      <c r="AZ44" s="1626"/>
      <c r="BA44" s="1626"/>
      <c r="BB44" s="1626"/>
      <c r="BC44" s="1626"/>
      <c r="BD44" s="1626"/>
      <c r="BE44" s="1626"/>
      <c r="BF44" s="1626"/>
      <c r="BG44" s="721"/>
      <c r="BH44" s="1626"/>
      <c r="BI44" s="1626"/>
      <c r="BJ44" s="1626"/>
      <c r="BK44" s="1626"/>
      <c r="BL44" s="1626"/>
      <c r="BM44" s="1626"/>
      <c r="BN44" s="758"/>
      <c r="BO44" s="721">
        <f t="shared" si="2"/>
        <v>0</v>
      </c>
      <c r="BP44" s="816"/>
      <c r="BQ44" s="816"/>
      <c r="BR44" s="816"/>
    </row>
    <row r="45" spans="1:70" s="686" customFormat="1" x14ac:dyDescent="0.2">
      <c r="A45" s="840">
        <v>17</v>
      </c>
      <c r="B45" s="1712">
        <v>17</v>
      </c>
      <c r="C45" s="1613"/>
      <c r="D45" s="1248" t="str">
        <f>IF(AND(C45="",C43&lt;&gt;""),"Enter Facility "&amp;TEXT(A45,0)&amp;" Name, then Fill in Columns "&amp;TEXT($H$2,0)&amp;" - "&amp;TEXT($AH$2,0)&amp;"       ","")</f>
        <v/>
      </c>
      <c r="E45" s="1245" t="str">
        <f>IF(AL45="N/A","",AL45)</f>
        <v/>
      </c>
      <c r="F45" s="758"/>
      <c r="G45" s="758"/>
      <c r="H45" s="1614"/>
      <c r="I45" s="758"/>
      <c r="J45" s="1615"/>
      <c r="K45" s="1248" t="str">
        <f>IF(E45&lt;&gt;"","Enter Street Address                   ","")</f>
        <v/>
      </c>
      <c r="L45" s="1615"/>
      <c r="M45" s="1248" t="str">
        <f>IF(E45&lt;&gt;"","Enter City Name       ","")</f>
        <v/>
      </c>
      <c r="N45" s="1613"/>
      <c r="O45" s="1248" t="str">
        <f>IF(E45&lt;&gt;"","Select from Pull-Down List   ","")</f>
        <v/>
      </c>
      <c r="P45" s="1616"/>
      <c r="Q45" s="1248" t="str">
        <f>IF($E45&lt;&gt;"","Enter ZIP Code       ","")</f>
        <v/>
      </c>
      <c r="R45" s="1617"/>
      <c r="S45" s="1618" t="str">
        <f>IF($E45&lt;&gt;"","Select from Pull-Down List  ","")</f>
        <v/>
      </c>
      <c r="T45" s="1617"/>
      <c r="U45" s="1618" t="str">
        <f>IF(AND($C45&lt;&gt;"",T45=""),"Select from Pull-Down List  ","")</f>
        <v/>
      </c>
      <c r="V45" s="1619"/>
      <c r="W45" s="1248" t="str">
        <f>IF(E45&lt;&gt;"","Year?   ","")</f>
        <v/>
      </c>
      <c r="X45" s="1247"/>
      <c r="Y45" s="1620" t="str">
        <f>IF(E45&lt;&gt;"","Sq. Feet?   ","")</f>
        <v/>
      </c>
      <c r="Z45" s="1621"/>
      <c r="AA45" s="1618" t="str">
        <f>IF($E45&lt;&gt;"","% of Cap Resp.","")</f>
        <v/>
      </c>
      <c r="AB45" s="1782" t="str">
        <f ca="1">IFERROR(IF(BK45="", "", IF(BK45&gt;100, 1, VLOOKUP(BK45, Valid!$W$1:$AA$101, VLOOKUP(T45, Codes!$G$7:$I$17, 3, FALSE), FALSE))), "")</f>
        <v/>
      </c>
      <c r="AC45" s="1618"/>
      <c r="AD45" s="1247"/>
      <c r="AE45" s="1620" t="str">
        <f>IF($E45&lt;&gt;"","Drop-Down    ","")</f>
        <v/>
      </c>
      <c r="AF45" s="1720"/>
      <c r="AG45" s="1620" t="b">
        <f>IF(E45&lt;&gt;"","Date?   ")</f>
        <v>0</v>
      </c>
      <c r="AH45" s="1613"/>
      <c r="AI45" s="1248" t="str">
        <f>IF(OR(T45="Other (describe in Notes)",T45="Dual Administrative and Maintenance Facility"),"Describe Facility                                                                                         ","")</f>
        <v/>
      </c>
      <c r="AJ45" s="1624"/>
      <c r="AK45" s="1624" t="b">
        <f>IF(AND(C45="",C47&lt;&gt;""),TRUE,FALSE)</f>
        <v>0</v>
      </c>
      <c r="AL45" s="1624" t="str">
        <f>IF(AND($C45&lt;&gt;"",OR($J45="",$L45="",$N45="",$P45="",$R45="",$T45="",$V45="",$X45="",$Z45="",$AD45="",$AF45="")),"No",IF(AND($C45="",OR($H45&lt;&gt;"",$J45&lt;&gt;"",$L45&lt;&gt;"",$N45&lt;&gt;"",$P45&lt;&gt;"",$R45&lt;&gt;"",$T45&lt;&gt;"",$V45&lt;&gt;"",$X45&lt;&gt;"",$Z45&lt;&gt;"",$AD45&lt;&gt;"",$AF45&lt;&gt;"")),"N",IF(AND($H45="",$C45="",$J45="",$L45="",$N45="",$P45="",$R45="",$T45="",$V45="",$X45="",$Z45="",$AD45="",$AF45=""),"N/A",IF(AND($C45&lt;&gt;"",$J45&lt;&gt;"",$L45&lt;&gt;"",$N45&lt;&gt;"",$P45&lt;&gt;"",$R45&lt;&gt;"",$T45&lt;&gt;"",$V45&lt;&gt;"",$X45&lt;&gt;"",$Z45&lt;&gt;"",$AD45&lt;&gt;"",$AF45&lt;&gt;""),"Yes",""))))</f>
        <v>N/A</v>
      </c>
      <c r="AM45" s="1625" t="b">
        <f ca="1">IF(AND($C45="",OR($J45&lt;&gt;"",$L45&lt;&gt;"",$N45&lt;&gt;"",$P45&lt;&gt;"",$R45&lt;&gt;"",$T45&lt;&gt;"",$V45&lt;&gt;"",$X45&lt;&gt;"",$Z45&lt;&gt;"",$AB45&lt;&gt;"",$AF45&lt;&gt;"")),TRUE,FALSE)</f>
        <v>0</v>
      </c>
      <c r="AN45" s="1625" t="b">
        <f>IF(AND($C45&lt;&gt;"",$J45=""),TRUE,FALSE)</f>
        <v>0</v>
      </c>
      <c r="AO45" s="1625" t="b">
        <f>IF(AND($C45&lt;&gt;"",$L45=""),TRUE,FALSE)</f>
        <v>0</v>
      </c>
      <c r="AP45" s="1625" t="b">
        <f>IF(AND($C45&lt;&gt;"",$N45=""),TRUE,FALSE)</f>
        <v>0</v>
      </c>
      <c r="AQ45" s="1625" t="b">
        <f>IF(AND($C45&lt;&gt;"",$P45=""),TRUE,FALSE)</f>
        <v>0</v>
      </c>
      <c r="AR45" s="1625" t="b">
        <f>IF(AND($C45&lt;&gt;"",$R45=""),TRUE,FALSE)</f>
        <v>0</v>
      </c>
      <c r="AS45" s="1625"/>
      <c r="AT45" s="1625" t="b">
        <f ca="1">IF(AND(T45="",OR(V45&lt;&gt;"",X45&lt;&gt;"",Z45&lt;&gt;"",AB45&lt;&gt;"",AF45&lt;&gt;"")),TRUE,FALSE)</f>
        <v>0</v>
      </c>
      <c r="AU45" s="1625" t="b">
        <f>IF(AND($C45&lt;&gt;"",$T45=""),TRUE,FALSE)</f>
        <v>0</v>
      </c>
      <c r="AV45" s="1625" t="b">
        <f>IF(V45="",FALSE,IF(T45="",FALSE,IF(AW45=TRUE,FALSE,IF(OR(V45&lt;BI45,V45&gt;BaseYear),TRUE,FALSE))))</f>
        <v>0</v>
      </c>
      <c r="AW45" s="1625" t="b">
        <f>IF(AND($C45&lt;&gt;"",$V45=""),TRUE,FALSE)</f>
        <v>0</v>
      </c>
      <c r="AX45" s="1625" t="b">
        <f>IF(X45="",FALSE,IF(T45="",FALSE,IF(AZ45=TRUE,FALSE,IF(X45&lt;BL45,TRUE,FALSE))))</f>
        <v>0</v>
      </c>
      <c r="AY45" s="1625" t="b">
        <f>IF(X45="",FALSE,IF(T45="",FALSE,IF(AZ45=TRUE,FALSE,IF(X45&gt;BM45,TRUE,FALSE))))</f>
        <v>0</v>
      </c>
      <c r="AZ45" s="1625" t="b">
        <f>IF(AND($C45&lt;&gt;"",$X45=""),TRUE,FALSE)</f>
        <v>0</v>
      </c>
      <c r="BA45" s="1626" t="b">
        <f>IF(BB45=TRUE,FALSE,IF(OR(Z45&lt;0,Z45&gt;1),TRUE,FALSE))</f>
        <v>0</v>
      </c>
      <c r="BB45" s="1625" t="b">
        <f>IF(AND($C45&lt;&gt;"",$Z45=""),TRUE,FALSE)</f>
        <v>0</v>
      </c>
      <c r="BC45" s="1626"/>
      <c r="BD45" s="1625" t="b">
        <f ca="1">IF(AND($C45&lt;&gt;"",$AB45=""),TRUE,FALSE)</f>
        <v>0</v>
      </c>
      <c r="BE45" s="1626" t="b">
        <f>IF(OR(AF45="", V45=""),FALSE,IF(COUNT(FIND({0,1,2,3,4,5,6,7,8,9}, AF45))=0, FALSE, IF(YEAR(AF45)&lt;V45, TRUE, FALSE)))</f>
        <v>0</v>
      </c>
      <c r="BF45" s="1625" t="b">
        <f>IF(AND($C45&lt;&gt;"",$AF45=""),TRUE,FALSE)</f>
        <v>0</v>
      </c>
      <c r="BG45" s="721"/>
      <c r="BH45" s="1625" t="str">
        <f>IF($T45="","",VLOOKUP($T45,val_facilities,BH$3,FALSE))</f>
        <v/>
      </c>
      <c r="BI45" s="1627" t="str">
        <f>IF($T45="","",VLOOKUP($T45,val_facilities,BI$3,FALSE))</f>
        <v/>
      </c>
      <c r="BJ45" s="1627" t="str">
        <f>IF($T45="","",VLOOKUP($T45,val_facilities,BJ$3,FALSE))</f>
        <v/>
      </c>
      <c r="BK45" s="1627" t="str">
        <f ca="1">IFERROR(IF(V45="", "", YEAR(TODAY())-V45), "")</f>
        <v/>
      </c>
      <c r="BL45" s="845" t="str">
        <f>IF($T45="","",VLOOKUP($T45,val_facilities,BL$3,FALSE))</f>
        <v/>
      </c>
      <c r="BM45" s="845" t="str">
        <f>IF($T45="","",VLOOKUP($T45,val_facilities,BM$3,FALSE))</f>
        <v/>
      </c>
      <c r="BN45" s="758"/>
      <c r="BO45" s="721">
        <f t="shared" si="2"/>
        <v>0</v>
      </c>
      <c r="BP45" s="816"/>
      <c r="BQ45" s="816"/>
      <c r="BR45" s="816"/>
    </row>
    <row r="46" spans="1:70" s="686" customFormat="1" ht="6.75" customHeight="1" thickBot="1" x14ac:dyDescent="0.25">
      <c r="A46" s="1638"/>
      <c r="B46" s="1712">
        <v>17.5</v>
      </c>
      <c r="C46" s="1057"/>
      <c r="D46" s="1248"/>
      <c r="E46" s="1057"/>
      <c r="F46" s="1229"/>
      <c r="G46" s="1229"/>
      <c r="H46" s="1229"/>
      <c r="I46" s="1229"/>
      <c r="J46" s="1604"/>
      <c r="K46" s="1640"/>
      <c r="L46" s="1641"/>
      <c r="M46" s="1248"/>
      <c r="N46" s="1641"/>
      <c r="O46" s="1248"/>
      <c r="P46" s="1642"/>
      <c r="Q46" s="1248"/>
      <c r="R46" s="1057"/>
      <c r="S46" s="1618"/>
      <c r="T46" s="1643"/>
      <c r="U46" s="1618"/>
      <c r="V46" s="1623"/>
      <c r="W46" s="1618"/>
      <c r="X46" s="733"/>
      <c r="Y46" s="1275"/>
      <c r="Z46" s="685"/>
      <c r="AA46" s="1275"/>
      <c r="AB46" s="733"/>
      <c r="AC46" s="1275"/>
      <c r="AD46" s="733"/>
      <c r="AE46" s="1275"/>
      <c r="AF46" s="1721"/>
      <c r="AG46" s="1275"/>
      <c r="AH46" s="1057"/>
      <c r="AI46" s="1644"/>
      <c r="AJ46" s="1644"/>
      <c r="AK46" s="1644"/>
      <c r="AL46" s="1644"/>
      <c r="AM46" s="1625"/>
      <c r="AN46" s="1625"/>
      <c r="AO46" s="1625"/>
      <c r="AP46" s="1625"/>
      <c r="AQ46" s="1625"/>
      <c r="AR46" s="848"/>
      <c r="AS46" s="848"/>
      <c r="AT46" s="848"/>
      <c r="AU46" s="848"/>
      <c r="AV46" s="848"/>
      <c r="AW46" s="848"/>
      <c r="AX46" s="848"/>
      <c r="AY46" s="848"/>
      <c r="AZ46" s="848"/>
      <c r="BA46" s="848"/>
      <c r="BB46" s="848"/>
      <c r="BC46" s="848"/>
      <c r="BD46" s="848"/>
      <c r="BE46" s="848"/>
      <c r="BF46" s="848"/>
      <c r="BG46" s="685"/>
      <c r="BH46" s="848"/>
      <c r="BI46" s="848"/>
      <c r="BJ46" s="848"/>
      <c r="BK46" s="848"/>
      <c r="BL46" s="848"/>
      <c r="BM46" s="848"/>
      <c r="BN46" s="1229"/>
      <c r="BO46" s="721">
        <f t="shared" si="2"/>
        <v>0</v>
      </c>
    </row>
    <row r="47" spans="1:70" s="816" customFormat="1" x14ac:dyDescent="0.2">
      <c r="A47" s="840">
        <v>18</v>
      </c>
      <c r="B47" s="1712">
        <v>18</v>
      </c>
      <c r="C47" s="1613"/>
      <c r="D47" s="1248" t="str">
        <f>IF(AND(C47="",C45&lt;&gt;""),"Enter Facility "&amp;TEXT(A47,0)&amp;" Name, then Fill in Columns "&amp;TEXT($H$2,0)&amp;" - "&amp;TEXT($AH$2,0)&amp;"       ","")</f>
        <v/>
      </c>
      <c r="E47" s="1245" t="str">
        <f>IF(AL47="N/A","",AL47)</f>
        <v/>
      </c>
      <c r="F47" s="758"/>
      <c r="G47" s="758"/>
      <c r="H47" s="1614"/>
      <c r="I47" s="758"/>
      <c r="J47" s="1615"/>
      <c r="K47" s="1248" t="str">
        <f>IF(E47&lt;&gt;"","Enter Street Address                   ","")</f>
        <v/>
      </c>
      <c r="L47" s="1615"/>
      <c r="M47" s="1248" t="str">
        <f>IF(E47&lt;&gt;"","Enter City Name       ","")</f>
        <v/>
      </c>
      <c r="N47" s="1613"/>
      <c r="O47" s="1248" t="str">
        <f>IF(E47&lt;&gt;"","Select from Pull-Down List   ","")</f>
        <v/>
      </c>
      <c r="P47" s="1616"/>
      <c r="Q47" s="1248" t="str">
        <f>IF($E47&lt;&gt;"","Enter ZIP Code       ","")</f>
        <v/>
      </c>
      <c r="R47" s="1617"/>
      <c r="S47" s="1618" t="str">
        <f>IF($E47&lt;&gt;"","Select from Pull-Down List  ","")</f>
        <v/>
      </c>
      <c r="T47" s="1617"/>
      <c r="U47" s="1618" t="str">
        <f>IF(AND($C47&lt;&gt;"",T47=""),"Select from Pull-Down List  ","")</f>
        <v/>
      </c>
      <c r="V47" s="1619"/>
      <c r="W47" s="1248" t="str">
        <f>IF(E47&lt;&gt;"","Year?   ","")</f>
        <v/>
      </c>
      <c r="X47" s="1247"/>
      <c r="Y47" s="1620" t="str">
        <f>IF(E47&lt;&gt;"","Sq. Feet?   ","")</f>
        <v/>
      </c>
      <c r="Z47" s="1621"/>
      <c r="AA47" s="1618" t="str">
        <f>IF($E47&lt;&gt;"","% of Cap Resp.","")</f>
        <v/>
      </c>
      <c r="AB47" s="1782" t="str">
        <f ca="1">IFERROR(IF(BK47="", "", IF(BK47&gt;100, 1, VLOOKUP(BK47, Valid!$W$1:$AA$101, VLOOKUP(T47, Codes!$G$7:$I$17, 3, FALSE), FALSE))), "")</f>
        <v/>
      </c>
      <c r="AC47" s="1618"/>
      <c r="AD47" s="1247"/>
      <c r="AE47" s="1620" t="str">
        <f>IF($E47&lt;&gt;"","Drop-Down    ","")</f>
        <v/>
      </c>
      <c r="AF47" s="1720"/>
      <c r="AG47" s="1620" t="b">
        <f>IF(E47&lt;&gt;"","Date?   ")</f>
        <v>0</v>
      </c>
      <c r="AH47" s="1613"/>
      <c r="AI47" s="1248" t="str">
        <f>IF(OR(T47="Other (describe in Notes)",T47="Dual Administrative and Maintenance Facility"),"Describe Facility                                                                                         ","")</f>
        <v/>
      </c>
      <c r="AJ47" s="1624"/>
      <c r="AK47" s="1624" t="b">
        <f>IF(AND(C47="",C49&lt;&gt;""),TRUE,FALSE)</f>
        <v>0</v>
      </c>
      <c r="AL47" s="1624" t="str">
        <f>IF(AND($C47&lt;&gt;"",OR($J47="",$L47="",$N47="",$P47="",$R47="",$T47="",$V47="",$X47="",$Z47="",$AD47="",$AF47="")),"No",IF(AND($C47="",OR($H47&lt;&gt;"",$J47&lt;&gt;"",$L47&lt;&gt;"",$N47&lt;&gt;"",$P47&lt;&gt;"",$R47&lt;&gt;"",$T47&lt;&gt;"",$V47&lt;&gt;"",$X47&lt;&gt;"",$Z47&lt;&gt;"",$AD47&lt;&gt;"",$AF47&lt;&gt;"")),"N",IF(AND($H47="",$C47="",$J47="",$L47="",$N47="",$P47="",$R47="",$T47="",$V47="",$X47="",$Z47="",$AD47="",$AF47=""),"N/A",IF(AND($C47&lt;&gt;"",$J47&lt;&gt;"",$L47&lt;&gt;"",$N47&lt;&gt;"",$P47&lt;&gt;"",$R47&lt;&gt;"",$T47&lt;&gt;"",$V47&lt;&gt;"",$X47&lt;&gt;"",$Z47&lt;&gt;"",$AD47&lt;&gt;"",$AF47&lt;&gt;""),"Yes",""))))</f>
        <v>N/A</v>
      </c>
      <c r="AM47" s="1625" t="b">
        <f ca="1">IF(AND($C47="",OR($J47&lt;&gt;"",$L47&lt;&gt;"",$N47&lt;&gt;"",$P47&lt;&gt;"",$R47&lt;&gt;"",$T47&lt;&gt;"",$V47&lt;&gt;"",$X47&lt;&gt;"",$Z47&lt;&gt;"",$AB47&lt;&gt;"",$AF47&lt;&gt;"")),TRUE,FALSE)</f>
        <v>0</v>
      </c>
      <c r="AN47" s="1625" t="b">
        <f>IF(AND($C47&lt;&gt;"",$J47=""),TRUE,FALSE)</f>
        <v>0</v>
      </c>
      <c r="AO47" s="1625" t="b">
        <f>IF(AND($C47&lt;&gt;"",$L47=""),TRUE,FALSE)</f>
        <v>0</v>
      </c>
      <c r="AP47" s="1625" t="b">
        <f>IF(AND($C47&lt;&gt;"",$N47=""),TRUE,FALSE)</f>
        <v>0</v>
      </c>
      <c r="AQ47" s="1625" t="b">
        <f>IF(AND($C47&lt;&gt;"",$P47=""),TRUE,FALSE)</f>
        <v>0</v>
      </c>
      <c r="AR47" s="1625" t="b">
        <f>IF(AND($C47&lt;&gt;"",$R47=""),TRUE,FALSE)</f>
        <v>0</v>
      </c>
      <c r="AS47" s="1625"/>
      <c r="AT47" s="1625" t="b">
        <f ca="1">IF(AND(T47="",OR(V47&lt;&gt;"",X47&lt;&gt;"",Z47&lt;&gt;"",AB47&lt;&gt;"",AF47&lt;&gt;"")),TRUE,FALSE)</f>
        <v>0</v>
      </c>
      <c r="AU47" s="1625" t="b">
        <f>IF(AND($C47&lt;&gt;"",$T47=""),TRUE,FALSE)</f>
        <v>0</v>
      </c>
      <c r="AV47" s="1625" t="b">
        <f>IF(V47="",FALSE,IF(T47="",FALSE,IF(AW47=TRUE,FALSE,IF(OR(V47&lt;BI47,V47&gt;BaseYear),TRUE,FALSE))))</f>
        <v>0</v>
      </c>
      <c r="AW47" s="1625" t="b">
        <f>IF(AND($C47&lt;&gt;"",$V47=""),TRUE,FALSE)</f>
        <v>0</v>
      </c>
      <c r="AX47" s="1625" t="b">
        <f>IF(X47="",FALSE,IF(T47="",FALSE,IF(AZ47=TRUE,FALSE,IF(X47&lt;BL47,TRUE,FALSE))))</f>
        <v>0</v>
      </c>
      <c r="AY47" s="1625" t="b">
        <f>IF(X47="",FALSE,IF(T47="",FALSE,IF(AZ47=TRUE,FALSE,IF(X47&gt;BM47,TRUE,FALSE))))</f>
        <v>0</v>
      </c>
      <c r="AZ47" s="1625" t="b">
        <f>IF(AND($C47&lt;&gt;"",$X47=""),TRUE,FALSE)</f>
        <v>0</v>
      </c>
      <c r="BA47" s="1626" t="b">
        <f>IF(BB47=TRUE,FALSE,IF(OR(Z47&lt;0,Z47&gt;1),TRUE,FALSE))</f>
        <v>0</v>
      </c>
      <c r="BB47" s="1625" t="b">
        <f>IF(AND($C47&lt;&gt;"",$Z47=""),TRUE,FALSE)</f>
        <v>0</v>
      </c>
      <c r="BC47" s="1626"/>
      <c r="BD47" s="1625" t="b">
        <f ca="1">IF(AND($C47&lt;&gt;"",$AB47=""),TRUE,FALSE)</f>
        <v>0</v>
      </c>
      <c r="BE47" s="1626" t="b">
        <f>IF(OR(AF47="", V47=""),FALSE,IF(COUNT(FIND({0,1,2,3,4,5,6,7,8,9}, AF47))=0, FALSE, IF(YEAR(AF47)&lt;V47, TRUE, FALSE)))</f>
        <v>0</v>
      </c>
      <c r="BF47" s="1625" t="b">
        <f>IF(AND($C47&lt;&gt;"",$AF47=""),TRUE,FALSE)</f>
        <v>0</v>
      </c>
      <c r="BG47" s="721"/>
      <c r="BH47" s="1625" t="str">
        <f>IF($T47="","",VLOOKUP($T47,val_facilities,BH$3,FALSE))</f>
        <v/>
      </c>
      <c r="BI47" s="1627" t="str">
        <f>IF($T47="","",VLOOKUP($T47,val_facilities,BI$3,FALSE))</f>
        <v/>
      </c>
      <c r="BJ47" s="1627" t="str">
        <f>IF($T47="","",VLOOKUP($T47,val_facilities,BJ$3,FALSE))</f>
        <v/>
      </c>
      <c r="BK47" s="1627" t="str">
        <f ca="1">IFERROR(IF(V47="", "", YEAR(TODAY())-V47), "")</f>
        <v/>
      </c>
      <c r="BL47" s="845" t="str">
        <f>IF($T47="","",VLOOKUP($T47,val_facilities,BL$3,FALSE))</f>
        <v/>
      </c>
      <c r="BM47" s="845" t="str">
        <f>IF($T47="","",VLOOKUP($T47,val_facilities,BM$3,FALSE))</f>
        <v/>
      </c>
      <c r="BN47" s="758"/>
      <c r="BO47" s="721">
        <f t="shared" si="2"/>
        <v>0</v>
      </c>
    </row>
    <row r="48" spans="1:70" s="816" customFormat="1" ht="6.75" customHeight="1" thickBot="1" x14ac:dyDescent="0.25">
      <c r="A48" s="840"/>
      <c r="B48" s="1712">
        <v>18.5</v>
      </c>
      <c r="C48" s="1057"/>
      <c r="D48" s="1248"/>
      <c r="E48" s="1639"/>
      <c r="F48" s="1229"/>
      <c r="G48" s="1229"/>
      <c r="H48" s="1229"/>
      <c r="I48" s="1229"/>
      <c r="J48" s="1604"/>
      <c r="K48" s="1640"/>
      <c r="L48" s="1645"/>
      <c r="M48" s="1646"/>
      <c r="N48" s="1645"/>
      <c r="O48" s="1646"/>
      <c r="P48" s="1647"/>
      <c r="Q48" s="1646"/>
      <c r="R48" s="1057"/>
      <c r="S48" s="1618"/>
      <c r="T48" s="1643"/>
      <c r="U48" s="1618"/>
      <c r="V48" s="1623"/>
      <c r="W48" s="1618"/>
      <c r="X48" s="722"/>
      <c r="Y48" s="1648"/>
      <c r="Z48" s="841"/>
      <c r="AA48" s="1648"/>
      <c r="AB48" s="722"/>
      <c r="AC48" s="1648"/>
      <c r="AD48" s="722"/>
      <c r="AE48" s="1648"/>
      <c r="AF48" s="1717"/>
      <c r="AG48" s="1648"/>
      <c r="AH48" s="1057"/>
      <c r="AI48" s="1644"/>
      <c r="AJ48" s="1644"/>
      <c r="AK48" s="1644"/>
      <c r="AL48" s="1644"/>
      <c r="AM48" s="1625"/>
      <c r="AN48" s="1625"/>
      <c r="AO48" s="1625"/>
      <c r="AP48" s="1625"/>
      <c r="AQ48" s="1625"/>
      <c r="AR48" s="848"/>
      <c r="AS48" s="848"/>
      <c r="AT48" s="848"/>
      <c r="AU48" s="848"/>
      <c r="AV48" s="848"/>
      <c r="AW48" s="848"/>
      <c r="AX48" s="848"/>
      <c r="AY48" s="848"/>
      <c r="AZ48" s="848"/>
      <c r="BA48" s="848"/>
      <c r="BB48" s="848"/>
      <c r="BC48" s="848"/>
      <c r="BD48" s="848"/>
      <c r="BE48" s="848"/>
      <c r="BF48" s="848"/>
      <c r="BG48" s="685"/>
      <c r="BH48" s="848"/>
      <c r="BI48" s="848"/>
      <c r="BJ48" s="848"/>
      <c r="BK48" s="848"/>
      <c r="BL48" s="848"/>
      <c r="BM48" s="848"/>
      <c r="BN48" s="1229"/>
      <c r="BO48" s="721">
        <f t="shared" si="2"/>
        <v>0</v>
      </c>
      <c r="BP48" s="686"/>
      <c r="BQ48" s="686"/>
      <c r="BR48" s="686"/>
    </row>
    <row r="49" spans="1:70" s="816" customFormat="1" x14ac:dyDescent="0.2">
      <c r="A49" s="840">
        <v>19</v>
      </c>
      <c r="B49" s="1712">
        <v>19</v>
      </c>
      <c r="C49" s="1613"/>
      <c r="D49" s="1248" t="str">
        <f>IF(AND(C49="",C47&lt;&gt;""),"Enter Facility "&amp;TEXT(A49,0)&amp;" Name, then Fill in Columns "&amp;TEXT($H$2,0)&amp;" - "&amp;TEXT($AH$2,0)&amp;"       ","")</f>
        <v/>
      </c>
      <c r="E49" s="1245" t="str">
        <f>IF(AL49="N/A","",AL49)</f>
        <v/>
      </c>
      <c r="F49" s="758"/>
      <c r="G49" s="758"/>
      <c r="H49" s="1614"/>
      <c r="I49" s="758"/>
      <c r="J49" s="1615"/>
      <c r="K49" s="1248" t="str">
        <f>IF(E49&lt;&gt;"","Enter Street Address                   ","")</f>
        <v/>
      </c>
      <c r="L49" s="1615"/>
      <c r="M49" s="1248" t="str">
        <f>IF(E49&lt;&gt;"","Enter City Name       ","")</f>
        <v/>
      </c>
      <c r="N49" s="1613"/>
      <c r="O49" s="1248" t="str">
        <f>IF(E49&lt;&gt;"","Select from Pull-Down List   ","")</f>
        <v/>
      </c>
      <c r="P49" s="1616"/>
      <c r="Q49" s="1248" t="str">
        <f>IF($E49&lt;&gt;"","Enter ZIP Code       ","")</f>
        <v/>
      </c>
      <c r="R49" s="1617"/>
      <c r="S49" s="1618" t="str">
        <f>IF($E49&lt;&gt;"","Select from Pull-Down List  ","")</f>
        <v/>
      </c>
      <c r="T49" s="1617"/>
      <c r="U49" s="1618" t="str">
        <f>IF(AND($C49&lt;&gt;"",T49=""),"Select from Pull-Down List  ","")</f>
        <v/>
      </c>
      <c r="V49" s="1619"/>
      <c r="W49" s="1248" t="str">
        <f>IF(E49&lt;&gt;"","Year?   ","")</f>
        <v/>
      </c>
      <c r="X49" s="1247"/>
      <c r="Y49" s="1620" t="str">
        <f>IF(E49&lt;&gt;"","Sq. Feet?   ","")</f>
        <v/>
      </c>
      <c r="Z49" s="1621"/>
      <c r="AA49" s="1618" t="str">
        <f>IF($E49&lt;&gt;"","% of Cap Resp.","")</f>
        <v/>
      </c>
      <c r="AB49" s="1782" t="str">
        <f ca="1">IFERROR(IF(BK49="", "", IF(BK49&gt;100, 1, VLOOKUP(BK49, Valid!$W$1:$AA$101, VLOOKUP(T49, Codes!$G$7:$I$17, 3, FALSE), FALSE))), "")</f>
        <v/>
      </c>
      <c r="AC49" s="1618"/>
      <c r="AD49" s="1247"/>
      <c r="AE49" s="1620" t="str">
        <f>IF($E49&lt;&gt;"","Drop-Down    ","")</f>
        <v/>
      </c>
      <c r="AF49" s="1720"/>
      <c r="AG49" s="1620" t="b">
        <f>IF(E49&lt;&gt;"","Date?   ")</f>
        <v>0</v>
      </c>
      <c r="AH49" s="1613"/>
      <c r="AI49" s="1248" t="str">
        <f>IF(OR(T49="Other (describe in Notes)",T49="Dual Administrative and Maintenance Facility"),"Describe Facility                                                                                         ","")</f>
        <v/>
      </c>
      <c r="AJ49" s="1624"/>
      <c r="AK49" s="1624" t="b">
        <f>IF(AND(C49="",C51&lt;&gt;""),TRUE,FALSE)</f>
        <v>0</v>
      </c>
      <c r="AL49" s="1624" t="str">
        <f>IF(AND($C49&lt;&gt;"",OR($J49="",$L49="",$N49="",$P49="",$R49="",$T49="",$V49="",$X49="",$Z49="",$AD49="",$AF49="")),"No",IF(AND($C49="",OR($H49&lt;&gt;"",$J49&lt;&gt;"",$L49&lt;&gt;"",$N49&lt;&gt;"",$P49&lt;&gt;"",$R49&lt;&gt;"",$T49&lt;&gt;"",$V49&lt;&gt;"",$X49&lt;&gt;"",$Z49&lt;&gt;"",$AD49&lt;&gt;"",$AF49&lt;&gt;"")),"N",IF(AND($H49="",$C49="",$J49="",$L49="",$N49="",$P49="",$R49="",$T49="",$V49="",$X49="",$Z49="",$AD49="",$AF49=""),"N/A",IF(AND($C49&lt;&gt;"",$J49&lt;&gt;"",$L49&lt;&gt;"",$N49&lt;&gt;"",$P49&lt;&gt;"",$R49&lt;&gt;"",$T49&lt;&gt;"",$V49&lt;&gt;"",$X49&lt;&gt;"",$Z49&lt;&gt;"",$AD49&lt;&gt;"",$AF49&lt;&gt;""),"Yes",""))))</f>
        <v>N/A</v>
      </c>
      <c r="AM49" s="1625" t="b">
        <f ca="1">IF(AND($C49="",OR($J49&lt;&gt;"",$L49&lt;&gt;"",$N49&lt;&gt;"",$P49&lt;&gt;"",$R49&lt;&gt;"",$T49&lt;&gt;"",$V49&lt;&gt;"",$X49&lt;&gt;"",$Z49&lt;&gt;"",$AB49&lt;&gt;"",$AF49&lt;&gt;"")),TRUE,FALSE)</f>
        <v>0</v>
      </c>
      <c r="AN49" s="1625" t="b">
        <f>IF(AND($C49&lt;&gt;"",$J49=""),TRUE,FALSE)</f>
        <v>0</v>
      </c>
      <c r="AO49" s="1625" t="b">
        <f>IF(AND($C49&lt;&gt;"",$L49=""),TRUE,FALSE)</f>
        <v>0</v>
      </c>
      <c r="AP49" s="1625" t="b">
        <f>IF(AND($C49&lt;&gt;"",$N49=""),TRUE,FALSE)</f>
        <v>0</v>
      </c>
      <c r="AQ49" s="1625" t="b">
        <f>IF(AND($C49&lt;&gt;"",$P49=""),TRUE,FALSE)</f>
        <v>0</v>
      </c>
      <c r="AR49" s="1625" t="b">
        <f>IF(AND($C49&lt;&gt;"",$R49=""),TRUE,FALSE)</f>
        <v>0</v>
      </c>
      <c r="AS49" s="1625"/>
      <c r="AT49" s="1625" t="b">
        <f ca="1">IF(AND(T49="",OR(V49&lt;&gt;"",X49&lt;&gt;"",Z49&lt;&gt;"",AB49&lt;&gt;"",AF49&lt;&gt;"")),TRUE,FALSE)</f>
        <v>0</v>
      </c>
      <c r="AU49" s="1625" t="b">
        <f>IF(AND($C49&lt;&gt;"",$T49=""),TRUE,FALSE)</f>
        <v>0</v>
      </c>
      <c r="AV49" s="1625" t="b">
        <f>IF(V49="",FALSE,IF(T49="",FALSE,IF(AW49=TRUE,FALSE,IF(OR(V49&lt;BI49,V49&gt;BaseYear),TRUE,FALSE))))</f>
        <v>0</v>
      </c>
      <c r="AW49" s="1625" t="b">
        <f>IF(AND($C49&lt;&gt;"",$V49=""),TRUE,FALSE)</f>
        <v>0</v>
      </c>
      <c r="AX49" s="1625" t="b">
        <f>IF(X49="",FALSE,IF(T49="",FALSE,IF(AZ49=TRUE,FALSE,IF(X49&lt;BL49,TRUE,FALSE))))</f>
        <v>0</v>
      </c>
      <c r="AY49" s="1625" t="b">
        <f>IF(X49="",FALSE,IF(T49="",FALSE,IF(AZ49=TRUE,FALSE,IF(X49&gt;BM49,TRUE,FALSE))))</f>
        <v>0</v>
      </c>
      <c r="AZ49" s="1625" t="b">
        <f>IF(AND($C49&lt;&gt;"",$X49=""),TRUE,FALSE)</f>
        <v>0</v>
      </c>
      <c r="BA49" s="1626" t="b">
        <f>IF(BB49=TRUE,FALSE,IF(OR(Z49&lt;0,Z49&gt;1),TRUE,FALSE))</f>
        <v>0</v>
      </c>
      <c r="BB49" s="1625" t="b">
        <f>IF(AND($C49&lt;&gt;"",$Z49=""),TRUE,FALSE)</f>
        <v>0</v>
      </c>
      <c r="BC49" s="1626"/>
      <c r="BD49" s="1625" t="b">
        <f ca="1">IF(AND($C49&lt;&gt;"",$AB49=""),TRUE,FALSE)</f>
        <v>0</v>
      </c>
      <c r="BE49" s="1626" t="b">
        <f>IF(OR(AF49="", V49=""),FALSE,IF(COUNT(FIND({0,1,2,3,4,5,6,7,8,9}, AF49))=0, FALSE, IF(YEAR(AF49)&lt;V49, TRUE, FALSE)))</f>
        <v>0</v>
      </c>
      <c r="BF49" s="1625" t="b">
        <f>IF(AND($C49&lt;&gt;"",$AF49=""),TRUE,FALSE)</f>
        <v>0</v>
      </c>
      <c r="BG49" s="721"/>
      <c r="BH49" s="1625" t="str">
        <f>IF($T49="","",VLOOKUP($T49,val_facilities,BH$3,FALSE))</f>
        <v/>
      </c>
      <c r="BI49" s="1627" t="str">
        <f>IF($T49="","",VLOOKUP($T49,val_facilities,BI$3,FALSE))</f>
        <v/>
      </c>
      <c r="BJ49" s="1627" t="str">
        <f>IF($T49="","",VLOOKUP($T49,val_facilities,BJ$3,FALSE))</f>
        <v/>
      </c>
      <c r="BK49" s="1627" t="str">
        <f ca="1">IFERROR(IF(V49="", "", YEAR(TODAY())-V49), "")</f>
        <v/>
      </c>
      <c r="BL49" s="845" t="str">
        <f>IF($T49="","",VLOOKUP($T49,val_facilities,BL$3,FALSE))</f>
        <v/>
      </c>
      <c r="BM49" s="845" t="str">
        <f>IF($T49="","",VLOOKUP($T49,val_facilities,BM$3,FALSE))</f>
        <v/>
      </c>
      <c r="BN49" s="758"/>
      <c r="BO49" s="721">
        <f t="shared" si="2"/>
        <v>0</v>
      </c>
    </row>
    <row r="50" spans="1:70" s="686" customFormat="1" ht="6.75" customHeight="1" thickBot="1" x14ac:dyDescent="0.25">
      <c r="A50" s="1638"/>
      <c r="B50" s="1712">
        <v>19.5</v>
      </c>
      <c r="C50" s="1057"/>
      <c r="D50" s="764"/>
      <c r="E50" s="1057"/>
      <c r="F50" s="1229"/>
      <c r="G50" s="1229"/>
      <c r="H50" s="1229"/>
      <c r="I50" s="1229"/>
      <c r="J50" s="1604"/>
      <c r="K50" s="1229"/>
      <c r="L50" s="1605"/>
      <c r="M50" s="1644"/>
      <c r="N50" s="1605"/>
      <c r="O50" s="1644"/>
      <c r="P50" s="1606"/>
      <c r="Q50" s="1644"/>
      <c r="R50" s="1057"/>
      <c r="S50" s="1623"/>
      <c r="T50" s="1643"/>
      <c r="U50" s="1623"/>
      <c r="V50" s="1623"/>
      <c r="W50" s="1623"/>
      <c r="X50" s="722"/>
      <c r="Y50" s="841"/>
      <c r="Z50" s="841"/>
      <c r="AA50" s="841"/>
      <c r="AB50" s="722"/>
      <c r="AC50" s="841"/>
      <c r="AD50" s="722"/>
      <c r="AE50" s="841"/>
      <c r="AF50" s="1717"/>
      <c r="AG50" s="841"/>
      <c r="AH50" s="1057"/>
      <c r="AI50" s="1644"/>
      <c r="AJ50" s="1644"/>
      <c r="AK50" s="1644"/>
      <c r="AL50" s="1644"/>
      <c r="AM50" s="1625"/>
      <c r="AN50" s="1625"/>
      <c r="AO50" s="1625"/>
      <c r="AP50" s="1625"/>
      <c r="AQ50" s="1625"/>
      <c r="AR50" s="848"/>
      <c r="AS50" s="848"/>
      <c r="AT50" s="848"/>
      <c r="AU50" s="848"/>
      <c r="AV50" s="848"/>
      <c r="AW50" s="848"/>
      <c r="AX50" s="848"/>
      <c r="AY50" s="848"/>
      <c r="AZ50" s="848"/>
      <c r="BA50" s="848"/>
      <c r="BB50" s="848"/>
      <c r="BC50" s="848"/>
      <c r="BD50" s="848"/>
      <c r="BE50" s="848"/>
      <c r="BF50" s="848"/>
      <c r="BG50" s="685"/>
      <c r="BH50" s="848"/>
      <c r="BI50" s="848"/>
      <c r="BJ50" s="848"/>
      <c r="BK50" s="848"/>
      <c r="BL50" s="848"/>
      <c r="BM50" s="848"/>
      <c r="BN50" s="1229"/>
      <c r="BO50" s="721">
        <f t="shared" si="2"/>
        <v>0</v>
      </c>
    </row>
    <row r="51" spans="1:70" s="686" customFormat="1" x14ac:dyDescent="0.2">
      <c r="A51" s="840">
        <v>20</v>
      </c>
      <c r="B51" s="1712">
        <v>20</v>
      </c>
      <c r="C51" s="1613"/>
      <c r="D51" s="1248" t="str">
        <f>IF(AND(C51="",C49&lt;&gt;""),"Enter Facility "&amp;TEXT(A51,0)&amp;" Name, then Fill in Columns "&amp;TEXT($H$2,0)&amp;" - "&amp;TEXT($AH$2,0)&amp;"       ","")</f>
        <v/>
      </c>
      <c r="E51" s="1245" t="str">
        <f>IF(AL51="N/A","",AL51)</f>
        <v/>
      </c>
      <c r="F51" s="758"/>
      <c r="G51" s="758"/>
      <c r="H51" s="1614"/>
      <c r="I51" s="758"/>
      <c r="J51" s="1615"/>
      <c r="K51" s="1248" t="str">
        <f>IF(E51&lt;&gt;"","Enter Street Address                   ","")</f>
        <v/>
      </c>
      <c r="L51" s="1615"/>
      <c r="M51" s="1248" t="str">
        <f>IF(E51&lt;&gt;"","Enter City Name       ","")</f>
        <v/>
      </c>
      <c r="N51" s="1613"/>
      <c r="O51" s="1248" t="str">
        <f>IF(E51&lt;&gt;"","Select from Pull-Down List   ","")</f>
        <v/>
      </c>
      <c r="P51" s="1616"/>
      <c r="Q51" s="1248" t="str">
        <f>IF($E51&lt;&gt;"","Enter ZIP Code       ","")</f>
        <v/>
      </c>
      <c r="R51" s="1617"/>
      <c r="S51" s="1618" t="str">
        <f>IF($E51&lt;&gt;"","Select from Pull-Down List  ","")</f>
        <v/>
      </c>
      <c r="T51" s="1617"/>
      <c r="U51" s="1618" t="str">
        <f>IF(AND($C51&lt;&gt;"",T51=""),"Select from Pull-Down List  ","")</f>
        <v/>
      </c>
      <c r="V51" s="1619"/>
      <c r="W51" s="1248" t="str">
        <f>IF(E51&lt;&gt;"","Year?   ","")</f>
        <v/>
      </c>
      <c r="X51" s="1247"/>
      <c r="Y51" s="1620" t="str">
        <f>IF(E51&lt;&gt;"","Sq. Feet?   ","")</f>
        <v/>
      </c>
      <c r="Z51" s="1621"/>
      <c r="AA51" s="1618" t="str">
        <f>IF($E51&lt;&gt;"","% of Cap Resp.","")</f>
        <v/>
      </c>
      <c r="AB51" s="1782" t="str">
        <f ca="1">IFERROR(IF(BK51="", "", IF(BK51&gt;100, 1, VLOOKUP(BK51, Valid!$W$1:$AA$101, VLOOKUP(T51, Codes!$G$7:$I$17, 3, FALSE), FALSE))), "")</f>
        <v/>
      </c>
      <c r="AC51" s="1618"/>
      <c r="AD51" s="1247"/>
      <c r="AE51" s="1620" t="str">
        <f>IF($E51&lt;&gt;"","Drop-Down    ","")</f>
        <v/>
      </c>
      <c r="AF51" s="1720"/>
      <c r="AG51" s="1620" t="b">
        <f>IF(E51&lt;&gt;"","Date?   ")</f>
        <v>0</v>
      </c>
      <c r="AH51" s="1613"/>
      <c r="AI51" s="1248" t="str">
        <f>IF(OR(T51="Other (describe in Notes)",T51="Dual Administrative and Maintenance Facility"),"Describe Facility                                                                                         ","")</f>
        <v/>
      </c>
      <c r="AJ51" s="1624"/>
      <c r="AK51" s="1624" t="b">
        <f>IF(AND(C51="",C53&lt;&gt;""),TRUE,FALSE)</f>
        <v>0</v>
      </c>
      <c r="AL51" s="1624" t="str">
        <f>IF(AND($C51&lt;&gt;"",OR($J51="",$L51="",$N51="",$P51="",$R51="",$T51="",$V51="",$X51="",$Z51="",$AD51="",$AF51="")),"No",IF(AND($C51="",OR($H51&lt;&gt;"",$J51&lt;&gt;"",$L51&lt;&gt;"",$N51&lt;&gt;"",$P51&lt;&gt;"",$R51&lt;&gt;"",$T51&lt;&gt;"",$V51&lt;&gt;"",$X51&lt;&gt;"",$Z51&lt;&gt;"",$AD51&lt;&gt;"",$AF51&lt;&gt;"")),"N",IF(AND($H51="",$C51="",$J51="",$L51="",$N51="",$P51="",$R51="",$T51="",$V51="",$X51="",$Z51="",$AD51="",$AF51=""),"N/A",IF(AND($C51&lt;&gt;"",$J51&lt;&gt;"",$L51&lt;&gt;"",$N51&lt;&gt;"",$P51&lt;&gt;"",$R51&lt;&gt;"",$T51&lt;&gt;"",$V51&lt;&gt;"",$X51&lt;&gt;"",$Z51&lt;&gt;"",$AD51&lt;&gt;"",$AF51&lt;&gt;""),"Yes",""))))</f>
        <v>N/A</v>
      </c>
      <c r="AM51" s="1625" t="b">
        <f ca="1">IF(AND($C51="",OR($J51&lt;&gt;"",$L51&lt;&gt;"",$N51&lt;&gt;"",$P51&lt;&gt;"",$R51&lt;&gt;"",$T51&lt;&gt;"",$V51&lt;&gt;"",$X51&lt;&gt;"",$Z51&lt;&gt;"",$AB51&lt;&gt;"",$AF51&lt;&gt;"")),TRUE,FALSE)</f>
        <v>0</v>
      </c>
      <c r="AN51" s="1625" t="b">
        <f>IF(AND($C51&lt;&gt;"",$J51=""),TRUE,FALSE)</f>
        <v>0</v>
      </c>
      <c r="AO51" s="1625" t="b">
        <f>IF(AND($C51&lt;&gt;"",$L51=""),TRUE,FALSE)</f>
        <v>0</v>
      </c>
      <c r="AP51" s="1625" t="b">
        <f>IF(AND($C51&lt;&gt;"",$N51=""),TRUE,FALSE)</f>
        <v>0</v>
      </c>
      <c r="AQ51" s="1625" t="b">
        <f>IF(AND($C51&lt;&gt;"",$P51=""),TRUE,FALSE)</f>
        <v>0</v>
      </c>
      <c r="AR51" s="1625" t="b">
        <f>IF(AND($C51&lt;&gt;"",$R51=""),TRUE,FALSE)</f>
        <v>0</v>
      </c>
      <c r="AS51" s="1625"/>
      <c r="AT51" s="1625" t="b">
        <f ca="1">IF(AND(T51="",OR(V51&lt;&gt;"",X51&lt;&gt;"",Z51&lt;&gt;"",AB51&lt;&gt;"",AF51&lt;&gt;"")),TRUE,FALSE)</f>
        <v>0</v>
      </c>
      <c r="AU51" s="1625" t="b">
        <f>IF(AND($C51&lt;&gt;"",$T51=""),TRUE,FALSE)</f>
        <v>0</v>
      </c>
      <c r="AV51" s="1625" t="b">
        <f>IF(V51="",FALSE,IF(T51="",FALSE,IF(AW51=TRUE,FALSE,IF(OR(V51&lt;BI51,V51&gt;BaseYear),TRUE,FALSE))))</f>
        <v>0</v>
      </c>
      <c r="AW51" s="1625" t="b">
        <f>IF(AND($C51&lt;&gt;"",$V51=""),TRUE,FALSE)</f>
        <v>0</v>
      </c>
      <c r="AX51" s="1625" t="b">
        <f>IF(X51="",FALSE,IF(T51="",FALSE,IF(AZ51=TRUE,FALSE,IF(X51&lt;BL51,TRUE,FALSE))))</f>
        <v>0</v>
      </c>
      <c r="AY51" s="1625" t="b">
        <f>IF(X51="",FALSE,IF(T51="",FALSE,IF(AZ51=TRUE,FALSE,IF(X51&gt;BM51,TRUE,FALSE))))</f>
        <v>0</v>
      </c>
      <c r="AZ51" s="1625" t="b">
        <f>IF(AND($C51&lt;&gt;"",$X51=""),TRUE,FALSE)</f>
        <v>0</v>
      </c>
      <c r="BA51" s="1626" t="b">
        <f>IF(BB51=TRUE,FALSE,IF(OR(Z51&lt;0,Z51&gt;1),TRUE,FALSE))</f>
        <v>0</v>
      </c>
      <c r="BB51" s="1625" t="b">
        <f>IF(AND($C51&lt;&gt;"",$Z51=""),TRUE,FALSE)</f>
        <v>0</v>
      </c>
      <c r="BC51" s="1626"/>
      <c r="BD51" s="1625" t="b">
        <f ca="1">IF(AND($C51&lt;&gt;"",$AB51=""),TRUE,FALSE)</f>
        <v>0</v>
      </c>
      <c r="BE51" s="1626" t="b">
        <f>IF(OR(AF51="", V51=""),FALSE,IF(COUNT(FIND({0,1,2,3,4,5,6,7,8,9}, AF51))=0, FALSE, IF(YEAR(AF51)&lt;V51, TRUE, FALSE)))</f>
        <v>0</v>
      </c>
      <c r="BF51" s="1625" t="b">
        <f>IF(AND($C51&lt;&gt;"",$AF51=""),TRUE,FALSE)</f>
        <v>0</v>
      </c>
      <c r="BG51" s="721"/>
      <c r="BH51" s="1625" t="str">
        <f>IF($T51="","",VLOOKUP($T51,val_facilities,BH$3,FALSE))</f>
        <v/>
      </c>
      <c r="BI51" s="1627" t="str">
        <f>IF($T51="","",VLOOKUP($T51,val_facilities,BI$3,FALSE))</f>
        <v/>
      </c>
      <c r="BJ51" s="1627" t="str">
        <f>IF($T51="","",VLOOKUP($T51,val_facilities,BJ$3,FALSE))</f>
        <v/>
      </c>
      <c r="BK51" s="1627" t="str">
        <f ca="1">IFERROR(IF(V51="", "", YEAR(TODAY())-V51), "")</f>
        <v/>
      </c>
      <c r="BL51" s="845" t="str">
        <f>IF($T51="","",VLOOKUP($T51,val_facilities,BL$3,FALSE))</f>
        <v/>
      </c>
      <c r="BM51" s="845" t="str">
        <f>IF($T51="","",VLOOKUP($T51,val_facilities,BM$3,FALSE))</f>
        <v/>
      </c>
      <c r="BN51" s="758"/>
      <c r="BO51" s="721">
        <f t="shared" si="2"/>
        <v>0</v>
      </c>
      <c r="BP51" s="816"/>
      <c r="BQ51" s="816"/>
      <c r="BR51" s="816"/>
    </row>
    <row r="52" spans="1:70" s="686" customFormat="1" ht="6.75" customHeight="1" thickBot="1" x14ac:dyDescent="0.25">
      <c r="A52" s="1638"/>
      <c r="B52" s="1712">
        <v>20.5</v>
      </c>
      <c r="C52" s="1057"/>
      <c r="D52" s="1248"/>
      <c r="E52" s="1639"/>
      <c r="F52" s="1229"/>
      <c r="G52" s="1229"/>
      <c r="H52" s="1229"/>
      <c r="I52" s="1229"/>
      <c r="J52" s="1604"/>
      <c r="K52" s="1640"/>
      <c r="L52" s="1645"/>
      <c r="M52" s="1646"/>
      <c r="N52" s="1645"/>
      <c r="O52" s="1646"/>
      <c r="P52" s="1647"/>
      <c r="Q52" s="1646"/>
      <c r="R52" s="1057"/>
      <c r="S52" s="1618"/>
      <c r="T52" s="1643"/>
      <c r="U52" s="1618"/>
      <c r="V52" s="1623"/>
      <c r="W52" s="1618"/>
      <c r="X52" s="722"/>
      <c r="Y52" s="1648"/>
      <c r="Z52" s="841"/>
      <c r="AA52" s="1648"/>
      <c r="AB52" s="722"/>
      <c r="AC52" s="1648"/>
      <c r="AD52" s="722"/>
      <c r="AE52" s="1648"/>
      <c r="AF52" s="1717"/>
      <c r="AG52" s="1648"/>
      <c r="AH52" s="1057"/>
      <c r="AI52" s="1644"/>
      <c r="AJ52" s="1644"/>
      <c r="AK52" s="1644"/>
      <c r="AL52" s="1644"/>
      <c r="AM52" s="1625"/>
      <c r="AN52" s="1625"/>
      <c r="AO52" s="1625"/>
      <c r="AP52" s="1625"/>
      <c r="AQ52" s="1625"/>
      <c r="AR52" s="848"/>
      <c r="AS52" s="848"/>
      <c r="AT52" s="848"/>
      <c r="AU52" s="848"/>
      <c r="AV52" s="848"/>
      <c r="AW52" s="848"/>
      <c r="AX52" s="848"/>
      <c r="AY52" s="848"/>
      <c r="AZ52" s="848"/>
      <c r="BA52" s="848"/>
      <c r="BB52" s="848"/>
      <c r="BC52" s="848"/>
      <c r="BD52" s="848"/>
      <c r="BE52" s="848"/>
      <c r="BF52" s="848"/>
      <c r="BG52" s="685"/>
      <c r="BH52" s="848"/>
      <c r="BI52" s="848"/>
      <c r="BJ52" s="848"/>
      <c r="BK52" s="848"/>
      <c r="BL52" s="848"/>
      <c r="BM52" s="848"/>
      <c r="BN52" s="1229"/>
      <c r="BO52" s="721">
        <f t="shared" si="2"/>
        <v>0</v>
      </c>
    </row>
    <row r="53" spans="1:70" s="686" customFormat="1" x14ac:dyDescent="0.2">
      <c r="A53" s="840">
        <v>21</v>
      </c>
      <c r="B53" s="1712">
        <v>21</v>
      </c>
      <c r="C53" s="1613"/>
      <c r="D53" s="1248" t="str">
        <f>IF(AND(C53="",C51&lt;&gt;""),"Enter Facility "&amp;TEXT(A53,0)&amp;" Name, then Fill in Columns "&amp;TEXT($H$2,0)&amp;" - "&amp;TEXT($AH$2,0)&amp;"       ","")</f>
        <v/>
      </c>
      <c r="E53" s="1245" t="str">
        <f>IF(AL53="N/A","",AL53)</f>
        <v/>
      </c>
      <c r="F53" s="758"/>
      <c r="G53" s="758"/>
      <c r="H53" s="1614"/>
      <c r="I53" s="758"/>
      <c r="J53" s="1615"/>
      <c r="K53" s="1248" t="str">
        <f>IF(E53&lt;&gt;"","Enter Street Address                   ","")</f>
        <v/>
      </c>
      <c r="L53" s="1615"/>
      <c r="M53" s="1248" t="str">
        <f>IF(E53&lt;&gt;"","Enter City Name       ","")</f>
        <v/>
      </c>
      <c r="N53" s="1613"/>
      <c r="O53" s="1248" t="str">
        <f>IF(E53&lt;&gt;"","Select from Pull-Down List   ","")</f>
        <v/>
      </c>
      <c r="P53" s="1616"/>
      <c r="Q53" s="1248" t="str">
        <f>IF($E53&lt;&gt;"","Enter ZIP Code       ","")</f>
        <v/>
      </c>
      <c r="R53" s="1617"/>
      <c r="S53" s="1618" t="str">
        <f>IF($E53&lt;&gt;"","Select from Pull-Down List  ","")</f>
        <v/>
      </c>
      <c r="T53" s="1617"/>
      <c r="U53" s="1618" t="str">
        <f>IF(AND($C53&lt;&gt;"",T53=""),"Select from Pull-Down List  ","")</f>
        <v/>
      </c>
      <c r="V53" s="1619"/>
      <c r="W53" s="1248" t="str">
        <f>IF(E53&lt;&gt;"","Year?   ","")</f>
        <v/>
      </c>
      <c r="X53" s="1247"/>
      <c r="Y53" s="1620" t="str">
        <f>IF(E53&lt;&gt;"","Sq. Feet?   ","")</f>
        <v/>
      </c>
      <c r="Z53" s="1621"/>
      <c r="AA53" s="1618" t="str">
        <f>IF($E53&lt;&gt;"","% of Cap Resp.","")</f>
        <v/>
      </c>
      <c r="AB53" s="1782" t="str">
        <f ca="1">IFERROR(IF(BK53="", "", IF(BK53&gt;100, 1, VLOOKUP(BK53, Valid!$W$1:$AA$101, VLOOKUP(T53, Codes!$G$7:$I$17, 3, FALSE), FALSE))), "")</f>
        <v/>
      </c>
      <c r="AC53" s="1618"/>
      <c r="AD53" s="1247"/>
      <c r="AE53" s="1620" t="str">
        <f>IF($E53&lt;&gt;"","Drop-Down    ","")</f>
        <v/>
      </c>
      <c r="AF53" s="1720"/>
      <c r="AG53" s="1620" t="b">
        <f>IF(E53&lt;&gt;"","Date?   ")</f>
        <v>0</v>
      </c>
      <c r="AH53" s="1613"/>
      <c r="AI53" s="1248" t="str">
        <f>IF(OR(T53="Other (describe in Notes)",T53="Dual Administrative and Maintenance Facility"),"Describe Facility                                                                                         ","")</f>
        <v/>
      </c>
      <c r="AJ53" s="1624"/>
      <c r="AK53" s="1624" t="b">
        <f>IF(AND(C53="",C55&lt;&gt;""),TRUE,FALSE)</f>
        <v>0</v>
      </c>
      <c r="AL53" s="1624" t="str">
        <f>IF(AND($C53&lt;&gt;"",OR($J53="",$L53="",$N53="",$P53="",$R53="",$T53="",$V53="",$X53="",$Z53="",$AD53="",$AF53="")),"No",IF(AND($C53="",OR($H53&lt;&gt;"",$J53&lt;&gt;"",$L53&lt;&gt;"",$N53&lt;&gt;"",$P53&lt;&gt;"",$R53&lt;&gt;"",$T53&lt;&gt;"",$V53&lt;&gt;"",$X53&lt;&gt;"",$Z53&lt;&gt;"",$AD53&lt;&gt;"",$AF53&lt;&gt;"")),"N",IF(AND($H53="",$C53="",$J53="",$L53="",$N53="",$P53="",$R53="",$T53="",$V53="",$X53="",$Z53="",$AD53="",$AF53=""),"N/A",IF(AND($C53&lt;&gt;"",$J53&lt;&gt;"",$L53&lt;&gt;"",$N53&lt;&gt;"",$P53&lt;&gt;"",$R53&lt;&gt;"",$T53&lt;&gt;"",$V53&lt;&gt;"",$X53&lt;&gt;"",$Z53&lt;&gt;"",$AD53&lt;&gt;"",$AF53&lt;&gt;""),"Yes",""))))</f>
        <v>N/A</v>
      </c>
      <c r="AM53" s="1625" t="b">
        <f ca="1">IF(AND($C53="",OR($J53&lt;&gt;"",$L53&lt;&gt;"",$N53&lt;&gt;"",$P53&lt;&gt;"",$R53&lt;&gt;"",$T53&lt;&gt;"",$V53&lt;&gt;"",$X53&lt;&gt;"",$Z53&lt;&gt;"",$AB53&lt;&gt;"",$AF53&lt;&gt;"")),TRUE,FALSE)</f>
        <v>0</v>
      </c>
      <c r="AN53" s="1625" t="b">
        <f>IF(AND($C53&lt;&gt;"",$J53=""),TRUE,FALSE)</f>
        <v>0</v>
      </c>
      <c r="AO53" s="1625" t="b">
        <f>IF(AND($C53&lt;&gt;"",$L53=""),TRUE,FALSE)</f>
        <v>0</v>
      </c>
      <c r="AP53" s="1625" t="b">
        <f>IF(AND($C53&lt;&gt;"",$N53=""),TRUE,FALSE)</f>
        <v>0</v>
      </c>
      <c r="AQ53" s="1625" t="b">
        <f>IF(AND($C53&lt;&gt;"",$P53=""),TRUE,FALSE)</f>
        <v>0</v>
      </c>
      <c r="AR53" s="1625" t="b">
        <f>IF(AND($C53&lt;&gt;"",$R53=""),TRUE,FALSE)</f>
        <v>0</v>
      </c>
      <c r="AS53" s="1625"/>
      <c r="AT53" s="1625" t="b">
        <f ca="1">IF(AND(T53="",OR(V53&lt;&gt;"",X53&lt;&gt;"",Z53&lt;&gt;"",AB53&lt;&gt;"",AF53&lt;&gt;"")),TRUE,FALSE)</f>
        <v>0</v>
      </c>
      <c r="AU53" s="1625" t="b">
        <f>IF(AND($C53&lt;&gt;"",$T53=""),TRUE,FALSE)</f>
        <v>0</v>
      </c>
      <c r="AV53" s="1625" t="b">
        <f>IF(V53="",FALSE,IF(T53="",FALSE,IF(AW53=TRUE,FALSE,IF(OR(V53&lt;BI53,V53&gt;BaseYear),TRUE,FALSE))))</f>
        <v>0</v>
      </c>
      <c r="AW53" s="1625" t="b">
        <f>IF(AND($C53&lt;&gt;"",$V53=""),TRUE,FALSE)</f>
        <v>0</v>
      </c>
      <c r="AX53" s="1625" t="b">
        <f>IF(X53="",FALSE,IF(T53="",FALSE,IF(AZ53=TRUE,FALSE,IF(X53&lt;BL53,TRUE,FALSE))))</f>
        <v>0</v>
      </c>
      <c r="AY53" s="1625" t="b">
        <f>IF(X53="",FALSE,IF(T53="",FALSE,IF(AZ53=TRUE,FALSE,IF(X53&gt;BM53,TRUE,FALSE))))</f>
        <v>0</v>
      </c>
      <c r="AZ53" s="1625" t="b">
        <f>IF(AND($C53&lt;&gt;"",$X53=""),TRUE,FALSE)</f>
        <v>0</v>
      </c>
      <c r="BA53" s="1626" t="b">
        <f>IF(BB53=TRUE,FALSE,IF(OR(Z53&lt;0,Z53&gt;1),TRUE,FALSE))</f>
        <v>0</v>
      </c>
      <c r="BB53" s="1625" t="b">
        <f>IF(AND($C53&lt;&gt;"",$Z53=""),TRUE,FALSE)</f>
        <v>0</v>
      </c>
      <c r="BC53" s="1626"/>
      <c r="BD53" s="1625" t="b">
        <f ca="1">IF(AND($C53&lt;&gt;"",$AB53=""),TRUE,FALSE)</f>
        <v>0</v>
      </c>
      <c r="BE53" s="1626" t="b">
        <f>IF(OR(AF53="", V53=""),FALSE,IF(COUNT(FIND({0,1,2,3,4,5,6,7,8,9}, AF53))=0, FALSE, IF(YEAR(AF53)&lt;V53, TRUE, FALSE)))</f>
        <v>0</v>
      </c>
      <c r="BF53" s="1625" t="b">
        <f>IF(AND($C53&lt;&gt;"",$AF53=""),TRUE,FALSE)</f>
        <v>0</v>
      </c>
      <c r="BG53" s="721"/>
      <c r="BH53" s="1625" t="str">
        <f>IF($T53="","",VLOOKUP($T53,val_facilities,BH$3,FALSE))</f>
        <v/>
      </c>
      <c r="BI53" s="1627" t="str">
        <f>IF($T53="","",VLOOKUP($T53,val_facilities,BI$3,FALSE))</f>
        <v/>
      </c>
      <c r="BJ53" s="1627" t="str">
        <f>IF($T53="","",VLOOKUP($T53,val_facilities,BJ$3,FALSE))</f>
        <v/>
      </c>
      <c r="BK53" s="1627" t="str">
        <f ca="1">IFERROR(IF(V53="", "", YEAR(TODAY())-V53), "")</f>
        <v/>
      </c>
      <c r="BL53" s="845" t="str">
        <f>IF($T53="","",VLOOKUP($T53,val_facilities,BL$3,FALSE))</f>
        <v/>
      </c>
      <c r="BM53" s="845" t="str">
        <f>IF($T53="","",VLOOKUP($T53,val_facilities,BM$3,FALSE))</f>
        <v/>
      </c>
      <c r="BN53" s="758"/>
      <c r="BO53" s="721">
        <f t="shared" si="2"/>
        <v>0</v>
      </c>
      <c r="BP53" s="816"/>
      <c r="BQ53" s="816"/>
      <c r="BR53" s="816"/>
    </row>
    <row r="54" spans="1:70" s="686" customFormat="1" ht="6.75" customHeight="1" thickBot="1" x14ac:dyDescent="0.25">
      <c r="A54" s="1638"/>
      <c r="B54" s="1712">
        <v>21.5</v>
      </c>
      <c r="C54" s="1607"/>
      <c r="D54" s="1248"/>
      <c r="E54" s="721"/>
      <c r="F54" s="758"/>
      <c r="G54" s="758"/>
      <c r="H54" s="758"/>
      <c r="I54" s="758"/>
      <c r="J54" s="1628"/>
      <c r="K54" s="1248"/>
      <c r="L54" s="1629"/>
      <c r="M54" s="1248"/>
      <c r="N54" s="1629"/>
      <c r="O54" s="1248"/>
      <c r="P54" s="1630"/>
      <c r="Q54" s="1248"/>
      <c r="R54" s="1223"/>
      <c r="S54" s="1618"/>
      <c r="T54" s="1608"/>
      <c r="U54" s="1618"/>
      <c r="V54" s="1623"/>
      <c r="W54" s="1618"/>
      <c r="X54" s="1631"/>
      <c r="Y54" s="1632"/>
      <c r="Z54" s="822"/>
      <c r="AA54" s="1632"/>
      <c r="AB54" s="1631"/>
      <c r="AC54" s="1632"/>
      <c r="AD54" s="1631"/>
      <c r="AE54" s="1632"/>
      <c r="AF54" s="1719"/>
      <c r="AG54" s="1632"/>
      <c r="AH54" s="1243"/>
      <c r="AI54" s="1248"/>
      <c r="AJ54" s="758"/>
      <c r="AK54" s="758"/>
      <c r="AL54" s="758"/>
      <c r="AM54" s="1625"/>
      <c r="AN54" s="1625"/>
      <c r="AO54" s="1625"/>
      <c r="AP54" s="1625"/>
      <c r="AQ54" s="1625"/>
      <c r="AR54" s="1625"/>
      <c r="AS54" s="1625"/>
      <c r="AT54" s="1625"/>
      <c r="AU54" s="1625"/>
      <c r="AV54" s="1626"/>
      <c r="AW54" s="1626"/>
      <c r="AX54" s="1626"/>
      <c r="AY54" s="1626"/>
      <c r="AZ54" s="1626"/>
      <c r="BA54" s="1626"/>
      <c r="BB54" s="1626"/>
      <c r="BC54" s="1626"/>
      <c r="BD54" s="1626"/>
      <c r="BE54" s="1626"/>
      <c r="BF54" s="1626"/>
      <c r="BG54" s="721"/>
      <c r="BH54" s="1626"/>
      <c r="BI54" s="1626"/>
      <c r="BJ54" s="1626"/>
      <c r="BK54" s="1626"/>
      <c r="BL54" s="1626"/>
      <c r="BM54" s="1626"/>
      <c r="BN54" s="758"/>
      <c r="BO54" s="721">
        <f t="shared" si="2"/>
        <v>0</v>
      </c>
      <c r="BP54" s="721"/>
      <c r="BQ54" s="721"/>
      <c r="BR54" s="721"/>
    </row>
    <row r="55" spans="1:70" s="816" customFormat="1" x14ac:dyDescent="0.2">
      <c r="A55" s="840">
        <v>22</v>
      </c>
      <c r="B55" s="1712">
        <v>22</v>
      </c>
      <c r="C55" s="1613"/>
      <c r="D55" s="1248" t="str">
        <f>IF(AND(C55="",C53&lt;&gt;""),"Enter Facility "&amp;TEXT(A55,0)&amp;" Name, then Fill in Columns "&amp;TEXT($H$2,0)&amp;" - "&amp;TEXT($AH$2,0)&amp;"       ","")</f>
        <v/>
      </c>
      <c r="E55" s="1245" t="str">
        <f>IF(AL55="N/A","",AL55)</f>
        <v/>
      </c>
      <c r="F55" s="758"/>
      <c r="G55" s="758"/>
      <c r="H55" s="1614"/>
      <c r="I55" s="758"/>
      <c r="J55" s="1615"/>
      <c r="K55" s="1248" t="str">
        <f>IF(E55&lt;&gt;"","Enter Street Address                   ","")</f>
        <v/>
      </c>
      <c r="L55" s="1615"/>
      <c r="M55" s="1248" t="str">
        <f>IF(E55&lt;&gt;"","Enter City Name       ","")</f>
        <v/>
      </c>
      <c r="N55" s="1613"/>
      <c r="O55" s="1248" t="str">
        <f>IF(E55&lt;&gt;"","Select from Pull-Down List   ","")</f>
        <v/>
      </c>
      <c r="P55" s="1616"/>
      <c r="Q55" s="1248" t="str">
        <f>IF($E55&lt;&gt;"","Enter ZIP Code       ","")</f>
        <v/>
      </c>
      <c r="R55" s="1617"/>
      <c r="S55" s="1618" t="str">
        <f>IF($E55&lt;&gt;"","Select from Pull-Down List  ","")</f>
        <v/>
      </c>
      <c r="T55" s="1617"/>
      <c r="U55" s="1618" t="str">
        <f>IF(AND($C55&lt;&gt;"",T55=""),"Select from Pull-Down List  ","")</f>
        <v/>
      </c>
      <c r="V55" s="1619"/>
      <c r="W55" s="1248" t="str">
        <f>IF(E55&lt;&gt;"","Year?   ","")</f>
        <v/>
      </c>
      <c r="X55" s="1247"/>
      <c r="Y55" s="1620" t="str">
        <f>IF(E55&lt;&gt;"","Sq. Feet?   ","")</f>
        <v/>
      </c>
      <c r="Z55" s="1621"/>
      <c r="AA55" s="1618" t="str">
        <f>IF($E55&lt;&gt;"","% of Cap Resp.","")</f>
        <v/>
      </c>
      <c r="AB55" s="1782" t="str">
        <f ca="1">IFERROR(IF(BK55="", "", IF(BK55&gt;100, 1, VLOOKUP(BK55, Valid!$W$1:$AA$101, VLOOKUP(T55, Codes!$G$7:$I$17, 3, FALSE), FALSE))), "")</f>
        <v/>
      </c>
      <c r="AC55" s="1618"/>
      <c r="AD55" s="1247"/>
      <c r="AE55" s="1620" t="str">
        <f>IF($E55&lt;&gt;"","Drop-Down    ","")</f>
        <v/>
      </c>
      <c r="AF55" s="1720"/>
      <c r="AG55" s="1620" t="b">
        <f>IF(E55&lt;&gt;"","Date?   ")</f>
        <v>0</v>
      </c>
      <c r="AH55" s="1613"/>
      <c r="AI55" s="1248" t="str">
        <f>IF(OR(T55="Other (describe in Notes)",T55="Dual Administrative and Maintenance Facility"),"Describe Facility                                                                                         ","")</f>
        <v/>
      </c>
      <c r="AJ55" s="1624"/>
      <c r="AK55" s="1624" t="b">
        <f>IF(AND(C55="",C57&lt;&gt;""),TRUE,FALSE)</f>
        <v>0</v>
      </c>
      <c r="AL55" s="1624" t="str">
        <f>IF(AND($C55&lt;&gt;"",OR($J55="",$L55="",$N55="",$P55="",$R55="",$T55="",$V55="",$X55="",$Z55="",$AD55="",$AF55="")),"No",IF(AND($C55="",OR($H55&lt;&gt;"",$J55&lt;&gt;"",$L55&lt;&gt;"",$N55&lt;&gt;"",$P55&lt;&gt;"",$R55&lt;&gt;"",$T55&lt;&gt;"",$V55&lt;&gt;"",$X55&lt;&gt;"",$Z55&lt;&gt;"",$AD55&lt;&gt;"",$AF55&lt;&gt;"")),"N",IF(AND($H55="",$C55="",$J55="",$L55="",$N55="",$P55="",$R55="",$T55="",$V55="",$X55="",$Z55="",$AD55="",$AF55=""),"N/A",IF(AND($C55&lt;&gt;"",$J55&lt;&gt;"",$L55&lt;&gt;"",$N55&lt;&gt;"",$P55&lt;&gt;"",$R55&lt;&gt;"",$T55&lt;&gt;"",$V55&lt;&gt;"",$X55&lt;&gt;"",$Z55&lt;&gt;"",$AD55&lt;&gt;"",$AF55&lt;&gt;""),"Yes",""))))</f>
        <v>N/A</v>
      </c>
      <c r="AM55" s="1625" t="b">
        <f ca="1">IF(AND($C55="",OR($J55&lt;&gt;"",$L55&lt;&gt;"",$N55&lt;&gt;"",$P55&lt;&gt;"",$R55&lt;&gt;"",$T55&lt;&gt;"",$V55&lt;&gt;"",$X55&lt;&gt;"",$Z55&lt;&gt;"",$AB55&lt;&gt;"",$AF55&lt;&gt;"")),TRUE,FALSE)</f>
        <v>0</v>
      </c>
      <c r="AN55" s="1625" t="b">
        <f>IF(AND($C55&lt;&gt;"",$J55=""),TRUE,FALSE)</f>
        <v>0</v>
      </c>
      <c r="AO55" s="1625" t="b">
        <f>IF(AND($C55&lt;&gt;"",$L55=""),TRUE,FALSE)</f>
        <v>0</v>
      </c>
      <c r="AP55" s="1625" t="b">
        <f>IF(AND($C55&lt;&gt;"",$N55=""),TRUE,FALSE)</f>
        <v>0</v>
      </c>
      <c r="AQ55" s="1625" t="b">
        <f>IF(AND($C55&lt;&gt;"",$P55=""),TRUE,FALSE)</f>
        <v>0</v>
      </c>
      <c r="AR55" s="1625" t="b">
        <f>IF(AND($C55&lt;&gt;"",$R55=""),TRUE,FALSE)</f>
        <v>0</v>
      </c>
      <c r="AS55" s="1625"/>
      <c r="AT55" s="1625" t="b">
        <f ca="1">IF(AND(T55="",OR(V55&lt;&gt;"",X55&lt;&gt;"",Z55&lt;&gt;"",AB55&lt;&gt;"",AF55&lt;&gt;"")),TRUE,FALSE)</f>
        <v>0</v>
      </c>
      <c r="AU55" s="1625" t="b">
        <f>IF(AND($C55&lt;&gt;"",$T55=""),TRUE,FALSE)</f>
        <v>0</v>
      </c>
      <c r="AV55" s="1625" t="b">
        <f>IF(V55="",FALSE,IF(T55="",FALSE,IF(AW55=TRUE,FALSE,IF(OR(V55&lt;BI55,V55&gt;BaseYear),TRUE,FALSE))))</f>
        <v>0</v>
      </c>
      <c r="AW55" s="1625" t="b">
        <f>IF(AND($C55&lt;&gt;"",$V55=""),TRUE,FALSE)</f>
        <v>0</v>
      </c>
      <c r="AX55" s="1625" t="b">
        <f>IF(X55="",FALSE,IF(T55="",FALSE,IF(AZ55=TRUE,FALSE,IF(X55&lt;BL55,TRUE,FALSE))))</f>
        <v>0</v>
      </c>
      <c r="AY55" s="1625" t="b">
        <f>IF(X55="",FALSE,IF(T55="",FALSE,IF(AZ55=TRUE,FALSE,IF(X55&gt;BM55,TRUE,FALSE))))</f>
        <v>0</v>
      </c>
      <c r="AZ55" s="1625" t="b">
        <f>IF(AND($C55&lt;&gt;"",$X55=""),TRUE,FALSE)</f>
        <v>0</v>
      </c>
      <c r="BA55" s="1626" t="b">
        <f>IF(BB55=TRUE,FALSE,IF(OR(Z55&lt;0,Z55&gt;1),TRUE,FALSE))</f>
        <v>0</v>
      </c>
      <c r="BB55" s="1625" t="b">
        <f>IF(AND($C55&lt;&gt;"",$Z55=""),TRUE,FALSE)</f>
        <v>0</v>
      </c>
      <c r="BC55" s="1626"/>
      <c r="BD55" s="1625" t="b">
        <f ca="1">IF(AND($C55&lt;&gt;"",$AB55=""),TRUE,FALSE)</f>
        <v>0</v>
      </c>
      <c r="BE55" s="1626" t="b">
        <f>IF(OR(AF55="", V55=""),FALSE,IF(COUNT(FIND({0,1,2,3,4,5,6,7,8,9}, AF55))=0, FALSE, IF(YEAR(AF55)&lt;V55, TRUE, FALSE)))</f>
        <v>0</v>
      </c>
      <c r="BF55" s="1625" t="b">
        <f>IF(AND($C55&lt;&gt;"",$AF55=""),TRUE,FALSE)</f>
        <v>0</v>
      </c>
      <c r="BG55" s="721"/>
      <c r="BH55" s="1625" t="str">
        <f>IF($T55="","",VLOOKUP($T55,val_facilities,BH$3,FALSE))</f>
        <v/>
      </c>
      <c r="BI55" s="1627" t="str">
        <f>IF($T55="","",VLOOKUP($T55,val_facilities,BI$3,FALSE))</f>
        <v/>
      </c>
      <c r="BJ55" s="1627" t="str">
        <f>IF($T55="","",VLOOKUP($T55,val_facilities,BJ$3,FALSE))</f>
        <v/>
      </c>
      <c r="BK55" s="1627" t="str">
        <f ca="1">IFERROR(IF(V55="", "", YEAR(TODAY())-V55), "")</f>
        <v/>
      </c>
      <c r="BL55" s="845" t="str">
        <f>IF($T55="","",VLOOKUP($T55,val_facilities,BL$3,FALSE))</f>
        <v/>
      </c>
      <c r="BM55" s="845" t="str">
        <f>IF($T55="","",VLOOKUP($T55,val_facilities,BM$3,FALSE))</f>
        <v/>
      </c>
      <c r="BN55" s="758"/>
      <c r="BO55" s="721">
        <f t="shared" si="2"/>
        <v>0</v>
      </c>
    </row>
    <row r="56" spans="1:70" s="816" customFormat="1" ht="6.75" customHeight="1" thickBot="1" x14ac:dyDescent="0.25">
      <c r="A56" s="840"/>
      <c r="B56" s="1712">
        <v>22.5</v>
      </c>
      <c r="C56" s="721"/>
      <c r="D56" s="1248"/>
      <c r="F56" s="758"/>
      <c r="G56" s="758"/>
      <c r="H56" s="758"/>
      <c r="I56" s="758"/>
      <c r="J56" s="1633"/>
      <c r="K56" s="1248"/>
      <c r="L56" s="1634"/>
      <c r="M56" s="1248"/>
      <c r="N56" s="1634"/>
      <c r="O56" s="1248"/>
      <c r="P56" s="1635"/>
      <c r="Q56" s="1248"/>
      <c r="R56" s="1059"/>
      <c r="S56" s="1618"/>
      <c r="T56" s="1636"/>
      <c r="U56" s="1618"/>
      <c r="V56" s="1623"/>
      <c r="W56" s="1618"/>
      <c r="X56" s="722"/>
      <c r="Y56" s="723"/>
      <c r="Z56" s="724"/>
      <c r="AA56" s="723"/>
      <c r="AB56" s="722"/>
      <c r="AC56" s="723"/>
      <c r="AD56" s="722"/>
      <c r="AE56" s="723"/>
      <c r="AF56" s="1717"/>
      <c r="AG56" s="723"/>
      <c r="AH56" s="1637"/>
      <c r="AI56" s="1624"/>
      <c r="AJ56" s="1624"/>
      <c r="AK56" s="1624"/>
      <c r="AL56" s="1624"/>
      <c r="AM56" s="1625"/>
      <c r="AN56" s="1625"/>
      <c r="AO56" s="1625"/>
      <c r="AP56" s="1625"/>
      <c r="AQ56" s="1625"/>
      <c r="AR56" s="1625"/>
      <c r="AS56" s="1625"/>
      <c r="AT56" s="1625"/>
      <c r="AU56" s="1625"/>
      <c r="AV56" s="1626"/>
      <c r="AW56" s="1626"/>
      <c r="AX56" s="1626"/>
      <c r="AY56" s="1626"/>
      <c r="AZ56" s="1626"/>
      <c r="BA56" s="1626"/>
      <c r="BB56" s="1626"/>
      <c r="BC56" s="1626"/>
      <c r="BD56" s="1626"/>
      <c r="BE56" s="1626"/>
      <c r="BF56" s="1626"/>
      <c r="BG56" s="721"/>
      <c r="BH56" s="1626"/>
      <c r="BI56" s="1626"/>
      <c r="BJ56" s="1626"/>
      <c r="BK56" s="1626"/>
      <c r="BL56" s="1626"/>
      <c r="BM56" s="1626"/>
      <c r="BN56" s="758"/>
      <c r="BO56" s="721">
        <f t="shared" si="2"/>
        <v>0</v>
      </c>
    </row>
    <row r="57" spans="1:70" s="816" customFormat="1" x14ac:dyDescent="0.2">
      <c r="A57" s="840">
        <v>23</v>
      </c>
      <c r="B57" s="1712">
        <v>23</v>
      </c>
      <c r="C57" s="1613"/>
      <c r="D57" s="1248" t="str">
        <f>IF(AND(C57="",C55&lt;&gt;""),"Enter Facility "&amp;TEXT(A57,0)&amp;" Name, then Fill in Columns "&amp;TEXT($H$2,0)&amp;" - "&amp;TEXT($AH$2,0)&amp;"       ","")</f>
        <v/>
      </c>
      <c r="E57" s="1245" t="str">
        <f>IF(AL57="N/A","",AL57)</f>
        <v/>
      </c>
      <c r="F57" s="758"/>
      <c r="G57" s="758"/>
      <c r="H57" s="1614"/>
      <c r="I57" s="758"/>
      <c r="J57" s="1615"/>
      <c r="K57" s="1248" t="str">
        <f>IF(E57&lt;&gt;"","Enter Street Address                   ","")</f>
        <v/>
      </c>
      <c r="L57" s="1615"/>
      <c r="M57" s="1248" t="str">
        <f>IF(E57&lt;&gt;"","Enter City Name       ","")</f>
        <v/>
      </c>
      <c r="N57" s="1613"/>
      <c r="O57" s="1248" t="str">
        <f>IF(E57&lt;&gt;"","Select from Pull-Down List   ","")</f>
        <v/>
      </c>
      <c r="P57" s="1616"/>
      <c r="Q57" s="1248" t="str">
        <f>IF($E57&lt;&gt;"","Enter ZIP Code       ","")</f>
        <v/>
      </c>
      <c r="R57" s="1617"/>
      <c r="S57" s="1618" t="str">
        <f>IF($E57&lt;&gt;"","Select from Pull-Down List  ","")</f>
        <v/>
      </c>
      <c r="T57" s="1617"/>
      <c r="U57" s="1618" t="str">
        <f>IF(AND($C57&lt;&gt;"",T57=""),"Select from Pull-Down List  ","")</f>
        <v/>
      </c>
      <c r="V57" s="1619"/>
      <c r="W57" s="1248" t="str">
        <f>IF(E57&lt;&gt;"","Year?   ","")</f>
        <v/>
      </c>
      <c r="X57" s="1247"/>
      <c r="Y57" s="1620" t="str">
        <f>IF(E57&lt;&gt;"","Sq. Feet?   ","")</f>
        <v/>
      </c>
      <c r="Z57" s="1621"/>
      <c r="AA57" s="1618" t="str">
        <f>IF($E57&lt;&gt;"","% of Cap Resp.","")</f>
        <v/>
      </c>
      <c r="AB57" s="1782" t="str">
        <f ca="1">IFERROR(IF(BK57="", "", IF(BK57&gt;100, 1, VLOOKUP(BK57, Valid!$W$1:$AA$101, VLOOKUP(T57, Codes!$G$7:$I$17, 3, FALSE), FALSE))), "")</f>
        <v/>
      </c>
      <c r="AC57" s="1618"/>
      <c r="AD57" s="1247"/>
      <c r="AE57" s="1620" t="str">
        <f>IF($E57&lt;&gt;"","Drop-Down    ","")</f>
        <v/>
      </c>
      <c r="AF57" s="1720"/>
      <c r="AG57" s="1620" t="b">
        <f>IF(E57&lt;&gt;"","Date?   ")</f>
        <v>0</v>
      </c>
      <c r="AH57" s="1613"/>
      <c r="AI57" s="1248" t="str">
        <f>IF(OR(T57="Other (describe in Notes)",T57="Dual Administrative and Maintenance Facility"),"Describe Facility                                                                                         ","")</f>
        <v/>
      </c>
      <c r="AJ57" s="1624"/>
      <c r="AK57" s="1624" t="b">
        <f>IF(AND(C57="",C59&lt;&gt;""),TRUE,FALSE)</f>
        <v>0</v>
      </c>
      <c r="AL57" s="1624" t="str">
        <f>IF(AND($C57&lt;&gt;"",OR($J57="",$L57="",$N57="",$P57="",$R57="",$T57="",$V57="",$X57="",$Z57="",$AD57="",$AF57="")),"No",IF(AND($C57="",OR($H57&lt;&gt;"",$J57&lt;&gt;"",$L57&lt;&gt;"",$N57&lt;&gt;"",$P57&lt;&gt;"",$R57&lt;&gt;"",$T57&lt;&gt;"",$V57&lt;&gt;"",$X57&lt;&gt;"",$Z57&lt;&gt;"",$AD57&lt;&gt;"",$AF57&lt;&gt;"")),"N",IF(AND($H57="",$C57="",$J57="",$L57="",$N57="",$P57="",$R57="",$T57="",$V57="",$X57="",$Z57="",$AD57="",$AF57=""),"N/A",IF(AND($C57&lt;&gt;"",$J57&lt;&gt;"",$L57&lt;&gt;"",$N57&lt;&gt;"",$P57&lt;&gt;"",$R57&lt;&gt;"",$T57&lt;&gt;"",$V57&lt;&gt;"",$X57&lt;&gt;"",$Z57&lt;&gt;"",$AD57&lt;&gt;"",$AF57&lt;&gt;""),"Yes",""))))</f>
        <v>N/A</v>
      </c>
      <c r="AM57" s="1625" t="b">
        <f ca="1">IF(AND($C57="",OR($J57&lt;&gt;"",$L57&lt;&gt;"",$N57&lt;&gt;"",$P57&lt;&gt;"",$R57&lt;&gt;"",$T57&lt;&gt;"",$V57&lt;&gt;"",$X57&lt;&gt;"",$Z57&lt;&gt;"",$AB57&lt;&gt;"",$AF57&lt;&gt;"")),TRUE,FALSE)</f>
        <v>0</v>
      </c>
      <c r="AN57" s="1625" t="b">
        <f>IF(AND($C57&lt;&gt;"",$J57=""),TRUE,FALSE)</f>
        <v>0</v>
      </c>
      <c r="AO57" s="1625" t="b">
        <f>IF(AND($C57&lt;&gt;"",$L57=""),TRUE,FALSE)</f>
        <v>0</v>
      </c>
      <c r="AP57" s="1625" t="b">
        <f>IF(AND($C57&lt;&gt;"",$N57=""),TRUE,FALSE)</f>
        <v>0</v>
      </c>
      <c r="AQ57" s="1625" t="b">
        <f>IF(AND($C57&lt;&gt;"",$P57=""),TRUE,FALSE)</f>
        <v>0</v>
      </c>
      <c r="AR57" s="1625" t="b">
        <f>IF(AND($C57&lt;&gt;"",$R57=""),TRUE,FALSE)</f>
        <v>0</v>
      </c>
      <c r="AS57" s="1625"/>
      <c r="AT57" s="1625" t="b">
        <f ca="1">IF(AND(T57="",OR(V57&lt;&gt;"",X57&lt;&gt;"",Z57&lt;&gt;"",AB57&lt;&gt;"",AF57&lt;&gt;"")),TRUE,FALSE)</f>
        <v>0</v>
      </c>
      <c r="AU57" s="1625" t="b">
        <f>IF(AND($C57&lt;&gt;"",$T57=""),TRUE,FALSE)</f>
        <v>0</v>
      </c>
      <c r="AV57" s="1625" t="b">
        <f>IF(V57="",FALSE,IF(T57="",FALSE,IF(AW57=TRUE,FALSE,IF(OR(V57&lt;BI57,V57&gt;BaseYear),TRUE,FALSE))))</f>
        <v>0</v>
      </c>
      <c r="AW57" s="1625" t="b">
        <f>IF(AND($C57&lt;&gt;"",$V57=""),TRUE,FALSE)</f>
        <v>0</v>
      </c>
      <c r="AX57" s="1625" t="b">
        <f>IF(X57="",FALSE,IF(T57="",FALSE,IF(AZ57=TRUE,FALSE,IF(X57&lt;BL57,TRUE,FALSE))))</f>
        <v>0</v>
      </c>
      <c r="AY57" s="1625" t="b">
        <f>IF(X57="",FALSE,IF(T57="",FALSE,IF(AZ57=TRUE,FALSE,IF(X57&gt;BM57,TRUE,FALSE))))</f>
        <v>0</v>
      </c>
      <c r="AZ57" s="1625" t="b">
        <f>IF(AND($C57&lt;&gt;"",$X57=""),TRUE,FALSE)</f>
        <v>0</v>
      </c>
      <c r="BA57" s="1626" t="b">
        <f>IF(BB57=TRUE,FALSE,IF(OR(Z57&lt;0,Z57&gt;1),TRUE,FALSE))</f>
        <v>0</v>
      </c>
      <c r="BB57" s="1625" t="b">
        <f>IF(AND($C57&lt;&gt;"",$Z57=""),TRUE,FALSE)</f>
        <v>0</v>
      </c>
      <c r="BC57" s="1626"/>
      <c r="BD57" s="1625" t="b">
        <f ca="1">IF(AND($C57&lt;&gt;"",$AB57=""),TRUE,FALSE)</f>
        <v>0</v>
      </c>
      <c r="BE57" s="1626" t="b">
        <f>IF(OR(AF57="", V57=""),FALSE,IF(COUNT(FIND({0,1,2,3,4,5,6,7,8,9}, AF57))=0, FALSE, IF(YEAR(AF57)&lt;V57, TRUE, FALSE)))</f>
        <v>0</v>
      </c>
      <c r="BF57" s="1625" t="b">
        <f>IF(AND($C57&lt;&gt;"",$AF57=""),TRUE,FALSE)</f>
        <v>0</v>
      </c>
      <c r="BG57" s="721"/>
      <c r="BH57" s="1625" t="str">
        <f>IF($T57="","",VLOOKUP($T57,val_facilities,BH$3,FALSE))</f>
        <v/>
      </c>
      <c r="BI57" s="1627" t="str">
        <f>IF($T57="","",VLOOKUP($T57,val_facilities,BI$3,FALSE))</f>
        <v/>
      </c>
      <c r="BJ57" s="1627" t="str">
        <f>IF($T57="","",VLOOKUP($T57,val_facilities,BJ$3,FALSE))</f>
        <v/>
      </c>
      <c r="BK57" s="1627" t="str">
        <f ca="1">IFERROR(IF(V57="", "", YEAR(TODAY())-V57), "")</f>
        <v/>
      </c>
      <c r="BL57" s="845" t="str">
        <f>IF($T57="","",VLOOKUP($T57,val_facilities,BL$3,FALSE))</f>
        <v/>
      </c>
      <c r="BM57" s="845" t="str">
        <f>IF($T57="","",VLOOKUP($T57,val_facilities,BM$3,FALSE))</f>
        <v/>
      </c>
      <c r="BN57" s="758"/>
      <c r="BO57" s="721">
        <f t="shared" si="2"/>
        <v>0</v>
      </c>
    </row>
    <row r="58" spans="1:70" s="686" customFormat="1" ht="6.75" customHeight="1" thickBot="1" x14ac:dyDescent="0.25">
      <c r="A58" s="1638"/>
      <c r="B58" s="1712">
        <v>23.5</v>
      </c>
      <c r="C58" s="1057"/>
      <c r="D58" s="1248"/>
      <c r="E58" s="1057"/>
      <c r="F58" s="1229"/>
      <c r="G58" s="1229"/>
      <c r="H58" s="1229"/>
      <c r="I58" s="1229"/>
      <c r="J58" s="1604"/>
      <c r="K58" s="1640"/>
      <c r="L58" s="1641"/>
      <c r="M58" s="1248"/>
      <c r="N58" s="1641"/>
      <c r="O58" s="1248"/>
      <c r="P58" s="1642"/>
      <c r="Q58" s="1248"/>
      <c r="R58" s="1057"/>
      <c r="S58" s="1618"/>
      <c r="T58" s="1643"/>
      <c r="U58" s="1618"/>
      <c r="V58" s="1623"/>
      <c r="W58" s="1618"/>
      <c r="X58" s="733"/>
      <c r="Y58" s="1275"/>
      <c r="Z58" s="685"/>
      <c r="AA58" s="1275"/>
      <c r="AB58" s="733"/>
      <c r="AC58" s="1275"/>
      <c r="AD58" s="733"/>
      <c r="AE58" s="1275"/>
      <c r="AF58" s="1721"/>
      <c r="AG58" s="1275"/>
      <c r="AH58" s="1057"/>
      <c r="AI58" s="1644"/>
      <c r="AJ58" s="1644"/>
      <c r="AK58" s="1644"/>
      <c r="AL58" s="1644"/>
      <c r="AM58" s="1625"/>
      <c r="AN58" s="1625"/>
      <c r="AO58" s="1625"/>
      <c r="AP58" s="1625"/>
      <c r="AQ58" s="1625"/>
      <c r="AR58" s="848"/>
      <c r="AS58" s="848"/>
      <c r="AT58" s="848"/>
      <c r="AU58" s="848"/>
      <c r="AV58" s="848"/>
      <c r="AW58" s="848"/>
      <c r="AX58" s="848"/>
      <c r="AY58" s="848"/>
      <c r="AZ58" s="848"/>
      <c r="BA58" s="848"/>
      <c r="BB58" s="848"/>
      <c r="BC58" s="848"/>
      <c r="BD58" s="848"/>
      <c r="BE58" s="848"/>
      <c r="BF58" s="848"/>
      <c r="BG58" s="685"/>
      <c r="BH58" s="848"/>
      <c r="BI58" s="848"/>
      <c r="BJ58" s="848"/>
      <c r="BK58" s="848"/>
      <c r="BL58" s="848"/>
      <c r="BM58" s="848"/>
      <c r="BN58" s="1229"/>
      <c r="BO58" s="721">
        <f t="shared" si="2"/>
        <v>0</v>
      </c>
    </row>
    <row r="59" spans="1:70" s="686" customFormat="1" x14ac:dyDescent="0.2">
      <c r="A59" s="840">
        <v>24</v>
      </c>
      <c r="B59" s="1712">
        <v>24</v>
      </c>
      <c r="C59" s="1613"/>
      <c r="D59" s="1248" t="str">
        <f>IF(AND(C59="",C57&lt;&gt;""),"Enter Facility "&amp;TEXT(A59,0)&amp;" Name, then Fill in Columns "&amp;TEXT($H$2,0)&amp;" - "&amp;TEXT($AH$2,0)&amp;"       ","")</f>
        <v/>
      </c>
      <c r="E59" s="1245" t="str">
        <f>IF(AL59="N/A","",AL59)</f>
        <v/>
      </c>
      <c r="F59" s="758"/>
      <c r="G59" s="758"/>
      <c r="H59" s="1614"/>
      <c r="I59" s="758"/>
      <c r="J59" s="1615"/>
      <c r="K59" s="1248" t="str">
        <f>IF(E59&lt;&gt;"","Enter Street Address                   ","")</f>
        <v/>
      </c>
      <c r="L59" s="1615"/>
      <c r="M59" s="1248" t="str">
        <f>IF(E59&lt;&gt;"","Enter City Name       ","")</f>
        <v/>
      </c>
      <c r="N59" s="1613"/>
      <c r="O59" s="1248" t="str">
        <f>IF(E59&lt;&gt;"","Select from Pull-Down List   ","")</f>
        <v/>
      </c>
      <c r="P59" s="1616"/>
      <c r="Q59" s="1248" t="str">
        <f>IF($E59&lt;&gt;"","Enter ZIP Code       ","")</f>
        <v/>
      </c>
      <c r="R59" s="1617"/>
      <c r="S59" s="1618" t="str">
        <f>IF($E59&lt;&gt;"","Select from Pull-Down List  ","")</f>
        <v/>
      </c>
      <c r="T59" s="1617"/>
      <c r="U59" s="1618" t="str">
        <f>IF(AND($C59&lt;&gt;"",T59=""),"Select from Pull-Down List  ","")</f>
        <v/>
      </c>
      <c r="V59" s="1619"/>
      <c r="W59" s="1248" t="str">
        <f>IF(E59&lt;&gt;"","Year?   ","")</f>
        <v/>
      </c>
      <c r="X59" s="1247"/>
      <c r="Y59" s="1620" t="str">
        <f>IF(E59&lt;&gt;"","Sq. Feet?   ","")</f>
        <v/>
      </c>
      <c r="Z59" s="1621"/>
      <c r="AA59" s="1618" t="str">
        <f>IF($E59&lt;&gt;"","% of Cap Resp.","")</f>
        <v/>
      </c>
      <c r="AB59" s="1782" t="str">
        <f ca="1">IFERROR(IF(BK59="", "", IF(BK59&gt;100, 1, VLOOKUP(BK59, Valid!$W$1:$AA$101, VLOOKUP(T59, Codes!$G$7:$I$17, 3, FALSE), FALSE))), "")</f>
        <v/>
      </c>
      <c r="AC59" s="1618"/>
      <c r="AD59" s="1247"/>
      <c r="AE59" s="1620" t="str">
        <f>IF($E59&lt;&gt;"","Drop-Down    ","")</f>
        <v/>
      </c>
      <c r="AF59" s="1720"/>
      <c r="AG59" s="1620" t="b">
        <f>IF(E59&lt;&gt;"","Date?   ")</f>
        <v>0</v>
      </c>
      <c r="AH59" s="1613"/>
      <c r="AI59" s="1248" t="str">
        <f>IF(OR(T59="Other (describe in Notes)",T59="Dual Administrative and Maintenance Facility"),"Describe Facility                                                                                         ","")</f>
        <v/>
      </c>
      <c r="AJ59" s="1624"/>
      <c r="AK59" s="1624" t="b">
        <f>IF(AND(C59="",C61&lt;&gt;""),TRUE,FALSE)</f>
        <v>0</v>
      </c>
      <c r="AL59" s="1624" t="str">
        <f>IF(AND($C59&lt;&gt;"",OR($J59="",$L59="",$N59="",$P59="",$R59="",$T59="",$V59="",$X59="",$Z59="",$AD59="",$AF59="")),"No",IF(AND($C59="",OR($H59&lt;&gt;"",$J59&lt;&gt;"",$L59&lt;&gt;"",$N59&lt;&gt;"",$P59&lt;&gt;"",$R59&lt;&gt;"",$T59&lt;&gt;"",$V59&lt;&gt;"",$X59&lt;&gt;"",$Z59&lt;&gt;"",$AD59&lt;&gt;"",$AF59&lt;&gt;"")),"N",IF(AND($H59="",$C59="",$J59="",$L59="",$N59="",$P59="",$R59="",$T59="",$V59="",$X59="",$Z59="",$AD59="",$AF59=""),"N/A",IF(AND($C59&lt;&gt;"",$J59&lt;&gt;"",$L59&lt;&gt;"",$N59&lt;&gt;"",$P59&lt;&gt;"",$R59&lt;&gt;"",$T59&lt;&gt;"",$V59&lt;&gt;"",$X59&lt;&gt;"",$Z59&lt;&gt;"",$AD59&lt;&gt;"",$AF59&lt;&gt;""),"Yes",""))))</f>
        <v>N/A</v>
      </c>
      <c r="AM59" s="1625" t="b">
        <f ca="1">IF(AND($C59="",OR($J59&lt;&gt;"",$L59&lt;&gt;"",$N59&lt;&gt;"",$P59&lt;&gt;"",$R59&lt;&gt;"",$T59&lt;&gt;"",$V59&lt;&gt;"",$X59&lt;&gt;"",$Z59&lt;&gt;"",$AB59&lt;&gt;"",$AF59&lt;&gt;"")),TRUE,FALSE)</f>
        <v>0</v>
      </c>
      <c r="AN59" s="1625" t="b">
        <f>IF(AND($C59&lt;&gt;"",$J59=""),TRUE,FALSE)</f>
        <v>0</v>
      </c>
      <c r="AO59" s="1625" t="b">
        <f>IF(AND($C59&lt;&gt;"",$L59=""),TRUE,FALSE)</f>
        <v>0</v>
      </c>
      <c r="AP59" s="1625" t="b">
        <f>IF(AND($C59&lt;&gt;"",$N59=""),TRUE,FALSE)</f>
        <v>0</v>
      </c>
      <c r="AQ59" s="1625" t="b">
        <f>IF(AND($C59&lt;&gt;"",$P59=""),TRUE,FALSE)</f>
        <v>0</v>
      </c>
      <c r="AR59" s="1625" t="b">
        <f>IF(AND($C59&lt;&gt;"",$R59=""),TRUE,FALSE)</f>
        <v>0</v>
      </c>
      <c r="AS59" s="1625"/>
      <c r="AT59" s="1625" t="b">
        <f ca="1">IF(AND(T59="",OR(V59&lt;&gt;"",X59&lt;&gt;"",Z59&lt;&gt;"",AB59&lt;&gt;"",AF59&lt;&gt;"")),TRUE,FALSE)</f>
        <v>0</v>
      </c>
      <c r="AU59" s="1625" t="b">
        <f>IF(AND($C59&lt;&gt;"",$T59=""),TRUE,FALSE)</f>
        <v>0</v>
      </c>
      <c r="AV59" s="1625" t="b">
        <f>IF(V59="",FALSE,IF(T59="",FALSE,IF(AW59=TRUE,FALSE,IF(OR(V59&lt;BI59,V59&gt;BaseYear),TRUE,FALSE))))</f>
        <v>0</v>
      </c>
      <c r="AW59" s="1625" t="b">
        <f>IF(AND($C59&lt;&gt;"",$V59=""),TRUE,FALSE)</f>
        <v>0</v>
      </c>
      <c r="AX59" s="1625" t="b">
        <f>IF(X59="",FALSE,IF(T59="",FALSE,IF(AZ59=TRUE,FALSE,IF(X59&lt;BL59,TRUE,FALSE))))</f>
        <v>0</v>
      </c>
      <c r="AY59" s="1625" t="b">
        <f>IF(X59="",FALSE,IF(T59="",FALSE,IF(AZ59=TRUE,FALSE,IF(X59&gt;BM59,TRUE,FALSE))))</f>
        <v>0</v>
      </c>
      <c r="AZ59" s="1625" t="b">
        <f>IF(AND($C59&lt;&gt;"",$X59=""),TRUE,FALSE)</f>
        <v>0</v>
      </c>
      <c r="BA59" s="1626" t="b">
        <f>IF(BB59=TRUE,FALSE,IF(OR(Z59&lt;0,Z59&gt;1),TRUE,FALSE))</f>
        <v>0</v>
      </c>
      <c r="BB59" s="1625" t="b">
        <f>IF(AND($C59&lt;&gt;"",$Z59=""),TRUE,FALSE)</f>
        <v>0</v>
      </c>
      <c r="BC59" s="1626"/>
      <c r="BD59" s="1625" t="b">
        <f ca="1">IF(AND($C59&lt;&gt;"",$AB59=""),TRUE,FALSE)</f>
        <v>0</v>
      </c>
      <c r="BE59" s="1626" t="b">
        <f>IF(OR(AF59="", V59=""),FALSE,IF(COUNT(FIND({0,1,2,3,4,5,6,7,8,9}, AF59))=0, FALSE, IF(YEAR(AF59)&lt;V59, TRUE, FALSE)))</f>
        <v>0</v>
      </c>
      <c r="BF59" s="1625" t="b">
        <f>IF(AND($C59&lt;&gt;"",$AF59=""),TRUE,FALSE)</f>
        <v>0</v>
      </c>
      <c r="BG59" s="721"/>
      <c r="BH59" s="1625" t="str">
        <f>IF($T59="","",VLOOKUP($T59,val_facilities,BH$3,FALSE))</f>
        <v/>
      </c>
      <c r="BI59" s="1627" t="str">
        <f>IF($T59="","",VLOOKUP($T59,val_facilities,BI$3,FALSE))</f>
        <v/>
      </c>
      <c r="BJ59" s="1627" t="str">
        <f>IF($T59="","",VLOOKUP($T59,val_facilities,BJ$3,FALSE))</f>
        <v/>
      </c>
      <c r="BK59" s="1627" t="str">
        <f ca="1">IFERROR(IF(V59="", "", YEAR(TODAY())-V59), "")</f>
        <v/>
      </c>
      <c r="BL59" s="845" t="str">
        <f>IF($T59="","",VLOOKUP($T59,val_facilities,BL$3,FALSE))</f>
        <v/>
      </c>
      <c r="BM59" s="845" t="str">
        <f>IF($T59="","",VLOOKUP($T59,val_facilities,BM$3,FALSE))</f>
        <v/>
      </c>
      <c r="BN59" s="758"/>
      <c r="BO59" s="721">
        <f t="shared" si="2"/>
        <v>0</v>
      </c>
      <c r="BP59" s="816"/>
      <c r="BQ59" s="816"/>
      <c r="BR59" s="816"/>
    </row>
    <row r="60" spans="1:70" s="686" customFormat="1" ht="6.75" customHeight="1" thickBot="1" x14ac:dyDescent="0.25">
      <c r="A60" s="1638"/>
      <c r="B60" s="1712">
        <v>24.5</v>
      </c>
      <c r="C60" s="1057"/>
      <c r="D60" s="1248"/>
      <c r="E60" s="1639"/>
      <c r="F60" s="1229"/>
      <c r="G60" s="1229"/>
      <c r="H60" s="1229"/>
      <c r="I60" s="1229"/>
      <c r="J60" s="1604"/>
      <c r="K60" s="1640"/>
      <c r="L60" s="1645"/>
      <c r="M60" s="1646"/>
      <c r="N60" s="1645"/>
      <c r="O60" s="1646"/>
      <c r="P60" s="1647"/>
      <c r="Q60" s="1646"/>
      <c r="R60" s="1057"/>
      <c r="S60" s="1618"/>
      <c r="T60" s="1643"/>
      <c r="U60" s="1618"/>
      <c r="V60" s="1623"/>
      <c r="W60" s="1618"/>
      <c r="X60" s="722"/>
      <c r="Y60" s="1648"/>
      <c r="Z60" s="841"/>
      <c r="AA60" s="1648"/>
      <c r="AB60" s="722"/>
      <c r="AC60" s="1648"/>
      <c r="AD60" s="722"/>
      <c r="AE60" s="1648"/>
      <c r="AF60" s="1717"/>
      <c r="AG60" s="1648"/>
      <c r="AH60" s="1057"/>
      <c r="AI60" s="1644"/>
      <c r="AJ60" s="1644"/>
      <c r="AK60" s="1644"/>
      <c r="AL60" s="1644"/>
      <c r="AM60" s="1625"/>
      <c r="AN60" s="1625"/>
      <c r="AO60" s="1625"/>
      <c r="AP60" s="1625"/>
      <c r="AQ60" s="1625"/>
      <c r="AR60" s="848"/>
      <c r="AS60" s="848"/>
      <c r="AT60" s="848"/>
      <c r="AU60" s="848"/>
      <c r="AV60" s="848"/>
      <c r="AW60" s="848"/>
      <c r="AX60" s="848"/>
      <c r="AY60" s="848"/>
      <c r="AZ60" s="848"/>
      <c r="BA60" s="848"/>
      <c r="BB60" s="848"/>
      <c r="BC60" s="848"/>
      <c r="BD60" s="848"/>
      <c r="BE60" s="848"/>
      <c r="BF60" s="848"/>
      <c r="BG60" s="685"/>
      <c r="BH60" s="848"/>
      <c r="BI60" s="848"/>
      <c r="BJ60" s="848"/>
      <c r="BK60" s="848"/>
      <c r="BL60" s="848"/>
      <c r="BM60" s="848"/>
      <c r="BN60" s="1229"/>
      <c r="BO60" s="721">
        <f t="shared" si="2"/>
        <v>0</v>
      </c>
    </row>
    <row r="61" spans="1:70" s="686" customFormat="1" x14ac:dyDescent="0.2">
      <c r="A61" s="840">
        <v>25</v>
      </c>
      <c r="B61" s="1712">
        <v>25</v>
      </c>
      <c r="C61" s="1613"/>
      <c r="D61" s="1248" t="str">
        <f>IF(AND(C61="",C59&lt;&gt;""),"Enter Facility "&amp;TEXT(A61,0)&amp;" Name, then Fill in Columns "&amp;TEXT($H$2,0)&amp;" - "&amp;TEXT($AH$2,0)&amp;"       ","")</f>
        <v/>
      </c>
      <c r="E61" s="1245" t="str">
        <f>IF(AL61="N/A","",AL61)</f>
        <v/>
      </c>
      <c r="F61" s="758"/>
      <c r="G61" s="758"/>
      <c r="H61" s="1614"/>
      <c r="I61" s="758"/>
      <c r="J61" s="1615"/>
      <c r="K61" s="1248" t="str">
        <f>IF(E61&lt;&gt;"","Enter Street Address                   ","")</f>
        <v/>
      </c>
      <c r="L61" s="1615"/>
      <c r="M61" s="1248" t="str">
        <f>IF(E61&lt;&gt;"","Enter City Name       ","")</f>
        <v/>
      </c>
      <c r="N61" s="1613"/>
      <c r="O61" s="1248" t="str">
        <f>IF(E61&lt;&gt;"","Select from Pull-Down List   ","")</f>
        <v/>
      </c>
      <c r="P61" s="1616"/>
      <c r="Q61" s="1248" t="str">
        <f>IF($E61&lt;&gt;"","Enter ZIP Code       ","")</f>
        <v/>
      </c>
      <c r="R61" s="1617"/>
      <c r="S61" s="1618" t="str">
        <f>IF($E61&lt;&gt;"","Select from Pull-Down List  ","")</f>
        <v/>
      </c>
      <c r="T61" s="1617"/>
      <c r="U61" s="1618" t="str">
        <f>IF(AND($C61&lt;&gt;"",T61=""),"Select from Pull-Down List  ","")</f>
        <v/>
      </c>
      <c r="V61" s="1619"/>
      <c r="W61" s="1248" t="str">
        <f>IF(E61&lt;&gt;"","Year?   ","")</f>
        <v/>
      </c>
      <c r="X61" s="1247"/>
      <c r="Y61" s="1620" t="str">
        <f>IF(E61&lt;&gt;"","Sq. Feet?   ","")</f>
        <v/>
      </c>
      <c r="Z61" s="1621"/>
      <c r="AA61" s="1618" t="str">
        <f>IF($E61&lt;&gt;"","% of Cap Resp.","")</f>
        <v/>
      </c>
      <c r="AB61" s="1782" t="str">
        <f ca="1">IFERROR(IF(BK61="", "", IF(BK61&gt;100, 1, VLOOKUP(BK61, Valid!$W$1:$AA$101, VLOOKUP(T61, Codes!$G$7:$I$17, 3, FALSE), FALSE))), "")</f>
        <v/>
      </c>
      <c r="AC61" s="1618"/>
      <c r="AD61" s="1247"/>
      <c r="AE61" s="1620" t="str">
        <f>IF($E61&lt;&gt;"","Drop-Down    ","")</f>
        <v/>
      </c>
      <c r="AF61" s="1720"/>
      <c r="AG61" s="1620" t="b">
        <f>IF(E61&lt;&gt;"","Date?   ")</f>
        <v>0</v>
      </c>
      <c r="AH61" s="1613"/>
      <c r="AI61" s="1248" t="str">
        <f>IF(OR(T61="Other (describe in Notes)",T61="Dual Administrative and Maintenance Facility"),"Describe Facility                                                                                         ","")</f>
        <v/>
      </c>
      <c r="AJ61" s="1624"/>
      <c r="AK61" s="1624" t="b">
        <f>IF(AND(C61="",C63&lt;&gt;""),TRUE,FALSE)</f>
        <v>0</v>
      </c>
      <c r="AL61" s="1624" t="str">
        <f>IF(AND($C61&lt;&gt;"",OR($J61="",$L61="",$N61="",$P61="",$R61="",$T61="",$V61="",$X61="",$Z61="",$AD61="",$AF61="")),"No",IF(AND($C61="",OR($H61&lt;&gt;"",$J61&lt;&gt;"",$L61&lt;&gt;"",$N61&lt;&gt;"",$P61&lt;&gt;"",$R61&lt;&gt;"",$T61&lt;&gt;"",$V61&lt;&gt;"",$X61&lt;&gt;"",$Z61&lt;&gt;"",$AD61&lt;&gt;"",$AF61&lt;&gt;"")),"N",IF(AND($H61="",$C61="",$J61="",$L61="",$N61="",$P61="",$R61="",$T61="",$V61="",$X61="",$Z61="",$AD61="",$AF61=""),"N/A",IF(AND($C61&lt;&gt;"",$J61&lt;&gt;"",$L61&lt;&gt;"",$N61&lt;&gt;"",$P61&lt;&gt;"",$R61&lt;&gt;"",$T61&lt;&gt;"",$V61&lt;&gt;"",$X61&lt;&gt;"",$Z61&lt;&gt;"",$AD61&lt;&gt;"",$AF61&lt;&gt;""),"Yes",""))))</f>
        <v>N/A</v>
      </c>
      <c r="AM61" s="1625" t="b">
        <f ca="1">IF(AND($C61="",OR($J61&lt;&gt;"",$L61&lt;&gt;"",$N61&lt;&gt;"",$P61&lt;&gt;"",$R61&lt;&gt;"",$T61&lt;&gt;"",$V61&lt;&gt;"",$X61&lt;&gt;"",$Z61&lt;&gt;"",$AB61&lt;&gt;"",$AF61&lt;&gt;"")),TRUE,FALSE)</f>
        <v>0</v>
      </c>
      <c r="AN61" s="1625" t="b">
        <f>IF(AND($C61&lt;&gt;"",$J61=""),TRUE,FALSE)</f>
        <v>0</v>
      </c>
      <c r="AO61" s="1625" t="b">
        <f>IF(AND($C61&lt;&gt;"",$L61=""),TRUE,FALSE)</f>
        <v>0</v>
      </c>
      <c r="AP61" s="1625" t="b">
        <f>IF(AND($C61&lt;&gt;"",$N61=""),TRUE,FALSE)</f>
        <v>0</v>
      </c>
      <c r="AQ61" s="1625" t="b">
        <f>IF(AND($C61&lt;&gt;"",$P61=""),TRUE,FALSE)</f>
        <v>0</v>
      </c>
      <c r="AR61" s="1625" t="b">
        <f>IF(AND($C61&lt;&gt;"",$R61=""),TRUE,FALSE)</f>
        <v>0</v>
      </c>
      <c r="AS61" s="1625"/>
      <c r="AT61" s="1625" t="b">
        <f ca="1">IF(AND(T61="",OR(V61&lt;&gt;"",X61&lt;&gt;"",Z61&lt;&gt;"",AB61&lt;&gt;"",AF61&lt;&gt;"")),TRUE,FALSE)</f>
        <v>0</v>
      </c>
      <c r="AU61" s="1625" t="b">
        <f>IF(AND($C61&lt;&gt;"",$T61=""),TRUE,FALSE)</f>
        <v>0</v>
      </c>
      <c r="AV61" s="1625" t="b">
        <f>IF(V61="",FALSE,IF(T61="",FALSE,IF(AW61=TRUE,FALSE,IF(OR(V61&lt;BI61,V61&gt;BaseYear),TRUE,FALSE))))</f>
        <v>0</v>
      </c>
      <c r="AW61" s="1625" t="b">
        <f>IF(AND($C61&lt;&gt;"",$V61=""),TRUE,FALSE)</f>
        <v>0</v>
      </c>
      <c r="AX61" s="1625" t="b">
        <f>IF(X61="",FALSE,IF(T61="",FALSE,IF(AZ61=TRUE,FALSE,IF(X61&lt;BL61,TRUE,FALSE))))</f>
        <v>0</v>
      </c>
      <c r="AY61" s="1625" t="b">
        <f>IF(X61="",FALSE,IF(T61="",FALSE,IF(AZ61=TRUE,FALSE,IF(X61&gt;BM61,TRUE,FALSE))))</f>
        <v>0</v>
      </c>
      <c r="AZ61" s="1625" t="b">
        <f>IF(AND($C61&lt;&gt;"",$X61=""),TRUE,FALSE)</f>
        <v>0</v>
      </c>
      <c r="BA61" s="1626" t="b">
        <f>IF(BB61=TRUE,FALSE,IF(OR(Z61&lt;0,Z61&gt;1),TRUE,FALSE))</f>
        <v>0</v>
      </c>
      <c r="BB61" s="1625" t="b">
        <f>IF(AND($C61&lt;&gt;"",$Z61=""),TRUE,FALSE)</f>
        <v>0</v>
      </c>
      <c r="BC61" s="1626"/>
      <c r="BD61" s="1625" t="b">
        <f ca="1">IF(AND($C61&lt;&gt;"",$AB61=""),TRUE,FALSE)</f>
        <v>0</v>
      </c>
      <c r="BE61" s="1626" t="b">
        <f>IF(OR(AF61="", V61=""),FALSE,IF(COUNT(FIND({0,1,2,3,4,5,6,7,8,9}, AF61))=0, FALSE, IF(YEAR(AF61)&lt;V61, TRUE, FALSE)))</f>
        <v>0</v>
      </c>
      <c r="BF61" s="1625" t="b">
        <f>IF(AND($C61&lt;&gt;"",$AF61=""),TRUE,FALSE)</f>
        <v>0</v>
      </c>
      <c r="BG61" s="721"/>
      <c r="BH61" s="1625" t="str">
        <f>IF($T61="","",VLOOKUP($T61,val_facilities,BH$3,FALSE))</f>
        <v/>
      </c>
      <c r="BI61" s="1627" t="str">
        <f>IF($T61="","",VLOOKUP($T61,val_facilities,BI$3,FALSE))</f>
        <v/>
      </c>
      <c r="BJ61" s="1627" t="str">
        <f>IF($T61="","",VLOOKUP($T61,val_facilities,BJ$3,FALSE))</f>
        <v/>
      </c>
      <c r="BK61" s="1627" t="str">
        <f ca="1">IFERROR(IF(V61="", "", YEAR(TODAY())-V61), "")</f>
        <v/>
      </c>
      <c r="BL61" s="845" t="str">
        <f>IF($T61="","",VLOOKUP($T61,val_facilities,BL$3,FALSE))</f>
        <v/>
      </c>
      <c r="BM61" s="845" t="str">
        <f>IF($T61="","",VLOOKUP($T61,val_facilities,BM$3,FALSE))</f>
        <v/>
      </c>
      <c r="BN61" s="758"/>
      <c r="BO61" s="721">
        <f t="shared" si="2"/>
        <v>0</v>
      </c>
      <c r="BP61" s="816"/>
      <c r="BQ61" s="816"/>
      <c r="BR61" s="816"/>
    </row>
    <row r="62" spans="1:70" s="686" customFormat="1" ht="6.75" customHeight="1" thickBot="1" x14ac:dyDescent="0.25">
      <c r="A62" s="1638"/>
      <c r="B62" s="1712">
        <v>25.5</v>
      </c>
      <c r="C62" s="1057"/>
      <c r="D62" s="764"/>
      <c r="E62" s="1057"/>
      <c r="F62" s="1229"/>
      <c r="G62" s="1229"/>
      <c r="H62" s="1229"/>
      <c r="I62" s="1229"/>
      <c r="J62" s="1604"/>
      <c r="K62" s="1229"/>
      <c r="L62" s="1605"/>
      <c r="M62" s="1644"/>
      <c r="N62" s="1605"/>
      <c r="O62" s="1644"/>
      <c r="P62" s="1606"/>
      <c r="Q62" s="1644"/>
      <c r="R62" s="1057"/>
      <c r="S62" s="1623"/>
      <c r="T62" s="1643"/>
      <c r="U62" s="1623"/>
      <c r="V62" s="1623"/>
      <c r="W62" s="1623"/>
      <c r="X62" s="722"/>
      <c r="Y62" s="841"/>
      <c r="Z62" s="841"/>
      <c r="AA62" s="841"/>
      <c r="AB62" s="722"/>
      <c r="AC62" s="841"/>
      <c r="AD62" s="722"/>
      <c r="AE62" s="841"/>
      <c r="AF62" s="1717"/>
      <c r="AG62" s="841"/>
      <c r="AH62" s="1057"/>
      <c r="AI62" s="1644"/>
      <c r="AJ62" s="1644"/>
      <c r="AK62" s="1644"/>
      <c r="AL62" s="1644"/>
      <c r="AM62" s="1625"/>
      <c r="AN62" s="1625"/>
      <c r="AO62" s="1625"/>
      <c r="AP62" s="1625"/>
      <c r="AQ62" s="1625"/>
      <c r="AR62" s="848"/>
      <c r="AS62" s="848"/>
      <c r="AT62" s="848"/>
      <c r="AU62" s="848"/>
      <c r="AV62" s="848"/>
      <c r="AW62" s="848"/>
      <c r="AX62" s="848"/>
      <c r="AY62" s="848"/>
      <c r="AZ62" s="848"/>
      <c r="BA62" s="848"/>
      <c r="BB62" s="848"/>
      <c r="BC62" s="848"/>
      <c r="BD62" s="848"/>
      <c r="BE62" s="848"/>
      <c r="BF62" s="848"/>
      <c r="BG62" s="685"/>
      <c r="BH62" s="848"/>
      <c r="BI62" s="848"/>
      <c r="BJ62" s="848"/>
      <c r="BK62" s="848"/>
      <c r="BL62" s="848"/>
      <c r="BM62" s="848"/>
      <c r="BN62" s="1229"/>
      <c r="BO62" s="721">
        <f t="shared" si="2"/>
        <v>0</v>
      </c>
    </row>
    <row r="63" spans="1:70" s="816" customFormat="1" x14ac:dyDescent="0.2">
      <c r="A63" s="840">
        <v>26</v>
      </c>
      <c r="B63" s="1712">
        <v>26</v>
      </c>
      <c r="C63" s="1613"/>
      <c r="D63" s="1248" t="str">
        <f>IF(AND(C63="",C61&lt;&gt;""),"Enter Facility "&amp;TEXT(A63,0)&amp;" Name, then Fill in Columns "&amp;TEXT($H$2,0)&amp;" - "&amp;TEXT($AH$2,0)&amp;"       ","")</f>
        <v/>
      </c>
      <c r="E63" s="1245" t="str">
        <f>IF(AL63="N/A","",AL63)</f>
        <v/>
      </c>
      <c r="F63" s="758"/>
      <c r="G63" s="758"/>
      <c r="H63" s="1614"/>
      <c r="I63" s="758"/>
      <c r="J63" s="1615"/>
      <c r="K63" s="1248" t="str">
        <f>IF(E63&lt;&gt;"","Enter Street Address                   ","")</f>
        <v/>
      </c>
      <c r="L63" s="1615"/>
      <c r="M63" s="1248" t="str">
        <f>IF(E63&lt;&gt;"","Enter City Name       ","")</f>
        <v/>
      </c>
      <c r="N63" s="1613"/>
      <c r="O63" s="1248" t="str">
        <f>IF(E63&lt;&gt;"","Select from Pull-Down List   ","")</f>
        <v/>
      </c>
      <c r="P63" s="1616"/>
      <c r="Q63" s="1248" t="str">
        <f>IF($E63&lt;&gt;"","Enter ZIP Code       ","")</f>
        <v/>
      </c>
      <c r="R63" s="1617"/>
      <c r="S63" s="1618" t="str">
        <f>IF($E63&lt;&gt;"","Select from Pull-Down List  ","")</f>
        <v/>
      </c>
      <c r="T63" s="1617"/>
      <c r="U63" s="1618" t="str">
        <f>IF(AND($C63&lt;&gt;"",T63=""),"Select from Pull-Down List  ","")</f>
        <v/>
      </c>
      <c r="V63" s="1619"/>
      <c r="W63" s="1248" t="str">
        <f>IF(E63&lt;&gt;"","Year?   ","")</f>
        <v/>
      </c>
      <c r="X63" s="1247"/>
      <c r="Y63" s="1620" t="str">
        <f>IF(E63&lt;&gt;"","Sq. Feet?   ","")</f>
        <v/>
      </c>
      <c r="Z63" s="1621"/>
      <c r="AA63" s="1618" t="str">
        <f>IF($E63&lt;&gt;"","% of Cap Resp.","")</f>
        <v/>
      </c>
      <c r="AB63" s="1782" t="str">
        <f ca="1">IFERROR(IF(BK63="", "", IF(BK63&gt;100, 1, VLOOKUP(BK63, Valid!$W$1:$AA$101, VLOOKUP(T63, Codes!$G$7:$I$17, 3, FALSE), FALSE))), "")</f>
        <v/>
      </c>
      <c r="AC63" s="1618"/>
      <c r="AD63" s="1247"/>
      <c r="AE63" s="1620" t="str">
        <f>IF($E63&lt;&gt;"","Drop-Down    ","")</f>
        <v/>
      </c>
      <c r="AF63" s="1720"/>
      <c r="AG63" s="1620" t="b">
        <f>IF(E63&lt;&gt;"","Date?   ")</f>
        <v>0</v>
      </c>
      <c r="AH63" s="1613"/>
      <c r="AI63" s="1248" t="str">
        <f>IF(OR(T63="Other (describe in Notes)",T63="Dual Administrative and Maintenance Facility"),"Describe Facility                                                                                         ","")</f>
        <v/>
      </c>
      <c r="AJ63" s="1624"/>
      <c r="AK63" s="1624" t="b">
        <f>IF(AND(C63="",C65&lt;&gt;""),TRUE,FALSE)</f>
        <v>0</v>
      </c>
      <c r="AL63" s="1624" t="str">
        <f>IF(AND($C63&lt;&gt;"",OR($J63="",$L63="",$N63="",$P63="",$R63="",$T63="",$V63="",$X63="",$Z63="",$AD63="",$AF63="")),"No",IF(AND($C63="",OR($H63&lt;&gt;"",$J63&lt;&gt;"",$L63&lt;&gt;"",$N63&lt;&gt;"",$P63&lt;&gt;"",$R63&lt;&gt;"",$T63&lt;&gt;"",$V63&lt;&gt;"",$X63&lt;&gt;"",$Z63&lt;&gt;"",$AD63&lt;&gt;"",$AF63&lt;&gt;"")),"N",IF(AND($H63="",$C63="",$J63="",$L63="",$N63="",$P63="",$R63="",$T63="",$V63="",$X63="",$Z63="",$AD63="",$AF63=""),"N/A",IF(AND($C63&lt;&gt;"",$J63&lt;&gt;"",$L63&lt;&gt;"",$N63&lt;&gt;"",$P63&lt;&gt;"",$R63&lt;&gt;"",$T63&lt;&gt;"",$V63&lt;&gt;"",$X63&lt;&gt;"",$Z63&lt;&gt;"",$AD63&lt;&gt;"",$AF63&lt;&gt;""),"Yes",""))))</f>
        <v>N/A</v>
      </c>
      <c r="AM63" s="1625" t="b">
        <f ca="1">IF(AND($C63="",OR($J63&lt;&gt;"",$L63&lt;&gt;"",$N63&lt;&gt;"",$P63&lt;&gt;"",$R63&lt;&gt;"",$T63&lt;&gt;"",$V63&lt;&gt;"",$X63&lt;&gt;"",$Z63&lt;&gt;"",$AB63&lt;&gt;"",$AF63&lt;&gt;"")),TRUE,FALSE)</f>
        <v>0</v>
      </c>
      <c r="AN63" s="1625" t="b">
        <f>IF(AND($C63&lt;&gt;"",$J63=""),TRUE,FALSE)</f>
        <v>0</v>
      </c>
      <c r="AO63" s="1625" t="b">
        <f>IF(AND($C63&lt;&gt;"",$L63=""),TRUE,FALSE)</f>
        <v>0</v>
      </c>
      <c r="AP63" s="1625" t="b">
        <f>IF(AND($C63&lt;&gt;"",$N63=""),TRUE,FALSE)</f>
        <v>0</v>
      </c>
      <c r="AQ63" s="1625" t="b">
        <f>IF(AND($C63&lt;&gt;"",$P63=""),TRUE,FALSE)</f>
        <v>0</v>
      </c>
      <c r="AR63" s="1625" t="b">
        <f>IF(AND($C63&lt;&gt;"",$R63=""),TRUE,FALSE)</f>
        <v>0</v>
      </c>
      <c r="AS63" s="1625"/>
      <c r="AT63" s="1625" t="b">
        <f ca="1">IF(AND(T63="",OR(V63&lt;&gt;"",X63&lt;&gt;"",Z63&lt;&gt;"",AB63&lt;&gt;"",AF63&lt;&gt;"")),TRUE,FALSE)</f>
        <v>0</v>
      </c>
      <c r="AU63" s="1625" t="b">
        <f>IF(AND($C63&lt;&gt;"",$T63=""),TRUE,FALSE)</f>
        <v>0</v>
      </c>
      <c r="AV63" s="1625" t="b">
        <f>IF(V63="",FALSE,IF(T63="",FALSE,IF(AW63=TRUE,FALSE,IF(OR(V63&lt;BI63,V63&gt;BaseYear),TRUE,FALSE))))</f>
        <v>0</v>
      </c>
      <c r="AW63" s="1625" t="b">
        <f>IF(AND($C63&lt;&gt;"",$V63=""),TRUE,FALSE)</f>
        <v>0</v>
      </c>
      <c r="AX63" s="1625" t="b">
        <f>IF(X63="",FALSE,IF(T63="",FALSE,IF(AZ63=TRUE,FALSE,IF(X63&lt;BL63,TRUE,FALSE))))</f>
        <v>0</v>
      </c>
      <c r="AY63" s="1625" t="b">
        <f>IF(X63="",FALSE,IF(T63="",FALSE,IF(AZ63=TRUE,FALSE,IF(X63&gt;BM63,TRUE,FALSE))))</f>
        <v>0</v>
      </c>
      <c r="AZ63" s="1625" t="b">
        <f>IF(AND($C63&lt;&gt;"",$X63=""),TRUE,FALSE)</f>
        <v>0</v>
      </c>
      <c r="BA63" s="1626" t="b">
        <f>IF(BB63=TRUE,FALSE,IF(OR(Z63&lt;0,Z63&gt;1),TRUE,FALSE))</f>
        <v>0</v>
      </c>
      <c r="BB63" s="1625" t="b">
        <f>IF(AND($C63&lt;&gt;"",$Z63=""),TRUE,FALSE)</f>
        <v>0</v>
      </c>
      <c r="BC63" s="1626"/>
      <c r="BD63" s="1625" t="b">
        <f ca="1">IF(AND($C63&lt;&gt;"",$AB63=""),TRUE,FALSE)</f>
        <v>0</v>
      </c>
      <c r="BE63" s="1626" t="b">
        <f>IF(OR(AF63="", V63=""),FALSE,IF(COUNT(FIND({0,1,2,3,4,5,6,7,8,9}, AF63))=0, FALSE, IF(YEAR(AF63)&lt;V63, TRUE, FALSE)))</f>
        <v>0</v>
      </c>
      <c r="BF63" s="1625" t="b">
        <f>IF(AND($C63&lt;&gt;"",$AF63=""),TRUE,FALSE)</f>
        <v>0</v>
      </c>
      <c r="BG63" s="721"/>
      <c r="BH63" s="1625" t="str">
        <f>IF($T63="","",VLOOKUP($T63,val_facilities,BH$3,FALSE))</f>
        <v/>
      </c>
      <c r="BI63" s="1627" t="str">
        <f>IF($T63="","",VLOOKUP($T63,val_facilities,BI$3,FALSE))</f>
        <v/>
      </c>
      <c r="BJ63" s="1627" t="str">
        <f>IF($T63="","",VLOOKUP($T63,val_facilities,BJ$3,FALSE))</f>
        <v/>
      </c>
      <c r="BK63" s="1627" t="str">
        <f ca="1">IFERROR(IF(V63="", "", YEAR(TODAY())-V63), "")</f>
        <v/>
      </c>
      <c r="BL63" s="845" t="str">
        <f>IF($T63="","",VLOOKUP($T63,val_facilities,BL$3,FALSE))</f>
        <v/>
      </c>
      <c r="BM63" s="845" t="str">
        <f>IF($T63="","",VLOOKUP($T63,val_facilities,BM$3,FALSE))</f>
        <v/>
      </c>
      <c r="BN63" s="758"/>
      <c r="BO63" s="721">
        <f t="shared" si="2"/>
        <v>0</v>
      </c>
    </row>
    <row r="64" spans="1:70" s="816" customFormat="1" ht="6.75" customHeight="1" thickBot="1" x14ac:dyDescent="0.25">
      <c r="A64" s="840"/>
      <c r="B64" s="1712">
        <v>26.5</v>
      </c>
      <c r="C64" s="721"/>
      <c r="D64" s="1248"/>
      <c r="F64" s="758"/>
      <c r="G64" s="758"/>
      <c r="H64" s="758"/>
      <c r="I64" s="758"/>
      <c r="J64" s="1633"/>
      <c r="K64" s="1248"/>
      <c r="L64" s="1634"/>
      <c r="M64" s="1248"/>
      <c r="N64" s="1634"/>
      <c r="O64" s="1248"/>
      <c r="P64" s="1635"/>
      <c r="Q64" s="1248"/>
      <c r="R64" s="1059"/>
      <c r="S64" s="1618"/>
      <c r="T64" s="1636"/>
      <c r="U64" s="1618"/>
      <c r="V64" s="1623"/>
      <c r="W64" s="1618"/>
      <c r="X64" s="722"/>
      <c r="Y64" s="723"/>
      <c r="Z64" s="724"/>
      <c r="AA64" s="723"/>
      <c r="AB64" s="722"/>
      <c r="AC64" s="723"/>
      <c r="AD64" s="722"/>
      <c r="AE64" s="723"/>
      <c r="AF64" s="1717"/>
      <c r="AG64" s="723"/>
      <c r="AH64" s="1637"/>
      <c r="AI64" s="1624"/>
      <c r="AJ64" s="1624"/>
      <c r="AK64" s="1624"/>
      <c r="AL64" s="1624"/>
      <c r="AM64" s="1625"/>
      <c r="AN64" s="1625"/>
      <c r="AO64" s="1625"/>
      <c r="AP64" s="1625"/>
      <c r="AQ64" s="1625"/>
      <c r="AR64" s="1625"/>
      <c r="AS64" s="1625"/>
      <c r="AT64" s="1625"/>
      <c r="AU64" s="1625"/>
      <c r="AV64" s="1626"/>
      <c r="AW64" s="1626"/>
      <c r="AX64" s="1626"/>
      <c r="AY64" s="1626"/>
      <c r="AZ64" s="1626"/>
      <c r="BA64" s="1626"/>
      <c r="BB64" s="1626"/>
      <c r="BC64" s="1626"/>
      <c r="BD64" s="1626"/>
      <c r="BE64" s="1626"/>
      <c r="BF64" s="1626"/>
      <c r="BG64" s="721"/>
      <c r="BH64" s="1626"/>
      <c r="BI64" s="1626"/>
      <c r="BJ64" s="1626"/>
      <c r="BK64" s="1626"/>
      <c r="BL64" s="1626"/>
      <c r="BM64" s="1626"/>
      <c r="BN64" s="758"/>
      <c r="BO64" s="721">
        <f t="shared" si="2"/>
        <v>0</v>
      </c>
    </row>
    <row r="65" spans="1:70" s="816" customFormat="1" x14ac:dyDescent="0.2">
      <c r="A65" s="840">
        <v>27</v>
      </c>
      <c r="B65" s="1712">
        <v>27</v>
      </c>
      <c r="C65" s="1613"/>
      <c r="D65" s="1248" t="str">
        <f>IF(AND(C65="",C63&lt;&gt;""),"Enter Facility "&amp;TEXT(A65,0)&amp;" Name, then Fill in Columns "&amp;TEXT($H$2,0)&amp;" - "&amp;TEXT($AH$2,0)&amp;"       ","")</f>
        <v/>
      </c>
      <c r="E65" s="1245" t="str">
        <f>IF(AL65="N/A","",AL65)</f>
        <v/>
      </c>
      <c r="F65" s="758"/>
      <c r="G65" s="758"/>
      <c r="H65" s="1614"/>
      <c r="I65" s="758"/>
      <c r="J65" s="1615"/>
      <c r="K65" s="1248" t="str">
        <f>IF(E65&lt;&gt;"","Enter Street Address                   ","")</f>
        <v/>
      </c>
      <c r="L65" s="1615"/>
      <c r="M65" s="1248" t="str">
        <f>IF(E65&lt;&gt;"","Enter City Name       ","")</f>
        <v/>
      </c>
      <c r="N65" s="1613"/>
      <c r="O65" s="1248" t="str">
        <f>IF(E65&lt;&gt;"","Select from Pull-Down List   ","")</f>
        <v/>
      </c>
      <c r="P65" s="1616"/>
      <c r="Q65" s="1248" t="str">
        <f>IF($E65&lt;&gt;"","Enter ZIP Code       ","")</f>
        <v/>
      </c>
      <c r="R65" s="1617"/>
      <c r="S65" s="1618" t="str">
        <f>IF($E65&lt;&gt;"","Select from Pull-Down List  ","")</f>
        <v/>
      </c>
      <c r="T65" s="1617"/>
      <c r="U65" s="1618" t="str">
        <f>IF(AND($C65&lt;&gt;"",T65=""),"Select from Pull-Down List  ","")</f>
        <v/>
      </c>
      <c r="V65" s="1619"/>
      <c r="W65" s="1248" t="str">
        <f>IF(E65&lt;&gt;"","Year?   ","")</f>
        <v/>
      </c>
      <c r="X65" s="1247"/>
      <c r="Y65" s="1620" t="str">
        <f>IF(E65&lt;&gt;"","Sq. Feet?   ","")</f>
        <v/>
      </c>
      <c r="Z65" s="1621"/>
      <c r="AA65" s="1618" t="str">
        <f>IF($E65&lt;&gt;"","% of Cap Resp.","")</f>
        <v/>
      </c>
      <c r="AB65" s="1782" t="str">
        <f ca="1">IFERROR(IF(BK65="", "", IF(BK65&gt;100, 1, VLOOKUP(BK65, Valid!$W$1:$AA$101, VLOOKUP(T65, Codes!$G$7:$I$17, 3, FALSE), FALSE))), "")</f>
        <v/>
      </c>
      <c r="AC65" s="1618"/>
      <c r="AD65" s="1247"/>
      <c r="AE65" s="1620" t="str">
        <f>IF($E65&lt;&gt;"","Drop-Down    ","")</f>
        <v/>
      </c>
      <c r="AF65" s="1720"/>
      <c r="AG65" s="1620" t="b">
        <f>IF(E65&lt;&gt;"","Date?   ")</f>
        <v>0</v>
      </c>
      <c r="AH65" s="1613"/>
      <c r="AI65" s="1248" t="str">
        <f>IF(OR(T65="Other (describe in Notes)",T65="Dual Administrative and Maintenance Facility"),"Describe Facility                                                                                         ","")</f>
        <v/>
      </c>
      <c r="AJ65" s="1624"/>
      <c r="AK65" s="1624" t="b">
        <f>IF(AND(C65="",C67&lt;&gt;""),TRUE,FALSE)</f>
        <v>0</v>
      </c>
      <c r="AL65" s="1624" t="str">
        <f>IF(AND($C65&lt;&gt;"",OR($J65="",$L65="",$N65="",$P65="",$R65="",$T65="",$V65="",$X65="",$Z65="",$AD65="",$AF65="")),"No",IF(AND($C65="",OR($H65&lt;&gt;"",$J65&lt;&gt;"",$L65&lt;&gt;"",$N65&lt;&gt;"",$P65&lt;&gt;"",$R65&lt;&gt;"",$T65&lt;&gt;"",$V65&lt;&gt;"",$X65&lt;&gt;"",$Z65&lt;&gt;"",$AD65&lt;&gt;"",$AF65&lt;&gt;"")),"N",IF(AND($H65="",$C65="",$J65="",$L65="",$N65="",$P65="",$R65="",$T65="",$V65="",$X65="",$Z65="",$AD65="",$AF65=""),"N/A",IF(AND($C65&lt;&gt;"",$J65&lt;&gt;"",$L65&lt;&gt;"",$N65&lt;&gt;"",$P65&lt;&gt;"",$R65&lt;&gt;"",$T65&lt;&gt;"",$V65&lt;&gt;"",$X65&lt;&gt;"",$Z65&lt;&gt;"",$AD65&lt;&gt;"",$AF65&lt;&gt;""),"Yes",""))))</f>
        <v>N/A</v>
      </c>
      <c r="AM65" s="1625" t="b">
        <f ca="1">IF(AND($C65="",OR($J65&lt;&gt;"",$L65&lt;&gt;"",$N65&lt;&gt;"",$P65&lt;&gt;"",$R65&lt;&gt;"",$T65&lt;&gt;"",$V65&lt;&gt;"",$X65&lt;&gt;"",$Z65&lt;&gt;"",$AB65&lt;&gt;"",$AF65&lt;&gt;"")),TRUE,FALSE)</f>
        <v>0</v>
      </c>
      <c r="AN65" s="1625" t="b">
        <f>IF(AND($C65&lt;&gt;"",$J65=""),TRUE,FALSE)</f>
        <v>0</v>
      </c>
      <c r="AO65" s="1625" t="b">
        <f>IF(AND($C65&lt;&gt;"",$L65=""),TRUE,FALSE)</f>
        <v>0</v>
      </c>
      <c r="AP65" s="1625" t="b">
        <f>IF(AND($C65&lt;&gt;"",$N65=""),TRUE,FALSE)</f>
        <v>0</v>
      </c>
      <c r="AQ65" s="1625" t="b">
        <f>IF(AND($C65&lt;&gt;"",$P65=""),TRUE,FALSE)</f>
        <v>0</v>
      </c>
      <c r="AR65" s="1625" t="b">
        <f>IF(AND($C65&lt;&gt;"",$R65=""),TRUE,FALSE)</f>
        <v>0</v>
      </c>
      <c r="AS65" s="1625"/>
      <c r="AT65" s="1625" t="b">
        <f ca="1">IF(AND(T65="",OR(V65&lt;&gt;"",X65&lt;&gt;"",Z65&lt;&gt;"",AB65&lt;&gt;"",AF65&lt;&gt;"")),TRUE,FALSE)</f>
        <v>0</v>
      </c>
      <c r="AU65" s="1625" t="b">
        <f>IF(AND($C65&lt;&gt;"",$T65=""),TRUE,FALSE)</f>
        <v>0</v>
      </c>
      <c r="AV65" s="1625" t="b">
        <f>IF(V65="",FALSE,IF(T65="",FALSE,IF(AW65=TRUE,FALSE,IF(OR(V65&lt;BI65,V65&gt;BaseYear),TRUE,FALSE))))</f>
        <v>0</v>
      </c>
      <c r="AW65" s="1625" t="b">
        <f>IF(AND($C65&lt;&gt;"",$V65=""),TRUE,FALSE)</f>
        <v>0</v>
      </c>
      <c r="AX65" s="1625" t="b">
        <f>IF(X65="",FALSE,IF(T65="",FALSE,IF(AZ65=TRUE,FALSE,IF(X65&lt;BL65,TRUE,FALSE))))</f>
        <v>0</v>
      </c>
      <c r="AY65" s="1625" t="b">
        <f>IF(X65="",FALSE,IF(T65="",FALSE,IF(AZ65=TRUE,FALSE,IF(X65&gt;BM65,TRUE,FALSE))))</f>
        <v>0</v>
      </c>
      <c r="AZ65" s="1625" t="b">
        <f>IF(AND($C65&lt;&gt;"",$X65=""),TRUE,FALSE)</f>
        <v>0</v>
      </c>
      <c r="BA65" s="1626" t="b">
        <f>IF(BB65=TRUE,FALSE,IF(OR(Z65&lt;0,Z65&gt;1),TRUE,FALSE))</f>
        <v>0</v>
      </c>
      <c r="BB65" s="1625" t="b">
        <f>IF(AND($C65&lt;&gt;"",$Z65=""),TRUE,FALSE)</f>
        <v>0</v>
      </c>
      <c r="BC65" s="1626"/>
      <c r="BD65" s="1625" t="b">
        <f ca="1">IF(AND($C65&lt;&gt;"",$AB65=""),TRUE,FALSE)</f>
        <v>0</v>
      </c>
      <c r="BE65" s="1626" t="b">
        <f>IF(OR(AF65="", V65=""),FALSE,IF(COUNT(FIND({0,1,2,3,4,5,6,7,8,9}, AF65))=0, FALSE, IF(YEAR(AF65)&lt;V65, TRUE, FALSE)))</f>
        <v>0</v>
      </c>
      <c r="BF65" s="1625" t="b">
        <f>IF(AND($C65&lt;&gt;"",$AF65=""),TRUE,FALSE)</f>
        <v>0</v>
      </c>
      <c r="BG65" s="721"/>
      <c r="BH65" s="1625" t="str">
        <f>IF($T65="","",VLOOKUP($T65,val_facilities,BH$3,FALSE))</f>
        <v/>
      </c>
      <c r="BI65" s="1627" t="str">
        <f>IF($T65="","",VLOOKUP($T65,val_facilities,BI$3,FALSE))</f>
        <v/>
      </c>
      <c r="BJ65" s="1627" t="str">
        <f>IF($T65="","",VLOOKUP($T65,val_facilities,BJ$3,FALSE))</f>
        <v/>
      </c>
      <c r="BK65" s="1627" t="str">
        <f ca="1">IFERROR(IF(V65="", "", YEAR(TODAY())-V65), "")</f>
        <v/>
      </c>
      <c r="BL65" s="845" t="str">
        <f>IF($T65="","",VLOOKUP($T65,val_facilities,BL$3,FALSE))</f>
        <v/>
      </c>
      <c r="BM65" s="845" t="str">
        <f>IF($T65="","",VLOOKUP($T65,val_facilities,BM$3,FALSE))</f>
        <v/>
      </c>
      <c r="BN65" s="758"/>
      <c r="BO65" s="721">
        <f t="shared" si="2"/>
        <v>0</v>
      </c>
    </row>
    <row r="66" spans="1:70" s="686" customFormat="1" ht="6.75" customHeight="1" thickBot="1" x14ac:dyDescent="0.25">
      <c r="A66" s="1638"/>
      <c r="B66" s="1712">
        <v>27.5</v>
      </c>
      <c r="C66" s="1057"/>
      <c r="D66" s="1248"/>
      <c r="E66" s="1057"/>
      <c r="F66" s="1229"/>
      <c r="G66" s="1229"/>
      <c r="H66" s="1229"/>
      <c r="I66" s="1229"/>
      <c r="J66" s="1604"/>
      <c r="K66" s="1640"/>
      <c r="L66" s="1641"/>
      <c r="M66" s="1248"/>
      <c r="N66" s="1641"/>
      <c r="O66" s="1248"/>
      <c r="P66" s="1642"/>
      <c r="Q66" s="1248"/>
      <c r="R66" s="1057"/>
      <c r="S66" s="1618"/>
      <c r="T66" s="1643"/>
      <c r="U66" s="1618"/>
      <c r="V66" s="1623"/>
      <c r="W66" s="1618"/>
      <c r="X66" s="733"/>
      <c r="Y66" s="1275"/>
      <c r="Z66" s="685"/>
      <c r="AA66" s="1275"/>
      <c r="AB66" s="733"/>
      <c r="AC66" s="1275"/>
      <c r="AD66" s="733"/>
      <c r="AE66" s="1275"/>
      <c r="AF66" s="1721"/>
      <c r="AG66" s="1275"/>
      <c r="AH66" s="1057"/>
      <c r="AI66" s="1644"/>
      <c r="AJ66" s="1644"/>
      <c r="AK66" s="1644"/>
      <c r="AL66" s="1644"/>
      <c r="AM66" s="1625"/>
      <c r="AN66" s="1625"/>
      <c r="AO66" s="1625"/>
      <c r="AP66" s="1625"/>
      <c r="AQ66" s="1625"/>
      <c r="AR66" s="848"/>
      <c r="AS66" s="848"/>
      <c r="AT66" s="848"/>
      <c r="AU66" s="848"/>
      <c r="AV66" s="848"/>
      <c r="AW66" s="848"/>
      <c r="AX66" s="848"/>
      <c r="AY66" s="848"/>
      <c r="AZ66" s="848"/>
      <c r="BA66" s="848"/>
      <c r="BB66" s="848"/>
      <c r="BC66" s="848"/>
      <c r="BD66" s="848"/>
      <c r="BE66" s="848"/>
      <c r="BF66" s="848"/>
      <c r="BG66" s="685"/>
      <c r="BH66" s="848"/>
      <c r="BI66" s="848"/>
      <c r="BJ66" s="848"/>
      <c r="BK66" s="848"/>
      <c r="BL66" s="848"/>
      <c r="BM66" s="848"/>
      <c r="BN66" s="1229"/>
      <c r="BO66" s="721">
        <f t="shared" si="2"/>
        <v>0</v>
      </c>
    </row>
    <row r="67" spans="1:70" s="686" customFormat="1" x14ac:dyDescent="0.2">
      <c r="A67" s="840">
        <v>28</v>
      </c>
      <c r="B67" s="1712">
        <v>28</v>
      </c>
      <c r="C67" s="1613"/>
      <c r="D67" s="1248" t="str">
        <f>IF(AND(C67="",C65&lt;&gt;""),"Enter Facility "&amp;TEXT(A67,0)&amp;" Name, then Fill in Columns "&amp;TEXT($H$2,0)&amp;" - "&amp;TEXT($AH$2,0)&amp;"       ","")</f>
        <v/>
      </c>
      <c r="E67" s="1245" t="str">
        <f>IF(AL67="N/A","",AL67)</f>
        <v/>
      </c>
      <c r="F67" s="758"/>
      <c r="G67" s="758"/>
      <c r="H67" s="1614"/>
      <c r="I67" s="758"/>
      <c r="J67" s="1615"/>
      <c r="K67" s="1248" t="str">
        <f>IF(E67&lt;&gt;"","Enter Street Address                   ","")</f>
        <v/>
      </c>
      <c r="L67" s="1615"/>
      <c r="M67" s="1248" t="str">
        <f>IF(E67&lt;&gt;"","Enter City Name       ","")</f>
        <v/>
      </c>
      <c r="N67" s="1613"/>
      <c r="O67" s="1248" t="str">
        <f>IF(E67&lt;&gt;"","Select from Pull-Down List   ","")</f>
        <v/>
      </c>
      <c r="P67" s="1616"/>
      <c r="Q67" s="1248" t="str">
        <f>IF($E67&lt;&gt;"","Enter ZIP Code       ","")</f>
        <v/>
      </c>
      <c r="R67" s="1617"/>
      <c r="S67" s="1618" t="str">
        <f>IF($E67&lt;&gt;"","Select from Pull-Down List  ","")</f>
        <v/>
      </c>
      <c r="T67" s="1617"/>
      <c r="U67" s="1618" t="str">
        <f>IF(AND($C67&lt;&gt;"",T67=""),"Select from Pull-Down List  ","")</f>
        <v/>
      </c>
      <c r="V67" s="1619"/>
      <c r="W67" s="1248" t="str">
        <f>IF(E67&lt;&gt;"","Year?   ","")</f>
        <v/>
      </c>
      <c r="X67" s="1247"/>
      <c r="Y67" s="1620" t="str">
        <f>IF(E67&lt;&gt;"","Sq. Feet?   ","")</f>
        <v/>
      </c>
      <c r="Z67" s="1621"/>
      <c r="AA67" s="1618" t="str">
        <f>IF($E67&lt;&gt;"","% of Cap Resp.","")</f>
        <v/>
      </c>
      <c r="AB67" s="1782" t="str">
        <f ca="1">IFERROR(IF(BK67="", "", IF(BK67&gt;100, 1, VLOOKUP(BK67, Valid!$W$1:$AA$101, VLOOKUP(T67, Codes!$G$7:$I$17, 3, FALSE), FALSE))), "")</f>
        <v/>
      </c>
      <c r="AC67" s="1618"/>
      <c r="AD67" s="1247"/>
      <c r="AE67" s="1620" t="str">
        <f>IF($E67&lt;&gt;"","Drop-Down    ","")</f>
        <v/>
      </c>
      <c r="AF67" s="1720"/>
      <c r="AG67" s="1620" t="b">
        <f>IF(E67&lt;&gt;"","Date?   ")</f>
        <v>0</v>
      </c>
      <c r="AH67" s="1613"/>
      <c r="AI67" s="1248" t="str">
        <f>IF(OR(T67="Other (describe in Notes)",T67="Dual Administrative and Maintenance Facility"),"Describe Facility                                                                                         ","")</f>
        <v/>
      </c>
      <c r="AJ67" s="1624"/>
      <c r="AK67" s="1624" t="b">
        <f>IF(AND(C67="",C69&lt;&gt;""),TRUE,FALSE)</f>
        <v>0</v>
      </c>
      <c r="AL67" s="1624" t="str">
        <f>IF(AND($C67&lt;&gt;"",OR($J67="",$L67="",$N67="",$P67="",$R67="",$T67="",$V67="",$X67="",$Z67="",$AD67="",$AF67="")),"No",IF(AND($C67="",OR($H67&lt;&gt;"",$J67&lt;&gt;"",$L67&lt;&gt;"",$N67&lt;&gt;"",$P67&lt;&gt;"",$R67&lt;&gt;"",$T67&lt;&gt;"",$V67&lt;&gt;"",$X67&lt;&gt;"",$Z67&lt;&gt;"",$AD67&lt;&gt;"",$AF67&lt;&gt;"")),"N",IF(AND($H67="",$C67="",$J67="",$L67="",$N67="",$P67="",$R67="",$T67="",$V67="",$X67="",$Z67="",$AD67="",$AF67=""),"N/A",IF(AND($C67&lt;&gt;"",$J67&lt;&gt;"",$L67&lt;&gt;"",$N67&lt;&gt;"",$P67&lt;&gt;"",$R67&lt;&gt;"",$T67&lt;&gt;"",$V67&lt;&gt;"",$X67&lt;&gt;"",$Z67&lt;&gt;"",$AD67&lt;&gt;"",$AF67&lt;&gt;""),"Yes",""))))</f>
        <v>N/A</v>
      </c>
      <c r="AM67" s="1625" t="b">
        <f ca="1">IF(AND($C67="",OR($J67&lt;&gt;"",$L67&lt;&gt;"",$N67&lt;&gt;"",$P67&lt;&gt;"",$R67&lt;&gt;"",$T67&lt;&gt;"",$V67&lt;&gt;"",$X67&lt;&gt;"",$Z67&lt;&gt;"",$AB67&lt;&gt;"",$AF67&lt;&gt;"")),TRUE,FALSE)</f>
        <v>0</v>
      </c>
      <c r="AN67" s="1625" t="b">
        <f>IF(AND($C67&lt;&gt;"",$J67=""),TRUE,FALSE)</f>
        <v>0</v>
      </c>
      <c r="AO67" s="1625" t="b">
        <f>IF(AND($C67&lt;&gt;"",$L67=""),TRUE,FALSE)</f>
        <v>0</v>
      </c>
      <c r="AP67" s="1625" t="b">
        <f>IF(AND($C67&lt;&gt;"",$N67=""),TRUE,FALSE)</f>
        <v>0</v>
      </c>
      <c r="AQ67" s="1625" t="b">
        <f>IF(AND($C67&lt;&gt;"",$P67=""),TRUE,FALSE)</f>
        <v>0</v>
      </c>
      <c r="AR67" s="1625" t="b">
        <f>IF(AND($C67&lt;&gt;"",$R67=""),TRUE,FALSE)</f>
        <v>0</v>
      </c>
      <c r="AS67" s="1625"/>
      <c r="AT67" s="1625" t="b">
        <f ca="1">IF(AND(T67="",OR(V67&lt;&gt;"",X67&lt;&gt;"",Z67&lt;&gt;"",AB67&lt;&gt;"",AF67&lt;&gt;"")),TRUE,FALSE)</f>
        <v>0</v>
      </c>
      <c r="AU67" s="1625" t="b">
        <f>IF(AND($C67&lt;&gt;"",$T67=""),TRUE,FALSE)</f>
        <v>0</v>
      </c>
      <c r="AV67" s="1625" t="b">
        <f>IF(V67="",FALSE,IF(T67="",FALSE,IF(AW67=TRUE,FALSE,IF(OR(V67&lt;BI67,V67&gt;BaseYear),TRUE,FALSE))))</f>
        <v>0</v>
      </c>
      <c r="AW67" s="1625" t="b">
        <f>IF(AND($C67&lt;&gt;"",$V67=""),TRUE,FALSE)</f>
        <v>0</v>
      </c>
      <c r="AX67" s="1625" t="b">
        <f>IF(X67="",FALSE,IF(T67="",FALSE,IF(AZ67=TRUE,FALSE,IF(X67&lt;BL67,TRUE,FALSE))))</f>
        <v>0</v>
      </c>
      <c r="AY67" s="1625" t="b">
        <f>IF(X67="",FALSE,IF(T67="",FALSE,IF(AZ67=TRUE,FALSE,IF(X67&gt;BM67,TRUE,FALSE))))</f>
        <v>0</v>
      </c>
      <c r="AZ67" s="1625" t="b">
        <f>IF(AND($C67&lt;&gt;"",$X67=""),TRUE,FALSE)</f>
        <v>0</v>
      </c>
      <c r="BA67" s="1626" t="b">
        <f>IF(BB67=TRUE,FALSE,IF(OR(Z67&lt;0,Z67&gt;1),TRUE,FALSE))</f>
        <v>0</v>
      </c>
      <c r="BB67" s="1625" t="b">
        <f>IF(AND($C67&lt;&gt;"",$Z67=""),TRUE,FALSE)</f>
        <v>0</v>
      </c>
      <c r="BC67" s="1626"/>
      <c r="BD67" s="1625" t="b">
        <f ca="1">IF(AND($C67&lt;&gt;"",$AB67=""),TRUE,FALSE)</f>
        <v>0</v>
      </c>
      <c r="BE67" s="1626" t="b">
        <f>IF(OR(AF67="", V67=""),FALSE,IF(COUNT(FIND({0,1,2,3,4,5,6,7,8,9}, AF67))=0, FALSE, IF(YEAR(AF67)&lt;V67, TRUE, FALSE)))</f>
        <v>0</v>
      </c>
      <c r="BF67" s="1625" t="b">
        <f>IF(AND($C67&lt;&gt;"",$AF67=""),TRUE,FALSE)</f>
        <v>0</v>
      </c>
      <c r="BG67" s="721"/>
      <c r="BH67" s="1625" t="str">
        <f>IF($T67="","",VLOOKUP($T67,val_facilities,BH$3,FALSE))</f>
        <v/>
      </c>
      <c r="BI67" s="1627" t="str">
        <f>IF($T67="","",VLOOKUP($T67,val_facilities,BI$3,FALSE))</f>
        <v/>
      </c>
      <c r="BJ67" s="1627" t="str">
        <f>IF($T67="","",VLOOKUP($T67,val_facilities,BJ$3,FALSE))</f>
        <v/>
      </c>
      <c r="BK67" s="1627" t="str">
        <f ca="1">IFERROR(IF(V67="", "", YEAR(TODAY())-V67), "")</f>
        <v/>
      </c>
      <c r="BL67" s="845" t="str">
        <f>IF($T67="","",VLOOKUP($T67,val_facilities,BL$3,FALSE))</f>
        <v/>
      </c>
      <c r="BM67" s="845" t="str">
        <f>IF($T67="","",VLOOKUP($T67,val_facilities,BM$3,FALSE))</f>
        <v/>
      </c>
      <c r="BN67" s="758"/>
      <c r="BO67" s="721">
        <f t="shared" si="2"/>
        <v>0</v>
      </c>
      <c r="BP67" s="816"/>
      <c r="BQ67" s="816"/>
      <c r="BR67" s="816"/>
    </row>
    <row r="68" spans="1:70" s="686" customFormat="1" ht="6.75" customHeight="1" thickBot="1" x14ac:dyDescent="0.25">
      <c r="A68" s="1638"/>
      <c r="B68" s="1712">
        <v>28.5</v>
      </c>
      <c r="C68" s="1057"/>
      <c r="D68" s="1248"/>
      <c r="E68" s="1639"/>
      <c r="F68" s="1229"/>
      <c r="G68" s="1229"/>
      <c r="H68" s="1229"/>
      <c r="I68" s="1229"/>
      <c r="J68" s="1604"/>
      <c r="K68" s="1640"/>
      <c r="L68" s="1645"/>
      <c r="M68" s="1646"/>
      <c r="N68" s="1645"/>
      <c r="O68" s="1646"/>
      <c r="P68" s="1647"/>
      <c r="Q68" s="1646"/>
      <c r="R68" s="1057"/>
      <c r="S68" s="1618"/>
      <c r="T68" s="1643"/>
      <c r="U68" s="1618"/>
      <c r="V68" s="1623"/>
      <c r="W68" s="1618"/>
      <c r="X68" s="722"/>
      <c r="Y68" s="1648"/>
      <c r="Z68" s="841"/>
      <c r="AA68" s="1648"/>
      <c r="AB68" s="722"/>
      <c r="AC68" s="1648"/>
      <c r="AD68" s="722"/>
      <c r="AE68" s="1648"/>
      <c r="AF68" s="1717"/>
      <c r="AG68" s="1648"/>
      <c r="AH68" s="1057"/>
      <c r="AI68" s="1644"/>
      <c r="AJ68" s="1644"/>
      <c r="AK68" s="1644"/>
      <c r="AL68" s="1644"/>
      <c r="AM68" s="1625"/>
      <c r="AN68" s="1625"/>
      <c r="AO68" s="1625"/>
      <c r="AP68" s="1625"/>
      <c r="AQ68" s="1625"/>
      <c r="AR68" s="848"/>
      <c r="AS68" s="848"/>
      <c r="AT68" s="848"/>
      <c r="AU68" s="848"/>
      <c r="AV68" s="848"/>
      <c r="AW68" s="848"/>
      <c r="AX68" s="848"/>
      <c r="AY68" s="848"/>
      <c r="AZ68" s="848"/>
      <c r="BA68" s="848"/>
      <c r="BB68" s="848"/>
      <c r="BC68" s="848"/>
      <c r="BD68" s="848"/>
      <c r="BE68" s="848"/>
      <c r="BF68" s="848"/>
      <c r="BG68" s="685"/>
      <c r="BH68" s="848"/>
      <c r="BI68" s="848"/>
      <c r="BJ68" s="848"/>
      <c r="BK68" s="848"/>
      <c r="BL68" s="848"/>
      <c r="BM68" s="848"/>
      <c r="BN68" s="1229"/>
      <c r="BO68" s="721">
        <f t="shared" si="2"/>
        <v>0</v>
      </c>
    </row>
    <row r="69" spans="1:70" s="686" customFormat="1" x14ac:dyDescent="0.2">
      <c r="A69" s="840">
        <v>29</v>
      </c>
      <c r="B69" s="1712">
        <v>29</v>
      </c>
      <c r="C69" s="1613"/>
      <c r="D69" s="1248" t="str">
        <f>IF(AND(C69="",C67&lt;&gt;""),"Enter Facility "&amp;TEXT(A69,0)&amp;" Name, then Fill in Columns "&amp;TEXT($H$2,0)&amp;" - "&amp;TEXT($AH$2,0)&amp;"       ","")</f>
        <v/>
      </c>
      <c r="E69" s="1245" t="str">
        <f>IF(AL69="N/A","",AL69)</f>
        <v/>
      </c>
      <c r="F69" s="758"/>
      <c r="G69" s="758"/>
      <c r="H69" s="1614"/>
      <c r="I69" s="758"/>
      <c r="J69" s="1615"/>
      <c r="K69" s="1248" t="str">
        <f>IF(E69&lt;&gt;"","Enter Street Address                   ","")</f>
        <v/>
      </c>
      <c r="L69" s="1615"/>
      <c r="M69" s="1248" t="str">
        <f>IF(E69&lt;&gt;"","Enter City Name       ","")</f>
        <v/>
      </c>
      <c r="N69" s="1613"/>
      <c r="O69" s="1248" t="str">
        <f>IF(E69&lt;&gt;"","Select from Pull-Down List   ","")</f>
        <v/>
      </c>
      <c r="P69" s="1616"/>
      <c r="Q69" s="1248" t="str">
        <f>IF($E69&lt;&gt;"","Enter ZIP Code       ","")</f>
        <v/>
      </c>
      <c r="R69" s="1617"/>
      <c r="S69" s="1618" t="str">
        <f>IF($E69&lt;&gt;"","Select from Pull-Down List  ","")</f>
        <v/>
      </c>
      <c r="T69" s="1617"/>
      <c r="U69" s="1618" t="str">
        <f>IF(AND($C69&lt;&gt;"",T69=""),"Select from Pull-Down List  ","")</f>
        <v/>
      </c>
      <c r="V69" s="1619"/>
      <c r="W69" s="1248" t="str">
        <f>IF(E69&lt;&gt;"","Year?   ","")</f>
        <v/>
      </c>
      <c r="X69" s="1247"/>
      <c r="Y69" s="1620" t="str">
        <f>IF(E69&lt;&gt;"","Sq. Feet?   ","")</f>
        <v/>
      </c>
      <c r="Z69" s="1621"/>
      <c r="AA69" s="1618" t="str">
        <f>IF($E69&lt;&gt;"","% of Cap Resp.","")</f>
        <v/>
      </c>
      <c r="AB69" s="1782" t="str">
        <f ca="1">IFERROR(IF(BK69="", "", IF(BK69&gt;100, 1, VLOOKUP(BK69, Valid!$W$1:$AA$101, VLOOKUP(T69, Codes!$G$7:$I$17, 3, FALSE), FALSE))), "")</f>
        <v/>
      </c>
      <c r="AC69" s="1618"/>
      <c r="AD69" s="1247"/>
      <c r="AE69" s="1620" t="str">
        <f>IF($E69&lt;&gt;"","Drop-Down    ","")</f>
        <v/>
      </c>
      <c r="AF69" s="1720"/>
      <c r="AG69" s="1620" t="b">
        <f>IF(E69&lt;&gt;"","Date?   ")</f>
        <v>0</v>
      </c>
      <c r="AH69" s="1613"/>
      <c r="AI69" s="1248" t="str">
        <f>IF(OR(T69="Other (describe in Notes)",T69="Dual Administrative and Maintenance Facility"),"Describe Facility                                                                                         ","")</f>
        <v/>
      </c>
      <c r="AJ69" s="1624"/>
      <c r="AK69" s="1624" t="b">
        <f>IF(AND(C69="",C71&lt;&gt;""),TRUE,FALSE)</f>
        <v>0</v>
      </c>
      <c r="AL69" s="1624" t="str">
        <f>IF(AND($C69&lt;&gt;"",OR($J69="",$L69="",$N69="",$P69="",$R69="",$T69="",$V69="",$X69="",$Z69="",$AD69="",$AF69="")),"No",IF(AND($C69="",OR($H69&lt;&gt;"",$J69&lt;&gt;"",$L69&lt;&gt;"",$N69&lt;&gt;"",$P69&lt;&gt;"",$R69&lt;&gt;"",$T69&lt;&gt;"",$V69&lt;&gt;"",$X69&lt;&gt;"",$Z69&lt;&gt;"",$AD69&lt;&gt;"",$AF69&lt;&gt;"")),"N",IF(AND($H69="",$C69="",$J69="",$L69="",$N69="",$P69="",$R69="",$T69="",$V69="",$X69="",$Z69="",$AD69="",$AF69=""),"N/A",IF(AND($C69&lt;&gt;"",$J69&lt;&gt;"",$L69&lt;&gt;"",$N69&lt;&gt;"",$P69&lt;&gt;"",$R69&lt;&gt;"",$T69&lt;&gt;"",$V69&lt;&gt;"",$X69&lt;&gt;"",$Z69&lt;&gt;"",$AD69&lt;&gt;"",$AF69&lt;&gt;""),"Yes",""))))</f>
        <v>N/A</v>
      </c>
      <c r="AM69" s="1625" t="b">
        <f ca="1">IF(AND($C69="",OR($J69&lt;&gt;"",$L69&lt;&gt;"",$N69&lt;&gt;"",$P69&lt;&gt;"",$R69&lt;&gt;"",$T69&lt;&gt;"",$V69&lt;&gt;"",$X69&lt;&gt;"",$Z69&lt;&gt;"",$AB69&lt;&gt;"",$AF69&lt;&gt;"")),TRUE,FALSE)</f>
        <v>0</v>
      </c>
      <c r="AN69" s="1625" t="b">
        <f>IF(AND($C69&lt;&gt;"",$J69=""),TRUE,FALSE)</f>
        <v>0</v>
      </c>
      <c r="AO69" s="1625" t="b">
        <f>IF(AND($C69&lt;&gt;"",$L69=""),TRUE,FALSE)</f>
        <v>0</v>
      </c>
      <c r="AP69" s="1625" t="b">
        <f>IF(AND($C69&lt;&gt;"",$N69=""),TRUE,FALSE)</f>
        <v>0</v>
      </c>
      <c r="AQ69" s="1625" t="b">
        <f>IF(AND($C69&lt;&gt;"",$P69=""),TRUE,FALSE)</f>
        <v>0</v>
      </c>
      <c r="AR69" s="1625" t="b">
        <f>IF(AND($C69&lt;&gt;"",$R69=""),TRUE,FALSE)</f>
        <v>0</v>
      </c>
      <c r="AS69" s="1625"/>
      <c r="AT69" s="1625" t="b">
        <f ca="1">IF(AND(T69="",OR(V69&lt;&gt;"",X69&lt;&gt;"",Z69&lt;&gt;"",AB69&lt;&gt;"",AF69&lt;&gt;"")),TRUE,FALSE)</f>
        <v>0</v>
      </c>
      <c r="AU69" s="1625" t="b">
        <f>IF(AND($C69&lt;&gt;"",$T69=""),TRUE,FALSE)</f>
        <v>0</v>
      </c>
      <c r="AV69" s="1625" t="b">
        <f>IF(V69="",FALSE,IF(T69="",FALSE,IF(AW69=TRUE,FALSE,IF(OR(V69&lt;BI69,V69&gt;BaseYear),TRUE,FALSE))))</f>
        <v>0</v>
      </c>
      <c r="AW69" s="1625" t="b">
        <f>IF(AND($C69&lt;&gt;"",$V69=""),TRUE,FALSE)</f>
        <v>0</v>
      </c>
      <c r="AX69" s="1625" t="b">
        <f>IF(X69="",FALSE,IF(T69="",FALSE,IF(AZ69=TRUE,FALSE,IF(X69&lt;BL69,TRUE,FALSE))))</f>
        <v>0</v>
      </c>
      <c r="AY69" s="1625" t="b">
        <f>IF(X69="",FALSE,IF(T69="",FALSE,IF(AZ69=TRUE,FALSE,IF(X69&gt;BM69,TRUE,FALSE))))</f>
        <v>0</v>
      </c>
      <c r="AZ69" s="1625" t="b">
        <f>IF(AND($C69&lt;&gt;"",$X69=""),TRUE,FALSE)</f>
        <v>0</v>
      </c>
      <c r="BA69" s="1626" t="b">
        <f>IF(BB69=TRUE,FALSE,IF(OR(Z69&lt;0,Z69&gt;1),TRUE,FALSE))</f>
        <v>0</v>
      </c>
      <c r="BB69" s="1625" t="b">
        <f>IF(AND($C69&lt;&gt;"",$Z69=""),TRUE,FALSE)</f>
        <v>0</v>
      </c>
      <c r="BC69" s="1626"/>
      <c r="BD69" s="1625" t="b">
        <f ca="1">IF(AND($C69&lt;&gt;"",$AB69=""),TRUE,FALSE)</f>
        <v>0</v>
      </c>
      <c r="BE69" s="1626" t="b">
        <f>IF(OR(AF69="", V69=""),FALSE,IF(COUNT(FIND({0,1,2,3,4,5,6,7,8,9}, AF69))=0, FALSE, IF(YEAR(AF69)&lt;V69, TRUE, FALSE)))</f>
        <v>0</v>
      </c>
      <c r="BF69" s="1625" t="b">
        <f>IF(AND($C69&lt;&gt;"",$AF69=""),TRUE,FALSE)</f>
        <v>0</v>
      </c>
      <c r="BG69" s="721"/>
      <c r="BH69" s="1625" t="str">
        <f>IF($T69="","",VLOOKUP($T69,val_facilities,BH$3,FALSE))</f>
        <v/>
      </c>
      <c r="BI69" s="1627" t="str">
        <f>IF($T69="","",VLOOKUP($T69,val_facilities,BI$3,FALSE))</f>
        <v/>
      </c>
      <c r="BJ69" s="1627" t="str">
        <f>IF($T69="","",VLOOKUP($T69,val_facilities,BJ$3,FALSE))</f>
        <v/>
      </c>
      <c r="BK69" s="1627" t="str">
        <f ca="1">IFERROR(IF(V69="", "", YEAR(TODAY())-V69), "")</f>
        <v/>
      </c>
      <c r="BL69" s="845" t="str">
        <f>IF($T69="","",VLOOKUP($T69,val_facilities,BL$3,FALSE))</f>
        <v/>
      </c>
      <c r="BM69" s="845" t="str">
        <f>IF($T69="","",VLOOKUP($T69,val_facilities,BM$3,FALSE))</f>
        <v/>
      </c>
      <c r="BN69" s="758"/>
      <c r="BO69" s="721">
        <f t="shared" si="2"/>
        <v>0</v>
      </c>
      <c r="BP69" s="816"/>
      <c r="BQ69" s="816"/>
      <c r="BR69" s="816"/>
    </row>
    <row r="70" spans="1:70" s="686" customFormat="1" ht="6.75" customHeight="1" thickBot="1" x14ac:dyDescent="0.25">
      <c r="A70" s="1638"/>
      <c r="B70" s="1712">
        <v>29.5</v>
      </c>
      <c r="C70" s="1057"/>
      <c r="D70" s="764"/>
      <c r="E70" s="1057"/>
      <c r="F70" s="1229"/>
      <c r="G70" s="1229"/>
      <c r="H70" s="1229"/>
      <c r="I70" s="1229"/>
      <c r="J70" s="1604"/>
      <c r="K70" s="1229"/>
      <c r="L70" s="1605"/>
      <c r="M70" s="1644"/>
      <c r="N70" s="1605"/>
      <c r="O70" s="1644"/>
      <c r="P70" s="1606"/>
      <c r="Q70" s="1644"/>
      <c r="R70" s="1057"/>
      <c r="S70" s="1623"/>
      <c r="T70" s="1643"/>
      <c r="U70" s="1623"/>
      <c r="V70" s="1623"/>
      <c r="W70" s="1623"/>
      <c r="X70" s="722"/>
      <c r="Y70" s="841"/>
      <c r="Z70" s="841"/>
      <c r="AA70" s="841"/>
      <c r="AB70" s="722"/>
      <c r="AC70" s="841"/>
      <c r="AD70" s="722"/>
      <c r="AE70" s="841"/>
      <c r="AF70" s="1717"/>
      <c r="AG70" s="841"/>
      <c r="AH70" s="1057"/>
      <c r="AI70" s="1644"/>
      <c r="AJ70" s="1644"/>
      <c r="AK70" s="1644"/>
      <c r="AL70" s="1644"/>
      <c r="AM70" s="1625"/>
      <c r="AN70" s="1625"/>
      <c r="AO70" s="1625"/>
      <c r="AP70" s="1625"/>
      <c r="AQ70" s="1625"/>
      <c r="AR70" s="848"/>
      <c r="AS70" s="848"/>
      <c r="AT70" s="848"/>
      <c r="AU70" s="848"/>
      <c r="AV70" s="848"/>
      <c r="AW70" s="848"/>
      <c r="AX70" s="848"/>
      <c r="AY70" s="848"/>
      <c r="AZ70" s="848"/>
      <c r="BA70" s="848"/>
      <c r="BB70" s="848"/>
      <c r="BC70" s="848"/>
      <c r="BD70" s="848"/>
      <c r="BE70" s="848"/>
      <c r="BF70" s="848"/>
      <c r="BG70" s="685"/>
      <c r="BH70" s="848"/>
      <c r="BI70" s="848"/>
      <c r="BJ70" s="848"/>
      <c r="BK70" s="848"/>
      <c r="BL70" s="848"/>
      <c r="BM70" s="848"/>
      <c r="BN70" s="1229"/>
      <c r="BO70" s="721">
        <f t="shared" si="2"/>
        <v>0</v>
      </c>
    </row>
    <row r="71" spans="1:70" s="816" customFormat="1" x14ac:dyDescent="0.2">
      <c r="A71" s="840">
        <v>30</v>
      </c>
      <c r="B71" s="1712">
        <v>30</v>
      </c>
      <c r="C71" s="1613"/>
      <c r="D71" s="1248" t="str">
        <f>IF(AND(C71="",C69&lt;&gt;""),"Enter Facility "&amp;TEXT(A71,0)&amp;" Name, then Fill in Columns "&amp;TEXT($H$2,0)&amp;" - "&amp;TEXT($AH$2,0)&amp;"       ","")</f>
        <v/>
      </c>
      <c r="E71" s="1245" t="str">
        <f>IF(AL71="N/A","",AL71)</f>
        <v/>
      </c>
      <c r="F71" s="758"/>
      <c r="G71" s="758"/>
      <c r="H71" s="1614"/>
      <c r="I71" s="758"/>
      <c r="J71" s="1615"/>
      <c r="K71" s="1248" t="str">
        <f>IF(E71&lt;&gt;"","Enter Street Address                   ","")</f>
        <v/>
      </c>
      <c r="L71" s="1615"/>
      <c r="M71" s="1248" t="str">
        <f>IF(E71&lt;&gt;"","Enter City Name       ","")</f>
        <v/>
      </c>
      <c r="N71" s="1613"/>
      <c r="O71" s="1248" t="str">
        <f>IF(E71&lt;&gt;"","Select from Pull-Down List   ","")</f>
        <v/>
      </c>
      <c r="P71" s="1616"/>
      <c r="Q71" s="1248" t="str">
        <f>IF($E71&lt;&gt;"","Enter ZIP Code       ","")</f>
        <v/>
      </c>
      <c r="R71" s="1617"/>
      <c r="S71" s="1618" t="str">
        <f>IF($E71&lt;&gt;"","Select from Pull-Down List  ","")</f>
        <v/>
      </c>
      <c r="T71" s="1617"/>
      <c r="U71" s="1618" t="str">
        <f>IF(AND($C71&lt;&gt;"",T71=""),"Select from Pull-Down List  ","")</f>
        <v/>
      </c>
      <c r="V71" s="1619"/>
      <c r="W71" s="1248" t="str">
        <f>IF(E71&lt;&gt;"","Year?   ","")</f>
        <v/>
      </c>
      <c r="X71" s="1247"/>
      <c r="Y71" s="1620" t="str">
        <f>IF(E71&lt;&gt;"","Sq. Feet?   ","")</f>
        <v/>
      </c>
      <c r="Z71" s="1621"/>
      <c r="AA71" s="1618" t="str">
        <f>IF($E71&lt;&gt;"","% of Cap Resp.","")</f>
        <v/>
      </c>
      <c r="AB71" s="1782" t="str">
        <f ca="1">IFERROR(IF(BK71="", "", IF(BK71&gt;100, 1, VLOOKUP(BK71, Valid!$W$1:$AA$101, VLOOKUP(T71, Codes!$G$7:$I$17, 3, FALSE), FALSE))), "")</f>
        <v/>
      </c>
      <c r="AC71" s="1618"/>
      <c r="AD71" s="1247"/>
      <c r="AE71" s="1620" t="str">
        <f>IF($E71&lt;&gt;"","Drop-Down    ","")</f>
        <v/>
      </c>
      <c r="AF71" s="1720"/>
      <c r="AG71" s="1620" t="b">
        <f>IF(E71&lt;&gt;"","Date?   ")</f>
        <v>0</v>
      </c>
      <c r="AH71" s="1613"/>
      <c r="AI71" s="1248" t="str">
        <f>IF(OR(T71="Other (describe in Notes)",T71="Dual Administrative and Maintenance Facility"),"Describe Facility                                                                                         ","")</f>
        <v/>
      </c>
      <c r="AJ71" s="1624"/>
      <c r="AK71" s="1624" t="b">
        <f>IF(AND(C71="",C73&lt;&gt;""),TRUE,FALSE)</f>
        <v>0</v>
      </c>
      <c r="AL71" s="1624" t="str">
        <f>IF(AND($C71&lt;&gt;"",OR($J71="",$L71="",$N71="",$P71="",$R71="",$T71="",$V71="",$X71="",$Z71="",$AD71="",$AF71="")),"No",IF(AND($C71="",OR($H71&lt;&gt;"",$J71&lt;&gt;"",$L71&lt;&gt;"",$N71&lt;&gt;"",$P71&lt;&gt;"",$R71&lt;&gt;"",$T71&lt;&gt;"",$V71&lt;&gt;"",$X71&lt;&gt;"",$Z71&lt;&gt;"",$AD71&lt;&gt;"",$AF71&lt;&gt;"")),"N",IF(AND($H71="",$C71="",$J71="",$L71="",$N71="",$P71="",$R71="",$T71="",$V71="",$X71="",$Z71="",$AD71="",$AF71=""),"N/A",IF(AND($C71&lt;&gt;"",$J71&lt;&gt;"",$L71&lt;&gt;"",$N71&lt;&gt;"",$P71&lt;&gt;"",$R71&lt;&gt;"",$T71&lt;&gt;"",$V71&lt;&gt;"",$X71&lt;&gt;"",$Z71&lt;&gt;"",$AD71&lt;&gt;"",$AF71&lt;&gt;""),"Yes",""))))</f>
        <v>N/A</v>
      </c>
      <c r="AM71" s="1625" t="b">
        <f ca="1">IF(AND($C71="",OR($J71&lt;&gt;"",$L71&lt;&gt;"",$N71&lt;&gt;"",$P71&lt;&gt;"",$R71&lt;&gt;"",$T71&lt;&gt;"",$V71&lt;&gt;"",$X71&lt;&gt;"",$Z71&lt;&gt;"",$AB71&lt;&gt;"",$AF71&lt;&gt;"")),TRUE,FALSE)</f>
        <v>0</v>
      </c>
      <c r="AN71" s="1625" t="b">
        <f>IF(AND($C71&lt;&gt;"",$J71=""),TRUE,FALSE)</f>
        <v>0</v>
      </c>
      <c r="AO71" s="1625" t="b">
        <f>IF(AND($C71&lt;&gt;"",$L71=""),TRUE,FALSE)</f>
        <v>0</v>
      </c>
      <c r="AP71" s="1625" t="b">
        <f>IF(AND($C71&lt;&gt;"",$N71=""),TRUE,FALSE)</f>
        <v>0</v>
      </c>
      <c r="AQ71" s="1625" t="b">
        <f>IF(AND($C71&lt;&gt;"",$P71=""),TRUE,FALSE)</f>
        <v>0</v>
      </c>
      <c r="AR71" s="1625" t="b">
        <f>IF(AND($C71&lt;&gt;"",$R71=""),TRUE,FALSE)</f>
        <v>0</v>
      </c>
      <c r="AS71" s="1625"/>
      <c r="AT71" s="1625" t="b">
        <f ca="1">IF(AND(T71="",OR(V71&lt;&gt;"",X71&lt;&gt;"",Z71&lt;&gt;"",AB71&lt;&gt;"",AF71&lt;&gt;"")),TRUE,FALSE)</f>
        <v>0</v>
      </c>
      <c r="AU71" s="1625" t="b">
        <f>IF(AND($C71&lt;&gt;"",$T71=""),TRUE,FALSE)</f>
        <v>0</v>
      </c>
      <c r="AV71" s="1625" t="b">
        <f>IF(V71="",FALSE,IF(T71="",FALSE,IF(AW71=TRUE,FALSE,IF(OR(V71&lt;BI71,V71&gt;BaseYear),TRUE,FALSE))))</f>
        <v>0</v>
      </c>
      <c r="AW71" s="1625" t="b">
        <f>IF(AND($C71&lt;&gt;"",$V71=""),TRUE,FALSE)</f>
        <v>0</v>
      </c>
      <c r="AX71" s="1625" t="b">
        <f>IF(X71="",FALSE,IF(T71="",FALSE,IF(AZ71=TRUE,FALSE,IF(X71&lt;BL71,TRUE,FALSE))))</f>
        <v>0</v>
      </c>
      <c r="AY71" s="1625" t="b">
        <f>IF(X71="",FALSE,IF(T71="",FALSE,IF(AZ71=TRUE,FALSE,IF(X71&gt;BM71,TRUE,FALSE))))</f>
        <v>0</v>
      </c>
      <c r="AZ71" s="1625" t="b">
        <f>IF(AND($C71&lt;&gt;"",$X71=""),TRUE,FALSE)</f>
        <v>0</v>
      </c>
      <c r="BA71" s="1626" t="b">
        <f>IF(BB71=TRUE,FALSE,IF(OR(Z71&lt;0,Z71&gt;1),TRUE,FALSE))</f>
        <v>0</v>
      </c>
      <c r="BB71" s="1625" t="b">
        <f>IF(AND($C71&lt;&gt;"",$Z71=""),TRUE,FALSE)</f>
        <v>0</v>
      </c>
      <c r="BC71" s="1626"/>
      <c r="BD71" s="1625" t="b">
        <f ca="1">IF(AND($C71&lt;&gt;"",$AB71=""),TRUE,FALSE)</f>
        <v>0</v>
      </c>
      <c r="BE71" s="1626" t="b">
        <f>IF(OR(AF71="", V71=""),FALSE,IF(COUNT(FIND({0,1,2,3,4,5,6,7,8,9}, AF71))=0, FALSE, IF(YEAR(AF71)&lt;V71, TRUE, FALSE)))</f>
        <v>0</v>
      </c>
      <c r="BF71" s="1625" t="b">
        <f>IF(AND($C71&lt;&gt;"",$AF71=""),TRUE,FALSE)</f>
        <v>0</v>
      </c>
      <c r="BG71" s="721"/>
      <c r="BH71" s="1625" t="str">
        <f>IF($T71="","",VLOOKUP($T71,val_facilities,BH$3,FALSE))</f>
        <v/>
      </c>
      <c r="BI71" s="1627" t="str">
        <f>IF($T71="","",VLOOKUP($T71,val_facilities,BI$3,FALSE))</f>
        <v/>
      </c>
      <c r="BJ71" s="1627" t="str">
        <f>IF($T71="","",VLOOKUP($T71,val_facilities,BJ$3,FALSE))</f>
        <v/>
      </c>
      <c r="BK71" s="1627" t="str">
        <f ca="1">IFERROR(IF(V71="", "", YEAR(TODAY())-V71), "")</f>
        <v/>
      </c>
      <c r="BL71" s="845" t="str">
        <f>IF($T71="","",VLOOKUP($T71,val_facilities,BL$3,FALSE))</f>
        <v/>
      </c>
      <c r="BM71" s="845" t="str">
        <f>IF($T71="","",VLOOKUP($T71,val_facilities,BM$3,FALSE))</f>
        <v/>
      </c>
      <c r="BN71" s="758"/>
      <c r="BO71" s="721">
        <f t="shared" si="2"/>
        <v>0</v>
      </c>
    </row>
    <row r="72" spans="1:70" s="816" customFormat="1" ht="6.75" customHeight="1" thickBot="1" x14ac:dyDescent="0.25">
      <c r="A72" s="840"/>
      <c r="B72" s="1712">
        <v>30.5</v>
      </c>
      <c r="C72" s="721"/>
      <c r="D72" s="1248"/>
      <c r="F72" s="758"/>
      <c r="G72" s="758"/>
      <c r="H72" s="758"/>
      <c r="I72" s="758"/>
      <c r="J72" s="1633"/>
      <c r="K72" s="1248"/>
      <c r="L72" s="1634"/>
      <c r="M72" s="1248"/>
      <c r="N72" s="1634"/>
      <c r="O72" s="1248"/>
      <c r="P72" s="1635"/>
      <c r="Q72" s="1248"/>
      <c r="R72" s="1059"/>
      <c r="S72" s="1618"/>
      <c r="T72" s="1636"/>
      <c r="U72" s="1618"/>
      <c r="V72" s="1623"/>
      <c r="W72" s="1618"/>
      <c r="X72" s="722"/>
      <c r="Y72" s="723"/>
      <c r="Z72" s="724"/>
      <c r="AA72" s="723"/>
      <c r="AB72" s="722"/>
      <c r="AC72" s="723"/>
      <c r="AD72" s="722"/>
      <c r="AE72" s="723"/>
      <c r="AF72" s="1717"/>
      <c r="AG72" s="723"/>
      <c r="AH72" s="1637"/>
      <c r="AI72" s="1624"/>
      <c r="AJ72" s="1624"/>
      <c r="AK72" s="1624"/>
      <c r="AL72" s="1624"/>
      <c r="AM72" s="1625"/>
      <c r="AN72" s="1625"/>
      <c r="AO72" s="1625"/>
      <c r="AP72" s="1625"/>
      <c r="AQ72" s="1625"/>
      <c r="AR72" s="1625"/>
      <c r="AS72" s="1625"/>
      <c r="AT72" s="1625"/>
      <c r="AU72" s="1625"/>
      <c r="AV72" s="1626"/>
      <c r="AW72" s="1626"/>
      <c r="AX72" s="1626"/>
      <c r="AY72" s="1626"/>
      <c r="AZ72" s="1626"/>
      <c r="BA72" s="1626"/>
      <c r="BB72" s="1626"/>
      <c r="BC72" s="1626"/>
      <c r="BD72" s="1626"/>
      <c r="BE72" s="1626"/>
      <c r="BF72" s="1626"/>
      <c r="BG72" s="721"/>
      <c r="BH72" s="1626"/>
      <c r="BI72" s="1626"/>
      <c r="BJ72" s="1626"/>
      <c r="BK72" s="1626"/>
      <c r="BL72" s="1626"/>
      <c r="BM72" s="1626"/>
      <c r="BN72" s="758"/>
      <c r="BO72" s="721">
        <f t="shared" si="2"/>
        <v>0</v>
      </c>
    </row>
    <row r="73" spans="1:70" s="816" customFormat="1" x14ac:dyDescent="0.2">
      <c r="A73" s="840">
        <v>31</v>
      </c>
      <c r="B73" s="1712">
        <v>31</v>
      </c>
      <c r="C73" s="1613"/>
      <c r="D73" s="1248" t="str">
        <f>IF(AND(C73="",C71&lt;&gt;""),"Enter Facility "&amp;TEXT(A73,0)&amp;" Name, then Fill in Columns "&amp;TEXT($H$2,0)&amp;" - "&amp;TEXT($AH$2,0)&amp;"       ","")</f>
        <v/>
      </c>
      <c r="E73" s="1245" t="str">
        <f>IF(AL73="N/A","",AL73)</f>
        <v/>
      </c>
      <c r="F73" s="758"/>
      <c r="G73" s="758"/>
      <c r="H73" s="1614"/>
      <c r="I73" s="758"/>
      <c r="J73" s="1615"/>
      <c r="K73" s="1248" t="str">
        <f>IF(E73&lt;&gt;"","Enter Street Address                   ","")</f>
        <v/>
      </c>
      <c r="L73" s="1615"/>
      <c r="M73" s="1248" t="str">
        <f>IF(E73&lt;&gt;"","Enter City Name       ","")</f>
        <v/>
      </c>
      <c r="N73" s="1613"/>
      <c r="O73" s="1248" t="str">
        <f>IF(E73&lt;&gt;"","Select from Pull-Down List   ","")</f>
        <v/>
      </c>
      <c r="P73" s="1616"/>
      <c r="Q73" s="1248" t="str">
        <f>IF($E73&lt;&gt;"","Enter ZIP Code       ","")</f>
        <v/>
      </c>
      <c r="R73" s="1617"/>
      <c r="S73" s="1618" t="str">
        <f>IF($E73&lt;&gt;"","Select from Pull-Down List  ","")</f>
        <v/>
      </c>
      <c r="T73" s="1617"/>
      <c r="U73" s="1618" t="str">
        <f>IF(AND($C73&lt;&gt;"",T73=""),"Select from Pull-Down List  ","")</f>
        <v/>
      </c>
      <c r="V73" s="1619"/>
      <c r="W73" s="1248" t="str">
        <f>IF(E73&lt;&gt;"","Year?   ","")</f>
        <v/>
      </c>
      <c r="X73" s="1247"/>
      <c r="Y73" s="1620" t="str">
        <f>IF(E73&lt;&gt;"","Sq. Feet?   ","")</f>
        <v/>
      </c>
      <c r="Z73" s="1621"/>
      <c r="AA73" s="1618" t="str">
        <f>IF($E73&lt;&gt;"","% of Cap Resp.","")</f>
        <v/>
      </c>
      <c r="AB73" s="1782" t="str">
        <f ca="1">IFERROR(IF(BK73="", "", IF(BK73&gt;100, 1, VLOOKUP(BK73, Valid!$W$1:$AA$101, VLOOKUP(T73, Codes!$G$7:$I$17, 3, FALSE), FALSE))), "")</f>
        <v/>
      </c>
      <c r="AC73" s="1618"/>
      <c r="AD73" s="1247"/>
      <c r="AE73" s="1620" t="str">
        <f>IF($E73&lt;&gt;"","Drop-Down    ","")</f>
        <v/>
      </c>
      <c r="AF73" s="1720"/>
      <c r="AG73" s="1620" t="b">
        <f>IF(E73&lt;&gt;"","Date?   ")</f>
        <v>0</v>
      </c>
      <c r="AH73" s="1613"/>
      <c r="AI73" s="1248" t="str">
        <f>IF(OR(T73="Other (describe in Notes)",T73="Dual Administrative and Maintenance Facility"),"Describe Facility                                                                                         ","")</f>
        <v/>
      </c>
      <c r="AJ73" s="1624"/>
      <c r="AK73" s="1624" t="b">
        <f>IF(AND(C73="",C75&lt;&gt;""),TRUE,FALSE)</f>
        <v>0</v>
      </c>
      <c r="AL73" s="1624" t="str">
        <f>IF(AND($C73&lt;&gt;"",OR($J73="",$L73="",$N73="",$P73="",$R73="",$T73="",$V73="",$X73="",$Z73="",$AD73="",$AF73="")),"No",IF(AND($C73="",OR($H73&lt;&gt;"",$J73&lt;&gt;"",$L73&lt;&gt;"",$N73&lt;&gt;"",$P73&lt;&gt;"",$R73&lt;&gt;"",$T73&lt;&gt;"",$V73&lt;&gt;"",$X73&lt;&gt;"",$Z73&lt;&gt;"",$AD73&lt;&gt;"",$AF73&lt;&gt;"")),"N",IF(AND($H73="",$C73="",$J73="",$L73="",$N73="",$P73="",$R73="",$T73="",$V73="",$X73="",$Z73="",$AD73="",$AF73=""),"N/A",IF(AND($C73&lt;&gt;"",$J73&lt;&gt;"",$L73&lt;&gt;"",$N73&lt;&gt;"",$P73&lt;&gt;"",$R73&lt;&gt;"",$T73&lt;&gt;"",$V73&lt;&gt;"",$X73&lt;&gt;"",$Z73&lt;&gt;"",$AD73&lt;&gt;"",$AF73&lt;&gt;""),"Yes",""))))</f>
        <v>N/A</v>
      </c>
      <c r="AM73" s="1625" t="b">
        <f ca="1">IF(AND($C73="",OR($J73&lt;&gt;"",$L73&lt;&gt;"",$N73&lt;&gt;"",$P73&lt;&gt;"",$R73&lt;&gt;"",$T73&lt;&gt;"",$V73&lt;&gt;"",$X73&lt;&gt;"",$Z73&lt;&gt;"",$AB73&lt;&gt;"",$AF73&lt;&gt;"")),TRUE,FALSE)</f>
        <v>0</v>
      </c>
      <c r="AN73" s="1625" t="b">
        <f>IF(AND($C73&lt;&gt;"",$J73=""),TRUE,FALSE)</f>
        <v>0</v>
      </c>
      <c r="AO73" s="1625" t="b">
        <f>IF(AND($C73&lt;&gt;"",$L73=""),TRUE,FALSE)</f>
        <v>0</v>
      </c>
      <c r="AP73" s="1625" t="b">
        <f>IF(AND($C73&lt;&gt;"",$N73=""),TRUE,FALSE)</f>
        <v>0</v>
      </c>
      <c r="AQ73" s="1625" t="b">
        <f>IF(AND($C73&lt;&gt;"",$P73=""),TRUE,FALSE)</f>
        <v>0</v>
      </c>
      <c r="AR73" s="1625" t="b">
        <f>IF(AND($C73&lt;&gt;"",$R73=""),TRUE,FALSE)</f>
        <v>0</v>
      </c>
      <c r="AS73" s="1625"/>
      <c r="AT73" s="1625" t="b">
        <f ca="1">IF(AND(T73="",OR(V73&lt;&gt;"",X73&lt;&gt;"",Z73&lt;&gt;"",AB73&lt;&gt;"",AF73&lt;&gt;"")),TRUE,FALSE)</f>
        <v>0</v>
      </c>
      <c r="AU73" s="1625" t="b">
        <f>IF(AND($C73&lt;&gt;"",$T73=""),TRUE,FALSE)</f>
        <v>0</v>
      </c>
      <c r="AV73" s="1625" t="b">
        <f>IF(V73="",FALSE,IF(T73="",FALSE,IF(AW73=TRUE,FALSE,IF(OR(V73&lt;BI73,V73&gt;BaseYear),TRUE,FALSE))))</f>
        <v>0</v>
      </c>
      <c r="AW73" s="1625" t="b">
        <f>IF(AND($C73&lt;&gt;"",$V73=""),TRUE,FALSE)</f>
        <v>0</v>
      </c>
      <c r="AX73" s="1625" t="b">
        <f>IF(X73="",FALSE,IF(T73="",FALSE,IF(AZ73=TRUE,FALSE,IF(X73&lt;BL73,TRUE,FALSE))))</f>
        <v>0</v>
      </c>
      <c r="AY73" s="1625" t="b">
        <f>IF(X73="",FALSE,IF(T73="",FALSE,IF(AZ73=TRUE,FALSE,IF(X73&gt;BM73,TRUE,FALSE))))</f>
        <v>0</v>
      </c>
      <c r="AZ73" s="1625" t="b">
        <f>IF(AND($C73&lt;&gt;"",$X73=""),TRUE,FALSE)</f>
        <v>0</v>
      </c>
      <c r="BA73" s="1626" t="b">
        <f>IF(BB73=TRUE,FALSE,IF(OR(Z73&lt;0,Z73&gt;1),TRUE,FALSE))</f>
        <v>0</v>
      </c>
      <c r="BB73" s="1625" t="b">
        <f>IF(AND($C73&lt;&gt;"",$Z73=""),TRUE,FALSE)</f>
        <v>0</v>
      </c>
      <c r="BC73" s="1626"/>
      <c r="BD73" s="1625" t="b">
        <f ca="1">IF(AND($C73&lt;&gt;"",$AB73=""),TRUE,FALSE)</f>
        <v>0</v>
      </c>
      <c r="BE73" s="1626" t="b">
        <f>IF(OR(AF73="", V73=""),FALSE,IF(COUNT(FIND({0,1,2,3,4,5,6,7,8,9}, AF73))=0, FALSE, IF(YEAR(AF73)&lt;V73, TRUE, FALSE)))</f>
        <v>0</v>
      </c>
      <c r="BF73" s="1625" t="b">
        <f>IF(AND($C73&lt;&gt;"",$AF73=""),TRUE,FALSE)</f>
        <v>0</v>
      </c>
      <c r="BG73" s="721"/>
      <c r="BH73" s="1625" t="str">
        <f>IF($T73="","",VLOOKUP($T73,val_facilities,BH$3,FALSE))</f>
        <v/>
      </c>
      <c r="BI73" s="1627" t="str">
        <f>IF($T73="","",VLOOKUP($T73,val_facilities,BI$3,FALSE))</f>
        <v/>
      </c>
      <c r="BJ73" s="1627" t="str">
        <f>IF($T73="","",VLOOKUP($T73,val_facilities,BJ$3,FALSE))</f>
        <v/>
      </c>
      <c r="BK73" s="1627" t="str">
        <f ca="1">IFERROR(IF(V73="", "", YEAR(TODAY())-V73), "")</f>
        <v/>
      </c>
      <c r="BL73" s="845" t="str">
        <f>IF($T73="","",VLOOKUP($T73,val_facilities,BL$3,FALSE))</f>
        <v/>
      </c>
      <c r="BM73" s="845" t="str">
        <f>IF($T73="","",VLOOKUP($T73,val_facilities,BM$3,FALSE))</f>
        <v/>
      </c>
      <c r="BN73" s="758"/>
      <c r="BO73" s="721">
        <f t="shared" si="2"/>
        <v>0</v>
      </c>
    </row>
    <row r="74" spans="1:70" s="686" customFormat="1" ht="6.75" customHeight="1" thickBot="1" x14ac:dyDescent="0.25">
      <c r="A74" s="1638"/>
      <c r="B74" s="1712">
        <v>31.5</v>
      </c>
      <c r="C74" s="1607"/>
      <c r="D74" s="1248"/>
      <c r="E74" s="721"/>
      <c r="F74" s="758"/>
      <c r="G74" s="758"/>
      <c r="H74" s="758"/>
      <c r="I74" s="758"/>
      <c r="J74" s="1628"/>
      <c r="K74" s="1248"/>
      <c r="L74" s="1629"/>
      <c r="M74" s="1248"/>
      <c r="N74" s="1629"/>
      <c r="O74" s="1248"/>
      <c r="P74" s="1630"/>
      <c r="Q74" s="1248"/>
      <c r="R74" s="1223"/>
      <c r="S74" s="1618"/>
      <c r="T74" s="1608"/>
      <c r="U74" s="1618"/>
      <c r="V74" s="1623"/>
      <c r="W74" s="1618"/>
      <c r="X74" s="1631"/>
      <c r="Y74" s="1632"/>
      <c r="Z74" s="822"/>
      <c r="AA74" s="1632"/>
      <c r="AB74" s="1631"/>
      <c r="AC74" s="1632"/>
      <c r="AD74" s="1631"/>
      <c r="AE74" s="1632"/>
      <c r="AF74" s="1719"/>
      <c r="AG74" s="1632"/>
      <c r="AH74" s="1243"/>
      <c r="AI74" s="1248"/>
      <c r="AJ74" s="758"/>
      <c r="AK74" s="758"/>
      <c r="AL74" s="758"/>
      <c r="AM74" s="1625"/>
      <c r="AN74" s="1625"/>
      <c r="AO74" s="1625"/>
      <c r="AP74" s="1625"/>
      <c r="AQ74" s="1625"/>
      <c r="AR74" s="1625"/>
      <c r="AS74" s="1625"/>
      <c r="AT74" s="1625"/>
      <c r="AU74" s="1625"/>
      <c r="AV74" s="1626"/>
      <c r="AW74" s="1626"/>
      <c r="AX74" s="1626"/>
      <c r="AY74" s="1626"/>
      <c r="AZ74" s="1626"/>
      <c r="BA74" s="1626"/>
      <c r="BB74" s="1626"/>
      <c r="BC74" s="1626"/>
      <c r="BD74" s="1626"/>
      <c r="BE74" s="1626"/>
      <c r="BF74" s="1626"/>
      <c r="BG74" s="721"/>
      <c r="BH74" s="1626"/>
      <c r="BI74" s="1626"/>
      <c r="BJ74" s="1626"/>
      <c r="BK74" s="1626"/>
      <c r="BL74" s="1626"/>
      <c r="BM74" s="1626"/>
      <c r="BN74" s="758"/>
      <c r="BO74" s="721">
        <f t="shared" si="2"/>
        <v>0</v>
      </c>
      <c r="BP74" s="721"/>
      <c r="BQ74" s="721"/>
      <c r="BR74" s="721"/>
    </row>
    <row r="75" spans="1:70" s="686" customFormat="1" x14ac:dyDescent="0.2">
      <c r="A75" s="840">
        <v>32</v>
      </c>
      <c r="B75" s="1712">
        <v>32</v>
      </c>
      <c r="C75" s="1613"/>
      <c r="D75" s="1248" t="str">
        <f>IF(AND(C75="",C73&lt;&gt;""),"Enter Facility "&amp;TEXT(A75,0)&amp;" Name, then Fill in Columns "&amp;TEXT($H$2,0)&amp;" - "&amp;TEXT($AH$2,0)&amp;"       ","")</f>
        <v/>
      </c>
      <c r="E75" s="1245" t="str">
        <f>IF(AL75="N/A","",AL75)</f>
        <v/>
      </c>
      <c r="F75" s="758"/>
      <c r="G75" s="758"/>
      <c r="H75" s="1614"/>
      <c r="I75" s="758"/>
      <c r="J75" s="1615"/>
      <c r="K75" s="1248" t="str">
        <f>IF(E75&lt;&gt;"","Enter Street Address                   ","")</f>
        <v/>
      </c>
      <c r="L75" s="1615"/>
      <c r="M75" s="1248" t="str">
        <f>IF(E75&lt;&gt;"","Enter City Name       ","")</f>
        <v/>
      </c>
      <c r="N75" s="1613"/>
      <c r="O75" s="1248" t="str">
        <f>IF(E75&lt;&gt;"","Select from Pull-Down List   ","")</f>
        <v/>
      </c>
      <c r="P75" s="1616"/>
      <c r="Q75" s="1248" t="str">
        <f>IF($E75&lt;&gt;"","Enter ZIP Code       ","")</f>
        <v/>
      </c>
      <c r="R75" s="1617"/>
      <c r="S75" s="1618" t="str">
        <f>IF($E75&lt;&gt;"","Select from Pull-Down List  ","")</f>
        <v/>
      </c>
      <c r="T75" s="1617"/>
      <c r="U75" s="1618" t="str">
        <f>IF(AND($C75&lt;&gt;"",T75=""),"Select from Pull-Down List  ","")</f>
        <v/>
      </c>
      <c r="V75" s="1619"/>
      <c r="W75" s="1248" t="str">
        <f>IF(E75&lt;&gt;"","Year?   ","")</f>
        <v/>
      </c>
      <c r="X75" s="1247"/>
      <c r="Y75" s="1620" t="str">
        <f>IF(E75&lt;&gt;"","Sq. Feet?   ","")</f>
        <v/>
      </c>
      <c r="Z75" s="1621"/>
      <c r="AA75" s="1618" t="str">
        <f>IF($E75&lt;&gt;"","% of Cap Resp.","")</f>
        <v/>
      </c>
      <c r="AB75" s="1782" t="str">
        <f ca="1">IFERROR(IF(BK75="", "", IF(BK75&gt;100, 1, VLOOKUP(BK75, Valid!$W$1:$AA$101, VLOOKUP(T75, Codes!$G$7:$I$17, 3, FALSE), FALSE))), "")</f>
        <v/>
      </c>
      <c r="AC75" s="1618"/>
      <c r="AD75" s="1247"/>
      <c r="AE75" s="1620" t="str">
        <f>IF($E75&lt;&gt;"","Drop-Down    ","")</f>
        <v/>
      </c>
      <c r="AF75" s="1720"/>
      <c r="AG75" s="1620" t="b">
        <f>IF(E75&lt;&gt;"","Date?   ")</f>
        <v>0</v>
      </c>
      <c r="AH75" s="1613"/>
      <c r="AI75" s="1248" t="str">
        <f>IF(OR(T75="Other (describe in Notes)",T75="Dual Administrative and Maintenance Facility"),"Describe Facility                                                                                         ","")</f>
        <v/>
      </c>
      <c r="AJ75" s="1624"/>
      <c r="AK75" s="1624" t="b">
        <f>IF(AND(C75="",C77&lt;&gt;""),TRUE,FALSE)</f>
        <v>0</v>
      </c>
      <c r="AL75" s="1624" t="str">
        <f>IF(AND($C75&lt;&gt;"",OR($J75="",$L75="",$N75="",$P75="",$R75="",$T75="",$V75="",$X75="",$Z75="",$AD75="",$AF75="")),"No",IF(AND($C75="",OR($H75&lt;&gt;"",$J75&lt;&gt;"",$L75&lt;&gt;"",$N75&lt;&gt;"",$P75&lt;&gt;"",$R75&lt;&gt;"",$T75&lt;&gt;"",$V75&lt;&gt;"",$X75&lt;&gt;"",$Z75&lt;&gt;"",$AD75&lt;&gt;"",$AF75&lt;&gt;"")),"N",IF(AND($H75="",$C75="",$J75="",$L75="",$N75="",$P75="",$R75="",$T75="",$V75="",$X75="",$Z75="",$AD75="",$AF75=""),"N/A",IF(AND($C75&lt;&gt;"",$J75&lt;&gt;"",$L75&lt;&gt;"",$N75&lt;&gt;"",$P75&lt;&gt;"",$R75&lt;&gt;"",$T75&lt;&gt;"",$V75&lt;&gt;"",$X75&lt;&gt;"",$Z75&lt;&gt;"",$AD75&lt;&gt;"",$AF75&lt;&gt;""),"Yes",""))))</f>
        <v>N/A</v>
      </c>
      <c r="AM75" s="1625" t="b">
        <f ca="1">IF(AND($C75="",OR($J75&lt;&gt;"",$L75&lt;&gt;"",$N75&lt;&gt;"",$P75&lt;&gt;"",$R75&lt;&gt;"",$T75&lt;&gt;"",$V75&lt;&gt;"",$X75&lt;&gt;"",$Z75&lt;&gt;"",$AB75&lt;&gt;"",$AF75&lt;&gt;"")),TRUE,FALSE)</f>
        <v>0</v>
      </c>
      <c r="AN75" s="1625" t="b">
        <f>IF(AND($C75&lt;&gt;"",$J75=""),TRUE,FALSE)</f>
        <v>0</v>
      </c>
      <c r="AO75" s="1625" t="b">
        <f>IF(AND($C75&lt;&gt;"",$L75=""),TRUE,FALSE)</f>
        <v>0</v>
      </c>
      <c r="AP75" s="1625" t="b">
        <f>IF(AND($C75&lt;&gt;"",$N75=""),TRUE,FALSE)</f>
        <v>0</v>
      </c>
      <c r="AQ75" s="1625" t="b">
        <f>IF(AND($C75&lt;&gt;"",$P75=""),TRUE,FALSE)</f>
        <v>0</v>
      </c>
      <c r="AR75" s="1625" t="b">
        <f>IF(AND($C75&lt;&gt;"",$R75=""),TRUE,FALSE)</f>
        <v>0</v>
      </c>
      <c r="AS75" s="1625"/>
      <c r="AT75" s="1625" t="b">
        <f ca="1">IF(AND(T75="",OR(V75&lt;&gt;"",X75&lt;&gt;"",Z75&lt;&gt;"",AB75&lt;&gt;"",AF75&lt;&gt;"")),TRUE,FALSE)</f>
        <v>0</v>
      </c>
      <c r="AU75" s="1625" t="b">
        <f>IF(AND($C75&lt;&gt;"",$T75=""),TRUE,FALSE)</f>
        <v>0</v>
      </c>
      <c r="AV75" s="1625" t="b">
        <f>IF(V75="",FALSE,IF(T75="",FALSE,IF(AW75=TRUE,FALSE,IF(OR(V75&lt;BI75,V75&gt;BaseYear),TRUE,FALSE))))</f>
        <v>0</v>
      </c>
      <c r="AW75" s="1625" t="b">
        <f>IF(AND($C75&lt;&gt;"",$V75=""),TRUE,FALSE)</f>
        <v>0</v>
      </c>
      <c r="AX75" s="1625" t="b">
        <f>IF(X75="",FALSE,IF(T75="",FALSE,IF(AZ75=TRUE,FALSE,IF(X75&lt;BL75,TRUE,FALSE))))</f>
        <v>0</v>
      </c>
      <c r="AY75" s="1625" t="b">
        <f>IF(X75="",FALSE,IF(T75="",FALSE,IF(AZ75=TRUE,FALSE,IF(X75&gt;BM75,TRUE,FALSE))))</f>
        <v>0</v>
      </c>
      <c r="AZ75" s="1625" t="b">
        <f>IF(AND($C75&lt;&gt;"",$X75=""),TRUE,FALSE)</f>
        <v>0</v>
      </c>
      <c r="BA75" s="1626" t="b">
        <f>IF(BB75=TRUE,FALSE,IF(OR(Z75&lt;0,Z75&gt;1),TRUE,FALSE))</f>
        <v>0</v>
      </c>
      <c r="BB75" s="1625" t="b">
        <f>IF(AND($C75&lt;&gt;"",$Z75=""),TRUE,FALSE)</f>
        <v>0</v>
      </c>
      <c r="BC75" s="1626"/>
      <c r="BD75" s="1625" t="b">
        <f ca="1">IF(AND($C75&lt;&gt;"",$AB75=""),TRUE,FALSE)</f>
        <v>0</v>
      </c>
      <c r="BE75" s="1626" t="b">
        <f>IF(OR(AF75="", V75=""),FALSE,IF(COUNT(FIND({0,1,2,3,4,5,6,7,8,9}, AF75))=0, FALSE, IF(YEAR(AF75)&lt;V75, TRUE, FALSE)))</f>
        <v>0</v>
      </c>
      <c r="BF75" s="1625" t="b">
        <f>IF(AND($C75&lt;&gt;"",$AF75=""),TRUE,FALSE)</f>
        <v>0</v>
      </c>
      <c r="BG75" s="721"/>
      <c r="BH75" s="1625" t="str">
        <f>IF($T75="","",VLOOKUP($T75,val_facilities,BH$3,FALSE))</f>
        <v/>
      </c>
      <c r="BI75" s="1627" t="str">
        <f>IF($T75="","",VLOOKUP($T75,val_facilities,BI$3,FALSE))</f>
        <v/>
      </c>
      <c r="BJ75" s="1627" t="str">
        <f>IF($T75="","",VLOOKUP($T75,val_facilities,BJ$3,FALSE))</f>
        <v/>
      </c>
      <c r="BK75" s="1627" t="str">
        <f ca="1">IFERROR(IF(V75="", "", YEAR(TODAY())-V75), "")</f>
        <v/>
      </c>
      <c r="BL75" s="845" t="str">
        <f>IF($T75="","",VLOOKUP($T75,val_facilities,BL$3,FALSE))</f>
        <v/>
      </c>
      <c r="BM75" s="845" t="str">
        <f>IF($T75="","",VLOOKUP($T75,val_facilities,BM$3,FALSE))</f>
        <v/>
      </c>
      <c r="BN75" s="758"/>
      <c r="BO75" s="721">
        <f t="shared" si="2"/>
        <v>0</v>
      </c>
      <c r="BP75" s="816"/>
      <c r="BQ75" s="816"/>
      <c r="BR75" s="816"/>
    </row>
    <row r="76" spans="1:70" s="686" customFormat="1" ht="6.75" customHeight="1" thickBot="1" x14ac:dyDescent="0.25">
      <c r="A76" s="1638"/>
      <c r="B76" s="1712">
        <v>32.5</v>
      </c>
      <c r="C76" s="721"/>
      <c r="D76" s="1248"/>
      <c r="E76" s="816"/>
      <c r="F76" s="758"/>
      <c r="G76" s="758"/>
      <c r="H76" s="758"/>
      <c r="I76" s="758"/>
      <c r="J76" s="1633"/>
      <c r="K76" s="1248"/>
      <c r="L76" s="1634"/>
      <c r="M76" s="1248"/>
      <c r="N76" s="1634"/>
      <c r="O76" s="1248"/>
      <c r="P76" s="1635"/>
      <c r="Q76" s="1248"/>
      <c r="R76" s="1059"/>
      <c r="S76" s="1618"/>
      <c r="T76" s="1636"/>
      <c r="U76" s="1618"/>
      <c r="V76" s="1623"/>
      <c r="W76" s="1618"/>
      <c r="X76" s="722"/>
      <c r="Y76" s="723"/>
      <c r="Z76" s="724"/>
      <c r="AA76" s="723"/>
      <c r="AB76" s="722"/>
      <c r="AC76" s="723"/>
      <c r="AD76" s="722"/>
      <c r="AE76" s="723"/>
      <c r="AF76" s="1717"/>
      <c r="AG76" s="723"/>
      <c r="AH76" s="1637"/>
      <c r="AI76" s="1624"/>
      <c r="AJ76" s="1624"/>
      <c r="AK76" s="1624"/>
      <c r="AL76" s="1624"/>
      <c r="AM76" s="1625"/>
      <c r="AN76" s="1625"/>
      <c r="AO76" s="1625"/>
      <c r="AP76" s="1625"/>
      <c r="AQ76" s="1625"/>
      <c r="AR76" s="1625"/>
      <c r="AS76" s="1625"/>
      <c r="AT76" s="1625"/>
      <c r="AU76" s="1625"/>
      <c r="AV76" s="1626"/>
      <c r="AW76" s="1626"/>
      <c r="AX76" s="1626"/>
      <c r="AY76" s="1626"/>
      <c r="AZ76" s="1626"/>
      <c r="BA76" s="1626"/>
      <c r="BB76" s="1626"/>
      <c r="BC76" s="1626"/>
      <c r="BD76" s="1626"/>
      <c r="BE76" s="1626"/>
      <c r="BF76" s="1626"/>
      <c r="BG76" s="721"/>
      <c r="BH76" s="1626"/>
      <c r="BI76" s="1626"/>
      <c r="BJ76" s="1626"/>
      <c r="BK76" s="1626"/>
      <c r="BL76" s="1626"/>
      <c r="BM76" s="1626"/>
      <c r="BN76" s="758"/>
      <c r="BO76" s="721">
        <f t="shared" si="2"/>
        <v>0</v>
      </c>
      <c r="BP76" s="816"/>
      <c r="BQ76" s="816"/>
      <c r="BR76" s="816"/>
    </row>
    <row r="77" spans="1:70" s="686" customFormat="1" x14ac:dyDescent="0.2">
      <c r="A77" s="840">
        <v>33</v>
      </c>
      <c r="B77" s="1712">
        <v>33</v>
      </c>
      <c r="C77" s="1613"/>
      <c r="D77" s="1248" t="str">
        <f>IF(AND(C77="",C75&lt;&gt;""),"Enter Facility "&amp;TEXT(A77,0)&amp;" Name, then Fill in Columns "&amp;TEXT($H$2,0)&amp;" - "&amp;TEXT($AH$2,0)&amp;"       ","")</f>
        <v/>
      </c>
      <c r="E77" s="1245" t="str">
        <f>IF(AL77="N/A","",AL77)</f>
        <v/>
      </c>
      <c r="F77" s="758"/>
      <c r="G77" s="758"/>
      <c r="H77" s="1614"/>
      <c r="I77" s="758"/>
      <c r="J77" s="1615"/>
      <c r="K77" s="1248" t="str">
        <f>IF(E77&lt;&gt;"","Enter Street Address                   ","")</f>
        <v/>
      </c>
      <c r="L77" s="1615"/>
      <c r="M77" s="1248" t="str">
        <f>IF(E77&lt;&gt;"","Enter City Name       ","")</f>
        <v/>
      </c>
      <c r="N77" s="1613"/>
      <c r="O77" s="1248" t="str">
        <f>IF(E77&lt;&gt;"","Select from Pull-Down List   ","")</f>
        <v/>
      </c>
      <c r="P77" s="1616"/>
      <c r="Q77" s="1248" t="str">
        <f>IF($E77&lt;&gt;"","Enter ZIP Code       ","")</f>
        <v/>
      </c>
      <c r="R77" s="1617"/>
      <c r="S77" s="1618" t="str">
        <f>IF($E77&lt;&gt;"","Select from Pull-Down List  ","")</f>
        <v/>
      </c>
      <c r="T77" s="1617"/>
      <c r="U77" s="1618" t="str">
        <f>IF(AND($C77&lt;&gt;"",T77=""),"Select from Pull-Down List  ","")</f>
        <v/>
      </c>
      <c r="V77" s="1619"/>
      <c r="W77" s="1248" t="str">
        <f>IF(E77&lt;&gt;"","Year?   ","")</f>
        <v/>
      </c>
      <c r="X77" s="1247"/>
      <c r="Y77" s="1620" t="str">
        <f>IF(E77&lt;&gt;"","Sq. Feet?   ","")</f>
        <v/>
      </c>
      <c r="Z77" s="1621"/>
      <c r="AA77" s="1618" t="str">
        <f>IF($E77&lt;&gt;"","% of Cap Resp.","")</f>
        <v/>
      </c>
      <c r="AB77" s="1782" t="str">
        <f ca="1">IFERROR(IF(BK77="", "", IF(BK77&gt;100, 1, VLOOKUP(BK77, Valid!$W$1:$AA$101, VLOOKUP(T77, Codes!$G$7:$I$17, 3, FALSE), FALSE))), "")</f>
        <v/>
      </c>
      <c r="AC77" s="1618"/>
      <c r="AD77" s="1247"/>
      <c r="AE77" s="1620" t="str">
        <f>IF($E77&lt;&gt;"","Drop-Down    ","")</f>
        <v/>
      </c>
      <c r="AF77" s="1720"/>
      <c r="AG77" s="1620" t="b">
        <f>IF(E77&lt;&gt;"","Date?   ")</f>
        <v>0</v>
      </c>
      <c r="AH77" s="1613"/>
      <c r="AI77" s="1248" t="str">
        <f>IF(OR(T77="Other (describe in Notes)",T77="Dual Administrative and Maintenance Facility"),"Describe Facility                                                                                         ","")</f>
        <v/>
      </c>
      <c r="AJ77" s="1624"/>
      <c r="AK77" s="1624" t="b">
        <f>IF(AND(C77="",C79&lt;&gt;""),TRUE,FALSE)</f>
        <v>0</v>
      </c>
      <c r="AL77" s="1624" t="str">
        <f>IF(AND($C77&lt;&gt;"",OR($J77="",$L77="",$N77="",$P77="",$R77="",$T77="",$V77="",$X77="",$Z77="",$AD77="",$AF77="")),"No",IF(AND($C77="",OR($H77&lt;&gt;"",$J77&lt;&gt;"",$L77&lt;&gt;"",$N77&lt;&gt;"",$P77&lt;&gt;"",$R77&lt;&gt;"",$T77&lt;&gt;"",$V77&lt;&gt;"",$X77&lt;&gt;"",$Z77&lt;&gt;"",$AD77&lt;&gt;"",$AF77&lt;&gt;"")),"N",IF(AND($H77="",$C77="",$J77="",$L77="",$N77="",$P77="",$R77="",$T77="",$V77="",$X77="",$Z77="",$AD77="",$AF77=""),"N/A",IF(AND($C77&lt;&gt;"",$J77&lt;&gt;"",$L77&lt;&gt;"",$N77&lt;&gt;"",$P77&lt;&gt;"",$R77&lt;&gt;"",$T77&lt;&gt;"",$V77&lt;&gt;"",$X77&lt;&gt;"",$Z77&lt;&gt;"",$AD77&lt;&gt;"",$AF77&lt;&gt;""),"Yes",""))))</f>
        <v>N/A</v>
      </c>
      <c r="AM77" s="1625" t="b">
        <f ca="1">IF(AND($C77="",OR($J77&lt;&gt;"",$L77&lt;&gt;"",$N77&lt;&gt;"",$P77&lt;&gt;"",$R77&lt;&gt;"",$T77&lt;&gt;"",$V77&lt;&gt;"",$X77&lt;&gt;"",$Z77&lt;&gt;"",$AB77&lt;&gt;"",$AF77&lt;&gt;"")),TRUE,FALSE)</f>
        <v>0</v>
      </c>
      <c r="AN77" s="1625" t="b">
        <f>IF(AND($C77&lt;&gt;"",$J77=""),TRUE,FALSE)</f>
        <v>0</v>
      </c>
      <c r="AO77" s="1625" t="b">
        <f>IF(AND($C77&lt;&gt;"",$L77=""),TRUE,FALSE)</f>
        <v>0</v>
      </c>
      <c r="AP77" s="1625" t="b">
        <f>IF(AND($C77&lt;&gt;"",$N77=""),TRUE,FALSE)</f>
        <v>0</v>
      </c>
      <c r="AQ77" s="1625" t="b">
        <f>IF(AND($C77&lt;&gt;"",$P77=""),TRUE,FALSE)</f>
        <v>0</v>
      </c>
      <c r="AR77" s="1625" t="b">
        <f>IF(AND($C77&lt;&gt;"",$R77=""),TRUE,FALSE)</f>
        <v>0</v>
      </c>
      <c r="AS77" s="1625"/>
      <c r="AT77" s="1625" t="b">
        <f ca="1">IF(AND(T77="",OR(V77&lt;&gt;"",X77&lt;&gt;"",Z77&lt;&gt;"",AB77&lt;&gt;"",AF77&lt;&gt;"")),TRUE,FALSE)</f>
        <v>0</v>
      </c>
      <c r="AU77" s="1625" t="b">
        <f>IF(AND($C77&lt;&gt;"",$T77=""),TRUE,FALSE)</f>
        <v>0</v>
      </c>
      <c r="AV77" s="1625" t="b">
        <f>IF(V77="",FALSE,IF(T77="",FALSE,IF(AW77=TRUE,FALSE,IF(OR(V77&lt;BI77,V77&gt;BaseYear),TRUE,FALSE))))</f>
        <v>0</v>
      </c>
      <c r="AW77" s="1625" t="b">
        <f>IF(AND($C77&lt;&gt;"",$V77=""),TRUE,FALSE)</f>
        <v>0</v>
      </c>
      <c r="AX77" s="1625" t="b">
        <f>IF(X77="",FALSE,IF(T77="",FALSE,IF(AZ77=TRUE,FALSE,IF(X77&lt;BL77,TRUE,FALSE))))</f>
        <v>0</v>
      </c>
      <c r="AY77" s="1625" t="b">
        <f>IF(X77="",FALSE,IF(T77="",FALSE,IF(AZ77=TRUE,FALSE,IF(X77&gt;BM77,TRUE,FALSE))))</f>
        <v>0</v>
      </c>
      <c r="AZ77" s="1625" t="b">
        <f>IF(AND($C77&lt;&gt;"",$X77=""),TRUE,FALSE)</f>
        <v>0</v>
      </c>
      <c r="BA77" s="1626" t="b">
        <f>IF(BB77=TRUE,FALSE,IF(OR(Z77&lt;0,Z77&gt;1),TRUE,FALSE))</f>
        <v>0</v>
      </c>
      <c r="BB77" s="1625" t="b">
        <f>IF(AND($C77&lt;&gt;"",$Z77=""),TRUE,FALSE)</f>
        <v>0</v>
      </c>
      <c r="BC77" s="1626"/>
      <c r="BD77" s="1625" t="b">
        <f ca="1">IF(AND($C77&lt;&gt;"",$AB77=""),TRUE,FALSE)</f>
        <v>0</v>
      </c>
      <c r="BE77" s="1626" t="b">
        <f>IF(OR(AF77="", V77=""),FALSE,IF(COUNT(FIND({0,1,2,3,4,5,6,7,8,9}, AF77))=0, FALSE, IF(YEAR(AF77)&lt;V77, TRUE, FALSE)))</f>
        <v>0</v>
      </c>
      <c r="BF77" s="1625" t="b">
        <f>IF(AND($C77&lt;&gt;"",$AF77=""),TRUE,FALSE)</f>
        <v>0</v>
      </c>
      <c r="BG77" s="721"/>
      <c r="BH77" s="1625" t="str">
        <f>IF($T77="","",VLOOKUP($T77,val_facilities,BH$3,FALSE))</f>
        <v/>
      </c>
      <c r="BI77" s="1627" t="str">
        <f>IF($T77="","",VLOOKUP($T77,val_facilities,BI$3,FALSE))</f>
        <v/>
      </c>
      <c r="BJ77" s="1627" t="str">
        <f>IF($T77="","",VLOOKUP($T77,val_facilities,BJ$3,FALSE))</f>
        <v/>
      </c>
      <c r="BK77" s="1627" t="str">
        <f ca="1">IFERROR(IF(V77="", "", YEAR(TODAY())-V77), "")</f>
        <v/>
      </c>
      <c r="BL77" s="845" t="str">
        <f>IF($T77="","",VLOOKUP($T77,val_facilities,BL$3,FALSE))</f>
        <v/>
      </c>
      <c r="BM77" s="845" t="str">
        <f>IF($T77="","",VLOOKUP($T77,val_facilities,BM$3,FALSE))</f>
        <v/>
      </c>
      <c r="BN77" s="758"/>
      <c r="BO77" s="721">
        <f t="shared" si="2"/>
        <v>0</v>
      </c>
      <c r="BP77" s="816"/>
      <c r="BQ77" s="816"/>
      <c r="BR77" s="816"/>
    </row>
    <row r="78" spans="1:70" s="686" customFormat="1" ht="6.75" customHeight="1" thickBot="1" x14ac:dyDescent="0.25">
      <c r="A78" s="1638"/>
      <c r="B78" s="1712">
        <v>33.5</v>
      </c>
      <c r="C78" s="1057"/>
      <c r="D78" s="1248"/>
      <c r="E78" s="1057"/>
      <c r="F78" s="1229"/>
      <c r="G78" s="1229"/>
      <c r="H78" s="1229"/>
      <c r="I78" s="1229"/>
      <c r="J78" s="1604"/>
      <c r="K78" s="1640"/>
      <c r="L78" s="1641"/>
      <c r="M78" s="1248"/>
      <c r="N78" s="1641"/>
      <c r="O78" s="1248"/>
      <c r="P78" s="1642"/>
      <c r="Q78" s="1248"/>
      <c r="R78" s="1057"/>
      <c r="S78" s="1618"/>
      <c r="T78" s="1643"/>
      <c r="U78" s="1618"/>
      <c r="V78" s="1623"/>
      <c r="W78" s="1618"/>
      <c r="X78" s="733"/>
      <c r="Y78" s="1275"/>
      <c r="Z78" s="685"/>
      <c r="AA78" s="1275"/>
      <c r="AB78" s="733"/>
      <c r="AC78" s="1275"/>
      <c r="AD78" s="733"/>
      <c r="AE78" s="1275"/>
      <c r="AF78" s="1721"/>
      <c r="AG78" s="1275"/>
      <c r="AH78" s="1057"/>
      <c r="AI78" s="1644"/>
      <c r="AJ78" s="1644"/>
      <c r="AK78" s="1644"/>
      <c r="AL78" s="1644"/>
      <c r="AM78" s="1625"/>
      <c r="AN78" s="1625"/>
      <c r="AO78" s="1625"/>
      <c r="AP78" s="1625"/>
      <c r="AQ78" s="1625"/>
      <c r="AR78" s="848"/>
      <c r="AS78" s="848"/>
      <c r="AT78" s="848"/>
      <c r="AU78" s="848"/>
      <c r="AV78" s="848"/>
      <c r="AW78" s="848"/>
      <c r="AX78" s="848"/>
      <c r="AY78" s="848"/>
      <c r="AZ78" s="848"/>
      <c r="BA78" s="848"/>
      <c r="BB78" s="848"/>
      <c r="BC78" s="848"/>
      <c r="BD78" s="848"/>
      <c r="BE78" s="848"/>
      <c r="BF78" s="848"/>
      <c r="BG78" s="685"/>
      <c r="BH78" s="848"/>
      <c r="BI78" s="848"/>
      <c r="BJ78" s="848"/>
      <c r="BK78" s="848"/>
      <c r="BL78" s="848"/>
      <c r="BM78" s="848"/>
      <c r="BN78" s="1229"/>
      <c r="BO78" s="721">
        <f t="shared" ref="BO78:BO141" si="3">IF(OR(AD78=" ",AD78= "na"),AB78,AD78)</f>
        <v>0</v>
      </c>
    </row>
    <row r="79" spans="1:70" s="816" customFormat="1" x14ac:dyDescent="0.2">
      <c r="A79" s="840">
        <v>34</v>
      </c>
      <c r="B79" s="1712">
        <v>34</v>
      </c>
      <c r="C79" s="1613"/>
      <c r="D79" s="1248" t="str">
        <f>IF(AND(C79="",C77&lt;&gt;""),"Enter Facility "&amp;TEXT(A79,0)&amp;" Name, then Fill in Columns "&amp;TEXT($H$2,0)&amp;" - "&amp;TEXT($AH$2,0)&amp;"       ","")</f>
        <v/>
      </c>
      <c r="E79" s="1245" t="str">
        <f>IF(AL79="N/A","",AL79)</f>
        <v/>
      </c>
      <c r="F79" s="758"/>
      <c r="G79" s="758"/>
      <c r="H79" s="1614"/>
      <c r="I79" s="758"/>
      <c r="J79" s="1615"/>
      <c r="K79" s="1248" t="str">
        <f>IF(E79&lt;&gt;"","Enter Street Address                   ","")</f>
        <v/>
      </c>
      <c r="L79" s="1615"/>
      <c r="M79" s="1248" t="str">
        <f>IF(E79&lt;&gt;"","Enter City Name       ","")</f>
        <v/>
      </c>
      <c r="N79" s="1613"/>
      <c r="O79" s="1248" t="str">
        <f>IF(E79&lt;&gt;"","Select from Pull-Down List   ","")</f>
        <v/>
      </c>
      <c r="P79" s="1616"/>
      <c r="Q79" s="1248" t="str">
        <f>IF($E79&lt;&gt;"","Enter ZIP Code       ","")</f>
        <v/>
      </c>
      <c r="R79" s="1617"/>
      <c r="S79" s="1618" t="str">
        <f>IF($E79&lt;&gt;"","Select from Pull-Down List  ","")</f>
        <v/>
      </c>
      <c r="T79" s="1617"/>
      <c r="U79" s="1618" t="str">
        <f>IF(AND($C79&lt;&gt;"",T79=""),"Select from Pull-Down List  ","")</f>
        <v/>
      </c>
      <c r="V79" s="1619"/>
      <c r="W79" s="1248" t="str">
        <f>IF(E79&lt;&gt;"","Year?   ","")</f>
        <v/>
      </c>
      <c r="X79" s="1247"/>
      <c r="Y79" s="1620" t="str">
        <f>IF(E79&lt;&gt;"","Sq. Feet?   ","")</f>
        <v/>
      </c>
      <c r="Z79" s="1621"/>
      <c r="AA79" s="1618" t="str">
        <f>IF($E79&lt;&gt;"","% of Cap Resp.","")</f>
        <v/>
      </c>
      <c r="AB79" s="1782" t="str">
        <f ca="1">IFERROR(IF(BK79="", "", IF(BK79&gt;100, 1, VLOOKUP(BK79, Valid!$W$1:$AA$101, VLOOKUP(T79, Codes!$G$7:$I$17, 3, FALSE), FALSE))), "")</f>
        <v/>
      </c>
      <c r="AC79" s="1618"/>
      <c r="AD79" s="1247"/>
      <c r="AE79" s="1620" t="str">
        <f>IF($E79&lt;&gt;"","Drop-Down    ","")</f>
        <v/>
      </c>
      <c r="AF79" s="1720"/>
      <c r="AG79" s="1620" t="b">
        <f>IF(E79&lt;&gt;"","Date?   ")</f>
        <v>0</v>
      </c>
      <c r="AH79" s="1613"/>
      <c r="AI79" s="1248" t="str">
        <f>IF(OR(T79="Other (describe in Notes)",T79="Dual Administrative and Maintenance Facility"),"Describe Facility                                                                                         ","")</f>
        <v/>
      </c>
      <c r="AJ79" s="1624"/>
      <c r="AK79" s="1624" t="b">
        <f>IF(AND(C79="",C81&lt;&gt;""),TRUE,FALSE)</f>
        <v>0</v>
      </c>
      <c r="AL79" s="1624" t="str">
        <f>IF(AND($C79&lt;&gt;"",OR($J79="",$L79="",$N79="",$P79="",$R79="",$T79="",$V79="",$X79="",$Z79="",$AD79="",$AF79="")),"No",IF(AND($C79="",OR($H79&lt;&gt;"",$J79&lt;&gt;"",$L79&lt;&gt;"",$N79&lt;&gt;"",$P79&lt;&gt;"",$R79&lt;&gt;"",$T79&lt;&gt;"",$V79&lt;&gt;"",$X79&lt;&gt;"",$Z79&lt;&gt;"",$AD79&lt;&gt;"",$AF79&lt;&gt;"")),"N",IF(AND($H79="",$C79="",$J79="",$L79="",$N79="",$P79="",$R79="",$T79="",$V79="",$X79="",$Z79="",$AD79="",$AF79=""),"N/A",IF(AND($C79&lt;&gt;"",$J79&lt;&gt;"",$L79&lt;&gt;"",$N79&lt;&gt;"",$P79&lt;&gt;"",$R79&lt;&gt;"",$T79&lt;&gt;"",$V79&lt;&gt;"",$X79&lt;&gt;"",$Z79&lt;&gt;"",$AD79&lt;&gt;"",$AF79&lt;&gt;""),"Yes",""))))</f>
        <v>N/A</v>
      </c>
      <c r="AM79" s="1625" t="b">
        <f ca="1">IF(AND($C79="",OR($J79&lt;&gt;"",$L79&lt;&gt;"",$N79&lt;&gt;"",$P79&lt;&gt;"",$R79&lt;&gt;"",$T79&lt;&gt;"",$V79&lt;&gt;"",$X79&lt;&gt;"",$Z79&lt;&gt;"",$AB79&lt;&gt;"",$AF79&lt;&gt;"")),TRUE,FALSE)</f>
        <v>0</v>
      </c>
      <c r="AN79" s="1625" t="b">
        <f>IF(AND($C79&lt;&gt;"",$J79=""),TRUE,FALSE)</f>
        <v>0</v>
      </c>
      <c r="AO79" s="1625" t="b">
        <f>IF(AND($C79&lt;&gt;"",$L79=""),TRUE,FALSE)</f>
        <v>0</v>
      </c>
      <c r="AP79" s="1625" t="b">
        <f>IF(AND($C79&lt;&gt;"",$N79=""),TRUE,FALSE)</f>
        <v>0</v>
      </c>
      <c r="AQ79" s="1625" t="b">
        <f>IF(AND($C79&lt;&gt;"",$P79=""),TRUE,FALSE)</f>
        <v>0</v>
      </c>
      <c r="AR79" s="1625" t="b">
        <f>IF(AND($C79&lt;&gt;"",$R79=""),TRUE,FALSE)</f>
        <v>0</v>
      </c>
      <c r="AS79" s="1625"/>
      <c r="AT79" s="1625" t="b">
        <f ca="1">IF(AND(T79="",OR(V79&lt;&gt;"",X79&lt;&gt;"",Z79&lt;&gt;"",AB79&lt;&gt;"",AF79&lt;&gt;"")),TRUE,FALSE)</f>
        <v>0</v>
      </c>
      <c r="AU79" s="1625" t="b">
        <f>IF(AND($C79&lt;&gt;"",$T79=""),TRUE,FALSE)</f>
        <v>0</v>
      </c>
      <c r="AV79" s="1625" t="b">
        <f>IF(V79="",FALSE,IF(T79="",FALSE,IF(AW79=TRUE,FALSE,IF(OR(V79&lt;BI79,V79&gt;BaseYear),TRUE,FALSE))))</f>
        <v>0</v>
      </c>
      <c r="AW79" s="1625" t="b">
        <f>IF(AND($C79&lt;&gt;"",$V79=""),TRUE,FALSE)</f>
        <v>0</v>
      </c>
      <c r="AX79" s="1625" t="b">
        <f>IF(X79="",FALSE,IF(T79="",FALSE,IF(AZ79=TRUE,FALSE,IF(X79&lt;BL79,TRUE,FALSE))))</f>
        <v>0</v>
      </c>
      <c r="AY79" s="1625" t="b">
        <f>IF(X79="",FALSE,IF(T79="",FALSE,IF(AZ79=TRUE,FALSE,IF(X79&gt;BM79,TRUE,FALSE))))</f>
        <v>0</v>
      </c>
      <c r="AZ79" s="1625" t="b">
        <f>IF(AND($C79&lt;&gt;"",$X79=""),TRUE,FALSE)</f>
        <v>0</v>
      </c>
      <c r="BA79" s="1626" t="b">
        <f>IF(BB79=TRUE,FALSE,IF(OR(Z79&lt;0,Z79&gt;1),TRUE,FALSE))</f>
        <v>0</v>
      </c>
      <c r="BB79" s="1625" t="b">
        <f>IF(AND($C79&lt;&gt;"",$Z79=""),TRUE,FALSE)</f>
        <v>0</v>
      </c>
      <c r="BC79" s="1626"/>
      <c r="BD79" s="1625" t="b">
        <f ca="1">IF(AND($C79&lt;&gt;"",$AB79=""),TRUE,FALSE)</f>
        <v>0</v>
      </c>
      <c r="BE79" s="1626" t="b">
        <f>IF(OR(AF79="", V79=""),FALSE,IF(COUNT(FIND({0,1,2,3,4,5,6,7,8,9}, AF79))=0, FALSE, IF(YEAR(AF79)&lt;V79, TRUE, FALSE)))</f>
        <v>0</v>
      </c>
      <c r="BF79" s="1625" t="b">
        <f>IF(AND($C79&lt;&gt;"",$AF79=""),TRUE,FALSE)</f>
        <v>0</v>
      </c>
      <c r="BG79" s="721"/>
      <c r="BH79" s="1625" t="str">
        <f>IF($T79="","",VLOOKUP($T79,val_facilities,BH$3,FALSE))</f>
        <v/>
      </c>
      <c r="BI79" s="1627" t="str">
        <f>IF($T79="","",VLOOKUP($T79,val_facilities,BI$3,FALSE))</f>
        <v/>
      </c>
      <c r="BJ79" s="1627" t="str">
        <f>IF($T79="","",VLOOKUP($T79,val_facilities,BJ$3,FALSE))</f>
        <v/>
      </c>
      <c r="BK79" s="1627" t="str">
        <f ca="1">IFERROR(IF(V79="", "", YEAR(TODAY())-V79), "")</f>
        <v/>
      </c>
      <c r="BL79" s="845" t="str">
        <f>IF($T79="","",VLOOKUP($T79,val_facilities,BL$3,FALSE))</f>
        <v/>
      </c>
      <c r="BM79" s="845" t="str">
        <f>IF($T79="","",VLOOKUP($T79,val_facilities,BM$3,FALSE))</f>
        <v/>
      </c>
      <c r="BN79" s="758"/>
      <c r="BO79" s="721">
        <f t="shared" si="3"/>
        <v>0</v>
      </c>
    </row>
    <row r="80" spans="1:70" s="816" customFormat="1" ht="6.75" customHeight="1" thickBot="1" x14ac:dyDescent="0.25">
      <c r="A80" s="840"/>
      <c r="B80" s="1712">
        <v>34.5</v>
      </c>
      <c r="C80" s="1057"/>
      <c r="D80" s="1248"/>
      <c r="E80" s="1639"/>
      <c r="F80" s="1229"/>
      <c r="G80" s="1229"/>
      <c r="H80" s="1229"/>
      <c r="I80" s="1229"/>
      <c r="J80" s="1604"/>
      <c r="K80" s="1640"/>
      <c r="L80" s="1645"/>
      <c r="M80" s="1646"/>
      <c r="N80" s="1645"/>
      <c r="O80" s="1646"/>
      <c r="P80" s="1647"/>
      <c r="Q80" s="1646"/>
      <c r="R80" s="1057"/>
      <c r="S80" s="1618"/>
      <c r="T80" s="1643"/>
      <c r="U80" s="1618"/>
      <c r="V80" s="1623"/>
      <c r="W80" s="1618"/>
      <c r="X80" s="722"/>
      <c r="Y80" s="1648"/>
      <c r="Z80" s="841"/>
      <c r="AA80" s="1648"/>
      <c r="AB80" s="722"/>
      <c r="AC80" s="1648"/>
      <c r="AD80" s="722"/>
      <c r="AE80" s="1648"/>
      <c r="AF80" s="1717"/>
      <c r="AG80" s="1648"/>
      <c r="AH80" s="1057"/>
      <c r="AI80" s="1644"/>
      <c r="AJ80" s="1644"/>
      <c r="AK80" s="1644"/>
      <c r="AL80" s="1644"/>
      <c r="AM80" s="1625"/>
      <c r="AN80" s="1625"/>
      <c r="AO80" s="1625"/>
      <c r="AP80" s="1625"/>
      <c r="AQ80" s="1625"/>
      <c r="AR80" s="848"/>
      <c r="AS80" s="848"/>
      <c r="AT80" s="848"/>
      <c r="AU80" s="848"/>
      <c r="AV80" s="848"/>
      <c r="AW80" s="848"/>
      <c r="AX80" s="848"/>
      <c r="AY80" s="848"/>
      <c r="AZ80" s="848"/>
      <c r="BA80" s="848"/>
      <c r="BB80" s="848"/>
      <c r="BC80" s="848"/>
      <c r="BD80" s="848"/>
      <c r="BE80" s="848"/>
      <c r="BF80" s="848"/>
      <c r="BG80" s="685"/>
      <c r="BH80" s="848"/>
      <c r="BI80" s="848"/>
      <c r="BJ80" s="848"/>
      <c r="BK80" s="848"/>
      <c r="BL80" s="848"/>
      <c r="BM80" s="848"/>
      <c r="BN80" s="1229"/>
      <c r="BO80" s="721">
        <f t="shared" si="3"/>
        <v>0</v>
      </c>
      <c r="BP80" s="686"/>
      <c r="BQ80" s="686"/>
      <c r="BR80" s="686"/>
    </row>
    <row r="81" spans="1:70" s="816" customFormat="1" x14ac:dyDescent="0.2">
      <c r="A81" s="840">
        <v>35</v>
      </c>
      <c r="B81" s="1712">
        <v>35</v>
      </c>
      <c r="C81" s="1613"/>
      <c r="D81" s="1248" t="str">
        <f>IF(AND(C81="",C79&lt;&gt;""),"Enter Facility "&amp;TEXT(A81,0)&amp;" Name, then Fill in Columns "&amp;TEXT($H$2,0)&amp;" - "&amp;TEXT($AH$2,0)&amp;"       ","")</f>
        <v/>
      </c>
      <c r="E81" s="1245" t="str">
        <f>IF(AL81="N/A","",AL81)</f>
        <v/>
      </c>
      <c r="F81" s="758"/>
      <c r="G81" s="758"/>
      <c r="H81" s="1614"/>
      <c r="I81" s="758"/>
      <c r="J81" s="1615"/>
      <c r="K81" s="1248" t="str">
        <f>IF(E81&lt;&gt;"","Enter Street Address                   ","")</f>
        <v/>
      </c>
      <c r="L81" s="1615"/>
      <c r="M81" s="1248" t="str">
        <f>IF(E81&lt;&gt;"","Enter City Name       ","")</f>
        <v/>
      </c>
      <c r="N81" s="1613"/>
      <c r="O81" s="1248" t="str">
        <f>IF(E81&lt;&gt;"","Select from Pull-Down List   ","")</f>
        <v/>
      </c>
      <c r="P81" s="1616"/>
      <c r="Q81" s="1248" t="str">
        <f>IF($E81&lt;&gt;"","Enter ZIP Code       ","")</f>
        <v/>
      </c>
      <c r="R81" s="1617"/>
      <c r="S81" s="1618" t="str">
        <f>IF($E81&lt;&gt;"","Select from Pull-Down List  ","")</f>
        <v/>
      </c>
      <c r="T81" s="1617"/>
      <c r="U81" s="1618" t="str">
        <f>IF(AND($C81&lt;&gt;"",T81=""),"Select from Pull-Down List  ","")</f>
        <v/>
      </c>
      <c r="V81" s="1619"/>
      <c r="W81" s="1248" t="str">
        <f>IF(E81&lt;&gt;"","Year?   ","")</f>
        <v/>
      </c>
      <c r="X81" s="1247"/>
      <c r="Y81" s="1620" t="str">
        <f>IF(E81&lt;&gt;"","Sq. Feet?   ","")</f>
        <v/>
      </c>
      <c r="Z81" s="1621"/>
      <c r="AA81" s="1618" t="str">
        <f>IF($E81&lt;&gt;"","% of Cap Resp.","")</f>
        <v/>
      </c>
      <c r="AB81" s="1782" t="str">
        <f ca="1">IFERROR(IF(BK81="", "", IF(BK81&gt;100, 1, VLOOKUP(BK81, Valid!$W$1:$AA$101, VLOOKUP(T81, Codes!$G$7:$I$17, 3, FALSE), FALSE))), "")</f>
        <v/>
      </c>
      <c r="AC81" s="1618"/>
      <c r="AD81" s="1247"/>
      <c r="AE81" s="1620" t="str">
        <f>IF($E81&lt;&gt;"","Drop-Down    ","")</f>
        <v/>
      </c>
      <c r="AF81" s="1720"/>
      <c r="AG81" s="1620" t="b">
        <f>IF(E81&lt;&gt;"","Date?   ")</f>
        <v>0</v>
      </c>
      <c r="AH81" s="1613"/>
      <c r="AI81" s="1248" t="str">
        <f>IF(OR(T81="Other (describe in Notes)",T81="Dual Administrative and Maintenance Facility"),"Describe Facility                                                                                         ","")</f>
        <v/>
      </c>
      <c r="AJ81" s="1624"/>
      <c r="AK81" s="1624" t="b">
        <f>IF(AND(C81="",C83&lt;&gt;""),TRUE,FALSE)</f>
        <v>0</v>
      </c>
      <c r="AL81" s="1624" t="str">
        <f>IF(AND($C81&lt;&gt;"",OR($J81="",$L81="",$N81="",$P81="",$R81="",$T81="",$V81="",$X81="",$Z81="",$AD81="",$AF81="")),"No",IF(AND($C81="",OR($H81&lt;&gt;"",$J81&lt;&gt;"",$L81&lt;&gt;"",$N81&lt;&gt;"",$P81&lt;&gt;"",$R81&lt;&gt;"",$T81&lt;&gt;"",$V81&lt;&gt;"",$X81&lt;&gt;"",$Z81&lt;&gt;"",$AD81&lt;&gt;"",$AF81&lt;&gt;"")),"N",IF(AND($H81="",$C81="",$J81="",$L81="",$N81="",$P81="",$R81="",$T81="",$V81="",$X81="",$Z81="",$AD81="",$AF81=""),"N/A",IF(AND($C81&lt;&gt;"",$J81&lt;&gt;"",$L81&lt;&gt;"",$N81&lt;&gt;"",$P81&lt;&gt;"",$R81&lt;&gt;"",$T81&lt;&gt;"",$V81&lt;&gt;"",$X81&lt;&gt;"",$Z81&lt;&gt;"",$AD81&lt;&gt;"",$AF81&lt;&gt;""),"Yes",""))))</f>
        <v>N/A</v>
      </c>
      <c r="AM81" s="1625" t="b">
        <f ca="1">IF(AND($C81="",OR($J81&lt;&gt;"",$L81&lt;&gt;"",$N81&lt;&gt;"",$P81&lt;&gt;"",$R81&lt;&gt;"",$T81&lt;&gt;"",$V81&lt;&gt;"",$X81&lt;&gt;"",$Z81&lt;&gt;"",$AB81&lt;&gt;"",$AF81&lt;&gt;"")),TRUE,FALSE)</f>
        <v>0</v>
      </c>
      <c r="AN81" s="1625" t="b">
        <f>IF(AND($C81&lt;&gt;"",$J81=""),TRUE,FALSE)</f>
        <v>0</v>
      </c>
      <c r="AO81" s="1625" t="b">
        <f>IF(AND($C81&lt;&gt;"",$L81=""),TRUE,FALSE)</f>
        <v>0</v>
      </c>
      <c r="AP81" s="1625" t="b">
        <f>IF(AND($C81&lt;&gt;"",$N81=""),TRUE,FALSE)</f>
        <v>0</v>
      </c>
      <c r="AQ81" s="1625" t="b">
        <f>IF(AND($C81&lt;&gt;"",$P81=""),TRUE,FALSE)</f>
        <v>0</v>
      </c>
      <c r="AR81" s="1625" t="b">
        <f>IF(AND($C81&lt;&gt;"",$R81=""),TRUE,FALSE)</f>
        <v>0</v>
      </c>
      <c r="AS81" s="1625"/>
      <c r="AT81" s="1625" t="b">
        <f ca="1">IF(AND(T81="",OR(V81&lt;&gt;"",X81&lt;&gt;"",Z81&lt;&gt;"",AB81&lt;&gt;"",AF81&lt;&gt;"")),TRUE,FALSE)</f>
        <v>0</v>
      </c>
      <c r="AU81" s="1625" t="b">
        <f>IF(AND($C81&lt;&gt;"",$T81=""),TRUE,FALSE)</f>
        <v>0</v>
      </c>
      <c r="AV81" s="1625" t="b">
        <f>IF(V81="",FALSE,IF(T81="",FALSE,IF(AW81=TRUE,FALSE,IF(OR(V81&lt;BI81,V81&gt;BaseYear),TRUE,FALSE))))</f>
        <v>0</v>
      </c>
      <c r="AW81" s="1625" t="b">
        <f>IF(AND($C81&lt;&gt;"",$V81=""),TRUE,FALSE)</f>
        <v>0</v>
      </c>
      <c r="AX81" s="1625" t="b">
        <f>IF(X81="",FALSE,IF(T81="",FALSE,IF(AZ81=TRUE,FALSE,IF(X81&lt;BL81,TRUE,FALSE))))</f>
        <v>0</v>
      </c>
      <c r="AY81" s="1625" t="b">
        <f>IF(X81="",FALSE,IF(T81="",FALSE,IF(AZ81=TRUE,FALSE,IF(X81&gt;BM81,TRUE,FALSE))))</f>
        <v>0</v>
      </c>
      <c r="AZ81" s="1625" t="b">
        <f>IF(AND($C81&lt;&gt;"",$X81=""),TRUE,FALSE)</f>
        <v>0</v>
      </c>
      <c r="BA81" s="1626" t="b">
        <f>IF(BB81=TRUE,FALSE,IF(OR(Z81&lt;0,Z81&gt;1),TRUE,FALSE))</f>
        <v>0</v>
      </c>
      <c r="BB81" s="1625" t="b">
        <f>IF(AND($C81&lt;&gt;"",$Z81=""),TRUE,FALSE)</f>
        <v>0</v>
      </c>
      <c r="BC81" s="1626"/>
      <c r="BD81" s="1625" t="b">
        <f ca="1">IF(AND($C81&lt;&gt;"",$AB81=""),TRUE,FALSE)</f>
        <v>0</v>
      </c>
      <c r="BE81" s="1626" t="b">
        <f>IF(OR(AF81="", V81=""),FALSE,IF(COUNT(FIND({0,1,2,3,4,5,6,7,8,9}, AF81))=0, FALSE, IF(YEAR(AF81)&lt;V81, TRUE, FALSE)))</f>
        <v>0</v>
      </c>
      <c r="BF81" s="1625" t="b">
        <f>IF(AND($C81&lt;&gt;"",$AF81=""),TRUE,FALSE)</f>
        <v>0</v>
      </c>
      <c r="BG81" s="721"/>
      <c r="BH81" s="1625" t="str">
        <f>IF($T81="","",VLOOKUP($T81,val_facilities,BH$3,FALSE))</f>
        <v/>
      </c>
      <c r="BI81" s="1627" t="str">
        <f>IF($T81="","",VLOOKUP($T81,val_facilities,BI$3,FALSE))</f>
        <v/>
      </c>
      <c r="BJ81" s="1627" t="str">
        <f>IF($T81="","",VLOOKUP($T81,val_facilities,BJ$3,FALSE))</f>
        <v/>
      </c>
      <c r="BK81" s="1627" t="str">
        <f ca="1">IFERROR(IF(V81="", "", YEAR(TODAY())-V81), "")</f>
        <v/>
      </c>
      <c r="BL81" s="845" t="str">
        <f>IF($T81="","",VLOOKUP($T81,val_facilities,BL$3,FALSE))</f>
        <v/>
      </c>
      <c r="BM81" s="845" t="str">
        <f>IF($T81="","",VLOOKUP($T81,val_facilities,BM$3,FALSE))</f>
        <v/>
      </c>
      <c r="BN81" s="758"/>
      <c r="BO81" s="721">
        <f t="shared" si="3"/>
        <v>0</v>
      </c>
    </row>
    <row r="82" spans="1:70" s="686" customFormat="1" ht="6.75" customHeight="1" thickBot="1" x14ac:dyDescent="0.25">
      <c r="A82" s="1638"/>
      <c r="B82" s="1712">
        <v>35.5</v>
      </c>
      <c r="C82" s="1057"/>
      <c r="D82" s="764"/>
      <c r="E82" s="1057"/>
      <c r="F82" s="1229"/>
      <c r="G82" s="1229"/>
      <c r="H82" s="1229"/>
      <c r="I82" s="1229"/>
      <c r="J82" s="1604"/>
      <c r="K82" s="1229"/>
      <c r="L82" s="1605"/>
      <c r="M82" s="1644"/>
      <c r="N82" s="1605"/>
      <c r="O82" s="1644"/>
      <c r="P82" s="1606"/>
      <c r="Q82" s="1644"/>
      <c r="R82" s="1057"/>
      <c r="S82" s="1623"/>
      <c r="T82" s="1643"/>
      <c r="U82" s="1623"/>
      <c r="V82" s="1623"/>
      <c r="W82" s="1623"/>
      <c r="X82" s="722"/>
      <c r="Y82" s="841"/>
      <c r="Z82" s="841"/>
      <c r="AA82" s="841"/>
      <c r="AB82" s="722"/>
      <c r="AC82" s="841"/>
      <c r="AD82" s="722"/>
      <c r="AE82" s="841"/>
      <c r="AF82" s="1717"/>
      <c r="AG82" s="841"/>
      <c r="AH82" s="1057"/>
      <c r="AI82" s="1644"/>
      <c r="AJ82" s="1644"/>
      <c r="AK82" s="1644"/>
      <c r="AL82" s="1644"/>
      <c r="AM82" s="1625"/>
      <c r="AN82" s="1625"/>
      <c r="AO82" s="1625"/>
      <c r="AP82" s="1625"/>
      <c r="AQ82" s="1625"/>
      <c r="AR82" s="848"/>
      <c r="AS82" s="848"/>
      <c r="AT82" s="848"/>
      <c r="AU82" s="848"/>
      <c r="AV82" s="848"/>
      <c r="AW82" s="848"/>
      <c r="AX82" s="848"/>
      <c r="AY82" s="848"/>
      <c r="AZ82" s="848"/>
      <c r="BA82" s="848"/>
      <c r="BB82" s="848"/>
      <c r="BC82" s="848"/>
      <c r="BD82" s="848"/>
      <c r="BE82" s="848"/>
      <c r="BF82" s="848"/>
      <c r="BG82" s="685"/>
      <c r="BH82" s="848"/>
      <c r="BI82" s="848"/>
      <c r="BJ82" s="848"/>
      <c r="BK82" s="848"/>
      <c r="BL82" s="848"/>
      <c r="BM82" s="848"/>
      <c r="BN82" s="1229"/>
      <c r="BO82" s="721">
        <f t="shared" si="3"/>
        <v>0</v>
      </c>
    </row>
    <row r="83" spans="1:70" s="686" customFormat="1" x14ac:dyDescent="0.2">
      <c r="A83" s="840">
        <v>36</v>
      </c>
      <c r="B83" s="1712">
        <v>36</v>
      </c>
      <c r="C83" s="1613"/>
      <c r="D83" s="1248" t="str">
        <f>IF(AND(C83="",C81&lt;&gt;""),"Enter Facility "&amp;TEXT(A83,0)&amp;" Name, then Fill in Columns "&amp;TEXT($H$2,0)&amp;" - "&amp;TEXT($AH$2,0)&amp;"       ","")</f>
        <v/>
      </c>
      <c r="E83" s="1245" t="str">
        <f>IF(AL83="N/A","",AL83)</f>
        <v/>
      </c>
      <c r="F83" s="758"/>
      <c r="G83" s="758"/>
      <c r="H83" s="1614"/>
      <c r="I83" s="758"/>
      <c r="J83" s="1615"/>
      <c r="K83" s="1248" t="str">
        <f>IF(E83&lt;&gt;"","Enter Street Address                   ","")</f>
        <v/>
      </c>
      <c r="L83" s="1615"/>
      <c r="M83" s="1248" t="str">
        <f>IF(E83&lt;&gt;"","Enter City Name       ","")</f>
        <v/>
      </c>
      <c r="N83" s="1613"/>
      <c r="O83" s="1248" t="str">
        <f>IF(E83&lt;&gt;"","Select from Pull-Down List   ","")</f>
        <v/>
      </c>
      <c r="P83" s="1616"/>
      <c r="Q83" s="1248" t="str">
        <f>IF($E83&lt;&gt;"","Enter ZIP Code       ","")</f>
        <v/>
      </c>
      <c r="R83" s="1617"/>
      <c r="S83" s="1618" t="str">
        <f>IF($E83&lt;&gt;"","Select from Pull-Down List  ","")</f>
        <v/>
      </c>
      <c r="T83" s="1617"/>
      <c r="U83" s="1618" t="str">
        <f>IF(AND($C83&lt;&gt;"",T83=""),"Select from Pull-Down List  ","")</f>
        <v/>
      </c>
      <c r="V83" s="1619"/>
      <c r="W83" s="1248" t="str">
        <f>IF(E83&lt;&gt;"","Year?   ","")</f>
        <v/>
      </c>
      <c r="X83" s="1247"/>
      <c r="Y83" s="1620" t="str">
        <f>IF(E83&lt;&gt;"","Sq. Feet?   ","")</f>
        <v/>
      </c>
      <c r="Z83" s="1621"/>
      <c r="AA83" s="1618" t="str">
        <f>IF($E83&lt;&gt;"","% of Cap Resp.","")</f>
        <v/>
      </c>
      <c r="AB83" s="1782" t="str">
        <f ca="1">IFERROR(IF(BK83="", "", IF(BK83&gt;100, 1, VLOOKUP(BK83, Valid!$W$1:$AA$101, VLOOKUP(T83, Codes!$G$7:$I$17, 3, FALSE), FALSE))), "")</f>
        <v/>
      </c>
      <c r="AC83" s="1618"/>
      <c r="AD83" s="1247"/>
      <c r="AE83" s="1620" t="str">
        <f>IF($E83&lt;&gt;"","Drop-Down    ","")</f>
        <v/>
      </c>
      <c r="AF83" s="1720"/>
      <c r="AG83" s="1620" t="b">
        <f>IF(E83&lt;&gt;"","Date?   ")</f>
        <v>0</v>
      </c>
      <c r="AH83" s="1613"/>
      <c r="AI83" s="1248" t="str">
        <f>IF(OR(T83="Other (describe in Notes)",T83="Dual Administrative and Maintenance Facility"),"Describe Facility                                                                                         ","")</f>
        <v/>
      </c>
      <c r="AJ83" s="1624"/>
      <c r="AK83" s="1624" t="b">
        <f>IF(AND(C83="",C85&lt;&gt;""),TRUE,FALSE)</f>
        <v>0</v>
      </c>
      <c r="AL83" s="1624" t="str">
        <f>IF(AND($C83&lt;&gt;"",OR($J83="",$L83="",$N83="",$P83="",$R83="",$T83="",$V83="",$X83="",$Z83="",$AD83="",$AF83="")),"No",IF(AND($C83="",OR($H83&lt;&gt;"",$J83&lt;&gt;"",$L83&lt;&gt;"",$N83&lt;&gt;"",$P83&lt;&gt;"",$R83&lt;&gt;"",$T83&lt;&gt;"",$V83&lt;&gt;"",$X83&lt;&gt;"",$Z83&lt;&gt;"",$AD83&lt;&gt;"",$AF83&lt;&gt;"")),"N",IF(AND($H83="",$C83="",$J83="",$L83="",$N83="",$P83="",$R83="",$T83="",$V83="",$X83="",$Z83="",$AD83="",$AF83=""),"N/A",IF(AND($C83&lt;&gt;"",$J83&lt;&gt;"",$L83&lt;&gt;"",$N83&lt;&gt;"",$P83&lt;&gt;"",$R83&lt;&gt;"",$T83&lt;&gt;"",$V83&lt;&gt;"",$X83&lt;&gt;"",$Z83&lt;&gt;"",$AD83&lt;&gt;"",$AF83&lt;&gt;""),"Yes",""))))</f>
        <v>N/A</v>
      </c>
      <c r="AM83" s="1625" t="b">
        <f ca="1">IF(AND($C83="",OR($J83&lt;&gt;"",$L83&lt;&gt;"",$N83&lt;&gt;"",$P83&lt;&gt;"",$R83&lt;&gt;"",$T83&lt;&gt;"",$V83&lt;&gt;"",$X83&lt;&gt;"",$Z83&lt;&gt;"",$AB83&lt;&gt;"",$AF83&lt;&gt;"")),TRUE,FALSE)</f>
        <v>0</v>
      </c>
      <c r="AN83" s="1625" t="b">
        <f>IF(AND($C83&lt;&gt;"",$J83=""),TRUE,FALSE)</f>
        <v>0</v>
      </c>
      <c r="AO83" s="1625" t="b">
        <f>IF(AND($C83&lt;&gt;"",$L83=""),TRUE,FALSE)</f>
        <v>0</v>
      </c>
      <c r="AP83" s="1625" t="b">
        <f>IF(AND($C83&lt;&gt;"",$N83=""),TRUE,FALSE)</f>
        <v>0</v>
      </c>
      <c r="AQ83" s="1625" t="b">
        <f>IF(AND($C83&lt;&gt;"",$P83=""),TRUE,FALSE)</f>
        <v>0</v>
      </c>
      <c r="AR83" s="1625" t="b">
        <f>IF(AND($C83&lt;&gt;"",$R83=""),TRUE,FALSE)</f>
        <v>0</v>
      </c>
      <c r="AS83" s="1625"/>
      <c r="AT83" s="1625" t="b">
        <f ca="1">IF(AND(T83="",OR(V83&lt;&gt;"",X83&lt;&gt;"",Z83&lt;&gt;"",AB83&lt;&gt;"",AF83&lt;&gt;"")),TRUE,FALSE)</f>
        <v>0</v>
      </c>
      <c r="AU83" s="1625" t="b">
        <f>IF(AND($C83&lt;&gt;"",$T83=""),TRUE,FALSE)</f>
        <v>0</v>
      </c>
      <c r="AV83" s="1625" t="b">
        <f>IF(V83="",FALSE,IF(T83="",FALSE,IF(AW83=TRUE,FALSE,IF(OR(V83&lt;BI83,V83&gt;BaseYear),TRUE,FALSE))))</f>
        <v>0</v>
      </c>
      <c r="AW83" s="1625" t="b">
        <f>IF(AND($C83&lt;&gt;"",$V83=""),TRUE,FALSE)</f>
        <v>0</v>
      </c>
      <c r="AX83" s="1625" t="b">
        <f>IF(X83="",FALSE,IF(T83="",FALSE,IF(AZ83=TRUE,FALSE,IF(X83&lt;BL83,TRUE,FALSE))))</f>
        <v>0</v>
      </c>
      <c r="AY83" s="1625" t="b">
        <f>IF(X83="",FALSE,IF(T83="",FALSE,IF(AZ83=TRUE,FALSE,IF(X83&gt;BM83,TRUE,FALSE))))</f>
        <v>0</v>
      </c>
      <c r="AZ83" s="1625" t="b">
        <f>IF(AND($C83&lt;&gt;"",$X83=""),TRUE,FALSE)</f>
        <v>0</v>
      </c>
      <c r="BA83" s="1626" t="b">
        <f>IF(BB83=TRUE,FALSE,IF(OR(Z83&lt;0,Z83&gt;1),TRUE,FALSE))</f>
        <v>0</v>
      </c>
      <c r="BB83" s="1625" t="b">
        <f>IF(AND($C83&lt;&gt;"",$Z83=""),TRUE,FALSE)</f>
        <v>0</v>
      </c>
      <c r="BC83" s="1626"/>
      <c r="BD83" s="1625" t="b">
        <f ca="1">IF(AND($C83&lt;&gt;"",$AB83=""),TRUE,FALSE)</f>
        <v>0</v>
      </c>
      <c r="BE83" s="1626" t="b">
        <f>IF(OR(AF83="", V83=""),FALSE,IF(COUNT(FIND({0,1,2,3,4,5,6,7,8,9}, AF83))=0, FALSE, IF(YEAR(AF83)&lt;V83, TRUE, FALSE)))</f>
        <v>0</v>
      </c>
      <c r="BF83" s="1625" t="b">
        <f>IF(AND($C83&lt;&gt;"",$AF83=""),TRUE,FALSE)</f>
        <v>0</v>
      </c>
      <c r="BG83" s="721"/>
      <c r="BH83" s="1625" t="str">
        <f>IF($T83="","",VLOOKUP($T83,val_facilities,BH$3,FALSE))</f>
        <v/>
      </c>
      <c r="BI83" s="1627" t="str">
        <f>IF($T83="","",VLOOKUP($T83,val_facilities,BI$3,FALSE))</f>
        <v/>
      </c>
      <c r="BJ83" s="1627" t="str">
        <f>IF($T83="","",VLOOKUP($T83,val_facilities,BJ$3,FALSE))</f>
        <v/>
      </c>
      <c r="BK83" s="1627" t="str">
        <f ca="1">IFERROR(IF(V83="", "", YEAR(TODAY())-V83), "")</f>
        <v/>
      </c>
      <c r="BL83" s="845" t="str">
        <f>IF($T83="","",VLOOKUP($T83,val_facilities,BL$3,FALSE))</f>
        <v/>
      </c>
      <c r="BM83" s="845" t="str">
        <f>IF($T83="","",VLOOKUP($T83,val_facilities,BM$3,FALSE))</f>
        <v/>
      </c>
      <c r="BN83" s="758"/>
      <c r="BO83" s="721">
        <f t="shared" si="3"/>
        <v>0</v>
      </c>
      <c r="BP83" s="816"/>
      <c r="BQ83" s="816"/>
      <c r="BR83" s="816"/>
    </row>
    <row r="84" spans="1:70" s="686" customFormat="1" ht="6.75" customHeight="1" thickBot="1" x14ac:dyDescent="0.25">
      <c r="A84" s="1638"/>
      <c r="B84" s="1712">
        <v>36.5</v>
      </c>
      <c r="C84" s="721"/>
      <c r="D84" s="1248"/>
      <c r="E84" s="816"/>
      <c r="F84" s="758"/>
      <c r="G84" s="758"/>
      <c r="H84" s="758"/>
      <c r="I84" s="758"/>
      <c r="J84" s="1633"/>
      <c r="K84" s="1248"/>
      <c r="L84" s="1634"/>
      <c r="M84" s="1248"/>
      <c r="N84" s="1634"/>
      <c r="O84" s="1248"/>
      <c r="P84" s="1635"/>
      <c r="Q84" s="1248"/>
      <c r="R84" s="1059"/>
      <c r="S84" s="1618"/>
      <c r="T84" s="1636"/>
      <c r="U84" s="1618"/>
      <c r="V84" s="1623"/>
      <c r="W84" s="1618"/>
      <c r="X84" s="722"/>
      <c r="Y84" s="723"/>
      <c r="Z84" s="724"/>
      <c r="AA84" s="723"/>
      <c r="AB84" s="722"/>
      <c r="AC84" s="723"/>
      <c r="AD84" s="722"/>
      <c r="AE84" s="723"/>
      <c r="AF84" s="1717"/>
      <c r="AG84" s="723"/>
      <c r="AH84" s="1637"/>
      <c r="AI84" s="1624"/>
      <c r="AJ84" s="1624"/>
      <c r="AK84" s="1624"/>
      <c r="AL84" s="1624"/>
      <c r="AM84" s="1625"/>
      <c r="AN84" s="1625"/>
      <c r="AO84" s="1625"/>
      <c r="AP84" s="1625"/>
      <c r="AQ84" s="1625"/>
      <c r="AR84" s="1625"/>
      <c r="AS84" s="1625"/>
      <c r="AT84" s="1625"/>
      <c r="AU84" s="1625"/>
      <c r="AV84" s="1626"/>
      <c r="AW84" s="1626"/>
      <c r="AX84" s="1626"/>
      <c r="AY84" s="1626"/>
      <c r="AZ84" s="1626"/>
      <c r="BA84" s="1626"/>
      <c r="BB84" s="1626"/>
      <c r="BC84" s="1626"/>
      <c r="BD84" s="1626"/>
      <c r="BE84" s="1626"/>
      <c r="BF84" s="1626"/>
      <c r="BG84" s="721"/>
      <c r="BH84" s="1626"/>
      <c r="BI84" s="1626"/>
      <c r="BJ84" s="1626"/>
      <c r="BK84" s="1626"/>
      <c r="BL84" s="1626"/>
      <c r="BM84" s="1626"/>
      <c r="BN84" s="758"/>
      <c r="BO84" s="721">
        <f t="shared" si="3"/>
        <v>0</v>
      </c>
      <c r="BP84" s="816"/>
      <c r="BQ84" s="816"/>
      <c r="BR84" s="816"/>
    </row>
    <row r="85" spans="1:70" s="686" customFormat="1" x14ac:dyDescent="0.2">
      <c r="A85" s="840">
        <v>37</v>
      </c>
      <c r="B85" s="1712">
        <v>37</v>
      </c>
      <c r="C85" s="1613"/>
      <c r="D85" s="1248" t="str">
        <f>IF(AND(C85="",C83&lt;&gt;""),"Enter Facility "&amp;TEXT(A85,0)&amp;" Name, then Fill in Columns "&amp;TEXT($H$2,0)&amp;" - "&amp;TEXT($AH$2,0)&amp;"       ","")</f>
        <v/>
      </c>
      <c r="E85" s="1245" t="str">
        <f>IF(AL85="N/A","",AL85)</f>
        <v/>
      </c>
      <c r="F85" s="758"/>
      <c r="G85" s="758"/>
      <c r="H85" s="1614"/>
      <c r="I85" s="758"/>
      <c r="J85" s="1615"/>
      <c r="K85" s="1248" t="str">
        <f>IF(E85&lt;&gt;"","Enter Street Address                   ","")</f>
        <v/>
      </c>
      <c r="L85" s="1615"/>
      <c r="M85" s="1248" t="str">
        <f>IF(E85&lt;&gt;"","Enter City Name       ","")</f>
        <v/>
      </c>
      <c r="N85" s="1613"/>
      <c r="O85" s="1248" t="str">
        <f>IF(E85&lt;&gt;"","Select from Pull-Down List   ","")</f>
        <v/>
      </c>
      <c r="P85" s="1616"/>
      <c r="Q85" s="1248" t="str">
        <f>IF($E85&lt;&gt;"","Enter ZIP Code       ","")</f>
        <v/>
      </c>
      <c r="R85" s="1617"/>
      <c r="S85" s="1618" t="str">
        <f>IF($E85&lt;&gt;"","Select from Pull-Down List  ","")</f>
        <v/>
      </c>
      <c r="T85" s="1617"/>
      <c r="U85" s="1618" t="str">
        <f>IF(AND($C85&lt;&gt;"",T85=""),"Select from Pull-Down List  ","")</f>
        <v/>
      </c>
      <c r="V85" s="1619"/>
      <c r="W85" s="1248" t="str">
        <f>IF(E85&lt;&gt;"","Year?   ","")</f>
        <v/>
      </c>
      <c r="X85" s="1247"/>
      <c r="Y85" s="1620" t="str">
        <f>IF(E85&lt;&gt;"","Sq. Feet?   ","")</f>
        <v/>
      </c>
      <c r="Z85" s="1621"/>
      <c r="AA85" s="1618" t="str">
        <f>IF($E85&lt;&gt;"","% of Cap Resp.","")</f>
        <v/>
      </c>
      <c r="AB85" s="1782" t="str">
        <f ca="1">IFERROR(IF(BK85="", "", IF(BK85&gt;100, 1, VLOOKUP(BK85, Valid!$W$1:$AA$101, VLOOKUP(T85, Codes!$G$7:$I$17, 3, FALSE), FALSE))), "")</f>
        <v/>
      </c>
      <c r="AC85" s="1618"/>
      <c r="AD85" s="1247"/>
      <c r="AE85" s="1620" t="str">
        <f>IF($E85&lt;&gt;"","Drop-Down    ","")</f>
        <v/>
      </c>
      <c r="AF85" s="1720"/>
      <c r="AG85" s="1620" t="b">
        <f>IF(E85&lt;&gt;"","Date?   ")</f>
        <v>0</v>
      </c>
      <c r="AH85" s="1613"/>
      <c r="AI85" s="1248" t="str">
        <f>IF(OR(T85="Other (describe in Notes)",T85="Dual Administrative and Maintenance Facility"),"Describe Facility                                                                                         ","")</f>
        <v/>
      </c>
      <c r="AJ85" s="1624"/>
      <c r="AK85" s="1624" t="b">
        <f>IF(AND(C85="",C87&lt;&gt;""),TRUE,FALSE)</f>
        <v>0</v>
      </c>
      <c r="AL85" s="1624" t="str">
        <f>IF(AND($C85&lt;&gt;"",OR($J85="",$L85="",$N85="",$P85="",$R85="",$T85="",$V85="",$X85="",$Z85="",$AD85="",$AF85="")),"No",IF(AND($C85="",OR($H85&lt;&gt;"",$J85&lt;&gt;"",$L85&lt;&gt;"",$N85&lt;&gt;"",$P85&lt;&gt;"",$R85&lt;&gt;"",$T85&lt;&gt;"",$V85&lt;&gt;"",$X85&lt;&gt;"",$Z85&lt;&gt;"",$AD85&lt;&gt;"",$AF85&lt;&gt;"")),"N",IF(AND($H85="",$C85="",$J85="",$L85="",$N85="",$P85="",$R85="",$T85="",$V85="",$X85="",$Z85="",$AD85="",$AF85=""),"N/A",IF(AND($C85&lt;&gt;"",$J85&lt;&gt;"",$L85&lt;&gt;"",$N85&lt;&gt;"",$P85&lt;&gt;"",$R85&lt;&gt;"",$T85&lt;&gt;"",$V85&lt;&gt;"",$X85&lt;&gt;"",$Z85&lt;&gt;"",$AD85&lt;&gt;"",$AF85&lt;&gt;""),"Yes",""))))</f>
        <v>N/A</v>
      </c>
      <c r="AM85" s="1625" t="b">
        <f ca="1">IF(AND($C85="",OR($J85&lt;&gt;"",$L85&lt;&gt;"",$N85&lt;&gt;"",$P85&lt;&gt;"",$R85&lt;&gt;"",$T85&lt;&gt;"",$V85&lt;&gt;"",$X85&lt;&gt;"",$Z85&lt;&gt;"",$AB85&lt;&gt;"",$AF85&lt;&gt;"")),TRUE,FALSE)</f>
        <v>0</v>
      </c>
      <c r="AN85" s="1625" t="b">
        <f>IF(AND($C85&lt;&gt;"",$J85=""),TRUE,FALSE)</f>
        <v>0</v>
      </c>
      <c r="AO85" s="1625" t="b">
        <f>IF(AND($C85&lt;&gt;"",$L85=""),TRUE,FALSE)</f>
        <v>0</v>
      </c>
      <c r="AP85" s="1625" t="b">
        <f>IF(AND($C85&lt;&gt;"",$N85=""),TRUE,FALSE)</f>
        <v>0</v>
      </c>
      <c r="AQ85" s="1625" t="b">
        <f>IF(AND($C85&lt;&gt;"",$P85=""),TRUE,FALSE)</f>
        <v>0</v>
      </c>
      <c r="AR85" s="1625" t="b">
        <f>IF(AND($C85&lt;&gt;"",$R85=""),TRUE,FALSE)</f>
        <v>0</v>
      </c>
      <c r="AS85" s="1625"/>
      <c r="AT85" s="1625" t="b">
        <f ca="1">IF(AND(T85="",OR(V85&lt;&gt;"",X85&lt;&gt;"",Z85&lt;&gt;"",AB85&lt;&gt;"",AF85&lt;&gt;"")),TRUE,FALSE)</f>
        <v>0</v>
      </c>
      <c r="AU85" s="1625" t="b">
        <f>IF(AND($C85&lt;&gt;"",$T85=""),TRUE,FALSE)</f>
        <v>0</v>
      </c>
      <c r="AV85" s="1625" t="b">
        <f>IF(V85="",FALSE,IF(T85="",FALSE,IF(AW85=TRUE,FALSE,IF(OR(V85&lt;BI85,V85&gt;BaseYear),TRUE,FALSE))))</f>
        <v>0</v>
      </c>
      <c r="AW85" s="1625" t="b">
        <f>IF(AND($C85&lt;&gt;"",$V85=""),TRUE,FALSE)</f>
        <v>0</v>
      </c>
      <c r="AX85" s="1625" t="b">
        <f>IF(X85="",FALSE,IF(T85="",FALSE,IF(AZ85=TRUE,FALSE,IF(X85&lt;BL85,TRUE,FALSE))))</f>
        <v>0</v>
      </c>
      <c r="AY85" s="1625" t="b">
        <f>IF(X85="",FALSE,IF(T85="",FALSE,IF(AZ85=TRUE,FALSE,IF(X85&gt;BM85,TRUE,FALSE))))</f>
        <v>0</v>
      </c>
      <c r="AZ85" s="1625" t="b">
        <f>IF(AND($C85&lt;&gt;"",$X85=""),TRUE,FALSE)</f>
        <v>0</v>
      </c>
      <c r="BA85" s="1626" t="b">
        <f>IF(BB85=TRUE,FALSE,IF(OR(Z85&lt;0,Z85&gt;1),TRUE,FALSE))</f>
        <v>0</v>
      </c>
      <c r="BB85" s="1625" t="b">
        <f>IF(AND($C85&lt;&gt;"",$Z85=""),TRUE,FALSE)</f>
        <v>0</v>
      </c>
      <c r="BC85" s="1626"/>
      <c r="BD85" s="1625" t="b">
        <f ca="1">IF(AND($C85&lt;&gt;"",$AB85=""),TRUE,FALSE)</f>
        <v>0</v>
      </c>
      <c r="BE85" s="1626" t="b">
        <f>IF(OR(AF85="", V85=""),FALSE,IF(COUNT(FIND({0,1,2,3,4,5,6,7,8,9}, AF85))=0, FALSE, IF(YEAR(AF85)&lt;V85, TRUE, FALSE)))</f>
        <v>0</v>
      </c>
      <c r="BF85" s="1625" t="b">
        <f>IF(AND($C85&lt;&gt;"",$AF85=""),TRUE,FALSE)</f>
        <v>0</v>
      </c>
      <c r="BG85" s="721"/>
      <c r="BH85" s="1625" t="str">
        <f>IF($T85="","",VLOOKUP($T85,val_facilities,BH$3,FALSE))</f>
        <v/>
      </c>
      <c r="BI85" s="1627" t="str">
        <f>IF($T85="","",VLOOKUP($T85,val_facilities,BI$3,FALSE))</f>
        <v/>
      </c>
      <c r="BJ85" s="1627" t="str">
        <f>IF($T85="","",VLOOKUP($T85,val_facilities,BJ$3,FALSE))</f>
        <v/>
      </c>
      <c r="BK85" s="1627" t="str">
        <f ca="1">IFERROR(IF(V85="", "", YEAR(TODAY())-V85), "")</f>
        <v/>
      </c>
      <c r="BL85" s="845" t="str">
        <f>IF($T85="","",VLOOKUP($T85,val_facilities,BL$3,FALSE))</f>
        <v/>
      </c>
      <c r="BM85" s="845" t="str">
        <f>IF($T85="","",VLOOKUP($T85,val_facilities,BM$3,FALSE))</f>
        <v/>
      </c>
      <c r="BN85" s="758"/>
      <c r="BO85" s="721">
        <f t="shared" si="3"/>
        <v>0</v>
      </c>
      <c r="BP85" s="816"/>
      <c r="BQ85" s="816"/>
      <c r="BR85" s="816"/>
    </row>
    <row r="86" spans="1:70" s="686" customFormat="1" ht="6.75" customHeight="1" thickBot="1" x14ac:dyDescent="0.25">
      <c r="A86" s="1638"/>
      <c r="B86" s="1712">
        <v>37.5</v>
      </c>
      <c r="C86" s="1057"/>
      <c r="D86" s="1248"/>
      <c r="E86" s="1057"/>
      <c r="F86" s="1229"/>
      <c r="G86" s="1229"/>
      <c r="H86" s="1229"/>
      <c r="I86" s="1229"/>
      <c r="J86" s="1604"/>
      <c r="K86" s="1640"/>
      <c r="L86" s="1641"/>
      <c r="M86" s="1248"/>
      <c r="N86" s="1641"/>
      <c r="O86" s="1248"/>
      <c r="P86" s="1642"/>
      <c r="Q86" s="1248"/>
      <c r="R86" s="1057"/>
      <c r="S86" s="1618"/>
      <c r="T86" s="1643"/>
      <c r="U86" s="1618"/>
      <c r="V86" s="1623"/>
      <c r="W86" s="1618"/>
      <c r="X86" s="733"/>
      <c r="Y86" s="1275"/>
      <c r="Z86" s="685"/>
      <c r="AA86" s="1275"/>
      <c r="AB86" s="733"/>
      <c r="AC86" s="1275"/>
      <c r="AD86" s="733"/>
      <c r="AE86" s="1275"/>
      <c r="AF86" s="1721"/>
      <c r="AG86" s="1275"/>
      <c r="AH86" s="1057"/>
      <c r="AI86" s="1644"/>
      <c r="AJ86" s="1644"/>
      <c r="AK86" s="1644"/>
      <c r="AL86" s="1644"/>
      <c r="AM86" s="1625"/>
      <c r="AN86" s="1625"/>
      <c r="AO86" s="1625"/>
      <c r="AP86" s="1625"/>
      <c r="AQ86" s="1625"/>
      <c r="AR86" s="848"/>
      <c r="AS86" s="848"/>
      <c r="AT86" s="848"/>
      <c r="AU86" s="848"/>
      <c r="AV86" s="848"/>
      <c r="AW86" s="848"/>
      <c r="AX86" s="848"/>
      <c r="AY86" s="848"/>
      <c r="AZ86" s="848"/>
      <c r="BA86" s="848"/>
      <c r="BB86" s="848"/>
      <c r="BC86" s="848"/>
      <c r="BD86" s="848"/>
      <c r="BE86" s="848"/>
      <c r="BF86" s="848"/>
      <c r="BG86" s="685"/>
      <c r="BH86" s="848"/>
      <c r="BI86" s="848"/>
      <c r="BJ86" s="848"/>
      <c r="BK86" s="848"/>
      <c r="BL86" s="848"/>
      <c r="BM86" s="848"/>
      <c r="BN86" s="1229"/>
      <c r="BO86" s="721">
        <f t="shared" si="3"/>
        <v>0</v>
      </c>
    </row>
    <row r="87" spans="1:70" s="816" customFormat="1" x14ac:dyDescent="0.2">
      <c r="A87" s="840">
        <v>38</v>
      </c>
      <c r="B87" s="1712">
        <v>38</v>
      </c>
      <c r="C87" s="1613"/>
      <c r="D87" s="1248" t="str">
        <f>IF(AND(C87="",C85&lt;&gt;""),"Enter Facility "&amp;TEXT(A87,0)&amp;" Name, then Fill in Columns "&amp;TEXT($H$2,0)&amp;" - "&amp;TEXT($AH$2,0)&amp;"       ","")</f>
        <v/>
      </c>
      <c r="E87" s="1245" t="str">
        <f>IF(AL87="N/A","",AL87)</f>
        <v/>
      </c>
      <c r="F87" s="758"/>
      <c r="G87" s="758"/>
      <c r="H87" s="1614"/>
      <c r="I87" s="758"/>
      <c r="J87" s="1615"/>
      <c r="K87" s="1248" t="str">
        <f>IF(E87&lt;&gt;"","Enter Street Address                   ","")</f>
        <v/>
      </c>
      <c r="L87" s="1615"/>
      <c r="M87" s="1248" t="str">
        <f>IF(E87&lt;&gt;"","Enter City Name       ","")</f>
        <v/>
      </c>
      <c r="N87" s="1613"/>
      <c r="O87" s="1248" t="str">
        <f>IF(E87&lt;&gt;"","Select from Pull-Down List   ","")</f>
        <v/>
      </c>
      <c r="P87" s="1616"/>
      <c r="Q87" s="1248" t="str">
        <f>IF($E87&lt;&gt;"","Enter ZIP Code       ","")</f>
        <v/>
      </c>
      <c r="R87" s="1617"/>
      <c r="S87" s="1618" t="str">
        <f>IF($E87&lt;&gt;"","Select from Pull-Down List  ","")</f>
        <v/>
      </c>
      <c r="T87" s="1617"/>
      <c r="U87" s="1618" t="str">
        <f>IF(AND($C87&lt;&gt;"",T87=""),"Select from Pull-Down List  ","")</f>
        <v/>
      </c>
      <c r="V87" s="1619"/>
      <c r="W87" s="1248" t="str">
        <f>IF(E87&lt;&gt;"","Year?   ","")</f>
        <v/>
      </c>
      <c r="X87" s="1247"/>
      <c r="Y87" s="1620" t="str">
        <f>IF(E87&lt;&gt;"","Sq. Feet?   ","")</f>
        <v/>
      </c>
      <c r="Z87" s="1621"/>
      <c r="AA87" s="1618" t="str">
        <f>IF($E87&lt;&gt;"","% of Cap Resp.","")</f>
        <v/>
      </c>
      <c r="AB87" s="1782" t="str">
        <f ca="1">IFERROR(IF(BK87="", "", IF(BK87&gt;100, 1, VLOOKUP(BK87, Valid!$W$1:$AA$101, VLOOKUP(T87, Codes!$G$7:$I$17, 3, FALSE), FALSE))), "")</f>
        <v/>
      </c>
      <c r="AC87" s="1618"/>
      <c r="AD87" s="1247"/>
      <c r="AE87" s="1620" t="str">
        <f>IF($E87&lt;&gt;"","Drop-Down    ","")</f>
        <v/>
      </c>
      <c r="AF87" s="1720"/>
      <c r="AG87" s="1620" t="b">
        <f>IF(E87&lt;&gt;"","Date?   ")</f>
        <v>0</v>
      </c>
      <c r="AH87" s="1613"/>
      <c r="AI87" s="1248" t="str">
        <f>IF(OR(T87="Other (describe in Notes)",T87="Dual Administrative and Maintenance Facility"),"Describe Facility                                                                                         ","")</f>
        <v/>
      </c>
      <c r="AJ87" s="1624"/>
      <c r="AK87" s="1624" t="b">
        <f>IF(AND(C87="",C89&lt;&gt;""),TRUE,FALSE)</f>
        <v>0</v>
      </c>
      <c r="AL87" s="1624" t="str">
        <f>IF(AND($C87&lt;&gt;"",OR($J87="",$L87="",$N87="",$P87="",$R87="",$T87="",$V87="",$X87="",$Z87="",$AD87="",$AF87="")),"No",IF(AND($C87="",OR($H87&lt;&gt;"",$J87&lt;&gt;"",$L87&lt;&gt;"",$N87&lt;&gt;"",$P87&lt;&gt;"",$R87&lt;&gt;"",$T87&lt;&gt;"",$V87&lt;&gt;"",$X87&lt;&gt;"",$Z87&lt;&gt;"",$AD87&lt;&gt;"",$AF87&lt;&gt;"")),"N",IF(AND($H87="",$C87="",$J87="",$L87="",$N87="",$P87="",$R87="",$T87="",$V87="",$X87="",$Z87="",$AD87="",$AF87=""),"N/A",IF(AND($C87&lt;&gt;"",$J87&lt;&gt;"",$L87&lt;&gt;"",$N87&lt;&gt;"",$P87&lt;&gt;"",$R87&lt;&gt;"",$T87&lt;&gt;"",$V87&lt;&gt;"",$X87&lt;&gt;"",$Z87&lt;&gt;"",$AD87&lt;&gt;"",$AF87&lt;&gt;""),"Yes",""))))</f>
        <v>N/A</v>
      </c>
      <c r="AM87" s="1625" t="b">
        <f ca="1">IF(AND($C87="",OR($J87&lt;&gt;"",$L87&lt;&gt;"",$N87&lt;&gt;"",$P87&lt;&gt;"",$R87&lt;&gt;"",$T87&lt;&gt;"",$V87&lt;&gt;"",$X87&lt;&gt;"",$Z87&lt;&gt;"",$AB87&lt;&gt;"",$AF87&lt;&gt;"")),TRUE,FALSE)</f>
        <v>0</v>
      </c>
      <c r="AN87" s="1625" t="b">
        <f>IF(AND($C87&lt;&gt;"",$J87=""),TRUE,FALSE)</f>
        <v>0</v>
      </c>
      <c r="AO87" s="1625" t="b">
        <f>IF(AND($C87&lt;&gt;"",$L87=""),TRUE,FALSE)</f>
        <v>0</v>
      </c>
      <c r="AP87" s="1625" t="b">
        <f>IF(AND($C87&lt;&gt;"",$N87=""),TRUE,FALSE)</f>
        <v>0</v>
      </c>
      <c r="AQ87" s="1625" t="b">
        <f>IF(AND($C87&lt;&gt;"",$P87=""),TRUE,FALSE)</f>
        <v>0</v>
      </c>
      <c r="AR87" s="1625" t="b">
        <f>IF(AND($C87&lt;&gt;"",$R87=""),TRUE,FALSE)</f>
        <v>0</v>
      </c>
      <c r="AS87" s="1625"/>
      <c r="AT87" s="1625" t="b">
        <f ca="1">IF(AND(T87="",OR(V87&lt;&gt;"",X87&lt;&gt;"",Z87&lt;&gt;"",AB87&lt;&gt;"",AF87&lt;&gt;"")),TRUE,FALSE)</f>
        <v>0</v>
      </c>
      <c r="AU87" s="1625" t="b">
        <f>IF(AND($C87&lt;&gt;"",$T87=""),TRUE,FALSE)</f>
        <v>0</v>
      </c>
      <c r="AV87" s="1625" t="b">
        <f>IF(V87="",FALSE,IF(T87="",FALSE,IF(AW87=TRUE,FALSE,IF(OR(V87&lt;BI87,V87&gt;BaseYear),TRUE,FALSE))))</f>
        <v>0</v>
      </c>
      <c r="AW87" s="1625" t="b">
        <f>IF(AND($C87&lt;&gt;"",$V87=""),TRUE,FALSE)</f>
        <v>0</v>
      </c>
      <c r="AX87" s="1625" t="b">
        <f>IF(X87="",FALSE,IF(T87="",FALSE,IF(AZ87=TRUE,FALSE,IF(X87&lt;BL87,TRUE,FALSE))))</f>
        <v>0</v>
      </c>
      <c r="AY87" s="1625" t="b">
        <f>IF(X87="",FALSE,IF(T87="",FALSE,IF(AZ87=TRUE,FALSE,IF(X87&gt;BM87,TRUE,FALSE))))</f>
        <v>0</v>
      </c>
      <c r="AZ87" s="1625" t="b">
        <f>IF(AND($C87&lt;&gt;"",$X87=""),TRUE,FALSE)</f>
        <v>0</v>
      </c>
      <c r="BA87" s="1626" t="b">
        <f>IF(BB87=TRUE,FALSE,IF(OR(Z87&lt;0,Z87&gt;1),TRUE,FALSE))</f>
        <v>0</v>
      </c>
      <c r="BB87" s="1625" t="b">
        <f>IF(AND($C87&lt;&gt;"",$Z87=""),TRUE,FALSE)</f>
        <v>0</v>
      </c>
      <c r="BC87" s="1626"/>
      <c r="BD87" s="1625" t="b">
        <f ca="1">IF(AND($C87&lt;&gt;"",$AB87=""),TRUE,FALSE)</f>
        <v>0</v>
      </c>
      <c r="BE87" s="1626" t="b">
        <f>IF(OR(AF87="", V87=""),FALSE,IF(COUNT(FIND({0,1,2,3,4,5,6,7,8,9}, AF87))=0, FALSE, IF(YEAR(AF87)&lt;V87, TRUE, FALSE)))</f>
        <v>0</v>
      </c>
      <c r="BF87" s="1625" t="b">
        <f>IF(AND($C87&lt;&gt;"",$AF87=""),TRUE,FALSE)</f>
        <v>0</v>
      </c>
      <c r="BG87" s="721"/>
      <c r="BH87" s="1625" t="str">
        <f>IF($T87="","",VLOOKUP($T87,val_facilities,BH$3,FALSE))</f>
        <v/>
      </c>
      <c r="BI87" s="1627" t="str">
        <f>IF($T87="","",VLOOKUP($T87,val_facilities,BI$3,FALSE))</f>
        <v/>
      </c>
      <c r="BJ87" s="1627" t="str">
        <f>IF($T87="","",VLOOKUP($T87,val_facilities,BJ$3,FALSE))</f>
        <v/>
      </c>
      <c r="BK87" s="1627" t="str">
        <f ca="1">IFERROR(IF(V87="", "", YEAR(TODAY())-V87), "")</f>
        <v/>
      </c>
      <c r="BL87" s="845" t="str">
        <f>IF($T87="","",VLOOKUP($T87,val_facilities,BL$3,FALSE))</f>
        <v/>
      </c>
      <c r="BM87" s="845" t="str">
        <f>IF($T87="","",VLOOKUP($T87,val_facilities,BM$3,FALSE))</f>
        <v/>
      </c>
      <c r="BN87" s="758"/>
      <c r="BO87" s="721">
        <f t="shared" si="3"/>
        <v>0</v>
      </c>
    </row>
    <row r="88" spans="1:70" s="816" customFormat="1" ht="6.75" customHeight="1" thickBot="1" x14ac:dyDescent="0.25">
      <c r="A88" s="840"/>
      <c r="B88" s="1712">
        <v>38.5</v>
      </c>
      <c r="C88" s="1057"/>
      <c r="D88" s="1248"/>
      <c r="E88" s="1639"/>
      <c r="F88" s="1229"/>
      <c r="G88" s="1229"/>
      <c r="H88" s="1229"/>
      <c r="I88" s="1229"/>
      <c r="J88" s="1604"/>
      <c r="K88" s="1640"/>
      <c r="L88" s="1645"/>
      <c r="M88" s="1646"/>
      <c r="N88" s="1645"/>
      <c r="O88" s="1646"/>
      <c r="P88" s="1647"/>
      <c r="Q88" s="1646"/>
      <c r="R88" s="1057"/>
      <c r="S88" s="1618"/>
      <c r="T88" s="1643"/>
      <c r="U88" s="1618"/>
      <c r="V88" s="1623"/>
      <c r="W88" s="1618"/>
      <c r="X88" s="722"/>
      <c r="Y88" s="1648"/>
      <c r="Z88" s="841"/>
      <c r="AA88" s="1648"/>
      <c r="AB88" s="722"/>
      <c r="AC88" s="1648"/>
      <c r="AD88" s="722"/>
      <c r="AE88" s="1648"/>
      <c r="AF88" s="1717"/>
      <c r="AG88" s="1648"/>
      <c r="AH88" s="1057"/>
      <c r="AI88" s="1644"/>
      <c r="AJ88" s="1644"/>
      <c r="AK88" s="1644"/>
      <c r="AL88" s="1644"/>
      <c r="AM88" s="1625"/>
      <c r="AN88" s="1625"/>
      <c r="AO88" s="1625"/>
      <c r="AP88" s="1625"/>
      <c r="AQ88" s="1625"/>
      <c r="AR88" s="848"/>
      <c r="AS88" s="848"/>
      <c r="AT88" s="848"/>
      <c r="AU88" s="848"/>
      <c r="AV88" s="848"/>
      <c r="AW88" s="848"/>
      <c r="AX88" s="848"/>
      <c r="AY88" s="848"/>
      <c r="AZ88" s="848"/>
      <c r="BA88" s="848"/>
      <c r="BB88" s="848"/>
      <c r="BC88" s="848"/>
      <c r="BD88" s="848"/>
      <c r="BE88" s="848"/>
      <c r="BF88" s="848"/>
      <c r="BG88" s="685"/>
      <c r="BH88" s="848"/>
      <c r="BI88" s="848"/>
      <c r="BJ88" s="848"/>
      <c r="BK88" s="848"/>
      <c r="BL88" s="848"/>
      <c r="BM88" s="848"/>
      <c r="BN88" s="1229"/>
      <c r="BO88" s="721">
        <f t="shared" si="3"/>
        <v>0</v>
      </c>
      <c r="BP88" s="686"/>
      <c r="BQ88" s="686"/>
      <c r="BR88" s="686"/>
    </row>
    <row r="89" spans="1:70" s="816" customFormat="1" x14ac:dyDescent="0.2">
      <c r="A89" s="840">
        <v>39</v>
      </c>
      <c r="B89" s="1712">
        <v>39</v>
      </c>
      <c r="C89" s="1613"/>
      <c r="D89" s="1248" t="str">
        <f>IF(AND(C89="",C87&lt;&gt;""),"Enter Facility "&amp;TEXT(A89,0)&amp;" Name, then Fill in Columns "&amp;TEXT($H$2,0)&amp;" - "&amp;TEXT($AH$2,0)&amp;"       ","")</f>
        <v/>
      </c>
      <c r="E89" s="1245" t="str">
        <f>IF(AL89="N/A","",AL89)</f>
        <v/>
      </c>
      <c r="F89" s="758"/>
      <c r="G89" s="758"/>
      <c r="H89" s="1614"/>
      <c r="I89" s="758"/>
      <c r="J89" s="1615"/>
      <c r="K89" s="1248" t="str">
        <f>IF(E89&lt;&gt;"","Enter Street Address                   ","")</f>
        <v/>
      </c>
      <c r="L89" s="1615"/>
      <c r="M89" s="1248" t="str">
        <f>IF(E89&lt;&gt;"","Enter City Name       ","")</f>
        <v/>
      </c>
      <c r="N89" s="1613"/>
      <c r="O89" s="1248" t="str">
        <f>IF(E89&lt;&gt;"","Select from Pull-Down List   ","")</f>
        <v/>
      </c>
      <c r="P89" s="1616"/>
      <c r="Q89" s="1248" t="str">
        <f>IF($E89&lt;&gt;"","Enter ZIP Code       ","")</f>
        <v/>
      </c>
      <c r="R89" s="1617"/>
      <c r="S89" s="1618" t="str">
        <f>IF($E89&lt;&gt;"","Select from Pull-Down List  ","")</f>
        <v/>
      </c>
      <c r="T89" s="1617"/>
      <c r="U89" s="1618" t="str">
        <f>IF(AND($C89&lt;&gt;"",T89=""),"Select from Pull-Down List  ","")</f>
        <v/>
      </c>
      <c r="V89" s="1619"/>
      <c r="W89" s="1248" t="str">
        <f>IF(E89&lt;&gt;"","Year?   ","")</f>
        <v/>
      </c>
      <c r="X89" s="1247"/>
      <c r="Y89" s="1620" t="str">
        <f>IF(E89&lt;&gt;"","Sq. Feet?   ","")</f>
        <v/>
      </c>
      <c r="Z89" s="1621"/>
      <c r="AA89" s="1618" t="str">
        <f>IF($E89&lt;&gt;"","% of Cap Resp.","")</f>
        <v/>
      </c>
      <c r="AB89" s="1782" t="str">
        <f ca="1">IFERROR(IF(BK89="", "", IF(BK89&gt;100, 1, VLOOKUP(BK89, Valid!$W$1:$AA$101, VLOOKUP(T89, Codes!$G$7:$I$17, 3, FALSE), FALSE))), "")</f>
        <v/>
      </c>
      <c r="AC89" s="1618"/>
      <c r="AD89" s="1247"/>
      <c r="AE89" s="1620" t="str">
        <f>IF($E89&lt;&gt;"","Drop-Down    ","")</f>
        <v/>
      </c>
      <c r="AF89" s="1720"/>
      <c r="AG89" s="1620" t="b">
        <f>IF(E89&lt;&gt;"","Date?   ")</f>
        <v>0</v>
      </c>
      <c r="AH89" s="1613"/>
      <c r="AI89" s="1248" t="str">
        <f>IF(OR(T89="Other (describe in Notes)",T89="Dual Administrative and Maintenance Facility"),"Describe Facility                                                                                         ","")</f>
        <v/>
      </c>
      <c r="AJ89" s="1624"/>
      <c r="AK89" s="1624" t="b">
        <f>IF(AND(C89="",C91&lt;&gt;""),TRUE,FALSE)</f>
        <v>0</v>
      </c>
      <c r="AL89" s="1624" t="str">
        <f>IF(AND($C89&lt;&gt;"",OR($J89="",$L89="",$N89="",$P89="",$R89="",$T89="",$V89="",$X89="",$Z89="",$AD89="",$AF89="")),"No",IF(AND($C89="",OR($H89&lt;&gt;"",$J89&lt;&gt;"",$L89&lt;&gt;"",$N89&lt;&gt;"",$P89&lt;&gt;"",$R89&lt;&gt;"",$T89&lt;&gt;"",$V89&lt;&gt;"",$X89&lt;&gt;"",$Z89&lt;&gt;"",$AD89&lt;&gt;"",$AF89&lt;&gt;"")),"N",IF(AND($H89="",$C89="",$J89="",$L89="",$N89="",$P89="",$R89="",$T89="",$V89="",$X89="",$Z89="",$AD89="",$AF89=""),"N/A",IF(AND($C89&lt;&gt;"",$J89&lt;&gt;"",$L89&lt;&gt;"",$N89&lt;&gt;"",$P89&lt;&gt;"",$R89&lt;&gt;"",$T89&lt;&gt;"",$V89&lt;&gt;"",$X89&lt;&gt;"",$Z89&lt;&gt;"",$AD89&lt;&gt;"",$AF89&lt;&gt;""),"Yes",""))))</f>
        <v>N/A</v>
      </c>
      <c r="AM89" s="1625" t="b">
        <f ca="1">IF(AND($C89="",OR($J89&lt;&gt;"",$L89&lt;&gt;"",$N89&lt;&gt;"",$P89&lt;&gt;"",$R89&lt;&gt;"",$T89&lt;&gt;"",$V89&lt;&gt;"",$X89&lt;&gt;"",$Z89&lt;&gt;"",$AB89&lt;&gt;"",$AF89&lt;&gt;"")),TRUE,FALSE)</f>
        <v>0</v>
      </c>
      <c r="AN89" s="1625" t="b">
        <f>IF(AND($C89&lt;&gt;"",$J89=""),TRUE,FALSE)</f>
        <v>0</v>
      </c>
      <c r="AO89" s="1625" t="b">
        <f>IF(AND($C89&lt;&gt;"",$L89=""),TRUE,FALSE)</f>
        <v>0</v>
      </c>
      <c r="AP89" s="1625" t="b">
        <f>IF(AND($C89&lt;&gt;"",$N89=""),TRUE,FALSE)</f>
        <v>0</v>
      </c>
      <c r="AQ89" s="1625" t="b">
        <f>IF(AND($C89&lt;&gt;"",$P89=""),TRUE,FALSE)</f>
        <v>0</v>
      </c>
      <c r="AR89" s="1625" t="b">
        <f>IF(AND($C89&lt;&gt;"",$R89=""),TRUE,FALSE)</f>
        <v>0</v>
      </c>
      <c r="AS89" s="1625"/>
      <c r="AT89" s="1625" t="b">
        <f ca="1">IF(AND(T89="",OR(V89&lt;&gt;"",X89&lt;&gt;"",Z89&lt;&gt;"",AB89&lt;&gt;"",AF89&lt;&gt;"")),TRUE,FALSE)</f>
        <v>0</v>
      </c>
      <c r="AU89" s="1625" t="b">
        <f>IF(AND($C89&lt;&gt;"",$T89=""),TRUE,FALSE)</f>
        <v>0</v>
      </c>
      <c r="AV89" s="1625" t="b">
        <f>IF(V89="",FALSE,IF(T89="",FALSE,IF(AW89=TRUE,FALSE,IF(OR(V89&lt;BI89,V89&gt;BaseYear),TRUE,FALSE))))</f>
        <v>0</v>
      </c>
      <c r="AW89" s="1625" t="b">
        <f>IF(AND($C89&lt;&gt;"",$V89=""),TRUE,FALSE)</f>
        <v>0</v>
      </c>
      <c r="AX89" s="1625" t="b">
        <f>IF(X89="",FALSE,IF(T89="",FALSE,IF(AZ89=TRUE,FALSE,IF(X89&lt;BL89,TRUE,FALSE))))</f>
        <v>0</v>
      </c>
      <c r="AY89" s="1625" t="b">
        <f>IF(X89="",FALSE,IF(T89="",FALSE,IF(AZ89=TRUE,FALSE,IF(X89&gt;BM89,TRUE,FALSE))))</f>
        <v>0</v>
      </c>
      <c r="AZ89" s="1625" t="b">
        <f>IF(AND($C89&lt;&gt;"",$X89=""),TRUE,FALSE)</f>
        <v>0</v>
      </c>
      <c r="BA89" s="1626" t="b">
        <f>IF(BB89=TRUE,FALSE,IF(OR(Z89&lt;0,Z89&gt;1),TRUE,FALSE))</f>
        <v>0</v>
      </c>
      <c r="BB89" s="1625" t="b">
        <f>IF(AND($C89&lt;&gt;"",$Z89=""),TRUE,FALSE)</f>
        <v>0</v>
      </c>
      <c r="BC89" s="1626"/>
      <c r="BD89" s="1625" t="b">
        <f ca="1">IF(AND($C89&lt;&gt;"",$AB89=""),TRUE,FALSE)</f>
        <v>0</v>
      </c>
      <c r="BE89" s="1626" t="b">
        <f>IF(OR(AF89="", V89=""),FALSE,IF(COUNT(FIND({0,1,2,3,4,5,6,7,8,9}, AF89))=0, FALSE, IF(YEAR(AF89)&lt;V89, TRUE, FALSE)))</f>
        <v>0</v>
      </c>
      <c r="BF89" s="1625" t="b">
        <f>IF(AND($C89&lt;&gt;"",$AF89=""),TRUE,FALSE)</f>
        <v>0</v>
      </c>
      <c r="BG89" s="721"/>
      <c r="BH89" s="1625" t="str">
        <f>IF($T89="","",VLOOKUP($T89,val_facilities,BH$3,FALSE))</f>
        <v/>
      </c>
      <c r="BI89" s="1627" t="str">
        <f>IF($T89="","",VLOOKUP($T89,val_facilities,BI$3,FALSE))</f>
        <v/>
      </c>
      <c r="BJ89" s="1627" t="str">
        <f>IF($T89="","",VLOOKUP($T89,val_facilities,BJ$3,FALSE))</f>
        <v/>
      </c>
      <c r="BK89" s="1627" t="str">
        <f ca="1">IFERROR(IF(V89="", "", YEAR(TODAY())-V89), "")</f>
        <v/>
      </c>
      <c r="BL89" s="845" t="str">
        <f>IF($T89="","",VLOOKUP($T89,val_facilities,BL$3,FALSE))</f>
        <v/>
      </c>
      <c r="BM89" s="845" t="str">
        <f>IF($T89="","",VLOOKUP($T89,val_facilities,BM$3,FALSE))</f>
        <v/>
      </c>
      <c r="BN89" s="758"/>
      <c r="BO89" s="721">
        <f t="shared" si="3"/>
        <v>0</v>
      </c>
    </row>
    <row r="90" spans="1:70" s="686" customFormat="1" ht="6.75" customHeight="1" thickBot="1" x14ac:dyDescent="0.25">
      <c r="A90" s="1638"/>
      <c r="B90" s="1712">
        <v>39.5</v>
      </c>
      <c r="C90" s="1057"/>
      <c r="D90" s="764"/>
      <c r="E90" s="1057"/>
      <c r="F90" s="1229"/>
      <c r="G90" s="1229"/>
      <c r="H90" s="1229"/>
      <c r="I90" s="1229"/>
      <c r="J90" s="1604"/>
      <c r="K90" s="1229"/>
      <c r="L90" s="1605"/>
      <c r="M90" s="1644"/>
      <c r="N90" s="1605"/>
      <c r="O90" s="1644"/>
      <c r="P90" s="1606"/>
      <c r="Q90" s="1644"/>
      <c r="R90" s="1057"/>
      <c r="S90" s="1623"/>
      <c r="T90" s="1643"/>
      <c r="U90" s="1623"/>
      <c r="V90" s="1623"/>
      <c r="W90" s="1623"/>
      <c r="X90" s="722"/>
      <c r="Y90" s="841"/>
      <c r="Z90" s="841"/>
      <c r="AA90" s="841"/>
      <c r="AB90" s="722"/>
      <c r="AC90" s="841"/>
      <c r="AD90" s="722"/>
      <c r="AE90" s="841"/>
      <c r="AF90" s="1717"/>
      <c r="AG90" s="841"/>
      <c r="AH90" s="1057"/>
      <c r="AI90" s="1644"/>
      <c r="AJ90" s="1644"/>
      <c r="AK90" s="1644"/>
      <c r="AL90" s="1644"/>
      <c r="AM90" s="1625"/>
      <c r="AN90" s="1625"/>
      <c r="AO90" s="1625"/>
      <c r="AP90" s="1625"/>
      <c r="AQ90" s="1625"/>
      <c r="AR90" s="848"/>
      <c r="AS90" s="848"/>
      <c r="AT90" s="848"/>
      <c r="AU90" s="848"/>
      <c r="AV90" s="848"/>
      <c r="AW90" s="848"/>
      <c r="AX90" s="848"/>
      <c r="AY90" s="848"/>
      <c r="AZ90" s="848"/>
      <c r="BA90" s="848"/>
      <c r="BB90" s="848"/>
      <c r="BC90" s="848"/>
      <c r="BD90" s="848"/>
      <c r="BE90" s="848"/>
      <c r="BF90" s="848"/>
      <c r="BG90" s="685"/>
      <c r="BH90" s="848"/>
      <c r="BI90" s="848"/>
      <c r="BJ90" s="848"/>
      <c r="BK90" s="848"/>
      <c r="BL90" s="848"/>
      <c r="BM90" s="848"/>
      <c r="BN90" s="1229"/>
      <c r="BO90" s="721">
        <f t="shared" si="3"/>
        <v>0</v>
      </c>
    </row>
    <row r="91" spans="1:70" s="686" customFormat="1" x14ac:dyDescent="0.2">
      <c r="A91" s="840">
        <v>40</v>
      </c>
      <c r="B91" s="1712">
        <v>40</v>
      </c>
      <c r="C91" s="1613"/>
      <c r="D91" s="1248" t="str">
        <f>IF(AND(C91="",C89&lt;&gt;""),"Enter Facility "&amp;TEXT(A91,0)&amp;" Name, then Fill in Columns "&amp;TEXT($H$2,0)&amp;" - "&amp;TEXT($AH$2,0)&amp;"       ","")</f>
        <v/>
      </c>
      <c r="E91" s="1245" t="str">
        <f>IF(AL91="N/A","",AL91)</f>
        <v/>
      </c>
      <c r="F91" s="758"/>
      <c r="G91" s="758"/>
      <c r="H91" s="1614"/>
      <c r="I91" s="758"/>
      <c r="J91" s="1615"/>
      <c r="K91" s="1248" t="str">
        <f>IF(E91&lt;&gt;"","Enter Street Address                   ","")</f>
        <v/>
      </c>
      <c r="L91" s="1615"/>
      <c r="M91" s="1248" t="str">
        <f>IF(E91&lt;&gt;"","Enter City Name       ","")</f>
        <v/>
      </c>
      <c r="N91" s="1613"/>
      <c r="O91" s="1248" t="str">
        <f>IF(E91&lt;&gt;"","Select from Pull-Down List   ","")</f>
        <v/>
      </c>
      <c r="P91" s="1616"/>
      <c r="Q91" s="1248" t="str">
        <f>IF($E91&lt;&gt;"","Enter ZIP Code       ","")</f>
        <v/>
      </c>
      <c r="R91" s="1617"/>
      <c r="S91" s="1618" t="str">
        <f>IF($E91&lt;&gt;"","Select from Pull-Down List  ","")</f>
        <v/>
      </c>
      <c r="T91" s="1617"/>
      <c r="U91" s="1618" t="str">
        <f>IF(AND($C91&lt;&gt;"",T91=""),"Select from Pull-Down List  ","")</f>
        <v/>
      </c>
      <c r="V91" s="1619"/>
      <c r="W91" s="1248" t="str">
        <f>IF(E91&lt;&gt;"","Year?   ","")</f>
        <v/>
      </c>
      <c r="X91" s="1247"/>
      <c r="Y91" s="1620" t="str">
        <f>IF(E91&lt;&gt;"","Sq. Feet?   ","")</f>
        <v/>
      </c>
      <c r="Z91" s="1621"/>
      <c r="AA91" s="1618" t="str">
        <f>IF($E91&lt;&gt;"","% of Cap Resp.","")</f>
        <v/>
      </c>
      <c r="AB91" s="1782" t="str">
        <f ca="1">IFERROR(IF(BK91="", "", IF(BK91&gt;100, 1, VLOOKUP(BK91, Valid!$W$1:$AA$101, VLOOKUP(T91, Codes!$G$7:$I$17, 3, FALSE), FALSE))), "")</f>
        <v/>
      </c>
      <c r="AC91" s="1618"/>
      <c r="AD91" s="1247"/>
      <c r="AE91" s="1620" t="str">
        <f>IF($E91&lt;&gt;"","Drop-Down    ","")</f>
        <v/>
      </c>
      <c r="AF91" s="1720"/>
      <c r="AG91" s="1620" t="b">
        <f>IF(E91&lt;&gt;"","Date?   ")</f>
        <v>0</v>
      </c>
      <c r="AH91" s="1613"/>
      <c r="AI91" s="1248" t="str">
        <f>IF(OR(T91="Other (describe in Notes)",T91="Dual Administrative and Maintenance Facility"),"Describe Facility                                                                                         ","")</f>
        <v/>
      </c>
      <c r="AJ91" s="1624"/>
      <c r="AK91" s="1624" t="b">
        <f>IF(AND(C91="",C93&lt;&gt;""),TRUE,FALSE)</f>
        <v>0</v>
      </c>
      <c r="AL91" s="1624" t="str">
        <f>IF(AND($C91&lt;&gt;"",OR($J91="",$L91="",$N91="",$P91="",$R91="",$T91="",$V91="",$X91="",$Z91="",$AD91="",$AF91="")),"No",IF(AND($C91="",OR($H91&lt;&gt;"",$J91&lt;&gt;"",$L91&lt;&gt;"",$N91&lt;&gt;"",$P91&lt;&gt;"",$R91&lt;&gt;"",$T91&lt;&gt;"",$V91&lt;&gt;"",$X91&lt;&gt;"",$Z91&lt;&gt;"",$AD91&lt;&gt;"",$AF91&lt;&gt;"")),"N",IF(AND($H91="",$C91="",$J91="",$L91="",$N91="",$P91="",$R91="",$T91="",$V91="",$X91="",$Z91="",$AD91="",$AF91=""),"N/A",IF(AND($C91&lt;&gt;"",$J91&lt;&gt;"",$L91&lt;&gt;"",$N91&lt;&gt;"",$P91&lt;&gt;"",$R91&lt;&gt;"",$T91&lt;&gt;"",$V91&lt;&gt;"",$X91&lt;&gt;"",$Z91&lt;&gt;"",$AD91&lt;&gt;"",$AF91&lt;&gt;""),"Yes",""))))</f>
        <v>N/A</v>
      </c>
      <c r="AM91" s="1625" t="b">
        <f ca="1">IF(AND($C91="",OR($J91&lt;&gt;"",$L91&lt;&gt;"",$N91&lt;&gt;"",$P91&lt;&gt;"",$R91&lt;&gt;"",$T91&lt;&gt;"",$V91&lt;&gt;"",$X91&lt;&gt;"",$Z91&lt;&gt;"",$AB91&lt;&gt;"",$AF91&lt;&gt;"")),TRUE,FALSE)</f>
        <v>0</v>
      </c>
      <c r="AN91" s="1625" t="b">
        <f>IF(AND($C91&lt;&gt;"",$J91=""),TRUE,FALSE)</f>
        <v>0</v>
      </c>
      <c r="AO91" s="1625" t="b">
        <f>IF(AND($C91&lt;&gt;"",$L91=""),TRUE,FALSE)</f>
        <v>0</v>
      </c>
      <c r="AP91" s="1625" t="b">
        <f>IF(AND($C91&lt;&gt;"",$N91=""),TRUE,FALSE)</f>
        <v>0</v>
      </c>
      <c r="AQ91" s="1625" t="b">
        <f>IF(AND($C91&lt;&gt;"",$P91=""),TRUE,FALSE)</f>
        <v>0</v>
      </c>
      <c r="AR91" s="1625" t="b">
        <f>IF(AND($C91&lt;&gt;"",$R91=""),TRUE,FALSE)</f>
        <v>0</v>
      </c>
      <c r="AS91" s="1625"/>
      <c r="AT91" s="1625" t="b">
        <f ca="1">IF(AND(T91="",OR(V91&lt;&gt;"",X91&lt;&gt;"",Z91&lt;&gt;"",AB91&lt;&gt;"",AF91&lt;&gt;"")),TRUE,FALSE)</f>
        <v>0</v>
      </c>
      <c r="AU91" s="1625" t="b">
        <f>IF(AND($C91&lt;&gt;"",$T91=""),TRUE,FALSE)</f>
        <v>0</v>
      </c>
      <c r="AV91" s="1625" t="b">
        <f>IF(V91="",FALSE,IF(T91="",FALSE,IF(AW91=TRUE,FALSE,IF(OR(V91&lt;BI91,V91&gt;BaseYear),TRUE,FALSE))))</f>
        <v>0</v>
      </c>
      <c r="AW91" s="1625" t="b">
        <f>IF(AND($C91&lt;&gt;"",$V91=""),TRUE,FALSE)</f>
        <v>0</v>
      </c>
      <c r="AX91" s="1625" t="b">
        <f>IF(X91="",FALSE,IF(T91="",FALSE,IF(AZ91=TRUE,FALSE,IF(X91&lt;BL91,TRUE,FALSE))))</f>
        <v>0</v>
      </c>
      <c r="AY91" s="1625" t="b">
        <f>IF(X91="",FALSE,IF(T91="",FALSE,IF(AZ91=TRUE,FALSE,IF(X91&gt;BM91,TRUE,FALSE))))</f>
        <v>0</v>
      </c>
      <c r="AZ91" s="1625" t="b">
        <f>IF(AND($C91&lt;&gt;"",$X91=""),TRUE,FALSE)</f>
        <v>0</v>
      </c>
      <c r="BA91" s="1626" t="b">
        <f>IF(BB91=TRUE,FALSE,IF(OR(Z91&lt;0,Z91&gt;1),TRUE,FALSE))</f>
        <v>0</v>
      </c>
      <c r="BB91" s="1625" t="b">
        <f>IF(AND($C91&lt;&gt;"",$Z91=""),TRUE,FALSE)</f>
        <v>0</v>
      </c>
      <c r="BC91" s="1626"/>
      <c r="BD91" s="1625" t="b">
        <f ca="1">IF(AND($C91&lt;&gt;"",$AB91=""),TRUE,FALSE)</f>
        <v>0</v>
      </c>
      <c r="BE91" s="1626" t="b">
        <f>IF(OR(AF91="", V91=""),FALSE,IF(COUNT(FIND({0,1,2,3,4,5,6,7,8,9}, AF91))=0, FALSE, IF(YEAR(AF91)&lt;V91, TRUE, FALSE)))</f>
        <v>0</v>
      </c>
      <c r="BF91" s="1625" t="b">
        <f>IF(AND($C91&lt;&gt;"",$AF91=""),TRUE,FALSE)</f>
        <v>0</v>
      </c>
      <c r="BG91" s="721"/>
      <c r="BH91" s="1625" t="str">
        <f>IF($T91="","",VLOOKUP($T91,val_facilities,BH$3,FALSE))</f>
        <v/>
      </c>
      <c r="BI91" s="1627" t="str">
        <f>IF($T91="","",VLOOKUP($T91,val_facilities,BI$3,FALSE))</f>
        <v/>
      </c>
      <c r="BJ91" s="1627" t="str">
        <f>IF($T91="","",VLOOKUP($T91,val_facilities,BJ$3,FALSE))</f>
        <v/>
      </c>
      <c r="BK91" s="1627" t="str">
        <f ca="1">IFERROR(IF(V91="", "", YEAR(TODAY())-V91), "")</f>
        <v/>
      </c>
      <c r="BL91" s="845" t="str">
        <f>IF($T91="","",VLOOKUP($T91,val_facilities,BL$3,FALSE))</f>
        <v/>
      </c>
      <c r="BM91" s="845" t="str">
        <f>IF($T91="","",VLOOKUP($T91,val_facilities,BM$3,FALSE))</f>
        <v/>
      </c>
      <c r="BN91" s="758"/>
      <c r="BO91" s="721">
        <f t="shared" si="3"/>
        <v>0</v>
      </c>
      <c r="BP91" s="816"/>
      <c r="BQ91" s="816"/>
      <c r="BR91" s="816"/>
    </row>
    <row r="92" spans="1:70" s="686" customFormat="1" ht="6.75" customHeight="1" thickBot="1" x14ac:dyDescent="0.25">
      <c r="A92" s="1638"/>
      <c r="B92" s="1712">
        <v>40.5</v>
      </c>
      <c r="C92" s="1057"/>
      <c r="D92" s="1248"/>
      <c r="E92" s="1639"/>
      <c r="F92" s="1229"/>
      <c r="G92" s="1229"/>
      <c r="H92" s="1229"/>
      <c r="I92" s="1229"/>
      <c r="J92" s="1604"/>
      <c r="K92" s="1640"/>
      <c r="L92" s="1645"/>
      <c r="M92" s="1646"/>
      <c r="N92" s="1645"/>
      <c r="O92" s="1646"/>
      <c r="P92" s="1647"/>
      <c r="Q92" s="1646"/>
      <c r="R92" s="1057"/>
      <c r="S92" s="1618"/>
      <c r="T92" s="1643"/>
      <c r="U92" s="1618"/>
      <c r="V92" s="1623"/>
      <c r="W92" s="1618"/>
      <c r="X92" s="722"/>
      <c r="Y92" s="1648"/>
      <c r="Z92" s="841"/>
      <c r="AA92" s="1648"/>
      <c r="AB92" s="722"/>
      <c r="AC92" s="1648"/>
      <c r="AD92" s="722"/>
      <c r="AE92" s="1648"/>
      <c r="AF92" s="1717"/>
      <c r="AG92" s="1648"/>
      <c r="AH92" s="1057"/>
      <c r="AI92" s="1644"/>
      <c r="AJ92" s="1644"/>
      <c r="AK92" s="1644"/>
      <c r="AL92" s="1644"/>
      <c r="AM92" s="1625"/>
      <c r="AN92" s="1625"/>
      <c r="AO92" s="1625"/>
      <c r="AP92" s="1625"/>
      <c r="AQ92" s="1625"/>
      <c r="AR92" s="848"/>
      <c r="AS92" s="848"/>
      <c r="AT92" s="848"/>
      <c r="AU92" s="848"/>
      <c r="AV92" s="848"/>
      <c r="AW92" s="848"/>
      <c r="AX92" s="848"/>
      <c r="AY92" s="848"/>
      <c r="AZ92" s="848"/>
      <c r="BA92" s="848"/>
      <c r="BB92" s="848"/>
      <c r="BC92" s="848"/>
      <c r="BD92" s="848"/>
      <c r="BE92" s="848"/>
      <c r="BF92" s="848"/>
      <c r="BG92" s="685"/>
      <c r="BH92" s="848"/>
      <c r="BI92" s="848"/>
      <c r="BJ92" s="848"/>
      <c r="BK92" s="848"/>
      <c r="BL92" s="848"/>
      <c r="BM92" s="848"/>
      <c r="BN92" s="1229"/>
      <c r="BO92" s="721">
        <f t="shared" si="3"/>
        <v>0</v>
      </c>
    </row>
    <row r="93" spans="1:70" s="686" customFormat="1" x14ac:dyDescent="0.2">
      <c r="A93" s="840">
        <v>41</v>
      </c>
      <c r="B93" s="1712">
        <v>41</v>
      </c>
      <c r="C93" s="1613"/>
      <c r="D93" s="1248" t="str">
        <f>IF(AND(C93="",C91&lt;&gt;""),"Enter Facility "&amp;TEXT(A93,0)&amp;" Name, then Fill in Columns "&amp;TEXT($H$2,0)&amp;" - "&amp;TEXT($AH$2,0)&amp;"       ","")</f>
        <v/>
      </c>
      <c r="E93" s="1245" t="str">
        <f>IF(AL93="N/A","",AL93)</f>
        <v/>
      </c>
      <c r="F93" s="758"/>
      <c r="G93" s="758"/>
      <c r="H93" s="1614"/>
      <c r="I93" s="758"/>
      <c r="J93" s="1615"/>
      <c r="K93" s="1248" t="str">
        <f>IF(E93&lt;&gt;"","Enter Street Address                   ","")</f>
        <v/>
      </c>
      <c r="L93" s="1615"/>
      <c r="M93" s="1248" t="str">
        <f>IF(E93&lt;&gt;"","Enter City Name       ","")</f>
        <v/>
      </c>
      <c r="N93" s="1613"/>
      <c r="O93" s="1248" t="str">
        <f>IF(E93&lt;&gt;"","Select from Pull-Down List   ","")</f>
        <v/>
      </c>
      <c r="P93" s="1616"/>
      <c r="Q93" s="1248" t="str">
        <f>IF($E93&lt;&gt;"","Enter ZIP Code       ","")</f>
        <v/>
      </c>
      <c r="R93" s="1617"/>
      <c r="S93" s="1618" t="str">
        <f>IF($E93&lt;&gt;"","Select from Pull-Down List  ","")</f>
        <v/>
      </c>
      <c r="T93" s="1617"/>
      <c r="U93" s="1618" t="str">
        <f>IF(AND($C93&lt;&gt;"",T93=""),"Select from Pull-Down List  ","")</f>
        <v/>
      </c>
      <c r="V93" s="1619"/>
      <c r="W93" s="1248" t="str">
        <f>IF(E93&lt;&gt;"","Year?   ","")</f>
        <v/>
      </c>
      <c r="X93" s="1247"/>
      <c r="Y93" s="1620" t="str">
        <f>IF(E93&lt;&gt;"","Sq. Feet?   ","")</f>
        <v/>
      </c>
      <c r="Z93" s="1621"/>
      <c r="AA93" s="1618" t="str">
        <f>IF($E93&lt;&gt;"","% of Cap Resp.","")</f>
        <v/>
      </c>
      <c r="AB93" s="1782" t="str">
        <f ca="1">IFERROR(IF(BK93="", "", IF(BK93&gt;100, 1, VLOOKUP(BK93, Valid!$W$1:$AA$101, VLOOKUP(T93, Codes!$G$7:$I$17, 3, FALSE), FALSE))), "")</f>
        <v/>
      </c>
      <c r="AC93" s="1618"/>
      <c r="AD93" s="1247"/>
      <c r="AE93" s="1620" t="str">
        <f>IF($E93&lt;&gt;"","Drop-Down    ","")</f>
        <v/>
      </c>
      <c r="AF93" s="1720"/>
      <c r="AG93" s="1620" t="b">
        <f>IF(E93&lt;&gt;"","Date?   ")</f>
        <v>0</v>
      </c>
      <c r="AH93" s="1613"/>
      <c r="AI93" s="1248" t="str">
        <f>IF(OR(T93="Other (describe in Notes)",T93="Dual Administrative and Maintenance Facility"),"Describe Facility                                                                                         ","")</f>
        <v/>
      </c>
      <c r="AJ93" s="1624"/>
      <c r="AK93" s="1624" t="b">
        <f>IF(AND(C93="",C95&lt;&gt;""),TRUE,FALSE)</f>
        <v>0</v>
      </c>
      <c r="AL93" s="1624" t="str">
        <f>IF(AND($C93&lt;&gt;"",OR($J93="",$L93="",$N93="",$P93="",$R93="",$T93="",$V93="",$X93="",$Z93="",$AD93="",$AF93="")),"No",IF(AND($C93="",OR($H93&lt;&gt;"",$J93&lt;&gt;"",$L93&lt;&gt;"",$N93&lt;&gt;"",$P93&lt;&gt;"",$R93&lt;&gt;"",$T93&lt;&gt;"",$V93&lt;&gt;"",$X93&lt;&gt;"",$Z93&lt;&gt;"",$AD93&lt;&gt;"",$AF93&lt;&gt;"")),"N",IF(AND($H93="",$C93="",$J93="",$L93="",$N93="",$P93="",$R93="",$T93="",$V93="",$X93="",$Z93="",$AD93="",$AF93=""),"N/A",IF(AND($C93&lt;&gt;"",$J93&lt;&gt;"",$L93&lt;&gt;"",$N93&lt;&gt;"",$P93&lt;&gt;"",$R93&lt;&gt;"",$T93&lt;&gt;"",$V93&lt;&gt;"",$X93&lt;&gt;"",$Z93&lt;&gt;"",$AD93&lt;&gt;"",$AF93&lt;&gt;""),"Yes",""))))</f>
        <v>N/A</v>
      </c>
      <c r="AM93" s="1625" t="b">
        <f ca="1">IF(AND($C93="",OR($J93&lt;&gt;"",$L93&lt;&gt;"",$N93&lt;&gt;"",$P93&lt;&gt;"",$R93&lt;&gt;"",$T93&lt;&gt;"",$V93&lt;&gt;"",$X93&lt;&gt;"",$Z93&lt;&gt;"",$AB93&lt;&gt;"",$AF93&lt;&gt;"")),TRUE,FALSE)</f>
        <v>0</v>
      </c>
      <c r="AN93" s="1625" t="b">
        <f>IF(AND($C93&lt;&gt;"",$J93=""),TRUE,FALSE)</f>
        <v>0</v>
      </c>
      <c r="AO93" s="1625" t="b">
        <f>IF(AND($C93&lt;&gt;"",$L93=""),TRUE,FALSE)</f>
        <v>0</v>
      </c>
      <c r="AP93" s="1625" t="b">
        <f>IF(AND($C93&lt;&gt;"",$N93=""),TRUE,FALSE)</f>
        <v>0</v>
      </c>
      <c r="AQ93" s="1625" t="b">
        <f>IF(AND($C93&lt;&gt;"",$P93=""),TRUE,FALSE)</f>
        <v>0</v>
      </c>
      <c r="AR93" s="1625" t="b">
        <f>IF(AND($C93&lt;&gt;"",$R93=""),TRUE,FALSE)</f>
        <v>0</v>
      </c>
      <c r="AS93" s="1625"/>
      <c r="AT93" s="1625" t="b">
        <f ca="1">IF(AND(T93="",OR(V93&lt;&gt;"",X93&lt;&gt;"",Z93&lt;&gt;"",AB93&lt;&gt;"",AF93&lt;&gt;"")),TRUE,FALSE)</f>
        <v>0</v>
      </c>
      <c r="AU93" s="1625" t="b">
        <f>IF(AND($C93&lt;&gt;"",$T93=""),TRUE,FALSE)</f>
        <v>0</v>
      </c>
      <c r="AV93" s="1625" t="b">
        <f>IF(V93="",FALSE,IF(T93="",FALSE,IF(AW93=TRUE,FALSE,IF(OR(V93&lt;BI93,V93&gt;BaseYear),TRUE,FALSE))))</f>
        <v>0</v>
      </c>
      <c r="AW93" s="1625" t="b">
        <f>IF(AND($C93&lt;&gt;"",$V93=""),TRUE,FALSE)</f>
        <v>0</v>
      </c>
      <c r="AX93" s="1625" t="b">
        <f>IF(X93="",FALSE,IF(T93="",FALSE,IF(AZ93=TRUE,FALSE,IF(X93&lt;BL93,TRUE,FALSE))))</f>
        <v>0</v>
      </c>
      <c r="AY93" s="1625" t="b">
        <f>IF(X93="",FALSE,IF(T93="",FALSE,IF(AZ93=TRUE,FALSE,IF(X93&gt;BM93,TRUE,FALSE))))</f>
        <v>0</v>
      </c>
      <c r="AZ93" s="1625" t="b">
        <f>IF(AND($C93&lt;&gt;"",$X93=""),TRUE,FALSE)</f>
        <v>0</v>
      </c>
      <c r="BA93" s="1626" t="b">
        <f>IF(BB93=TRUE,FALSE,IF(OR(Z93&lt;0,Z93&gt;1),TRUE,FALSE))</f>
        <v>0</v>
      </c>
      <c r="BB93" s="1625" t="b">
        <f>IF(AND($C93&lt;&gt;"",$Z93=""),TRUE,FALSE)</f>
        <v>0</v>
      </c>
      <c r="BC93" s="1626"/>
      <c r="BD93" s="1625" t="b">
        <f ca="1">IF(AND($C93&lt;&gt;"",$AB93=""),TRUE,FALSE)</f>
        <v>0</v>
      </c>
      <c r="BE93" s="1626" t="b">
        <f>IF(OR(AF93="", V93=""),FALSE,IF(COUNT(FIND({0,1,2,3,4,5,6,7,8,9}, AF93))=0, FALSE, IF(YEAR(AF93)&lt;V93, TRUE, FALSE)))</f>
        <v>0</v>
      </c>
      <c r="BF93" s="1625" t="b">
        <f>IF(AND($C93&lt;&gt;"",$AF93=""),TRUE,FALSE)</f>
        <v>0</v>
      </c>
      <c r="BG93" s="721"/>
      <c r="BH93" s="1625" t="str">
        <f>IF($T93="","",VLOOKUP($T93,val_facilities,BH$3,FALSE))</f>
        <v/>
      </c>
      <c r="BI93" s="1627" t="str">
        <f>IF($T93="","",VLOOKUP($T93,val_facilities,BI$3,FALSE))</f>
        <v/>
      </c>
      <c r="BJ93" s="1627" t="str">
        <f>IF($T93="","",VLOOKUP($T93,val_facilities,BJ$3,FALSE))</f>
        <v/>
      </c>
      <c r="BK93" s="1627" t="str">
        <f ca="1">IFERROR(IF(V93="", "", YEAR(TODAY())-V93), "")</f>
        <v/>
      </c>
      <c r="BL93" s="845" t="str">
        <f>IF($T93="","",VLOOKUP($T93,val_facilities,BL$3,FALSE))</f>
        <v/>
      </c>
      <c r="BM93" s="845" t="str">
        <f>IF($T93="","",VLOOKUP($T93,val_facilities,BM$3,FALSE))</f>
        <v/>
      </c>
      <c r="BN93" s="758"/>
      <c r="BO93" s="721">
        <f t="shared" si="3"/>
        <v>0</v>
      </c>
      <c r="BP93" s="816"/>
      <c r="BQ93" s="816"/>
      <c r="BR93" s="816"/>
    </row>
    <row r="94" spans="1:70" s="686" customFormat="1" ht="6.75" customHeight="1" thickBot="1" x14ac:dyDescent="0.25">
      <c r="A94" s="1638"/>
      <c r="B94" s="1712">
        <v>41.5</v>
      </c>
      <c r="C94" s="1607"/>
      <c r="D94" s="1248"/>
      <c r="E94" s="721"/>
      <c r="F94" s="758"/>
      <c r="G94" s="758"/>
      <c r="H94" s="758"/>
      <c r="I94" s="758"/>
      <c r="J94" s="1628"/>
      <c r="K94" s="1248"/>
      <c r="L94" s="1629"/>
      <c r="M94" s="1248"/>
      <c r="N94" s="1629"/>
      <c r="O94" s="1248"/>
      <c r="P94" s="1630"/>
      <c r="Q94" s="1248"/>
      <c r="R94" s="1223"/>
      <c r="S94" s="1618"/>
      <c r="T94" s="1608"/>
      <c r="U94" s="1618"/>
      <c r="V94" s="1623"/>
      <c r="W94" s="1618"/>
      <c r="X94" s="1631"/>
      <c r="Y94" s="1632"/>
      <c r="Z94" s="822"/>
      <c r="AA94" s="1632"/>
      <c r="AB94" s="1631"/>
      <c r="AC94" s="1632"/>
      <c r="AD94" s="1631"/>
      <c r="AE94" s="1632"/>
      <c r="AF94" s="1719"/>
      <c r="AG94" s="1632"/>
      <c r="AH94" s="1243"/>
      <c r="AI94" s="1248"/>
      <c r="AJ94" s="758"/>
      <c r="AK94" s="758"/>
      <c r="AL94" s="758"/>
      <c r="AM94" s="1625"/>
      <c r="AN94" s="1625"/>
      <c r="AO94" s="1625"/>
      <c r="AP94" s="1625"/>
      <c r="AQ94" s="1625"/>
      <c r="AR94" s="1625"/>
      <c r="AS94" s="1625"/>
      <c r="AT94" s="1625"/>
      <c r="AU94" s="1625"/>
      <c r="AV94" s="1626"/>
      <c r="AW94" s="1626"/>
      <c r="AX94" s="1626"/>
      <c r="AY94" s="1626"/>
      <c r="AZ94" s="1626"/>
      <c r="BA94" s="1626"/>
      <c r="BB94" s="1626"/>
      <c r="BC94" s="1626"/>
      <c r="BD94" s="1626"/>
      <c r="BE94" s="1626"/>
      <c r="BF94" s="1626"/>
      <c r="BG94" s="721"/>
      <c r="BH94" s="1626"/>
      <c r="BI94" s="1626"/>
      <c r="BJ94" s="1626"/>
      <c r="BK94" s="1626"/>
      <c r="BL94" s="1626"/>
      <c r="BM94" s="1626"/>
      <c r="BN94" s="758"/>
      <c r="BO94" s="721">
        <f t="shared" si="3"/>
        <v>0</v>
      </c>
      <c r="BP94" s="721"/>
      <c r="BQ94" s="721"/>
      <c r="BR94" s="721"/>
    </row>
    <row r="95" spans="1:70" s="816" customFormat="1" x14ac:dyDescent="0.2">
      <c r="A95" s="840">
        <v>42</v>
      </c>
      <c r="B95" s="1712">
        <v>42</v>
      </c>
      <c r="C95" s="1613"/>
      <c r="D95" s="1248" t="str">
        <f>IF(AND(C95="",C93&lt;&gt;""),"Enter Facility "&amp;TEXT(A95,0)&amp;" Name, then Fill in Columns "&amp;TEXT($H$2,0)&amp;" - "&amp;TEXT($AH$2,0)&amp;"       ","")</f>
        <v/>
      </c>
      <c r="E95" s="1245" t="str">
        <f>IF(AL95="N/A","",AL95)</f>
        <v/>
      </c>
      <c r="F95" s="758"/>
      <c r="G95" s="758"/>
      <c r="H95" s="1614"/>
      <c r="I95" s="758"/>
      <c r="J95" s="1615"/>
      <c r="K95" s="1248" t="str">
        <f>IF(E95&lt;&gt;"","Enter Street Address                   ","")</f>
        <v/>
      </c>
      <c r="L95" s="1615"/>
      <c r="M95" s="1248" t="str">
        <f>IF(E95&lt;&gt;"","Enter City Name       ","")</f>
        <v/>
      </c>
      <c r="N95" s="1613"/>
      <c r="O95" s="1248" t="str">
        <f>IF(E95&lt;&gt;"","Select from Pull-Down List   ","")</f>
        <v/>
      </c>
      <c r="P95" s="1616"/>
      <c r="Q95" s="1248" t="str">
        <f>IF($E95&lt;&gt;"","Enter ZIP Code       ","")</f>
        <v/>
      </c>
      <c r="R95" s="1617"/>
      <c r="S95" s="1618" t="str">
        <f>IF($E95&lt;&gt;"","Select from Pull-Down List  ","")</f>
        <v/>
      </c>
      <c r="T95" s="1617"/>
      <c r="U95" s="1618" t="str">
        <f>IF(AND($C95&lt;&gt;"",T95=""),"Select from Pull-Down List  ","")</f>
        <v/>
      </c>
      <c r="V95" s="1619"/>
      <c r="W95" s="1248" t="str">
        <f>IF(E95&lt;&gt;"","Year?   ","")</f>
        <v/>
      </c>
      <c r="X95" s="1247"/>
      <c r="Y95" s="1620" t="str">
        <f>IF(E95&lt;&gt;"","Sq. Feet?   ","")</f>
        <v/>
      </c>
      <c r="Z95" s="1621"/>
      <c r="AA95" s="1618" t="str">
        <f>IF($E95&lt;&gt;"","% of Cap Resp.","")</f>
        <v/>
      </c>
      <c r="AB95" s="1782" t="str">
        <f ca="1">IFERROR(IF(BK95="", "", IF(BK95&gt;100, 1, VLOOKUP(BK95, Valid!$W$1:$AA$101, VLOOKUP(T95, Codes!$G$7:$I$17, 3, FALSE), FALSE))), "")</f>
        <v/>
      </c>
      <c r="AC95" s="1618"/>
      <c r="AD95" s="1247"/>
      <c r="AE95" s="1620" t="str">
        <f>IF($E95&lt;&gt;"","Drop-Down    ","")</f>
        <v/>
      </c>
      <c r="AF95" s="1720"/>
      <c r="AG95" s="1620" t="b">
        <f>IF(E95&lt;&gt;"","Date?   ")</f>
        <v>0</v>
      </c>
      <c r="AH95" s="1613"/>
      <c r="AI95" s="1248" t="str">
        <f>IF(OR(T95="Other (describe in Notes)",T95="Dual Administrative and Maintenance Facility"),"Describe Facility                                                                                         ","")</f>
        <v/>
      </c>
      <c r="AJ95" s="1624"/>
      <c r="AK95" s="1624" t="b">
        <f>IF(AND(C95="",C97&lt;&gt;""),TRUE,FALSE)</f>
        <v>0</v>
      </c>
      <c r="AL95" s="1624" t="str">
        <f>IF(AND($C95&lt;&gt;"",OR($J95="",$L95="",$N95="",$P95="",$R95="",$T95="",$V95="",$X95="",$Z95="",$AD95="",$AF95="")),"No",IF(AND($C95="",OR($H95&lt;&gt;"",$J95&lt;&gt;"",$L95&lt;&gt;"",$N95&lt;&gt;"",$P95&lt;&gt;"",$R95&lt;&gt;"",$T95&lt;&gt;"",$V95&lt;&gt;"",$X95&lt;&gt;"",$Z95&lt;&gt;"",$AD95&lt;&gt;"",$AF95&lt;&gt;"")),"N",IF(AND($H95="",$C95="",$J95="",$L95="",$N95="",$P95="",$R95="",$T95="",$V95="",$X95="",$Z95="",$AD95="",$AF95=""),"N/A",IF(AND($C95&lt;&gt;"",$J95&lt;&gt;"",$L95&lt;&gt;"",$N95&lt;&gt;"",$P95&lt;&gt;"",$R95&lt;&gt;"",$T95&lt;&gt;"",$V95&lt;&gt;"",$X95&lt;&gt;"",$Z95&lt;&gt;"",$AD95&lt;&gt;"",$AF95&lt;&gt;""),"Yes",""))))</f>
        <v>N/A</v>
      </c>
      <c r="AM95" s="1625" t="b">
        <f ca="1">IF(AND($C95="",OR($J95&lt;&gt;"",$L95&lt;&gt;"",$N95&lt;&gt;"",$P95&lt;&gt;"",$R95&lt;&gt;"",$T95&lt;&gt;"",$V95&lt;&gt;"",$X95&lt;&gt;"",$Z95&lt;&gt;"",$AB95&lt;&gt;"",$AF95&lt;&gt;"")),TRUE,FALSE)</f>
        <v>0</v>
      </c>
      <c r="AN95" s="1625" t="b">
        <f>IF(AND($C95&lt;&gt;"",$J95=""),TRUE,FALSE)</f>
        <v>0</v>
      </c>
      <c r="AO95" s="1625" t="b">
        <f>IF(AND($C95&lt;&gt;"",$L95=""),TRUE,FALSE)</f>
        <v>0</v>
      </c>
      <c r="AP95" s="1625" t="b">
        <f>IF(AND($C95&lt;&gt;"",$N95=""),TRUE,FALSE)</f>
        <v>0</v>
      </c>
      <c r="AQ95" s="1625" t="b">
        <f>IF(AND($C95&lt;&gt;"",$P95=""),TRUE,FALSE)</f>
        <v>0</v>
      </c>
      <c r="AR95" s="1625" t="b">
        <f>IF(AND($C95&lt;&gt;"",$R95=""),TRUE,FALSE)</f>
        <v>0</v>
      </c>
      <c r="AS95" s="1625"/>
      <c r="AT95" s="1625" t="b">
        <f ca="1">IF(AND(T95="",OR(V95&lt;&gt;"",X95&lt;&gt;"",Z95&lt;&gt;"",AB95&lt;&gt;"",AF95&lt;&gt;"")),TRUE,FALSE)</f>
        <v>0</v>
      </c>
      <c r="AU95" s="1625" t="b">
        <f>IF(AND($C95&lt;&gt;"",$T95=""),TRUE,FALSE)</f>
        <v>0</v>
      </c>
      <c r="AV95" s="1625" t="b">
        <f>IF(V95="",FALSE,IF(T95="",FALSE,IF(AW95=TRUE,FALSE,IF(OR(V95&lt;BI95,V95&gt;BaseYear),TRUE,FALSE))))</f>
        <v>0</v>
      </c>
      <c r="AW95" s="1625" t="b">
        <f>IF(AND($C95&lt;&gt;"",$V95=""),TRUE,FALSE)</f>
        <v>0</v>
      </c>
      <c r="AX95" s="1625" t="b">
        <f>IF(X95="",FALSE,IF(T95="",FALSE,IF(AZ95=TRUE,FALSE,IF(X95&lt;BL95,TRUE,FALSE))))</f>
        <v>0</v>
      </c>
      <c r="AY95" s="1625" t="b">
        <f>IF(X95="",FALSE,IF(T95="",FALSE,IF(AZ95=TRUE,FALSE,IF(X95&gt;BM95,TRUE,FALSE))))</f>
        <v>0</v>
      </c>
      <c r="AZ95" s="1625" t="b">
        <f>IF(AND($C95&lt;&gt;"",$X95=""),TRUE,FALSE)</f>
        <v>0</v>
      </c>
      <c r="BA95" s="1626" t="b">
        <f>IF(BB95=TRUE,FALSE,IF(OR(Z95&lt;0,Z95&gt;1),TRUE,FALSE))</f>
        <v>0</v>
      </c>
      <c r="BB95" s="1625" t="b">
        <f>IF(AND($C95&lt;&gt;"",$Z95=""),TRUE,FALSE)</f>
        <v>0</v>
      </c>
      <c r="BC95" s="1626"/>
      <c r="BD95" s="1625" t="b">
        <f ca="1">IF(AND($C95&lt;&gt;"",$AB95=""),TRUE,FALSE)</f>
        <v>0</v>
      </c>
      <c r="BE95" s="1626" t="b">
        <f>IF(OR(AF95="", V95=""),FALSE,IF(COUNT(FIND({0,1,2,3,4,5,6,7,8,9}, AF95))=0, FALSE, IF(YEAR(AF95)&lt;V95, TRUE, FALSE)))</f>
        <v>0</v>
      </c>
      <c r="BF95" s="1625" t="b">
        <f>IF(AND($C95&lt;&gt;"",$AF95=""),TRUE,FALSE)</f>
        <v>0</v>
      </c>
      <c r="BG95" s="721"/>
      <c r="BH95" s="1625" t="str">
        <f>IF($T95="","",VLOOKUP($T95,val_facilities,BH$3,FALSE))</f>
        <v/>
      </c>
      <c r="BI95" s="1627" t="str">
        <f>IF($T95="","",VLOOKUP($T95,val_facilities,BI$3,FALSE))</f>
        <v/>
      </c>
      <c r="BJ95" s="1627" t="str">
        <f>IF($T95="","",VLOOKUP($T95,val_facilities,BJ$3,FALSE))</f>
        <v/>
      </c>
      <c r="BK95" s="1627" t="str">
        <f ca="1">IFERROR(IF(V95="", "", YEAR(TODAY())-V95), "")</f>
        <v/>
      </c>
      <c r="BL95" s="845" t="str">
        <f>IF($T95="","",VLOOKUP($T95,val_facilities,BL$3,FALSE))</f>
        <v/>
      </c>
      <c r="BM95" s="845" t="str">
        <f>IF($T95="","",VLOOKUP($T95,val_facilities,BM$3,FALSE))</f>
        <v/>
      </c>
      <c r="BN95" s="758"/>
      <c r="BO95" s="721">
        <f t="shared" si="3"/>
        <v>0</v>
      </c>
    </row>
    <row r="96" spans="1:70" s="816" customFormat="1" ht="6.75" customHeight="1" thickBot="1" x14ac:dyDescent="0.25">
      <c r="A96" s="840"/>
      <c r="B96" s="1712">
        <v>42.5</v>
      </c>
      <c r="C96" s="721"/>
      <c r="D96" s="1248"/>
      <c r="F96" s="758"/>
      <c r="G96" s="758"/>
      <c r="H96" s="758"/>
      <c r="I96" s="758"/>
      <c r="J96" s="1633"/>
      <c r="K96" s="1248"/>
      <c r="L96" s="1634"/>
      <c r="M96" s="1248"/>
      <c r="N96" s="1634"/>
      <c r="O96" s="1248"/>
      <c r="P96" s="1635"/>
      <c r="Q96" s="1248"/>
      <c r="R96" s="1059"/>
      <c r="S96" s="1618"/>
      <c r="T96" s="1636"/>
      <c r="U96" s="1618"/>
      <c r="V96" s="1623"/>
      <c r="W96" s="1618"/>
      <c r="X96" s="722"/>
      <c r="Y96" s="723"/>
      <c r="Z96" s="724"/>
      <c r="AA96" s="723"/>
      <c r="AB96" s="722"/>
      <c r="AC96" s="723"/>
      <c r="AD96" s="722"/>
      <c r="AE96" s="723"/>
      <c r="AF96" s="1717"/>
      <c r="AG96" s="723"/>
      <c r="AH96" s="1637"/>
      <c r="AI96" s="1624"/>
      <c r="AJ96" s="1624"/>
      <c r="AK96" s="1624"/>
      <c r="AL96" s="1624"/>
      <c r="AM96" s="1625"/>
      <c r="AN96" s="1625"/>
      <c r="AO96" s="1625"/>
      <c r="AP96" s="1625"/>
      <c r="AQ96" s="1625"/>
      <c r="AR96" s="1625"/>
      <c r="AS96" s="1625"/>
      <c r="AT96" s="1625"/>
      <c r="AU96" s="1625"/>
      <c r="AV96" s="1626"/>
      <c r="AW96" s="1626"/>
      <c r="AX96" s="1626"/>
      <c r="AY96" s="1626"/>
      <c r="AZ96" s="1626"/>
      <c r="BA96" s="1626"/>
      <c r="BB96" s="1626"/>
      <c r="BC96" s="1626"/>
      <c r="BD96" s="1626"/>
      <c r="BE96" s="1626"/>
      <c r="BF96" s="1626"/>
      <c r="BG96" s="721"/>
      <c r="BH96" s="1626"/>
      <c r="BI96" s="1626"/>
      <c r="BJ96" s="1626"/>
      <c r="BK96" s="1626"/>
      <c r="BL96" s="1626"/>
      <c r="BM96" s="1626"/>
      <c r="BN96" s="758"/>
      <c r="BO96" s="721">
        <f t="shared" si="3"/>
        <v>0</v>
      </c>
    </row>
    <row r="97" spans="1:70" s="816" customFormat="1" x14ac:dyDescent="0.2">
      <c r="A97" s="840">
        <v>43</v>
      </c>
      <c r="B97" s="1712">
        <v>43</v>
      </c>
      <c r="C97" s="1613"/>
      <c r="D97" s="1248" t="str">
        <f>IF(AND(C97="",C95&lt;&gt;""),"Enter Facility "&amp;TEXT(A97,0)&amp;" Name, then Fill in Columns "&amp;TEXT($H$2,0)&amp;" - "&amp;TEXT($AH$2,0)&amp;"       ","")</f>
        <v/>
      </c>
      <c r="E97" s="1245" t="str">
        <f>IF(AL97="N/A","",AL97)</f>
        <v/>
      </c>
      <c r="F97" s="758"/>
      <c r="G97" s="758"/>
      <c r="H97" s="1614"/>
      <c r="I97" s="758"/>
      <c r="J97" s="1615"/>
      <c r="K97" s="1248" t="str">
        <f>IF(E97&lt;&gt;"","Enter Street Address                   ","")</f>
        <v/>
      </c>
      <c r="L97" s="1615"/>
      <c r="M97" s="1248" t="str">
        <f>IF(E97&lt;&gt;"","Enter City Name       ","")</f>
        <v/>
      </c>
      <c r="N97" s="1613"/>
      <c r="O97" s="1248" t="str">
        <f>IF(E97&lt;&gt;"","Select from Pull-Down List   ","")</f>
        <v/>
      </c>
      <c r="P97" s="1616"/>
      <c r="Q97" s="1248" t="str">
        <f>IF($E97&lt;&gt;"","Enter ZIP Code       ","")</f>
        <v/>
      </c>
      <c r="R97" s="1617"/>
      <c r="S97" s="1618" t="str">
        <f>IF($E97&lt;&gt;"","Select from Pull-Down List  ","")</f>
        <v/>
      </c>
      <c r="T97" s="1617"/>
      <c r="U97" s="1618" t="str">
        <f>IF(AND($C97&lt;&gt;"",T97=""),"Select from Pull-Down List  ","")</f>
        <v/>
      </c>
      <c r="V97" s="1619"/>
      <c r="W97" s="1248" t="str">
        <f>IF(E97&lt;&gt;"","Year?   ","")</f>
        <v/>
      </c>
      <c r="X97" s="1247"/>
      <c r="Y97" s="1620" t="str">
        <f>IF(E97&lt;&gt;"","Sq. Feet?   ","")</f>
        <v/>
      </c>
      <c r="Z97" s="1621"/>
      <c r="AA97" s="1618" t="str">
        <f>IF($E97&lt;&gt;"","% of Cap Resp.","")</f>
        <v/>
      </c>
      <c r="AB97" s="1782" t="str">
        <f ca="1">IFERROR(IF(BK97="", "", IF(BK97&gt;100, 1, VLOOKUP(BK97, Valid!$W$1:$AA$101, VLOOKUP(T97, Codes!$G$7:$I$17, 3, FALSE), FALSE))), "")</f>
        <v/>
      </c>
      <c r="AC97" s="1618"/>
      <c r="AD97" s="1247"/>
      <c r="AE97" s="1620" t="str">
        <f>IF($E97&lt;&gt;"","Drop-Down    ","")</f>
        <v/>
      </c>
      <c r="AF97" s="1720"/>
      <c r="AG97" s="1620" t="b">
        <f>IF(E97&lt;&gt;"","Date?   ")</f>
        <v>0</v>
      </c>
      <c r="AH97" s="1613"/>
      <c r="AI97" s="1248" t="str">
        <f>IF(OR(T97="Other (describe in Notes)",T97="Dual Administrative and Maintenance Facility"),"Describe Facility                                                                                         ","")</f>
        <v/>
      </c>
      <c r="AJ97" s="1624"/>
      <c r="AK97" s="1624" t="b">
        <f>IF(AND(C97="",C99&lt;&gt;""),TRUE,FALSE)</f>
        <v>0</v>
      </c>
      <c r="AL97" s="1624" t="str">
        <f>IF(AND($C97&lt;&gt;"",OR($J97="",$L97="",$N97="",$P97="",$R97="",$T97="",$V97="",$X97="",$Z97="",$AD97="",$AF97="")),"No",IF(AND($C97="",OR($H97&lt;&gt;"",$J97&lt;&gt;"",$L97&lt;&gt;"",$N97&lt;&gt;"",$P97&lt;&gt;"",$R97&lt;&gt;"",$T97&lt;&gt;"",$V97&lt;&gt;"",$X97&lt;&gt;"",$Z97&lt;&gt;"",$AD97&lt;&gt;"",$AF97&lt;&gt;"")),"N",IF(AND($H97="",$C97="",$J97="",$L97="",$N97="",$P97="",$R97="",$T97="",$V97="",$X97="",$Z97="",$AD97="",$AF97=""),"N/A",IF(AND($C97&lt;&gt;"",$J97&lt;&gt;"",$L97&lt;&gt;"",$N97&lt;&gt;"",$P97&lt;&gt;"",$R97&lt;&gt;"",$T97&lt;&gt;"",$V97&lt;&gt;"",$X97&lt;&gt;"",$Z97&lt;&gt;"",$AD97&lt;&gt;"",$AF97&lt;&gt;""),"Yes",""))))</f>
        <v>N/A</v>
      </c>
      <c r="AM97" s="1625" t="b">
        <f ca="1">IF(AND($C97="",OR($J97&lt;&gt;"",$L97&lt;&gt;"",$N97&lt;&gt;"",$P97&lt;&gt;"",$R97&lt;&gt;"",$T97&lt;&gt;"",$V97&lt;&gt;"",$X97&lt;&gt;"",$Z97&lt;&gt;"",$AB97&lt;&gt;"",$AF97&lt;&gt;"")),TRUE,FALSE)</f>
        <v>0</v>
      </c>
      <c r="AN97" s="1625" t="b">
        <f>IF(AND($C97&lt;&gt;"",$J97=""),TRUE,FALSE)</f>
        <v>0</v>
      </c>
      <c r="AO97" s="1625" t="b">
        <f>IF(AND($C97&lt;&gt;"",$L97=""),TRUE,FALSE)</f>
        <v>0</v>
      </c>
      <c r="AP97" s="1625" t="b">
        <f>IF(AND($C97&lt;&gt;"",$N97=""),TRUE,FALSE)</f>
        <v>0</v>
      </c>
      <c r="AQ97" s="1625" t="b">
        <f>IF(AND($C97&lt;&gt;"",$P97=""),TRUE,FALSE)</f>
        <v>0</v>
      </c>
      <c r="AR97" s="1625" t="b">
        <f>IF(AND($C97&lt;&gt;"",$R97=""),TRUE,FALSE)</f>
        <v>0</v>
      </c>
      <c r="AS97" s="1625"/>
      <c r="AT97" s="1625" t="b">
        <f ca="1">IF(AND(T97="",OR(V97&lt;&gt;"",X97&lt;&gt;"",Z97&lt;&gt;"",AB97&lt;&gt;"",AF97&lt;&gt;"")),TRUE,FALSE)</f>
        <v>0</v>
      </c>
      <c r="AU97" s="1625" t="b">
        <f>IF(AND($C97&lt;&gt;"",$T97=""),TRUE,FALSE)</f>
        <v>0</v>
      </c>
      <c r="AV97" s="1625" t="b">
        <f>IF(V97="",FALSE,IF(T97="",FALSE,IF(AW97=TRUE,FALSE,IF(OR(V97&lt;BI97,V97&gt;BaseYear),TRUE,FALSE))))</f>
        <v>0</v>
      </c>
      <c r="AW97" s="1625" t="b">
        <f>IF(AND($C97&lt;&gt;"",$V97=""),TRUE,FALSE)</f>
        <v>0</v>
      </c>
      <c r="AX97" s="1625" t="b">
        <f>IF(X97="",FALSE,IF(T97="",FALSE,IF(AZ97=TRUE,FALSE,IF(X97&lt;BL97,TRUE,FALSE))))</f>
        <v>0</v>
      </c>
      <c r="AY97" s="1625" t="b">
        <f>IF(X97="",FALSE,IF(T97="",FALSE,IF(AZ97=TRUE,FALSE,IF(X97&gt;BM97,TRUE,FALSE))))</f>
        <v>0</v>
      </c>
      <c r="AZ97" s="1625" t="b">
        <f>IF(AND($C97&lt;&gt;"",$X97=""),TRUE,FALSE)</f>
        <v>0</v>
      </c>
      <c r="BA97" s="1626" t="b">
        <f>IF(BB97=TRUE,FALSE,IF(OR(Z97&lt;0,Z97&gt;1),TRUE,FALSE))</f>
        <v>0</v>
      </c>
      <c r="BB97" s="1625" t="b">
        <f>IF(AND($C97&lt;&gt;"",$Z97=""),TRUE,FALSE)</f>
        <v>0</v>
      </c>
      <c r="BC97" s="1626"/>
      <c r="BD97" s="1625" t="b">
        <f ca="1">IF(AND($C97&lt;&gt;"",$AB97=""),TRUE,FALSE)</f>
        <v>0</v>
      </c>
      <c r="BE97" s="1626" t="b">
        <f>IF(OR(AF97="", V97=""),FALSE,IF(COUNT(FIND({0,1,2,3,4,5,6,7,8,9}, AF97))=0, FALSE, IF(YEAR(AF97)&lt;V97, TRUE, FALSE)))</f>
        <v>0</v>
      </c>
      <c r="BF97" s="1625" t="b">
        <f>IF(AND($C97&lt;&gt;"",$AF97=""),TRUE,FALSE)</f>
        <v>0</v>
      </c>
      <c r="BG97" s="721"/>
      <c r="BH97" s="1625" t="str">
        <f>IF($T97="","",VLOOKUP($T97,val_facilities,BH$3,FALSE))</f>
        <v/>
      </c>
      <c r="BI97" s="1627" t="str">
        <f>IF($T97="","",VLOOKUP($T97,val_facilities,BI$3,FALSE))</f>
        <v/>
      </c>
      <c r="BJ97" s="1627" t="str">
        <f>IF($T97="","",VLOOKUP($T97,val_facilities,BJ$3,FALSE))</f>
        <v/>
      </c>
      <c r="BK97" s="1627" t="str">
        <f ca="1">IFERROR(IF(V97="", "", YEAR(TODAY())-V97), "")</f>
        <v/>
      </c>
      <c r="BL97" s="845" t="str">
        <f>IF($T97="","",VLOOKUP($T97,val_facilities,BL$3,FALSE))</f>
        <v/>
      </c>
      <c r="BM97" s="845" t="str">
        <f>IF($T97="","",VLOOKUP($T97,val_facilities,BM$3,FALSE))</f>
        <v/>
      </c>
      <c r="BN97" s="758"/>
      <c r="BO97" s="721">
        <f t="shared" si="3"/>
        <v>0</v>
      </c>
    </row>
    <row r="98" spans="1:70" s="686" customFormat="1" ht="6.75" customHeight="1" thickBot="1" x14ac:dyDescent="0.25">
      <c r="A98" s="1638"/>
      <c r="B98" s="1712">
        <v>43.5</v>
      </c>
      <c r="C98" s="1057"/>
      <c r="D98" s="1248"/>
      <c r="E98" s="1057"/>
      <c r="F98" s="1229"/>
      <c r="G98" s="1229"/>
      <c r="H98" s="1229"/>
      <c r="I98" s="1229"/>
      <c r="J98" s="1604"/>
      <c r="K98" s="1640"/>
      <c r="L98" s="1641"/>
      <c r="M98" s="1248"/>
      <c r="N98" s="1641"/>
      <c r="O98" s="1248"/>
      <c r="P98" s="1642"/>
      <c r="Q98" s="1248"/>
      <c r="R98" s="1057"/>
      <c r="S98" s="1618"/>
      <c r="T98" s="1643"/>
      <c r="U98" s="1618"/>
      <c r="V98" s="1623"/>
      <c r="W98" s="1618"/>
      <c r="X98" s="733"/>
      <c r="Y98" s="1275"/>
      <c r="Z98" s="685"/>
      <c r="AA98" s="1275"/>
      <c r="AB98" s="733"/>
      <c r="AC98" s="1275"/>
      <c r="AD98" s="733"/>
      <c r="AE98" s="1275"/>
      <c r="AF98" s="1721"/>
      <c r="AG98" s="1275"/>
      <c r="AH98" s="1057"/>
      <c r="AI98" s="1644"/>
      <c r="AJ98" s="1644"/>
      <c r="AK98" s="1644"/>
      <c r="AL98" s="1644"/>
      <c r="AM98" s="1625"/>
      <c r="AN98" s="1625"/>
      <c r="AO98" s="1625"/>
      <c r="AP98" s="1625"/>
      <c r="AQ98" s="1625"/>
      <c r="AR98" s="848"/>
      <c r="AS98" s="848"/>
      <c r="AT98" s="848"/>
      <c r="AU98" s="848"/>
      <c r="AV98" s="848"/>
      <c r="AW98" s="848"/>
      <c r="AX98" s="848"/>
      <c r="AY98" s="848"/>
      <c r="AZ98" s="848"/>
      <c r="BA98" s="848"/>
      <c r="BB98" s="848"/>
      <c r="BC98" s="848"/>
      <c r="BD98" s="848"/>
      <c r="BE98" s="848"/>
      <c r="BF98" s="848"/>
      <c r="BG98" s="685"/>
      <c r="BH98" s="848"/>
      <c r="BI98" s="848"/>
      <c r="BJ98" s="848"/>
      <c r="BK98" s="848"/>
      <c r="BL98" s="848"/>
      <c r="BM98" s="848"/>
      <c r="BN98" s="1229"/>
      <c r="BO98" s="721">
        <f t="shared" si="3"/>
        <v>0</v>
      </c>
    </row>
    <row r="99" spans="1:70" s="686" customFormat="1" x14ac:dyDescent="0.2">
      <c r="A99" s="840">
        <v>44</v>
      </c>
      <c r="B99" s="1712">
        <v>44</v>
      </c>
      <c r="C99" s="1613"/>
      <c r="D99" s="1248" t="str">
        <f>IF(AND(C99="",C97&lt;&gt;""),"Enter Facility "&amp;TEXT(A99,0)&amp;" Name, then Fill in Columns "&amp;TEXT($H$2,0)&amp;" - "&amp;TEXT($AH$2,0)&amp;"       ","")</f>
        <v/>
      </c>
      <c r="E99" s="1245" t="str">
        <f>IF(AL99="N/A","",AL99)</f>
        <v/>
      </c>
      <c r="F99" s="758"/>
      <c r="G99" s="758"/>
      <c r="H99" s="1614"/>
      <c r="I99" s="758"/>
      <c r="J99" s="1615"/>
      <c r="K99" s="1248" t="str">
        <f>IF(E99&lt;&gt;"","Enter Street Address                   ","")</f>
        <v/>
      </c>
      <c r="L99" s="1615"/>
      <c r="M99" s="1248" t="str">
        <f>IF(E99&lt;&gt;"","Enter City Name       ","")</f>
        <v/>
      </c>
      <c r="N99" s="1613"/>
      <c r="O99" s="1248" t="str">
        <f>IF(E99&lt;&gt;"","Select from Pull-Down List   ","")</f>
        <v/>
      </c>
      <c r="P99" s="1616"/>
      <c r="Q99" s="1248" t="str">
        <f>IF($E99&lt;&gt;"","Enter ZIP Code       ","")</f>
        <v/>
      </c>
      <c r="R99" s="1617"/>
      <c r="S99" s="1618" t="str">
        <f>IF($E99&lt;&gt;"","Select from Pull-Down List  ","")</f>
        <v/>
      </c>
      <c r="T99" s="1617"/>
      <c r="U99" s="1618" t="str">
        <f>IF(AND($C99&lt;&gt;"",T99=""),"Select from Pull-Down List  ","")</f>
        <v/>
      </c>
      <c r="V99" s="1619"/>
      <c r="W99" s="1248" t="str">
        <f>IF(E99&lt;&gt;"","Year?   ","")</f>
        <v/>
      </c>
      <c r="X99" s="1247"/>
      <c r="Y99" s="1620" t="str">
        <f>IF(E99&lt;&gt;"","Sq. Feet?   ","")</f>
        <v/>
      </c>
      <c r="Z99" s="1621"/>
      <c r="AA99" s="1618" t="str">
        <f>IF($E99&lt;&gt;"","% of Cap Resp.","")</f>
        <v/>
      </c>
      <c r="AB99" s="1782" t="str">
        <f ca="1">IFERROR(IF(BK99="", "", IF(BK99&gt;100, 1, VLOOKUP(BK99, Valid!$W$1:$AA$101, VLOOKUP(T99, Codes!$G$7:$I$17, 3, FALSE), FALSE))), "")</f>
        <v/>
      </c>
      <c r="AC99" s="1618"/>
      <c r="AD99" s="1247"/>
      <c r="AE99" s="1620" t="str">
        <f>IF($E99&lt;&gt;"","Drop-Down    ","")</f>
        <v/>
      </c>
      <c r="AF99" s="1720"/>
      <c r="AG99" s="1620" t="b">
        <f>IF(E99&lt;&gt;"","Date?   ")</f>
        <v>0</v>
      </c>
      <c r="AH99" s="1613"/>
      <c r="AI99" s="1248" t="str">
        <f>IF(OR(T99="Other (describe in Notes)",T99="Dual Administrative and Maintenance Facility"),"Describe Facility                                                                                         ","")</f>
        <v/>
      </c>
      <c r="AJ99" s="1624"/>
      <c r="AK99" s="1624" t="b">
        <f>IF(AND(C99="",C101&lt;&gt;""),TRUE,FALSE)</f>
        <v>0</v>
      </c>
      <c r="AL99" s="1624" t="str">
        <f>IF(AND($C99&lt;&gt;"",OR($J99="",$L99="",$N99="",$P99="",$R99="",$T99="",$V99="",$X99="",$Z99="",$AD99="",$AF99="")),"No",IF(AND($C99="",OR($H99&lt;&gt;"",$J99&lt;&gt;"",$L99&lt;&gt;"",$N99&lt;&gt;"",$P99&lt;&gt;"",$R99&lt;&gt;"",$T99&lt;&gt;"",$V99&lt;&gt;"",$X99&lt;&gt;"",$Z99&lt;&gt;"",$AD99&lt;&gt;"",$AF99&lt;&gt;"")),"N",IF(AND($H99="",$C99="",$J99="",$L99="",$N99="",$P99="",$R99="",$T99="",$V99="",$X99="",$Z99="",$AD99="",$AF99=""),"N/A",IF(AND($C99&lt;&gt;"",$J99&lt;&gt;"",$L99&lt;&gt;"",$N99&lt;&gt;"",$P99&lt;&gt;"",$R99&lt;&gt;"",$T99&lt;&gt;"",$V99&lt;&gt;"",$X99&lt;&gt;"",$Z99&lt;&gt;"",$AD99&lt;&gt;"",$AF99&lt;&gt;""),"Yes",""))))</f>
        <v>N/A</v>
      </c>
      <c r="AM99" s="1625" t="b">
        <f ca="1">IF(AND($C99="",OR($J99&lt;&gt;"",$L99&lt;&gt;"",$N99&lt;&gt;"",$P99&lt;&gt;"",$R99&lt;&gt;"",$T99&lt;&gt;"",$V99&lt;&gt;"",$X99&lt;&gt;"",$Z99&lt;&gt;"",$AB99&lt;&gt;"",$AF99&lt;&gt;"")),TRUE,FALSE)</f>
        <v>0</v>
      </c>
      <c r="AN99" s="1625" t="b">
        <f>IF(AND($C99&lt;&gt;"",$J99=""),TRUE,FALSE)</f>
        <v>0</v>
      </c>
      <c r="AO99" s="1625" t="b">
        <f>IF(AND($C99&lt;&gt;"",$L99=""),TRUE,FALSE)</f>
        <v>0</v>
      </c>
      <c r="AP99" s="1625" t="b">
        <f>IF(AND($C99&lt;&gt;"",$N99=""),TRUE,FALSE)</f>
        <v>0</v>
      </c>
      <c r="AQ99" s="1625" t="b">
        <f>IF(AND($C99&lt;&gt;"",$P99=""),TRUE,FALSE)</f>
        <v>0</v>
      </c>
      <c r="AR99" s="1625" t="b">
        <f>IF(AND($C99&lt;&gt;"",$R99=""),TRUE,FALSE)</f>
        <v>0</v>
      </c>
      <c r="AS99" s="1625"/>
      <c r="AT99" s="1625" t="b">
        <f ca="1">IF(AND(T99="",OR(V99&lt;&gt;"",X99&lt;&gt;"",Z99&lt;&gt;"",AB99&lt;&gt;"",AF99&lt;&gt;"")),TRUE,FALSE)</f>
        <v>0</v>
      </c>
      <c r="AU99" s="1625" t="b">
        <f>IF(AND($C99&lt;&gt;"",$T99=""),TRUE,FALSE)</f>
        <v>0</v>
      </c>
      <c r="AV99" s="1625" t="b">
        <f>IF(V99="",FALSE,IF(T99="",FALSE,IF(AW99=TRUE,FALSE,IF(OR(V99&lt;BI99,V99&gt;BaseYear),TRUE,FALSE))))</f>
        <v>0</v>
      </c>
      <c r="AW99" s="1625" t="b">
        <f>IF(AND($C99&lt;&gt;"",$V99=""),TRUE,FALSE)</f>
        <v>0</v>
      </c>
      <c r="AX99" s="1625" t="b">
        <f>IF(X99="",FALSE,IF(T99="",FALSE,IF(AZ99=TRUE,FALSE,IF(X99&lt;BL99,TRUE,FALSE))))</f>
        <v>0</v>
      </c>
      <c r="AY99" s="1625" t="b">
        <f>IF(X99="",FALSE,IF(T99="",FALSE,IF(AZ99=TRUE,FALSE,IF(X99&gt;BM99,TRUE,FALSE))))</f>
        <v>0</v>
      </c>
      <c r="AZ99" s="1625" t="b">
        <f>IF(AND($C99&lt;&gt;"",$X99=""),TRUE,FALSE)</f>
        <v>0</v>
      </c>
      <c r="BA99" s="1626" t="b">
        <f>IF(BB99=TRUE,FALSE,IF(OR(Z99&lt;0,Z99&gt;1),TRUE,FALSE))</f>
        <v>0</v>
      </c>
      <c r="BB99" s="1625" t="b">
        <f>IF(AND($C99&lt;&gt;"",$Z99=""),TRUE,FALSE)</f>
        <v>0</v>
      </c>
      <c r="BC99" s="1626"/>
      <c r="BD99" s="1625" t="b">
        <f ca="1">IF(AND($C99&lt;&gt;"",$AB99=""),TRUE,FALSE)</f>
        <v>0</v>
      </c>
      <c r="BE99" s="1626" t="b">
        <f>IF(OR(AF99="", V99=""),FALSE,IF(COUNT(FIND({0,1,2,3,4,5,6,7,8,9}, AF99))=0, FALSE, IF(YEAR(AF99)&lt;V99, TRUE, FALSE)))</f>
        <v>0</v>
      </c>
      <c r="BF99" s="1625" t="b">
        <f>IF(AND($C99&lt;&gt;"",$AF99=""),TRUE,FALSE)</f>
        <v>0</v>
      </c>
      <c r="BG99" s="721"/>
      <c r="BH99" s="1625" t="str">
        <f>IF($T99="","",VLOOKUP($T99,val_facilities,BH$3,FALSE))</f>
        <v/>
      </c>
      <c r="BI99" s="1627" t="str">
        <f>IF($T99="","",VLOOKUP($T99,val_facilities,BI$3,FALSE))</f>
        <v/>
      </c>
      <c r="BJ99" s="1627" t="str">
        <f>IF($T99="","",VLOOKUP($T99,val_facilities,BJ$3,FALSE))</f>
        <v/>
      </c>
      <c r="BK99" s="1627" t="str">
        <f ca="1">IFERROR(IF(V99="", "", YEAR(TODAY())-V99), "")</f>
        <v/>
      </c>
      <c r="BL99" s="845" t="str">
        <f>IF($T99="","",VLOOKUP($T99,val_facilities,BL$3,FALSE))</f>
        <v/>
      </c>
      <c r="BM99" s="845" t="str">
        <f>IF($T99="","",VLOOKUP($T99,val_facilities,BM$3,FALSE))</f>
        <v/>
      </c>
      <c r="BN99" s="758"/>
      <c r="BO99" s="721">
        <f t="shared" si="3"/>
        <v>0</v>
      </c>
      <c r="BP99" s="816"/>
      <c r="BQ99" s="816"/>
      <c r="BR99" s="816"/>
    </row>
    <row r="100" spans="1:70" s="686" customFormat="1" ht="6.75" customHeight="1" thickBot="1" x14ac:dyDescent="0.25">
      <c r="A100" s="1638"/>
      <c r="B100" s="1712">
        <v>44.5</v>
      </c>
      <c r="C100" s="1057"/>
      <c r="D100" s="1248"/>
      <c r="E100" s="1639"/>
      <c r="F100" s="1229"/>
      <c r="G100" s="1229"/>
      <c r="H100" s="1229"/>
      <c r="I100" s="1229"/>
      <c r="J100" s="1604"/>
      <c r="K100" s="1640"/>
      <c r="L100" s="1645"/>
      <c r="M100" s="1646"/>
      <c r="N100" s="1645"/>
      <c r="O100" s="1646"/>
      <c r="P100" s="1647"/>
      <c r="Q100" s="1646"/>
      <c r="R100" s="1057"/>
      <c r="S100" s="1618"/>
      <c r="T100" s="1643"/>
      <c r="U100" s="1618"/>
      <c r="V100" s="1623"/>
      <c r="W100" s="1618"/>
      <c r="X100" s="722"/>
      <c r="Y100" s="1648"/>
      <c r="Z100" s="841"/>
      <c r="AA100" s="1648"/>
      <c r="AB100" s="722"/>
      <c r="AC100" s="1648"/>
      <c r="AD100" s="722"/>
      <c r="AE100" s="1648"/>
      <c r="AF100" s="1717"/>
      <c r="AG100" s="1648"/>
      <c r="AH100" s="1057"/>
      <c r="AI100" s="1644"/>
      <c r="AJ100" s="1644"/>
      <c r="AK100" s="1644"/>
      <c r="AL100" s="1644"/>
      <c r="AM100" s="1625"/>
      <c r="AN100" s="1625"/>
      <c r="AO100" s="1625"/>
      <c r="AP100" s="1625"/>
      <c r="AQ100" s="1625"/>
      <c r="AR100" s="848"/>
      <c r="AS100" s="848"/>
      <c r="AT100" s="848"/>
      <c r="AU100" s="848"/>
      <c r="AV100" s="848"/>
      <c r="AW100" s="848"/>
      <c r="AX100" s="848"/>
      <c r="AY100" s="848"/>
      <c r="AZ100" s="848"/>
      <c r="BA100" s="848"/>
      <c r="BB100" s="848"/>
      <c r="BC100" s="848"/>
      <c r="BD100" s="848"/>
      <c r="BE100" s="848"/>
      <c r="BF100" s="848"/>
      <c r="BG100" s="685"/>
      <c r="BH100" s="848"/>
      <c r="BI100" s="848"/>
      <c r="BJ100" s="848"/>
      <c r="BK100" s="848"/>
      <c r="BL100" s="848"/>
      <c r="BM100" s="848"/>
      <c r="BN100" s="1229"/>
      <c r="BO100" s="721">
        <f t="shared" si="3"/>
        <v>0</v>
      </c>
    </row>
    <row r="101" spans="1:70" s="686" customFormat="1" x14ac:dyDescent="0.2">
      <c r="A101" s="840">
        <v>45</v>
      </c>
      <c r="B101" s="1712">
        <v>45</v>
      </c>
      <c r="C101" s="1613"/>
      <c r="D101" s="1248" t="str">
        <f>IF(AND(C101="",C99&lt;&gt;""),"Enter Facility "&amp;TEXT(A101,0)&amp;" Name, then Fill in Columns "&amp;TEXT($H$2,0)&amp;" - "&amp;TEXT($AH$2,0)&amp;"       ","")</f>
        <v/>
      </c>
      <c r="E101" s="1245" t="str">
        <f>IF(AL101="N/A","",AL101)</f>
        <v/>
      </c>
      <c r="F101" s="758"/>
      <c r="G101" s="758"/>
      <c r="H101" s="1614"/>
      <c r="I101" s="758"/>
      <c r="J101" s="1615"/>
      <c r="K101" s="1248" t="str">
        <f>IF(E101&lt;&gt;"","Enter Street Address                   ","")</f>
        <v/>
      </c>
      <c r="L101" s="1615"/>
      <c r="M101" s="1248" t="str">
        <f>IF(E101&lt;&gt;"","Enter City Name       ","")</f>
        <v/>
      </c>
      <c r="N101" s="1613"/>
      <c r="O101" s="1248" t="str">
        <f>IF(E101&lt;&gt;"","Select from Pull-Down List   ","")</f>
        <v/>
      </c>
      <c r="P101" s="1616"/>
      <c r="Q101" s="1248" t="str">
        <f>IF($E101&lt;&gt;"","Enter ZIP Code       ","")</f>
        <v/>
      </c>
      <c r="R101" s="1617"/>
      <c r="S101" s="1618" t="str">
        <f>IF($E101&lt;&gt;"","Select from Pull-Down List  ","")</f>
        <v/>
      </c>
      <c r="T101" s="1617"/>
      <c r="U101" s="1618" t="str">
        <f>IF(AND($C101&lt;&gt;"",T101=""),"Select from Pull-Down List  ","")</f>
        <v/>
      </c>
      <c r="V101" s="1619"/>
      <c r="W101" s="1248" t="str">
        <f>IF(E101&lt;&gt;"","Year?   ","")</f>
        <v/>
      </c>
      <c r="X101" s="1247"/>
      <c r="Y101" s="1620" t="str">
        <f>IF(E101&lt;&gt;"","Sq. Feet?   ","")</f>
        <v/>
      </c>
      <c r="Z101" s="1621"/>
      <c r="AA101" s="1618" t="str">
        <f>IF($E101&lt;&gt;"","% of Cap Resp.","")</f>
        <v/>
      </c>
      <c r="AB101" s="1782" t="str">
        <f ca="1">IFERROR(IF(BK101="", "", IF(BK101&gt;100, 1, VLOOKUP(BK101, Valid!$W$1:$AA$101, VLOOKUP(T101, Codes!$G$7:$I$17, 3, FALSE), FALSE))), "")</f>
        <v/>
      </c>
      <c r="AC101" s="1618"/>
      <c r="AD101" s="1247"/>
      <c r="AE101" s="1620" t="str">
        <f>IF($E101&lt;&gt;"","Drop-Down    ","")</f>
        <v/>
      </c>
      <c r="AF101" s="1720"/>
      <c r="AG101" s="1620" t="b">
        <f>IF(E101&lt;&gt;"","Date?   ")</f>
        <v>0</v>
      </c>
      <c r="AH101" s="1613"/>
      <c r="AI101" s="1248" t="str">
        <f>IF(OR(T101="Other (describe in Notes)",T101="Dual Administrative and Maintenance Facility"),"Describe Facility                                                                                         ","")</f>
        <v/>
      </c>
      <c r="AJ101" s="1624"/>
      <c r="AK101" s="1624" t="b">
        <f>IF(AND(C101="",C103&lt;&gt;""),TRUE,FALSE)</f>
        <v>0</v>
      </c>
      <c r="AL101" s="1624" t="str">
        <f>IF(AND($C101&lt;&gt;"",OR($J101="",$L101="",$N101="",$P101="",$R101="",$T101="",$V101="",$X101="",$Z101="",$AD101="",$AF101="")),"No",IF(AND($C101="",OR($H101&lt;&gt;"",$J101&lt;&gt;"",$L101&lt;&gt;"",$N101&lt;&gt;"",$P101&lt;&gt;"",$R101&lt;&gt;"",$T101&lt;&gt;"",$V101&lt;&gt;"",$X101&lt;&gt;"",$Z101&lt;&gt;"",$AD101&lt;&gt;"",$AF101&lt;&gt;"")),"N",IF(AND($H101="",$C101="",$J101="",$L101="",$N101="",$P101="",$R101="",$T101="",$V101="",$X101="",$Z101="",$AD101="",$AF101=""),"N/A",IF(AND($C101&lt;&gt;"",$J101&lt;&gt;"",$L101&lt;&gt;"",$N101&lt;&gt;"",$P101&lt;&gt;"",$R101&lt;&gt;"",$T101&lt;&gt;"",$V101&lt;&gt;"",$X101&lt;&gt;"",$Z101&lt;&gt;"",$AD101&lt;&gt;"",$AF101&lt;&gt;""),"Yes",""))))</f>
        <v>N/A</v>
      </c>
      <c r="AM101" s="1625" t="b">
        <f ca="1">IF(AND($C101="",OR($J101&lt;&gt;"",$L101&lt;&gt;"",$N101&lt;&gt;"",$P101&lt;&gt;"",$R101&lt;&gt;"",$T101&lt;&gt;"",$V101&lt;&gt;"",$X101&lt;&gt;"",$Z101&lt;&gt;"",$AB101&lt;&gt;"",$AF101&lt;&gt;"")),TRUE,FALSE)</f>
        <v>0</v>
      </c>
      <c r="AN101" s="1625" t="b">
        <f>IF(AND($C101&lt;&gt;"",$J101=""),TRUE,FALSE)</f>
        <v>0</v>
      </c>
      <c r="AO101" s="1625" t="b">
        <f>IF(AND($C101&lt;&gt;"",$L101=""),TRUE,FALSE)</f>
        <v>0</v>
      </c>
      <c r="AP101" s="1625" t="b">
        <f>IF(AND($C101&lt;&gt;"",$N101=""),TRUE,FALSE)</f>
        <v>0</v>
      </c>
      <c r="AQ101" s="1625" t="b">
        <f>IF(AND($C101&lt;&gt;"",$P101=""),TRUE,FALSE)</f>
        <v>0</v>
      </c>
      <c r="AR101" s="1625" t="b">
        <f>IF(AND($C101&lt;&gt;"",$R101=""),TRUE,FALSE)</f>
        <v>0</v>
      </c>
      <c r="AS101" s="1625"/>
      <c r="AT101" s="1625" t="b">
        <f ca="1">IF(AND(T101="",OR(V101&lt;&gt;"",X101&lt;&gt;"",Z101&lt;&gt;"",AB101&lt;&gt;"",AF101&lt;&gt;"")),TRUE,FALSE)</f>
        <v>0</v>
      </c>
      <c r="AU101" s="1625" t="b">
        <f>IF(AND($C101&lt;&gt;"",$T101=""),TRUE,FALSE)</f>
        <v>0</v>
      </c>
      <c r="AV101" s="1625" t="b">
        <f>IF(V101="",FALSE,IF(T101="",FALSE,IF(AW101=TRUE,FALSE,IF(OR(V101&lt;BI101,V101&gt;BaseYear),TRUE,FALSE))))</f>
        <v>0</v>
      </c>
      <c r="AW101" s="1625" t="b">
        <f>IF(AND($C101&lt;&gt;"",$V101=""),TRUE,FALSE)</f>
        <v>0</v>
      </c>
      <c r="AX101" s="1625" t="b">
        <f>IF(X101="",FALSE,IF(T101="",FALSE,IF(AZ101=TRUE,FALSE,IF(X101&lt;BL101,TRUE,FALSE))))</f>
        <v>0</v>
      </c>
      <c r="AY101" s="1625" t="b">
        <f>IF(X101="",FALSE,IF(T101="",FALSE,IF(AZ101=TRUE,FALSE,IF(X101&gt;BM101,TRUE,FALSE))))</f>
        <v>0</v>
      </c>
      <c r="AZ101" s="1625" t="b">
        <f>IF(AND($C101&lt;&gt;"",$X101=""),TRUE,FALSE)</f>
        <v>0</v>
      </c>
      <c r="BA101" s="1626" t="b">
        <f>IF(BB101=TRUE,FALSE,IF(OR(Z101&lt;0,Z101&gt;1),TRUE,FALSE))</f>
        <v>0</v>
      </c>
      <c r="BB101" s="1625" t="b">
        <f>IF(AND($C101&lt;&gt;"",$Z101=""),TRUE,FALSE)</f>
        <v>0</v>
      </c>
      <c r="BC101" s="1626"/>
      <c r="BD101" s="1625" t="b">
        <f ca="1">IF(AND($C101&lt;&gt;"",$AB101=""),TRUE,FALSE)</f>
        <v>0</v>
      </c>
      <c r="BE101" s="1626" t="b">
        <f>IF(OR(AF101="", V101=""),FALSE,IF(COUNT(FIND({0,1,2,3,4,5,6,7,8,9}, AF101))=0, FALSE, IF(YEAR(AF101)&lt;V101, TRUE, FALSE)))</f>
        <v>0</v>
      </c>
      <c r="BF101" s="1625" t="b">
        <f>IF(AND($C101&lt;&gt;"",$AF101=""),TRUE,FALSE)</f>
        <v>0</v>
      </c>
      <c r="BG101" s="721"/>
      <c r="BH101" s="1625" t="str">
        <f>IF($T101="","",VLOOKUP($T101,val_facilities,BH$3,FALSE))</f>
        <v/>
      </c>
      <c r="BI101" s="1627" t="str">
        <f>IF($T101="","",VLOOKUP($T101,val_facilities,BI$3,FALSE))</f>
        <v/>
      </c>
      <c r="BJ101" s="1627" t="str">
        <f>IF($T101="","",VLOOKUP($T101,val_facilities,BJ$3,FALSE))</f>
        <v/>
      </c>
      <c r="BK101" s="1627" t="str">
        <f ca="1">IFERROR(IF(V101="", "", YEAR(TODAY())-V101), "")</f>
        <v/>
      </c>
      <c r="BL101" s="845" t="str">
        <f>IF($T101="","",VLOOKUP($T101,val_facilities,BL$3,FALSE))</f>
        <v/>
      </c>
      <c r="BM101" s="845" t="str">
        <f>IF($T101="","",VLOOKUP($T101,val_facilities,BM$3,FALSE))</f>
        <v/>
      </c>
      <c r="BN101" s="758"/>
      <c r="BO101" s="721">
        <f t="shared" si="3"/>
        <v>0</v>
      </c>
      <c r="BP101" s="816"/>
      <c r="BQ101" s="816"/>
      <c r="BR101" s="816"/>
    </row>
    <row r="102" spans="1:70" s="686" customFormat="1" ht="6.75" customHeight="1" thickBot="1" x14ac:dyDescent="0.25">
      <c r="A102" s="1638"/>
      <c r="B102" s="1712">
        <v>45.5</v>
      </c>
      <c r="C102" s="1057"/>
      <c r="D102" s="764"/>
      <c r="E102" s="1057"/>
      <c r="F102" s="1229"/>
      <c r="G102" s="1229"/>
      <c r="H102" s="1229"/>
      <c r="I102" s="1229"/>
      <c r="J102" s="1604"/>
      <c r="K102" s="1229"/>
      <c r="L102" s="1605"/>
      <c r="M102" s="1644"/>
      <c r="N102" s="1605"/>
      <c r="O102" s="1644"/>
      <c r="P102" s="1606"/>
      <c r="Q102" s="1644"/>
      <c r="R102" s="1057"/>
      <c r="S102" s="1623"/>
      <c r="T102" s="1643"/>
      <c r="U102" s="1623"/>
      <c r="V102" s="1623"/>
      <c r="W102" s="1623"/>
      <c r="X102" s="722"/>
      <c r="Y102" s="841"/>
      <c r="Z102" s="841"/>
      <c r="AA102" s="841"/>
      <c r="AB102" s="722"/>
      <c r="AC102" s="841"/>
      <c r="AD102" s="722"/>
      <c r="AE102" s="841"/>
      <c r="AF102" s="1717"/>
      <c r="AG102" s="841"/>
      <c r="AH102" s="1057"/>
      <c r="AI102" s="1644"/>
      <c r="AJ102" s="1644"/>
      <c r="AK102" s="1644"/>
      <c r="AL102" s="1644"/>
      <c r="AM102" s="1625"/>
      <c r="AN102" s="1625"/>
      <c r="AO102" s="1625"/>
      <c r="AP102" s="1625"/>
      <c r="AQ102" s="1625"/>
      <c r="AR102" s="848"/>
      <c r="AS102" s="848"/>
      <c r="AT102" s="848"/>
      <c r="AU102" s="848"/>
      <c r="AV102" s="848"/>
      <c r="AW102" s="848"/>
      <c r="AX102" s="848"/>
      <c r="AY102" s="848"/>
      <c r="AZ102" s="848"/>
      <c r="BA102" s="848"/>
      <c r="BB102" s="848"/>
      <c r="BC102" s="848"/>
      <c r="BD102" s="848"/>
      <c r="BE102" s="848"/>
      <c r="BF102" s="848"/>
      <c r="BG102" s="685"/>
      <c r="BH102" s="848"/>
      <c r="BI102" s="848"/>
      <c r="BJ102" s="848"/>
      <c r="BK102" s="848"/>
      <c r="BL102" s="848"/>
      <c r="BM102" s="848"/>
      <c r="BN102" s="1229"/>
      <c r="BO102" s="721">
        <f t="shared" si="3"/>
        <v>0</v>
      </c>
    </row>
    <row r="103" spans="1:70" s="816" customFormat="1" x14ac:dyDescent="0.2">
      <c r="A103" s="840">
        <v>46</v>
      </c>
      <c r="B103" s="1712">
        <v>46</v>
      </c>
      <c r="C103" s="1613"/>
      <c r="D103" s="1248" t="str">
        <f>IF(AND(C103="",C101&lt;&gt;""),"Enter Facility "&amp;TEXT(A103,0)&amp;" Name, then Fill in Columns "&amp;TEXT($H$2,0)&amp;" - "&amp;TEXT($AH$2,0)&amp;"       ","")</f>
        <v/>
      </c>
      <c r="E103" s="1245" t="str">
        <f>IF(AL103="N/A","",AL103)</f>
        <v/>
      </c>
      <c r="F103" s="758"/>
      <c r="G103" s="758"/>
      <c r="H103" s="1614"/>
      <c r="I103" s="758"/>
      <c r="J103" s="1615"/>
      <c r="K103" s="1248" t="str">
        <f>IF(E103&lt;&gt;"","Enter Street Address                   ","")</f>
        <v/>
      </c>
      <c r="L103" s="1615"/>
      <c r="M103" s="1248" t="str">
        <f>IF(E103&lt;&gt;"","Enter City Name       ","")</f>
        <v/>
      </c>
      <c r="N103" s="1613"/>
      <c r="O103" s="1248" t="str">
        <f>IF(E103&lt;&gt;"","Select from Pull-Down List   ","")</f>
        <v/>
      </c>
      <c r="P103" s="1616"/>
      <c r="Q103" s="1248" t="str">
        <f>IF($E103&lt;&gt;"","Enter ZIP Code       ","")</f>
        <v/>
      </c>
      <c r="R103" s="1617"/>
      <c r="S103" s="1618" t="str">
        <f>IF($E103&lt;&gt;"","Select from Pull-Down List  ","")</f>
        <v/>
      </c>
      <c r="T103" s="1617"/>
      <c r="U103" s="1618" t="str">
        <f>IF(AND($C103&lt;&gt;"",T103=""),"Select from Pull-Down List  ","")</f>
        <v/>
      </c>
      <c r="V103" s="1619"/>
      <c r="W103" s="1248" t="str">
        <f>IF(E103&lt;&gt;"","Year?   ","")</f>
        <v/>
      </c>
      <c r="X103" s="1247"/>
      <c r="Y103" s="1620" t="str">
        <f>IF(E103&lt;&gt;"","Sq. Feet?   ","")</f>
        <v/>
      </c>
      <c r="Z103" s="1621"/>
      <c r="AA103" s="1618" t="str">
        <f>IF($E103&lt;&gt;"","% of Cap Resp.","")</f>
        <v/>
      </c>
      <c r="AB103" s="1782" t="str">
        <f ca="1">IFERROR(IF(BK103="", "", IF(BK103&gt;100, 1, VLOOKUP(BK103, Valid!$W$1:$AA$101, VLOOKUP(T103, Codes!$G$7:$I$17, 3, FALSE), FALSE))), "")</f>
        <v/>
      </c>
      <c r="AC103" s="1618"/>
      <c r="AD103" s="1247"/>
      <c r="AE103" s="1620" t="str">
        <f>IF($E103&lt;&gt;"","Drop-Down    ","")</f>
        <v/>
      </c>
      <c r="AF103" s="1720"/>
      <c r="AG103" s="1620" t="b">
        <f>IF(E103&lt;&gt;"","Date?   ")</f>
        <v>0</v>
      </c>
      <c r="AH103" s="1613"/>
      <c r="AI103" s="1248" t="str">
        <f>IF(OR(T103="Other (describe in Notes)",T103="Dual Administrative and Maintenance Facility"),"Describe Facility                                                                                         ","")</f>
        <v/>
      </c>
      <c r="AJ103" s="1624"/>
      <c r="AK103" s="1624" t="b">
        <f>IF(AND(C103="",C105&lt;&gt;""),TRUE,FALSE)</f>
        <v>0</v>
      </c>
      <c r="AL103" s="1624" t="str">
        <f>IF(AND($C103&lt;&gt;"",OR($J103="",$L103="",$N103="",$P103="",$R103="",$T103="",$V103="",$X103="",$Z103="",$AD103="",$AF103="")),"No",IF(AND($C103="",OR($H103&lt;&gt;"",$J103&lt;&gt;"",$L103&lt;&gt;"",$N103&lt;&gt;"",$P103&lt;&gt;"",$R103&lt;&gt;"",$T103&lt;&gt;"",$V103&lt;&gt;"",$X103&lt;&gt;"",$Z103&lt;&gt;"",$AD103&lt;&gt;"",$AF103&lt;&gt;"")),"N",IF(AND($H103="",$C103="",$J103="",$L103="",$N103="",$P103="",$R103="",$T103="",$V103="",$X103="",$Z103="",$AD103="",$AF103=""),"N/A",IF(AND($C103&lt;&gt;"",$J103&lt;&gt;"",$L103&lt;&gt;"",$N103&lt;&gt;"",$P103&lt;&gt;"",$R103&lt;&gt;"",$T103&lt;&gt;"",$V103&lt;&gt;"",$X103&lt;&gt;"",$Z103&lt;&gt;"",$AD103&lt;&gt;"",$AF103&lt;&gt;""),"Yes",""))))</f>
        <v>N/A</v>
      </c>
      <c r="AM103" s="1625" t="b">
        <f ca="1">IF(AND($C103="",OR($J103&lt;&gt;"",$L103&lt;&gt;"",$N103&lt;&gt;"",$P103&lt;&gt;"",$R103&lt;&gt;"",$T103&lt;&gt;"",$V103&lt;&gt;"",$X103&lt;&gt;"",$Z103&lt;&gt;"",$AB103&lt;&gt;"",$AF103&lt;&gt;"")),TRUE,FALSE)</f>
        <v>0</v>
      </c>
      <c r="AN103" s="1625" t="b">
        <f>IF(AND($C103&lt;&gt;"",$J103=""),TRUE,FALSE)</f>
        <v>0</v>
      </c>
      <c r="AO103" s="1625" t="b">
        <f>IF(AND($C103&lt;&gt;"",$L103=""),TRUE,FALSE)</f>
        <v>0</v>
      </c>
      <c r="AP103" s="1625" t="b">
        <f>IF(AND($C103&lt;&gt;"",$N103=""),TRUE,FALSE)</f>
        <v>0</v>
      </c>
      <c r="AQ103" s="1625" t="b">
        <f>IF(AND($C103&lt;&gt;"",$P103=""),TRUE,FALSE)</f>
        <v>0</v>
      </c>
      <c r="AR103" s="1625" t="b">
        <f>IF(AND($C103&lt;&gt;"",$R103=""),TRUE,FALSE)</f>
        <v>0</v>
      </c>
      <c r="AS103" s="1625"/>
      <c r="AT103" s="1625" t="b">
        <f ca="1">IF(AND(T103="",OR(V103&lt;&gt;"",X103&lt;&gt;"",Z103&lt;&gt;"",AB103&lt;&gt;"",AF103&lt;&gt;"")),TRUE,FALSE)</f>
        <v>0</v>
      </c>
      <c r="AU103" s="1625" t="b">
        <f>IF(AND($C103&lt;&gt;"",$T103=""),TRUE,FALSE)</f>
        <v>0</v>
      </c>
      <c r="AV103" s="1625" t="b">
        <f>IF(V103="",FALSE,IF(T103="",FALSE,IF(AW103=TRUE,FALSE,IF(OR(V103&lt;BI103,V103&gt;BaseYear),TRUE,FALSE))))</f>
        <v>0</v>
      </c>
      <c r="AW103" s="1625" t="b">
        <f>IF(AND($C103&lt;&gt;"",$V103=""),TRUE,FALSE)</f>
        <v>0</v>
      </c>
      <c r="AX103" s="1625" t="b">
        <f>IF(X103="",FALSE,IF(T103="",FALSE,IF(AZ103=TRUE,FALSE,IF(X103&lt;BL103,TRUE,FALSE))))</f>
        <v>0</v>
      </c>
      <c r="AY103" s="1625" t="b">
        <f>IF(X103="",FALSE,IF(T103="",FALSE,IF(AZ103=TRUE,FALSE,IF(X103&gt;BM103,TRUE,FALSE))))</f>
        <v>0</v>
      </c>
      <c r="AZ103" s="1625" t="b">
        <f>IF(AND($C103&lt;&gt;"",$X103=""),TRUE,FALSE)</f>
        <v>0</v>
      </c>
      <c r="BA103" s="1626" t="b">
        <f>IF(BB103=TRUE,FALSE,IF(OR(Z103&lt;0,Z103&gt;1),TRUE,FALSE))</f>
        <v>0</v>
      </c>
      <c r="BB103" s="1625" t="b">
        <f>IF(AND($C103&lt;&gt;"",$Z103=""),TRUE,FALSE)</f>
        <v>0</v>
      </c>
      <c r="BC103" s="1626"/>
      <c r="BD103" s="1625" t="b">
        <f ca="1">IF(AND($C103&lt;&gt;"",$AB103=""),TRUE,FALSE)</f>
        <v>0</v>
      </c>
      <c r="BE103" s="1626" t="b">
        <f>IF(OR(AF103="", V103=""),FALSE,IF(COUNT(FIND({0,1,2,3,4,5,6,7,8,9}, AF103))=0, FALSE, IF(YEAR(AF103)&lt;V103, TRUE, FALSE)))</f>
        <v>0</v>
      </c>
      <c r="BF103" s="1625" t="b">
        <f>IF(AND($C103&lt;&gt;"",$AF103=""),TRUE,FALSE)</f>
        <v>0</v>
      </c>
      <c r="BG103" s="721"/>
      <c r="BH103" s="1625" t="str">
        <f>IF($T103="","",VLOOKUP($T103,val_facilities,BH$3,FALSE))</f>
        <v/>
      </c>
      <c r="BI103" s="1627" t="str">
        <f>IF($T103="","",VLOOKUP($T103,val_facilities,BI$3,FALSE))</f>
        <v/>
      </c>
      <c r="BJ103" s="1627" t="str">
        <f>IF($T103="","",VLOOKUP($T103,val_facilities,BJ$3,FALSE))</f>
        <v/>
      </c>
      <c r="BK103" s="1627" t="str">
        <f ca="1">IFERROR(IF(V103="", "", YEAR(TODAY())-V103), "")</f>
        <v/>
      </c>
      <c r="BL103" s="845" t="str">
        <f>IF($T103="","",VLOOKUP($T103,val_facilities,BL$3,FALSE))</f>
        <v/>
      </c>
      <c r="BM103" s="845" t="str">
        <f>IF($T103="","",VLOOKUP($T103,val_facilities,BM$3,FALSE))</f>
        <v/>
      </c>
      <c r="BN103" s="758"/>
      <c r="BO103" s="721">
        <f t="shared" si="3"/>
        <v>0</v>
      </c>
    </row>
    <row r="104" spans="1:70" s="816" customFormat="1" ht="6.75" customHeight="1" thickBot="1" x14ac:dyDescent="0.25">
      <c r="A104" s="840"/>
      <c r="B104" s="1712">
        <v>46.5</v>
      </c>
      <c r="C104" s="721"/>
      <c r="D104" s="1248"/>
      <c r="F104" s="758"/>
      <c r="G104" s="758"/>
      <c r="H104" s="758"/>
      <c r="I104" s="758"/>
      <c r="J104" s="1633"/>
      <c r="K104" s="1248"/>
      <c r="L104" s="1634"/>
      <c r="M104" s="1248"/>
      <c r="N104" s="1634"/>
      <c r="O104" s="1248"/>
      <c r="P104" s="1635"/>
      <c r="Q104" s="1248"/>
      <c r="R104" s="1059"/>
      <c r="S104" s="1618"/>
      <c r="T104" s="1636"/>
      <c r="U104" s="1618"/>
      <c r="V104" s="1623"/>
      <c r="W104" s="1618"/>
      <c r="X104" s="722"/>
      <c r="Y104" s="723"/>
      <c r="Z104" s="724"/>
      <c r="AA104" s="723"/>
      <c r="AB104" s="722"/>
      <c r="AC104" s="723"/>
      <c r="AD104" s="722"/>
      <c r="AE104" s="723"/>
      <c r="AF104" s="1717"/>
      <c r="AG104" s="723"/>
      <c r="AH104" s="1637"/>
      <c r="AI104" s="1624"/>
      <c r="AJ104" s="1624"/>
      <c r="AK104" s="1624"/>
      <c r="AL104" s="1624"/>
      <c r="AM104" s="1625"/>
      <c r="AN104" s="1625"/>
      <c r="AO104" s="1625"/>
      <c r="AP104" s="1625"/>
      <c r="AQ104" s="1625"/>
      <c r="AR104" s="1625"/>
      <c r="AS104" s="1625"/>
      <c r="AT104" s="1625"/>
      <c r="AU104" s="1625"/>
      <c r="AV104" s="1626"/>
      <c r="AW104" s="1626"/>
      <c r="AX104" s="1626"/>
      <c r="AY104" s="1626"/>
      <c r="AZ104" s="1626"/>
      <c r="BA104" s="1626"/>
      <c r="BB104" s="1626"/>
      <c r="BC104" s="1626"/>
      <c r="BD104" s="1626"/>
      <c r="BE104" s="1626"/>
      <c r="BF104" s="1626"/>
      <c r="BG104" s="721"/>
      <c r="BH104" s="1626"/>
      <c r="BI104" s="1626"/>
      <c r="BJ104" s="1626"/>
      <c r="BK104" s="1626"/>
      <c r="BL104" s="1626"/>
      <c r="BM104" s="1626"/>
      <c r="BN104" s="758"/>
      <c r="BO104" s="721">
        <f t="shared" si="3"/>
        <v>0</v>
      </c>
    </row>
    <row r="105" spans="1:70" s="816" customFormat="1" x14ac:dyDescent="0.2">
      <c r="A105" s="840">
        <v>47</v>
      </c>
      <c r="B105" s="1712">
        <v>47</v>
      </c>
      <c r="C105" s="1613"/>
      <c r="D105" s="1248" t="str">
        <f>IF(AND(C105="",C103&lt;&gt;""),"Enter Facility "&amp;TEXT(A105,0)&amp;" Name, then Fill in Columns "&amp;TEXT($H$2,0)&amp;" - "&amp;TEXT($AH$2,0)&amp;"       ","")</f>
        <v/>
      </c>
      <c r="E105" s="1245" t="str">
        <f>IF(AL105="N/A","",AL105)</f>
        <v/>
      </c>
      <c r="F105" s="758"/>
      <c r="G105" s="758"/>
      <c r="H105" s="1614"/>
      <c r="I105" s="758"/>
      <c r="J105" s="1615"/>
      <c r="K105" s="1248" t="str">
        <f>IF(E105&lt;&gt;"","Enter Street Address                   ","")</f>
        <v/>
      </c>
      <c r="L105" s="1615"/>
      <c r="M105" s="1248" t="str">
        <f>IF(E105&lt;&gt;"","Enter City Name       ","")</f>
        <v/>
      </c>
      <c r="N105" s="1613"/>
      <c r="O105" s="1248" t="str">
        <f>IF(E105&lt;&gt;"","Select from Pull-Down List   ","")</f>
        <v/>
      </c>
      <c r="P105" s="1616"/>
      <c r="Q105" s="1248" t="str">
        <f>IF($E105&lt;&gt;"","Enter ZIP Code       ","")</f>
        <v/>
      </c>
      <c r="R105" s="1617"/>
      <c r="S105" s="1618" t="str">
        <f>IF($E105&lt;&gt;"","Select from Pull-Down List  ","")</f>
        <v/>
      </c>
      <c r="T105" s="1617"/>
      <c r="U105" s="1618" t="str">
        <f>IF(AND($C105&lt;&gt;"",T105=""),"Select from Pull-Down List  ","")</f>
        <v/>
      </c>
      <c r="V105" s="1619"/>
      <c r="W105" s="1248" t="str">
        <f>IF(E105&lt;&gt;"","Year?   ","")</f>
        <v/>
      </c>
      <c r="X105" s="1247"/>
      <c r="Y105" s="1620" t="str">
        <f>IF(E105&lt;&gt;"","Sq. Feet?   ","")</f>
        <v/>
      </c>
      <c r="Z105" s="1621"/>
      <c r="AA105" s="1618" t="str">
        <f>IF($E105&lt;&gt;"","% of Cap Resp.","")</f>
        <v/>
      </c>
      <c r="AB105" s="1782" t="str">
        <f ca="1">IFERROR(IF(BK105="", "", IF(BK105&gt;100, 1, VLOOKUP(BK105, Valid!$W$1:$AA$101, VLOOKUP(T105, Codes!$G$7:$I$17, 3, FALSE), FALSE))), "")</f>
        <v/>
      </c>
      <c r="AC105" s="1618"/>
      <c r="AD105" s="1247"/>
      <c r="AE105" s="1620" t="str">
        <f>IF($E105&lt;&gt;"","Drop-Down    ","")</f>
        <v/>
      </c>
      <c r="AF105" s="1720"/>
      <c r="AG105" s="1620" t="b">
        <f>IF(E105&lt;&gt;"","Date?   ")</f>
        <v>0</v>
      </c>
      <c r="AH105" s="1613"/>
      <c r="AI105" s="1248" t="str">
        <f>IF(OR(T105="Other (describe in Notes)",T105="Dual Administrative and Maintenance Facility"),"Describe Facility                                                                                         ","")</f>
        <v/>
      </c>
      <c r="AJ105" s="1624"/>
      <c r="AK105" s="1624" t="b">
        <f>IF(AND(C105="",C107&lt;&gt;""),TRUE,FALSE)</f>
        <v>0</v>
      </c>
      <c r="AL105" s="1624" t="str">
        <f>IF(AND($C105&lt;&gt;"",OR($J105="",$L105="",$N105="",$P105="",$R105="",$T105="",$V105="",$X105="",$Z105="",$AD105="",$AF105="")),"No",IF(AND($C105="",OR($H105&lt;&gt;"",$J105&lt;&gt;"",$L105&lt;&gt;"",$N105&lt;&gt;"",$P105&lt;&gt;"",$R105&lt;&gt;"",$T105&lt;&gt;"",$V105&lt;&gt;"",$X105&lt;&gt;"",$Z105&lt;&gt;"",$AD105&lt;&gt;"",$AF105&lt;&gt;"")),"N",IF(AND($H105="",$C105="",$J105="",$L105="",$N105="",$P105="",$R105="",$T105="",$V105="",$X105="",$Z105="",$AD105="",$AF105=""),"N/A",IF(AND($C105&lt;&gt;"",$J105&lt;&gt;"",$L105&lt;&gt;"",$N105&lt;&gt;"",$P105&lt;&gt;"",$R105&lt;&gt;"",$T105&lt;&gt;"",$V105&lt;&gt;"",$X105&lt;&gt;"",$Z105&lt;&gt;"",$AD105&lt;&gt;"",$AF105&lt;&gt;""),"Yes",""))))</f>
        <v>N/A</v>
      </c>
      <c r="AM105" s="1625" t="b">
        <f ca="1">IF(AND($C105="",OR($J105&lt;&gt;"",$L105&lt;&gt;"",$N105&lt;&gt;"",$P105&lt;&gt;"",$R105&lt;&gt;"",$T105&lt;&gt;"",$V105&lt;&gt;"",$X105&lt;&gt;"",$Z105&lt;&gt;"",$AB105&lt;&gt;"",$AF105&lt;&gt;"")),TRUE,FALSE)</f>
        <v>0</v>
      </c>
      <c r="AN105" s="1625" t="b">
        <f>IF(AND($C105&lt;&gt;"",$J105=""),TRUE,FALSE)</f>
        <v>0</v>
      </c>
      <c r="AO105" s="1625" t="b">
        <f>IF(AND($C105&lt;&gt;"",$L105=""),TRUE,FALSE)</f>
        <v>0</v>
      </c>
      <c r="AP105" s="1625" t="b">
        <f>IF(AND($C105&lt;&gt;"",$N105=""),TRUE,FALSE)</f>
        <v>0</v>
      </c>
      <c r="AQ105" s="1625" t="b">
        <f>IF(AND($C105&lt;&gt;"",$P105=""),TRUE,FALSE)</f>
        <v>0</v>
      </c>
      <c r="AR105" s="1625" t="b">
        <f>IF(AND($C105&lt;&gt;"",$R105=""),TRUE,FALSE)</f>
        <v>0</v>
      </c>
      <c r="AS105" s="1625"/>
      <c r="AT105" s="1625" t="b">
        <f ca="1">IF(AND(T105="",OR(V105&lt;&gt;"",X105&lt;&gt;"",Z105&lt;&gt;"",AB105&lt;&gt;"",AF105&lt;&gt;"")),TRUE,FALSE)</f>
        <v>0</v>
      </c>
      <c r="AU105" s="1625" t="b">
        <f>IF(AND($C105&lt;&gt;"",$T105=""),TRUE,FALSE)</f>
        <v>0</v>
      </c>
      <c r="AV105" s="1625" t="b">
        <f>IF(V105="",FALSE,IF(T105="",FALSE,IF(AW105=TRUE,FALSE,IF(OR(V105&lt;BI105,V105&gt;BaseYear),TRUE,FALSE))))</f>
        <v>0</v>
      </c>
      <c r="AW105" s="1625" t="b">
        <f>IF(AND($C105&lt;&gt;"",$V105=""),TRUE,FALSE)</f>
        <v>0</v>
      </c>
      <c r="AX105" s="1625" t="b">
        <f>IF(X105="",FALSE,IF(T105="",FALSE,IF(AZ105=TRUE,FALSE,IF(X105&lt;BL105,TRUE,FALSE))))</f>
        <v>0</v>
      </c>
      <c r="AY105" s="1625" t="b">
        <f>IF(X105="",FALSE,IF(T105="",FALSE,IF(AZ105=TRUE,FALSE,IF(X105&gt;BM105,TRUE,FALSE))))</f>
        <v>0</v>
      </c>
      <c r="AZ105" s="1625" t="b">
        <f>IF(AND($C105&lt;&gt;"",$X105=""),TRUE,FALSE)</f>
        <v>0</v>
      </c>
      <c r="BA105" s="1626" t="b">
        <f>IF(BB105=TRUE,FALSE,IF(OR(Z105&lt;0,Z105&gt;1),TRUE,FALSE))</f>
        <v>0</v>
      </c>
      <c r="BB105" s="1625" t="b">
        <f>IF(AND($C105&lt;&gt;"",$Z105=""),TRUE,FALSE)</f>
        <v>0</v>
      </c>
      <c r="BC105" s="1626"/>
      <c r="BD105" s="1625" t="b">
        <f ca="1">IF(AND($C105&lt;&gt;"",$AB105=""),TRUE,FALSE)</f>
        <v>0</v>
      </c>
      <c r="BE105" s="1626" t="b">
        <f>IF(OR(AF105="", V105=""),FALSE,IF(COUNT(FIND({0,1,2,3,4,5,6,7,8,9}, AF105))=0, FALSE, IF(YEAR(AF105)&lt;V105, TRUE, FALSE)))</f>
        <v>0</v>
      </c>
      <c r="BF105" s="1625" t="b">
        <f>IF(AND($C105&lt;&gt;"",$AF105=""),TRUE,FALSE)</f>
        <v>0</v>
      </c>
      <c r="BG105" s="721"/>
      <c r="BH105" s="1625" t="str">
        <f>IF($T105="","",VLOOKUP($T105,val_facilities,BH$3,FALSE))</f>
        <v/>
      </c>
      <c r="BI105" s="1627" t="str">
        <f>IF($T105="","",VLOOKUP($T105,val_facilities,BI$3,FALSE))</f>
        <v/>
      </c>
      <c r="BJ105" s="1627" t="str">
        <f>IF($T105="","",VLOOKUP($T105,val_facilities,BJ$3,FALSE))</f>
        <v/>
      </c>
      <c r="BK105" s="1627" t="str">
        <f ca="1">IFERROR(IF(V105="", "", YEAR(TODAY())-V105), "")</f>
        <v/>
      </c>
      <c r="BL105" s="845" t="str">
        <f>IF($T105="","",VLOOKUP($T105,val_facilities,BL$3,FALSE))</f>
        <v/>
      </c>
      <c r="BM105" s="845" t="str">
        <f>IF($T105="","",VLOOKUP($T105,val_facilities,BM$3,FALSE))</f>
        <v/>
      </c>
      <c r="BN105" s="758"/>
      <c r="BO105" s="721">
        <f t="shared" si="3"/>
        <v>0</v>
      </c>
    </row>
    <row r="106" spans="1:70" s="686" customFormat="1" ht="6.75" customHeight="1" thickBot="1" x14ac:dyDescent="0.25">
      <c r="A106" s="1638"/>
      <c r="B106" s="1712">
        <v>47.5</v>
      </c>
      <c r="C106" s="1057"/>
      <c r="D106" s="1248"/>
      <c r="E106" s="1057"/>
      <c r="F106" s="1229"/>
      <c r="G106" s="1229"/>
      <c r="H106" s="1229"/>
      <c r="I106" s="1229"/>
      <c r="J106" s="1604"/>
      <c r="K106" s="1640"/>
      <c r="L106" s="1641"/>
      <c r="M106" s="1248"/>
      <c r="N106" s="1641"/>
      <c r="O106" s="1248"/>
      <c r="P106" s="1642"/>
      <c r="Q106" s="1248"/>
      <c r="R106" s="1057"/>
      <c r="S106" s="1618"/>
      <c r="T106" s="1643"/>
      <c r="U106" s="1618"/>
      <c r="V106" s="1623"/>
      <c r="W106" s="1618"/>
      <c r="X106" s="733"/>
      <c r="Y106" s="1275"/>
      <c r="Z106" s="685"/>
      <c r="AA106" s="1275"/>
      <c r="AB106" s="733"/>
      <c r="AC106" s="1275"/>
      <c r="AD106" s="733"/>
      <c r="AE106" s="1275"/>
      <c r="AF106" s="1721"/>
      <c r="AG106" s="1275"/>
      <c r="AH106" s="1057"/>
      <c r="AI106" s="1644"/>
      <c r="AJ106" s="1644"/>
      <c r="AK106" s="1644"/>
      <c r="AL106" s="1644"/>
      <c r="AM106" s="1625"/>
      <c r="AN106" s="1625"/>
      <c r="AO106" s="1625"/>
      <c r="AP106" s="1625"/>
      <c r="AQ106" s="1625"/>
      <c r="AR106" s="848"/>
      <c r="AS106" s="848"/>
      <c r="AT106" s="848"/>
      <c r="AU106" s="848"/>
      <c r="AV106" s="848"/>
      <c r="AW106" s="848"/>
      <c r="AX106" s="848"/>
      <c r="AY106" s="848"/>
      <c r="AZ106" s="848"/>
      <c r="BA106" s="848"/>
      <c r="BB106" s="848"/>
      <c r="BC106" s="848"/>
      <c r="BD106" s="848"/>
      <c r="BE106" s="848"/>
      <c r="BF106" s="848"/>
      <c r="BG106" s="685"/>
      <c r="BH106" s="848"/>
      <c r="BI106" s="848"/>
      <c r="BJ106" s="848"/>
      <c r="BK106" s="848"/>
      <c r="BL106" s="848"/>
      <c r="BM106" s="848"/>
      <c r="BN106" s="1229"/>
      <c r="BO106" s="721">
        <f t="shared" si="3"/>
        <v>0</v>
      </c>
    </row>
    <row r="107" spans="1:70" s="686" customFormat="1" x14ac:dyDescent="0.2">
      <c r="A107" s="840">
        <v>48</v>
      </c>
      <c r="B107" s="1712">
        <v>48</v>
      </c>
      <c r="C107" s="1613"/>
      <c r="D107" s="1248" t="str">
        <f>IF(AND(C107="",C105&lt;&gt;""),"Enter Facility "&amp;TEXT(A107,0)&amp;" Name, then Fill in Columns "&amp;TEXT($H$2,0)&amp;" - "&amp;TEXT($AH$2,0)&amp;"       ","")</f>
        <v/>
      </c>
      <c r="E107" s="1245" t="str">
        <f>IF(AL107="N/A","",AL107)</f>
        <v/>
      </c>
      <c r="F107" s="758"/>
      <c r="G107" s="758"/>
      <c r="H107" s="1614"/>
      <c r="I107" s="758"/>
      <c r="J107" s="1615"/>
      <c r="K107" s="1248" t="str">
        <f>IF(E107&lt;&gt;"","Enter Street Address                   ","")</f>
        <v/>
      </c>
      <c r="L107" s="1615"/>
      <c r="M107" s="1248" t="str">
        <f>IF(E107&lt;&gt;"","Enter City Name       ","")</f>
        <v/>
      </c>
      <c r="N107" s="1613"/>
      <c r="O107" s="1248" t="str">
        <f>IF(E107&lt;&gt;"","Select from Pull-Down List   ","")</f>
        <v/>
      </c>
      <c r="P107" s="1616"/>
      <c r="Q107" s="1248" t="str">
        <f>IF($E107&lt;&gt;"","Enter ZIP Code       ","")</f>
        <v/>
      </c>
      <c r="R107" s="1617"/>
      <c r="S107" s="1618" t="str">
        <f>IF($E107&lt;&gt;"","Select from Pull-Down List  ","")</f>
        <v/>
      </c>
      <c r="T107" s="1617"/>
      <c r="U107" s="1618" t="str">
        <f>IF(AND($C107&lt;&gt;"",T107=""),"Select from Pull-Down List  ","")</f>
        <v/>
      </c>
      <c r="V107" s="1619"/>
      <c r="W107" s="1248" t="str">
        <f>IF(E107&lt;&gt;"","Year?   ","")</f>
        <v/>
      </c>
      <c r="X107" s="1247"/>
      <c r="Y107" s="1620" t="str">
        <f>IF(E107&lt;&gt;"","Sq. Feet?   ","")</f>
        <v/>
      </c>
      <c r="Z107" s="1621"/>
      <c r="AA107" s="1618" t="str">
        <f>IF($E107&lt;&gt;"","% of Cap Resp.","")</f>
        <v/>
      </c>
      <c r="AB107" s="1782" t="str">
        <f ca="1">IFERROR(IF(BK107="", "", IF(BK107&gt;100, 1, VLOOKUP(BK107, Valid!$W$1:$AA$101, VLOOKUP(T107, Codes!$G$7:$I$17, 3, FALSE), FALSE))), "")</f>
        <v/>
      </c>
      <c r="AC107" s="1618"/>
      <c r="AD107" s="1247"/>
      <c r="AE107" s="1620" t="str">
        <f>IF($E107&lt;&gt;"","Drop-Down    ","")</f>
        <v/>
      </c>
      <c r="AF107" s="1720"/>
      <c r="AG107" s="1620" t="b">
        <f>IF(E107&lt;&gt;"","Date?   ")</f>
        <v>0</v>
      </c>
      <c r="AH107" s="1613"/>
      <c r="AI107" s="1248" t="str">
        <f>IF(OR(T107="Other (describe in Notes)",T107="Dual Administrative and Maintenance Facility"),"Describe Facility                                                                                         ","")</f>
        <v/>
      </c>
      <c r="AJ107" s="1624"/>
      <c r="AK107" s="1624" t="b">
        <f>IF(AND(C107="",C109&lt;&gt;""),TRUE,FALSE)</f>
        <v>0</v>
      </c>
      <c r="AL107" s="1624" t="str">
        <f>IF(AND($C107&lt;&gt;"",OR($J107="",$L107="",$N107="",$P107="",$R107="",$T107="",$V107="",$X107="",$Z107="",$AD107="",$AF107="")),"No",IF(AND($C107="",OR($H107&lt;&gt;"",$J107&lt;&gt;"",$L107&lt;&gt;"",$N107&lt;&gt;"",$P107&lt;&gt;"",$R107&lt;&gt;"",$T107&lt;&gt;"",$V107&lt;&gt;"",$X107&lt;&gt;"",$Z107&lt;&gt;"",$AD107&lt;&gt;"",$AF107&lt;&gt;"")),"N",IF(AND($H107="",$C107="",$J107="",$L107="",$N107="",$P107="",$R107="",$T107="",$V107="",$X107="",$Z107="",$AD107="",$AF107=""),"N/A",IF(AND($C107&lt;&gt;"",$J107&lt;&gt;"",$L107&lt;&gt;"",$N107&lt;&gt;"",$P107&lt;&gt;"",$R107&lt;&gt;"",$T107&lt;&gt;"",$V107&lt;&gt;"",$X107&lt;&gt;"",$Z107&lt;&gt;"",$AD107&lt;&gt;"",$AF107&lt;&gt;""),"Yes",""))))</f>
        <v>N/A</v>
      </c>
      <c r="AM107" s="1625" t="b">
        <f ca="1">IF(AND($C107="",OR($J107&lt;&gt;"",$L107&lt;&gt;"",$N107&lt;&gt;"",$P107&lt;&gt;"",$R107&lt;&gt;"",$T107&lt;&gt;"",$V107&lt;&gt;"",$X107&lt;&gt;"",$Z107&lt;&gt;"",$AB107&lt;&gt;"",$AF107&lt;&gt;"")),TRUE,FALSE)</f>
        <v>0</v>
      </c>
      <c r="AN107" s="1625" t="b">
        <f>IF(AND($C107&lt;&gt;"",$J107=""),TRUE,FALSE)</f>
        <v>0</v>
      </c>
      <c r="AO107" s="1625" t="b">
        <f>IF(AND($C107&lt;&gt;"",$L107=""),TRUE,FALSE)</f>
        <v>0</v>
      </c>
      <c r="AP107" s="1625" t="b">
        <f>IF(AND($C107&lt;&gt;"",$N107=""),TRUE,FALSE)</f>
        <v>0</v>
      </c>
      <c r="AQ107" s="1625" t="b">
        <f>IF(AND($C107&lt;&gt;"",$P107=""),TRUE,FALSE)</f>
        <v>0</v>
      </c>
      <c r="AR107" s="1625" t="b">
        <f>IF(AND($C107&lt;&gt;"",$R107=""),TRUE,FALSE)</f>
        <v>0</v>
      </c>
      <c r="AS107" s="1625"/>
      <c r="AT107" s="1625" t="b">
        <f ca="1">IF(AND(T107="",OR(V107&lt;&gt;"",X107&lt;&gt;"",Z107&lt;&gt;"",AB107&lt;&gt;"",AF107&lt;&gt;"")),TRUE,FALSE)</f>
        <v>0</v>
      </c>
      <c r="AU107" s="1625" t="b">
        <f>IF(AND($C107&lt;&gt;"",$T107=""),TRUE,FALSE)</f>
        <v>0</v>
      </c>
      <c r="AV107" s="1625" t="b">
        <f>IF(V107="",FALSE,IF(T107="",FALSE,IF(AW107=TRUE,FALSE,IF(OR(V107&lt;BI107,V107&gt;BaseYear),TRUE,FALSE))))</f>
        <v>0</v>
      </c>
      <c r="AW107" s="1625" t="b">
        <f>IF(AND($C107&lt;&gt;"",$V107=""),TRUE,FALSE)</f>
        <v>0</v>
      </c>
      <c r="AX107" s="1625" t="b">
        <f>IF(X107="",FALSE,IF(T107="",FALSE,IF(AZ107=TRUE,FALSE,IF(X107&lt;BL107,TRUE,FALSE))))</f>
        <v>0</v>
      </c>
      <c r="AY107" s="1625" t="b">
        <f>IF(X107="",FALSE,IF(T107="",FALSE,IF(AZ107=TRUE,FALSE,IF(X107&gt;BM107,TRUE,FALSE))))</f>
        <v>0</v>
      </c>
      <c r="AZ107" s="1625" t="b">
        <f>IF(AND($C107&lt;&gt;"",$X107=""),TRUE,FALSE)</f>
        <v>0</v>
      </c>
      <c r="BA107" s="1626" t="b">
        <f>IF(BB107=TRUE,FALSE,IF(OR(Z107&lt;0,Z107&gt;1),TRUE,FALSE))</f>
        <v>0</v>
      </c>
      <c r="BB107" s="1625" t="b">
        <f>IF(AND($C107&lt;&gt;"",$Z107=""),TRUE,FALSE)</f>
        <v>0</v>
      </c>
      <c r="BC107" s="1626"/>
      <c r="BD107" s="1625" t="b">
        <f ca="1">IF(AND($C107&lt;&gt;"",$AB107=""),TRUE,FALSE)</f>
        <v>0</v>
      </c>
      <c r="BE107" s="1626" t="b">
        <f>IF(OR(AF107="", V107=""),FALSE,IF(COUNT(FIND({0,1,2,3,4,5,6,7,8,9}, AF107))=0, FALSE, IF(YEAR(AF107)&lt;V107, TRUE, FALSE)))</f>
        <v>0</v>
      </c>
      <c r="BF107" s="1625" t="b">
        <f>IF(AND($C107&lt;&gt;"",$AF107=""),TRUE,FALSE)</f>
        <v>0</v>
      </c>
      <c r="BG107" s="721"/>
      <c r="BH107" s="1625" t="str">
        <f>IF($T107="","",VLOOKUP($T107,val_facilities,BH$3,FALSE))</f>
        <v/>
      </c>
      <c r="BI107" s="1627" t="str">
        <f>IF($T107="","",VLOOKUP($T107,val_facilities,BI$3,FALSE))</f>
        <v/>
      </c>
      <c r="BJ107" s="1627" t="str">
        <f>IF($T107="","",VLOOKUP($T107,val_facilities,BJ$3,FALSE))</f>
        <v/>
      </c>
      <c r="BK107" s="1627" t="str">
        <f ca="1">IFERROR(IF(V107="", "", YEAR(TODAY())-V107), "")</f>
        <v/>
      </c>
      <c r="BL107" s="845" t="str">
        <f>IF($T107="","",VLOOKUP($T107,val_facilities,BL$3,FALSE))</f>
        <v/>
      </c>
      <c r="BM107" s="845" t="str">
        <f>IF($T107="","",VLOOKUP($T107,val_facilities,BM$3,FALSE))</f>
        <v/>
      </c>
      <c r="BN107" s="758"/>
      <c r="BO107" s="721">
        <f t="shared" si="3"/>
        <v>0</v>
      </c>
      <c r="BP107" s="816"/>
      <c r="BQ107" s="816"/>
      <c r="BR107" s="816"/>
    </row>
    <row r="108" spans="1:70" s="686" customFormat="1" ht="6.75" customHeight="1" thickBot="1" x14ac:dyDescent="0.25">
      <c r="A108" s="1638"/>
      <c r="B108" s="1712">
        <v>48.5</v>
      </c>
      <c r="C108" s="1057"/>
      <c r="D108" s="1248"/>
      <c r="E108" s="1639"/>
      <c r="F108" s="1229"/>
      <c r="G108" s="1229"/>
      <c r="H108" s="1229"/>
      <c r="I108" s="1229"/>
      <c r="J108" s="1604"/>
      <c r="K108" s="1640"/>
      <c r="L108" s="1645"/>
      <c r="M108" s="1646"/>
      <c r="N108" s="1645"/>
      <c r="O108" s="1646"/>
      <c r="P108" s="1647"/>
      <c r="Q108" s="1646"/>
      <c r="R108" s="1057"/>
      <c r="S108" s="1618"/>
      <c r="T108" s="1643"/>
      <c r="U108" s="1618"/>
      <c r="V108" s="1623"/>
      <c r="W108" s="1618"/>
      <c r="X108" s="722"/>
      <c r="Y108" s="1648"/>
      <c r="Z108" s="841"/>
      <c r="AA108" s="1648"/>
      <c r="AB108" s="722"/>
      <c r="AC108" s="1648"/>
      <c r="AD108" s="722"/>
      <c r="AE108" s="1648"/>
      <c r="AF108" s="1717"/>
      <c r="AG108" s="1648"/>
      <c r="AH108" s="1057"/>
      <c r="AI108" s="1644"/>
      <c r="AJ108" s="1644"/>
      <c r="AK108" s="1644"/>
      <c r="AL108" s="1644"/>
      <c r="AM108" s="1625"/>
      <c r="AN108" s="1625"/>
      <c r="AO108" s="1625"/>
      <c r="AP108" s="1625"/>
      <c r="AQ108" s="1625"/>
      <c r="AR108" s="848"/>
      <c r="AS108" s="848"/>
      <c r="AT108" s="848"/>
      <c r="AU108" s="848"/>
      <c r="AV108" s="848"/>
      <c r="AW108" s="848"/>
      <c r="AX108" s="848"/>
      <c r="AY108" s="848"/>
      <c r="AZ108" s="848"/>
      <c r="BA108" s="848"/>
      <c r="BB108" s="848"/>
      <c r="BC108" s="848"/>
      <c r="BD108" s="848"/>
      <c r="BE108" s="848"/>
      <c r="BF108" s="848"/>
      <c r="BG108" s="685"/>
      <c r="BH108" s="848"/>
      <c r="BI108" s="848"/>
      <c r="BJ108" s="848"/>
      <c r="BK108" s="848"/>
      <c r="BL108" s="848"/>
      <c r="BM108" s="848"/>
      <c r="BN108" s="1229"/>
      <c r="BO108" s="721">
        <f t="shared" si="3"/>
        <v>0</v>
      </c>
    </row>
    <row r="109" spans="1:70" s="686" customFormat="1" x14ac:dyDescent="0.2">
      <c r="A109" s="840">
        <v>49</v>
      </c>
      <c r="B109" s="1712">
        <v>49</v>
      </c>
      <c r="C109" s="1613"/>
      <c r="D109" s="1248" t="str">
        <f>IF(AND(C109="",C107&lt;&gt;""),"Enter Facility "&amp;TEXT(A109,0)&amp;" Name, then Fill in Columns "&amp;TEXT($H$2,0)&amp;" - "&amp;TEXT($AH$2,0)&amp;"       ","")</f>
        <v/>
      </c>
      <c r="E109" s="1245" t="str">
        <f>IF(AL109="N/A","",AL109)</f>
        <v/>
      </c>
      <c r="F109" s="758"/>
      <c r="G109" s="758"/>
      <c r="H109" s="1614"/>
      <c r="I109" s="758"/>
      <c r="J109" s="1615"/>
      <c r="K109" s="1248" t="str">
        <f>IF(E109&lt;&gt;"","Enter Street Address                   ","")</f>
        <v/>
      </c>
      <c r="L109" s="1615"/>
      <c r="M109" s="1248" t="str">
        <f>IF(E109&lt;&gt;"","Enter City Name       ","")</f>
        <v/>
      </c>
      <c r="N109" s="1613"/>
      <c r="O109" s="1248" t="str">
        <f>IF(E109&lt;&gt;"","Select from Pull-Down List   ","")</f>
        <v/>
      </c>
      <c r="P109" s="1616"/>
      <c r="Q109" s="1248" t="str">
        <f>IF($E109&lt;&gt;"","Enter ZIP Code       ","")</f>
        <v/>
      </c>
      <c r="R109" s="1617"/>
      <c r="S109" s="1618" t="str">
        <f>IF($E109&lt;&gt;"","Select from Pull-Down List  ","")</f>
        <v/>
      </c>
      <c r="T109" s="1617"/>
      <c r="U109" s="1618" t="str">
        <f>IF(AND($C109&lt;&gt;"",T109=""),"Select from Pull-Down List  ","")</f>
        <v/>
      </c>
      <c r="V109" s="1619"/>
      <c r="W109" s="1248" t="str">
        <f>IF(E109&lt;&gt;"","Year?   ","")</f>
        <v/>
      </c>
      <c r="X109" s="1247"/>
      <c r="Y109" s="1620" t="str">
        <f>IF(E109&lt;&gt;"","Sq. Feet?   ","")</f>
        <v/>
      </c>
      <c r="Z109" s="1621"/>
      <c r="AA109" s="1618" t="str">
        <f>IF($E109&lt;&gt;"","% of Cap Resp.","")</f>
        <v/>
      </c>
      <c r="AB109" s="1782" t="str">
        <f ca="1">IFERROR(IF(BK109="", "", IF(BK109&gt;100, 1, VLOOKUP(BK109, Valid!$W$1:$AA$101, VLOOKUP(T109, Codes!$G$7:$I$17, 3, FALSE), FALSE))), "")</f>
        <v/>
      </c>
      <c r="AC109" s="1618"/>
      <c r="AD109" s="1247"/>
      <c r="AE109" s="1620" t="str">
        <f>IF($E109&lt;&gt;"","Drop-Down    ","")</f>
        <v/>
      </c>
      <c r="AF109" s="1720"/>
      <c r="AG109" s="1620" t="b">
        <f>IF(E109&lt;&gt;"","Date?   ")</f>
        <v>0</v>
      </c>
      <c r="AH109" s="1613"/>
      <c r="AI109" s="1248" t="str">
        <f>IF(OR(T109="Other (describe in Notes)",T109="Dual Administrative and Maintenance Facility"),"Describe Facility                                                                                         ","")</f>
        <v/>
      </c>
      <c r="AJ109" s="1624"/>
      <c r="AK109" s="1624" t="b">
        <f>IF(AND(C109="",C111&lt;&gt;""),TRUE,FALSE)</f>
        <v>0</v>
      </c>
      <c r="AL109" s="1624" t="str">
        <f>IF(AND($C109&lt;&gt;"",OR($J109="",$L109="",$N109="",$P109="",$R109="",$T109="",$V109="",$X109="",$Z109="",$AD109="",$AF109="")),"No",IF(AND($C109="",OR($H109&lt;&gt;"",$J109&lt;&gt;"",$L109&lt;&gt;"",$N109&lt;&gt;"",$P109&lt;&gt;"",$R109&lt;&gt;"",$T109&lt;&gt;"",$V109&lt;&gt;"",$X109&lt;&gt;"",$Z109&lt;&gt;"",$AD109&lt;&gt;"",$AF109&lt;&gt;"")),"N",IF(AND($H109="",$C109="",$J109="",$L109="",$N109="",$P109="",$R109="",$T109="",$V109="",$X109="",$Z109="",$AD109="",$AF109=""),"N/A",IF(AND($C109&lt;&gt;"",$J109&lt;&gt;"",$L109&lt;&gt;"",$N109&lt;&gt;"",$P109&lt;&gt;"",$R109&lt;&gt;"",$T109&lt;&gt;"",$V109&lt;&gt;"",$X109&lt;&gt;"",$Z109&lt;&gt;"",$AD109&lt;&gt;"",$AF109&lt;&gt;""),"Yes",""))))</f>
        <v>N/A</v>
      </c>
      <c r="AM109" s="1625" t="b">
        <f ca="1">IF(AND($C109="",OR($J109&lt;&gt;"",$L109&lt;&gt;"",$N109&lt;&gt;"",$P109&lt;&gt;"",$R109&lt;&gt;"",$T109&lt;&gt;"",$V109&lt;&gt;"",$X109&lt;&gt;"",$Z109&lt;&gt;"",$AB109&lt;&gt;"",$AF109&lt;&gt;"")),TRUE,FALSE)</f>
        <v>0</v>
      </c>
      <c r="AN109" s="1625" t="b">
        <f>IF(AND($C109&lt;&gt;"",$J109=""),TRUE,FALSE)</f>
        <v>0</v>
      </c>
      <c r="AO109" s="1625" t="b">
        <f>IF(AND($C109&lt;&gt;"",$L109=""),TRUE,FALSE)</f>
        <v>0</v>
      </c>
      <c r="AP109" s="1625" t="b">
        <f>IF(AND($C109&lt;&gt;"",$N109=""),TRUE,FALSE)</f>
        <v>0</v>
      </c>
      <c r="AQ109" s="1625" t="b">
        <f>IF(AND($C109&lt;&gt;"",$P109=""),TRUE,FALSE)</f>
        <v>0</v>
      </c>
      <c r="AR109" s="1625" t="b">
        <f>IF(AND($C109&lt;&gt;"",$R109=""),TRUE,FALSE)</f>
        <v>0</v>
      </c>
      <c r="AS109" s="1625"/>
      <c r="AT109" s="1625" t="b">
        <f ca="1">IF(AND(T109="",OR(V109&lt;&gt;"",X109&lt;&gt;"",Z109&lt;&gt;"",AB109&lt;&gt;"",AF109&lt;&gt;"")),TRUE,FALSE)</f>
        <v>0</v>
      </c>
      <c r="AU109" s="1625" t="b">
        <f>IF(AND($C109&lt;&gt;"",$T109=""),TRUE,FALSE)</f>
        <v>0</v>
      </c>
      <c r="AV109" s="1625" t="b">
        <f>IF(V109="",FALSE,IF(T109="",FALSE,IF(AW109=TRUE,FALSE,IF(OR(V109&lt;BI109,V109&gt;BaseYear),TRUE,FALSE))))</f>
        <v>0</v>
      </c>
      <c r="AW109" s="1625" t="b">
        <f>IF(AND($C109&lt;&gt;"",$V109=""),TRUE,FALSE)</f>
        <v>0</v>
      </c>
      <c r="AX109" s="1625" t="b">
        <f>IF(X109="",FALSE,IF(T109="",FALSE,IF(AZ109=TRUE,FALSE,IF(X109&lt;BL109,TRUE,FALSE))))</f>
        <v>0</v>
      </c>
      <c r="AY109" s="1625" t="b">
        <f>IF(X109="",FALSE,IF(T109="",FALSE,IF(AZ109=TRUE,FALSE,IF(X109&gt;BM109,TRUE,FALSE))))</f>
        <v>0</v>
      </c>
      <c r="AZ109" s="1625" t="b">
        <f>IF(AND($C109&lt;&gt;"",$X109=""),TRUE,FALSE)</f>
        <v>0</v>
      </c>
      <c r="BA109" s="1626" t="b">
        <f>IF(BB109=TRUE,FALSE,IF(OR(Z109&lt;0,Z109&gt;1),TRUE,FALSE))</f>
        <v>0</v>
      </c>
      <c r="BB109" s="1625" t="b">
        <f>IF(AND($C109&lt;&gt;"",$Z109=""),TRUE,FALSE)</f>
        <v>0</v>
      </c>
      <c r="BC109" s="1626"/>
      <c r="BD109" s="1625" t="b">
        <f ca="1">IF(AND($C109&lt;&gt;"",$AB109=""),TRUE,FALSE)</f>
        <v>0</v>
      </c>
      <c r="BE109" s="1626" t="b">
        <f>IF(OR(AF109="", V109=""),FALSE,IF(COUNT(FIND({0,1,2,3,4,5,6,7,8,9}, AF109))=0, FALSE, IF(YEAR(AF109)&lt;V109, TRUE, FALSE)))</f>
        <v>0</v>
      </c>
      <c r="BF109" s="1625" t="b">
        <f>IF(AND($C109&lt;&gt;"",$AF109=""),TRUE,FALSE)</f>
        <v>0</v>
      </c>
      <c r="BG109" s="721"/>
      <c r="BH109" s="1625" t="str">
        <f>IF($T109="","",VLOOKUP($T109,val_facilities,BH$3,FALSE))</f>
        <v/>
      </c>
      <c r="BI109" s="1627" t="str">
        <f>IF($T109="","",VLOOKUP($T109,val_facilities,BI$3,FALSE))</f>
        <v/>
      </c>
      <c r="BJ109" s="1627" t="str">
        <f>IF($T109="","",VLOOKUP($T109,val_facilities,BJ$3,FALSE))</f>
        <v/>
      </c>
      <c r="BK109" s="1627" t="str">
        <f ca="1">IFERROR(IF(V109="", "", YEAR(TODAY())-V109), "")</f>
        <v/>
      </c>
      <c r="BL109" s="845" t="str">
        <f>IF($T109="","",VLOOKUP($T109,val_facilities,BL$3,FALSE))</f>
        <v/>
      </c>
      <c r="BM109" s="845" t="str">
        <f>IF($T109="","",VLOOKUP($T109,val_facilities,BM$3,FALSE))</f>
        <v/>
      </c>
      <c r="BN109" s="758"/>
      <c r="BO109" s="721">
        <f t="shared" si="3"/>
        <v>0</v>
      </c>
      <c r="BP109" s="816"/>
      <c r="BQ109" s="816"/>
      <c r="BR109" s="816"/>
    </row>
    <row r="110" spans="1:70" s="686" customFormat="1" ht="6.75" customHeight="1" thickBot="1" x14ac:dyDescent="0.25">
      <c r="A110" s="1638"/>
      <c r="B110" s="1712">
        <v>49.5</v>
      </c>
      <c r="C110" s="1057"/>
      <c r="D110" s="764"/>
      <c r="E110" s="1057"/>
      <c r="F110" s="1229"/>
      <c r="G110" s="1229"/>
      <c r="H110" s="1229"/>
      <c r="I110" s="1229"/>
      <c r="J110" s="1604"/>
      <c r="K110" s="1229"/>
      <c r="L110" s="1605"/>
      <c r="M110" s="1644"/>
      <c r="N110" s="1605"/>
      <c r="O110" s="1644"/>
      <c r="P110" s="1606"/>
      <c r="Q110" s="1644"/>
      <c r="R110" s="1057"/>
      <c r="S110" s="1623"/>
      <c r="T110" s="1643"/>
      <c r="U110" s="1623"/>
      <c r="V110" s="1623"/>
      <c r="W110" s="1623"/>
      <c r="X110" s="722"/>
      <c r="Y110" s="841"/>
      <c r="Z110" s="841"/>
      <c r="AA110" s="841"/>
      <c r="AB110" s="722"/>
      <c r="AC110" s="841"/>
      <c r="AD110" s="722"/>
      <c r="AE110" s="841"/>
      <c r="AF110" s="1717"/>
      <c r="AG110" s="841"/>
      <c r="AH110" s="1057"/>
      <c r="AI110" s="1644"/>
      <c r="AJ110" s="1644"/>
      <c r="AK110" s="1644"/>
      <c r="AL110" s="1644"/>
      <c r="AM110" s="1625"/>
      <c r="AN110" s="1625"/>
      <c r="AO110" s="1625"/>
      <c r="AP110" s="1625"/>
      <c r="AQ110" s="1625"/>
      <c r="AR110" s="848"/>
      <c r="AS110" s="848"/>
      <c r="AT110" s="848"/>
      <c r="AU110" s="848"/>
      <c r="AV110" s="848"/>
      <c r="AW110" s="848"/>
      <c r="AX110" s="848"/>
      <c r="AY110" s="848"/>
      <c r="AZ110" s="848"/>
      <c r="BA110" s="848"/>
      <c r="BB110" s="848"/>
      <c r="BC110" s="848"/>
      <c r="BD110" s="848"/>
      <c r="BE110" s="848"/>
      <c r="BF110" s="848"/>
      <c r="BG110" s="685"/>
      <c r="BH110" s="848"/>
      <c r="BI110" s="848"/>
      <c r="BJ110" s="848"/>
      <c r="BK110" s="848"/>
      <c r="BL110" s="848"/>
      <c r="BM110" s="848"/>
      <c r="BN110" s="1229"/>
      <c r="BO110" s="721">
        <f t="shared" si="3"/>
        <v>0</v>
      </c>
    </row>
    <row r="111" spans="1:70" s="816" customFormat="1" x14ac:dyDescent="0.2">
      <c r="A111" s="840">
        <v>50</v>
      </c>
      <c r="B111" s="1712">
        <v>50</v>
      </c>
      <c r="C111" s="1613"/>
      <c r="D111" s="1248" t="str">
        <f>IF(AND(C111="",C109&lt;&gt;""),"Enter Facility "&amp;TEXT(A111,0)&amp;" Name, then Fill in Columns "&amp;TEXT($H$2,0)&amp;" - "&amp;TEXT($AH$2,0)&amp;"       ","")</f>
        <v/>
      </c>
      <c r="E111" s="1245" t="str">
        <f>IF(AL111="N/A","",AL111)</f>
        <v/>
      </c>
      <c r="F111" s="758"/>
      <c r="G111" s="758"/>
      <c r="H111" s="1614"/>
      <c r="I111" s="758"/>
      <c r="J111" s="1615"/>
      <c r="K111" s="1248" t="str">
        <f>IF(E111&lt;&gt;"","Enter Street Address                   ","")</f>
        <v/>
      </c>
      <c r="L111" s="1615"/>
      <c r="M111" s="1248" t="str">
        <f>IF(E111&lt;&gt;"","Enter City Name       ","")</f>
        <v/>
      </c>
      <c r="N111" s="1613"/>
      <c r="O111" s="1248" t="str">
        <f>IF(E111&lt;&gt;"","Select from Pull-Down List   ","")</f>
        <v/>
      </c>
      <c r="P111" s="1616"/>
      <c r="Q111" s="1248" t="str">
        <f>IF($E111&lt;&gt;"","Enter ZIP Code       ","")</f>
        <v/>
      </c>
      <c r="R111" s="1617"/>
      <c r="S111" s="1618" t="str">
        <f>IF($E111&lt;&gt;"","Select from Pull-Down List  ","")</f>
        <v/>
      </c>
      <c r="T111" s="1617"/>
      <c r="U111" s="1618" t="str">
        <f>IF(AND($C111&lt;&gt;"",T111=""),"Select from Pull-Down List  ","")</f>
        <v/>
      </c>
      <c r="V111" s="1619"/>
      <c r="W111" s="1248" t="str">
        <f>IF(E111&lt;&gt;"","Year?   ","")</f>
        <v/>
      </c>
      <c r="X111" s="1247"/>
      <c r="Y111" s="1620" t="str">
        <f>IF(E111&lt;&gt;"","Sq. Feet?   ","")</f>
        <v/>
      </c>
      <c r="Z111" s="1621"/>
      <c r="AA111" s="1618" t="str">
        <f>IF($E111&lt;&gt;"","% of Cap Resp.","")</f>
        <v/>
      </c>
      <c r="AB111" s="1782" t="str">
        <f ca="1">IFERROR(IF(BK111="", "", IF(BK111&gt;100, 1, VLOOKUP(BK111, Valid!$W$1:$AA$101, VLOOKUP(T111, Codes!$G$7:$I$17, 3, FALSE), FALSE))), "")</f>
        <v/>
      </c>
      <c r="AC111" s="1618"/>
      <c r="AD111" s="1247"/>
      <c r="AE111" s="1620" t="str">
        <f>IF($E111&lt;&gt;"","Drop-Down    ","")</f>
        <v/>
      </c>
      <c r="AF111" s="1720"/>
      <c r="AG111" s="1620" t="b">
        <f>IF(E111&lt;&gt;"","Date?   ")</f>
        <v>0</v>
      </c>
      <c r="AH111" s="1613"/>
      <c r="AI111" s="1248" t="str">
        <f>IF(OR(T111="Other (describe in Notes)",T111="Dual Administrative and Maintenance Facility"),"Describe Facility                                                                                         ","")</f>
        <v/>
      </c>
      <c r="AJ111" s="1624"/>
      <c r="AK111" s="1624" t="b">
        <f>IF(AND(C111="",C113&lt;&gt;""),TRUE,FALSE)</f>
        <v>0</v>
      </c>
      <c r="AL111" s="1624" t="str">
        <f>IF(AND($C111&lt;&gt;"",OR($J111="",$L111="",$N111="",$P111="",$R111="",$T111="",$V111="",$X111="",$Z111="",$AD111="",$AF111="")),"No",IF(AND($C111="",OR($H111&lt;&gt;"",$J111&lt;&gt;"",$L111&lt;&gt;"",$N111&lt;&gt;"",$P111&lt;&gt;"",$R111&lt;&gt;"",$T111&lt;&gt;"",$V111&lt;&gt;"",$X111&lt;&gt;"",$Z111&lt;&gt;"",$AD111&lt;&gt;"",$AF111&lt;&gt;"")),"N",IF(AND($H111="",$C111="",$J111="",$L111="",$N111="",$P111="",$R111="",$T111="",$V111="",$X111="",$Z111="",$AD111="",$AF111=""),"N/A",IF(AND($C111&lt;&gt;"",$J111&lt;&gt;"",$L111&lt;&gt;"",$N111&lt;&gt;"",$P111&lt;&gt;"",$R111&lt;&gt;"",$T111&lt;&gt;"",$V111&lt;&gt;"",$X111&lt;&gt;"",$Z111&lt;&gt;"",$AD111&lt;&gt;"",$AF111&lt;&gt;""),"Yes",""))))</f>
        <v>N/A</v>
      </c>
      <c r="AM111" s="1625" t="b">
        <f ca="1">IF(AND($C111="",OR($J111&lt;&gt;"",$L111&lt;&gt;"",$N111&lt;&gt;"",$P111&lt;&gt;"",$R111&lt;&gt;"",$T111&lt;&gt;"",$V111&lt;&gt;"",$X111&lt;&gt;"",$Z111&lt;&gt;"",$AB111&lt;&gt;"",$AF111&lt;&gt;"")),TRUE,FALSE)</f>
        <v>0</v>
      </c>
      <c r="AN111" s="1625" t="b">
        <f>IF(AND($C111&lt;&gt;"",$J111=""),TRUE,FALSE)</f>
        <v>0</v>
      </c>
      <c r="AO111" s="1625" t="b">
        <f>IF(AND($C111&lt;&gt;"",$L111=""),TRUE,FALSE)</f>
        <v>0</v>
      </c>
      <c r="AP111" s="1625" t="b">
        <f>IF(AND($C111&lt;&gt;"",$N111=""),TRUE,FALSE)</f>
        <v>0</v>
      </c>
      <c r="AQ111" s="1625" t="b">
        <f>IF(AND($C111&lt;&gt;"",$P111=""),TRUE,FALSE)</f>
        <v>0</v>
      </c>
      <c r="AR111" s="1625" t="b">
        <f>IF(AND($C111&lt;&gt;"",$R111=""),TRUE,FALSE)</f>
        <v>0</v>
      </c>
      <c r="AS111" s="1625"/>
      <c r="AT111" s="1625" t="b">
        <f ca="1">IF(AND(T111="",OR(V111&lt;&gt;"",X111&lt;&gt;"",Z111&lt;&gt;"",AB111&lt;&gt;"",AF111&lt;&gt;"")),TRUE,FALSE)</f>
        <v>0</v>
      </c>
      <c r="AU111" s="1625" t="b">
        <f>IF(AND($C111&lt;&gt;"",$T111=""),TRUE,FALSE)</f>
        <v>0</v>
      </c>
      <c r="AV111" s="1625" t="b">
        <f>IF(V111="",FALSE,IF(T111="",FALSE,IF(AW111=TRUE,FALSE,IF(OR(V111&lt;BI111,V111&gt;BaseYear),TRUE,FALSE))))</f>
        <v>0</v>
      </c>
      <c r="AW111" s="1625" t="b">
        <f>IF(AND($C111&lt;&gt;"",$V111=""),TRUE,FALSE)</f>
        <v>0</v>
      </c>
      <c r="AX111" s="1625" t="b">
        <f>IF(X111="",FALSE,IF(T111="",FALSE,IF(AZ111=TRUE,FALSE,IF(X111&lt;BL111,TRUE,FALSE))))</f>
        <v>0</v>
      </c>
      <c r="AY111" s="1625" t="b">
        <f>IF(X111="",FALSE,IF(T111="",FALSE,IF(AZ111=TRUE,FALSE,IF(X111&gt;BM111,TRUE,FALSE))))</f>
        <v>0</v>
      </c>
      <c r="AZ111" s="1625" t="b">
        <f>IF(AND($C111&lt;&gt;"",$X111=""),TRUE,FALSE)</f>
        <v>0</v>
      </c>
      <c r="BA111" s="1626" t="b">
        <f>IF(BB111=TRUE,FALSE,IF(OR(Z111&lt;0,Z111&gt;1),TRUE,FALSE))</f>
        <v>0</v>
      </c>
      <c r="BB111" s="1625" t="b">
        <f>IF(AND($C111&lt;&gt;"",$Z111=""),TRUE,FALSE)</f>
        <v>0</v>
      </c>
      <c r="BC111" s="1626"/>
      <c r="BD111" s="1625" t="b">
        <f ca="1">IF(AND($C111&lt;&gt;"",$AB111=""),TRUE,FALSE)</f>
        <v>0</v>
      </c>
      <c r="BE111" s="1626" t="b">
        <f>IF(OR(AF111="", V111=""),FALSE,IF(COUNT(FIND({0,1,2,3,4,5,6,7,8,9}, AF111))=0, FALSE, IF(YEAR(AF111)&lt;V111, TRUE, FALSE)))</f>
        <v>0</v>
      </c>
      <c r="BF111" s="1625" t="b">
        <f>IF(AND($C111&lt;&gt;"",$AF111=""),TRUE,FALSE)</f>
        <v>0</v>
      </c>
      <c r="BG111" s="721"/>
      <c r="BH111" s="1625" t="str">
        <f>IF($T111="","",VLOOKUP($T111,val_facilities,BH$3,FALSE))</f>
        <v/>
      </c>
      <c r="BI111" s="1627" t="str">
        <f>IF($T111="","",VLOOKUP($T111,val_facilities,BI$3,FALSE))</f>
        <v/>
      </c>
      <c r="BJ111" s="1627" t="str">
        <f>IF($T111="","",VLOOKUP($T111,val_facilities,BJ$3,FALSE))</f>
        <v/>
      </c>
      <c r="BK111" s="1627" t="str">
        <f ca="1">IFERROR(IF(V111="", "", YEAR(TODAY())-V111), "")</f>
        <v/>
      </c>
      <c r="BL111" s="845" t="str">
        <f>IF($T111="","",VLOOKUP($T111,val_facilities,BL$3,FALSE))</f>
        <v/>
      </c>
      <c r="BM111" s="845" t="str">
        <f>IF($T111="","",VLOOKUP($T111,val_facilities,BM$3,FALSE))</f>
        <v/>
      </c>
      <c r="BN111" s="758"/>
      <c r="BO111" s="721">
        <f t="shared" si="3"/>
        <v>0</v>
      </c>
    </row>
    <row r="112" spans="1:70" s="816" customFormat="1" ht="6.75" customHeight="1" thickBot="1" x14ac:dyDescent="0.25">
      <c r="A112" s="840"/>
      <c r="B112" s="1712">
        <v>50.5</v>
      </c>
      <c r="C112" s="721"/>
      <c r="D112" s="1248"/>
      <c r="F112" s="758"/>
      <c r="G112" s="758"/>
      <c r="H112" s="758"/>
      <c r="I112" s="758"/>
      <c r="J112" s="1633"/>
      <c r="K112" s="1248"/>
      <c r="L112" s="1634"/>
      <c r="M112" s="1248"/>
      <c r="N112" s="1634"/>
      <c r="O112" s="1248"/>
      <c r="P112" s="1635"/>
      <c r="Q112" s="1248"/>
      <c r="R112" s="1059"/>
      <c r="S112" s="1618"/>
      <c r="T112" s="1636"/>
      <c r="U112" s="1618"/>
      <c r="V112" s="1623"/>
      <c r="W112" s="1618"/>
      <c r="X112" s="722"/>
      <c r="Y112" s="723"/>
      <c r="Z112" s="724"/>
      <c r="AA112" s="723"/>
      <c r="AB112" s="722"/>
      <c r="AC112" s="723"/>
      <c r="AD112" s="722"/>
      <c r="AE112" s="723"/>
      <c r="AF112" s="1717"/>
      <c r="AG112" s="723"/>
      <c r="AH112" s="1637"/>
      <c r="AI112" s="1624"/>
      <c r="AJ112" s="1624"/>
      <c r="AK112" s="1624"/>
      <c r="AL112" s="1624"/>
      <c r="AM112" s="1625"/>
      <c r="AN112" s="1625"/>
      <c r="AO112" s="1625"/>
      <c r="AP112" s="1625"/>
      <c r="AQ112" s="1625"/>
      <c r="AR112" s="1625"/>
      <c r="AS112" s="1625"/>
      <c r="AT112" s="1625"/>
      <c r="AU112" s="1625"/>
      <c r="AV112" s="1626"/>
      <c r="AW112" s="1626"/>
      <c r="AX112" s="1626"/>
      <c r="AY112" s="1626"/>
      <c r="AZ112" s="1626"/>
      <c r="BA112" s="1626"/>
      <c r="BB112" s="1626"/>
      <c r="BC112" s="1626"/>
      <c r="BD112" s="1626"/>
      <c r="BE112" s="1626"/>
      <c r="BF112" s="1626"/>
      <c r="BG112" s="721"/>
      <c r="BH112" s="1626"/>
      <c r="BI112" s="1626"/>
      <c r="BJ112" s="1626"/>
      <c r="BK112" s="1626"/>
      <c r="BL112" s="1626"/>
      <c r="BM112" s="1626"/>
      <c r="BN112" s="758"/>
      <c r="BO112" s="721">
        <f t="shared" si="3"/>
        <v>0</v>
      </c>
    </row>
    <row r="113" spans="1:70" s="816" customFormat="1" x14ac:dyDescent="0.2">
      <c r="A113" s="840">
        <v>51</v>
      </c>
      <c r="B113" s="1712">
        <v>51</v>
      </c>
      <c r="C113" s="1613"/>
      <c r="D113" s="1248" t="str">
        <f>IF(AND(C113="",C111&lt;&gt;""),"Enter Facility "&amp;TEXT(A113,0)&amp;" Name, then Fill in Columns "&amp;TEXT($H$2,0)&amp;" - "&amp;TEXT($AH$2,0)&amp;"       ","")</f>
        <v/>
      </c>
      <c r="E113" s="1245" t="str">
        <f>IF(AL113="N/A","",AL113)</f>
        <v/>
      </c>
      <c r="F113" s="758"/>
      <c r="G113" s="758"/>
      <c r="H113" s="1614"/>
      <c r="I113" s="758"/>
      <c r="J113" s="1615"/>
      <c r="K113" s="1248" t="str">
        <f>IF(E113&lt;&gt;"","Enter Street Address                   ","")</f>
        <v/>
      </c>
      <c r="L113" s="1615"/>
      <c r="M113" s="1248" t="str">
        <f>IF(E113&lt;&gt;"","Enter City Name       ","")</f>
        <v/>
      </c>
      <c r="N113" s="1613"/>
      <c r="O113" s="1248" t="str">
        <f>IF(E113&lt;&gt;"","Select from Pull-Down List   ","")</f>
        <v/>
      </c>
      <c r="P113" s="1616"/>
      <c r="Q113" s="1248" t="str">
        <f>IF($E113&lt;&gt;"","Enter ZIP Code       ","")</f>
        <v/>
      </c>
      <c r="R113" s="1617"/>
      <c r="S113" s="1618" t="str">
        <f>IF($E113&lt;&gt;"","Select from Pull-Down List  ","")</f>
        <v/>
      </c>
      <c r="T113" s="1617"/>
      <c r="U113" s="1618" t="str">
        <f>IF(AND($C113&lt;&gt;"",T113=""),"Select from Pull-Down List  ","")</f>
        <v/>
      </c>
      <c r="V113" s="1619"/>
      <c r="W113" s="1248" t="str">
        <f>IF(E113&lt;&gt;"","Year?   ","")</f>
        <v/>
      </c>
      <c r="X113" s="1247"/>
      <c r="Y113" s="1620" t="str">
        <f>IF(E113&lt;&gt;"","Sq. Feet?   ","")</f>
        <v/>
      </c>
      <c r="Z113" s="1621"/>
      <c r="AA113" s="1618" t="str">
        <f>IF($E113&lt;&gt;"","% of Cap Resp.","")</f>
        <v/>
      </c>
      <c r="AB113" s="1782" t="str">
        <f ca="1">IFERROR(IF(BK113="", "", IF(BK113&gt;100, 1, VLOOKUP(BK113, Valid!$W$1:$AA$101, VLOOKUP(T113, Codes!$G$7:$I$17, 3, FALSE), FALSE))), "")</f>
        <v/>
      </c>
      <c r="AC113" s="1618"/>
      <c r="AD113" s="1247"/>
      <c r="AE113" s="1620" t="str">
        <f>IF($E113&lt;&gt;"","Drop-Down    ","")</f>
        <v/>
      </c>
      <c r="AF113" s="1720"/>
      <c r="AG113" s="1620" t="b">
        <f>IF(E113&lt;&gt;"","Date?   ")</f>
        <v>0</v>
      </c>
      <c r="AH113" s="1613"/>
      <c r="AI113" s="1248" t="str">
        <f>IF(OR(T113="Other (describe in Notes)",T113="Dual Administrative and Maintenance Facility"),"Describe Facility                                                                                         ","")</f>
        <v/>
      </c>
      <c r="AJ113" s="1624"/>
      <c r="AK113" s="1624" t="b">
        <f>IF(AND(C113="",C115&lt;&gt;""),TRUE,FALSE)</f>
        <v>0</v>
      </c>
      <c r="AL113" s="1624" t="str">
        <f>IF(AND($C113&lt;&gt;"",OR($J113="",$L113="",$N113="",$P113="",$R113="",$T113="",$V113="",$X113="",$Z113="",$AD113="",$AF113="")),"No",IF(AND($C113="",OR($H113&lt;&gt;"",$J113&lt;&gt;"",$L113&lt;&gt;"",$N113&lt;&gt;"",$P113&lt;&gt;"",$R113&lt;&gt;"",$T113&lt;&gt;"",$V113&lt;&gt;"",$X113&lt;&gt;"",$Z113&lt;&gt;"",$AD113&lt;&gt;"",$AF113&lt;&gt;"")),"N",IF(AND($H113="",$C113="",$J113="",$L113="",$N113="",$P113="",$R113="",$T113="",$V113="",$X113="",$Z113="",$AD113="",$AF113=""),"N/A",IF(AND($C113&lt;&gt;"",$J113&lt;&gt;"",$L113&lt;&gt;"",$N113&lt;&gt;"",$P113&lt;&gt;"",$R113&lt;&gt;"",$T113&lt;&gt;"",$V113&lt;&gt;"",$X113&lt;&gt;"",$Z113&lt;&gt;"",$AD113&lt;&gt;"",$AF113&lt;&gt;""),"Yes",""))))</f>
        <v>N/A</v>
      </c>
      <c r="AM113" s="1625" t="b">
        <f ca="1">IF(AND($C113="",OR($J113&lt;&gt;"",$L113&lt;&gt;"",$N113&lt;&gt;"",$P113&lt;&gt;"",$R113&lt;&gt;"",$T113&lt;&gt;"",$V113&lt;&gt;"",$X113&lt;&gt;"",$Z113&lt;&gt;"",$AB113&lt;&gt;"",$AF113&lt;&gt;"")),TRUE,FALSE)</f>
        <v>0</v>
      </c>
      <c r="AN113" s="1625" t="b">
        <f>IF(AND($C113&lt;&gt;"",$J113=""),TRUE,FALSE)</f>
        <v>0</v>
      </c>
      <c r="AO113" s="1625" t="b">
        <f>IF(AND($C113&lt;&gt;"",$L113=""),TRUE,FALSE)</f>
        <v>0</v>
      </c>
      <c r="AP113" s="1625" t="b">
        <f>IF(AND($C113&lt;&gt;"",$N113=""),TRUE,FALSE)</f>
        <v>0</v>
      </c>
      <c r="AQ113" s="1625" t="b">
        <f>IF(AND($C113&lt;&gt;"",$P113=""),TRUE,FALSE)</f>
        <v>0</v>
      </c>
      <c r="AR113" s="1625" t="b">
        <f>IF(AND($C113&lt;&gt;"",$R113=""),TRUE,FALSE)</f>
        <v>0</v>
      </c>
      <c r="AS113" s="1625"/>
      <c r="AT113" s="1625" t="b">
        <f ca="1">IF(AND(T113="",OR(V113&lt;&gt;"",X113&lt;&gt;"",Z113&lt;&gt;"",AB113&lt;&gt;"",AF113&lt;&gt;"")),TRUE,FALSE)</f>
        <v>0</v>
      </c>
      <c r="AU113" s="1625" t="b">
        <f>IF(AND($C113&lt;&gt;"",$T113=""),TRUE,FALSE)</f>
        <v>0</v>
      </c>
      <c r="AV113" s="1625" t="b">
        <f>IF(V113="",FALSE,IF(T113="",FALSE,IF(AW113=TRUE,FALSE,IF(OR(V113&lt;BI113,V113&gt;BaseYear),TRUE,FALSE))))</f>
        <v>0</v>
      </c>
      <c r="AW113" s="1625" t="b">
        <f>IF(AND($C113&lt;&gt;"",$V113=""),TRUE,FALSE)</f>
        <v>0</v>
      </c>
      <c r="AX113" s="1625" t="b">
        <f>IF(X113="",FALSE,IF(T113="",FALSE,IF(AZ113=TRUE,FALSE,IF(X113&lt;BL113,TRUE,FALSE))))</f>
        <v>0</v>
      </c>
      <c r="AY113" s="1625" t="b">
        <f>IF(X113="",FALSE,IF(T113="",FALSE,IF(AZ113=TRUE,FALSE,IF(X113&gt;BM113,TRUE,FALSE))))</f>
        <v>0</v>
      </c>
      <c r="AZ113" s="1625" t="b">
        <f>IF(AND($C113&lt;&gt;"",$X113=""),TRUE,FALSE)</f>
        <v>0</v>
      </c>
      <c r="BA113" s="1626" t="b">
        <f>IF(BB113=TRUE,FALSE,IF(OR(Z113&lt;0,Z113&gt;1),TRUE,FALSE))</f>
        <v>0</v>
      </c>
      <c r="BB113" s="1625" t="b">
        <f>IF(AND($C113&lt;&gt;"",$Z113=""),TRUE,FALSE)</f>
        <v>0</v>
      </c>
      <c r="BC113" s="1626"/>
      <c r="BD113" s="1625" t="b">
        <f ca="1">IF(AND($C113&lt;&gt;"",$AB113=""),TRUE,FALSE)</f>
        <v>0</v>
      </c>
      <c r="BE113" s="1626" t="b">
        <f>IF(OR(AF113="", V113=""),FALSE,IF(COUNT(FIND({0,1,2,3,4,5,6,7,8,9}, AF113))=0, FALSE, IF(YEAR(AF113)&lt;V113, TRUE, FALSE)))</f>
        <v>0</v>
      </c>
      <c r="BF113" s="1625" t="b">
        <f>IF(AND($C113&lt;&gt;"",$AF113=""),TRUE,FALSE)</f>
        <v>0</v>
      </c>
      <c r="BG113" s="721"/>
      <c r="BH113" s="1625" t="str">
        <f>IF($T113="","",VLOOKUP($T113,val_facilities,BH$3,FALSE))</f>
        <v/>
      </c>
      <c r="BI113" s="1627" t="str">
        <f>IF($T113="","",VLOOKUP($T113,val_facilities,BI$3,FALSE))</f>
        <v/>
      </c>
      <c r="BJ113" s="1627" t="str">
        <f>IF($T113="","",VLOOKUP($T113,val_facilities,BJ$3,FALSE))</f>
        <v/>
      </c>
      <c r="BK113" s="1627" t="str">
        <f ca="1">IFERROR(IF(V113="", "", YEAR(TODAY())-V113), "")</f>
        <v/>
      </c>
      <c r="BL113" s="845" t="str">
        <f>IF($T113="","",VLOOKUP($T113,val_facilities,BL$3,FALSE))</f>
        <v/>
      </c>
      <c r="BM113" s="845" t="str">
        <f>IF($T113="","",VLOOKUP($T113,val_facilities,BM$3,FALSE))</f>
        <v/>
      </c>
      <c r="BN113" s="758"/>
      <c r="BO113" s="721">
        <f t="shared" si="3"/>
        <v>0</v>
      </c>
    </row>
    <row r="114" spans="1:70" s="816" customFormat="1" ht="6.75" customHeight="1" thickBot="1" x14ac:dyDescent="0.25">
      <c r="A114" s="840"/>
      <c r="B114" s="1712">
        <v>51.5</v>
      </c>
      <c r="C114" s="1607"/>
      <c r="D114" s="1248"/>
      <c r="E114" s="721"/>
      <c r="F114" s="758"/>
      <c r="G114" s="758"/>
      <c r="H114" s="758"/>
      <c r="I114" s="758"/>
      <c r="J114" s="1628"/>
      <c r="K114" s="1248"/>
      <c r="L114" s="1629"/>
      <c r="M114" s="1248"/>
      <c r="N114" s="1629"/>
      <c r="O114" s="1248"/>
      <c r="P114" s="1630"/>
      <c r="Q114" s="1248"/>
      <c r="R114" s="1223"/>
      <c r="S114" s="1618"/>
      <c r="T114" s="1608"/>
      <c r="U114" s="1618"/>
      <c r="V114" s="1623"/>
      <c r="W114" s="1618"/>
      <c r="X114" s="1631"/>
      <c r="Y114" s="1632"/>
      <c r="Z114" s="822"/>
      <c r="AA114" s="1632"/>
      <c r="AB114" s="1631"/>
      <c r="AC114" s="1632"/>
      <c r="AD114" s="1631"/>
      <c r="AE114" s="1632"/>
      <c r="AF114" s="1719"/>
      <c r="AG114" s="1632"/>
      <c r="AH114" s="1243"/>
      <c r="AI114" s="1248"/>
      <c r="AJ114" s="758"/>
      <c r="AK114" s="758"/>
      <c r="AL114" s="758"/>
      <c r="AM114" s="1625"/>
      <c r="AN114" s="1625"/>
      <c r="AO114" s="1625"/>
      <c r="AP114" s="1625"/>
      <c r="AQ114" s="1625"/>
      <c r="AR114" s="1625"/>
      <c r="AS114" s="1625"/>
      <c r="AT114" s="1625"/>
      <c r="AU114" s="1625"/>
      <c r="AV114" s="1626"/>
      <c r="AW114" s="1626"/>
      <c r="AX114" s="1626"/>
      <c r="AY114" s="1626"/>
      <c r="AZ114" s="1626"/>
      <c r="BA114" s="1626"/>
      <c r="BB114" s="1626"/>
      <c r="BC114" s="1626"/>
      <c r="BD114" s="1626"/>
      <c r="BE114" s="1626"/>
      <c r="BF114" s="1626"/>
      <c r="BG114" s="721"/>
      <c r="BH114" s="1626"/>
      <c r="BI114" s="1626"/>
      <c r="BJ114" s="1626"/>
      <c r="BK114" s="1626"/>
      <c r="BL114" s="1626"/>
      <c r="BM114" s="1626"/>
      <c r="BN114" s="758"/>
      <c r="BO114" s="721">
        <f t="shared" si="3"/>
        <v>0</v>
      </c>
      <c r="BP114" s="721"/>
      <c r="BQ114" s="721"/>
      <c r="BR114" s="721"/>
    </row>
    <row r="115" spans="1:70" s="816" customFormat="1" x14ac:dyDescent="0.2">
      <c r="A115" s="840">
        <v>52</v>
      </c>
      <c r="B115" s="1712">
        <v>52</v>
      </c>
      <c r="C115" s="1613"/>
      <c r="D115" s="1248" t="str">
        <f>IF(AND(C115="",C113&lt;&gt;""),"Enter Facility "&amp;TEXT(A115,0)&amp;" Name, then Fill in Columns "&amp;TEXT($H$2,0)&amp;" - "&amp;TEXT($AH$2,0)&amp;"       ","")</f>
        <v/>
      </c>
      <c r="E115" s="1245" t="str">
        <f>IF(AL115="N/A","",AL115)</f>
        <v/>
      </c>
      <c r="F115" s="758"/>
      <c r="G115" s="758"/>
      <c r="H115" s="1614"/>
      <c r="I115" s="758"/>
      <c r="J115" s="1615"/>
      <c r="K115" s="1248" t="str">
        <f>IF(E115&lt;&gt;"","Enter Street Address                   ","")</f>
        <v/>
      </c>
      <c r="L115" s="1615"/>
      <c r="M115" s="1248" t="str">
        <f>IF(E115&lt;&gt;"","Enter City Name       ","")</f>
        <v/>
      </c>
      <c r="N115" s="1613"/>
      <c r="O115" s="1248" t="str">
        <f>IF(E115&lt;&gt;"","Select from Pull-Down List   ","")</f>
        <v/>
      </c>
      <c r="P115" s="1616"/>
      <c r="Q115" s="1248" t="str">
        <f>IF($E115&lt;&gt;"","Enter ZIP Code       ","")</f>
        <v/>
      </c>
      <c r="R115" s="1617"/>
      <c r="S115" s="1618" t="str">
        <f>IF($E115&lt;&gt;"","Select from Pull-Down List  ","")</f>
        <v/>
      </c>
      <c r="T115" s="1617"/>
      <c r="U115" s="1618" t="str">
        <f>IF(AND($C115&lt;&gt;"",T115=""),"Select from Pull-Down List  ","")</f>
        <v/>
      </c>
      <c r="V115" s="1619"/>
      <c r="W115" s="1248" t="str">
        <f>IF(E115&lt;&gt;"","Year?   ","")</f>
        <v/>
      </c>
      <c r="X115" s="1247"/>
      <c r="Y115" s="1620" t="str">
        <f>IF(E115&lt;&gt;"","Sq. Feet?   ","")</f>
        <v/>
      </c>
      <c r="Z115" s="1621"/>
      <c r="AA115" s="1618" t="str">
        <f>IF($E115&lt;&gt;"","% of Cap Resp.","")</f>
        <v/>
      </c>
      <c r="AB115" s="1782" t="str">
        <f ca="1">IFERROR(IF(BK115="", "", IF(BK115&gt;100, 1, VLOOKUP(BK115, Valid!$W$1:$AA$101, VLOOKUP(T115, Codes!$G$7:$I$17, 3, FALSE), FALSE))), "")</f>
        <v/>
      </c>
      <c r="AC115" s="1618"/>
      <c r="AD115" s="1247"/>
      <c r="AE115" s="1620" t="str">
        <f>IF($E115&lt;&gt;"","Drop-Down    ","")</f>
        <v/>
      </c>
      <c r="AF115" s="1720"/>
      <c r="AG115" s="1620" t="b">
        <f>IF(E115&lt;&gt;"","Date?   ")</f>
        <v>0</v>
      </c>
      <c r="AH115" s="1613"/>
      <c r="AI115" s="1248" t="str">
        <f>IF(OR(T115="Other (describe in Notes)",T115="Dual Administrative and Maintenance Facility"),"Describe Facility                                                                                         ","")</f>
        <v/>
      </c>
      <c r="AJ115" s="1624"/>
      <c r="AK115" s="1624" t="b">
        <f>IF(AND(C115="",C117&lt;&gt;""),TRUE,FALSE)</f>
        <v>0</v>
      </c>
      <c r="AL115" s="1624" t="str">
        <f>IF(AND($C115&lt;&gt;"",OR($J115="",$L115="",$N115="",$P115="",$R115="",$T115="",$V115="",$X115="",$Z115="",$AD115="",$AF115="")),"No",IF(AND($C115="",OR($H115&lt;&gt;"",$J115&lt;&gt;"",$L115&lt;&gt;"",$N115&lt;&gt;"",$P115&lt;&gt;"",$R115&lt;&gt;"",$T115&lt;&gt;"",$V115&lt;&gt;"",$X115&lt;&gt;"",$Z115&lt;&gt;"",$AD115&lt;&gt;"",$AF115&lt;&gt;"")),"N",IF(AND($H115="",$C115="",$J115="",$L115="",$N115="",$P115="",$R115="",$T115="",$V115="",$X115="",$Z115="",$AD115="",$AF115=""),"N/A",IF(AND($C115&lt;&gt;"",$J115&lt;&gt;"",$L115&lt;&gt;"",$N115&lt;&gt;"",$P115&lt;&gt;"",$R115&lt;&gt;"",$T115&lt;&gt;"",$V115&lt;&gt;"",$X115&lt;&gt;"",$Z115&lt;&gt;"",$AD115&lt;&gt;"",$AF115&lt;&gt;""),"Yes",""))))</f>
        <v>N/A</v>
      </c>
      <c r="AM115" s="1625" t="b">
        <f ca="1">IF(AND($C115="",OR($J115&lt;&gt;"",$L115&lt;&gt;"",$N115&lt;&gt;"",$P115&lt;&gt;"",$R115&lt;&gt;"",$T115&lt;&gt;"",$V115&lt;&gt;"",$X115&lt;&gt;"",$Z115&lt;&gt;"",$AB115&lt;&gt;"",$AF115&lt;&gt;"")),TRUE,FALSE)</f>
        <v>0</v>
      </c>
      <c r="AN115" s="1625" t="b">
        <f>IF(AND($C115&lt;&gt;"",$J115=""),TRUE,FALSE)</f>
        <v>0</v>
      </c>
      <c r="AO115" s="1625" t="b">
        <f>IF(AND($C115&lt;&gt;"",$L115=""),TRUE,FALSE)</f>
        <v>0</v>
      </c>
      <c r="AP115" s="1625" t="b">
        <f>IF(AND($C115&lt;&gt;"",$N115=""),TRUE,FALSE)</f>
        <v>0</v>
      </c>
      <c r="AQ115" s="1625" t="b">
        <f>IF(AND($C115&lt;&gt;"",$P115=""),TRUE,FALSE)</f>
        <v>0</v>
      </c>
      <c r="AR115" s="1625" t="b">
        <f>IF(AND($C115&lt;&gt;"",$R115=""),TRUE,FALSE)</f>
        <v>0</v>
      </c>
      <c r="AS115" s="1625"/>
      <c r="AT115" s="1625" t="b">
        <f ca="1">IF(AND(T115="",OR(V115&lt;&gt;"",X115&lt;&gt;"",Z115&lt;&gt;"",AB115&lt;&gt;"",AF115&lt;&gt;"")),TRUE,FALSE)</f>
        <v>0</v>
      </c>
      <c r="AU115" s="1625" t="b">
        <f>IF(AND($C115&lt;&gt;"",$T115=""),TRUE,FALSE)</f>
        <v>0</v>
      </c>
      <c r="AV115" s="1625" t="b">
        <f>IF(V115="",FALSE,IF(T115="",FALSE,IF(AW115=TRUE,FALSE,IF(OR(V115&lt;BI115,V115&gt;BaseYear),TRUE,FALSE))))</f>
        <v>0</v>
      </c>
      <c r="AW115" s="1625" t="b">
        <f>IF(AND($C115&lt;&gt;"",$V115=""),TRUE,FALSE)</f>
        <v>0</v>
      </c>
      <c r="AX115" s="1625" t="b">
        <f>IF(X115="",FALSE,IF(T115="",FALSE,IF(AZ115=TRUE,FALSE,IF(X115&lt;BL115,TRUE,FALSE))))</f>
        <v>0</v>
      </c>
      <c r="AY115" s="1625" t="b">
        <f>IF(X115="",FALSE,IF(T115="",FALSE,IF(AZ115=TRUE,FALSE,IF(X115&gt;BM115,TRUE,FALSE))))</f>
        <v>0</v>
      </c>
      <c r="AZ115" s="1625" t="b">
        <f>IF(AND($C115&lt;&gt;"",$X115=""),TRUE,FALSE)</f>
        <v>0</v>
      </c>
      <c r="BA115" s="1626" t="b">
        <f>IF(BB115=TRUE,FALSE,IF(OR(Z115&lt;0,Z115&gt;1),TRUE,FALSE))</f>
        <v>0</v>
      </c>
      <c r="BB115" s="1625" t="b">
        <f>IF(AND($C115&lt;&gt;"",$Z115=""),TRUE,FALSE)</f>
        <v>0</v>
      </c>
      <c r="BC115" s="1626"/>
      <c r="BD115" s="1625" t="b">
        <f ca="1">IF(AND($C115&lt;&gt;"",$AB115=""),TRUE,FALSE)</f>
        <v>0</v>
      </c>
      <c r="BE115" s="1626" t="b">
        <f>IF(OR(AF115="", V115=""),FALSE,IF(COUNT(FIND({0,1,2,3,4,5,6,7,8,9}, AF115))=0, FALSE, IF(YEAR(AF115)&lt;V115, TRUE, FALSE)))</f>
        <v>0</v>
      </c>
      <c r="BF115" s="1625" t="b">
        <f>IF(AND($C115&lt;&gt;"",$AF115=""),TRUE,FALSE)</f>
        <v>0</v>
      </c>
      <c r="BG115" s="721"/>
      <c r="BH115" s="1625" t="str">
        <f>IF($T115="","",VLOOKUP($T115,val_facilities,BH$3,FALSE))</f>
        <v/>
      </c>
      <c r="BI115" s="1627" t="str">
        <f>IF($T115="","",VLOOKUP($T115,val_facilities,BI$3,FALSE))</f>
        <v/>
      </c>
      <c r="BJ115" s="1627" t="str">
        <f>IF($T115="","",VLOOKUP($T115,val_facilities,BJ$3,FALSE))</f>
        <v/>
      </c>
      <c r="BK115" s="1627" t="str">
        <f ca="1">IFERROR(IF(V115="", "", YEAR(TODAY())-V115), "")</f>
        <v/>
      </c>
      <c r="BL115" s="845" t="str">
        <f>IF($T115="","",VLOOKUP($T115,val_facilities,BL$3,FALSE))</f>
        <v/>
      </c>
      <c r="BM115" s="845" t="str">
        <f>IF($T115="","",VLOOKUP($T115,val_facilities,BM$3,FALSE))</f>
        <v/>
      </c>
      <c r="BN115" s="758"/>
      <c r="BO115" s="721">
        <f t="shared" si="3"/>
        <v>0</v>
      </c>
    </row>
    <row r="116" spans="1:70" s="686" customFormat="1" ht="6.75" customHeight="1" thickBot="1" x14ac:dyDescent="0.25">
      <c r="A116" s="1638"/>
      <c r="B116" s="1712">
        <v>52.5</v>
      </c>
      <c r="C116" s="721"/>
      <c r="D116" s="1248"/>
      <c r="E116" s="816"/>
      <c r="F116" s="758"/>
      <c r="G116" s="758"/>
      <c r="H116" s="758"/>
      <c r="I116" s="758"/>
      <c r="J116" s="1633"/>
      <c r="K116" s="1248"/>
      <c r="L116" s="1634"/>
      <c r="M116" s="1248"/>
      <c r="N116" s="1634"/>
      <c r="O116" s="1248"/>
      <c r="P116" s="1635"/>
      <c r="Q116" s="1248"/>
      <c r="R116" s="1059"/>
      <c r="S116" s="1618"/>
      <c r="T116" s="1636"/>
      <c r="U116" s="1618"/>
      <c r="V116" s="1623"/>
      <c r="W116" s="1618"/>
      <c r="X116" s="722"/>
      <c r="Y116" s="723"/>
      <c r="Z116" s="724"/>
      <c r="AA116" s="723"/>
      <c r="AB116" s="722"/>
      <c r="AC116" s="723"/>
      <c r="AD116" s="722"/>
      <c r="AE116" s="723"/>
      <c r="AF116" s="1717"/>
      <c r="AG116" s="723"/>
      <c r="AH116" s="1637"/>
      <c r="AI116" s="1624"/>
      <c r="AJ116" s="1624"/>
      <c r="AK116" s="1624"/>
      <c r="AL116" s="1624"/>
      <c r="AM116" s="1625"/>
      <c r="AN116" s="1625"/>
      <c r="AO116" s="1625"/>
      <c r="AP116" s="1625"/>
      <c r="AQ116" s="1625"/>
      <c r="AR116" s="1625"/>
      <c r="AS116" s="1625"/>
      <c r="AT116" s="1625"/>
      <c r="AU116" s="1625"/>
      <c r="AV116" s="1626"/>
      <c r="AW116" s="1626"/>
      <c r="AX116" s="1626"/>
      <c r="AY116" s="1626"/>
      <c r="AZ116" s="1626"/>
      <c r="BA116" s="1626"/>
      <c r="BB116" s="1626"/>
      <c r="BC116" s="1626"/>
      <c r="BD116" s="1626"/>
      <c r="BE116" s="1626"/>
      <c r="BF116" s="1626"/>
      <c r="BG116" s="721"/>
      <c r="BH116" s="1626"/>
      <c r="BI116" s="1626"/>
      <c r="BJ116" s="1626"/>
      <c r="BK116" s="1626"/>
      <c r="BL116" s="1626"/>
      <c r="BM116" s="1626"/>
      <c r="BN116" s="758"/>
      <c r="BO116" s="721">
        <f t="shared" si="3"/>
        <v>0</v>
      </c>
      <c r="BP116" s="816"/>
      <c r="BQ116" s="816"/>
      <c r="BR116" s="816"/>
    </row>
    <row r="117" spans="1:70" s="686" customFormat="1" x14ac:dyDescent="0.2">
      <c r="A117" s="840">
        <v>53</v>
      </c>
      <c r="B117" s="1712">
        <v>53</v>
      </c>
      <c r="C117" s="1613"/>
      <c r="D117" s="1248" t="str">
        <f>IF(AND(C117="",C115&lt;&gt;""),"Enter Facility "&amp;TEXT(A117,0)&amp;" Name, then Fill in Columns "&amp;TEXT($H$2,0)&amp;" - "&amp;TEXT($AH$2,0)&amp;"       ","")</f>
        <v/>
      </c>
      <c r="E117" s="1245" t="str">
        <f>IF(AL117="N/A","",AL117)</f>
        <v/>
      </c>
      <c r="F117" s="758"/>
      <c r="G117" s="758"/>
      <c r="H117" s="1614"/>
      <c r="I117" s="758"/>
      <c r="J117" s="1615"/>
      <c r="K117" s="1248" t="str">
        <f>IF(E117&lt;&gt;"","Enter Street Address                   ","")</f>
        <v/>
      </c>
      <c r="L117" s="1615"/>
      <c r="M117" s="1248" t="str">
        <f>IF(E117&lt;&gt;"","Enter City Name       ","")</f>
        <v/>
      </c>
      <c r="N117" s="1613"/>
      <c r="O117" s="1248" t="str">
        <f>IF(E117&lt;&gt;"","Select from Pull-Down List   ","")</f>
        <v/>
      </c>
      <c r="P117" s="1616"/>
      <c r="Q117" s="1248" t="str">
        <f>IF($E117&lt;&gt;"","Enter ZIP Code       ","")</f>
        <v/>
      </c>
      <c r="R117" s="1617"/>
      <c r="S117" s="1618" t="str">
        <f>IF($E117&lt;&gt;"","Select from Pull-Down List  ","")</f>
        <v/>
      </c>
      <c r="T117" s="1617"/>
      <c r="U117" s="1618" t="str">
        <f>IF(AND($C117&lt;&gt;"",T117=""),"Select from Pull-Down List  ","")</f>
        <v/>
      </c>
      <c r="V117" s="1619"/>
      <c r="W117" s="1248" t="str">
        <f>IF(E117&lt;&gt;"","Year?   ","")</f>
        <v/>
      </c>
      <c r="X117" s="1247"/>
      <c r="Y117" s="1620" t="str">
        <f>IF(E117&lt;&gt;"","Sq. Feet?   ","")</f>
        <v/>
      </c>
      <c r="Z117" s="1621"/>
      <c r="AA117" s="1618" t="str">
        <f>IF($E117&lt;&gt;"","% of Cap Resp.","")</f>
        <v/>
      </c>
      <c r="AB117" s="1782" t="str">
        <f ca="1">IFERROR(IF(BK117="", "", IF(BK117&gt;100, 1, VLOOKUP(BK117, Valid!$W$1:$AA$101, VLOOKUP(T117, Codes!$G$7:$I$17, 3, FALSE), FALSE))), "")</f>
        <v/>
      </c>
      <c r="AC117" s="1618"/>
      <c r="AD117" s="1247"/>
      <c r="AE117" s="1620" t="str">
        <f>IF($E117&lt;&gt;"","Drop-Down    ","")</f>
        <v/>
      </c>
      <c r="AF117" s="1720"/>
      <c r="AG117" s="1620" t="b">
        <f>IF(E117&lt;&gt;"","Date?   ")</f>
        <v>0</v>
      </c>
      <c r="AH117" s="1613"/>
      <c r="AI117" s="1248" t="str">
        <f>IF(OR(T117="Other (describe in Notes)",T117="Dual Administrative and Maintenance Facility"),"Describe Facility                                                                                         ","")</f>
        <v/>
      </c>
      <c r="AJ117" s="1624"/>
      <c r="AK117" s="1624" t="b">
        <f>IF(AND(C117="",C119&lt;&gt;""),TRUE,FALSE)</f>
        <v>0</v>
      </c>
      <c r="AL117" s="1624" t="str">
        <f>IF(AND($C117&lt;&gt;"",OR($J117="",$L117="",$N117="",$P117="",$R117="",$T117="",$V117="",$X117="",$Z117="",$AD117="",$AF117="")),"No",IF(AND($C117="",OR($H117&lt;&gt;"",$J117&lt;&gt;"",$L117&lt;&gt;"",$N117&lt;&gt;"",$P117&lt;&gt;"",$R117&lt;&gt;"",$T117&lt;&gt;"",$V117&lt;&gt;"",$X117&lt;&gt;"",$Z117&lt;&gt;"",$AD117&lt;&gt;"",$AF117&lt;&gt;"")),"N",IF(AND($H117="",$C117="",$J117="",$L117="",$N117="",$P117="",$R117="",$T117="",$V117="",$X117="",$Z117="",$AD117="",$AF117=""),"N/A",IF(AND($C117&lt;&gt;"",$J117&lt;&gt;"",$L117&lt;&gt;"",$N117&lt;&gt;"",$P117&lt;&gt;"",$R117&lt;&gt;"",$T117&lt;&gt;"",$V117&lt;&gt;"",$X117&lt;&gt;"",$Z117&lt;&gt;"",$AD117&lt;&gt;"",$AF117&lt;&gt;""),"Yes",""))))</f>
        <v>N/A</v>
      </c>
      <c r="AM117" s="1625" t="b">
        <f ca="1">IF(AND($C117="",OR($J117&lt;&gt;"",$L117&lt;&gt;"",$N117&lt;&gt;"",$P117&lt;&gt;"",$R117&lt;&gt;"",$T117&lt;&gt;"",$V117&lt;&gt;"",$X117&lt;&gt;"",$Z117&lt;&gt;"",$AB117&lt;&gt;"",$AF117&lt;&gt;"")),TRUE,FALSE)</f>
        <v>0</v>
      </c>
      <c r="AN117" s="1625" t="b">
        <f>IF(AND($C117&lt;&gt;"",$J117=""),TRUE,FALSE)</f>
        <v>0</v>
      </c>
      <c r="AO117" s="1625" t="b">
        <f>IF(AND($C117&lt;&gt;"",$L117=""),TRUE,FALSE)</f>
        <v>0</v>
      </c>
      <c r="AP117" s="1625" t="b">
        <f>IF(AND($C117&lt;&gt;"",$N117=""),TRUE,FALSE)</f>
        <v>0</v>
      </c>
      <c r="AQ117" s="1625" t="b">
        <f>IF(AND($C117&lt;&gt;"",$P117=""),TRUE,FALSE)</f>
        <v>0</v>
      </c>
      <c r="AR117" s="1625" t="b">
        <f>IF(AND($C117&lt;&gt;"",$R117=""),TRUE,FALSE)</f>
        <v>0</v>
      </c>
      <c r="AS117" s="1625"/>
      <c r="AT117" s="1625" t="b">
        <f ca="1">IF(AND(T117="",OR(V117&lt;&gt;"",X117&lt;&gt;"",Z117&lt;&gt;"",AB117&lt;&gt;"",AF117&lt;&gt;"")),TRUE,FALSE)</f>
        <v>0</v>
      </c>
      <c r="AU117" s="1625" t="b">
        <f>IF(AND($C117&lt;&gt;"",$T117=""),TRUE,FALSE)</f>
        <v>0</v>
      </c>
      <c r="AV117" s="1625" t="b">
        <f>IF(V117="",FALSE,IF(T117="",FALSE,IF(AW117=TRUE,FALSE,IF(OR(V117&lt;BI117,V117&gt;BaseYear),TRUE,FALSE))))</f>
        <v>0</v>
      </c>
      <c r="AW117" s="1625" t="b">
        <f>IF(AND($C117&lt;&gt;"",$V117=""),TRUE,FALSE)</f>
        <v>0</v>
      </c>
      <c r="AX117" s="1625" t="b">
        <f>IF(X117="",FALSE,IF(T117="",FALSE,IF(AZ117=TRUE,FALSE,IF(X117&lt;BL117,TRUE,FALSE))))</f>
        <v>0</v>
      </c>
      <c r="AY117" s="1625" t="b">
        <f>IF(X117="",FALSE,IF(T117="",FALSE,IF(AZ117=TRUE,FALSE,IF(X117&gt;BM117,TRUE,FALSE))))</f>
        <v>0</v>
      </c>
      <c r="AZ117" s="1625" t="b">
        <f>IF(AND($C117&lt;&gt;"",$X117=""),TRUE,FALSE)</f>
        <v>0</v>
      </c>
      <c r="BA117" s="1626" t="b">
        <f>IF(BB117=TRUE,FALSE,IF(OR(Z117&lt;0,Z117&gt;1),TRUE,FALSE))</f>
        <v>0</v>
      </c>
      <c r="BB117" s="1625" t="b">
        <f>IF(AND($C117&lt;&gt;"",$Z117=""),TRUE,FALSE)</f>
        <v>0</v>
      </c>
      <c r="BC117" s="1626"/>
      <c r="BD117" s="1625" t="b">
        <f ca="1">IF(AND($C117&lt;&gt;"",$AB117=""),TRUE,FALSE)</f>
        <v>0</v>
      </c>
      <c r="BE117" s="1626" t="b">
        <f>IF(OR(AF117="", V117=""),FALSE,IF(COUNT(FIND({0,1,2,3,4,5,6,7,8,9}, AF117))=0, FALSE, IF(YEAR(AF117)&lt;V117, TRUE, FALSE)))</f>
        <v>0</v>
      </c>
      <c r="BF117" s="1625" t="b">
        <f>IF(AND($C117&lt;&gt;"",$AF117=""),TRUE,FALSE)</f>
        <v>0</v>
      </c>
      <c r="BG117" s="721"/>
      <c r="BH117" s="1625" t="str">
        <f>IF($T117="","",VLOOKUP($T117,val_facilities,BH$3,FALSE))</f>
        <v/>
      </c>
      <c r="BI117" s="1627" t="str">
        <f>IF($T117="","",VLOOKUP($T117,val_facilities,BI$3,FALSE))</f>
        <v/>
      </c>
      <c r="BJ117" s="1627" t="str">
        <f>IF($T117="","",VLOOKUP($T117,val_facilities,BJ$3,FALSE))</f>
        <v/>
      </c>
      <c r="BK117" s="1627" t="str">
        <f ca="1">IFERROR(IF(V117="", "", YEAR(TODAY())-V117), "")</f>
        <v/>
      </c>
      <c r="BL117" s="845" t="str">
        <f>IF($T117="","",VLOOKUP($T117,val_facilities,BL$3,FALSE))</f>
        <v/>
      </c>
      <c r="BM117" s="845" t="str">
        <f>IF($T117="","",VLOOKUP($T117,val_facilities,BM$3,FALSE))</f>
        <v/>
      </c>
      <c r="BN117" s="758"/>
      <c r="BO117" s="721">
        <f t="shared" si="3"/>
        <v>0</v>
      </c>
      <c r="BP117" s="816"/>
      <c r="BQ117" s="816"/>
      <c r="BR117" s="816"/>
    </row>
    <row r="118" spans="1:70" s="686" customFormat="1" ht="6.75" customHeight="1" thickBot="1" x14ac:dyDescent="0.25">
      <c r="A118" s="1638"/>
      <c r="B118" s="1712">
        <v>53.5</v>
      </c>
      <c r="C118" s="1057"/>
      <c r="D118" s="1248"/>
      <c r="E118" s="1057"/>
      <c r="F118" s="1229"/>
      <c r="G118" s="1229"/>
      <c r="H118" s="1229"/>
      <c r="I118" s="1229"/>
      <c r="J118" s="1604"/>
      <c r="K118" s="1640"/>
      <c r="L118" s="1641"/>
      <c r="M118" s="1248"/>
      <c r="N118" s="1641"/>
      <c r="O118" s="1248"/>
      <c r="P118" s="1642"/>
      <c r="Q118" s="1248"/>
      <c r="R118" s="1057"/>
      <c r="S118" s="1618"/>
      <c r="T118" s="1643"/>
      <c r="U118" s="1618"/>
      <c r="V118" s="1623"/>
      <c r="W118" s="1618"/>
      <c r="X118" s="733"/>
      <c r="Y118" s="1275"/>
      <c r="Z118" s="685"/>
      <c r="AA118" s="1275"/>
      <c r="AB118" s="733"/>
      <c r="AC118" s="1275"/>
      <c r="AD118" s="733"/>
      <c r="AE118" s="1275"/>
      <c r="AF118" s="1721"/>
      <c r="AG118" s="1275"/>
      <c r="AH118" s="1057"/>
      <c r="AI118" s="1644"/>
      <c r="AJ118" s="1644"/>
      <c r="AK118" s="1644"/>
      <c r="AL118" s="1644"/>
      <c r="AM118" s="1625"/>
      <c r="AN118" s="1625"/>
      <c r="AO118" s="1625"/>
      <c r="AP118" s="1625"/>
      <c r="AQ118" s="1625"/>
      <c r="AR118" s="848"/>
      <c r="AS118" s="848"/>
      <c r="AT118" s="848"/>
      <c r="AU118" s="848"/>
      <c r="AV118" s="848"/>
      <c r="AW118" s="848"/>
      <c r="AX118" s="848"/>
      <c r="AY118" s="848"/>
      <c r="AZ118" s="848"/>
      <c r="BA118" s="848"/>
      <c r="BB118" s="848"/>
      <c r="BC118" s="848"/>
      <c r="BD118" s="848"/>
      <c r="BE118" s="848"/>
      <c r="BF118" s="848"/>
      <c r="BG118" s="685"/>
      <c r="BH118" s="848"/>
      <c r="BI118" s="848"/>
      <c r="BJ118" s="848"/>
      <c r="BK118" s="848"/>
      <c r="BL118" s="848"/>
      <c r="BM118" s="848"/>
      <c r="BN118" s="1229"/>
      <c r="BO118" s="721">
        <f t="shared" si="3"/>
        <v>0</v>
      </c>
    </row>
    <row r="119" spans="1:70" s="686" customFormat="1" x14ac:dyDescent="0.2">
      <c r="A119" s="840">
        <v>54</v>
      </c>
      <c r="B119" s="1712">
        <v>54</v>
      </c>
      <c r="C119" s="1613"/>
      <c r="D119" s="1248" t="str">
        <f>IF(AND(C119="",C117&lt;&gt;""),"Enter Facility "&amp;TEXT(A119,0)&amp;" Name, then Fill in Columns "&amp;TEXT($H$2,0)&amp;" - "&amp;TEXT($AH$2,0)&amp;"       ","")</f>
        <v/>
      </c>
      <c r="E119" s="1245" t="str">
        <f>IF(AL119="N/A","",AL119)</f>
        <v/>
      </c>
      <c r="F119" s="758"/>
      <c r="G119" s="758"/>
      <c r="H119" s="1614"/>
      <c r="I119" s="758"/>
      <c r="J119" s="1615"/>
      <c r="K119" s="1248" t="str">
        <f>IF(E119&lt;&gt;"","Enter Street Address                   ","")</f>
        <v/>
      </c>
      <c r="L119" s="1615"/>
      <c r="M119" s="1248" t="str">
        <f>IF(E119&lt;&gt;"","Enter City Name       ","")</f>
        <v/>
      </c>
      <c r="N119" s="1613"/>
      <c r="O119" s="1248" t="str">
        <f>IF(E119&lt;&gt;"","Select from Pull-Down List   ","")</f>
        <v/>
      </c>
      <c r="P119" s="1616"/>
      <c r="Q119" s="1248" t="str">
        <f>IF($E119&lt;&gt;"","Enter ZIP Code       ","")</f>
        <v/>
      </c>
      <c r="R119" s="1617"/>
      <c r="S119" s="1618" t="str">
        <f>IF($E119&lt;&gt;"","Select from Pull-Down List  ","")</f>
        <v/>
      </c>
      <c r="T119" s="1617"/>
      <c r="U119" s="1618" t="str">
        <f>IF(AND($C119&lt;&gt;"",T119=""),"Select from Pull-Down List  ","")</f>
        <v/>
      </c>
      <c r="V119" s="1619"/>
      <c r="W119" s="1248" t="str">
        <f>IF(E119&lt;&gt;"","Year?   ","")</f>
        <v/>
      </c>
      <c r="X119" s="1247"/>
      <c r="Y119" s="1620" t="str">
        <f>IF(E119&lt;&gt;"","Sq. Feet?   ","")</f>
        <v/>
      </c>
      <c r="Z119" s="1621"/>
      <c r="AA119" s="1618" t="str">
        <f>IF($E119&lt;&gt;"","% of Cap Resp.","")</f>
        <v/>
      </c>
      <c r="AB119" s="1782" t="str">
        <f ca="1">IFERROR(IF(BK119="", "", IF(BK119&gt;100, 1, VLOOKUP(BK119, Valid!$W$1:$AA$101, VLOOKUP(T119, Codes!$G$7:$I$17, 3, FALSE), FALSE))), "")</f>
        <v/>
      </c>
      <c r="AC119" s="1618"/>
      <c r="AD119" s="1247"/>
      <c r="AE119" s="1620" t="str">
        <f>IF($E119&lt;&gt;"","Drop-Down    ","")</f>
        <v/>
      </c>
      <c r="AF119" s="1720"/>
      <c r="AG119" s="1620" t="b">
        <f>IF(E119&lt;&gt;"","Date?   ")</f>
        <v>0</v>
      </c>
      <c r="AH119" s="1613"/>
      <c r="AI119" s="1248" t="str">
        <f>IF(OR(T119="Other (describe in Notes)",T119="Dual Administrative and Maintenance Facility"),"Describe Facility                                                                                         ","")</f>
        <v/>
      </c>
      <c r="AJ119" s="1624"/>
      <c r="AK119" s="1624" t="b">
        <f>IF(AND(C119="",C121&lt;&gt;""),TRUE,FALSE)</f>
        <v>0</v>
      </c>
      <c r="AL119" s="1624" t="str">
        <f>IF(AND($C119&lt;&gt;"",OR($J119="",$L119="",$N119="",$P119="",$R119="",$T119="",$V119="",$X119="",$Z119="",$AD119="",$AF119="")),"No",IF(AND($C119="",OR($H119&lt;&gt;"",$J119&lt;&gt;"",$L119&lt;&gt;"",$N119&lt;&gt;"",$P119&lt;&gt;"",$R119&lt;&gt;"",$T119&lt;&gt;"",$V119&lt;&gt;"",$X119&lt;&gt;"",$Z119&lt;&gt;"",$AD119&lt;&gt;"",$AF119&lt;&gt;"")),"N",IF(AND($H119="",$C119="",$J119="",$L119="",$N119="",$P119="",$R119="",$T119="",$V119="",$X119="",$Z119="",$AD119="",$AF119=""),"N/A",IF(AND($C119&lt;&gt;"",$J119&lt;&gt;"",$L119&lt;&gt;"",$N119&lt;&gt;"",$P119&lt;&gt;"",$R119&lt;&gt;"",$T119&lt;&gt;"",$V119&lt;&gt;"",$X119&lt;&gt;"",$Z119&lt;&gt;"",$AD119&lt;&gt;"",$AF119&lt;&gt;""),"Yes",""))))</f>
        <v>N/A</v>
      </c>
      <c r="AM119" s="1625" t="b">
        <f ca="1">IF(AND($C119="",OR($J119&lt;&gt;"",$L119&lt;&gt;"",$N119&lt;&gt;"",$P119&lt;&gt;"",$R119&lt;&gt;"",$T119&lt;&gt;"",$V119&lt;&gt;"",$X119&lt;&gt;"",$Z119&lt;&gt;"",$AB119&lt;&gt;"",$AF119&lt;&gt;"")),TRUE,FALSE)</f>
        <v>0</v>
      </c>
      <c r="AN119" s="1625" t="b">
        <f>IF(AND($C119&lt;&gt;"",$J119=""),TRUE,FALSE)</f>
        <v>0</v>
      </c>
      <c r="AO119" s="1625" t="b">
        <f>IF(AND($C119&lt;&gt;"",$L119=""),TRUE,FALSE)</f>
        <v>0</v>
      </c>
      <c r="AP119" s="1625" t="b">
        <f>IF(AND($C119&lt;&gt;"",$N119=""),TRUE,FALSE)</f>
        <v>0</v>
      </c>
      <c r="AQ119" s="1625" t="b">
        <f>IF(AND($C119&lt;&gt;"",$P119=""),TRUE,FALSE)</f>
        <v>0</v>
      </c>
      <c r="AR119" s="1625" t="b">
        <f>IF(AND($C119&lt;&gt;"",$R119=""),TRUE,FALSE)</f>
        <v>0</v>
      </c>
      <c r="AS119" s="1625"/>
      <c r="AT119" s="1625" t="b">
        <f ca="1">IF(AND(T119="",OR(V119&lt;&gt;"",X119&lt;&gt;"",Z119&lt;&gt;"",AB119&lt;&gt;"",AF119&lt;&gt;"")),TRUE,FALSE)</f>
        <v>0</v>
      </c>
      <c r="AU119" s="1625" t="b">
        <f>IF(AND($C119&lt;&gt;"",$T119=""),TRUE,FALSE)</f>
        <v>0</v>
      </c>
      <c r="AV119" s="1625" t="b">
        <f>IF(V119="",FALSE,IF(T119="",FALSE,IF(AW119=TRUE,FALSE,IF(OR(V119&lt;BI119,V119&gt;BaseYear),TRUE,FALSE))))</f>
        <v>0</v>
      </c>
      <c r="AW119" s="1625" t="b">
        <f>IF(AND($C119&lt;&gt;"",$V119=""),TRUE,FALSE)</f>
        <v>0</v>
      </c>
      <c r="AX119" s="1625" t="b">
        <f>IF(X119="",FALSE,IF(T119="",FALSE,IF(AZ119=TRUE,FALSE,IF(X119&lt;BL119,TRUE,FALSE))))</f>
        <v>0</v>
      </c>
      <c r="AY119" s="1625" t="b">
        <f>IF(X119="",FALSE,IF(T119="",FALSE,IF(AZ119=TRUE,FALSE,IF(X119&gt;BM119,TRUE,FALSE))))</f>
        <v>0</v>
      </c>
      <c r="AZ119" s="1625" t="b">
        <f>IF(AND($C119&lt;&gt;"",$X119=""),TRUE,FALSE)</f>
        <v>0</v>
      </c>
      <c r="BA119" s="1626" t="b">
        <f>IF(BB119=TRUE,FALSE,IF(OR(Z119&lt;0,Z119&gt;1),TRUE,FALSE))</f>
        <v>0</v>
      </c>
      <c r="BB119" s="1625" t="b">
        <f>IF(AND($C119&lt;&gt;"",$Z119=""),TRUE,FALSE)</f>
        <v>0</v>
      </c>
      <c r="BC119" s="1626"/>
      <c r="BD119" s="1625" t="b">
        <f ca="1">IF(AND($C119&lt;&gt;"",$AB119=""),TRUE,FALSE)</f>
        <v>0</v>
      </c>
      <c r="BE119" s="1626" t="b">
        <f>IF(OR(AF119="", V119=""),FALSE,IF(COUNT(FIND({0,1,2,3,4,5,6,7,8,9}, AF119))=0, FALSE, IF(YEAR(AF119)&lt;V119, TRUE, FALSE)))</f>
        <v>0</v>
      </c>
      <c r="BF119" s="1625" t="b">
        <f>IF(AND($C119&lt;&gt;"",$AF119=""),TRUE,FALSE)</f>
        <v>0</v>
      </c>
      <c r="BG119" s="721"/>
      <c r="BH119" s="1625" t="str">
        <f>IF($T119="","",VLOOKUP($T119,val_facilities,BH$3,FALSE))</f>
        <v/>
      </c>
      <c r="BI119" s="1627" t="str">
        <f>IF($T119="","",VLOOKUP($T119,val_facilities,BI$3,FALSE))</f>
        <v/>
      </c>
      <c r="BJ119" s="1627" t="str">
        <f>IF($T119="","",VLOOKUP($T119,val_facilities,BJ$3,FALSE))</f>
        <v/>
      </c>
      <c r="BK119" s="1627" t="str">
        <f ca="1">IFERROR(IF(V119="", "", YEAR(TODAY())-V119), "")</f>
        <v/>
      </c>
      <c r="BL119" s="845" t="str">
        <f>IF($T119="","",VLOOKUP($T119,val_facilities,BL$3,FALSE))</f>
        <v/>
      </c>
      <c r="BM119" s="845" t="str">
        <f>IF($T119="","",VLOOKUP($T119,val_facilities,BM$3,FALSE))</f>
        <v/>
      </c>
      <c r="BN119" s="758"/>
      <c r="BO119" s="721">
        <f t="shared" si="3"/>
        <v>0</v>
      </c>
      <c r="BP119" s="816"/>
      <c r="BQ119" s="816"/>
      <c r="BR119" s="816"/>
    </row>
    <row r="120" spans="1:70" s="686" customFormat="1" ht="6.75" customHeight="1" thickBot="1" x14ac:dyDescent="0.25">
      <c r="A120" s="1638"/>
      <c r="B120" s="1712">
        <v>54.5</v>
      </c>
      <c r="C120" s="1057"/>
      <c r="D120" s="764"/>
      <c r="E120" s="1639"/>
      <c r="F120" s="1229"/>
      <c r="G120" s="1229"/>
      <c r="H120" s="1229"/>
      <c r="I120" s="1229"/>
      <c r="J120" s="1604"/>
      <c r="K120" s="1640"/>
      <c r="L120" s="1645"/>
      <c r="M120" s="1646"/>
      <c r="N120" s="1645"/>
      <c r="O120" s="1646"/>
      <c r="P120" s="1647"/>
      <c r="Q120" s="1646"/>
      <c r="R120" s="1057"/>
      <c r="S120" s="1618"/>
      <c r="T120" s="1643"/>
      <c r="U120" s="1618"/>
      <c r="V120" s="1623"/>
      <c r="W120" s="1618"/>
      <c r="X120" s="722"/>
      <c r="Y120" s="1648"/>
      <c r="Z120" s="841"/>
      <c r="AA120" s="1648"/>
      <c r="AB120" s="722"/>
      <c r="AC120" s="1648"/>
      <c r="AD120" s="722"/>
      <c r="AE120" s="1648"/>
      <c r="AF120" s="1717"/>
      <c r="AG120" s="1648"/>
      <c r="AH120" s="1057"/>
      <c r="AI120" s="1644"/>
      <c r="AJ120" s="1644"/>
      <c r="AK120" s="1644"/>
      <c r="AL120" s="1644"/>
      <c r="AM120" s="1625"/>
      <c r="AN120" s="1625"/>
      <c r="AO120" s="1625"/>
      <c r="AP120" s="1625"/>
      <c r="AQ120" s="1625"/>
      <c r="AR120" s="848"/>
      <c r="AS120" s="848"/>
      <c r="AT120" s="848"/>
      <c r="AU120" s="848"/>
      <c r="AV120" s="848"/>
      <c r="AW120" s="848"/>
      <c r="AX120" s="848"/>
      <c r="AY120" s="848"/>
      <c r="AZ120" s="848"/>
      <c r="BA120" s="848"/>
      <c r="BB120" s="848"/>
      <c r="BC120" s="848"/>
      <c r="BD120" s="848"/>
      <c r="BE120" s="848"/>
      <c r="BF120" s="848"/>
      <c r="BG120" s="685"/>
      <c r="BH120" s="848"/>
      <c r="BI120" s="848"/>
      <c r="BJ120" s="848"/>
      <c r="BK120" s="848"/>
      <c r="BL120" s="848"/>
      <c r="BM120" s="848"/>
      <c r="BN120" s="1229"/>
      <c r="BO120" s="721">
        <f t="shared" si="3"/>
        <v>0</v>
      </c>
    </row>
    <row r="121" spans="1:70" s="816" customFormat="1" x14ac:dyDescent="0.2">
      <c r="A121" s="840">
        <v>55</v>
      </c>
      <c r="B121" s="1712">
        <v>55</v>
      </c>
      <c r="C121" s="1613"/>
      <c r="D121" s="1248" t="str">
        <f>IF(AND(C121="",C119&lt;&gt;""),"Enter Facility "&amp;TEXT(A121,0)&amp;" Name, then Fill in Columns "&amp;TEXT($H$2,0)&amp;" - "&amp;TEXT($AH$2,0)&amp;"       ","")</f>
        <v/>
      </c>
      <c r="E121" s="1245" t="str">
        <f>IF(AL121="N/A","",AL121)</f>
        <v/>
      </c>
      <c r="F121" s="758"/>
      <c r="G121" s="758"/>
      <c r="H121" s="1614"/>
      <c r="I121" s="758"/>
      <c r="J121" s="1615"/>
      <c r="K121" s="1248" t="str">
        <f>IF(E121&lt;&gt;"","Enter Street Address                   ","")</f>
        <v/>
      </c>
      <c r="L121" s="1615"/>
      <c r="M121" s="1248" t="str">
        <f>IF(E121&lt;&gt;"","Enter City Name       ","")</f>
        <v/>
      </c>
      <c r="N121" s="1613"/>
      <c r="O121" s="1248" t="str">
        <f>IF(E121&lt;&gt;"","Select from Pull-Down List   ","")</f>
        <v/>
      </c>
      <c r="P121" s="1616"/>
      <c r="Q121" s="1248" t="str">
        <f>IF($E121&lt;&gt;"","Enter ZIP Code       ","")</f>
        <v/>
      </c>
      <c r="R121" s="1617"/>
      <c r="S121" s="1618" t="str">
        <f>IF($E121&lt;&gt;"","Select from Pull-Down List  ","")</f>
        <v/>
      </c>
      <c r="T121" s="1617"/>
      <c r="U121" s="1618" t="str">
        <f>IF(AND($C121&lt;&gt;"",T121=""),"Select from Pull-Down List  ","")</f>
        <v/>
      </c>
      <c r="V121" s="1619"/>
      <c r="W121" s="1248" t="str">
        <f>IF(E121&lt;&gt;"","Year?   ","")</f>
        <v/>
      </c>
      <c r="X121" s="1247"/>
      <c r="Y121" s="1620" t="str">
        <f>IF(E121&lt;&gt;"","Sq. Feet?   ","")</f>
        <v/>
      </c>
      <c r="Z121" s="1621"/>
      <c r="AA121" s="1618" t="str">
        <f>IF($E121&lt;&gt;"","% of Cap Resp.","")</f>
        <v/>
      </c>
      <c r="AB121" s="1782" t="str">
        <f ca="1">IFERROR(IF(BK121="", "", IF(BK121&gt;100, 1, VLOOKUP(BK121, Valid!$W$1:$AA$101, VLOOKUP(T121, Codes!$G$7:$I$17, 3, FALSE), FALSE))), "")</f>
        <v/>
      </c>
      <c r="AC121" s="1618"/>
      <c r="AD121" s="1247"/>
      <c r="AE121" s="1620" t="str">
        <f>IF($E121&lt;&gt;"","Drop-Down    ","")</f>
        <v/>
      </c>
      <c r="AF121" s="1720"/>
      <c r="AG121" s="1620" t="b">
        <f>IF(E121&lt;&gt;"","Date?   ")</f>
        <v>0</v>
      </c>
      <c r="AH121" s="1613"/>
      <c r="AI121" s="1248" t="str">
        <f>IF(OR(T121="Other (describe in Notes)",T121="Dual Administrative and Maintenance Facility"),"Describe Facility                                                                                         ","")</f>
        <v/>
      </c>
      <c r="AJ121" s="1624"/>
      <c r="AK121" s="1624" t="b">
        <f>IF(AND(C121="",C123&lt;&gt;""),TRUE,FALSE)</f>
        <v>0</v>
      </c>
      <c r="AL121" s="1624" t="str">
        <f>IF(AND($C121&lt;&gt;"",OR($J121="",$L121="",$N121="",$P121="",$R121="",$T121="",$V121="",$X121="",$Z121="",$AD121="",$AF121="")),"No",IF(AND($C121="",OR($H121&lt;&gt;"",$J121&lt;&gt;"",$L121&lt;&gt;"",$N121&lt;&gt;"",$P121&lt;&gt;"",$R121&lt;&gt;"",$T121&lt;&gt;"",$V121&lt;&gt;"",$X121&lt;&gt;"",$Z121&lt;&gt;"",$AD121&lt;&gt;"",$AF121&lt;&gt;"")),"N",IF(AND($H121="",$C121="",$J121="",$L121="",$N121="",$P121="",$R121="",$T121="",$V121="",$X121="",$Z121="",$AD121="",$AF121=""),"N/A",IF(AND($C121&lt;&gt;"",$J121&lt;&gt;"",$L121&lt;&gt;"",$N121&lt;&gt;"",$P121&lt;&gt;"",$R121&lt;&gt;"",$T121&lt;&gt;"",$V121&lt;&gt;"",$X121&lt;&gt;"",$Z121&lt;&gt;"",$AD121&lt;&gt;"",$AF121&lt;&gt;""),"Yes",""))))</f>
        <v>N/A</v>
      </c>
      <c r="AM121" s="1625" t="b">
        <f ca="1">IF(AND($C121="",OR($J121&lt;&gt;"",$L121&lt;&gt;"",$N121&lt;&gt;"",$P121&lt;&gt;"",$R121&lt;&gt;"",$T121&lt;&gt;"",$V121&lt;&gt;"",$X121&lt;&gt;"",$Z121&lt;&gt;"",$AB121&lt;&gt;"",$AF121&lt;&gt;"")),TRUE,FALSE)</f>
        <v>0</v>
      </c>
      <c r="AN121" s="1625" t="b">
        <f>IF(AND($C121&lt;&gt;"",$J121=""),TRUE,FALSE)</f>
        <v>0</v>
      </c>
      <c r="AO121" s="1625" t="b">
        <f>IF(AND($C121&lt;&gt;"",$L121=""),TRUE,FALSE)</f>
        <v>0</v>
      </c>
      <c r="AP121" s="1625" t="b">
        <f>IF(AND($C121&lt;&gt;"",$N121=""),TRUE,FALSE)</f>
        <v>0</v>
      </c>
      <c r="AQ121" s="1625" t="b">
        <f>IF(AND($C121&lt;&gt;"",$P121=""),TRUE,FALSE)</f>
        <v>0</v>
      </c>
      <c r="AR121" s="1625" t="b">
        <f>IF(AND($C121&lt;&gt;"",$R121=""),TRUE,FALSE)</f>
        <v>0</v>
      </c>
      <c r="AS121" s="1625"/>
      <c r="AT121" s="1625" t="b">
        <f ca="1">IF(AND(T121="",OR(V121&lt;&gt;"",X121&lt;&gt;"",Z121&lt;&gt;"",AB121&lt;&gt;"",AF121&lt;&gt;"")),TRUE,FALSE)</f>
        <v>0</v>
      </c>
      <c r="AU121" s="1625" t="b">
        <f>IF(AND($C121&lt;&gt;"",$T121=""),TRUE,FALSE)</f>
        <v>0</v>
      </c>
      <c r="AV121" s="1625" t="b">
        <f>IF(V121="",FALSE,IF(T121="",FALSE,IF(AW121=TRUE,FALSE,IF(OR(V121&lt;BI121,V121&gt;BaseYear),TRUE,FALSE))))</f>
        <v>0</v>
      </c>
      <c r="AW121" s="1625" t="b">
        <f>IF(AND($C121&lt;&gt;"",$V121=""),TRUE,FALSE)</f>
        <v>0</v>
      </c>
      <c r="AX121" s="1625" t="b">
        <f>IF(X121="",FALSE,IF(T121="",FALSE,IF(AZ121=TRUE,FALSE,IF(X121&lt;BL121,TRUE,FALSE))))</f>
        <v>0</v>
      </c>
      <c r="AY121" s="1625" t="b">
        <f>IF(X121="",FALSE,IF(T121="",FALSE,IF(AZ121=TRUE,FALSE,IF(X121&gt;BM121,TRUE,FALSE))))</f>
        <v>0</v>
      </c>
      <c r="AZ121" s="1625" t="b">
        <f>IF(AND($C121&lt;&gt;"",$X121=""),TRUE,FALSE)</f>
        <v>0</v>
      </c>
      <c r="BA121" s="1626" t="b">
        <f>IF(BB121=TRUE,FALSE,IF(OR(Z121&lt;0,Z121&gt;1),TRUE,FALSE))</f>
        <v>0</v>
      </c>
      <c r="BB121" s="1625" t="b">
        <f>IF(AND($C121&lt;&gt;"",$Z121=""),TRUE,FALSE)</f>
        <v>0</v>
      </c>
      <c r="BC121" s="1626"/>
      <c r="BD121" s="1625" t="b">
        <f ca="1">IF(AND($C121&lt;&gt;"",$AB121=""),TRUE,FALSE)</f>
        <v>0</v>
      </c>
      <c r="BE121" s="1626" t="b">
        <f>IF(OR(AF121="", V121=""),FALSE,IF(COUNT(FIND({0,1,2,3,4,5,6,7,8,9}, AF121))=0, FALSE, IF(YEAR(AF121)&lt;V121, TRUE, FALSE)))</f>
        <v>0</v>
      </c>
      <c r="BF121" s="1625" t="b">
        <f>IF(AND($C121&lt;&gt;"",$AF121=""),TRUE,FALSE)</f>
        <v>0</v>
      </c>
      <c r="BG121" s="721"/>
      <c r="BH121" s="1625" t="str">
        <f>IF($T121="","",VLOOKUP($T121,val_facilities,BH$3,FALSE))</f>
        <v/>
      </c>
      <c r="BI121" s="1627" t="str">
        <f>IF($T121="","",VLOOKUP($T121,val_facilities,BI$3,FALSE))</f>
        <v/>
      </c>
      <c r="BJ121" s="1627" t="str">
        <f>IF($T121="","",VLOOKUP($T121,val_facilities,BJ$3,FALSE))</f>
        <v/>
      </c>
      <c r="BK121" s="1627" t="str">
        <f ca="1">IFERROR(IF(V121="", "", YEAR(TODAY())-V121), "")</f>
        <v/>
      </c>
      <c r="BL121" s="845" t="str">
        <f>IF($T121="","",VLOOKUP($T121,val_facilities,BL$3,FALSE))</f>
        <v/>
      </c>
      <c r="BM121" s="845" t="str">
        <f>IF($T121="","",VLOOKUP($T121,val_facilities,BM$3,FALSE))</f>
        <v/>
      </c>
      <c r="BN121" s="758"/>
      <c r="BO121" s="721">
        <f t="shared" si="3"/>
        <v>0</v>
      </c>
    </row>
    <row r="122" spans="1:70" s="816" customFormat="1" ht="6.75" customHeight="1" thickBot="1" x14ac:dyDescent="0.25">
      <c r="A122" s="840"/>
      <c r="B122" s="1712">
        <v>55.5</v>
      </c>
      <c r="C122" s="1057"/>
      <c r="D122" s="1248"/>
      <c r="E122" s="1057"/>
      <c r="F122" s="1229"/>
      <c r="G122" s="1229"/>
      <c r="H122" s="1229"/>
      <c r="I122" s="1229"/>
      <c r="J122" s="1604"/>
      <c r="K122" s="1229"/>
      <c r="L122" s="1605"/>
      <c r="M122" s="1644"/>
      <c r="N122" s="1605"/>
      <c r="O122" s="1644"/>
      <c r="P122" s="1606"/>
      <c r="Q122" s="1644"/>
      <c r="R122" s="1057"/>
      <c r="S122" s="1623"/>
      <c r="T122" s="1643"/>
      <c r="U122" s="1623"/>
      <c r="V122" s="1623"/>
      <c r="W122" s="1623"/>
      <c r="X122" s="722"/>
      <c r="Y122" s="841"/>
      <c r="Z122" s="841"/>
      <c r="AA122" s="841"/>
      <c r="AB122" s="722"/>
      <c r="AC122" s="841"/>
      <c r="AD122" s="722"/>
      <c r="AE122" s="841"/>
      <c r="AF122" s="1717"/>
      <c r="AG122" s="841"/>
      <c r="AH122" s="1057"/>
      <c r="AI122" s="1644"/>
      <c r="AJ122" s="1644"/>
      <c r="AK122" s="1644"/>
      <c r="AL122" s="1644"/>
      <c r="AM122" s="1625"/>
      <c r="AN122" s="1625"/>
      <c r="AO122" s="1625"/>
      <c r="AP122" s="1625"/>
      <c r="AQ122" s="1625"/>
      <c r="AR122" s="848"/>
      <c r="AS122" s="848"/>
      <c r="AT122" s="848"/>
      <c r="AU122" s="848"/>
      <c r="AV122" s="848"/>
      <c r="AW122" s="848"/>
      <c r="AX122" s="848"/>
      <c r="AY122" s="848"/>
      <c r="AZ122" s="848"/>
      <c r="BA122" s="848"/>
      <c r="BB122" s="848"/>
      <c r="BC122" s="848"/>
      <c r="BD122" s="848"/>
      <c r="BE122" s="848"/>
      <c r="BF122" s="848"/>
      <c r="BG122" s="685"/>
      <c r="BH122" s="848"/>
      <c r="BI122" s="848"/>
      <c r="BJ122" s="848"/>
      <c r="BK122" s="848"/>
      <c r="BL122" s="848"/>
      <c r="BM122" s="848"/>
      <c r="BN122" s="1229"/>
      <c r="BO122" s="721">
        <f t="shared" si="3"/>
        <v>0</v>
      </c>
      <c r="BP122" s="686"/>
      <c r="BQ122" s="686"/>
      <c r="BR122" s="686"/>
    </row>
    <row r="123" spans="1:70" s="816" customFormat="1" x14ac:dyDescent="0.2">
      <c r="A123" s="840">
        <v>56</v>
      </c>
      <c r="B123" s="1712">
        <v>56</v>
      </c>
      <c r="C123" s="1613"/>
      <c r="D123" s="1248" t="str">
        <f>IF(AND(C123="",C121&lt;&gt;""),"Enter Facility "&amp;TEXT(A123,0)&amp;" Name, then Fill in Columns "&amp;TEXT($H$2,0)&amp;" - "&amp;TEXT($AH$2,0)&amp;"       ","")</f>
        <v/>
      </c>
      <c r="E123" s="1245" t="str">
        <f>IF(AL123="N/A","",AL123)</f>
        <v/>
      </c>
      <c r="F123" s="758"/>
      <c r="G123" s="758"/>
      <c r="H123" s="1614"/>
      <c r="I123" s="758"/>
      <c r="J123" s="1615"/>
      <c r="K123" s="1248" t="str">
        <f>IF(E123&lt;&gt;"","Enter Street Address                   ","")</f>
        <v/>
      </c>
      <c r="L123" s="1615"/>
      <c r="M123" s="1248" t="str">
        <f>IF(E123&lt;&gt;"","Enter City Name       ","")</f>
        <v/>
      </c>
      <c r="N123" s="1613"/>
      <c r="O123" s="1248" t="str">
        <f>IF(E123&lt;&gt;"","Select from Pull-Down List   ","")</f>
        <v/>
      </c>
      <c r="P123" s="1616"/>
      <c r="Q123" s="1248" t="str">
        <f>IF($E123&lt;&gt;"","Enter ZIP Code       ","")</f>
        <v/>
      </c>
      <c r="R123" s="1617"/>
      <c r="S123" s="1618" t="str">
        <f>IF($E123&lt;&gt;"","Select from Pull-Down List  ","")</f>
        <v/>
      </c>
      <c r="T123" s="1617"/>
      <c r="U123" s="1618" t="str">
        <f>IF(AND($C123&lt;&gt;"",T123=""),"Select from Pull-Down List  ","")</f>
        <v/>
      </c>
      <c r="V123" s="1619"/>
      <c r="W123" s="1248" t="str">
        <f>IF(E123&lt;&gt;"","Year?   ","")</f>
        <v/>
      </c>
      <c r="X123" s="1247"/>
      <c r="Y123" s="1620" t="str">
        <f>IF(E123&lt;&gt;"","Sq. Feet?   ","")</f>
        <v/>
      </c>
      <c r="Z123" s="1621"/>
      <c r="AA123" s="1618" t="str">
        <f>IF($E123&lt;&gt;"","% of Cap Resp.","")</f>
        <v/>
      </c>
      <c r="AB123" s="1782" t="str">
        <f ca="1">IFERROR(IF(BK123="", "", IF(BK123&gt;100, 1, VLOOKUP(BK123, Valid!$W$1:$AA$101, VLOOKUP(T123, Codes!$G$7:$I$17, 3, FALSE), FALSE))), "")</f>
        <v/>
      </c>
      <c r="AC123" s="1618"/>
      <c r="AD123" s="1247"/>
      <c r="AE123" s="1620" t="str">
        <f>IF($E123&lt;&gt;"","Drop-Down    ","")</f>
        <v/>
      </c>
      <c r="AF123" s="1720"/>
      <c r="AG123" s="1620" t="b">
        <f>IF(E123&lt;&gt;"","Date?   ")</f>
        <v>0</v>
      </c>
      <c r="AH123" s="1613"/>
      <c r="AI123" s="1248" t="str">
        <f>IF(OR(T123="Other (describe in Notes)",T123="Dual Administrative and Maintenance Facility"),"Describe Facility                                                                                         ","")</f>
        <v/>
      </c>
      <c r="AJ123" s="1624"/>
      <c r="AK123" s="1624" t="b">
        <f>IF(AND(C123="",C125&lt;&gt;""),TRUE,FALSE)</f>
        <v>0</v>
      </c>
      <c r="AL123" s="1624" t="str">
        <f>IF(AND($C123&lt;&gt;"",OR($J123="",$L123="",$N123="",$P123="",$R123="",$T123="",$V123="",$X123="",$Z123="",$AD123="",$AF123="")),"No",IF(AND($C123="",OR($H123&lt;&gt;"",$J123&lt;&gt;"",$L123&lt;&gt;"",$N123&lt;&gt;"",$P123&lt;&gt;"",$R123&lt;&gt;"",$T123&lt;&gt;"",$V123&lt;&gt;"",$X123&lt;&gt;"",$Z123&lt;&gt;"",$AD123&lt;&gt;"",$AF123&lt;&gt;"")),"N",IF(AND($H123="",$C123="",$J123="",$L123="",$N123="",$P123="",$R123="",$T123="",$V123="",$X123="",$Z123="",$AD123="",$AF123=""),"N/A",IF(AND($C123&lt;&gt;"",$J123&lt;&gt;"",$L123&lt;&gt;"",$N123&lt;&gt;"",$P123&lt;&gt;"",$R123&lt;&gt;"",$T123&lt;&gt;"",$V123&lt;&gt;"",$X123&lt;&gt;"",$Z123&lt;&gt;"",$AD123&lt;&gt;"",$AF123&lt;&gt;""),"Yes",""))))</f>
        <v>N/A</v>
      </c>
      <c r="AM123" s="1625" t="b">
        <f ca="1">IF(AND($C123="",OR($J123&lt;&gt;"",$L123&lt;&gt;"",$N123&lt;&gt;"",$P123&lt;&gt;"",$R123&lt;&gt;"",$T123&lt;&gt;"",$V123&lt;&gt;"",$X123&lt;&gt;"",$Z123&lt;&gt;"",$AB123&lt;&gt;"",$AF123&lt;&gt;"")),TRUE,FALSE)</f>
        <v>0</v>
      </c>
      <c r="AN123" s="1625" t="b">
        <f>IF(AND($C123&lt;&gt;"",$J123=""),TRUE,FALSE)</f>
        <v>0</v>
      </c>
      <c r="AO123" s="1625" t="b">
        <f>IF(AND($C123&lt;&gt;"",$L123=""),TRUE,FALSE)</f>
        <v>0</v>
      </c>
      <c r="AP123" s="1625" t="b">
        <f>IF(AND($C123&lt;&gt;"",$N123=""),TRUE,FALSE)</f>
        <v>0</v>
      </c>
      <c r="AQ123" s="1625" t="b">
        <f>IF(AND($C123&lt;&gt;"",$P123=""),TRUE,FALSE)</f>
        <v>0</v>
      </c>
      <c r="AR123" s="1625" t="b">
        <f>IF(AND($C123&lt;&gt;"",$R123=""),TRUE,FALSE)</f>
        <v>0</v>
      </c>
      <c r="AS123" s="1625"/>
      <c r="AT123" s="1625" t="b">
        <f ca="1">IF(AND(T123="",OR(V123&lt;&gt;"",X123&lt;&gt;"",Z123&lt;&gt;"",AB123&lt;&gt;"",AF123&lt;&gt;"")),TRUE,FALSE)</f>
        <v>0</v>
      </c>
      <c r="AU123" s="1625" t="b">
        <f>IF(AND($C123&lt;&gt;"",$T123=""),TRUE,FALSE)</f>
        <v>0</v>
      </c>
      <c r="AV123" s="1625" t="b">
        <f>IF(V123="",FALSE,IF(T123="",FALSE,IF(AW123=TRUE,FALSE,IF(OR(V123&lt;BI123,V123&gt;BaseYear),TRUE,FALSE))))</f>
        <v>0</v>
      </c>
      <c r="AW123" s="1625" t="b">
        <f>IF(AND($C123&lt;&gt;"",$V123=""),TRUE,FALSE)</f>
        <v>0</v>
      </c>
      <c r="AX123" s="1625" t="b">
        <f>IF(X123="",FALSE,IF(T123="",FALSE,IF(AZ123=TRUE,FALSE,IF(X123&lt;BL123,TRUE,FALSE))))</f>
        <v>0</v>
      </c>
      <c r="AY123" s="1625" t="b">
        <f>IF(X123="",FALSE,IF(T123="",FALSE,IF(AZ123=TRUE,FALSE,IF(X123&gt;BM123,TRUE,FALSE))))</f>
        <v>0</v>
      </c>
      <c r="AZ123" s="1625" t="b">
        <f>IF(AND($C123&lt;&gt;"",$X123=""),TRUE,FALSE)</f>
        <v>0</v>
      </c>
      <c r="BA123" s="1626" t="b">
        <f>IF(BB123=TRUE,FALSE,IF(OR(Z123&lt;0,Z123&gt;1),TRUE,FALSE))</f>
        <v>0</v>
      </c>
      <c r="BB123" s="1625" t="b">
        <f>IF(AND($C123&lt;&gt;"",$Z123=""),TRUE,FALSE)</f>
        <v>0</v>
      </c>
      <c r="BC123" s="1626"/>
      <c r="BD123" s="1625" t="b">
        <f ca="1">IF(AND($C123&lt;&gt;"",$AB123=""),TRUE,FALSE)</f>
        <v>0</v>
      </c>
      <c r="BE123" s="1626" t="b">
        <f>IF(OR(AF123="", V123=""),FALSE,IF(COUNT(FIND({0,1,2,3,4,5,6,7,8,9}, AF123))=0, FALSE, IF(YEAR(AF123)&lt;V123, TRUE, FALSE)))</f>
        <v>0</v>
      </c>
      <c r="BF123" s="1625" t="b">
        <f>IF(AND($C123&lt;&gt;"",$AF123=""),TRUE,FALSE)</f>
        <v>0</v>
      </c>
      <c r="BG123" s="721"/>
      <c r="BH123" s="1625" t="str">
        <f>IF($T123="","",VLOOKUP($T123,val_facilities,BH$3,FALSE))</f>
        <v/>
      </c>
      <c r="BI123" s="1627" t="str">
        <f>IF($T123="","",VLOOKUP($T123,val_facilities,BI$3,FALSE))</f>
        <v/>
      </c>
      <c r="BJ123" s="1627" t="str">
        <f>IF($T123="","",VLOOKUP($T123,val_facilities,BJ$3,FALSE))</f>
        <v/>
      </c>
      <c r="BK123" s="1627" t="str">
        <f ca="1">IFERROR(IF(V123="", "", YEAR(TODAY())-V123), "")</f>
        <v/>
      </c>
      <c r="BL123" s="845" t="str">
        <f>IF($T123="","",VLOOKUP($T123,val_facilities,BL$3,FALSE))</f>
        <v/>
      </c>
      <c r="BM123" s="845" t="str">
        <f>IF($T123="","",VLOOKUP($T123,val_facilities,BM$3,FALSE))</f>
        <v/>
      </c>
      <c r="BN123" s="758"/>
      <c r="BO123" s="721">
        <f t="shared" si="3"/>
        <v>0</v>
      </c>
    </row>
    <row r="124" spans="1:70" s="686" customFormat="1" ht="6.75" customHeight="1" thickBot="1" x14ac:dyDescent="0.25">
      <c r="A124" s="1638"/>
      <c r="B124" s="1712">
        <v>56.5</v>
      </c>
      <c r="C124" s="721"/>
      <c r="D124" s="1248"/>
      <c r="E124" s="816"/>
      <c r="F124" s="758"/>
      <c r="G124" s="758"/>
      <c r="H124" s="758"/>
      <c r="I124" s="758"/>
      <c r="J124" s="1633"/>
      <c r="K124" s="1248"/>
      <c r="L124" s="1634"/>
      <c r="M124" s="1248"/>
      <c r="N124" s="1634"/>
      <c r="O124" s="1248"/>
      <c r="P124" s="1635"/>
      <c r="Q124" s="1248"/>
      <c r="R124" s="1059"/>
      <c r="S124" s="1618"/>
      <c r="T124" s="1636"/>
      <c r="U124" s="1618"/>
      <c r="V124" s="1623"/>
      <c r="W124" s="1618"/>
      <c r="X124" s="722"/>
      <c r="Y124" s="723"/>
      <c r="Z124" s="724"/>
      <c r="AA124" s="723"/>
      <c r="AB124" s="722"/>
      <c r="AC124" s="723"/>
      <c r="AD124" s="722"/>
      <c r="AE124" s="723"/>
      <c r="AF124" s="1717"/>
      <c r="AG124" s="723"/>
      <c r="AH124" s="1637"/>
      <c r="AI124" s="1624"/>
      <c r="AJ124" s="1624"/>
      <c r="AK124" s="1624"/>
      <c r="AL124" s="1624"/>
      <c r="AM124" s="1625"/>
      <c r="AN124" s="1625"/>
      <c r="AO124" s="1625"/>
      <c r="AP124" s="1625"/>
      <c r="AQ124" s="1625"/>
      <c r="AR124" s="1625"/>
      <c r="AS124" s="1625"/>
      <c r="AT124" s="1625"/>
      <c r="AU124" s="1625"/>
      <c r="AV124" s="1626"/>
      <c r="AW124" s="1626"/>
      <c r="AX124" s="1626"/>
      <c r="AY124" s="1626"/>
      <c r="AZ124" s="1626"/>
      <c r="BA124" s="1626"/>
      <c r="BB124" s="1626"/>
      <c r="BC124" s="1626"/>
      <c r="BD124" s="1626"/>
      <c r="BE124" s="1626"/>
      <c r="BF124" s="1626"/>
      <c r="BG124" s="721"/>
      <c r="BH124" s="1626"/>
      <c r="BI124" s="1626"/>
      <c r="BJ124" s="1626"/>
      <c r="BK124" s="1626"/>
      <c r="BL124" s="1626"/>
      <c r="BM124" s="1626"/>
      <c r="BN124" s="758"/>
      <c r="BO124" s="721">
        <f t="shared" si="3"/>
        <v>0</v>
      </c>
      <c r="BP124" s="816"/>
      <c r="BQ124" s="816"/>
      <c r="BR124" s="816"/>
    </row>
    <row r="125" spans="1:70" s="686" customFormat="1" x14ac:dyDescent="0.2">
      <c r="A125" s="840">
        <v>57</v>
      </c>
      <c r="B125" s="1712">
        <v>57</v>
      </c>
      <c r="C125" s="1613"/>
      <c r="D125" s="1248" t="str">
        <f>IF(AND(C125="",C123&lt;&gt;""),"Enter Facility "&amp;TEXT(A125,0)&amp;" Name, then Fill in Columns "&amp;TEXT($H$2,0)&amp;" - "&amp;TEXT($AH$2,0)&amp;"       ","")</f>
        <v/>
      </c>
      <c r="E125" s="1245" t="str">
        <f>IF(AL125="N/A","",AL125)</f>
        <v/>
      </c>
      <c r="F125" s="758"/>
      <c r="G125" s="758"/>
      <c r="H125" s="1614"/>
      <c r="I125" s="758"/>
      <c r="J125" s="1615"/>
      <c r="K125" s="1248" t="str">
        <f>IF(E125&lt;&gt;"","Enter Street Address                   ","")</f>
        <v/>
      </c>
      <c r="L125" s="1615"/>
      <c r="M125" s="1248" t="str">
        <f>IF(E125&lt;&gt;"","Enter City Name       ","")</f>
        <v/>
      </c>
      <c r="N125" s="1613"/>
      <c r="O125" s="1248" t="str">
        <f>IF(E125&lt;&gt;"","Select from Pull-Down List   ","")</f>
        <v/>
      </c>
      <c r="P125" s="1616"/>
      <c r="Q125" s="1248" t="str">
        <f>IF($E125&lt;&gt;"","Enter ZIP Code       ","")</f>
        <v/>
      </c>
      <c r="R125" s="1617"/>
      <c r="S125" s="1618" t="str">
        <f>IF($E125&lt;&gt;"","Select from Pull-Down List  ","")</f>
        <v/>
      </c>
      <c r="T125" s="1617"/>
      <c r="U125" s="1618" t="str">
        <f>IF(AND($C125&lt;&gt;"",T125=""),"Select from Pull-Down List  ","")</f>
        <v/>
      </c>
      <c r="V125" s="1619"/>
      <c r="W125" s="1248" t="str">
        <f>IF(E125&lt;&gt;"","Year?   ","")</f>
        <v/>
      </c>
      <c r="X125" s="1247"/>
      <c r="Y125" s="1620" t="str">
        <f>IF(E125&lt;&gt;"","Sq. Feet?   ","")</f>
        <v/>
      </c>
      <c r="Z125" s="1621"/>
      <c r="AA125" s="1618" t="str">
        <f>IF($E125&lt;&gt;"","% of Cap Resp.","")</f>
        <v/>
      </c>
      <c r="AB125" s="1782" t="str">
        <f ca="1">IFERROR(IF(BK125="", "", IF(BK125&gt;100, 1, VLOOKUP(BK125, Valid!$W$1:$AA$101, VLOOKUP(T125, Codes!$G$7:$I$17, 3, FALSE), FALSE))), "")</f>
        <v/>
      </c>
      <c r="AC125" s="1618"/>
      <c r="AD125" s="1247"/>
      <c r="AE125" s="1620" t="str">
        <f>IF($E125&lt;&gt;"","Drop-Down    ","")</f>
        <v/>
      </c>
      <c r="AF125" s="1720"/>
      <c r="AG125" s="1620" t="b">
        <f>IF(E125&lt;&gt;"","Date?   ")</f>
        <v>0</v>
      </c>
      <c r="AH125" s="1613"/>
      <c r="AI125" s="1248" t="str">
        <f>IF(OR(T125="Other (describe in Notes)",T125="Dual Administrative and Maintenance Facility"),"Describe Facility                                                                                         ","")</f>
        <v/>
      </c>
      <c r="AJ125" s="1624"/>
      <c r="AK125" s="1624" t="b">
        <f>IF(AND(C125="",C127&lt;&gt;""),TRUE,FALSE)</f>
        <v>0</v>
      </c>
      <c r="AL125" s="1624" t="str">
        <f>IF(AND($C125&lt;&gt;"",OR($J125="",$L125="",$N125="",$P125="",$R125="",$T125="",$V125="",$X125="",$Z125="",$AD125="",$AF125="")),"No",IF(AND($C125="",OR($H125&lt;&gt;"",$J125&lt;&gt;"",$L125&lt;&gt;"",$N125&lt;&gt;"",$P125&lt;&gt;"",$R125&lt;&gt;"",$T125&lt;&gt;"",$V125&lt;&gt;"",$X125&lt;&gt;"",$Z125&lt;&gt;"",$AD125&lt;&gt;"",$AF125&lt;&gt;"")),"N",IF(AND($H125="",$C125="",$J125="",$L125="",$N125="",$P125="",$R125="",$T125="",$V125="",$X125="",$Z125="",$AD125="",$AF125=""),"N/A",IF(AND($C125&lt;&gt;"",$J125&lt;&gt;"",$L125&lt;&gt;"",$N125&lt;&gt;"",$P125&lt;&gt;"",$R125&lt;&gt;"",$T125&lt;&gt;"",$V125&lt;&gt;"",$X125&lt;&gt;"",$Z125&lt;&gt;"",$AD125&lt;&gt;"",$AF125&lt;&gt;""),"Yes",""))))</f>
        <v>N/A</v>
      </c>
      <c r="AM125" s="1625" t="b">
        <f ca="1">IF(AND($C125="",OR($J125&lt;&gt;"",$L125&lt;&gt;"",$N125&lt;&gt;"",$P125&lt;&gt;"",$R125&lt;&gt;"",$T125&lt;&gt;"",$V125&lt;&gt;"",$X125&lt;&gt;"",$Z125&lt;&gt;"",$AB125&lt;&gt;"",$AF125&lt;&gt;"")),TRUE,FALSE)</f>
        <v>0</v>
      </c>
      <c r="AN125" s="1625" t="b">
        <f>IF(AND($C125&lt;&gt;"",$J125=""),TRUE,FALSE)</f>
        <v>0</v>
      </c>
      <c r="AO125" s="1625" t="b">
        <f>IF(AND($C125&lt;&gt;"",$L125=""),TRUE,FALSE)</f>
        <v>0</v>
      </c>
      <c r="AP125" s="1625" t="b">
        <f>IF(AND($C125&lt;&gt;"",$N125=""),TRUE,FALSE)</f>
        <v>0</v>
      </c>
      <c r="AQ125" s="1625" t="b">
        <f>IF(AND($C125&lt;&gt;"",$P125=""),TRUE,FALSE)</f>
        <v>0</v>
      </c>
      <c r="AR125" s="1625" t="b">
        <f>IF(AND($C125&lt;&gt;"",$R125=""),TRUE,FALSE)</f>
        <v>0</v>
      </c>
      <c r="AS125" s="1625"/>
      <c r="AT125" s="1625" t="b">
        <f ca="1">IF(AND(T125="",OR(V125&lt;&gt;"",X125&lt;&gt;"",Z125&lt;&gt;"",AB125&lt;&gt;"",AF125&lt;&gt;"")),TRUE,FALSE)</f>
        <v>0</v>
      </c>
      <c r="AU125" s="1625" t="b">
        <f>IF(AND($C125&lt;&gt;"",$T125=""),TRUE,FALSE)</f>
        <v>0</v>
      </c>
      <c r="AV125" s="1625" t="b">
        <f>IF(V125="",FALSE,IF(T125="",FALSE,IF(AW125=TRUE,FALSE,IF(OR(V125&lt;BI125,V125&gt;BaseYear),TRUE,FALSE))))</f>
        <v>0</v>
      </c>
      <c r="AW125" s="1625" t="b">
        <f>IF(AND($C125&lt;&gt;"",$V125=""),TRUE,FALSE)</f>
        <v>0</v>
      </c>
      <c r="AX125" s="1625" t="b">
        <f>IF(X125="",FALSE,IF(T125="",FALSE,IF(AZ125=TRUE,FALSE,IF(X125&lt;BL125,TRUE,FALSE))))</f>
        <v>0</v>
      </c>
      <c r="AY125" s="1625" t="b">
        <f>IF(X125="",FALSE,IF(T125="",FALSE,IF(AZ125=TRUE,FALSE,IF(X125&gt;BM125,TRUE,FALSE))))</f>
        <v>0</v>
      </c>
      <c r="AZ125" s="1625" t="b">
        <f>IF(AND($C125&lt;&gt;"",$X125=""),TRUE,FALSE)</f>
        <v>0</v>
      </c>
      <c r="BA125" s="1626" t="b">
        <f>IF(BB125=TRUE,FALSE,IF(OR(Z125&lt;0,Z125&gt;1),TRUE,FALSE))</f>
        <v>0</v>
      </c>
      <c r="BB125" s="1625" t="b">
        <f>IF(AND($C125&lt;&gt;"",$Z125=""),TRUE,FALSE)</f>
        <v>0</v>
      </c>
      <c r="BC125" s="1626"/>
      <c r="BD125" s="1625" t="b">
        <f ca="1">IF(AND($C125&lt;&gt;"",$AB125=""),TRUE,FALSE)</f>
        <v>0</v>
      </c>
      <c r="BE125" s="1626" t="b">
        <f>IF(OR(AF125="", V125=""),FALSE,IF(COUNT(FIND({0,1,2,3,4,5,6,7,8,9}, AF125))=0, FALSE, IF(YEAR(AF125)&lt;V125, TRUE, FALSE)))</f>
        <v>0</v>
      </c>
      <c r="BF125" s="1625" t="b">
        <f>IF(AND($C125&lt;&gt;"",$AF125=""),TRUE,FALSE)</f>
        <v>0</v>
      </c>
      <c r="BG125" s="721"/>
      <c r="BH125" s="1625" t="str">
        <f>IF($T125="","",VLOOKUP($T125,val_facilities,BH$3,FALSE))</f>
        <v/>
      </c>
      <c r="BI125" s="1627" t="str">
        <f>IF($T125="","",VLOOKUP($T125,val_facilities,BI$3,FALSE))</f>
        <v/>
      </c>
      <c r="BJ125" s="1627" t="str">
        <f>IF($T125="","",VLOOKUP($T125,val_facilities,BJ$3,FALSE))</f>
        <v/>
      </c>
      <c r="BK125" s="1627" t="str">
        <f ca="1">IFERROR(IF(V125="", "", YEAR(TODAY())-V125), "")</f>
        <v/>
      </c>
      <c r="BL125" s="845" t="str">
        <f>IF($T125="","",VLOOKUP($T125,val_facilities,BL$3,FALSE))</f>
        <v/>
      </c>
      <c r="BM125" s="845" t="str">
        <f>IF($T125="","",VLOOKUP($T125,val_facilities,BM$3,FALSE))</f>
        <v/>
      </c>
      <c r="BN125" s="758"/>
      <c r="BO125" s="721">
        <f t="shared" si="3"/>
        <v>0</v>
      </c>
      <c r="BP125" s="816"/>
      <c r="BQ125" s="816"/>
      <c r="BR125" s="816"/>
    </row>
    <row r="126" spans="1:70" s="686" customFormat="1" ht="6.75" customHeight="1" thickBot="1" x14ac:dyDescent="0.25">
      <c r="A126" s="1638"/>
      <c r="B126" s="1712">
        <v>57.5</v>
      </c>
      <c r="C126" s="1057"/>
      <c r="D126" s="1248"/>
      <c r="E126" s="1057"/>
      <c r="F126" s="1229"/>
      <c r="G126" s="1229"/>
      <c r="H126" s="1229"/>
      <c r="I126" s="1229"/>
      <c r="J126" s="1604"/>
      <c r="K126" s="1640"/>
      <c r="L126" s="1641"/>
      <c r="M126" s="1248"/>
      <c r="N126" s="1641"/>
      <c r="O126" s="1248"/>
      <c r="P126" s="1642"/>
      <c r="Q126" s="1248"/>
      <c r="R126" s="1057"/>
      <c r="S126" s="1618"/>
      <c r="T126" s="1643"/>
      <c r="U126" s="1618"/>
      <c r="V126" s="1623"/>
      <c r="W126" s="1618"/>
      <c r="X126" s="733"/>
      <c r="Y126" s="1275"/>
      <c r="Z126" s="685"/>
      <c r="AA126" s="1275"/>
      <c r="AB126" s="733"/>
      <c r="AC126" s="1275"/>
      <c r="AD126" s="733"/>
      <c r="AE126" s="1275"/>
      <c r="AF126" s="1721"/>
      <c r="AG126" s="1275"/>
      <c r="AH126" s="1057"/>
      <c r="AI126" s="1644"/>
      <c r="AJ126" s="1644"/>
      <c r="AK126" s="1644"/>
      <c r="AL126" s="1644"/>
      <c r="AM126" s="1625"/>
      <c r="AN126" s="1625"/>
      <c r="AO126" s="1625"/>
      <c r="AP126" s="1625"/>
      <c r="AQ126" s="1625"/>
      <c r="AR126" s="848"/>
      <c r="AS126" s="848"/>
      <c r="AT126" s="848"/>
      <c r="AU126" s="848"/>
      <c r="AV126" s="848"/>
      <c r="AW126" s="848"/>
      <c r="AX126" s="848"/>
      <c r="AY126" s="848"/>
      <c r="AZ126" s="848"/>
      <c r="BA126" s="848"/>
      <c r="BB126" s="848"/>
      <c r="BC126" s="848"/>
      <c r="BD126" s="848"/>
      <c r="BE126" s="848"/>
      <c r="BF126" s="848"/>
      <c r="BG126" s="685"/>
      <c r="BH126" s="848"/>
      <c r="BI126" s="848"/>
      <c r="BJ126" s="848"/>
      <c r="BK126" s="848"/>
      <c r="BL126" s="848"/>
      <c r="BM126" s="848"/>
      <c r="BN126" s="1229"/>
      <c r="BO126" s="721">
        <f t="shared" si="3"/>
        <v>0</v>
      </c>
    </row>
    <row r="127" spans="1:70" s="686" customFormat="1" x14ac:dyDescent="0.2">
      <c r="A127" s="840">
        <v>58</v>
      </c>
      <c r="B127" s="1712">
        <v>58</v>
      </c>
      <c r="C127" s="1613"/>
      <c r="D127" s="1248" t="str">
        <f>IF(AND(C127="",C125&lt;&gt;""),"Enter Facility "&amp;TEXT(A127,0)&amp;" Name, then Fill in Columns "&amp;TEXT($H$2,0)&amp;" - "&amp;TEXT($AH$2,0)&amp;"       ","")</f>
        <v/>
      </c>
      <c r="E127" s="1245" t="str">
        <f>IF(AL127="N/A","",AL127)</f>
        <v/>
      </c>
      <c r="F127" s="758"/>
      <c r="G127" s="758"/>
      <c r="H127" s="1614"/>
      <c r="I127" s="758"/>
      <c r="J127" s="1615"/>
      <c r="K127" s="1248" t="str">
        <f>IF(E127&lt;&gt;"","Enter Street Address                   ","")</f>
        <v/>
      </c>
      <c r="L127" s="1615"/>
      <c r="M127" s="1248" t="str">
        <f>IF(E127&lt;&gt;"","Enter City Name       ","")</f>
        <v/>
      </c>
      <c r="N127" s="1613"/>
      <c r="O127" s="1248" t="str">
        <f>IF(E127&lt;&gt;"","Select from Pull-Down List   ","")</f>
        <v/>
      </c>
      <c r="P127" s="1616"/>
      <c r="Q127" s="1248" t="str">
        <f>IF($E127&lt;&gt;"","Enter ZIP Code       ","")</f>
        <v/>
      </c>
      <c r="R127" s="1617"/>
      <c r="S127" s="1618" t="str">
        <f>IF($E127&lt;&gt;"","Select from Pull-Down List  ","")</f>
        <v/>
      </c>
      <c r="T127" s="1617"/>
      <c r="U127" s="1618" t="str">
        <f>IF(AND($C127&lt;&gt;"",T127=""),"Select from Pull-Down List  ","")</f>
        <v/>
      </c>
      <c r="V127" s="1619"/>
      <c r="W127" s="1248" t="str">
        <f>IF(E127&lt;&gt;"","Year?   ","")</f>
        <v/>
      </c>
      <c r="X127" s="1247"/>
      <c r="Y127" s="1620" t="str">
        <f>IF(E127&lt;&gt;"","Sq. Feet?   ","")</f>
        <v/>
      </c>
      <c r="Z127" s="1621"/>
      <c r="AA127" s="1618" t="str">
        <f>IF($E127&lt;&gt;"","% of Cap Resp.","")</f>
        <v/>
      </c>
      <c r="AB127" s="1782" t="str">
        <f ca="1">IFERROR(IF(BK127="", "", IF(BK127&gt;100, 1, VLOOKUP(BK127, Valid!$W$1:$AA$101, VLOOKUP(T127, Codes!$G$7:$I$17, 3, FALSE), FALSE))), "")</f>
        <v/>
      </c>
      <c r="AC127" s="1618"/>
      <c r="AD127" s="1247"/>
      <c r="AE127" s="1620" t="str">
        <f>IF($E127&lt;&gt;"","Drop-Down    ","")</f>
        <v/>
      </c>
      <c r="AF127" s="1720"/>
      <c r="AG127" s="1620" t="b">
        <f>IF(E127&lt;&gt;"","Date?   ")</f>
        <v>0</v>
      </c>
      <c r="AH127" s="1613"/>
      <c r="AI127" s="1248" t="str">
        <f>IF(OR(T127="Other (describe in Notes)",T127="Dual Administrative and Maintenance Facility"),"Describe Facility                                                                                         ","")</f>
        <v/>
      </c>
      <c r="AJ127" s="1624"/>
      <c r="AK127" s="1624" t="b">
        <f>IF(AND(C127="",C129&lt;&gt;""),TRUE,FALSE)</f>
        <v>0</v>
      </c>
      <c r="AL127" s="1624" t="str">
        <f>IF(AND($C127&lt;&gt;"",OR($J127="",$L127="",$N127="",$P127="",$R127="",$T127="",$V127="",$X127="",$Z127="",$AD127="",$AF127="")),"No",IF(AND($C127="",OR($H127&lt;&gt;"",$J127&lt;&gt;"",$L127&lt;&gt;"",$N127&lt;&gt;"",$P127&lt;&gt;"",$R127&lt;&gt;"",$T127&lt;&gt;"",$V127&lt;&gt;"",$X127&lt;&gt;"",$Z127&lt;&gt;"",$AD127&lt;&gt;"",$AF127&lt;&gt;"")),"N",IF(AND($H127="",$C127="",$J127="",$L127="",$N127="",$P127="",$R127="",$T127="",$V127="",$X127="",$Z127="",$AD127="",$AF127=""),"N/A",IF(AND($C127&lt;&gt;"",$J127&lt;&gt;"",$L127&lt;&gt;"",$N127&lt;&gt;"",$P127&lt;&gt;"",$R127&lt;&gt;"",$T127&lt;&gt;"",$V127&lt;&gt;"",$X127&lt;&gt;"",$Z127&lt;&gt;"",$AD127&lt;&gt;"",$AF127&lt;&gt;""),"Yes",""))))</f>
        <v>N/A</v>
      </c>
      <c r="AM127" s="1625" t="b">
        <f ca="1">IF(AND($C127="",OR($J127&lt;&gt;"",$L127&lt;&gt;"",$N127&lt;&gt;"",$P127&lt;&gt;"",$R127&lt;&gt;"",$T127&lt;&gt;"",$V127&lt;&gt;"",$X127&lt;&gt;"",$Z127&lt;&gt;"",$AB127&lt;&gt;"",$AF127&lt;&gt;"")),TRUE,FALSE)</f>
        <v>0</v>
      </c>
      <c r="AN127" s="1625" t="b">
        <f>IF(AND($C127&lt;&gt;"",$J127=""),TRUE,FALSE)</f>
        <v>0</v>
      </c>
      <c r="AO127" s="1625" t="b">
        <f>IF(AND($C127&lt;&gt;"",$L127=""),TRUE,FALSE)</f>
        <v>0</v>
      </c>
      <c r="AP127" s="1625" t="b">
        <f>IF(AND($C127&lt;&gt;"",$N127=""),TRUE,FALSE)</f>
        <v>0</v>
      </c>
      <c r="AQ127" s="1625" t="b">
        <f>IF(AND($C127&lt;&gt;"",$P127=""),TRUE,FALSE)</f>
        <v>0</v>
      </c>
      <c r="AR127" s="1625" t="b">
        <f>IF(AND($C127&lt;&gt;"",$R127=""),TRUE,FALSE)</f>
        <v>0</v>
      </c>
      <c r="AS127" s="1625"/>
      <c r="AT127" s="1625" t="b">
        <f ca="1">IF(AND(T127="",OR(V127&lt;&gt;"",X127&lt;&gt;"",Z127&lt;&gt;"",AB127&lt;&gt;"",AF127&lt;&gt;"")),TRUE,FALSE)</f>
        <v>0</v>
      </c>
      <c r="AU127" s="1625" t="b">
        <f>IF(AND($C127&lt;&gt;"",$T127=""),TRUE,FALSE)</f>
        <v>0</v>
      </c>
      <c r="AV127" s="1625" t="b">
        <f>IF(V127="",FALSE,IF(T127="",FALSE,IF(AW127=TRUE,FALSE,IF(OR(V127&lt;BI127,V127&gt;BaseYear),TRUE,FALSE))))</f>
        <v>0</v>
      </c>
      <c r="AW127" s="1625" t="b">
        <f>IF(AND($C127&lt;&gt;"",$V127=""),TRUE,FALSE)</f>
        <v>0</v>
      </c>
      <c r="AX127" s="1625" t="b">
        <f>IF(X127="",FALSE,IF(T127="",FALSE,IF(AZ127=TRUE,FALSE,IF(X127&lt;BL127,TRUE,FALSE))))</f>
        <v>0</v>
      </c>
      <c r="AY127" s="1625" t="b">
        <f>IF(X127="",FALSE,IF(T127="",FALSE,IF(AZ127=TRUE,FALSE,IF(X127&gt;BM127,TRUE,FALSE))))</f>
        <v>0</v>
      </c>
      <c r="AZ127" s="1625" t="b">
        <f>IF(AND($C127&lt;&gt;"",$X127=""),TRUE,FALSE)</f>
        <v>0</v>
      </c>
      <c r="BA127" s="1626" t="b">
        <f>IF(BB127=TRUE,FALSE,IF(OR(Z127&lt;0,Z127&gt;1),TRUE,FALSE))</f>
        <v>0</v>
      </c>
      <c r="BB127" s="1625" t="b">
        <f>IF(AND($C127&lt;&gt;"",$Z127=""),TRUE,FALSE)</f>
        <v>0</v>
      </c>
      <c r="BC127" s="1626"/>
      <c r="BD127" s="1625" t="b">
        <f ca="1">IF(AND($C127&lt;&gt;"",$AB127=""),TRUE,FALSE)</f>
        <v>0</v>
      </c>
      <c r="BE127" s="1626" t="b">
        <f>IF(OR(AF127="", V127=""),FALSE,IF(COUNT(FIND({0,1,2,3,4,5,6,7,8,9}, AF127))=0, FALSE, IF(YEAR(AF127)&lt;V127, TRUE, FALSE)))</f>
        <v>0</v>
      </c>
      <c r="BF127" s="1625" t="b">
        <f>IF(AND($C127&lt;&gt;"",$AF127=""),TRUE,FALSE)</f>
        <v>0</v>
      </c>
      <c r="BG127" s="721"/>
      <c r="BH127" s="1625" t="str">
        <f>IF($T127="","",VLOOKUP($T127,val_facilities,BH$3,FALSE))</f>
        <v/>
      </c>
      <c r="BI127" s="1627" t="str">
        <f>IF($T127="","",VLOOKUP($T127,val_facilities,BI$3,FALSE))</f>
        <v/>
      </c>
      <c r="BJ127" s="1627" t="str">
        <f>IF($T127="","",VLOOKUP($T127,val_facilities,BJ$3,FALSE))</f>
        <v/>
      </c>
      <c r="BK127" s="1627" t="str">
        <f ca="1">IFERROR(IF(V127="", "", YEAR(TODAY())-V127), "")</f>
        <v/>
      </c>
      <c r="BL127" s="845" t="str">
        <f>IF($T127="","",VLOOKUP($T127,val_facilities,BL$3,FALSE))</f>
        <v/>
      </c>
      <c r="BM127" s="845" t="str">
        <f>IF($T127="","",VLOOKUP($T127,val_facilities,BM$3,FALSE))</f>
        <v/>
      </c>
      <c r="BN127" s="758"/>
      <c r="BO127" s="721">
        <f t="shared" si="3"/>
        <v>0</v>
      </c>
      <c r="BP127" s="816"/>
      <c r="BQ127" s="816"/>
      <c r="BR127" s="816"/>
    </row>
    <row r="128" spans="1:70" s="686" customFormat="1" ht="6.75" customHeight="1" thickBot="1" x14ac:dyDescent="0.25">
      <c r="A128" s="1638"/>
      <c r="B128" s="1712">
        <v>58.5</v>
      </c>
      <c r="C128" s="1057"/>
      <c r="D128" s="764"/>
      <c r="E128" s="1639"/>
      <c r="F128" s="1229"/>
      <c r="G128" s="1229"/>
      <c r="H128" s="1229"/>
      <c r="I128" s="1229"/>
      <c r="J128" s="1604"/>
      <c r="K128" s="1640"/>
      <c r="L128" s="1645"/>
      <c r="M128" s="1646"/>
      <c r="N128" s="1645"/>
      <c r="O128" s="1646"/>
      <c r="P128" s="1647"/>
      <c r="Q128" s="1646"/>
      <c r="R128" s="1057"/>
      <c r="S128" s="1618"/>
      <c r="T128" s="1643"/>
      <c r="U128" s="1618"/>
      <c r="V128" s="1623"/>
      <c r="W128" s="1618"/>
      <c r="X128" s="722"/>
      <c r="Y128" s="1648"/>
      <c r="Z128" s="841"/>
      <c r="AA128" s="1648"/>
      <c r="AB128" s="722"/>
      <c r="AC128" s="1648"/>
      <c r="AD128" s="722"/>
      <c r="AE128" s="1648"/>
      <c r="AF128" s="1717"/>
      <c r="AG128" s="1648"/>
      <c r="AH128" s="1057"/>
      <c r="AI128" s="1644"/>
      <c r="AJ128" s="1644"/>
      <c r="AK128" s="1644"/>
      <c r="AL128" s="1644"/>
      <c r="AM128" s="1625"/>
      <c r="AN128" s="1625"/>
      <c r="AO128" s="1625"/>
      <c r="AP128" s="1625"/>
      <c r="AQ128" s="1625"/>
      <c r="AR128" s="848"/>
      <c r="AS128" s="848"/>
      <c r="AT128" s="848"/>
      <c r="AU128" s="848"/>
      <c r="AV128" s="848"/>
      <c r="AW128" s="848"/>
      <c r="AX128" s="848"/>
      <c r="AY128" s="848"/>
      <c r="AZ128" s="848"/>
      <c r="BA128" s="848"/>
      <c r="BB128" s="848"/>
      <c r="BC128" s="848"/>
      <c r="BD128" s="848"/>
      <c r="BE128" s="848"/>
      <c r="BF128" s="848"/>
      <c r="BG128" s="685"/>
      <c r="BH128" s="848"/>
      <c r="BI128" s="848"/>
      <c r="BJ128" s="848"/>
      <c r="BK128" s="848"/>
      <c r="BL128" s="848"/>
      <c r="BM128" s="848"/>
      <c r="BN128" s="1229"/>
      <c r="BO128" s="721">
        <f t="shared" si="3"/>
        <v>0</v>
      </c>
    </row>
    <row r="129" spans="1:70" s="816" customFormat="1" x14ac:dyDescent="0.2">
      <c r="A129" s="840">
        <v>59</v>
      </c>
      <c r="B129" s="1712">
        <v>59</v>
      </c>
      <c r="C129" s="1613"/>
      <c r="D129" s="1248" t="str">
        <f>IF(AND(C129="",C127&lt;&gt;""),"Enter Facility "&amp;TEXT(A129,0)&amp;" Name, then Fill in Columns "&amp;TEXT($H$2,0)&amp;" - "&amp;TEXT($AH$2,0)&amp;"       ","")</f>
        <v/>
      </c>
      <c r="E129" s="1245" t="str">
        <f>IF(AL129="N/A","",AL129)</f>
        <v/>
      </c>
      <c r="F129" s="758"/>
      <c r="G129" s="758"/>
      <c r="H129" s="1614"/>
      <c r="I129" s="758"/>
      <c r="J129" s="1615"/>
      <c r="K129" s="1248" t="str">
        <f>IF(E129&lt;&gt;"","Enter Street Address                   ","")</f>
        <v/>
      </c>
      <c r="L129" s="1615"/>
      <c r="M129" s="1248" t="str">
        <f>IF(E129&lt;&gt;"","Enter City Name       ","")</f>
        <v/>
      </c>
      <c r="N129" s="1613"/>
      <c r="O129" s="1248" t="str">
        <f>IF(E129&lt;&gt;"","Select from Pull-Down List   ","")</f>
        <v/>
      </c>
      <c r="P129" s="1616"/>
      <c r="Q129" s="1248" t="str">
        <f>IF($E129&lt;&gt;"","Enter ZIP Code       ","")</f>
        <v/>
      </c>
      <c r="R129" s="1617"/>
      <c r="S129" s="1618" t="str">
        <f>IF($E129&lt;&gt;"","Select from Pull-Down List  ","")</f>
        <v/>
      </c>
      <c r="T129" s="1617"/>
      <c r="U129" s="1618" t="str">
        <f>IF(AND($C129&lt;&gt;"",T129=""),"Select from Pull-Down List  ","")</f>
        <v/>
      </c>
      <c r="V129" s="1619"/>
      <c r="W129" s="1248" t="str">
        <f>IF(E129&lt;&gt;"","Year?   ","")</f>
        <v/>
      </c>
      <c r="X129" s="1247"/>
      <c r="Y129" s="1620" t="str">
        <f>IF(E129&lt;&gt;"","Sq. Feet?   ","")</f>
        <v/>
      </c>
      <c r="Z129" s="1621"/>
      <c r="AA129" s="1618" t="str">
        <f>IF($E129&lt;&gt;"","% of Cap Resp.","")</f>
        <v/>
      </c>
      <c r="AB129" s="1782" t="str">
        <f ca="1">IFERROR(IF(BK129="", "", IF(BK129&gt;100, 1, VLOOKUP(BK129, Valid!$W$1:$AA$101, VLOOKUP(T129, Codes!$G$7:$I$17, 3, FALSE), FALSE))), "")</f>
        <v/>
      </c>
      <c r="AC129" s="1618"/>
      <c r="AD129" s="1247"/>
      <c r="AE129" s="1620" t="str">
        <f>IF($E129&lt;&gt;"","Drop-Down    ","")</f>
        <v/>
      </c>
      <c r="AF129" s="1720"/>
      <c r="AG129" s="1620" t="b">
        <f>IF(E129&lt;&gt;"","Date?   ")</f>
        <v>0</v>
      </c>
      <c r="AH129" s="1613"/>
      <c r="AI129" s="1248" t="str">
        <f>IF(OR(T129="Other (describe in Notes)",T129="Dual Administrative and Maintenance Facility"),"Describe Facility                                                                                         ","")</f>
        <v/>
      </c>
      <c r="AJ129" s="1624"/>
      <c r="AK129" s="1624" t="b">
        <f>IF(AND(C129="",C131&lt;&gt;""),TRUE,FALSE)</f>
        <v>0</v>
      </c>
      <c r="AL129" s="1624" t="str">
        <f>IF(AND($C129&lt;&gt;"",OR($J129="",$L129="",$N129="",$P129="",$R129="",$T129="",$V129="",$X129="",$Z129="",$AD129="",$AF129="")),"No",IF(AND($C129="",OR($H129&lt;&gt;"",$J129&lt;&gt;"",$L129&lt;&gt;"",$N129&lt;&gt;"",$P129&lt;&gt;"",$R129&lt;&gt;"",$T129&lt;&gt;"",$V129&lt;&gt;"",$X129&lt;&gt;"",$Z129&lt;&gt;"",$AD129&lt;&gt;"",$AF129&lt;&gt;"")),"N",IF(AND($H129="",$C129="",$J129="",$L129="",$N129="",$P129="",$R129="",$T129="",$V129="",$X129="",$Z129="",$AD129="",$AF129=""),"N/A",IF(AND($C129&lt;&gt;"",$J129&lt;&gt;"",$L129&lt;&gt;"",$N129&lt;&gt;"",$P129&lt;&gt;"",$R129&lt;&gt;"",$T129&lt;&gt;"",$V129&lt;&gt;"",$X129&lt;&gt;"",$Z129&lt;&gt;"",$AD129&lt;&gt;"",$AF129&lt;&gt;""),"Yes",""))))</f>
        <v>N/A</v>
      </c>
      <c r="AM129" s="1625" t="b">
        <f ca="1">IF(AND($C129="",OR($J129&lt;&gt;"",$L129&lt;&gt;"",$N129&lt;&gt;"",$P129&lt;&gt;"",$R129&lt;&gt;"",$T129&lt;&gt;"",$V129&lt;&gt;"",$X129&lt;&gt;"",$Z129&lt;&gt;"",$AB129&lt;&gt;"",$AF129&lt;&gt;"")),TRUE,FALSE)</f>
        <v>0</v>
      </c>
      <c r="AN129" s="1625" t="b">
        <f>IF(AND($C129&lt;&gt;"",$J129=""),TRUE,FALSE)</f>
        <v>0</v>
      </c>
      <c r="AO129" s="1625" t="b">
        <f>IF(AND($C129&lt;&gt;"",$L129=""),TRUE,FALSE)</f>
        <v>0</v>
      </c>
      <c r="AP129" s="1625" t="b">
        <f>IF(AND($C129&lt;&gt;"",$N129=""),TRUE,FALSE)</f>
        <v>0</v>
      </c>
      <c r="AQ129" s="1625" t="b">
        <f>IF(AND($C129&lt;&gt;"",$P129=""),TRUE,FALSE)</f>
        <v>0</v>
      </c>
      <c r="AR129" s="1625" t="b">
        <f>IF(AND($C129&lt;&gt;"",$R129=""),TRUE,FALSE)</f>
        <v>0</v>
      </c>
      <c r="AS129" s="1625"/>
      <c r="AT129" s="1625" t="b">
        <f ca="1">IF(AND(T129="",OR(V129&lt;&gt;"",X129&lt;&gt;"",Z129&lt;&gt;"",AB129&lt;&gt;"",AF129&lt;&gt;"")),TRUE,FALSE)</f>
        <v>0</v>
      </c>
      <c r="AU129" s="1625" t="b">
        <f>IF(AND($C129&lt;&gt;"",$T129=""),TRUE,FALSE)</f>
        <v>0</v>
      </c>
      <c r="AV129" s="1625" t="b">
        <f>IF(V129="",FALSE,IF(T129="",FALSE,IF(AW129=TRUE,FALSE,IF(OR(V129&lt;BI129,V129&gt;BaseYear),TRUE,FALSE))))</f>
        <v>0</v>
      </c>
      <c r="AW129" s="1625" t="b">
        <f>IF(AND($C129&lt;&gt;"",$V129=""),TRUE,FALSE)</f>
        <v>0</v>
      </c>
      <c r="AX129" s="1625" t="b">
        <f>IF(X129="",FALSE,IF(T129="",FALSE,IF(AZ129=TRUE,FALSE,IF(X129&lt;BL129,TRUE,FALSE))))</f>
        <v>0</v>
      </c>
      <c r="AY129" s="1625" t="b">
        <f>IF(X129="",FALSE,IF(T129="",FALSE,IF(AZ129=TRUE,FALSE,IF(X129&gt;BM129,TRUE,FALSE))))</f>
        <v>0</v>
      </c>
      <c r="AZ129" s="1625" t="b">
        <f>IF(AND($C129&lt;&gt;"",$X129=""),TRUE,FALSE)</f>
        <v>0</v>
      </c>
      <c r="BA129" s="1626" t="b">
        <f>IF(BB129=TRUE,FALSE,IF(OR(Z129&lt;0,Z129&gt;1),TRUE,FALSE))</f>
        <v>0</v>
      </c>
      <c r="BB129" s="1625" t="b">
        <f>IF(AND($C129&lt;&gt;"",$Z129=""),TRUE,FALSE)</f>
        <v>0</v>
      </c>
      <c r="BC129" s="1626"/>
      <c r="BD129" s="1625" t="b">
        <f ca="1">IF(AND($C129&lt;&gt;"",$AB129=""),TRUE,FALSE)</f>
        <v>0</v>
      </c>
      <c r="BE129" s="1626" t="b">
        <f>IF(OR(AF129="", V129=""),FALSE,IF(COUNT(FIND({0,1,2,3,4,5,6,7,8,9}, AF129))=0, FALSE, IF(YEAR(AF129)&lt;V129, TRUE, FALSE)))</f>
        <v>0</v>
      </c>
      <c r="BF129" s="1625" t="b">
        <f>IF(AND($C129&lt;&gt;"",$AF129=""),TRUE,FALSE)</f>
        <v>0</v>
      </c>
      <c r="BG129" s="721"/>
      <c r="BH129" s="1625" t="str">
        <f>IF($T129="","",VLOOKUP($T129,val_facilities,BH$3,FALSE))</f>
        <v/>
      </c>
      <c r="BI129" s="1627" t="str">
        <f>IF($T129="","",VLOOKUP($T129,val_facilities,BI$3,FALSE))</f>
        <v/>
      </c>
      <c r="BJ129" s="1627" t="str">
        <f>IF($T129="","",VLOOKUP($T129,val_facilities,BJ$3,FALSE))</f>
        <v/>
      </c>
      <c r="BK129" s="1627" t="str">
        <f ca="1">IFERROR(IF(V129="", "", YEAR(TODAY())-V129), "")</f>
        <v/>
      </c>
      <c r="BL129" s="845" t="str">
        <f>IF($T129="","",VLOOKUP($T129,val_facilities,BL$3,FALSE))</f>
        <v/>
      </c>
      <c r="BM129" s="845" t="str">
        <f>IF($T129="","",VLOOKUP($T129,val_facilities,BM$3,FALSE))</f>
        <v/>
      </c>
      <c r="BN129" s="758"/>
      <c r="BO129" s="721">
        <f t="shared" si="3"/>
        <v>0</v>
      </c>
    </row>
    <row r="130" spans="1:70" s="816" customFormat="1" ht="6.75" customHeight="1" thickBot="1" x14ac:dyDescent="0.25">
      <c r="A130" s="840"/>
      <c r="B130" s="1712">
        <v>59.5</v>
      </c>
      <c r="C130" s="1057"/>
      <c r="D130" s="1248"/>
      <c r="E130" s="1057"/>
      <c r="F130" s="1229"/>
      <c r="G130" s="1229"/>
      <c r="H130" s="1229"/>
      <c r="I130" s="1229"/>
      <c r="J130" s="1604"/>
      <c r="K130" s="1229"/>
      <c r="L130" s="1605"/>
      <c r="M130" s="1644"/>
      <c r="N130" s="1605"/>
      <c r="O130" s="1644"/>
      <c r="P130" s="1606"/>
      <c r="Q130" s="1644"/>
      <c r="R130" s="1057"/>
      <c r="S130" s="1623"/>
      <c r="T130" s="1643"/>
      <c r="U130" s="1623"/>
      <c r="V130" s="1623"/>
      <c r="W130" s="1623"/>
      <c r="X130" s="722"/>
      <c r="Y130" s="841"/>
      <c r="Z130" s="841"/>
      <c r="AA130" s="841"/>
      <c r="AB130" s="722"/>
      <c r="AC130" s="841"/>
      <c r="AD130" s="722"/>
      <c r="AE130" s="841"/>
      <c r="AF130" s="1717"/>
      <c r="AG130" s="841"/>
      <c r="AH130" s="1057"/>
      <c r="AI130" s="1644"/>
      <c r="AJ130" s="1644"/>
      <c r="AK130" s="1644"/>
      <c r="AL130" s="1644"/>
      <c r="AM130" s="1625"/>
      <c r="AN130" s="1625"/>
      <c r="AO130" s="1625"/>
      <c r="AP130" s="1625"/>
      <c r="AQ130" s="1625"/>
      <c r="AR130" s="848"/>
      <c r="AS130" s="848"/>
      <c r="AT130" s="848"/>
      <c r="AU130" s="848"/>
      <c r="AV130" s="848"/>
      <c r="AW130" s="848"/>
      <c r="AX130" s="848"/>
      <c r="AY130" s="848"/>
      <c r="AZ130" s="848"/>
      <c r="BA130" s="848"/>
      <c r="BB130" s="848"/>
      <c r="BC130" s="848"/>
      <c r="BD130" s="848"/>
      <c r="BE130" s="848"/>
      <c r="BF130" s="848"/>
      <c r="BG130" s="685"/>
      <c r="BH130" s="848"/>
      <c r="BI130" s="848"/>
      <c r="BJ130" s="848"/>
      <c r="BK130" s="848"/>
      <c r="BL130" s="848"/>
      <c r="BM130" s="848"/>
      <c r="BN130" s="1229"/>
      <c r="BO130" s="721">
        <f t="shared" si="3"/>
        <v>0</v>
      </c>
      <c r="BP130" s="686"/>
      <c r="BQ130" s="686"/>
      <c r="BR130" s="686"/>
    </row>
    <row r="131" spans="1:70" s="816" customFormat="1" x14ac:dyDescent="0.2">
      <c r="A131" s="840">
        <v>60</v>
      </c>
      <c r="B131" s="1712">
        <v>60</v>
      </c>
      <c r="C131" s="1613"/>
      <c r="D131" s="1248" t="str">
        <f>IF(AND(C131="",C129&lt;&gt;""),"Enter Facility "&amp;TEXT(A131,0)&amp;" Name, then Fill in Columns "&amp;TEXT($H$2,0)&amp;" - "&amp;TEXT($AH$2,0)&amp;"       ","")</f>
        <v/>
      </c>
      <c r="E131" s="1245" t="str">
        <f>IF(AL131="N/A","",AL131)</f>
        <v/>
      </c>
      <c r="F131" s="758"/>
      <c r="G131" s="758"/>
      <c r="H131" s="1614"/>
      <c r="I131" s="758"/>
      <c r="J131" s="1615"/>
      <c r="K131" s="1248" t="str">
        <f>IF(E131&lt;&gt;"","Enter Street Address                   ","")</f>
        <v/>
      </c>
      <c r="L131" s="1615"/>
      <c r="M131" s="1248" t="str">
        <f>IF(E131&lt;&gt;"","Enter City Name       ","")</f>
        <v/>
      </c>
      <c r="N131" s="1613"/>
      <c r="O131" s="1248" t="str">
        <f>IF(E131&lt;&gt;"","Select from Pull-Down List   ","")</f>
        <v/>
      </c>
      <c r="P131" s="1616"/>
      <c r="Q131" s="1248" t="str">
        <f>IF($E131&lt;&gt;"","Enter ZIP Code       ","")</f>
        <v/>
      </c>
      <c r="R131" s="1617"/>
      <c r="S131" s="1618" t="str">
        <f>IF($E131&lt;&gt;"","Select from Pull-Down List  ","")</f>
        <v/>
      </c>
      <c r="T131" s="1617"/>
      <c r="U131" s="1618" t="str">
        <f>IF(AND($C131&lt;&gt;"",T131=""),"Select from Pull-Down List  ","")</f>
        <v/>
      </c>
      <c r="V131" s="1619"/>
      <c r="W131" s="1248" t="str">
        <f>IF(E131&lt;&gt;"","Year?   ","")</f>
        <v/>
      </c>
      <c r="X131" s="1247"/>
      <c r="Y131" s="1620" t="str">
        <f>IF(E131&lt;&gt;"","Sq. Feet?   ","")</f>
        <v/>
      </c>
      <c r="Z131" s="1621"/>
      <c r="AA131" s="1618" t="str">
        <f>IF($E131&lt;&gt;"","% of Cap Resp.","")</f>
        <v/>
      </c>
      <c r="AB131" s="1782" t="str">
        <f ca="1">IFERROR(IF(BK131="", "", IF(BK131&gt;100, 1, VLOOKUP(BK131, Valid!$W$1:$AA$101, VLOOKUP(T131, Codes!$G$7:$I$17, 3, FALSE), FALSE))), "")</f>
        <v/>
      </c>
      <c r="AC131" s="1618"/>
      <c r="AD131" s="1247"/>
      <c r="AE131" s="1620" t="str">
        <f>IF($E131&lt;&gt;"","Drop-Down    ","")</f>
        <v/>
      </c>
      <c r="AF131" s="1720"/>
      <c r="AG131" s="1620" t="b">
        <f>IF(E131&lt;&gt;"","Date?   ")</f>
        <v>0</v>
      </c>
      <c r="AH131" s="1613"/>
      <c r="AI131" s="1248" t="str">
        <f>IF(OR(T131="Other (describe in Notes)",T131="Dual Administrative and Maintenance Facility"),"Describe Facility                                                                                         ","")</f>
        <v/>
      </c>
      <c r="AJ131" s="1624"/>
      <c r="AK131" s="1624" t="b">
        <f>IF(AND(C131="",C133&lt;&gt;""),TRUE,FALSE)</f>
        <v>0</v>
      </c>
      <c r="AL131" s="1624" t="str">
        <f>IF(AND($C131&lt;&gt;"",OR($J131="",$L131="",$N131="",$P131="",$R131="",$T131="",$V131="",$X131="",$Z131="",$AD131="",$AF131="")),"No",IF(AND($C131="",OR($H131&lt;&gt;"",$J131&lt;&gt;"",$L131&lt;&gt;"",$N131&lt;&gt;"",$P131&lt;&gt;"",$R131&lt;&gt;"",$T131&lt;&gt;"",$V131&lt;&gt;"",$X131&lt;&gt;"",$Z131&lt;&gt;"",$AD131&lt;&gt;"",$AF131&lt;&gt;"")),"N",IF(AND($H131="",$C131="",$J131="",$L131="",$N131="",$P131="",$R131="",$T131="",$V131="",$X131="",$Z131="",$AD131="",$AF131=""),"N/A",IF(AND($C131&lt;&gt;"",$J131&lt;&gt;"",$L131&lt;&gt;"",$N131&lt;&gt;"",$P131&lt;&gt;"",$R131&lt;&gt;"",$T131&lt;&gt;"",$V131&lt;&gt;"",$X131&lt;&gt;"",$Z131&lt;&gt;"",$AD131&lt;&gt;"",$AF131&lt;&gt;""),"Yes",""))))</f>
        <v>N/A</v>
      </c>
      <c r="AM131" s="1625" t="b">
        <f ca="1">IF(AND($C131="",OR($J131&lt;&gt;"",$L131&lt;&gt;"",$N131&lt;&gt;"",$P131&lt;&gt;"",$R131&lt;&gt;"",$T131&lt;&gt;"",$V131&lt;&gt;"",$X131&lt;&gt;"",$Z131&lt;&gt;"",$AB131&lt;&gt;"",$AF131&lt;&gt;"")),TRUE,FALSE)</f>
        <v>0</v>
      </c>
      <c r="AN131" s="1625" t="b">
        <f>IF(AND($C131&lt;&gt;"",$J131=""),TRUE,FALSE)</f>
        <v>0</v>
      </c>
      <c r="AO131" s="1625" t="b">
        <f>IF(AND($C131&lt;&gt;"",$L131=""),TRUE,FALSE)</f>
        <v>0</v>
      </c>
      <c r="AP131" s="1625" t="b">
        <f>IF(AND($C131&lt;&gt;"",$N131=""),TRUE,FALSE)</f>
        <v>0</v>
      </c>
      <c r="AQ131" s="1625" t="b">
        <f>IF(AND($C131&lt;&gt;"",$P131=""),TRUE,FALSE)</f>
        <v>0</v>
      </c>
      <c r="AR131" s="1625" t="b">
        <f>IF(AND($C131&lt;&gt;"",$R131=""),TRUE,FALSE)</f>
        <v>0</v>
      </c>
      <c r="AS131" s="1625"/>
      <c r="AT131" s="1625" t="b">
        <f ca="1">IF(AND(T131="",OR(V131&lt;&gt;"",X131&lt;&gt;"",Z131&lt;&gt;"",AB131&lt;&gt;"",AF131&lt;&gt;"")),TRUE,FALSE)</f>
        <v>0</v>
      </c>
      <c r="AU131" s="1625" t="b">
        <f>IF(AND($C131&lt;&gt;"",$T131=""),TRUE,FALSE)</f>
        <v>0</v>
      </c>
      <c r="AV131" s="1625" t="b">
        <f>IF(V131="",FALSE,IF(T131="",FALSE,IF(AW131=TRUE,FALSE,IF(OR(V131&lt;BI131,V131&gt;BaseYear),TRUE,FALSE))))</f>
        <v>0</v>
      </c>
      <c r="AW131" s="1625" t="b">
        <f>IF(AND($C131&lt;&gt;"",$V131=""),TRUE,FALSE)</f>
        <v>0</v>
      </c>
      <c r="AX131" s="1625" t="b">
        <f>IF(X131="",FALSE,IF(T131="",FALSE,IF(AZ131=TRUE,FALSE,IF(X131&lt;BL131,TRUE,FALSE))))</f>
        <v>0</v>
      </c>
      <c r="AY131" s="1625" t="b">
        <f>IF(X131="",FALSE,IF(T131="",FALSE,IF(AZ131=TRUE,FALSE,IF(X131&gt;BM131,TRUE,FALSE))))</f>
        <v>0</v>
      </c>
      <c r="AZ131" s="1625" t="b">
        <f>IF(AND($C131&lt;&gt;"",$X131=""),TRUE,FALSE)</f>
        <v>0</v>
      </c>
      <c r="BA131" s="1626" t="b">
        <f>IF(BB131=TRUE,FALSE,IF(OR(Z131&lt;0,Z131&gt;1),TRUE,FALSE))</f>
        <v>0</v>
      </c>
      <c r="BB131" s="1625" t="b">
        <f>IF(AND($C131&lt;&gt;"",$Z131=""),TRUE,FALSE)</f>
        <v>0</v>
      </c>
      <c r="BC131" s="1626"/>
      <c r="BD131" s="1625" t="b">
        <f ca="1">IF(AND($C131&lt;&gt;"",$AB131=""),TRUE,FALSE)</f>
        <v>0</v>
      </c>
      <c r="BE131" s="1626" t="b">
        <f>IF(OR(AF131="", V131=""),FALSE,IF(COUNT(FIND({0,1,2,3,4,5,6,7,8,9}, AF131))=0, FALSE, IF(YEAR(AF131)&lt;V131, TRUE, FALSE)))</f>
        <v>0</v>
      </c>
      <c r="BF131" s="1625" t="b">
        <f>IF(AND($C131&lt;&gt;"",$AF131=""),TRUE,FALSE)</f>
        <v>0</v>
      </c>
      <c r="BG131" s="721"/>
      <c r="BH131" s="1625" t="str">
        <f>IF($T131="","",VLOOKUP($T131,val_facilities,BH$3,FALSE))</f>
        <v/>
      </c>
      <c r="BI131" s="1627" t="str">
        <f>IF($T131="","",VLOOKUP($T131,val_facilities,BI$3,FALSE))</f>
        <v/>
      </c>
      <c r="BJ131" s="1627" t="str">
        <f>IF($T131="","",VLOOKUP($T131,val_facilities,BJ$3,FALSE))</f>
        <v/>
      </c>
      <c r="BK131" s="1627" t="str">
        <f ca="1">IFERROR(IF(V131="", "", YEAR(TODAY())-V131), "")</f>
        <v/>
      </c>
      <c r="BL131" s="845" t="str">
        <f>IF($T131="","",VLOOKUP($T131,val_facilities,BL$3,FALSE))</f>
        <v/>
      </c>
      <c r="BM131" s="845" t="str">
        <f>IF($T131="","",VLOOKUP($T131,val_facilities,BM$3,FALSE))</f>
        <v/>
      </c>
      <c r="BN131" s="758"/>
      <c r="BO131" s="721">
        <f t="shared" si="3"/>
        <v>0</v>
      </c>
    </row>
    <row r="132" spans="1:70" s="686" customFormat="1" ht="6.75" customHeight="1" thickBot="1" x14ac:dyDescent="0.25">
      <c r="A132" s="1638"/>
      <c r="B132" s="1712">
        <v>60.5</v>
      </c>
      <c r="C132" s="1057"/>
      <c r="D132" s="1248"/>
      <c r="E132" s="1639"/>
      <c r="F132" s="1229"/>
      <c r="G132" s="1229"/>
      <c r="H132" s="1229"/>
      <c r="I132" s="1229"/>
      <c r="J132" s="1604"/>
      <c r="K132" s="1640"/>
      <c r="L132" s="1641"/>
      <c r="M132" s="1248"/>
      <c r="N132" s="1641"/>
      <c r="O132" s="1248"/>
      <c r="P132" s="1642"/>
      <c r="Q132" s="1248"/>
      <c r="R132" s="1057"/>
      <c r="S132" s="1618"/>
      <c r="T132" s="1643"/>
      <c r="U132" s="1618"/>
      <c r="V132" s="1623"/>
      <c r="W132" s="1618"/>
      <c r="X132" s="733"/>
      <c r="Y132" s="1275"/>
      <c r="AA132" s="1275"/>
      <c r="AB132" s="733"/>
      <c r="AC132" s="1275"/>
      <c r="AD132" s="733"/>
      <c r="AE132" s="1275"/>
      <c r="AF132" s="1721"/>
      <c r="AG132" s="1275"/>
      <c r="AH132" s="1057"/>
      <c r="AI132" s="1644"/>
      <c r="AJ132" s="1644"/>
      <c r="AK132" s="1644"/>
      <c r="AL132" s="758"/>
      <c r="AM132" s="1625"/>
      <c r="AN132" s="1625"/>
      <c r="AO132" s="1625"/>
      <c r="AP132" s="1625"/>
      <c r="AQ132" s="1625"/>
      <c r="AR132" s="848"/>
      <c r="AS132" s="848"/>
      <c r="AT132" s="848"/>
      <c r="AU132" s="848"/>
      <c r="AV132" s="848"/>
      <c r="AW132" s="848"/>
      <c r="AX132" s="848"/>
      <c r="AY132" s="848"/>
      <c r="AZ132" s="848"/>
      <c r="BA132" s="848"/>
      <c r="BB132" s="848"/>
      <c r="BC132" s="848"/>
      <c r="BD132" s="848"/>
      <c r="BE132" s="848"/>
      <c r="BF132" s="848"/>
      <c r="BG132" s="685"/>
      <c r="BH132" s="848"/>
      <c r="BI132" s="848"/>
      <c r="BJ132" s="848"/>
      <c r="BK132" s="848"/>
      <c r="BL132" s="848"/>
      <c r="BM132" s="848"/>
      <c r="BN132" s="1229"/>
      <c r="BO132" s="721">
        <f t="shared" si="3"/>
        <v>0</v>
      </c>
    </row>
    <row r="133" spans="1:70" s="686" customFormat="1" x14ac:dyDescent="0.2">
      <c r="A133" s="840">
        <v>61</v>
      </c>
      <c r="B133" s="1712">
        <v>61</v>
      </c>
      <c r="C133" s="1613"/>
      <c r="D133" s="1248" t="str">
        <f>IF(AND(C133="",C131&lt;&gt;""),"Enter Facility "&amp;TEXT(A133,0)&amp;" Name, then Fill in Columns "&amp;TEXT($H$2,0)&amp;" - "&amp;TEXT($AH$2,0)&amp;"       ","")</f>
        <v/>
      </c>
      <c r="E133" s="1245" t="str">
        <f>IF(AL133="N/A","",AL133)</f>
        <v/>
      </c>
      <c r="F133" s="758"/>
      <c r="G133" s="758"/>
      <c r="H133" s="1614"/>
      <c r="I133" s="758"/>
      <c r="J133" s="1615"/>
      <c r="K133" s="1248" t="str">
        <f>IF(E133&lt;&gt;"","Enter Street Address                   ","")</f>
        <v/>
      </c>
      <c r="L133" s="1615"/>
      <c r="M133" s="1248" t="str">
        <f>IF(E133&lt;&gt;"","Enter City Name       ","")</f>
        <v/>
      </c>
      <c r="N133" s="1613"/>
      <c r="O133" s="1248" t="str">
        <f>IF(E133&lt;&gt;"","Select from Pull-Down List   ","")</f>
        <v/>
      </c>
      <c r="P133" s="1616"/>
      <c r="Q133" s="1248" t="str">
        <f>IF($E133&lt;&gt;"","Enter ZIP Code       ","")</f>
        <v/>
      </c>
      <c r="R133" s="1617"/>
      <c r="S133" s="1618" t="str">
        <f>IF($E133&lt;&gt;"","Select from Pull-Down List  ","")</f>
        <v/>
      </c>
      <c r="T133" s="1617"/>
      <c r="U133" s="1618" t="str">
        <f>IF(AND($C133&lt;&gt;"",T133=""),"Select from Pull-Down List  ","")</f>
        <v/>
      </c>
      <c r="V133" s="1619"/>
      <c r="W133" s="1248" t="str">
        <f>IF(E133&lt;&gt;"","Year?   ","")</f>
        <v/>
      </c>
      <c r="X133" s="1247"/>
      <c r="Y133" s="1620" t="str">
        <f>IF(E133&lt;&gt;"","Sq. Feet?   ","")</f>
        <v/>
      </c>
      <c r="Z133" s="1621"/>
      <c r="AA133" s="1618" t="str">
        <f>IF($E133&lt;&gt;"","% of Cap Resp.","")</f>
        <v/>
      </c>
      <c r="AB133" s="1782" t="str">
        <f ca="1">IFERROR(IF(BK133="", "", IF(BK133&gt;100, 1, VLOOKUP(BK133, Valid!$W$1:$AA$101, VLOOKUP(T133, Codes!$G$7:$I$17, 3, FALSE), FALSE))), "")</f>
        <v/>
      </c>
      <c r="AC133" s="1618"/>
      <c r="AD133" s="1247"/>
      <c r="AE133" s="1620" t="str">
        <f>IF($E133&lt;&gt;"","Drop-Down    ","")</f>
        <v/>
      </c>
      <c r="AF133" s="1720"/>
      <c r="AG133" s="1620" t="b">
        <f>IF(E133&lt;&gt;"","Date?   ")</f>
        <v>0</v>
      </c>
      <c r="AH133" s="1613"/>
      <c r="AI133" s="1248" t="str">
        <f>IF(OR(T133="Other (describe in Notes)",T133="Dual Administrative and Maintenance Facility"),"Describe Facility                                                                                         ","")</f>
        <v/>
      </c>
      <c r="AJ133" s="1624"/>
      <c r="AK133" s="1624" t="b">
        <f>IF(AND(C133="",C135&lt;&gt;""),TRUE,FALSE)</f>
        <v>0</v>
      </c>
      <c r="AL133" s="1624" t="str">
        <f>IF(AND($C133&lt;&gt;"",OR($J133="",$L133="",$N133="",$P133="",$R133="",$T133="",$V133="",$X133="",$Z133="",$AD133="",$AF133="")),"No",IF(AND($C133="",OR($H133&lt;&gt;"",$J133&lt;&gt;"",$L133&lt;&gt;"",$N133&lt;&gt;"",$P133&lt;&gt;"",$R133&lt;&gt;"",$T133&lt;&gt;"",$V133&lt;&gt;"",$X133&lt;&gt;"",$Z133&lt;&gt;"",$AD133&lt;&gt;"",$AF133&lt;&gt;"")),"N",IF(AND($H133="",$C133="",$J133="",$L133="",$N133="",$P133="",$R133="",$T133="",$V133="",$X133="",$Z133="",$AD133="",$AF133=""),"N/A",IF(AND($C133&lt;&gt;"",$J133&lt;&gt;"",$L133&lt;&gt;"",$N133&lt;&gt;"",$P133&lt;&gt;"",$R133&lt;&gt;"",$T133&lt;&gt;"",$V133&lt;&gt;"",$X133&lt;&gt;"",$Z133&lt;&gt;"",$AD133&lt;&gt;"",$AF133&lt;&gt;""),"Yes",""))))</f>
        <v>N/A</v>
      </c>
      <c r="AM133" s="1625" t="b">
        <f ca="1">IF(AND($C133="",OR($J133&lt;&gt;"",$L133&lt;&gt;"",$N133&lt;&gt;"",$P133&lt;&gt;"",$R133&lt;&gt;"",$T133&lt;&gt;"",$V133&lt;&gt;"",$X133&lt;&gt;"",$Z133&lt;&gt;"",$AB133&lt;&gt;"",$AF133&lt;&gt;"")),TRUE,FALSE)</f>
        <v>0</v>
      </c>
      <c r="AN133" s="1625" t="b">
        <f>IF(AND($C133&lt;&gt;"",$J133=""),TRUE,FALSE)</f>
        <v>0</v>
      </c>
      <c r="AO133" s="1625" t="b">
        <f>IF(AND($C133&lt;&gt;"",$L133=""),TRUE,FALSE)</f>
        <v>0</v>
      </c>
      <c r="AP133" s="1625" t="b">
        <f>IF(AND($C133&lt;&gt;"",$N133=""),TRUE,FALSE)</f>
        <v>0</v>
      </c>
      <c r="AQ133" s="1625" t="b">
        <f>IF(AND($C133&lt;&gt;"",$P133=""),TRUE,FALSE)</f>
        <v>0</v>
      </c>
      <c r="AR133" s="1625" t="b">
        <f>IF(AND($C133&lt;&gt;"",$R133=""),TRUE,FALSE)</f>
        <v>0</v>
      </c>
      <c r="AS133" s="1625"/>
      <c r="AT133" s="1625" t="b">
        <f ca="1">IF(AND(T133="",OR(V133&lt;&gt;"",X133&lt;&gt;"",Z133&lt;&gt;"",AB133&lt;&gt;"",AF133&lt;&gt;"")),TRUE,FALSE)</f>
        <v>0</v>
      </c>
      <c r="AU133" s="1625" t="b">
        <f>IF(AND($C133&lt;&gt;"",$T133=""),TRUE,FALSE)</f>
        <v>0</v>
      </c>
      <c r="AV133" s="1625" t="b">
        <f>IF(V133="",FALSE,IF(T133="",FALSE,IF(AW133=TRUE,FALSE,IF(OR(V133&lt;BI133,V133&gt;BaseYear),TRUE,FALSE))))</f>
        <v>0</v>
      </c>
      <c r="AW133" s="1625" t="b">
        <f>IF(AND($C133&lt;&gt;"",$V133=""),TRUE,FALSE)</f>
        <v>0</v>
      </c>
      <c r="AX133" s="1625" t="b">
        <f>IF(X133="",FALSE,IF(T133="",FALSE,IF(AZ133=TRUE,FALSE,IF(X133&lt;BL133,TRUE,FALSE))))</f>
        <v>0</v>
      </c>
      <c r="AY133" s="1625" t="b">
        <f>IF(X133="",FALSE,IF(T133="",FALSE,IF(AZ133=TRUE,FALSE,IF(X133&gt;BM133,TRUE,FALSE))))</f>
        <v>0</v>
      </c>
      <c r="AZ133" s="1625" t="b">
        <f>IF(AND($C133&lt;&gt;"",$X133=""),TRUE,FALSE)</f>
        <v>0</v>
      </c>
      <c r="BA133" s="1626" t="b">
        <f>IF(BB133=TRUE,FALSE,IF(OR(Z133&lt;0,Z133&gt;1),TRUE,FALSE))</f>
        <v>0</v>
      </c>
      <c r="BB133" s="1625" t="b">
        <f>IF(AND($C133&lt;&gt;"",$Z133=""),TRUE,FALSE)</f>
        <v>0</v>
      </c>
      <c r="BC133" s="1626"/>
      <c r="BD133" s="1625" t="b">
        <f ca="1">IF(AND($C133&lt;&gt;"",$AB133=""),TRUE,FALSE)</f>
        <v>0</v>
      </c>
      <c r="BE133" s="1626" t="b">
        <f>IF(OR(AF133="", V133=""),FALSE,IF(COUNT(FIND({0,1,2,3,4,5,6,7,8,9}, AF133))=0, FALSE, IF(YEAR(AF133)&lt;V133, TRUE, FALSE)))</f>
        <v>0</v>
      </c>
      <c r="BF133" s="1625" t="b">
        <f>IF(AND($C133&lt;&gt;"",$AF133=""),TRUE,FALSE)</f>
        <v>0</v>
      </c>
      <c r="BG133" s="721"/>
      <c r="BH133" s="1625" t="str">
        <f>IF($T133="","",VLOOKUP($T133,val_facilities,BH$3,FALSE))</f>
        <v/>
      </c>
      <c r="BI133" s="1627" t="str">
        <f>IF($T133="","",VLOOKUP($T133,val_facilities,BI$3,FALSE))</f>
        <v/>
      </c>
      <c r="BJ133" s="1627" t="str">
        <f>IF($T133="","",VLOOKUP($T133,val_facilities,BJ$3,FALSE))</f>
        <v/>
      </c>
      <c r="BK133" s="1627" t="str">
        <f ca="1">IFERROR(IF(V133="", "", YEAR(TODAY())-V133), "")</f>
        <v/>
      </c>
      <c r="BL133" s="845" t="str">
        <f>IF($T133="","",VLOOKUP($T133,val_facilities,BL$3,FALSE))</f>
        <v/>
      </c>
      <c r="BM133" s="845" t="str">
        <f>IF($T133="","",VLOOKUP($T133,val_facilities,BM$3,FALSE))</f>
        <v/>
      </c>
      <c r="BN133" s="758"/>
      <c r="BO133" s="721">
        <f t="shared" si="3"/>
        <v>0</v>
      </c>
      <c r="BP133" s="816"/>
      <c r="BQ133" s="816"/>
      <c r="BR133" s="816"/>
    </row>
    <row r="134" spans="1:70" s="686" customFormat="1" ht="6.75" customHeight="1" thickBot="1" x14ac:dyDescent="0.25">
      <c r="A134" s="1638"/>
      <c r="B134" s="1712">
        <v>61.5</v>
      </c>
      <c r="C134" s="1607"/>
      <c r="D134" s="1248"/>
      <c r="E134" s="721"/>
      <c r="F134" s="758"/>
      <c r="G134" s="758"/>
      <c r="H134" s="758"/>
      <c r="I134" s="758"/>
      <c r="J134" s="1628"/>
      <c r="K134" s="1248"/>
      <c r="L134" s="1629"/>
      <c r="M134" s="1248"/>
      <c r="N134" s="1629"/>
      <c r="O134" s="1248"/>
      <c r="P134" s="1630"/>
      <c r="Q134" s="1248"/>
      <c r="R134" s="1223"/>
      <c r="S134" s="1618"/>
      <c r="T134" s="1608"/>
      <c r="U134" s="1618"/>
      <c r="V134" s="1623"/>
      <c r="W134" s="1618"/>
      <c r="X134" s="1631"/>
      <c r="Y134" s="1632"/>
      <c r="Z134" s="822"/>
      <c r="AA134" s="1632"/>
      <c r="AB134" s="1631"/>
      <c r="AC134" s="1632"/>
      <c r="AD134" s="1631"/>
      <c r="AE134" s="1632"/>
      <c r="AF134" s="1719"/>
      <c r="AG134" s="1632"/>
      <c r="AH134" s="1243"/>
      <c r="AI134" s="1248"/>
      <c r="AJ134" s="758"/>
      <c r="AK134" s="758"/>
      <c r="AL134" s="758"/>
      <c r="AM134" s="1625"/>
      <c r="AN134" s="1625"/>
      <c r="AO134" s="1625"/>
      <c r="AP134" s="1625"/>
      <c r="AQ134" s="1625"/>
      <c r="AR134" s="1625"/>
      <c r="AS134" s="1625"/>
      <c r="AT134" s="1625"/>
      <c r="AU134" s="1625"/>
      <c r="AV134" s="1626"/>
      <c r="AW134" s="1626"/>
      <c r="AX134" s="1626"/>
      <c r="AY134" s="1626"/>
      <c r="AZ134" s="1626"/>
      <c r="BA134" s="1626"/>
      <c r="BB134" s="1626"/>
      <c r="BC134" s="1626"/>
      <c r="BD134" s="1626"/>
      <c r="BE134" s="1626"/>
      <c r="BF134" s="1626"/>
      <c r="BG134" s="721"/>
      <c r="BH134" s="1626"/>
      <c r="BI134" s="1626"/>
      <c r="BJ134" s="1626"/>
      <c r="BK134" s="1626"/>
      <c r="BL134" s="1626"/>
      <c r="BM134" s="1626"/>
      <c r="BN134" s="758"/>
      <c r="BO134" s="721">
        <f t="shared" si="3"/>
        <v>0</v>
      </c>
      <c r="BP134" s="721"/>
      <c r="BQ134" s="721"/>
      <c r="BR134" s="721"/>
    </row>
    <row r="135" spans="1:70" s="686" customFormat="1" x14ac:dyDescent="0.2">
      <c r="A135" s="840">
        <v>62</v>
      </c>
      <c r="B135" s="1712">
        <v>62</v>
      </c>
      <c r="C135" s="1613"/>
      <c r="D135" s="1248" t="str">
        <f>IF(AND(C135="",C133&lt;&gt;""),"Enter Facility "&amp;TEXT(A135,0)&amp;" Name, then Fill in Columns "&amp;TEXT($H$2,0)&amp;" - "&amp;TEXT($AH$2,0)&amp;"       ","")</f>
        <v/>
      </c>
      <c r="E135" s="1245" t="str">
        <f>IF(AL135="N/A","",AL135)</f>
        <v/>
      </c>
      <c r="F135" s="758"/>
      <c r="G135" s="758"/>
      <c r="H135" s="1614"/>
      <c r="I135" s="758"/>
      <c r="J135" s="1615"/>
      <c r="K135" s="1248" t="str">
        <f>IF(E135&lt;&gt;"","Enter Street Address                   ","")</f>
        <v/>
      </c>
      <c r="L135" s="1615"/>
      <c r="M135" s="1248" t="str">
        <f>IF(E135&lt;&gt;"","Enter City Name       ","")</f>
        <v/>
      </c>
      <c r="N135" s="1613"/>
      <c r="O135" s="1248" t="str">
        <f>IF(E135&lt;&gt;"","Select from Pull-Down List   ","")</f>
        <v/>
      </c>
      <c r="P135" s="1616"/>
      <c r="Q135" s="1248" t="str">
        <f>IF($E135&lt;&gt;"","Enter ZIP Code       ","")</f>
        <v/>
      </c>
      <c r="R135" s="1617"/>
      <c r="S135" s="1618" t="str">
        <f>IF($E135&lt;&gt;"","Select from Pull-Down List  ","")</f>
        <v/>
      </c>
      <c r="T135" s="1617"/>
      <c r="U135" s="1618" t="str">
        <f>IF(AND($C135&lt;&gt;"",T135=""),"Select from Pull-Down List  ","")</f>
        <v/>
      </c>
      <c r="V135" s="1619"/>
      <c r="W135" s="1248" t="str">
        <f>IF(E135&lt;&gt;"","Year?   ","")</f>
        <v/>
      </c>
      <c r="X135" s="1247"/>
      <c r="Y135" s="1620" t="str">
        <f>IF(E135&lt;&gt;"","Sq. Feet?   ","")</f>
        <v/>
      </c>
      <c r="Z135" s="1621"/>
      <c r="AA135" s="1618" t="str">
        <f>IF($E135&lt;&gt;"","% of Cap Resp.","")</f>
        <v/>
      </c>
      <c r="AB135" s="1782" t="str">
        <f ca="1">IFERROR(IF(BK135="", "", IF(BK135&gt;100, 1, VLOOKUP(BK135, Valid!$W$1:$AA$101, VLOOKUP(T135, Codes!$G$7:$I$17, 3, FALSE), FALSE))), "")</f>
        <v/>
      </c>
      <c r="AC135" s="1618"/>
      <c r="AD135" s="1247"/>
      <c r="AE135" s="1620" t="str">
        <f>IF($E135&lt;&gt;"","Drop-Down    ","")</f>
        <v/>
      </c>
      <c r="AF135" s="1720"/>
      <c r="AG135" s="1620" t="b">
        <f>IF(E135&lt;&gt;"","Date?   ")</f>
        <v>0</v>
      </c>
      <c r="AH135" s="1613"/>
      <c r="AI135" s="1248" t="str">
        <f>IF(OR(T135="Other (describe in Notes)",T135="Dual Administrative and Maintenance Facility"),"Describe Facility                                                                                         ","")</f>
        <v/>
      </c>
      <c r="AJ135" s="1624"/>
      <c r="AK135" s="1624" t="b">
        <f>IF(AND(C135="",C137&lt;&gt;""),TRUE,FALSE)</f>
        <v>0</v>
      </c>
      <c r="AL135" s="1624" t="str">
        <f>IF(AND($C135&lt;&gt;"",OR($J135="",$L135="",$N135="",$P135="",$R135="",$T135="",$V135="",$X135="",$Z135="",$AD135="",$AF135="")),"No",IF(AND($C135="",OR($H135&lt;&gt;"",$J135&lt;&gt;"",$L135&lt;&gt;"",$N135&lt;&gt;"",$P135&lt;&gt;"",$R135&lt;&gt;"",$T135&lt;&gt;"",$V135&lt;&gt;"",$X135&lt;&gt;"",$Z135&lt;&gt;"",$AD135&lt;&gt;"",$AF135&lt;&gt;"")),"N",IF(AND($H135="",$C135="",$J135="",$L135="",$N135="",$P135="",$R135="",$T135="",$V135="",$X135="",$Z135="",$AD135="",$AF135=""),"N/A",IF(AND($C135&lt;&gt;"",$J135&lt;&gt;"",$L135&lt;&gt;"",$N135&lt;&gt;"",$P135&lt;&gt;"",$R135&lt;&gt;"",$T135&lt;&gt;"",$V135&lt;&gt;"",$X135&lt;&gt;"",$Z135&lt;&gt;"",$AD135&lt;&gt;"",$AF135&lt;&gt;""),"Yes",""))))</f>
        <v>N/A</v>
      </c>
      <c r="AM135" s="1625" t="b">
        <f ca="1">IF(AND($C135="",OR($J135&lt;&gt;"",$L135&lt;&gt;"",$N135&lt;&gt;"",$P135&lt;&gt;"",$R135&lt;&gt;"",$T135&lt;&gt;"",$V135&lt;&gt;"",$X135&lt;&gt;"",$Z135&lt;&gt;"",$AB135&lt;&gt;"",$AF135&lt;&gt;"")),TRUE,FALSE)</f>
        <v>0</v>
      </c>
      <c r="AN135" s="1625" t="b">
        <f>IF(AND($C135&lt;&gt;"",$J135=""),TRUE,FALSE)</f>
        <v>0</v>
      </c>
      <c r="AO135" s="1625" t="b">
        <f>IF(AND($C135&lt;&gt;"",$L135=""),TRUE,FALSE)</f>
        <v>0</v>
      </c>
      <c r="AP135" s="1625" t="b">
        <f>IF(AND($C135&lt;&gt;"",$N135=""),TRUE,FALSE)</f>
        <v>0</v>
      </c>
      <c r="AQ135" s="1625" t="b">
        <f>IF(AND($C135&lt;&gt;"",$P135=""),TRUE,FALSE)</f>
        <v>0</v>
      </c>
      <c r="AR135" s="1625" t="b">
        <f>IF(AND($C135&lt;&gt;"",$R135=""),TRUE,FALSE)</f>
        <v>0</v>
      </c>
      <c r="AS135" s="1625"/>
      <c r="AT135" s="1625" t="b">
        <f ca="1">IF(AND(T135="",OR(V135&lt;&gt;"",X135&lt;&gt;"",Z135&lt;&gt;"",AB135&lt;&gt;"",AF135&lt;&gt;"")),TRUE,FALSE)</f>
        <v>0</v>
      </c>
      <c r="AU135" s="1625" t="b">
        <f>IF(AND($C135&lt;&gt;"",$T135=""),TRUE,FALSE)</f>
        <v>0</v>
      </c>
      <c r="AV135" s="1625" t="b">
        <f>IF(V135="",FALSE,IF(T135="",FALSE,IF(AW135=TRUE,FALSE,IF(OR(V135&lt;BI135,V135&gt;BaseYear),TRUE,FALSE))))</f>
        <v>0</v>
      </c>
      <c r="AW135" s="1625" t="b">
        <f>IF(AND($C135&lt;&gt;"",$V135=""),TRUE,FALSE)</f>
        <v>0</v>
      </c>
      <c r="AX135" s="1625" t="b">
        <f>IF(X135="",FALSE,IF(T135="",FALSE,IF(AZ135=TRUE,FALSE,IF(X135&lt;BL135,TRUE,FALSE))))</f>
        <v>0</v>
      </c>
      <c r="AY135" s="1625" t="b">
        <f>IF(X135="",FALSE,IF(T135="",FALSE,IF(AZ135=TRUE,FALSE,IF(X135&gt;BM135,TRUE,FALSE))))</f>
        <v>0</v>
      </c>
      <c r="AZ135" s="1625" t="b">
        <f>IF(AND($C135&lt;&gt;"",$X135=""),TRUE,FALSE)</f>
        <v>0</v>
      </c>
      <c r="BA135" s="1626" t="b">
        <f>IF(BB135=TRUE,FALSE,IF(OR(Z135&lt;0,Z135&gt;1),TRUE,FALSE))</f>
        <v>0</v>
      </c>
      <c r="BB135" s="1625" t="b">
        <f>IF(AND($C135&lt;&gt;"",$Z135=""),TRUE,FALSE)</f>
        <v>0</v>
      </c>
      <c r="BC135" s="1626"/>
      <c r="BD135" s="1625" t="b">
        <f ca="1">IF(AND($C135&lt;&gt;"",$AB135=""),TRUE,FALSE)</f>
        <v>0</v>
      </c>
      <c r="BE135" s="1626" t="b">
        <f>IF(OR(AF135="", V135=""),FALSE,IF(COUNT(FIND({0,1,2,3,4,5,6,7,8,9}, AF135))=0, FALSE, IF(YEAR(AF135)&lt;V135, TRUE, FALSE)))</f>
        <v>0</v>
      </c>
      <c r="BF135" s="1625" t="b">
        <f>IF(AND($C135&lt;&gt;"",$AF135=""),TRUE,FALSE)</f>
        <v>0</v>
      </c>
      <c r="BG135" s="721"/>
      <c r="BH135" s="1625" t="str">
        <f>IF($T135="","",VLOOKUP($T135,val_facilities,BH$3,FALSE))</f>
        <v/>
      </c>
      <c r="BI135" s="1627" t="str">
        <f>IF($T135="","",VLOOKUP($T135,val_facilities,BI$3,FALSE))</f>
        <v/>
      </c>
      <c r="BJ135" s="1627" t="str">
        <f>IF($T135="","",VLOOKUP($T135,val_facilities,BJ$3,FALSE))</f>
        <v/>
      </c>
      <c r="BK135" s="1627" t="str">
        <f ca="1">IFERROR(IF(V135="", "", YEAR(TODAY())-V135), "")</f>
        <v/>
      </c>
      <c r="BL135" s="845" t="str">
        <f>IF($T135="","",VLOOKUP($T135,val_facilities,BL$3,FALSE))</f>
        <v/>
      </c>
      <c r="BM135" s="845" t="str">
        <f>IF($T135="","",VLOOKUP($T135,val_facilities,BM$3,FALSE))</f>
        <v/>
      </c>
      <c r="BN135" s="758"/>
      <c r="BO135" s="721">
        <f t="shared" si="3"/>
        <v>0</v>
      </c>
      <c r="BP135" s="816"/>
      <c r="BQ135" s="816"/>
      <c r="BR135" s="816"/>
    </row>
    <row r="136" spans="1:70" s="686" customFormat="1" ht="6.75" customHeight="1" thickBot="1" x14ac:dyDescent="0.25">
      <c r="A136" s="1638"/>
      <c r="B136" s="1712">
        <v>62.5</v>
      </c>
      <c r="C136" s="721"/>
      <c r="D136" s="1248"/>
      <c r="E136" s="816"/>
      <c r="F136" s="758"/>
      <c r="G136" s="758"/>
      <c r="H136" s="758"/>
      <c r="I136" s="758"/>
      <c r="J136" s="1633"/>
      <c r="K136" s="1248"/>
      <c r="L136" s="1634"/>
      <c r="M136" s="1248"/>
      <c r="N136" s="1634"/>
      <c r="O136" s="1248"/>
      <c r="P136" s="1635"/>
      <c r="Q136" s="1248"/>
      <c r="R136" s="1059"/>
      <c r="S136" s="1618"/>
      <c r="T136" s="1636"/>
      <c r="U136" s="1618"/>
      <c r="V136" s="1623"/>
      <c r="W136" s="1618"/>
      <c r="X136" s="722"/>
      <c r="Y136" s="723"/>
      <c r="Z136" s="724"/>
      <c r="AA136" s="723"/>
      <c r="AB136" s="722"/>
      <c r="AC136" s="723"/>
      <c r="AD136" s="722"/>
      <c r="AE136" s="723"/>
      <c r="AF136" s="1717"/>
      <c r="AG136" s="723"/>
      <c r="AH136" s="1637"/>
      <c r="AI136" s="1624"/>
      <c r="AJ136" s="1624"/>
      <c r="AK136" s="1624"/>
      <c r="AL136" s="1624"/>
      <c r="AM136" s="1625"/>
      <c r="AN136" s="1625"/>
      <c r="AO136" s="1625"/>
      <c r="AP136" s="1625"/>
      <c r="AQ136" s="1625"/>
      <c r="AR136" s="1625"/>
      <c r="AS136" s="1625"/>
      <c r="AT136" s="1625"/>
      <c r="AU136" s="1625"/>
      <c r="AV136" s="1626"/>
      <c r="AW136" s="1626"/>
      <c r="AX136" s="1626"/>
      <c r="AY136" s="1626"/>
      <c r="AZ136" s="1626"/>
      <c r="BA136" s="1626"/>
      <c r="BB136" s="1626"/>
      <c r="BC136" s="1626"/>
      <c r="BD136" s="1626"/>
      <c r="BE136" s="1626"/>
      <c r="BF136" s="1626"/>
      <c r="BG136" s="721"/>
      <c r="BH136" s="1626"/>
      <c r="BI136" s="1626"/>
      <c r="BJ136" s="1626"/>
      <c r="BK136" s="1626"/>
      <c r="BL136" s="1626"/>
      <c r="BM136" s="1626"/>
      <c r="BN136" s="758"/>
      <c r="BO136" s="721">
        <f t="shared" si="3"/>
        <v>0</v>
      </c>
      <c r="BP136" s="816"/>
      <c r="BQ136" s="816"/>
      <c r="BR136" s="816"/>
    </row>
    <row r="137" spans="1:70" s="816" customFormat="1" x14ac:dyDescent="0.2">
      <c r="A137" s="840">
        <v>63</v>
      </c>
      <c r="B137" s="1712">
        <v>63</v>
      </c>
      <c r="C137" s="1613"/>
      <c r="D137" s="1248" t="str">
        <f>IF(AND(C137="",C135&lt;&gt;""),"Enter Facility "&amp;TEXT(A137,0)&amp;" Name, then Fill in Columns "&amp;TEXT($H$2,0)&amp;" - "&amp;TEXT($AH$2,0)&amp;"       ","")</f>
        <v/>
      </c>
      <c r="E137" s="1245" t="str">
        <f>IF(AL137="N/A","",AL137)</f>
        <v/>
      </c>
      <c r="F137" s="758"/>
      <c r="G137" s="758"/>
      <c r="H137" s="1614"/>
      <c r="I137" s="758"/>
      <c r="J137" s="1615"/>
      <c r="K137" s="1248" t="str">
        <f>IF(E137&lt;&gt;"","Enter Street Address                   ","")</f>
        <v/>
      </c>
      <c r="L137" s="1615"/>
      <c r="M137" s="1248" t="str">
        <f>IF(E137&lt;&gt;"","Enter City Name       ","")</f>
        <v/>
      </c>
      <c r="N137" s="1613"/>
      <c r="O137" s="1248" t="str">
        <f>IF(E137&lt;&gt;"","Select from Pull-Down List   ","")</f>
        <v/>
      </c>
      <c r="P137" s="1616"/>
      <c r="Q137" s="1248" t="str">
        <f>IF($E137&lt;&gt;"","Enter ZIP Code       ","")</f>
        <v/>
      </c>
      <c r="R137" s="1617"/>
      <c r="S137" s="1618" t="str">
        <f>IF($E137&lt;&gt;"","Select from Pull-Down List  ","")</f>
        <v/>
      </c>
      <c r="T137" s="1617"/>
      <c r="U137" s="1618" t="str">
        <f>IF(AND($C137&lt;&gt;"",T137=""),"Select from Pull-Down List  ","")</f>
        <v/>
      </c>
      <c r="V137" s="1619"/>
      <c r="W137" s="1248" t="str">
        <f>IF(E137&lt;&gt;"","Year?   ","")</f>
        <v/>
      </c>
      <c r="X137" s="1247"/>
      <c r="Y137" s="1620" t="str">
        <f>IF(E137&lt;&gt;"","Sq. Feet?   ","")</f>
        <v/>
      </c>
      <c r="Z137" s="1621"/>
      <c r="AA137" s="1618" t="str">
        <f>IF($E137&lt;&gt;"","% of Cap Resp.","")</f>
        <v/>
      </c>
      <c r="AB137" s="1782" t="str">
        <f ca="1">IFERROR(IF(BK137="", "", IF(BK137&gt;100, 1, VLOOKUP(BK137, Valid!$W$1:$AA$101, VLOOKUP(T137, Codes!$G$7:$I$17, 3, FALSE), FALSE))), "")</f>
        <v/>
      </c>
      <c r="AC137" s="1618"/>
      <c r="AD137" s="1247"/>
      <c r="AE137" s="1620" t="str">
        <f>IF($E137&lt;&gt;"","Drop-Down    ","")</f>
        <v/>
      </c>
      <c r="AF137" s="1720"/>
      <c r="AG137" s="1620" t="b">
        <f>IF(E137&lt;&gt;"","Date?   ")</f>
        <v>0</v>
      </c>
      <c r="AH137" s="1613"/>
      <c r="AI137" s="1248" t="str">
        <f>IF(OR(T137="Other (describe in Notes)",T137="Dual Administrative and Maintenance Facility"),"Describe Facility                                                                                         ","")</f>
        <v/>
      </c>
      <c r="AJ137" s="1624"/>
      <c r="AK137" s="1624" t="b">
        <f>IF(AND(C137="",C139&lt;&gt;""),TRUE,FALSE)</f>
        <v>0</v>
      </c>
      <c r="AL137" s="1624" t="str">
        <f>IF(AND($C137&lt;&gt;"",OR($J137="",$L137="",$N137="",$P137="",$R137="",$T137="",$V137="",$X137="",$Z137="",$AD137="",$AF137="")),"No",IF(AND($C137="",OR($H137&lt;&gt;"",$J137&lt;&gt;"",$L137&lt;&gt;"",$N137&lt;&gt;"",$P137&lt;&gt;"",$R137&lt;&gt;"",$T137&lt;&gt;"",$V137&lt;&gt;"",$X137&lt;&gt;"",$Z137&lt;&gt;"",$AD137&lt;&gt;"",$AF137&lt;&gt;"")),"N",IF(AND($H137="",$C137="",$J137="",$L137="",$N137="",$P137="",$R137="",$T137="",$V137="",$X137="",$Z137="",$AD137="",$AF137=""),"N/A",IF(AND($C137&lt;&gt;"",$J137&lt;&gt;"",$L137&lt;&gt;"",$N137&lt;&gt;"",$P137&lt;&gt;"",$R137&lt;&gt;"",$T137&lt;&gt;"",$V137&lt;&gt;"",$X137&lt;&gt;"",$Z137&lt;&gt;"",$AD137&lt;&gt;"",$AF137&lt;&gt;""),"Yes",""))))</f>
        <v>N/A</v>
      </c>
      <c r="AM137" s="1625" t="b">
        <f ca="1">IF(AND($C137="",OR($J137&lt;&gt;"",$L137&lt;&gt;"",$N137&lt;&gt;"",$P137&lt;&gt;"",$R137&lt;&gt;"",$T137&lt;&gt;"",$V137&lt;&gt;"",$X137&lt;&gt;"",$Z137&lt;&gt;"",$AB137&lt;&gt;"",$AF137&lt;&gt;"")),TRUE,FALSE)</f>
        <v>0</v>
      </c>
      <c r="AN137" s="1625" t="b">
        <f>IF(AND($C137&lt;&gt;"",$J137=""),TRUE,FALSE)</f>
        <v>0</v>
      </c>
      <c r="AO137" s="1625" t="b">
        <f>IF(AND($C137&lt;&gt;"",$L137=""),TRUE,FALSE)</f>
        <v>0</v>
      </c>
      <c r="AP137" s="1625" t="b">
        <f>IF(AND($C137&lt;&gt;"",$N137=""),TRUE,FALSE)</f>
        <v>0</v>
      </c>
      <c r="AQ137" s="1625" t="b">
        <f>IF(AND($C137&lt;&gt;"",$P137=""),TRUE,FALSE)</f>
        <v>0</v>
      </c>
      <c r="AR137" s="1625" t="b">
        <f>IF(AND($C137&lt;&gt;"",$R137=""),TRUE,FALSE)</f>
        <v>0</v>
      </c>
      <c r="AS137" s="1625"/>
      <c r="AT137" s="1625" t="b">
        <f ca="1">IF(AND(T137="",OR(V137&lt;&gt;"",X137&lt;&gt;"",Z137&lt;&gt;"",AB137&lt;&gt;"",AF137&lt;&gt;"")),TRUE,FALSE)</f>
        <v>0</v>
      </c>
      <c r="AU137" s="1625" t="b">
        <f>IF(AND($C137&lt;&gt;"",$T137=""),TRUE,FALSE)</f>
        <v>0</v>
      </c>
      <c r="AV137" s="1625" t="b">
        <f>IF(V137="",FALSE,IF(T137="",FALSE,IF(AW137=TRUE,FALSE,IF(OR(V137&lt;BI137,V137&gt;BaseYear),TRUE,FALSE))))</f>
        <v>0</v>
      </c>
      <c r="AW137" s="1625" t="b">
        <f>IF(AND($C137&lt;&gt;"",$V137=""),TRUE,FALSE)</f>
        <v>0</v>
      </c>
      <c r="AX137" s="1625" t="b">
        <f>IF(X137="",FALSE,IF(T137="",FALSE,IF(AZ137=TRUE,FALSE,IF(X137&lt;BL137,TRUE,FALSE))))</f>
        <v>0</v>
      </c>
      <c r="AY137" s="1625" t="b">
        <f>IF(X137="",FALSE,IF(T137="",FALSE,IF(AZ137=TRUE,FALSE,IF(X137&gt;BM137,TRUE,FALSE))))</f>
        <v>0</v>
      </c>
      <c r="AZ137" s="1625" t="b">
        <f>IF(AND($C137&lt;&gt;"",$X137=""),TRUE,FALSE)</f>
        <v>0</v>
      </c>
      <c r="BA137" s="1626" t="b">
        <f>IF(BB137=TRUE,FALSE,IF(OR(Z137&lt;0,Z137&gt;1),TRUE,FALSE))</f>
        <v>0</v>
      </c>
      <c r="BB137" s="1625" t="b">
        <f>IF(AND($C137&lt;&gt;"",$Z137=""),TRUE,FALSE)</f>
        <v>0</v>
      </c>
      <c r="BC137" s="1626"/>
      <c r="BD137" s="1625" t="b">
        <f ca="1">IF(AND($C137&lt;&gt;"",$AB137=""),TRUE,FALSE)</f>
        <v>0</v>
      </c>
      <c r="BE137" s="1626" t="b">
        <f>IF(OR(AF137="", V137=""),FALSE,IF(COUNT(FIND({0,1,2,3,4,5,6,7,8,9}, AF137))=0, FALSE, IF(YEAR(AF137)&lt;V137, TRUE, FALSE)))</f>
        <v>0</v>
      </c>
      <c r="BF137" s="1625" t="b">
        <f>IF(AND($C137&lt;&gt;"",$AF137=""),TRUE,FALSE)</f>
        <v>0</v>
      </c>
      <c r="BG137" s="721"/>
      <c r="BH137" s="1625" t="str">
        <f>IF($T137="","",VLOOKUP($T137,val_facilities,BH$3,FALSE))</f>
        <v/>
      </c>
      <c r="BI137" s="1627" t="str">
        <f>IF($T137="","",VLOOKUP($T137,val_facilities,BI$3,FALSE))</f>
        <v/>
      </c>
      <c r="BJ137" s="1627" t="str">
        <f>IF($T137="","",VLOOKUP($T137,val_facilities,BJ$3,FALSE))</f>
        <v/>
      </c>
      <c r="BK137" s="1627" t="str">
        <f ca="1">IFERROR(IF(V137="", "", YEAR(TODAY())-V137), "")</f>
        <v/>
      </c>
      <c r="BL137" s="845" t="str">
        <f>IF($T137="","",VLOOKUP($T137,val_facilities,BL$3,FALSE))</f>
        <v/>
      </c>
      <c r="BM137" s="845" t="str">
        <f>IF($T137="","",VLOOKUP($T137,val_facilities,BM$3,FALSE))</f>
        <v/>
      </c>
      <c r="BN137" s="758"/>
      <c r="BO137" s="721">
        <f t="shared" si="3"/>
        <v>0</v>
      </c>
    </row>
    <row r="138" spans="1:70" s="816" customFormat="1" ht="6.75" customHeight="1" thickBot="1" x14ac:dyDescent="0.25">
      <c r="A138" s="840"/>
      <c r="B138" s="1712">
        <v>63.5</v>
      </c>
      <c r="C138" s="1057"/>
      <c r="D138" s="1248"/>
      <c r="E138" s="1057"/>
      <c r="F138" s="1229"/>
      <c r="G138" s="1229"/>
      <c r="H138" s="1229"/>
      <c r="I138" s="1229"/>
      <c r="J138" s="1604"/>
      <c r="K138" s="1640"/>
      <c r="L138" s="1641"/>
      <c r="M138" s="1248"/>
      <c r="N138" s="1641"/>
      <c r="O138" s="1248"/>
      <c r="P138" s="1642"/>
      <c r="Q138" s="1248"/>
      <c r="R138" s="1057"/>
      <c r="S138" s="1618"/>
      <c r="T138" s="1643"/>
      <c r="U138" s="1618"/>
      <c r="V138" s="1623"/>
      <c r="W138" s="1618"/>
      <c r="X138" s="733"/>
      <c r="Y138" s="1275"/>
      <c r="Z138" s="685"/>
      <c r="AA138" s="1275"/>
      <c r="AB138" s="733"/>
      <c r="AC138" s="1275"/>
      <c r="AD138" s="733"/>
      <c r="AE138" s="1275"/>
      <c r="AF138" s="1721"/>
      <c r="AG138" s="1275"/>
      <c r="AH138" s="1057"/>
      <c r="AI138" s="1644"/>
      <c r="AJ138" s="1644"/>
      <c r="AK138" s="1644"/>
      <c r="AL138" s="1644"/>
      <c r="AM138" s="1625"/>
      <c r="AN138" s="1625"/>
      <c r="AO138" s="1625"/>
      <c r="AP138" s="1625"/>
      <c r="AQ138" s="1625"/>
      <c r="AR138" s="848"/>
      <c r="AS138" s="848"/>
      <c r="AT138" s="848"/>
      <c r="AU138" s="848"/>
      <c r="AV138" s="848"/>
      <c r="AW138" s="848"/>
      <c r="AX138" s="848"/>
      <c r="AY138" s="848"/>
      <c r="AZ138" s="848"/>
      <c r="BA138" s="848"/>
      <c r="BB138" s="848"/>
      <c r="BC138" s="848"/>
      <c r="BD138" s="848"/>
      <c r="BE138" s="848"/>
      <c r="BF138" s="848"/>
      <c r="BG138" s="685"/>
      <c r="BH138" s="848"/>
      <c r="BI138" s="848"/>
      <c r="BJ138" s="848"/>
      <c r="BK138" s="848"/>
      <c r="BL138" s="848"/>
      <c r="BM138" s="848"/>
      <c r="BN138" s="1229"/>
      <c r="BO138" s="721">
        <f t="shared" si="3"/>
        <v>0</v>
      </c>
      <c r="BP138" s="686"/>
      <c r="BQ138" s="686"/>
      <c r="BR138" s="686"/>
    </row>
    <row r="139" spans="1:70" s="816" customFormat="1" x14ac:dyDescent="0.2">
      <c r="A139" s="840">
        <v>64</v>
      </c>
      <c r="B139" s="1712">
        <v>64</v>
      </c>
      <c r="C139" s="1613"/>
      <c r="D139" s="1248" t="str">
        <f>IF(AND(C139="",C137&lt;&gt;""),"Enter Facility "&amp;TEXT(A139,0)&amp;" Name, then Fill in Columns "&amp;TEXT($H$2,0)&amp;" - "&amp;TEXT($AH$2,0)&amp;"       ","")</f>
        <v/>
      </c>
      <c r="E139" s="1245" t="str">
        <f>IF(AL139="N/A","",AL139)</f>
        <v/>
      </c>
      <c r="F139" s="758"/>
      <c r="G139" s="758"/>
      <c r="H139" s="1614"/>
      <c r="I139" s="758"/>
      <c r="J139" s="1615"/>
      <c r="K139" s="1248" t="str">
        <f>IF(E139&lt;&gt;"","Enter Street Address                   ","")</f>
        <v/>
      </c>
      <c r="L139" s="1615"/>
      <c r="M139" s="1248" t="str">
        <f>IF(E139&lt;&gt;"","Enter City Name       ","")</f>
        <v/>
      </c>
      <c r="N139" s="1613"/>
      <c r="O139" s="1248" t="str">
        <f>IF(E139&lt;&gt;"","Select from Pull-Down List   ","")</f>
        <v/>
      </c>
      <c r="P139" s="1616"/>
      <c r="Q139" s="1248" t="str">
        <f>IF($E139&lt;&gt;"","Enter ZIP Code       ","")</f>
        <v/>
      </c>
      <c r="R139" s="1617"/>
      <c r="S139" s="1618" t="str">
        <f>IF($E139&lt;&gt;"","Select from Pull-Down List  ","")</f>
        <v/>
      </c>
      <c r="T139" s="1617"/>
      <c r="U139" s="1618" t="str">
        <f>IF(AND($C139&lt;&gt;"",T139=""),"Select from Pull-Down List  ","")</f>
        <v/>
      </c>
      <c r="V139" s="1619"/>
      <c r="W139" s="1248" t="str">
        <f>IF(E139&lt;&gt;"","Year?   ","")</f>
        <v/>
      </c>
      <c r="X139" s="1247"/>
      <c r="Y139" s="1620" t="str">
        <f>IF(E139&lt;&gt;"","Sq. Feet?   ","")</f>
        <v/>
      </c>
      <c r="Z139" s="1621"/>
      <c r="AA139" s="1618" t="str">
        <f>IF($E139&lt;&gt;"","% of Cap Resp.","")</f>
        <v/>
      </c>
      <c r="AB139" s="1782" t="str">
        <f ca="1">IFERROR(IF(BK139="", "", IF(BK139&gt;100, 1, VLOOKUP(BK139, Valid!$W$1:$AA$101, VLOOKUP(T139, Codes!$G$7:$I$17, 3, FALSE), FALSE))), "")</f>
        <v/>
      </c>
      <c r="AC139" s="1618"/>
      <c r="AD139" s="1247"/>
      <c r="AE139" s="1620" t="str">
        <f>IF($E139&lt;&gt;"","Drop-Down    ","")</f>
        <v/>
      </c>
      <c r="AF139" s="1720"/>
      <c r="AG139" s="1620" t="b">
        <f>IF(E139&lt;&gt;"","Date?   ")</f>
        <v>0</v>
      </c>
      <c r="AH139" s="1613"/>
      <c r="AI139" s="1248" t="str">
        <f>IF(OR(T139="Other (describe in Notes)",T139="Dual Administrative and Maintenance Facility"),"Describe Facility                                                                                         ","")</f>
        <v/>
      </c>
      <c r="AJ139" s="1624"/>
      <c r="AK139" s="1624" t="b">
        <f>IF(AND(C139="",C141&lt;&gt;""),TRUE,FALSE)</f>
        <v>0</v>
      </c>
      <c r="AL139" s="1624" t="str">
        <f>IF(AND($C139&lt;&gt;"",OR($J139="",$L139="",$N139="",$P139="",$R139="",$T139="",$V139="",$X139="",$Z139="",$AD139="",$AF139="")),"No",IF(AND($C139="",OR($H139&lt;&gt;"",$J139&lt;&gt;"",$L139&lt;&gt;"",$N139&lt;&gt;"",$P139&lt;&gt;"",$R139&lt;&gt;"",$T139&lt;&gt;"",$V139&lt;&gt;"",$X139&lt;&gt;"",$Z139&lt;&gt;"",$AD139&lt;&gt;"",$AF139&lt;&gt;"")),"N",IF(AND($H139="",$C139="",$J139="",$L139="",$N139="",$P139="",$R139="",$T139="",$V139="",$X139="",$Z139="",$AD139="",$AF139=""),"N/A",IF(AND($C139&lt;&gt;"",$J139&lt;&gt;"",$L139&lt;&gt;"",$N139&lt;&gt;"",$P139&lt;&gt;"",$R139&lt;&gt;"",$T139&lt;&gt;"",$V139&lt;&gt;"",$X139&lt;&gt;"",$Z139&lt;&gt;"",$AD139&lt;&gt;"",$AF139&lt;&gt;""),"Yes",""))))</f>
        <v>N/A</v>
      </c>
      <c r="AM139" s="1625" t="b">
        <f ca="1">IF(AND($C139="",OR($J139&lt;&gt;"",$L139&lt;&gt;"",$N139&lt;&gt;"",$P139&lt;&gt;"",$R139&lt;&gt;"",$T139&lt;&gt;"",$V139&lt;&gt;"",$X139&lt;&gt;"",$Z139&lt;&gt;"",$AB139&lt;&gt;"",$AF139&lt;&gt;"")),TRUE,FALSE)</f>
        <v>0</v>
      </c>
      <c r="AN139" s="1625" t="b">
        <f>IF(AND($C139&lt;&gt;"",$J139=""),TRUE,FALSE)</f>
        <v>0</v>
      </c>
      <c r="AO139" s="1625" t="b">
        <f>IF(AND($C139&lt;&gt;"",$L139=""),TRUE,FALSE)</f>
        <v>0</v>
      </c>
      <c r="AP139" s="1625" t="b">
        <f>IF(AND($C139&lt;&gt;"",$N139=""),TRUE,FALSE)</f>
        <v>0</v>
      </c>
      <c r="AQ139" s="1625" t="b">
        <f>IF(AND($C139&lt;&gt;"",$P139=""),TRUE,FALSE)</f>
        <v>0</v>
      </c>
      <c r="AR139" s="1625" t="b">
        <f>IF(AND($C139&lt;&gt;"",$R139=""),TRUE,FALSE)</f>
        <v>0</v>
      </c>
      <c r="AS139" s="1625"/>
      <c r="AT139" s="1625" t="b">
        <f ca="1">IF(AND(T139="",OR(V139&lt;&gt;"",X139&lt;&gt;"",Z139&lt;&gt;"",AB139&lt;&gt;"",AF139&lt;&gt;"")),TRUE,FALSE)</f>
        <v>0</v>
      </c>
      <c r="AU139" s="1625" t="b">
        <f>IF(AND($C139&lt;&gt;"",$T139=""),TRUE,FALSE)</f>
        <v>0</v>
      </c>
      <c r="AV139" s="1625" t="b">
        <f>IF(V139="",FALSE,IF(T139="",FALSE,IF(AW139=TRUE,FALSE,IF(OR(V139&lt;BI139,V139&gt;BaseYear),TRUE,FALSE))))</f>
        <v>0</v>
      </c>
      <c r="AW139" s="1625" t="b">
        <f>IF(AND($C139&lt;&gt;"",$V139=""),TRUE,FALSE)</f>
        <v>0</v>
      </c>
      <c r="AX139" s="1625" t="b">
        <f>IF(X139="",FALSE,IF(T139="",FALSE,IF(AZ139=TRUE,FALSE,IF(X139&lt;BL139,TRUE,FALSE))))</f>
        <v>0</v>
      </c>
      <c r="AY139" s="1625" t="b">
        <f>IF(X139="",FALSE,IF(T139="",FALSE,IF(AZ139=TRUE,FALSE,IF(X139&gt;BM139,TRUE,FALSE))))</f>
        <v>0</v>
      </c>
      <c r="AZ139" s="1625" t="b">
        <f>IF(AND($C139&lt;&gt;"",$X139=""),TRUE,FALSE)</f>
        <v>0</v>
      </c>
      <c r="BA139" s="1626" t="b">
        <f>IF(BB139=TRUE,FALSE,IF(OR(Z139&lt;0,Z139&gt;1),TRUE,FALSE))</f>
        <v>0</v>
      </c>
      <c r="BB139" s="1625" t="b">
        <f>IF(AND($C139&lt;&gt;"",$Z139=""),TRUE,FALSE)</f>
        <v>0</v>
      </c>
      <c r="BC139" s="1626"/>
      <c r="BD139" s="1625" t="b">
        <f ca="1">IF(AND($C139&lt;&gt;"",$AB139=""),TRUE,FALSE)</f>
        <v>0</v>
      </c>
      <c r="BE139" s="1626" t="b">
        <f>IF(OR(AF139="", V139=""),FALSE,IF(COUNT(FIND({0,1,2,3,4,5,6,7,8,9}, AF139))=0, FALSE, IF(YEAR(AF139)&lt;V139, TRUE, FALSE)))</f>
        <v>0</v>
      </c>
      <c r="BF139" s="1625" t="b">
        <f>IF(AND($C139&lt;&gt;"",$AF139=""),TRUE,FALSE)</f>
        <v>0</v>
      </c>
      <c r="BG139" s="721"/>
      <c r="BH139" s="1625" t="str">
        <f>IF($T139="","",VLOOKUP($T139,val_facilities,BH$3,FALSE))</f>
        <v/>
      </c>
      <c r="BI139" s="1627" t="str">
        <f>IF($T139="","",VLOOKUP($T139,val_facilities,BI$3,FALSE))</f>
        <v/>
      </c>
      <c r="BJ139" s="1627" t="str">
        <f>IF($T139="","",VLOOKUP($T139,val_facilities,BJ$3,FALSE))</f>
        <v/>
      </c>
      <c r="BK139" s="1627" t="str">
        <f ca="1">IFERROR(IF(V139="", "", YEAR(TODAY())-V139), "")</f>
        <v/>
      </c>
      <c r="BL139" s="845" t="str">
        <f>IF($T139="","",VLOOKUP($T139,val_facilities,BL$3,FALSE))</f>
        <v/>
      </c>
      <c r="BM139" s="845" t="str">
        <f>IF($T139="","",VLOOKUP($T139,val_facilities,BM$3,FALSE))</f>
        <v/>
      </c>
      <c r="BN139" s="758"/>
      <c r="BO139" s="721">
        <f t="shared" si="3"/>
        <v>0</v>
      </c>
    </row>
    <row r="140" spans="1:70" s="686" customFormat="1" ht="6.75" customHeight="1" thickBot="1" x14ac:dyDescent="0.25">
      <c r="A140" s="1638"/>
      <c r="B140" s="1712">
        <v>64.5</v>
      </c>
      <c r="C140" s="1057"/>
      <c r="D140" s="764"/>
      <c r="E140" s="1639"/>
      <c r="F140" s="1229"/>
      <c r="G140" s="1229"/>
      <c r="H140" s="1229"/>
      <c r="I140" s="1229"/>
      <c r="J140" s="1604"/>
      <c r="K140" s="1640"/>
      <c r="L140" s="1645"/>
      <c r="M140" s="1646"/>
      <c r="N140" s="1645"/>
      <c r="O140" s="1646"/>
      <c r="P140" s="1647"/>
      <c r="Q140" s="1646"/>
      <c r="R140" s="1057"/>
      <c r="S140" s="1618"/>
      <c r="T140" s="1643"/>
      <c r="U140" s="1618"/>
      <c r="V140" s="1623"/>
      <c r="W140" s="1618"/>
      <c r="X140" s="722"/>
      <c r="Y140" s="1648"/>
      <c r="Z140" s="841"/>
      <c r="AA140" s="1648"/>
      <c r="AB140" s="722"/>
      <c r="AC140" s="1648"/>
      <c r="AD140" s="722"/>
      <c r="AE140" s="1648"/>
      <c r="AF140" s="1717"/>
      <c r="AG140" s="1648"/>
      <c r="AH140" s="1057"/>
      <c r="AI140" s="1644"/>
      <c r="AJ140" s="1644"/>
      <c r="AK140" s="1644"/>
      <c r="AL140" s="1644"/>
      <c r="AM140" s="1625"/>
      <c r="AN140" s="1625"/>
      <c r="AO140" s="1625"/>
      <c r="AP140" s="1625"/>
      <c r="AQ140" s="1625"/>
      <c r="AR140" s="848"/>
      <c r="AS140" s="848"/>
      <c r="AT140" s="848"/>
      <c r="AU140" s="848"/>
      <c r="AV140" s="848"/>
      <c r="AW140" s="848"/>
      <c r="AX140" s="848"/>
      <c r="AY140" s="848"/>
      <c r="AZ140" s="848"/>
      <c r="BA140" s="848"/>
      <c r="BB140" s="848"/>
      <c r="BC140" s="848"/>
      <c r="BD140" s="848"/>
      <c r="BE140" s="848"/>
      <c r="BF140" s="848"/>
      <c r="BG140" s="685"/>
      <c r="BH140" s="848"/>
      <c r="BI140" s="848"/>
      <c r="BJ140" s="848"/>
      <c r="BK140" s="848"/>
      <c r="BL140" s="848"/>
      <c r="BM140" s="848"/>
      <c r="BN140" s="1229"/>
      <c r="BO140" s="721">
        <f t="shared" si="3"/>
        <v>0</v>
      </c>
    </row>
    <row r="141" spans="1:70" s="686" customFormat="1" x14ac:dyDescent="0.2">
      <c r="A141" s="840">
        <v>65</v>
      </c>
      <c r="B141" s="1712">
        <v>65</v>
      </c>
      <c r="C141" s="1613"/>
      <c r="D141" s="1248" t="str">
        <f>IF(AND(C141="",C139&lt;&gt;""),"Enter Facility "&amp;TEXT(A141,0)&amp;" Name, then Fill in Columns "&amp;TEXT($H$2,0)&amp;" - "&amp;TEXT($AH$2,0)&amp;"       ","")</f>
        <v/>
      </c>
      <c r="E141" s="1245" t="str">
        <f>IF(AL141="N/A","",AL141)</f>
        <v/>
      </c>
      <c r="F141" s="758"/>
      <c r="G141" s="758"/>
      <c r="H141" s="1614"/>
      <c r="I141" s="758"/>
      <c r="J141" s="1615"/>
      <c r="K141" s="1248" t="str">
        <f>IF(E141&lt;&gt;"","Enter Street Address                   ","")</f>
        <v/>
      </c>
      <c r="L141" s="1615"/>
      <c r="M141" s="1248" t="str">
        <f>IF(E141&lt;&gt;"","Enter City Name       ","")</f>
        <v/>
      </c>
      <c r="N141" s="1613"/>
      <c r="O141" s="1248" t="str">
        <f>IF(E141&lt;&gt;"","Select from Pull-Down List   ","")</f>
        <v/>
      </c>
      <c r="P141" s="1616"/>
      <c r="Q141" s="1248" t="str">
        <f>IF($E141&lt;&gt;"","Enter ZIP Code       ","")</f>
        <v/>
      </c>
      <c r="R141" s="1617"/>
      <c r="S141" s="1618" t="str">
        <f>IF($E141&lt;&gt;"","Select from Pull-Down List  ","")</f>
        <v/>
      </c>
      <c r="T141" s="1617"/>
      <c r="U141" s="1618" t="str">
        <f>IF(AND($C141&lt;&gt;"",T141=""),"Select from Pull-Down List  ","")</f>
        <v/>
      </c>
      <c r="V141" s="1619"/>
      <c r="W141" s="1248" t="str">
        <f>IF(E141&lt;&gt;"","Year?   ","")</f>
        <v/>
      </c>
      <c r="X141" s="1247"/>
      <c r="Y141" s="1620" t="str">
        <f>IF(E141&lt;&gt;"","Sq. Feet?   ","")</f>
        <v/>
      </c>
      <c r="Z141" s="1621"/>
      <c r="AA141" s="1618" t="str">
        <f>IF($E141&lt;&gt;"","% of Cap Resp.","")</f>
        <v/>
      </c>
      <c r="AB141" s="1782" t="str">
        <f ca="1">IFERROR(IF(BK141="", "", IF(BK141&gt;100, 1, VLOOKUP(BK141, Valid!$W$1:$AA$101, VLOOKUP(T141, Codes!$G$7:$I$17, 3, FALSE), FALSE))), "")</f>
        <v/>
      </c>
      <c r="AC141" s="1618"/>
      <c r="AD141" s="1247"/>
      <c r="AE141" s="1620" t="str">
        <f>IF($E141&lt;&gt;"","Drop-Down    ","")</f>
        <v/>
      </c>
      <c r="AF141" s="1720"/>
      <c r="AG141" s="1620" t="b">
        <f>IF(E141&lt;&gt;"","Date?   ")</f>
        <v>0</v>
      </c>
      <c r="AH141" s="1613"/>
      <c r="AI141" s="1248" t="str">
        <f>IF(OR(T141="Other (describe in Notes)",T141="Dual Administrative and Maintenance Facility"),"Describe Facility                                                                                         ","")</f>
        <v/>
      </c>
      <c r="AJ141" s="1624"/>
      <c r="AK141" s="1624" t="b">
        <f>IF(AND(C141="",C143&lt;&gt;""),TRUE,FALSE)</f>
        <v>0</v>
      </c>
      <c r="AL141" s="1624" t="str">
        <f>IF(AND($C141&lt;&gt;"",OR($J141="",$L141="",$N141="",$P141="",$R141="",$T141="",$V141="",$X141="",$Z141="",$AD141="",$AF141="")),"No",IF(AND($C141="",OR($H141&lt;&gt;"",$J141&lt;&gt;"",$L141&lt;&gt;"",$N141&lt;&gt;"",$P141&lt;&gt;"",$R141&lt;&gt;"",$T141&lt;&gt;"",$V141&lt;&gt;"",$X141&lt;&gt;"",$Z141&lt;&gt;"",$AD141&lt;&gt;"",$AF141&lt;&gt;"")),"N",IF(AND($H141="",$C141="",$J141="",$L141="",$N141="",$P141="",$R141="",$T141="",$V141="",$X141="",$Z141="",$AD141="",$AF141=""),"N/A",IF(AND($C141&lt;&gt;"",$J141&lt;&gt;"",$L141&lt;&gt;"",$N141&lt;&gt;"",$P141&lt;&gt;"",$R141&lt;&gt;"",$T141&lt;&gt;"",$V141&lt;&gt;"",$X141&lt;&gt;"",$Z141&lt;&gt;"",$AD141&lt;&gt;"",$AF141&lt;&gt;""),"Yes",""))))</f>
        <v>N/A</v>
      </c>
      <c r="AM141" s="1625" t="b">
        <f ca="1">IF(AND($C141="",OR($J141&lt;&gt;"",$L141&lt;&gt;"",$N141&lt;&gt;"",$P141&lt;&gt;"",$R141&lt;&gt;"",$T141&lt;&gt;"",$V141&lt;&gt;"",$X141&lt;&gt;"",$Z141&lt;&gt;"",$AB141&lt;&gt;"",$AF141&lt;&gt;"")),TRUE,FALSE)</f>
        <v>0</v>
      </c>
      <c r="AN141" s="1625" t="b">
        <f>IF(AND($C141&lt;&gt;"",$J141=""),TRUE,FALSE)</f>
        <v>0</v>
      </c>
      <c r="AO141" s="1625" t="b">
        <f>IF(AND($C141&lt;&gt;"",$L141=""),TRUE,FALSE)</f>
        <v>0</v>
      </c>
      <c r="AP141" s="1625" t="b">
        <f>IF(AND($C141&lt;&gt;"",$N141=""),TRUE,FALSE)</f>
        <v>0</v>
      </c>
      <c r="AQ141" s="1625" t="b">
        <f>IF(AND($C141&lt;&gt;"",$P141=""),TRUE,FALSE)</f>
        <v>0</v>
      </c>
      <c r="AR141" s="1625" t="b">
        <f>IF(AND($C141&lt;&gt;"",$R141=""),TRUE,FALSE)</f>
        <v>0</v>
      </c>
      <c r="AS141" s="1625"/>
      <c r="AT141" s="1625" t="b">
        <f ca="1">IF(AND(T141="",OR(V141&lt;&gt;"",X141&lt;&gt;"",Z141&lt;&gt;"",AB141&lt;&gt;"",AF141&lt;&gt;"")),TRUE,FALSE)</f>
        <v>0</v>
      </c>
      <c r="AU141" s="1625" t="b">
        <f>IF(AND($C141&lt;&gt;"",$T141=""),TRUE,FALSE)</f>
        <v>0</v>
      </c>
      <c r="AV141" s="1625" t="b">
        <f>IF(V141="",FALSE,IF(T141="",FALSE,IF(AW141=TRUE,FALSE,IF(OR(V141&lt;BI141,V141&gt;BaseYear),TRUE,FALSE))))</f>
        <v>0</v>
      </c>
      <c r="AW141" s="1625" t="b">
        <f>IF(AND($C141&lt;&gt;"",$V141=""),TRUE,FALSE)</f>
        <v>0</v>
      </c>
      <c r="AX141" s="1625" t="b">
        <f>IF(X141="",FALSE,IF(T141="",FALSE,IF(AZ141=TRUE,FALSE,IF(X141&lt;BL141,TRUE,FALSE))))</f>
        <v>0</v>
      </c>
      <c r="AY141" s="1625" t="b">
        <f>IF(X141="",FALSE,IF(T141="",FALSE,IF(AZ141=TRUE,FALSE,IF(X141&gt;BM141,TRUE,FALSE))))</f>
        <v>0</v>
      </c>
      <c r="AZ141" s="1625" t="b">
        <f>IF(AND($C141&lt;&gt;"",$X141=""),TRUE,FALSE)</f>
        <v>0</v>
      </c>
      <c r="BA141" s="1626" t="b">
        <f>IF(BB141=TRUE,FALSE,IF(OR(Z141&lt;0,Z141&gt;1),TRUE,FALSE))</f>
        <v>0</v>
      </c>
      <c r="BB141" s="1625" t="b">
        <f>IF(AND($C141&lt;&gt;"",$Z141=""),TRUE,FALSE)</f>
        <v>0</v>
      </c>
      <c r="BC141" s="1626"/>
      <c r="BD141" s="1625" t="b">
        <f ca="1">IF(AND($C141&lt;&gt;"",$AB141=""),TRUE,FALSE)</f>
        <v>0</v>
      </c>
      <c r="BE141" s="1626" t="b">
        <f>IF(OR(AF141="", V141=""),FALSE,IF(COUNT(FIND({0,1,2,3,4,5,6,7,8,9}, AF141))=0, FALSE, IF(YEAR(AF141)&lt;V141, TRUE, FALSE)))</f>
        <v>0</v>
      </c>
      <c r="BF141" s="1625" t="b">
        <f>IF(AND($C141&lt;&gt;"",$AF141=""),TRUE,FALSE)</f>
        <v>0</v>
      </c>
      <c r="BG141" s="721"/>
      <c r="BH141" s="1625" t="str">
        <f>IF($T141="","",VLOOKUP($T141,val_facilities,BH$3,FALSE))</f>
        <v/>
      </c>
      <c r="BI141" s="1627" t="str">
        <f>IF($T141="","",VLOOKUP($T141,val_facilities,BI$3,FALSE))</f>
        <v/>
      </c>
      <c r="BJ141" s="1627" t="str">
        <f>IF($T141="","",VLOOKUP($T141,val_facilities,BJ$3,FALSE))</f>
        <v/>
      </c>
      <c r="BK141" s="1627" t="str">
        <f ca="1">IFERROR(IF(V141="", "", YEAR(TODAY())-V141), "")</f>
        <v/>
      </c>
      <c r="BL141" s="845" t="str">
        <f>IF($T141="","",VLOOKUP($T141,val_facilities,BL$3,FALSE))</f>
        <v/>
      </c>
      <c r="BM141" s="845" t="str">
        <f>IF($T141="","",VLOOKUP($T141,val_facilities,BM$3,FALSE))</f>
        <v/>
      </c>
      <c r="BN141" s="758"/>
      <c r="BO141" s="721">
        <f t="shared" si="3"/>
        <v>0</v>
      </c>
      <c r="BP141" s="816"/>
      <c r="BQ141" s="816"/>
      <c r="BR141" s="816"/>
    </row>
    <row r="142" spans="1:70" s="686" customFormat="1" ht="6.75" customHeight="1" thickBot="1" x14ac:dyDescent="0.25">
      <c r="A142" s="1638"/>
      <c r="B142" s="1712">
        <v>65.5</v>
      </c>
      <c r="C142" s="1057"/>
      <c r="D142" s="1248"/>
      <c r="E142" s="1057"/>
      <c r="F142" s="1229"/>
      <c r="G142" s="1229"/>
      <c r="H142" s="1229"/>
      <c r="I142" s="1229"/>
      <c r="J142" s="1604"/>
      <c r="K142" s="1229"/>
      <c r="L142" s="1605"/>
      <c r="M142" s="1644"/>
      <c r="N142" s="1605"/>
      <c r="O142" s="1644"/>
      <c r="P142" s="1606"/>
      <c r="Q142" s="1644"/>
      <c r="R142" s="1057"/>
      <c r="S142" s="1623"/>
      <c r="T142" s="1643"/>
      <c r="U142" s="1623"/>
      <c r="V142" s="1623"/>
      <c r="W142" s="1623"/>
      <c r="X142" s="722"/>
      <c r="Y142" s="841"/>
      <c r="Z142" s="841"/>
      <c r="AA142" s="841"/>
      <c r="AB142" s="722"/>
      <c r="AC142" s="841"/>
      <c r="AD142" s="722"/>
      <c r="AE142" s="841"/>
      <c r="AF142" s="1717"/>
      <c r="AG142" s="841"/>
      <c r="AH142" s="1057"/>
      <c r="AI142" s="1644"/>
      <c r="AJ142" s="1644"/>
      <c r="AK142" s="1644"/>
      <c r="AL142" s="1644"/>
      <c r="AM142" s="1625"/>
      <c r="AN142" s="1625"/>
      <c r="AO142" s="1625"/>
      <c r="AP142" s="1625"/>
      <c r="AQ142" s="1625"/>
      <c r="AR142" s="848"/>
      <c r="AS142" s="848"/>
      <c r="AT142" s="848"/>
      <c r="AU142" s="848"/>
      <c r="AV142" s="848"/>
      <c r="AW142" s="848"/>
      <c r="AX142" s="848"/>
      <c r="AY142" s="848"/>
      <c r="AZ142" s="848"/>
      <c r="BA142" s="848"/>
      <c r="BB142" s="848"/>
      <c r="BC142" s="848"/>
      <c r="BD142" s="848"/>
      <c r="BE142" s="848"/>
      <c r="BF142" s="848"/>
      <c r="BG142" s="685"/>
      <c r="BH142" s="848"/>
      <c r="BI142" s="848"/>
      <c r="BJ142" s="848"/>
      <c r="BK142" s="848"/>
      <c r="BL142" s="848"/>
      <c r="BM142" s="848"/>
      <c r="BN142" s="1229"/>
      <c r="BO142" s="721">
        <f t="shared" ref="BO142:BO205" si="4">IF(OR(AD142=" ",AD142= "na"),AB142,AD142)</f>
        <v>0</v>
      </c>
    </row>
    <row r="143" spans="1:70" s="686" customFormat="1" x14ac:dyDescent="0.2">
      <c r="A143" s="840">
        <v>66</v>
      </c>
      <c r="B143" s="1712">
        <v>66</v>
      </c>
      <c r="C143" s="1613"/>
      <c r="D143" s="1248" t="str">
        <f>IF(AND(C143="",C141&lt;&gt;""),"Enter Facility "&amp;TEXT(A143,0)&amp;" Name, then Fill in Columns "&amp;TEXT($H$2,0)&amp;" - "&amp;TEXT($AH$2,0)&amp;"       ","")</f>
        <v/>
      </c>
      <c r="E143" s="1245" t="str">
        <f>IF(AL143="N/A","",AL143)</f>
        <v/>
      </c>
      <c r="F143" s="758"/>
      <c r="G143" s="758"/>
      <c r="H143" s="1614"/>
      <c r="I143" s="758"/>
      <c r="J143" s="1615"/>
      <c r="K143" s="1248" t="str">
        <f>IF(E143&lt;&gt;"","Enter Street Address                   ","")</f>
        <v/>
      </c>
      <c r="L143" s="1615"/>
      <c r="M143" s="1248" t="str">
        <f>IF(E143&lt;&gt;"","Enter City Name       ","")</f>
        <v/>
      </c>
      <c r="N143" s="1613"/>
      <c r="O143" s="1248" t="str">
        <f>IF(E143&lt;&gt;"","Select from Pull-Down List   ","")</f>
        <v/>
      </c>
      <c r="P143" s="1616"/>
      <c r="Q143" s="1248" t="str">
        <f>IF($E143&lt;&gt;"","Enter ZIP Code       ","")</f>
        <v/>
      </c>
      <c r="R143" s="1617"/>
      <c r="S143" s="1618" t="str">
        <f>IF($E143&lt;&gt;"","Select from Pull-Down List  ","")</f>
        <v/>
      </c>
      <c r="T143" s="1617"/>
      <c r="U143" s="1618" t="str">
        <f>IF(AND($C143&lt;&gt;"",T143=""),"Select from Pull-Down List  ","")</f>
        <v/>
      </c>
      <c r="V143" s="1619"/>
      <c r="W143" s="1248" t="str">
        <f>IF(E143&lt;&gt;"","Year?   ","")</f>
        <v/>
      </c>
      <c r="X143" s="1247"/>
      <c r="Y143" s="1620" t="str">
        <f>IF(E143&lt;&gt;"","Sq. Feet?   ","")</f>
        <v/>
      </c>
      <c r="Z143" s="1621"/>
      <c r="AA143" s="1618" t="str">
        <f>IF($E143&lt;&gt;"","% of Cap Resp.","")</f>
        <v/>
      </c>
      <c r="AB143" s="1782" t="str">
        <f ca="1">IFERROR(IF(BK143="", "", IF(BK143&gt;100, 1, VLOOKUP(BK143, Valid!$W$1:$AA$101, VLOOKUP(T143, Codes!$G$7:$I$17, 3, FALSE), FALSE))), "")</f>
        <v/>
      </c>
      <c r="AC143" s="1618"/>
      <c r="AD143" s="1247"/>
      <c r="AE143" s="1620" t="str">
        <f>IF($E143&lt;&gt;"","Drop-Down    ","")</f>
        <v/>
      </c>
      <c r="AF143" s="1720"/>
      <c r="AG143" s="1620" t="b">
        <f>IF(E143&lt;&gt;"","Date?   ")</f>
        <v>0</v>
      </c>
      <c r="AH143" s="1613"/>
      <c r="AI143" s="1248" t="str">
        <f>IF(OR(T143="Other (describe in Notes)",T143="Dual Administrative and Maintenance Facility"),"Describe Facility                                                                                         ","")</f>
        <v/>
      </c>
      <c r="AJ143" s="1624"/>
      <c r="AK143" s="1624" t="b">
        <f>IF(AND(C143="",C145&lt;&gt;""),TRUE,FALSE)</f>
        <v>0</v>
      </c>
      <c r="AL143" s="1624" t="str">
        <f>IF(AND($C143&lt;&gt;"",OR($J143="",$L143="",$N143="",$P143="",$R143="",$T143="",$V143="",$X143="",$Z143="",$AD143="",$AF143="")),"No",IF(AND($C143="",OR($H143&lt;&gt;"",$J143&lt;&gt;"",$L143&lt;&gt;"",$N143&lt;&gt;"",$P143&lt;&gt;"",$R143&lt;&gt;"",$T143&lt;&gt;"",$V143&lt;&gt;"",$X143&lt;&gt;"",$Z143&lt;&gt;"",$AD143&lt;&gt;"",$AF143&lt;&gt;"")),"N",IF(AND($H143="",$C143="",$J143="",$L143="",$N143="",$P143="",$R143="",$T143="",$V143="",$X143="",$Z143="",$AD143="",$AF143=""),"N/A",IF(AND($C143&lt;&gt;"",$J143&lt;&gt;"",$L143&lt;&gt;"",$N143&lt;&gt;"",$P143&lt;&gt;"",$R143&lt;&gt;"",$T143&lt;&gt;"",$V143&lt;&gt;"",$X143&lt;&gt;"",$Z143&lt;&gt;"",$AD143&lt;&gt;"",$AF143&lt;&gt;""),"Yes",""))))</f>
        <v>N/A</v>
      </c>
      <c r="AM143" s="1625" t="b">
        <f ca="1">IF(AND($C143="",OR($J143&lt;&gt;"",$L143&lt;&gt;"",$N143&lt;&gt;"",$P143&lt;&gt;"",$R143&lt;&gt;"",$T143&lt;&gt;"",$V143&lt;&gt;"",$X143&lt;&gt;"",$Z143&lt;&gt;"",$AB143&lt;&gt;"",$AF143&lt;&gt;"")),TRUE,FALSE)</f>
        <v>0</v>
      </c>
      <c r="AN143" s="1625" t="b">
        <f>IF(AND($C143&lt;&gt;"",$J143=""),TRUE,FALSE)</f>
        <v>0</v>
      </c>
      <c r="AO143" s="1625" t="b">
        <f>IF(AND($C143&lt;&gt;"",$L143=""),TRUE,FALSE)</f>
        <v>0</v>
      </c>
      <c r="AP143" s="1625" t="b">
        <f>IF(AND($C143&lt;&gt;"",$N143=""),TRUE,FALSE)</f>
        <v>0</v>
      </c>
      <c r="AQ143" s="1625" t="b">
        <f>IF(AND($C143&lt;&gt;"",$P143=""),TRUE,FALSE)</f>
        <v>0</v>
      </c>
      <c r="AR143" s="1625" t="b">
        <f>IF(AND($C143&lt;&gt;"",$R143=""),TRUE,FALSE)</f>
        <v>0</v>
      </c>
      <c r="AS143" s="1625"/>
      <c r="AT143" s="1625" t="b">
        <f ca="1">IF(AND(T143="",OR(V143&lt;&gt;"",X143&lt;&gt;"",Z143&lt;&gt;"",AB143&lt;&gt;"",AF143&lt;&gt;"")),TRUE,FALSE)</f>
        <v>0</v>
      </c>
      <c r="AU143" s="1625" t="b">
        <f>IF(AND($C143&lt;&gt;"",$T143=""),TRUE,FALSE)</f>
        <v>0</v>
      </c>
      <c r="AV143" s="1625" t="b">
        <f>IF(V143="",FALSE,IF(T143="",FALSE,IF(AW143=TRUE,FALSE,IF(OR(V143&lt;BI143,V143&gt;BaseYear),TRUE,FALSE))))</f>
        <v>0</v>
      </c>
      <c r="AW143" s="1625" t="b">
        <f>IF(AND($C143&lt;&gt;"",$V143=""),TRUE,FALSE)</f>
        <v>0</v>
      </c>
      <c r="AX143" s="1625" t="b">
        <f>IF(X143="",FALSE,IF(T143="",FALSE,IF(AZ143=TRUE,FALSE,IF(X143&lt;BL143,TRUE,FALSE))))</f>
        <v>0</v>
      </c>
      <c r="AY143" s="1625" t="b">
        <f>IF(X143="",FALSE,IF(T143="",FALSE,IF(AZ143=TRUE,FALSE,IF(X143&gt;BM143,TRUE,FALSE))))</f>
        <v>0</v>
      </c>
      <c r="AZ143" s="1625" t="b">
        <f>IF(AND($C143&lt;&gt;"",$X143=""),TRUE,FALSE)</f>
        <v>0</v>
      </c>
      <c r="BA143" s="1626" t="b">
        <f>IF(BB143=TRUE,FALSE,IF(OR(Z143&lt;0,Z143&gt;1),TRUE,FALSE))</f>
        <v>0</v>
      </c>
      <c r="BB143" s="1625" t="b">
        <f>IF(AND($C143&lt;&gt;"",$Z143=""),TRUE,FALSE)</f>
        <v>0</v>
      </c>
      <c r="BC143" s="1626"/>
      <c r="BD143" s="1625" t="b">
        <f ca="1">IF(AND($C143&lt;&gt;"",$AB143=""),TRUE,FALSE)</f>
        <v>0</v>
      </c>
      <c r="BE143" s="1626" t="b">
        <f>IF(OR(AF143="", V143=""),FALSE,IF(COUNT(FIND({0,1,2,3,4,5,6,7,8,9}, AF143))=0, FALSE, IF(YEAR(AF143)&lt;V143, TRUE, FALSE)))</f>
        <v>0</v>
      </c>
      <c r="BF143" s="1625" t="b">
        <f>IF(AND($C143&lt;&gt;"",$AF143=""),TRUE,FALSE)</f>
        <v>0</v>
      </c>
      <c r="BG143" s="721"/>
      <c r="BH143" s="1625" t="str">
        <f>IF($T143="","",VLOOKUP($T143,val_facilities,BH$3,FALSE))</f>
        <v/>
      </c>
      <c r="BI143" s="1627" t="str">
        <f>IF($T143="","",VLOOKUP($T143,val_facilities,BI$3,FALSE))</f>
        <v/>
      </c>
      <c r="BJ143" s="1627" t="str">
        <f>IF($T143="","",VLOOKUP($T143,val_facilities,BJ$3,FALSE))</f>
        <v/>
      </c>
      <c r="BK143" s="1627" t="str">
        <f ca="1">IFERROR(IF(V143="", "", YEAR(TODAY())-V143), "")</f>
        <v/>
      </c>
      <c r="BL143" s="845" t="str">
        <f>IF($T143="","",VLOOKUP($T143,val_facilities,BL$3,FALSE))</f>
        <v/>
      </c>
      <c r="BM143" s="845" t="str">
        <f>IF($T143="","",VLOOKUP($T143,val_facilities,BM$3,FALSE))</f>
        <v/>
      </c>
      <c r="BN143" s="758"/>
      <c r="BO143" s="721">
        <f t="shared" si="4"/>
        <v>0</v>
      </c>
      <c r="BP143" s="816"/>
      <c r="BQ143" s="816"/>
      <c r="BR143" s="816"/>
    </row>
    <row r="144" spans="1:70" s="686" customFormat="1" ht="6.75" customHeight="1" thickBot="1" x14ac:dyDescent="0.25">
      <c r="A144" s="1638"/>
      <c r="B144" s="1712">
        <v>66.5</v>
      </c>
      <c r="C144" s="721"/>
      <c r="D144" s="1248"/>
      <c r="E144" s="816"/>
      <c r="F144" s="758"/>
      <c r="G144" s="758"/>
      <c r="H144" s="758"/>
      <c r="I144" s="758"/>
      <c r="J144" s="1633"/>
      <c r="K144" s="1248"/>
      <c r="L144" s="1634"/>
      <c r="M144" s="1248"/>
      <c r="N144" s="1634"/>
      <c r="O144" s="1248"/>
      <c r="P144" s="1635"/>
      <c r="Q144" s="1248"/>
      <c r="R144" s="1059"/>
      <c r="S144" s="1618"/>
      <c r="T144" s="1636"/>
      <c r="U144" s="1618"/>
      <c r="V144" s="1623"/>
      <c r="W144" s="1618"/>
      <c r="X144" s="722"/>
      <c r="Y144" s="723"/>
      <c r="Z144" s="724"/>
      <c r="AA144" s="723"/>
      <c r="AB144" s="722"/>
      <c r="AC144" s="723"/>
      <c r="AD144" s="722"/>
      <c r="AE144" s="723"/>
      <c r="AF144" s="1717"/>
      <c r="AG144" s="723"/>
      <c r="AH144" s="1637"/>
      <c r="AI144" s="1624"/>
      <c r="AJ144" s="1624"/>
      <c r="AK144" s="1624"/>
      <c r="AL144" s="1624"/>
      <c r="AM144" s="1625"/>
      <c r="AN144" s="1625"/>
      <c r="AO144" s="1625"/>
      <c r="AP144" s="1625"/>
      <c r="AQ144" s="1625"/>
      <c r="AR144" s="1625"/>
      <c r="AS144" s="1625"/>
      <c r="AT144" s="1625"/>
      <c r="AU144" s="1625"/>
      <c r="AV144" s="1626"/>
      <c r="AW144" s="1626"/>
      <c r="AX144" s="1626"/>
      <c r="AY144" s="1626"/>
      <c r="AZ144" s="1626"/>
      <c r="BA144" s="1626"/>
      <c r="BB144" s="1626"/>
      <c r="BC144" s="1626"/>
      <c r="BD144" s="1626"/>
      <c r="BE144" s="1626"/>
      <c r="BF144" s="1626"/>
      <c r="BG144" s="721"/>
      <c r="BH144" s="1626"/>
      <c r="BI144" s="1626"/>
      <c r="BJ144" s="1626"/>
      <c r="BK144" s="1626"/>
      <c r="BL144" s="1626"/>
      <c r="BM144" s="1626"/>
      <c r="BN144" s="758"/>
      <c r="BO144" s="721">
        <f t="shared" si="4"/>
        <v>0</v>
      </c>
      <c r="BP144" s="816"/>
      <c r="BQ144" s="816"/>
      <c r="BR144" s="816"/>
    </row>
    <row r="145" spans="1:70" s="816" customFormat="1" x14ac:dyDescent="0.2">
      <c r="A145" s="840">
        <v>67</v>
      </c>
      <c r="B145" s="1712">
        <v>67</v>
      </c>
      <c r="C145" s="1613"/>
      <c r="D145" s="1248" t="str">
        <f>IF(AND(C145="",C143&lt;&gt;""),"Enter Facility "&amp;TEXT(A145,0)&amp;" Name, then Fill in Columns "&amp;TEXT($H$2,0)&amp;" - "&amp;TEXT($AH$2,0)&amp;"       ","")</f>
        <v/>
      </c>
      <c r="E145" s="1245" t="str">
        <f>IF(AL145="N/A","",AL145)</f>
        <v/>
      </c>
      <c r="F145" s="758"/>
      <c r="G145" s="758"/>
      <c r="H145" s="1614"/>
      <c r="I145" s="758"/>
      <c r="J145" s="1615"/>
      <c r="K145" s="1248" t="str">
        <f>IF(E145&lt;&gt;"","Enter Street Address                   ","")</f>
        <v/>
      </c>
      <c r="L145" s="1615"/>
      <c r="M145" s="1248" t="str">
        <f>IF(E145&lt;&gt;"","Enter City Name       ","")</f>
        <v/>
      </c>
      <c r="N145" s="1613"/>
      <c r="O145" s="1248" t="str">
        <f>IF(E145&lt;&gt;"","Select from Pull-Down List   ","")</f>
        <v/>
      </c>
      <c r="P145" s="1616"/>
      <c r="Q145" s="1248" t="str">
        <f>IF($E145&lt;&gt;"","Enter ZIP Code       ","")</f>
        <v/>
      </c>
      <c r="R145" s="1617"/>
      <c r="S145" s="1618" t="str">
        <f>IF($E145&lt;&gt;"","Select from Pull-Down List  ","")</f>
        <v/>
      </c>
      <c r="T145" s="1617"/>
      <c r="U145" s="1618" t="str">
        <f>IF(AND($C145&lt;&gt;"",T145=""),"Select from Pull-Down List  ","")</f>
        <v/>
      </c>
      <c r="V145" s="1619"/>
      <c r="W145" s="1248" t="str">
        <f>IF(E145&lt;&gt;"","Year?   ","")</f>
        <v/>
      </c>
      <c r="X145" s="1247"/>
      <c r="Y145" s="1620" t="str">
        <f>IF(E145&lt;&gt;"","Sq. Feet?   ","")</f>
        <v/>
      </c>
      <c r="Z145" s="1621"/>
      <c r="AA145" s="1618" t="str">
        <f>IF($E145&lt;&gt;"","% of Cap Resp.","")</f>
        <v/>
      </c>
      <c r="AB145" s="1782" t="str">
        <f ca="1">IFERROR(IF(BK145="", "", IF(BK145&gt;100, 1, VLOOKUP(BK145, Valid!$W$1:$AA$101, VLOOKUP(T145, Codes!$G$7:$I$17, 3, FALSE), FALSE))), "")</f>
        <v/>
      </c>
      <c r="AC145" s="1618"/>
      <c r="AD145" s="1247"/>
      <c r="AE145" s="1620" t="str">
        <f>IF($E145&lt;&gt;"","Drop-Down    ","")</f>
        <v/>
      </c>
      <c r="AF145" s="1720"/>
      <c r="AG145" s="1620" t="b">
        <f>IF(E145&lt;&gt;"","Date?   ")</f>
        <v>0</v>
      </c>
      <c r="AH145" s="1613"/>
      <c r="AI145" s="1248" t="str">
        <f>IF(OR(T145="Other (describe in Notes)",T145="Dual Administrative and Maintenance Facility"),"Describe Facility                                                                                         ","")</f>
        <v/>
      </c>
      <c r="AJ145" s="1624"/>
      <c r="AK145" s="1624" t="b">
        <f>IF(AND(C145="",C147&lt;&gt;""),TRUE,FALSE)</f>
        <v>0</v>
      </c>
      <c r="AL145" s="1624" t="str">
        <f>IF(AND($C145&lt;&gt;"",OR($J145="",$L145="",$N145="",$P145="",$R145="",$T145="",$V145="",$X145="",$Z145="",$AD145="",$AF145="")),"No",IF(AND($C145="",OR($H145&lt;&gt;"",$J145&lt;&gt;"",$L145&lt;&gt;"",$N145&lt;&gt;"",$P145&lt;&gt;"",$R145&lt;&gt;"",$T145&lt;&gt;"",$V145&lt;&gt;"",$X145&lt;&gt;"",$Z145&lt;&gt;"",$AD145&lt;&gt;"",$AF145&lt;&gt;"")),"N",IF(AND($H145="",$C145="",$J145="",$L145="",$N145="",$P145="",$R145="",$T145="",$V145="",$X145="",$Z145="",$AD145="",$AF145=""),"N/A",IF(AND($C145&lt;&gt;"",$J145&lt;&gt;"",$L145&lt;&gt;"",$N145&lt;&gt;"",$P145&lt;&gt;"",$R145&lt;&gt;"",$T145&lt;&gt;"",$V145&lt;&gt;"",$X145&lt;&gt;"",$Z145&lt;&gt;"",$AD145&lt;&gt;"",$AF145&lt;&gt;""),"Yes",""))))</f>
        <v>N/A</v>
      </c>
      <c r="AM145" s="1625" t="b">
        <f ca="1">IF(AND($C145="",OR($J145&lt;&gt;"",$L145&lt;&gt;"",$N145&lt;&gt;"",$P145&lt;&gt;"",$R145&lt;&gt;"",$T145&lt;&gt;"",$V145&lt;&gt;"",$X145&lt;&gt;"",$Z145&lt;&gt;"",$AB145&lt;&gt;"",$AF145&lt;&gt;"")),TRUE,FALSE)</f>
        <v>0</v>
      </c>
      <c r="AN145" s="1625" t="b">
        <f>IF(AND($C145&lt;&gt;"",$J145=""),TRUE,FALSE)</f>
        <v>0</v>
      </c>
      <c r="AO145" s="1625" t="b">
        <f>IF(AND($C145&lt;&gt;"",$L145=""),TRUE,FALSE)</f>
        <v>0</v>
      </c>
      <c r="AP145" s="1625" t="b">
        <f>IF(AND($C145&lt;&gt;"",$N145=""),TRUE,FALSE)</f>
        <v>0</v>
      </c>
      <c r="AQ145" s="1625" t="b">
        <f>IF(AND($C145&lt;&gt;"",$P145=""),TRUE,FALSE)</f>
        <v>0</v>
      </c>
      <c r="AR145" s="1625" t="b">
        <f>IF(AND($C145&lt;&gt;"",$R145=""),TRUE,FALSE)</f>
        <v>0</v>
      </c>
      <c r="AS145" s="1625"/>
      <c r="AT145" s="1625" t="b">
        <f ca="1">IF(AND(T145="",OR(V145&lt;&gt;"",X145&lt;&gt;"",Z145&lt;&gt;"",AB145&lt;&gt;"",AF145&lt;&gt;"")),TRUE,FALSE)</f>
        <v>0</v>
      </c>
      <c r="AU145" s="1625" t="b">
        <f>IF(AND($C145&lt;&gt;"",$T145=""),TRUE,FALSE)</f>
        <v>0</v>
      </c>
      <c r="AV145" s="1625" t="b">
        <f>IF(V145="",FALSE,IF(T145="",FALSE,IF(AW145=TRUE,FALSE,IF(OR(V145&lt;BI145,V145&gt;BaseYear),TRUE,FALSE))))</f>
        <v>0</v>
      </c>
      <c r="AW145" s="1625" t="b">
        <f>IF(AND($C145&lt;&gt;"",$V145=""),TRUE,FALSE)</f>
        <v>0</v>
      </c>
      <c r="AX145" s="1625" t="b">
        <f>IF(X145="",FALSE,IF(T145="",FALSE,IF(AZ145=TRUE,FALSE,IF(X145&lt;BL145,TRUE,FALSE))))</f>
        <v>0</v>
      </c>
      <c r="AY145" s="1625" t="b">
        <f>IF(X145="",FALSE,IF(T145="",FALSE,IF(AZ145=TRUE,FALSE,IF(X145&gt;BM145,TRUE,FALSE))))</f>
        <v>0</v>
      </c>
      <c r="AZ145" s="1625" t="b">
        <f>IF(AND($C145&lt;&gt;"",$X145=""),TRUE,FALSE)</f>
        <v>0</v>
      </c>
      <c r="BA145" s="1626" t="b">
        <f>IF(BB145=TRUE,FALSE,IF(OR(Z145&lt;0,Z145&gt;1),TRUE,FALSE))</f>
        <v>0</v>
      </c>
      <c r="BB145" s="1625" t="b">
        <f>IF(AND($C145&lt;&gt;"",$Z145=""),TRUE,FALSE)</f>
        <v>0</v>
      </c>
      <c r="BC145" s="1626"/>
      <c r="BD145" s="1625" t="b">
        <f ca="1">IF(AND($C145&lt;&gt;"",$AB145=""),TRUE,FALSE)</f>
        <v>0</v>
      </c>
      <c r="BE145" s="1626" t="b">
        <f>IF(OR(AF145="", V145=""),FALSE,IF(COUNT(FIND({0,1,2,3,4,5,6,7,8,9}, AF145))=0, FALSE, IF(YEAR(AF145)&lt;V145, TRUE, FALSE)))</f>
        <v>0</v>
      </c>
      <c r="BF145" s="1625" t="b">
        <f>IF(AND($C145&lt;&gt;"",$AF145=""),TRUE,FALSE)</f>
        <v>0</v>
      </c>
      <c r="BG145" s="721"/>
      <c r="BH145" s="1625" t="str">
        <f>IF($T145="","",VLOOKUP($T145,val_facilities,BH$3,FALSE))</f>
        <v/>
      </c>
      <c r="BI145" s="1627" t="str">
        <f>IF($T145="","",VLOOKUP($T145,val_facilities,BI$3,FALSE))</f>
        <v/>
      </c>
      <c r="BJ145" s="1627" t="str">
        <f>IF($T145="","",VLOOKUP($T145,val_facilities,BJ$3,FALSE))</f>
        <v/>
      </c>
      <c r="BK145" s="1627" t="str">
        <f ca="1">IFERROR(IF(V145="", "", YEAR(TODAY())-V145), "")</f>
        <v/>
      </c>
      <c r="BL145" s="845" t="str">
        <f>IF($T145="","",VLOOKUP($T145,val_facilities,BL$3,FALSE))</f>
        <v/>
      </c>
      <c r="BM145" s="845" t="str">
        <f>IF($T145="","",VLOOKUP($T145,val_facilities,BM$3,FALSE))</f>
        <v/>
      </c>
      <c r="BN145" s="758"/>
      <c r="BO145" s="721">
        <f t="shared" si="4"/>
        <v>0</v>
      </c>
    </row>
    <row r="146" spans="1:70" s="816" customFormat="1" ht="6.75" customHeight="1" thickBot="1" x14ac:dyDescent="0.25">
      <c r="A146" s="840"/>
      <c r="B146" s="1712">
        <v>67.5</v>
      </c>
      <c r="C146" s="1057"/>
      <c r="D146" s="1248"/>
      <c r="E146" s="1057"/>
      <c r="F146" s="1229"/>
      <c r="G146" s="1229"/>
      <c r="H146" s="1229"/>
      <c r="I146" s="1229"/>
      <c r="J146" s="1604"/>
      <c r="K146" s="1640"/>
      <c r="L146" s="1641"/>
      <c r="M146" s="1248"/>
      <c r="N146" s="1641"/>
      <c r="O146" s="1248"/>
      <c r="P146" s="1642"/>
      <c r="Q146" s="1248"/>
      <c r="R146" s="1057"/>
      <c r="S146" s="1618"/>
      <c r="T146" s="1643"/>
      <c r="U146" s="1618"/>
      <c r="V146" s="1623"/>
      <c r="W146" s="1618"/>
      <c r="X146" s="733"/>
      <c r="Y146" s="1275"/>
      <c r="Z146" s="685"/>
      <c r="AA146" s="1275"/>
      <c r="AB146" s="733"/>
      <c r="AC146" s="1275"/>
      <c r="AD146" s="733"/>
      <c r="AE146" s="1275"/>
      <c r="AF146" s="1721"/>
      <c r="AG146" s="1275"/>
      <c r="AH146" s="1057"/>
      <c r="AI146" s="1644"/>
      <c r="AJ146" s="1644"/>
      <c r="AK146" s="1644"/>
      <c r="AL146" s="1644"/>
      <c r="AM146" s="1625"/>
      <c r="AN146" s="1625"/>
      <c r="AO146" s="1625"/>
      <c r="AP146" s="1625"/>
      <c r="AQ146" s="1625"/>
      <c r="AR146" s="848"/>
      <c r="AS146" s="848"/>
      <c r="AT146" s="848"/>
      <c r="AU146" s="848"/>
      <c r="AV146" s="848"/>
      <c r="AW146" s="848"/>
      <c r="AX146" s="848"/>
      <c r="AY146" s="848"/>
      <c r="AZ146" s="848"/>
      <c r="BA146" s="848"/>
      <c r="BB146" s="848"/>
      <c r="BC146" s="848"/>
      <c r="BD146" s="848"/>
      <c r="BE146" s="848"/>
      <c r="BF146" s="848"/>
      <c r="BG146" s="685"/>
      <c r="BH146" s="848"/>
      <c r="BI146" s="848"/>
      <c r="BJ146" s="848"/>
      <c r="BK146" s="848"/>
      <c r="BL146" s="848"/>
      <c r="BM146" s="848"/>
      <c r="BN146" s="1229"/>
      <c r="BO146" s="721">
        <f t="shared" si="4"/>
        <v>0</v>
      </c>
      <c r="BP146" s="686"/>
      <c r="BQ146" s="686"/>
      <c r="BR146" s="686"/>
    </row>
    <row r="147" spans="1:70" s="816" customFormat="1" x14ac:dyDescent="0.2">
      <c r="A147" s="840">
        <v>68</v>
      </c>
      <c r="B147" s="1712">
        <v>68</v>
      </c>
      <c r="C147" s="1613"/>
      <c r="D147" s="1248" t="str">
        <f>IF(AND(C147="",C145&lt;&gt;""),"Enter Facility "&amp;TEXT(A147,0)&amp;" Name, then Fill in Columns "&amp;TEXT($H$2,0)&amp;" - "&amp;TEXT($AH$2,0)&amp;"       ","")</f>
        <v/>
      </c>
      <c r="E147" s="1245" t="str">
        <f>IF(AL147="N/A","",AL147)</f>
        <v/>
      </c>
      <c r="F147" s="758"/>
      <c r="G147" s="758"/>
      <c r="H147" s="1614"/>
      <c r="I147" s="758"/>
      <c r="J147" s="1615"/>
      <c r="K147" s="1248" t="str">
        <f>IF(E147&lt;&gt;"","Enter Street Address                   ","")</f>
        <v/>
      </c>
      <c r="L147" s="1615"/>
      <c r="M147" s="1248" t="str">
        <f>IF(E147&lt;&gt;"","Enter City Name       ","")</f>
        <v/>
      </c>
      <c r="N147" s="1613"/>
      <c r="O147" s="1248" t="str">
        <f>IF(E147&lt;&gt;"","Select from Pull-Down List   ","")</f>
        <v/>
      </c>
      <c r="P147" s="1616"/>
      <c r="Q147" s="1248" t="str">
        <f>IF($E147&lt;&gt;"","Enter ZIP Code       ","")</f>
        <v/>
      </c>
      <c r="R147" s="1617"/>
      <c r="S147" s="1618" t="str">
        <f>IF($E147&lt;&gt;"","Select from Pull-Down List  ","")</f>
        <v/>
      </c>
      <c r="T147" s="1617"/>
      <c r="U147" s="1618" t="str">
        <f>IF(AND($C147&lt;&gt;"",T147=""),"Select from Pull-Down List  ","")</f>
        <v/>
      </c>
      <c r="V147" s="1619"/>
      <c r="W147" s="1248" t="str">
        <f>IF(E147&lt;&gt;"","Year?   ","")</f>
        <v/>
      </c>
      <c r="X147" s="1247"/>
      <c r="Y147" s="1620" t="str">
        <f>IF(E147&lt;&gt;"","Sq. Feet?   ","")</f>
        <v/>
      </c>
      <c r="Z147" s="1621"/>
      <c r="AA147" s="1618" t="str">
        <f>IF($E147&lt;&gt;"","% of Cap Resp.","")</f>
        <v/>
      </c>
      <c r="AB147" s="1782" t="str">
        <f ca="1">IFERROR(IF(BK147="", "", IF(BK147&gt;100, 1, VLOOKUP(BK147, Valid!$W$1:$AA$101, VLOOKUP(T147, Codes!$G$7:$I$17, 3, FALSE), FALSE))), "")</f>
        <v/>
      </c>
      <c r="AC147" s="1618"/>
      <c r="AD147" s="1247"/>
      <c r="AE147" s="1620" t="str">
        <f>IF($E147&lt;&gt;"","Drop-Down    ","")</f>
        <v/>
      </c>
      <c r="AF147" s="1720"/>
      <c r="AG147" s="1620" t="b">
        <f>IF(E147&lt;&gt;"","Date?   ")</f>
        <v>0</v>
      </c>
      <c r="AH147" s="1613"/>
      <c r="AI147" s="1248" t="str">
        <f>IF(OR(T147="Other (describe in Notes)",T147="Dual Administrative and Maintenance Facility"),"Describe Facility                                                                                         ","")</f>
        <v/>
      </c>
      <c r="AJ147" s="1624"/>
      <c r="AK147" s="1624" t="b">
        <f>IF(AND(C147="",C149&lt;&gt;""),TRUE,FALSE)</f>
        <v>0</v>
      </c>
      <c r="AL147" s="1624" t="str">
        <f>IF(AND($C147&lt;&gt;"",OR($J147="",$L147="",$N147="",$P147="",$R147="",$T147="",$V147="",$X147="",$Z147="",$AD147="",$AF147="")),"No",IF(AND($C147="",OR($H147&lt;&gt;"",$J147&lt;&gt;"",$L147&lt;&gt;"",$N147&lt;&gt;"",$P147&lt;&gt;"",$R147&lt;&gt;"",$T147&lt;&gt;"",$V147&lt;&gt;"",$X147&lt;&gt;"",$Z147&lt;&gt;"",$AD147&lt;&gt;"",$AF147&lt;&gt;"")),"N",IF(AND($H147="",$C147="",$J147="",$L147="",$N147="",$P147="",$R147="",$T147="",$V147="",$X147="",$Z147="",$AD147="",$AF147=""),"N/A",IF(AND($C147&lt;&gt;"",$J147&lt;&gt;"",$L147&lt;&gt;"",$N147&lt;&gt;"",$P147&lt;&gt;"",$R147&lt;&gt;"",$T147&lt;&gt;"",$V147&lt;&gt;"",$X147&lt;&gt;"",$Z147&lt;&gt;"",$AD147&lt;&gt;"",$AF147&lt;&gt;""),"Yes",""))))</f>
        <v>N/A</v>
      </c>
      <c r="AM147" s="1625" t="b">
        <f ca="1">IF(AND($C147="",OR($J147&lt;&gt;"",$L147&lt;&gt;"",$N147&lt;&gt;"",$P147&lt;&gt;"",$R147&lt;&gt;"",$T147&lt;&gt;"",$V147&lt;&gt;"",$X147&lt;&gt;"",$Z147&lt;&gt;"",$AB147&lt;&gt;"",$AF147&lt;&gt;"")),TRUE,FALSE)</f>
        <v>0</v>
      </c>
      <c r="AN147" s="1625" t="b">
        <f>IF(AND($C147&lt;&gt;"",$J147=""),TRUE,FALSE)</f>
        <v>0</v>
      </c>
      <c r="AO147" s="1625" t="b">
        <f>IF(AND($C147&lt;&gt;"",$L147=""),TRUE,FALSE)</f>
        <v>0</v>
      </c>
      <c r="AP147" s="1625" t="b">
        <f>IF(AND($C147&lt;&gt;"",$N147=""),TRUE,FALSE)</f>
        <v>0</v>
      </c>
      <c r="AQ147" s="1625" t="b">
        <f>IF(AND($C147&lt;&gt;"",$P147=""),TRUE,FALSE)</f>
        <v>0</v>
      </c>
      <c r="AR147" s="1625" t="b">
        <f>IF(AND($C147&lt;&gt;"",$R147=""),TRUE,FALSE)</f>
        <v>0</v>
      </c>
      <c r="AS147" s="1625"/>
      <c r="AT147" s="1625" t="b">
        <f ca="1">IF(AND(T147="",OR(V147&lt;&gt;"",X147&lt;&gt;"",Z147&lt;&gt;"",AB147&lt;&gt;"",AF147&lt;&gt;"")),TRUE,FALSE)</f>
        <v>0</v>
      </c>
      <c r="AU147" s="1625" t="b">
        <f>IF(AND($C147&lt;&gt;"",$T147=""),TRUE,FALSE)</f>
        <v>0</v>
      </c>
      <c r="AV147" s="1625" t="b">
        <f>IF(V147="",FALSE,IF(T147="",FALSE,IF(AW147=TRUE,FALSE,IF(OR(V147&lt;BI147,V147&gt;BaseYear),TRUE,FALSE))))</f>
        <v>0</v>
      </c>
      <c r="AW147" s="1625" t="b">
        <f>IF(AND($C147&lt;&gt;"",$V147=""),TRUE,FALSE)</f>
        <v>0</v>
      </c>
      <c r="AX147" s="1625" t="b">
        <f>IF(X147="",FALSE,IF(T147="",FALSE,IF(AZ147=TRUE,FALSE,IF(X147&lt;BL147,TRUE,FALSE))))</f>
        <v>0</v>
      </c>
      <c r="AY147" s="1625" t="b">
        <f>IF(X147="",FALSE,IF(T147="",FALSE,IF(AZ147=TRUE,FALSE,IF(X147&gt;BM147,TRUE,FALSE))))</f>
        <v>0</v>
      </c>
      <c r="AZ147" s="1625" t="b">
        <f>IF(AND($C147&lt;&gt;"",$X147=""),TRUE,FALSE)</f>
        <v>0</v>
      </c>
      <c r="BA147" s="1626" t="b">
        <f>IF(BB147=TRUE,FALSE,IF(OR(Z147&lt;0,Z147&gt;1),TRUE,FALSE))</f>
        <v>0</v>
      </c>
      <c r="BB147" s="1625" t="b">
        <f>IF(AND($C147&lt;&gt;"",$Z147=""),TRUE,FALSE)</f>
        <v>0</v>
      </c>
      <c r="BC147" s="1626"/>
      <c r="BD147" s="1625" t="b">
        <f ca="1">IF(AND($C147&lt;&gt;"",$AB147=""),TRUE,FALSE)</f>
        <v>0</v>
      </c>
      <c r="BE147" s="1626" t="b">
        <f>IF(OR(AF147="", V147=""),FALSE,IF(COUNT(FIND({0,1,2,3,4,5,6,7,8,9}, AF147))=0, FALSE, IF(YEAR(AF147)&lt;V147, TRUE, FALSE)))</f>
        <v>0</v>
      </c>
      <c r="BF147" s="1625" t="b">
        <f>IF(AND($C147&lt;&gt;"",$AF147=""),TRUE,FALSE)</f>
        <v>0</v>
      </c>
      <c r="BG147" s="721"/>
      <c r="BH147" s="1625" t="str">
        <f>IF($T147="","",VLOOKUP($T147,val_facilities,BH$3,FALSE))</f>
        <v/>
      </c>
      <c r="BI147" s="1627" t="str">
        <f>IF($T147="","",VLOOKUP($T147,val_facilities,BI$3,FALSE))</f>
        <v/>
      </c>
      <c r="BJ147" s="1627" t="str">
        <f>IF($T147="","",VLOOKUP($T147,val_facilities,BJ$3,FALSE))</f>
        <v/>
      </c>
      <c r="BK147" s="1627" t="str">
        <f ca="1">IFERROR(IF(V147="", "", YEAR(TODAY())-V147), "")</f>
        <v/>
      </c>
      <c r="BL147" s="845" t="str">
        <f>IF($T147="","",VLOOKUP($T147,val_facilities,BL$3,FALSE))</f>
        <v/>
      </c>
      <c r="BM147" s="845" t="str">
        <f>IF($T147="","",VLOOKUP($T147,val_facilities,BM$3,FALSE))</f>
        <v/>
      </c>
      <c r="BN147" s="758"/>
      <c r="BO147" s="721">
        <f t="shared" si="4"/>
        <v>0</v>
      </c>
    </row>
    <row r="148" spans="1:70" s="686" customFormat="1" ht="6.75" customHeight="1" thickBot="1" x14ac:dyDescent="0.25">
      <c r="A148" s="1638"/>
      <c r="B148" s="1712">
        <v>68.5</v>
      </c>
      <c r="C148" s="1057"/>
      <c r="D148" s="764"/>
      <c r="E148" s="1639"/>
      <c r="F148" s="1229"/>
      <c r="G148" s="1229"/>
      <c r="H148" s="1229"/>
      <c r="I148" s="1229"/>
      <c r="J148" s="1604"/>
      <c r="K148" s="1640"/>
      <c r="L148" s="1645"/>
      <c r="M148" s="1646"/>
      <c r="N148" s="1645"/>
      <c r="O148" s="1646"/>
      <c r="P148" s="1647"/>
      <c r="Q148" s="1646"/>
      <c r="R148" s="1057"/>
      <c r="S148" s="1618"/>
      <c r="T148" s="1643"/>
      <c r="U148" s="1618"/>
      <c r="V148" s="1623"/>
      <c r="W148" s="1618"/>
      <c r="X148" s="722"/>
      <c r="Y148" s="1648"/>
      <c r="Z148" s="841"/>
      <c r="AA148" s="1648"/>
      <c r="AB148" s="722"/>
      <c r="AC148" s="1648"/>
      <c r="AD148" s="722"/>
      <c r="AE148" s="1648"/>
      <c r="AF148" s="1717"/>
      <c r="AG148" s="1648"/>
      <c r="AH148" s="1057"/>
      <c r="AI148" s="1644"/>
      <c r="AJ148" s="1644"/>
      <c r="AK148" s="1644"/>
      <c r="AL148" s="1644"/>
      <c r="AM148" s="1625"/>
      <c r="AN148" s="1625"/>
      <c r="AO148" s="1625"/>
      <c r="AP148" s="1625"/>
      <c r="AQ148" s="1625"/>
      <c r="AR148" s="848"/>
      <c r="AS148" s="848"/>
      <c r="AT148" s="848"/>
      <c r="AU148" s="848"/>
      <c r="AV148" s="848"/>
      <c r="AW148" s="848"/>
      <c r="AX148" s="848"/>
      <c r="AY148" s="848"/>
      <c r="AZ148" s="848"/>
      <c r="BA148" s="848"/>
      <c r="BB148" s="848"/>
      <c r="BC148" s="848"/>
      <c r="BD148" s="848"/>
      <c r="BE148" s="848"/>
      <c r="BF148" s="848"/>
      <c r="BG148" s="685"/>
      <c r="BH148" s="848"/>
      <c r="BI148" s="848"/>
      <c r="BJ148" s="848"/>
      <c r="BK148" s="848"/>
      <c r="BL148" s="848"/>
      <c r="BM148" s="848"/>
      <c r="BN148" s="1229"/>
      <c r="BO148" s="721">
        <f t="shared" si="4"/>
        <v>0</v>
      </c>
    </row>
    <row r="149" spans="1:70" s="686" customFormat="1" x14ac:dyDescent="0.2">
      <c r="A149" s="840">
        <v>69</v>
      </c>
      <c r="B149" s="1712">
        <v>69</v>
      </c>
      <c r="C149" s="1613"/>
      <c r="D149" s="1248" t="str">
        <f>IF(AND(C149="",C147&lt;&gt;""),"Enter Facility "&amp;TEXT(A149,0)&amp;" Name, then Fill in Columns "&amp;TEXT($H$2,0)&amp;" - "&amp;TEXT($AH$2,0)&amp;"       ","")</f>
        <v/>
      </c>
      <c r="E149" s="1245" t="str">
        <f>IF(AL149="N/A","",AL149)</f>
        <v/>
      </c>
      <c r="F149" s="758"/>
      <c r="G149" s="758"/>
      <c r="H149" s="1614"/>
      <c r="I149" s="758"/>
      <c r="J149" s="1615"/>
      <c r="K149" s="1248" t="str">
        <f>IF(E149&lt;&gt;"","Enter Street Address                   ","")</f>
        <v/>
      </c>
      <c r="L149" s="1615"/>
      <c r="M149" s="1248" t="str">
        <f>IF(E149&lt;&gt;"","Enter City Name       ","")</f>
        <v/>
      </c>
      <c r="N149" s="1613"/>
      <c r="O149" s="1248" t="str">
        <f>IF(E149&lt;&gt;"","Select from Pull-Down List   ","")</f>
        <v/>
      </c>
      <c r="P149" s="1616"/>
      <c r="Q149" s="1248" t="str">
        <f>IF($E149&lt;&gt;"","Enter ZIP Code       ","")</f>
        <v/>
      </c>
      <c r="R149" s="1617"/>
      <c r="S149" s="1618" t="str">
        <f>IF($E149&lt;&gt;"","Select from Pull-Down List  ","")</f>
        <v/>
      </c>
      <c r="T149" s="1617"/>
      <c r="U149" s="1618" t="str">
        <f>IF(AND($C149&lt;&gt;"",T149=""),"Select from Pull-Down List  ","")</f>
        <v/>
      </c>
      <c r="V149" s="1619"/>
      <c r="W149" s="1248" t="str">
        <f>IF(E149&lt;&gt;"","Year?   ","")</f>
        <v/>
      </c>
      <c r="X149" s="1247"/>
      <c r="Y149" s="1620" t="str">
        <f>IF(E149&lt;&gt;"","Sq. Feet?   ","")</f>
        <v/>
      </c>
      <c r="Z149" s="1621"/>
      <c r="AA149" s="1618" t="str">
        <f>IF($E149&lt;&gt;"","% of Cap Resp.","")</f>
        <v/>
      </c>
      <c r="AB149" s="1782" t="str">
        <f ca="1">IFERROR(IF(BK149="", "", IF(BK149&gt;100, 1, VLOOKUP(BK149, Valid!$W$1:$AA$101, VLOOKUP(T149, Codes!$G$7:$I$17, 3, FALSE), FALSE))), "")</f>
        <v/>
      </c>
      <c r="AC149" s="1618"/>
      <c r="AD149" s="1247"/>
      <c r="AE149" s="1620" t="str">
        <f>IF($E149&lt;&gt;"","Drop-Down    ","")</f>
        <v/>
      </c>
      <c r="AF149" s="1720"/>
      <c r="AG149" s="1620" t="b">
        <f>IF(E149&lt;&gt;"","Date?   ")</f>
        <v>0</v>
      </c>
      <c r="AH149" s="1613"/>
      <c r="AI149" s="1248" t="str">
        <f>IF(OR(T149="Other (describe in Notes)",T149="Dual Administrative and Maintenance Facility"),"Describe Facility                                                                                         ","")</f>
        <v/>
      </c>
      <c r="AJ149" s="1624"/>
      <c r="AK149" s="1624" t="b">
        <f>IF(AND(C149="",C151&lt;&gt;""),TRUE,FALSE)</f>
        <v>0</v>
      </c>
      <c r="AL149" s="1624" t="str">
        <f>IF(AND($C149&lt;&gt;"",OR($J149="",$L149="",$N149="",$P149="",$R149="",$T149="",$V149="",$X149="",$Z149="",$AD149="",$AF149="")),"No",IF(AND($C149="",OR($H149&lt;&gt;"",$J149&lt;&gt;"",$L149&lt;&gt;"",$N149&lt;&gt;"",$P149&lt;&gt;"",$R149&lt;&gt;"",$T149&lt;&gt;"",$V149&lt;&gt;"",$X149&lt;&gt;"",$Z149&lt;&gt;"",$AD149&lt;&gt;"",$AF149&lt;&gt;"")),"N",IF(AND($H149="",$C149="",$J149="",$L149="",$N149="",$P149="",$R149="",$T149="",$V149="",$X149="",$Z149="",$AD149="",$AF149=""),"N/A",IF(AND($C149&lt;&gt;"",$J149&lt;&gt;"",$L149&lt;&gt;"",$N149&lt;&gt;"",$P149&lt;&gt;"",$R149&lt;&gt;"",$T149&lt;&gt;"",$V149&lt;&gt;"",$X149&lt;&gt;"",$Z149&lt;&gt;"",$AD149&lt;&gt;"",$AF149&lt;&gt;""),"Yes",""))))</f>
        <v>N/A</v>
      </c>
      <c r="AM149" s="1625" t="b">
        <f ca="1">IF(AND($C149="",OR($J149&lt;&gt;"",$L149&lt;&gt;"",$N149&lt;&gt;"",$P149&lt;&gt;"",$R149&lt;&gt;"",$T149&lt;&gt;"",$V149&lt;&gt;"",$X149&lt;&gt;"",$Z149&lt;&gt;"",$AB149&lt;&gt;"",$AF149&lt;&gt;"")),TRUE,FALSE)</f>
        <v>0</v>
      </c>
      <c r="AN149" s="1625" t="b">
        <f>IF(AND($C149&lt;&gt;"",$J149=""),TRUE,FALSE)</f>
        <v>0</v>
      </c>
      <c r="AO149" s="1625" t="b">
        <f>IF(AND($C149&lt;&gt;"",$L149=""),TRUE,FALSE)</f>
        <v>0</v>
      </c>
      <c r="AP149" s="1625" t="b">
        <f>IF(AND($C149&lt;&gt;"",$N149=""),TRUE,FALSE)</f>
        <v>0</v>
      </c>
      <c r="AQ149" s="1625" t="b">
        <f>IF(AND($C149&lt;&gt;"",$P149=""),TRUE,FALSE)</f>
        <v>0</v>
      </c>
      <c r="AR149" s="1625" t="b">
        <f>IF(AND($C149&lt;&gt;"",$R149=""),TRUE,FALSE)</f>
        <v>0</v>
      </c>
      <c r="AS149" s="1625"/>
      <c r="AT149" s="1625" t="b">
        <f ca="1">IF(AND(T149="",OR(V149&lt;&gt;"",X149&lt;&gt;"",Z149&lt;&gt;"",AB149&lt;&gt;"",AF149&lt;&gt;"")),TRUE,FALSE)</f>
        <v>0</v>
      </c>
      <c r="AU149" s="1625" t="b">
        <f>IF(AND($C149&lt;&gt;"",$T149=""),TRUE,FALSE)</f>
        <v>0</v>
      </c>
      <c r="AV149" s="1625" t="b">
        <f>IF(V149="",FALSE,IF(T149="",FALSE,IF(AW149=TRUE,FALSE,IF(OR(V149&lt;BI149,V149&gt;BaseYear),TRUE,FALSE))))</f>
        <v>0</v>
      </c>
      <c r="AW149" s="1625" t="b">
        <f>IF(AND($C149&lt;&gt;"",$V149=""),TRUE,FALSE)</f>
        <v>0</v>
      </c>
      <c r="AX149" s="1625" t="b">
        <f>IF(X149="",FALSE,IF(T149="",FALSE,IF(AZ149=TRUE,FALSE,IF(X149&lt;BL149,TRUE,FALSE))))</f>
        <v>0</v>
      </c>
      <c r="AY149" s="1625" t="b">
        <f>IF(X149="",FALSE,IF(T149="",FALSE,IF(AZ149=TRUE,FALSE,IF(X149&gt;BM149,TRUE,FALSE))))</f>
        <v>0</v>
      </c>
      <c r="AZ149" s="1625" t="b">
        <f>IF(AND($C149&lt;&gt;"",$X149=""),TRUE,FALSE)</f>
        <v>0</v>
      </c>
      <c r="BA149" s="1626" t="b">
        <f>IF(BB149=TRUE,FALSE,IF(OR(Z149&lt;0,Z149&gt;1),TRUE,FALSE))</f>
        <v>0</v>
      </c>
      <c r="BB149" s="1625" t="b">
        <f>IF(AND($C149&lt;&gt;"",$Z149=""),TRUE,FALSE)</f>
        <v>0</v>
      </c>
      <c r="BC149" s="1626"/>
      <c r="BD149" s="1625" t="b">
        <f ca="1">IF(AND($C149&lt;&gt;"",$AB149=""),TRUE,FALSE)</f>
        <v>0</v>
      </c>
      <c r="BE149" s="1626" t="b">
        <f>IF(OR(AF149="", V149=""),FALSE,IF(COUNT(FIND({0,1,2,3,4,5,6,7,8,9}, AF149))=0, FALSE, IF(YEAR(AF149)&lt;V149, TRUE, FALSE)))</f>
        <v>0</v>
      </c>
      <c r="BF149" s="1625" t="b">
        <f>IF(AND($C149&lt;&gt;"",$AF149=""),TRUE,FALSE)</f>
        <v>0</v>
      </c>
      <c r="BG149" s="721"/>
      <c r="BH149" s="1625" t="str">
        <f>IF($T149="","",VLOOKUP($T149,val_facilities,BH$3,FALSE))</f>
        <v/>
      </c>
      <c r="BI149" s="1627" t="str">
        <f>IF($T149="","",VLOOKUP($T149,val_facilities,BI$3,FALSE))</f>
        <v/>
      </c>
      <c r="BJ149" s="1627" t="str">
        <f>IF($T149="","",VLOOKUP($T149,val_facilities,BJ$3,FALSE))</f>
        <v/>
      </c>
      <c r="BK149" s="1627" t="str">
        <f ca="1">IFERROR(IF(V149="", "", YEAR(TODAY())-V149), "")</f>
        <v/>
      </c>
      <c r="BL149" s="845" t="str">
        <f>IF($T149="","",VLOOKUP($T149,val_facilities,BL$3,FALSE))</f>
        <v/>
      </c>
      <c r="BM149" s="845" t="str">
        <f>IF($T149="","",VLOOKUP($T149,val_facilities,BM$3,FALSE))</f>
        <v/>
      </c>
      <c r="BN149" s="758"/>
      <c r="BO149" s="721">
        <f t="shared" si="4"/>
        <v>0</v>
      </c>
      <c r="BP149" s="816"/>
      <c r="BQ149" s="816"/>
      <c r="BR149" s="816"/>
    </row>
    <row r="150" spans="1:70" s="686" customFormat="1" ht="6.75" customHeight="1" thickBot="1" x14ac:dyDescent="0.25">
      <c r="A150" s="1638"/>
      <c r="B150" s="1712">
        <v>69.5</v>
      </c>
      <c r="C150" s="1057"/>
      <c r="D150" s="1248"/>
      <c r="E150" s="1057"/>
      <c r="F150" s="1229"/>
      <c r="G150" s="1229"/>
      <c r="H150" s="1229"/>
      <c r="I150" s="1229"/>
      <c r="J150" s="1604"/>
      <c r="K150" s="1229"/>
      <c r="L150" s="1605"/>
      <c r="M150" s="1644"/>
      <c r="N150" s="1605"/>
      <c r="O150" s="1644"/>
      <c r="P150" s="1606"/>
      <c r="Q150" s="1644"/>
      <c r="R150" s="1057"/>
      <c r="S150" s="1623"/>
      <c r="T150" s="1643"/>
      <c r="U150" s="1623"/>
      <c r="V150" s="1623"/>
      <c r="W150" s="1623"/>
      <c r="X150" s="722"/>
      <c r="Y150" s="841"/>
      <c r="Z150" s="841"/>
      <c r="AA150" s="841"/>
      <c r="AB150" s="722"/>
      <c r="AC150" s="841"/>
      <c r="AD150" s="722"/>
      <c r="AE150" s="841"/>
      <c r="AF150" s="1717"/>
      <c r="AG150" s="841"/>
      <c r="AH150" s="1057"/>
      <c r="AI150" s="1644"/>
      <c r="AJ150" s="1644"/>
      <c r="AK150" s="1644"/>
      <c r="AL150" s="1644"/>
      <c r="AM150" s="1625"/>
      <c r="AN150" s="1625"/>
      <c r="AO150" s="1625"/>
      <c r="AP150" s="1625"/>
      <c r="AQ150" s="1625"/>
      <c r="AR150" s="848"/>
      <c r="AS150" s="848"/>
      <c r="AT150" s="848"/>
      <c r="AU150" s="848"/>
      <c r="AV150" s="848"/>
      <c r="AW150" s="848"/>
      <c r="AX150" s="848"/>
      <c r="AY150" s="848"/>
      <c r="AZ150" s="848"/>
      <c r="BA150" s="848"/>
      <c r="BB150" s="848"/>
      <c r="BC150" s="848"/>
      <c r="BD150" s="848"/>
      <c r="BE150" s="848"/>
      <c r="BF150" s="848"/>
      <c r="BG150" s="685"/>
      <c r="BH150" s="848"/>
      <c r="BI150" s="848"/>
      <c r="BJ150" s="848"/>
      <c r="BK150" s="848"/>
      <c r="BL150" s="848"/>
      <c r="BM150" s="848"/>
      <c r="BN150" s="1229"/>
      <c r="BO150" s="721">
        <f t="shared" si="4"/>
        <v>0</v>
      </c>
    </row>
    <row r="151" spans="1:70" s="686" customFormat="1" x14ac:dyDescent="0.2">
      <c r="A151" s="840">
        <v>70</v>
      </c>
      <c r="B151" s="1712">
        <v>70</v>
      </c>
      <c r="C151" s="1613"/>
      <c r="D151" s="1248" t="str">
        <f>IF(AND(C151="",C149&lt;&gt;""),"Enter Facility "&amp;TEXT(A151,0)&amp;" Name, then Fill in Columns "&amp;TEXT($H$2,0)&amp;" - "&amp;TEXT($AH$2,0)&amp;"       ","")</f>
        <v/>
      </c>
      <c r="E151" s="1245" t="str">
        <f>IF(AL151="N/A","",AL151)</f>
        <v/>
      </c>
      <c r="F151" s="758"/>
      <c r="G151" s="758"/>
      <c r="H151" s="1614"/>
      <c r="I151" s="758"/>
      <c r="J151" s="1615"/>
      <c r="K151" s="1248" t="str">
        <f>IF(E151&lt;&gt;"","Enter Street Address                   ","")</f>
        <v/>
      </c>
      <c r="L151" s="1615"/>
      <c r="M151" s="1248" t="str">
        <f>IF(E151&lt;&gt;"","Enter City Name       ","")</f>
        <v/>
      </c>
      <c r="N151" s="1613"/>
      <c r="O151" s="1248" t="str">
        <f>IF(E151&lt;&gt;"","Select from Pull-Down List   ","")</f>
        <v/>
      </c>
      <c r="P151" s="1616"/>
      <c r="Q151" s="1248" t="str">
        <f>IF($E151&lt;&gt;"","Enter ZIP Code       ","")</f>
        <v/>
      </c>
      <c r="R151" s="1617"/>
      <c r="S151" s="1618" t="str">
        <f>IF($E151&lt;&gt;"","Select from Pull-Down List  ","")</f>
        <v/>
      </c>
      <c r="T151" s="1617"/>
      <c r="U151" s="1618" t="str">
        <f>IF(AND($C151&lt;&gt;"",T151=""),"Select from Pull-Down List  ","")</f>
        <v/>
      </c>
      <c r="V151" s="1619"/>
      <c r="W151" s="1248" t="str">
        <f>IF(E151&lt;&gt;"","Year?   ","")</f>
        <v/>
      </c>
      <c r="X151" s="1247"/>
      <c r="Y151" s="1620" t="str">
        <f>IF(E151&lt;&gt;"","Sq. Feet?   ","")</f>
        <v/>
      </c>
      <c r="Z151" s="1621"/>
      <c r="AA151" s="1618" t="str">
        <f>IF($E151&lt;&gt;"","% of Cap Resp.","")</f>
        <v/>
      </c>
      <c r="AB151" s="1782" t="str">
        <f ca="1">IFERROR(IF(BK151="", "", IF(BK151&gt;100, 1, VLOOKUP(BK151, Valid!$W$1:$AA$101, VLOOKUP(T151, Codes!$G$7:$I$17, 3, FALSE), FALSE))), "")</f>
        <v/>
      </c>
      <c r="AC151" s="1618"/>
      <c r="AD151" s="1247"/>
      <c r="AE151" s="1620" t="str">
        <f>IF($E151&lt;&gt;"","Drop-Down    ","")</f>
        <v/>
      </c>
      <c r="AF151" s="1720"/>
      <c r="AG151" s="1620" t="b">
        <f>IF(E151&lt;&gt;"","Date?   ")</f>
        <v>0</v>
      </c>
      <c r="AH151" s="1613"/>
      <c r="AI151" s="1248" t="str">
        <f>IF(OR(T151="Other (describe in Notes)",T151="Dual Administrative and Maintenance Facility"),"Describe Facility                                                                                         ","")</f>
        <v/>
      </c>
      <c r="AJ151" s="1624"/>
      <c r="AK151" s="1624" t="b">
        <f>IF(AND(C151="",C153&lt;&gt;""),TRUE,FALSE)</f>
        <v>0</v>
      </c>
      <c r="AL151" s="1624" t="str">
        <f>IF(AND($C151&lt;&gt;"",OR($J151="",$L151="",$N151="",$P151="",$R151="",$T151="",$V151="",$X151="",$Z151="",$AD151="",$AF151="")),"No",IF(AND($C151="",OR($H151&lt;&gt;"",$J151&lt;&gt;"",$L151&lt;&gt;"",$N151&lt;&gt;"",$P151&lt;&gt;"",$R151&lt;&gt;"",$T151&lt;&gt;"",$V151&lt;&gt;"",$X151&lt;&gt;"",$Z151&lt;&gt;"",$AD151&lt;&gt;"",$AF151&lt;&gt;"")),"N",IF(AND($H151="",$C151="",$J151="",$L151="",$N151="",$P151="",$R151="",$T151="",$V151="",$X151="",$Z151="",$AD151="",$AF151=""),"N/A",IF(AND($C151&lt;&gt;"",$J151&lt;&gt;"",$L151&lt;&gt;"",$N151&lt;&gt;"",$P151&lt;&gt;"",$R151&lt;&gt;"",$T151&lt;&gt;"",$V151&lt;&gt;"",$X151&lt;&gt;"",$Z151&lt;&gt;"",$AD151&lt;&gt;"",$AF151&lt;&gt;""),"Yes",""))))</f>
        <v>N/A</v>
      </c>
      <c r="AM151" s="1625" t="b">
        <f ca="1">IF(AND($C151="",OR($J151&lt;&gt;"",$L151&lt;&gt;"",$N151&lt;&gt;"",$P151&lt;&gt;"",$R151&lt;&gt;"",$T151&lt;&gt;"",$V151&lt;&gt;"",$X151&lt;&gt;"",$Z151&lt;&gt;"",$AB151&lt;&gt;"",$AF151&lt;&gt;"")),TRUE,FALSE)</f>
        <v>0</v>
      </c>
      <c r="AN151" s="1625" t="b">
        <f>IF(AND($C151&lt;&gt;"",$J151=""),TRUE,FALSE)</f>
        <v>0</v>
      </c>
      <c r="AO151" s="1625" t="b">
        <f>IF(AND($C151&lt;&gt;"",$L151=""),TRUE,FALSE)</f>
        <v>0</v>
      </c>
      <c r="AP151" s="1625" t="b">
        <f>IF(AND($C151&lt;&gt;"",$N151=""),TRUE,FALSE)</f>
        <v>0</v>
      </c>
      <c r="AQ151" s="1625" t="b">
        <f>IF(AND($C151&lt;&gt;"",$P151=""),TRUE,FALSE)</f>
        <v>0</v>
      </c>
      <c r="AR151" s="1625" t="b">
        <f>IF(AND($C151&lt;&gt;"",$R151=""),TRUE,FALSE)</f>
        <v>0</v>
      </c>
      <c r="AS151" s="1625"/>
      <c r="AT151" s="1625" t="b">
        <f ca="1">IF(AND(T151="",OR(V151&lt;&gt;"",X151&lt;&gt;"",Z151&lt;&gt;"",AB151&lt;&gt;"",AF151&lt;&gt;"")),TRUE,FALSE)</f>
        <v>0</v>
      </c>
      <c r="AU151" s="1625" t="b">
        <f>IF(AND($C151&lt;&gt;"",$T151=""),TRUE,FALSE)</f>
        <v>0</v>
      </c>
      <c r="AV151" s="1625" t="b">
        <f>IF(V151="",FALSE,IF(T151="",FALSE,IF(AW151=TRUE,FALSE,IF(OR(V151&lt;BI151,V151&gt;BaseYear),TRUE,FALSE))))</f>
        <v>0</v>
      </c>
      <c r="AW151" s="1625" t="b">
        <f>IF(AND($C151&lt;&gt;"",$V151=""),TRUE,FALSE)</f>
        <v>0</v>
      </c>
      <c r="AX151" s="1625" t="b">
        <f>IF(X151="",FALSE,IF(T151="",FALSE,IF(AZ151=TRUE,FALSE,IF(X151&lt;BL151,TRUE,FALSE))))</f>
        <v>0</v>
      </c>
      <c r="AY151" s="1625" t="b">
        <f>IF(X151="",FALSE,IF(T151="",FALSE,IF(AZ151=TRUE,FALSE,IF(X151&gt;BM151,TRUE,FALSE))))</f>
        <v>0</v>
      </c>
      <c r="AZ151" s="1625" t="b">
        <f>IF(AND($C151&lt;&gt;"",$X151=""),TRUE,FALSE)</f>
        <v>0</v>
      </c>
      <c r="BA151" s="1626" t="b">
        <f>IF(BB151=TRUE,FALSE,IF(OR(Z151&lt;0,Z151&gt;1),TRUE,FALSE))</f>
        <v>0</v>
      </c>
      <c r="BB151" s="1625" t="b">
        <f>IF(AND($C151&lt;&gt;"",$Z151=""),TRUE,FALSE)</f>
        <v>0</v>
      </c>
      <c r="BC151" s="1626"/>
      <c r="BD151" s="1625" t="b">
        <f ca="1">IF(AND($C151&lt;&gt;"",$AB151=""),TRUE,FALSE)</f>
        <v>0</v>
      </c>
      <c r="BE151" s="1626" t="b">
        <f>IF(OR(AF151="", V151=""),FALSE,IF(COUNT(FIND({0,1,2,3,4,5,6,7,8,9}, AF151))=0, FALSE, IF(YEAR(AF151)&lt;V151, TRUE, FALSE)))</f>
        <v>0</v>
      </c>
      <c r="BF151" s="1625" t="b">
        <f>IF(AND($C151&lt;&gt;"",$AF151=""),TRUE,FALSE)</f>
        <v>0</v>
      </c>
      <c r="BG151" s="721"/>
      <c r="BH151" s="1625" t="str">
        <f>IF($T151="","",VLOOKUP($T151,val_facilities,BH$3,FALSE))</f>
        <v/>
      </c>
      <c r="BI151" s="1627" t="str">
        <f>IF($T151="","",VLOOKUP($T151,val_facilities,BI$3,FALSE))</f>
        <v/>
      </c>
      <c r="BJ151" s="1627" t="str">
        <f>IF($T151="","",VLOOKUP($T151,val_facilities,BJ$3,FALSE))</f>
        <v/>
      </c>
      <c r="BK151" s="1627" t="str">
        <f ca="1">IFERROR(IF(V151="", "", YEAR(TODAY())-V151), "")</f>
        <v/>
      </c>
      <c r="BL151" s="845" t="str">
        <f>IF($T151="","",VLOOKUP($T151,val_facilities,BL$3,FALSE))</f>
        <v/>
      </c>
      <c r="BM151" s="845" t="str">
        <f>IF($T151="","",VLOOKUP($T151,val_facilities,BM$3,FALSE))</f>
        <v/>
      </c>
      <c r="BN151" s="758"/>
      <c r="BO151" s="721">
        <f t="shared" si="4"/>
        <v>0</v>
      </c>
      <c r="BP151" s="816"/>
      <c r="BQ151" s="816"/>
      <c r="BR151" s="816"/>
    </row>
    <row r="152" spans="1:70" s="686" customFormat="1" ht="6.75" customHeight="1" thickBot="1" x14ac:dyDescent="0.25">
      <c r="A152" s="1638"/>
      <c r="B152" s="1712">
        <v>70.5</v>
      </c>
      <c r="C152" s="1057"/>
      <c r="D152" s="1248"/>
      <c r="E152" s="816"/>
      <c r="F152" s="1229"/>
      <c r="G152" s="1229"/>
      <c r="H152" s="1229"/>
      <c r="I152" s="1229"/>
      <c r="J152" s="1604"/>
      <c r="K152" s="1229"/>
      <c r="L152" s="1645"/>
      <c r="M152" s="1644"/>
      <c r="N152" s="1645"/>
      <c r="O152" s="1644"/>
      <c r="P152" s="1647"/>
      <c r="Q152" s="1644"/>
      <c r="R152" s="1057"/>
      <c r="S152" s="1623"/>
      <c r="T152" s="1643"/>
      <c r="U152" s="1623"/>
      <c r="V152" s="1623"/>
      <c r="W152" s="1623"/>
      <c r="X152" s="722"/>
      <c r="Y152" s="841"/>
      <c r="Z152" s="841"/>
      <c r="AA152" s="841"/>
      <c r="AB152" s="722"/>
      <c r="AC152" s="841"/>
      <c r="AD152" s="722"/>
      <c r="AE152" s="841"/>
      <c r="AF152" s="1717"/>
      <c r="AG152" s="841"/>
      <c r="AH152" s="1057"/>
      <c r="AI152" s="1644"/>
      <c r="AJ152" s="1644"/>
      <c r="AK152" s="1644"/>
      <c r="AL152" s="758"/>
      <c r="AM152" s="1625"/>
      <c r="AN152" s="1625"/>
      <c r="AO152" s="1625"/>
      <c r="AP152" s="1625"/>
      <c r="AQ152" s="1625"/>
      <c r="AR152" s="848"/>
      <c r="AS152" s="848"/>
      <c r="AT152" s="848"/>
      <c r="AU152" s="848"/>
      <c r="AV152" s="848"/>
      <c r="AW152" s="848"/>
      <c r="AX152" s="848"/>
      <c r="AY152" s="848"/>
      <c r="AZ152" s="848"/>
      <c r="BA152" s="848"/>
      <c r="BB152" s="848"/>
      <c r="BC152" s="848"/>
      <c r="BD152" s="848"/>
      <c r="BE152" s="848"/>
      <c r="BF152" s="848"/>
      <c r="BG152" s="685"/>
      <c r="BH152" s="1626"/>
      <c r="BI152" s="1626"/>
      <c r="BJ152" s="1626"/>
      <c r="BK152" s="1626"/>
      <c r="BL152" s="1626"/>
      <c r="BM152" s="1626"/>
      <c r="BN152" s="1229"/>
      <c r="BO152" s="721">
        <f t="shared" si="4"/>
        <v>0</v>
      </c>
    </row>
    <row r="153" spans="1:70" s="816" customFormat="1" x14ac:dyDescent="0.2">
      <c r="A153" s="840">
        <v>71</v>
      </c>
      <c r="B153" s="1712">
        <v>71</v>
      </c>
      <c r="C153" s="1613"/>
      <c r="D153" s="1248" t="str">
        <f>IF(AND(C153="",C151&lt;&gt;""),"Enter Facility "&amp;TEXT(A153,0)&amp;" Name, then Fill in Columns "&amp;TEXT($H$2,0)&amp;" - "&amp;TEXT($AH$2,0)&amp;"       ","")</f>
        <v/>
      </c>
      <c r="E153" s="1245" t="str">
        <f>IF(AL153="N/A","",AL153)</f>
        <v/>
      </c>
      <c r="F153" s="758"/>
      <c r="G153" s="758"/>
      <c r="H153" s="1614"/>
      <c r="I153" s="758"/>
      <c r="J153" s="1615"/>
      <c r="K153" s="1248" t="str">
        <f>IF(E153&lt;&gt;"","Enter Street Address                   ","")</f>
        <v/>
      </c>
      <c r="L153" s="1615"/>
      <c r="M153" s="1248" t="str">
        <f>IF(E153&lt;&gt;"","Enter City Name       ","")</f>
        <v/>
      </c>
      <c r="N153" s="1613"/>
      <c r="O153" s="1248" t="str">
        <f>IF(E153&lt;&gt;"","Select from Pull-Down List   ","")</f>
        <v/>
      </c>
      <c r="P153" s="1616"/>
      <c r="Q153" s="1248" t="str">
        <f>IF($E153&lt;&gt;"","Enter ZIP Code       ","")</f>
        <v/>
      </c>
      <c r="R153" s="1617"/>
      <c r="S153" s="1618" t="str">
        <f>IF($E153&lt;&gt;"","Select from Pull-Down List  ","")</f>
        <v/>
      </c>
      <c r="T153" s="1617"/>
      <c r="U153" s="1618" t="str">
        <f>IF(AND($C153&lt;&gt;"",T153=""),"Select from Pull-Down List  ","")</f>
        <v/>
      </c>
      <c r="V153" s="1619"/>
      <c r="W153" s="1248" t="str">
        <f>IF(E153&lt;&gt;"","Year?   ","")</f>
        <v/>
      </c>
      <c r="X153" s="1247"/>
      <c r="Y153" s="1620" t="str">
        <f>IF(E153&lt;&gt;"","Sq. Feet?   ","")</f>
        <v/>
      </c>
      <c r="Z153" s="1621"/>
      <c r="AA153" s="1618" t="str">
        <f>IF($E153&lt;&gt;"","% of Cap Resp.","")</f>
        <v/>
      </c>
      <c r="AB153" s="1782" t="str">
        <f ca="1">IFERROR(IF(BK153="", "", IF(BK153&gt;100, 1, VLOOKUP(BK153, Valid!$W$1:$AA$101, VLOOKUP(T153, Codes!$G$7:$I$17, 3, FALSE), FALSE))), "")</f>
        <v/>
      </c>
      <c r="AC153" s="1618"/>
      <c r="AD153" s="1247"/>
      <c r="AE153" s="1620" t="str">
        <f>IF($E153&lt;&gt;"","Drop-Down    ","")</f>
        <v/>
      </c>
      <c r="AF153" s="1720"/>
      <c r="AG153" s="1620" t="b">
        <f>IF(E153&lt;&gt;"","Date?   ")</f>
        <v>0</v>
      </c>
      <c r="AH153" s="1613"/>
      <c r="AI153" s="1248" t="str">
        <f>IF(OR(T153="Other (describe in Notes)",T153="Dual Administrative and Maintenance Facility"),"Describe Facility                                                                                         ","")</f>
        <v/>
      </c>
      <c r="AJ153" s="1624"/>
      <c r="AK153" s="1624" t="b">
        <f>IF(AND(C153="",C155&lt;&gt;""),TRUE,FALSE)</f>
        <v>0</v>
      </c>
      <c r="AL153" s="1624" t="str">
        <f>IF(AND($C153&lt;&gt;"",OR($J153="",$L153="",$N153="",$P153="",$R153="",$T153="",$V153="",$X153="",$Z153="",$AD153="",$AF153="")),"No",IF(AND($C153="",OR($H153&lt;&gt;"",$J153&lt;&gt;"",$L153&lt;&gt;"",$N153&lt;&gt;"",$P153&lt;&gt;"",$R153&lt;&gt;"",$T153&lt;&gt;"",$V153&lt;&gt;"",$X153&lt;&gt;"",$Z153&lt;&gt;"",$AD153&lt;&gt;"",$AF153&lt;&gt;"")),"N",IF(AND($H153="",$C153="",$J153="",$L153="",$N153="",$P153="",$R153="",$T153="",$V153="",$X153="",$Z153="",$AD153="",$AF153=""),"N/A",IF(AND($C153&lt;&gt;"",$J153&lt;&gt;"",$L153&lt;&gt;"",$N153&lt;&gt;"",$P153&lt;&gt;"",$R153&lt;&gt;"",$T153&lt;&gt;"",$V153&lt;&gt;"",$X153&lt;&gt;"",$Z153&lt;&gt;"",$AD153&lt;&gt;"",$AF153&lt;&gt;""),"Yes",""))))</f>
        <v>N/A</v>
      </c>
      <c r="AM153" s="1625" t="b">
        <f ca="1">IF(AND($C153="",OR($J153&lt;&gt;"",$L153&lt;&gt;"",$N153&lt;&gt;"",$P153&lt;&gt;"",$R153&lt;&gt;"",$T153&lt;&gt;"",$V153&lt;&gt;"",$X153&lt;&gt;"",$Z153&lt;&gt;"",$AB153&lt;&gt;"",$AF153&lt;&gt;"")),TRUE,FALSE)</f>
        <v>0</v>
      </c>
      <c r="AN153" s="1625" t="b">
        <f>IF(AND($C153&lt;&gt;"",$J153=""),TRUE,FALSE)</f>
        <v>0</v>
      </c>
      <c r="AO153" s="1625" t="b">
        <f>IF(AND($C153&lt;&gt;"",$L153=""),TRUE,FALSE)</f>
        <v>0</v>
      </c>
      <c r="AP153" s="1625" t="b">
        <f>IF(AND($C153&lt;&gt;"",$N153=""),TRUE,FALSE)</f>
        <v>0</v>
      </c>
      <c r="AQ153" s="1625" t="b">
        <f>IF(AND($C153&lt;&gt;"",$P153=""),TRUE,FALSE)</f>
        <v>0</v>
      </c>
      <c r="AR153" s="1625" t="b">
        <f>IF(AND($C153&lt;&gt;"",$R153=""),TRUE,FALSE)</f>
        <v>0</v>
      </c>
      <c r="AS153" s="1625"/>
      <c r="AT153" s="1625" t="b">
        <f ca="1">IF(AND(T153="",OR(V153&lt;&gt;"",X153&lt;&gt;"",Z153&lt;&gt;"",AB153&lt;&gt;"",AF153&lt;&gt;"")),TRUE,FALSE)</f>
        <v>0</v>
      </c>
      <c r="AU153" s="1625" t="b">
        <f>IF(AND($C153&lt;&gt;"",$T153=""),TRUE,FALSE)</f>
        <v>0</v>
      </c>
      <c r="AV153" s="1625" t="b">
        <f>IF(V153="",FALSE,IF(T153="",FALSE,IF(AW153=TRUE,FALSE,IF(OR(V153&lt;BI153,V153&gt;BaseYear),TRUE,FALSE))))</f>
        <v>0</v>
      </c>
      <c r="AW153" s="1625" t="b">
        <f>IF(AND($C153&lt;&gt;"",$V153=""),TRUE,FALSE)</f>
        <v>0</v>
      </c>
      <c r="AX153" s="1625" t="b">
        <f>IF(X153="",FALSE,IF(T153="",FALSE,IF(AZ153=TRUE,FALSE,IF(X153&lt;BL153,TRUE,FALSE))))</f>
        <v>0</v>
      </c>
      <c r="AY153" s="1625" t="b">
        <f>IF(X153="",FALSE,IF(T153="",FALSE,IF(AZ153=TRUE,FALSE,IF(X153&gt;BM153,TRUE,FALSE))))</f>
        <v>0</v>
      </c>
      <c r="AZ153" s="1625" t="b">
        <f>IF(AND($C153&lt;&gt;"",$X153=""),TRUE,FALSE)</f>
        <v>0</v>
      </c>
      <c r="BA153" s="1626" t="b">
        <f>IF(BB153=TRUE,FALSE,IF(OR(Z153&lt;0,Z153&gt;1),TRUE,FALSE))</f>
        <v>0</v>
      </c>
      <c r="BB153" s="1625" t="b">
        <f>IF(AND($C153&lt;&gt;"",$Z153=""),TRUE,FALSE)</f>
        <v>0</v>
      </c>
      <c r="BC153" s="1626"/>
      <c r="BD153" s="1625" t="b">
        <f ca="1">IF(AND($C153&lt;&gt;"",$AB153=""),TRUE,FALSE)</f>
        <v>0</v>
      </c>
      <c r="BE153" s="1626" t="b">
        <f>IF(OR(AF153="", V153=""),FALSE,IF(COUNT(FIND({0,1,2,3,4,5,6,7,8,9}, AF153))=0, FALSE, IF(YEAR(AF153)&lt;V153, TRUE, FALSE)))</f>
        <v>0</v>
      </c>
      <c r="BF153" s="1625" t="b">
        <f>IF(AND($C153&lt;&gt;"",$AF153=""),TRUE,FALSE)</f>
        <v>0</v>
      </c>
      <c r="BG153" s="721"/>
      <c r="BH153" s="1625" t="str">
        <f>IF($T153="","",VLOOKUP($T153,val_facilities,BH$3,FALSE))</f>
        <v/>
      </c>
      <c r="BI153" s="1627" t="str">
        <f>IF($T153="","",VLOOKUP($T153,val_facilities,BI$3,FALSE))</f>
        <v/>
      </c>
      <c r="BJ153" s="1627" t="str">
        <f>IF($T153="","",VLOOKUP($T153,val_facilities,BJ$3,FALSE))</f>
        <v/>
      </c>
      <c r="BK153" s="1627" t="str">
        <f ca="1">IFERROR(IF(V153="", "", YEAR(TODAY())-V153), "")</f>
        <v/>
      </c>
      <c r="BL153" s="845" t="str">
        <f>IF($T153="","",VLOOKUP($T153,val_facilities,BL$3,FALSE))</f>
        <v/>
      </c>
      <c r="BM153" s="845" t="str">
        <f>IF($T153="","",VLOOKUP($T153,val_facilities,BM$3,FALSE))</f>
        <v/>
      </c>
      <c r="BN153" s="758"/>
      <c r="BO153" s="721">
        <f t="shared" si="4"/>
        <v>0</v>
      </c>
    </row>
    <row r="154" spans="1:70" s="816" customFormat="1" ht="6.75" customHeight="1" thickBot="1" x14ac:dyDescent="0.25">
      <c r="A154" s="840"/>
      <c r="B154" s="1712">
        <v>71.5</v>
      </c>
      <c r="C154" s="1607"/>
      <c r="D154" s="1248"/>
      <c r="E154" s="721"/>
      <c r="F154" s="758"/>
      <c r="G154" s="758"/>
      <c r="H154" s="758"/>
      <c r="I154" s="758"/>
      <c r="J154" s="1628"/>
      <c r="K154" s="1248"/>
      <c r="L154" s="1629"/>
      <c r="M154" s="1248"/>
      <c r="N154" s="1629"/>
      <c r="O154" s="1248"/>
      <c r="P154" s="1630"/>
      <c r="Q154" s="1248"/>
      <c r="R154" s="1223"/>
      <c r="S154" s="1618"/>
      <c r="T154" s="1608"/>
      <c r="U154" s="1618"/>
      <c r="V154" s="1623"/>
      <c r="W154" s="1618"/>
      <c r="X154" s="1631"/>
      <c r="Y154" s="1632"/>
      <c r="Z154" s="822"/>
      <c r="AA154" s="1632"/>
      <c r="AB154" s="1631"/>
      <c r="AC154" s="1632"/>
      <c r="AD154" s="1631"/>
      <c r="AE154" s="1632"/>
      <c r="AF154" s="1719"/>
      <c r="AG154" s="1632"/>
      <c r="AH154" s="1243"/>
      <c r="AI154" s="1248"/>
      <c r="AJ154" s="758"/>
      <c r="AK154" s="758"/>
      <c r="AL154" s="758"/>
      <c r="AM154" s="1625"/>
      <c r="AN154" s="1625"/>
      <c r="AO154" s="1625"/>
      <c r="AP154" s="1625"/>
      <c r="AQ154" s="1625"/>
      <c r="AR154" s="1625"/>
      <c r="AS154" s="1625"/>
      <c r="AT154" s="1625"/>
      <c r="AU154" s="1625"/>
      <c r="AV154" s="1626"/>
      <c r="AW154" s="1626"/>
      <c r="AX154" s="1626"/>
      <c r="AY154" s="1626"/>
      <c r="AZ154" s="1626"/>
      <c r="BA154" s="1626"/>
      <c r="BB154" s="1626"/>
      <c r="BC154" s="1626"/>
      <c r="BD154" s="1626"/>
      <c r="BE154" s="1626"/>
      <c r="BF154" s="1626"/>
      <c r="BG154" s="721"/>
      <c r="BH154" s="1626"/>
      <c r="BI154" s="1626"/>
      <c r="BJ154" s="1626"/>
      <c r="BK154" s="1626"/>
      <c r="BL154" s="1626"/>
      <c r="BM154" s="1626"/>
      <c r="BN154" s="758"/>
      <c r="BO154" s="721">
        <f t="shared" si="4"/>
        <v>0</v>
      </c>
      <c r="BP154" s="721"/>
      <c r="BQ154" s="721"/>
      <c r="BR154" s="721"/>
    </row>
    <row r="155" spans="1:70" s="816" customFormat="1" x14ac:dyDescent="0.2">
      <c r="A155" s="840">
        <v>72</v>
      </c>
      <c r="B155" s="1712">
        <v>72</v>
      </c>
      <c r="C155" s="1613"/>
      <c r="D155" s="1248" t="str">
        <f>IF(AND(C155="",C153&lt;&gt;""),"Enter Facility "&amp;TEXT(A155,0)&amp;" Name, then Fill in Columns "&amp;TEXT($H$2,0)&amp;" - "&amp;TEXT($AH$2,0)&amp;"       ","")</f>
        <v/>
      </c>
      <c r="E155" s="1245" t="str">
        <f>IF(AL155="N/A","",AL155)</f>
        <v/>
      </c>
      <c r="F155" s="758"/>
      <c r="G155" s="758"/>
      <c r="H155" s="1614"/>
      <c r="I155" s="758"/>
      <c r="J155" s="1615"/>
      <c r="K155" s="1248" t="str">
        <f>IF(E155&lt;&gt;"","Enter Street Address                   ","")</f>
        <v/>
      </c>
      <c r="L155" s="1615"/>
      <c r="M155" s="1248" t="str">
        <f>IF(E155&lt;&gt;"","Enter City Name       ","")</f>
        <v/>
      </c>
      <c r="N155" s="1613"/>
      <c r="O155" s="1248" t="str">
        <f>IF(E155&lt;&gt;"","Select from Pull-Down List   ","")</f>
        <v/>
      </c>
      <c r="P155" s="1616"/>
      <c r="Q155" s="1248" t="str">
        <f>IF($E155&lt;&gt;"","Enter ZIP Code       ","")</f>
        <v/>
      </c>
      <c r="R155" s="1617"/>
      <c r="S155" s="1618" t="str">
        <f>IF($E155&lt;&gt;"","Select from Pull-Down List  ","")</f>
        <v/>
      </c>
      <c r="T155" s="1617"/>
      <c r="U155" s="1618" t="str">
        <f>IF(AND($C155&lt;&gt;"",T155=""),"Select from Pull-Down List  ","")</f>
        <v/>
      </c>
      <c r="V155" s="1619"/>
      <c r="W155" s="1248" t="str">
        <f>IF(E155&lt;&gt;"","Year?   ","")</f>
        <v/>
      </c>
      <c r="X155" s="1247"/>
      <c r="Y155" s="1620" t="str">
        <f>IF(E155&lt;&gt;"","Sq. Feet?   ","")</f>
        <v/>
      </c>
      <c r="Z155" s="1621"/>
      <c r="AA155" s="1618" t="str">
        <f>IF($E155&lt;&gt;"","% of Cap Resp.","")</f>
        <v/>
      </c>
      <c r="AB155" s="1782" t="str">
        <f ca="1">IFERROR(IF(BK155="", "", IF(BK155&gt;100, 1, VLOOKUP(BK155, Valid!$W$1:$AA$101, VLOOKUP(T155, Codes!$G$7:$I$17, 3, FALSE), FALSE))), "")</f>
        <v/>
      </c>
      <c r="AC155" s="1618"/>
      <c r="AD155" s="1247"/>
      <c r="AE155" s="1620" t="str">
        <f>IF($E155&lt;&gt;"","Drop-Down    ","")</f>
        <v/>
      </c>
      <c r="AF155" s="1720"/>
      <c r="AG155" s="1620" t="b">
        <f>IF(E155&lt;&gt;"","Date?   ")</f>
        <v>0</v>
      </c>
      <c r="AH155" s="1613"/>
      <c r="AI155" s="1248" t="str">
        <f>IF(OR(T155="Other (describe in Notes)",T155="Dual Administrative and Maintenance Facility"),"Describe Facility                                                                                         ","")</f>
        <v/>
      </c>
      <c r="AJ155" s="1624"/>
      <c r="AK155" s="1624" t="b">
        <f>IF(AND(C155="",C157&lt;&gt;""),TRUE,FALSE)</f>
        <v>0</v>
      </c>
      <c r="AL155" s="1624" t="str">
        <f>IF(AND($C155&lt;&gt;"",OR($J155="",$L155="",$N155="",$P155="",$R155="",$T155="",$V155="",$X155="",$Z155="",$AD155="",$AF155="")),"No",IF(AND($C155="",OR($H155&lt;&gt;"",$J155&lt;&gt;"",$L155&lt;&gt;"",$N155&lt;&gt;"",$P155&lt;&gt;"",$R155&lt;&gt;"",$T155&lt;&gt;"",$V155&lt;&gt;"",$X155&lt;&gt;"",$Z155&lt;&gt;"",$AD155&lt;&gt;"",$AF155&lt;&gt;"")),"N",IF(AND($H155="",$C155="",$J155="",$L155="",$N155="",$P155="",$R155="",$T155="",$V155="",$X155="",$Z155="",$AD155="",$AF155=""),"N/A",IF(AND($C155&lt;&gt;"",$J155&lt;&gt;"",$L155&lt;&gt;"",$N155&lt;&gt;"",$P155&lt;&gt;"",$R155&lt;&gt;"",$T155&lt;&gt;"",$V155&lt;&gt;"",$X155&lt;&gt;"",$Z155&lt;&gt;"",$AD155&lt;&gt;"",$AF155&lt;&gt;""),"Yes",""))))</f>
        <v>N/A</v>
      </c>
      <c r="AM155" s="1625" t="b">
        <f ca="1">IF(AND($C155="",OR($J155&lt;&gt;"",$L155&lt;&gt;"",$N155&lt;&gt;"",$P155&lt;&gt;"",$R155&lt;&gt;"",$T155&lt;&gt;"",$V155&lt;&gt;"",$X155&lt;&gt;"",$Z155&lt;&gt;"",$AB155&lt;&gt;"",$AF155&lt;&gt;"")),TRUE,FALSE)</f>
        <v>0</v>
      </c>
      <c r="AN155" s="1625" t="b">
        <f>IF(AND($C155&lt;&gt;"",$J155=""),TRUE,FALSE)</f>
        <v>0</v>
      </c>
      <c r="AO155" s="1625" t="b">
        <f>IF(AND($C155&lt;&gt;"",$L155=""),TRUE,FALSE)</f>
        <v>0</v>
      </c>
      <c r="AP155" s="1625" t="b">
        <f>IF(AND($C155&lt;&gt;"",$N155=""),TRUE,FALSE)</f>
        <v>0</v>
      </c>
      <c r="AQ155" s="1625" t="b">
        <f>IF(AND($C155&lt;&gt;"",$P155=""),TRUE,FALSE)</f>
        <v>0</v>
      </c>
      <c r="AR155" s="1625" t="b">
        <f>IF(AND($C155&lt;&gt;"",$R155=""),TRUE,FALSE)</f>
        <v>0</v>
      </c>
      <c r="AS155" s="1625"/>
      <c r="AT155" s="1625" t="b">
        <f ca="1">IF(AND(T155="",OR(V155&lt;&gt;"",X155&lt;&gt;"",Z155&lt;&gt;"",AB155&lt;&gt;"",AF155&lt;&gt;"")),TRUE,FALSE)</f>
        <v>0</v>
      </c>
      <c r="AU155" s="1625" t="b">
        <f>IF(AND($C155&lt;&gt;"",$T155=""),TRUE,FALSE)</f>
        <v>0</v>
      </c>
      <c r="AV155" s="1625" t="b">
        <f>IF(V155="",FALSE,IF(T155="",FALSE,IF(AW155=TRUE,FALSE,IF(OR(V155&lt;BI155,V155&gt;BaseYear),TRUE,FALSE))))</f>
        <v>0</v>
      </c>
      <c r="AW155" s="1625" t="b">
        <f>IF(AND($C155&lt;&gt;"",$V155=""),TRUE,FALSE)</f>
        <v>0</v>
      </c>
      <c r="AX155" s="1625" t="b">
        <f>IF(X155="",FALSE,IF(T155="",FALSE,IF(AZ155=TRUE,FALSE,IF(X155&lt;BL155,TRUE,FALSE))))</f>
        <v>0</v>
      </c>
      <c r="AY155" s="1625" t="b">
        <f>IF(X155="",FALSE,IF(T155="",FALSE,IF(AZ155=TRUE,FALSE,IF(X155&gt;BM155,TRUE,FALSE))))</f>
        <v>0</v>
      </c>
      <c r="AZ155" s="1625" t="b">
        <f>IF(AND($C155&lt;&gt;"",$X155=""),TRUE,FALSE)</f>
        <v>0</v>
      </c>
      <c r="BA155" s="1626" t="b">
        <f>IF(BB155=TRUE,FALSE,IF(OR(Z155&lt;0,Z155&gt;1),TRUE,FALSE))</f>
        <v>0</v>
      </c>
      <c r="BB155" s="1625" t="b">
        <f>IF(AND($C155&lt;&gt;"",$Z155=""),TRUE,FALSE)</f>
        <v>0</v>
      </c>
      <c r="BC155" s="1626"/>
      <c r="BD155" s="1625" t="b">
        <f ca="1">IF(AND($C155&lt;&gt;"",$AB155=""),TRUE,FALSE)</f>
        <v>0</v>
      </c>
      <c r="BE155" s="1626" t="b">
        <f>IF(OR(AF155="", V155=""),FALSE,IF(COUNT(FIND({0,1,2,3,4,5,6,7,8,9}, AF155))=0, FALSE, IF(YEAR(AF155)&lt;V155, TRUE, FALSE)))</f>
        <v>0</v>
      </c>
      <c r="BF155" s="1625" t="b">
        <f>IF(AND($C155&lt;&gt;"",$AF155=""),TRUE,FALSE)</f>
        <v>0</v>
      </c>
      <c r="BG155" s="721"/>
      <c r="BH155" s="1625" t="str">
        <f>IF($T155="","",VLOOKUP($T155,val_facilities,BH$3,FALSE))</f>
        <v/>
      </c>
      <c r="BI155" s="1627" t="str">
        <f>IF($T155="","",VLOOKUP($T155,val_facilities,BI$3,FALSE))</f>
        <v/>
      </c>
      <c r="BJ155" s="1627" t="str">
        <f>IF($T155="","",VLOOKUP($T155,val_facilities,BJ$3,FALSE))</f>
        <v/>
      </c>
      <c r="BK155" s="1627" t="str">
        <f ca="1">IFERROR(IF(V155="", "", YEAR(TODAY())-V155), "")</f>
        <v/>
      </c>
      <c r="BL155" s="845" t="str">
        <f>IF($T155="","",VLOOKUP($T155,val_facilities,BL$3,FALSE))</f>
        <v/>
      </c>
      <c r="BM155" s="845" t="str">
        <f>IF($T155="","",VLOOKUP($T155,val_facilities,BM$3,FALSE))</f>
        <v/>
      </c>
      <c r="BN155" s="758"/>
      <c r="BO155" s="721">
        <f t="shared" si="4"/>
        <v>0</v>
      </c>
    </row>
    <row r="156" spans="1:70" s="686" customFormat="1" ht="6.75" customHeight="1" thickBot="1" x14ac:dyDescent="0.25">
      <c r="A156" s="1638"/>
      <c r="B156" s="1712">
        <v>72.5</v>
      </c>
      <c r="C156" s="721"/>
      <c r="D156" s="1248"/>
      <c r="E156" s="816"/>
      <c r="F156" s="758"/>
      <c r="G156" s="758"/>
      <c r="H156" s="758"/>
      <c r="I156" s="758"/>
      <c r="J156" s="1633"/>
      <c r="K156" s="1248"/>
      <c r="L156" s="1634"/>
      <c r="M156" s="1248"/>
      <c r="N156" s="1634"/>
      <c r="O156" s="1248"/>
      <c r="P156" s="1635"/>
      <c r="Q156" s="1248"/>
      <c r="R156" s="1059"/>
      <c r="S156" s="1618"/>
      <c r="T156" s="1636"/>
      <c r="U156" s="1618"/>
      <c r="V156" s="1623"/>
      <c r="W156" s="1618"/>
      <c r="X156" s="722"/>
      <c r="Y156" s="723"/>
      <c r="Z156" s="724"/>
      <c r="AA156" s="723"/>
      <c r="AB156" s="722"/>
      <c r="AC156" s="723"/>
      <c r="AD156" s="722"/>
      <c r="AE156" s="723"/>
      <c r="AF156" s="1717"/>
      <c r="AG156" s="723"/>
      <c r="AH156" s="1637"/>
      <c r="AI156" s="1624"/>
      <c r="AJ156" s="1624"/>
      <c r="AK156" s="1624"/>
      <c r="AL156" s="1624"/>
      <c r="AM156" s="1625"/>
      <c r="AN156" s="1625"/>
      <c r="AO156" s="1625"/>
      <c r="AP156" s="1625"/>
      <c r="AQ156" s="1625"/>
      <c r="AR156" s="1625"/>
      <c r="AS156" s="1625"/>
      <c r="AT156" s="1625"/>
      <c r="AU156" s="1625"/>
      <c r="AV156" s="1626"/>
      <c r="AW156" s="1626"/>
      <c r="AX156" s="1626"/>
      <c r="AY156" s="1626"/>
      <c r="AZ156" s="1626"/>
      <c r="BA156" s="1626"/>
      <c r="BB156" s="1626"/>
      <c r="BC156" s="1626"/>
      <c r="BD156" s="1626"/>
      <c r="BE156" s="1626"/>
      <c r="BF156" s="1626"/>
      <c r="BG156" s="721"/>
      <c r="BH156" s="1626"/>
      <c r="BI156" s="1626"/>
      <c r="BJ156" s="1626"/>
      <c r="BK156" s="1626"/>
      <c r="BL156" s="1626"/>
      <c r="BM156" s="1626"/>
      <c r="BN156" s="758"/>
      <c r="BO156" s="721">
        <f t="shared" si="4"/>
        <v>0</v>
      </c>
      <c r="BP156" s="816"/>
      <c r="BQ156" s="816"/>
      <c r="BR156" s="816"/>
    </row>
    <row r="157" spans="1:70" s="686" customFormat="1" x14ac:dyDescent="0.2">
      <c r="A157" s="840">
        <v>73</v>
      </c>
      <c r="B157" s="1712">
        <v>73</v>
      </c>
      <c r="C157" s="1613"/>
      <c r="D157" s="1248" t="str">
        <f>IF(AND(C157="",C155&lt;&gt;""),"Enter Facility "&amp;TEXT(A157,0)&amp;" Name, then Fill in Columns "&amp;TEXT($H$2,0)&amp;" - "&amp;TEXT($AH$2,0)&amp;"       ","")</f>
        <v/>
      </c>
      <c r="E157" s="1245" t="str">
        <f>IF(AL157="N/A","",AL157)</f>
        <v/>
      </c>
      <c r="F157" s="758"/>
      <c r="G157" s="758"/>
      <c r="H157" s="1614"/>
      <c r="I157" s="758"/>
      <c r="J157" s="1615"/>
      <c r="K157" s="1248" t="str">
        <f>IF(E157&lt;&gt;"","Enter Street Address                   ","")</f>
        <v/>
      </c>
      <c r="L157" s="1615"/>
      <c r="M157" s="1248" t="str">
        <f>IF(E157&lt;&gt;"","Enter City Name       ","")</f>
        <v/>
      </c>
      <c r="N157" s="1613"/>
      <c r="O157" s="1248" t="str">
        <f>IF(E157&lt;&gt;"","Select from Pull-Down List   ","")</f>
        <v/>
      </c>
      <c r="P157" s="1616"/>
      <c r="Q157" s="1248" t="str">
        <f>IF($E157&lt;&gt;"","Enter ZIP Code       ","")</f>
        <v/>
      </c>
      <c r="R157" s="1617"/>
      <c r="S157" s="1618" t="str">
        <f>IF($E157&lt;&gt;"","Select from Pull-Down List  ","")</f>
        <v/>
      </c>
      <c r="T157" s="1617"/>
      <c r="U157" s="1618" t="str">
        <f>IF(AND($C157&lt;&gt;"",T157=""),"Select from Pull-Down List  ","")</f>
        <v/>
      </c>
      <c r="V157" s="1619"/>
      <c r="W157" s="1248" t="str">
        <f>IF(E157&lt;&gt;"","Year?   ","")</f>
        <v/>
      </c>
      <c r="X157" s="1247"/>
      <c r="Y157" s="1620" t="str">
        <f>IF(E157&lt;&gt;"","Sq. Feet?   ","")</f>
        <v/>
      </c>
      <c r="Z157" s="1621"/>
      <c r="AA157" s="1618" t="str">
        <f>IF($E157&lt;&gt;"","% of Cap Resp.","")</f>
        <v/>
      </c>
      <c r="AB157" s="1782" t="str">
        <f ca="1">IFERROR(IF(BK157="", "", IF(BK157&gt;100, 1, VLOOKUP(BK157, Valid!$W$1:$AA$101, VLOOKUP(T157, Codes!$G$7:$I$17, 3, FALSE), FALSE))), "")</f>
        <v/>
      </c>
      <c r="AC157" s="1618"/>
      <c r="AD157" s="1247"/>
      <c r="AE157" s="1620" t="str">
        <f>IF($E157&lt;&gt;"","Drop-Down    ","")</f>
        <v/>
      </c>
      <c r="AF157" s="1720"/>
      <c r="AG157" s="1620" t="b">
        <f>IF(E157&lt;&gt;"","Date?   ")</f>
        <v>0</v>
      </c>
      <c r="AH157" s="1613"/>
      <c r="AI157" s="1248" t="str">
        <f>IF(OR(T157="Other (describe in Notes)",T157="Dual Administrative and Maintenance Facility"),"Describe Facility                                                                                         ","")</f>
        <v/>
      </c>
      <c r="AJ157" s="1624"/>
      <c r="AK157" s="1624" t="b">
        <f>IF(AND(C157="",C159&lt;&gt;""),TRUE,FALSE)</f>
        <v>0</v>
      </c>
      <c r="AL157" s="1624" t="str">
        <f>IF(AND($C157&lt;&gt;"",OR($J157="",$L157="",$N157="",$P157="",$R157="",$T157="",$V157="",$X157="",$Z157="",$AD157="",$AF157="")),"No",IF(AND($C157="",OR($H157&lt;&gt;"",$J157&lt;&gt;"",$L157&lt;&gt;"",$N157&lt;&gt;"",$P157&lt;&gt;"",$R157&lt;&gt;"",$T157&lt;&gt;"",$V157&lt;&gt;"",$X157&lt;&gt;"",$Z157&lt;&gt;"",$AD157&lt;&gt;"",$AF157&lt;&gt;"")),"N",IF(AND($H157="",$C157="",$J157="",$L157="",$N157="",$P157="",$R157="",$T157="",$V157="",$X157="",$Z157="",$AD157="",$AF157=""),"N/A",IF(AND($C157&lt;&gt;"",$J157&lt;&gt;"",$L157&lt;&gt;"",$N157&lt;&gt;"",$P157&lt;&gt;"",$R157&lt;&gt;"",$T157&lt;&gt;"",$V157&lt;&gt;"",$X157&lt;&gt;"",$Z157&lt;&gt;"",$AD157&lt;&gt;"",$AF157&lt;&gt;""),"Yes",""))))</f>
        <v>N/A</v>
      </c>
      <c r="AM157" s="1625" t="b">
        <f ca="1">IF(AND($C157="",OR($J157&lt;&gt;"",$L157&lt;&gt;"",$N157&lt;&gt;"",$P157&lt;&gt;"",$R157&lt;&gt;"",$T157&lt;&gt;"",$V157&lt;&gt;"",$X157&lt;&gt;"",$Z157&lt;&gt;"",$AB157&lt;&gt;"",$AF157&lt;&gt;"")),TRUE,FALSE)</f>
        <v>0</v>
      </c>
      <c r="AN157" s="1625" t="b">
        <f>IF(AND($C157&lt;&gt;"",$J157=""),TRUE,FALSE)</f>
        <v>0</v>
      </c>
      <c r="AO157" s="1625" t="b">
        <f>IF(AND($C157&lt;&gt;"",$L157=""),TRUE,FALSE)</f>
        <v>0</v>
      </c>
      <c r="AP157" s="1625" t="b">
        <f>IF(AND($C157&lt;&gt;"",$N157=""),TRUE,FALSE)</f>
        <v>0</v>
      </c>
      <c r="AQ157" s="1625" t="b">
        <f>IF(AND($C157&lt;&gt;"",$P157=""),TRUE,FALSE)</f>
        <v>0</v>
      </c>
      <c r="AR157" s="1625" t="b">
        <f>IF(AND($C157&lt;&gt;"",$R157=""),TRUE,FALSE)</f>
        <v>0</v>
      </c>
      <c r="AS157" s="1625"/>
      <c r="AT157" s="1625" t="b">
        <f ca="1">IF(AND(T157="",OR(V157&lt;&gt;"",X157&lt;&gt;"",Z157&lt;&gt;"",AB157&lt;&gt;"",AF157&lt;&gt;"")),TRUE,FALSE)</f>
        <v>0</v>
      </c>
      <c r="AU157" s="1625" t="b">
        <f>IF(AND($C157&lt;&gt;"",$T157=""),TRUE,FALSE)</f>
        <v>0</v>
      </c>
      <c r="AV157" s="1625" t="b">
        <f>IF(V157="",FALSE,IF(T157="",FALSE,IF(AW157=TRUE,FALSE,IF(OR(V157&lt;BI157,V157&gt;BaseYear),TRUE,FALSE))))</f>
        <v>0</v>
      </c>
      <c r="AW157" s="1625" t="b">
        <f>IF(AND($C157&lt;&gt;"",$V157=""),TRUE,FALSE)</f>
        <v>0</v>
      </c>
      <c r="AX157" s="1625" t="b">
        <f>IF(X157="",FALSE,IF(T157="",FALSE,IF(AZ157=TRUE,FALSE,IF(X157&lt;BL157,TRUE,FALSE))))</f>
        <v>0</v>
      </c>
      <c r="AY157" s="1625" t="b">
        <f>IF(X157="",FALSE,IF(T157="",FALSE,IF(AZ157=TRUE,FALSE,IF(X157&gt;BM157,TRUE,FALSE))))</f>
        <v>0</v>
      </c>
      <c r="AZ157" s="1625" t="b">
        <f>IF(AND($C157&lt;&gt;"",$X157=""),TRUE,FALSE)</f>
        <v>0</v>
      </c>
      <c r="BA157" s="1626" t="b">
        <f>IF(BB157=TRUE,FALSE,IF(OR(Z157&lt;0,Z157&gt;1),TRUE,FALSE))</f>
        <v>0</v>
      </c>
      <c r="BB157" s="1625" t="b">
        <f>IF(AND($C157&lt;&gt;"",$Z157=""),TRUE,FALSE)</f>
        <v>0</v>
      </c>
      <c r="BC157" s="1626"/>
      <c r="BD157" s="1625" t="b">
        <f ca="1">IF(AND($C157&lt;&gt;"",$AB157=""),TRUE,FALSE)</f>
        <v>0</v>
      </c>
      <c r="BE157" s="1626" t="b">
        <f>IF(OR(AF157="", V157=""),FALSE,IF(COUNT(FIND({0,1,2,3,4,5,6,7,8,9}, AF157))=0, FALSE, IF(YEAR(AF157)&lt;V157, TRUE, FALSE)))</f>
        <v>0</v>
      </c>
      <c r="BF157" s="1625" t="b">
        <f>IF(AND($C157&lt;&gt;"",$AF157=""),TRUE,FALSE)</f>
        <v>0</v>
      </c>
      <c r="BG157" s="721"/>
      <c r="BH157" s="1625" t="str">
        <f>IF($T157="","",VLOOKUP($T157,val_facilities,BH$3,FALSE))</f>
        <v/>
      </c>
      <c r="BI157" s="1627" t="str">
        <f>IF($T157="","",VLOOKUP($T157,val_facilities,BI$3,FALSE))</f>
        <v/>
      </c>
      <c r="BJ157" s="1627" t="str">
        <f>IF($T157="","",VLOOKUP($T157,val_facilities,BJ$3,FALSE))</f>
        <v/>
      </c>
      <c r="BK157" s="1627" t="str">
        <f ca="1">IFERROR(IF(V157="", "", YEAR(TODAY())-V157), "")</f>
        <v/>
      </c>
      <c r="BL157" s="845" t="str">
        <f>IF($T157="","",VLOOKUP($T157,val_facilities,BL$3,FALSE))</f>
        <v/>
      </c>
      <c r="BM157" s="845" t="str">
        <f>IF($T157="","",VLOOKUP($T157,val_facilities,BM$3,FALSE))</f>
        <v/>
      </c>
      <c r="BN157" s="758"/>
      <c r="BO157" s="721">
        <f t="shared" si="4"/>
        <v>0</v>
      </c>
      <c r="BP157" s="816"/>
      <c r="BQ157" s="816"/>
      <c r="BR157" s="816"/>
    </row>
    <row r="158" spans="1:70" s="686" customFormat="1" ht="6.75" customHeight="1" thickBot="1" x14ac:dyDescent="0.25">
      <c r="A158" s="1638"/>
      <c r="B158" s="1712">
        <v>73.5</v>
      </c>
      <c r="C158" s="1057"/>
      <c r="D158" s="1248"/>
      <c r="E158" s="1057"/>
      <c r="F158" s="1229"/>
      <c r="G158" s="1229"/>
      <c r="H158" s="1229"/>
      <c r="I158" s="1229"/>
      <c r="J158" s="1604"/>
      <c r="K158" s="1640"/>
      <c r="L158" s="1641"/>
      <c r="M158" s="1248"/>
      <c r="N158" s="1641"/>
      <c r="O158" s="1248"/>
      <c r="P158" s="1642"/>
      <c r="Q158" s="1248"/>
      <c r="R158" s="1057"/>
      <c r="S158" s="1618"/>
      <c r="T158" s="1643"/>
      <c r="U158" s="1618"/>
      <c r="V158" s="1623"/>
      <c r="W158" s="1618"/>
      <c r="X158" s="733"/>
      <c r="Y158" s="1275"/>
      <c r="Z158" s="685"/>
      <c r="AA158" s="1275"/>
      <c r="AB158" s="733"/>
      <c r="AC158" s="1275"/>
      <c r="AD158" s="733"/>
      <c r="AE158" s="1275"/>
      <c r="AF158" s="1721"/>
      <c r="AG158" s="1275"/>
      <c r="AH158" s="1057"/>
      <c r="AI158" s="1644"/>
      <c r="AJ158" s="1644"/>
      <c r="AK158" s="1644"/>
      <c r="AL158" s="1644"/>
      <c r="AM158" s="1625"/>
      <c r="AN158" s="1625"/>
      <c r="AO158" s="1625"/>
      <c r="AP158" s="1625"/>
      <c r="AQ158" s="1625"/>
      <c r="AR158" s="848"/>
      <c r="AS158" s="848"/>
      <c r="AT158" s="848"/>
      <c r="AU158" s="848"/>
      <c r="AV158" s="848"/>
      <c r="AW158" s="848"/>
      <c r="AX158" s="848"/>
      <c r="AY158" s="848"/>
      <c r="AZ158" s="848"/>
      <c r="BA158" s="848"/>
      <c r="BB158" s="848"/>
      <c r="BC158" s="848"/>
      <c r="BD158" s="848"/>
      <c r="BE158" s="848"/>
      <c r="BF158" s="848"/>
      <c r="BG158" s="685"/>
      <c r="BH158" s="848"/>
      <c r="BI158" s="848"/>
      <c r="BJ158" s="848"/>
      <c r="BK158" s="848"/>
      <c r="BL158" s="848"/>
      <c r="BM158" s="848"/>
      <c r="BN158" s="1229"/>
      <c r="BO158" s="721">
        <f t="shared" si="4"/>
        <v>0</v>
      </c>
    </row>
    <row r="159" spans="1:70" s="686" customFormat="1" x14ac:dyDescent="0.2">
      <c r="A159" s="840">
        <v>74</v>
      </c>
      <c r="B159" s="1712">
        <v>74</v>
      </c>
      <c r="C159" s="1613"/>
      <c r="D159" s="1248" t="str">
        <f>IF(AND(C159="",C157&lt;&gt;""),"Enter Facility "&amp;TEXT(A159,0)&amp;" Name, then Fill in Columns "&amp;TEXT($H$2,0)&amp;" - "&amp;TEXT($AH$2,0)&amp;"       ","")</f>
        <v/>
      </c>
      <c r="E159" s="1245" t="str">
        <f>IF(AL159="N/A","",AL159)</f>
        <v/>
      </c>
      <c r="F159" s="758"/>
      <c r="G159" s="758"/>
      <c r="H159" s="1614"/>
      <c r="I159" s="758"/>
      <c r="J159" s="1615"/>
      <c r="K159" s="1248" t="str">
        <f>IF(E159&lt;&gt;"","Enter Street Address                   ","")</f>
        <v/>
      </c>
      <c r="L159" s="1615"/>
      <c r="M159" s="1248" t="str">
        <f>IF(E159&lt;&gt;"","Enter City Name       ","")</f>
        <v/>
      </c>
      <c r="N159" s="1613"/>
      <c r="O159" s="1248" t="str">
        <f>IF(E159&lt;&gt;"","Select from Pull-Down List   ","")</f>
        <v/>
      </c>
      <c r="P159" s="1616"/>
      <c r="Q159" s="1248" t="str">
        <f>IF($E159&lt;&gt;"","Enter ZIP Code       ","")</f>
        <v/>
      </c>
      <c r="R159" s="1617"/>
      <c r="S159" s="1618" t="str">
        <f>IF($E159&lt;&gt;"","Select from Pull-Down List  ","")</f>
        <v/>
      </c>
      <c r="T159" s="1617"/>
      <c r="U159" s="1618" t="str">
        <f>IF(AND($C159&lt;&gt;"",T159=""),"Select from Pull-Down List  ","")</f>
        <v/>
      </c>
      <c r="V159" s="1619"/>
      <c r="W159" s="1248" t="str">
        <f>IF(E159&lt;&gt;"","Year?   ","")</f>
        <v/>
      </c>
      <c r="X159" s="1247"/>
      <c r="Y159" s="1620" t="str">
        <f>IF(E159&lt;&gt;"","Sq. Feet?   ","")</f>
        <v/>
      </c>
      <c r="Z159" s="1621"/>
      <c r="AA159" s="1618" t="str">
        <f>IF($E159&lt;&gt;"","% of Cap Resp.","")</f>
        <v/>
      </c>
      <c r="AB159" s="1782" t="str">
        <f ca="1">IFERROR(IF(BK159="", "", IF(BK159&gt;100, 1, VLOOKUP(BK159, Valid!$W$1:$AA$101, VLOOKUP(T159, Codes!$G$7:$I$17, 3, FALSE), FALSE))), "")</f>
        <v/>
      </c>
      <c r="AC159" s="1618"/>
      <c r="AD159" s="1247"/>
      <c r="AE159" s="1620" t="str">
        <f>IF($E159&lt;&gt;"","Drop-Down    ","")</f>
        <v/>
      </c>
      <c r="AF159" s="1720"/>
      <c r="AG159" s="1620" t="b">
        <f>IF(E159&lt;&gt;"","Date?   ")</f>
        <v>0</v>
      </c>
      <c r="AH159" s="1613"/>
      <c r="AI159" s="1248" t="str">
        <f>IF(OR(T159="Other (describe in Notes)",T159="Dual Administrative and Maintenance Facility"),"Describe Facility                                                                                         ","")</f>
        <v/>
      </c>
      <c r="AJ159" s="1624"/>
      <c r="AK159" s="1624" t="b">
        <f>IF(AND(C159="",C161&lt;&gt;""),TRUE,FALSE)</f>
        <v>0</v>
      </c>
      <c r="AL159" s="1624" t="str">
        <f>IF(AND($C159&lt;&gt;"",OR($J159="",$L159="",$N159="",$P159="",$R159="",$T159="",$V159="",$X159="",$Z159="",$AD159="",$AF159="")),"No",IF(AND($C159="",OR($H159&lt;&gt;"",$J159&lt;&gt;"",$L159&lt;&gt;"",$N159&lt;&gt;"",$P159&lt;&gt;"",$R159&lt;&gt;"",$T159&lt;&gt;"",$V159&lt;&gt;"",$X159&lt;&gt;"",$Z159&lt;&gt;"",$AD159&lt;&gt;"",$AF159&lt;&gt;"")),"N",IF(AND($H159="",$C159="",$J159="",$L159="",$N159="",$P159="",$R159="",$T159="",$V159="",$X159="",$Z159="",$AD159="",$AF159=""),"N/A",IF(AND($C159&lt;&gt;"",$J159&lt;&gt;"",$L159&lt;&gt;"",$N159&lt;&gt;"",$P159&lt;&gt;"",$R159&lt;&gt;"",$T159&lt;&gt;"",$V159&lt;&gt;"",$X159&lt;&gt;"",$Z159&lt;&gt;"",$AD159&lt;&gt;"",$AF159&lt;&gt;""),"Yes",""))))</f>
        <v>N/A</v>
      </c>
      <c r="AM159" s="1625" t="b">
        <f ca="1">IF(AND($C159="",OR($J159&lt;&gt;"",$L159&lt;&gt;"",$N159&lt;&gt;"",$P159&lt;&gt;"",$R159&lt;&gt;"",$T159&lt;&gt;"",$V159&lt;&gt;"",$X159&lt;&gt;"",$Z159&lt;&gt;"",$AB159&lt;&gt;"",$AF159&lt;&gt;"")),TRUE,FALSE)</f>
        <v>0</v>
      </c>
      <c r="AN159" s="1625" t="b">
        <f>IF(AND($C159&lt;&gt;"",$J159=""),TRUE,FALSE)</f>
        <v>0</v>
      </c>
      <c r="AO159" s="1625" t="b">
        <f>IF(AND($C159&lt;&gt;"",$L159=""),TRUE,FALSE)</f>
        <v>0</v>
      </c>
      <c r="AP159" s="1625" t="b">
        <f>IF(AND($C159&lt;&gt;"",$N159=""),TRUE,FALSE)</f>
        <v>0</v>
      </c>
      <c r="AQ159" s="1625" t="b">
        <f>IF(AND($C159&lt;&gt;"",$P159=""),TRUE,FALSE)</f>
        <v>0</v>
      </c>
      <c r="AR159" s="1625" t="b">
        <f>IF(AND($C159&lt;&gt;"",$R159=""),TRUE,FALSE)</f>
        <v>0</v>
      </c>
      <c r="AS159" s="1625"/>
      <c r="AT159" s="1625" t="b">
        <f ca="1">IF(AND(T159="",OR(V159&lt;&gt;"",X159&lt;&gt;"",Z159&lt;&gt;"",AB159&lt;&gt;"",AF159&lt;&gt;"")),TRUE,FALSE)</f>
        <v>0</v>
      </c>
      <c r="AU159" s="1625" t="b">
        <f>IF(AND($C159&lt;&gt;"",$T159=""),TRUE,FALSE)</f>
        <v>0</v>
      </c>
      <c r="AV159" s="1625" t="b">
        <f>IF(V159="",FALSE,IF(T159="",FALSE,IF(AW159=TRUE,FALSE,IF(OR(V159&lt;BI159,V159&gt;BaseYear),TRUE,FALSE))))</f>
        <v>0</v>
      </c>
      <c r="AW159" s="1625" t="b">
        <f>IF(AND($C159&lt;&gt;"",$V159=""),TRUE,FALSE)</f>
        <v>0</v>
      </c>
      <c r="AX159" s="1625" t="b">
        <f>IF(X159="",FALSE,IF(T159="",FALSE,IF(AZ159=TRUE,FALSE,IF(X159&lt;BL159,TRUE,FALSE))))</f>
        <v>0</v>
      </c>
      <c r="AY159" s="1625" t="b">
        <f>IF(X159="",FALSE,IF(T159="",FALSE,IF(AZ159=TRUE,FALSE,IF(X159&gt;BM159,TRUE,FALSE))))</f>
        <v>0</v>
      </c>
      <c r="AZ159" s="1625" t="b">
        <f>IF(AND($C159&lt;&gt;"",$X159=""),TRUE,FALSE)</f>
        <v>0</v>
      </c>
      <c r="BA159" s="1626" t="b">
        <f>IF(BB159=TRUE,FALSE,IF(OR(Z159&lt;0,Z159&gt;1),TRUE,FALSE))</f>
        <v>0</v>
      </c>
      <c r="BB159" s="1625" t="b">
        <f>IF(AND($C159&lt;&gt;"",$Z159=""),TRUE,FALSE)</f>
        <v>0</v>
      </c>
      <c r="BC159" s="1626"/>
      <c r="BD159" s="1625" t="b">
        <f ca="1">IF(AND($C159&lt;&gt;"",$AB159=""),TRUE,FALSE)</f>
        <v>0</v>
      </c>
      <c r="BE159" s="1626" t="b">
        <f>IF(OR(AF159="", V159=""),FALSE,IF(COUNT(FIND({0,1,2,3,4,5,6,7,8,9}, AF159))=0, FALSE, IF(YEAR(AF159)&lt;V159, TRUE, FALSE)))</f>
        <v>0</v>
      </c>
      <c r="BF159" s="1625" t="b">
        <f>IF(AND($C159&lt;&gt;"",$AF159=""),TRUE,FALSE)</f>
        <v>0</v>
      </c>
      <c r="BG159" s="721"/>
      <c r="BH159" s="1625" t="str">
        <f>IF($T159="","",VLOOKUP($T159,val_facilities,BH$3,FALSE))</f>
        <v/>
      </c>
      <c r="BI159" s="1627" t="str">
        <f>IF($T159="","",VLOOKUP($T159,val_facilities,BI$3,FALSE))</f>
        <v/>
      </c>
      <c r="BJ159" s="1627" t="str">
        <f>IF($T159="","",VLOOKUP($T159,val_facilities,BJ$3,FALSE))</f>
        <v/>
      </c>
      <c r="BK159" s="1627" t="str">
        <f ca="1">IFERROR(IF(V159="", "", YEAR(TODAY())-V159), "")</f>
        <v/>
      </c>
      <c r="BL159" s="845" t="str">
        <f>IF($T159="","",VLOOKUP($T159,val_facilities,BL$3,FALSE))</f>
        <v/>
      </c>
      <c r="BM159" s="845" t="str">
        <f>IF($T159="","",VLOOKUP($T159,val_facilities,BM$3,FALSE))</f>
        <v/>
      </c>
      <c r="BN159" s="758"/>
      <c r="BO159" s="721">
        <f t="shared" si="4"/>
        <v>0</v>
      </c>
      <c r="BP159" s="816"/>
      <c r="BQ159" s="816"/>
      <c r="BR159" s="816"/>
    </row>
    <row r="160" spans="1:70" s="686" customFormat="1" ht="6.75" customHeight="1" thickBot="1" x14ac:dyDescent="0.25">
      <c r="A160" s="1638"/>
      <c r="B160" s="1712">
        <v>74.5</v>
      </c>
      <c r="C160" s="1057"/>
      <c r="D160" s="764"/>
      <c r="E160" s="1639"/>
      <c r="F160" s="1229"/>
      <c r="G160" s="1229"/>
      <c r="H160" s="1229"/>
      <c r="I160" s="1229"/>
      <c r="J160" s="1604"/>
      <c r="K160" s="1640"/>
      <c r="L160" s="1645"/>
      <c r="M160" s="1646"/>
      <c r="N160" s="1645"/>
      <c r="O160" s="1646"/>
      <c r="P160" s="1647"/>
      <c r="Q160" s="1646"/>
      <c r="R160" s="1057"/>
      <c r="S160" s="1618"/>
      <c r="T160" s="1643"/>
      <c r="U160" s="1618"/>
      <c r="V160" s="1623"/>
      <c r="W160" s="1618"/>
      <c r="X160" s="722"/>
      <c r="Y160" s="1648"/>
      <c r="Z160" s="841"/>
      <c r="AA160" s="1648"/>
      <c r="AB160" s="722"/>
      <c r="AC160" s="1648"/>
      <c r="AD160" s="722"/>
      <c r="AE160" s="1648"/>
      <c r="AF160" s="1717"/>
      <c r="AG160" s="1648"/>
      <c r="AH160" s="1057"/>
      <c r="AI160" s="1644"/>
      <c r="AJ160" s="1644"/>
      <c r="AK160" s="1644"/>
      <c r="AL160" s="1644"/>
      <c r="AM160" s="1625"/>
      <c r="AN160" s="1625"/>
      <c r="AO160" s="1625"/>
      <c r="AP160" s="1625"/>
      <c r="AQ160" s="1625"/>
      <c r="AR160" s="848"/>
      <c r="AS160" s="848"/>
      <c r="AT160" s="848"/>
      <c r="AU160" s="848"/>
      <c r="AV160" s="848"/>
      <c r="AW160" s="848"/>
      <c r="AX160" s="848"/>
      <c r="AY160" s="848"/>
      <c r="AZ160" s="848"/>
      <c r="BA160" s="848"/>
      <c r="BB160" s="848"/>
      <c r="BC160" s="848"/>
      <c r="BD160" s="848"/>
      <c r="BE160" s="848"/>
      <c r="BF160" s="848"/>
      <c r="BG160" s="685"/>
      <c r="BH160" s="848"/>
      <c r="BI160" s="848"/>
      <c r="BJ160" s="848"/>
      <c r="BK160" s="848"/>
      <c r="BL160" s="848"/>
      <c r="BM160" s="848"/>
      <c r="BN160" s="1229"/>
      <c r="BO160" s="721">
        <f t="shared" si="4"/>
        <v>0</v>
      </c>
    </row>
    <row r="161" spans="1:70" s="816" customFormat="1" x14ac:dyDescent="0.2">
      <c r="A161" s="840">
        <v>75</v>
      </c>
      <c r="B161" s="1712">
        <v>75</v>
      </c>
      <c r="C161" s="1613"/>
      <c r="D161" s="1248" t="str">
        <f>IF(AND(C161="",C159&lt;&gt;""),"Enter Facility "&amp;TEXT(A161,0)&amp;" Name, then Fill in Columns "&amp;TEXT($H$2,0)&amp;" - "&amp;TEXT($AH$2,0)&amp;"       ","")</f>
        <v/>
      </c>
      <c r="E161" s="1245" t="str">
        <f>IF(AL161="N/A","",AL161)</f>
        <v/>
      </c>
      <c r="F161" s="758"/>
      <c r="G161" s="758"/>
      <c r="H161" s="1614"/>
      <c r="I161" s="758"/>
      <c r="J161" s="1615"/>
      <c r="K161" s="1248" t="str">
        <f>IF(E161&lt;&gt;"","Enter Street Address                   ","")</f>
        <v/>
      </c>
      <c r="L161" s="1615"/>
      <c r="M161" s="1248" t="str">
        <f>IF(E161&lt;&gt;"","Enter City Name       ","")</f>
        <v/>
      </c>
      <c r="N161" s="1613"/>
      <c r="O161" s="1248" t="str">
        <f>IF(E161&lt;&gt;"","Select from Pull-Down List   ","")</f>
        <v/>
      </c>
      <c r="P161" s="1616"/>
      <c r="Q161" s="1248" t="str">
        <f>IF($E161&lt;&gt;"","Enter ZIP Code       ","")</f>
        <v/>
      </c>
      <c r="R161" s="1617"/>
      <c r="S161" s="1618" t="str">
        <f>IF($E161&lt;&gt;"","Select from Pull-Down List  ","")</f>
        <v/>
      </c>
      <c r="T161" s="1617"/>
      <c r="U161" s="1618" t="str">
        <f>IF(AND($C161&lt;&gt;"",T161=""),"Select from Pull-Down List  ","")</f>
        <v/>
      </c>
      <c r="V161" s="1619"/>
      <c r="W161" s="1248" t="str">
        <f>IF(E161&lt;&gt;"","Year?   ","")</f>
        <v/>
      </c>
      <c r="X161" s="1247"/>
      <c r="Y161" s="1620" t="str">
        <f>IF(E161&lt;&gt;"","Sq. Feet?   ","")</f>
        <v/>
      </c>
      <c r="Z161" s="1621"/>
      <c r="AA161" s="1618" t="str">
        <f>IF($E161&lt;&gt;"","% of Cap Resp.","")</f>
        <v/>
      </c>
      <c r="AB161" s="1782" t="str">
        <f ca="1">IFERROR(IF(BK161="", "", IF(BK161&gt;100, 1, VLOOKUP(BK161, Valid!$W$1:$AA$101, VLOOKUP(T161, Codes!$G$7:$I$17, 3, FALSE), FALSE))), "")</f>
        <v/>
      </c>
      <c r="AC161" s="1618"/>
      <c r="AD161" s="1247"/>
      <c r="AE161" s="1620" t="str">
        <f>IF($E161&lt;&gt;"","Drop-Down    ","")</f>
        <v/>
      </c>
      <c r="AF161" s="1720"/>
      <c r="AG161" s="1620" t="b">
        <f>IF(E161&lt;&gt;"","Date?   ")</f>
        <v>0</v>
      </c>
      <c r="AH161" s="1613"/>
      <c r="AI161" s="1248" t="str">
        <f>IF(OR(T161="Other (describe in Notes)",T161="Dual Administrative and Maintenance Facility"),"Describe Facility                                                                                         ","")</f>
        <v/>
      </c>
      <c r="AJ161" s="1624"/>
      <c r="AK161" s="1624" t="b">
        <f>IF(AND(C161="",C163&lt;&gt;""),TRUE,FALSE)</f>
        <v>0</v>
      </c>
      <c r="AL161" s="1624" t="str">
        <f>IF(AND($C161&lt;&gt;"",OR($J161="",$L161="",$N161="",$P161="",$R161="",$T161="",$V161="",$X161="",$Z161="",$AD161="",$AF161="")),"No",IF(AND($C161="",OR($H161&lt;&gt;"",$J161&lt;&gt;"",$L161&lt;&gt;"",$N161&lt;&gt;"",$P161&lt;&gt;"",$R161&lt;&gt;"",$T161&lt;&gt;"",$V161&lt;&gt;"",$X161&lt;&gt;"",$Z161&lt;&gt;"",$AD161&lt;&gt;"",$AF161&lt;&gt;"")),"N",IF(AND($H161="",$C161="",$J161="",$L161="",$N161="",$P161="",$R161="",$T161="",$V161="",$X161="",$Z161="",$AD161="",$AF161=""),"N/A",IF(AND($C161&lt;&gt;"",$J161&lt;&gt;"",$L161&lt;&gt;"",$N161&lt;&gt;"",$P161&lt;&gt;"",$R161&lt;&gt;"",$T161&lt;&gt;"",$V161&lt;&gt;"",$X161&lt;&gt;"",$Z161&lt;&gt;"",$AD161&lt;&gt;"",$AF161&lt;&gt;""),"Yes",""))))</f>
        <v>N/A</v>
      </c>
      <c r="AM161" s="1625" t="b">
        <f ca="1">IF(AND($C161="",OR($J161&lt;&gt;"",$L161&lt;&gt;"",$N161&lt;&gt;"",$P161&lt;&gt;"",$R161&lt;&gt;"",$T161&lt;&gt;"",$V161&lt;&gt;"",$X161&lt;&gt;"",$Z161&lt;&gt;"",$AB161&lt;&gt;"",$AF161&lt;&gt;"")),TRUE,FALSE)</f>
        <v>0</v>
      </c>
      <c r="AN161" s="1625" t="b">
        <f>IF(AND($C161&lt;&gt;"",$J161=""),TRUE,FALSE)</f>
        <v>0</v>
      </c>
      <c r="AO161" s="1625" t="b">
        <f>IF(AND($C161&lt;&gt;"",$L161=""),TRUE,FALSE)</f>
        <v>0</v>
      </c>
      <c r="AP161" s="1625" t="b">
        <f>IF(AND($C161&lt;&gt;"",$N161=""),TRUE,FALSE)</f>
        <v>0</v>
      </c>
      <c r="AQ161" s="1625" t="b">
        <f>IF(AND($C161&lt;&gt;"",$P161=""),TRUE,FALSE)</f>
        <v>0</v>
      </c>
      <c r="AR161" s="1625" t="b">
        <f>IF(AND($C161&lt;&gt;"",$R161=""),TRUE,FALSE)</f>
        <v>0</v>
      </c>
      <c r="AS161" s="1625"/>
      <c r="AT161" s="1625" t="b">
        <f ca="1">IF(AND(T161="",OR(V161&lt;&gt;"",X161&lt;&gt;"",Z161&lt;&gt;"",AB161&lt;&gt;"",AF161&lt;&gt;"")),TRUE,FALSE)</f>
        <v>0</v>
      </c>
      <c r="AU161" s="1625" t="b">
        <f>IF(AND($C161&lt;&gt;"",$T161=""),TRUE,FALSE)</f>
        <v>0</v>
      </c>
      <c r="AV161" s="1625" t="b">
        <f>IF(V161="",FALSE,IF(T161="",FALSE,IF(AW161=TRUE,FALSE,IF(OR(V161&lt;BI161,V161&gt;BaseYear),TRUE,FALSE))))</f>
        <v>0</v>
      </c>
      <c r="AW161" s="1625" t="b">
        <f>IF(AND($C161&lt;&gt;"",$V161=""),TRUE,FALSE)</f>
        <v>0</v>
      </c>
      <c r="AX161" s="1625" t="b">
        <f>IF(X161="",FALSE,IF(T161="",FALSE,IF(AZ161=TRUE,FALSE,IF(X161&lt;BL161,TRUE,FALSE))))</f>
        <v>0</v>
      </c>
      <c r="AY161" s="1625" t="b">
        <f>IF(X161="",FALSE,IF(T161="",FALSE,IF(AZ161=TRUE,FALSE,IF(X161&gt;BM161,TRUE,FALSE))))</f>
        <v>0</v>
      </c>
      <c r="AZ161" s="1625" t="b">
        <f>IF(AND($C161&lt;&gt;"",$X161=""),TRUE,FALSE)</f>
        <v>0</v>
      </c>
      <c r="BA161" s="1626" t="b">
        <f>IF(BB161=TRUE,FALSE,IF(OR(Z161&lt;0,Z161&gt;1),TRUE,FALSE))</f>
        <v>0</v>
      </c>
      <c r="BB161" s="1625" t="b">
        <f>IF(AND($C161&lt;&gt;"",$Z161=""),TRUE,FALSE)</f>
        <v>0</v>
      </c>
      <c r="BC161" s="1626"/>
      <c r="BD161" s="1625" t="b">
        <f ca="1">IF(AND($C161&lt;&gt;"",$AB161=""),TRUE,FALSE)</f>
        <v>0</v>
      </c>
      <c r="BE161" s="1626" t="b">
        <f>IF(OR(AF161="", V161=""),FALSE,IF(COUNT(FIND({0,1,2,3,4,5,6,7,8,9}, AF161))=0, FALSE, IF(YEAR(AF161)&lt;V161, TRUE, FALSE)))</f>
        <v>0</v>
      </c>
      <c r="BF161" s="1625" t="b">
        <f>IF(AND($C161&lt;&gt;"",$AF161=""),TRUE,FALSE)</f>
        <v>0</v>
      </c>
      <c r="BG161" s="721"/>
      <c r="BH161" s="1625" t="str">
        <f>IF($T161="","",VLOOKUP($T161,val_facilities,BH$3,FALSE))</f>
        <v/>
      </c>
      <c r="BI161" s="1627" t="str">
        <f>IF($T161="","",VLOOKUP($T161,val_facilities,BI$3,FALSE))</f>
        <v/>
      </c>
      <c r="BJ161" s="1627" t="str">
        <f>IF($T161="","",VLOOKUP($T161,val_facilities,BJ$3,FALSE))</f>
        <v/>
      </c>
      <c r="BK161" s="1627" t="str">
        <f ca="1">IFERROR(IF(V161="", "", YEAR(TODAY())-V161), "")</f>
        <v/>
      </c>
      <c r="BL161" s="845" t="str">
        <f>IF($T161="","",VLOOKUP($T161,val_facilities,BL$3,FALSE))</f>
        <v/>
      </c>
      <c r="BM161" s="845" t="str">
        <f>IF($T161="","",VLOOKUP($T161,val_facilities,BM$3,FALSE))</f>
        <v/>
      </c>
      <c r="BN161" s="758"/>
      <c r="BO161" s="721">
        <f t="shared" si="4"/>
        <v>0</v>
      </c>
    </row>
    <row r="162" spans="1:70" s="816" customFormat="1" ht="6.75" customHeight="1" thickBot="1" x14ac:dyDescent="0.25">
      <c r="A162" s="840"/>
      <c r="B162" s="1712">
        <v>75.5</v>
      </c>
      <c r="C162" s="1057"/>
      <c r="D162" s="1248"/>
      <c r="E162" s="1057"/>
      <c r="F162" s="1229"/>
      <c r="G162" s="1229"/>
      <c r="H162" s="1229"/>
      <c r="I162" s="1229"/>
      <c r="J162" s="1604"/>
      <c r="K162" s="1229"/>
      <c r="L162" s="1605"/>
      <c r="M162" s="1644"/>
      <c r="N162" s="1605"/>
      <c r="O162" s="1644"/>
      <c r="P162" s="1606"/>
      <c r="Q162" s="1644"/>
      <c r="R162" s="1057"/>
      <c r="S162" s="1623"/>
      <c r="T162" s="1643"/>
      <c r="U162" s="1623"/>
      <c r="V162" s="1623"/>
      <c r="W162" s="1623"/>
      <c r="X162" s="722"/>
      <c r="Y162" s="841"/>
      <c r="Z162" s="841"/>
      <c r="AA162" s="841"/>
      <c r="AB162" s="722"/>
      <c r="AC162" s="841"/>
      <c r="AD162" s="722"/>
      <c r="AE162" s="841"/>
      <c r="AF162" s="1717"/>
      <c r="AG162" s="841"/>
      <c r="AH162" s="1057"/>
      <c r="AI162" s="1644"/>
      <c r="AJ162" s="1644"/>
      <c r="AK162" s="1644"/>
      <c r="AL162" s="1644"/>
      <c r="AM162" s="1625"/>
      <c r="AN162" s="1625"/>
      <c r="AO162" s="1625"/>
      <c r="AP162" s="1625"/>
      <c r="AQ162" s="1625"/>
      <c r="AR162" s="848"/>
      <c r="AS162" s="848"/>
      <c r="AT162" s="848"/>
      <c r="AU162" s="848"/>
      <c r="AV162" s="848"/>
      <c r="AW162" s="848"/>
      <c r="AX162" s="848"/>
      <c r="AY162" s="848"/>
      <c r="AZ162" s="848"/>
      <c r="BA162" s="848"/>
      <c r="BB162" s="848"/>
      <c r="BC162" s="848"/>
      <c r="BD162" s="848"/>
      <c r="BE162" s="848"/>
      <c r="BF162" s="848"/>
      <c r="BG162" s="685"/>
      <c r="BH162" s="848"/>
      <c r="BI162" s="848"/>
      <c r="BJ162" s="848"/>
      <c r="BK162" s="848"/>
      <c r="BL162" s="848"/>
      <c r="BM162" s="848"/>
      <c r="BN162" s="1229"/>
      <c r="BO162" s="721">
        <f t="shared" si="4"/>
        <v>0</v>
      </c>
      <c r="BP162" s="686"/>
      <c r="BQ162" s="686"/>
      <c r="BR162" s="686"/>
    </row>
    <row r="163" spans="1:70" s="816" customFormat="1" x14ac:dyDescent="0.2">
      <c r="A163" s="840">
        <v>76</v>
      </c>
      <c r="B163" s="1712">
        <v>76</v>
      </c>
      <c r="C163" s="1613"/>
      <c r="D163" s="1248" t="str">
        <f>IF(AND(C163="",C161&lt;&gt;""),"Enter Facility "&amp;TEXT(A163,0)&amp;" Name, then Fill in Columns "&amp;TEXT($H$2,0)&amp;" - "&amp;TEXT($AH$2,0)&amp;"       ","")</f>
        <v/>
      </c>
      <c r="E163" s="1245" t="str">
        <f>IF(AL163="N/A","",AL163)</f>
        <v/>
      </c>
      <c r="F163" s="758"/>
      <c r="G163" s="758"/>
      <c r="H163" s="1614"/>
      <c r="I163" s="758"/>
      <c r="J163" s="1615"/>
      <c r="K163" s="1248" t="str">
        <f>IF(E163&lt;&gt;"","Enter Street Address                   ","")</f>
        <v/>
      </c>
      <c r="L163" s="1615"/>
      <c r="M163" s="1248" t="str">
        <f>IF(E163&lt;&gt;"","Enter City Name       ","")</f>
        <v/>
      </c>
      <c r="N163" s="1613"/>
      <c r="O163" s="1248" t="str">
        <f>IF(E163&lt;&gt;"","Select from Pull-Down List   ","")</f>
        <v/>
      </c>
      <c r="P163" s="1616"/>
      <c r="Q163" s="1248" t="str">
        <f>IF($E163&lt;&gt;"","Enter ZIP Code       ","")</f>
        <v/>
      </c>
      <c r="R163" s="1617"/>
      <c r="S163" s="1618" t="str">
        <f>IF($E163&lt;&gt;"","Select from Pull-Down List  ","")</f>
        <v/>
      </c>
      <c r="T163" s="1617"/>
      <c r="U163" s="1618" t="str">
        <f>IF(AND($C163&lt;&gt;"",T163=""),"Select from Pull-Down List  ","")</f>
        <v/>
      </c>
      <c r="V163" s="1619"/>
      <c r="W163" s="1248" t="str">
        <f>IF(E163&lt;&gt;"","Year?   ","")</f>
        <v/>
      </c>
      <c r="X163" s="1247"/>
      <c r="Y163" s="1620" t="str">
        <f>IF(E163&lt;&gt;"","Sq. Feet?   ","")</f>
        <v/>
      </c>
      <c r="Z163" s="1621"/>
      <c r="AA163" s="1618" t="str">
        <f>IF($E163&lt;&gt;"","% of Cap Resp.","")</f>
        <v/>
      </c>
      <c r="AB163" s="1782" t="str">
        <f ca="1">IFERROR(IF(BK163="", "", IF(BK163&gt;100, 1, VLOOKUP(BK163, Valid!$W$1:$AA$101, VLOOKUP(T163, Codes!$G$7:$I$17, 3, FALSE), FALSE))), "")</f>
        <v/>
      </c>
      <c r="AC163" s="1618"/>
      <c r="AD163" s="1247"/>
      <c r="AE163" s="1620" t="str">
        <f>IF($E163&lt;&gt;"","Drop-Down    ","")</f>
        <v/>
      </c>
      <c r="AF163" s="1720"/>
      <c r="AG163" s="1620" t="b">
        <f>IF(E163&lt;&gt;"","Date?   ")</f>
        <v>0</v>
      </c>
      <c r="AH163" s="1613"/>
      <c r="AI163" s="1248" t="str">
        <f>IF(OR(T163="Other (describe in Notes)",T163="Dual Administrative and Maintenance Facility"),"Describe Facility                                                                                         ","")</f>
        <v/>
      </c>
      <c r="AJ163" s="1624"/>
      <c r="AK163" s="1624" t="b">
        <f>IF(AND(C163="",C165&lt;&gt;""),TRUE,FALSE)</f>
        <v>0</v>
      </c>
      <c r="AL163" s="1624" t="str">
        <f>IF(AND($C163&lt;&gt;"",OR($J163="",$L163="",$N163="",$P163="",$R163="",$T163="",$V163="",$X163="",$Z163="",$AD163="",$AF163="")),"No",IF(AND($C163="",OR($H163&lt;&gt;"",$J163&lt;&gt;"",$L163&lt;&gt;"",$N163&lt;&gt;"",$P163&lt;&gt;"",$R163&lt;&gt;"",$T163&lt;&gt;"",$V163&lt;&gt;"",$X163&lt;&gt;"",$Z163&lt;&gt;"",$AD163&lt;&gt;"",$AF163&lt;&gt;"")),"N",IF(AND($H163="",$C163="",$J163="",$L163="",$N163="",$P163="",$R163="",$T163="",$V163="",$X163="",$Z163="",$AD163="",$AF163=""),"N/A",IF(AND($C163&lt;&gt;"",$J163&lt;&gt;"",$L163&lt;&gt;"",$N163&lt;&gt;"",$P163&lt;&gt;"",$R163&lt;&gt;"",$T163&lt;&gt;"",$V163&lt;&gt;"",$X163&lt;&gt;"",$Z163&lt;&gt;"",$AD163&lt;&gt;"",$AF163&lt;&gt;""),"Yes",""))))</f>
        <v>N/A</v>
      </c>
      <c r="AM163" s="1625" t="b">
        <f ca="1">IF(AND($C163="",OR($J163&lt;&gt;"",$L163&lt;&gt;"",$N163&lt;&gt;"",$P163&lt;&gt;"",$R163&lt;&gt;"",$T163&lt;&gt;"",$V163&lt;&gt;"",$X163&lt;&gt;"",$Z163&lt;&gt;"",$AB163&lt;&gt;"",$AF163&lt;&gt;"")),TRUE,FALSE)</f>
        <v>0</v>
      </c>
      <c r="AN163" s="1625" t="b">
        <f>IF(AND($C163&lt;&gt;"",$J163=""),TRUE,FALSE)</f>
        <v>0</v>
      </c>
      <c r="AO163" s="1625" t="b">
        <f>IF(AND($C163&lt;&gt;"",$L163=""),TRUE,FALSE)</f>
        <v>0</v>
      </c>
      <c r="AP163" s="1625" t="b">
        <f>IF(AND($C163&lt;&gt;"",$N163=""),TRUE,FALSE)</f>
        <v>0</v>
      </c>
      <c r="AQ163" s="1625" t="b">
        <f>IF(AND($C163&lt;&gt;"",$P163=""),TRUE,FALSE)</f>
        <v>0</v>
      </c>
      <c r="AR163" s="1625" t="b">
        <f>IF(AND($C163&lt;&gt;"",$R163=""),TRUE,FALSE)</f>
        <v>0</v>
      </c>
      <c r="AS163" s="1625"/>
      <c r="AT163" s="1625" t="b">
        <f ca="1">IF(AND(T163="",OR(V163&lt;&gt;"",X163&lt;&gt;"",Z163&lt;&gt;"",AB163&lt;&gt;"",AF163&lt;&gt;"")),TRUE,FALSE)</f>
        <v>0</v>
      </c>
      <c r="AU163" s="1625" t="b">
        <f>IF(AND($C163&lt;&gt;"",$T163=""),TRUE,FALSE)</f>
        <v>0</v>
      </c>
      <c r="AV163" s="1625" t="b">
        <f>IF(V163="",FALSE,IF(T163="",FALSE,IF(AW163=TRUE,FALSE,IF(OR(V163&lt;BI163,V163&gt;BaseYear),TRUE,FALSE))))</f>
        <v>0</v>
      </c>
      <c r="AW163" s="1625" t="b">
        <f>IF(AND($C163&lt;&gt;"",$V163=""),TRUE,FALSE)</f>
        <v>0</v>
      </c>
      <c r="AX163" s="1625" t="b">
        <f>IF(X163="",FALSE,IF(T163="",FALSE,IF(AZ163=TRUE,FALSE,IF(X163&lt;BL163,TRUE,FALSE))))</f>
        <v>0</v>
      </c>
      <c r="AY163" s="1625" t="b">
        <f>IF(X163="",FALSE,IF(T163="",FALSE,IF(AZ163=TRUE,FALSE,IF(X163&gt;BM163,TRUE,FALSE))))</f>
        <v>0</v>
      </c>
      <c r="AZ163" s="1625" t="b">
        <f>IF(AND($C163&lt;&gt;"",$X163=""),TRUE,FALSE)</f>
        <v>0</v>
      </c>
      <c r="BA163" s="1626" t="b">
        <f>IF(BB163=TRUE,FALSE,IF(OR(Z163&lt;0,Z163&gt;1),TRUE,FALSE))</f>
        <v>0</v>
      </c>
      <c r="BB163" s="1625" t="b">
        <f>IF(AND($C163&lt;&gt;"",$Z163=""),TRUE,FALSE)</f>
        <v>0</v>
      </c>
      <c r="BC163" s="1626"/>
      <c r="BD163" s="1625" t="b">
        <f ca="1">IF(AND($C163&lt;&gt;"",$AB163=""),TRUE,FALSE)</f>
        <v>0</v>
      </c>
      <c r="BE163" s="1626" t="b">
        <f>IF(OR(AF163="", V163=""),FALSE,IF(COUNT(FIND({0,1,2,3,4,5,6,7,8,9}, AF163))=0, FALSE, IF(YEAR(AF163)&lt;V163, TRUE, FALSE)))</f>
        <v>0</v>
      </c>
      <c r="BF163" s="1625" t="b">
        <f>IF(AND($C163&lt;&gt;"",$AF163=""),TRUE,FALSE)</f>
        <v>0</v>
      </c>
      <c r="BG163" s="721"/>
      <c r="BH163" s="1625" t="str">
        <f>IF($T163="","",VLOOKUP($T163,val_facilities,BH$3,FALSE))</f>
        <v/>
      </c>
      <c r="BI163" s="1627" t="str">
        <f>IF($T163="","",VLOOKUP($T163,val_facilities,BI$3,FALSE))</f>
        <v/>
      </c>
      <c r="BJ163" s="1627" t="str">
        <f>IF($T163="","",VLOOKUP($T163,val_facilities,BJ$3,FALSE))</f>
        <v/>
      </c>
      <c r="BK163" s="1627" t="str">
        <f ca="1">IFERROR(IF(V163="", "", YEAR(TODAY())-V163), "")</f>
        <v/>
      </c>
      <c r="BL163" s="845" t="str">
        <f>IF($T163="","",VLOOKUP($T163,val_facilities,BL$3,FALSE))</f>
        <v/>
      </c>
      <c r="BM163" s="845" t="str">
        <f>IF($T163="","",VLOOKUP($T163,val_facilities,BM$3,FALSE))</f>
        <v/>
      </c>
      <c r="BN163" s="758"/>
      <c r="BO163" s="721">
        <f t="shared" si="4"/>
        <v>0</v>
      </c>
    </row>
    <row r="164" spans="1:70" s="686" customFormat="1" ht="6.75" customHeight="1" thickBot="1" x14ac:dyDescent="0.25">
      <c r="A164" s="1638"/>
      <c r="B164" s="1712">
        <v>76.5</v>
      </c>
      <c r="C164" s="721"/>
      <c r="D164" s="1248"/>
      <c r="E164" s="816"/>
      <c r="F164" s="758"/>
      <c r="G164" s="758"/>
      <c r="H164" s="758"/>
      <c r="I164" s="758"/>
      <c r="J164" s="1633"/>
      <c r="K164" s="1248"/>
      <c r="L164" s="1634"/>
      <c r="M164" s="1248"/>
      <c r="N164" s="1634"/>
      <c r="O164" s="1248"/>
      <c r="P164" s="1635"/>
      <c r="Q164" s="1248"/>
      <c r="R164" s="1059"/>
      <c r="S164" s="1618"/>
      <c r="T164" s="1636"/>
      <c r="U164" s="1618"/>
      <c r="V164" s="1623"/>
      <c r="W164" s="1618"/>
      <c r="X164" s="722"/>
      <c r="Y164" s="723"/>
      <c r="Z164" s="724"/>
      <c r="AA164" s="723"/>
      <c r="AB164" s="722"/>
      <c r="AC164" s="723"/>
      <c r="AD164" s="722"/>
      <c r="AE164" s="723"/>
      <c r="AF164" s="1717"/>
      <c r="AG164" s="723"/>
      <c r="AH164" s="1637"/>
      <c r="AI164" s="1624"/>
      <c r="AJ164" s="1624"/>
      <c r="AK164" s="1624"/>
      <c r="AL164" s="1624"/>
      <c r="AM164" s="1625"/>
      <c r="AN164" s="1625"/>
      <c r="AO164" s="1625"/>
      <c r="AP164" s="1625"/>
      <c r="AQ164" s="1625"/>
      <c r="AR164" s="1625"/>
      <c r="AS164" s="1625"/>
      <c r="AT164" s="1625"/>
      <c r="AU164" s="1625"/>
      <c r="AV164" s="1626"/>
      <c r="AW164" s="1626"/>
      <c r="AX164" s="1626"/>
      <c r="AY164" s="1626"/>
      <c r="AZ164" s="1626"/>
      <c r="BA164" s="1626"/>
      <c r="BB164" s="1626"/>
      <c r="BC164" s="1626"/>
      <c r="BD164" s="1626"/>
      <c r="BE164" s="1626"/>
      <c r="BF164" s="1626"/>
      <c r="BG164" s="721"/>
      <c r="BH164" s="1626"/>
      <c r="BI164" s="1626"/>
      <c r="BJ164" s="1626"/>
      <c r="BK164" s="1626"/>
      <c r="BL164" s="1626"/>
      <c r="BM164" s="1626"/>
      <c r="BN164" s="758"/>
      <c r="BO164" s="721">
        <f t="shared" si="4"/>
        <v>0</v>
      </c>
      <c r="BP164" s="816"/>
      <c r="BQ164" s="816"/>
      <c r="BR164" s="816"/>
    </row>
    <row r="165" spans="1:70" s="686" customFormat="1" x14ac:dyDescent="0.2">
      <c r="A165" s="840">
        <v>77</v>
      </c>
      <c r="B165" s="1712">
        <v>77</v>
      </c>
      <c r="C165" s="1613"/>
      <c r="D165" s="1248" t="str">
        <f>IF(AND(C165="",C163&lt;&gt;""),"Enter Facility "&amp;TEXT(A165,0)&amp;" Name, then Fill in Columns "&amp;TEXT($H$2,0)&amp;" - "&amp;TEXT($AH$2,0)&amp;"       ","")</f>
        <v/>
      </c>
      <c r="E165" s="1245" t="str">
        <f>IF(AL165="N/A","",AL165)</f>
        <v/>
      </c>
      <c r="F165" s="758"/>
      <c r="G165" s="758"/>
      <c r="H165" s="1614"/>
      <c r="I165" s="758"/>
      <c r="J165" s="1615"/>
      <c r="K165" s="1248" t="str">
        <f>IF(E165&lt;&gt;"","Enter Street Address                   ","")</f>
        <v/>
      </c>
      <c r="L165" s="1615"/>
      <c r="M165" s="1248" t="str">
        <f>IF(E165&lt;&gt;"","Enter City Name       ","")</f>
        <v/>
      </c>
      <c r="N165" s="1613"/>
      <c r="O165" s="1248" t="str">
        <f>IF(E165&lt;&gt;"","Select from Pull-Down List   ","")</f>
        <v/>
      </c>
      <c r="P165" s="1616"/>
      <c r="Q165" s="1248" t="str">
        <f>IF($E165&lt;&gt;"","Enter ZIP Code       ","")</f>
        <v/>
      </c>
      <c r="R165" s="1617"/>
      <c r="S165" s="1618" t="str">
        <f>IF($E165&lt;&gt;"","Select from Pull-Down List  ","")</f>
        <v/>
      </c>
      <c r="T165" s="1617"/>
      <c r="U165" s="1618" t="str">
        <f>IF(AND($C165&lt;&gt;"",T165=""),"Select from Pull-Down List  ","")</f>
        <v/>
      </c>
      <c r="V165" s="1619"/>
      <c r="W165" s="1248" t="str">
        <f>IF(E165&lt;&gt;"","Year?   ","")</f>
        <v/>
      </c>
      <c r="X165" s="1247"/>
      <c r="Y165" s="1620" t="str">
        <f>IF(E165&lt;&gt;"","Sq. Feet?   ","")</f>
        <v/>
      </c>
      <c r="Z165" s="1621"/>
      <c r="AA165" s="1618" t="str">
        <f>IF($E165&lt;&gt;"","% of Cap Resp.","")</f>
        <v/>
      </c>
      <c r="AB165" s="1782" t="str">
        <f ca="1">IFERROR(IF(BK165="", "", IF(BK165&gt;100, 1, VLOOKUP(BK165, Valid!$W$1:$AA$101, VLOOKUP(T165, Codes!$G$7:$I$17, 3, FALSE), FALSE))), "")</f>
        <v/>
      </c>
      <c r="AC165" s="1618"/>
      <c r="AD165" s="1247"/>
      <c r="AE165" s="1620" t="str">
        <f>IF($E165&lt;&gt;"","Drop-Down    ","")</f>
        <v/>
      </c>
      <c r="AF165" s="1720"/>
      <c r="AG165" s="1620" t="b">
        <f>IF(E165&lt;&gt;"","Date?   ")</f>
        <v>0</v>
      </c>
      <c r="AH165" s="1613"/>
      <c r="AI165" s="1248" t="str">
        <f>IF(OR(T165="Other (describe in Notes)",T165="Dual Administrative and Maintenance Facility"),"Describe Facility                                                                                         ","")</f>
        <v/>
      </c>
      <c r="AJ165" s="1624"/>
      <c r="AK165" s="1624" t="b">
        <f>IF(AND(C165="",C167&lt;&gt;""),TRUE,FALSE)</f>
        <v>0</v>
      </c>
      <c r="AL165" s="1624" t="str">
        <f>IF(AND($C165&lt;&gt;"",OR($J165="",$L165="",$N165="",$P165="",$R165="",$T165="",$V165="",$X165="",$Z165="",$AD165="",$AF165="")),"No",IF(AND($C165="",OR($H165&lt;&gt;"",$J165&lt;&gt;"",$L165&lt;&gt;"",$N165&lt;&gt;"",$P165&lt;&gt;"",$R165&lt;&gt;"",$T165&lt;&gt;"",$V165&lt;&gt;"",$X165&lt;&gt;"",$Z165&lt;&gt;"",$AD165&lt;&gt;"",$AF165&lt;&gt;"")),"N",IF(AND($H165="",$C165="",$J165="",$L165="",$N165="",$P165="",$R165="",$T165="",$V165="",$X165="",$Z165="",$AD165="",$AF165=""),"N/A",IF(AND($C165&lt;&gt;"",$J165&lt;&gt;"",$L165&lt;&gt;"",$N165&lt;&gt;"",$P165&lt;&gt;"",$R165&lt;&gt;"",$T165&lt;&gt;"",$V165&lt;&gt;"",$X165&lt;&gt;"",$Z165&lt;&gt;"",$AD165&lt;&gt;"",$AF165&lt;&gt;""),"Yes",""))))</f>
        <v>N/A</v>
      </c>
      <c r="AM165" s="1625" t="b">
        <f ca="1">IF(AND($C165="",OR($J165&lt;&gt;"",$L165&lt;&gt;"",$N165&lt;&gt;"",$P165&lt;&gt;"",$R165&lt;&gt;"",$T165&lt;&gt;"",$V165&lt;&gt;"",$X165&lt;&gt;"",$Z165&lt;&gt;"",$AB165&lt;&gt;"",$AF165&lt;&gt;"")),TRUE,FALSE)</f>
        <v>0</v>
      </c>
      <c r="AN165" s="1625" t="b">
        <f>IF(AND($C165&lt;&gt;"",$J165=""),TRUE,FALSE)</f>
        <v>0</v>
      </c>
      <c r="AO165" s="1625" t="b">
        <f>IF(AND($C165&lt;&gt;"",$L165=""),TRUE,FALSE)</f>
        <v>0</v>
      </c>
      <c r="AP165" s="1625" t="b">
        <f>IF(AND($C165&lt;&gt;"",$N165=""),TRUE,FALSE)</f>
        <v>0</v>
      </c>
      <c r="AQ165" s="1625" t="b">
        <f>IF(AND($C165&lt;&gt;"",$P165=""),TRUE,FALSE)</f>
        <v>0</v>
      </c>
      <c r="AR165" s="1625" t="b">
        <f>IF(AND($C165&lt;&gt;"",$R165=""),TRUE,FALSE)</f>
        <v>0</v>
      </c>
      <c r="AS165" s="1625"/>
      <c r="AT165" s="1625" t="b">
        <f ca="1">IF(AND(T165="",OR(V165&lt;&gt;"",X165&lt;&gt;"",Z165&lt;&gt;"",AB165&lt;&gt;"",AF165&lt;&gt;"")),TRUE,FALSE)</f>
        <v>0</v>
      </c>
      <c r="AU165" s="1625" t="b">
        <f>IF(AND($C165&lt;&gt;"",$T165=""),TRUE,FALSE)</f>
        <v>0</v>
      </c>
      <c r="AV165" s="1625" t="b">
        <f>IF(V165="",FALSE,IF(T165="",FALSE,IF(AW165=TRUE,FALSE,IF(OR(V165&lt;BI165,V165&gt;BaseYear),TRUE,FALSE))))</f>
        <v>0</v>
      </c>
      <c r="AW165" s="1625" t="b">
        <f>IF(AND($C165&lt;&gt;"",$V165=""),TRUE,FALSE)</f>
        <v>0</v>
      </c>
      <c r="AX165" s="1625" t="b">
        <f>IF(X165="",FALSE,IF(T165="",FALSE,IF(AZ165=TRUE,FALSE,IF(X165&lt;BL165,TRUE,FALSE))))</f>
        <v>0</v>
      </c>
      <c r="AY165" s="1625" t="b">
        <f>IF(X165="",FALSE,IF(T165="",FALSE,IF(AZ165=TRUE,FALSE,IF(X165&gt;BM165,TRUE,FALSE))))</f>
        <v>0</v>
      </c>
      <c r="AZ165" s="1625" t="b">
        <f>IF(AND($C165&lt;&gt;"",$X165=""),TRUE,FALSE)</f>
        <v>0</v>
      </c>
      <c r="BA165" s="1626" t="b">
        <f>IF(BB165=TRUE,FALSE,IF(OR(Z165&lt;0,Z165&gt;1),TRUE,FALSE))</f>
        <v>0</v>
      </c>
      <c r="BB165" s="1625" t="b">
        <f>IF(AND($C165&lt;&gt;"",$Z165=""),TRUE,FALSE)</f>
        <v>0</v>
      </c>
      <c r="BC165" s="1626"/>
      <c r="BD165" s="1625" t="b">
        <f ca="1">IF(AND($C165&lt;&gt;"",$AB165=""),TRUE,FALSE)</f>
        <v>0</v>
      </c>
      <c r="BE165" s="1626" t="b">
        <f>IF(OR(AF165="", V165=""),FALSE,IF(COUNT(FIND({0,1,2,3,4,5,6,7,8,9}, AF165))=0, FALSE, IF(YEAR(AF165)&lt;V165, TRUE, FALSE)))</f>
        <v>0</v>
      </c>
      <c r="BF165" s="1625" t="b">
        <f>IF(AND($C165&lt;&gt;"",$AF165=""),TRUE,FALSE)</f>
        <v>0</v>
      </c>
      <c r="BG165" s="721"/>
      <c r="BH165" s="1625" t="str">
        <f>IF($T165="","",VLOOKUP($T165,val_facilities,BH$3,FALSE))</f>
        <v/>
      </c>
      <c r="BI165" s="1627" t="str">
        <f>IF($T165="","",VLOOKUP($T165,val_facilities,BI$3,FALSE))</f>
        <v/>
      </c>
      <c r="BJ165" s="1627" t="str">
        <f>IF($T165="","",VLOOKUP($T165,val_facilities,BJ$3,FALSE))</f>
        <v/>
      </c>
      <c r="BK165" s="1627" t="str">
        <f ca="1">IFERROR(IF(V165="", "", YEAR(TODAY())-V165), "")</f>
        <v/>
      </c>
      <c r="BL165" s="845" t="str">
        <f>IF($T165="","",VLOOKUP($T165,val_facilities,BL$3,FALSE))</f>
        <v/>
      </c>
      <c r="BM165" s="845" t="str">
        <f>IF($T165="","",VLOOKUP($T165,val_facilities,BM$3,FALSE))</f>
        <v/>
      </c>
      <c r="BN165" s="758"/>
      <c r="BO165" s="721">
        <f t="shared" si="4"/>
        <v>0</v>
      </c>
      <c r="BP165" s="816"/>
      <c r="BQ165" s="816"/>
      <c r="BR165" s="816"/>
    </row>
    <row r="166" spans="1:70" s="686" customFormat="1" ht="6.75" customHeight="1" thickBot="1" x14ac:dyDescent="0.25">
      <c r="A166" s="1638"/>
      <c r="B166" s="1712">
        <v>77.5</v>
      </c>
      <c r="C166" s="1057"/>
      <c r="D166" s="1248"/>
      <c r="E166" s="1057"/>
      <c r="F166" s="1229"/>
      <c r="G166" s="1229"/>
      <c r="H166" s="1229"/>
      <c r="I166" s="1229"/>
      <c r="J166" s="1604"/>
      <c r="K166" s="1640"/>
      <c r="L166" s="1641"/>
      <c r="M166" s="1248"/>
      <c r="N166" s="1641"/>
      <c r="O166" s="1248"/>
      <c r="P166" s="1642"/>
      <c r="Q166" s="1248"/>
      <c r="R166" s="1057"/>
      <c r="S166" s="1618"/>
      <c r="T166" s="1643"/>
      <c r="U166" s="1618"/>
      <c r="V166" s="1623"/>
      <c r="W166" s="1618"/>
      <c r="X166" s="733"/>
      <c r="Y166" s="1275"/>
      <c r="Z166" s="685"/>
      <c r="AA166" s="1275"/>
      <c r="AB166" s="733"/>
      <c r="AC166" s="1275"/>
      <c r="AD166" s="733"/>
      <c r="AE166" s="1275"/>
      <c r="AF166" s="1721"/>
      <c r="AG166" s="1275"/>
      <c r="AH166" s="1057"/>
      <c r="AI166" s="1644"/>
      <c r="AJ166" s="1644"/>
      <c r="AK166" s="1644"/>
      <c r="AL166" s="1644"/>
      <c r="AM166" s="1625"/>
      <c r="AN166" s="1625"/>
      <c r="AO166" s="1625"/>
      <c r="AP166" s="1625"/>
      <c r="AQ166" s="1625"/>
      <c r="AR166" s="848"/>
      <c r="AS166" s="848"/>
      <c r="AT166" s="848"/>
      <c r="AU166" s="848"/>
      <c r="AV166" s="848"/>
      <c r="AW166" s="848"/>
      <c r="AX166" s="848"/>
      <c r="AY166" s="848"/>
      <c r="AZ166" s="848"/>
      <c r="BA166" s="848"/>
      <c r="BB166" s="848"/>
      <c r="BC166" s="848"/>
      <c r="BD166" s="848"/>
      <c r="BE166" s="848"/>
      <c r="BF166" s="848"/>
      <c r="BG166" s="685"/>
      <c r="BH166" s="848"/>
      <c r="BI166" s="848"/>
      <c r="BJ166" s="848"/>
      <c r="BK166" s="848"/>
      <c r="BL166" s="848"/>
      <c r="BM166" s="848"/>
      <c r="BN166" s="1229"/>
      <c r="BO166" s="721">
        <f t="shared" si="4"/>
        <v>0</v>
      </c>
    </row>
    <row r="167" spans="1:70" s="686" customFormat="1" x14ac:dyDescent="0.2">
      <c r="A167" s="840">
        <v>78</v>
      </c>
      <c r="B167" s="1712">
        <v>78</v>
      </c>
      <c r="C167" s="1613"/>
      <c r="D167" s="1248" t="str">
        <f>IF(AND(C167="",C165&lt;&gt;""),"Enter Facility "&amp;TEXT(A167,0)&amp;" Name, then Fill in Columns "&amp;TEXT($H$2,0)&amp;" - "&amp;TEXT($AH$2,0)&amp;"       ","")</f>
        <v/>
      </c>
      <c r="E167" s="1245" t="str">
        <f>IF(AL167="N/A","",AL167)</f>
        <v/>
      </c>
      <c r="F167" s="758"/>
      <c r="G167" s="758"/>
      <c r="H167" s="1614"/>
      <c r="I167" s="758"/>
      <c r="J167" s="1615"/>
      <c r="K167" s="1248" t="str">
        <f>IF(E167&lt;&gt;"","Enter Street Address                   ","")</f>
        <v/>
      </c>
      <c r="L167" s="1615"/>
      <c r="M167" s="1248" t="str">
        <f>IF(E167&lt;&gt;"","Enter City Name       ","")</f>
        <v/>
      </c>
      <c r="N167" s="1613"/>
      <c r="O167" s="1248" t="str">
        <f>IF(E167&lt;&gt;"","Select from Pull-Down List   ","")</f>
        <v/>
      </c>
      <c r="P167" s="1616"/>
      <c r="Q167" s="1248" t="str">
        <f>IF($E167&lt;&gt;"","Enter ZIP Code       ","")</f>
        <v/>
      </c>
      <c r="R167" s="1617"/>
      <c r="S167" s="1618" t="str">
        <f>IF($E167&lt;&gt;"","Select from Pull-Down List  ","")</f>
        <v/>
      </c>
      <c r="T167" s="1617"/>
      <c r="U167" s="1618" t="str">
        <f>IF(AND($C167&lt;&gt;"",T167=""),"Select from Pull-Down List  ","")</f>
        <v/>
      </c>
      <c r="V167" s="1619"/>
      <c r="W167" s="1248" t="str">
        <f>IF(E167&lt;&gt;"","Year?   ","")</f>
        <v/>
      </c>
      <c r="X167" s="1247"/>
      <c r="Y167" s="1620" t="str">
        <f>IF(E167&lt;&gt;"","Sq. Feet?   ","")</f>
        <v/>
      </c>
      <c r="Z167" s="1621"/>
      <c r="AA167" s="1618" t="str">
        <f>IF($E167&lt;&gt;"","% of Cap Resp.","")</f>
        <v/>
      </c>
      <c r="AB167" s="1782" t="str">
        <f ca="1">IFERROR(IF(BK167="", "", IF(BK167&gt;100, 1, VLOOKUP(BK167, Valid!$W$1:$AA$101, VLOOKUP(T167, Codes!$G$7:$I$17, 3, FALSE), FALSE))), "")</f>
        <v/>
      </c>
      <c r="AC167" s="1618"/>
      <c r="AD167" s="1247"/>
      <c r="AE167" s="1620" t="str">
        <f>IF($E167&lt;&gt;"","Drop-Down    ","")</f>
        <v/>
      </c>
      <c r="AF167" s="1720"/>
      <c r="AG167" s="1620" t="b">
        <f>IF(E167&lt;&gt;"","Date?   ")</f>
        <v>0</v>
      </c>
      <c r="AH167" s="1613"/>
      <c r="AI167" s="1248" t="str">
        <f>IF(OR(T167="Other (describe in Notes)",T167="Dual Administrative and Maintenance Facility"),"Describe Facility                                                                                         ","")</f>
        <v/>
      </c>
      <c r="AJ167" s="1624"/>
      <c r="AK167" s="1624" t="b">
        <f>IF(AND(C167="",C169&lt;&gt;""),TRUE,FALSE)</f>
        <v>0</v>
      </c>
      <c r="AL167" s="1624" t="str">
        <f>IF(AND($C167&lt;&gt;"",OR($J167="",$L167="",$N167="",$P167="",$R167="",$T167="",$V167="",$X167="",$Z167="",$AD167="",$AF167="")),"No",IF(AND($C167="",OR($H167&lt;&gt;"",$J167&lt;&gt;"",$L167&lt;&gt;"",$N167&lt;&gt;"",$P167&lt;&gt;"",$R167&lt;&gt;"",$T167&lt;&gt;"",$V167&lt;&gt;"",$X167&lt;&gt;"",$Z167&lt;&gt;"",$AD167&lt;&gt;"",$AF167&lt;&gt;"")),"N",IF(AND($H167="",$C167="",$J167="",$L167="",$N167="",$P167="",$R167="",$T167="",$V167="",$X167="",$Z167="",$AD167="",$AF167=""),"N/A",IF(AND($C167&lt;&gt;"",$J167&lt;&gt;"",$L167&lt;&gt;"",$N167&lt;&gt;"",$P167&lt;&gt;"",$R167&lt;&gt;"",$T167&lt;&gt;"",$V167&lt;&gt;"",$X167&lt;&gt;"",$Z167&lt;&gt;"",$AD167&lt;&gt;"",$AF167&lt;&gt;""),"Yes",""))))</f>
        <v>N/A</v>
      </c>
      <c r="AM167" s="1625" t="b">
        <f ca="1">IF(AND($C167="",OR($J167&lt;&gt;"",$L167&lt;&gt;"",$N167&lt;&gt;"",$P167&lt;&gt;"",$R167&lt;&gt;"",$T167&lt;&gt;"",$V167&lt;&gt;"",$X167&lt;&gt;"",$Z167&lt;&gt;"",$AB167&lt;&gt;"",$AF167&lt;&gt;"")),TRUE,FALSE)</f>
        <v>0</v>
      </c>
      <c r="AN167" s="1625" t="b">
        <f>IF(AND($C167&lt;&gt;"",$J167=""),TRUE,FALSE)</f>
        <v>0</v>
      </c>
      <c r="AO167" s="1625" t="b">
        <f>IF(AND($C167&lt;&gt;"",$L167=""),TRUE,FALSE)</f>
        <v>0</v>
      </c>
      <c r="AP167" s="1625" t="b">
        <f>IF(AND($C167&lt;&gt;"",$N167=""),TRUE,FALSE)</f>
        <v>0</v>
      </c>
      <c r="AQ167" s="1625" t="b">
        <f>IF(AND($C167&lt;&gt;"",$P167=""),TRUE,FALSE)</f>
        <v>0</v>
      </c>
      <c r="AR167" s="1625" t="b">
        <f>IF(AND($C167&lt;&gt;"",$R167=""),TRUE,FALSE)</f>
        <v>0</v>
      </c>
      <c r="AS167" s="1625"/>
      <c r="AT167" s="1625" t="b">
        <f ca="1">IF(AND(T167="",OR(V167&lt;&gt;"",X167&lt;&gt;"",Z167&lt;&gt;"",AB167&lt;&gt;"",AF167&lt;&gt;"")),TRUE,FALSE)</f>
        <v>0</v>
      </c>
      <c r="AU167" s="1625" t="b">
        <f>IF(AND($C167&lt;&gt;"",$T167=""),TRUE,FALSE)</f>
        <v>0</v>
      </c>
      <c r="AV167" s="1625" t="b">
        <f>IF(V167="",FALSE,IF(T167="",FALSE,IF(AW167=TRUE,FALSE,IF(OR(V167&lt;BI167,V167&gt;BaseYear),TRUE,FALSE))))</f>
        <v>0</v>
      </c>
      <c r="AW167" s="1625" t="b">
        <f>IF(AND($C167&lt;&gt;"",$V167=""),TRUE,FALSE)</f>
        <v>0</v>
      </c>
      <c r="AX167" s="1625" t="b">
        <f>IF(X167="",FALSE,IF(T167="",FALSE,IF(AZ167=TRUE,FALSE,IF(X167&lt;BL167,TRUE,FALSE))))</f>
        <v>0</v>
      </c>
      <c r="AY167" s="1625" t="b">
        <f>IF(X167="",FALSE,IF(T167="",FALSE,IF(AZ167=TRUE,FALSE,IF(X167&gt;BM167,TRUE,FALSE))))</f>
        <v>0</v>
      </c>
      <c r="AZ167" s="1625" t="b">
        <f>IF(AND($C167&lt;&gt;"",$X167=""),TRUE,FALSE)</f>
        <v>0</v>
      </c>
      <c r="BA167" s="1626" t="b">
        <f>IF(BB167=TRUE,FALSE,IF(OR(Z167&lt;0,Z167&gt;1),TRUE,FALSE))</f>
        <v>0</v>
      </c>
      <c r="BB167" s="1625" t="b">
        <f>IF(AND($C167&lt;&gt;"",$Z167=""),TRUE,FALSE)</f>
        <v>0</v>
      </c>
      <c r="BC167" s="1626"/>
      <c r="BD167" s="1625" t="b">
        <f ca="1">IF(AND($C167&lt;&gt;"",$AB167=""),TRUE,FALSE)</f>
        <v>0</v>
      </c>
      <c r="BE167" s="1626" t="b">
        <f>IF(OR(AF167="", V167=""),FALSE,IF(COUNT(FIND({0,1,2,3,4,5,6,7,8,9}, AF167))=0, FALSE, IF(YEAR(AF167)&lt;V167, TRUE, FALSE)))</f>
        <v>0</v>
      </c>
      <c r="BF167" s="1625" t="b">
        <f>IF(AND($C167&lt;&gt;"",$AF167=""),TRUE,FALSE)</f>
        <v>0</v>
      </c>
      <c r="BG167" s="721"/>
      <c r="BH167" s="1625" t="str">
        <f>IF($T167="","",VLOOKUP($T167,val_facilities,BH$3,FALSE))</f>
        <v/>
      </c>
      <c r="BI167" s="1627" t="str">
        <f>IF($T167="","",VLOOKUP($T167,val_facilities,BI$3,FALSE))</f>
        <v/>
      </c>
      <c r="BJ167" s="1627" t="str">
        <f>IF($T167="","",VLOOKUP($T167,val_facilities,BJ$3,FALSE))</f>
        <v/>
      </c>
      <c r="BK167" s="1627" t="str">
        <f ca="1">IFERROR(IF(V167="", "", YEAR(TODAY())-V167), "")</f>
        <v/>
      </c>
      <c r="BL167" s="845" t="str">
        <f>IF($T167="","",VLOOKUP($T167,val_facilities,BL$3,FALSE))</f>
        <v/>
      </c>
      <c r="BM167" s="845" t="str">
        <f>IF($T167="","",VLOOKUP($T167,val_facilities,BM$3,FALSE))</f>
        <v/>
      </c>
      <c r="BN167" s="758"/>
      <c r="BO167" s="721">
        <f t="shared" si="4"/>
        <v>0</v>
      </c>
      <c r="BP167" s="816"/>
      <c r="BQ167" s="816"/>
      <c r="BR167" s="816"/>
    </row>
    <row r="168" spans="1:70" s="686" customFormat="1" ht="6.75" customHeight="1" thickBot="1" x14ac:dyDescent="0.25">
      <c r="A168" s="1638"/>
      <c r="B168" s="1712">
        <v>78.5</v>
      </c>
      <c r="C168" s="1057"/>
      <c r="D168" s="764"/>
      <c r="E168" s="1639"/>
      <c r="F168" s="1229"/>
      <c r="G168" s="1229"/>
      <c r="H168" s="1229"/>
      <c r="I168" s="1229"/>
      <c r="J168" s="1604"/>
      <c r="K168" s="1640"/>
      <c r="L168" s="1645"/>
      <c r="M168" s="1646"/>
      <c r="N168" s="1645"/>
      <c r="O168" s="1646"/>
      <c r="P168" s="1647"/>
      <c r="Q168" s="1646"/>
      <c r="R168" s="1057"/>
      <c r="S168" s="1618"/>
      <c r="T168" s="1643"/>
      <c r="U168" s="1618"/>
      <c r="V168" s="1623"/>
      <c r="W168" s="1618"/>
      <c r="X168" s="722"/>
      <c r="Y168" s="1648"/>
      <c r="Z168" s="841"/>
      <c r="AA168" s="1648"/>
      <c r="AB168" s="722"/>
      <c r="AC168" s="1648"/>
      <c r="AD168" s="722"/>
      <c r="AE168" s="1648"/>
      <c r="AF168" s="1717"/>
      <c r="AG168" s="1648"/>
      <c r="AH168" s="1057"/>
      <c r="AI168" s="1644"/>
      <c r="AJ168" s="1644"/>
      <c r="AK168" s="1644"/>
      <c r="AL168" s="1644"/>
      <c r="AM168" s="1625"/>
      <c r="AN168" s="1625"/>
      <c r="AO168" s="1625"/>
      <c r="AP168" s="1625"/>
      <c r="AQ168" s="1625"/>
      <c r="AR168" s="848"/>
      <c r="AS168" s="848"/>
      <c r="AT168" s="848"/>
      <c r="AU168" s="848"/>
      <c r="AV168" s="848"/>
      <c r="AW168" s="848"/>
      <c r="AX168" s="848"/>
      <c r="AY168" s="848"/>
      <c r="AZ168" s="848"/>
      <c r="BA168" s="848"/>
      <c r="BB168" s="848"/>
      <c r="BC168" s="848"/>
      <c r="BD168" s="848"/>
      <c r="BE168" s="848"/>
      <c r="BF168" s="848"/>
      <c r="BG168" s="685"/>
      <c r="BH168" s="848"/>
      <c r="BI168" s="848"/>
      <c r="BJ168" s="848"/>
      <c r="BK168" s="848"/>
      <c r="BL168" s="848"/>
      <c r="BM168" s="848"/>
      <c r="BN168" s="1229"/>
      <c r="BO168" s="721">
        <f t="shared" si="4"/>
        <v>0</v>
      </c>
    </row>
    <row r="169" spans="1:70" s="816" customFormat="1" x14ac:dyDescent="0.2">
      <c r="A169" s="840">
        <v>79</v>
      </c>
      <c r="B169" s="1712">
        <v>79</v>
      </c>
      <c r="C169" s="1613"/>
      <c r="D169" s="1248" t="str">
        <f>IF(AND(C169="",C167&lt;&gt;""),"Enter Facility "&amp;TEXT(A169,0)&amp;" Name, then Fill in Columns "&amp;TEXT($H$2,0)&amp;" - "&amp;TEXT($AH$2,0)&amp;"       ","")</f>
        <v/>
      </c>
      <c r="E169" s="1245" t="str">
        <f>IF(AL169="N/A","",AL169)</f>
        <v/>
      </c>
      <c r="F169" s="758"/>
      <c r="G169" s="758"/>
      <c r="H169" s="1614"/>
      <c r="I169" s="758"/>
      <c r="J169" s="1615"/>
      <c r="K169" s="1248" t="str">
        <f>IF(E169&lt;&gt;"","Enter Street Address                   ","")</f>
        <v/>
      </c>
      <c r="L169" s="1615"/>
      <c r="M169" s="1248" t="str">
        <f>IF(E169&lt;&gt;"","Enter City Name       ","")</f>
        <v/>
      </c>
      <c r="N169" s="1613"/>
      <c r="O169" s="1248" t="str">
        <f>IF(E169&lt;&gt;"","Select from Pull-Down List   ","")</f>
        <v/>
      </c>
      <c r="P169" s="1616"/>
      <c r="Q169" s="1248" t="str">
        <f>IF($E169&lt;&gt;"","Enter ZIP Code       ","")</f>
        <v/>
      </c>
      <c r="R169" s="1617"/>
      <c r="S169" s="1618" t="str">
        <f>IF($E169&lt;&gt;"","Select from Pull-Down List  ","")</f>
        <v/>
      </c>
      <c r="T169" s="1617"/>
      <c r="U169" s="1618" t="str">
        <f>IF(AND($C169&lt;&gt;"",T169=""),"Select from Pull-Down List  ","")</f>
        <v/>
      </c>
      <c r="V169" s="1619"/>
      <c r="W169" s="1248" t="str">
        <f>IF(E169&lt;&gt;"","Year?   ","")</f>
        <v/>
      </c>
      <c r="X169" s="1247"/>
      <c r="Y169" s="1620" t="str">
        <f>IF(E169&lt;&gt;"","Sq. Feet?   ","")</f>
        <v/>
      </c>
      <c r="Z169" s="1621"/>
      <c r="AA169" s="1618" t="str">
        <f>IF($E169&lt;&gt;"","% of Cap Resp.","")</f>
        <v/>
      </c>
      <c r="AB169" s="1782" t="str">
        <f ca="1">IFERROR(IF(BK169="", "", IF(BK169&gt;100, 1, VLOOKUP(BK169, Valid!$W$1:$AA$101, VLOOKUP(T169, Codes!$G$7:$I$17, 3, FALSE), FALSE))), "")</f>
        <v/>
      </c>
      <c r="AC169" s="1618"/>
      <c r="AD169" s="1247"/>
      <c r="AE169" s="1620" t="str">
        <f>IF($E169&lt;&gt;"","Drop-Down    ","")</f>
        <v/>
      </c>
      <c r="AF169" s="1720"/>
      <c r="AG169" s="1620" t="b">
        <f>IF(E169&lt;&gt;"","Date?   ")</f>
        <v>0</v>
      </c>
      <c r="AH169" s="1613"/>
      <c r="AI169" s="1248" t="str">
        <f>IF(OR(T169="Other (describe in Notes)",T169="Dual Administrative and Maintenance Facility"),"Describe Facility                                                                                         ","")</f>
        <v/>
      </c>
      <c r="AJ169" s="1624"/>
      <c r="AK169" s="1624" t="b">
        <f>IF(AND(C169="",C171&lt;&gt;""),TRUE,FALSE)</f>
        <v>0</v>
      </c>
      <c r="AL169" s="1624" t="str">
        <f>IF(AND($C169&lt;&gt;"",OR($J169="",$L169="",$N169="",$P169="",$R169="",$T169="",$V169="",$X169="",$Z169="",$AD169="",$AF169="")),"No",IF(AND($C169="",OR($H169&lt;&gt;"",$J169&lt;&gt;"",$L169&lt;&gt;"",$N169&lt;&gt;"",$P169&lt;&gt;"",$R169&lt;&gt;"",$T169&lt;&gt;"",$V169&lt;&gt;"",$X169&lt;&gt;"",$Z169&lt;&gt;"",$AD169&lt;&gt;"",$AF169&lt;&gt;"")),"N",IF(AND($H169="",$C169="",$J169="",$L169="",$N169="",$P169="",$R169="",$T169="",$V169="",$X169="",$Z169="",$AD169="",$AF169=""),"N/A",IF(AND($C169&lt;&gt;"",$J169&lt;&gt;"",$L169&lt;&gt;"",$N169&lt;&gt;"",$P169&lt;&gt;"",$R169&lt;&gt;"",$T169&lt;&gt;"",$V169&lt;&gt;"",$X169&lt;&gt;"",$Z169&lt;&gt;"",$AD169&lt;&gt;"",$AF169&lt;&gt;""),"Yes",""))))</f>
        <v>N/A</v>
      </c>
      <c r="AM169" s="1625" t="b">
        <f ca="1">IF(AND($C169="",OR($J169&lt;&gt;"",$L169&lt;&gt;"",$N169&lt;&gt;"",$P169&lt;&gt;"",$R169&lt;&gt;"",$T169&lt;&gt;"",$V169&lt;&gt;"",$X169&lt;&gt;"",$Z169&lt;&gt;"",$AB169&lt;&gt;"",$AF169&lt;&gt;"")),TRUE,FALSE)</f>
        <v>0</v>
      </c>
      <c r="AN169" s="1625" t="b">
        <f>IF(AND($C169&lt;&gt;"",$J169=""),TRUE,FALSE)</f>
        <v>0</v>
      </c>
      <c r="AO169" s="1625" t="b">
        <f>IF(AND($C169&lt;&gt;"",$L169=""),TRUE,FALSE)</f>
        <v>0</v>
      </c>
      <c r="AP169" s="1625" t="b">
        <f>IF(AND($C169&lt;&gt;"",$N169=""),TRUE,FALSE)</f>
        <v>0</v>
      </c>
      <c r="AQ169" s="1625" t="b">
        <f>IF(AND($C169&lt;&gt;"",$P169=""),TRUE,FALSE)</f>
        <v>0</v>
      </c>
      <c r="AR169" s="1625" t="b">
        <f>IF(AND($C169&lt;&gt;"",$R169=""),TRUE,FALSE)</f>
        <v>0</v>
      </c>
      <c r="AS169" s="1625"/>
      <c r="AT169" s="1625" t="b">
        <f ca="1">IF(AND(T169="",OR(V169&lt;&gt;"",X169&lt;&gt;"",Z169&lt;&gt;"",AB169&lt;&gt;"",AF169&lt;&gt;"")),TRUE,FALSE)</f>
        <v>0</v>
      </c>
      <c r="AU169" s="1625" t="b">
        <f>IF(AND($C169&lt;&gt;"",$T169=""),TRUE,FALSE)</f>
        <v>0</v>
      </c>
      <c r="AV169" s="1625" t="b">
        <f>IF(V169="",FALSE,IF(T169="",FALSE,IF(AW169=TRUE,FALSE,IF(OR(V169&lt;BI169,V169&gt;BaseYear),TRUE,FALSE))))</f>
        <v>0</v>
      </c>
      <c r="AW169" s="1625" t="b">
        <f>IF(AND($C169&lt;&gt;"",$V169=""),TRUE,FALSE)</f>
        <v>0</v>
      </c>
      <c r="AX169" s="1625" t="b">
        <f>IF(X169="",FALSE,IF(T169="",FALSE,IF(AZ169=TRUE,FALSE,IF(X169&lt;BL169,TRUE,FALSE))))</f>
        <v>0</v>
      </c>
      <c r="AY169" s="1625" t="b">
        <f>IF(X169="",FALSE,IF(T169="",FALSE,IF(AZ169=TRUE,FALSE,IF(X169&gt;BM169,TRUE,FALSE))))</f>
        <v>0</v>
      </c>
      <c r="AZ169" s="1625" t="b">
        <f>IF(AND($C169&lt;&gt;"",$X169=""),TRUE,FALSE)</f>
        <v>0</v>
      </c>
      <c r="BA169" s="1626" t="b">
        <f>IF(BB169=TRUE,FALSE,IF(OR(Z169&lt;0,Z169&gt;1),TRUE,FALSE))</f>
        <v>0</v>
      </c>
      <c r="BB169" s="1625" t="b">
        <f>IF(AND($C169&lt;&gt;"",$Z169=""),TRUE,FALSE)</f>
        <v>0</v>
      </c>
      <c r="BC169" s="1626"/>
      <c r="BD169" s="1625" t="b">
        <f ca="1">IF(AND($C169&lt;&gt;"",$AB169=""),TRUE,FALSE)</f>
        <v>0</v>
      </c>
      <c r="BE169" s="1626" t="b">
        <f>IF(OR(AF169="", V169=""),FALSE,IF(COUNT(FIND({0,1,2,3,4,5,6,7,8,9}, AF169))=0, FALSE, IF(YEAR(AF169)&lt;V169, TRUE, FALSE)))</f>
        <v>0</v>
      </c>
      <c r="BF169" s="1625" t="b">
        <f>IF(AND($C169&lt;&gt;"",$AF169=""),TRUE,FALSE)</f>
        <v>0</v>
      </c>
      <c r="BG169" s="721"/>
      <c r="BH169" s="1625" t="str">
        <f>IF($T169="","",VLOOKUP($T169,val_facilities,BH$3,FALSE))</f>
        <v/>
      </c>
      <c r="BI169" s="1627" t="str">
        <f>IF($T169="","",VLOOKUP($T169,val_facilities,BI$3,FALSE))</f>
        <v/>
      </c>
      <c r="BJ169" s="1627" t="str">
        <f>IF($T169="","",VLOOKUP($T169,val_facilities,BJ$3,FALSE))</f>
        <v/>
      </c>
      <c r="BK169" s="1627" t="str">
        <f ca="1">IFERROR(IF(V169="", "", YEAR(TODAY())-V169), "")</f>
        <v/>
      </c>
      <c r="BL169" s="845" t="str">
        <f>IF($T169="","",VLOOKUP($T169,val_facilities,BL$3,FALSE))</f>
        <v/>
      </c>
      <c r="BM169" s="845" t="str">
        <f>IF($T169="","",VLOOKUP($T169,val_facilities,BM$3,FALSE))</f>
        <v/>
      </c>
      <c r="BN169" s="758"/>
      <c r="BO169" s="721">
        <f t="shared" si="4"/>
        <v>0</v>
      </c>
    </row>
    <row r="170" spans="1:70" s="816" customFormat="1" ht="6.75" customHeight="1" thickBot="1" x14ac:dyDescent="0.25">
      <c r="A170" s="840"/>
      <c r="B170" s="1712">
        <v>79.5</v>
      </c>
      <c r="C170" s="1057"/>
      <c r="D170" s="1248"/>
      <c r="E170" s="1057"/>
      <c r="F170" s="1229"/>
      <c r="G170" s="1229"/>
      <c r="H170" s="1229"/>
      <c r="I170" s="1229"/>
      <c r="J170" s="1604"/>
      <c r="K170" s="1229"/>
      <c r="L170" s="1605"/>
      <c r="M170" s="1644"/>
      <c r="N170" s="1605"/>
      <c r="O170" s="1644"/>
      <c r="P170" s="1606"/>
      <c r="Q170" s="1644"/>
      <c r="R170" s="1057"/>
      <c r="S170" s="1623"/>
      <c r="T170" s="1643"/>
      <c r="U170" s="1623"/>
      <c r="V170" s="1623"/>
      <c r="W170" s="1623"/>
      <c r="X170" s="722"/>
      <c r="Y170" s="841"/>
      <c r="Z170" s="841"/>
      <c r="AA170" s="841"/>
      <c r="AB170" s="722"/>
      <c r="AC170" s="841"/>
      <c r="AD170" s="722"/>
      <c r="AE170" s="841"/>
      <c r="AF170" s="1717"/>
      <c r="AG170" s="841"/>
      <c r="AH170" s="1057"/>
      <c r="AI170" s="1644"/>
      <c r="AJ170" s="1644"/>
      <c r="AK170" s="1644"/>
      <c r="AL170" s="1644"/>
      <c r="AM170" s="1625"/>
      <c r="AN170" s="1625"/>
      <c r="AO170" s="1625"/>
      <c r="AP170" s="1625"/>
      <c r="AQ170" s="1625"/>
      <c r="AR170" s="848"/>
      <c r="AS170" s="848"/>
      <c r="AT170" s="848"/>
      <c r="AU170" s="848"/>
      <c r="AV170" s="848"/>
      <c r="AW170" s="848"/>
      <c r="AX170" s="848"/>
      <c r="AY170" s="848"/>
      <c r="AZ170" s="848"/>
      <c r="BA170" s="848"/>
      <c r="BB170" s="848"/>
      <c r="BC170" s="848"/>
      <c r="BD170" s="848"/>
      <c r="BE170" s="848"/>
      <c r="BF170" s="848"/>
      <c r="BG170" s="685"/>
      <c r="BH170" s="848"/>
      <c r="BI170" s="848"/>
      <c r="BJ170" s="848"/>
      <c r="BK170" s="848"/>
      <c r="BL170" s="848"/>
      <c r="BM170" s="848"/>
      <c r="BN170" s="1229"/>
      <c r="BO170" s="721">
        <f t="shared" si="4"/>
        <v>0</v>
      </c>
      <c r="BP170" s="686"/>
      <c r="BQ170" s="686"/>
      <c r="BR170" s="686"/>
    </row>
    <row r="171" spans="1:70" s="816" customFormat="1" x14ac:dyDescent="0.2">
      <c r="A171" s="840">
        <v>80</v>
      </c>
      <c r="B171" s="1712">
        <v>80</v>
      </c>
      <c r="C171" s="1613"/>
      <c r="D171" s="1248" t="str">
        <f>IF(AND(C171="",C169&lt;&gt;""),"Enter Facility "&amp;TEXT(A171,0)&amp;" Name, then Fill in Columns "&amp;TEXT($H$2,0)&amp;" - "&amp;TEXT($AH$2,0)&amp;"       ","")</f>
        <v/>
      </c>
      <c r="E171" s="1245" t="str">
        <f>IF(AL171="N/A","",AL171)</f>
        <v/>
      </c>
      <c r="F171" s="758"/>
      <c r="G171" s="758"/>
      <c r="H171" s="1614"/>
      <c r="I171" s="758"/>
      <c r="J171" s="1615"/>
      <c r="K171" s="1248" t="str">
        <f>IF(E171&lt;&gt;"","Enter Street Address                   ","")</f>
        <v/>
      </c>
      <c r="L171" s="1615"/>
      <c r="M171" s="1248" t="str">
        <f>IF(E171&lt;&gt;"","Enter City Name       ","")</f>
        <v/>
      </c>
      <c r="N171" s="1613"/>
      <c r="O171" s="1248" t="str">
        <f>IF(E171&lt;&gt;"","Select from Pull-Down List   ","")</f>
        <v/>
      </c>
      <c r="P171" s="1616"/>
      <c r="Q171" s="1248" t="str">
        <f>IF($E171&lt;&gt;"","Enter ZIP Code       ","")</f>
        <v/>
      </c>
      <c r="R171" s="1617"/>
      <c r="S171" s="1618" t="str">
        <f>IF($E171&lt;&gt;"","Select from Pull-Down List  ","")</f>
        <v/>
      </c>
      <c r="T171" s="1617"/>
      <c r="U171" s="1618" t="str">
        <f>IF(AND($C171&lt;&gt;"",T171=""),"Select from Pull-Down List  ","")</f>
        <v/>
      </c>
      <c r="V171" s="1619"/>
      <c r="W171" s="1248" t="str">
        <f>IF(E171&lt;&gt;"","Year?   ","")</f>
        <v/>
      </c>
      <c r="X171" s="1247"/>
      <c r="Y171" s="1620" t="str">
        <f>IF(E171&lt;&gt;"","Sq. Feet?   ","")</f>
        <v/>
      </c>
      <c r="Z171" s="1621"/>
      <c r="AA171" s="1618" t="str">
        <f>IF($E171&lt;&gt;"","% of Cap Resp.","")</f>
        <v/>
      </c>
      <c r="AB171" s="1782" t="str">
        <f ca="1">IFERROR(IF(BK171="", "", IF(BK171&gt;100, 1, VLOOKUP(BK171, Valid!$W$1:$AA$101, VLOOKUP(T171, Codes!$G$7:$I$17, 3, FALSE), FALSE))), "")</f>
        <v/>
      </c>
      <c r="AC171" s="1618"/>
      <c r="AD171" s="1247"/>
      <c r="AE171" s="1620" t="str">
        <f>IF($E171&lt;&gt;"","Drop-Down    ","")</f>
        <v/>
      </c>
      <c r="AF171" s="1720"/>
      <c r="AG171" s="1620" t="b">
        <f>IF(E171&lt;&gt;"","Date?   ")</f>
        <v>0</v>
      </c>
      <c r="AH171" s="1613"/>
      <c r="AI171" s="1248" t="str">
        <f>IF(OR(T171="Other (describe in Notes)",T171="Dual Administrative and Maintenance Facility"),"Describe Facility                                                                                         ","")</f>
        <v/>
      </c>
      <c r="AJ171" s="1624"/>
      <c r="AK171" s="1624" t="b">
        <f>IF(AND(C171="",C173&lt;&gt;""),TRUE,FALSE)</f>
        <v>0</v>
      </c>
      <c r="AL171" s="1624" t="str">
        <f>IF(AND($C171&lt;&gt;"",OR($J171="",$L171="",$N171="",$P171="",$R171="",$T171="",$V171="",$X171="",$Z171="",$AD171="",$AF171="")),"No",IF(AND($C171="",OR($H171&lt;&gt;"",$J171&lt;&gt;"",$L171&lt;&gt;"",$N171&lt;&gt;"",$P171&lt;&gt;"",$R171&lt;&gt;"",$T171&lt;&gt;"",$V171&lt;&gt;"",$X171&lt;&gt;"",$Z171&lt;&gt;"",$AD171&lt;&gt;"",$AF171&lt;&gt;"")),"N",IF(AND($H171="",$C171="",$J171="",$L171="",$N171="",$P171="",$R171="",$T171="",$V171="",$X171="",$Z171="",$AD171="",$AF171=""),"N/A",IF(AND($C171&lt;&gt;"",$J171&lt;&gt;"",$L171&lt;&gt;"",$N171&lt;&gt;"",$P171&lt;&gt;"",$R171&lt;&gt;"",$T171&lt;&gt;"",$V171&lt;&gt;"",$X171&lt;&gt;"",$Z171&lt;&gt;"",$AD171&lt;&gt;"",$AF171&lt;&gt;""),"Yes",""))))</f>
        <v>N/A</v>
      </c>
      <c r="AM171" s="1625" t="b">
        <f ca="1">IF(AND($C171="",OR($J171&lt;&gt;"",$L171&lt;&gt;"",$N171&lt;&gt;"",$P171&lt;&gt;"",$R171&lt;&gt;"",$T171&lt;&gt;"",$V171&lt;&gt;"",$X171&lt;&gt;"",$Z171&lt;&gt;"",$AB171&lt;&gt;"",$AF171&lt;&gt;"")),TRUE,FALSE)</f>
        <v>0</v>
      </c>
      <c r="AN171" s="1625" t="b">
        <f>IF(AND($C171&lt;&gt;"",$J171=""),TRUE,FALSE)</f>
        <v>0</v>
      </c>
      <c r="AO171" s="1625" t="b">
        <f>IF(AND($C171&lt;&gt;"",$L171=""),TRUE,FALSE)</f>
        <v>0</v>
      </c>
      <c r="AP171" s="1625" t="b">
        <f>IF(AND($C171&lt;&gt;"",$N171=""),TRUE,FALSE)</f>
        <v>0</v>
      </c>
      <c r="AQ171" s="1625" t="b">
        <f>IF(AND($C171&lt;&gt;"",$P171=""),TRUE,FALSE)</f>
        <v>0</v>
      </c>
      <c r="AR171" s="1625" t="b">
        <f>IF(AND($C171&lt;&gt;"",$R171=""),TRUE,FALSE)</f>
        <v>0</v>
      </c>
      <c r="AS171" s="1625"/>
      <c r="AT171" s="1625" t="b">
        <f ca="1">IF(AND(T171="",OR(V171&lt;&gt;"",X171&lt;&gt;"",Z171&lt;&gt;"",AB171&lt;&gt;"",AF171&lt;&gt;"")),TRUE,FALSE)</f>
        <v>0</v>
      </c>
      <c r="AU171" s="1625" t="b">
        <f>IF(AND($C171&lt;&gt;"",$T171=""),TRUE,FALSE)</f>
        <v>0</v>
      </c>
      <c r="AV171" s="1625" t="b">
        <f>IF(V171="",FALSE,IF(T171="",FALSE,IF(AW171=TRUE,FALSE,IF(OR(V171&lt;BI171,V171&gt;BaseYear),TRUE,FALSE))))</f>
        <v>0</v>
      </c>
      <c r="AW171" s="1625" t="b">
        <f>IF(AND($C171&lt;&gt;"",$V171=""),TRUE,FALSE)</f>
        <v>0</v>
      </c>
      <c r="AX171" s="1625" t="b">
        <f>IF(X171="",FALSE,IF(T171="",FALSE,IF(AZ171=TRUE,FALSE,IF(X171&lt;BL171,TRUE,FALSE))))</f>
        <v>0</v>
      </c>
      <c r="AY171" s="1625" t="b">
        <f>IF(X171="",FALSE,IF(T171="",FALSE,IF(AZ171=TRUE,FALSE,IF(X171&gt;BM171,TRUE,FALSE))))</f>
        <v>0</v>
      </c>
      <c r="AZ171" s="1625" t="b">
        <f>IF(AND($C171&lt;&gt;"",$X171=""),TRUE,FALSE)</f>
        <v>0</v>
      </c>
      <c r="BA171" s="1626" t="b">
        <f>IF(BB171=TRUE,FALSE,IF(OR(Z171&lt;0,Z171&gt;1),TRUE,FALSE))</f>
        <v>0</v>
      </c>
      <c r="BB171" s="1625" t="b">
        <f>IF(AND($C171&lt;&gt;"",$Z171=""),TRUE,FALSE)</f>
        <v>0</v>
      </c>
      <c r="BC171" s="1626"/>
      <c r="BD171" s="1625" t="b">
        <f ca="1">IF(AND($C171&lt;&gt;"",$AB171=""),TRUE,FALSE)</f>
        <v>0</v>
      </c>
      <c r="BE171" s="1626" t="b">
        <f>IF(OR(AF171="", V171=""),FALSE,IF(COUNT(FIND({0,1,2,3,4,5,6,7,8,9}, AF171))=0, FALSE, IF(YEAR(AF171)&lt;V171, TRUE, FALSE)))</f>
        <v>0</v>
      </c>
      <c r="BF171" s="1625" t="b">
        <f>IF(AND($C171&lt;&gt;"",$AF171=""),TRUE,FALSE)</f>
        <v>0</v>
      </c>
      <c r="BG171" s="721"/>
      <c r="BH171" s="1625" t="str">
        <f>IF($T171="","",VLOOKUP($T171,val_facilities,BH$3,FALSE))</f>
        <v/>
      </c>
      <c r="BI171" s="1627" t="str">
        <f>IF($T171="","",VLOOKUP($T171,val_facilities,BI$3,FALSE))</f>
        <v/>
      </c>
      <c r="BJ171" s="1627" t="str">
        <f>IF($T171="","",VLOOKUP($T171,val_facilities,BJ$3,FALSE))</f>
        <v/>
      </c>
      <c r="BK171" s="1627" t="str">
        <f ca="1">IFERROR(IF(V171="", "", YEAR(TODAY())-V171), "")</f>
        <v/>
      </c>
      <c r="BL171" s="845" t="str">
        <f>IF($T171="","",VLOOKUP($T171,val_facilities,BL$3,FALSE))</f>
        <v/>
      </c>
      <c r="BM171" s="845" t="str">
        <f>IF($T171="","",VLOOKUP($T171,val_facilities,BM$3,FALSE))</f>
        <v/>
      </c>
      <c r="BN171" s="758"/>
      <c r="BO171" s="721">
        <f t="shared" si="4"/>
        <v>0</v>
      </c>
    </row>
    <row r="172" spans="1:70" s="686" customFormat="1" ht="6.75" customHeight="1" thickBot="1" x14ac:dyDescent="0.25">
      <c r="A172" s="1638"/>
      <c r="B172" s="1712">
        <v>80.5</v>
      </c>
      <c r="C172" s="1057"/>
      <c r="D172" s="1248"/>
      <c r="E172" s="1639"/>
      <c r="F172" s="1229"/>
      <c r="G172" s="1229"/>
      <c r="H172" s="1229"/>
      <c r="I172" s="1229"/>
      <c r="J172" s="1604"/>
      <c r="K172" s="1640"/>
      <c r="L172" s="1641"/>
      <c r="M172" s="1248"/>
      <c r="N172" s="1641"/>
      <c r="O172" s="1248"/>
      <c r="P172" s="1642"/>
      <c r="Q172" s="1248"/>
      <c r="R172" s="1057"/>
      <c r="S172" s="1618"/>
      <c r="T172" s="1643"/>
      <c r="U172" s="1618"/>
      <c r="V172" s="1623"/>
      <c r="W172" s="1618"/>
      <c r="X172" s="733"/>
      <c r="Y172" s="1275"/>
      <c r="AA172" s="1275"/>
      <c r="AB172" s="733"/>
      <c r="AC172" s="1275"/>
      <c r="AD172" s="733"/>
      <c r="AE172" s="1275"/>
      <c r="AF172" s="1721"/>
      <c r="AG172" s="1275"/>
      <c r="AH172" s="1057"/>
      <c r="AI172" s="1644"/>
      <c r="AJ172" s="1644"/>
      <c r="AK172" s="1644"/>
      <c r="AL172" s="758"/>
      <c r="AM172" s="1625"/>
      <c r="AN172" s="1625"/>
      <c r="AO172" s="1625"/>
      <c r="AP172" s="1625"/>
      <c r="AQ172" s="1625"/>
      <c r="AR172" s="848"/>
      <c r="AS172" s="848"/>
      <c r="AT172" s="848"/>
      <c r="AU172" s="848"/>
      <c r="AV172" s="848"/>
      <c r="AW172" s="848"/>
      <c r="AX172" s="848"/>
      <c r="AY172" s="848"/>
      <c r="AZ172" s="848"/>
      <c r="BA172" s="848"/>
      <c r="BB172" s="848"/>
      <c r="BC172" s="848"/>
      <c r="BD172" s="848"/>
      <c r="BE172" s="848"/>
      <c r="BF172" s="848"/>
      <c r="BG172" s="685"/>
      <c r="BH172" s="848"/>
      <c r="BI172" s="848"/>
      <c r="BJ172" s="848"/>
      <c r="BK172" s="848"/>
      <c r="BL172" s="848"/>
      <c r="BM172" s="848"/>
      <c r="BN172" s="1229"/>
      <c r="BO172" s="721">
        <f t="shared" si="4"/>
        <v>0</v>
      </c>
    </row>
    <row r="173" spans="1:70" s="686" customFormat="1" x14ac:dyDescent="0.2">
      <c r="A173" s="840">
        <v>81</v>
      </c>
      <c r="B173" s="1712">
        <v>81</v>
      </c>
      <c r="C173" s="1613"/>
      <c r="D173" s="1248" t="str">
        <f>IF(AND(C173="",C171&lt;&gt;""),"Enter Facility "&amp;TEXT(A173,0)&amp;" Name, then Fill in Columns "&amp;TEXT($H$2,0)&amp;" - "&amp;TEXT($AH$2,0)&amp;"       ","")</f>
        <v/>
      </c>
      <c r="E173" s="1245" t="str">
        <f>IF(AL173="N/A","",AL173)</f>
        <v/>
      </c>
      <c r="F173" s="758"/>
      <c r="G173" s="758"/>
      <c r="H173" s="1614"/>
      <c r="I173" s="758"/>
      <c r="J173" s="1615"/>
      <c r="K173" s="1248" t="str">
        <f>IF(E173&lt;&gt;"","Enter Street Address                   ","")</f>
        <v/>
      </c>
      <c r="L173" s="1615"/>
      <c r="M173" s="1248" t="str">
        <f>IF(E173&lt;&gt;"","Enter City Name       ","")</f>
        <v/>
      </c>
      <c r="N173" s="1613"/>
      <c r="O173" s="1248" t="str">
        <f>IF(E173&lt;&gt;"","Select from Pull-Down List   ","")</f>
        <v/>
      </c>
      <c r="P173" s="1616"/>
      <c r="Q173" s="1248" t="str">
        <f>IF($E173&lt;&gt;"","Enter ZIP Code       ","")</f>
        <v/>
      </c>
      <c r="R173" s="1617"/>
      <c r="S173" s="1618" t="str">
        <f>IF($E173&lt;&gt;"","Select from Pull-Down List  ","")</f>
        <v/>
      </c>
      <c r="T173" s="1617"/>
      <c r="U173" s="1618" t="str">
        <f>IF(AND($C173&lt;&gt;"",T173=""),"Select from Pull-Down List  ","")</f>
        <v/>
      </c>
      <c r="V173" s="1619"/>
      <c r="W173" s="1248" t="str">
        <f>IF(E173&lt;&gt;"","Year?   ","")</f>
        <v/>
      </c>
      <c r="X173" s="1247"/>
      <c r="Y173" s="1620" t="str">
        <f>IF(E173&lt;&gt;"","Sq. Feet?   ","")</f>
        <v/>
      </c>
      <c r="Z173" s="1621"/>
      <c r="AA173" s="1618" t="str">
        <f>IF($E173&lt;&gt;"","% of Cap Resp.","")</f>
        <v/>
      </c>
      <c r="AB173" s="1782" t="str">
        <f ca="1">IFERROR(IF(BK173="", "", IF(BK173&gt;100, 1, VLOOKUP(BK173, Valid!$W$1:$AA$101, VLOOKUP(T173, Codes!$G$7:$I$17, 3, FALSE), FALSE))), "")</f>
        <v/>
      </c>
      <c r="AC173" s="1618"/>
      <c r="AD173" s="1247"/>
      <c r="AE173" s="1620" t="str">
        <f>IF($E173&lt;&gt;"","Drop-Down    ","")</f>
        <v/>
      </c>
      <c r="AF173" s="1720"/>
      <c r="AG173" s="1620" t="b">
        <f>IF(E173&lt;&gt;"","Date?   ")</f>
        <v>0</v>
      </c>
      <c r="AH173" s="1613"/>
      <c r="AI173" s="1248" t="str">
        <f>IF(OR(T173="Other (describe in Notes)",T173="Dual Administrative and Maintenance Facility"),"Describe Facility                                                                                         ","")</f>
        <v/>
      </c>
      <c r="AJ173" s="1624"/>
      <c r="AK173" s="1624" t="b">
        <f>IF(AND(C173="",C175&lt;&gt;""),TRUE,FALSE)</f>
        <v>0</v>
      </c>
      <c r="AL173" s="1624" t="str">
        <f>IF(AND($C173&lt;&gt;"",OR($J173="",$L173="",$N173="",$P173="",$R173="",$T173="",$V173="",$X173="",$Z173="",$AD173="",$AF173="")),"No",IF(AND($C173="",OR($H173&lt;&gt;"",$J173&lt;&gt;"",$L173&lt;&gt;"",$N173&lt;&gt;"",$P173&lt;&gt;"",$R173&lt;&gt;"",$T173&lt;&gt;"",$V173&lt;&gt;"",$X173&lt;&gt;"",$Z173&lt;&gt;"",$AD173&lt;&gt;"",$AF173&lt;&gt;"")),"N",IF(AND($H173="",$C173="",$J173="",$L173="",$N173="",$P173="",$R173="",$T173="",$V173="",$X173="",$Z173="",$AD173="",$AF173=""),"N/A",IF(AND($C173&lt;&gt;"",$J173&lt;&gt;"",$L173&lt;&gt;"",$N173&lt;&gt;"",$P173&lt;&gt;"",$R173&lt;&gt;"",$T173&lt;&gt;"",$V173&lt;&gt;"",$X173&lt;&gt;"",$Z173&lt;&gt;"",$AD173&lt;&gt;"",$AF173&lt;&gt;""),"Yes",""))))</f>
        <v>N/A</v>
      </c>
      <c r="AM173" s="1625" t="b">
        <f ca="1">IF(AND($C173="",OR($J173&lt;&gt;"",$L173&lt;&gt;"",$N173&lt;&gt;"",$P173&lt;&gt;"",$R173&lt;&gt;"",$T173&lt;&gt;"",$V173&lt;&gt;"",$X173&lt;&gt;"",$Z173&lt;&gt;"",$AB173&lt;&gt;"",$AF173&lt;&gt;"")),TRUE,FALSE)</f>
        <v>0</v>
      </c>
      <c r="AN173" s="1625" t="b">
        <f>IF(AND($C173&lt;&gt;"",$J173=""),TRUE,FALSE)</f>
        <v>0</v>
      </c>
      <c r="AO173" s="1625" t="b">
        <f>IF(AND($C173&lt;&gt;"",$L173=""),TRUE,FALSE)</f>
        <v>0</v>
      </c>
      <c r="AP173" s="1625" t="b">
        <f>IF(AND($C173&lt;&gt;"",$N173=""),TRUE,FALSE)</f>
        <v>0</v>
      </c>
      <c r="AQ173" s="1625" t="b">
        <f>IF(AND($C173&lt;&gt;"",$P173=""),TRUE,FALSE)</f>
        <v>0</v>
      </c>
      <c r="AR173" s="1625" t="b">
        <f>IF(AND($C173&lt;&gt;"",$R173=""),TRUE,FALSE)</f>
        <v>0</v>
      </c>
      <c r="AS173" s="1625"/>
      <c r="AT173" s="1625" t="b">
        <f ca="1">IF(AND(T173="",OR(V173&lt;&gt;"",X173&lt;&gt;"",Z173&lt;&gt;"",AB173&lt;&gt;"",AF173&lt;&gt;"")),TRUE,FALSE)</f>
        <v>0</v>
      </c>
      <c r="AU173" s="1625" t="b">
        <f>IF(AND($C173&lt;&gt;"",$T173=""),TRUE,FALSE)</f>
        <v>0</v>
      </c>
      <c r="AV173" s="1625" t="b">
        <f>IF(V173="",FALSE,IF(T173="",FALSE,IF(AW173=TRUE,FALSE,IF(OR(V173&lt;BI173,V173&gt;BaseYear),TRUE,FALSE))))</f>
        <v>0</v>
      </c>
      <c r="AW173" s="1625" t="b">
        <f>IF(AND($C173&lt;&gt;"",$V173=""),TRUE,FALSE)</f>
        <v>0</v>
      </c>
      <c r="AX173" s="1625" t="b">
        <f>IF(X173="",FALSE,IF(T173="",FALSE,IF(AZ173=TRUE,FALSE,IF(X173&lt;BL173,TRUE,FALSE))))</f>
        <v>0</v>
      </c>
      <c r="AY173" s="1625" t="b">
        <f>IF(X173="",FALSE,IF(T173="",FALSE,IF(AZ173=TRUE,FALSE,IF(X173&gt;BM173,TRUE,FALSE))))</f>
        <v>0</v>
      </c>
      <c r="AZ173" s="1625" t="b">
        <f>IF(AND($C173&lt;&gt;"",$X173=""),TRUE,FALSE)</f>
        <v>0</v>
      </c>
      <c r="BA173" s="1626" t="b">
        <f>IF(BB173=TRUE,FALSE,IF(OR(Z173&lt;0,Z173&gt;1),TRUE,FALSE))</f>
        <v>0</v>
      </c>
      <c r="BB173" s="1625" t="b">
        <f>IF(AND($C173&lt;&gt;"",$Z173=""),TRUE,FALSE)</f>
        <v>0</v>
      </c>
      <c r="BC173" s="1626"/>
      <c r="BD173" s="1625" t="b">
        <f ca="1">IF(AND($C173&lt;&gt;"",$AB173=""),TRUE,FALSE)</f>
        <v>0</v>
      </c>
      <c r="BE173" s="1626" t="b">
        <f>IF(OR(AF173="", V173=""),FALSE,IF(COUNT(FIND({0,1,2,3,4,5,6,7,8,9}, AF173))=0, FALSE, IF(YEAR(AF173)&lt;V173, TRUE, FALSE)))</f>
        <v>0</v>
      </c>
      <c r="BF173" s="1625" t="b">
        <f>IF(AND($C173&lt;&gt;"",$AF173=""),TRUE,FALSE)</f>
        <v>0</v>
      </c>
      <c r="BG173" s="721"/>
      <c r="BH173" s="1625" t="str">
        <f>IF($T173="","",VLOOKUP($T173,val_facilities,BH$3,FALSE))</f>
        <v/>
      </c>
      <c r="BI173" s="1627" t="str">
        <f>IF($T173="","",VLOOKUP($T173,val_facilities,BI$3,FALSE))</f>
        <v/>
      </c>
      <c r="BJ173" s="1627" t="str">
        <f>IF($T173="","",VLOOKUP($T173,val_facilities,BJ$3,FALSE))</f>
        <v/>
      </c>
      <c r="BK173" s="1627" t="str">
        <f ca="1">IFERROR(IF(V173="", "", YEAR(TODAY())-V173), "")</f>
        <v/>
      </c>
      <c r="BL173" s="845" t="str">
        <f>IF($T173="","",VLOOKUP($T173,val_facilities,BL$3,FALSE))</f>
        <v/>
      </c>
      <c r="BM173" s="845" t="str">
        <f>IF($T173="","",VLOOKUP($T173,val_facilities,BM$3,FALSE))</f>
        <v/>
      </c>
      <c r="BN173" s="758"/>
      <c r="BO173" s="721">
        <f t="shared" si="4"/>
        <v>0</v>
      </c>
      <c r="BP173" s="816"/>
      <c r="BQ173" s="816"/>
      <c r="BR173" s="816"/>
    </row>
    <row r="174" spans="1:70" s="686" customFormat="1" ht="6.75" customHeight="1" thickBot="1" x14ac:dyDescent="0.25">
      <c r="A174" s="1638"/>
      <c r="B174" s="1712">
        <v>81.5</v>
      </c>
      <c r="C174" s="1607"/>
      <c r="D174" s="1248"/>
      <c r="E174" s="721"/>
      <c r="F174" s="758"/>
      <c r="G174" s="758"/>
      <c r="H174" s="758"/>
      <c r="I174" s="758"/>
      <c r="J174" s="1628"/>
      <c r="K174" s="1248"/>
      <c r="L174" s="1629"/>
      <c r="M174" s="1248"/>
      <c r="N174" s="1629"/>
      <c r="O174" s="1248"/>
      <c r="P174" s="1630"/>
      <c r="Q174" s="1248"/>
      <c r="R174" s="1223"/>
      <c r="S174" s="1618"/>
      <c r="T174" s="1608"/>
      <c r="U174" s="1618"/>
      <c r="V174" s="1623"/>
      <c r="W174" s="1618"/>
      <c r="X174" s="1631"/>
      <c r="Y174" s="1632"/>
      <c r="Z174" s="822"/>
      <c r="AA174" s="1632"/>
      <c r="AB174" s="1631"/>
      <c r="AC174" s="1632"/>
      <c r="AD174" s="1631"/>
      <c r="AE174" s="1632"/>
      <c r="AF174" s="1719"/>
      <c r="AG174" s="1632"/>
      <c r="AH174" s="1243"/>
      <c r="AI174" s="1248"/>
      <c r="AJ174" s="758"/>
      <c r="AK174" s="758"/>
      <c r="AL174" s="758"/>
      <c r="AM174" s="1625"/>
      <c r="AN174" s="1625"/>
      <c r="AO174" s="1625"/>
      <c r="AP174" s="1625"/>
      <c r="AQ174" s="1625"/>
      <c r="AR174" s="1625"/>
      <c r="AS174" s="1625"/>
      <c r="AT174" s="1625"/>
      <c r="AU174" s="1625"/>
      <c r="AV174" s="1626"/>
      <c r="AW174" s="1626"/>
      <c r="AX174" s="1626"/>
      <c r="AY174" s="1626"/>
      <c r="AZ174" s="1626"/>
      <c r="BA174" s="1626"/>
      <c r="BB174" s="1626"/>
      <c r="BC174" s="1626"/>
      <c r="BD174" s="1626"/>
      <c r="BE174" s="1626"/>
      <c r="BF174" s="1626"/>
      <c r="BG174" s="721"/>
      <c r="BH174" s="1626"/>
      <c r="BI174" s="1626"/>
      <c r="BJ174" s="1626"/>
      <c r="BK174" s="1626"/>
      <c r="BL174" s="1626"/>
      <c r="BM174" s="1626"/>
      <c r="BN174" s="758"/>
      <c r="BO174" s="721">
        <f t="shared" si="4"/>
        <v>0</v>
      </c>
      <c r="BP174" s="721"/>
      <c r="BQ174" s="721"/>
      <c r="BR174" s="721"/>
    </row>
    <row r="175" spans="1:70" s="686" customFormat="1" x14ac:dyDescent="0.2">
      <c r="A175" s="840">
        <v>82</v>
      </c>
      <c r="B175" s="1712">
        <v>82</v>
      </c>
      <c r="C175" s="1613"/>
      <c r="D175" s="1248" t="str">
        <f>IF(AND(C175="",C173&lt;&gt;""),"Enter Facility "&amp;TEXT(A175,0)&amp;" Name, then Fill in Columns "&amp;TEXT($H$2,0)&amp;" - "&amp;TEXT($AH$2,0)&amp;"       ","")</f>
        <v/>
      </c>
      <c r="E175" s="1245" t="str">
        <f>IF(AL175="N/A","",AL175)</f>
        <v/>
      </c>
      <c r="F175" s="758"/>
      <c r="G175" s="758"/>
      <c r="H175" s="1614"/>
      <c r="I175" s="758"/>
      <c r="J175" s="1615"/>
      <c r="K175" s="1248" t="str">
        <f>IF(E175&lt;&gt;"","Enter Street Address                   ","")</f>
        <v/>
      </c>
      <c r="L175" s="1615"/>
      <c r="M175" s="1248" t="str">
        <f>IF(E175&lt;&gt;"","Enter City Name       ","")</f>
        <v/>
      </c>
      <c r="N175" s="1613"/>
      <c r="O175" s="1248" t="str">
        <f>IF(E175&lt;&gt;"","Select from Pull-Down List   ","")</f>
        <v/>
      </c>
      <c r="P175" s="1616"/>
      <c r="Q175" s="1248" t="str">
        <f>IF($E175&lt;&gt;"","Enter ZIP Code       ","")</f>
        <v/>
      </c>
      <c r="R175" s="1617"/>
      <c r="S175" s="1618" t="str">
        <f>IF($E175&lt;&gt;"","Select from Pull-Down List  ","")</f>
        <v/>
      </c>
      <c r="T175" s="1617"/>
      <c r="U175" s="1618" t="str">
        <f>IF(AND($C175&lt;&gt;"",T175=""),"Select from Pull-Down List  ","")</f>
        <v/>
      </c>
      <c r="V175" s="1619"/>
      <c r="W175" s="1248" t="str">
        <f>IF(E175&lt;&gt;"","Year?   ","")</f>
        <v/>
      </c>
      <c r="X175" s="1247"/>
      <c r="Y175" s="1620" t="str">
        <f>IF(E175&lt;&gt;"","Sq. Feet?   ","")</f>
        <v/>
      </c>
      <c r="Z175" s="1621"/>
      <c r="AA175" s="1618" t="str">
        <f>IF($E175&lt;&gt;"","% of Cap Resp.","")</f>
        <v/>
      </c>
      <c r="AB175" s="1782" t="str">
        <f ca="1">IFERROR(IF(BK175="", "", IF(BK175&gt;100, 1, VLOOKUP(BK175, Valid!$W$1:$AA$101, VLOOKUP(T175, Codes!$G$7:$I$17, 3, FALSE), FALSE))), "")</f>
        <v/>
      </c>
      <c r="AC175" s="1618"/>
      <c r="AD175" s="1247"/>
      <c r="AE175" s="1620" t="str">
        <f>IF($E175&lt;&gt;"","Drop-Down    ","")</f>
        <v/>
      </c>
      <c r="AF175" s="1720"/>
      <c r="AG175" s="1620" t="b">
        <f>IF(E175&lt;&gt;"","Date?   ")</f>
        <v>0</v>
      </c>
      <c r="AH175" s="1613"/>
      <c r="AI175" s="1248" t="str">
        <f>IF(OR(T175="Other (describe in Notes)",T175="Dual Administrative and Maintenance Facility"),"Describe Facility                                                                                         ","")</f>
        <v/>
      </c>
      <c r="AJ175" s="1624"/>
      <c r="AK175" s="1624" t="b">
        <f>IF(AND(C175="",C177&lt;&gt;""),TRUE,FALSE)</f>
        <v>0</v>
      </c>
      <c r="AL175" s="1624" t="str">
        <f>IF(AND($C175&lt;&gt;"",OR($J175="",$L175="",$N175="",$P175="",$R175="",$T175="",$V175="",$X175="",$Z175="",$AD175="",$AF175="")),"No",IF(AND($C175="",OR($H175&lt;&gt;"",$J175&lt;&gt;"",$L175&lt;&gt;"",$N175&lt;&gt;"",$P175&lt;&gt;"",$R175&lt;&gt;"",$T175&lt;&gt;"",$V175&lt;&gt;"",$X175&lt;&gt;"",$Z175&lt;&gt;"",$AD175&lt;&gt;"",$AF175&lt;&gt;"")),"N",IF(AND($H175="",$C175="",$J175="",$L175="",$N175="",$P175="",$R175="",$T175="",$V175="",$X175="",$Z175="",$AD175="",$AF175=""),"N/A",IF(AND($C175&lt;&gt;"",$J175&lt;&gt;"",$L175&lt;&gt;"",$N175&lt;&gt;"",$P175&lt;&gt;"",$R175&lt;&gt;"",$T175&lt;&gt;"",$V175&lt;&gt;"",$X175&lt;&gt;"",$Z175&lt;&gt;"",$AD175&lt;&gt;"",$AF175&lt;&gt;""),"Yes",""))))</f>
        <v>N/A</v>
      </c>
      <c r="AM175" s="1625" t="b">
        <f ca="1">IF(AND($C175="",OR($J175&lt;&gt;"",$L175&lt;&gt;"",$N175&lt;&gt;"",$P175&lt;&gt;"",$R175&lt;&gt;"",$T175&lt;&gt;"",$V175&lt;&gt;"",$X175&lt;&gt;"",$Z175&lt;&gt;"",$AB175&lt;&gt;"",$AF175&lt;&gt;"")),TRUE,FALSE)</f>
        <v>0</v>
      </c>
      <c r="AN175" s="1625" t="b">
        <f>IF(AND($C175&lt;&gt;"",$J175=""),TRUE,FALSE)</f>
        <v>0</v>
      </c>
      <c r="AO175" s="1625" t="b">
        <f>IF(AND($C175&lt;&gt;"",$L175=""),TRUE,FALSE)</f>
        <v>0</v>
      </c>
      <c r="AP175" s="1625" t="b">
        <f>IF(AND($C175&lt;&gt;"",$N175=""),TRUE,FALSE)</f>
        <v>0</v>
      </c>
      <c r="AQ175" s="1625" t="b">
        <f>IF(AND($C175&lt;&gt;"",$P175=""),TRUE,FALSE)</f>
        <v>0</v>
      </c>
      <c r="AR175" s="1625" t="b">
        <f>IF(AND($C175&lt;&gt;"",$R175=""),TRUE,FALSE)</f>
        <v>0</v>
      </c>
      <c r="AS175" s="1625"/>
      <c r="AT175" s="1625" t="b">
        <f ca="1">IF(AND(T175="",OR(V175&lt;&gt;"",X175&lt;&gt;"",Z175&lt;&gt;"",AB175&lt;&gt;"",AF175&lt;&gt;"")),TRUE,FALSE)</f>
        <v>0</v>
      </c>
      <c r="AU175" s="1625" t="b">
        <f>IF(AND($C175&lt;&gt;"",$T175=""),TRUE,FALSE)</f>
        <v>0</v>
      </c>
      <c r="AV175" s="1625" t="b">
        <f>IF(V175="",FALSE,IF(T175="",FALSE,IF(AW175=TRUE,FALSE,IF(OR(V175&lt;BI175,V175&gt;BaseYear),TRUE,FALSE))))</f>
        <v>0</v>
      </c>
      <c r="AW175" s="1625" t="b">
        <f>IF(AND($C175&lt;&gt;"",$V175=""),TRUE,FALSE)</f>
        <v>0</v>
      </c>
      <c r="AX175" s="1625" t="b">
        <f>IF(X175="",FALSE,IF(T175="",FALSE,IF(AZ175=TRUE,FALSE,IF(X175&lt;BL175,TRUE,FALSE))))</f>
        <v>0</v>
      </c>
      <c r="AY175" s="1625" t="b">
        <f>IF(X175="",FALSE,IF(T175="",FALSE,IF(AZ175=TRUE,FALSE,IF(X175&gt;BM175,TRUE,FALSE))))</f>
        <v>0</v>
      </c>
      <c r="AZ175" s="1625" t="b">
        <f>IF(AND($C175&lt;&gt;"",$X175=""),TRUE,FALSE)</f>
        <v>0</v>
      </c>
      <c r="BA175" s="1626" t="b">
        <f>IF(BB175=TRUE,FALSE,IF(OR(Z175&lt;0,Z175&gt;1),TRUE,FALSE))</f>
        <v>0</v>
      </c>
      <c r="BB175" s="1625" t="b">
        <f>IF(AND($C175&lt;&gt;"",$Z175=""),TRUE,FALSE)</f>
        <v>0</v>
      </c>
      <c r="BC175" s="1626"/>
      <c r="BD175" s="1625" t="b">
        <f ca="1">IF(AND($C175&lt;&gt;"",$AB175=""),TRUE,FALSE)</f>
        <v>0</v>
      </c>
      <c r="BE175" s="1626" t="b">
        <f>IF(OR(AF175="", V175=""),FALSE,IF(COUNT(FIND({0,1,2,3,4,5,6,7,8,9}, AF175))=0, FALSE, IF(YEAR(AF175)&lt;V175, TRUE, FALSE)))</f>
        <v>0</v>
      </c>
      <c r="BF175" s="1625" t="b">
        <f>IF(AND($C175&lt;&gt;"",$AF175=""),TRUE,FALSE)</f>
        <v>0</v>
      </c>
      <c r="BG175" s="721"/>
      <c r="BH175" s="1625" t="str">
        <f>IF($T175="","",VLOOKUP($T175,val_facilities,BH$3,FALSE))</f>
        <v/>
      </c>
      <c r="BI175" s="1627" t="str">
        <f>IF($T175="","",VLOOKUP($T175,val_facilities,BI$3,FALSE))</f>
        <v/>
      </c>
      <c r="BJ175" s="1627" t="str">
        <f>IF($T175="","",VLOOKUP($T175,val_facilities,BJ$3,FALSE))</f>
        <v/>
      </c>
      <c r="BK175" s="1627" t="str">
        <f ca="1">IFERROR(IF(V175="", "", YEAR(TODAY())-V175), "")</f>
        <v/>
      </c>
      <c r="BL175" s="845" t="str">
        <f>IF($T175="","",VLOOKUP($T175,val_facilities,BL$3,FALSE))</f>
        <v/>
      </c>
      <c r="BM175" s="845" t="str">
        <f>IF($T175="","",VLOOKUP($T175,val_facilities,BM$3,FALSE))</f>
        <v/>
      </c>
      <c r="BN175" s="758"/>
      <c r="BO175" s="721">
        <f t="shared" si="4"/>
        <v>0</v>
      </c>
      <c r="BP175" s="816"/>
      <c r="BQ175" s="816"/>
      <c r="BR175" s="816"/>
    </row>
    <row r="176" spans="1:70" s="686" customFormat="1" ht="6.75" customHeight="1" thickBot="1" x14ac:dyDescent="0.25">
      <c r="A176" s="1638"/>
      <c r="B176" s="1712">
        <v>82.5</v>
      </c>
      <c r="C176" s="721"/>
      <c r="D176" s="1248"/>
      <c r="E176" s="816"/>
      <c r="F176" s="758"/>
      <c r="G176" s="758"/>
      <c r="H176" s="758"/>
      <c r="I176" s="758"/>
      <c r="J176" s="1633"/>
      <c r="K176" s="1248"/>
      <c r="L176" s="1634"/>
      <c r="M176" s="1248"/>
      <c r="N176" s="1634"/>
      <c r="O176" s="1248"/>
      <c r="P176" s="1635"/>
      <c r="Q176" s="1248"/>
      <c r="R176" s="1059"/>
      <c r="S176" s="1618"/>
      <c r="T176" s="1636"/>
      <c r="U176" s="1618"/>
      <c r="V176" s="1623"/>
      <c r="W176" s="1618"/>
      <c r="X176" s="722"/>
      <c r="Y176" s="723"/>
      <c r="Z176" s="724"/>
      <c r="AA176" s="723"/>
      <c r="AB176" s="722"/>
      <c r="AC176" s="723"/>
      <c r="AD176" s="722"/>
      <c r="AE176" s="723"/>
      <c r="AF176" s="1717"/>
      <c r="AG176" s="723"/>
      <c r="AH176" s="1637"/>
      <c r="AI176" s="1624"/>
      <c r="AJ176" s="1624"/>
      <c r="AK176" s="1624"/>
      <c r="AL176" s="1624"/>
      <c r="AM176" s="1625"/>
      <c r="AN176" s="1625"/>
      <c r="AO176" s="1625"/>
      <c r="AP176" s="1625"/>
      <c r="AQ176" s="1625"/>
      <c r="AR176" s="1625"/>
      <c r="AS176" s="1625"/>
      <c r="AT176" s="1625"/>
      <c r="AU176" s="1625"/>
      <c r="AV176" s="1626"/>
      <c r="AW176" s="1626"/>
      <c r="AX176" s="1626"/>
      <c r="AY176" s="1626"/>
      <c r="AZ176" s="1626"/>
      <c r="BA176" s="1626"/>
      <c r="BB176" s="1626"/>
      <c r="BC176" s="1626"/>
      <c r="BD176" s="1626"/>
      <c r="BE176" s="1626"/>
      <c r="BF176" s="1626"/>
      <c r="BG176" s="721"/>
      <c r="BH176" s="1626"/>
      <c r="BI176" s="1626"/>
      <c r="BJ176" s="1626"/>
      <c r="BK176" s="1626"/>
      <c r="BL176" s="1626"/>
      <c r="BM176" s="1626"/>
      <c r="BN176" s="758"/>
      <c r="BO176" s="721">
        <f t="shared" si="4"/>
        <v>0</v>
      </c>
      <c r="BP176" s="816"/>
      <c r="BQ176" s="816"/>
      <c r="BR176" s="816"/>
    </row>
    <row r="177" spans="1:70" s="816" customFormat="1" x14ac:dyDescent="0.2">
      <c r="A177" s="840">
        <v>83</v>
      </c>
      <c r="B177" s="1712">
        <v>83</v>
      </c>
      <c r="C177" s="1613"/>
      <c r="D177" s="1248" t="str">
        <f>IF(AND(C177="",C175&lt;&gt;""),"Enter Facility "&amp;TEXT(A177,0)&amp;" Name, then Fill in Columns "&amp;TEXT($H$2,0)&amp;" - "&amp;TEXT($AH$2,0)&amp;"       ","")</f>
        <v/>
      </c>
      <c r="E177" s="1245" t="str">
        <f>IF(AL177="N/A","",AL177)</f>
        <v/>
      </c>
      <c r="F177" s="758"/>
      <c r="G177" s="758"/>
      <c r="H177" s="1614"/>
      <c r="I177" s="758"/>
      <c r="J177" s="1615"/>
      <c r="K177" s="1248" t="str">
        <f>IF(E177&lt;&gt;"","Enter Street Address                   ","")</f>
        <v/>
      </c>
      <c r="L177" s="1615"/>
      <c r="M177" s="1248" t="str">
        <f>IF(E177&lt;&gt;"","Enter City Name       ","")</f>
        <v/>
      </c>
      <c r="N177" s="1613"/>
      <c r="O177" s="1248" t="str">
        <f>IF(E177&lt;&gt;"","Select from Pull-Down List   ","")</f>
        <v/>
      </c>
      <c r="P177" s="1616"/>
      <c r="Q177" s="1248" t="str">
        <f>IF($E177&lt;&gt;"","Enter ZIP Code       ","")</f>
        <v/>
      </c>
      <c r="R177" s="1617"/>
      <c r="S177" s="1618" t="str">
        <f>IF($E177&lt;&gt;"","Select from Pull-Down List  ","")</f>
        <v/>
      </c>
      <c r="T177" s="1617"/>
      <c r="U177" s="1618" t="str">
        <f>IF(AND($C177&lt;&gt;"",T177=""),"Select from Pull-Down List  ","")</f>
        <v/>
      </c>
      <c r="V177" s="1619"/>
      <c r="W177" s="1248" t="str">
        <f>IF(E177&lt;&gt;"","Year?   ","")</f>
        <v/>
      </c>
      <c r="X177" s="1247"/>
      <c r="Y177" s="1620" t="str">
        <f>IF(E177&lt;&gt;"","Sq. Feet?   ","")</f>
        <v/>
      </c>
      <c r="Z177" s="1621"/>
      <c r="AA177" s="1618" t="str">
        <f>IF($E177&lt;&gt;"","% of Cap Resp.","")</f>
        <v/>
      </c>
      <c r="AB177" s="1782" t="str">
        <f ca="1">IFERROR(IF(BK177="", "", IF(BK177&gt;100, 1, VLOOKUP(BK177, Valid!$W$1:$AA$101, VLOOKUP(T177, Codes!$G$7:$I$17, 3, FALSE), FALSE))), "")</f>
        <v/>
      </c>
      <c r="AC177" s="1618"/>
      <c r="AD177" s="1247"/>
      <c r="AE177" s="1620" t="str">
        <f>IF($E177&lt;&gt;"","Drop-Down    ","")</f>
        <v/>
      </c>
      <c r="AF177" s="1720"/>
      <c r="AG177" s="1620" t="b">
        <f>IF(E177&lt;&gt;"","Date?   ")</f>
        <v>0</v>
      </c>
      <c r="AH177" s="1613"/>
      <c r="AI177" s="1248" t="str">
        <f>IF(OR(T177="Other (describe in Notes)",T177="Dual Administrative and Maintenance Facility"),"Describe Facility                                                                                         ","")</f>
        <v/>
      </c>
      <c r="AJ177" s="1624"/>
      <c r="AK177" s="1624" t="b">
        <f>IF(AND(C177="",C179&lt;&gt;""),TRUE,FALSE)</f>
        <v>0</v>
      </c>
      <c r="AL177" s="1624" t="str">
        <f>IF(AND($C177&lt;&gt;"",OR($J177="",$L177="",$N177="",$P177="",$R177="",$T177="",$V177="",$X177="",$Z177="",$AD177="",$AF177="")),"No",IF(AND($C177="",OR($H177&lt;&gt;"",$J177&lt;&gt;"",$L177&lt;&gt;"",$N177&lt;&gt;"",$P177&lt;&gt;"",$R177&lt;&gt;"",$T177&lt;&gt;"",$V177&lt;&gt;"",$X177&lt;&gt;"",$Z177&lt;&gt;"",$AD177&lt;&gt;"",$AF177&lt;&gt;"")),"N",IF(AND($H177="",$C177="",$J177="",$L177="",$N177="",$P177="",$R177="",$T177="",$V177="",$X177="",$Z177="",$AD177="",$AF177=""),"N/A",IF(AND($C177&lt;&gt;"",$J177&lt;&gt;"",$L177&lt;&gt;"",$N177&lt;&gt;"",$P177&lt;&gt;"",$R177&lt;&gt;"",$T177&lt;&gt;"",$V177&lt;&gt;"",$X177&lt;&gt;"",$Z177&lt;&gt;"",$AD177&lt;&gt;"",$AF177&lt;&gt;""),"Yes",""))))</f>
        <v>N/A</v>
      </c>
      <c r="AM177" s="1625" t="b">
        <f ca="1">IF(AND($C177="",OR($J177&lt;&gt;"",$L177&lt;&gt;"",$N177&lt;&gt;"",$P177&lt;&gt;"",$R177&lt;&gt;"",$T177&lt;&gt;"",$V177&lt;&gt;"",$X177&lt;&gt;"",$Z177&lt;&gt;"",$AB177&lt;&gt;"",$AF177&lt;&gt;"")),TRUE,FALSE)</f>
        <v>0</v>
      </c>
      <c r="AN177" s="1625" t="b">
        <f>IF(AND($C177&lt;&gt;"",$J177=""),TRUE,FALSE)</f>
        <v>0</v>
      </c>
      <c r="AO177" s="1625" t="b">
        <f>IF(AND($C177&lt;&gt;"",$L177=""),TRUE,FALSE)</f>
        <v>0</v>
      </c>
      <c r="AP177" s="1625" t="b">
        <f>IF(AND($C177&lt;&gt;"",$N177=""),TRUE,FALSE)</f>
        <v>0</v>
      </c>
      <c r="AQ177" s="1625" t="b">
        <f>IF(AND($C177&lt;&gt;"",$P177=""),TRUE,FALSE)</f>
        <v>0</v>
      </c>
      <c r="AR177" s="1625" t="b">
        <f>IF(AND($C177&lt;&gt;"",$R177=""),TRUE,FALSE)</f>
        <v>0</v>
      </c>
      <c r="AS177" s="1625"/>
      <c r="AT177" s="1625" t="b">
        <f ca="1">IF(AND(T177="",OR(V177&lt;&gt;"",X177&lt;&gt;"",Z177&lt;&gt;"",AB177&lt;&gt;"",AF177&lt;&gt;"")),TRUE,FALSE)</f>
        <v>0</v>
      </c>
      <c r="AU177" s="1625" t="b">
        <f>IF(AND($C177&lt;&gt;"",$T177=""),TRUE,FALSE)</f>
        <v>0</v>
      </c>
      <c r="AV177" s="1625" t="b">
        <f>IF(V177="",FALSE,IF(T177="",FALSE,IF(AW177=TRUE,FALSE,IF(OR(V177&lt;BI177,V177&gt;BaseYear),TRUE,FALSE))))</f>
        <v>0</v>
      </c>
      <c r="AW177" s="1625" t="b">
        <f>IF(AND($C177&lt;&gt;"",$V177=""),TRUE,FALSE)</f>
        <v>0</v>
      </c>
      <c r="AX177" s="1625" t="b">
        <f>IF(X177="",FALSE,IF(T177="",FALSE,IF(AZ177=TRUE,FALSE,IF(X177&lt;BL177,TRUE,FALSE))))</f>
        <v>0</v>
      </c>
      <c r="AY177" s="1625" t="b">
        <f>IF(X177="",FALSE,IF(T177="",FALSE,IF(AZ177=TRUE,FALSE,IF(X177&gt;BM177,TRUE,FALSE))))</f>
        <v>0</v>
      </c>
      <c r="AZ177" s="1625" t="b">
        <f>IF(AND($C177&lt;&gt;"",$X177=""),TRUE,FALSE)</f>
        <v>0</v>
      </c>
      <c r="BA177" s="1626" t="b">
        <f>IF(BB177=TRUE,FALSE,IF(OR(Z177&lt;0,Z177&gt;1),TRUE,FALSE))</f>
        <v>0</v>
      </c>
      <c r="BB177" s="1625" t="b">
        <f>IF(AND($C177&lt;&gt;"",$Z177=""),TRUE,FALSE)</f>
        <v>0</v>
      </c>
      <c r="BC177" s="1626"/>
      <c r="BD177" s="1625" t="b">
        <f ca="1">IF(AND($C177&lt;&gt;"",$AB177=""),TRUE,FALSE)</f>
        <v>0</v>
      </c>
      <c r="BE177" s="1626" t="b">
        <f>IF(OR(AF177="", V177=""),FALSE,IF(COUNT(FIND({0,1,2,3,4,5,6,7,8,9}, AF177))=0, FALSE, IF(YEAR(AF177)&lt;V177, TRUE, FALSE)))</f>
        <v>0</v>
      </c>
      <c r="BF177" s="1625" t="b">
        <f>IF(AND($C177&lt;&gt;"",$AF177=""),TRUE,FALSE)</f>
        <v>0</v>
      </c>
      <c r="BG177" s="721"/>
      <c r="BH177" s="1625" t="str">
        <f>IF($T177="","",VLOOKUP($T177,val_facilities,BH$3,FALSE))</f>
        <v/>
      </c>
      <c r="BI177" s="1627" t="str">
        <f>IF($T177="","",VLOOKUP($T177,val_facilities,BI$3,FALSE))</f>
        <v/>
      </c>
      <c r="BJ177" s="1627" t="str">
        <f>IF($T177="","",VLOOKUP($T177,val_facilities,BJ$3,FALSE))</f>
        <v/>
      </c>
      <c r="BK177" s="1627" t="str">
        <f ca="1">IFERROR(IF(V177="", "", YEAR(TODAY())-V177), "")</f>
        <v/>
      </c>
      <c r="BL177" s="845" t="str">
        <f>IF($T177="","",VLOOKUP($T177,val_facilities,BL$3,FALSE))</f>
        <v/>
      </c>
      <c r="BM177" s="845" t="str">
        <f>IF($T177="","",VLOOKUP($T177,val_facilities,BM$3,FALSE))</f>
        <v/>
      </c>
      <c r="BN177" s="758"/>
      <c r="BO177" s="721">
        <f t="shared" si="4"/>
        <v>0</v>
      </c>
    </row>
    <row r="178" spans="1:70" s="816" customFormat="1" ht="6.75" customHeight="1" thickBot="1" x14ac:dyDescent="0.25">
      <c r="A178" s="840"/>
      <c r="B178" s="1712">
        <v>83.5</v>
      </c>
      <c r="C178" s="1057"/>
      <c r="D178" s="1248"/>
      <c r="E178" s="1057"/>
      <c r="F178" s="1229"/>
      <c r="G178" s="1229"/>
      <c r="H178" s="1229"/>
      <c r="I178" s="1229"/>
      <c r="J178" s="1604"/>
      <c r="K178" s="1640"/>
      <c r="L178" s="1641"/>
      <c r="M178" s="1248"/>
      <c r="N178" s="1641"/>
      <c r="O178" s="1248"/>
      <c r="P178" s="1642"/>
      <c r="Q178" s="1248"/>
      <c r="R178" s="1057"/>
      <c r="S178" s="1618"/>
      <c r="T178" s="1643"/>
      <c r="U178" s="1618"/>
      <c r="V178" s="1623"/>
      <c r="W178" s="1618"/>
      <c r="X178" s="733"/>
      <c r="Y178" s="1275"/>
      <c r="Z178" s="685"/>
      <c r="AA178" s="1275"/>
      <c r="AB178" s="733"/>
      <c r="AC178" s="1275"/>
      <c r="AD178" s="733"/>
      <c r="AE178" s="1275"/>
      <c r="AF178" s="1721"/>
      <c r="AG178" s="1275"/>
      <c r="AH178" s="1057"/>
      <c r="AI178" s="1644"/>
      <c r="AJ178" s="1644"/>
      <c r="AK178" s="1644"/>
      <c r="AL178" s="1644"/>
      <c r="AM178" s="1625"/>
      <c r="AN178" s="1625"/>
      <c r="AO178" s="1625"/>
      <c r="AP178" s="1625"/>
      <c r="AQ178" s="1625"/>
      <c r="AR178" s="848"/>
      <c r="AS178" s="848"/>
      <c r="AT178" s="848"/>
      <c r="AU178" s="848"/>
      <c r="AV178" s="848"/>
      <c r="AW178" s="848"/>
      <c r="AX178" s="848"/>
      <c r="AY178" s="848"/>
      <c r="AZ178" s="848"/>
      <c r="BA178" s="848"/>
      <c r="BB178" s="848"/>
      <c r="BC178" s="848"/>
      <c r="BD178" s="848"/>
      <c r="BE178" s="848"/>
      <c r="BF178" s="848"/>
      <c r="BG178" s="685"/>
      <c r="BH178" s="848"/>
      <c r="BI178" s="848"/>
      <c r="BJ178" s="848"/>
      <c r="BK178" s="848"/>
      <c r="BL178" s="848"/>
      <c r="BM178" s="848"/>
      <c r="BN178" s="1229"/>
      <c r="BO178" s="721">
        <f t="shared" si="4"/>
        <v>0</v>
      </c>
      <c r="BP178" s="686"/>
      <c r="BQ178" s="686"/>
      <c r="BR178" s="686"/>
    </row>
    <row r="179" spans="1:70" s="816" customFormat="1" x14ac:dyDescent="0.2">
      <c r="A179" s="840">
        <v>84</v>
      </c>
      <c r="B179" s="1712">
        <v>84</v>
      </c>
      <c r="C179" s="1613"/>
      <c r="D179" s="1248" t="str">
        <f>IF(AND(C179="",C177&lt;&gt;""),"Enter Facility "&amp;TEXT(A179,0)&amp;" Name, then Fill in Columns "&amp;TEXT($H$2,0)&amp;" - "&amp;TEXT($AH$2,0)&amp;"       ","")</f>
        <v/>
      </c>
      <c r="E179" s="1245" t="str">
        <f>IF(AL179="N/A","",AL179)</f>
        <v/>
      </c>
      <c r="F179" s="758"/>
      <c r="G179" s="758"/>
      <c r="H179" s="1614"/>
      <c r="I179" s="758"/>
      <c r="J179" s="1615"/>
      <c r="K179" s="1248" t="str">
        <f>IF(E179&lt;&gt;"","Enter Street Address                   ","")</f>
        <v/>
      </c>
      <c r="L179" s="1615"/>
      <c r="M179" s="1248" t="str">
        <f>IF(E179&lt;&gt;"","Enter City Name       ","")</f>
        <v/>
      </c>
      <c r="N179" s="1613"/>
      <c r="O179" s="1248" t="str">
        <f>IF(E179&lt;&gt;"","Select from Pull-Down List   ","")</f>
        <v/>
      </c>
      <c r="P179" s="1616"/>
      <c r="Q179" s="1248" t="str">
        <f>IF($E179&lt;&gt;"","Enter ZIP Code       ","")</f>
        <v/>
      </c>
      <c r="R179" s="1617"/>
      <c r="S179" s="1618" t="str">
        <f>IF($E179&lt;&gt;"","Select from Pull-Down List  ","")</f>
        <v/>
      </c>
      <c r="T179" s="1617"/>
      <c r="U179" s="1618" t="str">
        <f>IF(AND($C179&lt;&gt;"",T179=""),"Select from Pull-Down List  ","")</f>
        <v/>
      </c>
      <c r="V179" s="1619"/>
      <c r="W179" s="1248" t="str">
        <f>IF(E179&lt;&gt;"","Year?   ","")</f>
        <v/>
      </c>
      <c r="X179" s="1247"/>
      <c r="Y179" s="1620" t="str">
        <f>IF(E179&lt;&gt;"","Sq. Feet?   ","")</f>
        <v/>
      </c>
      <c r="Z179" s="1621"/>
      <c r="AA179" s="1618" t="str">
        <f>IF($E179&lt;&gt;"","% of Cap Resp.","")</f>
        <v/>
      </c>
      <c r="AB179" s="1782" t="str">
        <f ca="1">IFERROR(IF(BK179="", "", IF(BK179&gt;100, 1, VLOOKUP(BK179, Valid!$W$1:$AA$101, VLOOKUP(T179, Codes!$G$7:$I$17, 3, FALSE), FALSE))), "")</f>
        <v/>
      </c>
      <c r="AC179" s="1618"/>
      <c r="AD179" s="1247"/>
      <c r="AE179" s="1620" t="str">
        <f>IF($E179&lt;&gt;"","Drop-Down    ","")</f>
        <v/>
      </c>
      <c r="AF179" s="1720"/>
      <c r="AG179" s="1620" t="b">
        <f>IF(E179&lt;&gt;"","Date?   ")</f>
        <v>0</v>
      </c>
      <c r="AH179" s="1613"/>
      <c r="AI179" s="1248" t="str">
        <f>IF(OR(T179="Other (describe in Notes)",T179="Dual Administrative and Maintenance Facility"),"Describe Facility                                                                                         ","")</f>
        <v/>
      </c>
      <c r="AJ179" s="1624"/>
      <c r="AK179" s="1624" t="b">
        <f>IF(AND(C179="",C181&lt;&gt;""),TRUE,FALSE)</f>
        <v>0</v>
      </c>
      <c r="AL179" s="1624" t="str">
        <f>IF(AND($C179&lt;&gt;"",OR($J179="",$L179="",$N179="",$P179="",$R179="",$T179="",$V179="",$X179="",$Z179="",$AD179="",$AF179="")),"No",IF(AND($C179="",OR($H179&lt;&gt;"",$J179&lt;&gt;"",$L179&lt;&gt;"",$N179&lt;&gt;"",$P179&lt;&gt;"",$R179&lt;&gt;"",$T179&lt;&gt;"",$V179&lt;&gt;"",$X179&lt;&gt;"",$Z179&lt;&gt;"",$AD179&lt;&gt;"",$AF179&lt;&gt;"")),"N",IF(AND($H179="",$C179="",$J179="",$L179="",$N179="",$P179="",$R179="",$T179="",$V179="",$X179="",$Z179="",$AD179="",$AF179=""),"N/A",IF(AND($C179&lt;&gt;"",$J179&lt;&gt;"",$L179&lt;&gt;"",$N179&lt;&gt;"",$P179&lt;&gt;"",$R179&lt;&gt;"",$T179&lt;&gt;"",$V179&lt;&gt;"",$X179&lt;&gt;"",$Z179&lt;&gt;"",$AD179&lt;&gt;"",$AF179&lt;&gt;""),"Yes",""))))</f>
        <v>N/A</v>
      </c>
      <c r="AM179" s="1625" t="b">
        <f ca="1">IF(AND($C179="",OR($J179&lt;&gt;"",$L179&lt;&gt;"",$N179&lt;&gt;"",$P179&lt;&gt;"",$R179&lt;&gt;"",$T179&lt;&gt;"",$V179&lt;&gt;"",$X179&lt;&gt;"",$Z179&lt;&gt;"",$AB179&lt;&gt;"",$AF179&lt;&gt;"")),TRUE,FALSE)</f>
        <v>0</v>
      </c>
      <c r="AN179" s="1625" t="b">
        <f>IF(AND($C179&lt;&gt;"",$J179=""),TRUE,FALSE)</f>
        <v>0</v>
      </c>
      <c r="AO179" s="1625" t="b">
        <f>IF(AND($C179&lt;&gt;"",$L179=""),TRUE,FALSE)</f>
        <v>0</v>
      </c>
      <c r="AP179" s="1625" t="b">
        <f>IF(AND($C179&lt;&gt;"",$N179=""),TRUE,FALSE)</f>
        <v>0</v>
      </c>
      <c r="AQ179" s="1625" t="b">
        <f>IF(AND($C179&lt;&gt;"",$P179=""),TRUE,FALSE)</f>
        <v>0</v>
      </c>
      <c r="AR179" s="1625" t="b">
        <f>IF(AND($C179&lt;&gt;"",$R179=""),TRUE,FALSE)</f>
        <v>0</v>
      </c>
      <c r="AS179" s="1625"/>
      <c r="AT179" s="1625" t="b">
        <f ca="1">IF(AND(T179="",OR(V179&lt;&gt;"",X179&lt;&gt;"",Z179&lt;&gt;"",AB179&lt;&gt;"",AF179&lt;&gt;"")),TRUE,FALSE)</f>
        <v>0</v>
      </c>
      <c r="AU179" s="1625" t="b">
        <f>IF(AND($C179&lt;&gt;"",$T179=""),TRUE,FALSE)</f>
        <v>0</v>
      </c>
      <c r="AV179" s="1625" t="b">
        <f>IF(V179="",FALSE,IF(T179="",FALSE,IF(AW179=TRUE,FALSE,IF(OR(V179&lt;BI179,V179&gt;BaseYear),TRUE,FALSE))))</f>
        <v>0</v>
      </c>
      <c r="AW179" s="1625" t="b">
        <f>IF(AND($C179&lt;&gt;"",$V179=""),TRUE,FALSE)</f>
        <v>0</v>
      </c>
      <c r="AX179" s="1625" t="b">
        <f>IF(X179="",FALSE,IF(T179="",FALSE,IF(AZ179=TRUE,FALSE,IF(X179&lt;BL179,TRUE,FALSE))))</f>
        <v>0</v>
      </c>
      <c r="AY179" s="1625" t="b">
        <f>IF(X179="",FALSE,IF(T179="",FALSE,IF(AZ179=TRUE,FALSE,IF(X179&gt;BM179,TRUE,FALSE))))</f>
        <v>0</v>
      </c>
      <c r="AZ179" s="1625" t="b">
        <f>IF(AND($C179&lt;&gt;"",$X179=""),TRUE,FALSE)</f>
        <v>0</v>
      </c>
      <c r="BA179" s="1626" t="b">
        <f>IF(BB179=TRUE,FALSE,IF(OR(Z179&lt;0,Z179&gt;1),TRUE,FALSE))</f>
        <v>0</v>
      </c>
      <c r="BB179" s="1625" t="b">
        <f>IF(AND($C179&lt;&gt;"",$Z179=""),TRUE,FALSE)</f>
        <v>0</v>
      </c>
      <c r="BC179" s="1626"/>
      <c r="BD179" s="1625" t="b">
        <f ca="1">IF(AND($C179&lt;&gt;"",$AB179=""),TRUE,FALSE)</f>
        <v>0</v>
      </c>
      <c r="BE179" s="1626" t="b">
        <f>IF(OR(AF179="", V179=""),FALSE,IF(COUNT(FIND({0,1,2,3,4,5,6,7,8,9}, AF179))=0, FALSE, IF(YEAR(AF179)&lt;V179, TRUE, FALSE)))</f>
        <v>0</v>
      </c>
      <c r="BF179" s="1625" t="b">
        <f>IF(AND($C179&lt;&gt;"",$AF179=""),TRUE,FALSE)</f>
        <v>0</v>
      </c>
      <c r="BG179" s="721"/>
      <c r="BH179" s="1625" t="str">
        <f>IF($T179="","",VLOOKUP($T179,val_facilities,BH$3,FALSE))</f>
        <v/>
      </c>
      <c r="BI179" s="1627" t="str">
        <f>IF($T179="","",VLOOKUP($T179,val_facilities,BI$3,FALSE))</f>
        <v/>
      </c>
      <c r="BJ179" s="1627" t="str">
        <f>IF($T179="","",VLOOKUP($T179,val_facilities,BJ$3,FALSE))</f>
        <v/>
      </c>
      <c r="BK179" s="1627" t="str">
        <f ca="1">IFERROR(IF(V179="", "", YEAR(TODAY())-V179), "")</f>
        <v/>
      </c>
      <c r="BL179" s="845" t="str">
        <f>IF($T179="","",VLOOKUP($T179,val_facilities,BL$3,FALSE))</f>
        <v/>
      </c>
      <c r="BM179" s="845" t="str">
        <f>IF($T179="","",VLOOKUP($T179,val_facilities,BM$3,FALSE))</f>
        <v/>
      </c>
      <c r="BN179" s="758"/>
      <c r="BO179" s="721">
        <f t="shared" si="4"/>
        <v>0</v>
      </c>
    </row>
    <row r="180" spans="1:70" s="686" customFormat="1" ht="6.75" customHeight="1" thickBot="1" x14ac:dyDescent="0.25">
      <c r="A180" s="1638"/>
      <c r="B180" s="1712">
        <v>84.5</v>
      </c>
      <c r="C180" s="1057"/>
      <c r="D180" s="764"/>
      <c r="E180" s="1639"/>
      <c r="F180" s="1229"/>
      <c r="G180" s="1229"/>
      <c r="H180" s="1229"/>
      <c r="I180" s="1229"/>
      <c r="J180" s="1604"/>
      <c r="K180" s="1640"/>
      <c r="L180" s="1645"/>
      <c r="M180" s="1646"/>
      <c r="N180" s="1645"/>
      <c r="O180" s="1646"/>
      <c r="P180" s="1647"/>
      <c r="Q180" s="1646"/>
      <c r="R180" s="1057"/>
      <c r="S180" s="1618"/>
      <c r="T180" s="1643"/>
      <c r="U180" s="1618"/>
      <c r="V180" s="1623"/>
      <c r="W180" s="1618"/>
      <c r="X180" s="722"/>
      <c r="Y180" s="1648"/>
      <c r="Z180" s="841"/>
      <c r="AA180" s="1648"/>
      <c r="AB180" s="722"/>
      <c r="AC180" s="1648"/>
      <c r="AD180" s="722"/>
      <c r="AE180" s="1648"/>
      <c r="AF180" s="1717"/>
      <c r="AG180" s="1648"/>
      <c r="AH180" s="1057"/>
      <c r="AI180" s="1644"/>
      <c r="AJ180" s="1644"/>
      <c r="AK180" s="1644"/>
      <c r="AL180" s="1644"/>
      <c r="AM180" s="1625"/>
      <c r="AN180" s="1625"/>
      <c r="AO180" s="1625"/>
      <c r="AP180" s="1625"/>
      <c r="AQ180" s="1625"/>
      <c r="AR180" s="848"/>
      <c r="AS180" s="848"/>
      <c r="AT180" s="848"/>
      <c r="AU180" s="848"/>
      <c r="AV180" s="848"/>
      <c r="AW180" s="848"/>
      <c r="AX180" s="848"/>
      <c r="AY180" s="848"/>
      <c r="AZ180" s="848"/>
      <c r="BA180" s="848"/>
      <c r="BB180" s="848"/>
      <c r="BC180" s="848"/>
      <c r="BD180" s="848"/>
      <c r="BE180" s="848"/>
      <c r="BF180" s="848"/>
      <c r="BG180" s="685"/>
      <c r="BH180" s="848"/>
      <c r="BI180" s="848"/>
      <c r="BJ180" s="848"/>
      <c r="BK180" s="848"/>
      <c r="BL180" s="848"/>
      <c r="BM180" s="848"/>
      <c r="BN180" s="1229"/>
      <c r="BO180" s="721">
        <f t="shared" si="4"/>
        <v>0</v>
      </c>
    </row>
    <row r="181" spans="1:70" s="686" customFormat="1" x14ac:dyDescent="0.2">
      <c r="A181" s="840">
        <v>85</v>
      </c>
      <c r="B181" s="1712">
        <v>85</v>
      </c>
      <c r="C181" s="1613"/>
      <c r="D181" s="1248" t="str">
        <f>IF(AND(C181="",C179&lt;&gt;""),"Enter Facility "&amp;TEXT(A181,0)&amp;" Name, then Fill in Columns "&amp;TEXT($H$2,0)&amp;" - "&amp;TEXT($AH$2,0)&amp;"       ","")</f>
        <v/>
      </c>
      <c r="E181" s="1245" t="str">
        <f>IF(AL181="N/A","",AL181)</f>
        <v/>
      </c>
      <c r="F181" s="758"/>
      <c r="G181" s="758"/>
      <c r="H181" s="1614"/>
      <c r="I181" s="758"/>
      <c r="J181" s="1615"/>
      <c r="K181" s="1248" t="str">
        <f>IF(E181&lt;&gt;"","Enter Street Address                   ","")</f>
        <v/>
      </c>
      <c r="L181" s="1615"/>
      <c r="M181" s="1248" t="str">
        <f>IF(E181&lt;&gt;"","Enter City Name       ","")</f>
        <v/>
      </c>
      <c r="N181" s="1613"/>
      <c r="O181" s="1248" t="str">
        <f>IF(E181&lt;&gt;"","Select from Pull-Down List   ","")</f>
        <v/>
      </c>
      <c r="P181" s="1616"/>
      <c r="Q181" s="1248" t="str">
        <f>IF($E181&lt;&gt;"","Enter ZIP Code       ","")</f>
        <v/>
      </c>
      <c r="R181" s="1617"/>
      <c r="S181" s="1618" t="str">
        <f>IF($E181&lt;&gt;"","Select from Pull-Down List  ","")</f>
        <v/>
      </c>
      <c r="T181" s="1617"/>
      <c r="U181" s="1618" t="str">
        <f>IF(AND($C181&lt;&gt;"",T181=""),"Select from Pull-Down List  ","")</f>
        <v/>
      </c>
      <c r="V181" s="1619"/>
      <c r="W181" s="1248" t="str">
        <f>IF(E181&lt;&gt;"","Year?   ","")</f>
        <v/>
      </c>
      <c r="X181" s="1247"/>
      <c r="Y181" s="1620" t="str">
        <f>IF(E181&lt;&gt;"","Sq. Feet?   ","")</f>
        <v/>
      </c>
      <c r="Z181" s="1621"/>
      <c r="AA181" s="1618" t="str">
        <f>IF($E181&lt;&gt;"","% of Cap Resp.","")</f>
        <v/>
      </c>
      <c r="AB181" s="1782" t="str">
        <f ca="1">IFERROR(IF(BK181="", "", IF(BK181&gt;100, 1, VLOOKUP(BK181, Valid!$W$1:$AA$101, VLOOKUP(T181, Codes!$G$7:$I$17, 3, FALSE), FALSE))), "")</f>
        <v/>
      </c>
      <c r="AC181" s="1618"/>
      <c r="AD181" s="1247"/>
      <c r="AE181" s="1620" t="str">
        <f>IF($E181&lt;&gt;"","Drop-Down    ","")</f>
        <v/>
      </c>
      <c r="AF181" s="1720"/>
      <c r="AG181" s="1620" t="b">
        <f>IF(E181&lt;&gt;"","Date?   ")</f>
        <v>0</v>
      </c>
      <c r="AH181" s="1613"/>
      <c r="AI181" s="1248" t="str">
        <f>IF(OR(T181="Other (describe in Notes)",T181="Dual Administrative and Maintenance Facility"),"Describe Facility                                                                                         ","")</f>
        <v/>
      </c>
      <c r="AJ181" s="1624"/>
      <c r="AK181" s="1624" t="b">
        <f>IF(AND(C181="",C183&lt;&gt;""),TRUE,FALSE)</f>
        <v>0</v>
      </c>
      <c r="AL181" s="1624" t="str">
        <f>IF(AND($C181&lt;&gt;"",OR($J181="",$L181="",$N181="",$P181="",$R181="",$T181="",$V181="",$X181="",$Z181="",$AD181="",$AF181="")),"No",IF(AND($C181="",OR($H181&lt;&gt;"",$J181&lt;&gt;"",$L181&lt;&gt;"",$N181&lt;&gt;"",$P181&lt;&gt;"",$R181&lt;&gt;"",$T181&lt;&gt;"",$V181&lt;&gt;"",$X181&lt;&gt;"",$Z181&lt;&gt;"",$AD181&lt;&gt;"",$AF181&lt;&gt;"")),"N",IF(AND($H181="",$C181="",$J181="",$L181="",$N181="",$P181="",$R181="",$T181="",$V181="",$X181="",$Z181="",$AD181="",$AF181=""),"N/A",IF(AND($C181&lt;&gt;"",$J181&lt;&gt;"",$L181&lt;&gt;"",$N181&lt;&gt;"",$P181&lt;&gt;"",$R181&lt;&gt;"",$T181&lt;&gt;"",$V181&lt;&gt;"",$X181&lt;&gt;"",$Z181&lt;&gt;"",$AD181&lt;&gt;"",$AF181&lt;&gt;""),"Yes",""))))</f>
        <v>N/A</v>
      </c>
      <c r="AM181" s="1625" t="b">
        <f ca="1">IF(AND($C181="",OR($J181&lt;&gt;"",$L181&lt;&gt;"",$N181&lt;&gt;"",$P181&lt;&gt;"",$R181&lt;&gt;"",$T181&lt;&gt;"",$V181&lt;&gt;"",$X181&lt;&gt;"",$Z181&lt;&gt;"",$AB181&lt;&gt;"",$AF181&lt;&gt;"")),TRUE,FALSE)</f>
        <v>0</v>
      </c>
      <c r="AN181" s="1625" t="b">
        <f>IF(AND($C181&lt;&gt;"",$J181=""),TRUE,FALSE)</f>
        <v>0</v>
      </c>
      <c r="AO181" s="1625" t="b">
        <f>IF(AND($C181&lt;&gt;"",$L181=""),TRUE,FALSE)</f>
        <v>0</v>
      </c>
      <c r="AP181" s="1625" t="b">
        <f>IF(AND($C181&lt;&gt;"",$N181=""),TRUE,FALSE)</f>
        <v>0</v>
      </c>
      <c r="AQ181" s="1625" t="b">
        <f>IF(AND($C181&lt;&gt;"",$P181=""),TRUE,FALSE)</f>
        <v>0</v>
      </c>
      <c r="AR181" s="1625" t="b">
        <f>IF(AND($C181&lt;&gt;"",$R181=""),TRUE,FALSE)</f>
        <v>0</v>
      </c>
      <c r="AS181" s="1625"/>
      <c r="AT181" s="1625" t="b">
        <f ca="1">IF(AND(T181="",OR(V181&lt;&gt;"",X181&lt;&gt;"",Z181&lt;&gt;"",AB181&lt;&gt;"",AF181&lt;&gt;"")),TRUE,FALSE)</f>
        <v>0</v>
      </c>
      <c r="AU181" s="1625" t="b">
        <f>IF(AND($C181&lt;&gt;"",$T181=""),TRUE,FALSE)</f>
        <v>0</v>
      </c>
      <c r="AV181" s="1625" t="b">
        <f>IF(V181="",FALSE,IF(T181="",FALSE,IF(AW181=TRUE,FALSE,IF(OR(V181&lt;BI181,V181&gt;BaseYear),TRUE,FALSE))))</f>
        <v>0</v>
      </c>
      <c r="AW181" s="1625" t="b">
        <f>IF(AND($C181&lt;&gt;"",$V181=""),TRUE,FALSE)</f>
        <v>0</v>
      </c>
      <c r="AX181" s="1625" t="b">
        <f>IF(X181="",FALSE,IF(T181="",FALSE,IF(AZ181=TRUE,FALSE,IF(X181&lt;BL181,TRUE,FALSE))))</f>
        <v>0</v>
      </c>
      <c r="AY181" s="1625" t="b">
        <f>IF(X181="",FALSE,IF(T181="",FALSE,IF(AZ181=TRUE,FALSE,IF(X181&gt;BM181,TRUE,FALSE))))</f>
        <v>0</v>
      </c>
      <c r="AZ181" s="1625" t="b">
        <f>IF(AND($C181&lt;&gt;"",$X181=""),TRUE,FALSE)</f>
        <v>0</v>
      </c>
      <c r="BA181" s="1626" t="b">
        <f>IF(BB181=TRUE,FALSE,IF(OR(Z181&lt;0,Z181&gt;1),TRUE,FALSE))</f>
        <v>0</v>
      </c>
      <c r="BB181" s="1625" t="b">
        <f>IF(AND($C181&lt;&gt;"",$Z181=""),TRUE,FALSE)</f>
        <v>0</v>
      </c>
      <c r="BC181" s="1626"/>
      <c r="BD181" s="1625" t="b">
        <f ca="1">IF(AND($C181&lt;&gt;"",$AB181=""),TRUE,FALSE)</f>
        <v>0</v>
      </c>
      <c r="BE181" s="1626" t="b">
        <f>IF(OR(AF181="", V181=""),FALSE,IF(COUNT(FIND({0,1,2,3,4,5,6,7,8,9}, AF181))=0, FALSE, IF(YEAR(AF181)&lt;V181, TRUE, FALSE)))</f>
        <v>0</v>
      </c>
      <c r="BF181" s="1625" t="b">
        <f>IF(AND($C181&lt;&gt;"",$AF181=""),TRUE,FALSE)</f>
        <v>0</v>
      </c>
      <c r="BG181" s="721"/>
      <c r="BH181" s="1625" t="str">
        <f>IF($T181="","",VLOOKUP($T181,val_facilities,BH$3,FALSE))</f>
        <v/>
      </c>
      <c r="BI181" s="1627" t="str">
        <f>IF($T181="","",VLOOKUP($T181,val_facilities,BI$3,FALSE))</f>
        <v/>
      </c>
      <c r="BJ181" s="1627" t="str">
        <f>IF($T181="","",VLOOKUP($T181,val_facilities,BJ$3,FALSE))</f>
        <v/>
      </c>
      <c r="BK181" s="1627" t="str">
        <f ca="1">IFERROR(IF(V181="", "", YEAR(TODAY())-V181), "")</f>
        <v/>
      </c>
      <c r="BL181" s="845" t="str">
        <f>IF($T181="","",VLOOKUP($T181,val_facilities,BL$3,FALSE))</f>
        <v/>
      </c>
      <c r="BM181" s="845" t="str">
        <f>IF($T181="","",VLOOKUP($T181,val_facilities,BM$3,FALSE))</f>
        <v/>
      </c>
      <c r="BN181" s="758"/>
      <c r="BO181" s="721">
        <f t="shared" si="4"/>
        <v>0</v>
      </c>
      <c r="BP181" s="816"/>
      <c r="BQ181" s="816"/>
      <c r="BR181" s="816"/>
    </row>
    <row r="182" spans="1:70" s="686" customFormat="1" ht="6.75" customHeight="1" thickBot="1" x14ac:dyDescent="0.25">
      <c r="A182" s="1638"/>
      <c r="B182" s="1712">
        <v>85.5</v>
      </c>
      <c r="C182" s="1057"/>
      <c r="D182" s="1248"/>
      <c r="E182" s="1057"/>
      <c r="F182" s="1229"/>
      <c r="G182" s="1229"/>
      <c r="H182" s="1229"/>
      <c r="I182" s="1229"/>
      <c r="J182" s="1604"/>
      <c r="K182" s="1229"/>
      <c r="L182" s="1605"/>
      <c r="M182" s="1644"/>
      <c r="N182" s="1605"/>
      <c r="O182" s="1644"/>
      <c r="P182" s="1606"/>
      <c r="Q182" s="1644"/>
      <c r="R182" s="1057"/>
      <c r="S182" s="1623"/>
      <c r="T182" s="1643"/>
      <c r="U182" s="1623"/>
      <c r="V182" s="1623"/>
      <c r="W182" s="1623"/>
      <c r="X182" s="722"/>
      <c r="Y182" s="841"/>
      <c r="Z182" s="841"/>
      <c r="AA182" s="841"/>
      <c r="AB182" s="722"/>
      <c r="AC182" s="841"/>
      <c r="AD182" s="722"/>
      <c r="AE182" s="841"/>
      <c r="AF182" s="1717"/>
      <c r="AG182" s="841"/>
      <c r="AH182" s="1057"/>
      <c r="AI182" s="1644"/>
      <c r="AJ182" s="1644"/>
      <c r="AK182" s="1644"/>
      <c r="AL182" s="1644"/>
      <c r="AM182" s="1625"/>
      <c r="AN182" s="1625"/>
      <c r="AO182" s="1625"/>
      <c r="AP182" s="1625"/>
      <c r="AQ182" s="1625"/>
      <c r="AR182" s="848"/>
      <c r="AS182" s="848"/>
      <c r="AT182" s="848"/>
      <c r="AU182" s="848"/>
      <c r="AV182" s="848"/>
      <c r="AW182" s="848"/>
      <c r="AX182" s="848"/>
      <c r="AY182" s="848"/>
      <c r="AZ182" s="848"/>
      <c r="BA182" s="848"/>
      <c r="BB182" s="848"/>
      <c r="BC182" s="848"/>
      <c r="BD182" s="848"/>
      <c r="BE182" s="848"/>
      <c r="BF182" s="848"/>
      <c r="BG182" s="685"/>
      <c r="BH182" s="848"/>
      <c r="BI182" s="848"/>
      <c r="BJ182" s="848"/>
      <c r="BK182" s="848"/>
      <c r="BL182" s="848"/>
      <c r="BM182" s="848"/>
      <c r="BN182" s="1229"/>
      <c r="BO182" s="721">
        <f t="shared" si="4"/>
        <v>0</v>
      </c>
    </row>
    <row r="183" spans="1:70" s="686" customFormat="1" x14ac:dyDescent="0.2">
      <c r="A183" s="840">
        <v>86</v>
      </c>
      <c r="B183" s="1712">
        <v>86</v>
      </c>
      <c r="C183" s="1613"/>
      <c r="D183" s="1248" t="str">
        <f>IF(AND(C183="",C181&lt;&gt;""),"Enter Facility "&amp;TEXT(A183,0)&amp;" Name, then Fill in Columns "&amp;TEXT($H$2,0)&amp;" - "&amp;TEXT($AH$2,0)&amp;"       ","")</f>
        <v/>
      </c>
      <c r="E183" s="1245" t="str">
        <f>IF(AL183="N/A","",AL183)</f>
        <v/>
      </c>
      <c r="F183" s="758"/>
      <c r="G183" s="758"/>
      <c r="H183" s="1614"/>
      <c r="I183" s="758"/>
      <c r="J183" s="1615"/>
      <c r="K183" s="1248" t="str">
        <f>IF(E183&lt;&gt;"","Enter Street Address                   ","")</f>
        <v/>
      </c>
      <c r="L183" s="1615"/>
      <c r="M183" s="1248" t="str">
        <f>IF(E183&lt;&gt;"","Enter City Name       ","")</f>
        <v/>
      </c>
      <c r="N183" s="1613"/>
      <c r="O183" s="1248" t="str">
        <f>IF(E183&lt;&gt;"","Select from Pull-Down List   ","")</f>
        <v/>
      </c>
      <c r="P183" s="1616"/>
      <c r="Q183" s="1248" t="str">
        <f>IF($E183&lt;&gt;"","Enter ZIP Code       ","")</f>
        <v/>
      </c>
      <c r="R183" s="1617"/>
      <c r="S183" s="1618" t="str">
        <f>IF($E183&lt;&gt;"","Select from Pull-Down List  ","")</f>
        <v/>
      </c>
      <c r="T183" s="1617"/>
      <c r="U183" s="1618" t="str">
        <f>IF(AND($C183&lt;&gt;"",T183=""),"Select from Pull-Down List  ","")</f>
        <v/>
      </c>
      <c r="V183" s="1619"/>
      <c r="W183" s="1248" t="str">
        <f>IF(E183&lt;&gt;"","Year?   ","")</f>
        <v/>
      </c>
      <c r="X183" s="1247"/>
      <c r="Y183" s="1620" t="str">
        <f>IF(E183&lt;&gt;"","Sq. Feet?   ","")</f>
        <v/>
      </c>
      <c r="Z183" s="1621"/>
      <c r="AA183" s="1618" t="str">
        <f>IF($E183&lt;&gt;"","% of Cap Resp.","")</f>
        <v/>
      </c>
      <c r="AB183" s="1782" t="str">
        <f ca="1">IFERROR(IF(BK183="", "", IF(BK183&gt;100, 1, VLOOKUP(BK183, Valid!$W$1:$AA$101, VLOOKUP(T183, Codes!$G$7:$I$17, 3, FALSE), FALSE))), "")</f>
        <v/>
      </c>
      <c r="AC183" s="1618"/>
      <c r="AD183" s="1247"/>
      <c r="AE183" s="1620" t="str">
        <f>IF($E183&lt;&gt;"","Drop-Down    ","")</f>
        <v/>
      </c>
      <c r="AF183" s="1720"/>
      <c r="AG183" s="1620" t="b">
        <f>IF(E183&lt;&gt;"","Date?   ")</f>
        <v>0</v>
      </c>
      <c r="AH183" s="1613"/>
      <c r="AI183" s="1248" t="str">
        <f>IF(OR(T183="Other (describe in Notes)",T183="Dual Administrative and Maintenance Facility"),"Describe Facility                                                                                         ","")</f>
        <v/>
      </c>
      <c r="AJ183" s="1624"/>
      <c r="AK183" s="1624" t="b">
        <f>IF(AND(C183="",C185&lt;&gt;""),TRUE,FALSE)</f>
        <v>0</v>
      </c>
      <c r="AL183" s="1624" t="str">
        <f>IF(AND($C183&lt;&gt;"",OR($J183="",$L183="",$N183="",$P183="",$R183="",$T183="",$V183="",$X183="",$Z183="",$AD183="",$AF183="")),"No",IF(AND($C183="",OR($H183&lt;&gt;"",$J183&lt;&gt;"",$L183&lt;&gt;"",$N183&lt;&gt;"",$P183&lt;&gt;"",$R183&lt;&gt;"",$T183&lt;&gt;"",$V183&lt;&gt;"",$X183&lt;&gt;"",$Z183&lt;&gt;"",$AD183&lt;&gt;"",$AF183&lt;&gt;"")),"N",IF(AND($H183="",$C183="",$J183="",$L183="",$N183="",$P183="",$R183="",$T183="",$V183="",$X183="",$Z183="",$AD183="",$AF183=""),"N/A",IF(AND($C183&lt;&gt;"",$J183&lt;&gt;"",$L183&lt;&gt;"",$N183&lt;&gt;"",$P183&lt;&gt;"",$R183&lt;&gt;"",$T183&lt;&gt;"",$V183&lt;&gt;"",$X183&lt;&gt;"",$Z183&lt;&gt;"",$AD183&lt;&gt;"",$AF183&lt;&gt;""),"Yes",""))))</f>
        <v>N/A</v>
      </c>
      <c r="AM183" s="1625" t="b">
        <f ca="1">IF(AND($C183="",OR($J183&lt;&gt;"",$L183&lt;&gt;"",$N183&lt;&gt;"",$P183&lt;&gt;"",$R183&lt;&gt;"",$T183&lt;&gt;"",$V183&lt;&gt;"",$X183&lt;&gt;"",$Z183&lt;&gt;"",$AB183&lt;&gt;"",$AF183&lt;&gt;"")),TRUE,FALSE)</f>
        <v>0</v>
      </c>
      <c r="AN183" s="1625" t="b">
        <f>IF(AND($C183&lt;&gt;"",$J183=""),TRUE,FALSE)</f>
        <v>0</v>
      </c>
      <c r="AO183" s="1625" t="b">
        <f>IF(AND($C183&lt;&gt;"",$L183=""),TRUE,FALSE)</f>
        <v>0</v>
      </c>
      <c r="AP183" s="1625" t="b">
        <f>IF(AND($C183&lt;&gt;"",$N183=""),TRUE,FALSE)</f>
        <v>0</v>
      </c>
      <c r="AQ183" s="1625" t="b">
        <f>IF(AND($C183&lt;&gt;"",$P183=""),TRUE,FALSE)</f>
        <v>0</v>
      </c>
      <c r="AR183" s="1625" t="b">
        <f>IF(AND($C183&lt;&gt;"",$R183=""),TRUE,FALSE)</f>
        <v>0</v>
      </c>
      <c r="AS183" s="1625"/>
      <c r="AT183" s="1625" t="b">
        <f ca="1">IF(AND(T183="",OR(V183&lt;&gt;"",X183&lt;&gt;"",Z183&lt;&gt;"",AB183&lt;&gt;"",AF183&lt;&gt;"")),TRUE,FALSE)</f>
        <v>0</v>
      </c>
      <c r="AU183" s="1625" t="b">
        <f>IF(AND($C183&lt;&gt;"",$T183=""),TRUE,FALSE)</f>
        <v>0</v>
      </c>
      <c r="AV183" s="1625" t="b">
        <f>IF(V183="",FALSE,IF(T183="",FALSE,IF(AW183=TRUE,FALSE,IF(OR(V183&lt;BI183,V183&gt;BaseYear),TRUE,FALSE))))</f>
        <v>0</v>
      </c>
      <c r="AW183" s="1625" t="b">
        <f>IF(AND($C183&lt;&gt;"",$V183=""),TRUE,FALSE)</f>
        <v>0</v>
      </c>
      <c r="AX183" s="1625" t="b">
        <f>IF(X183="",FALSE,IF(T183="",FALSE,IF(AZ183=TRUE,FALSE,IF(X183&lt;BL183,TRUE,FALSE))))</f>
        <v>0</v>
      </c>
      <c r="AY183" s="1625" t="b">
        <f>IF(X183="",FALSE,IF(T183="",FALSE,IF(AZ183=TRUE,FALSE,IF(X183&gt;BM183,TRUE,FALSE))))</f>
        <v>0</v>
      </c>
      <c r="AZ183" s="1625" t="b">
        <f>IF(AND($C183&lt;&gt;"",$X183=""),TRUE,FALSE)</f>
        <v>0</v>
      </c>
      <c r="BA183" s="1626" t="b">
        <f>IF(BB183=TRUE,FALSE,IF(OR(Z183&lt;0,Z183&gt;1),TRUE,FALSE))</f>
        <v>0</v>
      </c>
      <c r="BB183" s="1625" t="b">
        <f>IF(AND($C183&lt;&gt;"",$Z183=""),TRUE,FALSE)</f>
        <v>0</v>
      </c>
      <c r="BC183" s="1626"/>
      <c r="BD183" s="1625" t="b">
        <f ca="1">IF(AND($C183&lt;&gt;"",$AB183=""),TRUE,FALSE)</f>
        <v>0</v>
      </c>
      <c r="BE183" s="1626" t="b">
        <f>IF(OR(AF183="", V183=""),FALSE,IF(COUNT(FIND({0,1,2,3,4,5,6,7,8,9}, AF183))=0, FALSE, IF(YEAR(AF183)&lt;V183, TRUE, FALSE)))</f>
        <v>0</v>
      </c>
      <c r="BF183" s="1625" t="b">
        <f>IF(AND($C183&lt;&gt;"",$AF183=""),TRUE,FALSE)</f>
        <v>0</v>
      </c>
      <c r="BG183" s="721"/>
      <c r="BH183" s="1625" t="str">
        <f>IF($T183="","",VLOOKUP($T183,val_facilities,BH$3,FALSE))</f>
        <v/>
      </c>
      <c r="BI183" s="1627" t="str">
        <f>IF($T183="","",VLOOKUP($T183,val_facilities,BI$3,FALSE))</f>
        <v/>
      </c>
      <c r="BJ183" s="1627" t="str">
        <f>IF($T183="","",VLOOKUP($T183,val_facilities,BJ$3,FALSE))</f>
        <v/>
      </c>
      <c r="BK183" s="1627" t="str">
        <f ca="1">IFERROR(IF(V183="", "", YEAR(TODAY())-V183), "")</f>
        <v/>
      </c>
      <c r="BL183" s="845" t="str">
        <f>IF($T183="","",VLOOKUP($T183,val_facilities,BL$3,FALSE))</f>
        <v/>
      </c>
      <c r="BM183" s="845" t="str">
        <f>IF($T183="","",VLOOKUP($T183,val_facilities,BM$3,FALSE))</f>
        <v/>
      </c>
      <c r="BN183" s="758"/>
      <c r="BO183" s="721">
        <f t="shared" si="4"/>
        <v>0</v>
      </c>
      <c r="BP183" s="816"/>
      <c r="BQ183" s="816"/>
      <c r="BR183" s="816"/>
    </row>
    <row r="184" spans="1:70" s="686" customFormat="1" ht="6.75" customHeight="1" thickBot="1" x14ac:dyDescent="0.25">
      <c r="A184" s="1638"/>
      <c r="B184" s="1712">
        <v>86.5</v>
      </c>
      <c r="C184" s="721"/>
      <c r="D184" s="1248"/>
      <c r="E184" s="816"/>
      <c r="F184" s="758"/>
      <c r="G184" s="758"/>
      <c r="H184" s="758"/>
      <c r="I184" s="758"/>
      <c r="J184" s="1633"/>
      <c r="K184" s="1248"/>
      <c r="L184" s="1634"/>
      <c r="M184" s="1248"/>
      <c r="N184" s="1634"/>
      <c r="O184" s="1248"/>
      <c r="P184" s="1635"/>
      <c r="Q184" s="1248"/>
      <c r="R184" s="1059"/>
      <c r="S184" s="1618"/>
      <c r="T184" s="1636"/>
      <c r="U184" s="1618"/>
      <c r="V184" s="1623"/>
      <c r="W184" s="1618"/>
      <c r="X184" s="722"/>
      <c r="Y184" s="723"/>
      <c r="Z184" s="724"/>
      <c r="AA184" s="723"/>
      <c r="AB184" s="722"/>
      <c r="AC184" s="723"/>
      <c r="AD184" s="722"/>
      <c r="AE184" s="723"/>
      <c r="AF184" s="1717"/>
      <c r="AG184" s="723"/>
      <c r="AH184" s="1637"/>
      <c r="AI184" s="1624"/>
      <c r="AJ184" s="1624"/>
      <c r="AK184" s="1624"/>
      <c r="AL184" s="1624"/>
      <c r="AM184" s="1625"/>
      <c r="AN184" s="1625"/>
      <c r="AO184" s="1625"/>
      <c r="AP184" s="1625"/>
      <c r="AQ184" s="1625"/>
      <c r="AR184" s="1625"/>
      <c r="AS184" s="1625"/>
      <c r="AT184" s="1625"/>
      <c r="AU184" s="1625"/>
      <c r="AV184" s="1626"/>
      <c r="AW184" s="1626"/>
      <c r="AX184" s="1626"/>
      <c r="AY184" s="1626"/>
      <c r="AZ184" s="1626"/>
      <c r="BA184" s="1626"/>
      <c r="BB184" s="1626"/>
      <c r="BC184" s="1626"/>
      <c r="BD184" s="1626"/>
      <c r="BE184" s="1626"/>
      <c r="BF184" s="1626"/>
      <c r="BG184" s="721"/>
      <c r="BH184" s="1626"/>
      <c r="BI184" s="1626"/>
      <c r="BJ184" s="1626"/>
      <c r="BK184" s="1626"/>
      <c r="BL184" s="1626"/>
      <c r="BM184" s="1626"/>
      <c r="BN184" s="758"/>
      <c r="BO184" s="721">
        <f t="shared" si="4"/>
        <v>0</v>
      </c>
      <c r="BP184" s="816"/>
      <c r="BQ184" s="816"/>
      <c r="BR184" s="816"/>
    </row>
    <row r="185" spans="1:70" s="816" customFormat="1" x14ac:dyDescent="0.2">
      <c r="A185" s="840">
        <v>87</v>
      </c>
      <c r="B185" s="1712">
        <v>87</v>
      </c>
      <c r="C185" s="1613"/>
      <c r="D185" s="1248" t="str">
        <f>IF(AND(C185="",C183&lt;&gt;""),"Enter Facility "&amp;TEXT(A185,0)&amp;" Name, then Fill in Columns "&amp;TEXT($H$2,0)&amp;" - "&amp;TEXT($AH$2,0)&amp;"       ","")</f>
        <v/>
      </c>
      <c r="E185" s="1245" t="str">
        <f>IF(AL185="N/A","",AL185)</f>
        <v/>
      </c>
      <c r="F185" s="758"/>
      <c r="G185" s="758"/>
      <c r="H185" s="1614"/>
      <c r="I185" s="758"/>
      <c r="J185" s="1615"/>
      <c r="K185" s="1248" t="str">
        <f>IF(E185&lt;&gt;"","Enter Street Address                   ","")</f>
        <v/>
      </c>
      <c r="L185" s="1615"/>
      <c r="M185" s="1248" t="str">
        <f>IF(E185&lt;&gt;"","Enter City Name       ","")</f>
        <v/>
      </c>
      <c r="N185" s="1613"/>
      <c r="O185" s="1248" t="str">
        <f>IF(E185&lt;&gt;"","Select from Pull-Down List   ","")</f>
        <v/>
      </c>
      <c r="P185" s="1616"/>
      <c r="Q185" s="1248" t="str">
        <f>IF($E185&lt;&gt;"","Enter ZIP Code       ","")</f>
        <v/>
      </c>
      <c r="R185" s="1617"/>
      <c r="S185" s="1618" t="str">
        <f>IF($E185&lt;&gt;"","Select from Pull-Down List  ","")</f>
        <v/>
      </c>
      <c r="T185" s="1617"/>
      <c r="U185" s="1618" t="str">
        <f>IF(AND($C185&lt;&gt;"",T185=""),"Select from Pull-Down List  ","")</f>
        <v/>
      </c>
      <c r="V185" s="1619"/>
      <c r="W185" s="1248" t="str">
        <f>IF(E185&lt;&gt;"","Year?   ","")</f>
        <v/>
      </c>
      <c r="X185" s="1247"/>
      <c r="Y185" s="1620" t="str">
        <f>IF(E185&lt;&gt;"","Sq. Feet?   ","")</f>
        <v/>
      </c>
      <c r="Z185" s="1621"/>
      <c r="AA185" s="1618" t="str">
        <f>IF($E185&lt;&gt;"","% of Cap Resp.","")</f>
        <v/>
      </c>
      <c r="AB185" s="1782" t="str">
        <f ca="1">IFERROR(IF(BK185="", "", IF(BK185&gt;100, 1, VLOOKUP(BK185, Valid!$W$1:$AA$101, VLOOKUP(T185, Codes!$G$7:$I$17, 3, FALSE), FALSE))), "")</f>
        <v/>
      </c>
      <c r="AC185" s="1618"/>
      <c r="AD185" s="1247"/>
      <c r="AE185" s="1620" t="str">
        <f>IF($E185&lt;&gt;"","Drop-Down    ","")</f>
        <v/>
      </c>
      <c r="AF185" s="1720"/>
      <c r="AG185" s="1620" t="b">
        <f>IF(E185&lt;&gt;"","Date?   ")</f>
        <v>0</v>
      </c>
      <c r="AH185" s="1613"/>
      <c r="AI185" s="1248" t="str">
        <f>IF(OR(T185="Other (describe in Notes)",T185="Dual Administrative and Maintenance Facility"),"Describe Facility                                                                                         ","")</f>
        <v/>
      </c>
      <c r="AJ185" s="1624"/>
      <c r="AK185" s="1624" t="b">
        <f>IF(AND(C185="",C187&lt;&gt;""),TRUE,FALSE)</f>
        <v>0</v>
      </c>
      <c r="AL185" s="1624" t="str">
        <f>IF(AND($C185&lt;&gt;"",OR($J185="",$L185="",$N185="",$P185="",$R185="",$T185="",$V185="",$X185="",$Z185="",$AD185="",$AF185="")),"No",IF(AND($C185="",OR($H185&lt;&gt;"",$J185&lt;&gt;"",$L185&lt;&gt;"",$N185&lt;&gt;"",$P185&lt;&gt;"",$R185&lt;&gt;"",$T185&lt;&gt;"",$V185&lt;&gt;"",$X185&lt;&gt;"",$Z185&lt;&gt;"",$AD185&lt;&gt;"",$AF185&lt;&gt;"")),"N",IF(AND($H185="",$C185="",$J185="",$L185="",$N185="",$P185="",$R185="",$T185="",$V185="",$X185="",$Z185="",$AD185="",$AF185=""),"N/A",IF(AND($C185&lt;&gt;"",$J185&lt;&gt;"",$L185&lt;&gt;"",$N185&lt;&gt;"",$P185&lt;&gt;"",$R185&lt;&gt;"",$T185&lt;&gt;"",$V185&lt;&gt;"",$X185&lt;&gt;"",$Z185&lt;&gt;"",$AD185&lt;&gt;"",$AF185&lt;&gt;""),"Yes",""))))</f>
        <v>N/A</v>
      </c>
      <c r="AM185" s="1625" t="b">
        <f ca="1">IF(AND($C185="",OR($J185&lt;&gt;"",$L185&lt;&gt;"",$N185&lt;&gt;"",$P185&lt;&gt;"",$R185&lt;&gt;"",$T185&lt;&gt;"",$V185&lt;&gt;"",$X185&lt;&gt;"",$Z185&lt;&gt;"",$AB185&lt;&gt;"",$AF185&lt;&gt;"")),TRUE,FALSE)</f>
        <v>0</v>
      </c>
      <c r="AN185" s="1625" t="b">
        <f>IF(AND($C185&lt;&gt;"",$J185=""),TRUE,FALSE)</f>
        <v>0</v>
      </c>
      <c r="AO185" s="1625" t="b">
        <f>IF(AND($C185&lt;&gt;"",$L185=""),TRUE,FALSE)</f>
        <v>0</v>
      </c>
      <c r="AP185" s="1625" t="b">
        <f>IF(AND($C185&lt;&gt;"",$N185=""),TRUE,FALSE)</f>
        <v>0</v>
      </c>
      <c r="AQ185" s="1625" t="b">
        <f>IF(AND($C185&lt;&gt;"",$P185=""),TRUE,FALSE)</f>
        <v>0</v>
      </c>
      <c r="AR185" s="1625" t="b">
        <f>IF(AND($C185&lt;&gt;"",$R185=""),TRUE,FALSE)</f>
        <v>0</v>
      </c>
      <c r="AS185" s="1625"/>
      <c r="AT185" s="1625" t="b">
        <f ca="1">IF(AND(T185="",OR(V185&lt;&gt;"",X185&lt;&gt;"",Z185&lt;&gt;"",AB185&lt;&gt;"",AF185&lt;&gt;"")),TRUE,FALSE)</f>
        <v>0</v>
      </c>
      <c r="AU185" s="1625" t="b">
        <f>IF(AND($C185&lt;&gt;"",$T185=""),TRUE,FALSE)</f>
        <v>0</v>
      </c>
      <c r="AV185" s="1625" t="b">
        <f>IF(V185="",FALSE,IF(T185="",FALSE,IF(AW185=TRUE,FALSE,IF(OR(V185&lt;BI185,V185&gt;BaseYear),TRUE,FALSE))))</f>
        <v>0</v>
      </c>
      <c r="AW185" s="1625" t="b">
        <f>IF(AND($C185&lt;&gt;"",$V185=""),TRUE,FALSE)</f>
        <v>0</v>
      </c>
      <c r="AX185" s="1625" t="b">
        <f>IF(X185="",FALSE,IF(T185="",FALSE,IF(AZ185=TRUE,FALSE,IF(X185&lt;BL185,TRUE,FALSE))))</f>
        <v>0</v>
      </c>
      <c r="AY185" s="1625" t="b">
        <f>IF(X185="",FALSE,IF(T185="",FALSE,IF(AZ185=TRUE,FALSE,IF(X185&gt;BM185,TRUE,FALSE))))</f>
        <v>0</v>
      </c>
      <c r="AZ185" s="1625" t="b">
        <f>IF(AND($C185&lt;&gt;"",$X185=""),TRUE,FALSE)</f>
        <v>0</v>
      </c>
      <c r="BA185" s="1626" t="b">
        <f>IF(BB185=TRUE,FALSE,IF(OR(Z185&lt;0,Z185&gt;1),TRUE,FALSE))</f>
        <v>0</v>
      </c>
      <c r="BB185" s="1625" t="b">
        <f>IF(AND($C185&lt;&gt;"",$Z185=""),TRUE,FALSE)</f>
        <v>0</v>
      </c>
      <c r="BC185" s="1626"/>
      <c r="BD185" s="1625" t="b">
        <f ca="1">IF(AND($C185&lt;&gt;"",$AB185=""),TRUE,FALSE)</f>
        <v>0</v>
      </c>
      <c r="BE185" s="1626" t="b">
        <f>IF(OR(AF185="", V185=""),FALSE,IF(COUNT(FIND({0,1,2,3,4,5,6,7,8,9}, AF185))=0, FALSE, IF(YEAR(AF185)&lt;V185, TRUE, FALSE)))</f>
        <v>0</v>
      </c>
      <c r="BF185" s="1625" t="b">
        <f>IF(AND($C185&lt;&gt;"",$AF185=""),TRUE,FALSE)</f>
        <v>0</v>
      </c>
      <c r="BG185" s="721"/>
      <c r="BH185" s="1625" t="str">
        <f>IF($T185="","",VLOOKUP($T185,val_facilities,BH$3,FALSE))</f>
        <v/>
      </c>
      <c r="BI185" s="1627" t="str">
        <f>IF($T185="","",VLOOKUP($T185,val_facilities,BI$3,FALSE))</f>
        <v/>
      </c>
      <c r="BJ185" s="1627" t="str">
        <f>IF($T185="","",VLOOKUP($T185,val_facilities,BJ$3,FALSE))</f>
        <v/>
      </c>
      <c r="BK185" s="1627" t="str">
        <f ca="1">IFERROR(IF(V185="", "", YEAR(TODAY())-V185), "")</f>
        <v/>
      </c>
      <c r="BL185" s="845" t="str">
        <f>IF($T185="","",VLOOKUP($T185,val_facilities,BL$3,FALSE))</f>
        <v/>
      </c>
      <c r="BM185" s="845" t="str">
        <f>IF($T185="","",VLOOKUP($T185,val_facilities,BM$3,FALSE))</f>
        <v/>
      </c>
      <c r="BN185" s="758"/>
      <c r="BO185" s="721">
        <f t="shared" si="4"/>
        <v>0</v>
      </c>
    </row>
    <row r="186" spans="1:70" s="816" customFormat="1" ht="6.75" customHeight="1" thickBot="1" x14ac:dyDescent="0.25">
      <c r="A186" s="840"/>
      <c r="B186" s="1712">
        <v>87.5</v>
      </c>
      <c r="C186" s="1057"/>
      <c r="D186" s="1248"/>
      <c r="E186" s="1057"/>
      <c r="F186" s="1229"/>
      <c r="G186" s="1229"/>
      <c r="H186" s="1229"/>
      <c r="I186" s="1229"/>
      <c r="J186" s="1604"/>
      <c r="K186" s="1640"/>
      <c r="L186" s="1641"/>
      <c r="M186" s="1248"/>
      <c r="N186" s="1641"/>
      <c r="O186" s="1248"/>
      <c r="P186" s="1642"/>
      <c r="Q186" s="1248"/>
      <c r="R186" s="1057"/>
      <c r="S186" s="1618"/>
      <c r="T186" s="1643"/>
      <c r="U186" s="1618"/>
      <c r="V186" s="1623"/>
      <c r="W186" s="1618"/>
      <c r="X186" s="733"/>
      <c r="Y186" s="1275"/>
      <c r="Z186" s="685"/>
      <c r="AA186" s="1275"/>
      <c r="AB186" s="733"/>
      <c r="AC186" s="1275"/>
      <c r="AD186" s="733"/>
      <c r="AE186" s="1275"/>
      <c r="AF186" s="1721"/>
      <c r="AG186" s="1275"/>
      <c r="AH186" s="1057"/>
      <c r="AI186" s="1644"/>
      <c r="AJ186" s="1644"/>
      <c r="AK186" s="1644"/>
      <c r="AL186" s="1644"/>
      <c r="AM186" s="1625"/>
      <c r="AN186" s="1625"/>
      <c r="AO186" s="1625"/>
      <c r="AP186" s="1625"/>
      <c r="AQ186" s="1625"/>
      <c r="AR186" s="848"/>
      <c r="AS186" s="848"/>
      <c r="AT186" s="848"/>
      <c r="AU186" s="848"/>
      <c r="AV186" s="848"/>
      <c r="AW186" s="848"/>
      <c r="AX186" s="848"/>
      <c r="AY186" s="848"/>
      <c r="AZ186" s="848"/>
      <c r="BA186" s="848"/>
      <c r="BB186" s="848"/>
      <c r="BC186" s="848"/>
      <c r="BD186" s="848"/>
      <c r="BE186" s="848"/>
      <c r="BF186" s="848"/>
      <c r="BG186" s="685"/>
      <c r="BH186" s="848"/>
      <c r="BI186" s="848"/>
      <c r="BJ186" s="848"/>
      <c r="BK186" s="848"/>
      <c r="BL186" s="848"/>
      <c r="BM186" s="848"/>
      <c r="BN186" s="1229"/>
      <c r="BO186" s="721">
        <f t="shared" si="4"/>
        <v>0</v>
      </c>
      <c r="BP186" s="686"/>
      <c r="BQ186" s="686"/>
      <c r="BR186" s="686"/>
    </row>
    <row r="187" spans="1:70" s="816" customFormat="1" x14ac:dyDescent="0.2">
      <c r="A187" s="840">
        <v>88</v>
      </c>
      <c r="B187" s="1712">
        <v>88</v>
      </c>
      <c r="C187" s="1613"/>
      <c r="D187" s="1248" t="str">
        <f>IF(AND(C187="",C185&lt;&gt;""),"Enter Facility "&amp;TEXT(A187,0)&amp;" Name, then Fill in Columns "&amp;TEXT($H$2,0)&amp;" - "&amp;TEXT($AH$2,0)&amp;"       ","")</f>
        <v/>
      </c>
      <c r="E187" s="1245" t="str">
        <f>IF(AL187="N/A","",AL187)</f>
        <v/>
      </c>
      <c r="F187" s="758"/>
      <c r="G187" s="758"/>
      <c r="H187" s="1614"/>
      <c r="I187" s="758"/>
      <c r="J187" s="1615"/>
      <c r="K187" s="1248" t="str">
        <f>IF(E187&lt;&gt;"","Enter Street Address                   ","")</f>
        <v/>
      </c>
      <c r="L187" s="1615"/>
      <c r="M187" s="1248" t="str">
        <f>IF(E187&lt;&gt;"","Enter City Name       ","")</f>
        <v/>
      </c>
      <c r="N187" s="1613"/>
      <c r="O187" s="1248" t="str">
        <f>IF(E187&lt;&gt;"","Select from Pull-Down List   ","")</f>
        <v/>
      </c>
      <c r="P187" s="1616"/>
      <c r="Q187" s="1248" t="str">
        <f>IF($E187&lt;&gt;"","Enter ZIP Code       ","")</f>
        <v/>
      </c>
      <c r="R187" s="1617"/>
      <c r="S187" s="1618" t="str">
        <f>IF($E187&lt;&gt;"","Select from Pull-Down List  ","")</f>
        <v/>
      </c>
      <c r="T187" s="1617"/>
      <c r="U187" s="1618" t="str">
        <f>IF(AND($C187&lt;&gt;"",T187=""),"Select from Pull-Down List  ","")</f>
        <v/>
      </c>
      <c r="V187" s="1619"/>
      <c r="W187" s="1248" t="str">
        <f>IF(E187&lt;&gt;"","Year?   ","")</f>
        <v/>
      </c>
      <c r="X187" s="1247"/>
      <c r="Y187" s="1620" t="str">
        <f>IF(E187&lt;&gt;"","Sq. Feet?   ","")</f>
        <v/>
      </c>
      <c r="Z187" s="1621"/>
      <c r="AA187" s="1618" t="str">
        <f>IF($E187&lt;&gt;"","% of Cap Resp.","")</f>
        <v/>
      </c>
      <c r="AB187" s="1782" t="str">
        <f ca="1">IFERROR(IF(BK187="", "", IF(BK187&gt;100, 1, VLOOKUP(BK187, Valid!$W$1:$AA$101, VLOOKUP(T187, Codes!$G$7:$I$17, 3, FALSE), FALSE))), "")</f>
        <v/>
      </c>
      <c r="AC187" s="1618"/>
      <c r="AD187" s="1247"/>
      <c r="AE187" s="1620" t="str">
        <f>IF($E187&lt;&gt;"","Drop-Down    ","")</f>
        <v/>
      </c>
      <c r="AF187" s="1720"/>
      <c r="AG187" s="1620" t="b">
        <f>IF(E187&lt;&gt;"","Date?   ")</f>
        <v>0</v>
      </c>
      <c r="AH187" s="1613"/>
      <c r="AI187" s="1248" t="str">
        <f>IF(OR(T187="Other (describe in Notes)",T187="Dual Administrative and Maintenance Facility"),"Describe Facility                                                                                         ","")</f>
        <v/>
      </c>
      <c r="AJ187" s="1624"/>
      <c r="AK187" s="1624" t="b">
        <f>IF(AND(C187="",C189&lt;&gt;""),TRUE,FALSE)</f>
        <v>0</v>
      </c>
      <c r="AL187" s="1624" t="str">
        <f>IF(AND($C187&lt;&gt;"",OR($J187="",$L187="",$N187="",$P187="",$R187="",$T187="",$V187="",$X187="",$Z187="",$AD187="",$AF187="")),"No",IF(AND($C187="",OR($H187&lt;&gt;"",$J187&lt;&gt;"",$L187&lt;&gt;"",$N187&lt;&gt;"",$P187&lt;&gt;"",$R187&lt;&gt;"",$T187&lt;&gt;"",$V187&lt;&gt;"",$X187&lt;&gt;"",$Z187&lt;&gt;"",$AD187&lt;&gt;"",$AF187&lt;&gt;"")),"N",IF(AND($H187="",$C187="",$J187="",$L187="",$N187="",$P187="",$R187="",$T187="",$V187="",$X187="",$Z187="",$AD187="",$AF187=""),"N/A",IF(AND($C187&lt;&gt;"",$J187&lt;&gt;"",$L187&lt;&gt;"",$N187&lt;&gt;"",$P187&lt;&gt;"",$R187&lt;&gt;"",$T187&lt;&gt;"",$V187&lt;&gt;"",$X187&lt;&gt;"",$Z187&lt;&gt;"",$AD187&lt;&gt;"",$AF187&lt;&gt;""),"Yes",""))))</f>
        <v>N/A</v>
      </c>
      <c r="AM187" s="1625" t="b">
        <f ca="1">IF(AND($C187="",OR($J187&lt;&gt;"",$L187&lt;&gt;"",$N187&lt;&gt;"",$P187&lt;&gt;"",$R187&lt;&gt;"",$T187&lt;&gt;"",$V187&lt;&gt;"",$X187&lt;&gt;"",$Z187&lt;&gt;"",$AB187&lt;&gt;"",$AF187&lt;&gt;"")),TRUE,FALSE)</f>
        <v>0</v>
      </c>
      <c r="AN187" s="1625" t="b">
        <f>IF(AND($C187&lt;&gt;"",$J187=""),TRUE,FALSE)</f>
        <v>0</v>
      </c>
      <c r="AO187" s="1625" t="b">
        <f>IF(AND($C187&lt;&gt;"",$L187=""),TRUE,FALSE)</f>
        <v>0</v>
      </c>
      <c r="AP187" s="1625" t="b">
        <f>IF(AND($C187&lt;&gt;"",$N187=""),TRUE,FALSE)</f>
        <v>0</v>
      </c>
      <c r="AQ187" s="1625" t="b">
        <f>IF(AND($C187&lt;&gt;"",$P187=""),TRUE,FALSE)</f>
        <v>0</v>
      </c>
      <c r="AR187" s="1625" t="b">
        <f>IF(AND($C187&lt;&gt;"",$R187=""),TRUE,FALSE)</f>
        <v>0</v>
      </c>
      <c r="AS187" s="1625"/>
      <c r="AT187" s="1625" t="b">
        <f ca="1">IF(AND(T187="",OR(V187&lt;&gt;"",X187&lt;&gt;"",Z187&lt;&gt;"",AB187&lt;&gt;"",AF187&lt;&gt;"")),TRUE,FALSE)</f>
        <v>0</v>
      </c>
      <c r="AU187" s="1625" t="b">
        <f>IF(AND($C187&lt;&gt;"",$T187=""),TRUE,FALSE)</f>
        <v>0</v>
      </c>
      <c r="AV187" s="1625" t="b">
        <f>IF(V187="",FALSE,IF(T187="",FALSE,IF(AW187=TRUE,FALSE,IF(OR(V187&lt;BI187,V187&gt;BaseYear),TRUE,FALSE))))</f>
        <v>0</v>
      </c>
      <c r="AW187" s="1625" t="b">
        <f>IF(AND($C187&lt;&gt;"",$V187=""),TRUE,FALSE)</f>
        <v>0</v>
      </c>
      <c r="AX187" s="1625" t="b">
        <f>IF(X187="",FALSE,IF(T187="",FALSE,IF(AZ187=TRUE,FALSE,IF(X187&lt;BL187,TRUE,FALSE))))</f>
        <v>0</v>
      </c>
      <c r="AY187" s="1625" t="b">
        <f>IF(X187="",FALSE,IF(T187="",FALSE,IF(AZ187=TRUE,FALSE,IF(X187&gt;BM187,TRUE,FALSE))))</f>
        <v>0</v>
      </c>
      <c r="AZ187" s="1625" t="b">
        <f>IF(AND($C187&lt;&gt;"",$X187=""),TRUE,FALSE)</f>
        <v>0</v>
      </c>
      <c r="BA187" s="1626" t="b">
        <f>IF(BB187=TRUE,FALSE,IF(OR(Z187&lt;0,Z187&gt;1),TRUE,FALSE))</f>
        <v>0</v>
      </c>
      <c r="BB187" s="1625" t="b">
        <f>IF(AND($C187&lt;&gt;"",$Z187=""),TRUE,FALSE)</f>
        <v>0</v>
      </c>
      <c r="BC187" s="1626"/>
      <c r="BD187" s="1625" t="b">
        <f ca="1">IF(AND($C187&lt;&gt;"",$AB187=""),TRUE,FALSE)</f>
        <v>0</v>
      </c>
      <c r="BE187" s="1626" t="b">
        <f>IF(OR(AF187="", V187=""),FALSE,IF(COUNT(FIND({0,1,2,3,4,5,6,7,8,9}, AF187))=0, FALSE, IF(YEAR(AF187)&lt;V187, TRUE, FALSE)))</f>
        <v>0</v>
      </c>
      <c r="BF187" s="1625" t="b">
        <f>IF(AND($C187&lt;&gt;"",$AF187=""),TRUE,FALSE)</f>
        <v>0</v>
      </c>
      <c r="BG187" s="721"/>
      <c r="BH187" s="1625" t="str">
        <f>IF($T187="","",VLOOKUP($T187,val_facilities,BH$3,FALSE))</f>
        <v/>
      </c>
      <c r="BI187" s="1627" t="str">
        <f>IF($T187="","",VLOOKUP($T187,val_facilities,BI$3,FALSE))</f>
        <v/>
      </c>
      <c r="BJ187" s="1627" t="str">
        <f>IF($T187="","",VLOOKUP($T187,val_facilities,BJ$3,FALSE))</f>
        <v/>
      </c>
      <c r="BK187" s="1627" t="str">
        <f ca="1">IFERROR(IF(V187="", "", YEAR(TODAY())-V187), "")</f>
        <v/>
      </c>
      <c r="BL187" s="845" t="str">
        <f>IF($T187="","",VLOOKUP($T187,val_facilities,BL$3,FALSE))</f>
        <v/>
      </c>
      <c r="BM187" s="845" t="str">
        <f>IF($T187="","",VLOOKUP($T187,val_facilities,BM$3,FALSE))</f>
        <v/>
      </c>
      <c r="BN187" s="758"/>
      <c r="BO187" s="721">
        <f t="shared" si="4"/>
        <v>0</v>
      </c>
    </row>
    <row r="188" spans="1:70" s="686" customFormat="1" ht="6.75" customHeight="1" thickBot="1" x14ac:dyDescent="0.25">
      <c r="A188" s="1638"/>
      <c r="B188" s="1712">
        <v>88.5</v>
      </c>
      <c r="C188" s="1057"/>
      <c r="D188" s="764"/>
      <c r="E188" s="1639"/>
      <c r="F188" s="1229"/>
      <c r="G188" s="1229"/>
      <c r="H188" s="1229"/>
      <c r="I188" s="1229"/>
      <c r="J188" s="1604"/>
      <c r="K188" s="1640"/>
      <c r="L188" s="1645"/>
      <c r="M188" s="1646"/>
      <c r="N188" s="1645"/>
      <c r="O188" s="1646"/>
      <c r="P188" s="1647"/>
      <c r="Q188" s="1646"/>
      <c r="R188" s="1057"/>
      <c r="S188" s="1618"/>
      <c r="T188" s="1643"/>
      <c r="U188" s="1618"/>
      <c r="V188" s="1623"/>
      <c r="W188" s="1618"/>
      <c r="X188" s="722"/>
      <c r="Y188" s="1648"/>
      <c r="Z188" s="841"/>
      <c r="AA188" s="1648"/>
      <c r="AB188" s="722"/>
      <c r="AC188" s="1648"/>
      <c r="AD188" s="722"/>
      <c r="AE188" s="1648"/>
      <c r="AF188" s="1717"/>
      <c r="AG188" s="1648"/>
      <c r="AH188" s="1057"/>
      <c r="AI188" s="1644"/>
      <c r="AJ188" s="1644"/>
      <c r="AK188" s="1644"/>
      <c r="AL188" s="1644"/>
      <c r="AM188" s="1625"/>
      <c r="AN188" s="1625"/>
      <c r="AO188" s="1625"/>
      <c r="AP188" s="1625"/>
      <c r="AQ188" s="1625"/>
      <c r="AR188" s="848"/>
      <c r="AS188" s="848"/>
      <c r="AT188" s="848"/>
      <c r="AU188" s="848"/>
      <c r="AV188" s="848"/>
      <c r="AW188" s="848"/>
      <c r="AX188" s="848"/>
      <c r="AY188" s="848"/>
      <c r="AZ188" s="848"/>
      <c r="BA188" s="848"/>
      <c r="BB188" s="848"/>
      <c r="BC188" s="848"/>
      <c r="BD188" s="848"/>
      <c r="BE188" s="848"/>
      <c r="BF188" s="848"/>
      <c r="BG188" s="685"/>
      <c r="BH188" s="848"/>
      <c r="BI188" s="848"/>
      <c r="BJ188" s="848"/>
      <c r="BK188" s="848"/>
      <c r="BL188" s="848"/>
      <c r="BM188" s="848"/>
      <c r="BN188" s="1229"/>
      <c r="BO188" s="721">
        <f t="shared" si="4"/>
        <v>0</v>
      </c>
    </row>
    <row r="189" spans="1:70" s="686" customFormat="1" x14ac:dyDescent="0.2">
      <c r="A189" s="840">
        <v>89</v>
      </c>
      <c r="B189" s="1712">
        <v>89</v>
      </c>
      <c r="C189" s="1613"/>
      <c r="D189" s="1248" t="str">
        <f>IF(AND(C189="",C187&lt;&gt;""),"Enter Facility "&amp;TEXT(A189,0)&amp;" Name, then Fill in Columns "&amp;TEXT($H$2,0)&amp;" - "&amp;TEXT($AH$2,0)&amp;"       ","")</f>
        <v/>
      </c>
      <c r="E189" s="1245" t="str">
        <f>IF(AL189="N/A","",AL189)</f>
        <v/>
      </c>
      <c r="F189" s="758"/>
      <c r="G189" s="758"/>
      <c r="H189" s="1614"/>
      <c r="I189" s="758"/>
      <c r="J189" s="1615"/>
      <c r="K189" s="1248" t="str">
        <f>IF(E189&lt;&gt;"","Enter Street Address                   ","")</f>
        <v/>
      </c>
      <c r="L189" s="1615"/>
      <c r="M189" s="1248" t="str">
        <f>IF(E189&lt;&gt;"","Enter City Name       ","")</f>
        <v/>
      </c>
      <c r="N189" s="1613"/>
      <c r="O189" s="1248" t="str">
        <f>IF(E189&lt;&gt;"","Select from Pull-Down List   ","")</f>
        <v/>
      </c>
      <c r="P189" s="1616"/>
      <c r="Q189" s="1248" t="str">
        <f>IF($E189&lt;&gt;"","Enter ZIP Code       ","")</f>
        <v/>
      </c>
      <c r="R189" s="1617"/>
      <c r="S189" s="1618" t="str">
        <f>IF($E189&lt;&gt;"","Select from Pull-Down List  ","")</f>
        <v/>
      </c>
      <c r="T189" s="1617"/>
      <c r="U189" s="1618" t="str">
        <f>IF(AND($C189&lt;&gt;"",T189=""),"Select from Pull-Down List  ","")</f>
        <v/>
      </c>
      <c r="V189" s="1619"/>
      <c r="W189" s="1248" t="str">
        <f>IF(E189&lt;&gt;"","Year?   ","")</f>
        <v/>
      </c>
      <c r="X189" s="1247"/>
      <c r="Y189" s="1620" t="str">
        <f>IF(E189&lt;&gt;"","Sq. Feet?   ","")</f>
        <v/>
      </c>
      <c r="Z189" s="1621"/>
      <c r="AA189" s="1618" t="str">
        <f>IF($E189&lt;&gt;"","% of Cap Resp.","")</f>
        <v/>
      </c>
      <c r="AB189" s="1782" t="str">
        <f ca="1">IFERROR(IF(BK189="", "", IF(BK189&gt;100, 1, VLOOKUP(BK189, Valid!$W$1:$AA$101, VLOOKUP(T189, Codes!$G$7:$I$17, 3, FALSE), FALSE))), "")</f>
        <v/>
      </c>
      <c r="AC189" s="1618"/>
      <c r="AD189" s="1247"/>
      <c r="AE189" s="1620" t="str">
        <f>IF($E189&lt;&gt;"","Drop-Down    ","")</f>
        <v/>
      </c>
      <c r="AF189" s="1720"/>
      <c r="AG189" s="1620" t="b">
        <f>IF(E189&lt;&gt;"","Date?   ")</f>
        <v>0</v>
      </c>
      <c r="AH189" s="1613"/>
      <c r="AI189" s="1248" t="str">
        <f>IF(OR(T189="Other (describe in Notes)",T189="Dual Administrative and Maintenance Facility"),"Describe Facility                                                                                         ","")</f>
        <v/>
      </c>
      <c r="AJ189" s="1624"/>
      <c r="AK189" s="1624" t="b">
        <f>IF(AND(C189="",C191&lt;&gt;""),TRUE,FALSE)</f>
        <v>0</v>
      </c>
      <c r="AL189" s="1624" t="str">
        <f>IF(AND($C189&lt;&gt;"",OR($J189="",$L189="",$N189="",$P189="",$R189="",$T189="",$V189="",$X189="",$Z189="",$AD189="",$AF189="")),"No",IF(AND($C189="",OR($H189&lt;&gt;"",$J189&lt;&gt;"",$L189&lt;&gt;"",$N189&lt;&gt;"",$P189&lt;&gt;"",$R189&lt;&gt;"",$T189&lt;&gt;"",$V189&lt;&gt;"",$X189&lt;&gt;"",$Z189&lt;&gt;"",$AD189&lt;&gt;"",$AF189&lt;&gt;"")),"N",IF(AND($H189="",$C189="",$J189="",$L189="",$N189="",$P189="",$R189="",$T189="",$V189="",$X189="",$Z189="",$AD189="",$AF189=""),"N/A",IF(AND($C189&lt;&gt;"",$J189&lt;&gt;"",$L189&lt;&gt;"",$N189&lt;&gt;"",$P189&lt;&gt;"",$R189&lt;&gt;"",$T189&lt;&gt;"",$V189&lt;&gt;"",$X189&lt;&gt;"",$Z189&lt;&gt;"",$AD189&lt;&gt;"",$AF189&lt;&gt;""),"Yes",""))))</f>
        <v>N/A</v>
      </c>
      <c r="AM189" s="1625" t="b">
        <f ca="1">IF(AND($C189="",OR($J189&lt;&gt;"",$L189&lt;&gt;"",$N189&lt;&gt;"",$P189&lt;&gt;"",$R189&lt;&gt;"",$T189&lt;&gt;"",$V189&lt;&gt;"",$X189&lt;&gt;"",$Z189&lt;&gt;"",$AB189&lt;&gt;"",$AF189&lt;&gt;"")),TRUE,FALSE)</f>
        <v>0</v>
      </c>
      <c r="AN189" s="1625" t="b">
        <f>IF(AND($C189&lt;&gt;"",$J189=""),TRUE,FALSE)</f>
        <v>0</v>
      </c>
      <c r="AO189" s="1625" t="b">
        <f>IF(AND($C189&lt;&gt;"",$L189=""),TRUE,FALSE)</f>
        <v>0</v>
      </c>
      <c r="AP189" s="1625" t="b">
        <f>IF(AND($C189&lt;&gt;"",$N189=""),TRUE,FALSE)</f>
        <v>0</v>
      </c>
      <c r="AQ189" s="1625" t="b">
        <f>IF(AND($C189&lt;&gt;"",$P189=""),TRUE,FALSE)</f>
        <v>0</v>
      </c>
      <c r="AR189" s="1625" t="b">
        <f>IF(AND($C189&lt;&gt;"",$R189=""),TRUE,FALSE)</f>
        <v>0</v>
      </c>
      <c r="AS189" s="1625"/>
      <c r="AT189" s="1625" t="b">
        <f ca="1">IF(AND(T189="",OR(V189&lt;&gt;"",X189&lt;&gt;"",Z189&lt;&gt;"",AB189&lt;&gt;"",AF189&lt;&gt;"")),TRUE,FALSE)</f>
        <v>0</v>
      </c>
      <c r="AU189" s="1625" t="b">
        <f>IF(AND($C189&lt;&gt;"",$T189=""),TRUE,FALSE)</f>
        <v>0</v>
      </c>
      <c r="AV189" s="1625" t="b">
        <f>IF(V189="",FALSE,IF(T189="",FALSE,IF(AW189=TRUE,FALSE,IF(OR(V189&lt;BI189,V189&gt;BaseYear),TRUE,FALSE))))</f>
        <v>0</v>
      </c>
      <c r="AW189" s="1625" t="b">
        <f>IF(AND($C189&lt;&gt;"",$V189=""),TRUE,FALSE)</f>
        <v>0</v>
      </c>
      <c r="AX189" s="1625" t="b">
        <f>IF(X189="",FALSE,IF(T189="",FALSE,IF(AZ189=TRUE,FALSE,IF(X189&lt;BL189,TRUE,FALSE))))</f>
        <v>0</v>
      </c>
      <c r="AY189" s="1625" t="b">
        <f>IF(X189="",FALSE,IF(T189="",FALSE,IF(AZ189=TRUE,FALSE,IF(X189&gt;BM189,TRUE,FALSE))))</f>
        <v>0</v>
      </c>
      <c r="AZ189" s="1625" t="b">
        <f>IF(AND($C189&lt;&gt;"",$X189=""),TRUE,FALSE)</f>
        <v>0</v>
      </c>
      <c r="BA189" s="1626" t="b">
        <f>IF(BB189=TRUE,FALSE,IF(OR(Z189&lt;0,Z189&gt;1),TRUE,FALSE))</f>
        <v>0</v>
      </c>
      <c r="BB189" s="1625" t="b">
        <f>IF(AND($C189&lt;&gt;"",$Z189=""),TRUE,FALSE)</f>
        <v>0</v>
      </c>
      <c r="BC189" s="1626"/>
      <c r="BD189" s="1625" t="b">
        <f ca="1">IF(AND($C189&lt;&gt;"",$AB189=""),TRUE,FALSE)</f>
        <v>0</v>
      </c>
      <c r="BE189" s="1626" t="b">
        <f>IF(OR(AF189="", V189=""),FALSE,IF(COUNT(FIND({0,1,2,3,4,5,6,7,8,9}, AF189))=0, FALSE, IF(YEAR(AF189)&lt;V189, TRUE, FALSE)))</f>
        <v>0</v>
      </c>
      <c r="BF189" s="1625" t="b">
        <f>IF(AND($C189&lt;&gt;"",$AF189=""),TRUE,FALSE)</f>
        <v>0</v>
      </c>
      <c r="BG189" s="721"/>
      <c r="BH189" s="1625" t="str">
        <f>IF($T189="","",VLOOKUP($T189,val_facilities,BH$3,FALSE))</f>
        <v/>
      </c>
      <c r="BI189" s="1627" t="str">
        <f>IF($T189="","",VLOOKUP($T189,val_facilities,BI$3,FALSE))</f>
        <v/>
      </c>
      <c r="BJ189" s="1627" t="str">
        <f>IF($T189="","",VLOOKUP($T189,val_facilities,BJ$3,FALSE))</f>
        <v/>
      </c>
      <c r="BK189" s="1627" t="str">
        <f ca="1">IFERROR(IF(V189="", "", YEAR(TODAY())-V189), "")</f>
        <v/>
      </c>
      <c r="BL189" s="845" t="str">
        <f>IF($T189="","",VLOOKUP($T189,val_facilities,BL$3,FALSE))</f>
        <v/>
      </c>
      <c r="BM189" s="845" t="str">
        <f>IF($T189="","",VLOOKUP($T189,val_facilities,BM$3,FALSE))</f>
        <v/>
      </c>
      <c r="BN189" s="758"/>
      <c r="BO189" s="721">
        <f t="shared" si="4"/>
        <v>0</v>
      </c>
      <c r="BP189" s="816"/>
      <c r="BQ189" s="816"/>
      <c r="BR189" s="816"/>
    </row>
    <row r="190" spans="1:70" s="686" customFormat="1" ht="6.75" customHeight="1" thickBot="1" x14ac:dyDescent="0.25">
      <c r="A190" s="1638"/>
      <c r="B190" s="1712">
        <v>89.5</v>
      </c>
      <c r="C190" s="1057"/>
      <c r="D190" s="1248"/>
      <c r="E190" s="1057"/>
      <c r="F190" s="1229"/>
      <c r="G190" s="1229"/>
      <c r="H190" s="1229"/>
      <c r="I190" s="1229"/>
      <c r="J190" s="1604"/>
      <c r="K190" s="1229"/>
      <c r="L190" s="1605"/>
      <c r="M190" s="1644"/>
      <c r="N190" s="1605"/>
      <c r="O190" s="1644"/>
      <c r="P190" s="1606"/>
      <c r="Q190" s="1644"/>
      <c r="R190" s="1057"/>
      <c r="S190" s="1623"/>
      <c r="T190" s="1643"/>
      <c r="U190" s="1623"/>
      <c r="V190" s="1623"/>
      <c r="W190" s="1623"/>
      <c r="X190" s="722"/>
      <c r="Y190" s="841"/>
      <c r="Z190" s="841"/>
      <c r="AA190" s="841"/>
      <c r="AB190" s="722"/>
      <c r="AC190" s="841"/>
      <c r="AD190" s="722"/>
      <c r="AE190" s="841"/>
      <c r="AF190" s="1717"/>
      <c r="AG190" s="841"/>
      <c r="AH190" s="1057"/>
      <c r="AI190" s="1644"/>
      <c r="AJ190" s="1644"/>
      <c r="AK190" s="1644"/>
      <c r="AL190" s="1644"/>
      <c r="AM190" s="1625"/>
      <c r="AN190" s="1625"/>
      <c r="AO190" s="1625"/>
      <c r="AP190" s="1625"/>
      <c r="AQ190" s="1625"/>
      <c r="AR190" s="848"/>
      <c r="AS190" s="848"/>
      <c r="AT190" s="848"/>
      <c r="AU190" s="848"/>
      <c r="AV190" s="848"/>
      <c r="AW190" s="848"/>
      <c r="AX190" s="848"/>
      <c r="AY190" s="848"/>
      <c r="AZ190" s="848"/>
      <c r="BA190" s="848"/>
      <c r="BB190" s="848"/>
      <c r="BC190" s="848"/>
      <c r="BD190" s="848"/>
      <c r="BE190" s="848"/>
      <c r="BF190" s="848"/>
      <c r="BG190" s="685"/>
      <c r="BH190" s="848"/>
      <c r="BI190" s="848"/>
      <c r="BJ190" s="848"/>
      <c r="BK190" s="848"/>
      <c r="BL190" s="848"/>
      <c r="BM190" s="848"/>
      <c r="BN190" s="1229"/>
      <c r="BO190" s="721">
        <f t="shared" si="4"/>
        <v>0</v>
      </c>
    </row>
    <row r="191" spans="1:70" s="686" customFormat="1" x14ac:dyDescent="0.2">
      <c r="A191" s="840">
        <v>90</v>
      </c>
      <c r="B191" s="1712">
        <v>90</v>
      </c>
      <c r="C191" s="1613"/>
      <c r="D191" s="1248" t="str">
        <f>IF(AND(C191="",C189&lt;&gt;""),"Enter Facility "&amp;TEXT(A191,0)&amp;" Name, then Fill in Columns "&amp;TEXT($H$2,0)&amp;" - "&amp;TEXT($AH$2,0)&amp;"       ","")</f>
        <v/>
      </c>
      <c r="E191" s="1245" t="str">
        <f>IF(AL191="N/A","",AL191)</f>
        <v/>
      </c>
      <c r="F191" s="758"/>
      <c r="G191" s="758"/>
      <c r="H191" s="1614"/>
      <c r="I191" s="758"/>
      <c r="J191" s="1615"/>
      <c r="K191" s="1248" t="str">
        <f>IF(E191&lt;&gt;"","Enter Street Address                   ","")</f>
        <v/>
      </c>
      <c r="L191" s="1615"/>
      <c r="M191" s="1248" t="str">
        <f>IF(E191&lt;&gt;"","Enter City Name       ","")</f>
        <v/>
      </c>
      <c r="N191" s="1613"/>
      <c r="O191" s="1248" t="str">
        <f>IF(E191&lt;&gt;"","Select from Pull-Down List   ","")</f>
        <v/>
      </c>
      <c r="P191" s="1616"/>
      <c r="Q191" s="1248" t="str">
        <f>IF($E191&lt;&gt;"","Enter ZIP Code       ","")</f>
        <v/>
      </c>
      <c r="R191" s="1617"/>
      <c r="S191" s="1618" t="str">
        <f>IF($E191&lt;&gt;"","Select from Pull-Down List  ","")</f>
        <v/>
      </c>
      <c r="T191" s="1617"/>
      <c r="U191" s="1618" t="str">
        <f>IF(AND($C191&lt;&gt;"",T191=""),"Select from Pull-Down List  ","")</f>
        <v/>
      </c>
      <c r="V191" s="1619"/>
      <c r="W191" s="1248" t="str">
        <f>IF(E191&lt;&gt;"","Year?   ","")</f>
        <v/>
      </c>
      <c r="X191" s="1247"/>
      <c r="Y191" s="1620" t="str">
        <f>IF(E191&lt;&gt;"","Sq. Feet?   ","")</f>
        <v/>
      </c>
      <c r="Z191" s="1621"/>
      <c r="AA191" s="1618" t="str">
        <f>IF($E191&lt;&gt;"","% of Cap Resp.","")</f>
        <v/>
      </c>
      <c r="AB191" s="1782" t="str">
        <f ca="1">IFERROR(IF(BK191="", "", IF(BK191&gt;100, 1, VLOOKUP(BK191, Valid!$W$1:$AA$101, VLOOKUP(T191, Codes!$G$7:$I$17, 3, FALSE), FALSE))), "")</f>
        <v/>
      </c>
      <c r="AC191" s="1618"/>
      <c r="AD191" s="1247"/>
      <c r="AE191" s="1620" t="str">
        <f>IF($E191&lt;&gt;"","Drop-Down    ","")</f>
        <v/>
      </c>
      <c r="AF191" s="1720"/>
      <c r="AG191" s="1620" t="b">
        <f>IF(E191&lt;&gt;"","Date?   ")</f>
        <v>0</v>
      </c>
      <c r="AH191" s="1613"/>
      <c r="AI191" s="1248" t="str">
        <f>IF(OR(T191="Other (describe in Notes)",T191="Dual Administrative and Maintenance Facility"),"Describe Facility                                                                                         ","")</f>
        <v/>
      </c>
      <c r="AJ191" s="1624"/>
      <c r="AK191" s="1624" t="b">
        <f>IF(AND(C191="",C193&lt;&gt;""),TRUE,FALSE)</f>
        <v>0</v>
      </c>
      <c r="AL191" s="1624" t="str">
        <f>IF(AND($C191&lt;&gt;"",OR($J191="",$L191="",$N191="",$P191="",$R191="",$T191="",$V191="",$X191="",$Z191="",$AD191="",$AF191="")),"No",IF(AND($C191="",OR($H191&lt;&gt;"",$J191&lt;&gt;"",$L191&lt;&gt;"",$N191&lt;&gt;"",$P191&lt;&gt;"",$R191&lt;&gt;"",$T191&lt;&gt;"",$V191&lt;&gt;"",$X191&lt;&gt;"",$Z191&lt;&gt;"",$AD191&lt;&gt;"",$AF191&lt;&gt;"")),"N",IF(AND($H191="",$C191="",$J191="",$L191="",$N191="",$P191="",$R191="",$T191="",$V191="",$X191="",$Z191="",$AD191="",$AF191=""),"N/A",IF(AND($C191&lt;&gt;"",$J191&lt;&gt;"",$L191&lt;&gt;"",$N191&lt;&gt;"",$P191&lt;&gt;"",$R191&lt;&gt;"",$T191&lt;&gt;"",$V191&lt;&gt;"",$X191&lt;&gt;"",$Z191&lt;&gt;"",$AD191&lt;&gt;"",$AF191&lt;&gt;""),"Yes",""))))</f>
        <v>N/A</v>
      </c>
      <c r="AM191" s="1625" t="b">
        <f ca="1">IF(AND($C191="",OR($J191&lt;&gt;"",$L191&lt;&gt;"",$N191&lt;&gt;"",$P191&lt;&gt;"",$R191&lt;&gt;"",$T191&lt;&gt;"",$V191&lt;&gt;"",$X191&lt;&gt;"",$Z191&lt;&gt;"",$AB191&lt;&gt;"",$AF191&lt;&gt;"")),TRUE,FALSE)</f>
        <v>0</v>
      </c>
      <c r="AN191" s="1625" t="b">
        <f>IF(AND($C191&lt;&gt;"",$J191=""),TRUE,FALSE)</f>
        <v>0</v>
      </c>
      <c r="AO191" s="1625" t="b">
        <f>IF(AND($C191&lt;&gt;"",$L191=""),TRUE,FALSE)</f>
        <v>0</v>
      </c>
      <c r="AP191" s="1625" t="b">
        <f>IF(AND($C191&lt;&gt;"",$N191=""),TRUE,FALSE)</f>
        <v>0</v>
      </c>
      <c r="AQ191" s="1625" t="b">
        <f>IF(AND($C191&lt;&gt;"",$P191=""),TRUE,FALSE)</f>
        <v>0</v>
      </c>
      <c r="AR191" s="1625" t="b">
        <f>IF(AND($C191&lt;&gt;"",$R191=""),TRUE,FALSE)</f>
        <v>0</v>
      </c>
      <c r="AS191" s="1625"/>
      <c r="AT191" s="1625" t="b">
        <f ca="1">IF(AND(T191="",OR(V191&lt;&gt;"",X191&lt;&gt;"",Z191&lt;&gt;"",AB191&lt;&gt;"",AF191&lt;&gt;"")),TRUE,FALSE)</f>
        <v>0</v>
      </c>
      <c r="AU191" s="1625" t="b">
        <f>IF(AND($C191&lt;&gt;"",$T191=""),TRUE,FALSE)</f>
        <v>0</v>
      </c>
      <c r="AV191" s="1625" t="b">
        <f>IF(V191="",FALSE,IF(T191="",FALSE,IF(AW191=TRUE,FALSE,IF(OR(V191&lt;BI191,V191&gt;BaseYear),TRUE,FALSE))))</f>
        <v>0</v>
      </c>
      <c r="AW191" s="1625" t="b">
        <f>IF(AND($C191&lt;&gt;"",$V191=""),TRUE,FALSE)</f>
        <v>0</v>
      </c>
      <c r="AX191" s="1625" t="b">
        <f>IF(X191="",FALSE,IF(T191="",FALSE,IF(AZ191=TRUE,FALSE,IF(X191&lt;BL191,TRUE,FALSE))))</f>
        <v>0</v>
      </c>
      <c r="AY191" s="1625" t="b">
        <f>IF(X191="",FALSE,IF(T191="",FALSE,IF(AZ191=TRUE,FALSE,IF(X191&gt;BM191,TRUE,FALSE))))</f>
        <v>0</v>
      </c>
      <c r="AZ191" s="1625" t="b">
        <f>IF(AND($C191&lt;&gt;"",$X191=""),TRUE,FALSE)</f>
        <v>0</v>
      </c>
      <c r="BA191" s="1626" t="b">
        <f>IF(BB191=TRUE,FALSE,IF(OR(Z191&lt;0,Z191&gt;1),TRUE,FALSE))</f>
        <v>0</v>
      </c>
      <c r="BB191" s="1625" t="b">
        <f>IF(AND($C191&lt;&gt;"",$Z191=""),TRUE,FALSE)</f>
        <v>0</v>
      </c>
      <c r="BC191" s="1626"/>
      <c r="BD191" s="1625" t="b">
        <f ca="1">IF(AND($C191&lt;&gt;"",$AB191=""),TRUE,FALSE)</f>
        <v>0</v>
      </c>
      <c r="BE191" s="1626" t="b">
        <f>IF(OR(AF191="", V191=""),FALSE,IF(COUNT(FIND({0,1,2,3,4,5,6,7,8,9}, AF191))=0, FALSE, IF(YEAR(AF191)&lt;V191, TRUE, FALSE)))</f>
        <v>0</v>
      </c>
      <c r="BF191" s="1625" t="b">
        <f>IF(AND($C191&lt;&gt;"",$AF191=""),TRUE,FALSE)</f>
        <v>0</v>
      </c>
      <c r="BG191" s="721"/>
      <c r="BH191" s="1625" t="str">
        <f>IF($T191="","",VLOOKUP($T191,val_facilities,BH$3,FALSE))</f>
        <v/>
      </c>
      <c r="BI191" s="1627" t="str">
        <f>IF($T191="","",VLOOKUP($T191,val_facilities,BI$3,FALSE))</f>
        <v/>
      </c>
      <c r="BJ191" s="1627" t="str">
        <f>IF($T191="","",VLOOKUP($T191,val_facilities,BJ$3,FALSE))</f>
        <v/>
      </c>
      <c r="BK191" s="1627" t="str">
        <f ca="1">IFERROR(IF(V191="", "", YEAR(TODAY())-V191), "")</f>
        <v/>
      </c>
      <c r="BL191" s="845" t="str">
        <f>IF($T191="","",VLOOKUP($T191,val_facilities,BL$3,FALSE))</f>
        <v/>
      </c>
      <c r="BM191" s="845" t="str">
        <f>IF($T191="","",VLOOKUP($T191,val_facilities,BM$3,FALSE))</f>
        <v/>
      </c>
      <c r="BN191" s="758"/>
      <c r="BO191" s="721">
        <f t="shared" si="4"/>
        <v>0</v>
      </c>
      <c r="BP191" s="816"/>
      <c r="BQ191" s="816"/>
      <c r="BR191" s="816"/>
    </row>
    <row r="192" spans="1:70" s="686" customFormat="1" ht="6.75" customHeight="1" thickBot="1" x14ac:dyDescent="0.25">
      <c r="A192" s="1638"/>
      <c r="B192" s="1712">
        <v>90.5</v>
      </c>
      <c r="C192" s="1057"/>
      <c r="D192" s="764"/>
      <c r="E192" s="816"/>
      <c r="F192" s="1229"/>
      <c r="G192" s="1229"/>
      <c r="H192" s="1229"/>
      <c r="I192" s="1229"/>
      <c r="J192" s="1604"/>
      <c r="K192" s="1229"/>
      <c r="L192" s="1645"/>
      <c r="M192" s="1644"/>
      <c r="N192" s="1645"/>
      <c r="O192" s="1644"/>
      <c r="P192" s="1647"/>
      <c r="Q192" s="1644"/>
      <c r="R192" s="1057"/>
      <c r="S192" s="1623"/>
      <c r="T192" s="1643"/>
      <c r="U192" s="1623"/>
      <c r="V192" s="1623"/>
      <c r="W192" s="1623"/>
      <c r="X192" s="722"/>
      <c r="Y192" s="841"/>
      <c r="Z192" s="841"/>
      <c r="AA192" s="841"/>
      <c r="AB192" s="722"/>
      <c r="AC192" s="841"/>
      <c r="AD192" s="722"/>
      <c r="AE192" s="841"/>
      <c r="AF192" s="1717"/>
      <c r="AG192" s="841"/>
      <c r="AH192" s="1057"/>
      <c r="AI192" s="1644"/>
      <c r="AJ192" s="1644"/>
      <c r="AK192" s="1644"/>
      <c r="AL192" s="758"/>
      <c r="AM192" s="1625"/>
      <c r="AN192" s="1625"/>
      <c r="AO192" s="1625"/>
      <c r="AP192" s="1625"/>
      <c r="AQ192" s="1625"/>
      <c r="AR192" s="848"/>
      <c r="AS192" s="848"/>
      <c r="AT192" s="848"/>
      <c r="AU192" s="848"/>
      <c r="AV192" s="848"/>
      <c r="AW192" s="848"/>
      <c r="AX192" s="848"/>
      <c r="AY192" s="848"/>
      <c r="AZ192" s="848"/>
      <c r="BA192" s="848"/>
      <c r="BB192" s="848"/>
      <c r="BC192" s="848"/>
      <c r="BD192" s="848"/>
      <c r="BE192" s="848"/>
      <c r="BF192" s="848"/>
      <c r="BG192" s="685"/>
      <c r="BH192" s="1626"/>
      <c r="BI192" s="1626"/>
      <c r="BJ192" s="1626"/>
      <c r="BK192" s="1626"/>
      <c r="BL192" s="1626"/>
      <c r="BM192" s="1626"/>
      <c r="BN192" s="1229"/>
      <c r="BO192" s="721">
        <f t="shared" si="4"/>
        <v>0</v>
      </c>
    </row>
    <row r="193" spans="1:70" s="816" customFormat="1" x14ac:dyDescent="0.2">
      <c r="A193" s="840">
        <v>91</v>
      </c>
      <c r="B193" s="1712">
        <v>91</v>
      </c>
      <c r="C193" s="1613"/>
      <c r="D193" s="1248" t="str">
        <f>IF(AND(C193="",C191&lt;&gt;""),"Enter Facility "&amp;TEXT(A193,0)&amp;" Name, then Fill in Columns "&amp;TEXT($H$2,0)&amp;" - "&amp;TEXT($AH$2,0)&amp;"       ","")</f>
        <v/>
      </c>
      <c r="E193" s="1245" t="str">
        <f>IF(AL193="N/A","",AL193)</f>
        <v/>
      </c>
      <c r="F193" s="758"/>
      <c r="G193" s="758"/>
      <c r="H193" s="1614"/>
      <c r="I193" s="758"/>
      <c r="J193" s="1615"/>
      <c r="K193" s="1248" t="str">
        <f>IF(E193&lt;&gt;"","Enter Street Address                   ","")</f>
        <v/>
      </c>
      <c r="L193" s="1615"/>
      <c r="M193" s="1248" t="str">
        <f>IF(E193&lt;&gt;"","Enter City Name       ","")</f>
        <v/>
      </c>
      <c r="N193" s="1613"/>
      <c r="O193" s="1248" t="str">
        <f>IF(E193&lt;&gt;"","Select from Pull-Down List   ","")</f>
        <v/>
      </c>
      <c r="P193" s="1616"/>
      <c r="Q193" s="1248" t="str">
        <f>IF($E193&lt;&gt;"","Enter ZIP Code       ","")</f>
        <v/>
      </c>
      <c r="R193" s="1617"/>
      <c r="S193" s="1618" t="str">
        <f>IF($E193&lt;&gt;"","Select from Pull-Down List  ","")</f>
        <v/>
      </c>
      <c r="T193" s="1617"/>
      <c r="U193" s="1618" t="str">
        <f>IF(AND($C193&lt;&gt;"",T193=""),"Select from Pull-Down List  ","")</f>
        <v/>
      </c>
      <c r="V193" s="1619"/>
      <c r="W193" s="1248" t="str">
        <f>IF(E193&lt;&gt;"","Year?   ","")</f>
        <v/>
      </c>
      <c r="X193" s="1247"/>
      <c r="Y193" s="1620" t="str">
        <f>IF(E193&lt;&gt;"","Sq. Feet?   ","")</f>
        <v/>
      </c>
      <c r="Z193" s="1621"/>
      <c r="AA193" s="1618" t="str">
        <f>IF($E193&lt;&gt;"","% of Cap Resp.","")</f>
        <v/>
      </c>
      <c r="AB193" s="1782" t="str">
        <f ca="1">IFERROR(IF(BK193="", "", IF(BK193&gt;100, 1, VLOOKUP(BK193, Valid!$W$1:$AA$101, VLOOKUP(T193, Codes!$G$7:$I$17, 3, FALSE), FALSE))), "")</f>
        <v/>
      </c>
      <c r="AC193" s="1618"/>
      <c r="AD193" s="1247"/>
      <c r="AE193" s="1620" t="str">
        <f>IF($E193&lt;&gt;"","Drop-Down    ","")</f>
        <v/>
      </c>
      <c r="AF193" s="1720"/>
      <c r="AG193" s="1620" t="b">
        <f>IF(E193&lt;&gt;"","Date?   ")</f>
        <v>0</v>
      </c>
      <c r="AH193" s="1613"/>
      <c r="AI193" s="1248" t="str">
        <f>IF(OR(T193="Other (describe in Notes)",T193="Dual Administrative and Maintenance Facility"),"Describe Facility                                                                                         ","")</f>
        <v/>
      </c>
      <c r="AJ193" s="1624"/>
      <c r="AK193" s="1624" t="b">
        <f>IF(AND(C193="",C195&lt;&gt;""),TRUE,FALSE)</f>
        <v>0</v>
      </c>
      <c r="AL193" s="1624" t="str">
        <f>IF(AND($C193&lt;&gt;"",OR($J193="",$L193="",$N193="",$P193="",$R193="",$T193="",$V193="",$X193="",$Z193="",$AD193="",$AF193="")),"No",IF(AND($C193="",OR($H193&lt;&gt;"",$J193&lt;&gt;"",$L193&lt;&gt;"",$N193&lt;&gt;"",$P193&lt;&gt;"",$R193&lt;&gt;"",$T193&lt;&gt;"",$V193&lt;&gt;"",$X193&lt;&gt;"",$Z193&lt;&gt;"",$AD193&lt;&gt;"",$AF193&lt;&gt;"")),"N",IF(AND($H193="",$C193="",$J193="",$L193="",$N193="",$P193="",$R193="",$T193="",$V193="",$X193="",$Z193="",$AD193="",$AF193=""),"N/A",IF(AND($C193&lt;&gt;"",$J193&lt;&gt;"",$L193&lt;&gt;"",$N193&lt;&gt;"",$P193&lt;&gt;"",$R193&lt;&gt;"",$T193&lt;&gt;"",$V193&lt;&gt;"",$X193&lt;&gt;"",$Z193&lt;&gt;"",$AD193&lt;&gt;"",$AF193&lt;&gt;""),"Yes",""))))</f>
        <v>N/A</v>
      </c>
      <c r="AM193" s="1625" t="b">
        <f ca="1">IF(AND($C193="",OR($J193&lt;&gt;"",$L193&lt;&gt;"",$N193&lt;&gt;"",$P193&lt;&gt;"",$R193&lt;&gt;"",$T193&lt;&gt;"",$V193&lt;&gt;"",$X193&lt;&gt;"",$Z193&lt;&gt;"",$AB193&lt;&gt;"",$AF193&lt;&gt;"")),TRUE,FALSE)</f>
        <v>0</v>
      </c>
      <c r="AN193" s="1625" t="b">
        <f>IF(AND($C193&lt;&gt;"",$J193=""),TRUE,FALSE)</f>
        <v>0</v>
      </c>
      <c r="AO193" s="1625" t="b">
        <f>IF(AND($C193&lt;&gt;"",$L193=""),TRUE,FALSE)</f>
        <v>0</v>
      </c>
      <c r="AP193" s="1625" t="b">
        <f>IF(AND($C193&lt;&gt;"",$N193=""),TRUE,FALSE)</f>
        <v>0</v>
      </c>
      <c r="AQ193" s="1625" t="b">
        <f>IF(AND($C193&lt;&gt;"",$P193=""),TRUE,FALSE)</f>
        <v>0</v>
      </c>
      <c r="AR193" s="1625" t="b">
        <f>IF(AND($C193&lt;&gt;"",$R193=""),TRUE,FALSE)</f>
        <v>0</v>
      </c>
      <c r="AS193" s="1625"/>
      <c r="AT193" s="1625" t="b">
        <f ca="1">IF(AND(T193="",OR(V193&lt;&gt;"",X193&lt;&gt;"",Z193&lt;&gt;"",AB193&lt;&gt;"",AF193&lt;&gt;"")),TRUE,FALSE)</f>
        <v>0</v>
      </c>
      <c r="AU193" s="1625" t="b">
        <f>IF(AND($C193&lt;&gt;"",$T193=""),TRUE,FALSE)</f>
        <v>0</v>
      </c>
      <c r="AV193" s="1625" t="b">
        <f>IF(V193="",FALSE,IF(T193="",FALSE,IF(AW193=TRUE,FALSE,IF(OR(V193&lt;BI193,V193&gt;BaseYear),TRUE,FALSE))))</f>
        <v>0</v>
      </c>
      <c r="AW193" s="1625" t="b">
        <f>IF(AND($C193&lt;&gt;"",$V193=""),TRUE,FALSE)</f>
        <v>0</v>
      </c>
      <c r="AX193" s="1625" t="b">
        <f>IF(X193="",FALSE,IF(T193="",FALSE,IF(AZ193=TRUE,FALSE,IF(X193&lt;BL193,TRUE,FALSE))))</f>
        <v>0</v>
      </c>
      <c r="AY193" s="1625" t="b">
        <f>IF(X193="",FALSE,IF(T193="",FALSE,IF(AZ193=TRUE,FALSE,IF(X193&gt;BM193,TRUE,FALSE))))</f>
        <v>0</v>
      </c>
      <c r="AZ193" s="1625" t="b">
        <f>IF(AND($C193&lt;&gt;"",$X193=""),TRUE,FALSE)</f>
        <v>0</v>
      </c>
      <c r="BA193" s="1626" t="b">
        <f>IF(BB193=TRUE,FALSE,IF(OR(Z193&lt;0,Z193&gt;1),TRUE,FALSE))</f>
        <v>0</v>
      </c>
      <c r="BB193" s="1625" t="b">
        <f>IF(AND($C193&lt;&gt;"",$Z193=""),TRUE,FALSE)</f>
        <v>0</v>
      </c>
      <c r="BC193" s="1626"/>
      <c r="BD193" s="1625" t="b">
        <f ca="1">IF(AND($C193&lt;&gt;"",$AB193=""),TRUE,FALSE)</f>
        <v>0</v>
      </c>
      <c r="BE193" s="1626" t="b">
        <f>IF(OR(AF193="", V193=""),FALSE,IF(COUNT(FIND({0,1,2,3,4,5,6,7,8,9}, AF193))=0, FALSE, IF(YEAR(AF193)&lt;V193, TRUE, FALSE)))</f>
        <v>0</v>
      </c>
      <c r="BF193" s="1625" t="b">
        <f>IF(AND($C193&lt;&gt;"",$AF193=""),TRUE,FALSE)</f>
        <v>0</v>
      </c>
      <c r="BG193" s="721"/>
      <c r="BH193" s="1625" t="str">
        <f>IF($T193="","",VLOOKUP($T193,val_facilities,BH$3,FALSE))</f>
        <v/>
      </c>
      <c r="BI193" s="1627" t="str">
        <f>IF($T193="","",VLOOKUP($T193,val_facilities,BI$3,FALSE))</f>
        <v/>
      </c>
      <c r="BJ193" s="1627" t="str">
        <f>IF($T193="","",VLOOKUP($T193,val_facilities,BJ$3,FALSE))</f>
        <v/>
      </c>
      <c r="BK193" s="1627" t="str">
        <f ca="1">IFERROR(IF(V193="", "", YEAR(TODAY())-V193), "")</f>
        <v/>
      </c>
      <c r="BL193" s="845" t="str">
        <f>IF($T193="","",VLOOKUP($T193,val_facilities,BL$3,FALSE))</f>
        <v/>
      </c>
      <c r="BM193" s="845" t="str">
        <f>IF($T193="","",VLOOKUP($T193,val_facilities,BM$3,FALSE))</f>
        <v/>
      </c>
      <c r="BN193" s="758"/>
      <c r="BO193" s="721">
        <f t="shared" si="4"/>
        <v>0</v>
      </c>
    </row>
    <row r="194" spans="1:70" s="816" customFormat="1" ht="6.75" customHeight="1" thickBot="1" x14ac:dyDescent="0.25">
      <c r="A194" s="840"/>
      <c r="B194" s="1712">
        <v>91.5</v>
      </c>
      <c r="C194" s="1607"/>
      <c r="D194" s="1248"/>
      <c r="E194" s="721"/>
      <c r="F194" s="758"/>
      <c r="G194" s="758"/>
      <c r="H194" s="758"/>
      <c r="I194" s="758"/>
      <c r="J194" s="1628"/>
      <c r="K194" s="1248"/>
      <c r="L194" s="1629"/>
      <c r="M194" s="1248"/>
      <c r="N194" s="1629"/>
      <c r="O194" s="1248"/>
      <c r="P194" s="1630"/>
      <c r="Q194" s="1248"/>
      <c r="R194" s="1223"/>
      <c r="S194" s="1618"/>
      <c r="T194" s="1608"/>
      <c r="U194" s="1618"/>
      <c r="V194" s="1623"/>
      <c r="W194" s="1618"/>
      <c r="X194" s="1631"/>
      <c r="Y194" s="1632"/>
      <c r="Z194" s="822"/>
      <c r="AA194" s="1632"/>
      <c r="AB194" s="1631"/>
      <c r="AC194" s="1632"/>
      <c r="AD194" s="1631"/>
      <c r="AE194" s="1632"/>
      <c r="AF194" s="1719"/>
      <c r="AG194" s="1632"/>
      <c r="AH194" s="1243"/>
      <c r="AI194" s="1248"/>
      <c r="AJ194" s="758"/>
      <c r="AK194" s="758"/>
      <c r="AL194" s="758"/>
      <c r="AM194" s="1625"/>
      <c r="AN194" s="1625"/>
      <c r="AO194" s="1625"/>
      <c r="AP194" s="1625"/>
      <c r="AQ194" s="1625"/>
      <c r="AR194" s="1625"/>
      <c r="AS194" s="1625"/>
      <c r="AT194" s="1625"/>
      <c r="AU194" s="1625"/>
      <c r="AV194" s="1626"/>
      <c r="AW194" s="1626"/>
      <c r="AX194" s="1626"/>
      <c r="AY194" s="1626"/>
      <c r="AZ194" s="1626"/>
      <c r="BA194" s="1626"/>
      <c r="BB194" s="1626"/>
      <c r="BC194" s="1626"/>
      <c r="BD194" s="1626"/>
      <c r="BE194" s="1626"/>
      <c r="BF194" s="1626"/>
      <c r="BG194" s="721"/>
      <c r="BH194" s="1626"/>
      <c r="BI194" s="1626"/>
      <c r="BJ194" s="1626"/>
      <c r="BK194" s="1626"/>
      <c r="BL194" s="1626"/>
      <c r="BM194" s="1626"/>
      <c r="BN194" s="758"/>
      <c r="BO194" s="721">
        <f t="shared" si="4"/>
        <v>0</v>
      </c>
      <c r="BP194" s="721"/>
      <c r="BQ194" s="721"/>
      <c r="BR194" s="721"/>
    </row>
    <row r="195" spans="1:70" s="816" customFormat="1" x14ac:dyDescent="0.2">
      <c r="A195" s="840">
        <v>92</v>
      </c>
      <c r="B195" s="1712">
        <v>92</v>
      </c>
      <c r="C195" s="1613"/>
      <c r="D195" s="1248" t="str">
        <f>IF(AND(C195="",C193&lt;&gt;""),"Enter Facility "&amp;TEXT(A195,0)&amp;" Name, then Fill in Columns "&amp;TEXT($H$2,0)&amp;" - "&amp;TEXT($AH$2,0)&amp;"       ","")</f>
        <v/>
      </c>
      <c r="E195" s="1245" t="str">
        <f>IF(AL195="N/A","",AL195)</f>
        <v/>
      </c>
      <c r="F195" s="758"/>
      <c r="G195" s="758"/>
      <c r="H195" s="1614"/>
      <c r="I195" s="758"/>
      <c r="J195" s="1615"/>
      <c r="K195" s="1248" t="str">
        <f>IF(E195&lt;&gt;"","Enter Street Address                   ","")</f>
        <v/>
      </c>
      <c r="L195" s="1615"/>
      <c r="M195" s="1248" t="str">
        <f>IF(E195&lt;&gt;"","Enter City Name       ","")</f>
        <v/>
      </c>
      <c r="N195" s="1613"/>
      <c r="O195" s="1248" t="str">
        <f>IF(E195&lt;&gt;"","Select from Pull-Down List   ","")</f>
        <v/>
      </c>
      <c r="P195" s="1616"/>
      <c r="Q195" s="1248" t="str">
        <f>IF($E195&lt;&gt;"","Enter ZIP Code       ","")</f>
        <v/>
      </c>
      <c r="R195" s="1617"/>
      <c r="S195" s="1618" t="str">
        <f>IF($E195&lt;&gt;"","Select from Pull-Down List  ","")</f>
        <v/>
      </c>
      <c r="T195" s="1617"/>
      <c r="U195" s="1618" t="str">
        <f>IF(AND($C195&lt;&gt;"",T195=""),"Select from Pull-Down List  ","")</f>
        <v/>
      </c>
      <c r="V195" s="1619"/>
      <c r="W195" s="1248" t="str">
        <f>IF(E195&lt;&gt;"","Year?   ","")</f>
        <v/>
      </c>
      <c r="X195" s="1247"/>
      <c r="Y195" s="1620" t="str">
        <f>IF(E195&lt;&gt;"","Sq. Feet?   ","")</f>
        <v/>
      </c>
      <c r="Z195" s="1621"/>
      <c r="AA195" s="1618" t="str">
        <f>IF($E195&lt;&gt;"","% of Cap Resp.","")</f>
        <v/>
      </c>
      <c r="AB195" s="1782" t="str">
        <f ca="1">IFERROR(IF(BK195="", "", IF(BK195&gt;100, 1, VLOOKUP(BK195, Valid!$W$1:$AA$101, VLOOKUP(T195, Codes!$G$7:$I$17, 3, FALSE), FALSE))), "")</f>
        <v/>
      </c>
      <c r="AC195" s="1618"/>
      <c r="AD195" s="1247"/>
      <c r="AE195" s="1620" t="str">
        <f>IF($E195&lt;&gt;"","Drop-Down    ","")</f>
        <v/>
      </c>
      <c r="AF195" s="1720"/>
      <c r="AG195" s="1620" t="b">
        <f>IF(E195&lt;&gt;"","Date?   ")</f>
        <v>0</v>
      </c>
      <c r="AH195" s="1613"/>
      <c r="AI195" s="1248" t="str">
        <f>IF(OR(T195="Other (describe in Notes)",T195="Dual Administrative and Maintenance Facility"),"Describe Facility                                                                                         ","")</f>
        <v/>
      </c>
      <c r="AJ195" s="1624"/>
      <c r="AK195" s="1624" t="b">
        <f>IF(AND(C195="",C197&lt;&gt;""),TRUE,FALSE)</f>
        <v>0</v>
      </c>
      <c r="AL195" s="1624" t="str">
        <f>IF(AND($C195&lt;&gt;"",OR($J195="",$L195="",$N195="",$P195="",$R195="",$T195="",$V195="",$X195="",$Z195="",$AD195="",$AF195="")),"No",IF(AND($C195="",OR($H195&lt;&gt;"",$J195&lt;&gt;"",$L195&lt;&gt;"",$N195&lt;&gt;"",$P195&lt;&gt;"",$R195&lt;&gt;"",$T195&lt;&gt;"",$V195&lt;&gt;"",$X195&lt;&gt;"",$Z195&lt;&gt;"",$AD195&lt;&gt;"",$AF195&lt;&gt;"")),"N",IF(AND($H195="",$C195="",$J195="",$L195="",$N195="",$P195="",$R195="",$T195="",$V195="",$X195="",$Z195="",$AD195="",$AF195=""),"N/A",IF(AND($C195&lt;&gt;"",$J195&lt;&gt;"",$L195&lt;&gt;"",$N195&lt;&gt;"",$P195&lt;&gt;"",$R195&lt;&gt;"",$T195&lt;&gt;"",$V195&lt;&gt;"",$X195&lt;&gt;"",$Z195&lt;&gt;"",$AD195&lt;&gt;"",$AF195&lt;&gt;""),"Yes",""))))</f>
        <v>N/A</v>
      </c>
      <c r="AM195" s="1625" t="b">
        <f ca="1">IF(AND($C195="",OR($J195&lt;&gt;"",$L195&lt;&gt;"",$N195&lt;&gt;"",$P195&lt;&gt;"",$R195&lt;&gt;"",$T195&lt;&gt;"",$V195&lt;&gt;"",$X195&lt;&gt;"",$Z195&lt;&gt;"",$AB195&lt;&gt;"",$AF195&lt;&gt;"")),TRUE,FALSE)</f>
        <v>0</v>
      </c>
      <c r="AN195" s="1625" t="b">
        <f>IF(AND($C195&lt;&gt;"",$J195=""),TRUE,FALSE)</f>
        <v>0</v>
      </c>
      <c r="AO195" s="1625" t="b">
        <f>IF(AND($C195&lt;&gt;"",$L195=""),TRUE,FALSE)</f>
        <v>0</v>
      </c>
      <c r="AP195" s="1625" t="b">
        <f>IF(AND($C195&lt;&gt;"",$N195=""),TRUE,FALSE)</f>
        <v>0</v>
      </c>
      <c r="AQ195" s="1625" t="b">
        <f>IF(AND($C195&lt;&gt;"",$P195=""),TRUE,FALSE)</f>
        <v>0</v>
      </c>
      <c r="AR195" s="1625" t="b">
        <f>IF(AND($C195&lt;&gt;"",$R195=""),TRUE,FALSE)</f>
        <v>0</v>
      </c>
      <c r="AS195" s="1625"/>
      <c r="AT195" s="1625" t="b">
        <f ca="1">IF(AND(T195="",OR(V195&lt;&gt;"",X195&lt;&gt;"",Z195&lt;&gt;"",AB195&lt;&gt;"",AF195&lt;&gt;"")),TRUE,FALSE)</f>
        <v>0</v>
      </c>
      <c r="AU195" s="1625" t="b">
        <f>IF(AND($C195&lt;&gt;"",$T195=""),TRUE,FALSE)</f>
        <v>0</v>
      </c>
      <c r="AV195" s="1625" t="b">
        <f>IF(V195="",FALSE,IF(T195="",FALSE,IF(AW195=TRUE,FALSE,IF(OR(V195&lt;BI195,V195&gt;BaseYear),TRUE,FALSE))))</f>
        <v>0</v>
      </c>
      <c r="AW195" s="1625" t="b">
        <f>IF(AND($C195&lt;&gt;"",$V195=""),TRUE,FALSE)</f>
        <v>0</v>
      </c>
      <c r="AX195" s="1625" t="b">
        <f>IF(X195="",FALSE,IF(T195="",FALSE,IF(AZ195=TRUE,FALSE,IF(X195&lt;BL195,TRUE,FALSE))))</f>
        <v>0</v>
      </c>
      <c r="AY195" s="1625" t="b">
        <f>IF(X195="",FALSE,IF(T195="",FALSE,IF(AZ195=TRUE,FALSE,IF(X195&gt;BM195,TRUE,FALSE))))</f>
        <v>0</v>
      </c>
      <c r="AZ195" s="1625" t="b">
        <f>IF(AND($C195&lt;&gt;"",$X195=""),TRUE,FALSE)</f>
        <v>0</v>
      </c>
      <c r="BA195" s="1626" t="b">
        <f>IF(BB195=TRUE,FALSE,IF(OR(Z195&lt;0,Z195&gt;1),TRUE,FALSE))</f>
        <v>0</v>
      </c>
      <c r="BB195" s="1625" t="b">
        <f>IF(AND($C195&lt;&gt;"",$Z195=""),TRUE,FALSE)</f>
        <v>0</v>
      </c>
      <c r="BC195" s="1626"/>
      <c r="BD195" s="1625" t="b">
        <f ca="1">IF(AND($C195&lt;&gt;"",$AB195=""),TRUE,FALSE)</f>
        <v>0</v>
      </c>
      <c r="BE195" s="1626" t="b">
        <f>IF(OR(AF195="", V195=""),FALSE,IF(COUNT(FIND({0,1,2,3,4,5,6,7,8,9}, AF195))=0, FALSE, IF(YEAR(AF195)&lt;V195, TRUE, FALSE)))</f>
        <v>0</v>
      </c>
      <c r="BF195" s="1625" t="b">
        <f>IF(AND($C195&lt;&gt;"",$AF195=""),TRUE,FALSE)</f>
        <v>0</v>
      </c>
      <c r="BG195" s="721"/>
      <c r="BH195" s="1625" t="str">
        <f>IF($T195="","",VLOOKUP($T195,val_facilities,BH$3,FALSE))</f>
        <v/>
      </c>
      <c r="BI195" s="1627" t="str">
        <f>IF($T195="","",VLOOKUP($T195,val_facilities,BI$3,FALSE))</f>
        <v/>
      </c>
      <c r="BJ195" s="1627" t="str">
        <f>IF($T195="","",VLOOKUP($T195,val_facilities,BJ$3,FALSE))</f>
        <v/>
      </c>
      <c r="BK195" s="1627" t="str">
        <f ca="1">IFERROR(IF(V195="", "", YEAR(TODAY())-V195), "")</f>
        <v/>
      </c>
      <c r="BL195" s="845" t="str">
        <f>IF($T195="","",VLOOKUP($T195,val_facilities,BL$3,FALSE))</f>
        <v/>
      </c>
      <c r="BM195" s="845" t="str">
        <f>IF($T195="","",VLOOKUP($T195,val_facilities,BM$3,FALSE))</f>
        <v/>
      </c>
      <c r="BN195" s="758"/>
      <c r="BO195" s="721">
        <f t="shared" si="4"/>
        <v>0</v>
      </c>
    </row>
    <row r="196" spans="1:70" s="686" customFormat="1" ht="6.75" customHeight="1" thickBot="1" x14ac:dyDescent="0.25">
      <c r="A196" s="1638"/>
      <c r="B196" s="1712">
        <v>92.5</v>
      </c>
      <c r="C196" s="721"/>
      <c r="D196" s="1248"/>
      <c r="E196" s="816"/>
      <c r="F196" s="758"/>
      <c r="G196" s="758"/>
      <c r="H196" s="758"/>
      <c r="I196" s="758"/>
      <c r="J196" s="1633"/>
      <c r="K196" s="1248"/>
      <c r="L196" s="1634"/>
      <c r="M196" s="1248"/>
      <c r="N196" s="1634"/>
      <c r="O196" s="1248"/>
      <c r="P196" s="1635"/>
      <c r="Q196" s="1248"/>
      <c r="R196" s="1059"/>
      <c r="S196" s="1618"/>
      <c r="T196" s="1636"/>
      <c r="U196" s="1618"/>
      <c r="V196" s="1623"/>
      <c r="W196" s="1618"/>
      <c r="X196" s="722"/>
      <c r="Y196" s="723"/>
      <c r="Z196" s="724"/>
      <c r="AA196" s="723"/>
      <c r="AB196" s="722"/>
      <c r="AC196" s="723"/>
      <c r="AD196" s="722"/>
      <c r="AE196" s="723"/>
      <c r="AF196" s="1717"/>
      <c r="AG196" s="723"/>
      <c r="AH196" s="1637"/>
      <c r="AI196" s="1624"/>
      <c r="AJ196" s="1624"/>
      <c r="AK196" s="1624"/>
      <c r="AL196" s="1624"/>
      <c r="AM196" s="1625"/>
      <c r="AN196" s="1625"/>
      <c r="AO196" s="1625"/>
      <c r="AP196" s="1625"/>
      <c r="AQ196" s="1625"/>
      <c r="AR196" s="1625"/>
      <c r="AS196" s="1625"/>
      <c r="AT196" s="1625"/>
      <c r="AU196" s="1625"/>
      <c r="AV196" s="1626"/>
      <c r="AW196" s="1626"/>
      <c r="AX196" s="1626"/>
      <c r="AY196" s="1626"/>
      <c r="AZ196" s="1626"/>
      <c r="BA196" s="1626"/>
      <c r="BB196" s="1626"/>
      <c r="BC196" s="1626"/>
      <c r="BD196" s="1626"/>
      <c r="BE196" s="1626"/>
      <c r="BF196" s="1626"/>
      <c r="BG196" s="721"/>
      <c r="BH196" s="1626"/>
      <c r="BI196" s="1626"/>
      <c r="BJ196" s="1626"/>
      <c r="BK196" s="1626"/>
      <c r="BL196" s="1626"/>
      <c r="BM196" s="1626"/>
      <c r="BN196" s="758"/>
      <c r="BO196" s="721">
        <f t="shared" si="4"/>
        <v>0</v>
      </c>
      <c r="BP196" s="816"/>
      <c r="BQ196" s="816"/>
      <c r="BR196" s="816"/>
    </row>
    <row r="197" spans="1:70" s="686" customFormat="1" x14ac:dyDescent="0.2">
      <c r="A197" s="840">
        <v>93</v>
      </c>
      <c r="B197" s="1712">
        <v>93</v>
      </c>
      <c r="C197" s="1613"/>
      <c r="D197" s="1248" t="str">
        <f>IF(AND(C197="",C195&lt;&gt;""),"Enter Facility "&amp;TEXT(A197,0)&amp;" Name, then Fill in Columns "&amp;TEXT($H$2,0)&amp;" - "&amp;TEXT($AH$2,0)&amp;"       ","")</f>
        <v/>
      </c>
      <c r="E197" s="1245" t="str">
        <f>IF(AL197="N/A","",AL197)</f>
        <v/>
      </c>
      <c r="F197" s="758"/>
      <c r="G197" s="758"/>
      <c r="H197" s="1614"/>
      <c r="I197" s="758"/>
      <c r="J197" s="1615"/>
      <c r="K197" s="1248" t="str">
        <f>IF(E197&lt;&gt;"","Enter Street Address                   ","")</f>
        <v/>
      </c>
      <c r="L197" s="1615"/>
      <c r="M197" s="1248" t="str">
        <f>IF(E197&lt;&gt;"","Enter City Name       ","")</f>
        <v/>
      </c>
      <c r="N197" s="1613"/>
      <c r="O197" s="1248" t="str">
        <f>IF(E197&lt;&gt;"","Select from Pull-Down List   ","")</f>
        <v/>
      </c>
      <c r="P197" s="1616"/>
      <c r="Q197" s="1248" t="str">
        <f>IF($E197&lt;&gt;"","Enter ZIP Code       ","")</f>
        <v/>
      </c>
      <c r="R197" s="1617"/>
      <c r="S197" s="1618" t="str">
        <f>IF($E197&lt;&gt;"","Select from Pull-Down List  ","")</f>
        <v/>
      </c>
      <c r="T197" s="1617"/>
      <c r="U197" s="1618" t="str">
        <f>IF(AND($C197&lt;&gt;"",T197=""),"Select from Pull-Down List  ","")</f>
        <v/>
      </c>
      <c r="V197" s="1619"/>
      <c r="W197" s="1248" t="str">
        <f>IF(E197&lt;&gt;"","Year?   ","")</f>
        <v/>
      </c>
      <c r="X197" s="1247"/>
      <c r="Y197" s="1620" t="str">
        <f>IF(E197&lt;&gt;"","Sq. Feet?   ","")</f>
        <v/>
      </c>
      <c r="Z197" s="1621"/>
      <c r="AA197" s="1618" t="str">
        <f>IF($E197&lt;&gt;"","% of Cap Resp.","")</f>
        <v/>
      </c>
      <c r="AB197" s="1782" t="str">
        <f ca="1">IFERROR(IF(BK197="", "", IF(BK197&gt;100, 1, VLOOKUP(BK197, Valid!$W$1:$AA$101, VLOOKUP(T197, Codes!$G$7:$I$17, 3, FALSE), FALSE))), "")</f>
        <v/>
      </c>
      <c r="AC197" s="1618"/>
      <c r="AD197" s="1247"/>
      <c r="AE197" s="1620" t="str">
        <f>IF($E197&lt;&gt;"","Drop-Down    ","")</f>
        <v/>
      </c>
      <c r="AF197" s="1720"/>
      <c r="AG197" s="1620" t="b">
        <f>IF(E197&lt;&gt;"","Date?   ")</f>
        <v>0</v>
      </c>
      <c r="AH197" s="1613"/>
      <c r="AI197" s="1248" t="str">
        <f>IF(OR(T197="Other (describe in Notes)",T197="Dual Administrative and Maintenance Facility"),"Describe Facility                                                                                         ","")</f>
        <v/>
      </c>
      <c r="AJ197" s="1624"/>
      <c r="AK197" s="1624" t="b">
        <f>IF(AND(C197="",C199&lt;&gt;""),TRUE,FALSE)</f>
        <v>0</v>
      </c>
      <c r="AL197" s="1624" t="str">
        <f>IF(AND($C197&lt;&gt;"",OR($J197="",$L197="",$N197="",$P197="",$R197="",$T197="",$V197="",$X197="",$Z197="",$AD197="",$AF197="")),"No",IF(AND($C197="",OR($H197&lt;&gt;"",$J197&lt;&gt;"",$L197&lt;&gt;"",$N197&lt;&gt;"",$P197&lt;&gt;"",$R197&lt;&gt;"",$T197&lt;&gt;"",$V197&lt;&gt;"",$X197&lt;&gt;"",$Z197&lt;&gt;"",$AD197&lt;&gt;"",$AF197&lt;&gt;"")),"N",IF(AND($H197="",$C197="",$J197="",$L197="",$N197="",$P197="",$R197="",$T197="",$V197="",$X197="",$Z197="",$AD197="",$AF197=""),"N/A",IF(AND($C197&lt;&gt;"",$J197&lt;&gt;"",$L197&lt;&gt;"",$N197&lt;&gt;"",$P197&lt;&gt;"",$R197&lt;&gt;"",$T197&lt;&gt;"",$V197&lt;&gt;"",$X197&lt;&gt;"",$Z197&lt;&gt;"",$AD197&lt;&gt;"",$AF197&lt;&gt;""),"Yes",""))))</f>
        <v>N/A</v>
      </c>
      <c r="AM197" s="1625" t="b">
        <f ca="1">IF(AND($C197="",OR($J197&lt;&gt;"",$L197&lt;&gt;"",$N197&lt;&gt;"",$P197&lt;&gt;"",$R197&lt;&gt;"",$T197&lt;&gt;"",$V197&lt;&gt;"",$X197&lt;&gt;"",$Z197&lt;&gt;"",$AB197&lt;&gt;"",$AF197&lt;&gt;"")),TRUE,FALSE)</f>
        <v>0</v>
      </c>
      <c r="AN197" s="1625" t="b">
        <f>IF(AND($C197&lt;&gt;"",$J197=""),TRUE,FALSE)</f>
        <v>0</v>
      </c>
      <c r="AO197" s="1625" t="b">
        <f>IF(AND($C197&lt;&gt;"",$L197=""),TRUE,FALSE)</f>
        <v>0</v>
      </c>
      <c r="AP197" s="1625" t="b">
        <f>IF(AND($C197&lt;&gt;"",$N197=""),TRUE,FALSE)</f>
        <v>0</v>
      </c>
      <c r="AQ197" s="1625" t="b">
        <f>IF(AND($C197&lt;&gt;"",$P197=""),TRUE,FALSE)</f>
        <v>0</v>
      </c>
      <c r="AR197" s="1625" t="b">
        <f>IF(AND($C197&lt;&gt;"",$R197=""),TRUE,FALSE)</f>
        <v>0</v>
      </c>
      <c r="AS197" s="1625"/>
      <c r="AT197" s="1625" t="b">
        <f ca="1">IF(AND(T197="",OR(V197&lt;&gt;"",X197&lt;&gt;"",Z197&lt;&gt;"",AB197&lt;&gt;"",AF197&lt;&gt;"")),TRUE,FALSE)</f>
        <v>0</v>
      </c>
      <c r="AU197" s="1625" t="b">
        <f>IF(AND($C197&lt;&gt;"",$T197=""),TRUE,FALSE)</f>
        <v>0</v>
      </c>
      <c r="AV197" s="1625" t="b">
        <f>IF(V197="",FALSE,IF(T197="",FALSE,IF(AW197=TRUE,FALSE,IF(OR(V197&lt;BI197,V197&gt;BaseYear),TRUE,FALSE))))</f>
        <v>0</v>
      </c>
      <c r="AW197" s="1625" t="b">
        <f>IF(AND($C197&lt;&gt;"",$V197=""),TRUE,FALSE)</f>
        <v>0</v>
      </c>
      <c r="AX197" s="1625" t="b">
        <f>IF(X197="",FALSE,IF(T197="",FALSE,IF(AZ197=TRUE,FALSE,IF(X197&lt;BL197,TRUE,FALSE))))</f>
        <v>0</v>
      </c>
      <c r="AY197" s="1625" t="b">
        <f>IF(X197="",FALSE,IF(T197="",FALSE,IF(AZ197=TRUE,FALSE,IF(X197&gt;BM197,TRUE,FALSE))))</f>
        <v>0</v>
      </c>
      <c r="AZ197" s="1625" t="b">
        <f>IF(AND($C197&lt;&gt;"",$X197=""),TRUE,FALSE)</f>
        <v>0</v>
      </c>
      <c r="BA197" s="1626" t="b">
        <f>IF(BB197=TRUE,FALSE,IF(OR(Z197&lt;0,Z197&gt;1),TRUE,FALSE))</f>
        <v>0</v>
      </c>
      <c r="BB197" s="1625" t="b">
        <f>IF(AND($C197&lt;&gt;"",$Z197=""),TRUE,FALSE)</f>
        <v>0</v>
      </c>
      <c r="BC197" s="1626"/>
      <c r="BD197" s="1625" t="b">
        <f ca="1">IF(AND($C197&lt;&gt;"",$AB197=""),TRUE,FALSE)</f>
        <v>0</v>
      </c>
      <c r="BE197" s="1626" t="b">
        <f>IF(OR(AF197="", V197=""),FALSE,IF(COUNT(FIND({0,1,2,3,4,5,6,7,8,9}, AF197))=0, FALSE, IF(YEAR(AF197)&lt;V197, TRUE, FALSE)))</f>
        <v>0</v>
      </c>
      <c r="BF197" s="1625" t="b">
        <f>IF(AND($C197&lt;&gt;"",$AF197=""),TRUE,FALSE)</f>
        <v>0</v>
      </c>
      <c r="BG197" s="721"/>
      <c r="BH197" s="1625" t="str">
        <f>IF($T197="","",VLOOKUP($T197,val_facilities,BH$3,FALSE))</f>
        <v/>
      </c>
      <c r="BI197" s="1627" t="str">
        <f>IF($T197="","",VLOOKUP($T197,val_facilities,BI$3,FALSE))</f>
        <v/>
      </c>
      <c r="BJ197" s="1627" t="str">
        <f>IF($T197="","",VLOOKUP($T197,val_facilities,BJ$3,FALSE))</f>
        <v/>
      </c>
      <c r="BK197" s="1627" t="str">
        <f ca="1">IFERROR(IF(V197="", "", YEAR(TODAY())-V197), "")</f>
        <v/>
      </c>
      <c r="BL197" s="845" t="str">
        <f>IF($T197="","",VLOOKUP($T197,val_facilities,BL$3,FALSE))</f>
        <v/>
      </c>
      <c r="BM197" s="845" t="str">
        <f>IF($T197="","",VLOOKUP($T197,val_facilities,BM$3,FALSE))</f>
        <v/>
      </c>
      <c r="BN197" s="758"/>
      <c r="BO197" s="721">
        <f t="shared" si="4"/>
        <v>0</v>
      </c>
      <c r="BP197" s="816"/>
      <c r="BQ197" s="816"/>
      <c r="BR197" s="816"/>
    </row>
    <row r="198" spans="1:70" s="686" customFormat="1" ht="6.75" customHeight="1" thickBot="1" x14ac:dyDescent="0.25">
      <c r="A198" s="1638"/>
      <c r="B198" s="1712">
        <v>93.5</v>
      </c>
      <c r="C198" s="1057"/>
      <c r="D198" s="1248"/>
      <c r="E198" s="1057"/>
      <c r="F198" s="1229"/>
      <c r="G198" s="1229"/>
      <c r="H198" s="1229"/>
      <c r="I198" s="1229"/>
      <c r="J198" s="1604"/>
      <c r="K198" s="1640"/>
      <c r="L198" s="1641"/>
      <c r="M198" s="1248"/>
      <c r="N198" s="1641"/>
      <c r="O198" s="1248"/>
      <c r="P198" s="1642"/>
      <c r="Q198" s="1248"/>
      <c r="R198" s="1057"/>
      <c r="S198" s="1618"/>
      <c r="T198" s="1643"/>
      <c r="U198" s="1618"/>
      <c r="V198" s="1623"/>
      <c r="W198" s="1618"/>
      <c r="X198" s="733"/>
      <c r="Y198" s="1275"/>
      <c r="Z198" s="685"/>
      <c r="AA198" s="1275"/>
      <c r="AB198" s="733"/>
      <c r="AC198" s="1275"/>
      <c r="AD198" s="733"/>
      <c r="AE198" s="1275"/>
      <c r="AF198" s="1721"/>
      <c r="AG198" s="1275"/>
      <c r="AH198" s="1057"/>
      <c r="AI198" s="1644"/>
      <c r="AJ198" s="1644"/>
      <c r="AK198" s="1644"/>
      <c r="AL198" s="1644"/>
      <c r="AM198" s="1625"/>
      <c r="AN198" s="1625"/>
      <c r="AO198" s="1625"/>
      <c r="AP198" s="1625"/>
      <c r="AQ198" s="1625"/>
      <c r="AR198" s="848"/>
      <c r="AS198" s="848"/>
      <c r="AT198" s="848"/>
      <c r="AU198" s="848"/>
      <c r="AV198" s="848"/>
      <c r="AW198" s="848"/>
      <c r="AX198" s="848"/>
      <c r="AY198" s="848"/>
      <c r="AZ198" s="848"/>
      <c r="BA198" s="848"/>
      <c r="BB198" s="848"/>
      <c r="BC198" s="848"/>
      <c r="BD198" s="848"/>
      <c r="BE198" s="848"/>
      <c r="BF198" s="848"/>
      <c r="BG198" s="685"/>
      <c r="BH198" s="848"/>
      <c r="BI198" s="848"/>
      <c r="BJ198" s="848"/>
      <c r="BK198" s="848"/>
      <c r="BL198" s="848"/>
      <c r="BM198" s="848"/>
      <c r="BN198" s="1229"/>
      <c r="BO198" s="721">
        <f t="shared" si="4"/>
        <v>0</v>
      </c>
    </row>
    <row r="199" spans="1:70" s="686" customFormat="1" x14ac:dyDescent="0.2">
      <c r="A199" s="840">
        <v>94</v>
      </c>
      <c r="B199" s="1712">
        <v>94</v>
      </c>
      <c r="C199" s="1613"/>
      <c r="D199" s="1248" t="str">
        <f>IF(AND(C199="",C197&lt;&gt;""),"Enter Facility "&amp;TEXT(A199,0)&amp;" Name, then Fill in Columns "&amp;TEXT($H$2,0)&amp;" - "&amp;TEXT($AH$2,0)&amp;"       ","")</f>
        <v/>
      </c>
      <c r="E199" s="1245" t="str">
        <f>IF(AL199="N/A","",AL199)</f>
        <v/>
      </c>
      <c r="F199" s="758"/>
      <c r="G199" s="758"/>
      <c r="H199" s="1614"/>
      <c r="I199" s="758"/>
      <c r="J199" s="1615"/>
      <c r="K199" s="1248" t="str">
        <f>IF(E199&lt;&gt;"","Enter Street Address                   ","")</f>
        <v/>
      </c>
      <c r="L199" s="1615"/>
      <c r="M199" s="1248" t="str">
        <f>IF(E199&lt;&gt;"","Enter City Name       ","")</f>
        <v/>
      </c>
      <c r="N199" s="1613"/>
      <c r="O199" s="1248" t="str">
        <f>IF(E199&lt;&gt;"","Select from Pull-Down List   ","")</f>
        <v/>
      </c>
      <c r="P199" s="1616"/>
      <c r="Q199" s="1248" t="str">
        <f>IF($E199&lt;&gt;"","Enter ZIP Code       ","")</f>
        <v/>
      </c>
      <c r="R199" s="1617"/>
      <c r="S199" s="1618" t="str">
        <f>IF($E199&lt;&gt;"","Select from Pull-Down List  ","")</f>
        <v/>
      </c>
      <c r="T199" s="1617"/>
      <c r="U199" s="1618" t="str">
        <f>IF(AND($C199&lt;&gt;"",T199=""),"Select from Pull-Down List  ","")</f>
        <v/>
      </c>
      <c r="V199" s="1619"/>
      <c r="W199" s="1248" t="str">
        <f>IF(E199&lt;&gt;"","Year?   ","")</f>
        <v/>
      </c>
      <c r="X199" s="1247"/>
      <c r="Y199" s="1620" t="str">
        <f>IF(E199&lt;&gt;"","Sq. Feet?   ","")</f>
        <v/>
      </c>
      <c r="Z199" s="1621"/>
      <c r="AA199" s="1618" t="str">
        <f>IF($E199&lt;&gt;"","% of Cap Resp.","")</f>
        <v/>
      </c>
      <c r="AB199" s="1782" t="str">
        <f ca="1">IFERROR(IF(BK199="", "", IF(BK199&gt;100, 1, VLOOKUP(BK199, Valid!$W$1:$AA$101, VLOOKUP(T199, Codes!$G$7:$I$17, 3, FALSE), FALSE))), "")</f>
        <v/>
      </c>
      <c r="AC199" s="1618"/>
      <c r="AD199" s="1247"/>
      <c r="AE199" s="1620" t="str">
        <f>IF($E199&lt;&gt;"","Drop-Down    ","")</f>
        <v/>
      </c>
      <c r="AF199" s="1720"/>
      <c r="AG199" s="1620" t="b">
        <f>IF(E199&lt;&gt;"","Date?   ")</f>
        <v>0</v>
      </c>
      <c r="AH199" s="1613"/>
      <c r="AI199" s="1248" t="str">
        <f>IF(OR(T199="Other (describe in Notes)",T199="Dual Administrative and Maintenance Facility"),"Describe Facility                                                                                         ","")</f>
        <v/>
      </c>
      <c r="AJ199" s="1624"/>
      <c r="AK199" s="1624" t="b">
        <f>IF(AND(C199="",C201&lt;&gt;""),TRUE,FALSE)</f>
        <v>0</v>
      </c>
      <c r="AL199" s="1624" t="str">
        <f>IF(AND($C199&lt;&gt;"",OR($J199="",$L199="",$N199="",$P199="",$R199="",$T199="",$V199="",$X199="",$Z199="",$AD199="",$AF199="")),"No",IF(AND($C199="",OR($H199&lt;&gt;"",$J199&lt;&gt;"",$L199&lt;&gt;"",$N199&lt;&gt;"",$P199&lt;&gt;"",$R199&lt;&gt;"",$T199&lt;&gt;"",$V199&lt;&gt;"",$X199&lt;&gt;"",$Z199&lt;&gt;"",$AD199&lt;&gt;"",$AF199&lt;&gt;"")),"N",IF(AND($H199="",$C199="",$J199="",$L199="",$N199="",$P199="",$R199="",$T199="",$V199="",$X199="",$Z199="",$AD199="",$AF199=""),"N/A",IF(AND($C199&lt;&gt;"",$J199&lt;&gt;"",$L199&lt;&gt;"",$N199&lt;&gt;"",$P199&lt;&gt;"",$R199&lt;&gt;"",$T199&lt;&gt;"",$V199&lt;&gt;"",$X199&lt;&gt;"",$Z199&lt;&gt;"",$AD199&lt;&gt;"",$AF199&lt;&gt;""),"Yes",""))))</f>
        <v>N/A</v>
      </c>
      <c r="AM199" s="1625" t="b">
        <f ca="1">IF(AND($C199="",OR($J199&lt;&gt;"",$L199&lt;&gt;"",$N199&lt;&gt;"",$P199&lt;&gt;"",$R199&lt;&gt;"",$T199&lt;&gt;"",$V199&lt;&gt;"",$X199&lt;&gt;"",$Z199&lt;&gt;"",$AB199&lt;&gt;"",$AF199&lt;&gt;"")),TRUE,FALSE)</f>
        <v>0</v>
      </c>
      <c r="AN199" s="1625" t="b">
        <f>IF(AND($C199&lt;&gt;"",$J199=""),TRUE,FALSE)</f>
        <v>0</v>
      </c>
      <c r="AO199" s="1625" t="b">
        <f>IF(AND($C199&lt;&gt;"",$L199=""),TRUE,FALSE)</f>
        <v>0</v>
      </c>
      <c r="AP199" s="1625" t="b">
        <f>IF(AND($C199&lt;&gt;"",$N199=""),TRUE,FALSE)</f>
        <v>0</v>
      </c>
      <c r="AQ199" s="1625" t="b">
        <f>IF(AND($C199&lt;&gt;"",$P199=""),TRUE,FALSE)</f>
        <v>0</v>
      </c>
      <c r="AR199" s="1625" t="b">
        <f>IF(AND($C199&lt;&gt;"",$R199=""),TRUE,FALSE)</f>
        <v>0</v>
      </c>
      <c r="AS199" s="1625"/>
      <c r="AT199" s="1625" t="b">
        <f ca="1">IF(AND(T199="",OR(V199&lt;&gt;"",X199&lt;&gt;"",Z199&lt;&gt;"",AB199&lt;&gt;"",AF199&lt;&gt;"")),TRUE,FALSE)</f>
        <v>0</v>
      </c>
      <c r="AU199" s="1625" t="b">
        <f>IF(AND($C199&lt;&gt;"",$T199=""),TRUE,FALSE)</f>
        <v>0</v>
      </c>
      <c r="AV199" s="1625" t="b">
        <f>IF(V199="",FALSE,IF(T199="",FALSE,IF(AW199=TRUE,FALSE,IF(OR(V199&lt;BI199,V199&gt;BaseYear),TRUE,FALSE))))</f>
        <v>0</v>
      </c>
      <c r="AW199" s="1625" t="b">
        <f>IF(AND($C199&lt;&gt;"",$V199=""),TRUE,FALSE)</f>
        <v>0</v>
      </c>
      <c r="AX199" s="1625" t="b">
        <f>IF(X199="",FALSE,IF(T199="",FALSE,IF(AZ199=TRUE,FALSE,IF(X199&lt;BL199,TRUE,FALSE))))</f>
        <v>0</v>
      </c>
      <c r="AY199" s="1625" t="b">
        <f>IF(X199="",FALSE,IF(T199="",FALSE,IF(AZ199=TRUE,FALSE,IF(X199&gt;BM199,TRUE,FALSE))))</f>
        <v>0</v>
      </c>
      <c r="AZ199" s="1625" t="b">
        <f>IF(AND($C199&lt;&gt;"",$X199=""),TRUE,FALSE)</f>
        <v>0</v>
      </c>
      <c r="BA199" s="1626" t="b">
        <f>IF(BB199=TRUE,FALSE,IF(OR(Z199&lt;0,Z199&gt;1),TRUE,FALSE))</f>
        <v>0</v>
      </c>
      <c r="BB199" s="1625" t="b">
        <f>IF(AND($C199&lt;&gt;"",$Z199=""),TRUE,FALSE)</f>
        <v>0</v>
      </c>
      <c r="BC199" s="1626"/>
      <c r="BD199" s="1625" t="b">
        <f ca="1">IF(AND($C199&lt;&gt;"",$AB199=""),TRUE,FALSE)</f>
        <v>0</v>
      </c>
      <c r="BE199" s="1626" t="b">
        <f>IF(OR(AF199="", V199=""),FALSE,IF(COUNT(FIND({0,1,2,3,4,5,6,7,8,9}, AF199))=0, FALSE, IF(YEAR(AF199)&lt;V199, TRUE, FALSE)))</f>
        <v>0</v>
      </c>
      <c r="BF199" s="1625" t="b">
        <f>IF(AND($C199&lt;&gt;"",$AF199=""),TRUE,FALSE)</f>
        <v>0</v>
      </c>
      <c r="BG199" s="721"/>
      <c r="BH199" s="1625" t="str">
        <f>IF($T199="","",VLOOKUP($T199,val_facilities,BH$3,FALSE))</f>
        <v/>
      </c>
      <c r="BI199" s="1627" t="str">
        <f>IF($T199="","",VLOOKUP($T199,val_facilities,BI$3,FALSE))</f>
        <v/>
      </c>
      <c r="BJ199" s="1627" t="str">
        <f>IF($T199="","",VLOOKUP($T199,val_facilities,BJ$3,FALSE))</f>
        <v/>
      </c>
      <c r="BK199" s="1627" t="str">
        <f ca="1">IFERROR(IF(V199="", "", YEAR(TODAY())-V199), "")</f>
        <v/>
      </c>
      <c r="BL199" s="845" t="str">
        <f>IF($T199="","",VLOOKUP($T199,val_facilities,BL$3,FALSE))</f>
        <v/>
      </c>
      <c r="BM199" s="845" t="str">
        <f>IF($T199="","",VLOOKUP($T199,val_facilities,BM$3,FALSE))</f>
        <v/>
      </c>
      <c r="BN199" s="758"/>
      <c r="BO199" s="721">
        <f t="shared" si="4"/>
        <v>0</v>
      </c>
      <c r="BP199" s="816"/>
      <c r="BQ199" s="816"/>
      <c r="BR199" s="816"/>
    </row>
    <row r="200" spans="1:70" s="686" customFormat="1" ht="6.75" customHeight="1" thickBot="1" x14ac:dyDescent="0.25">
      <c r="A200" s="1638"/>
      <c r="B200" s="1712">
        <v>94.5</v>
      </c>
      <c r="C200" s="1057"/>
      <c r="D200" s="764"/>
      <c r="E200" s="1639"/>
      <c r="F200" s="1229"/>
      <c r="G200" s="1229"/>
      <c r="H200" s="1229"/>
      <c r="I200" s="1229"/>
      <c r="J200" s="1604"/>
      <c r="K200" s="1640"/>
      <c r="L200" s="1645"/>
      <c r="M200" s="1646"/>
      <c r="N200" s="1645"/>
      <c r="O200" s="1646"/>
      <c r="P200" s="1647"/>
      <c r="Q200" s="1646"/>
      <c r="R200" s="1057"/>
      <c r="S200" s="1618"/>
      <c r="T200" s="1643"/>
      <c r="U200" s="1618"/>
      <c r="V200" s="1623"/>
      <c r="W200" s="1618"/>
      <c r="X200" s="722"/>
      <c r="Y200" s="1648"/>
      <c r="Z200" s="841"/>
      <c r="AA200" s="1648"/>
      <c r="AB200" s="722"/>
      <c r="AC200" s="1648"/>
      <c r="AD200" s="722"/>
      <c r="AE200" s="1648"/>
      <c r="AF200" s="1717"/>
      <c r="AG200" s="1648"/>
      <c r="AH200" s="1057"/>
      <c r="AI200" s="1644"/>
      <c r="AJ200" s="1644"/>
      <c r="AK200" s="1644"/>
      <c r="AL200" s="1644"/>
      <c r="AM200" s="1625"/>
      <c r="AN200" s="1625"/>
      <c r="AO200" s="1625"/>
      <c r="AP200" s="1625"/>
      <c r="AQ200" s="1625"/>
      <c r="AR200" s="848"/>
      <c r="AS200" s="848"/>
      <c r="AT200" s="848"/>
      <c r="AU200" s="848"/>
      <c r="AV200" s="848"/>
      <c r="AW200" s="848"/>
      <c r="AX200" s="848"/>
      <c r="AY200" s="848"/>
      <c r="AZ200" s="848"/>
      <c r="BA200" s="848"/>
      <c r="BB200" s="848"/>
      <c r="BC200" s="848"/>
      <c r="BD200" s="848"/>
      <c r="BE200" s="848"/>
      <c r="BF200" s="848"/>
      <c r="BG200" s="685"/>
      <c r="BH200" s="848"/>
      <c r="BI200" s="848"/>
      <c r="BJ200" s="848"/>
      <c r="BK200" s="848"/>
      <c r="BL200" s="848"/>
      <c r="BM200" s="848"/>
      <c r="BN200" s="1229"/>
      <c r="BO200" s="721">
        <f t="shared" si="4"/>
        <v>0</v>
      </c>
    </row>
    <row r="201" spans="1:70" s="816" customFormat="1" x14ac:dyDescent="0.2">
      <c r="A201" s="840">
        <v>95</v>
      </c>
      <c r="B201" s="1712">
        <v>95</v>
      </c>
      <c r="C201" s="1613"/>
      <c r="D201" s="1248" t="str">
        <f>IF(AND(C201="",C199&lt;&gt;""),"Enter Facility "&amp;TEXT(A201,0)&amp;" Name, then Fill in Columns "&amp;TEXT($H$2,0)&amp;" - "&amp;TEXT($AH$2,0)&amp;"       ","")</f>
        <v/>
      </c>
      <c r="E201" s="1245" t="str">
        <f>IF(AL201="N/A","",AL201)</f>
        <v/>
      </c>
      <c r="F201" s="758"/>
      <c r="G201" s="758"/>
      <c r="H201" s="1614"/>
      <c r="I201" s="758"/>
      <c r="J201" s="1615"/>
      <c r="K201" s="1248" t="str">
        <f>IF(E201&lt;&gt;"","Enter Street Address                   ","")</f>
        <v/>
      </c>
      <c r="L201" s="1615"/>
      <c r="M201" s="1248" t="str">
        <f>IF(E201&lt;&gt;"","Enter City Name       ","")</f>
        <v/>
      </c>
      <c r="N201" s="1613"/>
      <c r="O201" s="1248" t="str">
        <f>IF(E201&lt;&gt;"","Select from Pull-Down List   ","")</f>
        <v/>
      </c>
      <c r="P201" s="1616"/>
      <c r="Q201" s="1248" t="str">
        <f>IF($E201&lt;&gt;"","Enter ZIP Code       ","")</f>
        <v/>
      </c>
      <c r="R201" s="1617"/>
      <c r="S201" s="1618" t="str">
        <f>IF($E201&lt;&gt;"","Select from Pull-Down List  ","")</f>
        <v/>
      </c>
      <c r="T201" s="1617"/>
      <c r="U201" s="1618" t="str">
        <f>IF(AND($C201&lt;&gt;"",T201=""),"Select from Pull-Down List  ","")</f>
        <v/>
      </c>
      <c r="V201" s="1619"/>
      <c r="W201" s="1248" t="str">
        <f>IF(E201&lt;&gt;"","Year?   ","")</f>
        <v/>
      </c>
      <c r="X201" s="1247"/>
      <c r="Y201" s="1620" t="str">
        <f>IF(E201&lt;&gt;"","Sq. Feet?   ","")</f>
        <v/>
      </c>
      <c r="Z201" s="1621"/>
      <c r="AA201" s="1618" t="str">
        <f>IF($E201&lt;&gt;"","% of Cap Resp.","")</f>
        <v/>
      </c>
      <c r="AB201" s="1782" t="str">
        <f ca="1">IFERROR(IF(BK201="", "", IF(BK201&gt;100, 1, VLOOKUP(BK201, Valid!$W$1:$AA$101, VLOOKUP(T201, Codes!$G$7:$I$17, 3, FALSE), FALSE))), "")</f>
        <v/>
      </c>
      <c r="AC201" s="1618"/>
      <c r="AD201" s="1247"/>
      <c r="AE201" s="1620" t="str">
        <f>IF($E201&lt;&gt;"","Drop-Down    ","")</f>
        <v/>
      </c>
      <c r="AF201" s="1720"/>
      <c r="AG201" s="1620" t="b">
        <f>IF(E201&lt;&gt;"","Date?   ")</f>
        <v>0</v>
      </c>
      <c r="AH201" s="1613"/>
      <c r="AI201" s="1248" t="str">
        <f>IF(OR(T201="Other (describe in Notes)",T201="Dual Administrative and Maintenance Facility"),"Describe Facility                                                                                         ","")</f>
        <v/>
      </c>
      <c r="AJ201" s="1624"/>
      <c r="AK201" s="1624" t="b">
        <f>IF(AND(C201="",C203&lt;&gt;""),TRUE,FALSE)</f>
        <v>0</v>
      </c>
      <c r="AL201" s="1624" t="str">
        <f>IF(AND($C201&lt;&gt;"",OR($J201="",$L201="",$N201="",$P201="",$R201="",$T201="",$V201="",$X201="",$Z201="",$AD201="",$AF201="")),"No",IF(AND($C201="",OR($H201&lt;&gt;"",$J201&lt;&gt;"",$L201&lt;&gt;"",$N201&lt;&gt;"",$P201&lt;&gt;"",$R201&lt;&gt;"",$T201&lt;&gt;"",$V201&lt;&gt;"",$X201&lt;&gt;"",$Z201&lt;&gt;"",$AD201&lt;&gt;"",$AF201&lt;&gt;"")),"N",IF(AND($H201="",$C201="",$J201="",$L201="",$N201="",$P201="",$R201="",$T201="",$V201="",$X201="",$Z201="",$AD201="",$AF201=""),"N/A",IF(AND($C201&lt;&gt;"",$J201&lt;&gt;"",$L201&lt;&gt;"",$N201&lt;&gt;"",$P201&lt;&gt;"",$R201&lt;&gt;"",$T201&lt;&gt;"",$V201&lt;&gt;"",$X201&lt;&gt;"",$Z201&lt;&gt;"",$AD201&lt;&gt;"",$AF201&lt;&gt;""),"Yes",""))))</f>
        <v>N/A</v>
      </c>
      <c r="AM201" s="1625" t="b">
        <f ca="1">IF(AND($C201="",OR($J201&lt;&gt;"",$L201&lt;&gt;"",$N201&lt;&gt;"",$P201&lt;&gt;"",$R201&lt;&gt;"",$T201&lt;&gt;"",$V201&lt;&gt;"",$X201&lt;&gt;"",$Z201&lt;&gt;"",$AB201&lt;&gt;"",$AF201&lt;&gt;"")),TRUE,FALSE)</f>
        <v>0</v>
      </c>
      <c r="AN201" s="1625" t="b">
        <f>IF(AND($C201&lt;&gt;"",$J201=""),TRUE,FALSE)</f>
        <v>0</v>
      </c>
      <c r="AO201" s="1625" t="b">
        <f>IF(AND($C201&lt;&gt;"",$L201=""),TRUE,FALSE)</f>
        <v>0</v>
      </c>
      <c r="AP201" s="1625" t="b">
        <f>IF(AND($C201&lt;&gt;"",$N201=""),TRUE,FALSE)</f>
        <v>0</v>
      </c>
      <c r="AQ201" s="1625" t="b">
        <f>IF(AND($C201&lt;&gt;"",$P201=""),TRUE,FALSE)</f>
        <v>0</v>
      </c>
      <c r="AR201" s="1625" t="b">
        <f>IF(AND($C201&lt;&gt;"",$R201=""),TRUE,FALSE)</f>
        <v>0</v>
      </c>
      <c r="AS201" s="1625"/>
      <c r="AT201" s="1625" t="b">
        <f ca="1">IF(AND(T201="",OR(V201&lt;&gt;"",X201&lt;&gt;"",Z201&lt;&gt;"",AB201&lt;&gt;"",AF201&lt;&gt;"")),TRUE,FALSE)</f>
        <v>0</v>
      </c>
      <c r="AU201" s="1625" t="b">
        <f>IF(AND($C201&lt;&gt;"",$T201=""),TRUE,FALSE)</f>
        <v>0</v>
      </c>
      <c r="AV201" s="1625" t="b">
        <f>IF(V201="",FALSE,IF(T201="",FALSE,IF(AW201=TRUE,FALSE,IF(OR(V201&lt;BI201,V201&gt;BaseYear),TRUE,FALSE))))</f>
        <v>0</v>
      </c>
      <c r="AW201" s="1625" t="b">
        <f>IF(AND($C201&lt;&gt;"",$V201=""),TRUE,FALSE)</f>
        <v>0</v>
      </c>
      <c r="AX201" s="1625" t="b">
        <f>IF(X201="",FALSE,IF(T201="",FALSE,IF(AZ201=TRUE,FALSE,IF(X201&lt;BL201,TRUE,FALSE))))</f>
        <v>0</v>
      </c>
      <c r="AY201" s="1625" t="b">
        <f>IF(X201="",FALSE,IF(T201="",FALSE,IF(AZ201=TRUE,FALSE,IF(X201&gt;BM201,TRUE,FALSE))))</f>
        <v>0</v>
      </c>
      <c r="AZ201" s="1625" t="b">
        <f>IF(AND($C201&lt;&gt;"",$X201=""),TRUE,FALSE)</f>
        <v>0</v>
      </c>
      <c r="BA201" s="1626" t="b">
        <f>IF(BB201=TRUE,FALSE,IF(OR(Z201&lt;0,Z201&gt;1),TRUE,FALSE))</f>
        <v>0</v>
      </c>
      <c r="BB201" s="1625" t="b">
        <f>IF(AND($C201&lt;&gt;"",$Z201=""),TRUE,FALSE)</f>
        <v>0</v>
      </c>
      <c r="BC201" s="1626"/>
      <c r="BD201" s="1625" t="b">
        <f ca="1">IF(AND($C201&lt;&gt;"",$AB201=""),TRUE,FALSE)</f>
        <v>0</v>
      </c>
      <c r="BE201" s="1626" t="b">
        <f>IF(OR(AF201="", V201=""),FALSE,IF(COUNT(FIND({0,1,2,3,4,5,6,7,8,9}, AF201))=0, FALSE, IF(YEAR(AF201)&lt;V201, TRUE, FALSE)))</f>
        <v>0</v>
      </c>
      <c r="BF201" s="1625" t="b">
        <f>IF(AND($C201&lt;&gt;"",$AF201=""),TRUE,FALSE)</f>
        <v>0</v>
      </c>
      <c r="BG201" s="721"/>
      <c r="BH201" s="1625" t="str">
        <f>IF($T201="","",VLOOKUP($T201,val_facilities,BH$3,FALSE))</f>
        <v/>
      </c>
      <c r="BI201" s="1627" t="str">
        <f>IF($T201="","",VLOOKUP($T201,val_facilities,BI$3,FALSE))</f>
        <v/>
      </c>
      <c r="BJ201" s="1627" t="str">
        <f>IF($T201="","",VLOOKUP($T201,val_facilities,BJ$3,FALSE))</f>
        <v/>
      </c>
      <c r="BK201" s="1627" t="str">
        <f ca="1">IFERROR(IF(V201="", "", YEAR(TODAY())-V201), "")</f>
        <v/>
      </c>
      <c r="BL201" s="845" t="str">
        <f>IF($T201="","",VLOOKUP($T201,val_facilities,BL$3,FALSE))</f>
        <v/>
      </c>
      <c r="BM201" s="845" t="str">
        <f>IF($T201="","",VLOOKUP($T201,val_facilities,BM$3,FALSE))</f>
        <v/>
      </c>
      <c r="BN201" s="758"/>
      <c r="BO201" s="721">
        <f t="shared" si="4"/>
        <v>0</v>
      </c>
    </row>
    <row r="202" spans="1:70" s="816" customFormat="1" ht="6.75" customHeight="1" thickBot="1" x14ac:dyDescent="0.25">
      <c r="A202" s="840"/>
      <c r="B202" s="1712">
        <v>95.5</v>
      </c>
      <c r="C202" s="1057"/>
      <c r="D202" s="1248"/>
      <c r="E202" s="1057"/>
      <c r="F202" s="1229"/>
      <c r="G202" s="1229"/>
      <c r="H202" s="1229"/>
      <c r="I202" s="1229"/>
      <c r="J202" s="1604"/>
      <c r="K202" s="1229"/>
      <c r="L202" s="1605"/>
      <c r="M202" s="1644"/>
      <c r="N202" s="1605"/>
      <c r="O202" s="1644"/>
      <c r="P202" s="1606"/>
      <c r="Q202" s="1644"/>
      <c r="R202" s="1057"/>
      <c r="S202" s="1623"/>
      <c r="T202" s="1643"/>
      <c r="U202" s="1623"/>
      <c r="V202" s="1623"/>
      <c r="W202" s="1623"/>
      <c r="X202" s="722"/>
      <c r="Y202" s="841"/>
      <c r="Z202" s="841"/>
      <c r="AA202" s="841"/>
      <c r="AB202" s="722"/>
      <c r="AC202" s="841"/>
      <c r="AD202" s="722"/>
      <c r="AE202" s="841"/>
      <c r="AF202" s="1717"/>
      <c r="AG202" s="841"/>
      <c r="AH202" s="1057"/>
      <c r="AI202" s="1644"/>
      <c r="AJ202" s="1644"/>
      <c r="AK202" s="1644"/>
      <c r="AL202" s="1644"/>
      <c r="AM202" s="1625"/>
      <c r="AN202" s="1625"/>
      <c r="AO202" s="1625"/>
      <c r="AP202" s="1625"/>
      <c r="AQ202" s="1625"/>
      <c r="AR202" s="848"/>
      <c r="AS202" s="848"/>
      <c r="AT202" s="848"/>
      <c r="AU202" s="848"/>
      <c r="AV202" s="848"/>
      <c r="AW202" s="848"/>
      <c r="AX202" s="848"/>
      <c r="AY202" s="848"/>
      <c r="AZ202" s="848"/>
      <c r="BA202" s="848"/>
      <c r="BB202" s="848"/>
      <c r="BC202" s="848"/>
      <c r="BD202" s="848"/>
      <c r="BE202" s="848"/>
      <c r="BF202" s="848"/>
      <c r="BG202" s="685"/>
      <c r="BH202" s="848"/>
      <c r="BI202" s="848"/>
      <c r="BJ202" s="848"/>
      <c r="BK202" s="848"/>
      <c r="BL202" s="848"/>
      <c r="BM202" s="848"/>
      <c r="BN202" s="1229"/>
      <c r="BO202" s="721">
        <f t="shared" si="4"/>
        <v>0</v>
      </c>
      <c r="BP202" s="686"/>
      <c r="BQ202" s="686"/>
      <c r="BR202" s="686"/>
    </row>
    <row r="203" spans="1:70" s="816" customFormat="1" x14ac:dyDescent="0.2">
      <c r="A203" s="840">
        <v>96</v>
      </c>
      <c r="B203" s="1712">
        <v>96</v>
      </c>
      <c r="C203" s="1613"/>
      <c r="D203" s="1248" t="str">
        <f>IF(AND(C203="",C201&lt;&gt;""),"Enter Facility "&amp;TEXT(A203,0)&amp;" Name, then Fill in Columns "&amp;TEXT($H$2,0)&amp;" - "&amp;TEXT($AH$2,0)&amp;"       ","")</f>
        <v/>
      </c>
      <c r="E203" s="1245" t="str">
        <f>IF(AL203="N/A","",AL203)</f>
        <v/>
      </c>
      <c r="F203" s="758"/>
      <c r="G203" s="758"/>
      <c r="H203" s="1614"/>
      <c r="I203" s="758"/>
      <c r="J203" s="1615"/>
      <c r="K203" s="1248" t="str">
        <f>IF(E203&lt;&gt;"","Enter Street Address                   ","")</f>
        <v/>
      </c>
      <c r="L203" s="1615"/>
      <c r="M203" s="1248" t="str">
        <f>IF(E203&lt;&gt;"","Enter City Name       ","")</f>
        <v/>
      </c>
      <c r="N203" s="1613"/>
      <c r="O203" s="1248" t="str">
        <f>IF(E203&lt;&gt;"","Select from Pull-Down List   ","")</f>
        <v/>
      </c>
      <c r="P203" s="1616"/>
      <c r="Q203" s="1248" t="str">
        <f>IF($E203&lt;&gt;"","Enter ZIP Code       ","")</f>
        <v/>
      </c>
      <c r="R203" s="1617"/>
      <c r="S203" s="1618" t="str">
        <f>IF($E203&lt;&gt;"","Select from Pull-Down List  ","")</f>
        <v/>
      </c>
      <c r="T203" s="1617"/>
      <c r="U203" s="1618" t="str">
        <f>IF(AND($C203&lt;&gt;"",T203=""),"Select from Pull-Down List  ","")</f>
        <v/>
      </c>
      <c r="V203" s="1619"/>
      <c r="W203" s="1248" t="str">
        <f>IF(E203&lt;&gt;"","Year?   ","")</f>
        <v/>
      </c>
      <c r="X203" s="1247"/>
      <c r="Y203" s="1620" t="str">
        <f>IF(E203&lt;&gt;"","Sq. Feet?   ","")</f>
        <v/>
      </c>
      <c r="Z203" s="1621"/>
      <c r="AA203" s="1618" t="str">
        <f>IF($E203&lt;&gt;"","% of Cap Resp.","")</f>
        <v/>
      </c>
      <c r="AB203" s="1782" t="str">
        <f ca="1">IFERROR(IF(BK203="", "", IF(BK203&gt;100, 1, VLOOKUP(BK203, Valid!$W$1:$AA$101, VLOOKUP(T203, Codes!$G$7:$I$17, 3, FALSE), FALSE))), "")</f>
        <v/>
      </c>
      <c r="AC203" s="1618"/>
      <c r="AD203" s="1247"/>
      <c r="AE203" s="1620" t="str">
        <f>IF($E203&lt;&gt;"","Drop-Down    ","")</f>
        <v/>
      </c>
      <c r="AF203" s="1720"/>
      <c r="AG203" s="1620" t="b">
        <f>IF(E203&lt;&gt;"","Date?   ")</f>
        <v>0</v>
      </c>
      <c r="AH203" s="1613"/>
      <c r="AI203" s="1248" t="str">
        <f>IF(OR(T203="Other (describe in Notes)",T203="Dual Administrative and Maintenance Facility"),"Describe Facility                                                                                         ","")</f>
        <v/>
      </c>
      <c r="AJ203" s="1624"/>
      <c r="AK203" s="1624" t="b">
        <f>IF(AND(C203="",C205&lt;&gt;""),TRUE,FALSE)</f>
        <v>0</v>
      </c>
      <c r="AL203" s="1624" t="str">
        <f>IF(AND($C203&lt;&gt;"",OR($J203="",$L203="",$N203="",$P203="",$R203="",$T203="",$V203="",$X203="",$Z203="",$AD203="",$AF203="")),"No",IF(AND($C203="",OR($H203&lt;&gt;"",$J203&lt;&gt;"",$L203&lt;&gt;"",$N203&lt;&gt;"",$P203&lt;&gt;"",$R203&lt;&gt;"",$T203&lt;&gt;"",$V203&lt;&gt;"",$X203&lt;&gt;"",$Z203&lt;&gt;"",$AD203&lt;&gt;"",$AF203&lt;&gt;"")),"N",IF(AND($H203="",$C203="",$J203="",$L203="",$N203="",$P203="",$R203="",$T203="",$V203="",$X203="",$Z203="",$AD203="",$AF203=""),"N/A",IF(AND($C203&lt;&gt;"",$J203&lt;&gt;"",$L203&lt;&gt;"",$N203&lt;&gt;"",$P203&lt;&gt;"",$R203&lt;&gt;"",$T203&lt;&gt;"",$V203&lt;&gt;"",$X203&lt;&gt;"",$Z203&lt;&gt;"",$AD203&lt;&gt;"",$AF203&lt;&gt;""),"Yes",""))))</f>
        <v>N/A</v>
      </c>
      <c r="AM203" s="1625" t="b">
        <f ca="1">IF(AND($C203="",OR($J203&lt;&gt;"",$L203&lt;&gt;"",$N203&lt;&gt;"",$P203&lt;&gt;"",$R203&lt;&gt;"",$T203&lt;&gt;"",$V203&lt;&gt;"",$X203&lt;&gt;"",$Z203&lt;&gt;"",$AB203&lt;&gt;"",$AF203&lt;&gt;"")),TRUE,FALSE)</f>
        <v>0</v>
      </c>
      <c r="AN203" s="1625" t="b">
        <f>IF(AND($C203&lt;&gt;"",$J203=""),TRUE,FALSE)</f>
        <v>0</v>
      </c>
      <c r="AO203" s="1625" t="b">
        <f>IF(AND($C203&lt;&gt;"",$L203=""),TRUE,FALSE)</f>
        <v>0</v>
      </c>
      <c r="AP203" s="1625" t="b">
        <f>IF(AND($C203&lt;&gt;"",$N203=""),TRUE,FALSE)</f>
        <v>0</v>
      </c>
      <c r="AQ203" s="1625" t="b">
        <f>IF(AND($C203&lt;&gt;"",$P203=""),TRUE,FALSE)</f>
        <v>0</v>
      </c>
      <c r="AR203" s="1625" t="b">
        <f>IF(AND($C203&lt;&gt;"",$R203=""),TRUE,FALSE)</f>
        <v>0</v>
      </c>
      <c r="AS203" s="1625"/>
      <c r="AT203" s="1625" t="b">
        <f ca="1">IF(AND(T203="",OR(V203&lt;&gt;"",X203&lt;&gt;"",Z203&lt;&gt;"",AB203&lt;&gt;"",AF203&lt;&gt;"")),TRUE,FALSE)</f>
        <v>0</v>
      </c>
      <c r="AU203" s="1625" t="b">
        <f>IF(AND($C203&lt;&gt;"",$T203=""),TRUE,FALSE)</f>
        <v>0</v>
      </c>
      <c r="AV203" s="1625" t="b">
        <f>IF(V203="",FALSE,IF(T203="",FALSE,IF(AW203=TRUE,FALSE,IF(OR(V203&lt;BI203,V203&gt;BaseYear),TRUE,FALSE))))</f>
        <v>0</v>
      </c>
      <c r="AW203" s="1625" t="b">
        <f>IF(AND($C203&lt;&gt;"",$V203=""),TRUE,FALSE)</f>
        <v>0</v>
      </c>
      <c r="AX203" s="1625" t="b">
        <f>IF(X203="",FALSE,IF(T203="",FALSE,IF(AZ203=TRUE,FALSE,IF(X203&lt;BL203,TRUE,FALSE))))</f>
        <v>0</v>
      </c>
      <c r="AY203" s="1625" t="b">
        <f>IF(X203="",FALSE,IF(T203="",FALSE,IF(AZ203=TRUE,FALSE,IF(X203&gt;BM203,TRUE,FALSE))))</f>
        <v>0</v>
      </c>
      <c r="AZ203" s="1625" t="b">
        <f>IF(AND($C203&lt;&gt;"",$X203=""),TRUE,FALSE)</f>
        <v>0</v>
      </c>
      <c r="BA203" s="1626" t="b">
        <f>IF(BB203=TRUE,FALSE,IF(OR(Z203&lt;0,Z203&gt;1),TRUE,FALSE))</f>
        <v>0</v>
      </c>
      <c r="BB203" s="1625" t="b">
        <f>IF(AND($C203&lt;&gt;"",$Z203=""),TRUE,FALSE)</f>
        <v>0</v>
      </c>
      <c r="BC203" s="1626"/>
      <c r="BD203" s="1625" t="b">
        <f ca="1">IF(AND($C203&lt;&gt;"",$AB203=""),TRUE,FALSE)</f>
        <v>0</v>
      </c>
      <c r="BE203" s="1626" t="b">
        <f>IF(OR(AF203="", V203=""),FALSE,IF(COUNT(FIND({0,1,2,3,4,5,6,7,8,9}, AF203))=0, FALSE, IF(YEAR(AF203)&lt;V203, TRUE, FALSE)))</f>
        <v>0</v>
      </c>
      <c r="BF203" s="1625" t="b">
        <f>IF(AND($C203&lt;&gt;"",$AF203=""),TRUE,FALSE)</f>
        <v>0</v>
      </c>
      <c r="BG203" s="721"/>
      <c r="BH203" s="1625" t="str">
        <f>IF($T203="","",VLOOKUP($T203,val_facilities,BH$3,FALSE))</f>
        <v/>
      </c>
      <c r="BI203" s="1627" t="str">
        <f>IF($T203="","",VLOOKUP($T203,val_facilities,BI$3,FALSE))</f>
        <v/>
      </c>
      <c r="BJ203" s="1627" t="str">
        <f>IF($T203="","",VLOOKUP($T203,val_facilities,BJ$3,FALSE))</f>
        <v/>
      </c>
      <c r="BK203" s="1627" t="str">
        <f ca="1">IFERROR(IF(V203="", "", YEAR(TODAY())-V203), "")</f>
        <v/>
      </c>
      <c r="BL203" s="845" t="str">
        <f>IF($T203="","",VLOOKUP($T203,val_facilities,BL$3,FALSE))</f>
        <v/>
      </c>
      <c r="BM203" s="845" t="str">
        <f>IF($T203="","",VLOOKUP($T203,val_facilities,BM$3,FALSE))</f>
        <v/>
      </c>
      <c r="BN203" s="758"/>
      <c r="BO203" s="721">
        <f t="shared" si="4"/>
        <v>0</v>
      </c>
    </row>
    <row r="204" spans="1:70" s="686" customFormat="1" ht="6.75" customHeight="1" thickBot="1" x14ac:dyDescent="0.25">
      <c r="A204" s="1638"/>
      <c r="B204" s="1712">
        <v>96.5</v>
      </c>
      <c r="C204" s="721"/>
      <c r="D204" s="1248"/>
      <c r="E204" s="816"/>
      <c r="F204" s="758"/>
      <c r="G204" s="758"/>
      <c r="H204" s="758"/>
      <c r="I204" s="758"/>
      <c r="J204" s="1633"/>
      <c r="K204" s="1248"/>
      <c r="L204" s="1634"/>
      <c r="M204" s="1248"/>
      <c r="N204" s="1634"/>
      <c r="O204" s="1248"/>
      <c r="P204" s="1635"/>
      <c r="Q204" s="1248"/>
      <c r="R204" s="1059"/>
      <c r="S204" s="1618"/>
      <c r="T204" s="1636"/>
      <c r="U204" s="1618"/>
      <c r="V204" s="1623"/>
      <c r="W204" s="1618"/>
      <c r="X204" s="722"/>
      <c r="Y204" s="723"/>
      <c r="Z204" s="724"/>
      <c r="AA204" s="723"/>
      <c r="AB204" s="722"/>
      <c r="AC204" s="723"/>
      <c r="AD204" s="722"/>
      <c r="AE204" s="723"/>
      <c r="AF204" s="1717"/>
      <c r="AG204" s="723"/>
      <c r="AH204" s="1637"/>
      <c r="AI204" s="1624"/>
      <c r="AJ204" s="1624"/>
      <c r="AK204" s="1624"/>
      <c r="AL204" s="1624"/>
      <c r="AM204" s="1625"/>
      <c r="AN204" s="1625"/>
      <c r="AO204" s="1625"/>
      <c r="AP204" s="1625"/>
      <c r="AQ204" s="1625"/>
      <c r="AR204" s="1625"/>
      <c r="AS204" s="1625"/>
      <c r="AT204" s="1625"/>
      <c r="AU204" s="1625"/>
      <c r="AV204" s="1626"/>
      <c r="AW204" s="1626"/>
      <c r="AX204" s="1626"/>
      <c r="AY204" s="1626"/>
      <c r="AZ204" s="1626"/>
      <c r="BA204" s="1626"/>
      <c r="BB204" s="1626"/>
      <c r="BC204" s="1626"/>
      <c r="BD204" s="1626"/>
      <c r="BE204" s="1626"/>
      <c r="BF204" s="1626"/>
      <c r="BG204" s="721"/>
      <c r="BH204" s="1626"/>
      <c r="BI204" s="1626"/>
      <c r="BJ204" s="1626"/>
      <c r="BK204" s="1626"/>
      <c r="BL204" s="1626"/>
      <c r="BM204" s="1626"/>
      <c r="BN204" s="758"/>
      <c r="BO204" s="721">
        <f t="shared" si="4"/>
        <v>0</v>
      </c>
      <c r="BP204" s="816"/>
      <c r="BQ204" s="816"/>
      <c r="BR204" s="816"/>
    </row>
    <row r="205" spans="1:70" s="686" customFormat="1" x14ac:dyDescent="0.2">
      <c r="A205" s="840">
        <v>97</v>
      </c>
      <c r="B205" s="1712">
        <v>97</v>
      </c>
      <c r="C205" s="1613"/>
      <c r="D205" s="1248" t="str">
        <f>IF(AND(C205="",C203&lt;&gt;""),"Enter Facility "&amp;TEXT(A205,0)&amp;" Name, then Fill in Columns "&amp;TEXT($H$2,0)&amp;" - "&amp;TEXT($AH$2,0)&amp;"       ","")</f>
        <v/>
      </c>
      <c r="E205" s="1245" t="str">
        <f>IF(AL205="N/A","",AL205)</f>
        <v/>
      </c>
      <c r="F205" s="758"/>
      <c r="G205" s="758"/>
      <c r="H205" s="1614"/>
      <c r="I205" s="758"/>
      <c r="J205" s="1615"/>
      <c r="K205" s="1248" t="str">
        <f>IF(E205&lt;&gt;"","Enter Street Address                   ","")</f>
        <v/>
      </c>
      <c r="L205" s="1615"/>
      <c r="M205" s="1248" t="str">
        <f>IF(E205&lt;&gt;"","Enter City Name       ","")</f>
        <v/>
      </c>
      <c r="N205" s="1613"/>
      <c r="O205" s="1248" t="str">
        <f>IF(E205&lt;&gt;"","Select from Pull-Down List   ","")</f>
        <v/>
      </c>
      <c r="P205" s="1616"/>
      <c r="Q205" s="1248" t="str">
        <f>IF($E205&lt;&gt;"","Enter ZIP Code       ","")</f>
        <v/>
      </c>
      <c r="R205" s="1617"/>
      <c r="S205" s="1618" t="str">
        <f>IF($E205&lt;&gt;"","Select from Pull-Down List  ","")</f>
        <v/>
      </c>
      <c r="T205" s="1617"/>
      <c r="U205" s="1618" t="str">
        <f>IF(AND($C205&lt;&gt;"",T205=""),"Select from Pull-Down List  ","")</f>
        <v/>
      </c>
      <c r="V205" s="1619"/>
      <c r="W205" s="1248" t="str">
        <f>IF(E205&lt;&gt;"","Year?   ","")</f>
        <v/>
      </c>
      <c r="X205" s="1247"/>
      <c r="Y205" s="1620" t="str">
        <f>IF(E205&lt;&gt;"","Sq. Feet?   ","")</f>
        <v/>
      </c>
      <c r="Z205" s="1621"/>
      <c r="AA205" s="1618" t="str">
        <f>IF($E205&lt;&gt;"","% of Cap Resp.","")</f>
        <v/>
      </c>
      <c r="AB205" s="1782" t="str">
        <f ca="1">IFERROR(IF(BK205="", "", IF(BK205&gt;100, 1, VLOOKUP(BK205, Valid!$W$1:$AA$101, VLOOKUP(T205, Codes!$G$7:$I$17, 3, FALSE), FALSE))), "")</f>
        <v/>
      </c>
      <c r="AC205" s="1618"/>
      <c r="AD205" s="1247"/>
      <c r="AE205" s="1620" t="str">
        <f>IF($E205&lt;&gt;"","Drop-Down    ","")</f>
        <v/>
      </c>
      <c r="AF205" s="1720"/>
      <c r="AG205" s="1620" t="b">
        <f>IF(E205&lt;&gt;"","Date?   ")</f>
        <v>0</v>
      </c>
      <c r="AH205" s="1613"/>
      <c r="AI205" s="1248" t="str">
        <f>IF(OR(T205="Other (describe in Notes)",T205="Dual Administrative and Maintenance Facility"),"Describe Facility                                                                                         ","")</f>
        <v/>
      </c>
      <c r="AJ205" s="1624"/>
      <c r="AK205" s="1624" t="b">
        <f>IF(AND(C205="",C207&lt;&gt;""),TRUE,FALSE)</f>
        <v>0</v>
      </c>
      <c r="AL205" s="1624" t="str">
        <f>IF(AND($C205&lt;&gt;"",OR($J205="",$L205="",$N205="",$P205="",$R205="",$T205="",$V205="",$X205="",$Z205="",$AD205="",$AF205="")),"No",IF(AND($C205="",OR($H205&lt;&gt;"",$J205&lt;&gt;"",$L205&lt;&gt;"",$N205&lt;&gt;"",$P205&lt;&gt;"",$R205&lt;&gt;"",$T205&lt;&gt;"",$V205&lt;&gt;"",$X205&lt;&gt;"",$Z205&lt;&gt;"",$AD205&lt;&gt;"",$AF205&lt;&gt;"")),"N",IF(AND($H205="",$C205="",$J205="",$L205="",$N205="",$P205="",$R205="",$T205="",$V205="",$X205="",$Z205="",$AD205="",$AF205=""),"N/A",IF(AND($C205&lt;&gt;"",$J205&lt;&gt;"",$L205&lt;&gt;"",$N205&lt;&gt;"",$P205&lt;&gt;"",$R205&lt;&gt;"",$T205&lt;&gt;"",$V205&lt;&gt;"",$X205&lt;&gt;"",$Z205&lt;&gt;"",$AD205&lt;&gt;"",$AF205&lt;&gt;""),"Yes",""))))</f>
        <v>N/A</v>
      </c>
      <c r="AM205" s="1625" t="b">
        <f ca="1">IF(AND($C205="",OR($J205&lt;&gt;"",$L205&lt;&gt;"",$N205&lt;&gt;"",$P205&lt;&gt;"",$R205&lt;&gt;"",$T205&lt;&gt;"",$V205&lt;&gt;"",$X205&lt;&gt;"",$Z205&lt;&gt;"",$AB205&lt;&gt;"",$AF205&lt;&gt;"")),TRUE,FALSE)</f>
        <v>0</v>
      </c>
      <c r="AN205" s="1625" t="b">
        <f>IF(AND($C205&lt;&gt;"",$J205=""),TRUE,FALSE)</f>
        <v>0</v>
      </c>
      <c r="AO205" s="1625" t="b">
        <f>IF(AND($C205&lt;&gt;"",$L205=""),TRUE,FALSE)</f>
        <v>0</v>
      </c>
      <c r="AP205" s="1625" t="b">
        <f>IF(AND($C205&lt;&gt;"",$N205=""),TRUE,FALSE)</f>
        <v>0</v>
      </c>
      <c r="AQ205" s="1625" t="b">
        <f>IF(AND($C205&lt;&gt;"",$P205=""),TRUE,FALSE)</f>
        <v>0</v>
      </c>
      <c r="AR205" s="1625" t="b">
        <f>IF(AND($C205&lt;&gt;"",$R205=""),TRUE,FALSE)</f>
        <v>0</v>
      </c>
      <c r="AS205" s="1625"/>
      <c r="AT205" s="1625" t="b">
        <f ca="1">IF(AND(T205="",OR(V205&lt;&gt;"",X205&lt;&gt;"",Z205&lt;&gt;"",AB205&lt;&gt;"",AF205&lt;&gt;"")),TRUE,FALSE)</f>
        <v>0</v>
      </c>
      <c r="AU205" s="1625" t="b">
        <f>IF(AND($C205&lt;&gt;"",$T205=""),TRUE,FALSE)</f>
        <v>0</v>
      </c>
      <c r="AV205" s="1625" t="b">
        <f>IF(V205="",FALSE,IF(T205="",FALSE,IF(AW205=TRUE,FALSE,IF(OR(V205&lt;BI205,V205&gt;BaseYear),TRUE,FALSE))))</f>
        <v>0</v>
      </c>
      <c r="AW205" s="1625" t="b">
        <f>IF(AND($C205&lt;&gt;"",$V205=""),TRUE,FALSE)</f>
        <v>0</v>
      </c>
      <c r="AX205" s="1625" t="b">
        <f>IF(X205="",FALSE,IF(T205="",FALSE,IF(AZ205=TRUE,FALSE,IF(X205&lt;BL205,TRUE,FALSE))))</f>
        <v>0</v>
      </c>
      <c r="AY205" s="1625" t="b">
        <f>IF(X205="",FALSE,IF(T205="",FALSE,IF(AZ205=TRUE,FALSE,IF(X205&gt;BM205,TRUE,FALSE))))</f>
        <v>0</v>
      </c>
      <c r="AZ205" s="1625" t="b">
        <f>IF(AND($C205&lt;&gt;"",$X205=""),TRUE,FALSE)</f>
        <v>0</v>
      </c>
      <c r="BA205" s="1626" t="b">
        <f>IF(BB205=TRUE,FALSE,IF(OR(Z205&lt;0,Z205&gt;1),TRUE,FALSE))</f>
        <v>0</v>
      </c>
      <c r="BB205" s="1625" t="b">
        <f>IF(AND($C205&lt;&gt;"",$Z205=""),TRUE,FALSE)</f>
        <v>0</v>
      </c>
      <c r="BC205" s="1626"/>
      <c r="BD205" s="1625" t="b">
        <f ca="1">IF(AND($C205&lt;&gt;"",$AB205=""),TRUE,FALSE)</f>
        <v>0</v>
      </c>
      <c r="BE205" s="1626" t="b">
        <f>IF(OR(AF205="", V205=""),FALSE,IF(COUNT(FIND({0,1,2,3,4,5,6,7,8,9}, AF205))=0, FALSE, IF(YEAR(AF205)&lt;V205, TRUE, FALSE)))</f>
        <v>0</v>
      </c>
      <c r="BF205" s="1625" t="b">
        <f>IF(AND($C205&lt;&gt;"",$AF205=""),TRUE,FALSE)</f>
        <v>0</v>
      </c>
      <c r="BG205" s="721"/>
      <c r="BH205" s="1625" t="str">
        <f>IF($T205="","",VLOOKUP($T205,val_facilities,BH$3,FALSE))</f>
        <v/>
      </c>
      <c r="BI205" s="1627" t="str">
        <f>IF($T205="","",VLOOKUP($T205,val_facilities,BI$3,FALSE))</f>
        <v/>
      </c>
      <c r="BJ205" s="1627" t="str">
        <f>IF($T205="","",VLOOKUP($T205,val_facilities,BJ$3,FALSE))</f>
        <v/>
      </c>
      <c r="BK205" s="1627" t="str">
        <f ca="1">IFERROR(IF(V205="", "", YEAR(TODAY())-V205), "")</f>
        <v/>
      </c>
      <c r="BL205" s="845" t="str">
        <f>IF($T205="","",VLOOKUP($T205,val_facilities,BL$3,FALSE))</f>
        <v/>
      </c>
      <c r="BM205" s="845" t="str">
        <f>IF($T205="","",VLOOKUP($T205,val_facilities,BM$3,FALSE))</f>
        <v/>
      </c>
      <c r="BN205" s="758"/>
      <c r="BO205" s="721">
        <f t="shared" si="4"/>
        <v>0</v>
      </c>
      <c r="BP205" s="816"/>
      <c r="BQ205" s="816"/>
      <c r="BR205" s="816"/>
    </row>
    <row r="206" spans="1:70" s="686" customFormat="1" ht="6.75" customHeight="1" thickBot="1" x14ac:dyDescent="0.25">
      <c r="A206" s="1638"/>
      <c r="B206" s="1712">
        <v>97.5</v>
      </c>
      <c r="C206" s="1057"/>
      <c r="D206" s="1248"/>
      <c r="E206" s="1057"/>
      <c r="F206" s="1229"/>
      <c r="G206" s="1229"/>
      <c r="H206" s="1229"/>
      <c r="I206" s="1229"/>
      <c r="J206" s="1604"/>
      <c r="K206" s="1640"/>
      <c r="L206" s="1641"/>
      <c r="M206" s="1248"/>
      <c r="N206" s="1641"/>
      <c r="O206" s="1248"/>
      <c r="P206" s="1642"/>
      <c r="Q206" s="1248"/>
      <c r="R206" s="1057"/>
      <c r="S206" s="1618"/>
      <c r="T206" s="1643"/>
      <c r="U206" s="1618"/>
      <c r="V206" s="1623"/>
      <c r="W206" s="1618"/>
      <c r="X206" s="733"/>
      <c r="Y206" s="1275"/>
      <c r="Z206" s="685"/>
      <c r="AA206" s="1275"/>
      <c r="AB206" s="733"/>
      <c r="AC206" s="1275"/>
      <c r="AD206" s="733"/>
      <c r="AE206" s="1275"/>
      <c r="AF206" s="1721"/>
      <c r="AG206" s="1275"/>
      <c r="AH206" s="1057"/>
      <c r="AI206" s="1644"/>
      <c r="AJ206" s="1644"/>
      <c r="AK206" s="1644"/>
      <c r="AL206" s="1644"/>
      <c r="AM206" s="1625"/>
      <c r="AN206" s="1625"/>
      <c r="AO206" s="1625"/>
      <c r="AP206" s="1625"/>
      <c r="AQ206" s="1625"/>
      <c r="AR206" s="848"/>
      <c r="AS206" s="848"/>
      <c r="AT206" s="848"/>
      <c r="AU206" s="848"/>
      <c r="AV206" s="848"/>
      <c r="AW206" s="848"/>
      <c r="AX206" s="848"/>
      <c r="AY206" s="848"/>
      <c r="AZ206" s="848"/>
      <c r="BA206" s="848"/>
      <c r="BB206" s="848"/>
      <c r="BC206" s="848"/>
      <c r="BD206" s="848"/>
      <c r="BE206" s="848"/>
      <c r="BF206" s="848"/>
      <c r="BG206" s="685"/>
      <c r="BH206" s="848"/>
      <c r="BI206" s="848"/>
      <c r="BJ206" s="848"/>
      <c r="BK206" s="848"/>
      <c r="BL206" s="848"/>
      <c r="BM206" s="848"/>
      <c r="BN206" s="1229"/>
      <c r="BO206" s="721">
        <f t="shared" ref="BO206:BO211" si="5">IF(OR(AD206=" ",AD206= "na"),AB206,AD206)</f>
        <v>0</v>
      </c>
    </row>
    <row r="207" spans="1:70" s="686" customFormat="1" x14ac:dyDescent="0.2">
      <c r="A207" s="840">
        <v>98</v>
      </c>
      <c r="B207" s="1712">
        <v>98</v>
      </c>
      <c r="C207" s="1613"/>
      <c r="D207" s="1248" t="str">
        <f>IF(AND(C207="",C205&lt;&gt;""),"Enter Facility "&amp;TEXT(A207,0)&amp;" Name, then Fill in Columns "&amp;TEXT($H$2,0)&amp;" - "&amp;TEXT($AH$2,0)&amp;"       ","")</f>
        <v/>
      </c>
      <c r="E207" s="1245" t="str">
        <f>IF(AL207="N/A","",AL207)</f>
        <v/>
      </c>
      <c r="F207" s="758"/>
      <c r="G207" s="758"/>
      <c r="H207" s="1614"/>
      <c r="I207" s="758"/>
      <c r="J207" s="1615"/>
      <c r="K207" s="1248" t="str">
        <f>IF(E207&lt;&gt;"","Enter Street Address                   ","")</f>
        <v/>
      </c>
      <c r="L207" s="1615"/>
      <c r="M207" s="1248" t="str">
        <f>IF(E207&lt;&gt;"","Enter City Name       ","")</f>
        <v/>
      </c>
      <c r="N207" s="1613"/>
      <c r="O207" s="1248" t="str">
        <f>IF(E207&lt;&gt;"","Select from Pull-Down List   ","")</f>
        <v/>
      </c>
      <c r="P207" s="1616"/>
      <c r="Q207" s="1248" t="str">
        <f>IF($E207&lt;&gt;"","Enter ZIP Code       ","")</f>
        <v/>
      </c>
      <c r="R207" s="1617"/>
      <c r="S207" s="1618" t="str">
        <f>IF($E207&lt;&gt;"","Select from Pull-Down List  ","")</f>
        <v/>
      </c>
      <c r="T207" s="1617"/>
      <c r="U207" s="1618" t="str">
        <f>IF(AND($C207&lt;&gt;"",T207=""),"Select from Pull-Down List  ","")</f>
        <v/>
      </c>
      <c r="V207" s="1619"/>
      <c r="W207" s="1248" t="str">
        <f>IF(E207&lt;&gt;"","Year?   ","")</f>
        <v/>
      </c>
      <c r="X207" s="1247"/>
      <c r="Y207" s="1620" t="str">
        <f>IF(E207&lt;&gt;"","Sq. Feet?   ","")</f>
        <v/>
      </c>
      <c r="Z207" s="1621"/>
      <c r="AA207" s="1618" t="str">
        <f>IF($E207&lt;&gt;"","% of Cap Resp.","")</f>
        <v/>
      </c>
      <c r="AB207" s="1782" t="str">
        <f ca="1">IFERROR(IF(BK207="", "", IF(BK207&gt;100, 1, VLOOKUP(BK207, Valid!$W$1:$AA$101, VLOOKUP(T207, Codes!$G$7:$I$17, 3, FALSE), FALSE))), "")</f>
        <v/>
      </c>
      <c r="AC207" s="1618"/>
      <c r="AD207" s="1247"/>
      <c r="AE207" s="1620" t="str">
        <f>IF($E207&lt;&gt;"","Drop-Down    ","")</f>
        <v/>
      </c>
      <c r="AF207" s="1720"/>
      <c r="AG207" s="1620" t="b">
        <f>IF(E207&lt;&gt;"","Date?   ")</f>
        <v>0</v>
      </c>
      <c r="AH207" s="1613"/>
      <c r="AI207" s="1248" t="str">
        <f>IF(OR(T207="Other (describe in Notes)",T207="Dual Administrative and Maintenance Facility"),"Describe Facility                                                                                         ","")</f>
        <v/>
      </c>
      <c r="AJ207" s="1624"/>
      <c r="AK207" s="1624" t="b">
        <f>IF(AND(C207="",C209&lt;&gt;""),TRUE,FALSE)</f>
        <v>0</v>
      </c>
      <c r="AL207" s="1624" t="str">
        <f>IF(AND($C207&lt;&gt;"",OR($J207="",$L207="",$N207="",$P207="",$R207="",$T207="",$V207="",$X207="",$Z207="",$AD207="",$AF207="")),"No",IF(AND($C207="",OR($H207&lt;&gt;"",$J207&lt;&gt;"",$L207&lt;&gt;"",$N207&lt;&gt;"",$P207&lt;&gt;"",$R207&lt;&gt;"",$T207&lt;&gt;"",$V207&lt;&gt;"",$X207&lt;&gt;"",$Z207&lt;&gt;"",$AD207&lt;&gt;"",$AF207&lt;&gt;"")),"N",IF(AND($H207="",$C207="",$J207="",$L207="",$N207="",$P207="",$R207="",$T207="",$V207="",$X207="",$Z207="",$AD207="",$AF207=""),"N/A",IF(AND($C207&lt;&gt;"",$J207&lt;&gt;"",$L207&lt;&gt;"",$N207&lt;&gt;"",$P207&lt;&gt;"",$R207&lt;&gt;"",$T207&lt;&gt;"",$V207&lt;&gt;"",$X207&lt;&gt;"",$Z207&lt;&gt;"",$AD207&lt;&gt;"",$AF207&lt;&gt;""),"Yes",""))))</f>
        <v>N/A</v>
      </c>
      <c r="AM207" s="1625" t="b">
        <f ca="1">IF(AND($C207="",OR($J207&lt;&gt;"",$L207&lt;&gt;"",$N207&lt;&gt;"",$P207&lt;&gt;"",$R207&lt;&gt;"",$T207&lt;&gt;"",$V207&lt;&gt;"",$X207&lt;&gt;"",$Z207&lt;&gt;"",$AB207&lt;&gt;"",$AF207&lt;&gt;"")),TRUE,FALSE)</f>
        <v>0</v>
      </c>
      <c r="AN207" s="1625" t="b">
        <f>IF(AND($C207&lt;&gt;"",$J207=""),TRUE,FALSE)</f>
        <v>0</v>
      </c>
      <c r="AO207" s="1625" t="b">
        <f>IF(AND($C207&lt;&gt;"",$L207=""),TRUE,FALSE)</f>
        <v>0</v>
      </c>
      <c r="AP207" s="1625" t="b">
        <f>IF(AND($C207&lt;&gt;"",$N207=""),TRUE,FALSE)</f>
        <v>0</v>
      </c>
      <c r="AQ207" s="1625" t="b">
        <f>IF(AND($C207&lt;&gt;"",$P207=""),TRUE,FALSE)</f>
        <v>0</v>
      </c>
      <c r="AR207" s="1625" t="b">
        <f>IF(AND($C207&lt;&gt;"",$R207=""),TRUE,FALSE)</f>
        <v>0</v>
      </c>
      <c r="AS207" s="1625"/>
      <c r="AT207" s="1625" t="b">
        <f ca="1">IF(AND(T207="",OR(V207&lt;&gt;"",X207&lt;&gt;"",Z207&lt;&gt;"",AB207&lt;&gt;"",AF207&lt;&gt;"")),TRUE,FALSE)</f>
        <v>0</v>
      </c>
      <c r="AU207" s="1625" t="b">
        <f>IF(AND($C207&lt;&gt;"",$T207=""),TRUE,FALSE)</f>
        <v>0</v>
      </c>
      <c r="AV207" s="1625" t="b">
        <f>IF(V207="",FALSE,IF(T207="",FALSE,IF(AW207=TRUE,FALSE,IF(OR(V207&lt;BI207,V207&gt;BaseYear),TRUE,FALSE))))</f>
        <v>0</v>
      </c>
      <c r="AW207" s="1625" t="b">
        <f>IF(AND($C207&lt;&gt;"",$V207=""),TRUE,FALSE)</f>
        <v>0</v>
      </c>
      <c r="AX207" s="1625" t="b">
        <f>IF(X207="",FALSE,IF(T207="",FALSE,IF(AZ207=TRUE,FALSE,IF(X207&lt;BL207,TRUE,FALSE))))</f>
        <v>0</v>
      </c>
      <c r="AY207" s="1625" t="b">
        <f>IF(X207="",FALSE,IF(T207="",FALSE,IF(AZ207=TRUE,FALSE,IF(X207&gt;BM207,TRUE,FALSE))))</f>
        <v>0</v>
      </c>
      <c r="AZ207" s="1625" t="b">
        <f>IF(AND($C207&lt;&gt;"",$X207=""),TRUE,FALSE)</f>
        <v>0</v>
      </c>
      <c r="BA207" s="1626" t="b">
        <f>IF(BB207=TRUE,FALSE,IF(OR(Z207&lt;0,Z207&gt;1),TRUE,FALSE))</f>
        <v>0</v>
      </c>
      <c r="BB207" s="1625" t="b">
        <f>IF(AND($C207&lt;&gt;"",$Z207=""),TRUE,FALSE)</f>
        <v>0</v>
      </c>
      <c r="BC207" s="1626"/>
      <c r="BD207" s="1625" t="b">
        <f ca="1">IF(AND($C207&lt;&gt;"",$AB207=""),TRUE,FALSE)</f>
        <v>0</v>
      </c>
      <c r="BE207" s="1626" t="b">
        <f>IF(OR(AF207="", V207=""),FALSE,IF(COUNT(FIND({0,1,2,3,4,5,6,7,8,9}, AF207))=0, FALSE, IF(YEAR(AF207)&lt;V207, TRUE, FALSE)))</f>
        <v>0</v>
      </c>
      <c r="BF207" s="1625" t="b">
        <f>IF(AND($C207&lt;&gt;"",$AF207=""),TRUE,FALSE)</f>
        <v>0</v>
      </c>
      <c r="BG207" s="721"/>
      <c r="BH207" s="1625" t="str">
        <f>IF($T207="","",VLOOKUP($T207,val_facilities,BH$3,FALSE))</f>
        <v/>
      </c>
      <c r="BI207" s="1627" t="str">
        <f>IF($T207="","",VLOOKUP($T207,val_facilities,BI$3,FALSE))</f>
        <v/>
      </c>
      <c r="BJ207" s="1627" t="str">
        <f>IF($T207="","",VLOOKUP($T207,val_facilities,BJ$3,FALSE))</f>
        <v/>
      </c>
      <c r="BK207" s="1627" t="str">
        <f ca="1">IFERROR(IF(V207="", "", YEAR(TODAY())-V207), "")</f>
        <v/>
      </c>
      <c r="BL207" s="845" t="str">
        <f>IF($T207="","",VLOOKUP($T207,val_facilities,BL$3,FALSE))</f>
        <v/>
      </c>
      <c r="BM207" s="845" t="str">
        <f>IF($T207="","",VLOOKUP($T207,val_facilities,BM$3,FALSE))</f>
        <v/>
      </c>
      <c r="BN207" s="758"/>
      <c r="BO207" s="721">
        <f t="shared" si="5"/>
        <v>0</v>
      </c>
      <c r="BP207" s="816"/>
      <c r="BQ207" s="816"/>
      <c r="BR207" s="816"/>
    </row>
    <row r="208" spans="1:70" s="686" customFormat="1" ht="6.75" customHeight="1" thickBot="1" x14ac:dyDescent="0.25">
      <c r="A208" s="1638"/>
      <c r="B208" s="1712">
        <v>98.5</v>
      </c>
      <c r="C208" s="1057"/>
      <c r="D208" s="764"/>
      <c r="E208" s="1639"/>
      <c r="F208" s="1229"/>
      <c r="G208" s="1229"/>
      <c r="H208" s="1229"/>
      <c r="I208" s="1229"/>
      <c r="J208" s="1604"/>
      <c r="K208" s="1640"/>
      <c r="L208" s="1645"/>
      <c r="M208" s="1646"/>
      <c r="N208" s="1645"/>
      <c r="O208" s="1646"/>
      <c r="P208" s="1647"/>
      <c r="Q208" s="1646"/>
      <c r="R208" s="1057"/>
      <c r="S208" s="1618"/>
      <c r="T208" s="1643"/>
      <c r="U208" s="1618"/>
      <c r="V208" s="1623"/>
      <c r="W208" s="1618"/>
      <c r="X208" s="722"/>
      <c r="Y208" s="1648"/>
      <c r="Z208" s="841"/>
      <c r="AA208" s="1648"/>
      <c r="AB208" s="722"/>
      <c r="AC208" s="1648"/>
      <c r="AD208" s="722"/>
      <c r="AE208" s="1648"/>
      <c r="AF208" s="1717"/>
      <c r="AG208" s="1648"/>
      <c r="AH208" s="1057"/>
      <c r="AI208" s="1644"/>
      <c r="AJ208" s="1644"/>
      <c r="AK208" s="1644"/>
      <c r="AL208" s="1644"/>
      <c r="AM208" s="1625"/>
      <c r="AN208" s="1625"/>
      <c r="AO208" s="1625"/>
      <c r="AP208" s="1625"/>
      <c r="AQ208" s="1625"/>
      <c r="AR208" s="848"/>
      <c r="AS208" s="848"/>
      <c r="AT208" s="848"/>
      <c r="AU208" s="848"/>
      <c r="AV208" s="848"/>
      <c r="AW208" s="848"/>
      <c r="AX208" s="848"/>
      <c r="AY208" s="848"/>
      <c r="AZ208" s="848"/>
      <c r="BA208" s="848"/>
      <c r="BB208" s="848"/>
      <c r="BC208" s="848"/>
      <c r="BD208" s="848"/>
      <c r="BE208" s="848"/>
      <c r="BF208" s="848"/>
      <c r="BG208" s="685"/>
      <c r="BH208" s="848"/>
      <c r="BI208" s="848"/>
      <c r="BJ208" s="848"/>
      <c r="BK208" s="848"/>
      <c r="BL208" s="848"/>
      <c r="BM208" s="848"/>
      <c r="BN208" s="1229"/>
      <c r="BO208" s="721">
        <f t="shared" si="5"/>
        <v>0</v>
      </c>
    </row>
    <row r="209" spans="1:70" s="816" customFormat="1" x14ac:dyDescent="0.2">
      <c r="A209" s="840">
        <v>99</v>
      </c>
      <c r="B209" s="1712">
        <v>99</v>
      </c>
      <c r="C209" s="1613"/>
      <c r="D209" s="1248" t="str">
        <f>IF(AND(C209="",C207&lt;&gt;""),"Enter Facility "&amp;TEXT(A209,0)&amp;" Name, then Fill in Columns "&amp;TEXT($H$2,0)&amp;" - "&amp;TEXT($AH$2,0)&amp;"       ","")</f>
        <v/>
      </c>
      <c r="E209" s="1245" t="str">
        <f>IF(AL209="N/A","",AL209)</f>
        <v/>
      </c>
      <c r="F209" s="758"/>
      <c r="G209" s="758"/>
      <c r="H209" s="1614"/>
      <c r="I209" s="758"/>
      <c r="J209" s="1615"/>
      <c r="K209" s="1248" t="str">
        <f>IF(E209&lt;&gt;"","Enter Street Address                   ","")</f>
        <v/>
      </c>
      <c r="L209" s="1615"/>
      <c r="M209" s="1248" t="str">
        <f>IF(E209&lt;&gt;"","Enter City Name       ","")</f>
        <v/>
      </c>
      <c r="N209" s="1613"/>
      <c r="O209" s="1248" t="str">
        <f>IF(E209&lt;&gt;"","Select from Pull-Down List   ","")</f>
        <v/>
      </c>
      <c r="P209" s="1616"/>
      <c r="Q209" s="1248" t="str">
        <f>IF($E209&lt;&gt;"","Enter ZIP Code       ","")</f>
        <v/>
      </c>
      <c r="R209" s="1617"/>
      <c r="S209" s="1618" t="str">
        <f>IF($E209&lt;&gt;"","Select from Pull-Down List  ","")</f>
        <v/>
      </c>
      <c r="T209" s="1617"/>
      <c r="U209" s="1618" t="str">
        <f>IF(AND($C209&lt;&gt;"",T209=""),"Select from Pull-Down List  ","")</f>
        <v/>
      </c>
      <c r="V209" s="1619"/>
      <c r="W209" s="1248" t="str">
        <f>IF(E209&lt;&gt;"","Year?   ","")</f>
        <v/>
      </c>
      <c r="X209" s="1247"/>
      <c r="Y209" s="1620" t="str">
        <f>IF(E209&lt;&gt;"","Sq. Feet?   ","")</f>
        <v/>
      </c>
      <c r="Z209" s="1621"/>
      <c r="AA209" s="1618" t="str">
        <f>IF($E209&lt;&gt;"","% of Cap Resp.","")</f>
        <v/>
      </c>
      <c r="AB209" s="1782" t="str">
        <f ca="1">IFERROR(IF(BK209="", "", IF(BK209&gt;100, 1, VLOOKUP(BK209, Valid!$W$1:$AA$101, VLOOKUP(T209, Codes!$G$7:$I$17, 3, FALSE), FALSE))), "")</f>
        <v/>
      </c>
      <c r="AC209" s="1618"/>
      <c r="AD209" s="1247"/>
      <c r="AE209" s="1620" t="str">
        <f>IF($E209&lt;&gt;"","Drop-Down    ","")</f>
        <v/>
      </c>
      <c r="AF209" s="1720"/>
      <c r="AG209" s="1620" t="b">
        <f>IF(E209&lt;&gt;"","Date?   ")</f>
        <v>0</v>
      </c>
      <c r="AH209" s="1613"/>
      <c r="AI209" s="1248" t="str">
        <f>IF(OR(T209="Other (describe in Notes)",T209="Dual Administrative and Maintenance Facility"),"Describe Facility                                                                                         ","")</f>
        <v/>
      </c>
      <c r="AJ209" s="1624"/>
      <c r="AK209" s="1624" t="b">
        <f>IF(AND(C209="",C211&lt;&gt;""),TRUE,FALSE)</f>
        <v>0</v>
      </c>
      <c r="AL209" s="1624" t="str">
        <f>IF(AND($C209&lt;&gt;"",OR($J209="",$L209="",$N209="",$P209="",$R209="",$T209="",$V209="",$X209="",$Z209="",$AD209="",$AF209="")),"No",IF(AND($C209="",OR($H209&lt;&gt;"",$J209&lt;&gt;"",$L209&lt;&gt;"",$N209&lt;&gt;"",$P209&lt;&gt;"",$R209&lt;&gt;"",$T209&lt;&gt;"",$V209&lt;&gt;"",$X209&lt;&gt;"",$Z209&lt;&gt;"",$AD209&lt;&gt;"",$AF209&lt;&gt;"")),"N",IF(AND($H209="",$C209="",$J209="",$L209="",$N209="",$P209="",$R209="",$T209="",$V209="",$X209="",$Z209="",$AD209="",$AF209=""),"N/A",IF(AND($C209&lt;&gt;"",$J209&lt;&gt;"",$L209&lt;&gt;"",$N209&lt;&gt;"",$P209&lt;&gt;"",$R209&lt;&gt;"",$T209&lt;&gt;"",$V209&lt;&gt;"",$X209&lt;&gt;"",$Z209&lt;&gt;"",$AD209&lt;&gt;"",$AF209&lt;&gt;""),"Yes",""))))</f>
        <v>N/A</v>
      </c>
      <c r="AM209" s="1625" t="b">
        <f ca="1">IF(AND($C209="",OR($J209&lt;&gt;"",$L209&lt;&gt;"",$N209&lt;&gt;"",$P209&lt;&gt;"",$R209&lt;&gt;"",$T209&lt;&gt;"",$V209&lt;&gt;"",$X209&lt;&gt;"",$Z209&lt;&gt;"",$AB209&lt;&gt;"",$AF209&lt;&gt;"")),TRUE,FALSE)</f>
        <v>0</v>
      </c>
      <c r="AN209" s="1625" t="b">
        <f>IF(AND($C209&lt;&gt;"",$J209=""),TRUE,FALSE)</f>
        <v>0</v>
      </c>
      <c r="AO209" s="1625" t="b">
        <f>IF(AND($C209&lt;&gt;"",$L209=""),TRUE,FALSE)</f>
        <v>0</v>
      </c>
      <c r="AP209" s="1625" t="b">
        <f>IF(AND($C209&lt;&gt;"",$N209=""),TRUE,FALSE)</f>
        <v>0</v>
      </c>
      <c r="AQ209" s="1625" t="b">
        <f>IF(AND($C209&lt;&gt;"",$P209=""),TRUE,FALSE)</f>
        <v>0</v>
      </c>
      <c r="AR209" s="1625" t="b">
        <f>IF(AND($C209&lt;&gt;"",$R209=""),TRUE,FALSE)</f>
        <v>0</v>
      </c>
      <c r="AS209" s="1625"/>
      <c r="AT209" s="1625" t="b">
        <f ca="1">IF(AND(T209="",OR(V209&lt;&gt;"",X209&lt;&gt;"",Z209&lt;&gt;"",AB209&lt;&gt;"",AF209&lt;&gt;"")),TRUE,FALSE)</f>
        <v>0</v>
      </c>
      <c r="AU209" s="1625" t="b">
        <f>IF(AND($C209&lt;&gt;"",$T209=""),TRUE,FALSE)</f>
        <v>0</v>
      </c>
      <c r="AV209" s="1625" t="b">
        <f>IF(V209="",FALSE,IF(T209="",FALSE,IF(AW209=TRUE,FALSE,IF(OR(V209&lt;BI209,V209&gt;BaseYear),TRUE,FALSE))))</f>
        <v>0</v>
      </c>
      <c r="AW209" s="1625" t="b">
        <f>IF(AND($C209&lt;&gt;"",$V209=""),TRUE,FALSE)</f>
        <v>0</v>
      </c>
      <c r="AX209" s="1625" t="b">
        <f>IF(X209="",FALSE,IF(T209="",FALSE,IF(AZ209=TRUE,FALSE,IF(X209&lt;BL209,TRUE,FALSE))))</f>
        <v>0</v>
      </c>
      <c r="AY209" s="1625" t="b">
        <f>IF(X209="",FALSE,IF(T209="",FALSE,IF(AZ209=TRUE,FALSE,IF(X209&gt;BM209,TRUE,FALSE))))</f>
        <v>0</v>
      </c>
      <c r="AZ209" s="1625" t="b">
        <f>IF(AND($C209&lt;&gt;"",$X209=""),TRUE,FALSE)</f>
        <v>0</v>
      </c>
      <c r="BA209" s="1626" t="b">
        <f>IF(BB209=TRUE,FALSE,IF(OR(Z209&lt;0,Z209&gt;1),TRUE,FALSE))</f>
        <v>0</v>
      </c>
      <c r="BB209" s="1625" t="b">
        <f>IF(AND($C209&lt;&gt;"",$Z209=""),TRUE,FALSE)</f>
        <v>0</v>
      </c>
      <c r="BC209" s="1626"/>
      <c r="BD209" s="1625" t="b">
        <f ca="1">IF(AND($C209&lt;&gt;"",$AB209=""),TRUE,FALSE)</f>
        <v>0</v>
      </c>
      <c r="BE209" s="1626" t="b">
        <f>IF(OR(AF209="", V209=""),FALSE,IF(COUNT(FIND({0,1,2,3,4,5,6,7,8,9}, AF209))=0, FALSE, IF(YEAR(AF209)&lt;V209, TRUE, FALSE)))</f>
        <v>0</v>
      </c>
      <c r="BF209" s="1625" t="b">
        <f>IF(AND($C209&lt;&gt;"",$AF209=""),TRUE,FALSE)</f>
        <v>0</v>
      </c>
      <c r="BG209" s="721"/>
      <c r="BH209" s="1625" t="str">
        <f>IF($T209="","",VLOOKUP($T209,val_facilities,BH$3,FALSE))</f>
        <v/>
      </c>
      <c r="BI209" s="1627" t="str">
        <f>IF($T209="","",VLOOKUP($T209,val_facilities,BI$3,FALSE))</f>
        <v/>
      </c>
      <c r="BJ209" s="1627" t="str">
        <f>IF($T209="","",VLOOKUP($T209,val_facilities,BJ$3,FALSE))</f>
        <v/>
      </c>
      <c r="BK209" s="1627" t="str">
        <f ca="1">IFERROR(IF(V209="", "", YEAR(TODAY())-V209), "")</f>
        <v/>
      </c>
      <c r="BL209" s="845" t="str">
        <f>IF($T209="","",VLOOKUP($T209,val_facilities,BL$3,FALSE))</f>
        <v/>
      </c>
      <c r="BM209" s="845" t="str">
        <f>IF($T209="","",VLOOKUP($T209,val_facilities,BM$3,FALSE))</f>
        <v/>
      </c>
      <c r="BN209" s="758"/>
      <c r="BO209" s="721">
        <f t="shared" si="5"/>
        <v>0</v>
      </c>
    </row>
    <row r="210" spans="1:70" s="816" customFormat="1" ht="6.75" customHeight="1" thickBot="1" x14ac:dyDescent="0.25">
      <c r="A210" s="840"/>
      <c r="B210" s="1712">
        <v>99.5</v>
      </c>
      <c r="C210" s="1057"/>
      <c r="D210" s="1248"/>
      <c r="E210" s="1057"/>
      <c r="F210" s="1229"/>
      <c r="G210" s="1229"/>
      <c r="H210" s="1229"/>
      <c r="I210" s="1229"/>
      <c r="J210" s="1604"/>
      <c r="K210" s="1229"/>
      <c r="L210" s="1605"/>
      <c r="M210" s="1644"/>
      <c r="N210" s="1605"/>
      <c r="O210" s="1644"/>
      <c r="P210" s="1606"/>
      <c r="Q210" s="1644"/>
      <c r="R210" s="1057"/>
      <c r="S210" s="1623"/>
      <c r="T210" s="1643"/>
      <c r="U210" s="1623"/>
      <c r="V210" s="1623"/>
      <c r="W210" s="1623"/>
      <c r="X210" s="722"/>
      <c r="Y210" s="841"/>
      <c r="Z210" s="841"/>
      <c r="AA210" s="841"/>
      <c r="AB210" s="722"/>
      <c r="AC210" s="841"/>
      <c r="AD210" s="722"/>
      <c r="AE210" s="841"/>
      <c r="AF210" s="1717"/>
      <c r="AG210" s="841"/>
      <c r="AH210" s="1057"/>
      <c r="AI210" s="1644"/>
      <c r="AJ210" s="1644"/>
      <c r="AK210" s="1644"/>
      <c r="AL210" s="1644"/>
      <c r="AM210" s="1625"/>
      <c r="AN210" s="1625"/>
      <c r="AO210" s="1625"/>
      <c r="AP210" s="1625"/>
      <c r="AQ210" s="1625"/>
      <c r="AR210" s="848"/>
      <c r="AS210" s="848"/>
      <c r="AT210" s="848"/>
      <c r="AU210" s="848"/>
      <c r="AV210" s="848"/>
      <c r="AW210" s="848"/>
      <c r="AX210" s="848"/>
      <c r="AY210" s="848"/>
      <c r="AZ210" s="848"/>
      <c r="BA210" s="848"/>
      <c r="BB210" s="848"/>
      <c r="BC210" s="848"/>
      <c r="BD210" s="848"/>
      <c r="BE210" s="848"/>
      <c r="BF210" s="848"/>
      <c r="BG210" s="685"/>
      <c r="BH210" s="848"/>
      <c r="BI210" s="848"/>
      <c r="BJ210" s="848"/>
      <c r="BK210" s="848"/>
      <c r="BL210" s="848"/>
      <c r="BM210" s="848"/>
      <c r="BN210" s="1229"/>
      <c r="BO210" s="721">
        <f t="shared" si="5"/>
        <v>0</v>
      </c>
      <c r="BP210" s="686"/>
      <c r="BQ210" s="686"/>
      <c r="BR210" s="686"/>
    </row>
    <row r="211" spans="1:70" s="816" customFormat="1" x14ac:dyDescent="0.2">
      <c r="A211" s="840">
        <v>100</v>
      </c>
      <c r="B211" s="1712">
        <v>100</v>
      </c>
      <c r="C211" s="1613"/>
      <c r="D211" s="1248" t="str">
        <f>IF(AND(C211="",C209&lt;&gt;""),"Enter Facility "&amp;TEXT(A211,0)&amp;" Name, then Fill in Columns "&amp;TEXT($H$2,0)&amp;" - "&amp;TEXT($AH$2,0)&amp;"       ","")</f>
        <v/>
      </c>
      <c r="E211" s="1245" t="str">
        <f>IF(AL211="N/A","",AL211)</f>
        <v/>
      </c>
      <c r="F211" s="758"/>
      <c r="G211" s="758"/>
      <c r="H211" s="1614"/>
      <c r="I211" s="758"/>
      <c r="J211" s="1615"/>
      <c r="K211" s="1248" t="str">
        <f>IF(E211&lt;&gt;"","Enter Street Address                   ","")</f>
        <v/>
      </c>
      <c r="L211" s="1615"/>
      <c r="M211" s="1248" t="str">
        <f>IF(E211&lt;&gt;"","Enter City Name       ","")</f>
        <v/>
      </c>
      <c r="N211" s="1613"/>
      <c r="O211" s="1248" t="str">
        <f>IF(E211&lt;&gt;"","Select from Pull-Down List   ","")</f>
        <v/>
      </c>
      <c r="P211" s="1616"/>
      <c r="Q211" s="1248" t="str">
        <f>IF($E211&lt;&gt;"","Enter ZIP Code       ","")</f>
        <v/>
      </c>
      <c r="R211" s="1617"/>
      <c r="S211" s="1618" t="str">
        <f>IF($E211&lt;&gt;"","Select from Pull-Down List  ","")</f>
        <v/>
      </c>
      <c r="T211" s="1617"/>
      <c r="U211" s="1618" t="str">
        <f>IF(AND($C211&lt;&gt;"",T211=""),"Select from Pull-Down List  ","")</f>
        <v/>
      </c>
      <c r="V211" s="1619"/>
      <c r="W211" s="1248" t="str">
        <f>IF(E211&lt;&gt;"","Year?   ","")</f>
        <v/>
      </c>
      <c r="X211" s="1247"/>
      <c r="Y211" s="1620" t="str">
        <f>IF(E211&lt;&gt;"","Sq. Feet?   ","")</f>
        <v/>
      </c>
      <c r="Z211" s="1621"/>
      <c r="AA211" s="1618" t="str">
        <f>IF($E211&lt;&gt;"","% of Cap Resp.","")</f>
        <v/>
      </c>
      <c r="AB211" s="1782" t="str">
        <f ca="1">IFERROR(IF(BK211="", "", IF(BK211&gt;100, 1, VLOOKUP(BK211, Valid!$W$1:$AA$101, VLOOKUP(T211, Codes!$G$7:$I$17, 3, FALSE), FALSE))), "")</f>
        <v/>
      </c>
      <c r="AC211" s="1618"/>
      <c r="AD211" s="1247"/>
      <c r="AE211" s="1620" t="str">
        <f>IF($E211&lt;&gt;"","Drop-Down    ","")</f>
        <v/>
      </c>
      <c r="AF211" s="1720"/>
      <c r="AG211" s="1620" t="b">
        <f>IF(E211&lt;&gt;"","Date?   ")</f>
        <v>0</v>
      </c>
      <c r="AH211" s="1613"/>
      <c r="AI211" s="1248" t="str">
        <f>IF(OR(T211="Other (describe in Notes)",T211="Dual Administrative and Maintenance Facility"),"Describe Facility                                                                                         ","")</f>
        <v/>
      </c>
      <c r="AJ211" s="1624"/>
      <c r="AK211" s="1624" t="b">
        <f>IF(AND(C211="",C213&lt;&gt;""),TRUE,FALSE)</f>
        <v>0</v>
      </c>
      <c r="AL211" s="1624" t="str">
        <f>IF(AND($C211&lt;&gt;"",OR($J211="",$L211="",$N211="",$P211="",$R211="",$T211="",$V211="",$X211="",$Z211="",$AD211="",$AF211="")),"No",IF(AND($C211="",OR($H211&lt;&gt;"",$J211&lt;&gt;"",$L211&lt;&gt;"",$N211&lt;&gt;"",$P211&lt;&gt;"",$R211&lt;&gt;"",$T211&lt;&gt;"",$V211&lt;&gt;"",$X211&lt;&gt;"",$Z211&lt;&gt;"",$AD211&lt;&gt;"",$AF211&lt;&gt;"")),"N",IF(AND($H211="",$C211="",$J211="",$L211="",$N211="",$P211="",$R211="",$T211="",$V211="",$X211="",$Z211="",$AD211="",$AF211=""),"N/A",IF(AND($C211&lt;&gt;"",$J211&lt;&gt;"",$L211&lt;&gt;"",$N211&lt;&gt;"",$P211&lt;&gt;"",$R211&lt;&gt;"",$T211&lt;&gt;"",$V211&lt;&gt;"",$X211&lt;&gt;"",$Z211&lt;&gt;"",$AD211&lt;&gt;"",$AF211&lt;&gt;""),"Yes",""))))</f>
        <v>N/A</v>
      </c>
      <c r="AM211" s="1625" t="b">
        <f ca="1">IF(AND($C211="",OR($J211&lt;&gt;"",$L211&lt;&gt;"",$N211&lt;&gt;"",$P211&lt;&gt;"",$R211&lt;&gt;"",$T211&lt;&gt;"",$V211&lt;&gt;"",$X211&lt;&gt;"",$Z211&lt;&gt;"",$AB211&lt;&gt;"",$AF211&lt;&gt;"")),TRUE,FALSE)</f>
        <v>0</v>
      </c>
      <c r="AN211" s="1625" t="b">
        <f>IF(AND($C211&lt;&gt;"",$J211=""),TRUE,FALSE)</f>
        <v>0</v>
      </c>
      <c r="AO211" s="1625" t="b">
        <f>IF(AND($C211&lt;&gt;"",$L211=""),TRUE,FALSE)</f>
        <v>0</v>
      </c>
      <c r="AP211" s="1625" t="b">
        <f>IF(AND($C211&lt;&gt;"",$N211=""),TRUE,FALSE)</f>
        <v>0</v>
      </c>
      <c r="AQ211" s="1625" t="b">
        <f>IF(AND($C211&lt;&gt;"",$P211=""),TRUE,FALSE)</f>
        <v>0</v>
      </c>
      <c r="AR211" s="1625" t="b">
        <f>IF(AND($C211&lt;&gt;"",$R211=""),TRUE,FALSE)</f>
        <v>0</v>
      </c>
      <c r="AS211" s="1625"/>
      <c r="AT211" s="1625" t="b">
        <f ca="1">IF(AND(T211="",OR(V211&lt;&gt;"",X211&lt;&gt;"",Z211&lt;&gt;"",AB211&lt;&gt;"",AF211&lt;&gt;"")),TRUE,FALSE)</f>
        <v>0</v>
      </c>
      <c r="AU211" s="1625" t="b">
        <f>IF(AND($C211&lt;&gt;"",$T211=""),TRUE,FALSE)</f>
        <v>0</v>
      </c>
      <c r="AV211" s="1625" t="b">
        <f>IF(V211="",FALSE,IF(T211="",FALSE,IF(AW211=TRUE,FALSE,IF(OR(V211&lt;BI211,V211&gt;BaseYear),TRUE,FALSE))))</f>
        <v>0</v>
      </c>
      <c r="AW211" s="1625" t="b">
        <f>IF(AND($C211&lt;&gt;"",$V211=""),TRUE,FALSE)</f>
        <v>0</v>
      </c>
      <c r="AX211" s="1625" t="b">
        <f>IF(X211="",FALSE,IF(T211="",FALSE,IF(AZ211=TRUE,FALSE,IF(X211&lt;BL211,TRUE,FALSE))))</f>
        <v>0</v>
      </c>
      <c r="AY211" s="1625" t="b">
        <f>IF(X211="",FALSE,IF(T211="",FALSE,IF(AZ211=TRUE,FALSE,IF(X211&gt;BM211,TRUE,FALSE))))</f>
        <v>0</v>
      </c>
      <c r="AZ211" s="1625" t="b">
        <f>IF(AND($C211&lt;&gt;"",$X211=""),TRUE,FALSE)</f>
        <v>0</v>
      </c>
      <c r="BA211" s="1626" t="b">
        <f>IF(BB211=TRUE,FALSE,IF(OR(Z211&lt;0,Z211&gt;1),TRUE,FALSE))</f>
        <v>0</v>
      </c>
      <c r="BB211" s="1625" t="b">
        <f>IF(AND($C211&lt;&gt;"",$Z211=""),TRUE,FALSE)</f>
        <v>0</v>
      </c>
      <c r="BC211" s="1626"/>
      <c r="BD211" s="1625" t="b">
        <f ca="1">IF(AND($C211&lt;&gt;"",$AB211=""),TRUE,FALSE)</f>
        <v>0</v>
      </c>
      <c r="BE211" s="1626" t="b">
        <f>IF(OR(AF211="", V211=""),FALSE,IF(COUNT(FIND({0,1,2,3,4,5,6,7,8,9}, AF211))=0, FALSE, IF(YEAR(AF211)&lt;V211, TRUE, FALSE)))</f>
        <v>0</v>
      </c>
      <c r="BF211" s="1625" t="b">
        <f>IF(AND($C211&lt;&gt;"",$AF211=""),TRUE,FALSE)</f>
        <v>0</v>
      </c>
      <c r="BG211" s="721"/>
      <c r="BH211" s="1625" t="str">
        <f>IF($T211="","",VLOOKUP($T211,val_facilities,BH$3,FALSE))</f>
        <v/>
      </c>
      <c r="BI211" s="1627" t="str">
        <f>IF($T211="","",VLOOKUP($T211,val_facilities,BI$3,FALSE))</f>
        <v/>
      </c>
      <c r="BJ211" s="1627" t="str">
        <f>IF($T211="","",VLOOKUP($T211,val_facilities,BJ$3,FALSE))</f>
        <v/>
      </c>
      <c r="BK211" s="1627" t="str">
        <f ca="1">IFERROR(IF(V211="", "", YEAR(TODAY())-V211), "")</f>
        <v/>
      </c>
      <c r="BL211" s="845" t="str">
        <f>IF($T211="","",VLOOKUP($T211,val_facilities,BL$3,FALSE))</f>
        <v/>
      </c>
      <c r="BM211" s="845" t="str">
        <f>IF($T211="","",VLOOKUP($T211,val_facilities,BM$3,FALSE))</f>
        <v/>
      </c>
      <c r="BN211" s="758"/>
      <c r="BO211" s="721">
        <f t="shared" si="5"/>
        <v>0</v>
      </c>
    </row>
    <row r="212" spans="1:70" s="816" customFormat="1" ht="6.75" customHeight="1" x14ac:dyDescent="0.2">
      <c r="A212" s="840"/>
      <c r="C212" s="721"/>
      <c r="D212" s="1248"/>
      <c r="E212" s="1624"/>
      <c r="F212" s="758"/>
      <c r="G212" s="758"/>
      <c r="H212" s="758"/>
      <c r="I212" s="758"/>
      <c r="J212" s="1633"/>
      <c r="K212" s="1248"/>
      <c r="L212" s="1634"/>
      <c r="M212" s="1248"/>
      <c r="N212" s="1634"/>
      <c r="O212" s="1248"/>
      <c r="P212" s="1635"/>
      <c r="Q212" s="1248"/>
      <c r="R212" s="1059"/>
      <c r="S212" s="1618"/>
      <c r="T212" s="1636"/>
      <c r="U212" s="1618"/>
      <c r="V212" s="1623"/>
      <c r="W212" s="1618"/>
      <c r="X212" s="722"/>
      <c r="Y212" s="723"/>
      <c r="Z212" s="724"/>
      <c r="AA212" s="723"/>
      <c r="AB212" s="722"/>
      <c r="AC212" s="723"/>
      <c r="AD212" s="722"/>
      <c r="AE212" s="723"/>
      <c r="AF212" s="1717"/>
      <c r="AG212" s="723"/>
      <c r="AH212" s="1637"/>
      <c r="AI212" s="1624"/>
      <c r="AJ212" s="1624"/>
      <c r="AK212" s="1624"/>
      <c r="AL212" s="1624"/>
      <c r="AM212" s="1625"/>
      <c r="AN212" s="1625"/>
      <c r="AO212" s="1625"/>
      <c r="AP212" s="1625"/>
      <c r="AQ212" s="1625"/>
      <c r="AR212" s="1625"/>
      <c r="AS212" s="1625"/>
      <c r="AT212" s="1625"/>
      <c r="AU212" s="1625"/>
      <c r="AV212" s="1626"/>
      <c r="AW212" s="1626"/>
      <c r="AX212" s="1626"/>
      <c r="AY212" s="1626"/>
      <c r="AZ212" s="1626"/>
      <c r="BA212" s="1626"/>
      <c r="BB212" s="1626"/>
      <c r="BC212" s="1626"/>
      <c r="BD212" s="1626"/>
      <c r="BE212" s="1626"/>
      <c r="BF212" s="1626"/>
      <c r="BG212" s="721"/>
      <c r="BH212" s="721"/>
      <c r="BI212" s="721"/>
      <c r="BJ212" s="721"/>
      <c r="BK212" s="721"/>
      <c r="BL212" s="721"/>
      <c r="BM212" s="721"/>
      <c r="BN212" s="758"/>
      <c r="BO212" s="721"/>
    </row>
    <row r="213" spans="1:70" s="686" customFormat="1" x14ac:dyDescent="0.2">
      <c r="B213" s="1649"/>
      <c r="C213" s="1639"/>
      <c r="E213" s="1644"/>
      <c r="F213" s="1644"/>
      <c r="G213" s="1644"/>
      <c r="H213" s="1644"/>
      <c r="I213" s="1644"/>
      <c r="J213" s="1650"/>
      <c r="K213" s="1644"/>
      <c r="L213" s="1645"/>
      <c r="M213" s="1644"/>
      <c r="N213" s="1645"/>
      <c r="O213" s="1644"/>
      <c r="P213" s="1647"/>
      <c r="Q213" s="1644"/>
      <c r="R213" s="1644"/>
      <c r="S213" s="1644"/>
      <c r="T213" s="1644"/>
      <c r="U213" s="1644"/>
      <c r="V213" s="1644"/>
      <c r="W213" s="1644"/>
      <c r="X213" s="1651"/>
      <c r="Z213" s="685"/>
      <c r="AB213" s="1651"/>
      <c r="AD213" s="1651"/>
      <c r="AF213" s="1722"/>
      <c r="AH213" s="1644"/>
      <c r="AI213" s="1644"/>
      <c r="AJ213" s="1644"/>
      <c r="AK213" s="1644"/>
      <c r="AL213" s="1644"/>
      <c r="AM213" s="1644"/>
      <c r="AN213" s="1644"/>
      <c r="AO213" s="1644"/>
      <c r="AP213" s="1644"/>
      <c r="AQ213" s="1644"/>
      <c r="AR213" s="1644"/>
      <c r="AS213" s="1644"/>
      <c r="AT213" s="1644"/>
      <c r="AU213" s="1644"/>
      <c r="BG213" s="685"/>
      <c r="BN213" s="1229"/>
      <c r="BO213" s="685"/>
    </row>
  </sheetData>
  <sheetProtection password="C82B" sheet="1" objects="1" scenarios="1" formatCells="0" formatColumns="0" formatRows="0" selectLockedCells="1" sort="0" autoFilter="0"/>
  <autoFilter ref="A11:BM211">
    <sortState ref="A12:BM211">
      <sortCondition ref="B11:B211"/>
    </sortState>
  </autoFilter>
  <dataConsolidate/>
  <mergeCells count="1">
    <mergeCell ref="AV5:AW5"/>
  </mergeCells>
  <conditionalFormatting sqref="C13:C1048576">
    <cfRule type="expression" dxfId="776" priority="10102">
      <formula>AM13</formula>
    </cfRule>
  </conditionalFormatting>
  <conditionalFormatting sqref="V13:V1048576">
    <cfRule type="expression" dxfId="775" priority="10095">
      <formula>AV13</formula>
    </cfRule>
  </conditionalFormatting>
  <conditionalFormatting sqref="C4">
    <cfRule type="expression" dxfId="774" priority="10103">
      <formula>$AL$8&gt;0</formula>
    </cfRule>
  </conditionalFormatting>
  <conditionalFormatting sqref="C3">
    <cfRule type="expression" dxfId="773" priority="10104">
      <formula>$AL$7&gt;0</formula>
    </cfRule>
  </conditionalFormatting>
  <conditionalFormatting sqref="Z13:Z1048576">
    <cfRule type="expression" dxfId="772" priority="10105">
      <formula>BA13</formula>
    </cfRule>
  </conditionalFormatting>
  <conditionalFormatting sqref="X13:X94401">
    <cfRule type="expression" dxfId="771" priority="10">
      <formula>$AY13</formula>
    </cfRule>
    <cfRule type="expression" dxfId="770" priority="11">
      <formula>$AX13</formula>
    </cfRule>
  </conditionalFormatting>
  <conditionalFormatting sqref="AB13:AB94401">
    <cfRule type="expression" dxfId="769" priority="5">
      <formula>$AY13</formula>
    </cfRule>
    <cfRule type="expression" dxfId="768" priority="6">
      <formula>$AX13</formula>
    </cfRule>
  </conditionalFormatting>
  <conditionalFormatting sqref="AF13:AF94401">
    <cfRule type="expression" dxfId="767" priority="3">
      <formula>$AY13</formula>
    </cfRule>
    <cfRule type="expression" dxfId="766" priority="4">
      <formula>$AX13</formula>
    </cfRule>
  </conditionalFormatting>
  <conditionalFormatting sqref="E1:E1048576">
    <cfRule type="cellIs" dxfId="765" priority="10097" operator="equal">
      <formula>"Yes"</formula>
    </cfRule>
    <cfRule type="cellIs" dxfId="764" priority="10098" operator="equal">
      <formula>"No"</formula>
    </cfRule>
  </conditionalFormatting>
  <conditionalFormatting sqref="AD13:AD94401">
    <cfRule type="expression" dxfId="763" priority="1">
      <formula>$AY13</formula>
    </cfRule>
    <cfRule type="expression" dxfId="762" priority="2">
      <formula>$AX13</formula>
    </cfRule>
  </conditionalFormatting>
  <dataValidations count="4">
    <dataValidation type="list" allowBlank="1" showInputMessage="1" showErrorMessage="1" sqref="R157 R177 R173 R175 R179 R185 R181 R183 R187 R189 R191 R77 R97 R93 R95 R99 R105 R101 R103 R107 R109 R117 R113 R115 R119 R125 R121 R123 R127 R129 R137 R131 R133 R135 R139 R145 R141 R143 R147 R149 R151 R153 R155 R159 R165 R161 R163 R167 R169 R171 R73 R17 R13 R57 R15 R19 R25 R21 R23 R27 R29 R75 R79 R85 R81 R83 R87 R89 R37 R91 R111 R53 R55 R59 R65 R61 R63 R67 R69 R31 R33 R35 R39 R45 R41 R43 R47 R49 R71 R51 R197 R193 R195 R199 R205 R201 R203 R207 R209 R211">
      <formula1>PrimaryModes</formula1>
    </dataValidation>
    <dataValidation type="list" allowBlank="1" showInputMessage="1" showErrorMessage="1" sqref="N13 N173 N175 N177 N179 N181 N183 N185 N187 N189 N191 N73 N93 N95 N97 N99 N101 N103 N105 N107 N109 N111 N113 N115 N117 N119 N121 N123 N125 N127 N129 N131 N133 N135 N137 N139 N141 N143 N145 N147 N149 N151 N153 N155 N157 N159 N161 N163 N165 N167 N169 N171 N53 N15 N17 N19 N21 N23 N25 N27 N29 N75 N77 N79 N81 N83 N85 N87 N89 N91 N55 N57 N59 N61 N63 N65 N67 N69 N71 N31 N33 N35 N37 N39 N41 N43 N45 N47 N49 N51 N193 N195 N197 N199 N201 N203 N205 N207 N209 N211">
      <formula1>StateCodes</formula1>
    </dataValidation>
    <dataValidation type="list" allowBlank="1" showInputMessage="1" showErrorMessage="1" sqref="T13 T15 T17 T19 T21 T23 T25 T27 T29 T31 T33 T35 T37 T39 T41 T43 T45 T47 T49 T51 T53 T55 T57 T59 T61 T63 T65 T67 T69 T71 T73 T75 T77 T79 T81 T83 T85 T87 T89 T91 T93 T95 T97 T99 T101 T103 T105 T107 T109 T111 T113 T115 T117 T119 T121 T123 T125 T127 T129 T131 T133 T135 T137 T139 T141 T143 T145 T147 T149 T151 T153 T155 T157 T159 T161 T163 T165 T167 T169 T171 T173 T175 T177 T179 T181 T183 T185 T187 T189 T191 T193 T195 T197 T199 T201 T203 T205 T207 T209 T211">
      <formula1>Admin_Maint_Fac_Types</formula1>
    </dataValidation>
    <dataValidation type="list" allowBlank="1" showInputMessage="1" showErrorMessage="1" sqref="AD15 AD17 AD19 AD21 AD23 AD25 AD27 AD29 AD31 AD33 AD35 AD37 AD39 AD41 AD43 AD45 AD47 AD49 AD51 AD53 AD55 AD57 AD59 AD61 AD63 AD65 AD67 AD69 AD71 AD73 AD75 AD77 AD79 AD81 AD83 AD85 AD87 AD89 AD91 AD93 AD95 AD97 AD99 AD101 AD103 AD105 AD107 AD109 AD111 AD113 AD115 AD117 AD119 AD121 AD123 AD125 AD127 AD129 AD131 AD133 AD135 AD137 AD139 AD141 AD143 AD145 AD147 AD149 AD151 AD153 AD155 AD157 AD159 AD161 AD163 AD165 AD167 AD169 AD171 AD173 AD175 AD177 AD179 AD181 AD183 AD185 AD187 AD189 AD191 AD193 AD195 AD197 AD199 AD201 AD203 AD205 AD207 AD209 AD211 AD13">
      <formula1>Condition</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sheetPr>
  <dimension ref="A1:CB212"/>
  <sheetViews>
    <sheetView workbookViewId="0">
      <pane xSplit="6" ySplit="11" topLeftCell="G172" activePane="bottomRight" state="frozen"/>
      <selection pane="topRight" activeCell="G1" sqref="G1"/>
      <selection pane="bottomLeft" activeCell="A12" sqref="A12"/>
      <selection pane="bottomRight" activeCell="J193" sqref="J193"/>
    </sheetView>
  </sheetViews>
  <sheetFormatPr defaultColWidth="9.140625" defaultRowHeight="12.75" x14ac:dyDescent="0.2"/>
  <cols>
    <col min="1" max="1" width="4.5703125" style="1734" customWidth="1"/>
    <col min="2" max="2" width="2.7109375" style="1734" customWidth="1"/>
    <col min="3" max="3" width="44.42578125" style="1734" customWidth="1"/>
    <col min="4" max="4" width="1.42578125" style="1734" customWidth="1"/>
    <col min="5" max="5" width="9.7109375" style="1734" bestFit="1" customWidth="1"/>
    <col min="6" max="7" width="1.42578125" style="1734" customWidth="1"/>
    <col min="8" max="8" width="9.7109375" style="1734" customWidth="1"/>
    <col min="9" max="9" width="1.42578125" style="1734" customWidth="1"/>
    <col min="10" max="10" width="21.28515625" style="1734" customWidth="1"/>
    <col min="11" max="11" width="1.42578125" style="1734" customWidth="1"/>
    <col min="12" max="12" width="12.5703125" style="1734" customWidth="1"/>
    <col min="13" max="13" width="1.42578125" style="1734" customWidth="1"/>
    <col min="14" max="14" width="10.28515625" style="1734" bestFit="1" customWidth="1"/>
    <col min="15" max="15" width="1.42578125" style="1734" customWidth="1"/>
    <col min="16" max="16" width="9" style="1734" bestFit="1" customWidth="1"/>
    <col min="17" max="17" width="1.42578125" style="1734" customWidth="1"/>
    <col min="18" max="18" width="8.7109375" style="1734" bestFit="1" customWidth="1"/>
    <col min="19" max="19" width="1.42578125" style="1734" customWidth="1"/>
    <col min="20" max="20" width="9.7109375" style="1734" bestFit="1" customWidth="1"/>
    <col min="21" max="21" width="1.42578125" style="1734" customWidth="1"/>
    <col min="22" max="22" width="28.85546875" style="1734" customWidth="1"/>
    <col min="23" max="23" width="1.42578125" style="1734" customWidth="1"/>
    <col min="24" max="24" width="33.28515625" style="1734" customWidth="1"/>
    <col min="25" max="25" width="1.42578125" style="1734" customWidth="1"/>
    <col min="26" max="26" width="14" style="1734" customWidth="1"/>
    <col min="27" max="27" width="1.42578125" style="1734" customWidth="1"/>
    <col min="28" max="28" width="12.140625" style="1945" bestFit="1" customWidth="1"/>
    <col min="29" max="29" width="1.42578125" style="1734" customWidth="1"/>
    <col min="30" max="30" width="14.28515625" style="1734" bestFit="1" customWidth="1"/>
    <col min="31" max="31" width="1.42578125" style="1734" customWidth="1"/>
    <col min="32" max="32" width="9.7109375" style="1734" bestFit="1" customWidth="1"/>
    <col min="33" max="33" width="1.42578125" style="1734" customWidth="1"/>
    <col min="34" max="34" width="12" style="1734" customWidth="1"/>
    <col min="35" max="35" width="1.42578125" style="1734" customWidth="1"/>
    <col min="36" max="36" width="12" style="1734" customWidth="1"/>
    <col min="37" max="37" width="1.42578125" style="1734" customWidth="1"/>
    <col min="38" max="38" width="11.42578125" style="1734" bestFit="1" customWidth="1"/>
    <col min="39" max="39" width="1.42578125" style="1734" customWidth="1"/>
    <col min="40" max="40" width="57.140625" style="1734" customWidth="1"/>
    <col min="41" max="41" width="9.140625" style="1734" customWidth="1"/>
    <col min="42" max="42" width="1.42578125" style="1734" customWidth="1"/>
    <col min="43" max="43" width="23.7109375" style="1734" hidden="1" customWidth="1"/>
    <col min="44" max="45" width="7.7109375" style="1734" hidden="1" customWidth="1"/>
    <col min="46" max="46" width="13.7109375" style="1764" hidden="1" customWidth="1"/>
    <col min="47" max="47" width="8.140625" style="1764" hidden="1" customWidth="1"/>
    <col min="48" max="49" width="7" style="1764" hidden="1" customWidth="1"/>
    <col min="50" max="50" width="9" style="1764" hidden="1" customWidth="1"/>
    <col min="51" max="51" width="5.140625" style="1764" hidden="1" customWidth="1"/>
    <col min="52" max="52" width="7" style="1764" hidden="1" customWidth="1"/>
    <col min="53" max="53" width="5.140625" style="1764" hidden="1" customWidth="1"/>
    <col min="54" max="54" width="7" style="1764" hidden="1" customWidth="1"/>
    <col min="55" max="55" width="13.85546875" style="1764" hidden="1" customWidth="1"/>
    <col min="56" max="57" width="8.42578125" style="1764" hidden="1" customWidth="1"/>
    <col min="58" max="59" width="10.28515625" style="1764" hidden="1" customWidth="1"/>
    <col min="60" max="62" width="9.140625" style="1764" hidden="1" customWidth="1"/>
    <col min="63" max="64" width="7" style="1764" hidden="1" customWidth="1"/>
    <col min="65" max="66" width="10.85546875" style="1764" hidden="1" customWidth="1"/>
    <col min="67" max="68" width="10.42578125" style="1764" hidden="1" customWidth="1"/>
    <col min="69" max="70" width="7" style="1764" hidden="1" customWidth="1"/>
    <col min="71" max="71" width="5.7109375" style="1734" hidden="1" customWidth="1"/>
    <col min="72" max="72" width="7.28515625" style="1734" hidden="1" customWidth="1"/>
    <col min="73" max="75" width="11.28515625" style="1734" hidden="1" customWidth="1"/>
    <col min="76" max="77" width="11.140625" style="1734" hidden="1" customWidth="1"/>
    <col min="78" max="78" width="1.42578125" style="1734" hidden="1" customWidth="1"/>
    <col min="79" max="80" width="9.140625" style="1734" hidden="1" customWidth="1"/>
    <col min="81" max="82" width="9.140625" style="1734" customWidth="1"/>
    <col min="83" max="16384" width="9.140625" style="1734"/>
  </cols>
  <sheetData>
    <row r="1" spans="1:80" ht="20.25" x14ac:dyDescent="0.3">
      <c r="A1" s="748" t="s">
        <v>2260</v>
      </c>
      <c r="B1" s="853"/>
      <c r="C1" s="853"/>
      <c r="D1" s="853"/>
      <c r="E1" s="853"/>
      <c r="F1" s="608"/>
      <c r="G1" s="608"/>
      <c r="H1" s="608"/>
      <c r="I1" s="608"/>
      <c r="J1" s="608"/>
      <c r="K1" s="608"/>
      <c r="L1" s="608"/>
      <c r="M1" s="608"/>
      <c r="N1" s="608"/>
      <c r="O1" s="608"/>
      <c r="P1" s="608"/>
      <c r="Q1" s="608"/>
      <c r="R1" s="608"/>
      <c r="S1" s="608"/>
      <c r="T1" s="608"/>
      <c r="U1" s="608"/>
      <c r="V1" s="608"/>
      <c r="W1" s="608"/>
      <c r="X1" s="608"/>
      <c r="Y1" s="608"/>
      <c r="Z1" s="608"/>
      <c r="AA1" s="608"/>
      <c r="AB1" s="1872"/>
      <c r="AC1" s="665"/>
      <c r="AD1" s="608"/>
      <c r="AE1" s="665"/>
      <c r="AF1" s="665"/>
      <c r="AG1" s="665"/>
      <c r="AH1" s="665"/>
      <c r="AI1" s="665"/>
      <c r="AJ1" s="665"/>
      <c r="AK1" s="665"/>
      <c r="AL1" s="1713"/>
      <c r="AM1" s="665"/>
      <c r="AN1" s="608"/>
      <c r="AO1" s="608"/>
      <c r="AP1" s="666"/>
      <c r="AQ1" s="666"/>
      <c r="AR1" s="666"/>
      <c r="AS1" s="666"/>
      <c r="AT1" s="1756"/>
      <c r="AU1" s="1756"/>
      <c r="AV1" s="1756"/>
      <c r="AW1" s="1756"/>
      <c r="AX1" s="1756"/>
      <c r="AY1" s="1756"/>
      <c r="AZ1" s="1756"/>
      <c r="BA1" s="1756"/>
      <c r="BB1" s="1756"/>
      <c r="BC1" s="1756"/>
      <c r="BD1" s="1756"/>
      <c r="BE1" s="1756"/>
      <c r="BF1" s="1756"/>
      <c r="BG1" s="1756"/>
      <c r="BH1" s="1756"/>
      <c r="BI1" s="1756"/>
      <c r="BJ1" s="1756"/>
      <c r="BK1" s="1756"/>
      <c r="BL1" s="1756"/>
      <c r="BM1" s="1756"/>
      <c r="BN1" s="1756"/>
      <c r="BO1" s="1756"/>
      <c r="BP1" s="1756"/>
      <c r="BQ1" s="1756"/>
      <c r="BR1" s="1756"/>
      <c r="BS1" s="668"/>
      <c r="BT1" s="667"/>
      <c r="BU1" s="667"/>
      <c r="BV1" s="667"/>
      <c r="BW1" s="667"/>
      <c r="BX1" s="667"/>
      <c r="BY1" s="667"/>
      <c r="BZ1" s="669"/>
      <c r="CA1" s="1711" t="s">
        <v>2411</v>
      </c>
      <c r="CB1" s="924">
        <f>COUNTIFS($CA$1:$CA$212, "&gt;0")</f>
        <v>0</v>
      </c>
    </row>
    <row r="2" spans="1:80" ht="12.75" customHeight="1" x14ac:dyDescent="0.2">
      <c r="A2" s="670"/>
      <c r="B2" s="670"/>
      <c r="C2" s="671" t="str">
        <f>VLOOKUP(COLUMN(),Columns,2,FALSE)</f>
        <v>c</v>
      </c>
      <c r="D2" s="672"/>
      <c r="E2" s="671"/>
      <c r="F2" s="673"/>
      <c r="G2" s="673"/>
      <c r="H2" s="674" t="str">
        <f>VLOOKUP(COLUMN(),Columns,2,FALSE)</f>
        <v>h</v>
      </c>
      <c r="I2" s="673"/>
      <c r="J2" s="674" t="str">
        <f>VLOOKUP(COLUMN(),Columns,2,FALSE)</f>
        <v>j</v>
      </c>
      <c r="K2" s="672"/>
      <c r="L2" s="675" t="str">
        <f>VLOOKUP(COLUMN(),Columns,2,FALSE)</f>
        <v>l</v>
      </c>
      <c r="M2" s="676"/>
      <c r="N2" s="675" t="str">
        <f>VLOOKUP(COLUMN(),Columns,2,FALSE)</f>
        <v>n</v>
      </c>
      <c r="O2" s="676"/>
      <c r="P2" s="677" t="str">
        <f>VLOOKUP(COLUMN(),Columns,2,FALSE)</f>
        <v>p</v>
      </c>
      <c r="Q2" s="676"/>
      <c r="R2" s="677" t="str">
        <f>VLOOKUP(COLUMN(),Columns,2,FALSE)</f>
        <v>r</v>
      </c>
      <c r="S2" s="672"/>
      <c r="T2" s="677" t="str">
        <f>VLOOKUP(COLUMN(),Columns,2,FALSE)</f>
        <v>t</v>
      </c>
      <c r="U2" s="672"/>
      <c r="V2" s="671" t="str">
        <f>VLOOKUP(COLUMN(),Columns,2,FALSE)</f>
        <v>v</v>
      </c>
      <c r="W2" s="678"/>
      <c r="X2" s="671" t="str">
        <f>VLOOKUP(COLUMN(),Columns,2,FALSE)</f>
        <v>x</v>
      </c>
      <c r="Y2" s="672"/>
      <c r="Z2" s="671" t="str">
        <f>VLOOKUP(COLUMN(),Columns,2,FALSE)</f>
        <v>z</v>
      </c>
      <c r="AA2" s="672"/>
      <c r="AB2" s="1939" t="str">
        <f>VLOOKUP(COLUMN(),Columns,2,FALSE)</f>
        <v>ab</v>
      </c>
      <c r="AC2" s="671"/>
      <c r="AD2" s="671" t="str">
        <f>VLOOKUP(COLUMN(),Columns,2,FALSE)</f>
        <v>ad</v>
      </c>
      <c r="AE2" s="671"/>
      <c r="AF2" s="671" t="str">
        <f>VLOOKUP(COLUMN(),Columns,2,FALSE)</f>
        <v>af</v>
      </c>
      <c r="AG2" s="671"/>
      <c r="AH2" s="671" t="str">
        <f>VLOOKUP(COLUMN(),Columns,2,FALSE)</f>
        <v>ah</v>
      </c>
      <c r="AI2" s="671"/>
      <c r="AJ2" s="671" t="str">
        <f>VLOOKUP(COLUMN(),Columns,2,FALSE)</f>
        <v>aj</v>
      </c>
      <c r="AK2" s="671"/>
      <c r="AL2" s="1714" t="str">
        <f>VLOOKUP(COLUMN(),Columns,2,FALSE)</f>
        <v>al</v>
      </c>
      <c r="AM2" s="671"/>
      <c r="AN2" s="671" t="str">
        <f>VLOOKUP(COLUMN(),Columns,2,FALSE)</f>
        <v>an</v>
      </c>
      <c r="AO2" s="673"/>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80"/>
      <c r="BT2" s="679"/>
      <c r="BU2" s="679"/>
      <c r="BV2" s="679"/>
      <c r="BW2" s="679"/>
      <c r="BX2" s="679"/>
      <c r="BY2" s="679"/>
      <c r="BZ2" s="680"/>
      <c r="CA2" s="1711" t="s">
        <v>2412</v>
      </c>
      <c r="CB2" s="924">
        <f>COUNTIFS($CA$1:$CA$212, 1)+COUNTIFS($CA:$CA,2)</f>
        <v>0</v>
      </c>
    </row>
    <row r="3" spans="1:80" x14ac:dyDescent="0.2">
      <c r="A3" s="149"/>
      <c r="B3" s="149"/>
      <c r="C3" s="150" t="str">
        <f ca="1">IF($AS$7&gt;0,"Check Data Values in Cols. "&amp;$J$2&amp;" to "&amp;$AL$2,"NO BAD DATA")</f>
        <v>NO BAD DATA</v>
      </c>
      <c r="D3" s="149"/>
      <c r="E3" s="149"/>
      <c r="F3" s="149"/>
      <c r="G3" s="149"/>
      <c r="H3" s="149"/>
      <c r="I3" s="149"/>
      <c r="J3" s="149"/>
      <c r="K3" s="149"/>
      <c r="L3" s="149"/>
      <c r="M3" s="149"/>
      <c r="N3" s="149"/>
      <c r="O3" s="149"/>
      <c r="P3" s="149"/>
      <c r="Q3" s="149"/>
      <c r="R3" s="149"/>
      <c r="S3" s="149"/>
      <c r="T3" s="149"/>
      <c r="U3" s="149"/>
      <c r="V3" s="149"/>
      <c r="W3" s="149"/>
      <c r="X3" s="149"/>
      <c r="Y3" s="149"/>
      <c r="Z3" s="149" t="str">
        <f>IF($BF$7&gt;=1,"Bad Data","")</f>
        <v/>
      </c>
      <c r="AA3" s="149"/>
      <c r="AB3" s="1874" t="str">
        <f>IF(OR($BH$7&gt;=1,BI7&gt;=1),"Bad Data","")</f>
        <v/>
      </c>
      <c r="AC3" s="149"/>
      <c r="AD3" s="149" t="str">
        <f>IF($BQ$7&gt;=1,"Bad Data","")</f>
        <v/>
      </c>
      <c r="AE3" s="149"/>
      <c r="AF3" s="250" t="str">
        <f>IF($BL$8&gt;=1,"% Respon","")</f>
        <v/>
      </c>
      <c r="AG3" s="149"/>
      <c r="AH3" s="149" t="str">
        <f ca="1">IF($BN$8&gt;=1,"Condition","")</f>
        <v/>
      </c>
      <c r="AI3" s="149"/>
      <c r="AJ3" s="149" t="str">
        <f ca="1">IF($BN$8&gt;=1,"Condition","")</f>
        <v/>
      </c>
      <c r="AK3" s="149"/>
      <c r="AL3" s="1715" t="str">
        <f>IF($BF$7&gt;=1,"Bad Data","")</f>
        <v/>
      </c>
      <c r="AM3" s="149"/>
      <c r="AN3" s="149"/>
      <c r="AO3" s="149"/>
      <c r="AP3" s="258"/>
      <c r="AQ3" s="258"/>
      <c r="AR3" s="258"/>
      <c r="AS3" s="258"/>
      <c r="AT3" s="258" t="s">
        <v>347</v>
      </c>
      <c r="AU3" s="258" t="s">
        <v>347</v>
      </c>
      <c r="AV3" s="258" t="s">
        <v>347</v>
      </c>
      <c r="AW3" s="258" t="s">
        <v>347</v>
      </c>
      <c r="AX3" s="258" t="s">
        <v>347</v>
      </c>
      <c r="AY3" s="258"/>
      <c r="AZ3" s="258"/>
      <c r="BA3" s="258"/>
      <c r="BB3" s="258"/>
      <c r="BC3" s="258" t="s">
        <v>347</v>
      </c>
      <c r="BD3" s="258" t="s">
        <v>347</v>
      </c>
      <c r="BE3" s="258" t="s">
        <v>347</v>
      </c>
      <c r="BF3" s="258" t="s">
        <v>347</v>
      </c>
      <c r="BG3" s="258" t="s">
        <v>347</v>
      </c>
      <c r="BH3" s="258" t="s">
        <v>347</v>
      </c>
      <c r="BI3" s="258"/>
      <c r="BJ3" s="258" t="s">
        <v>347</v>
      </c>
      <c r="BK3" s="258" t="s">
        <v>347</v>
      </c>
      <c r="BL3" s="258" t="s">
        <v>347</v>
      </c>
      <c r="BM3" s="258" t="s">
        <v>347</v>
      </c>
      <c r="BN3" s="258" t="s">
        <v>347</v>
      </c>
      <c r="BO3" s="258" t="s">
        <v>347</v>
      </c>
      <c r="BP3" s="258" t="s">
        <v>347</v>
      </c>
      <c r="BQ3" s="258" t="s">
        <v>347</v>
      </c>
      <c r="BR3" s="258"/>
      <c r="BS3" s="258"/>
      <c r="BT3" s="281">
        <f>Valid!G1</f>
        <v>6</v>
      </c>
      <c r="BU3" s="281">
        <f>Valid!D1</f>
        <v>3</v>
      </c>
      <c r="BV3" s="281">
        <f>Valid!E1</f>
        <v>4</v>
      </c>
      <c r="BW3" s="281"/>
      <c r="BX3" s="281"/>
      <c r="BY3" s="281"/>
      <c r="BZ3" s="258"/>
      <c r="CA3" s="258"/>
      <c r="CB3" s="681"/>
    </row>
    <row r="4" spans="1:80" x14ac:dyDescent="0.2">
      <c r="A4" s="682"/>
      <c r="B4" s="682"/>
      <c r="C4" s="150" t="str">
        <f ca="1">IF($AS$8&gt;0,"Check for Missing Data in Cols. "&amp;$J$2&amp;" to "&amp;$AL$2,"NO MISSING DATA")</f>
        <v>NO MISSING DATA</v>
      </c>
      <c r="D4" s="682"/>
      <c r="E4" s="248"/>
      <c r="F4" s="250"/>
      <c r="G4" s="250"/>
      <c r="H4" s="250"/>
      <c r="I4" s="250"/>
      <c r="J4" s="248" t="str">
        <f>IF($AU$8&gt;=1,"Address?","")</f>
        <v/>
      </c>
      <c r="K4" s="682"/>
      <c r="L4" s="247" t="str">
        <f>IF($AV$8&gt;=1,"City?","")</f>
        <v/>
      </c>
      <c r="M4" s="247"/>
      <c r="N4" s="247" t="str">
        <f>IF($AW$8&gt;=1,"State?","")</f>
        <v/>
      </c>
      <c r="O4" s="247"/>
      <c r="P4" s="249" t="str">
        <f>IF($AX$8&gt;=1,"Zip Code?","")</f>
        <v/>
      </c>
      <c r="Q4" s="247"/>
      <c r="R4" s="249" t="str">
        <f>IF($AZ$8&gt;=1,"Latitude?","")</f>
        <v/>
      </c>
      <c r="S4" s="682"/>
      <c r="T4" s="249" t="str">
        <f>IF($BB$8&gt;=1,"Longitude?","")</f>
        <v/>
      </c>
      <c r="U4" s="682"/>
      <c r="V4" s="149" t="str">
        <f>IF($BC$8&gt;=1,"Mode?","")</f>
        <v/>
      </c>
      <c r="W4" s="147"/>
      <c r="X4" s="250" t="str">
        <f>IF($BE$8&gt;=1,"Facility Type?","")</f>
        <v/>
      </c>
      <c r="Y4" s="250"/>
      <c r="Z4" s="250" t="str">
        <f>IF($BG$8&gt;=1,"Year Built?","")</f>
        <v/>
      </c>
      <c r="AA4" s="250"/>
      <c r="AB4" s="1940" t="str">
        <f>IF($BJ$8&gt;=1,"Sq. Ft. or Spaces?","")</f>
        <v/>
      </c>
      <c r="AC4" s="149"/>
      <c r="AD4" s="250" t="str">
        <f>IF($BR$8&gt;=1,"Units?","")</f>
        <v/>
      </c>
      <c r="AE4" s="149"/>
      <c r="AF4" s="250" t="str">
        <f>IF($BL$8&gt;=1,"-sible?","")</f>
        <v/>
      </c>
      <c r="AG4" s="149"/>
      <c r="AH4" s="250" t="str">
        <f ca="1">IF($BN$8&gt;=1,"Assessment?","")</f>
        <v/>
      </c>
      <c r="AI4" s="149"/>
      <c r="AJ4" s="250" t="str">
        <f ca="1">IF($BN$8&gt;=1,"Assessment?","")</f>
        <v/>
      </c>
      <c r="AK4" s="149"/>
      <c r="AL4" s="1716" t="str">
        <f>IF($BP$8&gt;=1,"Year $?","")</f>
        <v/>
      </c>
      <c r="AM4" s="149"/>
      <c r="AN4" s="250"/>
      <c r="AO4" s="250"/>
      <c r="AP4" s="259"/>
      <c r="AQ4" s="259"/>
      <c r="AR4" s="259"/>
      <c r="AS4" s="259"/>
      <c r="AT4" s="1757" t="s">
        <v>199</v>
      </c>
      <c r="AU4" s="1758"/>
      <c r="AV4" s="1758"/>
      <c r="AW4" s="1758"/>
      <c r="AX4" s="1758"/>
      <c r="AY4" s="1758"/>
      <c r="AZ4" s="1758"/>
      <c r="BA4" s="1758"/>
      <c r="BB4" s="1758"/>
      <c r="BC4" s="1758"/>
      <c r="BD4" s="1758"/>
      <c r="BE4" s="1758"/>
      <c r="BF4" s="1758"/>
      <c r="BG4" s="1758"/>
      <c r="BH4" s="1758"/>
      <c r="BI4" s="1758"/>
      <c r="BJ4" s="1758"/>
      <c r="BK4" s="1758"/>
      <c r="BL4" s="1758"/>
      <c r="BM4" s="1758"/>
      <c r="BN4" s="1758"/>
      <c r="BO4" s="1758"/>
      <c r="BP4" s="1758"/>
      <c r="BQ4" s="1759"/>
      <c r="BR4" s="1760"/>
      <c r="BS4" s="685"/>
      <c r="BT4" s="686"/>
      <c r="BU4" s="686"/>
      <c r="BV4" s="686"/>
      <c r="BW4" s="686"/>
      <c r="BX4" s="686"/>
      <c r="BY4" s="686"/>
      <c r="BZ4" s="259"/>
      <c r="CA4" s="1711" t="s">
        <v>2418</v>
      </c>
      <c r="CB4" s="924">
        <f>COUNTIFS($CA:$CA,"1",$AF:$AF,"&gt;0")+COUNTIFS($CA:$CA,"2",$AF:$AF,"&gt;0")</f>
        <v>0</v>
      </c>
    </row>
    <row r="5" spans="1:80" ht="12.75" customHeight="1" x14ac:dyDescent="0.2">
      <c r="A5" s="687"/>
      <c r="B5" s="688"/>
      <c r="C5" s="689"/>
      <c r="D5" s="688"/>
      <c r="E5" s="691"/>
      <c r="F5" s="690"/>
      <c r="G5" s="690"/>
      <c r="H5" s="690"/>
      <c r="I5" s="690"/>
      <c r="J5" s="691"/>
      <c r="K5" s="692"/>
      <c r="L5" s="693"/>
      <c r="M5" s="694"/>
      <c r="N5" s="693"/>
      <c r="O5" s="694"/>
      <c r="P5" s="695"/>
      <c r="Q5" s="694"/>
      <c r="R5" s="692"/>
      <c r="S5" s="692"/>
      <c r="T5" s="692"/>
      <c r="U5" s="692"/>
      <c r="V5" s="696"/>
      <c r="W5" s="696"/>
      <c r="X5" s="696"/>
      <c r="Y5" s="696"/>
      <c r="Z5" s="696"/>
      <c r="AA5" s="696"/>
      <c r="AB5" s="1941"/>
      <c r="AC5" s="696"/>
      <c r="AD5" s="690"/>
      <c r="AE5" s="696"/>
      <c r="AF5" s="696"/>
      <c r="AG5" s="696"/>
      <c r="AH5" s="696"/>
      <c r="AI5" s="696"/>
      <c r="AJ5" s="696"/>
      <c r="AK5" s="696"/>
      <c r="AL5" s="1729"/>
      <c r="AM5" s="696"/>
      <c r="AN5" s="696"/>
      <c r="AO5" s="697"/>
      <c r="AP5" s="697"/>
      <c r="AQ5" s="698"/>
      <c r="AR5" s="698"/>
      <c r="AS5" s="698"/>
      <c r="AT5" s="1752" t="s">
        <v>82</v>
      </c>
      <c r="AU5" s="1752" t="s">
        <v>235</v>
      </c>
      <c r="AV5" s="1752" t="s">
        <v>19</v>
      </c>
      <c r="AW5" s="1752" t="s">
        <v>425</v>
      </c>
      <c r="AX5" s="1752" t="s">
        <v>483</v>
      </c>
      <c r="AY5" s="2064" t="s">
        <v>2197</v>
      </c>
      <c r="AZ5" s="2064"/>
      <c r="BA5" s="2064" t="s">
        <v>2196</v>
      </c>
      <c r="BB5" s="2064"/>
      <c r="BC5" s="1752" t="s">
        <v>162</v>
      </c>
      <c r="BD5" s="2064" t="s">
        <v>304</v>
      </c>
      <c r="BE5" s="2064"/>
      <c r="BF5" s="2064" t="s">
        <v>491</v>
      </c>
      <c r="BG5" s="2064"/>
      <c r="BH5" s="2065" t="s">
        <v>2305</v>
      </c>
      <c r="BI5" s="2066"/>
      <c r="BJ5" s="2067"/>
      <c r="BK5" s="2065" t="s">
        <v>492</v>
      </c>
      <c r="BL5" s="2067"/>
      <c r="BM5" s="2064" t="s">
        <v>2407</v>
      </c>
      <c r="BN5" s="2064"/>
      <c r="BO5" s="2064" t="s">
        <v>2415</v>
      </c>
      <c r="BP5" s="2064"/>
      <c r="BQ5" s="2064" t="s">
        <v>2168</v>
      </c>
      <c r="BR5" s="2064"/>
      <c r="BS5" s="699"/>
      <c r="BT5" s="683" t="s">
        <v>300</v>
      </c>
      <c r="BU5" s="684"/>
      <c r="BV5" s="684"/>
      <c r="BW5" s="684"/>
      <c r="BX5" s="684"/>
      <c r="BY5" s="684"/>
      <c r="BZ5" s="700"/>
      <c r="CA5" s="685"/>
      <c r="CB5" s="686"/>
    </row>
    <row r="6" spans="1:80" x14ac:dyDescent="0.2">
      <c r="A6" s="782"/>
      <c r="B6" s="1567"/>
      <c r="C6" s="817"/>
      <c r="D6" s="1567"/>
      <c r="E6" s="751"/>
      <c r="F6" s="758"/>
      <c r="G6" s="758"/>
      <c r="H6" s="1568" t="s">
        <v>2324</v>
      </c>
      <c r="I6" s="758"/>
      <c r="J6" s="1569"/>
      <c r="K6" s="1558"/>
      <c r="L6" s="1556"/>
      <c r="M6" s="1558"/>
      <c r="N6" s="1556"/>
      <c r="O6" s="1558"/>
      <c r="P6" s="1557"/>
      <c r="Q6" s="1558"/>
      <c r="R6" s="1558"/>
      <c r="S6" s="1558"/>
      <c r="T6" s="1558"/>
      <c r="U6" s="1558"/>
      <c r="V6" s="1570"/>
      <c r="W6" s="1571"/>
      <c r="X6" s="1558"/>
      <c r="Y6" s="1558"/>
      <c r="Z6" s="737" t="s">
        <v>98</v>
      </c>
      <c r="AA6" s="1558"/>
      <c r="AB6" s="1891" t="s">
        <v>202</v>
      </c>
      <c r="AC6" s="758"/>
      <c r="AD6" s="758"/>
      <c r="AE6" s="758"/>
      <c r="AF6" s="737" t="s">
        <v>2187</v>
      </c>
      <c r="AG6" s="758"/>
      <c r="AH6" s="737"/>
      <c r="AI6" s="758"/>
      <c r="AJ6" s="737"/>
      <c r="AK6" s="758"/>
      <c r="AL6" s="1718"/>
      <c r="AM6" s="758"/>
      <c r="AN6" s="758"/>
      <c r="AO6" s="1572"/>
      <c r="AP6" s="1572"/>
      <c r="AQ6" s="1559"/>
      <c r="AR6" s="1559"/>
      <c r="AS6" s="698"/>
      <c r="AT6" s="1753" t="s">
        <v>201</v>
      </c>
      <c r="AU6" s="1753" t="s">
        <v>201</v>
      </c>
      <c r="AV6" s="1753" t="s">
        <v>201</v>
      </c>
      <c r="AW6" s="1753" t="s">
        <v>201</v>
      </c>
      <c r="AX6" s="1753" t="s">
        <v>201</v>
      </c>
      <c r="AY6" s="1753" t="s">
        <v>57</v>
      </c>
      <c r="AZ6" s="1753" t="s">
        <v>201</v>
      </c>
      <c r="BA6" s="1753" t="s">
        <v>57</v>
      </c>
      <c r="BB6" s="1753" t="s">
        <v>201</v>
      </c>
      <c r="BC6" s="1753" t="s">
        <v>201</v>
      </c>
      <c r="BD6" s="1753" t="s">
        <v>2314</v>
      </c>
      <c r="BE6" s="1753" t="s">
        <v>201</v>
      </c>
      <c r="BF6" s="1753" t="s">
        <v>201</v>
      </c>
      <c r="BG6" s="1753" t="s">
        <v>201</v>
      </c>
      <c r="BH6" s="1753"/>
      <c r="BI6" s="1753"/>
      <c r="BJ6" s="1753" t="s">
        <v>201</v>
      </c>
      <c r="BK6" s="1753" t="s">
        <v>201</v>
      </c>
      <c r="BL6" s="1753" t="s">
        <v>201</v>
      </c>
      <c r="BM6" s="1753" t="s">
        <v>201</v>
      </c>
      <c r="BN6" s="1753" t="s">
        <v>201</v>
      </c>
      <c r="BO6" s="1753" t="s">
        <v>57</v>
      </c>
      <c r="BP6" s="1753" t="s">
        <v>201</v>
      </c>
      <c r="BQ6" s="1753" t="s">
        <v>57</v>
      </c>
      <c r="BR6" s="1753" t="s">
        <v>57</v>
      </c>
      <c r="BS6" s="705"/>
      <c r="BT6" s="625" t="s">
        <v>95</v>
      </c>
      <c r="BU6" s="613" t="s">
        <v>585</v>
      </c>
      <c r="BV6" s="618" t="s">
        <v>585</v>
      </c>
      <c r="BW6" s="618" t="s">
        <v>275</v>
      </c>
      <c r="BX6" s="618" t="s">
        <v>142</v>
      </c>
      <c r="BY6" s="613" t="s">
        <v>142</v>
      </c>
      <c r="BZ6" s="704"/>
      <c r="CA6" s="1586" t="s">
        <v>2402</v>
      </c>
      <c r="CB6" s="782"/>
    </row>
    <row r="7" spans="1:80" x14ac:dyDescent="0.2">
      <c r="A7" s="1577"/>
      <c r="B7" s="1578"/>
      <c r="C7" s="1587"/>
      <c r="D7" s="1578"/>
      <c r="E7" s="751"/>
      <c r="F7" s="756"/>
      <c r="G7" s="756"/>
      <c r="H7" s="1568" t="s">
        <v>2325</v>
      </c>
      <c r="I7" s="756"/>
      <c r="J7" s="1579"/>
      <c r="K7" s="823"/>
      <c r="L7" s="1580"/>
      <c r="M7" s="823"/>
      <c r="N7" s="1580"/>
      <c r="O7" s="823"/>
      <c r="P7" s="1581"/>
      <c r="Q7" s="823"/>
      <c r="R7" s="823"/>
      <c r="S7" s="823"/>
      <c r="T7" s="823"/>
      <c r="U7" s="823"/>
      <c r="V7" s="1582"/>
      <c r="W7" s="1583"/>
      <c r="X7" s="1577"/>
      <c r="Y7" s="823"/>
      <c r="Z7" s="737" t="s">
        <v>97</v>
      </c>
      <c r="AA7" s="823"/>
      <c r="AB7" s="1942" t="s">
        <v>508</v>
      </c>
      <c r="AC7" s="758"/>
      <c r="AD7" s="628" t="s">
        <v>1021</v>
      </c>
      <c r="AE7" s="758"/>
      <c r="AF7" s="737" t="s">
        <v>25</v>
      </c>
      <c r="AG7" s="758"/>
      <c r="AH7" s="1652"/>
      <c r="AI7" s="758"/>
      <c r="AJ7" s="1652"/>
      <c r="AK7" s="758"/>
      <c r="AL7" s="1718" t="s">
        <v>2163</v>
      </c>
      <c r="AM7" s="758"/>
      <c r="AN7" s="756"/>
      <c r="AO7" s="1584"/>
      <c r="AP7" s="1584"/>
      <c r="AQ7" s="1585" t="s">
        <v>301</v>
      </c>
      <c r="AR7" s="1585"/>
      <c r="AS7" s="706">
        <f ca="1">SUM(AT7:BP7)</f>
        <v>0</v>
      </c>
      <c r="AT7" s="1749"/>
      <c r="AU7" s="1749"/>
      <c r="AV7" s="1749"/>
      <c r="AW7" s="1749"/>
      <c r="AX7" s="1749"/>
      <c r="AY7" s="1750">
        <f>COUNTIF(AY$13:AY$212,"True")</f>
        <v>0</v>
      </c>
      <c r="AZ7" s="1749"/>
      <c r="BA7" s="1750">
        <f>COUNTIF(BA$13:BA$212,"True")</f>
        <v>0</v>
      </c>
      <c r="BB7" s="1749"/>
      <c r="BC7" s="1749"/>
      <c r="BD7" s="1750">
        <f ca="1">COUNTIF(BD$13:BD$212,"True")</f>
        <v>0</v>
      </c>
      <c r="BE7" s="1749"/>
      <c r="BF7" s="1750">
        <f>COUNTIF(BF$13:BF$212,"True")</f>
        <v>0</v>
      </c>
      <c r="BG7" s="1749"/>
      <c r="BH7" s="1750">
        <f>COUNTIF(BH$13:BH$212,"True")</f>
        <v>0</v>
      </c>
      <c r="BI7" s="1750">
        <f>COUNTIF(BI$13:BI$212,"True")</f>
        <v>0</v>
      </c>
      <c r="BJ7" s="1749"/>
      <c r="BK7" s="1750">
        <f>COUNTIF(BK$13:BK$212,"True")</f>
        <v>0</v>
      </c>
      <c r="BL7" s="1749"/>
      <c r="BM7" s="1749"/>
      <c r="BN7" s="1749"/>
      <c r="BO7" s="1750">
        <f ca="1">COUNTIF(BO$13:BO$212,"True")</f>
        <v>0</v>
      </c>
      <c r="BP7" s="1749"/>
      <c r="BQ7" s="1750">
        <f>COUNTIF(BQ$13:BQ$212,"True")</f>
        <v>0</v>
      </c>
      <c r="BR7" s="1750"/>
      <c r="BS7" s="705"/>
      <c r="BT7" s="625" t="s">
        <v>39</v>
      </c>
      <c r="BU7" s="613" t="s">
        <v>60</v>
      </c>
      <c r="BV7" s="613" t="s">
        <v>61</v>
      </c>
      <c r="BW7" s="613" t="s">
        <v>2392</v>
      </c>
      <c r="BX7" s="613" t="s">
        <v>60</v>
      </c>
      <c r="BY7" s="613" t="s">
        <v>61</v>
      </c>
      <c r="BZ7" s="709"/>
      <c r="CA7" s="1586" t="s">
        <v>2403</v>
      </c>
      <c r="CB7" s="1577"/>
    </row>
    <row r="8" spans="1:80" x14ac:dyDescent="0.2">
      <c r="A8" s="1577"/>
      <c r="B8" s="1578"/>
      <c r="C8" s="1587"/>
      <c r="D8" s="1578"/>
      <c r="E8" s="736" t="s">
        <v>197</v>
      </c>
      <c r="F8" s="756"/>
      <c r="G8" s="756"/>
      <c r="H8" s="1568" t="s">
        <v>2326</v>
      </c>
      <c r="I8" s="756"/>
      <c r="J8" s="1588"/>
      <c r="K8" s="1577"/>
      <c r="L8" s="1589"/>
      <c r="M8" s="823"/>
      <c r="N8" s="1589"/>
      <c r="O8" s="823"/>
      <c r="P8" s="1590"/>
      <c r="Q8" s="823"/>
      <c r="R8" s="1577"/>
      <c r="S8" s="1591" t="s">
        <v>2198</v>
      </c>
      <c r="T8" s="1577"/>
      <c r="U8" s="1577"/>
      <c r="V8" s="1582"/>
      <c r="W8" s="1583"/>
      <c r="X8" s="736" t="s">
        <v>2201</v>
      </c>
      <c r="Y8" s="823"/>
      <c r="Z8" s="737" t="s">
        <v>493</v>
      </c>
      <c r="AA8" s="823"/>
      <c r="AB8" s="1891" t="s">
        <v>308</v>
      </c>
      <c r="AC8" s="756"/>
      <c r="AD8" s="628" t="s">
        <v>1023</v>
      </c>
      <c r="AE8" s="756"/>
      <c r="AF8" s="737" t="s">
        <v>148</v>
      </c>
      <c r="AG8" s="756"/>
      <c r="AH8" s="737" t="s">
        <v>2163</v>
      </c>
      <c r="AI8" s="756"/>
      <c r="AJ8" s="737"/>
      <c r="AK8" s="756"/>
      <c r="AL8" s="1718" t="s">
        <v>2404</v>
      </c>
      <c r="AM8" s="756"/>
      <c r="AN8" s="756"/>
      <c r="AO8" s="1584"/>
      <c r="AP8" s="1584"/>
      <c r="AQ8" s="1585" t="s">
        <v>302</v>
      </c>
      <c r="AR8" s="1585"/>
      <c r="AS8" s="706">
        <f ca="1">SUM(AT8:BP8)</f>
        <v>0</v>
      </c>
      <c r="AT8" s="1750">
        <f ca="1">COUNTIF(AT$13:AT$212,"True")</f>
        <v>0</v>
      </c>
      <c r="AU8" s="1750">
        <f>COUNTIF(AU$13:AU$212,"True")</f>
        <v>0</v>
      </c>
      <c r="AV8" s="1750">
        <f>COUNTIF(AV$13:AV$212,"True")</f>
        <v>0</v>
      </c>
      <c r="AW8" s="1750">
        <f>COUNTIF(AW$13:AW$212,"True")</f>
        <v>0</v>
      </c>
      <c r="AX8" s="1750">
        <f>COUNTIF(AX$13:AX$212,"True")</f>
        <v>0</v>
      </c>
      <c r="AY8" s="1750"/>
      <c r="AZ8" s="1750">
        <f>COUNTIF(AZ$13:AZ$212,"True")</f>
        <v>0</v>
      </c>
      <c r="BA8" s="1750"/>
      <c r="BB8" s="1750">
        <f>COUNTIF(BB$13:BB$212,"True")</f>
        <v>0</v>
      </c>
      <c r="BC8" s="1750">
        <f>COUNTIF(BC$13:BC$212,"True")</f>
        <v>0</v>
      </c>
      <c r="BD8" s="1750">
        <f ca="1">COUNTIF(BD$13:BD$212,"True")</f>
        <v>0</v>
      </c>
      <c r="BE8" s="1750">
        <f>COUNTIF(BE$13:BE$212,"True")</f>
        <v>0</v>
      </c>
      <c r="BF8" s="1749"/>
      <c r="BG8" s="1750">
        <f>COUNTIF(BG$13:BG$212,"True")</f>
        <v>0</v>
      </c>
      <c r="BH8" s="1749"/>
      <c r="BI8" s="1749"/>
      <c r="BJ8" s="1750">
        <f>COUNTIF(BJ$13:BJ$212,"True")</f>
        <v>0</v>
      </c>
      <c r="BK8" s="1749"/>
      <c r="BL8" s="1750">
        <f>COUNTIF(BL$13:BL$212,"True")</f>
        <v>0</v>
      </c>
      <c r="BM8" s="1749"/>
      <c r="BN8" s="1750">
        <f ca="1">COUNTIF(BN$13:BN$212,"True")</f>
        <v>0</v>
      </c>
      <c r="BO8" s="1749"/>
      <c r="BP8" s="1750">
        <f>COUNTIF(BP$13:BP$212,"True")</f>
        <v>0</v>
      </c>
      <c r="BQ8" s="1749"/>
      <c r="BR8" s="1750">
        <f>COUNTIF(BR$13:BR$212,"True")</f>
        <v>0</v>
      </c>
      <c r="BS8" s="711"/>
      <c r="BT8" s="741"/>
      <c r="BU8" s="712"/>
      <c r="BV8" s="712"/>
      <c r="BW8" s="712"/>
      <c r="BX8" s="712"/>
      <c r="BY8" s="712"/>
      <c r="BZ8" s="709"/>
      <c r="CA8" s="1586"/>
      <c r="CB8" s="1577"/>
    </row>
    <row r="9" spans="1:80" x14ac:dyDescent="0.2">
      <c r="A9" s="1584"/>
      <c r="B9" s="699"/>
      <c r="C9" s="736"/>
      <c r="D9" s="699"/>
      <c r="E9" s="736" t="s">
        <v>484</v>
      </c>
      <c r="F9" s="756"/>
      <c r="G9" s="756"/>
      <c r="H9" s="1568" t="s">
        <v>2327</v>
      </c>
      <c r="I9" s="756"/>
      <c r="J9" s="1594"/>
      <c r="K9" s="737"/>
      <c r="L9" s="1595"/>
      <c r="M9" s="737"/>
      <c r="N9" s="1595"/>
      <c r="O9" s="737"/>
      <c r="P9" s="1596"/>
      <c r="Q9" s="737"/>
      <c r="R9" s="737"/>
      <c r="S9" s="765"/>
      <c r="T9" s="737"/>
      <c r="U9" s="737"/>
      <c r="V9" s="1597" t="s">
        <v>162</v>
      </c>
      <c r="W9" s="1598"/>
      <c r="X9" s="736" t="s">
        <v>275</v>
      </c>
      <c r="Y9" s="737"/>
      <c r="Z9" s="737" t="s">
        <v>1692</v>
      </c>
      <c r="AA9" s="737"/>
      <c r="AB9" s="1891" t="s">
        <v>509</v>
      </c>
      <c r="AC9" s="823"/>
      <c r="AD9" s="628" t="s">
        <v>1024</v>
      </c>
      <c r="AE9" s="823"/>
      <c r="AF9" s="737" t="s">
        <v>501</v>
      </c>
      <c r="AG9" s="823"/>
      <c r="AH9" s="737" t="s">
        <v>2402</v>
      </c>
      <c r="AI9" s="823"/>
      <c r="AJ9" s="737" t="s">
        <v>2402</v>
      </c>
      <c r="AK9" s="823"/>
      <c r="AL9" s="1718" t="s">
        <v>2402</v>
      </c>
      <c r="AM9" s="823"/>
      <c r="AN9" s="737"/>
      <c r="AO9" s="1577"/>
      <c r="AP9" s="1577"/>
      <c r="AQ9" s="1577"/>
      <c r="AR9" s="1577"/>
      <c r="AS9" s="713" t="s">
        <v>500</v>
      </c>
      <c r="AT9" s="1751" t="str">
        <f ca="1">IF(OR(AT7&gt;=1,AT8&gt;=1),AT10,"")</f>
        <v/>
      </c>
      <c r="AU9" s="1751" t="str">
        <f>IF(OR(AU7&gt;=1,AU8&gt;=1),AU10,"")</f>
        <v/>
      </c>
      <c r="AV9" s="1751" t="str">
        <f>IF(OR(AV7&gt;=1,AV8&gt;=1),AV10,"")</f>
        <v/>
      </c>
      <c r="AW9" s="1751" t="str">
        <f>IF(OR(AW7&gt;=1,AW8&gt;=1),AW10,"")</f>
        <v/>
      </c>
      <c r="AX9" s="1751" t="str">
        <f>IF(OR(AX7&gt;=1,AX8&gt;=1),AX10,"")</f>
        <v/>
      </c>
      <c r="AY9" s="1751"/>
      <c r="AZ9" s="1751"/>
      <c r="BA9" s="1751"/>
      <c r="BB9" s="1751"/>
      <c r="BC9" s="1751" t="str">
        <f>IF(OR(BC7&gt;=1,BC8&gt;=1),BC10,"")</f>
        <v/>
      </c>
      <c r="BD9" s="1751"/>
      <c r="BE9" s="1751" t="str">
        <f>IF(OR(BE7&gt;=1,BE8&gt;=1),BE10,"")</f>
        <v/>
      </c>
      <c r="BF9" s="1751" t="str">
        <f>IF(OR(BF7&gt;=1,BF8&gt;=1),BF10,"")</f>
        <v/>
      </c>
      <c r="BG9" s="1751" t="str">
        <f>IF(OR(BG7&gt;=1,BG8&gt;=1),BG10,"")</f>
        <v/>
      </c>
      <c r="BH9" s="1751" t="str">
        <f>IF(OR(BH7&gt;=1,BH8&gt;=1),BH10,"")</f>
        <v/>
      </c>
      <c r="BI9" s="1751"/>
      <c r="BJ9" s="1751" t="str">
        <f t="shared" ref="BJ9:BR9" si="0">IF(OR(BJ7&gt;=1,BJ8&gt;=1),BJ10,"")</f>
        <v/>
      </c>
      <c r="BK9" s="1751" t="str">
        <f t="shared" si="0"/>
        <v/>
      </c>
      <c r="BL9" s="1751" t="str">
        <f t="shared" si="0"/>
        <v/>
      </c>
      <c r="BM9" s="1751" t="str">
        <f t="shared" si="0"/>
        <v/>
      </c>
      <c r="BN9" s="1751" t="str">
        <f t="shared" ca="1" si="0"/>
        <v/>
      </c>
      <c r="BO9" s="1751" t="str">
        <f t="shared" ca="1" si="0"/>
        <v/>
      </c>
      <c r="BP9" s="1751" t="str">
        <f t="shared" si="0"/>
        <v/>
      </c>
      <c r="BQ9" s="1751" t="str">
        <f t="shared" si="0"/>
        <v/>
      </c>
      <c r="BR9" s="1751" t="str">
        <f t="shared" si="0"/>
        <v/>
      </c>
      <c r="BS9" s="714"/>
      <c r="BT9" s="741"/>
      <c r="BU9" s="712"/>
      <c r="BV9" s="712"/>
      <c r="BW9" s="712"/>
      <c r="BX9" s="712"/>
      <c r="BY9" s="712"/>
      <c r="BZ9" s="710"/>
      <c r="CA9" s="1586"/>
      <c r="CB9" s="1577"/>
    </row>
    <row r="10" spans="1:80" ht="12.75" customHeight="1" x14ac:dyDescent="0.2">
      <c r="A10" s="1601" t="s">
        <v>196</v>
      </c>
      <c r="B10" s="699"/>
      <c r="C10" s="1601" t="s">
        <v>82</v>
      </c>
      <c r="D10" s="699"/>
      <c r="E10" s="736" t="s">
        <v>485</v>
      </c>
      <c r="F10" s="756"/>
      <c r="G10" s="756"/>
      <c r="H10" s="1568" t="s">
        <v>2328</v>
      </c>
      <c r="I10" s="756"/>
      <c r="J10" s="1568" t="s">
        <v>18</v>
      </c>
      <c r="K10" s="737"/>
      <c r="L10" s="1601" t="s">
        <v>19</v>
      </c>
      <c r="M10" s="1601"/>
      <c r="N10" s="1601" t="s">
        <v>425</v>
      </c>
      <c r="O10" s="1601"/>
      <c r="P10" s="1568" t="s">
        <v>483</v>
      </c>
      <c r="Q10" s="1601"/>
      <c r="R10" s="737" t="s">
        <v>2199</v>
      </c>
      <c r="S10" s="737"/>
      <c r="T10" s="737" t="s">
        <v>2200</v>
      </c>
      <c r="U10" s="737"/>
      <c r="V10" s="1597" t="s">
        <v>276</v>
      </c>
      <c r="W10" s="1598"/>
      <c r="X10" s="628" t="s">
        <v>101</v>
      </c>
      <c r="Y10" s="737"/>
      <c r="Z10" s="737" t="s">
        <v>1693</v>
      </c>
      <c r="AA10" s="737"/>
      <c r="AB10" s="1891" t="s">
        <v>143</v>
      </c>
      <c r="AC10" s="823"/>
      <c r="AD10" s="628" t="s">
        <v>1022</v>
      </c>
      <c r="AE10" s="823"/>
      <c r="AF10" s="737" t="s">
        <v>146</v>
      </c>
      <c r="AG10" s="823"/>
      <c r="AH10" s="737" t="s">
        <v>2403</v>
      </c>
      <c r="AI10" s="823"/>
      <c r="AJ10" s="737" t="s">
        <v>2403</v>
      </c>
      <c r="AK10" s="823"/>
      <c r="AL10" s="1718" t="s">
        <v>2403</v>
      </c>
      <c r="AM10" s="823"/>
      <c r="AN10" s="628" t="s">
        <v>140</v>
      </c>
      <c r="AO10" s="1586"/>
      <c r="AP10" s="1586"/>
      <c r="AQ10" s="1599"/>
      <c r="AR10" s="1599"/>
      <c r="AS10" s="713"/>
      <c r="AT10" s="1750" t="str">
        <f>$C$2</f>
        <v>c</v>
      </c>
      <c r="AU10" s="1750" t="str">
        <f>$J$2</f>
        <v>j</v>
      </c>
      <c r="AV10" s="1750" t="str">
        <f>$L$2</f>
        <v>l</v>
      </c>
      <c r="AW10" s="1750" t="str">
        <f>$N$2</f>
        <v>n</v>
      </c>
      <c r="AX10" s="1750" t="str">
        <f>$P$2</f>
        <v>p</v>
      </c>
      <c r="AY10" s="1750" t="str">
        <f>$R$2</f>
        <v>r</v>
      </c>
      <c r="AZ10" s="1750" t="str">
        <f>$R$2</f>
        <v>r</v>
      </c>
      <c r="BA10" s="1750" t="str">
        <f>$T$2</f>
        <v>t</v>
      </c>
      <c r="BB10" s="1750" t="str">
        <f>$T$2</f>
        <v>t</v>
      </c>
      <c r="BC10" s="1750" t="str">
        <f>$V$2</f>
        <v>v</v>
      </c>
      <c r="BD10" s="1750" t="s">
        <v>40</v>
      </c>
      <c r="BE10" s="1750" t="str">
        <f>$X$2</f>
        <v>x</v>
      </c>
      <c r="BF10" s="1750" t="str">
        <f>$Z$2</f>
        <v>z</v>
      </c>
      <c r="BG10" s="1750" t="str">
        <f>BF10</f>
        <v>z</v>
      </c>
      <c r="BH10" s="1750" t="str">
        <f>$AB$2</f>
        <v>ab</v>
      </c>
      <c r="BI10" s="1750"/>
      <c r="BJ10" s="1750" t="str">
        <f>BH10</f>
        <v>ab</v>
      </c>
      <c r="BK10" s="1750" t="str">
        <f>$AF$2</f>
        <v>af</v>
      </c>
      <c r="BL10" s="1750" t="str">
        <f>BK10</f>
        <v>af</v>
      </c>
      <c r="BM10" s="1750" t="str">
        <f>$AH$2</f>
        <v>ah</v>
      </c>
      <c r="BN10" s="1750" t="str">
        <f>BM10</f>
        <v>ah</v>
      </c>
      <c r="BO10" s="1750" t="str">
        <f>$AL$2</f>
        <v>al</v>
      </c>
      <c r="BP10" s="1750" t="str">
        <f>BO10</f>
        <v>al</v>
      </c>
      <c r="BQ10" s="1750" t="s">
        <v>2169</v>
      </c>
      <c r="BR10" s="1750" t="s">
        <v>2169</v>
      </c>
      <c r="BS10" s="711"/>
      <c r="BT10" s="742"/>
      <c r="BU10" s="743"/>
      <c r="BV10" s="743"/>
      <c r="BW10" s="743"/>
      <c r="BX10" s="743"/>
      <c r="BY10" s="743"/>
      <c r="BZ10" s="710"/>
      <c r="CA10" s="1586"/>
      <c r="CB10" s="1586"/>
    </row>
    <row r="11" spans="1:80" ht="9.75" customHeight="1" x14ac:dyDescent="0.2">
      <c r="A11" s="1057"/>
      <c r="B11" s="1555"/>
      <c r="C11" s="1057"/>
      <c r="D11" s="685"/>
      <c r="E11" s="1229"/>
      <c r="F11" s="1229"/>
      <c r="G11" s="1229"/>
      <c r="H11" s="1229"/>
      <c r="I11" s="1229"/>
      <c r="J11" s="1604"/>
      <c r="K11" s="1229"/>
      <c r="L11" s="1605"/>
      <c r="M11" s="1229"/>
      <c r="N11" s="1605"/>
      <c r="O11" s="1229"/>
      <c r="P11" s="1606"/>
      <c r="Q11" s="1229"/>
      <c r="R11" s="1229"/>
      <c r="S11" s="1229"/>
      <c r="T11" s="1229"/>
      <c r="U11" s="1229"/>
      <c r="V11" s="1607"/>
      <c r="W11" s="1608"/>
      <c r="X11" s="1608"/>
      <c r="Y11" s="1608"/>
      <c r="Z11" s="1608"/>
      <c r="AA11" s="1608"/>
      <c r="AB11" s="1631"/>
      <c r="AC11" s="823"/>
      <c r="AD11" s="1057"/>
      <c r="AE11" s="823"/>
      <c r="AF11" s="685"/>
      <c r="AG11" s="823"/>
      <c r="AH11" s="823"/>
      <c r="AI11" s="823"/>
      <c r="AJ11" s="823"/>
      <c r="AK11" s="823"/>
      <c r="AL11" s="1719"/>
      <c r="AM11" s="823"/>
      <c r="AN11" s="1057"/>
      <c r="AO11" s="1229"/>
      <c r="AP11" s="1229"/>
      <c r="AQ11" s="1229"/>
      <c r="AR11" s="1229"/>
      <c r="AS11" s="717"/>
      <c r="AT11" s="1754"/>
      <c r="AU11" s="1755"/>
      <c r="AV11" s="1755"/>
      <c r="AW11" s="1755"/>
      <c r="AX11" s="1755"/>
      <c r="AY11" s="1755"/>
      <c r="AZ11" s="1755"/>
      <c r="BA11" s="1755"/>
      <c r="BB11" s="1755"/>
      <c r="BC11" s="1755"/>
      <c r="BD11" s="1755"/>
      <c r="BE11" s="1755"/>
      <c r="BF11" s="1755"/>
      <c r="BG11" s="1755"/>
      <c r="BH11" s="1755"/>
      <c r="BI11" s="1755"/>
      <c r="BJ11" s="1755"/>
      <c r="BK11" s="1755"/>
      <c r="BL11" s="1755"/>
      <c r="BM11" s="1755"/>
      <c r="BN11" s="1755"/>
      <c r="BO11" s="1755"/>
      <c r="BP11" s="1755"/>
      <c r="BQ11" s="1755"/>
      <c r="BR11" s="1755"/>
      <c r="BS11" s="685"/>
      <c r="BT11" s="718"/>
      <c r="BU11" s="718"/>
      <c r="BV11" s="718"/>
      <c r="BW11" s="718"/>
      <c r="BX11" s="718"/>
      <c r="BY11" s="718"/>
      <c r="BZ11" s="717"/>
      <c r="CA11" s="685"/>
      <c r="CB11" s="685"/>
    </row>
    <row r="12" spans="1:80" s="1739" customFormat="1" ht="6.75" customHeight="1" thickBot="1" x14ac:dyDescent="0.25">
      <c r="A12" s="1057"/>
      <c r="B12" s="1735">
        <v>0.5</v>
      </c>
      <c r="C12" s="1057"/>
      <c r="D12" s="1736"/>
      <c r="E12" s="1229"/>
      <c r="F12" s="1229"/>
      <c r="G12" s="1229"/>
      <c r="H12" s="1229"/>
      <c r="I12" s="1229"/>
      <c r="J12" s="1604"/>
      <c r="K12" s="1229"/>
      <c r="L12" s="1605"/>
      <c r="M12" s="1229"/>
      <c r="N12" s="1605"/>
      <c r="O12" s="1229"/>
      <c r="P12" s="1606"/>
      <c r="Q12" s="1229"/>
      <c r="R12" s="1229"/>
      <c r="S12" s="1229"/>
      <c r="T12" s="1229"/>
      <c r="U12" s="1229"/>
      <c r="V12" s="1223"/>
      <c r="W12" s="1737"/>
      <c r="X12" s="1737"/>
      <c r="Y12" s="1737"/>
      <c r="Z12" s="1737"/>
      <c r="AA12" s="1737"/>
      <c r="AB12" s="1631"/>
      <c r="AC12" s="823"/>
      <c r="AD12" s="1057"/>
      <c r="AE12" s="823"/>
      <c r="AF12" s="1736"/>
      <c r="AG12" s="823"/>
      <c r="AH12" s="823"/>
      <c r="AI12" s="823"/>
      <c r="AJ12" s="823"/>
      <c r="AK12" s="823"/>
      <c r="AL12" s="1719"/>
      <c r="AM12" s="823"/>
      <c r="AN12" s="1057"/>
      <c r="AO12" s="1229"/>
      <c r="AP12" s="1229"/>
      <c r="AQ12" s="1229"/>
      <c r="AR12" s="1229"/>
      <c r="AS12" s="1229"/>
      <c r="AT12" s="1762"/>
      <c r="AU12" s="1762"/>
      <c r="AV12" s="1762"/>
      <c r="AW12" s="1762"/>
      <c r="AX12" s="1762"/>
      <c r="AY12" s="1762"/>
      <c r="AZ12" s="1762"/>
      <c r="BA12" s="1762"/>
      <c r="BB12" s="1762"/>
      <c r="BC12" s="1762"/>
      <c r="BD12" s="1762"/>
      <c r="BE12" s="1762"/>
      <c r="BF12" s="1762"/>
      <c r="BG12" s="1762"/>
      <c r="BH12" s="1762"/>
      <c r="BI12" s="1762"/>
      <c r="BJ12" s="1762"/>
      <c r="BK12" s="1762"/>
      <c r="BL12" s="1762"/>
      <c r="BM12" s="1762"/>
      <c r="BN12" s="1762"/>
      <c r="BO12" s="1762"/>
      <c r="BP12" s="1762"/>
      <c r="BQ12" s="1762"/>
      <c r="BR12" s="1762"/>
      <c r="BS12" s="1736"/>
      <c r="BT12" s="1738"/>
      <c r="BU12" s="1738"/>
      <c r="BV12" s="1738"/>
      <c r="BW12" s="1738"/>
      <c r="BX12" s="1738"/>
      <c r="BY12" s="1738"/>
      <c r="BZ12" s="1229"/>
      <c r="CA12" s="721" t="str">
        <f>IF(AR12="","",IF(COUNT(FIND({0,1,2,3,4,5,6,7,8,9},AR12))=0, 5, AP12))</f>
        <v/>
      </c>
      <c r="CB12" s="1736"/>
    </row>
    <row r="13" spans="1:80" s="1739" customFormat="1" x14ac:dyDescent="0.2">
      <c r="A13" s="840">
        <v>1</v>
      </c>
      <c r="B13" s="1731">
        <v>1</v>
      </c>
      <c r="C13" s="1740"/>
      <c r="D13" s="1248" t="str">
        <f>IF((C13=""),"Enter Facility "&amp;TEXT(A13,0)&amp;" Name, then Fill in Columns "&amp;TEXT($H$2,0)&amp;" - "&amp;TEXT($AL$2,0)&amp;"       ","")</f>
        <v xml:space="preserve">Enter Facility 1 Name, then Fill in Columns h - al       </v>
      </c>
      <c r="E13" s="1245" t="str">
        <f ca="1">IF(AS13="N/A","",IF(AS13="N","No","Yes"))</f>
        <v/>
      </c>
      <c r="F13" s="758"/>
      <c r="G13" s="758"/>
      <c r="H13" s="1707"/>
      <c r="I13" s="758"/>
      <c r="J13" s="1653"/>
      <c r="K13" s="1248"/>
      <c r="L13" s="1740"/>
      <c r="M13" s="1248"/>
      <c r="N13" s="1740"/>
      <c r="O13" s="1248"/>
      <c r="P13" s="1741"/>
      <c r="Q13" s="1248"/>
      <c r="R13" s="1742"/>
      <c r="S13" s="1248"/>
      <c r="T13" s="1742"/>
      <c r="U13" s="1248"/>
      <c r="V13" s="1653"/>
      <c r="W13" s="1618"/>
      <c r="X13" s="1653"/>
      <c r="Y13" s="1618"/>
      <c r="Z13" s="1743"/>
      <c r="AA13" s="1248"/>
      <c r="AB13" s="1943"/>
      <c r="AC13" s="1620"/>
      <c r="AD13" s="1740"/>
      <c r="AE13" s="1618"/>
      <c r="AF13" s="1621"/>
      <c r="AG13" s="1618" t="str">
        <f ca="1">IF($E13&lt;&gt;"","% of Cap Resp.","")</f>
        <v/>
      </c>
      <c r="AH13" s="1863" t="str">
        <f ca="1">IF(BW13="", "", IF(BW13&gt;100, 1, VLOOKUP(BW13, Valid!$W$1:$AA$101, VLOOKUP(X13, Codes!$L$20:$N$28, 3, FALSE), FALSE)))</f>
        <v/>
      </c>
      <c r="AI13" s="1620" t="str">
        <f ca="1">IF($E13&lt;&gt;"","Estimated?  ","")</f>
        <v/>
      </c>
      <c r="AJ13" s="1654"/>
      <c r="AK13" s="1620"/>
      <c r="AL13" s="1730"/>
      <c r="AM13" s="1620" t="b">
        <f ca="1">IF(E13&lt;&gt;"","Est Date?    ")</f>
        <v>0</v>
      </c>
      <c r="AN13" s="1740"/>
      <c r="AO13" s="1248" t="str">
        <f>IF(X13="Other (describe in Notes)","Describe Facility.                                                                                                                        ","")</f>
        <v/>
      </c>
      <c r="AP13" s="1624"/>
      <c r="AQ13" s="1624" t="b">
        <f>IF(AND(C13="",C15&lt;&gt;""),TRUE,FALSE)</f>
        <v>0</v>
      </c>
      <c r="AR13" s="1624" t="str">
        <f>IF(AND(J13&lt;&gt;"",L13&lt;&gt;"",N13&lt;&gt;"",P13&lt;&gt;"",R13="",T13=""),"Y",IF(AND(J13="",L13="",N13="",P13="",R13&lt;&gt;"",T13&lt;&gt;""),"Y",IF(AND(J13&lt;&gt;"",L13&lt;&gt;"",N13&lt;&gt;"",P13&lt;&gt;"",R13&lt;&gt;"",T13&lt;&gt;""),"Y",IF(AND(J13="",L13="",N13="",P13="",R13="",T13=""),"N/A","N"))))</f>
        <v>N/A</v>
      </c>
      <c r="AS13" s="1624" t="str">
        <f ca="1">IF(AND($C13&lt;&gt;"",OR(AR13="N",$V13="",$X13="",$Z13="",$AB13="",$AF13="",$AH13="",$AL13="",AD13="")),"N",IF(AND($C13="",OR(H13&lt;&gt;"",AR13="N",$V13&lt;&gt;"",$X13&lt;&gt;"",$Z13&lt;&gt;"",$AB13&lt;&gt;"",$AF13&lt;&gt;"",$AH13&lt;&gt;"",$AL13&lt;&gt;"",AD13&lt;&gt;"")),"N",IF(AND(H13="",$C13="",AR13="N/A",$V13="",$X13="",$Z13="",$AB13="",$AF13="",$AH13="",$AL13="",AD13=""),"N/A",IF(AND($C13&lt;&gt;"",AR13="Y",$V13&lt;&gt;"",$X13&lt;&gt;"",$Z13&lt;&gt;"",$AB13&lt;&gt;"",$AF13&lt;&gt;"",$AH13&lt;&gt;"",$AL13&lt;&gt;"",AD13&lt;&gt;""),"Y","N"))))</f>
        <v>N/A</v>
      </c>
      <c r="AT13" s="1761" t="b">
        <f ca="1">IF(AND($C13="",OR($J13&lt;&gt;"",$L13&lt;&gt;"",$N13&lt;&gt;"",$P13&lt;&gt;"",$V13&lt;&gt;"",$X13&lt;&gt;"",$Z13&lt;&gt;"",$AB13&lt;&gt;"",$AF13&lt;&gt;"",$AH13&lt;&gt;"",$AL13&lt;&gt;"")),TRUE,FALSE)</f>
        <v>0</v>
      </c>
      <c r="AU13" s="1761" t="b">
        <f>IF(OR(R13&lt;&gt;"",T13&lt;&gt;""),"false",IF(AND($C13&lt;&gt;"",$J13=""),TRUE,FALSE))</f>
        <v>0</v>
      </c>
      <c r="AV13" s="1761" t="b">
        <f>IF(OR(R13&lt;&gt;"",T13&lt;&gt;""),FALSE,IF(AND($C13&lt;&gt;"",$L13=""),TRUE,FALSE))</f>
        <v>0</v>
      </c>
      <c r="AW13" s="1761" t="b">
        <f>IF(OR(R13&lt;&gt;"",T13&lt;&gt;""),FALSE,IF(AND($C13&lt;&gt;"",$N13=""),TRUE,FALSE))</f>
        <v>0</v>
      </c>
      <c r="AX13" s="1761" t="b">
        <f>IF(OR(R13&lt;&gt;"",T13&lt;&gt;""),FALSE,IF(AND($C13&lt;&gt;"",$P13=""),TRUE,FALSE))</f>
        <v>0</v>
      </c>
      <c r="AY13" s="1761"/>
      <c r="AZ13" s="1761" t="b">
        <f>IF(OR(J13&lt;&gt;"",L13&lt;&gt;"",N13&lt;&gt;"",P13&lt;&gt;""),FALSE,IF(AND(C13&lt;&gt;"",R13=""),TRUE,FALSE))</f>
        <v>0</v>
      </c>
      <c r="BA13" s="1761"/>
      <c r="BB13" s="1761" t="b">
        <f>IF(OR(J13&lt;&gt;"",L13&lt;&gt;"",N13&lt;&gt;"",P13&lt;&gt;""),FALSE,IF(AND(C13&lt;&gt;"",T13=""),TRUE,FALSE))</f>
        <v>0</v>
      </c>
      <c r="BC13" s="1761" t="b">
        <f>IF(AND($C13&lt;&gt;"",$V13=""),TRUE,FALSE)</f>
        <v>0</v>
      </c>
      <c r="BD13" s="1761" t="b">
        <f ca="1">IF(AND(X13="",OR(Z13&lt;&gt;"",AB13&lt;&gt;"",AF13&lt;&gt;"",AH13&lt;&gt;"",AL13&lt;&gt;"",AD13&lt;&gt;"")),TRUE,FALSE)</f>
        <v>0</v>
      </c>
      <c r="BE13" s="1761" t="b">
        <f>IF(AND($C13&lt;&gt;"",$X13=""),TRUE,FALSE)</f>
        <v>0</v>
      </c>
      <c r="BF13" s="1761" t="b">
        <f>IF(Z13="",FALSE,IF(X13="",FALSE,IF(BG13=TRUE,FALSE,IF(OR(Z13&lt;BU13,Z13&gt;BaseYear),TRUE,FALSE))))</f>
        <v>0</v>
      </c>
      <c r="BG13" s="1761" t="b">
        <f>IF(AND($C13&lt;&gt;"",$Z13=""),TRUE,FALSE)</f>
        <v>0</v>
      </c>
      <c r="BH13" s="1761" t="b">
        <f>IF(AD13="",FALSE,IF(X13="",FALSE,
IF(BJ13=TRUE,FALSE,IF(AB13&lt;BX13,TRUE,FALSE))))</f>
        <v>0</v>
      </c>
      <c r="BI13" s="1761" t="b">
        <f>IF(AD13="",FALSE,IF(X13="",FALSE,IF(BJ13=TRUE,FALSE,IF(AB13&gt;BY13,TRUE,FALSE))))</f>
        <v>0</v>
      </c>
      <c r="BJ13" s="1761" t="b">
        <f>IF(AND($C13&lt;&gt;"",$AB13=""),TRUE,FALSE)</f>
        <v>0</v>
      </c>
      <c r="BK13" s="1761" t="b">
        <f>IF(BL13=TRUE,FALSE,IF(OR(AF13&lt;0,AF13&gt;1),TRUE,FALSE))</f>
        <v>0</v>
      </c>
      <c r="BL13" s="1761" t="b">
        <f>IF(AND($C13&lt;&gt;"",$AF13=""),TRUE,FALSE)</f>
        <v>0</v>
      </c>
      <c r="BM13" s="1761"/>
      <c r="BN13" s="1761" t="b">
        <f ca="1">IF(AND($C13&lt;&gt;"",$AH13=""),TRUE,FALSE)</f>
        <v>0</v>
      </c>
      <c r="BO13" s="1761" t="b">
        <f ca="1">IF(OR(AH13="", AL13=""),FALSE,IF(COUNT(FIND({0,1,2,3,4,5,6,7,8,9}, AL13))=0, FALSE, IF(YEAR(AL13)&lt;Z13, TRUE, FALSE)))</f>
        <v>0</v>
      </c>
      <c r="BP13" s="1761" t="b">
        <f>IF(AND($C13&lt;&gt;"",$AL13=""),TRUE,FALSE)</f>
        <v>0</v>
      </c>
      <c r="BQ13" s="1761" t="b">
        <f>IF(AD13="Square Foot",FALSE,IF(AND(AD13="Parking Space",OR('A-20 PassFacInv'!X13=Valid!$B$7,'A-20 PassFacInv'!X13=Valid!$B$8,'A-20 PassFacInv'!X13=Valid!$B$9,'A-20 PassFacInv'!X13=Valid!$B$10,'A-20 PassFacInv'!X13=Valid!$B$12,'A-20 PassFacInv'!X13=Valid!$B$13,'A-20 PassFacInv'!X13=Valid!$B$14,'A-20 PassFacInv'!X13=Valid!$B$15,'A-20 PassFacInv'!X13=Valid!$B$16,'A-20 PassFacInv'!X13=Valid!$B$17,'A-20 PassFacInv'!X13=Valid!$B$18,X13=Valid!$B$19,X13=Valid!$B$20,X13=Valid!$B$21)),TRUE,FALSE))</f>
        <v>0</v>
      </c>
      <c r="BR13" s="1761" t="b">
        <f>IF(AND($C13&lt;&gt;"",$AD13=""),TRUE,FALSE)</f>
        <v>0</v>
      </c>
      <c r="BS13" s="721"/>
      <c r="BT13" s="1625" t="str">
        <f>IF($X13="","",VLOOKUP($X13,val_facilities,BT$3,FALSE))</f>
        <v/>
      </c>
      <c r="BU13" s="1627" t="str">
        <f>IF($X13="","",VLOOKUP($X13,val_facilities,BU$3,FALSE))</f>
        <v/>
      </c>
      <c r="BV13" s="1627" t="str">
        <f>IF($X13="","",VLOOKUP($X13,val_facilities,BV$3,FALSE))</f>
        <v/>
      </c>
      <c r="BW13" s="1627" t="str">
        <f ca="1">IFERROR(IF(Z13="", "", YEAR(TODAY())-Z13), "")</f>
        <v/>
      </c>
      <c r="BX13" s="845" t="str">
        <f>IF($X13="","",IF(AD13="Square Feet",VLOOKUP('A-20 PassFacInv'!X13,Valid!$B$7:$H$24,7,FALSE),IF(AD13="Parking Spaces",VLOOKUP(X13,Valid!$B$22:$L$24,11,FALSE))))</f>
        <v/>
      </c>
      <c r="BY13" s="845" t="str">
        <f>IF($X13="","",IF(AD13="Square Feet",VLOOKUP(X13,Valid!$B$7:$I$24,8,FALSE),IF('A-20 PassFacInv'!AD13="Parking Spaces",VLOOKUP('A-20 PassFacInv'!X13,Valid!$B$22:$M$24,12,FALSE))))</f>
        <v/>
      </c>
      <c r="BZ13" s="1229"/>
      <c r="CA13" s="721">
        <f>IF(OR(AJ13="NA", AJ13=" "),AH13,AJ13)</f>
        <v>0</v>
      </c>
      <c r="CB13" s="816"/>
    </row>
    <row r="14" spans="1:80" s="1739" customFormat="1" ht="6.75" customHeight="1" thickBot="1" x14ac:dyDescent="0.25">
      <c r="A14" s="840"/>
      <c r="B14" s="1732">
        <v>1.5</v>
      </c>
      <c r="C14" s="1223"/>
      <c r="D14" s="1248"/>
      <c r="E14" s="721"/>
      <c r="F14" s="758"/>
      <c r="G14" s="758"/>
      <c r="H14" s="758"/>
      <c r="I14" s="758"/>
      <c r="J14" s="1744"/>
      <c r="K14" s="1248"/>
      <c r="L14" s="1745"/>
      <c r="M14" s="1248"/>
      <c r="N14" s="1745"/>
      <c r="O14" s="1248"/>
      <c r="P14" s="1659"/>
      <c r="Q14" s="1248"/>
      <c r="R14" s="1656"/>
      <c r="S14" s="1248"/>
      <c r="T14" s="1656"/>
      <c r="U14" s="1248"/>
      <c r="V14" s="1223"/>
      <c r="W14" s="1618"/>
      <c r="X14" s="1737"/>
      <c r="Y14" s="1618"/>
      <c r="Z14" s="1623"/>
      <c r="AA14" s="1618"/>
      <c r="AB14" s="1944"/>
      <c r="AC14" s="1632"/>
      <c r="AD14" s="1394"/>
      <c r="AE14" s="823"/>
      <c r="AF14" s="822"/>
      <c r="AG14" s="1632"/>
      <c r="AH14" s="1631"/>
      <c r="AI14" s="1632"/>
      <c r="AJ14" s="1631"/>
      <c r="AK14" s="1632"/>
      <c r="AL14" s="1719"/>
      <c r="AM14" s="1632"/>
      <c r="AN14" s="721"/>
      <c r="AO14" s="758"/>
      <c r="AP14" s="758"/>
      <c r="AQ14" s="758"/>
      <c r="AR14" s="758"/>
      <c r="AS14" s="758"/>
      <c r="AT14" s="1761"/>
      <c r="AU14" s="1761"/>
      <c r="AV14" s="1761"/>
      <c r="AW14" s="1761"/>
      <c r="AX14" s="1761"/>
      <c r="AY14" s="1761"/>
      <c r="AZ14" s="1761"/>
      <c r="BA14" s="1761"/>
      <c r="BB14" s="1761"/>
      <c r="BC14" s="1761"/>
      <c r="BD14" s="1761"/>
      <c r="BE14" s="1761"/>
      <c r="BF14" s="1761"/>
      <c r="BG14" s="1761"/>
      <c r="BH14" s="1761"/>
      <c r="BI14" s="1761"/>
      <c r="BJ14" s="1761"/>
      <c r="BK14" s="1761"/>
      <c r="BL14" s="1761"/>
      <c r="BM14" s="1761"/>
      <c r="BN14" s="1761"/>
      <c r="BO14" s="1761"/>
      <c r="BP14" s="1761"/>
      <c r="BQ14" s="1761"/>
      <c r="BR14" s="1761"/>
      <c r="BS14" s="721"/>
      <c r="BT14" s="1626"/>
      <c r="BU14" s="1626"/>
      <c r="BV14" s="1626"/>
      <c r="BW14" s="1626"/>
      <c r="BX14" s="1626"/>
      <c r="BY14" s="1626"/>
      <c r="BZ14" s="1229"/>
      <c r="CA14" s="721">
        <f t="shared" ref="CA14:CA77" si="1">IF(OR(AJ14="NA", AJ14=" "),AH14,AJ14)</f>
        <v>0</v>
      </c>
      <c r="CB14" s="721"/>
    </row>
    <row r="15" spans="1:80" s="1739" customFormat="1" x14ac:dyDescent="0.2">
      <c r="A15" s="840">
        <v>2</v>
      </c>
      <c r="B15" s="1731">
        <v>2</v>
      </c>
      <c r="C15" s="1740"/>
      <c r="D15" s="1248" t="str">
        <f>IF(C13="","",IF((C15=""),"Enter Facility "&amp;TEXT(A15,0)&amp;" Name, then Fill in Columns "&amp;TEXT($H$2,0)&amp;" - "&amp;TEXT($AL$2,0)&amp;"       ",""))</f>
        <v/>
      </c>
      <c r="E15" s="1245" t="str">
        <f ca="1">IF(AS15="N/A","",IF(AS15="N","No","Yes"))</f>
        <v/>
      </c>
      <c r="F15" s="758"/>
      <c r="G15" s="758"/>
      <c r="H15" s="1707"/>
      <c r="I15" s="758"/>
      <c r="J15" s="1653"/>
      <c r="K15" s="1248"/>
      <c r="L15" s="1740"/>
      <c r="M15" s="1248"/>
      <c r="N15" s="1740"/>
      <c r="O15" s="1248"/>
      <c r="P15" s="1741"/>
      <c r="Q15" s="1248"/>
      <c r="R15" s="1742"/>
      <c r="S15" s="1248"/>
      <c r="T15" s="1742"/>
      <c r="U15" s="1248"/>
      <c r="V15" s="1653"/>
      <c r="W15" s="1618"/>
      <c r="X15" s="1653"/>
      <c r="Y15" s="1618"/>
      <c r="Z15" s="1743"/>
      <c r="AA15" s="1248"/>
      <c r="AB15" s="1943"/>
      <c r="AC15" s="1620"/>
      <c r="AD15" s="1740"/>
      <c r="AE15" s="1618"/>
      <c r="AF15" s="1621"/>
      <c r="AG15" s="1618" t="str">
        <f ca="1">IF($E15&lt;&gt;"","% of Cap Resp.","")</f>
        <v/>
      </c>
      <c r="AH15" s="1801" t="str">
        <f ca="1">IF(BW15="", "", IF(BW15&gt;100, 1, VLOOKUP(BW15, Valid!$W$1:$AA$101, VLOOKUP(X15, Codes!$L$20:$N$28, 3, FALSE), FALSE)))</f>
        <v/>
      </c>
      <c r="AI15" s="1620" t="str">
        <f ca="1">IF($E15&lt;&gt;"","Estimated?  ","")</f>
        <v/>
      </c>
      <c r="AJ15" s="1654"/>
      <c r="AK15" s="1620"/>
      <c r="AL15" s="1730"/>
      <c r="AM15" s="1620" t="b">
        <f ca="1">IF(E15&lt;&gt;"","Est Date?    ")</f>
        <v>0</v>
      </c>
      <c r="AN15" s="1740"/>
      <c r="AO15" s="1248" t="str">
        <f>IF(X15="Other (describe in Notes)","Describe Facility.                                                                                                                        ","")</f>
        <v/>
      </c>
      <c r="AP15" s="1624"/>
      <c r="AQ15" s="1624" t="b">
        <f>IF(AND(C15="",C17&lt;&gt;""),TRUE,FALSE)</f>
        <v>0</v>
      </c>
      <c r="AR15" s="1624" t="str">
        <f>IF(AND(J15&lt;&gt;"",L15&lt;&gt;"",N15&lt;&gt;"",P15&lt;&gt;"",R15="",T15=""),"Y",IF(AND(J15="",L15="",N15="",P15="",R15&lt;&gt;"",T15&lt;&gt;""),"Y",IF(AND(J15&lt;&gt;"",L15&lt;&gt;"",N15&lt;&gt;"",P15&lt;&gt;"",R15&lt;&gt;"",T15&lt;&gt;""),"Y",IF(AND(J15="",L15="",N15="",P15="",R15="",T15=""),"N/A","N"))))</f>
        <v>N/A</v>
      </c>
      <c r="AS15" s="1624" t="str">
        <f ca="1">IF(AND($C15&lt;&gt;"",OR(AR15="N",$V15="",$X15="",$Z15="",$AB15="",$AF15="",$AH15="",$AL15="",AD15="")),"N",IF(AND($C15="",OR(H15&lt;&gt;"",AR15="N",$V15&lt;&gt;"",$X15&lt;&gt;"",$Z15&lt;&gt;"",$AB15&lt;&gt;"",$AF15&lt;&gt;"",$AH15&lt;&gt;"",$AL15&lt;&gt;"",AD15&lt;&gt;"")),"N",IF(AND(H15="",$C15="",AR15="N/A",$V15="",$X15="",$Z15="",$AB15="",$AF15="",$AH15="",$AL15="",AD15=""),"N/A",IF(AND($C15&lt;&gt;"",AR15="Y",$V15&lt;&gt;"",$X15&lt;&gt;"",$Z15&lt;&gt;"",$AB15&lt;&gt;"",$AF15&lt;&gt;"",$AH15&lt;&gt;"",$AL15&lt;&gt;"",AD15&lt;&gt;""),"Y","N"))))</f>
        <v>N/A</v>
      </c>
      <c r="AT15" s="1761" t="b">
        <f ca="1">IF(AND($C15="",OR($J15&lt;&gt;"",$L15&lt;&gt;"",$N15&lt;&gt;"",$P15&lt;&gt;"",$V15&lt;&gt;"",$X15&lt;&gt;"",$Z15&lt;&gt;"",$AB15&lt;&gt;"",$AF15&lt;&gt;"",$AH15&lt;&gt;"",$AL15&lt;&gt;"")),TRUE,FALSE)</f>
        <v>0</v>
      </c>
      <c r="AU15" s="1761" t="b">
        <f>IF(OR(R15&lt;&gt;"",T15&lt;&gt;""),"false",IF(AND($C15&lt;&gt;"",$J15=""),TRUE,FALSE))</f>
        <v>0</v>
      </c>
      <c r="AV15" s="1761" t="b">
        <f>IF(OR(R15&lt;&gt;"",T15&lt;&gt;""),FALSE,IF(AND($C15&lt;&gt;"",$L15=""),TRUE,FALSE))</f>
        <v>0</v>
      </c>
      <c r="AW15" s="1761" t="b">
        <f>IF(OR(R15&lt;&gt;"",T15&lt;&gt;""),FALSE,IF(AND($C15&lt;&gt;"",$N15=""),TRUE,FALSE))</f>
        <v>0</v>
      </c>
      <c r="AX15" s="1761" t="b">
        <f>IF(OR(R15&lt;&gt;"",T15&lt;&gt;""),FALSE,IF(AND($C15&lt;&gt;"",$P15=""),TRUE,FALSE))</f>
        <v>0</v>
      </c>
      <c r="AY15" s="1761"/>
      <c r="AZ15" s="1761" t="b">
        <f>IF(OR(J15&lt;&gt;"",L15&lt;&gt;"",N15&lt;&gt;"",P15&lt;&gt;""),FALSE,IF(AND(C15&lt;&gt;"",R15=""),TRUE,FALSE))</f>
        <v>0</v>
      </c>
      <c r="BA15" s="1761"/>
      <c r="BB15" s="1761" t="b">
        <f>IF(OR(J15&lt;&gt;"",L15&lt;&gt;"",N15&lt;&gt;"",P15&lt;&gt;""),FALSE,IF(AND(C15&lt;&gt;"",T15=""),TRUE,FALSE))</f>
        <v>0</v>
      </c>
      <c r="BC15" s="1761" t="b">
        <f>IF(AND($C15&lt;&gt;"",$V15=""),TRUE,FALSE)</f>
        <v>0</v>
      </c>
      <c r="BD15" s="1761" t="b">
        <f ca="1">IF(AND(X15="",OR(Z15&lt;&gt;"",AB15&lt;&gt;"",AF15&lt;&gt;"",AH15&lt;&gt;"",AL15&lt;&gt;"",AD15&lt;&gt;"")),TRUE,FALSE)</f>
        <v>0</v>
      </c>
      <c r="BE15" s="1761" t="b">
        <f>IF(AND($C15&lt;&gt;"",$X15=""),TRUE,FALSE)</f>
        <v>0</v>
      </c>
      <c r="BF15" s="1761" t="b">
        <f>IF(Z15="",FALSE,IF(X15="",FALSE,IF(BG15=TRUE,FALSE,IF(OR(Z15&lt;BU15,Z15&gt;BaseYear),TRUE,FALSE))))</f>
        <v>0</v>
      </c>
      <c r="BG15" s="1761" t="b">
        <f>IF(AND($C15&lt;&gt;"",$Z15=""),TRUE,FALSE)</f>
        <v>0</v>
      </c>
      <c r="BH15" s="1761" t="b">
        <f>IF(AD15="",FALSE,IF(X15="",FALSE,IF(BJ15=TRUE,FALSE,IF(AB15&lt;BX15,TRUE,FALSE))))</f>
        <v>0</v>
      </c>
      <c r="BI15" s="1761" t="b">
        <f>IF(AD15="",FALSE,IF(X15="",FALSE,IF(BJ15=TRUE,FALSE,IF(AB15&gt;BY15,TRUE,FALSE))))</f>
        <v>0</v>
      </c>
      <c r="BJ15" s="1761" t="b">
        <f>IF(AND($C15&lt;&gt;"",$AB15=""),TRUE,FALSE)</f>
        <v>0</v>
      </c>
      <c r="BK15" s="1761" t="b">
        <f>IF(BL15=TRUE,FALSE,IF(OR(AF15&lt;0,AF15&gt;1),TRUE,FALSE))</f>
        <v>0</v>
      </c>
      <c r="BL15" s="1761" t="b">
        <f>IF(AND($C15&lt;&gt;"",$AF15=""),TRUE,FALSE)</f>
        <v>0</v>
      </c>
      <c r="BM15" s="1761"/>
      <c r="BN15" s="1761" t="b">
        <f ca="1">IF(AND($C15&lt;&gt;"",$AH15=""),TRUE,FALSE)</f>
        <v>0</v>
      </c>
      <c r="BO15" s="1761" t="b">
        <f>IF(AL15="",FALSE,IF(X15="",FALSE,IF(BP15=TRUE,FALSE,IF(OR(AL15&lt;1913,AL15&gt;BaseYear),TRUE,FALSE))))</f>
        <v>0</v>
      </c>
      <c r="BP15" s="1761" t="b">
        <f>IF(AND($C15&lt;&gt;"",$AL15=""),TRUE,FALSE)</f>
        <v>0</v>
      </c>
      <c r="BQ15" s="1761" t="b">
        <f>IF(AD15="Square Foot",FALSE,IF(AND(AD15="Parking Space",OR('A-20 PassFacInv'!X15=Valid!$B$7,'A-20 PassFacInv'!X15=Valid!$B$8,'A-20 PassFacInv'!X15=Valid!$B$9,'A-20 PassFacInv'!X15=Valid!$B$10,'A-20 PassFacInv'!X15=Valid!$B$12,'A-20 PassFacInv'!X15=Valid!$B$13,'A-20 PassFacInv'!X15=Valid!$B$14,'A-20 PassFacInv'!X15=Valid!$B$15,'A-20 PassFacInv'!X15=Valid!$B$16,'A-20 PassFacInv'!X15=Valid!$B$17,'A-20 PassFacInv'!X15=Valid!$B$18,X15=Valid!$B$19,X15=Valid!$B$20,X15=Valid!$B$21)),TRUE,FALSE))</f>
        <v>0</v>
      </c>
      <c r="BR15" s="1761" t="b">
        <f>IF(AND($C15&lt;&gt;"",$AD15=""),TRUE,FALSE)</f>
        <v>0</v>
      </c>
      <c r="BS15" s="721"/>
      <c r="BT15" s="1625" t="str">
        <f>IF($X15="","",VLOOKUP($X15,val_facilities,BT$3,FALSE))</f>
        <v/>
      </c>
      <c r="BU15" s="1627" t="str">
        <f>IF($X15="","",VLOOKUP($X15,val_facilities,BU$3,FALSE))</f>
        <v/>
      </c>
      <c r="BV15" s="1627" t="str">
        <f>IF($X15="","",VLOOKUP($X15,val_facilities,BV$3,FALSE))</f>
        <v/>
      </c>
      <c r="BW15" s="1627" t="str">
        <f ca="1">IFERROR(IF(Z15="", "", YEAR(TODAY())-Z15), "")</f>
        <v/>
      </c>
      <c r="BX15" s="845" t="str">
        <f>IF($X15="","",IF(AD15="Square Feet",VLOOKUP('A-20 PassFacInv'!X14,Valid!$B$7:$H$24,7,FALSE),IF(AD15="Parking Spaces",VLOOKUP(X15,Valid!$B$22:$L$24,11,FALSE))))</f>
        <v/>
      </c>
      <c r="BY15" s="845" t="str">
        <f>IF($X15="","",IF(AD15="Square Feet",VLOOKUP(X15,Valid!$B$7:$I$24,8,FALSE),IF('A-20 PassFacInv'!AD14="Parking Spaces",VLOOKUP('A-20 PassFacInv'!X14,Valid!$B$22:$M$24,12,FALSE))))</f>
        <v/>
      </c>
      <c r="BZ15" s="1229"/>
      <c r="CA15" s="721">
        <f t="shared" si="1"/>
        <v>0</v>
      </c>
      <c r="CB15" s="816"/>
    </row>
    <row r="16" spans="1:80" s="1739" customFormat="1" ht="6.75" customHeight="1" thickBot="1" x14ac:dyDescent="0.25">
      <c r="A16" s="840"/>
      <c r="B16" s="1731">
        <v>2.5</v>
      </c>
      <c r="C16" s="721"/>
      <c r="D16" s="1248"/>
      <c r="E16" s="816"/>
      <c r="F16" s="758"/>
      <c r="G16" s="758"/>
      <c r="H16" s="758"/>
      <c r="I16" s="758"/>
      <c r="J16" s="1633"/>
      <c r="K16" s="1248"/>
      <c r="L16" s="1634"/>
      <c r="M16" s="1248"/>
      <c r="N16" s="1634"/>
      <c r="O16" s="1248"/>
      <c r="P16" s="1657"/>
      <c r="Q16" s="1248"/>
      <c r="R16" s="1656"/>
      <c r="S16" s="1248"/>
      <c r="T16" s="1656"/>
      <c r="U16" s="1248"/>
      <c r="V16" s="1059"/>
      <c r="W16" s="1618"/>
      <c r="X16" s="764"/>
      <c r="Y16" s="1618"/>
      <c r="Z16" s="1623"/>
      <c r="AA16" s="1618"/>
      <c r="AB16" s="1944"/>
      <c r="AC16" s="723"/>
      <c r="AD16" s="1658"/>
      <c r="AE16" s="724"/>
      <c r="AF16" s="724"/>
      <c r="AG16" s="723"/>
      <c r="AH16" s="722"/>
      <c r="AI16" s="723"/>
      <c r="AJ16" s="722"/>
      <c r="AK16" s="723"/>
      <c r="AL16" s="1717"/>
      <c r="AM16" s="723"/>
      <c r="AN16" s="1637"/>
      <c r="AO16" s="1624"/>
      <c r="AP16" s="1624"/>
      <c r="AQ16" s="1624"/>
      <c r="AR16" s="1624"/>
      <c r="AS16" s="1624"/>
      <c r="AT16" s="1761"/>
      <c r="AU16" s="1761"/>
      <c r="AV16" s="1761"/>
      <c r="AW16" s="1761"/>
      <c r="AX16" s="1761"/>
      <c r="AY16" s="1761"/>
      <c r="AZ16" s="1761"/>
      <c r="BA16" s="1761"/>
      <c r="BB16" s="1761"/>
      <c r="BC16" s="1761"/>
      <c r="BD16" s="1761"/>
      <c r="BE16" s="1761"/>
      <c r="BF16" s="1761"/>
      <c r="BG16" s="1761"/>
      <c r="BH16" s="1761"/>
      <c r="BI16" s="1761"/>
      <c r="BJ16" s="1761"/>
      <c r="BK16" s="1761"/>
      <c r="BL16" s="1761"/>
      <c r="BM16" s="1761"/>
      <c r="BN16" s="1761"/>
      <c r="BO16" s="1761"/>
      <c r="BP16" s="1761"/>
      <c r="BQ16" s="1761"/>
      <c r="BR16" s="1761"/>
      <c r="BS16" s="721"/>
      <c r="BT16" s="1626"/>
      <c r="BU16" s="1626"/>
      <c r="BV16" s="1626"/>
      <c r="BW16" s="1626"/>
      <c r="BX16" s="1626"/>
      <c r="BY16" s="1626"/>
      <c r="BZ16" s="1229"/>
      <c r="CA16" s="721">
        <f t="shared" si="1"/>
        <v>0</v>
      </c>
      <c r="CB16" s="816"/>
    </row>
    <row r="17" spans="1:80" s="1739" customFormat="1" x14ac:dyDescent="0.2">
      <c r="A17" s="840">
        <v>3</v>
      </c>
      <c r="B17" s="1731">
        <v>3</v>
      </c>
      <c r="C17" s="1740"/>
      <c r="D17" s="1248" t="str">
        <f>IF(C15="","",IF((C17=""),"Enter Facility "&amp;TEXT(A17,0)&amp;" Name, then Fill in Columns "&amp;TEXT($H$2,0)&amp;" - "&amp;TEXT($AL$2,0)&amp;"       ",""))</f>
        <v/>
      </c>
      <c r="E17" s="1245" t="str">
        <f ca="1">IF(AS17="N/A","",IF(AS17="N","No","Yes"))</f>
        <v/>
      </c>
      <c r="F17" s="758"/>
      <c r="G17" s="758"/>
      <c r="H17" s="1707"/>
      <c r="I17" s="758"/>
      <c r="J17" s="1653"/>
      <c r="K17" s="1248"/>
      <c r="L17" s="1740"/>
      <c r="M17" s="1248"/>
      <c r="N17" s="1740"/>
      <c r="O17" s="1248"/>
      <c r="P17" s="1741"/>
      <c r="Q17" s="1248"/>
      <c r="R17" s="1742"/>
      <c r="S17" s="1248"/>
      <c r="T17" s="1742"/>
      <c r="U17" s="1248"/>
      <c r="V17" s="1653"/>
      <c r="W17" s="1618"/>
      <c r="X17" s="1653"/>
      <c r="Y17" s="1618"/>
      <c r="Z17" s="1743"/>
      <c r="AA17" s="1248"/>
      <c r="AB17" s="1943"/>
      <c r="AC17" s="1620"/>
      <c r="AD17" s="1740"/>
      <c r="AE17" s="1618"/>
      <c r="AF17" s="1621"/>
      <c r="AG17" s="1618" t="str">
        <f ca="1">IF($E17&lt;&gt;"","% of Cap Resp.","")</f>
        <v/>
      </c>
      <c r="AH17" s="1801" t="str">
        <f ca="1">IF(BW17="", "", IF(BW17&gt;100, 1, VLOOKUP(BW17, Valid!$W$1:$AA$101, VLOOKUP(X17, Codes!$L$20:$N$28, 3, FALSE), FALSE)))</f>
        <v/>
      </c>
      <c r="AI17" s="1620" t="str">
        <f ca="1">IF($E17&lt;&gt;"","Estimated?  ","")</f>
        <v/>
      </c>
      <c r="AJ17" s="1654"/>
      <c r="AK17" s="1620"/>
      <c r="AL17" s="1730"/>
      <c r="AM17" s="1620" t="b">
        <f ca="1">IF(E17&lt;&gt;"","Est Date?    ")</f>
        <v>0</v>
      </c>
      <c r="AN17" s="1740"/>
      <c r="AO17" s="1248" t="str">
        <f>IF(X17="Other (describe in Notes)","Describe Facility.                                                                                                                        ","")</f>
        <v/>
      </c>
      <c r="AP17" s="1624"/>
      <c r="AQ17" s="1624" t="b">
        <f>IF(AND(C17="",C19&lt;&gt;""),TRUE,FALSE)</f>
        <v>0</v>
      </c>
      <c r="AR17" s="1624" t="str">
        <f>IF(AND(J17&lt;&gt;"",L17&lt;&gt;"",N17&lt;&gt;"",P17&lt;&gt;"",R17="",T17=""),"Y",IF(AND(J17="",L17="",N17="",P17="",R17&lt;&gt;"",T17&lt;&gt;""),"Y",IF(AND(J17&lt;&gt;"",L17&lt;&gt;"",N17&lt;&gt;"",P17&lt;&gt;"",R17&lt;&gt;"",T17&lt;&gt;""),"Y",IF(AND(J17="",L17="",N17="",P17="",R17="",T17=""),"N/A","N"))))</f>
        <v>N/A</v>
      </c>
      <c r="AS17" s="1624" t="str">
        <f ca="1">IF(AND($C17&lt;&gt;"",OR(AR17="N",$V17="",$X17="",$Z17="",$AB17="",$AF17="",$AH17="",$AL17="",AD17="")),"N",IF(AND($C17="",OR(H17&lt;&gt;"",AR17="N",$V17&lt;&gt;"",$X17&lt;&gt;"",$Z17&lt;&gt;"",$AB17&lt;&gt;"",$AF17&lt;&gt;"",$AH17&lt;&gt;"",$AL17&lt;&gt;"",AD17&lt;&gt;"")),"N",IF(AND(H17="",$C17="",AR17="N/A",$V17="",$X17="",$Z17="",$AB17="",$AF17="",$AH17="",$AL17="",AD17=""),"N/A",IF(AND($C17&lt;&gt;"",AR17="Y",$V17&lt;&gt;"",$X17&lt;&gt;"",$Z17&lt;&gt;"",$AB17&lt;&gt;"",$AF17&lt;&gt;"",$AH17&lt;&gt;"",$AL17&lt;&gt;"",AD17&lt;&gt;""),"Y","N"))))</f>
        <v>N/A</v>
      </c>
      <c r="AT17" s="1761" t="b">
        <f ca="1">IF(AND($C17="",OR($J17&lt;&gt;"",$L17&lt;&gt;"",$N17&lt;&gt;"",$P17&lt;&gt;"",$V17&lt;&gt;"",$X17&lt;&gt;"",$Z17&lt;&gt;"",$AB17&lt;&gt;"",$AF17&lt;&gt;"",$AH17&lt;&gt;"",$AL17&lt;&gt;"")),TRUE,FALSE)</f>
        <v>0</v>
      </c>
      <c r="AU17" s="1761" t="b">
        <f>IF(OR(R17&lt;&gt;"",T17&lt;&gt;""),"false",IF(AND($C17&lt;&gt;"",$J17=""),TRUE,FALSE))</f>
        <v>0</v>
      </c>
      <c r="AV17" s="1761" t="b">
        <f>IF(OR(R17&lt;&gt;"",T17&lt;&gt;""),FALSE,IF(AND($C17&lt;&gt;"",$L17=""),TRUE,FALSE))</f>
        <v>0</v>
      </c>
      <c r="AW17" s="1761" t="b">
        <f>IF(OR(R17&lt;&gt;"",T17&lt;&gt;""),FALSE,IF(AND($C17&lt;&gt;"",$N17=""),TRUE,FALSE))</f>
        <v>0</v>
      </c>
      <c r="AX17" s="1761" t="b">
        <f>IF(OR(R17&lt;&gt;"",T17&lt;&gt;""),FALSE,IF(AND($C17&lt;&gt;"",$P17=""),TRUE,FALSE))</f>
        <v>0</v>
      </c>
      <c r="AY17" s="1761"/>
      <c r="AZ17" s="1761" t="b">
        <f>IF(OR(J17&lt;&gt;"",L17&lt;&gt;"",N17&lt;&gt;"",P17&lt;&gt;""),FALSE,IF(AND(C17&lt;&gt;"",R17=""),TRUE,FALSE))</f>
        <v>0</v>
      </c>
      <c r="BA17" s="1761"/>
      <c r="BB17" s="1761" t="b">
        <f>IF(OR(J17&lt;&gt;"",L17&lt;&gt;"",N17&lt;&gt;"",P17&lt;&gt;""),FALSE,IF(AND(C17&lt;&gt;"",T17=""),TRUE,FALSE))</f>
        <v>0</v>
      </c>
      <c r="BC17" s="1761" t="b">
        <f>IF(AND($C17&lt;&gt;"",$V17=""),TRUE,FALSE)</f>
        <v>0</v>
      </c>
      <c r="BD17" s="1761" t="b">
        <f ca="1">IF(AND(X17="",OR(Z17&lt;&gt;"",AB17&lt;&gt;"",AF17&lt;&gt;"",AH17&lt;&gt;"",AL17&lt;&gt;"",AD17&lt;&gt;"")),TRUE,FALSE)</f>
        <v>0</v>
      </c>
      <c r="BE17" s="1761" t="b">
        <f>IF(AND($C17&lt;&gt;"",$X17=""),TRUE,FALSE)</f>
        <v>0</v>
      </c>
      <c r="BF17" s="1761" t="b">
        <f>IF(Z17="",FALSE,IF(X17="",FALSE,IF(BG17=TRUE,FALSE,IF(OR(Z17&lt;BU17,Z17&gt;BaseYear),TRUE,FALSE))))</f>
        <v>0</v>
      </c>
      <c r="BG17" s="1761" t="b">
        <f>IF(AND($C17&lt;&gt;"",$Z17=""),TRUE,FALSE)</f>
        <v>0</v>
      </c>
      <c r="BH17" s="1761" t="b">
        <f>IF(AD17="",FALSE,IF(X17="",FALSE,IF(BJ17=TRUE,FALSE,IF(AB17&lt;BX17,TRUE,FALSE))))</f>
        <v>0</v>
      </c>
      <c r="BI17" s="1761" t="b">
        <f>IF(AD17="",FALSE,IF(X17="",FALSE,IF(BJ17=TRUE,FALSE,IF(AB17&gt;BY17,TRUE,FALSE))))</f>
        <v>0</v>
      </c>
      <c r="BJ17" s="1761" t="b">
        <f>IF(AND($C17&lt;&gt;"",$AB17=""),TRUE,FALSE)</f>
        <v>0</v>
      </c>
      <c r="BK17" s="1761" t="b">
        <f>IF(BL17=TRUE,FALSE,IF(OR(AF17&lt;0,AF17&gt;1),TRUE,FALSE))</f>
        <v>0</v>
      </c>
      <c r="BL17" s="1761" t="b">
        <f>IF(AND($C17&lt;&gt;"",$AF17=""),TRUE,FALSE)</f>
        <v>0</v>
      </c>
      <c r="BM17" s="1761"/>
      <c r="BN17" s="1761" t="b">
        <f ca="1">IF(AND($C17&lt;&gt;"",$AH17=""),TRUE,FALSE)</f>
        <v>0</v>
      </c>
      <c r="BO17" s="1761" t="b">
        <f>IF(AL17="",FALSE,IF(X17="",FALSE,IF(BP17=TRUE,FALSE,IF(OR(AL17&lt;1913,AL17&gt;BaseYear),TRUE,FALSE))))</f>
        <v>0</v>
      </c>
      <c r="BP17" s="1761" t="b">
        <f>IF(AND($C17&lt;&gt;"",$AL17=""),TRUE,FALSE)</f>
        <v>0</v>
      </c>
      <c r="BQ17" s="1761" t="b">
        <f>IF(AD17="Square Foot",FALSE,IF(AND(AD17="Parking Space",OR('A-20 PassFacInv'!X17=Valid!$B$7,'A-20 PassFacInv'!X17=Valid!$B$8,'A-20 PassFacInv'!X17=Valid!$B$9,'A-20 PassFacInv'!X17=Valid!$B$10,'A-20 PassFacInv'!X17=Valid!$B$12,'A-20 PassFacInv'!X17=Valid!$B$13,'A-20 PassFacInv'!X17=Valid!$B$14,'A-20 PassFacInv'!X17=Valid!$B$15,'A-20 PassFacInv'!X17=Valid!$B$16,'A-20 PassFacInv'!X17=Valid!$B$17,'A-20 PassFacInv'!X17=Valid!$B$18,X17=Valid!$B$19,X17=Valid!$B$20,X17=Valid!$B$21)),TRUE,FALSE))</f>
        <v>0</v>
      </c>
      <c r="BR17" s="1761" t="b">
        <f>IF(AND($C17&lt;&gt;"",$AD17=""),TRUE,FALSE)</f>
        <v>0</v>
      </c>
      <c r="BS17" s="721"/>
      <c r="BT17" s="1625" t="str">
        <f>IF($X17="","",VLOOKUP($X17,val_facilities,BT$3,FALSE))</f>
        <v/>
      </c>
      <c r="BU17" s="1627" t="str">
        <f>IF($X17="","",VLOOKUP($X17,val_facilities,BU$3,FALSE))</f>
        <v/>
      </c>
      <c r="BV17" s="1627" t="str">
        <f>IF($X17="","",VLOOKUP($X17,val_facilities,BV$3,FALSE))</f>
        <v/>
      </c>
      <c r="BW17" s="1627" t="str">
        <f ca="1">IFERROR(IF(Z17="", "", YEAR(TODAY())-Z17), "")</f>
        <v/>
      </c>
      <c r="BX17" s="845" t="str">
        <f>IF($X17="","",IF(AD17="Square Feet",VLOOKUP('A-20 PassFacInv'!X15,Valid!$B$7:$H$24,7,FALSE),IF(AD17="Parking Spaces",VLOOKUP(X17,Valid!$B$22:$L$24,11,FALSE))))</f>
        <v/>
      </c>
      <c r="BY17" s="845" t="str">
        <f>IF($X17="","",IF(AD17="Square Feet",VLOOKUP(X17,Valid!$B$7:$I$24,8,FALSE),IF('A-20 PassFacInv'!AD15="Parking Spaces",VLOOKUP('A-20 PassFacInv'!X15,Valid!$B$22:$M$24,12,FALSE))))</f>
        <v/>
      </c>
      <c r="BZ17" s="1229"/>
      <c r="CA17" s="721">
        <f t="shared" si="1"/>
        <v>0</v>
      </c>
      <c r="CB17" s="816"/>
    </row>
    <row r="18" spans="1:80" s="1739" customFormat="1" ht="6.75" customHeight="1" thickBot="1" x14ac:dyDescent="0.25">
      <c r="A18" s="1638"/>
      <c r="B18" s="1746">
        <v>3.5</v>
      </c>
      <c r="C18" s="1057"/>
      <c r="D18" s="1248"/>
      <c r="E18" s="1057"/>
      <c r="F18" s="1229"/>
      <c r="G18" s="1229"/>
      <c r="H18" s="1229"/>
      <c r="I18" s="1229"/>
      <c r="J18" s="1604"/>
      <c r="K18" s="1640"/>
      <c r="L18" s="1641"/>
      <c r="M18" s="1248"/>
      <c r="N18" s="1641"/>
      <c r="O18" s="1248"/>
      <c r="P18" s="1659"/>
      <c r="Q18" s="1248"/>
      <c r="R18" s="1660"/>
      <c r="S18" s="1640"/>
      <c r="T18" s="1660"/>
      <c r="U18" s="1640"/>
      <c r="V18" s="1057"/>
      <c r="W18" s="1618"/>
      <c r="X18" s="1747"/>
      <c r="Y18" s="1618"/>
      <c r="Z18" s="1623"/>
      <c r="AA18" s="1618"/>
      <c r="AB18" s="1944"/>
      <c r="AC18" s="1275"/>
      <c r="AD18" s="1661"/>
      <c r="AE18" s="734"/>
      <c r="AF18" s="1736"/>
      <c r="AG18" s="1275"/>
      <c r="AH18" s="733"/>
      <c r="AI18" s="1275"/>
      <c r="AJ18" s="733"/>
      <c r="AK18" s="1275"/>
      <c r="AL18" s="1721"/>
      <c r="AM18" s="1275"/>
      <c r="AN18" s="1057"/>
      <c r="AO18" s="1644"/>
      <c r="AP18" s="1644"/>
      <c r="AQ18" s="1644"/>
      <c r="AR18" s="1644"/>
      <c r="AS18" s="1644"/>
      <c r="AT18" s="1761"/>
      <c r="AU18" s="1761"/>
      <c r="AV18" s="1761"/>
      <c r="AW18" s="1761"/>
      <c r="AX18" s="1761"/>
      <c r="AY18" s="1761"/>
      <c r="AZ18" s="1761"/>
      <c r="BA18" s="1761"/>
      <c r="BB18" s="1761"/>
      <c r="BC18" s="1762"/>
      <c r="BD18" s="1762"/>
      <c r="BE18" s="1762"/>
      <c r="BF18" s="1762"/>
      <c r="BG18" s="1762"/>
      <c r="BH18" s="1762"/>
      <c r="BI18" s="1762"/>
      <c r="BJ18" s="1762"/>
      <c r="BK18" s="1762"/>
      <c r="BL18" s="1762"/>
      <c r="BM18" s="1762"/>
      <c r="BN18" s="1762"/>
      <c r="BO18" s="1762"/>
      <c r="BP18" s="1762"/>
      <c r="BQ18" s="1762"/>
      <c r="BR18" s="1762"/>
      <c r="BS18" s="1736"/>
      <c r="BT18" s="1738"/>
      <c r="BU18" s="1738"/>
      <c r="BV18" s="1738"/>
      <c r="BW18" s="1738"/>
      <c r="BX18" s="1738"/>
      <c r="BY18" s="1738"/>
      <c r="BZ18" s="1229"/>
      <c r="CA18" s="721">
        <f t="shared" si="1"/>
        <v>0</v>
      </c>
      <c r="CB18" s="1748"/>
    </row>
    <row r="19" spans="1:80" s="1739" customFormat="1" x14ac:dyDescent="0.2">
      <c r="A19" s="840">
        <v>4</v>
      </c>
      <c r="B19" s="1746">
        <v>4</v>
      </c>
      <c r="C19" s="1740"/>
      <c r="D19" s="1248" t="str">
        <f>IF(C17="","",IF((C19=""),"Enter Facility "&amp;TEXT(A19,0)&amp;" Name, then Fill in Columns "&amp;TEXT($H$2,0)&amp;" - "&amp;TEXT($AL$2,0)&amp;"       ",""))</f>
        <v/>
      </c>
      <c r="E19" s="1245" t="str">
        <f ca="1">IF(AS19="N/A","",IF(AS19="N","No","Yes"))</f>
        <v/>
      </c>
      <c r="F19" s="758"/>
      <c r="G19" s="758"/>
      <c r="H19" s="1707"/>
      <c r="I19" s="758"/>
      <c r="J19" s="1653"/>
      <c r="K19" s="1248"/>
      <c r="L19" s="1740"/>
      <c r="M19" s="1248"/>
      <c r="N19" s="1740"/>
      <c r="O19" s="1248"/>
      <c r="P19" s="1741"/>
      <c r="Q19" s="1248"/>
      <c r="R19" s="1742"/>
      <c r="S19" s="1248"/>
      <c r="T19" s="1742"/>
      <c r="U19" s="1248"/>
      <c r="V19" s="1653"/>
      <c r="W19" s="1618"/>
      <c r="X19" s="1653"/>
      <c r="Y19" s="1618"/>
      <c r="Z19" s="1743"/>
      <c r="AA19" s="1248"/>
      <c r="AB19" s="1943"/>
      <c r="AC19" s="1620"/>
      <c r="AD19" s="1740"/>
      <c r="AE19" s="1618"/>
      <c r="AF19" s="1621"/>
      <c r="AG19" s="1618" t="str">
        <f ca="1">IF($E19&lt;&gt;"","% of Cap Resp.","")</f>
        <v/>
      </c>
      <c r="AH19" s="1801" t="str">
        <f ca="1">IF(BW19="", "", IF(BW19&gt;100, 1, VLOOKUP(BW19, Valid!$W$1:$AA$101, VLOOKUP(X19, Codes!$L$20:$N$28, 3, FALSE), FALSE)))</f>
        <v/>
      </c>
      <c r="AI19" s="1620" t="str">
        <f ca="1">IF($E19&lt;&gt;"","Estimated?  ","")</f>
        <v/>
      </c>
      <c r="AJ19" s="1654"/>
      <c r="AK19" s="1620"/>
      <c r="AL19" s="1730"/>
      <c r="AM19" s="1620" t="b">
        <f ca="1">IF(E19&lt;&gt;"","Est Date?    ")</f>
        <v>0</v>
      </c>
      <c r="AN19" s="1740"/>
      <c r="AO19" s="1248" t="str">
        <f>IF(X19="Other (describe in Notes)","Describe Facility.                                                                                                                        ","")</f>
        <v/>
      </c>
      <c r="AP19" s="1624"/>
      <c r="AQ19" s="1624" t="b">
        <f>IF(AND(C19="",C21&lt;&gt;""),TRUE,FALSE)</f>
        <v>0</v>
      </c>
      <c r="AR19" s="1624" t="str">
        <f>IF(AND(J19&lt;&gt;"",L19&lt;&gt;"",N19&lt;&gt;"",P19&lt;&gt;"",R19="",T19=""),"Y",IF(AND(J19="",L19="",N19="",P19="",R19&lt;&gt;"",T19&lt;&gt;""),"Y",IF(AND(J19&lt;&gt;"",L19&lt;&gt;"",N19&lt;&gt;"",P19&lt;&gt;"",R19&lt;&gt;"",T19&lt;&gt;""),"Y",IF(AND(J19="",L19="",N19="",P19="",R19="",T19=""),"N/A","N"))))</f>
        <v>N/A</v>
      </c>
      <c r="AS19" s="1624" t="str">
        <f ca="1">IF(AND($C19&lt;&gt;"",OR(AR19="N",$V19="",$X19="",$Z19="",$AB19="",$AF19="",$AH19="",$AL19="",AD19="")),"N",IF(AND($C19="",OR(H19&lt;&gt;"",AR19="N",$V19&lt;&gt;"",$X19&lt;&gt;"",$Z19&lt;&gt;"",$AB19&lt;&gt;"",$AF19&lt;&gt;"",$AH19&lt;&gt;"",$AL19&lt;&gt;"",AD19&lt;&gt;"")),"N",IF(AND(H19="",$C19="",AR19="N/A",$V19="",$X19="",$Z19="",$AB19="",$AF19="",$AH19="",$AL19="",AD19=""),"N/A",IF(AND($C19&lt;&gt;"",AR19="Y",$V19&lt;&gt;"",$X19&lt;&gt;"",$Z19&lt;&gt;"",$AB19&lt;&gt;"",$AF19&lt;&gt;"",$AH19&lt;&gt;"",$AL19&lt;&gt;"",AD19&lt;&gt;""),"Y","N"))))</f>
        <v>N/A</v>
      </c>
      <c r="AT19" s="1761" t="b">
        <f ca="1">IF(AND($C19="",OR($J19&lt;&gt;"",$L19&lt;&gt;"",$N19&lt;&gt;"",$P19&lt;&gt;"",$V19&lt;&gt;"",$X19&lt;&gt;"",$Z19&lt;&gt;"",$AB19&lt;&gt;"",$AF19&lt;&gt;"",$AH19&lt;&gt;"",$AL19&lt;&gt;"")),TRUE,FALSE)</f>
        <v>0</v>
      </c>
      <c r="AU19" s="1761" t="b">
        <f>IF(OR(R19&lt;&gt;"",T19&lt;&gt;""),"false",IF(AND($C19&lt;&gt;"",$J19=""),TRUE,FALSE))</f>
        <v>0</v>
      </c>
      <c r="AV19" s="1761" t="b">
        <f>IF(OR(R19&lt;&gt;"",T19&lt;&gt;""),FALSE,IF(AND($C19&lt;&gt;"",$L19=""),TRUE,FALSE))</f>
        <v>0</v>
      </c>
      <c r="AW19" s="1761" t="b">
        <f>IF(OR(R19&lt;&gt;"",T19&lt;&gt;""),FALSE,IF(AND($C19&lt;&gt;"",$N19=""),TRUE,FALSE))</f>
        <v>0</v>
      </c>
      <c r="AX19" s="1761" t="b">
        <f>IF(OR(R19&lt;&gt;"",T19&lt;&gt;""),FALSE,IF(AND($C19&lt;&gt;"",$P19=""),TRUE,FALSE))</f>
        <v>0</v>
      </c>
      <c r="AY19" s="1761"/>
      <c r="AZ19" s="1761" t="b">
        <f>IF(OR(J19&lt;&gt;"",L19&lt;&gt;"",N19&lt;&gt;"",P19&lt;&gt;""),FALSE,IF(AND(C19&lt;&gt;"",R19=""),TRUE,FALSE))</f>
        <v>0</v>
      </c>
      <c r="BA19" s="1761"/>
      <c r="BB19" s="1761" t="b">
        <f>IF(OR(J19&lt;&gt;"",L19&lt;&gt;"",N19&lt;&gt;"",P19&lt;&gt;""),FALSE,IF(AND(C19&lt;&gt;"",T19=""),TRUE,FALSE))</f>
        <v>0</v>
      </c>
      <c r="BC19" s="1761" t="b">
        <f>IF(AND($C19&lt;&gt;"",$V19=""),TRUE,FALSE)</f>
        <v>0</v>
      </c>
      <c r="BD19" s="1761" t="b">
        <f ca="1">IF(AND(X19="",OR(Z19&lt;&gt;"",AB19&lt;&gt;"",AF19&lt;&gt;"",AH19&lt;&gt;"",AL19&lt;&gt;"",AD19&lt;&gt;"")),TRUE,FALSE)</f>
        <v>0</v>
      </c>
      <c r="BE19" s="1761" t="b">
        <f>IF(AND($C19&lt;&gt;"",$X19=""),TRUE,FALSE)</f>
        <v>0</v>
      </c>
      <c r="BF19" s="1761" t="b">
        <f>IF(Z19="",FALSE,IF(X19="",FALSE,IF(BG19=TRUE,FALSE,IF(OR(Z19&lt;BU19,Z19&gt;BaseYear),TRUE,FALSE))))</f>
        <v>0</v>
      </c>
      <c r="BG19" s="1761" t="b">
        <f>IF(AND($C19&lt;&gt;"",$Z19=""),TRUE,FALSE)</f>
        <v>0</v>
      </c>
      <c r="BH19" s="1761" t="b">
        <f>IF(AD19="",FALSE,IF(X19="",FALSE,IF(BJ19=TRUE,FALSE,IF(AB19&lt;BX19,TRUE,FALSE))))</f>
        <v>0</v>
      </c>
      <c r="BI19" s="1761" t="b">
        <f>IF(AD19="",FALSE,IF(X19="",FALSE,IF(BJ19=TRUE,FALSE,IF(AB19&gt;BY19,TRUE,FALSE))))</f>
        <v>0</v>
      </c>
      <c r="BJ19" s="1761" t="b">
        <f>IF(AND($C19&lt;&gt;"",$AB19=""),TRUE,FALSE)</f>
        <v>0</v>
      </c>
      <c r="BK19" s="1761" t="b">
        <f>IF(BL19=TRUE,FALSE,IF(OR(AF19&lt;0,AF19&gt;1),TRUE,FALSE))</f>
        <v>0</v>
      </c>
      <c r="BL19" s="1761" t="b">
        <f>IF(AND($C19&lt;&gt;"",$AF19=""),TRUE,FALSE)</f>
        <v>0</v>
      </c>
      <c r="BM19" s="1761"/>
      <c r="BN19" s="1761" t="b">
        <f ca="1">IF(AND($C19&lt;&gt;"",$AH19=""),TRUE,FALSE)</f>
        <v>0</v>
      </c>
      <c r="BO19" s="1761" t="b">
        <f>IF(AL19="",FALSE,IF(X19="",FALSE,IF(BP19=TRUE,FALSE,IF(OR(AL19&lt;1913,AL19&gt;BaseYear),TRUE,FALSE))))</f>
        <v>0</v>
      </c>
      <c r="BP19" s="1761" t="b">
        <f>IF(AND($C19&lt;&gt;"",$AL19=""),TRUE,FALSE)</f>
        <v>0</v>
      </c>
      <c r="BQ19" s="1761" t="b">
        <f>IF(AD19="Square Foot",FALSE,IF(AND(AD19="Parking Space",OR('A-20 PassFacInv'!X19=Valid!$B$7,'A-20 PassFacInv'!X19=Valid!$B$8,'A-20 PassFacInv'!X19=Valid!$B$9,'A-20 PassFacInv'!X19=Valid!$B$10,'A-20 PassFacInv'!X19=Valid!$B$12,'A-20 PassFacInv'!X19=Valid!$B$13,'A-20 PassFacInv'!X19=Valid!$B$14,'A-20 PassFacInv'!X19=Valid!$B$15,'A-20 PassFacInv'!X19=Valid!$B$16,'A-20 PassFacInv'!X19=Valid!$B$17,'A-20 PassFacInv'!X19=Valid!$B$18,X19=Valid!$B$19,X19=Valid!$B$20,X19=Valid!$B$21)),TRUE,FALSE))</f>
        <v>0</v>
      </c>
      <c r="BR19" s="1761" t="b">
        <f>IF(AND($C19&lt;&gt;"",$AD19=""),TRUE,FALSE)</f>
        <v>0</v>
      </c>
      <c r="BS19" s="721"/>
      <c r="BT19" s="1625" t="str">
        <f>IF($X19="","",VLOOKUP($X19,val_facilities,BT$3,FALSE))</f>
        <v/>
      </c>
      <c r="BU19" s="1627" t="str">
        <f>IF($X19="","",VLOOKUP($X19,val_facilities,BU$3,FALSE))</f>
        <v/>
      </c>
      <c r="BV19" s="1627" t="str">
        <f>IF($X19="","",VLOOKUP($X19,val_facilities,BV$3,FALSE))</f>
        <v/>
      </c>
      <c r="BW19" s="1627" t="str">
        <f ca="1">IFERROR(IF(Z19="", "", YEAR(TODAY())-Z19), "")</f>
        <v/>
      </c>
      <c r="BX19" s="845" t="str">
        <f>IF($X19="","",IF(AD19="Square Feet",VLOOKUP('A-20 PassFacInv'!X16,Valid!$B$7:$H$24,7,FALSE),IF(AD19="Parking Spaces",VLOOKUP(X19,Valid!$B$22:$L$24,11,FALSE))))</f>
        <v/>
      </c>
      <c r="BY19" s="845" t="str">
        <f>IF($X19="","",IF(AD19="Square Feet",VLOOKUP(X19,Valid!$B$7:$I$24,8,FALSE),IF('A-20 PassFacInv'!AD16="Parking Spaces",VLOOKUP('A-20 PassFacInv'!X16,Valid!$B$22:$M$24,12,FALSE))))</f>
        <v/>
      </c>
      <c r="BZ19" s="1229"/>
      <c r="CA19" s="721">
        <f t="shared" si="1"/>
        <v>0</v>
      </c>
      <c r="CB19" s="816"/>
    </row>
    <row r="20" spans="1:80" s="1739" customFormat="1" ht="6.75" customHeight="1" thickBot="1" x14ac:dyDescent="0.25">
      <c r="A20" s="1638"/>
      <c r="B20" s="1746">
        <v>4.5</v>
      </c>
      <c r="C20" s="1057"/>
      <c r="D20" s="1248"/>
      <c r="E20" s="1639"/>
      <c r="F20" s="1229"/>
      <c r="G20" s="1229"/>
      <c r="H20" s="1229"/>
      <c r="I20" s="1229"/>
      <c r="J20" s="1604"/>
      <c r="K20" s="1640"/>
      <c r="L20" s="1645"/>
      <c r="M20" s="1646"/>
      <c r="N20" s="1645"/>
      <c r="O20" s="1646"/>
      <c r="P20" s="1662"/>
      <c r="Q20" s="1646"/>
      <c r="R20" s="1660"/>
      <c r="S20" s="1640"/>
      <c r="T20" s="1660"/>
      <c r="U20" s="1640"/>
      <c r="V20" s="1057"/>
      <c r="W20" s="1618"/>
      <c r="X20" s="1747"/>
      <c r="Y20" s="1618"/>
      <c r="Z20" s="1623"/>
      <c r="AA20" s="1618"/>
      <c r="AB20" s="1944"/>
      <c r="AC20" s="1648"/>
      <c r="AD20" s="1661"/>
      <c r="AE20" s="841"/>
      <c r="AF20" s="841"/>
      <c r="AG20" s="1648"/>
      <c r="AH20" s="722"/>
      <c r="AI20" s="1648"/>
      <c r="AJ20" s="722"/>
      <c r="AK20" s="1648"/>
      <c r="AL20" s="1717"/>
      <c r="AM20" s="1648"/>
      <c r="AN20" s="1057"/>
      <c r="AO20" s="1644"/>
      <c r="AP20" s="1644"/>
      <c r="AQ20" s="1644"/>
      <c r="AR20" s="1644"/>
      <c r="AS20" s="1644"/>
      <c r="AT20" s="1761"/>
      <c r="AU20" s="1761"/>
      <c r="AV20" s="1761"/>
      <c r="AW20" s="1761"/>
      <c r="AX20" s="1761"/>
      <c r="AY20" s="1761"/>
      <c r="AZ20" s="1761"/>
      <c r="BA20" s="1761"/>
      <c r="BB20" s="1761"/>
      <c r="BC20" s="1762"/>
      <c r="BD20" s="1762"/>
      <c r="BE20" s="1762"/>
      <c r="BF20" s="1762"/>
      <c r="BG20" s="1762"/>
      <c r="BH20" s="1762"/>
      <c r="BI20" s="1762"/>
      <c r="BJ20" s="1762"/>
      <c r="BK20" s="1762"/>
      <c r="BL20" s="1762"/>
      <c r="BM20" s="1762"/>
      <c r="BN20" s="1762"/>
      <c r="BO20" s="1762"/>
      <c r="BP20" s="1762"/>
      <c r="BQ20" s="1762"/>
      <c r="BR20" s="1762"/>
      <c r="BS20" s="1736"/>
      <c r="BT20" s="1738"/>
      <c r="BU20" s="1738"/>
      <c r="BV20" s="1738"/>
      <c r="BW20" s="1738"/>
      <c r="BX20" s="1738"/>
      <c r="BY20" s="1738"/>
      <c r="BZ20" s="1229"/>
      <c r="CA20" s="721">
        <f t="shared" si="1"/>
        <v>0</v>
      </c>
      <c r="CB20" s="1748"/>
    </row>
    <row r="21" spans="1:80" s="1739" customFormat="1" x14ac:dyDescent="0.2">
      <c r="A21" s="840">
        <v>5</v>
      </c>
      <c r="B21" s="1746">
        <v>5</v>
      </c>
      <c r="C21" s="1740"/>
      <c r="D21" s="1248" t="str">
        <f>IF(C19="","",IF((C21=""),"Enter Facility "&amp;TEXT(A21,0)&amp;" Name, then Fill in Columns "&amp;TEXT($H$2,0)&amp;" - "&amp;TEXT($AL$2,0)&amp;"       ",""))</f>
        <v/>
      </c>
      <c r="E21" s="1245" t="str">
        <f ca="1">IF(AS21="N/A","",IF(AS21="N","No","Yes"))</f>
        <v/>
      </c>
      <c r="F21" s="758"/>
      <c r="G21" s="758"/>
      <c r="H21" s="1707"/>
      <c r="I21" s="758"/>
      <c r="J21" s="1653"/>
      <c r="K21" s="1248"/>
      <c r="L21" s="1740"/>
      <c r="M21" s="1248"/>
      <c r="N21" s="1740"/>
      <c r="O21" s="1248"/>
      <c r="P21" s="1741"/>
      <c r="Q21" s="1248"/>
      <c r="R21" s="1742"/>
      <c r="S21" s="1248"/>
      <c r="T21" s="1742"/>
      <c r="U21" s="1248"/>
      <c r="V21" s="1653"/>
      <c r="W21" s="1618"/>
      <c r="X21" s="1653"/>
      <c r="Y21" s="1618"/>
      <c r="Z21" s="1743"/>
      <c r="AA21" s="1248"/>
      <c r="AB21" s="1943"/>
      <c r="AC21" s="1620"/>
      <c r="AD21" s="1740"/>
      <c r="AE21" s="1618"/>
      <c r="AF21" s="1621"/>
      <c r="AG21" s="1618" t="str">
        <f ca="1">IF($E21&lt;&gt;"","% of Cap Resp.","")</f>
        <v/>
      </c>
      <c r="AH21" s="1801" t="str">
        <f ca="1">IF(BW21="", "", IF(BW21&gt;100, 1, VLOOKUP(BW21, Valid!$W$1:$AA$101, VLOOKUP(X21, Codes!$L$20:$N$28, 3, FALSE), FALSE)))</f>
        <v/>
      </c>
      <c r="AI21" s="1620" t="str">
        <f ca="1">IF($E21&lt;&gt;"","Estimated?  ","")</f>
        <v/>
      </c>
      <c r="AJ21" s="1654"/>
      <c r="AK21" s="1620"/>
      <c r="AL21" s="1730"/>
      <c r="AM21" s="1620" t="b">
        <f ca="1">IF(E21&lt;&gt;"","Est Date?    ")</f>
        <v>0</v>
      </c>
      <c r="AN21" s="1740"/>
      <c r="AO21" s="1248" t="str">
        <f>IF(X21="Other (describe in Notes)","Describe Facility.                                                                                                                        ","")</f>
        <v/>
      </c>
      <c r="AP21" s="1624"/>
      <c r="AQ21" s="1624" t="b">
        <f>IF(AND(C21="",C23&lt;&gt;""),TRUE,FALSE)</f>
        <v>0</v>
      </c>
      <c r="AR21" s="1624" t="str">
        <f>IF(AND(J21&lt;&gt;"",L21&lt;&gt;"",N21&lt;&gt;"",P21&lt;&gt;"",R21="",T21=""),"Y",IF(AND(J21="",L21="",N21="",P21="",R21&lt;&gt;"",T21&lt;&gt;""),"Y",IF(AND(J21&lt;&gt;"",L21&lt;&gt;"",N21&lt;&gt;"",P21&lt;&gt;"",R21&lt;&gt;"",T21&lt;&gt;""),"Y",IF(AND(J21="",L21="",N21="",P21="",R21="",T21=""),"N/A","N"))))</f>
        <v>N/A</v>
      </c>
      <c r="AS21" s="1624" t="str">
        <f ca="1">IF(AND($C21&lt;&gt;"",OR(AR21="N",$V21="",$X21="",$Z21="",$AB21="",$AF21="",$AH21="",$AL21="",AD21="")),"N",IF(AND($C21="",OR(H21&lt;&gt;"",AR21="N",$V21&lt;&gt;"",$X21&lt;&gt;"",$Z21&lt;&gt;"",$AB21&lt;&gt;"",$AF21&lt;&gt;"",$AH21&lt;&gt;"",$AL21&lt;&gt;"",AD21&lt;&gt;"")),"N",IF(AND(H21="",$C21="",AR21="N/A",$V21="",$X21="",$Z21="",$AB21="",$AF21="",$AH21="",$AL21="",AD21=""),"N/A",IF(AND($C21&lt;&gt;"",AR21="Y",$V21&lt;&gt;"",$X21&lt;&gt;"",$Z21&lt;&gt;"",$AB21&lt;&gt;"",$AF21&lt;&gt;"",$AH21&lt;&gt;"",$AL21&lt;&gt;"",AD21&lt;&gt;""),"Y","N"))))</f>
        <v>N/A</v>
      </c>
      <c r="AT21" s="1761" t="b">
        <f ca="1">IF(AND($C21="",OR($J21&lt;&gt;"",$L21&lt;&gt;"",$N21&lt;&gt;"",$P21&lt;&gt;"",$V21&lt;&gt;"",$X21&lt;&gt;"",$Z21&lt;&gt;"",$AB21&lt;&gt;"",$AF21&lt;&gt;"",$AH21&lt;&gt;"",$AL21&lt;&gt;"")),TRUE,FALSE)</f>
        <v>0</v>
      </c>
      <c r="AU21" s="1761" t="b">
        <f>IF(OR(R21&lt;&gt;"",T21&lt;&gt;""),"false",IF(AND($C21&lt;&gt;"",$J21=""),TRUE,FALSE))</f>
        <v>0</v>
      </c>
      <c r="AV21" s="1761" t="b">
        <f>IF(OR(R21&lt;&gt;"",T21&lt;&gt;""),FALSE,IF(AND($C21&lt;&gt;"",$L21=""),TRUE,FALSE))</f>
        <v>0</v>
      </c>
      <c r="AW21" s="1761" t="b">
        <f>IF(OR(R21&lt;&gt;"",T21&lt;&gt;""),FALSE,IF(AND($C21&lt;&gt;"",$N21=""),TRUE,FALSE))</f>
        <v>0</v>
      </c>
      <c r="AX21" s="1761" t="b">
        <f>IF(OR(R21&lt;&gt;"",T21&lt;&gt;""),FALSE,IF(AND($C21&lt;&gt;"",$P21=""),TRUE,FALSE))</f>
        <v>0</v>
      </c>
      <c r="AY21" s="1761"/>
      <c r="AZ21" s="1761" t="b">
        <f>IF(OR(J21&lt;&gt;"",L21&lt;&gt;"",N21&lt;&gt;"",P21&lt;&gt;""),FALSE,IF(AND(C21&lt;&gt;"",R21=""),TRUE,FALSE))</f>
        <v>0</v>
      </c>
      <c r="BA21" s="1761"/>
      <c r="BB21" s="1761" t="b">
        <f>IF(OR(J21&lt;&gt;"",L21&lt;&gt;"",N21&lt;&gt;"",P21&lt;&gt;""),FALSE,IF(AND(C21&lt;&gt;"",T21=""),TRUE,FALSE))</f>
        <v>0</v>
      </c>
      <c r="BC21" s="1761" t="b">
        <f>IF(AND($C21&lt;&gt;"",$V21=""),TRUE,FALSE)</f>
        <v>0</v>
      </c>
      <c r="BD21" s="1761" t="b">
        <f ca="1">IF(AND(X21="",OR(Z21&lt;&gt;"",AB21&lt;&gt;"",AF21&lt;&gt;"",AH21&lt;&gt;"",AL21&lt;&gt;"",AD21&lt;&gt;"")),TRUE,FALSE)</f>
        <v>0</v>
      </c>
      <c r="BE21" s="1761" t="b">
        <f>IF(AND($C21&lt;&gt;"",$X21=""),TRUE,FALSE)</f>
        <v>0</v>
      </c>
      <c r="BF21" s="1761" t="b">
        <f>IF(Z21="",FALSE,IF(X21="",FALSE,IF(BG21=TRUE,FALSE,IF(OR(Z21&lt;BU21,Z21&gt;BaseYear),TRUE,FALSE))))</f>
        <v>0</v>
      </c>
      <c r="BG21" s="1761" t="b">
        <f>IF(AND($C21&lt;&gt;"",$Z21=""),TRUE,FALSE)</f>
        <v>0</v>
      </c>
      <c r="BH21" s="1761" t="b">
        <f>IF(AD21="",FALSE,IF(X21="",FALSE,IF(BJ21=TRUE,FALSE,IF(AB21&lt;BX21,TRUE,FALSE))))</f>
        <v>0</v>
      </c>
      <c r="BI21" s="1761" t="b">
        <f>IF(AD21="",FALSE,IF(X21="",FALSE,IF(BJ21=TRUE,FALSE,IF(AB21&gt;BY21,TRUE,FALSE))))</f>
        <v>0</v>
      </c>
      <c r="BJ21" s="1761" t="b">
        <f>IF(AND($C21&lt;&gt;"",$AB21=""),TRUE,FALSE)</f>
        <v>0</v>
      </c>
      <c r="BK21" s="1761" t="b">
        <f>IF(BL21=TRUE,FALSE,IF(OR(AF21&lt;0,AF21&gt;1),TRUE,FALSE))</f>
        <v>0</v>
      </c>
      <c r="BL21" s="1761" t="b">
        <f>IF(AND($C21&lt;&gt;"",$AF21=""),TRUE,FALSE)</f>
        <v>0</v>
      </c>
      <c r="BM21" s="1761"/>
      <c r="BN21" s="1761" t="b">
        <f ca="1">IF(AND($C21&lt;&gt;"",$AH21=""),TRUE,FALSE)</f>
        <v>0</v>
      </c>
      <c r="BO21" s="1761" t="b">
        <f>IF(AL21="",FALSE,IF(X21="",FALSE,IF(BP21=TRUE,FALSE,IF(OR(AL21&lt;1913,AL21&gt;BaseYear),TRUE,FALSE))))</f>
        <v>0</v>
      </c>
      <c r="BP21" s="1761" t="b">
        <f>IF(AND($C21&lt;&gt;"",$AL21=""),TRUE,FALSE)</f>
        <v>0</v>
      </c>
      <c r="BQ21" s="1761" t="b">
        <f>IF(AD21="Square Foot",FALSE,IF(AND(AD21="Parking Space",OR('A-20 PassFacInv'!X21=Valid!$B$7,'A-20 PassFacInv'!X21=Valid!$B$8,'A-20 PassFacInv'!X21=Valid!$B$9,'A-20 PassFacInv'!X21=Valid!$B$10,'A-20 PassFacInv'!X21=Valid!$B$12,'A-20 PassFacInv'!X21=Valid!$B$13,'A-20 PassFacInv'!X21=Valid!$B$14,'A-20 PassFacInv'!X21=Valid!$B$15,'A-20 PassFacInv'!X21=Valid!$B$16,'A-20 PassFacInv'!X21=Valid!$B$17,'A-20 PassFacInv'!X21=Valid!$B$18,X21=Valid!$B$19,X21=Valid!$B$20,X21=Valid!$B$21)),TRUE,FALSE))</f>
        <v>0</v>
      </c>
      <c r="BR21" s="1761" t="b">
        <f>IF(AND($C21&lt;&gt;"",$AD21=""),TRUE,FALSE)</f>
        <v>0</v>
      </c>
      <c r="BS21" s="721"/>
      <c r="BT21" s="1625" t="str">
        <f>IF($X21="","",VLOOKUP($X21,val_facilities,BT$3,FALSE))</f>
        <v/>
      </c>
      <c r="BU21" s="1627" t="str">
        <f>IF($X21="","",VLOOKUP($X21,val_facilities,BU$3,FALSE))</f>
        <v/>
      </c>
      <c r="BV21" s="1627" t="str">
        <f>IF($X21="","",VLOOKUP($X21,val_facilities,BV$3,FALSE))</f>
        <v/>
      </c>
      <c r="BW21" s="1627" t="str">
        <f ca="1">IFERROR(IF(Z21="", "", YEAR(TODAY())-Z21), "")</f>
        <v/>
      </c>
      <c r="BX21" s="845" t="str">
        <f>IF($X21="","",IF(AD21="Square Feet",VLOOKUP('A-20 PassFacInv'!X17,Valid!$B$7:$H$24,7,FALSE),IF(AD21="Parking Spaces",VLOOKUP(X21,Valid!$B$22:$L$24,11,FALSE))))</f>
        <v/>
      </c>
      <c r="BY21" s="845" t="str">
        <f>IF($X21="","",IF(AD21="Square Feet",VLOOKUP(X21,Valid!$B$7:$I$24,8,FALSE),IF('A-20 PassFacInv'!AD17="Parking Spaces",VLOOKUP('A-20 PassFacInv'!X17,Valid!$B$22:$M$24,12,FALSE))))</f>
        <v/>
      </c>
      <c r="BZ21" s="1229"/>
      <c r="CA21" s="721">
        <f t="shared" si="1"/>
        <v>0</v>
      </c>
      <c r="CB21" s="816"/>
    </row>
    <row r="22" spans="1:80" s="1739" customFormat="1" ht="6.75" customHeight="1" thickBot="1" x14ac:dyDescent="0.25">
      <c r="A22" s="1638"/>
      <c r="B22" s="1746">
        <v>5.5</v>
      </c>
      <c r="C22" s="1057"/>
      <c r="D22" s="764"/>
      <c r="E22" s="1057"/>
      <c r="F22" s="1229"/>
      <c r="G22" s="1229"/>
      <c r="H22" s="1229"/>
      <c r="I22" s="1229"/>
      <c r="J22" s="1604"/>
      <c r="K22" s="1229"/>
      <c r="L22" s="1605"/>
      <c r="M22" s="1644"/>
      <c r="N22" s="1605"/>
      <c r="O22" s="1644"/>
      <c r="P22" s="1733"/>
      <c r="Q22" s="1644"/>
      <c r="R22" s="1663"/>
      <c r="S22" s="1229"/>
      <c r="T22" s="1663"/>
      <c r="U22" s="1229"/>
      <c r="V22" s="1057"/>
      <c r="W22" s="1623"/>
      <c r="X22" s="1747"/>
      <c r="Y22" s="1623"/>
      <c r="Z22" s="1623"/>
      <c r="AA22" s="1623"/>
      <c r="AB22" s="1944"/>
      <c r="AC22" s="841"/>
      <c r="AD22" s="1057"/>
      <c r="AE22" s="841"/>
      <c r="AF22" s="841"/>
      <c r="AG22" s="841"/>
      <c r="AH22" s="722"/>
      <c r="AI22" s="841"/>
      <c r="AJ22" s="722"/>
      <c r="AK22" s="841"/>
      <c r="AL22" s="1717"/>
      <c r="AM22" s="841"/>
      <c r="AN22" s="1057"/>
      <c r="AO22" s="1644"/>
      <c r="AP22" s="1644"/>
      <c r="AQ22" s="1644"/>
      <c r="AR22" s="1644"/>
      <c r="AS22" s="1644"/>
      <c r="AT22" s="1761"/>
      <c r="AU22" s="1761"/>
      <c r="AV22" s="1761"/>
      <c r="AW22" s="1761"/>
      <c r="AX22" s="1761"/>
      <c r="AY22" s="1761"/>
      <c r="AZ22" s="1761"/>
      <c r="BA22" s="1761"/>
      <c r="BB22" s="1761"/>
      <c r="BC22" s="1762"/>
      <c r="BD22" s="1762"/>
      <c r="BE22" s="1762"/>
      <c r="BF22" s="1762"/>
      <c r="BG22" s="1762"/>
      <c r="BH22" s="1762"/>
      <c r="BI22" s="1762"/>
      <c r="BJ22" s="1762"/>
      <c r="BK22" s="1762"/>
      <c r="BL22" s="1762"/>
      <c r="BM22" s="1762"/>
      <c r="BN22" s="1762"/>
      <c r="BO22" s="1762"/>
      <c r="BP22" s="1762"/>
      <c r="BQ22" s="1763"/>
      <c r="BR22" s="1762"/>
      <c r="BS22" s="1736"/>
      <c r="BT22" s="1738"/>
      <c r="BU22" s="1738"/>
      <c r="BV22" s="1738"/>
      <c r="BW22" s="1738"/>
      <c r="BX22" s="1738"/>
      <c r="BY22" s="1738"/>
      <c r="BZ22" s="1229"/>
      <c r="CA22" s="721">
        <f t="shared" si="1"/>
        <v>0</v>
      </c>
      <c r="CB22" s="1748"/>
    </row>
    <row r="23" spans="1:80" s="1739" customFormat="1" x14ac:dyDescent="0.2">
      <c r="A23" s="840">
        <v>6</v>
      </c>
      <c r="B23" s="1731">
        <v>6</v>
      </c>
      <c r="C23" s="1740"/>
      <c r="D23" s="1248" t="str">
        <f>IF(C21="","",IF((C23=""),"Enter Facility "&amp;TEXT(A23,0)&amp;" Name, then Fill in Columns "&amp;TEXT($H$2,0)&amp;" - "&amp;TEXT($AL$2,0)&amp;"       ",""))</f>
        <v/>
      </c>
      <c r="E23" s="1245" t="str">
        <f ca="1">IF(AS23="N/A","",IF(AS23="N","No","Yes"))</f>
        <v/>
      </c>
      <c r="F23" s="758"/>
      <c r="G23" s="758"/>
      <c r="H23" s="1707"/>
      <c r="I23" s="758"/>
      <c r="J23" s="1653"/>
      <c r="K23" s="1248"/>
      <c r="L23" s="1740"/>
      <c r="M23" s="1248"/>
      <c r="N23" s="1740"/>
      <c r="O23" s="1248"/>
      <c r="P23" s="1741"/>
      <c r="Q23" s="1248"/>
      <c r="R23" s="1742"/>
      <c r="S23" s="1248"/>
      <c r="T23" s="1742"/>
      <c r="U23" s="1248"/>
      <c r="V23" s="1653"/>
      <c r="W23" s="1618"/>
      <c r="X23" s="1653"/>
      <c r="Y23" s="1618"/>
      <c r="Z23" s="1743"/>
      <c r="AA23" s="1248"/>
      <c r="AB23" s="1943"/>
      <c r="AC23" s="1620"/>
      <c r="AD23" s="1740"/>
      <c r="AE23" s="1618"/>
      <c r="AF23" s="1621"/>
      <c r="AG23" s="1618" t="str">
        <f ca="1">IF($E23&lt;&gt;"","% of Cap Resp.","")</f>
        <v/>
      </c>
      <c r="AH23" s="1801" t="str">
        <f ca="1">IF(BW23="", "", IF(BW23&gt;100, 1, VLOOKUP(BW23, Valid!$W$1:$AA$101, VLOOKUP(X23, Codes!$L$20:$N$28, 3, FALSE), FALSE)))</f>
        <v/>
      </c>
      <c r="AI23" s="1620" t="str">
        <f ca="1">IF($E23&lt;&gt;"","Estimated?  ","")</f>
        <v/>
      </c>
      <c r="AJ23" s="1654"/>
      <c r="AK23" s="1620"/>
      <c r="AL23" s="1730"/>
      <c r="AM23" s="1620" t="b">
        <f ca="1">IF(E23&lt;&gt;"","Est Date?    ")</f>
        <v>0</v>
      </c>
      <c r="AN23" s="1740"/>
      <c r="AO23" s="1248" t="str">
        <f>IF(X23="Other (describe in Notes)","Describe Facility.                                                                                                                        ","")</f>
        <v/>
      </c>
      <c r="AP23" s="1624"/>
      <c r="AQ23" s="1624" t="b">
        <f>IF(AND(C23="",C25&lt;&gt;""),TRUE,FALSE)</f>
        <v>0</v>
      </c>
      <c r="AR23" s="1624" t="str">
        <f>IF(AND(J23&lt;&gt;"",L23&lt;&gt;"",N23&lt;&gt;"",P23&lt;&gt;"",R23="",T23=""),"Y",IF(AND(J23="",L23="",N23="",P23="",R23&lt;&gt;"",T23&lt;&gt;""),"Y",IF(AND(J23&lt;&gt;"",L23&lt;&gt;"",N23&lt;&gt;"",P23&lt;&gt;"",R23&lt;&gt;"",T23&lt;&gt;""),"Y",IF(AND(J23="",L23="",N23="",P23="",R23="",T23=""),"N/A","N"))))</f>
        <v>N/A</v>
      </c>
      <c r="AS23" s="1624" t="str">
        <f ca="1">IF(AND($C23&lt;&gt;"",OR(AR23="N",$V23="",$X23="",$Z23="",$AB23="",$AF23="",$AH23="",$AL23="",AD23="")),"N",IF(AND($C23="",OR(H23&lt;&gt;"",AR23="N",$V23&lt;&gt;"",$X23&lt;&gt;"",$Z23&lt;&gt;"",$AB23&lt;&gt;"",$AF23&lt;&gt;"",$AH23&lt;&gt;"",$AL23&lt;&gt;"",AD23&lt;&gt;"")),"N",IF(AND(H23="",$C23="",AR23="N/A",$V23="",$X23="",$Z23="",$AB23="",$AF23="",$AH23="",$AL23="",AD23=""),"N/A",IF(AND($C23&lt;&gt;"",AR23="Y",$V23&lt;&gt;"",$X23&lt;&gt;"",$Z23&lt;&gt;"",$AB23&lt;&gt;"",$AF23&lt;&gt;"",$AH23&lt;&gt;"",$AL23&lt;&gt;"",AD23&lt;&gt;""),"Y","N"))))</f>
        <v>N/A</v>
      </c>
      <c r="AT23" s="1761" t="b">
        <f ca="1">IF(AND($C23="",OR($J23&lt;&gt;"",$L23&lt;&gt;"",$N23&lt;&gt;"",$P23&lt;&gt;"",$V23&lt;&gt;"",$X23&lt;&gt;"",$Z23&lt;&gt;"",$AB23&lt;&gt;"",$AF23&lt;&gt;"",$AH23&lt;&gt;"",$AL23&lt;&gt;"")),TRUE,FALSE)</f>
        <v>0</v>
      </c>
      <c r="AU23" s="1761" t="b">
        <f>IF(OR(R23&lt;&gt;"",T23&lt;&gt;""),"false",IF(AND($C23&lt;&gt;"",$J23=""),TRUE,FALSE))</f>
        <v>0</v>
      </c>
      <c r="AV23" s="1761" t="b">
        <f>IF(OR(R23&lt;&gt;"",T23&lt;&gt;""),FALSE,IF(AND($C23&lt;&gt;"",$L23=""),TRUE,FALSE))</f>
        <v>0</v>
      </c>
      <c r="AW23" s="1761" t="b">
        <f>IF(OR(R23&lt;&gt;"",T23&lt;&gt;""),FALSE,IF(AND($C23&lt;&gt;"",$N23=""),TRUE,FALSE))</f>
        <v>0</v>
      </c>
      <c r="AX23" s="1761" t="b">
        <f>IF(OR(R23&lt;&gt;"",T23&lt;&gt;""),FALSE,IF(AND($C23&lt;&gt;"",$P23=""),TRUE,FALSE))</f>
        <v>0</v>
      </c>
      <c r="AY23" s="1761"/>
      <c r="AZ23" s="1761" t="b">
        <f>IF(OR(J23&lt;&gt;"",L23&lt;&gt;"",N23&lt;&gt;"",P23&lt;&gt;""),FALSE,IF(AND(C23&lt;&gt;"",R23=""),TRUE,FALSE))</f>
        <v>0</v>
      </c>
      <c r="BA23" s="1761"/>
      <c r="BB23" s="1761" t="b">
        <f>IF(OR(J23&lt;&gt;"",L23&lt;&gt;"",N23&lt;&gt;"",P23&lt;&gt;""),FALSE,IF(AND(C23&lt;&gt;"",T23=""),TRUE,FALSE))</f>
        <v>0</v>
      </c>
      <c r="BC23" s="1761" t="b">
        <f>IF(AND($C23&lt;&gt;"",$V23=""),TRUE,FALSE)</f>
        <v>0</v>
      </c>
      <c r="BD23" s="1761" t="b">
        <f ca="1">IF(AND(X23="",OR(Z23&lt;&gt;"",AB23&lt;&gt;"",AF23&lt;&gt;"",AH23&lt;&gt;"",AL23&lt;&gt;"",AD23&lt;&gt;"")),TRUE,FALSE)</f>
        <v>0</v>
      </c>
      <c r="BE23" s="1761" t="b">
        <f>IF(AND($C23&lt;&gt;"",$X23=""),TRUE,FALSE)</f>
        <v>0</v>
      </c>
      <c r="BF23" s="1761" t="b">
        <f>IF(Z23="",FALSE,IF(X23="",FALSE,IF(BG23=TRUE,FALSE,IF(OR(Z23&lt;BU23,Z23&gt;BaseYear),TRUE,FALSE))))</f>
        <v>0</v>
      </c>
      <c r="BG23" s="1761" t="b">
        <f>IF(AND($C23&lt;&gt;"",$Z23=""),TRUE,FALSE)</f>
        <v>0</v>
      </c>
      <c r="BH23" s="1761" t="b">
        <f>IF(AD23="",FALSE,IF(X23="",FALSE,IF(BJ23=TRUE,FALSE,IF(AB23&lt;BX23,TRUE,FALSE))))</f>
        <v>0</v>
      </c>
      <c r="BI23" s="1761" t="b">
        <f>IF(AD23="",FALSE,IF(X23="",FALSE,IF(BJ23=TRUE,FALSE,IF(AB23&gt;BY23,TRUE,FALSE))))</f>
        <v>0</v>
      </c>
      <c r="BJ23" s="1761" t="b">
        <f>IF(AND($C23&lt;&gt;"",$AB23=""),TRUE,FALSE)</f>
        <v>0</v>
      </c>
      <c r="BK23" s="1761" t="b">
        <f>IF(BL23=TRUE,FALSE,IF(OR(AF23&lt;0,AF23&gt;1),TRUE,FALSE))</f>
        <v>0</v>
      </c>
      <c r="BL23" s="1761" t="b">
        <f>IF(AND($C23&lt;&gt;"",$AF23=""),TRUE,FALSE)</f>
        <v>0</v>
      </c>
      <c r="BM23" s="1761"/>
      <c r="BN23" s="1761" t="b">
        <f ca="1">IF(AND($C23&lt;&gt;"",$AH23=""),TRUE,FALSE)</f>
        <v>0</v>
      </c>
      <c r="BO23" s="1761" t="b">
        <f>IF(AL23="",FALSE,IF(X23="",FALSE,IF(BP23=TRUE,FALSE,IF(OR(AL23&lt;1913,AL23&gt;BaseYear),TRUE,FALSE))))</f>
        <v>0</v>
      </c>
      <c r="BP23" s="1761" t="b">
        <f>IF(AND($C23&lt;&gt;"",$AL23=""),TRUE,FALSE)</f>
        <v>0</v>
      </c>
      <c r="BQ23" s="1761" t="b">
        <f>IF(AD23="Square Foot",FALSE,IF(AND(AD23="Parking Space",OR('A-20 PassFacInv'!X23=Valid!$B$7,'A-20 PassFacInv'!X23=Valid!$B$8,'A-20 PassFacInv'!X23=Valid!$B$9,'A-20 PassFacInv'!X23=Valid!$B$10,'A-20 PassFacInv'!X23=Valid!$B$12,'A-20 PassFacInv'!X23=Valid!$B$13,'A-20 PassFacInv'!X23=Valid!$B$14,'A-20 PassFacInv'!X23=Valid!$B$15,'A-20 PassFacInv'!X23=Valid!$B$16,'A-20 PassFacInv'!X23=Valid!$B$17,'A-20 PassFacInv'!X23=Valid!$B$18,X23=Valid!$B$19,X23=Valid!$B$20,X23=Valid!$B$21)),TRUE,FALSE))</f>
        <v>0</v>
      </c>
      <c r="BR23" s="1761" t="b">
        <f>IF(AND($C23&lt;&gt;"",$AD23=""),TRUE,FALSE)</f>
        <v>0</v>
      </c>
      <c r="BS23" s="721"/>
      <c r="BT23" s="1625" t="str">
        <f>IF($X23="","",VLOOKUP($X23,val_facilities,BT$3,FALSE))</f>
        <v/>
      </c>
      <c r="BU23" s="1627" t="str">
        <f>IF($X23="","",VLOOKUP($X23,val_facilities,BU$3,FALSE))</f>
        <v/>
      </c>
      <c r="BV23" s="1627" t="str">
        <f>IF($X23="","",VLOOKUP($X23,val_facilities,BV$3,FALSE))</f>
        <v/>
      </c>
      <c r="BW23" s="1627" t="str">
        <f ca="1">IFERROR(IF(Z23="", "", YEAR(TODAY())-Z23), "")</f>
        <v/>
      </c>
      <c r="BX23" s="845" t="str">
        <f>IF($X23="","",IF(AD23="Square Feet",VLOOKUP('A-20 PassFacInv'!X18,Valid!$B$7:$H$24,7,FALSE),IF(AD23="Parking Spaces",VLOOKUP(X23,Valid!$B$22:$L$24,11,FALSE))))</f>
        <v/>
      </c>
      <c r="BY23" s="845" t="str">
        <f>IF($X23="","",IF(AD23="Square Feet",VLOOKUP(X23,Valid!$B$7:$I$24,8,FALSE),IF('A-20 PassFacInv'!AD18="Parking Spaces",VLOOKUP('A-20 PassFacInv'!X18,Valid!$B$22:$M$24,12,FALSE))))</f>
        <v/>
      </c>
      <c r="BZ23" s="1229"/>
      <c r="CA23" s="721">
        <f t="shared" si="1"/>
        <v>0</v>
      </c>
      <c r="CB23" s="816"/>
    </row>
    <row r="24" spans="1:80" s="1739" customFormat="1" ht="6.75" customHeight="1" thickBot="1" x14ac:dyDescent="0.25">
      <c r="A24" s="1638"/>
      <c r="B24" s="1746">
        <v>6.5</v>
      </c>
      <c r="C24" s="1057"/>
      <c r="D24" s="1248"/>
      <c r="E24" s="1639"/>
      <c r="F24" s="1229"/>
      <c r="G24" s="1229"/>
      <c r="H24" s="1229"/>
      <c r="I24" s="1229"/>
      <c r="J24" s="1604"/>
      <c r="K24" s="1640"/>
      <c r="L24" s="1641"/>
      <c r="M24" s="1248"/>
      <c r="N24" s="1641"/>
      <c r="O24" s="1248"/>
      <c r="P24" s="1659"/>
      <c r="Q24" s="1248"/>
      <c r="R24" s="1660"/>
      <c r="S24" s="1640"/>
      <c r="T24" s="1660"/>
      <c r="U24" s="1640"/>
      <c r="V24" s="1057"/>
      <c r="W24" s="1618"/>
      <c r="X24" s="1747"/>
      <c r="Y24" s="1618"/>
      <c r="Z24" s="1623"/>
      <c r="AA24" s="1618"/>
      <c r="AB24" s="1944"/>
      <c r="AC24" s="1275"/>
      <c r="AD24" s="1661"/>
      <c r="AE24" s="734"/>
      <c r="AF24" s="1748"/>
      <c r="AG24" s="1275"/>
      <c r="AH24" s="722"/>
      <c r="AI24" s="1275"/>
      <c r="AJ24" s="733"/>
      <c r="AK24" s="1275"/>
      <c r="AL24" s="1721"/>
      <c r="AM24" s="1275"/>
      <c r="AN24" s="1057"/>
      <c r="AO24" s="1644"/>
      <c r="AP24" s="1644"/>
      <c r="AQ24" s="1644"/>
      <c r="AR24" s="1644"/>
      <c r="AS24" s="1644"/>
      <c r="AT24" s="1761"/>
      <c r="AU24" s="1761"/>
      <c r="AV24" s="1761"/>
      <c r="AW24" s="1761"/>
      <c r="AX24" s="1761"/>
      <c r="AY24" s="1761"/>
      <c r="AZ24" s="1761"/>
      <c r="BA24" s="1761"/>
      <c r="BB24" s="1761"/>
      <c r="BC24" s="1762"/>
      <c r="BD24" s="1762"/>
      <c r="BE24" s="1762"/>
      <c r="BF24" s="1762"/>
      <c r="BG24" s="1762"/>
      <c r="BH24" s="1762"/>
      <c r="BI24" s="1762"/>
      <c r="BJ24" s="1762"/>
      <c r="BK24" s="1762"/>
      <c r="BL24" s="1762"/>
      <c r="BM24" s="1762"/>
      <c r="BN24" s="1762"/>
      <c r="BO24" s="1762"/>
      <c r="BP24" s="1762"/>
      <c r="BQ24" s="1762"/>
      <c r="BR24" s="1762"/>
      <c r="BS24" s="1736"/>
      <c r="BT24" s="1738"/>
      <c r="BU24" s="1738"/>
      <c r="BV24" s="1738"/>
      <c r="BW24" s="1738"/>
      <c r="BX24" s="1738"/>
      <c r="BY24" s="1738"/>
      <c r="BZ24" s="1229"/>
      <c r="CA24" s="721">
        <f t="shared" si="1"/>
        <v>0</v>
      </c>
      <c r="CB24" s="816"/>
    </row>
    <row r="25" spans="1:80" s="1739" customFormat="1" x14ac:dyDescent="0.2">
      <c r="A25" s="840">
        <v>7</v>
      </c>
      <c r="B25" s="1746">
        <v>7</v>
      </c>
      <c r="C25" s="1740"/>
      <c r="D25" s="1248" t="str">
        <f>IF(C23="","",IF((C25=""),"Enter Facility "&amp;TEXT(A25,0)&amp;" Name, then Fill in Columns "&amp;TEXT($H$2,0)&amp;" - "&amp;TEXT($AL$2,0)&amp;"       ",""))</f>
        <v/>
      </c>
      <c r="E25" s="1245" t="str">
        <f ca="1">IF(AS25="N/A","",IF(AS25="N","No","Yes"))</f>
        <v/>
      </c>
      <c r="F25" s="758"/>
      <c r="G25" s="758"/>
      <c r="H25" s="1707"/>
      <c r="I25" s="758"/>
      <c r="J25" s="1653"/>
      <c r="K25" s="1248"/>
      <c r="L25" s="1740"/>
      <c r="M25" s="1248"/>
      <c r="N25" s="1740"/>
      <c r="O25" s="1248"/>
      <c r="P25" s="1741"/>
      <c r="Q25" s="1248"/>
      <c r="R25" s="1742"/>
      <c r="S25" s="1248"/>
      <c r="T25" s="1742"/>
      <c r="U25" s="1248"/>
      <c r="V25" s="1653"/>
      <c r="W25" s="1618"/>
      <c r="X25" s="1653"/>
      <c r="Y25" s="1618"/>
      <c r="Z25" s="1743"/>
      <c r="AA25" s="1248"/>
      <c r="AB25" s="1943"/>
      <c r="AC25" s="1620"/>
      <c r="AD25" s="1740"/>
      <c r="AE25" s="1618"/>
      <c r="AF25" s="1621"/>
      <c r="AG25" s="1618" t="str">
        <f ca="1">IF($E25&lt;&gt;"","% of Cap Resp.","")</f>
        <v/>
      </c>
      <c r="AH25" s="1801" t="str">
        <f ca="1">IF(BW25="", "", IF(BW25&gt;100, 1, VLOOKUP(BW25, Valid!$W$1:$AA$101, VLOOKUP(X25, Codes!$L$20:$N$28, 3, FALSE), FALSE)))</f>
        <v/>
      </c>
      <c r="AI25" s="1620" t="str">
        <f ca="1">IF($E25&lt;&gt;"","Estimated?  ","")</f>
        <v/>
      </c>
      <c r="AJ25" s="1654"/>
      <c r="AK25" s="1620"/>
      <c r="AL25" s="1730"/>
      <c r="AM25" s="1620" t="b">
        <f ca="1">IF(E25&lt;&gt;"","Est Date?    ")</f>
        <v>0</v>
      </c>
      <c r="AN25" s="1740"/>
      <c r="AO25" s="1248" t="str">
        <f>IF(X25="Other (describe in Notes)","Describe Facility.                                                                                                                        ","")</f>
        <v/>
      </c>
      <c r="AP25" s="1624"/>
      <c r="AQ25" s="1624" t="b">
        <f>IF(AND(C25="",C27&lt;&gt;""),TRUE,FALSE)</f>
        <v>0</v>
      </c>
      <c r="AR25" s="1624" t="str">
        <f>IF(AND(J25&lt;&gt;"",L25&lt;&gt;"",N25&lt;&gt;"",P25&lt;&gt;"",R25="",T25=""),"Y",IF(AND(J25="",L25="",N25="",P25="",R25&lt;&gt;"",T25&lt;&gt;""),"Y",IF(AND(J25&lt;&gt;"",L25&lt;&gt;"",N25&lt;&gt;"",P25&lt;&gt;"",R25&lt;&gt;"",T25&lt;&gt;""),"Y",IF(AND(J25="",L25="",N25="",P25="",R25="",T25=""),"N/A","N"))))</f>
        <v>N/A</v>
      </c>
      <c r="AS25" s="1624" t="str">
        <f ca="1">IF(AND($C25&lt;&gt;"",OR(AR25="N",$V25="",$X25="",$Z25="",$AB25="",$AF25="",$AH25="",$AL25="",AD25="")),"N",IF(AND($C25="",OR(H25&lt;&gt;"",AR25="N",$V25&lt;&gt;"",$X25&lt;&gt;"",$Z25&lt;&gt;"",$AB25&lt;&gt;"",$AF25&lt;&gt;"",$AH25&lt;&gt;"",$AL25&lt;&gt;"",AD25&lt;&gt;"")),"N",IF(AND(H25="",$C25="",AR25="N/A",$V25="",$X25="",$Z25="",$AB25="",$AF25="",$AH25="",$AL25="",AD25=""),"N/A",IF(AND($C25&lt;&gt;"",AR25="Y",$V25&lt;&gt;"",$X25&lt;&gt;"",$Z25&lt;&gt;"",$AB25&lt;&gt;"",$AF25&lt;&gt;"",$AH25&lt;&gt;"",$AL25&lt;&gt;"",AD25&lt;&gt;""),"Y","N"))))</f>
        <v>N/A</v>
      </c>
      <c r="AT25" s="1761" t="b">
        <f ca="1">IF(AND($C25="",OR($J25&lt;&gt;"",$L25&lt;&gt;"",$N25&lt;&gt;"",$P25&lt;&gt;"",$V25&lt;&gt;"",$X25&lt;&gt;"",$Z25&lt;&gt;"",$AB25&lt;&gt;"",$AF25&lt;&gt;"",$AH25&lt;&gt;"",$AL25&lt;&gt;"")),TRUE,FALSE)</f>
        <v>0</v>
      </c>
      <c r="AU25" s="1761" t="b">
        <f>IF(OR(R25&lt;&gt;"",T25&lt;&gt;""),"false",IF(AND($C25&lt;&gt;"",$J25=""),TRUE,FALSE))</f>
        <v>0</v>
      </c>
      <c r="AV25" s="1761" t="b">
        <f>IF(OR(R25&lt;&gt;"",T25&lt;&gt;""),FALSE,IF(AND($C25&lt;&gt;"",$L25=""),TRUE,FALSE))</f>
        <v>0</v>
      </c>
      <c r="AW25" s="1761" t="b">
        <f>IF(OR(R25&lt;&gt;"",T25&lt;&gt;""),FALSE,IF(AND($C25&lt;&gt;"",$N25=""),TRUE,FALSE))</f>
        <v>0</v>
      </c>
      <c r="AX25" s="1761" t="b">
        <f>IF(OR(R25&lt;&gt;"",T25&lt;&gt;""),FALSE,IF(AND($C25&lt;&gt;"",$P25=""),TRUE,FALSE))</f>
        <v>0</v>
      </c>
      <c r="AY25" s="1761"/>
      <c r="AZ25" s="1761" t="b">
        <f>IF(OR(J25&lt;&gt;"",L25&lt;&gt;"",N25&lt;&gt;"",P25&lt;&gt;""),FALSE,IF(AND(C25&lt;&gt;"",R25=""),TRUE,FALSE))</f>
        <v>0</v>
      </c>
      <c r="BA25" s="1761"/>
      <c r="BB25" s="1761" t="b">
        <f>IF(OR(J25&lt;&gt;"",L25&lt;&gt;"",N25&lt;&gt;"",P25&lt;&gt;""),FALSE,IF(AND(C25&lt;&gt;"",T25=""),TRUE,FALSE))</f>
        <v>0</v>
      </c>
      <c r="BC25" s="1761" t="b">
        <f>IF(AND($C25&lt;&gt;"",$V25=""),TRUE,FALSE)</f>
        <v>0</v>
      </c>
      <c r="BD25" s="1761" t="b">
        <f ca="1">IF(AND(X25="",OR(Z25&lt;&gt;"",AB25&lt;&gt;"",AF25&lt;&gt;"",AH25&lt;&gt;"",AL25&lt;&gt;"",AD25&lt;&gt;"")),TRUE,FALSE)</f>
        <v>0</v>
      </c>
      <c r="BE25" s="1761" t="b">
        <f>IF(AND($C25&lt;&gt;"",$X25=""),TRUE,FALSE)</f>
        <v>0</v>
      </c>
      <c r="BF25" s="1761" t="b">
        <f>IF(Z25="",FALSE,IF(X25="",FALSE,IF(BG25=TRUE,FALSE,IF(OR(Z25&lt;BU25,Z25&gt;BaseYear),TRUE,FALSE))))</f>
        <v>0</v>
      </c>
      <c r="BG25" s="1761" t="b">
        <f>IF(AND($C25&lt;&gt;"",$Z25=""),TRUE,FALSE)</f>
        <v>0</v>
      </c>
      <c r="BH25" s="1761" t="b">
        <f>IF(AD25="",FALSE,IF(X25="",FALSE,IF(BJ25=TRUE,FALSE,IF(AB25&lt;BX25,TRUE,FALSE))))</f>
        <v>0</v>
      </c>
      <c r="BI25" s="1761" t="b">
        <f>IF(AD25="",FALSE,IF(X25="",FALSE,IF(BJ25=TRUE,FALSE,IF(AB25&gt;BY25,TRUE,FALSE))))</f>
        <v>0</v>
      </c>
      <c r="BJ25" s="1761" t="b">
        <f>IF(AND($C25&lt;&gt;"",$AB25=""),TRUE,FALSE)</f>
        <v>0</v>
      </c>
      <c r="BK25" s="1761" t="b">
        <f>IF(BL25=TRUE,FALSE,IF(OR(AF25&lt;0,AF25&gt;1),TRUE,FALSE))</f>
        <v>0</v>
      </c>
      <c r="BL25" s="1761" t="b">
        <f>IF(AND($C25&lt;&gt;"",$AF25=""),TRUE,FALSE)</f>
        <v>0</v>
      </c>
      <c r="BM25" s="1761"/>
      <c r="BN25" s="1761" t="b">
        <f ca="1">IF(AND($C25&lt;&gt;"",$AH25=""),TRUE,FALSE)</f>
        <v>0</v>
      </c>
      <c r="BO25" s="1761" t="b">
        <f>IF(AL25="",FALSE,IF(X25="",FALSE,IF(BP25=TRUE,FALSE,IF(OR(AL25&lt;1913,AL25&gt;BaseYear),TRUE,FALSE))))</f>
        <v>0</v>
      </c>
      <c r="BP25" s="1761" t="b">
        <f>IF(AND($C25&lt;&gt;"",$AL25=""),TRUE,FALSE)</f>
        <v>0</v>
      </c>
      <c r="BQ25" s="1761" t="b">
        <f>IF(AD25="Square Foot",FALSE,IF(AND(AD25="Parking Space",OR('A-20 PassFacInv'!X25=Valid!$B$7,'A-20 PassFacInv'!X25=Valid!$B$8,'A-20 PassFacInv'!X25=Valid!$B$9,'A-20 PassFacInv'!X25=Valid!$B$10,'A-20 PassFacInv'!X25=Valid!$B$12,'A-20 PassFacInv'!X25=Valid!$B$13,'A-20 PassFacInv'!X25=Valid!$B$14,'A-20 PassFacInv'!X25=Valid!$B$15,'A-20 PassFacInv'!X25=Valid!$B$16,'A-20 PassFacInv'!X25=Valid!$B$17,'A-20 PassFacInv'!X25=Valid!$B$18,X25=Valid!$B$19,X25=Valid!$B$20,X25=Valid!$B$21)),TRUE,FALSE))</f>
        <v>0</v>
      </c>
      <c r="BR25" s="1761" t="b">
        <f>IF(AND($C25&lt;&gt;"",$AD25=""),TRUE,FALSE)</f>
        <v>0</v>
      </c>
      <c r="BS25" s="721"/>
      <c r="BT25" s="1625" t="str">
        <f>IF($X25="","",VLOOKUP($X25,val_facilities,BT$3,FALSE))</f>
        <v/>
      </c>
      <c r="BU25" s="1627" t="str">
        <f>IF($X25="","",VLOOKUP($X25,val_facilities,BU$3,FALSE))</f>
        <v/>
      </c>
      <c r="BV25" s="1627" t="str">
        <f>IF($X25="","",VLOOKUP($X25,val_facilities,BV$3,FALSE))</f>
        <v/>
      </c>
      <c r="BW25" s="1627" t="str">
        <f ca="1">IFERROR(IF(Z25="", "", YEAR(TODAY())-Z25), "")</f>
        <v/>
      </c>
      <c r="BX25" s="845" t="str">
        <f>IF($X25="","",IF(AD25="Square Feet",VLOOKUP('A-20 PassFacInv'!X19,Valid!$B$7:$H$24,7,FALSE),IF(AD25="Parking Spaces",VLOOKUP(X25,Valid!$B$22:$L$24,11,FALSE))))</f>
        <v/>
      </c>
      <c r="BY25" s="845" t="str">
        <f>IF($X25="","",IF(AD25="Square Feet",VLOOKUP(X25,Valid!$B$7:$I$24,8,FALSE),IF('A-20 PassFacInv'!AD19="Parking Spaces",VLOOKUP('A-20 PassFacInv'!X19,Valid!$B$22:$M$24,12,FALSE))))</f>
        <v/>
      </c>
      <c r="BZ25" s="1229"/>
      <c r="CA25" s="721">
        <f t="shared" si="1"/>
        <v>0</v>
      </c>
      <c r="CB25" s="816"/>
    </row>
    <row r="26" spans="1:80" s="1739" customFormat="1" ht="6.75" customHeight="1" thickBot="1" x14ac:dyDescent="0.25">
      <c r="A26" s="1638"/>
      <c r="B26" s="1746">
        <v>7.5</v>
      </c>
      <c r="C26" s="1057"/>
      <c r="D26" s="1248"/>
      <c r="E26" s="1057"/>
      <c r="F26" s="1229"/>
      <c r="G26" s="1229"/>
      <c r="H26" s="1229"/>
      <c r="I26" s="1229"/>
      <c r="J26" s="1604"/>
      <c r="K26" s="1640"/>
      <c r="L26" s="1605"/>
      <c r="M26" s="1646"/>
      <c r="N26" s="1605"/>
      <c r="O26" s="1646"/>
      <c r="P26" s="1733"/>
      <c r="Q26" s="1646"/>
      <c r="R26" s="1660"/>
      <c r="S26" s="1640"/>
      <c r="T26" s="1660"/>
      <c r="U26" s="1640"/>
      <c r="V26" s="1057"/>
      <c r="W26" s="1618"/>
      <c r="X26" s="1747"/>
      <c r="Y26" s="1618"/>
      <c r="Z26" s="1623"/>
      <c r="AA26" s="1618"/>
      <c r="AB26" s="1944"/>
      <c r="AC26" s="1648"/>
      <c r="AD26" s="1661"/>
      <c r="AE26" s="841"/>
      <c r="AF26" s="841"/>
      <c r="AG26" s="1648"/>
      <c r="AH26" s="733"/>
      <c r="AI26" s="1648"/>
      <c r="AJ26" s="722"/>
      <c r="AK26" s="1648"/>
      <c r="AL26" s="1717"/>
      <c r="AM26" s="1648"/>
      <c r="AN26" s="1057"/>
      <c r="AO26" s="1644"/>
      <c r="AP26" s="1644"/>
      <c r="AQ26" s="1644"/>
      <c r="AR26" s="1644"/>
      <c r="AS26" s="1644"/>
      <c r="AT26" s="1761"/>
      <c r="AU26" s="1761"/>
      <c r="AV26" s="1761"/>
      <c r="AW26" s="1761"/>
      <c r="AX26" s="1761"/>
      <c r="AY26" s="1761"/>
      <c r="AZ26" s="1761"/>
      <c r="BA26" s="1761"/>
      <c r="BB26" s="1761"/>
      <c r="BC26" s="1762"/>
      <c r="BD26" s="1762"/>
      <c r="BE26" s="1762"/>
      <c r="BF26" s="1762"/>
      <c r="BG26" s="1762"/>
      <c r="BH26" s="1762"/>
      <c r="BI26" s="1762"/>
      <c r="BJ26" s="1762"/>
      <c r="BK26" s="1762"/>
      <c r="BL26" s="1762"/>
      <c r="BM26" s="1762"/>
      <c r="BN26" s="1762"/>
      <c r="BO26" s="1762"/>
      <c r="BP26" s="1762"/>
      <c r="BQ26" s="1762"/>
      <c r="BR26" s="1762"/>
      <c r="BS26" s="1736"/>
      <c r="BT26" s="1738"/>
      <c r="BU26" s="1738"/>
      <c r="BV26" s="1738"/>
      <c r="BW26" s="1738"/>
      <c r="BX26" s="1738"/>
      <c r="BY26" s="1738"/>
      <c r="BZ26" s="1229"/>
      <c r="CA26" s="721">
        <f t="shared" si="1"/>
        <v>0</v>
      </c>
      <c r="CB26" s="1748"/>
    </row>
    <row r="27" spans="1:80" s="1739" customFormat="1" x14ac:dyDescent="0.2">
      <c r="A27" s="840">
        <v>8</v>
      </c>
      <c r="B27" s="1746">
        <v>8</v>
      </c>
      <c r="C27" s="1740"/>
      <c r="D27" s="1248" t="str">
        <f>IF(C25="","",IF((C27=""),"Enter Facility "&amp;TEXT(A27,0)&amp;" Name, then Fill in Columns "&amp;TEXT($H$2,0)&amp;" - "&amp;TEXT($AL$2,0)&amp;"       ",""))</f>
        <v/>
      </c>
      <c r="E27" s="1245" t="str">
        <f ca="1">IF(AS27="N/A","",IF(AS27="N","No","Yes"))</f>
        <v/>
      </c>
      <c r="F27" s="758"/>
      <c r="G27" s="758"/>
      <c r="H27" s="1707"/>
      <c r="I27" s="758"/>
      <c r="J27" s="1653"/>
      <c r="K27" s="1248"/>
      <c r="L27" s="1740"/>
      <c r="M27" s="1248"/>
      <c r="N27" s="1740"/>
      <c r="O27" s="1248"/>
      <c r="P27" s="1741"/>
      <c r="Q27" s="1248"/>
      <c r="R27" s="1742"/>
      <c r="S27" s="1248"/>
      <c r="T27" s="1742"/>
      <c r="U27" s="1248"/>
      <c r="V27" s="1653"/>
      <c r="W27" s="1618"/>
      <c r="X27" s="1653"/>
      <c r="Y27" s="1618"/>
      <c r="Z27" s="1743"/>
      <c r="AA27" s="1248"/>
      <c r="AB27" s="1943"/>
      <c r="AC27" s="1620"/>
      <c r="AD27" s="1740"/>
      <c r="AE27" s="1618"/>
      <c r="AF27" s="1621"/>
      <c r="AG27" s="1618" t="str">
        <f ca="1">IF($E27&lt;&gt;"","% of Cap Resp.","")</f>
        <v/>
      </c>
      <c r="AH27" s="1801" t="str">
        <f ca="1">IF(BW27="", "", IF(BW27&gt;100, 1, VLOOKUP(BW27, Valid!$W$1:$AA$101, VLOOKUP(X27, Codes!$L$20:$N$28, 3, FALSE), FALSE)))</f>
        <v/>
      </c>
      <c r="AI27" s="1620" t="str">
        <f ca="1">IF($E27&lt;&gt;"","Estimated?  ","")</f>
        <v/>
      </c>
      <c r="AJ27" s="1654"/>
      <c r="AK27" s="1620"/>
      <c r="AL27" s="1730"/>
      <c r="AM27" s="1620" t="b">
        <f ca="1">IF(E27&lt;&gt;"","Est Date?    ")</f>
        <v>0</v>
      </c>
      <c r="AN27" s="1740"/>
      <c r="AO27" s="1248" t="str">
        <f>IF(X27="Other (describe in Notes)","Describe Facility.                                                                                                                        ","")</f>
        <v/>
      </c>
      <c r="AP27" s="1624"/>
      <c r="AQ27" s="1624" t="b">
        <f>IF(AND(C27="",C29&lt;&gt;""),TRUE,FALSE)</f>
        <v>0</v>
      </c>
      <c r="AR27" s="1624" t="str">
        <f>IF(AND(J27&lt;&gt;"",L27&lt;&gt;"",N27&lt;&gt;"",P27&lt;&gt;"",R27="",T27=""),"Y",IF(AND(J27="",L27="",N27="",P27="",R27&lt;&gt;"",T27&lt;&gt;""),"Y",IF(AND(J27&lt;&gt;"",L27&lt;&gt;"",N27&lt;&gt;"",P27&lt;&gt;"",R27&lt;&gt;"",T27&lt;&gt;""),"Y",IF(AND(J27="",L27="",N27="",P27="",R27="",T27=""),"N/A","N"))))</f>
        <v>N/A</v>
      </c>
      <c r="AS27" s="1624" t="str">
        <f ca="1">IF(AND($C27&lt;&gt;"",OR(AR27="N",$V27="",$X27="",$Z27="",$AB27="",$AF27="",$AH27="",$AL27="",AD27="")),"N",IF(AND($C27="",OR(H27&lt;&gt;"",AR27="N",$V27&lt;&gt;"",$X27&lt;&gt;"",$Z27&lt;&gt;"",$AB27&lt;&gt;"",$AF27&lt;&gt;"",$AH27&lt;&gt;"",$AL27&lt;&gt;"",AD27&lt;&gt;"")),"N",IF(AND(H27="",$C27="",AR27="N/A",$V27="",$X27="",$Z27="",$AB27="",$AF27="",$AH27="",$AL27="",AD27=""),"N/A",IF(AND($C27&lt;&gt;"",AR27="Y",$V27&lt;&gt;"",$X27&lt;&gt;"",$Z27&lt;&gt;"",$AB27&lt;&gt;"",$AF27&lt;&gt;"",$AH27&lt;&gt;"",$AL27&lt;&gt;"",AD27&lt;&gt;""),"Y","N"))))</f>
        <v>N/A</v>
      </c>
      <c r="AT27" s="1761" t="b">
        <f ca="1">IF(AND($C27="",OR($J27&lt;&gt;"",$L27&lt;&gt;"",$N27&lt;&gt;"",$P27&lt;&gt;"",$V27&lt;&gt;"",$X27&lt;&gt;"",$Z27&lt;&gt;"",$AB27&lt;&gt;"",$AF27&lt;&gt;"",$AH27&lt;&gt;"",$AL27&lt;&gt;"")),TRUE,FALSE)</f>
        <v>0</v>
      </c>
      <c r="AU27" s="1761" t="b">
        <f>IF(OR(R27&lt;&gt;"",T27&lt;&gt;""),"false",IF(AND($C27&lt;&gt;"",$J27=""),TRUE,FALSE))</f>
        <v>0</v>
      </c>
      <c r="AV27" s="1761" t="b">
        <f>IF(OR(R27&lt;&gt;"",T27&lt;&gt;""),FALSE,IF(AND($C27&lt;&gt;"",$L27=""),TRUE,FALSE))</f>
        <v>0</v>
      </c>
      <c r="AW27" s="1761" t="b">
        <f>IF(OR(R27&lt;&gt;"",T27&lt;&gt;""),FALSE,IF(AND($C27&lt;&gt;"",$N27=""),TRUE,FALSE))</f>
        <v>0</v>
      </c>
      <c r="AX27" s="1761" t="b">
        <f>IF(OR(R27&lt;&gt;"",T27&lt;&gt;""),FALSE,IF(AND($C27&lt;&gt;"",$P27=""),TRUE,FALSE))</f>
        <v>0</v>
      </c>
      <c r="AY27" s="1761"/>
      <c r="AZ27" s="1761" t="b">
        <f>IF(OR(J27&lt;&gt;"",L27&lt;&gt;"",N27&lt;&gt;"",P27&lt;&gt;""),FALSE,IF(AND(C27&lt;&gt;"",R27=""),TRUE,FALSE))</f>
        <v>0</v>
      </c>
      <c r="BA27" s="1761"/>
      <c r="BB27" s="1761" t="b">
        <f>IF(OR(J27&lt;&gt;"",L27&lt;&gt;"",N27&lt;&gt;"",P27&lt;&gt;""),FALSE,IF(AND(C27&lt;&gt;"",T27=""),TRUE,FALSE))</f>
        <v>0</v>
      </c>
      <c r="BC27" s="1761" t="b">
        <f>IF(AND($C27&lt;&gt;"",$V27=""),TRUE,FALSE)</f>
        <v>0</v>
      </c>
      <c r="BD27" s="1761" t="b">
        <f ca="1">IF(AND(X27="",OR(Z27&lt;&gt;"",AB27&lt;&gt;"",AF27&lt;&gt;"",AH27&lt;&gt;"",AL27&lt;&gt;"",AD27&lt;&gt;"")),TRUE,FALSE)</f>
        <v>0</v>
      </c>
      <c r="BE27" s="1761" t="b">
        <f>IF(AND($C27&lt;&gt;"",$X27=""),TRUE,FALSE)</f>
        <v>0</v>
      </c>
      <c r="BF27" s="1761" t="b">
        <f>IF(Z27="",FALSE,IF(X27="",FALSE,IF(BG27=TRUE,FALSE,IF(OR(Z27&lt;BU27,Z27&gt;BaseYear),TRUE,FALSE))))</f>
        <v>0</v>
      </c>
      <c r="BG27" s="1761" t="b">
        <f>IF(AND($C27&lt;&gt;"",$Z27=""),TRUE,FALSE)</f>
        <v>0</v>
      </c>
      <c r="BH27" s="1761" t="b">
        <f>IF(AD27="",FALSE,IF(X27="",FALSE,IF(BJ27=TRUE,FALSE,IF(AB27&lt;BX27,TRUE,FALSE))))</f>
        <v>0</v>
      </c>
      <c r="BI27" s="1761" t="b">
        <f>IF(AD27="",FALSE,IF(X27="",FALSE,IF(BJ27=TRUE,FALSE,IF(AB27&gt;BY27,TRUE,FALSE))))</f>
        <v>0</v>
      </c>
      <c r="BJ27" s="1761" t="b">
        <f>IF(AND($C27&lt;&gt;"",$AB27=""),TRUE,FALSE)</f>
        <v>0</v>
      </c>
      <c r="BK27" s="1761" t="b">
        <f>IF(BL27=TRUE,FALSE,IF(OR(AF27&lt;0,AF27&gt;1),TRUE,FALSE))</f>
        <v>0</v>
      </c>
      <c r="BL27" s="1761" t="b">
        <f>IF(AND($C27&lt;&gt;"",$AF27=""),TRUE,FALSE)</f>
        <v>0</v>
      </c>
      <c r="BM27" s="1761"/>
      <c r="BN27" s="1761" t="b">
        <f ca="1">IF(AND($C27&lt;&gt;"",$AH27=""),TRUE,FALSE)</f>
        <v>0</v>
      </c>
      <c r="BO27" s="1761" t="b">
        <f>IF(AL27="",FALSE,IF(X27="",FALSE,IF(BP27=TRUE,FALSE,IF(OR(AL27&lt;1913,AL27&gt;BaseYear),TRUE,FALSE))))</f>
        <v>0</v>
      </c>
      <c r="BP27" s="1761" t="b">
        <f>IF(AND($C27&lt;&gt;"",$AL27=""),TRUE,FALSE)</f>
        <v>0</v>
      </c>
      <c r="BQ27" s="1761" t="b">
        <f>IF(AD27="Square Foot",FALSE,IF(AND(AD27="Parking Space",OR('A-20 PassFacInv'!X27=Valid!$B$7,'A-20 PassFacInv'!X27=Valid!$B$8,'A-20 PassFacInv'!X27=Valid!$B$9,'A-20 PassFacInv'!X27=Valid!$B$10,'A-20 PassFacInv'!X27=Valid!$B$12,'A-20 PassFacInv'!X27=Valid!$B$13,'A-20 PassFacInv'!X27=Valid!$B$14,'A-20 PassFacInv'!X27=Valid!$B$15,'A-20 PassFacInv'!X27=Valid!$B$16,'A-20 PassFacInv'!X27=Valid!$B$17,'A-20 PassFacInv'!X27=Valid!$B$18,X27=Valid!$B$19,X27=Valid!$B$20,X27=Valid!$B$21)),TRUE,FALSE))</f>
        <v>0</v>
      </c>
      <c r="BR27" s="1761" t="b">
        <f>IF(AND($C27&lt;&gt;"",$AD27=""),TRUE,FALSE)</f>
        <v>0</v>
      </c>
      <c r="BS27" s="721"/>
      <c r="BT27" s="1625" t="str">
        <f>IF($X27="","",VLOOKUP($X27,val_facilities,BT$3,FALSE))</f>
        <v/>
      </c>
      <c r="BU27" s="1627" t="str">
        <f>IF($X27="","",VLOOKUP($X27,val_facilities,BU$3,FALSE))</f>
        <v/>
      </c>
      <c r="BV27" s="1627" t="str">
        <f>IF($X27="","",VLOOKUP($X27,val_facilities,BV$3,FALSE))</f>
        <v/>
      </c>
      <c r="BW27" s="1627" t="str">
        <f ca="1">IFERROR(IF(Z27="", "", YEAR(TODAY())-Z27), "")</f>
        <v/>
      </c>
      <c r="BX27" s="845" t="str">
        <f>IF($X27="","",IF(AD27="Square Feet",VLOOKUP('A-20 PassFacInv'!X20,Valid!$B$7:$H$24,7,FALSE),IF(AD27="Parking Spaces",VLOOKUP(X27,Valid!$B$22:$L$24,11,FALSE))))</f>
        <v/>
      </c>
      <c r="BY27" s="845" t="str">
        <f>IF($X27="","",IF(AD27="Square Feet",VLOOKUP(X27,Valid!$B$7:$I$24,8,FALSE),IF('A-20 PassFacInv'!AD20="Parking Spaces",VLOOKUP('A-20 PassFacInv'!X20,Valid!$B$22:$M$24,12,FALSE))))</f>
        <v/>
      </c>
      <c r="BZ27" s="1229"/>
      <c r="CA27" s="721">
        <f t="shared" si="1"/>
        <v>0</v>
      </c>
      <c r="CB27" s="816"/>
    </row>
    <row r="28" spans="1:80" s="1739" customFormat="1" ht="6.75" customHeight="1" thickBot="1" x14ac:dyDescent="0.25">
      <c r="A28" s="1638"/>
      <c r="B28" s="1746">
        <v>8.5</v>
      </c>
      <c r="C28" s="1057"/>
      <c r="D28" s="764"/>
      <c r="E28" s="1639"/>
      <c r="F28" s="1229"/>
      <c r="G28" s="1229"/>
      <c r="H28" s="1229"/>
      <c r="I28" s="1229"/>
      <c r="J28" s="1604"/>
      <c r="K28" s="1229"/>
      <c r="L28" s="1645"/>
      <c r="M28" s="1644"/>
      <c r="N28" s="1645"/>
      <c r="O28" s="1644"/>
      <c r="P28" s="1662"/>
      <c r="Q28" s="1644"/>
      <c r="R28" s="1663"/>
      <c r="S28" s="1229"/>
      <c r="T28" s="1663"/>
      <c r="U28" s="1229"/>
      <c r="V28" s="1057"/>
      <c r="W28" s="1623"/>
      <c r="X28" s="1747"/>
      <c r="Y28" s="1623"/>
      <c r="Z28" s="1623"/>
      <c r="AA28" s="1623"/>
      <c r="AB28" s="1944"/>
      <c r="AC28" s="841"/>
      <c r="AD28" s="1057"/>
      <c r="AE28" s="841"/>
      <c r="AF28" s="841"/>
      <c r="AG28" s="841"/>
      <c r="AH28" s="722"/>
      <c r="AI28" s="841"/>
      <c r="AJ28" s="722"/>
      <c r="AK28" s="841"/>
      <c r="AL28" s="1717"/>
      <c r="AM28" s="841"/>
      <c r="AN28" s="1057"/>
      <c r="AO28" s="1644"/>
      <c r="AP28" s="1644"/>
      <c r="AQ28" s="1644"/>
      <c r="AR28" s="1644"/>
      <c r="AS28" s="1644"/>
      <c r="AT28" s="1761"/>
      <c r="AU28" s="1761"/>
      <c r="AV28" s="1761"/>
      <c r="AW28" s="1761"/>
      <c r="AX28" s="1761"/>
      <c r="AY28" s="1761"/>
      <c r="AZ28" s="1761"/>
      <c r="BA28" s="1761"/>
      <c r="BB28" s="1761"/>
      <c r="BC28" s="1762"/>
      <c r="BD28" s="1762"/>
      <c r="BE28" s="1762"/>
      <c r="BF28" s="1762"/>
      <c r="BG28" s="1762"/>
      <c r="BH28" s="1762"/>
      <c r="BI28" s="1762"/>
      <c r="BJ28" s="1762"/>
      <c r="BK28" s="1762"/>
      <c r="BL28" s="1762"/>
      <c r="BM28" s="1762"/>
      <c r="BN28" s="1762"/>
      <c r="BO28" s="1762"/>
      <c r="BP28" s="1762"/>
      <c r="BQ28" s="1763"/>
      <c r="BR28" s="1762"/>
      <c r="BS28" s="1736"/>
      <c r="BT28" s="1738"/>
      <c r="BU28" s="1738"/>
      <c r="BV28" s="1738"/>
      <c r="BW28" s="1738"/>
      <c r="BX28" s="1738"/>
      <c r="BY28" s="1738"/>
      <c r="BZ28" s="1229"/>
      <c r="CA28" s="721">
        <f t="shared" si="1"/>
        <v>0</v>
      </c>
      <c r="CB28" s="1748"/>
    </row>
    <row r="29" spans="1:80" s="1739" customFormat="1" x14ac:dyDescent="0.2">
      <c r="A29" s="840">
        <v>9</v>
      </c>
      <c r="B29" s="1731">
        <v>9</v>
      </c>
      <c r="C29" s="1740"/>
      <c r="D29" s="1248" t="str">
        <f>IF(C27="","",IF((C29=""),"Enter Facility "&amp;TEXT(A29,0)&amp;" Name, then Fill in Columns "&amp;TEXT($H$2,0)&amp;" - "&amp;TEXT($AL$2,0)&amp;"       ",""))</f>
        <v/>
      </c>
      <c r="E29" s="1245" t="str">
        <f ca="1">IF(AS29="N/A","",IF(AS29="N","No","Yes"))</f>
        <v/>
      </c>
      <c r="F29" s="758"/>
      <c r="G29" s="758"/>
      <c r="H29" s="1707"/>
      <c r="I29" s="758"/>
      <c r="J29" s="1653"/>
      <c r="K29" s="1248"/>
      <c r="L29" s="1740"/>
      <c r="M29" s="1248"/>
      <c r="N29" s="1740"/>
      <c r="O29" s="1248"/>
      <c r="P29" s="1741"/>
      <c r="Q29" s="1248"/>
      <c r="R29" s="1742"/>
      <c r="S29" s="1248"/>
      <c r="T29" s="1742"/>
      <c r="U29" s="1248"/>
      <c r="V29" s="1653"/>
      <c r="W29" s="1618"/>
      <c r="X29" s="1653"/>
      <c r="Y29" s="1618"/>
      <c r="Z29" s="1743"/>
      <c r="AA29" s="1248"/>
      <c r="AB29" s="1943"/>
      <c r="AC29" s="1620"/>
      <c r="AD29" s="1740"/>
      <c r="AE29" s="1618"/>
      <c r="AF29" s="1621"/>
      <c r="AG29" s="1618" t="str">
        <f ca="1">IF($E29&lt;&gt;"","% of Cap Resp.","")</f>
        <v/>
      </c>
      <c r="AH29" s="1801" t="str">
        <f ca="1">IF(BW29="", "", IF(BW29&gt;100, 1, VLOOKUP(BW29, Valid!$W$1:$AA$101, VLOOKUP(X29, Codes!$L$20:$N$28, 3, FALSE), FALSE)))</f>
        <v/>
      </c>
      <c r="AI29" s="1620" t="str">
        <f ca="1">IF($E29&lt;&gt;"","Estimated?  ","")</f>
        <v/>
      </c>
      <c r="AJ29" s="1654"/>
      <c r="AK29" s="1620"/>
      <c r="AL29" s="1730"/>
      <c r="AM29" s="1620" t="b">
        <f ca="1">IF(E29&lt;&gt;"","Est Date?    ")</f>
        <v>0</v>
      </c>
      <c r="AN29" s="1740"/>
      <c r="AO29" s="1248" t="str">
        <f>IF(X29="Other (describe in Notes)","Describe Facility.                                                                                                                        ","")</f>
        <v/>
      </c>
      <c r="AP29" s="1624"/>
      <c r="AQ29" s="1624" t="b">
        <f>IF(AND(C29="",C31&lt;&gt;""),TRUE,FALSE)</f>
        <v>0</v>
      </c>
      <c r="AR29" s="1624" t="str">
        <f>IF(AND(J29&lt;&gt;"",L29&lt;&gt;"",N29&lt;&gt;"",P29&lt;&gt;"",R29="",T29=""),"Y",IF(AND(J29="",L29="",N29="",P29="",R29&lt;&gt;"",T29&lt;&gt;""),"Y",IF(AND(J29&lt;&gt;"",L29&lt;&gt;"",N29&lt;&gt;"",P29&lt;&gt;"",R29&lt;&gt;"",T29&lt;&gt;""),"Y",IF(AND(J29="",L29="",N29="",P29="",R29="",T29=""),"N/A","N"))))</f>
        <v>N/A</v>
      </c>
      <c r="AS29" s="1624" t="str">
        <f ca="1">IF(AND($C29&lt;&gt;"",OR(AR29="N",$V29="",$X29="",$Z29="",$AB29="",$AF29="",$AH29="",$AL29="",AD29="")),"N",IF(AND($C29="",OR(H29&lt;&gt;"",AR29="N",$V29&lt;&gt;"",$X29&lt;&gt;"",$Z29&lt;&gt;"",$AB29&lt;&gt;"",$AF29&lt;&gt;"",$AH29&lt;&gt;"",$AL29&lt;&gt;"",AD29&lt;&gt;"")),"N",IF(AND(H29="",$C29="",AR29="N/A",$V29="",$X29="",$Z29="",$AB29="",$AF29="",$AH29="",$AL29="",AD29=""),"N/A",IF(AND($C29&lt;&gt;"",AR29="Y",$V29&lt;&gt;"",$X29&lt;&gt;"",$Z29&lt;&gt;"",$AB29&lt;&gt;"",$AF29&lt;&gt;"",$AH29&lt;&gt;"",$AL29&lt;&gt;"",AD29&lt;&gt;""),"Y","N"))))</f>
        <v>N/A</v>
      </c>
      <c r="AT29" s="1761" t="b">
        <f ca="1">IF(AND($C29="",OR($J29&lt;&gt;"",$L29&lt;&gt;"",$N29&lt;&gt;"",$P29&lt;&gt;"",$V29&lt;&gt;"",$X29&lt;&gt;"",$Z29&lt;&gt;"",$AB29&lt;&gt;"",$AF29&lt;&gt;"",$AH29&lt;&gt;"",$AL29&lt;&gt;"")),TRUE,FALSE)</f>
        <v>0</v>
      </c>
      <c r="AU29" s="1761" t="b">
        <f>IF(OR(R29&lt;&gt;"",T29&lt;&gt;""),"false",IF(AND($C29&lt;&gt;"",$J29=""),TRUE,FALSE))</f>
        <v>0</v>
      </c>
      <c r="AV29" s="1761" t="b">
        <f>IF(OR(R29&lt;&gt;"",T29&lt;&gt;""),FALSE,IF(AND($C29&lt;&gt;"",$L29=""),TRUE,FALSE))</f>
        <v>0</v>
      </c>
      <c r="AW29" s="1761" t="b">
        <f>IF(OR(R29&lt;&gt;"",T29&lt;&gt;""),FALSE,IF(AND($C29&lt;&gt;"",$N29=""),TRUE,FALSE))</f>
        <v>0</v>
      </c>
      <c r="AX29" s="1761" t="b">
        <f>IF(OR(R29&lt;&gt;"",T29&lt;&gt;""),FALSE,IF(AND($C29&lt;&gt;"",$P29=""),TRUE,FALSE))</f>
        <v>0</v>
      </c>
      <c r="AY29" s="1761"/>
      <c r="AZ29" s="1761" t="b">
        <f>IF(OR(J29&lt;&gt;"",L29&lt;&gt;"",N29&lt;&gt;"",P29&lt;&gt;""),FALSE,IF(AND(C29&lt;&gt;"",R29=""),TRUE,FALSE))</f>
        <v>0</v>
      </c>
      <c r="BA29" s="1761"/>
      <c r="BB29" s="1761" t="b">
        <f>IF(OR(J29&lt;&gt;"",L29&lt;&gt;"",N29&lt;&gt;"",P29&lt;&gt;""),FALSE,IF(AND(C29&lt;&gt;"",T29=""),TRUE,FALSE))</f>
        <v>0</v>
      </c>
      <c r="BC29" s="1761" t="b">
        <f>IF(AND($C29&lt;&gt;"",$V29=""),TRUE,FALSE)</f>
        <v>0</v>
      </c>
      <c r="BD29" s="1761" t="b">
        <f ca="1">IF(AND(X29="",OR(Z29&lt;&gt;"",AB29&lt;&gt;"",AF29&lt;&gt;"",AH29&lt;&gt;"",AL29&lt;&gt;"",AD29&lt;&gt;"")),TRUE,FALSE)</f>
        <v>0</v>
      </c>
      <c r="BE29" s="1761" t="b">
        <f>IF(AND($C29&lt;&gt;"",$X29=""),TRUE,FALSE)</f>
        <v>0</v>
      </c>
      <c r="BF29" s="1761" t="b">
        <f>IF(Z29="",FALSE,IF(X29="",FALSE,IF(BG29=TRUE,FALSE,IF(OR(Z29&lt;BU29,Z29&gt;BaseYear),TRUE,FALSE))))</f>
        <v>0</v>
      </c>
      <c r="BG29" s="1761" t="b">
        <f>IF(AND($C29&lt;&gt;"",$Z29=""),TRUE,FALSE)</f>
        <v>0</v>
      </c>
      <c r="BH29" s="1761" t="b">
        <f>IF(AD29="",FALSE,IF(X29="",FALSE,IF(BJ29=TRUE,FALSE,IF(AB29&lt;BX29,TRUE,FALSE))))</f>
        <v>0</v>
      </c>
      <c r="BI29" s="1761" t="b">
        <f>IF(AD29="",FALSE,IF(X29="",FALSE,IF(BJ29=TRUE,FALSE,IF(AB29&gt;BY29,TRUE,FALSE))))</f>
        <v>0</v>
      </c>
      <c r="BJ29" s="1761" t="b">
        <f>IF(AND($C29&lt;&gt;"",$AB29=""),TRUE,FALSE)</f>
        <v>0</v>
      </c>
      <c r="BK29" s="1761" t="b">
        <f>IF(BL29=TRUE,FALSE,IF(OR(AF29&lt;0,AF29&gt;1),TRUE,FALSE))</f>
        <v>0</v>
      </c>
      <c r="BL29" s="1761" t="b">
        <f>IF(AND($C29&lt;&gt;"",$AF29=""),TRUE,FALSE)</f>
        <v>0</v>
      </c>
      <c r="BM29" s="1761"/>
      <c r="BN29" s="1761" t="b">
        <f ca="1">IF(AND($C29&lt;&gt;"",$AH29=""),TRUE,FALSE)</f>
        <v>0</v>
      </c>
      <c r="BO29" s="1761" t="b">
        <f>IF(AL29="",FALSE,IF(X29="",FALSE,IF(BP29=TRUE,FALSE,IF(OR(AL29&lt;1913,AL29&gt;BaseYear),TRUE,FALSE))))</f>
        <v>0</v>
      </c>
      <c r="BP29" s="1761" t="b">
        <f>IF(AND($C29&lt;&gt;"",$AL29=""),TRUE,FALSE)</f>
        <v>0</v>
      </c>
      <c r="BQ29" s="1761" t="b">
        <f>IF(AD29="Square Foot",FALSE,IF(AND(AD29="Parking Space",OR('A-20 PassFacInv'!X29=Valid!$B$7,'A-20 PassFacInv'!X29=Valid!$B$8,'A-20 PassFacInv'!X29=Valid!$B$9,'A-20 PassFacInv'!X29=Valid!$B$10,'A-20 PassFacInv'!X29=Valid!$B$12,'A-20 PassFacInv'!X29=Valid!$B$13,'A-20 PassFacInv'!X29=Valid!$B$14,'A-20 PassFacInv'!X29=Valid!$B$15,'A-20 PassFacInv'!X29=Valid!$B$16,'A-20 PassFacInv'!X29=Valid!$B$17,'A-20 PassFacInv'!X29=Valid!$B$18,X29=Valid!$B$19,X29=Valid!$B$20,X29=Valid!$B$21)),TRUE,FALSE))</f>
        <v>0</v>
      </c>
      <c r="BR29" s="1761" t="b">
        <f>IF(AND($C29&lt;&gt;"",$AD29=""),TRUE,FALSE)</f>
        <v>0</v>
      </c>
      <c r="BS29" s="721"/>
      <c r="BT29" s="1625" t="str">
        <f>IF($X29="","",VLOOKUP($X29,val_facilities,BT$3,FALSE))</f>
        <v/>
      </c>
      <c r="BU29" s="1627" t="str">
        <f>IF($X29="","",VLOOKUP($X29,val_facilities,BU$3,FALSE))</f>
        <v/>
      </c>
      <c r="BV29" s="1627" t="str">
        <f>IF($X29="","",VLOOKUP($X29,val_facilities,BV$3,FALSE))</f>
        <v/>
      </c>
      <c r="BW29" s="1627" t="str">
        <f ca="1">IFERROR(IF(Z29="", "", YEAR(TODAY())-Z29), "")</f>
        <v/>
      </c>
      <c r="BX29" s="845" t="str">
        <f>IF($X29="","",IF(AD29="Square Feet",VLOOKUP('A-20 PassFacInv'!X21,Valid!$B$7:$H$24,7,FALSE),IF(AD29="Parking Spaces",VLOOKUP(X29,Valid!$B$22:$L$24,11,FALSE))))</f>
        <v/>
      </c>
      <c r="BY29" s="845" t="str">
        <f>IF($X29="","",IF(AD29="Square Feet",VLOOKUP(X29,Valid!$B$7:$I$24,8,FALSE),IF('A-20 PassFacInv'!AD21="Parking Spaces",VLOOKUP('A-20 PassFacInv'!X21,Valid!$B$22:$M$24,12,FALSE))))</f>
        <v/>
      </c>
      <c r="BZ29" s="1229"/>
      <c r="CA29" s="721">
        <f t="shared" si="1"/>
        <v>0</v>
      </c>
      <c r="CB29" s="816"/>
    </row>
    <row r="30" spans="1:80" s="1739" customFormat="1" ht="6.75" customHeight="1" thickBot="1" x14ac:dyDescent="0.25">
      <c r="A30" s="1638"/>
      <c r="B30" s="1746">
        <v>9.5</v>
      </c>
      <c r="C30" s="1057"/>
      <c r="D30" s="1248"/>
      <c r="E30" s="1057"/>
      <c r="F30" s="1229"/>
      <c r="G30" s="1229"/>
      <c r="H30" s="1229"/>
      <c r="I30" s="1229"/>
      <c r="J30" s="1604"/>
      <c r="K30" s="1640"/>
      <c r="L30" s="1641"/>
      <c r="M30" s="1248"/>
      <c r="N30" s="1641"/>
      <c r="O30" s="1248"/>
      <c r="P30" s="1659"/>
      <c r="Q30" s="1248"/>
      <c r="R30" s="1660"/>
      <c r="S30" s="1640"/>
      <c r="T30" s="1660"/>
      <c r="U30" s="1640"/>
      <c r="V30" s="1057"/>
      <c r="W30" s="1618"/>
      <c r="X30" s="1747"/>
      <c r="Y30" s="1618"/>
      <c r="Z30" s="1623"/>
      <c r="AA30" s="1618"/>
      <c r="AB30" s="1944"/>
      <c r="AC30" s="1275"/>
      <c r="AD30" s="1661"/>
      <c r="AE30" s="734"/>
      <c r="AF30" s="1736"/>
      <c r="AG30" s="1275"/>
      <c r="AH30" s="722"/>
      <c r="AI30" s="1275"/>
      <c r="AJ30" s="733"/>
      <c r="AK30" s="1275"/>
      <c r="AL30" s="1721"/>
      <c r="AM30" s="1275"/>
      <c r="AN30" s="1057"/>
      <c r="AO30" s="1644"/>
      <c r="AP30" s="1644"/>
      <c r="AQ30" s="1644"/>
      <c r="AR30" s="1644"/>
      <c r="AS30" s="1644"/>
      <c r="AT30" s="1761"/>
      <c r="AU30" s="1761"/>
      <c r="AV30" s="1761"/>
      <c r="AW30" s="1761"/>
      <c r="AX30" s="1761"/>
      <c r="AY30" s="1761"/>
      <c r="AZ30" s="1761"/>
      <c r="BA30" s="1761"/>
      <c r="BB30" s="1761"/>
      <c r="BC30" s="1762"/>
      <c r="BD30" s="1762"/>
      <c r="BE30" s="1762"/>
      <c r="BF30" s="1762"/>
      <c r="BG30" s="1762"/>
      <c r="BH30" s="1762"/>
      <c r="BI30" s="1762"/>
      <c r="BJ30" s="1762"/>
      <c r="BK30" s="1762"/>
      <c r="BL30" s="1762"/>
      <c r="BM30" s="1762"/>
      <c r="BN30" s="1762"/>
      <c r="BO30" s="1762"/>
      <c r="BP30" s="1762"/>
      <c r="BQ30" s="1762"/>
      <c r="BR30" s="1762"/>
      <c r="BS30" s="1736"/>
      <c r="BT30" s="1738"/>
      <c r="BU30" s="1738"/>
      <c r="BV30" s="1738"/>
      <c r="BW30" s="1738"/>
      <c r="BX30" s="1738"/>
      <c r="BY30" s="1738"/>
      <c r="BZ30" s="1229"/>
      <c r="CA30" s="721">
        <f t="shared" si="1"/>
        <v>0</v>
      </c>
      <c r="CB30" s="1748"/>
    </row>
    <row r="31" spans="1:80" s="1739" customFormat="1" x14ac:dyDescent="0.2">
      <c r="A31" s="840">
        <v>10</v>
      </c>
      <c r="B31" s="1746">
        <v>10</v>
      </c>
      <c r="C31" s="1740"/>
      <c r="D31" s="1248" t="str">
        <f>IF(C29="","",IF((C31=""),"Enter Facility "&amp;TEXT(A31,0)&amp;" Name, then Fill in Columns "&amp;TEXT($H$2,0)&amp;" - "&amp;TEXT($AL$2,0)&amp;"       ",""))</f>
        <v/>
      </c>
      <c r="E31" s="1245" t="str">
        <f ca="1">IF(AS31="N/A","",IF(AS31="N","No","Yes"))</f>
        <v/>
      </c>
      <c r="F31" s="758"/>
      <c r="G31" s="758"/>
      <c r="H31" s="1707"/>
      <c r="I31" s="758"/>
      <c r="J31" s="1653"/>
      <c r="K31" s="1248" t="str">
        <f ca="1">IF($E31&lt;&gt;"","Enter Street Address      ","")</f>
        <v/>
      </c>
      <c r="L31" s="1740"/>
      <c r="M31" s="1248" t="str">
        <f ca="1">IF($E31&lt;&gt;"","Enter City Name       ","")</f>
        <v/>
      </c>
      <c r="N31" s="1740"/>
      <c r="O31" s="1248" t="str">
        <f ca="1">IF($E31&lt;&gt;"","Select from Pull-Down List   ","")</f>
        <v/>
      </c>
      <c r="P31" s="1741"/>
      <c r="Q31" s="1248" t="str">
        <f ca="1">IF($E31&lt;&gt;"","Enter ZIP Code       ","")</f>
        <v/>
      </c>
      <c r="R31" s="1742"/>
      <c r="S31" s="1248" t="str">
        <f ca="1">IF(OR(N31&lt;&gt;"",P31&lt;&gt;"",J31&lt;&gt;"",L31&lt;&gt;""),"",IF($E31&lt;&gt;"","Enter Lat.      ",""))</f>
        <v/>
      </c>
      <c r="T31" s="1742"/>
      <c r="U31" s="1248" t="str">
        <f ca="1">IF(OR(N31&lt;&gt;"",P31&lt;&gt;"",J31&lt;&gt;"",L31&lt;&gt;""),"",IF($E31&lt;&gt;"","Enter Long.    ",""))</f>
        <v/>
      </c>
      <c r="V31" s="1653"/>
      <c r="W31" s="1618" t="str">
        <f ca="1">IF($E31&lt;&gt;"","Select from Pull-Down List  ","")</f>
        <v/>
      </c>
      <c r="X31" s="1653"/>
      <c r="Y31" s="1618" t="str">
        <f ca="1">IF($E31&lt;&gt;"","Select from Pull-Down List  ","")</f>
        <v/>
      </c>
      <c r="Z31" s="1743"/>
      <c r="AA31" s="1248" t="str">
        <f ca="1">IF(E31&lt;&gt;"","Year?   ","")</f>
        <v/>
      </c>
      <c r="AB31" s="1943"/>
      <c r="AC31" s="1620" t="str">
        <f ca="1">IF(E31="","",IF(X31="","Sq. Ft. or Spaces?   ",IF(OR(X31=Codes!$L$26,X31=Codes!$L$27,X31=Codes!$L$28),"Sq. Ft. or Spaces?   ",IF(OR(X31=Codes!$L$20,X31=Codes!$L$21,X31=Codes!$L$22,X31=Codes!$L$23,X31=Codes!$L$24,X31=Codes!$L$25),"Sq. Ft?     ",""))))</f>
        <v/>
      </c>
      <c r="AD31" s="1740"/>
      <c r="AE31" s="1618" t="str">
        <f ca="1">IF($E31&lt;&gt;"","Select from List     ","")</f>
        <v/>
      </c>
      <c r="AF31" s="1621"/>
      <c r="AG31" s="1618" t="str">
        <f ca="1">IF($E31&lt;&gt;"","% of Cap Resp.","")</f>
        <v/>
      </c>
      <c r="AH31" s="1801" t="str">
        <f ca="1">IF(BW31="", "", IF(BW31&gt;100, 1, VLOOKUP(BW31, Valid!$W$1:$AA$101, VLOOKUP(X31, Codes!$L$20:$N$28, 3, FALSE), FALSE)))</f>
        <v/>
      </c>
      <c r="AI31" s="1620" t="str">
        <f ca="1">IF($E31&lt;&gt;"","Estimated?  ","")</f>
        <v/>
      </c>
      <c r="AJ31" s="1654"/>
      <c r="AK31" s="1620"/>
      <c r="AL31" s="1730"/>
      <c r="AM31" s="1620" t="b">
        <f ca="1">IF(E31&lt;&gt;"","Est Date?    ")</f>
        <v>0</v>
      </c>
      <c r="AN31" s="1740"/>
      <c r="AO31" s="1248" t="str">
        <f>IF(X31="Other (describe in Notes)","Describe Facility.                                                                                                                        ","")</f>
        <v/>
      </c>
      <c r="AP31" s="1624"/>
      <c r="AQ31" s="1624" t="b">
        <f>IF(AND(C31="",C33&lt;&gt;""),TRUE,FALSE)</f>
        <v>0</v>
      </c>
      <c r="AR31" s="1624" t="str">
        <f>IF(AND(J31&lt;&gt;"",L31&lt;&gt;"",N31&lt;&gt;"",P31&lt;&gt;"",R31="",T31=""),"Y",IF(AND(J31="",L31="",N31="",P31="",R31&lt;&gt;"",T31&lt;&gt;""),"Y",IF(AND(J31&lt;&gt;"",L31&lt;&gt;"",N31&lt;&gt;"",P31&lt;&gt;"",R31&lt;&gt;"",T31&lt;&gt;""),"Y",IF(AND(J31="",L31="",N31="",P31="",R31="",T31=""),"N/A","N"))))</f>
        <v>N/A</v>
      </c>
      <c r="AS31" s="1624" t="str">
        <f ca="1">IF(AND($C31&lt;&gt;"",OR(AR31="N",$V31="",$X31="",$Z31="",$AB31="",$AF31="",$AH31="",$AL31="",AD31="")),"N",IF(AND($C31="",OR(H31&lt;&gt;"",AR31="N",$V31&lt;&gt;"",$X31&lt;&gt;"",$Z31&lt;&gt;"",$AB31&lt;&gt;"",$AF31&lt;&gt;"",$AH31&lt;&gt;"",$AL31&lt;&gt;"",AD31&lt;&gt;"")),"N",IF(AND(H31="",$C31="",AR31="N/A",$V31="",$X31="",$Z31="",$AB31="",$AF31="",$AH31="",$AL31="",AD31=""),"N/A",IF(AND($C31&lt;&gt;"",AR31="Y",$V31&lt;&gt;"",$X31&lt;&gt;"",$Z31&lt;&gt;"",$AB31&lt;&gt;"",$AF31&lt;&gt;"",$AH31&lt;&gt;"",$AL31&lt;&gt;"",AD31&lt;&gt;""),"Y","N"))))</f>
        <v>N/A</v>
      </c>
      <c r="AT31" s="1761" t="b">
        <f ca="1">IF(AND($C31="",OR($J31&lt;&gt;"",$L31&lt;&gt;"",$N31&lt;&gt;"",$P31&lt;&gt;"",$V31&lt;&gt;"",$X31&lt;&gt;"",$Z31&lt;&gt;"",$AB31&lt;&gt;"",$AF31&lt;&gt;"",$AH31&lt;&gt;"",$AL31&lt;&gt;"")),TRUE,FALSE)</f>
        <v>0</v>
      </c>
      <c r="AU31" s="1761" t="b">
        <f>IF(OR(R31&lt;&gt;"",T31&lt;&gt;""),"false",IF(AND($C31&lt;&gt;"",$J31=""),TRUE,FALSE))</f>
        <v>0</v>
      </c>
      <c r="AV31" s="1761" t="b">
        <f>IF(OR(R31&lt;&gt;"",T31&lt;&gt;""),FALSE,IF(AND($C31&lt;&gt;"",$L31=""),TRUE,FALSE))</f>
        <v>0</v>
      </c>
      <c r="AW31" s="1761" t="b">
        <f>IF(OR(R31&lt;&gt;"",T31&lt;&gt;""),FALSE,IF(AND($C31&lt;&gt;"",$N31=""),TRUE,FALSE))</f>
        <v>0</v>
      </c>
      <c r="AX31" s="1761" t="b">
        <f>IF(OR(R31&lt;&gt;"",T31&lt;&gt;""),FALSE,IF(AND($C31&lt;&gt;"",$P31=""),TRUE,FALSE))</f>
        <v>0</v>
      </c>
      <c r="AY31" s="1761"/>
      <c r="AZ31" s="1761" t="b">
        <f>IF(OR(J31&lt;&gt;"",L31&lt;&gt;"",N31&lt;&gt;"",P31&lt;&gt;""),FALSE,IF(AND(C31&lt;&gt;"",R31=""),TRUE,FALSE))</f>
        <v>0</v>
      </c>
      <c r="BA31" s="1761"/>
      <c r="BB31" s="1761" t="b">
        <f>IF(OR(J31&lt;&gt;"",L31&lt;&gt;"",N31&lt;&gt;"",P31&lt;&gt;""),FALSE,IF(AND(C31&lt;&gt;"",T31=""),TRUE,FALSE))</f>
        <v>0</v>
      </c>
      <c r="BC31" s="1761" t="b">
        <f>IF(AND($C31&lt;&gt;"",$V31=""),TRUE,FALSE)</f>
        <v>0</v>
      </c>
      <c r="BD31" s="1761" t="b">
        <f ca="1">IF(AND(X31="",OR(Z31&lt;&gt;"",AB31&lt;&gt;"",AF31&lt;&gt;"",AH31&lt;&gt;"",AL31&lt;&gt;"",AD31&lt;&gt;"")),TRUE,FALSE)</f>
        <v>0</v>
      </c>
      <c r="BE31" s="1761" t="b">
        <f>IF(AND($C31&lt;&gt;"",$X31=""),TRUE,FALSE)</f>
        <v>0</v>
      </c>
      <c r="BF31" s="1761" t="b">
        <f>IF(Z31="",FALSE,IF(X31="",FALSE,IF(BG31=TRUE,FALSE,IF(OR(Z31&lt;BU31,Z31&gt;BaseYear),TRUE,FALSE))))</f>
        <v>0</v>
      </c>
      <c r="BG31" s="1761" t="b">
        <f>IF(AND($C31&lt;&gt;"",$Z31=""),TRUE,FALSE)</f>
        <v>0</v>
      </c>
      <c r="BH31" s="1761" t="b">
        <f>IF(AD31="",FALSE,IF(X31="",FALSE,IF(BJ31=TRUE,FALSE,IF(AB31&lt;BX31,TRUE,FALSE))))</f>
        <v>0</v>
      </c>
      <c r="BI31" s="1761" t="b">
        <f>IF(AD31="",FALSE,IF(X31="",FALSE,IF(BJ31=TRUE,FALSE,IF(AB31&gt;BY31,TRUE,FALSE))))</f>
        <v>0</v>
      </c>
      <c r="BJ31" s="1761" t="b">
        <f>IF(AND($C31&lt;&gt;"",$AB31=""),TRUE,FALSE)</f>
        <v>0</v>
      </c>
      <c r="BK31" s="1761" t="b">
        <f>IF(BL31=TRUE,FALSE,IF(OR(AF31&lt;0,AF31&gt;1),TRUE,FALSE))</f>
        <v>0</v>
      </c>
      <c r="BL31" s="1761" t="b">
        <f>IF(AND($C31&lt;&gt;"",$AF31=""),TRUE,FALSE)</f>
        <v>0</v>
      </c>
      <c r="BM31" s="1761"/>
      <c r="BN31" s="1761" t="b">
        <f ca="1">IF(AND($C31&lt;&gt;"",$AH31=""),TRUE,FALSE)</f>
        <v>0</v>
      </c>
      <c r="BO31" s="1761" t="b">
        <f>IF(AL31="",FALSE,IF(X31="",FALSE,IF(BP31=TRUE,FALSE,IF(OR(AL31&lt;1913,AL31&gt;BaseYear),TRUE,FALSE))))</f>
        <v>0</v>
      </c>
      <c r="BP31" s="1761" t="b">
        <f>IF(AND($C31&lt;&gt;"",$AL31=""),TRUE,FALSE)</f>
        <v>0</v>
      </c>
      <c r="BQ31" s="1761" t="b">
        <f>IF(AD31="Square Foot",FALSE,IF(AND(AD31="Parking Space",OR('A-20 PassFacInv'!X31=Valid!$B$7,'A-20 PassFacInv'!X31=Valid!$B$8,'A-20 PassFacInv'!X31=Valid!$B$9,'A-20 PassFacInv'!X31=Valid!$B$10,'A-20 PassFacInv'!X31=Valid!$B$12,'A-20 PassFacInv'!X31=Valid!$B$13,'A-20 PassFacInv'!X31=Valid!$B$14,'A-20 PassFacInv'!X31=Valid!$B$15,'A-20 PassFacInv'!X31=Valid!$B$16,'A-20 PassFacInv'!X31=Valid!$B$17,'A-20 PassFacInv'!X31=Valid!$B$18,X31=Valid!$B$19,X31=Valid!$B$20,X31=Valid!$B$21)),TRUE,FALSE))</f>
        <v>0</v>
      </c>
      <c r="BR31" s="1761" t="b">
        <f>IF(AND($C31&lt;&gt;"",$AD31=""),TRUE,FALSE)</f>
        <v>0</v>
      </c>
      <c r="BS31" s="721"/>
      <c r="BT31" s="1625" t="str">
        <f>IF($X31="","",VLOOKUP($X31,val_facilities,BT$3,FALSE))</f>
        <v/>
      </c>
      <c r="BU31" s="1627" t="str">
        <f>IF($X31="","",VLOOKUP($X31,val_facilities,BU$3,FALSE))</f>
        <v/>
      </c>
      <c r="BV31" s="1627" t="str">
        <f>IF($X31="","",VLOOKUP($X31,val_facilities,BV$3,FALSE))</f>
        <v/>
      </c>
      <c r="BW31" s="1627" t="str">
        <f ca="1">IFERROR(IF(Z31="", "", YEAR(TODAY())-Z31), "")</f>
        <v/>
      </c>
      <c r="BX31" s="845" t="str">
        <f>IF($X31="","",IF(AD31="Square Feet",VLOOKUP('A-20 PassFacInv'!X22,Valid!$B$7:$H$24,7,FALSE),IF(AD31="Parking Spaces",VLOOKUP(X31,Valid!$B$22:$L$24,11,FALSE))))</f>
        <v/>
      </c>
      <c r="BY31" s="845" t="str">
        <f>IF($X31="","",IF(AD31="Square Feet",VLOOKUP(X31,Valid!$B$7:$I$24,8,FALSE),IF('A-20 PassFacInv'!AD22="Parking Spaces",VLOOKUP('A-20 PassFacInv'!X22,Valid!$B$22:$M$24,12,FALSE))))</f>
        <v/>
      </c>
      <c r="BZ31" s="1229"/>
      <c r="CA31" s="721">
        <f t="shared" si="1"/>
        <v>0</v>
      </c>
      <c r="CB31" s="816"/>
    </row>
    <row r="32" spans="1:80" s="1739" customFormat="1" ht="6.75" customHeight="1" thickBot="1" x14ac:dyDescent="0.25">
      <c r="A32" s="1638"/>
      <c r="B32" s="1746">
        <v>10.5</v>
      </c>
      <c r="C32" s="1057"/>
      <c r="D32" s="1248"/>
      <c r="E32" s="1639"/>
      <c r="F32" s="1229"/>
      <c r="G32" s="1229"/>
      <c r="H32" s="1229"/>
      <c r="I32" s="1229"/>
      <c r="J32" s="1604"/>
      <c r="K32" s="1640"/>
      <c r="L32" s="1645"/>
      <c r="M32" s="1646"/>
      <c r="N32" s="1645"/>
      <c r="O32" s="1646"/>
      <c r="P32" s="1662"/>
      <c r="Q32" s="1646"/>
      <c r="R32" s="1660"/>
      <c r="S32" s="1640"/>
      <c r="T32" s="1660"/>
      <c r="U32" s="1640"/>
      <c r="V32" s="1057"/>
      <c r="W32" s="1618"/>
      <c r="X32" s="1747"/>
      <c r="Y32" s="1618"/>
      <c r="Z32" s="1623"/>
      <c r="AA32" s="1618"/>
      <c r="AB32" s="1944"/>
      <c r="AC32" s="1648"/>
      <c r="AD32" s="1661"/>
      <c r="AE32" s="841"/>
      <c r="AF32" s="841"/>
      <c r="AG32" s="1648"/>
      <c r="AH32" s="722"/>
      <c r="AI32" s="1648"/>
      <c r="AJ32" s="722"/>
      <c r="AK32" s="1648"/>
      <c r="AL32" s="1717"/>
      <c r="AM32" s="1648"/>
      <c r="AN32" s="1057"/>
      <c r="AO32" s="1644"/>
      <c r="AP32" s="1644"/>
      <c r="AQ32" s="1644"/>
      <c r="AR32" s="1644"/>
      <c r="AS32" s="1644"/>
      <c r="AT32" s="1761"/>
      <c r="AU32" s="1761"/>
      <c r="AV32" s="1761"/>
      <c r="AW32" s="1761"/>
      <c r="AX32" s="1761"/>
      <c r="AY32" s="1761"/>
      <c r="AZ32" s="1761"/>
      <c r="BA32" s="1761"/>
      <c r="BB32" s="1761"/>
      <c r="BC32" s="1762"/>
      <c r="BD32" s="1762"/>
      <c r="BE32" s="1762"/>
      <c r="BF32" s="1762"/>
      <c r="BG32" s="1762"/>
      <c r="BH32" s="1762"/>
      <c r="BI32" s="1762"/>
      <c r="BJ32" s="1762"/>
      <c r="BK32" s="1762"/>
      <c r="BL32" s="1762"/>
      <c r="BM32" s="1762"/>
      <c r="BN32" s="1762"/>
      <c r="BO32" s="1762"/>
      <c r="BP32" s="1762"/>
      <c r="BQ32" s="1762"/>
      <c r="BR32" s="1762"/>
      <c r="BS32" s="1736"/>
      <c r="BT32" s="1738"/>
      <c r="BU32" s="1738"/>
      <c r="BV32" s="1738"/>
      <c r="BW32" s="1738"/>
      <c r="BX32" s="1738"/>
      <c r="BY32" s="1738"/>
      <c r="BZ32" s="1229"/>
      <c r="CA32" s="721">
        <f t="shared" si="1"/>
        <v>0</v>
      </c>
      <c r="CB32" s="816"/>
    </row>
    <row r="33" spans="1:80" s="1739" customFormat="1" x14ac:dyDescent="0.2">
      <c r="A33" s="840">
        <v>11</v>
      </c>
      <c r="B33" s="1746">
        <v>11</v>
      </c>
      <c r="C33" s="1740"/>
      <c r="D33" s="1248" t="str">
        <f>IF(C31="","",IF((C33=""),"Enter Facility "&amp;TEXT(A33,0)&amp;" Name, then Fill in Columns "&amp;TEXT($H$2,0)&amp;" - "&amp;TEXT($AL$2,0)&amp;"       ",""))</f>
        <v/>
      </c>
      <c r="E33" s="1245" t="str">
        <f ca="1">IF(AS33="N/A","",IF(AS33="N","No","Yes"))</f>
        <v/>
      </c>
      <c r="F33" s="758"/>
      <c r="G33" s="758"/>
      <c r="H33" s="1707"/>
      <c r="I33" s="758"/>
      <c r="J33" s="1653"/>
      <c r="K33" s="1248" t="str">
        <f ca="1">IF($E33&lt;&gt;"","Enter Street Address      ","")</f>
        <v/>
      </c>
      <c r="L33" s="1740"/>
      <c r="M33" s="1248" t="str">
        <f ca="1">IF($E33&lt;&gt;"","Enter City Name       ","")</f>
        <v/>
      </c>
      <c r="N33" s="1740"/>
      <c r="O33" s="1248" t="str">
        <f ca="1">IF($E33&lt;&gt;"","Select from Pull-Down List   ","")</f>
        <v/>
      </c>
      <c r="P33" s="1741"/>
      <c r="Q33" s="1248" t="str">
        <f ca="1">IF($E33&lt;&gt;"","Enter ZIP Code       ","")</f>
        <v/>
      </c>
      <c r="R33" s="1742"/>
      <c r="S33" s="1248" t="str">
        <f ca="1">IF(OR(N33&lt;&gt;"",P33&lt;&gt;"",J33&lt;&gt;"",L33&lt;&gt;""),"",IF($E33&lt;&gt;"","Enter Lat.      ",""))</f>
        <v/>
      </c>
      <c r="T33" s="1742"/>
      <c r="U33" s="1248" t="str">
        <f ca="1">IF(OR(N33&lt;&gt;"",P33&lt;&gt;"",J33&lt;&gt;"",L33&lt;&gt;""),"",IF($E33&lt;&gt;"","Enter Long.    ",""))</f>
        <v/>
      </c>
      <c r="V33" s="1653"/>
      <c r="W33" s="1618" t="str">
        <f ca="1">IF($E33&lt;&gt;"","Select from Pull-Down List  ","")</f>
        <v/>
      </c>
      <c r="X33" s="1653"/>
      <c r="Y33" s="1618" t="str">
        <f ca="1">IF($E33&lt;&gt;"","Select from Pull-Down List  ","")</f>
        <v/>
      </c>
      <c r="Z33" s="1743"/>
      <c r="AA33" s="1248" t="str">
        <f ca="1">IF(E33&lt;&gt;"","Year?   ","")</f>
        <v/>
      </c>
      <c r="AB33" s="1943"/>
      <c r="AC33" s="1620" t="str">
        <f ca="1">IF(E33="","",IF(X33="","Sq. Ft. or Spaces?   ",IF(OR(X33=Codes!$L$26,X33=Codes!$L$27,X33=Codes!$L$28),"Sq. Ft. or Spaces?   ",IF(OR(X33=Codes!$L$20,X33=Codes!$L$21,X33=Codes!$L$22,X33=Codes!$L$23,X33=Codes!$L$24,X33=Codes!$L$25),"Sq. Ft?     ",""))))</f>
        <v/>
      </c>
      <c r="AD33" s="1740"/>
      <c r="AE33" s="1618" t="str">
        <f ca="1">IF($E33&lt;&gt;"","Select from List     ","")</f>
        <v/>
      </c>
      <c r="AF33" s="1621"/>
      <c r="AG33" s="1618" t="str">
        <f ca="1">IF($E33&lt;&gt;"","% of Cap Resp.","")</f>
        <v/>
      </c>
      <c r="AH33" s="1801" t="str">
        <f ca="1">IF(BW33="", "", IF(BW33&gt;100, 1, VLOOKUP(BW33, Valid!$W$1:$AA$101, VLOOKUP(X33, Codes!$L$20:$N$28, 3, FALSE), FALSE)))</f>
        <v/>
      </c>
      <c r="AI33" s="1620" t="str">
        <f ca="1">IF($E33&lt;&gt;"","Estimated?  ","")</f>
        <v/>
      </c>
      <c r="AJ33" s="1654"/>
      <c r="AK33" s="1620" t="str">
        <f ca="1">IF($E33&lt;&gt;"","Estimated $?    ","")</f>
        <v/>
      </c>
      <c r="AL33" s="1730"/>
      <c r="AM33" s="1620" t="b">
        <f ca="1">IF(E33&lt;&gt;"","Est Date?    ")</f>
        <v>0</v>
      </c>
      <c r="AN33" s="1740"/>
      <c r="AO33" s="1248" t="str">
        <f>IF(X33="Other (describe in Notes)","Describe Facility.                                                                                                                        ","")</f>
        <v/>
      </c>
      <c r="AP33" s="1624"/>
      <c r="AQ33" s="1624" t="b">
        <f>IF(AND(C33="",C35&lt;&gt;""),TRUE,FALSE)</f>
        <v>0</v>
      </c>
      <c r="AR33" s="1624" t="str">
        <f>IF(AND(J33&lt;&gt;"",L33&lt;&gt;"",N33&lt;&gt;"",P33&lt;&gt;"",R33="",T33=""),"Y",IF(AND(J33="",L33="",N33="",P33="",R33&lt;&gt;"",T33&lt;&gt;""),"Y",IF(AND(J33&lt;&gt;"",L33&lt;&gt;"",N33&lt;&gt;"",P33&lt;&gt;"",R33&lt;&gt;"",T33&lt;&gt;""),"Y",IF(AND(J33="",L33="",N33="",P33="",R33="",T33=""),"N/A","N"))))</f>
        <v>N/A</v>
      </c>
      <c r="AS33" s="1624" t="str">
        <f ca="1">IF(AND($C33&lt;&gt;"",OR(AR33="N",$V33="",$X33="",$Z33="",$AB33="",$AF33="",$AH33="",$AL33="",AD33="")),"N",IF(AND($C33="",OR(H33&lt;&gt;"",AR33="N",$V33&lt;&gt;"",$X33&lt;&gt;"",$Z33&lt;&gt;"",$AB33&lt;&gt;"",$AF33&lt;&gt;"",$AH33&lt;&gt;"",$AL33&lt;&gt;"",AD33&lt;&gt;"")),"N",IF(AND(H33="",$C33="",AR33="N/A",$V33="",$X33="",$Z33="",$AB33="",$AF33="",$AH33="",$AL33="",AD33=""),"N/A",IF(AND($C33&lt;&gt;"",AR33="Y",$V33&lt;&gt;"",$X33&lt;&gt;"",$Z33&lt;&gt;"",$AB33&lt;&gt;"",$AF33&lt;&gt;"",$AH33&lt;&gt;"",$AL33&lt;&gt;"",AD33&lt;&gt;""),"Y","N"))))</f>
        <v>N/A</v>
      </c>
      <c r="AT33" s="1761" t="b">
        <f ca="1">IF(AND($C33="",OR($J33&lt;&gt;"",$L33&lt;&gt;"",$N33&lt;&gt;"",$P33&lt;&gt;"",$V33&lt;&gt;"",$X33&lt;&gt;"",$Z33&lt;&gt;"",$AB33&lt;&gt;"",$AF33&lt;&gt;"",$AH33&lt;&gt;"",$AL33&lt;&gt;"")),TRUE,FALSE)</f>
        <v>0</v>
      </c>
      <c r="AU33" s="1761" t="b">
        <f>IF(OR(R33&lt;&gt;"",T33&lt;&gt;""),"false",IF(AND($C33&lt;&gt;"",$J33=""),TRUE,FALSE))</f>
        <v>0</v>
      </c>
      <c r="AV33" s="1761" t="b">
        <f>IF(OR(R33&lt;&gt;"",T33&lt;&gt;""),FALSE,IF(AND($C33&lt;&gt;"",$L33=""),TRUE,FALSE))</f>
        <v>0</v>
      </c>
      <c r="AW33" s="1761" t="b">
        <f>IF(OR(R33&lt;&gt;"",T33&lt;&gt;""),FALSE,IF(AND($C33&lt;&gt;"",$N33=""),TRUE,FALSE))</f>
        <v>0</v>
      </c>
      <c r="AX33" s="1761" t="b">
        <f>IF(OR(R33&lt;&gt;"",T33&lt;&gt;""),FALSE,IF(AND($C33&lt;&gt;"",$P33=""),TRUE,FALSE))</f>
        <v>0</v>
      </c>
      <c r="AY33" s="1761"/>
      <c r="AZ33" s="1761" t="b">
        <f>IF(OR(J33&lt;&gt;"",L33&lt;&gt;"",N33&lt;&gt;"",P33&lt;&gt;""),FALSE,IF(AND(C33&lt;&gt;"",R33=""),TRUE,FALSE))</f>
        <v>0</v>
      </c>
      <c r="BA33" s="1761"/>
      <c r="BB33" s="1761" t="b">
        <f>IF(OR(J33&lt;&gt;"",L33&lt;&gt;"",N33&lt;&gt;"",P33&lt;&gt;""),FALSE,IF(AND(C33&lt;&gt;"",T33=""),TRUE,FALSE))</f>
        <v>0</v>
      </c>
      <c r="BC33" s="1761" t="b">
        <f>IF(AND($C33&lt;&gt;"",$V33=""),TRUE,FALSE)</f>
        <v>0</v>
      </c>
      <c r="BD33" s="1761" t="b">
        <f ca="1">IF(AND(X33="",OR(Z33&lt;&gt;"",AB33&lt;&gt;"",AF33&lt;&gt;"",AH33&lt;&gt;"",AL33&lt;&gt;"",AD33&lt;&gt;"")),TRUE,FALSE)</f>
        <v>0</v>
      </c>
      <c r="BE33" s="1761" t="b">
        <f>IF(AND($C33&lt;&gt;"",$X33=""),TRUE,FALSE)</f>
        <v>0</v>
      </c>
      <c r="BF33" s="1761" t="b">
        <f>IF(Z33="",FALSE,IF(X33="",FALSE,IF(BG33=TRUE,FALSE,IF(OR(Z33&lt;BU33,Z33&gt;BaseYear),TRUE,FALSE))))</f>
        <v>0</v>
      </c>
      <c r="BG33" s="1761" t="b">
        <f>IF(AND($C33&lt;&gt;"",$Z33=""),TRUE,FALSE)</f>
        <v>0</v>
      </c>
      <c r="BH33" s="1761" t="b">
        <f>IF(AD33="",FALSE,IF(X33="",FALSE,IF(BJ33=TRUE,FALSE,IF(AB33&lt;BX33,TRUE,FALSE))))</f>
        <v>0</v>
      </c>
      <c r="BI33" s="1761" t="b">
        <f>IF(AD33="",FALSE,IF(X33="",FALSE,IF(BJ33=TRUE,FALSE,IF(AB33&gt;BY33,TRUE,FALSE))))</f>
        <v>0</v>
      </c>
      <c r="BJ33" s="1761" t="b">
        <f>IF(AND($C33&lt;&gt;"",$AB33=""),TRUE,FALSE)</f>
        <v>0</v>
      </c>
      <c r="BK33" s="1761" t="b">
        <f>IF(BL33=TRUE,FALSE,IF(OR(AF33&lt;0,AF33&gt;1),TRUE,FALSE))</f>
        <v>0</v>
      </c>
      <c r="BL33" s="1761" t="b">
        <f>IF(AND($C33&lt;&gt;"",$AF33=""),TRUE,FALSE)</f>
        <v>0</v>
      </c>
      <c r="BM33" s="1761"/>
      <c r="BN33" s="1761" t="b">
        <f ca="1">IF(AND($C33&lt;&gt;"",$AH33=""),TRUE,FALSE)</f>
        <v>0</v>
      </c>
      <c r="BO33" s="1761" t="b">
        <f>IF(AL33="",FALSE,IF(X33="",FALSE,IF(BP33=TRUE,FALSE,IF(OR(AL33&lt;1913,AL33&gt;BaseYear),TRUE,FALSE))))</f>
        <v>0</v>
      </c>
      <c r="BP33" s="1761" t="b">
        <f>IF(AND($C33&lt;&gt;"",$AL33=""),TRUE,FALSE)</f>
        <v>0</v>
      </c>
      <c r="BQ33" s="1761" t="b">
        <f>IF(AD33="Square Foot",FALSE,IF(AND(AD33="Parking Space",OR('A-20 PassFacInv'!X33=Valid!$B$7,'A-20 PassFacInv'!X33=Valid!$B$8,'A-20 PassFacInv'!X33=Valid!$B$9,'A-20 PassFacInv'!X33=Valid!$B$10,'A-20 PassFacInv'!X33=Valid!$B$12,'A-20 PassFacInv'!X33=Valid!$B$13,'A-20 PassFacInv'!X33=Valid!$B$14,'A-20 PassFacInv'!X33=Valid!$B$15,'A-20 PassFacInv'!X33=Valid!$B$16,'A-20 PassFacInv'!X33=Valid!$B$17,'A-20 PassFacInv'!X33=Valid!$B$18,X33=Valid!$B$19,X33=Valid!$B$20,X33=Valid!$B$21)),TRUE,FALSE))</f>
        <v>0</v>
      </c>
      <c r="BR33" s="1761" t="b">
        <f>IF(AND($C33&lt;&gt;"",$AD33=""),TRUE,FALSE)</f>
        <v>0</v>
      </c>
      <c r="BS33" s="721"/>
      <c r="BT33" s="1625" t="str">
        <f>IF($X33="","",VLOOKUP($X33,val_facilities,BT$3,FALSE))</f>
        <v/>
      </c>
      <c r="BU33" s="1627" t="str">
        <f>IF($X33="","",VLOOKUP($X33,val_facilities,BU$3,FALSE))</f>
        <v/>
      </c>
      <c r="BV33" s="1627" t="str">
        <f>IF($X33="","",VLOOKUP($X33,val_facilities,BV$3,FALSE))</f>
        <v/>
      </c>
      <c r="BW33" s="1627" t="str">
        <f ca="1">IFERROR(IF(Z33="", "", YEAR(TODAY())-Z33), "")</f>
        <v/>
      </c>
      <c r="BX33" s="845" t="str">
        <f>IF($X33="","",IF(AD33="Square Feet",VLOOKUP('A-20 PassFacInv'!X23,Valid!$B$7:$H$24,7,FALSE),IF(AD33="Parking Spaces",VLOOKUP(X33,Valid!$B$22:$L$24,11,FALSE))))</f>
        <v/>
      </c>
      <c r="BY33" s="845" t="str">
        <f>IF($X33="","",IF(AD33="Square Feet",VLOOKUP(X33,Valid!$B$7:$I$24,8,FALSE),IF('A-20 PassFacInv'!AD23="Parking Spaces",VLOOKUP('A-20 PassFacInv'!X23,Valid!$B$22:$M$24,12,FALSE))))</f>
        <v/>
      </c>
      <c r="BZ33" s="1229"/>
      <c r="CA33" s="721">
        <f t="shared" si="1"/>
        <v>0</v>
      </c>
      <c r="CB33" s="816"/>
    </row>
    <row r="34" spans="1:80" s="1739" customFormat="1" ht="6.75" customHeight="1" thickBot="1" x14ac:dyDescent="0.25">
      <c r="A34" s="1638"/>
      <c r="B34" s="1746">
        <v>11.5</v>
      </c>
      <c r="C34" s="1223"/>
      <c r="D34" s="1248"/>
      <c r="E34" s="721"/>
      <c r="F34" s="758"/>
      <c r="G34" s="758"/>
      <c r="H34" s="758"/>
      <c r="I34" s="758"/>
      <c r="J34" s="1744"/>
      <c r="K34" s="1248"/>
      <c r="L34" s="1745"/>
      <c r="M34" s="1248"/>
      <c r="N34" s="1745"/>
      <c r="O34" s="1248"/>
      <c r="P34" s="1659"/>
      <c r="Q34" s="1248"/>
      <c r="R34" s="1656"/>
      <c r="S34" s="1248"/>
      <c r="T34" s="1656"/>
      <c r="U34" s="1248"/>
      <c r="V34" s="1223"/>
      <c r="W34" s="1618"/>
      <c r="X34" s="1737"/>
      <c r="Y34" s="1618"/>
      <c r="Z34" s="1623"/>
      <c r="AA34" s="1618"/>
      <c r="AB34" s="1944"/>
      <c r="AC34" s="1632"/>
      <c r="AD34" s="1394"/>
      <c r="AE34" s="823"/>
      <c r="AF34" s="822"/>
      <c r="AG34" s="1632"/>
      <c r="AH34" s="1631"/>
      <c r="AI34" s="1632"/>
      <c r="AJ34" s="1631"/>
      <c r="AK34" s="1632"/>
      <c r="AL34" s="1719"/>
      <c r="AM34" s="1632"/>
      <c r="AN34" s="721"/>
      <c r="AO34" s="758"/>
      <c r="AP34" s="758"/>
      <c r="AQ34" s="758"/>
      <c r="AR34" s="758"/>
      <c r="AS34" s="758"/>
      <c r="AT34" s="1761"/>
      <c r="AU34" s="1761"/>
      <c r="AV34" s="1761"/>
      <c r="AW34" s="1761"/>
      <c r="AX34" s="1761"/>
      <c r="AY34" s="1761"/>
      <c r="AZ34" s="1761"/>
      <c r="BA34" s="1761"/>
      <c r="BB34" s="1761"/>
      <c r="BC34" s="1761"/>
      <c r="BD34" s="1761"/>
      <c r="BE34" s="1761"/>
      <c r="BF34" s="1761"/>
      <c r="BG34" s="1761"/>
      <c r="BH34" s="1761"/>
      <c r="BI34" s="1761"/>
      <c r="BJ34" s="1761"/>
      <c r="BK34" s="1761"/>
      <c r="BL34" s="1761"/>
      <c r="BM34" s="1761"/>
      <c r="BN34" s="1761"/>
      <c r="BO34" s="1761"/>
      <c r="BP34" s="1761"/>
      <c r="BQ34" s="1761"/>
      <c r="BR34" s="1761"/>
      <c r="BS34" s="721"/>
      <c r="BT34" s="1626"/>
      <c r="BU34" s="1626"/>
      <c r="BV34" s="1626"/>
      <c r="BW34" s="1626"/>
      <c r="BX34" s="1626"/>
      <c r="BY34" s="1626"/>
      <c r="BZ34" s="1229"/>
      <c r="CA34" s="721">
        <f t="shared" si="1"/>
        <v>0</v>
      </c>
      <c r="CB34" s="721"/>
    </row>
    <row r="35" spans="1:80" s="1739" customFormat="1" x14ac:dyDescent="0.2">
      <c r="A35" s="840">
        <v>12</v>
      </c>
      <c r="B35" s="1731">
        <v>12</v>
      </c>
      <c r="C35" s="1740"/>
      <c r="D35" s="1248" t="str">
        <f>IF(C33="","",IF((C35=""),"Enter Facility "&amp;TEXT(A35,0)&amp;" Name, then Fill in Columns "&amp;TEXT($H$2,0)&amp;" - "&amp;TEXT($AL$2,0)&amp;"       ",""))</f>
        <v/>
      </c>
      <c r="E35" s="1245" t="str">
        <f ca="1">IF(AS35="N/A","",IF(AS35="N","No","Yes"))</f>
        <v/>
      </c>
      <c r="F35" s="758"/>
      <c r="G35" s="758"/>
      <c r="H35" s="1707"/>
      <c r="I35" s="758"/>
      <c r="J35" s="1653"/>
      <c r="K35" s="1248" t="str">
        <f ca="1">IF($E35&lt;&gt;"","Enter Street Address      ","")</f>
        <v/>
      </c>
      <c r="L35" s="1740"/>
      <c r="M35" s="1248" t="str">
        <f ca="1">IF($E35&lt;&gt;"","Enter City Name       ","")</f>
        <v/>
      </c>
      <c r="N35" s="1740"/>
      <c r="O35" s="1248" t="str">
        <f ca="1">IF($E35&lt;&gt;"","Select from Pull-Down List   ","")</f>
        <v/>
      </c>
      <c r="P35" s="1741"/>
      <c r="Q35" s="1248" t="str">
        <f ca="1">IF($E35&lt;&gt;"","Enter ZIP Code       ","")</f>
        <v/>
      </c>
      <c r="R35" s="1742"/>
      <c r="S35" s="1248" t="str">
        <f ca="1">IF(OR(N35&lt;&gt;"",P35&lt;&gt;"",J35&lt;&gt;"",L35&lt;&gt;""),"",IF($E35&lt;&gt;"","Enter Lat.      ",""))</f>
        <v/>
      </c>
      <c r="T35" s="1742"/>
      <c r="U35" s="1248" t="str">
        <f ca="1">IF(OR(N35&lt;&gt;"",P35&lt;&gt;"",J35&lt;&gt;"",L35&lt;&gt;""),"",IF($E35&lt;&gt;"","Enter Long.    ",""))</f>
        <v/>
      </c>
      <c r="V35" s="1653"/>
      <c r="W35" s="1618" t="str">
        <f ca="1">IF($E35&lt;&gt;"","Select from Pull-Down List  ","")</f>
        <v/>
      </c>
      <c r="X35" s="1653"/>
      <c r="Y35" s="1618" t="str">
        <f ca="1">IF($E35&lt;&gt;"","Select from Pull-Down List  ","")</f>
        <v/>
      </c>
      <c r="Z35" s="1743"/>
      <c r="AA35" s="1248" t="str">
        <f ca="1">IF(E35&lt;&gt;"","Year?   ","")</f>
        <v/>
      </c>
      <c r="AB35" s="1943"/>
      <c r="AC35" s="1620" t="str">
        <f ca="1">IF(E35="","",IF(X35="","Sq. Ft. or Spaces?   ",IF(OR(X35=Codes!$L$26,X35=Codes!$L$27,X35=Codes!$L$28),"Sq. Ft. or Spaces?   ",IF(OR(X35=Codes!$L$20,X35=Codes!$L$21,X35=Codes!$L$22,X35=Codes!$L$23,X35=Codes!$L$24,X35=Codes!$L$25),"Sq. Ft?     ",""))))</f>
        <v/>
      </c>
      <c r="AD35" s="1740"/>
      <c r="AE35" s="1618" t="str">
        <f ca="1">IF($E35&lt;&gt;"","Select from List     ","")</f>
        <v/>
      </c>
      <c r="AF35" s="1621"/>
      <c r="AG35" s="1618" t="str">
        <f ca="1">IF($E35&lt;&gt;"","% of Cap Resp.","")</f>
        <v/>
      </c>
      <c r="AH35" s="1801" t="str">
        <f ca="1">IF(BW35="", "", IF(BW35&gt;100, 1, VLOOKUP(BW35, Valid!$W$1:$AA$101, VLOOKUP(X35, Codes!$L$20:$N$28, 3, FALSE), FALSE)))</f>
        <v/>
      </c>
      <c r="AI35" s="1620" t="str">
        <f ca="1">IF($E35&lt;&gt;"","Estimated?  ","")</f>
        <v/>
      </c>
      <c r="AJ35" s="1654"/>
      <c r="AK35" s="1620" t="str">
        <f ca="1">IF($E35&lt;&gt;"","Estimated $?    ","")</f>
        <v/>
      </c>
      <c r="AL35" s="1730"/>
      <c r="AM35" s="1620" t="b">
        <f ca="1">IF(E35&lt;&gt;"","Est Date?    ")</f>
        <v>0</v>
      </c>
      <c r="AN35" s="1740"/>
      <c r="AO35" s="1248" t="str">
        <f>IF(X35="Other (describe in Notes)","Describe Facility.                                                                                                                        ","")</f>
        <v/>
      </c>
      <c r="AP35" s="1624"/>
      <c r="AQ35" s="1624" t="b">
        <f>IF(AND(C35="",C37&lt;&gt;""),TRUE,FALSE)</f>
        <v>0</v>
      </c>
      <c r="AR35" s="1624" t="str">
        <f>IF(AND(J35&lt;&gt;"",L35&lt;&gt;"",N35&lt;&gt;"",P35&lt;&gt;"",R35="",T35=""),"Y",IF(AND(J35="",L35="",N35="",P35="",R35&lt;&gt;"",T35&lt;&gt;""),"Y",IF(AND(J35&lt;&gt;"",L35&lt;&gt;"",N35&lt;&gt;"",P35&lt;&gt;"",R35&lt;&gt;"",T35&lt;&gt;""),"Y",IF(AND(J35="",L35="",N35="",P35="",R35="",T35=""),"N/A","N"))))</f>
        <v>N/A</v>
      </c>
      <c r="AS35" s="1624" t="str">
        <f ca="1">IF(AND($C35&lt;&gt;"",OR(AR35="N",$V35="",$X35="",$Z35="",$AB35="",$AF35="",$AH35="",$AL35="",AD35="")),"N",IF(AND($C35="",OR(H35&lt;&gt;"",AR35="N",$V35&lt;&gt;"",$X35&lt;&gt;"",$Z35&lt;&gt;"",$AB35&lt;&gt;"",$AF35&lt;&gt;"",$AH35&lt;&gt;"",$AL35&lt;&gt;"",AD35&lt;&gt;"")),"N",IF(AND(H35="",$C35="",AR35="N/A",$V35="",$X35="",$Z35="",$AB35="",$AF35="",$AH35="",$AL35="",AD35=""),"N/A",IF(AND($C35&lt;&gt;"",AR35="Y",$V35&lt;&gt;"",$X35&lt;&gt;"",$Z35&lt;&gt;"",$AB35&lt;&gt;"",$AF35&lt;&gt;"",$AH35&lt;&gt;"",$AL35&lt;&gt;"",AD35&lt;&gt;""),"Y","N"))))</f>
        <v>N/A</v>
      </c>
      <c r="AT35" s="1761" t="b">
        <f ca="1">IF(AND($C35="",OR($J35&lt;&gt;"",$L35&lt;&gt;"",$N35&lt;&gt;"",$P35&lt;&gt;"",$V35&lt;&gt;"",$X35&lt;&gt;"",$Z35&lt;&gt;"",$AB35&lt;&gt;"",$AF35&lt;&gt;"",$AH35&lt;&gt;"",$AL35&lt;&gt;"")),TRUE,FALSE)</f>
        <v>0</v>
      </c>
      <c r="AU35" s="1761" t="b">
        <f>IF(OR(R35&lt;&gt;"",T35&lt;&gt;""),"false",IF(AND($C35&lt;&gt;"",$J35=""),TRUE,FALSE))</f>
        <v>0</v>
      </c>
      <c r="AV35" s="1761" t="b">
        <f>IF(OR(R35&lt;&gt;"",T35&lt;&gt;""),FALSE,IF(AND($C35&lt;&gt;"",$L35=""),TRUE,FALSE))</f>
        <v>0</v>
      </c>
      <c r="AW35" s="1761" t="b">
        <f>IF(OR(R35&lt;&gt;"",T35&lt;&gt;""),FALSE,IF(AND($C35&lt;&gt;"",$N35=""),TRUE,FALSE))</f>
        <v>0</v>
      </c>
      <c r="AX35" s="1761" t="b">
        <f>IF(OR(R35&lt;&gt;"",T35&lt;&gt;""),FALSE,IF(AND($C35&lt;&gt;"",$P35=""),TRUE,FALSE))</f>
        <v>0</v>
      </c>
      <c r="AY35" s="1761"/>
      <c r="AZ35" s="1761" t="b">
        <f>IF(OR(J35&lt;&gt;"",L35&lt;&gt;"",N35&lt;&gt;"",P35&lt;&gt;""),FALSE,IF(AND(C35&lt;&gt;"",R35=""),TRUE,FALSE))</f>
        <v>0</v>
      </c>
      <c r="BA35" s="1761"/>
      <c r="BB35" s="1761" t="b">
        <f>IF(OR(J35&lt;&gt;"",L35&lt;&gt;"",N35&lt;&gt;"",P35&lt;&gt;""),FALSE,IF(AND(C35&lt;&gt;"",T35=""),TRUE,FALSE))</f>
        <v>0</v>
      </c>
      <c r="BC35" s="1761" t="b">
        <f>IF(AND($C35&lt;&gt;"",$V35=""),TRUE,FALSE)</f>
        <v>0</v>
      </c>
      <c r="BD35" s="1761" t="b">
        <f ca="1">IF(AND(X35="",OR(Z35&lt;&gt;"",AB35&lt;&gt;"",AF35&lt;&gt;"",AH35&lt;&gt;"",AL35&lt;&gt;"",AD35&lt;&gt;"")),TRUE,FALSE)</f>
        <v>0</v>
      </c>
      <c r="BE35" s="1761" t="b">
        <f>IF(AND($C35&lt;&gt;"",$X35=""),TRUE,FALSE)</f>
        <v>0</v>
      </c>
      <c r="BF35" s="1761" t="b">
        <f>IF(Z35="",FALSE,IF(X35="",FALSE,IF(BG35=TRUE,FALSE,IF(OR(Z35&lt;BU35,Z35&gt;BaseYear),TRUE,FALSE))))</f>
        <v>0</v>
      </c>
      <c r="BG35" s="1761" t="b">
        <f>IF(AND($C35&lt;&gt;"",$Z35=""),TRUE,FALSE)</f>
        <v>0</v>
      </c>
      <c r="BH35" s="1761" t="b">
        <f>IF(AD35="",FALSE,IF(X35="",FALSE,IF(BJ35=TRUE,FALSE,IF(AB35&lt;BX35,TRUE,FALSE))))</f>
        <v>0</v>
      </c>
      <c r="BI35" s="1761" t="b">
        <f>IF(AD35="",FALSE,IF(X35="",FALSE,IF(BJ35=TRUE,FALSE,IF(AB35&gt;BY35,TRUE,FALSE))))</f>
        <v>0</v>
      </c>
      <c r="BJ35" s="1761" t="b">
        <f>IF(AND($C35&lt;&gt;"",$AB35=""),TRUE,FALSE)</f>
        <v>0</v>
      </c>
      <c r="BK35" s="1761" t="b">
        <f>IF(BL35=TRUE,FALSE,IF(OR(AF35&lt;0,AF35&gt;1),TRUE,FALSE))</f>
        <v>0</v>
      </c>
      <c r="BL35" s="1761" t="b">
        <f>IF(AND($C35&lt;&gt;"",$AF35=""),TRUE,FALSE)</f>
        <v>0</v>
      </c>
      <c r="BM35" s="1761"/>
      <c r="BN35" s="1761" t="b">
        <f ca="1">IF(AND($C35&lt;&gt;"",$AH35=""),TRUE,FALSE)</f>
        <v>0</v>
      </c>
      <c r="BO35" s="1761" t="b">
        <f>IF(AL35="",FALSE,IF(X35="",FALSE,IF(BP35=TRUE,FALSE,IF(OR(AL35&lt;1913,AL35&gt;BaseYear),TRUE,FALSE))))</f>
        <v>0</v>
      </c>
      <c r="BP35" s="1761" t="b">
        <f>IF(AND($C35&lt;&gt;"",$AL35=""),TRUE,FALSE)</f>
        <v>0</v>
      </c>
      <c r="BQ35" s="1761" t="b">
        <f>IF(AD35="Square Foot",FALSE,IF(AND(AD35="Parking Space",OR('A-20 PassFacInv'!X35=Valid!$B$7,'A-20 PassFacInv'!X35=Valid!$B$8,'A-20 PassFacInv'!X35=Valid!$B$9,'A-20 PassFacInv'!X35=Valid!$B$10,'A-20 PassFacInv'!X35=Valid!$B$12,'A-20 PassFacInv'!X35=Valid!$B$13,'A-20 PassFacInv'!X35=Valid!$B$14,'A-20 PassFacInv'!X35=Valid!$B$15,'A-20 PassFacInv'!X35=Valid!$B$16,'A-20 PassFacInv'!X35=Valid!$B$17,'A-20 PassFacInv'!X35=Valid!$B$18,X35=Valid!$B$19,X35=Valid!$B$20,X35=Valid!$B$21)),TRUE,FALSE))</f>
        <v>0</v>
      </c>
      <c r="BR35" s="1761" t="b">
        <f>IF(AND($C35&lt;&gt;"",$AD35=""),TRUE,FALSE)</f>
        <v>0</v>
      </c>
      <c r="BS35" s="721"/>
      <c r="BT35" s="1625" t="str">
        <f>IF($X35="","",VLOOKUP($X35,val_facilities,BT$3,FALSE))</f>
        <v/>
      </c>
      <c r="BU35" s="1627" t="str">
        <f>IF($X35="","",VLOOKUP($X35,val_facilities,BU$3,FALSE))</f>
        <v/>
      </c>
      <c r="BV35" s="1627" t="str">
        <f>IF($X35="","",VLOOKUP($X35,val_facilities,BV$3,FALSE))</f>
        <v/>
      </c>
      <c r="BW35" s="1627" t="str">
        <f ca="1">IFERROR(IF(Z35="", "", YEAR(TODAY())-Z35), "")</f>
        <v/>
      </c>
      <c r="BX35" s="845" t="str">
        <f>IF($X35="","",IF(AD35="Square Feet",VLOOKUP('A-20 PassFacInv'!X24,Valid!$B$7:$H$24,7,FALSE),IF(AD35="Parking Spaces",VLOOKUP(X35,Valid!$B$22:$L$24,11,FALSE))))</f>
        <v/>
      </c>
      <c r="BY35" s="845" t="str">
        <f>IF($X35="","",IF(AD35="Square Feet",VLOOKUP(X35,Valid!$B$7:$I$24,8,FALSE),IF('A-20 PassFacInv'!AD24="Parking Spaces",VLOOKUP('A-20 PassFacInv'!X24,Valid!$B$22:$M$24,12,FALSE))))</f>
        <v/>
      </c>
      <c r="BZ35" s="1229"/>
      <c r="CA35" s="721">
        <f t="shared" si="1"/>
        <v>0</v>
      </c>
      <c r="CB35" s="816"/>
    </row>
    <row r="36" spans="1:80" s="1739" customFormat="1" ht="6.75" customHeight="1" thickBot="1" x14ac:dyDescent="0.25">
      <c r="A36" s="1638"/>
      <c r="B36" s="1746">
        <v>12.5</v>
      </c>
      <c r="C36" s="721"/>
      <c r="D36" s="1248"/>
      <c r="E36" s="816"/>
      <c r="F36" s="758"/>
      <c r="G36" s="758"/>
      <c r="H36" s="758"/>
      <c r="I36" s="758"/>
      <c r="J36" s="1633"/>
      <c r="K36" s="1248"/>
      <c r="L36" s="1634"/>
      <c r="M36" s="1248"/>
      <c r="N36" s="1634"/>
      <c r="O36" s="1248"/>
      <c r="P36" s="1657"/>
      <c r="Q36" s="1248"/>
      <c r="R36" s="1656"/>
      <c r="S36" s="1248"/>
      <c r="T36" s="1656"/>
      <c r="U36" s="1248"/>
      <c r="V36" s="1059"/>
      <c r="W36" s="1618"/>
      <c r="X36" s="764"/>
      <c r="Y36" s="1618"/>
      <c r="Z36" s="1623"/>
      <c r="AA36" s="1618"/>
      <c r="AB36" s="1944"/>
      <c r="AC36" s="723"/>
      <c r="AD36" s="1658"/>
      <c r="AE36" s="724"/>
      <c r="AF36" s="724"/>
      <c r="AG36" s="723"/>
      <c r="AH36" s="722"/>
      <c r="AI36" s="723"/>
      <c r="AJ36" s="722"/>
      <c r="AK36" s="723"/>
      <c r="AL36" s="1717"/>
      <c r="AM36" s="723"/>
      <c r="AN36" s="1637"/>
      <c r="AO36" s="1624"/>
      <c r="AP36" s="1624"/>
      <c r="AQ36" s="1624"/>
      <c r="AR36" s="1624"/>
      <c r="AS36" s="1624"/>
      <c r="AT36" s="1761"/>
      <c r="AU36" s="1761"/>
      <c r="AV36" s="1761"/>
      <c r="AW36" s="1761"/>
      <c r="AX36" s="1761"/>
      <c r="AY36" s="1761"/>
      <c r="AZ36" s="1761"/>
      <c r="BA36" s="1761"/>
      <c r="BB36" s="1761"/>
      <c r="BC36" s="1761"/>
      <c r="BD36" s="1761"/>
      <c r="BE36" s="1761"/>
      <c r="BF36" s="1761"/>
      <c r="BG36" s="1761"/>
      <c r="BH36" s="1761"/>
      <c r="BI36" s="1761"/>
      <c r="BJ36" s="1761"/>
      <c r="BK36" s="1761"/>
      <c r="BL36" s="1761"/>
      <c r="BM36" s="1761"/>
      <c r="BN36" s="1761"/>
      <c r="BO36" s="1761"/>
      <c r="BP36" s="1761"/>
      <c r="BQ36" s="1761"/>
      <c r="BR36" s="1761"/>
      <c r="BS36" s="721"/>
      <c r="BT36" s="1626"/>
      <c r="BU36" s="1626"/>
      <c r="BV36" s="1626"/>
      <c r="BW36" s="1626"/>
      <c r="BX36" s="1626"/>
      <c r="BY36" s="1626"/>
      <c r="BZ36" s="1229"/>
      <c r="CA36" s="721">
        <f t="shared" si="1"/>
        <v>0</v>
      </c>
      <c r="CB36" s="816"/>
    </row>
    <row r="37" spans="1:80" s="1739" customFormat="1" x14ac:dyDescent="0.2">
      <c r="A37" s="840">
        <v>13</v>
      </c>
      <c r="B37" s="1746">
        <v>13</v>
      </c>
      <c r="C37" s="1740"/>
      <c r="D37" s="1248" t="str">
        <f>IF(C35="","",IF((C37=""),"Enter Facility "&amp;TEXT(A37,0)&amp;" Name, then Fill in Columns "&amp;TEXT($H$2,0)&amp;" - "&amp;TEXT($AL$2,0)&amp;"       ",""))</f>
        <v/>
      </c>
      <c r="E37" s="1245" t="str">
        <f ca="1">IF(AS37="N/A","",IF(AS37="N","No","Yes"))</f>
        <v/>
      </c>
      <c r="F37" s="758"/>
      <c r="G37" s="758"/>
      <c r="H37" s="1707"/>
      <c r="I37" s="758"/>
      <c r="J37" s="1653"/>
      <c r="K37" s="1248" t="str">
        <f ca="1">IF($E37&lt;&gt;"","Enter Street Address      ","")</f>
        <v/>
      </c>
      <c r="L37" s="1740"/>
      <c r="M37" s="1248" t="str">
        <f ca="1">IF($E37&lt;&gt;"","Enter City Name       ","")</f>
        <v/>
      </c>
      <c r="N37" s="1740"/>
      <c r="O37" s="1248" t="str">
        <f ca="1">IF($E37&lt;&gt;"","Select from Pull-Down List   ","")</f>
        <v/>
      </c>
      <c r="P37" s="1741"/>
      <c r="Q37" s="1248" t="str">
        <f ca="1">IF($E37&lt;&gt;"","Enter ZIP Code       ","")</f>
        <v/>
      </c>
      <c r="R37" s="1742"/>
      <c r="S37" s="1248" t="str">
        <f ca="1">IF(OR(N37&lt;&gt;"",P37&lt;&gt;"",J37&lt;&gt;"",L37&lt;&gt;""),"",IF($E37&lt;&gt;"","Enter Lat.      ",""))</f>
        <v/>
      </c>
      <c r="T37" s="1742"/>
      <c r="U37" s="1248" t="str">
        <f ca="1">IF(OR(N37&lt;&gt;"",P37&lt;&gt;"",J37&lt;&gt;"",L37&lt;&gt;""),"",IF($E37&lt;&gt;"","Enter Long.    ",""))</f>
        <v/>
      </c>
      <c r="V37" s="1653"/>
      <c r="W37" s="1618" t="str">
        <f ca="1">IF($E37&lt;&gt;"","Select from Pull-Down List  ","")</f>
        <v/>
      </c>
      <c r="X37" s="1653"/>
      <c r="Y37" s="1618" t="str">
        <f ca="1">IF($E37&lt;&gt;"","Select from Pull-Down List  ","")</f>
        <v/>
      </c>
      <c r="Z37" s="1743"/>
      <c r="AA37" s="1248" t="str">
        <f ca="1">IF(E37&lt;&gt;"","Year?   ","")</f>
        <v/>
      </c>
      <c r="AB37" s="1943"/>
      <c r="AC37" s="1620" t="str">
        <f ca="1">IF(E37="","",IF(X37="","Sq. Ft. or Spaces?   ",IF(OR(X37=Codes!$L$26,X37=Codes!$L$27,X37=Codes!$L$28),"Sq. Ft. or Spaces?   ",IF(OR(X37=Codes!$L$20,X37=Codes!$L$21,X37=Codes!$L$22,X37=Codes!$L$23,X37=Codes!$L$24,X37=Codes!$L$25),"Sq. Ft?     ",""))))</f>
        <v/>
      </c>
      <c r="AD37" s="1740"/>
      <c r="AE37" s="1618" t="str">
        <f ca="1">IF($E37&lt;&gt;"","Select from List     ","")</f>
        <v/>
      </c>
      <c r="AF37" s="1621"/>
      <c r="AG37" s="1618" t="str">
        <f ca="1">IF($E37&lt;&gt;"","% of Cap Resp.","")</f>
        <v/>
      </c>
      <c r="AH37" s="1801" t="str">
        <f ca="1">IF(BW37="", "", IF(BW37&gt;100, 1, VLOOKUP(BW37, Valid!$W$1:$AA$101, VLOOKUP(X37, Codes!$L$20:$N$28, 3, FALSE), FALSE)))</f>
        <v/>
      </c>
      <c r="AI37" s="1620" t="str">
        <f ca="1">IF($E37&lt;&gt;"","Estimated?  ","")</f>
        <v/>
      </c>
      <c r="AJ37" s="1654"/>
      <c r="AK37" s="1620" t="str">
        <f ca="1">IF($E37&lt;&gt;"","Estimated $?    ","")</f>
        <v/>
      </c>
      <c r="AL37" s="1730"/>
      <c r="AM37" s="1620" t="b">
        <f ca="1">IF(E37&lt;&gt;"","Est Date?    ")</f>
        <v>0</v>
      </c>
      <c r="AN37" s="1740"/>
      <c r="AO37" s="1248" t="str">
        <f>IF(X37="Other (describe in Notes)","Describe Facility.                                                                                                                        ","")</f>
        <v/>
      </c>
      <c r="AP37" s="1624"/>
      <c r="AQ37" s="1624" t="b">
        <f>IF(AND(C37="",C39&lt;&gt;""),TRUE,FALSE)</f>
        <v>0</v>
      </c>
      <c r="AR37" s="1624" t="str">
        <f>IF(AND(J37&lt;&gt;"",L37&lt;&gt;"",N37&lt;&gt;"",P37&lt;&gt;"",R37="",T37=""),"Y",IF(AND(J37="",L37="",N37="",P37="",R37&lt;&gt;"",T37&lt;&gt;""),"Y",IF(AND(J37&lt;&gt;"",L37&lt;&gt;"",N37&lt;&gt;"",P37&lt;&gt;"",R37&lt;&gt;"",T37&lt;&gt;""),"Y",IF(AND(J37="",L37="",N37="",P37="",R37="",T37=""),"N/A","N"))))</f>
        <v>N/A</v>
      </c>
      <c r="AS37" s="1624" t="str">
        <f ca="1">IF(AND($C37&lt;&gt;"",OR(AR37="N",$V37="",$X37="",$Z37="",$AB37="",$AF37="",$AH37="",$AL37="",AD37="")),"N",IF(AND($C37="",OR(H37&lt;&gt;"",AR37="N",$V37&lt;&gt;"",$X37&lt;&gt;"",$Z37&lt;&gt;"",$AB37&lt;&gt;"",$AF37&lt;&gt;"",$AH37&lt;&gt;"",$AL37&lt;&gt;"",AD37&lt;&gt;"")),"N",IF(AND(H37="",$C37="",AR37="N/A",$V37="",$X37="",$Z37="",$AB37="",$AF37="",$AH37="",$AL37="",AD37=""),"N/A",IF(AND($C37&lt;&gt;"",AR37="Y",$V37&lt;&gt;"",$X37&lt;&gt;"",$Z37&lt;&gt;"",$AB37&lt;&gt;"",$AF37&lt;&gt;"",$AH37&lt;&gt;"",$AL37&lt;&gt;"",AD37&lt;&gt;""),"Y","N"))))</f>
        <v>N/A</v>
      </c>
      <c r="AT37" s="1761" t="b">
        <f ca="1">IF(AND($C37="",OR($J37&lt;&gt;"",$L37&lt;&gt;"",$N37&lt;&gt;"",$P37&lt;&gt;"",$V37&lt;&gt;"",$X37&lt;&gt;"",$Z37&lt;&gt;"",$AB37&lt;&gt;"",$AF37&lt;&gt;"",$AH37&lt;&gt;"",$AL37&lt;&gt;"")),TRUE,FALSE)</f>
        <v>0</v>
      </c>
      <c r="AU37" s="1761" t="b">
        <f>IF(OR(R37&lt;&gt;"",T37&lt;&gt;""),"false",IF(AND($C37&lt;&gt;"",$J37=""),TRUE,FALSE))</f>
        <v>0</v>
      </c>
      <c r="AV37" s="1761" t="b">
        <f>IF(OR(R37&lt;&gt;"",T37&lt;&gt;""),FALSE,IF(AND($C37&lt;&gt;"",$L37=""),TRUE,FALSE))</f>
        <v>0</v>
      </c>
      <c r="AW37" s="1761" t="b">
        <f>IF(OR(R37&lt;&gt;"",T37&lt;&gt;""),FALSE,IF(AND($C37&lt;&gt;"",$N37=""),TRUE,FALSE))</f>
        <v>0</v>
      </c>
      <c r="AX37" s="1761" t="b">
        <f>IF(OR(R37&lt;&gt;"",T37&lt;&gt;""),FALSE,IF(AND($C37&lt;&gt;"",$P37=""),TRUE,FALSE))</f>
        <v>0</v>
      </c>
      <c r="AY37" s="1761"/>
      <c r="AZ37" s="1761" t="b">
        <f>IF(OR(J37&lt;&gt;"",L37&lt;&gt;"",N37&lt;&gt;"",P37&lt;&gt;""),FALSE,IF(AND(C37&lt;&gt;"",R37=""),TRUE,FALSE))</f>
        <v>0</v>
      </c>
      <c r="BA37" s="1761"/>
      <c r="BB37" s="1761" t="b">
        <f>IF(OR(J37&lt;&gt;"",L37&lt;&gt;"",N37&lt;&gt;"",P37&lt;&gt;""),FALSE,IF(AND(C37&lt;&gt;"",T37=""),TRUE,FALSE))</f>
        <v>0</v>
      </c>
      <c r="BC37" s="1761" t="b">
        <f>IF(AND($C37&lt;&gt;"",$V37=""),TRUE,FALSE)</f>
        <v>0</v>
      </c>
      <c r="BD37" s="1761" t="b">
        <f ca="1">IF(AND(X37="",OR(Z37&lt;&gt;"",AB37&lt;&gt;"",AF37&lt;&gt;"",AH37&lt;&gt;"",AL37&lt;&gt;"",AD37&lt;&gt;"")),TRUE,FALSE)</f>
        <v>0</v>
      </c>
      <c r="BE37" s="1761" t="b">
        <f>IF(AND($C37&lt;&gt;"",$X37=""),TRUE,FALSE)</f>
        <v>0</v>
      </c>
      <c r="BF37" s="1761" t="b">
        <f>IF(Z37="",FALSE,IF(X37="",FALSE,IF(BG37=TRUE,FALSE,IF(OR(Z37&lt;BU37,Z37&gt;BaseYear),TRUE,FALSE))))</f>
        <v>0</v>
      </c>
      <c r="BG37" s="1761" t="b">
        <f>IF(AND($C37&lt;&gt;"",$Z37=""),TRUE,FALSE)</f>
        <v>0</v>
      </c>
      <c r="BH37" s="1761" t="b">
        <f>IF(AD37="",FALSE,IF(X37="",FALSE,IF(BJ37=TRUE,FALSE,IF(AB37&lt;BX37,TRUE,FALSE))))</f>
        <v>0</v>
      </c>
      <c r="BI37" s="1761" t="b">
        <f>IF(AD37="",FALSE,IF(X37="",FALSE,IF(BJ37=TRUE,FALSE,IF(AB37&gt;BY37,TRUE,FALSE))))</f>
        <v>0</v>
      </c>
      <c r="BJ37" s="1761" t="b">
        <f>IF(AND($C37&lt;&gt;"",$AB37=""),TRUE,FALSE)</f>
        <v>0</v>
      </c>
      <c r="BK37" s="1761" t="b">
        <f>IF(BL37=TRUE,FALSE,IF(OR(AF37&lt;0,AF37&gt;1),TRUE,FALSE))</f>
        <v>0</v>
      </c>
      <c r="BL37" s="1761" t="b">
        <f>IF(AND($C37&lt;&gt;"",$AF37=""),TRUE,FALSE)</f>
        <v>0</v>
      </c>
      <c r="BM37" s="1761"/>
      <c r="BN37" s="1761" t="b">
        <f ca="1">IF(AND($C37&lt;&gt;"",$AH37=""),TRUE,FALSE)</f>
        <v>0</v>
      </c>
      <c r="BO37" s="1761" t="b">
        <f>IF(AL37="",FALSE,IF(X37="",FALSE,IF(BP37=TRUE,FALSE,IF(OR(AL37&lt;1913,AL37&gt;BaseYear),TRUE,FALSE))))</f>
        <v>0</v>
      </c>
      <c r="BP37" s="1761" t="b">
        <f>IF(AND($C37&lt;&gt;"",$AL37=""),TRUE,FALSE)</f>
        <v>0</v>
      </c>
      <c r="BQ37" s="1761" t="b">
        <f>IF(AD37="Square Foot",FALSE,IF(AND(AD37="Parking Space",OR('A-20 PassFacInv'!X37=Valid!$B$7,'A-20 PassFacInv'!X37=Valid!$B$8,'A-20 PassFacInv'!X37=Valid!$B$9,'A-20 PassFacInv'!X37=Valid!$B$10,'A-20 PassFacInv'!X37=Valid!$B$12,'A-20 PassFacInv'!X37=Valid!$B$13,'A-20 PassFacInv'!X37=Valid!$B$14,'A-20 PassFacInv'!X37=Valid!$B$15,'A-20 PassFacInv'!X37=Valid!$B$16,'A-20 PassFacInv'!X37=Valid!$B$17,'A-20 PassFacInv'!X37=Valid!$B$18,X37=Valid!$B$19,X37=Valid!$B$20,X37=Valid!$B$21)),TRUE,FALSE))</f>
        <v>0</v>
      </c>
      <c r="BR37" s="1761" t="b">
        <f>IF(AND($C37&lt;&gt;"",$AD37=""),TRUE,FALSE)</f>
        <v>0</v>
      </c>
      <c r="BS37" s="721"/>
      <c r="BT37" s="1625" t="str">
        <f>IF($X37="","",VLOOKUP($X37,val_facilities,BT$3,FALSE))</f>
        <v/>
      </c>
      <c r="BU37" s="1627" t="str">
        <f>IF($X37="","",VLOOKUP($X37,val_facilities,BU$3,FALSE))</f>
        <v/>
      </c>
      <c r="BV37" s="1627" t="str">
        <f>IF($X37="","",VLOOKUP($X37,val_facilities,BV$3,FALSE))</f>
        <v/>
      </c>
      <c r="BW37" s="1627" t="str">
        <f ca="1">IFERROR(IF(Z37="", "", YEAR(TODAY())-Z37), "")</f>
        <v/>
      </c>
      <c r="BX37" s="845" t="str">
        <f>IF($X37="","",IF(AD37="Square Feet",VLOOKUP('A-20 PassFacInv'!X25,Valid!$B$7:$H$24,7,FALSE),IF(AD37="Parking Spaces",VLOOKUP(X37,Valid!$B$22:$L$24,11,FALSE))))</f>
        <v/>
      </c>
      <c r="BY37" s="845" t="str">
        <f>IF($X37="","",IF(AD37="Square Feet",VLOOKUP(X37,Valid!$B$7:$I$24,8,FALSE),IF('A-20 PassFacInv'!AD25="Parking Spaces",VLOOKUP('A-20 PassFacInv'!X25,Valid!$B$22:$M$24,12,FALSE))))</f>
        <v/>
      </c>
      <c r="BZ37" s="1229"/>
      <c r="CA37" s="721">
        <f t="shared" si="1"/>
        <v>0</v>
      </c>
      <c r="CB37" s="816"/>
    </row>
    <row r="38" spans="1:80" s="1739" customFormat="1" ht="6.75" customHeight="1" thickBot="1" x14ac:dyDescent="0.25">
      <c r="A38" s="1638"/>
      <c r="B38" s="1746">
        <v>13.5</v>
      </c>
      <c r="C38" s="1057"/>
      <c r="D38" s="1248"/>
      <c r="E38" s="1057"/>
      <c r="F38" s="1229"/>
      <c r="G38" s="1229"/>
      <c r="H38" s="1229"/>
      <c r="I38" s="1229"/>
      <c r="J38" s="1604"/>
      <c r="K38" s="1640"/>
      <c r="L38" s="1641"/>
      <c r="M38" s="1248"/>
      <c r="N38" s="1641"/>
      <c r="O38" s="1248"/>
      <c r="P38" s="1659"/>
      <c r="Q38" s="1248"/>
      <c r="R38" s="1660"/>
      <c r="S38" s="1640"/>
      <c r="T38" s="1660"/>
      <c r="U38" s="1640"/>
      <c r="V38" s="1057"/>
      <c r="W38" s="1618"/>
      <c r="X38" s="1747"/>
      <c r="Y38" s="1618"/>
      <c r="Z38" s="1623"/>
      <c r="AA38" s="1618"/>
      <c r="AB38" s="1944"/>
      <c r="AC38" s="1275"/>
      <c r="AD38" s="1661"/>
      <c r="AE38" s="734"/>
      <c r="AF38" s="1736"/>
      <c r="AG38" s="1275"/>
      <c r="AH38" s="733"/>
      <c r="AI38" s="1275"/>
      <c r="AJ38" s="733"/>
      <c r="AK38" s="1275"/>
      <c r="AL38" s="1721"/>
      <c r="AM38" s="1275"/>
      <c r="AN38" s="1057"/>
      <c r="AO38" s="1644"/>
      <c r="AP38" s="1644"/>
      <c r="AQ38" s="1644"/>
      <c r="AR38" s="1644"/>
      <c r="AS38" s="1644"/>
      <c r="AT38" s="1761"/>
      <c r="AU38" s="1761"/>
      <c r="AV38" s="1761"/>
      <c r="AW38" s="1761"/>
      <c r="AX38" s="1761"/>
      <c r="AY38" s="1761"/>
      <c r="AZ38" s="1761"/>
      <c r="BA38" s="1761"/>
      <c r="BB38" s="1761"/>
      <c r="BC38" s="1762"/>
      <c r="BD38" s="1762"/>
      <c r="BE38" s="1762"/>
      <c r="BF38" s="1762"/>
      <c r="BG38" s="1762"/>
      <c r="BH38" s="1762"/>
      <c r="BI38" s="1762"/>
      <c r="BJ38" s="1762"/>
      <c r="BK38" s="1762"/>
      <c r="BL38" s="1762"/>
      <c r="BM38" s="1762"/>
      <c r="BN38" s="1762"/>
      <c r="BO38" s="1762"/>
      <c r="BP38" s="1762"/>
      <c r="BQ38" s="1762"/>
      <c r="BR38" s="1762"/>
      <c r="BS38" s="1736"/>
      <c r="BT38" s="1738"/>
      <c r="BU38" s="1738"/>
      <c r="BV38" s="1738"/>
      <c r="BW38" s="1738"/>
      <c r="BX38" s="1738"/>
      <c r="BY38" s="1738"/>
      <c r="BZ38" s="1229"/>
      <c r="CA38" s="721">
        <f t="shared" si="1"/>
        <v>0</v>
      </c>
      <c r="CB38" s="1748"/>
    </row>
    <row r="39" spans="1:80" s="1739" customFormat="1" x14ac:dyDescent="0.2">
      <c r="A39" s="840">
        <v>14</v>
      </c>
      <c r="B39" s="1746">
        <v>14</v>
      </c>
      <c r="C39" s="1740"/>
      <c r="D39" s="1248" t="str">
        <f>IF(C37="","",IF((C39=""),"Enter Facility "&amp;TEXT(A39,0)&amp;" Name, then Fill in Columns "&amp;TEXT($H$2,0)&amp;" - "&amp;TEXT($AL$2,0)&amp;"       ",""))</f>
        <v/>
      </c>
      <c r="E39" s="1245" t="str">
        <f ca="1">IF(AS39="N/A","",IF(AS39="N","No","Yes"))</f>
        <v/>
      </c>
      <c r="F39" s="758"/>
      <c r="G39" s="758"/>
      <c r="H39" s="1707"/>
      <c r="I39" s="758"/>
      <c r="J39" s="1653"/>
      <c r="K39" s="1248" t="str">
        <f ca="1">IF($E39&lt;&gt;"","Enter Street Address      ","")</f>
        <v/>
      </c>
      <c r="L39" s="1740"/>
      <c r="M39" s="1248" t="str">
        <f ca="1">IF($E39&lt;&gt;"","Enter City Name       ","")</f>
        <v/>
      </c>
      <c r="N39" s="1740"/>
      <c r="O39" s="1248" t="str">
        <f ca="1">IF($E39&lt;&gt;"","Select from Pull-Down List   ","")</f>
        <v/>
      </c>
      <c r="P39" s="1741"/>
      <c r="Q39" s="1248" t="str">
        <f ca="1">IF($E39&lt;&gt;"","Enter ZIP Code       ","")</f>
        <v/>
      </c>
      <c r="R39" s="1742"/>
      <c r="S39" s="1248" t="str">
        <f ca="1">IF(OR(N39&lt;&gt;"",P39&lt;&gt;"",J39&lt;&gt;"",L39&lt;&gt;""),"",IF($E39&lt;&gt;"","Enter Lat.      ",""))</f>
        <v/>
      </c>
      <c r="T39" s="1742"/>
      <c r="U39" s="1248" t="str">
        <f ca="1">IF(OR(N39&lt;&gt;"",P39&lt;&gt;"",J39&lt;&gt;"",L39&lt;&gt;""),"",IF($E39&lt;&gt;"","Enter Long.    ",""))</f>
        <v/>
      </c>
      <c r="V39" s="1653"/>
      <c r="W39" s="1618" t="str">
        <f ca="1">IF($E39&lt;&gt;"","Select from Pull-Down List  ","")</f>
        <v/>
      </c>
      <c r="X39" s="1653"/>
      <c r="Y39" s="1618" t="str">
        <f ca="1">IF($E39&lt;&gt;"","Select from Pull-Down List  ","")</f>
        <v/>
      </c>
      <c r="Z39" s="1743"/>
      <c r="AA39" s="1248" t="str">
        <f ca="1">IF(E39&lt;&gt;"","Year?   ","")</f>
        <v/>
      </c>
      <c r="AB39" s="1943"/>
      <c r="AC39" s="1620" t="str">
        <f ca="1">IF(E39="","",IF(X39="","Sq. Ft. or Spaces?   ",IF(OR(X39=Codes!$L$26,X39=Codes!$L$27,X39=Codes!$L$28),"Sq. Ft. or Spaces?   ",IF(OR(X39=Codes!$L$20,X39=Codes!$L$21,X39=Codes!$L$22,X39=Codes!$L$23,X39=Codes!$L$24,X39=Codes!$L$25),"Sq. Ft?     ",""))))</f>
        <v/>
      </c>
      <c r="AD39" s="1740"/>
      <c r="AE39" s="1618" t="str">
        <f ca="1">IF($E39&lt;&gt;"","Select from List     ","")</f>
        <v/>
      </c>
      <c r="AF39" s="1621"/>
      <c r="AG39" s="1618" t="str">
        <f ca="1">IF($E39&lt;&gt;"","% of Cap Resp.","")</f>
        <v/>
      </c>
      <c r="AH39" s="1801" t="str">
        <f ca="1">IF(BW39="", "", IF(BW39&gt;100, 1, VLOOKUP(BW39, Valid!$W$1:$AA$101, VLOOKUP(X39, Codes!$L$20:$N$28, 3, FALSE), FALSE)))</f>
        <v/>
      </c>
      <c r="AI39" s="1620" t="str">
        <f ca="1">IF($E39&lt;&gt;"","Estimated?  ","")</f>
        <v/>
      </c>
      <c r="AJ39" s="1654"/>
      <c r="AK39" s="1620" t="str">
        <f ca="1">IF($E39&lt;&gt;"","Estimated $?    ","")</f>
        <v/>
      </c>
      <c r="AL39" s="1730"/>
      <c r="AM39" s="1620" t="b">
        <f ca="1">IF(E39&lt;&gt;"","Est Date?    ")</f>
        <v>0</v>
      </c>
      <c r="AN39" s="1740"/>
      <c r="AO39" s="1248" t="str">
        <f>IF(X39="Other (describe in Notes)","Describe Facility.                                                                                                                        ","")</f>
        <v/>
      </c>
      <c r="AP39" s="1624"/>
      <c r="AQ39" s="1624" t="b">
        <f>IF(AND(C39="",C41&lt;&gt;""),TRUE,FALSE)</f>
        <v>0</v>
      </c>
      <c r="AR39" s="1624" t="str">
        <f>IF(AND(J39&lt;&gt;"",L39&lt;&gt;"",N39&lt;&gt;"",P39&lt;&gt;"",R39="",T39=""),"Y",IF(AND(J39="",L39="",N39="",P39="",R39&lt;&gt;"",T39&lt;&gt;""),"Y",IF(AND(J39&lt;&gt;"",L39&lt;&gt;"",N39&lt;&gt;"",P39&lt;&gt;"",R39&lt;&gt;"",T39&lt;&gt;""),"Y",IF(AND(J39="",L39="",N39="",P39="",R39="",T39=""),"N/A","N"))))</f>
        <v>N/A</v>
      </c>
      <c r="AS39" s="1624" t="str">
        <f ca="1">IF(AND($C39&lt;&gt;"",OR(AR39="N",$V39="",$X39="",$Z39="",$AB39="",$AF39="",$AH39="",$AL39="",AD39="")),"N",IF(AND($C39="",OR(H39&lt;&gt;"",AR39="N",$V39&lt;&gt;"",$X39&lt;&gt;"",$Z39&lt;&gt;"",$AB39&lt;&gt;"",$AF39&lt;&gt;"",$AH39&lt;&gt;"",$AL39&lt;&gt;"",AD39&lt;&gt;"")),"N",IF(AND(H39="",$C39="",AR39="N/A",$V39="",$X39="",$Z39="",$AB39="",$AF39="",$AH39="",$AL39="",AD39=""),"N/A",IF(AND($C39&lt;&gt;"",AR39="Y",$V39&lt;&gt;"",$X39&lt;&gt;"",$Z39&lt;&gt;"",$AB39&lt;&gt;"",$AF39&lt;&gt;"",$AH39&lt;&gt;"",$AL39&lt;&gt;"",AD39&lt;&gt;""),"Y","N"))))</f>
        <v>N/A</v>
      </c>
      <c r="AT39" s="1761" t="b">
        <f ca="1">IF(AND($C39="",OR($J39&lt;&gt;"",$L39&lt;&gt;"",$N39&lt;&gt;"",$P39&lt;&gt;"",$V39&lt;&gt;"",$X39&lt;&gt;"",$Z39&lt;&gt;"",$AB39&lt;&gt;"",$AF39&lt;&gt;"",$AH39&lt;&gt;"",$AL39&lt;&gt;"")),TRUE,FALSE)</f>
        <v>0</v>
      </c>
      <c r="AU39" s="1761" t="b">
        <f>IF(OR(R39&lt;&gt;"",T39&lt;&gt;""),"false",IF(AND($C39&lt;&gt;"",$J39=""),TRUE,FALSE))</f>
        <v>0</v>
      </c>
      <c r="AV39" s="1761" t="b">
        <f>IF(OR(R39&lt;&gt;"",T39&lt;&gt;""),FALSE,IF(AND($C39&lt;&gt;"",$L39=""),TRUE,FALSE))</f>
        <v>0</v>
      </c>
      <c r="AW39" s="1761" t="b">
        <f>IF(OR(R39&lt;&gt;"",T39&lt;&gt;""),FALSE,IF(AND($C39&lt;&gt;"",$N39=""),TRUE,FALSE))</f>
        <v>0</v>
      </c>
      <c r="AX39" s="1761" t="b">
        <f>IF(OR(R39&lt;&gt;"",T39&lt;&gt;""),FALSE,IF(AND($C39&lt;&gt;"",$P39=""),TRUE,FALSE))</f>
        <v>0</v>
      </c>
      <c r="AY39" s="1761"/>
      <c r="AZ39" s="1761" t="b">
        <f>IF(OR(J39&lt;&gt;"",L39&lt;&gt;"",N39&lt;&gt;"",P39&lt;&gt;""),FALSE,IF(AND(C39&lt;&gt;"",R39=""),TRUE,FALSE))</f>
        <v>0</v>
      </c>
      <c r="BA39" s="1761"/>
      <c r="BB39" s="1761" t="b">
        <f>IF(OR(J39&lt;&gt;"",L39&lt;&gt;"",N39&lt;&gt;"",P39&lt;&gt;""),FALSE,IF(AND(C39&lt;&gt;"",T39=""),TRUE,FALSE))</f>
        <v>0</v>
      </c>
      <c r="BC39" s="1761" t="b">
        <f>IF(AND($C39&lt;&gt;"",$V39=""),TRUE,FALSE)</f>
        <v>0</v>
      </c>
      <c r="BD39" s="1761" t="b">
        <f ca="1">IF(AND(X39="",OR(Z39&lt;&gt;"",AB39&lt;&gt;"",AF39&lt;&gt;"",AH39&lt;&gt;"",AL39&lt;&gt;"",AD39&lt;&gt;"")),TRUE,FALSE)</f>
        <v>0</v>
      </c>
      <c r="BE39" s="1761" t="b">
        <f>IF(AND($C39&lt;&gt;"",$X39=""),TRUE,FALSE)</f>
        <v>0</v>
      </c>
      <c r="BF39" s="1761" t="b">
        <f>IF(Z39="",FALSE,IF(X39="",FALSE,IF(BG39=TRUE,FALSE,IF(OR(Z39&lt;BU39,Z39&gt;BaseYear),TRUE,FALSE))))</f>
        <v>0</v>
      </c>
      <c r="BG39" s="1761" t="b">
        <f>IF(AND($C39&lt;&gt;"",$Z39=""),TRUE,FALSE)</f>
        <v>0</v>
      </c>
      <c r="BH39" s="1761" t="b">
        <f>IF(AD39="",FALSE,IF(X39="",FALSE,IF(BJ39=TRUE,FALSE,IF(AB39&lt;BX39,TRUE,FALSE))))</f>
        <v>0</v>
      </c>
      <c r="BI39" s="1761" t="b">
        <f>IF(AD39="",FALSE,IF(X39="",FALSE,IF(BJ39=TRUE,FALSE,IF(AB39&gt;BY39,TRUE,FALSE))))</f>
        <v>0</v>
      </c>
      <c r="BJ39" s="1761" t="b">
        <f>IF(AND($C39&lt;&gt;"",$AB39=""),TRUE,FALSE)</f>
        <v>0</v>
      </c>
      <c r="BK39" s="1761" t="b">
        <f>IF(BL39=TRUE,FALSE,IF(OR(AF39&lt;0,AF39&gt;1),TRUE,FALSE))</f>
        <v>0</v>
      </c>
      <c r="BL39" s="1761" t="b">
        <f>IF(AND($C39&lt;&gt;"",$AF39=""),TRUE,FALSE)</f>
        <v>0</v>
      </c>
      <c r="BM39" s="1761"/>
      <c r="BN39" s="1761" t="b">
        <f ca="1">IF(AND($C39&lt;&gt;"",$AH39=""),TRUE,FALSE)</f>
        <v>0</v>
      </c>
      <c r="BO39" s="1761" t="b">
        <f>IF(AL39="",FALSE,IF(X39="",FALSE,IF(BP39=TRUE,FALSE,IF(OR(AL39&lt;1913,AL39&gt;BaseYear),TRUE,FALSE))))</f>
        <v>0</v>
      </c>
      <c r="BP39" s="1761" t="b">
        <f>IF(AND($C39&lt;&gt;"",$AL39=""),TRUE,FALSE)</f>
        <v>0</v>
      </c>
      <c r="BQ39" s="1761" t="b">
        <f>IF(AD39="Square Foot",FALSE,IF(AND(AD39="Parking Space",OR('A-20 PassFacInv'!X39=Valid!$B$7,'A-20 PassFacInv'!X39=Valid!$B$8,'A-20 PassFacInv'!X39=Valid!$B$9,'A-20 PassFacInv'!X39=Valid!$B$10,'A-20 PassFacInv'!X39=Valid!$B$12,'A-20 PassFacInv'!X39=Valid!$B$13,'A-20 PassFacInv'!X39=Valid!$B$14,'A-20 PassFacInv'!X39=Valid!$B$15,'A-20 PassFacInv'!X39=Valid!$B$16,'A-20 PassFacInv'!X39=Valid!$B$17,'A-20 PassFacInv'!X39=Valid!$B$18,X39=Valid!$B$19,X39=Valid!$B$20,X39=Valid!$B$21)),TRUE,FALSE))</f>
        <v>0</v>
      </c>
      <c r="BR39" s="1761" t="b">
        <f>IF(AND($C39&lt;&gt;"",$AD39=""),TRUE,FALSE)</f>
        <v>0</v>
      </c>
      <c r="BS39" s="721"/>
      <c r="BT39" s="1625" t="str">
        <f>IF($X39="","",VLOOKUP($X39,val_facilities,BT$3,FALSE))</f>
        <v/>
      </c>
      <c r="BU39" s="1627" t="str">
        <f>IF($X39="","",VLOOKUP($X39,val_facilities,BU$3,FALSE))</f>
        <v/>
      </c>
      <c r="BV39" s="1627" t="str">
        <f>IF($X39="","",VLOOKUP($X39,val_facilities,BV$3,FALSE))</f>
        <v/>
      </c>
      <c r="BW39" s="1627" t="str">
        <f ca="1">IFERROR(IF(Z39="", "", YEAR(TODAY())-Z39), "")</f>
        <v/>
      </c>
      <c r="BX39" s="845" t="str">
        <f>IF($X39="","",IF(AD39="Square Feet",VLOOKUP('A-20 PassFacInv'!X26,Valid!$B$7:$H$24,7,FALSE),IF(AD39="Parking Spaces",VLOOKUP(X39,Valid!$B$22:$L$24,11,FALSE))))</f>
        <v/>
      </c>
      <c r="BY39" s="845" t="str">
        <f>IF($X39="","",IF(AD39="Square Feet",VLOOKUP(X39,Valid!$B$7:$I$24,8,FALSE),IF('A-20 PassFacInv'!AD26="Parking Spaces",VLOOKUP('A-20 PassFacInv'!X26,Valid!$B$22:$M$24,12,FALSE))))</f>
        <v/>
      </c>
      <c r="BZ39" s="1229"/>
      <c r="CA39" s="721">
        <f t="shared" si="1"/>
        <v>0</v>
      </c>
      <c r="CB39" s="816"/>
    </row>
    <row r="40" spans="1:80" s="1739" customFormat="1" ht="6.75" customHeight="1" thickBot="1" x14ac:dyDescent="0.25">
      <c r="A40" s="1638"/>
      <c r="B40" s="1746">
        <v>14.5</v>
      </c>
      <c r="C40" s="1057"/>
      <c r="D40" s="1248"/>
      <c r="E40" s="1639"/>
      <c r="F40" s="1229"/>
      <c r="G40" s="1229"/>
      <c r="H40" s="1229"/>
      <c r="I40" s="1229"/>
      <c r="J40" s="1604"/>
      <c r="K40" s="1640"/>
      <c r="L40" s="1645"/>
      <c r="M40" s="1646"/>
      <c r="N40" s="1645"/>
      <c r="O40" s="1646"/>
      <c r="P40" s="1662"/>
      <c r="Q40" s="1646"/>
      <c r="R40" s="1660"/>
      <c r="S40" s="1640"/>
      <c r="T40" s="1660"/>
      <c r="U40" s="1640"/>
      <c r="V40" s="1057"/>
      <c r="W40" s="1618"/>
      <c r="X40" s="1747"/>
      <c r="Y40" s="1618"/>
      <c r="Z40" s="1623"/>
      <c r="AA40" s="1618"/>
      <c r="AB40" s="1944"/>
      <c r="AC40" s="1648"/>
      <c r="AD40" s="1661"/>
      <c r="AE40" s="841"/>
      <c r="AF40" s="841"/>
      <c r="AG40" s="1648"/>
      <c r="AH40" s="722"/>
      <c r="AI40" s="1648"/>
      <c r="AJ40" s="722"/>
      <c r="AK40" s="1648"/>
      <c r="AL40" s="1717"/>
      <c r="AM40" s="1648"/>
      <c r="AN40" s="1057"/>
      <c r="AO40" s="1644"/>
      <c r="AP40" s="1644"/>
      <c r="AQ40" s="1644"/>
      <c r="AR40" s="1644"/>
      <c r="AS40" s="1644"/>
      <c r="AT40" s="1761"/>
      <c r="AU40" s="1761"/>
      <c r="AV40" s="1761"/>
      <c r="AW40" s="1761"/>
      <c r="AX40" s="1761"/>
      <c r="AY40" s="1761"/>
      <c r="AZ40" s="1761"/>
      <c r="BA40" s="1761"/>
      <c r="BB40" s="1761"/>
      <c r="BC40" s="1762"/>
      <c r="BD40" s="1762"/>
      <c r="BE40" s="1762"/>
      <c r="BF40" s="1762"/>
      <c r="BG40" s="1762"/>
      <c r="BH40" s="1762"/>
      <c r="BI40" s="1762"/>
      <c r="BJ40" s="1762"/>
      <c r="BK40" s="1762"/>
      <c r="BL40" s="1762"/>
      <c r="BM40" s="1762"/>
      <c r="BN40" s="1762"/>
      <c r="BO40" s="1762"/>
      <c r="BP40" s="1762"/>
      <c r="BQ40" s="1762"/>
      <c r="BR40" s="1762"/>
      <c r="BS40" s="1736"/>
      <c r="BT40" s="1738"/>
      <c r="BU40" s="1738"/>
      <c r="BV40" s="1738"/>
      <c r="BW40" s="1738"/>
      <c r="BX40" s="1738"/>
      <c r="BY40" s="1738"/>
      <c r="BZ40" s="1229"/>
      <c r="CA40" s="721">
        <f t="shared" si="1"/>
        <v>0</v>
      </c>
      <c r="CB40" s="1748"/>
    </row>
    <row r="41" spans="1:80" s="1739" customFormat="1" x14ac:dyDescent="0.2">
      <c r="A41" s="840">
        <v>15</v>
      </c>
      <c r="B41" s="1731">
        <v>15</v>
      </c>
      <c r="C41" s="1740"/>
      <c r="D41" s="1248" t="str">
        <f>IF(C39="","",IF((C41=""),"Enter Facility "&amp;TEXT(A41,0)&amp;" Name, then Fill in Columns "&amp;TEXT($H$2,0)&amp;" - "&amp;TEXT($AL$2,0)&amp;"       ",""))</f>
        <v/>
      </c>
      <c r="E41" s="1245" t="str">
        <f ca="1">IF(AS41="N/A","",IF(AS41="N","No","Yes"))</f>
        <v/>
      </c>
      <c r="F41" s="758"/>
      <c r="G41" s="758"/>
      <c r="H41" s="1707"/>
      <c r="I41" s="758"/>
      <c r="J41" s="1653"/>
      <c r="K41" s="1248" t="str">
        <f ca="1">IF($E41&lt;&gt;"","Enter Street Address      ","")</f>
        <v/>
      </c>
      <c r="L41" s="1740"/>
      <c r="M41" s="1248" t="str">
        <f ca="1">IF($E41&lt;&gt;"","Enter City Name       ","")</f>
        <v/>
      </c>
      <c r="N41" s="1740"/>
      <c r="O41" s="1248" t="str">
        <f ca="1">IF($E41&lt;&gt;"","Select from Pull-Down List   ","")</f>
        <v/>
      </c>
      <c r="P41" s="1741"/>
      <c r="Q41" s="1248" t="str">
        <f ca="1">IF($E41&lt;&gt;"","Enter ZIP Code       ","")</f>
        <v/>
      </c>
      <c r="R41" s="1742"/>
      <c r="S41" s="1248" t="str">
        <f ca="1">IF(OR(N41&lt;&gt;"",P41&lt;&gt;"",J41&lt;&gt;"",L41&lt;&gt;""),"",IF($E41&lt;&gt;"","Enter Lat.      ",""))</f>
        <v/>
      </c>
      <c r="T41" s="1742"/>
      <c r="U41" s="1248" t="str">
        <f ca="1">IF(OR(N41&lt;&gt;"",P41&lt;&gt;"",J41&lt;&gt;"",L41&lt;&gt;""),"",IF($E41&lt;&gt;"","Enter Long.    ",""))</f>
        <v/>
      </c>
      <c r="V41" s="1653"/>
      <c r="W41" s="1618" t="str">
        <f ca="1">IF($E41&lt;&gt;"","Select from Pull-Down List  ","")</f>
        <v/>
      </c>
      <c r="X41" s="1653"/>
      <c r="Y41" s="1618" t="str">
        <f ca="1">IF($E41&lt;&gt;"","Select from Pull-Down List  ","")</f>
        <v/>
      </c>
      <c r="Z41" s="1743"/>
      <c r="AA41" s="1248" t="str">
        <f ca="1">IF(E41&lt;&gt;"","Year?   ","")</f>
        <v/>
      </c>
      <c r="AB41" s="1943"/>
      <c r="AC41" s="1620" t="str">
        <f ca="1">IF(E41="","",IF(X41="","Sq. Ft. or Spaces?   ",IF(OR(X41=Codes!$L$26,X41=Codes!$L$27,X41=Codes!$L$28),"Sq. Ft. or Spaces?   ",IF(OR(X41=Codes!$L$20,X41=Codes!$L$21,X41=Codes!$L$22,X41=Codes!$L$23,X41=Codes!$L$24,X41=Codes!$L$25),"Sq. Ft?     ",""))))</f>
        <v/>
      </c>
      <c r="AD41" s="1740"/>
      <c r="AE41" s="1618" t="str">
        <f ca="1">IF($E41&lt;&gt;"","Select from List     ","")</f>
        <v/>
      </c>
      <c r="AF41" s="1621"/>
      <c r="AG41" s="1618" t="str">
        <f ca="1">IF($E41&lt;&gt;"","% of Cap Resp.","")</f>
        <v/>
      </c>
      <c r="AH41" s="1801" t="str">
        <f ca="1">IF(BW41="", "", IF(BW41&gt;100, 1, VLOOKUP(BW41, Valid!$W$1:$AA$101, VLOOKUP(X41, Codes!$L$20:$N$28, 3, FALSE), FALSE)))</f>
        <v/>
      </c>
      <c r="AI41" s="1620" t="str">
        <f ca="1">IF($E41&lt;&gt;"","Estimated?  ","")</f>
        <v/>
      </c>
      <c r="AJ41" s="1654"/>
      <c r="AK41" s="1620" t="str">
        <f ca="1">IF($E41&lt;&gt;"","Estimated $?    ","")</f>
        <v/>
      </c>
      <c r="AL41" s="1730"/>
      <c r="AM41" s="1620" t="b">
        <f ca="1">IF(E41&lt;&gt;"","Est Date?    ")</f>
        <v>0</v>
      </c>
      <c r="AN41" s="1740"/>
      <c r="AO41" s="1248" t="str">
        <f>IF(X41="Other (describe in Notes)","Describe Facility.                                                                                                                        ","")</f>
        <v/>
      </c>
      <c r="AP41" s="1624"/>
      <c r="AQ41" s="1624" t="b">
        <f>IF(AND(C41="",C43&lt;&gt;""),TRUE,FALSE)</f>
        <v>0</v>
      </c>
      <c r="AR41" s="1624" t="str">
        <f>IF(AND(J41&lt;&gt;"",L41&lt;&gt;"",N41&lt;&gt;"",P41&lt;&gt;"",R41="",T41=""),"Y",IF(AND(J41="",L41="",N41="",P41="",R41&lt;&gt;"",T41&lt;&gt;""),"Y",IF(AND(J41&lt;&gt;"",L41&lt;&gt;"",N41&lt;&gt;"",P41&lt;&gt;"",R41&lt;&gt;"",T41&lt;&gt;""),"Y",IF(AND(J41="",L41="",N41="",P41="",R41="",T41=""),"N/A","N"))))</f>
        <v>N/A</v>
      </c>
      <c r="AS41" s="1624" t="str">
        <f ca="1">IF(AND($C41&lt;&gt;"",OR(AR41="N",$V41="",$X41="",$Z41="",$AB41="",$AF41="",$AH41="",$AL41="",AD41="")),"N",IF(AND($C41="",OR(H41&lt;&gt;"",AR41="N",$V41&lt;&gt;"",$X41&lt;&gt;"",$Z41&lt;&gt;"",$AB41&lt;&gt;"",$AF41&lt;&gt;"",$AH41&lt;&gt;"",$AL41&lt;&gt;"",AD41&lt;&gt;"")),"N",IF(AND(H41="",$C41="",AR41="N/A",$V41="",$X41="",$Z41="",$AB41="",$AF41="",$AH41="",$AL41="",AD41=""),"N/A",IF(AND($C41&lt;&gt;"",AR41="Y",$V41&lt;&gt;"",$X41&lt;&gt;"",$Z41&lt;&gt;"",$AB41&lt;&gt;"",$AF41&lt;&gt;"",$AH41&lt;&gt;"",$AL41&lt;&gt;"",AD41&lt;&gt;""),"Y","N"))))</f>
        <v>N/A</v>
      </c>
      <c r="AT41" s="1761" t="b">
        <f ca="1">IF(AND($C41="",OR($J41&lt;&gt;"",$L41&lt;&gt;"",$N41&lt;&gt;"",$P41&lt;&gt;"",$V41&lt;&gt;"",$X41&lt;&gt;"",$Z41&lt;&gt;"",$AB41&lt;&gt;"",$AF41&lt;&gt;"",$AH41&lt;&gt;"",$AL41&lt;&gt;"")),TRUE,FALSE)</f>
        <v>0</v>
      </c>
      <c r="AU41" s="1761" t="b">
        <f>IF(OR(R41&lt;&gt;"",T41&lt;&gt;""),"false",IF(AND($C41&lt;&gt;"",$J41=""),TRUE,FALSE))</f>
        <v>0</v>
      </c>
      <c r="AV41" s="1761" t="b">
        <f>IF(OR(R41&lt;&gt;"",T41&lt;&gt;""),FALSE,IF(AND($C41&lt;&gt;"",$L41=""),TRUE,FALSE))</f>
        <v>0</v>
      </c>
      <c r="AW41" s="1761" t="b">
        <f>IF(OR(R41&lt;&gt;"",T41&lt;&gt;""),FALSE,IF(AND($C41&lt;&gt;"",$N41=""),TRUE,FALSE))</f>
        <v>0</v>
      </c>
      <c r="AX41" s="1761" t="b">
        <f>IF(OR(R41&lt;&gt;"",T41&lt;&gt;""),FALSE,IF(AND($C41&lt;&gt;"",$P41=""),TRUE,FALSE))</f>
        <v>0</v>
      </c>
      <c r="AY41" s="1761"/>
      <c r="AZ41" s="1761" t="b">
        <f>IF(OR(J41&lt;&gt;"",L41&lt;&gt;"",N41&lt;&gt;"",P41&lt;&gt;""),FALSE,IF(AND(C41&lt;&gt;"",R41=""),TRUE,FALSE))</f>
        <v>0</v>
      </c>
      <c r="BA41" s="1761"/>
      <c r="BB41" s="1761" t="b">
        <f>IF(OR(J41&lt;&gt;"",L41&lt;&gt;"",N41&lt;&gt;"",P41&lt;&gt;""),FALSE,IF(AND(C41&lt;&gt;"",T41=""),TRUE,FALSE))</f>
        <v>0</v>
      </c>
      <c r="BC41" s="1761" t="b">
        <f>IF(AND($C41&lt;&gt;"",$V41=""),TRUE,FALSE)</f>
        <v>0</v>
      </c>
      <c r="BD41" s="1761" t="b">
        <f ca="1">IF(AND(X41="",OR(Z41&lt;&gt;"",AB41&lt;&gt;"",AF41&lt;&gt;"",AH41&lt;&gt;"",AL41&lt;&gt;"",AD41&lt;&gt;"")),TRUE,FALSE)</f>
        <v>0</v>
      </c>
      <c r="BE41" s="1761" t="b">
        <f>IF(AND($C41&lt;&gt;"",$X41=""),TRUE,FALSE)</f>
        <v>0</v>
      </c>
      <c r="BF41" s="1761" t="b">
        <f>IF(Z41="",FALSE,IF(X41="",FALSE,IF(BG41=TRUE,FALSE,IF(OR(Z41&lt;BU41,Z41&gt;BaseYear),TRUE,FALSE))))</f>
        <v>0</v>
      </c>
      <c r="BG41" s="1761" t="b">
        <f>IF(AND($C41&lt;&gt;"",$Z41=""),TRUE,FALSE)</f>
        <v>0</v>
      </c>
      <c r="BH41" s="1761" t="b">
        <f>IF(AD41="",FALSE,IF(X41="",FALSE,IF(BJ41=TRUE,FALSE,IF(AB41&lt;BX41,TRUE,FALSE))))</f>
        <v>0</v>
      </c>
      <c r="BI41" s="1761" t="b">
        <f>IF(AD41="",FALSE,IF(X41="",FALSE,IF(BJ41=TRUE,FALSE,IF(AB41&gt;BY41,TRUE,FALSE))))</f>
        <v>0</v>
      </c>
      <c r="BJ41" s="1761" t="b">
        <f>IF(AND($C41&lt;&gt;"",$AB41=""),TRUE,FALSE)</f>
        <v>0</v>
      </c>
      <c r="BK41" s="1761" t="b">
        <f>IF(BL41=TRUE,FALSE,IF(OR(AF41&lt;0,AF41&gt;1),TRUE,FALSE))</f>
        <v>0</v>
      </c>
      <c r="BL41" s="1761" t="b">
        <f>IF(AND($C41&lt;&gt;"",$AF41=""),TRUE,FALSE)</f>
        <v>0</v>
      </c>
      <c r="BM41" s="1761"/>
      <c r="BN41" s="1761" t="b">
        <f ca="1">IF(AND($C41&lt;&gt;"",$AH41=""),TRUE,FALSE)</f>
        <v>0</v>
      </c>
      <c r="BO41" s="1761" t="b">
        <f>IF(AL41="",FALSE,IF(X41="",FALSE,IF(BP41=TRUE,FALSE,IF(OR(AL41&lt;1913,AL41&gt;BaseYear),TRUE,FALSE))))</f>
        <v>0</v>
      </c>
      <c r="BP41" s="1761" t="b">
        <f>IF(AND($C41&lt;&gt;"",$AL41=""),TRUE,FALSE)</f>
        <v>0</v>
      </c>
      <c r="BQ41" s="1761" t="b">
        <f>IF(AD41="Square Foot",FALSE,IF(AND(AD41="Parking Space",OR('A-20 PassFacInv'!X41=Valid!$B$7,'A-20 PassFacInv'!X41=Valid!$B$8,'A-20 PassFacInv'!X41=Valid!$B$9,'A-20 PassFacInv'!X41=Valid!$B$10,'A-20 PassFacInv'!X41=Valid!$B$12,'A-20 PassFacInv'!X41=Valid!$B$13,'A-20 PassFacInv'!X41=Valid!$B$14,'A-20 PassFacInv'!X41=Valid!$B$15,'A-20 PassFacInv'!X41=Valid!$B$16,'A-20 PassFacInv'!X41=Valid!$B$17,'A-20 PassFacInv'!X41=Valid!$B$18,X41=Valid!$B$19,X41=Valid!$B$20,X41=Valid!$B$21)),TRUE,FALSE))</f>
        <v>0</v>
      </c>
      <c r="BR41" s="1761" t="b">
        <f>IF(AND($C41&lt;&gt;"",$AD41=""),TRUE,FALSE)</f>
        <v>0</v>
      </c>
      <c r="BS41" s="721"/>
      <c r="BT41" s="1625" t="str">
        <f>IF($X41="","",VLOOKUP($X41,val_facilities,BT$3,FALSE))</f>
        <v/>
      </c>
      <c r="BU41" s="1627" t="str">
        <f>IF($X41="","",VLOOKUP($X41,val_facilities,BU$3,FALSE))</f>
        <v/>
      </c>
      <c r="BV41" s="1627" t="str">
        <f>IF($X41="","",VLOOKUP($X41,val_facilities,BV$3,FALSE))</f>
        <v/>
      </c>
      <c r="BW41" s="1627" t="str">
        <f ca="1">IFERROR(IF(Z41="", "", YEAR(TODAY())-Z41), "")</f>
        <v/>
      </c>
      <c r="BX41" s="845" t="str">
        <f>IF($X41="","",IF(AD41="Square Feet",VLOOKUP('A-20 PassFacInv'!X27,Valid!$B$7:$H$24,7,FALSE),IF(AD41="Parking Spaces",VLOOKUP(X41,Valid!$B$22:$L$24,11,FALSE))))</f>
        <v/>
      </c>
      <c r="BY41" s="845" t="str">
        <f>IF($X41="","",IF(AD41="Square Feet",VLOOKUP(X41,Valid!$B$7:$I$24,8,FALSE),IF('A-20 PassFacInv'!AD27="Parking Spaces",VLOOKUP('A-20 PassFacInv'!X27,Valid!$B$22:$M$24,12,FALSE))))</f>
        <v/>
      </c>
      <c r="BZ41" s="1229"/>
      <c r="CA41" s="721">
        <f t="shared" si="1"/>
        <v>0</v>
      </c>
      <c r="CB41" s="816"/>
    </row>
    <row r="42" spans="1:80" s="1739" customFormat="1" ht="6.75" customHeight="1" thickBot="1" x14ac:dyDescent="0.25">
      <c r="A42" s="1638"/>
      <c r="B42" s="1746">
        <v>15.5</v>
      </c>
      <c r="C42" s="1057"/>
      <c r="D42" s="764"/>
      <c r="E42" s="1057"/>
      <c r="F42" s="1229"/>
      <c r="G42" s="1229"/>
      <c r="H42" s="1229"/>
      <c r="I42" s="1229"/>
      <c r="J42" s="1604"/>
      <c r="K42" s="1229"/>
      <c r="L42" s="1605"/>
      <c r="M42" s="1644"/>
      <c r="N42" s="1605"/>
      <c r="O42" s="1644"/>
      <c r="P42" s="1733"/>
      <c r="Q42" s="1644"/>
      <c r="R42" s="1663"/>
      <c r="S42" s="1229"/>
      <c r="T42" s="1663"/>
      <c r="U42" s="1229"/>
      <c r="V42" s="1057"/>
      <c r="W42" s="1623"/>
      <c r="X42" s="1747"/>
      <c r="Y42" s="1623"/>
      <c r="Z42" s="1623"/>
      <c r="AA42" s="1623"/>
      <c r="AB42" s="1944"/>
      <c r="AC42" s="841"/>
      <c r="AD42" s="1057"/>
      <c r="AE42" s="841"/>
      <c r="AF42" s="841"/>
      <c r="AG42" s="841"/>
      <c r="AH42" s="722"/>
      <c r="AI42" s="841"/>
      <c r="AJ42" s="722"/>
      <c r="AK42" s="841"/>
      <c r="AL42" s="1717"/>
      <c r="AM42" s="841"/>
      <c r="AN42" s="1057"/>
      <c r="AO42" s="1644"/>
      <c r="AP42" s="1644"/>
      <c r="AQ42" s="1644"/>
      <c r="AR42" s="1644"/>
      <c r="AS42" s="1644"/>
      <c r="AT42" s="1761"/>
      <c r="AU42" s="1761"/>
      <c r="AV42" s="1761"/>
      <c r="AW42" s="1761"/>
      <c r="AX42" s="1761"/>
      <c r="AY42" s="1761"/>
      <c r="AZ42" s="1761"/>
      <c r="BA42" s="1761"/>
      <c r="BB42" s="1761"/>
      <c r="BC42" s="1762"/>
      <c r="BD42" s="1762"/>
      <c r="BE42" s="1762"/>
      <c r="BF42" s="1762"/>
      <c r="BG42" s="1762"/>
      <c r="BH42" s="1762"/>
      <c r="BI42" s="1762"/>
      <c r="BJ42" s="1762"/>
      <c r="BK42" s="1762"/>
      <c r="BL42" s="1762"/>
      <c r="BM42" s="1762"/>
      <c r="BN42" s="1762"/>
      <c r="BO42" s="1762"/>
      <c r="BP42" s="1762"/>
      <c r="BQ42" s="1763"/>
      <c r="BR42" s="1762"/>
      <c r="BS42" s="1736"/>
      <c r="BT42" s="1738"/>
      <c r="BU42" s="1738"/>
      <c r="BV42" s="1738"/>
      <c r="BW42" s="1738"/>
      <c r="BX42" s="1738"/>
      <c r="BY42" s="1738"/>
      <c r="BZ42" s="1229"/>
      <c r="CA42" s="721">
        <f t="shared" si="1"/>
        <v>0</v>
      </c>
      <c r="CB42" s="1748"/>
    </row>
    <row r="43" spans="1:80" s="1739" customFormat="1" x14ac:dyDescent="0.2">
      <c r="A43" s="840">
        <v>16</v>
      </c>
      <c r="B43" s="1746">
        <v>16</v>
      </c>
      <c r="C43" s="1740"/>
      <c r="D43" s="1248" t="str">
        <f>IF(C41="","",IF((C43=""),"Enter Facility "&amp;TEXT(A43,0)&amp;" Name, then Fill in Columns "&amp;TEXT($H$2,0)&amp;" - "&amp;TEXT($AL$2,0)&amp;"       ",""))</f>
        <v/>
      </c>
      <c r="E43" s="1245" t="str">
        <f ca="1">IF(AS43="N/A","",IF(AS43="N","No","Yes"))</f>
        <v/>
      </c>
      <c r="F43" s="758"/>
      <c r="G43" s="758"/>
      <c r="H43" s="1707"/>
      <c r="I43" s="758"/>
      <c r="J43" s="1653"/>
      <c r="K43" s="1248" t="str">
        <f ca="1">IF($E43&lt;&gt;"","Enter Street Address      ","")</f>
        <v/>
      </c>
      <c r="L43" s="1740"/>
      <c r="M43" s="1248" t="str">
        <f ca="1">IF($E43&lt;&gt;"","Enter City Name       ","")</f>
        <v/>
      </c>
      <c r="N43" s="1740"/>
      <c r="O43" s="1248" t="str">
        <f ca="1">IF($E43&lt;&gt;"","Select from Pull-Down List   ","")</f>
        <v/>
      </c>
      <c r="P43" s="1741"/>
      <c r="Q43" s="1248" t="str">
        <f ca="1">IF($E43&lt;&gt;"","Enter ZIP Code       ","")</f>
        <v/>
      </c>
      <c r="R43" s="1742"/>
      <c r="S43" s="1248" t="str">
        <f ca="1">IF(OR(N43&lt;&gt;"",P43&lt;&gt;"",J43&lt;&gt;"",L43&lt;&gt;""),"",IF($E43&lt;&gt;"","Enter Lat.      ",""))</f>
        <v/>
      </c>
      <c r="T43" s="1742"/>
      <c r="U43" s="1248" t="str">
        <f ca="1">IF(OR(N43&lt;&gt;"",P43&lt;&gt;"",J43&lt;&gt;"",L43&lt;&gt;""),"",IF($E43&lt;&gt;"","Enter Long.    ",""))</f>
        <v/>
      </c>
      <c r="V43" s="1653"/>
      <c r="W43" s="1618" t="str">
        <f ca="1">IF($E43&lt;&gt;"","Select from Pull-Down List  ","")</f>
        <v/>
      </c>
      <c r="X43" s="1653"/>
      <c r="Y43" s="1618" t="str">
        <f ca="1">IF($E43&lt;&gt;"","Select from Pull-Down List  ","")</f>
        <v/>
      </c>
      <c r="Z43" s="1743"/>
      <c r="AA43" s="1248" t="str">
        <f ca="1">IF(E43&lt;&gt;"","Year?   ","")</f>
        <v/>
      </c>
      <c r="AB43" s="1943"/>
      <c r="AC43" s="1620" t="str">
        <f ca="1">IF(E43="","",IF(X43="","Sq. Ft. or Spaces?   ",IF(OR(X43=Codes!$L$26,X43=Codes!$L$27,X43=Codes!$L$28),"Sq. Ft. or Spaces?   ",IF(OR(X43=Codes!$L$20,X43=Codes!$L$21,X43=Codes!$L$22,X43=Codes!$L$23,X43=Codes!$L$24,X43=Codes!$L$25),"Sq. Ft?     ",""))))</f>
        <v/>
      </c>
      <c r="AD43" s="1740"/>
      <c r="AE43" s="1618" t="str">
        <f ca="1">IF($E43&lt;&gt;"","Select from List     ","")</f>
        <v/>
      </c>
      <c r="AF43" s="1621"/>
      <c r="AG43" s="1618" t="str">
        <f ca="1">IF($E43&lt;&gt;"","% of Cap Resp.","")</f>
        <v/>
      </c>
      <c r="AH43" s="1801" t="str">
        <f ca="1">IF(BW43="", "", IF(BW43&gt;100, 1, VLOOKUP(BW43, Valid!$W$1:$AA$101, VLOOKUP(X43, Codes!$L$20:$N$28, 3, FALSE), FALSE)))</f>
        <v/>
      </c>
      <c r="AI43" s="1620" t="str">
        <f ca="1">IF($E43&lt;&gt;"","Estimated?  ","")</f>
        <v/>
      </c>
      <c r="AJ43" s="1654"/>
      <c r="AK43" s="1620" t="str">
        <f ca="1">IF($E43&lt;&gt;"","Estimated $?    ","")</f>
        <v/>
      </c>
      <c r="AL43" s="1730"/>
      <c r="AM43" s="1620" t="b">
        <f ca="1">IF(E43&lt;&gt;"","Est Date?    ")</f>
        <v>0</v>
      </c>
      <c r="AN43" s="1740"/>
      <c r="AO43" s="1248" t="str">
        <f>IF(X43="Other (describe in Notes)","Describe Facility.                                                                                                                        ","")</f>
        <v/>
      </c>
      <c r="AP43" s="1624"/>
      <c r="AQ43" s="1624" t="b">
        <f>IF(AND(C43="",C45&lt;&gt;""),TRUE,FALSE)</f>
        <v>0</v>
      </c>
      <c r="AR43" s="1624" t="str">
        <f>IF(AND(J43&lt;&gt;"",L43&lt;&gt;"",N43&lt;&gt;"",P43&lt;&gt;"",R43="",T43=""),"Y",IF(AND(J43="",L43="",N43="",P43="",R43&lt;&gt;"",T43&lt;&gt;""),"Y",IF(AND(J43&lt;&gt;"",L43&lt;&gt;"",N43&lt;&gt;"",P43&lt;&gt;"",R43&lt;&gt;"",T43&lt;&gt;""),"Y",IF(AND(J43="",L43="",N43="",P43="",R43="",T43=""),"N/A","N"))))</f>
        <v>N/A</v>
      </c>
      <c r="AS43" s="1624" t="str">
        <f ca="1">IF(AND($C43&lt;&gt;"",OR(AR43="N",$V43="",$X43="",$Z43="",$AB43="",$AF43="",$AH43="",$AL43="",AD43="")),"N",IF(AND($C43="",OR(H43&lt;&gt;"",AR43="N",$V43&lt;&gt;"",$X43&lt;&gt;"",$Z43&lt;&gt;"",$AB43&lt;&gt;"",$AF43&lt;&gt;"",$AH43&lt;&gt;"",$AL43&lt;&gt;"",AD43&lt;&gt;"")),"N",IF(AND(H43="",$C43="",AR43="N/A",$V43="",$X43="",$Z43="",$AB43="",$AF43="",$AH43="",$AL43="",AD43=""),"N/A",IF(AND($C43&lt;&gt;"",AR43="Y",$V43&lt;&gt;"",$X43&lt;&gt;"",$Z43&lt;&gt;"",$AB43&lt;&gt;"",$AF43&lt;&gt;"",$AH43&lt;&gt;"",$AL43&lt;&gt;"",AD43&lt;&gt;""),"Y","N"))))</f>
        <v>N/A</v>
      </c>
      <c r="AT43" s="1761" t="b">
        <f ca="1">IF(AND($C43="",OR($J43&lt;&gt;"",$L43&lt;&gt;"",$N43&lt;&gt;"",$P43&lt;&gt;"",$V43&lt;&gt;"",$X43&lt;&gt;"",$Z43&lt;&gt;"",$AB43&lt;&gt;"",$AF43&lt;&gt;"",$AH43&lt;&gt;"",$AL43&lt;&gt;"")),TRUE,FALSE)</f>
        <v>0</v>
      </c>
      <c r="AU43" s="1761" t="b">
        <f>IF(OR(R43&lt;&gt;"",T43&lt;&gt;""),"false",IF(AND($C43&lt;&gt;"",$J43=""),TRUE,FALSE))</f>
        <v>0</v>
      </c>
      <c r="AV43" s="1761" t="b">
        <f>IF(OR(R43&lt;&gt;"",T43&lt;&gt;""),FALSE,IF(AND($C43&lt;&gt;"",$L43=""),TRUE,FALSE))</f>
        <v>0</v>
      </c>
      <c r="AW43" s="1761" t="b">
        <f>IF(OR(R43&lt;&gt;"",T43&lt;&gt;""),FALSE,IF(AND($C43&lt;&gt;"",$N43=""),TRUE,FALSE))</f>
        <v>0</v>
      </c>
      <c r="AX43" s="1761" t="b">
        <f>IF(OR(R43&lt;&gt;"",T43&lt;&gt;""),FALSE,IF(AND($C43&lt;&gt;"",$P43=""),TRUE,FALSE))</f>
        <v>0</v>
      </c>
      <c r="AY43" s="1761"/>
      <c r="AZ43" s="1761" t="b">
        <f>IF(OR(J43&lt;&gt;"",L43&lt;&gt;"",N43&lt;&gt;"",P43&lt;&gt;""),FALSE,IF(AND(C43&lt;&gt;"",R43=""),TRUE,FALSE))</f>
        <v>0</v>
      </c>
      <c r="BA43" s="1761"/>
      <c r="BB43" s="1761" t="b">
        <f>IF(OR(J43&lt;&gt;"",L43&lt;&gt;"",N43&lt;&gt;"",P43&lt;&gt;""),FALSE,IF(AND(C43&lt;&gt;"",T43=""),TRUE,FALSE))</f>
        <v>0</v>
      </c>
      <c r="BC43" s="1761" t="b">
        <f>IF(AND($C43&lt;&gt;"",$V43=""),TRUE,FALSE)</f>
        <v>0</v>
      </c>
      <c r="BD43" s="1761" t="b">
        <f ca="1">IF(AND(X43="",OR(Z43&lt;&gt;"",AB43&lt;&gt;"",AF43&lt;&gt;"",AH43&lt;&gt;"",AL43&lt;&gt;"",AD43&lt;&gt;"")),TRUE,FALSE)</f>
        <v>0</v>
      </c>
      <c r="BE43" s="1761" t="b">
        <f>IF(AND($C43&lt;&gt;"",$X43=""),TRUE,FALSE)</f>
        <v>0</v>
      </c>
      <c r="BF43" s="1761" t="b">
        <f>IF(Z43="",FALSE,IF(X43="",FALSE,IF(BG43=TRUE,FALSE,IF(OR(Z43&lt;BU43,Z43&gt;BaseYear),TRUE,FALSE))))</f>
        <v>0</v>
      </c>
      <c r="BG43" s="1761" t="b">
        <f>IF(AND($C43&lt;&gt;"",$Z43=""),TRUE,FALSE)</f>
        <v>0</v>
      </c>
      <c r="BH43" s="1761" t="b">
        <f>IF(AD43="",FALSE,IF(X43="",FALSE,IF(BJ43=TRUE,FALSE,IF(AB43&lt;BX43,TRUE,FALSE))))</f>
        <v>0</v>
      </c>
      <c r="BI43" s="1761" t="b">
        <f>IF(AD43="",FALSE,IF(X43="",FALSE,IF(BJ43=TRUE,FALSE,IF(AB43&gt;BY43,TRUE,FALSE))))</f>
        <v>0</v>
      </c>
      <c r="BJ43" s="1761" t="b">
        <f>IF(AND($C43&lt;&gt;"",$AB43=""),TRUE,FALSE)</f>
        <v>0</v>
      </c>
      <c r="BK43" s="1761" t="b">
        <f>IF(BL43=TRUE,FALSE,IF(OR(AF43&lt;0,AF43&gt;1),TRUE,FALSE))</f>
        <v>0</v>
      </c>
      <c r="BL43" s="1761" t="b">
        <f>IF(AND($C43&lt;&gt;"",$AF43=""),TRUE,FALSE)</f>
        <v>0</v>
      </c>
      <c r="BM43" s="1761"/>
      <c r="BN43" s="1761" t="b">
        <f ca="1">IF(AND($C43&lt;&gt;"",$AH43=""),TRUE,FALSE)</f>
        <v>0</v>
      </c>
      <c r="BO43" s="1761" t="b">
        <f>IF(AL43="",FALSE,IF(X43="",FALSE,IF(BP43=TRUE,FALSE,IF(OR(AL43&lt;1913,AL43&gt;BaseYear),TRUE,FALSE))))</f>
        <v>0</v>
      </c>
      <c r="BP43" s="1761" t="b">
        <f>IF(AND($C43&lt;&gt;"",$AL43=""),TRUE,FALSE)</f>
        <v>0</v>
      </c>
      <c r="BQ43" s="1761" t="b">
        <f>IF(AD43="Square Foot",FALSE,IF(AND(AD43="Parking Space",OR('A-20 PassFacInv'!X43=Valid!$B$7,'A-20 PassFacInv'!X43=Valid!$B$8,'A-20 PassFacInv'!X43=Valid!$B$9,'A-20 PassFacInv'!X43=Valid!$B$10,'A-20 PassFacInv'!X43=Valid!$B$12,'A-20 PassFacInv'!X43=Valid!$B$13,'A-20 PassFacInv'!X43=Valid!$B$14,'A-20 PassFacInv'!X43=Valid!$B$15,'A-20 PassFacInv'!X43=Valid!$B$16,'A-20 PassFacInv'!X43=Valid!$B$17,'A-20 PassFacInv'!X43=Valid!$B$18,X43=Valid!$B$19,X43=Valid!$B$20,X43=Valid!$B$21)),TRUE,FALSE))</f>
        <v>0</v>
      </c>
      <c r="BR43" s="1761" t="b">
        <f>IF(AND($C43&lt;&gt;"",$AD43=""),TRUE,FALSE)</f>
        <v>0</v>
      </c>
      <c r="BS43" s="721"/>
      <c r="BT43" s="1625" t="str">
        <f>IF($X43="","",VLOOKUP($X43,val_facilities,BT$3,FALSE))</f>
        <v/>
      </c>
      <c r="BU43" s="1627" t="str">
        <f>IF($X43="","",VLOOKUP($X43,val_facilities,BU$3,FALSE))</f>
        <v/>
      </c>
      <c r="BV43" s="1627" t="str">
        <f>IF($X43="","",VLOOKUP($X43,val_facilities,BV$3,FALSE))</f>
        <v/>
      </c>
      <c r="BW43" s="1627" t="str">
        <f ca="1">IFERROR(IF(Z43="", "", YEAR(TODAY())-Z43), "")</f>
        <v/>
      </c>
      <c r="BX43" s="845" t="str">
        <f>IF($X43="","",IF(AD43="Square Feet",VLOOKUP('A-20 PassFacInv'!X28,Valid!$B$7:$H$24,7,FALSE),IF(AD43="Parking Spaces",VLOOKUP(X43,Valid!$B$22:$L$24,11,FALSE))))</f>
        <v/>
      </c>
      <c r="BY43" s="845" t="str">
        <f>IF($X43="","",IF(AD43="Square Feet",VLOOKUP(X43,Valid!$B$7:$I$24,8,FALSE),IF('A-20 PassFacInv'!AD28="Parking Spaces",VLOOKUP('A-20 PassFacInv'!X28,Valid!$B$22:$M$24,12,FALSE))))</f>
        <v/>
      </c>
      <c r="BZ43" s="1229"/>
      <c r="CA43" s="721">
        <f t="shared" si="1"/>
        <v>0</v>
      </c>
      <c r="CB43" s="816"/>
    </row>
    <row r="44" spans="1:80" s="1739" customFormat="1" ht="6.75" customHeight="1" thickBot="1" x14ac:dyDescent="0.25">
      <c r="A44" s="1638"/>
      <c r="B44" s="1746">
        <v>16.5</v>
      </c>
      <c r="C44" s="1057"/>
      <c r="D44" s="1248"/>
      <c r="E44" s="1639"/>
      <c r="F44" s="1229"/>
      <c r="G44" s="1229"/>
      <c r="H44" s="1229"/>
      <c r="I44" s="1229"/>
      <c r="J44" s="1604"/>
      <c r="K44" s="1640"/>
      <c r="L44" s="1641"/>
      <c r="M44" s="1248"/>
      <c r="N44" s="1641"/>
      <c r="O44" s="1248"/>
      <c r="P44" s="1659"/>
      <c r="Q44" s="1248"/>
      <c r="R44" s="1660"/>
      <c r="S44" s="1640"/>
      <c r="T44" s="1660"/>
      <c r="U44" s="1640"/>
      <c r="V44" s="1057"/>
      <c r="W44" s="1618"/>
      <c r="X44" s="1747"/>
      <c r="Y44" s="1618"/>
      <c r="Z44" s="1623"/>
      <c r="AA44" s="1618"/>
      <c r="AB44" s="1944"/>
      <c r="AC44" s="1275"/>
      <c r="AD44" s="1661"/>
      <c r="AE44" s="734"/>
      <c r="AF44" s="1748"/>
      <c r="AG44" s="1275"/>
      <c r="AH44" s="722"/>
      <c r="AI44" s="1275"/>
      <c r="AJ44" s="733"/>
      <c r="AK44" s="1275"/>
      <c r="AL44" s="1721"/>
      <c r="AM44" s="1275"/>
      <c r="AN44" s="1057"/>
      <c r="AO44" s="1644"/>
      <c r="AP44" s="1644"/>
      <c r="AQ44" s="1644"/>
      <c r="AR44" s="1644"/>
      <c r="AS44" s="1644"/>
      <c r="AT44" s="1761"/>
      <c r="AU44" s="1761"/>
      <c r="AV44" s="1761"/>
      <c r="AW44" s="1761"/>
      <c r="AX44" s="1761"/>
      <c r="AY44" s="1761"/>
      <c r="AZ44" s="1761"/>
      <c r="BA44" s="1761"/>
      <c r="BB44" s="1761"/>
      <c r="BC44" s="1762"/>
      <c r="BD44" s="1762"/>
      <c r="BE44" s="1762"/>
      <c r="BF44" s="1762"/>
      <c r="BG44" s="1762"/>
      <c r="BH44" s="1762"/>
      <c r="BI44" s="1762"/>
      <c r="BJ44" s="1762"/>
      <c r="BK44" s="1762"/>
      <c r="BL44" s="1762"/>
      <c r="BM44" s="1762"/>
      <c r="BN44" s="1762"/>
      <c r="BO44" s="1762"/>
      <c r="BP44" s="1762"/>
      <c r="BQ44" s="1762"/>
      <c r="BR44" s="1762"/>
      <c r="BS44" s="1736"/>
      <c r="BT44" s="1738"/>
      <c r="BU44" s="1738"/>
      <c r="BV44" s="1738"/>
      <c r="BW44" s="1738"/>
      <c r="BX44" s="1738"/>
      <c r="BY44" s="1738"/>
      <c r="BZ44" s="1229"/>
      <c r="CA44" s="721">
        <f t="shared" si="1"/>
        <v>0</v>
      </c>
      <c r="CB44" s="816"/>
    </row>
    <row r="45" spans="1:80" s="1739" customFormat="1" x14ac:dyDescent="0.2">
      <c r="A45" s="840">
        <v>17</v>
      </c>
      <c r="B45" s="1746">
        <v>17</v>
      </c>
      <c r="C45" s="1740"/>
      <c r="D45" s="1248" t="str">
        <f>IF(C43="","",IF((C45=""),"Enter Facility "&amp;TEXT(A45,0)&amp;" Name, then Fill in Columns "&amp;TEXT($H$2,0)&amp;" - "&amp;TEXT($AL$2,0)&amp;"       ",""))</f>
        <v/>
      </c>
      <c r="E45" s="1245" t="str">
        <f ca="1">IF(AS45="N/A","",IF(AS45="N","No","Yes"))</f>
        <v/>
      </c>
      <c r="F45" s="758"/>
      <c r="G45" s="758"/>
      <c r="H45" s="1707"/>
      <c r="I45" s="758"/>
      <c r="J45" s="1653"/>
      <c r="K45" s="1248" t="str">
        <f ca="1">IF($E45&lt;&gt;"","Enter Street Address      ","")</f>
        <v/>
      </c>
      <c r="L45" s="1740"/>
      <c r="M45" s="1248" t="str">
        <f ca="1">IF($E45&lt;&gt;"","Enter City Name       ","")</f>
        <v/>
      </c>
      <c r="N45" s="1740"/>
      <c r="O45" s="1248" t="str">
        <f ca="1">IF($E45&lt;&gt;"","Select from Pull-Down List   ","")</f>
        <v/>
      </c>
      <c r="P45" s="1741"/>
      <c r="Q45" s="1248" t="str">
        <f ca="1">IF($E45&lt;&gt;"","Enter ZIP Code       ","")</f>
        <v/>
      </c>
      <c r="R45" s="1742"/>
      <c r="S45" s="1248" t="str">
        <f ca="1">IF(OR(N45&lt;&gt;"",P45&lt;&gt;"",J45&lt;&gt;"",L45&lt;&gt;""),"",IF($E45&lt;&gt;"","Enter Lat.      ",""))</f>
        <v/>
      </c>
      <c r="T45" s="1742"/>
      <c r="U45" s="1248" t="str">
        <f ca="1">IF(OR(N45&lt;&gt;"",P45&lt;&gt;"",J45&lt;&gt;"",L45&lt;&gt;""),"",IF($E45&lt;&gt;"","Enter Long.    ",""))</f>
        <v/>
      </c>
      <c r="V45" s="1653"/>
      <c r="W45" s="1618" t="str">
        <f ca="1">IF($E45&lt;&gt;"","Select from Pull-Down List  ","")</f>
        <v/>
      </c>
      <c r="X45" s="1653"/>
      <c r="Y45" s="1618" t="str">
        <f ca="1">IF($E45&lt;&gt;"","Select from Pull-Down List  ","")</f>
        <v/>
      </c>
      <c r="Z45" s="1743"/>
      <c r="AA45" s="1248" t="str">
        <f ca="1">IF(E45&lt;&gt;"","Year?   ","")</f>
        <v/>
      </c>
      <c r="AB45" s="1943"/>
      <c r="AC45" s="1620" t="str">
        <f ca="1">IF(E45="","",IF(X45="","Sq. Ft. or Spaces?   ",IF(OR(X45=Codes!$L$26,X45=Codes!$L$27,X45=Codes!$L$28),"Sq. Ft. or Spaces?   ",IF(OR(X45=Codes!$L$20,X45=Codes!$L$21,X45=Codes!$L$22,X45=Codes!$L$23,X45=Codes!$L$24,X45=Codes!$L$25),"Sq. Ft?     ",""))))</f>
        <v/>
      </c>
      <c r="AD45" s="1740"/>
      <c r="AE45" s="1618" t="str">
        <f ca="1">IF($E45&lt;&gt;"","Select from List     ","")</f>
        <v/>
      </c>
      <c r="AF45" s="1621"/>
      <c r="AG45" s="1618" t="str">
        <f ca="1">IF($E45&lt;&gt;"","% of Cap Resp.","")</f>
        <v/>
      </c>
      <c r="AH45" s="1801" t="str">
        <f ca="1">IF(BW45="", "", IF(BW45&gt;100, 1, VLOOKUP(BW45, Valid!$W$1:$AA$101, VLOOKUP(X45, Codes!$L$20:$N$28, 3, FALSE), FALSE)))</f>
        <v/>
      </c>
      <c r="AI45" s="1620" t="str">
        <f ca="1">IF($E45&lt;&gt;"","Estimated?  ","")</f>
        <v/>
      </c>
      <c r="AJ45" s="1654"/>
      <c r="AK45" s="1620" t="str">
        <f ca="1">IF($E45&lt;&gt;"","Estimated $?    ","")</f>
        <v/>
      </c>
      <c r="AL45" s="1730"/>
      <c r="AM45" s="1620" t="b">
        <f ca="1">IF(E45&lt;&gt;"","Est Date?    ")</f>
        <v>0</v>
      </c>
      <c r="AN45" s="1740"/>
      <c r="AO45" s="1248" t="str">
        <f>IF(X45="Other (describe in Notes)","Describe Facility.                                                                                                                        ","")</f>
        <v/>
      </c>
      <c r="AP45" s="1624"/>
      <c r="AQ45" s="1624" t="b">
        <f>IF(AND(C45="",C47&lt;&gt;""),TRUE,FALSE)</f>
        <v>0</v>
      </c>
      <c r="AR45" s="1624" t="str">
        <f>IF(AND(J45&lt;&gt;"",L45&lt;&gt;"",N45&lt;&gt;"",P45&lt;&gt;"",R45="",T45=""),"Y",IF(AND(J45="",L45="",N45="",P45="",R45&lt;&gt;"",T45&lt;&gt;""),"Y",IF(AND(J45&lt;&gt;"",L45&lt;&gt;"",N45&lt;&gt;"",P45&lt;&gt;"",R45&lt;&gt;"",T45&lt;&gt;""),"Y",IF(AND(J45="",L45="",N45="",P45="",R45="",T45=""),"N/A","N"))))</f>
        <v>N/A</v>
      </c>
      <c r="AS45" s="1624" t="str">
        <f ca="1">IF(AND($C45&lt;&gt;"",OR(AR45="N",$V45="",$X45="",$Z45="",$AB45="",$AF45="",$AH45="",$AL45="",AD45="")),"N",IF(AND($C45="",OR(H45&lt;&gt;"",AR45="N",$V45&lt;&gt;"",$X45&lt;&gt;"",$Z45&lt;&gt;"",$AB45&lt;&gt;"",$AF45&lt;&gt;"",$AH45&lt;&gt;"",$AL45&lt;&gt;"",AD45&lt;&gt;"")),"N",IF(AND(H45="",$C45="",AR45="N/A",$V45="",$X45="",$Z45="",$AB45="",$AF45="",$AH45="",$AL45="",AD45=""),"N/A",IF(AND($C45&lt;&gt;"",AR45="Y",$V45&lt;&gt;"",$X45&lt;&gt;"",$Z45&lt;&gt;"",$AB45&lt;&gt;"",$AF45&lt;&gt;"",$AH45&lt;&gt;"",$AL45&lt;&gt;"",AD45&lt;&gt;""),"Y","N"))))</f>
        <v>N/A</v>
      </c>
      <c r="AT45" s="1761" t="b">
        <f ca="1">IF(AND($C45="",OR($J45&lt;&gt;"",$L45&lt;&gt;"",$N45&lt;&gt;"",$P45&lt;&gt;"",$V45&lt;&gt;"",$X45&lt;&gt;"",$Z45&lt;&gt;"",$AB45&lt;&gt;"",$AF45&lt;&gt;"",$AH45&lt;&gt;"",$AL45&lt;&gt;"")),TRUE,FALSE)</f>
        <v>0</v>
      </c>
      <c r="AU45" s="1761" t="b">
        <f>IF(OR(R45&lt;&gt;"",T45&lt;&gt;""),"false",IF(AND($C45&lt;&gt;"",$J45=""),TRUE,FALSE))</f>
        <v>0</v>
      </c>
      <c r="AV45" s="1761" t="b">
        <f>IF(OR(R45&lt;&gt;"",T45&lt;&gt;""),FALSE,IF(AND($C45&lt;&gt;"",$L45=""),TRUE,FALSE))</f>
        <v>0</v>
      </c>
      <c r="AW45" s="1761" t="b">
        <f>IF(OR(R45&lt;&gt;"",T45&lt;&gt;""),FALSE,IF(AND($C45&lt;&gt;"",$N45=""),TRUE,FALSE))</f>
        <v>0</v>
      </c>
      <c r="AX45" s="1761" t="b">
        <f>IF(OR(R45&lt;&gt;"",T45&lt;&gt;""),FALSE,IF(AND($C45&lt;&gt;"",$P45=""),TRUE,FALSE))</f>
        <v>0</v>
      </c>
      <c r="AY45" s="1761"/>
      <c r="AZ45" s="1761" t="b">
        <f>IF(OR(J45&lt;&gt;"",L45&lt;&gt;"",N45&lt;&gt;"",P45&lt;&gt;""),FALSE,IF(AND(C45&lt;&gt;"",R45=""),TRUE,FALSE))</f>
        <v>0</v>
      </c>
      <c r="BA45" s="1761"/>
      <c r="BB45" s="1761" t="b">
        <f>IF(OR(J45&lt;&gt;"",L45&lt;&gt;"",N45&lt;&gt;"",P45&lt;&gt;""),FALSE,IF(AND(C45&lt;&gt;"",T45=""),TRUE,FALSE))</f>
        <v>0</v>
      </c>
      <c r="BC45" s="1761" t="b">
        <f>IF(AND($C45&lt;&gt;"",$V45=""),TRUE,FALSE)</f>
        <v>0</v>
      </c>
      <c r="BD45" s="1761" t="b">
        <f ca="1">IF(AND(X45="",OR(Z45&lt;&gt;"",AB45&lt;&gt;"",AF45&lt;&gt;"",AH45&lt;&gt;"",AL45&lt;&gt;"",AD45&lt;&gt;"")),TRUE,FALSE)</f>
        <v>0</v>
      </c>
      <c r="BE45" s="1761" t="b">
        <f>IF(AND($C45&lt;&gt;"",$X45=""),TRUE,FALSE)</f>
        <v>0</v>
      </c>
      <c r="BF45" s="1761" t="b">
        <f>IF(Z45="",FALSE,IF(X45="",FALSE,IF(BG45=TRUE,FALSE,IF(OR(Z45&lt;BU45,Z45&gt;BaseYear),TRUE,FALSE))))</f>
        <v>0</v>
      </c>
      <c r="BG45" s="1761" t="b">
        <f>IF(AND($C45&lt;&gt;"",$Z45=""),TRUE,FALSE)</f>
        <v>0</v>
      </c>
      <c r="BH45" s="1761" t="b">
        <f>IF(AD45="",FALSE,IF(X45="",FALSE,IF(BJ45=TRUE,FALSE,IF(AB45&lt;BX45,TRUE,FALSE))))</f>
        <v>0</v>
      </c>
      <c r="BI45" s="1761" t="b">
        <f>IF(AD45="",FALSE,IF(X45="",FALSE,IF(BJ45=TRUE,FALSE,IF(AB45&gt;BY45,TRUE,FALSE))))</f>
        <v>0</v>
      </c>
      <c r="BJ45" s="1761" t="b">
        <f>IF(AND($C45&lt;&gt;"",$AB45=""),TRUE,FALSE)</f>
        <v>0</v>
      </c>
      <c r="BK45" s="1761" t="b">
        <f>IF(BL45=TRUE,FALSE,IF(OR(AF45&lt;0,AF45&gt;1),TRUE,FALSE))</f>
        <v>0</v>
      </c>
      <c r="BL45" s="1761" t="b">
        <f>IF(AND($C45&lt;&gt;"",$AF45=""),TRUE,FALSE)</f>
        <v>0</v>
      </c>
      <c r="BM45" s="1761"/>
      <c r="BN45" s="1761" t="b">
        <f ca="1">IF(AND($C45&lt;&gt;"",$AH45=""),TRUE,FALSE)</f>
        <v>0</v>
      </c>
      <c r="BO45" s="1761" t="b">
        <f>IF(AL45="",FALSE,IF(X45="",FALSE,IF(BP45=TRUE,FALSE,IF(OR(AL45&lt;1913,AL45&gt;BaseYear),TRUE,FALSE))))</f>
        <v>0</v>
      </c>
      <c r="BP45" s="1761" t="b">
        <f>IF(AND($C45&lt;&gt;"",$AL45=""),TRUE,FALSE)</f>
        <v>0</v>
      </c>
      <c r="BQ45" s="1761" t="b">
        <f>IF(AD45="Square Foot",FALSE,IF(AND(AD45="Parking Space",OR('A-20 PassFacInv'!X45=Valid!$B$7,'A-20 PassFacInv'!X45=Valid!$B$8,'A-20 PassFacInv'!X45=Valid!$B$9,'A-20 PassFacInv'!X45=Valid!$B$10,'A-20 PassFacInv'!X45=Valid!$B$12,'A-20 PassFacInv'!X45=Valid!$B$13,'A-20 PassFacInv'!X45=Valid!$B$14,'A-20 PassFacInv'!X45=Valid!$B$15,'A-20 PassFacInv'!X45=Valid!$B$16,'A-20 PassFacInv'!X45=Valid!$B$17,'A-20 PassFacInv'!X45=Valid!$B$18,X45=Valid!$B$19,X45=Valid!$B$20,X45=Valid!$B$21)),TRUE,FALSE))</f>
        <v>0</v>
      </c>
      <c r="BR45" s="1761" t="b">
        <f>IF(AND($C45&lt;&gt;"",$AD45=""),TRUE,FALSE)</f>
        <v>0</v>
      </c>
      <c r="BS45" s="721"/>
      <c r="BT45" s="1625" t="str">
        <f>IF($X45="","",VLOOKUP($X45,val_facilities,BT$3,FALSE))</f>
        <v/>
      </c>
      <c r="BU45" s="1627" t="str">
        <f>IF($X45="","",VLOOKUP($X45,val_facilities,BU$3,FALSE))</f>
        <v/>
      </c>
      <c r="BV45" s="1627" t="str">
        <f>IF($X45="","",VLOOKUP($X45,val_facilities,BV$3,FALSE))</f>
        <v/>
      </c>
      <c r="BW45" s="1627" t="str">
        <f ca="1">IFERROR(IF(Z45="", "", YEAR(TODAY())-Z45), "")</f>
        <v/>
      </c>
      <c r="BX45" s="845" t="str">
        <f>IF($X45="","",IF(AD45="Square Feet",VLOOKUP('A-20 PassFacInv'!X29,Valid!$B$7:$H$24,7,FALSE),IF(AD45="Parking Spaces",VLOOKUP(X45,Valid!$B$22:$L$24,11,FALSE))))</f>
        <v/>
      </c>
      <c r="BY45" s="845" t="str">
        <f>IF($X45="","",IF(AD45="Square Feet",VLOOKUP(X45,Valid!$B$7:$I$24,8,FALSE),IF('A-20 PassFacInv'!AD29="Parking Spaces",VLOOKUP('A-20 PassFacInv'!X29,Valid!$B$22:$M$24,12,FALSE))))</f>
        <v/>
      </c>
      <c r="BZ45" s="1229"/>
      <c r="CA45" s="721">
        <f t="shared" si="1"/>
        <v>0</v>
      </c>
      <c r="CB45" s="816"/>
    </row>
    <row r="46" spans="1:80" s="1739" customFormat="1" ht="6.75" customHeight="1" thickBot="1" x14ac:dyDescent="0.25">
      <c r="A46" s="1638"/>
      <c r="B46" s="1746">
        <v>17.5</v>
      </c>
      <c r="C46" s="1057"/>
      <c r="D46" s="1248"/>
      <c r="E46" s="1057"/>
      <c r="F46" s="1229"/>
      <c r="G46" s="1229"/>
      <c r="H46" s="1229"/>
      <c r="I46" s="1229"/>
      <c r="J46" s="1604"/>
      <c r="K46" s="1640"/>
      <c r="L46" s="1605"/>
      <c r="M46" s="1646"/>
      <c r="N46" s="1605"/>
      <c r="O46" s="1646"/>
      <c r="P46" s="1733"/>
      <c r="Q46" s="1646"/>
      <c r="R46" s="1660"/>
      <c r="S46" s="1640"/>
      <c r="T46" s="1660"/>
      <c r="U46" s="1640"/>
      <c r="V46" s="1057"/>
      <c r="W46" s="1618"/>
      <c r="X46" s="1747"/>
      <c r="Y46" s="1618"/>
      <c r="Z46" s="1623"/>
      <c r="AA46" s="1618"/>
      <c r="AB46" s="1944"/>
      <c r="AC46" s="1648"/>
      <c r="AD46" s="1661"/>
      <c r="AE46" s="841"/>
      <c r="AF46" s="841"/>
      <c r="AG46" s="1648"/>
      <c r="AH46" s="733"/>
      <c r="AI46" s="1648"/>
      <c r="AJ46" s="722"/>
      <c r="AK46" s="1648"/>
      <c r="AL46" s="1717"/>
      <c r="AM46" s="1648"/>
      <c r="AN46" s="1057"/>
      <c r="AO46" s="1644"/>
      <c r="AP46" s="1644"/>
      <c r="AQ46" s="1644"/>
      <c r="AR46" s="1644"/>
      <c r="AS46" s="1644"/>
      <c r="AT46" s="1761"/>
      <c r="AU46" s="1761"/>
      <c r="AV46" s="1761"/>
      <c r="AW46" s="1761"/>
      <c r="AX46" s="1761"/>
      <c r="AY46" s="1761"/>
      <c r="AZ46" s="1761"/>
      <c r="BA46" s="1761"/>
      <c r="BB46" s="1761"/>
      <c r="BC46" s="1762"/>
      <c r="BD46" s="1762"/>
      <c r="BE46" s="1762"/>
      <c r="BF46" s="1762"/>
      <c r="BG46" s="1762"/>
      <c r="BH46" s="1762"/>
      <c r="BI46" s="1762"/>
      <c r="BJ46" s="1762"/>
      <c r="BK46" s="1762"/>
      <c r="BL46" s="1762"/>
      <c r="BM46" s="1762"/>
      <c r="BN46" s="1762"/>
      <c r="BO46" s="1762"/>
      <c r="BP46" s="1762"/>
      <c r="BQ46" s="1762"/>
      <c r="BR46" s="1762"/>
      <c r="BS46" s="1736"/>
      <c r="BT46" s="1738"/>
      <c r="BU46" s="1738"/>
      <c r="BV46" s="1738"/>
      <c r="BW46" s="1738"/>
      <c r="BX46" s="1738"/>
      <c r="BY46" s="1738"/>
      <c r="BZ46" s="1229"/>
      <c r="CA46" s="721">
        <f t="shared" si="1"/>
        <v>0</v>
      </c>
      <c r="CB46" s="1748"/>
    </row>
    <row r="47" spans="1:80" s="1739" customFormat="1" x14ac:dyDescent="0.2">
      <c r="A47" s="840">
        <v>18</v>
      </c>
      <c r="B47" s="1731">
        <v>18</v>
      </c>
      <c r="C47" s="1740"/>
      <c r="D47" s="1248" t="str">
        <f>IF(C45="","",IF((C47=""),"Enter Facility "&amp;TEXT(A47,0)&amp;" Name, then Fill in Columns "&amp;TEXT($H$2,0)&amp;" - "&amp;TEXT($AL$2,0)&amp;"       ",""))</f>
        <v/>
      </c>
      <c r="E47" s="1245" t="str">
        <f ca="1">IF(AS47="N/A","",IF(AS47="N","No","Yes"))</f>
        <v/>
      </c>
      <c r="F47" s="758"/>
      <c r="G47" s="758"/>
      <c r="H47" s="1707"/>
      <c r="I47" s="758"/>
      <c r="J47" s="1653"/>
      <c r="K47" s="1248" t="str">
        <f ca="1">IF($E47&lt;&gt;"","Enter Street Address      ","")</f>
        <v/>
      </c>
      <c r="L47" s="1740"/>
      <c r="M47" s="1248" t="str">
        <f ca="1">IF($E47&lt;&gt;"","Enter City Name       ","")</f>
        <v/>
      </c>
      <c r="N47" s="1740"/>
      <c r="O47" s="1248" t="str">
        <f ca="1">IF($E47&lt;&gt;"","Select from Pull-Down List   ","")</f>
        <v/>
      </c>
      <c r="P47" s="1741"/>
      <c r="Q47" s="1248" t="str">
        <f ca="1">IF($E47&lt;&gt;"","Enter ZIP Code       ","")</f>
        <v/>
      </c>
      <c r="R47" s="1742"/>
      <c r="S47" s="1248" t="str">
        <f ca="1">IF(OR(N47&lt;&gt;"",P47&lt;&gt;"",J47&lt;&gt;"",L47&lt;&gt;""),"",IF($E47&lt;&gt;"","Enter Lat.      ",""))</f>
        <v/>
      </c>
      <c r="T47" s="1742"/>
      <c r="U47" s="1248" t="str">
        <f ca="1">IF(OR(N47&lt;&gt;"",P47&lt;&gt;"",J47&lt;&gt;"",L47&lt;&gt;""),"",IF($E47&lt;&gt;"","Enter Long.    ",""))</f>
        <v/>
      </c>
      <c r="V47" s="1653"/>
      <c r="W47" s="1618" t="str">
        <f ca="1">IF($E47&lt;&gt;"","Select from Pull-Down List  ","")</f>
        <v/>
      </c>
      <c r="X47" s="1653"/>
      <c r="Y47" s="1618" t="str">
        <f ca="1">IF($E47&lt;&gt;"","Select from Pull-Down List  ","")</f>
        <v/>
      </c>
      <c r="Z47" s="1743"/>
      <c r="AA47" s="1248" t="str">
        <f ca="1">IF(E47&lt;&gt;"","Year?   ","")</f>
        <v/>
      </c>
      <c r="AB47" s="1943"/>
      <c r="AC47" s="1620" t="str">
        <f ca="1">IF(E47="","",IF(X47="","Sq. Ft. or Spaces?   ",IF(OR(X47=Codes!$L$26,X47=Codes!$L$27,X47=Codes!$L$28),"Sq. Ft. or Spaces?   ",IF(OR(X47=Codes!$L$20,X47=Codes!$L$21,X47=Codes!$L$22,X47=Codes!$L$23,X47=Codes!$L$24,X47=Codes!$L$25),"Sq. Ft?     ",""))))</f>
        <v/>
      </c>
      <c r="AD47" s="1740"/>
      <c r="AE47" s="1618" t="str">
        <f ca="1">IF($E47&lt;&gt;"","Select from List     ","")</f>
        <v/>
      </c>
      <c r="AF47" s="1621"/>
      <c r="AG47" s="1618" t="str">
        <f ca="1">IF($E47&lt;&gt;"","% of Cap Resp.","")</f>
        <v/>
      </c>
      <c r="AH47" s="1801" t="str">
        <f ca="1">IF(BW47="", "", IF(BW47&gt;100, 1, VLOOKUP(BW47, Valid!$W$1:$AA$101, VLOOKUP(X47, Codes!$L$20:$N$28, 3, FALSE), FALSE)))</f>
        <v/>
      </c>
      <c r="AI47" s="1620" t="str">
        <f ca="1">IF($E47&lt;&gt;"","Estimated?  ","")</f>
        <v/>
      </c>
      <c r="AJ47" s="1654"/>
      <c r="AK47" s="1620" t="str">
        <f ca="1">IF($E47&lt;&gt;"","Estimated $?    ","")</f>
        <v/>
      </c>
      <c r="AL47" s="1730"/>
      <c r="AM47" s="1620" t="b">
        <f ca="1">IF(E47&lt;&gt;"","Est Date?    ")</f>
        <v>0</v>
      </c>
      <c r="AN47" s="1740"/>
      <c r="AO47" s="1248" t="str">
        <f>IF(X47="Other (describe in Notes)","Describe Facility.                                                                                                                        ","")</f>
        <v/>
      </c>
      <c r="AP47" s="1624"/>
      <c r="AQ47" s="1624" t="b">
        <f>IF(AND(C47="",C49&lt;&gt;""),TRUE,FALSE)</f>
        <v>0</v>
      </c>
      <c r="AR47" s="1624" t="str">
        <f>IF(AND(J47&lt;&gt;"",L47&lt;&gt;"",N47&lt;&gt;"",P47&lt;&gt;"",R47="",T47=""),"Y",IF(AND(J47="",L47="",N47="",P47="",R47&lt;&gt;"",T47&lt;&gt;""),"Y",IF(AND(J47&lt;&gt;"",L47&lt;&gt;"",N47&lt;&gt;"",P47&lt;&gt;"",R47&lt;&gt;"",T47&lt;&gt;""),"Y",IF(AND(J47="",L47="",N47="",P47="",R47="",T47=""),"N/A","N"))))</f>
        <v>N/A</v>
      </c>
      <c r="AS47" s="1624" t="str">
        <f ca="1">IF(AND($C47&lt;&gt;"",OR(AR47="N",$V47="",$X47="",$Z47="",$AB47="",$AF47="",$AH47="",$AL47="",AD47="")),"N",IF(AND($C47="",OR(H47&lt;&gt;"",AR47="N",$V47&lt;&gt;"",$X47&lt;&gt;"",$Z47&lt;&gt;"",$AB47&lt;&gt;"",$AF47&lt;&gt;"",$AH47&lt;&gt;"",$AL47&lt;&gt;"",AD47&lt;&gt;"")),"N",IF(AND(H47="",$C47="",AR47="N/A",$V47="",$X47="",$Z47="",$AB47="",$AF47="",$AH47="",$AL47="",AD47=""),"N/A",IF(AND($C47&lt;&gt;"",AR47="Y",$V47&lt;&gt;"",$X47&lt;&gt;"",$Z47&lt;&gt;"",$AB47&lt;&gt;"",$AF47&lt;&gt;"",$AH47&lt;&gt;"",$AL47&lt;&gt;"",AD47&lt;&gt;""),"Y","N"))))</f>
        <v>N/A</v>
      </c>
      <c r="AT47" s="1761" t="b">
        <f ca="1">IF(AND($C47="",OR($J47&lt;&gt;"",$L47&lt;&gt;"",$N47&lt;&gt;"",$P47&lt;&gt;"",$V47&lt;&gt;"",$X47&lt;&gt;"",$Z47&lt;&gt;"",$AB47&lt;&gt;"",$AF47&lt;&gt;"",$AH47&lt;&gt;"",$AL47&lt;&gt;"")),TRUE,FALSE)</f>
        <v>0</v>
      </c>
      <c r="AU47" s="1761" t="b">
        <f>IF(OR(R47&lt;&gt;"",T47&lt;&gt;""),"false",IF(AND($C47&lt;&gt;"",$J47=""),TRUE,FALSE))</f>
        <v>0</v>
      </c>
      <c r="AV47" s="1761" t="b">
        <f>IF(OR(R47&lt;&gt;"",T47&lt;&gt;""),FALSE,IF(AND($C47&lt;&gt;"",$L47=""),TRUE,FALSE))</f>
        <v>0</v>
      </c>
      <c r="AW47" s="1761" t="b">
        <f>IF(OR(R47&lt;&gt;"",T47&lt;&gt;""),FALSE,IF(AND($C47&lt;&gt;"",$N47=""),TRUE,FALSE))</f>
        <v>0</v>
      </c>
      <c r="AX47" s="1761" t="b">
        <f>IF(OR(R47&lt;&gt;"",T47&lt;&gt;""),FALSE,IF(AND($C47&lt;&gt;"",$P47=""),TRUE,FALSE))</f>
        <v>0</v>
      </c>
      <c r="AY47" s="1761"/>
      <c r="AZ47" s="1761" t="b">
        <f>IF(OR(J47&lt;&gt;"",L47&lt;&gt;"",N47&lt;&gt;"",P47&lt;&gt;""),FALSE,IF(AND(C47&lt;&gt;"",R47=""),TRUE,FALSE))</f>
        <v>0</v>
      </c>
      <c r="BA47" s="1761"/>
      <c r="BB47" s="1761" t="b">
        <f>IF(OR(J47&lt;&gt;"",L47&lt;&gt;"",N47&lt;&gt;"",P47&lt;&gt;""),FALSE,IF(AND(C47&lt;&gt;"",T47=""),TRUE,FALSE))</f>
        <v>0</v>
      </c>
      <c r="BC47" s="1761" t="b">
        <f>IF(AND($C47&lt;&gt;"",$V47=""),TRUE,FALSE)</f>
        <v>0</v>
      </c>
      <c r="BD47" s="1761" t="b">
        <f ca="1">IF(AND(X47="",OR(Z47&lt;&gt;"",AB47&lt;&gt;"",AF47&lt;&gt;"",AH47&lt;&gt;"",AL47&lt;&gt;"",AD47&lt;&gt;"")),TRUE,FALSE)</f>
        <v>0</v>
      </c>
      <c r="BE47" s="1761" t="b">
        <f>IF(AND($C47&lt;&gt;"",$X47=""),TRUE,FALSE)</f>
        <v>0</v>
      </c>
      <c r="BF47" s="1761" t="b">
        <f>IF(Z47="",FALSE,IF(X47="",FALSE,IF(BG47=TRUE,FALSE,IF(OR(Z47&lt;BU47,Z47&gt;BaseYear),TRUE,FALSE))))</f>
        <v>0</v>
      </c>
      <c r="BG47" s="1761" t="b">
        <f>IF(AND($C47&lt;&gt;"",$Z47=""),TRUE,FALSE)</f>
        <v>0</v>
      </c>
      <c r="BH47" s="1761" t="b">
        <f>IF(AD47="",FALSE,IF(X47="",FALSE,IF(BJ47=TRUE,FALSE,IF(AB47&lt;BX47,TRUE,FALSE))))</f>
        <v>0</v>
      </c>
      <c r="BI47" s="1761" t="b">
        <f>IF(AD47="",FALSE,IF(X47="",FALSE,IF(BJ47=TRUE,FALSE,IF(AB47&gt;BY47,TRUE,FALSE))))</f>
        <v>0</v>
      </c>
      <c r="BJ47" s="1761" t="b">
        <f>IF(AND($C47&lt;&gt;"",$AB47=""),TRUE,FALSE)</f>
        <v>0</v>
      </c>
      <c r="BK47" s="1761" t="b">
        <f>IF(BL47=TRUE,FALSE,IF(OR(AF47&lt;0,AF47&gt;1),TRUE,FALSE))</f>
        <v>0</v>
      </c>
      <c r="BL47" s="1761" t="b">
        <f>IF(AND($C47&lt;&gt;"",$AF47=""),TRUE,FALSE)</f>
        <v>0</v>
      </c>
      <c r="BM47" s="1761"/>
      <c r="BN47" s="1761" t="b">
        <f ca="1">IF(AND($C47&lt;&gt;"",$AH47=""),TRUE,FALSE)</f>
        <v>0</v>
      </c>
      <c r="BO47" s="1761" t="b">
        <f>IF(AL47="",FALSE,IF(X47="",FALSE,IF(BP47=TRUE,FALSE,IF(OR(AL47&lt;1913,AL47&gt;BaseYear),TRUE,FALSE))))</f>
        <v>0</v>
      </c>
      <c r="BP47" s="1761" t="b">
        <f>IF(AND($C47&lt;&gt;"",$AL47=""),TRUE,FALSE)</f>
        <v>0</v>
      </c>
      <c r="BQ47" s="1761" t="b">
        <f>IF(AD47="Square Foot",FALSE,IF(AND(AD47="Parking Space",OR('A-20 PassFacInv'!X47=Valid!$B$7,'A-20 PassFacInv'!X47=Valid!$B$8,'A-20 PassFacInv'!X47=Valid!$B$9,'A-20 PassFacInv'!X47=Valid!$B$10,'A-20 PassFacInv'!X47=Valid!$B$12,'A-20 PassFacInv'!X47=Valid!$B$13,'A-20 PassFacInv'!X47=Valid!$B$14,'A-20 PassFacInv'!X47=Valid!$B$15,'A-20 PassFacInv'!X47=Valid!$B$16,'A-20 PassFacInv'!X47=Valid!$B$17,'A-20 PassFacInv'!X47=Valid!$B$18,X47=Valid!$B$19,X47=Valid!$B$20,X47=Valid!$B$21)),TRUE,FALSE))</f>
        <v>0</v>
      </c>
      <c r="BR47" s="1761" t="b">
        <f>IF(AND($C47&lt;&gt;"",$AD47=""),TRUE,FALSE)</f>
        <v>0</v>
      </c>
      <c r="BS47" s="721"/>
      <c r="BT47" s="1625" t="str">
        <f>IF($X47="","",VLOOKUP($X47,val_facilities,BT$3,FALSE))</f>
        <v/>
      </c>
      <c r="BU47" s="1627" t="str">
        <f>IF($X47="","",VLOOKUP($X47,val_facilities,BU$3,FALSE))</f>
        <v/>
      </c>
      <c r="BV47" s="1627" t="str">
        <f>IF($X47="","",VLOOKUP($X47,val_facilities,BV$3,FALSE))</f>
        <v/>
      </c>
      <c r="BW47" s="1627" t="str">
        <f ca="1">IFERROR(IF(Z47="", "", YEAR(TODAY())-Z47), "")</f>
        <v/>
      </c>
      <c r="BX47" s="845" t="str">
        <f>IF($X47="","",IF(AD47="Square Feet",VLOOKUP('A-20 PassFacInv'!X30,Valid!$B$7:$H$24,7,FALSE),IF(AD47="Parking Spaces",VLOOKUP(X47,Valid!$B$22:$L$24,11,FALSE))))</f>
        <v/>
      </c>
      <c r="BY47" s="845" t="str">
        <f>IF($X47="","",IF(AD47="Square Feet",VLOOKUP(X47,Valid!$B$7:$I$24,8,FALSE),IF('A-20 PassFacInv'!AD30="Parking Spaces",VLOOKUP('A-20 PassFacInv'!X30,Valid!$B$22:$M$24,12,FALSE))))</f>
        <v/>
      </c>
      <c r="BZ47" s="1229"/>
      <c r="CA47" s="721">
        <f t="shared" si="1"/>
        <v>0</v>
      </c>
      <c r="CB47" s="816"/>
    </row>
    <row r="48" spans="1:80" s="1739" customFormat="1" ht="6.75" customHeight="1" thickBot="1" x14ac:dyDescent="0.25">
      <c r="A48" s="1638"/>
      <c r="B48" s="1746">
        <v>18.5</v>
      </c>
      <c r="C48" s="1057"/>
      <c r="D48" s="764"/>
      <c r="E48" s="1639"/>
      <c r="F48" s="1229"/>
      <c r="G48" s="1229"/>
      <c r="H48" s="1229"/>
      <c r="I48" s="1229"/>
      <c r="J48" s="1604"/>
      <c r="K48" s="1229"/>
      <c r="L48" s="1645"/>
      <c r="M48" s="1644"/>
      <c r="N48" s="1645"/>
      <c r="O48" s="1644"/>
      <c r="P48" s="1662"/>
      <c r="Q48" s="1644"/>
      <c r="R48" s="1663"/>
      <c r="S48" s="1229"/>
      <c r="T48" s="1663"/>
      <c r="U48" s="1229"/>
      <c r="V48" s="1057"/>
      <c r="W48" s="1623"/>
      <c r="X48" s="1747"/>
      <c r="Y48" s="1623"/>
      <c r="Z48" s="1623"/>
      <c r="AA48" s="1623"/>
      <c r="AB48" s="1944"/>
      <c r="AC48" s="841"/>
      <c r="AD48" s="1057"/>
      <c r="AE48" s="841"/>
      <c r="AF48" s="841"/>
      <c r="AG48" s="841"/>
      <c r="AH48" s="722"/>
      <c r="AI48" s="841"/>
      <c r="AJ48" s="722"/>
      <c r="AK48" s="841"/>
      <c r="AL48" s="1717"/>
      <c r="AM48" s="841"/>
      <c r="AN48" s="1057"/>
      <c r="AO48" s="1644"/>
      <c r="AP48" s="1644"/>
      <c r="AQ48" s="1644"/>
      <c r="AR48" s="1644"/>
      <c r="AS48" s="1644"/>
      <c r="AT48" s="1761"/>
      <c r="AU48" s="1761"/>
      <c r="AV48" s="1761"/>
      <c r="AW48" s="1761"/>
      <c r="AX48" s="1761"/>
      <c r="AY48" s="1761"/>
      <c r="AZ48" s="1761"/>
      <c r="BA48" s="1761"/>
      <c r="BB48" s="1761"/>
      <c r="BC48" s="1762"/>
      <c r="BD48" s="1762"/>
      <c r="BE48" s="1762"/>
      <c r="BF48" s="1762"/>
      <c r="BG48" s="1762"/>
      <c r="BH48" s="1762"/>
      <c r="BI48" s="1762"/>
      <c r="BJ48" s="1762"/>
      <c r="BK48" s="1762"/>
      <c r="BL48" s="1762"/>
      <c r="BM48" s="1762"/>
      <c r="BN48" s="1762"/>
      <c r="BO48" s="1762"/>
      <c r="BP48" s="1762"/>
      <c r="BQ48" s="1763"/>
      <c r="BR48" s="1762"/>
      <c r="BS48" s="1736"/>
      <c r="BT48" s="1738"/>
      <c r="BU48" s="1738"/>
      <c r="BV48" s="1738"/>
      <c r="BW48" s="1738"/>
      <c r="BX48" s="1738"/>
      <c r="BY48" s="1738"/>
      <c r="BZ48" s="1229"/>
      <c r="CA48" s="721">
        <f t="shared" si="1"/>
        <v>0</v>
      </c>
      <c r="CB48" s="1748"/>
    </row>
    <row r="49" spans="1:80" s="1739" customFormat="1" x14ac:dyDescent="0.2">
      <c r="A49" s="840">
        <v>19</v>
      </c>
      <c r="B49" s="1746">
        <v>19</v>
      </c>
      <c r="C49" s="1740"/>
      <c r="D49" s="1248" t="str">
        <f>IF(C47="","",IF((C49=""),"Enter Facility "&amp;TEXT(A49,0)&amp;" Name, then Fill in Columns "&amp;TEXT($H$2,0)&amp;" - "&amp;TEXT($AL$2,0)&amp;"       ",""))</f>
        <v/>
      </c>
      <c r="E49" s="1245" t="str">
        <f ca="1">IF(AS49="N/A","",IF(AS49="N","No","Yes"))</f>
        <v/>
      </c>
      <c r="F49" s="758"/>
      <c r="G49" s="758"/>
      <c r="H49" s="1707"/>
      <c r="I49" s="758"/>
      <c r="J49" s="1653"/>
      <c r="K49" s="1248" t="str">
        <f ca="1">IF($E49&lt;&gt;"","Enter Street Address      ","")</f>
        <v/>
      </c>
      <c r="L49" s="1740"/>
      <c r="M49" s="1248" t="str">
        <f ca="1">IF($E49&lt;&gt;"","Enter City Name       ","")</f>
        <v/>
      </c>
      <c r="N49" s="1740"/>
      <c r="O49" s="1248" t="str">
        <f ca="1">IF($E49&lt;&gt;"","Select from Pull-Down List   ","")</f>
        <v/>
      </c>
      <c r="P49" s="1741"/>
      <c r="Q49" s="1248" t="str">
        <f ca="1">IF($E49&lt;&gt;"","Enter ZIP Code       ","")</f>
        <v/>
      </c>
      <c r="R49" s="1742"/>
      <c r="S49" s="1248" t="str">
        <f ca="1">IF(OR(N49&lt;&gt;"",P49&lt;&gt;"",J49&lt;&gt;"",L49&lt;&gt;""),"",IF($E49&lt;&gt;"","Enter Lat.      ",""))</f>
        <v/>
      </c>
      <c r="T49" s="1742"/>
      <c r="U49" s="1248" t="str">
        <f ca="1">IF(OR(N49&lt;&gt;"",P49&lt;&gt;"",J49&lt;&gt;"",L49&lt;&gt;""),"",IF($E49&lt;&gt;"","Enter Long.    ",""))</f>
        <v/>
      </c>
      <c r="V49" s="1653"/>
      <c r="W49" s="1618" t="str">
        <f ca="1">IF($E49&lt;&gt;"","Select from Pull-Down List  ","")</f>
        <v/>
      </c>
      <c r="X49" s="1653"/>
      <c r="Y49" s="1618" t="str">
        <f ca="1">IF($E49&lt;&gt;"","Select from Pull-Down List  ","")</f>
        <v/>
      </c>
      <c r="Z49" s="1743"/>
      <c r="AA49" s="1248" t="str">
        <f ca="1">IF(E49&lt;&gt;"","Year?   ","")</f>
        <v/>
      </c>
      <c r="AB49" s="1943"/>
      <c r="AC49" s="1620" t="str">
        <f ca="1">IF(E49="","",IF(X49="","Sq. Ft. or Spaces?   ",IF(OR(X49=Codes!$L$26,X49=Codes!$L$27,X49=Codes!$L$28),"Sq. Ft. or Spaces?   ",IF(OR(X49=Codes!$L$20,X49=Codes!$L$21,X49=Codes!$L$22,X49=Codes!$L$23,X49=Codes!$L$24,X49=Codes!$L$25),"Sq. Ft?     ",""))))</f>
        <v/>
      </c>
      <c r="AD49" s="1740"/>
      <c r="AE49" s="1618" t="str">
        <f ca="1">IF($E49&lt;&gt;"","Select from List     ","")</f>
        <v/>
      </c>
      <c r="AF49" s="1621"/>
      <c r="AG49" s="1618" t="str">
        <f ca="1">IF($E49&lt;&gt;"","% of Cap Resp.","")</f>
        <v/>
      </c>
      <c r="AH49" s="1801" t="str">
        <f ca="1">IF(BW49="", "", IF(BW49&gt;100, 1, VLOOKUP(BW49, Valid!$W$1:$AA$101, VLOOKUP(X49, Codes!$L$20:$N$28, 3, FALSE), FALSE)))</f>
        <v/>
      </c>
      <c r="AI49" s="1620" t="str">
        <f ca="1">IF($E49&lt;&gt;"","Estimated?  ","")</f>
        <v/>
      </c>
      <c r="AJ49" s="1654"/>
      <c r="AK49" s="1620" t="str">
        <f ca="1">IF($E49&lt;&gt;"","Estimated $?    ","")</f>
        <v/>
      </c>
      <c r="AL49" s="1730"/>
      <c r="AM49" s="1620" t="b">
        <f ca="1">IF(E49&lt;&gt;"","Est Date?    ")</f>
        <v>0</v>
      </c>
      <c r="AN49" s="1740"/>
      <c r="AO49" s="1248" t="str">
        <f>IF(X49="Other (describe in Notes)","Describe Facility.                                                                                                                        ","")</f>
        <v/>
      </c>
      <c r="AP49" s="1624"/>
      <c r="AQ49" s="1624" t="b">
        <f>IF(AND(C49="",C51&lt;&gt;""),TRUE,FALSE)</f>
        <v>0</v>
      </c>
      <c r="AR49" s="1624" t="str">
        <f>IF(AND(J49&lt;&gt;"",L49&lt;&gt;"",N49&lt;&gt;"",P49&lt;&gt;"",R49="",T49=""),"Y",IF(AND(J49="",L49="",N49="",P49="",R49&lt;&gt;"",T49&lt;&gt;""),"Y",IF(AND(J49&lt;&gt;"",L49&lt;&gt;"",N49&lt;&gt;"",P49&lt;&gt;"",R49&lt;&gt;"",T49&lt;&gt;""),"Y",IF(AND(J49="",L49="",N49="",P49="",R49="",T49=""),"N/A","N"))))</f>
        <v>N/A</v>
      </c>
      <c r="AS49" s="1624" t="str">
        <f ca="1">IF(AND($C49&lt;&gt;"",OR(AR49="N",$V49="",$X49="",$Z49="",$AB49="",$AF49="",$AH49="",$AL49="",AD49="")),"N",IF(AND($C49="",OR(H49&lt;&gt;"",AR49="N",$V49&lt;&gt;"",$X49&lt;&gt;"",$Z49&lt;&gt;"",$AB49&lt;&gt;"",$AF49&lt;&gt;"",$AH49&lt;&gt;"",$AL49&lt;&gt;"",AD49&lt;&gt;"")),"N",IF(AND(H49="",$C49="",AR49="N/A",$V49="",$X49="",$Z49="",$AB49="",$AF49="",$AH49="",$AL49="",AD49=""),"N/A",IF(AND($C49&lt;&gt;"",AR49="Y",$V49&lt;&gt;"",$X49&lt;&gt;"",$Z49&lt;&gt;"",$AB49&lt;&gt;"",$AF49&lt;&gt;"",$AH49&lt;&gt;"",$AL49&lt;&gt;"",AD49&lt;&gt;""),"Y","N"))))</f>
        <v>N/A</v>
      </c>
      <c r="AT49" s="1761" t="b">
        <f ca="1">IF(AND($C49="",OR($J49&lt;&gt;"",$L49&lt;&gt;"",$N49&lt;&gt;"",$P49&lt;&gt;"",$V49&lt;&gt;"",$X49&lt;&gt;"",$Z49&lt;&gt;"",$AB49&lt;&gt;"",$AF49&lt;&gt;"",$AH49&lt;&gt;"",$AL49&lt;&gt;"")),TRUE,FALSE)</f>
        <v>0</v>
      </c>
      <c r="AU49" s="1761" t="b">
        <f>IF(OR(R49&lt;&gt;"",T49&lt;&gt;""),"false",IF(AND($C49&lt;&gt;"",$J49=""),TRUE,FALSE))</f>
        <v>0</v>
      </c>
      <c r="AV49" s="1761" t="b">
        <f>IF(OR(R49&lt;&gt;"",T49&lt;&gt;""),FALSE,IF(AND($C49&lt;&gt;"",$L49=""),TRUE,FALSE))</f>
        <v>0</v>
      </c>
      <c r="AW49" s="1761" t="b">
        <f>IF(OR(R49&lt;&gt;"",T49&lt;&gt;""),FALSE,IF(AND($C49&lt;&gt;"",$N49=""),TRUE,FALSE))</f>
        <v>0</v>
      </c>
      <c r="AX49" s="1761" t="b">
        <f>IF(OR(R49&lt;&gt;"",T49&lt;&gt;""),FALSE,IF(AND($C49&lt;&gt;"",$P49=""),TRUE,FALSE))</f>
        <v>0</v>
      </c>
      <c r="AY49" s="1761"/>
      <c r="AZ49" s="1761" t="b">
        <f>IF(OR(J49&lt;&gt;"",L49&lt;&gt;"",N49&lt;&gt;"",P49&lt;&gt;""),FALSE,IF(AND(C49&lt;&gt;"",R49=""),TRUE,FALSE))</f>
        <v>0</v>
      </c>
      <c r="BA49" s="1761"/>
      <c r="BB49" s="1761" t="b">
        <f>IF(OR(J49&lt;&gt;"",L49&lt;&gt;"",N49&lt;&gt;"",P49&lt;&gt;""),FALSE,IF(AND(C49&lt;&gt;"",T49=""),TRUE,FALSE))</f>
        <v>0</v>
      </c>
      <c r="BC49" s="1761" t="b">
        <f>IF(AND($C49&lt;&gt;"",$V49=""),TRUE,FALSE)</f>
        <v>0</v>
      </c>
      <c r="BD49" s="1761" t="b">
        <f ca="1">IF(AND(X49="",OR(Z49&lt;&gt;"",AB49&lt;&gt;"",AF49&lt;&gt;"",AH49&lt;&gt;"",AL49&lt;&gt;"",AD49&lt;&gt;"")),TRUE,FALSE)</f>
        <v>0</v>
      </c>
      <c r="BE49" s="1761" t="b">
        <f>IF(AND($C49&lt;&gt;"",$X49=""),TRUE,FALSE)</f>
        <v>0</v>
      </c>
      <c r="BF49" s="1761" t="b">
        <f>IF(Z49="",FALSE,IF(X49="",FALSE,IF(BG49=TRUE,FALSE,IF(OR(Z49&lt;BU49,Z49&gt;BaseYear),TRUE,FALSE))))</f>
        <v>0</v>
      </c>
      <c r="BG49" s="1761" t="b">
        <f>IF(AND($C49&lt;&gt;"",$Z49=""),TRUE,FALSE)</f>
        <v>0</v>
      </c>
      <c r="BH49" s="1761" t="b">
        <f>IF(AD49="",FALSE,IF(X49="",FALSE,IF(BJ49=TRUE,FALSE,IF(AB49&lt;BX49,TRUE,FALSE))))</f>
        <v>0</v>
      </c>
      <c r="BI49" s="1761" t="b">
        <f>IF(AD49="",FALSE,IF(X49="",FALSE,IF(BJ49=TRUE,FALSE,IF(AB49&gt;BY49,TRUE,FALSE))))</f>
        <v>0</v>
      </c>
      <c r="BJ49" s="1761" t="b">
        <f>IF(AND($C49&lt;&gt;"",$AB49=""),TRUE,FALSE)</f>
        <v>0</v>
      </c>
      <c r="BK49" s="1761" t="b">
        <f>IF(BL49=TRUE,FALSE,IF(OR(AF49&lt;0,AF49&gt;1),TRUE,FALSE))</f>
        <v>0</v>
      </c>
      <c r="BL49" s="1761" t="b">
        <f>IF(AND($C49&lt;&gt;"",$AF49=""),TRUE,FALSE)</f>
        <v>0</v>
      </c>
      <c r="BM49" s="1761"/>
      <c r="BN49" s="1761" t="b">
        <f ca="1">IF(AND($C49&lt;&gt;"",$AH49=""),TRUE,FALSE)</f>
        <v>0</v>
      </c>
      <c r="BO49" s="1761" t="b">
        <f>IF(AL49="",FALSE,IF(X49="",FALSE,IF(BP49=TRUE,FALSE,IF(OR(AL49&lt;1913,AL49&gt;BaseYear),TRUE,FALSE))))</f>
        <v>0</v>
      </c>
      <c r="BP49" s="1761" t="b">
        <f>IF(AND($C49&lt;&gt;"",$AL49=""),TRUE,FALSE)</f>
        <v>0</v>
      </c>
      <c r="BQ49" s="1761" t="b">
        <f>IF(AD49="Square Foot",FALSE,IF(AND(AD49="Parking Space",OR('A-20 PassFacInv'!X49=Valid!$B$7,'A-20 PassFacInv'!X49=Valid!$B$8,'A-20 PassFacInv'!X49=Valid!$B$9,'A-20 PassFacInv'!X49=Valid!$B$10,'A-20 PassFacInv'!X49=Valid!$B$12,'A-20 PassFacInv'!X49=Valid!$B$13,'A-20 PassFacInv'!X49=Valid!$B$14,'A-20 PassFacInv'!X49=Valid!$B$15,'A-20 PassFacInv'!X49=Valid!$B$16,'A-20 PassFacInv'!X49=Valid!$B$17,'A-20 PassFacInv'!X49=Valid!$B$18,X49=Valid!$B$19,X49=Valid!$B$20,X49=Valid!$B$21)),TRUE,FALSE))</f>
        <v>0</v>
      </c>
      <c r="BR49" s="1761" t="b">
        <f>IF(AND($C49&lt;&gt;"",$AD49=""),TRUE,FALSE)</f>
        <v>0</v>
      </c>
      <c r="BS49" s="721"/>
      <c r="BT49" s="1625" t="str">
        <f>IF($X49="","",VLOOKUP($X49,val_facilities,BT$3,FALSE))</f>
        <v/>
      </c>
      <c r="BU49" s="1627" t="str">
        <f>IF($X49="","",VLOOKUP($X49,val_facilities,BU$3,FALSE))</f>
        <v/>
      </c>
      <c r="BV49" s="1627" t="str">
        <f>IF($X49="","",VLOOKUP($X49,val_facilities,BV$3,FALSE))</f>
        <v/>
      </c>
      <c r="BW49" s="1627" t="str">
        <f ca="1">IFERROR(IF(Z49="", "", YEAR(TODAY())-Z49), "")</f>
        <v/>
      </c>
      <c r="BX49" s="845" t="str">
        <f>IF($X49="","",IF(AD49="Square Feet",VLOOKUP('A-20 PassFacInv'!X31,Valid!$B$7:$H$24,7,FALSE),IF(AD49="Parking Spaces",VLOOKUP(X49,Valid!$B$22:$L$24,11,FALSE))))</f>
        <v/>
      </c>
      <c r="BY49" s="845" t="str">
        <f>IF($X49="","",IF(AD49="Square Feet",VLOOKUP(X49,Valid!$B$7:$I$24,8,FALSE),IF('A-20 PassFacInv'!AD31="Parking Spaces",VLOOKUP('A-20 PassFacInv'!X31,Valid!$B$22:$M$24,12,FALSE))))</f>
        <v/>
      </c>
      <c r="BZ49" s="1229"/>
      <c r="CA49" s="721">
        <f t="shared" si="1"/>
        <v>0</v>
      </c>
      <c r="CB49" s="816"/>
    </row>
    <row r="50" spans="1:80" s="1739" customFormat="1" ht="6.75" customHeight="1" thickBot="1" x14ac:dyDescent="0.25">
      <c r="A50" s="1638"/>
      <c r="B50" s="1746">
        <v>19.5</v>
      </c>
      <c r="C50" s="1057"/>
      <c r="D50" s="1248"/>
      <c r="E50" s="1057"/>
      <c r="F50" s="1229"/>
      <c r="G50" s="1229"/>
      <c r="H50" s="1229"/>
      <c r="I50" s="1229"/>
      <c r="J50" s="1604"/>
      <c r="K50" s="1640"/>
      <c r="L50" s="1641"/>
      <c r="M50" s="1248"/>
      <c r="N50" s="1641"/>
      <c r="O50" s="1248"/>
      <c r="P50" s="1659"/>
      <c r="Q50" s="1248"/>
      <c r="R50" s="1660"/>
      <c r="S50" s="1640"/>
      <c r="T50" s="1660"/>
      <c r="U50" s="1640"/>
      <c r="V50" s="1057"/>
      <c r="W50" s="1618"/>
      <c r="X50" s="1747"/>
      <c r="Y50" s="1618"/>
      <c r="Z50" s="1623"/>
      <c r="AA50" s="1618"/>
      <c r="AB50" s="1944"/>
      <c r="AC50" s="1275"/>
      <c r="AD50" s="1661"/>
      <c r="AE50" s="734"/>
      <c r="AF50" s="1736"/>
      <c r="AG50" s="1275"/>
      <c r="AH50" s="722"/>
      <c r="AI50" s="1275"/>
      <c r="AJ50" s="733"/>
      <c r="AK50" s="1275"/>
      <c r="AL50" s="1721"/>
      <c r="AM50" s="1275"/>
      <c r="AN50" s="1057"/>
      <c r="AO50" s="1644"/>
      <c r="AP50" s="1644"/>
      <c r="AQ50" s="1644"/>
      <c r="AR50" s="1644"/>
      <c r="AS50" s="1644"/>
      <c r="AT50" s="1761"/>
      <c r="AU50" s="1761"/>
      <c r="AV50" s="1761"/>
      <c r="AW50" s="1761"/>
      <c r="AX50" s="1761"/>
      <c r="AY50" s="1761"/>
      <c r="AZ50" s="1761"/>
      <c r="BA50" s="1761"/>
      <c r="BB50" s="1761"/>
      <c r="BC50" s="1762"/>
      <c r="BD50" s="1762"/>
      <c r="BE50" s="1762"/>
      <c r="BF50" s="1762"/>
      <c r="BG50" s="1762"/>
      <c r="BH50" s="1762"/>
      <c r="BI50" s="1762"/>
      <c r="BJ50" s="1762"/>
      <c r="BK50" s="1762"/>
      <c r="BL50" s="1762"/>
      <c r="BM50" s="1762"/>
      <c r="BN50" s="1762"/>
      <c r="BO50" s="1762"/>
      <c r="BP50" s="1762"/>
      <c r="BQ50" s="1762"/>
      <c r="BR50" s="1762"/>
      <c r="BS50" s="1736"/>
      <c r="BT50" s="1738"/>
      <c r="BU50" s="1738"/>
      <c r="BV50" s="1738"/>
      <c r="BW50" s="1738"/>
      <c r="BX50" s="1738"/>
      <c r="BY50" s="1738"/>
      <c r="BZ50" s="1229"/>
      <c r="CA50" s="721">
        <f t="shared" si="1"/>
        <v>0</v>
      </c>
      <c r="CB50" s="1748"/>
    </row>
    <row r="51" spans="1:80" s="1739" customFormat="1" x14ac:dyDescent="0.2">
      <c r="A51" s="840">
        <v>20</v>
      </c>
      <c r="B51" s="1746">
        <v>20</v>
      </c>
      <c r="C51" s="1740"/>
      <c r="D51" s="1248" t="str">
        <f>IF(C49="","",IF((C51=""),"Enter Facility "&amp;TEXT(A51,0)&amp;" Name, then Fill in Columns "&amp;TEXT($H$2,0)&amp;" - "&amp;TEXT($AL$2,0)&amp;"       ",""))</f>
        <v/>
      </c>
      <c r="E51" s="1245" t="str">
        <f ca="1">IF(AS51="N/A","",IF(AS51="N","No","Yes"))</f>
        <v/>
      </c>
      <c r="F51" s="758"/>
      <c r="G51" s="758"/>
      <c r="H51" s="1707"/>
      <c r="I51" s="758"/>
      <c r="J51" s="1653"/>
      <c r="K51" s="1248" t="str">
        <f ca="1">IF($E51&lt;&gt;"","Enter Street Address      ","")</f>
        <v/>
      </c>
      <c r="L51" s="1740"/>
      <c r="M51" s="1248" t="str">
        <f ca="1">IF($E51&lt;&gt;"","Enter City Name       ","")</f>
        <v/>
      </c>
      <c r="N51" s="1740"/>
      <c r="O51" s="1248" t="str">
        <f ca="1">IF($E51&lt;&gt;"","Select from Pull-Down List   ","")</f>
        <v/>
      </c>
      <c r="P51" s="1741"/>
      <c r="Q51" s="1248" t="str">
        <f ca="1">IF($E51&lt;&gt;"","Enter ZIP Code       ","")</f>
        <v/>
      </c>
      <c r="R51" s="1742"/>
      <c r="S51" s="1248" t="str">
        <f ca="1">IF(OR(N51&lt;&gt;"",P51&lt;&gt;"",J51&lt;&gt;"",L51&lt;&gt;""),"",IF($E51&lt;&gt;"","Enter Lat.      ",""))</f>
        <v/>
      </c>
      <c r="T51" s="1742"/>
      <c r="U51" s="1248" t="str">
        <f ca="1">IF(OR(N51&lt;&gt;"",P51&lt;&gt;"",J51&lt;&gt;"",L51&lt;&gt;""),"",IF($E51&lt;&gt;"","Enter Long.    ",""))</f>
        <v/>
      </c>
      <c r="V51" s="1653"/>
      <c r="W51" s="1618" t="str">
        <f ca="1">IF($E51&lt;&gt;"","Select from Pull-Down List  ","")</f>
        <v/>
      </c>
      <c r="X51" s="1653"/>
      <c r="Y51" s="1618" t="str">
        <f ca="1">IF($E51&lt;&gt;"","Select from Pull-Down List  ","")</f>
        <v/>
      </c>
      <c r="Z51" s="1743"/>
      <c r="AA51" s="1248" t="str">
        <f ca="1">IF(E51&lt;&gt;"","Year?   ","")</f>
        <v/>
      </c>
      <c r="AB51" s="1943"/>
      <c r="AC51" s="1620" t="str">
        <f ca="1">IF(E51="","",IF(X51="","Sq. Ft. or Spaces?   ",IF(OR(X51=Codes!$L$26,X51=Codes!$L$27,X51=Codes!$L$28),"Sq. Ft. or Spaces?   ",IF(OR(X51=Codes!$L$20,X51=Codes!$L$21,X51=Codes!$L$22,X51=Codes!$L$23,X51=Codes!$L$24,X51=Codes!$L$25),"Sq. Ft?     ",""))))</f>
        <v/>
      </c>
      <c r="AD51" s="1740"/>
      <c r="AE51" s="1618" t="str">
        <f ca="1">IF($E51&lt;&gt;"","Select from List     ","")</f>
        <v/>
      </c>
      <c r="AF51" s="1621"/>
      <c r="AG51" s="1618" t="str">
        <f ca="1">IF($E51&lt;&gt;"","% of Cap Resp.","")</f>
        <v/>
      </c>
      <c r="AH51" s="1801" t="str">
        <f ca="1">IF(BW51="", "", IF(BW51&gt;100, 1, VLOOKUP(BW51, Valid!$W$1:$AA$101, VLOOKUP(X51, Codes!$L$20:$N$28, 3, FALSE), FALSE)))</f>
        <v/>
      </c>
      <c r="AI51" s="1620" t="str">
        <f ca="1">IF($E51&lt;&gt;"","Estimated?  ","")</f>
        <v/>
      </c>
      <c r="AJ51" s="1654"/>
      <c r="AK51" s="1620" t="str">
        <f ca="1">IF($E51&lt;&gt;"","Estimated $?    ","")</f>
        <v/>
      </c>
      <c r="AL51" s="1730"/>
      <c r="AM51" s="1620" t="b">
        <f ca="1">IF(E51&lt;&gt;"","Est Date?    ")</f>
        <v>0</v>
      </c>
      <c r="AN51" s="1740"/>
      <c r="AO51" s="1248" t="str">
        <f>IF(X51="Other (describe in Notes)","Describe Facility.                                                                                                                        ","")</f>
        <v/>
      </c>
      <c r="AP51" s="1624"/>
      <c r="AQ51" s="1624" t="b">
        <f>IF(AND(C51="",C53&lt;&gt;""),TRUE,FALSE)</f>
        <v>0</v>
      </c>
      <c r="AR51" s="1624" t="str">
        <f>IF(AND(J51&lt;&gt;"",L51&lt;&gt;"",N51&lt;&gt;"",P51&lt;&gt;"",R51="",T51=""),"Y",IF(AND(J51="",L51="",N51="",P51="",R51&lt;&gt;"",T51&lt;&gt;""),"Y",IF(AND(J51&lt;&gt;"",L51&lt;&gt;"",N51&lt;&gt;"",P51&lt;&gt;"",R51&lt;&gt;"",T51&lt;&gt;""),"Y",IF(AND(J51="",L51="",N51="",P51="",R51="",T51=""),"N/A","N"))))</f>
        <v>N/A</v>
      </c>
      <c r="AS51" s="1624" t="str">
        <f ca="1">IF(AND($C51&lt;&gt;"",OR(AR51="N",$V51="",$X51="",$Z51="",$AB51="",$AF51="",$AH51="",$AL51="",AD51="")),"N",IF(AND($C51="",OR(H51&lt;&gt;"",AR51="N",$V51&lt;&gt;"",$X51&lt;&gt;"",$Z51&lt;&gt;"",$AB51&lt;&gt;"",$AF51&lt;&gt;"",$AH51&lt;&gt;"",$AL51&lt;&gt;"",AD51&lt;&gt;"")),"N",IF(AND(H51="",$C51="",AR51="N/A",$V51="",$X51="",$Z51="",$AB51="",$AF51="",$AH51="",$AL51="",AD51=""),"N/A",IF(AND($C51&lt;&gt;"",AR51="Y",$V51&lt;&gt;"",$X51&lt;&gt;"",$Z51&lt;&gt;"",$AB51&lt;&gt;"",$AF51&lt;&gt;"",$AH51&lt;&gt;"",$AL51&lt;&gt;"",AD51&lt;&gt;""),"Y","N"))))</f>
        <v>N/A</v>
      </c>
      <c r="AT51" s="1761" t="b">
        <f ca="1">IF(AND($C51="",OR($J51&lt;&gt;"",$L51&lt;&gt;"",$N51&lt;&gt;"",$P51&lt;&gt;"",$V51&lt;&gt;"",$X51&lt;&gt;"",$Z51&lt;&gt;"",$AB51&lt;&gt;"",$AF51&lt;&gt;"",$AH51&lt;&gt;"",$AL51&lt;&gt;"")),TRUE,FALSE)</f>
        <v>0</v>
      </c>
      <c r="AU51" s="1761" t="b">
        <f>IF(OR(R51&lt;&gt;"",T51&lt;&gt;""),"false",IF(AND($C51&lt;&gt;"",$J51=""),TRUE,FALSE))</f>
        <v>0</v>
      </c>
      <c r="AV51" s="1761" t="b">
        <f>IF(OR(R51&lt;&gt;"",T51&lt;&gt;""),FALSE,IF(AND($C51&lt;&gt;"",$L51=""),TRUE,FALSE))</f>
        <v>0</v>
      </c>
      <c r="AW51" s="1761" t="b">
        <f>IF(OR(R51&lt;&gt;"",T51&lt;&gt;""),FALSE,IF(AND($C51&lt;&gt;"",$N51=""),TRUE,FALSE))</f>
        <v>0</v>
      </c>
      <c r="AX51" s="1761" t="b">
        <f>IF(OR(R51&lt;&gt;"",T51&lt;&gt;""),FALSE,IF(AND($C51&lt;&gt;"",$P51=""),TRUE,FALSE))</f>
        <v>0</v>
      </c>
      <c r="AY51" s="1761"/>
      <c r="AZ51" s="1761" t="b">
        <f>IF(OR(J51&lt;&gt;"",L51&lt;&gt;"",N51&lt;&gt;"",P51&lt;&gt;""),FALSE,IF(AND(C51&lt;&gt;"",R51=""),TRUE,FALSE))</f>
        <v>0</v>
      </c>
      <c r="BA51" s="1761"/>
      <c r="BB51" s="1761" t="b">
        <f>IF(OR(J51&lt;&gt;"",L51&lt;&gt;"",N51&lt;&gt;"",P51&lt;&gt;""),FALSE,IF(AND(C51&lt;&gt;"",T51=""),TRUE,FALSE))</f>
        <v>0</v>
      </c>
      <c r="BC51" s="1761" t="b">
        <f>IF(AND($C51&lt;&gt;"",$V51=""),TRUE,FALSE)</f>
        <v>0</v>
      </c>
      <c r="BD51" s="1761" t="b">
        <f ca="1">IF(AND(X51="",OR(Z51&lt;&gt;"",AB51&lt;&gt;"",AF51&lt;&gt;"",AH51&lt;&gt;"",AL51&lt;&gt;"",AD51&lt;&gt;"")),TRUE,FALSE)</f>
        <v>0</v>
      </c>
      <c r="BE51" s="1761" t="b">
        <f>IF(AND($C51&lt;&gt;"",$X51=""),TRUE,FALSE)</f>
        <v>0</v>
      </c>
      <c r="BF51" s="1761" t="b">
        <f>IF(Z51="",FALSE,IF(X51="",FALSE,IF(BG51=TRUE,FALSE,IF(OR(Z51&lt;BU51,Z51&gt;BaseYear),TRUE,FALSE))))</f>
        <v>0</v>
      </c>
      <c r="BG51" s="1761" t="b">
        <f>IF(AND($C51&lt;&gt;"",$Z51=""),TRUE,FALSE)</f>
        <v>0</v>
      </c>
      <c r="BH51" s="1761" t="b">
        <f>IF(AD51="",FALSE,IF(X51="",FALSE,IF(BJ51=TRUE,FALSE,IF(AB51&lt;BX51,TRUE,FALSE))))</f>
        <v>0</v>
      </c>
      <c r="BI51" s="1761" t="b">
        <f>IF(AD51="",FALSE,IF(X51="",FALSE,IF(BJ51=TRUE,FALSE,IF(AB51&gt;BY51,TRUE,FALSE))))</f>
        <v>0</v>
      </c>
      <c r="BJ51" s="1761" t="b">
        <f>IF(AND($C51&lt;&gt;"",$AB51=""),TRUE,FALSE)</f>
        <v>0</v>
      </c>
      <c r="BK51" s="1761" t="b">
        <f>IF(BL51=TRUE,FALSE,IF(OR(AF51&lt;0,AF51&gt;1),TRUE,FALSE))</f>
        <v>0</v>
      </c>
      <c r="BL51" s="1761" t="b">
        <f>IF(AND($C51&lt;&gt;"",$AF51=""),TRUE,FALSE)</f>
        <v>0</v>
      </c>
      <c r="BM51" s="1761"/>
      <c r="BN51" s="1761" t="b">
        <f ca="1">IF(AND($C51&lt;&gt;"",$AH51=""),TRUE,FALSE)</f>
        <v>0</v>
      </c>
      <c r="BO51" s="1761" t="b">
        <f>IF(AL51="",FALSE,IF(X51="",FALSE,IF(BP51=TRUE,FALSE,IF(OR(AL51&lt;1913,AL51&gt;BaseYear),TRUE,FALSE))))</f>
        <v>0</v>
      </c>
      <c r="BP51" s="1761" t="b">
        <f>IF(AND($C51&lt;&gt;"",$AL51=""),TRUE,FALSE)</f>
        <v>0</v>
      </c>
      <c r="BQ51" s="1761" t="b">
        <f>IF(AD51="Square Foot",FALSE,IF(AND(AD51="Parking Space",OR('A-20 PassFacInv'!X51=Valid!$B$7,'A-20 PassFacInv'!X51=Valid!$B$8,'A-20 PassFacInv'!X51=Valid!$B$9,'A-20 PassFacInv'!X51=Valid!$B$10,'A-20 PassFacInv'!X51=Valid!$B$12,'A-20 PassFacInv'!X51=Valid!$B$13,'A-20 PassFacInv'!X51=Valid!$B$14,'A-20 PassFacInv'!X51=Valid!$B$15,'A-20 PassFacInv'!X51=Valid!$B$16,'A-20 PassFacInv'!X51=Valid!$B$17,'A-20 PassFacInv'!X51=Valid!$B$18,X51=Valid!$B$19,X51=Valid!$B$20,X51=Valid!$B$21)),TRUE,FALSE))</f>
        <v>0</v>
      </c>
      <c r="BR51" s="1761" t="b">
        <f>IF(AND($C51&lt;&gt;"",$AD51=""),TRUE,FALSE)</f>
        <v>0</v>
      </c>
      <c r="BS51" s="721"/>
      <c r="BT51" s="1625" t="str">
        <f>IF($X51="","",VLOOKUP($X51,val_facilities,BT$3,FALSE))</f>
        <v/>
      </c>
      <c r="BU51" s="1627" t="str">
        <f>IF($X51="","",VLOOKUP($X51,val_facilities,BU$3,FALSE))</f>
        <v/>
      </c>
      <c r="BV51" s="1627" t="str">
        <f>IF($X51="","",VLOOKUP($X51,val_facilities,BV$3,FALSE))</f>
        <v/>
      </c>
      <c r="BW51" s="1627" t="str">
        <f ca="1">IFERROR(IF(Z51="", "", YEAR(TODAY())-Z51), "")</f>
        <v/>
      </c>
      <c r="BX51" s="845" t="str">
        <f>IF($X51="","",IF(AD51="Square Feet",VLOOKUP('A-20 PassFacInv'!X32,Valid!$B$7:$H$24,7,FALSE),IF(AD51="Parking Spaces",VLOOKUP(X51,Valid!$B$22:$L$24,11,FALSE))))</f>
        <v/>
      </c>
      <c r="BY51" s="845" t="str">
        <f>IF($X51="","",IF(AD51="Square Feet",VLOOKUP(X51,Valid!$B$7:$I$24,8,FALSE),IF('A-20 PassFacInv'!AD32="Parking Spaces",VLOOKUP('A-20 PassFacInv'!X32,Valid!$B$22:$M$24,12,FALSE))))</f>
        <v/>
      </c>
      <c r="BZ51" s="1229"/>
      <c r="CA51" s="721">
        <f t="shared" si="1"/>
        <v>0</v>
      </c>
      <c r="CB51" s="816"/>
    </row>
    <row r="52" spans="1:80" s="1739" customFormat="1" ht="6.75" customHeight="1" thickBot="1" x14ac:dyDescent="0.25">
      <c r="A52" s="1638"/>
      <c r="B52" s="1746">
        <v>20.5</v>
      </c>
      <c r="C52" s="1057"/>
      <c r="D52" s="1248"/>
      <c r="E52" s="1639"/>
      <c r="F52" s="1229"/>
      <c r="G52" s="1229"/>
      <c r="H52" s="1229"/>
      <c r="I52" s="1229"/>
      <c r="J52" s="1604"/>
      <c r="K52" s="1229"/>
      <c r="L52" s="1645"/>
      <c r="M52" s="1644"/>
      <c r="N52" s="1645"/>
      <c r="O52" s="1644"/>
      <c r="P52" s="1662"/>
      <c r="Q52" s="1644"/>
      <c r="R52" s="1663"/>
      <c r="S52" s="1229"/>
      <c r="T52" s="1663"/>
      <c r="U52" s="1229"/>
      <c r="V52" s="1057"/>
      <c r="W52" s="1623"/>
      <c r="X52" s="1747"/>
      <c r="Y52" s="1623"/>
      <c r="Z52" s="1623"/>
      <c r="AA52" s="1623"/>
      <c r="AB52" s="1944"/>
      <c r="AC52" s="841"/>
      <c r="AD52" s="1057"/>
      <c r="AE52" s="841"/>
      <c r="AF52" s="841"/>
      <c r="AG52" s="841"/>
      <c r="AH52" s="722"/>
      <c r="AI52" s="841"/>
      <c r="AJ52" s="722"/>
      <c r="AK52" s="841"/>
      <c r="AL52" s="1717"/>
      <c r="AM52" s="841"/>
      <c r="AN52" s="1057"/>
      <c r="AO52" s="1644"/>
      <c r="AP52" s="1644"/>
      <c r="AQ52" s="1644"/>
      <c r="AR52" s="1644"/>
      <c r="AS52" s="1644"/>
      <c r="AT52" s="1761"/>
      <c r="AU52" s="1761"/>
      <c r="AV52" s="1761"/>
      <c r="AW52" s="1761"/>
      <c r="AX52" s="1761"/>
      <c r="AY52" s="1761"/>
      <c r="AZ52" s="1761"/>
      <c r="BA52" s="1761"/>
      <c r="BB52" s="1761"/>
      <c r="BC52" s="1762"/>
      <c r="BD52" s="1762"/>
      <c r="BE52" s="1762"/>
      <c r="BF52" s="1762"/>
      <c r="BG52" s="1762"/>
      <c r="BH52" s="1762"/>
      <c r="BI52" s="1762"/>
      <c r="BJ52" s="1762"/>
      <c r="BK52" s="1762"/>
      <c r="BL52" s="1762"/>
      <c r="BM52" s="1762"/>
      <c r="BN52" s="1762"/>
      <c r="BO52" s="1762"/>
      <c r="BP52" s="1762"/>
      <c r="BQ52" s="1763"/>
      <c r="BR52" s="1762"/>
      <c r="BS52" s="1736"/>
      <c r="BT52" s="1738"/>
      <c r="BU52" s="1738"/>
      <c r="BV52" s="1738"/>
      <c r="BW52" s="1738"/>
      <c r="BX52" s="1738"/>
      <c r="BY52" s="1738"/>
      <c r="BZ52" s="1229"/>
      <c r="CA52" s="721">
        <f t="shared" si="1"/>
        <v>0</v>
      </c>
      <c r="CB52" s="1748"/>
    </row>
    <row r="53" spans="1:80" s="1739" customFormat="1" x14ac:dyDescent="0.2">
      <c r="A53" s="840">
        <v>21</v>
      </c>
      <c r="B53" s="1731">
        <v>21</v>
      </c>
      <c r="C53" s="1740"/>
      <c r="D53" s="1248" t="str">
        <f>IF(C51="","",IF((C53=""),"Enter Facility "&amp;TEXT(A53,0)&amp;" Name, then Fill in Columns "&amp;TEXT($H$2,0)&amp;" - "&amp;TEXT($AL$2,0)&amp;"       ",""))</f>
        <v/>
      </c>
      <c r="E53" s="1245" t="str">
        <f ca="1">IF(AS53="N/A","",IF(AS53="N","No","Yes"))</f>
        <v/>
      </c>
      <c r="F53" s="758"/>
      <c r="G53" s="758"/>
      <c r="H53" s="1707"/>
      <c r="I53" s="758"/>
      <c r="J53" s="1653"/>
      <c r="K53" s="1248" t="str">
        <f ca="1">IF($E53&lt;&gt;"","Enter Street Address      ","")</f>
        <v/>
      </c>
      <c r="L53" s="1740"/>
      <c r="M53" s="1248" t="str">
        <f ca="1">IF($E53&lt;&gt;"","Enter City Name       ","")</f>
        <v/>
      </c>
      <c r="N53" s="1740"/>
      <c r="O53" s="1248" t="str">
        <f ca="1">IF($E53&lt;&gt;"","Select from Pull-Down List   ","")</f>
        <v/>
      </c>
      <c r="P53" s="1741"/>
      <c r="Q53" s="1248" t="str">
        <f ca="1">IF($E53&lt;&gt;"","Enter ZIP Code       ","")</f>
        <v/>
      </c>
      <c r="R53" s="1742"/>
      <c r="S53" s="1248" t="str">
        <f ca="1">IF(OR(N53&lt;&gt;"",P53&lt;&gt;"",J53&lt;&gt;"",L53&lt;&gt;""),"",IF($E53&lt;&gt;"","Enter Lat.      ",""))</f>
        <v/>
      </c>
      <c r="T53" s="1742"/>
      <c r="U53" s="1248" t="str">
        <f ca="1">IF(OR(N53&lt;&gt;"",P53&lt;&gt;"",J53&lt;&gt;"",L53&lt;&gt;""),"",IF($E53&lt;&gt;"","Enter Long.    ",""))</f>
        <v/>
      </c>
      <c r="V53" s="1653"/>
      <c r="W53" s="1618" t="str">
        <f ca="1">IF($E53&lt;&gt;"","Select from Pull-Down List  ","")</f>
        <v/>
      </c>
      <c r="X53" s="1653"/>
      <c r="Y53" s="1618" t="str">
        <f ca="1">IF($E53&lt;&gt;"","Select from Pull-Down List  ","")</f>
        <v/>
      </c>
      <c r="Z53" s="1743"/>
      <c r="AA53" s="1248" t="str">
        <f ca="1">IF(E53&lt;&gt;"","Year?   ","")</f>
        <v/>
      </c>
      <c r="AB53" s="1943"/>
      <c r="AC53" s="1620" t="str">
        <f ca="1">IF(E53="","",IF(X53="","Sq. Ft. or Spaces?   ",IF(OR(X53=Codes!$L$26,X53=Codes!$L$27,X53=Codes!$L$28),"Sq. Ft. or Spaces?   ",IF(OR(X53=Codes!$L$20,X53=Codes!$L$21,X53=Codes!$L$22,X53=Codes!$L$23,X53=Codes!$L$24,X53=Codes!$L$25),"Sq. Ft?     ",""))))</f>
        <v/>
      </c>
      <c r="AD53" s="1740"/>
      <c r="AE53" s="1618" t="str">
        <f ca="1">IF($E53&lt;&gt;"","Select from List     ","")</f>
        <v/>
      </c>
      <c r="AF53" s="1621"/>
      <c r="AG53" s="1618" t="str">
        <f ca="1">IF($E53&lt;&gt;"","% of Cap Resp.","")</f>
        <v/>
      </c>
      <c r="AH53" s="1801" t="str">
        <f ca="1">IF(BW53="", "", IF(BW53&gt;100, 1, VLOOKUP(BW53, Valid!$W$1:$AA$101, VLOOKUP(X53, Codes!$L$20:$N$28, 3, FALSE), FALSE)))</f>
        <v/>
      </c>
      <c r="AI53" s="1620" t="str">
        <f ca="1">IF($E53&lt;&gt;"","Estimated?  ","")</f>
        <v/>
      </c>
      <c r="AJ53" s="1654"/>
      <c r="AK53" s="1620" t="str">
        <f ca="1">IF($E53&lt;&gt;"","Estimated $?    ","")</f>
        <v/>
      </c>
      <c r="AL53" s="1730"/>
      <c r="AM53" s="1620" t="b">
        <f ca="1">IF(E53&lt;&gt;"","Est Date?    ")</f>
        <v>0</v>
      </c>
      <c r="AN53" s="1740"/>
      <c r="AO53" s="1248" t="str">
        <f>IF(X53="Other (describe in Notes)","Describe Facility.                                                                                                                        ","")</f>
        <v/>
      </c>
      <c r="AP53" s="1624"/>
      <c r="AQ53" s="1624" t="b">
        <f>IF(AND(C53="",C55&lt;&gt;""),TRUE,FALSE)</f>
        <v>0</v>
      </c>
      <c r="AR53" s="1624" t="str">
        <f>IF(AND(J53&lt;&gt;"",L53&lt;&gt;"",N53&lt;&gt;"",P53&lt;&gt;"",R53="",T53=""),"Y",IF(AND(J53="",L53="",N53="",P53="",R53&lt;&gt;"",T53&lt;&gt;""),"Y",IF(AND(J53&lt;&gt;"",L53&lt;&gt;"",N53&lt;&gt;"",P53&lt;&gt;"",R53&lt;&gt;"",T53&lt;&gt;""),"Y",IF(AND(J53="",L53="",N53="",P53="",R53="",T53=""),"N/A","N"))))</f>
        <v>N/A</v>
      </c>
      <c r="AS53" s="1624" t="str">
        <f ca="1">IF(AND($C53&lt;&gt;"",OR(AR53="N",$V53="",$X53="",$Z53="",$AB53="",$AF53="",$AH53="",$AL53="",AD53="")),"N",IF(AND($C53="",OR(H53&lt;&gt;"",AR53="N",$V53&lt;&gt;"",$X53&lt;&gt;"",$Z53&lt;&gt;"",$AB53&lt;&gt;"",$AF53&lt;&gt;"",$AH53&lt;&gt;"",$AL53&lt;&gt;"",AD53&lt;&gt;"")),"N",IF(AND(H53="",$C53="",AR53="N/A",$V53="",$X53="",$Z53="",$AB53="",$AF53="",$AH53="",$AL53="",AD53=""),"N/A",IF(AND($C53&lt;&gt;"",AR53="Y",$V53&lt;&gt;"",$X53&lt;&gt;"",$Z53&lt;&gt;"",$AB53&lt;&gt;"",$AF53&lt;&gt;"",$AH53&lt;&gt;"",$AL53&lt;&gt;"",AD53&lt;&gt;""),"Y","N"))))</f>
        <v>N/A</v>
      </c>
      <c r="AT53" s="1761" t="b">
        <f ca="1">IF(AND($C53="",OR($J53&lt;&gt;"",$L53&lt;&gt;"",$N53&lt;&gt;"",$P53&lt;&gt;"",$V53&lt;&gt;"",$X53&lt;&gt;"",$Z53&lt;&gt;"",$AB53&lt;&gt;"",$AF53&lt;&gt;"",$AH53&lt;&gt;"",$AL53&lt;&gt;"")),TRUE,FALSE)</f>
        <v>0</v>
      </c>
      <c r="AU53" s="1761" t="b">
        <f>IF(OR(R53&lt;&gt;"",T53&lt;&gt;""),"false",IF(AND($C53&lt;&gt;"",$J53=""),TRUE,FALSE))</f>
        <v>0</v>
      </c>
      <c r="AV53" s="1761" t="b">
        <f>IF(OR(R53&lt;&gt;"",T53&lt;&gt;""),FALSE,IF(AND($C53&lt;&gt;"",$L53=""),TRUE,FALSE))</f>
        <v>0</v>
      </c>
      <c r="AW53" s="1761" t="b">
        <f>IF(OR(R53&lt;&gt;"",T53&lt;&gt;""),FALSE,IF(AND($C53&lt;&gt;"",$N53=""),TRUE,FALSE))</f>
        <v>0</v>
      </c>
      <c r="AX53" s="1761" t="b">
        <f>IF(OR(R53&lt;&gt;"",T53&lt;&gt;""),FALSE,IF(AND($C53&lt;&gt;"",$P53=""),TRUE,FALSE))</f>
        <v>0</v>
      </c>
      <c r="AY53" s="1761"/>
      <c r="AZ53" s="1761" t="b">
        <f>IF(OR(J53&lt;&gt;"",L53&lt;&gt;"",N53&lt;&gt;"",P53&lt;&gt;""),FALSE,IF(AND(C53&lt;&gt;"",R53=""),TRUE,FALSE))</f>
        <v>0</v>
      </c>
      <c r="BA53" s="1761"/>
      <c r="BB53" s="1761" t="b">
        <f>IF(OR(J53&lt;&gt;"",L53&lt;&gt;"",N53&lt;&gt;"",P53&lt;&gt;""),FALSE,IF(AND(C53&lt;&gt;"",T53=""),TRUE,FALSE))</f>
        <v>0</v>
      </c>
      <c r="BC53" s="1761" t="b">
        <f>IF(AND($C53&lt;&gt;"",$V53=""),TRUE,FALSE)</f>
        <v>0</v>
      </c>
      <c r="BD53" s="1761" t="b">
        <f ca="1">IF(AND(X53="",OR(Z53&lt;&gt;"",AB53&lt;&gt;"",AF53&lt;&gt;"",AH53&lt;&gt;"",AL53&lt;&gt;"",AD53&lt;&gt;"")),TRUE,FALSE)</f>
        <v>0</v>
      </c>
      <c r="BE53" s="1761" t="b">
        <f>IF(AND($C53&lt;&gt;"",$X53=""),TRUE,FALSE)</f>
        <v>0</v>
      </c>
      <c r="BF53" s="1761" t="b">
        <f>IF(Z53="",FALSE,IF(X53="",FALSE,IF(BG53=TRUE,FALSE,IF(OR(Z53&lt;BU53,Z53&gt;BaseYear),TRUE,FALSE))))</f>
        <v>0</v>
      </c>
      <c r="BG53" s="1761" t="b">
        <f>IF(AND($C53&lt;&gt;"",$Z53=""),TRUE,FALSE)</f>
        <v>0</v>
      </c>
      <c r="BH53" s="1761" t="b">
        <f>IF(AD53="",FALSE,IF(X53="",FALSE,IF(BJ53=TRUE,FALSE,IF(AB53&lt;BX53,TRUE,FALSE))))</f>
        <v>0</v>
      </c>
      <c r="BI53" s="1761" t="b">
        <f>IF(AD53="",FALSE,IF(X53="",FALSE,IF(BJ53=TRUE,FALSE,IF(AB53&gt;BY53,TRUE,FALSE))))</f>
        <v>0</v>
      </c>
      <c r="BJ53" s="1761" t="b">
        <f>IF(AND($C53&lt;&gt;"",$AB53=""),TRUE,FALSE)</f>
        <v>0</v>
      </c>
      <c r="BK53" s="1761" t="b">
        <f>IF(BL53=TRUE,FALSE,IF(OR(AF53&lt;0,AF53&gt;1),TRUE,FALSE))</f>
        <v>0</v>
      </c>
      <c r="BL53" s="1761" t="b">
        <f>IF(AND($C53&lt;&gt;"",$AF53=""),TRUE,FALSE)</f>
        <v>0</v>
      </c>
      <c r="BM53" s="1761"/>
      <c r="BN53" s="1761" t="b">
        <f ca="1">IF(AND($C53&lt;&gt;"",$AH53=""),TRUE,FALSE)</f>
        <v>0</v>
      </c>
      <c r="BO53" s="1761" t="b">
        <f>IF(AL53="",FALSE,IF(X53="",FALSE,IF(BP53=TRUE,FALSE,IF(OR(AL53&lt;1913,AL53&gt;BaseYear),TRUE,FALSE))))</f>
        <v>0</v>
      </c>
      <c r="BP53" s="1761" t="b">
        <f>IF(AND($C53&lt;&gt;"",$AL53=""),TRUE,FALSE)</f>
        <v>0</v>
      </c>
      <c r="BQ53" s="1761" t="b">
        <f>IF(AD53="Square Foot",FALSE,IF(AND(AD53="Parking Space",OR('A-20 PassFacInv'!X53=Valid!$B$7,'A-20 PassFacInv'!X53=Valid!$B$8,'A-20 PassFacInv'!X53=Valid!$B$9,'A-20 PassFacInv'!X53=Valid!$B$10,'A-20 PassFacInv'!X53=Valid!$B$12,'A-20 PassFacInv'!X53=Valid!$B$13,'A-20 PassFacInv'!X53=Valid!$B$14,'A-20 PassFacInv'!X53=Valid!$B$15,'A-20 PassFacInv'!X53=Valid!$B$16,'A-20 PassFacInv'!X53=Valid!$B$17,'A-20 PassFacInv'!X53=Valid!$B$18,X53=Valid!$B$19,X53=Valid!$B$20,X53=Valid!$B$21)),TRUE,FALSE))</f>
        <v>0</v>
      </c>
      <c r="BR53" s="1761" t="b">
        <f>IF(AND($C53&lt;&gt;"",$AD53=""),TRUE,FALSE)</f>
        <v>0</v>
      </c>
      <c r="BS53" s="721"/>
      <c r="BT53" s="1625" t="str">
        <f>IF($X53="","",VLOOKUP($X53,val_facilities,BT$3,FALSE))</f>
        <v/>
      </c>
      <c r="BU53" s="1627" t="str">
        <f>IF($X53="","",VLOOKUP($X53,val_facilities,BU$3,FALSE))</f>
        <v/>
      </c>
      <c r="BV53" s="1627" t="str">
        <f>IF($X53="","",VLOOKUP($X53,val_facilities,BV$3,FALSE))</f>
        <v/>
      </c>
      <c r="BW53" s="1627" t="str">
        <f ca="1">IFERROR(IF(Z53="", "", YEAR(TODAY())-Z53), "")</f>
        <v/>
      </c>
      <c r="BX53" s="845" t="str">
        <f>IF($X53="","",IF(AD53="Square Feet",VLOOKUP('A-20 PassFacInv'!X33,Valid!$B$7:$H$24,7,FALSE),IF(AD53="Parking Spaces",VLOOKUP(X53,Valid!$B$22:$L$24,11,FALSE))))</f>
        <v/>
      </c>
      <c r="BY53" s="845" t="str">
        <f>IF($X53="","",IF(AD53="Square Feet",VLOOKUP(X53,Valid!$B$7:$I$24,8,FALSE),IF('A-20 PassFacInv'!AD33="Parking Spaces",VLOOKUP('A-20 PassFacInv'!X33,Valid!$B$22:$M$24,12,FALSE))))</f>
        <v/>
      </c>
      <c r="BZ53" s="1229"/>
      <c r="CA53" s="721">
        <f t="shared" si="1"/>
        <v>0</v>
      </c>
      <c r="CB53" s="816"/>
    </row>
    <row r="54" spans="1:80" s="1739" customFormat="1" ht="6.75" customHeight="1" thickBot="1" x14ac:dyDescent="0.25">
      <c r="A54" s="1638"/>
      <c r="B54" s="1746">
        <v>21.5</v>
      </c>
      <c r="C54" s="1223"/>
      <c r="D54" s="1248"/>
      <c r="E54" s="721"/>
      <c r="F54" s="758"/>
      <c r="G54" s="758"/>
      <c r="H54" s="758"/>
      <c r="I54" s="758"/>
      <c r="J54" s="1744"/>
      <c r="K54" s="1248"/>
      <c r="L54" s="1745"/>
      <c r="M54" s="1248"/>
      <c r="N54" s="1745"/>
      <c r="O54" s="1248"/>
      <c r="P54" s="1659"/>
      <c r="Q54" s="1248"/>
      <c r="R54" s="1656"/>
      <c r="S54" s="1248"/>
      <c r="T54" s="1656"/>
      <c r="U54" s="1248"/>
      <c r="V54" s="1223"/>
      <c r="W54" s="1618"/>
      <c r="X54" s="1737"/>
      <c r="Y54" s="1618"/>
      <c r="Z54" s="1623"/>
      <c r="AA54" s="1618"/>
      <c r="AB54" s="1944"/>
      <c r="AC54" s="1632"/>
      <c r="AD54" s="1394"/>
      <c r="AE54" s="823"/>
      <c r="AF54" s="822"/>
      <c r="AG54" s="1632"/>
      <c r="AH54" s="1631"/>
      <c r="AI54" s="1632"/>
      <c r="AJ54" s="1631"/>
      <c r="AK54" s="1632"/>
      <c r="AL54" s="1719"/>
      <c r="AM54" s="1632"/>
      <c r="AN54" s="721"/>
      <c r="AO54" s="758"/>
      <c r="AP54" s="758"/>
      <c r="AQ54" s="758"/>
      <c r="AR54" s="758"/>
      <c r="AS54" s="758"/>
      <c r="AT54" s="1761"/>
      <c r="AU54" s="1761"/>
      <c r="AV54" s="1761"/>
      <c r="AW54" s="1761"/>
      <c r="AX54" s="1761"/>
      <c r="AY54" s="1761"/>
      <c r="AZ54" s="1761"/>
      <c r="BA54" s="1761"/>
      <c r="BB54" s="1761"/>
      <c r="BC54" s="1761"/>
      <c r="BD54" s="1761"/>
      <c r="BE54" s="1761"/>
      <c r="BF54" s="1761"/>
      <c r="BG54" s="1761"/>
      <c r="BH54" s="1761"/>
      <c r="BI54" s="1761"/>
      <c r="BJ54" s="1761"/>
      <c r="BK54" s="1761"/>
      <c r="BL54" s="1761"/>
      <c r="BM54" s="1761"/>
      <c r="BN54" s="1761"/>
      <c r="BO54" s="1761"/>
      <c r="BP54" s="1761"/>
      <c r="BQ54" s="1761"/>
      <c r="BR54" s="1761"/>
      <c r="BS54" s="721"/>
      <c r="BT54" s="1626"/>
      <c r="BU54" s="1626"/>
      <c r="BV54" s="1626"/>
      <c r="BW54" s="1626"/>
      <c r="BX54" s="1626"/>
      <c r="BY54" s="1626"/>
      <c r="BZ54" s="1229"/>
      <c r="CA54" s="721">
        <f t="shared" si="1"/>
        <v>0</v>
      </c>
      <c r="CB54" s="721"/>
    </row>
    <row r="55" spans="1:80" s="1739" customFormat="1" x14ac:dyDescent="0.2">
      <c r="A55" s="840">
        <v>22</v>
      </c>
      <c r="B55" s="1746">
        <v>22</v>
      </c>
      <c r="C55" s="1740"/>
      <c r="D55" s="1248" t="str">
        <f>IF(C53="","",IF((C55=""),"Enter Facility "&amp;TEXT(A55,0)&amp;" Name, then Fill in Columns "&amp;TEXT($H$2,0)&amp;" - "&amp;TEXT($AL$2,0)&amp;"       ",""))</f>
        <v/>
      </c>
      <c r="E55" s="1245" t="str">
        <f ca="1">IF(AS55="N/A","",IF(AS55="N","No","Yes"))</f>
        <v/>
      </c>
      <c r="F55" s="758"/>
      <c r="G55" s="758"/>
      <c r="H55" s="1707"/>
      <c r="I55" s="758"/>
      <c r="J55" s="1653"/>
      <c r="K55" s="1248" t="str">
        <f ca="1">IF($E55&lt;&gt;"","Enter Street Address      ","")</f>
        <v/>
      </c>
      <c r="L55" s="1740"/>
      <c r="M55" s="1248" t="str">
        <f ca="1">IF($E55&lt;&gt;"","Enter City Name       ","")</f>
        <v/>
      </c>
      <c r="N55" s="1740"/>
      <c r="O55" s="1248" t="str">
        <f ca="1">IF($E55&lt;&gt;"","Select from Pull-Down List   ","")</f>
        <v/>
      </c>
      <c r="P55" s="1741"/>
      <c r="Q55" s="1248" t="str">
        <f ca="1">IF($E55&lt;&gt;"","Enter ZIP Code       ","")</f>
        <v/>
      </c>
      <c r="R55" s="1742"/>
      <c r="S55" s="1248" t="str">
        <f ca="1">IF(OR(N55&lt;&gt;"",P55&lt;&gt;"",J55&lt;&gt;"",L55&lt;&gt;""),"",IF($E55&lt;&gt;"","Enter Lat.      ",""))</f>
        <v/>
      </c>
      <c r="T55" s="1742"/>
      <c r="U55" s="1248" t="str">
        <f ca="1">IF(OR(N55&lt;&gt;"",P55&lt;&gt;"",J55&lt;&gt;"",L55&lt;&gt;""),"",IF($E55&lt;&gt;"","Enter Long.    ",""))</f>
        <v/>
      </c>
      <c r="V55" s="1653"/>
      <c r="W55" s="1618" t="str">
        <f ca="1">IF($E55&lt;&gt;"","Select from Pull-Down List  ","")</f>
        <v/>
      </c>
      <c r="X55" s="1653"/>
      <c r="Y55" s="1618" t="str">
        <f ca="1">IF($E55&lt;&gt;"","Select from Pull-Down List  ","")</f>
        <v/>
      </c>
      <c r="Z55" s="1743"/>
      <c r="AA55" s="1248" t="str">
        <f ca="1">IF(E55&lt;&gt;"","Year?   ","")</f>
        <v/>
      </c>
      <c r="AB55" s="1943"/>
      <c r="AC55" s="1620" t="str">
        <f ca="1">IF(E55="","",IF(X55="","Sq. Ft. or Spaces?   ",IF(OR(X55=Codes!$L$26,X55=Codes!$L$27,X55=Codes!$L$28),"Sq. Ft. or Spaces?   ",IF(OR(X55=Codes!$L$20,X55=Codes!$L$21,X55=Codes!$L$22,X55=Codes!$L$23,X55=Codes!$L$24,X55=Codes!$L$25),"Sq. Ft?     ",""))))</f>
        <v/>
      </c>
      <c r="AD55" s="1740"/>
      <c r="AE55" s="1618" t="str">
        <f ca="1">IF($E55&lt;&gt;"","Select from List     ","")</f>
        <v/>
      </c>
      <c r="AF55" s="1621"/>
      <c r="AG55" s="1618" t="str">
        <f ca="1">IF($E55&lt;&gt;"","% of Cap Resp.","")</f>
        <v/>
      </c>
      <c r="AH55" s="1801" t="str">
        <f ca="1">IF(BW55="", "", IF(BW55&gt;100, 1, VLOOKUP(BW55, Valid!$W$1:$AA$101, VLOOKUP(X55, Codes!$L$20:$N$28, 3, FALSE), FALSE)))</f>
        <v/>
      </c>
      <c r="AI55" s="1620" t="str">
        <f ca="1">IF($E55&lt;&gt;"","Estimated?  ","")</f>
        <v/>
      </c>
      <c r="AJ55" s="1654"/>
      <c r="AK55" s="1620" t="str">
        <f ca="1">IF($E55&lt;&gt;"","Estimated $?    ","")</f>
        <v/>
      </c>
      <c r="AL55" s="1730"/>
      <c r="AM55" s="1620" t="b">
        <f ca="1">IF(E55&lt;&gt;"","Est Date?    ")</f>
        <v>0</v>
      </c>
      <c r="AN55" s="1740"/>
      <c r="AO55" s="1248" t="str">
        <f>IF(X55="Other (describe in Notes)","Describe Facility.                                                                                                                        ","")</f>
        <v/>
      </c>
      <c r="AP55" s="1624"/>
      <c r="AQ55" s="1624" t="b">
        <f>IF(AND(C55="",C57&lt;&gt;""),TRUE,FALSE)</f>
        <v>0</v>
      </c>
      <c r="AR55" s="1624" t="str">
        <f>IF(AND(J55&lt;&gt;"",L55&lt;&gt;"",N55&lt;&gt;"",P55&lt;&gt;"",R55="",T55=""),"Y",IF(AND(J55="",L55="",N55="",P55="",R55&lt;&gt;"",T55&lt;&gt;""),"Y",IF(AND(J55&lt;&gt;"",L55&lt;&gt;"",N55&lt;&gt;"",P55&lt;&gt;"",R55&lt;&gt;"",T55&lt;&gt;""),"Y",IF(AND(J55="",L55="",N55="",P55="",R55="",T55=""),"N/A","N"))))</f>
        <v>N/A</v>
      </c>
      <c r="AS55" s="1624" t="str">
        <f ca="1">IF(AND($C55&lt;&gt;"",OR(AR55="N",$V55="",$X55="",$Z55="",$AB55="",$AF55="",$AH55="",$AL55="",AD55="")),"N",IF(AND($C55="",OR(H55&lt;&gt;"",AR55="N",$V55&lt;&gt;"",$X55&lt;&gt;"",$Z55&lt;&gt;"",$AB55&lt;&gt;"",$AF55&lt;&gt;"",$AH55&lt;&gt;"",$AL55&lt;&gt;"",AD55&lt;&gt;"")),"N",IF(AND(H55="",$C55="",AR55="N/A",$V55="",$X55="",$Z55="",$AB55="",$AF55="",$AH55="",$AL55="",AD55=""),"N/A",IF(AND($C55&lt;&gt;"",AR55="Y",$V55&lt;&gt;"",$X55&lt;&gt;"",$Z55&lt;&gt;"",$AB55&lt;&gt;"",$AF55&lt;&gt;"",$AH55&lt;&gt;"",$AL55&lt;&gt;"",AD55&lt;&gt;""),"Y","N"))))</f>
        <v>N/A</v>
      </c>
      <c r="AT55" s="1761" t="b">
        <f ca="1">IF(AND($C55="",OR($J55&lt;&gt;"",$L55&lt;&gt;"",$N55&lt;&gt;"",$P55&lt;&gt;"",$V55&lt;&gt;"",$X55&lt;&gt;"",$Z55&lt;&gt;"",$AB55&lt;&gt;"",$AF55&lt;&gt;"",$AH55&lt;&gt;"",$AL55&lt;&gt;"")),TRUE,FALSE)</f>
        <v>0</v>
      </c>
      <c r="AU55" s="1761" t="b">
        <f>IF(OR(R55&lt;&gt;"",T55&lt;&gt;""),"false",IF(AND($C55&lt;&gt;"",$J55=""),TRUE,FALSE))</f>
        <v>0</v>
      </c>
      <c r="AV55" s="1761" t="b">
        <f>IF(OR(R55&lt;&gt;"",T55&lt;&gt;""),FALSE,IF(AND($C55&lt;&gt;"",$L55=""),TRUE,FALSE))</f>
        <v>0</v>
      </c>
      <c r="AW55" s="1761" t="b">
        <f>IF(OR(R55&lt;&gt;"",T55&lt;&gt;""),FALSE,IF(AND($C55&lt;&gt;"",$N55=""),TRUE,FALSE))</f>
        <v>0</v>
      </c>
      <c r="AX55" s="1761" t="b">
        <f>IF(OR(R55&lt;&gt;"",T55&lt;&gt;""),FALSE,IF(AND($C55&lt;&gt;"",$P55=""),TRUE,FALSE))</f>
        <v>0</v>
      </c>
      <c r="AY55" s="1761"/>
      <c r="AZ55" s="1761" t="b">
        <f>IF(OR(J55&lt;&gt;"",L55&lt;&gt;"",N55&lt;&gt;"",P55&lt;&gt;""),FALSE,IF(AND(C55&lt;&gt;"",R55=""),TRUE,FALSE))</f>
        <v>0</v>
      </c>
      <c r="BA55" s="1761"/>
      <c r="BB55" s="1761" t="b">
        <f>IF(OR(J55&lt;&gt;"",L55&lt;&gt;"",N55&lt;&gt;"",P55&lt;&gt;""),FALSE,IF(AND(C55&lt;&gt;"",T55=""),TRUE,FALSE))</f>
        <v>0</v>
      </c>
      <c r="BC55" s="1761" t="b">
        <f>IF(AND($C55&lt;&gt;"",$V55=""),TRUE,FALSE)</f>
        <v>0</v>
      </c>
      <c r="BD55" s="1761" t="b">
        <f ca="1">IF(AND(X55="",OR(Z55&lt;&gt;"",AB55&lt;&gt;"",AF55&lt;&gt;"",AH55&lt;&gt;"",AL55&lt;&gt;"",AD55&lt;&gt;"")),TRUE,FALSE)</f>
        <v>0</v>
      </c>
      <c r="BE55" s="1761" t="b">
        <f>IF(AND($C55&lt;&gt;"",$X55=""),TRUE,FALSE)</f>
        <v>0</v>
      </c>
      <c r="BF55" s="1761" t="b">
        <f>IF(Z55="",FALSE,IF(X55="",FALSE,IF(BG55=TRUE,FALSE,IF(OR(Z55&lt;BU55,Z55&gt;BaseYear),TRUE,FALSE))))</f>
        <v>0</v>
      </c>
      <c r="BG55" s="1761" t="b">
        <f>IF(AND($C55&lt;&gt;"",$Z55=""),TRUE,FALSE)</f>
        <v>0</v>
      </c>
      <c r="BH55" s="1761" t="b">
        <f>IF(AD55="",FALSE,IF(X55="",FALSE,IF(BJ55=TRUE,FALSE,IF(AB55&lt;BX55,TRUE,FALSE))))</f>
        <v>0</v>
      </c>
      <c r="BI55" s="1761" t="b">
        <f>IF(AD55="",FALSE,IF(X55="",FALSE,IF(BJ55=TRUE,FALSE,IF(AB55&gt;BY55,TRUE,FALSE))))</f>
        <v>0</v>
      </c>
      <c r="BJ55" s="1761" t="b">
        <f>IF(AND($C55&lt;&gt;"",$AB55=""),TRUE,FALSE)</f>
        <v>0</v>
      </c>
      <c r="BK55" s="1761" t="b">
        <f>IF(BL55=TRUE,FALSE,IF(OR(AF55&lt;0,AF55&gt;1),TRUE,FALSE))</f>
        <v>0</v>
      </c>
      <c r="BL55" s="1761" t="b">
        <f>IF(AND($C55&lt;&gt;"",$AF55=""),TRUE,FALSE)</f>
        <v>0</v>
      </c>
      <c r="BM55" s="1761"/>
      <c r="BN55" s="1761" t="b">
        <f ca="1">IF(AND($C55&lt;&gt;"",$AH55=""),TRUE,FALSE)</f>
        <v>0</v>
      </c>
      <c r="BO55" s="1761" t="b">
        <f>IF(AL55="",FALSE,IF(X55="",FALSE,IF(BP55=TRUE,FALSE,IF(OR(AL55&lt;1913,AL55&gt;BaseYear),TRUE,FALSE))))</f>
        <v>0</v>
      </c>
      <c r="BP55" s="1761" t="b">
        <f>IF(AND($C55&lt;&gt;"",$AL55=""),TRUE,FALSE)</f>
        <v>0</v>
      </c>
      <c r="BQ55" s="1761" t="b">
        <f>IF(AD55="Square Foot",FALSE,IF(AND(AD55="Parking Space",OR('A-20 PassFacInv'!X55=Valid!$B$7,'A-20 PassFacInv'!X55=Valid!$B$8,'A-20 PassFacInv'!X55=Valid!$B$9,'A-20 PassFacInv'!X55=Valid!$B$10,'A-20 PassFacInv'!X55=Valid!$B$12,'A-20 PassFacInv'!X55=Valid!$B$13,'A-20 PassFacInv'!X55=Valid!$B$14,'A-20 PassFacInv'!X55=Valid!$B$15,'A-20 PassFacInv'!X55=Valid!$B$16,'A-20 PassFacInv'!X55=Valid!$B$17,'A-20 PassFacInv'!X55=Valid!$B$18,X55=Valid!$B$19,X55=Valid!$B$20,X55=Valid!$B$21)),TRUE,FALSE))</f>
        <v>0</v>
      </c>
      <c r="BR55" s="1761" t="b">
        <f>IF(AND($C55&lt;&gt;"",$AD55=""),TRUE,FALSE)</f>
        <v>0</v>
      </c>
      <c r="BS55" s="721"/>
      <c r="BT55" s="1625" t="str">
        <f>IF($X55="","",VLOOKUP($X55,val_facilities,BT$3,FALSE))</f>
        <v/>
      </c>
      <c r="BU55" s="1627" t="str">
        <f>IF($X55="","",VLOOKUP($X55,val_facilities,BU$3,FALSE))</f>
        <v/>
      </c>
      <c r="BV55" s="1627" t="str">
        <f>IF($X55="","",VLOOKUP($X55,val_facilities,BV$3,FALSE))</f>
        <v/>
      </c>
      <c r="BW55" s="1627" t="str">
        <f ca="1">IFERROR(IF(Z55="", "", YEAR(TODAY())-Z55), "")</f>
        <v/>
      </c>
      <c r="BX55" s="845" t="str">
        <f>IF($X55="","",IF(AD55="Square Feet",VLOOKUP('A-20 PassFacInv'!X34,Valid!$B$7:$H$24,7,FALSE),IF(AD55="Parking Spaces",VLOOKUP(X55,Valid!$B$22:$L$24,11,FALSE))))</f>
        <v/>
      </c>
      <c r="BY55" s="845" t="str">
        <f>IF($X55="","",IF(AD55="Square Feet",VLOOKUP(X55,Valid!$B$7:$I$24,8,FALSE),IF('A-20 PassFacInv'!AD34="Parking Spaces",VLOOKUP('A-20 PassFacInv'!X34,Valid!$B$22:$M$24,12,FALSE))))</f>
        <v/>
      </c>
      <c r="BZ55" s="1229"/>
      <c r="CA55" s="721">
        <f t="shared" si="1"/>
        <v>0</v>
      </c>
      <c r="CB55" s="816"/>
    </row>
    <row r="56" spans="1:80" s="1739" customFormat="1" ht="6.75" customHeight="1" thickBot="1" x14ac:dyDescent="0.25">
      <c r="A56" s="1638"/>
      <c r="B56" s="1746">
        <v>22.5</v>
      </c>
      <c r="C56" s="721"/>
      <c r="D56" s="1248"/>
      <c r="E56" s="816"/>
      <c r="F56" s="758"/>
      <c r="G56" s="758"/>
      <c r="H56" s="758"/>
      <c r="I56" s="758"/>
      <c r="J56" s="1633"/>
      <c r="K56" s="1248"/>
      <c r="L56" s="1634"/>
      <c r="M56" s="1248"/>
      <c r="N56" s="1634"/>
      <c r="O56" s="1248"/>
      <c r="P56" s="1657"/>
      <c r="Q56" s="1248"/>
      <c r="R56" s="1656"/>
      <c r="S56" s="1248"/>
      <c r="T56" s="1656"/>
      <c r="U56" s="1248"/>
      <c r="V56" s="1059"/>
      <c r="W56" s="1618"/>
      <c r="X56" s="764"/>
      <c r="Y56" s="1618"/>
      <c r="Z56" s="1623"/>
      <c r="AA56" s="1618"/>
      <c r="AB56" s="1944"/>
      <c r="AC56" s="723"/>
      <c r="AD56" s="1658"/>
      <c r="AE56" s="724"/>
      <c r="AF56" s="724"/>
      <c r="AG56" s="723"/>
      <c r="AH56" s="722"/>
      <c r="AI56" s="723"/>
      <c r="AJ56" s="722"/>
      <c r="AK56" s="723"/>
      <c r="AL56" s="1717"/>
      <c r="AM56" s="723"/>
      <c r="AN56" s="1637"/>
      <c r="AO56" s="1624"/>
      <c r="AP56" s="1624"/>
      <c r="AQ56" s="1624"/>
      <c r="AR56" s="1624"/>
      <c r="AS56" s="1624"/>
      <c r="AT56" s="1761"/>
      <c r="AU56" s="1761"/>
      <c r="AV56" s="1761"/>
      <c r="AW56" s="1761"/>
      <c r="AX56" s="1761"/>
      <c r="AY56" s="1761"/>
      <c r="AZ56" s="1761"/>
      <c r="BA56" s="1761"/>
      <c r="BB56" s="1761"/>
      <c r="BC56" s="1761"/>
      <c r="BD56" s="1761"/>
      <c r="BE56" s="1761"/>
      <c r="BF56" s="1761"/>
      <c r="BG56" s="1761"/>
      <c r="BH56" s="1761"/>
      <c r="BI56" s="1761"/>
      <c r="BJ56" s="1761"/>
      <c r="BK56" s="1761"/>
      <c r="BL56" s="1761"/>
      <c r="BM56" s="1761"/>
      <c r="BN56" s="1761"/>
      <c r="BO56" s="1761"/>
      <c r="BP56" s="1761"/>
      <c r="BQ56" s="1761"/>
      <c r="BR56" s="1761"/>
      <c r="BS56" s="721"/>
      <c r="BT56" s="1626"/>
      <c r="BU56" s="1626"/>
      <c r="BV56" s="1626"/>
      <c r="BW56" s="1626"/>
      <c r="BX56" s="1626"/>
      <c r="BY56" s="1626"/>
      <c r="BZ56" s="1229"/>
      <c r="CA56" s="721">
        <f t="shared" si="1"/>
        <v>0</v>
      </c>
      <c r="CB56" s="816"/>
    </row>
    <row r="57" spans="1:80" s="1739" customFormat="1" x14ac:dyDescent="0.2">
      <c r="A57" s="840">
        <v>23</v>
      </c>
      <c r="B57" s="1746">
        <v>23</v>
      </c>
      <c r="C57" s="1740"/>
      <c r="D57" s="1248" t="str">
        <f>IF(C55="","",IF((C57=""),"Enter Facility "&amp;TEXT(A57,0)&amp;" Name, then Fill in Columns "&amp;TEXT($H$2,0)&amp;" - "&amp;TEXT($AL$2,0)&amp;"       ",""))</f>
        <v/>
      </c>
      <c r="E57" s="1245" t="str">
        <f ca="1">IF(AS57="N/A","",IF(AS57="N","No","Yes"))</f>
        <v/>
      </c>
      <c r="F57" s="758"/>
      <c r="G57" s="758"/>
      <c r="H57" s="1707"/>
      <c r="I57" s="758"/>
      <c r="J57" s="1653"/>
      <c r="K57" s="1248" t="str">
        <f ca="1">IF($E57&lt;&gt;"","Enter Street Address      ","")</f>
        <v/>
      </c>
      <c r="L57" s="1740"/>
      <c r="M57" s="1248" t="str">
        <f ca="1">IF($E57&lt;&gt;"","Enter City Name       ","")</f>
        <v/>
      </c>
      <c r="N57" s="1740"/>
      <c r="O57" s="1248" t="str">
        <f ca="1">IF($E57&lt;&gt;"","Select from Pull-Down List   ","")</f>
        <v/>
      </c>
      <c r="P57" s="1741"/>
      <c r="Q57" s="1248" t="str">
        <f ca="1">IF($E57&lt;&gt;"","Enter ZIP Code       ","")</f>
        <v/>
      </c>
      <c r="R57" s="1742"/>
      <c r="S57" s="1248" t="str">
        <f ca="1">IF(OR(N57&lt;&gt;"",P57&lt;&gt;"",J57&lt;&gt;"",L57&lt;&gt;""),"",IF($E57&lt;&gt;"","Enter Lat.      ",""))</f>
        <v/>
      </c>
      <c r="T57" s="1742"/>
      <c r="U57" s="1248" t="str">
        <f ca="1">IF(OR(N57&lt;&gt;"",P57&lt;&gt;"",J57&lt;&gt;"",L57&lt;&gt;""),"",IF($E57&lt;&gt;"","Enter Long.    ",""))</f>
        <v/>
      </c>
      <c r="V57" s="1653"/>
      <c r="W57" s="1618" t="str">
        <f ca="1">IF($E57&lt;&gt;"","Select from Pull-Down List  ","")</f>
        <v/>
      </c>
      <c r="X57" s="1653"/>
      <c r="Y57" s="1618" t="str">
        <f ca="1">IF($E57&lt;&gt;"","Select from Pull-Down List  ","")</f>
        <v/>
      </c>
      <c r="Z57" s="1743"/>
      <c r="AA57" s="1248" t="str">
        <f ca="1">IF(E57&lt;&gt;"","Year?   ","")</f>
        <v/>
      </c>
      <c r="AB57" s="1943"/>
      <c r="AC57" s="1620" t="str">
        <f ca="1">IF(E57="","",IF(X57="","Sq. Ft. or Spaces?   ",IF(OR(X57=Codes!$L$26,X57=Codes!$L$27,X57=Codes!$L$28),"Sq. Ft. or Spaces?   ",IF(OR(X57=Codes!$L$20,X57=Codes!$L$21,X57=Codes!$L$22,X57=Codes!$L$23,X57=Codes!$L$24,X57=Codes!$L$25),"Sq. Ft?     ",""))))</f>
        <v/>
      </c>
      <c r="AD57" s="1740"/>
      <c r="AE57" s="1618" t="str">
        <f ca="1">IF($E57&lt;&gt;"","Select from List     ","")</f>
        <v/>
      </c>
      <c r="AF57" s="1621"/>
      <c r="AG57" s="1618" t="str">
        <f ca="1">IF($E57&lt;&gt;"","% of Cap Resp.","")</f>
        <v/>
      </c>
      <c r="AH57" s="1801" t="str">
        <f ca="1">IF(BW57="", "", IF(BW57&gt;100, 1, VLOOKUP(BW57, Valid!$W$1:$AA$101, VLOOKUP(X57, Codes!$L$20:$N$28, 3, FALSE), FALSE)))</f>
        <v/>
      </c>
      <c r="AI57" s="1620" t="str">
        <f ca="1">IF($E57&lt;&gt;"","Estimated?  ","")</f>
        <v/>
      </c>
      <c r="AJ57" s="1654"/>
      <c r="AK57" s="1620" t="str">
        <f ca="1">IF($E57&lt;&gt;"","Estimated $?    ","")</f>
        <v/>
      </c>
      <c r="AL57" s="1730"/>
      <c r="AM57" s="1620" t="b">
        <f ca="1">IF(E57&lt;&gt;"","Est Date?    ")</f>
        <v>0</v>
      </c>
      <c r="AN57" s="1740"/>
      <c r="AO57" s="1248" t="str">
        <f>IF(X57="Other (describe in Notes)","Describe Facility.                                                                                                                        ","")</f>
        <v/>
      </c>
      <c r="AP57" s="1624"/>
      <c r="AQ57" s="1624" t="b">
        <f>IF(AND(C57="",C59&lt;&gt;""),TRUE,FALSE)</f>
        <v>0</v>
      </c>
      <c r="AR57" s="1624" t="str">
        <f>IF(AND(J57&lt;&gt;"",L57&lt;&gt;"",N57&lt;&gt;"",P57&lt;&gt;"",R57="",T57=""),"Y",IF(AND(J57="",L57="",N57="",P57="",R57&lt;&gt;"",T57&lt;&gt;""),"Y",IF(AND(J57&lt;&gt;"",L57&lt;&gt;"",N57&lt;&gt;"",P57&lt;&gt;"",R57&lt;&gt;"",T57&lt;&gt;""),"Y",IF(AND(J57="",L57="",N57="",P57="",R57="",T57=""),"N/A","N"))))</f>
        <v>N/A</v>
      </c>
      <c r="AS57" s="1624" t="str">
        <f ca="1">IF(AND($C57&lt;&gt;"",OR(AR57="N",$V57="",$X57="",$Z57="",$AB57="",$AF57="",$AH57="",$AL57="",AD57="")),"N",IF(AND($C57="",OR(H57&lt;&gt;"",AR57="N",$V57&lt;&gt;"",$X57&lt;&gt;"",$Z57&lt;&gt;"",$AB57&lt;&gt;"",$AF57&lt;&gt;"",$AH57&lt;&gt;"",$AL57&lt;&gt;"",AD57&lt;&gt;"")),"N",IF(AND(H57="",$C57="",AR57="N/A",$V57="",$X57="",$Z57="",$AB57="",$AF57="",$AH57="",$AL57="",AD57=""),"N/A",IF(AND($C57&lt;&gt;"",AR57="Y",$V57&lt;&gt;"",$X57&lt;&gt;"",$Z57&lt;&gt;"",$AB57&lt;&gt;"",$AF57&lt;&gt;"",$AH57&lt;&gt;"",$AL57&lt;&gt;"",AD57&lt;&gt;""),"Y","N"))))</f>
        <v>N/A</v>
      </c>
      <c r="AT57" s="1761" t="b">
        <f ca="1">IF(AND($C57="",OR($J57&lt;&gt;"",$L57&lt;&gt;"",$N57&lt;&gt;"",$P57&lt;&gt;"",$V57&lt;&gt;"",$X57&lt;&gt;"",$Z57&lt;&gt;"",$AB57&lt;&gt;"",$AF57&lt;&gt;"",$AH57&lt;&gt;"",$AL57&lt;&gt;"")),TRUE,FALSE)</f>
        <v>0</v>
      </c>
      <c r="AU57" s="1761" t="b">
        <f>IF(OR(R57&lt;&gt;"",T57&lt;&gt;""),"false",IF(AND($C57&lt;&gt;"",$J57=""),TRUE,FALSE))</f>
        <v>0</v>
      </c>
      <c r="AV57" s="1761" t="b">
        <f>IF(OR(R57&lt;&gt;"",T57&lt;&gt;""),FALSE,IF(AND($C57&lt;&gt;"",$L57=""),TRUE,FALSE))</f>
        <v>0</v>
      </c>
      <c r="AW57" s="1761" t="b">
        <f>IF(OR(R57&lt;&gt;"",T57&lt;&gt;""),FALSE,IF(AND($C57&lt;&gt;"",$N57=""),TRUE,FALSE))</f>
        <v>0</v>
      </c>
      <c r="AX57" s="1761" t="b">
        <f>IF(OR(R57&lt;&gt;"",T57&lt;&gt;""),FALSE,IF(AND($C57&lt;&gt;"",$P57=""),TRUE,FALSE))</f>
        <v>0</v>
      </c>
      <c r="AY57" s="1761"/>
      <c r="AZ57" s="1761" t="b">
        <f>IF(OR(J57&lt;&gt;"",L57&lt;&gt;"",N57&lt;&gt;"",P57&lt;&gt;""),FALSE,IF(AND(C57&lt;&gt;"",R57=""),TRUE,FALSE))</f>
        <v>0</v>
      </c>
      <c r="BA57" s="1761"/>
      <c r="BB57" s="1761" t="b">
        <f>IF(OR(J57&lt;&gt;"",L57&lt;&gt;"",N57&lt;&gt;"",P57&lt;&gt;""),FALSE,IF(AND(C57&lt;&gt;"",T57=""),TRUE,FALSE))</f>
        <v>0</v>
      </c>
      <c r="BC57" s="1761" t="b">
        <f>IF(AND($C57&lt;&gt;"",$V57=""),TRUE,FALSE)</f>
        <v>0</v>
      </c>
      <c r="BD57" s="1761" t="b">
        <f ca="1">IF(AND(X57="",OR(Z57&lt;&gt;"",AB57&lt;&gt;"",AF57&lt;&gt;"",AH57&lt;&gt;"",AL57&lt;&gt;"",AD57&lt;&gt;"")),TRUE,FALSE)</f>
        <v>0</v>
      </c>
      <c r="BE57" s="1761" t="b">
        <f>IF(AND($C57&lt;&gt;"",$X57=""),TRUE,FALSE)</f>
        <v>0</v>
      </c>
      <c r="BF57" s="1761" t="b">
        <f>IF(Z57="",FALSE,IF(X57="",FALSE,IF(BG57=TRUE,FALSE,IF(OR(Z57&lt;BU57,Z57&gt;BaseYear),TRUE,FALSE))))</f>
        <v>0</v>
      </c>
      <c r="BG57" s="1761" t="b">
        <f>IF(AND($C57&lt;&gt;"",$Z57=""),TRUE,FALSE)</f>
        <v>0</v>
      </c>
      <c r="BH57" s="1761" t="b">
        <f>IF(AD57="",FALSE,IF(X57="",FALSE,IF(BJ57=TRUE,FALSE,IF(AB57&lt;BX57,TRUE,FALSE))))</f>
        <v>0</v>
      </c>
      <c r="BI57" s="1761" t="b">
        <f>IF(AD57="",FALSE,IF(X57="",FALSE,IF(BJ57=TRUE,FALSE,IF(AB57&gt;BY57,TRUE,FALSE))))</f>
        <v>0</v>
      </c>
      <c r="BJ57" s="1761" t="b">
        <f>IF(AND($C57&lt;&gt;"",$AB57=""),TRUE,FALSE)</f>
        <v>0</v>
      </c>
      <c r="BK57" s="1761" t="b">
        <f>IF(BL57=TRUE,FALSE,IF(OR(AF57&lt;0,AF57&gt;1),TRUE,FALSE))</f>
        <v>0</v>
      </c>
      <c r="BL57" s="1761" t="b">
        <f>IF(AND($C57&lt;&gt;"",$AF57=""),TRUE,FALSE)</f>
        <v>0</v>
      </c>
      <c r="BM57" s="1761"/>
      <c r="BN57" s="1761" t="b">
        <f ca="1">IF(AND($C57&lt;&gt;"",$AH57=""),TRUE,FALSE)</f>
        <v>0</v>
      </c>
      <c r="BO57" s="1761" t="b">
        <f>IF(AL57="",FALSE,IF(X57="",FALSE,IF(BP57=TRUE,FALSE,IF(OR(AL57&lt;1913,AL57&gt;BaseYear),TRUE,FALSE))))</f>
        <v>0</v>
      </c>
      <c r="BP57" s="1761" t="b">
        <f>IF(AND($C57&lt;&gt;"",$AL57=""),TRUE,FALSE)</f>
        <v>0</v>
      </c>
      <c r="BQ57" s="1761" t="b">
        <f>IF(AD57="Square Foot",FALSE,IF(AND(AD57="Parking Space",OR('A-20 PassFacInv'!X57=Valid!$B$7,'A-20 PassFacInv'!X57=Valid!$B$8,'A-20 PassFacInv'!X57=Valid!$B$9,'A-20 PassFacInv'!X57=Valid!$B$10,'A-20 PassFacInv'!X57=Valid!$B$12,'A-20 PassFacInv'!X57=Valid!$B$13,'A-20 PassFacInv'!X57=Valid!$B$14,'A-20 PassFacInv'!X57=Valid!$B$15,'A-20 PassFacInv'!X57=Valid!$B$16,'A-20 PassFacInv'!X57=Valid!$B$17,'A-20 PassFacInv'!X57=Valid!$B$18,X57=Valid!$B$19,X57=Valid!$B$20,X57=Valid!$B$21)),TRUE,FALSE))</f>
        <v>0</v>
      </c>
      <c r="BR57" s="1761" t="b">
        <f>IF(AND($C57&lt;&gt;"",$AD57=""),TRUE,FALSE)</f>
        <v>0</v>
      </c>
      <c r="BS57" s="721"/>
      <c r="BT57" s="1625" t="str">
        <f>IF($X57="","",VLOOKUP($X57,val_facilities,BT$3,FALSE))</f>
        <v/>
      </c>
      <c r="BU57" s="1627" t="str">
        <f>IF($X57="","",VLOOKUP($X57,val_facilities,BU$3,FALSE))</f>
        <v/>
      </c>
      <c r="BV57" s="1627" t="str">
        <f>IF($X57="","",VLOOKUP($X57,val_facilities,BV$3,FALSE))</f>
        <v/>
      </c>
      <c r="BW57" s="1627" t="str">
        <f ca="1">IFERROR(IF(Z57="", "", YEAR(TODAY())-Z57), "")</f>
        <v/>
      </c>
      <c r="BX57" s="845" t="str">
        <f>IF($X57="","",IF(AD57="Square Feet",VLOOKUP('A-20 PassFacInv'!X35,Valid!$B$7:$H$24,7,FALSE),IF(AD57="Parking Spaces",VLOOKUP(X57,Valid!$B$22:$L$24,11,FALSE))))</f>
        <v/>
      </c>
      <c r="BY57" s="845" t="str">
        <f>IF($X57="","",IF(AD57="Square Feet",VLOOKUP(X57,Valid!$B$7:$I$24,8,FALSE),IF('A-20 PassFacInv'!AD35="Parking Spaces",VLOOKUP('A-20 PassFacInv'!X35,Valid!$B$22:$M$24,12,FALSE))))</f>
        <v/>
      </c>
      <c r="BZ57" s="1229"/>
      <c r="CA57" s="721">
        <f t="shared" si="1"/>
        <v>0</v>
      </c>
      <c r="CB57" s="816"/>
    </row>
    <row r="58" spans="1:80" s="1739" customFormat="1" ht="6.75" customHeight="1" thickBot="1" x14ac:dyDescent="0.25">
      <c r="A58" s="1638"/>
      <c r="B58" s="1746">
        <v>23.5</v>
      </c>
      <c r="C58" s="1057"/>
      <c r="D58" s="1248"/>
      <c r="E58" s="1057"/>
      <c r="F58" s="1229"/>
      <c r="G58" s="1229"/>
      <c r="H58" s="1229"/>
      <c r="I58" s="1229"/>
      <c r="J58" s="1604"/>
      <c r="K58" s="1640"/>
      <c r="L58" s="1641"/>
      <c r="M58" s="1248"/>
      <c r="N58" s="1641"/>
      <c r="O58" s="1248"/>
      <c r="P58" s="1659"/>
      <c r="Q58" s="1248"/>
      <c r="R58" s="1660"/>
      <c r="S58" s="1640"/>
      <c r="T58" s="1660"/>
      <c r="U58" s="1640"/>
      <c r="V58" s="1057"/>
      <c r="W58" s="1618"/>
      <c r="X58" s="1747"/>
      <c r="Y58" s="1618"/>
      <c r="Z58" s="1623"/>
      <c r="AA58" s="1618"/>
      <c r="AB58" s="1944"/>
      <c r="AC58" s="1275"/>
      <c r="AD58" s="1661"/>
      <c r="AE58" s="734"/>
      <c r="AF58" s="1736"/>
      <c r="AG58" s="1275"/>
      <c r="AH58" s="733"/>
      <c r="AI58" s="1275"/>
      <c r="AJ58" s="733"/>
      <c r="AK58" s="1275"/>
      <c r="AL58" s="1721"/>
      <c r="AM58" s="1275"/>
      <c r="AN58" s="1057"/>
      <c r="AO58" s="1644"/>
      <c r="AP58" s="1644"/>
      <c r="AQ58" s="1644"/>
      <c r="AR58" s="1644"/>
      <c r="AS58" s="1644"/>
      <c r="AT58" s="1761"/>
      <c r="AU58" s="1761"/>
      <c r="AV58" s="1761"/>
      <c r="AW58" s="1761"/>
      <c r="AX58" s="1761"/>
      <c r="AY58" s="1761"/>
      <c r="AZ58" s="1761"/>
      <c r="BA58" s="1761"/>
      <c r="BB58" s="1761"/>
      <c r="BC58" s="1762"/>
      <c r="BD58" s="1762"/>
      <c r="BE58" s="1762"/>
      <c r="BF58" s="1762"/>
      <c r="BG58" s="1762"/>
      <c r="BH58" s="1762"/>
      <c r="BI58" s="1762"/>
      <c r="BJ58" s="1762"/>
      <c r="BK58" s="1762"/>
      <c r="BL58" s="1762"/>
      <c r="BM58" s="1762"/>
      <c r="BN58" s="1762"/>
      <c r="BO58" s="1762"/>
      <c r="BP58" s="1762"/>
      <c r="BQ58" s="1762"/>
      <c r="BR58" s="1762"/>
      <c r="BS58" s="1736"/>
      <c r="BT58" s="1738"/>
      <c r="BU58" s="1738"/>
      <c r="BV58" s="1738"/>
      <c r="BW58" s="1738"/>
      <c r="BX58" s="1738"/>
      <c r="BY58" s="1738"/>
      <c r="BZ58" s="1229"/>
      <c r="CA58" s="721">
        <f t="shared" si="1"/>
        <v>0</v>
      </c>
      <c r="CB58" s="1748"/>
    </row>
    <row r="59" spans="1:80" s="1739" customFormat="1" x14ac:dyDescent="0.2">
      <c r="A59" s="840">
        <v>24</v>
      </c>
      <c r="B59" s="1731">
        <v>24</v>
      </c>
      <c r="C59" s="1740"/>
      <c r="D59" s="1248" t="str">
        <f>IF(C57="","",IF((C59=""),"Enter Facility "&amp;TEXT(A59,0)&amp;" Name, then Fill in Columns "&amp;TEXT($H$2,0)&amp;" - "&amp;TEXT($AL$2,0)&amp;"       ",""))</f>
        <v/>
      </c>
      <c r="E59" s="1245" t="str">
        <f ca="1">IF(AS59="N/A","",IF(AS59="N","No","Yes"))</f>
        <v/>
      </c>
      <c r="F59" s="758"/>
      <c r="G59" s="758"/>
      <c r="H59" s="1707"/>
      <c r="I59" s="758"/>
      <c r="J59" s="1653"/>
      <c r="K59" s="1248" t="str">
        <f ca="1">IF($E59&lt;&gt;"","Enter Street Address      ","")</f>
        <v/>
      </c>
      <c r="L59" s="1740"/>
      <c r="M59" s="1248" t="str">
        <f ca="1">IF($E59&lt;&gt;"","Enter City Name       ","")</f>
        <v/>
      </c>
      <c r="N59" s="1740"/>
      <c r="O59" s="1248" t="str">
        <f ca="1">IF($E59&lt;&gt;"","Select from Pull-Down List   ","")</f>
        <v/>
      </c>
      <c r="P59" s="1741"/>
      <c r="Q59" s="1248" t="str">
        <f ca="1">IF($E59&lt;&gt;"","Enter ZIP Code       ","")</f>
        <v/>
      </c>
      <c r="R59" s="1742"/>
      <c r="S59" s="1248" t="str">
        <f ca="1">IF(OR(N59&lt;&gt;"",P59&lt;&gt;"",J59&lt;&gt;"",L59&lt;&gt;""),"",IF($E59&lt;&gt;"","Enter Lat.      ",""))</f>
        <v/>
      </c>
      <c r="T59" s="1742"/>
      <c r="U59" s="1248" t="str">
        <f ca="1">IF(OR(N59&lt;&gt;"",P59&lt;&gt;"",J59&lt;&gt;"",L59&lt;&gt;""),"",IF($E59&lt;&gt;"","Enter Long.    ",""))</f>
        <v/>
      </c>
      <c r="V59" s="1653"/>
      <c r="W59" s="1618" t="str">
        <f ca="1">IF($E59&lt;&gt;"","Select from Pull-Down List  ","")</f>
        <v/>
      </c>
      <c r="X59" s="1653"/>
      <c r="Y59" s="1618" t="str">
        <f ca="1">IF($E59&lt;&gt;"","Select from Pull-Down List  ","")</f>
        <v/>
      </c>
      <c r="Z59" s="1743"/>
      <c r="AA59" s="1248" t="str">
        <f ca="1">IF(E59&lt;&gt;"","Year?   ","")</f>
        <v/>
      </c>
      <c r="AB59" s="1943"/>
      <c r="AC59" s="1620" t="str">
        <f ca="1">IF(E59="","",IF(X59="","Sq. Ft. or Spaces?   ",IF(OR(X59=Codes!$L$26,X59=Codes!$L$27,X59=Codes!$L$28),"Sq. Ft. or Spaces?   ",IF(OR(X59=Codes!$L$20,X59=Codes!$L$21,X59=Codes!$L$22,X59=Codes!$L$23,X59=Codes!$L$24,X59=Codes!$L$25),"Sq. Ft?     ",""))))</f>
        <v/>
      </c>
      <c r="AD59" s="1740"/>
      <c r="AE59" s="1618" t="str">
        <f ca="1">IF($E59&lt;&gt;"","Select from List     ","")</f>
        <v/>
      </c>
      <c r="AF59" s="1621"/>
      <c r="AG59" s="1618" t="str">
        <f ca="1">IF($E59&lt;&gt;"","% of Cap Resp.","")</f>
        <v/>
      </c>
      <c r="AH59" s="1801" t="str">
        <f ca="1">IF(BW59="", "", IF(BW59&gt;100, 1, VLOOKUP(BW59, Valid!$W$1:$AA$101, VLOOKUP(X59, Codes!$L$20:$N$28, 3, FALSE), FALSE)))</f>
        <v/>
      </c>
      <c r="AI59" s="1620" t="str">
        <f ca="1">IF($E59&lt;&gt;"","Estimated?  ","")</f>
        <v/>
      </c>
      <c r="AJ59" s="1654"/>
      <c r="AK59" s="1620" t="str">
        <f ca="1">IF($E59&lt;&gt;"","Estimated $?    ","")</f>
        <v/>
      </c>
      <c r="AL59" s="1730"/>
      <c r="AM59" s="1620" t="b">
        <f ca="1">IF(E59&lt;&gt;"","Est Date?    ")</f>
        <v>0</v>
      </c>
      <c r="AN59" s="1740"/>
      <c r="AO59" s="1248" t="str">
        <f>IF(X59="Other (describe in Notes)","Describe Facility.                                                                                                                        ","")</f>
        <v/>
      </c>
      <c r="AP59" s="1624"/>
      <c r="AQ59" s="1624" t="b">
        <f>IF(AND(C59="",C61&lt;&gt;""),TRUE,FALSE)</f>
        <v>0</v>
      </c>
      <c r="AR59" s="1624" t="str">
        <f>IF(AND(J59&lt;&gt;"",L59&lt;&gt;"",N59&lt;&gt;"",P59&lt;&gt;"",R59="",T59=""),"Y",IF(AND(J59="",L59="",N59="",P59="",R59&lt;&gt;"",T59&lt;&gt;""),"Y",IF(AND(J59&lt;&gt;"",L59&lt;&gt;"",N59&lt;&gt;"",P59&lt;&gt;"",R59&lt;&gt;"",T59&lt;&gt;""),"Y",IF(AND(J59="",L59="",N59="",P59="",R59="",T59=""),"N/A","N"))))</f>
        <v>N/A</v>
      </c>
      <c r="AS59" s="1624" t="str">
        <f ca="1">IF(AND($C59&lt;&gt;"",OR(AR59="N",$V59="",$X59="",$Z59="",$AB59="",$AF59="",$AH59="",$AL59="",AD59="")),"N",IF(AND($C59="",OR(H59&lt;&gt;"",AR59="N",$V59&lt;&gt;"",$X59&lt;&gt;"",$Z59&lt;&gt;"",$AB59&lt;&gt;"",$AF59&lt;&gt;"",$AH59&lt;&gt;"",$AL59&lt;&gt;"",AD59&lt;&gt;"")),"N",IF(AND(H59="",$C59="",AR59="N/A",$V59="",$X59="",$Z59="",$AB59="",$AF59="",$AH59="",$AL59="",AD59=""),"N/A",IF(AND($C59&lt;&gt;"",AR59="Y",$V59&lt;&gt;"",$X59&lt;&gt;"",$Z59&lt;&gt;"",$AB59&lt;&gt;"",$AF59&lt;&gt;"",$AH59&lt;&gt;"",$AL59&lt;&gt;"",AD59&lt;&gt;""),"Y","N"))))</f>
        <v>N/A</v>
      </c>
      <c r="AT59" s="1761" t="b">
        <f ca="1">IF(AND($C59="",OR($J59&lt;&gt;"",$L59&lt;&gt;"",$N59&lt;&gt;"",$P59&lt;&gt;"",$V59&lt;&gt;"",$X59&lt;&gt;"",$Z59&lt;&gt;"",$AB59&lt;&gt;"",$AF59&lt;&gt;"",$AH59&lt;&gt;"",$AL59&lt;&gt;"")),TRUE,FALSE)</f>
        <v>0</v>
      </c>
      <c r="AU59" s="1761" t="b">
        <f>IF(OR(R59&lt;&gt;"",T59&lt;&gt;""),"false",IF(AND($C59&lt;&gt;"",$J59=""),TRUE,FALSE))</f>
        <v>0</v>
      </c>
      <c r="AV59" s="1761" t="b">
        <f>IF(OR(R59&lt;&gt;"",T59&lt;&gt;""),FALSE,IF(AND($C59&lt;&gt;"",$L59=""),TRUE,FALSE))</f>
        <v>0</v>
      </c>
      <c r="AW59" s="1761" t="b">
        <f>IF(OR(R59&lt;&gt;"",T59&lt;&gt;""),FALSE,IF(AND($C59&lt;&gt;"",$N59=""),TRUE,FALSE))</f>
        <v>0</v>
      </c>
      <c r="AX59" s="1761" t="b">
        <f>IF(OR(R59&lt;&gt;"",T59&lt;&gt;""),FALSE,IF(AND($C59&lt;&gt;"",$P59=""),TRUE,FALSE))</f>
        <v>0</v>
      </c>
      <c r="AY59" s="1761"/>
      <c r="AZ59" s="1761" t="b">
        <f>IF(OR(J59&lt;&gt;"",L59&lt;&gt;"",N59&lt;&gt;"",P59&lt;&gt;""),FALSE,IF(AND(C59&lt;&gt;"",R59=""),TRUE,FALSE))</f>
        <v>0</v>
      </c>
      <c r="BA59" s="1761"/>
      <c r="BB59" s="1761" t="b">
        <f>IF(OR(J59&lt;&gt;"",L59&lt;&gt;"",N59&lt;&gt;"",P59&lt;&gt;""),FALSE,IF(AND(C59&lt;&gt;"",T59=""),TRUE,FALSE))</f>
        <v>0</v>
      </c>
      <c r="BC59" s="1761" t="b">
        <f>IF(AND($C59&lt;&gt;"",$V59=""),TRUE,FALSE)</f>
        <v>0</v>
      </c>
      <c r="BD59" s="1761" t="b">
        <f ca="1">IF(AND(X59="",OR(Z59&lt;&gt;"",AB59&lt;&gt;"",AF59&lt;&gt;"",AH59&lt;&gt;"",AL59&lt;&gt;"",AD59&lt;&gt;"")),TRUE,FALSE)</f>
        <v>0</v>
      </c>
      <c r="BE59" s="1761" t="b">
        <f>IF(AND($C59&lt;&gt;"",$X59=""),TRUE,FALSE)</f>
        <v>0</v>
      </c>
      <c r="BF59" s="1761" t="b">
        <f>IF(Z59="",FALSE,IF(X59="",FALSE,IF(BG59=TRUE,FALSE,IF(OR(Z59&lt;BU59,Z59&gt;BaseYear),TRUE,FALSE))))</f>
        <v>0</v>
      </c>
      <c r="BG59" s="1761" t="b">
        <f>IF(AND($C59&lt;&gt;"",$Z59=""),TRUE,FALSE)</f>
        <v>0</v>
      </c>
      <c r="BH59" s="1761" t="b">
        <f>IF(AD59="",FALSE,IF(X59="",FALSE,IF(BJ59=TRUE,FALSE,IF(AB59&lt;BX59,TRUE,FALSE))))</f>
        <v>0</v>
      </c>
      <c r="BI59" s="1761" t="b">
        <f>IF(AD59="",FALSE,IF(X59="",FALSE,IF(BJ59=TRUE,FALSE,IF(AB59&gt;BY59,TRUE,FALSE))))</f>
        <v>0</v>
      </c>
      <c r="BJ59" s="1761" t="b">
        <f>IF(AND($C59&lt;&gt;"",$AB59=""),TRUE,FALSE)</f>
        <v>0</v>
      </c>
      <c r="BK59" s="1761" t="b">
        <f>IF(BL59=TRUE,FALSE,IF(OR(AF59&lt;0,AF59&gt;1),TRUE,FALSE))</f>
        <v>0</v>
      </c>
      <c r="BL59" s="1761" t="b">
        <f>IF(AND($C59&lt;&gt;"",$AF59=""),TRUE,FALSE)</f>
        <v>0</v>
      </c>
      <c r="BM59" s="1761"/>
      <c r="BN59" s="1761" t="b">
        <f ca="1">IF(AND($C59&lt;&gt;"",$AH59=""),TRUE,FALSE)</f>
        <v>0</v>
      </c>
      <c r="BO59" s="1761" t="b">
        <f>IF(AL59="",FALSE,IF(X59="",FALSE,IF(BP59=TRUE,FALSE,IF(OR(AL59&lt;1913,AL59&gt;BaseYear),TRUE,FALSE))))</f>
        <v>0</v>
      </c>
      <c r="BP59" s="1761" t="b">
        <f>IF(AND($C59&lt;&gt;"",$AL59=""),TRUE,FALSE)</f>
        <v>0</v>
      </c>
      <c r="BQ59" s="1761" t="b">
        <f>IF(AD59="Square Foot",FALSE,IF(AND(AD59="Parking Space",OR('A-20 PassFacInv'!X59=Valid!$B$7,'A-20 PassFacInv'!X59=Valid!$B$8,'A-20 PassFacInv'!X59=Valid!$B$9,'A-20 PassFacInv'!X59=Valid!$B$10,'A-20 PassFacInv'!X59=Valid!$B$12,'A-20 PassFacInv'!X59=Valid!$B$13,'A-20 PassFacInv'!X59=Valid!$B$14,'A-20 PassFacInv'!X59=Valid!$B$15,'A-20 PassFacInv'!X59=Valid!$B$16,'A-20 PassFacInv'!X59=Valid!$B$17,'A-20 PassFacInv'!X59=Valid!$B$18,X59=Valid!$B$19,X59=Valid!$B$20,X59=Valid!$B$21)),TRUE,FALSE))</f>
        <v>0</v>
      </c>
      <c r="BR59" s="1761" t="b">
        <f>IF(AND($C59&lt;&gt;"",$AD59=""),TRUE,FALSE)</f>
        <v>0</v>
      </c>
      <c r="BS59" s="721"/>
      <c r="BT59" s="1625" t="str">
        <f>IF($X59="","",VLOOKUP($X59,val_facilities,BT$3,FALSE))</f>
        <v/>
      </c>
      <c r="BU59" s="1627" t="str">
        <f>IF($X59="","",VLOOKUP($X59,val_facilities,BU$3,FALSE))</f>
        <v/>
      </c>
      <c r="BV59" s="1627" t="str">
        <f>IF($X59="","",VLOOKUP($X59,val_facilities,BV$3,FALSE))</f>
        <v/>
      </c>
      <c r="BW59" s="1627" t="str">
        <f ca="1">IFERROR(IF(Z59="", "", YEAR(TODAY())-Z59), "")</f>
        <v/>
      </c>
      <c r="BX59" s="845" t="str">
        <f>IF($X59="","",IF(AD59="Square Feet",VLOOKUP('A-20 PassFacInv'!X36,Valid!$B$7:$H$24,7,FALSE),IF(AD59="Parking Spaces",VLOOKUP(X59,Valid!$B$22:$L$24,11,FALSE))))</f>
        <v/>
      </c>
      <c r="BY59" s="845" t="str">
        <f>IF($X59="","",IF(AD59="Square Feet",VLOOKUP(X59,Valid!$B$7:$I$24,8,FALSE),IF('A-20 PassFacInv'!AD36="Parking Spaces",VLOOKUP('A-20 PassFacInv'!X36,Valid!$B$22:$M$24,12,FALSE))))</f>
        <v/>
      </c>
      <c r="BZ59" s="1229"/>
      <c r="CA59" s="721">
        <f t="shared" si="1"/>
        <v>0</v>
      </c>
      <c r="CB59" s="816"/>
    </row>
    <row r="60" spans="1:80" s="1739" customFormat="1" ht="6.75" customHeight="1" thickBot="1" x14ac:dyDescent="0.25">
      <c r="A60" s="1638"/>
      <c r="B60" s="1746">
        <v>24.5</v>
      </c>
      <c r="C60" s="1057"/>
      <c r="D60" s="1248"/>
      <c r="E60" s="1639"/>
      <c r="F60" s="1229"/>
      <c r="G60" s="1229"/>
      <c r="H60" s="1229"/>
      <c r="I60" s="1229"/>
      <c r="J60" s="1604"/>
      <c r="K60" s="1640"/>
      <c r="L60" s="1645"/>
      <c r="M60" s="1646"/>
      <c r="N60" s="1645"/>
      <c r="O60" s="1646"/>
      <c r="P60" s="1662"/>
      <c r="Q60" s="1646"/>
      <c r="R60" s="1660"/>
      <c r="S60" s="1640"/>
      <c r="T60" s="1660"/>
      <c r="U60" s="1640"/>
      <c r="V60" s="1057"/>
      <c r="W60" s="1618"/>
      <c r="X60" s="1747"/>
      <c r="Y60" s="1618"/>
      <c r="Z60" s="1623"/>
      <c r="AA60" s="1618"/>
      <c r="AB60" s="1944"/>
      <c r="AC60" s="1648"/>
      <c r="AD60" s="1661"/>
      <c r="AE60" s="841"/>
      <c r="AF60" s="841"/>
      <c r="AG60" s="1648"/>
      <c r="AH60" s="722"/>
      <c r="AI60" s="1648"/>
      <c r="AJ60" s="722"/>
      <c r="AK60" s="1648"/>
      <c r="AL60" s="1717"/>
      <c r="AM60" s="1648"/>
      <c r="AN60" s="1057"/>
      <c r="AO60" s="1644"/>
      <c r="AP60" s="1644"/>
      <c r="AQ60" s="1644"/>
      <c r="AR60" s="1644"/>
      <c r="AS60" s="1644"/>
      <c r="AT60" s="1761"/>
      <c r="AU60" s="1761"/>
      <c r="AV60" s="1761"/>
      <c r="AW60" s="1761"/>
      <c r="AX60" s="1761"/>
      <c r="AY60" s="1761"/>
      <c r="AZ60" s="1761"/>
      <c r="BA60" s="1761"/>
      <c r="BB60" s="1761"/>
      <c r="BC60" s="1762"/>
      <c r="BD60" s="1762"/>
      <c r="BE60" s="1762"/>
      <c r="BF60" s="1762"/>
      <c r="BG60" s="1762"/>
      <c r="BH60" s="1762"/>
      <c r="BI60" s="1762"/>
      <c r="BJ60" s="1762"/>
      <c r="BK60" s="1762"/>
      <c r="BL60" s="1762"/>
      <c r="BM60" s="1762"/>
      <c r="BN60" s="1762"/>
      <c r="BO60" s="1762"/>
      <c r="BP60" s="1762"/>
      <c r="BQ60" s="1762"/>
      <c r="BR60" s="1762"/>
      <c r="BS60" s="1736"/>
      <c r="BT60" s="1738"/>
      <c r="BU60" s="1738"/>
      <c r="BV60" s="1738"/>
      <c r="BW60" s="1738"/>
      <c r="BX60" s="1738"/>
      <c r="BY60" s="1738"/>
      <c r="BZ60" s="1229"/>
      <c r="CA60" s="721">
        <f t="shared" si="1"/>
        <v>0</v>
      </c>
      <c r="CB60" s="1748"/>
    </row>
    <row r="61" spans="1:80" s="1739" customFormat="1" x14ac:dyDescent="0.2">
      <c r="A61" s="840">
        <v>25</v>
      </c>
      <c r="B61" s="1746">
        <v>25</v>
      </c>
      <c r="C61" s="1740"/>
      <c r="D61" s="1248" t="str">
        <f>IF(C59="","",IF((C61=""),"Enter Facility "&amp;TEXT(A61,0)&amp;" Name, then Fill in Columns "&amp;TEXT($H$2,0)&amp;" - "&amp;TEXT($AL$2,0)&amp;"       ",""))</f>
        <v/>
      </c>
      <c r="E61" s="1245" t="str">
        <f ca="1">IF(AS61="N/A","",IF(AS61="N","No","Yes"))</f>
        <v/>
      </c>
      <c r="F61" s="758"/>
      <c r="G61" s="758"/>
      <c r="H61" s="1707"/>
      <c r="I61" s="758"/>
      <c r="J61" s="1653"/>
      <c r="K61" s="1248" t="str">
        <f ca="1">IF($E61&lt;&gt;"","Enter Street Address      ","")</f>
        <v/>
      </c>
      <c r="L61" s="1740"/>
      <c r="M61" s="1248" t="str">
        <f ca="1">IF($E61&lt;&gt;"","Enter City Name       ","")</f>
        <v/>
      </c>
      <c r="N61" s="1740"/>
      <c r="O61" s="1248" t="str">
        <f ca="1">IF($E61&lt;&gt;"","Select from Pull-Down List   ","")</f>
        <v/>
      </c>
      <c r="P61" s="1741"/>
      <c r="Q61" s="1248" t="str">
        <f ca="1">IF($E61&lt;&gt;"","Enter ZIP Code       ","")</f>
        <v/>
      </c>
      <c r="R61" s="1742"/>
      <c r="S61" s="1248" t="str">
        <f ca="1">IF(OR(N61&lt;&gt;"",P61&lt;&gt;"",J61&lt;&gt;"",L61&lt;&gt;""),"",IF($E61&lt;&gt;"","Enter Lat.      ",""))</f>
        <v/>
      </c>
      <c r="T61" s="1742"/>
      <c r="U61" s="1248" t="str">
        <f ca="1">IF(OR(N61&lt;&gt;"",P61&lt;&gt;"",J61&lt;&gt;"",L61&lt;&gt;""),"",IF($E61&lt;&gt;"","Enter Long.    ",""))</f>
        <v/>
      </c>
      <c r="V61" s="1653"/>
      <c r="W61" s="1618" t="str">
        <f ca="1">IF($E61&lt;&gt;"","Select from Pull-Down List  ","")</f>
        <v/>
      </c>
      <c r="X61" s="1653"/>
      <c r="Y61" s="1618" t="str">
        <f ca="1">IF($E61&lt;&gt;"","Select from Pull-Down List  ","")</f>
        <v/>
      </c>
      <c r="Z61" s="1743"/>
      <c r="AA61" s="1248" t="str">
        <f ca="1">IF(E61&lt;&gt;"","Year?   ","")</f>
        <v/>
      </c>
      <c r="AB61" s="1943"/>
      <c r="AC61" s="1620" t="str">
        <f ca="1">IF(E61="","",IF(X61="","Sq. Ft. or Spaces?   ",IF(OR(X61=Codes!$L$26,X61=Codes!$L$27,X61=Codes!$L$28),"Sq. Ft. or Spaces?   ",IF(OR(X61=Codes!$L$20,X61=Codes!$L$21,X61=Codes!$L$22,X61=Codes!$L$23,X61=Codes!$L$24,X61=Codes!$L$25),"Sq. Ft?     ",""))))</f>
        <v/>
      </c>
      <c r="AD61" s="1740"/>
      <c r="AE61" s="1618" t="str">
        <f ca="1">IF($E61&lt;&gt;"","Select from List     ","")</f>
        <v/>
      </c>
      <c r="AF61" s="1621"/>
      <c r="AG61" s="1618" t="str">
        <f ca="1">IF($E61&lt;&gt;"","% of Cap Resp.","")</f>
        <v/>
      </c>
      <c r="AH61" s="1801" t="str">
        <f ca="1">IF(BW61="", "", IF(BW61&gt;100, 1, VLOOKUP(BW61, Valid!$W$1:$AA$101, VLOOKUP(X61, Codes!$L$20:$N$28, 3, FALSE), FALSE)))</f>
        <v/>
      </c>
      <c r="AI61" s="1620" t="str">
        <f ca="1">IF($E61&lt;&gt;"","Estimated?  ","")</f>
        <v/>
      </c>
      <c r="AJ61" s="1654"/>
      <c r="AK61" s="1620" t="str">
        <f ca="1">IF($E61&lt;&gt;"","Estimated $?    ","")</f>
        <v/>
      </c>
      <c r="AL61" s="1730"/>
      <c r="AM61" s="1620" t="b">
        <f ca="1">IF(E61&lt;&gt;"","Est Date?    ")</f>
        <v>0</v>
      </c>
      <c r="AN61" s="1740"/>
      <c r="AO61" s="1248" t="str">
        <f>IF(X61="Other (describe in Notes)","Describe Facility.                                                                                                                        ","")</f>
        <v/>
      </c>
      <c r="AP61" s="1624"/>
      <c r="AQ61" s="1624" t="b">
        <f>IF(AND(C61="",C63&lt;&gt;""),TRUE,FALSE)</f>
        <v>0</v>
      </c>
      <c r="AR61" s="1624" t="str">
        <f>IF(AND(J61&lt;&gt;"",L61&lt;&gt;"",N61&lt;&gt;"",P61&lt;&gt;"",R61="",T61=""),"Y",IF(AND(J61="",L61="",N61="",P61="",R61&lt;&gt;"",T61&lt;&gt;""),"Y",IF(AND(J61&lt;&gt;"",L61&lt;&gt;"",N61&lt;&gt;"",P61&lt;&gt;"",R61&lt;&gt;"",T61&lt;&gt;""),"Y",IF(AND(J61="",L61="",N61="",P61="",R61="",T61=""),"N/A","N"))))</f>
        <v>N/A</v>
      </c>
      <c r="AS61" s="1624" t="str">
        <f ca="1">IF(AND($C61&lt;&gt;"",OR(AR61="N",$V61="",$X61="",$Z61="",$AB61="",$AF61="",$AH61="",$AL61="",AD61="")),"N",IF(AND($C61="",OR(H61&lt;&gt;"",AR61="N",$V61&lt;&gt;"",$X61&lt;&gt;"",$Z61&lt;&gt;"",$AB61&lt;&gt;"",$AF61&lt;&gt;"",$AH61&lt;&gt;"",$AL61&lt;&gt;"",AD61&lt;&gt;"")),"N",IF(AND(H61="",$C61="",AR61="N/A",$V61="",$X61="",$Z61="",$AB61="",$AF61="",$AH61="",$AL61="",AD61=""),"N/A",IF(AND($C61&lt;&gt;"",AR61="Y",$V61&lt;&gt;"",$X61&lt;&gt;"",$Z61&lt;&gt;"",$AB61&lt;&gt;"",$AF61&lt;&gt;"",$AH61&lt;&gt;"",$AL61&lt;&gt;"",AD61&lt;&gt;""),"Y","N"))))</f>
        <v>N/A</v>
      </c>
      <c r="AT61" s="1761" t="b">
        <f ca="1">IF(AND($C61="",OR($J61&lt;&gt;"",$L61&lt;&gt;"",$N61&lt;&gt;"",$P61&lt;&gt;"",$V61&lt;&gt;"",$X61&lt;&gt;"",$Z61&lt;&gt;"",$AB61&lt;&gt;"",$AF61&lt;&gt;"",$AH61&lt;&gt;"",$AL61&lt;&gt;"")),TRUE,FALSE)</f>
        <v>0</v>
      </c>
      <c r="AU61" s="1761" t="b">
        <f>IF(OR(R61&lt;&gt;"",T61&lt;&gt;""),"false",IF(AND($C61&lt;&gt;"",$J61=""),TRUE,FALSE))</f>
        <v>0</v>
      </c>
      <c r="AV61" s="1761" t="b">
        <f>IF(OR(R61&lt;&gt;"",T61&lt;&gt;""),FALSE,IF(AND($C61&lt;&gt;"",$L61=""),TRUE,FALSE))</f>
        <v>0</v>
      </c>
      <c r="AW61" s="1761" t="b">
        <f>IF(OR(R61&lt;&gt;"",T61&lt;&gt;""),FALSE,IF(AND($C61&lt;&gt;"",$N61=""),TRUE,FALSE))</f>
        <v>0</v>
      </c>
      <c r="AX61" s="1761" t="b">
        <f>IF(OR(R61&lt;&gt;"",T61&lt;&gt;""),FALSE,IF(AND($C61&lt;&gt;"",$P61=""),TRUE,FALSE))</f>
        <v>0</v>
      </c>
      <c r="AY61" s="1761"/>
      <c r="AZ61" s="1761" t="b">
        <f>IF(OR(J61&lt;&gt;"",L61&lt;&gt;"",N61&lt;&gt;"",P61&lt;&gt;""),FALSE,IF(AND(C61&lt;&gt;"",R61=""),TRUE,FALSE))</f>
        <v>0</v>
      </c>
      <c r="BA61" s="1761"/>
      <c r="BB61" s="1761" t="b">
        <f>IF(OR(J61&lt;&gt;"",L61&lt;&gt;"",N61&lt;&gt;"",P61&lt;&gt;""),FALSE,IF(AND(C61&lt;&gt;"",T61=""),TRUE,FALSE))</f>
        <v>0</v>
      </c>
      <c r="BC61" s="1761" t="b">
        <f>IF(AND($C61&lt;&gt;"",$V61=""),TRUE,FALSE)</f>
        <v>0</v>
      </c>
      <c r="BD61" s="1761" t="b">
        <f ca="1">IF(AND(X61="",OR(Z61&lt;&gt;"",AB61&lt;&gt;"",AF61&lt;&gt;"",AH61&lt;&gt;"",AL61&lt;&gt;"",AD61&lt;&gt;"")),TRUE,FALSE)</f>
        <v>0</v>
      </c>
      <c r="BE61" s="1761" t="b">
        <f>IF(AND($C61&lt;&gt;"",$X61=""),TRUE,FALSE)</f>
        <v>0</v>
      </c>
      <c r="BF61" s="1761" t="b">
        <f>IF(Z61="",FALSE,IF(X61="",FALSE,IF(BG61=TRUE,FALSE,IF(OR(Z61&lt;BU61,Z61&gt;BaseYear),TRUE,FALSE))))</f>
        <v>0</v>
      </c>
      <c r="BG61" s="1761" t="b">
        <f>IF(AND($C61&lt;&gt;"",$Z61=""),TRUE,FALSE)</f>
        <v>0</v>
      </c>
      <c r="BH61" s="1761" t="b">
        <f>IF(AD61="",FALSE,IF(X61="",FALSE,IF(BJ61=TRUE,FALSE,IF(AB61&lt;BX61,TRUE,FALSE))))</f>
        <v>0</v>
      </c>
      <c r="BI61" s="1761" t="b">
        <f>IF(AD61="",FALSE,IF(X61="",FALSE,IF(BJ61=TRUE,FALSE,IF(AB61&gt;BY61,TRUE,FALSE))))</f>
        <v>0</v>
      </c>
      <c r="BJ61" s="1761" t="b">
        <f>IF(AND($C61&lt;&gt;"",$AB61=""),TRUE,FALSE)</f>
        <v>0</v>
      </c>
      <c r="BK61" s="1761" t="b">
        <f>IF(BL61=TRUE,FALSE,IF(OR(AF61&lt;0,AF61&gt;1),TRUE,FALSE))</f>
        <v>0</v>
      </c>
      <c r="BL61" s="1761" t="b">
        <f>IF(AND($C61&lt;&gt;"",$AF61=""),TRUE,FALSE)</f>
        <v>0</v>
      </c>
      <c r="BM61" s="1761"/>
      <c r="BN61" s="1761" t="b">
        <f ca="1">IF(AND($C61&lt;&gt;"",$AH61=""),TRUE,FALSE)</f>
        <v>0</v>
      </c>
      <c r="BO61" s="1761" t="b">
        <f>IF(AL61="",FALSE,IF(X61="",FALSE,IF(BP61=TRUE,FALSE,IF(OR(AL61&lt;1913,AL61&gt;BaseYear),TRUE,FALSE))))</f>
        <v>0</v>
      </c>
      <c r="BP61" s="1761" t="b">
        <f>IF(AND($C61&lt;&gt;"",$AL61=""),TRUE,FALSE)</f>
        <v>0</v>
      </c>
      <c r="BQ61" s="1761" t="b">
        <f>IF(AD61="Square Foot",FALSE,IF(AND(AD61="Parking Space",OR('A-20 PassFacInv'!X61=Valid!$B$7,'A-20 PassFacInv'!X61=Valid!$B$8,'A-20 PassFacInv'!X61=Valid!$B$9,'A-20 PassFacInv'!X61=Valid!$B$10,'A-20 PassFacInv'!X61=Valid!$B$12,'A-20 PassFacInv'!X61=Valid!$B$13,'A-20 PassFacInv'!X61=Valid!$B$14,'A-20 PassFacInv'!X61=Valid!$B$15,'A-20 PassFacInv'!X61=Valid!$B$16,'A-20 PassFacInv'!X61=Valid!$B$17,'A-20 PassFacInv'!X61=Valid!$B$18,X61=Valid!$B$19,X61=Valid!$B$20,X61=Valid!$B$21)),TRUE,FALSE))</f>
        <v>0</v>
      </c>
      <c r="BR61" s="1761" t="b">
        <f>IF(AND($C61&lt;&gt;"",$AD61=""),TRUE,FALSE)</f>
        <v>0</v>
      </c>
      <c r="BS61" s="721"/>
      <c r="BT61" s="1625" t="str">
        <f>IF($X61="","",VLOOKUP($X61,val_facilities,BT$3,FALSE))</f>
        <v/>
      </c>
      <c r="BU61" s="1627" t="str">
        <f>IF($X61="","",VLOOKUP($X61,val_facilities,BU$3,FALSE))</f>
        <v/>
      </c>
      <c r="BV61" s="1627" t="str">
        <f>IF($X61="","",VLOOKUP($X61,val_facilities,BV$3,FALSE))</f>
        <v/>
      </c>
      <c r="BW61" s="1627" t="str">
        <f ca="1">IFERROR(IF(Z61="", "", YEAR(TODAY())-Z61), "")</f>
        <v/>
      </c>
      <c r="BX61" s="845" t="str">
        <f>IF($X61="","",IF(AD61="Square Feet",VLOOKUP('A-20 PassFacInv'!X37,Valid!$B$7:$H$24,7,FALSE),IF(AD61="Parking Spaces",VLOOKUP(X61,Valid!$B$22:$L$24,11,FALSE))))</f>
        <v/>
      </c>
      <c r="BY61" s="845" t="str">
        <f>IF($X61="","",IF(AD61="Square Feet",VLOOKUP(X61,Valid!$B$7:$I$24,8,FALSE),IF('A-20 PassFacInv'!AD37="Parking Spaces",VLOOKUP('A-20 PassFacInv'!X37,Valid!$B$22:$M$24,12,FALSE))))</f>
        <v/>
      </c>
      <c r="BZ61" s="1229"/>
      <c r="CA61" s="721">
        <f t="shared" si="1"/>
        <v>0</v>
      </c>
      <c r="CB61" s="816"/>
    </row>
    <row r="62" spans="1:80" s="1739" customFormat="1" ht="6.75" customHeight="1" thickBot="1" x14ac:dyDescent="0.25">
      <c r="A62" s="1638"/>
      <c r="B62" s="1746">
        <v>25.5</v>
      </c>
      <c r="C62" s="1057"/>
      <c r="D62" s="764"/>
      <c r="E62" s="1057"/>
      <c r="F62" s="1229"/>
      <c r="G62" s="1229"/>
      <c r="H62" s="1229"/>
      <c r="I62" s="1229"/>
      <c r="J62" s="1604"/>
      <c r="K62" s="1229"/>
      <c r="L62" s="1605"/>
      <c r="M62" s="1644"/>
      <c r="N62" s="1605"/>
      <c r="O62" s="1644"/>
      <c r="P62" s="1733"/>
      <c r="Q62" s="1644"/>
      <c r="R62" s="1663"/>
      <c r="S62" s="1229"/>
      <c r="T62" s="1663"/>
      <c r="U62" s="1229"/>
      <c r="V62" s="1057"/>
      <c r="W62" s="1623"/>
      <c r="X62" s="1747"/>
      <c r="Y62" s="1623"/>
      <c r="Z62" s="1623"/>
      <c r="AA62" s="1623"/>
      <c r="AB62" s="1944"/>
      <c r="AC62" s="841"/>
      <c r="AD62" s="1057"/>
      <c r="AE62" s="841"/>
      <c r="AF62" s="841"/>
      <c r="AG62" s="841"/>
      <c r="AH62" s="722"/>
      <c r="AI62" s="841"/>
      <c r="AJ62" s="722"/>
      <c r="AK62" s="841"/>
      <c r="AL62" s="1717"/>
      <c r="AM62" s="841"/>
      <c r="AN62" s="1057"/>
      <c r="AO62" s="1644"/>
      <c r="AP62" s="1644"/>
      <c r="AQ62" s="1644"/>
      <c r="AR62" s="1644"/>
      <c r="AS62" s="1644"/>
      <c r="AT62" s="1761"/>
      <c r="AU62" s="1761"/>
      <c r="AV62" s="1761"/>
      <c r="AW62" s="1761"/>
      <c r="AX62" s="1761"/>
      <c r="AY62" s="1761"/>
      <c r="AZ62" s="1761"/>
      <c r="BA62" s="1761"/>
      <c r="BB62" s="1761"/>
      <c r="BC62" s="1762"/>
      <c r="BD62" s="1762"/>
      <c r="BE62" s="1762"/>
      <c r="BF62" s="1762"/>
      <c r="BG62" s="1762"/>
      <c r="BH62" s="1762"/>
      <c r="BI62" s="1762"/>
      <c r="BJ62" s="1762"/>
      <c r="BK62" s="1762"/>
      <c r="BL62" s="1762"/>
      <c r="BM62" s="1762"/>
      <c r="BN62" s="1762"/>
      <c r="BO62" s="1762"/>
      <c r="BP62" s="1762"/>
      <c r="BQ62" s="1763"/>
      <c r="BR62" s="1762"/>
      <c r="BS62" s="1736"/>
      <c r="BT62" s="1738"/>
      <c r="BU62" s="1738"/>
      <c r="BV62" s="1738"/>
      <c r="BW62" s="1738"/>
      <c r="BX62" s="1738"/>
      <c r="BY62" s="1738"/>
      <c r="BZ62" s="1229"/>
      <c r="CA62" s="721">
        <f t="shared" si="1"/>
        <v>0</v>
      </c>
      <c r="CB62" s="1748"/>
    </row>
    <row r="63" spans="1:80" s="1739" customFormat="1" x14ac:dyDescent="0.2">
      <c r="A63" s="840">
        <v>26</v>
      </c>
      <c r="B63" s="1746">
        <v>26</v>
      </c>
      <c r="C63" s="1740"/>
      <c r="D63" s="1248" t="str">
        <f>IF(C61="","",IF((C63=""),"Enter Facility "&amp;TEXT(A63,0)&amp;" Name, then Fill in Columns "&amp;TEXT($H$2,0)&amp;" - "&amp;TEXT($AL$2,0)&amp;"       ",""))</f>
        <v/>
      </c>
      <c r="E63" s="1245" t="str">
        <f ca="1">IF(AS63="N/A","",IF(AS63="N","No","Yes"))</f>
        <v/>
      </c>
      <c r="F63" s="758"/>
      <c r="G63" s="758"/>
      <c r="H63" s="1707"/>
      <c r="I63" s="758"/>
      <c r="J63" s="1653"/>
      <c r="K63" s="1248" t="str">
        <f ca="1">IF($E63&lt;&gt;"","Enter Street Address      ","")</f>
        <v/>
      </c>
      <c r="L63" s="1740"/>
      <c r="M63" s="1248" t="str">
        <f ca="1">IF($E63&lt;&gt;"","Enter City Name       ","")</f>
        <v/>
      </c>
      <c r="N63" s="1740"/>
      <c r="O63" s="1248" t="str">
        <f ca="1">IF($E63&lt;&gt;"","Select from Pull-Down List   ","")</f>
        <v/>
      </c>
      <c r="P63" s="1741"/>
      <c r="Q63" s="1248" t="str">
        <f ca="1">IF($E63&lt;&gt;"","Enter ZIP Code       ","")</f>
        <v/>
      </c>
      <c r="R63" s="1742"/>
      <c r="S63" s="1248" t="str">
        <f ca="1">IF(OR(N63&lt;&gt;"",P63&lt;&gt;"",J63&lt;&gt;"",L63&lt;&gt;""),"",IF($E63&lt;&gt;"","Enter Lat.      ",""))</f>
        <v/>
      </c>
      <c r="T63" s="1742"/>
      <c r="U63" s="1248" t="str">
        <f ca="1">IF(OR(N63&lt;&gt;"",P63&lt;&gt;"",J63&lt;&gt;"",L63&lt;&gt;""),"",IF($E63&lt;&gt;"","Enter Long.    ",""))</f>
        <v/>
      </c>
      <c r="V63" s="1653"/>
      <c r="W63" s="1618" t="str">
        <f ca="1">IF($E63&lt;&gt;"","Select from Pull-Down List  ","")</f>
        <v/>
      </c>
      <c r="X63" s="1653"/>
      <c r="Y63" s="1618" t="str">
        <f ca="1">IF($E63&lt;&gt;"","Select from Pull-Down List  ","")</f>
        <v/>
      </c>
      <c r="Z63" s="1743"/>
      <c r="AA63" s="1248" t="str">
        <f ca="1">IF(E63&lt;&gt;"","Year?   ","")</f>
        <v/>
      </c>
      <c r="AB63" s="1943"/>
      <c r="AC63" s="1620" t="str">
        <f ca="1">IF(E63="","",IF(X63="","Sq. Ft. or Spaces?   ",IF(OR(X63=Codes!$L$26,X63=Codes!$L$27,X63=Codes!$L$28),"Sq. Ft. or Spaces?   ",IF(OR(X63=Codes!$L$20,X63=Codes!$L$21,X63=Codes!$L$22,X63=Codes!$L$23,X63=Codes!$L$24,X63=Codes!$L$25),"Sq. Ft?     ",""))))</f>
        <v/>
      </c>
      <c r="AD63" s="1740"/>
      <c r="AE63" s="1618" t="str">
        <f ca="1">IF($E63&lt;&gt;"","Select from List     ","")</f>
        <v/>
      </c>
      <c r="AF63" s="1621"/>
      <c r="AG63" s="1618" t="str">
        <f ca="1">IF($E63&lt;&gt;"","% of Cap Resp.","")</f>
        <v/>
      </c>
      <c r="AH63" s="1801" t="str">
        <f ca="1">IF(BW63="", "", IF(BW63&gt;100, 1, VLOOKUP(BW63, Valid!$W$1:$AA$101, VLOOKUP(X63, Codes!$L$20:$N$28, 3, FALSE), FALSE)))</f>
        <v/>
      </c>
      <c r="AI63" s="1620" t="str">
        <f ca="1">IF($E63&lt;&gt;"","Estimated?  ","")</f>
        <v/>
      </c>
      <c r="AJ63" s="1654"/>
      <c r="AK63" s="1620" t="str">
        <f ca="1">IF($E63&lt;&gt;"","Estimated $?    ","")</f>
        <v/>
      </c>
      <c r="AL63" s="1730"/>
      <c r="AM63" s="1620" t="b">
        <f ca="1">IF(E63&lt;&gt;"","Est Date?    ")</f>
        <v>0</v>
      </c>
      <c r="AN63" s="1740"/>
      <c r="AO63" s="1248" t="str">
        <f>IF(X63="Other (describe in Notes)","Describe Facility.                                                                                                                        ","")</f>
        <v/>
      </c>
      <c r="AP63" s="1624"/>
      <c r="AQ63" s="1624" t="b">
        <f>IF(AND(C63="",C65&lt;&gt;""),TRUE,FALSE)</f>
        <v>0</v>
      </c>
      <c r="AR63" s="1624" t="str">
        <f>IF(AND(J63&lt;&gt;"",L63&lt;&gt;"",N63&lt;&gt;"",P63&lt;&gt;"",R63="",T63=""),"Y",IF(AND(J63="",L63="",N63="",P63="",R63&lt;&gt;"",T63&lt;&gt;""),"Y",IF(AND(J63&lt;&gt;"",L63&lt;&gt;"",N63&lt;&gt;"",P63&lt;&gt;"",R63&lt;&gt;"",T63&lt;&gt;""),"Y",IF(AND(J63="",L63="",N63="",P63="",R63="",T63=""),"N/A","N"))))</f>
        <v>N/A</v>
      </c>
      <c r="AS63" s="1624" t="str">
        <f ca="1">IF(AND($C63&lt;&gt;"",OR(AR63="N",$V63="",$X63="",$Z63="",$AB63="",$AF63="",$AH63="",$AL63="",AD63="")),"N",IF(AND($C63="",OR(H63&lt;&gt;"",AR63="N",$V63&lt;&gt;"",$X63&lt;&gt;"",$Z63&lt;&gt;"",$AB63&lt;&gt;"",$AF63&lt;&gt;"",$AH63&lt;&gt;"",$AL63&lt;&gt;"",AD63&lt;&gt;"")),"N",IF(AND(H63="",$C63="",AR63="N/A",$V63="",$X63="",$Z63="",$AB63="",$AF63="",$AH63="",$AL63="",AD63=""),"N/A",IF(AND($C63&lt;&gt;"",AR63="Y",$V63&lt;&gt;"",$X63&lt;&gt;"",$Z63&lt;&gt;"",$AB63&lt;&gt;"",$AF63&lt;&gt;"",$AH63&lt;&gt;"",$AL63&lt;&gt;"",AD63&lt;&gt;""),"Y","N"))))</f>
        <v>N/A</v>
      </c>
      <c r="AT63" s="1761" t="b">
        <f ca="1">IF(AND($C63="",OR($J63&lt;&gt;"",$L63&lt;&gt;"",$N63&lt;&gt;"",$P63&lt;&gt;"",$V63&lt;&gt;"",$X63&lt;&gt;"",$Z63&lt;&gt;"",$AB63&lt;&gt;"",$AF63&lt;&gt;"",$AH63&lt;&gt;"",$AL63&lt;&gt;"")),TRUE,FALSE)</f>
        <v>0</v>
      </c>
      <c r="AU63" s="1761" t="b">
        <f>IF(OR(R63&lt;&gt;"",T63&lt;&gt;""),"false",IF(AND($C63&lt;&gt;"",$J63=""),TRUE,FALSE))</f>
        <v>0</v>
      </c>
      <c r="AV63" s="1761" t="b">
        <f>IF(OR(R63&lt;&gt;"",T63&lt;&gt;""),FALSE,IF(AND($C63&lt;&gt;"",$L63=""),TRUE,FALSE))</f>
        <v>0</v>
      </c>
      <c r="AW63" s="1761" t="b">
        <f>IF(OR(R63&lt;&gt;"",T63&lt;&gt;""),FALSE,IF(AND($C63&lt;&gt;"",$N63=""),TRUE,FALSE))</f>
        <v>0</v>
      </c>
      <c r="AX63" s="1761" t="b">
        <f>IF(OR(R63&lt;&gt;"",T63&lt;&gt;""),FALSE,IF(AND($C63&lt;&gt;"",$P63=""),TRUE,FALSE))</f>
        <v>0</v>
      </c>
      <c r="AY63" s="1761"/>
      <c r="AZ63" s="1761" t="b">
        <f>IF(OR(J63&lt;&gt;"",L63&lt;&gt;"",N63&lt;&gt;"",P63&lt;&gt;""),FALSE,IF(AND(C63&lt;&gt;"",R63=""),TRUE,FALSE))</f>
        <v>0</v>
      </c>
      <c r="BA63" s="1761"/>
      <c r="BB63" s="1761" t="b">
        <f>IF(OR(J63&lt;&gt;"",L63&lt;&gt;"",N63&lt;&gt;"",P63&lt;&gt;""),FALSE,IF(AND(C63&lt;&gt;"",T63=""),TRUE,FALSE))</f>
        <v>0</v>
      </c>
      <c r="BC63" s="1761" t="b">
        <f>IF(AND($C63&lt;&gt;"",$V63=""),TRUE,FALSE)</f>
        <v>0</v>
      </c>
      <c r="BD63" s="1761" t="b">
        <f ca="1">IF(AND(X63="",OR(Z63&lt;&gt;"",AB63&lt;&gt;"",AF63&lt;&gt;"",AH63&lt;&gt;"",AL63&lt;&gt;"",AD63&lt;&gt;"")),TRUE,FALSE)</f>
        <v>0</v>
      </c>
      <c r="BE63" s="1761" t="b">
        <f>IF(AND($C63&lt;&gt;"",$X63=""),TRUE,FALSE)</f>
        <v>0</v>
      </c>
      <c r="BF63" s="1761" t="b">
        <f>IF(Z63="",FALSE,IF(X63="",FALSE,IF(BG63=TRUE,FALSE,IF(OR(Z63&lt;BU63,Z63&gt;BaseYear),TRUE,FALSE))))</f>
        <v>0</v>
      </c>
      <c r="BG63" s="1761" t="b">
        <f>IF(AND($C63&lt;&gt;"",$Z63=""),TRUE,FALSE)</f>
        <v>0</v>
      </c>
      <c r="BH63" s="1761" t="b">
        <f>IF(AD63="",FALSE,IF(X63="",FALSE,IF(BJ63=TRUE,FALSE,IF(AB63&lt;BX63,TRUE,FALSE))))</f>
        <v>0</v>
      </c>
      <c r="BI63" s="1761" t="b">
        <f>IF(AD63="",FALSE,IF(X63="",FALSE,IF(BJ63=TRUE,FALSE,IF(AB63&gt;BY63,TRUE,FALSE))))</f>
        <v>0</v>
      </c>
      <c r="BJ63" s="1761" t="b">
        <f>IF(AND($C63&lt;&gt;"",$AB63=""),TRUE,FALSE)</f>
        <v>0</v>
      </c>
      <c r="BK63" s="1761" t="b">
        <f>IF(BL63=TRUE,FALSE,IF(OR(AF63&lt;0,AF63&gt;1),TRUE,FALSE))</f>
        <v>0</v>
      </c>
      <c r="BL63" s="1761" t="b">
        <f>IF(AND($C63&lt;&gt;"",$AF63=""),TRUE,FALSE)</f>
        <v>0</v>
      </c>
      <c r="BM63" s="1761"/>
      <c r="BN63" s="1761" t="b">
        <f ca="1">IF(AND($C63&lt;&gt;"",$AH63=""),TRUE,FALSE)</f>
        <v>0</v>
      </c>
      <c r="BO63" s="1761" t="b">
        <f>IF(AL63="",FALSE,IF(X63="",FALSE,IF(BP63=TRUE,FALSE,IF(OR(AL63&lt;1913,AL63&gt;BaseYear),TRUE,FALSE))))</f>
        <v>0</v>
      </c>
      <c r="BP63" s="1761" t="b">
        <f>IF(AND($C63&lt;&gt;"",$AL63=""),TRUE,FALSE)</f>
        <v>0</v>
      </c>
      <c r="BQ63" s="1761" t="b">
        <f>IF(AD63="Square Foot",FALSE,IF(AND(AD63="Parking Space",OR('A-20 PassFacInv'!X63=Valid!$B$7,'A-20 PassFacInv'!X63=Valid!$B$8,'A-20 PassFacInv'!X63=Valid!$B$9,'A-20 PassFacInv'!X63=Valid!$B$10,'A-20 PassFacInv'!X63=Valid!$B$12,'A-20 PassFacInv'!X63=Valid!$B$13,'A-20 PassFacInv'!X63=Valid!$B$14,'A-20 PassFacInv'!X63=Valid!$B$15,'A-20 PassFacInv'!X63=Valid!$B$16,'A-20 PassFacInv'!X63=Valid!$B$17,'A-20 PassFacInv'!X63=Valid!$B$18,X63=Valid!$B$19,X63=Valid!$B$20,X63=Valid!$B$21)),TRUE,FALSE))</f>
        <v>0</v>
      </c>
      <c r="BR63" s="1761" t="b">
        <f>IF(AND($C63&lt;&gt;"",$AD63=""),TRUE,FALSE)</f>
        <v>0</v>
      </c>
      <c r="BS63" s="721"/>
      <c r="BT63" s="1625" t="str">
        <f>IF($X63="","",VLOOKUP($X63,val_facilities,BT$3,FALSE))</f>
        <v/>
      </c>
      <c r="BU63" s="1627" t="str">
        <f>IF($X63="","",VLOOKUP($X63,val_facilities,BU$3,FALSE))</f>
        <v/>
      </c>
      <c r="BV63" s="1627" t="str">
        <f>IF($X63="","",VLOOKUP($X63,val_facilities,BV$3,FALSE))</f>
        <v/>
      </c>
      <c r="BW63" s="1627" t="str">
        <f ca="1">IFERROR(IF(Z63="", "", YEAR(TODAY())-Z63), "")</f>
        <v/>
      </c>
      <c r="BX63" s="845" t="str">
        <f>IF($X63="","",IF(AD63="Square Feet",VLOOKUP('A-20 PassFacInv'!X38,Valid!$B$7:$H$24,7,FALSE),IF(AD63="Parking Spaces",VLOOKUP(X63,Valid!$B$22:$L$24,11,FALSE))))</f>
        <v/>
      </c>
      <c r="BY63" s="845" t="str">
        <f>IF($X63="","",IF(AD63="Square Feet",VLOOKUP(X63,Valid!$B$7:$I$24,8,FALSE),IF('A-20 PassFacInv'!AD38="Parking Spaces",VLOOKUP('A-20 PassFacInv'!X38,Valid!$B$22:$M$24,12,FALSE))))</f>
        <v/>
      </c>
      <c r="BZ63" s="1229"/>
      <c r="CA63" s="721">
        <f t="shared" si="1"/>
        <v>0</v>
      </c>
      <c r="CB63" s="816"/>
    </row>
    <row r="64" spans="1:80" s="1739" customFormat="1" ht="6.75" customHeight="1" thickBot="1" x14ac:dyDescent="0.25">
      <c r="A64" s="1638"/>
      <c r="B64" s="1746">
        <v>26.5</v>
      </c>
      <c r="C64" s="1057"/>
      <c r="D64" s="1248"/>
      <c r="E64" s="1639"/>
      <c r="F64" s="1229"/>
      <c r="G64" s="1229"/>
      <c r="H64" s="1229"/>
      <c r="I64" s="1229"/>
      <c r="J64" s="1604"/>
      <c r="K64" s="1640"/>
      <c r="L64" s="1641"/>
      <c r="M64" s="1248"/>
      <c r="N64" s="1641"/>
      <c r="O64" s="1248"/>
      <c r="P64" s="1659"/>
      <c r="Q64" s="1248"/>
      <c r="R64" s="1660"/>
      <c r="S64" s="1640"/>
      <c r="T64" s="1660"/>
      <c r="U64" s="1640"/>
      <c r="V64" s="1057"/>
      <c r="W64" s="1618"/>
      <c r="X64" s="1747"/>
      <c r="Y64" s="1618"/>
      <c r="Z64" s="1623"/>
      <c r="AA64" s="1618"/>
      <c r="AB64" s="1944"/>
      <c r="AC64" s="1275"/>
      <c r="AD64" s="1661"/>
      <c r="AE64" s="734"/>
      <c r="AF64" s="1748"/>
      <c r="AG64" s="1275"/>
      <c r="AH64" s="722"/>
      <c r="AI64" s="1275"/>
      <c r="AJ64" s="733"/>
      <c r="AK64" s="1275"/>
      <c r="AL64" s="1721"/>
      <c r="AM64" s="1275"/>
      <c r="AN64" s="1057"/>
      <c r="AO64" s="1644"/>
      <c r="AP64" s="1644"/>
      <c r="AQ64" s="1644"/>
      <c r="AR64" s="1644"/>
      <c r="AS64" s="1644"/>
      <c r="AT64" s="1761"/>
      <c r="AU64" s="1761"/>
      <c r="AV64" s="1761"/>
      <c r="AW64" s="1761"/>
      <c r="AX64" s="1761"/>
      <c r="AY64" s="1761"/>
      <c r="AZ64" s="1761"/>
      <c r="BA64" s="1761"/>
      <c r="BB64" s="1761"/>
      <c r="BC64" s="1762"/>
      <c r="BD64" s="1762"/>
      <c r="BE64" s="1762"/>
      <c r="BF64" s="1762"/>
      <c r="BG64" s="1762"/>
      <c r="BH64" s="1762"/>
      <c r="BI64" s="1762"/>
      <c r="BJ64" s="1762"/>
      <c r="BK64" s="1762"/>
      <c r="BL64" s="1762"/>
      <c r="BM64" s="1762"/>
      <c r="BN64" s="1762"/>
      <c r="BO64" s="1762"/>
      <c r="BP64" s="1762"/>
      <c r="BQ64" s="1762"/>
      <c r="BR64" s="1762"/>
      <c r="BS64" s="1736"/>
      <c r="BT64" s="1738"/>
      <c r="BU64" s="1738"/>
      <c r="BV64" s="1738"/>
      <c r="BW64" s="1738"/>
      <c r="BX64" s="1738"/>
      <c r="BY64" s="1738"/>
      <c r="BZ64" s="1229"/>
      <c r="CA64" s="721">
        <f t="shared" si="1"/>
        <v>0</v>
      </c>
      <c r="CB64" s="816"/>
    </row>
    <row r="65" spans="1:80" s="1739" customFormat="1" x14ac:dyDescent="0.2">
      <c r="A65" s="840">
        <v>27</v>
      </c>
      <c r="B65" s="1731">
        <v>27</v>
      </c>
      <c r="C65" s="1740"/>
      <c r="D65" s="1248" t="str">
        <f>IF(C63="","",IF((C65=""),"Enter Facility "&amp;TEXT(A65,0)&amp;" Name, then Fill in Columns "&amp;TEXT($H$2,0)&amp;" - "&amp;TEXT($AL$2,0)&amp;"       ",""))</f>
        <v/>
      </c>
      <c r="E65" s="1245" t="str">
        <f ca="1">IF(AS65="N/A","",IF(AS65="N","No","Yes"))</f>
        <v/>
      </c>
      <c r="F65" s="758"/>
      <c r="G65" s="758"/>
      <c r="H65" s="1707"/>
      <c r="I65" s="758"/>
      <c r="J65" s="1653"/>
      <c r="K65" s="1248" t="str">
        <f ca="1">IF($E65&lt;&gt;"","Enter Street Address      ","")</f>
        <v/>
      </c>
      <c r="L65" s="1740"/>
      <c r="M65" s="1248" t="str">
        <f ca="1">IF($E65&lt;&gt;"","Enter City Name       ","")</f>
        <v/>
      </c>
      <c r="N65" s="1740"/>
      <c r="O65" s="1248" t="str">
        <f ca="1">IF($E65&lt;&gt;"","Select from Pull-Down List   ","")</f>
        <v/>
      </c>
      <c r="P65" s="1741"/>
      <c r="Q65" s="1248" t="str">
        <f ca="1">IF($E65&lt;&gt;"","Enter ZIP Code       ","")</f>
        <v/>
      </c>
      <c r="R65" s="1742"/>
      <c r="S65" s="1248" t="str">
        <f ca="1">IF(OR(N65&lt;&gt;"",P65&lt;&gt;"",J65&lt;&gt;"",L65&lt;&gt;""),"",IF($E65&lt;&gt;"","Enter Lat.      ",""))</f>
        <v/>
      </c>
      <c r="T65" s="1742"/>
      <c r="U65" s="1248" t="str">
        <f ca="1">IF(OR(N65&lt;&gt;"",P65&lt;&gt;"",J65&lt;&gt;"",L65&lt;&gt;""),"",IF($E65&lt;&gt;"","Enter Long.    ",""))</f>
        <v/>
      </c>
      <c r="V65" s="1653"/>
      <c r="W65" s="1618" t="str">
        <f ca="1">IF($E65&lt;&gt;"","Select from Pull-Down List  ","")</f>
        <v/>
      </c>
      <c r="X65" s="1653"/>
      <c r="Y65" s="1618" t="str">
        <f ca="1">IF($E65&lt;&gt;"","Select from Pull-Down List  ","")</f>
        <v/>
      </c>
      <c r="Z65" s="1743"/>
      <c r="AA65" s="1248" t="str">
        <f ca="1">IF(E65&lt;&gt;"","Year?   ","")</f>
        <v/>
      </c>
      <c r="AB65" s="1943"/>
      <c r="AC65" s="1620" t="str">
        <f ca="1">IF(E65="","",IF(X65="","Sq. Ft. or Spaces?   ",IF(OR(X65=Codes!$L$26,X65=Codes!$L$27,X65=Codes!$L$28),"Sq. Ft. or Spaces?   ",IF(OR(X65=Codes!$L$20,X65=Codes!$L$21,X65=Codes!$L$22,X65=Codes!$L$23,X65=Codes!$L$24,X65=Codes!$L$25),"Sq. Ft?     ",""))))</f>
        <v/>
      </c>
      <c r="AD65" s="1740"/>
      <c r="AE65" s="1618" t="str">
        <f ca="1">IF($E65&lt;&gt;"","Select from List     ","")</f>
        <v/>
      </c>
      <c r="AF65" s="1621"/>
      <c r="AG65" s="1618" t="str">
        <f ca="1">IF($E65&lt;&gt;"","% of Cap Resp.","")</f>
        <v/>
      </c>
      <c r="AH65" s="1801" t="str">
        <f ca="1">IF(BW65="", "", IF(BW65&gt;100, 1, VLOOKUP(BW65, Valid!$W$1:$AA$101, VLOOKUP(X65, Codes!$L$20:$N$28, 3, FALSE), FALSE)))</f>
        <v/>
      </c>
      <c r="AI65" s="1620" t="str">
        <f ca="1">IF($E65&lt;&gt;"","Estimated?  ","")</f>
        <v/>
      </c>
      <c r="AJ65" s="1654"/>
      <c r="AK65" s="1620" t="str">
        <f ca="1">IF($E65&lt;&gt;"","Estimated $?    ","")</f>
        <v/>
      </c>
      <c r="AL65" s="1730"/>
      <c r="AM65" s="1620" t="b">
        <f ca="1">IF(E65&lt;&gt;"","Est Date?    ")</f>
        <v>0</v>
      </c>
      <c r="AN65" s="1740"/>
      <c r="AO65" s="1248" t="str">
        <f>IF(X65="Other (describe in Notes)","Describe Facility.                                                                                                                        ","")</f>
        <v/>
      </c>
      <c r="AP65" s="1624"/>
      <c r="AQ65" s="1624" t="b">
        <f>IF(AND(C65="",C67&lt;&gt;""),TRUE,FALSE)</f>
        <v>0</v>
      </c>
      <c r="AR65" s="1624" t="str">
        <f>IF(AND(J65&lt;&gt;"",L65&lt;&gt;"",N65&lt;&gt;"",P65&lt;&gt;"",R65="",T65=""),"Y",IF(AND(J65="",L65="",N65="",P65="",R65&lt;&gt;"",T65&lt;&gt;""),"Y",IF(AND(J65&lt;&gt;"",L65&lt;&gt;"",N65&lt;&gt;"",P65&lt;&gt;"",R65&lt;&gt;"",T65&lt;&gt;""),"Y",IF(AND(J65="",L65="",N65="",P65="",R65="",T65=""),"N/A","N"))))</f>
        <v>N/A</v>
      </c>
      <c r="AS65" s="1624" t="str">
        <f ca="1">IF(AND($C65&lt;&gt;"",OR(AR65="N",$V65="",$X65="",$Z65="",$AB65="",$AF65="",$AH65="",$AL65="",AD65="")),"N",IF(AND($C65="",OR(H65&lt;&gt;"",AR65="N",$V65&lt;&gt;"",$X65&lt;&gt;"",$Z65&lt;&gt;"",$AB65&lt;&gt;"",$AF65&lt;&gt;"",$AH65&lt;&gt;"",$AL65&lt;&gt;"",AD65&lt;&gt;"")),"N",IF(AND(H65="",$C65="",AR65="N/A",$V65="",$X65="",$Z65="",$AB65="",$AF65="",$AH65="",$AL65="",AD65=""),"N/A",IF(AND($C65&lt;&gt;"",AR65="Y",$V65&lt;&gt;"",$X65&lt;&gt;"",$Z65&lt;&gt;"",$AB65&lt;&gt;"",$AF65&lt;&gt;"",$AH65&lt;&gt;"",$AL65&lt;&gt;"",AD65&lt;&gt;""),"Y","N"))))</f>
        <v>N/A</v>
      </c>
      <c r="AT65" s="1761" t="b">
        <f ca="1">IF(AND($C65="",OR($J65&lt;&gt;"",$L65&lt;&gt;"",$N65&lt;&gt;"",$P65&lt;&gt;"",$V65&lt;&gt;"",$X65&lt;&gt;"",$Z65&lt;&gt;"",$AB65&lt;&gt;"",$AF65&lt;&gt;"",$AH65&lt;&gt;"",$AL65&lt;&gt;"")),TRUE,FALSE)</f>
        <v>0</v>
      </c>
      <c r="AU65" s="1761" t="b">
        <f>IF(OR(R65&lt;&gt;"",T65&lt;&gt;""),"false",IF(AND($C65&lt;&gt;"",$J65=""),TRUE,FALSE))</f>
        <v>0</v>
      </c>
      <c r="AV65" s="1761" t="b">
        <f>IF(OR(R65&lt;&gt;"",T65&lt;&gt;""),FALSE,IF(AND($C65&lt;&gt;"",$L65=""),TRUE,FALSE))</f>
        <v>0</v>
      </c>
      <c r="AW65" s="1761" t="b">
        <f>IF(OR(R65&lt;&gt;"",T65&lt;&gt;""),FALSE,IF(AND($C65&lt;&gt;"",$N65=""),TRUE,FALSE))</f>
        <v>0</v>
      </c>
      <c r="AX65" s="1761" t="b">
        <f>IF(OR(R65&lt;&gt;"",T65&lt;&gt;""),FALSE,IF(AND($C65&lt;&gt;"",$P65=""),TRUE,FALSE))</f>
        <v>0</v>
      </c>
      <c r="AY65" s="1761"/>
      <c r="AZ65" s="1761" t="b">
        <f>IF(OR(J65&lt;&gt;"",L65&lt;&gt;"",N65&lt;&gt;"",P65&lt;&gt;""),FALSE,IF(AND(C65&lt;&gt;"",R65=""),TRUE,FALSE))</f>
        <v>0</v>
      </c>
      <c r="BA65" s="1761"/>
      <c r="BB65" s="1761" t="b">
        <f>IF(OR(J65&lt;&gt;"",L65&lt;&gt;"",N65&lt;&gt;"",P65&lt;&gt;""),FALSE,IF(AND(C65&lt;&gt;"",T65=""),TRUE,FALSE))</f>
        <v>0</v>
      </c>
      <c r="BC65" s="1761" t="b">
        <f>IF(AND($C65&lt;&gt;"",$V65=""),TRUE,FALSE)</f>
        <v>0</v>
      </c>
      <c r="BD65" s="1761" t="b">
        <f ca="1">IF(AND(X65="",OR(Z65&lt;&gt;"",AB65&lt;&gt;"",AF65&lt;&gt;"",AH65&lt;&gt;"",AL65&lt;&gt;"",AD65&lt;&gt;"")),TRUE,FALSE)</f>
        <v>0</v>
      </c>
      <c r="BE65" s="1761" t="b">
        <f>IF(AND($C65&lt;&gt;"",$X65=""),TRUE,FALSE)</f>
        <v>0</v>
      </c>
      <c r="BF65" s="1761" t="b">
        <f>IF(Z65="",FALSE,IF(X65="",FALSE,IF(BG65=TRUE,FALSE,IF(OR(Z65&lt;BU65,Z65&gt;BaseYear),TRUE,FALSE))))</f>
        <v>0</v>
      </c>
      <c r="BG65" s="1761" t="b">
        <f>IF(AND($C65&lt;&gt;"",$Z65=""),TRUE,FALSE)</f>
        <v>0</v>
      </c>
      <c r="BH65" s="1761" t="b">
        <f>IF(AD65="",FALSE,IF(X65="",FALSE,IF(BJ65=TRUE,FALSE,IF(AB65&lt;BX65,TRUE,FALSE))))</f>
        <v>0</v>
      </c>
      <c r="BI65" s="1761" t="b">
        <f>IF(AD65="",FALSE,IF(X65="",FALSE,IF(BJ65=TRUE,FALSE,IF(AB65&gt;BY65,TRUE,FALSE))))</f>
        <v>0</v>
      </c>
      <c r="BJ65" s="1761" t="b">
        <f>IF(AND($C65&lt;&gt;"",$AB65=""),TRUE,FALSE)</f>
        <v>0</v>
      </c>
      <c r="BK65" s="1761" t="b">
        <f>IF(BL65=TRUE,FALSE,IF(OR(AF65&lt;0,AF65&gt;1),TRUE,FALSE))</f>
        <v>0</v>
      </c>
      <c r="BL65" s="1761" t="b">
        <f>IF(AND($C65&lt;&gt;"",$AF65=""),TRUE,FALSE)</f>
        <v>0</v>
      </c>
      <c r="BM65" s="1761"/>
      <c r="BN65" s="1761" t="b">
        <f ca="1">IF(AND($C65&lt;&gt;"",$AH65=""),TRUE,FALSE)</f>
        <v>0</v>
      </c>
      <c r="BO65" s="1761" t="b">
        <f>IF(AL65="",FALSE,IF(X65="",FALSE,IF(BP65=TRUE,FALSE,IF(OR(AL65&lt;1913,AL65&gt;BaseYear),TRUE,FALSE))))</f>
        <v>0</v>
      </c>
      <c r="BP65" s="1761" t="b">
        <f>IF(AND($C65&lt;&gt;"",$AL65=""),TRUE,FALSE)</f>
        <v>0</v>
      </c>
      <c r="BQ65" s="1761" t="b">
        <f>IF(AD65="Square Foot",FALSE,IF(AND(AD65="Parking Space",OR('A-20 PassFacInv'!X65=Valid!$B$7,'A-20 PassFacInv'!X65=Valid!$B$8,'A-20 PassFacInv'!X65=Valid!$B$9,'A-20 PassFacInv'!X65=Valid!$B$10,'A-20 PassFacInv'!X65=Valid!$B$12,'A-20 PassFacInv'!X65=Valid!$B$13,'A-20 PassFacInv'!X65=Valid!$B$14,'A-20 PassFacInv'!X65=Valid!$B$15,'A-20 PassFacInv'!X65=Valid!$B$16,'A-20 PassFacInv'!X65=Valid!$B$17,'A-20 PassFacInv'!X65=Valid!$B$18,X65=Valid!$B$19,X65=Valid!$B$20,X65=Valid!$B$21)),TRUE,FALSE))</f>
        <v>0</v>
      </c>
      <c r="BR65" s="1761" t="b">
        <f>IF(AND($C65&lt;&gt;"",$AD65=""),TRUE,FALSE)</f>
        <v>0</v>
      </c>
      <c r="BS65" s="721"/>
      <c r="BT65" s="1625" t="str">
        <f>IF($X65="","",VLOOKUP($X65,val_facilities,BT$3,FALSE))</f>
        <v/>
      </c>
      <c r="BU65" s="1627" t="str">
        <f>IF($X65="","",VLOOKUP($X65,val_facilities,BU$3,FALSE))</f>
        <v/>
      </c>
      <c r="BV65" s="1627" t="str">
        <f>IF($X65="","",VLOOKUP($X65,val_facilities,BV$3,FALSE))</f>
        <v/>
      </c>
      <c r="BW65" s="1627" t="str">
        <f ca="1">IFERROR(IF(Z65="", "", YEAR(TODAY())-Z65), "")</f>
        <v/>
      </c>
      <c r="BX65" s="845" t="str">
        <f>IF($X65="","",IF(AD65="Square Feet",VLOOKUP('A-20 PassFacInv'!X39,Valid!$B$7:$H$24,7,FALSE),IF(AD65="Parking Spaces",VLOOKUP(X65,Valid!$B$22:$L$24,11,FALSE))))</f>
        <v/>
      </c>
      <c r="BY65" s="845" t="str">
        <f>IF($X65="","",IF(AD65="Square Feet",VLOOKUP(X65,Valid!$B$7:$I$24,8,FALSE),IF('A-20 PassFacInv'!AD39="Parking Spaces",VLOOKUP('A-20 PassFacInv'!X39,Valid!$B$22:$M$24,12,FALSE))))</f>
        <v/>
      </c>
      <c r="BZ65" s="1229"/>
      <c r="CA65" s="721">
        <f t="shared" si="1"/>
        <v>0</v>
      </c>
      <c r="CB65" s="816"/>
    </row>
    <row r="66" spans="1:80" s="1739" customFormat="1" ht="6.75" customHeight="1" thickBot="1" x14ac:dyDescent="0.25">
      <c r="A66" s="1638"/>
      <c r="B66" s="1746">
        <v>27.5</v>
      </c>
      <c r="C66" s="1057"/>
      <c r="D66" s="1248"/>
      <c r="E66" s="1057"/>
      <c r="F66" s="1229"/>
      <c r="G66" s="1229"/>
      <c r="H66" s="1229"/>
      <c r="I66" s="1229"/>
      <c r="J66" s="1604"/>
      <c r="K66" s="1640"/>
      <c r="L66" s="1605"/>
      <c r="M66" s="1646"/>
      <c r="N66" s="1605"/>
      <c r="O66" s="1646"/>
      <c r="P66" s="1733"/>
      <c r="Q66" s="1646"/>
      <c r="R66" s="1660"/>
      <c r="S66" s="1640"/>
      <c r="T66" s="1660"/>
      <c r="U66" s="1640"/>
      <c r="V66" s="1057"/>
      <c r="W66" s="1618"/>
      <c r="X66" s="1747"/>
      <c r="Y66" s="1618"/>
      <c r="Z66" s="1623"/>
      <c r="AA66" s="1618"/>
      <c r="AB66" s="1944"/>
      <c r="AC66" s="1648"/>
      <c r="AD66" s="1661"/>
      <c r="AE66" s="841"/>
      <c r="AF66" s="841"/>
      <c r="AG66" s="1648"/>
      <c r="AH66" s="733"/>
      <c r="AI66" s="1648"/>
      <c r="AJ66" s="722"/>
      <c r="AK66" s="1648"/>
      <c r="AL66" s="1717"/>
      <c r="AM66" s="1648"/>
      <c r="AN66" s="1057"/>
      <c r="AO66" s="1644"/>
      <c r="AP66" s="1644"/>
      <c r="AQ66" s="1644"/>
      <c r="AR66" s="1644"/>
      <c r="AS66" s="1644"/>
      <c r="AT66" s="1761"/>
      <c r="AU66" s="1761"/>
      <c r="AV66" s="1761"/>
      <c r="AW66" s="1761"/>
      <c r="AX66" s="1761"/>
      <c r="AY66" s="1761"/>
      <c r="AZ66" s="1761"/>
      <c r="BA66" s="1761"/>
      <c r="BB66" s="1761"/>
      <c r="BC66" s="1762"/>
      <c r="BD66" s="1762"/>
      <c r="BE66" s="1762"/>
      <c r="BF66" s="1762"/>
      <c r="BG66" s="1762"/>
      <c r="BH66" s="1762"/>
      <c r="BI66" s="1762"/>
      <c r="BJ66" s="1762"/>
      <c r="BK66" s="1762"/>
      <c r="BL66" s="1762"/>
      <c r="BM66" s="1762"/>
      <c r="BN66" s="1762"/>
      <c r="BO66" s="1762"/>
      <c r="BP66" s="1762"/>
      <c r="BQ66" s="1762"/>
      <c r="BR66" s="1762"/>
      <c r="BS66" s="1736"/>
      <c r="BT66" s="1738"/>
      <c r="BU66" s="1738"/>
      <c r="BV66" s="1738"/>
      <c r="BW66" s="1738"/>
      <c r="BX66" s="1738"/>
      <c r="BY66" s="1738"/>
      <c r="BZ66" s="1229"/>
      <c r="CA66" s="721">
        <f t="shared" si="1"/>
        <v>0</v>
      </c>
      <c r="CB66" s="1748"/>
    </row>
    <row r="67" spans="1:80" s="1739" customFormat="1" x14ac:dyDescent="0.2">
      <c r="A67" s="840">
        <v>28</v>
      </c>
      <c r="B67" s="1746">
        <v>28</v>
      </c>
      <c r="C67" s="1740"/>
      <c r="D67" s="1248" t="str">
        <f>IF(C65="","",IF((C67=""),"Enter Facility "&amp;TEXT(A67,0)&amp;" Name, then Fill in Columns "&amp;TEXT($H$2,0)&amp;" - "&amp;TEXT($AL$2,0)&amp;"       ",""))</f>
        <v/>
      </c>
      <c r="E67" s="1245" t="str">
        <f ca="1">IF(AS67="N/A","",IF(AS67="N","No","Yes"))</f>
        <v/>
      </c>
      <c r="F67" s="758"/>
      <c r="G67" s="758"/>
      <c r="H67" s="1707"/>
      <c r="I67" s="758"/>
      <c r="J67" s="1653"/>
      <c r="K67" s="1248" t="str">
        <f ca="1">IF($E67&lt;&gt;"","Enter Street Address      ","")</f>
        <v/>
      </c>
      <c r="L67" s="1740"/>
      <c r="M67" s="1248" t="str">
        <f ca="1">IF($E67&lt;&gt;"","Enter City Name       ","")</f>
        <v/>
      </c>
      <c r="N67" s="1740"/>
      <c r="O67" s="1248" t="str">
        <f ca="1">IF($E67&lt;&gt;"","Select from Pull-Down List   ","")</f>
        <v/>
      </c>
      <c r="P67" s="1741"/>
      <c r="Q67" s="1248" t="str">
        <f ca="1">IF($E67&lt;&gt;"","Enter ZIP Code       ","")</f>
        <v/>
      </c>
      <c r="R67" s="1742"/>
      <c r="S67" s="1248" t="str">
        <f ca="1">IF(OR(N67&lt;&gt;"",P67&lt;&gt;"",J67&lt;&gt;"",L67&lt;&gt;""),"",IF($E67&lt;&gt;"","Enter Lat.      ",""))</f>
        <v/>
      </c>
      <c r="T67" s="1742"/>
      <c r="U67" s="1248" t="str">
        <f ca="1">IF(OR(N67&lt;&gt;"",P67&lt;&gt;"",J67&lt;&gt;"",L67&lt;&gt;""),"",IF($E67&lt;&gt;"","Enter Long.    ",""))</f>
        <v/>
      </c>
      <c r="V67" s="1653"/>
      <c r="W67" s="1618" t="str">
        <f ca="1">IF($E67&lt;&gt;"","Select from Pull-Down List  ","")</f>
        <v/>
      </c>
      <c r="X67" s="1653"/>
      <c r="Y67" s="1618" t="str">
        <f ca="1">IF($E67&lt;&gt;"","Select from Pull-Down List  ","")</f>
        <v/>
      </c>
      <c r="Z67" s="1743"/>
      <c r="AA67" s="1248" t="str">
        <f ca="1">IF(E67&lt;&gt;"","Year?   ","")</f>
        <v/>
      </c>
      <c r="AB67" s="1943"/>
      <c r="AC67" s="1620" t="str">
        <f ca="1">IF(E67="","",IF(X67="","Sq. Ft. or Spaces?   ",IF(OR(X67=Codes!$L$26,X67=Codes!$L$27,X67=Codes!$L$28),"Sq. Ft. or Spaces?   ",IF(OR(X67=Codes!$L$20,X67=Codes!$L$21,X67=Codes!$L$22,X67=Codes!$L$23,X67=Codes!$L$24,X67=Codes!$L$25),"Sq. Ft?     ",""))))</f>
        <v/>
      </c>
      <c r="AD67" s="1740"/>
      <c r="AE67" s="1618" t="str">
        <f ca="1">IF($E67&lt;&gt;"","Select from List     ","")</f>
        <v/>
      </c>
      <c r="AF67" s="1621"/>
      <c r="AG67" s="1618" t="str">
        <f ca="1">IF($E67&lt;&gt;"","% of Cap Resp.","")</f>
        <v/>
      </c>
      <c r="AH67" s="1801" t="str">
        <f ca="1">IF(BW67="", "", IF(BW67&gt;100, 1, VLOOKUP(BW67, Valid!$W$1:$AA$101, VLOOKUP(X67, Codes!$L$20:$N$28, 3, FALSE), FALSE)))</f>
        <v/>
      </c>
      <c r="AI67" s="1620" t="str">
        <f ca="1">IF($E67&lt;&gt;"","Estimated?  ","")</f>
        <v/>
      </c>
      <c r="AJ67" s="1654"/>
      <c r="AK67" s="1620" t="str">
        <f ca="1">IF($E67&lt;&gt;"","Estimated $?    ","")</f>
        <v/>
      </c>
      <c r="AL67" s="1730"/>
      <c r="AM67" s="1620" t="b">
        <f ca="1">IF(E67&lt;&gt;"","Est Date?    ")</f>
        <v>0</v>
      </c>
      <c r="AN67" s="1740"/>
      <c r="AO67" s="1248" t="str">
        <f>IF(X67="Other (describe in Notes)","Describe Facility.                                                                                                                        ","")</f>
        <v/>
      </c>
      <c r="AP67" s="1624"/>
      <c r="AQ67" s="1624" t="b">
        <f>IF(AND(C67="",C69&lt;&gt;""),TRUE,FALSE)</f>
        <v>0</v>
      </c>
      <c r="AR67" s="1624" t="str">
        <f>IF(AND(J67&lt;&gt;"",L67&lt;&gt;"",N67&lt;&gt;"",P67&lt;&gt;"",R67="",T67=""),"Y",IF(AND(J67="",L67="",N67="",P67="",R67&lt;&gt;"",T67&lt;&gt;""),"Y",IF(AND(J67&lt;&gt;"",L67&lt;&gt;"",N67&lt;&gt;"",P67&lt;&gt;"",R67&lt;&gt;"",T67&lt;&gt;""),"Y",IF(AND(J67="",L67="",N67="",P67="",R67="",T67=""),"N/A","N"))))</f>
        <v>N/A</v>
      </c>
      <c r="AS67" s="1624" t="str">
        <f ca="1">IF(AND($C67&lt;&gt;"",OR(AR67="N",$V67="",$X67="",$Z67="",$AB67="",$AF67="",$AH67="",$AL67="",AD67="")),"N",IF(AND($C67="",OR(H67&lt;&gt;"",AR67="N",$V67&lt;&gt;"",$X67&lt;&gt;"",$Z67&lt;&gt;"",$AB67&lt;&gt;"",$AF67&lt;&gt;"",$AH67&lt;&gt;"",$AL67&lt;&gt;"",AD67&lt;&gt;"")),"N",IF(AND(H67="",$C67="",AR67="N/A",$V67="",$X67="",$Z67="",$AB67="",$AF67="",$AH67="",$AL67="",AD67=""),"N/A",IF(AND($C67&lt;&gt;"",AR67="Y",$V67&lt;&gt;"",$X67&lt;&gt;"",$Z67&lt;&gt;"",$AB67&lt;&gt;"",$AF67&lt;&gt;"",$AH67&lt;&gt;"",$AL67&lt;&gt;"",AD67&lt;&gt;""),"Y","N"))))</f>
        <v>N/A</v>
      </c>
      <c r="AT67" s="1761" t="b">
        <f ca="1">IF(AND($C67="",OR($J67&lt;&gt;"",$L67&lt;&gt;"",$N67&lt;&gt;"",$P67&lt;&gt;"",$V67&lt;&gt;"",$X67&lt;&gt;"",$Z67&lt;&gt;"",$AB67&lt;&gt;"",$AF67&lt;&gt;"",$AH67&lt;&gt;"",$AL67&lt;&gt;"")),TRUE,FALSE)</f>
        <v>0</v>
      </c>
      <c r="AU67" s="1761" t="b">
        <f>IF(OR(R67&lt;&gt;"",T67&lt;&gt;""),"false",IF(AND($C67&lt;&gt;"",$J67=""),TRUE,FALSE))</f>
        <v>0</v>
      </c>
      <c r="AV67" s="1761" t="b">
        <f>IF(OR(R67&lt;&gt;"",T67&lt;&gt;""),FALSE,IF(AND($C67&lt;&gt;"",$L67=""),TRUE,FALSE))</f>
        <v>0</v>
      </c>
      <c r="AW67" s="1761" t="b">
        <f>IF(OR(R67&lt;&gt;"",T67&lt;&gt;""),FALSE,IF(AND($C67&lt;&gt;"",$N67=""),TRUE,FALSE))</f>
        <v>0</v>
      </c>
      <c r="AX67" s="1761" t="b">
        <f>IF(OR(R67&lt;&gt;"",T67&lt;&gt;""),FALSE,IF(AND($C67&lt;&gt;"",$P67=""),TRUE,FALSE))</f>
        <v>0</v>
      </c>
      <c r="AY67" s="1761"/>
      <c r="AZ67" s="1761" t="b">
        <f>IF(OR(J67&lt;&gt;"",L67&lt;&gt;"",N67&lt;&gt;"",P67&lt;&gt;""),FALSE,IF(AND(C67&lt;&gt;"",R67=""),TRUE,FALSE))</f>
        <v>0</v>
      </c>
      <c r="BA67" s="1761"/>
      <c r="BB67" s="1761" t="b">
        <f>IF(OR(J67&lt;&gt;"",L67&lt;&gt;"",N67&lt;&gt;"",P67&lt;&gt;""),FALSE,IF(AND(C67&lt;&gt;"",T67=""),TRUE,FALSE))</f>
        <v>0</v>
      </c>
      <c r="BC67" s="1761" t="b">
        <f>IF(AND($C67&lt;&gt;"",$V67=""),TRUE,FALSE)</f>
        <v>0</v>
      </c>
      <c r="BD67" s="1761" t="b">
        <f ca="1">IF(AND(X67="",OR(Z67&lt;&gt;"",AB67&lt;&gt;"",AF67&lt;&gt;"",AH67&lt;&gt;"",AL67&lt;&gt;"",AD67&lt;&gt;"")),TRUE,FALSE)</f>
        <v>0</v>
      </c>
      <c r="BE67" s="1761" t="b">
        <f>IF(AND($C67&lt;&gt;"",$X67=""),TRUE,FALSE)</f>
        <v>0</v>
      </c>
      <c r="BF67" s="1761" t="b">
        <f>IF(Z67="",FALSE,IF(X67="",FALSE,IF(BG67=TRUE,FALSE,IF(OR(Z67&lt;BU67,Z67&gt;BaseYear),TRUE,FALSE))))</f>
        <v>0</v>
      </c>
      <c r="BG67" s="1761" t="b">
        <f>IF(AND($C67&lt;&gt;"",$Z67=""),TRUE,FALSE)</f>
        <v>0</v>
      </c>
      <c r="BH67" s="1761" t="b">
        <f>IF(AD67="",FALSE,IF(X67="",FALSE,IF(BJ67=TRUE,FALSE,IF(AB67&lt;BX67,TRUE,FALSE))))</f>
        <v>0</v>
      </c>
      <c r="BI67" s="1761" t="b">
        <f>IF(AD67="",FALSE,IF(X67="",FALSE,IF(BJ67=TRUE,FALSE,IF(AB67&gt;BY67,TRUE,FALSE))))</f>
        <v>0</v>
      </c>
      <c r="BJ67" s="1761" t="b">
        <f>IF(AND($C67&lt;&gt;"",$AB67=""),TRUE,FALSE)</f>
        <v>0</v>
      </c>
      <c r="BK67" s="1761" t="b">
        <f>IF(BL67=TRUE,FALSE,IF(OR(AF67&lt;0,AF67&gt;1),TRUE,FALSE))</f>
        <v>0</v>
      </c>
      <c r="BL67" s="1761" t="b">
        <f>IF(AND($C67&lt;&gt;"",$AF67=""),TRUE,FALSE)</f>
        <v>0</v>
      </c>
      <c r="BM67" s="1761"/>
      <c r="BN67" s="1761" t="b">
        <f ca="1">IF(AND($C67&lt;&gt;"",$AH67=""),TRUE,FALSE)</f>
        <v>0</v>
      </c>
      <c r="BO67" s="1761" t="b">
        <f>IF(AL67="",FALSE,IF(X67="",FALSE,IF(BP67=TRUE,FALSE,IF(OR(AL67&lt;1913,AL67&gt;BaseYear),TRUE,FALSE))))</f>
        <v>0</v>
      </c>
      <c r="BP67" s="1761" t="b">
        <f>IF(AND($C67&lt;&gt;"",$AL67=""),TRUE,FALSE)</f>
        <v>0</v>
      </c>
      <c r="BQ67" s="1761" t="b">
        <f>IF(AD67="Square Foot",FALSE,IF(AND(AD67="Parking Space",OR('A-20 PassFacInv'!X67=Valid!$B$7,'A-20 PassFacInv'!X67=Valid!$B$8,'A-20 PassFacInv'!X67=Valid!$B$9,'A-20 PassFacInv'!X67=Valid!$B$10,'A-20 PassFacInv'!X67=Valid!$B$12,'A-20 PassFacInv'!X67=Valid!$B$13,'A-20 PassFacInv'!X67=Valid!$B$14,'A-20 PassFacInv'!X67=Valid!$B$15,'A-20 PassFacInv'!X67=Valid!$B$16,'A-20 PassFacInv'!X67=Valid!$B$17,'A-20 PassFacInv'!X67=Valid!$B$18,X67=Valid!$B$19,X67=Valid!$B$20,X67=Valid!$B$21)),TRUE,FALSE))</f>
        <v>0</v>
      </c>
      <c r="BR67" s="1761" t="b">
        <f>IF(AND($C67&lt;&gt;"",$AD67=""),TRUE,FALSE)</f>
        <v>0</v>
      </c>
      <c r="BS67" s="721"/>
      <c r="BT67" s="1625" t="str">
        <f>IF($X67="","",VLOOKUP($X67,val_facilities,BT$3,FALSE))</f>
        <v/>
      </c>
      <c r="BU67" s="1627" t="str">
        <f>IF($X67="","",VLOOKUP($X67,val_facilities,BU$3,FALSE))</f>
        <v/>
      </c>
      <c r="BV67" s="1627" t="str">
        <f>IF($X67="","",VLOOKUP($X67,val_facilities,BV$3,FALSE))</f>
        <v/>
      </c>
      <c r="BW67" s="1627" t="str">
        <f ca="1">IFERROR(IF(Z67="", "", YEAR(TODAY())-Z67), "")</f>
        <v/>
      </c>
      <c r="BX67" s="845" t="str">
        <f>IF($X67="","",IF(AD67="Square Feet",VLOOKUP('A-20 PassFacInv'!X40,Valid!$B$7:$H$24,7,FALSE),IF(AD67="Parking Spaces",VLOOKUP(X67,Valid!$B$22:$L$24,11,FALSE))))</f>
        <v/>
      </c>
      <c r="BY67" s="845" t="str">
        <f>IF($X67="","",IF(AD67="Square Feet",VLOOKUP(X67,Valid!$B$7:$I$24,8,FALSE),IF('A-20 PassFacInv'!AD40="Parking Spaces",VLOOKUP('A-20 PassFacInv'!X40,Valid!$B$22:$M$24,12,FALSE))))</f>
        <v/>
      </c>
      <c r="BZ67" s="1229"/>
      <c r="CA67" s="721">
        <f t="shared" si="1"/>
        <v>0</v>
      </c>
      <c r="CB67" s="816"/>
    </row>
    <row r="68" spans="1:80" s="1739" customFormat="1" ht="6.75" customHeight="1" thickBot="1" x14ac:dyDescent="0.25">
      <c r="A68" s="1638"/>
      <c r="B68" s="1746">
        <v>28.5</v>
      </c>
      <c r="C68" s="1057"/>
      <c r="D68" s="764"/>
      <c r="E68" s="1639"/>
      <c r="F68" s="1229"/>
      <c r="G68" s="1229"/>
      <c r="H68" s="1229"/>
      <c r="I68" s="1229"/>
      <c r="J68" s="1604"/>
      <c r="K68" s="1229"/>
      <c r="L68" s="1645"/>
      <c r="M68" s="1644"/>
      <c r="N68" s="1645"/>
      <c r="O68" s="1644"/>
      <c r="P68" s="1662"/>
      <c r="Q68" s="1644"/>
      <c r="R68" s="1663"/>
      <c r="S68" s="1229"/>
      <c r="T68" s="1663"/>
      <c r="U68" s="1229"/>
      <c r="V68" s="1057"/>
      <c r="W68" s="1623"/>
      <c r="X68" s="1747"/>
      <c r="Y68" s="1623"/>
      <c r="Z68" s="1623"/>
      <c r="AA68" s="1623"/>
      <c r="AB68" s="1944"/>
      <c r="AC68" s="841"/>
      <c r="AD68" s="1057"/>
      <c r="AE68" s="841"/>
      <c r="AF68" s="841"/>
      <c r="AG68" s="841"/>
      <c r="AH68" s="722"/>
      <c r="AI68" s="841"/>
      <c r="AJ68" s="722"/>
      <c r="AK68" s="841"/>
      <c r="AL68" s="1717"/>
      <c r="AM68" s="841"/>
      <c r="AN68" s="1057"/>
      <c r="AO68" s="1644"/>
      <c r="AP68" s="1644"/>
      <c r="AQ68" s="1644"/>
      <c r="AR68" s="1644"/>
      <c r="AS68" s="1644"/>
      <c r="AT68" s="1761"/>
      <c r="AU68" s="1761"/>
      <c r="AV68" s="1761"/>
      <c r="AW68" s="1761"/>
      <c r="AX68" s="1761"/>
      <c r="AY68" s="1761"/>
      <c r="AZ68" s="1761"/>
      <c r="BA68" s="1761"/>
      <c r="BB68" s="1761"/>
      <c r="BC68" s="1762"/>
      <c r="BD68" s="1762"/>
      <c r="BE68" s="1762"/>
      <c r="BF68" s="1762"/>
      <c r="BG68" s="1762"/>
      <c r="BH68" s="1762"/>
      <c r="BI68" s="1762"/>
      <c r="BJ68" s="1762"/>
      <c r="BK68" s="1762"/>
      <c r="BL68" s="1762"/>
      <c r="BM68" s="1762"/>
      <c r="BN68" s="1762"/>
      <c r="BO68" s="1762"/>
      <c r="BP68" s="1762"/>
      <c r="BQ68" s="1763"/>
      <c r="BR68" s="1762"/>
      <c r="BS68" s="1736"/>
      <c r="BT68" s="1738"/>
      <c r="BU68" s="1738"/>
      <c r="BV68" s="1738"/>
      <c r="BW68" s="1738"/>
      <c r="BX68" s="1738"/>
      <c r="BY68" s="1738"/>
      <c r="BZ68" s="1229"/>
      <c r="CA68" s="721">
        <f t="shared" si="1"/>
        <v>0</v>
      </c>
      <c r="CB68" s="1748"/>
    </row>
    <row r="69" spans="1:80" s="1739" customFormat="1" x14ac:dyDescent="0.2">
      <c r="A69" s="840">
        <v>29</v>
      </c>
      <c r="B69" s="1746">
        <v>29</v>
      </c>
      <c r="C69" s="1740"/>
      <c r="D69" s="1248" t="str">
        <f>IF(C67="","",IF((C69=""),"Enter Facility "&amp;TEXT(A69,0)&amp;" Name, then Fill in Columns "&amp;TEXT($H$2,0)&amp;" - "&amp;TEXT($AL$2,0)&amp;"       ",""))</f>
        <v/>
      </c>
      <c r="E69" s="1245" t="str">
        <f ca="1">IF(AS69="N/A","",IF(AS69="N","No","Yes"))</f>
        <v/>
      </c>
      <c r="F69" s="758"/>
      <c r="G69" s="758"/>
      <c r="H69" s="1707"/>
      <c r="I69" s="758"/>
      <c r="J69" s="1653"/>
      <c r="K69" s="1248" t="str">
        <f ca="1">IF($E69&lt;&gt;"","Enter Street Address      ","")</f>
        <v/>
      </c>
      <c r="L69" s="1740"/>
      <c r="M69" s="1248" t="str">
        <f ca="1">IF($E69&lt;&gt;"","Enter City Name       ","")</f>
        <v/>
      </c>
      <c r="N69" s="1740"/>
      <c r="O69" s="1248" t="str">
        <f ca="1">IF($E69&lt;&gt;"","Select from Pull-Down List   ","")</f>
        <v/>
      </c>
      <c r="P69" s="1741"/>
      <c r="Q69" s="1248" t="str">
        <f ca="1">IF($E69&lt;&gt;"","Enter ZIP Code       ","")</f>
        <v/>
      </c>
      <c r="R69" s="1742"/>
      <c r="S69" s="1248" t="str">
        <f ca="1">IF(OR(N69&lt;&gt;"",P69&lt;&gt;"",J69&lt;&gt;"",L69&lt;&gt;""),"",IF($E69&lt;&gt;"","Enter Lat.      ",""))</f>
        <v/>
      </c>
      <c r="T69" s="1742"/>
      <c r="U69" s="1248" t="str">
        <f ca="1">IF(OR(N69&lt;&gt;"",P69&lt;&gt;"",J69&lt;&gt;"",L69&lt;&gt;""),"",IF($E69&lt;&gt;"","Enter Long.    ",""))</f>
        <v/>
      </c>
      <c r="V69" s="1653"/>
      <c r="W69" s="1618" t="str">
        <f ca="1">IF($E69&lt;&gt;"","Select from Pull-Down List  ","")</f>
        <v/>
      </c>
      <c r="X69" s="1653"/>
      <c r="Y69" s="1618" t="str">
        <f ca="1">IF($E69&lt;&gt;"","Select from Pull-Down List  ","")</f>
        <v/>
      </c>
      <c r="Z69" s="1743"/>
      <c r="AA69" s="1248" t="str">
        <f ca="1">IF(E69&lt;&gt;"","Year?   ","")</f>
        <v/>
      </c>
      <c r="AB69" s="1943"/>
      <c r="AC69" s="1620" t="str">
        <f ca="1">IF(E69="","",IF(X69="","Sq. Ft. or Spaces?   ",IF(OR(X69=Codes!$L$26,X69=Codes!$L$27,X69=Codes!$L$28),"Sq. Ft. or Spaces?   ",IF(OR(X69=Codes!$L$20,X69=Codes!$L$21,X69=Codes!$L$22,X69=Codes!$L$23,X69=Codes!$L$24,X69=Codes!$L$25),"Sq. Ft?     ",""))))</f>
        <v/>
      </c>
      <c r="AD69" s="1740"/>
      <c r="AE69" s="1618" t="str">
        <f ca="1">IF($E69&lt;&gt;"","Select from List     ","")</f>
        <v/>
      </c>
      <c r="AF69" s="1621"/>
      <c r="AG69" s="1618" t="str">
        <f ca="1">IF($E69&lt;&gt;"","% of Cap Resp.","")</f>
        <v/>
      </c>
      <c r="AH69" s="1801" t="str">
        <f ca="1">IF(BW69="", "", IF(BW69&gt;100, 1, VLOOKUP(BW69, Valid!$W$1:$AA$101, VLOOKUP(X69, Codes!$L$20:$N$28, 3, FALSE), FALSE)))</f>
        <v/>
      </c>
      <c r="AI69" s="1620" t="str">
        <f ca="1">IF($E69&lt;&gt;"","Estimated?  ","")</f>
        <v/>
      </c>
      <c r="AJ69" s="1654"/>
      <c r="AK69" s="1620" t="str">
        <f ca="1">IF($E69&lt;&gt;"","Estimated $?    ","")</f>
        <v/>
      </c>
      <c r="AL69" s="1730"/>
      <c r="AM69" s="1620" t="b">
        <f ca="1">IF(E69&lt;&gt;"","Est Date?    ")</f>
        <v>0</v>
      </c>
      <c r="AN69" s="1740"/>
      <c r="AO69" s="1248" t="str">
        <f>IF(X69="Other (describe in Notes)","Describe Facility.                                                                                                                        ","")</f>
        <v/>
      </c>
      <c r="AP69" s="1624"/>
      <c r="AQ69" s="1624" t="b">
        <f>IF(AND(C69="",C71&lt;&gt;""),TRUE,FALSE)</f>
        <v>0</v>
      </c>
      <c r="AR69" s="1624" t="str">
        <f>IF(AND(J69&lt;&gt;"",L69&lt;&gt;"",N69&lt;&gt;"",P69&lt;&gt;"",R69="",T69=""),"Y",IF(AND(J69="",L69="",N69="",P69="",R69&lt;&gt;"",T69&lt;&gt;""),"Y",IF(AND(J69&lt;&gt;"",L69&lt;&gt;"",N69&lt;&gt;"",P69&lt;&gt;"",R69&lt;&gt;"",T69&lt;&gt;""),"Y",IF(AND(J69="",L69="",N69="",P69="",R69="",T69=""),"N/A","N"))))</f>
        <v>N/A</v>
      </c>
      <c r="AS69" s="1624" t="str">
        <f ca="1">IF(AND($C69&lt;&gt;"",OR(AR69="N",$V69="",$X69="",$Z69="",$AB69="",$AF69="",$AH69="",$AL69="",AD69="")),"N",IF(AND($C69="",OR(H69&lt;&gt;"",AR69="N",$V69&lt;&gt;"",$X69&lt;&gt;"",$Z69&lt;&gt;"",$AB69&lt;&gt;"",$AF69&lt;&gt;"",$AH69&lt;&gt;"",$AL69&lt;&gt;"",AD69&lt;&gt;"")),"N",IF(AND(H69="",$C69="",AR69="N/A",$V69="",$X69="",$Z69="",$AB69="",$AF69="",$AH69="",$AL69="",AD69=""),"N/A",IF(AND($C69&lt;&gt;"",AR69="Y",$V69&lt;&gt;"",$X69&lt;&gt;"",$Z69&lt;&gt;"",$AB69&lt;&gt;"",$AF69&lt;&gt;"",$AH69&lt;&gt;"",$AL69&lt;&gt;"",AD69&lt;&gt;""),"Y","N"))))</f>
        <v>N/A</v>
      </c>
      <c r="AT69" s="1761" t="b">
        <f ca="1">IF(AND($C69="",OR($J69&lt;&gt;"",$L69&lt;&gt;"",$N69&lt;&gt;"",$P69&lt;&gt;"",$V69&lt;&gt;"",$X69&lt;&gt;"",$Z69&lt;&gt;"",$AB69&lt;&gt;"",$AF69&lt;&gt;"",$AH69&lt;&gt;"",$AL69&lt;&gt;"")),TRUE,FALSE)</f>
        <v>0</v>
      </c>
      <c r="AU69" s="1761" t="b">
        <f>IF(OR(R69&lt;&gt;"",T69&lt;&gt;""),"false",IF(AND($C69&lt;&gt;"",$J69=""),TRUE,FALSE))</f>
        <v>0</v>
      </c>
      <c r="AV69" s="1761" t="b">
        <f>IF(OR(R69&lt;&gt;"",T69&lt;&gt;""),FALSE,IF(AND($C69&lt;&gt;"",$L69=""),TRUE,FALSE))</f>
        <v>0</v>
      </c>
      <c r="AW69" s="1761" t="b">
        <f>IF(OR(R69&lt;&gt;"",T69&lt;&gt;""),FALSE,IF(AND($C69&lt;&gt;"",$N69=""),TRUE,FALSE))</f>
        <v>0</v>
      </c>
      <c r="AX69" s="1761" t="b">
        <f>IF(OR(R69&lt;&gt;"",T69&lt;&gt;""),FALSE,IF(AND($C69&lt;&gt;"",$P69=""),TRUE,FALSE))</f>
        <v>0</v>
      </c>
      <c r="AY69" s="1761"/>
      <c r="AZ69" s="1761" t="b">
        <f>IF(OR(J69&lt;&gt;"",L69&lt;&gt;"",N69&lt;&gt;"",P69&lt;&gt;""),FALSE,IF(AND(C69&lt;&gt;"",R69=""),TRUE,FALSE))</f>
        <v>0</v>
      </c>
      <c r="BA69" s="1761"/>
      <c r="BB69" s="1761" t="b">
        <f>IF(OR(J69&lt;&gt;"",L69&lt;&gt;"",N69&lt;&gt;"",P69&lt;&gt;""),FALSE,IF(AND(C69&lt;&gt;"",T69=""),TRUE,FALSE))</f>
        <v>0</v>
      </c>
      <c r="BC69" s="1761" t="b">
        <f>IF(AND($C69&lt;&gt;"",$V69=""),TRUE,FALSE)</f>
        <v>0</v>
      </c>
      <c r="BD69" s="1761" t="b">
        <f ca="1">IF(AND(X69="",OR(Z69&lt;&gt;"",AB69&lt;&gt;"",AF69&lt;&gt;"",AH69&lt;&gt;"",AL69&lt;&gt;"",AD69&lt;&gt;"")),TRUE,FALSE)</f>
        <v>0</v>
      </c>
      <c r="BE69" s="1761" t="b">
        <f>IF(AND($C69&lt;&gt;"",$X69=""),TRUE,FALSE)</f>
        <v>0</v>
      </c>
      <c r="BF69" s="1761" t="b">
        <f>IF(Z69="",FALSE,IF(X69="",FALSE,IF(BG69=TRUE,FALSE,IF(OR(Z69&lt;BU69,Z69&gt;BaseYear),TRUE,FALSE))))</f>
        <v>0</v>
      </c>
      <c r="BG69" s="1761" t="b">
        <f>IF(AND($C69&lt;&gt;"",$Z69=""),TRUE,FALSE)</f>
        <v>0</v>
      </c>
      <c r="BH69" s="1761" t="b">
        <f>IF(AD69="",FALSE,IF(X69="",FALSE,IF(BJ69=TRUE,FALSE,IF(AB69&lt;BX69,TRUE,FALSE))))</f>
        <v>0</v>
      </c>
      <c r="BI69" s="1761" t="b">
        <f>IF(AD69="",FALSE,IF(X69="",FALSE,IF(BJ69=TRUE,FALSE,IF(AB69&gt;BY69,TRUE,FALSE))))</f>
        <v>0</v>
      </c>
      <c r="BJ69" s="1761" t="b">
        <f>IF(AND($C69&lt;&gt;"",$AB69=""),TRUE,FALSE)</f>
        <v>0</v>
      </c>
      <c r="BK69" s="1761" t="b">
        <f>IF(BL69=TRUE,FALSE,IF(OR(AF69&lt;0,AF69&gt;1),TRUE,FALSE))</f>
        <v>0</v>
      </c>
      <c r="BL69" s="1761" t="b">
        <f>IF(AND($C69&lt;&gt;"",$AF69=""),TRUE,FALSE)</f>
        <v>0</v>
      </c>
      <c r="BM69" s="1761"/>
      <c r="BN69" s="1761" t="b">
        <f ca="1">IF(AND($C69&lt;&gt;"",$AH69=""),TRUE,FALSE)</f>
        <v>0</v>
      </c>
      <c r="BO69" s="1761" t="b">
        <f>IF(AL69="",FALSE,IF(X69="",FALSE,IF(BP69=TRUE,FALSE,IF(OR(AL69&lt;1913,AL69&gt;BaseYear),TRUE,FALSE))))</f>
        <v>0</v>
      </c>
      <c r="BP69" s="1761" t="b">
        <f>IF(AND($C69&lt;&gt;"",$AL69=""),TRUE,FALSE)</f>
        <v>0</v>
      </c>
      <c r="BQ69" s="1761" t="b">
        <f>IF(AD69="Square Foot",FALSE,IF(AND(AD69="Parking Space",OR('A-20 PassFacInv'!X69=Valid!$B$7,'A-20 PassFacInv'!X69=Valid!$B$8,'A-20 PassFacInv'!X69=Valid!$B$9,'A-20 PassFacInv'!X69=Valid!$B$10,'A-20 PassFacInv'!X69=Valid!$B$12,'A-20 PassFacInv'!X69=Valid!$B$13,'A-20 PassFacInv'!X69=Valid!$B$14,'A-20 PassFacInv'!X69=Valid!$B$15,'A-20 PassFacInv'!X69=Valid!$B$16,'A-20 PassFacInv'!X69=Valid!$B$17,'A-20 PassFacInv'!X69=Valid!$B$18,X69=Valid!$B$19,X69=Valid!$B$20,X69=Valid!$B$21)),TRUE,FALSE))</f>
        <v>0</v>
      </c>
      <c r="BR69" s="1761" t="b">
        <f>IF(AND($C69&lt;&gt;"",$AD69=""),TRUE,FALSE)</f>
        <v>0</v>
      </c>
      <c r="BS69" s="721"/>
      <c r="BT69" s="1625" t="str">
        <f>IF($X69="","",VLOOKUP($X69,val_facilities,BT$3,FALSE))</f>
        <v/>
      </c>
      <c r="BU69" s="1627" t="str">
        <f>IF($X69="","",VLOOKUP($X69,val_facilities,BU$3,FALSE))</f>
        <v/>
      </c>
      <c r="BV69" s="1627" t="str">
        <f>IF($X69="","",VLOOKUP($X69,val_facilities,BV$3,FALSE))</f>
        <v/>
      </c>
      <c r="BW69" s="1627" t="str">
        <f ca="1">IFERROR(IF(Z69="", "", YEAR(TODAY())-Z69), "")</f>
        <v/>
      </c>
      <c r="BX69" s="845" t="str">
        <f>IF($X69="","",IF(AD69="Square Feet",VLOOKUP('A-20 PassFacInv'!X41,Valid!$B$7:$H$24,7,FALSE),IF(AD69="Parking Spaces",VLOOKUP(X69,Valid!$B$22:$L$24,11,FALSE))))</f>
        <v/>
      </c>
      <c r="BY69" s="845" t="str">
        <f>IF($X69="","",IF(AD69="Square Feet",VLOOKUP(X69,Valid!$B$7:$I$24,8,FALSE),IF('A-20 PassFacInv'!AD41="Parking Spaces",VLOOKUP('A-20 PassFacInv'!X41,Valid!$B$22:$M$24,12,FALSE))))</f>
        <v/>
      </c>
      <c r="BZ69" s="1229"/>
      <c r="CA69" s="721">
        <f t="shared" si="1"/>
        <v>0</v>
      </c>
      <c r="CB69" s="816"/>
    </row>
    <row r="70" spans="1:80" s="1739" customFormat="1" ht="6.75" customHeight="1" thickBot="1" x14ac:dyDescent="0.25">
      <c r="A70" s="1638"/>
      <c r="B70" s="1746">
        <v>29.5</v>
      </c>
      <c r="C70" s="1057"/>
      <c r="D70" s="1248"/>
      <c r="E70" s="1057"/>
      <c r="F70" s="1229"/>
      <c r="G70" s="1229"/>
      <c r="H70" s="1229"/>
      <c r="I70" s="1229"/>
      <c r="J70" s="1604"/>
      <c r="K70" s="1640"/>
      <c r="L70" s="1641"/>
      <c r="M70" s="1248"/>
      <c r="N70" s="1641"/>
      <c r="O70" s="1248"/>
      <c r="P70" s="1659"/>
      <c r="Q70" s="1248"/>
      <c r="R70" s="1660"/>
      <c r="S70" s="1640"/>
      <c r="T70" s="1660"/>
      <c r="U70" s="1640"/>
      <c r="V70" s="1057"/>
      <c r="W70" s="1618"/>
      <c r="X70" s="1747"/>
      <c r="Y70" s="1618"/>
      <c r="Z70" s="1623"/>
      <c r="AA70" s="1618"/>
      <c r="AB70" s="1944"/>
      <c r="AC70" s="1275"/>
      <c r="AD70" s="1661"/>
      <c r="AE70" s="734"/>
      <c r="AF70" s="1736"/>
      <c r="AG70" s="1275"/>
      <c r="AH70" s="722"/>
      <c r="AI70" s="1275"/>
      <c r="AJ70" s="733"/>
      <c r="AK70" s="1275"/>
      <c r="AL70" s="1721"/>
      <c r="AM70" s="1275"/>
      <c r="AN70" s="1057"/>
      <c r="AO70" s="1644"/>
      <c r="AP70" s="1644"/>
      <c r="AQ70" s="1644"/>
      <c r="AR70" s="1644"/>
      <c r="AS70" s="1644"/>
      <c r="AT70" s="1761"/>
      <c r="AU70" s="1761"/>
      <c r="AV70" s="1761"/>
      <c r="AW70" s="1761"/>
      <c r="AX70" s="1761"/>
      <c r="AY70" s="1761"/>
      <c r="AZ70" s="1761"/>
      <c r="BA70" s="1761"/>
      <c r="BB70" s="1761"/>
      <c r="BC70" s="1762"/>
      <c r="BD70" s="1762"/>
      <c r="BE70" s="1762"/>
      <c r="BF70" s="1762"/>
      <c r="BG70" s="1762"/>
      <c r="BH70" s="1762"/>
      <c r="BI70" s="1762"/>
      <c r="BJ70" s="1762"/>
      <c r="BK70" s="1762"/>
      <c r="BL70" s="1762"/>
      <c r="BM70" s="1762"/>
      <c r="BN70" s="1762"/>
      <c r="BO70" s="1762"/>
      <c r="BP70" s="1762"/>
      <c r="BQ70" s="1762"/>
      <c r="BR70" s="1762"/>
      <c r="BS70" s="1736"/>
      <c r="BT70" s="1738"/>
      <c r="BU70" s="1738"/>
      <c r="BV70" s="1738"/>
      <c r="BW70" s="1738"/>
      <c r="BX70" s="1738"/>
      <c r="BY70" s="1738"/>
      <c r="BZ70" s="1229"/>
      <c r="CA70" s="721">
        <f t="shared" si="1"/>
        <v>0</v>
      </c>
      <c r="CB70" s="1748"/>
    </row>
    <row r="71" spans="1:80" s="1739" customFormat="1" x14ac:dyDescent="0.2">
      <c r="A71" s="840">
        <v>30</v>
      </c>
      <c r="B71" s="1731">
        <v>30</v>
      </c>
      <c r="C71" s="1740"/>
      <c r="D71" s="1248" t="str">
        <f>IF(C69="","",IF((C71=""),"Enter Facility "&amp;TEXT(A71,0)&amp;" Name, then Fill in Columns "&amp;TEXT($H$2,0)&amp;" - "&amp;TEXT($AL$2,0)&amp;"       ",""))</f>
        <v/>
      </c>
      <c r="E71" s="1245" t="str">
        <f ca="1">IF(AS71="N/A","",IF(AS71="N","No","Yes"))</f>
        <v/>
      </c>
      <c r="F71" s="758"/>
      <c r="G71" s="758"/>
      <c r="H71" s="1707"/>
      <c r="I71" s="758"/>
      <c r="J71" s="1653"/>
      <c r="K71" s="1248" t="str">
        <f ca="1">IF($E71&lt;&gt;"","Enter Street Address      ","")</f>
        <v/>
      </c>
      <c r="L71" s="1740"/>
      <c r="M71" s="1248" t="str">
        <f ca="1">IF($E71&lt;&gt;"","Enter City Name       ","")</f>
        <v/>
      </c>
      <c r="N71" s="1740"/>
      <c r="O71" s="1248" t="str">
        <f ca="1">IF($E71&lt;&gt;"","Select from Pull-Down List   ","")</f>
        <v/>
      </c>
      <c r="P71" s="1741"/>
      <c r="Q71" s="1248" t="str">
        <f ca="1">IF($E71&lt;&gt;"","Enter ZIP Code       ","")</f>
        <v/>
      </c>
      <c r="R71" s="1742"/>
      <c r="S71" s="1248" t="str">
        <f ca="1">IF(OR(N71&lt;&gt;"",P71&lt;&gt;"",J71&lt;&gt;"",L71&lt;&gt;""),"",IF($E71&lt;&gt;"","Enter Lat.      ",""))</f>
        <v/>
      </c>
      <c r="T71" s="1742"/>
      <c r="U71" s="1248" t="str">
        <f ca="1">IF(OR(N71&lt;&gt;"",P71&lt;&gt;"",J71&lt;&gt;"",L71&lt;&gt;""),"",IF($E71&lt;&gt;"","Enter Long.    ",""))</f>
        <v/>
      </c>
      <c r="V71" s="1653"/>
      <c r="W71" s="1618" t="str">
        <f ca="1">IF($E71&lt;&gt;"","Select from Pull-Down List  ","")</f>
        <v/>
      </c>
      <c r="X71" s="1653"/>
      <c r="Y71" s="1618" t="str">
        <f ca="1">IF($E71&lt;&gt;"","Select from Pull-Down List  ","")</f>
        <v/>
      </c>
      <c r="Z71" s="1743"/>
      <c r="AA71" s="1248" t="str">
        <f ca="1">IF(E71&lt;&gt;"","Year?   ","")</f>
        <v/>
      </c>
      <c r="AB71" s="1943"/>
      <c r="AC71" s="1620" t="str">
        <f ca="1">IF(E71="","",IF(X71="","Sq. Ft. or Spaces?   ",IF(OR(X71=Codes!$L$26,X71=Codes!$L$27,X71=Codes!$L$28),"Sq. Ft. or Spaces?   ",IF(OR(X71=Codes!$L$20,X71=Codes!$L$21,X71=Codes!$L$22,X71=Codes!$L$23,X71=Codes!$L$24,X71=Codes!$L$25),"Sq. Ft?     ",""))))</f>
        <v/>
      </c>
      <c r="AD71" s="1740"/>
      <c r="AE71" s="1618" t="str">
        <f ca="1">IF($E71&lt;&gt;"","Select from List     ","")</f>
        <v/>
      </c>
      <c r="AF71" s="1621"/>
      <c r="AG71" s="1618" t="str">
        <f ca="1">IF($E71&lt;&gt;"","% of Cap Resp.","")</f>
        <v/>
      </c>
      <c r="AH71" s="1801" t="str">
        <f ca="1">IF(BW71="", "", IF(BW71&gt;100, 1, VLOOKUP(BW71, Valid!$W$1:$AA$101, VLOOKUP(X71, Codes!$L$20:$N$28, 3, FALSE), FALSE)))</f>
        <v/>
      </c>
      <c r="AI71" s="1620" t="str">
        <f ca="1">IF($E71&lt;&gt;"","Estimated?  ","")</f>
        <v/>
      </c>
      <c r="AJ71" s="1654"/>
      <c r="AK71" s="1620" t="str">
        <f ca="1">IF($E71&lt;&gt;"","Estimated $?    ","")</f>
        <v/>
      </c>
      <c r="AL71" s="1730"/>
      <c r="AM71" s="1620" t="b">
        <f ca="1">IF(E71&lt;&gt;"","Est Date?    ")</f>
        <v>0</v>
      </c>
      <c r="AN71" s="1740"/>
      <c r="AO71" s="1248" t="str">
        <f>IF(X71="Other (describe in Notes)","Describe Facility.                                                                                                                        ","")</f>
        <v/>
      </c>
      <c r="AP71" s="1624"/>
      <c r="AQ71" s="1624" t="b">
        <f>IF(AND(C71="",C73&lt;&gt;""),TRUE,FALSE)</f>
        <v>0</v>
      </c>
      <c r="AR71" s="1624" t="str">
        <f>IF(AND(J71&lt;&gt;"",L71&lt;&gt;"",N71&lt;&gt;"",P71&lt;&gt;"",R71="",T71=""),"Y",IF(AND(J71="",L71="",N71="",P71="",R71&lt;&gt;"",T71&lt;&gt;""),"Y",IF(AND(J71&lt;&gt;"",L71&lt;&gt;"",N71&lt;&gt;"",P71&lt;&gt;"",R71&lt;&gt;"",T71&lt;&gt;""),"Y",IF(AND(J71="",L71="",N71="",P71="",R71="",T71=""),"N/A","N"))))</f>
        <v>N/A</v>
      </c>
      <c r="AS71" s="1624" t="str">
        <f ca="1">IF(AND($C71&lt;&gt;"",OR(AR71="N",$V71="",$X71="",$Z71="",$AB71="",$AF71="",$AH71="",$AL71="",AD71="")),"N",IF(AND($C71="",OR(H71&lt;&gt;"",AR71="N",$V71&lt;&gt;"",$X71&lt;&gt;"",$Z71&lt;&gt;"",$AB71&lt;&gt;"",$AF71&lt;&gt;"",$AH71&lt;&gt;"",$AL71&lt;&gt;"",AD71&lt;&gt;"")),"N",IF(AND(H71="",$C71="",AR71="N/A",$V71="",$X71="",$Z71="",$AB71="",$AF71="",$AH71="",$AL71="",AD71=""),"N/A",IF(AND($C71&lt;&gt;"",AR71="Y",$V71&lt;&gt;"",$X71&lt;&gt;"",$Z71&lt;&gt;"",$AB71&lt;&gt;"",$AF71&lt;&gt;"",$AH71&lt;&gt;"",$AL71&lt;&gt;"",AD71&lt;&gt;""),"Y","N"))))</f>
        <v>N/A</v>
      </c>
      <c r="AT71" s="1761" t="b">
        <f ca="1">IF(AND($C71="",OR($J71&lt;&gt;"",$L71&lt;&gt;"",$N71&lt;&gt;"",$P71&lt;&gt;"",$V71&lt;&gt;"",$X71&lt;&gt;"",$Z71&lt;&gt;"",$AB71&lt;&gt;"",$AF71&lt;&gt;"",$AH71&lt;&gt;"",$AL71&lt;&gt;"")),TRUE,FALSE)</f>
        <v>0</v>
      </c>
      <c r="AU71" s="1761" t="b">
        <f>IF(OR(R71&lt;&gt;"",T71&lt;&gt;""),"false",IF(AND($C71&lt;&gt;"",$J71=""),TRUE,FALSE))</f>
        <v>0</v>
      </c>
      <c r="AV71" s="1761" t="b">
        <f>IF(OR(R71&lt;&gt;"",T71&lt;&gt;""),FALSE,IF(AND($C71&lt;&gt;"",$L71=""),TRUE,FALSE))</f>
        <v>0</v>
      </c>
      <c r="AW71" s="1761" t="b">
        <f>IF(OR(R71&lt;&gt;"",T71&lt;&gt;""),FALSE,IF(AND($C71&lt;&gt;"",$N71=""),TRUE,FALSE))</f>
        <v>0</v>
      </c>
      <c r="AX71" s="1761" t="b">
        <f>IF(OR(R71&lt;&gt;"",T71&lt;&gt;""),FALSE,IF(AND($C71&lt;&gt;"",$P71=""),TRUE,FALSE))</f>
        <v>0</v>
      </c>
      <c r="AY71" s="1761"/>
      <c r="AZ71" s="1761" t="b">
        <f>IF(OR(J71&lt;&gt;"",L71&lt;&gt;"",N71&lt;&gt;"",P71&lt;&gt;""),FALSE,IF(AND(C71&lt;&gt;"",R71=""),TRUE,FALSE))</f>
        <v>0</v>
      </c>
      <c r="BA71" s="1761"/>
      <c r="BB71" s="1761" t="b">
        <f>IF(OR(J71&lt;&gt;"",L71&lt;&gt;"",N71&lt;&gt;"",P71&lt;&gt;""),FALSE,IF(AND(C71&lt;&gt;"",T71=""),TRUE,FALSE))</f>
        <v>0</v>
      </c>
      <c r="BC71" s="1761" t="b">
        <f>IF(AND($C71&lt;&gt;"",$V71=""),TRUE,FALSE)</f>
        <v>0</v>
      </c>
      <c r="BD71" s="1761" t="b">
        <f ca="1">IF(AND(X71="",OR(Z71&lt;&gt;"",AB71&lt;&gt;"",AF71&lt;&gt;"",AH71&lt;&gt;"",AL71&lt;&gt;"",AD71&lt;&gt;"")),TRUE,FALSE)</f>
        <v>0</v>
      </c>
      <c r="BE71" s="1761" t="b">
        <f>IF(AND($C71&lt;&gt;"",$X71=""),TRUE,FALSE)</f>
        <v>0</v>
      </c>
      <c r="BF71" s="1761" t="b">
        <f>IF(Z71="",FALSE,IF(X71="",FALSE,IF(BG71=TRUE,FALSE,IF(OR(Z71&lt;BU71,Z71&gt;BaseYear),TRUE,FALSE))))</f>
        <v>0</v>
      </c>
      <c r="BG71" s="1761" t="b">
        <f>IF(AND($C71&lt;&gt;"",$Z71=""),TRUE,FALSE)</f>
        <v>0</v>
      </c>
      <c r="BH71" s="1761" t="b">
        <f>IF(AD71="",FALSE,IF(X71="",FALSE,IF(BJ71=TRUE,FALSE,IF(AB71&lt;BX71,TRUE,FALSE))))</f>
        <v>0</v>
      </c>
      <c r="BI71" s="1761" t="b">
        <f>IF(AD71="",FALSE,IF(X71="",FALSE,IF(BJ71=TRUE,FALSE,IF(AB71&gt;BY71,TRUE,FALSE))))</f>
        <v>0</v>
      </c>
      <c r="BJ71" s="1761" t="b">
        <f>IF(AND($C71&lt;&gt;"",$AB71=""),TRUE,FALSE)</f>
        <v>0</v>
      </c>
      <c r="BK71" s="1761" t="b">
        <f>IF(BL71=TRUE,FALSE,IF(OR(AF71&lt;0,AF71&gt;1),TRUE,FALSE))</f>
        <v>0</v>
      </c>
      <c r="BL71" s="1761" t="b">
        <f>IF(AND($C71&lt;&gt;"",$AF71=""),TRUE,FALSE)</f>
        <v>0</v>
      </c>
      <c r="BM71" s="1761"/>
      <c r="BN71" s="1761" t="b">
        <f ca="1">IF(AND($C71&lt;&gt;"",$AH71=""),TRUE,FALSE)</f>
        <v>0</v>
      </c>
      <c r="BO71" s="1761" t="b">
        <f>IF(AL71="",FALSE,IF(X71="",FALSE,IF(BP71=TRUE,FALSE,IF(OR(AL71&lt;1913,AL71&gt;BaseYear),TRUE,FALSE))))</f>
        <v>0</v>
      </c>
      <c r="BP71" s="1761" t="b">
        <f>IF(AND($C71&lt;&gt;"",$AL71=""),TRUE,FALSE)</f>
        <v>0</v>
      </c>
      <c r="BQ71" s="1761" t="b">
        <f>IF(AD71="Square Foot",FALSE,IF(AND(AD71="Parking Space",OR('A-20 PassFacInv'!X71=Valid!$B$7,'A-20 PassFacInv'!X71=Valid!$B$8,'A-20 PassFacInv'!X71=Valid!$B$9,'A-20 PassFacInv'!X71=Valid!$B$10,'A-20 PassFacInv'!X71=Valid!$B$12,'A-20 PassFacInv'!X71=Valid!$B$13,'A-20 PassFacInv'!X71=Valid!$B$14,'A-20 PassFacInv'!X71=Valid!$B$15,'A-20 PassFacInv'!X71=Valid!$B$16,'A-20 PassFacInv'!X71=Valid!$B$17,'A-20 PassFacInv'!X71=Valid!$B$18,X71=Valid!$B$19,X71=Valid!$B$20,X71=Valid!$B$21)),TRUE,FALSE))</f>
        <v>0</v>
      </c>
      <c r="BR71" s="1761" t="b">
        <f>IF(AND($C71&lt;&gt;"",$AD71=""),TRUE,FALSE)</f>
        <v>0</v>
      </c>
      <c r="BS71" s="721"/>
      <c r="BT71" s="1625" t="str">
        <f>IF($X71="","",VLOOKUP($X71,val_facilities,BT$3,FALSE))</f>
        <v/>
      </c>
      <c r="BU71" s="1627" t="str">
        <f>IF($X71="","",VLOOKUP($X71,val_facilities,BU$3,FALSE))</f>
        <v/>
      </c>
      <c r="BV71" s="1627" t="str">
        <f>IF($X71="","",VLOOKUP($X71,val_facilities,BV$3,FALSE))</f>
        <v/>
      </c>
      <c r="BW71" s="1627" t="str">
        <f ca="1">IFERROR(IF(Z71="", "", YEAR(TODAY())-Z71), "")</f>
        <v/>
      </c>
      <c r="BX71" s="845" t="str">
        <f>IF($X71="","",IF(AD71="Square Feet",VLOOKUP('A-20 PassFacInv'!X42,Valid!$B$7:$H$24,7,FALSE),IF(AD71="Parking Spaces",VLOOKUP(X71,Valid!$B$22:$L$24,11,FALSE))))</f>
        <v/>
      </c>
      <c r="BY71" s="845" t="str">
        <f>IF($X71="","",IF(AD71="Square Feet",VLOOKUP(X71,Valid!$B$7:$I$24,8,FALSE),IF('A-20 PassFacInv'!AD42="Parking Spaces",VLOOKUP('A-20 PassFacInv'!X42,Valid!$B$22:$M$24,12,FALSE))))</f>
        <v/>
      </c>
      <c r="BZ71" s="1229"/>
      <c r="CA71" s="721">
        <f t="shared" si="1"/>
        <v>0</v>
      </c>
      <c r="CB71" s="816"/>
    </row>
    <row r="72" spans="1:80" s="1739" customFormat="1" ht="6.75" customHeight="1" thickBot="1" x14ac:dyDescent="0.25">
      <c r="A72" s="1638"/>
      <c r="B72" s="1746">
        <v>30.5</v>
      </c>
      <c r="C72" s="1057"/>
      <c r="D72" s="1248"/>
      <c r="E72" s="1639"/>
      <c r="F72" s="1229"/>
      <c r="G72" s="1229"/>
      <c r="H72" s="1229"/>
      <c r="I72" s="1229"/>
      <c r="J72" s="1604"/>
      <c r="K72" s="1640"/>
      <c r="L72" s="1645"/>
      <c r="M72" s="1646"/>
      <c r="N72" s="1641"/>
      <c r="O72" s="1646"/>
      <c r="P72" s="1659"/>
      <c r="Q72" s="1248"/>
      <c r="R72" s="1660"/>
      <c r="S72" s="1640"/>
      <c r="T72" s="1660"/>
      <c r="U72" s="1640"/>
      <c r="V72" s="1057"/>
      <c r="W72" s="1618"/>
      <c r="X72" s="1747"/>
      <c r="Y72" s="1618"/>
      <c r="Z72" s="1623"/>
      <c r="AA72" s="1618"/>
      <c r="AB72" s="1944"/>
      <c r="AC72" s="1648"/>
      <c r="AD72" s="1661"/>
      <c r="AE72" s="734"/>
      <c r="AF72" s="1748"/>
      <c r="AG72" s="1275"/>
      <c r="AH72" s="722"/>
      <c r="AI72" s="1648"/>
      <c r="AJ72" s="733"/>
      <c r="AK72" s="1648"/>
      <c r="AL72" s="1721"/>
      <c r="AM72" s="1648"/>
      <c r="AN72" s="1057"/>
      <c r="AO72" s="1644"/>
      <c r="AP72" s="1644"/>
      <c r="AQ72" s="1644"/>
      <c r="AR72" s="1644"/>
      <c r="AS72" s="1644"/>
      <c r="AT72" s="1761"/>
      <c r="AU72" s="1761"/>
      <c r="AV72" s="1761"/>
      <c r="AW72" s="1761"/>
      <c r="AX72" s="1761"/>
      <c r="AY72" s="1761"/>
      <c r="AZ72" s="1761"/>
      <c r="BA72" s="1761"/>
      <c r="BB72" s="1761"/>
      <c r="BC72" s="1762"/>
      <c r="BD72" s="1762"/>
      <c r="BE72" s="1762"/>
      <c r="BF72" s="1762"/>
      <c r="BG72" s="1762"/>
      <c r="BH72" s="1762"/>
      <c r="BI72" s="1762"/>
      <c r="BJ72" s="1762"/>
      <c r="BK72" s="1762"/>
      <c r="BL72" s="1762"/>
      <c r="BM72" s="1762"/>
      <c r="BN72" s="1762"/>
      <c r="BO72" s="1762"/>
      <c r="BP72" s="1762"/>
      <c r="BQ72" s="1762"/>
      <c r="BR72" s="1762"/>
      <c r="BS72" s="1736"/>
      <c r="BT72" s="1738"/>
      <c r="BU72" s="1738"/>
      <c r="BV72" s="1738"/>
      <c r="BW72" s="1738"/>
      <c r="BX72" s="1738"/>
      <c r="BY72" s="1738"/>
      <c r="BZ72" s="1229"/>
      <c r="CA72" s="721">
        <f t="shared" si="1"/>
        <v>0</v>
      </c>
      <c r="CB72" s="816"/>
    </row>
    <row r="73" spans="1:80" s="1739" customFormat="1" x14ac:dyDescent="0.2">
      <c r="A73" s="840">
        <v>31</v>
      </c>
      <c r="B73" s="1746">
        <v>31</v>
      </c>
      <c r="C73" s="1740"/>
      <c r="D73" s="1248" t="str">
        <f>IF(C71="","",IF((C73=""),"Enter Facility "&amp;TEXT(A73,0)&amp;" Name, then Fill in Columns "&amp;TEXT($H$2,0)&amp;" - "&amp;TEXT($AL$2,0)&amp;"       ",""))</f>
        <v/>
      </c>
      <c r="E73" s="1245" t="str">
        <f ca="1">IF(AS73="N/A","",IF(AS73="N","No","Yes"))</f>
        <v/>
      </c>
      <c r="F73" s="758"/>
      <c r="G73" s="758"/>
      <c r="H73" s="1707"/>
      <c r="I73" s="758"/>
      <c r="J73" s="1653"/>
      <c r="K73" s="1248" t="str">
        <f ca="1">IF($E73&lt;&gt;"","Enter Street Address      ","")</f>
        <v/>
      </c>
      <c r="L73" s="1740"/>
      <c r="M73" s="1248" t="str">
        <f ca="1">IF($E73&lt;&gt;"","Enter City Name       ","")</f>
        <v/>
      </c>
      <c r="N73" s="1740"/>
      <c r="O73" s="1248" t="str">
        <f ca="1">IF($E73&lt;&gt;"","Select from Pull-Down List   ","")</f>
        <v/>
      </c>
      <c r="P73" s="1741"/>
      <c r="Q73" s="1248" t="str">
        <f ca="1">IF($E73&lt;&gt;"","Enter ZIP Code       ","")</f>
        <v/>
      </c>
      <c r="R73" s="1742"/>
      <c r="S73" s="1248" t="str">
        <f ca="1">IF(OR(N73&lt;&gt;"",P73&lt;&gt;"",J73&lt;&gt;"",L73&lt;&gt;""),"",IF($E73&lt;&gt;"","Enter Lat.      ",""))</f>
        <v/>
      </c>
      <c r="T73" s="1742"/>
      <c r="U73" s="1248" t="str">
        <f ca="1">IF(OR(N73&lt;&gt;"",P73&lt;&gt;"",J73&lt;&gt;"",L73&lt;&gt;""),"",IF($E73&lt;&gt;"","Enter Long.    ",""))</f>
        <v/>
      </c>
      <c r="V73" s="1653"/>
      <c r="W73" s="1618" t="str">
        <f ca="1">IF($E73&lt;&gt;"","Select from Pull-Down List  ","")</f>
        <v/>
      </c>
      <c r="X73" s="1653"/>
      <c r="Y73" s="1618" t="str">
        <f ca="1">IF($E73&lt;&gt;"","Select from Pull-Down List  ","")</f>
        <v/>
      </c>
      <c r="Z73" s="1743"/>
      <c r="AA73" s="1248" t="str">
        <f ca="1">IF(E73&lt;&gt;"","Year?   ","")</f>
        <v/>
      </c>
      <c r="AB73" s="1943"/>
      <c r="AC73" s="1620" t="str">
        <f ca="1">IF(E73="","",IF(X73="","Sq. Ft. or Spaces?   ",IF(OR(X73=Codes!$L$26,X73=Codes!$L$27,X73=Codes!$L$28),"Sq. Ft. or Spaces?   ",IF(OR(X73=Codes!$L$20,X73=Codes!$L$21,X73=Codes!$L$22,X73=Codes!$L$23,X73=Codes!$L$24,X73=Codes!$L$25),"Sq. Ft?     ",""))))</f>
        <v/>
      </c>
      <c r="AD73" s="1740"/>
      <c r="AE73" s="1618" t="str">
        <f ca="1">IF($E73&lt;&gt;"","Select from List     ","")</f>
        <v/>
      </c>
      <c r="AF73" s="1621"/>
      <c r="AG73" s="1618" t="str">
        <f ca="1">IF($E73&lt;&gt;"","% of Cap Resp.","")</f>
        <v/>
      </c>
      <c r="AH73" s="1801" t="str">
        <f ca="1">IF(BW73="", "", IF(BW73&gt;100, 1, VLOOKUP(BW73, Valid!$W$1:$AA$101, VLOOKUP(X73, Codes!$L$20:$N$28, 3, FALSE), FALSE)))</f>
        <v/>
      </c>
      <c r="AI73" s="1620" t="str">
        <f ca="1">IF($E73&lt;&gt;"","Estimated?  ","")</f>
        <v/>
      </c>
      <c r="AJ73" s="1654"/>
      <c r="AK73" s="1620" t="str">
        <f ca="1">IF($E73&lt;&gt;"","Estimated $?    ","")</f>
        <v/>
      </c>
      <c r="AL73" s="1730"/>
      <c r="AM73" s="1620" t="b">
        <f ca="1">IF(E73&lt;&gt;"","Est Date?    ")</f>
        <v>0</v>
      </c>
      <c r="AN73" s="1740"/>
      <c r="AO73" s="1248" t="str">
        <f>IF(X73="Other (describe in Notes)","Describe Facility.                                                                                                                        ","")</f>
        <v/>
      </c>
      <c r="AP73" s="1624"/>
      <c r="AQ73" s="1624" t="b">
        <f>IF(AND(C73="",C75&lt;&gt;""),TRUE,FALSE)</f>
        <v>0</v>
      </c>
      <c r="AR73" s="1624" t="str">
        <f>IF(AND(J73&lt;&gt;"",L73&lt;&gt;"",N73&lt;&gt;"",P73&lt;&gt;"",R73="",T73=""),"Y",IF(AND(J73="",L73="",N73="",P73="",R73&lt;&gt;"",T73&lt;&gt;""),"Y",IF(AND(J73&lt;&gt;"",L73&lt;&gt;"",N73&lt;&gt;"",P73&lt;&gt;"",R73&lt;&gt;"",T73&lt;&gt;""),"Y",IF(AND(J73="",L73="",N73="",P73="",R73="",T73=""),"N/A","N"))))</f>
        <v>N/A</v>
      </c>
      <c r="AS73" s="1624" t="str">
        <f ca="1">IF(AND($C73&lt;&gt;"",OR(AR73="N",$V73="",$X73="",$Z73="",$AB73="",$AF73="",$AH73="",$AL73="",AD73="")),"N",IF(AND($C73="",OR(H73&lt;&gt;"",AR73="N",$V73&lt;&gt;"",$X73&lt;&gt;"",$Z73&lt;&gt;"",$AB73&lt;&gt;"",$AF73&lt;&gt;"",$AH73&lt;&gt;"",$AL73&lt;&gt;"",AD73&lt;&gt;"")),"N",IF(AND(H73="",$C73="",AR73="N/A",$V73="",$X73="",$Z73="",$AB73="",$AF73="",$AH73="",$AL73="",AD73=""),"N/A",IF(AND($C73&lt;&gt;"",AR73="Y",$V73&lt;&gt;"",$X73&lt;&gt;"",$Z73&lt;&gt;"",$AB73&lt;&gt;"",$AF73&lt;&gt;"",$AH73&lt;&gt;"",$AL73&lt;&gt;"",AD73&lt;&gt;""),"Y","N"))))</f>
        <v>N/A</v>
      </c>
      <c r="AT73" s="1761" t="b">
        <f ca="1">IF(AND($C73="",OR($J73&lt;&gt;"",$L73&lt;&gt;"",$N73&lt;&gt;"",$P73&lt;&gt;"",$V73&lt;&gt;"",$X73&lt;&gt;"",$Z73&lt;&gt;"",$AB73&lt;&gt;"",$AF73&lt;&gt;"",$AH73&lt;&gt;"",$AL73&lt;&gt;"")),TRUE,FALSE)</f>
        <v>0</v>
      </c>
      <c r="AU73" s="1761" t="b">
        <f>IF(OR(R73&lt;&gt;"",T73&lt;&gt;""),"false",IF(AND($C73&lt;&gt;"",$J73=""),TRUE,FALSE))</f>
        <v>0</v>
      </c>
      <c r="AV73" s="1761" t="b">
        <f>IF(OR(R73&lt;&gt;"",T73&lt;&gt;""),FALSE,IF(AND($C73&lt;&gt;"",$L73=""),TRUE,FALSE))</f>
        <v>0</v>
      </c>
      <c r="AW73" s="1761" t="b">
        <f>IF(OR(R73&lt;&gt;"",T73&lt;&gt;""),FALSE,IF(AND($C73&lt;&gt;"",$N73=""),TRUE,FALSE))</f>
        <v>0</v>
      </c>
      <c r="AX73" s="1761" t="b">
        <f>IF(OR(R73&lt;&gt;"",T73&lt;&gt;""),FALSE,IF(AND($C73&lt;&gt;"",$P73=""),TRUE,FALSE))</f>
        <v>0</v>
      </c>
      <c r="AY73" s="1761"/>
      <c r="AZ73" s="1761" t="b">
        <f>IF(OR(J73&lt;&gt;"",L73&lt;&gt;"",N73&lt;&gt;"",P73&lt;&gt;""),FALSE,IF(AND(C73&lt;&gt;"",R73=""),TRUE,FALSE))</f>
        <v>0</v>
      </c>
      <c r="BA73" s="1761"/>
      <c r="BB73" s="1761" t="b">
        <f>IF(OR(J73&lt;&gt;"",L73&lt;&gt;"",N73&lt;&gt;"",P73&lt;&gt;""),FALSE,IF(AND(C73&lt;&gt;"",T73=""),TRUE,FALSE))</f>
        <v>0</v>
      </c>
      <c r="BC73" s="1761" t="b">
        <f>IF(AND($C73&lt;&gt;"",$V73=""),TRUE,FALSE)</f>
        <v>0</v>
      </c>
      <c r="BD73" s="1761" t="b">
        <f ca="1">IF(AND(X73="",OR(Z73&lt;&gt;"",AB73&lt;&gt;"",AF73&lt;&gt;"",AH73&lt;&gt;"",AL73&lt;&gt;"",AD73&lt;&gt;"")),TRUE,FALSE)</f>
        <v>0</v>
      </c>
      <c r="BE73" s="1761" t="b">
        <f>IF(AND($C73&lt;&gt;"",$X73=""),TRUE,FALSE)</f>
        <v>0</v>
      </c>
      <c r="BF73" s="1761" t="b">
        <f>IF(Z73="",FALSE,IF(X73="",FALSE,IF(BG73=TRUE,FALSE,IF(OR(Z73&lt;BU73,Z73&gt;BaseYear),TRUE,FALSE))))</f>
        <v>0</v>
      </c>
      <c r="BG73" s="1761" t="b">
        <f>IF(AND($C73&lt;&gt;"",$Z73=""),TRUE,FALSE)</f>
        <v>0</v>
      </c>
      <c r="BH73" s="1761" t="b">
        <f>IF(AD73="",FALSE,IF(X73="",FALSE,IF(BJ73=TRUE,FALSE,IF(AB73&lt;BX73,TRUE,FALSE))))</f>
        <v>0</v>
      </c>
      <c r="BI73" s="1761" t="b">
        <f>IF(AD73="",FALSE,IF(X73="",FALSE,IF(BJ73=TRUE,FALSE,IF(AB73&gt;BY73,TRUE,FALSE))))</f>
        <v>0</v>
      </c>
      <c r="BJ73" s="1761" t="b">
        <f>IF(AND($C73&lt;&gt;"",$AB73=""),TRUE,FALSE)</f>
        <v>0</v>
      </c>
      <c r="BK73" s="1761" t="b">
        <f>IF(BL73=TRUE,FALSE,IF(OR(AF73&lt;0,AF73&gt;1),TRUE,FALSE))</f>
        <v>0</v>
      </c>
      <c r="BL73" s="1761" t="b">
        <f>IF(AND($C73&lt;&gt;"",$AF73=""),TRUE,FALSE)</f>
        <v>0</v>
      </c>
      <c r="BM73" s="1761"/>
      <c r="BN73" s="1761" t="b">
        <f ca="1">IF(AND($C73&lt;&gt;"",$AH73=""),TRUE,FALSE)</f>
        <v>0</v>
      </c>
      <c r="BO73" s="1761" t="b">
        <f>IF(AL73="",FALSE,IF(X73="",FALSE,IF(BP73=TRUE,FALSE,IF(OR(AL73&lt;1913,AL73&gt;BaseYear),TRUE,FALSE))))</f>
        <v>0</v>
      </c>
      <c r="BP73" s="1761" t="b">
        <f>IF(AND($C73&lt;&gt;"",$AL73=""),TRUE,FALSE)</f>
        <v>0</v>
      </c>
      <c r="BQ73" s="1761" t="b">
        <f>IF(AD73="Square Foot",FALSE,IF(AND(AD73="Parking Space",OR('A-20 PassFacInv'!X73=Valid!$B$7,'A-20 PassFacInv'!X73=Valid!$B$8,'A-20 PassFacInv'!X73=Valid!$B$9,'A-20 PassFacInv'!X73=Valid!$B$10,'A-20 PassFacInv'!X73=Valid!$B$12,'A-20 PassFacInv'!X73=Valid!$B$13,'A-20 PassFacInv'!X73=Valid!$B$14,'A-20 PassFacInv'!X73=Valid!$B$15,'A-20 PassFacInv'!X73=Valid!$B$16,'A-20 PassFacInv'!X73=Valid!$B$17,'A-20 PassFacInv'!X73=Valid!$B$18,X73=Valid!$B$19,X73=Valid!$B$20,X73=Valid!$B$21)),TRUE,FALSE))</f>
        <v>0</v>
      </c>
      <c r="BR73" s="1761" t="b">
        <f>IF(AND($C73&lt;&gt;"",$AD73=""),TRUE,FALSE)</f>
        <v>0</v>
      </c>
      <c r="BS73" s="721"/>
      <c r="BT73" s="1625" t="str">
        <f>IF($X73="","",VLOOKUP($X73,val_facilities,BT$3,FALSE))</f>
        <v/>
      </c>
      <c r="BU73" s="1627" t="str">
        <f>IF($X73="","",VLOOKUP($X73,val_facilities,BU$3,FALSE))</f>
        <v/>
      </c>
      <c r="BV73" s="1627" t="str">
        <f>IF($X73="","",VLOOKUP($X73,val_facilities,BV$3,FALSE))</f>
        <v/>
      </c>
      <c r="BW73" s="1627" t="str">
        <f ca="1">IFERROR(IF(Z73="", "", YEAR(TODAY())-Z73), "")</f>
        <v/>
      </c>
      <c r="BX73" s="845" t="str">
        <f>IF($X73="","",IF(AD73="Square Feet",VLOOKUP('A-20 PassFacInv'!X43,Valid!$B$7:$H$24,7,FALSE),IF(AD73="Parking Spaces",VLOOKUP(X73,Valid!$B$22:$L$24,11,FALSE))))</f>
        <v/>
      </c>
      <c r="BY73" s="845" t="str">
        <f>IF($X73="","",IF(AD73="Square Feet",VLOOKUP(X73,Valid!$B$7:$I$24,8,FALSE),IF('A-20 PassFacInv'!AD43="Parking Spaces",VLOOKUP('A-20 PassFacInv'!X43,Valid!$B$22:$M$24,12,FALSE))))</f>
        <v/>
      </c>
      <c r="BZ73" s="1229"/>
      <c r="CA73" s="721">
        <f t="shared" si="1"/>
        <v>0</v>
      </c>
      <c r="CB73" s="816"/>
    </row>
    <row r="74" spans="1:80" s="1739" customFormat="1" ht="6.75" customHeight="1" thickBot="1" x14ac:dyDescent="0.25">
      <c r="A74" s="1638"/>
      <c r="B74" s="1746">
        <v>31.5</v>
      </c>
      <c r="C74" s="1223"/>
      <c r="D74" s="1248"/>
      <c r="E74" s="721"/>
      <c r="F74" s="758"/>
      <c r="G74" s="758"/>
      <c r="H74" s="758"/>
      <c r="I74" s="758"/>
      <c r="J74" s="1744"/>
      <c r="K74" s="1248"/>
      <c r="L74" s="1745"/>
      <c r="M74" s="1248"/>
      <c r="N74" s="1745"/>
      <c r="O74" s="1248"/>
      <c r="P74" s="1659"/>
      <c r="Q74" s="1248"/>
      <c r="R74" s="1656"/>
      <c r="S74" s="1248"/>
      <c r="T74" s="1656"/>
      <c r="U74" s="1248"/>
      <c r="V74" s="1223"/>
      <c r="W74" s="1618"/>
      <c r="X74" s="1737"/>
      <c r="Y74" s="1618"/>
      <c r="Z74" s="1623"/>
      <c r="AA74" s="1618"/>
      <c r="AB74" s="1944"/>
      <c r="AC74" s="1632"/>
      <c r="AD74" s="1394"/>
      <c r="AE74" s="823"/>
      <c r="AF74" s="822"/>
      <c r="AG74" s="1632"/>
      <c r="AH74" s="1631"/>
      <c r="AI74" s="1632"/>
      <c r="AJ74" s="1631"/>
      <c r="AK74" s="1632"/>
      <c r="AL74" s="1719"/>
      <c r="AM74" s="1632"/>
      <c r="AN74" s="721"/>
      <c r="AO74" s="758"/>
      <c r="AP74" s="758"/>
      <c r="AQ74" s="758"/>
      <c r="AR74" s="758"/>
      <c r="AS74" s="758"/>
      <c r="AT74" s="1761"/>
      <c r="AU74" s="1761"/>
      <c r="AV74" s="1761"/>
      <c r="AW74" s="1761"/>
      <c r="AX74" s="1761"/>
      <c r="AY74" s="1761"/>
      <c r="AZ74" s="1761"/>
      <c r="BA74" s="1761"/>
      <c r="BB74" s="1761"/>
      <c r="BC74" s="1761"/>
      <c r="BD74" s="1761"/>
      <c r="BE74" s="1761"/>
      <c r="BF74" s="1761"/>
      <c r="BG74" s="1761"/>
      <c r="BH74" s="1761"/>
      <c r="BI74" s="1761"/>
      <c r="BJ74" s="1761"/>
      <c r="BK74" s="1761"/>
      <c r="BL74" s="1761"/>
      <c r="BM74" s="1761"/>
      <c r="BN74" s="1761"/>
      <c r="BO74" s="1761"/>
      <c r="BP74" s="1761"/>
      <c r="BQ74" s="1761"/>
      <c r="BR74" s="1761"/>
      <c r="BS74" s="721"/>
      <c r="BT74" s="1626"/>
      <c r="BU74" s="1626"/>
      <c r="BV74" s="1626"/>
      <c r="BW74" s="1626"/>
      <c r="BX74" s="1626"/>
      <c r="BY74" s="1626"/>
      <c r="BZ74" s="1229"/>
      <c r="CA74" s="721">
        <f t="shared" si="1"/>
        <v>0</v>
      </c>
      <c r="CB74" s="721"/>
    </row>
    <row r="75" spans="1:80" s="1739" customFormat="1" x14ac:dyDescent="0.2">
      <c r="A75" s="840">
        <v>32</v>
      </c>
      <c r="B75" s="1746">
        <v>32</v>
      </c>
      <c r="C75" s="1740"/>
      <c r="D75" s="1248" t="str">
        <f>IF(C73="","",IF((C75=""),"Enter Facility "&amp;TEXT(A75,0)&amp;" Name, then Fill in Columns "&amp;TEXT($H$2,0)&amp;" - "&amp;TEXT($AL$2,0)&amp;"       ",""))</f>
        <v/>
      </c>
      <c r="E75" s="1245" t="str">
        <f ca="1">IF(AS75="N/A","",IF(AS75="N","No","Yes"))</f>
        <v/>
      </c>
      <c r="F75" s="758"/>
      <c r="G75" s="758"/>
      <c r="H75" s="1707"/>
      <c r="I75" s="758"/>
      <c r="J75" s="1653"/>
      <c r="K75" s="1248" t="str">
        <f ca="1">IF($E75&lt;&gt;"","Enter Street Address      ","")</f>
        <v/>
      </c>
      <c r="L75" s="1740"/>
      <c r="M75" s="1248" t="str">
        <f ca="1">IF($E75&lt;&gt;"","Enter City Name       ","")</f>
        <v/>
      </c>
      <c r="N75" s="1740"/>
      <c r="O75" s="1248" t="str">
        <f ca="1">IF($E75&lt;&gt;"","Select from Pull-Down List   ","")</f>
        <v/>
      </c>
      <c r="P75" s="1741"/>
      <c r="Q75" s="1248" t="str">
        <f ca="1">IF($E75&lt;&gt;"","Enter ZIP Code       ","")</f>
        <v/>
      </c>
      <c r="R75" s="1742"/>
      <c r="S75" s="1248" t="str">
        <f ca="1">IF(OR(N75&lt;&gt;"",P75&lt;&gt;"",J75&lt;&gt;"",L75&lt;&gt;""),"",IF($E75&lt;&gt;"","Enter Lat.      ",""))</f>
        <v/>
      </c>
      <c r="T75" s="1742"/>
      <c r="U75" s="1248" t="str">
        <f ca="1">IF(OR(N75&lt;&gt;"",P75&lt;&gt;"",J75&lt;&gt;"",L75&lt;&gt;""),"",IF($E75&lt;&gt;"","Enter Long.    ",""))</f>
        <v/>
      </c>
      <c r="V75" s="1653"/>
      <c r="W75" s="1618" t="str">
        <f ca="1">IF($E75&lt;&gt;"","Select from Pull-Down List  ","")</f>
        <v/>
      </c>
      <c r="X75" s="1653"/>
      <c r="Y75" s="1618" t="str">
        <f ca="1">IF($E75&lt;&gt;"","Select from Pull-Down List  ","")</f>
        <v/>
      </c>
      <c r="Z75" s="1743"/>
      <c r="AA75" s="1248" t="str">
        <f ca="1">IF(E75&lt;&gt;"","Year?   ","")</f>
        <v/>
      </c>
      <c r="AB75" s="1943"/>
      <c r="AC75" s="1620" t="str">
        <f ca="1">IF(E75="","",IF(X75="","Sq. Ft. or Spaces?   ",IF(OR(X75=Codes!$L$26,X75=Codes!$L$27,X75=Codes!$L$28),"Sq. Ft. or Spaces?   ",IF(OR(X75=Codes!$L$20,X75=Codes!$L$21,X75=Codes!$L$22,X75=Codes!$L$23,X75=Codes!$L$24,X75=Codes!$L$25),"Sq. Ft?     ",""))))</f>
        <v/>
      </c>
      <c r="AD75" s="1740"/>
      <c r="AE75" s="1618" t="str">
        <f ca="1">IF($E75&lt;&gt;"","Select from List     ","")</f>
        <v/>
      </c>
      <c r="AF75" s="1621"/>
      <c r="AG75" s="1618" t="str">
        <f ca="1">IF($E75&lt;&gt;"","% of Cap Resp.","")</f>
        <v/>
      </c>
      <c r="AH75" s="1801" t="str">
        <f ca="1">IF(BW75="", "", IF(BW75&gt;100, 1, VLOOKUP(BW75, Valid!$W$1:$AA$101, VLOOKUP(X75, Codes!$L$20:$N$28, 3, FALSE), FALSE)))</f>
        <v/>
      </c>
      <c r="AI75" s="1620" t="str">
        <f ca="1">IF($E75&lt;&gt;"","Estimated?  ","")</f>
        <v/>
      </c>
      <c r="AJ75" s="1654"/>
      <c r="AK75" s="1620" t="str">
        <f ca="1">IF($E75&lt;&gt;"","Estimated $?    ","")</f>
        <v/>
      </c>
      <c r="AL75" s="1730"/>
      <c r="AM75" s="1620" t="b">
        <f ca="1">IF(E75&lt;&gt;"","Est Date?    ")</f>
        <v>0</v>
      </c>
      <c r="AN75" s="1740"/>
      <c r="AO75" s="1248" t="str">
        <f>IF(X75="Other (describe in Notes)","Describe Facility.                                                                                                                        ","")</f>
        <v/>
      </c>
      <c r="AP75" s="1624"/>
      <c r="AQ75" s="1624" t="b">
        <f>IF(AND(C75="",C77&lt;&gt;""),TRUE,FALSE)</f>
        <v>0</v>
      </c>
      <c r="AR75" s="1624" t="str">
        <f>IF(AND(J75&lt;&gt;"",L75&lt;&gt;"",N75&lt;&gt;"",P75&lt;&gt;"",R75="",T75=""),"Y",IF(AND(J75="",L75="",N75="",P75="",R75&lt;&gt;"",T75&lt;&gt;""),"Y",IF(AND(J75&lt;&gt;"",L75&lt;&gt;"",N75&lt;&gt;"",P75&lt;&gt;"",R75&lt;&gt;"",T75&lt;&gt;""),"Y",IF(AND(J75="",L75="",N75="",P75="",R75="",T75=""),"N/A","N"))))</f>
        <v>N/A</v>
      </c>
      <c r="AS75" s="1624" t="str">
        <f ca="1">IF(AND($C75&lt;&gt;"",OR(AR75="N",$V75="",$X75="",$Z75="",$AB75="",$AF75="",$AH75="",$AL75="",AD75="")),"N",IF(AND($C75="",OR(H75&lt;&gt;"",AR75="N",$V75&lt;&gt;"",$X75&lt;&gt;"",$Z75&lt;&gt;"",$AB75&lt;&gt;"",$AF75&lt;&gt;"",$AH75&lt;&gt;"",$AL75&lt;&gt;"",AD75&lt;&gt;"")),"N",IF(AND(H75="",$C75="",AR75="N/A",$V75="",$X75="",$Z75="",$AB75="",$AF75="",$AH75="",$AL75="",AD75=""),"N/A",IF(AND($C75&lt;&gt;"",AR75="Y",$V75&lt;&gt;"",$X75&lt;&gt;"",$Z75&lt;&gt;"",$AB75&lt;&gt;"",$AF75&lt;&gt;"",$AH75&lt;&gt;"",$AL75&lt;&gt;"",AD75&lt;&gt;""),"Y","N"))))</f>
        <v>N/A</v>
      </c>
      <c r="AT75" s="1761" t="b">
        <f ca="1">IF(AND($C75="",OR($J75&lt;&gt;"",$L75&lt;&gt;"",$N75&lt;&gt;"",$P75&lt;&gt;"",$V75&lt;&gt;"",$X75&lt;&gt;"",$Z75&lt;&gt;"",$AB75&lt;&gt;"",$AF75&lt;&gt;"",$AH75&lt;&gt;"",$AL75&lt;&gt;"")),TRUE,FALSE)</f>
        <v>0</v>
      </c>
      <c r="AU75" s="1761" t="b">
        <f>IF(OR(R75&lt;&gt;"",T75&lt;&gt;""),"false",IF(AND($C75&lt;&gt;"",$J75=""),TRUE,FALSE))</f>
        <v>0</v>
      </c>
      <c r="AV75" s="1761" t="b">
        <f>IF(OR(R75&lt;&gt;"",T75&lt;&gt;""),FALSE,IF(AND($C75&lt;&gt;"",$L75=""),TRUE,FALSE))</f>
        <v>0</v>
      </c>
      <c r="AW75" s="1761" t="b">
        <f>IF(OR(R75&lt;&gt;"",T75&lt;&gt;""),FALSE,IF(AND($C75&lt;&gt;"",$N75=""),TRUE,FALSE))</f>
        <v>0</v>
      </c>
      <c r="AX75" s="1761" t="b">
        <f>IF(OR(R75&lt;&gt;"",T75&lt;&gt;""),FALSE,IF(AND($C75&lt;&gt;"",$P75=""),TRUE,FALSE))</f>
        <v>0</v>
      </c>
      <c r="AY75" s="1761"/>
      <c r="AZ75" s="1761" t="b">
        <f>IF(OR(J75&lt;&gt;"",L75&lt;&gt;"",N75&lt;&gt;"",P75&lt;&gt;""),FALSE,IF(AND(C75&lt;&gt;"",R75=""),TRUE,FALSE))</f>
        <v>0</v>
      </c>
      <c r="BA75" s="1761"/>
      <c r="BB75" s="1761" t="b">
        <f>IF(OR(J75&lt;&gt;"",L75&lt;&gt;"",N75&lt;&gt;"",P75&lt;&gt;""),FALSE,IF(AND(C75&lt;&gt;"",T75=""),TRUE,FALSE))</f>
        <v>0</v>
      </c>
      <c r="BC75" s="1761" t="b">
        <f>IF(AND($C75&lt;&gt;"",$V75=""),TRUE,FALSE)</f>
        <v>0</v>
      </c>
      <c r="BD75" s="1761" t="b">
        <f ca="1">IF(AND(X75="",OR(Z75&lt;&gt;"",AB75&lt;&gt;"",AF75&lt;&gt;"",AH75&lt;&gt;"",AL75&lt;&gt;"",AD75&lt;&gt;"")),TRUE,FALSE)</f>
        <v>0</v>
      </c>
      <c r="BE75" s="1761" t="b">
        <f>IF(AND($C75&lt;&gt;"",$X75=""),TRUE,FALSE)</f>
        <v>0</v>
      </c>
      <c r="BF75" s="1761" t="b">
        <f>IF(Z75="",FALSE,IF(X75="",FALSE,IF(BG75=TRUE,FALSE,IF(OR(Z75&lt;BU75,Z75&gt;BaseYear),TRUE,FALSE))))</f>
        <v>0</v>
      </c>
      <c r="BG75" s="1761" t="b">
        <f>IF(AND($C75&lt;&gt;"",$Z75=""),TRUE,FALSE)</f>
        <v>0</v>
      </c>
      <c r="BH75" s="1761" t="b">
        <f>IF(AD75="",FALSE,IF(X75="",FALSE,IF(BJ75=TRUE,FALSE,IF(AB75&lt;BX75,TRUE,FALSE))))</f>
        <v>0</v>
      </c>
      <c r="BI75" s="1761" t="b">
        <f>IF(AD75="",FALSE,IF(X75="",FALSE,IF(BJ75=TRUE,FALSE,IF(AB75&gt;BY75,TRUE,FALSE))))</f>
        <v>0</v>
      </c>
      <c r="BJ75" s="1761" t="b">
        <f>IF(AND($C75&lt;&gt;"",$AB75=""),TRUE,FALSE)</f>
        <v>0</v>
      </c>
      <c r="BK75" s="1761" t="b">
        <f>IF(BL75=TRUE,FALSE,IF(OR(AF75&lt;0,AF75&gt;1),TRUE,FALSE))</f>
        <v>0</v>
      </c>
      <c r="BL75" s="1761" t="b">
        <f>IF(AND($C75&lt;&gt;"",$AF75=""),TRUE,FALSE)</f>
        <v>0</v>
      </c>
      <c r="BM75" s="1761"/>
      <c r="BN75" s="1761" t="b">
        <f ca="1">IF(AND($C75&lt;&gt;"",$AH75=""),TRUE,FALSE)</f>
        <v>0</v>
      </c>
      <c r="BO75" s="1761" t="b">
        <f>IF(AL75="",FALSE,IF(X75="",FALSE,IF(BP75=TRUE,FALSE,IF(OR(AL75&lt;1913,AL75&gt;BaseYear),TRUE,FALSE))))</f>
        <v>0</v>
      </c>
      <c r="BP75" s="1761" t="b">
        <f>IF(AND($C75&lt;&gt;"",$AL75=""),TRUE,FALSE)</f>
        <v>0</v>
      </c>
      <c r="BQ75" s="1761" t="b">
        <f>IF(AD75="Square Foot",FALSE,IF(AND(AD75="Parking Space",OR('A-20 PassFacInv'!X75=Valid!$B$7,'A-20 PassFacInv'!X75=Valid!$B$8,'A-20 PassFacInv'!X75=Valid!$B$9,'A-20 PassFacInv'!X75=Valid!$B$10,'A-20 PassFacInv'!X75=Valid!$B$12,'A-20 PassFacInv'!X75=Valid!$B$13,'A-20 PassFacInv'!X75=Valid!$B$14,'A-20 PassFacInv'!X75=Valid!$B$15,'A-20 PassFacInv'!X75=Valid!$B$16,'A-20 PassFacInv'!X75=Valid!$B$17,'A-20 PassFacInv'!X75=Valid!$B$18,X75=Valid!$B$19,X75=Valid!$B$20,X75=Valid!$B$21)),TRUE,FALSE))</f>
        <v>0</v>
      </c>
      <c r="BR75" s="1761" t="b">
        <f>IF(AND($C75&lt;&gt;"",$AD75=""),TRUE,FALSE)</f>
        <v>0</v>
      </c>
      <c r="BS75" s="721"/>
      <c r="BT75" s="1625" t="str">
        <f>IF($X75="","",VLOOKUP($X75,val_facilities,BT$3,FALSE))</f>
        <v/>
      </c>
      <c r="BU75" s="1627" t="str">
        <f>IF($X75="","",VLOOKUP($X75,val_facilities,BU$3,FALSE))</f>
        <v/>
      </c>
      <c r="BV75" s="1627" t="str">
        <f>IF($X75="","",VLOOKUP($X75,val_facilities,BV$3,FALSE))</f>
        <v/>
      </c>
      <c r="BW75" s="1627" t="str">
        <f ca="1">IFERROR(IF(Z75="", "", YEAR(TODAY())-Z75), "")</f>
        <v/>
      </c>
      <c r="BX75" s="845" t="str">
        <f>IF($X75="","",IF(AD75="Square Feet",VLOOKUP('A-20 PassFacInv'!X44,Valid!$B$7:$H$24,7,FALSE),IF(AD75="Parking Spaces",VLOOKUP(X75,Valid!$B$22:$L$24,11,FALSE))))</f>
        <v/>
      </c>
      <c r="BY75" s="845" t="str">
        <f>IF($X75="","",IF(AD75="Square Feet",VLOOKUP(X75,Valid!$B$7:$I$24,8,FALSE),IF('A-20 PassFacInv'!AD44="Parking Spaces",VLOOKUP('A-20 PassFacInv'!X44,Valid!$B$22:$M$24,12,FALSE))))</f>
        <v/>
      </c>
      <c r="BZ75" s="1229"/>
      <c r="CA75" s="721">
        <f t="shared" si="1"/>
        <v>0</v>
      </c>
      <c r="CB75" s="816"/>
    </row>
    <row r="76" spans="1:80" s="1739" customFormat="1" ht="6.75" customHeight="1" thickBot="1" x14ac:dyDescent="0.25">
      <c r="A76" s="1638"/>
      <c r="B76" s="1746">
        <v>32.5</v>
      </c>
      <c r="C76" s="721"/>
      <c r="D76" s="1248"/>
      <c r="E76" s="816"/>
      <c r="F76" s="758"/>
      <c r="G76" s="758"/>
      <c r="H76" s="758"/>
      <c r="I76" s="758"/>
      <c r="J76" s="1633"/>
      <c r="K76" s="1248"/>
      <c r="L76" s="1634"/>
      <c r="M76" s="1248"/>
      <c r="N76" s="1634"/>
      <c r="O76" s="1248"/>
      <c r="P76" s="1657"/>
      <c r="Q76" s="1248"/>
      <c r="R76" s="1656"/>
      <c r="S76" s="1248"/>
      <c r="T76" s="1656"/>
      <c r="U76" s="1248"/>
      <c r="V76" s="1059"/>
      <c r="W76" s="1618"/>
      <c r="X76" s="764"/>
      <c r="Y76" s="1618"/>
      <c r="Z76" s="1623"/>
      <c r="AA76" s="1618"/>
      <c r="AB76" s="1944"/>
      <c r="AC76" s="723"/>
      <c r="AD76" s="1658"/>
      <c r="AE76" s="724"/>
      <c r="AF76" s="724"/>
      <c r="AG76" s="723"/>
      <c r="AH76" s="722"/>
      <c r="AI76" s="723"/>
      <c r="AJ76" s="722"/>
      <c r="AK76" s="723"/>
      <c r="AL76" s="1717"/>
      <c r="AM76" s="723"/>
      <c r="AN76" s="1637"/>
      <c r="AO76" s="1624"/>
      <c r="AP76" s="1624"/>
      <c r="AQ76" s="1624"/>
      <c r="AR76" s="1624"/>
      <c r="AS76" s="1624"/>
      <c r="AT76" s="1761"/>
      <c r="AU76" s="1761"/>
      <c r="AV76" s="1761"/>
      <c r="AW76" s="1761"/>
      <c r="AX76" s="1761"/>
      <c r="AY76" s="1761"/>
      <c r="AZ76" s="1761"/>
      <c r="BA76" s="1761"/>
      <c r="BB76" s="1761"/>
      <c r="BC76" s="1761"/>
      <c r="BD76" s="1761"/>
      <c r="BE76" s="1761"/>
      <c r="BF76" s="1761"/>
      <c r="BG76" s="1761"/>
      <c r="BH76" s="1761"/>
      <c r="BI76" s="1761"/>
      <c r="BJ76" s="1761"/>
      <c r="BK76" s="1761"/>
      <c r="BL76" s="1761"/>
      <c r="BM76" s="1761"/>
      <c r="BN76" s="1761"/>
      <c r="BO76" s="1761"/>
      <c r="BP76" s="1761"/>
      <c r="BQ76" s="1761"/>
      <c r="BR76" s="1761"/>
      <c r="BS76" s="721"/>
      <c r="BT76" s="1626"/>
      <c r="BU76" s="1626"/>
      <c r="BV76" s="1626"/>
      <c r="BW76" s="1626"/>
      <c r="BX76" s="1626"/>
      <c r="BY76" s="1626"/>
      <c r="BZ76" s="1229"/>
      <c r="CA76" s="721">
        <f t="shared" si="1"/>
        <v>0</v>
      </c>
      <c r="CB76" s="816"/>
    </row>
    <row r="77" spans="1:80" s="1739" customFormat="1" x14ac:dyDescent="0.2">
      <c r="A77" s="840">
        <v>33</v>
      </c>
      <c r="B77" s="1731">
        <v>33</v>
      </c>
      <c r="C77" s="1740"/>
      <c r="D77" s="1248" t="str">
        <f>IF(C75="","",IF((C77=""),"Enter Facility "&amp;TEXT(A77,0)&amp;" Name, then Fill in Columns "&amp;TEXT($H$2,0)&amp;" - "&amp;TEXT($AL$2,0)&amp;"       ",""))</f>
        <v/>
      </c>
      <c r="E77" s="1245" t="str">
        <f ca="1">IF(AS77="N/A","",IF(AS77="N","No","Yes"))</f>
        <v/>
      </c>
      <c r="F77" s="758"/>
      <c r="G77" s="758"/>
      <c r="H77" s="1707"/>
      <c r="I77" s="758"/>
      <c r="J77" s="1653"/>
      <c r="K77" s="1248" t="str">
        <f ca="1">IF($E77&lt;&gt;"","Enter Street Address      ","")</f>
        <v/>
      </c>
      <c r="L77" s="1740"/>
      <c r="M77" s="1248" t="str">
        <f ca="1">IF($E77&lt;&gt;"","Enter City Name       ","")</f>
        <v/>
      </c>
      <c r="N77" s="1740"/>
      <c r="O77" s="1248" t="str">
        <f ca="1">IF($E77&lt;&gt;"","Select from Pull-Down List   ","")</f>
        <v/>
      </c>
      <c r="P77" s="1741"/>
      <c r="Q77" s="1248" t="str">
        <f ca="1">IF($E77&lt;&gt;"","Enter ZIP Code       ","")</f>
        <v/>
      </c>
      <c r="R77" s="1742"/>
      <c r="S77" s="1248" t="str">
        <f ca="1">IF(OR(N77&lt;&gt;"",P77&lt;&gt;"",J77&lt;&gt;"",L77&lt;&gt;""),"",IF($E77&lt;&gt;"","Enter Lat.      ",""))</f>
        <v/>
      </c>
      <c r="T77" s="1742"/>
      <c r="U77" s="1248" t="str">
        <f ca="1">IF(OR(N77&lt;&gt;"",P77&lt;&gt;"",J77&lt;&gt;"",L77&lt;&gt;""),"",IF($E77&lt;&gt;"","Enter Long.    ",""))</f>
        <v/>
      </c>
      <c r="V77" s="1653"/>
      <c r="W77" s="1618" t="str">
        <f ca="1">IF($E77&lt;&gt;"","Select from Pull-Down List  ","")</f>
        <v/>
      </c>
      <c r="X77" s="1653"/>
      <c r="Y77" s="1618" t="str">
        <f ca="1">IF($E77&lt;&gt;"","Select from Pull-Down List  ","")</f>
        <v/>
      </c>
      <c r="Z77" s="1743"/>
      <c r="AA77" s="1248" t="str">
        <f ca="1">IF(E77&lt;&gt;"","Year?   ","")</f>
        <v/>
      </c>
      <c r="AB77" s="1943"/>
      <c r="AC77" s="1620" t="str">
        <f ca="1">IF(E77="","",IF(X77="","Sq. Ft. or Spaces?   ",IF(OR(X77=Codes!$L$26,X77=Codes!$L$27,X77=Codes!$L$28),"Sq. Ft. or Spaces?   ",IF(OR(X77=Codes!$L$20,X77=Codes!$L$21,X77=Codes!$L$22,X77=Codes!$L$23,X77=Codes!$L$24,X77=Codes!$L$25),"Sq. Ft?     ",""))))</f>
        <v/>
      </c>
      <c r="AD77" s="1740"/>
      <c r="AE77" s="1618" t="str">
        <f ca="1">IF($E77&lt;&gt;"","Select from List     ","")</f>
        <v/>
      </c>
      <c r="AF77" s="1621"/>
      <c r="AG77" s="1618" t="str">
        <f ca="1">IF($E77&lt;&gt;"","% of Cap Resp.","")</f>
        <v/>
      </c>
      <c r="AH77" s="1801" t="str">
        <f ca="1">IF(BW77="", "", IF(BW77&gt;100, 1, VLOOKUP(BW77, Valid!$W$1:$AA$101, VLOOKUP(X77, Codes!$L$20:$N$28, 3, FALSE), FALSE)))</f>
        <v/>
      </c>
      <c r="AI77" s="1620" t="str">
        <f ca="1">IF($E77&lt;&gt;"","Estimated?  ","")</f>
        <v/>
      </c>
      <c r="AJ77" s="1654"/>
      <c r="AK77" s="1620" t="str">
        <f ca="1">IF($E77&lt;&gt;"","Estimated $?    ","")</f>
        <v/>
      </c>
      <c r="AL77" s="1730"/>
      <c r="AM77" s="1620" t="b">
        <f ca="1">IF(E77&lt;&gt;"","Est Date?    ")</f>
        <v>0</v>
      </c>
      <c r="AN77" s="1740"/>
      <c r="AO77" s="1248" t="str">
        <f>IF(X77="Other (describe in Notes)","Describe Facility.                                                                                                                        ","")</f>
        <v/>
      </c>
      <c r="AP77" s="1624"/>
      <c r="AQ77" s="1624" t="b">
        <f>IF(AND(C77="",C79&lt;&gt;""),TRUE,FALSE)</f>
        <v>0</v>
      </c>
      <c r="AR77" s="1624" t="str">
        <f>IF(AND(J77&lt;&gt;"",L77&lt;&gt;"",N77&lt;&gt;"",P77&lt;&gt;"",R77="",T77=""),"Y",IF(AND(J77="",L77="",N77="",P77="",R77&lt;&gt;"",T77&lt;&gt;""),"Y",IF(AND(J77&lt;&gt;"",L77&lt;&gt;"",N77&lt;&gt;"",P77&lt;&gt;"",R77&lt;&gt;"",T77&lt;&gt;""),"Y",IF(AND(J77="",L77="",N77="",P77="",R77="",T77=""),"N/A","N"))))</f>
        <v>N/A</v>
      </c>
      <c r="AS77" s="1624" t="str">
        <f ca="1">IF(AND($C77&lt;&gt;"",OR(AR77="N",$V77="",$X77="",$Z77="",$AB77="",$AF77="",$AH77="",$AL77="",AD77="")),"N",IF(AND($C77="",OR(H77&lt;&gt;"",AR77="N",$V77&lt;&gt;"",$X77&lt;&gt;"",$Z77&lt;&gt;"",$AB77&lt;&gt;"",$AF77&lt;&gt;"",$AH77&lt;&gt;"",$AL77&lt;&gt;"",AD77&lt;&gt;"")),"N",IF(AND(H77="",$C77="",AR77="N/A",$V77="",$X77="",$Z77="",$AB77="",$AF77="",$AH77="",$AL77="",AD77=""),"N/A",IF(AND($C77&lt;&gt;"",AR77="Y",$V77&lt;&gt;"",$X77&lt;&gt;"",$Z77&lt;&gt;"",$AB77&lt;&gt;"",$AF77&lt;&gt;"",$AH77&lt;&gt;"",$AL77&lt;&gt;"",AD77&lt;&gt;""),"Y","N"))))</f>
        <v>N/A</v>
      </c>
      <c r="AT77" s="1761" t="b">
        <f ca="1">IF(AND($C77="",OR($J77&lt;&gt;"",$L77&lt;&gt;"",$N77&lt;&gt;"",$P77&lt;&gt;"",$V77&lt;&gt;"",$X77&lt;&gt;"",$Z77&lt;&gt;"",$AB77&lt;&gt;"",$AF77&lt;&gt;"",$AH77&lt;&gt;"",$AL77&lt;&gt;"")),TRUE,FALSE)</f>
        <v>0</v>
      </c>
      <c r="AU77" s="1761" t="b">
        <f>IF(OR(R77&lt;&gt;"",T77&lt;&gt;""),"false",IF(AND($C77&lt;&gt;"",$J77=""),TRUE,FALSE))</f>
        <v>0</v>
      </c>
      <c r="AV77" s="1761" t="b">
        <f>IF(OR(R77&lt;&gt;"",T77&lt;&gt;""),FALSE,IF(AND($C77&lt;&gt;"",$L77=""),TRUE,FALSE))</f>
        <v>0</v>
      </c>
      <c r="AW77" s="1761" t="b">
        <f>IF(OR(R77&lt;&gt;"",T77&lt;&gt;""),FALSE,IF(AND($C77&lt;&gt;"",$N77=""),TRUE,FALSE))</f>
        <v>0</v>
      </c>
      <c r="AX77" s="1761" t="b">
        <f>IF(OR(R77&lt;&gt;"",T77&lt;&gt;""),FALSE,IF(AND($C77&lt;&gt;"",$P77=""),TRUE,FALSE))</f>
        <v>0</v>
      </c>
      <c r="AY77" s="1761"/>
      <c r="AZ77" s="1761" t="b">
        <f>IF(OR(J77&lt;&gt;"",L77&lt;&gt;"",N77&lt;&gt;"",P77&lt;&gt;""),FALSE,IF(AND(C77&lt;&gt;"",R77=""),TRUE,FALSE))</f>
        <v>0</v>
      </c>
      <c r="BA77" s="1761"/>
      <c r="BB77" s="1761" t="b">
        <f>IF(OR(J77&lt;&gt;"",L77&lt;&gt;"",N77&lt;&gt;"",P77&lt;&gt;""),FALSE,IF(AND(C77&lt;&gt;"",T77=""),TRUE,FALSE))</f>
        <v>0</v>
      </c>
      <c r="BC77" s="1761" t="b">
        <f>IF(AND($C77&lt;&gt;"",$V77=""),TRUE,FALSE)</f>
        <v>0</v>
      </c>
      <c r="BD77" s="1761" t="b">
        <f ca="1">IF(AND(X77="",OR(Z77&lt;&gt;"",AB77&lt;&gt;"",AF77&lt;&gt;"",AH77&lt;&gt;"",AL77&lt;&gt;"",AD77&lt;&gt;"")),TRUE,FALSE)</f>
        <v>0</v>
      </c>
      <c r="BE77" s="1761" t="b">
        <f>IF(AND($C77&lt;&gt;"",$X77=""),TRUE,FALSE)</f>
        <v>0</v>
      </c>
      <c r="BF77" s="1761" t="b">
        <f>IF(Z77="",FALSE,IF(X77="",FALSE,IF(BG77=TRUE,FALSE,IF(OR(Z77&lt;BU77,Z77&gt;BaseYear),TRUE,FALSE))))</f>
        <v>0</v>
      </c>
      <c r="BG77" s="1761" t="b">
        <f>IF(AND($C77&lt;&gt;"",$Z77=""),TRUE,FALSE)</f>
        <v>0</v>
      </c>
      <c r="BH77" s="1761" t="b">
        <f>IF(AD77="",FALSE,IF(X77="",FALSE,IF(BJ77=TRUE,FALSE,IF(AB77&lt;BX77,TRUE,FALSE))))</f>
        <v>0</v>
      </c>
      <c r="BI77" s="1761" t="b">
        <f>IF(AD77="",FALSE,IF(X77="",FALSE,IF(BJ77=TRUE,FALSE,IF(AB77&gt;BY77,TRUE,FALSE))))</f>
        <v>0</v>
      </c>
      <c r="BJ77" s="1761" t="b">
        <f>IF(AND($C77&lt;&gt;"",$AB77=""),TRUE,FALSE)</f>
        <v>0</v>
      </c>
      <c r="BK77" s="1761" t="b">
        <f>IF(BL77=TRUE,FALSE,IF(OR(AF77&lt;0,AF77&gt;1),TRUE,FALSE))</f>
        <v>0</v>
      </c>
      <c r="BL77" s="1761" t="b">
        <f>IF(AND($C77&lt;&gt;"",$AF77=""),TRUE,FALSE)</f>
        <v>0</v>
      </c>
      <c r="BM77" s="1761"/>
      <c r="BN77" s="1761" t="b">
        <f ca="1">IF(AND($C77&lt;&gt;"",$AH77=""),TRUE,FALSE)</f>
        <v>0</v>
      </c>
      <c r="BO77" s="1761" t="b">
        <f>IF(AL77="",FALSE,IF(X77="",FALSE,IF(BP77=TRUE,FALSE,IF(OR(AL77&lt;1913,AL77&gt;BaseYear),TRUE,FALSE))))</f>
        <v>0</v>
      </c>
      <c r="BP77" s="1761" t="b">
        <f>IF(AND($C77&lt;&gt;"",$AL77=""),TRUE,FALSE)</f>
        <v>0</v>
      </c>
      <c r="BQ77" s="1761" t="b">
        <f>IF(AD77="Square Foot",FALSE,IF(AND(AD77="Parking Space",OR('A-20 PassFacInv'!X77=Valid!$B$7,'A-20 PassFacInv'!X77=Valid!$B$8,'A-20 PassFacInv'!X77=Valid!$B$9,'A-20 PassFacInv'!X77=Valid!$B$10,'A-20 PassFacInv'!X77=Valid!$B$12,'A-20 PassFacInv'!X77=Valid!$B$13,'A-20 PassFacInv'!X77=Valid!$B$14,'A-20 PassFacInv'!X77=Valid!$B$15,'A-20 PassFacInv'!X77=Valid!$B$16,'A-20 PassFacInv'!X77=Valid!$B$17,'A-20 PassFacInv'!X77=Valid!$B$18,X77=Valid!$B$19,X77=Valid!$B$20,X77=Valid!$B$21)),TRUE,FALSE))</f>
        <v>0</v>
      </c>
      <c r="BR77" s="1761" t="b">
        <f>IF(AND($C77&lt;&gt;"",$AD77=""),TRUE,FALSE)</f>
        <v>0</v>
      </c>
      <c r="BS77" s="721"/>
      <c r="BT77" s="1625" t="str">
        <f>IF($X77="","",VLOOKUP($X77,val_facilities,BT$3,FALSE))</f>
        <v/>
      </c>
      <c r="BU77" s="1627" t="str">
        <f>IF($X77="","",VLOOKUP($X77,val_facilities,BU$3,FALSE))</f>
        <v/>
      </c>
      <c r="BV77" s="1627" t="str">
        <f>IF($X77="","",VLOOKUP($X77,val_facilities,BV$3,FALSE))</f>
        <v/>
      </c>
      <c r="BW77" s="1627" t="str">
        <f ca="1">IFERROR(IF(Z77="", "", YEAR(TODAY())-Z77), "")</f>
        <v/>
      </c>
      <c r="BX77" s="845" t="str">
        <f>IF($X77="","",IF(AD77="Square Feet",VLOOKUP('A-20 PassFacInv'!X45,Valid!$B$7:$H$24,7,FALSE),IF(AD77="Parking Spaces",VLOOKUP(X77,Valid!$B$22:$L$24,11,FALSE))))</f>
        <v/>
      </c>
      <c r="BY77" s="845" t="str">
        <f>IF($X77="","",IF(AD77="Square Feet",VLOOKUP(X77,Valid!$B$7:$I$24,8,FALSE),IF('A-20 PassFacInv'!AD45="Parking Spaces",VLOOKUP('A-20 PassFacInv'!X45,Valid!$B$22:$M$24,12,FALSE))))</f>
        <v/>
      </c>
      <c r="BZ77" s="1229"/>
      <c r="CA77" s="721">
        <f t="shared" si="1"/>
        <v>0</v>
      </c>
      <c r="CB77" s="816"/>
    </row>
    <row r="78" spans="1:80" s="1739" customFormat="1" ht="6.75" customHeight="1" thickBot="1" x14ac:dyDescent="0.25">
      <c r="A78" s="1638"/>
      <c r="B78" s="1746">
        <v>33.5</v>
      </c>
      <c r="C78" s="1057"/>
      <c r="D78" s="1248"/>
      <c r="E78" s="1057"/>
      <c r="F78" s="1229"/>
      <c r="G78" s="1229"/>
      <c r="H78" s="1229"/>
      <c r="I78" s="1229"/>
      <c r="J78" s="1604"/>
      <c r="K78" s="1640"/>
      <c r="L78" s="1641"/>
      <c r="M78" s="1248"/>
      <c r="N78" s="1641"/>
      <c r="O78" s="1248"/>
      <c r="P78" s="1659"/>
      <c r="Q78" s="1248"/>
      <c r="R78" s="1660"/>
      <c r="S78" s="1640"/>
      <c r="T78" s="1660"/>
      <c r="U78" s="1640"/>
      <c r="V78" s="1057"/>
      <c r="W78" s="1618"/>
      <c r="X78" s="1747"/>
      <c r="Y78" s="1618"/>
      <c r="Z78" s="1623"/>
      <c r="AA78" s="1618"/>
      <c r="AB78" s="1944"/>
      <c r="AC78" s="1275"/>
      <c r="AD78" s="1661"/>
      <c r="AE78" s="734"/>
      <c r="AF78" s="1736"/>
      <c r="AG78" s="1275"/>
      <c r="AH78" s="733"/>
      <c r="AI78" s="1275"/>
      <c r="AJ78" s="733"/>
      <c r="AK78" s="1275"/>
      <c r="AL78" s="1721"/>
      <c r="AM78" s="1275"/>
      <c r="AN78" s="1057"/>
      <c r="AO78" s="1644"/>
      <c r="AP78" s="1644"/>
      <c r="AQ78" s="1644"/>
      <c r="AR78" s="1644"/>
      <c r="AS78" s="1644"/>
      <c r="AT78" s="1761"/>
      <c r="AU78" s="1761"/>
      <c r="AV78" s="1761"/>
      <c r="AW78" s="1761"/>
      <c r="AX78" s="1761"/>
      <c r="AY78" s="1761"/>
      <c r="AZ78" s="1761"/>
      <c r="BA78" s="1761"/>
      <c r="BB78" s="1761"/>
      <c r="BC78" s="1762"/>
      <c r="BD78" s="1762"/>
      <c r="BE78" s="1762"/>
      <c r="BF78" s="1762"/>
      <c r="BG78" s="1762"/>
      <c r="BH78" s="1762"/>
      <c r="BI78" s="1762"/>
      <c r="BJ78" s="1762"/>
      <c r="BK78" s="1762"/>
      <c r="BL78" s="1762"/>
      <c r="BM78" s="1762"/>
      <c r="BN78" s="1762"/>
      <c r="BO78" s="1762"/>
      <c r="BP78" s="1762"/>
      <c r="BQ78" s="1762"/>
      <c r="BR78" s="1762"/>
      <c r="BS78" s="1736"/>
      <c r="BT78" s="1738"/>
      <c r="BU78" s="1738"/>
      <c r="BV78" s="1738"/>
      <c r="BW78" s="1738"/>
      <c r="BX78" s="1738"/>
      <c r="BY78" s="1738"/>
      <c r="BZ78" s="1229"/>
      <c r="CA78" s="721">
        <f t="shared" ref="CA78:CA141" si="2">IF(OR(AJ78="NA", AJ78=" "),AH78,AJ78)</f>
        <v>0</v>
      </c>
      <c r="CB78" s="1748"/>
    </row>
    <row r="79" spans="1:80" s="1739" customFormat="1" x14ac:dyDescent="0.2">
      <c r="A79" s="840">
        <v>34</v>
      </c>
      <c r="B79" s="1746">
        <v>34</v>
      </c>
      <c r="C79" s="1740"/>
      <c r="D79" s="1248" t="str">
        <f>IF(C77="","",IF((C79=""),"Enter Facility "&amp;TEXT(A79,0)&amp;" Name, then Fill in Columns "&amp;TEXT($H$2,0)&amp;" - "&amp;TEXT($AL$2,0)&amp;"       ",""))</f>
        <v/>
      </c>
      <c r="E79" s="1245" t="str">
        <f ca="1">IF(AS79="N/A","",IF(AS79="N","No","Yes"))</f>
        <v/>
      </c>
      <c r="F79" s="758"/>
      <c r="G79" s="758"/>
      <c r="H79" s="1707"/>
      <c r="I79" s="758"/>
      <c r="J79" s="1653"/>
      <c r="K79" s="1248" t="str">
        <f ca="1">IF($E79&lt;&gt;"","Enter Street Address      ","")</f>
        <v/>
      </c>
      <c r="L79" s="1740"/>
      <c r="M79" s="1248" t="str">
        <f ca="1">IF($E79&lt;&gt;"","Enter City Name       ","")</f>
        <v/>
      </c>
      <c r="N79" s="1740"/>
      <c r="O79" s="1248" t="str">
        <f ca="1">IF($E79&lt;&gt;"","Select from Pull-Down List   ","")</f>
        <v/>
      </c>
      <c r="P79" s="1741"/>
      <c r="Q79" s="1248" t="str">
        <f ca="1">IF($E79&lt;&gt;"","Enter ZIP Code       ","")</f>
        <v/>
      </c>
      <c r="R79" s="1742"/>
      <c r="S79" s="1248" t="str">
        <f ca="1">IF(OR(N79&lt;&gt;"",P79&lt;&gt;"",J79&lt;&gt;"",L79&lt;&gt;""),"",IF($E79&lt;&gt;"","Enter Lat.      ",""))</f>
        <v/>
      </c>
      <c r="T79" s="1742"/>
      <c r="U79" s="1248" t="str">
        <f ca="1">IF(OR(N79&lt;&gt;"",P79&lt;&gt;"",J79&lt;&gt;"",L79&lt;&gt;""),"",IF($E79&lt;&gt;"","Enter Long.    ",""))</f>
        <v/>
      </c>
      <c r="V79" s="1653"/>
      <c r="W79" s="1618" t="str">
        <f ca="1">IF($E79&lt;&gt;"","Select from Pull-Down List  ","")</f>
        <v/>
      </c>
      <c r="X79" s="1653"/>
      <c r="Y79" s="1618" t="str">
        <f ca="1">IF($E79&lt;&gt;"","Select from Pull-Down List  ","")</f>
        <v/>
      </c>
      <c r="Z79" s="1743"/>
      <c r="AA79" s="1248" t="str">
        <f ca="1">IF(E79&lt;&gt;"","Year?   ","")</f>
        <v/>
      </c>
      <c r="AB79" s="1943"/>
      <c r="AC79" s="1620" t="str">
        <f ca="1">IF(E79="","",IF(X79="","Sq. Ft. or Spaces?   ",IF(OR(X79=Codes!$L$26,X79=Codes!$L$27,X79=Codes!$L$28),"Sq. Ft. or Spaces?   ",IF(OR(X79=Codes!$L$20,X79=Codes!$L$21,X79=Codes!$L$22,X79=Codes!$L$23,X79=Codes!$L$24,X79=Codes!$L$25),"Sq. Ft?     ",""))))</f>
        <v/>
      </c>
      <c r="AD79" s="1740"/>
      <c r="AE79" s="1618" t="str">
        <f ca="1">IF($E79&lt;&gt;"","Select from List     ","")</f>
        <v/>
      </c>
      <c r="AF79" s="1621"/>
      <c r="AG79" s="1618" t="str">
        <f ca="1">IF($E79&lt;&gt;"","% of Cap Resp.","")</f>
        <v/>
      </c>
      <c r="AH79" s="1801" t="str">
        <f ca="1">IF(BW79="", "", IF(BW79&gt;100, 1, VLOOKUP(BW79, Valid!$W$1:$AA$101, VLOOKUP(X79, Codes!$L$20:$N$28, 3, FALSE), FALSE)))</f>
        <v/>
      </c>
      <c r="AI79" s="1620" t="str">
        <f ca="1">IF($E79&lt;&gt;"","Estimated?  ","")</f>
        <v/>
      </c>
      <c r="AJ79" s="1654"/>
      <c r="AK79" s="1620" t="str">
        <f ca="1">IF($E79&lt;&gt;"","Estimated $?    ","")</f>
        <v/>
      </c>
      <c r="AL79" s="1730"/>
      <c r="AM79" s="1620" t="b">
        <f ca="1">IF(E79&lt;&gt;"","Est Date?    ")</f>
        <v>0</v>
      </c>
      <c r="AN79" s="1740"/>
      <c r="AO79" s="1248" t="str">
        <f>IF(X79="Other (describe in Notes)","Describe Facility.                                                                                                                        ","")</f>
        <v/>
      </c>
      <c r="AP79" s="1624"/>
      <c r="AQ79" s="1624" t="b">
        <f>IF(AND(C79="",C81&lt;&gt;""),TRUE,FALSE)</f>
        <v>0</v>
      </c>
      <c r="AR79" s="1624" t="str">
        <f>IF(AND(J79&lt;&gt;"",L79&lt;&gt;"",N79&lt;&gt;"",P79&lt;&gt;"",R79="",T79=""),"Y",IF(AND(J79="",L79="",N79="",P79="",R79&lt;&gt;"",T79&lt;&gt;""),"Y",IF(AND(J79&lt;&gt;"",L79&lt;&gt;"",N79&lt;&gt;"",P79&lt;&gt;"",R79&lt;&gt;"",T79&lt;&gt;""),"Y",IF(AND(J79="",L79="",N79="",P79="",R79="",T79=""),"N/A","N"))))</f>
        <v>N/A</v>
      </c>
      <c r="AS79" s="1624" t="str">
        <f ca="1">IF(AND($C79&lt;&gt;"",OR(AR79="N",$V79="",$X79="",$Z79="",$AB79="",$AF79="",$AH79="",$AL79="",AD79="")),"N",IF(AND($C79="",OR(H79&lt;&gt;"",AR79="N",$V79&lt;&gt;"",$X79&lt;&gt;"",$Z79&lt;&gt;"",$AB79&lt;&gt;"",$AF79&lt;&gt;"",$AH79&lt;&gt;"",$AL79&lt;&gt;"",AD79&lt;&gt;"")),"N",IF(AND(H79="",$C79="",AR79="N/A",$V79="",$X79="",$Z79="",$AB79="",$AF79="",$AH79="",$AL79="",AD79=""),"N/A",IF(AND($C79&lt;&gt;"",AR79="Y",$V79&lt;&gt;"",$X79&lt;&gt;"",$Z79&lt;&gt;"",$AB79&lt;&gt;"",$AF79&lt;&gt;"",$AH79&lt;&gt;"",$AL79&lt;&gt;"",AD79&lt;&gt;""),"Y","N"))))</f>
        <v>N/A</v>
      </c>
      <c r="AT79" s="1761" t="b">
        <f ca="1">IF(AND($C79="",OR($J79&lt;&gt;"",$L79&lt;&gt;"",$N79&lt;&gt;"",$P79&lt;&gt;"",$V79&lt;&gt;"",$X79&lt;&gt;"",$Z79&lt;&gt;"",$AB79&lt;&gt;"",$AF79&lt;&gt;"",$AH79&lt;&gt;"",$AL79&lt;&gt;"")),TRUE,FALSE)</f>
        <v>0</v>
      </c>
      <c r="AU79" s="1761" t="b">
        <f>IF(OR(R79&lt;&gt;"",T79&lt;&gt;""),"false",IF(AND($C79&lt;&gt;"",$J79=""),TRUE,FALSE))</f>
        <v>0</v>
      </c>
      <c r="AV79" s="1761" t="b">
        <f>IF(OR(R79&lt;&gt;"",T79&lt;&gt;""),FALSE,IF(AND($C79&lt;&gt;"",$L79=""),TRUE,FALSE))</f>
        <v>0</v>
      </c>
      <c r="AW79" s="1761" t="b">
        <f>IF(OR(R79&lt;&gt;"",T79&lt;&gt;""),FALSE,IF(AND($C79&lt;&gt;"",$N79=""),TRUE,FALSE))</f>
        <v>0</v>
      </c>
      <c r="AX79" s="1761" t="b">
        <f>IF(OR(R79&lt;&gt;"",T79&lt;&gt;""),FALSE,IF(AND($C79&lt;&gt;"",$P79=""),TRUE,FALSE))</f>
        <v>0</v>
      </c>
      <c r="AY79" s="1761"/>
      <c r="AZ79" s="1761" t="b">
        <f>IF(OR(J79&lt;&gt;"",L79&lt;&gt;"",N79&lt;&gt;"",P79&lt;&gt;""),FALSE,IF(AND(C79&lt;&gt;"",R79=""),TRUE,FALSE))</f>
        <v>0</v>
      </c>
      <c r="BA79" s="1761"/>
      <c r="BB79" s="1761" t="b">
        <f>IF(OR(J79&lt;&gt;"",L79&lt;&gt;"",N79&lt;&gt;"",P79&lt;&gt;""),FALSE,IF(AND(C79&lt;&gt;"",T79=""),TRUE,FALSE))</f>
        <v>0</v>
      </c>
      <c r="BC79" s="1761" t="b">
        <f>IF(AND($C79&lt;&gt;"",$V79=""),TRUE,FALSE)</f>
        <v>0</v>
      </c>
      <c r="BD79" s="1761" t="b">
        <f ca="1">IF(AND(X79="",OR(Z79&lt;&gt;"",AB79&lt;&gt;"",AF79&lt;&gt;"",AH79&lt;&gt;"",AL79&lt;&gt;"",AD79&lt;&gt;"")),TRUE,FALSE)</f>
        <v>0</v>
      </c>
      <c r="BE79" s="1761" t="b">
        <f>IF(AND($C79&lt;&gt;"",$X79=""),TRUE,FALSE)</f>
        <v>0</v>
      </c>
      <c r="BF79" s="1761" t="b">
        <f>IF(Z79="",FALSE,IF(X79="",FALSE,IF(BG79=TRUE,FALSE,IF(OR(Z79&lt;BU79,Z79&gt;BaseYear),TRUE,FALSE))))</f>
        <v>0</v>
      </c>
      <c r="BG79" s="1761" t="b">
        <f>IF(AND($C79&lt;&gt;"",$Z79=""),TRUE,FALSE)</f>
        <v>0</v>
      </c>
      <c r="BH79" s="1761" t="b">
        <f>IF(AD79="",FALSE,IF(X79="",FALSE,IF(BJ79=TRUE,FALSE,IF(AB79&lt;BX79,TRUE,FALSE))))</f>
        <v>0</v>
      </c>
      <c r="BI79" s="1761" t="b">
        <f>IF(AD79="",FALSE,IF(X79="",FALSE,IF(BJ79=TRUE,FALSE,IF(AB79&gt;BY79,TRUE,FALSE))))</f>
        <v>0</v>
      </c>
      <c r="BJ79" s="1761" t="b">
        <f>IF(AND($C79&lt;&gt;"",$AB79=""),TRUE,FALSE)</f>
        <v>0</v>
      </c>
      <c r="BK79" s="1761" t="b">
        <f>IF(BL79=TRUE,FALSE,IF(OR(AF79&lt;0,AF79&gt;1),TRUE,FALSE))</f>
        <v>0</v>
      </c>
      <c r="BL79" s="1761" t="b">
        <f>IF(AND($C79&lt;&gt;"",$AF79=""),TRUE,FALSE)</f>
        <v>0</v>
      </c>
      <c r="BM79" s="1761"/>
      <c r="BN79" s="1761" t="b">
        <f ca="1">IF(AND($C79&lt;&gt;"",$AH79=""),TRUE,FALSE)</f>
        <v>0</v>
      </c>
      <c r="BO79" s="1761" t="b">
        <f>IF(AL79="",FALSE,IF(X79="",FALSE,IF(BP79=TRUE,FALSE,IF(OR(AL79&lt;1913,AL79&gt;BaseYear),TRUE,FALSE))))</f>
        <v>0</v>
      </c>
      <c r="BP79" s="1761" t="b">
        <f>IF(AND($C79&lt;&gt;"",$AL79=""),TRUE,FALSE)</f>
        <v>0</v>
      </c>
      <c r="BQ79" s="1761" t="b">
        <f>IF(AD79="Square Foot",FALSE,IF(AND(AD79="Parking Space",OR('A-20 PassFacInv'!X79=Valid!$B$7,'A-20 PassFacInv'!X79=Valid!$B$8,'A-20 PassFacInv'!X79=Valid!$B$9,'A-20 PassFacInv'!X79=Valid!$B$10,'A-20 PassFacInv'!X79=Valid!$B$12,'A-20 PassFacInv'!X79=Valid!$B$13,'A-20 PassFacInv'!X79=Valid!$B$14,'A-20 PassFacInv'!X79=Valid!$B$15,'A-20 PassFacInv'!X79=Valid!$B$16,'A-20 PassFacInv'!X79=Valid!$B$17,'A-20 PassFacInv'!X79=Valid!$B$18,X79=Valid!$B$19,X79=Valid!$B$20,X79=Valid!$B$21)),TRUE,FALSE))</f>
        <v>0</v>
      </c>
      <c r="BR79" s="1761" t="b">
        <f>IF(AND($C79&lt;&gt;"",$AD79=""),TRUE,FALSE)</f>
        <v>0</v>
      </c>
      <c r="BS79" s="721"/>
      <c r="BT79" s="1625" t="str">
        <f>IF($X79="","",VLOOKUP($X79,val_facilities,BT$3,FALSE))</f>
        <v/>
      </c>
      <c r="BU79" s="1627" t="str">
        <f>IF($X79="","",VLOOKUP($X79,val_facilities,BU$3,FALSE))</f>
        <v/>
      </c>
      <c r="BV79" s="1627" t="str">
        <f>IF($X79="","",VLOOKUP($X79,val_facilities,BV$3,FALSE))</f>
        <v/>
      </c>
      <c r="BW79" s="1627" t="str">
        <f ca="1">IFERROR(IF(Z79="", "", YEAR(TODAY())-Z79), "")</f>
        <v/>
      </c>
      <c r="BX79" s="845" t="str">
        <f>IF($X79="","",IF(AD79="Square Feet",VLOOKUP('A-20 PassFacInv'!X46,Valid!$B$7:$H$24,7,FALSE),IF(AD79="Parking Spaces",VLOOKUP(X79,Valid!$B$22:$L$24,11,FALSE))))</f>
        <v/>
      </c>
      <c r="BY79" s="845" t="str">
        <f>IF($X79="","",IF(AD79="Square Feet",VLOOKUP(X79,Valid!$B$7:$I$24,8,FALSE),IF('A-20 PassFacInv'!AD46="Parking Spaces",VLOOKUP('A-20 PassFacInv'!X46,Valid!$B$22:$M$24,12,FALSE))))</f>
        <v/>
      </c>
      <c r="BZ79" s="1229"/>
      <c r="CA79" s="721">
        <f t="shared" si="2"/>
        <v>0</v>
      </c>
      <c r="CB79" s="816"/>
    </row>
    <row r="80" spans="1:80" s="1739" customFormat="1" ht="6.75" customHeight="1" thickBot="1" x14ac:dyDescent="0.25">
      <c r="A80" s="1638"/>
      <c r="B80" s="1746">
        <v>34.5</v>
      </c>
      <c r="C80" s="1057"/>
      <c r="D80" s="1248"/>
      <c r="E80" s="1639"/>
      <c r="F80" s="1229"/>
      <c r="G80" s="1229"/>
      <c r="H80" s="1229"/>
      <c r="I80" s="1229"/>
      <c r="J80" s="1604"/>
      <c r="K80" s="1640"/>
      <c r="L80" s="1645"/>
      <c r="M80" s="1646"/>
      <c r="N80" s="1645"/>
      <c r="O80" s="1646"/>
      <c r="P80" s="1662"/>
      <c r="Q80" s="1646"/>
      <c r="R80" s="1660"/>
      <c r="S80" s="1640"/>
      <c r="T80" s="1660"/>
      <c r="U80" s="1640"/>
      <c r="V80" s="1057"/>
      <c r="W80" s="1618"/>
      <c r="X80" s="1747"/>
      <c r="Y80" s="1618"/>
      <c r="Z80" s="1623"/>
      <c r="AA80" s="1618"/>
      <c r="AB80" s="1944"/>
      <c r="AC80" s="1648"/>
      <c r="AD80" s="1661"/>
      <c r="AE80" s="841"/>
      <c r="AF80" s="841"/>
      <c r="AG80" s="1648"/>
      <c r="AH80" s="722"/>
      <c r="AI80" s="1648"/>
      <c r="AJ80" s="722"/>
      <c r="AK80" s="1648"/>
      <c r="AL80" s="1717"/>
      <c r="AM80" s="1648"/>
      <c r="AN80" s="1057"/>
      <c r="AO80" s="1644"/>
      <c r="AP80" s="1644"/>
      <c r="AQ80" s="1644"/>
      <c r="AR80" s="1644"/>
      <c r="AS80" s="1644"/>
      <c r="AT80" s="1761"/>
      <c r="AU80" s="1761"/>
      <c r="AV80" s="1761"/>
      <c r="AW80" s="1761"/>
      <c r="AX80" s="1761"/>
      <c r="AY80" s="1761"/>
      <c r="AZ80" s="1761"/>
      <c r="BA80" s="1761"/>
      <c r="BB80" s="1761"/>
      <c r="BC80" s="1762"/>
      <c r="BD80" s="1762"/>
      <c r="BE80" s="1762"/>
      <c r="BF80" s="1762"/>
      <c r="BG80" s="1762"/>
      <c r="BH80" s="1762"/>
      <c r="BI80" s="1762"/>
      <c r="BJ80" s="1762"/>
      <c r="BK80" s="1762"/>
      <c r="BL80" s="1762"/>
      <c r="BM80" s="1762"/>
      <c r="BN80" s="1762"/>
      <c r="BO80" s="1762"/>
      <c r="BP80" s="1762"/>
      <c r="BQ80" s="1762"/>
      <c r="BR80" s="1762"/>
      <c r="BS80" s="1736"/>
      <c r="BT80" s="1738"/>
      <c r="BU80" s="1738"/>
      <c r="BV80" s="1738"/>
      <c r="BW80" s="1738"/>
      <c r="BX80" s="1738"/>
      <c r="BY80" s="1738"/>
      <c r="BZ80" s="1229"/>
      <c r="CA80" s="721">
        <f t="shared" si="2"/>
        <v>0</v>
      </c>
      <c r="CB80" s="1748"/>
    </row>
    <row r="81" spans="1:80" s="1739" customFormat="1" x14ac:dyDescent="0.2">
      <c r="A81" s="840">
        <v>35</v>
      </c>
      <c r="B81" s="1746">
        <v>35</v>
      </c>
      <c r="C81" s="1740"/>
      <c r="D81" s="1248" t="str">
        <f>IF(C79="","",IF((C81=""),"Enter Facility "&amp;TEXT(A81,0)&amp;" Name, then Fill in Columns "&amp;TEXT($H$2,0)&amp;" - "&amp;TEXT($AL$2,0)&amp;"       ",""))</f>
        <v/>
      </c>
      <c r="E81" s="1245" t="str">
        <f ca="1">IF(AS81="N/A","",IF(AS81="N","No","Yes"))</f>
        <v/>
      </c>
      <c r="F81" s="758"/>
      <c r="G81" s="758"/>
      <c r="H81" s="1707"/>
      <c r="I81" s="758"/>
      <c r="J81" s="1653"/>
      <c r="K81" s="1248" t="str">
        <f ca="1">IF($E81&lt;&gt;"","Enter Street Address      ","")</f>
        <v/>
      </c>
      <c r="L81" s="1740"/>
      <c r="M81" s="1248" t="str">
        <f ca="1">IF($E81&lt;&gt;"","Enter City Name       ","")</f>
        <v/>
      </c>
      <c r="N81" s="1740"/>
      <c r="O81" s="1248" t="str">
        <f ca="1">IF($E81&lt;&gt;"","Select from Pull-Down List   ","")</f>
        <v/>
      </c>
      <c r="P81" s="1741"/>
      <c r="Q81" s="1248" t="str">
        <f ca="1">IF($E81&lt;&gt;"","Enter ZIP Code       ","")</f>
        <v/>
      </c>
      <c r="R81" s="1742"/>
      <c r="S81" s="1248" t="str">
        <f ca="1">IF(OR(N81&lt;&gt;"",P81&lt;&gt;"",J81&lt;&gt;"",L81&lt;&gt;""),"",IF($E81&lt;&gt;"","Enter Lat.      ",""))</f>
        <v/>
      </c>
      <c r="T81" s="1742"/>
      <c r="U81" s="1248" t="str">
        <f ca="1">IF(OR(N81&lt;&gt;"",P81&lt;&gt;"",J81&lt;&gt;"",L81&lt;&gt;""),"",IF($E81&lt;&gt;"","Enter Long.    ",""))</f>
        <v/>
      </c>
      <c r="V81" s="1653"/>
      <c r="W81" s="1618" t="str">
        <f ca="1">IF($E81&lt;&gt;"","Select from Pull-Down List  ","")</f>
        <v/>
      </c>
      <c r="X81" s="1653"/>
      <c r="Y81" s="1618" t="str">
        <f ca="1">IF($E81&lt;&gt;"","Select from Pull-Down List  ","")</f>
        <v/>
      </c>
      <c r="Z81" s="1743"/>
      <c r="AA81" s="1248" t="str">
        <f ca="1">IF(E81&lt;&gt;"","Year?   ","")</f>
        <v/>
      </c>
      <c r="AB81" s="1943"/>
      <c r="AC81" s="1620" t="str">
        <f ca="1">IF(E81="","",IF(X81="","Sq. Ft. or Spaces?   ",IF(OR(X81=Codes!$L$26,X81=Codes!$L$27,X81=Codes!$L$28),"Sq. Ft. or Spaces?   ",IF(OR(X81=Codes!$L$20,X81=Codes!$L$21,X81=Codes!$L$22,X81=Codes!$L$23,X81=Codes!$L$24,X81=Codes!$L$25),"Sq. Ft?     ",""))))</f>
        <v/>
      </c>
      <c r="AD81" s="1740"/>
      <c r="AE81" s="1618" t="str">
        <f ca="1">IF($E81&lt;&gt;"","Select from List     ","")</f>
        <v/>
      </c>
      <c r="AF81" s="1621"/>
      <c r="AG81" s="1618" t="str">
        <f ca="1">IF($E81&lt;&gt;"","% of Cap Resp.","")</f>
        <v/>
      </c>
      <c r="AH81" s="1801" t="str">
        <f ca="1">IF(BW81="", "", IF(BW81&gt;100, 1, VLOOKUP(BW81, Valid!$W$1:$AA$101, VLOOKUP(X81, Codes!$L$20:$N$28, 3, FALSE), FALSE)))</f>
        <v/>
      </c>
      <c r="AI81" s="1620" t="str">
        <f ca="1">IF($E81&lt;&gt;"","Estimated?  ","")</f>
        <v/>
      </c>
      <c r="AJ81" s="1654"/>
      <c r="AK81" s="1620" t="str">
        <f ca="1">IF($E81&lt;&gt;"","Estimated $?    ","")</f>
        <v/>
      </c>
      <c r="AL81" s="1730"/>
      <c r="AM81" s="1620" t="b">
        <f ca="1">IF(E81&lt;&gt;"","Est Date?    ")</f>
        <v>0</v>
      </c>
      <c r="AN81" s="1740"/>
      <c r="AO81" s="1248" t="str">
        <f>IF(X81="Other (describe in Notes)","Describe Facility.                                                                                                                        ","")</f>
        <v/>
      </c>
      <c r="AP81" s="1624"/>
      <c r="AQ81" s="1624" t="b">
        <f>IF(AND(C81="",C83&lt;&gt;""),TRUE,FALSE)</f>
        <v>0</v>
      </c>
      <c r="AR81" s="1624" t="str">
        <f>IF(AND(J81&lt;&gt;"",L81&lt;&gt;"",N81&lt;&gt;"",P81&lt;&gt;"",R81="",T81=""),"Y",IF(AND(J81="",L81="",N81="",P81="",R81&lt;&gt;"",T81&lt;&gt;""),"Y",IF(AND(J81&lt;&gt;"",L81&lt;&gt;"",N81&lt;&gt;"",P81&lt;&gt;"",R81&lt;&gt;"",T81&lt;&gt;""),"Y",IF(AND(J81="",L81="",N81="",P81="",R81="",T81=""),"N/A","N"))))</f>
        <v>N/A</v>
      </c>
      <c r="AS81" s="1624" t="str">
        <f ca="1">IF(AND($C81&lt;&gt;"",OR(AR81="N",$V81="",$X81="",$Z81="",$AB81="",$AF81="",$AH81="",$AL81="",AD81="")),"N",IF(AND($C81="",OR(H81&lt;&gt;"",AR81="N",$V81&lt;&gt;"",$X81&lt;&gt;"",$Z81&lt;&gt;"",$AB81&lt;&gt;"",$AF81&lt;&gt;"",$AH81&lt;&gt;"",$AL81&lt;&gt;"",AD81&lt;&gt;"")),"N",IF(AND(H81="",$C81="",AR81="N/A",$V81="",$X81="",$Z81="",$AB81="",$AF81="",$AH81="",$AL81="",AD81=""),"N/A",IF(AND($C81&lt;&gt;"",AR81="Y",$V81&lt;&gt;"",$X81&lt;&gt;"",$Z81&lt;&gt;"",$AB81&lt;&gt;"",$AF81&lt;&gt;"",$AH81&lt;&gt;"",$AL81&lt;&gt;"",AD81&lt;&gt;""),"Y","N"))))</f>
        <v>N/A</v>
      </c>
      <c r="AT81" s="1761" t="b">
        <f ca="1">IF(AND($C81="",OR($J81&lt;&gt;"",$L81&lt;&gt;"",$N81&lt;&gt;"",$P81&lt;&gt;"",$V81&lt;&gt;"",$X81&lt;&gt;"",$Z81&lt;&gt;"",$AB81&lt;&gt;"",$AF81&lt;&gt;"",$AH81&lt;&gt;"",$AL81&lt;&gt;"")),TRUE,FALSE)</f>
        <v>0</v>
      </c>
      <c r="AU81" s="1761" t="b">
        <f>IF(OR(R81&lt;&gt;"",T81&lt;&gt;""),"false",IF(AND($C81&lt;&gt;"",$J81=""),TRUE,FALSE))</f>
        <v>0</v>
      </c>
      <c r="AV81" s="1761" t="b">
        <f>IF(OR(R81&lt;&gt;"",T81&lt;&gt;""),FALSE,IF(AND($C81&lt;&gt;"",$L81=""),TRUE,FALSE))</f>
        <v>0</v>
      </c>
      <c r="AW81" s="1761" t="b">
        <f>IF(OR(R81&lt;&gt;"",T81&lt;&gt;""),FALSE,IF(AND($C81&lt;&gt;"",$N81=""),TRUE,FALSE))</f>
        <v>0</v>
      </c>
      <c r="AX81" s="1761" t="b">
        <f>IF(OR(R81&lt;&gt;"",T81&lt;&gt;""),FALSE,IF(AND($C81&lt;&gt;"",$P81=""),TRUE,FALSE))</f>
        <v>0</v>
      </c>
      <c r="AY81" s="1761"/>
      <c r="AZ81" s="1761" t="b">
        <f>IF(OR(J81&lt;&gt;"",L81&lt;&gt;"",N81&lt;&gt;"",P81&lt;&gt;""),FALSE,IF(AND(C81&lt;&gt;"",R81=""),TRUE,FALSE))</f>
        <v>0</v>
      </c>
      <c r="BA81" s="1761"/>
      <c r="BB81" s="1761" t="b">
        <f>IF(OR(J81&lt;&gt;"",L81&lt;&gt;"",N81&lt;&gt;"",P81&lt;&gt;""),FALSE,IF(AND(C81&lt;&gt;"",T81=""),TRUE,FALSE))</f>
        <v>0</v>
      </c>
      <c r="BC81" s="1761" t="b">
        <f>IF(AND($C81&lt;&gt;"",$V81=""),TRUE,FALSE)</f>
        <v>0</v>
      </c>
      <c r="BD81" s="1761" t="b">
        <f ca="1">IF(AND(X81="",OR(Z81&lt;&gt;"",AB81&lt;&gt;"",AF81&lt;&gt;"",AH81&lt;&gt;"",AL81&lt;&gt;"",AD81&lt;&gt;"")),TRUE,FALSE)</f>
        <v>0</v>
      </c>
      <c r="BE81" s="1761" t="b">
        <f>IF(AND($C81&lt;&gt;"",$X81=""),TRUE,FALSE)</f>
        <v>0</v>
      </c>
      <c r="BF81" s="1761" t="b">
        <f>IF(Z81="",FALSE,IF(X81="",FALSE,IF(BG81=TRUE,FALSE,IF(OR(Z81&lt;BU81,Z81&gt;BaseYear),TRUE,FALSE))))</f>
        <v>0</v>
      </c>
      <c r="BG81" s="1761" t="b">
        <f>IF(AND($C81&lt;&gt;"",$Z81=""),TRUE,FALSE)</f>
        <v>0</v>
      </c>
      <c r="BH81" s="1761" t="b">
        <f>IF(AD81="",FALSE,IF(X81="",FALSE,IF(BJ81=TRUE,FALSE,IF(AB81&lt;BX81,TRUE,FALSE))))</f>
        <v>0</v>
      </c>
      <c r="BI81" s="1761" t="b">
        <f>IF(AD81="",FALSE,IF(X81="",FALSE,IF(BJ81=TRUE,FALSE,IF(AB81&gt;BY81,TRUE,FALSE))))</f>
        <v>0</v>
      </c>
      <c r="BJ81" s="1761" t="b">
        <f>IF(AND($C81&lt;&gt;"",$AB81=""),TRUE,FALSE)</f>
        <v>0</v>
      </c>
      <c r="BK81" s="1761" t="b">
        <f>IF(BL81=TRUE,FALSE,IF(OR(AF81&lt;0,AF81&gt;1),TRUE,FALSE))</f>
        <v>0</v>
      </c>
      <c r="BL81" s="1761" t="b">
        <f>IF(AND($C81&lt;&gt;"",$AF81=""),TRUE,FALSE)</f>
        <v>0</v>
      </c>
      <c r="BM81" s="1761"/>
      <c r="BN81" s="1761" t="b">
        <f ca="1">IF(AND($C81&lt;&gt;"",$AH81=""),TRUE,FALSE)</f>
        <v>0</v>
      </c>
      <c r="BO81" s="1761" t="b">
        <f>IF(AL81="",FALSE,IF(X81="",FALSE,IF(BP81=TRUE,FALSE,IF(OR(AL81&lt;1913,AL81&gt;BaseYear),TRUE,FALSE))))</f>
        <v>0</v>
      </c>
      <c r="BP81" s="1761" t="b">
        <f>IF(AND($C81&lt;&gt;"",$AL81=""),TRUE,FALSE)</f>
        <v>0</v>
      </c>
      <c r="BQ81" s="1761" t="b">
        <f>IF(AD81="Square Foot",FALSE,IF(AND(AD81="Parking Space",OR('A-20 PassFacInv'!X81=Valid!$B$7,'A-20 PassFacInv'!X81=Valid!$B$8,'A-20 PassFacInv'!X81=Valid!$B$9,'A-20 PassFacInv'!X81=Valid!$B$10,'A-20 PassFacInv'!X81=Valid!$B$12,'A-20 PassFacInv'!X81=Valid!$B$13,'A-20 PassFacInv'!X81=Valid!$B$14,'A-20 PassFacInv'!X81=Valid!$B$15,'A-20 PassFacInv'!X81=Valid!$B$16,'A-20 PassFacInv'!X81=Valid!$B$17,'A-20 PassFacInv'!X81=Valid!$B$18,X81=Valid!$B$19,X81=Valid!$B$20,X81=Valid!$B$21)),TRUE,FALSE))</f>
        <v>0</v>
      </c>
      <c r="BR81" s="1761" t="b">
        <f>IF(AND($C81&lt;&gt;"",$AD81=""),TRUE,FALSE)</f>
        <v>0</v>
      </c>
      <c r="BS81" s="721"/>
      <c r="BT81" s="1625" t="str">
        <f>IF($X81="","",VLOOKUP($X81,val_facilities,BT$3,FALSE))</f>
        <v/>
      </c>
      <c r="BU81" s="1627" t="str">
        <f>IF($X81="","",VLOOKUP($X81,val_facilities,BU$3,FALSE))</f>
        <v/>
      </c>
      <c r="BV81" s="1627" t="str">
        <f>IF($X81="","",VLOOKUP($X81,val_facilities,BV$3,FALSE))</f>
        <v/>
      </c>
      <c r="BW81" s="1627" t="str">
        <f ca="1">IFERROR(IF(Z81="", "", YEAR(TODAY())-Z81), "")</f>
        <v/>
      </c>
      <c r="BX81" s="845" t="str">
        <f>IF($X81="","",IF(AD81="Square Feet",VLOOKUP('A-20 PassFacInv'!X47,Valid!$B$7:$H$24,7,FALSE),IF(AD81="Parking Spaces",VLOOKUP(X81,Valid!$B$22:$L$24,11,FALSE))))</f>
        <v/>
      </c>
      <c r="BY81" s="845" t="str">
        <f>IF($X81="","",IF(AD81="Square Feet",VLOOKUP(X81,Valid!$B$7:$I$24,8,FALSE),IF('A-20 PassFacInv'!AD47="Parking Spaces",VLOOKUP('A-20 PassFacInv'!X47,Valid!$B$22:$M$24,12,FALSE))))</f>
        <v/>
      </c>
      <c r="BZ81" s="1229"/>
      <c r="CA81" s="721">
        <f t="shared" si="2"/>
        <v>0</v>
      </c>
      <c r="CB81" s="816"/>
    </row>
    <row r="82" spans="1:80" s="1739" customFormat="1" ht="6.75" customHeight="1" thickBot="1" x14ac:dyDescent="0.25">
      <c r="A82" s="1638"/>
      <c r="B82" s="1746">
        <v>35.5</v>
      </c>
      <c r="C82" s="1057"/>
      <c r="D82" s="764"/>
      <c r="E82" s="1057"/>
      <c r="F82" s="1229"/>
      <c r="G82" s="1229"/>
      <c r="H82" s="1229"/>
      <c r="I82" s="1229"/>
      <c r="J82" s="1604"/>
      <c r="K82" s="1229"/>
      <c r="L82" s="1605"/>
      <c r="M82" s="1644"/>
      <c r="N82" s="1605"/>
      <c r="O82" s="1644"/>
      <c r="P82" s="1733"/>
      <c r="Q82" s="1644"/>
      <c r="R82" s="1663"/>
      <c r="S82" s="1229"/>
      <c r="T82" s="1663"/>
      <c r="U82" s="1229"/>
      <c r="V82" s="1057"/>
      <c r="W82" s="1623"/>
      <c r="X82" s="1747"/>
      <c r="Y82" s="1623"/>
      <c r="Z82" s="1623"/>
      <c r="AA82" s="1623"/>
      <c r="AB82" s="1944"/>
      <c r="AC82" s="841"/>
      <c r="AD82" s="1057"/>
      <c r="AE82" s="841"/>
      <c r="AF82" s="841"/>
      <c r="AG82" s="841"/>
      <c r="AH82" s="722"/>
      <c r="AI82" s="841"/>
      <c r="AJ82" s="722"/>
      <c r="AK82" s="841"/>
      <c r="AL82" s="1717"/>
      <c r="AM82" s="841"/>
      <c r="AN82" s="1057"/>
      <c r="AO82" s="1644"/>
      <c r="AP82" s="1644"/>
      <c r="AQ82" s="1644"/>
      <c r="AR82" s="1644"/>
      <c r="AS82" s="1644"/>
      <c r="AT82" s="1761"/>
      <c r="AU82" s="1761"/>
      <c r="AV82" s="1761"/>
      <c r="AW82" s="1761"/>
      <c r="AX82" s="1761"/>
      <c r="AY82" s="1761"/>
      <c r="AZ82" s="1761"/>
      <c r="BA82" s="1761"/>
      <c r="BB82" s="1761"/>
      <c r="BC82" s="1762"/>
      <c r="BD82" s="1762"/>
      <c r="BE82" s="1762"/>
      <c r="BF82" s="1762"/>
      <c r="BG82" s="1762"/>
      <c r="BH82" s="1762"/>
      <c r="BI82" s="1762"/>
      <c r="BJ82" s="1762"/>
      <c r="BK82" s="1762"/>
      <c r="BL82" s="1762"/>
      <c r="BM82" s="1762"/>
      <c r="BN82" s="1762"/>
      <c r="BO82" s="1762"/>
      <c r="BP82" s="1762"/>
      <c r="BQ82" s="1763"/>
      <c r="BR82" s="1762"/>
      <c r="BS82" s="1736"/>
      <c r="BT82" s="1738"/>
      <c r="BU82" s="1738"/>
      <c r="BV82" s="1738"/>
      <c r="BW82" s="1738"/>
      <c r="BX82" s="1738"/>
      <c r="BY82" s="1738"/>
      <c r="BZ82" s="1229"/>
      <c r="CA82" s="721">
        <f t="shared" si="2"/>
        <v>0</v>
      </c>
      <c r="CB82" s="1748"/>
    </row>
    <row r="83" spans="1:80" s="1739" customFormat="1" x14ac:dyDescent="0.2">
      <c r="A83" s="840">
        <v>36</v>
      </c>
      <c r="B83" s="1731">
        <v>36</v>
      </c>
      <c r="C83" s="1740"/>
      <c r="D83" s="1248" t="str">
        <f>IF(C81="","",IF((C83=""),"Enter Facility "&amp;TEXT(A83,0)&amp;" Name, then Fill in Columns "&amp;TEXT($H$2,0)&amp;" - "&amp;TEXT($AL$2,0)&amp;"       ",""))</f>
        <v/>
      </c>
      <c r="E83" s="1245" t="str">
        <f ca="1">IF(AS83="N/A","",IF(AS83="N","No","Yes"))</f>
        <v/>
      </c>
      <c r="F83" s="758"/>
      <c r="G83" s="758"/>
      <c r="H83" s="1707"/>
      <c r="I83" s="758"/>
      <c r="J83" s="1653"/>
      <c r="K83" s="1248" t="str">
        <f ca="1">IF($E83&lt;&gt;"","Enter Street Address      ","")</f>
        <v/>
      </c>
      <c r="L83" s="1740"/>
      <c r="M83" s="1248" t="str">
        <f ca="1">IF($E83&lt;&gt;"","Enter City Name       ","")</f>
        <v/>
      </c>
      <c r="N83" s="1740"/>
      <c r="O83" s="1248" t="str">
        <f ca="1">IF($E83&lt;&gt;"","Select from Pull-Down List   ","")</f>
        <v/>
      </c>
      <c r="P83" s="1741"/>
      <c r="Q83" s="1248" t="str">
        <f ca="1">IF($E83&lt;&gt;"","Enter ZIP Code       ","")</f>
        <v/>
      </c>
      <c r="R83" s="1742"/>
      <c r="S83" s="1248" t="str">
        <f ca="1">IF(OR(N83&lt;&gt;"",P83&lt;&gt;"",J83&lt;&gt;"",L83&lt;&gt;""),"",IF($E83&lt;&gt;"","Enter Lat.      ",""))</f>
        <v/>
      </c>
      <c r="T83" s="1742"/>
      <c r="U83" s="1248" t="str">
        <f ca="1">IF(OR(N83&lt;&gt;"",P83&lt;&gt;"",J83&lt;&gt;"",L83&lt;&gt;""),"",IF($E83&lt;&gt;"","Enter Long.    ",""))</f>
        <v/>
      </c>
      <c r="V83" s="1653"/>
      <c r="W83" s="1618" t="str">
        <f ca="1">IF($E83&lt;&gt;"","Select from Pull-Down List  ","")</f>
        <v/>
      </c>
      <c r="X83" s="1653"/>
      <c r="Y83" s="1618" t="str">
        <f ca="1">IF($E83&lt;&gt;"","Select from Pull-Down List  ","")</f>
        <v/>
      </c>
      <c r="Z83" s="1743"/>
      <c r="AA83" s="1248" t="str">
        <f ca="1">IF(E83&lt;&gt;"","Year?   ","")</f>
        <v/>
      </c>
      <c r="AB83" s="1943"/>
      <c r="AC83" s="1620" t="str">
        <f ca="1">IF(E83="","",IF(X83="","Sq. Ft. or Spaces?   ",IF(OR(X83=Codes!$L$26,X83=Codes!$L$27,X83=Codes!$L$28),"Sq. Ft. or Spaces?   ",IF(OR(X83=Codes!$L$20,X83=Codes!$L$21,X83=Codes!$L$22,X83=Codes!$L$23,X83=Codes!$L$24,X83=Codes!$L$25),"Sq. Ft?     ",""))))</f>
        <v/>
      </c>
      <c r="AD83" s="1740"/>
      <c r="AE83" s="1618" t="str">
        <f ca="1">IF($E83&lt;&gt;"","Select from List     ","")</f>
        <v/>
      </c>
      <c r="AF83" s="1621"/>
      <c r="AG83" s="1618" t="str">
        <f ca="1">IF($E83&lt;&gt;"","% of Cap Resp.","")</f>
        <v/>
      </c>
      <c r="AH83" s="1801" t="str">
        <f ca="1">IF(BW83="", "", IF(BW83&gt;100, 1, VLOOKUP(BW83, Valid!$W$1:$AA$101, VLOOKUP(X83, Codes!$L$20:$N$28, 3, FALSE), FALSE)))</f>
        <v/>
      </c>
      <c r="AI83" s="1620" t="str">
        <f ca="1">IF($E83&lt;&gt;"","Estimated?  ","")</f>
        <v/>
      </c>
      <c r="AJ83" s="1654"/>
      <c r="AK83" s="1620" t="str">
        <f ca="1">IF($E83&lt;&gt;"","Estimated $?    ","")</f>
        <v/>
      </c>
      <c r="AL83" s="1730"/>
      <c r="AM83" s="1620" t="b">
        <f ca="1">IF(E83&lt;&gt;"","Est Date?    ")</f>
        <v>0</v>
      </c>
      <c r="AN83" s="1740"/>
      <c r="AO83" s="1248" t="str">
        <f>IF(X83="Other (describe in Notes)","Describe Facility.                                                                                                                        ","")</f>
        <v/>
      </c>
      <c r="AP83" s="1624"/>
      <c r="AQ83" s="1624" t="b">
        <f>IF(AND(C83="",C85&lt;&gt;""),TRUE,FALSE)</f>
        <v>0</v>
      </c>
      <c r="AR83" s="1624" t="str">
        <f>IF(AND(J83&lt;&gt;"",L83&lt;&gt;"",N83&lt;&gt;"",P83&lt;&gt;"",R83="",T83=""),"Y",IF(AND(J83="",L83="",N83="",P83="",R83&lt;&gt;"",T83&lt;&gt;""),"Y",IF(AND(J83&lt;&gt;"",L83&lt;&gt;"",N83&lt;&gt;"",P83&lt;&gt;"",R83&lt;&gt;"",T83&lt;&gt;""),"Y",IF(AND(J83="",L83="",N83="",P83="",R83="",T83=""),"N/A","N"))))</f>
        <v>N/A</v>
      </c>
      <c r="AS83" s="1624" t="str">
        <f ca="1">IF(AND($C83&lt;&gt;"",OR(AR83="N",$V83="",$X83="",$Z83="",$AB83="",$AF83="",$AH83="",$AL83="",AD83="")),"N",IF(AND($C83="",OR(H83&lt;&gt;"",AR83="N",$V83&lt;&gt;"",$X83&lt;&gt;"",$Z83&lt;&gt;"",$AB83&lt;&gt;"",$AF83&lt;&gt;"",$AH83&lt;&gt;"",$AL83&lt;&gt;"",AD83&lt;&gt;"")),"N",IF(AND(H83="",$C83="",AR83="N/A",$V83="",$X83="",$Z83="",$AB83="",$AF83="",$AH83="",$AL83="",AD83=""),"N/A",IF(AND($C83&lt;&gt;"",AR83="Y",$V83&lt;&gt;"",$X83&lt;&gt;"",$Z83&lt;&gt;"",$AB83&lt;&gt;"",$AF83&lt;&gt;"",$AH83&lt;&gt;"",$AL83&lt;&gt;"",AD83&lt;&gt;""),"Y","N"))))</f>
        <v>N/A</v>
      </c>
      <c r="AT83" s="1761" t="b">
        <f ca="1">IF(AND($C83="",OR($J83&lt;&gt;"",$L83&lt;&gt;"",$N83&lt;&gt;"",$P83&lt;&gt;"",$V83&lt;&gt;"",$X83&lt;&gt;"",$Z83&lt;&gt;"",$AB83&lt;&gt;"",$AF83&lt;&gt;"",$AH83&lt;&gt;"",$AL83&lt;&gt;"")),TRUE,FALSE)</f>
        <v>0</v>
      </c>
      <c r="AU83" s="1761" t="b">
        <f>IF(OR(R83&lt;&gt;"",T83&lt;&gt;""),"false",IF(AND($C83&lt;&gt;"",$J83=""),TRUE,FALSE))</f>
        <v>0</v>
      </c>
      <c r="AV83" s="1761" t="b">
        <f>IF(OR(R83&lt;&gt;"",T83&lt;&gt;""),FALSE,IF(AND($C83&lt;&gt;"",$L83=""),TRUE,FALSE))</f>
        <v>0</v>
      </c>
      <c r="AW83" s="1761" t="b">
        <f>IF(OR(R83&lt;&gt;"",T83&lt;&gt;""),FALSE,IF(AND($C83&lt;&gt;"",$N83=""),TRUE,FALSE))</f>
        <v>0</v>
      </c>
      <c r="AX83" s="1761" t="b">
        <f>IF(OR(R83&lt;&gt;"",T83&lt;&gt;""),FALSE,IF(AND($C83&lt;&gt;"",$P83=""),TRUE,FALSE))</f>
        <v>0</v>
      </c>
      <c r="AY83" s="1761"/>
      <c r="AZ83" s="1761" t="b">
        <f>IF(OR(J83&lt;&gt;"",L83&lt;&gt;"",N83&lt;&gt;"",P83&lt;&gt;""),FALSE,IF(AND(C83&lt;&gt;"",R83=""),TRUE,FALSE))</f>
        <v>0</v>
      </c>
      <c r="BA83" s="1761"/>
      <c r="BB83" s="1761" t="b">
        <f>IF(OR(J83&lt;&gt;"",L83&lt;&gt;"",N83&lt;&gt;"",P83&lt;&gt;""),FALSE,IF(AND(C83&lt;&gt;"",T83=""),TRUE,FALSE))</f>
        <v>0</v>
      </c>
      <c r="BC83" s="1761" t="b">
        <f>IF(AND($C83&lt;&gt;"",$V83=""),TRUE,FALSE)</f>
        <v>0</v>
      </c>
      <c r="BD83" s="1761" t="b">
        <f ca="1">IF(AND(X83="",OR(Z83&lt;&gt;"",AB83&lt;&gt;"",AF83&lt;&gt;"",AH83&lt;&gt;"",AL83&lt;&gt;"",AD83&lt;&gt;"")),TRUE,FALSE)</f>
        <v>0</v>
      </c>
      <c r="BE83" s="1761" t="b">
        <f>IF(AND($C83&lt;&gt;"",$X83=""),TRUE,FALSE)</f>
        <v>0</v>
      </c>
      <c r="BF83" s="1761" t="b">
        <f>IF(Z83="",FALSE,IF(X83="",FALSE,IF(BG83=TRUE,FALSE,IF(OR(Z83&lt;BU83,Z83&gt;BaseYear),TRUE,FALSE))))</f>
        <v>0</v>
      </c>
      <c r="BG83" s="1761" t="b">
        <f>IF(AND($C83&lt;&gt;"",$Z83=""),TRUE,FALSE)</f>
        <v>0</v>
      </c>
      <c r="BH83" s="1761" t="b">
        <f>IF(AD83="",FALSE,IF(X83="",FALSE,IF(BJ83=TRUE,FALSE,IF(AB83&lt;BX83,TRUE,FALSE))))</f>
        <v>0</v>
      </c>
      <c r="BI83" s="1761" t="b">
        <f>IF(AD83="",FALSE,IF(X83="",FALSE,IF(BJ83=TRUE,FALSE,IF(AB83&gt;BY83,TRUE,FALSE))))</f>
        <v>0</v>
      </c>
      <c r="BJ83" s="1761" t="b">
        <f>IF(AND($C83&lt;&gt;"",$AB83=""),TRUE,FALSE)</f>
        <v>0</v>
      </c>
      <c r="BK83" s="1761" t="b">
        <f>IF(BL83=TRUE,FALSE,IF(OR(AF83&lt;0,AF83&gt;1),TRUE,FALSE))</f>
        <v>0</v>
      </c>
      <c r="BL83" s="1761" t="b">
        <f>IF(AND($C83&lt;&gt;"",$AF83=""),TRUE,FALSE)</f>
        <v>0</v>
      </c>
      <c r="BM83" s="1761"/>
      <c r="BN83" s="1761" t="b">
        <f ca="1">IF(AND($C83&lt;&gt;"",$AH83=""),TRUE,FALSE)</f>
        <v>0</v>
      </c>
      <c r="BO83" s="1761" t="b">
        <f>IF(AL83="",FALSE,IF(X83="",FALSE,IF(BP83=TRUE,FALSE,IF(OR(AL83&lt;1913,AL83&gt;BaseYear),TRUE,FALSE))))</f>
        <v>0</v>
      </c>
      <c r="BP83" s="1761" t="b">
        <f>IF(AND($C83&lt;&gt;"",$AL83=""),TRUE,FALSE)</f>
        <v>0</v>
      </c>
      <c r="BQ83" s="1761" t="b">
        <f>IF(AD83="Square Foot",FALSE,IF(AND(AD83="Parking Space",OR('A-20 PassFacInv'!X83=Valid!$B$7,'A-20 PassFacInv'!X83=Valid!$B$8,'A-20 PassFacInv'!X83=Valid!$B$9,'A-20 PassFacInv'!X83=Valid!$B$10,'A-20 PassFacInv'!X83=Valid!$B$12,'A-20 PassFacInv'!X83=Valid!$B$13,'A-20 PassFacInv'!X83=Valid!$B$14,'A-20 PassFacInv'!X83=Valid!$B$15,'A-20 PassFacInv'!X83=Valid!$B$16,'A-20 PassFacInv'!X83=Valid!$B$17,'A-20 PassFacInv'!X83=Valid!$B$18,X83=Valid!$B$19,X83=Valid!$B$20,X83=Valid!$B$21)),TRUE,FALSE))</f>
        <v>0</v>
      </c>
      <c r="BR83" s="1761" t="b">
        <f>IF(AND($C83&lt;&gt;"",$AD83=""),TRUE,FALSE)</f>
        <v>0</v>
      </c>
      <c r="BS83" s="721"/>
      <c r="BT83" s="1625" t="str">
        <f>IF($X83="","",VLOOKUP($X83,val_facilities,BT$3,FALSE))</f>
        <v/>
      </c>
      <c r="BU83" s="1627" t="str">
        <f>IF($X83="","",VLOOKUP($X83,val_facilities,BU$3,FALSE))</f>
        <v/>
      </c>
      <c r="BV83" s="1627" t="str">
        <f>IF($X83="","",VLOOKUP($X83,val_facilities,BV$3,FALSE))</f>
        <v/>
      </c>
      <c r="BW83" s="1627" t="str">
        <f ca="1">IFERROR(IF(Z83="", "", YEAR(TODAY())-Z83), "")</f>
        <v/>
      </c>
      <c r="BX83" s="845" t="str">
        <f>IF($X83="","",IF(AD83="Square Feet",VLOOKUP('A-20 PassFacInv'!X48,Valid!$B$7:$H$24,7,FALSE),IF(AD83="Parking Spaces",VLOOKUP(X83,Valid!$B$22:$L$24,11,FALSE))))</f>
        <v/>
      </c>
      <c r="BY83" s="845" t="str">
        <f>IF($X83="","",IF(AD83="Square Feet",VLOOKUP(X83,Valid!$B$7:$I$24,8,FALSE),IF('A-20 PassFacInv'!AD48="Parking Spaces",VLOOKUP('A-20 PassFacInv'!X48,Valid!$B$22:$M$24,12,FALSE))))</f>
        <v/>
      </c>
      <c r="BZ83" s="1229"/>
      <c r="CA83" s="721">
        <f t="shared" si="2"/>
        <v>0</v>
      </c>
      <c r="CB83" s="816"/>
    </row>
    <row r="84" spans="1:80" s="1739" customFormat="1" ht="6.75" customHeight="1" thickBot="1" x14ac:dyDescent="0.25">
      <c r="A84" s="1638"/>
      <c r="B84" s="1746">
        <v>36.5</v>
      </c>
      <c r="C84" s="1057"/>
      <c r="D84" s="1248"/>
      <c r="E84" s="1639"/>
      <c r="F84" s="1229"/>
      <c r="G84" s="1229"/>
      <c r="H84" s="1229"/>
      <c r="I84" s="1229"/>
      <c r="J84" s="1604"/>
      <c r="K84" s="1640"/>
      <c r="L84" s="1641"/>
      <c r="M84" s="1248"/>
      <c r="N84" s="1641"/>
      <c r="O84" s="1248"/>
      <c r="P84" s="1659"/>
      <c r="Q84" s="1248"/>
      <c r="R84" s="1660"/>
      <c r="S84" s="1640"/>
      <c r="T84" s="1660"/>
      <c r="U84" s="1640"/>
      <c r="V84" s="1057"/>
      <c r="W84" s="1618"/>
      <c r="X84" s="1747"/>
      <c r="Y84" s="1618"/>
      <c r="Z84" s="1623"/>
      <c r="AA84" s="1618"/>
      <c r="AB84" s="1944"/>
      <c r="AC84" s="1275"/>
      <c r="AD84" s="1661"/>
      <c r="AE84" s="734"/>
      <c r="AF84" s="1748"/>
      <c r="AG84" s="1275"/>
      <c r="AH84" s="722"/>
      <c r="AI84" s="1275"/>
      <c r="AJ84" s="733"/>
      <c r="AK84" s="1275"/>
      <c r="AL84" s="1721"/>
      <c r="AM84" s="1275"/>
      <c r="AN84" s="1057"/>
      <c r="AO84" s="1644"/>
      <c r="AP84" s="1644"/>
      <c r="AQ84" s="1644"/>
      <c r="AR84" s="1644"/>
      <c r="AS84" s="1644"/>
      <c r="AT84" s="1761"/>
      <c r="AU84" s="1761"/>
      <c r="AV84" s="1761"/>
      <c r="AW84" s="1761"/>
      <c r="AX84" s="1761"/>
      <c r="AY84" s="1761"/>
      <c r="AZ84" s="1761"/>
      <c r="BA84" s="1761"/>
      <c r="BB84" s="1761"/>
      <c r="BC84" s="1762"/>
      <c r="BD84" s="1762"/>
      <c r="BE84" s="1762"/>
      <c r="BF84" s="1762"/>
      <c r="BG84" s="1762"/>
      <c r="BH84" s="1762"/>
      <c r="BI84" s="1762"/>
      <c r="BJ84" s="1762"/>
      <c r="BK84" s="1762"/>
      <c r="BL84" s="1762"/>
      <c r="BM84" s="1762"/>
      <c r="BN84" s="1762"/>
      <c r="BO84" s="1762"/>
      <c r="BP84" s="1762"/>
      <c r="BQ84" s="1762"/>
      <c r="BR84" s="1762"/>
      <c r="BS84" s="1736"/>
      <c r="BT84" s="1738"/>
      <c r="BU84" s="1738"/>
      <c r="BV84" s="1738"/>
      <c r="BW84" s="1738"/>
      <c r="BX84" s="1738"/>
      <c r="BY84" s="1738"/>
      <c r="BZ84" s="1229"/>
      <c r="CA84" s="721">
        <f t="shared" si="2"/>
        <v>0</v>
      </c>
      <c r="CB84" s="816"/>
    </row>
    <row r="85" spans="1:80" s="1739" customFormat="1" x14ac:dyDescent="0.2">
      <c r="A85" s="840">
        <v>37</v>
      </c>
      <c r="B85" s="1746">
        <v>37</v>
      </c>
      <c r="C85" s="1740"/>
      <c r="D85" s="1248" t="str">
        <f>IF(C83="","",IF((C85=""),"Enter Facility "&amp;TEXT(A85,0)&amp;" Name, then Fill in Columns "&amp;TEXT($H$2,0)&amp;" - "&amp;TEXT($AL$2,0)&amp;"       ",""))</f>
        <v/>
      </c>
      <c r="E85" s="1245" t="str">
        <f ca="1">IF(AS85="N/A","",IF(AS85="N","No","Yes"))</f>
        <v/>
      </c>
      <c r="F85" s="758"/>
      <c r="G85" s="758"/>
      <c r="H85" s="1707"/>
      <c r="I85" s="758"/>
      <c r="J85" s="1653"/>
      <c r="K85" s="1248" t="str">
        <f ca="1">IF($E85&lt;&gt;"","Enter Street Address      ","")</f>
        <v/>
      </c>
      <c r="L85" s="1740"/>
      <c r="M85" s="1248" t="str">
        <f ca="1">IF($E85&lt;&gt;"","Enter City Name       ","")</f>
        <v/>
      </c>
      <c r="N85" s="1740"/>
      <c r="O85" s="1248" t="str">
        <f ca="1">IF($E85&lt;&gt;"","Select from Pull-Down List   ","")</f>
        <v/>
      </c>
      <c r="P85" s="1741"/>
      <c r="Q85" s="1248" t="str">
        <f ca="1">IF($E85&lt;&gt;"","Enter ZIP Code       ","")</f>
        <v/>
      </c>
      <c r="R85" s="1742"/>
      <c r="S85" s="1248" t="str">
        <f ca="1">IF(OR(N85&lt;&gt;"",P85&lt;&gt;"",J85&lt;&gt;"",L85&lt;&gt;""),"",IF($E85&lt;&gt;"","Enter Lat.      ",""))</f>
        <v/>
      </c>
      <c r="T85" s="1742"/>
      <c r="U85" s="1248" t="str">
        <f ca="1">IF(OR(N85&lt;&gt;"",P85&lt;&gt;"",J85&lt;&gt;"",L85&lt;&gt;""),"",IF($E85&lt;&gt;"","Enter Long.    ",""))</f>
        <v/>
      </c>
      <c r="V85" s="1653"/>
      <c r="W85" s="1618" t="str">
        <f ca="1">IF($E85&lt;&gt;"","Select from Pull-Down List  ","")</f>
        <v/>
      </c>
      <c r="X85" s="1653"/>
      <c r="Y85" s="1618" t="str">
        <f ca="1">IF($E85&lt;&gt;"","Select from Pull-Down List  ","")</f>
        <v/>
      </c>
      <c r="Z85" s="1743"/>
      <c r="AA85" s="1248" t="str">
        <f ca="1">IF(E85&lt;&gt;"","Year?   ","")</f>
        <v/>
      </c>
      <c r="AB85" s="1943"/>
      <c r="AC85" s="1620" t="str">
        <f ca="1">IF(E85="","",IF(X85="","Sq. Ft. or Spaces?   ",IF(OR(X85=Codes!$L$26,X85=Codes!$L$27,X85=Codes!$L$28),"Sq. Ft. or Spaces?   ",IF(OR(X85=Codes!$L$20,X85=Codes!$L$21,X85=Codes!$L$22,X85=Codes!$L$23,X85=Codes!$L$24,X85=Codes!$L$25),"Sq. Ft?     ",""))))</f>
        <v/>
      </c>
      <c r="AD85" s="1740"/>
      <c r="AE85" s="1618" t="str">
        <f ca="1">IF($E85&lt;&gt;"","Select from List     ","")</f>
        <v/>
      </c>
      <c r="AF85" s="1621"/>
      <c r="AG85" s="1618" t="str">
        <f ca="1">IF($E85&lt;&gt;"","% of Cap Resp.","")</f>
        <v/>
      </c>
      <c r="AH85" s="1801" t="str">
        <f ca="1">IF(BW85="", "", IF(BW85&gt;100, 1, VLOOKUP(BW85, Valid!$W$1:$AA$101, VLOOKUP(X85, Codes!$L$20:$N$28, 3, FALSE), FALSE)))</f>
        <v/>
      </c>
      <c r="AI85" s="1620" t="str">
        <f ca="1">IF($E85&lt;&gt;"","Estimated?  ","")</f>
        <v/>
      </c>
      <c r="AJ85" s="1654"/>
      <c r="AK85" s="1620" t="str">
        <f ca="1">IF($E85&lt;&gt;"","Estimated $?    ","")</f>
        <v/>
      </c>
      <c r="AL85" s="1730"/>
      <c r="AM85" s="1620" t="b">
        <f ca="1">IF(E85&lt;&gt;"","Est Date?    ")</f>
        <v>0</v>
      </c>
      <c r="AN85" s="1740"/>
      <c r="AO85" s="1248" t="str">
        <f>IF(X85="Other (describe in Notes)","Describe Facility.                                                                                                                        ","")</f>
        <v/>
      </c>
      <c r="AP85" s="1624"/>
      <c r="AQ85" s="1624" t="b">
        <f>IF(AND(C85="",C87&lt;&gt;""),TRUE,FALSE)</f>
        <v>0</v>
      </c>
      <c r="AR85" s="1624" t="str">
        <f>IF(AND(J85&lt;&gt;"",L85&lt;&gt;"",N85&lt;&gt;"",P85&lt;&gt;"",R85="",T85=""),"Y",IF(AND(J85="",L85="",N85="",P85="",R85&lt;&gt;"",T85&lt;&gt;""),"Y",IF(AND(J85&lt;&gt;"",L85&lt;&gt;"",N85&lt;&gt;"",P85&lt;&gt;"",R85&lt;&gt;"",T85&lt;&gt;""),"Y",IF(AND(J85="",L85="",N85="",P85="",R85="",T85=""),"N/A","N"))))</f>
        <v>N/A</v>
      </c>
      <c r="AS85" s="1624" t="str">
        <f ca="1">IF(AND($C85&lt;&gt;"",OR(AR85="N",$V85="",$X85="",$Z85="",$AB85="",$AF85="",$AH85="",$AL85="",AD85="")),"N",IF(AND($C85="",OR(H85&lt;&gt;"",AR85="N",$V85&lt;&gt;"",$X85&lt;&gt;"",$Z85&lt;&gt;"",$AB85&lt;&gt;"",$AF85&lt;&gt;"",$AH85&lt;&gt;"",$AL85&lt;&gt;"",AD85&lt;&gt;"")),"N",IF(AND(H85="",$C85="",AR85="N/A",$V85="",$X85="",$Z85="",$AB85="",$AF85="",$AH85="",$AL85="",AD85=""),"N/A",IF(AND($C85&lt;&gt;"",AR85="Y",$V85&lt;&gt;"",$X85&lt;&gt;"",$Z85&lt;&gt;"",$AB85&lt;&gt;"",$AF85&lt;&gt;"",$AH85&lt;&gt;"",$AL85&lt;&gt;"",AD85&lt;&gt;""),"Y","N"))))</f>
        <v>N/A</v>
      </c>
      <c r="AT85" s="1761" t="b">
        <f ca="1">IF(AND($C85="",OR($J85&lt;&gt;"",$L85&lt;&gt;"",$N85&lt;&gt;"",$P85&lt;&gt;"",$V85&lt;&gt;"",$X85&lt;&gt;"",$Z85&lt;&gt;"",$AB85&lt;&gt;"",$AF85&lt;&gt;"",$AH85&lt;&gt;"",$AL85&lt;&gt;"")),TRUE,FALSE)</f>
        <v>0</v>
      </c>
      <c r="AU85" s="1761" t="b">
        <f>IF(OR(R85&lt;&gt;"",T85&lt;&gt;""),"false",IF(AND($C85&lt;&gt;"",$J85=""),TRUE,FALSE))</f>
        <v>0</v>
      </c>
      <c r="AV85" s="1761" t="b">
        <f>IF(OR(R85&lt;&gt;"",T85&lt;&gt;""),FALSE,IF(AND($C85&lt;&gt;"",$L85=""),TRUE,FALSE))</f>
        <v>0</v>
      </c>
      <c r="AW85" s="1761" t="b">
        <f>IF(OR(R85&lt;&gt;"",T85&lt;&gt;""),FALSE,IF(AND($C85&lt;&gt;"",$N85=""),TRUE,FALSE))</f>
        <v>0</v>
      </c>
      <c r="AX85" s="1761" t="b">
        <f>IF(OR(R85&lt;&gt;"",T85&lt;&gt;""),FALSE,IF(AND($C85&lt;&gt;"",$P85=""),TRUE,FALSE))</f>
        <v>0</v>
      </c>
      <c r="AY85" s="1761"/>
      <c r="AZ85" s="1761" t="b">
        <f>IF(OR(J85&lt;&gt;"",L85&lt;&gt;"",N85&lt;&gt;"",P85&lt;&gt;""),FALSE,IF(AND(C85&lt;&gt;"",R85=""),TRUE,FALSE))</f>
        <v>0</v>
      </c>
      <c r="BA85" s="1761"/>
      <c r="BB85" s="1761" t="b">
        <f>IF(OR(J85&lt;&gt;"",L85&lt;&gt;"",N85&lt;&gt;"",P85&lt;&gt;""),FALSE,IF(AND(C85&lt;&gt;"",T85=""),TRUE,FALSE))</f>
        <v>0</v>
      </c>
      <c r="BC85" s="1761" t="b">
        <f>IF(AND($C85&lt;&gt;"",$V85=""),TRUE,FALSE)</f>
        <v>0</v>
      </c>
      <c r="BD85" s="1761" t="b">
        <f ca="1">IF(AND(X85="",OR(Z85&lt;&gt;"",AB85&lt;&gt;"",AF85&lt;&gt;"",AH85&lt;&gt;"",AL85&lt;&gt;"",AD85&lt;&gt;"")),TRUE,FALSE)</f>
        <v>0</v>
      </c>
      <c r="BE85" s="1761" t="b">
        <f>IF(AND($C85&lt;&gt;"",$X85=""),TRUE,FALSE)</f>
        <v>0</v>
      </c>
      <c r="BF85" s="1761" t="b">
        <f>IF(Z85="",FALSE,IF(X85="",FALSE,IF(BG85=TRUE,FALSE,IF(OR(Z85&lt;BU85,Z85&gt;BaseYear),TRUE,FALSE))))</f>
        <v>0</v>
      </c>
      <c r="BG85" s="1761" t="b">
        <f>IF(AND($C85&lt;&gt;"",$Z85=""),TRUE,FALSE)</f>
        <v>0</v>
      </c>
      <c r="BH85" s="1761" t="b">
        <f>IF(AD85="",FALSE,IF(X85="",FALSE,IF(BJ85=TRUE,FALSE,IF(AB85&lt;BX85,TRUE,FALSE))))</f>
        <v>0</v>
      </c>
      <c r="BI85" s="1761" t="b">
        <f>IF(AD85="",FALSE,IF(X85="",FALSE,IF(BJ85=TRUE,FALSE,IF(AB85&gt;BY85,TRUE,FALSE))))</f>
        <v>0</v>
      </c>
      <c r="BJ85" s="1761" t="b">
        <f>IF(AND($C85&lt;&gt;"",$AB85=""),TRUE,FALSE)</f>
        <v>0</v>
      </c>
      <c r="BK85" s="1761" t="b">
        <f>IF(BL85=TRUE,FALSE,IF(OR(AF85&lt;0,AF85&gt;1),TRUE,FALSE))</f>
        <v>0</v>
      </c>
      <c r="BL85" s="1761" t="b">
        <f>IF(AND($C85&lt;&gt;"",$AF85=""),TRUE,FALSE)</f>
        <v>0</v>
      </c>
      <c r="BM85" s="1761"/>
      <c r="BN85" s="1761" t="b">
        <f ca="1">IF(AND($C85&lt;&gt;"",$AH85=""),TRUE,FALSE)</f>
        <v>0</v>
      </c>
      <c r="BO85" s="1761" t="b">
        <f>IF(AL85="",FALSE,IF(X85="",FALSE,IF(BP85=TRUE,FALSE,IF(OR(AL85&lt;1913,AL85&gt;BaseYear),TRUE,FALSE))))</f>
        <v>0</v>
      </c>
      <c r="BP85" s="1761" t="b">
        <f>IF(AND($C85&lt;&gt;"",$AL85=""),TRUE,FALSE)</f>
        <v>0</v>
      </c>
      <c r="BQ85" s="1761" t="b">
        <f>IF(AD85="Square Foot",FALSE,IF(AND(AD85="Parking Space",OR('A-20 PassFacInv'!X85=Valid!$B$7,'A-20 PassFacInv'!X85=Valid!$B$8,'A-20 PassFacInv'!X85=Valid!$B$9,'A-20 PassFacInv'!X85=Valid!$B$10,'A-20 PassFacInv'!X85=Valid!$B$12,'A-20 PassFacInv'!X85=Valid!$B$13,'A-20 PassFacInv'!X85=Valid!$B$14,'A-20 PassFacInv'!X85=Valid!$B$15,'A-20 PassFacInv'!X85=Valid!$B$16,'A-20 PassFacInv'!X85=Valid!$B$17,'A-20 PassFacInv'!X85=Valid!$B$18,X85=Valid!$B$19,X85=Valid!$B$20,X85=Valid!$B$21)),TRUE,FALSE))</f>
        <v>0</v>
      </c>
      <c r="BR85" s="1761" t="b">
        <f>IF(AND($C85&lt;&gt;"",$AD85=""),TRUE,FALSE)</f>
        <v>0</v>
      </c>
      <c r="BS85" s="721"/>
      <c r="BT85" s="1625" t="str">
        <f>IF($X85="","",VLOOKUP($X85,val_facilities,BT$3,FALSE))</f>
        <v/>
      </c>
      <c r="BU85" s="1627" t="str">
        <f>IF($X85="","",VLOOKUP($X85,val_facilities,BU$3,FALSE))</f>
        <v/>
      </c>
      <c r="BV85" s="1627" t="str">
        <f>IF($X85="","",VLOOKUP($X85,val_facilities,BV$3,FALSE))</f>
        <v/>
      </c>
      <c r="BW85" s="1627" t="str">
        <f ca="1">IFERROR(IF(Z85="", "", YEAR(TODAY())-Z85), "")</f>
        <v/>
      </c>
      <c r="BX85" s="845" t="str">
        <f>IF($X85="","",IF(AD85="Square Feet",VLOOKUP('A-20 PassFacInv'!X49,Valid!$B$7:$H$24,7,FALSE),IF(AD85="Parking Spaces",VLOOKUP(X85,Valid!$B$22:$L$24,11,FALSE))))</f>
        <v/>
      </c>
      <c r="BY85" s="845" t="str">
        <f>IF($X85="","",IF(AD85="Square Feet",VLOOKUP(X85,Valid!$B$7:$I$24,8,FALSE),IF('A-20 PassFacInv'!AD49="Parking Spaces",VLOOKUP('A-20 PassFacInv'!X49,Valid!$B$22:$M$24,12,FALSE))))</f>
        <v/>
      </c>
      <c r="BZ85" s="1229"/>
      <c r="CA85" s="721">
        <f t="shared" si="2"/>
        <v>0</v>
      </c>
      <c r="CB85" s="816"/>
    </row>
    <row r="86" spans="1:80" s="1739" customFormat="1" ht="6.75" customHeight="1" thickBot="1" x14ac:dyDescent="0.25">
      <c r="A86" s="1638"/>
      <c r="B86" s="1746">
        <v>37.5</v>
      </c>
      <c r="C86" s="1057"/>
      <c r="D86" s="1248"/>
      <c r="E86" s="1057"/>
      <c r="F86" s="1229"/>
      <c r="G86" s="1229"/>
      <c r="H86" s="1229"/>
      <c r="I86" s="1229"/>
      <c r="J86" s="1604"/>
      <c r="K86" s="1640"/>
      <c r="L86" s="1605"/>
      <c r="M86" s="1646"/>
      <c r="N86" s="1605"/>
      <c r="O86" s="1646"/>
      <c r="P86" s="1733"/>
      <c r="Q86" s="1646"/>
      <c r="R86" s="1660"/>
      <c r="S86" s="1640"/>
      <c r="T86" s="1660"/>
      <c r="U86" s="1640"/>
      <c r="V86" s="1057"/>
      <c r="W86" s="1618"/>
      <c r="X86" s="1747"/>
      <c r="Y86" s="1618"/>
      <c r="Z86" s="1623"/>
      <c r="AA86" s="1618"/>
      <c r="AB86" s="1944"/>
      <c r="AC86" s="1648"/>
      <c r="AD86" s="1661"/>
      <c r="AE86" s="841"/>
      <c r="AF86" s="841"/>
      <c r="AG86" s="1648"/>
      <c r="AH86" s="733"/>
      <c r="AI86" s="1648"/>
      <c r="AJ86" s="722"/>
      <c r="AK86" s="1648"/>
      <c r="AL86" s="1717"/>
      <c r="AM86" s="1648"/>
      <c r="AN86" s="1057"/>
      <c r="AO86" s="1644"/>
      <c r="AP86" s="1644"/>
      <c r="AQ86" s="1644"/>
      <c r="AR86" s="1644"/>
      <c r="AS86" s="1644"/>
      <c r="AT86" s="1761"/>
      <c r="AU86" s="1761"/>
      <c r="AV86" s="1761"/>
      <c r="AW86" s="1761"/>
      <c r="AX86" s="1761"/>
      <c r="AY86" s="1761"/>
      <c r="AZ86" s="1761"/>
      <c r="BA86" s="1761"/>
      <c r="BB86" s="1761"/>
      <c r="BC86" s="1762"/>
      <c r="BD86" s="1762"/>
      <c r="BE86" s="1762"/>
      <c r="BF86" s="1762"/>
      <c r="BG86" s="1762"/>
      <c r="BH86" s="1762"/>
      <c r="BI86" s="1762"/>
      <c r="BJ86" s="1762"/>
      <c r="BK86" s="1762"/>
      <c r="BL86" s="1762"/>
      <c r="BM86" s="1762"/>
      <c r="BN86" s="1762"/>
      <c r="BO86" s="1762"/>
      <c r="BP86" s="1762"/>
      <c r="BQ86" s="1762"/>
      <c r="BR86" s="1762"/>
      <c r="BS86" s="1736"/>
      <c r="BT86" s="1738"/>
      <c r="BU86" s="1738"/>
      <c r="BV86" s="1738"/>
      <c r="BW86" s="1738"/>
      <c r="BX86" s="1738"/>
      <c r="BY86" s="1738"/>
      <c r="BZ86" s="1229"/>
      <c r="CA86" s="721">
        <f t="shared" si="2"/>
        <v>0</v>
      </c>
      <c r="CB86" s="1748"/>
    </row>
    <row r="87" spans="1:80" s="1739" customFormat="1" x14ac:dyDescent="0.2">
      <c r="A87" s="840">
        <v>38</v>
      </c>
      <c r="B87" s="1746">
        <v>38</v>
      </c>
      <c r="C87" s="1740"/>
      <c r="D87" s="1248" t="str">
        <f>IF(C85="","",IF((C87=""),"Enter Facility "&amp;TEXT(A87,0)&amp;" Name, then Fill in Columns "&amp;TEXT($H$2,0)&amp;" - "&amp;TEXT($AL$2,0)&amp;"       ",""))</f>
        <v/>
      </c>
      <c r="E87" s="1245" t="str">
        <f ca="1">IF(AS87="N/A","",IF(AS87="N","No","Yes"))</f>
        <v/>
      </c>
      <c r="F87" s="758"/>
      <c r="G87" s="758"/>
      <c r="H87" s="1707"/>
      <c r="I87" s="758"/>
      <c r="J87" s="1653"/>
      <c r="K87" s="1248" t="str">
        <f ca="1">IF($E87&lt;&gt;"","Enter Street Address      ","")</f>
        <v/>
      </c>
      <c r="L87" s="1740"/>
      <c r="M87" s="1248" t="str">
        <f ca="1">IF($E87&lt;&gt;"","Enter City Name       ","")</f>
        <v/>
      </c>
      <c r="N87" s="1740"/>
      <c r="O87" s="1248" t="str">
        <f ca="1">IF($E87&lt;&gt;"","Select from Pull-Down List   ","")</f>
        <v/>
      </c>
      <c r="P87" s="1741"/>
      <c r="Q87" s="1248" t="str">
        <f ca="1">IF($E87&lt;&gt;"","Enter ZIP Code       ","")</f>
        <v/>
      </c>
      <c r="R87" s="1742"/>
      <c r="S87" s="1248" t="str">
        <f ca="1">IF(OR(N87&lt;&gt;"",P87&lt;&gt;"",J87&lt;&gt;"",L87&lt;&gt;""),"",IF($E87&lt;&gt;"","Enter Lat.      ",""))</f>
        <v/>
      </c>
      <c r="T87" s="1742"/>
      <c r="U87" s="1248" t="str">
        <f ca="1">IF(OR(N87&lt;&gt;"",P87&lt;&gt;"",J87&lt;&gt;"",L87&lt;&gt;""),"",IF($E87&lt;&gt;"","Enter Long.    ",""))</f>
        <v/>
      </c>
      <c r="V87" s="1653"/>
      <c r="W87" s="1618" t="str">
        <f ca="1">IF($E87&lt;&gt;"","Select from Pull-Down List  ","")</f>
        <v/>
      </c>
      <c r="X87" s="1653"/>
      <c r="Y87" s="1618" t="str">
        <f ca="1">IF($E87&lt;&gt;"","Select from Pull-Down List  ","")</f>
        <v/>
      </c>
      <c r="Z87" s="1743"/>
      <c r="AA87" s="1248" t="str">
        <f ca="1">IF(E87&lt;&gt;"","Year?   ","")</f>
        <v/>
      </c>
      <c r="AB87" s="1943"/>
      <c r="AC87" s="1620" t="str">
        <f ca="1">IF(E87="","",IF(X87="","Sq. Ft. or Spaces?   ",IF(OR(X87=Codes!$L$26,X87=Codes!$L$27,X87=Codes!$L$28),"Sq. Ft. or Spaces?   ",IF(OR(X87=Codes!$L$20,X87=Codes!$L$21,X87=Codes!$L$22,X87=Codes!$L$23,X87=Codes!$L$24,X87=Codes!$L$25),"Sq. Ft?     ",""))))</f>
        <v/>
      </c>
      <c r="AD87" s="1740"/>
      <c r="AE87" s="1618" t="str">
        <f ca="1">IF($E87&lt;&gt;"","Select from List     ","")</f>
        <v/>
      </c>
      <c r="AF87" s="1621"/>
      <c r="AG87" s="1618" t="str">
        <f ca="1">IF($E87&lt;&gt;"","% of Cap Resp.","")</f>
        <v/>
      </c>
      <c r="AH87" s="1801" t="str">
        <f ca="1">IF(BW87="", "", IF(BW87&gt;100, 1, VLOOKUP(BW87, Valid!$W$1:$AA$101, VLOOKUP(X87, Codes!$L$20:$N$28, 3, FALSE), FALSE)))</f>
        <v/>
      </c>
      <c r="AI87" s="1620" t="str">
        <f ca="1">IF($E87&lt;&gt;"","Estimated?  ","")</f>
        <v/>
      </c>
      <c r="AJ87" s="1654"/>
      <c r="AK87" s="1620" t="str">
        <f ca="1">IF($E87&lt;&gt;"","Estimated $?    ","")</f>
        <v/>
      </c>
      <c r="AL87" s="1730"/>
      <c r="AM87" s="1620" t="b">
        <f ca="1">IF(E87&lt;&gt;"","Est Date?    ")</f>
        <v>0</v>
      </c>
      <c r="AN87" s="1740"/>
      <c r="AO87" s="1248" t="str">
        <f>IF(X87="Other (describe in Notes)","Describe Facility.                                                                                                                        ","")</f>
        <v/>
      </c>
      <c r="AP87" s="1624"/>
      <c r="AQ87" s="1624" t="b">
        <f>IF(AND(C87="",C89&lt;&gt;""),TRUE,FALSE)</f>
        <v>0</v>
      </c>
      <c r="AR87" s="1624" t="str">
        <f>IF(AND(J87&lt;&gt;"",L87&lt;&gt;"",N87&lt;&gt;"",P87&lt;&gt;"",R87="",T87=""),"Y",IF(AND(J87="",L87="",N87="",P87="",R87&lt;&gt;"",T87&lt;&gt;""),"Y",IF(AND(J87&lt;&gt;"",L87&lt;&gt;"",N87&lt;&gt;"",P87&lt;&gt;"",R87&lt;&gt;"",T87&lt;&gt;""),"Y",IF(AND(J87="",L87="",N87="",P87="",R87="",T87=""),"N/A","N"))))</f>
        <v>N/A</v>
      </c>
      <c r="AS87" s="1624" t="str">
        <f ca="1">IF(AND($C87&lt;&gt;"",OR(AR87="N",$V87="",$X87="",$Z87="",$AB87="",$AF87="",$AH87="",$AL87="",AD87="")),"N",IF(AND($C87="",OR(H87&lt;&gt;"",AR87="N",$V87&lt;&gt;"",$X87&lt;&gt;"",$Z87&lt;&gt;"",$AB87&lt;&gt;"",$AF87&lt;&gt;"",$AH87&lt;&gt;"",$AL87&lt;&gt;"",AD87&lt;&gt;"")),"N",IF(AND(H87="",$C87="",AR87="N/A",$V87="",$X87="",$Z87="",$AB87="",$AF87="",$AH87="",$AL87="",AD87=""),"N/A",IF(AND($C87&lt;&gt;"",AR87="Y",$V87&lt;&gt;"",$X87&lt;&gt;"",$Z87&lt;&gt;"",$AB87&lt;&gt;"",$AF87&lt;&gt;"",$AH87&lt;&gt;"",$AL87&lt;&gt;"",AD87&lt;&gt;""),"Y","N"))))</f>
        <v>N/A</v>
      </c>
      <c r="AT87" s="1761" t="b">
        <f ca="1">IF(AND($C87="",OR($J87&lt;&gt;"",$L87&lt;&gt;"",$N87&lt;&gt;"",$P87&lt;&gt;"",$V87&lt;&gt;"",$X87&lt;&gt;"",$Z87&lt;&gt;"",$AB87&lt;&gt;"",$AF87&lt;&gt;"",$AH87&lt;&gt;"",$AL87&lt;&gt;"")),TRUE,FALSE)</f>
        <v>0</v>
      </c>
      <c r="AU87" s="1761" t="b">
        <f>IF(OR(R87&lt;&gt;"",T87&lt;&gt;""),"false",IF(AND($C87&lt;&gt;"",$J87=""),TRUE,FALSE))</f>
        <v>0</v>
      </c>
      <c r="AV87" s="1761" t="b">
        <f>IF(OR(R87&lt;&gt;"",T87&lt;&gt;""),FALSE,IF(AND($C87&lt;&gt;"",$L87=""),TRUE,FALSE))</f>
        <v>0</v>
      </c>
      <c r="AW87" s="1761" t="b">
        <f>IF(OR(R87&lt;&gt;"",T87&lt;&gt;""),FALSE,IF(AND($C87&lt;&gt;"",$N87=""),TRUE,FALSE))</f>
        <v>0</v>
      </c>
      <c r="AX87" s="1761" t="b">
        <f>IF(OR(R87&lt;&gt;"",T87&lt;&gt;""),FALSE,IF(AND($C87&lt;&gt;"",$P87=""),TRUE,FALSE))</f>
        <v>0</v>
      </c>
      <c r="AY87" s="1761"/>
      <c r="AZ87" s="1761" t="b">
        <f>IF(OR(J87&lt;&gt;"",L87&lt;&gt;"",N87&lt;&gt;"",P87&lt;&gt;""),FALSE,IF(AND(C87&lt;&gt;"",R87=""),TRUE,FALSE))</f>
        <v>0</v>
      </c>
      <c r="BA87" s="1761"/>
      <c r="BB87" s="1761" t="b">
        <f>IF(OR(J87&lt;&gt;"",L87&lt;&gt;"",N87&lt;&gt;"",P87&lt;&gt;""),FALSE,IF(AND(C87&lt;&gt;"",T87=""),TRUE,FALSE))</f>
        <v>0</v>
      </c>
      <c r="BC87" s="1761" t="b">
        <f>IF(AND($C87&lt;&gt;"",$V87=""),TRUE,FALSE)</f>
        <v>0</v>
      </c>
      <c r="BD87" s="1761" t="b">
        <f ca="1">IF(AND(X87="",OR(Z87&lt;&gt;"",AB87&lt;&gt;"",AF87&lt;&gt;"",AH87&lt;&gt;"",AL87&lt;&gt;"",AD87&lt;&gt;"")),TRUE,FALSE)</f>
        <v>0</v>
      </c>
      <c r="BE87" s="1761" t="b">
        <f>IF(AND($C87&lt;&gt;"",$X87=""),TRUE,FALSE)</f>
        <v>0</v>
      </c>
      <c r="BF87" s="1761" t="b">
        <f>IF(Z87="",FALSE,IF(X87="",FALSE,IF(BG87=TRUE,FALSE,IF(OR(Z87&lt;BU87,Z87&gt;BaseYear),TRUE,FALSE))))</f>
        <v>0</v>
      </c>
      <c r="BG87" s="1761" t="b">
        <f>IF(AND($C87&lt;&gt;"",$Z87=""),TRUE,FALSE)</f>
        <v>0</v>
      </c>
      <c r="BH87" s="1761" t="b">
        <f>IF(AD87="",FALSE,IF(X87="",FALSE,IF(BJ87=TRUE,FALSE,IF(AB87&lt;BX87,TRUE,FALSE))))</f>
        <v>0</v>
      </c>
      <c r="BI87" s="1761" t="b">
        <f>IF(AD87="",FALSE,IF(X87="",FALSE,IF(BJ87=TRUE,FALSE,IF(AB87&gt;BY87,TRUE,FALSE))))</f>
        <v>0</v>
      </c>
      <c r="BJ87" s="1761" t="b">
        <f>IF(AND($C87&lt;&gt;"",$AB87=""),TRUE,FALSE)</f>
        <v>0</v>
      </c>
      <c r="BK87" s="1761" t="b">
        <f>IF(BL87=TRUE,FALSE,IF(OR(AF87&lt;0,AF87&gt;1),TRUE,FALSE))</f>
        <v>0</v>
      </c>
      <c r="BL87" s="1761" t="b">
        <f>IF(AND($C87&lt;&gt;"",$AF87=""),TRUE,FALSE)</f>
        <v>0</v>
      </c>
      <c r="BM87" s="1761"/>
      <c r="BN87" s="1761" t="b">
        <f ca="1">IF(AND($C87&lt;&gt;"",$AH87=""),TRUE,FALSE)</f>
        <v>0</v>
      </c>
      <c r="BO87" s="1761" t="b">
        <f>IF(AL87="",FALSE,IF(X87="",FALSE,IF(BP87=TRUE,FALSE,IF(OR(AL87&lt;1913,AL87&gt;BaseYear),TRUE,FALSE))))</f>
        <v>0</v>
      </c>
      <c r="BP87" s="1761" t="b">
        <f>IF(AND($C87&lt;&gt;"",$AL87=""),TRUE,FALSE)</f>
        <v>0</v>
      </c>
      <c r="BQ87" s="1761" t="b">
        <f>IF(AD87="Square Foot",FALSE,IF(AND(AD87="Parking Space",OR('A-20 PassFacInv'!X87=Valid!$B$7,'A-20 PassFacInv'!X87=Valid!$B$8,'A-20 PassFacInv'!X87=Valid!$B$9,'A-20 PassFacInv'!X87=Valid!$B$10,'A-20 PassFacInv'!X87=Valid!$B$12,'A-20 PassFacInv'!X87=Valid!$B$13,'A-20 PassFacInv'!X87=Valid!$B$14,'A-20 PassFacInv'!X87=Valid!$B$15,'A-20 PassFacInv'!X87=Valid!$B$16,'A-20 PassFacInv'!X87=Valid!$B$17,'A-20 PassFacInv'!X87=Valid!$B$18,X87=Valid!$B$19,X87=Valid!$B$20,X87=Valid!$B$21)),TRUE,FALSE))</f>
        <v>0</v>
      </c>
      <c r="BR87" s="1761" t="b">
        <f>IF(AND($C87&lt;&gt;"",$AD87=""),TRUE,FALSE)</f>
        <v>0</v>
      </c>
      <c r="BS87" s="721"/>
      <c r="BT87" s="1625" t="str">
        <f>IF($X87="","",VLOOKUP($X87,val_facilities,BT$3,FALSE))</f>
        <v/>
      </c>
      <c r="BU87" s="1627" t="str">
        <f>IF($X87="","",VLOOKUP($X87,val_facilities,BU$3,FALSE))</f>
        <v/>
      </c>
      <c r="BV87" s="1627" t="str">
        <f>IF($X87="","",VLOOKUP($X87,val_facilities,BV$3,FALSE))</f>
        <v/>
      </c>
      <c r="BW87" s="1627" t="str">
        <f ca="1">IFERROR(IF(Z87="", "", YEAR(TODAY())-Z87), "")</f>
        <v/>
      </c>
      <c r="BX87" s="845" t="str">
        <f>IF($X87="","",IF(AD87="Square Feet",VLOOKUP('A-20 PassFacInv'!X50,Valid!$B$7:$H$24,7,FALSE),IF(AD87="Parking Spaces",VLOOKUP(X87,Valid!$B$22:$L$24,11,FALSE))))</f>
        <v/>
      </c>
      <c r="BY87" s="845" t="str">
        <f>IF($X87="","",IF(AD87="Square Feet",VLOOKUP(X87,Valid!$B$7:$I$24,8,FALSE),IF('A-20 PassFacInv'!AD50="Parking Spaces",VLOOKUP('A-20 PassFacInv'!X50,Valid!$B$22:$M$24,12,FALSE))))</f>
        <v/>
      </c>
      <c r="BZ87" s="1229"/>
      <c r="CA87" s="721">
        <f t="shared" si="2"/>
        <v>0</v>
      </c>
      <c r="CB87" s="816"/>
    </row>
    <row r="88" spans="1:80" s="1739" customFormat="1" ht="6.75" customHeight="1" thickBot="1" x14ac:dyDescent="0.25">
      <c r="A88" s="1638"/>
      <c r="B88" s="1746">
        <v>38.5</v>
      </c>
      <c r="C88" s="1057"/>
      <c r="D88" s="764"/>
      <c r="E88" s="1639"/>
      <c r="F88" s="1229"/>
      <c r="G88" s="1229"/>
      <c r="H88" s="1229"/>
      <c r="I88" s="1229"/>
      <c r="J88" s="1604"/>
      <c r="K88" s="1229"/>
      <c r="L88" s="1645"/>
      <c r="M88" s="1644"/>
      <c r="N88" s="1645"/>
      <c r="O88" s="1644"/>
      <c r="P88" s="1662"/>
      <c r="Q88" s="1644"/>
      <c r="R88" s="1663"/>
      <c r="S88" s="1229"/>
      <c r="T88" s="1663"/>
      <c r="U88" s="1229"/>
      <c r="V88" s="1057"/>
      <c r="W88" s="1623"/>
      <c r="X88" s="1747"/>
      <c r="Y88" s="1623"/>
      <c r="Z88" s="1623"/>
      <c r="AA88" s="1623"/>
      <c r="AB88" s="1944"/>
      <c r="AC88" s="841"/>
      <c r="AD88" s="1057"/>
      <c r="AE88" s="841"/>
      <c r="AF88" s="841"/>
      <c r="AG88" s="841"/>
      <c r="AH88" s="722"/>
      <c r="AI88" s="841"/>
      <c r="AJ88" s="722"/>
      <c r="AK88" s="841"/>
      <c r="AL88" s="1717"/>
      <c r="AM88" s="841"/>
      <c r="AN88" s="1057"/>
      <c r="AO88" s="1644"/>
      <c r="AP88" s="1644"/>
      <c r="AQ88" s="1644"/>
      <c r="AR88" s="1644"/>
      <c r="AS88" s="1644"/>
      <c r="AT88" s="1761"/>
      <c r="AU88" s="1761"/>
      <c r="AV88" s="1761"/>
      <c r="AW88" s="1761"/>
      <c r="AX88" s="1761"/>
      <c r="AY88" s="1761"/>
      <c r="AZ88" s="1761"/>
      <c r="BA88" s="1761"/>
      <c r="BB88" s="1761"/>
      <c r="BC88" s="1762"/>
      <c r="BD88" s="1762"/>
      <c r="BE88" s="1762"/>
      <c r="BF88" s="1762"/>
      <c r="BG88" s="1762"/>
      <c r="BH88" s="1762"/>
      <c r="BI88" s="1762"/>
      <c r="BJ88" s="1762"/>
      <c r="BK88" s="1762"/>
      <c r="BL88" s="1762"/>
      <c r="BM88" s="1762"/>
      <c r="BN88" s="1762"/>
      <c r="BO88" s="1762"/>
      <c r="BP88" s="1762"/>
      <c r="BQ88" s="1763"/>
      <c r="BR88" s="1762"/>
      <c r="BS88" s="1736"/>
      <c r="BT88" s="1738"/>
      <c r="BU88" s="1738"/>
      <c r="BV88" s="1738"/>
      <c r="BW88" s="1738"/>
      <c r="BX88" s="1738"/>
      <c r="BY88" s="1738"/>
      <c r="BZ88" s="1229"/>
      <c r="CA88" s="721">
        <f t="shared" si="2"/>
        <v>0</v>
      </c>
      <c r="CB88" s="1748"/>
    </row>
    <row r="89" spans="1:80" s="1739" customFormat="1" x14ac:dyDescent="0.2">
      <c r="A89" s="840">
        <v>39</v>
      </c>
      <c r="B89" s="1731">
        <v>39</v>
      </c>
      <c r="C89" s="1740"/>
      <c r="D89" s="1248" t="str">
        <f>IF(C87="","",IF((C89=""),"Enter Facility "&amp;TEXT(A89,0)&amp;" Name, then Fill in Columns "&amp;TEXT($H$2,0)&amp;" - "&amp;TEXT($AL$2,0)&amp;"       ",""))</f>
        <v/>
      </c>
      <c r="E89" s="1245" t="str">
        <f ca="1">IF(AS89="N/A","",IF(AS89="N","No","Yes"))</f>
        <v/>
      </c>
      <c r="F89" s="758"/>
      <c r="G89" s="758"/>
      <c r="H89" s="1707"/>
      <c r="I89" s="758"/>
      <c r="J89" s="1653"/>
      <c r="K89" s="1248" t="str">
        <f ca="1">IF($E89&lt;&gt;"","Enter Street Address      ","")</f>
        <v/>
      </c>
      <c r="L89" s="1740"/>
      <c r="M89" s="1248" t="str">
        <f ca="1">IF($E89&lt;&gt;"","Enter City Name       ","")</f>
        <v/>
      </c>
      <c r="N89" s="1740"/>
      <c r="O89" s="1248" t="str">
        <f ca="1">IF($E89&lt;&gt;"","Select from Pull-Down List   ","")</f>
        <v/>
      </c>
      <c r="P89" s="1741"/>
      <c r="Q89" s="1248" t="str">
        <f ca="1">IF($E89&lt;&gt;"","Enter ZIP Code       ","")</f>
        <v/>
      </c>
      <c r="R89" s="1742"/>
      <c r="S89" s="1248" t="str">
        <f ca="1">IF(OR(N89&lt;&gt;"",P89&lt;&gt;"",J89&lt;&gt;"",L89&lt;&gt;""),"",IF($E89&lt;&gt;"","Enter Lat.      ",""))</f>
        <v/>
      </c>
      <c r="T89" s="1742"/>
      <c r="U89" s="1248" t="str">
        <f ca="1">IF(OR(N89&lt;&gt;"",P89&lt;&gt;"",J89&lt;&gt;"",L89&lt;&gt;""),"",IF($E89&lt;&gt;"","Enter Long.    ",""))</f>
        <v/>
      </c>
      <c r="V89" s="1653"/>
      <c r="W89" s="1618" t="str">
        <f ca="1">IF($E89&lt;&gt;"","Select from Pull-Down List  ","")</f>
        <v/>
      </c>
      <c r="X89" s="1653"/>
      <c r="Y89" s="1618" t="str">
        <f ca="1">IF($E89&lt;&gt;"","Select from Pull-Down List  ","")</f>
        <v/>
      </c>
      <c r="Z89" s="1743"/>
      <c r="AA89" s="1248" t="str">
        <f ca="1">IF(E89&lt;&gt;"","Year?   ","")</f>
        <v/>
      </c>
      <c r="AB89" s="1943"/>
      <c r="AC89" s="1620" t="str">
        <f ca="1">IF(E89="","",IF(X89="","Sq. Ft. or Spaces?   ",IF(OR(X89=Codes!$L$26,X89=Codes!$L$27,X89=Codes!$L$28),"Sq. Ft. or Spaces?   ",IF(OR(X89=Codes!$L$20,X89=Codes!$L$21,X89=Codes!$L$22,X89=Codes!$L$23,X89=Codes!$L$24,X89=Codes!$L$25),"Sq. Ft?     ",""))))</f>
        <v/>
      </c>
      <c r="AD89" s="1740"/>
      <c r="AE89" s="1618" t="str">
        <f ca="1">IF($E89&lt;&gt;"","Select from List     ","")</f>
        <v/>
      </c>
      <c r="AF89" s="1621"/>
      <c r="AG89" s="1618" t="str">
        <f ca="1">IF($E89&lt;&gt;"","% of Cap Resp.","")</f>
        <v/>
      </c>
      <c r="AH89" s="1801" t="str">
        <f ca="1">IF(BW89="", "", IF(BW89&gt;100, 1, VLOOKUP(BW89, Valid!$W$1:$AA$101, VLOOKUP(X89, Codes!$L$20:$N$28, 3, FALSE), FALSE)))</f>
        <v/>
      </c>
      <c r="AI89" s="1620" t="str">
        <f ca="1">IF($E89&lt;&gt;"","Estimated?  ","")</f>
        <v/>
      </c>
      <c r="AJ89" s="1654"/>
      <c r="AK89" s="1620" t="str">
        <f ca="1">IF($E89&lt;&gt;"","Estimated $?    ","")</f>
        <v/>
      </c>
      <c r="AL89" s="1730"/>
      <c r="AM89" s="1620" t="b">
        <f ca="1">IF(E89&lt;&gt;"","Est Date?    ")</f>
        <v>0</v>
      </c>
      <c r="AN89" s="1740"/>
      <c r="AO89" s="1248" t="str">
        <f>IF(X89="Other (describe in Notes)","Describe Facility.                                                                                                                        ","")</f>
        <v/>
      </c>
      <c r="AP89" s="1624"/>
      <c r="AQ89" s="1624" t="b">
        <f>IF(AND(C89="",C91&lt;&gt;""),TRUE,FALSE)</f>
        <v>0</v>
      </c>
      <c r="AR89" s="1624" t="str">
        <f>IF(AND(J89&lt;&gt;"",L89&lt;&gt;"",N89&lt;&gt;"",P89&lt;&gt;"",R89="",T89=""),"Y",IF(AND(J89="",L89="",N89="",P89="",R89&lt;&gt;"",T89&lt;&gt;""),"Y",IF(AND(J89&lt;&gt;"",L89&lt;&gt;"",N89&lt;&gt;"",P89&lt;&gt;"",R89&lt;&gt;"",T89&lt;&gt;""),"Y",IF(AND(J89="",L89="",N89="",P89="",R89="",T89=""),"N/A","N"))))</f>
        <v>N/A</v>
      </c>
      <c r="AS89" s="1624" t="str">
        <f ca="1">IF(AND($C89&lt;&gt;"",OR(AR89="N",$V89="",$X89="",$Z89="",$AB89="",$AF89="",$AH89="",$AL89="",AD89="")),"N",IF(AND($C89="",OR(H89&lt;&gt;"",AR89="N",$V89&lt;&gt;"",$X89&lt;&gt;"",$Z89&lt;&gt;"",$AB89&lt;&gt;"",$AF89&lt;&gt;"",$AH89&lt;&gt;"",$AL89&lt;&gt;"",AD89&lt;&gt;"")),"N",IF(AND(H89="",$C89="",AR89="N/A",$V89="",$X89="",$Z89="",$AB89="",$AF89="",$AH89="",$AL89="",AD89=""),"N/A",IF(AND($C89&lt;&gt;"",AR89="Y",$V89&lt;&gt;"",$X89&lt;&gt;"",$Z89&lt;&gt;"",$AB89&lt;&gt;"",$AF89&lt;&gt;"",$AH89&lt;&gt;"",$AL89&lt;&gt;"",AD89&lt;&gt;""),"Y","N"))))</f>
        <v>N/A</v>
      </c>
      <c r="AT89" s="1761" t="b">
        <f ca="1">IF(AND($C89="",OR($J89&lt;&gt;"",$L89&lt;&gt;"",$N89&lt;&gt;"",$P89&lt;&gt;"",$V89&lt;&gt;"",$X89&lt;&gt;"",$Z89&lt;&gt;"",$AB89&lt;&gt;"",$AF89&lt;&gt;"",$AH89&lt;&gt;"",$AL89&lt;&gt;"")),TRUE,FALSE)</f>
        <v>0</v>
      </c>
      <c r="AU89" s="1761" t="b">
        <f>IF(OR(R89&lt;&gt;"",T89&lt;&gt;""),"false",IF(AND($C89&lt;&gt;"",$J89=""),TRUE,FALSE))</f>
        <v>0</v>
      </c>
      <c r="AV89" s="1761" t="b">
        <f>IF(OR(R89&lt;&gt;"",T89&lt;&gt;""),FALSE,IF(AND($C89&lt;&gt;"",$L89=""),TRUE,FALSE))</f>
        <v>0</v>
      </c>
      <c r="AW89" s="1761" t="b">
        <f>IF(OR(R89&lt;&gt;"",T89&lt;&gt;""),FALSE,IF(AND($C89&lt;&gt;"",$N89=""),TRUE,FALSE))</f>
        <v>0</v>
      </c>
      <c r="AX89" s="1761" t="b">
        <f>IF(OR(R89&lt;&gt;"",T89&lt;&gt;""),FALSE,IF(AND($C89&lt;&gt;"",$P89=""),TRUE,FALSE))</f>
        <v>0</v>
      </c>
      <c r="AY89" s="1761"/>
      <c r="AZ89" s="1761" t="b">
        <f>IF(OR(J89&lt;&gt;"",L89&lt;&gt;"",N89&lt;&gt;"",P89&lt;&gt;""),FALSE,IF(AND(C89&lt;&gt;"",R89=""),TRUE,FALSE))</f>
        <v>0</v>
      </c>
      <c r="BA89" s="1761"/>
      <c r="BB89" s="1761" t="b">
        <f>IF(OR(J89&lt;&gt;"",L89&lt;&gt;"",N89&lt;&gt;"",P89&lt;&gt;""),FALSE,IF(AND(C89&lt;&gt;"",T89=""),TRUE,FALSE))</f>
        <v>0</v>
      </c>
      <c r="BC89" s="1761" t="b">
        <f>IF(AND($C89&lt;&gt;"",$V89=""),TRUE,FALSE)</f>
        <v>0</v>
      </c>
      <c r="BD89" s="1761" t="b">
        <f ca="1">IF(AND(X89="",OR(Z89&lt;&gt;"",AB89&lt;&gt;"",AF89&lt;&gt;"",AH89&lt;&gt;"",AL89&lt;&gt;"",AD89&lt;&gt;"")),TRUE,FALSE)</f>
        <v>0</v>
      </c>
      <c r="BE89" s="1761" t="b">
        <f>IF(AND($C89&lt;&gt;"",$X89=""),TRUE,FALSE)</f>
        <v>0</v>
      </c>
      <c r="BF89" s="1761" t="b">
        <f>IF(Z89="",FALSE,IF(X89="",FALSE,IF(BG89=TRUE,FALSE,IF(OR(Z89&lt;BU89,Z89&gt;BaseYear),TRUE,FALSE))))</f>
        <v>0</v>
      </c>
      <c r="BG89" s="1761" t="b">
        <f>IF(AND($C89&lt;&gt;"",$Z89=""),TRUE,FALSE)</f>
        <v>0</v>
      </c>
      <c r="BH89" s="1761" t="b">
        <f>IF(AD89="",FALSE,IF(X89="",FALSE,IF(BJ89=TRUE,FALSE,IF(AB89&lt;BX89,TRUE,FALSE))))</f>
        <v>0</v>
      </c>
      <c r="BI89" s="1761" t="b">
        <f>IF(AD89="",FALSE,IF(X89="",FALSE,IF(BJ89=TRUE,FALSE,IF(AB89&gt;BY89,TRUE,FALSE))))</f>
        <v>0</v>
      </c>
      <c r="BJ89" s="1761" t="b">
        <f>IF(AND($C89&lt;&gt;"",$AB89=""),TRUE,FALSE)</f>
        <v>0</v>
      </c>
      <c r="BK89" s="1761" t="b">
        <f>IF(BL89=TRUE,FALSE,IF(OR(AF89&lt;0,AF89&gt;1),TRUE,FALSE))</f>
        <v>0</v>
      </c>
      <c r="BL89" s="1761" t="b">
        <f>IF(AND($C89&lt;&gt;"",$AF89=""),TRUE,FALSE)</f>
        <v>0</v>
      </c>
      <c r="BM89" s="1761"/>
      <c r="BN89" s="1761" t="b">
        <f ca="1">IF(AND($C89&lt;&gt;"",$AH89=""),TRUE,FALSE)</f>
        <v>0</v>
      </c>
      <c r="BO89" s="1761" t="b">
        <f>IF(AL89="",FALSE,IF(X89="",FALSE,IF(BP89=TRUE,FALSE,IF(OR(AL89&lt;1913,AL89&gt;BaseYear),TRUE,FALSE))))</f>
        <v>0</v>
      </c>
      <c r="BP89" s="1761" t="b">
        <f>IF(AND($C89&lt;&gt;"",$AL89=""),TRUE,FALSE)</f>
        <v>0</v>
      </c>
      <c r="BQ89" s="1761" t="b">
        <f>IF(AD89="Square Foot",FALSE,IF(AND(AD89="Parking Space",OR('A-20 PassFacInv'!X89=Valid!$B$7,'A-20 PassFacInv'!X89=Valid!$B$8,'A-20 PassFacInv'!X89=Valid!$B$9,'A-20 PassFacInv'!X89=Valid!$B$10,'A-20 PassFacInv'!X89=Valid!$B$12,'A-20 PassFacInv'!X89=Valid!$B$13,'A-20 PassFacInv'!X89=Valid!$B$14,'A-20 PassFacInv'!X89=Valid!$B$15,'A-20 PassFacInv'!X89=Valid!$B$16,'A-20 PassFacInv'!X89=Valid!$B$17,'A-20 PassFacInv'!X89=Valid!$B$18,X89=Valid!$B$19,X89=Valid!$B$20,X89=Valid!$B$21)),TRUE,FALSE))</f>
        <v>0</v>
      </c>
      <c r="BR89" s="1761" t="b">
        <f>IF(AND($C89&lt;&gt;"",$AD89=""),TRUE,FALSE)</f>
        <v>0</v>
      </c>
      <c r="BS89" s="721"/>
      <c r="BT89" s="1625" t="str">
        <f>IF($X89="","",VLOOKUP($X89,val_facilities,BT$3,FALSE))</f>
        <v/>
      </c>
      <c r="BU89" s="1627" t="str">
        <f>IF($X89="","",VLOOKUP($X89,val_facilities,BU$3,FALSE))</f>
        <v/>
      </c>
      <c r="BV89" s="1627" t="str">
        <f>IF($X89="","",VLOOKUP($X89,val_facilities,BV$3,FALSE))</f>
        <v/>
      </c>
      <c r="BW89" s="1627" t="str">
        <f ca="1">IFERROR(IF(Z89="", "", YEAR(TODAY())-Z89), "")</f>
        <v/>
      </c>
      <c r="BX89" s="845" t="str">
        <f>IF($X89="","",IF(AD89="Square Feet",VLOOKUP('A-20 PassFacInv'!X51,Valid!$B$7:$H$24,7,FALSE),IF(AD89="Parking Spaces",VLOOKUP(X89,Valid!$B$22:$L$24,11,FALSE))))</f>
        <v/>
      </c>
      <c r="BY89" s="845" t="str">
        <f>IF($X89="","",IF(AD89="Square Feet",VLOOKUP(X89,Valid!$B$7:$I$24,8,FALSE),IF('A-20 PassFacInv'!AD51="Parking Spaces",VLOOKUP('A-20 PassFacInv'!X51,Valid!$B$22:$M$24,12,FALSE))))</f>
        <v/>
      </c>
      <c r="BZ89" s="1229"/>
      <c r="CA89" s="721">
        <f t="shared" si="2"/>
        <v>0</v>
      </c>
      <c r="CB89" s="816"/>
    </row>
    <row r="90" spans="1:80" s="1739" customFormat="1" ht="6.75" customHeight="1" thickBot="1" x14ac:dyDescent="0.25">
      <c r="A90" s="1638"/>
      <c r="B90" s="1746">
        <v>39.5</v>
      </c>
      <c r="C90" s="1057"/>
      <c r="D90" s="1248"/>
      <c r="E90" s="1057"/>
      <c r="F90" s="1229"/>
      <c r="G90" s="1229"/>
      <c r="H90" s="1229"/>
      <c r="I90" s="1229"/>
      <c r="J90" s="1604"/>
      <c r="K90" s="1640"/>
      <c r="L90" s="1641"/>
      <c r="M90" s="1248"/>
      <c r="N90" s="1641"/>
      <c r="O90" s="1248"/>
      <c r="P90" s="1659"/>
      <c r="Q90" s="1248"/>
      <c r="R90" s="1660"/>
      <c r="S90" s="1640"/>
      <c r="T90" s="1660"/>
      <c r="U90" s="1640"/>
      <c r="V90" s="1057"/>
      <c r="W90" s="1618"/>
      <c r="X90" s="1747"/>
      <c r="Y90" s="1618"/>
      <c r="Z90" s="1623"/>
      <c r="AA90" s="1618"/>
      <c r="AB90" s="1944"/>
      <c r="AC90" s="1275"/>
      <c r="AD90" s="1661"/>
      <c r="AE90" s="734"/>
      <c r="AF90" s="1736"/>
      <c r="AG90" s="1275"/>
      <c r="AH90" s="722"/>
      <c r="AI90" s="1275"/>
      <c r="AJ90" s="733"/>
      <c r="AK90" s="1275"/>
      <c r="AL90" s="1721"/>
      <c r="AM90" s="1275"/>
      <c r="AN90" s="1057"/>
      <c r="AO90" s="1644"/>
      <c r="AP90" s="1644"/>
      <c r="AQ90" s="1644"/>
      <c r="AR90" s="1644"/>
      <c r="AS90" s="1644"/>
      <c r="AT90" s="1761"/>
      <c r="AU90" s="1761"/>
      <c r="AV90" s="1761"/>
      <c r="AW90" s="1761"/>
      <c r="AX90" s="1761"/>
      <c r="AY90" s="1761"/>
      <c r="AZ90" s="1761"/>
      <c r="BA90" s="1761"/>
      <c r="BB90" s="1761"/>
      <c r="BC90" s="1762"/>
      <c r="BD90" s="1762"/>
      <c r="BE90" s="1762"/>
      <c r="BF90" s="1762"/>
      <c r="BG90" s="1762"/>
      <c r="BH90" s="1762"/>
      <c r="BI90" s="1762"/>
      <c r="BJ90" s="1762"/>
      <c r="BK90" s="1762"/>
      <c r="BL90" s="1762"/>
      <c r="BM90" s="1762"/>
      <c r="BN90" s="1762"/>
      <c r="BO90" s="1762"/>
      <c r="BP90" s="1762"/>
      <c r="BQ90" s="1762"/>
      <c r="BR90" s="1762"/>
      <c r="BS90" s="1736"/>
      <c r="BT90" s="1738"/>
      <c r="BU90" s="1738"/>
      <c r="BV90" s="1738"/>
      <c r="BW90" s="1738"/>
      <c r="BX90" s="1738"/>
      <c r="BY90" s="1738"/>
      <c r="BZ90" s="1229"/>
      <c r="CA90" s="721">
        <f t="shared" si="2"/>
        <v>0</v>
      </c>
      <c r="CB90" s="1748"/>
    </row>
    <row r="91" spans="1:80" s="1739" customFormat="1" x14ac:dyDescent="0.2">
      <c r="A91" s="840">
        <v>40</v>
      </c>
      <c r="B91" s="1746">
        <v>40</v>
      </c>
      <c r="C91" s="1740"/>
      <c r="D91" s="1248" t="str">
        <f>IF(C89="","",IF((C91=""),"Enter Facility "&amp;TEXT(A91,0)&amp;" Name, then Fill in Columns "&amp;TEXT($H$2,0)&amp;" - "&amp;TEXT($AL$2,0)&amp;"       ",""))</f>
        <v/>
      </c>
      <c r="E91" s="1245" t="str">
        <f ca="1">IF(AS91="N/A","",IF(AS91="N","No","Yes"))</f>
        <v/>
      </c>
      <c r="F91" s="758"/>
      <c r="G91" s="758"/>
      <c r="H91" s="1707"/>
      <c r="I91" s="758"/>
      <c r="J91" s="1653"/>
      <c r="K91" s="1248" t="str">
        <f ca="1">IF($E91&lt;&gt;"","Enter Street Address      ","")</f>
        <v/>
      </c>
      <c r="L91" s="1740"/>
      <c r="M91" s="1248" t="str">
        <f ca="1">IF($E91&lt;&gt;"","Enter City Name       ","")</f>
        <v/>
      </c>
      <c r="N91" s="1740"/>
      <c r="O91" s="1248" t="str">
        <f ca="1">IF($E91&lt;&gt;"","Select from Pull-Down List   ","")</f>
        <v/>
      </c>
      <c r="P91" s="1741"/>
      <c r="Q91" s="1248" t="str">
        <f ca="1">IF($E91&lt;&gt;"","Enter ZIP Code       ","")</f>
        <v/>
      </c>
      <c r="R91" s="1742"/>
      <c r="S91" s="1248" t="str">
        <f ca="1">IF(OR(N91&lt;&gt;"",P91&lt;&gt;"",J91&lt;&gt;"",L91&lt;&gt;""),"",IF($E91&lt;&gt;"","Enter Lat.      ",""))</f>
        <v/>
      </c>
      <c r="T91" s="1742"/>
      <c r="U91" s="1248" t="str">
        <f ca="1">IF(OR(N91&lt;&gt;"",P91&lt;&gt;"",J91&lt;&gt;"",L91&lt;&gt;""),"",IF($E91&lt;&gt;"","Enter Long.    ",""))</f>
        <v/>
      </c>
      <c r="V91" s="1653"/>
      <c r="W91" s="1618" t="str">
        <f ca="1">IF($E91&lt;&gt;"","Select from Pull-Down List  ","")</f>
        <v/>
      </c>
      <c r="X91" s="1653"/>
      <c r="Y91" s="1618" t="str">
        <f ca="1">IF($E91&lt;&gt;"","Select from Pull-Down List  ","")</f>
        <v/>
      </c>
      <c r="Z91" s="1743"/>
      <c r="AA91" s="1248" t="str">
        <f ca="1">IF(E91&lt;&gt;"","Year?   ","")</f>
        <v/>
      </c>
      <c r="AB91" s="1943"/>
      <c r="AC91" s="1620" t="str">
        <f ca="1">IF(E91="","",IF(X91="","Sq. Ft. or Spaces?   ",IF(OR(X91=Codes!$L$26,X91=Codes!$L$27,X91=Codes!$L$28),"Sq. Ft. or Spaces?   ",IF(OR(X91=Codes!$L$20,X91=Codes!$L$21,X91=Codes!$L$22,X91=Codes!$L$23,X91=Codes!$L$24,X91=Codes!$L$25),"Sq. Ft?     ",""))))</f>
        <v/>
      </c>
      <c r="AD91" s="1740"/>
      <c r="AE91" s="1618" t="str">
        <f ca="1">IF($E91&lt;&gt;"","Select from List     ","")</f>
        <v/>
      </c>
      <c r="AF91" s="1621"/>
      <c r="AG91" s="1618" t="str">
        <f ca="1">IF($E91&lt;&gt;"","% of Cap Resp.","")</f>
        <v/>
      </c>
      <c r="AH91" s="1801" t="str">
        <f ca="1">IF(BW91="", "", IF(BW91&gt;100, 1, VLOOKUP(BW91, Valid!$W$1:$AA$101, VLOOKUP(X91, Codes!$L$20:$N$28, 3, FALSE), FALSE)))</f>
        <v/>
      </c>
      <c r="AI91" s="1620" t="str">
        <f ca="1">IF($E91&lt;&gt;"","Estimated?  ","")</f>
        <v/>
      </c>
      <c r="AJ91" s="1654"/>
      <c r="AK91" s="1620" t="str">
        <f ca="1">IF($E91&lt;&gt;"","Estimated $?    ","")</f>
        <v/>
      </c>
      <c r="AL91" s="1730"/>
      <c r="AM91" s="1620" t="b">
        <f ca="1">IF(E91&lt;&gt;"","Est Date?    ")</f>
        <v>0</v>
      </c>
      <c r="AN91" s="1740"/>
      <c r="AO91" s="1248" t="str">
        <f>IF(X91="Other (describe in Notes)","Describe Facility.                                                                                                                        ","")</f>
        <v/>
      </c>
      <c r="AP91" s="1624"/>
      <c r="AQ91" s="1624" t="b">
        <f>IF(AND(C91="",C93&lt;&gt;""),TRUE,FALSE)</f>
        <v>0</v>
      </c>
      <c r="AR91" s="1624" t="str">
        <f>IF(AND(J91&lt;&gt;"",L91&lt;&gt;"",N91&lt;&gt;"",P91&lt;&gt;"",R91="",T91=""),"Y",IF(AND(J91="",L91="",N91="",P91="",R91&lt;&gt;"",T91&lt;&gt;""),"Y",IF(AND(J91&lt;&gt;"",L91&lt;&gt;"",N91&lt;&gt;"",P91&lt;&gt;"",R91&lt;&gt;"",T91&lt;&gt;""),"Y",IF(AND(J91="",L91="",N91="",P91="",R91="",T91=""),"N/A","N"))))</f>
        <v>N/A</v>
      </c>
      <c r="AS91" s="1624" t="str">
        <f ca="1">IF(AND($C91&lt;&gt;"",OR(AR91="N",$V91="",$X91="",$Z91="",$AB91="",$AF91="",$AH91="",$AL91="",AD91="")),"N",IF(AND($C91="",OR(H91&lt;&gt;"",AR91="N",$V91&lt;&gt;"",$X91&lt;&gt;"",$Z91&lt;&gt;"",$AB91&lt;&gt;"",$AF91&lt;&gt;"",$AH91&lt;&gt;"",$AL91&lt;&gt;"",AD91&lt;&gt;"")),"N",IF(AND(H91="",$C91="",AR91="N/A",$V91="",$X91="",$Z91="",$AB91="",$AF91="",$AH91="",$AL91="",AD91=""),"N/A",IF(AND($C91&lt;&gt;"",AR91="Y",$V91&lt;&gt;"",$X91&lt;&gt;"",$Z91&lt;&gt;"",$AB91&lt;&gt;"",$AF91&lt;&gt;"",$AH91&lt;&gt;"",$AL91&lt;&gt;"",AD91&lt;&gt;""),"Y","N"))))</f>
        <v>N/A</v>
      </c>
      <c r="AT91" s="1761" t="b">
        <f ca="1">IF(AND($C91="",OR($J91&lt;&gt;"",$L91&lt;&gt;"",$N91&lt;&gt;"",$P91&lt;&gt;"",$V91&lt;&gt;"",$X91&lt;&gt;"",$Z91&lt;&gt;"",$AB91&lt;&gt;"",$AF91&lt;&gt;"",$AH91&lt;&gt;"",$AL91&lt;&gt;"")),TRUE,FALSE)</f>
        <v>0</v>
      </c>
      <c r="AU91" s="1761" t="b">
        <f>IF(OR(R91&lt;&gt;"",T91&lt;&gt;""),"false",IF(AND($C91&lt;&gt;"",$J91=""),TRUE,FALSE))</f>
        <v>0</v>
      </c>
      <c r="AV91" s="1761" t="b">
        <f>IF(OR(R91&lt;&gt;"",T91&lt;&gt;""),FALSE,IF(AND($C91&lt;&gt;"",$L91=""),TRUE,FALSE))</f>
        <v>0</v>
      </c>
      <c r="AW91" s="1761" t="b">
        <f>IF(OR(R91&lt;&gt;"",T91&lt;&gt;""),FALSE,IF(AND($C91&lt;&gt;"",$N91=""),TRUE,FALSE))</f>
        <v>0</v>
      </c>
      <c r="AX91" s="1761" t="b">
        <f>IF(OR(R91&lt;&gt;"",T91&lt;&gt;""),FALSE,IF(AND($C91&lt;&gt;"",$P91=""),TRUE,FALSE))</f>
        <v>0</v>
      </c>
      <c r="AY91" s="1761"/>
      <c r="AZ91" s="1761" t="b">
        <f>IF(OR(J91&lt;&gt;"",L91&lt;&gt;"",N91&lt;&gt;"",P91&lt;&gt;""),FALSE,IF(AND(C91&lt;&gt;"",R91=""),TRUE,FALSE))</f>
        <v>0</v>
      </c>
      <c r="BA91" s="1761"/>
      <c r="BB91" s="1761" t="b">
        <f>IF(OR(J91&lt;&gt;"",L91&lt;&gt;"",N91&lt;&gt;"",P91&lt;&gt;""),FALSE,IF(AND(C91&lt;&gt;"",T91=""),TRUE,FALSE))</f>
        <v>0</v>
      </c>
      <c r="BC91" s="1761" t="b">
        <f>IF(AND($C91&lt;&gt;"",$V91=""),TRUE,FALSE)</f>
        <v>0</v>
      </c>
      <c r="BD91" s="1761" t="b">
        <f ca="1">IF(AND(X91="",OR(Z91&lt;&gt;"",AB91&lt;&gt;"",AF91&lt;&gt;"",AH91&lt;&gt;"",AL91&lt;&gt;"",AD91&lt;&gt;"")),TRUE,FALSE)</f>
        <v>0</v>
      </c>
      <c r="BE91" s="1761" t="b">
        <f>IF(AND($C91&lt;&gt;"",$X91=""),TRUE,FALSE)</f>
        <v>0</v>
      </c>
      <c r="BF91" s="1761" t="b">
        <f>IF(Z91="",FALSE,IF(X91="",FALSE,IF(BG91=TRUE,FALSE,IF(OR(Z91&lt;BU91,Z91&gt;BaseYear),TRUE,FALSE))))</f>
        <v>0</v>
      </c>
      <c r="BG91" s="1761" t="b">
        <f>IF(AND($C91&lt;&gt;"",$Z91=""),TRUE,FALSE)</f>
        <v>0</v>
      </c>
      <c r="BH91" s="1761" t="b">
        <f>IF(AD91="",FALSE,IF(X91="",FALSE,IF(BJ91=TRUE,FALSE,IF(AB91&lt;BX91,TRUE,FALSE))))</f>
        <v>0</v>
      </c>
      <c r="BI91" s="1761" t="b">
        <f>IF(AD91="",FALSE,IF(X91="",FALSE,IF(BJ91=TRUE,FALSE,IF(AB91&gt;BY91,TRUE,FALSE))))</f>
        <v>0</v>
      </c>
      <c r="BJ91" s="1761" t="b">
        <f>IF(AND($C91&lt;&gt;"",$AB91=""),TRUE,FALSE)</f>
        <v>0</v>
      </c>
      <c r="BK91" s="1761" t="b">
        <f>IF(BL91=TRUE,FALSE,IF(OR(AF91&lt;0,AF91&gt;1),TRUE,FALSE))</f>
        <v>0</v>
      </c>
      <c r="BL91" s="1761" t="b">
        <f>IF(AND($C91&lt;&gt;"",$AF91=""),TRUE,FALSE)</f>
        <v>0</v>
      </c>
      <c r="BM91" s="1761"/>
      <c r="BN91" s="1761" t="b">
        <f ca="1">IF(AND($C91&lt;&gt;"",$AH91=""),TRUE,FALSE)</f>
        <v>0</v>
      </c>
      <c r="BO91" s="1761" t="b">
        <f>IF(AL91="",FALSE,IF(X91="",FALSE,IF(BP91=TRUE,FALSE,IF(OR(AL91&lt;1913,AL91&gt;BaseYear),TRUE,FALSE))))</f>
        <v>0</v>
      </c>
      <c r="BP91" s="1761" t="b">
        <f>IF(AND($C91&lt;&gt;"",$AL91=""),TRUE,FALSE)</f>
        <v>0</v>
      </c>
      <c r="BQ91" s="1761" t="b">
        <f>IF(AD91="Square Foot",FALSE,IF(AND(AD91="Parking Space",OR('A-20 PassFacInv'!X91=Valid!$B$7,'A-20 PassFacInv'!X91=Valid!$B$8,'A-20 PassFacInv'!X91=Valid!$B$9,'A-20 PassFacInv'!X91=Valid!$B$10,'A-20 PassFacInv'!X91=Valid!$B$12,'A-20 PassFacInv'!X91=Valid!$B$13,'A-20 PassFacInv'!X91=Valid!$B$14,'A-20 PassFacInv'!X91=Valid!$B$15,'A-20 PassFacInv'!X91=Valid!$B$16,'A-20 PassFacInv'!X91=Valid!$B$17,'A-20 PassFacInv'!X91=Valid!$B$18,X91=Valid!$B$19,X91=Valid!$B$20,X91=Valid!$B$21)),TRUE,FALSE))</f>
        <v>0</v>
      </c>
      <c r="BR91" s="1761" t="b">
        <f>IF(AND($C91&lt;&gt;"",$AD91=""),TRUE,FALSE)</f>
        <v>0</v>
      </c>
      <c r="BS91" s="721"/>
      <c r="BT91" s="1625" t="str">
        <f>IF($X91="","",VLOOKUP($X91,val_facilities,BT$3,FALSE))</f>
        <v/>
      </c>
      <c r="BU91" s="1627" t="str">
        <f>IF($X91="","",VLOOKUP($X91,val_facilities,BU$3,FALSE))</f>
        <v/>
      </c>
      <c r="BV91" s="1627" t="str">
        <f>IF($X91="","",VLOOKUP($X91,val_facilities,BV$3,FALSE))</f>
        <v/>
      </c>
      <c r="BW91" s="1627" t="str">
        <f ca="1">IFERROR(IF(Z91="", "", YEAR(TODAY())-Z91), "")</f>
        <v/>
      </c>
      <c r="BX91" s="845" t="str">
        <f>IF($X91="","",IF(AD91="Square Feet",VLOOKUP('A-20 PassFacInv'!X52,Valid!$B$7:$H$24,7,FALSE),IF(AD91="Parking Spaces",VLOOKUP(X91,Valid!$B$22:$L$24,11,FALSE))))</f>
        <v/>
      </c>
      <c r="BY91" s="845" t="str">
        <f>IF($X91="","",IF(AD91="Square Feet",VLOOKUP(X91,Valid!$B$7:$I$24,8,FALSE),IF('A-20 PassFacInv'!AD52="Parking Spaces",VLOOKUP('A-20 PassFacInv'!X52,Valid!$B$22:$M$24,12,FALSE))))</f>
        <v/>
      </c>
      <c r="BZ91" s="1229"/>
      <c r="CA91" s="721">
        <f t="shared" si="2"/>
        <v>0</v>
      </c>
      <c r="CB91" s="816"/>
    </row>
    <row r="92" spans="1:80" s="1739" customFormat="1" ht="6.75" customHeight="1" thickBot="1" x14ac:dyDescent="0.25">
      <c r="A92" s="1638"/>
      <c r="B92" s="1746">
        <v>40.5</v>
      </c>
      <c r="C92" s="1057"/>
      <c r="D92" s="1248"/>
      <c r="E92" s="1639"/>
      <c r="F92" s="1229"/>
      <c r="G92" s="1229"/>
      <c r="H92" s="1229"/>
      <c r="I92" s="1229"/>
      <c r="J92" s="1604"/>
      <c r="K92" s="1640"/>
      <c r="L92" s="1645"/>
      <c r="M92" s="1646"/>
      <c r="N92" s="1645"/>
      <c r="O92" s="1646"/>
      <c r="P92" s="1662"/>
      <c r="Q92" s="1646"/>
      <c r="R92" s="1660"/>
      <c r="S92" s="1640"/>
      <c r="T92" s="1660"/>
      <c r="U92" s="1640"/>
      <c r="V92" s="1057"/>
      <c r="W92" s="1618"/>
      <c r="X92" s="1747"/>
      <c r="Y92" s="1618"/>
      <c r="Z92" s="1623"/>
      <c r="AA92" s="1618"/>
      <c r="AB92" s="1944"/>
      <c r="AC92" s="1648"/>
      <c r="AD92" s="1661"/>
      <c r="AE92" s="841"/>
      <c r="AF92" s="841"/>
      <c r="AG92" s="1648"/>
      <c r="AH92" s="722"/>
      <c r="AI92" s="1648"/>
      <c r="AJ92" s="722"/>
      <c r="AK92" s="1648"/>
      <c r="AL92" s="1717"/>
      <c r="AM92" s="1648"/>
      <c r="AN92" s="1057"/>
      <c r="AO92" s="1644"/>
      <c r="AP92" s="1644"/>
      <c r="AQ92" s="1644"/>
      <c r="AR92" s="1644"/>
      <c r="AS92" s="1644"/>
      <c r="AT92" s="1761"/>
      <c r="AU92" s="1761"/>
      <c r="AV92" s="1761"/>
      <c r="AW92" s="1761"/>
      <c r="AX92" s="1761"/>
      <c r="AY92" s="1761"/>
      <c r="AZ92" s="1761"/>
      <c r="BA92" s="1761"/>
      <c r="BB92" s="1761"/>
      <c r="BC92" s="1762"/>
      <c r="BD92" s="1762"/>
      <c r="BE92" s="1762"/>
      <c r="BF92" s="1762"/>
      <c r="BG92" s="1762"/>
      <c r="BH92" s="1762"/>
      <c r="BI92" s="1762"/>
      <c r="BJ92" s="1762"/>
      <c r="BK92" s="1762"/>
      <c r="BL92" s="1762"/>
      <c r="BM92" s="1762"/>
      <c r="BN92" s="1762"/>
      <c r="BO92" s="1762"/>
      <c r="BP92" s="1762"/>
      <c r="BQ92" s="1762"/>
      <c r="BR92" s="1762"/>
      <c r="BS92" s="1736"/>
      <c r="BT92" s="1738"/>
      <c r="BU92" s="1738"/>
      <c r="BV92" s="1738"/>
      <c r="BW92" s="1738"/>
      <c r="BX92" s="1738"/>
      <c r="BY92" s="1738"/>
      <c r="BZ92" s="1229"/>
      <c r="CA92" s="721">
        <f t="shared" si="2"/>
        <v>0</v>
      </c>
      <c r="CB92" s="1748"/>
    </row>
    <row r="93" spans="1:80" s="1739" customFormat="1" x14ac:dyDescent="0.2">
      <c r="A93" s="840">
        <v>41</v>
      </c>
      <c r="B93" s="1746">
        <v>41</v>
      </c>
      <c r="C93" s="1740"/>
      <c r="D93" s="1248" t="str">
        <f>IF(C91="","",IF((C93=""),"Enter Facility "&amp;TEXT(A93,0)&amp;" Name, then Fill in Columns "&amp;TEXT($H$2,0)&amp;" - "&amp;TEXT($AL$2,0)&amp;"       ",""))</f>
        <v/>
      </c>
      <c r="E93" s="1245" t="str">
        <f ca="1">IF(AS93="N/A","",IF(AS93="N","No","Yes"))</f>
        <v/>
      </c>
      <c r="F93" s="758"/>
      <c r="G93" s="758"/>
      <c r="H93" s="1707"/>
      <c r="I93" s="758"/>
      <c r="J93" s="1653"/>
      <c r="K93" s="1248" t="str">
        <f ca="1">IF($E93&lt;&gt;"","Enter Street Address      ","")</f>
        <v/>
      </c>
      <c r="L93" s="1740"/>
      <c r="M93" s="1248" t="str">
        <f ca="1">IF($E93&lt;&gt;"","Enter City Name       ","")</f>
        <v/>
      </c>
      <c r="N93" s="1740"/>
      <c r="O93" s="1248" t="str">
        <f ca="1">IF($E93&lt;&gt;"","Select from Pull-Down List   ","")</f>
        <v/>
      </c>
      <c r="P93" s="1741"/>
      <c r="Q93" s="1248" t="str">
        <f ca="1">IF($E93&lt;&gt;"","Enter ZIP Code       ","")</f>
        <v/>
      </c>
      <c r="R93" s="1742"/>
      <c r="S93" s="1248" t="str">
        <f ca="1">IF(OR(N93&lt;&gt;"",P93&lt;&gt;"",J93&lt;&gt;"",L93&lt;&gt;""),"",IF($E93&lt;&gt;"","Enter Lat.      ",""))</f>
        <v/>
      </c>
      <c r="T93" s="1742"/>
      <c r="U93" s="1248" t="str">
        <f ca="1">IF(OR(N93&lt;&gt;"",P93&lt;&gt;"",J93&lt;&gt;"",L93&lt;&gt;""),"",IF($E93&lt;&gt;"","Enter Long.    ",""))</f>
        <v/>
      </c>
      <c r="V93" s="1653"/>
      <c r="W93" s="1618" t="str">
        <f ca="1">IF($E93&lt;&gt;"","Select from Pull-Down List  ","")</f>
        <v/>
      </c>
      <c r="X93" s="1653"/>
      <c r="Y93" s="1618" t="str">
        <f ca="1">IF($E93&lt;&gt;"","Select from Pull-Down List  ","")</f>
        <v/>
      </c>
      <c r="Z93" s="1743"/>
      <c r="AA93" s="1248" t="str">
        <f ca="1">IF(E93&lt;&gt;"","Year?   ","")</f>
        <v/>
      </c>
      <c r="AB93" s="1943"/>
      <c r="AC93" s="1620" t="str">
        <f ca="1">IF(E93="","",IF(X93="","Sq. Ft. or Spaces?   ",IF(OR(X93=Codes!$L$26,X93=Codes!$L$27,X93=Codes!$L$28),"Sq. Ft. or Spaces?   ",IF(OR(X93=Codes!$L$20,X93=Codes!$L$21,X93=Codes!$L$22,X93=Codes!$L$23,X93=Codes!$L$24,X93=Codes!$L$25),"Sq. Ft?     ",""))))</f>
        <v/>
      </c>
      <c r="AD93" s="1740"/>
      <c r="AE93" s="1618" t="str">
        <f ca="1">IF($E93&lt;&gt;"","Select from List     ","")</f>
        <v/>
      </c>
      <c r="AF93" s="1621"/>
      <c r="AG93" s="1618" t="str">
        <f ca="1">IF($E93&lt;&gt;"","% of Cap Resp.","")</f>
        <v/>
      </c>
      <c r="AH93" s="1801" t="str">
        <f ca="1">IF(BW93="", "", IF(BW93&gt;100, 1, VLOOKUP(BW93, Valid!$W$1:$AA$101, VLOOKUP(X93, Codes!$L$20:$N$28, 3, FALSE), FALSE)))</f>
        <v/>
      </c>
      <c r="AI93" s="1620" t="str">
        <f ca="1">IF($E93&lt;&gt;"","Estimated?  ","")</f>
        <v/>
      </c>
      <c r="AJ93" s="1654"/>
      <c r="AK93" s="1620" t="str">
        <f ca="1">IF($E93&lt;&gt;"","Estimated $?    ","")</f>
        <v/>
      </c>
      <c r="AL93" s="1730"/>
      <c r="AM93" s="1620" t="b">
        <f ca="1">IF(E93&lt;&gt;"","Est Date?    ")</f>
        <v>0</v>
      </c>
      <c r="AN93" s="1740"/>
      <c r="AO93" s="1248" t="str">
        <f>IF(X93="Other (describe in Notes)","Describe Facility.                                                                                                                        ","")</f>
        <v/>
      </c>
      <c r="AP93" s="1624"/>
      <c r="AQ93" s="1624" t="b">
        <f>IF(AND(C93="",C95&lt;&gt;""),TRUE,FALSE)</f>
        <v>0</v>
      </c>
      <c r="AR93" s="1624" t="str">
        <f>IF(AND(J93&lt;&gt;"",L93&lt;&gt;"",N93&lt;&gt;"",P93&lt;&gt;"",R93="",T93=""),"Y",IF(AND(J93="",L93="",N93="",P93="",R93&lt;&gt;"",T93&lt;&gt;""),"Y",IF(AND(J93&lt;&gt;"",L93&lt;&gt;"",N93&lt;&gt;"",P93&lt;&gt;"",R93&lt;&gt;"",T93&lt;&gt;""),"Y",IF(AND(J93="",L93="",N93="",P93="",R93="",T93=""),"N/A","N"))))</f>
        <v>N/A</v>
      </c>
      <c r="AS93" s="1624" t="str">
        <f ca="1">IF(AND($C93&lt;&gt;"",OR(AR93="N",$V93="",$X93="",$Z93="",$AB93="",$AF93="",$AH93="",$AL93="",AD93="")),"N",IF(AND($C93="",OR(H93&lt;&gt;"",AR93="N",$V93&lt;&gt;"",$X93&lt;&gt;"",$Z93&lt;&gt;"",$AB93&lt;&gt;"",$AF93&lt;&gt;"",$AH93&lt;&gt;"",$AL93&lt;&gt;"",AD93&lt;&gt;"")),"N",IF(AND(H93="",$C93="",AR93="N/A",$V93="",$X93="",$Z93="",$AB93="",$AF93="",$AH93="",$AL93="",AD93=""),"N/A",IF(AND($C93&lt;&gt;"",AR93="Y",$V93&lt;&gt;"",$X93&lt;&gt;"",$Z93&lt;&gt;"",$AB93&lt;&gt;"",$AF93&lt;&gt;"",$AH93&lt;&gt;"",$AL93&lt;&gt;"",AD93&lt;&gt;""),"Y","N"))))</f>
        <v>N/A</v>
      </c>
      <c r="AT93" s="1761" t="b">
        <f ca="1">IF(AND($C93="",OR($J93&lt;&gt;"",$L93&lt;&gt;"",$N93&lt;&gt;"",$P93&lt;&gt;"",$V93&lt;&gt;"",$X93&lt;&gt;"",$Z93&lt;&gt;"",$AB93&lt;&gt;"",$AF93&lt;&gt;"",$AH93&lt;&gt;"",$AL93&lt;&gt;"")),TRUE,FALSE)</f>
        <v>0</v>
      </c>
      <c r="AU93" s="1761" t="b">
        <f>IF(OR(R93&lt;&gt;"",T93&lt;&gt;""),"false",IF(AND($C93&lt;&gt;"",$J93=""),TRUE,FALSE))</f>
        <v>0</v>
      </c>
      <c r="AV93" s="1761" t="b">
        <f>IF(OR(R93&lt;&gt;"",T93&lt;&gt;""),FALSE,IF(AND($C93&lt;&gt;"",$L93=""),TRUE,FALSE))</f>
        <v>0</v>
      </c>
      <c r="AW93" s="1761" t="b">
        <f>IF(OR(R93&lt;&gt;"",T93&lt;&gt;""),FALSE,IF(AND($C93&lt;&gt;"",$N93=""),TRUE,FALSE))</f>
        <v>0</v>
      </c>
      <c r="AX93" s="1761" t="b">
        <f>IF(OR(R93&lt;&gt;"",T93&lt;&gt;""),FALSE,IF(AND($C93&lt;&gt;"",$P93=""),TRUE,FALSE))</f>
        <v>0</v>
      </c>
      <c r="AY93" s="1761"/>
      <c r="AZ93" s="1761" t="b">
        <f>IF(OR(J93&lt;&gt;"",L93&lt;&gt;"",N93&lt;&gt;"",P93&lt;&gt;""),FALSE,IF(AND(C93&lt;&gt;"",R93=""),TRUE,FALSE))</f>
        <v>0</v>
      </c>
      <c r="BA93" s="1761"/>
      <c r="BB93" s="1761" t="b">
        <f>IF(OR(J93&lt;&gt;"",L93&lt;&gt;"",N93&lt;&gt;"",P93&lt;&gt;""),FALSE,IF(AND(C93&lt;&gt;"",T93=""),TRUE,FALSE))</f>
        <v>0</v>
      </c>
      <c r="BC93" s="1761" t="b">
        <f>IF(AND($C93&lt;&gt;"",$V93=""),TRUE,FALSE)</f>
        <v>0</v>
      </c>
      <c r="BD93" s="1761" t="b">
        <f ca="1">IF(AND(X93="",OR(Z93&lt;&gt;"",AB93&lt;&gt;"",AF93&lt;&gt;"",AH93&lt;&gt;"",AL93&lt;&gt;"",AD93&lt;&gt;"")),TRUE,FALSE)</f>
        <v>0</v>
      </c>
      <c r="BE93" s="1761" t="b">
        <f>IF(AND($C93&lt;&gt;"",$X93=""),TRUE,FALSE)</f>
        <v>0</v>
      </c>
      <c r="BF93" s="1761" t="b">
        <f>IF(Z93="",FALSE,IF(X93="",FALSE,IF(BG93=TRUE,FALSE,IF(OR(Z93&lt;BU93,Z93&gt;BaseYear),TRUE,FALSE))))</f>
        <v>0</v>
      </c>
      <c r="BG93" s="1761" t="b">
        <f>IF(AND($C93&lt;&gt;"",$Z93=""),TRUE,FALSE)</f>
        <v>0</v>
      </c>
      <c r="BH93" s="1761" t="b">
        <f>IF(AD93="",FALSE,IF(X93="",FALSE,IF(BJ93=TRUE,FALSE,IF(AB93&lt;BX93,TRUE,FALSE))))</f>
        <v>0</v>
      </c>
      <c r="BI93" s="1761" t="b">
        <f>IF(AD93="",FALSE,IF(X93="",FALSE,IF(BJ93=TRUE,FALSE,IF(AB93&gt;BY93,TRUE,FALSE))))</f>
        <v>0</v>
      </c>
      <c r="BJ93" s="1761" t="b">
        <f>IF(AND($C93&lt;&gt;"",$AB93=""),TRUE,FALSE)</f>
        <v>0</v>
      </c>
      <c r="BK93" s="1761" t="b">
        <f>IF(BL93=TRUE,FALSE,IF(OR(AF93&lt;0,AF93&gt;1),TRUE,FALSE))</f>
        <v>0</v>
      </c>
      <c r="BL93" s="1761" t="b">
        <f>IF(AND($C93&lt;&gt;"",$AF93=""),TRUE,FALSE)</f>
        <v>0</v>
      </c>
      <c r="BM93" s="1761"/>
      <c r="BN93" s="1761" t="b">
        <f ca="1">IF(AND($C93&lt;&gt;"",$AH93=""),TRUE,FALSE)</f>
        <v>0</v>
      </c>
      <c r="BO93" s="1761" t="b">
        <f>IF(AL93="",FALSE,IF(X93="",FALSE,IF(BP93=TRUE,FALSE,IF(OR(AL93&lt;1913,AL93&gt;BaseYear),TRUE,FALSE))))</f>
        <v>0</v>
      </c>
      <c r="BP93" s="1761" t="b">
        <f>IF(AND($C93&lt;&gt;"",$AL93=""),TRUE,FALSE)</f>
        <v>0</v>
      </c>
      <c r="BQ93" s="1761" t="b">
        <f>IF(AD93="Square Foot",FALSE,IF(AND(AD93="Parking Space",OR('A-20 PassFacInv'!X93=Valid!$B$7,'A-20 PassFacInv'!X93=Valid!$B$8,'A-20 PassFacInv'!X93=Valid!$B$9,'A-20 PassFacInv'!X93=Valid!$B$10,'A-20 PassFacInv'!X93=Valid!$B$12,'A-20 PassFacInv'!X93=Valid!$B$13,'A-20 PassFacInv'!X93=Valid!$B$14,'A-20 PassFacInv'!X93=Valid!$B$15,'A-20 PassFacInv'!X93=Valid!$B$16,'A-20 PassFacInv'!X93=Valid!$B$17,'A-20 PassFacInv'!X93=Valid!$B$18,X93=Valid!$B$19,X93=Valid!$B$20,X93=Valid!$B$21)),TRUE,FALSE))</f>
        <v>0</v>
      </c>
      <c r="BR93" s="1761" t="b">
        <f>IF(AND($C93&lt;&gt;"",$AD93=""),TRUE,FALSE)</f>
        <v>0</v>
      </c>
      <c r="BS93" s="721"/>
      <c r="BT93" s="1625" t="str">
        <f>IF($X93="","",VLOOKUP($X93,val_facilities,BT$3,FALSE))</f>
        <v/>
      </c>
      <c r="BU93" s="1627" t="str">
        <f>IF($X93="","",VLOOKUP($X93,val_facilities,BU$3,FALSE))</f>
        <v/>
      </c>
      <c r="BV93" s="1627" t="str">
        <f>IF($X93="","",VLOOKUP($X93,val_facilities,BV$3,FALSE))</f>
        <v/>
      </c>
      <c r="BW93" s="1627" t="str">
        <f ca="1">IFERROR(IF(Z93="", "", YEAR(TODAY())-Z93), "")</f>
        <v/>
      </c>
      <c r="BX93" s="845" t="str">
        <f>IF($X93="","",IF(AD93="Square Feet",VLOOKUP('A-20 PassFacInv'!X53,Valid!$B$7:$H$24,7,FALSE),IF(AD93="Parking Spaces",VLOOKUP(X93,Valid!$B$22:$L$24,11,FALSE))))</f>
        <v/>
      </c>
      <c r="BY93" s="845" t="str">
        <f>IF($X93="","",IF(AD93="Square Feet",VLOOKUP(X93,Valid!$B$7:$I$24,8,FALSE),IF('A-20 PassFacInv'!AD53="Parking Spaces",VLOOKUP('A-20 PassFacInv'!X53,Valid!$B$22:$M$24,12,FALSE))))</f>
        <v/>
      </c>
      <c r="BZ93" s="1229"/>
      <c r="CA93" s="721">
        <f t="shared" si="2"/>
        <v>0</v>
      </c>
      <c r="CB93" s="816"/>
    </row>
    <row r="94" spans="1:80" s="1739" customFormat="1" ht="6.75" customHeight="1" thickBot="1" x14ac:dyDescent="0.25">
      <c r="A94" s="1638"/>
      <c r="B94" s="1746">
        <v>41.5</v>
      </c>
      <c r="C94" s="1223"/>
      <c r="D94" s="1248"/>
      <c r="E94" s="721"/>
      <c r="F94" s="758"/>
      <c r="G94" s="758"/>
      <c r="H94" s="758"/>
      <c r="I94" s="758"/>
      <c r="J94" s="1744"/>
      <c r="K94" s="1248"/>
      <c r="L94" s="1745"/>
      <c r="M94" s="1248"/>
      <c r="N94" s="1745"/>
      <c r="O94" s="1248"/>
      <c r="P94" s="1659"/>
      <c r="Q94" s="1248"/>
      <c r="R94" s="1656"/>
      <c r="S94" s="1248"/>
      <c r="T94" s="1656"/>
      <c r="U94" s="1248"/>
      <c r="V94" s="1223"/>
      <c r="W94" s="1618"/>
      <c r="X94" s="1737"/>
      <c r="Y94" s="1618"/>
      <c r="Z94" s="1623"/>
      <c r="AA94" s="1618"/>
      <c r="AB94" s="1944"/>
      <c r="AC94" s="1632"/>
      <c r="AD94" s="1394"/>
      <c r="AE94" s="823"/>
      <c r="AF94" s="822"/>
      <c r="AG94" s="1632"/>
      <c r="AH94" s="1631"/>
      <c r="AI94" s="1632"/>
      <c r="AJ94" s="1631"/>
      <c r="AK94" s="1632"/>
      <c r="AL94" s="1719"/>
      <c r="AM94" s="1632"/>
      <c r="AN94" s="721"/>
      <c r="AO94" s="758"/>
      <c r="AP94" s="758"/>
      <c r="AQ94" s="758"/>
      <c r="AR94" s="758"/>
      <c r="AS94" s="758"/>
      <c r="AT94" s="1761"/>
      <c r="AU94" s="1761"/>
      <c r="AV94" s="1761"/>
      <c r="AW94" s="1761"/>
      <c r="AX94" s="1761"/>
      <c r="AY94" s="1761"/>
      <c r="AZ94" s="1761"/>
      <c r="BA94" s="1761"/>
      <c r="BB94" s="1761"/>
      <c r="BC94" s="1761"/>
      <c r="BD94" s="1761"/>
      <c r="BE94" s="1761"/>
      <c r="BF94" s="1761"/>
      <c r="BG94" s="1761"/>
      <c r="BH94" s="1761"/>
      <c r="BI94" s="1761"/>
      <c r="BJ94" s="1761"/>
      <c r="BK94" s="1761"/>
      <c r="BL94" s="1761"/>
      <c r="BM94" s="1761"/>
      <c r="BN94" s="1761"/>
      <c r="BO94" s="1761"/>
      <c r="BP94" s="1761"/>
      <c r="BQ94" s="1761"/>
      <c r="BR94" s="1761"/>
      <c r="BS94" s="721"/>
      <c r="BT94" s="1626"/>
      <c r="BU94" s="1626"/>
      <c r="BV94" s="1626"/>
      <c r="BW94" s="1626"/>
      <c r="BX94" s="1626"/>
      <c r="BY94" s="1626"/>
      <c r="BZ94" s="1229"/>
      <c r="CA94" s="721">
        <f t="shared" si="2"/>
        <v>0</v>
      </c>
      <c r="CB94" s="721"/>
    </row>
    <row r="95" spans="1:80" s="1739" customFormat="1" x14ac:dyDescent="0.2">
      <c r="A95" s="840">
        <v>42</v>
      </c>
      <c r="B95" s="1731">
        <v>42</v>
      </c>
      <c r="C95" s="1740"/>
      <c r="D95" s="1248" t="str">
        <f>IF(C93="","",IF((C95=""),"Enter Facility "&amp;TEXT(A95,0)&amp;" Name, then Fill in Columns "&amp;TEXT($H$2,0)&amp;" - "&amp;TEXT($AL$2,0)&amp;"       ",""))</f>
        <v/>
      </c>
      <c r="E95" s="1245" t="str">
        <f ca="1">IF(AS95="N/A","",IF(AS95="N","No","Yes"))</f>
        <v/>
      </c>
      <c r="F95" s="758"/>
      <c r="G95" s="758"/>
      <c r="H95" s="1707"/>
      <c r="I95" s="758"/>
      <c r="J95" s="1653"/>
      <c r="K95" s="1248" t="str">
        <f ca="1">IF($E95&lt;&gt;"","Enter Street Address      ","")</f>
        <v/>
      </c>
      <c r="L95" s="1740"/>
      <c r="M95" s="1248" t="str">
        <f ca="1">IF($E95&lt;&gt;"","Enter City Name       ","")</f>
        <v/>
      </c>
      <c r="N95" s="1740"/>
      <c r="O95" s="1248" t="str">
        <f ca="1">IF($E95&lt;&gt;"","Select from Pull-Down List   ","")</f>
        <v/>
      </c>
      <c r="P95" s="1741"/>
      <c r="Q95" s="1248" t="str">
        <f ca="1">IF($E95&lt;&gt;"","Enter ZIP Code       ","")</f>
        <v/>
      </c>
      <c r="R95" s="1742"/>
      <c r="S95" s="1248" t="str">
        <f ca="1">IF(OR(N95&lt;&gt;"",P95&lt;&gt;"",J95&lt;&gt;"",L95&lt;&gt;""),"",IF($E95&lt;&gt;"","Enter Lat.      ",""))</f>
        <v/>
      </c>
      <c r="T95" s="1742"/>
      <c r="U95" s="1248" t="str">
        <f ca="1">IF(OR(N95&lt;&gt;"",P95&lt;&gt;"",J95&lt;&gt;"",L95&lt;&gt;""),"",IF($E95&lt;&gt;"","Enter Long.    ",""))</f>
        <v/>
      </c>
      <c r="V95" s="1653"/>
      <c r="W95" s="1618" t="str">
        <f ca="1">IF($E95&lt;&gt;"","Select from Pull-Down List  ","")</f>
        <v/>
      </c>
      <c r="X95" s="1653"/>
      <c r="Y95" s="1618" t="str">
        <f ca="1">IF($E95&lt;&gt;"","Select from Pull-Down List  ","")</f>
        <v/>
      </c>
      <c r="Z95" s="1743"/>
      <c r="AA95" s="1248" t="str">
        <f ca="1">IF(E95&lt;&gt;"","Year?   ","")</f>
        <v/>
      </c>
      <c r="AB95" s="1943"/>
      <c r="AC95" s="1620" t="str">
        <f ca="1">IF(E95="","",IF(X95="","Sq. Ft. or Spaces?   ",IF(OR(X95=Codes!$L$26,X95=Codes!$L$27,X95=Codes!$L$28),"Sq. Ft. or Spaces?   ",IF(OR(X95=Codes!$L$20,X95=Codes!$L$21,X95=Codes!$L$22,X95=Codes!$L$23,X95=Codes!$L$24,X95=Codes!$L$25),"Sq. Ft?     ",""))))</f>
        <v/>
      </c>
      <c r="AD95" s="1740"/>
      <c r="AE95" s="1618" t="str">
        <f ca="1">IF($E95&lt;&gt;"","Select from List     ","")</f>
        <v/>
      </c>
      <c r="AF95" s="1621"/>
      <c r="AG95" s="1618" t="str">
        <f ca="1">IF($E95&lt;&gt;"","% of Cap Resp.","")</f>
        <v/>
      </c>
      <c r="AH95" s="1801" t="str">
        <f ca="1">IF(BW95="", "", IF(BW95&gt;100, 1, VLOOKUP(BW95, Valid!$W$1:$AA$101, VLOOKUP(X95, Codes!$L$20:$N$28, 3, FALSE), FALSE)))</f>
        <v/>
      </c>
      <c r="AI95" s="1620" t="str">
        <f ca="1">IF($E95&lt;&gt;"","Estimated?  ","")</f>
        <v/>
      </c>
      <c r="AJ95" s="1654"/>
      <c r="AK95" s="1620" t="str">
        <f ca="1">IF($E95&lt;&gt;"","Estimated $?    ","")</f>
        <v/>
      </c>
      <c r="AL95" s="1730"/>
      <c r="AM95" s="1620" t="b">
        <f ca="1">IF(E95&lt;&gt;"","Est Date?    ")</f>
        <v>0</v>
      </c>
      <c r="AN95" s="1740"/>
      <c r="AO95" s="1248" t="str">
        <f>IF(X95="Other (describe in Notes)","Describe Facility.                                                                                                                        ","")</f>
        <v/>
      </c>
      <c r="AP95" s="1624"/>
      <c r="AQ95" s="1624" t="b">
        <f>IF(AND(C95="",C97&lt;&gt;""),TRUE,FALSE)</f>
        <v>0</v>
      </c>
      <c r="AR95" s="1624" t="str">
        <f>IF(AND(J95&lt;&gt;"",L95&lt;&gt;"",N95&lt;&gt;"",P95&lt;&gt;"",R95="",T95=""),"Y",IF(AND(J95="",L95="",N95="",P95="",R95&lt;&gt;"",T95&lt;&gt;""),"Y",IF(AND(J95&lt;&gt;"",L95&lt;&gt;"",N95&lt;&gt;"",P95&lt;&gt;"",R95&lt;&gt;"",T95&lt;&gt;""),"Y",IF(AND(J95="",L95="",N95="",P95="",R95="",T95=""),"N/A","N"))))</f>
        <v>N/A</v>
      </c>
      <c r="AS95" s="1624" t="str">
        <f ca="1">IF(AND($C95&lt;&gt;"",OR(AR95="N",$V95="",$X95="",$Z95="",$AB95="",$AF95="",$AH95="",$AL95="",AD95="")),"N",IF(AND($C95="",OR(H95&lt;&gt;"",AR95="N",$V95&lt;&gt;"",$X95&lt;&gt;"",$Z95&lt;&gt;"",$AB95&lt;&gt;"",$AF95&lt;&gt;"",$AH95&lt;&gt;"",$AL95&lt;&gt;"",AD95&lt;&gt;"")),"N",IF(AND(H95="",$C95="",AR95="N/A",$V95="",$X95="",$Z95="",$AB95="",$AF95="",$AH95="",$AL95="",AD95=""),"N/A",IF(AND($C95&lt;&gt;"",AR95="Y",$V95&lt;&gt;"",$X95&lt;&gt;"",$Z95&lt;&gt;"",$AB95&lt;&gt;"",$AF95&lt;&gt;"",$AH95&lt;&gt;"",$AL95&lt;&gt;"",AD95&lt;&gt;""),"Y","N"))))</f>
        <v>N/A</v>
      </c>
      <c r="AT95" s="1761" t="b">
        <f ca="1">IF(AND($C95="",OR($J95&lt;&gt;"",$L95&lt;&gt;"",$N95&lt;&gt;"",$P95&lt;&gt;"",$V95&lt;&gt;"",$X95&lt;&gt;"",$Z95&lt;&gt;"",$AB95&lt;&gt;"",$AF95&lt;&gt;"",$AH95&lt;&gt;"",$AL95&lt;&gt;"")),TRUE,FALSE)</f>
        <v>0</v>
      </c>
      <c r="AU95" s="1761" t="b">
        <f>IF(OR(R95&lt;&gt;"",T95&lt;&gt;""),"false",IF(AND($C95&lt;&gt;"",$J95=""),TRUE,FALSE))</f>
        <v>0</v>
      </c>
      <c r="AV95" s="1761" t="b">
        <f>IF(OR(R95&lt;&gt;"",T95&lt;&gt;""),FALSE,IF(AND($C95&lt;&gt;"",$L95=""),TRUE,FALSE))</f>
        <v>0</v>
      </c>
      <c r="AW95" s="1761" t="b">
        <f>IF(OR(R95&lt;&gt;"",T95&lt;&gt;""),FALSE,IF(AND($C95&lt;&gt;"",$N95=""),TRUE,FALSE))</f>
        <v>0</v>
      </c>
      <c r="AX95" s="1761" t="b">
        <f>IF(OR(R95&lt;&gt;"",T95&lt;&gt;""),FALSE,IF(AND($C95&lt;&gt;"",$P95=""),TRUE,FALSE))</f>
        <v>0</v>
      </c>
      <c r="AY95" s="1761"/>
      <c r="AZ95" s="1761" t="b">
        <f>IF(OR(J95&lt;&gt;"",L95&lt;&gt;"",N95&lt;&gt;"",P95&lt;&gt;""),FALSE,IF(AND(C95&lt;&gt;"",R95=""),TRUE,FALSE))</f>
        <v>0</v>
      </c>
      <c r="BA95" s="1761"/>
      <c r="BB95" s="1761" t="b">
        <f>IF(OR(J95&lt;&gt;"",L95&lt;&gt;"",N95&lt;&gt;"",P95&lt;&gt;""),FALSE,IF(AND(C95&lt;&gt;"",T95=""),TRUE,FALSE))</f>
        <v>0</v>
      </c>
      <c r="BC95" s="1761" t="b">
        <f>IF(AND($C95&lt;&gt;"",$V95=""),TRUE,FALSE)</f>
        <v>0</v>
      </c>
      <c r="BD95" s="1761" t="b">
        <f ca="1">IF(AND(X95="",OR(Z95&lt;&gt;"",AB95&lt;&gt;"",AF95&lt;&gt;"",AH95&lt;&gt;"",AL95&lt;&gt;"",AD95&lt;&gt;"")),TRUE,FALSE)</f>
        <v>0</v>
      </c>
      <c r="BE95" s="1761" t="b">
        <f>IF(AND($C95&lt;&gt;"",$X95=""),TRUE,FALSE)</f>
        <v>0</v>
      </c>
      <c r="BF95" s="1761" t="b">
        <f>IF(Z95="",FALSE,IF(X95="",FALSE,IF(BG95=TRUE,FALSE,IF(OR(Z95&lt;BU95,Z95&gt;BaseYear),TRUE,FALSE))))</f>
        <v>0</v>
      </c>
      <c r="BG95" s="1761" t="b">
        <f>IF(AND($C95&lt;&gt;"",$Z95=""),TRUE,FALSE)</f>
        <v>0</v>
      </c>
      <c r="BH95" s="1761" t="b">
        <f>IF(AD95="",FALSE,IF(X95="",FALSE,IF(BJ95=TRUE,FALSE,IF(AB95&lt;BX95,TRUE,FALSE))))</f>
        <v>0</v>
      </c>
      <c r="BI95" s="1761" t="b">
        <f>IF(AD95="",FALSE,IF(X95="",FALSE,IF(BJ95=TRUE,FALSE,IF(AB95&gt;BY95,TRUE,FALSE))))</f>
        <v>0</v>
      </c>
      <c r="BJ95" s="1761" t="b">
        <f>IF(AND($C95&lt;&gt;"",$AB95=""),TRUE,FALSE)</f>
        <v>0</v>
      </c>
      <c r="BK95" s="1761" t="b">
        <f>IF(BL95=TRUE,FALSE,IF(OR(AF95&lt;0,AF95&gt;1),TRUE,FALSE))</f>
        <v>0</v>
      </c>
      <c r="BL95" s="1761" t="b">
        <f>IF(AND($C95&lt;&gt;"",$AF95=""),TRUE,FALSE)</f>
        <v>0</v>
      </c>
      <c r="BM95" s="1761"/>
      <c r="BN95" s="1761" t="b">
        <f ca="1">IF(AND($C95&lt;&gt;"",$AH95=""),TRUE,FALSE)</f>
        <v>0</v>
      </c>
      <c r="BO95" s="1761" t="b">
        <f>IF(AL95="",FALSE,IF(X95="",FALSE,IF(BP95=TRUE,FALSE,IF(OR(AL95&lt;1913,AL95&gt;BaseYear),TRUE,FALSE))))</f>
        <v>0</v>
      </c>
      <c r="BP95" s="1761" t="b">
        <f>IF(AND($C95&lt;&gt;"",$AL95=""),TRUE,FALSE)</f>
        <v>0</v>
      </c>
      <c r="BQ95" s="1761" t="b">
        <f>IF(AD95="Square Foot",FALSE,IF(AND(AD95="Parking Space",OR('A-20 PassFacInv'!X95=Valid!$B$7,'A-20 PassFacInv'!X95=Valid!$B$8,'A-20 PassFacInv'!X95=Valid!$B$9,'A-20 PassFacInv'!X95=Valid!$B$10,'A-20 PassFacInv'!X95=Valid!$B$12,'A-20 PassFacInv'!X95=Valid!$B$13,'A-20 PassFacInv'!X95=Valid!$B$14,'A-20 PassFacInv'!X95=Valid!$B$15,'A-20 PassFacInv'!X95=Valid!$B$16,'A-20 PassFacInv'!X95=Valid!$B$17,'A-20 PassFacInv'!X95=Valid!$B$18,X95=Valid!$B$19,X95=Valid!$B$20,X95=Valid!$B$21)),TRUE,FALSE))</f>
        <v>0</v>
      </c>
      <c r="BR95" s="1761" t="b">
        <f>IF(AND($C95&lt;&gt;"",$AD95=""),TRUE,FALSE)</f>
        <v>0</v>
      </c>
      <c r="BS95" s="721"/>
      <c r="BT95" s="1625" t="str">
        <f>IF($X95="","",VLOOKUP($X95,val_facilities,BT$3,FALSE))</f>
        <v/>
      </c>
      <c r="BU95" s="1627" t="str">
        <f>IF($X95="","",VLOOKUP($X95,val_facilities,BU$3,FALSE))</f>
        <v/>
      </c>
      <c r="BV95" s="1627" t="str">
        <f>IF($X95="","",VLOOKUP($X95,val_facilities,BV$3,FALSE))</f>
        <v/>
      </c>
      <c r="BW95" s="1627" t="str">
        <f ca="1">IFERROR(IF(Z95="", "", YEAR(TODAY())-Z95), "")</f>
        <v/>
      </c>
      <c r="BX95" s="845" t="str">
        <f>IF($X95="","",IF(AD95="Square Feet",VLOOKUP('A-20 PassFacInv'!X54,Valid!$B$7:$H$24,7,FALSE),IF(AD95="Parking Spaces",VLOOKUP(X95,Valid!$B$22:$L$24,11,FALSE))))</f>
        <v/>
      </c>
      <c r="BY95" s="845" t="str">
        <f>IF($X95="","",IF(AD95="Square Feet",VLOOKUP(X95,Valid!$B$7:$I$24,8,FALSE),IF('A-20 PassFacInv'!AD54="Parking Spaces",VLOOKUP('A-20 PassFacInv'!X54,Valid!$B$22:$M$24,12,FALSE))))</f>
        <v/>
      </c>
      <c r="BZ95" s="1229"/>
      <c r="CA95" s="721">
        <f t="shared" si="2"/>
        <v>0</v>
      </c>
      <c r="CB95" s="816"/>
    </row>
    <row r="96" spans="1:80" s="1739" customFormat="1" ht="6.75" customHeight="1" thickBot="1" x14ac:dyDescent="0.25">
      <c r="A96" s="1638"/>
      <c r="B96" s="1746">
        <v>42.5</v>
      </c>
      <c r="C96" s="721"/>
      <c r="D96" s="1248"/>
      <c r="E96" s="816"/>
      <c r="F96" s="758"/>
      <c r="G96" s="758"/>
      <c r="H96" s="758"/>
      <c r="I96" s="758"/>
      <c r="J96" s="1633"/>
      <c r="K96" s="1248"/>
      <c r="L96" s="1634"/>
      <c r="M96" s="1248"/>
      <c r="N96" s="1634"/>
      <c r="O96" s="1248"/>
      <c r="P96" s="1657"/>
      <c r="Q96" s="1248"/>
      <c r="R96" s="1656"/>
      <c r="S96" s="1248"/>
      <c r="T96" s="1656"/>
      <c r="U96" s="1248"/>
      <c r="V96" s="1059"/>
      <c r="W96" s="1618"/>
      <c r="X96" s="764"/>
      <c r="Y96" s="1618"/>
      <c r="Z96" s="1623"/>
      <c r="AA96" s="1618"/>
      <c r="AB96" s="1944"/>
      <c r="AC96" s="723"/>
      <c r="AD96" s="1658"/>
      <c r="AE96" s="724"/>
      <c r="AF96" s="724"/>
      <c r="AG96" s="723"/>
      <c r="AH96" s="722"/>
      <c r="AI96" s="723"/>
      <c r="AJ96" s="722"/>
      <c r="AK96" s="723"/>
      <c r="AL96" s="1717"/>
      <c r="AM96" s="723"/>
      <c r="AN96" s="1637"/>
      <c r="AO96" s="1624"/>
      <c r="AP96" s="1624"/>
      <c r="AQ96" s="1624"/>
      <c r="AR96" s="1624"/>
      <c r="AS96" s="1624"/>
      <c r="AT96" s="1761"/>
      <c r="AU96" s="1761"/>
      <c r="AV96" s="1761"/>
      <c r="AW96" s="1761"/>
      <c r="AX96" s="1761"/>
      <c r="AY96" s="1761"/>
      <c r="AZ96" s="1761"/>
      <c r="BA96" s="1761"/>
      <c r="BB96" s="1761"/>
      <c r="BC96" s="1761"/>
      <c r="BD96" s="1761"/>
      <c r="BE96" s="1761"/>
      <c r="BF96" s="1761"/>
      <c r="BG96" s="1761"/>
      <c r="BH96" s="1761"/>
      <c r="BI96" s="1761"/>
      <c r="BJ96" s="1761"/>
      <c r="BK96" s="1761"/>
      <c r="BL96" s="1761"/>
      <c r="BM96" s="1761"/>
      <c r="BN96" s="1761"/>
      <c r="BO96" s="1761"/>
      <c r="BP96" s="1761"/>
      <c r="BQ96" s="1761"/>
      <c r="BR96" s="1761"/>
      <c r="BS96" s="721"/>
      <c r="BT96" s="1626"/>
      <c r="BU96" s="1626"/>
      <c r="BV96" s="1626"/>
      <c r="BW96" s="1626"/>
      <c r="BX96" s="1626"/>
      <c r="BY96" s="1626"/>
      <c r="BZ96" s="1229"/>
      <c r="CA96" s="721">
        <f t="shared" si="2"/>
        <v>0</v>
      </c>
      <c r="CB96" s="816"/>
    </row>
    <row r="97" spans="1:80" s="1739" customFormat="1" x14ac:dyDescent="0.2">
      <c r="A97" s="840">
        <v>43</v>
      </c>
      <c r="B97" s="1746">
        <v>43</v>
      </c>
      <c r="C97" s="1740"/>
      <c r="D97" s="1248" t="str">
        <f>IF(C95="","",IF((C97=""),"Enter Facility "&amp;TEXT(A97,0)&amp;" Name, then Fill in Columns "&amp;TEXT($H$2,0)&amp;" - "&amp;TEXT($AL$2,0)&amp;"       ",""))</f>
        <v/>
      </c>
      <c r="E97" s="1245" t="str">
        <f ca="1">IF(AS97="N/A","",IF(AS97="N","No","Yes"))</f>
        <v/>
      </c>
      <c r="F97" s="758"/>
      <c r="G97" s="758"/>
      <c r="H97" s="1707"/>
      <c r="I97" s="758"/>
      <c r="J97" s="1653"/>
      <c r="K97" s="1248" t="str">
        <f ca="1">IF($E97&lt;&gt;"","Enter Street Address      ","")</f>
        <v/>
      </c>
      <c r="L97" s="1740"/>
      <c r="M97" s="1248" t="str">
        <f ca="1">IF($E97&lt;&gt;"","Enter City Name       ","")</f>
        <v/>
      </c>
      <c r="N97" s="1740"/>
      <c r="O97" s="1248" t="str">
        <f ca="1">IF($E97&lt;&gt;"","Select from Pull-Down List   ","")</f>
        <v/>
      </c>
      <c r="P97" s="1741"/>
      <c r="Q97" s="1248" t="str">
        <f ca="1">IF($E97&lt;&gt;"","Enter ZIP Code       ","")</f>
        <v/>
      </c>
      <c r="R97" s="1742"/>
      <c r="S97" s="1248" t="str">
        <f ca="1">IF(OR(N97&lt;&gt;"",P97&lt;&gt;"",J97&lt;&gt;"",L97&lt;&gt;""),"",IF($E97&lt;&gt;"","Enter Lat.      ",""))</f>
        <v/>
      </c>
      <c r="T97" s="1742"/>
      <c r="U97" s="1248" t="str">
        <f ca="1">IF(OR(N97&lt;&gt;"",P97&lt;&gt;"",J97&lt;&gt;"",L97&lt;&gt;""),"",IF($E97&lt;&gt;"","Enter Long.    ",""))</f>
        <v/>
      </c>
      <c r="V97" s="1653"/>
      <c r="W97" s="1618" t="str">
        <f ca="1">IF($E97&lt;&gt;"","Select from Pull-Down List  ","")</f>
        <v/>
      </c>
      <c r="X97" s="1653"/>
      <c r="Y97" s="1618" t="str">
        <f ca="1">IF($E97&lt;&gt;"","Select from Pull-Down List  ","")</f>
        <v/>
      </c>
      <c r="Z97" s="1743"/>
      <c r="AA97" s="1248" t="str">
        <f ca="1">IF(E97&lt;&gt;"","Year?   ","")</f>
        <v/>
      </c>
      <c r="AB97" s="1943"/>
      <c r="AC97" s="1620" t="str">
        <f ca="1">IF(E97="","",IF(X97="","Sq. Ft. or Spaces?   ",IF(OR(X97=Codes!$L$26,X97=Codes!$L$27,X97=Codes!$L$28),"Sq. Ft. or Spaces?   ",IF(OR(X97=Codes!$L$20,X97=Codes!$L$21,X97=Codes!$L$22,X97=Codes!$L$23,X97=Codes!$L$24,X97=Codes!$L$25),"Sq. Ft?     ",""))))</f>
        <v/>
      </c>
      <c r="AD97" s="1740"/>
      <c r="AE97" s="1618" t="str">
        <f ca="1">IF($E97&lt;&gt;"","Select from List     ","")</f>
        <v/>
      </c>
      <c r="AF97" s="1621"/>
      <c r="AG97" s="1618" t="str">
        <f ca="1">IF($E97&lt;&gt;"","% of Cap Resp.","")</f>
        <v/>
      </c>
      <c r="AH97" s="1801" t="str">
        <f ca="1">IF(BW97="", "", IF(BW97&gt;100, 1, VLOOKUP(BW97, Valid!$W$1:$AA$101, VLOOKUP(X97, Codes!$L$20:$N$28, 3, FALSE), FALSE)))</f>
        <v/>
      </c>
      <c r="AI97" s="1620" t="str">
        <f ca="1">IF($E97&lt;&gt;"","Estimated?  ","")</f>
        <v/>
      </c>
      <c r="AJ97" s="1654"/>
      <c r="AK97" s="1620" t="str">
        <f ca="1">IF($E97&lt;&gt;"","Estimated $?    ","")</f>
        <v/>
      </c>
      <c r="AL97" s="1730"/>
      <c r="AM97" s="1620" t="b">
        <f ca="1">IF(E97&lt;&gt;"","Est Date?    ")</f>
        <v>0</v>
      </c>
      <c r="AN97" s="1740"/>
      <c r="AO97" s="1248" t="str">
        <f>IF(X97="Other (describe in Notes)","Describe Facility.                                                                                                                        ","")</f>
        <v/>
      </c>
      <c r="AP97" s="1624"/>
      <c r="AQ97" s="1624" t="b">
        <f>IF(AND(C97="",C99&lt;&gt;""),TRUE,FALSE)</f>
        <v>0</v>
      </c>
      <c r="AR97" s="1624" t="str">
        <f>IF(AND(J97&lt;&gt;"",L97&lt;&gt;"",N97&lt;&gt;"",P97&lt;&gt;"",R97="",T97=""),"Y",IF(AND(J97="",L97="",N97="",P97="",R97&lt;&gt;"",T97&lt;&gt;""),"Y",IF(AND(J97&lt;&gt;"",L97&lt;&gt;"",N97&lt;&gt;"",P97&lt;&gt;"",R97&lt;&gt;"",T97&lt;&gt;""),"Y",IF(AND(J97="",L97="",N97="",P97="",R97="",T97=""),"N/A","N"))))</f>
        <v>N/A</v>
      </c>
      <c r="AS97" s="1624" t="str">
        <f ca="1">IF(AND($C97&lt;&gt;"",OR(AR97="N",$V97="",$X97="",$Z97="",$AB97="",$AF97="",$AH97="",$AL97="",AD97="")),"N",IF(AND($C97="",OR(H97&lt;&gt;"",AR97="N",$V97&lt;&gt;"",$X97&lt;&gt;"",$Z97&lt;&gt;"",$AB97&lt;&gt;"",$AF97&lt;&gt;"",$AH97&lt;&gt;"",$AL97&lt;&gt;"",AD97&lt;&gt;"")),"N",IF(AND(H97="",$C97="",AR97="N/A",$V97="",$X97="",$Z97="",$AB97="",$AF97="",$AH97="",$AL97="",AD97=""),"N/A",IF(AND($C97&lt;&gt;"",AR97="Y",$V97&lt;&gt;"",$X97&lt;&gt;"",$Z97&lt;&gt;"",$AB97&lt;&gt;"",$AF97&lt;&gt;"",$AH97&lt;&gt;"",$AL97&lt;&gt;"",AD97&lt;&gt;""),"Y","N"))))</f>
        <v>N/A</v>
      </c>
      <c r="AT97" s="1761" t="b">
        <f ca="1">IF(AND($C97="",OR($J97&lt;&gt;"",$L97&lt;&gt;"",$N97&lt;&gt;"",$P97&lt;&gt;"",$V97&lt;&gt;"",$X97&lt;&gt;"",$Z97&lt;&gt;"",$AB97&lt;&gt;"",$AF97&lt;&gt;"",$AH97&lt;&gt;"",$AL97&lt;&gt;"")),TRUE,FALSE)</f>
        <v>0</v>
      </c>
      <c r="AU97" s="1761" t="b">
        <f>IF(OR(R97&lt;&gt;"",T97&lt;&gt;""),"false",IF(AND($C97&lt;&gt;"",$J97=""),TRUE,FALSE))</f>
        <v>0</v>
      </c>
      <c r="AV97" s="1761" t="b">
        <f>IF(OR(R97&lt;&gt;"",T97&lt;&gt;""),FALSE,IF(AND($C97&lt;&gt;"",$L97=""),TRUE,FALSE))</f>
        <v>0</v>
      </c>
      <c r="AW97" s="1761" t="b">
        <f>IF(OR(R97&lt;&gt;"",T97&lt;&gt;""),FALSE,IF(AND($C97&lt;&gt;"",$N97=""),TRUE,FALSE))</f>
        <v>0</v>
      </c>
      <c r="AX97" s="1761" t="b">
        <f>IF(OR(R97&lt;&gt;"",T97&lt;&gt;""),FALSE,IF(AND($C97&lt;&gt;"",$P97=""),TRUE,FALSE))</f>
        <v>0</v>
      </c>
      <c r="AY97" s="1761"/>
      <c r="AZ97" s="1761" t="b">
        <f>IF(OR(J97&lt;&gt;"",L97&lt;&gt;"",N97&lt;&gt;"",P97&lt;&gt;""),FALSE,IF(AND(C97&lt;&gt;"",R97=""),TRUE,FALSE))</f>
        <v>0</v>
      </c>
      <c r="BA97" s="1761"/>
      <c r="BB97" s="1761" t="b">
        <f>IF(OR(J97&lt;&gt;"",L97&lt;&gt;"",N97&lt;&gt;"",P97&lt;&gt;""),FALSE,IF(AND(C97&lt;&gt;"",T97=""),TRUE,FALSE))</f>
        <v>0</v>
      </c>
      <c r="BC97" s="1761" t="b">
        <f>IF(AND($C97&lt;&gt;"",$V97=""),TRUE,FALSE)</f>
        <v>0</v>
      </c>
      <c r="BD97" s="1761" t="b">
        <f ca="1">IF(AND(X97="",OR(Z97&lt;&gt;"",AB97&lt;&gt;"",AF97&lt;&gt;"",AH97&lt;&gt;"",AL97&lt;&gt;"",AD97&lt;&gt;"")),TRUE,FALSE)</f>
        <v>0</v>
      </c>
      <c r="BE97" s="1761" t="b">
        <f>IF(AND($C97&lt;&gt;"",$X97=""),TRUE,FALSE)</f>
        <v>0</v>
      </c>
      <c r="BF97" s="1761" t="b">
        <f>IF(Z97="",FALSE,IF(X97="",FALSE,IF(BG97=TRUE,FALSE,IF(OR(Z97&lt;BU97,Z97&gt;BaseYear),TRUE,FALSE))))</f>
        <v>0</v>
      </c>
      <c r="BG97" s="1761" t="b">
        <f>IF(AND($C97&lt;&gt;"",$Z97=""),TRUE,FALSE)</f>
        <v>0</v>
      </c>
      <c r="BH97" s="1761" t="b">
        <f>IF(AD97="",FALSE,IF(X97="",FALSE,IF(BJ97=TRUE,FALSE,IF(AB97&lt;BX97,TRUE,FALSE))))</f>
        <v>0</v>
      </c>
      <c r="BI97" s="1761" t="b">
        <f>IF(AD97="",FALSE,IF(X97="",FALSE,IF(BJ97=TRUE,FALSE,IF(AB97&gt;BY97,TRUE,FALSE))))</f>
        <v>0</v>
      </c>
      <c r="BJ97" s="1761" t="b">
        <f>IF(AND($C97&lt;&gt;"",$AB97=""),TRUE,FALSE)</f>
        <v>0</v>
      </c>
      <c r="BK97" s="1761" t="b">
        <f>IF(BL97=TRUE,FALSE,IF(OR(AF97&lt;0,AF97&gt;1),TRUE,FALSE))</f>
        <v>0</v>
      </c>
      <c r="BL97" s="1761" t="b">
        <f>IF(AND($C97&lt;&gt;"",$AF97=""),TRUE,FALSE)</f>
        <v>0</v>
      </c>
      <c r="BM97" s="1761"/>
      <c r="BN97" s="1761" t="b">
        <f ca="1">IF(AND($C97&lt;&gt;"",$AH97=""),TRUE,FALSE)</f>
        <v>0</v>
      </c>
      <c r="BO97" s="1761" t="b">
        <f>IF(AL97="",FALSE,IF(X97="",FALSE,IF(BP97=TRUE,FALSE,IF(OR(AL97&lt;1913,AL97&gt;BaseYear),TRUE,FALSE))))</f>
        <v>0</v>
      </c>
      <c r="BP97" s="1761" t="b">
        <f>IF(AND($C97&lt;&gt;"",$AL97=""),TRUE,FALSE)</f>
        <v>0</v>
      </c>
      <c r="BQ97" s="1761" t="b">
        <f>IF(AD97="Square Foot",FALSE,IF(AND(AD97="Parking Space",OR('A-20 PassFacInv'!X97=Valid!$B$7,'A-20 PassFacInv'!X97=Valid!$B$8,'A-20 PassFacInv'!X97=Valid!$B$9,'A-20 PassFacInv'!X97=Valid!$B$10,'A-20 PassFacInv'!X97=Valid!$B$12,'A-20 PassFacInv'!X97=Valid!$B$13,'A-20 PassFacInv'!X97=Valid!$B$14,'A-20 PassFacInv'!X97=Valid!$B$15,'A-20 PassFacInv'!X97=Valid!$B$16,'A-20 PassFacInv'!X97=Valid!$B$17,'A-20 PassFacInv'!X97=Valid!$B$18,X97=Valid!$B$19,X97=Valid!$B$20,X97=Valid!$B$21)),TRUE,FALSE))</f>
        <v>0</v>
      </c>
      <c r="BR97" s="1761" t="b">
        <f>IF(AND($C97&lt;&gt;"",$AD97=""),TRUE,FALSE)</f>
        <v>0</v>
      </c>
      <c r="BS97" s="721"/>
      <c r="BT97" s="1625" t="str">
        <f>IF($X97="","",VLOOKUP($X97,val_facilities,BT$3,FALSE))</f>
        <v/>
      </c>
      <c r="BU97" s="1627" t="str">
        <f>IF($X97="","",VLOOKUP($X97,val_facilities,BU$3,FALSE))</f>
        <v/>
      </c>
      <c r="BV97" s="1627" t="str">
        <f>IF($X97="","",VLOOKUP($X97,val_facilities,BV$3,FALSE))</f>
        <v/>
      </c>
      <c r="BW97" s="1627" t="str">
        <f ca="1">IFERROR(IF(Z97="", "", YEAR(TODAY())-Z97), "")</f>
        <v/>
      </c>
      <c r="BX97" s="845" t="str">
        <f>IF($X97="","",IF(AD97="Square Feet",VLOOKUP('A-20 PassFacInv'!X55,Valid!$B$7:$H$24,7,FALSE),IF(AD97="Parking Spaces",VLOOKUP(X97,Valid!$B$22:$L$24,11,FALSE))))</f>
        <v/>
      </c>
      <c r="BY97" s="845" t="str">
        <f>IF($X97="","",IF(AD97="Square Feet",VLOOKUP(X97,Valid!$B$7:$I$24,8,FALSE),IF('A-20 PassFacInv'!AD55="Parking Spaces",VLOOKUP('A-20 PassFacInv'!X55,Valid!$B$22:$M$24,12,FALSE))))</f>
        <v/>
      </c>
      <c r="BZ97" s="1229"/>
      <c r="CA97" s="721">
        <f t="shared" si="2"/>
        <v>0</v>
      </c>
      <c r="CB97" s="816"/>
    </row>
    <row r="98" spans="1:80" s="1739" customFormat="1" ht="6.75" customHeight="1" thickBot="1" x14ac:dyDescent="0.25">
      <c r="A98" s="1638"/>
      <c r="B98" s="1746">
        <v>43.5</v>
      </c>
      <c r="C98" s="1057"/>
      <c r="D98" s="1248"/>
      <c r="E98" s="1057"/>
      <c r="F98" s="1229"/>
      <c r="G98" s="1229"/>
      <c r="H98" s="1229"/>
      <c r="I98" s="1229"/>
      <c r="J98" s="1604"/>
      <c r="K98" s="1640"/>
      <c r="L98" s="1641"/>
      <c r="M98" s="1248"/>
      <c r="N98" s="1641"/>
      <c r="O98" s="1248"/>
      <c r="P98" s="1659"/>
      <c r="Q98" s="1248"/>
      <c r="R98" s="1660"/>
      <c r="S98" s="1640"/>
      <c r="T98" s="1660"/>
      <c r="U98" s="1640"/>
      <c r="V98" s="1057"/>
      <c r="W98" s="1618"/>
      <c r="X98" s="1747"/>
      <c r="Y98" s="1618"/>
      <c r="Z98" s="1623"/>
      <c r="AA98" s="1618"/>
      <c r="AB98" s="1944"/>
      <c r="AC98" s="1275"/>
      <c r="AD98" s="1661"/>
      <c r="AE98" s="734"/>
      <c r="AF98" s="1736"/>
      <c r="AG98" s="1275"/>
      <c r="AH98" s="733"/>
      <c r="AI98" s="1275"/>
      <c r="AJ98" s="733"/>
      <c r="AK98" s="1275"/>
      <c r="AL98" s="1721"/>
      <c r="AM98" s="1275"/>
      <c r="AN98" s="1057"/>
      <c r="AO98" s="1644"/>
      <c r="AP98" s="1644"/>
      <c r="AQ98" s="1644"/>
      <c r="AR98" s="1644"/>
      <c r="AS98" s="1644"/>
      <c r="AT98" s="1761"/>
      <c r="AU98" s="1761"/>
      <c r="AV98" s="1761"/>
      <c r="AW98" s="1761"/>
      <c r="AX98" s="1761"/>
      <c r="AY98" s="1761"/>
      <c r="AZ98" s="1761"/>
      <c r="BA98" s="1761"/>
      <c r="BB98" s="1761"/>
      <c r="BC98" s="1762"/>
      <c r="BD98" s="1762"/>
      <c r="BE98" s="1762"/>
      <c r="BF98" s="1762"/>
      <c r="BG98" s="1762"/>
      <c r="BH98" s="1762"/>
      <c r="BI98" s="1762"/>
      <c r="BJ98" s="1762"/>
      <c r="BK98" s="1762"/>
      <c r="BL98" s="1762"/>
      <c r="BM98" s="1762"/>
      <c r="BN98" s="1762"/>
      <c r="BO98" s="1762"/>
      <c r="BP98" s="1762"/>
      <c r="BQ98" s="1762"/>
      <c r="BR98" s="1762"/>
      <c r="BS98" s="1736"/>
      <c r="BT98" s="1738"/>
      <c r="BU98" s="1738"/>
      <c r="BV98" s="1738"/>
      <c r="BW98" s="1738"/>
      <c r="BX98" s="1738"/>
      <c r="BY98" s="1738"/>
      <c r="BZ98" s="1229"/>
      <c r="CA98" s="721">
        <f t="shared" si="2"/>
        <v>0</v>
      </c>
      <c r="CB98" s="1748"/>
    </row>
    <row r="99" spans="1:80" s="1739" customFormat="1" x14ac:dyDescent="0.2">
      <c r="A99" s="840">
        <v>44</v>
      </c>
      <c r="B99" s="1746">
        <v>44</v>
      </c>
      <c r="C99" s="1740"/>
      <c r="D99" s="1248" t="str">
        <f>IF(C97="","",IF((C99=""),"Enter Facility "&amp;TEXT(A99,0)&amp;" Name, then Fill in Columns "&amp;TEXT($H$2,0)&amp;" - "&amp;TEXT($AL$2,0)&amp;"       ",""))</f>
        <v/>
      </c>
      <c r="E99" s="1245" t="str">
        <f ca="1">IF(AS99="N/A","",IF(AS99="N","No","Yes"))</f>
        <v/>
      </c>
      <c r="F99" s="758"/>
      <c r="G99" s="758"/>
      <c r="H99" s="1707"/>
      <c r="I99" s="758"/>
      <c r="J99" s="1653"/>
      <c r="K99" s="1248" t="str">
        <f ca="1">IF($E99&lt;&gt;"","Enter Street Address      ","")</f>
        <v/>
      </c>
      <c r="L99" s="1740"/>
      <c r="M99" s="1248" t="str">
        <f ca="1">IF($E99&lt;&gt;"","Enter City Name       ","")</f>
        <v/>
      </c>
      <c r="N99" s="1740"/>
      <c r="O99" s="1248" t="str">
        <f ca="1">IF($E99&lt;&gt;"","Select from Pull-Down List   ","")</f>
        <v/>
      </c>
      <c r="P99" s="1741"/>
      <c r="Q99" s="1248" t="str">
        <f ca="1">IF($E99&lt;&gt;"","Enter ZIP Code       ","")</f>
        <v/>
      </c>
      <c r="R99" s="1742"/>
      <c r="S99" s="1248" t="str">
        <f ca="1">IF(OR(N99&lt;&gt;"",P99&lt;&gt;"",J99&lt;&gt;"",L99&lt;&gt;""),"",IF($E99&lt;&gt;"","Enter Lat.      ",""))</f>
        <v/>
      </c>
      <c r="T99" s="1742"/>
      <c r="U99" s="1248" t="str">
        <f ca="1">IF(OR(N99&lt;&gt;"",P99&lt;&gt;"",J99&lt;&gt;"",L99&lt;&gt;""),"",IF($E99&lt;&gt;"","Enter Long.    ",""))</f>
        <v/>
      </c>
      <c r="V99" s="1653"/>
      <c r="W99" s="1618" t="str">
        <f ca="1">IF($E99&lt;&gt;"","Select from Pull-Down List  ","")</f>
        <v/>
      </c>
      <c r="X99" s="1653"/>
      <c r="Y99" s="1618" t="str">
        <f ca="1">IF($E99&lt;&gt;"","Select from Pull-Down List  ","")</f>
        <v/>
      </c>
      <c r="Z99" s="1743"/>
      <c r="AA99" s="1248" t="str">
        <f ca="1">IF(E99&lt;&gt;"","Year?   ","")</f>
        <v/>
      </c>
      <c r="AB99" s="1943"/>
      <c r="AC99" s="1620" t="str">
        <f ca="1">IF(E99="","",IF(X99="","Sq. Ft. or Spaces?   ",IF(OR(X99=Codes!$L$26,X99=Codes!$L$27,X99=Codes!$L$28),"Sq. Ft. or Spaces?   ",IF(OR(X99=Codes!$L$20,X99=Codes!$L$21,X99=Codes!$L$22,X99=Codes!$L$23,X99=Codes!$L$24,X99=Codes!$L$25),"Sq. Ft?     ",""))))</f>
        <v/>
      </c>
      <c r="AD99" s="1740"/>
      <c r="AE99" s="1618" t="str">
        <f ca="1">IF($E99&lt;&gt;"","Select from List     ","")</f>
        <v/>
      </c>
      <c r="AF99" s="1621"/>
      <c r="AG99" s="1618" t="str">
        <f ca="1">IF($E99&lt;&gt;"","% of Cap Resp.","")</f>
        <v/>
      </c>
      <c r="AH99" s="1801" t="str">
        <f ca="1">IF(BW99="", "", IF(BW99&gt;100, 1, VLOOKUP(BW99, Valid!$W$1:$AA$101, VLOOKUP(X99, Codes!$L$20:$N$28, 3, FALSE), FALSE)))</f>
        <v/>
      </c>
      <c r="AI99" s="1620" t="str">
        <f ca="1">IF($E99&lt;&gt;"","Estimated?  ","")</f>
        <v/>
      </c>
      <c r="AJ99" s="1654"/>
      <c r="AK99" s="1620" t="str">
        <f ca="1">IF($E99&lt;&gt;"","Estimated $?    ","")</f>
        <v/>
      </c>
      <c r="AL99" s="1730"/>
      <c r="AM99" s="1620" t="b">
        <f ca="1">IF(E99&lt;&gt;"","Est Date?    ")</f>
        <v>0</v>
      </c>
      <c r="AN99" s="1740"/>
      <c r="AO99" s="1248" t="str">
        <f>IF(X99="Other (describe in Notes)","Describe Facility.                                                                                                                        ","")</f>
        <v/>
      </c>
      <c r="AP99" s="1624"/>
      <c r="AQ99" s="1624" t="b">
        <f>IF(AND(C99="",C101&lt;&gt;""),TRUE,FALSE)</f>
        <v>0</v>
      </c>
      <c r="AR99" s="1624" t="str">
        <f>IF(AND(J99&lt;&gt;"",L99&lt;&gt;"",N99&lt;&gt;"",P99&lt;&gt;"",R99="",T99=""),"Y",IF(AND(J99="",L99="",N99="",P99="",R99&lt;&gt;"",T99&lt;&gt;""),"Y",IF(AND(J99&lt;&gt;"",L99&lt;&gt;"",N99&lt;&gt;"",P99&lt;&gt;"",R99&lt;&gt;"",T99&lt;&gt;""),"Y",IF(AND(J99="",L99="",N99="",P99="",R99="",T99=""),"N/A","N"))))</f>
        <v>N/A</v>
      </c>
      <c r="AS99" s="1624" t="str">
        <f ca="1">IF(AND($C99&lt;&gt;"",OR(AR99="N",$V99="",$X99="",$Z99="",$AB99="",$AF99="",$AH99="",$AL99="",AD99="")),"N",IF(AND($C99="",OR(H99&lt;&gt;"",AR99="N",$V99&lt;&gt;"",$X99&lt;&gt;"",$Z99&lt;&gt;"",$AB99&lt;&gt;"",$AF99&lt;&gt;"",$AH99&lt;&gt;"",$AL99&lt;&gt;"",AD99&lt;&gt;"")),"N",IF(AND(H99="",$C99="",AR99="N/A",$V99="",$X99="",$Z99="",$AB99="",$AF99="",$AH99="",$AL99="",AD99=""),"N/A",IF(AND($C99&lt;&gt;"",AR99="Y",$V99&lt;&gt;"",$X99&lt;&gt;"",$Z99&lt;&gt;"",$AB99&lt;&gt;"",$AF99&lt;&gt;"",$AH99&lt;&gt;"",$AL99&lt;&gt;"",AD99&lt;&gt;""),"Y","N"))))</f>
        <v>N/A</v>
      </c>
      <c r="AT99" s="1761" t="b">
        <f ca="1">IF(AND($C99="",OR($J99&lt;&gt;"",$L99&lt;&gt;"",$N99&lt;&gt;"",$P99&lt;&gt;"",$V99&lt;&gt;"",$X99&lt;&gt;"",$Z99&lt;&gt;"",$AB99&lt;&gt;"",$AF99&lt;&gt;"",$AH99&lt;&gt;"",$AL99&lt;&gt;"")),TRUE,FALSE)</f>
        <v>0</v>
      </c>
      <c r="AU99" s="1761" t="b">
        <f>IF(OR(R99&lt;&gt;"",T99&lt;&gt;""),"false",IF(AND($C99&lt;&gt;"",$J99=""),TRUE,FALSE))</f>
        <v>0</v>
      </c>
      <c r="AV99" s="1761" t="b">
        <f>IF(OR(R99&lt;&gt;"",T99&lt;&gt;""),FALSE,IF(AND($C99&lt;&gt;"",$L99=""),TRUE,FALSE))</f>
        <v>0</v>
      </c>
      <c r="AW99" s="1761" t="b">
        <f>IF(OR(R99&lt;&gt;"",T99&lt;&gt;""),FALSE,IF(AND($C99&lt;&gt;"",$N99=""),TRUE,FALSE))</f>
        <v>0</v>
      </c>
      <c r="AX99" s="1761" t="b">
        <f>IF(OR(R99&lt;&gt;"",T99&lt;&gt;""),FALSE,IF(AND($C99&lt;&gt;"",$P99=""),TRUE,FALSE))</f>
        <v>0</v>
      </c>
      <c r="AY99" s="1761"/>
      <c r="AZ99" s="1761" t="b">
        <f>IF(OR(J99&lt;&gt;"",L99&lt;&gt;"",N99&lt;&gt;"",P99&lt;&gt;""),FALSE,IF(AND(C99&lt;&gt;"",R99=""),TRUE,FALSE))</f>
        <v>0</v>
      </c>
      <c r="BA99" s="1761"/>
      <c r="BB99" s="1761" t="b">
        <f>IF(OR(J99&lt;&gt;"",L99&lt;&gt;"",N99&lt;&gt;"",P99&lt;&gt;""),FALSE,IF(AND(C99&lt;&gt;"",T99=""),TRUE,FALSE))</f>
        <v>0</v>
      </c>
      <c r="BC99" s="1761" t="b">
        <f>IF(AND($C99&lt;&gt;"",$V99=""),TRUE,FALSE)</f>
        <v>0</v>
      </c>
      <c r="BD99" s="1761" t="b">
        <f ca="1">IF(AND(X99="",OR(Z99&lt;&gt;"",AB99&lt;&gt;"",AF99&lt;&gt;"",AH99&lt;&gt;"",AL99&lt;&gt;"",AD99&lt;&gt;"")),TRUE,FALSE)</f>
        <v>0</v>
      </c>
      <c r="BE99" s="1761" t="b">
        <f>IF(AND($C99&lt;&gt;"",$X99=""),TRUE,FALSE)</f>
        <v>0</v>
      </c>
      <c r="BF99" s="1761" t="b">
        <f>IF(Z99="",FALSE,IF(X99="",FALSE,IF(BG99=TRUE,FALSE,IF(OR(Z99&lt;BU99,Z99&gt;BaseYear),TRUE,FALSE))))</f>
        <v>0</v>
      </c>
      <c r="BG99" s="1761" t="b">
        <f>IF(AND($C99&lt;&gt;"",$Z99=""),TRUE,FALSE)</f>
        <v>0</v>
      </c>
      <c r="BH99" s="1761" t="b">
        <f>IF(AD99="",FALSE,IF(X99="",FALSE,IF(BJ99=TRUE,FALSE,IF(AB99&lt;BX99,TRUE,FALSE))))</f>
        <v>0</v>
      </c>
      <c r="BI99" s="1761" t="b">
        <f>IF(AD99="",FALSE,IF(X99="",FALSE,IF(BJ99=TRUE,FALSE,IF(AB99&gt;BY99,TRUE,FALSE))))</f>
        <v>0</v>
      </c>
      <c r="BJ99" s="1761" t="b">
        <f>IF(AND($C99&lt;&gt;"",$AB99=""),TRUE,FALSE)</f>
        <v>0</v>
      </c>
      <c r="BK99" s="1761" t="b">
        <f>IF(BL99=TRUE,FALSE,IF(OR(AF99&lt;0,AF99&gt;1),TRUE,FALSE))</f>
        <v>0</v>
      </c>
      <c r="BL99" s="1761" t="b">
        <f>IF(AND($C99&lt;&gt;"",$AF99=""),TRUE,FALSE)</f>
        <v>0</v>
      </c>
      <c r="BM99" s="1761"/>
      <c r="BN99" s="1761" t="b">
        <f ca="1">IF(AND($C99&lt;&gt;"",$AH99=""),TRUE,FALSE)</f>
        <v>0</v>
      </c>
      <c r="BO99" s="1761" t="b">
        <f>IF(AL99="",FALSE,IF(X99="",FALSE,IF(BP99=TRUE,FALSE,IF(OR(AL99&lt;1913,AL99&gt;BaseYear),TRUE,FALSE))))</f>
        <v>0</v>
      </c>
      <c r="BP99" s="1761" t="b">
        <f>IF(AND($C99&lt;&gt;"",$AL99=""),TRUE,FALSE)</f>
        <v>0</v>
      </c>
      <c r="BQ99" s="1761" t="b">
        <f>IF(AD99="Square Foot",FALSE,IF(AND(AD99="Parking Space",OR('A-20 PassFacInv'!X99=Valid!$B$7,'A-20 PassFacInv'!X99=Valid!$B$8,'A-20 PassFacInv'!X99=Valid!$B$9,'A-20 PassFacInv'!X99=Valid!$B$10,'A-20 PassFacInv'!X99=Valid!$B$12,'A-20 PassFacInv'!X99=Valid!$B$13,'A-20 PassFacInv'!X99=Valid!$B$14,'A-20 PassFacInv'!X99=Valid!$B$15,'A-20 PassFacInv'!X99=Valid!$B$16,'A-20 PassFacInv'!X99=Valid!$B$17,'A-20 PassFacInv'!X99=Valid!$B$18,X99=Valid!$B$19,X99=Valid!$B$20,X99=Valid!$B$21)),TRUE,FALSE))</f>
        <v>0</v>
      </c>
      <c r="BR99" s="1761" t="b">
        <f>IF(AND($C99&lt;&gt;"",$AD99=""),TRUE,FALSE)</f>
        <v>0</v>
      </c>
      <c r="BS99" s="721"/>
      <c r="BT99" s="1625" t="str">
        <f>IF($X99="","",VLOOKUP($X99,val_facilities,BT$3,FALSE))</f>
        <v/>
      </c>
      <c r="BU99" s="1627" t="str">
        <f>IF($X99="","",VLOOKUP($X99,val_facilities,BU$3,FALSE))</f>
        <v/>
      </c>
      <c r="BV99" s="1627" t="str">
        <f>IF($X99="","",VLOOKUP($X99,val_facilities,BV$3,FALSE))</f>
        <v/>
      </c>
      <c r="BW99" s="1627" t="str">
        <f ca="1">IFERROR(IF(Z99="", "", YEAR(TODAY())-Z99), "")</f>
        <v/>
      </c>
      <c r="BX99" s="845" t="str">
        <f>IF($X99="","",IF(AD99="Square Feet",VLOOKUP('A-20 PassFacInv'!X56,Valid!$B$7:$H$24,7,FALSE),IF(AD99="Parking Spaces",VLOOKUP(X99,Valid!$B$22:$L$24,11,FALSE))))</f>
        <v/>
      </c>
      <c r="BY99" s="845" t="str">
        <f>IF($X99="","",IF(AD99="Square Feet",VLOOKUP(X99,Valid!$B$7:$I$24,8,FALSE),IF('A-20 PassFacInv'!AD56="Parking Spaces",VLOOKUP('A-20 PassFacInv'!X56,Valid!$B$22:$M$24,12,FALSE))))</f>
        <v/>
      </c>
      <c r="BZ99" s="1229"/>
      <c r="CA99" s="721">
        <f t="shared" si="2"/>
        <v>0</v>
      </c>
      <c r="CB99" s="816"/>
    </row>
    <row r="100" spans="1:80" s="1739" customFormat="1" ht="6.75" customHeight="1" thickBot="1" x14ac:dyDescent="0.25">
      <c r="A100" s="1638"/>
      <c r="B100" s="1746">
        <v>44.5</v>
      </c>
      <c r="C100" s="1057"/>
      <c r="D100" s="764"/>
      <c r="E100" s="1639"/>
      <c r="F100" s="1229"/>
      <c r="G100" s="1229"/>
      <c r="H100" s="1229"/>
      <c r="I100" s="1229"/>
      <c r="J100" s="1604"/>
      <c r="K100" s="1640"/>
      <c r="L100" s="1645"/>
      <c r="M100" s="1646"/>
      <c r="N100" s="1645"/>
      <c r="O100" s="1646"/>
      <c r="P100" s="1662"/>
      <c r="Q100" s="1646"/>
      <c r="R100" s="1660"/>
      <c r="S100" s="1640"/>
      <c r="T100" s="1660"/>
      <c r="U100" s="1640"/>
      <c r="V100" s="1057"/>
      <c r="W100" s="1618"/>
      <c r="X100" s="1747"/>
      <c r="Y100" s="1618"/>
      <c r="Z100" s="1623"/>
      <c r="AA100" s="1618"/>
      <c r="AB100" s="1944"/>
      <c r="AC100" s="1648"/>
      <c r="AD100" s="1661"/>
      <c r="AE100" s="841"/>
      <c r="AF100" s="841"/>
      <c r="AG100" s="1648"/>
      <c r="AH100" s="722"/>
      <c r="AI100" s="1648"/>
      <c r="AJ100" s="722"/>
      <c r="AK100" s="1648"/>
      <c r="AL100" s="1717"/>
      <c r="AM100" s="1648"/>
      <c r="AN100" s="1057"/>
      <c r="AO100" s="1644"/>
      <c r="AP100" s="1644"/>
      <c r="AQ100" s="1644"/>
      <c r="AR100" s="1644"/>
      <c r="AS100" s="1644"/>
      <c r="AT100" s="1761"/>
      <c r="AU100" s="1761"/>
      <c r="AV100" s="1761"/>
      <c r="AW100" s="1761"/>
      <c r="AX100" s="1761"/>
      <c r="AY100" s="1761"/>
      <c r="AZ100" s="1761"/>
      <c r="BA100" s="1761"/>
      <c r="BB100" s="1761"/>
      <c r="BC100" s="1762"/>
      <c r="BD100" s="1762"/>
      <c r="BE100" s="1762"/>
      <c r="BF100" s="1762"/>
      <c r="BG100" s="1762"/>
      <c r="BH100" s="1762"/>
      <c r="BI100" s="1762"/>
      <c r="BJ100" s="1762"/>
      <c r="BK100" s="1762"/>
      <c r="BL100" s="1762"/>
      <c r="BM100" s="1762"/>
      <c r="BN100" s="1762"/>
      <c r="BO100" s="1762"/>
      <c r="BP100" s="1762"/>
      <c r="BQ100" s="1762"/>
      <c r="BR100" s="1762"/>
      <c r="BS100" s="1736"/>
      <c r="BT100" s="1738"/>
      <c r="BU100" s="1738"/>
      <c r="BV100" s="1738"/>
      <c r="BW100" s="1738"/>
      <c r="BX100" s="1738"/>
      <c r="BY100" s="1738"/>
      <c r="BZ100" s="1229"/>
      <c r="CA100" s="721">
        <f t="shared" si="2"/>
        <v>0</v>
      </c>
      <c r="CB100" s="1748"/>
    </row>
    <row r="101" spans="1:80" s="1739" customFormat="1" x14ac:dyDescent="0.2">
      <c r="A101" s="840">
        <v>45</v>
      </c>
      <c r="B101" s="1731">
        <v>45</v>
      </c>
      <c r="C101" s="1740"/>
      <c r="D101" s="1248" t="str">
        <f>IF(C99="","",IF((C101=""),"Enter Facility "&amp;TEXT(A101,0)&amp;" Name, then Fill in Columns "&amp;TEXT($H$2,0)&amp;" - "&amp;TEXT($AL$2,0)&amp;"       ",""))</f>
        <v/>
      </c>
      <c r="E101" s="1245" t="str">
        <f ca="1">IF(AS101="N/A","",IF(AS101="N","No","Yes"))</f>
        <v/>
      </c>
      <c r="F101" s="758"/>
      <c r="G101" s="758"/>
      <c r="H101" s="1707"/>
      <c r="I101" s="758"/>
      <c r="J101" s="1653"/>
      <c r="K101" s="1248" t="str">
        <f ca="1">IF($E101&lt;&gt;"","Enter Street Address      ","")</f>
        <v/>
      </c>
      <c r="L101" s="1740"/>
      <c r="M101" s="1248" t="str">
        <f ca="1">IF($E101&lt;&gt;"","Enter City Name       ","")</f>
        <v/>
      </c>
      <c r="N101" s="1740"/>
      <c r="O101" s="1248" t="str">
        <f ca="1">IF($E101&lt;&gt;"","Select from Pull-Down List   ","")</f>
        <v/>
      </c>
      <c r="P101" s="1741"/>
      <c r="Q101" s="1248" t="str">
        <f ca="1">IF($E101&lt;&gt;"","Enter ZIP Code       ","")</f>
        <v/>
      </c>
      <c r="R101" s="1742"/>
      <c r="S101" s="1248" t="str">
        <f ca="1">IF(OR(N101&lt;&gt;"",P101&lt;&gt;"",J101&lt;&gt;"",L101&lt;&gt;""),"",IF($E101&lt;&gt;"","Enter Lat.      ",""))</f>
        <v/>
      </c>
      <c r="T101" s="1742"/>
      <c r="U101" s="1248" t="str">
        <f ca="1">IF(OR(N101&lt;&gt;"",P101&lt;&gt;"",J101&lt;&gt;"",L101&lt;&gt;""),"",IF($E101&lt;&gt;"","Enter Long.    ",""))</f>
        <v/>
      </c>
      <c r="V101" s="1653"/>
      <c r="W101" s="1618" t="str">
        <f ca="1">IF($E101&lt;&gt;"","Select from Pull-Down List  ","")</f>
        <v/>
      </c>
      <c r="X101" s="1653"/>
      <c r="Y101" s="1618" t="str">
        <f ca="1">IF($E101&lt;&gt;"","Select from Pull-Down List  ","")</f>
        <v/>
      </c>
      <c r="Z101" s="1743"/>
      <c r="AA101" s="1248" t="str">
        <f ca="1">IF(E101&lt;&gt;"","Year?   ","")</f>
        <v/>
      </c>
      <c r="AB101" s="1943"/>
      <c r="AC101" s="1620" t="str">
        <f ca="1">IF(E101="","",IF(X101="","Sq. Ft. or Spaces?   ",IF(OR(X101=Codes!$L$26,X101=Codes!$L$27,X101=Codes!$L$28),"Sq. Ft. or Spaces?   ",IF(OR(X101=Codes!$L$20,X101=Codes!$L$21,X101=Codes!$L$22,X101=Codes!$L$23,X101=Codes!$L$24,X101=Codes!$L$25),"Sq. Ft?     ",""))))</f>
        <v/>
      </c>
      <c r="AD101" s="1740"/>
      <c r="AE101" s="1618" t="str">
        <f ca="1">IF($E101&lt;&gt;"","Select from List     ","")</f>
        <v/>
      </c>
      <c r="AF101" s="1621"/>
      <c r="AG101" s="1618" t="str">
        <f ca="1">IF($E101&lt;&gt;"","% of Cap Resp.","")</f>
        <v/>
      </c>
      <c r="AH101" s="1801" t="str">
        <f ca="1">IF(BW101="", "", IF(BW101&gt;100, 1, VLOOKUP(BW101, Valid!$W$1:$AA$101, VLOOKUP(X101, Codes!$L$20:$N$28, 3, FALSE), FALSE)))</f>
        <v/>
      </c>
      <c r="AI101" s="1620" t="str">
        <f ca="1">IF($E101&lt;&gt;"","Estimated?  ","")</f>
        <v/>
      </c>
      <c r="AJ101" s="1654"/>
      <c r="AK101" s="1620" t="str">
        <f ca="1">IF($E101&lt;&gt;"","Estimated $?    ","")</f>
        <v/>
      </c>
      <c r="AL101" s="1730"/>
      <c r="AM101" s="1620" t="b">
        <f ca="1">IF(E101&lt;&gt;"","Est Date?    ")</f>
        <v>0</v>
      </c>
      <c r="AN101" s="1740"/>
      <c r="AO101" s="1248" t="str">
        <f>IF(X101="Other (describe in Notes)","Describe Facility.                                                                                                                        ","")</f>
        <v/>
      </c>
      <c r="AP101" s="1624"/>
      <c r="AQ101" s="1624" t="b">
        <f>IF(AND(C101="",C103&lt;&gt;""),TRUE,FALSE)</f>
        <v>0</v>
      </c>
      <c r="AR101" s="1624" t="str">
        <f>IF(AND(J101&lt;&gt;"",L101&lt;&gt;"",N101&lt;&gt;"",P101&lt;&gt;"",R101="",T101=""),"Y",IF(AND(J101="",L101="",N101="",P101="",R101&lt;&gt;"",T101&lt;&gt;""),"Y",IF(AND(J101&lt;&gt;"",L101&lt;&gt;"",N101&lt;&gt;"",P101&lt;&gt;"",R101&lt;&gt;"",T101&lt;&gt;""),"Y",IF(AND(J101="",L101="",N101="",P101="",R101="",T101=""),"N/A","N"))))</f>
        <v>N/A</v>
      </c>
      <c r="AS101" s="1624" t="str">
        <f ca="1">IF(AND($C101&lt;&gt;"",OR(AR101="N",$V101="",$X101="",$Z101="",$AB101="",$AF101="",$AH101="",$AL101="",AD101="")),"N",IF(AND($C101="",OR(H101&lt;&gt;"",AR101="N",$V101&lt;&gt;"",$X101&lt;&gt;"",$Z101&lt;&gt;"",$AB101&lt;&gt;"",$AF101&lt;&gt;"",$AH101&lt;&gt;"",$AL101&lt;&gt;"",AD101&lt;&gt;"")),"N",IF(AND(H101="",$C101="",AR101="N/A",$V101="",$X101="",$Z101="",$AB101="",$AF101="",$AH101="",$AL101="",AD101=""),"N/A",IF(AND($C101&lt;&gt;"",AR101="Y",$V101&lt;&gt;"",$X101&lt;&gt;"",$Z101&lt;&gt;"",$AB101&lt;&gt;"",$AF101&lt;&gt;"",$AH101&lt;&gt;"",$AL101&lt;&gt;"",AD101&lt;&gt;""),"Y","N"))))</f>
        <v>N/A</v>
      </c>
      <c r="AT101" s="1761" t="b">
        <f ca="1">IF(AND($C101="",OR($J101&lt;&gt;"",$L101&lt;&gt;"",$N101&lt;&gt;"",$P101&lt;&gt;"",$V101&lt;&gt;"",$X101&lt;&gt;"",$Z101&lt;&gt;"",$AB101&lt;&gt;"",$AF101&lt;&gt;"",$AH101&lt;&gt;"",$AL101&lt;&gt;"")),TRUE,FALSE)</f>
        <v>0</v>
      </c>
      <c r="AU101" s="1761" t="b">
        <f>IF(OR(R101&lt;&gt;"",T101&lt;&gt;""),"false",IF(AND($C101&lt;&gt;"",$J101=""),TRUE,FALSE))</f>
        <v>0</v>
      </c>
      <c r="AV101" s="1761" t="b">
        <f>IF(OR(R101&lt;&gt;"",T101&lt;&gt;""),FALSE,IF(AND($C101&lt;&gt;"",$L101=""),TRUE,FALSE))</f>
        <v>0</v>
      </c>
      <c r="AW101" s="1761" t="b">
        <f>IF(OR(R101&lt;&gt;"",T101&lt;&gt;""),FALSE,IF(AND($C101&lt;&gt;"",$N101=""),TRUE,FALSE))</f>
        <v>0</v>
      </c>
      <c r="AX101" s="1761" t="b">
        <f>IF(OR(R101&lt;&gt;"",T101&lt;&gt;""),FALSE,IF(AND($C101&lt;&gt;"",$P101=""),TRUE,FALSE))</f>
        <v>0</v>
      </c>
      <c r="AY101" s="1761"/>
      <c r="AZ101" s="1761" t="b">
        <f>IF(OR(J101&lt;&gt;"",L101&lt;&gt;"",N101&lt;&gt;"",P101&lt;&gt;""),FALSE,IF(AND(C101&lt;&gt;"",R101=""),TRUE,FALSE))</f>
        <v>0</v>
      </c>
      <c r="BA101" s="1761"/>
      <c r="BB101" s="1761" t="b">
        <f>IF(OR(J101&lt;&gt;"",L101&lt;&gt;"",N101&lt;&gt;"",P101&lt;&gt;""),FALSE,IF(AND(C101&lt;&gt;"",T101=""),TRUE,FALSE))</f>
        <v>0</v>
      </c>
      <c r="BC101" s="1761" t="b">
        <f>IF(AND($C101&lt;&gt;"",$V101=""),TRUE,FALSE)</f>
        <v>0</v>
      </c>
      <c r="BD101" s="1761" t="b">
        <f ca="1">IF(AND(X101="",OR(Z101&lt;&gt;"",AB101&lt;&gt;"",AF101&lt;&gt;"",AH101&lt;&gt;"",AL101&lt;&gt;"",AD101&lt;&gt;"")),TRUE,FALSE)</f>
        <v>0</v>
      </c>
      <c r="BE101" s="1761" t="b">
        <f>IF(AND($C101&lt;&gt;"",$X101=""),TRUE,FALSE)</f>
        <v>0</v>
      </c>
      <c r="BF101" s="1761" t="b">
        <f>IF(Z101="",FALSE,IF(X101="",FALSE,IF(BG101=TRUE,FALSE,IF(OR(Z101&lt;BU101,Z101&gt;BaseYear),TRUE,FALSE))))</f>
        <v>0</v>
      </c>
      <c r="BG101" s="1761" t="b">
        <f>IF(AND($C101&lt;&gt;"",$Z101=""),TRUE,FALSE)</f>
        <v>0</v>
      </c>
      <c r="BH101" s="1761" t="b">
        <f>IF(AD101="",FALSE,IF(X101="",FALSE,IF(BJ101=TRUE,FALSE,IF(AB101&lt;BX101,TRUE,FALSE))))</f>
        <v>0</v>
      </c>
      <c r="BI101" s="1761" t="b">
        <f>IF(AD101="",FALSE,IF(X101="",FALSE,IF(BJ101=TRUE,FALSE,IF(AB101&gt;BY101,TRUE,FALSE))))</f>
        <v>0</v>
      </c>
      <c r="BJ101" s="1761" t="b">
        <f>IF(AND($C101&lt;&gt;"",$AB101=""),TRUE,FALSE)</f>
        <v>0</v>
      </c>
      <c r="BK101" s="1761" t="b">
        <f>IF(BL101=TRUE,FALSE,IF(OR(AF101&lt;0,AF101&gt;1),TRUE,FALSE))</f>
        <v>0</v>
      </c>
      <c r="BL101" s="1761" t="b">
        <f>IF(AND($C101&lt;&gt;"",$AF101=""),TRUE,FALSE)</f>
        <v>0</v>
      </c>
      <c r="BM101" s="1761"/>
      <c r="BN101" s="1761" t="b">
        <f ca="1">IF(AND($C101&lt;&gt;"",$AH101=""),TRUE,FALSE)</f>
        <v>0</v>
      </c>
      <c r="BO101" s="1761" t="b">
        <f>IF(AL101="",FALSE,IF(X101="",FALSE,IF(BP101=TRUE,FALSE,IF(OR(AL101&lt;1913,AL101&gt;BaseYear),TRUE,FALSE))))</f>
        <v>0</v>
      </c>
      <c r="BP101" s="1761" t="b">
        <f>IF(AND($C101&lt;&gt;"",$AL101=""),TRUE,FALSE)</f>
        <v>0</v>
      </c>
      <c r="BQ101" s="1761" t="b">
        <f>IF(AD101="Square Foot",FALSE,IF(AND(AD101="Parking Space",OR('A-20 PassFacInv'!X101=Valid!$B$7,'A-20 PassFacInv'!X101=Valid!$B$8,'A-20 PassFacInv'!X101=Valid!$B$9,'A-20 PassFacInv'!X101=Valid!$B$10,'A-20 PassFacInv'!X101=Valid!$B$12,'A-20 PassFacInv'!X101=Valid!$B$13,'A-20 PassFacInv'!X101=Valid!$B$14,'A-20 PassFacInv'!X101=Valid!$B$15,'A-20 PassFacInv'!X101=Valid!$B$16,'A-20 PassFacInv'!X101=Valid!$B$17,'A-20 PassFacInv'!X101=Valid!$B$18,X101=Valid!$B$19,X101=Valid!$B$20,X101=Valid!$B$21)),TRUE,FALSE))</f>
        <v>0</v>
      </c>
      <c r="BR101" s="1761" t="b">
        <f>IF(AND($C101&lt;&gt;"",$AD101=""),TRUE,FALSE)</f>
        <v>0</v>
      </c>
      <c r="BS101" s="721"/>
      <c r="BT101" s="1625" t="str">
        <f>IF($X101="","",VLOOKUP($X101,val_facilities,BT$3,FALSE))</f>
        <v/>
      </c>
      <c r="BU101" s="1627" t="str">
        <f>IF($X101="","",VLOOKUP($X101,val_facilities,BU$3,FALSE))</f>
        <v/>
      </c>
      <c r="BV101" s="1627" t="str">
        <f>IF($X101="","",VLOOKUP($X101,val_facilities,BV$3,FALSE))</f>
        <v/>
      </c>
      <c r="BW101" s="1627" t="str">
        <f ca="1">IFERROR(IF(Z101="", "", YEAR(TODAY())-Z101), "")</f>
        <v/>
      </c>
      <c r="BX101" s="845" t="str">
        <f>IF($X101="","",IF(AD101="Square Feet",VLOOKUP('A-20 PassFacInv'!X57,Valid!$B$7:$H$24,7,FALSE),IF(AD101="Parking Spaces",VLOOKUP(X101,Valid!$B$22:$L$24,11,FALSE))))</f>
        <v/>
      </c>
      <c r="BY101" s="845" t="str">
        <f>IF($X101="","",IF(AD101="Square Feet",VLOOKUP(X101,Valid!$B$7:$I$24,8,FALSE),IF('A-20 PassFacInv'!AD57="Parking Spaces",VLOOKUP('A-20 PassFacInv'!X57,Valid!$B$22:$M$24,12,FALSE))))</f>
        <v/>
      </c>
      <c r="BZ101" s="1229"/>
      <c r="CA101" s="721">
        <f t="shared" si="2"/>
        <v>0</v>
      </c>
      <c r="CB101" s="816"/>
    </row>
    <row r="102" spans="1:80" s="1739" customFormat="1" ht="6.75" customHeight="1" thickBot="1" x14ac:dyDescent="0.25">
      <c r="A102" s="1638"/>
      <c r="B102" s="1746">
        <v>45.5</v>
      </c>
      <c r="C102" s="1057"/>
      <c r="D102" s="1248"/>
      <c r="E102" s="1057"/>
      <c r="F102" s="1229"/>
      <c r="G102" s="1229"/>
      <c r="H102" s="1229"/>
      <c r="I102" s="1229"/>
      <c r="J102" s="1604"/>
      <c r="K102" s="1229"/>
      <c r="L102" s="1605"/>
      <c r="M102" s="1644"/>
      <c r="N102" s="1605"/>
      <c r="O102" s="1644"/>
      <c r="P102" s="1733"/>
      <c r="Q102" s="1644"/>
      <c r="R102" s="1663"/>
      <c r="S102" s="1229"/>
      <c r="T102" s="1663"/>
      <c r="U102" s="1229"/>
      <c r="V102" s="1057"/>
      <c r="W102" s="1623"/>
      <c r="X102" s="1747"/>
      <c r="Y102" s="1623"/>
      <c r="Z102" s="1623"/>
      <c r="AA102" s="1623"/>
      <c r="AB102" s="1944"/>
      <c r="AC102" s="841"/>
      <c r="AD102" s="1057"/>
      <c r="AE102" s="841"/>
      <c r="AF102" s="841"/>
      <c r="AG102" s="841"/>
      <c r="AH102" s="722"/>
      <c r="AI102" s="841"/>
      <c r="AJ102" s="722"/>
      <c r="AK102" s="841"/>
      <c r="AL102" s="1717"/>
      <c r="AM102" s="841"/>
      <c r="AN102" s="1057"/>
      <c r="AO102" s="1644"/>
      <c r="AP102" s="1644"/>
      <c r="AQ102" s="1644"/>
      <c r="AR102" s="1644"/>
      <c r="AS102" s="1644"/>
      <c r="AT102" s="1761"/>
      <c r="AU102" s="1761"/>
      <c r="AV102" s="1761"/>
      <c r="AW102" s="1761"/>
      <c r="AX102" s="1761"/>
      <c r="AY102" s="1761"/>
      <c r="AZ102" s="1761"/>
      <c r="BA102" s="1761"/>
      <c r="BB102" s="1761"/>
      <c r="BC102" s="1762"/>
      <c r="BD102" s="1762"/>
      <c r="BE102" s="1762"/>
      <c r="BF102" s="1762"/>
      <c r="BG102" s="1762"/>
      <c r="BH102" s="1762"/>
      <c r="BI102" s="1762"/>
      <c r="BJ102" s="1762"/>
      <c r="BK102" s="1762"/>
      <c r="BL102" s="1762"/>
      <c r="BM102" s="1762"/>
      <c r="BN102" s="1762"/>
      <c r="BO102" s="1762"/>
      <c r="BP102" s="1762"/>
      <c r="BQ102" s="1763"/>
      <c r="BR102" s="1762"/>
      <c r="BS102" s="1736"/>
      <c r="BT102" s="1738"/>
      <c r="BU102" s="1738"/>
      <c r="BV102" s="1738"/>
      <c r="BW102" s="1738"/>
      <c r="BX102" s="1738"/>
      <c r="BY102" s="1738"/>
      <c r="BZ102" s="1229"/>
      <c r="CA102" s="721">
        <f t="shared" si="2"/>
        <v>0</v>
      </c>
      <c r="CB102" s="1748"/>
    </row>
    <row r="103" spans="1:80" s="1739" customFormat="1" x14ac:dyDescent="0.2">
      <c r="A103" s="840">
        <v>46</v>
      </c>
      <c r="B103" s="1746">
        <v>46</v>
      </c>
      <c r="C103" s="1740"/>
      <c r="D103" s="1248" t="str">
        <f>IF(C101="","",IF((C103=""),"Enter Facility "&amp;TEXT(A103,0)&amp;" Name, then Fill in Columns "&amp;TEXT($H$2,0)&amp;" - "&amp;TEXT($AL$2,0)&amp;"       ",""))</f>
        <v/>
      </c>
      <c r="E103" s="1245" t="str">
        <f ca="1">IF(AS103="N/A","",IF(AS103="N","No","Yes"))</f>
        <v/>
      </c>
      <c r="F103" s="758"/>
      <c r="G103" s="758"/>
      <c r="H103" s="1707"/>
      <c r="I103" s="758"/>
      <c r="J103" s="1653"/>
      <c r="K103" s="1248" t="str">
        <f ca="1">IF($E103&lt;&gt;"","Enter Street Address      ","")</f>
        <v/>
      </c>
      <c r="L103" s="1740"/>
      <c r="M103" s="1248" t="str">
        <f ca="1">IF($E103&lt;&gt;"","Enter City Name       ","")</f>
        <v/>
      </c>
      <c r="N103" s="1740"/>
      <c r="O103" s="1248" t="str">
        <f ca="1">IF($E103&lt;&gt;"","Select from Pull-Down List   ","")</f>
        <v/>
      </c>
      <c r="P103" s="1741"/>
      <c r="Q103" s="1248" t="str">
        <f ca="1">IF($E103&lt;&gt;"","Enter ZIP Code       ","")</f>
        <v/>
      </c>
      <c r="R103" s="1742"/>
      <c r="S103" s="1248" t="str">
        <f ca="1">IF(OR(N103&lt;&gt;"",P103&lt;&gt;"",J103&lt;&gt;"",L103&lt;&gt;""),"",IF($E103&lt;&gt;"","Enter Lat.      ",""))</f>
        <v/>
      </c>
      <c r="T103" s="1742"/>
      <c r="U103" s="1248" t="str">
        <f ca="1">IF(OR(N103&lt;&gt;"",P103&lt;&gt;"",J103&lt;&gt;"",L103&lt;&gt;""),"",IF($E103&lt;&gt;"","Enter Long.    ",""))</f>
        <v/>
      </c>
      <c r="V103" s="1653"/>
      <c r="W103" s="1618" t="str">
        <f ca="1">IF($E103&lt;&gt;"","Select from Pull-Down List  ","")</f>
        <v/>
      </c>
      <c r="X103" s="1653"/>
      <c r="Y103" s="1618" t="str">
        <f ca="1">IF($E103&lt;&gt;"","Select from Pull-Down List  ","")</f>
        <v/>
      </c>
      <c r="Z103" s="1743"/>
      <c r="AA103" s="1248" t="str">
        <f ca="1">IF(E103&lt;&gt;"","Year?   ","")</f>
        <v/>
      </c>
      <c r="AB103" s="1943"/>
      <c r="AC103" s="1620" t="str">
        <f ca="1">IF(E103="","",IF(X103="","Sq. Ft. or Spaces?   ",IF(OR(X103=Codes!$L$26,X103=Codes!$L$27,X103=Codes!$L$28),"Sq. Ft. or Spaces?   ",IF(OR(X103=Codes!$L$20,X103=Codes!$L$21,X103=Codes!$L$22,X103=Codes!$L$23,X103=Codes!$L$24,X103=Codes!$L$25),"Sq. Ft?     ",""))))</f>
        <v/>
      </c>
      <c r="AD103" s="1740"/>
      <c r="AE103" s="1618" t="str">
        <f ca="1">IF($E103&lt;&gt;"","Select from List     ","")</f>
        <v/>
      </c>
      <c r="AF103" s="1621"/>
      <c r="AG103" s="1618" t="str">
        <f ca="1">IF($E103&lt;&gt;"","% of Cap Resp.","")</f>
        <v/>
      </c>
      <c r="AH103" s="1801" t="str">
        <f ca="1">IF(BW103="", "", IF(BW103&gt;100, 1, VLOOKUP(BW103, Valid!$W$1:$AA$101, VLOOKUP(X103, Codes!$L$20:$N$28, 3, FALSE), FALSE)))</f>
        <v/>
      </c>
      <c r="AI103" s="1620" t="str">
        <f ca="1">IF($E103&lt;&gt;"","Estimated?  ","")</f>
        <v/>
      </c>
      <c r="AJ103" s="1654"/>
      <c r="AK103" s="1620" t="str">
        <f ca="1">IF($E103&lt;&gt;"","Estimated $?    ","")</f>
        <v/>
      </c>
      <c r="AL103" s="1730"/>
      <c r="AM103" s="1620" t="b">
        <f ca="1">IF(E103&lt;&gt;"","Est Date?    ")</f>
        <v>0</v>
      </c>
      <c r="AN103" s="1740"/>
      <c r="AO103" s="1248" t="str">
        <f>IF(X103="Other (describe in Notes)","Describe Facility.                                                                                                                        ","")</f>
        <v/>
      </c>
      <c r="AP103" s="1624"/>
      <c r="AQ103" s="1624" t="b">
        <f>IF(AND(C103="",C105&lt;&gt;""),TRUE,FALSE)</f>
        <v>0</v>
      </c>
      <c r="AR103" s="1624" t="str">
        <f>IF(AND(J103&lt;&gt;"",L103&lt;&gt;"",N103&lt;&gt;"",P103&lt;&gt;"",R103="",T103=""),"Y",IF(AND(J103="",L103="",N103="",P103="",R103&lt;&gt;"",T103&lt;&gt;""),"Y",IF(AND(J103&lt;&gt;"",L103&lt;&gt;"",N103&lt;&gt;"",P103&lt;&gt;"",R103&lt;&gt;"",T103&lt;&gt;""),"Y",IF(AND(J103="",L103="",N103="",P103="",R103="",T103=""),"N/A","N"))))</f>
        <v>N/A</v>
      </c>
      <c r="AS103" s="1624" t="str">
        <f ca="1">IF(AND($C103&lt;&gt;"",OR(AR103="N",$V103="",$X103="",$Z103="",$AB103="",$AF103="",$AH103="",$AL103="",AD103="")),"N",IF(AND($C103="",OR(H103&lt;&gt;"",AR103="N",$V103&lt;&gt;"",$X103&lt;&gt;"",$Z103&lt;&gt;"",$AB103&lt;&gt;"",$AF103&lt;&gt;"",$AH103&lt;&gt;"",$AL103&lt;&gt;"",AD103&lt;&gt;"")),"N",IF(AND(H103="",$C103="",AR103="N/A",$V103="",$X103="",$Z103="",$AB103="",$AF103="",$AH103="",$AL103="",AD103=""),"N/A",IF(AND($C103&lt;&gt;"",AR103="Y",$V103&lt;&gt;"",$X103&lt;&gt;"",$Z103&lt;&gt;"",$AB103&lt;&gt;"",$AF103&lt;&gt;"",$AH103&lt;&gt;"",$AL103&lt;&gt;"",AD103&lt;&gt;""),"Y","N"))))</f>
        <v>N/A</v>
      </c>
      <c r="AT103" s="1761" t="b">
        <f ca="1">IF(AND($C103="",OR($J103&lt;&gt;"",$L103&lt;&gt;"",$N103&lt;&gt;"",$P103&lt;&gt;"",$V103&lt;&gt;"",$X103&lt;&gt;"",$Z103&lt;&gt;"",$AB103&lt;&gt;"",$AF103&lt;&gt;"",$AH103&lt;&gt;"",$AL103&lt;&gt;"")),TRUE,FALSE)</f>
        <v>0</v>
      </c>
      <c r="AU103" s="1761" t="b">
        <f>IF(OR(R103&lt;&gt;"",T103&lt;&gt;""),"false",IF(AND($C103&lt;&gt;"",$J103=""),TRUE,FALSE))</f>
        <v>0</v>
      </c>
      <c r="AV103" s="1761" t="b">
        <f>IF(OR(R103&lt;&gt;"",T103&lt;&gt;""),FALSE,IF(AND($C103&lt;&gt;"",$L103=""),TRUE,FALSE))</f>
        <v>0</v>
      </c>
      <c r="AW103" s="1761" t="b">
        <f>IF(OR(R103&lt;&gt;"",T103&lt;&gt;""),FALSE,IF(AND($C103&lt;&gt;"",$N103=""),TRUE,FALSE))</f>
        <v>0</v>
      </c>
      <c r="AX103" s="1761" t="b">
        <f>IF(OR(R103&lt;&gt;"",T103&lt;&gt;""),FALSE,IF(AND($C103&lt;&gt;"",$P103=""),TRUE,FALSE))</f>
        <v>0</v>
      </c>
      <c r="AY103" s="1761"/>
      <c r="AZ103" s="1761" t="b">
        <f>IF(OR(J103&lt;&gt;"",L103&lt;&gt;"",N103&lt;&gt;"",P103&lt;&gt;""),FALSE,IF(AND(C103&lt;&gt;"",R103=""),TRUE,FALSE))</f>
        <v>0</v>
      </c>
      <c r="BA103" s="1761"/>
      <c r="BB103" s="1761" t="b">
        <f>IF(OR(J103&lt;&gt;"",L103&lt;&gt;"",N103&lt;&gt;"",P103&lt;&gt;""),FALSE,IF(AND(C103&lt;&gt;"",T103=""),TRUE,FALSE))</f>
        <v>0</v>
      </c>
      <c r="BC103" s="1761" t="b">
        <f>IF(AND($C103&lt;&gt;"",$V103=""),TRUE,FALSE)</f>
        <v>0</v>
      </c>
      <c r="BD103" s="1761" t="b">
        <f ca="1">IF(AND(X103="",OR(Z103&lt;&gt;"",AB103&lt;&gt;"",AF103&lt;&gt;"",AH103&lt;&gt;"",AL103&lt;&gt;"",AD103&lt;&gt;"")),TRUE,FALSE)</f>
        <v>0</v>
      </c>
      <c r="BE103" s="1761" t="b">
        <f>IF(AND($C103&lt;&gt;"",$X103=""),TRUE,FALSE)</f>
        <v>0</v>
      </c>
      <c r="BF103" s="1761" t="b">
        <f>IF(Z103="",FALSE,IF(X103="",FALSE,IF(BG103=TRUE,FALSE,IF(OR(Z103&lt;BU103,Z103&gt;BaseYear),TRUE,FALSE))))</f>
        <v>0</v>
      </c>
      <c r="BG103" s="1761" t="b">
        <f>IF(AND($C103&lt;&gt;"",$Z103=""),TRUE,FALSE)</f>
        <v>0</v>
      </c>
      <c r="BH103" s="1761" t="b">
        <f>IF(AD103="",FALSE,IF(X103="",FALSE,IF(BJ103=TRUE,FALSE,IF(AB103&lt;BX103,TRUE,FALSE))))</f>
        <v>0</v>
      </c>
      <c r="BI103" s="1761" t="b">
        <f>IF(AD103="",FALSE,IF(X103="",FALSE,IF(BJ103=TRUE,FALSE,IF(AB103&gt;BY103,TRUE,FALSE))))</f>
        <v>0</v>
      </c>
      <c r="BJ103" s="1761" t="b">
        <f>IF(AND($C103&lt;&gt;"",$AB103=""),TRUE,FALSE)</f>
        <v>0</v>
      </c>
      <c r="BK103" s="1761" t="b">
        <f>IF(BL103=TRUE,FALSE,IF(OR(AF103&lt;0,AF103&gt;1),TRUE,FALSE))</f>
        <v>0</v>
      </c>
      <c r="BL103" s="1761" t="b">
        <f>IF(AND($C103&lt;&gt;"",$AF103=""),TRUE,FALSE)</f>
        <v>0</v>
      </c>
      <c r="BM103" s="1761"/>
      <c r="BN103" s="1761" t="b">
        <f ca="1">IF(AND($C103&lt;&gt;"",$AH103=""),TRUE,FALSE)</f>
        <v>0</v>
      </c>
      <c r="BO103" s="1761" t="b">
        <f>IF(AL103="",FALSE,IF(X103="",FALSE,IF(BP103=TRUE,FALSE,IF(OR(AL103&lt;1913,AL103&gt;BaseYear),TRUE,FALSE))))</f>
        <v>0</v>
      </c>
      <c r="BP103" s="1761" t="b">
        <f>IF(AND($C103&lt;&gt;"",$AL103=""),TRUE,FALSE)</f>
        <v>0</v>
      </c>
      <c r="BQ103" s="1761" t="b">
        <f>IF(AD103="Square Foot",FALSE,IF(AND(AD103="Parking Space",OR('A-20 PassFacInv'!X103=Valid!$B$7,'A-20 PassFacInv'!X103=Valid!$B$8,'A-20 PassFacInv'!X103=Valid!$B$9,'A-20 PassFacInv'!X103=Valid!$B$10,'A-20 PassFacInv'!X103=Valid!$B$12,'A-20 PassFacInv'!X103=Valid!$B$13,'A-20 PassFacInv'!X103=Valid!$B$14,'A-20 PassFacInv'!X103=Valid!$B$15,'A-20 PassFacInv'!X103=Valid!$B$16,'A-20 PassFacInv'!X103=Valid!$B$17,'A-20 PassFacInv'!X103=Valid!$B$18,X103=Valid!$B$19,X103=Valid!$B$20,X103=Valid!$B$21)),TRUE,FALSE))</f>
        <v>0</v>
      </c>
      <c r="BR103" s="1761" t="b">
        <f>IF(AND($C103&lt;&gt;"",$AD103=""),TRUE,FALSE)</f>
        <v>0</v>
      </c>
      <c r="BS103" s="721"/>
      <c r="BT103" s="1625" t="str">
        <f>IF($X103="","",VLOOKUP($X103,val_facilities,BT$3,FALSE))</f>
        <v/>
      </c>
      <c r="BU103" s="1627" t="str">
        <f>IF($X103="","",VLOOKUP($X103,val_facilities,BU$3,FALSE))</f>
        <v/>
      </c>
      <c r="BV103" s="1627" t="str">
        <f>IF($X103="","",VLOOKUP($X103,val_facilities,BV$3,FALSE))</f>
        <v/>
      </c>
      <c r="BW103" s="1627" t="str">
        <f ca="1">IFERROR(IF(Z103="", "", YEAR(TODAY())-Z103), "")</f>
        <v/>
      </c>
      <c r="BX103" s="845" t="str">
        <f>IF($X103="","",IF(AD103="Square Feet",VLOOKUP('A-20 PassFacInv'!X58,Valid!$B$7:$H$24,7,FALSE),IF(AD103="Parking Spaces",VLOOKUP(X103,Valid!$B$22:$L$24,11,FALSE))))</f>
        <v/>
      </c>
      <c r="BY103" s="845" t="str">
        <f>IF($X103="","",IF(AD103="Square Feet",VLOOKUP(X103,Valid!$B$7:$I$24,8,FALSE),IF('A-20 PassFacInv'!AD58="Parking Spaces",VLOOKUP('A-20 PassFacInv'!X58,Valid!$B$22:$M$24,12,FALSE))))</f>
        <v/>
      </c>
      <c r="BZ103" s="1229"/>
      <c r="CA103" s="721">
        <f t="shared" si="2"/>
        <v>0</v>
      </c>
      <c r="CB103" s="816"/>
    </row>
    <row r="104" spans="1:80" s="1739" customFormat="1" ht="6.75" customHeight="1" thickBot="1" x14ac:dyDescent="0.25">
      <c r="A104" s="1638"/>
      <c r="B104" s="1746">
        <v>46.5</v>
      </c>
      <c r="C104" s="1057"/>
      <c r="D104" s="1248"/>
      <c r="E104" s="1639"/>
      <c r="F104" s="1229"/>
      <c r="G104" s="1229"/>
      <c r="H104" s="1229"/>
      <c r="I104" s="1229"/>
      <c r="J104" s="1604"/>
      <c r="K104" s="1640"/>
      <c r="L104" s="1641"/>
      <c r="M104" s="1248"/>
      <c r="N104" s="1641"/>
      <c r="O104" s="1248"/>
      <c r="P104" s="1659"/>
      <c r="Q104" s="1248"/>
      <c r="R104" s="1660"/>
      <c r="S104" s="1640"/>
      <c r="T104" s="1660"/>
      <c r="U104" s="1640"/>
      <c r="V104" s="1057"/>
      <c r="W104" s="1618"/>
      <c r="X104" s="1747"/>
      <c r="Y104" s="1618"/>
      <c r="Z104" s="1623"/>
      <c r="AA104" s="1618"/>
      <c r="AB104" s="1944"/>
      <c r="AC104" s="1275"/>
      <c r="AD104" s="1661"/>
      <c r="AE104" s="734"/>
      <c r="AF104" s="1748"/>
      <c r="AG104" s="1275"/>
      <c r="AH104" s="722"/>
      <c r="AI104" s="1275"/>
      <c r="AJ104" s="733"/>
      <c r="AK104" s="1275"/>
      <c r="AL104" s="1721"/>
      <c r="AM104" s="1275"/>
      <c r="AN104" s="1057"/>
      <c r="AO104" s="1644"/>
      <c r="AP104" s="1644"/>
      <c r="AQ104" s="1644"/>
      <c r="AR104" s="1644"/>
      <c r="AS104" s="1644"/>
      <c r="AT104" s="1761"/>
      <c r="AU104" s="1761"/>
      <c r="AV104" s="1761"/>
      <c r="AW104" s="1761"/>
      <c r="AX104" s="1761"/>
      <c r="AY104" s="1761"/>
      <c r="AZ104" s="1761"/>
      <c r="BA104" s="1761"/>
      <c r="BB104" s="1761"/>
      <c r="BC104" s="1762"/>
      <c r="BD104" s="1762"/>
      <c r="BE104" s="1762"/>
      <c r="BF104" s="1762"/>
      <c r="BG104" s="1762"/>
      <c r="BH104" s="1762"/>
      <c r="BI104" s="1762"/>
      <c r="BJ104" s="1762"/>
      <c r="BK104" s="1762"/>
      <c r="BL104" s="1762"/>
      <c r="BM104" s="1762"/>
      <c r="BN104" s="1762"/>
      <c r="BO104" s="1762"/>
      <c r="BP104" s="1762"/>
      <c r="BQ104" s="1762"/>
      <c r="BR104" s="1762"/>
      <c r="BS104" s="1736"/>
      <c r="BT104" s="1738"/>
      <c r="BU104" s="1738"/>
      <c r="BV104" s="1738"/>
      <c r="BW104" s="1738"/>
      <c r="BX104" s="1738"/>
      <c r="BY104" s="1738"/>
      <c r="BZ104" s="1229"/>
      <c r="CA104" s="721">
        <f t="shared" si="2"/>
        <v>0</v>
      </c>
      <c r="CB104" s="816"/>
    </row>
    <row r="105" spans="1:80" s="1739" customFormat="1" x14ac:dyDescent="0.2">
      <c r="A105" s="840">
        <v>47</v>
      </c>
      <c r="B105" s="1746">
        <v>47</v>
      </c>
      <c r="C105" s="1740"/>
      <c r="D105" s="1248" t="str">
        <f>IF(C103="","",IF((C105=""),"Enter Facility "&amp;TEXT(A105,0)&amp;" Name, then Fill in Columns "&amp;TEXT($H$2,0)&amp;" - "&amp;TEXT($AL$2,0)&amp;"       ",""))</f>
        <v/>
      </c>
      <c r="E105" s="1245" t="str">
        <f ca="1">IF(AS105="N/A","",IF(AS105="N","No","Yes"))</f>
        <v/>
      </c>
      <c r="F105" s="758"/>
      <c r="G105" s="758"/>
      <c r="H105" s="1707"/>
      <c r="I105" s="758"/>
      <c r="J105" s="1653"/>
      <c r="K105" s="1248" t="str">
        <f ca="1">IF($E105&lt;&gt;"","Enter Street Address      ","")</f>
        <v/>
      </c>
      <c r="L105" s="1740"/>
      <c r="M105" s="1248" t="str">
        <f ca="1">IF($E105&lt;&gt;"","Enter City Name       ","")</f>
        <v/>
      </c>
      <c r="N105" s="1740"/>
      <c r="O105" s="1248" t="str">
        <f ca="1">IF($E105&lt;&gt;"","Select from Pull-Down List   ","")</f>
        <v/>
      </c>
      <c r="P105" s="1741"/>
      <c r="Q105" s="1248" t="str">
        <f ca="1">IF($E105&lt;&gt;"","Enter ZIP Code       ","")</f>
        <v/>
      </c>
      <c r="R105" s="1742"/>
      <c r="S105" s="1248" t="str">
        <f ca="1">IF(OR(N105&lt;&gt;"",P105&lt;&gt;"",J105&lt;&gt;"",L105&lt;&gt;""),"",IF($E105&lt;&gt;"","Enter Lat.      ",""))</f>
        <v/>
      </c>
      <c r="T105" s="1742"/>
      <c r="U105" s="1248" t="str">
        <f ca="1">IF(OR(N105&lt;&gt;"",P105&lt;&gt;"",J105&lt;&gt;"",L105&lt;&gt;""),"",IF($E105&lt;&gt;"","Enter Long.    ",""))</f>
        <v/>
      </c>
      <c r="V105" s="1653"/>
      <c r="W105" s="1618" t="str">
        <f ca="1">IF($E105&lt;&gt;"","Select from Pull-Down List  ","")</f>
        <v/>
      </c>
      <c r="X105" s="1653"/>
      <c r="Y105" s="1618" t="str">
        <f ca="1">IF($E105&lt;&gt;"","Select from Pull-Down List  ","")</f>
        <v/>
      </c>
      <c r="Z105" s="1743"/>
      <c r="AA105" s="1248" t="str">
        <f ca="1">IF(E105&lt;&gt;"","Year?   ","")</f>
        <v/>
      </c>
      <c r="AB105" s="1943"/>
      <c r="AC105" s="1620" t="str">
        <f ca="1">IF(E105="","",IF(X105="","Sq. Ft. or Spaces?   ",IF(OR(X105=Codes!$L$26,X105=Codes!$L$27,X105=Codes!$L$28),"Sq. Ft. or Spaces?   ",IF(OR(X105=Codes!$L$20,X105=Codes!$L$21,X105=Codes!$L$22,X105=Codes!$L$23,X105=Codes!$L$24,X105=Codes!$L$25),"Sq. Ft?     ",""))))</f>
        <v/>
      </c>
      <c r="AD105" s="1740"/>
      <c r="AE105" s="1618" t="str">
        <f ca="1">IF($E105&lt;&gt;"","Select from List     ","")</f>
        <v/>
      </c>
      <c r="AF105" s="1621"/>
      <c r="AG105" s="1618" t="str">
        <f ca="1">IF($E105&lt;&gt;"","% of Cap Resp.","")</f>
        <v/>
      </c>
      <c r="AH105" s="1801" t="str">
        <f ca="1">IF(BW105="", "", IF(BW105&gt;100, 1, VLOOKUP(BW105, Valid!$W$1:$AA$101, VLOOKUP(X105, Codes!$L$20:$N$28, 3, FALSE), FALSE)))</f>
        <v/>
      </c>
      <c r="AI105" s="1620" t="str">
        <f ca="1">IF($E105&lt;&gt;"","Estimated?  ","")</f>
        <v/>
      </c>
      <c r="AJ105" s="1654"/>
      <c r="AK105" s="1620" t="str">
        <f ca="1">IF($E105&lt;&gt;"","Estimated $?    ","")</f>
        <v/>
      </c>
      <c r="AL105" s="1730"/>
      <c r="AM105" s="1620" t="b">
        <f ca="1">IF(E105&lt;&gt;"","Est Date?    ")</f>
        <v>0</v>
      </c>
      <c r="AN105" s="1740"/>
      <c r="AO105" s="1248" t="str">
        <f>IF(X105="Other (describe in Notes)","Describe Facility.                                                                                                                        ","")</f>
        <v/>
      </c>
      <c r="AP105" s="1624"/>
      <c r="AQ105" s="1624" t="b">
        <f>IF(AND(C105="",C107&lt;&gt;""),TRUE,FALSE)</f>
        <v>0</v>
      </c>
      <c r="AR105" s="1624" t="str">
        <f>IF(AND(J105&lt;&gt;"",L105&lt;&gt;"",N105&lt;&gt;"",P105&lt;&gt;"",R105="",T105=""),"Y",IF(AND(J105="",L105="",N105="",P105="",R105&lt;&gt;"",T105&lt;&gt;""),"Y",IF(AND(J105&lt;&gt;"",L105&lt;&gt;"",N105&lt;&gt;"",P105&lt;&gt;"",R105&lt;&gt;"",T105&lt;&gt;""),"Y",IF(AND(J105="",L105="",N105="",P105="",R105="",T105=""),"N/A","N"))))</f>
        <v>N/A</v>
      </c>
      <c r="AS105" s="1624" t="str">
        <f ca="1">IF(AND($C105&lt;&gt;"",OR(AR105="N",$V105="",$X105="",$Z105="",$AB105="",$AF105="",$AH105="",$AL105="",AD105="")),"N",IF(AND($C105="",OR(H105&lt;&gt;"",AR105="N",$V105&lt;&gt;"",$X105&lt;&gt;"",$Z105&lt;&gt;"",$AB105&lt;&gt;"",$AF105&lt;&gt;"",$AH105&lt;&gt;"",$AL105&lt;&gt;"",AD105&lt;&gt;"")),"N",IF(AND(H105="",$C105="",AR105="N/A",$V105="",$X105="",$Z105="",$AB105="",$AF105="",$AH105="",$AL105="",AD105=""),"N/A",IF(AND($C105&lt;&gt;"",AR105="Y",$V105&lt;&gt;"",$X105&lt;&gt;"",$Z105&lt;&gt;"",$AB105&lt;&gt;"",$AF105&lt;&gt;"",$AH105&lt;&gt;"",$AL105&lt;&gt;"",AD105&lt;&gt;""),"Y","N"))))</f>
        <v>N/A</v>
      </c>
      <c r="AT105" s="1761" t="b">
        <f ca="1">IF(AND($C105="",OR($J105&lt;&gt;"",$L105&lt;&gt;"",$N105&lt;&gt;"",$P105&lt;&gt;"",$V105&lt;&gt;"",$X105&lt;&gt;"",$Z105&lt;&gt;"",$AB105&lt;&gt;"",$AF105&lt;&gt;"",$AH105&lt;&gt;"",$AL105&lt;&gt;"")),TRUE,FALSE)</f>
        <v>0</v>
      </c>
      <c r="AU105" s="1761" t="b">
        <f>IF(OR(R105&lt;&gt;"",T105&lt;&gt;""),"false",IF(AND($C105&lt;&gt;"",$J105=""),TRUE,FALSE))</f>
        <v>0</v>
      </c>
      <c r="AV105" s="1761" t="b">
        <f>IF(OR(R105&lt;&gt;"",T105&lt;&gt;""),FALSE,IF(AND($C105&lt;&gt;"",$L105=""),TRUE,FALSE))</f>
        <v>0</v>
      </c>
      <c r="AW105" s="1761" t="b">
        <f>IF(OR(R105&lt;&gt;"",T105&lt;&gt;""),FALSE,IF(AND($C105&lt;&gt;"",$N105=""),TRUE,FALSE))</f>
        <v>0</v>
      </c>
      <c r="AX105" s="1761" t="b">
        <f>IF(OR(R105&lt;&gt;"",T105&lt;&gt;""),FALSE,IF(AND($C105&lt;&gt;"",$P105=""),TRUE,FALSE))</f>
        <v>0</v>
      </c>
      <c r="AY105" s="1761"/>
      <c r="AZ105" s="1761" t="b">
        <f>IF(OR(J105&lt;&gt;"",L105&lt;&gt;"",N105&lt;&gt;"",P105&lt;&gt;""),FALSE,IF(AND(C105&lt;&gt;"",R105=""),TRUE,FALSE))</f>
        <v>0</v>
      </c>
      <c r="BA105" s="1761"/>
      <c r="BB105" s="1761" t="b">
        <f>IF(OR(J105&lt;&gt;"",L105&lt;&gt;"",N105&lt;&gt;"",P105&lt;&gt;""),FALSE,IF(AND(C105&lt;&gt;"",T105=""),TRUE,FALSE))</f>
        <v>0</v>
      </c>
      <c r="BC105" s="1761" t="b">
        <f>IF(AND($C105&lt;&gt;"",$V105=""),TRUE,FALSE)</f>
        <v>0</v>
      </c>
      <c r="BD105" s="1761" t="b">
        <f ca="1">IF(AND(X105="",OR(Z105&lt;&gt;"",AB105&lt;&gt;"",AF105&lt;&gt;"",AH105&lt;&gt;"",AL105&lt;&gt;"",AD105&lt;&gt;"")),TRUE,FALSE)</f>
        <v>0</v>
      </c>
      <c r="BE105" s="1761" t="b">
        <f>IF(AND($C105&lt;&gt;"",$X105=""),TRUE,FALSE)</f>
        <v>0</v>
      </c>
      <c r="BF105" s="1761" t="b">
        <f>IF(Z105="",FALSE,IF(X105="",FALSE,IF(BG105=TRUE,FALSE,IF(OR(Z105&lt;BU105,Z105&gt;BaseYear),TRUE,FALSE))))</f>
        <v>0</v>
      </c>
      <c r="BG105" s="1761" t="b">
        <f>IF(AND($C105&lt;&gt;"",$Z105=""),TRUE,FALSE)</f>
        <v>0</v>
      </c>
      <c r="BH105" s="1761" t="b">
        <f>IF(AD105="",FALSE,IF(X105="",FALSE,IF(BJ105=TRUE,FALSE,IF(AB105&lt;BX105,TRUE,FALSE))))</f>
        <v>0</v>
      </c>
      <c r="BI105" s="1761" t="b">
        <f>IF(AD105="",FALSE,IF(X105="",FALSE,IF(BJ105=TRUE,FALSE,IF(AB105&gt;BY105,TRUE,FALSE))))</f>
        <v>0</v>
      </c>
      <c r="BJ105" s="1761" t="b">
        <f>IF(AND($C105&lt;&gt;"",$AB105=""),TRUE,FALSE)</f>
        <v>0</v>
      </c>
      <c r="BK105" s="1761" t="b">
        <f>IF(BL105=TRUE,FALSE,IF(OR(AF105&lt;0,AF105&gt;1),TRUE,FALSE))</f>
        <v>0</v>
      </c>
      <c r="BL105" s="1761" t="b">
        <f>IF(AND($C105&lt;&gt;"",$AF105=""),TRUE,FALSE)</f>
        <v>0</v>
      </c>
      <c r="BM105" s="1761"/>
      <c r="BN105" s="1761" t="b">
        <f ca="1">IF(AND($C105&lt;&gt;"",$AH105=""),TRUE,FALSE)</f>
        <v>0</v>
      </c>
      <c r="BO105" s="1761" t="b">
        <f>IF(AL105="",FALSE,IF(X105="",FALSE,IF(BP105=TRUE,FALSE,IF(OR(AL105&lt;1913,AL105&gt;BaseYear),TRUE,FALSE))))</f>
        <v>0</v>
      </c>
      <c r="BP105" s="1761" t="b">
        <f>IF(AND($C105&lt;&gt;"",$AL105=""),TRUE,FALSE)</f>
        <v>0</v>
      </c>
      <c r="BQ105" s="1761" t="b">
        <f>IF(AD105="Square Foot",FALSE,IF(AND(AD105="Parking Space",OR('A-20 PassFacInv'!X105=Valid!$B$7,'A-20 PassFacInv'!X105=Valid!$B$8,'A-20 PassFacInv'!X105=Valid!$B$9,'A-20 PassFacInv'!X105=Valid!$B$10,'A-20 PassFacInv'!X105=Valid!$B$12,'A-20 PassFacInv'!X105=Valid!$B$13,'A-20 PassFacInv'!X105=Valid!$B$14,'A-20 PassFacInv'!X105=Valid!$B$15,'A-20 PassFacInv'!X105=Valid!$B$16,'A-20 PassFacInv'!X105=Valid!$B$17,'A-20 PassFacInv'!X105=Valid!$B$18,X105=Valid!$B$19,X105=Valid!$B$20,X105=Valid!$B$21)),TRUE,FALSE))</f>
        <v>0</v>
      </c>
      <c r="BR105" s="1761" t="b">
        <f>IF(AND($C105&lt;&gt;"",$AD105=""),TRUE,FALSE)</f>
        <v>0</v>
      </c>
      <c r="BS105" s="721"/>
      <c r="BT105" s="1625" t="str">
        <f>IF($X105="","",VLOOKUP($X105,val_facilities,BT$3,FALSE))</f>
        <v/>
      </c>
      <c r="BU105" s="1627" t="str">
        <f>IF($X105="","",VLOOKUP($X105,val_facilities,BU$3,FALSE))</f>
        <v/>
      </c>
      <c r="BV105" s="1627" t="str">
        <f>IF($X105="","",VLOOKUP($X105,val_facilities,BV$3,FALSE))</f>
        <v/>
      </c>
      <c r="BW105" s="1627" t="str">
        <f ca="1">IFERROR(IF(Z105="", "", YEAR(TODAY())-Z105), "")</f>
        <v/>
      </c>
      <c r="BX105" s="845" t="str">
        <f>IF($X105="","",IF(AD105="Square Feet",VLOOKUP('A-20 PassFacInv'!X59,Valid!$B$7:$H$24,7,FALSE),IF(AD105="Parking Spaces",VLOOKUP(X105,Valid!$B$22:$L$24,11,FALSE))))</f>
        <v/>
      </c>
      <c r="BY105" s="845" t="str">
        <f>IF($X105="","",IF(AD105="Square Feet",VLOOKUP(X105,Valid!$B$7:$I$24,8,FALSE),IF('A-20 PassFacInv'!AD59="Parking Spaces",VLOOKUP('A-20 PassFacInv'!X59,Valid!$B$22:$M$24,12,FALSE))))</f>
        <v/>
      </c>
      <c r="BZ105" s="1229"/>
      <c r="CA105" s="721">
        <f t="shared" si="2"/>
        <v>0</v>
      </c>
      <c r="CB105" s="816"/>
    </row>
    <row r="106" spans="1:80" s="1739" customFormat="1" ht="6.75" customHeight="1" thickBot="1" x14ac:dyDescent="0.25">
      <c r="A106" s="1638"/>
      <c r="B106" s="1746">
        <v>47.5</v>
      </c>
      <c r="C106" s="1057"/>
      <c r="D106" s="764"/>
      <c r="E106" s="1057"/>
      <c r="F106" s="1229"/>
      <c r="G106" s="1229"/>
      <c r="H106" s="1229"/>
      <c r="I106" s="1229"/>
      <c r="J106" s="1604"/>
      <c r="K106" s="1640"/>
      <c r="L106" s="1605"/>
      <c r="M106" s="1646"/>
      <c r="N106" s="1605"/>
      <c r="O106" s="1646"/>
      <c r="P106" s="1733"/>
      <c r="Q106" s="1646"/>
      <c r="R106" s="1660"/>
      <c r="S106" s="1640"/>
      <c r="T106" s="1660"/>
      <c r="U106" s="1640"/>
      <c r="V106" s="1057"/>
      <c r="W106" s="1618"/>
      <c r="X106" s="1747"/>
      <c r="Y106" s="1618"/>
      <c r="Z106" s="1623"/>
      <c r="AA106" s="1618"/>
      <c r="AB106" s="1944"/>
      <c r="AC106" s="1648"/>
      <c r="AD106" s="1661"/>
      <c r="AE106" s="841"/>
      <c r="AF106" s="841"/>
      <c r="AG106" s="1648"/>
      <c r="AH106" s="733"/>
      <c r="AI106" s="1648"/>
      <c r="AJ106" s="722"/>
      <c r="AK106" s="1648"/>
      <c r="AL106" s="1717"/>
      <c r="AM106" s="1648"/>
      <c r="AN106" s="1057"/>
      <c r="AO106" s="1644"/>
      <c r="AP106" s="1644"/>
      <c r="AQ106" s="1644"/>
      <c r="AR106" s="1644"/>
      <c r="AS106" s="1644"/>
      <c r="AT106" s="1761"/>
      <c r="AU106" s="1761"/>
      <c r="AV106" s="1761"/>
      <c r="AW106" s="1761"/>
      <c r="AX106" s="1761"/>
      <c r="AY106" s="1761"/>
      <c r="AZ106" s="1761"/>
      <c r="BA106" s="1761"/>
      <c r="BB106" s="1761"/>
      <c r="BC106" s="1762"/>
      <c r="BD106" s="1762"/>
      <c r="BE106" s="1762"/>
      <c r="BF106" s="1762"/>
      <c r="BG106" s="1762"/>
      <c r="BH106" s="1762"/>
      <c r="BI106" s="1762"/>
      <c r="BJ106" s="1762"/>
      <c r="BK106" s="1762"/>
      <c r="BL106" s="1762"/>
      <c r="BM106" s="1762"/>
      <c r="BN106" s="1762"/>
      <c r="BO106" s="1762"/>
      <c r="BP106" s="1762"/>
      <c r="BQ106" s="1762"/>
      <c r="BR106" s="1762"/>
      <c r="BS106" s="1736"/>
      <c r="BT106" s="1738"/>
      <c r="BU106" s="1738"/>
      <c r="BV106" s="1738"/>
      <c r="BW106" s="1738"/>
      <c r="BX106" s="1738"/>
      <c r="BY106" s="1738"/>
      <c r="BZ106" s="1229"/>
      <c r="CA106" s="721">
        <f t="shared" si="2"/>
        <v>0</v>
      </c>
      <c r="CB106" s="1748"/>
    </row>
    <row r="107" spans="1:80" s="1739" customFormat="1" x14ac:dyDescent="0.2">
      <c r="A107" s="840">
        <v>48</v>
      </c>
      <c r="B107" s="1731">
        <v>48</v>
      </c>
      <c r="C107" s="1740"/>
      <c r="D107" s="1248" t="str">
        <f>IF(C105="","",IF((C107=""),"Enter Facility "&amp;TEXT(A107,0)&amp;" Name, then Fill in Columns "&amp;TEXT($H$2,0)&amp;" - "&amp;TEXT($AL$2,0)&amp;"       ",""))</f>
        <v/>
      </c>
      <c r="E107" s="1245" t="str">
        <f ca="1">IF(AS107="N/A","",IF(AS107="N","No","Yes"))</f>
        <v/>
      </c>
      <c r="F107" s="758"/>
      <c r="G107" s="758"/>
      <c r="H107" s="1707"/>
      <c r="I107" s="758"/>
      <c r="J107" s="1653"/>
      <c r="K107" s="1248" t="str">
        <f ca="1">IF($E107&lt;&gt;"","Enter Street Address      ","")</f>
        <v/>
      </c>
      <c r="L107" s="1740"/>
      <c r="M107" s="1248" t="str">
        <f ca="1">IF($E107&lt;&gt;"","Enter City Name       ","")</f>
        <v/>
      </c>
      <c r="N107" s="1740"/>
      <c r="O107" s="1248" t="str">
        <f ca="1">IF($E107&lt;&gt;"","Select from Pull-Down List   ","")</f>
        <v/>
      </c>
      <c r="P107" s="1741"/>
      <c r="Q107" s="1248" t="str">
        <f ca="1">IF($E107&lt;&gt;"","Enter ZIP Code       ","")</f>
        <v/>
      </c>
      <c r="R107" s="1742"/>
      <c r="S107" s="1248" t="str">
        <f ca="1">IF(OR(N107&lt;&gt;"",P107&lt;&gt;"",J107&lt;&gt;"",L107&lt;&gt;""),"",IF($E107&lt;&gt;"","Enter Lat.      ",""))</f>
        <v/>
      </c>
      <c r="T107" s="1742"/>
      <c r="U107" s="1248" t="str">
        <f ca="1">IF(OR(N107&lt;&gt;"",P107&lt;&gt;"",J107&lt;&gt;"",L107&lt;&gt;""),"",IF($E107&lt;&gt;"","Enter Long.    ",""))</f>
        <v/>
      </c>
      <c r="V107" s="1653"/>
      <c r="W107" s="1618" t="str">
        <f ca="1">IF($E107&lt;&gt;"","Select from Pull-Down List  ","")</f>
        <v/>
      </c>
      <c r="X107" s="1653"/>
      <c r="Y107" s="1618" t="str">
        <f ca="1">IF($E107&lt;&gt;"","Select from Pull-Down List  ","")</f>
        <v/>
      </c>
      <c r="Z107" s="1743"/>
      <c r="AA107" s="1248" t="str">
        <f ca="1">IF(E107&lt;&gt;"","Year?   ","")</f>
        <v/>
      </c>
      <c r="AB107" s="1943"/>
      <c r="AC107" s="1620" t="str">
        <f ca="1">IF(E107="","",IF(X107="","Sq. Ft. or Spaces?   ",IF(OR(X107=Codes!$L$26,X107=Codes!$L$27,X107=Codes!$L$28),"Sq. Ft. or Spaces?   ",IF(OR(X107=Codes!$L$20,X107=Codes!$L$21,X107=Codes!$L$22,X107=Codes!$L$23,X107=Codes!$L$24,X107=Codes!$L$25),"Sq. Ft?     ",""))))</f>
        <v/>
      </c>
      <c r="AD107" s="1740"/>
      <c r="AE107" s="1618" t="str">
        <f ca="1">IF($E107&lt;&gt;"","Select from List     ","")</f>
        <v/>
      </c>
      <c r="AF107" s="1621"/>
      <c r="AG107" s="1618" t="str">
        <f ca="1">IF($E107&lt;&gt;"","% of Cap Resp.","")</f>
        <v/>
      </c>
      <c r="AH107" s="1801" t="str">
        <f ca="1">IF(BW107="", "", IF(BW107&gt;100, 1, VLOOKUP(BW107, Valid!$W$1:$AA$101, VLOOKUP(X107, Codes!$L$20:$N$28, 3, FALSE), FALSE)))</f>
        <v/>
      </c>
      <c r="AI107" s="1620" t="str">
        <f ca="1">IF($E107&lt;&gt;"","Estimated?  ","")</f>
        <v/>
      </c>
      <c r="AJ107" s="1654"/>
      <c r="AK107" s="1620" t="str">
        <f ca="1">IF($E107&lt;&gt;"","Estimated $?    ","")</f>
        <v/>
      </c>
      <c r="AL107" s="1730"/>
      <c r="AM107" s="1620" t="b">
        <f ca="1">IF(E107&lt;&gt;"","Est Date?    ")</f>
        <v>0</v>
      </c>
      <c r="AN107" s="1740"/>
      <c r="AO107" s="1248" t="str">
        <f>IF(X107="Other (describe in Notes)","Describe Facility.                                                                                                                        ","")</f>
        <v/>
      </c>
      <c r="AP107" s="1624"/>
      <c r="AQ107" s="1624" t="b">
        <f>IF(AND(C107="",C109&lt;&gt;""),TRUE,FALSE)</f>
        <v>0</v>
      </c>
      <c r="AR107" s="1624" t="str">
        <f>IF(AND(J107&lt;&gt;"",L107&lt;&gt;"",N107&lt;&gt;"",P107&lt;&gt;"",R107="",T107=""),"Y",IF(AND(J107="",L107="",N107="",P107="",R107&lt;&gt;"",T107&lt;&gt;""),"Y",IF(AND(J107&lt;&gt;"",L107&lt;&gt;"",N107&lt;&gt;"",P107&lt;&gt;"",R107&lt;&gt;"",T107&lt;&gt;""),"Y",IF(AND(J107="",L107="",N107="",P107="",R107="",T107=""),"N/A","N"))))</f>
        <v>N/A</v>
      </c>
      <c r="AS107" s="1624" t="str">
        <f ca="1">IF(AND($C107&lt;&gt;"",OR(AR107="N",$V107="",$X107="",$Z107="",$AB107="",$AF107="",$AH107="",$AL107="",AD107="")),"N",IF(AND($C107="",OR(H107&lt;&gt;"",AR107="N",$V107&lt;&gt;"",$X107&lt;&gt;"",$Z107&lt;&gt;"",$AB107&lt;&gt;"",$AF107&lt;&gt;"",$AH107&lt;&gt;"",$AL107&lt;&gt;"",AD107&lt;&gt;"")),"N",IF(AND(H107="",$C107="",AR107="N/A",$V107="",$X107="",$Z107="",$AB107="",$AF107="",$AH107="",$AL107="",AD107=""),"N/A",IF(AND($C107&lt;&gt;"",AR107="Y",$V107&lt;&gt;"",$X107&lt;&gt;"",$Z107&lt;&gt;"",$AB107&lt;&gt;"",$AF107&lt;&gt;"",$AH107&lt;&gt;"",$AL107&lt;&gt;"",AD107&lt;&gt;""),"Y","N"))))</f>
        <v>N/A</v>
      </c>
      <c r="AT107" s="1761" t="b">
        <f ca="1">IF(AND($C107="",OR($J107&lt;&gt;"",$L107&lt;&gt;"",$N107&lt;&gt;"",$P107&lt;&gt;"",$V107&lt;&gt;"",$X107&lt;&gt;"",$Z107&lt;&gt;"",$AB107&lt;&gt;"",$AF107&lt;&gt;"",$AH107&lt;&gt;"",$AL107&lt;&gt;"")),TRUE,FALSE)</f>
        <v>0</v>
      </c>
      <c r="AU107" s="1761" t="b">
        <f>IF(OR(R107&lt;&gt;"",T107&lt;&gt;""),"false",IF(AND($C107&lt;&gt;"",$J107=""),TRUE,FALSE))</f>
        <v>0</v>
      </c>
      <c r="AV107" s="1761" t="b">
        <f>IF(OR(R107&lt;&gt;"",T107&lt;&gt;""),FALSE,IF(AND($C107&lt;&gt;"",$L107=""),TRUE,FALSE))</f>
        <v>0</v>
      </c>
      <c r="AW107" s="1761" t="b">
        <f>IF(OR(R107&lt;&gt;"",T107&lt;&gt;""),FALSE,IF(AND($C107&lt;&gt;"",$N107=""),TRUE,FALSE))</f>
        <v>0</v>
      </c>
      <c r="AX107" s="1761" t="b">
        <f>IF(OR(R107&lt;&gt;"",T107&lt;&gt;""),FALSE,IF(AND($C107&lt;&gt;"",$P107=""),TRUE,FALSE))</f>
        <v>0</v>
      </c>
      <c r="AY107" s="1761"/>
      <c r="AZ107" s="1761" t="b">
        <f>IF(OR(J107&lt;&gt;"",L107&lt;&gt;"",N107&lt;&gt;"",P107&lt;&gt;""),FALSE,IF(AND(C107&lt;&gt;"",R107=""),TRUE,FALSE))</f>
        <v>0</v>
      </c>
      <c r="BA107" s="1761"/>
      <c r="BB107" s="1761" t="b">
        <f>IF(OR(J107&lt;&gt;"",L107&lt;&gt;"",N107&lt;&gt;"",P107&lt;&gt;""),FALSE,IF(AND(C107&lt;&gt;"",T107=""),TRUE,FALSE))</f>
        <v>0</v>
      </c>
      <c r="BC107" s="1761" t="b">
        <f>IF(AND($C107&lt;&gt;"",$V107=""),TRUE,FALSE)</f>
        <v>0</v>
      </c>
      <c r="BD107" s="1761" t="b">
        <f ca="1">IF(AND(X107="",OR(Z107&lt;&gt;"",AB107&lt;&gt;"",AF107&lt;&gt;"",AH107&lt;&gt;"",AL107&lt;&gt;"",AD107&lt;&gt;"")),TRUE,FALSE)</f>
        <v>0</v>
      </c>
      <c r="BE107" s="1761" t="b">
        <f>IF(AND($C107&lt;&gt;"",$X107=""),TRUE,FALSE)</f>
        <v>0</v>
      </c>
      <c r="BF107" s="1761" t="b">
        <f>IF(Z107="",FALSE,IF(X107="",FALSE,IF(BG107=TRUE,FALSE,IF(OR(Z107&lt;BU107,Z107&gt;BaseYear),TRUE,FALSE))))</f>
        <v>0</v>
      </c>
      <c r="BG107" s="1761" t="b">
        <f>IF(AND($C107&lt;&gt;"",$Z107=""),TRUE,FALSE)</f>
        <v>0</v>
      </c>
      <c r="BH107" s="1761" t="b">
        <f>IF(AD107="",FALSE,IF(X107="",FALSE,IF(BJ107=TRUE,FALSE,IF(AB107&lt;BX107,TRUE,FALSE))))</f>
        <v>0</v>
      </c>
      <c r="BI107" s="1761" t="b">
        <f>IF(AD107="",FALSE,IF(X107="",FALSE,IF(BJ107=TRUE,FALSE,IF(AB107&gt;BY107,TRUE,FALSE))))</f>
        <v>0</v>
      </c>
      <c r="BJ107" s="1761" t="b">
        <f>IF(AND($C107&lt;&gt;"",$AB107=""),TRUE,FALSE)</f>
        <v>0</v>
      </c>
      <c r="BK107" s="1761" t="b">
        <f>IF(BL107=TRUE,FALSE,IF(OR(AF107&lt;0,AF107&gt;1),TRUE,FALSE))</f>
        <v>0</v>
      </c>
      <c r="BL107" s="1761" t="b">
        <f>IF(AND($C107&lt;&gt;"",$AF107=""),TRUE,FALSE)</f>
        <v>0</v>
      </c>
      <c r="BM107" s="1761"/>
      <c r="BN107" s="1761" t="b">
        <f ca="1">IF(AND($C107&lt;&gt;"",$AH107=""),TRUE,FALSE)</f>
        <v>0</v>
      </c>
      <c r="BO107" s="1761" t="b">
        <f>IF(AL107="",FALSE,IF(X107="",FALSE,IF(BP107=TRUE,FALSE,IF(OR(AL107&lt;1913,AL107&gt;BaseYear),TRUE,FALSE))))</f>
        <v>0</v>
      </c>
      <c r="BP107" s="1761" t="b">
        <f>IF(AND($C107&lt;&gt;"",$AL107=""),TRUE,FALSE)</f>
        <v>0</v>
      </c>
      <c r="BQ107" s="1761" t="b">
        <f>IF(AD107="Square Foot",FALSE,IF(AND(AD107="Parking Space",OR('A-20 PassFacInv'!X107=Valid!$B$7,'A-20 PassFacInv'!X107=Valid!$B$8,'A-20 PassFacInv'!X107=Valid!$B$9,'A-20 PassFacInv'!X107=Valid!$B$10,'A-20 PassFacInv'!X107=Valid!$B$12,'A-20 PassFacInv'!X107=Valid!$B$13,'A-20 PassFacInv'!X107=Valid!$B$14,'A-20 PassFacInv'!X107=Valid!$B$15,'A-20 PassFacInv'!X107=Valid!$B$16,'A-20 PassFacInv'!X107=Valid!$B$17,'A-20 PassFacInv'!X107=Valid!$B$18,X107=Valid!$B$19,X107=Valid!$B$20,X107=Valid!$B$21)),TRUE,FALSE))</f>
        <v>0</v>
      </c>
      <c r="BR107" s="1761" t="b">
        <f>IF(AND($C107&lt;&gt;"",$AD107=""),TRUE,FALSE)</f>
        <v>0</v>
      </c>
      <c r="BS107" s="721"/>
      <c r="BT107" s="1625" t="str">
        <f>IF($X107="","",VLOOKUP($X107,val_facilities,BT$3,FALSE))</f>
        <v/>
      </c>
      <c r="BU107" s="1627" t="str">
        <f>IF($X107="","",VLOOKUP($X107,val_facilities,BU$3,FALSE))</f>
        <v/>
      </c>
      <c r="BV107" s="1627" t="str">
        <f>IF($X107="","",VLOOKUP($X107,val_facilities,BV$3,FALSE))</f>
        <v/>
      </c>
      <c r="BW107" s="1627" t="str">
        <f ca="1">IFERROR(IF(Z107="", "", YEAR(TODAY())-Z107), "")</f>
        <v/>
      </c>
      <c r="BX107" s="845" t="str">
        <f>IF($X107="","",IF(AD107="Square Feet",VLOOKUP('A-20 PassFacInv'!X60,Valid!$B$7:$H$24,7,FALSE),IF(AD107="Parking Spaces",VLOOKUP(X107,Valid!$B$22:$L$24,11,FALSE))))</f>
        <v/>
      </c>
      <c r="BY107" s="845" t="str">
        <f>IF($X107="","",IF(AD107="Square Feet",VLOOKUP(X107,Valid!$B$7:$I$24,8,FALSE),IF('A-20 PassFacInv'!AD60="Parking Spaces",VLOOKUP('A-20 PassFacInv'!X60,Valid!$B$22:$M$24,12,FALSE))))</f>
        <v/>
      </c>
      <c r="BZ107" s="1229"/>
      <c r="CA107" s="721">
        <f t="shared" si="2"/>
        <v>0</v>
      </c>
      <c r="CB107" s="816"/>
    </row>
    <row r="108" spans="1:80" s="1739" customFormat="1" ht="6.75" customHeight="1" thickBot="1" x14ac:dyDescent="0.25">
      <c r="A108" s="1638"/>
      <c r="B108" s="1746">
        <v>48.5</v>
      </c>
      <c r="C108" s="1057"/>
      <c r="D108" s="1248"/>
      <c r="E108" s="1639"/>
      <c r="F108" s="1229"/>
      <c r="G108" s="1229"/>
      <c r="H108" s="1229"/>
      <c r="I108" s="1229"/>
      <c r="J108" s="1604"/>
      <c r="K108" s="1229"/>
      <c r="L108" s="1645"/>
      <c r="M108" s="1644"/>
      <c r="N108" s="1645"/>
      <c r="O108" s="1644"/>
      <c r="P108" s="1662"/>
      <c r="Q108" s="1644"/>
      <c r="R108" s="1663"/>
      <c r="S108" s="1229"/>
      <c r="T108" s="1663"/>
      <c r="U108" s="1229"/>
      <c r="V108" s="1057"/>
      <c r="W108" s="1623"/>
      <c r="X108" s="1747"/>
      <c r="Y108" s="1623"/>
      <c r="Z108" s="1623"/>
      <c r="AA108" s="1623"/>
      <c r="AB108" s="1944"/>
      <c r="AC108" s="841"/>
      <c r="AD108" s="1057"/>
      <c r="AE108" s="841"/>
      <c r="AF108" s="841"/>
      <c r="AG108" s="841"/>
      <c r="AH108" s="722"/>
      <c r="AI108" s="841"/>
      <c r="AJ108" s="722"/>
      <c r="AK108" s="841"/>
      <c r="AL108" s="1717"/>
      <c r="AM108" s="841"/>
      <c r="AN108" s="1057"/>
      <c r="AO108" s="1644"/>
      <c r="AP108" s="1644"/>
      <c r="AQ108" s="1644"/>
      <c r="AR108" s="1644"/>
      <c r="AS108" s="1644"/>
      <c r="AT108" s="1761"/>
      <c r="AU108" s="1761"/>
      <c r="AV108" s="1761"/>
      <c r="AW108" s="1761"/>
      <c r="AX108" s="1761"/>
      <c r="AY108" s="1761"/>
      <c r="AZ108" s="1761"/>
      <c r="BA108" s="1761"/>
      <c r="BB108" s="1761"/>
      <c r="BC108" s="1762"/>
      <c r="BD108" s="1762"/>
      <c r="BE108" s="1762"/>
      <c r="BF108" s="1762"/>
      <c r="BG108" s="1762"/>
      <c r="BH108" s="1762"/>
      <c r="BI108" s="1762"/>
      <c r="BJ108" s="1762"/>
      <c r="BK108" s="1762"/>
      <c r="BL108" s="1762"/>
      <c r="BM108" s="1762"/>
      <c r="BN108" s="1762"/>
      <c r="BO108" s="1762"/>
      <c r="BP108" s="1762"/>
      <c r="BQ108" s="1763"/>
      <c r="BR108" s="1762"/>
      <c r="BS108" s="1736"/>
      <c r="BT108" s="1738"/>
      <c r="BU108" s="1738"/>
      <c r="BV108" s="1738"/>
      <c r="BW108" s="1738"/>
      <c r="BX108" s="1738"/>
      <c r="BY108" s="1738"/>
      <c r="BZ108" s="1229"/>
      <c r="CA108" s="721">
        <f t="shared" si="2"/>
        <v>0</v>
      </c>
      <c r="CB108" s="1748"/>
    </row>
    <row r="109" spans="1:80" s="1739" customFormat="1" x14ac:dyDescent="0.2">
      <c r="A109" s="840">
        <v>49</v>
      </c>
      <c r="B109" s="1746">
        <v>49</v>
      </c>
      <c r="C109" s="1740"/>
      <c r="D109" s="1248" t="str">
        <f>IF(C107="","",IF((C109=""),"Enter Facility "&amp;TEXT(A109,0)&amp;" Name, then Fill in Columns "&amp;TEXT($H$2,0)&amp;" - "&amp;TEXT($AL$2,0)&amp;"       ",""))</f>
        <v/>
      </c>
      <c r="E109" s="1245" t="str">
        <f ca="1">IF(AS109="N/A","",IF(AS109="N","No","Yes"))</f>
        <v/>
      </c>
      <c r="F109" s="758"/>
      <c r="G109" s="758"/>
      <c r="H109" s="1707"/>
      <c r="I109" s="758"/>
      <c r="J109" s="1653"/>
      <c r="K109" s="1248" t="str">
        <f ca="1">IF($E109&lt;&gt;"","Enter Street Address      ","")</f>
        <v/>
      </c>
      <c r="L109" s="1740"/>
      <c r="M109" s="1248" t="str">
        <f ca="1">IF($E109&lt;&gt;"","Enter City Name       ","")</f>
        <v/>
      </c>
      <c r="N109" s="1740"/>
      <c r="O109" s="1248" t="str">
        <f ca="1">IF($E109&lt;&gt;"","Select from Pull-Down List   ","")</f>
        <v/>
      </c>
      <c r="P109" s="1741"/>
      <c r="Q109" s="1248" t="str">
        <f ca="1">IF($E109&lt;&gt;"","Enter ZIP Code       ","")</f>
        <v/>
      </c>
      <c r="R109" s="1742"/>
      <c r="S109" s="1248" t="str">
        <f ca="1">IF(OR(N109&lt;&gt;"",P109&lt;&gt;"",J109&lt;&gt;"",L109&lt;&gt;""),"",IF($E109&lt;&gt;"","Enter Lat.      ",""))</f>
        <v/>
      </c>
      <c r="T109" s="1742"/>
      <c r="U109" s="1248" t="str">
        <f ca="1">IF(OR(N109&lt;&gt;"",P109&lt;&gt;"",J109&lt;&gt;"",L109&lt;&gt;""),"",IF($E109&lt;&gt;"","Enter Long.    ",""))</f>
        <v/>
      </c>
      <c r="V109" s="1653"/>
      <c r="W109" s="1618" t="str">
        <f ca="1">IF($E109&lt;&gt;"","Select from Pull-Down List  ","")</f>
        <v/>
      </c>
      <c r="X109" s="1653"/>
      <c r="Y109" s="1618" t="str">
        <f ca="1">IF($E109&lt;&gt;"","Select from Pull-Down List  ","")</f>
        <v/>
      </c>
      <c r="Z109" s="1743"/>
      <c r="AA109" s="1248" t="str">
        <f ca="1">IF(E109&lt;&gt;"","Year?   ","")</f>
        <v/>
      </c>
      <c r="AB109" s="1943"/>
      <c r="AC109" s="1620" t="str">
        <f ca="1">IF(E109="","",IF(X109="","Sq. Ft. or Spaces?   ",IF(OR(X109=Codes!$L$26,X109=Codes!$L$27,X109=Codes!$L$28),"Sq. Ft. or Spaces?   ",IF(OR(X109=Codes!$L$20,X109=Codes!$L$21,X109=Codes!$L$22,X109=Codes!$L$23,X109=Codes!$L$24,X109=Codes!$L$25),"Sq. Ft?     ",""))))</f>
        <v/>
      </c>
      <c r="AD109" s="1740"/>
      <c r="AE109" s="1618" t="str">
        <f ca="1">IF($E109&lt;&gt;"","Select from List     ","")</f>
        <v/>
      </c>
      <c r="AF109" s="1621"/>
      <c r="AG109" s="1618" t="str">
        <f ca="1">IF($E109&lt;&gt;"","% of Cap Resp.","")</f>
        <v/>
      </c>
      <c r="AH109" s="1801" t="str">
        <f ca="1">IF(BW109="", "", IF(BW109&gt;100, 1, VLOOKUP(BW109, Valid!$W$1:$AA$101, VLOOKUP(X109, Codes!$L$20:$N$28, 3, FALSE), FALSE)))</f>
        <v/>
      </c>
      <c r="AI109" s="1620" t="str">
        <f ca="1">IF($E109&lt;&gt;"","Estimated?  ","")</f>
        <v/>
      </c>
      <c r="AJ109" s="1654"/>
      <c r="AK109" s="1620" t="str">
        <f ca="1">IF($E109&lt;&gt;"","Estimated $?    ","")</f>
        <v/>
      </c>
      <c r="AL109" s="1730"/>
      <c r="AM109" s="1620" t="b">
        <f ca="1">IF(E109&lt;&gt;"","Est Date?    ")</f>
        <v>0</v>
      </c>
      <c r="AN109" s="1740"/>
      <c r="AO109" s="1248" t="str">
        <f>IF(X109="Other (describe in Notes)","Describe Facility.                                                                                                                        ","")</f>
        <v/>
      </c>
      <c r="AP109" s="1624"/>
      <c r="AQ109" s="1624" t="b">
        <f>IF(AND(C109="",C111&lt;&gt;""),TRUE,FALSE)</f>
        <v>0</v>
      </c>
      <c r="AR109" s="1624" t="str">
        <f>IF(AND(J109&lt;&gt;"",L109&lt;&gt;"",N109&lt;&gt;"",P109&lt;&gt;"",R109="",T109=""),"Y",IF(AND(J109="",L109="",N109="",P109="",R109&lt;&gt;"",T109&lt;&gt;""),"Y",IF(AND(J109&lt;&gt;"",L109&lt;&gt;"",N109&lt;&gt;"",P109&lt;&gt;"",R109&lt;&gt;"",T109&lt;&gt;""),"Y",IF(AND(J109="",L109="",N109="",P109="",R109="",T109=""),"N/A","N"))))</f>
        <v>N/A</v>
      </c>
      <c r="AS109" s="1624" t="str">
        <f ca="1">IF(AND($C109&lt;&gt;"",OR(AR109="N",$V109="",$X109="",$Z109="",$AB109="",$AF109="",$AH109="",$AL109="",AD109="")),"N",IF(AND($C109="",OR(H109&lt;&gt;"",AR109="N",$V109&lt;&gt;"",$X109&lt;&gt;"",$Z109&lt;&gt;"",$AB109&lt;&gt;"",$AF109&lt;&gt;"",$AH109&lt;&gt;"",$AL109&lt;&gt;"",AD109&lt;&gt;"")),"N",IF(AND(H109="",$C109="",AR109="N/A",$V109="",$X109="",$Z109="",$AB109="",$AF109="",$AH109="",$AL109="",AD109=""),"N/A",IF(AND($C109&lt;&gt;"",AR109="Y",$V109&lt;&gt;"",$X109&lt;&gt;"",$Z109&lt;&gt;"",$AB109&lt;&gt;"",$AF109&lt;&gt;"",$AH109&lt;&gt;"",$AL109&lt;&gt;"",AD109&lt;&gt;""),"Y","N"))))</f>
        <v>N/A</v>
      </c>
      <c r="AT109" s="1761" t="b">
        <f ca="1">IF(AND($C109="",OR($J109&lt;&gt;"",$L109&lt;&gt;"",$N109&lt;&gt;"",$P109&lt;&gt;"",$V109&lt;&gt;"",$X109&lt;&gt;"",$Z109&lt;&gt;"",$AB109&lt;&gt;"",$AF109&lt;&gt;"",$AH109&lt;&gt;"",$AL109&lt;&gt;"")),TRUE,FALSE)</f>
        <v>0</v>
      </c>
      <c r="AU109" s="1761" t="b">
        <f>IF(OR(R109&lt;&gt;"",T109&lt;&gt;""),"false",IF(AND($C109&lt;&gt;"",$J109=""),TRUE,FALSE))</f>
        <v>0</v>
      </c>
      <c r="AV109" s="1761" t="b">
        <f>IF(OR(R109&lt;&gt;"",T109&lt;&gt;""),FALSE,IF(AND($C109&lt;&gt;"",$L109=""),TRUE,FALSE))</f>
        <v>0</v>
      </c>
      <c r="AW109" s="1761" t="b">
        <f>IF(OR(R109&lt;&gt;"",T109&lt;&gt;""),FALSE,IF(AND($C109&lt;&gt;"",$N109=""),TRUE,FALSE))</f>
        <v>0</v>
      </c>
      <c r="AX109" s="1761" t="b">
        <f>IF(OR(R109&lt;&gt;"",T109&lt;&gt;""),FALSE,IF(AND($C109&lt;&gt;"",$P109=""),TRUE,FALSE))</f>
        <v>0</v>
      </c>
      <c r="AY109" s="1761"/>
      <c r="AZ109" s="1761" t="b">
        <f>IF(OR(J109&lt;&gt;"",L109&lt;&gt;"",N109&lt;&gt;"",P109&lt;&gt;""),FALSE,IF(AND(C109&lt;&gt;"",R109=""),TRUE,FALSE))</f>
        <v>0</v>
      </c>
      <c r="BA109" s="1761"/>
      <c r="BB109" s="1761" t="b">
        <f>IF(OR(J109&lt;&gt;"",L109&lt;&gt;"",N109&lt;&gt;"",P109&lt;&gt;""),FALSE,IF(AND(C109&lt;&gt;"",T109=""),TRUE,FALSE))</f>
        <v>0</v>
      </c>
      <c r="BC109" s="1761" t="b">
        <f>IF(AND($C109&lt;&gt;"",$V109=""),TRUE,FALSE)</f>
        <v>0</v>
      </c>
      <c r="BD109" s="1761" t="b">
        <f ca="1">IF(AND(X109="",OR(Z109&lt;&gt;"",AB109&lt;&gt;"",AF109&lt;&gt;"",AH109&lt;&gt;"",AL109&lt;&gt;"",AD109&lt;&gt;"")),TRUE,FALSE)</f>
        <v>0</v>
      </c>
      <c r="BE109" s="1761" t="b">
        <f>IF(AND($C109&lt;&gt;"",$X109=""),TRUE,FALSE)</f>
        <v>0</v>
      </c>
      <c r="BF109" s="1761" t="b">
        <f>IF(Z109="",FALSE,IF(X109="",FALSE,IF(BG109=TRUE,FALSE,IF(OR(Z109&lt;BU109,Z109&gt;BaseYear),TRUE,FALSE))))</f>
        <v>0</v>
      </c>
      <c r="BG109" s="1761" t="b">
        <f>IF(AND($C109&lt;&gt;"",$Z109=""),TRUE,FALSE)</f>
        <v>0</v>
      </c>
      <c r="BH109" s="1761" t="b">
        <f>IF(AD109="",FALSE,IF(X109="",FALSE,IF(BJ109=TRUE,FALSE,IF(AB109&lt;BX109,TRUE,FALSE))))</f>
        <v>0</v>
      </c>
      <c r="BI109" s="1761" t="b">
        <f>IF(AD109="",FALSE,IF(X109="",FALSE,IF(BJ109=TRUE,FALSE,IF(AB109&gt;BY109,TRUE,FALSE))))</f>
        <v>0</v>
      </c>
      <c r="BJ109" s="1761" t="b">
        <f>IF(AND($C109&lt;&gt;"",$AB109=""),TRUE,FALSE)</f>
        <v>0</v>
      </c>
      <c r="BK109" s="1761" t="b">
        <f>IF(BL109=TRUE,FALSE,IF(OR(AF109&lt;0,AF109&gt;1),TRUE,FALSE))</f>
        <v>0</v>
      </c>
      <c r="BL109" s="1761" t="b">
        <f>IF(AND($C109&lt;&gt;"",$AF109=""),TRUE,FALSE)</f>
        <v>0</v>
      </c>
      <c r="BM109" s="1761"/>
      <c r="BN109" s="1761" t="b">
        <f ca="1">IF(AND($C109&lt;&gt;"",$AH109=""),TRUE,FALSE)</f>
        <v>0</v>
      </c>
      <c r="BO109" s="1761" t="b">
        <f>IF(AL109="",FALSE,IF(X109="",FALSE,IF(BP109=TRUE,FALSE,IF(OR(AL109&lt;1913,AL109&gt;BaseYear),TRUE,FALSE))))</f>
        <v>0</v>
      </c>
      <c r="BP109" s="1761" t="b">
        <f>IF(AND($C109&lt;&gt;"",$AL109=""),TRUE,FALSE)</f>
        <v>0</v>
      </c>
      <c r="BQ109" s="1761" t="b">
        <f>IF(AD109="Square Foot",FALSE,IF(AND(AD109="Parking Space",OR('A-20 PassFacInv'!X109=Valid!$B$7,'A-20 PassFacInv'!X109=Valid!$B$8,'A-20 PassFacInv'!X109=Valid!$B$9,'A-20 PassFacInv'!X109=Valid!$B$10,'A-20 PassFacInv'!X109=Valid!$B$12,'A-20 PassFacInv'!X109=Valid!$B$13,'A-20 PassFacInv'!X109=Valid!$B$14,'A-20 PassFacInv'!X109=Valid!$B$15,'A-20 PassFacInv'!X109=Valid!$B$16,'A-20 PassFacInv'!X109=Valid!$B$17,'A-20 PassFacInv'!X109=Valid!$B$18,X109=Valid!$B$19,X109=Valid!$B$20,X109=Valid!$B$21)),TRUE,FALSE))</f>
        <v>0</v>
      </c>
      <c r="BR109" s="1761" t="b">
        <f>IF(AND($C109&lt;&gt;"",$AD109=""),TRUE,FALSE)</f>
        <v>0</v>
      </c>
      <c r="BS109" s="721"/>
      <c r="BT109" s="1625" t="str">
        <f>IF($X109="","",VLOOKUP($X109,val_facilities,BT$3,FALSE))</f>
        <v/>
      </c>
      <c r="BU109" s="1627" t="str">
        <f>IF($X109="","",VLOOKUP($X109,val_facilities,BU$3,FALSE))</f>
        <v/>
      </c>
      <c r="BV109" s="1627" t="str">
        <f>IF($X109="","",VLOOKUP($X109,val_facilities,BV$3,FALSE))</f>
        <v/>
      </c>
      <c r="BW109" s="1627" t="str">
        <f ca="1">IFERROR(IF(Z109="", "", YEAR(TODAY())-Z109), "")</f>
        <v/>
      </c>
      <c r="BX109" s="845" t="str">
        <f>IF($X109="","",IF(AD109="Square Feet",VLOOKUP('A-20 PassFacInv'!X61,Valid!$B$7:$H$24,7,FALSE),IF(AD109="Parking Spaces",VLOOKUP(X109,Valid!$B$22:$L$24,11,FALSE))))</f>
        <v/>
      </c>
      <c r="BY109" s="845" t="str">
        <f>IF($X109="","",IF(AD109="Square Feet",VLOOKUP(X109,Valid!$B$7:$I$24,8,FALSE),IF('A-20 PassFacInv'!AD61="Parking Spaces",VLOOKUP('A-20 PassFacInv'!X61,Valid!$B$22:$M$24,12,FALSE))))</f>
        <v/>
      </c>
      <c r="BZ109" s="1229"/>
      <c r="CA109" s="721">
        <f t="shared" si="2"/>
        <v>0</v>
      </c>
      <c r="CB109" s="816"/>
    </row>
    <row r="110" spans="1:80" s="1739" customFormat="1" ht="6.75" customHeight="1" thickBot="1" x14ac:dyDescent="0.25">
      <c r="A110" s="1638"/>
      <c r="B110" s="1746">
        <v>49.5</v>
      </c>
      <c r="C110" s="1057"/>
      <c r="D110" s="1248"/>
      <c r="E110" s="1057"/>
      <c r="F110" s="1229"/>
      <c r="G110" s="1229"/>
      <c r="H110" s="1229"/>
      <c r="I110" s="1229"/>
      <c r="J110" s="1604"/>
      <c r="K110" s="1640"/>
      <c r="L110" s="1641"/>
      <c r="M110" s="1248"/>
      <c r="N110" s="1641"/>
      <c r="O110" s="1248"/>
      <c r="P110" s="1659"/>
      <c r="Q110" s="1248"/>
      <c r="R110" s="1660"/>
      <c r="S110" s="1640"/>
      <c r="T110" s="1660"/>
      <c r="U110" s="1640"/>
      <c r="V110" s="1057"/>
      <c r="W110" s="1618"/>
      <c r="X110" s="1747"/>
      <c r="Y110" s="1618"/>
      <c r="Z110" s="1623"/>
      <c r="AA110" s="1618"/>
      <c r="AB110" s="1944"/>
      <c r="AC110" s="1275"/>
      <c r="AD110" s="1661"/>
      <c r="AE110" s="734"/>
      <c r="AF110" s="1736"/>
      <c r="AG110" s="1275"/>
      <c r="AH110" s="722"/>
      <c r="AI110" s="1275"/>
      <c r="AJ110" s="733"/>
      <c r="AK110" s="1275"/>
      <c r="AL110" s="1721"/>
      <c r="AM110" s="1275"/>
      <c r="AN110" s="1057"/>
      <c r="AO110" s="1644"/>
      <c r="AP110" s="1644"/>
      <c r="AQ110" s="1644"/>
      <c r="AR110" s="1644"/>
      <c r="AS110" s="1644"/>
      <c r="AT110" s="1761"/>
      <c r="AU110" s="1761"/>
      <c r="AV110" s="1761"/>
      <c r="AW110" s="1761"/>
      <c r="AX110" s="1761"/>
      <c r="AY110" s="1761"/>
      <c r="AZ110" s="1761"/>
      <c r="BA110" s="1761"/>
      <c r="BB110" s="1761"/>
      <c r="BC110" s="1762"/>
      <c r="BD110" s="1762"/>
      <c r="BE110" s="1762"/>
      <c r="BF110" s="1762"/>
      <c r="BG110" s="1762"/>
      <c r="BH110" s="1762"/>
      <c r="BI110" s="1762"/>
      <c r="BJ110" s="1762"/>
      <c r="BK110" s="1762"/>
      <c r="BL110" s="1762"/>
      <c r="BM110" s="1762"/>
      <c r="BN110" s="1762"/>
      <c r="BO110" s="1762"/>
      <c r="BP110" s="1762"/>
      <c r="BQ110" s="1762"/>
      <c r="BR110" s="1762"/>
      <c r="BS110" s="1736"/>
      <c r="BT110" s="1738"/>
      <c r="BU110" s="1738"/>
      <c r="BV110" s="1738"/>
      <c r="BW110" s="1738"/>
      <c r="BX110" s="1738"/>
      <c r="BY110" s="1738"/>
      <c r="BZ110" s="1229"/>
      <c r="CA110" s="721">
        <f t="shared" si="2"/>
        <v>0</v>
      </c>
      <c r="CB110" s="1748"/>
    </row>
    <row r="111" spans="1:80" s="1739" customFormat="1" x14ac:dyDescent="0.2">
      <c r="A111" s="840">
        <v>50</v>
      </c>
      <c r="B111" s="1746">
        <v>50</v>
      </c>
      <c r="C111" s="1740"/>
      <c r="D111" s="1248" t="str">
        <f>IF(C109="","",IF((C111=""),"Enter Facility "&amp;TEXT(A111,0)&amp;" Name, then Fill in Columns "&amp;TEXT($H$2,0)&amp;" - "&amp;TEXT($AL$2,0)&amp;"       ",""))</f>
        <v/>
      </c>
      <c r="E111" s="1245" t="str">
        <f ca="1">IF(AS111="N/A","",IF(AS111="N","No","Yes"))</f>
        <v/>
      </c>
      <c r="F111" s="758"/>
      <c r="G111" s="758"/>
      <c r="H111" s="1707"/>
      <c r="I111" s="758"/>
      <c r="J111" s="1653"/>
      <c r="K111" s="1248" t="str">
        <f ca="1">IF($E111&lt;&gt;"","Enter Street Address      ","")</f>
        <v/>
      </c>
      <c r="L111" s="1740"/>
      <c r="M111" s="1248" t="str">
        <f ca="1">IF($E111&lt;&gt;"","Enter City Name       ","")</f>
        <v/>
      </c>
      <c r="N111" s="1740"/>
      <c r="O111" s="1248" t="str">
        <f ca="1">IF($E111&lt;&gt;"","Select from Pull-Down List   ","")</f>
        <v/>
      </c>
      <c r="P111" s="1741"/>
      <c r="Q111" s="1248" t="str">
        <f ca="1">IF($E111&lt;&gt;"","Enter ZIP Code       ","")</f>
        <v/>
      </c>
      <c r="R111" s="1742"/>
      <c r="S111" s="1248" t="str">
        <f ca="1">IF(OR(N111&lt;&gt;"",P111&lt;&gt;"",J111&lt;&gt;"",L111&lt;&gt;""),"",IF($E111&lt;&gt;"","Enter Lat.      ",""))</f>
        <v/>
      </c>
      <c r="T111" s="1742"/>
      <c r="U111" s="1248" t="str">
        <f ca="1">IF(OR(N111&lt;&gt;"",P111&lt;&gt;"",J111&lt;&gt;"",L111&lt;&gt;""),"",IF($E111&lt;&gt;"","Enter Long.    ",""))</f>
        <v/>
      </c>
      <c r="V111" s="1653"/>
      <c r="W111" s="1618" t="str">
        <f ca="1">IF($E111&lt;&gt;"","Select from Pull-Down List  ","")</f>
        <v/>
      </c>
      <c r="X111" s="1653"/>
      <c r="Y111" s="1618" t="str">
        <f ca="1">IF($E111&lt;&gt;"","Select from Pull-Down List  ","")</f>
        <v/>
      </c>
      <c r="Z111" s="1743"/>
      <c r="AA111" s="1248" t="str">
        <f ca="1">IF(E111&lt;&gt;"","Year?   ","")</f>
        <v/>
      </c>
      <c r="AB111" s="1943"/>
      <c r="AC111" s="1620" t="str">
        <f ca="1">IF(E111="","",IF(X111="","Sq. Ft. or Spaces?   ",IF(OR(X111=Codes!$L$26,X111=Codes!$L$27,X111=Codes!$L$28),"Sq. Ft. or Spaces?   ",IF(OR(X111=Codes!$L$20,X111=Codes!$L$21,X111=Codes!$L$22,X111=Codes!$L$23,X111=Codes!$L$24,X111=Codes!$L$25),"Sq. Ft?     ",""))))</f>
        <v/>
      </c>
      <c r="AD111" s="1740"/>
      <c r="AE111" s="1618" t="str">
        <f ca="1">IF($E111&lt;&gt;"","Select from List     ","")</f>
        <v/>
      </c>
      <c r="AF111" s="1621"/>
      <c r="AG111" s="1618" t="str">
        <f ca="1">IF($E111&lt;&gt;"","% of Cap Resp.","")</f>
        <v/>
      </c>
      <c r="AH111" s="1801" t="str">
        <f ca="1">IF(BW111="", "", IF(BW111&gt;100, 1, VLOOKUP(BW111, Valid!$W$1:$AA$101, VLOOKUP(X111, Codes!$L$20:$N$28, 3, FALSE), FALSE)))</f>
        <v/>
      </c>
      <c r="AI111" s="1620" t="str">
        <f ca="1">IF($E111&lt;&gt;"","Estimated?  ","")</f>
        <v/>
      </c>
      <c r="AJ111" s="1654"/>
      <c r="AK111" s="1620" t="str">
        <f ca="1">IF($E111&lt;&gt;"","Estimated $?    ","")</f>
        <v/>
      </c>
      <c r="AL111" s="1730"/>
      <c r="AM111" s="1620" t="b">
        <f ca="1">IF(E111&lt;&gt;"","Est Date?    ")</f>
        <v>0</v>
      </c>
      <c r="AN111" s="1740"/>
      <c r="AO111" s="1248" t="str">
        <f>IF(X111="Other (describe in Notes)","Describe Facility.                                                                                                                        ","")</f>
        <v/>
      </c>
      <c r="AP111" s="1624"/>
      <c r="AQ111" s="1624" t="b">
        <f>IF(AND(C111="",C113&lt;&gt;""),TRUE,FALSE)</f>
        <v>0</v>
      </c>
      <c r="AR111" s="1624" t="str">
        <f>IF(AND(J111&lt;&gt;"",L111&lt;&gt;"",N111&lt;&gt;"",P111&lt;&gt;"",R111="",T111=""),"Y",IF(AND(J111="",L111="",N111="",P111="",R111&lt;&gt;"",T111&lt;&gt;""),"Y",IF(AND(J111&lt;&gt;"",L111&lt;&gt;"",N111&lt;&gt;"",P111&lt;&gt;"",R111&lt;&gt;"",T111&lt;&gt;""),"Y",IF(AND(J111="",L111="",N111="",P111="",R111="",T111=""),"N/A","N"))))</f>
        <v>N/A</v>
      </c>
      <c r="AS111" s="1624" t="str">
        <f ca="1">IF(AND($C111&lt;&gt;"",OR(AR111="N",$V111="",$X111="",$Z111="",$AB111="",$AF111="",$AH111="",$AL111="",AD111="")),"N",IF(AND($C111="",OR(H111&lt;&gt;"",AR111="N",$V111&lt;&gt;"",$X111&lt;&gt;"",$Z111&lt;&gt;"",$AB111&lt;&gt;"",$AF111&lt;&gt;"",$AH111&lt;&gt;"",$AL111&lt;&gt;"",AD111&lt;&gt;"")),"N",IF(AND(H111="",$C111="",AR111="N/A",$V111="",$X111="",$Z111="",$AB111="",$AF111="",$AH111="",$AL111="",AD111=""),"N/A",IF(AND($C111&lt;&gt;"",AR111="Y",$V111&lt;&gt;"",$X111&lt;&gt;"",$Z111&lt;&gt;"",$AB111&lt;&gt;"",$AF111&lt;&gt;"",$AH111&lt;&gt;"",$AL111&lt;&gt;"",AD111&lt;&gt;""),"Y","N"))))</f>
        <v>N/A</v>
      </c>
      <c r="AT111" s="1761" t="b">
        <f ca="1">IF(AND($C111="",OR($J111&lt;&gt;"",$L111&lt;&gt;"",$N111&lt;&gt;"",$P111&lt;&gt;"",$V111&lt;&gt;"",$X111&lt;&gt;"",$Z111&lt;&gt;"",$AB111&lt;&gt;"",$AF111&lt;&gt;"",$AH111&lt;&gt;"",$AL111&lt;&gt;"")),TRUE,FALSE)</f>
        <v>0</v>
      </c>
      <c r="AU111" s="1761" t="b">
        <f>IF(OR(R111&lt;&gt;"",T111&lt;&gt;""),"false",IF(AND($C111&lt;&gt;"",$J111=""),TRUE,FALSE))</f>
        <v>0</v>
      </c>
      <c r="AV111" s="1761" t="b">
        <f>IF(OR(R111&lt;&gt;"",T111&lt;&gt;""),FALSE,IF(AND($C111&lt;&gt;"",$L111=""),TRUE,FALSE))</f>
        <v>0</v>
      </c>
      <c r="AW111" s="1761" t="b">
        <f>IF(OR(R111&lt;&gt;"",T111&lt;&gt;""),FALSE,IF(AND($C111&lt;&gt;"",$N111=""),TRUE,FALSE))</f>
        <v>0</v>
      </c>
      <c r="AX111" s="1761" t="b">
        <f>IF(OR(R111&lt;&gt;"",T111&lt;&gt;""),FALSE,IF(AND($C111&lt;&gt;"",$P111=""),TRUE,FALSE))</f>
        <v>0</v>
      </c>
      <c r="AY111" s="1761"/>
      <c r="AZ111" s="1761" t="b">
        <f>IF(OR(J111&lt;&gt;"",L111&lt;&gt;"",N111&lt;&gt;"",P111&lt;&gt;""),FALSE,IF(AND(C111&lt;&gt;"",R111=""),TRUE,FALSE))</f>
        <v>0</v>
      </c>
      <c r="BA111" s="1761"/>
      <c r="BB111" s="1761" t="b">
        <f>IF(OR(J111&lt;&gt;"",L111&lt;&gt;"",N111&lt;&gt;"",P111&lt;&gt;""),FALSE,IF(AND(C111&lt;&gt;"",T111=""),TRUE,FALSE))</f>
        <v>0</v>
      </c>
      <c r="BC111" s="1761" t="b">
        <f>IF(AND($C111&lt;&gt;"",$V111=""),TRUE,FALSE)</f>
        <v>0</v>
      </c>
      <c r="BD111" s="1761" t="b">
        <f ca="1">IF(AND(X111="",OR(Z111&lt;&gt;"",AB111&lt;&gt;"",AF111&lt;&gt;"",AH111&lt;&gt;"",AL111&lt;&gt;"",AD111&lt;&gt;"")),TRUE,FALSE)</f>
        <v>0</v>
      </c>
      <c r="BE111" s="1761" t="b">
        <f>IF(AND($C111&lt;&gt;"",$X111=""),TRUE,FALSE)</f>
        <v>0</v>
      </c>
      <c r="BF111" s="1761" t="b">
        <f>IF(Z111="",FALSE,IF(X111="",FALSE,IF(BG111=TRUE,FALSE,IF(OR(Z111&lt;BU111,Z111&gt;BaseYear),TRUE,FALSE))))</f>
        <v>0</v>
      </c>
      <c r="BG111" s="1761" t="b">
        <f>IF(AND($C111&lt;&gt;"",$Z111=""),TRUE,FALSE)</f>
        <v>0</v>
      </c>
      <c r="BH111" s="1761" t="b">
        <f>IF(AD111="",FALSE,IF(X111="",FALSE,IF(BJ111=TRUE,FALSE,IF(AB111&lt;BX111,TRUE,FALSE))))</f>
        <v>0</v>
      </c>
      <c r="BI111" s="1761" t="b">
        <f>IF(AD111="",FALSE,IF(X111="",FALSE,IF(BJ111=TRUE,FALSE,IF(AB111&gt;BY111,TRUE,FALSE))))</f>
        <v>0</v>
      </c>
      <c r="BJ111" s="1761" t="b">
        <f>IF(AND($C111&lt;&gt;"",$AB111=""),TRUE,FALSE)</f>
        <v>0</v>
      </c>
      <c r="BK111" s="1761" t="b">
        <f>IF(BL111=TRUE,FALSE,IF(OR(AF111&lt;0,AF111&gt;1),TRUE,FALSE))</f>
        <v>0</v>
      </c>
      <c r="BL111" s="1761" t="b">
        <f>IF(AND($C111&lt;&gt;"",$AF111=""),TRUE,FALSE)</f>
        <v>0</v>
      </c>
      <c r="BM111" s="1761"/>
      <c r="BN111" s="1761" t="b">
        <f ca="1">IF(AND($C111&lt;&gt;"",$AH111=""),TRUE,FALSE)</f>
        <v>0</v>
      </c>
      <c r="BO111" s="1761" t="b">
        <f>IF(AL111="",FALSE,IF(X111="",FALSE,IF(BP111=TRUE,FALSE,IF(OR(AL111&lt;1913,AL111&gt;BaseYear),TRUE,FALSE))))</f>
        <v>0</v>
      </c>
      <c r="BP111" s="1761" t="b">
        <f>IF(AND($C111&lt;&gt;"",$AL111=""),TRUE,FALSE)</f>
        <v>0</v>
      </c>
      <c r="BQ111" s="1761" t="b">
        <f>IF(AD111="Square Foot",FALSE,IF(AND(AD111="Parking Space",OR('A-20 PassFacInv'!X111=Valid!$B$7,'A-20 PassFacInv'!X111=Valid!$B$8,'A-20 PassFacInv'!X111=Valid!$B$9,'A-20 PassFacInv'!X111=Valid!$B$10,'A-20 PassFacInv'!X111=Valid!$B$12,'A-20 PassFacInv'!X111=Valid!$B$13,'A-20 PassFacInv'!X111=Valid!$B$14,'A-20 PassFacInv'!X111=Valid!$B$15,'A-20 PassFacInv'!X111=Valid!$B$16,'A-20 PassFacInv'!X111=Valid!$B$17,'A-20 PassFacInv'!X111=Valid!$B$18,X111=Valid!$B$19,X111=Valid!$B$20,X111=Valid!$B$21)),TRUE,FALSE))</f>
        <v>0</v>
      </c>
      <c r="BR111" s="1761" t="b">
        <f>IF(AND($C111&lt;&gt;"",$AD111=""),TRUE,FALSE)</f>
        <v>0</v>
      </c>
      <c r="BS111" s="721"/>
      <c r="BT111" s="1625" t="str">
        <f>IF($X111="","",VLOOKUP($X111,val_facilities,BT$3,FALSE))</f>
        <v/>
      </c>
      <c r="BU111" s="1627" t="str">
        <f>IF($X111="","",VLOOKUP($X111,val_facilities,BU$3,FALSE))</f>
        <v/>
      </c>
      <c r="BV111" s="1627" t="str">
        <f>IF($X111="","",VLOOKUP($X111,val_facilities,BV$3,FALSE))</f>
        <v/>
      </c>
      <c r="BW111" s="1627" t="str">
        <f ca="1">IFERROR(IF(Z111="", "", YEAR(TODAY())-Z111), "")</f>
        <v/>
      </c>
      <c r="BX111" s="845" t="str">
        <f>IF($X111="","",IF(AD111="Square Feet",VLOOKUP('A-20 PassFacInv'!X62,Valid!$B$7:$H$24,7,FALSE),IF(AD111="Parking Spaces",VLOOKUP(X111,Valid!$B$22:$L$24,11,FALSE))))</f>
        <v/>
      </c>
      <c r="BY111" s="845" t="str">
        <f>IF($X111="","",IF(AD111="Square Feet",VLOOKUP(X111,Valid!$B$7:$I$24,8,FALSE),IF('A-20 PassFacInv'!AD62="Parking Spaces",VLOOKUP('A-20 PassFacInv'!X62,Valid!$B$22:$M$24,12,FALSE))))</f>
        <v/>
      </c>
      <c r="BZ111" s="1229"/>
      <c r="CA111" s="721">
        <f t="shared" si="2"/>
        <v>0</v>
      </c>
      <c r="CB111" s="816"/>
    </row>
    <row r="112" spans="1:80" s="1739" customFormat="1" ht="6.75" customHeight="1" thickBot="1" x14ac:dyDescent="0.25">
      <c r="A112" s="1638"/>
      <c r="B112" s="1746">
        <v>50.5</v>
      </c>
      <c r="C112" s="1057"/>
      <c r="D112" s="764"/>
      <c r="E112" s="1639"/>
      <c r="F112" s="1229"/>
      <c r="G112" s="1229"/>
      <c r="H112" s="1229"/>
      <c r="I112" s="1229"/>
      <c r="J112" s="1604"/>
      <c r="K112" s="1640"/>
      <c r="L112" s="1645"/>
      <c r="M112" s="1646"/>
      <c r="N112" s="1645"/>
      <c r="O112" s="1646"/>
      <c r="P112" s="1662"/>
      <c r="Q112" s="1644"/>
      <c r="R112" s="1660"/>
      <c r="S112" s="1640"/>
      <c r="T112" s="1660"/>
      <c r="U112" s="1640"/>
      <c r="V112" s="1057"/>
      <c r="W112" s="1623"/>
      <c r="X112" s="1747"/>
      <c r="Y112" s="1623"/>
      <c r="Z112" s="1623"/>
      <c r="AA112" s="1623"/>
      <c r="AB112" s="1944"/>
      <c r="AC112" s="1648"/>
      <c r="AD112" s="1057"/>
      <c r="AE112" s="841"/>
      <c r="AF112" s="841"/>
      <c r="AG112" s="841"/>
      <c r="AH112" s="722"/>
      <c r="AI112" s="1648"/>
      <c r="AJ112" s="722"/>
      <c r="AK112" s="1648"/>
      <c r="AL112" s="1717"/>
      <c r="AM112" s="1648"/>
      <c r="AN112" s="1057"/>
      <c r="AO112" s="1644"/>
      <c r="AP112" s="1644"/>
      <c r="AQ112" s="1644"/>
      <c r="AR112" s="1644"/>
      <c r="AS112" s="1644"/>
      <c r="AT112" s="1761"/>
      <c r="AU112" s="1761"/>
      <c r="AV112" s="1761"/>
      <c r="AW112" s="1761"/>
      <c r="AX112" s="1761"/>
      <c r="AY112" s="1761"/>
      <c r="AZ112" s="1761"/>
      <c r="BA112" s="1761"/>
      <c r="BB112" s="1761"/>
      <c r="BC112" s="1762"/>
      <c r="BD112" s="1762"/>
      <c r="BE112" s="1762"/>
      <c r="BF112" s="1762"/>
      <c r="BG112" s="1762"/>
      <c r="BH112" s="1762"/>
      <c r="BI112" s="1762"/>
      <c r="BJ112" s="1762"/>
      <c r="BK112" s="1762"/>
      <c r="BL112" s="1762"/>
      <c r="BM112" s="1762"/>
      <c r="BN112" s="1762"/>
      <c r="BO112" s="1762"/>
      <c r="BP112" s="1762"/>
      <c r="BQ112" s="1763"/>
      <c r="BR112" s="1762"/>
      <c r="BS112" s="1736"/>
      <c r="BT112" s="1738"/>
      <c r="BU112" s="1738"/>
      <c r="BV112" s="1738"/>
      <c r="BW112" s="1738"/>
      <c r="BX112" s="1738"/>
      <c r="BY112" s="1738"/>
      <c r="BZ112" s="1229"/>
      <c r="CA112" s="721">
        <f t="shared" si="2"/>
        <v>0</v>
      </c>
      <c r="CB112" s="816"/>
    </row>
    <row r="113" spans="1:80" s="1739" customFormat="1" x14ac:dyDescent="0.2">
      <c r="A113" s="840">
        <v>51</v>
      </c>
      <c r="B113" s="1731">
        <v>51</v>
      </c>
      <c r="C113" s="1740"/>
      <c r="D113" s="1248" t="str">
        <f>IF(C111="","",IF((C113=""),"Enter Facility "&amp;TEXT(A113,0)&amp;" Name, then Fill in Columns "&amp;TEXT($H$2,0)&amp;" - "&amp;TEXT($AL$2,0)&amp;"       ",""))</f>
        <v/>
      </c>
      <c r="E113" s="1245" t="str">
        <f ca="1">IF(AS113="N/A","",IF(AS113="N","No","Yes"))</f>
        <v/>
      </c>
      <c r="F113" s="758"/>
      <c r="G113" s="758"/>
      <c r="H113" s="1707"/>
      <c r="I113" s="758"/>
      <c r="J113" s="1653"/>
      <c r="K113" s="1248" t="str">
        <f ca="1">IF($E113&lt;&gt;"","Enter Street Address      ","")</f>
        <v/>
      </c>
      <c r="L113" s="1740"/>
      <c r="M113" s="1248" t="str">
        <f ca="1">IF($E113&lt;&gt;"","Enter City Name       ","")</f>
        <v/>
      </c>
      <c r="N113" s="1740"/>
      <c r="O113" s="1248" t="str">
        <f ca="1">IF($E113&lt;&gt;"","Select from Pull-Down List   ","")</f>
        <v/>
      </c>
      <c r="P113" s="1741"/>
      <c r="Q113" s="1248" t="str">
        <f ca="1">IF($E113&lt;&gt;"","Enter ZIP Code       ","")</f>
        <v/>
      </c>
      <c r="R113" s="1742"/>
      <c r="S113" s="1248" t="str">
        <f ca="1">IF(OR(N113&lt;&gt;"",P113&lt;&gt;"",J113&lt;&gt;"",L113&lt;&gt;""),"",IF($E113&lt;&gt;"","Enter Lat.      ",""))</f>
        <v/>
      </c>
      <c r="T113" s="1742"/>
      <c r="U113" s="1248" t="str">
        <f ca="1">IF(OR(N113&lt;&gt;"",P113&lt;&gt;"",J113&lt;&gt;"",L113&lt;&gt;""),"",IF($E113&lt;&gt;"","Enter Long.    ",""))</f>
        <v/>
      </c>
      <c r="V113" s="1653"/>
      <c r="W113" s="1618" t="str">
        <f ca="1">IF($E113&lt;&gt;"","Select from Pull-Down List  ","")</f>
        <v/>
      </c>
      <c r="X113" s="1653"/>
      <c r="Y113" s="1618" t="str">
        <f ca="1">IF($E113&lt;&gt;"","Select from Pull-Down List  ","")</f>
        <v/>
      </c>
      <c r="Z113" s="1743"/>
      <c r="AA113" s="1248" t="str">
        <f ca="1">IF(E113&lt;&gt;"","Year?   ","")</f>
        <v/>
      </c>
      <c r="AB113" s="1943"/>
      <c r="AC113" s="1620" t="str">
        <f ca="1">IF(E113="","",IF(X113="","Sq. Ft. or Spaces?   ",IF(OR(X113=Codes!$L$26,X113=Codes!$L$27,X113=Codes!$L$28),"Sq. Ft. or Spaces?   ",IF(OR(X113=Codes!$L$20,X113=Codes!$L$21,X113=Codes!$L$22,X113=Codes!$L$23,X113=Codes!$L$24,X113=Codes!$L$25),"Sq. Ft?     ",""))))</f>
        <v/>
      </c>
      <c r="AD113" s="1740"/>
      <c r="AE113" s="1618" t="str">
        <f ca="1">IF($E113&lt;&gt;"","Select from List     ","")</f>
        <v/>
      </c>
      <c r="AF113" s="1621"/>
      <c r="AG113" s="1618" t="str">
        <f ca="1">IF($E113&lt;&gt;"","% of Cap Resp.","")</f>
        <v/>
      </c>
      <c r="AH113" s="1801" t="str">
        <f ca="1">IF(BW113="", "", IF(BW113&gt;100, 1, VLOOKUP(BW113, Valid!$W$1:$AA$101, VLOOKUP(X113, Codes!$L$20:$N$28, 3, FALSE), FALSE)))</f>
        <v/>
      </c>
      <c r="AI113" s="1620" t="str">
        <f ca="1">IF($E113&lt;&gt;"","Estimated?  ","")</f>
        <v/>
      </c>
      <c r="AJ113" s="1654"/>
      <c r="AK113" s="1620" t="str">
        <f ca="1">IF($E113&lt;&gt;"","Estimated $?    ","")</f>
        <v/>
      </c>
      <c r="AL113" s="1730"/>
      <c r="AM113" s="1620" t="b">
        <f ca="1">IF(E113&lt;&gt;"","Est Date?    ")</f>
        <v>0</v>
      </c>
      <c r="AN113" s="1740"/>
      <c r="AO113" s="1248" t="str">
        <f>IF(X113="Other (describe in Notes)","Describe Facility.                                                                                                                        ","")</f>
        <v/>
      </c>
      <c r="AP113" s="1624"/>
      <c r="AQ113" s="1624" t="b">
        <f>IF(AND(C113="",C115&lt;&gt;""),TRUE,FALSE)</f>
        <v>0</v>
      </c>
      <c r="AR113" s="1624" t="str">
        <f>IF(AND(J113&lt;&gt;"",L113&lt;&gt;"",N113&lt;&gt;"",P113&lt;&gt;"",R113="",T113=""),"Y",IF(AND(J113="",L113="",N113="",P113="",R113&lt;&gt;"",T113&lt;&gt;""),"Y",IF(AND(J113&lt;&gt;"",L113&lt;&gt;"",N113&lt;&gt;"",P113&lt;&gt;"",R113&lt;&gt;"",T113&lt;&gt;""),"Y",IF(AND(J113="",L113="",N113="",P113="",R113="",T113=""),"N/A","N"))))</f>
        <v>N/A</v>
      </c>
      <c r="AS113" s="1624" t="str">
        <f ca="1">IF(AND($C113&lt;&gt;"",OR(AR113="N",$V113="",$X113="",$Z113="",$AB113="",$AF113="",$AH113="",$AL113="",AD113="")),"N",IF(AND($C113="",OR(H113&lt;&gt;"",AR113="N",$V113&lt;&gt;"",$X113&lt;&gt;"",$Z113&lt;&gt;"",$AB113&lt;&gt;"",$AF113&lt;&gt;"",$AH113&lt;&gt;"",$AL113&lt;&gt;"",AD113&lt;&gt;"")),"N",IF(AND(H113="",$C113="",AR113="N/A",$V113="",$X113="",$Z113="",$AB113="",$AF113="",$AH113="",$AL113="",AD113=""),"N/A",IF(AND($C113&lt;&gt;"",AR113="Y",$V113&lt;&gt;"",$X113&lt;&gt;"",$Z113&lt;&gt;"",$AB113&lt;&gt;"",$AF113&lt;&gt;"",$AH113&lt;&gt;"",$AL113&lt;&gt;"",AD113&lt;&gt;""),"Y","N"))))</f>
        <v>N/A</v>
      </c>
      <c r="AT113" s="1761" t="b">
        <f ca="1">IF(AND($C113="",OR($J113&lt;&gt;"",$L113&lt;&gt;"",$N113&lt;&gt;"",$P113&lt;&gt;"",$V113&lt;&gt;"",$X113&lt;&gt;"",$Z113&lt;&gt;"",$AB113&lt;&gt;"",$AF113&lt;&gt;"",$AH113&lt;&gt;"",$AL113&lt;&gt;"")),TRUE,FALSE)</f>
        <v>0</v>
      </c>
      <c r="AU113" s="1761" t="b">
        <f>IF(OR(R113&lt;&gt;"",T113&lt;&gt;""),"false",IF(AND($C113&lt;&gt;"",$J113=""),TRUE,FALSE))</f>
        <v>0</v>
      </c>
      <c r="AV113" s="1761" t="b">
        <f>IF(OR(R113&lt;&gt;"",T113&lt;&gt;""),FALSE,IF(AND($C113&lt;&gt;"",$L113=""),TRUE,FALSE))</f>
        <v>0</v>
      </c>
      <c r="AW113" s="1761" t="b">
        <f>IF(OR(R113&lt;&gt;"",T113&lt;&gt;""),FALSE,IF(AND($C113&lt;&gt;"",$N113=""),TRUE,FALSE))</f>
        <v>0</v>
      </c>
      <c r="AX113" s="1761" t="b">
        <f>IF(OR(R113&lt;&gt;"",T113&lt;&gt;""),FALSE,IF(AND($C113&lt;&gt;"",$P113=""),TRUE,FALSE))</f>
        <v>0</v>
      </c>
      <c r="AY113" s="1761"/>
      <c r="AZ113" s="1761" t="b">
        <f>IF(OR(J113&lt;&gt;"",L113&lt;&gt;"",N113&lt;&gt;"",P113&lt;&gt;""),FALSE,IF(AND(C113&lt;&gt;"",R113=""),TRUE,FALSE))</f>
        <v>0</v>
      </c>
      <c r="BA113" s="1761"/>
      <c r="BB113" s="1761" t="b">
        <f>IF(OR(J113&lt;&gt;"",L113&lt;&gt;"",N113&lt;&gt;"",P113&lt;&gt;""),FALSE,IF(AND(C113&lt;&gt;"",T113=""),TRUE,FALSE))</f>
        <v>0</v>
      </c>
      <c r="BC113" s="1761" t="b">
        <f>IF(AND($C113&lt;&gt;"",$V113=""),TRUE,FALSE)</f>
        <v>0</v>
      </c>
      <c r="BD113" s="1761" t="b">
        <f ca="1">IF(AND(X113="",OR(Z113&lt;&gt;"",AB113&lt;&gt;"",AF113&lt;&gt;"",AH113&lt;&gt;"",AL113&lt;&gt;"",AD113&lt;&gt;"")),TRUE,FALSE)</f>
        <v>0</v>
      </c>
      <c r="BE113" s="1761" t="b">
        <f>IF(AND($C113&lt;&gt;"",$X113=""),TRUE,FALSE)</f>
        <v>0</v>
      </c>
      <c r="BF113" s="1761" t="b">
        <f>IF(Z113="",FALSE,IF(X113="",FALSE,IF(BG113=TRUE,FALSE,IF(OR(Z113&lt;BU113,Z113&gt;BaseYear),TRUE,FALSE))))</f>
        <v>0</v>
      </c>
      <c r="BG113" s="1761" t="b">
        <f>IF(AND($C113&lt;&gt;"",$Z113=""),TRUE,FALSE)</f>
        <v>0</v>
      </c>
      <c r="BH113" s="1761" t="b">
        <f>IF(AD113="",FALSE,IF(X113="",FALSE,IF(BJ113=TRUE,FALSE,IF(AB113&lt;BX113,TRUE,FALSE))))</f>
        <v>0</v>
      </c>
      <c r="BI113" s="1761" t="b">
        <f>IF(AD113="",FALSE,IF(X113="",FALSE,IF(BJ113=TRUE,FALSE,IF(AB113&gt;BY113,TRUE,FALSE))))</f>
        <v>0</v>
      </c>
      <c r="BJ113" s="1761" t="b">
        <f>IF(AND($C113&lt;&gt;"",$AB113=""),TRUE,FALSE)</f>
        <v>0</v>
      </c>
      <c r="BK113" s="1761" t="b">
        <f>IF(BL113=TRUE,FALSE,IF(OR(AF113&lt;0,AF113&gt;1),TRUE,FALSE))</f>
        <v>0</v>
      </c>
      <c r="BL113" s="1761" t="b">
        <f>IF(AND($C113&lt;&gt;"",$AF113=""),TRUE,FALSE)</f>
        <v>0</v>
      </c>
      <c r="BM113" s="1761"/>
      <c r="BN113" s="1761" t="b">
        <f ca="1">IF(AND($C113&lt;&gt;"",$AH113=""),TRUE,FALSE)</f>
        <v>0</v>
      </c>
      <c r="BO113" s="1761" t="b">
        <f>IF(AL113="",FALSE,IF(X113="",FALSE,IF(BP113=TRUE,FALSE,IF(OR(AL113&lt;1913,AL113&gt;BaseYear),TRUE,FALSE))))</f>
        <v>0</v>
      </c>
      <c r="BP113" s="1761" t="b">
        <f>IF(AND($C113&lt;&gt;"",$AL113=""),TRUE,FALSE)</f>
        <v>0</v>
      </c>
      <c r="BQ113" s="1761" t="b">
        <f>IF(AD113="Square Foot",FALSE,IF(AND(AD113="Parking Space",OR('A-20 PassFacInv'!X113=Valid!$B$7,'A-20 PassFacInv'!X113=Valid!$B$8,'A-20 PassFacInv'!X113=Valid!$B$9,'A-20 PassFacInv'!X113=Valid!$B$10,'A-20 PassFacInv'!X113=Valid!$B$12,'A-20 PassFacInv'!X113=Valid!$B$13,'A-20 PassFacInv'!X113=Valid!$B$14,'A-20 PassFacInv'!X113=Valid!$B$15,'A-20 PassFacInv'!X113=Valid!$B$16,'A-20 PassFacInv'!X113=Valid!$B$17,'A-20 PassFacInv'!X113=Valid!$B$18,X113=Valid!$B$19,X113=Valid!$B$20,X113=Valid!$B$21)),TRUE,FALSE))</f>
        <v>0</v>
      </c>
      <c r="BR113" s="1761" t="b">
        <f>IF(AND($C113&lt;&gt;"",$AD113=""),TRUE,FALSE)</f>
        <v>0</v>
      </c>
      <c r="BS113" s="721"/>
      <c r="BT113" s="1625" t="str">
        <f>IF($X113="","",VLOOKUP($X113,val_facilities,BT$3,FALSE))</f>
        <v/>
      </c>
      <c r="BU113" s="1627" t="str">
        <f>IF($X113="","",VLOOKUP($X113,val_facilities,BU$3,FALSE))</f>
        <v/>
      </c>
      <c r="BV113" s="1627" t="str">
        <f>IF($X113="","",VLOOKUP($X113,val_facilities,BV$3,FALSE))</f>
        <v/>
      </c>
      <c r="BW113" s="1627" t="str">
        <f ca="1">IFERROR(IF(Z113="", "", YEAR(TODAY())-Z113), "")</f>
        <v/>
      </c>
      <c r="BX113" s="845" t="str">
        <f>IF($X113="","",IF(AD113="Square Feet",VLOOKUP('A-20 PassFacInv'!X63,Valid!$B$7:$H$24,7,FALSE),IF(AD113="Parking Spaces",VLOOKUP(X113,Valid!$B$22:$L$24,11,FALSE))))</f>
        <v/>
      </c>
      <c r="BY113" s="845" t="str">
        <f>IF($X113="","",IF(AD113="Square Feet",VLOOKUP(X113,Valid!$B$7:$I$24,8,FALSE),IF('A-20 PassFacInv'!AD63="Parking Spaces",VLOOKUP('A-20 PassFacInv'!X63,Valid!$B$22:$M$24,12,FALSE))))</f>
        <v/>
      </c>
      <c r="BZ113" s="758"/>
      <c r="CA113" s="721">
        <f t="shared" si="2"/>
        <v>0</v>
      </c>
      <c r="CB113" s="816"/>
    </row>
    <row r="114" spans="1:80" s="1739" customFormat="1" ht="6.75" customHeight="1" thickBot="1" x14ac:dyDescent="0.25">
      <c r="A114" s="1638"/>
      <c r="B114" s="1746">
        <v>51.5</v>
      </c>
      <c r="C114" s="1223"/>
      <c r="D114" s="1248"/>
      <c r="E114" s="721"/>
      <c r="F114" s="758"/>
      <c r="G114" s="758"/>
      <c r="H114" s="758"/>
      <c r="I114" s="758"/>
      <c r="J114" s="1744"/>
      <c r="K114" s="1248"/>
      <c r="L114" s="1745"/>
      <c r="M114" s="1248"/>
      <c r="N114" s="1745"/>
      <c r="O114" s="1248"/>
      <c r="P114" s="1659"/>
      <c r="Q114" s="1248"/>
      <c r="R114" s="1656"/>
      <c r="S114" s="1248"/>
      <c r="T114" s="1656"/>
      <c r="U114" s="1248"/>
      <c r="V114" s="1223"/>
      <c r="W114" s="1618"/>
      <c r="X114" s="1737"/>
      <c r="Y114" s="1618"/>
      <c r="Z114" s="1623"/>
      <c r="AA114" s="1618"/>
      <c r="AB114" s="1944"/>
      <c r="AC114" s="1632"/>
      <c r="AD114" s="1394"/>
      <c r="AE114" s="823"/>
      <c r="AF114" s="822"/>
      <c r="AG114" s="1632"/>
      <c r="AH114" s="1631"/>
      <c r="AI114" s="1632"/>
      <c r="AJ114" s="1631"/>
      <c r="AK114" s="1632"/>
      <c r="AL114" s="1719"/>
      <c r="AM114" s="1632"/>
      <c r="AN114" s="721"/>
      <c r="AO114" s="758"/>
      <c r="AP114" s="758"/>
      <c r="AQ114" s="758"/>
      <c r="AR114" s="758"/>
      <c r="AS114" s="758"/>
      <c r="AT114" s="1761"/>
      <c r="AU114" s="1761"/>
      <c r="AV114" s="1761"/>
      <c r="AW114" s="1761"/>
      <c r="AX114" s="1761"/>
      <c r="AY114" s="1761"/>
      <c r="AZ114" s="1761"/>
      <c r="BA114" s="1761"/>
      <c r="BB114" s="1761"/>
      <c r="BC114" s="1761"/>
      <c r="BD114" s="1761"/>
      <c r="BE114" s="1761"/>
      <c r="BF114" s="1761"/>
      <c r="BG114" s="1761"/>
      <c r="BH114" s="1761"/>
      <c r="BI114" s="1761"/>
      <c r="BJ114" s="1761"/>
      <c r="BK114" s="1761"/>
      <c r="BL114" s="1761"/>
      <c r="BM114" s="1761"/>
      <c r="BN114" s="1761"/>
      <c r="BO114" s="1761"/>
      <c r="BP114" s="1761"/>
      <c r="BQ114" s="1761"/>
      <c r="BR114" s="1761"/>
      <c r="BS114" s="721"/>
      <c r="BT114" s="1626"/>
      <c r="BU114" s="1626"/>
      <c r="BV114" s="1626"/>
      <c r="BW114" s="1626"/>
      <c r="BX114" s="1626"/>
      <c r="BY114" s="1626"/>
      <c r="BZ114" s="1229"/>
      <c r="CA114" s="721">
        <f t="shared" si="2"/>
        <v>0</v>
      </c>
      <c r="CB114" s="721"/>
    </row>
    <row r="115" spans="1:80" s="1739" customFormat="1" x14ac:dyDescent="0.2">
      <c r="A115" s="840">
        <v>52</v>
      </c>
      <c r="B115" s="1746">
        <v>52</v>
      </c>
      <c r="C115" s="1740"/>
      <c r="D115" s="1248" t="str">
        <f>IF(C113="","",IF((C115=""),"Enter Facility "&amp;TEXT(A115,0)&amp;" Name, then Fill in Columns "&amp;TEXT($H$2,0)&amp;" - "&amp;TEXT($AL$2,0)&amp;"       ",""))</f>
        <v/>
      </c>
      <c r="E115" s="1245" t="str">
        <f ca="1">IF(AS115="N/A","",IF(AS115="N","No","Yes"))</f>
        <v/>
      </c>
      <c r="F115" s="758"/>
      <c r="G115" s="758"/>
      <c r="H115" s="1707"/>
      <c r="I115" s="758"/>
      <c r="J115" s="1653"/>
      <c r="K115" s="1248" t="str">
        <f ca="1">IF($E115&lt;&gt;"","Enter Street Address      ","")</f>
        <v/>
      </c>
      <c r="L115" s="1740"/>
      <c r="M115" s="1248" t="str">
        <f ca="1">IF($E115&lt;&gt;"","Enter City Name       ","")</f>
        <v/>
      </c>
      <c r="N115" s="1740"/>
      <c r="O115" s="1248" t="str">
        <f ca="1">IF($E115&lt;&gt;"","Select from Pull-Down List   ","")</f>
        <v/>
      </c>
      <c r="P115" s="1741"/>
      <c r="Q115" s="1248" t="str">
        <f ca="1">IF($E115&lt;&gt;"","Enter ZIP Code       ","")</f>
        <v/>
      </c>
      <c r="R115" s="1742"/>
      <c r="S115" s="1248" t="str">
        <f ca="1">IF(OR(N115&lt;&gt;"",P115&lt;&gt;"",J115&lt;&gt;"",L115&lt;&gt;""),"",IF($E115&lt;&gt;"","Enter Lat.      ",""))</f>
        <v/>
      </c>
      <c r="T115" s="1742"/>
      <c r="U115" s="1248" t="str">
        <f ca="1">IF(OR(N115&lt;&gt;"",P115&lt;&gt;"",J115&lt;&gt;"",L115&lt;&gt;""),"",IF($E115&lt;&gt;"","Enter Long.    ",""))</f>
        <v/>
      </c>
      <c r="V115" s="1653"/>
      <c r="W115" s="1618" t="str">
        <f ca="1">IF($E115&lt;&gt;"","Select from Pull-Down List  ","")</f>
        <v/>
      </c>
      <c r="X115" s="1653"/>
      <c r="Y115" s="1618" t="str">
        <f ca="1">IF($E115&lt;&gt;"","Select from Pull-Down List  ","")</f>
        <v/>
      </c>
      <c r="Z115" s="1743"/>
      <c r="AA115" s="1248" t="str">
        <f ca="1">IF(E115&lt;&gt;"","Year?   ","")</f>
        <v/>
      </c>
      <c r="AB115" s="1943"/>
      <c r="AC115" s="1620" t="str">
        <f ca="1">IF(E115="","",IF(X115="","Sq. Ft. or Spaces?   ",IF(OR(X115=Codes!$L$26,X115=Codes!$L$27,X115=Codes!$L$28),"Sq. Ft. or Spaces?   ",IF(OR(X115=Codes!$L$20,X115=Codes!$L$21,X115=Codes!$L$22,X115=Codes!$L$23,X115=Codes!$L$24,X115=Codes!$L$25),"Sq. Ft?     ",""))))</f>
        <v/>
      </c>
      <c r="AD115" s="1740"/>
      <c r="AE115" s="1618" t="str">
        <f ca="1">IF($E115&lt;&gt;"","Select from List     ","")</f>
        <v/>
      </c>
      <c r="AF115" s="1621"/>
      <c r="AG115" s="1618" t="str">
        <f ca="1">IF($E115&lt;&gt;"","% of Cap Resp.","")</f>
        <v/>
      </c>
      <c r="AH115" s="1801" t="str">
        <f ca="1">IF(BW115="", "", IF(BW115&gt;100, 1, VLOOKUP(BW115, Valid!$W$1:$AA$101, VLOOKUP(X115, Codes!$L$20:$N$28, 3, FALSE), FALSE)))</f>
        <v/>
      </c>
      <c r="AI115" s="1620" t="str">
        <f ca="1">IF($E115&lt;&gt;"","Estimated?  ","")</f>
        <v/>
      </c>
      <c r="AJ115" s="1654"/>
      <c r="AK115" s="1620" t="str">
        <f ca="1">IF($E115&lt;&gt;"","Estimated $?    ","")</f>
        <v/>
      </c>
      <c r="AL115" s="1730"/>
      <c r="AM115" s="1620" t="b">
        <f ca="1">IF(E115&lt;&gt;"","Est Date?    ")</f>
        <v>0</v>
      </c>
      <c r="AN115" s="1740"/>
      <c r="AO115" s="1248" t="str">
        <f>IF(X115="Other (describe in Notes)","Describe Facility.                                                                                                                        ","")</f>
        <v/>
      </c>
      <c r="AP115" s="1624"/>
      <c r="AQ115" s="1624" t="b">
        <f>IF(AND(C115="",C117&lt;&gt;""),TRUE,FALSE)</f>
        <v>0</v>
      </c>
      <c r="AR115" s="1624" t="str">
        <f>IF(AND(J115&lt;&gt;"",L115&lt;&gt;"",N115&lt;&gt;"",P115&lt;&gt;"",R115="",T115=""),"Y",IF(AND(J115="",L115="",N115="",P115="",R115&lt;&gt;"",T115&lt;&gt;""),"Y",IF(AND(J115&lt;&gt;"",L115&lt;&gt;"",N115&lt;&gt;"",P115&lt;&gt;"",R115&lt;&gt;"",T115&lt;&gt;""),"Y",IF(AND(J115="",L115="",N115="",P115="",R115="",T115=""),"N/A","N"))))</f>
        <v>N/A</v>
      </c>
      <c r="AS115" s="1624" t="str">
        <f ca="1">IF(AND($C115&lt;&gt;"",OR(AR115="N",$V115="",$X115="",$Z115="",$AB115="",$AF115="",$AH115="",$AL115="",AD115="")),"N",IF(AND($C115="",OR(H115&lt;&gt;"",AR115="N",$V115&lt;&gt;"",$X115&lt;&gt;"",$Z115&lt;&gt;"",$AB115&lt;&gt;"",$AF115&lt;&gt;"",$AH115&lt;&gt;"",$AL115&lt;&gt;"",AD115&lt;&gt;"")),"N",IF(AND(H115="",$C115="",AR115="N/A",$V115="",$X115="",$Z115="",$AB115="",$AF115="",$AH115="",$AL115="",AD115=""),"N/A",IF(AND($C115&lt;&gt;"",AR115="Y",$V115&lt;&gt;"",$X115&lt;&gt;"",$Z115&lt;&gt;"",$AB115&lt;&gt;"",$AF115&lt;&gt;"",$AH115&lt;&gt;"",$AL115&lt;&gt;"",AD115&lt;&gt;""),"Y","N"))))</f>
        <v>N/A</v>
      </c>
      <c r="AT115" s="1761" t="b">
        <f ca="1">IF(AND($C115="",OR($J115&lt;&gt;"",$L115&lt;&gt;"",$N115&lt;&gt;"",$P115&lt;&gt;"",$V115&lt;&gt;"",$X115&lt;&gt;"",$Z115&lt;&gt;"",$AB115&lt;&gt;"",$AF115&lt;&gt;"",$AH115&lt;&gt;"",$AL115&lt;&gt;"")),TRUE,FALSE)</f>
        <v>0</v>
      </c>
      <c r="AU115" s="1761" t="b">
        <f>IF(OR(R115&lt;&gt;"",T115&lt;&gt;""),"false",IF(AND($C115&lt;&gt;"",$J115=""),TRUE,FALSE))</f>
        <v>0</v>
      </c>
      <c r="AV115" s="1761" t="b">
        <f>IF(OR(R115&lt;&gt;"",T115&lt;&gt;""),FALSE,IF(AND($C115&lt;&gt;"",$L115=""),TRUE,FALSE))</f>
        <v>0</v>
      </c>
      <c r="AW115" s="1761" t="b">
        <f>IF(OR(R115&lt;&gt;"",T115&lt;&gt;""),FALSE,IF(AND($C115&lt;&gt;"",$N115=""),TRUE,FALSE))</f>
        <v>0</v>
      </c>
      <c r="AX115" s="1761" t="b">
        <f>IF(OR(R115&lt;&gt;"",T115&lt;&gt;""),FALSE,IF(AND($C115&lt;&gt;"",$P115=""),TRUE,FALSE))</f>
        <v>0</v>
      </c>
      <c r="AY115" s="1761"/>
      <c r="AZ115" s="1761" t="b">
        <f>IF(OR(J115&lt;&gt;"",L115&lt;&gt;"",N115&lt;&gt;"",P115&lt;&gt;""),FALSE,IF(AND(C115&lt;&gt;"",R115=""),TRUE,FALSE))</f>
        <v>0</v>
      </c>
      <c r="BA115" s="1761"/>
      <c r="BB115" s="1761" t="b">
        <f>IF(OR(J115&lt;&gt;"",L115&lt;&gt;"",N115&lt;&gt;"",P115&lt;&gt;""),FALSE,IF(AND(C115&lt;&gt;"",T115=""),TRUE,FALSE))</f>
        <v>0</v>
      </c>
      <c r="BC115" s="1761" t="b">
        <f>IF(AND($C115&lt;&gt;"",$V115=""),TRUE,FALSE)</f>
        <v>0</v>
      </c>
      <c r="BD115" s="1761" t="b">
        <f ca="1">IF(AND(X115="",OR(Z115&lt;&gt;"",AB115&lt;&gt;"",AF115&lt;&gt;"",AH115&lt;&gt;"",AL115&lt;&gt;"",AD115&lt;&gt;"")),TRUE,FALSE)</f>
        <v>0</v>
      </c>
      <c r="BE115" s="1761" t="b">
        <f>IF(AND($C115&lt;&gt;"",$X115=""),TRUE,FALSE)</f>
        <v>0</v>
      </c>
      <c r="BF115" s="1761" t="b">
        <f>IF(Z115="",FALSE,IF(X115="",FALSE,IF(BG115=TRUE,FALSE,IF(OR(Z115&lt;BU115,Z115&gt;BaseYear),TRUE,FALSE))))</f>
        <v>0</v>
      </c>
      <c r="BG115" s="1761" t="b">
        <f>IF(AND($C115&lt;&gt;"",$Z115=""),TRUE,FALSE)</f>
        <v>0</v>
      </c>
      <c r="BH115" s="1761" t="b">
        <f>IF(AD115="",FALSE,IF(X115="",FALSE,IF(BJ115=TRUE,FALSE,IF(AB115&lt;BX115,TRUE,FALSE))))</f>
        <v>0</v>
      </c>
      <c r="BI115" s="1761" t="b">
        <f>IF(AD115="",FALSE,IF(X115="",FALSE,IF(BJ115=TRUE,FALSE,IF(AB115&gt;BY115,TRUE,FALSE))))</f>
        <v>0</v>
      </c>
      <c r="BJ115" s="1761" t="b">
        <f>IF(AND($C115&lt;&gt;"",$AB115=""),TRUE,FALSE)</f>
        <v>0</v>
      </c>
      <c r="BK115" s="1761" t="b">
        <f>IF(BL115=TRUE,FALSE,IF(OR(AF115&lt;0,AF115&gt;1),TRUE,FALSE))</f>
        <v>0</v>
      </c>
      <c r="BL115" s="1761" t="b">
        <f>IF(AND($C115&lt;&gt;"",$AF115=""),TRUE,FALSE)</f>
        <v>0</v>
      </c>
      <c r="BM115" s="1761"/>
      <c r="BN115" s="1761" t="b">
        <f ca="1">IF(AND($C115&lt;&gt;"",$AH115=""),TRUE,FALSE)</f>
        <v>0</v>
      </c>
      <c r="BO115" s="1761" t="b">
        <f>IF(AL115="",FALSE,IF(X115="",FALSE,IF(BP115=TRUE,FALSE,IF(OR(AL115&lt;1913,AL115&gt;BaseYear),TRUE,FALSE))))</f>
        <v>0</v>
      </c>
      <c r="BP115" s="1761" t="b">
        <f>IF(AND($C115&lt;&gt;"",$AL115=""),TRUE,FALSE)</f>
        <v>0</v>
      </c>
      <c r="BQ115" s="1761" t="b">
        <f>IF(AD115="Square Foot",FALSE,IF(AND(AD115="Parking Space",OR('A-20 PassFacInv'!X115=Valid!$B$7,'A-20 PassFacInv'!X115=Valid!$B$8,'A-20 PassFacInv'!X115=Valid!$B$9,'A-20 PassFacInv'!X115=Valid!$B$10,'A-20 PassFacInv'!X115=Valid!$B$12,'A-20 PassFacInv'!X115=Valid!$B$13,'A-20 PassFacInv'!X115=Valid!$B$14,'A-20 PassFacInv'!X115=Valid!$B$15,'A-20 PassFacInv'!X115=Valid!$B$16,'A-20 PassFacInv'!X115=Valid!$B$17,'A-20 PassFacInv'!X115=Valid!$B$18,X115=Valid!$B$19,X115=Valid!$B$20,X115=Valid!$B$21)),TRUE,FALSE))</f>
        <v>0</v>
      </c>
      <c r="BR115" s="1761" t="b">
        <f>IF(AND($C115&lt;&gt;"",$AD115=""),TRUE,FALSE)</f>
        <v>0</v>
      </c>
      <c r="BS115" s="721"/>
      <c r="BT115" s="1625" t="str">
        <f>IF($X115="","",VLOOKUP($X115,val_facilities,BT$3,FALSE))</f>
        <v/>
      </c>
      <c r="BU115" s="1627" t="str">
        <f>IF($X115="","",VLOOKUP($X115,val_facilities,BU$3,FALSE))</f>
        <v/>
      </c>
      <c r="BV115" s="1627" t="str">
        <f>IF($X115="","",VLOOKUP($X115,val_facilities,BV$3,FALSE))</f>
        <v/>
      </c>
      <c r="BW115" s="1627" t="str">
        <f ca="1">IFERROR(IF(Z115="", "", YEAR(TODAY())-Z115), "")</f>
        <v/>
      </c>
      <c r="BX115" s="845" t="str">
        <f>IF($X115="","",IF(AD115="Square Feet",VLOOKUP('A-20 PassFacInv'!X64,Valid!$B$7:$H$24,7,FALSE),IF(AD115="Parking Spaces",VLOOKUP(X115,Valid!$B$22:$L$24,11,FALSE))))</f>
        <v/>
      </c>
      <c r="BY115" s="845" t="str">
        <f>IF($X115="","",IF(AD115="Square Feet",VLOOKUP(X115,Valid!$B$7:$I$24,8,FALSE),IF('A-20 PassFacInv'!AD64="Parking Spaces",VLOOKUP('A-20 PassFacInv'!X64,Valid!$B$22:$M$24,12,FALSE))))</f>
        <v/>
      </c>
      <c r="BZ115" s="758"/>
      <c r="CA115" s="721">
        <f t="shared" si="2"/>
        <v>0</v>
      </c>
      <c r="CB115" s="816"/>
    </row>
    <row r="116" spans="1:80" s="1739" customFormat="1" ht="6.75" customHeight="1" thickBot="1" x14ac:dyDescent="0.25">
      <c r="A116" s="1638"/>
      <c r="B116" s="1746">
        <v>52.5</v>
      </c>
      <c r="C116" s="721"/>
      <c r="D116" s="1248"/>
      <c r="E116" s="816"/>
      <c r="F116" s="758"/>
      <c r="G116" s="758"/>
      <c r="H116" s="758"/>
      <c r="I116" s="758"/>
      <c r="J116" s="1633"/>
      <c r="K116" s="1248"/>
      <c r="L116" s="1634"/>
      <c r="M116" s="1248"/>
      <c r="N116" s="1634"/>
      <c r="O116" s="1248"/>
      <c r="P116" s="1657"/>
      <c r="Q116" s="1248"/>
      <c r="R116" s="1656"/>
      <c r="S116" s="1248"/>
      <c r="T116" s="1656"/>
      <c r="U116" s="1248"/>
      <c r="V116" s="1059"/>
      <c r="W116" s="1618"/>
      <c r="X116" s="764"/>
      <c r="Y116" s="1618"/>
      <c r="Z116" s="1623"/>
      <c r="AA116" s="1618"/>
      <c r="AB116" s="1944"/>
      <c r="AC116" s="723"/>
      <c r="AD116" s="1658"/>
      <c r="AE116" s="724"/>
      <c r="AF116" s="724"/>
      <c r="AG116" s="723"/>
      <c r="AH116" s="722"/>
      <c r="AI116" s="723"/>
      <c r="AJ116" s="722"/>
      <c r="AK116" s="723"/>
      <c r="AL116" s="1717"/>
      <c r="AM116" s="723"/>
      <c r="AN116" s="1637"/>
      <c r="AO116" s="1624"/>
      <c r="AP116" s="1624"/>
      <c r="AQ116" s="1624"/>
      <c r="AR116" s="1624"/>
      <c r="AS116" s="1624"/>
      <c r="AT116" s="1761"/>
      <c r="AU116" s="1761"/>
      <c r="AV116" s="1761"/>
      <c r="AW116" s="1761"/>
      <c r="AX116" s="1761"/>
      <c r="AY116" s="1761"/>
      <c r="AZ116" s="1761"/>
      <c r="BA116" s="1761"/>
      <c r="BB116" s="1761"/>
      <c r="BC116" s="1761"/>
      <c r="BD116" s="1761"/>
      <c r="BE116" s="1761"/>
      <c r="BF116" s="1761"/>
      <c r="BG116" s="1761"/>
      <c r="BH116" s="1761"/>
      <c r="BI116" s="1761"/>
      <c r="BJ116" s="1761"/>
      <c r="BK116" s="1761"/>
      <c r="BL116" s="1761"/>
      <c r="BM116" s="1761"/>
      <c r="BN116" s="1761"/>
      <c r="BO116" s="1761"/>
      <c r="BP116" s="1761"/>
      <c r="BQ116" s="1761"/>
      <c r="BR116" s="1761"/>
      <c r="BS116" s="721"/>
      <c r="BT116" s="1626"/>
      <c r="BU116" s="1626"/>
      <c r="BV116" s="1626"/>
      <c r="BW116" s="1626"/>
      <c r="BX116" s="1626"/>
      <c r="BY116" s="1626"/>
      <c r="BZ116" s="1229"/>
      <c r="CA116" s="721">
        <f t="shared" si="2"/>
        <v>0</v>
      </c>
      <c r="CB116" s="816"/>
    </row>
    <row r="117" spans="1:80" s="1739" customFormat="1" x14ac:dyDescent="0.2">
      <c r="A117" s="840">
        <v>53</v>
      </c>
      <c r="B117" s="1746">
        <v>53</v>
      </c>
      <c r="C117" s="1740"/>
      <c r="D117" s="1248" t="str">
        <f>IF(C115="","",IF((C117=""),"Enter Facility "&amp;TEXT(A117,0)&amp;" Name, then Fill in Columns "&amp;TEXT($H$2,0)&amp;" - "&amp;TEXT($AL$2,0)&amp;"       ",""))</f>
        <v/>
      </c>
      <c r="E117" s="1245" t="str">
        <f ca="1">IF(AS117="N/A","",IF(AS117="N","No","Yes"))</f>
        <v/>
      </c>
      <c r="F117" s="758"/>
      <c r="G117" s="758"/>
      <c r="H117" s="1707"/>
      <c r="I117" s="758"/>
      <c r="J117" s="1653"/>
      <c r="K117" s="1248" t="str">
        <f ca="1">IF($E117&lt;&gt;"","Enter Street Address      ","")</f>
        <v/>
      </c>
      <c r="L117" s="1740"/>
      <c r="M117" s="1248" t="str">
        <f ca="1">IF($E117&lt;&gt;"","Enter City Name       ","")</f>
        <v/>
      </c>
      <c r="N117" s="1740"/>
      <c r="O117" s="1248" t="str">
        <f ca="1">IF($E117&lt;&gt;"","Select from Pull-Down List   ","")</f>
        <v/>
      </c>
      <c r="P117" s="1741"/>
      <c r="Q117" s="1248" t="str">
        <f ca="1">IF($E117&lt;&gt;"","Enter ZIP Code       ","")</f>
        <v/>
      </c>
      <c r="R117" s="1742"/>
      <c r="S117" s="1248" t="str">
        <f ca="1">IF(OR(N117&lt;&gt;"",P117&lt;&gt;"",J117&lt;&gt;"",L117&lt;&gt;""),"",IF($E117&lt;&gt;"","Enter Lat.      ",""))</f>
        <v/>
      </c>
      <c r="T117" s="1742"/>
      <c r="U117" s="1248" t="str">
        <f ca="1">IF(OR(N117&lt;&gt;"",P117&lt;&gt;"",J117&lt;&gt;"",L117&lt;&gt;""),"",IF($E117&lt;&gt;"","Enter Long.    ",""))</f>
        <v/>
      </c>
      <c r="V117" s="1653"/>
      <c r="W117" s="1618" t="str">
        <f ca="1">IF($E117&lt;&gt;"","Select from Pull-Down List  ","")</f>
        <v/>
      </c>
      <c r="X117" s="1653"/>
      <c r="Y117" s="1618" t="str">
        <f ca="1">IF($E117&lt;&gt;"","Select from Pull-Down List  ","")</f>
        <v/>
      </c>
      <c r="Z117" s="1743"/>
      <c r="AA117" s="1248" t="str">
        <f ca="1">IF(E117&lt;&gt;"","Year?   ","")</f>
        <v/>
      </c>
      <c r="AB117" s="1943"/>
      <c r="AC117" s="1620" t="str">
        <f ca="1">IF(E117="","",IF(X117="","Sq. Ft. or Spaces?   ",IF(OR(X117=Codes!$L$26,X117=Codes!$L$27,X117=Codes!$L$28),"Sq. Ft. or Spaces?   ",IF(OR(X117=Codes!$L$20,X117=Codes!$L$21,X117=Codes!$L$22,X117=Codes!$L$23,X117=Codes!$L$24,X117=Codes!$L$25),"Sq. Ft?     ",""))))</f>
        <v/>
      </c>
      <c r="AD117" s="1740"/>
      <c r="AE117" s="1618" t="str">
        <f ca="1">IF($E117&lt;&gt;"","Select from List     ","")</f>
        <v/>
      </c>
      <c r="AF117" s="1621"/>
      <c r="AG117" s="1618" t="str">
        <f ca="1">IF($E117&lt;&gt;"","% of Cap Resp.","")</f>
        <v/>
      </c>
      <c r="AH117" s="1801" t="str">
        <f ca="1">IF(BW117="", "", IF(BW117&gt;100, 1, VLOOKUP(BW117, Valid!$W$1:$AA$101, VLOOKUP(X117, Codes!$L$20:$N$28, 3, FALSE), FALSE)))</f>
        <v/>
      </c>
      <c r="AI117" s="1620" t="str">
        <f ca="1">IF($E117&lt;&gt;"","Estimated?  ","")</f>
        <v/>
      </c>
      <c r="AJ117" s="1654"/>
      <c r="AK117" s="1620" t="str">
        <f ca="1">IF($E117&lt;&gt;"","Estimated $?    ","")</f>
        <v/>
      </c>
      <c r="AL117" s="1730"/>
      <c r="AM117" s="1620" t="b">
        <f ca="1">IF(E117&lt;&gt;"","Est Date?    ")</f>
        <v>0</v>
      </c>
      <c r="AN117" s="1740"/>
      <c r="AO117" s="1248" t="str">
        <f>IF(X117="Other (describe in Notes)","Describe Facility.                                                                                                                        ","")</f>
        <v/>
      </c>
      <c r="AP117" s="1624"/>
      <c r="AQ117" s="1624" t="b">
        <f>IF(AND(C117="",C119&lt;&gt;""),TRUE,FALSE)</f>
        <v>0</v>
      </c>
      <c r="AR117" s="1624" t="str">
        <f>IF(AND(J117&lt;&gt;"",L117&lt;&gt;"",N117&lt;&gt;"",P117&lt;&gt;"",R117="",T117=""),"Y",IF(AND(J117="",L117="",N117="",P117="",R117&lt;&gt;"",T117&lt;&gt;""),"Y",IF(AND(J117&lt;&gt;"",L117&lt;&gt;"",N117&lt;&gt;"",P117&lt;&gt;"",R117&lt;&gt;"",T117&lt;&gt;""),"Y",IF(AND(J117="",L117="",N117="",P117="",R117="",T117=""),"N/A","N"))))</f>
        <v>N/A</v>
      </c>
      <c r="AS117" s="1624" t="str">
        <f ca="1">IF(AND($C117&lt;&gt;"",OR(AR117="N",$V117="",$X117="",$Z117="",$AB117="",$AF117="",$AH117="",$AL117="",AD117="")),"N",IF(AND($C117="",OR(H117&lt;&gt;"",AR117="N",$V117&lt;&gt;"",$X117&lt;&gt;"",$Z117&lt;&gt;"",$AB117&lt;&gt;"",$AF117&lt;&gt;"",$AH117&lt;&gt;"",$AL117&lt;&gt;"",AD117&lt;&gt;"")),"N",IF(AND(H117="",$C117="",AR117="N/A",$V117="",$X117="",$Z117="",$AB117="",$AF117="",$AH117="",$AL117="",AD117=""),"N/A",IF(AND($C117&lt;&gt;"",AR117="Y",$V117&lt;&gt;"",$X117&lt;&gt;"",$Z117&lt;&gt;"",$AB117&lt;&gt;"",$AF117&lt;&gt;"",$AH117&lt;&gt;"",$AL117&lt;&gt;"",AD117&lt;&gt;""),"Y","N"))))</f>
        <v>N/A</v>
      </c>
      <c r="AT117" s="1761" t="b">
        <f ca="1">IF(AND($C117="",OR($J117&lt;&gt;"",$L117&lt;&gt;"",$N117&lt;&gt;"",$P117&lt;&gt;"",$V117&lt;&gt;"",$X117&lt;&gt;"",$Z117&lt;&gt;"",$AB117&lt;&gt;"",$AF117&lt;&gt;"",$AH117&lt;&gt;"",$AL117&lt;&gt;"")),TRUE,FALSE)</f>
        <v>0</v>
      </c>
      <c r="AU117" s="1761" t="b">
        <f>IF(OR(R117&lt;&gt;"",T117&lt;&gt;""),"false",IF(AND($C117&lt;&gt;"",$J117=""),TRUE,FALSE))</f>
        <v>0</v>
      </c>
      <c r="AV117" s="1761" t="b">
        <f>IF(OR(R117&lt;&gt;"",T117&lt;&gt;""),FALSE,IF(AND($C117&lt;&gt;"",$L117=""),TRUE,FALSE))</f>
        <v>0</v>
      </c>
      <c r="AW117" s="1761" t="b">
        <f>IF(OR(R117&lt;&gt;"",T117&lt;&gt;""),FALSE,IF(AND($C117&lt;&gt;"",$N117=""),TRUE,FALSE))</f>
        <v>0</v>
      </c>
      <c r="AX117" s="1761" t="b">
        <f>IF(OR(R117&lt;&gt;"",T117&lt;&gt;""),FALSE,IF(AND($C117&lt;&gt;"",$P117=""),TRUE,FALSE))</f>
        <v>0</v>
      </c>
      <c r="AY117" s="1761"/>
      <c r="AZ117" s="1761" t="b">
        <f>IF(OR(J117&lt;&gt;"",L117&lt;&gt;"",N117&lt;&gt;"",P117&lt;&gt;""),FALSE,IF(AND(C117&lt;&gt;"",R117=""),TRUE,FALSE))</f>
        <v>0</v>
      </c>
      <c r="BA117" s="1761"/>
      <c r="BB117" s="1761" t="b">
        <f>IF(OR(J117&lt;&gt;"",L117&lt;&gt;"",N117&lt;&gt;"",P117&lt;&gt;""),FALSE,IF(AND(C117&lt;&gt;"",T117=""),TRUE,FALSE))</f>
        <v>0</v>
      </c>
      <c r="BC117" s="1761" t="b">
        <f>IF(AND($C117&lt;&gt;"",$V117=""),TRUE,FALSE)</f>
        <v>0</v>
      </c>
      <c r="BD117" s="1761" t="b">
        <f ca="1">IF(AND(X117="",OR(Z117&lt;&gt;"",AB117&lt;&gt;"",AF117&lt;&gt;"",AH117&lt;&gt;"",AL117&lt;&gt;"",AD117&lt;&gt;"")),TRUE,FALSE)</f>
        <v>0</v>
      </c>
      <c r="BE117" s="1761" t="b">
        <f>IF(AND($C117&lt;&gt;"",$X117=""),TRUE,FALSE)</f>
        <v>0</v>
      </c>
      <c r="BF117" s="1761" t="b">
        <f>IF(Z117="",FALSE,IF(X117="",FALSE,IF(BG117=TRUE,FALSE,IF(OR(Z117&lt;BU117,Z117&gt;BaseYear),TRUE,FALSE))))</f>
        <v>0</v>
      </c>
      <c r="BG117" s="1761" t="b">
        <f>IF(AND($C117&lt;&gt;"",$Z117=""),TRUE,FALSE)</f>
        <v>0</v>
      </c>
      <c r="BH117" s="1761" t="b">
        <f>IF(AD117="",FALSE,IF(X117="",FALSE,IF(BJ117=TRUE,FALSE,IF(AB117&lt;BX117,TRUE,FALSE))))</f>
        <v>0</v>
      </c>
      <c r="BI117" s="1761" t="b">
        <f>IF(AD117="",FALSE,IF(X117="",FALSE,IF(BJ117=TRUE,FALSE,IF(AB117&gt;BY117,TRUE,FALSE))))</f>
        <v>0</v>
      </c>
      <c r="BJ117" s="1761" t="b">
        <f>IF(AND($C117&lt;&gt;"",$AB117=""),TRUE,FALSE)</f>
        <v>0</v>
      </c>
      <c r="BK117" s="1761" t="b">
        <f>IF(BL117=TRUE,FALSE,IF(OR(AF117&lt;0,AF117&gt;1),TRUE,FALSE))</f>
        <v>0</v>
      </c>
      <c r="BL117" s="1761" t="b">
        <f>IF(AND($C117&lt;&gt;"",$AF117=""),TRUE,FALSE)</f>
        <v>0</v>
      </c>
      <c r="BM117" s="1761"/>
      <c r="BN117" s="1761" t="b">
        <f ca="1">IF(AND($C117&lt;&gt;"",$AH117=""),TRUE,FALSE)</f>
        <v>0</v>
      </c>
      <c r="BO117" s="1761" t="b">
        <f>IF(AL117="",FALSE,IF(X117="",FALSE,IF(BP117=TRUE,FALSE,IF(OR(AL117&lt;1913,AL117&gt;BaseYear),TRUE,FALSE))))</f>
        <v>0</v>
      </c>
      <c r="BP117" s="1761" t="b">
        <f>IF(AND($C117&lt;&gt;"",$AL117=""),TRUE,FALSE)</f>
        <v>0</v>
      </c>
      <c r="BQ117" s="1761" t="b">
        <f>IF(AD117="Square Foot",FALSE,IF(AND(AD117="Parking Space",OR('A-20 PassFacInv'!X117=Valid!$B$7,'A-20 PassFacInv'!X117=Valid!$B$8,'A-20 PassFacInv'!X117=Valid!$B$9,'A-20 PassFacInv'!X117=Valid!$B$10,'A-20 PassFacInv'!X117=Valid!$B$12,'A-20 PassFacInv'!X117=Valid!$B$13,'A-20 PassFacInv'!X117=Valid!$B$14,'A-20 PassFacInv'!X117=Valid!$B$15,'A-20 PassFacInv'!X117=Valid!$B$16,'A-20 PassFacInv'!X117=Valid!$B$17,'A-20 PassFacInv'!X117=Valid!$B$18,X117=Valid!$B$19,X117=Valid!$B$20,X117=Valid!$B$21)),TRUE,FALSE))</f>
        <v>0</v>
      </c>
      <c r="BR117" s="1761" t="b">
        <f>IF(AND($C117&lt;&gt;"",$AD117=""),TRUE,FALSE)</f>
        <v>0</v>
      </c>
      <c r="BS117" s="721"/>
      <c r="BT117" s="1625" t="str">
        <f>IF($X117="","",VLOOKUP($X117,val_facilities,BT$3,FALSE))</f>
        <v/>
      </c>
      <c r="BU117" s="1627" t="str">
        <f>IF($X117="","",VLOOKUP($X117,val_facilities,BU$3,FALSE))</f>
        <v/>
      </c>
      <c r="BV117" s="1627" t="str">
        <f>IF($X117="","",VLOOKUP($X117,val_facilities,BV$3,FALSE))</f>
        <v/>
      </c>
      <c r="BW117" s="1627" t="str">
        <f ca="1">IFERROR(IF(Z117="", "", YEAR(TODAY())-Z117), "")</f>
        <v/>
      </c>
      <c r="BX117" s="845" t="str">
        <f>IF($X117="","",IF(AD117="Square Feet",VLOOKUP('A-20 PassFacInv'!X65,Valid!$B$7:$H$24,7,FALSE),IF(AD117="Parking Spaces",VLOOKUP(X117,Valid!$B$22:$L$24,11,FALSE))))</f>
        <v/>
      </c>
      <c r="BY117" s="845" t="str">
        <f>IF($X117="","",IF(AD117="Square Feet",VLOOKUP(X117,Valid!$B$7:$I$24,8,FALSE),IF('A-20 PassFacInv'!AD65="Parking Spaces",VLOOKUP('A-20 PassFacInv'!X65,Valid!$B$22:$M$24,12,FALSE))))</f>
        <v/>
      </c>
      <c r="BZ117" s="758"/>
      <c r="CA117" s="721">
        <f t="shared" si="2"/>
        <v>0</v>
      </c>
      <c r="CB117" s="816"/>
    </row>
    <row r="118" spans="1:80" s="1739" customFormat="1" ht="6.75" customHeight="1" thickBot="1" x14ac:dyDescent="0.25">
      <c r="A118" s="1638"/>
      <c r="B118" s="1746">
        <v>53.5</v>
      </c>
      <c r="C118" s="1057"/>
      <c r="D118" s="1248"/>
      <c r="E118" s="1057"/>
      <c r="F118" s="1229"/>
      <c r="G118" s="1229"/>
      <c r="H118" s="1229"/>
      <c r="I118" s="1229"/>
      <c r="J118" s="1604"/>
      <c r="K118" s="1640"/>
      <c r="L118" s="1641"/>
      <c r="M118" s="1248"/>
      <c r="N118" s="1641"/>
      <c r="O118" s="1248"/>
      <c r="P118" s="1659"/>
      <c r="Q118" s="1248"/>
      <c r="R118" s="1660"/>
      <c r="S118" s="1640"/>
      <c r="T118" s="1660"/>
      <c r="U118" s="1640"/>
      <c r="V118" s="1057"/>
      <c r="W118" s="1618"/>
      <c r="X118" s="1747"/>
      <c r="Y118" s="1618"/>
      <c r="Z118" s="1623"/>
      <c r="AA118" s="1618"/>
      <c r="AB118" s="1944"/>
      <c r="AC118" s="1275"/>
      <c r="AD118" s="1661"/>
      <c r="AE118" s="734"/>
      <c r="AF118" s="1736"/>
      <c r="AG118" s="1275"/>
      <c r="AH118" s="733"/>
      <c r="AI118" s="1275"/>
      <c r="AJ118" s="733"/>
      <c r="AK118" s="1275"/>
      <c r="AL118" s="1721"/>
      <c r="AM118" s="1275"/>
      <c r="AN118" s="1057"/>
      <c r="AO118" s="1644"/>
      <c r="AP118" s="1644"/>
      <c r="AQ118" s="1644"/>
      <c r="AR118" s="1644"/>
      <c r="AS118" s="1644"/>
      <c r="AT118" s="1761"/>
      <c r="AU118" s="1761"/>
      <c r="AV118" s="1761"/>
      <c r="AW118" s="1761"/>
      <c r="AX118" s="1761"/>
      <c r="AY118" s="1761"/>
      <c r="AZ118" s="1761"/>
      <c r="BA118" s="1761"/>
      <c r="BB118" s="1761"/>
      <c r="BC118" s="1762"/>
      <c r="BD118" s="1762"/>
      <c r="BE118" s="1762"/>
      <c r="BF118" s="1762"/>
      <c r="BG118" s="1762"/>
      <c r="BH118" s="1762"/>
      <c r="BI118" s="1762"/>
      <c r="BJ118" s="1762"/>
      <c r="BK118" s="1762"/>
      <c r="BL118" s="1762"/>
      <c r="BM118" s="1762"/>
      <c r="BN118" s="1762"/>
      <c r="BO118" s="1762"/>
      <c r="BP118" s="1762"/>
      <c r="BQ118" s="1762"/>
      <c r="BR118" s="1762"/>
      <c r="BS118" s="1736"/>
      <c r="BT118" s="1738"/>
      <c r="BU118" s="1738"/>
      <c r="BV118" s="1738"/>
      <c r="BW118" s="1738"/>
      <c r="BX118" s="1738"/>
      <c r="BY118" s="1738"/>
      <c r="BZ118" s="1229"/>
      <c r="CA118" s="721">
        <f t="shared" si="2"/>
        <v>0</v>
      </c>
      <c r="CB118" s="1748"/>
    </row>
    <row r="119" spans="1:80" s="1739" customFormat="1" x14ac:dyDescent="0.2">
      <c r="A119" s="840">
        <v>54</v>
      </c>
      <c r="B119" s="1731">
        <v>54</v>
      </c>
      <c r="C119" s="1740"/>
      <c r="D119" s="1248" t="str">
        <f>IF(C117="","",IF((C119=""),"Enter Facility "&amp;TEXT(A119,0)&amp;" Name, then Fill in Columns "&amp;TEXT($H$2,0)&amp;" - "&amp;TEXT($AL$2,0)&amp;"       ",""))</f>
        <v/>
      </c>
      <c r="E119" s="1245" t="str">
        <f ca="1">IF(AS119="N/A","",IF(AS119="N","No","Yes"))</f>
        <v/>
      </c>
      <c r="F119" s="758"/>
      <c r="G119" s="758"/>
      <c r="H119" s="1707"/>
      <c r="I119" s="758"/>
      <c r="J119" s="1653"/>
      <c r="K119" s="1248" t="str">
        <f ca="1">IF($E119&lt;&gt;"","Enter Street Address      ","")</f>
        <v/>
      </c>
      <c r="L119" s="1740"/>
      <c r="M119" s="1248" t="str">
        <f ca="1">IF($E119&lt;&gt;"","Enter City Name       ","")</f>
        <v/>
      </c>
      <c r="N119" s="1740"/>
      <c r="O119" s="1248" t="str">
        <f ca="1">IF($E119&lt;&gt;"","Select from Pull-Down List   ","")</f>
        <v/>
      </c>
      <c r="P119" s="1741"/>
      <c r="Q119" s="1248" t="str">
        <f ca="1">IF($E119&lt;&gt;"","Enter ZIP Code       ","")</f>
        <v/>
      </c>
      <c r="R119" s="1742"/>
      <c r="S119" s="1248" t="str">
        <f ca="1">IF(OR(N119&lt;&gt;"",P119&lt;&gt;"",J119&lt;&gt;"",L119&lt;&gt;""),"",IF($E119&lt;&gt;"","Enter Lat.      ",""))</f>
        <v/>
      </c>
      <c r="T119" s="1742"/>
      <c r="U119" s="1248" t="str">
        <f ca="1">IF(OR(N119&lt;&gt;"",P119&lt;&gt;"",J119&lt;&gt;"",L119&lt;&gt;""),"",IF($E119&lt;&gt;"","Enter Long.    ",""))</f>
        <v/>
      </c>
      <c r="V119" s="1653"/>
      <c r="W119" s="1618" t="str">
        <f ca="1">IF($E119&lt;&gt;"","Select from Pull-Down List  ","")</f>
        <v/>
      </c>
      <c r="X119" s="1653"/>
      <c r="Y119" s="1618" t="str">
        <f ca="1">IF($E119&lt;&gt;"","Select from Pull-Down List  ","")</f>
        <v/>
      </c>
      <c r="Z119" s="1743"/>
      <c r="AA119" s="1248" t="str">
        <f ca="1">IF(E119&lt;&gt;"","Year?   ","")</f>
        <v/>
      </c>
      <c r="AB119" s="1943"/>
      <c r="AC119" s="1620" t="str">
        <f ca="1">IF(E119="","",IF(X119="","Sq. Ft. or Spaces?   ",IF(OR(X119=Codes!$L$26,X119=Codes!$L$27,X119=Codes!$L$28),"Sq. Ft. or Spaces?   ",IF(OR(X119=Codes!$L$20,X119=Codes!$L$21,X119=Codes!$L$22,X119=Codes!$L$23,X119=Codes!$L$24,X119=Codes!$L$25),"Sq. Ft?     ",""))))</f>
        <v/>
      </c>
      <c r="AD119" s="1740"/>
      <c r="AE119" s="1618" t="str">
        <f ca="1">IF($E119&lt;&gt;"","Select from List     ","")</f>
        <v/>
      </c>
      <c r="AF119" s="1621"/>
      <c r="AG119" s="1618" t="str">
        <f ca="1">IF($E119&lt;&gt;"","% of Cap Resp.","")</f>
        <v/>
      </c>
      <c r="AH119" s="1801" t="str">
        <f ca="1">IF(BW119="", "", IF(BW119&gt;100, 1, VLOOKUP(BW119, Valid!$W$1:$AA$101, VLOOKUP(X119, Codes!$L$20:$N$28, 3, FALSE), FALSE)))</f>
        <v/>
      </c>
      <c r="AI119" s="1620" t="str">
        <f ca="1">IF($E119&lt;&gt;"","Estimated?  ","")</f>
        <v/>
      </c>
      <c r="AJ119" s="1654"/>
      <c r="AK119" s="1620" t="str">
        <f ca="1">IF($E119&lt;&gt;"","Estimated $?    ","")</f>
        <v/>
      </c>
      <c r="AL119" s="1730"/>
      <c r="AM119" s="1620" t="b">
        <f ca="1">IF(E119&lt;&gt;"","Est Date?    ")</f>
        <v>0</v>
      </c>
      <c r="AN119" s="1740"/>
      <c r="AO119" s="1248" t="str">
        <f>IF(X119="Other (describe in Notes)","Describe Facility.                                                                                                                        ","")</f>
        <v/>
      </c>
      <c r="AP119" s="1624"/>
      <c r="AQ119" s="1624" t="b">
        <f>IF(AND(C119="",C121&lt;&gt;""),TRUE,FALSE)</f>
        <v>0</v>
      </c>
      <c r="AR119" s="1624" t="str">
        <f>IF(AND(J119&lt;&gt;"",L119&lt;&gt;"",N119&lt;&gt;"",P119&lt;&gt;"",R119="",T119=""),"Y",IF(AND(J119="",L119="",N119="",P119="",R119&lt;&gt;"",T119&lt;&gt;""),"Y",IF(AND(J119&lt;&gt;"",L119&lt;&gt;"",N119&lt;&gt;"",P119&lt;&gt;"",R119&lt;&gt;"",T119&lt;&gt;""),"Y",IF(AND(J119="",L119="",N119="",P119="",R119="",T119=""),"N/A","N"))))</f>
        <v>N/A</v>
      </c>
      <c r="AS119" s="1624" t="str">
        <f ca="1">IF(AND($C119&lt;&gt;"",OR(AR119="N",$V119="",$X119="",$Z119="",$AB119="",$AF119="",$AH119="",$AL119="",AD119="")),"N",IF(AND($C119="",OR(H119&lt;&gt;"",AR119="N",$V119&lt;&gt;"",$X119&lt;&gt;"",$Z119&lt;&gt;"",$AB119&lt;&gt;"",$AF119&lt;&gt;"",$AH119&lt;&gt;"",$AL119&lt;&gt;"",AD119&lt;&gt;"")),"N",IF(AND(H119="",$C119="",AR119="N/A",$V119="",$X119="",$Z119="",$AB119="",$AF119="",$AH119="",$AL119="",AD119=""),"N/A",IF(AND($C119&lt;&gt;"",AR119="Y",$V119&lt;&gt;"",$X119&lt;&gt;"",$Z119&lt;&gt;"",$AB119&lt;&gt;"",$AF119&lt;&gt;"",$AH119&lt;&gt;"",$AL119&lt;&gt;"",AD119&lt;&gt;""),"Y","N"))))</f>
        <v>N/A</v>
      </c>
      <c r="AT119" s="1761" t="b">
        <f ca="1">IF(AND($C119="",OR($J119&lt;&gt;"",$L119&lt;&gt;"",$N119&lt;&gt;"",$P119&lt;&gt;"",$V119&lt;&gt;"",$X119&lt;&gt;"",$Z119&lt;&gt;"",$AB119&lt;&gt;"",$AF119&lt;&gt;"",$AH119&lt;&gt;"",$AL119&lt;&gt;"")),TRUE,FALSE)</f>
        <v>0</v>
      </c>
      <c r="AU119" s="1761" t="b">
        <f>IF(OR(R119&lt;&gt;"",T119&lt;&gt;""),"false",IF(AND($C119&lt;&gt;"",$J119=""),TRUE,FALSE))</f>
        <v>0</v>
      </c>
      <c r="AV119" s="1761" t="b">
        <f>IF(OR(R119&lt;&gt;"",T119&lt;&gt;""),FALSE,IF(AND($C119&lt;&gt;"",$L119=""),TRUE,FALSE))</f>
        <v>0</v>
      </c>
      <c r="AW119" s="1761" t="b">
        <f>IF(OR(R119&lt;&gt;"",T119&lt;&gt;""),FALSE,IF(AND($C119&lt;&gt;"",$N119=""),TRUE,FALSE))</f>
        <v>0</v>
      </c>
      <c r="AX119" s="1761" t="b">
        <f>IF(OR(R119&lt;&gt;"",T119&lt;&gt;""),FALSE,IF(AND($C119&lt;&gt;"",$P119=""),TRUE,FALSE))</f>
        <v>0</v>
      </c>
      <c r="AY119" s="1761"/>
      <c r="AZ119" s="1761" t="b">
        <f>IF(OR(J119&lt;&gt;"",L119&lt;&gt;"",N119&lt;&gt;"",P119&lt;&gt;""),FALSE,IF(AND(C119&lt;&gt;"",R119=""),TRUE,FALSE))</f>
        <v>0</v>
      </c>
      <c r="BA119" s="1761"/>
      <c r="BB119" s="1761" t="b">
        <f>IF(OR(J119&lt;&gt;"",L119&lt;&gt;"",N119&lt;&gt;"",P119&lt;&gt;""),FALSE,IF(AND(C119&lt;&gt;"",T119=""),TRUE,FALSE))</f>
        <v>0</v>
      </c>
      <c r="BC119" s="1761" t="b">
        <f>IF(AND($C119&lt;&gt;"",$V119=""),TRUE,FALSE)</f>
        <v>0</v>
      </c>
      <c r="BD119" s="1761" t="b">
        <f ca="1">IF(AND(X119="",OR(Z119&lt;&gt;"",AB119&lt;&gt;"",AF119&lt;&gt;"",AH119&lt;&gt;"",AL119&lt;&gt;"",AD119&lt;&gt;"")),TRUE,FALSE)</f>
        <v>0</v>
      </c>
      <c r="BE119" s="1761" t="b">
        <f>IF(AND($C119&lt;&gt;"",$X119=""),TRUE,FALSE)</f>
        <v>0</v>
      </c>
      <c r="BF119" s="1761" t="b">
        <f>IF(Z119="",FALSE,IF(X119="",FALSE,IF(BG119=TRUE,FALSE,IF(OR(Z119&lt;BU119,Z119&gt;BaseYear),TRUE,FALSE))))</f>
        <v>0</v>
      </c>
      <c r="BG119" s="1761" t="b">
        <f>IF(AND($C119&lt;&gt;"",$Z119=""),TRUE,FALSE)</f>
        <v>0</v>
      </c>
      <c r="BH119" s="1761" t="b">
        <f>IF(AD119="",FALSE,IF(X119="",FALSE,IF(BJ119=TRUE,FALSE,IF(AB119&lt;BX119,TRUE,FALSE))))</f>
        <v>0</v>
      </c>
      <c r="BI119" s="1761" t="b">
        <f>IF(AD119="",FALSE,IF(X119="",FALSE,IF(BJ119=TRUE,FALSE,IF(AB119&gt;BY119,TRUE,FALSE))))</f>
        <v>0</v>
      </c>
      <c r="BJ119" s="1761" t="b">
        <f>IF(AND($C119&lt;&gt;"",$AB119=""),TRUE,FALSE)</f>
        <v>0</v>
      </c>
      <c r="BK119" s="1761" t="b">
        <f>IF(BL119=TRUE,FALSE,IF(OR(AF119&lt;0,AF119&gt;1),TRUE,FALSE))</f>
        <v>0</v>
      </c>
      <c r="BL119" s="1761" t="b">
        <f>IF(AND($C119&lt;&gt;"",$AF119=""),TRUE,FALSE)</f>
        <v>0</v>
      </c>
      <c r="BM119" s="1761"/>
      <c r="BN119" s="1761" t="b">
        <f ca="1">IF(AND($C119&lt;&gt;"",$AH119=""),TRUE,FALSE)</f>
        <v>0</v>
      </c>
      <c r="BO119" s="1761" t="b">
        <f>IF(AL119="",FALSE,IF(X119="",FALSE,IF(BP119=TRUE,FALSE,IF(OR(AL119&lt;1913,AL119&gt;BaseYear),TRUE,FALSE))))</f>
        <v>0</v>
      </c>
      <c r="BP119" s="1761" t="b">
        <f>IF(AND($C119&lt;&gt;"",$AL119=""),TRUE,FALSE)</f>
        <v>0</v>
      </c>
      <c r="BQ119" s="1761" t="b">
        <f>IF(AD119="Square Foot",FALSE,IF(AND(AD119="Parking Space",OR('A-20 PassFacInv'!X119=Valid!$B$7,'A-20 PassFacInv'!X119=Valid!$B$8,'A-20 PassFacInv'!X119=Valid!$B$9,'A-20 PassFacInv'!X119=Valid!$B$10,'A-20 PassFacInv'!X119=Valid!$B$12,'A-20 PassFacInv'!X119=Valid!$B$13,'A-20 PassFacInv'!X119=Valid!$B$14,'A-20 PassFacInv'!X119=Valid!$B$15,'A-20 PassFacInv'!X119=Valid!$B$16,'A-20 PassFacInv'!X119=Valid!$B$17,'A-20 PassFacInv'!X119=Valid!$B$18,X119=Valid!$B$19,X119=Valid!$B$20,X119=Valid!$B$21)),TRUE,FALSE))</f>
        <v>0</v>
      </c>
      <c r="BR119" s="1761" t="b">
        <f>IF(AND($C119&lt;&gt;"",$AD119=""),TRUE,FALSE)</f>
        <v>0</v>
      </c>
      <c r="BS119" s="721"/>
      <c r="BT119" s="1625" t="str">
        <f>IF($X119="","",VLOOKUP($X119,val_facilities,BT$3,FALSE))</f>
        <v/>
      </c>
      <c r="BU119" s="1627" t="str">
        <f>IF($X119="","",VLOOKUP($X119,val_facilities,BU$3,FALSE))</f>
        <v/>
      </c>
      <c r="BV119" s="1627" t="str">
        <f>IF($X119="","",VLOOKUP($X119,val_facilities,BV$3,FALSE))</f>
        <v/>
      </c>
      <c r="BW119" s="1627" t="str">
        <f ca="1">IFERROR(IF(Z119="", "", YEAR(TODAY())-Z119), "")</f>
        <v/>
      </c>
      <c r="BX119" s="845" t="str">
        <f>IF($X119="","",IF(AD119="Square Feet",VLOOKUP('A-20 PassFacInv'!X66,Valid!$B$7:$H$24,7,FALSE),IF(AD119="Parking Spaces",VLOOKUP(X119,Valid!$B$22:$L$24,11,FALSE))))</f>
        <v/>
      </c>
      <c r="BY119" s="845" t="str">
        <f>IF($X119="","",IF(AD119="Square Feet",VLOOKUP(X119,Valid!$B$7:$I$24,8,FALSE),IF('A-20 PassFacInv'!AD66="Parking Spaces",VLOOKUP('A-20 PassFacInv'!X66,Valid!$B$22:$M$24,12,FALSE))))</f>
        <v/>
      </c>
      <c r="BZ119" s="758"/>
      <c r="CA119" s="721">
        <f t="shared" si="2"/>
        <v>0</v>
      </c>
      <c r="CB119" s="816"/>
    </row>
    <row r="120" spans="1:80" s="1739" customFormat="1" ht="6.75" customHeight="1" thickBot="1" x14ac:dyDescent="0.25">
      <c r="A120" s="1638"/>
      <c r="B120" s="1746">
        <v>54.5</v>
      </c>
      <c r="C120" s="1057"/>
      <c r="D120" s="764"/>
      <c r="E120" s="1639"/>
      <c r="F120" s="1229"/>
      <c r="G120" s="1229"/>
      <c r="H120" s="1229"/>
      <c r="I120" s="1229"/>
      <c r="J120" s="1604"/>
      <c r="K120" s="1640"/>
      <c r="L120" s="1645"/>
      <c r="M120" s="1646"/>
      <c r="N120" s="1645"/>
      <c r="O120" s="1646"/>
      <c r="P120" s="1662"/>
      <c r="Q120" s="1646"/>
      <c r="R120" s="1660"/>
      <c r="S120" s="1640"/>
      <c r="T120" s="1660"/>
      <c r="U120" s="1640"/>
      <c r="V120" s="1057"/>
      <c r="W120" s="1618"/>
      <c r="X120" s="1747"/>
      <c r="Y120" s="1618"/>
      <c r="Z120" s="1623"/>
      <c r="AA120" s="1618"/>
      <c r="AB120" s="1944"/>
      <c r="AC120" s="1648"/>
      <c r="AD120" s="1661"/>
      <c r="AE120" s="841"/>
      <c r="AF120" s="841"/>
      <c r="AG120" s="1648"/>
      <c r="AH120" s="722"/>
      <c r="AI120" s="1648"/>
      <c r="AJ120" s="722"/>
      <c r="AK120" s="1648"/>
      <c r="AL120" s="1717"/>
      <c r="AM120" s="1648"/>
      <c r="AN120" s="1057"/>
      <c r="AO120" s="1644"/>
      <c r="AP120" s="1644"/>
      <c r="AQ120" s="1644"/>
      <c r="AR120" s="1644"/>
      <c r="AS120" s="1644"/>
      <c r="AT120" s="1761"/>
      <c r="AU120" s="1761"/>
      <c r="AV120" s="1761"/>
      <c r="AW120" s="1761"/>
      <c r="AX120" s="1761"/>
      <c r="AY120" s="1761"/>
      <c r="AZ120" s="1761"/>
      <c r="BA120" s="1761"/>
      <c r="BB120" s="1761"/>
      <c r="BC120" s="1762"/>
      <c r="BD120" s="1762"/>
      <c r="BE120" s="1762"/>
      <c r="BF120" s="1762"/>
      <c r="BG120" s="1762"/>
      <c r="BH120" s="1762"/>
      <c r="BI120" s="1762"/>
      <c r="BJ120" s="1762"/>
      <c r="BK120" s="1762"/>
      <c r="BL120" s="1762"/>
      <c r="BM120" s="1762"/>
      <c r="BN120" s="1762"/>
      <c r="BO120" s="1762"/>
      <c r="BP120" s="1762"/>
      <c r="BQ120" s="1762"/>
      <c r="BR120" s="1762"/>
      <c r="BS120" s="1736"/>
      <c r="BT120" s="1738"/>
      <c r="BU120" s="1738"/>
      <c r="BV120" s="1738"/>
      <c r="BW120" s="1738"/>
      <c r="BX120" s="1738"/>
      <c r="BY120" s="1738"/>
      <c r="BZ120" s="1229"/>
      <c r="CA120" s="721">
        <f t="shared" si="2"/>
        <v>0</v>
      </c>
      <c r="CB120" s="1748"/>
    </row>
    <row r="121" spans="1:80" s="1739" customFormat="1" x14ac:dyDescent="0.2">
      <c r="A121" s="840">
        <v>55</v>
      </c>
      <c r="B121" s="1746">
        <v>55</v>
      </c>
      <c r="C121" s="1740"/>
      <c r="D121" s="1248" t="str">
        <f>IF(C119="","",IF((C121=""),"Enter Facility "&amp;TEXT(A121,0)&amp;" Name, then Fill in Columns "&amp;TEXT($H$2,0)&amp;" - "&amp;TEXT($AL$2,0)&amp;"       ",""))</f>
        <v/>
      </c>
      <c r="E121" s="1245" t="str">
        <f ca="1">IF(AS121="N/A","",IF(AS121="N","No","Yes"))</f>
        <v/>
      </c>
      <c r="F121" s="758"/>
      <c r="G121" s="758"/>
      <c r="H121" s="1707"/>
      <c r="I121" s="758"/>
      <c r="J121" s="1653"/>
      <c r="K121" s="1248" t="str">
        <f ca="1">IF($E121&lt;&gt;"","Enter Street Address      ","")</f>
        <v/>
      </c>
      <c r="L121" s="1740"/>
      <c r="M121" s="1248" t="str">
        <f ca="1">IF($E121&lt;&gt;"","Enter City Name       ","")</f>
        <v/>
      </c>
      <c r="N121" s="1740"/>
      <c r="O121" s="1248" t="str">
        <f ca="1">IF($E121&lt;&gt;"","Select from Pull-Down List   ","")</f>
        <v/>
      </c>
      <c r="P121" s="1741"/>
      <c r="Q121" s="1248" t="str">
        <f ca="1">IF($E121&lt;&gt;"","Enter ZIP Code       ","")</f>
        <v/>
      </c>
      <c r="R121" s="1742"/>
      <c r="S121" s="1248" t="str">
        <f ca="1">IF(OR(N121&lt;&gt;"",P121&lt;&gt;"",J121&lt;&gt;"",L121&lt;&gt;""),"",IF($E121&lt;&gt;"","Enter Lat.      ",""))</f>
        <v/>
      </c>
      <c r="T121" s="1742"/>
      <c r="U121" s="1248" t="str">
        <f ca="1">IF(OR(N121&lt;&gt;"",P121&lt;&gt;"",J121&lt;&gt;"",L121&lt;&gt;""),"",IF($E121&lt;&gt;"","Enter Long.    ",""))</f>
        <v/>
      </c>
      <c r="V121" s="1653"/>
      <c r="W121" s="1618" t="str">
        <f ca="1">IF($E121&lt;&gt;"","Select from Pull-Down List  ","")</f>
        <v/>
      </c>
      <c r="X121" s="1653"/>
      <c r="Y121" s="1618" t="str">
        <f ca="1">IF($E121&lt;&gt;"","Select from Pull-Down List  ","")</f>
        <v/>
      </c>
      <c r="Z121" s="1743"/>
      <c r="AA121" s="1248" t="str">
        <f ca="1">IF(E121&lt;&gt;"","Year?   ","")</f>
        <v/>
      </c>
      <c r="AB121" s="1943"/>
      <c r="AC121" s="1620" t="str">
        <f ca="1">IF(E121="","",IF(X121="","Sq. Ft. or Spaces?   ",IF(OR(X121=Codes!$L$26,X121=Codes!$L$27,X121=Codes!$L$28),"Sq. Ft. or Spaces?   ",IF(OR(X121=Codes!$L$20,X121=Codes!$L$21,X121=Codes!$L$22,X121=Codes!$L$23,X121=Codes!$L$24,X121=Codes!$L$25),"Sq. Ft?     ",""))))</f>
        <v/>
      </c>
      <c r="AD121" s="1740"/>
      <c r="AE121" s="1618" t="str">
        <f ca="1">IF($E121&lt;&gt;"","Select from List     ","")</f>
        <v/>
      </c>
      <c r="AF121" s="1621"/>
      <c r="AG121" s="1618" t="str">
        <f ca="1">IF($E121&lt;&gt;"","% of Cap Resp.","")</f>
        <v/>
      </c>
      <c r="AH121" s="1801" t="str">
        <f ca="1">IF(BW121="", "", IF(BW121&gt;100, 1, VLOOKUP(BW121, Valid!$W$1:$AA$101, VLOOKUP(X121, Codes!$L$20:$N$28, 3, FALSE), FALSE)))</f>
        <v/>
      </c>
      <c r="AI121" s="1620" t="str">
        <f ca="1">IF($E121&lt;&gt;"","Estimated?  ","")</f>
        <v/>
      </c>
      <c r="AJ121" s="1654"/>
      <c r="AK121" s="1620" t="str">
        <f ca="1">IF($E121&lt;&gt;"","Estimated $?    ","")</f>
        <v/>
      </c>
      <c r="AL121" s="1730"/>
      <c r="AM121" s="1620" t="b">
        <f ca="1">IF(E121&lt;&gt;"","Est Date?    ")</f>
        <v>0</v>
      </c>
      <c r="AN121" s="1740"/>
      <c r="AO121" s="1248" t="str">
        <f>IF(X121="Other (describe in Notes)","Describe Facility.                                                                                                                        ","")</f>
        <v/>
      </c>
      <c r="AP121" s="1624"/>
      <c r="AQ121" s="1624" t="b">
        <f>IF(AND(C121="",C123&lt;&gt;""),TRUE,FALSE)</f>
        <v>0</v>
      </c>
      <c r="AR121" s="1624" t="str">
        <f>IF(AND(J121&lt;&gt;"",L121&lt;&gt;"",N121&lt;&gt;"",P121&lt;&gt;"",R121="",T121=""),"Y",IF(AND(J121="",L121="",N121="",P121="",R121&lt;&gt;"",T121&lt;&gt;""),"Y",IF(AND(J121&lt;&gt;"",L121&lt;&gt;"",N121&lt;&gt;"",P121&lt;&gt;"",R121&lt;&gt;"",T121&lt;&gt;""),"Y",IF(AND(J121="",L121="",N121="",P121="",R121="",T121=""),"N/A","N"))))</f>
        <v>N/A</v>
      </c>
      <c r="AS121" s="1624" t="str">
        <f ca="1">IF(AND($C121&lt;&gt;"",OR(AR121="N",$V121="",$X121="",$Z121="",$AB121="",$AF121="",$AH121="",$AL121="",AD121="")),"N",IF(AND($C121="",OR(H121&lt;&gt;"",AR121="N",$V121&lt;&gt;"",$X121&lt;&gt;"",$Z121&lt;&gt;"",$AB121&lt;&gt;"",$AF121&lt;&gt;"",$AH121&lt;&gt;"",$AL121&lt;&gt;"",AD121&lt;&gt;"")),"N",IF(AND(H121="",$C121="",AR121="N/A",$V121="",$X121="",$Z121="",$AB121="",$AF121="",$AH121="",$AL121="",AD121=""),"N/A",IF(AND($C121&lt;&gt;"",AR121="Y",$V121&lt;&gt;"",$X121&lt;&gt;"",$Z121&lt;&gt;"",$AB121&lt;&gt;"",$AF121&lt;&gt;"",$AH121&lt;&gt;"",$AL121&lt;&gt;"",AD121&lt;&gt;""),"Y","N"))))</f>
        <v>N/A</v>
      </c>
      <c r="AT121" s="1761" t="b">
        <f ca="1">IF(AND($C121="",OR($J121&lt;&gt;"",$L121&lt;&gt;"",$N121&lt;&gt;"",$P121&lt;&gt;"",$V121&lt;&gt;"",$X121&lt;&gt;"",$Z121&lt;&gt;"",$AB121&lt;&gt;"",$AF121&lt;&gt;"",$AH121&lt;&gt;"",$AL121&lt;&gt;"")),TRUE,FALSE)</f>
        <v>0</v>
      </c>
      <c r="AU121" s="1761" t="b">
        <f>IF(OR(R121&lt;&gt;"",T121&lt;&gt;""),"false",IF(AND($C121&lt;&gt;"",$J121=""),TRUE,FALSE))</f>
        <v>0</v>
      </c>
      <c r="AV121" s="1761" t="b">
        <f>IF(OR(R121&lt;&gt;"",T121&lt;&gt;""),FALSE,IF(AND($C121&lt;&gt;"",$L121=""),TRUE,FALSE))</f>
        <v>0</v>
      </c>
      <c r="AW121" s="1761" t="b">
        <f>IF(OR(R121&lt;&gt;"",T121&lt;&gt;""),FALSE,IF(AND($C121&lt;&gt;"",$N121=""),TRUE,FALSE))</f>
        <v>0</v>
      </c>
      <c r="AX121" s="1761" t="b">
        <f>IF(OR(R121&lt;&gt;"",T121&lt;&gt;""),FALSE,IF(AND($C121&lt;&gt;"",$P121=""),TRUE,FALSE))</f>
        <v>0</v>
      </c>
      <c r="AY121" s="1761"/>
      <c r="AZ121" s="1761" t="b">
        <f>IF(OR(J121&lt;&gt;"",L121&lt;&gt;"",N121&lt;&gt;"",P121&lt;&gt;""),FALSE,IF(AND(C121&lt;&gt;"",R121=""),TRUE,FALSE))</f>
        <v>0</v>
      </c>
      <c r="BA121" s="1761"/>
      <c r="BB121" s="1761" t="b">
        <f>IF(OR(J121&lt;&gt;"",L121&lt;&gt;"",N121&lt;&gt;"",P121&lt;&gt;""),FALSE,IF(AND(C121&lt;&gt;"",T121=""),TRUE,FALSE))</f>
        <v>0</v>
      </c>
      <c r="BC121" s="1761" t="b">
        <f>IF(AND($C121&lt;&gt;"",$V121=""),TRUE,FALSE)</f>
        <v>0</v>
      </c>
      <c r="BD121" s="1761" t="b">
        <f ca="1">IF(AND(X121="",OR(Z121&lt;&gt;"",AB121&lt;&gt;"",AF121&lt;&gt;"",AH121&lt;&gt;"",AL121&lt;&gt;"",AD121&lt;&gt;"")),TRUE,FALSE)</f>
        <v>0</v>
      </c>
      <c r="BE121" s="1761" t="b">
        <f>IF(AND($C121&lt;&gt;"",$X121=""),TRUE,FALSE)</f>
        <v>0</v>
      </c>
      <c r="BF121" s="1761" t="b">
        <f>IF(Z121="",FALSE,IF(X121="",FALSE,IF(BG121=TRUE,FALSE,IF(OR(Z121&lt;BU121,Z121&gt;BaseYear),TRUE,FALSE))))</f>
        <v>0</v>
      </c>
      <c r="BG121" s="1761" t="b">
        <f>IF(AND($C121&lt;&gt;"",$Z121=""),TRUE,FALSE)</f>
        <v>0</v>
      </c>
      <c r="BH121" s="1761" t="b">
        <f>IF(AD121="",FALSE,IF(X121="",FALSE,IF(BJ121=TRUE,FALSE,IF(AB121&lt;BX121,TRUE,FALSE))))</f>
        <v>0</v>
      </c>
      <c r="BI121" s="1761" t="b">
        <f>IF(AD121="",FALSE,IF(X121="",FALSE,IF(BJ121=TRUE,FALSE,IF(AB121&gt;BY121,TRUE,FALSE))))</f>
        <v>0</v>
      </c>
      <c r="BJ121" s="1761" t="b">
        <f>IF(AND($C121&lt;&gt;"",$AB121=""),TRUE,FALSE)</f>
        <v>0</v>
      </c>
      <c r="BK121" s="1761" t="b">
        <f>IF(BL121=TRUE,FALSE,IF(OR(AF121&lt;0,AF121&gt;1),TRUE,FALSE))</f>
        <v>0</v>
      </c>
      <c r="BL121" s="1761" t="b">
        <f>IF(AND($C121&lt;&gt;"",$AF121=""),TRUE,FALSE)</f>
        <v>0</v>
      </c>
      <c r="BM121" s="1761"/>
      <c r="BN121" s="1761" t="b">
        <f ca="1">IF(AND($C121&lt;&gt;"",$AH121=""),TRUE,FALSE)</f>
        <v>0</v>
      </c>
      <c r="BO121" s="1761" t="b">
        <f>IF(AL121="",FALSE,IF(X121="",FALSE,IF(BP121=TRUE,FALSE,IF(OR(AL121&lt;1913,AL121&gt;BaseYear),TRUE,FALSE))))</f>
        <v>0</v>
      </c>
      <c r="BP121" s="1761" t="b">
        <f>IF(AND($C121&lt;&gt;"",$AL121=""),TRUE,FALSE)</f>
        <v>0</v>
      </c>
      <c r="BQ121" s="1761" t="b">
        <f>IF(AD121="Square Foot",FALSE,IF(AND(AD121="Parking Space",OR('A-20 PassFacInv'!X121=Valid!$B$7,'A-20 PassFacInv'!X121=Valid!$B$8,'A-20 PassFacInv'!X121=Valid!$B$9,'A-20 PassFacInv'!X121=Valid!$B$10,'A-20 PassFacInv'!X121=Valid!$B$12,'A-20 PassFacInv'!X121=Valid!$B$13,'A-20 PassFacInv'!X121=Valid!$B$14,'A-20 PassFacInv'!X121=Valid!$B$15,'A-20 PassFacInv'!X121=Valid!$B$16,'A-20 PassFacInv'!X121=Valid!$B$17,'A-20 PassFacInv'!X121=Valid!$B$18,X121=Valid!$B$19,X121=Valid!$B$20,X121=Valid!$B$21)),TRUE,FALSE))</f>
        <v>0</v>
      </c>
      <c r="BR121" s="1761" t="b">
        <f>IF(AND($C121&lt;&gt;"",$AD121=""),TRUE,FALSE)</f>
        <v>0</v>
      </c>
      <c r="BS121" s="721"/>
      <c r="BT121" s="1625" t="str">
        <f>IF($X121="","",VLOOKUP($X121,val_facilities,BT$3,FALSE))</f>
        <v/>
      </c>
      <c r="BU121" s="1627" t="str">
        <f>IF($X121="","",VLOOKUP($X121,val_facilities,BU$3,FALSE))</f>
        <v/>
      </c>
      <c r="BV121" s="1627" t="str">
        <f>IF($X121="","",VLOOKUP($X121,val_facilities,BV$3,FALSE))</f>
        <v/>
      </c>
      <c r="BW121" s="1627" t="str">
        <f ca="1">IFERROR(IF(Z121="", "", YEAR(TODAY())-Z121), "")</f>
        <v/>
      </c>
      <c r="BX121" s="845" t="str">
        <f>IF($X121="","",IF(AD121="Square Feet",VLOOKUP('A-20 PassFacInv'!X67,Valid!$B$7:$H$24,7,FALSE),IF(AD121="Parking Spaces",VLOOKUP(X121,Valid!$B$22:$L$24,11,FALSE))))</f>
        <v/>
      </c>
      <c r="BY121" s="845" t="str">
        <f>IF($X121="","",IF(AD121="Square Feet",VLOOKUP(X121,Valid!$B$7:$I$24,8,FALSE),IF('A-20 PassFacInv'!AD67="Parking Spaces",VLOOKUP('A-20 PassFacInv'!X67,Valid!$B$22:$M$24,12,FALSE))))</f>
        <v/>
      </c>
      <c r="BZ121" s="758"/>
      <c r="CA121" s="721">
        <f t="shared" si="2"/>
        <v>0</v>
      </c>
      <c r="CB121" s="816"/>
    </row>
    <row r="122" spans="1:80" s="1739" customFormat="1" ht="6.75" customHeight="1" thickBot="1" x14ac:dyDescent="0.25">
      <c r="A122" s="1638"/>
      <c r="B122" s="1746">
        <v>55.5</v>
      </c>
      <c r="C122" s="1057"/>
      <c r="D122" s="1248"/>
      <c r="E122" s="1057"/>
      <c r="F122" s="1229"/>
      <c r="G122" s="1229"/>
      <c r="H122" s="1229"/>
      <c r="I122" s="1229"/>
      <c r="J122" s="1604"/>
      <c r="K122" s="1229"/>
      <c r="L122" s="1605"/>
      <c r="M122" s="1644"/>
      <c r="N122" s="1605"/>
      <c r="O122" s="1644"/>
      <c r="P122" s="1733"/>
      <c r="Q122" s="1644"/>
      <c r="R122" s="1663"/>
      <c r="S122" s="1229"/>
      <c r="T122" s="1663"/>
      <c r="U122" s="1229"/>
      <c r="V122" s="1057"/>
      <c r="W122" s="1623"/>
      <c r="X122" s="1747"/>
      <c r="Y122" s="1623"/>
      <c r="Z122" s="1623"/>
      <c r="AA122" s="1623"/>
      <c r="AB122" s="1944"/>
      <c r="AC122" s="841"/>
      <c r="AD122" s="1057"/>
      <c r="AE122" s="841"/>
      <c r="AF122" s="841"/>
      <c r="AG122" s="841"/>
      <c r="AH122" s="722"/>
      <c r="AI122" s="841"/>
      <c r="AJ122" s="722"/>
      <c r="AK122" s="841"/>
      <c r="AL122" s="1717"/>
      <c r="AM122" s="841"/>
      <c r="AN122" s="1057"/>
      <c r="AO122" s="1644"/>
      <c r="AP122" s="1644"/>
      <c r="AQ122" s="1644"/>
      <c r="AR122" s="1644"/>
      <c r="AS122" s="1644"/>
      <c r="AT122" s="1761"/>
      <c r="AU122" s="1761"/>
      <c r="AV122" s="1761"/>
      <c r="AW122" s="1761"/>
      <c r="AX122" s="1761"/>
      <c r="AY122" s="1761"/>
      <c r="AZ122" s="1761"/>
      <c r="BA122" s="1761"/>
      <c r="BB122" s="1761"/>
      <c r="BC122" s="1762"/>
      <c r="BD122" s="1762"/>
      <c r="BE122" s="1762"/>
      <c r="BF122" s="1762"/>
      <c r="BG122" s="1762"/>
      <c r="BH122" s="1762"/>
      <c r="BI122" s="1762"/>
      <c r="BJ122" s="1762"/>
      <c r="BK122" s="1762"/>
      <c r="BL122" s="1762"/>
      <c r="BM122" s="1762"/>
      <c r="BN122" s="1762"/>
      <c r="BO122" s="1762"/>
      <c r="BP122" s="1762"/>
      <c r="BQ122" s="1763"/>
      <c r="BR122" s="1762"/>
      <c r="BS122" s="1736"/>
      <c r="BT122" s="1738"/>
      <c r="BU122" s="1738"/>
      <c r="BV122" s="1738"/>
      <c r="BW122" s="1738"/>
      <c r="BX122" s="1738"/>
      <c r="BY122" s="1738"/>
      <c r="BZ122" s="1229"/>
      <c r="CA122" s="721">
        <f t="shared" si="2"/>
        <v>0</v>
      </c>
      <c r="CB122" s="1748"/>
    </row>
    <row r="123" spans="1:80" s="1739" customFormat="1" x14ac:dyDescent="0.2">
      <c r="A123" s="840">
        <v>56</v>
      </c>
      <c r="B123" s="1746">
        <v>56</v>
      </c>
      <c r="C123" s="1740"/>
      <c r="D123" s="1248" t="str">
        <f>IF(C121="","",IF((C123=""),"Enter Facility "&amp;TEXT(A123,0)&amp;" Name, then Fill in Columns "&amp;TEXT($H$2,0)&amp;" - "&amp;TEXT($AL$2,0)&amp;"       ",""))</f>
        <v/>
      </c>
      <c r="E123" s="1245" t="str">
        <f ca="1">IF(AS123="N/A","",IF(AS123="N","No","Yes"))</f>
        <v/>
      </c>
      <c r="F123" s="758"/>
      <c r="G123" s="758"/>
      <c r="H123" s="1707"/>
      <c r="I123" s="758"/>
      <c r="J123" s="1653"/>
      <c r="K123" s="1248" t="str">
        <f ca="1">IF($E123&lt;&gt;"","Enter Street Address      ","")</f>
        <v/>
      </c>
      <c r="L123" s="1740"/>
      <c r="M123" s="1248" t="str">
        <f ca="1">IF($E123&lt;&gt;"","Enter City Name       ","")</f>
        <v/>
      </c>
      <c r="N123" s="1740"/>
      <c r="O123" s="1248" t="str">
        <f ca="1">IF($E123&lt;&gt;"","Select from Pull-Down List   ","")</f>
        <v/>
      </c>
      <c r="P123" s="1741"/>
      <c r="Q123" s="1248" t="str">
        <f ca="1">IF($E123&lt;&gt;"","Enter ZIP Code       ","")</f>
        <v/>
      </c>
      <c r="R123" s="1742"/>
      <c r="S123" s="1248" t="str">
        <f ca="1">IF(OR(N123&lt;&gt;"",P123&lt;&gt;"",J123&lt;&gt;"",L123&lt;&gt;""),"",IF($E123&lt;&gt;"","Enter Lat.      ",""))</f>
        <v/>
      </c>
      <c r="T123" s="1742"/>
      <c r="U123" s="1248" t="str">
        <f ca="1">IF(OR(N123&lt;&gt;"",P123&lt;&gt;"",J123&lt;&gt;"",L123&lt;&gt;""),"",IF($E123&lt;&gt;"","Enter Long.    ",""))</f>
        <v/>
      </c>
      <c r="V123" s="1653"/>
      <c r="W123" s="1618" t="str">
        <f ca="1">IF($E123&lt;&gt;"","Select from Pull-Down List  ","")</f>
        <v/>
      </c>
      <c r="X123" s="1653"/>
      <c r="Y123" s="1618" t="str">
        <f ca="1">IF($E123&lt;&gt;"","Select from Pull-Down List  ","")</f>
        <v/>
      </c>
      <c r="Z123" s="1743"/>
      <c r="AA123" s="1248" t="str">
        <f ca="1">IF(E123&lt;&gt;"","Year?   ","")</f>
        <v/>
      </c>
      <c r="AB123" s="1943"/>
      <c r="AC123" s="1620" t="str">
        <f ca="1">IF(E123="","",IF(X123="","Sq. Ft. or Spaces?   ",IF(OR(X123=Codes!$L$26,X123=Codes!$L$27,X123=Codes!$L$28),"Sq. Ft. or Spaces?   ",IF(OR(X123=Codes!$L$20,X123=Codes!$L$21,X123=Codes!$L$22,X123=Codes!$L$23,X123=Codes!$L$24,X123=Codes!$L$25),"Sq. Ft?     ",""))))</f>
        <v/>
      </c>
      <c r="AD123" s="1740"/>
      <c r="AE123" s="1618" t="str">
        <f ca="1">IF($E123&lt;&gt;"","Select from List     ","")</f>
        <v/>
      </c>
      <c r="AF123" s="1621"/>
      <c r="AG123" s="1618" t="str">
        <f ca="1">IF($E123&lt;&gt;"","% of Cap Resp.","")</f>
        <v/>
      </c>
      <c r="AH123" s="1801" t="str">
        <f ca="1">IF(BW123="", "", IF(BW123&gt;100, 1, VLOOKUP(BW123, Valid!$W$1:$AA$101, VLOOKUP(X123, Codes!$L$20:$N$28, 3, FALSE), FALSE)))</f>
        <v/>
      </c>
      <c r="AI123" s="1620" t="str">
        <f ca="1">IF($E123&lt;&gt;"","Estimated?  ","")</f>
        <v/>
      </c>
      <c r="AJ123" s="1654"/>
      <c r="AK123" s="1620" t="str">
        <f ca="1">IF($E123&lt;&gt;"","Estimated $?    ","")</f>
        <v/>
      </c>
      <c r="AL123" s="1730"/>
      <c r="AM123" s="1620" t="b">
        <f ca="1">IF(E123&lt;&gt;"","Est Date?    ")</f>
        <v>0</v>
      </c>
      <c r="AN123" s="1740"/>
      <c r="AO123" s="1248" t="str">
        <f>IF(X123="Other (describe in Notes)","Describe Facility.                                                                                                                        ","")</f>
        <v/>
      </c>
      <c r="AP123" s="1624"/>
      <c r="AQ123" s="1624" t="b">
        <f>IF(AND(C123="",C125&lt;&gt;""),TRUE,FALSE)</f>
        <v>0</v>
      </c>
      <c r="AR123" s="1624" t="str">
        <f>IF(AND(J123&lt;&gt;"",L123&lt;&gt;"",N123&lt;&gt;"",P123&lt;&gt;"",R123="",T123=""),"Y",IF(AND(J123="",L123="",N123="",P123="",R123&lt;&gt;"",T123&lt;&gt;""),"Y",IF(AND(J123&lt;&gt;"",L123&lt;&gt;"",N123&lt;&gt;"",P123&lt;&gt;"",R123&lt;&gt;"",T123&lt;&gt;""),"Y",IF(AND(J123="",L123="",N123="",P123="",R123="",T123=""),"N/A","N"))))</f>
        <v>N/A</v>
      </c>
      <c r="AS123" s="1624" t="str">
        <f ca="1">IF(AND($C123&lt;&gt;"",OR(AR123="N",$V123="",$X123="",$Z123="",$AB123="",$AF123="",$AH123="",$AL123="",AD123="")),"N",IF(AND($C123="",OR(H123&lt;&gt;"",AR123="N",$V123&lt;&gt;"",$X123&lt;&gt;"",$Z123&lt;&gt;"",$AB123&lt;&gt;"",$AF123&lt;&gt;"",$AH123&lt;&gt;"",$AL123&lt;&gt;"",AD123&lt;&gt;"")),"N",IF(AND(H123="",$C123="",AR123="N/A",$V123="",$X123="",$Z123="",$AB123="",$AF123="",$AH123="",$AL123="",AD123=""),"N/A",IF(AND($C123&lt;&gt;"",AR123="Y",$V123&lt;&gt;"",$X123&lt;&gt;"",$Z123&lt;&gt;"",$AB123&lt;&gt;"",$AF123&lt;&gt;"",$AH123&lt;&gt;"",$AL123&lt;&gt;"",AD123&lt;&gt;""),"Y","N"))))</f>
        <v>N/A</v>
      </c>
      <c r="AT123" s="1761" t="b">
        <f ca="1">IF(AND($C123="",OR($J123&lt;&gt;"",$L123&lt;&gt;"",$N123&lt;&gt;"",$P123&lt;&gt;"",$V123&lt;&gt;"",$X123&lt;&gt;"",$Z123&lt;&gt;"",$AB123&lt;&gt;"",$AF123&lt;&gt;"",$AH123&lt;&gt;"",$AL123&lt;&gt;"")),TRUE,FALSE)</f>
        <v>0</v>
      </c>
      <c r="AU123" s="1761" t="b">
        <f>IF(OR(R123&lt;&gt;"",T123&lt;&gt;""),"false",IF(AND($C123&lt;&gt;"",$J123=""),TRUE,FALSE))</f>
        <v>0</v>
      </c>
      <c r="AV123" s="1761" t="b">
        <f>IF(OR(R123&lt;&gt;"",T123&lt;&gt;""),FALSE,IF(AND($C123&lt;&gt;"",$L123=""),TRUE,FALSE))</f>
        <v>0</v>
      </c>
      <c r="AW123" s="1761" t="b">
        <f>IF(OR(R123&lt;&gt;"",T123&lt;&gt;""),FALSE,IF(AND($C123&lt;&gt;"",$N123=""),TRUE,FALSE))</f>
        <v>0</v>
      </c>
      <c r="AX123" s="1761" t="b">
        <f>IF(OR(R123&lt;&gt;"",T123&lt;&gt;""),FALSE,IF(AND($C123&lt;&gt;"",$P123=""),TRUE,FALSE))</f>
        <v>0</v>
      </c>
      <c r="AY123" s="1761"/>
      <c r="AZ123" s="1761" t="b">
        <f>IF(OR(J123&lt;&gt;"",L123&lt;&gt;"",N123&lt;&gt;"",P123&lt;&gt;""),FALSE,IF(AND(C123&lt;&gt;"",R123=""),TRUE,FALSE))</f>
        <v>0</v>
      </c>
      <c r="BA123" s="1761"/>
      <c r="BB123" s="1761" t="b">
        <f>IF(OR(J123&lt;&gt;"",L123&lt;&gt;"",N123&lt;&gt;"",P123&lt;&gt;""),FALSE,IF(AND(C123&lt;&gt;"",T123=""),TRUE,FALSE))</f>
        <v>0</v>
      </c>
      <c r="BC123" s="1761" t="b">
        <f>IF(AND($C123&lt;&gt;"",$V123=""),TRUE,FALSE)</f>
        <v>0</v>
      </c>
      <c r="BD123" s="1761" t="b">
        <f ca="1">IF(AND(X123="",OR(Z123&lt;&gt;"",AB123&lt;&gt;"",AF123&lt;&gt;"",AH123&lt;&gt;"",AL123&lt;&gt;"",AD123&lt;&gt;"")),TRUE,FALSE)</f>
        <v>0</v>
      </c>
      <c r="BE123" s="1761" t="b">
        <f>IF(AND($C123&lt;&gt;"",$X123=""),TRUE,FALSE)</f>
        <v>0</v>
      </c>
      <c r="BF123" s="1761" t="b">
        <f>IF(Z123="",FALSE,IF(X123="",FALSE,IF(BG123=TRUE,FALSE,IF(OR(Z123&lt;BU123,Z123&gt;BaseYear),TRUE,FALSE))))</f>
        <v>0</v>
      </c>
      <c r="BG123" s="1761" t="b">
        <f>IF(AND($C123&lt;&gt;"",$Z123=""),TRUE,FALSE)</f>
        <v>0</v>
      </c>
      <c r="BH123" s="1761" t="b">
        <f>IF(AD123="",FALSE,IF(X123="",FALSE,IF(BJ123=TRUE,FALSE,IF(AB123&lt;BX123,TRUE,FALSE))))</f>
        <v>0</v>
      </c>
      <c r="BI123" s="1761" t="b">
        <f>IF(AD123="",FALSE,IF(X123="",FALSE,IF(BJ123=TRUE,FALSE,IF(AB123&gt;BY123,TRUE,FALSE))))</f>
        <v>0</v>
      </c>
      <c r="BJ123" s="1761" t="b">
        <f>IF(AND($C123&lt;&gt;"",$AB123=""),TRUE,FALSE)</f>
        <v>0</v>
      </c>
      <c r="BK123" s="1761" t="b">
        <f>IF(BL123=TRUE,FALSE,IF(OR(AF123&lt;0,AF123&gt;1),TRUE,FALSE))</f>
        <v>0</v>
      </c>
      <c r="BL123" s="1761" t="b">
        <f>IF(AND($C123&lt;&gt;"",$AF123=""),TRUE,FALSE)</f>
        <v>0</v>
      </c>
      <c r="BM123" s="1761"/>
      <c r="BN123" s="1761" t="b">
        <f ca="1">IF(AND($C123&lt;&gt;"",$AH123=""),TRUE,FALSE)</f>
        <v>0</v>
      </c>
      <c r="BO123" s="1761" t="b">
        <f>IF(AL123="",FALSE,IF(X123="",FALSE,IF(BP123=TRUE,FALSE,IF(OR(AL123&lt;1913,AL123&gt;BaseYear),TRUE,FALSE))))</f>
        <v>0</v>
      </c>
      <c r="BP123" s="1761" t="b">
        <f>IF(AND($C123&lt;&gt;"",$AL123=""),TRUE,FALSE)</f>
        <v>0</v>
      </c>
      <c r="BQ123" s="1761" t="b">
        <f>IF(AD123="Square Foot",FALSE,IF(AND(AD123="Parking Space",OR('A-20 PassFacInv'!X123=Valid!$B$7,'A-20 PassFacInv'!X123=Valid!$B$8,'A-20 PassFacInv'!X123=Valid!$B$9,'A-20 PassFacInv'!X123=Valid!$B$10,'A-20 PassFacInv'!X123=Valid!$B$12,'A-20 PassFacInv'!X123=Valid!$B$13,'A-20 PassFacInv'!X123=Valid!$B$14,'A-20 PassFacInv'!X123=Valid!$B$15,'A-20 PassFacInv'!X123=Valid!$B$16,'A-20 PassFacInv'!X123=Valid!$B$17,'A-20 PassFacInv'!X123=Valid!$B$18,X123=Valid!$B$19,X123=Valid!$B$20,X123=Valid!$B$21)),TRUE,FALSE))</f>
        <v>0</v>
      </c>
      <c r="BR123" s="1761" t="b">
        <f>IF(AND($C123&lt;&gt;"",$AD123=""),TRUE,FALSE)</f>
        <v>0</v>
      </c>
      <c r="BS123" s="721"/>
      <c r="BT123" s="1625" t="str">
        <f>IF($X123="","",VLOOKUP($X123,val_facilities,BT$3,FALSE))</f>
        <v/>
      </c>
      <c r="BU123" s="1627" t="str">
        <f>IF($X123="","",VLOOKUP($X123,val_facilities,BU$3,FALSE))</f>
        <v/>
      </c>
      <c r="BV123" s="1627" t="str">
        <f>IF($X123="","",VLOOKUP($X123,val_facilities,BV$3,FALSE))</f>
        <v/>
      </c>
      <c r="BW123" s="1627" t="str">
        <f ca="1">IFERROR(IF(Z123="", "", YEAR(TODAY())-Z123), "")</f>
        <v/>
      </c>
      <c r="BX123" s="845" t="str">
        <f>IF($X123="","",IF(AD123="Square Feet",VLOOKUP('A-20 PassFacInv'!X68,Valid!$B$7:$H$24,7,FALSE),IF(AD123="Parking Spaces",VLOOKUP(X123,Valid!$B$22:$L$24,11,FALSE))))</f>
        <v/>
      </c>
      <c r="BY123" s="845" t="str">
        <f>IF($X123="","",IF(AD123="Square Feet",VLOOKUP(X123,Valid!$B$7:$I$24,8,FALSE),IF('A-20 PassFacInv'!AD68="Parking Spaces",VLOOKUP('A-20 PassFacInv'!X68,Valid!$B$22:$M$24,12,FALSE))))</f>
        <v/>
      </c>
      <c r="BZ123" s="758"/>
      <c r="CA123" s="721">
        <f t="shared" si="2"/>
        <v>0</v>
      </c>
      <c r="CB123" s="816"/>
    </row>
    <row r="124" spans="1:80" s="1739" customFormat="1" ht="6.75" customHeight="1" thickBot="1" x14ac:dyDescent="0.25">
      <c r="A124" s="1638"/>
      <c r="B124" s="1746">
        <v>56.5</v>
      </c>
      <c r="C124" s="1057"/>
      <c r="D124" s="1248"/>
      <c r="E124" s="1639"/>
      <c r="F124" s="1229"/>
      <c r="G124" s="1229"/>
      <c r="H124" s="1229"/>
      <c r="I124" s="1229"/>
      <c r="J124" s="1604"/>
      <c r="K124" s="1640"/>
      <c r="L124" s="1641"/>
      <c r="M124" s="1248"/>
      <c r="N124" s="1641"/>
      <c r="O124" s="1248"/>
      <c r="P124" s="1659"/>
      <c r="Q124" s="1248"/>
      <c r="R124" s="1660"/>
      <c r="S124" s="1640"/>
      <c r="T124" s="1660"/>
      <c r="U124" s="1640"/>
      <c r="V124" s="1057"/>
      <c r="W124" s="1618"/>
      <c r="X124" s="1747"/>
      <c r="Y124" s="1618"/>
      <c r="Z124" s="1623"/>
      <c r="AA124" s="1618"/>
      <c r="AB124" s="1944"/>
      <c r="AC124" s="1275"/>
      <c r="AD124" s="1661"/>
      <c r="AE124" s="734"/>
      <c r="AF124" s="1748"/>
      <c r="AG124" s="1275"/>
      <c r="AH124" s="722"/>
      <c r="AI124" s="1275"/>
      <c r="AJ124" s="733"/>
      <c r="AK124" s="1275"/>
      <c r="AL124" s="1721"/>
      <c r="AM124" s="1275"/>
      <c r="AN124" s="1057"/>
      <c r="AO124" s="1644"/>
      <c r="AP124" s="1644"/>
      <c r="AQ124" s="1644"/>
      <c r="AR124" s="1644"/>
      <c r="AS124" s="1644"/>
      <c r="AT124" s="1761"/>
      <c r="AU124" s="1761"/>
      <c r="AV124" s="1761"/>
      <c r="AW124" s="1761"/>
      <c r="AX124" s="1761"/>
      <c r="AY124" s="1761"/>
      <c r="AZ124" s="1761"/>
      <c r="BA124" s="1761"/>
      <c r="BB124" s="1761"/>
      <c r="BC124" s="1762"/>
      <c r="BD124" s="1762"/>
      <c r="BE124" s="1762"/>
      <c r="BF124" s="1762"/>
      <c r="BG124" s="1762"/>
      <c r="BH124" s="1762"/>
      <c r="BI124" s="1762"/>
      <c r="BJ124" s="1762"/>
      <c r="BK124" s="1762"/>
      <c r="BL124" s="1762"/>
      <c r="BM124" s="1762"/>
      <c r="BN124" s="1762"/>
      <c r="BO124" s="1762"/>
      <c r="BP124" s="1762"/>
      <c r="BQ124" s="1762"/>
      <c r="BR124" s="1762"/>
      <c r="BS124" s="1736"/>
      <c r="BT124" s="1738"/>
      <c r="BU124" s="1738"/>
      <c r="BV124" s="1738"/>
      <c r="BW124" s="1738"/>
      <c r="BX124" s="1738"/>
      <c r="BY124" s="1738"/>
      <c r="BZ124" s="1229"/>
      <c r="CA124" s="721">
        <f t="shared" si="2"/>
        <v>0</v>
      </c>
      <c r="CB124" s="816"/>
    </row>
    <row r="125" spans="1:80" s="1739" customFormat="1" x14ac:dyDescent="0.2">
      <c r="A125" s="840">
        <v>57</v>
      </c>
      <c r="B125" s="1731">
        <v>57</v>
      </c>
      <c r="C125" s="1740"/>
      <c r="D125" s="1248" t="str">
        <f>IF(C123="","",IF((C125=""),"Enter Facility "&amp;TEXT(A125,0)&amp;" Name, then Fill in Columns "&amp;TEXT($H$2,0)&amp;" - "&amp;TEXT($AL$2,0)&amp;"       ",""))</f>
        <v/>
      </c>
      <c r="E125" s="1245" t="str">
        <f ca="1">IF(AS125="N/A","",IF(AS125="N","No","Yes"))</f>
        <v/>
      </c>
      <c r="F125" s="758"/>
      <c r="G125" s="758"/>
      <c r="H125" s="1707"/>
      <c r="I125" s="758"/>
      <c r="J125" s="1653"/>
      <c r="K125" s="1248" t="str">
        <f ca="1">IF($E125&lt;&gt;"","Enter Street Address      ","")</f>
        <v/>
      </c>
      <c r="L125" s="1740"/>
      <c r="M125" s="1248" t="str">
        <f ca="1">IF($E125&lt;&gt;"","Enter City Name       ","")</f>
        <v/>
      </c>
      <c r="N125" s="1740"/>
      <c r="O125" s="1248" t="str">
        <f ca="1">IF($E125&lt;&gt;"","Select from Pull-Down List   ","")</f>
        <v/>
      </c>
      <c r="P125" s="1741"/>
      <c r="Q125" s="1248" t="str">
        <f ca="1">IF($E125&lt;&gt;"","Enter ZIP Code       ","")</f>
        <v/>
      </c>
      <c r="R125" s="1742"/>
      <c r="S125" s="1248" t="str">
        <f ca="1">IF(OR(N125&lt;&gt;"",P125&lt;&gt;"",J125&lt;&gt;"",L125&lt;&gt;""),"",IF($E125&lt;&gt;"","Enter Lat.      ",""))</f>
        <v/>
      </c>
      <c r="T125" s="1742"/>
      <c r="U125" s="1248" t="str">
        <f ca="1">IF(OR(N125&lt;&gt;"",P125&lt;&gt;"",J125&lt;&gt;"",L125&lt;&gt;""),"",IF($E125&lt;&gt;"","Enter Long.    ",""))</f>
        <v/>
      </c>
      <c r="V125" s="1653"/>
      <c r="W125" s="1618" t="str">
        <f ca="1">IF($E125&lt;&gt;"","Select from Pull-Down List  ","")</f>
        <v/>
      </c>
      <c r="X125" s="1653"/>
      <c r="Y125" s="1618" t="str">
        <f ca="1">IF($E125&lt;&gt;"","Select from Pull-Down List  ","")</f>
        <v/>
      </c>
      <c r="Z125" s="1743"/>
      <c r="AA125" s="1248" t="str">
        <f ca="1">IF(E125&lt;&gt;"","Year?   ","")</f>
        <v/>
      </c>
      <c r="AB125" s="1943"/>
      <c r="AC125" s="1620" t="str">
        <f ca="1">IF(E125="","",IF(X125="","Sq. Ft. or Spaces?   ",IF(OR(X125=Codes!$L$26,X125=Codes!$L$27,X125=Codes!$L$28),"Sq. Ft. or Spaces?   ",IF(OR(X125=Codes!$L$20,X125=Codes!$L$21,X125=Codes!$L$22,X125=Codes!$L$23,X125=Codes!$L$24,X125=Codes!$L$25),"Sq. Ft?     ",""))))</f>
        <v/>
      </c>
      <c r="AD125" s="1740"/>
      <c r="AE125" s="1618" t="str">
        <f ca="1">IF($E125&lt;&gt;"","Select from List     ","")</f>
        <v/>
      </c>
      <c r="AF125" s="1621"/>
      <c r="AG125" s="1618" t="str">
        <f ca="1">IF($E125&lt;&gt;"","% of Cap Resp.","")</f>
        <v/>
      </c>
      <c r="AH125" s="1801" t="str">
        <f ca="1">IF(BW125="", "", IF(BW125&gt;100, 1, VLOOKUP(BW125, Valid!$W$1:$AA$101, VLOOKUP(X125, Codes!$L$20:$N$28, 3, FALSE), FALSE)))</f>
        <v/>
      </c>
      <c r="AI125" s="1620" t="str">
        <f ca="1">IF($E125&lt;&gt;"","Estimated?  ","")</f>
        <v/>
      </c>
      <c r="AJ125" s="1654"/>
      <c r="AK125" s="1620" t="str">
        <f ca="1">IF($E125&lt;&gt;"","Estimated $?    ","")</f>
        <v/>
      </c>
      <c r="AL125" s="1730"/>
      <c r="AM125" s="1620" t="b">
        <f ca="1">IF(E125&lt;&gt;"","Est Date?    ")</f>
        <v>0</v>
      </c>
      <c r="AN125" s="1740"/>
      <c r="AO125" s="1248" t="str">
        <f>IF(X125="Other (describe in Notes)","Describe Facility.                                                                                                                        ","")</f>
        <v/>
      </c>
      <c r="AP125" s="1624"/>
      <c r="AQ125" s="1624" t="b">
        <f>IF(AND(C125="",C127&lt;&gt;""),TRUE,FALSE)</f>
        <v>0</v>
      </c>
      <c r="AR125" s="1624" t="str">
        <f>IF(AND(J125&lt;&gt;"",L125&lt;&gt;"",N125&lt;&gt;"",P125&lt;&gt;"",R125="",T125=""),"Y",IF(AND(J125="",L125="",N125="",P125="",R125&lt;&gt;"",T125&lt;&gt;""),"Y",IF(AND(J125&lt;&gt;"",L125&lt;&gt;"",N125&lt;&gt;"",P125&lt;&gt;"",R125&lt;&gt;"",T125&lt;&gt;""),"Y",IF(AND(J125="",L125="",N125="",P125="",R125="",T125=""),"N/A","N"))))</f>
        <v>N/A</v>
      </c>
      <c r="AS125" s="1624" t="str">
        <f ca="1">IF(AND($C125&lt;&gt;"",OR(AR125="N",$V125="",$X125="",$Z125="",$AB125="",$AF125="",$AH125="",$AL125="",AD125="")),"N",IF(AND($C125="",OR(H125&lt;&gt;"",AR125="N",$V125&lt;&gt;"",$X125&lt;&gt;"",$Z125&lt;&gt;"",$AB125&lt;&gt;"",$AF125&lt;&gt;"",$AH125&lt;&gt;"",$AL125&lt;&gt;"",AD125&lt;&gt;"")),"N",IF(AND(H125="",$C125="",AR125="N/A",$V125="",$X125="",$Z125="",$AB125="",$AF125="",$AH125="",$AL125="",AD125=""),"N/A",IF(AND($C125&lt;&gt;"",AR125="Y",$V125&lt;&gt;"",$X125&lt;&gt;"",$Z125&lt;&gt;"",$AB125&lt;&gt;"",$AF125&lt;&gt;"",$AH125&lt;&gt;"",$AL125&lt;&gt;"",AD125&lt;&gt;""),"Y","N"))))</f>
        <v>N/A</v>
      </c>
      <c r="AT125" s="1761" t="b">
        <f ca="1">IF(AND($C125="",OR($J125&lt;&gt;"",$L125&lt;&gt;"",$N125&lt;&gt;"",$P125&lt;&gt;"",$V125&lt;&gt;"",$X125&lt;&gt;"",$Z125&lt;&gt;"",$AB125&lt;&gt;"",$AF125&lt;&gt;"",$AH125&lt;&gt;"",$AL125&lt;&gt;"")),TRUE,FALSE)</f>
        <v>0</v>
      </c>
      <c r="AU125" s="1761" t="b">
        <f>IF(OR(R125&lt;&gt;"",T125&lt;&gt;""),"false",IF(AND($C125&lt;&gt;"",$J125=""),TRUE,FALSE))</f>
        <v>0</v>
      </c>
      <c r="AV125" s="1761" t="b">
        <f>IF(OR(R125&lt;&gt;"",T125&lt;&gt;""),FALSE,IF(AND($C125&lt;&gt;"",$L125=""),TRUE,FALSE))</f>
        <v>0</v>
      </c>
      <c r="AW125" s="1761" t="b">
        <f>IF(OR(R125&lt;&gt;"",T125&lt;&gt;""),FALSE,IF(AND($C125&lt;&gt;"",$N125=""),TRUE,FALSE))</f>
        <v>0</v>
      </c>
      <c r="AX125" s="1761" t="b">
        <f>IF(OR(R125&lt;&gt;"",T125&lt;&gt;""),FALSE,IF(AND($C125&lt;&gt;"",$P125=""),TRUE,FALSE))</f>
        <v>0</v>
      </c>
      <c r="AY125" s="1761"/>
      <c r="AZ125" s="1761" t="b">
        <f>IF(OR(J125&lt;&gt;"",L125&lt;&gt;"",N125&lt;&gt;"",P125&lt;&gt;""),FALSE,IF(AND(C125&lt;&gt;"",R125=""),TRUE,FALSE))</f>
        <v>0</v>
      </c>
      <c r="BA125" s="1761"/>
      <c r="BB125" s="1761" t="b">
        <f>IF(OR(J125&lt;&gt;"",L125&lt;&gt;"",N125&lt;&gt;"",P125&lt;&gt;""),FALSE,IF(AND(C125&lt;&gt;"",T125=""),TRUE,FALSE))</f>
        <v>0</v>
      </c>
      <c r="BC125" s="1761" t="b">
        <f>IF(AND($C125&lt;&gt;"",$V125=""),TRUE,FALSE)</f>
        <v>0</v>
      </c>
      <c r="BD125" s="1761" t="b">
        <f ca="1">IF(AND(X125="",OR(Z125&lt;&gt;"",AB125&lt;&gt;"",AF125&lt;&gt;"",AH125&lt;&gt;"",AL125&lt;&gt;"",AD125&lt;&gt;"")),TRUE,FALSE)</f>
        <v>0</v>
      </c>
      <c r="BE125" s="1761" t="b">
        <f>IF(AND($C125&lt;&gt;"",$X125=""),TRUE,FALSE)</f>
        <v>0</v>
      </c>
      <c r="BF125" s="1761" t="b">
        <f>IF(Z125="",FALSE,IF(X125="",FALSE,IF(BG125=TRUE,FALSE,IF(OR(Z125&lt;BU125,Z125&gt;BaseYear),TRUE,FALSE))))</f>
        <v>0</v>
      </c>
      <c r="BG125" s="1761" t="b">
        <f>IF(AND($C125&lt;&gt;"",$Z125=""),TRUE,FALSE)</f>
        <v>0</v>
      </c>
      <c r="BH125" s="1761" t="b">
        <f>IF(AD125="",FALSE,IF(X125="",FALSE,IF(BJ125=TRUE,FALSE,IF(AB125&lt;BX125,TRUE,FALSE))))</f>
        <v>0</v>
      </c>
      <c r="BI125" s="1761" t="b">
        <f>IF(AD125="",FALSE,IF(X125="",FALSE,IF(BJ125=TRUE,FALSE,IF(AB125&gt;BY125,TRUE,FALSE))))</f>
        <v>0</v>
      </c>
      <c r="BJ125" s="1761" t="b">
        <f>IF(AND($C125&lt;&gt;"",$AB125=""),TRUE,FALSE)</f>
        <v>0</v>
      </c>
      <c r="BK125" s="1761" t="b">
        <f>IF(BL125=TRUE,FALSE,IF(OR(AF125&lt;0,AF125&gt;1),TRUE,FALSE))</f>
        <v>0</v>
      </c>
      <c r="BL125" s="1761" t="b">
        <f>IF(AND($C125&lt;&gt;"",$AF125=""),TRUE,FALSE)</f>
        <v>0</v>
      </c>
      <c r="BM125" s="1761"/>
      <c r="BN125" s="1761" t="b">
        <f ca="1">IF(AND($C125&lt;&gt;"",$AH125=""),TRUE,FALSE)</f>
        <v>0</v>
      </c>
      <c r="BO125" s="1761" t="b">
        <f>IF(AL125="",FALSE,IF(X125="",FALSE,IF(BP125=TRUE,FALSE,IF(OR(AL125&lt;1913,AL125&gt;BaseYear),TRUE,FALSE))))</f>
        <v>0</v>
      </c>
      <c r="BP125" s="1761" t="b">
        <f>IF(AND($C125&lt;&gt;"",$AL125=""),TRUE,FALSE)</f>
        <v>0</v>
      </c>
      <c r="BQ125" s="1761" t="b">
        <f>IF(AD125="Square Foot",FALSE,IF(AND(AD125="Parking Space",OR('A-20 PassFacInv'!X125=Valid!$B$7,'A-20 PassFacInv'!X125=Valid!$B$8,'A-20 PassFacInv'!X125=Valid!$B$9,'A-20 PassFacInv'!X125=Valid!$B$10,'A-20 PassFacInv'!X125=Valid!$B$12,'A-20 PassFacInv'!X125=Valid!$B$13,'A-20 PassFacInv'!X125=Valid!$B$14,'A-20 PassFacInv'!X125=Valid!$B$15,'A-20 PassFacInv'!X125=Valid!$B$16,'A-20 PassFacInv'!X125=Valid!$B$17,'A-20 PassFacInv'!X125=Valid!$B$18,X125=Valid!$B$19,X125=Valid!$B$20,X125=Valid!$B$21)),TRUE,FALSE))</f>
        <v>0</v>
      </c>
      <c r="BR125" s="1761" t="b">
        <f>IF(AND($C125&lt;&gt;"",$AD125=""),TRUE,FALSE)</f>
        <v>0</v>
      </c>
      <c r="BS125" s="721"/>
      <c r="BT125" s="1625" t="str">
        <f>IF($X125="","",VLOOKUP($X125,val_facilities,BT$3,FALSE))</f>
        <v/>
      </c>
      <c r="BU125" s="1627" t="str">
        <f>IF($X125="","",VLOOKUP($X125,val_facilities,BU$3,FALSE))</f>
        <v/>
      </c>
      <c r="BV125" s="1627" t="str">
        <f>IF($X125="","",VLOOKUP($X125,val_facilities,BV$3,FALSE))</f>
        <v/>
      </c>
      <c r="BW125" s="1627" t="str">
        <f ca="1">IFERROR(IF(Z125="", "", YEAR(TODAY())-Z125), "")</f>
        <v/>
      </c>
      <c r="BX125" s="845" t="str">
        <f>IF($X125="","",IF(AD125="Square Feet",VLOOKUP('A-20 PassFacInv'!X69,Valid!$B$7:$H$24,7,FALSE),IF(AD125="Parking Spaces",VLOOKUP(X125,Valid!$B$22:$L$24,11,FALSE))))</f>
        <v/>
      </c>
      <c r="BY125" s="845" t="str">
        <f>IF($X125="","",IF(AD125="Square Feet",VLOOKUP(X125,Valid!$B$7:$I$24,8,FALSE),IF('A-20 PassFacInv'!AD69="Parking Spaces",VLOOKUP('A-20 PassFacInv'!X69,Valid!$B$22:$M$24,12,FALSE))))</f>
        <v/>
      </c>
      <c r="BZ125" s="758"/>
      <c r="CA125" s="721">
        <f t="shared" si="2"/>
        <v>0</v>
      </c>
      <c r="CB125" s="816"/>
    </row>
    <row r="126" spans="1:80" s="1739" customFormat="1" ht="6.75" customHeight="1" thickBot="1" x14ac:dyDescent="0.25">
      <c r="A126" s="1638"/>
      <c r="B126" s="1746">
        <v>57.5</v>
      </c>
      <c r="C126" s="1057"/>
      <c r="D126" s="764"/>
      <c r="E126" s="1057"/>
      <c r="F126" s="1229"/>
      <c r="G126" s="1229"/>
      <c r="H126" s="1229"/>
      <c r="I126" s="1229"/>
      <c r="J126" s="1604"/>
      <c r="K126" s="1640"/>
      <c r="L126" s="1605"/>
      <c r="M126" s="1646"/>
      <c r="N126" s="1605"/>
      <c r="O126" s="1646"/>
      <c r="P126" s="1733"/>
      <c r="Q126" s="1646"/>
      <c r="R126" s="1660"/>
      <c r="S126" s="1640"/>
      <c r="T126" s="1660"/>
      <c r="U126" s="1640"/>
      <c r="V126" s="1057"/>
      <c r="W126" s="1618"/>
      <c r="X126" s="1747"/>
      <c r="Y126" s="1618"/>
      <c r="Z126" s="1623"/>
      <c r="AA126" s="1618"/>
      <c r="AB126" s="1944"/>
      <c r="AC126" s="1648"/>
      <c r="AD126" s="1661"/>
      <c r="AE126" s="841"/>
      <c r="AF126" s="841"/>
      <c r="AG126" s="1648"/>
      <c r="AH126" s="733"/>
      <c r="AI126" s="1648"/>
      <c r="AJ126" s="722"/>
      <c r="AK126" s="1648"/>
      <c r="AL126" s="1717"/>
      <c r="AM126" s="1648"/>
      <c r="AN126" s="1057"/>
      <c r="AO126" s="1644"/>
      <c r="AP126" s="1644"/>
      <c r="AQ126" s="1644"/>
      <c r="AR126" s="1644"/>
      <c r="AS126" s="1644"/>
      <c r="AT126" s="1761"/>
      <c r="AU126" s="1761"/>
      <c r="AV126" s="1761"/>
      <c r="AW126" s="1761"/>
      <c r="AX126" s="1761"/>
      <c r="AY126" s="1761"/>
      <c r="AZ126" s="1761"/>
      <c r="BA126" s="1761"/>
      <c r="BB126" s="1761"/>
      <c r="BC126" s="1762"/>
      <c r="BD126" s="1762"/>
      <c r="BE126" s="1762"/>
      <c r="BF126" s="1762"/>
      <c r="BG126" s="1762"/>
      <c r="BH126" s="1762"/>
      <c r="BI126" s="1762"/>
      <c r="BJ126" s="1762"/>
      <c r="BK126" s="1762"/>
      <c r="BL126" s="1762"/>
      <c r="BM126" s="1762"/>
      <c r="BN126" s="1762"/>
      <c r="BO126" s="1762"/>
      <c r="BP126" s="1762"/>
      <c r="BQ126" s="1762"/>
      <c r="BR126" s="1762"/>
      <c r="BS126" s="1736"/>
      <c r="BT126" s="1738"/>
      <c r="BU126" s="1738"/>
      <c r="BV126" s="1738"/>
      <c r="BW126" s="1738"/>
      <c r="BX126" s="1738"/>
      <c r="BY126" s="1738"/>
      <c r="BZ126" s="1229"/>
      <c r="CA126" s="721">
        <f t="shared" si="2"/>
        <v>0</v>
      </c>
      <c r="CB126" s="1748"/>
    </row>
    <row r="127" spans="1:80" s="1739" customFormat="1" x14ac:dyDescent="0.2">
      <c r="A127" s="840">
        <v>58</v>
      </c>
      <c r="B127" s="1746">
        <v>58</v>
      </c>
      <c r="C127" s="1740"/>
      <c r="D127" s="1248" t="str">
        <f>IF(C125="","",IF((C127=""),"Enter Facility "&amp;TEXT(A127,0)&amp;" Name, then Fill in Columns "&amp;TEXT($H$2,0)&amp;" - "&amp;TEXT($AL$2,0)&amp;"       ",""))</f>
        <v/>
      </c>
      <c r="E127" s="1245" t="str">
        <f ca="1">IF(AS127="N/A","",IF(AS127="N","No","Yes"))</f>
        <v/>
      </c>
      <c r="F127" s="758"/>
      <c r="G127" s="758"/>
      <c r="H127" s="1707"/>
      <c r="I127" s="758"/>
      <c r="J127" s="1653"/>
      <c r="K127" s="1248" t="str">
        <f ca="1">IF($E127&lt;&gt;"","Enter Street Address      ","")</f>
        <v/>
      </c>
      <c r="L127" s="1740"/>
      <c r="M127" s="1248" t="str">
        <f ca="1">IF($E127&lt;&gt;"","Enter City Name       ","")</f>
        <v/>
      </c>
      <c r="N127" s="1740"/>
      <c r="O127" s="1248" t="str">
        <f ca="1">IF($E127&lt;&gt;"","Select from Pull-Down List   ","")</f>
        <v/>
      </c>
      <c r="P127" s="1741"/>
      <c r="Q127" s="1248" t="str">
        <f ca="1">IF($E127&lt;&gt;"","Enter ZIP Code       ","")</f>
        <v/>
      </c>
      <c r="R127" s="1742"/>
      <c r="S127" s="1248" t="str">
        <f ca="1">IF(OR(N127&lt;&gt;"",P127&lt;&gt;"",J127&lt;&gt;"",L127&lt;&gt;""),"",IF($E127&lt;&gt;"","Enter Lat.      ",""))</f>
        <v/>
      </c>
      <c r="T127" s="1742"/>
      <c r="U127" s="1248" t="str">
        <f ca="1">IF(OR(N127&lt;&gt;"",P127&lt;&gt;"",J127&lt;&gt;"",L127&lt;&gt;""),"",IF($E127&lt;&gt;"","Enter Long.    ",""))</f>
        <v/>
      </c>
      <c r="V127" s="1653"/>
      <c r="W127" s="1618" t="str">
        <f ca="1">IF($E127&lt;&gt;"","Select from Pull-Down List  ","")</f>
        <v/>
      </c>
      <c r="X127" s="1653"/>
      <c r="Y127" s="1618" t="str">
        <f ca="1">IF($E127&lt;&gt;"","Select from Pull-Down List  ","")</f>
        <v/>
      </c>
      <c r="Z127" s="1743"/>
      <c r="AA127" s="1248" t="str">
        <f ca="1">IF(E127&lt;&gt;"","Year?   ","")</f>
        <v/>
      </c>
      <c r="AB127" s="1943"/>
      <c r="AC127" s="1620" t="str">
        <f ca="1">IF(E127="","",IF(X127="","Sq. Ft. or Spaces?   ",IF(OR(X127=Codes!$L$26,X127=Codes!$L$27,X127=Codes!$L$28),"Sq. Ft. or Spaces?   ",IF(OR(X127=Codes!$L$20,X127=Codes!$L$21,X127=Codes!$L$22,X127=Codes!$L$23,X127=Codes!$L$24,X127=Codes!$L$25),"Sq. Ft?     ",""))))</f>
        <v/>
      </c>
      <c r="AD127" s="1740"/>
      <c r="AE127" s="1618" t="str">
        <f ca="1">IF($E127&lt;&gt;"","Select from List     ","")</f>
        <v/>
      </c>
      <c r="AF127" s="1621"/>
      <c r="AG127" s="1618" t="str">
        <f ca="1">IF($E127&lt;&gt;"","% of Cap Resp.","")</f>
        <v/>
      </c>
      <c r="AH127" s="1801" t="str">
        <f ca="1">IF(BW127="", "", IF(BW127&gt;100, 1, VLOOKUP(BW127, Valid!$W$1:$AA$101, VLOOKUP(X127, Codes!$L$20:$N$28, 3, FALSE), FALSE)))</f>
        <v/>
      </c>
      <c r="AI127" s="1620" t="str">
        <f ca="1">IF($E127&lt;&gt;"","Estimated?  ","")</f>
        <v/>
      </c>
      <c r="AJ127" s="1654"/>
      <c r="AK127" s="1620" t="str">
        <f ca="1">IF($E127&lt;&gt;"","Estimated $?    ","")</f>
        <v/>
      </c>
      <c r="AL127" s="1730"/>
      <c r="AM127" s="1620" t="b">
        <f ca="1">IF(E127&lt;&gt;"","Est Date?    ")</f>
        <v>0</v>
      </c>
      <c r="AN127" s="1740"/>
      <c r="AO127" s="1248" t="str">
        <f>IF(X127="Other (describe in Notes)","Describe Facility.                                                                                                                        ","")</f>
        <v/>
      </c>
      <c r="AP127" s="1624"/>
      <c r="AQ127" s="1624" t="b">
        <f>IF(AND(C127="",C129&lt;&gt;""),TRUE,FALSE)</f>
        <v>0</v>
      </c>
      <c r="AR127" s="1624" t="str">
        <f>IF(AND(J127&lt;&gt;"",L127&lt;&gt;"",N127&lt;&gt;"",P127&lt;&gt;"",R127="",T127=""),"Y",IF(AND(J127="",L127="",N127="",P127="",R127&lt;&gt;"",T127&lt;&gt;""),"Y",IF(AND(J127&lt;&gt;"",L127&lt;&gt;"",N127&lt;&gt;"",P127&lt;&gt;"",R127&lt;&gt;"",T127&lt;&gt;""),"Y",IF(AND(J127="",L127="",N127="",P127="",R127="",T127=""),"N/A","N"))))</f>
        <v>N/A</v>
      </c>
      <c r="AS127" s="1624" t="str">
        <f ca="1">IF(AND($C127&lt;&gt;"",OR(AR127="N",$V127="",$X127="",$Z127="",$AB127="",$AF127="",$AH127="",$AL127="",AD127="")),"N",IF(AND($C127="",OR(H127&lt;&gt;"",AR127="N",$V127&lt;&gt;"",$X127&lt;&gt;"",$Z127&lt;&gt;"",$AB127&lt;&gt;"",$AF127&lt;&gt;"",$AH127&lt;&gt;"",$AL127&lt;&gt;"",AD127&lt;&gt;"")),"N",IF(AND(H127="",$C127="",AR127="N/A",$V127="",$X127="",$Z127="",$AB127="",$AF127="",$AH127="",$AL127="",AD127=""),"N/A",IF(AND($C127&lt;&gt;"",AR127="Y",$V127&lt;&gt;"",$X127&lt;&gt;"",$Z127&lt;&gt;"",$AB127&lt;&gt;"",$AF127&lt;&gt;"",$AH127&lt;&gt;"",$AL127&lt;&gt;"",AD127&lt;&gt;""),"Y","N"))))</f>
        <v>N/A</v>
      </c>
      <c r="AT127" s="1761" t="b">
        <f ca="1">IF(AND($C127="",OR($J127&lt;&gt;"",$L127&lt;&gt;"",$N127&lt;&gt;"",$P127&lt;&gt;"",$V127&lt;&gt;"",$X127&lt;&gt;"",$Z127&lt;&gt;"",$AB127&lt;&gt;"",$AF127&lt;&gt;"",$AH127&lt;&gt;"",$AL127&lt;&gt;"")),TRUE,FALSE)</f>
        <v>0</v>
      </c>
      <c r="AU127" s="1761" t="b">
        <f>IF(OR(R127&lt;&gt;"",T127&lt;&gt;""),"false",IF(AND($C127&lt;&gt;"",$J127=""),TRUE,FALSE))</f>
        <v>0</v>
      </c>
      <c r="AV127" s="1761" t="b">
        <f>IF(OR(R127&lt;&gt;"",T127&lt;&gt;""),FALSE,IF(AND($C127&lt;&gt;"",$L127=""),TRUE,FALSE))</f>
        <v>0</v>
      </c>
      <c r="AW127" s="1761" t="b">
        <f>IF(OR(R127&lt;&gt;"",T127&lt;&gt;""),FALSE,IF(AND($C127&lt;&gt;"",$N127=""),TRUE,FALSE))</f>
        <v>0</v>
      </c>
      <c r="AX127" s="1761" t="b">
        <f>IF(OR(R127&lt;&gt;"",T127&lt;&gt;""),FALSE,IF(AND($C127&lt;&gt;"",$P127=""),TRUE,FALSE))</f>
        <v>0</v>
      </c>
      <c r="AY127" s="1761"/>
      <c r="AZ127" s="1761" t="b">
        <f>IF(OR(J127&lt;&gt;"",L127&lt;&gt;"",N127&lt;&gt;"",P127&lt;&gt;""),FALSE,IF(AND(C127&lt;&gt;"",R127=""),TRUE,FALSE))</f>
        <v>0</v>
      </c>
      <c r="BA127" s="1761"/>
      <c r="BB127" s="1761" t="b">
        <f>IF(OR(J127&lt;&gt;"",L127&lt;&gt;"",N127&lt;&gt;"",P127&lt;&gt;""),FALSE,IF(AND(C127&lt;&gt;"",T127=""),TRUE,FALSE))</f>
        <v>0</v>
      </c>
      <c r="BC127" s="1761" t="b">
        <f>IF(AND($C127&lt;&gt;"",$V127=""),TRUE,FALSE)</f>
        <v>0</v>
      </c>
      <c r="BD127" s="1761" t="b">
        <f ca="1">IF(AND(X127="",OR(Z127&lt;&gt;"",AB127&lt;&gt;"",AF127&lt;&gt;"",AH127&lt;&gt;"",AL127&lt;&gt;"",AD127&lt;&gt;"")),TRUE,FALSE)</f>
        <v>0</v>
      </c>
      <c r="BE127" s="1761" t="b">
        <f>IF(AND($C127&lt;&gt;"",$X127=""),TRUE,FALSE)</f>
        <v>0</v>
      </c>
      <c r="BF127" s="1761" t="b">
        <f>IF(Z127="",FALSE,IF(X127="",FALSE,IF(BG127=TRUE,FALSE,IF(OR(Z127&lt;BU127,Z127&gt;BaseYear),TRUE,FALSE))))</f>
        <v>0</v>
      </c>
      <c r="BG127" s="1761" t="b">
        <f>IF(AND($C127&lt;&gt;"",$Z127=""),TRUE,FALSE)</f>
        <v>0</v>
      </c>
      <c r="BH127" s="1761" t="b">
        <f>IF(AD127="",FALSE,IF(X127="",FALSE,IF(BJ127=TRUE,FALSE,IF(AB127&lt;BX127,TRUE,FALSE))))</f>
        <v>0</v>
      </c>
      <c r="BI127" s="1761" t="b">
        <f>IF(AD127="",FALSE,IF(X127="",FALSE,IF(BJ127=TRUE,FALSE,IF(AB127&gt;BY127,TRUE,FALSE))))</f>
        <v>0</v>
      </c>
      <c r="BJ127" s="1761" t="b">
        <f>IF(AND($C127&lt;&gt;"",$AB127=""),TRUE,FALSE)</f>
        <v>0</v>
      </c>
      <c r="BK127" s="1761" t="b">
        <f>IF(BL127=TRUE,FALSE,IF(OR(AF127&lt;0,AF127&gt;1),TRUE,FALSE))</f>
        <v>0</v>
      </c>
      <c r="BL127" s="1761" t="b">
        <f>IF(AND($C127&lt;&gt;"",$AF127=""),TRUE,FALSE)</f>
        <v>0</v>
      </c>
      <c r="BM127" s="1761"/>
      <c r="BN127" s="1761" t="b">
        <f ca="1">IF(AND($C127&lt;&gt;"",$AH127=""),TRUE,FALSE)</f>
        <v>0</v>
      </c>
      <c r="BO127" s="1761" t="b">
        <f>IF(AL127="",FALSE,IF(X127="",FALSE,IF(BP127=TRUE,FALSE,IF(OR(AL127&lt;1913,AL127&gt;BaseYear),TRUE,FALSE))))</f>
        <v>0</v>
      </c>
      <c r="BP127" s="1761" t="b">
        <f>IF(AND($C127&lt;&gt;"",$AL127=""),TRUE,FALSE)</f>
        <v>0</v>
      </c>
      <c r="BQ127" s="1761" t="b">
        <f>IF(AD127="Square Foot",FALSE,IF(AND(AD127="Parking Space",OR('A-20 PassFacInv'!X127=Valid!$B$7,'A-20 PassFacInv'!X127=Valid!$B$8,'A-20 PassFacInv'!X127=Valid!$B$9,'A-20 PassFacInv'!X127=Valid!$B$10,'A-20 PassFacInv'!X127=Valid!$B$12,'A-20 PassFacInv'!X127=Valid!$B$13,'A-20 PassFacInv'!X127=Valid!$B$14,'A-20 PassFacInv'!X127=Valid!$B$15,'A-20 PassFacInv'!X127=Valid!$B$16,'A-20 PassFacInv'!X127=Valid!$B$17,'A-20 PassFacInv'!X127=Valid!$B$18,X127=Valid!$B$19,X127=Valid!$B$20,X127=Valid!$B$21)),TRUE,FALSE))</f>
        <v>0</v>
      </c>
      <c r="BR127" s="1761" t="b">
        <f>IF(AND($C127&lt;&gt;"",$AD127=""),TRUE,FALSE)</f>
        <v>0</v>
      </c>
      <c r="BS127" s="721"/>
      <c r="BT127" s="1625" t="str">
        <f>IF($X127="","",VLOOKUP($X127,val_facilities,BT$3,FALSE))</f>
        <v/>
      </c>
      <c r="BU127" s="1627" t="str">
        <f>IF($X127="","",VLOOKUP($X127,val_facilities,BU$3,FALSE))</f>
        <v/>
      </c>
      <c r="BV127" s="1627" t="str">
        <f>IF($X127="","",VLOOKUP($X127,val_facilities,BV$3,FALSE))</f>
        <v/>
      </c>
      <c r="BW127" s="1627" t="str">
        <f ca="1">IFERROR(IF(Z127="", "", YEAR(TODAY())-Z127), "")</f>
        <v/>
      </c>
      <c r="BX127" s="845" t="str">
        <f>IF($X127="","",IF(AD127="Square Feet",VLOOKUP('A-20 PassFacInv'!X70,Valid!$B$7:$H$24,7,FALSE),IF(AD127="Parking Spaces",VLOOKUP(X127,Valid!$B$22:$L$24,11,FALSE))))</f>
        <v/>
      </c>
      <c r="BY127" s="845" t="str">
        <f>IF($X127="","",IF(AD127="Square Feet",VLOOKUP(X127,Valid!$B$7:$I$24,8,FALSE),IF('A-20 PassFacInv'!AD70="Parking Spaces",VLOOKUP('A-20 PassFacInv'!X70,Valid!$B$22:$M$24,12,FALSE))))</f>
        <v/>
      </c>
      <c r="BZ127" s="758"/>
      <c r="CA127" s="721">
        <f t="shared" si="2"/>
        <v>0</v>
      </c>
      <c r="CB127" s="816"/>
    </row>
    <row r="128" spans="1:80" s="1739" customFormat="1" ht="6.75" customHeight="1" thickBot="1" x14ac:dyDescent="0.25">
      <c r="A128" s="1638"/>
      <c r="B128" s="1746">
        <v>58.5</v>
      </c>
      <c r="C128" s="1057"/>
      <c r="D128" s="1248"/>
      <c r="E128" s="1639"/>
      <c r="F128" s="1229"/>
      <c r="G128" s="1229"/>
      <c r="H128" s="1229"/>
      <c r="I128" s="1229"/>
      <c r="J128" s="1604"/>
      <c r="K128" s="1229"/>
      <c r="L128" s="1645"/>
      <c r="M128" s="1644"/>
      <c r="N128" s="1645"/>
      <c r="O128" s="1644"/>
      <c r="P128" s="1662"/>
      <c r="Q128" s="1644"/>
      <c r="R128" s="1663"/>
      <c r="S128" s="1229"/>
      <c r="T128" s="1663"/>
      <c r="U128" s="1229"/>
      <c r="V128" s="1057"/>
      <c r="W128" s="1623"/>
      <c r="X128" s="1747"/>
      <c r="Y128" s="1623"/>
      <c r="Z128" s="1623"/>
      <c r="AA128" s="1623"/>
      <c r="AB128" s="1944"/>
      <c r="AC128" s="841"/>
      <c r="AD128" s="1057"/>
      <c r="AE128" s="841"/>
      <c r="AF128" s="841"/>
      <c r="AG128" s="841"/>
      <c r="AH128" s="722"/>
      <c r="AI128" s="841"/>
      <c r="AJ128" s="722"/>
      <c r="AK128" s="841"/>
      <c r="AL128" s="1717"/>
      <c r="AM128" s="841"/>
      <c r="AN128" s="1057"/>
      <c r="AO128" s="1644"/>
      <c r="AP128" s="1644"/>
      <c r="AQ128" s="1644"/>
      <c r="AR128" s="1644"/>
      <c r="AS128" s="1644"/>
      <c r="AT128" s="1761"/>
      <c r="AU128" s="1761"/>
      <c r="AV128" s="1761"/>
      <c r="AW128" s="1761"/>
      <c r="AX128" s="1761"/>
      <c r="AY128" s="1761"/>
      <c r="AZ128" s="1761"/>
      <c r="BA128" s="1761"/>
      <c r="BB128" s="1761"/>
      <c r="BC128" s="1762"/>
      <c r="BD128" s="1762"/>
      <c r="BE128" s="1762"/>
      <c r="BF128" s="1762"/>
      <c r="BG128" s="1762"/>
      <c r="BH128" s="1762"/>
      <c r="BI128" s="1762"/>
      <c r="BJ128" s="1762"/>
      <c r="BK128" s="1762"/>
      <c r="BL128" s="1762"/>
      <c r="BM128" s="1762"/>
      <c r="BN128" s="1762"/>
      <c r="BO128" s="1762"/>
      <c r="BP128" s="1762"/>
      <c r="BQ128" s="1763"/>
      <c r="BR128" s="1762"/>
      <c r="BS128" s="1736"/>
      <c r="BT128" s="1738"/>
      <c r="BU128" s="1738"/>
      <c r="BV128" s="1738"/>
      <c r="BW128" s="1738"/>
      <c r="BX128" s="1738"/>
      <c r="BY128" s="1738"/>
      <c r="BZ128" s="1229"/>
      <c r="CA128" s="721">
        <f t="shared" si="2"/>
        <v>0</v>
      </c>
      <c r="CB128" s="1748"/>
    </row>
    <row r="129" spans="1:80" s="1739" customFormat="1" x14ac:dyDescent="0.2">
      <c r="A129" s="840">
        <v>59</v>
      </c>
      <c r="B129" s="1746">
        <v>59</v>
      </c>
      <c r="C129" s="1740"/>
      <c r="D129" s="1248" t="str">
        <f>IF(C127="","",IF((C129=""),"Enter Facility "&amp;TEXT(A129,0)&amp;" Name, then Fill in Columns "&amp;TEXT($H$2,0)&amp;" - "&amp;TEXT($AL$2,0)&amp;"       ",""))</f>
        <v/>
      </c>
      <c r="E129" s="1245" t="str">
        <f ca="1">IF(AS129="N/A","",IF(AS129="N","No","Yes"))</f>
        <v/>
      </c>
      <c r="F129" s="758"/>
      <c r="G129" s="758"/>
      <c r="H129" s="1707"/>
      <c r="I129" s="758"/>
      <c r="J129" s="1653"/>
      <c r="K129" s="1248" t="str">
        <f ca="1">IF($E129&lt;&gt;"","Enter Street Address      ","")</f>
        <v/>
      </c>
      <c r="L129" s="1740"/>
      <c r="M129" s="1248" t="str">
        <f ca="1">IF($E129&lt;&gt;"","Enter City Name       ","")</f>
        <v/>
      </c>
      <c r="N129" s="1740"/>
      <c r="O129" s="1248" t="str">
        <f ca="1">IF($E129&lt;&gt;"","Select from Pull-Down List   ","")</f>
        <v/>
      </c>
      <c r="P129" s="1741"/>
      <c r="Q129" s="1248" t="str">
        <f ca="1">IF($E129&lt;&gt;"","Enter ZIP Code       ","")</f>
        <v/>
      </c>
      <c r="R129" s="1742"/>
      <c r="S129" s="1248" t="str">
        <f ca="1">IF(OR(N129&lt;&gt;"",P129&lt;&gt;"",J129&lt;&gt;"",L129&lt;&gt;""),"",IF($E129&lt;&gt;"","Enter Lat.      ",""))</f>
        <v/>
      </c>
      <c r="T129" s="1742"/>
      <c r="U129" s="1248" t="str">
        <f ca="1">IF(OR(N129&lt;&gt;"",P129&lt;&gt;"",J129&lt;&gt;"",L129&lt;&gt;""),"",IF($E129&lt;&gt;"","Enter Long.    ",""))</f>
        <v/>
      </c>
      <c r="V129" s="1653"/>
      <c r="W129" s="1618" t="str">
        <f ca="1">IF($E129&lt;&gt;"","Select from Pull-Down List  ","")</f>
        <v/>
      </c>
      <c r="X129" s="1653"/>
      <c r="Y129" s="1618" t="str">
        <f ca="1">IF($E129&lt;&gt;"","Select from Pull-Down List  ","")</f>
        <v/>
      </c>
      <c r="Z129" s="1743"/>
      <c r="AA129" s="1248" t="str">
        <f ca="1">IF(E129&lt;&gt;"","Year?   ","")</f>
        <v/>
      </c>
      <c r="AB129" s="1943"/>
      <c r="AC129" s="1620" t="str">
        <f ca="1">IF(E129="","",IF(X129="","Sq. Ft. or Spaces?   ",IF(OR(X129=Codes!$L$26,X129=Codes!$L$27,X129=Codes!$L$28),"Sq. Ft. or Spaces?   ",IF(OR(X129=Codes!$L$20,X129=Codes!$L$21,X129=Codes!$L$22,X129=Codes!$L$23,X129=Codes!$L$24,X129=Codes!$L$25),"Sq. Ft?     ",""))))</f>
        <v/>
      </c>
      <c r="AD129" s="1740"/>
      <c r="AE129" s="1618" t="str">
        <f ca="1">IF($E129&lt;&gt;"","Select from List     ","")</f>
        <v/>
      </c>
      <c r="AF129" s="1621"/>
      <c r="AG129" s="1618" t="str">
        <f ca="1">IF($E129&lt;&gt;"","% of Cap Resp.","")</f>
        <v/>
      </c>
      <c r="AH129" s="1801" t="str">
        <f ca="1">IF(BW129="", "", IF(BW129&gt;100, 1, VLOOKUP(BW129, Valid!$W$1:$AA$101, VLOOKUP(X129, Codes!$L$20:$N$28, 3, FALSE), FALSE)))</f>
        <v/>
      </c>
      <c r="AI129" s="1620" t="str">
        <f ca="1">IF($E129&lt;&gt;"","Estimated?  ","")</f>
        <v/>
      </c>
      <c r="AJ129" s="1654"/>
      <c r="AK129" s="1620" t="str">
        <f ca="1">IF($E129&lt;&gt;"","Estimated $?    ","")</f>
        <v/>
      </c>
      <c r="AL129" s="1730"/>
      <c r="AM129" s="1620" t="b">
        <f ca="1">IF(E129&lt;&gt;"","Est Date?    ")</f>
        <v>0</v>
      </c>
      <c r="AN129" s="1740"/>
      <c r="AO129" s="1248" t="str">
        <f>IF(X129="Other (describe in Notes)","Describe Facility.                                                                                                                        ","")</f>
        <v/>
      </c>
      <c r="AP129" s="1624"/>
      <c r="AQ129" s="1624" t="b">
        <f>IF(AND(C129="",C131&lt;&gt;""),TRUE,FALSE)</f>
        <v>0</v>
      </c>
      <c r="AR129" s="1624" t="str">
        <f>IF(AND(J129&lt;&gt;"",L129&lt;&gt;"",N129&lt;&gt;"",P129&lt;&gt;"",R129="",T129=""),"Y",IF(AND(J129="",L129="",N129="",P129="",R129&lt;&gt;"",T129&lt;&gt;""),"Y",IF(AND(J129&lt;&gt;"",L129&lt;&gt;"",N129&lt;&gt;"",P129&lt;&gt;"",R129&lt;&gt;"",T129&lt;&gt;""),"Y",IF(AND(J129="",L129="",N129="",P129="",R129="",T129=""),"N/A","N"))))</f>
        <v>N/A</v>
      </c>
      <c r="AS129" s="1624" t="str">
        <f ca="1">IF(AND($C129&lt;&gt;"",OR(AR129="N",$V129="",$X129="",$Z129="",$AB129="",$AF129="",$AH129="",$AL129="",AD129="")),"N",IF(AND($C129="",OR(H129&lt;&gt;"",AR129="N",$V129&lt;&gt;"",$X129&lt;&gt;"",$Z129&lt;&gt;"",$AB129&lt;&gt;"",$AF129&lt;&gt;"",$AH129&lt;&gt;"",$AL129&lt;&gt;"",AD129&lt;&gt;"")),"N",IF(AND(H129="",$C129="",AR129="N/A",$V129="",$X129="",$Z129="",$AB129="",$AF129="",$AH129="",$AL129="",AD129=""),"N/A",IF(AND($C129&lt;&gt;"",AR129="Y",$V129&lt;&gt;"",$X129&lt;&gt;"",$Z129&lt;&gt;"",$AB129&lt;&gt;"",$AF129&lt;&gt;"",$AH129&lt;&gt;"",$AL129&lt;&gt;"",AD129&lt;&gt;""),"Y","N"))))</f>
        <v>N/A</v>
      </c>
      <c r="AT129" s="1761" t="b">
        <f ca="1">IF(AND($C129="",OR($J129&lt;&gt;"",$L129&lt;&gt;"",$N129&lt;&gt;"",$P129&lt;&gt;"",$V129&lt;&gt;"",$X129&lt;&gt;"",$Z129&lt;&gt;"",$AB129&lt;&gt;"",$AF129&lt;&gt;"",$AH129&lt;&gt;"",$AL129&lt;&gt;"")),TRUE,FALSE)</f>
        <v>0</v>
      </c>
      <c r="AU129" s="1761" t="b">
        <f>IF(OR(R129&lt;&gt;"",T129&lt;&gt;""),"false",IF(AND($C129&lt;&gt;"",$J129=""),TRUE,FALSE))</f>
        <v>0</v>
      </c>
      <c r="AV129" s="1761" t="b">
        <f>IF(OR(R129&lt;&gt;"",T129&lt;&gt;""),FALSE,IF(AND($C129&lt;&gt;"",$L129=""),TRUE,FALSE))</f>
        <v>0</v>
      </c>
      <c r="AW129" s="1761" t="b">
        <f>IF(OR(R129&lt;&gt;"",T129&lt;&gt;""),FALSE,IF(AND($C129&lt;&gt;"",$N129=""),TRUE,FALSE))</f>
        <v>0</v>
      </c>
      <c r="AX129" s="1761" t="b">
        <f>IF(OR(R129&lt;&gt;"",T129&lt;&gt;""),FALSE,IF(AND($C129&lt;&gt;"",$P129=""),TRUE,FALSE))</f>
        <v>0</v>
      </c>
      <c r="AY129" s="1761"/>
      <c r="AZ129" s="1761" t="b">
        <f>IF(OR(J129&lt;&gt;"",L129&lt;&gt;"",N129&lt;&gt;"",P129&lt;&gt;""),FALSE,IF(AND(C129&lt;&gt;"",R129=""),TRUE,FALSE))</f>
        <v>0</v>
      </c>
      <c r="BA129" s="1761"/>
      <c r="BB129" s="1761" t="b">
        <f>IF(OR(J129&lt;&gt;"",L129&lt;&gt;"",N129&lt;&gt;"",P129&lt;&gt;""),FALSE,IF(AND(C129&lt;&gt;"",T129=""),TRUE,FALSE))</f>
        <v>0</v>
      </c>
      <c r="BC129" s="1761" t="b">
        <f>IF(AND($C129&lt;&gt;"",$V129=""),TRUE,FALSE)</f>
        <v>0</v>
      </c>
      <c r="BD129" s="1761" t="b">
        <f ca="1">IF(AND(X129="",OR(Z129&lt;&gt;"",AB129&lt;&gt;"",AF129&lt;&gt;"",AH129&lt;&gt;"",AL129&lt;&gt;"",AD129&lt;&gt;"")),TRUE,FALSE)</f>
        <v>0</v>
      </c>
      <c r="BE129" s="1761" t="b">
        <f>IF(AND($C129&lt;&gt;"",$X129=""),TRUE,FALSE)</f>
        <v>0</v>
      </c>
      <c r="BF129" s="1761" t="b">
        <f>IF(Z129="",FALSE,IF(X129="",FALSE,IF(BG129=TRUE,FALSE,IF(OR(Z129&lt;BU129,Z129&gt;BaseYear),TRUE,FALSE))))</f>
        <v>0</v>
      </c>
      <c r="BG129" s="1761" t="b">
        <f>IF(AND($C129&lt;&gt;"",$Z129=""),TRUE,FALSE)</f>
        <v>0</v>
      </c>
      <c r="BH129" s="1761" t="b">
        <f>IF(AD129="",FALSE,IF(X129="",FALSE,IF(BJ129=TRUE,FALSE,IF(AB129&lt;BX129,TRUE,FALSE))))</f>
        <v>0</v>
      </c>
      <c r="BI129" s="1761" t="b">
        <f>IF(AD129="",FALSE,IF(X129="",FALSE,IF(BJ129=TRUE,FALSE,IF(AB129&gt;BY129,TRUE,FALSE))))</f>
        <v>0</v>
      </c>
      <c r="BJ129" s="1761" t="b">
        <f>IF(AND($C129&lt;&gt;"",$AB129=""),TRUE,FALSE)</f>
        <v>0</v>
      </c>
      <c r="BK129" s="1761" t="b">
        <f>IF(BL129=TRUE,FALSE,IF(OR(AF129&lt;0,AF129&gt;1),TRUE,FALSE))</f>
        <v>0</v>
      </c>
      <c r="BL129" s="1761" t="b">
        <f>IF(AND($C129&lt;&gt;"",$AF129=""),TRUE,FALSE)</f>
        <v>0</v>
      </c>
      <c r="BM129" s="1761"/>
      <c r="BN129" s="1761" t="b">
        <f ca="1">IF(AND($C129&lt;&gt;"",$AH129=""),TRUE,FALSE)</f>
        <v>0</v>
      </c>
      <c r="BO129" s="1761" t="b">
        <f>IF(AL129="",FALSE,IF(X129="",FALSE,IF(BP129=TRUE,FALSE,IF(OR(AL129&lt;1913,AL129&gt;BaseYear),TRUE,FALSE))))</f>
        <v>0</v>
      </c>
      <c r="BP129" s="1761" t="b">
        <f>IF(AND($C129&lt;&gt;"",$AL129=""),TRUE,FALSE)</f>
        <v>0</v>
      </c>
      <c r="BQ129" s="1761" t="b">
        <f>IF(AD129="Square Foot",FALSE,IF(AND(AD129="Parking Space",OR('A-20 PassFacInv'!X129=Valid!$B$7,'A-20 PassFacInv'!X129=Valid!$B$8,'A-20 PassFacInv'!X129=Valid!$B$9,'A-20 PassFacInv'!X129=Valid!$B$10,'A-20 PassFacInv'!X129=Valid!$B$12,'A-20 PassFacInv'!X129=Valid!$B$13,'A-20 PassFacInv'!X129=Valid!$B$14,'A-20 PassFacInv'!X129=Valid!$B$15,'A-20 PassFacInv'!X129=Valid!$B$16,'A-20 PassFacInv'!X129=Valid!$B$17,'A-20 PassFacInv'!X129=Valid!$B$18,X129=Valid!$B$19,X129=Valid!$B$20,X129=Valid!$B$21)),TRUE,FALSE))</f>
        <v>0</v>
      </c>
      <c r="BR129" s="1761" t="b">
        <f>IF(AND($C129&lt;&gt;"",$AD129=""),TRUE,FALSE)</f>
        <v>0</v>
      </c>
      <c r="BS129" s="721"/>
      <c r="BT129" s="1625" t="str">
        <f>IF($X129="","",VLOOKUP($X129,val_facilities,BT$3,FALSE))</f>
        <v/>
      </c>
      <c r="BU129" s="1627" t="str">
        <f>IF($X129="","",VLOOKUP($X129,val_facilities,BU$3,FALSE))</f>
        <v/>
      </c>
      <c r="BV129" s="1627" t="str">
        <f>IF($X129="","",VLOOKUP($X129,val_facilities,BV$3,FALSE))</f>
        <v/>
      </c>
      <c r="BW129" s="1627" t="str">
        <f ca="1">IFERROR(IF(Z129="", "", YEAR(TODAY())-Z129), "")</f>
        <v/>
      </c>
      <c r="BX129" s="845" t="str">
        <f>IF($X129="","",IF(AD129="Square Feet",VLOOKUP('A-20 PassFacInv'!X71,Valid!$B$7:$H$24,7,FALSE),IF(AD129="Parking Spaces",VLOOKUP(X129,Valid!$B$22:$L$24,11,FALSE))))</f>
        <v/>
      </c>
      <c r="BY129" s="845" t="str">
        <f>IF($X129="","",IF(AD129="Square Feet",VLOOKUP(X129,Valid!$B$7:$I$24,8,FALSE),IF('A-20 PassFacInv'!AD71="Parking Spaces",VLOOKUP('A-20 PassFacInv'!X71,Valid!$B$22:$M$24,12,FALSE))))</f>
        <v/>
      </c>
      <c r="BZ129" s="758"/>
      <c r="CA129" s="721">
        <f t="shared" si="2"/>
        <v>0</v>
      </c>
      <c r="CB129" s="816"/>
    </row>
    <row r="130" spans="1:80" s="1739" customFormat="1" ht="6.75" customHeight="1" thickBot="1" x14ac:dyDescent="0.25">
      <c r="A130" s="1638"/>
      <c r="B130" s="1746">
        <v>59.5</v>
      </c>
      <c r="C130" s="1057"/>
      <c r="D130" s="1248"/>
      <c r="E130" s="1057"/>
      <c r="F130" s="1229"/>
      <c r="G130" s="1229"/>
      <c r="H130" s="1229"/>
      <c r="I130" s="1229"/>
      <c r="J130" s="1604"/>
      <c r="K130" s="1640"/>
      <c r="L130" s="1641"/>
      <c r="M130" s="1248"/>
      <c r="N130" s="1641"/>
      <c r="O130" s="1248"/>
      <c r="P130" s="1659"/>
      <c r="Q130" s="1248"/>
      <c r="R130" s="1660"/>
      <c r="S130" s="1640"/>
      <c r="T130" s="1660"/>
      <c r="U130" s="1640"/>
      <c r="V130" s="1057"/>
      <c r="W130" s="1618"/>
      <c r="X130" s="1747"/>
      <c r="Y130" s="1618"/>
      <c r="Z130" s="1623"/>
      <c r="AA130" s="1618"/>
      <c r="AB130" s="1944"/>
      <c r="AC130" s="1275"/>
      <c r="AD130" s="1661"/>
      <c r="AE130" s="734"/>
      <c r="AF130" s="1736"/>
      <c r="AG130" s="1275"/>
      <c r="AH130" s="722"/>
      <c r="AI130" s="1275"/>
      <c r="AJ130" s="733"/>
      <c r="AK130" s="1275"/>
      <c r="AL130" s="1721"/>
      <c r="AM130" s="1275"/>
      <c r="AN130" s="1057"/>
      <c r="AO130" s="1644"/>
      <c r="AP130" s="1644"/>
      <c r="AQ130" s="1644"/>
      <c r="AR130" s="1644"/>
      <c r="AS130" s="1644"/>
      <c r="AT130" s="1761"/>
      <c r="AU130" s="1761"/>
      <c r="AV130" s="1761"/>
      <c r="AW130" s="1761"/>
      <c r="AX130" s="1761"/>
      <c r="AY130" s="1761"/>
      <c r="AZ130" s="1761"/>
      <c r="BA130" s="1761"/>
      <c r="BB130" s="1761"/>
      <c r="BC130" s="1762"/>
      <c r="BD130" s="1762"/>
      <c r="BE130" s="1762"/>
      <c r="BF130" s="1762"/>
      <c r="BG130" s="1762"/>
      <c r="BH130" s="1762"/>
      <c r="BI130" s="1762"/>
      <c r="BJ130" s="1762"/>
      <c r="BK130" s="1762"/>
      <c r="BL130" s="1762"/>
      <c r="BM130" s="1762"/>
      <c r="BN130" s="1762"/>
      <c r="BO130" s="1762"/>
      <c r="BP130" s="1762"/>
      <c r="BQ130" s="1762"/>
      <c r="BR130" s="1762"/>
      <c r="BS130" s="1736"/>
      <c r="BT130" s="1738"/>
      <c r="BU130" s="1738"/>
      <c r="BV130" s="1738"/>
      <c r="BW130" s="1738"/>
      <c r="BX130" s="1738"/>
      <c r="BY130" s="1738"/>
      <c r="BZ130" s="1229"/>
      <c r="CA130" s="721">
        <f t="shared" si="2"/>
        <v>0</v>
      </c>
      <c r="CB130" s="1748"/>
    </row>
    <row r="131" spans="1:80" s="1739" customFormat="1" x14ac:dyDescent="0.2">
      <c r="A131" s="840">
        <v>60</v>
      </c>
      <c r="B131" s="1731">
        <v>60</v>
      </c>
      <c r="C131" s="1740"/>
      <c r="D131" s="1248" t="str">
        <f>IF(C129="","",IF((C131=""),"Enter Facility "&amp;TEXT(A131,0)&amp;" Name, then Fill in Columns "&amp;TEXT($H$2,0)&amp;" - "&amp;TEXT($AL$2,0)&amp;"       ",""))</f>
        <v/>
      </c>
      <c r="E131" s="1245" t="str">
        <f ca="1">IF(AS131="N/A","",IF(AS131="N","No","Yes"))</f>
        <v/>
      </c>
      <c r="F131" s="758"/>
      <c r="G131" s="758"/>
      <c r="H131" s="1707"/>
      <c r="I131" s="758"/>
      <c r="J131" s="1653"/>
      <c r="K131" s="1248" t="str">
        <f ca="1">IF($E131&lt;&gt;"","Enter Street Address      ","")</f>
        <v/>
      </c>
      <c r="L131" s="1740"/>
      <c r="M131" s="1248" t="str">
        <f ca="1">IF($E131&lt;&gt;"","Enter City Name       ","")</f>
        <v/>
      </c>
      <c r="N131" s="1740"/>
      <c r="O131" s="1248" t="str">
        <f ca="1">IF($E131&lt;&gt;"","Select from Pull-Down List   ","")</f>
        <v/>
      </c>
      <c r="P131" s="1741"/>
      <c r="Q131" s="1248" t="str">
        <f ca="1">IF($E131&lt;&gt;"","Enter ZIP Code       ","")</f>
        <v/>
      </c>
      <c r="R131" s="1742"/>
      <c r="S131" s="1248" t="str">
        <f ca="1">IF(OR(N131&lt;&gt;"",P131&lt;&gt;"",J131&lt;&gt;"",L131&lt;&gt;""),"",IF($E131&lt;&gt;"","Enter Lat.      ",""))</f>
        <v/>
      </c>
      <c r="T131" s="1742"/>
      <c r="U131" s="1248" t="str">
        <f ca="1">IF(OR(N131&lt;&gt;"",P131&lt;&gt;"",J131&lt;&gt;"",L131&lt;&gt;""),"",IF($E131&lt;&gt;"","Enter Long.    ",""))</f>
        <v/>
      </c>
      <c r="V131" s="1653"/>
      <c r="W131" s="1618" t="str">
        <f ca="1">IF($E131&lt;&gt;"","Select from Pull-Down List  ","")</f>
        <v/>
      </c>
      <c r="X131" s="1653"/>
      <c r="Y131" s="1618" t="str">
        <f ca="1">IF($E131&lt;&gt;"","Select from Pull-Down List  ","")</f>
        <v/>
      </c>
      <c r="Z131" s="1743"/>
      <c r="AA131" s="1248" t="str">
        <f ca="1">IF(E131&lt;&gt;"","Year?   ","")</f>
        <v/>
      </c>
      <c r="AB131" s="1943"/>
      <c r="AC131" s="1620" t="str">
        <f ca="1">IF(E131="","",IF(X131="","Sq. Ft. or Spaces?   ",IF(OR(X131=Codes!$L$26,X131=Codes!$L$27,X131=Codes!$L$28),"Sq. Ft. or Spaces?   ",IF(OR(X131=Codes!$L$20,X131=Codes!$L$21,X131=Codes!$L$22,X131=Codes!$L$23,X131=Codes!$L$24,X131=Codes!$L$25),"Sq. Ft?     ",""))))</f>
        <v/>
      </c>
      <c r="AD131" s="1740"/>
      <c r="AE131" s="1618" t="str">
        <f ca="1">IF($E131&lt;&gt;"","Select from List     ","")</f>
        <v/>
      </c>
      <c r="AF131" s="1621"/>
      <c r="AG131" s="1618" t="str">
        <f ca="1">IF($E131&lt;&gt;"","% of Cap Resp.","")</f>
        <v/>
      </c>
      <c r="AH131" s="1801" t="str">
        <f ca="1">IF(BW131="", "", IF(BW131&gt;100, 1, VLOOKUP(BW131, Valid!$W$1:$AA$101, VLOOKUP(X131, Codes!$L$20:$N$28, 3, FALSE), FALSE)))</f>
        <v/>
      </c>
      <c r="AI131" s="1620" t="str">
        <f ca="1">IF($E131&lt;&gt;"","Estimated?  ","")</f>
        <v/>
      </c>
      <c r="AJ131" s="1654"/>
      <c r="AK131" s="1620" t="str">
        <f ca="1">IF($E131&lt;&gt;"","Estimated $?    ","")</f>
        <v/>
      </c>
      <c r="AL131" s="1730"/>
      <c r="AM131" s="1620" t="b">
        <f ca="1">IF(E131&lt;&gt;"","Est Date?    ")</f>
        <v>0</v>
      </c>
      <c r="AN131" s="1740"/>
      <c r="AO131" s="1248" t="str">
        <f>IF(X131="Other (describe in Notes)","Describe Facility.                                                                                                                        ","")</f>
        <v/>
      </c>
      <c r="AP131" s="1624"/>
      <c r="AQ131" s="1624" t="b">
        <f>IF(AND(C131="",C133&lt;&gt;""),TRUE,FALSE)</f>
        <v>0</v>
      </c>
      <c r="AR131" s="1624" t="str">
        <f>IF(AND(J131&lt;&gt;"",L131&lt;&gt;"",N131&lt;&gt;"",P131&lt;&gt;"",R131="",T131=""),"Y",IF(AND(J131="",L131="",N131="",P131="",R131&lt;&gt;"",T131&lt;&gt;""),"Y",IF(AND(J131&lt;&gt;"",L131&lt;&gt;"",N131&lt;&gt;"",P131&lt;&gt;"",R131&lt;&gt;"",T131&lt;&gt;""),"Y",IF(AND(J131="",L131="",N131="",P131="",R131="",T131=""),"N/A","N"))))</f>
        <v>N/A</v>
      </c>
      <c r="AS131" s="1624" t="str">
        <f ca="1">IF(AND($C131&lt;&gt;"",OR(AR131="N",$V131="",$X131="",$Z131="",$AB131="",$AF131="",$AH131="",$AL131="",AD131="")),"N",IF(AND($C131="",OR(H131&lt;&gt;"",AR131="N",$V131&lt;&gt;"",$X131&lt;&gt;"",$Z131&lt;&gt;"",$AB131&lt;&gt;"",$AF131&lt;&gt;"",$AH131&lt;&gt;"",$AL131&lt;&gt;"",AD131&lt;&gt;"")),"N",IF(AND(H131="",$C131="",AR131="N/A",$V131="",$X131="",$Z131="",$AB131="",$AF131="",$AH131="",$AL131="",AD131=""),"N/A",IF(AND($C131&lt;&gt;"",AR131="Y",$V131&lt;&gt;"",$X131&lt;&gt;"",$Z131&lt;&gt;"",$AB131&lt;&gt;"",$AF131&lt;&gt;"",$AH131&lt;&gt;"",$AL131&lt;&gt;"",AD131&lt;&gt;""),"Y","N"))))</f>
        <v>N/A</v>
      </c>
      <c r="AT131" s="1761" t="b">
        <f ca="1">IF(AND($C131="",OR($J131&lt;&gt;"",$L131&lt;&gt;"",$N131&lt;&gt;"",$P131&lt;&gt;"",$V131&lt;&gt;"",$X131&lt;&gt;"",$Z131&lt;&gt;"",$AB131&lt;&gt;"",$AF131&lt;&gt;"",$AH131&lt;&gt;"",$AL131&lt;&gt;"")),TRUE,FALSE)</f>
        <v>0</v>
      </c>
      <c r="AU131" s="1761" t="b">
        <f>IF(OR(R131&lt;&gt;"",T131&lt;&gt;""),"false",IF(AND($C131&lt;&gt;"",$J131=""),TRUE,FALSE))</f>
        <v>0</v>
      </c>
      <c r="AV131" s="1761" t="b">
        <f>IF(OR(R131&lt;&gt;"",T131&lt;&gt;""),FALSE,IF(AND($C131&lt;&gt;"",$L131=""),TRUE,FALSE))</f>
        <v>0</v>
      </c>
      <c r="AW131" s="1761" t="b">
        <f>IF(OR(R131&lt;&gt;"",T131&lt;&gt;""),FALSE,IF(AND($C131&lt;&gt;"",$N131=""),TRUE,FALSE))</f>
        <v>0</v>
      </c>
      <c r="AX131" s="1761" t="b">
        <f>IF(OR(R131&lt;&gt;"",T131&lt;&gt;""),FALSE,IF(AND($C131&lt;&gt;"",$P131=""),TRUE,FALSE))</f>
        <v>0</v>
      </c>
      <c r="AY131" s="1761"/>
      <c r="AZ131" s="1761" t="b">
        <f>IF(OR(J131&lt;&gt;"",L131&lt;&gt;"",N131&lt;&gt;"",P131&lt;&gt;""),FALSE,IF(AND(C131&lt;&gt;"",R131=""),TRUE,FALSE))</f>
        <v>0</v>
      </c>
      <c r="BA131" s="1761"/>
      <c r="BB131" s="1761" t="b">
        <f>IF(OR(J131&lt;&gt;"",L131&lt;&gt;"",N131&lt;&gt;"",P131&lt;&gt;""),FALSE,IF(AND(C131&lt;&gt;"",T131=""),TRUE,FALSE))</f>
        <v>0</v>
      </c>
      <c r="BC131" s="1761" t="b">
        <f>IF(AND($C131&lt;&gt;"",$V131=""),TRUE,FALSE)</f>
        <v>0</v>
      </c>
      <c r="BD131" s="1761" t="b">
        <f ca="1">IF(AND(X131="",OR(Z131&lt;&gt;"",AB131&lt;&gt;"",AF131&lt;&gt;"",AH131&lt;&gt;"",AL131&lt;&gt;"",AD131&lt;&gt;"")),TRUE,FALSE)</f>
        <v>0</v>
      </c>
      <c r="BE131" s="1761" t="b">
        <f>IF(AND($C131&lt;&gt;"",$X131=""),TRUE,FALSE)</f>
        <v>0</v>
      </c>
      <c r="BF131" s="1761" t="b">
        <f>IF(Z131="",FALSE,IF(X131="",FALSE,IF(BG131=TRUE,FALSE,IF(OR(Z131&lt;BU131,Z131&gt;BaseYear),TRUE,FALSE))))</f>
        <v>0</v>
      </c>
      <c r="BG131" s="1761" t="b">
        <f>IF(AND($C131&lt;&gt;"",$Z131=""),TRUE,FALSE)</f>
        <v>0</v>
      </c>
      <c r="BH131" s="1761" t="b">
        <f>IF(AD131="",FALSE,IF(X131="",FALSE,IF(BJ131=TRUE,FALSE,IF(AB131&lt;BX131,TRUE,FALSE))))</f>
        <v>0</v>
      </c>
      <c r="BI131" s="1761" t="b">
        <f>IF(AD131="",FALSE,IF(X131="",FALSE,IF(BJ131=TRUE,FALSE,IF(AB131&gt;BY131,TRUE,FALSE))))</f>
        <v>0</v>
      </c>
      <c r="BJ131" s="1761" t="b">
        <f>IF(AND($C131&lt;&gt;"",$AB131=""),TRUE,FALSE)</f>
        <v>0</v>
      </c>
      <c r="BK131" s="1761" t="b">
        <f>IF(BL131=TRUE,FALSE,IF(OR(AF131&lt;0,AF131&gt;1),TRUE,FALSE))</f>
        <v>0</v>
      </c>
      <c r="BL131" s="1761" t="b">
        <f>IF(AND($C131&lt;&gt;"",$AF131=""),TRUE,FALSE)</f>
        <v>0</v>
      </c>
      <c r="BM131" s="1761"/>
      <c r="BN131" s="1761" t="b">
        <f ca="1">IF(AND($C131&lt;&gt;"",$AH131=""),TRUE,FALSE)</f>
        <v>0</v>
      </c>
      <c r="BO131" s="1761" t="b">
        <f>IF(AL131="",FALSE,IF(X131="",FALSE,IF(BP131=TRUE,FALSE,IF(OR(AL131&lt;1913,AL131&gt;BaseYear),TRUE,FALSE))))</f>
        <v>0</v>
      </c>
      <c r="BP131" s="1761" t="b">
        <f>IF(AND($C131&lt;&gt;"",$AL131=""),TRUE,FALSE)</f>
        <v>0</v>
      </c>
      <c r="BQ131" s="1761" t="b">
        <f>IF(AD131="Square Foot",FALSE,IF(AND(AD131="Parking Space",OR('A-20 PassFacInv'!X131=Valid!$B$7,'A-20 PassFacInv'!X131=Valid!$B$8,'A-20 PassFacInv'!X131=Valid!$B$9,'A-20 PassFacInv'!X131=Valid!$B$10,'A-20 PassFacInv'!X131=Valid!$B$12,'A-20 PassFacInv'!X131=Valid!$B$13,'A-20 PassFacInv'!X131=Valid!$B$14,'A-20 PassFacInv'!X131=Valid!$B$15,'A-20 PassFacInv'!X131=Valid!$B$16,'A-20 PassFacInv'!X131=Valid!$B$17,'A-20 PassFacInv'!X131=Valid!$B$18,X131=Valid!$B$19,X131=Valid!$B$20,X131=Valid!$B$21)),TRUE,FALSE))</f>
        <v>0</v>
      </c>
      <c r="BR131" s="1761" t="b">
        <f>IF(AND($C131&lt;&gt;"",$AD131=""),TRUE,FALSE)</f>
        <v>0</v>
      </c>
      <c r="BS131" s="721"/>
      <c r="BT131" s="1625" t="str">
        <f>IF($X131="","",VLOOKUP($X131,val_facilities,BT$3,FALSE))</f>
        <v/>
      </c>
      <c r="BU131" s="1627" t="str">
        <f>IF($X131="","",VLOOKUP($X131,val_facilities,BU$3,FALSE))</f>
        <v/>
      </c>
      <c r="BV131" s="1627" t="str">
        <f>IF($X131="","",VLOOKUP($X131,val_facilities,BV$3,FALSE))</f>
        <v/>
      </c>
      <c r="BW131" s="1627" t="str">
        <f ca="1">IFERROR(IF(Z131="", "", YEAR(TODAY())-Z131), "")</f>
        <v/>
      </c>
      <c r="BX131" s="845" t="str">
        <f>IF($X131="","",IF(AD131="Square Feet",VLOOKUP('A-20 PassFacInv'!X72,Valid!$B$7:$H$24,7,FALSE),IF(AD131="Parking Spaces",VLOOKUP(X131,Valid!$B$22:$L$24,11,FALSE))))</f>
        <v/>
      </c>
      <c r="BY131" s="845" t="str">
        <f>IF($X131="","",IF(AD131="Square Feet",VLOOKUP(X131,Valid!$B$7:$I$24,8,FALSE),IF('A-20 PassFacInv'!AD72="Parking Spaces",VLOOKUP('A-20 PassFacInv'!X72,Valid!$B$22:$M$24,12,FALSE))))</f>
        <v/>
      </c>
      <c r="BZ131" s="758"/>
      <c r="CA131" s="721">
        <f t="shared" si="2"/>
        <v>0</v>
      </c>
      <c r="CB131" s="816"/>
    </row>
    <row r="132" spans="1:80" s="1739" customFormat="1" ht="6.75" customHeight="1" thickBot="1" x14ac:dyDescent="0.25">
      <c r="A132" s="1638"/>
      <c r="B132" s="1746">
        <v>60.5</v>
      </c>
      <c r="C132" s="1057"/>
      <c r="D132" s="1248"/>
      <c r="E132" s="1639"/>
      <c r="F132" s="1229"/>
      <c r="G132" s="1229"/>
      <c r="H132" s="1229"/>
      <c r="I132" s="1229"/>
      <c r="J132" s="1604"/>
      <c r="K132" s="1640"/>
      <c r="L132" s="1641"/>
      <c r="M132" s="1248"/>
      <c r="N132" s="1641"/>
      <c r="O132" s="1248"/>
      <c r="P132" s="1659"/>
      <c r="Q132" s="1248"/>
      <c r="R132" s="1660"/>
      <c r="S132" s="1640"/>
      <c r="T132" s="1660"/>
      <c r="U132" s="1640"/>
      <c r="V132" s="1057"/>
      <c r="W132" s="1618"/>
      <c r="X132" s="1747"/>
      <c r="Y132" s="1618"/>
      <c r="Z132" s="1623"/>
      <c r="AA132" s="1618"/>
      <c r="AB132" s="1944"/>
      <c r="AC132" s="1275"/>
      <c r="AD132" s="1661"/>
      <c r="AE132" s="734"/>
      <c r="AF132" s="1748"/>
      <c r="AG132" s="1275"/>
      <c r="AH132" s="733"/>
      <c r="AI132" s="1275"/>
      <c r="AJ132" s="733"/>
      <c r="AK132" s="1275"/>
      <c r="AL132" s="1721"/>
      <c r="AM132" s="1275"/>
      <c r="AN132" s="1057"/>
      <c r="AO132" s="1644"/>
      <c r="AP132" s="1644"/>
      <c r="AQ132" s="1644"/>
      <c r="AR132" s="1644"/>
      <c r="AS132" s="1644"/>
      <c r="AT132" s="1761"/>
      <c r="AU132" s="1761"/>
      <c r="AV132" s="1761"/>
      <c r="AW132" s="1761"/>
      <c r="AX132" s="1761"/>
      <c r="AY132" s="1761"/>
      <c r="AZ132" s="1761"/>
      <c r="BA132" s="1761"/>
      <c r="BB132" s="1761"/>
      <c r="BC132" s="1762"/>
      <c r="BD132" s="1762"/>
      <c r="BE132" s="1762"/>
      <c r="BF132" s="1762"/>
      <c r="BG132" s="1762"/>
      <c r="BH132" s="1762"/>
      <c r="BI132" s="1762"/>
      <c r="BJ132" s="1762"/>
      <c r="BK132" s="1762"/>
      <c r="BL132" s="1762"/>
      <c r="BM132" s="1762"/>
      <c r="BN132" s="1762"/>
      <c r="BO132" s="1762"/>
      <c r="BP132" s="1762"/>
      <c r="BQ132" s="1762"/>
      <c r="BR132" s="1762"/>
      <c r="BS132" s="1736"/>
      <c r="BT132" s="1738"/>
      <c r="BU132" s="1738"/>
      <c r="BV132" s="1738"/>
      <c r="BW132" s="1738"/>
      <c r="BX132" s="1738"/>
      <c r="BY132" s="1738"/>
      <c r="BZ132" s="1229"/>
      <c r="CA132" s="721">
        <f t="shared" si="2"/>
        <v>0</v>
      </c>
      <c r="CB132" s="1748"/>
    </row>
    <row r="133" spans="1:80" s="1739" customFormat="1" x14ac:dyDescent="0.2">
      <c r="A133" s="840">
        <v>61</v>
      </c>
      <c r="B133" s="1746">
        <v>61</v>
      </c>
      <c r="C133" s="1740"/>
      <c r="D133" s="1248" t="str">
        <f>IF(C131="","",IF((C133=""),"Enter Facility "&amp;TEXT(A133,0)&amp;" Name, then Fill in Columns "&amp;TEXT($H$2,0)&amp;" - "&amp;TEXT($AL$2,0)&amp;"       ",""))</f>
        <v/>
      </c>
      <c r="E133" s="1245" t="str">
        <f ca="1">IF(AS133="N/A","",IF(AS133="N","No","Yes"))</f>
        <v/>
      </c>
      <c r="F133" s="758"/>
      <c r="G133" s="758"/>
      <c r="H133" s="1707"/>
      <c r="I133" s="758"/>
      <c r="J133" s="1653"/>
      <c r="K133" s="1248" t="str">
        <f ca="1">IF($E133&lt;&gt;"","Enter Street Address      ","")</f>
        <v/>
      </c>
      <c r="L133" s="1740"/>
      <c r="M133" s="1248" t="str">
        <f ca="1">IF($E133&lt;&gt;"","Enter City Name       ","")</f>
        <v/>
      </c>
      <c r="N133" s="1740"/>
      <c r="O133" s="1248" t="str">
        <f ca="1">IF($E133&lt;&gt;"","Select from Pull-Down List   ","")</f>
        <v/>
      </c>
      <c r="P133" s="1741"/>
      <c r="Q133" s="1248" t="str">
        <f ca="1">IF($E133&lt;&gt;"","Enter ZIP Code       ","")</f>
        <v/>
      </c>
      <c r="R133" s="1742"/>
      <c r="S133" s="1248" t="str">
        <f ca="1">IF(OR(N133&lt;&gt;"",P133&lt;&gt;"",J133&lt;&gt;"",L133&lt;&gt;""),"",IF($E133&lt;&gt;"","Enter Lat.      ",""))</f>
        <v/>
      </c>
      <c r="T133" s="1742"/>
      <c r="U133" s="1248" t="str">
        <f ca="1">IF(OR(N133&lt;&gt;"",P133&lt;&gt;"",J133&lt;&gt;"",L133&lt;&gt;""),"",IF($E133&lt;&gt;"","Enter Long.    ",""))</f>
        <v/>
      </c>
      <c r="V133" s="1653"/>
      <c r="W133" s="1618" t="str">
        <f ca="1">IF($E133&lt;&gt;"","Select from Pull-Down List  ","")</f>
        <v/>
      </c>
      <c r="X133" s="1653"/>
      <c r="Y133" s="1618" t="str">
        <f ca="1">IF($E133&lt;&gt;"","Select from Pull-Down List  ","")</f>
        <v/>
      </c>
      <c r="Z133" s="1743"/>
      <c r="AA133" s="1248" t="str">
        <f ca="1">IF(E133&lt;&gt;"","Year?   ","")</f>
        <v/>
      </c>
      <c r="AB133" s="1943"/>
      <c r="AC133" s="1620" t="str">
        <f ca="1">IF(E133="","",IF(X133="","Sq. Ft. or Spaces?   ",IF(OR(X133=Codes!$L$26,X133=Codes!$L$27,X133=Codes!$L$28),"Sq. Ft. or Spaces?   ",IF(OR(X133=Codes!$L$20,X133=Codes!$L$21,X133=Codes!$L$22,X133=Codes!$L$23,X133=Codes!$L$24,X133=Codes!$L$25),"Sq. Ft?     ",""))))</f>
        <v/>
      </c>
      <c r="AD133" s="1740"/>
      <c r="AE133" s="1618" t="str">
        <f ca="1">IF($E133&lt;&gt;"","Select from List     ","")</f>
        <v/>
      </c>
      <c r="AF133" s="1621"/>
      <c r="AG133" s="1618" t="str">
        <f ca="1">IF($E133&lt;&gt;"","% of Cap Resp.","")</f>
        <v/>
      </c>
      <c r="AH133" s="1801" t="str">
        <f ca="1">IF(BW133="", "", IF(BW133&gt;100, 1, VLOOKUP(BW133, Valid!$W$1:$AA$101, VLOOKUP(X133, Codes!$L$20:$N$28, 3, FALSE), FALSE)))</f>
        <v/>
      </c>
      <c r="AI133" s="1620" t="str">
        <f ca="1">IF($E133&lt;&gt;"","Estimated?  ","")</f>
        <v/>
      </c>
      <c r="AJ133" s="1654"/>
      <c r="AK133" s="1620" t="str">
        <f ca="1">IF($E133&lt;&gt;"","Estimated $?    ","")</f>
        <v/>
      </c>
      <c r="AL133" s="1730"/>
      <c r="AM133" s="1620" t="b">
        <f ca="1">IF(E133&lt;&gt;"","Est Date?    ")</f>
        <v>0</v>
      </c>
      <c r="AN133" s="1740"/>
      <c r="AO133" s="1248" t="str">
        <f>IF(X133="Other (describe in Notes)","Describe Facility.                                                                                                                        ","")</f>
        <v/>
      </c>
      <c r="AP133" s="1624"/>
      <c r="AQ133" s="1624" t="b">
        <f>IF(AND(C133="",C135&lt;&gt;""),TRUE,FALSE)</f>
        <v>0</v>
      </c>
      <c r="AR133" s="1624" t="str">
        <f>IF(AND(J133&lt;&gt;"",L133&lt;&gt;"",N133&lt;&gt;"",P133&lt;&gt;"",R133="",T133=""),"Y",IF(AND(J133="",L133="",N133="",P133="",R133&lt;&gt;"",T133&lt;&gt;""),"Y",IF(AND(J133&lt;&gt;"",L133&lt;&gt;"",N133&lt;&gt;"",P133&lt;&gt;"",R133&lt;&gt;"",T133&lt;&gt;""),"Y",IF(AND(J133="",L133="",N133="",P133="",R133="",T133=""),"N/A","N"))))</f>
        <v>N/A</v>
      </c>
      <c r="AS133" s="1624" t="str">
        <f ca="1">IF(AND($C133&lt;&gt;"",OR(AR133="N",$V133="",$X133="",$Z133="",$AB133="",$AF133="",$AH133="",$AL133="",AD133="")),"N",IF(AND($C133="",OR(H133&lt;&gt;"",AR133="N",$V133&lt;&gt;"",$X133&lt;&gt;"",$Z133&lt;&gt;"",$AB133&lt;&gt;"",$AF133&lt;&gt;"",$AH133&lt;&gt;"",$AL133&lt;&gt;"",AD133&lt;&gt;"")),"N",IF(AND(H133="",$C133="",AR133="N/A",$V133="",$X133="",$Z133="",$AB133="",$AF133="",$AH133="",$AL133="",AD133=""),"N/A",IF(AND($C133&lt;&gt;"",AR133="Y",$V133&lt;&gt;"",$X133&lt;&gt;"",$Z133&lt;&gt;"",$AB133&lt;&gt;"",$AF133&lt;&gt;"",$AH133&lt;&gt;"",$AL133&lt;&gt;"",AD133&lt;&gt;""),"Y","N"))))</f>
        <v>N/A</v>
      </c>
      <c r="AT133" s="1761" t="b">
        <f ca="1">IF(AND($C133="",OR($J133&lt;&gt;"",$L133&lt;&gt;"",$N133&lt;&gt;"",$P133&lt;&gt;"",$V133&lt;&gt;"",$X133&lt;&gt;"",$Z133&lt;&gt;"",$AB133&lt;&gt;"",$AF133&lt;&gt;"",$AH133&lt;&gt;"",$AL133&lt;&gt;"")),TRUE,FALSE)</f>
        <v>0</v>
      </c>
      <c r="AU133" s="1761" t="b">
        <f>IF(OR(R133&lt;&gt;"",T133&lt;&gt;""),"false",IF(AND($C133&lt;&gt;"",$J133=""),TRUE,FALSE))</f>
        <v>0</v>
      </c>
      <c r="AV133" s="1761" t="b">
        <f>IF(OR(R133&lt;&gt;"",T133&lt;&gt;""),FALSE,IF(AND($C133&lt;&gt;"",$L133=""),TRUE,FALSE))</f>
        <v>0</v>
      </c>
      <c r="AW133" s="1761" t="b">
        <f>IF(OR(R133&lt;&gt;"",T133&lt;&gt;""),FALSE,IF(AND($C133&lt;&gt;"",$N133=""),TRUE,FALSE))</f>
        <v>0</v>
      </c>
      <c r="AX133" s="1761" t="b">
        <f>IF(OR(R133&lt;&gt;"",T133&lt;&gt;""),FALSE,IF(AND($C133&lt;&gt;"",$P133=""),TRUE,FALSE))</f>
        <v>0</v>
      </c>
      <c r="AY133" s="1761"/>
      <c r="AZ133" s="1761" t="b">
        <f>IF(OR(J133&lt;&gt;"",L133&lt;&gt;"",N133&lt;&gt;"",P133&lt;&gt;""),FALSE,IF(AND(C133&lt;&gt;"",R133=""),TRUE,FALSE))</f>
        <v>0</v>
      </c>
      <c r="BA133" s="1761"/>
      <c r="BB133" s="1761" t="b">
        <f>IF(OR(J133&lt;&gt;"",L133&lt;&gt;"",N133&lt;&gt;"",P133&lt;&gt;""),FALSE,IF(AND(C133&lt;&gt;"",T133=""),TRUE,FALSE))</f>
        <v>0</v>
      </c>
      <c r="BC133" s="1761" t="b">
        <f>IF(AND($C133&lt;&gt;"",$V133=""),TRUE,FALSE)</f>
        <v>0</v>
      </c>
      <c r="BD133" s="1761" t="b">
        <f ca="1">IF(AND(X133="",OR(Z133&lt;&gt;"",AB133&lt;&gt;"",AF133&lt;&gt;"",AH133&lt;&gt;"",AL133&lt;&gt;"",AD133&lt;&gt;"")),TRUE,FALSE)</f>
        <v>0</v>
      </c>
      <c r="BE133" s="1761" t="b">
        <f>IF(AND($C133&lt;&gt;"",$X133=""),TRUE,FALSE)</f>
        <v>0</v>
      </c>
      <c r="BF133" s="1761" t="b">
        <f>IF(Z133="",FALSE,IF(X133="",FALSE,IF(BG133=TRUE,FALSE,IF(OR(Z133&lt;BU133,Z133&gt;BaseYear),TRUE,FALSE))))</f>
        <v>0</v>
      </c>
      <c r="BG133" s="1761" t="b">
        <f>IF(AND($C133&lt;&gt;"",$Z133=""),TRUE,FALSE)</f>
        <v>0</v>
      </c>
      <c r="BH133" s="1761" t="b">
        <f>IF(AD133="",FALSE,IF(X133="",FALSE,IF(BJ133=TRUE,FALSE,IF(AB133&lt;BX133,TRUE,FALSE))))</f>
        <v>0</v>
      </c>
      <c r="BI133" s="1761" t="b">
        <f>IF(AD133="",FALSE,IF(X133="",FALSE,IF(BJ133=TRUE,FALSE,IF(AB133&gt;BY133,TRUE,FALSE))))</f>
        <v>0</v>
      </c>
      <c r="BJ133" s="1761" t="b">
        <f>IF(AND($C133&lt;&gt;"",$AB133=""),TRUE,FALSE)</f>
        <v>0</v>
      </c>
      <c r="BK133" s="1761" t="b">
        <f>IF(BL133=TRUE,FALSE,IF(OR(AF133&lt;0,AF133&gt;1),TRUE,FALSE))</f>
        <v>0</v>
      </c>
      <c r="BL133" s="1761" t="b">
        <f>IF(AND($C133&lt;&gt;"",$AF133=""),TRUE,FALSE)</f>
        <v>0</v>
      </c>
      <c r="BM133" s="1761"/>
      <c r="BN133" s="1761" t="b">
        <f ca="1">IF(AND($C133&lt;&gt;"",$AH133=""),TRUE,FALSE)</f>
        <v>0</v>
      </c>
      <c r="BO133" s="1761" t="b">
        <f>IF(AL133="",FALSE,IF(X133="",FALSE,IF(BP133=TRUE,FALSE,IF(OR(AL133&lt;1913,AL133&gt;BaseYear),TRUE,FALSE))))</f>
        <v>0</v>
      </c>
      <c r="BP133" s="1761" t="b">
        <f>IF(AND($C133&lt;&gt;"",$AL133=""),TRUE,FALSE)</f>
        <v>0</v>
      </c>
      <c r="BQ133" s="1761" t="b">
        <f>IF(AD133="Square Foot",FALSE,IF(AND(AD133="Parking Space",OR('A-20 PassFacInv'!X133=Valid!$B$7,'A-20 PassFacInv'!X133=Valid!$B$8,'A-20 PassFacInv'!X133=Valid!$B$9,'A-20 PassFacInv'!X133=Valid!$B$10,'A-20 PassFacInv'!X133=Valid!$B$12,'A-20 PassFacInv'!X133=Valid!$B$13,'A-20 PassFacInv'!X133=Valid!$B$14,'A-20 PassFacInv'!X133=Valid!$B$15,'A-20 PassFacInv'!X133=Valid!$B$16,'A-20 PassFacInv'!X133=Valid!$B$17,'A-20 PassFacInv'!X133=Valid!$B$18,X133=Valid!$B$19,X133=Valid!$B$20,X133=Valid!$B$21)),TRUE,FALSE))</f>
        <v>0</v>
      </c>
      <c r="BR133" s="1761" t="b">
        <f>IF(AND($C133&lt;&gt;"",$AD133=""),TRUE,FALSE)</f>
        <v>0</v>
      </c>
      <c r="BS133" s="721"/>
      <c r="BT133" s="1625" t="str">
        <f>IF($X133="","",VLOOKUP($X133,val_facilities,BT$3,FALSE))</f>
        <v/>
      </c>
      <c r="BU133" s="1627" t="str">
        <f>IF($X133="","",VLOOKUP($X133,val_facilities,BU$3,FALSE))</f>
        <v/>
      </c>
      <c r="BV133" s="1627" t="str">
        <f>IF($X133="","",VLOOKUP($X133,val_facilities,BV$3,FALSE))</f>
        <v/>
      </c>
      <c r="BW133" s="1627" t="str">
        <f ca="1">IFERROR(IF(Z133="", "", YEAR(TODAY())-Z133), "")</f>
        <v/>
      </c>
      <c r="BX133" s="845" t="str">
        <f>IF($X133="","",IF(AD133="Square Feet",VLOOKUP('A-20 PassFacInv'!X73,Valid!$B$7:$H$24,7,FALSE),IF(AD133="Parking Spaces",VLOOKUP(X133,Valid!$B$22:$L$24,11,FALSE))))</f>
        <v/>
      </c>
      <c r="BY133" s="845" t="str">
        <f>IF($X133="","",IF(AD133="Square Feet",VLOOKUP(X133,Valid!$B$7:$I$24,8,FALSE),IF('A-20 PassFacInv'!AD73="Parking Spaces",VLOOKUP('A-20 PassFacInv'!X73,Valid!$B$22:$M$24,12,FALSE))))</f>
        <v/>
      </c>
      <c r="BZ133" s="758"/>
      <c r="CA133" s="721">
        <f t="shared" si="2"/>
        <v>0</v>
      </c>
      <c r="CB133" s="816"/>
    </row>
    <row r="134" spans="1:80" s="1739" customFormat="1" ht="6.75" customHeight="1" thickBot="1" x14ac:dyDescent="0.25">
      <c r="A134" s="1638"/>
      <c r="B134" s="1746">
        <v>61.5</v>
      </c>
      <c r="C134" s="1223"/>
      <c r="D134" s="1248"/>
      <c r="E134" s="721"/>
      <c r="F134" s="758"/>
      <c r="G134" s="758"/>
      <c r="H134" s="758"/>
      <c r="I134" s="758"/>
      <c r="J134" s="1744"/>
      <c r="K134" s="1248"/>
      <c r="L134" s="1745"/>
      <c r="M134" s="1248"/>
      <c r="N134" s="1745"/>
      <c r="O134" s="1248"/>
      <c r="P134" s="1659"/>
      <c r="Q134" s="1248"/>
      <c r="R134" s="1656"/>
      <c r="S134" s="1248"/>
      <c r="T134" s="1656"/>
      <c r="U134" s="1248"/>
      <c r="V134" s="1223"/>
      <c r="W134" s="1618"/>
      <c r="X134" s="1737"/>
      <c r="Y134" s="1618"/>
      <c r="Z134" s="1623"/>
      <c r="AA134" s="1618"/>
      <c r="AB134" s="1944"/>
      <c r="AC134" s="1632"/>
      <c r="AD134" s="1394"/>
      <c r="AE134" s="823"/>
      <c r="AF134" s="822"/>
      <c r="AG134" s="1632"/>
      <c r="AH134" s="1631"/>
      <c r="AI134" s="1632"/>
      <c r="AJ134" s="1631"/>
      <c r="AK134" s="1632"/>
      <c r="AL134" s="1719"/>
      <c r="AM134" s="1632"/>
      <c r="AN134" s="721"/>
      <c r="AO134" s="758"/>
      <c r="AP134" s="758"/>
      <c r="AQ134" s="758"/>
      <c r="AR134" s="758"/>
      <c r="AS134" s="758"/>
      <c r="AT134" s="1761"/>
      <c r="AU134" s="1761"/>
      <c r="AV134" s="1761"/>
      <c r="AW134" s="1761"/>
      <c r="AX134" s="1761"/>
      <c r="AY134" s="1761"/>
      <c r="AZ134" s="1761"/>
      <c r="BA134" s="1761"/>
      <c r="BB134" s="1761"/>
      <c r="BC134" s="1761"/>
      <c r="BD134" s="1761"/>
      <c r="BE134" s="1761"/>
      <c r="BF134" s="1761"/>
      <c r="BG134" s="1761"/>
      <c r="BH134" s="1761"/>
      <c r="BI134" s="1761"/>
      <c r="BJ134" s="1761"/>
      <c r="BK134" s="1761"/>
      <c r="BL134" s="1761"/>
      <c r="BM134" s="1761"/>
      <c r="BN134" s="1761"/>
      <c r="BO134" s="1761"/>
      <c r="BP134" s="1761"/>
      <c r="BQ134" s="1761"/>
      <c r="BR134" s="1761"/>
      <c r="BS134" s="721"/>
      <c r="BT134" s="1626"/>
      <c r="BU134" s="1626"/>
      <c r="BV134" s="1626"/>
      <c r="BW134" s="1626"/>
      <c r="BX134" s="1626"/>
      <c r="BY134" s="1626"/>
      <c r="BZ134" s="1229"/>
      <c r="CA134" s="721">
        <f t="shared" si="2"/>
        <v>0</v>
      </c>
      <c r="CB134" s="721"/>
    </row>
    <row r="135" spans="1:80" s="1739" customFormat="1" x14ac:dyDescent="0.2">
      <c r="A135" s="840">
        <v>62</v>
      </c>
      <c r="B135" s="1746">
        <v>62</v>
      </c>
      <c r="C135" s="1740"/>
      <c r="D135" s="1248" t="str">
        <f>IF(C133="","",IF((C135=""),"Enter Facility "&amp;TEXT(A135,0)&amp;" Name, then Fill in Columns "&amp;TEXT($H$2,0)&amp;" - "&amp;TEXT($AL$2,0)&amp;"       ",""))</f>
        <v/>
      </c>
      <c r="E135" s="1245" t="str">
        <f ca="1">IF(AS135="N/A","",IF(AS135="N","No","Yes"))</f>
        <v/>
      </c>
      <c r="F135" s="758"/>
      <c r="G135" s="758"/>
      <c r="H135" s="1707"/>
      <c r="I135" s="758"/>
      <c r="J135" s="1653"/>
      <c r="K135" s="1248" t="str">
        <f ca="1">IF($E135&lt;&gt;"","Enter Street Address      ","")</f>
        <v/>
      </c>
      <c r="L135" s="1740"/>
      <c r="M135" s="1248" t="str">
        <f ca="1">IF($E135&lt;&gt;"","Enter City Name       ","")</f>
        <v/>
      </c>
      <c r="N135" s="1740"/>
      <c r="O135" s="1248" t="str">
        <f ca="1">IF($E135&lt;&gt;"","Select from Pull-Down List   ","")</f>
        <v/>
      </c>
      <c r="P135" s="1741"/>
      <c r="Q135" s="1248" t="str">
        <f ca="1">IF($E135&lt;&gt;"","Enter ZIP Code       ","")</f>
        <v/>
      </c>
      <c r="R135" s="1742"/>
      <c r="S135" s="1248" t="str">
        <f ca="1">IF(OR(N135&lt;&gt;"",P135&lt;&gt;"",J135&lt;&gt;"",L135&lt;&gt;""),"",IF($E135&lt;&gt;"","Enter Lat.      ",""))</f>
        <v/>
      </c>
      <c r="T135" s="1742"/>
      <c r="U135" s="1248" t="str">
        <f ca="1">IF(OR(N135&lt;&gt;"",P135&lt;&gt;"",J135&lt;&gt;"",L135&lt;&gt;""),"",IF($E135&lt;&gt;"","Enter Long.    ",""))</f>
        <v/>
      </c>
      <c r="V135" s="1653"/>
      <c r="W135" s="1618" t="str">
        <f ca="1">IF($E135&lt;&gt;"","Select from Pull-Down List  ","")</f>
        <v/>
      </c>
      <c r="X135" s="1653"/>
      <c r="Y135" s="1618" t="str">
        <f ca="1">IF($E135&lt;&gt;"","Select from Pull-Down List  ","")</f>
        <v/>
      </c>
      <c r="Z135" s="1743"/>
      <c r="AA135" s="1248" t="str">
        <f ca="1">IF(E135&lt;&gt;"","Year?   ","")</f>
        <v/>
      </c>
      <c r="AB135" s="1943"/>
      <c r="AC135" s="1620" t="str">
        <f ca="1">IF(E135="","",IF(X135="","Sq. Ft. or Spaces?   ",IF(OR(X135=Codes!$L$26,X135=Codes!$L$27,X135=Codes!$L$28),"Sq. Ft. or Spaces?   ",IF(OR(X135=Codes!$L$20,X135=Codes!$L$21,X135=Codes!$L$22,X135=Codes!$L$23,X135=Codes!$L$24,X135=Codes!$L$25),"Sq. Ft?     ",""))))</f>
        <v/>
      </c>
      <c r="AD135" s="1740"/>
      <c r="AE135" s="1618" t="str">
        <f ca="1">IF($E135&lt;&gt;"","Select from List     ","")</f>
        <v/>
      </c>
      <c r="AF135" s="1621"/>
      <c r="AG135" s="1618" t="str">
        <f ca="1">IF($E135&lt;&gt;"","% of Cap Resp.","")</f>
        <v/>
      </c>
      <c r="AH135" s="1801" t="str">
        <f ca="1">IF(BW135="", "", IF(BW135&gt;100, 1, VLOOKUP(BW135, Valid!$W$1:$AA$101, VLOOKUP(X135, Codes!$L$20:$N$28, 3, FALSE), FALSE)))</f>
        <v/>
      </c>
      <c r="AI135" s="1620" t="str">
        <f ca="1">IF($E135&lt;&gt;"","Estimated?  ","")</f>
        <v/>
      </c>
      <c r="AJ135" s="1654"/>
      <c r="AK135" s="1620" t="str">
        <f ca="1">IF($E135&lt;&gt;"","Estimated $?    ","")</f>
        <v/>
      </c>
      <c r="AL135" s="1730"/>
      <c r="AM135" s="1620" t="b">
        <f ca="1">IF(E135&lt;&gt;"","Est Date?    ")</f>
        <v>0</v>
      </c>
      <c r="AN135" s="1740"/>
      <c r="AO135" s="1248" t="str">
        <f>IF(X135="Other (describe in Notes)","Describe Facility.                                                                                                                        ","")</f>
        <v/>
      </c>
      <c r="AP135" s="1624"/>
      <c r="AQ135" s="1624" t="b">
        <f>IF(AND(C135="",C137&lt;&gt;""),TRUE,FALSE)</f>
        <v>0</v>
      </c>
      <c r="AR135" s="1624" t="str">
        <f>IF(AND(J135&lt;&gt;"",L135&lt;&gt;"",N135&lt;&gt;"",P135&lt;&gt;"",R135="",T135=""),"Y",IF(AND(J135="",L135="",N135="",P135="",R135&lt;&gt;"",T135&lt;&gt;""),"Y",IF(AND(J135&lt;&gt;"",L135&lt;&gt;"",N135&lt;&gt;"",P135&lt;&gt;"",R135&lt;&gt;"",T135&lt;&gt;""),"Y",IF(AND(J135="",L135="",N135="",P135="",R135="",T135=""),"N/A","N"))))</f>
        <v>N/A</v>
      </c>
      <c r="AS135" s="1624" t="str">
        <f ca="1">IF(AND($C135&lt;&gt;"",OR(AR135="N",$V135="",$X135="",$Z135="",$AB135="",$AF135="",$AH135="",$AL135="",AD135="")),"N",IF(AND($C135="",OR(H135&lt;&gt;"",AR135="N",$V135&lt;&gt;"",$X135&lt;&gt;"",$Z135&lt;&gt;"",$AB135&lt;&gt;"",$AF135&lt;&gt;"",$AH135&lt;&gt;"",$AL135&lt;&gt;"",AD135&lt;&gt;"")),"N",IF(AND(H135="",$C135="",AR135="N/A",$V135="",$X135="",$Z135="",$AB135="",$AF135="",$AH135="",$AL135="",AD135=""),"N/A",IF(AND($C135&lt;&gt;"",AR135="Y",$V135&lt;&gt;"",$X135&lt;&gt;"",$Z135&lt;&gt;"",$AB135&lt;&gt;"",$AF135&lt;&gt;"",$AH135&lt;&gt;"",$AL135&lt;&gt;"",AD135&lt;&gt;""),"Y","N"))))</f>
        <v>N/A</v>
      </c>
      <c r="AT135" s="1761" t="b">
        <f ca="1">IF(AND($C135="",OR($J135&lt;&gt;"",$L135&lt;&gt;"",$N135&lt;&gt;"",$P135&lt;&gt;"",$V135&lt;&gt;"",$X135&lt;&gt;"",$Z135&lt;&gt;"",$AB135&lt;&gt;"",$AF135&lt;&gt;"",$AH135&lt;&gt;"",$AL135&lt;&gt;"")),TRUE,FALSE)</f>
        <v>0</v>
      </c>
      <c r="AU135" s="1761" t="b">
        <f>IF(OR(R135&lt;&gt;"",T135&lt;&gt;""),"false",IF(AND($C135&lt;&gt;"",$J135=""),TRUE,FALSE))</f>
        <v>0</v>
      </c>
      <c r="AV135" s="1761" t="b">
        <f>IF(OR(R135&lt;&gt;"",T135&lt;&gt;""),FALSE,IF(AND($C135&lt;&gt;"",$L135=""),TRUE,FALSE))</f>
        <v>0</v>
      </c>
      <c r="AW135" s="1761" t="b">
        <f>IF(OR(R135&lt;&gt;"",T135&lt;&gt;""),FALSE,IF(AND($C135&lt;&gt;"",$N135=""),TRUE,FALSE))</f>
        <v>0</v>
      </c>
      <c r="AX135" s="1761" t="b">
        <f>IF(OR(R135&lt;&gt;"",T135&lt;&gt;""),FALSE,IF(AND($C135&lt;&gt;"",$P135=""),TRUE,FALSE))</f>
        <v>0</v>
      </c>
      <c r="AY135" s="1761"/>
      <c r="AZ135" s="1761" t="b">
        <f>IF(OR(J135&lt;&gt;"",L135&lt;&gt;"",N135&lt;&gt;"",P135&lt;&gt;""),FALSE,IF(AND(C135&lt;&gt;"",R135=""),TRUE,FALSE))</f>
        <v>0</v>
      </c>
      <c r="BA135" s="1761"/>
      <c r="BB135" s="1761" t="b">
        <f>IF(OR(J135&lt;&gt;"",L135&lt;&gt;"",N135&lt;&gt;"",P135&lt;&gt;""),FALSE,IF(AND(C135&lt;&gt;"",T135=""),TRUE,FALSE))</f>
        <v>0</v>
      </c>
      <c r="BC135" s="1761" t="b">
        <f>IF(AND($C135&lt;&gt;"",$V135=""),TRUE,FALSE)</f>
        <v>0</v>
      </c>
      <c r="BD135" s="1761" t="b">
        <f ca="1">IF(AND(X135="",OR(Z135&lt;&gt;"",AB135&lt;&gt;"",AF135&lt;&gt;"",AH135&lt;&gt;"",AL135&lt;&gt;"",AD135&lt;&gt;"")),TRUE,FALSE)</f>
        <v>0</v>
      </c>
      <c r="BE135" s="1761" t="b">
        <f>IF(AND($C135&lt;&gt;"",$X135=""),TRUE,FALSE)</f>
        <v>0</v>
      </c>
      <c r="BF135" s="1761" t="b">
        <f>IF(Z135="",FALSE,IF(X135="",FALSE,IF(BG135=TRUE,FALSE,IF(OR(Z135&lt;BU135,Z135&gt;BaseYear),TRUE,FALSE))))</f>
        <v>0</v>
      </c>
      <c r="BG135" s="1761" t="b">
        <f>IF(AND($C135&lt;&gt;"",$Z135=""),TRUE,FALSE)</f>
        <v>0</v>
      </c>
      <c r="BH135" s="1761" t="b">
        <f>IF(AD135="",FALSE,IF(X135="",FALSE,IF(BJ135=TRUE,FALSE,IF(AB135&lt;BX135,TRUE,FALSE))))</f>
        <v>0</v>
      </c>
      <c r="BI135" s="1761" t="b">
        <f>IF(AD135="",FALSE,IF(X135="",FALSE,IF(BJ135=TRUE,FALSE,IF(AB135&gt;BY135,TRUE,FALSE))))</f>
        <v>0</v>
      </c>
      <c r="BJ135" s="1761" t="b">
        <f>IF(AND($C135&lt;&gt;"",$AB135=""),TRUE,FALSE)</f>
        <v>0</v>
      </c>
      <c r="BK135" s="1761" t="b">
        <f>IF(BL135=TRUE,FALSE,IF(OR(AF135&lt;0,AF135&gt;1),TRUE,FALSE))</f>
        <v>0</v>
      </c>
      <c r="BL135" s="1761" t="b">
        <f>IF(AND($C135&lt;&gt;"",$AF135=""),TRUE,FALSE)</f>
        <v>0</v>
      </c>
      <c r="BM135" s="1761"/>
      <c r="BN135" s="1761" t="b">
        <f ca="1">IF(AND($C135&lt;&gt;"",$AH135=""),TRUE,FALSE)</f>
        <v>0</v>
      </c>
      <c r="BO135" s="1761" t="b">
        <f>IF(AL135="",FALSE,IF(X135="",FALSE,IF(BP135=TRUE,FALSE,IF(OR(AL135&lt;1913,AL135&gt;BaseYear),TRUE,FALSE))))</f>
        <v>0</v>
      </c>
      <c r="BP135" s="1761" t="b">
        <f>IF(AND($C135&lt;&gt;"",$AL135=""),TRUE,FALSE)</f>
        <v>0</v>
      </c>
      <c r="BQ135" s="1761" t="b">
        <f>IF(AD135="Square Foot",FALSE,IF(AND(AD135="Parking Space",OR('A-20 PassFacInv'!X135=Valid!$B$7,'A-20 PassFacInv'!X135=Valid!$B$8,'A-20 PassFacInv'!X135=Valid!$B$9,'A-20 PassFacInv'!X135=Valid!$B$10,'A-20 PassFacInv'!X135=Valid!$B$12,'A-20 PassFacInv'!X135=Valid!$B$13,'A-20 PassFacInv'!X135=Valid!$B$14,'A-20 PassFacInv'!X135=Valid!$B$15,'A-20 PassFacInv'!X135=Valid!$B$16,'A-20 PassFacInv'!X135=Valid!$B$17,'A-20 PassFacInv'!X135=Valid!$B$18,X135=Valid!$B$19,X135=Valid!$B$20,X135=Valid!$B$21)),TRUE,FALSE))</f>
        <v>0</v>
      </c>
      <c r="BR135" s="1761" t="b">
        <f>IF(AND($C135&lt;&gt;"",$AD135=""),TRUE,FALSE)</f>
        <v>0</v>
      </c>
      <c r="BS135" s="721"/>
      <c r="BT135" s="1625" t="str">
        <f>IF($X135="","",VLOOKUP($X135,val_facilities,BT$3,FALSE))</f>
        <v/>
      </c>
      <c r="BU135" s="1627" t="str">
        <f>IF($X135="","",VLOOKUP($X135,val_facilities,BU$3,FALSE))</f>
        <v/>
      </c>
      <c r="BV135" s="1627" t="str">
        <f>IF($X135="","",VLOOKUP($X135,val_facilities,BV$3,FALSE))</f>
        <v/>
      </c>
      <c r="BW135" s="1627" t="str">
        <f ca="1">IFERROR(IF(Z135="", "", YEAR(TODAY())-Z135), "")</f>
        <v/>
      </c>
      <c r="BX135" s="845" t="str">
        <f>IF($X135="","",IF(AD135="Square Feet",VLOOKUP('A-20 PassFacInv'!X74,Valid!$B$7:$H$24,7,FALSE),IF(AD135="Parking Spaces",VLOOKUP(X135,Valid!$B$22:$L$24,11,FALSE))))</f>
        <v/>
      </c>
      <c r="BY135" s="845" t="str">
        <f>IF($X135="","",IF(AD135="Square Feet",VLOOKUP(X135,Valid!$B$7:$I$24,8,FALSE),IF('A-20 PassFacInv'!AD74="Parking Spaces",VLOOKUP('A-20 PassFacInv'!X74,Valid!$B$22:$M$24,12,FALSE))))</f>
        <v/>
      </c>
      <c r="BZ135" s="758"/>
      <c r="CA135" s="721">
        <f t="shared" si="2"/>
        <v>0</v>
      </c>
      <c r="CB135" s="816"/>
    </row>
    <row r="136" spans="1:80" s="1739" customFormat="1" ht="6.75" customHeight="1" thickBot="1" x14ac:dyDescent="0.25">
      <c r="A136" s="1638"/>
      <c r="B136" s="1746">
        <v>62.5</v>
      </c>
      <c r="C136" s="721"/>
      <c r="D136" s="1248"/>
      <c r="E136" s="816"/>
      <c r="F136" s="758"/>
      <c r="G136" s="758"/>
      <c r="H136" s="758"/>
      <c r="I136" s="758"/>
      <c r="J136" s="1633"/>
      <c r="K136" s="1248"/>
      <c r="L136" s="1634"/>
      <c r="M136" s="1248"/>
      <c r="N136" s="1634"/>
      <c r="O136" s="1248"/>
      <c r="P136" s="1657"/>
      <c r="Q136" s="1248"/>
      <c r="R136" s="1656"/>
      <c r="S136" s="1248"/>
      <c r="T136" s="1656"/>
      <c r="U136" s="1248"/>
      <c r="V136" s="1059"/>
      <c r="W136" s="1618"/>
      <c r="X136" s="764"/>
      <c r="Y136" s="1618"/>
      <c r="Z136" s="1623"/>
      <c r="AA136" s="1618"/>
      <c r="AB136" s="1944"/>
      <c r="AC136" s="723"/>
      <c r="AD136" s="1658"/>
      <c r="AE136" s="724"/>
      <c r="AF136" s="724"/>
      <c r="AG136" s="723"/>
      <c r="AH136" s="722"/>
      <c r="AI136" s="723"/>
      <c r="AJ136" s="722"/>
      <c r="AK136" s="723"/>
      <c r="AL136" s="1717"/>
      <c r="AM136" s="723"/>
      <c r="AN136" s="1637"/>
      <c r="AO136" s="1624"/>
      <c r="AP136" s="1624"/>
      <c r="AQ136" s="1624"/>
      <c r="AR136" s="1624"/>
      <c r="AS136" s="1624"/>
      <c r="AT136" s="1761"/>
      <c r="AU136" s="1761"/>
      <c r="AV136" s="1761"/>
      <c r="AW136" s="1761"/>
      <c r="AX136" s="1761"/>
      <c r="AY136" s="1761"/>
      <c r="AZ136" s="1761"/>
      <c r="BA136" s="1761"/>
      <c r="BB136" s="1761"/>
      <c r="BC136" s="1761"/>
      <c r="BD136" s="1761"/>
      <c r="BE136" s="1761"/>
      <c r="BF136" s="1761"/>
      <c r="BG136" s="1761"/>
      <c r="BH136" s="1761"/>
      <c r="BI136" s="1761"/>
      <c r="BJ136" s="1761"/>
      <c r="BK136" s="1761"/>
      <c r="BL136" s="1761"/>
      <c r="BM136" s="1761"/>
      <c r="BN136" s="1761"/>
      <c r="BO136" s="1761"/>
      <c r="BP136" s="1761"/>
      <c r="BQ136" s="1761"/>
      <c r="BR136" s="1761"/>
      <c r="BS136" s="721"/>
      <c r="BT136" s="1626"/>
      <c r="BU136" s="1626"/>
      <c r="BV136" s="1626"/>
      <c r="BW136" s="1626"/>
      <c r="BX136" s="1626"/>
      <c r="BY136" s="1626"/>
      <c r="BZ136" s="1229"/>
      <c r="CA136" s="721">
        <f t="shared" si="2"/>
        <v>0</v>
      </c>
      <c r="CB136" s="816"/>
    </row>
    <row r="137" spans="1:80" s="1739" customFormat="1" x14ac:dyDescent="0.2">
      <c r="A137" s="840">
        <v>63</v>
      </c>
      <c r="B137" s="1731">
        <v>63</v>
      </c>
      <c r="C137" s="1740"/>
      <c r="D137" s="1248" t="str">
        <f>IF(C135="","",IF((C137=""),"Enter Facility "&amp;TEXT(A137,0)&amp;" Name, then Fill in Columns "&amp;TEXT($H$2,0)&amp;" - "&amp;TEXT($AL$2,0)&amp;"       ",""))</f>
        <v/>
      </c>
      <c r="E137" s="1245" t="str">
        <f ca="1">IF(AS137="N/A","",IF(AS137="N","No","Yes"))</f>
        <v/>
      </c>
      <c r="F137" s="758"/>
      <c r="G137" s="758"/>
      <c r="H137" s="1707"/>
      <c r="I137" s="758"/>
      <c r="J137" s="1653"/>
      <c r="K137" s="1248" t="str">
        <f ca="1">IF($E137&lt;&gt;"","Enter Street Address      ","")</f>
        <v/>
      </c>
      <c r="L137" s="1740"/>
      <c r="M137" s="1248" t="str">
        <f ca="1">IF($E137&lt;&gt;"","Enter City Name       ","")</f>
        <v/>
      </c>
      <c r="N137" s="1740"/>
      <c r="O137" s="1248" t="str">
        <f ca="1">IF($E137&lt;&gt;"","Select from Pull-Down List   ","")</f>
        <v/>
      </c>
      <c r="P137" s="1741"/>
      <c r="Q137" s="1248" t="str">
        <f ca="1">IF($E137&lt;&gt;"","Enter ZIP Code       ","")</f>
        <v/>
      </c>
      <c r="R137" s="1742"/>
      <c r="S137" s="1248" t="str">
        <f ca="1">IF(OR(N137&lt;&gt;"",P137&lt;&gt;"",J137&lt;&gt;"",L137&lt;&gt;""),"",IF($E137&lt;&gt;"","Enter Lat.      ",""))</f>
        <v/>
      </c>
      <c r="T137" s="1742"/>
      <c r="U137" s="1248" t="str">
        <f ca="1">IF(OR(N137&lt;&gt;"",P137&lt;&gt;"",J137&lt;&gt;"",L137&lt;&gt;""),"",IF($E137&lt;&gt;"","Enter Long.    ",""))</f>
        <v/>
      </c>
      <c r="V137" s="1653"/>
      <c r="W137" s="1618" t="str">
        <f ca="1">IF($E137&lt;&gt;"","Select from Pull-Down List  ","")</f>
        <v/>
      </c>
      <c r="X137" s="1653"/>
      <c r="Y137" s="1618" t="str">
        <f ca="1">IF($E137&lt;&gt;"","Select from Pull-Down List  ","")</f>
        <v/>
      </c>
      <c r="Z137" s="1743"/>
      <c r="AA137" s="1248" t="str">
        <f ca="1">IF(E137&lt;&gt;"","Year?   ","")</f>
        <v/>
      </c>
      <c r="AB137" s="1943"/>
      <c r="AC137" s="1620" t="str">
        <f ca="1">IF(E137="","",IF(X137="","Sq. Ft. or Spaces?   ",IF(OR(X137=Codes!$L$26,X137=Codes!$L$27,X137=Codes!$L$28),"Sq. Ft. or Spaces?   ",IF(OR(X137=Codes!$L$20,X137=Codes!$L$21,X137=Codes!$L$22,X137=Codes!$L$23,X137=Codes!$L$24,X137=Codes!$L$25),"Sq. Ft?     ",""))))</f>
        <v/>
      </c>
      <c r="AD137" s="1740"/>
      <c r="AE137" s="1618" t="str">
        <f ca="1">IF($E137&lt;&gt;"","Select from List     ","")</f>
        <v/>
      </c>
      <c r="AF137" s="1621"/>
      <c r="AG137" s="1618" t="str">
        <f ca="1">IF($E137&lt;&gt;"","% of Cap Resp.","")</f>
        <v/>
      </c>
      <c r="AH137" s="1801" t="str">
        <f ca="1">IF(BW137="", "", IF(BW137&gt;100, 1, VLOOKUP(BW137, Valid!$W$1:$AA$101, VLOOKUP(X137, Codes!$L$20:$N$28, 3, FALSE), FALSE)))</f>
        <v/>
      </c>
      <c r="AI137" s="1620" t="str">
        <f ca="1">IF($E137&lt;&gt;"","Estimated?  ","")</f>
        <v/>
      </c>
      <c r="AJ137" s="1654"/>
      <c r="AK137" s="1620" t="str">
        <f ca="1">IF($E137&lt;&gt;"","Estimated $?    ","")</f>
        <v/>
      </c>
      <c r="AL137" s="1730"/>
      <c r="AM137" s="1620" t="b">
        <f ca="1">IF(E137&lt;&gt;"","Est Date?    ")</f>
        <v>0</v>
      </c>
      <c r="AN137" s="1740"/>
      <c r="AO137" s="1248" t="str">
        <f>IF(X137="Other (describe in Notes)","Describe Facility.                                                                                                                        ","")</f>
        <v/>
      </c>
      <c r="AP137" s="1624"/>
      <c r="AQ137" s="1624" t="b">
        <f>IF(AND(C137="",C139&lt;&gt;""),TRUE,FALSE)</f>
        <v>0</v>
      </c>
      <c r="AR137" s="1624" t="str">
        <f>IF(AND(J137&lt;&gt;"",L137&lt;&gt;"",N137&lt;&gt;"",P137&lt;&gt;"",R137="",T137=""),"Y",IF(AND(J137="",L137="",N137="",P137="",R137&lt;&gt;"",T137&lt;&gt;""),"Y",IF(AND(J137&lt;&gt;"",L137&lt;&gt;"",N137&lt;&gt;"",P137&lt;&gt;"",R137&lt;&gt;"",T137&lt;&gt;""),"Y",IF(AND(J137="",L137="",N137="",P137="",R137="",T137=""),"N/A","N"))))</f>
        <v>N/A</v>
      </c>
      <c r="AS137" s="1624" t="str">
        <f ca="1">IF(AND($C137&lt;&gt;"",OR(AR137="N",$V137="",$X137="",$Z137="",$AB137="",$AF137="",$AH137="",$AL137="",AD137="")),"N",IF(AND($C137="",OR(H137&lt;&gt;"",AR137="N",$V137&lt;&gt;"",$X137&lt;&gt;"",$Z137&lt;&gt;"",$AB137&lt;&gt;"",$AF137&lt;&gt;"",$AH137&lt;&gt;"",$AL137&lt;&gt;"",AD137&lt;&gt;"")),"N",IF(AND(H137="",$C137="",AR137="N/A",$V137="",$X137="",$Z137="",$AB137="",$AF137="",$AH137="",$AL137="",AD137=""),"N/A",IF(AND($C137&lt;&gt;"",AR137="Y",$V137&lt;&gt;"",$X137&lt;&gt;"",$Z137&lt;&gt;"",$AB137&lt;&gt;"",$AF137&lt;&gt;"",$AH137&lt;&gt;"",$AL137&lt;&gt;"",AD137&lt;&gt;""),"Y","N"))))</f>
        <v>N/A</v>
      </c>
      <c r="AT137" s="1761" t="b">
        <f ca="1">IF(AND($C137="",OR($J137&lt;&gt;"",$L137&lt;&gt;"",$N137&lt;&gt;"",$P137&lt;&gt;"",$V137&lt;&gt;"",$X137&lt;&gt;"",$Z137&lt;&gt;"",$AB137&lt;&gt;"",$AF137&lt;&gt;"",$AH137&lt;&gt;"",$AL137&lt;&gt;"")),TRUE,FALSE)</f>
        <v>0</v>
      </c>
      <c r="AU137" s="1761" t="b">
        <f>IF(OR(R137&lt;&gt;"",T137&lt;&gt;""),"false",IF(AND($C137&lt;&gt;"",$J137=""),TRUE,FALSE))</f>
        <v>0</v>
      </c>
      <c r="AV137" s="1761" t="b">
        <f>IF(OR(R137&lt;&gt;"",T137&lt;&gt;""),FALSE,IF(AND($C137&lt;&gt;"",$L137=""),TRUE,FALSE))</f>
        <v>0</v>
      </c>
      <c r="AW137" s="1761" t="b">
        <f>IF(OR(R137&lt;&gt;"",T137&lt;&gt;""),FALSE,IF(AND($C137&lt;&gt;"",$N137=""),TRUE,FALSE))</f>
        <v>0</v>
      </c>
      <c r="AX137" s="1761" t="b">
        <f>IF(OR(R137&lt;&gt;"",T137&lt;&gt;""),FALSE,IF(AND($C137&lt;&gt;"",$P137=""),TRUE,FALSE))</f>
        <v>0</v>
      </c>
      <c r="AY137" s="1761"/>
      <c r="AZ137" s="1761" t="b">
        <f>IF(OR(J137&lt;&gt;"",L137&lt;&gt;"",N137&lt;&gt;"",P137&lt;&gt;""),FALSE,IF(AND(C137&lt;&gt;"",R137=""),TRUE,FALSE))</f>
        <v>0</v>
      </c>
      <c r="BA137" s="1761"/>
      <c r="BB137" s="1761" t="b">
        <f>IF(OR(J137&lt;&gt;"",L137&lt;&gt;"",N137&lt;&gt;"",P137&lt;&gt;""),FALSE,IF(AND(C137&lt;&gt;"",T137=""),TRUE,FALSE))</f>
        <v>0</v>
      </c>
      <c r="BC137" s="1761" t="b">
        <f>IF(AND($C137&lt;&gt;"",$V137=""),TRUE,FALSE)</f>
        <v>0</v>
      </c>
      <c r="BD137" s="1761" t="b">
        <f ca="1">IF(AND(X137="",OR(Z137&lt;&gt;"",AB137&lt;&gt;"",AF137&lt;&gt;"",AH137&lt;&gt;"",AL137&lt;&gt;"",AD137&lt;&gt;"")),TRUE,FALSE)</f>
        <v>0</v>
      </c>
      <c r="BE137" s="1761" t="b">
        <f>IF(AND($C137&lt;&gt;"",$X137=""),TRUE,FALSE)</f>
        <v>0</v>
      </c>
      <c r="BF137" s="1761" t="b">
        <f>IF(Z137="",FALSE,IF(X137="",FALSE,IF(BG137=TRUE,FALSE,IF(OR(Z137&lt;BU137,Z137&gt;BaseYear),TRUE,FALSE))))</f>
        <v>0</v>
      </c>
      <c r="BG137" s="1761" t="b">
        <f>IF(AND($C137&lt;&gt;"",$Z137=""),TRUE,FALSE)</f>
        <v>0</v>
      </c>
      <c r="BH137" s="1761" t="b">
        <f>IF(AD137="",FALSE,IF(X137="",FALSE,IF(BJ137=TRUE,FALSE,IF(AB137&lt;BX137,TRUE,FALSE))))</f>
        <v>0</v>
      </c>
      <c r="BI137" s="1761" t="b">
        <f>IF(AD137="",FALSE,IF(X137="",FALSE,IF(BJ137=TRUE,FALSE,IF(AB137&gt;BY137,TRUE,FALSE))))</f>
        <v>0</v>
      </c>
      <c r="BJ137" s="1761" t="b">
        <f>IF(AND($C137&lt;&gt;"",$AB137=""),TRUE,FALSE)</f>
        <v>0</v>
      </c>
      <c r="BK137" s="1761" t="b">
        <f>IF(BL137=TRUE,FALSE,IF(OR(AF137&lt;0,AF137&gt;1),TRUE,FALSE))</f>
        <v>0</v>
      </c>
      <c r="BL137" s="1761" t="b">
        <f>IF(AND($C137&lt;&gt;"",$AF137=""),TRUE,FALSE)</f>
        <v>0</v>
      </c>
      <c r="BM137" s="1761"/>
      <c r="BN137" s="1761" t="b">
        <f ca="1">IF(AND($C137&lt;&gt;"",$AH137=""),TRUE,FALSE)</f>
        <v>0</v>
      </c>
      <c r="BO137" s="1761" t="b">
        <f>IF(AL137="",FALSE,IF(X137="",FALSE,IF(BP137=TRUE,FALSE,IF(OR(AL137&lt;1913,AL137&gt;BaseYear),TRUE,FALSE))))</f>
        <v>0</v>
      </c>
      <c r="BP137" s="1761" t="b">
        <f>IF(AND($C137&lt;&gt;"",$AL137=""),TRUE,FALSE)</f>
        <v>0</v>
      </c>
      <c r="BQ137" s="1761" t="b">
        <f>IF(AD137="Square Foot",FALSE,IF(AND(AD137="Parking Space",OR('A-20 PassFacInv'!X137=Valid!$B$7,'A-20 PassFacInv'!X137=Valid!$B$8,'A-20 PassFacInv'!X137=Valid!$B$9,'A-20 PassFacInv'!X137=Valid!$B$10,'A-20 PassFacInv'!X137=Valid!$B$12,'A-20 PassFacInv'!X137=Valid!$B$13,'A-20 PassFacInv'!X137=Valid!$B$14,'A-20 PassFacInv'!X137=Valid!$B$15,'A-20 PassFacInv'!X137=Valid!$B$16,'A-20 PassFacInv'!X137=Valid!$B$17,'A-20 PassFacInv'!X137=Valid!$B$18,X137=Valid!$B$19,X137=Valid!$B$20,X137=Valid!$B$21)),TRUE,FALSE))</f>
        <v>0</v>
      </c>
      <c r="BR137" s="1761" t="b">
        <f>IF(AND($C137&lt;&gt;"",$AD137=""),TRUE,FALSE)</f>
        <v>0</v>
      </c>
      <c r="BS137" s="721"/>
      <c r="BT137" s="1625" t="str">
        <f>IF($X137="","",VLOOKUP($X137,val_facilities,BT$3,FALSE))</f>
        <v/>
      </c>
      <c r="BU137" s="1627" t="str">
        <f>IF($X137="","",VLOOKUP($X137,val_facilities,BU$3,FALSE))</f>
        <v/>
      </c>
      <c r="BV137" s="1627" t="str">
        <f>IF($X137="","",VLOOKUP($X137,val_facilities,BV$3,FALSE))</f>
        <v/>
      </c>
      <c r="BW137" s="1627" t="str">
        <f ca="1">IFERROR(IF(Z137="", "", YEAR(TODAY())-Z137), "")</f>
        <v/>
      </c>
      <c r="BX137" s="845" t="str">
        <f>IF($X137="","",IF(AD137="Square Feet",VLOOKUP('A-20 PassFacInv'!X75,Valid!$B$7:$H$24,7,FALSE),IF(AD137="Parking Spaces",VLOOKUP(X137,Valid!$B$22:$L$24,11,FALSE))))</f>
        <v/>
      </c>
      <c r="BY137" s="845" t="str">
        <f>IF($X137="","",IF(AD137="Square Feet",VLOOKUP(X137,Valid!$B$7:$I$24,8,FALSE),IF('A-20 PassFacInv'!AD75="Parking Spaces",VLOOKUP('A-20 PassFacInv'!X75,Valid!$B$22:$M$24,12,FALSE))))</f>
        <v/>
      </c>
      <c r="BZ137" s="758"/>
      <c r="CA137" s="721">
        <f t="shared" si="2"/>
        <v>0</v>
      </c>
      <c r="CB137" s="816"/>
    </row>
    <row r="138" spans="1:80" s="1739" customFormat="1" ht="6.75" customHeight="1" thickBot="1" x14ac:dyDescent="0.25">
      <c r="A138" s="1638"/>
      <c r="B138" s="1746">
        <v>63.5</v>
      </c>
      <c r="C138" s="1057"/>
      <c r="D138" s="1248"/>
      <c r="E138" s="1057"/>
      <c r="F138" s="1229"/>
      <c r="G138" s="1229"/>
      <c r="H138" s="1229"/>
      <c r="I138" s="1229"/>
      <c r="J138" s="1604"/>
      <c r="K138" s="1640"/>
      <c r="L138" s="1641"/>
      <c r="M138" s="1248"/>
      <c r="N138" s="1641"/>
      <c r="O138" s="1248"/>
      <c r="P138" s="1659"/>
      <c r="Q138" s="1248"/>
      <c r="R138" s="1660"/>
      <c r="S138" s="1640"/>
      <c r="T138" s="1660"/>
      <c r="U138" s="1640"/>
      <c r="V138" s="1057"/>
      <c r="W138" s="1618"/>
      <c r="X138" s="1747"/>
      <c r="Y138" s="1618"/>
      <c r="Z138" s="1623"/>
      <c r="AA138" s="1618"/>
      <c r="AB138" s="1944"/>
      <c r="AC138" s="1275"/>
      <c r="AD138" s="1661"/>
      <c r="AE138" s="734"/>
      <c r="AF138" s="1736"/>
      <c r="AG138" s="1275"/>
      <c r="AH138" s="733"/>
      <c r="AI138" s="1275"/>
      <c r="AJ138" s="733"/>
      <c r="AK138" s="1275"/>
      <c r="AL138" s="1721"/>
      <c r="AM138" s="1275"/>
      <c r="AN138" s="1057"/>
      <c r="AO138" s="1644"/>
      <c r="AP138" s="1644"/>
      <c r="AQ138" s="1644"/>
      <c r="AR138" s="1644"/>
      <c r="AS138" s="1644"/>
      <c r="AT138" s="1761"/>
      <c r="AU138" s="1761"/>
      <c r="AV138" s="1761"/>
      <c r="AW138" s="1761"/>
      <c r="AX138" s="1761"/>
      <c r="AY138" s="1761"/>
      <c r="AZ138" s="1761"/>
      <c r="BA138" s="1761"/>
      <c r="BB138" s="1761"/>
      <c r="BC138" s="1762"/>
      <c r="BD138" s="1762"/>
      <c r="BE138" s="1762"/>
      <c r="BF138" s="1762"/>
      <c r="BG138" s="1762"/>
      <c r="BH138" s="1762"/>
      <c r="BI138" s="1762"/>
      <c r="BJ138" s="1762"/>
      <c r="BK138" s="1762"/>
      <c r="BL138" s="1762"/>
      <c r="BM138" s="1762"/>
      <c r="BN138" s="1762"/>
      <c r="BO138" s="1762"/>
      <c r="BP138" s="1762"/>
      <c r="BQ138" s="1762"/>
      <c r="BR138" s="1762"/>
      <c r="BS138" s="1736"/>
      <c r="BT138" s="1738"/>
      <c r="BU138" s="1738"/>
      <c r="BV138" s="1738"/>
      <c r="BW138" s="1738"/>
      <c r="BX138" s="1738"/>
      <c r="BY138" s="1738"/>
      <c r="BZ138" s="1229"/>
      <c r="CA138" s="721">
        <f t="shared" si="2"/>
        <v>0</v>
      </c>
      <c r="CB138" s="1748"/>
    </row>
    <row r="139" spans="1:80" s="1739" customFormat="1" x14ac:dyDescent="0.2">
      <c r="A139" s="840">
        <v>64</v>
      </c>
      <c r="B139" s="1746">
        <v>64</v>
      </c>
      <c r="C139" s="1740"/>
      <c r="D139" s="1248" t="str">
        <f>IF(C137="","",IF((C139=""),"Enter Facility "&amp;TEXT(A139,0)&amp;" Name, then Fill in Columns "&amp;TEXT($H$2,0)&amp;" - "&amp;TEXT($AL$2,0)&amp;"       ",""))</f>
        <v/>
      </c>
      <c r="E139" s="1245" t="str">
        <f ca="1">IF(AS139="N/A","",IF(AS139="N","No","Yes"))</f>
        <v/>
      </c>
      <c r="F139" s="758"/>
      <c r="G139" s="758"/>
      <c r="H139" s="1707"/>
      <c r="I139" s="758"/>
      <c r="J139" s="1653"/>
      <c r="K139" s="1248" t="str">
        <f ca="1">IF($E139&lt;&gt;"","Enter Street Address      ","")</f>
        <v/>
      </c>
      <c r="L139" s="1740"/>
      <c r="M139" s="1248" t="str">
        <f ca="1">IF($E139&lt;&gt;"","Enter City Name       ","")</f>
        <v/>
      </c>
      <c r="N139" s="1740"/>
      <c r="O139" s="1248" t="str">
        <f ca="1">IF($E139&lt;&gt;"","Select from Pull-Down List   ","")</f>
        <v/>
      </c>
      <c r="P139" s="1741"/>
      <c r="Q139" s="1248" t="str">
        <f ca="1">IF($E139&lt;&gt;"","Enter ZIP Code       ","")</f>
        <v/>
      </c>
      <c r="R139" s="1742"/>
      <c r="S139" s="1248" t="str">
        <f ca="1">IF(OR(N139&lt;&gt;"",P139&lt;&gt;"",J139&lt;&gt;"",L139&lt;&gt;""),"",IF($E139&lt;&gt;"","Enter Lat.      ",""))</f>
        <v/>
      </c>
      <c r="T139" s="1742"/>
      <c r="U139" s="1248" t="str">
        <f ca="1">IF(OR(N139&lt;&gt;"",P139&lt;&gt;"",J139&lt;&gt;"",L139&lt;&gt;""),"",IF($E139&lt;&gt;"","Enter Long.    ",""))</f>
        <v/>
      </c>
      <c r="V139" s="1653"/>
      <c r="W139" s="1618" t="str">
        <f ca="1">IF($E139&lt;&gt;"","Select from Pull-Down List  ","")</f>
        <v/>
      </c>
      <c r="X139" s="1653"/>
      <c r="Y139" s="1618" t="str">
        <f ca="1">IF($E139&lt;&gt;"","Select from Pull-Down List  ","")</f>
        <v/>
      </c>
      <c r="Z139" s="1743"/>
      <c r="AA139" s="1248" t="str">
        <f ca="1">IF(E139&lt;&gt;"","Year?   ","")</f>
        <v/>
      </c>
      <c r="AB139" s="1943"/>
      <c r="AC139" s="1620" t="str">
        <f ca="1">IF(E139="","",IF(X139="","Sq. Ft. or Spaces?   ",IF(OR(X139=Codes!$L$26,X139=Codes!$L$27,X139=Codes!$L$28),"Sq. Ft. or Spaces?   ",IF(OR(X139=Codes!$L$20,X139=Codes!$L$21,X139=Codes!$L$22,X139=Codes!$L$23,X139=Codes!$L$24,X139=Codes!$L$25),"Sq. Ft?     ",""))))</f>
        <v/>
      </c>
      <c r="AD139" s="1740"/>
      <c r="AE139" s="1618" t="str">
        <f ca="1">IF($E139&lt;&gt;"","Select from List     ","")</f>
        <v/>
      </c>
      <c r="AF139" s="1621"/>
      <c r="AG139" s="1618" t="str">
        <f ca="1">IF($E139&lt;&gt;"","% of Cap Resp.","")</f>
        <v/>
      </c>
      <c r="AH139" s="1801" t="str">
        <f ca="1">IF(BW139="", "", IF(BW139&gt;100, 1, VLOOKUP(BW139, Valid!$W$1:$AA$101, VLOOKUP(X139, Codes!$L$20:$N$28, 3, FALSE), FALSE)))</f>
        <v/>
      </c>
      <c r="AI139" s="1620" t="str">
        <f ca="1">IF($E139&lt;&gt;"","Estimated?  ","")</f>
        <v/>
      </c>
      <c r="AJ139" s="1654"/>
      <c r="AK139" s="1620" t="str">
        <f ca="1">IF($E139&lt;&gt;"","Estimated $?    ","")</f>
        <v/>
      </c>
      <c r="AL139" s="1730"/>
      <c r="AM139" s="1620" t="b">
        <f ca="1">IF(E139&lt;&gt;"","Est Date?    ")</f>
        <v>0</v>
      </c>
      <c r="AN139" s="1740"/>
      <c r="AO139" s="1248" t="str">
        <f>IF(X139="Other (describe in Notes)","Describe Facility.                                                                                                                        ","")</f>
        <v/>
      </c>
      <c r="AP139" s="1624"/>
      <c r="AQ139" s="1624" t="b">
        <f>IF(AND(C139="",C141&lt;&gt;""),TRUE,FALSE)</f>
        <v>0</v>
      </c>
      <c r="AR139" s="1624" t="str">
        <f>IF(AND(J139&lt;&gt;"",L139&lt;&gt;"",N139&lt;&gt;"",P139&lt;&gt;"",R139="",T139=""),"Y",IF(AND(J139="",L139="",N139="",P139="",R139&lt;&gt;"",T139&lt;&gt;""),"Y",IF(AND(J139&lt;&gt;"",L139&lt;&gt;"",N139&lt;&gt;"",P139&lt;&gt;"",R139&lt;&gt;"",T139&lt;&gt;""),"Y",IF(AND(J139="",L139="",N139="",P139="",R139="",T139=""),"N/A","N"))))</f>
        <v>N/A</v>
      </c>
      <c r="AS139" s="1624" t="str">
        <f ca="1">IF(AND($C139&lt;&gt;"",OR(AR139="N",$V139="",$X139="",$Z139="",$AB139="",$AF139="",$AH139="",$AL139="",AD139="")),"N",IF(AND($C139="",OR(H139&lt;&gt;"",AR139="N",$V139&lt;&gt;"",$X139&lt;&gt;"",$Z139&lt;&gt;"",$AB139&lt;&gt;"",$AF139&lt;&gt;"",$AH139&lt;&gt;"",$AL139&lt;&gt;"",AD139&lt;&gt;"")),"N",IF(AND(H139="",$C139="",AR139="N/A",$V139="",$X139="",$Z139="",$AB139="",$AF139="",$AH139="",$AL139="",AD139=""),"N/A",IF(AND($C139&lt;&gt;"",AR139="Y",$V139&lt;&gt;"",$X139&lt;&gt;"",$Z139&lt;&gt;"",$AB139&lt;&gt;"",$AF139&lt;&gt;"",$AH139&lt;&gt;"",$AL139&lt;&gt;"",AD139&lt;&gt;""),"Y","N"))))</f>
        <v>N/A</v>
      </c>
      <c r="AT139" s="1761" t="b">
        <f ca="1">IF(AND($C139="",OR($J139&lt;&gt;"",$L139&lt;&gt;"",$N139&lt;&gt;"",$P139&lt;&gt;"",$V139&lt;&gt;"",$X139&lt;&gt;"",$Z139&lt;&gt;"",$AB139&lt;&gt;"",$AF139&lt;&gt;"",$AH139&lt;&gt;"",$AL139&lt;&gt;"")),TRUE,FALSE)</f>
        <v>0</v>
      </c>
      <c r="AU139" s="1761" t="b">
        <f>IF(OR(R139&lt;&gt;"",T139&lt;&gt;""),"false",IF(AND($C139&lt;&gt;"",$J139=""),TRUE,FALSE))</f>
        <v>0</v>
      </c>
      <c r="AV139" s="1761" t="b">
        <f>IF(OR(R139&lt;&gt;"",T139&lt;&gt;""),FALSE,IF(AND($C139&lt;&gt;"",$L139=""),TRUE,FALSE))</f>
        <v>0</v>
      </c>
      <c r="AW139" s="1761" t="b">
        <f>IF(OR(R139&lt;&gt;"",T139&lt;&gt;""),FALSE,IF(AND($C139&lt;&gt;"",$N139=""),TRUE,FALSE))</f>
        <v>0</v>
      </c>
      <c r="AX139" s="1761" t="b">
        <f>IF(OR(R139&lt;&gt;"",T139&lt;&gt;""),FALSE,IF(AND($C139&lt;&gt;"",$P139=""),TRUE,FALSE))</f>
        <v>0</v>
      </c>
      <c r="AY139" s="1761"/>
      <c r="AZ139" s="1761" t="b">
        <f>IF(OR(J139&lt;&gt;"",L139&lt;&gt;"",N139&lt;&gt;"",P139&lt;&gt;""),FALSE,IF(AND(C139&lt;&gt;"",R139=""),TRUE,FALSE))</f>
        <v>0</v>
      </c>
      <c r="BA139" s="1761"/>
      <c r="BB139" s="1761" t="b">
        <f>IF(OR(J139&lt;&gt;"",L139&lt;&gt;"",N139&lt;&gt;"",P139&lt;&gt;""),FALSE,IF(AND(C139&lt;&gt;"",T139=""),TRUE,FALSE))</f>
        <v>0</v>
      </c>
      <c r="BC139" s="1761" t="b">
        <f>IF(AND($C139&lt;&gt;"",$V139=""),TRUE,FALSE)</f>
        <v>0</v>
      </c>
      <c r="BD139" s="1761" t="b">
        <f ca="1">IF(AND(X139="",OR(Z139&lt;&gt;"",AB139&lt;&gt;"",AF139&lt;&gt;"",AH139&lt;&gt;"",AL139&lt;&gt;"",AD139&lt;&gt;"")),TRUE,FALSE)</f>
        <v>0</v>
      </c>
      <c r="BE139" s="1761" t="b">
        <f>IF(AND($C139&lt;&gt;"",$X139=""),TRUE,FALSE)</f>
        <v>0</v>
      </c>
      <c r="BF139" s="1761" t="b">
        <f>IF(Z139="",FALSE,IF(X139="",FALSE,IF(BG139=TRUE,FALSE,IF(OR(Z139&lt;BU139,Z139&gt;BaseYear),TRUE,FALSE))))</f>
        <v>0</v>
      </c>
      <c r="BG139" s="1761" t="b">
        <f>IF(AND($C139&lt;&gt;"",$Z139=""),TRUE,FALSE)</f>
        <v>0</v>
      </c>
      <c r="BH139" s="1761" t="b">
        <f>IF(AD139="",FALSE,IF(X139="",FALSE,IF(BJ139=TRUE,FALSE,IF(AB139&lt;BX139,TRUE,FALSE))))</f>
        <v>0</v>
      </c>
      <c r="BI139" s="1761" t="b">
        <f>IF(AD139="",FALSE,IF(X139="",FALSE,IF(BJ139=TRUE,FALSE,IF(AB139&gt;BY139,TRUE,FALSE))))</f>
        <v>0</v>
      </c>
      <c r="BJ139" s="1761" t="b">
        <f>IF(AND($C139&lt;&gt;"",$AB139=""),TRUE,FALSE)</f>
        <v>0</v>
      </c>
      <c r="BK139" s="1761" t="b">
        <f>IF(BL139=TRUE,FALSE,IF(OR(AF139&lt;0,AF139&gt;1),TRUE,FALSE))</f>
        <v>0</v>
      </c>
      <c r="BL139" s="1761" t="b">
        <f>IF(AND($C139&lt;&gt;"",$AF139=""),TRUE,FALSE)</f>
        <v>0</v>
      </c>
      <c r="BM139" s="1761"/>
      <c r="BN139" s="1761" t="b">
        <f ca="1">IF(AND($C139&lt;&gt;"",$AH139=""),TRUE,FALSE)</f>
        <v>0</v>
      </c>
      <c r="BO139" s="1761" t="b">
        <f>IF(AL139="",FALSE,IF(X139="",FALSE,IF(BP139=TRUE,FALSE,IF(OR(AL139&lt;1913,AL139&gt;BaseYear),TRUE,FALSE))))</f>
        <v>0</v>
      </c>
      <c r="BP139" s="1761" t="b">
        <f>IF(AND($C139&lt;&gt;"",$AL139=""),TRUE,FALSE)</f>
        <v>0</v>
      </c>
      <c r="BQ139" s="1761" t="b">
        <f>IF(AD139="Square Foot",FALSE,IF(AND(AD139="Parking Space",OR('A-20 PassFacInv'!X139=Valid!$B$7,'A-20 PassFacInv'!X139=Valid!$B$8,'A-20 PassFacInv'!X139=Valid!$B$9,'A-20 PassFacInv'!X139=Valid!$B$10,'A-20 PassFacInv'!X139=Valid!$B$12,'A-20 PassFacInv'!X139=Valid!$B$13,'A-20 PassFacInv'!X139=Valid!$B$14,'A-20 PassFacInv'!X139=Valid!$B$15,'A-20 PassFacInv'!X139=Valid!$B$16,'A-20 PassFacInv'!X139=Valid!$B$17,'A-20 PassFacInv'!X139=Valid!$B$18,X139=Valid!$B$19,X139=Valid!$B$20,X139=Valid!$B$21)),TRUE,FALSE))</f>
        <v>0</v>
      </c>
      <c r="BR139" s="1761" t="b">
        <f>IF(AND($C139&lt;&gt;"",$AD139=""),TRUE,FALSE)</f>
        <v>0</v>
      </c>
      <c r="BS139" s="721"/>
      <c r="BT139" s="1625" t="str">
        <f>IF($X139="","",VLOOKUP($X139,val_facilities,BT$3,FALSE))</f>
        <v/>
      </c>
      <c r="BU139" s="1627" t="str">
        <f>IF($X139="","",VLOOKUP($X139,val_facilities,BU$3,FALSE))</f>
        <v/>
      </c>
      <c r="BV139" s="1627" t="str">
        <f>IF($X139="","",VLOOKUP($X139,val_facilities,BV$3,FALSE))</f>
        <v/>
      </c>
      <c r="BW139" s="1627" t="str">
        <f ca="1">IFERROR(IF(Z139="", "", YEAR(TODAY())-Z139), "")</f>
        <v/>
      </c>
      <c r="BX139" s="845" t="str">
        <f>IF($X139="","",IF(AD139="Square Feet",VLOOKUP('A-20 PassFacInv'!X76,Valid!$B$7:$H$24,7,FALSE),IF(AD139="Parking Spaces",VLOOKUP(X139,Valid!$B$22:$L$24,11,FALSE))))</f>
        <v/>
      </c>
      <c r="BY139" s="845" t="str">
        <f>IF($X139="","",IF(AD139="Square Feet",VLOOKUP(X139,Valid!$B$7:$I$24,8,FALSE),IF('A-20 PassFacInv'!AD76="Parking Spaces",VLOOKUP('A-20 PassFacInv'!X76,Valid!$B$22:$M$24,12,FALSE))))</f>
        <v/>
      </c>
      <c r="BZ139" s="758"/>
      <c r="CA139" s="721">
        <f t="shared" si="2"/>
        <v>0</v>
      </c>
      <c r="CB139" s="816"/>
    </row>
    <row r="140" spans="1:80" s="1739" customFormat="1" ht="6.75" customHeight="1" thickBot="1" x14ac:dyDescent="0.25">
      <c r="A140" s="1638"/>
      <c r="B140" s="1746">
        <v>64.5</v>
      </c>
      <c r="C140" s="1057"/>
      <c r="D140" s="764"/>
      <c r="E140" s="1639"/>
      <c r="F140" s="1229"/>
      <c r="G140" s="1229"/>
      <c r="H140" s="1229"/>
      <c r="I140" s="1229"/>
      <c r="J140" s="1604"/>
      <c r="K140" s="1640"/>
      <c r="L140" s="1645"/>
      <c r="M140" s="1646"/>
      <c r="N140" s="1645"/>
      <c r="O140" s="1646"/>
      <c r="P140" s="1662"/>
      <c r="Q140" s="1646"/>
      <c r="R140" s="1660"/>
      <c r="S140" s="1640"/>
      <c r="T140" s="1660"/>
      <c r="U140" s="1640"/>
      <c r="V140" s="1057"/>
      <c r="W140" s="1618"/>
      <c r="X140" s="1747"/>
      <c r="Y140" s="1618"/>
      <c r="Z140" s="1623"/>
      <c r="AA140" s="1618"/>
      <c r="AB140" s="1944"/>
      <c r="AC140" s="1648"/>
      <c r="AD140" s="1661"/>
      <c r="AE140" s="841"/>
      <c r="AF140" s="841"/>
      <c r="AG140" s="1648"/>
      <c r="AH140" s="722"/>
      <c r="AI140" s="1648"/>
      <c r="AJ140" s="722"/>
      <c r="AK140" s="1648"/>
      <c r="AL140" s="1717"/>
      <c r="AM140" s="1648"/>
      <c r="AN140" s="1057"/>
      <c r="AO140" s="1644"/>
      <c r="AP140" s="1644"/>
      <c r="AQ140" s="1644"/>
      <c r="AR140" s="1644"/>
      <c r="AS140" s="1644"/>
      <c r="AT140" s="1761"/>
      <c r="AU140" s="1761"/>
      <c r="AV140" s="1761"/>
      <c r="AW140" s="1761"/>
      <c r="AX140" s="1761"/>
      <c r="AY140" s="1761"/>
      <c r="AZ140" s="1761"/>
      <c r="BA140" s="1761"/>
      <c r="BB140" s="1761"/>
      <c r="BC140" s="1762"/>
      <c r="BD140" s="1762"/>
      <c r="BE140" s="1762"/>
      <c r="BF140" s="1762"/>
      <c r="BG140" s="1762"/>
      <c r="BH140" s="1762"/>
      <c r="BI140" s="1762"/>
      <c r="BJ140" s="1762"/>
      <c r="BK140" s="1762"/>
      <c r="BL140" s="1762"/>
      <c r="BM140" s="1762"/>
      <c r="BN140" s="1762"/>
      <c r="BO140" s="1762"/>
      <c r="BP140" s="1762"/>
      <c r="BQ140" s="1762"/>
      <c r="BR140" s="1762"/>
      <c r="BS140" s="1736"/>
      <c r="BT140" s="1738"/>
      <c r="BU140" s="1738"/>
      <c r="BV140" s="1738"/>
      <c r="BW140" s="1738"/>
      <c r="BX140" s="1738"/>
      <c r="BY140" s="1738"/>
      <c r="BZ140" s="1229"/>
      <c r="CA140" s="721">
        <f t="shared" si="2"/>
        <v>0</v>
      </c>
      <c r="CB140" s="1748"/>
    </row>
    <row r="141" spans="1:80" s="1739" customFormat="1" x14ac:dyDescent="0.2">
      <c r="A141" s="840">
        <v>65</v>
      </c>
      <c r="B141" s="1746">
        <v>65</v>
      </c>
      <c r="C141" s="1740"/>
      <c r="D141" s="1248" t="str">
        <f>IF(C139="","",IF((C141=""),"Enter Facility "&amp;TEXT(A141,0)&amp;" Name, then Fill in Columns "&amp;TEXT($H$2,0)&amp;" - "&amp;TEXT($AL$2,0)&amp;"       ",""))</f>
        <v/>
      </c>
      <c r="E141" s="1245" t="str">
        <f ca="1">IF(AS141="N/A","",IF(AS141="N","No","Yes"))</f>
        <v/>
      </c>
      <c r="F141" s="758"/>
      <c r="G141" s="758"/>
      <c r="H141" s="1707"/>
      <c r="I141" s="758"/>
      <c r="J141" s="1653"/>
      <c r="K141" s="1248" t="str">
        <f ca="1">IF($E141&lt;&gt;"","Enter Street Address      ","")</f>
        <v/>
      </c>
      <c r="L141" s="1740"/>
      <c r="M141" s="1248" t="str">
        <f ca="1">IF($E141&lt;&gt;"","Enter City Name       ","")</f>
        <v/>
      </c>
      <c r="N141" s="1740"/>
      <c r="O141" s="1248" t="str">
        <f ca="1">IF($E141&lt;&gt;"","Select from Pull-Down List   ","")</f>
        <v/>
      </c>
      <c r="P141" s="1741"/>
      <c r="Q141" s="1248" t="str">
        <f ca="1">IF($E141&lt;&gt;"","Enter ZIP Code       ","")</f>
        <v/>
      </c>
      <c r="R141" s="1742"/>
      <c r="S141" s="1248" t="str">
        <f ca="1">IF(OR(N141&lt;&gt;"",P141&lt;&gt;"",J141&lt;&gt;"",L141&lt;&gt;""),"",IF($E141&lt;&gt;"","Enter Lat.      ",""))</f>
        <v/>
      </c>
      <c r="T141" s="1742"/>
      <c r="U141" s="1248" t="str">
        <f ca="1">IF(OR(N141&lt;&gt;"",P141&lt;&gt;"",J141&lt;&gt;"",L141&lt;&gt;""),"",IF($E141&lt;&gt;"","Enter Long.    ",""))</f>
        <v/>
      </c>
      <c r="V141" s="1653"/>
      <c r="W141" s="1618" t="str">
        <f ca="1">IF($E141&lt;&gt;"","Select from Pull-Down List  ","")</f>
        <v/>
      </c>
      <c r="X141" s="1653"/>
      <c r="Y141" s="1618" t="str">
        <f ca="1">IF($E141&lt;&gt;"","Select from Pull-Down List  ","")</f>
        <v/>
      </c>
      <c r="Z141" s="1743"/>
      <c r="AA141" s="1248" t="str">
        <f ca="1">IF(E141&lt;&gt;"","Year?   ","")</f>
        <v/>
      </c>
      <c r="AB141" s="1943"/>
      <c r="AC141" s="1620" t="str">
        <f ca="1">IF(E141="","",IF(X141="","Sq. Ft. or Spaces?   ",IF(OR(X141=Codes!$L$26,X141=Codes!$L$27,X141=Codes!$L$28),"Sq. Ft. or Spaces?   ",IF(OR(X141=Codes!$L$20,X141=Codes!$L$21,X141=Codes!$L$22,X141=Codes!$L$23,X141=Codes!$L$24,X141=Codes!$L$25),"Sq. Ft?     ",""))))</f>
        <v/>
      </c>
      <c r="AD141" s="1740"/>
      <c r="AE141" s="1618" t="str">
        <f ca="1">IF($E141&lt;&gt;"","Select from List     ","")</f>
        <v/>
      </c>
      <c r="AF141" s="1621"/>
      <c r="AG141" s="1618" t="str">
        <f ca="1">IF($E141&lt;&gt;"","% of Cap Resp.","")</f>
        <v/>
      </c>
      <c r="AH141" s="1801" t="str">
        <f ca="1">IF(BW141="", "", IF(BW141&gt;100, 1, VLOOKUP(BW141, Valid!$W$1:$AA$101, VLOOKUP(X141, Codes!$L$20:$N$28, 3, FALSE), FALSE)))</f>
        <v/>
      </c>
      <c r="AI141" s="1620" t="str">
        <f ca="1">IF($E141&lt;&gt;"","Estimated?  ","")</f>
        <v/>
      </c>
      <c r="AJ141" s="1654"/>
      <c r="AK141" s="1620" t="str">
        <f ca="1">IF($E141&lt;&gt;"","Estimated $?    ","")</f>
        <v/>
      </c>
      <c r="AL141" s="1730"/>
      <c r="AM141" s="1620" t="b">
        <f ca="1">IF(E141&lt;&gt;"","Est Date?    ")</f>
        <v>0</v>
      </c>
      <c r="AN141" s="1740"/>
      <c r="AO141" s="1248" t="str">
        <f>IF(X141="Other (describe in Notes)","Describe Facility.                                                                                                                        ","")</f>
        <v/>
      </c>
      <c r="AP141" s="1624"/>
      <c r="AQ141" s="1624" t="b">
        <f>IF(AND(C141="",C143&lt;&gt;""),TRUE,FALSE)</f>
        <v>0</v>
      </c>
      <c r="AR141" s="1624" t="str">
        <f>IF(AND(J141&lt;&gt;"",L141&lt;&gt;"",N141&lt;&gt;"",P141&lt;&gt;"",R141="",T141=""),"Y",IF(AND(J141="",L141="",N141="",P141="",R141&lt;&gt;"",T141&lt;&gt;""),"Y",IF(AND(J141&lt;&gt;"",L141&lt;&gt;"",N141&lt;&gt;"",P141&lt;&gt;"",R141&lt;&gt;"",T141&lt;&gt;""),"Y",IF(AND(J141="",L141="",N141="",P141="",R141="",T141=""),"N/A","N"))))</f>
        <v>N/A</v>
      </c>
      <c r="AS141" s="1624" t="str">
        <f ca="1">IF(AND($C141&lt;&gt;"",OR(AR141="N",$V141="",$X141="",$Z141="",$AB141="",$AF141="",$AH141="",$AL141="",AD141="")),"N",IF(AND($C141="",OR(H141&lt;&gt;"",AR141="N",$V141&lt;&gt;"",$X141&lt;&gt;"",$Z141&lt;&gt;"",$AB141&lt;&gt;"",$AF141&lt;&gt;"",$AH141&lt;&gt;"",$AL141&lt;&gt;"",AD141&lt;&gt;"")),"N",IF(AND(H141="",$C141="",AR141="N/A",$V141="",$X141="",$Z141="",$AB141="",$AF141="",$AH141="",$AL141="",AD141=""),"N/A",IF(AND($C141&lt;&gt;"",AR141="Y",$V141&lt;&gt;"",$X141&lt;&gt;"",$Z141&lt;&gt;"",$AB141&lt;&gt;"",$AF141&lt;&gt;"",$AH141&lt;&gt;"",$AL141&lt;&gt;"",AD141&lt;&gt;""),"Y","N"))))</f>
        <v>N/A</v>
      </c>
      <c r="AT141" s="1761" t="b">
        <f ca="1">IF(AND($C141="",OR($J141&lt;&gt;"",$L141&lt;&gt;"",$N141&lt;&gt;"",$P141&lt;&gt;"",$V141&lt;&gt;"",$X141&lt;&gt;"",$Z141&lt;&gt;"",$AB141&lt;&gt;"",$AF141&lt;&gt;"",$AH141&lt;&gt;"",$AL141&lt;&gt;"")),TRUE,FALSE)</f>
        <v>0</v>
      </c>
      <c r="AU141" s="1761" t="b">
        <f>IF(OR(R141&lt;&gt;"",T141&lt;&gt;""),"false",IF(AND($C141&lt;&gt;"",$J141=""),TRUE,FALSE))</f>
        <v>0</v>
      </c>
      <c r="AV141" s="1761" t="b">
        <f>IF(OR(R141&lt;&gt;"",T141&lt;&gt;""),FALSE,IF(AND($C141&lt;&gt;"",$L141=""),TRUE,FALSE))</f>
        <v>0</v>
      </c>
      <c r="AW141" s="1761" t="b">
        <f>IF(OR(R141&lt;&gt;"",T141&lt;&gt;""),FALSE,IF(AND($C141&lt;&gt;"",$N141=""),TRUE,FALSE))</f>
        <v>0</v>
      </c>
      <c r="AX141" s="1761" t="b">
        <f>IF(OR(R141&lt;&gt;"",T141&lt;&gt;""),FALSE,IF(AND($C141&lt;&gt;"",$P141=""),TRUE,FALSE))</f>
        <v>0</v>
      </c>
      <c r="AY141" s="1761"/>
      <c r="AZ141" s="1761" t="b">
        <f>IF(OR(J141&lt;&gt;"",L141&lt;&gt;"",N141&lt;&gt;"",P141&lt;&gt;""),FALSE,IF(AND(C141&lt;&gt;"",R141=""),TRUE,FALSE))</f>
        <v>0</v>
      </c>
      <c r="BA141" s="1761"/>
      <c r="BB141" s="1761" t="b">
        <f>IF(OR(J141&lt;&gt;"",L141&lt;&gt;"",N141&lt;&gt;"",P141&lt;&gt;""),FALSE,IF(AND(C141&lt;&gt;"",T141=""),TRUE,FALSE))</f>
        <v>0</v>
      </c>
      <c r="BC141" s="1761" t="b">
        <f>IF(AND($C141&lt;&gt;"",$V141=""),TRUE,FALSE)</f>
        <v>0</v>
      </c>
      <c r="BD141" s="1761" t="b">
        <f ca="1">IF(AND(X141="",OR(Z141&lt;&gt;"",AB141&lt;&gt;"",AF141&lt;&gt;"",AH141&lt;&gt;"",AL141&lt;&gt;"",AD141&lt;&gt;"")),TRUE,FALSE)</f>
        <v>0</v>
      </c>
      <c r="BE141" s="1761" t="b">
        <f>IF(AND($C141&lt;&gt;"",$X141=""),TRUE,FALSE)</f>
        <v>0</v>
      </c>
      <c r="BF141" s="1761" t="b">
        <f>IF(Z141="",FALSE,IF(X141="",FALSE,IF(BG141=TRUE,FALSE,IF(OR(Z141&lt;BU141,Z141&gt;BaseYear),TRUE,FALSE))))</f>
        <v>0</v>
      </c>
      <c r="BG141" s="1761" t="b">
        <f>IF(AND($C141&lt;&gt;"",$Z141=""),TRUE,FALSE)</f>
        <v>0</v>
      </c>
      <c r="BH141" s="1761" t="b">
        <f>IF(AD141="",FALSE,IF(X141="",FALSE,IF(BJ141=TRUE,FALSE,IF(AB141&lt;BX141,TRUE,FALSE))))</f>
        <v>0</v>
      </c>
      <c r="BI141" s="1761" t="b">
        <f>IF(AD141="",FALSE,IF(X141="",FALSE,IF(BJ141=TRUE,FALSE,IF(AB141&gt;BY141,TRUE,FALSE))))</f>
        <v>0</v>
      </c>
      <c r="BJ141" s="1761" t="b">
        <f>IF(AND($C141&lt;&gt;"",$AB141=""),TRUE,FALSE)</f>
        <v>0</v>
      </c>
      <c r="BK141" s="1761" t="b">
        <f>IF(BL141=TRUE,FALSE,IF(OR(AF141&lt;0,AF141&gt;1),TRUE,FALSE))</f>
        <v>0</v>
      </c>
      <c r="BL141" s="1761" t="b">
        <f>IF(AND($C141&lt;&gt;"",$AF141=""),TRUE,FALSE)</f>
        <v>0</v>
      </c>
      <c r="BM141" s="1761"/>
      <c r="BN141" s="1761" t="b">
        <f ca="1">IF(AND($C141&lt;&gt;"",$AH141=""),TRUE,FALSE)</f>
        <v>0</v>
      </c>
      <c r="BO141" s="1761" t="b">
        <f>IF(AL141="",FALSE,IF(X141="",FALSE,IF(BP141=TRUE,FALSE,IF(OR(AL141&lt;1913,AL141&gt;BaseYear),TRUE,FALSE))))</f>
        <v>0</v>
      </c>
      <c r="BP141" s="1761" t="b">
        <f>IF(AND($C141&lt;&gt;"",$AL141=""),TRUE,FALSE)</f>
        <v>0</v>
      </c>
      <c r="BQ141" s="1761" t="b">
        <f>IF(AD141="Square Foot",FALSE,IF(AND(AD141="Parking Space",OR('A-20 PassFacInv'!X141=Valid!$B$7,'A-20 PassFacInv'!X141=Valid!$B$8,'A-20 PassFacInv'!X141=Valid!$B$9,'A-20 PassFacInv'!X141=Valid!$B$10,'A-20 PassFacInv'!X141=Valid!$B$12,'A-20 PassFacInv'!X141=Valid!$B$13,'A-20 PassFacInv'!X141=Valid!$B$14,'A-20 PassFacInv'!X141=Valid!$B$15,'A-20 PassFacInv'!X141=Valid!$B$16,'A-20 PassFacInv'!X141=Valid!$B$17,'A-20 PassFacInv'!X141=Valid!$B$18,X141=Valid!$B$19,X141=Valid!$B$20,X141=Valid!$B$21)),TRUE,FALSE))</f>
        <v>0</v>
      </c>
      <c r="BR141" s="1761" t="b">
        <f>IF(AND($C141&lt;&gt;"",$AD141=""),TRUE,FALSE)</f>
        <v>0</v>
      </c>
      <c r="BS141" s="721"/>
      <c r="BT141" s="1625" t="str">
        <f>IF($X141="","",VLOOKUP($X141,val_facilities,BT$3,FALSE))</f>
        <v/>
      </c>
      <c r="BU141" s="1627" t="str">
        <f>IF($X141="","",VLOOKUP($X141,val_facilities,BU$3,FALSE))</f>
        <v/>
      </c>
      <c r="BV141" s="1627" t="str">
        <f>IF($X141="","",VLOOKUP($X141,val_facilities,BV$3,FALSE))</f>
        <v/>
      </c>
      <c r="BW141" s="1627" t="str">
        <f ca="1">IFERROR(IF(Z141="", "", YEAR(TODAY())-Z141), "")</f>
        <v/>
      </c>
      <c r="BX141" s="845" t="str">
        <f>IF($X141="","",IF(AD141="Square Feet",VLOOKUP('A-20 PassFacInv'!X77,Valid!$B$7:$H$24,7,FALSE),IF(AD141="Parking Spaces",VLOOKUP(X141,Valid!$B$22:$L$24,11,FALSE))))</f>
        <v/>
      </c>
      <c r="BY141" s="845" t="str">
        <f>IF($X141="","",IF(AD141="Square Feet",VLOOKUP(X141,Valid!$B$7:$I$24,8,FALSE),IF('A-20 PassFacInv'!AD77="Parking Spaces",VLOOKUP('A-20 PassFacInv'!X77,Valid!$B$22:$M$24,12,FALSE))))</f>
        <v/>
      </c>
      <c r="BZ141" s="758"/>
      <c r="CA141" s="721">
        <f t="shared" si="2"/>
        <v>0</v>
      </c>
      <c r="CB141" s="816"/>
    </row>
    <row r="142" spans="1:80" s="1739" customFormat="1" ht="6.75" customHeight="1" thickBot="1" x14ac:dyDescent="0.25">
      <c r="A142" s="1638"/>
      <c r="B142" s="1746">
        <v>65.5</v>
      </c>
      <c r="C142" s="1057"/>
      <c r="D142" s="1248"/>
      <c r="E142" s="1057"/>
      <c r="F142" s="1229"/>
      <c r="G142" s="1229"/>
      <c r="H142" s="1229"/>
      <c r="I142" s="1229"/>
      <c r="J142" s="1604"/>
      <c r="K142" s="1229"/>
      <c r="L142" s="1605"/>
      <c r="M142" s="1644"/>
      <c r="N142" s="1605"/>
      <c r="O142" s="1644"/>
      <c r="P142" s="1733"/>
      <c r="Q142" s="1644"/>
      <c r="R142" s="1663"/>
      <c r="S142" s="1229"/>
      <c r="T142" s="1663"/>
      <c r="U142" s="1229"/>
      <c r="V142" s="1057"/>
      <c r="W142" s="1623"/>
      <c r="X142" s="1747"/>
      <c r="Y142" s="1623"/>
      <c r="Z142" s="1623"/>
      <c r="AA142" s="1623"/>
      <c r="AB142" s="1944"/>
      <c r="AC142" s="841"/>
      <c r="AD142" s="1057"/>
      <c r="AE142" s="841"/>
      <c r="AF142" s="841"/>
      <c r="AG142" s="841"/>
      <c r="AH142" s="722"/>
      <c r="AI142" s="841"/>
      <c r="AJ142" s="722"/>
      <c r="AK142" s="841"/>
      <c r="AL142" s="1717"/>
      <c r="AM142" s="841"/>
      <c r="AN142" s="1057"/>
      <c r="AO142" s="1644"/>
      <c r="AP142" s="1644"/>
      <c r="AQ142" s="1644"/>
      <c r="AR142" s="1644"/>
      <c r="AS142" s="1644"/>
      <c r="AT142" s="1761"/>
      <c r="AU142" s="1761"/>
      <c r="AV142" s="1761"/>
      <c r="AW142" s="1761"/>
      <c r="AX142" s="1761"/>
      <c r="AY142" s="1761"/>
      <c r="AZ142" s="1761"/>
      <c r="BA142" s="1761"/>
      <c r="BB142" s="1761"/>
      <c r="BC142" s="1762"/>
      <c r="BD142" s="1762"/>
      <c r="BE142" s="1762"/>
      <c r="BF142" s="1762"/>
      <c r="BG142" s="1762"/>
      <c r="BH142" s="1762"/>
      <c r="BI142" s="1762"/>
      <c r="BJ142" s="1762"/>
      <c r="BK142" s="1762"/>
      <c r="BL142" s="1762"/>
      <c r="BM142" s="1762"/>
      <c r="BN142" s="1762"/>
      <c r="BO142" s="1762"/>
      <c r="BP142" s="1762"/>
      <c r="BQ142" s="1763"/>
      <c r="BR142" s="1762"/>
      <c r="BS142" s="1736"/>
      <c r="BT142" s="1738"/>
      <c r="BU142" s="1738"/>
      <c r="BV142" s="1738"/>
      <c r="BW142" s="1738"/>
      <c r="BX142" s="1738"/>
      <c r="BY142" s="1738"/>
      <c r="BZ142" s="1229"/>
      <c r="CA142" s="721">
        <f t="shared" ref="CA142:CA205" si="3">IF(OR(AJ142="NA", AJ142=" "),AH142,AJ142)</f>
        <v>0</v>
      </c>
      <c r="CB142" s="1748"/>
    </row>
    <row r="143" spans="1:80" s="1739" customFormat="1" x14ac:dyDescent="0.2">
      <c r="A143" s="840">
        <v>66</v>
      </c>
      <c r="B143" s="1731">
        <v>66</v>
      </c>
      <c r="C143" s="1740"/>
      <c r="D143" s="1248" t="str">
        <f>IF(C141="","",IF((C143=""),"Enter Facility "&amp;TEXT(A143,0)&amp;" Name, then Fill in Columns "&amp;TEXT($H$2,0)&amp;" - "&amp;TEXT($AL$2,0)&amp;"       ",""))</f>
        <v/>
      </c>
      <c r="E143" s="1245" t="str">
        <f ca="1">IF(AS143="N/A","",IF(AS143="N","No","Yes"))</f>
        <v/>
      </c>
      <c r="F143" s="758"/>
      <c r="G143" s="758"/>
      <c r="H143" s="1707"/>
      <c r="I143" s="758"/>
      <c r="J143" s="1653"/>
      <c r="K143" s="1248" t="str">
        <f ca="1">IF($E143&lt;&gt;"","Enter Street Address      ","")</f>
        <v/>
      </c>
      <c r="L143" s="1740"/>
      <c r="M143" s="1248" t="str">
        <f ca="1">IF($E143&lt;&gt;"","Enter City Name       ","")</f>
        <v/>
      </c>
      <c r="N143" s="1740"/>
      <c r="O143" s="1248" t="str">
        <f ca="1">IF($E143&lt;&gt;"","Select from Pull-Down List   ","")</f>
        <v/>
      </c>
      <c r="P143" s="1741"/>
      <c r="Q143" s="1248" t="str">
        <f ca="1">IF($E143&lt;&gt;"","Enter ZIP Code       ","")</f>
        <v/>
      </c>
      <c r="R143" s="1742"/>
      <c r="S143" s="1248" t="str">
        <f ca="1">IF(OR(N143&lt;&gt;"",P143&lt;&gt;"",J143&lt;&gt;"",L143&lt;&gt;""),"",IF($E143&lt;&gt;"","Enter Lat.      ",""))</f>
        <v/>
      </c>
      <c r="T143" s="1742"/>
      <c r="U143" s="1248" t="str">
        <f ca="1">IF(OR(N143&lt;&gt;"",P143&lt;&gt;"",J143&lt;&gt;"",L143&lt;&gt;""),"",IF($E143&lt;&gt;"","Enter Long.    ",""))</f>
        <v/>
      </c>
      <c r="V143" s="1653"/>
      <c r="W143" s="1618" t="str">
        <f ca="1">IF($E143&lt;&gt;"","Select from Pull-Down List  ","")</f>
        <v/>
      </c>
      <c r="X143" s="1653"/>
      <c r="Y143" s="1618" t="str">
        <f ca="1">IF($E143&lt;&gt;"","Select from Pull-Down List  ","")</f>
        <v/>
      </c>
      <c r="Z143" s="1743"/>
      <c r="AA143" s="1248" t="str">
        <f ca="1">IF(E143&lt;&gt;"","Year?   ","")</f>
        <v/>
      </c>
      <c r="AB143" s="1943"/>
      <c r="AC143" s="1620" t="str">
        <f ca="1">IF(E143="","",IF(X143="","Sq. Ft. or Spaces?   ",IF(OR(X143=Codes!$L$26,X143=Codes!$L$27,X143=Codes!$L$28),"Sq. Ft. or Spaces?   ",IF(OR(X143=Codes!$L$20,X143=Codes!$L$21,X143=Codes!$L$22,X143=Codes!$L$23,X143=Codes!$L$24,X143=Codes!$L$25),"Sq. Ft?     ",""))))</f>
        <v/>
      </c>
      <c r="AD143" s="1740"/>
      <c r="AE143" s="1618" t="str">
        <f ca="1">IF($E143&lt;&gt;"","Select from List     ","")</f>
        <v/>
      </c>
      <c r="AF143" s="1621"/>
      <c r="AG143" s="1618" t="str">
        <f ca="1">IF($E143&lt;&gt;"","% of Cap Resp.","")</f>
        <v/>
      </c>
      <c r="AH143" s="1801" t="str">
        <f ca="1">IF(BW143="", "", IF(BW143&gt;100, 1, VLOOKUP(BW143, Valid!$W$1:$AA$101, VLOOKUP(X143, Codes!$L$20:$N$28, 3, FALSE), FALSE)))</f>
        <v/>
      </c>
      <c r="AI143" s="1620" t="str">
        <f ca="1">IF($E143&lt;&gt;"","Estimated?  ","")</f>
        <v/>
      </c>
      <c r="AJ143" s="1654"/>
      <c r="AK143" s="1620" t="str">
        <f ca="1">IF($E143&lt;&gt;"","Estimated $?    ","")</f>
        <v/>
      </c>
      <c r="AL143" s="1730"/>
      <c r="AM143" s="1620" t="b">
        <f ca="1">IF(E143&lt;&gt;"","Est Date?    ")</f>
        <v>0</v>
      </c>
      <c r="AN143" s="1740"/>
      <c r="AO143" s="1248" t="str">
        <f>IF(X143="Other (describe in Notes)","Describe Facility.                                                                                                                        ","")</f>
        <v/>
      </c>
      <c r="AP143" s="1624"/>
      <c r="AQ143" s="1624" t="b">
        <f>IF(AND(C143="",C145&lt;&gt;""),TRUE,FALSE)</f>
        <v>0</v>
      </c>
      <c r="AR143" s="1624" t="str">
        <f>IF(AND(J143&lt;&gt;"",L143&lt;&gt;"",N143&lt;&gt;"",P143&lt;&gt;"",R143="",T143=""),"Y",IF(AND(J143="",L143="",N143="",P143="",R143&lt;&gt;"",T143&lt;&gt;""),"Y",IF(AND(J143&lt;&gt;"",L143&lt;&gt;"",N143&lt;&gt;"",P143&lt;&gt;"",R143&lt;&gt;"",T143&lt;&gt;""),"Y",IF(AND(J143="",L143="",N143="",P143="",R143="",T143=""),"N/A","N"))))</f>
        <v>N/A</v>
      </c>
      <c r="AS143" s="1624" t="str">
        <f ca="1">IF(AND($C143&lt;&gt;"",OR(AR143="N",$V143="",$X143="",$Z143="",$AB143="",$AF143="",$AH143="",$AL143="",AD143="")),"N",IF(AND($C143="",OR(H143&lt;&gt;"",AR143="N",$V143&lt;&gt;"",$X143&lt;&gt;"",$Z143&lt;&gt;"",$AB143&lt;&gt;"",$AF143&lt;&gt;"",$AH143&lt;&gt;"",$AL143&lt;&gt;"",AD143&lt;&gt;"")),"N",IF(AND(H143="",$C143="",AR143="N/A",$V143="",$X143="",$Z143="",$AB143="",$AF143="",$AH143="",$AL143="",AD143=""),"N/A",IF(AND($C143&lt;&gt;"",AR143="Y",$V143&lt;&gt;"",$X143&lt;&gt;"",$Z143&lt;&gt;"",$AB143&lt;&gt;"",$AF143&lt;&gt;"",$AH143&lt;&gt;"",$AL143&lt;&gt;"",AD143&lt;&gt;""),"Y","N"))))</f>
        <v>N/A</v>
      </c>
      <c r="AT143" s="1761" t="b">
        <f ca="1">IF(AND($C143="",OR($J143&lt;&gt;"",$L143&lt;&gt;"",$N143&lt;&gt;"",$P143&lt;&gt;"",$V143&lt;&gt;"",$X143&lt;&gt;"",$Z143&lt;&gt;"",$AB143&lt;&gt;"",$AF143&lt;&gt;"",$AH143&lt;&gt;"",$AL143&lt;&gt;"")),TRUE,FALSE)</f>
        <v>0</v>
      </c>
      <c r="AU143" s="1761" t="b">
        <f>IF(OR(R143&lt;&gt;"",T143&lt;&gt;""),"false",IF(AND($C143&lt;&gt;"",$J143=""),TRUE,FALSE))</f>
        <v>0</v>
      </c>
      <c r="AV143" s="1761" t="b">
        <f>IF(OR(R143&lt;&gt;"",T143&lt;&gt;""),FALSE,IF(AND($C143&lt;&gt;"",$L143=""),TRUE,FALSE))</f>
        <v>0</v>
      </c>
      <c r="AW143" s="1761" t="b">
        <f>IF(OR(R143&lt;&gt;"",T143&lt;&gt;""),FALSE,IF(AND($C143&lt;&gt;"",$N143=""),TRUE,FALSE))</f>
        <v>0</v>
      </c>
      <c r="AX143" s="1761" t="b">
        <f>IF(OR(R143&lt;&gt;"",T143&lt;&gt;""),FALSE,IF(AND($C143&lt;&gt;"",$P143=""),TRUE,FALSE))</f>
        <v>0</v>
      </c>
      <c r="AY143" s="1761"/>
      <c r="AZ143" s="1761" t="b">
        <f>IF(OR(J143&lt;&gt;"",L143&lt;&gt;"",N143&lt;&gt;"",P143&lt;&gt;""),FALSE,IF(AND(C143&lt;&gt;"",R143=""),TRUE,FALSE))</f>
        <v>0</v>
      </c>
      <c r="BA143" s="1761"/>
      <c r="BB143" s="1761" t="b">
        <f>IF(OR(J143&lt;&gt;"",L143&lt;&gt;"",N143&lt;&gt;"",P143&lt;&gt;""),FALSE,IF(AND(C143&lt;&gt;"",T143=""),TRUE,FALSE))</f>
        <v>0</v>
      </c>
      <c r="BC143" s="1761" t="b">
        <f>IF(AND($C143&lt;&gt;"",$V143=""),TRUE,FALSE)</f>
        <v>0</v>
      </c>
      <c r="BD143" s="1761" t="b">
        <f ca="1">IF(AND(X143="",OR(Z143&lt;&gt;"",AB143&lt;&gt;"",AF143&lt;&gt;"",AH143&lt;&gt;"",AL143&lt;&gt;"",AD143&lt;&gt;"")),TRUE,FALSE)</f>
        <v>0</v>
      </c>
      <c r="BE143" s="1761" t="b">
        <f>IF(AND($C143&lt;&gt;"",$X143=""),TRUE,FALSE)</f>
        <v>0</v>
      </c>
      <c r="BF143" s="1761" t="b">
        <f>IF(Z143="",FALSE,IF(X143="",FALSE,IF(BG143=TRUE,FALSE,IF(OR(Z143&lt;BU143,Z143&gt;BaseYear),TRUE,FALSE))))</f>
        <v>0</v>
      </c>
      <c r="BG143" s="1761" t="b">
        <f>IF(AND($C143&lt;&gt;"",$Z143=""),TRUE,FALSE)</f>
        <v>0</v>
      </c>
      <c r="BH143" s="1761" t="b">
        <f>IF(AD143="",FALSE,IF(X143="",FALSE,IF(BJ143=TRUE,FALSE,IF(AB143&lt;BX143,TRUE,FALSE))))</f>
        <v>0</v>
      </c>
      <c r="BI143" s="1761" t="b">
        <f>IF(AD143="",FALSE,IF(X143="",FALSE,IF(BJ143=TRUE,FALSE,IF(AB143&gt;BY143,TRUE,FALSE))))</f>
        <v>0</v>
      </c>
      <c r="BJ143" s="1761" t="b">
        <f>IF(AND($C143&lt;&gt;"",$AB143=""),TRUE,FALSE)</f>
        <v>0</v>
      </c>
      <c r="BK143" s="1761" t="b">
        <f>IF(BL143=TRUE,FALSE,IF(OR(AF143&lt;0,AF143&gt;1),TRUE,FALSE))</f>
        <v>0</v>
      </c>
      <c r="BL143" s="1761" t="b">
        <f>IF(AND($C143&lt;&gt;"",$AF143=""),TRUE,FALSE)</f>
        <v>0</v>
      </c>
      <c r="BM143" s="1761"/>
      <c r="BN143" s="1761" t="b">
        <f ca="1">IF(AND($C143&lt;&gt;"",$AH143=""),TRUE,FALSE)</f>
        <v>0</v>
      </c>
      <c r="BO143" s="1761" t="b">
        <f>IF(AL143="",FALSE,IF(X143="",FALSE,IF(BP143=TRUE,FALSE,IF(OR(AL143&lt;1913,AL143&gt;BaseYear),TRUE,FALSE))))</f>
        <v>0</v>
      </c>
      <c r="BP143" s="1761" t="b">
        <f>IF(AND($C143&lt;&gt;"",$AL143=""),TRUE,FALSE)</f>
        <v>0</v>
      </c>
      <c r="BQ143" s="1761" t="b">
        <f>IF(AD143="Square Foot",FALSE,IF(AND(AD143="Parking Space",OR('A-20 PassFacInv'!X143=Valid!$B$7,'A-20 PassFacInv'!X143=Valid!$B$8,'A-20 PassFacInv'!X143=Valid!$B$9,'A-20 PassFacInv'!X143=Valid!$B$10,'A-20 PassFacInv'!X143=Valid!$B$12,'A-20 PassFacInv'!X143=Valid!$B$13,'A-20 PassFacInv'!X143=Valid!$B$14,'A-20 PassFacInv'!X143=Valid!$B$15,'A-20 PassFacInv'!X143=Valid!$B$16,'A-20 PassFacInv'!X143=Valid!$B$17,'A-20 PassFacInv'!X143=Valid!$B$18,X143=Valid!$B$19,X143=Valid!$B$20,X143=Valid!$B$21)),TRUE,FALSE))</f>
        <v>0</v>
      </c>
      <c r="BR143" s="1761" t="b">
        <f>IF(AND($C143&lt;&gt;"",$AD143=""),TRUE,FALSE)</f>
        <v>0</v>
      </c>
      <c r="BS143" s="721"/>
      <c r="BT143" s="1625" t="str">
        <f>IF($X143="","",VLOOKUP($X143,val_facilities,BT$3,FALSE))</f>
        <v/>
      </c>
      <c r="BU143" s="1627" t="str">
        <f>IF($X143="","",VLOOKUP($X143,val_facilities,BU$3,FALSE))</f>
        <v/>
      </c>
      <c r="BV143" s="1627" t="str">
        <f>IF($X143="","",VLOOKUP($X143,val_facilities,BV$3,FALSE))</f>
        <v/>
      </c>
      <c r="BW143" s="1627" t="str">
        <f ca="1">IFERROR(IF(Z143="", "", YEAR(TODAY())-Z143), "")</f>
        <v/>
      </c>
      <c r="BX143" s="845" t="str">
        <f>IF($X143="","",IF(AD143="Square Feet",VLOOKUP('A-20 PassFacInv'!X78,Valid!$B$7:$H$24,7,FALSE),IF(AD143="Parking Spaces",VLOOKUP(X143,Valid!$B$22:$L$24,11,FALSE))))</f>
        <v/>
      </c>
      <c r="BY143" s="845" t="str">
        <f>IF($X143="","",IF(AD143="Square Feet",VLOOKUP(X143,Valid!$B$7:$I$24,8,FALSE),IF('A-20 PassFacInv'!AD78="Parking Spaces",VLOOKUP('A-20 PassFacInv'!X78,Valid!$B$22:$M$24,12,FALSE))))</f>
        <v/>
      </c>
      <c r="BZ143" s="758"/>
      <c r="CA143" s="721">
        <f t="shared" si="3"/>
        <v>0</v>
      </c>
      <c r="CB143" s="816"/>
    </row>
    <row r="144" spans="1:80" s="1739" customFormat="1" ht="6.75" customHeight="1" thickBot="1" x14ac:dyDescent="0.25">
      <c r="A144" s="1638"/>
      <c r="B144" s="1746">
        <v>66.5</v>
      </c>
      <c r="C144" s="1057"/>
      <c r="D144" s="1248"/>
      <c r="E144" s="1639"/>
      <c r="F144" s="1229"/>
      <c r="G144" s="1229"/>
      <c r="H144" s="1229"/>
      <c r="I144" s="1229"/>
      <c r="J144" s="1604"/>
      <c r="K144" s="1640"/>
      <c r="L144" s="1641"/>
      <c r="M144" s="1248"/>
      <c r="N144" s="1641"/>
      <c r="O144" s="1248"/>
      <c r="P144" s="1659"/>
      <c r="Q144" s="1248"/>
      <c r="R144" s="1660"/>
      <c r="S144" s="1640"/>
      <c r="T144" s="1660"/>
      <c r="U144" s="1640"/>
      <c r="V144" s="1057"/>
      <c r="W144" s="1618"/>
      <c r="X144" s="1747"/>
      <c r="Y144" s="1618"/>
      <c r="Z144" s="1623"/>
      <c r="AA144" s="1618"/>
      <c r="AB144" s="1944"/>
      <c r="AC144" s="1275"/>
      <c r="AD144" s="1661"/>
      <c r="AE144" s="734"/>
      <c r="AF144" s="1748"/>
      <c r="AG144" s="1275"/>
      <c r="AH144" s="722"/>
      <c r="AI144" s="1275"/>
      <c r="AJ144" s="733"/>
      <c r="AK144" s="1275"/>
      <c r="AL144" s="1721"/>
      <c r="AM144" s="1275"/>
      <c r="AN144" s="1057"/>
      <c r="AO144" s="1644"/>
      <c r="AP144" s="1644"/>
      <c r="AQ144" s="1644"/>
      <c r="AR144" s="1644"/>
      <c r="AS144" s="1644"/>
      <c r="AT144" s="1761"/>
      <c r="AU144" s="1761"/>
      <c r="AV144" s="1761"/>
      <c r="AW144" s="1761"/>
      <c r="AX144" s="1761"/>
      <c r="AY144" s="1761"/>
      <c r="AZ144" s="1761"/>
      <c r="BA144" s="1761"/>
      <c r="BB144" s="1761"/>
      <c r="BC144" s="1762"/>
      <c r="BD144" s="1762"/>
      <c r="BE144" s="1762"/>
      <c r="BF144" s="1762"/>
      <c r="BG144" s="1762"/>
      <c r="BH144" s="1762"/>
      <c r="BI144" s="1762"/>
      <c r="BJ144" s="1762"/>
      <c r="BK144" s="1762"/>
      <c r="BL144" s="1762"/>
      <c r="BM144" s="1762"/>
      <c r="BN144" s="1762"/>
      <c r="BO144" s="1762"/>
      <c r="BP144" s="1762"/>
      <c r="BQ144" s="1762"/>
      <c r="BR144" s="1762"/>
      <c r="BS144" s="1736"/>
      <c r="BT144" s="1738"/>
      <c r="BU144" s="1738"/>
      <c r="BV144" s="1738"/>
      <c r="BW144" s="1738"/>
      <c r="BX144" s="1738"/>
      <c r="BY144" s="1738"/>
      <c r="BZ144" s="1229"/>
      <c r="CA144" s="721">
        <f t="shared" si="3"/>
        <v>0</v>
      </c>
      <c r="CB144" s="816"/>
    </row>
    <row r="145" spans="1:80" s="1739" customFormat="1" x14ac:dyDescent="0.2">
      <c r="A145" s="840">
        <v>67</v>
      </c>
      <c r="B145" s="1746">
        <v>67</v>
      </c>
      <c r="C145" s="1740"/>
      <c r="D145" s="1248" t="str">
        <f>IF(C143="","",IF((C145=""),"Enter Facility "&amp;TEXT(A145,0)&amp;" Name, then Fill in Columns "&amp;TEXT($H$2,0)&amp;" - "&amp;TEXT($AL$2,0)&amp;"       ",""))</f>
        <v/>
      </c>
      <c r="E145" s="1245" t="str">
        <f ca="1">IF(AS145="N/A","",IF(AS145="N","No","Yes"))</f>
        <v/>
      </c>
      <c r="F145" s="758"/>
      <c r="G145" s="758"/>
      <c r="H145" s="1707"/>
      <c r="I145" s="758"/>
      <c r="J145" s="1653"/>
      <c r="K145" s="1248" t="str">
        <f ca="1">IF($E145&lt;&gt;"","Enter Street Address      ","")</f>
        <v/>
      </c>
      <c r="L145" s="1740"/>
      <c r="M145" s="1248" t="str">
        <f ca="1">IF($E145&lt;&gt;"","Enter City Name       ","")</f>
        <v/>
      </c>
      <c r="N145" s="1740"/>
      <c r="O145" s="1248" t="str">
        <f ca="1">IF($E145&lt;&gt;"","Select from Pull-Down List   ","")</f>
        <v/>
      </c>
      <c r="P145" s="1741"/>
      <c r="Q145" s="1248" t="str">
        <f ca="1">IF($E145&lt;&gt;"","Enter ZIP Code       ","")</f>
        <v/>
      </c>
      <c r="R145" s="1742"/>
      <c r="S145" s="1248" t="str">
        <f ca="1">IF(OR(N145&lt;&gt;"",P145&lt;&gt;"",J145&lt;&gt;"",L145&lt;&gt;""),"",IF($E145&lt;&gt;"","Enter Lat.      ",""))</f>
        <v/>
      </c>
      <c r="T145" s="1742"/>
      <c r="U145" s="1248" t="str">
        <f ca="1">IF(OR(N145&lt;&gt;"",P145&lt;&gt;"",J145&lt;&gt;"",L145&lt;&gt;""),"",IF($E145&lt;&gt;"","Enter Long.    ",""))</f>
        <v/>
      </c>
      <c r="V145" s="1653"/>
      <c r="W145" s="1618" t="str">
        <f ca="1">IF($E145&lt;&gt;"","Select from Pull-Down List  ","")</f>
        <v/>
      </c>
      <c r="X145" s="1653"/>
      <c r="Y145" s="1618" t="str">
        <f ca="1">IF($E145&lt;&gt;"","Select from Pull-Down List  ","")</f>
        <v/>
      </c>
      <c r="Z145" s="1743"/>
      <c r="AA145" s="1248" t="str">
        <f ca="1">IF(E145&lt;&gt;"","Year?   ","")</f>
        <v/>
      </c>
      <c r="AB145" s="1943"/>
      <c r="AC145" s="1620" t="str">
        <f ca="1">IF(E145="","",IF(X145="","Sq. Ft. or Spaces?   ",IF(OR(X145=Codes!$L$26,X145=Codes!$L$27,X145=Codes!$L$28),"Sq. Ft. or Spaces?   ",IF(OR(X145=Codes!$L$20,X145=Codes!$L$21,X145=Codes!$L$22,X145=Codes!$L$23,X145=Codes!$L$24,X145=Codes!$L$25),"Sq. Ft?     ",""))))</f>
        <v/>
      </c>
      <c r="AD145" s="1740"/>
      <c r="AE145" s="1618" t="str">
        <f ca="1">IF($E145&lt;&gt;"","Select from List     ","")</f>
        <v/>
      </c>
      <c r="AF145" s="1621"/>
      <c r="AG145" s="1618" t="str">
        <f ca="1">IF($E145&lt;&gt;"","% of Cap Resp.","")</f>
        <v/>
      </c>
      <c r="AH145" s="1801" t="str">
        <f ca="1">IF(BW145="", "", IF(BW145&gt;100, 1, VLOOKUP(BW145, Valid!$W$1:$AA$101, VLOOKUP(X145, Codes!$L$20:$N$28, 3, FALSE), FALSE)))</f>
        <v/>
      </c>
      <c r="AI145" s="1620" t="str">
        <f ca="1">IF($E145&lt;&gt;"","Estimated?  ","")</f>
        <v/>
      </c>
      <c r="AJ145" s="1654"/>
      <c r="AK145" s="1620" t="str">
        <f ca="1">IF($E145&lt;&gt;"","Estimated $?    ","")</f>
        <v/>
      </c>
      <c r="AL145" s="1730"/>
      <c r="AM145" s="1620" t="b">
        <f ca="1">IF(E145&lt;&gt;"","Est Date?    ")</f>
        <v>0</v>
      </c>
      <c r="AN145" s="1740"/>
      <c r="AO145" s="1248" t="str">
        <f>IF(X145="Other (describe in Notes)","Describe Facility.                                                                                                                        ","")</f>
        <v/>
      </c>
      <c r="AP145" s="1624"/>
      <c r="AQ145" s="1624" t="b">
        <f>IF(AND(C145="",C147&lt;&gt;""),TRUE,FALSE)</f>
        <v>0</v>
      </c>
      <c r="AR145" s="1624" t="str">
        <f>IF(AND(J145&lt;&gt;"",L145&lt;&gt;"",N145&lt;&gt;"",P145&lt;&gt;"",R145="",T145=""),"Y",IF(AND(J145="",L145="",N145="",P145="",R145&lt;&gt;"",T145&lt;&gt;""),"Y",IF(AND(J145&lt;&gt;"",L145&lt;&gt;"",N145&lt;&gt;"",P145&lt;&gt;"",R145&lt;&gt;"",T145&lt;&gt;""),"Y",IF(AND(J145="",L145="",N145="",P145="",R145="",T145=""),"N/A","N"))))</f>
        <v>N/A</v>
      </c>
      <c r="AS145" s="1624" t="str">
        <f ca="1">IF(AND($C145&lt;&gt;"",OR(AR145="N",$V145="",$X145="",$Z145="",$AB145="",$AF145="",$AH145="",$AL145="",AD145="")),"N",IF(AND($C145="",OR(H145&lt;&gt;"",AR145="N",$V145&lt;&gt;"",$X145&lt;&gt;"",$Z145&lt;&gt;"",$AB145&lt;&gt;"",$AF145&lt;&gt;"",$AH145&lt;&gt;"",$AL145&lt;&gt;"",AD145&lt;&gt;"")),"N",IF(AND(H145="",$C145="",AR145="N/A",$V145="",$X145="",$Z145="",$AB145="",$AF145="",$AH145="",$AL145="",AD145=""),"N/A",IF(AND($C145&lt;&gt;"",AR145="Y",$V145&lt;&gt;"",$X145&lt;&gt;"",$Z145&lt;&gt;"",$AB145&lt;&gt;"",$AF145&lt;&gt;"",$AH145&lt;&gt;"",$AL145&lt;&gt;"",AD145&lt;&gt;""),"Y","N"))))</f>
        <v>N/A</v>
      </c>
      <c r="AT145" s="1761" t="b">
        <f ca="1">IF(AND($C145="",OR($J145&lt;&gt;"",$L145&lt;&gt;"",$N145&lt;&gt;"",$P145&lt;&gt;"",$V145&lt;&gt;"",$X145&lt;&gt;"",$Z145&lt;&gt;"",$AB145&lt;&gt;"",$AF145&lt;&gt;"",$AH145&lt;&gt;"",$AL145&lt;&gt;"")),TRUE,FALSE)</f>
        <v>0</v>
      </c>
      <c r="AU145" s="1761" t="b">
        <f>IF(OR(R145&lt;&gt;"",T145&lt;&gt;""),"false",IF(AND($C145&lt;&gt;"",$J145=""),TRUE,FALSE))</f>
        <v>0</v>
      </c>
      <c r="AV145" s="1761" t="b">
        <f>IF(OR(R145&lt;&gt;"",T145&lt;&gt;""),FALSE,IF(AND($C145&lt;&gt;"",$L145=""),TRUE,FALSE))</f>
        <v>0</v>
      </c>
      <c r="AW145" s="1761" t="b">
        <f>IF(OR(R145&lt;&gt;"",T145&lt;&gt;""),FALSE,IF(AND($C145&lt;&gt;"",$N145=""),TRUE,FALSE))</f>
        <v>0</v>
      </c>
      <c r="AX145" s="1761" t="b">
        <f>IF(OR(R145&lt;&gt;"",T145&lt;&gt;""),FALSE,IF(AND($C145&lt;&gt;"",$P145=""),TRUE,FALSE))</f>
        <v>0</v>
      </c>
      <c r="AY145" s="1761"/>
      <c r="AZ145" s="1761" t="b">
        <f>IF(OR(J145&lt;&gt;"",L145&lt;&gt;"",N145&lt;&gt;"",P145&lt;&gt;""),FALSE,IF(AND(C145&lt;&gt;"",R145=""),TRUE,FALSE))</f>
        <v>0</v>
      </c>
      <c r="BA145" s="1761"/>
      <c r="BB145" s="1761" t="b">
        <f>IF(OR(J145&lt;&gt;"",L145&lt;&gt;"",N145&lt;&gt;"",P145&lt;&gt;""),FALSE,IF(AND(C145&lt;&gt;"",T145=""),TRUE,FALSE))</f>
        <v>0</v>
      </c>
      <c r="BC145" s="1761" t="b">
        <f>IF(AND($C145&lt;&gt;"",$V145=""),TRUE,FALSE)</f>
        <v>0</v>
      </c>
      <c r="BD145" s="1761" t="b">
        <f ca="1">IF(AND(X145="",OR(Z145&lt;&gt;"",AB145&lt;&gt;"",AF145&lt;&gt;"",AH145&lt;&gt;"",AL145&lt;&gt;"",AD145&lt;&gt;"")),TRUE,FALSE)</f>
        <v>0</v>
      </c>
      <c r="BE145" s="1761" t="b">
        <f>IF(AND($C145&lt;&gt;"",$X145=""),TRUE,FALSE)</f>
        <v>0</v>
      </c>
      <c r="BF145" s="1761" t="b">
        <f>IF(Z145="",FALSE,IF(X145="",FALSE,IF(BG145=TRUE,FALSE,IF(OR(Z145&lt;BU145,Z145&gt;BaseYear),TRUE,FALSE))))</f>
        <v>0</v>
      </c>
      <c r="BG145" s="1761" t="b">
        <f>IF(AND($C145&lt;&gt;"",$Z145=""),TRUE,FALSE)</f>
        <v>0</v>
      </c>
      <c r="BH145" s="1761" t="b">
        <f>IF(AD145="",FALSE,IF(X145="",FALSE,IF(BJ145=TRUE,FALSE,IF(AB145&lt;BX145,TRUE,FALSE))))</f>
        <v>0</v>
      </c>
      <c r="BI145" s="1761" t="b">
        <f>IF(AD145="",FALSE,IF(X145="",FALSE,IF(BJ145=TRUE,FALSE,IF(AB145&gt;BY145,TRUE,FALSE))))</f>
        <v>0</v>
      </c>
      <c r="BJ145" s="1761" t="b">
        <f>IF(AND($C145&lt;&gt;"",$AB145=""),TRUE,FALSE)</f>
        <v>0</v>
      </c>
      <c r="BK145" s="1761" t="b">
        <f>IF(BL145=TRUE,FALSE,IF(OR(AF145&lt;0,AF145&gt;1),TRUE,FALSE))</f>
        <v>0</v>
      </c>
      <c r="BL145" s="1761" t="b">
        <f>IF(AND($C145&lt;&gt;"",$AF145=""),TRUE,FALSE)</f>
        <v>0</v>
      </c>
      <c r="BM145" s="1761"/>
      <c r="BN145" s="1761" t="b">
        <f ca="1">IF(AND($C145&lt;&gt;"",$AH145=""),TRUE,FALSE)</f>
        <v>0</v>
      </c>
      <c r="BO145" s="1761" t="b">
        <f>IF(AL145="",FALSE,IF(X145="",FALSE,IF(BP145=TRUE,FALSE,IF(OR(AL145&lt;1913,AL145&gt;BaseYear),TRUE,FALSE))))</f>
        <v>0</v>
      </c>
      <c r="BP145" s="1761" t="b">
        <f>IF(AND($C145&lt;&gt;"",$AL145=""),TRUE,FALSE)</f>
        <v>0</v>
      </c>
      <c r="BQ145" s="1761" t="b">
        <f>IF(AD145="Square Foot",FALSE,IF(AND(AD145="Parking Space",OR('A-20 PassFacInv'!X145=Valid!$B$7,'A-20 PassFacInv'!X145=Valid!$B$8,'A-20 PassFacInv'!X145=Valid!$B$9,'A-20 PassFacInv'!X145=Valid!$B$10,'A-20 PassFacInv'!X145=Valid!$B$12,'A-20 PassFacInv'!X145=Valid!$B$13,'A-20 PassFacInv'!X145=Valid!$B$14,'A-20 PassFacInv'!X145=Valid!$B$15,'A-20 PassFacInv'!X145=Valid!$B$16,'A-20 PassFacInv'!X145=Valid!$B$17,'A-20 PassFacInv'!X145=Valid!$B$18,X145=Valid!$B$19,X145=Valid!$B$20,X145=Valid!$B$21)),TRUE,FALSE))</f>
        <v>0</v>
      </c>
      <c r="BR145" s="1761" t="b">
        <f>IF(AND($C145&lt;&gt;"",$AD145=""),TRUE,FALSE)</f>
        <v>0</v>
      </c>
      <c r="BS145" s="721"/>
      <c r="BT145" s="1625" t="str">
        <f>IF($X145="","",VLOOKUP($X145,val_facilities,BT$3,FALSE))</f>
        <v/>
      </c>
      <c r="BU145" s="1627" t="str">
        <f>IF($X145="","",VLOOKUP($X145,val_facilities,BU$3,FALSE))</f>
        <v/>
      </c>
      <c r="BV145" s="1627" t="str">
        <f>IF($X145="","",VLOOKUP($X145,val_facilities,BV$3,FALSE))</f>
        <v/>
      </c>
      <c r="BW145" s="1627" t="str">
        <f ca="1">IFERROR(IF(Z145="", "", YEAR(TODAY())-Z145), "")</f>
        <v/>
      </c>
      <c r="BX145" s="845" t="str">
        <f>IF($X145="","",IF(AD145="Square Feet",VLOOKUP('A-20 PassFacInv'!X79,Valid!$B$7:$H$24,7,FALSE),IF(AD145="Parking Spaces",VLOOKUP(X145,Valid!$B$22:$L$24,11,FALSE))))</f>
        <v/>
      </c>
      <c r="BY145" s="845" t="str">
        <f>IF($X145="","",IF(AD145="Square Feet",VLOOKUP(X145,Valid!$B$7:$I$24,8,FALSE),IF('A-20 PassFacInv'!AD79="Parking Spaces",VLOOKUP('A-20 PassFacInv'!X79,Valid!$B$22:$M$24,12,FALSE))))</f>
        <v/>
      </c>
      <c r="BZ145" s="758"/>
      <c r="CA145" s="721">
        <f t="shared" si="3"/>
        <v>0</v>
      </c>
      <c r="CB145" s="816"/>
    </row>
    <row r="146" spans="1:80" s="1739" customFormat="1" ht="6.75" customHeight="1" thickBot="1" x14ac:dyDescent="0.25">
      <c r="A146" s="1638"/>
      <c r="B146" s="1746">
        <v>67.5</v>
      </c>
      <c r="C146" s="1057"/>
      <c r="D146" s="764"/>
      <c r="E146" s="1057"/>
      <c r="F146" s="1229"/>
      <c r="G146" s="1229"/>
      <c r="H146" s="1229"/>
      <c r="I146" s="1229"/>
      <c r="J146" s="1604"/>
      <c r="K146" s="1640"/>
      <c r="L146" s="1605"/>
      <c r="M146" s="1646"/>
      <c r="N146" s="1605"/>
      <c r="O146" s="1646"/>
      <c r="P146" s="1733"/>
      <c r="Q146" s="1646"/>
      <c r="R146" s="1660"/>
      <c r="S146" s="1640"/>
      <c r="T146" s="1660"/>
      <c r="U146" s="1640"/>
      <c r="V146" s="1057"/>
      <c r="W146" s="1618"/>
      <c r="X146" s="1747"/>
      <c r="Y146" s="1618"/>
      <c r="Z146" s="1623"/>
      <c r="AA146" s="1618"/>
      <c r="AB146" s="1944"/>
      <c r="AC146" s="1648"/>
      <c r="AD146" s="1661"/>
      <c r="AE146" s="841"/>
      <c r="AF146" s="841"/>
      <c r="AG146" s="1648"/>
      <c r="AH146" s="733"/>
      <c r="AI146" s="1648"/>
      <c r="AJ146" s="722"/>
      <c r="AK146" s="1648"/>
      <c r="AL146" s="1717"/>
      <c r="AM146" s="1648"/>
      <c r="AN146" s="1057"/>
      <c r="AO146" s="1644"/>
      <c r="AP146" s="1644"/>
      <c r="AQ146" s="1644"/>
      <c r="AR146" s="1644"/>
      <c r="AS146" s="1644"/>
      <c r="AT146" s="1761"/>
      <c r="AU146" s="1761"/>
      <c r="AV146" s="1761"/>
      <c r="AW146" s="1761"/>
      <c r="AX146" s="1761"/>
      <c r="AY146" s="1761"/>
      <c r="AZ146" s="1761"/>
      <c r="BA146" s="1761"/>
      <c r="BB146" s="1761"/>
      <c r="BC146" s="1762"/>
      <c r="BD146" s="1762"/>
      <c r="BE146" s="1762"/>
      <c r="BF146" s="1762"/>
      <c r="BG146" s="1762"/>
      <c r="BH146" s="1762"/>
      <c r="BI146" s="1762"/>
      <c r="BJ146" s="1762"/>
      <c r="BK146" s="1762"/>
      <c r="BL146" s="1762"/>
      <c r="BM146" s="1762"/>
      <c r="BN146" s="1762"/>
      <c r="BO146" s="1762"/>
      <c r="BP146" s="1762"/>
      <c r="BQ146" s="1762"/>
      <c r="BR146" s="1762"/>
      <c r="BS146" s="1736"/>
      <c r="BT146" s="1738"/>
      <c r="BU146" s="1738"/>
      <c r="BV146" s="1738"/>
      <c r="BW146" s="1738"/>
      <c r="BX146" s="1738"/>
      <c r="BY146" s="1738"/>
      <c r="BZ146" s="1229"/>
      <c r="CA146" s="721">
        <f t="shared" si="3"/>
        <v>0</v>
      </c>
      <c r="CB146" s="1748"/>
    </row>
    <row r="147" spans="1:80" s="1739" customFormat="1" x14ac:dyDescent="0.2">
      <c r="A147" s="840">
        <v>68</v>
      </c>
      <c r="B147" s="1746">
        <v>68</v>
      </c>
      <c r="C147" s="1740"/>
      <c r="D147" s="1248" t="str">
        <f>IF(C145="","",IF((C147=""),"Enter Facility "&amp;TEXT(A147,0)&amp;" Name, then Fill in Columns "&amp;TEXT($H$2,0)&amp;" - "&amp;TEXT($AL$2,0)&amp;"       ",""))</f>
        <v/>
      </c>
      <c r="E147" s="1245" t="str">
        <f ca="1">IF(AS147="N/A","",IF(AS147="N","No","Yes"))</f>
        <v/>
      </c>
      <c r="F147" s="758"/>
      <c r="G147" s="758"/>
      <c r="H147" s="1707"/>
      <c r="I147" s="758"/>
      <c r="J147" s="1653"/>
      <c r="K147" s="1248" t="str">
        <f ca="1">IF($E147&lt;&gt;"","Enter Street Address      ","")</f>
        <v/>
      </c>
      <c r="L147" s="1740"/>
      <c r="M147" s="1248" t="str">
        <f ca="1">IF($E147&lt;&gt;"","Enter City Name       ","")</f>
        <v/>
      </c>
      <c r="N147" s="1740"/>
      <c r="O147" s="1248" t="str">
        <f ca="1">IF($E147&lt;&gt;"","Select from Pull-Down List   ","")</f>
        <v/>
      </c>
      <c r="P147" s="1741"/>
      <c r="Q147" s="1248" t="str">
        <f ca="1">IF($E147&lt;&gt;"","Enter ZIP Code       ","")</f>
        <v/>
      </c>
      <c r="R147" s="1742"/>
      <c r="S147" s="1248" t="str">
        <f ca="1">IF(OR(N147&lt;&gt;"",P147&lt;&gt;"",J147&lt;&gt;"",L147&lt;&gt;""),"",IF($E147&lt;&gt;"","Enter Lat.      ",""))</f>
        <v/>
      </c>
      <c r="T147" s="1742"/>
      <c r="U147" s="1248" t="str">
        <f ca="1">IF(OR(N147&lt;&gt;"",P147&lt;&gt;"",J147&lt;&gt;"",L147&lt;&gt;""),"",IF($E147&lt;&gt;"","Enter Long.    ",""))</f>
        <v/>
      </c>
      <c r="V147" s="1653"/>
      <c r="W147" s="1618" t="str">
        <f ca="1">IF($E147&lt;&gt;"","Select from Pull-Down List  ","")</f>
        <v/>
      </c>
      <c r="X147" s="1653"/>
      <c r="Y147" s="1618" t="str">
        <f ca="1">IF($E147&lt;&gt;"","Select from Pull-Down List  ","")</f>
        <v/>
      </c>
      <c r="Z147" s="1743"/>
      <c r="AA147" s="1248" t="str">
        <f ca="1">IF(E147&lt;&gt;"","Year?   ","")</f>
        <v/>
      </c>
      <c r="AB147" s="1943"/>
      <c r="AC147" s="1620" t="str">
        <f ca="1">IF(E147="","",IF(X147="","Sq. Ft. or Spaces?   ",IF(OR(X147=Codes!$L$26,X147=Codes!$L$27,X147=Codes!$L$28),"Sq. Ft. or Spaces?   ",IF(OR(X147=Codes!$L$20,X147=Codes!$L$21,X147=Codes!$L$22,X147=Codes!$L$23,X147=Codes!$L$24,X147=Codes!$L$25),"Sq. Ft?     ",""))))</f>
        <v/>
      </c>
      <c r="AD147" s="1740"/>
      <c r="AE147" s="1618" t="str">
        <f ca="1">IF($E147&lt;&gt;"","Select from List     ","")</f>
        <v/>
      </c>
      <c r="AF147" s="1621"/>
      <c r="AG147" s="1618" t="str">
        <f ca="1">IF($E147&lt;&gt;"","% of Cap Resp.","")</f>
        <v/>
      </c>
      <c r="AH147" s="1801" t="str">
        <f ca="1">IF(BW147="", "", IF(BW147&gt;100, 1, VLOOKUP(BW147, Valid!$W$1:$AA$101, VLOOKUP(X147, Codes!$L$20:$N$28, 3, FALSE), FALSE)))</f>
        <v/>
      </c>
      <c r="AI147" s="1620" t="str">
        <f ca="1">IF($E147&lt;&gt;"","Estimated?  ","")</f>
        <v/>
      </c>
      <c r="AJ147" s="1654"/>
      <c r="AK147" s="1620" t="str">
        <f ca="1">IF($E147&lt;&gt;"","Estimated $?    ","")</f>
        <v/>
      </c>
      <c r="AL147" s="1730"/>
      <c r="AM147" s="1620" t="b">
        <f ca="1">IF(E147&lt;&gt;"","Est Date?    ")</f>
        <v>0</v>
      </c>
      <c r="AN147" s="1740"/>
      <c r="AO147" s="1248" t="str">
        <f>IF(X147="Other (describe in Notes)","Describe Facility.                                                                                                                        ","")</f>
        <v/>
      </c>
      <c r="AP147" s="1624"/>
      <c r="AQ147" s="1624" t="b">
        <f>IF(AND(C147="",C149&lt;&gt;""),TRUE,FALSE)</f>
        <v>0</v>
      </c>
      <c r="AR147" s="1624" t="str">
        <f>IF(AND(J147&lt;&gt;"",L147&lt;&gt;"",N147&lt;&gt;"",P147&lt;&gt;"",R147="",T147=""),"Y",IF(AND(J147="",L147="",N147="",P147="",R147&lt;&gt;"",T147&lt;&gt;""),"Y",IF(AND(J147&lt;&gt;"",L147&lt;&gt;"",N147&lt;&gt;"",P147&lt;&gt;"",R147&lt;&gt;"",T147&lt;&gt;""),"Y",IF(AND(J147="",L147="",N147="",P147="",R147="",T147=""),"N/A","N"))))</f>
        <v>N/A</v>
      </c>
      <c r="AS147" s="1624" t="str">
        <f ca="1">IF(AND($C147&lt;&gt;"",OR(AR147="N",$V147="",$X147="",$Z147="",$AB147="",$AF147="",$AH147="",$AL147="",AD147="")),"N",IF(AND($C147="",OR(H147&lt;&gt;"",AR147="N",$V147&lt;&gt;"",$X147&lt;&gt;"",$Z147&lt;&gt;"",$AB147&lt;&gt;"",$AF147&lt;&gt;"",$AH147&lt;&gt;"",$AL147&lt;&gt;"",AD147&lt;&gt;"")),"N",IF(AND(H147="",$C147="",AR147="N/A",$V147="",$X147="",$Z147="",$AB147="",$AF147="",$AH147="",$AL147="",AD147=""),"N/A",IF(AND($C147&lt;&gt;"",AR147="Y",$V147&lt;&gt;"",$X147&lt;&gt;"",$Z147&lt;&gt;"",$AB147&lt;&gt;"",$AF147&lt;&gt;"",$AH147&lt;&gt;"",$AL147&lt;&gt;"",AD147&lt;&gt;""),"Y","N"))))</f>
        <v>N/A</v>
      </c>
      <c r="AT147" s="1761" t="b">
        <f ca="1">IF(AND($C147="",OR($J147&lt;&gt;"",$L147&lt;&gt;"",$N147&lt;&gt;"",$P147&lt;&gt;"",$V147&lt;&gt;"",$X147&lt;&gt;"",$Z147&lt;&gt;"",$AB147&lt;&gt;"",$AF147&lt;&gt;"",$AH147&lt;&gt;"",$AL147&lt;&gt;"")),TRUE,FALSE)</f>
        <v>0</v>
      </c>
      <c r="AU147" s="1761" t="b">
        <f>IF(OR(R147&lt;&gt;"",T147&lt;&gt;""),"false",IF(AND($C147&lt;&gt;"",$J147=""),TRUE,FALSE))</f>
        <v>0</v>
      </c>
      <c r="AV147" s="1761" t="b">
        <f>IF(OR(R147&lt;&gt;"",T147&lt;&gt;""),FALSE,IF(AND($C147&lt;&gt;"",$L147=""),TRUE,FALSE))</f>
        <v>0</v>
      </c>
      <c r="AW147" s="1761" t="b">
        <f>IF(OR(R147&lt;&gt;"",T147&lt;&gt;""),FALSE,IF(AND($C147&lt;&gt;"",$N147=""),TRUE,FALSE))</f>
        <v>0</v>
      </c>
      <c r="AX147" s="1761" t="b">
        <f>IF(OR(R147&lt;&gt;"",T147&lt;&gt;""),FALSE,IF(AND($C147&lt;&gt;"",$P147=""),TRUE,FALSE))</f>
        <v>0</v>
      </c>
      <c r="AY147" s="1761"/>
      <c r="AZ147" s="1761" t="b">
        <f>IF(OR(J147&lt;&gt;"",L147&lt;&gt;"",N147&lt;&gt;"",P147&lt;&gt;""),FALSE,IF(AND(C147&lt;&gt;"",R147=""),TRUE,FALSE))</f>
        <v>0</v>
      </c>
      <c r="BA147" s="1761"/>
      <c r="BB147" s="1761" t="b">
        <f>IF(OR(J147&lt;&gt;"",L147&lt;&gt;"",N147&lt;&gt;"",P147&lt;&gt;""),FALSE,IF(AND(C147&lt;&gt;"",T147=""),TRUE,FALSE))</f>
        <v>0</v>
      </c>
      <c r="BC147" s="1761" t="b">
        <f>IF(AND($C147&lt;&gt;"",$V147=""),TRUE,FALSE)</f>
        <v>0</v>
      </c>
      <c r="BD147" s="1761" t="b">
        <f ca="1">IF(AND(X147="",OR(Z147&lt;&gt;"",AB147&lt;&gt;"",AF147&lt;&gt;"",AH147&lt;&gt;"",AL147&lt;&gt;"",AD147&lt;&gt;"")),TRUE,FALSE)</f>
        <v>0</v>
      </c>
      <c r="BE147" s="1761" t="b">
        <f>IF(AND($C147&lt;&gt;"",$X147=""),TRUE,FALSE)</f>
        <v>0</v>
      </c>
      <c r="BF147" s="1761" t="b">
        <f>IF(Z147="",FALSE,IF(X147="",FALSE,IF(BG147=TRUE,FALSE,IF(OR(Z147&lt;BU147,Z147&gt;BaseYear),TRUE,FALSE))))</f>
        <v>0</v>
      </c>
      <c r="BG147" s="1761" t="b">
        <f>IF(AND($C147&lt;&gt;"",$Z147=""),TRUE,FALSE)</f>
        <v>0</v>
      </c>
      <c r="BH147" s="1761" t="b">
        <f>IF(AD147="",FALSE,IF(X147="",FALSE,IF(BJ147=TRUE,FALSE,IF(AB147&lt;BX147,TRUE,FALSE))))</f>
        <v>0</v>
      </c>
      <c r="BI147" s="1761" t="b">
        <f>IF(AD147="",FALSE,IF(X147="",FALSE,IF(BJ147=TRUE,FALSE,IF(AB147&gt;BY147,TRUE,FALSE))))</f>
        <v>0</v>
      </c>
      <c r="BJ147" s="1761" t="b">
        <f>IF(AND($C147&lt;&gt;"",$AB147=""),TRUE,FALSE)</f>
        <v>0</v>
      </c>
      <c r="BK147" s="1761" t="b">
        <f>IF(BL147=TRUE,FALSE,IF(OR(AF147&lt;0,AF147&gt;1),TRUE,FALSE))</f>
        <v>0</v>
      </c>
      <c r="BL147" s="1761" t="b">
        <f>IF(AND($C147&lt;&gt;"",$AF147=""),TRUE,FALSE)</f>
        <v>0</v>
      </c>
      <c r="BM147" s="1761"/>
      <c r="BN147" s="1761" t="b">
        <f ca="1">IF(AND($C147&lt;&gt;"",$AH147=""),TRUE,FALSE)</f>
        <v>0</v>
      </c>
      <c r="BO147" s="1761" t="b">
        <f>IF(AL147="",FALSE,IF(X147="",FALSE,IF(BP147=TRUE,FALSE,IF(OR(AL147&lt;1913,AL147&gt;BaseYear),TRUE,FALSE))))</f>
        <v>0</v>
      </c>
      <c r="BP147" s="1761" t="b">
        <f>IF(AND($C147&lt;&gt;"",$AL147=""),TRUE,FALSE)</f>
        <v>0</v>
      </c>
      <c r="BQ147" s="1761" t="b">
        <f>IF(AD147="Square Foot",FALSE,IF(AND(AD147="Parking Space",OR('A-20 PassFacInv'!X147=Valid!$B$7,'A-20 PassFacInv'!X147=Valid!$B$8,'A-20 PassFacInv'!X147=Valid!$B$9,'A-20 PassFacInv'!X147=Valid!$B$10,'A-20 PassFacInv'!X147=Valid!$B$12,'A-20 PassFacInv'!X147=Valid!$B$13,'A-20 PassFacInv'!X147=Valid!$B$14,'A-20 PassFacInv'!X147=Valid!$B$15,'A-20 PassFacInv'!X147=Valid!$B$16,'A-20 PassFacInv'!X147=Valid!$B$17,'A-20 PassFacInv'!X147=Valid!$B$18,X147=Valid!$B$19,X147=Valid!$B$20,X147=Valid!$B$21)),TRUE,FALSE))</f>
        <v>0</v>
      </c>
      <c r="BR147" s="1761" t="b">
        <f>IF(AND($C147&lt;&gt;"",$AD147=""),TRUE,FALSE)</f>
        <v>0</v>
      </c>
      <c r="BS147" s="721"/>
      <c r="BT147" s="1625" t="str">
        <f>IF($X147="","",VLOOKUP($X147,val_facilities,BT$3,FALSE))</f>
        <v/>
      </c>
      <c r="BU147" s="1627" t="str">
        <f>IF($X147="","",VLOOKUP($X147,val_facilities,BU$3,FALSE))</f>
        <v/>
      </c>
      <c r="BV147" s="1627" t="str">
        <f>IF($X147="","",VLOOKUP($X147,val_facilities,BV$3,FALSE))</f>
        <v/>
      </c>
      <c r="BW147" s="1627" t="str">
        <f ca="1">IFERROR(IF(Z147="", "", YEAR(TODAY())-Z147), "")</f>
        <v/>
      </c>
      <c r="BX147" s="845" t="str">
        <f>IF($X147="","",IF(AD147="Square Feet",VLOOKUP('A-20 PassFacInv'!X80,Valid!$B$7:$H$24,7,FALSE),IF(AD147="Parking Spaces",VLOOKUP(X147,Valid!$B$22:$L$24,11,FALSE))))</f>
        <v/>
      </c>
      <c r="BY147" s="845" t="str">
        <f>IF($X147="","",IF(AD147="Square Feet",VLOOKUP(X147,Valid!$B$7:$I$24,8,FALSE),IF('A-20 PassFacInv'!AD80="Parking Spaces",VLOOKUP('A-20 PassFacInv'!X80,Valid!$B$22:$M$24,12,FALSE))))</f>
        <v/>
      </c>
      <c r="BZ147" s="758"/>
      <c r="CA147" s="721">
        <f t="shared" si="3"/>
        <v>0</v>
      </c>
      <c r="CB147" s="816"/>
    </row>
    <row r="148" spans="1:80" s="1739" customFormat="1" ht="6.75" customHeight="1" thickBot="1" x14ac:dyDescent="0.25">
      <c r="A148" s="1638"/>
      <c r="B148" s="1746">
        <v>68.5</v>
      </c>
      <c r="C148" s="1057"/>
      <c r="D148" s="1248"/>
      <c r="E148" s="1639"/>
      <c r="F148" s="1229"/>
      <c r="G148" s="1229"/>
      <c r="H148" s="1229"/>
      <c r="I148" s="1229"/>
      <c r="J148" s="1604"/>
      <c r="K148" s="1229"/>
      <c r="L148" s="1645"/>
      <c r="M148" s="1644"/>
      <c r="N148" s="1645"/>
      <c r="O148" s="1644"/>
      <c r="P148" s="1662"/>
      <c r="Q148" s="1644"/>
      <c r="R148" s="1663"/>
      <c r="S148" s="1229"/>
      <c r="T148" s="1663"/>
      <c r="U148" s="1229"/>
      <c r="V148" s="1057"/>
      <c r="W148" s="1623"/>
      <c r="X148" s="1747"/>
      <c r="Y148" s="1623"/>
      <c r="Z148" s="1623"/>
      <c r="AA148" s="1623"/>
      <c r="AB148" s="1944"/>
      <c r="AC148" s="841"/>
      <c r="AD148" s="1057"/>
      <c r="AE148" s="841"/>
      <c r="AF148" s="841"/>
      <c r="AG148" s="841"/>
      <c r="AH148" s="722"/>
      <c r="AI148" s="841"/>
      <c r="AJ148" s="722"/>
      <c r="AK148" s="841"/>
      <c r="AL148" s="1717"/>
      <c r="AM148" s="841"/>
      <c r="AN148" s="1057"/>
      <c r="AO148" s="1644"/>
      <c r="AP148" s="1644"/>
      <c r="AQ148" s="1644"/>
      <c r="AR148" s="1644"/>
      <c r="AS148" s="1644"/>
      <c r="AT148" s="1761"/>
      <c r="AU148" s="1761"/>
      <c r="AV148" s="1761"/>
      <c r="AW148" s="1761"/>
      <c r="AX148" s="1761"/>
      <c r="AY148" s="1761"/>
      <c r="AZ148" s="1761"/>
      <c r="BA148" s="1761"/>
      <c r="BB148" s="1761"/>
      <c r="BC148" s="1762"/>
      <c r="BD148" s="1762"/>
      <c r="BE148" s="1762"/>
      <c r="BF148" s="1762"/>
      <c r="BG148" s="1762"/>
      <c r="BH148" s="1762"/>
      <c r="BI148" s="1762"/>
      <c r="BJ148" s="1762"/>
      <c r="BK148" s="1762"/>
      <c r="BL148" s="1762"/>
      <c r="BM148" s="1762"/>
      <c r="BN148" s="1762"/>
      <c r="BO148" s="1762"/>
      <c r="BP148" s="1762"/>
      <c r="BQ148" s="1763"/>
      <c r="BR148" s="1762"/>
      <c r="BS148" s="1736"/>
      <c r="BT148" s="1738"/>
      <c r="BU148" s="1738"/>
      <c r="BV148" s="1738"/>
      <c r="BW148" s="1738"/>
      <c r="BX148" s="1738"/>
      <c r="BY148" s="1738"/>
      <c r="BZ148" s="1229"/>
      <c r="CA148" s="721">
        <f t="shared" si="3"/>
        <v>0</v>
      </c>
      <c r="CB148" s="1748"/>
    </row>
    <row r="149" spans="1:80" s="1739" customFormat="1" x14ac:dyDescent="0.2">
      <c r="A149" s="840">
        <v>69</v>
      </c>
      <c r="B149" s="1731">
        <v>69</v>
      </c>
      <c r="C149" s="1740"/>
      <c r="D149" s="1248" t="str">
        <f>IF(C147="","",IF((C149=""),"Enter Facility "&amp;TEXT(A149,0)&amp;" Name, then Fill in Columns "&amp;TEXT($H$2,0)&amp;" - "&amp;TEXT($AL$2,0)&amp;"       ",""))</f>
        <v/>
      </c>
      <c r="E149" s="1245" t="str">
        <f ca="1">IF(AS149="N/A","",IF(AS149="N","No","Yes"))</f>
        <v/>
      </c>
      <c r="F149" s="758"/>
      <c r="G149" s="758"/>
      <c r="H149" s="1707"/>
      <c r="I149" s="758"/>
      <c r="J149" s="1653"/>
      <c r="K149" s="1248" t="str">
        <f ca="1">IF($E149&lt;&gt;"","Enter Street Address      ","")</f>
        <v/>
      </c>
      <c r="L149" s="1740"/>
      <c r="M149" s="1248" t="str">
        <f ca="1">IF($E149&lt;&gt;"","Enter City Name       ","")</f>
        <v/>
      </c>
      <c r="N149" s="1740"/>
      <c r="O149" s="1248" t="str">
        <f ca="1">IF($E149&lt;&gt;"","Select from Pull-Down List   ","")</f>
        <v/>
      </c>
      <c r="P149" s="1741"/>
      <c r="Q149" s="1248" t="str">
        <f ca="1">IF($E149&lt;&gt;"","Enter ZIP Code       ","")</f>
        <v/>
      </c>
      <c r="R149" s="1742"/>
      <c r="S149" s="1248" t="str">
        <f ca="1">IF(OR(N149&lt;&gt;"",P149&lt;&gt;"",J149&lt;&gt;"",L149&lt;&gt;""),"",IF($E149&lt;&gt;"","Enter Lat.      ",""))</f>
        <v/>
      </c>
      <c r="T149" s="1742"/>
      <c r="U149" s="1248" t="str">
        <f ca="1">IF(OR(N149&lt;&gt;"",P149&lt;&gt;"",J149&lt;&gt;"",L149&lt;&gt;""),"",IF($E149&lt;&gt;"","Enter Long.    ",""))</f>
        <v/>
      </c>
      <c r="V149" s="1653"/>
      <c r="W149" s="1618" t="str">
        <f ca="1">IF($E149&lt;&gt;"","Select from Pull-Down List  ","")</f>
        <v/>
      </c>
      <c r="X149" s="1653"/>
      <c r="Y149" s="1618" t="str">
        <f ca="1">IF($E149&lt;&gt;"","Select from Pull-Down List  ","")</f>
        <v/>
      </c>
      <c r="Z149" s="1743"/>
      <c r="AA149" s="1248" t="str">
        <f ca="1">IF(E149&lt;&gt;"","Year?   ","")</f>
        <v/>
      </c>
      <c r="AB149" s="1943"/>
      <c r="AC149" s="1620" t="str">
        <f ca="1">IF(E149="","",IF(X149="","Sq. Ft. or Spaces?   ",IF(OR(X149=Codes!$L$26,X149=Codes!$L$27,X149=Codes!$L$28),"Sq. Ft. or Spaces?   ",IF(OR(X149=Codes!$L$20,X149=Codes!$L$21,X149=Codes!$L$22,X149=Codes!$L$23,X149=Codes!$L$24,X149=Codes!$L$25),"Sq. Ft?     ",""))))</f>
        <v/>
      </c>
      <c r="AD149" s="1740"/>
      <c r="AE149" s="1618" t="str">
        <f ca="1">IF($E149&lt;&gt;"","Select from List     ","")</f>
        <v/>
      </c>
      <c r="AF149" s="1621"/>
      <c r="AG149" s="1618" t="str">
        <f ca="1">IF($E149&lt;&gt;"","% of Cap Resp.","")</f>
        <v/>
      </c>
      <c r="AH149" s="1801" t="str">
        <f ca="1">IF(BW149="", "", IF(BW149&gt;100, 1, VLOOKUP(BW149, Valid!$W$1:$AA$101, VLOOKUP(X149, Codes!$L$20:$N$28, 3, FALSE), FALSE)))</f>
        <v/>
      </c>
      <c r="AI149" s="1620" t="str">
        <f ca="1">IF($E149&lt;&gt;"","Estimated?  ","")</f>
        <v/>
      </c>
      <c r="AJ149" s="1654"/>
      <c r="AK149" s="1620" t="str">
        <f ca="1">IF($E149&lt;&gt;"","Estimated $?    ","")</f>
        <v/>
      </c>
      <c r="AL149" s="1730"/>
      <c r="AM149" s="1620" t="b">
        <f ca="1">IF(E149&lt;&gt;"","Est Date?    ")</f>
        <v>0</v>
      </c>
      <c r="AN149" s="1740"/>
      <c r="AO149" s="1248" t="str">
        <f>IF(X149="Other (describe in Notes)","Describe Facility.                                                                                                                        ","")</f>
        <v/>
      </c>
      <c r="AP149" s="1624"/>
      <c r="AQ149" s="1624" t="b">
        <f>IF(AND(C149="",C151&lt;&gt;""),TRUE,FALSE)</f>
        <v>0</v>
      </c>
      <c r="AR149" s="1624" t="str">
        <f>IF(AND(J149&lt;&gt;"",L149&lt;&gt;"",N149&lt;&gt;"",P149&lt;&gt;"",R149="",T149=""),"Y",IF(AND(J149="",L149="",N149="",P149="",R149&lt;&gt;"",T149&lt;&gt;""),"Y",IF(AND(J149&lt;&gt;"",L149&lt;&gt;"",N149&lt;&gt;"",P149&lt;&gt;"",R149&lt;&gt;"",T149&lt;&gt;""),"Y",IF(AND(J149="",L149="",N149="",P149="",R149="",T149=""),"N/A","N"))))</f>
        <v>N/A</v>
      </c>
      <c r="AS149" s="1624" t="str">
        <f ca="1">IF(AND($C149&lt;&gt;"",OR(AR149="N",$V149="",$X149="",$Z149="",$AB149="",$AF149="",$AH149="",$AL149="",AD149="")),"N",IF(AND($C149="",OR(H149&lt;&gt;"",AR149="N",$V149&lt;&gt;"",$X149&lt;&gt;"",$Z149&lt;&gt;"",$AB149&lt;&gt;"",$AF149&lt;&gt;"",$AH149&lt;&gt;"",$AL149&lt;&gt;"",AD149&lt;&gt;"")),"N",IF(AND(H149="",$C149="",AR149="N/A",$V149="",$X149="",$Z149="",$AB149="",$AF149="",$AH149="",$AL149="",AD149=""),"N/A",IF(AND($C149&lt;&gt;"",AR149="Y",$V149&lt;&gt;"",$X149&lt;&gt;"",$Z149&lt;&gt;"",$AB149&lt;&gt;"",$AF149&lt;&gt;"",$AH149&lt;&gt;"",$AL149&lt;&gt;"",AD149&lt;&gt;""),"Y","N"))))</f>
        <v>N/A</v>
      </c>
      <c r="AT149" s="1761" t="b">
        <f ca="1">IF(AND($C149="",OR($J149&lt;&gt;"",$L149&lt;&gt;"",$N149&lt;&gt;"",$P149&lt;&gt;"",$V149&lt;&gt;"",$X149&lt;&gt;"",$Z149&lt;&gt;"",$AB149&lt;&gt;"",$AF149&lt;&gt;"",$AH149&lt;&gt;"",$AL149&lt;&gt;"")),TRUE,FALSE)</f>
        <v>0</v>
      </c>
      <c r="AU149" s="1761" t="b">
        <f>IF(OR(R149&lt;&gt;"",T149&lt;&gt;""),"false",IF(AND($C149&lt;&gt;"",$J149=""),TRUE,FALSE))</f>
        <v>0</v>
      </c>
      <c r="AV149" s="1761" t="b">
        <f>IF(OR(R149&lt;&gt;"",T149&lt;&gt;""),FALSE,IF(AND($C149&lt;&gt;"",$L149=""),TRUE,FALSE))</f>
        <v>0</v>
      </c>
      <c r="AW149" s="1761" t="b">
        <f>IF(OR(R149&lt;&gt;"",T149&lt;&gt;""),FALSE,IF(AND($C149&lt;&gt;"",$N149=""),TRUE,FALSE))</f>
        <v>0</v>
      </c>
      <c r="AX149" s="1761" t="b">
        <f>IF(OR(R149&lt;&gt;"",T149&lt;&gt;""),FALSE,IF(AND($C149&lt;&gt;"",$P149=""),TRUE,FALSE))</f>
        <v>0</v>
      </c>
      <c r="AY149" s="1761"/>
      <c r="AZ149" s="1761" t="b">
        <f>IF(OR(J149&lt;&gt;"",L149&lt;&gt;"",N149&lt;&gt;"",P149&lt;&gt;""),FALSE,IF(AND(C149&lt;&gt;"",R149=""),TRUE,FALSE))</f>
        <v>0</v>
      </c>
      <c r="BA149" s="1761"/>
      <c r="BB149" s="1761" t="b">
        <f>IF(OR(J149&lt;&gt;"",L149&lt;&gt;"",N149&lt;&gt;"",P149&lt;&gt;""),FALSE,IF(AND(C149&lt;&gt;"",T149=""),TRUE,FALSE))</f>
        <v>0</v>
      </c>
      <c r="BC149" s="1761" t="b">
        <f>IF(AND($C149&lt;&gt;"",$V149=""),TRUE,FALSE)</f>
        <v>0</v>
      </c>
      <c r="BD149" s="1761" t="b">
        <f ca="1">IF(AND(X149="",OR(Z149&lt;&gt;"",AB149&lt;&gt;"",AF149&lt;&gt;"",AH149&lt;&gt;"",AL149&lt;&gt;"",AD149&lt;&gt;"")),TRUE,FALSE)</f>
        <v>0</v>
      </c>
      <c r="BE149" s="1761" t="b">
        <f>IF(AND($C149&lt;&gt;"",$X149=""),TRUE,FALSE)</f>
        <v>0</v>
      </c>
      <c r="BF149" s="1761" t="b">
        <f>IF(Z149="",FALSE,IF(X149="",FALSE,IF(BG149=TRUE,FALSE,IF(OR(Z149&lt;BU149,Z149&gt;BaseYear),TRUE,FALSE))))</f>
        <v>0</v>
      </c>
      <c r="BG149" s="1761" t="b">
        <f>IF(AND($C149&lt;&gt;"",$Z149=""),TRUE,FALSE)</f>
        <v>0</v>
      </c>
      <c r="BH149" s="1761" t="b">
        <f>IF(AD149="",FALSE,IF(X149="",FALSE,IF(BJ149=TRUE,FALSE,IF(AB149&lt;BX149,TRUE,FALSE))))</f>
        <v>0</v>
      </c>
      <c r="BI149" s="1761" t="b">
        <f>IF(AD149="",FALSE,IF(X149="",FALSE,IF(BJ149=TRUE,FALSE,IF(AB149&gt;BY149,TRUE,FALSE))))</f>
        <v>0</v>
      </c>
      <c r="BJ149" s="1761" t="b">
        <f>IF(AND($C149&lt;&gt;"",$AB149=""),TRUE,FALSE)</f>
        <v>0</v>
      </c>
      <c r="BK149" s="1761" t="b">
        <f>IF(BL149=TRUE,FALSE,IF(OR(AF149&lt;0,AF149&gt;1),TRUE,FALSE))</f>
        <v>0</v>
      </c>
      <c r="BL149" s="1761" t="b">
        <f>IF(AND($C149&lt;&gt;"",$AF149=""),TRUE,FALSE)</f>
        <v>0</v>
      </c>
      <c r="BM149" s="1761"/>
      <c r="BN149" s="1761" t="b">
        <f ca="1">IF(AND($C149&lt;&gt;"",$AH149=""),TRUE,FALSE)</f>
        <v>0</v>
      </c>
      <c r="BO149" s="1761" t="b">
        <f>IF(AL149="",FALSE,IF(X149="",FALSE,IF(BP149=TRUE,FALSE,IF(OR(AL149&lt;1913,AL149&gt;BaseYear),TRUE,FALSE))))</f>
        <v>0</v>
      </c>
      <c r="BP149" s="1761" t="b">
        <f>IF(AND($C149&lt;&gt;"",$AL149=""),TRUE,FALSE)</f>
        <v>0</v>
      </c>
      <c r="BQ149" s="1761" t="b">
        <f>IF(AD149="Square Foot",FALSE,IF(AND(AD149="Parking Space",OR('A-20 PassFacInv'!X149=Valid!$B$7,'A-20 PassFacInv'!X149=Valid!$B$8,'A-20 PassFacInv'!X149=Valid!$B$9,'A-20 PassFacInv'!X149=Valid!$B$10,'A-20 PassFacInv'!X149=Valid!$B$12,'A-20 PassFacInv'!X149=Valid!$B$13,'A-20 PassFacInv'!X149=Valid!$B$14,'A-20 PassFacInv'!X149=Valid!$B$15,'A-20 PassFacInv'!X149=Valid!$B$16,'A-20 PassFacInv'!X149=Valid!$B$17,'A-20 PassFacInv'!X149=Valid!$B$18,X149=Valid!$B$19,X149=Valid!$B$20,X149=Valid!$B$21)),TRUE,FALSE))</f>
        <v>0</v>
      </c>
      <c r="BR149" s="1761" t="b">
        <f>IF(AND($C149&lt;&gt;"",$AD149=""),TRUE,FALSE)</f>
        <v>0</v>
      </c>
      <c r="BS149" s="721"/>
      <c r="BT149" s="1625" t="str">
        <f>IF($X149="","",VLOOKUP($X149,val_facilities,BT$3,FALSE))</f>
        <v/>
      </c>
      <c r="BU149" s="1627" t="str">
        <f>IF($X149="","",VLOOKUP($X149,val_facilities,BU$3,FALSE))</f>
        <v/>
      </c>
      <c r="BV149" s="1627" t="str">
        <f>IF($X149="","",VLOOKUP($X149,val_facilities,BV$3,FALSE))</f>
        <v/>
      </c>
      <c r="BW149" s="1627" t="str">
        <f ca="1">IFERROR(IF(Z149="", "", YEAR(TODAY())-Z149), "")</f>
        <v/>
      </c>
      <c r="BX149" s="845" t="str">
        <f>IF($X149="","",IF(AD149="Square Feet",VLOOKUP('A-20 PassFacInv'!X81,Valid!$B$7:$H$24,7,FALSE),IF(AD149="Parking Spaces",VLOOKUP(X149,Valid!$B$22:$L$24,11,FALSE))))</f>
        <v/>
      </c>
      <c r="BY149" s="845" t="str">
        <f>IF($X149="","",IF(AD149="Square Feet",VLOOKUP(X149,Valid!$B$7:$I$24,8,FALSE),IF('A-20 PassFacInv'!AD81="Parking Spaces",VLOOKUP('A-20 PassFacInv'!X81,Valid!$B$22:$M$24,12,FALSE))))</f>
        <v/>
      </c>
      <c r="BZ149" s="758"/>
      <c r="CA149" s="721">
        <f t="shared" si="3"/>
        <v>0</v>
      </c>
      <c r="CB149" s="816"/>
    </row>
    <row r="150" spans="1:80" s="1739" customFormat="1" ht="6.75" customHeight="1" thickBot="1" x14ac:dyDescent="0.25">
      <c r="A150" s="1638"/>
      <c r="B150" s="1746">
        <v>69.5</v>
      </c>
      <c r="C150" s="1057"/>
      <c r="D150" s="1248"/>
      <c r="E150" s="1057"/>
      <c r="F150" s="1229"/>
      <c r="G150" s="1229"/>
      <c r="H150" s="1229"/>
      <c r="I150" s="1229"/>
      <c r="J150" s="1604"/>
      <c r="K150" s="1640"/>
      <c r="L150" s="1641"/>
      <c r="M150" s="1248"/>
      <c r="N150" s="1641"/>
      <c r="O150" s="1248"/>
      <c r="P150" s="1659"/>
      <c r="Q150" s="1248"/>
      <c r="R150" s="1660"/>
      <c r="S150" s="1640"/>
      <c r="T150" s="1660"/>
      <c r="U150" s="1640"/>
      <c r="V150" s="1057"/>
      <c r="W150" s="1618"/>
      <c r="X150" s="1747"/>
      <c r="Y150" s="1618"/>
      <c r="Z150" s="1623"/>
      <c r="AA150" s="1618"/>
      <c r="AB150" s="1944"/>
      <c r="AC150" s="1275"/>
      <c r="AD150" s="1661"/>
      <c r="AE150" s="734"/>
      <c r="AF150" s="1736"/>
      <c r="AG150" s="1275"/>
      <c r="AH150" s="722"/>
      <c r="AI150" s="1275"/>
      <c r="AJ150" s="733"/>
      <c r="AK150" s="1275"/>
      <c r="AL150" s="1721"/>
      <c r="AM150" s="1275"/>
      <c r="AN150" s="1057"/>
      <c r="AO150" s="1644"/>
      <c r="AP150" s="1644"/>
      <c r="AQ150" s="1644"/>
      <c r="AR150" s="1644"/>
      <c r="AS150" s="1644"/>
      <c r="AT150" s="1761"/>
      <c r="AU150" s="1761"/>
      <c r="AV150" s="1761"/>
      <c r="AW150" s="1761"/>
      <c r="AX150" s="1761"/>
      <c r="AY150" s="1761"/>
      <c r="AZ150" s="1761"/>
      <c r="BA150" s="1761"/>
      <c r="BB150" s="1761"/>
      <c r="BC150" s="1762"/>
      <c r="BD150" s="1762"/>
      <c r="BE150" s="1762"/>
      <c r="BF150" s="1762"/>
      <c r="BG150" s="1762"/>
      <c r="BH150" s="1762"/>
      <c r="BI150" s="1762"/>
      <c r="BJ150" s="1762"/>
      <c r="BK150" s="1762"/>
      <c r="BL150" s="1762"/>
      <c r="BM150" s="1762"/>
      <c r="BN150" s="1762"/>
      <c r="BO150" s="1762"/>
      <c r="BP150" s="1762"/>
      <c r="BQ150" s="1762"/>
      <c r="BR150" s="1762"/>
      <c r="BS150" s="1736"/>
      <c r="BT150" s="1738"/>
      <c r="BU150" s="1738"/>
      <c r="BV150" s="1738"/>
      <c r="BW150" s="1738"/>
      <c r="BX150" s="1738"/>
      <c r="BY150" s="1738"/>
      <c r="BZ150" s="1229"/>
      <c r="CA150" s="721">
        <f t="shared" si="3"/>
        <v>0</v>
      </c>
      <c r="CB150" s="1748"/>
    </row>
    <row r="151" spans="1:80" s="1739" customFormat="1" x14ac:dyDescent="0.2">
      <c r="A151" s="840">
        <v>70</v>
      </c>
      <c r="B151" s="1746">
        <v>70</v>
      </c>
      <c r="C151" s="1740"/>
      <c r="D151" s="1248" t="str">
        <f>IF(C149="","",IF((C151=""),"Enter Facility "&amp;TEXT(A151,0)&amp;" Name, then Fill in Columns "&amp;TEXT($H$2,0)&amp;" - "&amp;TEXT($AL$2,0)&amp;"       ",""))</f>
        <v/>
      </c>
      <c r="E151" s="1245" t="str">
        <f ca="1">IF(AS151="N/A","",IF(AS151="N","No","Yes"))</f>
        <v/>
      </c>
      <c r="F151" s="758"/>
      <c r="G151" s="758"/>
      <c r="H151" s="1707"/>
      <c r="I151" s="758"/>
      <c r="J151" s="1653"/>
      <c r="K151" s="1248" t="str">
        <f ca="1">IF($E151&lt;&gt;"","Enter Street Address      ","")</f>
        <v/>
      </c>
      <c r="L151" s="1740"/>
      <c r="M151" s="1248" t="str">
        <f ca="1">IF($E151&lt;&gt;"","Enter City Name       ","")</f>
        <v/>
      </c>
      <c r="N151" s="1740"/>
      <c r="O151" s="1248" t="str">
        <f ca="1">IF($E151&lt;&gt;"","Select from Pull-Down List   ","")</f>
        <v/>
      </c>
      <c r="P151" s="1741"/>
      <c r="Q151" s="1248" t="str">
        <f ca="1">IF($E151&lt;&gt;"","Enter ZIP Code       ","")</f>
        <v/>
      </c>
      <c r="R151" s="1742"/>
      <c r="S151" s="1248" t="str">
        <f ca="1">IF(OR(N151&lt;&gt;"",P151&lt;&gt;"",J151&lt;&gt;"",L151&lt;&gt;""),"",IF($E151&lt;&gt;"","Enter Lat.      ",""))</f>
        <v/>
      </c>
      <c r="T151" s="1742"/>
      <c r="U151" s="1248" t="str">
        <f ca="1">IF(OR(N151&lt;&gt;"",P151&lt;&gt;"",J151&lt;&gt;"",L151&lt;&gt;""),"",IF($E151&lt;&gt;"","Enter Long.    ",""))</f>
        <v/>
      </c>
      <c r="V151" s="1653"/>
      <c r="W151" s="1618" t="str">
        <f ca="1">IF($E151&lt;&gt;"","Select from Pull-Down List  ","")</f>
        <v/>
      </c>
      <c r="X151" s="1653"/>
      <c r="Y151" s="1618" t="str">
        <f ca="1">IF($E151&lt;&gt;"","Select from Pull-Down List  ","")</f>
        <v/>
      </c>
      <c r="Z151" s="1743"/>
      <c r="AA151" s="1248" t="str">
        <f ca="1">IF(E151&lt;&gt;"","Year?   ","")</f>
        <v/>
      </c>
      <c r="AB151" s="1943"/>
      <c r="AC151" s="1620" t="str">
        <f ca="1">IF(E151="","",IF(X151="","Sq. Ft. or Spaces?   ",IF(OR(X151=Codes!$L$26,X151=Codes!$L$27,X151=Codes!$L$28),"Sq. Ft. or Spaces?   ",IF(OR(X151=Codes!$L$20,X151=Codes!$L$21,X151=Codes!$L$22,X151=Codes!$L$23,X151=Codes!$L$24,X151=Codes!$L$25),"Sq. Ft?     ",""))))</f>
        <v/>
      </c>
      <c r="AD151" s="1740"/>
      <c r="AE151" s="1618" t="str">
        <f ca="1">IF($E151&lt;&gt;"","Select from List     ","")</f>
        <v/>
      </c>
      <c r="AF151" s="1621"/>
      <c r="AG151" s="1618" t="str">
        <f ca="1">IF($E151&lt;&gt;"","% of Cap Resp.","")</f>
        <v/>
      </c>
      <c r="AH151" s="1801" t="str">
        <f ca="1">IF(BW151="", "", IF(BW151&gt;100, 1, VLOOKUP(BW151, Valid!$W$1:$AA$101, VLOOKUP(X151, Codes!$L$20:$N$28, 3, FALSE), FALSE)))</f>
        <v/>
      </c>
      <c r="AI151" s="1620" t="str">
        <f ca="1">IF($E151&lt;&gt;"","Estimated?  ","")</f>
        <v/>
      </c>
      <c r="AJ151" s="1654"/>
      <c r="AK151" s="1620" t="str">
        <f ca="1">IF($E151&lt;&gt;"","Estimated $?    ","")</f>
        <v/>
      </c>
      <c r="AL151" s="1730"/>
      <c r="AM151" s="1620" t="b">
        <f ca="1">IF(E151&lt;&gt;"","Est Date?    ")</f>
        <v>0</v>
      </c>
      <c r="AN151" s="1740"/>
      <c r="AO151" s="1248" t="str">
        <f>IF(X151="Other (describe in Notes)","Describe Facility.                                                                                                                        ","")</f>
        <v/>
      </c>
      <c r="AP151" s="1624"/>
      <c r="AQ151" s="1624" t="b">
        <f>IF(AND(C151="",C153&lt;&gt;""),TRUE,FALSE)</f>
        <v>0</v>
      </c>
      <c r="AR151" s="1624" t="str">
        <f>IF(AND(J151&lt;&gt;"",L151&lt;&gt;"",N151&lt;&gt;"",P151&lt;&gt;"",R151="",T151=""),"Y",IF(AND(J151="",L151="",N151="",P151="",R151&lt;&gt;"",T151&lt;&gt;""),"Y",IF(AND(J151&lt;&gt;"",L151&lt;&gt;"",N151&lt;&gt;"",P151&lt;&gt;"",R151&lt;&gt;"",T151&lt;&gt;""),"Y",IF(AND(J151="",L151="",N151="",P151="",R151="",T151=""),"N/A","N"))))</f>
        <v>N/A</v>
      </c>
      <c r="AS151" s="1624" t="str">
        <f ca="1">IF(AND($C151&lt;&gt;"",OR(AR151="N",$V151="",$X151="",$Z151="",$AB151="",$AF151="",$AH151="",$AL151="",AD151="")),"N",IF(AND($C151="",OR(H151&lt;&gt;"",AR151="N",$V151&lt;&gt;"",$X151&lt;&gt;"",$Z151&lt;&gt;"",$AB151&lt;&gt;"",$AF151&lt;&gt;"",$AH151&lt;&gt;"",$AL151&lt;&gt;"",AD151&lt;&gt;"")),"N",IF(AND(H151="",$C151="",AR151="N/A",$V151="",$X151="",$Z151="",$AB151="",$AF151="",$AH151="",$AL151="",AD151=""),"N/A",IF(AND($C151&lt;&gt;"",AR151="Y",$V151&lt;&gt;"",$X151&lt;&gt;"",$Z151&lt;&gt;"",$AB151&lt;&gt;"",$AF151&lt;&gt;"",$AH151&lt;&gt;"",$AL151&lt;&gt;"",AD151&lt;&gt;""),"Y","N"))))</f>
        <v>N/A</v>
      </c>
      <c r="AT151" s="1761" t="b">
        <f ca="1">IF(AND($C151="",OR($J151&lt;&gt;"",$L151&lt;&gt;"",$N151&lt;&gt;"",$P151&lt;&gt;"",$V151&lt;&gt;"",$X151&lt;&gt;"",$Z151&lt;&gt;"",$AB151&lt;&gt;"",$AF151&lt;&gt;"",$AH151&lt;&gt;"",$AL151&lt;&gt;"")),TRUE,FALSE)</f>
        <v>0</v>
      </c>
      <c r="AU151" s="1761" t="b">
        <f>IF(OR(R151&lt;&gt;"",T151&lt;&gt;""),"false",IF(AND($C151&lt;&gt;"",$J151=""),TRUE,FALSE))</f>
        <v>0</v>
      </c>
      <c r="AV151" s="1761" t="b">
        <f>IF(OR(R151&lt;&gt;"",T151&lt;&gt;""),FALSE,IF(AND($C151&lt;&gt;"",$L151=""),TRUE,FALSE))</f>
        <v>0</v>
      </c>
      <c r="AW151" s="1761" t="b">
        <f>IF(OR(R151&lt;&gt;"",T151&lt;&gt;""),FALSE,IF(AND($C151&lt;&gt;"",$N151=""),TRUE,FALSE))</f>
        <v>0</v>
      </c>
      <c r="AX151" s="1761" t="b">
        <f>IF(OR(R151&lt;&gt;"",T151&lt;&gt;""),FALSE,IF(AND($C151&lt;&gt;"",$P151=""),TRUE,FALSE))</f>
        <v>0</v>
      </c>
      <c r="AY151" s="1761"/>
      <c r="AZ151" s="1761" t="b">
        <f>IF(OR(J151&lt;&gt;"",L151&lt;&gt;"",N151&lt;&gt;"",P151&lt;&gt;""),FALSE,IF(AND(C151&lt;&gt;"",R151=""),TRUE,FALSE))</f>
        <v>0</v>
      </c>
      <c r="BA151" s="1761"/>
      <c r="BB151" s="1761" t="b">
        <f>IF(OR(J151&lt;&gt;"",L151&lt;&gt;"",N151&lt;&gt;"",P151&lt;&gt;""),FALSE,IF(AND(C151&lt;&gt;"",T151=""),TRUE,FALSE))</f>
        <v>0</v>
      </c>
      <c r="BC151" s="1761" t="b">
        <f>IF(AND($C151&lt;&gt;"",$V151=""),TRUE,FALSE)</f>
        <v>0</v>
      </c>
      <c r="BD151" s="1761" t="b">
        <f ca="1">IF(AND(X151="",OR(Z151&lt;&gt;"",AB151&lt;&gt;"",AF151&lt;&gt;"",AH151&lt;&gt;"",AL151&lt;&gt;"",AD151&lt;&gt;"")),TRUE,FALSE)</f>
        <v>0</v>
      </c>
      <c r="BE151" s="1761" t="b">
        <f>IF(AND($C151&lt;&gt;"",$X151=""),TRUE,FALSE)</f>
        <v>0</v>
      </c>
      <c r="BF151" s="1761" t="b">
        <f>IF(Z151="",FALSE,IF(X151="",FALSE,IF(BG151=TRUE,FALSE,IF(OR(Z151&lt;BU151,Z151&gt;BaseYear),TRUE,FALSE))))</f>
        <v>0</v>
      </c>
      <c r="BG151" s="1761" t="b">
        <f>IF(AND($C151&lt;&gt;"",$Z151=""),TRUE,FALSE)</f>
        <v>0</v>
      </c>
      <c r="BH151" s="1761" t="b">
        <f>IF(AD151="",FALSE,IF(X151="",FALSE,IF(BJ151=TRUE,FALSE,IF(AB151&lt;BX151,TRUE,FALSE))))</f>
        <v>0</v>
      </c>
      <c r="BI151" s="1761" t="b">
        <f>IF(AD151="",FALSE,IF(X151="",FALSE,IF(BJ151=TRUE,FALSE,IF(AB151&gt;BY151,TRUE,FALSE))))</f>
        <v>0</v>
      </c>
      <c r="BJ151" s="1761" t="b">
        <f>IF(AND($C151&lt;&gt;"",$AB151=""),TRUE,FALSE)</f>
        <v>0</v>
      </c>
      <c r="BK151" s="1761" t="b">
        <f>IF(BL151=TRUE,FALSE,IF(OR(AF151&lt;0,AF151&gt;1),TRUE,FALSE))</f>
        <v>0</v>
      </c>
      <c r="BL151" s="1761" t="b">
        <f>IF(AND($C151&lt;&gt;"",$AF151=""),TRUE,FALSE)</f>
        <v>0</v>
      </c>
      <c r="BM151" s="1761"/>
      <c r="BN151" s="1761" t="b">
        <f ca="1">IF(AND($C151&lt;&gt;"",$AH151=""),TRUE,FALSE)</f>
        <v>0</v>
      </c>
      <c r="BO151" s="1761" t="b">
        <f>IF(AL151="",FALSE,IF(X151="",FALSE,IF(BP151=TRUE,FALSE,IF(OR(AL151&lt;1913,AL151&gt;BaseYear),TRUE,FALSE))))</f>
        <v>0</v>
      </c>
      <c r="BP151" s="1761" t="b">
        <f>IF(AND($C151&lt;&gt;"",$AL151=""),TRUE,FALSE)</f>
        <v>0</v>
      </c>
      <c r="BQ151" s="1761" t="b">
        <f>IF(AD151="Square Foot",FALSE,IF(AND(AD151="Parking Space",OR('A-20 PassFacInv'!X151=Valid!$B$7,'A-20 PassFacInv'!X151=Valid!$B$8,'A-20 PassFacInv'!X151=Valid!$B$9,'A-20 PassFacInv'!X151=Valid!$B$10,'A-20 PassFacInv'!X151=Valid!$B$12,'A-20 PassFacInv'!X151=Valid!$B$13,'A-20 PassFacInv'!X151=Valid!$B$14,'A-20 PassFacInv'!X151=Valid!$B$15,'A-20 PassFacInv'!X151=Valid!$B$16,'A-20 PassFacInv'!X151=Valid!$B$17,'A-20 PassFacInv'!X151=Valid!$B$18,X151=Valid!$B$19,X151=Valid!$B$20,X151=Valid!$B$21)),TRUE,FALSE))</f>
        <v>0</v>
      </c>
      <c r="BR151" s="1761" t="b">
        <f>IF(AND($C151&lt;&gt;"",$AD151=""),TRUE,FALSE)</f>
        <v>0</v>
      </c>
      <c r="BS151" s="721"/>
      <c r="BT151" s="1625" t="str">
        <f>IF($X151="","",VLOOKUP($X151,val_facilities,BT$3,FALSE))</f>
        <v/>
      </c>
      <c r="BU151" s="1627" t="str">
        <f>IF($X151="","",VLOOKUP($X151,val_facilities,BU$3,FALSE))</f>
        <v/>
      </c>
      <c r="BV151" s="1627" t="str">
        <f>IF($X151="","",VLOOKUP($X151,val_facilities,BV$3,FALSE))</f>
        <v/>
      </c>
      <c r="BW151" s="1627" t="str">
        <f ca="1">IFERROR(IF(Z151="", "", YEAR(TODAY())-Z151), "")</f>
        <v/>
      </c>
      <c r="BX151" s="845" t="str">
        <f>IF($X151="","",IF(AD151="Square Feet",VLOOKUP('A-20 PassFacInv'!X82,Valid!$B$7:$H$24,7,FALSE),IF(AD151="Parking Spaces",VLOOKUP(X151,Valid!$B$22:$L$24,11,FALSE))))</f>
        <v/>
      </c>
      <c r="BY151" s="845" t="str">
        <f>IF($X151="","",IF(AD151="Square Feet",VLOOKUP(X151,Valid!$B$7:$I$24,8,FALSE),IF('A-20 PassFacInv'!AD82="Parking Spaces",VLOOKUP('A-20 PassFacInv'!X82,Valid!$B$22:$M$24,12,FALSE))))</f>
        <v/>
      </c>
      <c r="BZ151" s="758"/>
      <c r="CA151" s="721">
        <f t="shared" si="3"/>
        <v>0</v>
      </c>
      <c r="CB151" s="816"/>
    </row>
    <row r="152" spans="1:80" s="1739" customFormat="1" ht="6.75" customHeight="1" thickBot="1" x14ac:dyDescent="0.25">
      <c r="A152" s="1638"/>
      <c r="B152" s="1746">
        <v>70.5</v>
      </c>
      <c r="C152" s="1057"/>
      <c r="D152" s="1248"/>
      <c r="E152" s="1639"/>
      <c r="F152" s="1229"/>
      <c r="G152" s="1229"/>
      <c r="H152" s="1229"/>
      <c r="I152" s="1229"/>
      <c r="J152" s="1604"/>
      <c r="K152" s="1640"/>
      <c r="L152" s="1645"/>
      <c r="M152" s="1646"/>
      <c r="N152" s="1645"/>
      <c r="O152" s="1646"/>
      <c r="P152" s="1662"/>
      <c r="Q152" s="1646"/>
      <c r="R152" s="1660"/>
      <c r="S152" s="1640"/>
      <c r="T152" s="1660"/>
      <c r="U152" s="1640"/>
      <c r="V152" s="1057"/>
      <c r="W152" s="1618"/>
      <c r="X152" s="1747"/>
      <c r="Y152" s="1618"/>
      <c r="Z152" s="1623"/>
      <c r="AA152" s="1618"/>
      <c r="AB152" s="1944"/>
      <c r="AC152" s="1648"/>
      <c r="AD152" s="1661"/>
      <c r="AE152" s="841"/>
      <c r="AF152" s="841"/>
      <c r="AG152" s="1648"/>
      <c r="AH152" s="722"/>
      <c r="AI152" s="1648"/>
      <c r="AJ152" s="722"/>
      <c r="AK152" s="1648"/>
      <c r="AL152" s="1717"/>
      <c r="AM152" s="1648"/>
      <c r="AN152" s="1057"/>
      <c r="AO152" s="1644"/>
      <c r="AP152" s="1644"/>
      <c r="AQ152" s="1644"/>
      <c r="AR152" s="1644"/>
      <c r="AS152" s="1644"/>
      <c r="AT152" s="1761"/>
      <c r="AU152" s="1761"/>
      <c r="AV152" s="1761"/>
      <c r="AW152" s="1761"/>
      <c r="AX152" s="1761"/>
      <c r="AY152" s="1761"/>
      <c r="AZ152" s="1761"/>
      <c r="BA152" s="1761"/>
      <c r="BB152" s="1761"/>
      <c r="BC152" s="1762"/>
      <c r="BD152" s="1762"/>
      <c r="BE152" s="1762"/>
      <c r="BF152" s="1762"/>
      <c r="BG152" s="1762"/>
      <c r="BH152" s="1762"/>
      <c r="BI152" s="1762"/>
      <c r="BJ152" s="1762"/>
      <c r="BK152" s="1762"/>
      <c r="BL152" s="1762"/>
      <c r="BM152" s="1762"/>
      <c r="BN152" s="1762"/>
      <c r="BO152" s="1762"/>
      <c r="BP152" s="1762"/>
      <c r="BQ152" s="1762"/>
      <c r="BR152" s="1762"/>
      <c r="BS152" s="1736"/>
      <c r="BT152" s="1738"/>
      <c r="BU152" s="1738"/>
      <c r="BV152" s="1738"/>
      <c r="BW152" s="1738"/>
      <c r="BX152" s="1738"/>
      <c r="BY152" s="1738"/>
      <c r="BZ152" s="1229"/>
      <c r="CA152" s="721">
        <f t="shared" si="3"/>
        <v>0</v>
      </c>
      <c r="CB152" s="1748"/>
    </row>
    <row r="153" spans="1:80" s="1739" customFormat="1" x14ac:dyDescent="0.2">
      <c r="A153" s="840">
        <v>71</v>
      </c>
      <c r="B153" s="1746">
        <v>71</v>
      </c>
      <c r="C153" s="1740"/>
      <c r="D153" s="1248" t="str">
        <f>IF(C151="","",IF((C153=""),"Enter Facility "&amp;TEXT(A153,0)&amp;" Name, then Fill in Columns "&amp;TEXT($H$2,0)&amp;" - "&amp;TEXT($AL$2,0)&amp;"       ",""))</f>
        <v/>
      </c>
      <c r="E153" s="1245" t="str">
        <f ca="1">IF(AS153="N/A","",IF(AS153="N","No","Yes"))</f>
        <v/>
      </c>
      <c r="F153" s="758"/>
      <c r="G153" s="758"/>
      <c r="H153" s="1707"/>
      <c r="I153" s="758"/>
      <c r="J153" s="1653"/>
      <c r="K153" s="1248" t="str">
        <f ca="1">IF($E153&lt;&gt;"","Enter Street Address      ","")</f>
        <v/>
      </c>
      <c r="L153" s="1740"/>
      <c r="M153" s="1248" t="str">
        <f ca="1">IF($E153&lt;&gt;"","Enter City Name       ","")</f>
        <v/>
      </c>
      <c r="N153" s="1740"/>
      <c r="O153" s="1248" t="str">
        <f ca="1">IF($E153&lt;&gt;"","Select from Pull-Down List   ","")</f>
        <v/>
      </c>
      <c r="P153" s="1741"/>
      <c r="Q153" s="1248" t="str">
        <f ca="1">IF($E153&lt;&gt;"","Enter ZIP Code       ","")</f>
        <v/>
      </c>
      <c r="R153" s="1742"/>
      <c r="S153" s="1248" t="str">
        <f ca="1">IF(OR(N153&lt;&gt;"",P153&lt;&gt;"",J153&lt;&gt;"",L153&lt;&gt;""),"",IF($E153&lt;&gt;"","Enter Lat.      ",""))</f>
        <v/>
      </c>
      <c r="T153" s="1742"/>
      <c r="U153" s="1248" t="str">
        <f ca="1">IF(OR(N153&lt;&gt;"",P153&lt;&gt;"",J153&lt;&gt;"",L153&lt;&gt;""),"",IF($E153&lt;&gt;"","Enter Long.    ",""))</f>
        <v/>
      </c>
      <c r="V153" s="1653"/>
      <c r="W153" s="1618" t="str">
        <f ca="1">IF($E153&lt;&gt;"","Select from Pull-Down List  ","")</f>
        <v/>
      </c>
      <c r="X153" s="1653"/>
      <c r="Y153" s="1618" t="str">
        <f ca="1">IF($E153&lt;&gt;"","Select from Pull-Down List  ","")</f>
        <v/>
      </c>
      <c r="Z153" s="1743"/>
      <c r="AA153" s="1248" t="str">
        <f ca="1">IF(E153&lt;&gt;"","Year?   ","")</f>
        <v/>
      </c>
      <c r="AB153" s="1943"/>
      <c r="AC153" s="1620" t="str">
        <f ca="1">IF(E153="","",IF(X153="","Sq. Ft. or Spaces?   ",IF(OR(X153=Codes!$L$26,X153=Codes!$L$27,X153=Codes!$L$28),"Sq. Ft. or Spaces?   ",IF(OR(X153=Codes!$L$20,X153=Codes!$L$21,X153=Codes!$L$22,X153=Codes!$L$23,X153=Codes!$L$24,X153=Codes!$L$25),"Sq. Ft?     ",""))))</f>
        <v/>
      </c>
      <c r="AD153" s="1740"/>
      <c r="AE153" s="1618" t="str">
        <f ca="1">IF($E153&lt;&gt;"","Select from List     ","")</f>
        <v/>
      </c>
      <c r="AF153" s="1621"/>
      <c r="AG153" s="1618" t="str">
        <f ca="1">IF($E153&lt;&gt;"","% of Cap Resp.","")</f>
        <v/>
      </c>
      <c r="AH153" s="1801" t="str">
        <f ca="1">IF(BW153="", "", IF(BW153&gt;100, 1, VLOOKUP(BW153, Valid!$W$1:$AA$101, VLOOKUP(X153, Codes!$L$20:$N$28, 3, FALSE), FALSE)))</f>
        <v/>
      </c>
      <c r="AI153" s="1620" t="str">
        <f ca="1">IF($E153&lt;&gt;"","Estimated?  ","")</f>
        <v/>
      </c>
      <c r="AJ153" s="1654"/>
      <c r="AK153" s="1620" t="str">
        <f ca="1">IF($E153&lt;&gt;"","Estimated $?    ","")</f>
        <v/>
      </c>
      <c r="AL153" s="1730"/>
      <c r="AM153" s="1620" t="b">
        <f ca="1">IF(E153&lt;&gt;"","Est Date?    ")</f>
        <v>0</v>
      </c>
      <c r="AN153" s="1740"/>
      <c r="AO153" s="1248" t="str">
        <f>IF(X153="Other (describe in Notes)","Describe Facility.                                                                                                                        ","")</f>
        <v/>
      </c>
      <c r="AP153" s="1624"/>
      <c r="AQ153" s="1624" t="b">
        <f>IF(AND(C153="",C155&lt;&gt;""),TRUE,FALSE)</f>
        <v>0</v>
      </c>
      <c r="AR153" s="1624" t="str">
        <f>IF(AND(J153&lt;&gt;"",L153&lt;&gt;"",N153&lt;&gt;"",P153&lt;&gt;"",R153="",T153=""),"Y",IF(AND(J153="",L153="",N153="",P153="",R153&lt;&gt;"",T153&lt;&gt;""),"Y",IF(AND(J153&lt;&gt;"",L153&lt;&gt;"",N153&lt;&gt;"",P153&lt;&gt;"",R153&lt;&gt;"",T153&lt;&gt;""),"Y",IF(AND(J153="",L153="",N153="",P153="",R153="",T153=""),"N/A","N"))))</f>
        <v>N/A</v>
      </c>
      <c r="AS153" s="1624" t="str">
        <f ca="1">IF(AND($C153&lt;&gt;"",OR(AR153="N",$V153="",$X153="",$Z153="",$AB153="",$AF153="",$AH153="",$AL153="",AD153="")),"N",IF(AND($C153="",OR(H153&lt;&gt;"",AR153="N",$V153&lt;&gt;"",$X153&lt;&gt;"",$Z153&lt;&gt;"",$AB153&lt;&gt;"",$AF153&lt;&gt;"",$AH153&lt;&gt;"",$AL153&lt;&gt;"",AD153&lt;&gt;"")),"N",IF(AND(H153="",$C153="",AR153="N/A",$V153="",$X153="",$Z153="",$AB153="",$AF153="",$AH153="",$AL153="",AD153=""),"N/A",IF(AND($C153&lt;&gt;"",AR153="Y",$V153&lt;&gt;"",$X153&lt;&gt;"",$Z153&lt;&gt;"",$AB153&lt;&gt;"",$AF153&lt;&gt;"",$AH153&lt;&gt;"",$AL153&lt;&gt;"",AD153&lt;&gt;""),"Y","N"))))</f>
        <v>N/A</v>
      </c>
      <c r="AT153" s="1761" t="b">
        <f ca="1">IF(AND($C153="",OR($J153&lt;&gt;"",$L153&lt;&gt;"",$N153&lt;&gt;"",$P153&lt;&gt;"",$V153&lt;&gt;"",$X153&lt;&gt;"",$Z153&lt;&gt;"",$AB153&lt;&gt;"",$AF153&lt;&gt;"",$AH153&lt;&gt;"",$AL153&lt;&gt;"")),TRUE,FALSE)</f>
        <v>0</v>
      </c>
      <c r="AU153" s="1761" t="b">
        <f>IF(OR(R153&lt;&gt;"",T153&lt;&gt;""),"false",IF(AND($C153&lt;&gt;"",$J153=""),TRUE,FALSE))</f>
        <v>0</v>
      </c>
      <c r="AV153" s="1761" t="b">
        <f>IF(OR(R153&lt;&gt;"",T153&lt;&gt;""),FALSE,IF(AND($C153&lt;&gt;"",$L153=""),TRUE,FALSE))</f>
        <v>0</v>
      </c>
      <c r="AW153" s="1761" t="b">
        <f>IF(OR(R153&lt;&gt;"",T153&lt;&gt;""),FALSE,IF(AND($C153&lt;&gt;"",$N153=""),TRUE,FALSE))</f>
        <v>0</v>
      </c>
      <c r="AX153" s="1761" t="b">
        <f>IF(OR(R153&lt;&gt;"",T153&lt;&gt;""),FALSE,IF(AND($C153&lt;&gt;"",$P153=""),TRUE,FALSE))</f>
        <v>0</v>
      </c>
      <c r="AY153" s="1761"/>
      <c r="AZ153" s="1761" t="b">
        <f>IF(OR(J153&lt;&gt;"",L153&lt;&gt;"",N153&lt;&gt;"",P153&lt;&gt;""),FALSE,IF(AND(C153&lt;&gt;"",R153=""),TRUE,FALSE))</f>
        <v>0</v>
      </c>
      <c r="BA153" s="1761"/>
      <c r="BB153" s="1761" t="b">
        <f>IF(OR(J153&lt;&gt;"",L153&lt;&gt;"",N153&lt;&gt;"",P153&lt;&gt;""),FALSE,IF(AND(C153&lt;&gt;"",T153=""),TRUE,FALSE))</f>
        <v>0</v>
      </c>
      <c r="BC153" s="1761" t="b">
        <f>IF(AND($C153&lt;&gt;"",$V153=""),TRUE,FALSE)</f>
        <v>0</v>
      </c>
      <c r="BD153" s="1761" t="b">
        <f ca="1">IF(AND(X153="",OR(Z153&lt;&gt;"",AB153&lt;&gt;"",AF153&lt;&gt;"",AH153&lt;&gt;"",AL153&lt;&gt;"",AD153&lt;&gt;"")),TRUE,FALSE)</f>
        <v>0</v>
      </c>
      <c r="BE153" s="1761" t="b">
        <f>IF(AND($C153&lt;&gt;"",$X153=""),TRUE,FALSE)</f>
        <v>0</v>
      </c>
      <c r="BF153" s="1761" t="b">
        <f>IF(Z153="",FALSE,IF(X153="",FALSE,IF(BG153=TRUE,FALSE,IF(OR(Z153&lt;BU153,Z153&gt;BaseYear),TRUE,FALSE))))</f>
        <v>0</v>
      </c>
      <c r="BG153" s="1761" t="b">
        <f>IF(AND($C153&lt;&gt;"",$Z153=""),TRUE,FALSE)</f>
        <v>0</v>
      </c>
      <c r="BH153" s="1761" t="b">
        <f>IF(AD153="",FALSE,IF(X153="",FALSE,IF(BJ153=TRUE,FALSE,IF(AB153&lt;BX153,TRUE,FALSE))))</f>
        <v>0</v>
      </c>
      <c r="BI153" s="1761" t="b">
        <f>IF(AD153="",FALSE,IF(X153="",FALSE,IF(BJ153=TRUE,FALSE,IF(AB153&gt;BY153,TRUE,FALSE))))</f>
        <v>0</v>
      </c>
      <c r="BJ153" s="1761" t="b">
        <f>IF(AND($C153&lt;&gt;"",$AB153=""),TRUE,FALSE)</f>
        <v>0</v>
      </c>
      <c r="BK153" s="1761" t="b">
        <f>IF(BL153=TRUE,FALSE,IF(OR(AF153&lt;0,AF153&gt;1),TRUE,FALSE))</f>
        <v>0</v>
      </c>
      <c r="BL153" s="1761" t="b">
        <f>IF(AND($C153&lt;&gt;"",$AF153=""),TRUE,FALSE)</f>
        <v>0</v>
      </c>
      <c r="BM153" s="1761"/>
      <c r="BN153" s="1761" t="b">
        <f ca="1">IF(AND($C153&lt;&gt;"",$AH153=""),TRUE,FALSE)</f>
        <v>0</v>
      </c>
      <c r="BO153" s="1761" t="b">
        <f>IF(AL153="",FALSE,IF(X153="",FALSE,IF(BP153=TRUE,FALSE,IF(OR(AL153&lt;1913,AL153&gt;BaseYear),TRUE,FALSE))))</f>
        <v>0</v>
      </c>
      <c r="BP153" s="1761" t="b">
        <f>IF(AND($C153&lt;&gt;"",$AL153=""),TRUE,FALSE)</f>
        <v>0</v>
      </c>
      <c r="BQ153" s="1761" t="b">
        <f>IF(AD153="Square Foot",FALSE,IF(AND(AD153="Parking Space",OR('A-20 PassFacInv'!X153=Valid!$B$7,'A-20 PassFacInv'!X153=Valid!$B$8,'A-20 PassFacInv'!X153=Valid!$B$9,'A-20 PassFacInv'!X153=Valid!$B$10,'A-20 PassFacInv'!X153=Valid!$B$12,'A-20 PassFacInv'!X153=Valid!$B$13,'A-20 PassFacInv'!X153=Valid!$B$14,'A-20 PassFacInv'!X153=Valid!$B$15,'A-20 PassFacInv'!X153=Valid!$B$16,'A-20 PassFacInv'!X153=Valid!$B$17,'A-20 PassFacInv'!X153=Valid!$B$18,X153=Valid!$B$19,X153=Valid!$B$20,X153=Valid!$B$21)),TRUE,FALSE))</f>
        <v>0</v>
      </c>
      <c r="BR153" s="1761" t="b">
        <f>IF(AND($C153&lt;&gt;"",$AD153=""),TRUE,FALSE)</f>
        <v>0</v>
      </c>
      <c r="BS153" s="721"/>
      <c r="BT153" s="1625" t="str">
        <f>IF($X153="","",VLOOKUP($X153,val_facilities,BT$3,FALSE))</f>
        <v/>
      </c>
      <c r="BU153" s="1627" t="str">
        <f>IF($X153="","",VLOOKUP($X153,val_facilities,BU$3,FALSE))</f>
        <v/>
      </c>
      <c r="BV153" s="1627" t="str">
        <f>IF($X153="","",VLOOKUP($X153,val_facilities,BV$3,FALSE))</f>
        <v/>
      </c>
      <c r="BW153" s="1627" t="str">
        <f ca="1">IFERROR(IF(Z153="", "", YEAR(TODAY())-Z153), "")</f>
        <v/>
      </c>
      <c r="BX153" s="845" t="str">
        <f>IF($X153="","",IF(AD153="Square Feet",VLOOKUP('A-20 PassFacInv'!X83,Valid!$B$7:$H$24,7,FALSE),IF(AD153="Parking Spaces",VLOOKUP(X153,Valid!$B$22:$L$24,11,FALSE))))</f>
        <v/>
      </c>
      <c r="BY153" s="845" t="str">
        <f>IF($X153="","",IF(AD153="Square Feet",VLOOKUP(X153,Valid!$B$7:$I$24,8,FALSE),IF('A-20 PassFacInv'!AD83="Parking Spaces",VLOOKUP('A-20 PassFacInv'!X83,Valid!$B$22:$M$24,12,FALSE))))</f>
        <v/>
      </c>
      <c r="BZ153" s="758"/>
      <c r="CA153" s="721">
        <f t="shared" si="3"/>
        <v>0</v>
      </c>
      <c r="CB153" s="816"/>
    </row>
    <row r="154" spans="1:80" s="1739" customFormat="1" ht="6.75" customHeight="1" thickBot="1" x14ac:dyDescent="0.25">
      <c r="A154" s="1638"/>
      <c r="B154" s="1746">
        <v>71.5</v>
      </c>
      <c r="C154" s="1223"/>
      <c r="D154" s="1248"/>
      <c r="E154" s="721"/>
      <c r="F154" s="758"/>
      <c r="G154" s="758"/>
      <c r="H154" s="758"/>
      <c r="I154" s="758"/>
      <c r="J154" s="1744"/>
      <c r="K154" s="1248"/>
      <c r="L154" s="1745"/>
      <c r="M154" s="1248"/>
      <c r="N154" s="1745"/>
      <c r="O154" s="1248"/>
      <c r="P154" s="1659"/>
      <c r="Q154" s="1248"/>
      <c r="R154" s="1656"/>
      <c r="S154" s="1248"/>
      <c r="T154" s="1656"/>
      <c r="U154" s="1248"/>
      <c r="V154" s="1223"/>
      <c r="W154" s="1618"/>
      <c r="X154" s="1737"/>
      <c r="Y154" s="1618"/>
      <c r="Z154" s="1623"/>
      <c r="AA154" s="1618"/>
      <c r="AB154" s="1944"/>
      <c r="AC154" s="1632"/>
      <c r="AD154" s="1394"/>
      <c r="AE154" s="823"/>
      <c r="AF154" s="822"/>
      <c r="AG154" s="1632"/>
      <c r="AH154" s="1631"/>
      <c r="AI154" s="1632"/>
      <c r="AJ154" s="1631"/>
      <c r="AK154" s="1632"/>
      <c r="AL154" s="1719"/>
      <c r="AM154" s="1632"/>
      <c r="AN154" s="721"/>
      <c r="AO154" s="758"/>
      <c r="AP154" s="758"/>
      <c r="AQ154" s="758"/>
      <c r="AR154" s="758"/>
      <c r="AS154" s="758"/>
      <c r="AT154" s="1761"/>
      <c r="AU154" s="1761"/>
      <c r="AV154" s="1761"/>
      <c r="AW154" s="1761"/>
      <c r="AX154" s="1761"/>
      <c r="AY154" s="1761"/>
      <c r="AZ154" s="1761"/>
      <c r="BA154" s="1761"/>
      <c r="BB154" s="1761"/>
      <c r="BC154" s="1761"/>
      <c r="BD154" s="1761"/>
      <c r="BE154" s="1761"/>
      <c r="BF154" s="1761"/>
      <c r="BG154" s="1761"/>
      <c r="BH154" s="1761"/>
      <c r="BI154" s="1761"/>
      <c r="BJ154" s="1761"/>
      <c r="BK154" s="1761"/>
      <c r="BL154" s="1761"/>
      <c r="BM154" s="1761"/>
      <c r="BN154" s="1761"/>
      <c r="BO154" s="1761"/>
      <c r="BP154" s="1761"/>
      <c r="BQ154" s="1761"/>
      <c r="BR154" s="1761"/>
      <c r="BS154" s="721"/>
      <c r="BT154" s="1626"/>
      <c r="BU154" s="1626"/>
      <c r="BV154" s="1626"/>
      <c r="BW154" s="1626"/>
      <c r="BX154" s="1626"/>
      <c r="BY154" s="1626"/>
      <c r="BZ154" s="1229"/>
      <c r="CA154" s="721">
        <f t="shared" si="3"/>
        <v>0</v>
      </c>
      <c r="CB154" s="721"/>
    </row>
    <row r="155" spans="1:80" s="1739" customFormat="1" x14ac:dyDescent="0.2">
      <c r="A155" s="840">
        <v>72</v>
      </c>
      <c r="B155" s="1731">
        <v>72</v>
      </c>
      <c r="C155" s="1740"/>
      <c r="D155" s="1248" t="str">
        <f>IF(C153="","",IF((C155=""),"Enter Facility "&amp;TEXT(A155,0)&amp;" Name, then Fill in Columns "&amp;TEXT($H$2,0)&amp;" - "&amp;TEXT($AL$2,0)&amp;"       ",""))</f>
        <v/>
      </c>
      <c r="E155" s="1245" t="str">
        <f ca="1">IF(AS155="N/A","",IF(AS155="N","No","Yes"))</f>
        <v/>
      </c>
      <c r="F155" s="758"/>
      <c r="G155" s="758"/>
      <c r="H155" s="1707"/>
      <c r="I155" s="758"/>
      <c r="J155" s="1653"/>
      <c r="K155" s="1248" t="str">
        <f ca="1">IF($E155&lt;&gt;"","Enter Street Address      ","")</f>
        <v/>
      </c>
      <c r="L155" s="1740"/>
      <c r="M155" s="1248" t="str">
        <f ca="1">IF($E155&lt;&gt;"","Enter City Name       ","")</f>
        <v/>
      </c>
      <c r="N155" s="1740"/>
      <c r="O155" s="1248" t="str">
        <f ca="1">IF($E155&lt;&gt;"","Select from Pull-Down List   ","")</f>
        <v/>
      </c>
      <c r="P155" s="1741"/>
      <c r="Q155" s="1248" t="str">
        <f ca="1">IF($E155&lt;&gt;"","Enter ZIP Code       ","")</f>
        <v/>
      </c>
      <c r="R155" s="1742"/>
      <c r="S155" s="1248" t="str">
        <f ca="1">IF(OR(N155&lt;&gt;"",P155&lt;&gt;"",J155&lt;&gt;"",L155&lt;&gt;""),"",IF($E155&lt;&gt;"","Enter Lat.      ",""))</f>
        <v/>
      </c>
      <c r="T155" s="1742"/>
      <c r="U155" s="1248" t="str">
        <f ca="1">IF(OR(N155&lt;&gt;"",P155&lt;&gt;"",J155&lt;&gt;"",L155&lt;&gt;""),"",IF($E155&lt;&gt;"","Enter Long.    ",""))</f>
        <v/>
      </c>
      <c r="V155" s="1653"/>
      <c r="W155" s="1618" t="str">
        <f ca="1">IF($E155&lt;&gt;"","Select from Pull-Down List  ","")</f>
        <v/>
      </c>
      <c r="X155" s="1653"/>
      <c r="Y155" s="1618" t="str">
        <f ca="1">IF($E155&lt;&gt;"","Select from Pull-Down List  ","")</f>
        <v/>
      </c>
      <c r="Z155" s="1743"/>
      <c r="AA155" s="1248" t="str">
        <f ca="1">IF(E155&lt;&gt;"","Year?   ","")</f>
        <v/>
      </c>
      <c r="AB155" s="1943"/>
      <c r="AC155" s="1620" t="str">
        <f ca="1">IF(E155="","",IF(X155="","Sq. Ft. or Spaces?   ",IF(OR(X155=Codes!$L$26,X155=Codes!$L$27,X155=Codes!$L$28),"Sq. Ft. or Spaces?   ",IF(OR(X155=Codes!$L$20,X155=Codes!$L$21,X155=Codes!$L$22,X155=Codes!$L$23,X155=Codes!$L$24,X155=Codes!$L$25),"Sq. Ft?     ",""))))</f>
        <v/>
      </c>
      <c r="AD155" s="1740"/>
      <c r="AE155" s="1618" t="str">
        <f ca="1">IF($E155&lt;&gt;"","Select from List     ","")</f>
        <v/>
      </c>
      <c r="AF155" s="1621"/>
      <c r="AG155" s="1618" t="str">
        <f ca="1">IF($E155&lt;&gt;"","% of Cap Resp.","")</f>
        <v/>
      </c>
      <c r="AH155" s="1801" t="str">
        <f ca="1">IF(BW155="", "", IF(BW155&gt;100, 1, VLOOKUP(BW155, Valid!$W$1:$AA$101, VLOOKUP(X155, Codes!$L$20:$N$28, 3, FALSE), FALSE)))</f>
        <v/>
      </c>
      <c r="AI155" s="1620" t="str">
        <f ca="1">IF($E155&lt;&gt;"","Estimated?  ","")</f>
        <v/>
      </c>
      <c r="AJ155" s="1654"/>
      <c r="AK155" s="1620" t="str">
        <f ca="1">IF($E155&lt;&gt;"","Estimated $?    ","")</f>
        <v/>
      </c>
      <c r="AL155" s="1730"/>
      <c r="AM155" s="1620" t="b">
        <f ca="1">IF(E155&lt;&gt;"","Est Date?    ")</f>
        <v>0</v>
      </c>
      <c r="AN155" s="1740"/>
      <c r="AO155" s="1248" t="str">
        <f>IF(X155="Other (describe in Notes)","Describe Facility.                                                                                                                        ","")</f>
        <v/>
      </c>
      <c r="AP155" s="1624"/>
      <c r="AQ155" s="1624" t="b">
        <f>IF(AND(C155="",C157&lt;&gt;""),TRUE,FALSE)</f>
        <v>0</v>
      </c>
      <c r="AR155" s="1624" t="str">
        <f>IF(AND(J155&lt;&gt;"",L155&lt;&gt;"",N155&lt;&gt;"",P155&lt;&gt;"",R155="",T155=""),"Y",IF(AND(J155="",L155="",N155="",P155="",R155&lt;&gt;"",T155&lt;&gt;""),"Y",IF(AND(J155&lt;&gt;"",L155&lt;&gt;"",N155&lt;&gt;"",P155&lt;&gt;"",R155&lt;&gt;"",T155&lt;&gt;""),"Y",IF(AND(J155="",L155="",N155="",P155="",R155="",T155=""),"N/A","N"))))</f>
        <v>N/A</v>
      </c>
      <c r="AS155" s="1624" t="str">
        <f ca="1">IF(AND($C155&lt;&gt;"",OR(AR155="N",$V155="",$X155="",$Z155="",$AB155="",$AF155="",$AH155="",$AL155="",AD155="")),"N",IF(AND($C155="",OR(H155&lt;&gt;"",AR155="N",$V155&lt;&gt;"",$X155&lt;&gt;"",$Z155&lt;&gt;"",$AB155&lt;&gt;"",$AF155&lt;&gt;"",$AH155&lt;&gt;"",$AL155&lt;&gt;"",AD155&lt;&gt;"")),"N",IF(AND(H155="",$C155="",AR155="N/A",$V155="",$X155="",$Z155="",$AB155="",$AF155="",$AH155="",$AL155="",AD155=""),"N/A",IF(AND($C155&lt;&gt;"",AR155="Y",$V155&lt;&gt;"",$X155&lt;&gt;"",$Z155&lt;&gt;"",$AB155&lt;&gt;"",$AF155&lt;&gt;"",$AH155&lt;&gt;"",$AL155&lt;&gt;"",AD155&lt;&gt;""),"Y","N"))))</f>
        <v>N/A</v>
      </c>
      <c r="AT155" s="1761" t="b">
        <f ca="1">IF(AND($C155="",OR($J155&lt;&gt;"",$L155&lt;&gt;"",$N155&lt;&gt;"",$P155&lt;&gt;"",$V155&lt;&gt;"",$X155&lt;&gt;"",$Z155&lt;&gt;"",$AB155&lt;&gt;"",$AF155&lt;&gt;"",$AH155&lt;&gt;"",$AL155&lt;&gt;"")),TRUE,FALSE)</f>
        <v>0</v>
      </c>
      <c r="AU155" s="1761" t="b">
        <f>IF(OR(R155&lt;&gt;"",T155&lt;&gt;""),"false",IF(AND($C155&lt;&gt;"",$J155=""),TRUE,FALSE))</f>
        <v>0</v>
      </c>
      <c r="AV155" s="1761" t="b">
        <f>IF(OR(R155&lt;&gt;"",T155&lt;&gt;""),FALSE,IF(AND($C155&lt;&gt;"",$L155=""),TRUE,FALSE))</f>
        <v>0</v>
      </c>
      <c r="AW155" s="1761" t="b">
        <f>IF(OR(R155&lt;&gt;"",T155&lt;&gt;""),FALSE,IF(AND($C155&lt;&gt;"",$N155=""),TRUE,FALSE))</f>
        <v>0</v>
      </c>
      <c r="AX155" s="1761" t="b">
        <f>IF(OR(R155&lt;&gt;"",T155&lt;&gt;""),FALSE,IF(AND($C155&lt;&gt;"",$P155=""),TRUE,FALSE))</f>
        <v>0</v>
      </c>
      <c r="AY155" s="1761"/>
      <c r="AZ155" s="1761" t="b">
        <f>IF(OR(J155&lt;&gt;"",L155&lt;&gt;"",N155&lt;&gt;"",P155&lt;&gt;""),FALSE,IF(AND(C155&lt;&gt;"",R155=""),TRUE,FALSE))</f>
        <v>0</v>
      </c>
      <c r="BA155" s="1761"/>
      <c r="BB155" s="1761" t="b">
        <f>IF(OR(J155&lt;&gt;"",L155&lt;&gt;"",N155&lt;&gt;"",P155&lt;&gt;""),FALSE,IF(AND(C155&lt;&gt;"",T155=""),TRUE,FALSE))</f>
        <v>0</v>
      </c>
      <c r="BC155" s="1761" t="b">
        <f>IF(AND($C155&lt;&gt;"",$V155=""),TRUE,FALSE)</f>
        <v>0</v>
      </c>
      <c r="BD155" s="1761" t="b">
        <f ca="1">IF(AND(X155="",OR(Z155&lt;&gt;"",AB155&lt;&gt;"",AF155&lt;&gt;"",AH155&lt;&gt;"",AL155&lt;&gt;"",AD155&lt;&gt;"")),TRUE,FALSE)</f>
        <v>0</v>
      </c>
      <c r="BE155" s="1761" t="b">
        <f>IF(AND($C155&lt;&gt;"",$X155=""),TRUE,FALSE)</f>
        <v>0</v>
      </c>
      <c r="BF155" s="1761" t="b">
        <f>IF(Z155="",FALSE,IF(X155="",FALSE,IF(BG155=TRUE,FALSE,IF(OR(Z155&lt;BU155,Z155&gt;BaseYear),TRUE,FALSE))))</f>
        <v>0</v>
      </c>
      <c r="BG155" s="1761" t="b">
        <f>IF(AND($C155&lt;&gt;"",$Z155=""),TRUE,FALSE)</f>
        <v>0</v>
      </c>
      <c r="BH155" s="1761" t="b">
        <f>IF(AD155="",FALSE,IF(X155="",FALSE,IF(BJ155=TRUE,FALSE,IF(AB155&lt;BX155,TRUE,FALSE))))</f>
        <v>0</v>
      </c>
      <c r="BI155" s="1761" t="b">
        <f>IF(AD155="",FALSE,IF(X155="",FALSE,IF(BJ155=TRUE,FALSE,IF(AB155&gt;BY155,TRUE,FALSE))))</f>
        <v>0</v>
      </c>
      <c r="BJ155" s="1761" t="b">
        <f>IF(AND($C155&lt;&gt;"",$AB155=""),TRUE,FALSE)</f>
        <v>0</v>
      </c>
      <c r="BK155" s="1761" t="b">
        <f>IF(BL155=TRUE,FALSE,IF(OR(AF155&lt;0,AF155&gt;1),TRUE,FALSE))</f>
        <v>0</v>
      </c>
      <c r="BL155" s="1761" t="b">
        <f>IF(AND($C155&lt;&gt;"",$AF155=""),TRUE,FALSE)</f>
        <v>0</v>
      </c>
      <c r="BM155" s="1761"/>
      <c r="BN155" s="1761" t="b">
        <f ca="1">IF(AND($C155&lt;&gt;"",$AH155=""),TRUE,FALSE)</f>
        <v>0</v>
      </c>
      <c r="BO155" s="1761" t="b">
        <f>IF(AL155="",FALSE,IF(X155="",FALSE,IF(BP155=TRUE,FALSE,IF(OR(AL155&lt;1913,AL155&gt;BaseYear),TRUE,FALSE))))</f>
        <v>0</v>
      </c>
      <c r="BP155" s="1761" t="b">
        <f>IF(AND($C155&lt;&gt;"",$AL155=""),TRUE,FALSE)</f>
        <v>0</v>
      </c>
      <c r="BQ155" s="1761" t="b">
        <f>IF(AD155="Square Foot",FALSE,IF(AND(AD155="Parking Space",OR('A-20 PassFacInv'!X155=Valid!$B$7,'A-20 PassFacInv'!X155=Valid!$B$8,'A-20 PassFacInv'!X155=Valid!$B$9,'A-20 PassFacInv'!X155=Valid!$B$10,'A-20 PassFacInv'!X155=Valid!$B$12,'A-20 PassFacInv'!X155=Valid!$B$13,'A-20 PassFacInv'!X155=Valid!$B$14,'A-20 PassFacInv'!X155=Valid!$B$15,'A-20 PassFacInv'!X155=Valid!$B$16,'A-20 PassFacInv'!X155=Valid!$B$17,'A-20 PassFacInv'!X155=Valid!$B$18,X155=Valid!$B$19,X155=Valid!$B$20,X155=Valid!$B$21)),TRUE,FALSE))</f>
        <v>0</v>
      </c>
      <c r="BR155" s="1761" t="b">
        <f>IF(AND($C155&lt;&gt;"",$AD155=""),TRUE,FALSE)</f>
        <v>0</v>
      </c>
      <c r="BS155" s="721"/>
      <c r="BT155" s="1625" t="str">
        <f>IF($X155="","",VLOOKUP($X155,val_facilities,BT$3,FALSE))</f>
        <v/>
      </c>
      <c r="BU155" s="1627" t="str">
        <f>IF($X155="","",VLOOKUP($X155,val_facilities,BU$3,FALSE))</f>
        <v/>
      </c>
      <c r="BV155" s="1627" t="str">
        <f>IF($X155="","",VLOOKUP($X155,val_facilities,BV$3,FALSE))</f>
        <v/>
      </c>
      <c r="BW155" s="1627" t="str">
        <f ca="1">IFERROR(IF(Z155="", "", YEAR(TODAY())-Z155), "")</f>
        <v/>
      </c>
      <c r="BX155" s="845" t="str">
        <f>IF($X155="","",IF(AD155="Square Feet",VLOOKUP('A-20 PassFacInv'!X84,Valid!$B$7:$H$24,7,FALSE),IF(AD155="Parking Spaces",VLOOKUP(X155,Valid!$B$22:$L$24,11,FALSE))))</f>
        <v/>
      </c>
      <c r="BY155" s="845" t="str">
        <f>IF($X155="","",IF(AD155="Square Feet",VLOOKUP(X155,Valid!$B$7:$I$24,8,FALSE),IF('A-20 PassFacInv'!AD84="Parking Spaces",VLOOKUP('A-20 PassFacInv'!X84,Valid!$B$22:$M$24,12,FALSE))))</f>
        <v/>
      </c>
      <c r="BZ155" s="758"/>
      <c r="CA155" s="721">
        <f t="shared" si="3"/>
        <v>0</v>
      </c>
      <c r="CB155" s="816"/>
    </row>
    <row r="156" spans="1:80" s="1739" customFormat="1" ht="6.75" customHeight="1" thickBot="1" x14ac:dyDescent="0.25">
      <c r="A156" s="1638"/>
      <c r="B156" s="1746">
        <v>72.5</v>
      </c>
      <c r="C156" s="721"/>
      <c r="D156" s="1248"/>
      <c r="E156" s="816"/>
      <c r="F156" s="758"/>
      <c r="G156" s="758"/>
      <c r="H156" s="758"/>
      <c r="I156" s="758"/>
      <c r="J156" s="1633"/>
      <c r="K156" s="1248"/>
      <c r="L156" s="1634"/>
      <c r="M156" s="1248"/>
      <c r="N156" s="1634"/>
      <c r="O156" s="1248"/>
      <c r="P156" s="1657"/>
      <c r="Q156" s="1248"/>
      <c r="R156" s="1656"/>
      <c r="S156" s="1248"/>
      <c r="T156" s="1656"/>
      <c r="U156" s="1248"/>
      <c r="V156" s="1059"/>
      <c r="W156" s="1618"/>
      <c r="X156" s="764"/>
      <c r="Y156" s="1618"/>
      <c r="Z156" s="1623"/>
      <c r="AA156" s="1618"/>
      <c r="AB156" s="1944"/>
      <c r="AC156" s="723"/>
      <c r="AD156" s="1658"/>
      <c r="AE156" s="724"/>
      <c r="AF156" s="724"/>
      <c r="AG156" s="723"/>
      <c r="AH156" s="722"/>
      <c r="AI156" s="723"/>
      <c r="AJ156" s="722"/>
      <c r="AK156" s="723"/>
      <c r="AL156" s="1717"/>
      <c r="AM156" s="723"/>
      <c r="AN156" s="1637"/>
      <c r="AO156" s="1624"/>
      <c r="AP156" s="1624"/>
      <c r="AQ156" s="1624"/>
      <c r="AR156" s="1624"/>
      <c r="AS156" s="1624"/>
      <c r="AT156" s="1761"/>
      <c r="AU156" s="1761"/>
      <c r="AV156" s="1761"/>
      <c r="AW156" s="1761"/>
      <c r="AX156" s="1761"/>
      <c r="AY156" s="1761"/>
      <c r="AZ156" s="1761"/>
      <c r="BA156" s="1761"/>
      <c r="BB156" s="1761"/>
      <c r="BC156" s="1761"/>
      <c r="BD156" s="1761"/>
      <c r="BE156" s="1761"/>
      <c r="BF156" s="1761"/>
      <c r="BG156" s="1761"/>
      <c r="BH156" s="1761"/>
      <c r="BI156" s="1761"/>
      <c r="BJ156" s="1761"/>
      <c r="BK156" s="1761"/>
      <c r="BL156" s="1761"/>
      <c r="BM156" s="1761"/>
      <c r="BN156" s="1761"/>
      <c r="BO156" s="1761"/>
      <c r="BP156" s="1761"/>
      <c r="BQ156" s="1761"/>
      <c r="BR156" s="1761"/>
      <c r="BS156" s="721"/>
      <c r="BT156" s="1626"/>
      <c r="BU156" s="1626"/>
      <c r="BV156" s="1626"/>
      <c r="BW156" s="1626"/>
      <c r="BX156" s="1626"/>
      <c r="BY156" s="1626"/>
      <c r="BZ156" s="1229"/>
      <c r="CA156" s="721">
        <f t="shared" si="3"/>
        <v>0</v>
      </c>
      <c r="CB156" s="816"/>
    </row>
    <row r="157" spans="1:80" s="1739" customFormat="1" x14ac:dyDescent="0.2">
      <c r="A157" s="840">
        <v>73</v>
      </c>
      <c r="B157" s="1746">
        <v>73</v>
      </c>
      <c r="C157" s="1740"/>
      <c r="D157" s="1248" t="str">
        <f>IF(C155="","",IF((C157=""),"Enter Facility "&amp;TEXT(A157,0)&amp;" Name, then Fill in Columns "&amp;TEXT($H$2,0)&amp;" - "&amp;TEXT($AL$2,0)&amp;"       ",""))</f>
        <v/>
      </c>
      <c r="E157" s="1245" t="str">
        <f ca="1">IF(AS157="N/A","",IF(AS157="N","No","Yes"))</f>
        <v/>
      </c>
      <c r="F157" s="758"/>
      <c r="G157" s="758"/>
      <c r="H157" s="1707"/>
      <c r="I157" s="758"/>
      <c r="J157" s="1653"/>
      <c r="K157" s="1248" t="str">
        <f ca="1">IF($E157&lt;&gt;"","Enter Street Address      ","")</f>
        <v/>
      </c>
      <c r="L157" s="1740"/>
      <c r="M157" s="1248" t="str">
        <f ca="1">IF($E157&lt;&gt;"","Enter City Name       ","")</f>
        <v/>
      </c>
      <c r="N157" s="1740"/>
      <c r="O157" s="1248" t="str">
        <f ca="1">IF($E157&lt;&gt;"","Select from Pull-Down List   ","")</f>
        <v/>
      </c>
      <c r="P157" s="1741"/>
      <c r="Q157" s="1248" t="str">
        <f ca="1">IF($E157&lt;&gt;"","Enter ZIP Code       ","")</f>
        <v/>
      </c>
      <c r="R157" s="1742"/>
      <c r="S157" s="1248" t="str">
        <f ca="1">IF(OR(N157&lt;&gt;"",P157&lt;&gt;"",J157&lt;&gt;"",L157&lt;&gt;""),"",IF($E157&lt;&gt;"","Enter Lat.      ",""))</f>
        <v/>
      </c>
      <c r="T157" s="1742"/>
      <c r="U157" s="1248" t="str">
        <f ca="1">IF(OR(N157&lt;&gt;"",P157&lt;&gt;"",J157&lt;&gt;"",L157&lt;&gt;""),"",IF($E157&lt;&gt;"","Enter Long.    ",""))</f>
        <v/>
      </c>
      <c r="V157" s="1653"/>
      <c r="W157" s="1618" t="str">
        <f ca="1">IF($E157&lt;&gt;"","Select from Pull-Down List  ","")</f>
        <v/>
      </c>
      <c r="X157" s="1653"/>
      <c r="Y157" s="1618" t="str">
        <f ca="1">IF($E157&lt;&gt;"","Select from Pull-Down List  ","")</f>
        <v/>
      </c>
      <c r="Z157" s="1743"/>
      <c r="AA157" s="1248" t="str">
        <f ca="1">IF(E157&lt;&gt;"","Year?   ","")</f>
        <v/>
      </c>
      <c r="AB157" s="1943"/>
      <c r="AC157" s="1620" t="str">
        <f ca="1">IF(E157="","",IF(X157="","Sq. Ft. or Spaces?   ",IF(OR(X157=Codes!$L$26,X157=Codes!$L$27,X157=Codes!$L$28),"Sq. Ft. or Spaces?   ",IF(OR(X157=Codes!$L$20,X157=Codes!$L$21,X157=Codes!$L$22,X157=Codes!$L$23,X157=Codes!$L$24,X157=Codes!$L$25),"Sq. Ft?     ",""))))</f>
        <v/>
      </c>
      <c r="AD157" s="1740"/>
      <c r="AE157" s="1618" t="str">
        <f ca="1">IF($E157&lt;&gt;"","Select from List     ","")</f>
        <v/>
      </c>
      <c r="AF157" s="1621"/>
      <c r="AG157" s="1618" t="str">
        <f ca="1">IF($E157&lt;&gt;"","% of Cap Resp.","")</f>
        <v/>
      </c>
      <c r="AH157" s="1801" t="str">
        <f ca="1">IF(BW157="", "", IF(BW157&gt;100, 1, VLOOKUP(BW157, Valid!$W$1:$AA$101, VLOOKUP(X157, Codes!$L$20:$N$28, 3, FALSE), FALSE)))</f>
        <v/>
      </c>
      <c r="AI157" s="1620" t="str">
        <f ca="1">IF($E157&lt;&gt;"","Estimated?  ","")</f>
        <v/>
      </c>
      <c r="AJ157" s="1654"/>
      <c r="AK157" s="1620" t="str">
        <f ca="1">IF($E157&lt;&gt;"","Estimated $?    ","")</f>
        <v/>
      </c>
      <c r="AL157" s="1730"/>
      <c r="AM157" s="1620" t="b">
        <f ca="1">IF(E157&lt;&gt;"","Est Date?    ")</f>
        <v>0</v>
      </c>
      <c r="AN157" s="1740"/>
      <c r="AO157" s="1248" t="str">
        <f>IF(X157="Other (describe in Notes)","Describe Facility.                                                                                                                        ","")</f>
        <v/>
      </c>
      <c r="AP157" s="1624"/>
      <c r="AQ157" s="1624" t="b">
        <f>IF(AND(C157="",C159&lt;&gt;""),TRUE,FALSE)</f>
        <v>0</v>
      </c>
      <c r="AR157" s="1624" t="str">
        <f>IF(AND(J157&lt;&gt;"",L157&lt;&gt;"",N157&lt;&gt;"",P157&lt;&gt;"",R157="",T157=""),"Y",IF(AND(J157="",L157="",N157="",P157="",R157&lt;&gt;"",T157&lt;&gt;""),"Y",IF(AND(J157&lt;&gt;"",L157&lt;&gt;"",N157&lt;&gt;"",P157&lt;&gt;"",R157&lt;&gt;"",T157&lt;&gt;""),"Y",IF(AND(J157="",L157="",N157="",P157="",R157="",T157=""),"N/A","N"))))</f>
        <v>N/A</v>
      </c>
      <c r="AS157" s="1624" t="str">
        <f ca="1">IF(AND($C157&lt;&gt;"",OR(AR157="N",$V157="",$X157="",$Z157="",$AB157="",$AF157="",$AH157="",$AL157="",AD157="")),"N",IF(AND($C157="",OR(H157&lt;&gt;"",AR157="N",$V157&lt;&gt;"",$X157&lt;&gt;"",$Z157&lt;&gt;"",$AB157&lt;&gt;"",$AF157&lt;&gt;"",$AH157&lt;&gt;"",$AL157&lt;&gt;"",AD157&lt;&gt;"")),"N",IF(AND(H157="",$C157="",AR157="N/A",$V157="",$X157="",$Z157="",$AB157="",$AF157="",$AH157="",$AL157="",AD157=""),"N/A",IF(AND($C157&lt;&gt;"",AR157="Y",$V157&lt;&gt;"",$X157&lt;&gt;"",$Z157&lt;&gt;"",$AB157&lt;&gt;"",$AF157&lt;&gt;"",$AH157&lt;&gt;"",$AL157&lt;&gt;"",AD157&lt;&gt;""),"Y","N"))))</f>
        <v>N/A</v>
      </c>
      <c r="AT157" s="1761" t="b">
        <f ca="1">IF(AND($C157="",OR($J157&lt;&gt;"",$L157&lt;&gt;"",$N157&lt;&gt;"",$P157&lt;&gt;"",$V157&lt;&gt;"",$X157&lt;&gt;"",$Z157&lt;&gt;"",$AB157&lt;&gt;"",$AF157&lt;&gt;"",$AH157&lt;&gt;"",$AL157&lt;&gt;"")),TRUE,FALSE)</f>
        <v>0</v>
      </c>
      <c r="AU157" s="1761" t="b">
        <f>IF(OR(R157&lt;&gt;"",T157&lt;&gt;""),"false",IF(AND($C157&lt;&gt;"",$J157=""),TRUE,FALSE))</f>
        <v>0</v>
      </c>
      <c r="AV157" s="1761" t="b">
        <f>IF(OR(R157&lt;&gt;"",T157&lt;&gt;""),FALSE,IF(AND($C157&lt;&gt;"",$L157=""),TRUE,FALSE))</f>
        <v>0</v>
      </c>
      <c r="AW157" s="1761" t="b">
        <f>IF(OR(R157&lt;&gt;"",T157&lt;&gt;""),FALSE,IF(AND($C157&lt;&gt;"",$N157=""),TRUE,FALSE))</f>
        <v>0</v>
      </c>
      <c r="AX157" s="1761" t="b">
        <f>IF(OR(R157&lt;&gt;"",T157&lt;&gt;""),FALSE,IF(AND($C157&lt;&gt;"",$P157=""),TRUE,FALSE))</f>
        <v>0</v>
      </c>
      <c r="AY157" s="1761"/>
      <c r="AZ157" s="1761" t="b">
        <f>IF(OR(J157&lt;&gt;"",L157&lt;&gt;"",N157&lt;&gt;"",P157&lt;&gt;""),FALSE,IF(AND(C157&lt;&gt;"",R157=""),TRUE,FALSE))</f>
        <v>0</v>
      </c>
      <c r="BA157" s="1761"/>
      <c r="BB157" s="1761" t="b">
        <f>IF(OR(J157&lt;&gt;"",L157&lt;&gt;"",N157&lt;&gt;"",P157&lt;&gt;""),FALSE,IF(AND(C157&lt;&gt;"",T157=""),TRUE,FALSE))</f>
        <v>0</v>
      </c>
      <c r="BC157" s="1761" t="b">
        <f>IF(AND($C157&lt;&gt;"",$V157=""),TRUE,FALSE)</f>
        <v>0</v>
      </c>
      <c r="BD157" s="1761" t="b">
        <f ca="1">IF(AND(X157="",OR(Z157&lt;&gt;"",AB157&lt;&gt;"",AF157&lt;&gt;"",AH157&lt;&gt;"",AL157&lt;&gt;"",AD157&lt;&gt;"")),TRUE,FALSE)</f>
        <v>0</v>
      </c>
      <c r="BE157" s="1761" t="b">
        <f>IF(AND($C157&lt;&gt;"",$X157=""),TRUE,FALSE)</f>
        <v>0</v>
      </c>
      <c r="BF157" s="1761" t="b">
        <f>IF(Z157="",FALSE,IF(X157="",FALSE,IF(BG157=TRUE,FALSE,IF(OR(Z157&lt;BU157,Z157&gt;BaseYear),TRUE,FALSE))))</f>
        <v>0</v>
      </c>
      <c r="BG157" s="1761" t="b">
        <f>IF(AND($C157&lt;&gt;"",$Z157=""),TRUE,FALSE)</f>
        <v>0</v>
      </c>
      <c r="BH157" s="1761" t="b">
        <f>IF(AD157="",FALSE,IF(X157="",FALSE,IF(BJ157=TRUE,FALSE,IF(AB157&lt;BX157,TRUE,FALSE))))</f>
        <v>0</v>
      </c>
      <c r="BI157" s="1761" t="b">
        <f>IF(AD157="",FALSE,IF(X157="",FALSE,IF(BJ157=TRUE,FALSE,IF(AB157&gt;BY157,TRUE,FALSE))))</f>
        <v>0</v>
      </c>
      <c r="BJ157" s="1761" t="b">
        <f>IF(AND($C157&lt;&gt;"",$AB157=""),TRUE,FALSE)</f>
        <v>0</v>
      </c>
      <c r="BK157" s="1761" t="b">
        <f>IF(BL157=TRUE,FALSE,IF(OR(AF157&lt;0,AF157&gt;1),TRUE,FALSE))</f>
        <v>0</v>
      </c>
      <c r="BL157" s="1761" t="b">
        <f>IF(AND($C157&lt;&gt;"",$AF157=""),TRUE,FALSE)</f>
        <v>0</v>
      </c>
      <c r="BM157" s="1761"/>
      <c r="BN157" s="1761" t="b">
        <f ca="1">IF(AND($C157&lt;&gt;"",$AH157=""),TRUE,FALSE)</f>
        <v>0</v>
      </c>
      <c r="BO157" s="1761" t="b">
        <f>IF(AL157="",FALSE,IF(X157="",FALSE,IF(BP157=TRUE,FALSE,IF(OR(AL157&lt;1913,AL157&gt;BaseYear),TRUE,FALSE))))</f>
        <v>0</v>
      </c>
      <c r="BP157" s="1761" t="b">
        <f>IF(AND($C157&lt;&gt;"",$AL157=""),TRUE,FALSE)</f>
        <v>0</v>
      </c>
      <c r="BQ157" s="1761" t="b">
        <f>IF(AD157="Square Foot",FALSE,IF(AND(AD157="Parking Space",OR('A-20 PassFacInv'!X157=Valid!$B$7,'A-20 PassFacInv'!X157=Valid!$B$8,'A-20 PassFacInv'!X157=Valid!$B$9,'A-20 PassFacInv'!X157=Valid!$B$10,'A-20 PassFacInv'!X157=Valid!$B$12,'A-20 PassFacInv'!X157=Valid!$B$13,'A-20 PassFacInv'!X157=Valid!$B$14,'A-20 PassFacInv'!X157=Valid!$B$15,'A-20 PassFacInv'!X157=Valid!$B$16,'A-20 PassFacInv'!X157=Valid!$B$17,'A-20 PassFacInv'!X157=Valid!$B$18,X157=Valid!$B$19,X157=Valid!$B$20,X157=Valid!$B$21)),TRUE,FALSE))</f>
        <v>0</v>
      </c>
      <c r="BR157" s="1761" t="b">
        <f>IF(AND($C157&lt;&gt;"",$AD157=""),TRUE,FALSE)</f>
        <v>0</v>
      </c>
      <c r="BS157" s="721"/>
      <c r="BT157" s="1625" t="str">
        <f>IF($X157="","",VLOOKUP($X157,val_facilities,BT$3,FALSE))</f>
        <v/>
      </c>
      <c r="BU157" s="1627" t="str">
        <f>IF($X157="","",VLOOKUP($X157,val_facilities,BU$3,FALSE))</f>
        <v/>
      </c>
      <c r="BV157" s="1627" t="str">
        <f>IF($X157="","",VLOOKUP($X157,val_facilities,BV$3,FALSE))</f>
        <v/>
      </c>
      <c r="BW157" s="1627" t="str">
        <f ca="1">IFERROR(IF(Z157="", "", YEAR(TODAY())-Z157), "")</f>
        <v/>
      </c>
      <c r="BX157" s="845" t="str">
        <f>IF($X157="","",IF(AD157="Square Feet",VLOOKUP('A-20 PassFacInv'!X85,Valid!$B$7:$H$24,7,FALSE),IF(AD157="Parking Spaces",VLOOKUP(X157,Valid!$B$22:$L$24,11,FALSE))))</f>
        <v/>
      </c>
      <c r="BY157" s="845" t="str">
        <f>IF($X157="","",IF(AD157="Square Feet",VLOOKUP(X157,Valid!$B$7:$I$24,8,FALSE),IF('A-20 PassFacInv'!AD85="Parking Spaces",VLOOKUP('A-20 PassFacInv'!X85,Valid!$B$22:$M$24,12,FALSE))))</f>
        <v/>
      </c>
      <c r="BZ157" s="758"/>
      <c r="CA157" s="721">
        <f t="shared" si="3"/>
        <v>0</v>
      </c>
      <c r="CB157" s="816"/>
    </row>
    <row r="158" spans="1:80" s="1739" customFormat="1" ht="6.75" customHeight="1" thickBot="1" x14ac:dyDescent="0.25">
      <c r="A158" s="1638"/>
      <c r="B158" s="1746">
        <v>73.5</v>
      </c>
      <c r="C158" s="1057"/>
      <c r="D158" s="1248"/>
      <c r="E158" s="1057"/>
      <c r="F158" s="1229"/>
      <c r="G158" s="1229"/>
      <c r="H158" s="1229"/>
      <c r="I158" s="1229"/>
      <c r="J158" s="1604"/>
      <c r="K158" s="1640"/>
      <c r="L158" s="1641"/>
      <c r="M158" s="1248"/>
      <c r="N158" s="1641"/>
      <c r="O158" s="1248"/>
      <c r="P158" s="1659"/>
      <c r="Q158" s="1248"/>
      <c r="R158" s="1660"/>
      <c r="S158" s="1640"/>
      <c r="T158" s="1660"/>
      <c r="U158" s="1640"/>
      <c r="V158" s="1057"/>
      <c r="W158" s="1618"/>
      <c r="X158" s="1747"/>
      <c r="Y158" s="1618"/>
      <c r="Z158" s="1623"/>
      <c r="AA158" s="1618"/>
      <c r="AB158" s="1944"/>
      <c r="AC158" s="1275"/>
      <c r="AD158" s="1661"/>
      <c r="AE158" s="734"/>
      <c r="AF158" s="1736"/>
      <c r="AG158" s="1275"/>
      <c r="AH158" s="733"/>
      <c r="AI158" s="1275"/>
      <c r="AJ158" s="733"/>
      <c r="AK158" s="1275"/>
      <c r="AL158" s="1721"/>
      <c r="AM158" s="1275"/>
      <c r="AN158" s="1057"/>
      <c r="AO158" s="1644"/>
      <c r="AP158" s="1644"/>
      <c r="AQ158" s="1644"/>
      <c r="AR158" s="1644"/>
      <c r="AS158" s="1644"/>
      <c r="AT158" s="1761"/>
      <c r="AU158" s="1761"/>
      <c r="AV158" s="1761"/>
      <c r="AW158" s="1761"/>
      <c r="AX158" s="1761"/>
      <c r="AY158" s="1761"/>
      <c r="AZ158" s="1761"/>
      <c r="BA158" s="1761"/>
      <c r="BB158" s="1761"/>
      <c r="BC158" s="1762"/>
      <c r="BD158" s="1762"/>
      <c r="BE158" s="1762"/>
      <c r="BF158" s="1762"/>
      <c r="BG158" s="1762"/>
      <c r="BH158" s="1762"/>
      <c r="BI158" s="1762"/>
      <c r="BJ158" s="1762"/>
      <c r="BK158" s="1762"/>
      <c r="BL158" s="1762"/>
      <c r="BM158" s="1762"/>
      <c r="BN158" s="1762"/>
      <c r="BO158" s="1762"/>
      <c r="BP158" s="1762"/>
      <c r="BQ158" s="1762"/>
      <c r="BR158" s="1762"/>
      <c r="BS158" s="1736"/>
      <c r="BT158" s="1738"/>
      <c r="BU158" s="1738"/>
      <c r="BV158" s="1738"/>
      <c r="BW158" s="1738"/>
      <c r="BX158" s="1738"/>
      <c r="BY158" s="1738"/>
      <c r="BZ158" s="1229"/>
      <c r="CA158" s="721">
        <f t="shared" si="3"/>
        <v>0</v>
      </c>
      <c r="CB158" s="1748"/>
    </row>
    <row r="159" spans="1:80" s="1739" customFormat="1" x14ac:dyDescent="0.2">
      <c r="A159" s="840">
        <v>74</v>
      </c>
      <c r="B159" s="1746">
        <v>74</v>
      </c>
      <c r="C159" s="1740"/>
      <c r="D159" s="1248" t="str">
        <f>IF(C157="","",IF((C159=""),"Enter Facility "&amp;TEXT(A159,0)&amp;" Name, then Fill in Columns "&amp;TEXT($H$2,0)&amp;" - "&amp;TEXT($AL$2,0)&amp;"       ",""))</f>
        <v/>
      </c>
      <c r="E159" s="1245" t="str">
        <f ca="1">IF(AS159="N/A","",IF(AS159="N","No","Yes"))</f>
        <v/>
      </c>
      <c r="F159" s="758"/>
      <c r="G159" s="758"/>
      <c r="H159" s="1707"/>
      <c r="I159" s="758"/>
      <c r="J159" s="1653"/>
      <c r="K159" s="1248" t="str">
        <f ca="1">IF($E159&lt;&gt;"","Enter Street Address      ","")</f>
        <v/>
      </c>
      <c r="L159" s="1740"/>
      <c r="M159" s="1248" t="str">
        <f ca="1">IF($E159&lt;&gt;"","Enter City Name       ","")</f>
        <v/>
      </c>
      <c r="N159" s="1740"/>
      <c r="O159" s="1248" t="str">
        <f ca="1">IF($E159&lt;&gt;"","Select from Pull-Down List   ","")</f>
        <v/>
      </c>
      <c r="P159" s="1741"/>
      <c r="Q159" s="1248" t="str">
        <f ca="1">IF($E159&lt;&gt;"","Enter ZIP Code       ","")</f>
        <v/>
      </c>
      <c r="R159" s="1742"/>
      <c r="S159" s="1248" t="str">
        <f ca="1">IF(OR(N159&lt;&gt;"",P159&lt;&gt;"",J159&lt;&gt;"",L159&lt;&gt;""),"",IF($E159&lt;&gt;"","Enter Lat.      ",""))</f>
        <v/>
      </c>
      <c r="T159" s="1742"/>
      <c r="U159" s="1248" t="str">
        <f ca="1">IF(OR(N159&lt;&gt;"",P159&lt;&gt;"",J159&lt;&gt;"",L159&lt;&gt;""),"",IF($E159&lt;&gt;"","Enter Long.    ",""))</f>
        <v/>
      </c>
      <c r="V159" s="1653"/>
      <c r="W159" s="1618" t="str">
        <f ca="1">IF($E159&lt;&gt;"","Select from Pull-Down List  ","")</f>
        <v/>
      </c>
      <c r="X159" s="1653"/>
      <c r="Y159" s="1618" t="str">
        <f ca="1">IF($E159&lt;&gt;"","Select from Pull-Down List  ","")</f>
        <v/>
      </c>
      <c r="Z159" s="1743"/>
      <c r="AA159" s="1248" t="str">
        <f ca="1">IF(E159&lt;&gt;"","Year?   ","")</f>
        <v/>
      </c>
      <c r="AB159" s="1943"/>
      <c r="AC159" s="1620" t="str">
        <f ca="1">IF(E159="","",IF(X159="","Sq. Ft. or Spaces?   ",IF(OR(X159=Codes!$L$26,X159=Codes!$L$27,X159=Codes!$L$28),"Sq. Ft. or Spaces?   ",IF(OR(X159=Codes!$L$20,X159=Codes!$L$21,X159=Codes!$L$22,X159=Codes!$L$23,X159=Codes!$L$24,X159=Codes!$L$25),"Sq. Ft?     ",""))))</f>
        <v/>
      </c>
      <c r="AD159" s="1740"/>
      <c r="AE159" s="1618" t="str">
        <f ca="1">IF($E159&lt;&gt;"","Select from List     ","")</f>
        <v/>
      </c>
      <c r="AF159" s="1621"/>
      <c r="AG159" s="1618" t="str">
        <f ca="1">IF($E159&lt;&gt;"","% of Cap Resp.","")</f>
        <v/>
      </c>
      <c r="AH159" s="1801" t="str">
        <f ca="1">IF(BW159="", "", IF(BW159&gt;100, 1, VLOOKUP(BW159, Valid!$W$1:$AA$101, VLOOKUP(X159, Codes!$L$20:$N$28, 3, FALSE), FALSE)))</f>
        <v/>
      </c>
      <c r="AI159" s="1620" t="str">
        <f ca="1">IF($E159&lt;&gt;"","Estimated?  ","")</f>
        <v/>
      </c>
      <c r="AJ159" s="1654"/>
      <c r="AK159" s="1620" t="str">
        <f ca="1">IF($E159&lt;&gt;"","Estimated $?    ","")</f>
        <v/>
      </c>
      <c r="AL159" s="1730"/>
      <c r="AM159" s="1620" t="b">
        <f ca="1">IF(E159&lt;&gt;"","Est Date?    ")</f>
        <v>0</v>
      </c>
      <c r="AN159" s="1740"/>
      <c r="AO159" s="1248" t="str">
        <f>IF(X159="Other (describe in Notes)","Describe Facility.                                                                                                                        ","")</f>
        <v/>
      </c>
      <c r="AP159" s="1624"/>
      <c r="AQ159" s="1624" t="b">
        <f>IF(AND(C159="",C161&lt;&gt;""),TRUE,FALSE)</f>
        <v>0</v>
      </c>
      <c r="AR159" s="1624" t="str">
        <f>IF(AND(J159&lt;&gt;"",L159&lt;&gt;"",N159&lt;&gt;"",P159&lt;&gt;"",R159="",T159=""),"Y",IF(AND(J159="",L159="",N159="",P159="",R159&lt;&gt;"",T159&lt;&gt;""),"Y",IF(AND(J159&lt;&gt;"",L159&lt;&gt;"",N159&lt;&gt;"",P159&lt;&gt;"",R159&lt;&gt;"",T159&lt;&gt;""),"Y",IF(AND(J159="",L159="",N159="",P159="",R159="",T159=""),"N/A","N"))))</f>
        <v>N/A</v>
      </c>
      <c r="AS159" s="1624" t="str">
        <f ca="1">IF(AND($C159&lt;&gt;"",OR(AR159="N",$V159="",$X159="",$Z159="",$AB159="",$AF159="",$AH159="",$AL159="",AD159="")),"N",IF(AND($C159="",OR(H159&lt;&gt;"",AR159="N",$V159&lt;&gt;"",$X159&lt;&gt;"",$Z159&lt;&gt;"",$AB159&lt;&gt;"",$AF159&lt;&gt;"",$AH159&lt;&gt;"",$AL159&lt;&gt;"",AD159&lt;&gt;"")),"N",IF(AND(H159="",$C159="",AR159="N/A",$V159="",$X159="",$Z159="",$AB159="",$AF159="",$AH159="",$AL159="",AD159=""),"N/A",IF(AND($C159&lt;&gt;"",AR159="Y",$V159&lt;&gt;"",$X159&lt;&gt;"",$Z159&lt;&gt;"",$AB159&lt;&gt;"",$AF159&lt;&gt;"",$AH159&lt;&gt;"",$AL159&lt;&gt;"",AD159&lt;&gt;""),"Y","N"))))</f>
        <v>N/A</v>
      </c>
      <c r="AT159" s="1761" t="b">
        <f ca="1">IF(AND($C159="",OR($J159&lt;&gt;"",$L159&lt;&gt;"",$N159&lt;&gt;"",$P159&lt;&gt;"",$V159&lt;&gt;"",$X159&lt;&gt;"",$Z159&lt;&gt;"",$AB159&lt;&gt;"",$AF159&lt;&gt;"",$AH159&lt;&gt;"",$AL159&lt;&gt;"")),TRUE,FALSE)</f>
        <v>0</v>
      </c>
      <c r="AU159" s="1761" t="b">
        <f>IF(OR(R159&lt;&gt;"",T159&lt;&gt;""),"false",IF(AND($C159&lt;&gt;"",$J159=""),TRUE,FALSE))</f>
        <v>0</v>
      </c>
      <c r="AV159" s="1761" t="b">
        <f>IF(OR(R159&lt;&gt;"",T159&lt;&gt;""),FALSE,IF(AND($C159&lt;&gt;"",$L159=""),TRUE,FALSE))</f>
        <v>0</v>
      </c>
      <c r="AW159" s="1761" t="b">
        <f>IF(OR(R159&lt;&gt;"",T159&lt;&gt;""),FALSE,IF(AND($C159&lt;&gt;"",$N159=""),TRUE,FALSE))</f>
        <v>0</v>
      </c>
      <c r="AX159" s="1761" t="b">
        <f>IF(OR(R159&lt;&gt;"",T159&lt;&gt;""),FALSE,IF(AND($C159&lt;&gt;"",$P159=""),TRUE,FALSE))</f>
        <v>0</v>
      </c>
      <c r="AY159" s="1761"/>
      <c r="AZ159" s="1761" t="b">
        <f>IF(OR(J159&lt;&gt;"",L159&lt;&gt;"",N159&lt;&gt;"",P159&lt;&gt;""),FALSE,IF(AND(C159&lt;&gt;"",R159=""),TRUE,FALSE))</f>
        <v>0</v>
      </c>
      <c r="BA159" s="1761"/>
      <c r="BB159" s="1761" t="b">
        <f>IF(OR(J159&lt;&gt;"",L159&lt;&gt;"",N159&lt;&gt;"",P159&lt;&gt;""),FALSE,IF(AND(C159&lt;&gt;"",T159=""),TRUE,FALSE))</f>
        <v>0</v>
      </c>
      <c r="BC159" s="1761" t="b">
        <f>IF(AND($C159&lt;&gt;"",$V159=""),TRUE,FALSE)</f>
        <v>0</v>
      </c>
      <c r="BD159" s="1761" t="b">
        <f ca="1">IF(AND(X159="",OR(Z159&lt;&gt;"",AB159&lt;&gt;"",AF159&lt;&gt;"",AH159&lt;&gt;"",AL159&lt;&gt;"",AD159&lt;&gt;"")),TRUE,FALSE)</f>
        <v>0</v>
      </c>
      <c r="BE159" s="1761" t="b">
        <f>IF(AND($C159&lt;&gt;"",$X159=""),TRUE,FALSE)</f>
        <v>0</v>
      </c>
      <c r="BF159" s="1761" t="b">
        <f>IF(Z159="",FALSE,IF(X159="",FALSE,IF(BG159=TRUE,FALSE,IF(OR(Z159&lt;BU159,Z159&gt;BaseYear),TRUE,FALSE))))</f>
        <v>0</v>
      </c>
      <c r="BG159" s="1761" t="b">
        <f>IF(AND($C159&lt;&gt;"",$Z159=""),TRUE,FALSE)</f>
        <v>0</v>
      </c>
      <c r="BH159" s="1761" t="b">
        <f>IF(AD159="",FALSE,IF(X159="",FALSE,IF(BJ159=TRUE,FALSE,IF(AB159&lt;BX159,TRUE,FALSE))))</f>
        <v>0</v>
      </c>
      <c r="BI159" s="1761" t="b">
        <f>IF(AD159="",FALSE,IF(X159="",FALSE,IF(BJ159=TRUE,FALSE,IF(AB159&gt;BY159,TRUE,FALSE))))</f>
        <v>0</v>
      </c>
      <c r="BJ159" s="1761" t="b">
        <f>IF(AND($C159&lt;&gt;"",$AB159=""),TRUE,FALSE)</f>
        <v>0</v>
      </c>
      <c r="BK159" s="1761" t="b">
        <f>IF(BL159=TRUE,FALSE,IF(OR(AF159&lt;0,AF159&gt;1),TRUE,FALSE))</f>
        <v>0</v>
      </c>
      <c r="BL159" s="1761" t="b">
        <f>IF(AND($C159&lt;&gt;"",$AF159=""),TRUE,FALSE)</f>
        <v>0</v>
      </c>
      <c r="BM159" s="1761"/>
      <c r="BN159" s="1761" t="b">
        <f ca="1">IF(AND($C159&lt;&gt;"",$AH159=""),TRUE,FALSE)</f>
        <v>0</v>
      </c>
      <c r="BO159" s="1761" t="b">
        <f>IF(AL159="",FALSE,IF(X159="",FALSE,IF(BP159=TRUE,FALSE,IF(OR(AL159&lt;1913,AL159&gt;BaseYear),TRUE,FALSE))))</f>
        <v>0</v>
      </c>
      <c r="BP159" s="1761" t="b">
        <f>IF(AND($C159&lt;&gt;"",$AL159=""),TRUE,FALSE)</f>
        <v>0</v>
      </c>
      <c r="BQ159" s="1761" t="b">
        <f>IF(AD159="Square Foot",FALSE,IF(AND(AD159="Parking Space",OR('A-20 PassFacInv'!X159=Valid!$B$7,'A-20 PassFacInv'!X159=Valid!$B$8,'A-20 PassFacInv'!X159=Valid!$B$9,'A-20 PassFacInv'!X159=Valid!$B$10,'A-20 PassFacInv'!X159=Valid!$B$12,'A-20 PassFacInv'!X159=Valid!$B$13,'A-20 PassFacInv'!X159=Valid!$B$14,'A-20 PassFacInv'!X159=Valid!$B$15,'A-20 PassFacInv'!X159=Valid!$B$16,'A-20 PassFacInv'!X159=Valid!$B$17,'A-20 PassFacInv'!X159=Valid!$B$18,X159=Valid!$B$19,X159=Valid!$B$20,X159=Valid!$B$21)),TRUE,FALSE))</f>
        <v>0</v>
      </c>
      <c r="BR159" s="1761" t="b">
        <f>IF(AND($C159&lt;&gt;"",$AD159=""),TRUE,FALSE)</f>
        <v>0</v>
      </c>
      <c r="BS159" s="721"/>
      <c r="BT159" s="1625" t="str">
        <f>IF($X159="","",VLOOKUP($X159,val_facilities,BT$3,FALSE))</f>
        <v/>
      </c>
      <c r="BU159" s="1627" t="str">
        <f>IF($X159="","",VLOOKUP($X159,val_facilities,BU$3,FALSE))</f>
        <v/>
      </c>
      <c r="BV159" s="1627" t="str">
        <f>IF($X159="","",VLOOKUP($X159,val_facilities,BV$3,FALSE))</f>
        <v/>
      </c>
      <c r="BW159" s="1627" t="str">
        <f ca="1">IFERROR(IF(Z159="", "", YEAR(TODAY())-Z159), "")</f>
        <v/>
      </c>
      <c r="BX159" s="845" t="str">
        <f>IF($X159="","",IF(AD159="Square Feet",VLOOKUP('A-20 PassFacInv'!X86,Valid!$B$7:$H$24,7,FALSE),IF(AD159="Parking Spaces",VLOOKUP(X159,Valid!$B$22:$L$24,11,FALSE))))</f>
        <v/>
      </c>
      <c r="BY159" s="845" t="str">
        <f>IF($X159="","",IF(AD159="Square Feet",VLOOKUP(X159,Valid!$B$7:$I$24,8,FALSE),IF('A-20 PassFacInv'!AD86="Parking Spaces",VLOOKUP('A-20 PassFacInv'!X86,Valid!$B$22:$M$24,12,FALSE))))</f>
        <v/>
      </c>
      <c r="BZ159" s="758"/>
      <c r="CA159" s="721">
        <f t="shared" si="3"/>
        <v>0</v>
      </c>
      <c r="CB159" s="816"/>
    </row>
    <row r="160" spans="1:80" s="1739" customFormat="1" ht="6.75" customHeight="1" thickBot="1" x14ac:dyDescent="0.25">
      <c r="A160" s="1638"/>
      <c r="B160" s="1746">
        <v>74.5</v>
      </c>
      <c r="C160" s="1057"/>
      <c r="D160" s="764"/>
      <c r="E160" s="1639"/>
      <c r="F160" s="1229"/>
      <c r="G160" s="1229"/>
      <c r="H160" s="1229"/>
      <c r="I160" s="1229"/>
      <c r="J160" s="1604"/>
      <c r="K160" s="1640"/>
      <c r="L160" s="1645"/>
      <c r="M160" s="1646"/>
      <c r="N160" s="1645"/>
      <c r="O160" s="1646"/>
      <c r="P160" s="1662"/>
      <c r="Q160" s="1646"/>
      <c r="R160" s="1660"/>
      <c r="S160" s="1640"/>
      <c r="T160" s="1660"/>
      <c r="U160" s="1640"/>
      <c r="V160" s="1057"/>
      <c r="W160" s="1618"/>
      <c r="X160" s="1747"/>
      <c r="Y160" s="1618"/>
      <c r="Z160" s="1623"/>
      <c r="AA160" s="1618"/>
      <c r="AB160" s="1944"/>
      <c r="AC160" s="1648"/>
      <c r="AD160" s="1661"/>
      <c r="AE160" s="841"/>
      <c r="AF160" s="841"/>
      <c r="AG160" s="1648"/>
      <c r="AH160" s="722"/>
      <c r="AI160" s="1648"/>
      <c r="AJ160" s="722"/>
      <c r="AK160" s="1648"/>
      <c r="AL160" s="1717"/>
      <c r="AM160" s="1648"/>
      <c r="AN160" s="1057"/>
      <c r="AO160" s="1644"/>
      <c r="AP160" s="1644"/>
      <c r="AQ160" s="1644"/>
      <c r="AR160" s="1644"/>
      <c r="AS160" s="1644"/>
      <c r="AT160" s="1761"/>
      <c r="AU160" s="1761"/>
      <c r="AV160" s="1761"/>
      <c r="AW160" s="1761"/>
      <c r="AX160" s="1761"/>
      <c r="AY160" s="1761"/>
      <c r="AZ160" s="1761"/>
      <c r="BA160" s="1761"/>
      <c r="BB160" s="1761"/>
      <c r="BC160" s="1762"/>
      <c r="BD160" s="1762"/>
      <c r="BE160" s="1762"/>
      <c r="BF160" s="1762"/>
      <c r="BG160" s="1762"/>
      <c r="BH160" s="1762"/>
      <c r="BI160" s="1762"/>
      <c r="BJ160" s="1762"/>
      <c r="BK160" s="1762"/>
      <c r="BL160" s="1762"/>
      <c r="BM160" s="1762"/>
      <c r="BN160" s="1762"/>
      <c r="BO160" s="1762"/>
      <c r="BP160" s="1762"/>
      <c r="BQ160" s="1762"/>
      <c r="BR160" s="1762"/>
      <c r="BS160" s="1736"/>
      <c r="BT160" s="1738"/>
      <c r="BU160" s="1738"/>
      <c r="BV160" s="1738"/>
      <c r="BW160" s="1738"/>
      <c r="BX160" s="1738"/>
      <c r="BY160" s="1738"/>
      <c r="BZ160" s="1229"/>
      <c r="CA160" s="721">
        <f t="shared" si="3"/>
        <v>0</v>
      </c>
      <c r="CB160" s="1748"/>
    </row>
    <row r="161" spans="1:80" s="1739" customFormat="1" x14ac:dyDescent="0.2">
      <c r="A161" s="840">
        <v>75</v>
      </c>
      <c r="B161" s="1731">
        <v>75</v>
      </c>
      <c r="C161" s="1740"/>
      <c r="D161" s="1248" t="str">
        <f>IF(C159="","",IF((C161=""),"Enter Facility "&amp;TEXT(A161,0)&amp;" Name, then Fill in Columns "&amp;TEXT($H$2,0)&amp;" - "&amp;TEXT($AL$2,0)&amp;"       ",""))</f>
        <v/>
      </c>
      <c r="E161" s="1245" t="str">
        <f ca="1">IF(AS161="N/A","",IF(AS161="N","No","Yes"))</f>
        <v/>
      </c>
      <c r="F161" s="758"/>
      <c r="G161" s="758"/>
      <c r="H161" s="1707"/>
      <c r="I161" s="758"/>
      <c r="J161" s="1653"/>
      <c r="K161" s="1248" t="str">
        <f ca="1">IF($E161&lt;&gt;"","Enter Street Address      ","")</f>
        <v/>
      </c>
      <c r="L161" s="1740"/>
      <c r="M161" s="1248" t="str">
        <f ca="1">IF($E161&lt;&gt;"","Enter City Name       ","")</f>
        <v/>
      </c>
      <c r="N161" s="1740"/>
      <c r="O161" s="1248" t="str">
        <f ca="1">IF($E161&lt;&gt;"","Select from Pull-Down List   ","")</f>
        <v/>
      </c>
      <c r="P161" s="1741"/>
      <c r="Q161" s="1248" t="str">
        <f ca="1">IF($E161&lt;&gt;"","Enter ZIP Code       ","")</f>
        <v/>
      </c>
      <c r="R161" s="1742"/>
      <c r="S161" s="1248" t="str">
        <f ca="1">IF(OR(N161&lt;&gt;"",P161&lt;&gt;"",J161&lt;&gt;"",L161&lt;&gt;""),"",IF($E161&lt;&gt;"","Enter Lat.      ",""))</f>
        <v/>
      </c>
      <c r="T161" s="1742"/>
      <c r="U161" s="1248" t="str">
        <f ca="1">IF(OR(N161&lt;&gt;"",P161&lt;&gt;"",J161&lt;&gt;"",L161&lt;&gt;""),"",IF($E161&lt;&gt;"","Enter Long.    ",""))</f>
        <v/>
      </c>
      <c r="V161" s="1653"/>
      <c r="W161" s="1618" t="str">
        <f ca="1">IF($E161&lt;&gt;"","Select from Pull-Down List  ","")</f>
        <v/>
      </c>
      <c r="X161" s="1653"/>
      <c r="Y161" s="1618" t="str">
        <f ca="1">IF($E161&lt;&gt;"","Select from Pull-Down List  ","")</f>
        <v/>
      </c>
      <c r="Z161" s="1743"/>
      <c r="AA161" s="1248" t="str">
        <f ca="1">IF(E161&lt;&gt;"","Year?   ","")</f>
        <v/>
      </c>
      <c r="AB161" s="1943"/>
      <c r="AC161" s="1620" t="str">
        <f ca="1">IF(E161="","",IF(X161="","Sq. Ft. or Spaces?   ",IF(OR(X161=Codes!$L$26,X161=Codes!$L$27,X161=Codes!$L$28),"Sq. Ft. or Spaces?   ",IF(OR(X161=Codes!$L$20,X161=Codes!$L$21,X161=Codes!$L$22,X161=Codes!$L$23,X161=Codes!$L$24,X161=Codes!$L$25),"Sq. Ft?     ",""))))</f>
        <v/>
      </c>
      <c r="AD161" s="1740"/>
      <c r="AE161" s="1618" t="str">
        <f ca="1">IF($E161&lt;&gt;"","Select from List     ","")</f>
        <v/>
      </c>
      <c r="AF161" s="1621"/>
      <c r="AG161" s="1618" t="str">
        <f ca="1">IF($E161&lt;&gt;"","% of Cap Resp.","")</f>
        <v/>
      </c>
      <c r="AH161" s="1801" t="str">
        <f ca="1">IF(BW161="", "", IF(BW161&gt;100, 1, VLOOKUP(BW161, Valid!$W$1:$AA$101, VLOOKUP(X161, Codes!$L$20:$N$28, 3, FALSE), FALSE)))</f>
        <v/>
      </c>
      <c r="AI161" s="1620" t="str">
        <f ca="1">IF($E161&lt;&gt;"","Estimated?  ","")</f>
        <v/>
      </c>
      <c r="AJ161" s="1654"/>
      <c r="AK161" s="1620" t="str">
        <f ca="1">IF($E161&lt;&gt;"","Estimated $?    ","")</f>
        <v/>
      </c>
      <c r="AL161" s="1730"/>
      <c r="AM161" s="1620" t="b">
        <f ca="1">IF(E161&lt;&gt;"","Est Date?    ")</f>
        <v>0</v>
      </c>
      <c r="AN161" s="1740"/>
      <c r="AO161" s="1248" t="str">
        <f>IF(X161="Other (describe in Notes)","Describe Facility.                                                                                                                        ","")</f>
        <v/>
      </c>
      <c r="AP161" s="1624"/>
      <c r="AQ161" s="1624" t="b">
        <f>IF(AND(C161="",C163&lt;&gt;""),TRUE,FALSE)</f>
        <v>0</v>
      </c>
      <c r="AR161" s="1624" t="str">
        <f>IF(AND(J161&lt;&gt;"",L161&lt;&gt;"",N161&lt;&gt;"",P161&lt;&gt;"",R161="",T161=""),"Y",IF(AND(J161="",L161="",N161="",P161="",R161&lt;&gt;"",T161&lt;&gt;""),"Y",IF(AND(J161&lt;&gt;"",L161&lt;&gt;"",N161&lt;&gt;"",P161&lt;&gt;"",R161&lt;&gt;"",T161&lt;&gt;""),"Y",IF(AND(J161="",L161="",N161="",P161="",R161="",T161=""),"N/A","N"))))</f>
        <v>N/A</v>
      </c>
      <c r="AS161" s="1624" t="str">
        <f ca="1">IF(AND($C161&lt;&gt;"",OR(AR161="N",$V161="",$X161="",$Z161="",$AB161="",$AF161="",$AH161="",$AL161="",AD161="")),"N",IF(AND($C161="",OR(H161&lt;&gt;"",AR161="N",$V161&lt;&gt;"",$X161&lt;&gt;"",$Z161&lt;&gt;"",$AB161&lt;&gt;"",$AF161&lt;&gt;"",$AH161&lt;&gt;"",$AL161&lt;&gt;"",AD161&lt;&gt;"")),"N",IF(AND(H161="",$C161="",AR161="N/A",$V161="",$X161="",$Z161="",$AB161="",$AF161="",$AH161="",$AL161="",AD161=""),"N/A",IF(AND($C161&lt;&gt;"",AR161="Y",$V161&lt;&gt;"",$X161&lt;&gt;"",$Z161&lt;&gt;"",$AB161&lt;&gt;"",$AF161&lt;&gt;"",$AH161&lt;&gt;"",$AL161&lt;&gt;"",AD161&lt;&gt;""),"Y","N"))))</f>
        <v>N/A</v>
      </c>
      <c r="AT161" s="1761" t="b">
        <f ca="1">IF(AND($C161="",OR($J161&lt;&gt;"",$L161&lt;&gt;"",$N161&lt;&gt;"",$P161&lt;&gt;"",$V161&lt;&gt;"",$X161&lt;&gt;"",$Z161&lt;&gt;"",$AB161&lt;&gt;"",$AF161&lt;&gt;"",$AH161&lt;&gt;"",$AL161&lt;&gt;"")),TRUE,FALSE)</f>
        <v>0</v>
      </c>
      <c r="AU161" s="1761" t="b">
        <f>IF(OR(R161&lt;&gt;"",T161&lt;&gt;""),"false",IF(AND($C161&lt;&gt;"",$J161=""),TRUE,FALSE))</f>
        <v>0</v>
      </c>
      <c r="AV161" s="1761" t="b">
        <f>IF(OR(R161&lt;&gt;"",T161&lt;&gt;""),FALSE,IF(AND($C161&lt;&gt;"",$L161=""),TRUE,FALSE))</f>
        <v>0</v>
      </c>
      <c r="AW161" s="1761" t="b">
        <f>IF(OR(R161&lt;&gt;"",T161&lt;&gt;""),FALSE,IF(AND($C161&lt;&gt;"",$N161=""),TRUE,FALSE))</f>
        <v>0</v>
      </c>
      <c r="AX161" s="1761" t="b">
        <f>IF(OR(R161&lt;&gt;"",T161&lt;&gt;""),FALSE,IF(AND($C161&lt;&gt;"",$P161=""),TRUE,FALSE))</f>
        <v>0</v>
      </c>
      <c r="AY161" s="1761"/>
      <c r="AZ161" s="1761" t="b">
        <f>IF(OR(J161&lt;&gt;"",L161&lt;&gt;"",N161&lt;&gt;"",P161&lt;&gt;""),FALSE,IF(AND(C161&lt;&gt;"",R161=""),TRUE,FALSE))</f>
        <v>0</v>
      </c>
      <c r="BA161" s="1761"/>
      <c r="BB161" s="1761" t="b">
        <f>IF(OR(J161&lt;&gt;"",L161&lt;&gt;"",N161&lt;&gt;"",P161&lt;&gt;""),FALSE,IF(AND(C161&lt;&gt;"",T161=""),TRUE,FALSE))</f>
        <v>0</v>
      </c>
      <c r="BC161" s="1761" t="b">
        <f>IF(AND($C161&lt;&gt;"",$V161=""),TRUE,FALSE)</f>
        <v>0</v>
      </c>
      <c r="BD161" s="1761" t="b">
        <f ca="1">IF(AND(X161="",OR(Z161&lt;&gt;"",AB161&lt;&gt;"",AF161&lt;&gt;"",AH161&lt;&gt;"",AL161&lt;&gt;"",AD161&lt;&gt;"")),TRUE,FALSE)</f>
        <v>0</v>
      </c>
      <c r="BE161" s="1761" t="b">
        <f>IF(AND($C161&lt;&gt;"",$X161=""),TRUE,FALSE)</f>
        <v>0</v>
      </c>
      <c r="BF161" s="1761" t="b">
        <f>IF(Z161="",FALSE,IF(X161="",FALSE,IF(BG161=TRUE,FALSE,IF(OR(Z161&lt;BU161,Z161&gt;BaseYear),TRUE,FALSE))))</f>
        <v>0</v>
      </c>
      <c r="BG161" s="1761" t="b">
        <f>IF(AND($C161&lt;&gt;"",$Z161=""),TRUE,FALSE)</f>
        <v>0</v>
      </c>
      <c r="BH161" s="1761" t="b">
        <f>IF(AD161="",FALSE,IF(X161="",FALSE,IF(BJ161=TRUE,FALSE,IF(AB161&lt;BX161,TRUE,FALSE))))</f>
        <v>0</v>
      </c>
      <c r="BI161" s="1761" t="b">
        <f>IF(AD161="",FALSE,IF(X161="",FALSE,IF(BJ161=TRUE,FALSE,IF(AB161&gt;BY161,TRUE,FALSE))))</f>
        <v>0</v>
      </c>
      <c r="BJ161" s="1761" t="b">
        <f>IF(AND($C161&lt;&gt;"",$AB161=""),TRUE,FALSE)</f>
        <v>0</v>
      </c>
      <c r="BK161" s="1761" t="b">
        <f>IF(BL161=TRUE,FALSE,IF(OR(AF161&lt;0,AF161&gt;1),TRUE,FALSE))</f>
        <v>0</v>
      </c>
      <c r="BL161" s="1761" t="b">
        <f>IF(AND($C161&lt;&gt;"",$AF161=""),TRUE,FALSE)</f>
        <v>0</v>
      </c>
      <c r="BM161" s="1761"/>
      <c r="BN161" s="1761" t="b">
        <f ca="1">IF(AND($C161&lt;&gt;"",$AH161=""),TRUE,FALSE)</f>
        <v>0</v>
      </c>
      <c r="BO161" s="1761" t="b">
        <f>IF(AL161="",FALSE,IF(X161="",FALSE,IF(BP161=TRUE,FALSE,IF(OR(AL161&lt;1913,AL161&gt;BaseYear),TRUE,FALSE))))</f>
        <v>0</v>
      </c>
      <c r="BP161" s="1761" t="b">
        <f>IF(AND($C161&lt;&gt;"",$AL161=""),TRUE,FALSE)</f>
        <v>0</v>
      </c>
      <c r="BQ161" s="1761" t="b">
        <f>IF(AD161="Square Foot",FALSE,IF(AND(AD161="Parking Space",OR('A-20 PassFacInv'!X161=Valid!$B$7,'A-20 PassFacInv'!X161=Valid!$B$8,'A-20 PassFacInv'!X161=Valid!$B$9,'A-20 PassFacInv'!X161=Valid!$B$10,'A-20 PassFacInv'!X161=Valid!$B$12,'A-20 PassFacInv'!X161=Valid!$B$13,'A-20 PassFacInv'!X161=Valid!$B$14,'A-20 PassFacInv'!X161=Valid!$B$15,'A-20 PassFacInv'!X161=Valid!$B$16,'A-20 PassFacInv'!X161=Valid!$B$17,'A-20 PassFacInv'!X161=Valid!$B$18,X161=Valid!$B$19,X161=Valid!$B$20,X161=Valid!$B$21)),TRUE,FALSE))</f>
        <v>0</v>
      </c>
      <c r="BR161" s="1761" t="b">
        <f>IF(AND($C161&lt;&gt;"",$AD161=""),TRUE,FALSE)</f>
        <v>0</v>
      </c>
      <c r="BS161" s="721"/>
      <c r="BT161" s="1625" t="str">
        <f>IF($X161="","",VLOOKUP($X161,val_facilities,BT$3,FALSE))</f>
        <v/>
      </c>
      <c r="BU161" s="1627" t="str">
        <f>IF($X161="","",VLOOKUP($X161,val_facilities,BU$3,FALSE))</f>
        <v/>
      </c>
      <c r="BV161" s="1627" t="str">
        <f>IF($X161="","",VLOOKUP($X161,val_facilities,BV$3,FALSE))</f>
        <v/>
      </c>
      <c r="BW161" s="1627" t="str">
        <f ca="1">IFERROR(IF(Z161="", "", YEAR(TODAY())-Z161), "")</f>
        <v/>
      </c>
      <c r="BX161" s="845" t="str">
        <f>IF($X161="","",IF(AD161="Square Feet",VLOOKUP('A-20 PassFacInv'!X87,Valid!$B$7:$H$24,7,FALSE),IF(AD161="Parking Spaces",VLOOKUP(X161,Valid!$B$22:$L$24,11,FALSE))))</f>
        <v/>
      </c>
      <c r="BY161" s="845" t="str">
        <f>IF($X161="","",IF(AD161="Square Feet",VLOOKUP(X161,Valid!$B$7:$I$24,8,FALSE),IF('A-20 PassFacInv'!AD87="Parking Spaces",VLOOKUP('A-20 PassFacInv'!X87,Valid!$B$22:$M$24,12,FALSE))))</f>
        <v/>
      </c>
      <c r="BZ161" s="758"/>
      <c r="CA161" s="721">
        <f t="shared" si="3"/>
        <v>0</v>
      </c>
      <c r="CB161" s="816"/>
    </row>
    <row r="162" spans="1:80" s="1739" customFormat="1" ht="6.75" customHeight="1" thickBot="1" x14ac:dyDescent="0.25">
      <c r="A162" s="1638"/>
      <c r="B162" s="1746">
        <v>75.5</v>
      </c>
      <c r="C162" s="1057"/>
      <c r="D162" s="1248"/>
      <c r="E162" s="1057"/>
      <c r="F162" s="1229"/>
      <c r="G162" s="1229"/>
      <c r="H162" s="1229"/>
      <c r="I162" s="1229"/>
      <c r="J162" s="1604"/>
      <c r="K162" s="1229"/>
      <c r="L162" s="1605"/>
      <c r="M162" s="1644"/>
      <c r="N162" s="1605"/>
      <c r="O162" s="1644"/>
      <c r="P162" s="1733"/>
      <c r="Q162" s="1644"/>
      <c r="R162" s="1663"/>
      <c r="S162" s="1229"/>
      <c r="T162" s="1663"/>
      <c r="U162" s="1229"/>
      <c r="V162" s="1057"/>
      <c r="W162" s="1623"/>
      <c r="X162" s="1747"/>
      <c r="Y162" s="1623"/>
      <c r="Z162" s="1623"/>
      <c r="AA162" s="1623"/>
      <c r="AB162" s="1944"/>
      <c r="AC162" s="841"/>
      <c r="AD162" s="1057"/>
      <c r="AE162" s="841"/>
      <c r="AF162" s="841"/>
      <c r="AG162" s="841"/>
      <c r="AH162" s="722"/>
      <c r="AI162" s="841"/>
      <c r="AJ162" s="722"/>
      <c r="AK162" s="841"/>
      <c r="AL162" s="1717"/>
      <c r="AM162" s="841"/>
      <c r="AN162" s="1057"/>
      <c r="AO162" s="1644"/>
      <c r="AP162" s="1644"/>
      <c r="AQ162" s="1644"/>
      <c r="AR162" s="1644"/>
      <c r="AS162" s="1644"/>
      <c r="AT162" s="1761"/>
      <c r="AU162" s="1761"/>
      <c r="AV162" s="1761"/>
      <c r="AW162" s="1761"/>
      <c r="AX162" s="1761"/>
      <c r="AY162" s="1761"/>
      <c r="AZ162" s="1761"/>
      <c r="BA162" s="1761"/>
      <c r="BB162" s="1761"/>
      <c r="BC162" s="1762"/>
      <c r="BD162" s="1762"/>
      <c r="BE162" s="1762"/>
      <c r="BF162" s="1762"/>
      <c r="BG162" s="1762"/>
      <c r="BH162" s="1762"/>
      <c r="BI162" s="1762"/>
      <c r="BJ162" s="1762"/>
      <c r="BK162" s="1762"/>
      <c r="BL162" s="1762"/>
      <c r="BM162" s="1762"/>
      <c r="BN162" s="1762"/>
      <c r="BO162" s="1762"/>
      <c r="BP162" s="1762"/>
      <c r="BQ162" s="1763"/>
      <c r="BR162" s="1762"/>
      <c r="BS162" s="1736"/>
      <c r="BT162" s="1738"/>
      <c r="BU162" s="1738"/>
      <c r="BV162" s="1738"/>
      <c r="BW162" s="1738"/>
      <c r="BX162" s="1738"/>
      <c r="BY162" s="1738"/>
      <c r="BZ162" s="1229"/>
      <c r="CA162" s="721">
        <f t="shared" si="3"/>
        <v>0</v>
      </c>
      <c r="CB162" s="1748"/>
    </row>
    <row r="163" spans="1:80" s="1739" customFormat="1" x14ac:dyDescent="0.2">
      <c r="A163" s="840">
        <v>76</v>
      </c>
      <c r="B163" s="1746">
        <v>76</v>
      </c>
      <c r="C163" s="1740"/>
      <c r="D163" s="1248" t="str">
        <f>IF(C161="","",IF((C163=""),"Enter Facility "&amp;TEXT(A163,0)&amp;" Name, then Fill in Columns "&amp;TEXT($H$2,0)&amp;" - "&amp;TEXT($AL$2,0)&amp;"       ",""))</f>
        <v/>
      </c>
      <c r="E163" s="1245" t="str">
        <f ca="1">IF(AS163="N/A","",IF(AS163="N","No","Yes"))</f>
        <v/>
      </c>
      <c r="F163" s="758"/>
      <c r="G163" s="758"/>
      <c r="H163" s="1707"/>
      <c r="I163" s="758"/>
      <c r="J163" s="1653"/>
      <c r="K163" s="1248" t="str">
        <f ca="1">IF($E163&lt;&gt;"","Enter Street Address      ","")</f>
        <v/>
      </c>
      <c r="L163" s="1740"/>
      <c r="M163" s="1248" t="str">
        <f ca="1">IF($E163&lt;&gt;"","Enter City Name       ","")</f>
        <v/>
      </c>
      <c r="N163" s="1740"/>
      <c r="O163" s="1248" t="str">
        <f ca="1">IF($E163&lt;&gt;"","Select from Pull-Down List   ","")</f>
        <v/>
      </c>
      <c r="P163" s="1741"/>
      <c r="Q163" s="1248" t="str">
        <f ca="1">IF($E163&lt;&gt;"","Enter ZIP Code       ","")</f>
        <v/>
      </c>
      <c r="R163" s="1742"/>
      <c r="S163" s="1248" t="str">
        <f ca="1">IF(OR(N163&lt;&gt;"",P163&lt;&gt;"",J163&lt;&gt;"",L163&lt;&gt;""),"",IF($E163&lt;&gt;"","Enter Lat.      ",""))</f>
        <v/>
      </c>
      <c r="T163" s="1742"/>
      <c r="U163" s="1248" t="str">
        <f ca="1">IF(OR(N163&lt;&gt;"",P163&lt;&gt;"",J163&lt;&gt;"",L163&lt;&gt;""),"",IF($E163&lt;&gt;"","Enter Long.    ",""))</f>
        <v/>
      </c>
      <c r="V163" s="1653"/>
      <c r="W163" s="1618" t="str">
        <f ca="1">IF($E163&lt;&gt;"","Select from Pull-Down List  ","")</f>
        <v/>
      </c>
      <c r="X163" s="1653"/>
      <c r="Y163" s="1618" t="str">
        <f ca="1">IF($E163&lt;&gt;"","Select from Pull-Down List  ","")</f>
        <v/>
      </c>
      <c r="Z163" s="1743"/>
      <c r="AA163" s="1248" t="str">
        <f ca="1">IF(E163&lt;&gt;"","Year?   ","")</f>
        <v/>
      </c>
      <c r="AB163" s="1943"/>
      <c r="AC163" s="1620" t="str">
        <f ca="1">IF(E163="","",IF(X163="","Sq. Ft. or Spaces?   ",IF(OR(X163=Codes!$L$26,X163=Codes!$L$27,X163=Codes!$L$28),"Sq. Ft. or Spaces?   ",IF(OR(X163=Codes!$L$20,X163=Codes!$L$21,X163=Codes!$L$22,X163=Codes!$L$23,X163=Codes!$L$24,X163=Codes!$L$25),"Sq. Ft?     ",""))))</f>
        <v/>
      </c>
      <c r="AD163" s="1740"/>
      <c r="AE163" s="1618" t="str">
        <f ca="1">IF($E163&lt;&gt;"","Select from List     ","")</f>
        <v/>
      </c>
      <c r="AF163" s="1621"/>
      <c r="AG163" s="1618" t="str">
        <f ca="1">IF($E163&lt;&gt;"","% of Cap Resp.","")</f>
        <v/>
      </c>
      <c r="AH163" s="1801" t="str">
        <f ca="1">IF(BW163="", "", IF(BW163&gt;100, 1, VLOOKUP(BW163, Valid!$W$1:$AA$101, VLOOKUP(X163, Codes!$L$20:$N$28, 3, FALSE), FALSE)))</f>
        <v/>
      </c>
      <c r="AI163" s="1620" t="str">
        <f ca="1">IF($E163&lt;&gt;"","Estimated?  ","")</f>
        <v/>
      </c>
      <c r="AJ163" s="1654"/>
      <c r="AK163" s="1620" t="str">
        <f ca="1">IF($E163&lt;&gt;"","Estimated $?    ","")</f>
        <v/>
      </c>
      <c r="AL163" s="1730"/>
      <c r="AM163" s="1620" t="b">
        <f ca="1">IF(E163&lt;&gt;"","Est Date?    ")</f>
        <v>0</v>
      </c>
      <c r="AN163" s="1740"/>
      <c r="AO163" s="1248" t="str">
        <f>IF(X163="Other (describe in Notes)","Describe Facility.                                                                                                                        ","")</f>
        <v/>
      </c>
      <c r="AP163" s="1624"/>
      <c r="AQ163" s="1624" t="b">
        <f>IF(AND(C163="",C165&lt;&gt;""),TRUE,FALSE)</f>
        <v>0</v>
      </c>
      <c r="AR163" s="1624" t="str">
        <f>IF(AND(J163&lt;&gt;"",L163&lt;&gt;"",N163&lt;&gt;"",P163&lt;&gt;"",R163="",T163=""),"Y",IF(AND(J163="",L163="",N163="",P163="",R163&lt;&gt;"",T163&lt;&gt;""),"Y",IF(AND(J163&lt;&gt;"",L163&lt;&gt;"",N163&lt;&gt;"",P163&lt;&gt;"",R163&lt;&gt;"",T163&lt;&gt;""),"Y",IF(AND(J163="",L163="",N163="",P163="",R163="",T163=""),"N/A","N"))))</f>
        <v>N/A</v>
      </c>
      <c r="AS163" s="1624" t="str">
        <f ca="1">IF(AND($C163&lt;&gt;"",OR(AR163="N",$V163="",$X163="",$Z163="",$AB163="",$AF163="",$AH163="",$AL163="",AD163="")),"N",IF(AND($C163="",OR(H163&lt;&gt;"",AR163="N",$V163&lt;&gt;"",$X163&lt;&gt;"",$Z163&lt;&gt;"",$AB163&lt;&gt;"",$AF163&lt;&gt;"",$AH163&lt;&gt;"",$AL163&lt;&gt;"",AD163&lt;&gt;"")),"N",IF(AND(H163="",$C163="",AR163="N/A",$V163="",$X163="",$Z163="",$AB163="",$AF163="",$AH163="",$AL163="",AD163=""),"N/A",IF(AND($C163&lt;&gt;"",AR163="Y",$V163&lt;&gt;"",$X163&lt;&gt;"",$Z163&lt;&gt;"",$AB163&lt;&gt;"",$AF163&lt;&gt;"",$AH163&lt;&gt;"",$AL163&lt;&gt;"",AD163&lt;&gt;""),"Y","N"))))</f>
        <v>N/A</v>
      </c>
      <c r="AT163" s="1761" t="b">
        <f ca="1">IF(AND($C163="",OR($J163&lt;&gt;"",$L163&lt;&gt;"",$N163&lt;&gt;"",$P163&lt;&gt;"",$V163&lt;&gt;"",$X163&lt;&gt;"",$Z163&lt;&gt;"",$AB163&lt;&gt;"",$AF163&lt;&gt;"",$AH163&lt;&gt;"",$AL163&lt;&gt;"")),TRUE,FALSE)</f>
        <v>0</v>
      </c>
      <c r="AU163" s="1761" t="b">
        <f>IF(OR(R163&lt;&gt;"",T163&lt;&gt;""),"false",IF(AND($C163&lt;&gt;"",$J163=""),TRUE,FALSE))</f>
        <v>0</v>
      </c>
      <c r="AV163" s="1761" t="b">
        <f>IF(OR(R163&lt;&gt;"",T163&lt;&gt;""),FALSE,IF(AND($C163&lt;&gt;"",$L163=""),TRUE,FALSE))</f>
        <v>0</v>
      </c>
      <c r="AW163" s="1761" t="b">
        <f>IF(OR(R163&lt;&gt;"",T163&lt;&gt;""),FALSE,IF(AND($C163&lt;&gt;"",$N163=""),TRUE,FALSE))</f>
        <v>0</v>
      </c>
      <c r="AX163" s="1761" t="b">
        <f>IF(OR(R163&lt;&gt;"",T163&lt;&gt;""),FALSE,IF(AND($C163&lt;&gt;"",$P163=""),TRUE,FALSE))</f>
        <v>0</v>
      </c>
      <c r="AY163" s="1761"/>
      <c r="AZ163" s="1761" t="b">
        <f>IF(OR(J163&lt;&gt;"",L163&lt;&gt;"",N163&lt;&gt;"",P163&lt;&gt;""),FALSE,IF(AND(C163&lt;&gt;"",R163=""),TRUE,FALSE))</f>
        <v>0</v>
      </c>
      <c r="BA163" s="1761"/>
      <c r="BB163" s="1761" t="b">
        <f>IF(OR(J163&lt;&gt;"",L163&lt;&gt;"",N163&lt;&gt;"",P163&lt;&gt;""),FALSE,IF(AND(C163&lt;&gt;"",T163=""),TRUE,FALSE))</f>
        <v>0</v>
      </c>
      <c r="BC163" s="1761" t="b">
        <f>IF(AND($C163&lt;&gt;"",$V163=""),TRUE,FALSE)</f>
        <v>0</v>
      </c>
      <c r="BD163" s="1761" t="b">
        <f ca="1">IF(AND(X163="",OR(Z163&lt;&gt;"",AB163&lt;&gt;"",AF163&lt;&gt;"",AH163&lt;&gt;"",AL163&lt;&gt;"",AD163&lt;&gt;"")),TRUE,FALSE)</f>
        <v>0</v>
      </c>
      <c r="BE163" s="1761" t="b">
        <f>IF(AND($C163&lt;&gt;"",$X163=""),TRUE,FALSE)</f>
        <v>0</v>
      </c>
      <c r="BF163" s="1761" t="b">
        <f>IF(Z163="",FALSE,IF(X163="",FALSE,IF(BG163=TRUE,FALSE,IF(OR(Z163&lt;BU163,Z163&gt;BaseYear),TRUE,FALSE))))</f>
        <v>0</v>
      </c>
      <c r="BG163" s="1761" t="b">
        <f>IF(AND($C163&lt;&gt;"",$Z163=""),TRUE,FALSE)</f>
        <v>0</v>
      </c>
      <c r="BH163" s="1761" t="b">
        <f>IF(AD163="",FALSE,IF(X163="",FALSE,IF(BJ163=TRUE,FALSE,IF(AB163&lt;BX163,TRUE,FALSE))))</f>
        <v>0</v>
      </c>
      <c r="BI163" s="1761" t="b">
        <f>IF(AD163="",FALSE,IF(X163="",FALSE,IF(BJ163=TRUE,FALSE,IF(AB163&gt;BY163,TRUE,FALSE))))</f>
        <v>0</v>
      </c>
      <c r="BJ163" s="1761" t="b">
        <f>IF(AND($C163&lt;&gt;"",$AB163=""),TRUE,FALSE)</f>
        <v>0</v>
      </c>
      <c r="BK163" s="1761" t="b">
        <f>IF(BL163=TRUE,FALSE,IF(OR(AF163&lt;0,AF163&gt;1),TRUE,FALSE))</f>
        <v>0</v>
      </c>
      <c r="BL163" s="1761" t="b">
        <f>IF(AND($C163&lt;&gt;"",$AF163=""),TRUE,FALSE)</f>
        <v>0</v>
      </c>
      <c r="BM163" s="1761"/>
      <c r="BN163" s="1761" t="b">
        <f ca="1">IF(AND($C163&lt;&gt;"",$AH163=""),TRUE,FALSE)</f>
        <v>0</v>
      </c>
      <c r="BO163" s="1761" t="b">
        <f>IF(AL163="",FALSE,IF(X163="",FALSE,IF(BP163=TRUE,FALSE,IF(OR(AL163&lt;1913,AL163&gt;BaseYear),TRUE,FALSE))))</f>
        <v>0</v>
      </c>
      <c r="BP163" s="1761" t="b">
        <f>IF(AND($C163&lt;&gt;"",$AL163=""),TRUE,FALSE)</f>
        <v>0</v>
      </c>
      <c r="BQ163" s="1761" t="b">
        <f>IF(AD163="Square Foot",FALSE,IF(AND(AD163="Parking Space",OR('A-20 PassFacInv'!X163=Valid!$B$7,'A-20 PassFacInv'!X163=Valid!$B$8,'A-20 PassFacInv'!X163=Valid!$B$9,'A-20 PassFacInv'!X163=Valid!$B$10,'A-20 PassFacInv'!X163=Valid!$B$12,'A-20 PassFacInv'!X163=Valid!$B$13,'A-20 PassFacInv'!X163=Valid!$B$14,'A-20 PassFacInv'!X163=Valid!$B$15,'A-20 PassFacInv'!X163=Valid!$B$16,'A-20 PassFacInv'!X163=Valid!$B$17,'A-20 PassFacInv'!X163=Valid!$B$18,X163=Valid!$B$19,X163=Valid!$B$20,X163=Valid!$B$21)),TRUE,FALSE))</f>
        <v>0</v>
      </c>
      <c r="BR163" s="1761" t="b">
        <f>IF(AND($C163&lt;&gt;"",$AD163=""),TRUE,FALSE)</f>
        <v>0</v>
      </c>
      <c r="BS163" s="721"/>
      <c r="BT163" s="1625" t="str">
        <f>IF($X163="","",VLOOKUP($X163,val_facilities,BT$3,FALSE))</f>
        <v/>
      </c>
      <c r="BU163" s="1627" t="str">
        <f>IF($X163="","",VLOOKUP($X163,val_facilities,BU$3,FALSE))</f>
        <v/>
      </c>
      <c r="BV163" s="1627" t="str">
        <f>IF($X163="","",VLOOKUP($X163,val_facilities,BV$3,FALSE))</f>
        <v/>
      </c>
      <c r="BW163" s="1627" t="str">
        <f ca="1">IFERROR(IF(Z163="", "", YEAR(TODAY())-Z163), "")</f>
        <v/>
      </c>
      <c r="BX163" s="845" t="str">
        <f>IF($X163="","",IF(AD163="Square Feet",VLOOKUP('A-20 PassFacInv'!X88,Valid!$B$7:$H$24,7,FALSE),IF(AD163="Parking Spaces",VLOOKUP(X163,Valid!$B$22:$L$24,11,FALSE))))</f>
        <v/>
      </c>
      <c r="BY163" s="845" t="str">
        <f>IF($X163="","",IF(AD163="Square Feet",VLOOKUP(X163,Valid!$B$7:$I$24,8,FALSE),IF('A-20 PassFacInv'!AD88="Parking Spaces",VLOOKUP('A-20 PassFacInv'!X88,Valid!$B$22:$M$24,12,FALSE))))</f>
        <v/>
      </c>
      <c r="BZ163" s="758"/>
      <c r="CA163" s="721">
        <f t="shared" si="3"/>
        <v>0</v>
      </c>
      <c r="CB163" s="816"/>
    </row>
    <row r="164" spans="1:80" s="1739" customFormat="1" ht="6.75" customHeight="1" thickBot="1" x14ac:dyDescent="0.25">
      <c r="A164" s="1638"/>
      <c r="B164" s="1746">
        <v>76.5</v>
      </c>
      <c r="C164" s="1057"/>
      <c r="D164" s="1248"/>
      <c r="E164" s="1639"/>
      <c r="F164" s="1229"/>
      <c r="G164" s="1229"/>
      <c r="H164" s="1229"/>
      <c r="I164" s="1229"/>
      <c r="J164" s="1604"/>
      <c r="K164" s="1640"/>
      <c r="L164" s="1641"/>
      <c r="M164" s="1248"/>
      <c r="N164" s="1641"/>
      <c r="O164" s="1248"/>
      <c r="P164" s="1659"/>
      <c r="Q164" s="1248"/>
      <c r="R164" s="1660"/>
      <c r="S164" s="1640"/>
      <c r="T164" s="1660"/>
      <c r="U164" s="1640"/>
      <c r="V164" s="1057"/>
      <c r="W164" s="1618"/>
      <c r="X164" s="1747"/>
      <c r="Y164" s="1618"/>
      <c r="Z164" s="1623"/>
      <c r="AA164" s="1618"/>
      <c r="AB164" s="1944"/>
      <c r="AC164" s="1275"/>
      <c r="AD164" s="1661"/>
      <c r="AE164" s="734"/>
      <c r="AF164" s="1748"/>
      <c r="AG164" s="1275"/>
      <c r="AH164" s="722"/>
      <c r="AI164" s="1275"/>
      <c r="AJ164" s="733"/>
      <c r="AK164" s="1275"/>
      <c r="AL164" s="1721"/>
      <c r="AM164" s="1275"/>
      <c r="AN164" s="1057"/>
      <c r="AO164" s="1644"/>
      <c r="AP164" s="1644"/>
      <c r="AQ164" s="1644"/>
      <c r="AR164" s="1644"/>
      <c r="AS164" s="1644"/>
      <c r="AT164" s="1761"/>
      <c r="AU164" s="1761"/>
      <c r="AV164" s="1761"/>
      <c r="AW164" s="1761"/>
      <c r="AX164" s="1761"/>
      <c r="AY164" s="1761"/>
      <c r="AZ164" s="1761"/>
      <c r="BA164" s="1761"/>
      <c r="BB164" s="1761"/>
      <c r="BC164" s="1762"/>
      <c r="BD164" s="1762"/>
      <c r="BE164" s="1762"/>
      <c r="BF164" s="1762"/>
      <c r="BG164" s="1762"/>
      <c r="BH164" s="1762"/>
      <c r="BI164" s="1762"/>
      <c r="BJ164" s="1762"/>
      <c r="BK164" s="1762"/>
      <c r="BL164" s="1762"/>
      <c r="BM164" s="1762"/>
      <c r="BN164" s="1762"/>
      <c r="BO164" s="1762"/>
      <c r="BP164" s="1762"/>
      <c r="BQ164" s="1762"/>
      <c r="BR164" s="1762"/>
      <c r="BS164" s="1736"/>
      <c r="BT164" s="1738"/>
      <c r="BU164" s="1738"/>
      <c r="BV164" s="1738"/>
      <c r="BW164" s="1738"/>
      <c r="BX164" s="1738"/>
      <c r="BY164" s="1738"/>
      <c r="BZ164" s="1229"/>
      <c r="CA164" s="721">
        <f t="shared" si="3"/>
        <v>0</v>
      </c>
      <c r="CB164" s="816"/>
    </row>
    <row r="165" spans="1:80" s="1739" customFormat="1" x14ac:dyDescent="0.2">
      <c r="A165" s="840">
        <v>77</v>
      </c>
      <c r="B165" s="1746">
        <v>77</v>
      </c>
      <c r="C165" s="1740"/>
      <c r="D165" s="1248" t="str">
        <f>IF(C163="","",IF((C165=""),"Enter Facility "&amp;TEXT(A165,0)&amp;" Name, then Fill in Columns "&amp;TEXT($H$2,0)&amp;" - "&amp;TEXT($AL$2,0)&amp;"       ",""))</f>
        <v/>
      </c>
      <c r="E165" s="1245" t="str">
        <f ca="1">IF(AS165="N/A","",IF(AS165="N","No","Yes"))</f>
        <v/>
      </c>
      <c r="F165" s="758"/>
      <c r="G165" s="758"/>
      <c r="H165" s="1707"/>
      <c r="I165" s="758"/>
      <c r="J165" s="1653"/>
      <c r="K165" s="1248" t="str">
        <f ca="1">IF($E165&lt;&gt;"","Enter Street Address      ","")</f>
        <v/>
      </c>
      <c r="L165" s="1740"/>
      <c r="M165" s="1248" t="str">
        <f ca="1">IF($E165&lt;&gt;"","Enter City Name       ","")</f>
        <v/>
      </c>
      <c r="N165" s="1740"/>
      <c r="O165" s="1248" t="str">
        <f ca="1">IF($E165&lt;&gt;"","Select from Pull-Down List   ","")</f>
        <v/>
      </c>
      <c r="P165" s="1741"/>
      <c r="Q165" s="1248" t="str">
        <f ca="1">IF($E165&lt;&gt;"","Enter ZIP Code       ","")</f>
        <v/>
      </c>
      <c r="R165" s="1742"/>
      <c r="S165" s="1248" t="str">
        <f ca="1">IF(OR(N165&lt;&gt;"",P165&lt;&gt;"",J165&lt;&gt;"",L165&lt;&gt;""),"",IF($E165&lt;&gt;"","Enter Lat.      ",""))</f>
        <v/>
      </c>
      <c r="T165" s="1742"/>
      <c r="U165" s="1248" t="str">
        <f ca="1">IF(OR(N165&lt;&gt;"",P165&lt;&gt;"",J165&lt;&gt;"",L165&lt;&gt;""),"",IF($E165&lt;&gt;"","Enter Long.    ",""))</f>
        <v/>
      </c>
      <c r="V165" s="1653"/>
      <c r="W165" s="1618" t="str">
        <f ca="1">IF($E165&lt;&gt;"","Select from Pull-Down List  ","")</f>
        <v/>
      </c>
      <c r="X165" s="1653"/>
      <c r="Y165" s="1618" t="str">
        <f ca="1">IF($E165&lt;&gt;"","Select from Pull-Down List  ","")</f>
        <v/>
      </c>
      <c r="Z165" s="1743"/>
      <c r="AA165" s="1248" t="str">
        <f ca="1">IF(E165&lt;&gt;"","Year?   ","")</f>
        <v/>
      </c>
      <c r="AB165" s="1943"/>
      <c r="AC165" s="1620" t="str">
        <f ca="1">IF(E165="","",IF(X165="","Sq. Ft. or Spaces?   ",IF(OR(X165=Codes!$L$26,X165=Codes!$L$27,X165=Codes!$L$28),"Sq. Ft. or Spaces?   ",IF(OR(X165=Codes!$L$20,X165=Codes!$L$21,X165=Codes!$L$22,X165=Codes!$L$23,X165=Codes!$L$24,X165=Codes!$L$25),"Sq. Ft?     ",""))))</f>
        <v/>
      </c>
      <c r="AD165" s="1740"/>
      <c r="AE165" s="1618" t="str">
        <f ca="1">IF($E165&lt;&gt;"","Select from List     ","")</f>
        <v/>
      </c>
      <c r="AF165" s="1621"/>
      <c r="AG165" s="1618" t="str">
        <f ca="1">IF($E165&lt;&gt;"","% of Cap Resp.","")</f>
        <v/>
      </c>
      <c r="AH165" s="1801" t="str">
        <f ca="1">IF(BW165="", "", IF(BW165&gt;100, 1, VLOOKUP(BW165, Valid!$W$1:$AA$101, VLOOKUP(X165, Codes!$L$20:$N$28, 3, FALSE), FALSE)))</f>
        <v/>
      </c>
      <c r="AI165" s="1620" t="str">
        <f ca="1">IF($E165&lt;&gt;"","Estimated?  ","")</f>
        <v/>
      </c>
      <c r="AJ165" s="1654"/>
      <c r="AK165" s="1620" t="str">
        <f ca="1">IF($E165&lt;&gt;"","Estimated $?    ","")</f>
        <v/>
      </c>
      <c r="AL165" s="1730"/>
      <c r="AM165" s="1620" t="b">
        <f ca="1">IF(E165&lt;&gt;"","Est Date?    ")</f>
        <v>0</v>
      </c>
      <c r="AN165" s="1740"/>
      <c r="AO165" s="1248" t="str">
        <f>IF(X165="Other (describe in Notes)","Describe Facility.                                                                                                                        ","")</f>
        <v/>
      </c>
      <c r="AP165" s="1624"/>
      <c r="AQ165" s="1624" t="b">
        <f>IF(AND(C165="",C167&lt;&gt;""),TRUE,FALSE)</f>
        <v>0</v>
      </c>
      <c r="AR165" s="1624" t="str">
        <f>IF(AND(J165&lt;&gt;"",L165&lt;&gt;"",N165&lt;&gt;"",P165&lt;&gt;"",R165="",T165=""),"Y",IF(AND(J165="",L165="",N165="",P165="",R165&lt;&gt;"",T165&lt;&gt;""),"Y",IF(AND(J165&lt;&gt;"",L165&lt;&gt;"",N165&lt;&gt;"",P165&lt;&gt;"",R165&lt;&gt;"",T165&lt;&gt;""),"Y",IF(AND(J165="",L165="",N165="",P165="",R165="",T165=""),"N/A","N"))))</f>
        <v>N/A</v>
      </c>
      <c r="AS165" s="1624" t="str">
        <f ca="1">IF(AND($C165&lt;&gt;"",OR(AR165="N",$V165="",$X165="",$Z165="",$AB165="",$AF165="",$AH165="",$AL165="",AD165="")),"N",IF(AND($C165="",OR(H165&lt;&gt;"",AR165="N",$V165&lt;&gt;"",$X165&lt;&gt;"",$Z165&lt;&gt;"",$AB165&lt;&gt;"",$AF165&lt;&gt;"",$AH165&lt;&gt;"",$AL165&lt;&gt;"",AD165&lt;&gt;"")),"N",IF(AND(H165="",$C165="",AR165="N/A",$V165="",$X165="",$Z165="",$AB165="",$AF165="",$AH165="",$AL165="",AD165=""),"N/A",IF(AND($C165&lt;&gt;"",AR165="Y",$V165&lt;&gt;"",$X165&lt;&gt;"",$Z165&lt;&gt;"",$AB165&lt;&gt;"",$AF165&lt;&gt;"",$AH165&lt;&gt;"",$AL165&lt;&gt;"",AD165&lt;&gt;""),"Y","N"))))</f>
        <v>N/A</v>
      </c>
      <c r="AT165" s="1761" t="b">
        <f ca="1">IF(AND($C165="",OR($J165&lt;&gt;"",$L165&lt;&gt;"",$N165&lt;&gt;"",$P165&lt;&gt;"",$V165&lt;&gt;"",$X165&lt;&gt;"",$Z165&lt;&gt;"",$AB165&lt;&gt;"",$AF165&lt;&gt;"",$AH165&lt;&gt;"",$AL165&lt;&gt;"")),TRUE,FALSE)</f>
        <v>0</v>
      </c>
      <c r="AU165" s="1761" t="b">
        <f>IF(OR(R165&lt;&gt;"",T165&lt;&gt;""),"false",IF(AND($C165&lt;&gt;"",$J165=""),TRUE,FALSE))</f>
        <v>0</v>
      </c>
      <c r="AV165" s="1761" t="b">
        <f>IF(OR(R165&lt;&gt;"",T165&lt;&gt;""),FALSE,IF(AND($C165&lt;&gt;"",$L165=""),TRUE,FALSE))</f>
        <v>0</v>
      </c>
      <c r="AW165" s="1761" t="b">
        <f>IF(OR(R165&lt;&gt;"",T165&lt;&gt;""),FALSE,IF(AND($C165&lt;&gt;"",$N165=""),TRUE,FALSE))</f>
        <v>0</v>
      </c>
      <c r="AX165" s="1761" t="b">
        <f>IF(OR(R165&lt;&gt;"",T165&lt;&gt;""),FALSE,IF(AND($C165&lt;&gt;"",$P165=""),TRUE,FALSE))</f>
        <v>0</v>
      </c>
      <c r="AY165" s="1761"/>
      <c r="AZ165" s="1761" t="b">
        <f>IF(OR(J165&lt;&gt;"",L165&lt;&gt;"",N165&lt;&gt;"",P165&lt;&gt;""),FALSE,IF(AND(C165&lt;&gt;"",R165=""),TRUE,FALSE))</f>
        <v>0</v>
      </c>
      <c r="BA165" s="1761"/>
      <c r="BB165" s="1761" t="b">
        <f>IF(OR(J165&lt;&gt;"",L165&lt;&gt;"",N165&lt;&gt;"",P165&lt;&gt;""),FALSE,IF(AND(C165&lt;&gt;"",T165=""),TRUE,FALSE))</f>
        <v>0</v>
      </c>
      <c r="BC165" s="1761" t="b">
        <f>IF(AND($C165&lt;&gt;"",$V165=""),TRUE,FALSE)</f>
        <v>0</v>
      </c>
      <c r="BD165" s="1761" t="b">
        <f ca="1">IF(AND(X165="",OR(Z165&lt;&gt;"",AB165&lt;&gt;"",AF165&lt;&gt;"",AH165&lt;&gt;"",AL165&lt;&gt;"",AD165&lt;&gt;"")),TRUE,FALSE)</f>
        <v>0</v>
      </c>
      <c r="BE165" s="1761" t="b">
        <f>IF(AND($C165&lt;&gt;"",$X165=""),TRUE,FALSE)</f>
        <v>0</v>
      </c>
      <c r="BF165" s="1761" t="b">
        <f>IF(Z165="",FALSE,IF(X165="",FALSE,IF(BG165=TRUE,FALSE,IF(OR(Z165&lt;BU165,Z165&gt;BaseYear),TRUE,FALSE))))</f>
        <v>0</v>
      </c>
      <c r="BG165" s="1761" t="b">
        <f>IF(AND($C165&lt;&gt;"",$Z165=""),TRUE,FALSE)</f>
        <v>0</v>
      </c>
      <c r="BH165" s="1761" t="b">
        <f>IF(AD165="",FALSE,IF(X165="",FALSE,IF(BJ165=TRUE,FALSE,IF(AB165&lt;BX165,TRUE,FALSE))))</f>
        <v>0</v>
      </c>
      <c r="BI165" s="1761" t="b">
        <f>IF(AD165="",FALSE,IF(X165="",FALSE,IF(BJ165=TRUE,FALSE,IF(AB165&gt;BY165,TRUE,FALSE))))</f>
        <v>0</v>
      </c>
      <c r="BJ165" s="1761" t="b">
        <f>IF(AND($C165&lt;&gt;"",$AB165=""),TRUE,FALSE)</f>
        <v>0</v>
      </c>
      <c r="BK165" s="1761" t="b">
        <f>IF(BL165=TRUE,FALSE,IF(OR(AF165&lt;0,AF165&gt;1),TRUE,FALSE))</f>
        <v>0</v>
      </c>
      <c r="BL165" s="1761" t="b">
        <f>IF(AND($C165&lt;&gt;"",$AF165=""),TRUE,FALSE)</f>
        <v>0</v>
      </c>
      <c r="BM165" s="1761"/>
      <c r="BN165" s="1761" t="b">
        <f ca="1">IF(AND($C165&lt;&gt;"",$AH165=""),TRUE,FALSE)</f>
        <v>0</v>
      </c>
      <c r="BO165" s="1761" t="b">
        <f>IF(AL165="",FALSE,IF(X165="",FALSE,IF(BP165=TRUE,FALSE,IF(OR(AL165&lt;1913,AL165&gt;BaseYear),TRUE,FALSE))))</f>
        <v>0</v>
      </c>
      <c r="BP165" s="1761" t="b">
        <f>IF(AND($C165&lt;&gt;"",$AL165=""),TRUE,FALSE)</f>
        <v>0</v>
      </c>
      <c r="BQ165" s="1761" t="b">
        <f>IF(AD165="Square Foot",FALSE,IF(AND(AD165="Parking Space",OR('A-20 PassFacInv'!X165=Valid!$B$7,'A-20 PassFacInv'!X165=Valid!$B$8,'A-20 PassFacInv'!X165=Valid!$B$9,'A-20 PassFacInv'!X165=Valid!$B$10,'A-20 PassFacInv'!X165=Valid!$B$12,'A-20 PassFacInv'!X165=Valid!$B$13,'A-20 PassFacInv'!X165=Valid!$B$14,'A-20 PassFacInv'!X165=Valid!$B$15,'A-20 PassFacInv'!X165=Valid!$B$16,'A-20 PassFacInv'!X165=Valid!$B$17,'A-20 PassFacInv'!X165=Valid!$B$18,X165=Valid!$B$19,X165=Valid!$B$20,X165=Valid!$B$21)),TRUE,FALSE))</f>
        <v>0</v>
      </c>
      <c r="BR165" s="1761" t="b">
        <f>IF(AND($C165&lt;&gt;"",$AD165=""),TRUE,FALSE)</f>
        <v>0</v>
      </c>
      <c r="BS165" s="721"/>
      <c r="BT165" s="1625" t="str">
        <f>IF($X165="","",VLOOKUP($X165,val_facilities,BT$3,FALSE))</f>
        <v/>
      </c>
      <c r="BU165" s="1627" t="str">
        <f>IF($X165="","",VLOOKUP($X165,val_facilities,BU$3,FALSE))</f>
        <v/>
      </c>
      <c r="BV165" s="1627" t="str">
        <f>IF($X165="","",VLOOKUP($X165,val_facilities,BV$3,FALSE))</f>
        <v/>
      </c>
      <c r="BW165" s="1627" t="str">
        <f ca="1">IFERROR(IF(Z165="", "", YEAR(TODAY())-Z165), "")</f>
        <v/>
      </c>
      <c r="BX165" s="845" t="str">
        <f>IF($X165="","",IF(AD165="Square Feet",VLOOKUP('A-20 PassFacInv'!X89,Valid!$B$7:$H$24,7,FALSE),IF(AD165="Parking Spaces",VLOOKUP(X165,Valid!$B$22:$L$24,11,FALSE))))</f>
        <v/>
      </c>
      <c r="BY165" s="845" t="str">
        <f>IF($X165="","",IF(AD165="Square Feet",VLOOKUP(X165,Valid!$B$7:$I$24,8,FALSE),IF('A-20 PassFacInv'!AD89="Parking Spaces",VLOOKUP('A-20 PassFacInv'!X89,Valid!$B$22:$M$24,12,FALSE))))</f>
        <v/>
      </c>
      <c r="BZ165" s="758"/>
      <c r="CA165" s="721">
        <f t="shared" si="3"/>
        <v>0</v>
      </c>
      <c r="CB165" s="816"/>
    </row>
    <row r="166" spans="1:80" s="1739" customFormat="1" ht="6.75" customHeight="1" thickBot="1" x14ac:dyDescent="0.25">
      <c r="A166" s="1638"/>
      <c r="B166" s="1746">
        <v>77.5</v>
      </c>
      <c r="C166" s="1057"/>
      <c r="D166" s="764"/>
      <c r="E166" s="1057"/>
      <c r="F166" s="1229"/>
      <c r="G166" s="1229"/>
      <c r="H166" s="1229"/>
      <c r="I166" s="1229"/>
      <c r="J166" s="1604"/>
      <c r="K166" s="1640"/>
      <c r="L166" s="1605"/>
      <c r="M166" s="1646"/>
      <c r="N166" s="1605"/>
      <c r="O166" s="1646"/>
      <c r="P166" s="1733"/>
      <c r="Q166" s="1646"/>
      <c r="R166" s="1660"/>
      <c r="S166" s="1640"/>
      <c r="T166" s="1660"/>
      <c r="U166" s="1640"/>
      <c r="V166" s="1057"/>
      <c r="W166" s="1618"/>
      <c r="X166" s="1747"/>
      <c r="Y166" s="1618"/>
      <c r="Z166" s="1623"/>
      <c r="AA166" s="1618"/>
      <c r="AB166" s="1944"/>
      <c r="AC166" s="1648"/>
      <c r="AD166" s="1661"/>
      <c r="AE166" s="841"/>
      <c r="AF166" s="841"/>
      <c r="AG166" s="1648"/>
      <c r="AH166" s="733"/>
      <c r="AI166" s="1648"/>
      <c r="AJ166" s="722"/>
      <c r="AK166" s="1648"/>
      <c r="AL166" s="1717"/>
      <c r="AM166" s="1648"/>
      <c r="AN166" s="1057"/>
      <c r="AO166" s="1644"/>
      <c r="AP166" s="1644"/>
      <c r="AQ166" s="1644"/>
      <c r="AR166" s="1644"/>
      <c r="AS166" s="1644"/>
      <c r="AT166" s="1761"/>
      <c r="AU166" s="1761"/>
      <c r="AV166" s="1761"/>
      <c r="AW166" s="1761"/>
      <c r="AX166" s="1761"/>
      <c r="AY166" s="1761"/>
      <c r="AZ166" s="1761"/>
      <c r="BA166" s="1761"/>
      <c r="BB166" s="1761"/>
      <c r="BC166" s="1762"/>
      <c r="BD166" s="1762"/>
      <c r="BE166" s="1762"/>
      <c r="BF166" s="1762"/>
      <c r="BG166" s="1762"/>
      <c r="BH166" s="1762"/>
      <c r="BI166" s="1762"/>
      <c r="BJ166" s="1762"/>
      <c r="BK166" s="1762"/>
      <c r="BL166" s="1762"/>
      <c r="BM166" s="1762"/>
      <c r="BN166" s="1762"/>
      <c r="BO166" s="1762"/>
      <c r="BP166" s="1762"/>
      <c r="BQ166" s="1762"/>
      <c r="BR166" s="1762"/>
      <c r="BS166" s="1736"/>
      <c r="BT166" s="1738"/>
      <c r="BU166" s="1738"/>
      <c r="BV166" s="1738"/>
      <c r="BW166" s="1738"/>
      <c r="BX166" s="1738"/>
      <c r="BY166" s="1738"/>
      <c r="BZ166" s="1229"/>
      <c r="CA166" s="721">
        <f t="shared" si="3"/>
        <v>0</v>
      </c>
      <c r="CB166" s="1748"/>
    </row>
    <row r="167" spans="1:80" s="1739" customFormat="1" x14ac:dyDescent="0.2">
      <c r="A167" s="840">
        <v>78</v>
      </c>
      <c r="B167" s="1731">
        <v>78</v>
      </c>
      <c r="C167" s="1740"/>
      <c r="D167" s="1248" t="str">
        <f>IF(C165="","",IF((C167=""),"Enter Facility "&amp;TEXT(A167,0)&amp;" Name, then Fill in Columns "&amp;TEXT($H$2,0)&amp;" - "&amp;TEXT($AL$2,0)&amp;"       ",""))</f>
        <v/>
      </c>
      <c r="E167" s="1245" t="str">
        <f ca="1">IF(AS167="N/A","",IF(AS167="N","No","Yes"))</f>
        <v/>
      </c>
      <c r="F167" s="758"/>
      <c r="G167" s="758"/>
      <c r="H167" s="1707"/>
      <c r="I167" s="758"/>
      <c r="J167" s="1653"/>
      <c r="K167" s="1248" t="str">
        <f ca="1">IF($E167&lt;&gt;"","Enter Street Address      ","")</f>
        <v/>
      </c>
      <c r="L167" s="1740"/>
      <c r="M167" s="1248" t="str">
        <f ca="1">IF($E167&lt;&gt;"","Enter City Name       ","")</f>
        <v/>
      </c>
      <c r="N167" s="1740"/>
      <c r="O167" s="1248" t="str">
        <f ca="1">IF($E167&lt;&gt;"","Select from Pull-Down List   ","")</f>
        <v/>
      </c>
      <c r="P167" s="1741"/>
      <c r="Q167" s="1248" t="str">
        <f ca="1">IF($E167&lt;&gt;"","Enter ZIP Code       ","")</f>
        <v/>
      </c>
      <c r="R167" s="1742"/>
      <c r="S167" s="1248" t="str">
        <f ca="1">IF(OR(N167&lt;&gt;"",P167&lt;&gt;"",J167&lt;&gt;"",L167&lt;&gt;""),"",IF($E167&lt;&gt;"","Enter Lat.      ",""))</f>
        <v/>
      </c>
      <c r="T167" s="1742"/>
      <c r="U167" s="1248" t="str">
        <f ca="1">IF(OR(N167&lt;&gt;"",P167&lt;&gt;"",J167&lt;&gt;"",L167&lt;&gt;""),"",IF($E167&lt;&gt;"","Enter Long.    ",""))</f>
        <v/>
      </c>
      <c r="V167" s="1653"/>
      <c r="W167" s="1618" t="str">
        <f ca="1">IF($E167&lt;&gt;"","Select from Pull-Down List  ","")</f>
        <v/>
      </c>
      <c r="X167" s="1653"/>
      <c r="Y167" s="1618" t="str">
        <f ca="1">IF($E167&lt;&gt;"","Select from Pull-Down List  ","")</f>
        <v/>
      </c>
      <c r="Z167" s="1743"/>
      <c r="AA167" s="1248" t="str">
        <f ca="1">IF(E167&lt;&gt;"","Year?   ","")</f>
        <v/>
      </c>
      <c r="AB167" s="1943"/>
      <c r="AC167" s="1620" t="str">
        <f ca="1">IF(E167="","",IF(X167="","Sq. Ft. or Spaces?   ",IF(OR(X167=Codes!$L$26,X167=Codes!$L$27,X167=Codes!$L$28),"Sq. Ft. or Spaces?   ",IF(OR(X167=Codes!$L$20,X167=Codes!$L$21,X167=Codes!$L$22,X167=Codes!$L$23,X167=Codes!$L$24,X167=Codes!$L$25),"Sq. Ft?     ",""))))</f>
        <v/>
      </c>
      <c r="AD167" s="1740"/>
      <c r="AE167" s="1618" t="str">
        <f ca="1">IF($E167&lt;&gt;"","Select from List     ","")</f>
        <v/>
      </c>
      <c r="AF167" s="1621"/>
      <c r="AG167" s="1618" t="str">
        <f ca="1">IF($E167&lt;&gt;"","% of Cap Resp.","")</f>
        <v/>
      </c>
      <c r="AH167" s="1801" t="str">
        <f ca="1">IF(BW167="", "", IF(BW167&gt;100, 1, VLOOKUP(BW167, Valid!$W$1:$AA$101, VLOOKUP(X167, Codes!$L$20:$N$28, 3, FALSE), FALSE)))</f>
        <v/>
      </c>
      <c r="AI167" s="1620" t="str">
        <f ca="1">IF($E167&lt;&gt;"","Estimated?  ","")</f>
        <v/>
      </c>
      <c r="AJ167" s="1654"/>
      <c r="AK167" s="1620" t="str">
        <f ca="1">IF($E167&lt;&gt;"","Condition?  ","")</f>
        <v/>
      </c>
      <c r="AL167" s="1730"/>
      <c r="AM167" s="1620" t="b">
        <f ca="1">IF(E167&lt;&gt;"","Est Date?    ")</f>
        <v>0</v>
      </c>
      <c r="AN167" s="1740"/>
      <c r="AO167" s="1248" t="str">
        <f>IF(X167="Other (describe in Notes)","Describe Facility.                                                                                                                        ","")</f>
        <v/>
      </c>
      <c r="AP167" s="1624"/>
      <c r="AQ167" s="1624" t="b">
        <f>IF(AND(C167="",C169&lt;&gt;""),TRUE,FALSE)</f>
        <v>0</v>
      </c>
      <c r="AR167" s="1624" t="str">
        <f>IF(AND(J167&lt;&gt;"",L167&lt;&gt;"",N167&lt;&gt;"",P167&lt;&gt;"",R167="",T167=""),"Y",IF(AND(J167="",L167="",N167="",P167="",R167&lt;&gt;"",T167&lt;&gt;""),"Y",IF(AND(J167&lt;&gt;"",L167&lt;&gt;"",N167&lt;&gt;"",P167&lt;&gt;"",R167&lt;&gt;"",T167&lt;&gt;""),"Y",IF(AND(J167="",L167="",N167="",P167="",R167="",T167=""),"N/A","N"))))</f>
        <v>N/A</v>
      </c>
      <c r="AS167" s="1624" t="str">
        <f ca="1">IF(AND($C167&lt;&gt;"",OR(AR167="N",$V167="",$X167="",$Z167="",$AB167="",$AF167="",$AH167="",$AL167="",AD167="")),"N",IF(AND($C167="",OR(H167&lt;&gt;"",AR167="N",$V167&lt;&gt;"",$X167&lt;&gt;"",$Z167&lt;&gt;"",$AB167&lt;&gt;"",$AF167&lt;&gt;"",$AH167&lt;&gt;"",$AL167&lt;&gt;"",AD167&lt;&gt;"")),"N",IF(AND(H167="",$C167="",AR167="N/A",$V167="",$X167="",$Z167="",$AB167="",$AF167="",$AH167="",$AL167="",AD167=""),"N/A",IF(AND($C167&lt;&gt;"",AR167="Y",$V167&lt;&gt;"",$X167&lt;&gt;"",$Z167&lt;&gt;"",$AB167&lt;&gt;"",$AF167&lt;&gt;"",$AH167&lt;&gt;"",$AL167&lt;&gt;"",AD167&lt;&gt;""),"Y","N"))))</f>
        <v>N/A</v>
      </c>
      <c r="AT167" s="1761" t="b">
        <f ca="1">IF(AND($C167="",OR($J167&lt;&gt;"",$L167&lt;&gt;"",$N167&lt;&gt;"",$P167&lt;&gt;"",$V167&lt;&gt;"",$X167&lt;&gt;"",$Z167&lt;&gt;"",$AB167&lt;&gt;"",$AF167&lt;&gt;"",$AH167&lt;&gt;"",$AL167&lt;&gt;"")),TRUE,FALSE)</f>
        <v>0</v>
      </c>
      <c r="AU167" s="1761" t="b">
        <f>IF(OR(R167&lt;&gt;"",T167&lt;&gt;""),"false",IF(AND($C167&lt;&gt;"",$J167=""),TRUE,FALSE))</f>
        <v>0</v>
      </c>
      <c r="AV167" s="1761" t="b">
        <f>IF(OR(R167&lt;&gt;"",T167&lt;&gt;""),FALSE,IF(AND($C167&lt;&gt;"",$L167=""),TRUE,FALSE))</f>
        <v>0</v>
      </c>
      <c r="AW167" s="1761" t="b">
        <f>IF(OR(R167&lt;&gt;"",T167&lt;&gt;""),FALSE,IF(AND($C167&lt;&gt;"",$N167=""),TRUE,FALSE))</f>
        <v>0</v>
      </c>
      <c r="AX167" s="1761" t="b">
        <f>IF(OR(R167&lt;&gt;"",T167&lt;&gt;""),FALSE,IF(AND($C167&lt;&gt;"",$P167=""),TRUE,FALSE))</f>
        <v>0</v>
      </c>
      <c r="AY167" s="1761"/>
      <c r="AZ167" s="1761" t="b">
        <f>IF(OR(J167&lt;&gt;"",L167&lt;&gt;"",N167&lt;&gt;"",P167&lt;&gt;""),FALSE,IF(AND(C167&lt;&gt;"",R167=""),TRUE,FALSE))</f>
        <v>0</v>
      </c>
      <c r="BA167" s="1761"/>
      <c r="BB167" s="1761" t="b">
        <f>IF(OR(J167&lt;&gt;"",L167&lt;&gt;"",N167&lt;&gt;"",P167&lt;&gt;""),FALSE,IF(AND(C167&lt;&gt;"",T167=""),TRUE,FALSE))</f>
        <v>0</v>
      </c>
      <c r="BC167" s="1761" t="b">
        <f>IF(AND($C167&lt;&gt;"",$V167=""),TRUE,FALSE)</f>
        <v>0</v>
      </c>
      <c r="BD167" s="1761" t="b">
        <f ca="1">IF(AND(X167="",OR(Z167&lt;&gt;"",AB167&lt;&gt;"",AF167&lt;&gt;"",AH167&lt;&gt;"",AL167&lt;&gt;"",AD167&lt;&gt;"")),TRUE,FALSE)</f>
        <v>0</v>
      </c>
      <c r="BE167" s="1761" t="b">
        <f>IF(AND($C167&lt;&gt;"",$X167=""),TRUE,FALSE)</f>
        <v>0</v>
      </c>
      <c r="BF167" s="1761" t="b">
        <f>IF(Z167="",FALSE,IF(X167="",FALSE,IF(BG167=TRUE,FALSE,IF(OR(Z167&lt;BU167,Z167&gt;BaseYear),TRUE,FALSE))))</f>
        <v>0</v>
      </c>
      <c r="BG167" s="1761" t="b">
        <f>IF(AND($C167&lt;&gt;"",$Z167=""),TRUE,FALSE)</f>
        <v>0</v>
      </c>
      <c r="BH167" s="1761" t="b">
        <f>IF(AD167="",FALSE,IF(X167="",FALSE,IF(BJ167=TRUE,FALSE,IF(AB167&lt;BX167,TRUE,FALSE))))</f>
        <v>0</v>
      </c>
      <c r="BI167" s="1761" t="b">
        <f>IF(AD167="",FALSE,IF(X167="",FALSE,IF(BJ167=TRUE,FALSE,IF(AB167&gt;BY167,TRUE,FALSE))))</f>
        <v>0</v>
      </c>
      <c r="BJ167" s="1761" t="b">
        <f>IF(AND($C167&lt;&gt;"",$AB167=""),TRUE,FALSE)</f>
        <v>0</v>
      </c>
      <c r="BK167" s="1761" t="b">
        <f>IF(BL167=TRUE,FALSE,IF(OR(AF167&lt;0,AF167&gt;1),TRUE,FALSE))</f>
        <v>0</v>
      </c>
      <c r="BL167" s="1761" t="b">
        <f>IF(AND($C167&lt;&gt;"",$AF167=""),TRUE,FALSE)</f>
        <v>0</v>
      </c>
      <c r="BM167" s="1761"/>
      <c r="BN167" s="1761" t="b">
        <f ca="1">IF(AND($C167&lt;&gt;"",$AH167=""),TRUE,FALSE)</f>
        <v>0</v>
      </c>
      <c r="BO167" s="1761" t="b">
        <f>IF(AL167="",FALSE,IF(X167="",FALSE,IF(BP167=TRUE,FALSE,IF(OR(AL167&lt;1913,AL167&gt;BaseYear),TRUE,FALSE))))</f>
        <v>0</v>
      </c>
      <c r="BP167" s="1761" t="b">
        <f>IF(AND($C167&lt;&gt;"",$AL167=""),TRUE,FALSE)</f>
        <v>0</v>
      </c>
      <c r="BQ167" s="1761" t="b">
        <f>IF(AD167="Square Foot",FALSE,IF(AND(AD167="Parking Space",OR('A-20 PassFacInv'!X167=Valid!$B$7,'A-20 PassFacInv'!X167=Valid!$B$8,'A-20 PassFacInv'!X167=Valid!$B$9,'A-20 PassFacInv'!X167=Valid!$B$10,'A-20 PassFacInv'!X167=Valid!$B$12,'A-20 PassFacInv'!X167=Valid!$B$13,'A-20 PassFacInv'!X167=Valid!$B$14,'A-20 PassFacInv'!X167=Valid!$B$15,'A-20 PassFacInv'!X167=Valid!$B$16,'A-20 PassFacInv'!X167=Valid!$B$17,'A-20 PassFacInv'!X167=Valid!$B$18,X167=Valid!$B$19,X167=Valid!$B$20,X167=Valid!$B$21)),TRUE,FALSE))</f>
        <v>0</v>
      </c>
      <c r="BR167" s="1761" t="b">
        <f>IF(AND($C167&lt;&gt;"",$AD167=""),TRUE,FALSE)</f>
        <v>0</v>
      </c>
      <c r="BS167" s="721"/>
      <c r="BT167" s="1625" t="str">
        <f>IF($X167="","",VLOOKUP($X167,val_facilities,BT$3,FALSE))</f>
        <v/>
      </c>
      <c r="BU167" s="1627" t="str">
        <f>IF($X167="","",VLOOKUP($X167,val_facilities,BU$3,FALSE))</f>
        <v/>
      </c>
      <c r="BV167" s="1627" t="str">
        <f>IF($X167="","",VLOOKUP($X167,val_facilities,BV$3,FALSE))</f>
        <v/>
      </c>
      <c r="BW167" s="1627" t="str">
        <f ca="1">IFERROR(IF(Z167="", "", YEAR(TODAY())-Z167), "")</f>
        <v/>
      </c>
      <c r="BX167" s="845" t="str">
        <f>IF($X167="","",IF(AD167="Square Feet",VLOOKUP('A-20 PassFacInv'!X90,Valid!$B$7:$H$24,7,FALSE),IF(AD167="Parking Spaces",VLOOKUP(X167,Valid!$B$22:$L$24,11,FALSE))))</f>
        <v/>
      </c>
      <c r="BY167" s="845" t="str">
        <f>IF($X167="","",IF(AD167="Square Feet",VLOOKUP(X167,Valid!$B$7:$I$24,8,FALSE),IF('A-20 PassFacInv'!AD90="Parking Spaces",VLOOKUP('A-20 PassFacInv'!X90,Valid!$B$22:$M$24,12,FALSE))))</f>
        <v/>
      </c>
      <c r="BZ167" s="758"/>
      <c r="CA167" s="721">
        <f t="shared" si="3"/>
        <v>0</v>
      </c>
      <c r="CB167" s="816"/>
    </row>
    <row r="168" spans="1:80" s="1739" customFormat="1" ht="6.75" customHeight="1" thickBot="1" x14ac:dyDescent="0.25">
      <c r="A168" s="1638"/>
      <c r="B168" s="1746">
        <v>78.5</v>
      </c>
      <c r="C168" s="1057"/>
      <c r="D168" s="1248"/>
      <c r="E168" s="1639"/>
      <c r="F168" s="1229"/>
      <c r="G168" s="1229"/>
      <c r="H168" s="1229"/>
      <c r="I168" s="1229"/>
      <c r="J168" s="1604"/>
      <c r="K168" s="1229"/>
      <c r="L168" s="1645"/>
      <c r="M168" s="1644"/>
      <c r="N168" s="1645"/>
      <c r="O168" s="1644"/>
      <c r="P168" s="1662"/>
      <c r="Q168" s="1644"/>
      <c r="R168" s="1663"/>
      <c r="S168" s="1229"/>
      <c r="T168" s="1663"/>
      <c r="U168" s="1229"/>
      <c r="V168" s="1057"/>
      <c r="W168" s="1623"/>
      <c r="X168" s="1747"/>
      <c r="Y168" s="1623"/>
      <c r="Z168" s="1623"/>
      <c r="AA168" s="1623"/>
      <c r="AB168" s="1944"/>
      <c r="AC168" s="841"/>
      <c r="AD168" s="1057"/>
      <c r="AE168" s="841"/>
      <c r="AF168" s="841"/>
      <c r="AG168" s="841"/>
      <c r="AH168" s="722"/>
      <c r="AI168" s="841"/>
      <c r="AJ168" s="722"/>
      <c r="AK168" s="841"/>
      <c r="AL168" s="1717"/>
      <c r="AM168" s="841"/>
      <c r="AN168" s="1057"/>
      <c r="AO168" s="1644"/>
      <c r="AP168" s="1644"/>
      <c r="AQ168" s="1644"/>
      <c r="AR168" s="1644"/>
      <c r="AS168" s="1644"/>
      <c r="AT168" s="1761"/>
      <c r="AU168" s="1761"/>
      <c r="AV168" s="1761"/>
      <c r="AW168" s="1761"/>
      <c r="AX168" s="1761"/>
      <c r="AY168" s="1761"/>
      <c r="AZ168" s="1761"/>
      <c r="BA168" s="1761"/>
      <c r="BB168" s="1761"/>
      <c r="BC168" s="1762"/>
      <c r="BD168" s="1762"/>
      <c r="BE168" s="1762"/>
      <c r="BF168" s="1762"/>
      <c r="BG168" s="1762"/>
      <c r="BH168" s="1762"/>
      <c r="BI168" s="1762"/>
      <c r="BJ168" s="1762"/>
      <c r="BK168" s="1762"/>
      <c r="BL168" s="1762"/>
      <c r="BM168" s="1762"/>
      <c r="BN168" s="1762"/>
      <c r="BO168" s="1762"/>
      <c r="BP168" s="1762"/>
      <c r="BQ168" s="1763"/>
      <c r="BR168" s="1762"/>
      <c r="BS168" s="1736"/>
      <c r="BT168" s="1738"/>
      <c r="BU168" s="1738"/>
      <c r="BV168" s="1738"/>
      <c r="BW168" s="1738"/>
      <c r="BX168" s="1738"/>
      <c r="BY168" s="1738"/>
      <c r="BZ168" s="1229"/>
      <c r="CA168" s="721">
        <f t="shared" si="3"/>
        <v>0</v>
      </c>
      <c r="CB168" s="1748"/>
    </row>
    <row r="169" spans="1:80" s="1739" customFormat="1" x14ac:dyDescent="0.2">
      <c r="A169" s="840">
        <v>79</v>
      </c>
      <c r="B169" s="1746">
        <v>79</v>
      </c>
      <c r="C169" s="1740"/>
      <c r="D169" s="1248" t="str">
        <f>IF(C167="","",IF((C169=""),"Enter Facility "&amp;TEXT(A169,0)&amp;" Name, then Fill in Columns "&amp;TEXT($H$2,0)&amp;" - "&amp;TEXT($AL$2,0)&amp;"       ",""))</f>
        <v/>
      </c>
      <c r="E169" s="1245" t="str">
        <f ca="1">IF(AS169="N/A","",IF(AS169="N","No","Yes"))</f>
        <v/>
      </c>
      <c r="F169" s="758"/>
      <c r="G169" s="758"/>
      <c r="H169" s="1707"/>
      <c r="I169" s="758"/>
      <c r="J169" s="1653"/>
      <c r="K169" s="1248" t="str">
        <f ca="1">IF($E169&lt;&gt;"","Enter Street Address      ","")</f>
        <v/>
      </c>
      <c r="L169" s="1740"/>
      <c r="M169" s="1248" t="str">
        <f ca="1">IF($E169&lt;&gt;"","Enter City Name       ","")</f>
        <v/>
      </c>
      <c r="N169" s="1740"/>
      <c r="O169" s="1248" t="str">
        <f ca="1">IF($E169&lt;&gt;"","Select from Pull-Down List   ","")</f>
        <v/>
      </c>
      <c r="P169" s="1741"/>
      <c r="Q169" s="1248" t="str">
        <f ca="1">IF($E169&lt;&gt;"","Enter ZIP Code       ","")</f>
        <v/>
      </c>
      <c r="R169" s="1742"/>
      <c r="S169" s="1248" t="str">
        <f ca="1">IF(OR(N169&lt;&gt;"",P169&lt;&gt;"",J169&lt;&gt;"",L169&lt;&gt;""),"",IF($E169&lt;&gt;"","Enter Lat.      ",""))</f>
        <v/>
      </c>
      <c r="T169" s="1742"/>
      <c r="U169" s="1248" t="str">
        <f ca="1">IF(OR(N169&lt;&gt;"",P169&lt;&gt;"",J169&lt;&gt;"",L169&lt;&gt;""),"",IF($E169&lt;&gt;"","Enter Long.    ",""))</f>
        <v/>
      </c>
      <c r="V169" s="1653"/>
      <c r="W169" s="1618" t="str">
        <f ca="1">IF($E169&lt;&gt;"","Select from Pull-Down List  ","")</f>
        <v/>
      </c>
      <c r="X169" s="1653"/>
      <c r="Y169" s="1618" t="str">
        <f ca="1">IF($E169&lt;&gt;"","Select from Pull-Down List  ","")</f>
        <v/>
      </c>
      <c r="Z169" s="1743"/>
      <c r="AA169" s="1248" t="str">
        <f ca="1">IF(E169&lt;&gt;"","Year?   ","")</f>
        <v/>
      </c>
      <c r="AB169" s="1943"/>
      <c r="AC169" s="1620" t="str">
        <f ca="1">IF(E169="","",IF(X169="","Sq. Ft. or Spaces?   ",IF(OR(X169=Codes!$L$26,X169=Codes!$L$27,X169=Codes!$L$28),"Sq. Ft. or Spaces?   ",IF(OR(X169=Codes!$L$20,X169=Codes!$L$21,X169=Codes!$L$22,X169=Codes!$L$23,X169=Codes!$L$24,X169=Codes!$L$25),"Sq. Ft?     ",""))))</f>
        <v/>
      </c>
      <c r="AD169" s="1740"/>
      <c r="AE169" s="1618" t="str">
        <f ca="1">IF($E169&lt;&gt;"","Select from List     ","")</f>
        <v/>
      </c>
      <c r="AF169" s="1621"/>
      <c r="AG169" s="1618" t="str">
        <f ca="1">IF($E169&lt;&gt;"","% of Cap Resp.","")</f>
        <v/>
      </c>
      <c r="AH169" s="1801" t="str">
        <f ca="1">IF(BW169="", "", IF(BW169&gt;100, 1, VLOOKUP(BW169, Valid!$W$1:$AA$101, VLOOKUP(X169, Codes!$L$20:$N$28, 3, FALSE), FALSE)))</f>
        <v/>
      </c>
      <c r="AI169" s="1620" t="str">
        <f ca="1">IF($E169&lt;&gt;"","Estimated?  ","")</f>
        <v/>
      </c>
      <c r="AJ169" s="1654"/>
      <c r="AK169" s="1620" t="str">
        <f ca="1">IF($E169&lt;&gt;"","Condition?  ","")</f>
        <v/>
      </c>
      <c r="AL169" s="1730"/>
      <c r="AM169" s="1620" t="b">
        <f ca="1">IF(E169&lt;&gt;"","Est Date?    ")</f>
        <v>0</v>
      </c>
      <c r="AN169" s="1740"/>
      <c r="AO169" s="1248" t="str">
        <f>IF(X169="Other (describe in Notes)","Describe Facility.                                                                                                                        ","")</f>
        <v/>
      </c>
      <c r="AP169" s="1624"/>
      <c r="AQ169" s="1624" t="b">
        <f>IF(AND(C169="",C171&lt;&gt;""),TRUE,FALSE)</f>
        <v>0</v>
      </c>
      <c r="AR169" s="1624" t="str">
        <f>IF(AND(J169&lt;&gt;"",L169&lt;&gt;"",N169&lt;&gt;"",P169&lt;&gt;"",R169="",T169=""),"Y",IF(AND(J169="",L169="",N169="",P169="",R169&lt;&gt;"",T169&lt;&gt;""),"Y",IF(AND(J169&lt;&gt;"",L169&lt;&gt;"",N169&lt;&gt;"",P169&lt;&gt;"",R169&lt;&gt;"",T169&lt;&gt;""),"Y",IF(AND(J169="",L169="",N169="",P169="",R169="",T169=""),"N/A","N"))))</f>
        <v>N/A</v>
      </c>
      <c r="AS169" s="1624" t="str">
        <f ca="1">IF(AND($C169&lt;&gt;"",OR(AR169="N",$V169="",$X169="",$Z169="",$AB169="",$AF169="",$AH169="",$AL169="",AD169="")),"N",IF(AND($C169="",OR(H169&lt;&gt;"",AR169="N",$V169&lt;&gt;"",$X169&lt;&gt;"",$Z169&lt;&gt;"",$AB169&lt;&gt;"",$AF169&lt;&gt;"",$AH169&lt;&gt;"",$AL169&lt;&gt;"",AD169&lt;&gt;"")),"N",IF(AND(H169="",$C169="",AR169="N/A",$V169="",$X169="",$Z169="",$AB169="",$AF169="",$AH169="",$AL169="",AD169=""),"N/A",IF(AND($C169&lt;&gt;"",AR169="Y",$V169&lt;&gt;"",$X169&lt;&gt;"",$Z169&lt;&gt;"",$AB169&lt;&gt;"",$AF169&lt;&gt;"",$AH169&lt;&gt;"",$AL169&lt;&gt;"",AD169&lt;&gt;""),"Y","N"))))</f>
        <v>N/A</v>
      </c>
      <c r="AT169" s="1761" t="b">
        <f ca="1">IF(AND($C169="",OR($J169&lt;&gt;"",$L169&lt;&gt;"",$N169&lt;&gt;"",$P169&lt;&gt;"",$V169&lt;&gt;"",$X169&lt;&gt;"",$Z169&lt;&gt;"",$AB169&lt;&gt;"",$AF169&lt;&gt;"",$AH169&lt;&gt;"",$AL169&lt;&gt;"")),TRUE,FALSE)</f>
        <v>0</v>
      </c>
      <c r="AU169" s="1761" t="b">
        <f>IF(OR(R169&lt;&gt;"",T169&lt;&gt;""),"false",IF(AND($C169&lt;&gt;"",$J169=""),TRUE,FALSE))</f>
        <v>0</v>
      </c>
      <c r="AV169" s="1761" t="b">
        <f>IF(OR(R169&lt;&gt;"",T169&lt;&gt;""),FALSE,IF(AND($C169&lt;&gt;"",$L169=""),TRUE,FALSE))</f>
        <v>0</v>
      </c>
      <c r="AW169" s="1761" t="b">
        <f>IF(OR(R169&lt;&gt;"",T169&lt;&gt;""),FALSE,IF(AND($C169&lt;&gt;"",$N169=""),TRUE,FALSE))</f>
        <v>0</v>
      </c>
      <c r="AX169" s="1761" t="b">
        <f>IF(OR(R169&lt;&gt;"",T169&lt;&gt;""),FALSE,IF(AND($C169&lt;&gt;"",$P169=""),TRUE,FALSE))</f>
        <v>0</v>
      </c>
      <c r="AY169" s="1761"/>
      <c r="AZ169" s="1761" t="b">
        <f>IF(OR(J169&lt;&gt;"",L169&lt;&gt;"",N169&lt;&gt;"",P169&lt;&gt;""),FALSE,IF(AND(C169&lt;&gt;"",R169=""),TRUE,FALSE))</f>
        <v>0</v>
      </c>
      <c r="BA169" s="1761"/>
      <c r="BB169" s="1761" t="b">
        <f>IF(OR(J169&lt;&gt;"",L169&lt;&gt;"",N169&lt;&gt;"",P169&lt;&gt;""),FALSE,IF(AND(C169&lt;&gt;"",T169=""),TRUE,FALSE))</f>
        <v>0</v>
      </c>
      <c r="BC169" s="1761" t="b">
        <f>IF(AND($C169&lt;&gt;"",$V169=""),TRUE,FALSE)</f>
        <v>0</v>
      </c>
      <c r="BD169" s="1761" t="b">
        <f ca="1">IF(AND(X169="",OR(Z169&lt;&gt;"",AB169&lt;&gt;"",AF169&lt;&gt;"",AH169&lt;&gt;"",AL169&lt;&gt;"",AD169&lt;&gt;"")),TRUE,FALSE)</f>
        <v>0</v>
      </c>
      <c r="BE169" s="1761" t="b">
        <f>IF(AND($C169&lt;&gt;"",$X169=""),TRUE,FALSE)</f>
        <v>0</v>
      </c>
      <c r="BF169" s="1761" t="b">
        <f>IF(Z169="",FALSE,IF(X169="",FALSE,IF(BG169=TRUE,FALSE,IF(OR(Z169&lt;BU169,Z169&gt;BaseYear),TRUE,FALSE))))</f>
        <v>0</v>
      </c>
      <c r="BG169" s="1761" t="b">
        <f>IF(AND($C169&lt;&gt;"",$Z169=""),TRUE,FALSE)</f>
        <v>0</v>
      </c>
      <c r="BH169" s="1761" t="b">
        <f>IF(AD169="",FALSE,IF(X169="",FALSE,IF(BJ169=TRUE,FALSE,IF(AB169&lt;BX169,TRUE,FALSE))))</f>
        <v>0</v>
      </c>
      <c r="BI169" s="1761" t="b">
        <f>IF(AD169="",FALSE,IF(X169="",FALSE,IF(BJ169=TRUE,FALSE,IF(AB169&gt;BY169,TRUE,FALSE))))</f>
        <v>0</v>
      </c>
      <c r="BJ169" s="1761" t="b">
        <f>IF(AND($C169&lt;&gt;"",$AB169=""),TRUE,FALSE)</f>
        <v>0</v>
      </c>
      <c r="BK169" s="1761" t="b">
        <f>IF(BL169=TRUE,FALSE,IF(OR(AF169&lt;0,AF169&gt;1),TRUE,FALSE))</f>
        <v>0</v>
      </c>
      <c r="BL169" s="1761" t="b">
        <f>IF(AND($C169&lt;&gt;"",$AF169=""),TRUE,FALSE)</f>
        <v>0</v>
      </c>
      <c r="BM169" s="1761"/>
      <c r="BN169" s="1761" t="b">
        <f ca="1">IF(AND($C169&lt;&gt;"",$AH169=""),TRUE,FALSE)</f>
        <v>0</v>
      </c>
      <c r="BO169" s="1761" t="b">
        <f>IF(AL169="",FALSE,IF(X169="",FALSE,IF(BP169=TRUE,FALSE,IF(OR(AL169&lt;1913,AL169&gt;BaseYear),TRUE,FALSE))))</f>
        <v>0</v>
      </c>
      <c r="BP169" s="1761" t="b">
        <f>IF(AND($C169&lt;&gt;"",$AL169=""),TRUE,FALSE)</f>
        <v>0</v>
      </c>
      <c r="BQ169" s="1761" t="b">
        <f>IF(AD169="Square Foot",FALSE,IF(AND(AD169="Parking Space",OR('A-20 PassFacInv'!X169=Valid!$B$7,'A-20 PassFacInv'!X169=Valid!$B$8,'A-20 PassFacInv'!X169=Valid!$B$9,'A-20 PassFacInv'!X169=Valid!$B$10,'A-20 PassFacInv'!X169=Valid!$B$12,'A-20 PassFacInv'!X169=Valid!$B$13,'A-20 PassFacInv'!X169=Valid!$B$14,'A-20 PassFacInv'!X169=Valid!$B$15,'A-20 PassFacInv'!X169=Valid!$B$16,'A-20 PassFacInv'!X169=Valid!$B$17,'A-20 PassFacInv'!X169=Valid!$B$18,X169=Valid!$B$19,X169=Valid!$B$20,X169=Valid!$B$21)),TRUE,FALSE))</f>
        <v>0</v>
      </c>
      <c r="BR169" s="1761" t="b">
        <f>IF(AND($C169&lt;&gt;"",$AD169=""),TRUE,FALSE)</f>
        <v>0</v>
      </c>
      <c r="BS169" s="721"/>
      <c r="BT169" s="1625" t="str">
        <f>IF($X169="","",VLOOKUP($X169,val_facilities,BT$3,FALSE))</f>
        <v/>
      </c>
      <c r="BU169" s="1627" t="str">
        <f>IF($X169="","",VLOOKUP($X169,val_facilities,BU$3,FALSE))</f>
        <v/>
      </c>
      <c r="BV169" s="1627" t="str">
        <f>IF($X169="","",VLOOKUP($X169,val_facilities,BV$3,FALSE))</f>
        <v/>
      </c>
      <c r="BW169" s="1627" t="str">
        <f ca="1">IFERROR(IF(Z169="", "", YEAR(TODAY())-Z169), "")</f>
        <v/>
      </c>
      <c r="BX169" s="845" t="str">
        <f>IF($X169="","",IF(AD169="Square Feet",VLOOKUP('A-20 PassFacInv'!X91,Valid!$B$7:$H$24,7,FALSE),IF(AD169="Parking Spaces",VLOOKUP(X169,Valid!$B$22:$L$24,11,FALSE))))</f>
        <v/>
      </c>
      <c r="BY169" s="845" t="str">
        <f>IF($X169="","",IF(AD169="Square Feet",VLOOKUP(X169,Valid!$B$7:$I$24,8,FALSE),IF('A-20 PassFacInv'!AD91="Parking Spaces",VLOOKUP('A-20 PassFacInv'!X91,Valid!$B$22:$M$24,12,FALSE))))</f>
        <v/>
      </c>
      <c r="BZ169" s="758"/>
      <c r="CA169" s="721">
        <f t="shared" si="3"/>
        <v>0</v>
      </c>
      <c r="CB169" s="816"/>
    </row>
    <row r="170" spans="1:80" s="1739" customFormat="1" ht="6.75" customHeight="1" thickBot="1" x14ac:dyDescent="0.25">
      <c r="A170" s="1638"/>
      <c r="B170" s="1746">
        <v>79.5</v>
      </c>
      <c r="C170" s="1057"/>
      <c r="D170" s="1248"/>
      <c r="E170" s="1057"/>
      <c r="F170" s="1229"/>
      <c r="G170" s="1229"/>
      <c r="H170" s="1229"/>
      <c r="I170" s="1229"/>
      <c r="J170" s="1604"/>
      <c r="K170" s="1640"/>
      <c r="L170" s="1641"/>
      <c r="M170" s="1248"/>
      <c r="N170" s="1641"/>
      <c r="O170" s="1248"/>
      <c r="P170" s="1659"/>
      <c r="Q170" s="1248"/>
      <c r="R170" s="1660"/>
      <c r="S170" s="1640"/>
      <c r="T170" s="1660"/>
      <c r="U170" s="1640"/>
      <c r="V170" s="1057"/>
      <c r="W170" s="1618"/>
      <c r="X170" s="1747"/>
      <c r="Y170" s="1618"/>
      <c r="Z170" s="1623"/>
      <c r="AA170" s="1618"/>
      <c r="AB170" s="1944"/>
      <c r="AC170" s="1275"/>
      <c r="AD170" s="1661"/>
      <c r="AE170" s="734"/>
      <c r="AF170" s="1736"/>
      <c r="AG170" s="1275"/>
      <c r="AH170" s="722"/>
      <c r="AI170" s="1275"/>
      <c r="AJ170" s="733"/>
      <c r="AK170" s="1275"/>
      <c r="AL170" s="1721"/>
      <c r="AM170" s="1275"/>
      <c r="AN170" s="1057"/>
      <c r="AO170" s="1644"/>
      <c r="AP170" s="1644"/>
      <c r="AQ170" s="1644"/>
      <c r="AR170" s="1644"/>
      <c r="AS170" s="1644"/>
      <c r="AT170" s="1761"/>
      <c r="AU170" s="1761"/>
      <c r="AV170" s="1761"/>
      <c r="AW170" s="1761"/>
      <c r="AX170" s="1761"/>
      <c r="AY170" s="1761"/>
      <c r="AZ170" s="1761"/>
      <c r="BA170" s="1761"/>
      <c r="BB170" s="1761"/>
      <c r="BC170" s="1762"/>
      <c r="BD170" s="1762"/>
      <c r="BE170" s="1762"/>
      <c r="BF170" s="1762"/>
      <c r="BG170" s="1762"/>
      <c r="BH170" s="1762"/>
      <c r="BI170" s="1762"/>
      <c r="BJ170" s="1762"/>
      <c r="BK170" s="1762"/>
      <c r="BL170" s="1762"/>
      <c r="BM170" s="1762"/>
      <c r="BN170" s="1762"/>
      <c r="BO170" s="1762"/>
      <c r="BP170" s="1762"/>
      <c r="BQ170" s="1762"/>
      <c r="BR170" s="1762"/>
      <c r="BS170" s="1736"/>
      <c r="BT170" s="1738"/>
      <c r="BU170" s="1738"/>
      <c r="BV170" s="1738"/>
      <c r="BW170" s="1738"/>
      <c r="BX170" s="1738"/>
      <c r="BY170" s="1738"/>
      <c r="BZ170" s="1229"/>
      <c r="CA170" s="721">
        <f t="shared" si="3"/>
        <v>0</v>
      </c>
      <c r="CB170" s="1748"/>
    </row>
    <row r="171" spans="1:80" s="1739" customFormat="1" x14ac:dyDescent="0.2">
      <c r="A171" s="840">
        <v>80</v>
      </c>
      <c r="B171" s="1746">
        <v>80</v>
      </c>
      <c r="C171" s="1740"/>
      <c r="D171" s="1248" t="str">
        <f>IF(C169="","",IF((C171=""),"Enter Facility "&amp;TEXT(A171,0)&amp;" Name, then Fill in Columns "&amp;TEXT($H$2,0)&amp;" - "&amp;TEXT($AL$2,0)&amp;"       ",""))</f>
        <v/>
      </c>
      <c r="E171" s="1245" t="str">
        <f ca="1">IF(AS171="N/A","",IF(AS171="N","No","Yes"))</f>
        <v/>
      </c>
      <c r="F171" s="758"/>
      <c r="G171" s="758"/>
      <c r="H171" s="1707"/>
      <c r="I171" s="758"/>
      <c r="J171" s="1653"/>
      <c r="K171" s="1248" t="str">
        <f ca="1">IF($E171&lt;&gt;"","Enter Street Address      ","")</f>
        <v/>
      </c>
      <c r="L171" s="1740"/>
      <c r="M171" s="1248" t="str">
        <f ca="1">IF($E171&lt;&gt;"","Enter City Name       ","")</f>
        <v/>
      </c>
      <c r="N171" s="1740"/>
      <c r="O171" s="1248" t="str">
        <f ca="1">IF($E171&lt;&gt;"","Select from Pull-Down List   ","")</f>
        <v/>
      </c>
      <c r="P171" s="1741"/>
      <c r="Q171" s="1248" t="str">
        <f ca="1">IF($E171&lt;&gt;"","Enter ZIP Code       ","")</f>
        <v/>
      </c>
      <c r="R171" s="1742"/>
      <c r="S171" s="1248" t="str">
        <f ca="1">IF(OR(N171&lt;&gt;"",P171&lt;&gt;"",J171&lt;&gt;"",L171&lt;&gt;""),"",IF($E171&lt;&gt;"","Enter Lat.      ",""))</f>
        <v/>
      </c>
      <c r="T171" s="1742"/>
      <c r="U171" s="1248" t="str">
        <f ca="1">IF(OR(N171&lt;&gt;"",P171&lt;&gt;"",J171&lt;&gt;"",L171&lt;&gt;""),"",IF($E171&lt;&gt;"","Enter Long.    ",""))</f>
        <v/>
      </c>
      <c r="V171" s="1653"/>
      <c r="W171" s="1618" t="str">
        <f ca="1">IF($E171&lt;&gt;"","Select from Pull-Down List  ","")</f>
        <v/>
      </c>
      <c r="X171" s="1653"/>
      <c r="Y171" s="1618" t="str">
        <f ca="1">IF($E171&lt;&gt;"","Select from Pull-Down List  ","")</f>
        <v/>
      </c>
      <c r="Z171" s="1743"/>
      <c r="AA171" s="1248" t="str">
        <f ca="1">IF(E171&lt;&gt;"","Year?   ","")</f>
        <v/>
      </c>
      <c r="AB171" s="1943"/>
      <c r="AC171" s="1620" t="str">
        <f ca="1">IF(E171="","",IF(X171="","Sq. Ft. or Spaces?   ",IF(OR(X171=Codes!$L$26,X171=Codes!$L$27,X171=Codes!$L$28),"Sq. Ft. or Spaces?   ",IF(OR(X171=Codes!$L$20,X171=Codes!$L$21,X171=Codes!$L$22,X171=Codes!$L$23,X171=Codes!$L$24,X171=Codes!$L$25),"Sq. Ft?     ",""))))</f>
        <v/>
      </c>
      <c r="AD171" s="1740"/>
      <c r="AE171" s="1618" t="str">
        <f ca="1">IF($E171&lt;&gt;"","Select from List     ","")</f>
        <v/>
      </c>
      <c r="AF171" s="1621"/>
      <c r="AG171" s="1618" t="str">
        <f ca="1">IF($E171&lt;&gt;"","% of Cap Resp.","")</f>
        <v/>
      </c>
      <c r="AH171" s="1801" t="str">
        <f ca="1">IF(BW171="", "", IF(BW171&gt;100, 1, VLOOKUP(BW171, Valid!$W$1:$AA$101, VLOOKUP(X171, Codes!$L$20:$N$28, 3, FALSE), FALSE)))</f>
        <v/>
      </c>
      <c r="AI171" s="1620" t="str">
        <f ca="1">IF($E171&lt;&gt;"","Estimated?  ","")</f>
        <v/>
      </c>
      <c r="AJ171" s="1654"/>
      <c r="AK171" s="1620" t="str">
        <f ca="1">IF($E171&lt;&gt;"","Condition?  ","")</f>
        <v/>
      </c>
      <c r="AL171" s="1730"/>
      <c r="AM171" s="1620" t="b">
        <f ca="1">IF(E171&lt;&gt;"","Est Date?    ")</f>
        <v>0</v>
      </c>
      <c r="AN171" s="1740"/>
      <c r="AO171" s="1248" t="str">
        <f>IF(X171="Other (describe in Notes)","Describe Facility.                                                                                                                        ","")</f>
        <v/>
      </c>
      <c r="AP171" s="1624"/>
      <c r="AQ171" s="1624" t="b">
        <f>IF(AND(C171="",C173&lt;&gt;""),TRUE,FALSE)</f>
        <v>0</v>
      </c>
      <c r="AR171" s="1624" t="str">
        <f>IF(AND(J171&lt;&gt;"",L171&lt;&gt;"",N171&lt;&gt;"",P171&lt;&gt;"",R171="",T171=""),"Y",IF(AND(J171="",L171="",N171="",P171="",R171&lt;&gt;"",T171&lt;&gt;""),"Y",IF(AND(J171&lt;&gt;"",L171&lt;&gt;"",N171&lt;&gt;"",P171&lt;&gt;"",R171&lt;&gt;"",T171&lt;&gt;""),"Y",IF(AND(J171="",L171="",N171="",P171="",R171="",T171=""),"N/A","N"))))</f>
        <v>N/A</v>
      </c>
      <c r="AS171" s="1624" t="str">
        <f ca="1">IF(AND($C171&lt;&gt;"",OR(AR171="N",$V171="",$X171="",$Z171="",$AB171="",$AF171="",$AH171="",$AL171="",AD171="")),"N",IF(AND($C171="",OR(H171&lt;&gt;"",AR171="N",$V171&lt;&gt;"",$X171&lt;&gt;"",$Z171&lt;&gt;"",$AB171&lt;&gt;"",$AF171&lt;&gt;"",$AH171&lt;&gt;"",$AL171&lt;&gt;"",AD171&lt;&gt;"")),"N",IF(AND(H171="",$C171="",AR171="N/A",$V171="",$X171="",$Z171="",$AB171="",$AF171="",$AH171="",$AL171="",AD171=""),"N/A",IF(AND($C171&lt;&gt;"",AR171="Y",$V171&lt;&gt;"",$X171&lt;&gt;"",$Z171&lt;&gt;"",$AB171&lt;&gt;"",$AF171&lt;&gt;"",$AH171&lt;&gt;"",$AL171&lt;&gt;"",AD171&lt;&gt;""),"Y","N"))))</f>
        <v>N/A</v>
      </c>
      <c r="AT171" s="1761" t="b">
        <f ca="1">IF(AND($C171="",OR($J171&lt;&gt;"",$L171&lt;&gt;"",$N171&lt;&gt;"",$P171&lt;&gt;"",$V171&lt;&gt;"",$X171&lt;&gt;"",$Z171&lt;&gt;"",$AB171&lt;&gt;"",$AF171&lt;&gt;"",$AH171&lt;&gt;"",$AL171&lt;&gt;"")),TRUE,FALSE)</f>
        <v>0</v>
      </c>
      <c r="AU171" s="1761" t="b">
        <f>IF(OR(R171&lt;&gt;"",T171&lt;&gt;""),"false",IF(AND($C171&lt;&gt;"",$J171=""),TRUE,FALSE))</f>
        <v>0</v>
      </c>
      <c r="AV171" s="1761" t="b">
        <f>IF(OR(R171&lt;&gt;"",T171&lt;&gt;""),FALSE,IF(AND($C171&lt;&gt;"",$L171=""),TRUE,FALSE))</f>
        <v>0</v>
      </c>
      <c r="AW171" s="1761" t="b">
        <f>IF(OR(R171&lt;&gt;"",T171&lt;&gt;""),FALSE,IF(AND($C171&lt;&gt;"",$N171=""),TRUE,FALSE))</f>
        <v>0</v>
      </c>
      <c r="AX171" s="1761" t="b">
        <f>IF(OR(R171&lt;&gt;"",T171&lt;&gt;""),FALSE,IF(AND($C171&lt;&gt;"",$P171=""),TRUE,FALSE))</f>
        <v>0</v>
      </c>
      <c r="AY171" s="1761"/>
      <c r="AZ171" s="1761" t="b">
        <f>IF(OR(J171&lt;&gt;"",L171&lt;&gt;"",N171&lt;&gt;"",P171&lt;&gt;""),FALSE,IF(AND(C171&lt;&gt;"",R171=""),TRUE,FALSE))</f>
        <v>0</v>
      </c>
      <c r="BA171" s="1761"/>
      <c r="BB171" s="1761" t="b">
        <f>IF(OR(J171&lt;&gt;"",L171&lt;&gt;"",N171&lt;&gt;"",P171&lt;&gt;""),FALSE,IF(AND(C171&lt;&gt;"",T171=""),TRUE,FALSE))</f>
        <v>0</v>
      </c>
      <c r="BC171" s="1761" t="b">
        <f>IF(AND($C171&lt;&gt;"",$V171=""),TRUE,FALSE)</f>
        <v>0</v>
      </c>
      <c r="BD171" s="1761" t="b">
        <f ca="1">IF(AND(X171="",OR(Z171&lt;&gt;"",AB171&lt;&gt;"",AF171&lt;&gt;"",AH171&lt;&gt;"",AL171&lt;&gt;"",AD171&lt;&gt;"")),TRUE,FALSE)</f>
        <v>0</v>
      </c>
      <c r="BE171" s="1761" t="b">
        <f>IF(AND($C171&lt;&gt;"",$X171=""),TRUE,FALSE)</f>
        <v>0</v>
      </c>
      <c r="BF171" s="1761" t="b">
        <f>IF(Z171="",FALSE,IF(X171="",FALSE,IF(BG171=TRUE,FALSE,IF(OR(Z171&lt;BU171,Z171&gt;BaseYear),TRUE,FALSE))))</f>
        <v>0</v>
      </c>
      <c r="BG171" s="1761" t="b">
        <f>IF(AND($C171&lt;&gt;"",$Z171=""),TRUE,FALSE)</f>
        <v>0</v>
      </c>
      <c r="BH171" s="1761" t="b">
        <f>IF(AD171="",FALSE,IF(X171="",FALSE,IF(BJ171=TRUE,FALSE,IF(AB171&lt;BX171,TRUE,FALSE))))</f>
        <v>0</v>
      </c>
      <c r="BI171" s="1761" t="b">
        <f>IF(AD171="",FALSE,IF(X171="",FALSE,IF(BJ171=TRUE,FALSE,IF(AB171&gt;BY171,TRUE,FALSE))))</f>
        <v>0</v>
      </c>
      <c r="BJ171" s="1761" t="b">
        <f>IF(AND($C171&lt;&gt;"",$AB171=""),TRUE,FALSE)</f>
        <v>0</v>
      </c>
      <c r="BK171" s="1761" t="b">
        <f>IF(BL171=TRUE,FALSE,IF(OR(AF171&lt;0,AF171&gt;1),TRUE,FALSE))</f>
        <v>0</v>
      </c>
      <c r="BL171" s="1761" t="b">
        <f>IF(AND($C171&lt;&gt;"",$AF171=""),TRUE,FALSE)</f>
        <v>0</v>
      </c>
      <c r="BM171" s="1761"/>
      <c r="BN171" s="1761" t="b">
        <f ca="1">IF(AND($C171&lt;&gt;"",$AH171=""),TRUE,FALSE)</f>
        <v>0</v>
      </c>
      <c r="BO171" s="1761" t="b">
        <f>IF(AL171="",FALSE,IF(X171="",FALSE,IF(BP171=TRUE,FALSE,IF(OR(AL171&lt;1913,AL171&gt;BaseYear),TRUE,FALSE))))</f>
        <v>0</v>
      </c>
      <c r="BP171" s="1761" t="b">
        <f>IF(AND($C171&lt;&gt;"",$AL171=""),TRUE,FALSE)</f>
        <v>0</v>
      </c>
      <c r="BQ171" s="1761" t="b">
        <f>IF(AD171="Square Foot",FALSE,IF(AND(AD171="Parking Space",OR('A-20 PassFacInv'!X171=Valid!$B$7,'A-20 PassFacInv'!X171=Valid!$B$8,'A-20 PassFacInv'!X171=Valid!$B$9,'A-20 PassFacInv'!X171=Valid!$B$10,'A-20 PassFacInv'!X171=Valid!$B$12,'A-20 PassFacInv'!X171=Valid!$B$13,'A-20 PassFacInv'!X171=Valid!$B$14,'A-20 PassFacInv'!X171=Valid!$B$15,'A-20 PassFacInv'!X171=Valid!$B$16,'A-20 PassFacInv'!X171=Valid!$B$17,'A-20 PassFacInv'!X171=Valid!$B$18,X171=Valid!$B$19,X171=Valid!$B$20,X171=Valid!$B$21)),TRUE,FALSE))</f>
        <v>0</v>
      </c>
      <c r="BR171" s="1761" t="b">
        <f>IF(AND($C171&lt;&gt;"",$AD171=""),TRUE,FALSE)</f>
        <v>0</v>
      </c>
      <c r="BS171" s="721"/>
      <c r="BT171" s="1625" t="str">
        <f>IF($X171="","",VLOOKUP($X171,val_facilities,BT$3,FALSE))</f>
        <v/>
      </c>
      <c r="BU171" s="1627" t="str">
        <f>IF($X171="","",VLOOKUP($X171,val_facilities,BU$3,FALSE))</f>
        <v/>
      </c>
      <c r="BV171" s="1627" t="str">
        <f>IF($X171="","",VLOOKUP($X171,val_facilities,BV$3,FALSE))</f>
        <v/>
      </c>
      <c r="BW171" s="1627" t="str">
        <f ca="1">IFERROR(IF(Z171="", "", YEAR(TODAY())-Z171), "")</f>
        <v/>
      </c>
      <c r="BX171" s="845" t="str">
        <f>IF($X171="","",IF(AD171="Square Feet",VLOOKUP('A-20 PassFacInv'!X92,Valid!$B$7:$H$24,7,FALSE),IF(AD171="Parking Spaces",VLOOKUP(X171,Valid!$B$22:$L$24,11,FALSE))))</f>
        <v/>
      </c>
      <c r="BY171" s="845" t="str">
        <f>IF($X171="","",IF(AD171="Square Feet",VLOOKUP(X171,Valid!$B$7:$I$24,8,FALSE),IF('A-20 PassFacInv'!AD92="Parking Spaces",VLOOKUP('A-20 PassFacInv'!X92,Valid!$B$22:$M$24,12,FALSE))))</f>
        <v/>
      </c>
      <c r="BZ171" s="758"/>
      <c r="CA171" s="721">
        <f t="shared" si="3"/>
        <v>0</v>
      </c>
      <c r="CB171" s="816"/>
    </row>
    <row r="172" spans="1:80" s="1739" customFormat="1" ht="6.75" customHeight="1" thickBot="1" x14ac:dyDescent="0.25">
      <c r="A172" s="1638"/>
      <c r="B172" s="1746">
        <v>80.5</v>
      </c>
      <c r="C172" s="1057"/>
      <c r="D172" s="1248"/>
      <c r="E172" s="1639"/>
      <c r="F172" s="1229"/>
      <c r="G172" s="1229"/>
      <c r="H172" s="1229"/>
      <c r="I172" s="1229"/>
      <c r="J172" s="1604"/>
      <c r="K172" s="1229"/>
      <c r="L172" s="1645"/>
      <c r="M172" s="1644"/>
      <c r="N172" s="1645"/>
      <c r="O172" s="1644"/>
      <c r="P172" s="1662"/>
      <c r="Q172" s="1644"/>
      <c r="R172" s="1663"/>
      <c r="S172" s="1229"/>
      <c r="T172" s="1663"/>
      <c r="U172" s="1229"/>
      <c r="V172" s="1057"/>
      <c r="W172" s="1623"/>
      <c r="X172" s="1747"/>
      <c r="Y172" s="1623"/>
      <c r="Z172" s="1623"/>
      <c r="AA172" s="1623"/>
      <c r="AB172" s="1944"/>
      <c r="AC172" s="841"/>
      <c r="AD172" s="1057"/>
      <c r="AE172" s="841"/>
      <c r="AF172" s="841"/>
      <c r="AG172" s="841"/>
      <c r="AH172" s="733"/>
      <c r="AI172" s="841"/>
      <c r="AJ172" s="722"/>
      <c r="AK172" s="841"/>
      <c r="AL172" s="1717"/>
      <c r="AM172" s="841"/>
      <c r="AN172" s="1057"/>
      <c r="AO172" s="1644"/>
      <c r="AP172" s="1644"/>
      <c r="AQ172" s="1644"/>
      <c r="AR172" s="1644"/>
      <c r="AS172" s="1644"/>
      <c r="AT172" s="1761"/>
      <c r="AU172" s="1761"/>
      <c r="AV172" s="1761"/>
      <c r="AW172" s="1761"/>
      <c r="AX172" s="1761"/>
      <c r="AY172" s="1761"/>
      <c r="AZ172" s="1761"/>
      <c r="BA172" s="1761"/>
      <c r="BB172" s="1761"/>
      <c r="BC172" s="1762"/>
      <c r="BD172" s="1762"/>
      <c r="BE172" s="1762"/>
      <c r="BF172" s="1762"/>
      <c r="BG172" s="1762"/>
      <c r="BH172" s="1762"/>
      <c r="BI172" s="1762"/>
      <c r="BJ172" s="1762"/>
      <c r="BK172" s="1762"/>
      <c r="BL172" s="1762"/>
      <c r="BM172" s="1762"/>
      <c r="BN172" s="1762"/>
      <c r="BO172" s="1762"/>
      <c r="BP172" s="1762"/>
      <c r="BQ172" s="1763"/>
      <c r="BR172" s="1762"/>
      <c r="BS172" s="1736"/>
      <c r="BT172" s="1738"/>
      <c r="BU172" s="1738"/>
      <c r="BV172" s="1738"/>
      <c r="BW172" s="1738"/>
      <c r="BX172" s="1738"/>
      <c r="BY172" s="1738"/>
      <c r="BZ172" s="1229"/>
      <c r="CA172" s="721">
        <f t="shared" si="3"/>
        <v>0</v>
      </c>
      <c r="CB172" s="1748"/>
    </row>
    <row r="173" spans="1:80" s="1739" customFormat="1" x14ac:dyDescent="0.2">
      <c r="A173" s="840">
        <v>81</v>
      </c>
      <c r="B173" s="1731">
        <v>81</v>
      </c>
      <c r="C173" s="1740"/>
      <c r="D173" s="1248" t="str">
        <f>IF(C171="","",IF((C173=""),"Enter Facility "&amp;TEXT(A173,0)&amp;" Name, then Fill in Columns "&amp;TEXT($H$2,0)&amp;" - "&amp;TEXT($AL$2,0)&amp;"       ",""))</f>
        <v/>
      </c>
      <c r="E173" s="1245" t="str">
        <f ca="1">IF(AS173="N/A","",IF(AS173="N","No","Yes"))</f>
        <v/>
      </c>
      <c r="F173" s="758"/>
      <c r="G173" s="758"/>
      <c r="H173" s="1707"/>
      <c r="I173" s="758"/>
      <c r="J173" s="1653"/>
      <c r="K173" s="1248"/>
      <c r="L173" s="1740"/>
      <c r="M173" s="1248"/>
      <c r="N173" s="1740"/>
      <c r="O173" s="1248"/>
      <c r="P173" s="1741"/>
      <c r="Q173" s="1248"/>
      <c r="R173" s="1742"/>
      <c r="S173" s="1248"/>
      <c r="T173" s="1742"/>
      <c r="U173" s="1248"/>
      <c r="V173" s="1653"/>
      <c r="W173" s="1618"/>
      <c r="X173" s="1653"/>
      <c r="Y173" s="1618"/>
      <c r="Z173" s="1743"/>
      <c r="AA173" s="1248"/>
      <c r="AB173" s="1943"/>
      <c r="AC173" s="1620"/>
      <c r="AD173" s="1740"/>
      <c r="AE173" s="1618"/>
      <c r="AF173" s="1621"/>
      <c r="AG173" s="1618" t="str">
        <f ca="1">IF($E173&lt;&gt;"","% of Cap Resp.","")</f>
        <v/>
      </c>
      <c r="AH173" s="1801" t="str">
        <f ca="1">IF(BW173="", "", IF(BW173&gt;100, 1, VLOOKUP(BW173, Valid!$W$1:$AA$101, VLOOKUP(X173, Codes!$L$20:$N$28, 3, FALSE), FALSE)))</f>
        <v/>
      </c>
      <c r="AI173" s="1620" t="str">
        <f ca="1">IF($E173&lt;&gt;"","Estimated?  ","")</f>
        <v/>
      </c>
      <c r="AJ173" s="1654"/>
      <c r="AK173" s="1620"/>
      <c r="AL173" s="1730"/>
      <c r="AM173" s="1620" t="b">
        <f ca="1">IF(E173&lt;&gt;"","Est Date?    ")</f>
        <v>0</v>
      </c>
      <c r="AN173" s="1740"/>
      <c r="AO173" s="1248" t="str">
        <f>IF(X173="Other (describe in Notes)","Describe Facility.                                                                                                                        ","")</f>
        <v/>
      </c>
      <c r="AP173" s="1624"/>
      <c r="AQ173" s="1624" t="b">
        <f>IF(AND(C173="",C175&lt;&gt;""),TRUE,FALSE)</f>
        <v>0</v>
      </c>
      <c r="AR173" s="1624" t="str">
        <f>IF(AND(J173&lt;&gt;"",L173&lt;&gt;"",N173&lt;&gt;"",P173&lt;&gt;"",R173="",T173=""),"Y",IF(AND(J173="",L173="",N173="",P173="",R173&lt;&gt;"",T173&lt;&gt;""),"Y",IF(AND(J173&lt;&gt;"",L173&lt;&gt;"",N173&lt;&gt;"",P173&lt;&gt;"",R173&lt;&gt;"",T173&lt;&gt;""),"Y",IF(AND(J173="",L173="",N173="",P173="",R173="",T173=""),"N/A","N"))))</f>
        <v>N/A</v>
      </c>
      <c r="AS173" s="1624" t="str">
        <f ca="1">IF(AND($C173&lt;&gt;"",OR(AR173="N",$V173="",$X173="",$Z173="",$AB173="",$AF173="",$AH173="",$AL173="",AD173="")),"N",IF(AND($C173="",OR(H173&lt;&gt;"",AR173="N",$V173&lt;&gt;"",$X173&lt;&gt;"",$Z173&lt;&gt;"",$AB173&lt;&gt;"",$AF173&lt;&gt;"",$AH173&lt;&gt;"",$AL173&lt;&gt;"",AD173&lt;&gt;"")),"N",IF(AND(H173="",$C173="",AR173="N/A",$V173="",$X173="",$Z173="",$AB173="",$AF173="",$AH173="",$AL173="",AD173=""),"N/A",IF(AND($C173&lt;&gt;"",AR173="Y",$V173&lt;&gt;"",$X173&lt;&gt;"",$Z173&lt;&gt;"",$AB173&lt;&gt;"",$AF173&lt;&gt;"",$AH173&lt;&gt;"",$AL173&lt;&gt;"",AD173&lt;&gt;""),"Y","N"))))</f>
        <v>N/A</v>
      </c>
      <c r="AT173" s="1761" t="b">
        <f ca="1">IF(AND($C173="",OR($J173&lt;&gt;"",$L173&lt;&gt;"",$N173&lt;&gt;"",$P173&lt;&gt;"",$V173&lt;&gt;"",$X173&lt;&gt;"",$Z173&lt;&gt;"",$AB173&lt;&gt;"",$AF173&lt;&gt;"",$AH173&lt;&gt;"",$AL173&lt;&gt;"")),TRUE,FALSE)</f>
        <v>0</v>
      </c>
      <c r="AU173" s="1761" t="b">
        <f>IF(OR(R173&lt;&gt;"",T173&lt;&gt;""),"false",IF(AND($C173&lt;&gt;"",$J173=""),TRUE,FALSE))</f>
        <v>0</v>
      </c>
      <c r="AV173" s="1761" t="b">
        <f>IF(OR(R173&lt;&gt;"",T173&lt;&gt;""),FALSE,IF(AND($C173&lt;&gt;"",$L173=""),TRUE,FALSE))</f>
        <v>0</v>
      </c>
      <c r="AW173" s="1761" t="b">
        <f>IF(OR(R173&lt;&gt;"",T173&lt;&gt;""),FALSE,IF(AND($C173&lt;&gt;"",$N173=""),TRUE,FALSE))</f>
        <v>0</v>
      </c>
      <c r="AX173" s="1761" t="b">
        <f>IF(OR(R173&lt;&gt;"",T173&lt;&gt;""),FALSE,IF(AND($C173&lt;&gt;"",$P173=""),TRUE,FALSE))</f>
        <v>0</v>
      </c>
      <c r="AY173" s="1761"/>
      <c r="AZ173" s="1761" t="b">
        <f>IF(OR(J173&lt;&gt;"",L173&lt;&gt;"",N173&lt;&gt;"",P173&lt;&gt;""),FALSE,IF(AND(C173&lt;&gt;"",R173=""),TRUE,FALSE))</f>
        <v>0</v>
      </c>
      <c r="BA173" s="1761"/>
      <c r="BB173" s="1761" t="b">
        <f>IF(OR(J173&lt;&gt;"",L173&lt;&gt;"",N173&lt;&gt;"",P173&lt;&gt;""),FALSE,IF(AND(C173&lt;&gt;"",T173=""),TRUE,FALSE))</f>
        <v>0</v>
      </c>
      <c r="BC173" s="1761" t="b">
        <f>IF(AND($C173&lt;&gt;"",$V173=""),TRUE,FALSE)</f>
        <v>0</v>
      </c>
      <c r="BD173" s="1761" t="b">
        <f ca="1">IF(AND(X173="",OR(Z173&lt;&gt;"",AB173&lt;&gt;"",AF173&lt;&gt;"",AH173&lt;&gt;"",AL173&lt;&gt;"",AD173&lt;&gt;"")),TRUE,FALSE)</f>
        <v>0</v>
      </c>
      <c r="BE173" s="1761" t="b">
        <f>IF(AND($C173&lt;&gt;"",$X173=""),TRUE,FALSE)</f>
        <v>0</v>
      </c>
      <c r="BF173" s="1761" t="b">
        <f>IF(Z173="",FALSE,IF(X173="",FALSE,IF(BG173=TRUE,FALSE,IF(OR(Z173&lt;BU173,Z173&gt;BaseYear),TRUE,FALSE))))</f>
        <v>0</v>
      </c>
      <c r="BG173" s="1761" t="b">
        <f>IF(AND($C173&lt;&gt;"",$Z173=""),TRUE,FALSE)</f>
        <v>0</v>
      </c>
      <c r="BH173" s="1761" t="b">
        <f>IF(AD173="",FALSE,IF(X173="",FALSE,IF(BJ173=TRUE,FALSE,IF(AB173&lt;BX173,TRUE,FALSE))))</f>
        <v>0</v>
      </c>
      <c r="BI173" s="1761" t="b">
        <f>IF(AD173="",FALSE,IF(X173="",FALSE,IF(BJ173=TRUE,FALSE,IF(AB173&gt;BY173,TRUE,FALSE))))</f>
        <v>0</v>
      </c>
      <c r="BJ173" s="1761" t="b">
        <f>IF(AND($C173&lt;&gt;"",$AB173=""),TRUE,FALSE)</f>
        <v>0</v>
      </c>
      <c r="BK173" s="1761" t="b">
        <f>IF(BL173=TRUE,FALSE,IF(OR(AF173&lt;0,AF173&gt;1),TRUE,FALSE))</f>
        <v>0</v>
      </c>
      <c r="BL173" s="1761" t="b">
        <f>IF(AND($C173&lt;&gt;"",$AF173=""),TRUE,FALSE)</f>
        <v>0</v>
      </c>
      <c r="BM173" s="1761"/>
      <c r="BN173" s="1761" t="b">
        <f ca="1">IF(AND($C173&lt;&gt;"",$AH173=""),TRUE,FALSE)</f>
        <v>0</v>
      </c>
      <c r="BO173" s="1761" t="b">
        <f>IF(AL173="",FALSE,IF(X173="",FALSE,IF(BP173=TRUE,FALSE,IF(OR(AL173&lt;1913,AL173&gt;BaseYear),TRUE,FALSE))))</f>
        <v>0</v>
      </c>
      <c r="BP173" s="1761" t="b">
        <f>IF(AND($C173&lt;&gt;"",$AL173=""),TRUE,FALSE)</f>
        <v>0</v>
      </c>
      <c r="BQ173" s="1761" t="b">
        <f>IF(AD173="Square Foot",FALSE,IF(AND(AD173="Parking Space",OR('A-20 PassFacInv'!X173=Valid!$B$7,'A-20 PassFacInv'!X173=Valid!$B$8,'A-20 PassFacInv'!X173=Valid!$B$9,'A-20 PassFacInv'!X173=Valid!$B$10,'A-20 PassFacInv'!X173=Valid!$B$12,'A-20 PassFacInv'!X173=Valid!$B$13,'A-20 PassFacInv'!X173=Valid!$B$14,'A-20 PassFacInv'!X173=Valid!$B$15,'A-20 PassFacInv'!X173=Valid!$B$16,'A-20 PassFacInv'!X173=Valid!$B$17,'A-20 PassFacInv'!X173=Valid!$B$18,X173=Valid!$B$19,X173=Valid!$B$20,X173=Valid!$B$21)),TRUE,FALSE))</f>
        <v>0</v>
      </c>
      <c r="BR173" s="1761" t="b">
        <f>IF(AND($C173&lt;&gt;"",$AD173=""),TRUE,FALSE)</f>
        <v>0</v>
      </c>
      <c r="BS173" s="721"/>
      <c r="BT173" s="1625" t="str">
        <f>IF($X173="","",VLOOKUP($X173,val_facilities,BT$3,FALSE))</f>
        <v/>
      </c>
      <c r="BU173" s="1627" t="str">
        <f>IF($X173="","",VLOOKUP($X173,val_facilities,BU$3,FALSE))</f>
        <v/>
      </c>
      <c r="BV173" s="1627" t="str">
        <f>IF($X173="","",VLOOKUP($X173,val_facilities,BV$3,FALSE))</f>
        <v/>
      </c>
      <c r="BW173" s="1627" t="str">
        <f ca="1">IFERROR(IF(Z173="", "", YEAR(TODAY())-Z173), "")</f>
        <v/>
      </c>
      <c r="BX173" s="845" t="str">
        <f>IF($X173="","",IF(AD173="Square Feet",VLOOKUP('A-20 PassFacInv'!X93,Valid!$B$7:$H$24,7,FALSE),IF(AD173="Parking Spaces",VLOOKUP(X173,Valid!$B$22:$L$24,11,FALSE))))</f>
        <v/>
      </c>
      <c r="BY173" s="845" t="str">
        <f>IF($X173="","",IF(AD173="Square Feet",VLOOKUP(X173,Valid!$B$7:$I$24,8,FALSE),IF('A-20 PassFacInv'!AD93="Parking Spaces",VLOOKUP('A-20 PassFacInv'!X93,Valid!$B$22:$M$24,12,FALSE))))</f>
        <v/>
      </c>
      <c r="BZ173" s="758"/>
      <c r="CA173" s="721">
        <f t="shared" si="3"/>
        <v>0</v>
      </c>
      <c r="CB173" s="816"/>
    </row>
    <row r="174" spans="1:80" s="1739" customFormat="1" ht="6.75" customHeight="1" thickBot="1" x14ac:dyDescent="0.25">
      <c r="A174" s="1638"/>
      <c r="B174" s="1746">
        <v>81.5</v>
      </c>
      <c r="C174" s="1223"/>
      <c r="D174" s="1248"/>
      <c r="E174" s="721"/>
      <c r="F174" s="758"/>
      <c r="G174" s="758"/>
      <c r="H174" s="758"/>
      <c r="I174" s="758"/>
      <c r="J174" s="1744"/>
      <c r="K174" s="1248"/>
      <c r="L174" s="1745"/>
      <c r="M174" s="1248"/>
      <c r="N174" s="1745"/>
      <c r="O174" s="1248"/>
      <c r="P174" s="1659"/>
      <c r="Q174" s="1248"/>
      <c r="R174" s="1656"/>
      <c r="S174" s="1248"/>
      <c r="T174" s="1656"/>
      <c r="U174" s="1248"/>
      <c r="V174" s="1223"/>
      <c r="W174" s="1618"/>
      <c r="X174" s="1737"/>
      <c r="Y174" s="1618"/>
      <c r="Z174" s="1623"/>
      <c r="AA174" s="1618"/>
      <c r="AB174" s="1944"/>
      <c r="AC174" s="1632"/>
      <c r="AD174" s="1394"/>
      <c r="AE174" s="823"/>
      <c r="AF174" s="822"/>
      <c r="AG174" s="1632"/>
      <c r="AH174" s="1631"/>
      <c r="AI174" s="1632"/>
      <c r="AJ174" s="1631"/>
      <c r="AK174" s="1632"/>
      <c r="AL174" s="1719"/>
      <c r="AM174" s="1632"/>
      <c r="AN174" s="721"/>
      <c r="AO174" s="758"/>
      <c r="AP174" s="758"/>
      <c r="AQ174" s="758"/>
      <c r="AR174" s="758"/>
      <c r="AS174" s="758"/>
      <c r="AT174" s="1761"/>
      <c r="AU174" s="1761"/>
      <c r="AV174" s="1761"/>
      <c r="AW174" s="1761"/>
      <c r="AX174" s="1761"/>
      <c r="AY174" s="1761"/>
      <c r="AZ174" s="1761"/>
      <c r="BA174" s="1761"/>
      <c r="BB174" s="1761"/>
      <c r="BC174" s="1761"/>
      <c r="BD174" s="1761"/>
      <c r="BE174" s="1761"/>
      <c r="BF174" s="1761"/>
      <c r="BG174" s="1761"/>
      <c r="BH174" s="1761"/>
      <c r="BI174" s="1761"/>
      <c r="BJ174" s="1761"/>
      <c r="BK174" s="1761"/>
      <c r="BL174" s="1761"/>
      <c r="BM174" s="1761"/>
      <c r="BN174" s="1761"/>
      <c r="BO174" s="1761"/>
      <c r="BP174" s="1761"/>
      <c r="BQ174" s="1761"/>
      <c r="BR174" s="1761"/>
      <c r="BS174" s="721"/>
      <c r="BT174" s="1626"/>
      <c r="BU174" s="1626"/>
      <c r="BV174" s="1626"/>
      <c r="BW174" s="1626"/>
      <c r="BX174" s="1626"/>
      <c r="BY174" s="1626"/>
      <c r="BZ174" s="1229"/>
      <c r="CA174" s="721">
        <f t="shared" si="3"/>
        <v>0</v>
      </c>
      <c r="CB174" s="721"/>
    </row>
    <row r="175" spans="1:80" s="1739" customFormat="1" x14ac:dyDescent="0.2">
      <c r="A175" s="840">
        <v>82</v>
      </c>
      <c r="B175" s="1746">
        <v>82</v>
      </c>
      <c r="C175" s="1740"/>
      <c r="D175" s="1248" t="str">
        <f>IF(C173="","",IF((C175=""),"Enter Facility "&amp;TEXT(A175,0)&amp;" Name, then Fill in Columns "&amp;TEXT($H$2,0)&amp;" - "&amp;TEXT($AL$2,0)&amp;"       ",""))</f>
        <v/>
      </c>
      <c r="E175" s="1245" t="str">
        <f ca="1">IF(AS175="N/A","",IF(AS175="N","No","Yes"))</f>
        <v/>
      </c>
      <c r="F175" s="758"/>
      <c r="G175" s="758"/>
      <c r="H175" s="1707"/>
      <c r="I175" s="758"/>
      <c r="J175" s="1653"/>
      <c r="K175" s="1248" t="str">
        <f ca="1">IF($E175&lt;&gt;"","Enter Street Address      ","")</f>
        <v/>
      </c>
      <c r="L175" s="1740"/>
      <c r="M175" s="1248" t="str">
        <f ca="1">IF($E175&lt;&gt;"","Enter City Name       ","")</f>
        <v/>
      </c>
      <c r="N175" s="1740"/>
      <c r="O175" s="1248" t="str">
        <f ca="1">IF($E175&lt;&gt;"","Select from Pull-Down List   ","")</f>
        <v/>
      </c>
      <c r="P175" s="1741"/>
      <c r="Q175" s="1248" t="str">
        <f ca="1">IF($E175&lt;&gt;"","Enter ZIP Code       ","")</f>
        <v/>
      </c>
      <c r="R175" s="1742"/>
      <c r="S175" s="1248" t="str">
        <f ca="1">IF(OR(N175&lt;&gt;"",P175&lt;&gt;"",J175&lt;&gt;"",L175&lt;&gt;""),"",IF($E175&lt;&gt;"","Enter Lat.      ",""))</f>
        <v/>
      </c>
      <c r="T175" s="1742"/>
      <c r="U175" s="1248" t="str">
        <f ca="1">IF(OR(N175&lt;&gt;"",P175&lt;&gt;"",J175&lt;&gt;"",L175&lt;&gt;""),"",IF($E175&lt;&gt;"","Enter Long.    ",""))</f>
        <v/>
      </c>
      <c r="V175" s="1653"/>
      <c r="W175" s="1618" t="str">
        <f ca="1">IF($E175&lt;&gt;"","Select from Pull-Down List  ","")</f>
        <v/>
      </c>
      <c r="X175" s="1653"/>
      <c r="Y175" s="1618" t="str">
        <f ca="1">IF($E175&lt;&gt;"","Select from Pull-Down List  ","")</f>
        <v/>
      </c>
      <c r="Z175" s="1743"/>
      <c r="AA175" s="1248" t="str">
        <f ca="1">IF(E175&lt;&gt;"","Year?   ","")</f>
        <v/>
      </c>
      <c r="AB175" s="1943"/>
      <c r="AC175" s="1620" t="str">
        <f ca="1">IF(E175="","",IF(X175="","Sq. Ft. or Spaces?   ",IF(OR(X175=Codes!$L$26,X175=Codes!$L$27,X175=Codes!$L$28),"Sq. Ft. or Spaces?   ",IF(OR(X175=Codes!$L$20,X175=Codes!$L$21,X175=Codes!$L$22,X175=Codes!$L$23,X175=Codes!$L$24,X175=Codes!$L$25),"Sq. Ft?     ",""))))</f>
        <v/>
      </c>
      <c r="AD175" s="1740"/>
      <c r="AE175" s="1618" t="str">
        <f ca="1">IF($E175&lt;&gt;"","Select from List     ","")</f>
        <v/>
      </c>
      <c r="AF175" s="1621"/>
      <c r="AG175" s="1618" t="str">
        <f ca="1">IF($E175&lt;&gt;"","% of Cap Resp.","")</f>
        <v/>
      </c>
      <c r="AH175" s="1801" t="str">
        <f ca="1">IF(BW175="", "", IF(BW175&gt;100, 1, VLOOKUP(BW175, Valid!$W$1:$AA$101, VLOOKUP(X175, Codes!$L$20:$N$28, 3, FALSE), FALSE)))</f>
        <v/>
      </c>
      <c r="AI175" s="1620" t="str">
        <f ca="1">IF($E175&lt;&gt;"","Estimated?  ","")</f>
        <v/>
      </c>
      <c r="AJ175" s="1654"/>
      <c r="AK175" s="1620" t="str">
        <f ca="1">IF($E175&lt;&gt;"","Condition?  ","")</f>
        <v/>
      </c>
      <c r="AL175" s="1730"/>
      <c r="AM175" s="1620" t="b">
        <f ca="1">IF(E175&lt;&gt;"","Est Date?    ")</f>
        <v>0</v>
      </c>
      <c r="AN175" s="1740"/>
      <c r="AO175" s="1248" t="str">
        <f>IF(X175="Other (describe in Notes)","Describe Facility.                                                                                                                        ","")</f>
        <v/>
      </c>
      <c r="AP175" s="1624"/>
      <c r="AQ175" s="1624" t="b">
        <f>IF(AND(C175="",C177&lt;&gt;""),TRUE,FALSE)</f>
        <v>0</v>
      </c>
      <c r="AR175" s="1624" t="str">
        <f>IF(AND(J175&lt;&gt;"",L175&lt;&gt;"",N175&lt;&gt;"",P175&lt;&gt;"",R175="",T175=""),"Y",IF(AND(J175="",L175="",N175="",P175="",R175&lt;&gt;"",T175&lt;&gt;""),"Y",IF(AND(J175&lt;&gt;"",L175&lt;&gt;"",N175&lt;&gt;"",P175&lt;&gt;"",R175&lt;&gt;"",T175&lt;&gt;""),"Y",IF(AND(J175="",L175="",N175="",P175="",R175="",T175=""),"N/A","N"))))</f>
        <v>N/A</v>
      </c>
      <c r="AS175" s="1624" t="str">
        <f ca="1">IF(AND($C175&lt;&gt;"",OR(AR175="N",$V175="",$X175="",$Z175="",$AB175="",$AF175="",$AH175="",$AL175="",AD175="")),"N",IF(AND($C175="",OR(H175&lt;&gt;"",AR175="N",$V175&lt;&gt;"",$X175&lt;&gt;"",$Z175&lt;&gt;"",$AB175&lt;&gt;"",$AF175&lt;&gt;"",$AH175&lt;&gt;"",$AL175&lt;&gt;"",AD175&lt;&gt;"")),"N",IF(AND(H175="",$C175="",AR175="N/A",$V175="",$X175="",$Z175="",$AB175="",$AF175="",$AH175="",$AL175="",AD175=""),"N/A",IF(AND($C175&lt;&gt;"",AR175="Y",$V175&lt;&gt;"",$X175&lt;&gt;"",$Z175&lt;&gt;"",$AB175&lt;&gt;"",$AF175&lt;&gt;"",$AH175&lt;&gt;"",$AL175&lt;&gt;"",AD175&lt;&gt;""),"Y","N"))))</f>
        <v>N/A</v>
      </c>
      <c r="AT175" s="1761" t="b">
        <f ca="1">IF(AND($C175="",OR($J175&lt;&gt;"",$L175&lt;&gt;"",$N175&lt;&gt;"",$P175&lt;&gt;"",$V175&lt;&gt;"",$X175&lt;&gt;"",$Z175&lt;&gt;"",$AB175&lt;&gt;"",$AF175&lt;&gt;"",$AH175&lt;&gt;"",$AL175&lt;&gt;"")),TRUE,FALSE)</f>
        <v>0</v>
      </c>
      <c r="AU175" s="1761" t="b">
        <f>IF(OR(R175&lt;&gt;"",T175&lt;&gt;""),"false",IF(AND($C175&lt;&gt;"",$J175=""),TRUE,FALSE))</f>
        <v>0</v>
      </c>
      <c r="AV175" s="1761" t="b">
        <f>IF(OR(R175&lt;&gt;"",T175&lt;&gt;""),FALSE,IF(AND($C175&lt;&gt;"",$L175=""),TRUE,FALSE))</f>
        <v>0</v>
      </c>
      <c r="AW175" s="1761" t="b">
        <f>IF(OR(R175&lt;&gt;"",T175&lt;&gt;""),FALSE,IF(AND($C175&lt;&gt;"",$N175=""),TRUE,FALSE))</f>
        <v>0</v>
      </c>
      <c r="AX175" s="1761" t="b">
        <f>IF(OR(R175&lt;&gt;"",T175&lt;&gt;""),FALSE,IF(AND($C175&lt;&gt;"",$P175=""),TRUE,FALSE))</f>
        <v>0</v>
      </c>
      <c r="AY175" s="1761"/>
      <c r="AZ175" s="1761" t="b">
        <f>IF(OR(J175&lt;&gt;"",L175&lt;&gt;"",N175&lt;&gt;"",P175&lt;&gt;""),FALSE,IF(AND(C175&lt;&gt;"",R175=""),TRUE,FALSE))</f>
        <v>0</v>
      </c>
      <c r="BA175" s="1761"/>
      <c r="BB175" s="1761" t="b">
        <f>IF(OR(J175&lt;&gt;"",L175&lt;&gt;"",N175&lt;&gt;"",P175&lt;&gt;""),FALSE,IF(AND(C175&lt;&gt;"",T175=""),TRUE,FALSE))</f>
        <v>0</v>
      </c>
      <c r="BC175" s="1761" t="b">
        <f>IF(AND($C175&lt;&gt;"",$V175=""),TRUE,FALSE)</f>
        <v>0</v>
      </c>
      <c r="BD175" s="1761" t="b">
        <f ca="1">IF(AND(X175="",OR(Z175&lt;&gt;"",AB175&lt;&gt;"",AF175&lt;&gt;"",AH175&lt;&gt;"",AL175&lt;&gt;"",AD175&lt;&gt;"")),TRUE,FALSE)</f>
        <v>0</v>
      </c>
      <c r="BE175" s="1761" t="b">
        <f>IF(AND($C175&lt;&gt;"",$X175=""),TRUE,FALSE)</f>
        <v>0</v>
      </c>
      <c r="BF175" s="1761" t="b">
        <f>IF(Z175="",FALSE,IF(X175="",FALSE,IF(BG175=TRUE,FALSE,IF(OR(Z175&lt;BU175,Z175&gt;BaseYear),TRUE,FALSE))))</f>
        <v>0</v>
      </c>
      <c r="BG175" s="1761" t="b">
        <f>IF(AND($C175&lt;&gt;"",$Z175=""),TRUE,FALSE)</f>
        <v>0</v>
      </c>
      <c r="BH175" s="1761" t="b">
        <f>IF(AD175="",FALSE,IF(X175="",FALSE,IF(BJ175=TRUE,FALSE,IF(AB175&lt;BX175,TRUE,FALSE))))</f>
        <v>0</v>
      </c>
      <c r="BI175" s="1761" t="b">
        <f>IF(AD175="",FALSE,IF(X175="",FALSE,IF(BJ175=TRUE,FALSE,IF(AB175&gt;BY175,TRUE,FALSE))))</f>
        <v>0</v>
      </c>
      <c r="BJ175" s="1761" t="b">
        <f>IF(AND($C175&lt;&gt;"",$AB175=""),TRUE,FALSE)</f>
        <v>0</v>
      </c>
      <c r="BK175" s="1761" t="b">
        <f>IF(BL175=TRUE,FALSE,IF(OR(AF175&lt;0,AF175&gt;1),TRUE,FALSE))</f>
        <v>0</v>
      </c>
      <c r="BL175" s="1761" t="b">
        <f>IF(AND($C175&lt;&gt;"",$AF175=""),TRUE,FALSE)</f>
        <v>0</v>
      </c>
      <c r="BM175" s="1761"/>
      <c r="BN175" s="1761" t="b">
        <f ca="1">IF(AND($C175&lt;&gt;"",$AH175=""),TRUE,FALSE)</f>
        <v>0</v>
      </c>
      <c r="BO175" s="1761" t="b">
        <f>IF(AL175="",FALSE,IF(X175="",FALSE,IF(BP175=TRUE,FALSE,IF(OR(AL175&lt;1913,AL175&gt;BaseYear),TRUE,FALSE))))</f>
        <v>0</v>
      </c>
      <c r="BP175" s="1761" t="b">
        <f>IF(AND($C175&lt;&gt;"",$AL175=""),TRUE,FALSE)</f>
        <v>0</v>
      </c>
      <c r="BQ175" s="1761" t="b">
        <f>IF(AD175="Square Foot",FALSE,IF(AND(AD175="Parking Space",OR('A-20 PassFacInv'!X175=Valid!$B$7,'A-20 PassFacInv'!X175=Valid!$B$8,'A-20 PassFacInv'!X175=Valid!$B$9,'A-20 PassFacInv'!X175=Valid!$B$10,'A-20 PassFacInv'!X175=Valid!$B$12,'A-20 PassFacInv'!X175=Valid!$B$13,'A-20 PassFacInv'!X175=Valid!$B$14,'A-20 PassFacInv'!X175=Valid!$B$15,'A-20 PassFacInv'!X175=Valid!$B$16,'A-20 PassFacInv'!X175=Valid!$B$17,'A-20 PassFacInv'!X175=Valid!$B$18,X175=Valid!$B$19,X175=Valid!$B$20,X175=Valid!$B$21)),TRUE,FALSE))</f>
        <v>0</v>
      </c>
      <c r="BR175" s="1761" t="b">
        <f>IF(AND($C175&lt;&gt;"",$AD175=""),TRUE,FALSE)</f>
        <v>0</v>
      </c>
      <c r="BS175" s="721"/>
      <c r="BT175" s="1625" t="str">
        <f>IF($X175="","",VLOOKUP($X175,val_facilities,BT$3,FALSE))</f>
        <v/>
      </c>
      <c r="BU175" s="1627" t="str">
        <f>IF($X175="","",VLOOKUP($X175,val_facilities,BU$3,FALSE))</f>
        <v/>
      </c>
      <c r="BV175" s="1627" t="str">
        <f>IF($X175="","",VLOOKUP($X175,val_facilities,BV$3,FALSE))</f>
        <v/>
      </c>
      <c r="BW175" s="1627" t="str">
        <f ca="1">IFERROR(IF(Z175="", "", YEAR(TODAY())-Z175), "")</f>
        <v/>
      </c>
      <c r="BX175" s="845" t="str">
        <f>IF($X175="","",IF(AD175="Square Feet",VLOOKUP('A-20 PassFacInv'!X94,Valid!$B$7:$H$24,7,FALSE),IF(AD175="Parking Spaces",VLOOKUP(X175,Valid!$B$22:$L$24,11,FALSE))))</f>
        <v/>
      </c>
      <c r="BY175" s="845" t="str">
        <f>IF($X175="","",IF(AD175="Square Feet",VLOOKUP(X175,Valid!$B$7:$I$24,8,FALSE),IF('A-20 PassFacInv'!AD94="Parking Spaces",VLOOKUP('A-20 PassFacInv'!X94,Valid!$B$22:$M$24,12,FALSE))))</f>
        <v/>
      </c>
      <c r="BZ175" s="758"/>
      <c r="CA175" s="721">
        <f t="shared" si="3"/>
        <v>0</v>
      </c>
      <c r="CB175" s="816"/>
    </row>
    <row r="176" spans="1:80" s="1739" customFormat="1" ht="6.75" customHeight="1" thickBot="1" x14ac:dyDescent="0.25">
      <c r="A176" s="1638"/>
      <c r="B176" s="1746">
        <v>82.5</v>
      </c>
      <c r="C176" s="721"/>
      <c r="D176" s="1248"/>
      <c r="E176" s="816"/>
      <c r="F176" s="758"/>
      <c r="G176" s="758"/>
      <c r="H176" s="758"/>
      <c r="I176" s="758"/>
      <c r="J176" s="1633"/>
      <c r="K176" s="1248"/>
      <c r="L176" s="1634"/>
      <c r="M176" s="1248"/>
      <c r="N176" s="1634"/>
      <c r="O176" s="1248"/>
      <c r="P176" s="1657"/>
      <c r="Q176" s="1248"/>
      <c r="R176" s="1656"/>
      <c r="S176" s="1248"/>
      <c r="T176" s="1656"/>
      <c r="U176" s="1248"/>
      <c r="V176" s="1059"/>
      <c r="W176" s="1618"/>
      <c r="X176" s="764"/>
      <c r="Y176" s="1618"/>
      <c r="Z176" s="1623"/>
      <c r="AA176" s="1618"/>
      <c r="AB176" s="1944"/>
      <c r="AC176" s="723"/>
      <c r="AD176" s="1658"/>
      <c r="AE176" s="724"/>
      <c r="AF176" s="724"/>
      <c r="AG176" s="723"/>
      <c r="AH176" s="722"/>
      <c r="AI176" s="723"/>
      <c r="AJ176" s="722"/>
      <c r="AK176" s="723"/>
      <c r="AL176" s="1717"/>
      <c r="AM176" s="723"/>
      <c r="AN176" s="1637"/>
      <c r="AO176" s="1624"/>
      <c r="AP176" s="1624"/>
      <c r="AQ176" s="1624"/>
      <c r="AR176" s="1624"/>
      <c r="AS176" s="1624"/>
      <c r="AT176" s="1761"/>
      <c r="AU176" s="1761"/>
      <c r="AV176" s="1761"/>
      <c r="AW176" s="1761"/>
      <c r="AX176" s="1761"/>
      <c r="AY176" s="1761"/>
      <c r="AZ176" s="1761"/>
      <c r="BA176" s="1761"/>
      <c r="BB176" s="1761"/>
      <c r="BC176" s="1761"/>
      <c r="BD176" s="1761"/>
      <c r="BE176" s="1761"/>
      <c r="BF176" s="1761"/>
      <c r="BG176" s="1761"/>
      <c r="BH176" s="1761"/>
      <c r="BI176" s="1761"/>
      <c r="BJ176" s="1761"/>
      <c r="BK176" s="1761"/>
      <c r="BL176" s="1761"/>
      <c r="BM176" s="1761"/>
      <c r="BN176" s="1761"/>
      <c r="BO176" s="1761"/>
      <c r="BP176" s="1761"/>
      <c r="BQ176" s="1761"/>
      <c r="BR176" s="1761"/>
      <c r="BS176" s="721"/>
      <c r="BT176" s="1626"/>
      <c r="BU176" s="1626"/>
      <c r="BV176" s="1626"/>
      <c r="BW176" s="1626"/>
      <c r="BX176" s="1626"/>
      <c r="BY176" s="1626"/>
      <c r="BZ176" s="1229"/>
      <c r="CA176" s="721">
        <f t="shared" si="3"/>
        <v>0</v>
      </c>
      <c r="CB176" s="816"/>
    </row>
    <row r="177" spans="1:80" s="1739" customFormat="1" x14ac:dyDescent="0.2">
      <c r="A177" s="840">
        <v>83</v>
      </c>
      <c r="B177" s="1746">
        <v>83</v>
      </c>
      <c r="C177" s="1740"/>
      <c r="D177" s="1248" t="str">
        <f>IF(C175="","",IF((C177=""),"Enter Facility "&amp;TEXT(A177,0)&amp;" Name, then Fill in Columns "&amp;TEXT($H$2,0)&amp;" - "&amp;TEXT($AL$2,0)&amp;"       ",""))</f>
        <v/>
      </c>
      <c r="E177" s="1245" t="str">
        <f ca="1">IF(AS177="N/A","",IF(AS177="N","No","Yes"))</f>
        <v/>
      </c>
      <c r="F177" s="758"/>
      <c r="G177" s="758"/>
      <c r="H177" s="1707"/>
      <c r="I177" s="758"/>
      <c r="J177" s="1653"/>
      <c r="K177" s="1248" t="str">
        <f ca="1">IF($E177&lt;&gt;"","Enter Street Address      ","")</f>
        <v/>
      </c>
      <c r="L177" s="1740"/>
      <c r="M177" s="1248" t="str">
        <f ca="1">IF($E177&lt;&gt;"","Enter City Name       ","")</f>
        <v/>
      </c>
      <c r="N177" s="1740"/>
      <c r="O177" s="1248" t="str">
        <f ca="1">IF($E177&lt;&gt;"","Select from Pull-Down List   ","")</f>
        <v/>
      </c>
      <c r="P177" s="1741"/>
      <c r="Q177" s="1248" t="str">
        <f ca="1">IF($E177&lt;&gt;"","Enter ZIP Code       ","")</f>
        <v/>
      </c>
      <c r="R177" s="1742"/>
      <c r="S177" s="1248" t="str">
        <f ca="1">IF(OR(N177&lt;&gt;"",P177&lt;&gt;"",J177&lt;&gt;"",L177&lt;&gt;""),"",IF($E177&lt;&gt;"","Enter Lat.      ",""))</f>
        <v/>
      </c>
      <c r="T177" s="1742"/>
      <c r="U177" s="1248" t="str">
        <f ca="1">IF(OR(N177&lt;&gt;"",P177&lt;&gt;"",J177&lt;&gt;"",L177&lt;&gt;""),"",IF($E177&lt;&gt;"","Enter Long.    ",""))</f>
        <v/>
      </c>
      <c r="V177" s="1653"/>
      <c r="W177" s="1618" t="str">
        <f ca="1">IF($E177&lt;&gt;"","Select from Pull-Down List  ","")</f>
        <v/>
      </c>
      <c r="X177" s="1653"/>
      <c r="Y177" s="1618" t="str">
        <f ca="1">IF($E177&lt;&gt;"","Select from Pull-Down List  ","")</f>
        <v/>
      </c>
      <c r="Z177" s="1743"/>
      <c r="AA177" s="1248" t="str">
        <f ca="1">IF(E177&lt;&gt;"","Year?   ","")</f>
        <v/>
      </c>
      <c r="AB177" s="1943"/>
      <c r="AC177" s="1620" t="str">
        <f ca="1">IF(E177="","",IF(X177="","Sq. Ft. or Spaces?   ",IF(OR(X177=Codes!$L$26,X177=Codes!$L$27,X177=Codes!$L$28),"Sq. Ft. or Spaces?   ",IF(OR(X177=Codes!$L$20,X177=Codes!$L$21,X177=Codes!$L$22,X177=Codes!$L$23,X177=Codes!$L$24,X177=Codes!$L$25),"Sq. Ft?     ",""))))</f>
        <v/>
      </c>
      <c r="AD177" s="1740"/>
      <c r="AE177" s="1618" t="str">
        <f ca="1">IF($E177&lt;&gt;"","Select from List     ","")</f>
        <v/>
      </c>
      <c r="AF177" s="1621"/>
      <c r="AG177" s="1618" t="str">
        <f ca="1">IF($E177&lt;&gt;"","% of Cap Resp.","")</f>
        <v/>
      </c>
      <c r="AH177" s="1801" t="str">
        <f ca="1">IF(BW177="", "", IF(BW177&gt;100, 1, VLOOKUP(BW177, Valid!$W$1:$AA$101, VLOOKUP(X177, Codes!$L$20:$N$28, 3, FALSE), FALSE)))</f>
        <v/>
      </c>
      <c r="AI177" s="1620" t="str">
        <f ca="1">IF($E177&lt;&gt;"","Estimated?  ","")</f>
        <v/>
      </c>
      <c r="AJ177" s="1654"/>
      <c r="AK177" s="1620" t="str">
        <f ca="1">IF($E177&lt;&gt;"","Condition?  ","")</f>
        <v/>
      </c>
      <c r="AL177" s="1730"/>
      <c r="AM177" s="1620" t="b">
        <f ca="1">IF(E177&lt;&gt;"","Est Date?    ")</f>
        <v>0</v>
      </c>
      <c r="AN177" s="1740"/>
      <c r="AO177" s="1248" t="str">
        <f>IF(X177="Other (describe in Notes)","Describe Facility.                                                                                                                        ","")</f>
        <v/>
      </c>
      <c r="AP177" s="1624"/>
      <c r="AQ177" s="1624" t="b">
        <f>IF(AND(C177="",C179&lt;&gt;""),TRUE,FALSE)</f>
        <v>0</v>
      </c>
      <c r="AR177" s="1624" t="str">
        <f>IF(AND(J177&lt;&gt;"",L177&lt;&gt;"",N177&lt;&gt;"",P177&lt;&gt;"",R177="",T177=""),"Y",IF(AND(J177="",L177="",N177="",P177="",R177&lt;&gt;"",T177&lt;&gt;""),"Y",IF(AND(J177&lt;&gt;"",L177&lt;&gt;"",N177&lt;&gt;"",P177&lt;&gt;"",R177&lt;&gt;"",T177&lt;&gt;""),"Y",IF(AND(J177="",L177="",N177="",P177="",R177="",T177=""),"N/A","N"))))</f>
        <v>N/A</v>
      </c>
      <c r="AS177" s="1624" t="str">
        <f ca="1">IF(AND($C177&lt;&gt;"",OR(AR177="N",$V177="",$X177="",$Z177="",$AB177="",$AF177="",$AH177="",$AL177="",AD177="")),"N",IF(AND($C177="",OR(H177&lt;&gt;"",AR177="N",$V177&lt;&gt;"",$X177&lt;&gt;"",$Z177&lt;&gt;"",$AB177&lt;&gt;"",$AF177&lt;&gt;"",$AH177&lt;&gt;"",$AL177&lt;&gt;"",AD177&lt;&gt;"")),"N",IF(AND(H177="",$C177="",AR177="N/A",$V177="",$X177="",$Z177="",$AB177="",$AF177="",$AH177="",$AL177="",AD177=""),"N/A",IF(AND($C177&lt;&gt;"",AR177="Y",$V177&lt;&gt;"",$X177&lt;&gt;"",$Z177&lt;&gt;"",$AB177&lt;&gt;"",$AF177&lt;&gt;"",$AH177&lt;&gt;"",$AL177&lt;&gt;"",AD177&lt;&gt;""),"Y","N"))))</f>
        <v>N/A</v>
      </c>
      <c r="AT177" s="1761" t="b">
        <f ca="1">IF(AND($C177="",OR($J177&lt;&gt;"",$L177&lt;&gt;"",$N177&lt;&gt;"",$P177&lt;&gt;"",$V177&lt;&gt;"",$X177&lt;&gt;"",$Z177&lt;&gt;"",$AB177&lt;&gt;"",$AF177&lt;&gt;"",$AH177&lt;&gt;"",$AL177&lt;&gt;"")),TRUE,FALSE)</f>
        <v>0</v>
      </c>
      <c r="AU177" s="1761" t="b">
        <f>IF(OR(R177&lt;&gt;"",T177&lt;&gt;""),"false",IF(AND($C177&lt;&gt;"",$J177=""),TRUE,FALSE))</f>
        <v>0</v>
      </c>
      <c r="AV177" s="1761" t="b">
        <f>IF(OR(R177&lt;&gt;"",T177&lt;&gt;""),FALSE,IF(AND($C177&lt;&gt;"",$L177=""),TRUE,FALSE))</f>
        <v>0</v>
      </c>
      <c r="AW177" s="1761" t="b">
        <f>IF(OR(R177&lt;&gt;"",T177&lt;&gt;""),FALSE,IF(AND($C177&lt;&gt;"",$N177=""),TRUE,FALSE))</f>
        <v>0</v>
      </c>
      <c r="AX177" s="1761" t="b">
        <f>IF(OR(R177&lt;&gt;"",T177&lt;&gt;""),FALSE,IF(AND($C177&lt;&gt;"",$P177=""),TRUE,FALSE))</f>
        <v>0</v>
      </c>
      <c r="AY177" s="1761"/>
      <c r="AZ177" s="1761" t="b">
        <f>IF(OR(J177&lt;&gt;"",L177&lt;&gt;"",N177&lt;&gt;"",P177&lt;&gt;""),FALSE,IF(AND(C177&lt;&gt;"",R177=""),TRUE,FALSE))</f>
        <v>0</v>
      </c>
      <c r="BA177" s="1761"/>
      <c r="BB177" s="1761" t="b">
        <f>IF(OR(J177&lt;&gt;"",L177&lt;&gt;"",N177&lt;&gt;"",P177&lt;&gt;""),FALSE,IF(AND(C177&lt;&gt;"",T177=""),TRUE,FALSE))</f>
        <v>0</v>
      </c>
      <c r="BC177" s="1761" t="b">
        <f>IF(AND($C177&lt;&gt;"",$V177=""),TRUE,FALSE)</f>
        <v>0</v>
      </c>
      <c r="BD177" s="1761" t="b">
        <f ca="1">IF(AND(X177="",OR(Z177&lt;&gt;"",AB177&lt;&gt;"",AF177&lt;&gt;"",AH177&lt;&gt;"",AL177&lt;&gt;"",AD177&lt;&gt;"")),TRUE,FALSE)</f>
        <v>0</v>
      </c>
      <c r="BE177" s="1761" t="b">
        <f>IF(AND($C177&lt;&gt;"",$X177=""),TRUE,FALSE)</f>
        <v>0</v>
      </c>
      <c r="BF177" s="1761" t="b">
        <f>IF(Z177="",FALSE,IF(X177="",FALSE,IF(BG177=TRUE,FALSE,IF(OR(Z177&lt;BU177,Z177&gt;BaseYear),TRUE,FALSE))))</f>
        <v>0</v>
      </c>
      <c r="BG177" s="1761" t="b">
        <f>IF(AND($C177&lt;&gt;"",$Z177=""),TRUE,FALSE)</f>
        <v>0</v>
      </c>
      <c r="BH177" s="1761" t="b">
        <f>IF(AD177="",FALSE,IF(X177="",FALSE,IF(BJ177=TRUE,FALSE,IF(AB177&lt;BX177,TRUE,FALSE))))</f>
        <v>0</v>
      </c>
      <c r="BI177" s="1761" t="b">
        <f>IF(AD177="",FALSE,IF(X177="",FALSE,IF(BJ177=TRUE,FALSE,IF(AB177&gt;BY177,TRUE,FALSE))))</f>
        <v>0</v>
      </c>
      <c r="BJ177" s="1761" t="b">
        <f>IF(AND($C177&lt;&gt;"",$AB177=""),TRUE,FALSE)</f>
        <v>0</v>
      </c>
      <c r="BK177" s="1761" t="b">
        <f>IF(BL177=TRUE,FALSE,IF(OR(AF177&lt;0,AF177&gt;1),TRUE,FALSE))</f>
        <v>0</v>
      </c>
      <c r="BL177" s="1761" t="b">
        <f>IF(AND($C177&lt;&gt;"",$AF177=""),TRUE,FALSE)</f>
        <v>0</v>
      </c>
      <c r="BM177" s="1761"/>
      <c r="BN177" s="1761" t="b">
        <f ca="1">IF(AND($C177&lt;&gt;"",$AH177=""),TRUE,FALSE)</f>
        <v>0</v>
      </c>
      <c r="BO177" s="1761" t="b">
        <f>IF(AL177="",FALSE,IF(X177="",FALSE,IF(BP177=TRUE,FALSE,IF(OR(AL177&lt;1913,AL177&gt;BaseYear),TRUE,FALSE))))</f>
        <v>0</v>
      </c>
      <c r="BP177" s="1761" t="b">
        <f>IF(AND($C177&lt;&gt;"",$AL177=""),TRUE,FALSE)</f>
        <v>0</v>
      </c>
      <c r="BQ177" s="1761" t="b">
        <f>IF(AD177="Square Foot",FALSE,IF(AND(AD177="Parking Space",OR('A-20 PassFacInv'!X177=Valid!$B$7,'A-20 PassFacInv'!X177=Valid!$B$8,'A-20 PassFacInv'!X177=Valid!$B$9,'A-20 PassFacInv'!X177=Valid!$B$10,'A-20 PassFacInv'!X177=Valid!$B$12,'A-20 PassFacInv'!X177=Valid!$B$13,'A-20 PassFacInv'!X177=Valid!$B$14,'A-20 PassFacInv'!X177=Valid!$B$15,'A-20 PassFacInv'!X177=Valid!$B$16,'A-20 PassFacInv'!X177=Valid!$B$17,'A-20 PassFacInv'!X177=Valid!$B$18,X177=Valid!$B$19,X177=Valid!$B$20,X177=Valid!$B$21)),TRUE,FALSE))</f>
        <v>0</v>
      </c>
      <c r="BR177" s="1761" t="b">
        <f>IF(AND($C177&lt;&gt;"",$AD177=""),TRUE,FALSE)</f>
        <v>0</v>
      </c>
      <c r="BS177" s="721"/>
      <c r="BT177" s="1625" t="str">
        <f>IF($X177="","",VLOOKUP($X177,val_facilities,BT$3,FALSE))</f>
        <v/>
      </c>
      <c r="BU177" s="1627" t="str">
        <f>IF($X177="","",VLOOKUP($X177,val_facilities,BU$3,FALSE))</f>
        <v/>
      </c>
      <c r="BV177" s="1627" t="str">
        <f>IF($X177="","",VLOOKUP($X177,val_facilities,BV$3,FALSE))</f>
        <v/>
      </c>
      <c r="BW177" s="1627" t="str">
        <f ca="1">IFERROR(IF(Z177="", "", YEAR(TODAY())-Z177), "")</f>
        <v/>
      </c>
      <c r="BX177" s="845" t="str">
        <f>IF($X177="","",IF(AD177="Square Feet",VLOOKUP('A-20 PassFacInv'!X95,Valid!$B$7:$H$24,7,FALSE),IF(AD177="Parking Spaces",VLOOKUP(X177,Valid!$B$22:$L$24,11,FALSE))))</f>
        <v/>
      </c>
      <c r="BY177" s="845" t="str">
        <f>IF($X177="","",IF(AD177="Square Feet",VLOOKUP(X177,Valid!$B$7:$I$24,8,FALSE),IF('A-20 PassFacInv'!AD95="Parking Spaces",VLOOKUP('A-20 PassFacInv'!X95,Valid!$B$22:$M$24,12,FALSE))))</f>
        <v/>
      </c>
      <c r="BZ177" s="758"/>
      <c r="CA177" s="721">
        <f t="shared" si="3"/>
        <v>0</v>
      </c>
      <c r="CB177" s="816"/>
    </row>
    <row r="178" spans="1:80" s="1739" customFormat="1" ht="6.75" customHeight="1" thickBot="1" x14ac:dyDescent="0.25">
      <c r="A178" s="1638"/>
      <c r="B178" s="1746">
        <v>83.5</v>
      </c>
      <c r="C178" s="1057"/>
      <c r="D178" s="1248"/>
      <c r="E178" s="1057"/>
      <c r="F178" s="1229"/>
      <c r="G178" s="1229"/>
      <c r="H178" s="1229"/>
      <c r="I178" s="1229"/>
      <c r="J178" s="1604"/>
      <c r="K178" s="1640"/>
      <c r="L178" s="1641"/>
      <c r="M178" s="1248"/>
      <c r="N178" s="1641"/>
      <c r="O178" s="1248"/>
      <c r="P178" s="1659"/>
      <c r="Q178" s="1248"/>
      <c r="R178" s="1660"/>
      <c r="S178" s="1640"/>
      <c r="T178" s="1660"/>
      <c r="U178" s="1640"/>
      <c r="V178" s="1057"/>
      <c r="W178" s="1618"/>
      <c r="X178" s="1747"/>
      <c r="Y178" s="1618"/>
      <c r="Z178" s="1623"/>
      <c r="AA178" s="1618"/>
      <c r="AB178" s="1944"/>
      <c r="AC178" s="1275"/>
      <c r="AD178" s="1661"/>
      <c r="AE178" s="734"/>
      <c r="AF178" s="1736"/>
      <c r="AG178" s="1275"/>
      <c r="AH178" s="733"/>
      <c r="AI178" s="1275"/>
      <c r="AJ178" s="733"/>
      <c r="AK178" s="1275"/>
      <c r="AL178" s="1721"/>
      <c r="AM178" s="1275"/>
      <c r="AN178" s="1057"/>
      <c r="AO178" s="1644"/>
      <c r="AP178" s="1644"/>
      <c r="AQ178" s="1644"/>
      <c r="AR178" s="1644"/>
      <c r="AS178" s="1644"/>
      <c r="AT178" s="1761"/>
      <c r="AU178" s="1761"/>
      <c r="AV178" s="1761"/>
      <c r="AW178" s="1761"/>
      <c r="AX178" s="1761"/>
      <c r="AY178" s="1761"/>
      <c r="AZ178" s="1761"/>
      <c r="BA178" s="1761"/>
      <c r="BB178" s="1761"/>
      <c r="BC178" s="1762"/>
      <c r="BD178" s="1762"/>
      <c r="BE178" s="1762"/>
      <c r="BF178" s="1762"/>
      <c r="BG178" s="1762"/>
      <c r="BH178" s="1762"/>
      <c r="BI178" s="1762"/>
      <c r="BJ178" s="1762"/>
      <c r="BK178" s="1762"/>
      <c r="BL178" s="1762"/>
      <c r="BM178" s="1762"/>
      <c r="BN178" s="1762"/>
      <c r="BO178" s="1762"/>
      <c r="BP178" s="1762"/>
      <c r="BQ178" s="1762"/>
      <c r="BR178" s="1762"/>
      <c r="BS178" s="1736"/>
      <c r="BT178" s="1738"/>
      <c r="BU178" s="1738"/>
      <c r="BV178" s="1738"/>
      <c r="BW178" s="1738"/>
      <c r="BX178" s="1738"/>
      <c r="BY178" s="1738"/>
      <c r="BZ178" s="1229"/>
      <c r="CA178" s="721">
        <f t="shared" si="3"/>
        <v>0</v>
      </c>
      <c r="CB178" s="1748"/>
    </row>
    <row r="179" spans="1:80" s="1739" customFormat="1" x14ac:dyDescent="0.2">
      <c r="A179" s="840">
        <v>84</v>
      </c>
      <c r="B179" s="1731">
        <v>84</v>
      </c>
      <c r="C179" s="1740"/>
      <c r="D179" s="1248" t="str">
        <f>IF(C177="","",IF((C179=""),"Enter Facility "&amp;TEXT(A179,0)&amp;" Name, then Fill in Columns "&amp;TEXT($H$2,0)&amp;" - "&amp;TEXT($AL$2,0)&amp;"       ",""))</f>
        <v/>
      </c>
      <c r="E179" s="1245" t="str">
        <f ca="1">IF(AS179="N/A","",IF(AS179="N","No","Yes"))</f>
        <v/>
      </c>
      <c r="F179" s="758"/>
      <c r="G179" s="758"/>
      <c r="H179" s="1707"/>
      <c r="I179" s="758"/>
      <c r="J179" s="1653"/>
      <c r="K179" s="1248" t="str">
        <f ca="1">IF($E179&lt;&gt;"","Enter Street Address      ","")</f>
        <v/>
      </c>
      <c r="L179" s="1740"/>
      <c r="M179" s="1248" t="str">
        <f ca="1">IF($E179&lt;&gt;"","Enter City Name       ","")</f>
        <v/>
      </c>
      <c r="N179" s="1740"/>
      <c r="O179" s="1248" t="str">
        <f ca="1">IF($E179&lt;&gt;"","Select from Pull-Down List   ","")</f>
        <v/>
      </c>
      <c r="P179" s="1741"/>
      <c r="Q179" s="1248" t="str">
        <f ca="1">IF($E179&lt;&gt;"","Enter ZIP Code       ","")</f>
        <v/>
      </c>
      <c r="R179" s="1742"/>
      <c r="S179" s="1248" t="str">
        <f ca="1">IF(OR(N179&lt;&gt;"",P179&lt;&gt;"",J179&lt;&gt;"",L179&lt;&gt;""),"",IF($E179&lt;&gt;"","Enter Lat.      ",""))</f>
        <v/>
      </c>
      <c r="T179" s="1742"/>
      <c r="U179" s="1248" t="str">
        <f ca="1">IF(OR(N179&lt;&gt;"",P179&lt;&gt;"",J179&lt;&gt;"",L179&lt;&gt;""),"",IF($E179&lt;&gt;"","Enter Long.    ",""))</f>
        <v/>
      </c>
      <c r="V179" s="1653"/>
      <c r="W179" s="1618" t="str">
        <f ca="1">IF($E179&lt;&gt;"","Select from Pull-Down List  ","")</f>
        <v/>
      </c>
      <c r="X179" s="1653"/>
      <c r="Y179" s="1618" t="str">
        <f ca="1">IF($E179&lt;&gt;"","Select from Pull-Down List  ","")</f>
        <v/>
      </c>
      <c r="Z179" s="1743"/>
      <c r="AA179" s="1248" t="str">
        <f ca="1">IF(E179&lt;&gt;"","Year?   ","")</f>
        <v/>
      </c>
      <c r="AB179" s="1943"/>
      <c r="AC179" s="1620" t="str">
        <f ca="1">IF(E179="","",IF(X179="","Sq. Ft. or Spaces?   ",IF(OR(X179=Codes!$L$26,X179=Codes!$L$27,X179=Codes!$L$28),"Sq. Ft. or Spaces?   ",IF(OR(X179=Codes!$L$20,X179=Codes!$L$21,X179=Codes!$L$22,X179=Codes!$L$23,X179=Codes!$L$24,X179=Codes!$L$25),"Sq. Ft?     ",""))))</f>
        <v/>
      </c>
      <c r="AD179" s="1740"/>
      <c r="AE179" s="1618" t="str">
        <f ca="1">IF($E179&lt;&gt;"","Select from List     ","")</f>
        <v/>
      </c>
      <c r="AF179" s="1621"/>
      <c r="AG179" s="1618" t="str">
        <f ca="1">IF($E179&lt;&gt;"","% of Cap Resp.","")</f>
        <v/>
      </c>
      <c r="AH179" s="1801" t="str">
        <f ca="1">IF(BW179="", "", IF(BW179&gt;100, 1, VLOOKUP(BW179, Valid!$W$1:$AA$101, VLOOKUP(X179, Codes!$L$20:$N$28, 3, FALSE), FALSE)))</f>
        <v/>
      </c>
      <c r="AI179" s="1620" t="str">
        <f ca="1">IF($E179&lt;&gt;"","Estimated?  ","")</f>
        <v/>
      </c>
      <c r="AJ179" s="1654"/>
      <c r="AK179" s="1620" t="str">
        <f ca="1">IF($E179&lt;&gt;"","Condition?  ","")</f>
        <v/>
      </c>
      <c r="AL179" s="1730"/>
      <c r="AM179" s="1620" t="b">
        <f ca="1">IF(E179&lt;&gt;"","Est Date?    ")</f>
        <v>0</v>
      </c>
      <c r="AN179" s="1740"/>
      <c r="AO179" s="1248" t="str">
        <f>IF(X179="Other (describe in Notes)","Describe Facility.                                                                                                                        ","")</f>
        <v/>
      </c>
      <c r="AP179" s="1624"/>
      <c r="AQ179" s="1624" t="b">
        <f>IF(AND(C179="",C181&lt;&gt;""),TRUE,FALSE)</f>
        <v>0</v>
      </c>
      <c r="AR179" s="1624" t="str">
        <f>IF(AND(J179&lt;&gt;"",L179&lt;&gt;"",N179&lt;&gt;"",P179&lt;&gt;"",R179="",T179=""),"Y",IF(AND(J179="",L179="",N179="",P179="",R179&lt;&gt;"",T179&lt;&gt;""),"Y",IF(AND(J179&lt;&gt;"",L179&lt;&gt;"",N179&lt;&gt;"",P179&lt;&gt;"",R179&lt;&gt;"",T179&lt;&gt;""),"Y",IF(AND(J179="",L179="",N179="",P179="",R179="",T179=""),"N/A","N"))))</f>
        <v>N/A</v>
      </c>
      <c r="AS179" s="1624" t="str">
        <f ca="1">IF(AND($C179&lt;&gt;"",OR(AR179="N",$V179="",$X179="",$Z179="",$AB179="",$AF179="",$AH179="",$AL179="",AD179="")),"N",IF(AND($C179="",OR(H179&lt;&gt;"",AR179="N",$V179&lt;&gt;"",$X179&lt;&gt;"",$Z179&lt;&gt;"",$AB179&lt;&gt;"",$AF179&lt;&gt;"",$AH179&lt;&gt;"",$AL179&lt;&gt;"",AD179&lt;&gt;"")),"N",IF(AND(H179="",$C179="",AR179="N/A",$V179="",$X179="",$Z179="",$AB179="",$AF179="",$AH179="",$AL179="",AD179=""),"N/A",IF(AND($C179&lt;&gt;"",AR179="Y",$V179&lt;&gt;"",$X179&lt;&gt;"",$Z179&lt;&gt;"",$AB179&lt;&gt;"",$AF179&lt;&gt;"",$AH179&lt;&gt;"",$AL179&lt;&gt;"",AD179&lt;&gt;""),"Y","N"))))</f>
        <v>N/A</v>
      </c>
      <c r="AT179" s="1761" t="b">
        <f ca="1">IF(AND($C179="",OR($J179&lt;&gt;"",$L179&lt;&gt;"",$N179&lt;&gt;"",$P179&lt;&gt;"",$V179&lt;&gt;"",$X179&lt;&gt;"",$Z179&lt;&gt;"",$AB179&lt;&gt;"",$AF179&lt;&gt;"",$AH179&lt;&gt;"",$AL179&lt;&gt;"")),TRUE,FALSE)</f>
        <v>0</v>
      </c>
      <c r="AU179" s="1761" t="b">
        <f>IF(OR(R179&lt;&gt;"",T179&lt;&gt;""),"false",IF(AND($C179&lt;&gt;"",$J179=""),TRUE,FALSE))</f>
        <v>0</v>
      </c>
      <c r="AV179" s="1761" t="b">
        <f>IF(OR(R179&lt;&gt;"",T179&lt;&gt;""),FALSE,IF(AND($C179&lt;&gt;"",$L179=""),TRUE,FALSE))</f>
        <v>0</v>
      </c>
      <c r="AW179" s="1761" t="b">
        <f>IF(OR(R179&lt;&gt;"",T179&lt;&gt;""),FALSE,IF(AND($C179&lt;&gt;"",$N179=""),TRUE,FALSE))</f>
        <v>0</v>
      </c>
      <c r="AX179" s="1761" t="b">
        <f>IF(OR(R179&lt;&gt;"",T179&lt;&gt;""),FALSE,IF(AND($C179&lt;&gt;"",$P179=""),TRUE,FALSE))</f>
        <v>0</v>
      </c>
      <c r="AY179" s="1761"/>
      <c r="AZ179" s="1761" t="b">
        <f>IF(OR(J179&lt;&gt;"",L179&lt;&gt;"",N179&lt;&gt;"",P179&lt;&gt;""),FALSE,IF(AND(C179&lt;&gt;"",R179=""),TRUE,FALSE))</f>
        <v>0</v>
      </c>
      <c r="BA179" s="1761"/>
      <c r="BB179" s="1761" t="b">
        <f>IF(OR(J179&lt;&gt;"",L179&lt;&gt;"",N179&lt;&gt;"",P179&lt;&gt;""),FALSE,IF(AND(C179&lt;&gt;"",T179=""),TRUE,FALSE))</f>
        <v>0</v>
      </c>
      <c r="BC179" s="1761" t="b">
        <f>IF(AND($C179&lt;&gt;"",$V179=""),TRUE,FALSE)</f>
        <v>0</v>
      </c>
      <c r="BD179" s="1761" t="b">
        <f ca="1">IF(AND(X179="",OR(Z179&lt;&gt;"",AB179&lt;&gt;"",AF179&lt;&gt;"",AH179&lt;&gt;"",AL179&lt;&gt;"",AD179&lt;&gt;"")),TRUE,FALSE)</f>
        <v>0</v>
      </c>
      <c r="BE179" s="1761" t="b">
        <f>IF(AND($C179&lt;&gt;"",$X179=""),TRUE,FALSE)</f>
        <v>0</v>
      </c>
      <c r="BF179" s="1761" t="b">
        <f>IF(Z179="",FALSE,IF(X179="",FALSE,IF(BG179=TRUE,FALSE,IF(OR(Z179&lt;BU179,Z179&gt;BaseYear),TRUE,FALSE))))</f>
        <v>0</v>
      </c>
      <c r="BG179" s="1761" t="b">
        <f>IF(AND($C179&lt;&gt;"",$Z179=""),TRUE,FALSE)</f>
        <v>0</v>
      </c>
      <c r="BH179" s="1761" t="b">
        <f>IF(AD179="",FALSE,IF(X179="",FALSE,IF(BJ179=TRUE,FALSE,IF(AB179&lt;BX179,TRUE,FALSE))))</f>
        <v>0</v>
      </c>
      <c r="BI179" s="1761" t="b">
        <f>IF(AD179="",FALSE,IF(X179="",FALSE,IF(BJ179=TRUE,FALSE,IF(AB179&gt;BY179,TRUE,FALSE))))</f>
        <v>0</v>
      </c>
      <c r="BJ179" s="1761" t="b">
        <f>IF(AND($C179&lt;&gt;"",$AB179=""),TRUE,FALSE)</f>
        <v>0</v>
      </c>
      <c r="BK179" s="1761" t="b">
        <f>IF(BL179=TRUE,FALSE,IF(OR(AF179&lt;0,AF179&gt;1),TRUE,FALSE))</f>
        <v>0</v>
      </c>
      <c r="BL179" s="1761" t="b">
        <f>IF(AND($C179&lt;&gt;"",$AF179=""),TRUE,FALSE)</f>
        <v>0</v>
      </c>
      <c r="BM179" s="1761"/>
      <c r="BN179" s="1761" t="b">
        <f ca="1">IF(AND($C179&lt;&gt;"",$AH179=""),TRUE,FALSE)</f>
        <v>0</v>
      </c>
      <c r="BO179" s="1761" t="b">
        <f>IF(AL179="",FALSE,IF(X179="",FALSE,IF(BP179=TRUE,FALSE,IF(OR(AL179&lt;1913,AL179&gt;BaseYear),TRUE,FALSE))))</f>
        <v>0</v>
      </c>
      <c r="BP179" s="1761" t="b">
        <f>IF(AND($C179&lt;&gt;"",$AL179=""),TRUE,FALSE)</f>
        <v>0</v>
      </c>
      <c r="BQ179" s="1761" t="b">
        <f>IF(AD179="Square Foot",FALSE,IF(AND(AD179="Parking Space",OR('A-20 PassFacInv'!X179=Valid!$B$7,'A-20 PassFacInv'!X179=Valid!$B$8,'A-20 PassFacInv'!X179=Valid!$B$9,'A-20 PassFacInv'!X179=Valid!$B$10,'A-20 PassFacInv'!X179=Valid!$B$12,'A-20 PassFacInv'!X179=Valid!$B$13,'A-20 PassFacInv'!X179=Valid!$B$14,'A-20 PassFacInv'!X179=Valid!$B$15,'A-20 PassFacInv'!X179=Valid!$B$16,'A-20 PassFacInv'!X179=Valid!$B$17,'A-20 PassFacInv'!X179=Valid!$B$18,X179=Valid!$B$19,X179=Valid!$B$20,X179=Valid!$B$21)),TRUE,FALSE))</f>
        <v>0</v>
      </c>
      <c r="BR179" s="1761" t="b">
        <f>IF(AND($C179&lt;&gt;"",$AD179=""),TRUE,FALSE)</f>
        <v>0</v>
      </c>
      <c r="BS179" s="721"/>
      <c r="BT179" s="1625" t="str">
        <f>IF($X179="","",VLOOKUP($X179,val_facilities,BT$3,FALSE))</f>
        <v/>
      </c>
      <c r="BU179" s="1627" t="str">
        <f>IF($X179="","",VLOOKUP($X179,val_facilities,BU$3,FALSE))</f>
        <v/>
      </c>
      <c r="BV179" s="1627" t="str">
        <f>IF($X179="","",VLOOKUP($X179,val_facilities,BV$3,FALSE))</f>
        <v/>
      </c>
      <c r="BW179" s="1627" t="str">
        <f ca="1">IFERROR(IF(Z179="", "", YEAR(TODAY())-Z179), "")</f>
        <v/>
      </c>
      <c r="BX179" s="845" t="str">
        <f>IF($X179="","",IF(AD179="Square Feet",VLOOKUP('A-20 PassFacInv'!X96,Valid!$B$7:$H$24,7,FALSE),IF(AD179="Parking Spaces",VLOOKUP(X179,Valid!$B$22:$L$24,11,FALSE))))</f>
        <v/>
      </c>
      <c r="BY179" s="845" t="str">
        <f>IF($X179="","",IF(AD179="Square Feet",VLOOKUP(X179,Valid!$B$7:$I$24,8,FALSE),IF('A-20 PassFacInv'!AD96="Parking Spaces",VLOOKUP('A-20 PassFacInv'!X96,Valid!$B$22:$M$24,12,FALSE))))</f>
        <v/>
      </c>
      <c r="BZ179" s="758"/>
      <c r="CA179" s="721">
        <f t="shared" si="3"/>
        <v>0</v>
      </c>
      <c r="CB179" s="816"/>
    </row>
    <row r="180" spans="1:80" s="1739" customFormat="1" ht="6.75" customHeight="1" thickBot="1" x14ac:dyDescent="0.25">
      <c r="A180" s="1638"/>
      <c r="B180" s="1746">
        <v>84.5</v>
      </c>
      <c r="C180" s="1057"/>
      <c r="D180" s="764"/>
      <c r="E180" s="1639"/>
      <c r="F180" s="1229"/>
      <c r="G180" s="1229"/>
      <c r="H180" s="1229"/>
      <c r="I180" s="1229"/>
      <c r="J180" s="1604"/>
      <c r="K180" s="1640"/>
      <c r="L180" s="1645"/>
      <c r="M180" s="1646"/>
      <c r="N180" s="1645"/>
      <c r="O180" s="1646"/>
      <c r="P180" s="1662"/>
      <c r="Q180" s="1646"/>
      <c r="R180" s="1660"/>
      <c r="S180" s="1640"/>
      <c r="T180" s="1660"/>
      <c r="U180" s="1640"/>
      <c r="V180" s="1057"/>
      <c r="W180" s="1618"/>
      <c r="X180" s="1747"/>
      <c r="Y180" s="1618"/>
      <c r="Z180" s="1623"/>
      <c r="AA180" s="1618"/>
      <c r="AB180" s="1944"/>
      <c r="AC180" s="1648"/>
      <c r="AD180" s="1661"/>
      <c r="AE180" s="841"/>
      <c r="AF180" s="841"/>
      <c r="AG180" s="1648"/>
      <c r="AH180" s="722"/>
      <c r="AI180" s="1648"/>
      <c r="AJ180" s="722"/>
      <c r="AK180" s="1648"/>
      <c r="AL180" s="1717"/>
      <c r="AM180" s="1648"/>
      <c r="AN180" s="1057"/>
      <c r="AO180" s="1644"/>
      <c r="AP180" s="1644"/>
      <c r="AQ180" s="1644"/>
      <c r="AR180" s="1644"/>
      <c r="AS180" s="1644"/>
      <c r="AT180" s="1761"/>
      <c r="AU180" s="1761"/>
      <c r="AV180" s="1761"/>
      <c r="AW180" s="1761"/>
      <c r="AX180" s="1761"/>
      <c r="AY180" s="1761"/>
      <c r="AZ180" s="1761"/>
      <c r="BA180" s="1761"/>
      <c r="BB180" s="1761"/>
      <c r="BC180" s="1762"/>
      <c r="BD180" s="1762"/>
      <c r="BE180" s="1762"/>
      <c r="BF180" s="1762"/>
      <c r="BG180" s="1762"/>
      <c r="BH180" s="1762"/>
      <c r="BI180" s="1762"/>
      <c r="BJ180" s="1762"/>
      <c r="BK180" s="1762"/>
      <c r="BL180" s="1762"/>
      <c r="BM180" s="1762"/>
      <c r="BN180" s="1762"/>
      <c r="BO180" s="1762"/>
      <c r="BP180" s="1762"/>
      <c r="BQ180" s="1762"/>
      <c r="BR180" s="1762"/>
      <c r="BS180" s="1736"/>
      <c r="BT180" s="1738"/>
      <c r="BU180" s="1738"/>
      <c r="BV180" s="1738"/>
      <c r="BW180" s="1738"/>
      <c r="BX180" s="1738"/>
      <c r="BY180" s="1738"/>
      <c r="BZ180" s="1229"/>
      <c r="CA180" s="721">
        <f t="shared" si="3"/>
        <v>0</v>
      </c>
      <c r="CB180" s="1748"/>
    </row>
    <row r="181" spans="1:80" s="1739" customFormat="1" x14ac:dyDescent="0.2">
      <c r="A181" s="840">
        <v>85</v>
      </c>
      <c r="B181" s="1746">
        <v>85</v>
      </c>
      <c r="C181" s="1740"/>
      <c r="D181" s="1248" t="str">
        <f>IF(C179="","",IF((C181=""),"Enter Facility "&amp;TEXT(A181,0)&amp;" Name, then Fill in Columns "&amp;TEXT($H$2,0)&amp;" - "&amp;TEXT($AL$2,0)&amp;"       ",""))</f>
        <v/>
      </c>
      <c r="E181" s="1245" t="str">
        <f ca="1">IF(AS181="N/A","",IF(AS181="N","No","Yes"))</f>
        <v/>
      </c>
      <c r="F181" s="758"/>
      <c r="G181" s="758"/>
      <c r="H181" s="1707"/>
      <c r="I181" s="758"/>
      <c r="J181" s="1653"/>
      <c r="K181" s="1248" t="str">
        <f ca="1">IF($E181&lt;&gt;"","Enter Street Address      ","")</f>
        <v/>
      </c>
      <c r="L181" s="1740"/>
      <c r="M181" s="1248" t="str">
        <f ca="1">IF($E181&lt;&gt;"","Enter City Name       ","")</f>
        <v/>
      </c>
      <c r="N181" s="1740"/>
      <c r="O181" s="1248" t="str">
        <f ca="1">IF($E181&lt;&gt;"","Select from Pull-Down List   ","")</f>
        <v/>
      </c>
      <c r="P181" s="1741"/>
      <c r="Q181" s="1248" t="str">
        <f ca="1">IF($E181&lt;&gt;"","Enter ZIP Code       ","")</f>
        <v/>
      </c>
      <c r="R181" s="1742"/>
      <c r="S181" s="1248" t="str">
        <f ca="1">IF(OR(N181&lt;&gt;"",P181&lt;&gt;"",J181&lt;&gt;"",L181&lt;&gt;""),"",IF($E181&lt;&gt;"","Enter Lat.      ",""))</f>
        <v/>
      </c>
      <c r="T181" s="1742"/>
      <c r="U181" s="1248" t="str">
        <f ca="1">IF(OR(N181&lt;&gt;"",P181&lt;&gt;"",J181&lt;&gt;"",L181&lt;&gt;""),"",IF($E181&lt;&gt;"","Enter Long.    ",""))</f>
        <v/>
      </c>
      <c r="V181" s="1653"/>
      <c r="W181" s="1618" t="str">
        <f ca="1">IF($E181&lt;&gt;"","Select from Pull-Down List  ","")</f>
        <v/>
      </c>
      <c r="X181" s="1653"/>
      <c r="Y181" s="1618" t="str">
        <f ca="1">IF($E181&lt;&gt;"","Select from Pull-Down List  ","")</f>
        <v/>
      </c>
      <c r="Z181" s="1743"/>
      <c r="AA181" s="1248" t="str">
        <f ca="1">IF(E181&lt;&gt;"","Year?   ","")</f>
        <v/>
      </c>
      <c r="AB181" s="1943"/>
      <c r="AC181" s="1620" t="str">
        <f ca="1">IF(E181="","",IF(X181="","Sq. Ft. or Spaces?   ",IF(OR(X181=Codes!$L$26,X181=Codes!$L$27,X181=Codes!$L$28),"Sq. Ft. or Spaces?   ",IF(OR(X181=Codes!$L$20,X181=Codes!$L$21,X181=Codes!$L$22,X181=Codes!$L$23,X181=Codes!$L$24,X181=Codes!$L$25),"Sq. Ft?     ",""))))</f>
        <v/>
      </c>
      <c r="AD181" s="1740"/>
      <c r="AE181" s="1618" t="str">
        <f ca="1">IF($E181&lt;&gt;"","Select from List     ","")</f>
        <v/>
      </c>
      <c r="AF181" s="1621"/>
      <c r="AG181" s="1618" t="str">
        <f ca="1">IF($E181&lt;&gt;"","% of Cap Resp.","")</f>
        <v/>
      </c>
      <c r="AH181" s="1801" t="str">
        <f ca="1">IF(BW181="", "", IF(BW181&gt;100, 1, VLOOKUP(BW181, Valid!$W$1:$AA$101, VLOOKUP(X181, Codes!$L$20:$N$28, 3, FALSE), FALSE)))</f>
        <v/>
      </c>
      <c r="AI181" s="1620" t="str">
        <f ca="1">IF($E181&lt;&gt;"","Estimated?  ","")</f>
        <v/>
      </c>
      <c r="AJ181" s="1654"/>
      <c r="AK181" s="1620" t="str">
        <f ca="1">IF($E181&lt;&gt;"","Condition?  ","")</f>
        <v/>
      </c>
      <c r="AL181" s="1730"/>
      <c r="AM181" s="1620" t="b">
        <f ca="1">IF(E181&lt;&gt;"","Est Date?    ")</f>
        <v>0</v>
      </c>
      <c r="AN181" s="1740"/>
      <c r="AO181" s="1248" t="str">
        <f>IF(X181="Other (describe in Notes)","Describe Facility.                                                                                                                        ","")</f>
        <v/>
      </c>
      <c r="AP181" s="1624"/>
      <c r="AQ181" s="1624" t="b">
        <f>IF(AND(C181="",C183&lt;&gt;""),TRUE,FALSE)</f>
        <v>0</v>
      </c>
      <c r="AR181" s="1624" t="str">
        <f>IF(AND(J181&lt;&gt;"",L181&lt;&gt;"",N181&lt;&gt;"",P181&lt;&gt;"",R181="",T181=""),"Y",IF(AND(J181="",L181="",N181="",P181="",R181&lt;&gt;"",T181&lt;&gt;""),"Y",IF(AND(J181&lt;&gt;"",L181&lt;&gt;"",N181&lt;&gt;"",P181&lt;&gt;"",R181&lt;&gt;"",T181&lt;&gt;""),"Y",IF(AND(J181="",L181="",N181="",P181="",R181="",T181=""),"N/A","N"))))</f>
        <v>N/A</v>
      </c>
      <c r="AS181" s="1624" t="str">
        <f ca="1">IF(AND($C181&lt;&gt;"",OR(AR181="N",$V181="",$X181="",$Z181="",$AB181="",$AF181="",$AH181="",$AL181="",AD181="")),"N",IF(AND($C181="",OR(H181&lt;&gt;"",AR181="N",$V181&lt;&gt;"",$X181&lt;&gt;"",$Z181&lt;&gt;"",$AB181&lt;&gt;"",$AF181&lt;&gt;"",$AH181&lt;&gt;"",$AL181&lt;&gt;"",AD181&lt;&gt;"")),"N",IF(AND(H181="",$C181="",AR181="N/A",$V181="",$X181="",$Z181="",$AB181="",$AF181="",$AH181="",$AL181="",AD181=""),"N/A",IF(AND($C181&lt;&gt;"",AR181="Y",$V181&lt;&gt;"",$X181&lt;&gt;"",$Z181&lt;&gt;"",$AB181&lt;&gt;"",$AF181&lt;&gt;"",$AH181&lt;&gt;"",$AL181&lt;&gt;"",AD181&lt;&gt;""),"Y","N"))))</f>
        <v>N/A</v>
      </c>
      <c r="AT181" s="1761" t="b">
        <f ca="1">IF(AND($C181="",OR($J181&lt;&gt;"",$L181&lt;&gt;"",$N181&lt;&gt;"",$P181&lt;&gt;"",$V181&lt;&gt;"",$X181&lt;&gt;"",$Z181&lt;&gt;"",$AB181&lt;&gt;"",$AF181&lt;&gt;"",$AH181&lt;&gt;"",$AL181&lt;&gt;"")),TRUE,FALSE)</f>
        <v>0</v>
      </c>
      <c r="AU181" s="1761" t="b">
        <f>IF(OR(R181&lt;&gt;"",T181&lt;&gt;""),"false",IF(AND($C181&lt;&gt;"",$J181=""),TRUE,FALSE))</f>
        <v>0</v>
      </c>
      <c r="AV181" s="1761" t="b">
        <f>IF(OR(R181&lt;&gt;"",T181&lt;&gt;""),FALSE,IF(AND($C181&lt;&gt;"",$L181=""),TRUE,FALSE))</f>
        <v>0</v>
      </c>
      <c r="AW181" s="1761" t="b">
        <f>IF(OR(R181&lt;&gt;"",T181&lt;&gt;""),FALSE,IF(AND($C181&lt;&gt;"",$N181=""),TRUE,FALSE))</f>
        <v>0</v>
      </c>
      <c r="AX181" s="1761" t="b">
        <f>IF(OR(R181&lt;&gt;"",T181&lt;&gt;""),FALSE,IF(AND($C181&lt;&gt;"",$P181=""),TRUE,FALSE))</f>
        <v>0</v>
      </c>
      <c r="AY181" s="1761"/>
      <c r="AZ181" s="1761" t="b">
        <f>IF(OR(J181&lt;&gt;"",L181&lt;&gt;"",N181&lt;&gt;"",P181&lt;&gt;""),FALSE,IF(AND(C181&lt;&gt;"",R181=""),TRUE,FALSE))</f>
        <v>0</v>
      </c>
      <c r="BA181" s="1761"/>
      <c r="BB181" s="1761" t="b">
        <f>IF(OR(J181&lt;&gt;"",L181&lt;&gt;"",N181&lt;&gt;"",P181&lt;&gt;""),FALSE,IF(AND(C181&lt;&gt;"",T181=""),TRUE,FALSE))</f>
        <v>0</v>
      </c>
      <c r="BC181" s="1761" t="b">
        <f>IF(AND($C181&lt;&gt;"",$V181=""),TRUE,FALSE)</f>
        <v>0</v>
      </c>
      <c r="BD181" s="1761" t="b">
        <f ca="1">IF(AND(X181="",OR(Z181&lt;&gt;"",AB181&lt;&gt;"",AF181&lt;&gt;"",AH181&lt;&gt;"",AL181&lt;&gt;"",AD181&lt;&gt;"")),TRUE,FALSE)</f>
        <v>0</v>
      </c>
      <c r="BE181" s="1761" t="b">
        <f>IF(AND($C181&lt;&gt;"",$X181=""),TRUE,FALSE)</f>
        <v>0</v>
      </c>
      <c r="BF181" s="1761" t="b">
        <f>IF(Z181="",FALSE,IF(X181="",FALSE,IF(BG181=TRUE,FALSE,IF(OR(Z181&lt;BU181,Z181&gt;BaseYear),TRUE,FALSE))))</f>
        <v>0</v>
      </c>
      <c r="BG181" s="1761" t="b">
        <f>IF(AND($C181&lt;&gt;"",$Z181=""),TRUE,FALSE)</f>
        <v>0</v>
      </c>
      <c r="BH181" s="1761" t="b">
        <f>IF(AD181="",FALSE,IF(X181="",FALSE,IF(BJ181=TRUE,FALSE,IF(AB181&lt;BX181,TRUE,FALSE))))</f>
        <v>0</v>
      </c>
      <c r="BI181" s="1761" t="b">
        <f>IF(AD181="",FALSE,IF(X181="",FALSE,IF(BJ181=TRUE,FALSE,IF(AB181&gt;BY181,TRUE,FALSE))))</f>
        <v>0</v>
      </c>
      <c r="BJ181" s="1761" t="b">
        <f>IF(AND($C181&lt;&gt;"",$AB181=""),TRUE,FALSE)</f>
        <v>0</v>
      </c>
      <c r="BK181" s="1761" t="b">
        <f>IF(BL181=TRUE,FALSE,IF(OR(AF181&lt;0,AF181&gt;1),TRUE,FALSE))</f>
        <v>0</v>
      </c>
      <c r="BL181" s="1761" t="b">
        <f>IF(AND($C181&lt;&gt;"",$AF181=""),TRUE,FALSE)</f>
        <v>0</v>
      </c>
      <c r="BM181" s="1761"/>
      <c r="BN181" s="1761" t="b">
        <f ca="1">IF(AND($C181&lt;&gt;"",$AH181=""),TRUE,FALSE)</f>
        <v>0</v>
      </c>
      <c r="BO181" s="1761" t="b">
        <f>IF(AL181="",FALSE,IF(X181="",FALSE,IF(BP181=TRUE,FALSE,IF(OR(AL181&lt;1913,AL181&gt;BaseYear),TRUE,FALSE))))</f>
        <v>0</v>
      </c>
      <c r="BP181" s="1761" t="b">
        <f>IF(AND($C181&lt;&gt;"",$AL181=""),TRUE,FALSE)</f>
        <v>0</v>
      </c>
      <c r="BQ181" s="1761" t="b">
        <f>IF(AD181="Square Foot",FALSE,IF(AND(AD181="Parking Space",OR('A-20 PassFacInv'!X181=Valid!$B$7,'A-20 PassFacInv'!X181=Valid!$B$8,'A-20 PassFacInv'!X181=Valid!$B$9,'A-20 PassFacInv'!X181=Valid!$B$10,'A-20 PassFacInv'!X181=Valid!$B$12,'A-20 PassFacInv'!X181=Valid!$B$13,'A-20 PassFacInv'!X181=Valid!$B$14,'A-20 PassFacInv'!X181=Valid!$B$15,'A-20 PassFacInv'!X181=Valid!$B$16,'A-20 PassFacInv'!X181=Valid!$B$17,'A-20 PassFacInv'!X181=Valid!$B$18,X181=Valid!$B$19,X181=Valid!$B$20,X181=Valid!$B$21)),TRUE,FALSE))</f>
        <v>0</v>
      </c>
      <c r="BR181" s="1761" t="b">
        <f>IF(AND($C181&lt;&gt;"",$AD181=""),TRUE,FALSE)</f>
        <v>0</v>
      </c>
      <c r="BS181" s="721"/>
      <c r="BT181" s="1625" t="str">
        <f>IF($X181="","",VLOOKUP($X181,val_facilities,BT$3,FALSE))</f>
        <v/>
      </c>
      <c r="BU181" s="1627" t="str">
        <f>IF($X181="","",VLOOKUP($X181,val_facilities,BU$3,FALSE))</f>
        <v/>
      </c>
      <c r="BV181" s="1627" t="str">
        <f>IF($X181="","",VLOOKUP($X181,val_facilities,BV$3,FALSE))</f>
        <v/>
      </c>
      <c r="BW181" s="1627" t="str">
        <f ca="1">IFERROR(IF(Z181="", "", YEAR(TODAY())-Z181), "")</f>
        <v/>
      </c>
      <c r="BX181" s="845" t="str">
        <f>IF($X181="","",IF(AD181="Square Feet",VLOOKUP('A-20 PassFacInv'!X97,Valid!$B$7:$H$24,7,FALSE),IF(AD181="Parking Spaces",VLOOKUP(X181,Valid!$B$22:$L$24,11,FALSE))))</f>
        <v/>
      </c>
      <c r="BY181" s="845" t="str">
        <f>IF($X181="","",IF(AD181="Square Feet",VLOOKUP(X181,Valid!$B$7:$I$24,8,FALSE),IF('A-20 PassFacInv'!AD97="Parking Spaces",VLOOKUP('A-20 PassFacInv'!X97,Valid!$B$22:$M$24,12,FALSE))))</f>
        <v/>
      </c>
      <c r="BZ181" s="758"/>
      <c r="CA181" s="721">
        <f t="shared" si="3"/>
        <v>0</v>
      </c>
      <c r="CB181" s="816"/>
    </row>
    <row r="182" spans="1:80" s="1739" customFormat="1" ht="6.75" customHeight="1" thickBot="1" x14ac:dyDescent="0.25">
      <c r="A182" s="1638"/>
      <c r="B182" s="1746">
        <v>85.5</v>
      </c>
      <c r="C182" s="1057"/>
      <c r="D182" s="1248"/>
      <c r="E182" s="1057"/>
      <c r="F182" s="1229"/>
      <c r="G182" s="1229"/>
      <c r="H182" s="1229"/>
      <c r="I182" s="1229"/>
      <c r="J182" s="1604"/>
      <c r="K182" s="1229"/>
      <c r="L182" s="1605"/>
      <c r="M182" s="1644"/>
      <c r="N182" s="1605"/>
      <c r="O182" s="1644"/>
      <c r="P182" s="1733"/>
      <c r="Q182" s="1644"/>
      <c r="R182" s="1663"/>
      <c r="S182" s="1229"/>
      <c r="T182" s="1663"/>
      <c r="U182" s="1229"/>
      <c r="V182" s="1057"/>
      <c r="W182" s="1623"/>
      <c r="X182" s="1747"/>
      <c r="Y182" s="1623"/>
      <c r="Z182" s="1623"/>
      <c r="AA182" s="1623"/>
      <c r="AB182" s="1944"/>
      <c r="AC182" s="841"/>
      <c r="AD182" s="1057"/>
      <c r="AE182" s="841"/>
      <c r="AF182" s="841"/>
      <c r="AG182" s="841"/>
      <c r="AH182" s="722"/>
      <c r="AI182" s="841"/>
      <c r="AJ182" s="722"/>
      <c r="AK182" s="841"/>
      <c r="AL182" s="1717"/>
      <c r="AM182" s="841"/>
      <c r="AN182" s="1057"/>
      <c r="AO182" s="1644"/>
      <c r="AP182" s="1644"/>
      <c r="AQ182" s="1644"/>
      <c r="AR182" s="1644"/>
      <c r="AS182" s="1644"/>
      <c r="AT182" s="1761"/>
      <c r="AU182" s="1761"/>
      <c r="AV182" s="1761"/>
      <c r="AW182" s="1761"/>
      <c r="AX182" s="1761"/>
      <c r="AY182" s="1761"/>
      <c r="AZ182" s="1761"/>
      <c r="BA182" s="1761"/>
      <c r="BB182" s="1761"/>
      <c r="BC182" s="1762"/>
      <c r="BD182" s="1762"/>
      <c r="BE182" s="1762"/>
      <c r="BF182" s="1762"/>
      <c r="BG182" s="1762"/>
      <c r="BH182" s="1762"/>
      <c r="BI182" s="1762"/>
      <c r="BJ182" s="1762"/>
      <c r="BK182" s="1762"/>
      <c r="BL182" s="1762"/>
      <c r="BM182" s="1762"/>
      <c r="BN182" s="1762"/>
      <c r="BO182" s="1762"/>
      <c r="BP182" s="1762"/>
      <c r="BQ182" s="1763"/>
      <c r="BR182" s="1762"/>
      <c r="BS182" s="1736"/>
      <c r="BT182" s="1738"/>
      <c r="BU182" s="1738"/>
      <c r="BV182" s="1738"/>
      <c r="BW182" s="1738"/>
      <c r="BX182" s="1738"/>
      <c r="BY182" s="1738"/>
      <c r="BZ182" s="1229"/>
      <c r="CA182" s="721">
        <f t="shared" si="3"/>
        <v>0</v>
      </c>
      <c r="CB182" s="1748"/>
    </row>
    <row r="183" spans="1:80" s="1739" customFormat="1" x14ac:dyDescent="0.2">
      <c r="A183" s="840">
        <v>86</v>
      </c>
      <c r="B183" s="1746">
        <v>86</v>
      </c>
      <c r="C183" s="1740"/>
      <c r="D183" s="1248" t="str">
        <f>IF(C181="","",IF((C183=""),"Enter Facility "&amp;TEXT(A183,0)&amp;" Name, then Fill in Columns "&amp;TEXT($H$2,0)&amp;" - "&amp;TEXT($AL$2,0)&amp;"       ",""))</f>
        <v/>
      </c>
      <c r="E183" s="1245" t="str">
        <f ca="1">IF(AS183="N/A","",IF(AS183="N","No","Yes"))</f>
        <v/>
      </c>
      <c r="F183" s="758"/>
      <c r="G183" s="758"/>
      <c r="H183" s="1707"/>
      <c r="I183" s="758"/>
      <c r="J183" s="1653"/>
      <c r="K183" s="1248" t="str">
        <f ca="1">IF($E183&lt;&gt;"","Enter Street Address      ","")</f>
        <v/>
      </c>
      <c r="L183" s="1740"/>
      <c r="M183" s="1248" t="str">
        <f ca="1">IF($E183&lt;&gt;"","Enter City Name       ","")</f>
        <v/>
      </c>
      <c r="N183" s="1740"/>
      <c r="O183" s="1248" t="str">
        <f ca="1">IF($E183&lt;&gt;"","Select from Pull-Down List   ","")</f>
        <v/>
      </c>
      <c r="P183" s="1741"/>
      <c r="Q183" s="1248" t="str">
        <f ca="1">IF($E183&lt;&gt;"","Enter ZIP Code       ","")</f>
        <v/>
      </c>
      <c r="R183" s="1742"/>
      <c r="S183" s="1248" t="str">
        <f ca="1">IF(OR(N183&lt;&gt;"",P183&lt;&gt;"",J183&lt;&gt;"",L183&lt;&gt;""),"",IF($E183&lt;&gt;"","Enter Lat.      ",""))</f>
        <v/>
      </c>
      <c r="T183" s="1742"/>
      <c r="U183" s="1248" t="str">
        <f ca="1">IF(OR(N183&lt;&gt;"",P183&lt;&gt;"",J183&lt;&gt;"",L183&lt;&gt;""),"",IF($E183&lt;&gt;"","Enter Long.    ",""))</f>
        <v/>
      </c>
      <c r="V183" s="1653"/>
      <c r="W183" s="1618" t="str">
        <f ca="1">IF($E183&lt;&gt;"","Select from Pull-Down List  ","")</f>
        <v/>
      </c>
      <c r="X183" s="1653"/>
      <c r="Y183" s="1618" t="str">
        <f ca="1">IF($E183&lt;&gt;"","Select from Pull-Down List  ","")</f>
        <v/>
      </c>
      <c r="Z183" s="1743"/>
      <c r="AA183" s="1248" t="str">
        <f ca="1">IF(E183&lt;&gt;"","Year?   ","")</f>
        <v/>
      </c>
      <c r="AB183" s="1943"/>
      <c r="AC183" s="1620" t="str">
        <f ca="1">IF(E183="","",IF(X183="","Sq. Ft. or Spaces?   ",IF(OR(X183=Codes!$L$26,X183=Codes!$L$27,X183=Codes!$L$28),"Sq. Ft. or Spaces?   ",IF(OR(X183=Codes!$L$20,X183=Codes!$L$21,X183=Codes!$L$22,X183=Codes!$L$23,X183=Codes!$L$24,X183=Codes!$L$25),"Sq. Ft?     ",""))))</f>
        <v/>
      </c>
      <c r="AD183" s="1740"/>
      <c r="AE183" s="1618" t="str">
        <f ca="1">IF($E183&lt;&gt;"","Select from List     ","")</f>
        <v/>
      </c>
      <c r="AF183" s="1621"/>
      <c r="AG183" s="1618" t="str">
        <f ca="1">IF($E183&lt;&gt;"","% of Cap Resp.","")</f>
        <v/>
      </c>
      <c r="AH183" s="1801" t="str">
        <f ca="1">IF(BW183="", "", IF(BW183&gt;100, 1, VLOOKUP(BW183, Valid!$W$1:$AA$101, VLOOKUP(X183, Codes!$L$20:$N$28, 3, FALSE), FALSE)))</f>
        <v/>
      </c>
      <c r="AI183" s="1620" t="str">
        <f ca="1">IF($E183&lt;&gt;"","Estimated?  ","")</f>
        <v/>
      </c>
      <c r="AJ183" s="1654"/>
      <c r="AK183" s="1620" t="str">
        <f ca="1">IF($E183&lt;&gt;"","Condition?  ","")</f>
        <v/>
      </c>
      <c r="AL183" s="1730"/>
      <c r="AM183" s="1620" t="b">
        <f ca="1">IF(E183&lt;&gt;"","Est Date?    ")</f>
        <v>0</v>
      </c>
      <c r="AN183" s="1740"/>
      <c r="AO183" s="1248" t="str">
        <f>IF(X183="Other (describe in Notes)","Describe Facility.                                                                                                                        ","")</f>
        <v/>
      </c>
      <c r="AP183" s="1624"/>
      <c r="AQ183" s="1624" t="b">
        <f>IF(AND(C183="",C185&lt;&gt;""),TRUE,FALSE)</f>
        <v>0</v>
      </c>
      <c r="AR183" s="1624" t="str">
        <f>IF(AND(J183&lt;&gt;"",L183&lt;&gt;"",N183&lt;&gt;"",P183&lt;&gt;"",R183="",T183=""),"Y",IF(AND(J183="",L183="",N183="",P183="",R183&lt;&gt;"",T183&lt;&gt;""),"Y",IF(AND(J183&lt;&gt;"",L183&lt;&gt;"",N183&lt;&gt;"",P183&lt;&gt;"",R183&lt;&gt;"",T183&lt;&gt;""),"Y",IF(AND(J183="",L183="",N183="",P183="",R183="",T183=""),"N/A","N"))))</f>
        <v>N/A</v>
      </c>
      <c r="AS183" s="1624" t="str">
        <f ca="1">IF(AND($C183&lt;&gt;"",OR(AR183="N",$V183="",$X183="",$Z183="",$AB183="",$AF183="",$AH183="",$AL183="",AD183="")),"N",IF(AND($C183="",OR(H183&lt;&gt;"",AR183="N",$V183&lt;&gt;"",$X183&lt;&gt;"",$Z183&lt;&gt;"",$AB183&lt;&gt;"",$AF183&lt;&gt;"",$AH183&lt;&gt;"",$AL183&lt;&gt;"",AD183&lt;&gt;"")),"N",IF(AND(H183="",$C183="",AR183="N/A",$V183="",$X183="",$Z183="",$AB183="",$AF183="",$AH183="",$AL183="",AD183=""),"N/A",IF(AND($C183&lt;&gt;"",AR183="Y",$V183&lt;&gt;"",$X183&lt;&gt;"",$Z183&lt;&gt;"",$AB183&lt;&gt;"",$AF183&lt;&gt;"",$AH183&lt;&gt;"",$AL183&lt;&gt;"",AD183&lt;&gt;""),"Y","N"))))</f>
        <v>N/A</v>
      </c>
      <c r="AT183" s="1761" t="b">
        <f ca="1">IF(AND($C183="",OR($J183&lt;&gt;"",$L183&lt;&gt;"",$N183&lt;&gt;"",$P183&lt;&gt;"",$V183&lt;&gt;"",$X183&lt;&gt;"",$Z183&lt;&gt;"",$AB183&lt;&gt;"",$AF183&lt;&gt;"",$AH183&lt;&gt;"",$AL183&lt;&gt;"")),TRUE,FALSE)</f>
        <v>0</v>
      </c>
      <c r="AU183" s="1761" t="b">
        <f>IF(OR(R183&lt;&gt;"",T183&lt;&gt;""),"false",IF(AND($C183&lt;&gt;"",$J183=""),TRUE,FALSE))</f>
        <v>0</v>
      </c>
      <c r="AV183" s="1761" t="b">
        <f>IF(OR(R183&lt;&gt;"",T183&lt;&gt;""),FALSE,IF(AND($C183&lt;&gt;"",$L183=""),TRUE,FALSE))</f>
        <v>0</v>
      </c>
      <c r="AW183" s="1761" t="b">
        <f>IF(OR(R183&lt;&gt;"",T183&lt;&gt;""),FALSE,IF(AND($C183&lt;&gt;"",$N183=""),TRUE,FALSE))</f>
        <v>0</v>
      </c>
      <c r="AX183" s="1761" t="b">
        <f>IF(OR(R183&lt;&gt;"",T183&lt;&gt;""),FALSE,IF(AND($C183&lt;&gt;"",$P183=""),TRUE,FALSE))</f>
        <v>0</v>
      </c>
      <c r="AY183" s="1761"/>
      <c r="AZ183" s="1761" t="b">
        <f>IF(OR(J183&lt;&gt;"",L183&lt;&gt;"",N183&lt;&gt;"",P183&lt;&gt;""),FALSE,IF(AND(C183&lt;&gt;"",R183=""),TRUE,FALSE))</f>
        <v>0</v>
      </c>
      <c r="BA183" s="1761"/>
      <c r="BB183" s="1761" t="b">
        <f>IF(OR(J183&lt;&gt;"",L183&lt;&gt;"",N183&lt;&gt;"",P183&lt;&gt;""),FALSE,IF(AND(C183&lt;&gt;"",T183=""),TRUE,FALSE))</f>
        <v>0</v>
      </c>
      <c r="BC183" s="1761" t="b">
        <f>IF(AND($C183&lt;&gt;"",$V183=""),TRUE,FALSE)</f>
        <v>0</v>
      </c>
      <c r="BD183" s="1761" t="b">
        <f ca="1">IF(AND(X183="",OR(Z183&lt;&gt;"",AB183&lt;&gt;"",AF183&lt;&gt;"",AH183&lt;&gt;"",AL183&lt;&gt;"",AD183&lt;&gt;"")),TRUE,FALSE)</f>
        <v>0</v>
      </c>
      <c r="BE183" s="1761" t="b">
        <f>IF(AND($C183&lt;&gt;"",$X183=""),TRUE,FALSE)</f>
        <v>0</v>
      </c>
      <c r="BF183" s="1761" t="b">
        <f>IF(Z183="",FALSE,IF(X183="",FALSE,IF(BG183=TRUE,FALSE,IF(OR(Z183&lt;BU183,Z183&gt;BaseYear),TRUE,FALSE))))</f>
        <v>0</v>
      </c>
      <c r="BG183" s="1761" t="b">
        <f>IF(AND($C183&lt;&gt;"",$Z183=""),TRUE,FALSE)</f>
        <v>0</v>
      </c>
      <c r="BH183" s="1761" t="b">
        <f>IF(AD183="",FALSE,IF(X183="",FALSE,IF(BJ183=TRUE,FALSE,IF(AB183&lt;BX183,TRUE,FALSE))))</f>
        <v>0</v>
      </c>
      <c r="BI183" s="1761" t="b">
        <f>IF(AD183="",FALSE,IF(X183="",FALSE,IF(BJ183=TRUE,FALSE,IF(AB183&gt;BY183,TRUE,FALSE))))</f>
        <v>0</v>
      </c>
      <c r="BJ183" s="1761" t="b">
        <f>IF(AND($C183&lt;&gt;"",$AB183=""),TRUE,FALSE)</f>
        <v>0</v>
      </c>
      <c r="BK183" s="1761" t="b">
        <f>IF(BL183=TRUE,FALSE,IF(OR(AF183&lt;0,AF183&gt;1),TRUE,FALSE))</f>
        <v>0</v>
      </c>
      <c r="BL183" s="1761" t="b">
        <f>IF(AND($C183&lt;&gt;"",$AF183=""),TRUE,FALSE)</f>
        <v>0</v>
      </c>
      <c r="BM183" s="1761"/>
      <c r="BN183" s="1761" t="b">
        <f ca="1">IF(AND($C183&lt;&gt;"",$AH183=""),TRUE,FALSE)</f>
        <v>0</v>
      </c>
      <c r="BO183" s="1761" t="b">
        <f>IF(AL183="",FALSE,IF(X183="",FALSE,IF(BP183=TRUE,FALSE,IF(OR(AL183&lt;1913,AL183&gt;BaseYear),TRUE,FALSE))))</f>
        <v>0</v>
      </c>
      <c r="BP183" s="1761" t="b">
        <f>IF(AND($C183&lt;&gt;"",$AL183=""),TRUE,FALSE)</f>
        <v>0</v>
      </c>
      <c r="BQ183" s="1761" t="b">
        <f>IF(AD183="Square Foot",FALSE,IF(AND(AD183="Parking Space",OR('A-20 PassFacInv'!X183=Valid!$B$7,'A-20 PassFacInv'!X183=Valid!$B$8,'A-20 PassFacInv'!X183=Valid!$B$9,'A-20 PassFacInv'!X183=Valid!$B$10,'A-20 PassFacInv'!X183=Valid!$B$12,'A-20 PassFacInv'!X183=Valid!$B$13,'A-20 PassFacInv'!X183=Valid!$B$14,'A-20 PassFacInv'!X183=Valid!$B$15,'A-20 PassFacInv'!X183=Valid!$B$16,'A-20 PassFacInv'!X183=Valid!$B$17,'A-20 PassFacInv'!X183=Valid!$B$18,X183=Valid!$B$19,X183=Valid!$B$20,X183=Valid!$B$21)),TRUE,FALSE))</f>
        <v>0</v>
      </c>
      <c r="BR183" s="1761" t="b">
        <f>IF(AND($C183&lt;&gt;"",$AD183=""),TRUE,FALSE)</f>
        <v>0</v>
      </c>
      <c r="BS183" s="721"/>
      <c r="BT183" s="1625" t="str">
        <f>IF($X183="","",VLOOKUP($X183,val_facilities,BT$3,FALSE))</f>
        <v/>
      </c>
      <c r="BU183" s="1627" t="str">
        <f>IF($X183="","",VLOOKUP($X183,val_facilities,BU$3,FALSE))</f>
        <v/>
      </c>
      <c r="BV183" s="1627" t="str">
        <f>IF($X183="","",VLOOKUP($X183,val_facilities,BV$3,FALSE))</f>
        <v/>
      </c>
      <c r="BW183" s="1627" t="str">
        <f ca="1">IFERROR(IF(Z183="", "", YEAR(TODAY())-Z183), "")</f>
        <v/>
      </c>
      <c r="BX183" s="845" t="str">
        <f>IF($X183="","",IF(AD183="Square Feet",VLOOKUP('A-20 PassFacInv'!X98,Valid!$B$7:$H$24,7,FALSE),IF(AD183="Parking Spaces",VLOOKUP(X183,Valid!$B$22:$L$24,11,FALSE))))</f>
        <v/>
      </c>
      <c r="BY183" s="845" t="str">
        <f>IF($X183="","",IF(AD183="Square Feet",VLOOKUP(X183,Valid!$B$7:$I$24,8,FALSE),IF('A-20 PassFacInv'!AD98="Parking Spaces",VLOOKUP('A-20 PassFacInv'!X98,Valid!$B$22:$M$24,12,FALSE))))</f>
        <v/>
      </c>
      <c r="BZ183" s="758"/>
      <c r="CA183" s="721">
        <f t="shared" si="3"/>
        <v>0</v>
      </c>
      <c r="CB183" s="816"/>
    </row>
    <row r="184" spans="1:80" s="1739" customFormat="1" ht="6.75" customHeight="1" thickBot="1" x14ac:dyDescent="0.25">
      <c r="A184" s="1638"/>
      <c r="B184" s="1746">
        <v>86.5</v>
      </c>
      <c r="C184" s="1057"/>
      <c r="D184" s="1248"/>
      <c r="E184" s="1639"/>
      <c r="F184" s="1229"/>
      <c r="G184" s="1229"/>
      <c r="H184" s="1229"/>
      <c r="I184" s="1229"/>
      <c r="J184" s="1604"/>
      <c r="K184" s="1640"/>
      <c r="L184" s="1641"/>
      <c r="M184" s="1248"/>
      <c r="N184" s="1641"/>
      <c r="O184" s="1248"/>
      <c r="P184" s="1659"/>
      <c r="Q184" s="1248"/>
      <c r="R184" s="1660"/>
      <c r="S184" s="1640"/>
      <c r="T184" s="1660"/>
      <c r="U184" s="1640"/>
      <c r="V184" s="1057"/>
      <c r="W184" s="1618"/>
      <c r="X184" s="1747"/>
      <c r="Y184" s="1618"/>
      <c r="Z184" s="1623"/>
      <c r="AA184" s="1618"/>
      <c r="AB184" s="1944"/>
      <c r="AC184" s="1275"/>
      <c r="AD184" s="1661"/>
      <c r="AE184" s="734"/>
      <c r="AF184" s="1748"/>
      <c r="AG184" s="1275"/>
      <c r="AH184" s="722"/>
      <c r="AI184" s="1275"/>
      <c r="AJ184" s="733"/>
      <c r="AK184" s="1275"/>
      <c r="AL184" s="1721"/>
      <c r="AM184" s="1275"/>
      <c r="AN184" s="1057"/>
      <c r="AO184" s="1644"/>
      <c r="AP184" s="1644"/>
      <c r="AQ184" s="1644"/>
      <c r="AR184" s="1644"/>
      <c r="AS184" s="1644"/>
      <c r="AT184" s="1761"/>
      <c r="AU184" s="1761"/>
      <c r="AV184" s="1761"/>
      <c r="AW184" s="1761"/>
      <c r="AX184" s="1761"/>
      <c r="AY184" s="1761"/>
      <c r="AZ184" s="1761"/>
      <c r="BA184" s="1761"/>
      <c r="BB184" s="1761"/>
      <c r="BC184" s="1762"/>
      <c r="BD184" s="1762"/>
      <c r="BE184" s="1762"/>
      <c r="BF184" s="1762"/>
      <c r="BG184" s="1762"/>
      <c r="BH184" s="1762"/>
      <c r="BI184" s="1762"/>
      <c r="BJ184" s="1762"/>
      <c r="BK184" s="1762"/>
      <c r="BL184" s="1762"/>
      <c r="BM184" s="1762"/>
      <c r="BN184" s="1762"/>
      <c r="BO184" s="1762"/>
      <c r="BP184" s="1762"/>
      <c r="BQ184" s="1762"/>
      <c r="BR184" s="1762"/>
      <c r="BS184" s="1736"/>
      <c r="BT184" s="1738"/>
      <c r="BU184" s="1738"/>
      <c r="BV184" s="1738"/>
      <c r="BW184" s="1738"/>
      <c r="BX184" s="1738"/>
      <c r="BY184" s="1738"/>
      <c r="BZ184" s="1229"/>
      <c r="CA184" s="721">
        <f t="shared" si="3"/>
        <v>0</v>
      </c>
      <c r="CB184" s="816"/>
    </row>
    <row r="185" spans="1:80" s="1739" customFormat="1" x14ac:dyDescent="0.2">
      <c r="A185" s="840">
        <v>87</v>
      </c>
      <c r="B185" s="1731">
        <v>87</v>
      </c>
      <c r="C185" s="1740"/>
      <c r="D185" s="1248" t="str">
        <f>IF(C183="","",IF((C185=""),"Enter Facility "&amp;TEXT(A185,0)&amp;" Name, then Fill in Columns "&amp;TEXT($H$2,0)&amp;" - "&amp;TEXT($AL$2,0)&amp;"       ",""))</f>
        <v/>
      </c>
      <c r="E185" s="1245" t="str">
        <f ca="1">IF(AS185="N/A","",IF(AS185="N","No","Yes"))</f>
        <v/>
      </c>
      <c r="F185" s="758"/>
      <c r="G185" s="758"/>
      <c r="H185" s="1707"/>
      <c r="I185" s="758"/>
      <c r="J185" s="1653"/>
      <c r="K185" s="1248" t="str">
        <f ca="1">IF($E185&lt;&gt;"","Enter Street Address      ","")</f>
        <v/>
      </c>
      <c r="L185" s="1740"/>
      <c r="M185" s="1248" t="str">
        <f ca="1">IF($E185&lt;&gt;"","Enter City Name       ","")</f>
        <v/>
      </c>
      <c r="N185" s="1740"/>
      <c r="O185" s="1248" t="str">
        <f ca="1">IF($E185&lt;&gt;"","Select from Pull-Down List   ","")</f>
        <v/>
      </c>
      <c r="P185" s="1741"/>
      <c r="Q185" s="1248" t="str">
        <f ca="1">IF($E185&lt;&gt;"","Enter ZIP Code       ","")</f>
        <v/>
      </c>
      <c r="R185" s="1742"/>
      <c r="S185" s="1248" t="str">
        <f ca="1">IF(OR(N185&lt;&gt;"",P185&lt;&gt;"",J185&lt;&gt;"",L185&lt;&gt;""),"",IF($E185&lt;&gt;"","Enter Lat.      ",""))</f>
        <v/>
      </c>
      <c r="T185" s="1742"/>
      <c r="U185" s="1248" t="str">
        <f ca="1">IF(OR(N185&lt;&gt;"",P185&lt;&gt;"",J185&lt;&gt;"",L185&lt;&gt;""),"",IF($E185&lt;&gt;"","Enter Long.    ",""))</f>
        <v/>
      </c>
      <c r="V185" s="1653"/>
      <c r="W185" s="1618" t="str">
        <f ca="1">IF($E185&lt;&gt;"","Select from Pull-Down List  ","")</f>
        <v/>
      </c>
      <c r="X185" s="1653"/>
      <c r="Y185" s="1618" t="str">
        <f ca="1">IF($E185&lt;&gt;"","Select from Pull-Down List  ","")</f>
        <v/>
      </c>
      <c r="Z185" s="1743"/>
      <c r="AA185" s="1248" t="str">
        <f ca="1">IF(E185&lt;&gt;"","Year?   ","")</f>
        <v/>
      </c>
      <c r="AB185" s="1943"/>
      <c r="AC185" s="1620" t="str">
        <f ca="1">IF(E185="","",IF(X185="","Sq. Ft. or Spaces?   ",IF(OR(X185=Codes!$L$26,X185=Codes!$L$27,X185=Codes!$L$28),"Sq. Ft. or Spaces?   ",IF(OR(X185=Codes!$L$20,X185=Codes!$L$21,X185=Codes!$L$22,X185=Codes!$L$23,X185=Codes!$L$24,X185=Codes!$L$25),"Sq. Ft?     ",""))))</f>
        <v/>
      </c>
      <c r="AD185" s="1740"/>
      <c r="AE185" s="1618" t="str">
        <f ca="1">IF($E185&lt;&gt;"","Select from List     ","")</f>
        <v/>
      </c>
      <c r="AF185" s="1621"/>
      <c r="AG185" s="1618" t="str">
        <f ca="1">IF($E185&lt;&gt;"","% of Cap Resp.","")</f>
        <v/>
      </c>
      <c r="AH185" s="1801" t="str">
        <f ca="1">IF(BW185="", "", IF(BW185&gt;100, 1, VLOOKUP(BW185, Valid!$W$1:$AA$101, VLOOKUP(X185, Codes!$L$20:$N$28, 3, FALSE), FALSE)))</f>
        <v/>
      </c>
      <c r="AI185" s="1620" t="str">
        <f ca="1">IF($E185&lt;&gt;"","Estimated?  ","")</f>
        <v/>
      </c>
      <c r="AJ185" s="1654"/>
      <c r="AK185" s="1620" t="str">
        <f ca="1">IF($E185&lt;&gt;"","Condition?  ","")</f>
        <v/>
      </c>
      <c r="AL185" s="1730"/>
      <c r="AM185" s="1620" t="b">
        <f ca="1">IF(E185&lt;&gt;"","Est Date?    ")</f>
        <v>0</v>
      </c>
      <c r="AN185" s="1740"/>
      <c r="AO185" s="1248" t="str">
        <f>IF(X185="Other (describe in Notes)","Describe Facility.                                                                                                                        ","")</f>
        <v/>
      </c>
      <c r="AP185" s="1624"/>
      <c r="AQ185" s="1624" t="b">
        <f>IF(AND(C185="",C187&lt;&gt;""),TRUE,FALSE)</f>
        <v>0</v>
      </c>
      <c r="AR185" s="1624" t="str">
        <f>IF(AND(J185&lt;&gt;"",L185&lt;&gt;"",N185&lt;&gt;"",P185&lt;&gt;"",R185="",T185=""),"Y",IF(AND(J185="",L185="",N185="",P185="",R185&lt;&gt;"",T185&lt;&gt;""),"Y",IF(AND(J185&lt;&gt;"",L185&lt;&gt;"",N185&lt;&gt;"",P185&lt;&gt;"",R185&lt;&gt;"",T185&lt;&gt;""),"Y",IF(AND(J185="",L185="",N185="",P185="",R185="",T185=""),"N/A","N"))))</f>
        <v>N/A</v>
      </c>
      <c r="AS185" s="1624" t="str">
        <f ca="1">IF(AND($C185&lt;&gt;"",OR(AR185="N",$V185="",$X185="",$Z185="",$AB185="",$AF185="",$AH185="",$AL185="",AD185="")),"N",IF(AND($C185="",OR(H185&lt;&gt;"",AR185="N",$V185&lt;&gt;"",$X185&lt;&gt;"",$Z185&lt;&gt;"",$AB185&lt;&gt;"",$AF185&lt;&gt;"",$AH185&lt;&gt;"",$AL185&lt;&gt;"",AD185&lt;&gt;"")),"N",IF(AND(H185="",$C185="",AR185="N/A",$V185="",$X185="",$Z185="",$AB185="",$AF185="",$AH185="",$AL185="",AD185=""),"N/A",IF(AND($C185&lt;&gt;"",AR185="Y",$V185&lt;&gt;"",$X185&lt;&gt;"",$Z185&lt;&gt;"",$AB185&lt;&gt;"",$AF185&lt;&gt;"",$AH185&lt;&gt;"",$AL185&lt;&gt;"",AD185&lt;&gt;""),"Y","N"))))</f>
        <v>N/A</v>
      </c>
      <c r="AT185" s="1761" t="b">
        <f ca="1">IF(AND($C185="",OR($J185&lt;&gt;"",$L185&lt;&gt;"",$N185&lt;&gt;"",$P185&lt;&gt;"",$V185&lt;&gt;"",$X185&lt;&gt;"",$Z185&lt;&gt;"",$AB185&lt;&gt;"",$AF185&lt;&gt;"",$AH185&lt;&gt;"",$AL185&lt;&gt;"")),TRUE,FALSE)</f>
        <v>0</v>
      </c>
      <c r="AU185" s="1761" t="b">
        <f>IF(OR(R185&lt;&gt;"",T185&lt;&gt;""),"false",IF(AND($C185&lt;&gt;"",$J185=""),TRUE,FALSE))</f>
        <v>0</v>
      </c>
      <c r="AV185" s="1761" t="b">
        <f>IF(OR(R185&lt;&gt;"",T185&lt;&gt;""),FALSE,IF(AND($C185&lt;&gt;"",$L185=""),TRUE,FALSE))</f>
        <v>0</v>
      </c>
      <c r="AW185" s="1761" t="b">
        <f>IF(OR(R185&lt;&gt;"",T185&lt;&gt;""),FALSE,IF(AND($C185&lt;&gt;"",$N185=""),TRUE,FALSE))</f>
        <v>0</v>
      </c>
      <c r="AX185" s="1761" t="b">
        <f>IF(OR(R185&lt;&gt;"",T185&lt;&gt;""),FALSE,IF(AND($C185&lt;&gt;"",$P185=""),TRUE,FALSE))</f>
        <v>0</v>
      </c>
      <c r="AY185" s="1761"/>
      <c r="AZ185" s="1761" t="b">
        <f>IF(OR(J185&lt;&gt;"",L185&lt;&gt;"",N185&lt;&gt;"",P185&lt;&gt;""),FALSE,IF(AND(C185&lt;&gt;"",R185=""),TRUE,FALSE))</f>
        <v>0</v>
      </c>
      <c r="BA185" s="1761"/>
      <c r="BB185" s="1761" t="b">
        <f>IF(OR(J185&lt;&gt;"",L185&lt;&gt;"",N185&lt;&gt;"",P185&lt;&gt;""),FALSE,IF(AND(C185&lt;&gt;"",T185=""),TRUE,FALSE))</f>
        <v>0</v>
      </c>
      <c r="BC185" s="1761" t="b">
        <f>IF(AND($C185&lt;&gt;"",$V185=""),TRUE,FALSE)</f>
        <v>0</v>
      </c>
      <c r="BD185" s="1761" t="b">
        <f ca="1">IF(AND(X185="",OR(Z185&lt;&gt;"",AB185&lt;&gt;"",AF185&lt;&gt;"",AH185&lt;&gt;"",AL185&lt;&gt;"",AD185&lt;&gt;"")),TRUE,FALSE)</f>
        <v>0</v>
      </c>
      <c r="BE185" s="1761" t="b">
        <f>IF(AND($C185&lt;&gt;"",$X185=""),TRUE,FALSE)</f>
        <v>0</v>
      </c>
      <c r="BF185" s="1761" t="b">
        <f>IF(Z185="",FALSE,IF(X185="",FALSE,IF(BG185=TRUE,FALSE,IF(OR(Z185&lt;BU185,Z185&gt;BaseYear),TRUE,FALSE))))</f>
        <v>0</v>
      </c>
      <c r="BG185" s="1761" t="b">
        <f>IF(AND($C185&lt;&gt;"",$Z185=""),TRUE,FALSE)</f>
        <v>0</v>
      </c>
      <c r="BH185" s="1761" t="b">
        <f>IF(AD185="",FALSE,IF(X185="",FALSE,IF(BJ185=TRUE,FALSE,IF(AB185&lt;BX185,TRUE,FALSE))))</f>
        <v>0</v>
      </c>
      <c r="BI185" s="1761" t="b">
        <f>IF(AD185="",FALSE,IF(X185="",FALSE,IF(BJ185=TRUE,FALSE,IF(AB185&gt;BY185,TRUE,FALSE))))</f>
        <v>0</v>
      </c>
      <c r="BJ185" s="1761" t="b">
        <f>IF(AND($C185&lt;&gt;"",$AB185=""),TRUE,FALSE)</f>
        <v>0</v>
      </c>
      <c r="BK185" s="1761" t="b">
        <f>IF(BL185=TRUE,FALSE,IF(OR(AF185&lt;0,AF185&gt;1),TRUE,FALSE))</f>
        <v>0</v>
      </c>
      <c r="BL185" s="1761" t="b">
        <f>IF(AND($C185&lt;&gt;"",$AF185=""),TRUE,FALSE)</f>
        <v>0</v>
      </c>
      <c r="BM185" s="1761"/>
      <c r="BN185" s="1761" t="b">
        <f ca="1">IF(AND($C185&lt;&gt;"",$AH185=""),TRUE,FALSE)</f>
        <v>0</v>
      </c>
      <c r="BO185" s="1761" t="b">
        <f>IF(AL185="",FALSE,IF(X185="",FALSE,IF(BP185=TRUE,FALSE,IF(OR(AL185&lt;1913,AL185&gt;BaseYear),TRUE,FALSE))))</f>
        <v>0</v>
      </c>
      <c r="BP185" s="1761" t="b">
        <f>IF(AND($C185&lt;&gt;"",$AL185=""),TRUE,FALSE)</f>
        <v>0</v>
      </c>
      <c r="BQ185" s="1761" t="b">
        <f>IF(AD185="Square Foot",FALSE,IF(AND(AD185="Parking Space",OR('A-20 PassFacInv'!X185=Valid!$B$7,'A-20 PassFacInv'!X185=Valid!$B$8,'A-20 PassFacInv'!X185=Valid!$B$9,'A-20 PassFacInv'!X185=Valid!$B$10,'A-20 PassFacInv'!X185=Valid!$B$12,'A-20 PassFacInv'!X185=Valid!$B$13,'A-20 PassFacInv'!X185=Valid!$B$14,'A-20 PassFacInv'!X185=Valid!$B$15,'A-20 PassFacInv'!X185=Valid!$B$16,'A-20 PassFacInv'!X185=Valid!$B$17,'A-20 PassFacInv'!X185=Valid!$B$18,X185=Valid!$B$19,X185=Valid!$B$20,X185=Valid!$B$21)),TRUE,FALSE))</f>
        <v>0</v>
      </c>
      <c r="BR185" s="1761" t="b">
        <f>IF(AND($C185&lt;&gt;"",$AD185=""),TRUE,FALSE)</f>
        <v>0</v>
      </c>
      <c r="BS185" s="721"/>
      <c r="BT185" s="1625" t="str">
        <f>IF($X185="","",VLOOKUP($X185,val_facilities,BT$3,FALSE))</f>
        <v/>
      </c>
      <c r="BU185" s="1627" t="str">
        <f>IF($X185="","",VLOOKUP($X185,val_facilities,BU$3,FALSE))</f>
        <v/>
      </c>
      <c r="BV185" s="1627" t="str">
        <f>IF($X185="","",VLOOKUP($X185,val_facilities,BV$3,FALSE))</f>
        <v/>
      </c>
      <c r="BW185" s="1627" t="str">
        <f ca="1">IFERROR(IF(Z185="", "", YEAR(TODAY())-Z185), "")</f>
        <v/>
      </c>
      <c r="BX185" s="845" t="str">
        <f>IF($X185="","",IF(AD185="Square Feet",VLOOKUP('A-20 PassFacInv'!X99,Valid!$B$7:$H$24,7,FALSE),IF(AD185="Parking Spaces",VLOOKUP(X185,Valid!$B$22:$L$24,11,FALSE))))</f>
        <v/>
      </c>
      <c r="BY185" s="845" t="str">
        <f>IF($X185="","",IF(AD185="Square Feet",VLOOKUP(X185,Valid!$B$7:$I$24,8,FALSE),IF('A-20 PassFacInv'!AD99="Parking Spaces",VLOOKUP('A-20 PassFacInv'!X99,Valid!$B$22:$M$24,12,FALSE))))</f>
        <v/>
      </c>
      <c r="BZ185" s="758"/>
      <c r="CA185" s="721">
        <f t="shared" si="3"/>
        <v>0</v>
      </c>
      <c r="CB185" s="816"/>
    </row>
    <row r="186" spans="1:80" s="1739" customFormat="1" ht="6.75" customHeight="1" thickBot="1" x14ac:dyDescent="0.25">
      <c r="A186" s="1638"/>
      <c r="B186" s="1746">
        <v>87.5</v>
      </c>
      <c r="C186" s="1057"/>
      <c r="D186" s="764"/>
      <c r="E186" s="1057"/>
      <c r="F186" s="1229"/>
      <c r="G186" s="1229"/>
      <c r="H186" s="1229"/>
      <c r="I186" s="1229"/>
      <c r="J186" s="1604"/>
      <c r="K186" s="1640"/>
      <c r="L186" s="1605"/>
      <c r="M186" s="1646"/>
      <c r="N186" s="1605"/>
      <c r="O186" s="1646"/>
      <c r="P186" s="1733"/>
      <c r="Q186" s="1646"/>
      <c r="R186" s="1660"/>
      <c r="S186" s="1640"/>
      <c r="T186" s="1660"/>
      <c r="U186" s="1640"/>
      <c r="V186" s="1057"/>
      <c r="W186" s="1618"/>
      <c r="X186" s="1747"/>
      <c r="Y186" s="1618"/>
      <c r="Z186" s="1623"/>
      <c r="AA186" s="1618"/>
      <c r="AB186" s="1944"/>
      <c r="AC186" s="1648"/>
      <c r="AD186" s="1661"/>
      <c r="AE186" s="841"/>
      <c r="AF186" s="841"/>
      <c r="AG186" s="1648"/>
      <c r="AH186" s="733"/>
      <c r="AI186" s="1648"/>
      <c r="AJ186" s="722"/>
      <c r="AK186" s="1648"/>
      <c r="AL186" s="1717"/>
      <c r="AM186" s="1648"/>
      <c r="AN186" s="1057"/>
      <c r="AO186" s="1644"/>
      <c r="AP186" s="1644"/>
      <c r="AQ186" s="1644"/>
      <c r="AR186" s="1644"/>
      <c r="AS186" s="1644"/>
      <c r="AT186" s="1761"/>
      <c r="AU186" s="1761"/>
      <c r="AV186" s="1761"/>
      <c r="AW186" s="1761"/>
      <c r="AX186" s="1761"/>
      <c r="AY186" s="1761"/>
      <c r="AZ186" s="1761"/>
      <c r="BA186" s="1761"/>
      <c r="BB186" s="1761"/>
      <c r="BC186" s="1762"/>
      <c r="BD186" s="1762"/>
      <c r="BE186" s="1762"/>
      <c r="BF186" s="1762"/>
      <c r="BG186" s="1762"/>
      <c r="BH186" s="1762"/>
      <c r="BI186" s="1762"/>
      <c r="BJ186" s="1762"/>
      <c r="BK186" s="1762"/>
      <c r="BL186" s="1762"/>
      <c r="BM186" s="1762"/>
      <c r="BN186" s="1762"/>
      <c r="BO186" s="1762"/>
      <c r="BP186" s="1762"/>
      <c r="BQ186" s="1762"/>
      <c r="BR186" s="1762"/>
      <c r="BS186" s="1736"/>
      <c r="BT186" s="1738"/>
      <c r="BU186" s="1738"/>
      <c r="BV186" s="1738"/>
      <c r="BW186" s="1738"/>
      <c r="BX186" s="1738"/>
      <c r="BY186" s="1738"/>
      <c r="BZ186" s="1229"/>
      <c r="CA186" s="721">
        <f t="shared" si="3"/>
        <v>0</v>
      </c>
      <c r="CB186" s="1748"/>
    </row>
    <row r="187" spans="1:80" s="1739" customFormat="1" x14ac:dyDescent="0.2">
      <c r="A187" s="840">
        <v>88</v>
      </c>
      <c r="B187" s="1746">
        <v>88</v>
      </c>
      <c r="C187" s="1740"/>
      <c r="D187" s="1248" t="str">
        <f>IF(C185="","",IF((C187=""),"Enter Facility "&amp;TEXT(A187,0)&amp;" Name, then Fill in Columns "&amp;TEXT($H$2,0)&amp;" - "&amp;TEXT($AL$2,0)&amp;"       ",""))</f>
        <v/>
      </c>
      <c r="E187" s="1245" t="str">
        <f ca="1">IF(AS187="N/A","",IF(AS187="N","No","Yes"))</f>
        <v/>
      </c>
      <c r="F187" s="758"/>
      <c r="G187" s="758"/>
      <c r="H187" s="1707"/>
      <c r="I187" s="758"/>
      <c r="J187" s="1653"/>
      <c r="K187" s="1248" t="str">
        <f ca="1">IF($E187&lt;&gt;"","Enter Street Address      ","")</f>
        <v/>
      </c>
      <c r="L187" s="1740"/>
      <c r="M187" s="1248" t="str">
        <f ca="1">IF($E187&lt;&gt;"","Enter City Name       ","")</f>
        <v/>
      </c>
      <c r="N187" s="1740"/>
      <c r="O187" s="1248" t="str">
        <f ca="1">IF($E187&lt;&gt;"","Select from Pull-Down List   ","")</f>
        <v/>
      </c>
      <c r="P187" s="1741"/>
      <c r="Q187" s="1248" t="str">
        <f ca="1">IF($E187&lt;&gt;"","Enter ZIP Code       ","")</f>
        <v/>
      </c>
      <c r="R187" s="1742"/>
      <c r="S187" s="1248" t="str">
        <f ca="1">IF(OR(N187&lt;&gt;"",P187&lt;&gt;"",J187&lt;&gt;"",L187&lt;&gt;""),"",IF($E187&lt;&gt;"","Enter Lat.      ",""))</f>
        <v/>
      </c>
      <c r="T187" s="1742"/>
      <c r="U187" s="1248" t="str">
        <f ca="1">IF(OR(N187&lt;&gt;"",P187&lt;&gt;"",J187&lt;&gt;"",L187&lt;&gt;""),"",IF($E187&lt;&gt;"","Enter Long.    ",""))</f>
        <v/>
      </c>
      <c r="V187" s="1653"/>
      <c r="W187" s="1618" t="str">
        <f ca="1">IF($E187&lt;&gt;"","Select from Pull-Down List  ","")</f>
        <v/>
      </c>
      <c r="X187" s="1653"/>
      <c r="Y187" s="1618" t="str">
        <f ca="1">IF($E187&lt;&gt;"","Select from Pull-Down List  ","")</f>
        <v/>
      </c>
      <c r="Z187" s="1743"/>
      <c r="AA187" s="1248" t="str">
        <f ca="1">IF(E187&lt;&gt;"","Year?   ","")</f>
        <v/>
      </c>
      <c r="AB187" s="1943"/>
      <c r="AC187" s="1620" t="str">
        <f ca="1">IF(E187="","",IF(X187="","Sq. Ft. or Spaces?   ",IF(OR(X187=Codes!$L$26,X187=Codes!$L$27,X187=Codes!$L$28),"Sq. Ft. or Spaces?   ",IF(OR(X187=Codes!$L$20,X187=Codes!$L$21,X187=Codes!$L$22,X187=Codes!$L$23,X187=Codes!$L$24,X187=Codes!$L$25),"Sq. Ft?     ",""))))</f>
        <v/>
      </c>
      <c r="AD187" s="1740"/>
      <c r="AE187" s="1618" t="str">
        <f ca="1">IF($E187&lt;&gt;"","Select from List     ","")</f>
        <v/>
      </c>
      <c r="AF187" s="1621"/>
      <c r="AG187" s="1618" t="str">
        <f ca="1">IF($E187&lt;&gt;"","% of Cap Resp.","")</f>
        <v/>
      </c>
      <c r="AH187" s="1801" t="str">
        <f ca="1">IF(BW187="", "", IF(BW187&gt;100, 1, VLOOKUP(BW187, Valid!$W$1:$AA$101, VLOOKUP(X187, Codes!$L$20:$N$28, 3, FALSE), FALSE)))</f>
        <v/>
      </c>
      <c r="AI187" s="1620" t="str">
        <f ca="1">IF($E187&lt;&gt;"","Estimated?  ","")</f>
        <v/>
      </c>
      <c r="AJ187" s="1654"/>
      <c r="AK187" s="1620" t="str">
        <f ca="1">IF($E187&lt;&gt;"","Condition?  ","")</f>
        <v/>
      </c>
      <c r="AL187" s="1730"/>
      <c r="AM187" s="1620" t="b">
        <f ca="1">IF(E187&lt;&gt;"","Est Date?    ")</f>
        <v>0</v>
      </c>
      <c r="AN187" s="1740"/>
      <c r="AO187" s="1248" t="str">
        <f>IF(X187="Other (describe in Notes)","Describe Facility.                                                                                                                        ","")</f>
        <v/>
      </c>
      <c r="AP187" s="1624"/>
      <c r="AQ187" s="1624" t="b">
        <f>IF(AND(C187="",C189&lt;&gt;""),TRUE,FALSE)</f>
        <v>0</v>
      </c>
      <c r="AR187" s="1624" t="str">
        <f>IF(AND(J187&lt;&gt;"",L187&lt;&gt;"",N187&lt;&gt;"",P187&lt;&gt;"",R187="",T187=""),"Y",IF(AND(J187="",L187="",N187="",P187="",R187&lt;&gt;"",T187&lt;&gt;""),"Y",IF(AND(J187&lt;&gt;"",L187&lt;&gt;"",N187&lt;&gt;"",P187&lt;&gt;"",R187&lt;&gt;"",T187&lt;&gt;""),"Y",IF(AND(J187="",L187="",N187="",P187="",R187="",T187=""),"N/A","N"))))</f>
        <v>N/A</v>
      </c>
      <c r="AS187" s="1624" t="str">
        <f ca="1">IF(AND($C187&lt;&gt;"",OR(AR187="N",$V187="",$X187="",$Z187="",$AB187="",$AF187="",$AH187="",$AL187="",AD187="")),"N",IF(AND($C187="",OR(H187&lt;&gt;"",AR187="N",$V187&lt;&gt;"",$X187&lt;&gt;"",$Z187&lt;&gt;"",$AB187&lt;&gt;"",$AF187&lt;&gt;"",$AH187&lt;&gt;"",$AL187&lt;&gt;"",AD187&lt;&gt;"")),"N",IF(AND(H187="",$C187="",AR187="N/A",$V187="",$X187="",$Z187="",$AB187="",$AF187="",$AH187="",$AL187="",AD187=""),"N/A",IF(AND($C187&lt;&gt;"",AR187="Y",$V187&lt;&gt;"",$X187&lt;&gt;"",$Z187&lt;&gt;"",$AB187&lt;&gt;"",$AF187&lt;&gt;"",$AH187&lt;&gt;"",$AL187&lt;&gt;"",AD187&lt;&gt;""),"Y","N"))))</f>
        <v>N/A</v>
      </c>
      <c r="AT187" s="1761" t="b">
        <f ca="1">IF(AND($C187="",OR($J187&lt;&gt;"",$L187&lt;&gt;"",$N187&lt;&gt;"",$P187&lt;&gt;"",$V187&lt;&gt;"",$X187&lt;&gt;"",$Z187&lt;&gt;"",$AB187&lt;&gt;"",$AF187&lt;&gt;"",$AH187&lt;&gt;"",$AL187&lt;&gt;"")),TRUE,FALSE)</f>
        <v>0</v>
      </c>
      <c r="AU187" s="1761" t="b">
        <f>IF(OR(R187&lt;&gt;"",T187&lt;&gt;""),"false",IF(AND($C187&lt;&gt;"",$J187=""),TRUE,FALSE))</f>
        <v>0</v>
      </c>
      <c r="AV187" s="1761" t="b">
        <f>IF(OR(R187&lt;&gt;"",T187&lt;&gt;""),FALSE,IF(AND($C187&lt;&gt;"",$L187=""),TRUE,FALSE))</f>
        <v>0</v>
      </c>
      <c r="AW187" s="1761" t="b">
        <f>IF(OR(R187&lt;&gt;"",T187&lt;&gt;""),FALSE,IF(AND($C187&lt;&gt;"",$N187=""),TRUE,FALSE))</f>
        <v>0</v>
      </c>
      <c r="AX187" s="1761" t="b">
        <f>IF(OR(R187&lt;&gt;"",T187&lt;&gt;""),FALSE,IF(AND($C187&lt;&gt;"",$P187=""),TRUE,FALSE))</f>
        <v>0</v>
      </c>
      <c r="AY187" s="1761"/>
      <c r="AZ187" s="1761" t="b">
        <f>IF(OR(J187&lt;&gt;"",L187&lt;&gt;"",N187&lt;&gt;"",P187&lt;&gt;""),FALSE,IF(AND(C187&lt;&gt;"",R187=""),TRUE,FALSE))</f>
        <v>0</v>
      </c>
      <c r="BA187" s="1761"/>
      <c r="BB187" s="1761" t="b">
        <f>IF(OR(J187&lt;&gt;"",L187&lt;&gt;"",N187&lt;&gt;"",P187&lt;&gt;""),FALSE,IF(AND(C187&lt;&gt;"",T187=""),TRUE,FALSE))</f>
        <v>0</v>
      </c>
      <c r="BC187" s="1761" t="b">
        <f>IF(AND($C187&lt;&gt;"",$V187=""),TRUE,FALSE)</f>
        <v>0</v>
      </c>
      <c r="BD187" s="1761" t="b">
        <f ca="1">IF(AND(X187="",OR(Z187&lt;&gt;"",AB187&lt;&gt;"",AF187&lt;&gt;"",AH187&lt;&gt;"",AL187&lt;&gt;"",AD187&lt;&gt;"")),TRUE,FALSE)</f>
        <v>0</v>
      </c>
      <c r="BE187" s="1761" t="b">
        <f>IF(AND($C187&lt;&gt;"",$X187=""),TRUE,FALSE)</f>
        <v>0</v>
      </c>
      <c r="BF187" s="1761" t="b">
        <f>IF(Z187="",FALSE,IF(X187="",FALSE,IF(BG187=TRUE,FALSE,IF(OR(Z187&lt;BU187,Z187&gt;BaseYear),TRUE,FALSE))))</f>
        <v>0</v>
      </c>
      <c r="BG187" s="1761" t="b">
        <f>IF(AND($C187&lt;&gt;"",$Z187=""),TRUE,FALSE)</f>
        <v>0</v>
      </c>
      <c r="BH187" s="1761" t="b">
        <f>IF(AD187="",FALSE,IF(X187="",FALSE,IF(BJ187=TRUE,FALSE,IF(AB187&lt;BX187,TRUE,FALSE))))</f>
        <v>0</v>
      </c>
      <c r="BI187" s="1761" t="b">
        <f>IF(AD187="",FALSE,IF(X187="",FALSE,IF(BJ187=TRUE,FALSE,IF(AB187&gt;BY187,TRUE,FALSE))))</f>
        <v>0</v>
      </c>
      <c r="BJ187" s="1761" t="b">
        <f>IF(AND($C187&lt;&gt;"",$AB187=""),TRUE,FALSE)</f>
        <v>0</v>
      </c>
      <c r="BK187" s="1761" t="b">
        <f>IF(BL187=TRUE,FALSE,IF(OR(AF187&lt;0,AF187&gt;1),TRUE,FALSE))</f>
        <v>0</v>
      </c>
      <c r="BL187" s="1761" t="b">
        <f>IF(AND($C187&lt;&gt;"",$AF187=""),TRUE,FALSE)</f>
        <v>0</v>
      </c>
      <c r="BM187" s="1761"/>
      <c r="BN187" s="1761" t="b">
        <f ca="1">IF(AND($C187&lt;&gt;"",$AH187=""),TRUE,FALSE)</f>
        <v>0</v>
      </c>
      <c r="BO187" s="1761" t="b">
        <f>IF(AL187="",FALSE,IF(X187="",FALSE,IF(BP187=TRUE,FALSE,IF(OR(AL187&lt;1913,AL187&gt;BaseYear),TRUE,FALSE))))</f>
        <v>0</v>
      </c>
      <c r="BP187" s="1761" t="b">
        <f>IF(AND($C187&lt;&gt;"",$AL187=""),TRUE,FALSE)</f>
        <v>0</v>
      </c>
      <c r="BQ187" s="1761" t="b">
        <f>IF(AD187="Square Foot",FALSE,IF(AND(AD187="Parking Space",OR('A-20 PassFacInv'!X187=Valid!$B$7,'A-20 PassFacInv'!X187=Valid!$B$8,'A-20 PassFacInv'!X187=Valid!$B$9,'A-20 PassFacInv'!X187=Valid!$B$10,'A-20 PassFacInv'!X187=Valid!$B$12,'A-20 PassFacInv'!X187=Valid!$B$13,'A-20 PassFacInv'!X187=Valid!$B$14,'A-20 PassFacInv'!X187=Valid!$B$15,'A-20 PassFacInv'!X187=Valid!$B$16,'A-20 PassFacInv'!X187=Valid!$B$17,'A-20 PassFacInv'!X187=Valid!$B$18,X187=Valid!$B$19,X187=Valid!$B$20,X187=Valid!$B$21)),TRUE,FALSE))</f>
        <v>0</v>
      </c>
      <c r="BR187" s="1761" t="b">
        <f>IF(AND($C187&lt;&gt;"",$AD187=""),TRUE,FALSE)</f>
        <v>0</v>
      </c>
      <c r="BS187" s="721"/>
      <c r="BT187" s="1625" t="str">
        <f>IF($X187="","",VLOOKUP($X187,val_facilities,BT$3,FALSE))</f>
        <v/>
      </c>
      <c r="BU187" s="1627" t="str">
        <f>IF($X187="","",VLOOKUP($X187,val_facilities,BU$3,FALSE))</f>
        <v/>
      </c>
      <c r="BV187" s="1627" t="str">
        <f>IF($X187="","",VLOOKUP($X187,val_facilities,BV$3,FALSE))</f>
        <v/>
      </c>
      <c r="BW187" s="1627" t="str">
        <f ca="1">IFERROR(IF(Z187="", "", YEAR(TODAY())-Z187), "")</f>
        <v/>
      </c>
      <c r="BX187" s="845" t="str">
        <f>IF($X187="","",IF(AD187="Square Feet",VLOOKUP('A-20 PassFacInv'!X100,Valid!$B$7:$H$24,7,FALSE),IF(AD187="Parking Spaces",VLOOKUP(X187,Valid!$B$22:$L$24,11,FALSE))))</f>
        <v/>
      </c>
      <c r="BY187" s="845" t="str">
        <f>IF($X187="","",IF(AD187="Square Feet",VLOOKUP(X187,Valid!$B$7:$I$24,8,FALSE),IF('A-20 PassFacInv'!AD100="Parking Spaces",VLOOKUP('A-20 PassFacInv'!X100,Valid!$B$22:$M$24,12,FALSE))))</f>
        <v/>
      </c>
      <c r="BZ187" s="758"/>
      <c r="CA187" s="721">
        <f t="shared" si="3"/>
        <v>0</v>
      </c>
      <c r="CB187" s="816"/>
    </row>
    <row r="188" spans="1:80" s="1739" customFormat="1" ht="6.75" customHeight="1" thickBot="1" x14ac:dyDescent="0.25">
      <c r="A188" s="1638"/>
      <c r="B188" s="1746">
        <v>88.5</v>
      </c>
      <c r="C188" s="1057"/>
      <c r="D188" s="1248"/>
      <c r="E188" s="1639"/>
      <c r="F188" s="1229"/>
      <c r="G188" s="1229"/>
      <c r="H188" s="1229"/>
      <c r="I188" s="1229"/>
      <c r="J188" s="1604"/>
      <c r="K188" s="1229"/>
      <c r="L188" s="1645"/>
      <c r="M188" s="1644"/>
      <c r="N188" s="1645"/>
      <c r="O188" s="1644"/>
      <c r="P188" s="1662"/>
      <c r="Q188" s="1644"/>
      <c r="R188" s="1663"/>
      <c r="S188" s="1229"/>
      <c r="T188" s="1663"/>
      <c r="U188" s="1229"/>
      <c r="V188" s="1057"/>
      <c r="W188" s="1623"/>
      <c r="X188" s="1747"/>
      <c r="Y188" s="1623"/>
      <c r="Z188" s="1623"/>
      <c r="AA188" s="1623"/>
      <c r="AB188" s="1944"/>
      <c r="AC188" s="841"/>
      <c r="AD188" s="1057"/>
      <c r="AE188" s="841"/>
      <c r="AF188" s="841"/>
      <c r="AG188" s="841"/>
      <c r="AH188" s="722"/>
      <c r="AI188" s="841"/>
      <c r="AJ188" s="722"/>
      <c r="AK188" s="841"/>
      <c r="AL188" s="1717"/>
      <c r="AM188" s="841"/>
      <c r="AN188" s="1057"/>
      <c r="AO188" s="1644"/>
      <c r="AP188" s="1644"/>
      <c r="AQ188" s="1644"/>
      <c r="AR188" s="1644"/>
      <c r="AS188" s="1644"/>
      <c r="AT188" s="1761"/>
      <c r="AU188" s="1761"/>
      <c r="AV188" s="1761"/>
      <c r="AW188" s="1761"/>
      <c r="AX188" s="1761"/>
      <c r="AY188" s="1761"/>
      <c r="AZ188" s="1761"/>
      <c r="BA188" s="1761"/>
      <c r="BB188" s="1761"/>
      <c r="BC188" s="1762"/>
      <c r="BD188" s="1762"/>
      <c r="BE188" s="1762"/>
      <c r="BF188" s="1762"/>
      <c r="BG188" s="1762"/>
      <c r="BH188" s="1762"/>
      <c r="BI188" s="1762"/>
      <c r="BJ188" s="1762"/>
      <c r="BK188" s="1762"/>
      <c r="BL188" s="1762"/>
      <c r="BM188" s="1762"/>
      <c r="BN188" s="1762"/>
      <c r="BO188" s="1762"/>
      <c r="BP188" s="1762"/>
      <c r="BQ188" s="1763"/>
      <c r="BR188" s="1762"/>
      <c r="BS188" s="1736"/>
      <c r="BT188" s="1738"/>
      <c r="BU188" s="1738"/>
      <c r="BV188" s="1738"/>
      <c r="BW188" s="1738"/>
      <c r="BX188" s="1738"/>
      <c r="BY188" s="1738"/>
      <c r="BZ188" s="1229"/>
      <c r="CA188" s="721">
        <f t="shared" si="3"/>
        <v>0</v>
      </c>
      <c r="CB188" s="1748"/>
    </row>
    <row r="189" spans="1:80" s="1739" customFormat="1" x14ac:dyDescent="0.2">
      <c r="A189" s="840">
        <v>89</v>
      </c>
      <c r="B189" s="1746">
        <v>89</v>
      </c>
      <c r="C189" s="1740"/>
      <c r="D189" s="1248" t="str">
        <f>IF(C187="","",IF((C189=""),"Enter Facility "&amp;TEXT(A189,0)&amp;" Name, then Fill in Columns "&amp;TEXT($H$2,0)&amp;" - "&amp;TEXT($AL$2,0)&amp;"       ",""))</f>
        <v/>
      </c>
      <c r="E189" s="1245" t="str">
        <f ca="1">IF(AS189="N/A","",IF(AS189="N","No","Yes"))</f>
        <v/>
      </c>
      <c r="F189" s="758"/>
      <c r="G189" s="758"/>
      <c r="H189" s="1707"/>
      <c r="I189" s="758"/>
      <c r="J189" s="1653"/>
      <c r="K189" s="1248" t="str">
        <f ca="1">IF($E189&lt;&gt;"","Enter Street Address      ","")</f>
        <v/>
      </c>
      <c r="L189" s="1740"/>
      <c r="M189" s="1248" t="str">
        <f ca="1">IF($E189&lt;&gt;"","Enter City Name       ","")</f>
        <v/>
      </c>
      <c r="N189" s="1740"/>
      <c r="O189" s="1248" t="str">
        <f ca="1">IF($E189&lt;&gt;"","Select from Pull-Down List   ","")</f>
        <v/>
      </c>
      <c r="P189" s="1741"/>
      <c r="Q189" s="1248" t="str">
        <f ca="1">IF($E189&lt;&gt;"","Enter ZIP Code       ","")</f>
        <v/>
      </c>
      <c r="R189" s="1742"/>
      <c r="S189" s="1248" t="str">
        <f ca="1">IF(OR(N189&lt;&gt;"",P189&lt;&gt;"",J189&lt;&gt;"",L189&lt;&gt;""),"",IF($E189&lt;&gt;"","Enter Lat.      ",""))</f>
        <v/>
      </c>
      <c r="T189" s="1742"/>
      <c r="U189" s="1248" t="str">
        <f ca="1">IF(OR(N189&lt;&gt;"",P189&lt;&gt;"",J189&lt;&gt;"",L189&lt;&gt;""),"",IF($E189&lt;&gt;"","Enter Long.    ",""))</f>
        <v/>
      </c>
      <c r="V189" s="1653"/>
      <c r="W189" s="1618" t="str">
        <f ca="1">IF($E189&lt;&gt;"","Select from Pull-Down List  ","")</f>
        <v/>
      </c>
      <c r="X189" s="1653"/>
      <c r="Y189" s="1618" t="str">
        <f ca="1">IF($E189&lt;&gt;"","Select from Pull-Down List  ","")</f>
        <v/>
      </c>
      <c r="Z189" s="1743"/>
      <c r="AA189" s="1248" t="str">
        <f ca="1">IF(E189&lt;&gt;"","Year?   ","")</f>
        <v/>
      </c>
      <c r="AB189" s="1943"/>
      <c r="AC189" s="1620" t="str">
        <f ca="1">IF(E189="","",IF(X189="","Sq. Ft. or Spaces?   ",IF(OR(X189=Codes!$L$26,X189=Codes!$L$27,X189=Codes!$L$28),"Sq. Ft. or Spaces?   ",IF(OR(X189=Codes!$L$20,X189=Codes!$L$21,X189=Codes!$L$22,X189=Codes!$L$23,X189=Codes!$L$24,X189=Codes!$L$25),"Sq. Ft?     ",""))))</f>
        <v/>
      </c>
      <c r="AD189" s="1740"/>
      <c r="AE189" s="1618" t="str">
        <f ca="1">IF($E189&lt;&gt;"","Select from List     ","")</f>
        <v/>
      </c>
      <c r="AF189" s="1621"/>
      <c r="AG189" s="1618" t="str">
        <f ca="1">IF($E189&lt;&gt;"","% of Cap Resp.","")</f>
        <v/>
      </c>
      <c r="AH189" s="1801" t="str">
        <f ca="1">IF(BW189="", "", IF(BW189&gt;100, 1, VLOOKUP(BW189, Valid!$W$1:$AA$101, VLOOKUP(X189, Codes!$L$20:$N$28, 3, FALSE), FALSE)))</f>
        <v/>
      </c>
      <c r="AI189" s="1620" t="str">
        <f ca="1">IF($E189&lt;&gt;"","Estimated?  ","")</f>
        <v/>
      </c>
      <c r="AJ189" s="1654"/>
      <c r="AK189" s="1620" t="str">
        <f ca="1">IF($E189&lt;&gt;"","Condition?  ","")</f>
        <v/>
      </c>
      <c r="AL189" s="1730"/>
      <c r="AM189" s="1620" t="b">
        <f ca="1">IF(E189&lt;&gt;"","Est Date?    ")</f>
        <v>0</v>
      </c>
      <c r="AN189" s="1740"/>
      <c r="AO189" s="1248" t="str">
        <f>IF(X189="Other (describe in Notes)","Describe Facility.                                                                                                                        ","")</f>
        <v/>
      </c>
      <c r="AP189" s="1624"/>
      <c r="AQ189" s="1624" t="b">
        <f>IF(AND(C189="",C191&lt;&gt;""),TRUE,FALSE)</f>
        <v>0</v>
      </c>
      <c r="AR189" s="1624" t="str">
        <f>IF(AND(J189&lt;&gt;"",L189&lt;&gt;"",N189&lt;&gt;"",P189&lt;&gt;"",R189="",T189=""),"Y",IF(AND(J189="",L189="",N189="",P189="",R189&lt;&gt;"",T189&lt;&gt;""),"Y",IF(AND(J189&lt;&gt;"",L189&lt;&gt;"",N189&lt;&gt;"",P189&lt;&gt;"",R189&lt;&gt;"",T189&lt;&gt;""),"Y",IF(AND(J189="",L189="",N189="",P189="",R189="",T189=""),"N/A","N"))))</f>
        <v>N/A</v>
      </c>
      <c r="AS189" s="1624" t="str">
        <f ca="1">IF(AND($C189&lt;&gt;"",OR(AR189="N",$V189="",$X189="",$Z189="",$AB189="",$AF189="",$AH189="",$AL189="",AD189="")),"N",IF(AND($C189="",OR(H189&lt;&gt;"",AR189="N",$V189&lt;&gt;"",$X189&lt;&gt;"",$Z189&lt;&gt;"",$AB189&lt;&gt;"",$AF189&lt;&gt;"",$AH189&lt;&gt;"",$AL189&lt;&gt;"",AD189&lt;&gt;"")),"N",IF(AND(H189="",$C189="",AR189="N/A",$V189="",$X189="",$Z189="",$AB189="",$AF189="",$AH189="",$AL189="",AD189=""),"N/A",IF(AND($C189&lt;&gt;"",AR189="Y",$V189&lt;&gt;"",$X189&lt;&gt;"",$Z189&lt;&gt;"",$AB189&lt;&gt;"",$AF189&lt;&gt;"",$AH189&lt;&gt;"",$AL189&lt;&gt;"",AD189&lt;&gt;""),"Y","N"))))</f>
        <v>N/A</v>
      </c>
      <c r="AT189" s="1761" t="b">
        <f ca="1">IF(AND($C189="",OR($J189&lt;&gt;"",$L189&lt;&gt;"",$N189&lt;&gt;"",$P189&lt;&gt;"",$V189&lt;&gt;"",$X189&lt;&gt;"",$Z189&lt;&gt;"",$AB189&lt;&gt;"",$AF189&lt;&gt;"",$AH189&lt;&gt;"",$AL189&lt;&gt;"")),TRUE,FALSE)</f>
        <v>0</v>
      </c>
      <c r="AU189" s="1761" t="b">
        <f>IF(OR(R189&lt;&gt;"",T189&lt;&gt;""),"false",IF(AND($C189&lt;&gt;"",$J189=""),TRUE,FALSE))</f>
        <v>0</v>
      </c>
      <c r="AV189" s="1761" t="b">
        <f>IF(OR(R189&lt;&gt;"",T189&lt;&gt;""),FALSE,IF(AND($C189&lt;&gt;"",$L189=""),TRUE,FALSE))</f>
        <v>0</v>
      </c>
      <c r="AW189" s="1761" t="b">
        <f>IF(OR(R189&lt;&gt;"",T189&lt;&gt;""),FALSE,IF(AND($C189&lt;&gt;"",$N189=""),TRUE,FALSE))</f>
        <v>0</v>
      </c>
      <c r="AX189" s="1761" t="b">
        <f>IF(OR(R189&lt;&gt;"",T189&lt;&gt;""),FALSE,IF(AND($C189&lt;&gt;"",$P189=""),TRUE,FALSE))</f>
        <v>0</v>
      </c>
      <c r="AY189" s="1761"/>
      <c r="AZ189" s="1761" t="b">
        <f>IF(OR(J189&lt;&gt;"",L189&lt;&gt;"",N189&lt;&gt;"",P189&lt;&gt;""),FALSE,IF(AND(C189&lt;&gt;"",R189=""),TRUE,FALSE))</f>
        <v>0</v>
      </c>
      <c r="BA189" s="1761"/>
      <c r="BB189" s="1761" t="b">
        <f>IF(OR(J189&lt;&gt;"",L189&lt;&gt;"",N189&lt;&gt;"",P189&lt;&gt;""),FALSE,IF(AND(C189&lt;&gt;"",T189=""),TRUE,FALSE))</f>
        <v>0</v>
      </c>
      <c r="BC189" s="1761" t="b">
        <f>IF(AND($C189&lt;&gt;"",$V189=""),TRUE,FALSE)</f>
        <v>0</v>
      </c>
      <c r="BD189" s="1761" t="b">
        <f ca="1">IF(AND(X189="",OR(Z189&lt;&gt;"",AB189&lt;&gt;"",AF189&lt;&gt;"",AH189&lt;&gt;"",AL189&lt;&gt;"",AD189&lt;&gt;"")),TRUE,FALSE)</f>
        <v>0</v>
      </c>
      <c r="BE189" s="1761" t="b">
        <f>IF(AND($C189&lt;&gt;"",$X189=""),TRUE,FALSE)</f>
        <v>0</v>
      </c>
      <c r="BF189" s="1761" t="b">
        <f>IF(Z189="",FALSE,IF(X189="",FALSE,IF(BG189=TRUE,FALSE,IF(OR(Z189&lt;BU189,Z189&gt;BaseYear),TRUE,FALSE))))</f>
        <v>0</v>
      </c>
      <c r="BG189" s="1761" t="b">
        <f>IF(AND($C189&lt;&gt;"",$Z189=""),TRUE,FALSE)</f>
        <v>0</v>
      </c>
      <c r="BH189" s="1761" t="b">
        <f>IF(AD189="",FALSE,IF(X189="",FALSE,IF(BJ189=TRUE,FALSE,IF(AB189&lt;BX189,TRUE,FALSE))))</f>
        <v>0</v>
      </c>
      <c r="BI189" s="1761" t="b">
        <f>IF(AD189="",FALSE,IF(X189="",FALSE,IF(BJ189=TRUE,FALSE,IF(AB189&gt;BY189,TRUE,FALSE))))</f>
        <v>0</v>
      </c>
      <c r="BJ189" s="1761" t="b">
        <f>IF(AND($C189&lt;&gt;"",$AB189=""),TRUE,FALSE)</f>
        <v>0</v>
      </c>
      <c r="BK189" s="1761" t="b">
        <f>IF(BL189=TRUE,FALSE,IF(OR(AF189&lt;0,AF189&gt;1),TRUE,FALSE))</f>
        <v>0</v>
      </c>
      <c r="BL189" s="1761" t="b">
        <f>IF(AND($C189&lt;&gt;"",$AF189=""),TRUE,FALSE)</f>
        <v>0</v>
      </c>
      <c r="BM189" s="1761"/>
      <c r="BN189" s="1761" t="b">
        <f ca="1">IF(AND($C189&lt;&gt;"",$AH189=""),TRUE,FALSE)</f>
        <v>0</v>
      </c>
      <c r="BO189" s="1761" t="b">
        <f>IF(AL189="",FALSE,IF(X189="",FALSE,IF(BP189=TRUE,FALSE,IF(OR(AL189&lt;1913,AL189&gt;BaseYear),TRUE,FALSE))))</f>
        <v>0</v>
      </c>
      <c r="BP189" s="1761" t="b">
        <f>IF(AND($C189&lt;&gt;"",$AL189=""),TRUE,FALSE)</f>
        <v>0</v>
      </c>
      <c r="BQ189" s="1761" t="b">
        <f>IF(AD189="Square Foot",FALSE,IF(AND(AD189="Parking Space",OR('A-20 PassFacInv'!X189=Valid!$B$7,'A-20 PassFacInv'!X189=Valid!$B$8,'A-20 PassFacInv'!X189=Valid!$B$9,'A-20 PassFacInv'!X189=Valid!$B$10,'A-20 PassFacInv'!X189=Valid!$B$12,'A-20 PassFacInv'!X189=Valid!$B$13,'A-20 PassFacInv'!X189=Valid!$B$14,'A-20 PassFacInv'!X189=Valid!$B$15,'A-20 PassFacInv'!X189=Valid!$B$16,'A-20 PassFacInv'!X189=Valid!$B$17,'A-20 PassFacInv'!X189=Valid!$B$18,X189=Valid!$B$19,X189=Valid!$B$20,X189=Valid!$B$21)),TRUE,FALSE))</f>
        <v>0</v>
      </c>
      <c r="BR189" s="1761" t="b">
        <f>IF(AND($C189&lt;&gt;"",$AD189=""),TRUE,FALSE)</f>
        <v>0</v>
      </c>
      <c r="BS189" s="721"/>
      <c r="BT189" s="1625" t="str">
        <f>IF($X189="","",VLOOKUP($X189,val_facilities,BT$3,FALSE))</f>
        <v/>
      </c>
      <c r="BU189" s="1627" t="str">
        <f>IF($X189="","",VLOOKUP($X189,val_facilities,BU$3,FALSE))</f>
        <v/>
      </c>
      <c r="BV189" s="1627" t="str">
        <f>IF($X189="","",VLOOKUP($X189,val_facilities,BV$3,FALSE))</f>
        <v/>
      </c>
      <c r="BW189" s="1627" t="str">
        <f ca="1">IFERROR(IF(Z189="", "", YEAR(TODAY())-Z189), "")</f>
        <v/>
      </c>
      <c r="BX189" s="845" t="str">
        <f>IF($X189="","",IF(AD189="Square Feet",VLOOKUP('A-20 PassFacInv'!X101,Valid!$B$7:$H$24,7,FALSE),IF(AD189="Parking Spaces",VLOOKUP(X189,Valid!$B$22:$L$24,11,FALSE))))</f>
        <v/>
      </c>
      <c r="BY189" s="845" t="str">
        <f>IF($X189="","",IF(AD189="Square Feet",VLOOKUP(X189,Valid!$B$7:$I$24,8,FALSE),IF('A-20 PassFacInv'!AD101="Parking Spaces",VLOOKUP('A-20 PassFacInv'!X101,Valid!$B$22:$M$24,12,FALSE))))</f>
        <v/>
      </c>
      <c r="BZ189" s="758"/>
      <c r="CA189" s="721">
        <f t="shared" si="3"/>
        <v>0</v>
      </c>
      <c r="CB189" s="816"/>
    </row>
    <row r="190" spans="1:80" s="1739" customFormat="1" ht="6.75" customHeight="1" thickBot="1" x14ac:dyDescent="0.25">
      <c r="A190" s="1638"/>
      <c r="B190" s="1746">
        <v>89.5</v>
      </c>
      <c r="C190" s="1057"/>
      <c r="D190" s="1248"/>
      <c r="E190" s="1057"/>
      <c r="F190" s="1229"/>
      <c r="G190" s="1229"/>
      <c r="H190" s="1229"/>
      <c r="I190" s="1229"/>
      <c r="J190" s="1604"/>
      <c r="K190" s="1640"/>
      <c r="L190" s="1641"/>
      <c r="M190" s="1248"/>
      <c r="N190" s="1641"/>
      <c r="O190" s="1248"/>
      <c r="P190" s="1659"/>
      <c r="Q190" s="1248"/>
      <c r="R190" s="1660"/>
      <c r="S190" s="1640"/>
      <c r="T190" s="1660"/>
      <c r="U190" s="1640"/>
      <c r="V190" s="1057"/>
      <c r="W190" s="1618"/>
      <c r="X190" s="1747"/>
      <c r="Y190" s="1618"/>
      <c r="Z190" s="1623"/>
      <c r="AA190" s="1618"/>
      <c r="AB190" s="1944"/>
      <c r="AC190" s="1275"/>
      <c r="AD190" s="1661"/>
      <c r="AE190" s="734"/>
      <c r="AF190" s="1736"/>
      <c r="AG190" s="1275"/>
      <c r="AH190" s="722"/>
      <c r="AI190" s="1275"/>
      <c r="AJ190" s="733"/>
      <c r="AK190" s="1275"/>
      <c r="AL190" s="1721"/>
      <c r="AM190" s="1275"/>
      <c r="AN190" s="1057"/>
      <c r="AO190" s="1644"/>
      <c r="AP190" s="1644"/>
      <c r="AQ190" s="1644"/>
      <c r="AR190" s="1644"/>
      <c r="AS190" s="1644"/>
      <c r="AT190" s="1761"/>
      <c r="AU190" s="1761"/>
      <c r="AV190" s="1761"/>
      <c r="AW190" s="1761"/>
      <c r="AX190" s="1761"/>
      <c r="AY190" s="1761"/>
      <c r="AZ190" s="1761"/>
      <c r="BA190" s="1761"/>
      <c r="BB190" s="1761"/>
      <c r="BC190" s="1762"/>
      <c r="BD190" s="1762"/>
      <c r="BE190" s="1762"/>
      <c r="BF190" s="1762"/>
      <c r="BG190" s="1762"/>
      <c r="BH190" s="1762"/>
      <c r="BI190" s="1762"/>
      <c r="BJ190" s="1762"/>
      <c r="BK190" s="1762"/>
      <c r="BL190" s="1762"/>
      <c r="BM190" s="1762"/>
      <c r="BN190" s="1762"/>
      <c r="BO190" s="1762"/>
      <c r="BP190" s="1762"/>
      <c r="BQ190" s="1762"/>
      <c r="BR190" s="1762"/>
      <c r="BS190" s="1736"/>
      <c r="BT190" s="1738"/>
      <c r="BU190" s="1738"/>
      <c r="BV190" s="1738"/>
      <c r="BW190" s="1738"/>
      <c r="BX190" s="1738"/>
      <c r="BY190" s="1738"/>
      <c r="BZ190" s="1229"/>
      <c r="CA190" s="721">
        <f t="shared" si="3"/>
        <v>0</v>
      </c>
      <c r="CB190" s="1748"/>
    </row>
    <row r="191" spans="1:80" s="1739" customFormat="1" x14ac:dyDescent="0.2">
      <c r="A191" s="840">
        <v>90</v>
      </c>
      <c r="B191" s="1731">
        <v>90</v>
      </c>
      <c r="C191" s="1740"/>
      <c r="D191" s="1248" t="str">
        <f>IF(C189="","",IF((C191=""),"Enter Facility "&amp;TEXT(A191,0)&amp;" Name, then Fill in Columns "&amp;TEXT($H$2,0)&amp;" - "&amp;TEXT($AL$2,0)&amp;"       ",""))</f>
        <v/>
      </c>
      <c r="E191" s="1245" t="str">
        <f ca="1">IF(AS191="N/A","",IF(AS191="N","No","Yes"))</f>
        <v/>
      </c>
      <c r="F191" s="758"/>
      <c r="G191" s="758"/>
      <c r="H191" s="1707"/>
      <c r="I191" s="758"/>
      <c r="J191" s="1653"/>
      <c r="K191" s="1248" t="str">
        <f ca="1">IF($E191&lt;&gt;"","Enter Street Address      ","")</f>
        <v/>
      </c>
      <c r="L191" s="1740"/>
      <c r="M191" s="1248" t="str">
        <f ca="1">IF($E191&lt;&gt;"","Enter City Name       ","")</f>
        <v/>
      </c>
      <c r="N191" s="1740"/>
      <c r="O191" s="1248" t="str">
        <f ca="1">IF($E191&lt;&gt;"","Select from Pull-Down List   ","")</f>
        <v/>
      </c>
      <c r="P191" s="1741"/>
      <c r="Q191" s="1248" t="str">
        <f ca="1">IF($E191&lt;&gt;"","Enter ZIP Code       ","")</f>
        <v/>
      </c>
      <c r="R191" s="1742"/>
      <c r="S191" s="1248" t="str">
        <f ca="1">IF(OR(N191&lt;&gt;"",P191&lt;&gt;"",J191&lt;&gt;"",L191&lt;&gt;""),"",IF($E191&lt;&gt;"","Enter Lat.      ",""))</f>
        <v/>
      </c>
      <c r="T191" s="1742"/>
      <c r="U191" s="1248" t="str">
        <f ca="1">IF(OR(N191&lt;&gt;"",P191&lt;&gt;"",J191&lt;&gt;"",L191&lt;&gt;""),"",IF($E191&lt;&gt;"","Enter Long.    ",""))</f>
        <v/>
      </c>
      <c r="V191" s="1653"/>
      <c r="W191" s="1618" t="str">
        <f ca="1">IF($E191&lt;&gt;"","Select from Pull-Down List  ","")</f>
        <v/>
      </c>
      <c r="X191" s="1653"/>
      <c r="Y191" s="1618" t="str">
        <f ca="1">IF($E191&lt;&gt;"","Select from Pull-Down List  ","")</f>
        <v/>
      </c>
      <c r="Z191" s="1743"/>
      <c r="AA191" s="1248" t="str">
        <f ca="1">IF(E191&lt;&gt;"","Year?   ","")</f>
        <v/>
      </c>
      <c r="AB191" s="1943"/>
      <c r="AC191" s="1620" t="str">
        <f ca="1">IF(E191="","",IF(X191="","Sq. Ft. or Spaces?   ",IF(OR(X191=Codes!$L$26,X191=Codes!$L$27,X191=Codes!$L$28),"Sq. Ft. or Spaces?   ",IF(OR(X191=Codes!$L$20,X191=Codes!$L$21,X191=Codes!$L$22,X191=Codes!$L$23,X191=Codes!$L$24,X191=Codes!$L$25),"Sq. Ft?     ",""))))</f>
        <v/>
      </c>
      <c r="AD191" s="1740"/>
      <c r="AE191" s="1618" t="str">
        <f ca="1">IF($E191&lt;&gt;"","Select from List     ","")</f>
        <v/>
      </c>
      <c r="AF191" s="1621"/>
      <c r="AG191" s="1618" t="str">
        <f ca="1">IF($E191&lt;&gt;"","% of Cap Resp.","")</f>
        <v/>
      </c>
      <c r="AH191" s="1801" t="str">
        <f ca="1">IF(BW191="", "", IF(BW191&gt;100, 1, VLOOKUP(BW191, Valid!$W$1:$AA$101, VLOOKUP(X191, Codes!$L$20:$N$28, 3, FALSE), FALSE)))</f>
        <v/>
      </c>
      <c r="AI191" s="1620" t="str">
        <f ca="1">IF($E191&lt;&gt;"","Estimated?  ","")</f>
        <v/>
      </c>
      <c r="AJ191" s="1654"/>
      <c r="AK191" s="1620" t="str">
        <f ca="1">IF($E191&lt;&gt;"","Condition?  ","")</f>
        <v/>
      </c>
      <c r="AL191" s="1730"/>
      <c r="AM191" s="1620" t="b">
        <f ca="1">IF(E191&lt;&gt;"","Est Date?    ")</f>
        <v>0</v>
      </c>
      <c r="AN191" s="1740"/>
      <c r="AO191" s="1248" t="str">
        <f>IF(X191="Other (describe in Notes)","Describe Facility.                                                                                                                        ","")</f>
        <v/>
      </c>
      <c r="AP191" s="1624"/>
      <c r="AQ191" s="1624" t="b">
        <f>IF(AND(C191="",C193&lt;&gt;""),TRUE,FALSE)</f>
        <v>0</v>
      </c>
      <c r="AR191" s="1624" t="str">
        <f>IF(AND(J191&lt;&gt;"",L191&lt;&gt;"",N191&lt;&gt;"",P191&lt;&gt;"",R191="",T191=""),"Y",IF(AND(J191="",L191="",N191="",P191="",R191&lt;&gt;"",T191&lt;&gt;""),"Y",IF(AND(J191&lt;&gt;"",L191&lt;&gt;"",N191&lt;&gt;"",P191&lt;&gt;"",R191&lt;&gt;"",T191&lt;&gt;""),"Y",IF(AND(J191="",L191="",N191="",P191="",R191="",T191=""),"N/A","N"))))</f>
        <v>N/A</v>
      </c>
      <c r="AS191" s="1624" t="str">
        <f ca="1">IF(AND($C191&lt;&gt;"",OR(AR191="N",$V191="",$X191="",$Z191="",$AB191="",$AF191="",$AH191="",$AL191="",AD191="")),"N",IF(AND($C191="",OR(H191&lt;&gt;"",AR191="N",$V191&lt;&gt;"",$X191&lt;&gt;"",$Z191&lt;&gt;"",$AB191&lt;&gt;"",$AF191&lt;&gt;"",$AH191&lt;&gt;"",$AL191&lt;&gt;"",AD191&lt;&gt;"")),"N",IF(AND(H191="",$C191="",AR191="N/A",$V191="",$X191="",$Z191="",$AB191="",$AF191="",$AH191="",$AL191="",AD191=""),"N/A",IF(AND($C191&lt;&gt;"",AR191="Y",$V191&lt;&gt;"",$X191&lt;&gt;"",$Z191&lt;&gt;"",$AB191&lt;&gt;"",$AF191&lt;&gt;"",$AH191&lt;&gt;"",$AL191&lt;&gt;"",AD191&lt;&gt;""),"Y","N"))))</f>
        <v>N/A</v>
      </c>
      <c r="AT191" s="1761" t="b">
        <f ca="1">IF(AND($C191="",OR($J191&lt;&gt;"",$L191&lt;&gt;"",$N191&lt;&gt;"",$P191&lt;&gt;"",$V191&lt;&gt;"",$X191&lt;&gt;"",$Z191&lt;&gt;"",$AB191&lt;&gt;"",$AF191&lt;&gt;"",$AH191&lt;&gt;"",$AL191&lt;&gt;"")),TRUE,FALSE)</f>
        <v>0</v>
      </c>
      <c r="AU191" s="1761" t="b">
        <f>IF(OR(R191&lt;&gt;"",T191&lt;&gt;""),"false",IF(AND($C191&lt;&gt;"",$J191=""),TRUE,FALSE))</f>
        <v>0</v>
      </c>
      <c r="AV191" s="1761" t="b">
        <f>IF(OR(R191&lt;&gt;"",T191&lt;&gt;""),FALSE,IF(AND($C191&lt;&gt;"",$L191=""),TRUE,FALSE))</f>
        <v>0</v>
      </c>
      <c r="AW191" s="1761" t="b">
        <f>IF(OR(R191&lt;&gt;"",T191&lt;&gt;""),FALSE,IF(AND($C191&lt;&gt;"",$N191=""),TRUE,FALSE))</f>
        <v>0</v>
      </c>
      <c r="AX191" s="1761" t="b">
        <f>IF(OR(R191&lt;&gt;"",T191&lt;&gt;""),FALSE,IF(AND($C191&lt;&gt;"",$P191=""),TRUE,FALSE))</f>
        <v>0</v>
      </c>
      <c r="AY191" s="1761"/>
      <c r="AZ191" s="1761" t="b">
        <f>IF(OR(J191&lt;&gt;"",L191&lt;&gt;"",N191&lt;&gt;"",P191&lt;&gt;""),FALSE,IF(AND(C191&lt;&gt;"",R191=""),TRUE,FALSE))</f>
        <v>0</v>
      </c>
      <c r="BA191" s="1761"/>
      <c r="BB191" s="1761" t="b">
        <f>IF(OR(J191&lt;&gt;"",L191&lt;&gt;"",N191&lt;&gt;"",P191&lt;&gt;""),FALSE,IF(AND(C191&lt;&gt;"",T191=""),TRUE,FALSE))</f>
        <v>0</v>
      </c>
      <c r="BC191" s="1761" t="b">
        <f>IF(AND($C191&lt;&gt;"",$V191=""),TRUE,FALSE)</f>
        <v>0</v>
      </c>
      <c r="BD191" s="1761" t="b">
        <f ca="1">IF(AND(X191="",OR(Z191&lt;&gt;"",AB191&lt;&gt;"",AF191&lt;&gt;"",AH191&lt;&gt;"",AL191&lt;&gt;"",AD191&lt;&gt;"")),TRUE,FALSE)</f>
        <v>0</v>
      </c>
      <c r="BE191" s="1761" t="b">
        <f>IF(AND($C191&lt;&gt;"",$X191=""),TRUE,FALSE)</f>
        <v>0</v>
      </c>
      <c r="BF191" s="1761" t="b">
        <f>IF(Z191="",FALSE,IF(X191="",FALSE,IF(BG191=TRUE,FALSE,IF(OR(Z191&lt;BU191,Z191&gt;BaseYear),TRUE,FALSE))))</f>
        <v>0</v>
      </c>
      <c r="BG191" s="1761" t="b">
        <f>IF(AND($C191&lt;&gt;"",$Z191=""),TRUE,FALSE)</f>
        <v>0</v>
      </c>
      <c r="BH191" s="1761" t="b">
        <f>IF(AD191="",FALSE,IF(X191="",FALSE,IF(BJ191=TRUE,FALSE,IF(AB191&lt;BX191,TRUE,FALSE))))</f>
        <v>0</v>
      </c>
      <c r="BI191" s="1761" t="b">
        <f>IF(AD191="",FALSE,IF(X191="",FALSE,IF(BJ191=TRUE,FALSE,IF(AB191&gt;BY191,TRUE,FALSE))))</f>
        <v>0</v>
      </c>
      <c r="BJ191" s="1761" t="b">
        <f>IF(AND($C191&lt;&gt;"",$AB191=""),TRUE,FALSE)</f>
        <v>0</v>
      </c>
      <c r="BK191" s="1761" t="b">
        <f>IF(BL191=TRUE,FALSE,IF(OR(AF191&lt;0,AF191&gt;1),TRUE,FALSE))</f>
        <v>0</v>
      </c>
      <c r="BL191" s="1761" t="b">
        <f>IF(AND($C191&lt;&gt;"",$AF191=""),TRUE,FALSE)</f>
        <v>0</v>
      </c>
      <c r="BM191" s="1761"/>
      <c r="BN191" s="1761" t="b">
        <f ca="1">IF(AND($C191&lt;&gt;"",$AH191=""),TRUE,FALSE)</f>
        <v>0</v>
      </c>
      <c r="BO191" s="1761" t="b">
        <f>IF(AL191="",FALSE,IF(X191="",FALSE,IF(BP191=TRUE,FALSE,IF(OR(AL191&lt;1913,AL191&gt;BaseYear),TRUE,FALSE))))</f>
        <v>0</v>
      </c>
      <c r="BP191" s="1761" t="b">
        <f>IF(AND($C191&lt;&gt;"",$AL191=""),TRUE,FALSE)</f>
        <v>0</v>
      </c>
      <c r="BQ191" s="1761" t="b">
        <f>IF(AD191="Square Foot",FALSE,IF(AND(AD191="Parking Space",OR('A-20 PassFacInv'!X191=Valid!$B$7,'A-20 PassFacInv'!X191=Valid!$B$8,'A-20 PassFacInv'!X191=Valid!$B$9,'A-20 PassFacInv'!X191=Valid!$B$10,'A-20 PassFacInv'!X191=Valid!$B$12,'A-20 PassFacInv'!X191=Valid!$B$13,'A-20 PassFacInv'!X191=Valid!$B$14,'A-20 PassFacInv'!X191=Valid!$B$15,'A-20 PassFacInv'!X191=Valid!$B$16,'A-20 PassFacInv'!X191=Valid!$B$17,'A-20 PassFacInv'!X191=Valid!$B$18,X191=Valid!$B$19,X191=Valid!$B$20,X191=Valid!$B$21)),TRUE,FALSE))</f>
        <v>0</v>
      </c>
      <c r="BR191" s="1761" t="b">
        <f>IF(AND($C191&lt;&gt;"",$AD191=""),TRUE,FALSE)</f>
        <v>0</v>
      </c>
      <c r="BS191" s="721"/>
      <c r="BT191" s="1625" t="str">
        <f>IF($X191="","",VLOOKUP($X191,val_facilities,BT$3,FALSE))</f>
        <v/>
      </c>
      <c r="BU191" s="1627" t="str">
        <f>IF($X191="","",VLOOKUP($X191,val_facilities,BU$3,FALSE))</f>
        <v/>
      </c>
      <c r="BV191" s="1627" t="str">
        <f>IF($X191="","",VLOOKUP($X191,val_facilities,BV$3,FALSE))</f>
        <v/>
      </c>
      <c r="BW191" s="1627" t="str">
        <f ca="1">IFERROR(IF(Z191="", "", YEAR(TODAY())-Z191), "")</f>
        <v/>
      </c>
      <c r="BX191" s="845" t="str">
        <f>IF($X191="","",IF(AD191="Square Feet",VLOOKUP('A-20 PassFacInv'!X102,Valid!$B$7:$H$24,7,FALSE),IF(AD191="Parking Spaces",VLOOKUP(X191,Valid!$B$22:$L$24,11,FALSE))))</f>
        <v/>
      </c>
      <c r="BY191" s="845" t="str">
        <f>IF($X191="","",IF(AD191="Square Feet",VLOOKUP(X191,Valid!$B$7:$I$24,8,FALSE),IF('A-20 PassFacInv'!AD102="Parking Spaces",VLOOKUP('A-20 PassFacInv'!X102,Valid!$B$22:$M$24,12,FALSE))))</f>
        <v/>
      </c>
      <c r="BZ191" s="758"/>
      <c r="CA191" s="721">
        <f t="shared" si="3"/>
        <v>0</v>
      </c>
      <c r="CB191" s="816"/>
    </row>
    <row r="192" spans="1:80" s="1739" customFormat="1" ht="6.75" customHeight="1" thickBot="1" x14ac:dyDescent="0.25">
      <c r="A192" s="1638"/>
      <c r="B192" s="1746">
        <v>90.5</v>
      </c>
      <c r="C192" s="1057"/>
      <c r="D192" s="764"/>
      <c r="E192" s="1639"/>
      <c r="F192" s="1229"/>
      <c r="G192" s="1229"/>
      <c r="H192" s="1229"/>
      <c r="I192" s="1229"/>
      <c r="J192" s="1604"/>
      <c r="K192" s="1640"/>
      <c r="L192" s="1645"/>
      <c r="M192" s="1646"/>
      <c r="N192" s="1641"/>
      <c r="O192" s="1646"/>
      <c r="P192" s="1659"/>
      <c r="Q192" s="1248"/>
      <c r="R192" s="1660"/>
      <c r="S192" s="1640"/>
      <c r="T192" s="1660"/>
      <c r="U192" s="1640"/>
      <c r="V192" s="1057"/>
      <c r="W192" s="1618"/>
      <c r="X192" s="1747"/>
      <c r="Y192" s="1618"/>
      <c r="Z192" s="1623"/>
      <c r="AA192" s="1618"/>
      <c r="AB192" s="1944"/>
      <c r="AC192" s="1648"/>
      <c r="AD192" s="1661"/>
      <c r="AE192" s="734"/>
      <c r="AF192" s="1748"/>
      <c r="AG192" s="1275"/>
      <c r="AH192" s="722"/>
      <c r="AI192" s="1648"/>
      <c r="AJ192" s="733"/>
      <c r="AK192" s="1648"/>
      <c r="AL192" s="1721"/>
      <c r="AM192" s="1648"/>
      <c r="AN192" s="1057"/>
      <c r="AO192" s="1644"/>
      <c r="AP192" s="1644"/>
      <c r="AQ192" s="1644"/>
      <c r="AR192" s="1644"/>
      <c r="AS192" s="1644"/>
      <c r="AT192" s="1761"/>
      <c r="AU192" s="1761"/>
      <c r="AV192" s="1761"/>
      <c r="AW192" s="1761"/>
      <c r="AX192" s="1761"/>
      <c r="AY192" s="1761"/>
      <c r="AZ192" s="1761"/>
      <c r="BA192" s="1761"/>
      <c r="BB192" s="1761"/>
      <c r="BC192" s="1762"/>
      <c r="BD192" s="1762"/>
      <c r="BE192" s="1762"/>
      <c r="BF192" s="1762"/>
      <c r="BG192" s="1762"/>
      <c r="BH192" s="1762"/>
      <c r="BI192" s="1762"/>
      <c r="BJ192" s="1762"/>
      <c r="BK192" s="1762"/>
      <c r="BL192" s="1762"/>
      <c r="BM192" s="1762"/>
      <c r="BN192" s="1762"/>
      <c r="BO192" s="1762"/>
      <c r="BP192" s="1762"/>
      <c r="BQ192" s="1762"/>
      <c r="BR192" s="1762"/>
      <c r="BS192" s="1736"/>
      <c r="BT192" s="1738"/>
      <c r="BU192" s="1738"/>
      <c r="BV192" s="1738"/>
      <c r="BW192" s="1738"/>
      <c r="BX192" s="1738"/>
      <c r="BY192" s="1738"/>
      <c r="BZ192" s="1229"/>
      <c r="CA192" s="721">
        <f t="shared" si="3"/>
        <v>0</v>
      </c>
      <c r="CB192" s="1748"/>
    </row>
    <row r="193" spans="1:80" s="1739" customFormat="1" x14ac:dyDescent="0.2">
      <c r="A193" s="840">
        <v>91</v>
      </c>
      <c r="B193" s="1746">
        <v>91</v>
      </c>
      <c r="C193" s="1740"/>
      <c r="D193" s="1248" t="str">
        <f>IF(C191="","",IF((C193=""),"Enter Facility "&amp;TEXT(A193,0)&amp;" Name, then Fill in Columns "&amp;TEXT($H$2,0)&amp;" - "&amp;TEXT($AL$2,0)&amp;"       ",""))</f>
        <v/>
      </c>
      <c r="E193" s="1245" t="str">
        <f ca="1">IF(AS193="N/A","",IF(AS193="N","No","Yes"))</f>
        <v/>
      </c>
      <c r="F193" s="758"/>
      <c r="G193" s="758"/>
      <c r="H193" s="1707"/>
      <c r="I193" s="758"/>
      <c r="J193" s="1653"/>
      <c r="K193" s="1248" t="str">
        <f ca="1">IF($E193&lt;&gt;"","Enter Street Address      ","")</f>
        <v/>
      </c>
      <c r="L193" s="1740"/>
      <c r="M193" s="1248" t="str">
        <f ca="1">IF($E193&lt;&gt;"","Enter City Name       ","")</f>
        <v/>
      </c>
      <c r="N193" s="1740"/>
      <c r="O193" s="1248" t="str">
        <f ca="1">IF($E193&lt;&gt;"","Select from Pull-Down List   ","")</f>
        <v/>
      </c>
      <c r="P193" s="1741"/>
      <c r="Q193" s="1248" t="str">
        <f ca="1">IF($E193&lt;&gt;"","Enter ZIP Code       ","")</f>
        <v/>
      </c>
      <c r="R193" s="1742"/>
      <c r="S193" s="1248" t="str">
        <f ca="1">IF(OR(N193&lt;&gt;"",P193&lt;&gt;"",J193&lt;&gt;"",L193&lt;&gt;""),"",IF($E193&lt;&gt;"","Enter Lat.      ",""))</f>
        <v/>
      </c>
      <c r="T193" s="1742"/>
      <c r="U193" s="1248" t="str">
        <f ca="1">IF(OR(N193&lt;&gt;"",P193&lt;&gt;"",J193&lt;&gt;"",L193&lt;&gt;""),"",IF($E193&lt;&gt;"","Enter Long.    ",""))</f>
        <v/>
      </c>
      <c r="V193" s="1653"/>
      <c r="W193" s="1618" t="str">
        <f ca="1">IF($E193&lt;&gt;"","Select from Pull-Down List  ","")</f>
        <v/>
      </c>
      <c r="X193" s="1653"/>
      <c r="Y193" s="1618" t="str">
        <f ca="1">IF($E193&lt;&gt;"","Select from Pull-Down List  ","")</f>
        <v/>
      </c>
      <c r="Z193" s="1743"/>
      <c r="AA193" s="1248" t="str">
        <f ca="1">IF(E193&lt;&gt;"","Year?   ","")</f>
        <v/>
      </c>
      <c r="AB193" s="1943"/>
      <c r="AC193" s="1620" t="str">
        <f ca="1">IF(E193="","",IF(X193="","Sq. Ft. or Spaces?   ",IF(OR(X193=Codes!$L$26,X193=Codes!$L$27,X193=Codes!$L$28),"Sq. Ft. or Spaces?   ",IF(OR(X193=Codes!$L$20,X193=Codes!$L$21,X193=Codes!$L$22,X193=Codes!$L$23,X193=Codes!$L$24,X193=Codes!$L$25),"Sq. Ft?     ",""))))</f>
        <v/>
      </c>
      <c r="AD193" s="1740"/>
      <c r="AE193" s="1618" t="str">
        <f ca="1">IF($E193&lt;&gt;"","Select from List     ","")</f>
        <v/>
      </c>
      <c r="AF193" s="1621"/>
      <c r="AG193" s="1618" t="str">
        <f ca="1">IF($E193&lt;&gt;"","% of Cap Resp.","")</f>
        <v/>
      </c>
      <c r="AH193" s="1801" t="str">
        <f ca="1">IF(BW193="", "", IF(BW193&gt;100, 1, VLOOKUP(BW193, Valid!$W$1:$AA$101, VLOOKUP(X193, Codes!$L$20:$N$28, 3, FALSE), FALSE)))</f>
        <v/>
      </c>
      <c r="AI193" s="1620" t="str">
        <f ca="1">IF($E193&lt;&gt;"","Estimated?  ","")</f>
        <v/>
      </c>
      <c r="AJ193" s="1654"/>
      <c r="AK193" s="1620" t="str">
        <f ca="1">IF($E193&lt;&gt;"","Condition?  ","")</f>
        <v/>
      </c>
      <c r="AL193" s="1730"/>
      <c r="AM193" s="1620" t="b">
        <f ca="1">IF(E193&lt;&gt;"","Est Date?    ")</f>
        <v>0</v>
      </c>
      <c r="AN193" s="1740"/>
      <c r="AO193" s="1248" t="str">
        <f>IF(X193="Other (describe in Notes)","Describe Facility.                                                                                                                        ","")</f>
        <v/>
      </c>
      <c r="AP193" s="1624"/>
      <c r="AQ193" s="1624" t="b">
        <f>IF(AND(C193="",C195&lt;&gt;""),TRUE,FALSE)</f>
        <v>0</v>
      </c>
      <c r="AR193" s="1624" t="str">
        <f>IF(AND(J193&lt;&gt;"",L193&lt;&gt;"",N193&lt;&gt;"",P193&lt;&gt;"",R193="",T193=""),"Y",IF(AND(J193="",L193="",N193="",P193="",R193&lt;&gt;"",T193&lt;&gt;""),"Y",IF(AND(J193&lt;&gt;"",L193&lt;&gt;"",N193&lt;&gt;"",P193&lt;&gt;"",R193&lt;&gt;"",T193&lt;&gt;""),"Y",IF(AND(J193="",L193="",N193="",P193="",R193="",T193=""),"N/A","N"))))</f>
        <v>N/A</v>
      </c>
      <c r="AS193" s="1624" t="str">
        <f ca="1">IF(AND($C193&lt;&gt;"",OR(AR193="N",$V193="",$X193="",$Z193="",$AB193="",$AF193="",$AH193="",$AL193="",AD193="")),"N",IF(AND($C193="",OR(H193&lt;&gt;"",AR193="N",$V193&lt;&gt;"",$X193&lt;&gt;"",$Z193&lt;&gt;"",$AB193&lt;&gt;"",$AF193&lt;&gt;"",$AH193&lt;&gt;"",$AL193&lt;&gt;"",AD193&lt;&gt;"")),"N",IF(AND(H193="",$C193="",AR193="N/A",$V193="",$X193="",$Z193="",$AB193="",$AF193="",$AH193="",$AL193="",AD193=""),"N/A",IF(AND($C193&lt;&gt;"",AR193="Y",$V193&lt;&gt;"",$X193&lt;&gt;"",$Z193&lt;&gt;"",$AB193&lt;&gt;"",$AF193&lt;&gt;"",$AH193&lt;&gt;"",$AL193&lt;&gt;"",AD193&lt;&gt;""),"Y","N"))))</f>
        <v>N/A</v>
      </c>
      <c r="AT193" s="1761" t="b">
        <f ca="1">IF(AND($C193="",OR($J193&lt;&gt;"",$L193&lt;&gt;"",$N193&lt;&gt;"",$P193&lt;&gt;"",$V193&lt;&gt;"",$X193&lt;&gt;"",$Z193&lt;&gt;"",$AB193&lt;&gt;"",$AF193&lt;&gt;"",$AH193&lt;&gt;"",$AL193&lt;&gt;"")),TRUE,FALSE)</f>
        <v>0</v>
      </c>
      <c r="AU193" s="1761" t="b">
        <f>IF(OR(R193&lt;&gt;"",T193&lt;&gt;""),"false",IF(AND($C193&lt;&gt;"",$J193=""),TRUE,FALSE))</f>
        <v>0</v>
      </c>
      <c r="AV193" s="1761" t="b">
        <f>IF(OR(R193&lt;&gt;"",T193&lt;&gt;""),FALSE,IF(AND($C193&lt;&gt;"",$L193=""),TRUE,FALSE))</f>
        <v>0</v>
      </c>
      <c r="AW193" s="1761" t="b">
        <f>IF(OR(R193&lt;&gt;"",T193&lt;&gt;""),FALSE,IF(AND($C193&lt;&gt;"",$N193=""),TRUE,FALSE))</f>
        <v>0</v>
      </c>
      <c r="AX193" s="1761" t="b">
        <f>IF(OR(R193&lt;&gt;"",T193&lt;&gt;""),FALSE,IF(AND($C193&lt;&gt;"",$P193=""),TRUE,FALSE))</f>
        <v>0</v>
      </c>
      <c r="AY193" s="1761"/>
      <c r="AZ193" s="1761" t="b">
        <f>IF(OR(J193&lt;&gt;"",L193&lt;&gt;"",N193&lt;&gt;"",P193&lt;&gt;""),FALSE,IF(AND(C193&lt;&gt;"",R193=""),TRUE,FALSE))</f>
        <v>0</v>
      </c>
      <c r="BA193" s="1761"/>
      <c r="BB193" s="1761" t="b">
        <f>IF(OR(J193&lt;&gt;"",L193&lt;&gt;"",N193&lt;&gt;"",P193&lt;&gt;""),FALSE,IF(AND(C193&lt;&gt;"",T193=""),TRUE,FALSE))</f>
        <v>0</v>
      </c>
      <c r="BC193" s="1761" t="b">
        <f>IF(AND($C193&lt;&gt;"",$V193=""),TRUE,FALSE)</f>
        <v>0</v>
      </c>
      <c r="BD193" s="1761" t="b">
        <f ca="1">IF(AND(X193="",OR(Z193&lt;&gt;"",AB193&lt;&gt;"",AF193&lt;&gt;"",AH193&lt;&gt;"",AL193&lt;&gt;"",AD193&lt;&gt;"")),TRUE,FALSE)</f>
        <v>0</v>
      </c>
      <c r="BE193" s="1761" t="b">
        <f>IF(AND($C193&lt;&gt;"",$X193=""),TRUE,FALSE)</f>
        <v>0</v>
      </c>
      <c r="BF193" s="1761" t="b">
        <f>IF(Z193="",FALSE,IF(X193="",FALSE,IF(BG193=TRUE,FALSE,IF(OR(Z193&lt;BU193,Z193&gt;BaseYear),TRUE,FALSE))))</f>
        <v>0</v>
      </c>
      <c r="BG193" s="1761" t="b">
        <f>IF(AND($C193&lt;&gt;"",$Z193=""),TRUE,FALSE)</f>
        <v>0</v>
      </c>
      <c r="BH193" s="1761" t="b">
        <f>IF(AD193="",FALSE,IF(X193="",FALSE,IF(BJ193=TRUE,FALSE,IF(AB193&lt;BX193,TRUE,FALSE))))</f>
        <v>0</v>
      </c>
      <c r="BI193" s="1761" t="b">
        <f>IF(AD193="",FALSE,IF(X193="",FALSE,IF(BJ193=TRUE,FALSE,IF(AB193&gt;BY193,TRUE,FALSE))))</f>
        <v>0</v>
      </c>
      <c r="BJ193" s="1761" t="b">
        <f>IF(AND($C193&lt;&gt;"",$AB193=""),TRUE,FALSE)</f>
        <v>0</v>
      </c>
      <c r="BK193" s="1761" t="b">
        <f>IF(BL193=TRUE,FALSE,IF(OR(AF193&lt;0,AF193&gt;1),TRUE,FALSE))</f>
        <v>0</v>
      </c>
      <c r="BL193" s="1761" t="b">
        <f>IF(AND($C193&lt;&gt;"",$AF193=""),TRUE,FALSE)</f>
        <v>0</v>
      </c>
      <c r="BM193" s="1761"/>
      <c r="BN193" s="1761" t="b">
        <f ca="1">IF(AND($C193&lt;&gt;"",$AH193=""),TRUE,FALSE)</f>
        <v>0</v>
      </c>
      <c r="BO193" s="1761" t="b">
        <f>IF(AL193="",FALSE,IF(X193="",FALSE,IF(BP193=TRUE,FALSE,IF(OR(AL193&lt;1913,AL193&gt;BaseYear),TRUE,FALSE))))</f>
        <v>0</v>
      </c>
      <c r="BP193" s="1761" t="b">
        <f>IF(AND($C193&lt;&gt;"",$AL193=""),TRUE,FALSE)</f>
        <v>0</v>
      </c>
      <c r="BQ193" s="1761" t="b">
        <f>IF(AD193="Square Foot",FALSE,IF(AND(AD193="Parking Space",OR('A-20 PassFacInv'!X193=Valid!$B$7,'A-20 PassFacInv'!X193=Valid!$B$8,'A-20 PassFacInv'!X193=Valid!$B$9,'A-20 PassFacInv'!X193=Valid!$B$10,'A-20 PassFacInv'!X193=Valid!$B$12,'A-20 PassFacInv'!X193=Valid!$B$13,'A-20 PassFacInv'!X193=Valid!$B$14,'A-20 PassFacInv'!X193=Valid!$B$15,'A-20 PassFacInv'!X193=Valid!$B$16,'A-20 PassFacInv'!X193=Valid!$B$17,'A-20 PassFacInv'!X193=Valid!$B$18,X193=Valid!$B$19,X193=Valid!$B$20,X193=Valid!$B$21)),TRUE,FALSE))</f>
        <v>0</v>
      </c>
      <c r="BR193" s="1761" t="b">
        <f>IF(AND($C193&lt;&gt;"",$AD193=""),TRUE,FALSE)</f>
        <v>0</v>
      </c>
      <c r="BS193" s="721"/>
      <c r="BT193" s="1625" t="str">
        <f>IF($X193="","",VLOOKUP($X193,val_facilities,BT$3,FALSE))</f>
        <v/>
      </c>
      <c r="BU193" s="1627" t="str">
        <f>IF($X193="","",VLOOKUP($X193,val_facilities,BU$3,FALSE))</f>
        <v/>
      </c>
      <c r="BV193" s="1627" t="str">
        <f>IF($X193="","",VLOOKUP($X193,val_facilities,BV$3,FALSE))</f>
        <v/>
      </c>
      <c r="BW193" s="1627" t="str">
        <f ca="1">IFERROR(IF(Z193="", "", YEAR(TODAY())-Z193), "")</f>
        <v/>
      </c>
      <c r="BX193" s="845" t="str">
        <f>IF($X193="","",IF(AD193="Square Feet",VLOOKUP('A-20 PassFacInv'!X103,Valid!$B$7:$H$24,7,FALSE),IF(AD193="Parking Spaces",VLOOKUP(X193,Valid!$B$22:$L$24,11,FALSE))))</f>
        <v/>
      </c>
      <c r="BY193" s="845" t="str">
        <f>IF($X193="","",IF(AD193="Square Feet",VLOOKUP(X193,Valid!$B$7:$I$24,8,FALSE),IF('A-20 PassFacInv'!AD103="Parking Spaces",VLOOKUP('A-20 PassFacInv'!X103,Valid!$B$22:$M$24,12,FALSE))))</f>
        <v/>
      </c>
      <c r="BZ193" s="758"/>
      <c r="CA193" s="721">
        <f t="shared" si="3"/>
        <v>0</v>
      </c>
      <c r="CB193" s="816"/>
    </row>
    <row r="194" spans="1:80" s="1739" customFormat="1" ht="6.75" customHeight="1" thickBot="1" x14ac:dyDescent="0.25">
      <c r="A194" s="1638"/>
      <c r="B194" s="1746">
        <v>91.5</v>
      </c>
      <c r="C194" s="1223"/>
      <c r="D194" s="1248"/>
      <c r="E194" s="721"/>
      <c r="F194" s="758"/>
      <c r="G194" s="758"/>
      <c r="H194" s="758"/>
      <c r="I194" s="758"/>
      <c r="J194" s="1744"/>
      <c r="K194" s="1248"/>
      <c r="L194" s="1745"/>
      <c r="M194" s="1248"/>
      <c r="N194" s="1745"/>
      <c r="O194" s="1248"/>
      <c r="P194" s="1659"/>
      <c r="Q194" s="1248"/>
      <c r="R194" s="1656"/>
      <c r="S194" s="1248"/>
      <c r="T194" s="1656"/>
      <c r="U194" s="1248"/>
      <c r="V194" s="1223"/>
      <c r="W194" s="1618"/>
      <c r="X194" s="1737"/>
      <c r="Y194" s="1618"/>
      <c r="Z194" s="1623"/>
      <c r="AA194" s="1618"/>
      <c r="AB194" s="1944"/>
      <c r="AC194" s="1632"/>
      <c r="AD194" s="1394"/>
      <c r="AE194" s="823"/>
      <c r="AF194" s="822"/>
      <c r="AG194" s="1632"/>
      <c r="AH194" s="1631"/>
      <c r="AI194" s="1632"/>
      <c r="AJ194" s="1631"/>
      <c r="AK194" s="1632"/>
      <c r="AL194" s="1719"/>
      <c r="AM194" s="1632"/>
      <c r="AN194" s="721"/>
      <c r="AO194" s="758"/>
      <c r="AP194" s="758"/>
      <c r="AQ194" s="758"/>
      <c r="AR194" s="758"/>
      <c r="AS194" s="758"/>
      <c r="AT194" s="1761"/>
      <c r="AU194" s="1761"/>
      <c r="AV194" s="1761"/>
      <c r="AW194" s="1761"/>
      <c r="AX194" s="1761"/>
      <c r="AY194" s="1761"/>
      <c r="AZ194" s="1761"/>
      <c r="BA194" s="1761"/>
      <c r="BB194" s="1761"/>
      <c r="BC194" s="1761"/>
      <c r="BD194" s="1761"/>
      <c r="BE194" s="1761"/>
      <c r="BF194" s="1761"/>
      <c r="BG194" s="1761"/>
      <c r="BH194" s="1761"/>
      <c r="BI194" s="1761"/>
      <c r="BJ194" s="1761"/>
      <c r="BK194" s="1761"/>
      <c r="BL194" s="1761"/>
      <c r="BM194" s="1761"/>
      <c r="BN194" s="1761"/>
      <c r="BO194" s="1761"/>
      <c r="BP194" s="1761"/>
      <c r="BQ194" s="1761"/>
      <c r="BR194" s="1761"/>
      <c r="BS194" s="721"/>
      <c r="BT194" s="1626"/>
      <c r="BU194" s="1626"/>
      <c r="BV194" s="1626"/>
      <c r="BW194" s="1626"/>
      <c r="BX194" s="1626"/>
      <c r="BY194" s="1626"/>
      <c r="BZ194" s="1229"/>
      <c r="CA194" s="721">
        <f t="shared" si="3"/>
        <v>0</v>
      </c>
      <c r="CB194" s="721"/>
    </row>
    <row r="195" spans="1:80" s="1739" customFormat="1" x14ac:dyDescent="0.2">
      <c r="A195" s="840">
        <v>92</v>
      </c>
      <c r="B195" s="1746">
        <v>92</v>
      </c>
      <c r="C195" s="1740"/>
      <c r="D195" s="1248" t="str">
        <f>IF(C193="","",IF((C195=""),"Enter Facility "&amp;TEXT(A195,0)&amp;" Name, then Fill in Columns "&amp;TEXT($H$2,0)&amp;" - "&amp;TEXT($AL$2,0)&amp;"       ",""))</f>
        <v/>
      </c>
      <c r="E195" s="1245" t="str">
        <f ca="1">IF(AS195="N/A","",IF(AS195="N","No","Yes"))</f>
        <v/>
      </c>
      <c r="F195" s="758"/>
      <c r="G195" s="758"/>
      <c r="H195" s="1707"/>
      <c r="I195" s="758"/>
      <c r="J195" s="1653"/>
      <c r="K195" s="1248" t="str">
        <f ca="1">IF($E195&lt;&gt;"","Enter Street Address      ","")</f>
        <v/>
      </c>
      <c r="L195" s="1740"/>
      <c r="M195" s="1248" t="str">
        <f ca="1">IF($E195&lt;&gt;"","Enter City Name       ","")</f>
        <v/>
      </c>
      <c r="N195" s="1740"/>
      <c r="O195" s="1248" t="str">
        <f ca="1">IF($E195&lt;&gt;"","Select from Pull-Down List   ","")</f>
        <v/>
      </c>
      <c r="P195" s="1741"/>
      <c r="Q195" s="1248" t="str">
        <f ca="1">IF($E195&lt;&gt;"","Enter ZIP Code       ","")</f>
        <v/>
      </c>
      <c r="R195" s="1742"/>
      <c r="S195" s="1248" t="str">
        <f ca="1">IF(OR(N195&lt;&gt;"",P195&lt;&gt;"",J195&lt;&gt;"",L195&lt;&gt;""),"",IF($E195&lt;&gt;"","Enter Lat.      ",""))</f>
        <v/>
      </c>
      <c r="T195" s="1742"/>
      <c r="U195" s="1248" t="str">
        <f ca="1">IF(OR(N195&lt;&gt;"",P195&lt;&gt;"",J195&lt;&gt;"",L195&lt;&gt;""),"",IF($E195&lt;&gt;"","Enter Long.    ",""))</f>
        <v/>
      </c>
      <c r="V195" s="1653"/>
      <c r="W195" s="1618" t="str">
        <f ca="1">IF($E195&lt;&gt;"","Select from Pull-Down List  ","")</f>
        <v/>
      </c>
      <c r="X195" s="1653"/>
      <c r="Y195" s="1618" t="str">
        <f ca="1">IF($E195&lt;&gt;"","Select from Pull-Down List  ","")</f>
        <v/>
      </c>
      <c r="Z195" s="1743"/>
      <c r="AA195" s="1248" t="str">
        <f ca="1">IF(E195&lt;&gt;"","Year?   ","")</f>
        <v/>
      </c>
      <c r="AB195" s="1943"/>
      <c r="AC195" s="1620" t="str">
        <f ca="1">IF(E195="","",IF(X195="","Sq. Ft. or Spaces?   ",IF(OR(X195=Codes!$L$26,X195=Codes!$L$27,X195=Codes!$L$28),"Sq. Ft. or Spaces?   ",IF(OR(X195=Codes!$L$20,X195=Codes!$L$21,X195=Codes!$L$22,X195=Codes!$L$23,X195=Codes!$L$24,X195=Codes!$L$25),"Sq. Ft?     ",""))))</f>
        <v/>
      </c>
      <c r="AD195" s="1740"/>
      <c r="AE195" s="1618" t="str">
        <f ca="1">IF($E195&lt;&gt;"","Select from List     ","")</f>
        <v/>
      </c>
      <c r="AF195" s="1621"/>
      <c r="AG195" s="1618" t="str">
        <f ca="1">IF($E195&lt;&gt;"","% of Cap Resp.","")</f>
        <v/>
      </c>
      <c r="AH195" s="1801" t="str">
        <f ca="1">IF(BW195="", "", IF(BW195&gt;100, 1, VLOOKUP(BW195, Valid!$W$1:$AA$101, VLOOKUP(X195, Codes!$L$20:$N$28, 3, FALSE), FALSE)))</f>
        <v/>
      </c>
      <c r="AI195" s="1620" t="str">
        <f ca="1">IF($E195&lt;&gt;"","Estimated?  ","")</f>
        <v/>
      </c>
      <c r="AJ195" s="1654"/>
      <c r="AK195" s="1620" t="str">
        <f ca="1">IF($E195&lt;&gt;"","Condition?  ","")</f>
        <v/>
      </c>
      <c r="AL195" s="1730"/>
      <c r="AM195" s="1620" t="b">
        <f ca="1">IF(E195&lt;&gt;"","Est Date?    ")</f>
        <v>0</v>
      </c>
      <c r="AN195" s="1740"/>
      <c r="AO195" s="1248" t="str">
        <f>IF(X195="Other (describe in Notes)","Describe Facility.                                                                                                                        ","")</f>
        <v/>
      </c>
      <c r="AP195" s="1624"/>
      <c r="AQ195" s="1624" t="b">
        <f>IF(AND(C195="",C197&lt;&gt;""),TRUE,FALSE)</f>
        <v>0</v>
      </c>
      <c r="AR195" s="1624" t="str">
        <f>IF(AND(J195&lt;&gt;"",L195&lt;&gt;"",N195&lt;&gt;"",P195&lt;&gt;"",R195="",T195=""),"Y",IF(AND(J195="",L195="",N195="",P195="",R195&lt;&gt;"",T195&lt;&gt;""),"Y",IF(AND(J195&lt;&gt;"",L195&lt;&gt;"",N195&lt;&gt;"",P195&lt;&gt;"",R195&lt;&gt;"",T195&lt;&gt;""),"Y",IF(AND(J195="",L195="",N195="",P195="",R195="",T195=""),"N/A","N"))))</f>
        <v>N/A</v>
      </c>
      <c r="AS195" s="1624" t="str">
        <f ca="1">IF(AND($C195&lt;&gt;"",OR(AR195="N",$V195="",$X195="",$Z195="",$AB195="",$AF195="",$AH195="",$AL195="",AD195="")),"N",IF(AND($C195="",OR(H195&lt;&gt;"",AR195="N",$V195&lt;&gt;"",$X195&lt;&gt;"",$Z195&lt;&gt;"",$AB195&lt;&gt;"",$AF195&lt;&gt;"",$AH195&lt;&gt;"",$AL195&lt;&gt;"",AD195&lt;&gt;"")),"N",IF(AND(H195="",$C195="",AR195="N/A",$V195="",$X195="",$Z195="",$AB195="",$AF195="",$AH195="",$AL195="",AD195=""),"N/A",IF(AND($C195&lt;&gt;"",AR195="Y",$V195&lt;&gt;"",$X195&lt;&gt;"",$Z195&lt;&gt;"",$AB195&lt;&gt;"",$AF195&lt;&gt;"",$AH195&lt;&gt;"",$AL195&lt;&gt;"",AD195&lt;&gt;""),"Y","N"))))</f>
        <v>N/A</v>
      </c>
      <c r="AT195" s="1761" t="b">
        <f ca="1">IF(AND($C195="",OR($J195&lt;&gt;"",$L195&lt;&gt;"",$N195&lt;&gt;"",$P195&lt;&gt;"",$V195&lt;&gt;"",$X195&lt;&gt;"",$Z195&lt;&gt;"",$AB195&lt;&gt;"",$AF195&lt;&gt;"",$AH195&lt;&gt;"",$AL195&lt;&gt;"")),TRUE,FALSE)</f>
        <v>0</v>
      </c>
      <c r="AU195" s="1761" t="b">
        <f>IF(OR(R195&lt;&gt;"",T195&lt;&gt;""),"false",IF(AND($C195&lt;&gt;"",$J195=""),TRUE,FALSE))</f>
        <v>0</v>
      </c>
      <c r="AV195" s="1761" t="b">
        <f>IF(OR(R195&lt;&gt;"",T195&lt;&gt;""),FALSE,IF(AND($C195&lt;&gt;"",$L195=""),TRUE,FALSE))</f>
        <v>0</v>
      </c>
      <c r="AW195" s="1761" t="b">
        <f>IF(OR(R195&lt;&gt;"",T195&lt;&gt;""),FALSE,IF(AND($C195&lt;&gt;"",$N195=""),TRUE,FALSE))</f>
        <v>0</v>
      </c>
      <c r="AX195" s="1761" t="b">
        <f>IF(OR(R195&lt;&gt;"",T195&lt;&gt;""),FALSE,IF(AND($C195&lt;&gt;"",$P195=""),TRUE,FALSE))</f>
        <v>0</v>
      </c>
      <c r="AY195" s="1761"/>
      <c r="AZ195" s="1761" t="b">
        <f>IF(OR(J195&lt;&gt;"",L195&lt;&gt;"",N195&lt;&gt;"",P195&lt;&gt;""),FALSE,IF(AND(C195&lt;&gt;"",R195=""),TRUE,FALSE))</f>
        <v>0</v>
      </c>
      <c r="BA195" s="1761"/>
      <c r="BB195" s="1761" t="b">
        <f>IF(OR(J195&lt;&gt;"",L195&lt;&gt;"",N195&lt;&gt;"",P195&lt;&gt;""),FALSE,IF(AND(C195&lt;&gt;"",T195=""),TRUE,FALSE))</f>
        <v>0</v>
      </c>
      <c r="BC195" s="1761" t="b">
        <f>IF(AND($C195&lt;&gt;"",$V195=""),TRUE,FALSE)</f>
        <v>0</v>
      </c>
      <c r="BD195" s="1761" t="b">
        <f ca="1">IF(AND(X195="",OR(Z195&lt;&gt;"",AB195&lt;&gt;"",AF195&lt;&gt;"",AH195&lt;&gt;"",AL195&lt;&gt;"",AD195&lt;&gt;"")),TRUE,FALSE)</f>
        <v>0</v>
      </c>
      <c r="BE195" s="1761" t="b">
        <f>IF(AND($C195&lt;&gt;"",$X195=""),TRUE,FALSE)</f>
        <v>0</v>
      </c>
      <c r="BF195" s="1761" t="b">
        <f>IF(Z195="",FALSE,IF(X195="",FALSE,IF(BG195=TRUE,FALSE,IF(OR(Z195&lt;BU195,Z195&gt;BaseYear),TRUE,FALSE))))</f>
        <v>0</v>
      </c>
      <c r="BG195" s="1761" t="b">
        <f>IF(AND($C195&lt;&gt;"",$Z195=""),TRUE,FALSE)</f>
        <v>0</v>
      </c>
      <c r="BH195" s="1761" t="b">
        <f>IF(AD195="",FALSE,IF(X195="",FALSE,IF(BJ195=TRUE,FALSE,IF(AB195&lt;BX195,TRUE,FALSE))))</f>
        <v>0</v>
      </c>
      <c r="BI195" s="1761" t="b">
        <f>IF(AD195="",FALSE,IF(X195="",FALSE,IF(BJ195=TRUE,FALSE,IF(AB195&gt;BY195,TRUE,FALSE))))</f>
        <v>0</v>
      </c>
      <c r="BJ195" s="1761" t="b">
        <f>IF(AND($C195&lt;&gt;"",$AB195=""),TRUE,FALSE)</f>
        <v>0</v>
      </c>
      <c r="BK195" s="1761" t="b">
        <f>IF(BL195=TRUE,FALSE,IF(OR(AF195&lt;0,AF195&gt;1),TRUE,FALSE))</f>
        <v>0</v>
      </c>
      <c r="BL195" s="1761" t="b">
        <f>IF(AND($C195&lt;&gt;"",$AF195=""),TRUE,FALSE)</f>
        <v>0</v>
      </c>
      <c r="BM195" s="1761"/>
      <c r="BN195" s="1761" t="b">
        <f ca="1">IF(AND($C195&lt;&gt;"",$AH195=""),TRUE,FALSE)</f>
        <v>0</v>
      </c>
      <c r="BO195" s="1761" t="b">
        <f>IF(AL195="",FALSE,IF(X195="",FALSE,IF(BP195=TRUE,FALSE,IF(OR(AL195&lt;1913,AL195&gt;BaseYear),TRUE,FALSE))))</f>
        <v>0</v>
      </c>
      <c r="BP195" s="1761" t="b">
        <f>IF(AND($C195&lt;&gt;"",$AL195=""),TRUE,FALSE)</f>
        <v>0</v>
      </c>
      <c r="BQ195" s="1761" t="b">
        <f>IF(AD195="Square Foot",FALSE,IF(AND(AD195="Parking Space",OR('A-20 PassFacInv'!X195=Valid!$B$7,'A-20 PassFacInv'!X195=Valid!$B$8,'A-20 PassFacInv'!X195=Valid!$B$9,'A-20 PassFacInv'!X195=Valid!$B$10,'A-20 PassFacInv'!X195=Valid!$B$12,'A-20 PassFacInv'!X195=Valid!$B$13,'A-20 PassFacInv'!X195=Valid!$B$14,'A-20 PassFacInv'!X195=Valid!$B$15,'A-20 PassFacInv'!X195=Valid!$B$16,'A-20 PassFacInv'!X195=Valid!$B$17,'A-20 PassFacInv'!X195=Valid!$B$18,X195=Valid!$B$19,X195=Valid!$B$20,X195=Valid!$B$21)),TRUE,FALSE))</f>
        <v>0</v>
      </c>
      <c r="BR195" s="1761" t="b">
        <f>IF(AND($C195&lt;&gt;"",$AD195=""),TRUE,FALSE)</f>
        <v>0</v>
      </c>
      <c r="BS195" s="721"/>
      <c r="BT195" s="1625" t="str">
        <f>IF($X195="","",VLOOKUP($X195,val_facilities,BT$3,FALSE))</f>
        <v/>
      </c>
      <c r="BU195" s="1627" t="str">
        <f>IF($X195="","",VLOOKUP($X195,val_facilities,BU$3,FALSE))</f>
        <v/>
      </c>
      <c r="BV195" s="1627" t="str">
        <f>IF($X195="","",VLOOKUP($X195,val_facilities,BV$3,FALSE))</f>
        <v/>
      </c>
      <c r="BW195" s="1627" t="str">
        <f ca="1">IFERROR(IF(Z195="", "", YEAR(TODAY())-Z195), "")</f>
        <v/>
      </c>
      <c r="BX195" s="845" t="str">
        <f>IF($X195="","",IF(AD195="Square Feet",VLOOKUP('A-20 PassFacInv'!X104,Valid!$B$7:$H$24,7,FALSE),IF(AD195="Parking Spaces",VLOOKUP(X195,Valid!$B$22:$L$24,11,FALSE))))</f>
        <v/>
      </c>
      <c r="BY195" s="845" t="str">
        <f>IF($X195="","",IF(AD195="Square Feet",VLOOKUP(X195,Valid!$B$7:$I$24,8,FALSE),IF('A-20 PassFacInv'!AD104="Parking Spaces",VLOOKUP('A-20 PassFacInv'!X104,Valid!$B$22:$M$24,12,FALSE))))</f>
        <v/>
      </c>
      <c r="BZ195" s="758"/>
      <c r="CA195" s="721">
        <f t="shared" si="3"/>
        <v>0</v>
      </c>
      <c r="CB195" s="816"/>
    </row>
    <row r="196" spans="1:80" s="1739" customFormat="1" ht="6.75" customHeight="1" thickBot="1" x14ac:dyDescent="0.25">
      <c r="A196" s="1638"/>
      <c r="B196" s="1746">
        <v>92.5</v>
      </c>
      <c r="C196" s="721"/>
      <c r="D196" s="1248"/>
      <c r="E196" s="816"/>
      <c r="F196" s="758"/>
      <c r="G196" s="758"/>
      <c r="H196" s="758"/>
      <c r="I196" s="758"/>
      <c r="J196" s="1633"/>
      <c r="K196" s="1248"/>
      <c r="L196" s="1634"/>
      <c r="M196" s="1248"/>
      <c r="N196" s="1634"/>
      <c r="O196" s="1248"/>
      <c r="P196" s="1657"/>
      <c r="Q196" s="1248"/>
      <c r="R196" s="1656"/>
      <c r="S196" s="1248"/>
      <c r="T196" s="1656"/>
      <c r="U196" s="1248"/>
      <c r="V196" s="1059"/>
      <c r="W196" s="1618"/>
      <c r="X196" s="764"/>
      <c r="Y196" s="1618"/>
      <c r="Z196" s="1623"/>
      <c r="AA196" s="1618"/>
      <c r="AB196" s="1944"/>
      <c r="AC196" s="723"/>
      <c r="AD196" s="1658"/>
      <c r="AE196" s="724"/>
      <c r="AF196" s="724"/>
      <c r="AG196" s="723"/>
      <c r="AH196" s="722"/>
      <c r="AI196" s="723"/>
      <c r="AJ196" s="722"/>
      <c r="AK196" s="723"/>
      <c r="AL196" s="1717"/>
      <c r="AM196" s="723"/>
      <c r="AN196" s="1637"/>
      <c r="AO196" s="1624"/>
      <c r="AP196" s="1624"/>
      <c r="AQ196" s="1624"/>
      <c r="AR196" s="1624"/>
      <c r="AS196" s="1624"/>
      <c r="AT196" s="1761"/>
      <c r="AU196" s="1761"/>
      <c r="AV196" s="1761"/>
      <c r="AW196" s="1761"/>
      <c r="AX196" s="1761"/>
      <c r="AY196" s="1761"/>
      <c r="AZ196" s="1761"/>
      <c r="BA196" s="1761"/>
      <c r="BB196" s="1761"/>
      <c r="BC196" s="1761"/>
      <c r="BD196" s="1761"/>
      <c r="BE196" s="1761"/>
      <c r="BF196" s="1761"/>
      <c r="BG196" s="1761"/>
      <c r="BH196" s="1761"/>
      <c r="BI196" s="1761"/>
      <c r="BJ196" s="1761"/>
      <c r="BK196" s="1761"/>
      <c r="BL196" s="1761"/>
      <c r="BM196" s="1761"/>
      <c r="BN196" s="1761"/>
      <c r="BO196" s="1761"/>
      <c r="BP196" s="1761"/>
      <c r="BQ196" s="1761"/>
      <c r="BR196" s="1761"/>
      <c r="BS196" s="721"/>
      <c r="BT196" s="1626"/>
      <c r="BU196" s="1626"/>
      <c r="BV196" s="1626"/>
      <c r="BW196" s="1626"/>
      <c r="BX196" s="1626"/>
      <c r="BY196" s="1626"/>
      <c r="BZ196" s="1229"/>
      <c r="CA196" s="721">
        <f t="shared" si="3"/>
        <v>0</v>
      </c>
      <c r="CB196" s="816"/>
    </row>
    <row r="197" spans="1:80" s="1739" customFormat="1" x14ac:dyDescent="0.2">
      <c r="A197" s="840">
        <v>93</v>
      </c>
      <c r="B197" s="1731">
        <v>93</v>
      </c>
      <c r="C197" s="1740"/>
      <c r="D197" s="1248" t="str">
        <f>IF(C195="","",IF((C197=""),"Enter Facility "&amp;TEXT(A197,0)&amp;" Name, then Fill in Columns "&amp;TEXT($H$2,0)&amp;" - "&amp;TEXT($AL$2,0)&amp;"       ",""))</f>
        <v/>
      </c>
      <c r="E197" s="1245" t="str">
        <f ca="1">IF(AS197="N/A","",IF(AS197="N","No","Yes"))</f>
        <v/>
      </c>
      <c r="F197" s="758"/>
      <c r="G197" s="758"/>
      <c r="H197" s="1707"/>
      <c r="I197" s="758"/>
      <c r="J197" s="1653"/>
      <c r="K197" s="1248" t="str">
        <f ca="1">IF($E197&lt;&gt;"","Enter Street Address      ","")</f>
        <v/>
      </c>
      <c r="L197" s="1740"/>
      <c r="M197" s="1248" t="str">
        <f ca="1">IF($E197&lt;&gt;"","Enter City Name       ","")</f>
        <v/>
      </c>
      <c r="N197" s="1740"/>
      <c r="O197" s="1248" t="str">
        <f ca="1">IF($E197&lt;&gt;"","Select from Pull-Down List   ","")</f>
        <v/>
      </c>
      <c r="P197" s="1741"/>
      <c r="Q197" s="1248" t="str">
        <f ca="1">IF($E197&lt;&gt;"","Enter ZIP Code       ","")</f>
        <v/>
      </c>
      <c r="R197" s="1742"/>
      <c r="S197" s="1248" t="str">
        <f ca="1">IF(OR(N197&lt;&gt;"",P197&lt;&gt;"",J197&lt;&gt;"",L197&lt;&gt;""),"",IF($E197&lt;&gt;"","Enter Lat.      ",""))</f>
        <v/>
      </c>
      <c r="T197" s="1742"/>
      <c r="U197" s="1248" t="str">
        <f ca="1">IF(OR(N197&lt;&gt;"",P197&lt;&gt;"",J197&lt;&gt;"",L197&lt;&gt;""),"",IF($E197&lt;&gt;"","Enter Long.    ",""))</f>
        <v/>
      </c>
      <c r="V197" s="1653"/>
      <c r="W197" s="1618" t="str">
        <f ca="1">IF($E197&lt;&gt;"","Select from Pull-Down List  ","")</f>
        <v/>
      </c>
      <c r="X197" s="1653"/>
      <c r="Y197" s="1618" t="str">
        <f ca="1">IF($E197&lt;&gt;"","Select from Pull-Down List  ","")</f>
        <v/>
      </c>
      <c r="Z197" s="1743"/>
      <c r="AA197" s="1248" t="str">
        <f ca="1">IF(E197&lt;&gt;"","Year?   ","")</f>
        <v/>
      </c>
      <c r="AB197" s="1943"/>
      <c r="AC197" s="1620" t="str">
        <f ca="1">IF(E197="","",IF(X197="","Sq. Ft. or Spaces?   ",IF(OR(X197=Codes!$L$26,X197=Codes!$L$27,X197=Codes!$L$28),"Sq. Ft. or Spaces?   ",IF(OR(X197=Codes!$L$20,X197=Codes!$L$21,X197=Codes!$L$22,X197=Codes!$L$23,X197=Codes!$L$24,X197=Codes!$L$25),"Sq. Ft?     ",""))))</f>
        <v/>
      </c>
      <c r="AD197" s="1740"/>
      <c r="AE197" s="1618" t="str">
        <f ca="1">IF($E197&lt;&gt;"","Select from List     ","")</f>
        <v/>
      </c>
      <c r="AF197" s="1621"/>
      <c r="AG197" s="1618" t="str">
        <f ca="1">IF($E197&lt;&gt;"","% of Cap Resp.","")</f>
        <v/>
      </c>
      <c r="AH197" s="1801" t="str">
        <f ca="1">IF(BW197="", "", IF(BW197&gt;100, 1, VLOOKUP(BW197, Valid!$W$1:$AA$101, VLOOKUP(X197, Codes!$L$20:$N$28, 3, FALSE), FALSE)))</f>
        <v/>
      </c>
      <c r="AI197" s="1620" t="str">
        <f ca="1">IF($E197&lt;&gt;"","Estimated?  ","")</f>
        <v/>
      </c>
      <c r="AJ197" s="1654"/>
      <c r="AK197" s="1620" t="str">
        <f ca="1">IF($E197&lt;&gt;"","Condition?  ","")</f>
        <v/>
      </c>
      <c r="AL197" s="1730"/>
      <c r="AM197" s="1620" t="b">
        <f ca="1">IF(E197&lt;&gt;"","Est Date?    ")</f>
        <v>0</v>
      </c>
      <c r="AN197" s="1740"/>
      <c r="AO197" s="1248" t="str">
        <f>IF(X197="Other (describe in Notes)","Describe Facility.                                                                                                                        ","")</f>
        <v/>
      </c>
      <c r="AP197" s="1624"/>
      <c r="AQ197" s="1624" t="b">
        <f>IF(AND(C197="",C199&lt;&gt;""),TRUE,FALSE)</f>
        <v>0</v>
      </c>
      <c r="AR197" s="1624" t="str">
        <f>IF(AND(J197&lt;&gt;"",L197&lt;&gt;"",N197&lt;&gt;"",P197&lt;&gt;"",R197="",T197=""),"Y",IF(AND(J197="",L197="",N197="",P197="",R197&lt;&gt;"",T197&lt;&gt;""),"Y",IF(AND(J197&lt;&gt;"",L197&lt;&gt;"",N197&lt;&gt;"",P197&lt;&gt;"",R197&lt;&gt;"",T197&lt;&gt;""),"Y",IF(AND(J197="",L197="",N197="",P197="",R197="",T197=""),"N/A","N"))))</f>
        <v>N/A</v>
      </c>
      <c r="AS197" s="1624" t="str">
        <f ca="1">IF(AND($C197&lt;&gt;"",OR(AR197="N",$V197="",$X197="",$Z197="",$AB197="",$AF197="",$AH197="",$AL197="",AD197="")),"N",IF(AND($C197="",OR(H197&lt;&gt;"",AR197="N",$V197&lt;&gt;"",$X197&lt;&gt;"",$Z197&lt;&gt;"",$AB197&lt;&gt;"",$AF197&lt;&gt;"",$AH197&lt;&gt;"",$AL197&lt;&gt;"",AD197&lt;&gt;"")),"N",IF(AND(H197="",$C197="",AR197="N/A",$V197="",$X197="",$Z197="",$AB197="",$AF197="",$AH197="",$AL197="",AD197=""),"N/A",IF(AND($C197&lt;&gt;"",AR197="Y",$V197&lt;&gt;"",$X197&lt;&gt;"",$Z197&lt;&gt;"",$AB197&lt;&gt;"",$AF197&lt;&gt;"",$AH197&lt;&gt;"",$AL197&lt;&gt;"",AD197&lt;&gt;""),"Y","N"))))</f>
        <v>N/A</v>
      </c>
      <c r="AT197" s="1761" t="b">
        <f ca="1">IF(AND($C197="",OR($J197&lt;&gt;"",$L197&lt;&gt;"",$N197&lt;&gt;"",$P197&lt;&gt;"",$V197&lt;&gt;"",$X197&lt;&gt;"",$Z197&lt;&gt;"",$AB197&lt;&gt;"",$AF197&lt;&gt;"",$AH197&lt;&gt;"",$AL197&lt;&gt;"")),TRUE,FALSE)</f>
        <v>0</v>
      </c>
      <c r="AU197" s="1761" t="b">
        <f>IF(OR(R197&lt;&gt;"",T197&lt;&gt;""),"false",IF(AND($C197&lt;&gt;"",$J197=""),TRUE,FALSE))</f>
        <v>0</v>
      </c>
      <c r="AV197" s="1761" t="b">
        <f>IF(OR(R197&lt;&gt;"",T197&lt;&gt;""),FALSE,IF(AND($C197&lt;&gt;"",$L197=""),TRUE,FALSE))</f>
        <v>0</v>
      </c>
      <c r="AW197" s="1761" t="b">
        <f>IF(OR(R197&lt;&gt;"",T197&lt;&gt;""),FALSE,IF(AND($C197&lt;&gt;"",$N197=""),TRUE,FALSE))</f>
        <v>0</v>
      </c>
      <c r="AX197" s="1761" t="b">
        <f>IF(OR(R197&lt;&gt;"",T197&lt;&gt;""),FALSE,IF(AND($C197&lt;&gt;"",$P197=""),TRUE,FALSE))</f>
        <v>0</v>
      </c>
      <c r="AY197" s="1761"/>
      <c r="AZ197" s="1761" t="b">
        <f>IF(OR(J197&lt;&gt;"",L197&lt;&gt;"",N197&lt;&gt;"",P197&lt;&gt;""),FALSE,IF(AND(C197&lt;&gt;"",R197=""),TRUE,FALSE))</f>
        <v>0</v>
      </c>
      <c r="BA197" s="1761"/>
      <c r="BB197" s="1761" t="b">
        <f>IF(OR(J197&lt;&gt;"",L197&lt;&gt;"",N197&lt;&gt;"",P197&lt;&gt;""),FALSE,IF(AND(C197&lt;&gt;"",T197=""),TRUE,FALSE))</f>
        <v>0</v>
      </c>
      <c r="BC197" s="1761" t="b">
        <f>IF(AND($C197&lt;&gt;"",$V197=""),TRUE,FALSE)</f>
        <v>0</v>
      </c>
      <c r="BD197" s="1761" t="b">
        <f ca="1">IF(AND(X197="",OR(Z197&lt;&gt;"",AB197&lt;&gt;"",AF197&lt;&gt;"",AH197&lt;&gt;"",AL197&lt;&gt;"",AD197&lt;&gt;"")),TRUE,FALSE)</f>
        <v>0</v>
      </c>
      <c r="BE197" s="1761" t="b">
        <f>IF(AND($C197&lt;&gt;"",$X197=""),TRUE,FALSE)</f>
        <v>0</v>
      </c>
      <c r="BF197" s="1761" t="b">
        <f>IF(Z197="",FALSE,IF(X197="",FALSE,IF(BG197=TRUE,FALSE,IF(OR(Z197&lt;BU197,Z197&gt;BaseYear),TRUE,FALSE))))</f>
        <v>0</v>
      </c>
      <c r="BG197" s="1761" t="b">
        <f>IF(AND($C197&lt;&gt;"",$Z197=""),TRUE,FALSE)</f>
        <v>0</v>
      </c>
      <c r="BH197" s="1761" t="b">
        <f>IF(AD197="",FALSE,IF(X197="",FALSE,IF(BJ197=TRUE,FALSE,IF(AB197&lt;BX197,TRUE,FALSE))))</f>
        <v>0</v>
      </c>
      <c r="BI197" s="1761" t="b">
        <f>IF(AD197="",FALSE,IF(X197="",FALSE,IF(BJ197=TRUE,FALSE,IF(AB197&gt;BY197,TRUE,FALSE))))</f>
        <v>0</v>
      </c>
      <c r="BJ197" s="1761" t="b">
        <f>IF(AND($C197&lt;&gt;"",$AB197=""),TRUE,FALSE)</f>
        <v>0</v>
      </c>
      <c r="BK197" s="1761" t="b">
        <f>IF(BL197=TRUE,FALSE,IF(OR(AF197&lt;0,AF197&gt;1),TRUE,FALSE))</f>
        <v>0</v>
      </c>
      <c r="BL197" s="1761" t="b">
        <f>IF(AND($C197&lt;&gt;"",$AF197=""),TRUE,FALSE)</f>
        <v>0</v>
      </c>
      <c r="BM197" s="1761"/>
      <c r="BN197" s="1761" t="b">
        <f ca="1">IF(AND($C197&lt;&gt;"",$AH197=""),TRUE,FALSE)</f>
        <v>0</v>
      </c>
      <c r="BO197" s="1761" t="b">
        <f>IF(AL197="",FALSE,IF(X197="",FALSE,IF(BP197=TRUE,FALSE,IF(OR(AL197&lt;1913,AL197&gt;BaseYear),TRUE,FALSE))))</f>
        <v>0</v>
      </c>
      <c r="BP197" s="1761" t="b">
        <f>IF(AND($C197&lt;&gt;"",$AL197=""),TRUE,FALSE)</f>
        <v>0</v>
      </c>
      <c r="BQ197" s="1761" t="b">
        <f>IF(AD197="Square Foot",FALSE,IF(AND(AD197="Parking Space",OR('A-20 PassFacInv'!X197=Valid!$B$7,'A-20 PassFacInv'!X197=Valid!$B$8,'A-20 PassFacInv'!X197=Valid!$B$9,'A-20 PassFacInv'!X197=Valid!$B$10,'A-20 PassFacInv'!X197=Valid!$B$12,'A-20 PassFacInv'!X197=Valid!$B$13,'A-20 PassFacInv'!X197=Valid!$B$14,'A-20 PassFacInv'!X197=Valid!$B$15,'A-20 PassFacInv'!X197=Valid!$B$16,'A-20 PassFacInv'!X197=Valid!$B$17,'A-20 PassFacInv'!X197=Valid!$B$18,X197=Valid!$B$19,X197=Valid!$B$20,X197=Valid!$B$21)),TRUE,FALSE))</f>
        <v>0</v>
      </c>
      <c r="BR197" s="1761" t="b">
        <f>IF(AND($C197&lt;&gt;"",$AD197=""),TRUE,FALSE)</f>
        <v>0</v>
      </c>
      <c r="BS197" s="721"/>
      <c r="BT197" s="1625" t="str">
        <f>IF($X197="","",VLOOKUP($X197,val_facilities,BT$3,FALSE))</f>
        <v/>
      </c>
      <c r="BU197" s="1627" t="str">
        <f>IF($X197="","",VLOOKUP($X197,val_facilities,BU$3,FALSE))</f>
        <v/>
      </c>
      <c r="BV197" s="1627" t="str">
        <f>IF($X197="","",VLOOKUP($X197,val_facilities,BV$3,FALSE))</f>
        <v/>
      </c>
      <c r="BW197" s="1627" t="str">
        <f ca="1">IFERROR(IF(Z197="", "", YEAR(TODAY())-Z197), "")</f>
        <v/>
      </c>
      <c r="BX197" s="845" t="str">
        <f>IF($X197="","",IF(AD197="Square Feet",VLOOKUP('A-20 PassFacInv'!X105,Valid!$B$7:$H$24,7,FALSE),IF(AD197="Parking Spaces",VLOOKUP(X197,Valid!$B$22:$L$24,11,FALSE))))</f>
        <v/>
      </c>
      <c r="BY197" s="845" t="str">
        <f>IF($X197="","",IF(AD197="Square Feet",VLOOKUP(X197,Valid!$B$7:$I$24,8,FALSE),IF('A-20 PassFacInv'!AD105="Parking Spaces",VLOOKUP('A-20 PassFacInv'!X105,Valid!$B$22:$M$24,12,FALSE))))</f>
        <v/>
      </c>
      <c r="BZ197" s="758"/>
      <c r="CA197" s="721">
        <f t="shared" si="3"/>
        <v>0</v>
      </c>
      <c r="CB197" s="816"/>
    </row>
    <row r="198" spans="1:80" s="1739" customFormat="1" ht="6.75" customHeight="1" thickBot="1" x14ac:dyDescent="0.25">
      <c r="A198" s="1638"/>
      <c r="B198" s="1746">
        <v>93.5</v>
      </c>
      <c r="C198" s="1057"/>
      <c r="D198" s="1248"/>
      <c r="E198" s="1057"/>
      <c r="F198" s="1229"/>
      <c r="G198" s="1229"/>
      <c r="H198" s="1229"/>
      <c r="I198" s="1229"/>
      <c r="J198" s="1604"/>
      <c r="K198" s="1640"/>
      <c r="L198" s="1641"/>
      <c r="M198" s="1248"/>
      <c r="N198" s="1641"/>
      <c r="O198" s="1248"/>
      <c r="P198" s="1659"/>
      <c r="Q198" s="1248"/>
      <c r="R198" s="1660"/>
      <c r="S198" s="1640"/>
      <c r="T198" s="1660"/>
      <c r="U198" s="1640"/>
      <c r="V198" s="1057"/>
      <c r="W198" s="1618"/>
      <c r="X198" s="1747"/>
      <c r="Y198" s="1618"/>
      <c r="Z198" s="1623"/>
      <c r="AA198" s="1618"/>
      <c r="AB198" s="1944"/>
      <c r="AC198" s="1275"/>
      <c r="AD198" s="1661"/>
      <c r="AE198" s="734"/>
      <c r="AF198" s="1736"/>
      <c r="AG198" s="1275"/>
      <c r="AH198" s="733"/>
      <c r="AI198" s="1275"/>
      <c r="AJ198" s="733"/>
      <c r="AK198" s="1275"/>
      <c r="AL198" s="1721"/>
      <c r="AM198" s="1275"/>
      <c r="AN198" s="1057"/>
      <c r="AO198" s="1644"/>
      <c r="AP198" s="1644"/>
      <c r="AQ198" s="1644"/>
      <c r="AR198" s="1644"/>
      <c r="AS198" s="1644"/>
      <c r="AT198" s="1761"/>
      <c r="AU198" s="1761"/>
      <c r="AV198" s="1761"/>
      <c r="AW198" s="1761"/>
      <c r="AX198" s="1761"/>
      <c r="AY198" s="1761"/>
      <c r="AZ198" s="1761"/>
      <c r="BA198" s="1761"/>
      <c r="BB198" s="1761"/>
      <c r="BC198" s="1762"/>
      <c r="BD198" s="1762"/>
      <c r="BE198" s="1762"/>
      <c r="BF198" s="1762"/>
      <c r="BG198" s="1762"/>
      <c r="BH198" s="1762"/>
      <c r="BI198" s="1762"/>
      <c r="BJ198" s="1762"/>
      <c r="BK198" s="1762"/>
      <c r="BL198" s="1762"/>
      <c r="BM198" s="1762"/>
      <c r="BN198" s="1762"/>
      <c r="BO198" s="1762"/>
      <c r="BP198" s="1762"/>
      <c r="BQ198" s="1762"/>
      <c r="BR198" s="1762"/>
      <c r="BS198" s="1736"/>
      <c r="BT198" s="1738"/>
      <c r="BU198" s="1738"/>
      <c r="BV198" s="1738"/>
      <c r="BW198" s="1738"/>
      <c r="BX198" s="1738"/>
      <c r="BY198" s="1738"/>
      <c r="BZ198" s="1229"/>
      <c r="CA198" s="721">
        <f t="shared" si="3"/>
        <v>0</v>
      </c>
      <c r="CB198" s="1748"/>
    </row>
    <row r="199" spans="1:80" s="1739" customFormat="1" x14ac:dyDescent="0.2">
      <c r="A199" s="840">
        <v>94</v>
      </c>
      <c r="B199" s="1746">
        <v>94</v>
      </c>
      <c r="C199" s="1740"/>
      <c r="D199" s="1248" t="str">
        <f>IF(C197="","",IF((C199=""),"Enter Facility "&amp;TEXT(A199,0)&amp;" Name, then Fill in Columns "&amp;TEXT($H$2,0)&amp;" - "&amp;TEXT($AL$2,0)&amp;"       ",""))</f>
        <v/>
      </c>
      <c r="E199" s="1245" t="str">
        <f ca="1">IF(AS199="N/A","",IF(AS199="N","No","Yes"))</f>
        <v/>
      </c>
      <c r="F199" s="758"/>
      <c r="G199" s="758"/>
      <c r="H199" s="1707"/>
      <c r="I199" s="758"/>
      <c r="J199" s="1653"/>
      <c r="K199" s="1248" t="str">
        <f ca="1">IF($E199&lt;&gt;"","Enter Street Address      ","")</f>
        <v/>
      </c>
      <c r="L199" s="1740"/>
      <c r="M199" s="1248" t="str">
        <f ca="1">IF($E199&lt;&gt;"","Enter City Name       ","")</f>
        <v/>
      </c>
      <c r="N199" s="1740"/>
      <c r="O199" s="1248" t="str">
        <f ca="1">IF($E199&lt;&gt;"","Select from Pull-Down List   ","")</f>
        <v/>
      </c>
      <c r="P199" s="1741"/>
      <c r="Q199" s="1248" t="str">
        <f ca="1">IF($E199&lt;&gt;"","Enter ZIP Code       ","")</f>
        <v/>
      </c>
      <c r="R199" s="1742"/>
      <c r="S199" s="1248" t="str">
        <f ca="1">IF(OR(N199&lt;&gt;"",P199&lt;&gt;"",J199&lt;&gt;"",L199&lt;&gt;""),"",IF($E199&lt;&gt;"","Enter Lat.      ",""))</f>
        <v/>
      </c>
      <c r="T199" s="1742"/>
      <c r="U199" s="1248" t="str">
        <f ca="1">IF(OR(N199&lt;&gt;"",P199&lt;&gt;"",J199&lt;&gt;"",L199&lt;&gt;""),"",IF($E199&lt;&gt;"","Enter Long.    ",""))</f>
        <v/>
      </c>
      <c r="V199" s="1653"/>
      <c r="W199" s="1618" t="str">
        <f ca="1">IF($E199&lt;&gt;"","Select from Pull-Down List  ","")</f>
        <v/>
      </c>
      <c r="X199" s="1653"/>
      <c r="Y199" s="1618" t="str">
        <f ca="1">IF($E199&lt;&gt;"","Select from Pull-Down List  ","")</f>
        <v/>
      </c>
      <c r="Z199" s="1743"/>
      <c r="AA199" s="1248" t="str">
        <f ca="1">IF(E199&lt;&gt;"","Year?   ","")</f>
        <v/>
      </c>
      <c r="AB199" s="1943"/>
      <c r="AC199" s="1620" t="str">
        <f ca="1">IF(E199="","",IF(X199="","Sq. Ft. or Spaces?   ",IF(OR(X199=Codes!$L$26,X199=Codes!$L$27,X199=Codes!$L$28),"Sq. Ft. or Spaces?   ",IF(OR(X199=Codes!$L$20,X199=Codes!$L$21,X199=Codes!$L$22,X199=Codes!$L$23,X199=Codes!$L$24,X199=Codes!$L$25),"Sq. Ft?     ",""))))</f>
        <v/>
      </c>
      <c r="AD199" s="1740"/>
      <c r="AE199" s="1618" t="str">
        <f ca="1">IF($E199&lt;&gt;"","Select from List     ","")</f>
        <v/>
      </c>
      <c r="AF199" s="1621"/>
      <c r="AG199" s="1618" t="str">
        <f ca="1">IF($E199&lt;&gt;"","% of Cap Resp.","")</f>
        <v/>
      </c>
      <c r="AH199" s="1801" t="str">
        <f ca="1">IF(BW199="", "", IF(BW199&gt;100, 1, VLOOKUP(BW199, Valid!$W$1:$AA$101, VLOOKUP(X199, Codes!$L$20:$N$28, 3, FALSE), FALSE)))</f>
        <v/>
      </c>
      <c r="AI199" s="1620" t="str">
        <f ca="1">IF($E199&lt;&gt;"","Estimated?  ","")</f>
        <v/>
      </c>
      <c r="AJ199" s="1654"/>
      <c r="AK199" s="1620" t="str">
        <f ca="1">IF($E199&lt;&gt;"","Condition?  ","")</f>
        <v/>
      </c>
      <c r="AL199" s="1730"/>
      <c r="AM199" s="1620" t="b">
        <f ca="1">IF(E199&lt;&gt;"","Est Date?    ")</f>
        <v>0</v>
      </c>
      <c r="AN199" s="1740"/>
      <c r="AO199" s="1248" t="str">
        <f>IF(X199="Other (describe in Notes)","Describe Facility.                                                                                                                        ","")</f>
        <v/>
      </c>
      <c r="AP199" s="1624"/>
      <c r="AQ199" s="1624" t="b">
        <f>IF(AND(C199="",C201&lt;&gt;""),TRUE,FALSE)</f>
        <v>0</v>
      </c>
      <c r="AR199" s="1624" t="str">
        <f>IF(AND(J199&lt;&gt;"",L199&lt;&gt;"",N199&lt;&gt;"",P199&lt;&gt;"",R199="",T199=""),"Y",IF(AND(J199="",L199="",N199="",P199="",R199&lt;&gt;"",T199&lt;&gt;""),"Y",IF(AND(J199&lt;&gt;"",L199&lt;&gt;"",N199&lt;&gt;"",P199&lt;&gt;"",R199&lt;&gt;"",T199&lt;&gt;""),"Y",IF(AND(J199="",L199="",N199="",P199="",R199="",T199=""),"N/A","N"))))</f>
        <v>N/A</v>
      </c>
      <c r="AS199" s="1624" t="str">
        <f ca="1">IF(AND($C199&lt;&gt;"",OR(AR199="N",$V199="",$X199="",$Z199="",$AB199="",$AF199="",$AH199="",$AL199="",AD199="")),"N",IF(AND($C199="",OR(H199&lt;&gt;"",AR199="N",$V199&lt;&gt;"",$X199&lt;&gt;"",$Z199&lt;&gt;"",$AB199&lt;&gt;"",$AF199&lt;&gt;"",$AH199&lt;&gt;"",$AL199&lt;&gt;"",AD199&lt;&gt;"")),"N",IF(AND(H199="",$C199="",AR199="N/A",$V199="",$X199="",$Z199="",$AB199="",$AF199="",$AH199="",$AL199="",AD199=""),"N/A",IF(AND($C199&lt;&gt;"",AR199="Y",$V199&lt;&gt;"",$X199&lt;&gt;"",$Z199&lt;&gt;"",$AB199&lt;&gt;"",$AF199&lt;&gt;"",$AH199&lt;&gt;"",$AL199&lt;&gt;"",AD199&lt;&gt;""),"Y","N"))))</f>
        <v>N/A</v>
      </c>
      <c r="AT199" s="1761" t="b">
        <f ca="1">IF(AND($C199="",OR($J199&lt;&gt;"",$L199&lt;&gt;"",$N199&lt;&gt;"",$P199&lt;&gt;"",$V199&lt;&gt;"",$X199&lt;&gt;"",$Z199&lt;&gt;"",$AB199&lt;&gt;"",$AF199&lt;&gt;"",$AH199&lt;&gt;"",$AL199&lt;&gt;"")),TRUE,FALSE)</f>
        <v>0</v>
      </c>
      <c r="AU199" s="1761" t="b">
        <f>IF(OR(R199&lt;&gt;"",T199&lt;&gt;""),"false",IF(AND($C199&lt;&gt;"",$J199=""),TRUE,FALSE))</f>
        <v>0</v>
      </c>
      <c r="AV199" s="1761" t="b">
        <f>IF(OR(R199&lt;&gt;"",T199&lt;&gt;""),FALSE,IF(AND($C199&lt;&gt;"",$L199=""),TRUE,FALSE))</f>
        <v>0</v>
      </c>
      <c r="AW199" s="1761" t="b">
        <f>IF(OR(R199&lt;&gt;"",T199&lt;&gt;""),FALSE,IF(AND($C199&lt;&gt;"",$N199=""),TRUE,FALSE))</f>
        <v>0</v>
      </c>
      <c r="AX199" s="1761" t="b">
        <f>IF(OR(R199&lt;&gt;"",T199&lt;&gt;""),FALSE,IF(AND($C199&lt;&gt;"",$P199=""),TRUE,FALSE))</f>
        <v>0</v>
      </c>
      <c r="AY199" s="1761"/>
      <c r="AZ199" s="1761" t="b">
        <f>IF(OR(J199&lt;&gt;"",L199&lt;&gt;"",N199&lt;&gt;"",P199&lt;&gt;""),FALSE,IF(AND(C199&lt;&gt;"",R199=""),TRUE,FALSE))</f>
        <v>0</v>
      </c>
      <c r="BA199" s="1761"/>
      <c r="BB199" s="1761" t="b">
        <f>IF(OR(J199&lt;&gt;"",L199&lt;&gt;"",N199&lt;&gt;"",P199&lt;&gt;""),FALSE,IF(AND(C199&lt;&gt;"",T199=""),TRUE,FALSE))</f>
        <v>0</v>
      </c>
      <c r="BC199" s="1761" t="b">
        <f>IF(AND($C199&lt;&gt;"",$V199=""),TRUE,FALSE)</f>
        <v>0</v>
      </c>
      <c r="BD199" s="1761" t="b">
        <f ca="1">IF(AND(X199="",OR(Z199&lt;&gt;"",AB199&lt;&gt;"",AF199&lt;&gt;"",AH199&lt;&gt;"",AL199&lt;&gt;"",AD199&lt;&gt;"")),TRUE,FALSE)</f>
        <v>0</v>
      </c>
      <c r="BE199" s="1761" t="b">
        <f>IF(AND($C199&lt;&gt;"",$X199=""),TRUE,FALSE)</f>
        <v>0</v>
      </c>
      <c r="BF199" s="1761" t="b">
        <f>IF(Z199="",FALSE,IF(X199="",FALSE,IF(BG199=TRUE,FALSE,IF(OR(Z199&lt;BU199,Z199&gt;BaseYear),TRUE,FALSE))))</f>
        <v>0</v>
      </c>
      <c r="BG199" s="1761" t="b">
        <f>IF(AND($C199&lt;&gt;"",$Z199=""),TRUE,FALSE)</f>
        <v>0</v>
      </c>
      <c r="BH199" s="1761" t="b">
        <f>IF(AD199="",FALSE,IF(X199="",FALSE,IF(BJ199=TRUE,FALSE,IF(AB199&lt;BX199,TRUE,FALSE))))</f>
        <v>0</v>
      </c>
      <c r="BI199" s="1761" t="b">
        <f>IF(AD199="",FALSE,IF(X199="",FALSE,IF(BJ199=TRUE,FALSE,IF(AB199&gt;BY199,TRUE,FALSE))))</f>
        <v>0</v>
      </c>
      <c r="BJ199" s="1761" t="b">
        <f>IF(AND($C199&lt;&gt;"",$AB199=""),TRUE,FALSE)</f>
        <v>0</v>
      </c>
      <c r="BK199" s="1761" t="b">
        <f>IF(BL199=TRUE,FALSE,IF(OR(AF199&lt;0,AF199&gt;1),TRUE,FALSE))</f>
        <v>0</v>
      </c>
      <c r="BL199" s="1761" t="b">
        <f>IF(AND($C199&lt;&gt;"",$AF199=""),TRUE,FALSE)</f>
        <v>0</v>
      </c>
      <c r="BM199" s="1761"/>
      <c r="BN199" s="1761" t="b">
        <f ca="1">IF(AND($C199&lt;&gt;"",$AH199=""),TRUE,FALSE)</f>
        <v>0</v>
      </c>
      <c r="BO199" s="1761" t="b">
        <f>IF(AL199="",FALSE,IF(X199="",FALSE,IF(BP199=TRUE,FALSE,IF(OR(AL199&lt;1913,AL199&gt;BaseYear),TRUE,FALSE))))</f>
        <v>0</v>
      </c>
      <c r="BP199" s="1761" t="b">
        <f>IF(AND($C199&lt;&gt;"",$AL199=""),TRUE,FALSE)</f>
        <v>0</v>
      </c>
      <c r="BQ199" s="1761" t="b">
        <f>IF(AD199="Square Foot",FALSE,IF(AND(AD199="Parking Space",OR('A-20 PassFacInv'!X199=Valid!$B$7,'A-20 PassFacInv'!X199=Valid!$B$8,'A-20 PassFacInv'!X199=Valid!$B$9,'A-20 PassFacInv'!X199=Valid!$B$10,'A-20 PassFacInv'!X199=Valid!$B$12,'A-20 PassFacInv'!X199=Valid!$B$13,'A-20 PassFacInv'!X199=Valid!$B$14,'A-20 PassFacInv'!X199=Valid!$B$15,'A-20 PassFacInv'!X199=Valid!$B$16,'A-20 PassFacInv'!X199=Valid!$B$17,'A-20 PassFacInv'!X199=Valid!$B$18,X199=Valid!$B$19,X199=Valid!$B$20,X199=Valid!$B$21)),TRUE,FALSE))</f>
        <v>0</v>
      </c>
      <c r="BR199" s="1761" t="b">
        <f>IF(AND($C199&lt;&gt;"",$AD199=""),TRUE,FALSE)</f>
        <v>0</v>
      </c>
      <c r="BS199" s="721"/>
      <c r="BT199" s="1625" t="str">
        <f>IF($X199="","",VLOOKUP($X199,val_facilities,BT$3,FALSE))</f>
        <v/>
      </c>
      <c r="BU199" s="1627" t="str">
        <f>IF($X199="","",VLOOKUP($X199,val_facilities,BU$3,FALSE))</f>
        <v/>
      </c>
      <c r="BV199" s="1627" t="str">
        <f>IF($X199="","",VLOOKUP($X199,val_facilities,BV$3,FALSE))</f>
        <v/>
      </c>
      <c r="BW199" s="1627" t="str">
        <f ca="1">IFERROR(IF(Z199="", "", YEAR(TODAY())-Z199), "")</f>
        <v/>
      </c>
      <c r="BX199" s="845" t="str">
        <f>IF($X199="","",IF(AD199="Square Feet",VLOOKUP('A-20 PassFacInv'!X106,Valid!$B$7:$H$24,7,FALSE),IF(AD199="Parking Spaces",VLOOKUP(X199,Valid!$B$22:$L$24,11,FALSE))))</f>
        <v/>
      </c>
      <c r="BY199" s="845" t="str">
        <f>IF($X199="","",IF(AD199="Square Feet",VLOOKUP(X199,Valid!$B$7:$I$24,8,FALSE),IF('A-20 PassFacInv'!AD106="Parking Spaces",VLOOKUP('A-20 PassFacInv'!X106,Valid!$B$22:$M$24,12,FALSE))))</f>
        <v/>
      </c>
      <c r="BZ199" s="758"/>
      <c r="CA199" s="721">
        <f t="shared" si="3"/>
        <v>0</v>
      </c>
      <c r="CB199" s="816"/>
    </row>
    <row r="200" spans="1:80" s="1739" customFormat="1" ht="6.75" customHeight="1" thickBot="1" x14ac:dyDescent="0.25">
      <c r="A200" s="1638"/>
      <c r="B200" s="1746">
        <v>94.5</v>
      </c>
      <c r="C200" s="1057"/>
      <c r="D200" s="764"/>
      <c r="E200" s="1639"/>
      <c r="F200" s="1229"/>
      <c r="G200" s="1229"/>
      <c r="H200" s="1229"/>
      <c r="I200" s="1229"/>
      <c r="J200" s="1604"/>
      <c r="K200" s="1640"/>
      <c r="L200" s="1645"/>
      <c r="M200" s="1646"/>
      <c r="N200" s="1645"/>
      <c r="O200" s="1646"/>
      <c r="P200" s="1662"/>
      <c r="Q200" s="1646"/>
      <c r="R200" s="1660"/>
      <c r="S200" s="1640"/>
      <c r="T200" s="1660"/>
      <c r="U200" s="1640"/>
      <c r="V200" s="1057"/>
      <c r="W200" s="1618"/>
      <c r="X200" s="1747"/>
      <c r="Y200" s="1618"/>
      <c r="Z200" s="1623"/>
      <c r="AA200" s="1618"/>
      <c r="AB200" s="1944"/>
      <c r="AC200" s="1648"/>
      <c r="AD200" s="1661"/>
      <c r="AE200" s="841"/>
      <c r="AF200" s="841"/>
      <c r="AG200" s="1648"/>
      <c r="AH200" s="722"/>
      <c r="AI200" s="1648"/>
      <c r="AJ200" s="722"/>
      <c r="AK200" s="1648"/>
      <c r="AL200" s="1717"/>
      <c r="AM200" s="1648"/>
      <c r="AN200" s="1057"/>
      <c r="AO200" s="1644"/>
      <c r="AP200" s="1644"/>
      <c r="AQ200" s="1644"/>
      <c r="AR200" s="1644"/>
      <c r="AS200" s="1644"/>
      <c r="AT200" s="1761"/>
      <c r="AU200" s="1761"/>
      <c r="AV200" s="1761"/>
      <c r="AW200" s="1761"/>
      <c r="AX200" s="1761"/>
      <c r="AY200" s="1761"/>
      <c r="AZ200" s="1761"/>
      <c r="BA200" s="1761"/>
      <c r="BB200" s="1761"/>
      <c r="BC200" s="1762"/>
      <c r="BD200" s="1762"/>
      <c r="BE200" s="1762"/>
      <c r="BF200" s="1762"/>
      <c r="BG200" s="1762"/>
      <c r="BH200" s="1762"/>
      <c r="BI200" s="1762"/>
      <c r="BJ200" s="1762"/>
      <c r="BK200" s="1762"/>
      <c r="BL200" s="1762"/>
      <c r="BM200" s="1762"/>
      <c r="BN200" s="1762"/>
      <c r="BO200" s="1762"/>
      <c r="BP200" s="1762"/>
      <c r="BQ200" s="1762"/>
      <c r="BR200" s="1762"/>
      <c r="BS200" s="1736"/>
      <c r="BT200" s="1738"/>
      <c r="BU200" s="1738"/>
      <c r="BV200" s="1738"/>
      <c r="BW200" s="1738"/>
      <c r="BX200" s="1738"/>
      <c r="BY200" s="1738"/>
      <c r="BZ200" s="1229"/>
      <c r="CA200" s="721">
        <f t="shared" si="3"/>
        <v>0</v>
      </c>
      <c r="CB200" s="1748"/>
    </row>
    <row r="201" spans="1:80" s="1739" customFormat="1" x14ac:dyDescent="0.2">
      <c r="A201" s="840">
        <v>95</v>
      </c>
      <c r="B201" s="1746">
        <v>95</v>
      </c>
      <c r="C201" s="1740"/>
      <c r="D201" s="1248" t="str">
        <f>IF(C199="","",IF((C201=""),"Enter Facility "&amp;TEXT(A201,0)&amp;" Name, then Fill in Columns "&amp;TEXT($H$2,0)&amp;" - "&amp;TEXT($AL$2,0)&amp;"       ",""))</f>
        <v/>
      </c>
      <c r="E201" s="1245" t="str">
        <f ca="1">IF(AS201="N/A","",IF(AS201="N","No","Yes"))</f>
        <v/>
      </c>
      <c r="F201" s="758"/>
      <c r="G201" s="758"/>
      <c r="H201" s="1707"/>
      <c r="I201" s="758"/>
      <c r="J201" s="1653"/>
      <c r="K201" s="1248" t="str">
        <f ca="1">IF($E201&lt;&gt;"","Enter Street Address      ","")</f>
        <v/>
      </c>
      <c r="L201" s="1740"/>
      <c r="M201" s="1248" t="str">
        <f ca="1">IF($E201&lt;&gt;"","Enter City Name       ","")</f>
        <v/>
      </c>
      <c r="N201" s="1740"/>
      <c r="O201" s="1248" t="str">
        <f ca="1">IF($E201&lt;&gt;"","Select from Pull-Down List   ","")</f>
        <v/>
      </c>
      <c r="P201" s="1741"/>
      <c r="Q201" s="1248" t="str">
        <f ca="1">IF($E201&lt;&gt;"","Enter ZIP Code       ","")</f>
        <v/>
      </c>
      <c r="R201" s="1742"/>
      <c r="S201" s="1248" t="str">
        <f ca="1">IF(OR(N201&lt;&gt;"",P201&lt;&gt;"",J201&lt;&gt;"",L201&lt;&gt;""),"",IF($E201&lt;&gt;"","Enter Lat.      ",""))</f>
        <v/>
      </c>
      <c r="T201" s="1742"/>
      <c r="U201" s="1248" t="str">
        <f ca="1">IF(OR(N201&lt;&gt;"",P201&lt;&gt;"",J201&lt;&gt;"",L201&lt;&gt;""),"",IF($E201&lt;&gt;"","Enter Long.    ",""))</f>
        <v/>
      </c>
      <c r="V201" s="1653"/>
      <c r="W201" s="1618" t="str">
        <f ca="1">IF($E201&lt;&gt;"","Select from Pull-Down List  ","")</f>
        <v/>
      </c>
      <c r="X201" s="1653"/>
      <c r="Y201" s="1618" t="str">
        <f ca="1">IF($E201&lt;&gt;"","Select from Pull-Down List  ","")</f>
        <v/>
      </c>
      <c r="Z201" s="1743"/>
      <c r="AA201" s="1248" t="str">
        <f ca="1">IF(E201&lt;&gt;"","Year?   ","")</f>
        <v/>
      </c>
      <c r="AB201" s="1943"/>
      <c r="AC201" s="1620" t="str">
        <f ca="1">IF(E201="","",IF(X201="","Sq. Ft. or Spaces?   ",IF(OR(X201=Codes!$L$26,X201=Codes!$L$27,X201=Codes!$L$28),"Sq. Ft. or Spaces?   ",IF(OR(X201=Codes!$L$20,X201=Codes!$L$21,X201=Codes!$L$22,X201=Codes!$L$23,X201=Codes!$L$24,X201=Codes!$L$25),"Sq. Ft?     ",""))))</f>
        <v/>
      </c>
      <c r="AD201" s="1740"/>
      <c r="AE201" s="1618" t="str">
        <f ca="1">IF($E201&lt;&gt;"","Select from List     ","")</f>
        <v/>
      </c>
      <c r="AF201" s="1621"/>
      <c r="AG201" s="1618" t="str">
        <f ca="1">IF($E201&lt;&gt;"","% of Cap Resp.","")</f>
        <v/>
      </c>
      <c r="AH201" s="1801" t="str">
        <f ca="1">IF(BW201="", "", IF(BW201&gt;100, 1, VLOOKUP(BW201, Valid!$W$1:$AA$101, VLOOKUP(X201, Codes!$L$20:$N$28, 3, FALSE), FALSE)))</f>
        <v/>
      </c>
      <c r="AI201" s="1620" t="str">
        <f ca="1">IF($E201&lt;&gt;"","Estimated?  ","")</f>
        <v/>
      </c>
      <c r="AJ201" s="1654"/>
      <c r="AK201" s="1620" t="str">
        <f ca="1">IF($E201&lt;&gt;"","Condition?  ","")</f>
        <v/>
      </c>
      <c r="AL201" s="1730"/>
      <c r="AM201" s="1620" t="b">
        <f ca="1">IF(E201&lt;&gt;"","Est Date?    ")</f>
        <v>0</v>
      </c>
      <c r="AN201" s="1740"/>
      <c r="AO201" s="1248" t="str">
        <f>IF(X201="Other (describe in Notes)","Describe Facility.                                                                                                                        ","")</f>
        <v/>
      </c>
      <c r="AP201" s="1624"/>
      <c r="AQ201" s="1624" t="b">
        <f>IF(AND(C201="",C203&lt;&gt;""),TRUE,FALSE)</f>
        <v>0</v>
      </c>
      <c r="AR201" s="1624" t="str">
        <f>IF(AND(J201&lt;&gt;"",L201&lt;&gt;"",N201&lt;&gt;"",P201&lt;&gt;"",R201="",T201=""),"Y",IF(AND(J201="",L201="",N201="",P201="",R201&lt;&gt;"",T201&lt;&gt;""),"Y",IF(AND(J201&lt;&gt;"",L201&lt;&gt;"",N201&lt;&gt;"",P201&lt;&gt;"",R201&lt;&gt;"",T201&lt;&gt;""),"Y",IF(AND(J201="",L201="",N201="",P201="",R201="",T201=""),"N/A","N"))))</f>
        <v>N/A</v>
      </c>
      <c r="AS201" s="1624" t="str">
        <f ca="1">IF(AND($C201&lt;&gt;"",OR(AR201="N",$V201="",$X201="",$Z201="",$AB201="",$AF201="",$AH201="",$AL201="",AD201="")),"N",IF(AND($C201="",OR(H201&lt;&gt;"",AR201="N",$V201&lt;&gt;"",$X201&lt;&gt;"",$Z201&lt;&gt;"",$AB201&lt;&gt;"",$AF201&lt;&gt;"",$AH201&lt;&gt;"",$AL201&lt;&gt;"",AD201&lt;&gt;"")),"N",IF(AND(H201="",$C201="",AR201="N/A",$V201="",$X201="",$Z201="",$AB201="",$AF201="",$AH201="",$AL201="",AD201=""),"N/A",IF(AND($C201&lt;&gt;"",AR201="Y",$V201&lt;&gt;"",$X201&lt;&gt;"",$Z201&lt;&gt;"",$AB201&lt;&gt;"",$AF201&lt;&gt;"",$AH201&lt;&gt;"",$AL201&lt;&gt;"",AD201&lt;&gt;""),"Y","N"))))</f>
        <v>N/A</v>
      </c>
      <c r="AT201" s="1761" t="b">
        <f ca="1">IF(AND($C201="",OR($J201&lt;&gt;"",$L201&lt;&gt;"",$N201&lt;&gt;"",$P201&lt;&gt;"",$V201&lt;&gt;"",$X201&lt;&gt;"",$Z201&lt;&gt;"",$AB201&lt;&gt;"",$AF201&lt;&gt;"",$AH201&lt;&gt;"",$AL201&lt;&gt;"")),TRUE,FALSE)</f>
        <v>0</v>
      </c>
      <c r="AU201" s="1761" t="b">
        <f>IF(OR(R201&lt;&gt;"",T201&lt;&gt;""),"false",IF(AND($C201&lt;&gt;"",$J201=""),TRUE,FALSE))</f>
        <v>0</v>
      </c>
      <c r="AV201" s="1761" t="b">
        <f>IF(OR(R201&lt;&gt;"",T201&lt;&gt;""),FALSE,IF(AND($C201&lt;&gt;"",$L201=""),TRUE,FALSE))</f>
        <v>0</v>
      </c>
      <c r="AW201" s="1761" t="b">
        <f>IF(OR(R201&lt;&gt;"",T201&lt;&gt;""),FALSE,IF(AND($C201&lt;&gt;"",$N201=""),TRUE,FALSE))</f>
        <v>0</v>
      </c>
      <c r="AX201" s="1761" t="b">
        <f>IF(OR(R201&lt;&gt;"",T201&lt;&gt;""),FALSE,IF(AND($C201&lt;&gt;"",$P201=""),TRUE,FALSE))</f>
        <v>0</v>
      </c>
      <c r="AY201" s="1761"/>
      <c r="AZ201" s="1761" t="b">
        <f>IF(OR(J201&lt;&gt;"",L201&lt;&gt;"",N201&lt;&gt;"",P201&lt;&gt;""),FALSE,IF(AND(C201&lt;&gt;"",R201=""),TRUE,FALSE))</f>
        <v>0</v>
      </c>
      <c r="BA201" s="1761"/>
      <c r="BB201" s="1761" t="b">
        <f>IF(OR(J201&lt;&gt;"",L201&lt;&gt;"",N201&lt;&gt;"",P201&lt;&gt;""),FALSE,IF(AND(C201&lt;&gt;"",T201=""),TRUE,FALSE))</f>
        <v>0</v>
      </c>
      <c r="BC201" s="1761" t="b">
        <f>IF(AND($C201&lt;&gt;"",$V201=""),TRUE,FALSE)</f>
        <v>0</v>
      </c>
      <c r="BD201" s="1761" t="b">
        <f ca="1">IF(AND(X201="",OR(Z201&lt;&gt;"",AB201&lt;&gt;"",AF201&lt;&gt;"",AH201&lt;&gt;"",AL201&lt;&gt;"",AD201&lt;&gt;"")),TRUE,FALSE)</f>
        <v>0</v>
      </c>
      <c r="BE201" s="1761" t="b">
        <f>IF(AND($C201&lt;&gt;"",$X201=""),TRUE,FALSE)</f>
        <v>0</v>
      </c>
      <c r="BF201" s="1761" t="b">
        <f>IF(Z201="",FALSE,IF(X201="",FALSE,IF(BG201=TRUE,FALSE,IF(OR(Z201&lt;BU201,Z201&gt;BaseYear),TRUE,FALSE))))</f>
        <v>0</v>
      </c>
      <c r="BG201" s="1761" t="b">
        <f>IF(AND($C201&lt;&gt;"",$Z201=""),TRUE,FALSE)</f>
        <v>0</v>
      </c>
      <c r="BH201" s="1761" t="b">
        <f>IF(AD201="",FALSE,IF(X201="",FALSE,IF(BJ201=TRUE,FALSE,IF(AB201&lt;BX201,TRUE,FALSE))))</f>
        <v>0</v>
      </c>
      <c r="BI201" s="1761" t="b">
        <f>IF(AD201="",FALSE,IF(X201="",FALSE,IF(BJ201=TRUE,FALSE,IF(AB201&gt;BY201,TRUE,FALSE))))</f>
        <v>0</v>
      </c>
      <c r="BJ201" s="1761" t="b">
        <f>IF(AND($C201&lt;&gt;"",$AB201=""),TRUE,FALSE)</f>
        <v>0</v>
      </c>
      <c r="BK201" s="1761" t="b">
        <f>IF(BL201=TRUE,FALSE,IF(OR(AF201&lt;0,AF201&gt;1),TRUE,FALSE))</f>
        <v>0</v>
      </c>
      <c r="BL201" s="1761" t="b">
        <f>IF(AND($C201&lt;&gt;"",$AF201=""),TRUE,FALSE)</f>
        <v>0</v>
      </c>
      <c r="BM201" s="1761"/>
      <c r="BN201" s="1761" t="b">
        <f ca="1">IF(AND($C201&lt;&gt;"",$AH201=""),TRUE,FALSE)</f>
        <v>0</v>
      </c>
      <c r="BO201" s="1761" t="b">
        <f>IF(AL201="",FALSE,IF(X201="",FALSE,IF(BP201=TRUE,FALSE,IF(OR(AL201&lt;1913,AL201&gt;BaseYear),TRUE,FALSE))))</f>
        <v>0</v>
      </c>
      <c r="BP201" s="1761" t="b">
        <f>IF(AND($C201&lt;&gt;"",$AL201=""),TRUE,FALSE)</f>
        <v>0</v>
      </c>
      <c r="BQ201" s="1761" t="b">
        <f>IF(AD201="Square Foot",FALSE,IF(AND(AD201="Parking Space",OR('A-20 PassFacInv'!X201=Valid!$B$7,'A-20 PassFacInv'!X201=Valid!$B$8,'A-20 PassFacInv'!X201=Valid!$B$9,'A-20 PassFacInv'!X201=Valid!$B$10,'A-20 PassFacInv'!X201=Valid!$B$12,'A-20 PassFacInv'!X201=Valid!$B$13,'A-20 PassFacInv'!X201=Valid!$B$14,'A-20 PassFacInv'!X201=Valid!$B$15,'A-20 PassFacInv'!X201=Valid!$B$16,'A-20 PassFacInv'!X201=Valid!$B$17,'A-20 PassFacInv'!X201=Valid!$B$18,X201=Valid!$B$19,X201=Valid!$B$20,X201=Valid!$B$21)),TRUE,FALSE))</f>
        <v>0</v>
      </c>
      <c r="BR201" s="1761" t="b">
        <f>IF(AND($C201&lt;&gt;"",$AD201=""),TRUE,FALSE)</f>
        <v>0</v>
      </c>
      <c r="BS201" s="721"/>
      <c r="BT201" s="1625" t="str">
        <f>IF($X201="","",VLOOKUP($X201,val_facilities,BT$3,FALSE))</f>
        <v/>
      </c>
      <c r="BU201" s="1627" t="str">
        <f>IF($X201="","",VLOOKUP($X201,val_facilities,BU$3,FALSE))</f>
        <v/>
      </c>
      <c r="BV201" s="1627" t="str">
        <f>IF($X201="","",VLOOKUP($X201,val_facilities,BV$3,FALSE))</f>
        <v/>
      </c>
      <c r="BW201" s="1627" t="str">
        <f ca="1">IFERROR(IF(Z201="", "", YEAR(TODAY())-Z201), "")</f>
        <v/>
      </c>
      <c r="BX201" s="845" t="str">
        <f>IF($X201="","",IF(AD201="Square Feet",VLOOKUP('A-20 PassFacInv'!X107,Valid!$B$7:$H$24,7,FALSE),IF(AD201="Parking Spaces",VLOOKUP(X201,Valid!$B$22:$L$24,11,FALSE))))</f>
        <v/>
      </c>
      <c r="BY201" s="845" t="str">
        <f>IF($X201="","",IF(AD201="Square Feet",VLOOKUP(X201,Valid!$B$7:$I$24,8,FALSE),IF('A-20 PassFacInv'!AD107="Parking Spaces",VLOOKUP('A-20 PassFacInv'!X107,Valid!$B$22:$M$24,12,FALSE))))</f>
        <v/>
      </c>
      <c r="BZ201" s="758"/>
      <c r="CA201" s="721">
        <f t="shared" si="3"/>
        <v>0</v>
      </c>
      <c r="CB201" s="816"/>
    </row>
    <row r="202" spans="1:80" s="1739" customFormat="1" ht="6.75" customHeight="1" thickBot="1" x14ac:dyDescent="0.25">
      <c r="A202" s="1638"/>
      <c r="B202" s="1746">
        <v>95.5</v>
      </c>
      <c r="C202" s="1057"/>
      <c r="D202" s="1248"/>
      <c r="E202" s="1057"/>
      <c r="F202" s="1229"/>
      <c r="G202" s="1229"/>
      <c r="H202" s="1229"/>
      <c r="I202" s="1229"/>
      <c r="J202" s="1604"/>
      <c r="K202" s="1229"/>
      <c r="L202" s="1605"/>
      <c r="M202" s="1644"/>
      <c r="N202" s="1605"/>
      <c r="O202" s="1644"/>
      <c r="P202" s="1733"/>
      <c r="Q202" s="1644"/>
      <c r="R202" s="1663"/>
      <c r="S202" s="1229"/>
      <c r="T202" s="1663"/>
      <c r="U202" s="1229"/>
      <c r="V202" s="1057"/>
      <c r="W202" s="1623"/>
      <c r="X202" s="1747"/>
      <c r="Y202" s="1623"/>
      <c r="Z202" s="1623"/>
      <c r="AA202" s="1623"/>
      <c r="AB202" s="1944"/>
      <c r="AC202" s="841"/>
      <c r="AD202" s="1057"/>
      <c r="AE202" s="841"/>
      <c r="AF202" s="841"/>
      <c r="AG202" s="841"/>
      <c r="AH202" s="722"/>
      <c r="AI202" s="841"/>
      <c r="AJ202" s="722"/>
      <c r="AK202" s="841"/>
      <c r="AL202" s="1717"/>
      <c r="AM202" s="841"/>
      <c r="AN202" s="1057"/>
      <c r="AO202" s="1644"/>
      <c r="AP202" s="1644"/>
      <c r="AQ202" s="1644"/>
      <c r="AR202" s="1644"/>
      <c r="AS202" s="1644"/>
      <c r="AT202" s="1761"/>
      <c r="AU202" s="1761"/>
      <c r="AV202" s="1761"/>
      <c r="AW202" s="1761"/>
      <c r="AX202" s="1761"/>
      <c r="AY202" s="1761"/>
      <c r="AZ202" s="1761"/>
      <c r="BA202" s="1761"/>
      <c r="BB202" s="1761"/>
      <c r="BC202" s="1762"/>
      <c r="BD202" s="1762"/>
      <c r="BE202" s="1762"/>
      <c r="BF202" s="1762"/>
      <c r="BG202" s="1762"/>
      <c r="BH202" s="1762"/>
      <c r="BI202" s="1762"/>
      <c r="BJ202" s="1762"/>
      <c r="BK202" s="1762"/>
      <c r="BL202" s="1762"/>
      <c r="BM202" s="1762"/>
      <c r="BN202" s="1762"/>
      <c r="BO202" s="1762"/>
      <c r="BP202" s="1762"/>
      <c r="BQ202" s="1763"/>
      <c r="BR202" s="1762"/>
      <c r="BS202" s="1736"/>
      <c r="BT202" s="1738"/>
      <c r="BU202" s="1738"/>
      <c r="BV202" s="1738"/>
      <c r="BW202" s="1738"/>
      <c r="BX202" s="1738"/>
      <c r="BY202" s="1738"/>
      <c r="BZ202" s="1229"/>
      <c r="CA202" s="721">
        <f t="shared" si="3"/>
        <v>0</v>
      </c>
      <c r="CB202" s="1748"/>
    </row>
    <row r="203" spans="1:80" s="1739" customFormat="1" x14ac:dyDescent="0.2">
      <c r="A203" s="840">
        <v>96</v>
      </c>
      <c r="B203" s="1731">
        <v>96</v>
      </c>
      <c r="C203" s="1740"/>
      <c r="D203" s="1248" t="str">
        <f>IF(C201="","",IF((C203=""),"Enter Facility "&amp;TEXT(A203,0)&amp;" Name, then Fill in Columns "&amp;TEXT($H$2,0)&amp;" - "&amp;TEXT($AL$2,0)&amp;"       ",""))</f>
        <v/>
      </c>
      <c r="E203" s="1245" t="str">
        <f ca="1">IF(AS203="N/A","",IF(AS203="N","No","Yes"))</f>
        <v/>
      </c>
      <c r="F203" s="758"/>
      <c r="G203" s="758"/>
      <c r="H203" s="1707"/>
      <c r="I203" s="758"/>
      <c r="J203" s="1653"/>
      <c r="K203" s="1248" t="str">
        <f ca="1">IF($E203&lt;&gt;"","Enter Street Address      ","")</f>
        <v/>
      </c>
      <c r="L203" s="1740"/>
      <c r="M203" s="1248" t="str">
        <f ca="1">IF($E203&lt;&gt;"","Enter City Name       ","")</f>
        <v/>
      </c>
      <c r="N203" s="1740"/>
      <c r="O203" s="1248" t="str">
        <f ca="1">IF($E203&lt;&gt;"","Select from Pull-Down List   ","")</f>
        <v/>
      </c>
      <c r="P203" s="1741"/>
      <c r="Q203" s="1248" t="str">
        <f ca="1">IF($E203&lt;&gt;"","Enter ZIP Code       ","")</f>
        <v/>
      </c>
      <c r="R203" s="1742"/>
      <c r="S203" s="1248" t="str">
        <f ca="1">IF(OR(N203&lt;&gt;"",P203&lt;&gt;"",J203&lt;&gt;"",L203&lt;&gt;""),"",IF($E203&lt;&gt;"","Enter Lat.      ",""))</f>
        <v/>
      </c>
      <c r="T203" s="1742"/>
      <c r="U203" s="1248" t="str">
        <f ca="1">IF(OR(N203&lt;&gt;"",P203&lt;&gt;"",J203&lt;&gt;"",L203&lt;&gt;""),"",IF($E203&lt;&gt;"","Enter Long.    ",""))</f>
        <v/>
      </c>
      <c r="V203" s="1653"/>
      <c r="W203" s="1618" t="str">
        <f ca="1">IF($E203&lt;&gt;"","Select from Pull-Down List  ","")</f>
        <v/>
      </c>
      <c r="X203" s="1653"/>
      <c r="Y203" s="1618" t="str">
        <f ca="1">IF($E203&lt;&gt;"","Select from Pull-Down List  ","")</f>
        <v/>
      </c>
      <c r="Z203" s="1743"/>
      <c r="AA203" s="1248" t="str">
        <f ca="1">IF(E203&lt;&gt;"","Year?   ","")</f>
        <v/>
      </c>
      <c r="AB203" s="1943"/>
      <c r="AC203" s="1620" t="str">
        <f ca="1">IF(E203="","",IF(X203="","Sq. Ft. or Spaces?   ",IF(OR(X203=Codes!$L$26,X203=Codes!$L$27,X203=Codes!$L$28),"Sq. Ft. or Spaces?   ",IF(OR(X203=Codes!$L$20,X203=Codes!$L$21,X203=Codes!$L$22,X203=Codes!$L$23,X203=Codes!$L$24,X203=Codes!$L$25),"Sq. Ft?     ",""))))</f>
        <v/>
      </c>
      <c r="AD203" s="1740"/>
      <c r="AE203" s="1618" t="str">
        <f ca="1">IF($E203&lt;&gt;"","Select from List     ","")</f>
        <v/>
      </c>
      <c r="AF203" s="1621"/>
      <c r="AG203" s="1618" t="str">
        <f ca="1">IF($E203&lt;&gt;"","% of Cap Resp.","")</f>
        <v/>
      </c>
      <c r="AH203" s="1801" t="str">
        <f ca="1">IF(BW203="", "", IF(BW203&gt;100, 1, VLOOKUP(BW203, Valid!$W$1:$AA$101, VLOOKUP(X203, Codes!$L$20:$N$28, 3, FALSE), FALSE)))</f>
        <v/>
      </c>
      <c r="AI203" s="1620" t="str">
        <f ca="1">IF($E203&lt;&gt;"","Estimated?  ","")</f>
        <v/>
      </c>
      <c r="AJ203" s="1654"/>
      <c r="AK203" s="1620" t="str">
        <f ca="1">IF($E203&lt;&gt;"","Condition?  ","")</f>
        <v/>
      </c>
      <c r="AL203" s="1730"/>
      <c r="AM203" s="1620" t="b">
        <f ca="1">IF(E203&lt;&gt;"","Est Date?    ")</f>
        <v>0</v>
      </c>
      <c r="AN203" s="1740"/>
      <c r="AO203" s="1248" t="str">
        <f>IF(X203="Other (describe in Notes)","Describe Facility.                                                                                                                        ","")</f>
        <v/>
      </c>
      <c r="AP203" s="1624"/>
      <c r="AQ203" s="1624" t="b">
        <f>IF(AND(C203="",C205&lt;&gt;""),TRUE,FALSE)</f>
        <v>0</v>
      </c>
      <c r="AR203" s="1624" t="str">
        <f>IF(AND(J203&lt;&gt;"",L203&lt;&gt;"",N203&lt;&gt;"",P203&lt;&gt;"",R203="",T203=""),"Y",IF(AND(J203="",L203="",N203="",P203="",R203&lt;&gt;"",T203&lt;&gt;""),"Y",IF(AND(J203&lt;&gt;"",L203&lt;&gt;"",N203&lt;&gt;"",P203&lt;&gt;"",R203&lt;&gt;"",T203&lt;&gt;""),"Y",IF(AND(J203="",L203="",N203="",P203="",R203="",T203=""),"N/A","N"))))</f>
        <v>N/A</v>
      </c>
      <c r="AS203" s="1624" t="str">
        <f ca="1">IF(AND($C203&lt;&gt;"",OR(AR203="N",$V203="",$X203="",$Z203="",$AB203="",$AF203="",$AH203="",$AL203="",AD203="")),"N",IF(AND($C203="",OR(H203&lt;&gt;"",AR203="N",$V203&lt;&gt;"",$X203&lt;&gt;"",$Z203&lt;&gt;"",$AB203&lt;&gt;"",$AF203&lt;&gt;"",$AH203&lt;&gt;"",$AL203&lt;&gt;"",AD203&lt;&gt;"")),"N",IF(AND(H203="",$C203="",AR203="N/A",$V203="",$X203="",$Z203="",$AB203="",$AF203="",$AH203="",$AL203="",AD203=""),"N/A",IF(AND($C203&lt;&gt;"",AR203="Y",$V203&lt;&gt;"",$X203&lt;&gt;"",$Z203&lt;&gt;"",$AB203&lt;&gt;"",$AF203&lt;&gt;"",$AH203&lt;&gt;"",$AL203&lt;&gt;"",AD203&lt;&gt;""),"Y","N"))))</f>
        <v>N/A</v>
      </c>
      <c r="AT203" s="1761" t="b">
        <f ca="1">IF(AND($C203="",OR($J203&lt;&gt;"",$L203&lt;&gt;"",$N203&lt;&gt;"",$P203&lt;&gt;"",$V203&lt;&gt;"",$X203&lt;&gt;"",$Z203&lt;&gt;"",$AB203&lt;&gt;"",$AF203&lt;&gt;"",$AH203&lt;&gt;"",$AL203&lt;&gt;"")),TRUE,FALSE)</f>
        <v>0</v>
      </c>
      <c r="AU203" s="1761" t="b">
        <f>IF(OR(R203&lt;&gt;"",T203&lt;&gt;""),"false",IF(AND($C203&lt;&gt;"",$J203=""),TRUE,FALSE))</f>
        <v>0</v>
      </c>
      <c r="AV203" s="1761" t="b">
        <f>IF(OR(R203&lt;&gt;"",T203&lt;&gt;""),FALSE,IF(AND($C203&lt;&gt;"",$L203=""),TRUE,FALSE))</f>
        <v>0</v>
      </c>
      <c r="AW203" s="1761" t="b">
        <f>IF(OR(R203&lt;&gt;"",T203&lt;&gt;""),FALSE,IF(AND($C203&lt;&gt;"",$N203=""),TRUE,FALSE))</f>
        <v>0</v>
      </c>
      <c r="AX203" s="1761" t="b">
        <f>IF(OR(R203&lt;&gt;"",T203&lt;&gt;""),FALSE,IF(AND($C203&lt;&gt;"",$P203=""),TRUE,FALSE))</f>
        <v>0</v>
      </c>
      <c r="AY203" s="1761"/>
      <c r="AZ203" s="1761" t="b">
        <f>IF(OR(J203&lt;&gt;"",L203&lt;&gt;"",N203&lt;&gt;"",P203&lt;&gt;""),FALSE,IF(AND(C203&lt;&gt;"",R203=""),TRUE,FALSE))</f>
        <v>0</v>
      </c>
      <c r="BA203" s="1761"/>
      <c r="BB203" s="1761" t="b">
        <f>IF(OR(J203&lt;&gt;"",L203&lt;&gt;"",N203&lt;&gt;"",P203&lt;&gt;""),FALSE,IF(AND(C203&lt;&gt;"",T203=""),TRUE,FALSE))</f>
        <v>0</v>
      </c>
      <c r="BC203" s="1761" t="b">
        <f>IF(AND($C203&lt;&gt;"",$V203=""),TRUE,FALSE)</f>
        <v>0</v>
      </c>
      <c r="BD203" s="1761" t="b">
        <f ca="1">IF(AND(X203="",OR(Z203&lt;&gt;"",AB203&lt;&gt;"",AF203&lt;&gt;"",AH203&lt;&gt;"",AL203&lt;&gt;"",AD203&lt;&gt;"")),TRUE,FALSE)</f>
        <v>0</v>
      </c>
      <c r="BE203" s="1761" t="b">
        <f>IF(AND($C203&lt;&gt;"",$X203=""),TRUE,FALSE)</f>
        <v>0</v>
      </c>
      <c r="BF203" s="1761" t="b">
        <f>IF(Z203="",FALSE,IF(X203="",FALSE,IF(BG203=TRUE,FALSE,IF(OR(Z203&lt;BU203,Z203&gt;BaseYear),TRUE,FALSE))))</f>
        <v>0</v>
      </c>
      <c r="BG203" s="1761" t="b">
        <f>IF(AND($C203&lt;&gt;"",$Z203=""),TRUE,FALSE)</f>
        <v>0</v>
      </c>
      <c r="BH203" s="1761" t="b">
        <f>IF(AD203="",FALSE,IF(X203="",FALSE,IF(BJ203=TRUE,FALSE,IF(AB203&lt;BX203,TRUE,FALSE))))</f>
        <v>0</v>
      </c>
      <c r="BI203" s="1761" t="b">
        <f>IF(AD203="",FALSE,IF(X203="",FALSE,IF(BJ203=TRUE,FALSE,IF(AB203&gt;BY203,TRUE,FALSE))))</f>
        <v>0</v>
      </c>
      <c r="BJ203" s="1761" t="b">
        <f>IF(AND($C203&lt;&gt;"",$AB203=""),TRUE,FALSE)</f>
        <v>0</v>
      </c>
      <c r="BK203" s="1761" t="b">
        <f>IF(BL203=TRUE,FALSE,IF(OR(AF203&lt;0,AF203&gt;1),TRUE,FALSE))</f>
        <v>0</v>
      </c>
      <c r="BL203" s="1761" t="b">
        <f>IF(AND($C203&lt;&gt;"",$AF203=""),TRUE,FALSE)</f>
        <v>0</v>
      </c>
      <c r="BM203" s="1761"/>
      <c r="BN203" s="1761" t="b">
        <f ca="1">IF(AND($C203&lt;&gt;"",$AH203=""),TRUE,FALSE)</f>
        <v>0</v>
      </c>
      <c r="BO203" s="1761" t="b">
        <f>IF(AL203="",FALSE,IF(X203="",FALSE,IF(BP203=TRUE,FALSE,IF(OR(AL203&lt;1913,AL203&gt;BaseYear),TRUE,FALSE))))</f>
        <v>0</v>
      </c>
      <c r="BP203" s="1761" t="b">
        <f>IF(AND($C203&lt;&gt;"",$AL203=""),TRUE,FALSE)</f>
        <v>0</v>
      </c>
      <c r="BQ203" s="1761" t="b">
        <f>IF(AD203="Square Foot",FALSE,IF(AND(AD203="Parking Space",OR('A-20 PassFacInv'!X203=Valid!$B$7,'A-20 PassFacInv'!X203=Valid!$B$8,'A-20 PassFacInv'!X203=Valid!$B$9,'A-20 PassFacInv'!X203=Valid!$B$10,'A-20 PassFacInv'!X203=Valid!$B$12,'A-20 PassFacInv'!X203=Valid!$B$13,'A-20 PassFacInv'!X203=Valid!$B$14,'A-20 PassFacInv'!X203=Valid!$B$15,'A-20 PassFacInv'!X203=Valid!$B$16,'A-20 PassFacInv'!X203=Valid!$B$17,'A-20 PassFacInv'!X203=Valid!$B$18,X203=Valid!$B$19,X203=Valid!$B$20,X203=Valid!$B$21)),TRUE,FALSE))</f>
        <v>0</v>
      </c>
      <c r="BR203" s="1761" t="b">
        <f>IF(AND($C203&lt;&gt;"",$AD203=""),TRUE,FALSE)</f>
        <v>0</v>
      </c>
      <c r="BS203" s="721"/>
      <c r="BT203" s="1625" t="str">
        <f>IF($X203="","",VLOOKUP($X203,val_facilities,BT$3,FALSE))</f>
        <v/>
      </c>
      <c r="BU203" s="1627" t="str">
        <f>IF($X203="","",VLOOKUP($X203,val_facilities,BU$3,FALSE))</f>
        <v/>
      </c>
      <c r="BV203" s="1627" t="str">
        <f>IF($X203="","",VLOOKUP($X203,val_facilities,BV$3,FALSE))</f>
        <v/>
      </c>
      <c r="BW203" s="1627" t="str">
        <f ca="1">IFERROR(IF(Z203="", "", YEAR(TODAY())-Z203), "")</f>
        <v/>
      </c>
      <c r="BX203" s="845" t="str">
        <f>IF($X203="","",IF(AD203="Square Feet",VLOOKUP('A-20 PassFacInv'!X108,Valid!$B$7:$H$24,7,FALSE),IF(AD203="Parking Spaces",VLOOKUP(X203,Valid!$B$22:$L$24,11,FALSE))))</f>
        <v/>
      </c>
      <c r="BY203" s="845" t="str">
        <f>IF($X203="","",IF(AD203="Square Feet",VLOOKUP(X203,Valid!$B$7:$I$24,8,FALSE),IF('A-20 PassFacInv'!AD108="Parking Spaces",VLOOKUP('A-20 PassFacInv'!X108,Valid!$B$22:$M$24,12,FALSE))))</f>
        <v/>
      </c>
      <c r="BZ203" s="758"/>
      <c r="CA203" s="721">
        <f t="shared" si="3"/>
        <v>0</v>
      </c>
      <c r="CB203" s="816"/>
    </row>
    <row r="204" spans="1:80" s="1739" customFormat="1" ht="6.75" customHeight="1" thickBot="1" x14ac:dyDescent="0.25">
      <c r="A204" s="1638"/>
      <c r="B204" s="1746">
        <v>96.5</v>
      </c>
      <c r="C204" s="1057"/>
      <c r="D204" s="1248"/>
      <c r="E204" s="1639"/>
      <c r="F204" s="1229"/>
      <c r="G204" s="1229"/>
      <c r="H204" s="1229"/>
      <c r="I204" s="1229"/>
      <c r="J204" s="1604"/>
      <c r="K204" s="1640"/>
      <c r="L204" s="1641"/>
      <c r="M204" s="1248"/>
      <c r="N204" s="1641"/>
      <c r="O204" s="1248"/>
      <c r="P204" s="1659"/>
      <c r="Q204" s="1248"/>
      <c r="R204" s="1660"/>
      <c r="S204" s="1640"/>
      <c r="T204" s="1660"/>
      <c r="U204" s="1640"/>
      <c r="V204" s="1057"/>
      <c r="W204" s="1618"/>
      <c r="X204" s="1747"/>
      <c r="Y204" s="1618"/>
      <c r="Z204" s="1623"/>
      <c r="AA204" s="1618"/>
      <c r="AB204" s="1944"/>
      <c r="AC204" s="1275"/>
      <c r="AD204" s="1661"/>
      <c r="AE204" s="734"/>
      <c r="AF204" s="1748"/>
      <c r="AG204" s="1275"/>
      <c r="AH204" s="722"/>
      <c r="AI204" s="1275"/>
      <c r="AJ204" s="733"/>
      <c r="AK204" s="1275"/>
      <c r="AL204" s="1721"/>
      <c r="AM204" s="1275"/>
      <c r="AN204" s="1057"/>
      <c r="AO204" s="1644"/>
      <c r="AP204" s="1644"/>
      <c r="AQ204" s="1644"/>
      <c r="AR204" s="1644"/>
      <c r="AS204" s="1644"/>
      <c r="AT204" s="1761"/>
      <c r="AU204" s="1761"/>
      <c r="AV204" s="1761"/>
      <c r="AW204" s="1761"/>
      <c r="AX204" s="1761"/>
      <c r="AY204" s="1761"/>
      <c r="AZ204" s="1761"/>
      <c r="BA204" s="1761"/>
      <c r="BB204" s="1761"/>
      <c r="BC204" s="1762"/>
      <c r="BD204" s="1762"/>
      <c r="BE204" s="1762"/>
      <c r="BF204" s="1762"/>
      <c r="BG204" s="1762"/>
      <c r="BH204" s="1762"/>
      <c r="BI204" s="1762"/>
      <c r="BJ204" s="1762"/>
      <c r="BK204" s="1762"/>
      <c r="BL204" s="1762"/>
      <c r="BM204" s="1762"/>
      <c r="BN204" s="1762"/>
      <c r="BO204" s="1762"/>
      <c r="BP204" s="1762"/>
      <c r="BQ204" s="1762"/>
      <c r="BR204" s="1762"/>
      <c r="BS204" s="1736"/>
      <c r="BT204" s="1738"/>
      <c r="BU204" s="1738"/>
      <c r="BV204" s="1738"/>
      <c r="BW204" s="1738"/>
      <c r="BX204" s="1738"/>
      <c r="BY204" s="1738"/>
      <c r="BZ204" s="1229"/>
      <c r="CA204" s="721">
        <f t="shared" si="3"/>
        <v>0</v>
      </c>
      <c r="CB204" s="816"/>
    </row>
    <row r="205" spans="1:80" s="1739" customFormat="1" x14ac:dyDescent="0.2">
      <c r="A205" s="840">
        <v>97</v>
      </c>
      <c r="B205" s="1746">
        <v>97</v>
      </c>
      <c r="C205" s="1740"/>
      <c r="D205" s="1248" t="str">
        <f>IF(C203="","",IF((C205=""),"Enter Facility "&amp;TEXT(A205,0)&amp;" Name, then Fill in Columns "&amp;TEXT($H$2,0)&amp;" - "&amp;TEXT($AL$2,0)&amp;"       ",""))</f>
        <v/>
      </c>
      <c r="E205" s="1245" t="str">
        <f ca="1">IF(AS205="N/A","",IF(AS205="N","No","Yes"))</f>
        <v/>
      </c>
      <c r="F205" s="758"/>
      <c r="G205" s="758"/>
      <c r="H205" s="1707"/>
      <c r="I205" s="758"/>
      <c r="J205" s="1653"/>
      <c r="K205" s="1248" t="str">
        <f ca="1">IF($E205&lt;&gt;"","Enter Street Address      ","")</f>
        <v/>
      </c>
      <c r="L205" s="1740"/>
      <c r="M205" s="1248" t="str">
        <f ca="1">IF($E205&lt;&gt;"","Enter City Name       ","")</f>
        <v/>
      </c>
      <c r="N205" s="1740"/>
      <c r="O205" s="1248" t="str">
        <f ca="1">IF($E205&lt;&gt;"","Select from Pull-Down List   ","")</f>
        <v/>
      </c>
      <c r="P205" s="1741"/>
      <c r="Q205" s="1248" t="str">
        <f ca="1">IF($E205&lt;&gt;"","Enter ZIP Code       ","")</f>
        <v/>
      </c>
      <c r="R205" s="1742"/>
      <c r="S205" s="1248" t="str">
        <f ca="1">IF(OR(N205&lt;&gt;"",P205&lt;&gt;"",J205&lt;&gt;"",L205&lt;&gt;""),"",IF($E205&lt;&gt;"","Enter Lat.      ",""))</f>
        <v/>
      </c>
      <c r="T205" s="1742"/>
      <c r="U205" s="1248" t="str">
        <f ca="1">IF(OR(N205&lt;&gt;"",P205&lt;&gt;"",J205&lt;&gt;"",L205&lt;&gt;""),"",IF($E205&lt;&gt;"","Enter Long.    ",""))</f>
        <v/>
      </c>
      <c r="V205" s="1653"/>
      <c r="W205" s="1618" t="str">
        <f ca="1">IF($E205&lt;&gt;"","Select from Pull-Down List  ","")</f>
        <v/>
      </c>
      <c r="X205" s="1653"/>
      <c r="Y205" s="1618" t="str">
        <f ca="1">IF($E205&lt;&gt;"","Select from Pull-Down List  ","")</f>
        <v/>
      </c>
      <c r="Z205" s="1743"/>
      <c r="AA205" s="1248" t="str">
        <f ca="1">IF(E205&lt;&gt;"","Year?   ","")</f>
        <v/>
      </c>
      <c r="AB205" s="1943"/>
      <c r="AC205" s="1620" t="str">
        <f ca="1">IF(E205="","",IF(X205="","Sq. Ft. or Spaces?   ",IF(OR(X205=Codes!$L$26,X205=Codes!$L$27,X205=Codes!$L$28),"Sq. Ft. or Spaces?   ",IF(OR(X205=Codes!$L$20,X205=Codes!$L$21,X205=Codes!$L$22,X205=Codes!$L$23,X205=Codes!$L$24,X205=Codes!$L$25),"Sq. Ft?     ",""))))</f>
        <v/>
      </c>
      <c r="AD205" s="1740"/>
      <c r="AE205" s="1618" t="str">
        <f ca="1">IF($E205&lt;&gt;"","Select from List     ","")</f>
        <v/>
      </c>
      <c r="AF205" s="1621"/>
      <c r="AG205" s="1618" t="str">
        <f ca="1">IF($E205&lt;&gt;"","% of Cap Resp.","")</f>
        <v/>
      </c>
      <c r="AH205" s="1801" t="str">
        <f ca="1">IF(BW205="", "", IF(BW205&gt;100, 1, VLOOKUP(BW205, Valid!$W$1:$AA$101, VLOOKUP(X205, Codes!$L$20:$N$28, 3, FALSE), FALSE)))</f>
        <v/>
      </c>
      <c r="AI205" s="1620" t="str">
        <f ca="1">IF($E205&lt;&gt;"","Estimated?  ","")</f>
        <v/>
      </c>
      <c r="AJ205" s="1654"/>
      <c r="AK205" s="1620" t="str">
        <f ca="1">IF($E205&lt;&gt;"","Condition?  ","")</f>
        <v/>
      </c>
      <c r="AL205" s="1730"/>
      <c r="AM205" s="1620" t="b">
        <f ca="1">IF(E205&lt;&gt;"","Est Date?    ")</f>
        <v>0</v>
      </c>
      <c r="AN205" s="1740"/>
      <c r="AO205" s="1248" t="str">
        <f>IF(X205="Other (describe in Notes)","Describe Facility.                                                                                                                        ","")</f>
        <v/>
      </c>
      <c r="AP205" s="1624"/>
      <c r="AQ205" s="1624" t="b">
        <f>IF(AND(C205="",C207&lt;&gt;""),TRUE,FALSE)</f>
        <v>0</v>
      </c>
      <c r="AR205" s="1624" t="str">
        <f>IF(AND(J205&lt;&gt;"",L205&lt;&gt;"",N205&lt;&gt;"",P205&lt;&gt;"",R205="",T205=""),"Y",IF(AND(J205="",L205="",N205="",P205="",R205&lt;&gt;"",T205&lt;&gt;""),"Y",IF(AND(J205&lt;&gt;"",L205&lt;&gt;"",N205&lt;&gt;"",P205&lt;&gt;"",R205&lt;&gt;"",T205&lt;&gt;""),"Y",IF(AND(J205="",L205="",N205="",P205="",R205="",T205=""),"N/A","N"))))</f>
        <v>N/A</v>
      </c>
      <c r="AS205" s="1624" t="str">
        <f ca="1">IF(AND($C205&lt;&gt;"",OR(AR205="N",$V205="",$X205="",$Z205="",$AB205="",$AF205="",$AH205="",$AL205="",AD205="")),"N",IF(AND($C205="",OR(H205&lt;&gt;"",AR205="N",$V205&lt;&gt;"",$X205&lt;&gt;"",$Z205&lt;&gt;"",$AB205&lt;&gt;"",$AF205&lt;&gt;"",$AH205&lt;&gt;"",$AL205&lt;&gt;"",AD205&lt;&gt;"")),"N",IF(AND(H205="",$C205="",AR205="N/A",$V205="",$X205="",$Z205="",$AB205="",$AF205="",$AH205="",$AL205="",AD205=""),"N/A",IF(AND($C205&lt;&gt;"",AR205="Y",$V205&lt;&gt;"",$X205&lt;&gt;"",$Z205&lt;&gt;"",$AB205&lt;&gt;"",$AF205&lt;&gt;"",$AH205&lt;&gt;"",$AL205&lt;&gt;"",AD205&lt;&gt;""),"Y","N"))))</f>
        <v>N/A</v>
      </c>
      <c r="AT205" s="1761" t="b">
        <f ca="1">IF(AND($C205="",OR($J205&lt;&gt;"",$L205&lt;&gt;"",$N205&lt;&gt;"",$P205&lt;&gt;"",$V205&lt;&gt;"",$X205&lt;&gt;"",$Z205&lt;&gt;"",$AB205&lt;&gt;"",$AF205&lt;&gt;"",$AH205&lt;&gt;"",$AL205&lt;&gt;"")),TRUE,FALSE)</f>
        <v>0</v>
      </c>
      <c r="AU205" s="1761" t="b">
        <f>IF(OR(R205&lt;&gt;"",T205&lt;&gt;""),"false",IF(AND($C205&lt;&gt;"",$J205=""),TRUE,FALSE))</f>
        <v>0</v>
      </c>
      <c r="AV205" s="1761" t="b">
        <f>IF(OR(R205&lt;&gt;"",T205&lt;&gt;""),FALSE,IF(AND($C205&lt;&gt;"",$L205=""),TRUE,FALSE))</f>
        <v>0</v>
      </c>
      <c r="AW205" s="1761" t="b">
        <f>IF(OR(R205&lt;&gt;"",T205&lt;&gt;""),FALSE,IF(AND($C205&lt;&gt;"",$N205=""),TRUE,FALSE))</f>
        <v>0</v>
      </c>
      <c r="AX205" s="1761" t="b">
        <f>IF(OR(R205&lt;&gt;"",T205&lt;&gt;""),FALSE,IF(AND($C205&lt;&gt;"",$P205=""),TRUE,FALSE))</f>
        <v>0</v>
      </c>
      <c r="AY205" s="1761"/>
      <c r="AZ205" s="1761" t="b">
        <f>IF(OR(J205&lt;&gt;"",L205&lt;&gt;"",N205&lt;&gt;"",P205&lt;&gt;""),FALSE,IF(AND(C205&lt;&gt;"",R205=""),TRUE,FALSE))</f>
        <v>0</v>
      </c>
      <c r="BA205" s="1761"/>
      <c r="BB205" s="1761" t="b">
        <f>IF(OR(J205&lt;&gt;"",L205&lt;&gt;"",N205&lt;&gt;"",P205&lt;&gt;""),FALSE,IF(AND(C205&lt;&gt;"",T205=""),TRUE,FALSE))</f>
        <v>0</v>
      </c>
      <c r="BC205" s="1761" t="b">
        <f>IF(AND($C205&lt;&gt;"",$V205=""),TRUE,FALSE)</f>
        <v>0</v>
      </c>
      <c r="BD205" s="1761" t="b">
        <f ca="1">IF(AND(X205="",OR(Z205&lt;&gt;"",AB205&lt;&gt;"",AF205&lt;&gt;"",AH205&lt;&gt;"",AL205&lt;&gt;"",AD205&lt;&gt;"")),TRUE,FALSE)</f>
        <v>0</v>
      </c>
      <c r="BE205" s="1761" t="b">
        <f>IF(AND($C205&lt;&gt;"",$X205=""),TRUE,FALSE)</f>
        <v>0</v>
      </c>
      <c r="BF205" s="1761" t="b">
        <f>IF(Z205="",FALSE,IF(X205="",FALSE,IF(BG205=TRUE,FALSE,IF(OR(Z205&lt;BU205,Z205&gt;BaseYear),TRUE,FALSE))))</f>
        <v>0</v>
      </c>
      <c r="BG205" s="1761" t="b">
        <f>IF(AND($C205&lt;&gt;"",$Z205=""),TRUE,FALSE)</f>
        <v>0</v>
      </c>
      <c r="BH205" s="1761" t="b">
        <f>IF(AD205="",FALSE,IF(X205="",FALSE,IF(BJ205=TRUE,FALSE,IF(AB205&lt;BX205,TRUE,FALSE))))</f>
        <v>0</v>
      </c>
      <c r="BI205" s="1761" t="b">
        <f>IF(AD205="",FALSE,IF(X205="",FALSE,IF(BJ205=TRUE,FALSE,IF(AB205&gt;BY205,TRUE,FALSE))))</f>
        <v>0</v>
      </c>
      <c r="BJ205" s="1761" t="b">
        <f>IF(AND($C205&lt;&gt;"",$AB205=""),TRUE,FALSE)</f>
        <v>0</v>
      </c>
      <c r="BK205" s="1761" t="b">
        <f>IF(BL205=TRUE,FALSE,IF(OR(AF205&lt;0,AF205&gt;1),TRUE,FALSE))</f>
        <v>0</v>
      </c>
      <c r="BL205" s="1761" t="b">
        <f>IF(AND($C205&lt;&gt;"",$AF205=""),TRUE,FALSE)</f>
        <v>0</v>
      </c>
      <c r="BM205" s="1761"/>
      <c r="BN205" s="1761" t="b">
        <f ca="1">IF(AND($C205&lt;&gt;"",$AH205=""),TRUE,FALSE)</f>
        <v>0</v>
      </c>
      <c r="BO205" s="1761" t="b">
        <f>IF(AL205="",FALSE,IF(X205="",FALSE,IF(BP205=TRUE,FALSE,IF(OR(AL205&lt;1913,AL205&gt;BaseYear),TRUE,FALSE))))</f>
        <v>0</v>
      </c>
      <c r="BP205" s="1761" t="b">
        <f>IF(AND($C205&lt;&gt;"",$AL205=""),TRUE,FALSE)</f>
        <v>0</v>
      </c>
      <c r="BQ205" s="1761" t="b">
        <f>IF(AD205="Square Foot",FALSE,IF(AND(AD205="Parking Space",OR('A-20 PassFacInv'!X205=Valid!$B$7,'A-20 PassFacInv'!X205=Valid!$B$8,'A-20 PassFacInv'!X205=Valid!$B$9,'A-20 PassFacInv'!X205=Valid!$B$10,'A-20 PassFacInv'!X205=Valid!$B$12,'A-20 PassFacInv'!X205=Valid!$B$13,'A-20 PassFacInv'!X205=Valid!$B$14,'A-20 PassFacInv'!X205=Valid!$B$15,'A-20 PassFacInv'!X205=Valid!$B$16,'A-20 PassFacInv'!X205=Valid!$B$17,'A-20 PassFacInv'!X205=Valid!$B$18,X205=Valid!$B$19,X205=Valid!$B$20,X205=Valid!$B$21)),TRUE,FALSE))</f>
        <v>0</v>
      </c>
      <c r="BR205" s="1761" t="b">
        <f>IF(AND($C205&lt;&gt;"",$AD205=""),TRUE,FALSE)</f>
        <v>0</v>
      </c>
      <c r="BS205" s="721"/>
      <c r="BT205" s="1625" t="str">
        <f>IF($X205="","",VLOOKUP($X205,val_facilities,BT$3,FALSE))</f>
        <v/>
      </c>
      <c r="BU205" s="1627" t="str">
        <f>IF($X205="","",VLOOKUP($X205,val_facilities,BU$3,FALSE))</f>
        <v/>
      </c>
      <c r="BV205" s="1627" t="str">
        <f>IF($X205="","",VLOOKUP($X205,val_facilities,BV$3,FALSE))</f>
        <v/>
      </c>
      <c r="BW205" s="1627" t="str">
        <f ca="1">IFERROR(IF(Z205="", "", YEAR(TODAY())-Z205), "")</f>
        <v/>
      </c>
      <c r="BX205" s="845" t="str">
        <f>IF($X205="","",IF(AD205="Square Feet",VLOOKUP('A-20 PassFacInv'!X109,Valid!$B$7:$H$24,7,FALSE),IF(AD205="Parking Spaces",VLOOKUP(X205,Valid!$B$22:$L$24,11,FALSE))))</f>
        <v/>
      </c>
      <c r="BY205" s="845" t="str">
        <f>IF($X205="","",IF(AD205="Square Feet",VLOOKUP(X205,Valid!$B$7:$I$24,8,FALSE),IF('A-20 PassFacInv'!AD109="Parking Spaces",VLOOKUP('A-20 PassFacInv'!X109,Valid!$B$22:$M$24,12,FALSE))))</f>
        <v/>
      </c>
      <c r="BZ205" s="758"/>
      <c r="CA205" s="721">
        <f t="shared" si="3"/>
        <v>0</v>
      </c>
      <c r="CB205" s="816"/>
    </row>
    <row r="206" spans="1:80" s="1739" customFormat="1" ht="6.75" customHeight="1" thickBot="1" x14ac:dyDescent="0.25">
      <c r="A206" s="1638"/>
      <c r="B206" s="1746">
        <v>97.5</v>
      </c>
      <c r="C206" s="1057"/>
      <c r="D206" s="764"/>
      <c r="E206" s="1057"/>
      <c r="F206" s="1229"/>
      <c r="G206" s="1229"/>
      <c r="H206" s="1229"/>
      <c r="I206" s="1229"/>
      <c r="J206" s="1604"/>
      <c r="K206" s="1640"/>
      <c r="L206" s="1605"/>
      <c r="M206" s="1646"/>
      <c r="N206" s="1605"/>
      <c r="O206" s="1646"/>
      <c r="P206" s="1733"/>
      <c r="Q206" s="1646"/>
      <c r="R206" s="1660"/>
      <c r="S206" s="1640"/>
      <c r="T206" s="1660"/>
      <c r="U206" s="1640"/>
      <c r="V206" s="1057"/>
      <c r="W206" s="1618"/>
      <c r="X206" s="1747"/>
      <c r="Y206" s="1618"/>
      <c r="Z206" s="1623"/>
      <c r="AA206" s="1618"/>
      <c r="AB206" s="1944"/>
      <c r="AC206" s="1648"/>
      <c r="AD206" s="1661"/>
      <c r="AE206" s="841"/>
      <c r="AF206" s="841"/>
      <c r="AG206" s="1648"/>
      <c r="AH206" s="733"/>
      <c r="AI206" s="1648"/>
      <c r="AJ206" s="722"/>
      <c r="AK206" s="1648"/>
      <c r="AL206" s="1717"/>
      <c r="AM206" s="1648"/>
      <c r="AN206" s="1057"/>
      <c r="AO206" s="1644"/>
      <c r="AP206" s="1644"/>
      <c r="AQ206" s="1644"/>
      <c r="AR206" s="1644"/>
      <c r="AS206" s="1644"/>
      <c r="AT206" s="1761"/>
      <c r="AU206" s="1761"/>
      <c r="AV206" s="1761"/>
      <c r="AW206" s="1761"/>
      <c r="AX206" s="1761"/>
      <c r="AY206" s="1761"/>
      <c r="AZ206" s="1761"/>
      <c r="BA206" s="1761"/>
      <c r="BB206" s="1761"/>
      <c r="BC206" s="1762"/>
      <c r="BD206" s="1762"/>
      <c r="BE206" s="1762"/>
      <c r="BF206" s="1762"/>
      <c r="BG206" s="1762"/>
      <c r="BH206" s="1762"/>
      <c r="BI206" s="1762"/>
      <c r="BJ206" s="1762"/>
      <c r="BK206" s="1762"/>
      <c r="BL206" s="1762"/>
      <c r="BM206" s="1762"/>
      <c r="BN206" s="1762"/>
      <c r="BO206" s="1762"/>
      <c r="BP206" s="1762"/>
      <c r="BQ206" s="1762"/>
      <c r="BR206" s="1762"/>
      <c r="BS206" s="1736"/>
      <c r="BT206" s="1738"/>
      <c r="BU206" s="1738"/>
      <c r="BV206" s="1738"/>
      <c r="BW206" s="1738"/>
      <c r="BX206" s="1738"/>
      <c r="BY206" s="1738"/>
      <c r="BZ206" s="1229"/>
      <c r="CA206" s="721">
        <f t="shared" ref="CA206:CA212" si="4">IF(OR(AJ206="NA", AJ206=" "),AH206,AJ206)</f>
        <v>0</v>
      </c>
      <c r="CB206" s="1748"/>
    </row>
    <row r="207" spans="1:80" s="1739" customFormat="1" x14ac:dyDescent="0.2">
      <c r="A207" s="840">
        <v>98</v>
      </c>
      <c r="B207" s="1746">
        <v>98</v>
      </c>
      <c r="C207" s="1740"/>
      <c r="D207" s="1248" t="str">
        <f>IF(C205="","",IF((C207=""),"Enter Facility "&amp;TEXT(A207,0)&amp;" Name, then Fill in Columns "&amp;TEXT($H$2,0)&amp;" - "&amp;TEXT($AL$2,0)&amp;"       ",""))</f>
        <v/>
      </c>
      <c r="E207" s="1245" t="str">
        <f ca="1">IF(AS207="N/A","",IF(AS207="N","No","Yes"))</f>
        <v/>
      </c>
      <c r="F207" s="758"/>
      <c r="G207" s="758"/>
      <c r="H207" s="1707"/>
      <c r="I207" s="758"/>
      <c r="J207" s="1653"/>
      <c r="K207" s="1248" t="str">
        <f ca="1">IF($E207&lt;&gt;"","Enter Street Address      ","")</f>
        <v/>
      </c>
      <c r="L207" s="1740"/>
      <c r="M207" s="1248" t="str">
        <f ca="1">IF($E207&lt;&gt;"","Enter City Name       ","")</f>
        <v/>
      </c>
      <c r="N207" s="1740"/>
      <c r="O207" s="1248" t="str">
        <f ca="1">IF($E207&lt;&gt;"","Select from Pull-Down List   ","")</f>
        <v/>
      </c>
      <c r="P207" s="1741"/>
      <c r="Q207" s="1248" t="str">
        <f ca="1">IF($E207&lt;&gt;"","Enter ZIP Code       ","")</f>
        <v/>
      </c>
      <c r="R207" s="1742"/>
      <c r="S207" s="1248" t="str">
        <f ca="1">IF(OR(N207&lt;&gt;"",P207&lt;&gt;"",J207&lt;&gt;"",L207&lt;&gt;""),"",IF($E207&lt;&gt;"","Enter Lat.      ",""))</f>
        <v/>
      </c>
      <c r="T207" s="1742"/>
      <c r="U207" s="1248" t="str">
        <f ca="1">IF(OR(N207&lt;&gt;"",P207&lt;&gt;"",J207&lt;&gt;"",L207&lt;&gt;""),"",IF($E207&lt;&gt;"","Enter Long.    ",""))</f>
        <v/>
      </c>
      <c r="V207" s="1653"/>
      <c r="W207" s="1618" t="str">
        <f ca="1">IF($E207&lt;&gt;"","Select from Pull-Down List  ","")</f>
        <v/>
      </c>
      <c r="X207" s="1653"/>
      <c r="Y207" s="1618" t="str">
        <f ca="1">IF($E207&lt;&gt;"","Select from Pull-Down List  ","")</f>
        <v/>
      </c>
      <c r="Z207" s="1743"/>
      <c r="AA207" s="1248" t="str">
        <f ca="1">IF(E207&lt;&gt;"","Year?   ","")</f>
        <v/>
      </c>
      <c r="AB207" s="1943"/>
      <c r="AC207" s="1620" t="str">
        <f ca="1">IF(E207="","",IF(X207="","Sq. Ft. or Spaces?   ",IF(OR(X207=Codes!$L$26,X207=Codes!$L$27,X207=Codes!$L$28),"Sq. Ft. or Spaces?   ",IF(OR(X207=Codes!$L$20,X207=Codes!$L$21,X207=Codes!$L$22,X207=Codes!$L$23,X207=Codes!$L$24,X207=Codes!$L$25),"Sq. Ft?     ",""))))</f>
        <v/>
      </c>
      <c r="AD207" s="1740"/>
      <c r="AE207" s="1618" t="str">
        <f ca="1">IF($E207&lt;&gt;"","Select from List     ","")</f>
        <v/>
      </c>
      <c r="AF207" s="1621"/>
      <c r="AG207" s="1618" t="str">
        <f ca="1">IF($E207&lt;&gt;"","% of Cap Resp.","")</f>
        <v/>
      </c>
      <c r="AH207" s="1801" t="str">
        <f ca="1">IF(BW207="", "", IF(BW207&gt;100, 1, VLOOKUP(BW207, Valid!$W$1:$AA$101, VLOOKUP(X207, Codes!$L$20:$N$28, 3, FALSE), FALSE)))</f>
        <v/>
      </c>
      <c r="AI207" s="1620" t="str">
        <f ca="1">IF($E207&lt;&gt;"","Estimated?  ","")</f>
        <v/>
      </c>
      <c r="AJ207" s="1654"/>
      <c r="AK207" s="1620" t="str">
        <f ca="1">IF($E207&lt;&gt;"","Condition?  ","")</f>
        <v/>
      </c>
      <c r="AL207" s="1730"/>
      <c r="AM207" s="1620" t="b">
        <f ca="1">IF(E207&lt;&gt;"","Est Date?    ")</f>
        <v>0</v>
      </c>
      <c r="AN207" s="1740"/>
      <c r="AO207" s="1248" t="str">
        <f>IF(X207="Other (describe in Notes)","Describe Facility.                                                                                                                        ","")</f>
        <v/>
      </c>
      <c r="AP207" s="1624"/>
      <c r="AQ207" s="1624" t="b">
        <f>IF(AND(C207="",C209&lt;&gt;""),TRUE,FALSE)</f>
        <v>0</v>
      </c>
      <c r="AR207" s="1624" t="str">
        <f>IF(AND(J207&lt;&gt;"",L207&lt;&gt;"",N207&lt;&gt;"",P207&lt;&gt;"",R207="",T207=""),"Y",IF(AND(J207="",L207="",N207="",P207="",R207&lt;&gt;"",T207&lt;&gt;""),"Y",IF(AND(J207&lt;&gt;"",L207&lt;&gt;"",N207&lt;&gt;"",P207&lt;&gt;"",R207&lt;&gt;"",T207&lt;&gt;""),"Y",IF(AND(J207="",L207="",N207="",P207="",R207="",T207=""),"N/A","N"))))</f>
        <v>N/A</v>
      </c>
      <c r="AS207" s="1624" t="str">
        <f ca="1">IF(AND($C207&lt;&gt;"",OR(AR207="N",$V207="",$X207="",$Z207="",$AB207="",$AF207="",$AH207="",$AL207="",AD207="")),"N",IF(AND($C207="",OR(H207&lt;&gt;"",AR207="N",$V207&lt;&gt;"",$X207&lt;&gt;"",$Z207&lt;&gt;"",$AB207&lt;&gt;"",$AF207&lt;&gt;"",$AH207&lt;&gt;"",$AL207&lt;&gt;"",AD207&lt;&gt;"")),"N",IF(AND(H207="",$C207="",AR207="N/A",$V207="",$X207="",$Z207="",$AB207="",$AF207="",$AH207="",$AL207="",AD207=""),"N/A",IF(AND($C207&lt;&gt;"",AR207="Y",$V207&lt;&gt;"",$X207&lt;&gt;"",$Z207&lt;&gt;"",$AB207&lt;&gt;"",$AF207&lt;&gt;"",$AH207&lt;&gt;"",$AL207&lt;&gt;"",AD207&lt;&gt;""),"Y","N"))))</f>
        <v>N/A</v>
      </c>
      <c r="AT207" s="1761" t="b">
        <f ca="1">IF(AND($C207="",OR($J207&lt;&gt;"",$L207&lt;&gt;"",$N207&lt;&gt;"",$P207&lt;&gt;"",$V207&lt;&gt;"",$X207&lt;&gt;"",$Z207&lt;&gt;"",$AB207&lt;&gt;"",$AF207&lt;&gt;"",$AH207&lt;&gt;"",$AL207&lt;&gt;"")),TRUE,FALSE)</f>
        <v>0</v>
      </c>
      <c r="AU207" s="1761" t="b">
        <f>IF(OR(R207&lt;&gt;"",T207&lt;&gt;""),"false",IF(AND($C207&lt;&gt;"",$J207=""),TRUE,FALSE))</f>
        <v>0</v>
      </c>
      <c r="AV207" s="1761" t="b">
        <f>IF(OR(R207&lt;&gt;"",T207&lt;&gt;""),FALSE,IF(AND($C207&lt;&gt;"",$L207=""),TRUE,FALSE))</f>
        <v>0</v>
      </c>
      <c r="AW207" s="1761" t="b">
        <f>IF(OR(R207&lt;&gt;"",T207&lt;&gt;""),FALSE,IF(AND($C207&lt;&gt;"",$N207=""),TRUE,FALSE))</f>
        <v>0</v>
      </c>
      <c r="AX207" s="1761" t="b">
        <f>IF(OR(R207&lt;&gt;"",T207&lt;&gt;""),FALSE,IF(AND($C207&lt;&gt;"",$P207=""),TRUE,FALSE))</f>
        <v>0</v>
      </c>
      <c r="AY207" s="1761"/>
      <c r="AZ207" s="1761" t="b">
        <f>IF(OR(J207&lt;&gt;"",L207&lt;&gt;"",N207&lt;&gt;"",P207&lt;&gt;""),FALSE,IF(AND(C207&lt;&gt;"",R207=""),TRUE,FALSE))</f>
        <v>0</v>
      </c>
      <c r="BA207" s="1761"/>
      <c r="BB207" s="1761" t="b">
        <f>IF(OR(J207&lt;&gt;"",L207&lt;&gt;"",N207&lt;&gt;"",P207&lt;&gt;""),FALSE,IF(AND(C207&lt;&gt;"",T207=""),TRUE,FALSE))</f>
        <v>0</v>
      </c>
      <c r="BC207" s="1761" t="b">
        <f>IF(AND($C207&lt;&gt;"",$V207=""),TRUE,FALSE)</f>
        <v>0</v>
      </c>
      <c r="BD207" s="1761" t="b">
        <f ca="1">IF(AND(X207="",OR(Z207&lt;&gt;"",AB207&lt;&gt;"",AF207&lt;&gt;"",AH207&lt;&gt;"",AL207&lt;&gt;"",AD207&lt;&gt;"")),TRUE,FALSE)</f>
        <v>0</v>
      </c>
      <c r="BE207" s="1761" t="b">
        <f>IF(AND($C207&lt;&gt;"",$X207=""),TRUE,FALSE)</f>
        <v>0</v>
      </c>
      <c r="BF207" s="1761" t="b">
        <f>IF(Z207="",FALSE,IF(X207="",FALSE,IF(BG207=TRUE,FALSE,IF(OR(Z207&lt;BU207,Z207&gt;BaseYear),TRUE,FALSE))))</f>
        <v>0</v>
      </c>
      <c r="BG207" s="1761" t="b">
        <f>IF(AND($C207&lt;&gt;"",$Z207=""),TRUE,FALSE)</f>
        <v>0</v>
      </c>
      <c r="BH207" s="1761" t="b">
        <f>IF(AD207="",FALSE,IF(X207="",FALSE,IF(BJ207=TRUE,FALSE,IF(AB207&lt;BX207,TRUE,FALSE))))</f>
        <v>0</v>
      </c>
      <c r="BI207" s="1761" t="b">
        <f>IF(AD207="",FALSE,IF(X207="",FALSE,IF(BJ207=TRUE,FALSE,IF(AB207&gt;BY207,TRUE,FALSE))))</f>
        <v>0</v>
      </c>
      <c r="BJ207" s="1761" t="b">
        <f>IF(AND($C207&lt;&gt;"",$AB207=""),TRUE,FALSE)</f>
        <v>0</v>
      </c>
      <c r="BK207" s="1761" t="b">
        <f>IF(BL207=TRUE,FALSE,IF(OR(AF207&lt;0,AF207&gt;1),TRUE,FALSE))</f>
        <v>0</v>
      </c>
      <c r="BL207" s="1761" t="b">
        <f>IF(AND($C207&lt;&gt;"",$AF207=""),TRUE,FALSE)</f>
        <v>0</v>
      </c>
      <c r="BM207" s="1761"/>
      <c r="BN207" s="1761" t="b">
        <f ca="1">IF(AND($C207&lt;&gt;"",$AH207=""),TRUE,FALSE)</f>
        <v>0</v>
      </c>
      <c r="BO207" s="1761" t="b">
        <f>IF(AL207="",FALSE,IF(X207="",FALSE,IF(BP207=TRUE,FALSE,IF(OR(AL207&lt;1913,AL207&gt;BaseYear),TRUE,FALSE))))</f>
        <v>0</v>
      </c>
      <c r="BP207" s="1761" t="b">
        <f>IF(AND($C207&lt;&gt;"",$AL207=""),TRUE,FALSE)</f>
        <v>0</v>
      </c>
      <c r="BQ207" s="1761" t="b">
        <f>IF(AD207="Square Foot",FALSE,IF(AND(AD207="Parking Space",OR('A-20 PassFacInv'!X207=Valid!$B$7,'A-20 PassFacInv'!X207=Valid!$B$8,'A-20 PassFacInv'!X207=Valid!$B$9,'A-20 PassFacInv'!X207=Valid!$B$10,'A-20 PassFacInv'!X207=Valid!$B$12,'A-20 PassFacInv'!X207=Valid!$B$13,'A-20 PassFacInv'!X207=Valid!$B$14,'A-20 PassFacInv'!X207=Valid!$B$15,'A-20 PassFacInv'!X207=Valid!$B$16,'A-20 PassFacInv'!X207=Valid!$B$17,'A-20 PassFacInv'!X207=Valid!$B$18,X207=Valid!$B$19,X207=Valid!$B$20,X207=Valid!$B$21)),TRUE,FALSE))</f>
        <v>0</v>
      </c>
      <c r="BR207" s="1761" t="b">
        <f>IF(AND($C207&lt;&gt;"",$AD207=""),TRUE,FALSE)</f>
        <v>0</v>
      </c>
      <c r="BS207" s="721"/>
      <c r="BT207" s="1625" t="str">
        <f>IF($X207="","",VLOOKUP($X207,val_facilities,BT$3,FALSE))</f>
        <v/>
      </c>
      <c r="BU207" s="1627" t="str">
        <f>IF($X207="","",VLOOKUP($X207,val_facilities,BU$3,FALSE))</f>
        <v/>
      </c>
      <c r="BV207" s="1627" t="str">
        <f>IF($X207="","",VLOOKUP($X207,val_facilities,BV$3,FALSE))</f>
        <v/>
      </c>
      <c r="BW207" s="1627" t="str">
        <f ca="1">IFERROR(IF(Z207="", "", YEAR(TODAY())-Z207), "")</f>
        <v/>
      </c>
      <c r="BX207" s="845" t="str">
        <f>IF($X207="","",IF(AD207="Square Feet",VLOOKUP('A-20 PassFacInv'!X110,Valid!$B$7:$H$24,7,FALSE),IF(AD207="Parking Spaces",VLOOKUP(X207,Valid!$B$22:$L$24,11,FALSE))))</f>
        <v/>
      </c>
      <c r="BY207" s="845" t="str">
        <f>IF($X207="","",IF(AD207="Square Feet",VLOOKUP(X207,Valid!$B$7:$I$24,8,FALSE),IF('A-20 PassFacInv'!AD110="Parking Spaces",VLOOKUP('A-20 PassFacInv'!X110,Valid!$B$22:$M$24,12,FALSE))))</f>
        <v/>
      </c>
      <c r="BZ207" s="758"/>
      <c r="CA207" s="721">
        <f t="shared" si="4"/>
        <v>0</v>
      </c>
      <c r="CB207" s="816"/>
    </row>
    <row r="208" spans="1:80" s="1739" customFormat="1" ht="6.75" customHeight="1" thickBot="1" x14ac:dyDescent="0.25">
      <c r="A208" s="1638"/>
      <c r="B208" s="1746">
        <v>98.5</v>
      </c>
      <c r="C208" s="1057"/>
      <c r="D208" s="1248"/>
      <c r="E208" s="1639"/>
      <c r="F208" s="1229"/>
      <c r="G208" s="1229"/>
      <c r="H208" s="1229"/>
      <c r="I208" s="1229"/>
      <c r="J208" s="1604"/>
      <c r="K208" s="1229"/>
      <c r="L208" s="1645"/>
      <c r="M208" s="1644"/>
      <c r="N208" s="1645"/>
      <c r="O208" s="1644"/>
      <c r="P208" s="1662"/>
      <c r="Q208" s="1644"/>
      <c r="R208" s="1663"/>
      <c r="S208" s="1229"/>
      <c r="T208" s="1663"/>
      <c r="U208" s="1229"/>
      <c r="V208" s="1057"/>
      <c r="W208" s="1623"/>
      <c r="X208" s="1747"/>
      <c r="Y208" s="1623"/>
      <c r="Z208" s="1623"/>
      <c r="AA208" s="1623"/>
      <c r="AB208" s="1944"/>
      <c r="AC208" s="841"/>
      <c r="AD208" s="1057"/>
      <c r="AE208" s="841"/>
      <c r="AF208" s="841"/>
      <c r="AG208" s="841"/>
      <c r="AH208" s="722"/>
      <c r="AI208" s="841"/>
      <c r="AJ208" s="722"/>
      <c r="AK208" s="841"/>
      <c r="AL208" s="1717"/>
      <c r="AM208" s="841"/>
      <c r="AN208" s="1057"/>
      <c r="AO208" s="1644"/>
      <c r="AP208" s="1644"/>
      <c r="AQ208" s="1644"/>
      <c r="AR208" s="1644"/>
      <c r="AS208" s="1644"/>
      <c r="AT208" s="1761"/>
      <c r="AU208" s="1761"/>
      <c r="AV208" s="1761"/>
      <c r="AW208" s="1761"/>
      <c r="AX208" s="1761"/>
      <c r="AY208" s="1761"/>
      <c r="AZ208" s="1761"/>
      <c r="BA208" s="1761"/>
      <c r="BB208" s="1761"/>
      <c r="BC208" s="1762"/>
      <c r="BD208" s="1762"/>
      <c r="BE208" s="1762"/>
      <c r="BF208" s="1762"/>
      <c r="BG208" s="1762"/>
      <c r="BH208" s="1762"/>
      <c r="BI208" s="1762"/>
      <c r="BJ208" s="1762"/>
      <c r="BK208" s="1762"/>
      <c r="BL208" s="1762"/>
      <c r="BM208" s="1762"/>
      <c r="BN208" s="1762"/>
      <c r="BO208" s="1762"/>
      <c r="BP208" s="1762"/>
      <c r="BQ208" s="1763"/>
      <c r="BR208" s="1762"/>
      <c r="BS208" s="1736"/>
      <c r="BT208" s="1738"/>
      <c r="BU208" s="1738"/>
      <c r="BV208" s="1738"/>
      <c r="BW208" s="1738"/>
      <c r="BX208" s="1738"/>
      <c r="BY208" s="1738"/>
      <c r="BZ208" s="1229"/>
      <c r="CA208" s="721">
        <f t="shared" si="4"/>
        <v>0</v>
      </c>
      <c r="CB208" s="1748"/>
    </row>
    <row r="209" spans="1:80" s="1739" customFormat="1" x14ac:dyDescent="0.2">
      <c r="A209" s="840">
        <v>99</v>
      </c>
      <c r="B209" s="1746">
        <v>99</v>
      </c>
      <c r="C209" s="1740"/>
      <c r="D209" s="1248" t="str">
        <f>IF(C207="","",IF((C209=""),"Enter Facility "&amp;TEXT(A209,0)&amp;" Name, then Fill in Columns "&amp;TEXT($H$2,0)&amp;" - "&amp;TEXT($AL$2,0)&amp;"       ",""))</f>
        <v/>
      </c>
      <c r="E209" s="1245" t="str">
        <f ca="1">IF(AS209="N/A","",IF(AS209="N","No","Yes"))</f>
        <v/>
      </c>
      <c r="F209" s="758"/>
      <c r="G209" s="758"/>
      <c r="H209" s="1707"/>
      <c r="I209" s="758"/>
      <c r="J209" s="1653"/>
      <c r="K209" s="1248" t="str">
        <f ca="1">IF($E209&lt;&gt;"","Enter Street Address      ","")</f>
        <v/>
      </c>
      <c r="L209" s="1740"/>
      <c r="M209" s="1248" t="str">
        <f ca="1">IF($E209&lt;&gt;"","Enter City Name       ","")</f>
        <v/>
      </c>
      <c r="N209" s="1740"/>
      <c r="O209" s="1248" t="str">
        <f ca="1">IF($E209&lt;&gt;"","Select from Pull-Down List   ","")</f>
        <v/>
      </c>
      <c r="P209" s="1741"/>
      <c r="Q209" s="1248" t="str">
        <f ca="1">IF($E209&lt;&gt;"","Enter ZIP Code       ","")</f>
        <v/>
      </c>
      <c r="R209" s="1742"/>
      <c r="S209" s="1248" t="str">
        <f ca="1">IF(OR(N209&lt;&gt;"",P209&lt;&gt;"",J209&lt;&gt;"",L209&lt;&gt;""),"",IF($E209&lt;&gt;"","Enter Lat.      ",""))</f>
        <v/>
      </c>
      <c r="T209" s="1742"/>
      <c r="U209" s="1248" t="str">
        <f ca="1">IF(OR(N209&lt;&gt;"",P209&lt;&gt;"",J209&lt;&gt;"",L209&lt;&gt;""),"",IF($E209&lt;&gt;"","Enter Long.    ",""))</f>
        <v/>
      </c>
      <c r="V209" s="1653"/>
      <c r="W209" s="1618" t="str">
        <f ca="1">IF($E209&lt;&gt;"","Select from Pull-Down List  ","")</f>
        <v/>
      </c>
      <c r="X209" s="1653"/>
      <c r="Y209" s="1618" t="str">
        <f ca="1">IF($E209&lt;&gt;"","Select from Pull-Down List  ","")</f>
        <v/>
      </c>
      <c r="Z209" s="1743"/>
      <c r="AA209" s="1248" t="str">
        <f ca="1">IF(E209&lt;&gt;"","Year?   ","")</f>
        <v/>
      </c>
      <c r="AB209" s="1943"/>
      <c r="AC209" s="1620" t="str">
        <f ca="1">IF(E209="","",IF(X209="","Sq. Ft. or Spaces?   ",IF(OR(X209=Codes!$L$26,X209=Codes!$L$27,X209=Codes!$L$28),"Sq. Ft. or Spaces?   ",IF(OR(X209=Codes!$L$20,X209=Codes!$L$21,X209=Codes!$L$22,X209=Codes!$L$23,X209=Codes!$L$24,X209=Codes!$L$25),"Sq. Ft?     ",""))))</f>
        <v/>
      </c>
      <c r="AD209" s="1740"/>
      <c r="AE209" s="1618" t="str">
        <f ca="1">IF($E209&lt;&gt;"","Select from List     ","")</f>
        <v/>
      </c>
      <c r="AF209" s="1621"/>
      <c r="AG209" s="1618" t="str">
        <f ca="1">IF($E209&lt;&gt;"","% of Cap Resp.","")</f>
        <v/>
      </c>
      <c r="AH209" s="1801" t="str">
        <f ca="1">IF(BW209="", "", IF(BW209&gt;100, 1, VLOOKUP(BW209, Valid!$W$1:$AA$101, VLOOKUP(X209, Codes!$L$20:$N$28, 3, FALSE), FALSE)))</f>
        <v/>
      </c>
      <c r="AI209" s="1620" t="str">
        <f ca="1">IF($E209&lt;&gt;"","Estimated?  ","")</f>
        <v/>
      </c>
      <c r="AJ209" s="1654"/>
      <c r="AK209" s="1620" t="str">
        <f ca="1">IF($E209&lt;&gt;"","Condition?  ","")</f>
        <v/>
      </c>
      <c r="AL209" s="1730"/>
      <c r="AM209" s="1620" t="b">
        <f ca="1">IF(E209&lt;&gt;"","Est Date?    ")</f>
        <v>0</v>
      </c>
      <c r="AN209" s="1740"/>
      <c r="AO209" s="1248" t="str">
        <f>IF(X209="Other (describe in Notes)","Describe Facility.                                                                                                                        ","")</f>
        <v/>
      </c>
      <c r="AP209" s="1624"/>
      <c r="AQ209" s="1624" t="b">
        <f>IF(AND(C209="",C211&lt;&gt;""),TRUE,FALSE)</f>
        <v>0</v>
      </c>
      <c r="AR209" s="1624" t="str">
        <f>IF(AND(J209&lt;&gt;"",L209&lt;&gt;"",N209&lt;&gt;"",P209&lt;&gt;"",R209="",T209=""),"Y",IF(AND(J209="",L209="",N209="",P209="",R209&lt;&gt;"",T209&lt;&gt;""),"Y",IF(AND(J209&lt;&gt;"",L209&lt;&gt;"",N209&lt;&gt;"",P209&lt;&gt;"",R209&lt;&gt;"",T209&lt;&gt;""),"Y",IF(AND(J209="",L209="",N209="",P209="",R209="",T209=""),"N/A","N"))))</f>
        <v>N/A</v>
      </c>
      <c r="AS209" s="1624" t="str">
        <f ca="1">IF(AND($C209&lt;&gt;"",OR(AR209="N",$V209="",$X209="",$Z209="",$AB209="",$AF209="",$AH209="",$AL209="",AD209="")),"N",IF(AND($C209="",OR(H209&lt;&gt;"",AR209="N",$V209&lt;&gt;"",$X209&lt;&gt;"",$Z209&lt;&gt;"",$AB209&lt;&gt;"",$AF209&lt;&gt;"",$AH209&lt;&gt;"",$AL209&lt;&gt;"",AD209&lt;&gt;"")),"N",IF(AND(H209="",$C209="",AR209="N/A",$V209="",$X209="",$Z209="",$AB209="",$AF209="",$AH209="",$AL209="",AD209=""),"N/A",IF(AND($C209&lt;&gt;"",AR209="Y",$V209&lt;&gt;"",$X209&lt;&gt;"",$Z209&lt;&gt;"",$AB209&lt;&gt;"",$AF209&lt;&gt;"",$AH209&lt;&gt;"",$AL209&lt;&gt;"",AD209&lt;&gt;""),"Y","N"))))</f>
        <v>N/A</v>
      </c>
      <c r="AT209" s="1761" t="b">
        <f ca="1">IF(AND($C209="",OR($J209&lt;&gt;"",$L209&lt;&gt;"",$N209&lt;&gt;"",$P209&lt;&gt;"",$V209&lt;&gt;"",$X209&lt;&gt;"",$Z209&lt;&gt;"",$AB209&lt;&gt;"",$AF209&lt;&gt;"",$AH209&lt;&gt;"",$AL209&lt;&gt;"")),TRUE,FALSE)</f>
        <v>0</v>
      </c>
      <c r="AU209" s="1761" t="b">
        <f>IF(OR(R209&lt;&gt;"",T209&lt;&gt;""),"false",IF(AND($C209&lt;&gt;"",$J209=""),TRUE,FALSE))</f>
        <v>0</v>
      </c>
      <c r="AV209" s="1761" t="b">
        <f>IF(OR(R209&lt;&gt;"",T209&lt;&gt;""),FALSE,IF(AND($C209&lt;&gt;"",$L209=""),TRUE,FALSE))</f>
        <v>0</v>
      </c>
      <c r="AW209" s="1761" t="b">
        <f>IF(OR(R209&lt;&gt;"",T209&lt;&gt;""),FALSE,IF(AND($C209&lt;&gt;"",$N209=""),TRUE,FALSE))</f>
        <v>0</v>
      </c>
      <c r="AX209" s="1761" t="b">
        <f>IF(OR(R209&lt;&gt;"",T209&lt;&gt;""),FALSE,IF(AND($C209&lt;&gt;"",$P209=""),TRUE,FALSE))</f>
        <v>0</v>
      </c>
      <c r="AY209" s="1761"/>
      <c r="AZ209" s="1761" t="b">
        <f>IF(OR(J209&lt;&gt;"",L209&lt;&gt;"",N209&lt;&gt;"",P209&lt;&gt;""),FALSE,IF(AND(C209&lt;&gt;"",R209=""),TRUE,FALSE))</f>
        <v>0</v>
      </c>
      <c r="BA209" s="1761"/>
      <c r="BB209" s="1761" t="b">
        <f>IF(OR(J209&lt;&gt;"",L209&lt;&gt;"",N209&lt;&gt;"",P209&lt;&gt;""),FALSE,IF(AND(C209&lt;&gt;"",T209=""),TRUE,FALSE))</f>
        <v>0</v>
      </c>
      <c r="BC209" s="1761" t="b">
        <f>IF(AND($C209&lt;&gt;"",$V209=""),TRUE,FALSE)</f>
        <v>0</v>
      </c>
      <c r="BD209" s="1761" t="b">
        <f ca="1">IF(AND(X209="",OR(Z209&lt;&gt;"",AB209&lt;&gt;"",AF209&lt;&gt;"",AH209&lt;&gt;"",AL209&lt;&gt;"",AD209&lt;&gt;"")),TRUE,FALSE)</f>
        <v>0</v>
      </c>
      <c r="BE209" s="1761" t="b">
        <f>IF(AND($C209&lt;&gt;"",$X209=""),TRUE,FALSE)</f>
        <v>0</v>
      </c>
      <c r="BF209" s="1761" t="b">
        <f>IF(Z209="",FALSE,IF(X209="",FALSE,IF(BG209=TRUE,FALSE,IF(OR(Z209&lt;BU209,Z209&gt;BaseYear),TRUE,FALSE))))</f>
        <v>0</v>
      </c>
      <c r="BG209" s="1761" t="b">
        <f>IF(AND($C209&lt;&gt;"",$Z209=""),TRUE,FALSE)</f>
        <v>0</v>
      </c>
      <c r="BH209" s="1761" t="b">
        <f>IF(AD209="",FALSE,IF(X209="",FALSE,IF(BJ209=TRUE,FALSE,IF(AB209&lt;BX209,TRUE,FALSE))))</f>
        <v>0</v>
      </c>
      <c r="BI209" s="1761" t="b">
        <f>IF(AD209="",FALSE,IF(X209="",FALSE,IF(BJ209=TRUE,FALSE,IF(AB209&gt;BY209,TRUE,FALSE))))</f>
        <v>0</v>
      </c>
      <c r="BJ209" s="1761" t="b">
        <f>IF(AND($C209&lt;&gt;"",$AB209=""),TRUE,FALSE)</f>
        <v>0</v>
      </c>
      <c r="BK209" s="1761" t="b">
        <f>IF(BL209=TRUE,FALSE,IF(OR(AF209&lt;0,AF209&gt;1),TRUE,FALSE))</f>
        <v>0</v>
      </c>
      <c r="BL209" s="1761" t="b">
        <f>IF(AND($C209&lt;&gt;"",$AF209=""),TRUE,FALSE)</f>
        <v>0</v>
      </c>
      <c r="BM209" s="1761"/>
      <c r="BN209" s="1761" t="b">
        <f ca="1">IF(AND($C209&lt;&gt;"",$AH209=""),TRUE,FALSE)</f>
        <v>0</v>
      </c>
      <c r="BO209" s="1761" t="b">
        <f>IF(AL209="",FALSE,IF(X209="",FALSE,IF(BP209=TRUE,FALSE,IF(OR(AL209&lt;1913,AL209&gt;BaseYear),TRUE,FALSE))))</f>
        <v>0</v>
      </c>
      <c r="BP209" s="1761" t="b">
        <f>IF(AND($C209&lt;&gt;"",$AL209=""),TRUE,FALSE)</f>
        <v>0</v>
      </c>
      <c r="BQ209" s="1761" t="b">
        <f>IF(AD209="Square Foot",FALSE,IF(AND(AD209="Parking Space",OR('A-20 PassFacInv'!X209=Valid!$B$7,'A-20 PassFacInv'!X209=Valid!$B$8,'A-20 PassFacInv'!X209=Valid!$B$9,'A-20 PassFacInv'!X209=Valid!$B$10,'A-20 PassFacInv'!X209=Valid!$B$12,'A-20 PassFacInv'!X209=Valid!$B$13,'A-20 PassFacInv'!X209=Valid!$B$14,'A-20 PassFacInv'!X209=Valid!$B$15,'A-20 PassFacInv'!X209=Valid!$B$16,'A-20 PassFacInv'!X209=Valid!$B$17,'A-20 PassFacInv'!X209=Valid!$B$18,X209=Valid!$B$19,X209=Valid!$B$20,X209=Valid!$B$21)),TRUE,FALSE))</f>
        <v>0</v>
      </c>
      <c r="BR209" s="1761" t="b">
        <f>IF(AND($C209&lt;&gt;"",$AD209=""),TRUE,FALSE)</f>
        <v>0</v>
      </c>
      <c r="BS209" s="721"/>
      <c r="BT209" s="1625" t="str">
        <f>IF($X209="","",VLOOKUP($X209,val_facilities,BT$3,FALSE))</f>
        <v/>
      </c>
      <c r="BU209" s="1627" t="str">
        <f>IF($X209="","",VLOOKUP($X209,val_facilities,BU$3,FALSE))</f>
        <v/>
      </c>
      <c r="BV209" s="1627" t="str">
        <f>IF($X209="","",VLOOKUP($X209,val_facilities,BV$3,FALSE))</f>
        <v/>
      </c>
      <c r="BW209" s="1627" t="str">
        <f ca="1">IFERROR(IF(Z209="", "", YEAR(TODAY())-Z209), "")</f>
        <v/>
      </c>
      <c r="BX209" s="845" t="str">
        <f>IF($X209="","",IF(AD209="Square Feet",VLOOKUP('A-20 PassFacInv'!X111,Valid!$B$7:$H$24,7,FALSE),IF(AD209="Parking Spaces",VLOOKUP(X209,Valid!$B$22:$L$24,11,FALSE))))</f>
        <v/>
      </c>
      <c r="BY209" s="845" t="str">
        <f>IF($X209="","",IF(AD209="Square Feet",VLOOKUP(X209,Valid!$B$7:$I$24,8,FALSE),IF('A-20 PassFacInv'!AD111="Parking Spaces",VLOOKUP('A-20 PassFacInv'!X111,Valid!$B$22:$M$24,12,FALSE))))</f>
        <v/>
      </c>
      <c r="BZ209" s="758"/>
      <c r="CA209" s="721">
        <f t="shared" si="4"/>
        <v>0</v>
      </c>
      <c r="CB209" s="816"/>
    </row>
    <row r="210" spans="1:80" s="1739" customFormat="1" ht="6.75" customHeight="1" thickBot="1" x14ac:dyDescent="0.25">
      <c r="A210" s="1638"/>
      <c r="B210" s="1746">
        <v>99.5</v>
      </c>
      <c r="C210" s="1057"/>
      <c r="D210" s="1248"/>
      <c r="E210" s="1057"/>
      <c r="F210" s="1229"/>
      <c r="G210" s="1229"/>
      <c r="H210" s="1229"/>
      <c r="I210" s="1229"/>
      <c r="J210" s="1604"/>
      <c r="K210" s="1640"/>
      <c r="L210" s="1641"/>
      <c r="M210" s="1248"/>
      <c r="N210" s="1641"/>
      <c r="O210" s="1248"/>
      <c r="P210" s="1659"/>
      <c r="Q210" s="1248"/>
      <c r="R210" s="1660"/>
      <c r="S210" s="1640"/>
      <c r="T210" s="1660"/>
      <c r="U210" s="1640"/>
      <c r="V210" s="1057"/>
      <c r="W210" s="1618"/>
      <c r="X210" s="1747"/>
      <c r="Y210" s="1618"/>
      <c r="Z210" s="1623"/>
      <c r="AA210" s="1618"/>
      <c r="AB210" s="1944"/>
      <c r="AC210" s="1275"/>
      <c r="AD210" s="1661"/>
      <c r="AE210" s="734"/>
      <c r="AF210" s="1736"/>
      <c r="AG210" s="1275"/>
      <c r="AH210" s="722"/>
      <c r="AI210" s="1275"/>
      <c r="AJ210" s="733"/>
      <c r="AK210" s="1275"/>
      <c r="AL210" s="1721"/>
      <c r="AM210" s="1275"/>
      <c r="AN210" s="1057"/>
      <c r="AO210" s="1644"/>
      <c r="AP210" s="1644"/>
      <c r="AQ210" s="1644"/>
      <c r="AR210" s="1644"/>
      <c r="AS210" s="1644"/>
      <c r="AT210" s="1761"/>
      <c r="AU210" s="1761"/>
      <c r="AV210" s="1761"/>
      <c r="AW210" s="1761"/>
      <c r="AX210" s="1761"/>
      <c r="AY210" s="1761"/>
      <c r="AZ210" s="1761"/>
      <c r="BA210" s="1761"/>
      <c r="BB210" s="1761"/>
      <c r="BC210" s="1762"/>
      <c r="BD210" s="1762"/>
      <c r="BE210" s="1762"/>
      <c r="BF210" s="1762"/>
      <c r="BG210" s="1762"/>
      <c r="BH210" s="1762"/>
      <c r="BI210" s="1762"/>
      <c r="BJ210" s="1762"/>
      <c r="BK210" s="1762"/>
      <c r="BL210" s="1762"/>
      <c r="BM210" s="1762"/>
      <c r="BN210" s="1762"/>
      <c r="BO210" s="1762"/>
      <c r="BP210" s="1762"/>
      <c r="BQ210" s="1762"/>
      <c r="BR210" s="1762"/>
      <c r="BS210" s="1736"/>
      <c r="BT210" s="1738"/>
      <c r="BU210" s="1738"/>
      <c r="BV210" s="1738"/>
      <c r="BW210" s="1738"/>
      <c r="BX210" s="1738"/>
      <c r="BY210" s="1738"/>
      <c r="BZ210" s="1229"/>
      <c r="CA210" s="721">
        <f t="shared" si="4"/>
        <v>0</v>
      </c>
      <c r="CB210" s="1748"/>
    </row>
    <row r="211" spans="1:80" s="1739" customFormat="1" x14ac:dyDescent="0.2">
      <c r="A211" s="840">
        <v>100</v>
      </c>
      <c r="B211" s="1746">
        <v>100</v>
      </c>
      <c r="C211" s="1740"/>
      <c r="D211" s="1248" t="str">
        <f>IF(C209="","",IF((C211=""),"Enter Facility "&amp;TEXT(A211,0)&amp;" Name, then Fill in Columns "&amp;TEXT($H$2,0)&amp;" - "&amp;TEXT($AL$2,0)&amp;"       ",""))</f>
        <v/>
      </c>
      <c r="E211" s="1245" t="str">
        <f ca="1">IF(AS211="N/A","",IF(AS211="N","No","Yes"))</f>
        <v/>
      </c>
      <c r="F211" s="758"/>
      <c r="G211" s="758"/>
      <c r="H211" s="1707"/>
      <c r="I211" s="758"/>
      <c r="J211" s="1653"/>
      <c r="K211" s="1248" t="str">
        <f ca="1">IF($E211&lt;&gt;"","Enter Street Address      ","")</f>
        <v/>
      </c>
      <c r="L211" s="1740"/>
      <c r="M211" s="1248" t="str">
        <f ca="1">IF($E211&lt;&gt;"","Enter City Name       ","")</f>
        <v/>
      </c>
      <c r="N211" s="1740"/>
      <c r="O211" s="1248" t="str">
        <f ca="1">IF($E211&lt;&gt;"","Select from Pull-Down List   ","")</f>
        <v/>
      </c>
      <c r="P211" s="1741"/>
      <c r="Q211" s="1248" t="str">
        <f ca="1">IF($E211&lt;&gt;"","Enter ZIP Code       ","")</f>
        <v/>
      </c>
      <c r="R211" s="1742"/>
      <c r="S211" s="1248" t="str">
        <f ca="1">IF(OR(N211&lt;&gt;"",P211&lt;&gt;"",J211&lt;&gt;"",L211&lt;&gt;""),"",IF($E211&lt;&gt;"","Enter Lat.      ",""))</f>
        <v/>
      </c>
      <c r="T211" s="1742"/>
      <c r="U211" s="1248" t="str">
        <f ca="1">IF(OR(N211&lt;&gt;"",P211&lt;&gt;"",J211&lt;&gt;"",L211&lt;&gt;""),"",IF($E211&lt;&gt;"","Enter Long.    ",""))</f>
        <v/>
      </c>
      <c r="V211" s="1653"/>
      <c r="W211" s="1618" t="str">
        <f ca="1">IF($E211&lt;&gt;"","Select from Pull-Down List  ","")</f>
        <v/>
      </c>
      <c r="X211" s="1653"/>
      <c r="Y211" s="1618" t="str">
        <f ca="1">IF($E211&lt;&gt;"","Select from Pull-Down List  ","")</f>
        <v/>
      </c>
      <c r="Z211" s="1743"/>
      <c r="AA211" s="1248" t="str">
        <f ca="1">IF(E211&lt;&gt;"","Year?   ","")</f>
        <v/>
      </c>
      <c r="AB211" s="1943"/>
      <c r="AC211" s="1620" t="str">
        <f ca="1">IF(E211="","",IF(X211="","Sq. Ft. or Spaces?   ",IF(OR(X211=Codes!$L$26,X211=Codes!$L$27,X211=Codes!$L$28),"Sq. Ft. or Spaces?   ",IF(OR(X211=Codes!$L$20,X211=Codes!$L$21,X211=Codes!$L$22,X211=Codes!$L$23,X211=Codes!$L$24,X211=Codes!$L$25),"Sq. Ft?     ",""))))</f>
        <v/>
      </c>
      <c r="AD211" s="1740"/>
      <c r="AE211" s="1618" t="str">
        <f ca="1">IF($E211&lt;&gt;"","Select from List     ","")</f>
        <v/>
      </c>
      <c r="AF211" s="1621"/>
      <c r="AG211" s="1618" t="str">
        <f ca="1">IF($E211&lt;&gt;"","% of Cap Resp.","")</f>
        <v/>
      </c>
      <c r="AH211" s="1801" t="str">
        <f ca="1">IF(BW211="", "", IF(BW211&gt;100, 1, VLOOKUP(BW211, Valid!$W$1:$AA$101, VLOOKUP(X211, Codes!$L$20:$N$28, 3, FALSE), FALSE)))</f>
        <v/>
      </c>
      <c r="AI211" s="1620" t="str">
        <f ca="1">IF($E211&lt;&gt;"","Estimated?  ","")</f>
        <v/>
      </c>
      <c r="AJ211" s="1654"/>
      <c r="AK211" s="1620" t="str">
        <f ca="1">IF($E211&lt;&gt;"","Condition?  ","")</f>
        <v/>
      </c>
      <c r="AL211" s="1730"/>
      <c r="AM211" s="1620" t="b">
        <f ca="1">IF(E211&lt;&gt;"","Est Date?    ")</f>
        <v>0</v>
      </c>
      <c r="AN211" s="1740"/>
      <c r="AO211" s="1248" t="str">
        <f>IF(X211="Other (describe in Notes)","Describe Facility.                                                                                                                        ","")</f>
        <v/>
      </c>
      <c r="AP211" s="1624"/>
      <c r="AQ211" s="1624" t="e">
        <f>IF(AND(C211="",#REF!&lt;&gt;""),TRUE,FALSE)</f>
        <v>#REF!</v>
      </c>
      <c r="AR211" s="1624" t="str">
        <f>IF(AND(J211&lt;&gt;"",L211&lt;&gt;"",N211&lt;&gt;"",P211&lt;&gt;"",R211="",T211=""),"Y",IF(AND(J211="",L211="",N211="",P211="",R211&lt;&gt;"",T211&lt;&gt;""),"Y",IF(AND(J211&lt;&gt;"",L211&lt;&gt;"",N211&lt;&gt;"",P211&lt;&gt;"",R211&lt;&gt;"",T211&lt;&gt;""),"Y",IF(AND(J211="",L211="",N211="",P211="",R211="",T211=""),"N/A","N"))))</f>
        <v>N/A</v>
      </c>
      <c r="AS211" s="1624" t="str">
        <f ca="1">IF(AND($C211&lt;&gt;"",OR(AR211="N",$V211="",$X211="",$Z211="",$AB211="",$AF211="",$AH211="",$AL211="",AD211="")),"N",IF(AND($C211="",OR(H211&lt;&gt;"",AR211="N",$V211&lt;&gt;"",$X211&lt;&gt;"",$Z211&lt;&gt;"",$AB211&lt;&gt;"",$AF211&lt;&gt;"",$AH211&lt;&gt;"",$AL211&lt;&gt;"",AD211&lt;&gt;"")),"N",IF(AND(H211="",$C211="",AR211="N/A",$V211="",$X211="",$Z211="",$AB211="",$AF211="",$AH211="",$AL211="",AD211=""),"N/A",IF(AND($C211&lt;&gt;"",AR211="Y",$V211&lt;&gt;"",$X211&lt;&gt;"",$Z211&lt;&gt;"",$AB211&lt;&gt;"",$AF211&lt;&gt;"",$AH211&lt;&gt;"",$AL211&lt;&gt;"",AD211&lt;&gt;""),"Y","N"))))</f>
        <v>N/A</v>
      </c>
      <c r="AT211" s="1761" t="b">
        <f ca="1">IF(AND($C211="",OR($J211&lt;&gt;"",$L211&lt;&gt;"",$N211&lt;&gt;"",$P211&lt;&gt;"",$V211&lt;&gt;"",$X211&lt;&gt;"",$Z211&lt;&gt;"",$AB211&lt;&gt;"",$AF211&lt;&gt;"",$AH211&lt;&gt;"",$AL211&lt;&gt;"")),TRUE,FALSE)</f>
        <v>0</v>
      </c>
      <c r="AU211" s="1761" t="b">
        <f>IF(OR(R211&lt;&gt;"",T211&lt;&gt;""),"false",IF(AND($C211&lt;&gt;"",$J211=""),TRUE,FALSE))</f>
        <v>0</v>
      </c>
      <c r="AV211" s="1761" t="b">
        <f>IF(OR(R211&lt;&gt;"",T211&lt;&gt;""),FALSE,IF(AND($C211&lt;&gt;"",$L211=""),TRUE,FALSE))</f>
        <v>0</v>
      </c>
      <c r="AW211" s="1761" t="b">
        <f>IF(OR(R211&lt;&gt;"",T211&lt;&gt;""),FALSE,IF(AND($C211&lt;&gt;"",$N211=""),TRUE,FALSE))</f>
        <v>0</v>
      </c>
      <c r="AX211" s="1761" t="b">
        <f>IF(OR(R211&lt;&gt;"",T211&lt;&gt;""),FALSE,IF(AND($C211&lt;&gt;"",$P211=""),TRUE,FALSE))</f>
        <v>0</v>
      </c>
      <c r="AY211" s="1761"/>
      <c r="AZ211" s="1761" t="b">
        <f>IF(OR(J211&lt;&gt;"",L211&lt;&gt;"",N211&lt;&gt;"",P211&lt;&gt;""),FALSE,IF(AND(C211&lt;&gt;"",R211=""),TRUE,FALSE))</f>
        <v>0</v>
      </c>
      <c r="BA211" s="1761"/>
      <c r="BB211" s="1761" t="b">
        <f>IF(OR(J211&lt;&gt;"",L211&lt;&gt;"",N211&lt;&gt;"",P211&lt;&gt;""),FALSE,IF(AND(C211&lt;&gt;"",T211=""),TRUE,FALSE))</f>
        <v>0</v>
      </c>
      <c r="BC211" s="1761" t="b">
        <f>IF(AND($C211&lt;&gt;"",$V211=""),TRUE,FALSE)</f>
        <v>0</v>
      </c>
      <c r="BD211" s="1761" t="b">
        <f ca="1">IF(AND(X211="",OR(Z211&lt;&gt;"",AB211&lt;&gt;"",AF211&lt;&gt;"",AH211&lt;&gt;"",AL211&lt;&gt;"",AD211&lt;&gt;"")),TRUE,FALSE)</f>
        <v>0</v>
      </c>
      <c r="BE211" s="1761" t="b">
        <f>IF(AND($C211&lt;&gt;"",$X211=""),TRUE,FALSE)</f>
        <v>0</v>
      </c>
      <c r="BF211" s="1761" t="b">
        <f>IF(Z211="",FALSE,IF(X211="",FALSE,IF(BG211=TRUE,FALSE,IF(OR(Z211&lt;BU211,Z211&gt;BaseYear),TRUE,FALSE))))</f>
        <v>0</v>
      </c>
      <c r="BG211" s="1761" t="b">
        <f>IF(AND($C211&lt;&gt;"",$Z211=""),TRUE,FALSE)</f>
        <v>0</v>
      </c>
      <c r="BH211" s="1761" t="b">
        <f>IF(AD211="",FALSE,IF(X211="",FALSE,IF(BJ211=TRUE,FALSE,IF(AB211&lt;BX211,TRUE,FALSE))))</f>
        <v>0</v>
      </c>
      <c r="BI211" s="1761" t="b">
        <f>IF(AD211="",FALSE,IF(X211="",FALSE,IF(BJ211=TRUE,FALSE,IF(AB211&gt;BY211,TRUE,FALSE))))</f>
        <v>0</v>
      </c>
      <c r="BJ211" s="1761" t="b">
        <f>IF(AND($C211&lt;&gt;"",$AB211=""),TRUE,FALSE)</f>
        <v>0</v>
      </c>
      <c r="BK211" s="1761" t="b">
        <f>IF(BL211=TRUE,FALSE,IF(OR(AF211&lt;0,AF211&gt;1),TRUE,FALSE))</f>
        <v>0</v>
      </c>
      <c r="BL211" s="1761" t="b">
        <f>IF(AND($C211&lt;&gt;"",$AF211=""),TRUE,FALSE)</f>
        <v>0</v>
      </c>
      <c r="BM211" s="1761"/>
      <c r="BN211" s="1761" t="b">
        <f ca="1">IF(AND($C211&lt;&gt;"",$AH211=""),TRUE,FALSE)</f>
        <v>0</v>
      </c>
      <c r="BO211" s="1761" t="b">
        <f>IF(AL211="",FALSE,IF(X211="",FALSE,IF(BP211=TRUE,FALSE,IF(OR(AL211&lt;1913,AL211&gt;BaseYear),TRUE,FALSE))))</f>
        <v>0</v>
      </c>
      <c r="BP211" s="1761" t="b">
        <f>IF(AND($C211&lt;&gt;"",$AL211=""),TRUE,FALSE)</f>
        <v>0</v>
      </c>
      <c r="BQ211" s="1761" t="b">
        <f>IF(AD211="Square Foot",FALSE,IF(AND(AD211="Parking Space",OR('A-20 PassFacInv'!X211=Valid!$B$7,'A-20 PassFacInv'!X211=Valid!$B$8,'A-20 PassFacInv'!X211=Valid!$B$9,'A-20 PassFacInv'!X211=Valid!$B$10,'A-20 PassFacInv'!X211=Valid!$B$12,'A-20 PassFacInv'!X211=Valid!$B$13,'A-20 PassFacInv'!X211=Valid!$B$14,'A-20 PassFacInv'!X211=Valid!$B$15,'A-20 PassFacInv'!X211=Valid!$B$16,'A-20 PassFacInv'!X211=Valid!$B$17,'A-20 PassFacInv'!X211=Valid!$B$18,X211=Valid!$B$19,X211=Valid!$B$20,X211=Valid!$B$21)),TRUE,FALSE))</f>
        <v>0</v>
      </c>
      <c r="BR211" s="1761" t="b">
        <f>IF(AND($C211&lt;&gt;"",$AD211=""),TRUE,FALSE)</f>
        <v>0</v>
      </c>
      <c r="BS211" s="721"/>
      <c r="BT211" s="1625" t="str">
        <f>IF($X211="","",VLOOKUP($X211,val_facilities,BT$3,FALSE))</f>
        <v/>
      </c>
      <c r="BU211" s="1627" t="str">
        <f>IF($X211="","",VLOOKUP($X211,val_facilities,BU$3,FALSE))</f>
        <v/>
      </c>
      <c r="BV211" s="1627" t="str">
        <f>IF($X211="","",VLOOKUP($X211,val_facilities,BV$3,FALSE))</f>
        <v/>
      </c>
      <c r="BW211" s="1627" t="str">
        <f ca="1">IFERROR(IF(Z211="", "", YEAR(TODAY())-Z211), "")</f>
        <v/>
      </c>
      <c r="BX211" s="845" t="str">
        <f>IF($X211="","",IF(AD211="Square Feet",VLOOKUP('A-20 PassFacInv'!X112,Valid!$B$7:$H$24,7,FALSE),IF(AD211="Parking Spaces",VLOOKUP(X211,Valid!$B$22:$L$24,11,FALSE))))</f>
        <v/>
      </c>
      <c r="BY211" s="845" t="str">
        <f>IF($X211="","",IF(AD211="Square Feet",VLOOKUP(X211,Valid!$B$7:$I$24,8,FALSE),IF('A-20 PassFacInv'!AD112="Parking Spaces",VLOOKUP('A-20 PassFacInv'!X112,Valid!$B$22:$M$24,12,FALSE))))</f>
        <v/>
      </c>
      <c r="BZ211" s="758"/>
      <c r="CA211" s="721">
        <f t="shared" si="4"/>
        <v>0</v>
      </c>
      <c r="CB211" s="816"/>
    </row>
    <row r="212" spans="1:80" s="1739" customFormat="1" ht="6.75" customHeight="1" x14ac:dyDescent="0.2">
      <c r="A212" s="1638"/>
      <c r="B212" s="1748"/>
      <c r="C212" s="1057"/>
      <c r="D212" s="764"/>
      <c r="E212" s="1644"/>
      <c r="F212" s="1229"/>
      <c r="G212" s="1229"/>
      <c r="H212" s="1229"/>
      <c r="I212" s="1229"/>
      <c r="J212" s="1604"/>
      <c r="K212" s="1229"/>
      <c r="L212" s="1645"/>
      <c r="M212" s="1644"/>
      <c r="N212" s="1645"/>
      <c r="O212" s="1644"/>
      <c r="P212" s="1647"/>
      <c r="Q212" s="1644"/>
      <c r="R212" s="1663"/>
      <c r="S212" s="1229"/>
      <c r="T212" s="1663"/>
      <c r="U212" s="1229"/>
      <c r="V212" s="1057"/>
      <c r="W212" s="1623"/>
      <c r="X212" s="1747"/>
      <c r="Y212" s="1623"/>
      <c r="Z212" s="1623"/>
      <c r="AA212" s="1623"/>
      <c r="AB212" s="722"/>
      <c r="AC212" s="841"/>
      <c r="AD212" s="1057"/>
      <c r="AE212" s="841"/>
      <c r="AF212" s="841"/>
      <c r="AG212" s="841"/>
      <c r="AH212" s="722"/>
      <c r="AI212" s="841"/>
      <c r="AJ212" s="722"/>
      <c r="AK212" s="841"/>
      <c r="AL212" s="1717"/>
      <c r="AM212" s="841"/>
      <c r="AN212" s="1057"/>
      <c r="AO212" s="1644"/>
      <c r="AP212" s="1644"/>
      <c r="AQ212" s="1644"/>
      <c r="AR212" s="1644"/>
      <c r="AS212" s="1644"/>
      <c r="AT212" s="1761"/>
      <c r="AU212" s="1761"/>
      <c r="AV212" s="1761"/>
      <c r="AW212" s="1761"/>
      <c r="AX212" s="1761"/>
      <c r="AY212" s="1761"/>
      <c r="AZ212" s="1761"/>
      <c r="BA212" s="1761"/>
      <c r="BB212" s="1761"/>
      <c r="BC212" s="1762"/>
      <c r="BD212" s="1762"/>
      <c r="BE212" s="1762"/>
      <c r="BF212" s="1762"/>
      <c r="BG212" s="1762"/>
      <c r="BH212" s="1762"/>
      <c r="BI212" s="1762"/>
      <c r="BJ212" s="1762"/>
      <c r="BK212" s="1762"/>
      <c r="BL212" s="1762"/>
      <c r="BM212" s="1762"/>
      <c r="BN212" s="1762"/>
      <c r="BO212" s="1762"/>
      <c r="BP212" s="1762"/>
      <c r="BQ212" s="1763"/>
      <c r="BR212" s="1762"/>
      <c r="BS212" s="1736"/>
      <c r="BT212" s="1738"/>
      <c r="BU212" s="1738"/>
      <c r="BV212" s="1738"/>
      <c r="BW212" s="1738"/>
      <c r="BX212" s="1738"/>
      <c r="BY212" s="1738"/>
      <c r="BZ212" s="1229"/>
      <c r="CA212" s="721">
        <f t="shared" si="4"/>
        <v>0</v>
      </c>
      <c r="CB212" s="816"/>
    </row>
  </sheetData>
  <sheetProtection password="C82B" sheet="1" objects="1" scenarios="1" formatCells="0" formatColumns="0" formatRows="0" selectLockedCells="1" sort="0" autoFilter="0"/>
  <autoFilter ref="A11:CA212">
    <sortState ref="A12:CA212">
      <sortCondition ref="B11:B212"/>
    </sortState>
  </autoFilter>
  <mergeCells count="9">
    <mergeCell ref="BF5:BG5"/>
    <mergeCell ref="AY5:AZ5"/>
    <mergeCell ref="BA5:BB5"/>
    <mergeCell ref="BQ5:BR5"/>
    <mergeCell ref="BM5:BN5"/>
    <mergeCell ref="BO5:BP5"/>
    <mergeCell ref="BD5:BE5"/>
    <mergeCell ref="BH5:BJ5"/>
    <mergeCell ref="BK5:BL5"/>
  </mergeCells>
  <conditionalFormatting sqref="C13:C212">
    <cfRule type="expression" dxfId="761" priority="14">
      <formula>AT13</formula>
    </cfRule>
  </conditionalFormatting>
  <conditionalFormatting sqref="X13:X212">
    <cfRule type="expression" dxfId="760" priority="11">
      <formula>$BD13</formula>
    </cfRule>
  </conditionalFormatting>
  <conditionalFormatting sqref="AD13:AD212">
    <cfRule type="expression" dxfId="759" priority="10">
      <formula>$BQ13</formula>
    </cfRule>
  </conditionalFormatting>
  <conditionalFormatting sqref="Z13:Z212">
    <cfRule type="expression" dxfId="758" priority="15">
      <formula>BF13</formula>
    </cfRule>
  </conditionalFormatting>
  <conditionalFormatting sqref="C4">
    <cfRule type="expression" dxfId="757" priority="16">
      <formula>$AS$8&gt;0</formula>
    </cfRule>
  </conditionalFormatting>
  <conditionalFormatting sqref="C3">
    <cfRule type="expression" dxfId="756" priority="17">
      <formula>$AS$7&gt;0</formula>
    </cfRule>
  </conditionalFormatting>
  <conditionalFormatting sqref="AF13:AF212">
    <cfRule type="expression" dxfId="755" priority="9">
      <formula>$BK13</formula>
    </cfRule>
  </conditionalFormatting>
  <conditionalFormatting sqref="AB212 AH212 AL13:AL212">
    <cfRule type="expression" dxfId="754" priority="7">
      <formula>$BI13</formula>
    </cfRule>
    <cfRule type="expression" dxfId="753" priority="8">
      <formula>$BH13</formula>
    </cfRule>
  </conditionalFormatting>
  <conditionalFormatting sqref="E1:E1048576">
    <cfRule type="cellIs" dxfId="752" priority="12" operator="equal">
      <formula>"Yes"</formula>
    </cfRule>
    <cfRule type="cellIs" dxfId="751" priority="13" operator="equal">
      <formula>"No"</formula>
    </cfRule>
  </conditionalFormatting>
  <conditionalFormatting sqref="AJ13:AJ212">
    <cfRule type="expression" dxfId="750" priority="4">
      <formula>$BI13</formula>
    </cfRule>
    <cfRule type="expression" dxfId="749" priority="5">
      <formula>$BH13</formula>
    </cfRule>
  </conditionalFormatting>
  <conditionalFormatting sqref="AB13:AB211">
    <cfRule type="expression" dxfId="748" priority="3">
      <formula>BH13</formula>
    </cfRule>
  </conditionalFormatting>
  <conditionalFormatting sqref="AH13:AH211">
    <cfRule type="expression" dxfId="747" priority="1">
      <formula>$AY13</formula>
    </cfRule>
    <cfRule type="expression" dxfId="746" priority="2">
      <formula>$AX13</formula>
    </cfRule>
  </conditionalFormatting>
  <dataValidations count="6">
    <dataValidation type="list" allowBlank="1" showInputMessage="1" showErrorMessage="1" sqref="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formula1>parts_warranties</formula1>
    </dataValidation>
    <dataValidation type="list" allowBlank="1" showInputMessage="1" showErrorMessage="1" sqref="X13 X15 X17 X19 X21 X23 X25 X27 X29 X31 X33 X35 X37 X39 X41 X43 X45 X47 X49 X51 X53 X55 X57 X59 X61 X63 X65 X67 X69 X71 X73 X75 X77 X79 X81 X83 X85 X87 X89 X91 X93 X95 X97 X99 X101 X103 X105 X107 X109 X111 X113 X115 X117 X119 X121 X123 X125 X127 X129 X131 X133 X135 X137 X139 X141 X143 X145 X147 X149 X151 X153 X155 X157 X159 X161 X163 X165 X167 X169 X171 X173 X175 X177 X179 X181 X183 X185 X187 X189 X191 X193 X195 X197 X199 X201 X203 X205 X207 X209 X211">
      <formula1>newpassfac</formula1>
    </dataValidation>
    <dataValidation type="list" allowBlank="1" showInputMessage="1" showErrorMessage="1" sqref="V157 V211 V209 V207 V205 V201 V199 V203 V195 V193 V197 V171 V151 V149 V147 V145 V141 V139 V143 V135 V133 V131 V129 V127 V125 V121 V119 V123 V115 V113 V111 V109 V117 V107 V105 V101 V99 V103 V95 V93 V91 V97 V89 V87 V85 V81 V79 V83 V75 V73 V77 V71 V69 V67 V65 V61 V59 V63 V55 V53 V51 V49 V57 V47 V45 V41 V39 V43 V35 V33 V31 V37 V191 V189 V187 V185 V181 V179 V183 V175 V173 V29 V169 V167 V165 V161 V159 V163 V155 V153 V27 V25 V137 V21 V19 V23 V15 V177 V13 V17">
      <formula1>PrimaryModes</formula1>
    </dataValidation>
    <dataValidation type="list" allowBlank="1" showInputMessage="1" showErrorMessage="1" sqref="N153 N211 N209 N207 N205 N203 N201 N199 N197 N195 N193 N151 N149 N147 N145 N143 N141 N139 N137 N135 N133 N131 N129 N127 N125 N123 N121 N119 N117 N115 N113 N111 N109 N107 N105 N103 N101 N99 N97 N95 N93 N91 N89 N87 N85 N83 N81 N79 N77 N75 N73 N71 N69 N67 N65 N63 N61 N59 N57 N55 N53 N51 N49 N47 N45 N43 N41 N39 N37 N35 N33 N31 N191 N189 N187 N185 N183 N181 N179 N177 N175 N29 N171 N169 N167 N165 N163 N161 N159 N157 N155 N27 N25 N23 N21 N19 N17 N15 N173 N13">
      <formula1>StateCodes</formula1>
    </dataValidation>
    <dataValidation type="list" allowBlank="1" showInputMessage="1" showErrorMessage="1" sqref="AD13 AD211 AD209 AD207 AD203 AD205 AD201 AD197 AD199 AD195 AD193 AD151 AD131 AD129 AD127 AD123 AD125 AD121 AD117 AD119 AD115 AD111 AD109 AD107 AD103 AD105 AD101 AD97 AD99 AD95 AD93 AD91 AD89 AD87 AD83 AD85 AD81 AD77 AD79 AD75 AD71 AD73 AD69 AD67 AD63 AD65 AD61 AD57 AD59 AD55 AD53 AD51 AD49 AD47 AD43 AD45 AD41 AD37 AD39 AD35 AD33 AD31 AD149 AD147 AD143 AD145 AD141 AD137 AD139 AD135 AD171 AD113 AD169 AD167 AD163 AD165 AD161 AD157 AD159 AD155 AD29 AD27 AD23 AD25 AD21 AD17 AD19 AD15 AD153 AD133 AD191 AD189 AD187 AD183 AD185 AD181 AD177 AD179 AD175 AD173">
      <formula1>fac_units</formula1>
    </dataValidation>
    <dataValidation type="list" allowBlank="1" showInputMessage="1" showErrorMessage="1" sqref="AJ13 AJ15 AJ17 AJ19 AJ21 AJ23 AJ25 AJ27 AJ29 AJ31 AJ33 AJ35 AJ37 AJ39 AJ41 AJ43 AJ45 AJ47 AJ49 AJ51 AJ53 AJ55 AJ57 AJ59 AJ61 AJ63 AJ65 AJ67 AJ69 AJ71 AJ73 AJ75 AJ77 AJ79 AJ81 AJ83 AJ85 AJ87 AJ89 AJ91 AJ93 AJ95 AJ97 AJ99 AJ101 AJ103 AJ105 AJ107 AJ109 AJ111 AJ113 AJ115 AJ117 AJ119 AJ121 AJ123 AJ125 AJ127 AJ129 AJ131 AJ133 AJ135 AJ137 AJ139 AJ141 AJ143 AJ145 AJ147 AJ149 AJ151 AJ153 AJ155 AJ157 AJ159 AJ161 AJ163 AJ165 AJ167 AJ169 AJ171 AJ173 AJ175 AJ177 AJ179 AJ181 AJ183 AJ185 AJ187 AJ189 AJ191 AJ193 AJ195 AJ197 AJ199 AJ201 AJ203 AJ205 AJ207 AJ209 AJ211">
      <formula1>Condition</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BR562"/>
  <sheetViews>
    <sheetView showGridLines="0" zoomScaleNormal="100" workbookViewId="0">
      <pane xSplit="6" ySplit="11" topLeftCell="G12" activePane="bottomRight" state="frozen"/>
      <selection activeCell="C25" sqref="C25"/>
      <selection pane="topRight" activeCell="C25" sqref="C25"/>
      <selection pane="bottomLeft" activeCell="C25" sqref="C25"/>
      <selection pane="bottomRight" activeCell="C13" sqref="C13"/>
    </sheetView>
  </sheetViews>
  <sheetFormatPr defaultColWidth="9.140625" defaultRowHeight="12.75" x14ac:dyDescent="0.2"/>
  <cols>
    <col min="1" max="1" width="4.5703125" style="729" customWidth="1"/>
    <col min="2" max="2" width="2.7109375" style="1789" customWidth="1"/>
    <col min="3" max="3" width="39.28515625" style="849" bestFit="1" customWidth="1"/>
    <col min="4" max="4" width="1.42578125" style="1843" customWidth="1"/>
    <col min="5" max="5" width="9.7109375" style="685" bestFit="1" customWidth="1"/>
    <col min="6" max="7" width="1.42578125" style="729" customWidth="1"/>
    <col min="8" max="8" width="19.28515625" style="735" customWidth="1"/>
    <col min="9" max="9" width="1.42578125" style="735" customWidth="1"/>
    <col min="10" max="10" width="12.85546875" style="735" customWidth="1"/>
    <col min="11" max="11" width="1.42578125" style="735" customWidth="1"/>
    <col min="12" max="12" width="13.85546875" style="735" customWidth="1"/>
    <col min="13" max="13" width="1.42578125" style="735" customWidth="1"/>
    <col min="14" max="14" width="12.7109375" style="735" customWidth="1"/>
    <col min="15" max="15" width="1.42578125" style="735" customWidth="1"/>
    <col min="16" max="16" width="10.28515625" style="735" customWidth="1"/>
    <col min="17" max="17" width="1.42578125" style="735" customWidth="1"/>
    <col min="18" max="18" width="10.28515625" style="735" customWidth="1"/>
    <col min="19" max="19" width="1.42578125" style="735" customWidth="1"/>
    <col min="20" max="20" width="10.28515625" style="735" customWidth="1"/>
    <col min="21" max="21" width="1.42578125" style="735" customWidth="1"/>
    <col min="22" max="22" width="10.28515625" style="735" customWidth="1"/>
    <col min="23" max="23" width="1.42578125" style="735" customWidth="1"/>
    <col min="24" max="24" width="10.28515625" style="735" customWidth="1"/>
    <col min="25" max="25" width="1.42578125" style="735" customWidth="1"/>
    <col min="26" max="26" width="10.28515625" style="735" customWidth="1"/>
    <col min="27" max="27" width="1.42578125" style="735" customWidth="1"/>
    <col min="28" max="28" width="10.28515625" style="735" customWidth="1"/>
    <col min="29" max="29" width="1.42578125" style="735" customWidth="1"/>
    <col min="30" max="30" width="10.28515625" style="735" customWidth="1"/>
    <col min="31" max="31" width="1.42578125" style="735" customWidth="1"/>
    <col min="32" max="32" width="10.28515625" style="735" customWidth="1"/>
    <col min="33" max="33" width="1.42578125" style="735" customWidth="1"/>
    <col min="34" max="34" width="10.28515625" style="735" customWidth="1"/>
    <col min="35" max="35" width="1.42578125" style="729" customWidth="1"/>
    <col min="36" max="36" width="11.42578125" style="1830" customWidth="1"/>
    <col min="37" max="37" width="1.42578125" style="729" customWidth="1"/>
    <col min="38" max="38" width="9.140625" style="1830" bestFit="1" customWidth="1"/>
    <col min="39" max="39" width="1.28515625" style="729" customWidth="1"/>
    <col min="40" max="40" width="30.28515625" style="729" customWidth="1"/>
    <col min="41" max="41" width="1.28515625" style="729" customWidth="1"/>
    <col min="42" max="42" width="57.140625" style="731" customWidth="1"/>
    <col min="43" max="43" width="9.140625" style="729" hidden="1" customWidth="1"/>
    <col min="44" max="44" width="11.140625" style="729" hidden="1" customWidth="1"/>
    <col min="45" max="45" width="23.42578125" style="729" hidden="1" customWidth="1"/>
    <col min="46" max="46" width="7.5703125" style="729" hidden="1" customWidth="1"/>
    <col min="47" max="54" width="9.140625" style="729" hidden="1" customWidth="1"/>
    <col min="55" max="55" width="10.5703125" style="729" hidden="1" customWidth="1"/>
    <col min="56" max="59" width="9.140625" style="729" hidden="1" customWidth="1"/>
    <col min="60" max="63" width="7.42578125" style="729" hidden="1" customWidth="1"/>
    <col min="64" max="65" width="10.28515625" style="729" hidden="1" customWidth="1"/>
    <col min="66" max="68" width="9.140625" style="729" hidden="1" customWidth="1"/>
    <col min="69" max="69" width="1.42578125" style="729" hidden="1" customWidth="1"/>
    <col min="70" max="70" width="9.140625" style="729" hidden="1" customWidth="1"/>
    <col min="71" max="71" width="0" style="729" hidden="1" customWidth="1"/>
    <col min="72" max="16384" width="9.140625" style="729"/>
  </cols>
  <sheetData>
    <row r="1" spans="1:69" s="668" customFormat="1" ht="20.25" x14ac:dyDescent="0.3">
      <c r="A1" s="784" t="s">
        <v>2259</v>
      </c>
      <c r="B1" s="1784"/>
      <c r="C1" s="665"/>
      <c r="D1" s="1834"/>
      <c r="E1" s="665"/>
      <c r="F1" s="665"/>
      <c r="G1" s="665"/>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665"/>
      <c r="AJ1" s="1823"/>
      <c r="AK1" s="665"/>
      <c r="AL1" s="1823"/>
      <c r="AM1" s="665"/>
      <c r="AN1" s="665"/>
      <c r="AO1" s="665"/>
      <c r="AP1" s="1388"/>
      <c r="AQ1" s="665"/>
    </row>
    <row r="2" spans="1:69" s="766" customFormat="1" ht="12.75" customHeight="1" x14ac:dyDescent="0.2">
      <c r="B2" s="1785"/>
      <c r="C2" s="766" t="str">
        <f>VLOOKUP(COLUMN(),Columns,2,FALSE)</f>
        <v>c</v>
      </c>
      <c r="D2" s="859"/>
      <c r="H2" s="1873" t="str">
        <f>VLOOKUP(COLUMN(),Columns,2,FALSE)</f>
        <v>h</v>
      </c>
      <c r="I2" s="1873"/>
      <c r="J2" s="1873" t="str">
        <f>VLOOKUP(COLUMN(),Columns,2,FALSE)</f>
        <v>j</v>
      </c>
      <c r="K2" s="1873"/>
      <c r="L2" s="1873" t="str">
        <f>VLOOKUP(COLUMN(),Columns,2,FALSE)</f>
        <v>l</v>
      </c>
      <c r="M2" s="1873"/>
      <c r="N2" s="1873" t="str">
        <f>VLOOKUP(COLUMN(),Columns,2,FALSE)</f>
        <v>n</v>
      </c>
      <c r="O2" s="1873"/>
      <c r="P2" s="1873" t="str">
        <f>VLOOKUP(COLUMN(),Columns,2,FALSE)</f>
        <v>p</v>
      </c>
      <c r="Q2" s="1873"/>
      <c r="R2" s="1873" t="str">
        <f>VLOOKUP(COLUMN(),Columns,2,FALSE)</f>
        <v>r</v>
      </c>
      <c r="S2" s="1873"/>
      <c r="T2" s="1873" t="str">
        <f>VLOOKUP(COLUMN(),Columns,2,FALSE)</f>
        <v>t</v>
      </c>
      <c r="U2" s="1873"/>
      <c r="V2" s="1873" t="str">
        <f>VLOOKUP(COLUMN(),Columns,2,FALSE)</f>
        <v>v</v>
      </c>
      <c r="W2" s="1873"/>
      <c r="X2" s="1873" t="str">
        <f>VLOOKUP(COLUMN(),Columns,2,FALSE)</f>
        <v>x</v>
      </c>
      <c r="Y2" s="1873"/>
      <c r="Z2" s="1873" t="str">
        <f>VLOOKUP(COLUMN(),Columns,2,FALSE)</f>
        <v>z</v>
      </c>
      <c r="AA2" s="1873"/>
      <c r="AB2" s="1873" t="str">
        <f>VLOOKUP(COLUMN(),Columns,2,FALSE)</f>
        <v>ab</v>
      </c>
      <c r="AC2" s="1873"/>
      <c r="AD2" s="1873" t="str">
        <f>VLOOKUP(COLUMN(),Columns,2,FALSE)</f>
        <v>ad</v>
      </c>
      <c r="AE2" s="1873"/>
      <c r="AF2" s="1873" t="str">
        <f>VLOOKUP(COLUMN(),Columns,2,FALSE)</f>
        <v>af</v>
      </c>
      <c r="AG2" s="1873"/>
      <c r="AH2" s="1873" t="str">
        <f>VLOOKUP(COLUMN(),Columns,2,FALSE)</f>
        <v>ah</v>
      </c>
      <c r="AJ2" s="1803" t="str">
        <f>VLOOKUP(COLUMN(),Columns,2,FALSE)</f>
        <v>aj</v>
      </c>
      <c r="AL2" s="1803" t="str">
        <f>VLOOKUP(COLUMN(),Columns,2,FALSE)</f>
        <v>al</v>
      </c>
      <c r="AN2" s="766" t="str">
        <f>VLOOKUP(COLUMN(),Columns,2,FALSE)</f>
        <v>an</v>
      </c>
      <c r="AP2" s="1396" t="str">
        <f>VLOOKUP(COLUMN(),Columns,2,FALSE)</f>
        <v>ap</v>
      </c>
      <c r="AT2" s="1021"/>
      <c r="AU2" s="1022"/>
      <c r="AV2" s="1022"/>
      <c r="AW2" s="1021"/>
      <c r="AX2" s="1021"/>
      <c r="AY2" s="1021"/>
      <c r="AZ2" s="1021"/>
    </row>
    <row r="3" spans="1:69" s="686" customFormat="1" ht="12.75" customHeight="1" x14ac:dyDescent="0.2">
      <c r="A3" s="785"/>
      <c r="B3" s="1786"/>
      <c r="C3" s="150" t="str">
        <f>IF($AT$6&gt;0,"Check Data Values in Cols. "&amp;$H$2&amp;" to "&amp;AL2,"NO BAD DATA")</f>
        <v>NO BAD DATA</v>
      </c>
      <c r="D3" s="1835"/>
      <c r="E3" s="149"/>
      <c r="F3" s="149"/>
      <c r="G3" s="149"/>
      <c r="H3" s="1874" t="str">
        <f>IF($AV$6&gt;=1,"Too high?","")</f>
        <v/>
      </c>
      <c r="I3" s="1874"/>
      <c r="J3" s="1874"/>
      <c r="K3" s="1874"/>
      <c r="L3" s="1874" t="str">
        <f>IF(AND($AY$6&gt;=1,$AZ$6&gt;=1),"Bad Data",IF($AY$6&gt;=1,"Too Low?",IF($AZ$6&gt;=1,"Too High?","")))</f>
        <v/>
      </c>
      <c r="M3" s="1874"/>
      <c r="N3" s="1874"/>
      <c r="O3" s="1874"/>
      <c r="P3" s="1874" t="str">
        <f>IF(AND($N$17="%",$AJ$17&gt;100),"Chg. Total?",IF(AND($N$17="LF",$H$17&lt;&gt;"",$AJ$17&gt;$H$17),"Chg. Total?",""))</f>
        <v/>
      </c>
      <c r="Q3" s="1874"/>
      <c r="R3" s="1874" t="str">
        <f>IF(AND($N$17="%",$AJ$17&gt;100),"Chg. Total?",IF(AND($N$17="LF",$H$17&lt;&gt;"",$AJ$17&gt;$H$17),"Chg. Total?",""))</f>
        <v/>
      </c>
      <c r="S3" s="1874"/>
      <c r="T3" s="1874" t="str">
        <f>IF(AND($N$17="%",$AJ$17&gt;100),"Chg. Total?",IF(AND($N$17="LF",$H$17&lt;&gt;"",$AJ$17&gt;$H$17),"Chg. Total?",""))</f>
        <v/>
      </c>
      <c r="U3" s="1874"/>
      <c r="V3" s="1874" t="str">
        <f>IF(AND($N$17="%",$AJ$17&gt;100),"Chg. Total?",IF(AND($N$17="LF",$H$17&lt;&gt;"",$AJ$17&gt;$H$17),"Chg. Total?",""))</f>
        <v/>
      </c>
      <c r="W3" s="1874"/>
      <c r="X3" s="1874" t="str">
        <f>IF(AND($N$17="%",$AJ$17&gt;100),"Chg. Total?",IF(AND($N$17="LF",$H$17&lt;&gt;"",$AJ$17&gt;$H$17),"Chg. Total?",""))</f>
        <v/>
      </c>
      <c r="Y3" s="1874"/>
      <c r="Z3" s="1874" t="str">
        <f>IF(AND($N$17="%",$AJ$17&gt;100),"Chg. Total?",IF(AND($N$17="LF",$H$17&lt;&gt;"",$AJ$17&gt;$H$17),"Chg. Total?",""))</f>
        <v/>
      </c>
      <c r="AA3" s="1874"/>
      <c r="AB3" s="1874" t="str">
        <f>IF(AND($N$17="%",$AJ$17&gt;100),"Chg. Total?",IF(AND($N$17="LF",$H$17&lt;&gt;"",$AJ$17&gt;$H$17),"Chg. Total?",""))</f>
        <v/>
      </c>
      <c r="AC3" s="1874"/>
      <c r="AD3" s="1874" t="str">
        <f>IF(AND($N$17="%",$AJ$17&gt;100),"Chg. Total?",IF(AND($N$17="LF",$H$17&lt;&gt;"",$AJ$17&gt;$H$17),"Chg. Total?",""))</f>
        <v/>
      </c>
      <c r="AE3" s="1874"/>
      <c r="AF3" s="1874" t="str">
        <f>IF(AND($N$17="%",$AJ$17&gt;100),"Chg. Total?",IF(AND($N$17="LF",$H$17&lt;&gt;"",$AJ$17&gt;$H$17),"Chg. Total?",""))</f>
        <v/>
      </c>
      <c r="AG3" s="1874"/>
      <c r="AH3" s="1874" t="str">
        <f>IF(AND($N$17="%",$AJ$17&gt;100),"Chg. Total?",IF(AND($N$17="LF",$H$17&lt;&gt;"",$AJ$17&gt;$H$17),"Chg. Total?",""))</f>
        <v/>
      </c>
      <c r="AI3" s="149"/>
      <c r="AJ3" s="1804" t="str">
        <f>IF($BB$6&gt;=1,"Bad Data","")</f>
        <v/>
      </c>
      <c r="AK3" s="149"/>
      <c r="AL3" s="1804" t="str">
        <f>IF($BD$6&gt;=1,"Bad Data","")</f>
        <v/>
      </c>
      <c r="AM3" s="785"/>
      <c r="AN3" s="149" t="str">
        <f>IF($BD$6&gt;=1,"Bad Data","")</f>
        <v/>
      </c>
      <c r="AO3" s="785"/>
      <c r="AP3" s="1397"/>
      <c r="AQ3" s="785"/>
      <c r="AU3" s="787" t="s">
        <v>199</v>
      </c>
      <c r="AV3" s="788"/>
      <c r="AW3" s="788"/>
      <c r="AX3" s="788"/>
      <c r="AY3" s="788"/>
      <c r="AZ3" s="788"/>
      <c r="BA3" s="788"/>
      <c r="BB3" s="788"/>
      <c r="BC3" s="788"/>
      <c r="BD3" s="788"/>
      <c r="BE3" s="788"/>
      <c r="BF3" s="789"/>
    </row>
    <row r="4" spans="1:69" s="686" customFormat="1" ht="12.75" customHeight="1" x14ac:dyDescent="0.2">
      <c r="A4" s="785"/>
      <c r="B4" s="1786"/>
      <c r="C4" s="150" t="str">
        <f>IF($AT$7&gt;0,"Check for Missing Data in Cols. "&amp;$H$2&amp;" to "&amp;AL2,"NO MISSING DATA")</f>
        <v>NO MISSING DATA</v>
      </c>
      <c r="D4" s="1836"/>
      <c r="E4" s="767"/>
      <c r="F4" s="767"/>
      <c r="G4" s="767"/>
      <c r="H4" s="1874" t="str">
        <f>IF($AW$7&gt;=1,"Quantity?","")</f>
        <v/>
      </c>
      <c r="I4" s="1875"/>
      <c r="J4" s="1874" t="str">
        <f>IF($AX$7&gt;=1,"Quantity?","")</f>
        <v/>
      </c>
      <c r="K4" s="1875"/>
      <c r="L4" s="1874" t="str">
        <f>IF($BA$7&gt;=1,"Exp. Service Yrs.?","")</f>
        <v/>
      </c>
      <c r="M4" s="1875"/>
      <c r="N4" s="1874"/>
      <c r="O4" s="1875"/>
      <c r="P4" s="1874" t="str">
        <f>IF($BC$7&gt;=1,"Share?","")</f>
        <v/>
      </c>
      <c r="Q4" s="1875"/>
      <c r="R4" s="1874" t="str">
        <f>IF($BC$7&gt;=1,"Share?","")</f>
        <v/>
      </c>
      <c r="S4" s="1875"/>
      <c r="T4" s="1874" t="str">
        <f>IF($BC$7&gt;=1,"Share?","")</f>
        <v/>
      </c>
      <c r="U4" s="1875"/>
      <c r="V4" s="1874" t="str">
        <f>IF($BC$7&gt;=1,"Share?","")</f>
        <v/>
      </c>
      <c r="W4" s="1875"/>
      <c r="X4" s="1874" t="str">
        <f>IF($BC$7&gt;=1,"Share?","")</f>
        <v/>
      </c>
      <c r="Y4" s="1875"/>
      <c r="Z4" s="1874" t="str">
        <f>IF($BC$7&gt;=1,"Share?","")</f>
        <v/>
      </c>
      <c r="AA4" s="1875"/>
      <c r="AB4" s="1874" t="str">
        <f>IF($BC$7&gt;=1,"Share?","")</f>
        <v/>
      </c>
      <c r="AC4" s="1875"/>
      <c r="AD4" s="1874" t="str">
        <f>IF($BC$7&gt;=1,"Share?","")</f>
        <v/>
      </c>
      <c r="AE4" s="1875"/>
      <c r="AF4" s="1874" t="str">
        <f>IF($BC$7&gt;=1,"Share?","")</f>
        <v/>
      </c>
      <c r="AG4" s="1875"/>
      <c r="AH4" s="1874" t="str">
        <f>IF($BC$7&gt;=1,"Share?","")</f>
        <v/>
      </c>
      <c r="AI4" s="767"/>
      <c r="AJ4" s="1824" t="str">
        <f>IF($BC$7&gt;=1,"Share Total?","")</f>
        <v/>
      </c>
      <c r="AK4" s="767"/>
      <c r="AL4" s="1824" t="str">
        <f>IF($BE$7&gt;=1,"% Capital?","")</f>
        <v/>
      </c>
      <c r="AM4" s="785"/>
      <c r="AN4" s="767" t="str">
        <f>IF($BE$7&gt;=1,"% Capital?","")</f>
        <v/>
      </c>
      <c r="AO4" s="785"/>
      <c r="AP4" s="1397"/>
      <c r="AQ4" s="785"/>
      <c r="AU4" s="790" t="s">
        <v>142</v>
      </c>
      <c r="AV4" s="793"/>
      <c r="AW4" s="791"/>
      <c r="AX4" s="793"/>
      <c r="AY4" s="749" t="s">
        <v>283</v>
      </c>
      <c r="AZ4" s="750"/>
      <c r="BA4" s="750"/>
      <c r="BB4" s="2068" t="s">
        <v>2310</v>
      </c>
      <c r="BC4" s="2069"/>
      <c r="BD4" s="792" t="s">
        <v>284</v>
      </c>
      <c r="BE4" s="791"/>
      <c r="BF4" s="791"/>
    </row>
    <row r="5" spans="1:69" s="686" customFormat="1" ht="12.75" customHeight="1" x14ac:dyDescent="0.2">
      <c r="B5" s="1787"/>
      <c r="C5" s="1227"/>
      <c r="D5" s="1837"/>
      <c r="E5" s="1057"/>
      <c r="F5" s="1057"/>
      <c r="G5" s="1057"/>
      <c r="H5" s="1876"/>
      <c r="I5" s="1876"/>
      <c r="J5" s="1876"/>
      <c r="K5" s="1876"/>
      <c r="L5" s="1877"/>
      <c r="M5" s="1877"/>
      <c r="N5" s="1878"/>
      <c r="O5" s="1877"/>
      <c r="P5" s="1878"/>
      <c r="Q5" s="1878"/>
      <c r="R5" s="1878"/>
      <c r="S5" s="1878"/>
      <c r="T5" s="1878"/>
      <c r="U5" s="1878"/>
      <c r="V5" s="1878"/>
      <c r="W5" s="1878"/>
      <c r="X5" s="1878"/>
      <c r="Y5" s="1878"/>
      <c r="Z5" s="1878"/>
      <c r="AA5" s="1878"/>
      <c r="AB5" s="1878"/>
      <c r="AC5" s="1878"/>
      <c r="AD5" s="1878"/>
      <c r="AE5" s="1878"/>
      <c r="AF5" s="1878"/>
      <c r="AG5" s="1878"/>
      <c r="AH5" s="1878"/>
      <c r="AI5" s="1624"/>
      <c r="AJ5" s="1825"/>
      <c r="AK5" s="1624"/>
      <c r="AL5" s="1825"/>
      <c r="AN5" s="1624"/>
      <c r="AP5" s="1639"/>
      <c r="AR5" s="751"/>
      <c r="AS5" s="1259"/>
      <c r="AT5" s="1259"/>
      <c r="AU5" s="752" t="s">
        <v>55</v>
      </c>
      <c r="AV5" s="814" t="s">
        <v>2307</v>
      </c>
      <c r="AW5" s="753" t="s">
        <v>56</v>
      </c>
      <c r="AX5" s="753" t="s">
        <v>56</v>
      </c>
      <c r="AY5" s="752" t="s">
        <v>12</v>
      </c>
      <c r="AZ5" s="814" t="s">
        <v>12</v>
      </c>
      <c r="BA5" s="753" t="s">
        <v>56</v>
      </c>
      <c r="BB5" s="752" t="s">
        <v>55</v>
      </c>
      <c r="BC5" s="753" t="s">
        <v>56</v>
      </c>
      <c r="BD5" s="752" t="s">
        <v>55</v>
      </c>
      <c r="BE5" s="753" t="s">
        <v>56</v>
      </c>
      <c r="BF5" s="795" t="s">
        <v>2281</v>
      </c>
      <c r="BG5" s="782"/>
      <c r="BH5" s="794"/>
      <c r="BI5" s="794"/>
      <c r="BJ5" s="794"/>
      <c r="BK5" s="794"/>
      <c r="BL5" s="768"/>
      <c r="BM5" s="794"/>
      <c r="BN5" s="794"/>
      <c r="BO5" s="794"/>
      <c r="BP5" s="794"/>
      <c r="BQ5" s="794"/>
    </row>
    <row r="6" spans="1:69" s="773" customFormat="1" ht="12.75" customHeight="1" x14ac:dyDescent="0.2">
      <c r="A6" s="782"/>
      <c r="B6" s="1787"/>
      <c r="C6" s="721" t="str">
        <f>""</f>
        <v/>
      </c>
      <c r="D6" s="1838"/>
      <c r="E6" s="1057"/>
      <c r="F6" s="1057"/>
      <c r="G6" s="1057"/>
      <c r="H6" s="1879"/>
      <c r="I6" s="1879"/>
      <c r="J6" s="1879"/>
      <c r="K6" s="1879"/>
      <c r="L6" s="1880"/>
      <c r="M6" s="722"/>
      <c r="N6" s="1880" t="s">
        <v>2375</v>
      </c>
      <c r="O6" s="722"/>
      <c r="P6" s="1881"/>
      <c r="Q6" s="1881"/>
      <c r="R6" s="1881"/>
      <c r="S6" s="1881"/>
      <c r="T6" s="1881"/>
      <c r="U6" s="1881"/>
      <c r="V6" s="1881"/>
      <c r="W6" s="1881"/>
      <c r="X6" s="1881"/>
      <c r="Y6" s="1882"/>
      <c r="Z6" s="1882"/>
      <c r="AA6" s="1882"/>
      <c r="AB6" s="1882"/>
      <c r="AC6" s="1882"/>
      <c r="AD6" s="1882"/>
      <c r="AE6" s="1882"/>
      <c r="AF6" s="1882"/>
      <c r="AG6" s="1882"/>
      <c r="AH6" s="1882"/>
      <c r="AI6" s="873"/>
      <c r="AJ6" s="1666"/>
      <c r="AK6" s="1664"/>
      <c r="AL6" s="1666" t="s">
        <v>2187</v>
      </c>
      <c r="AM6" s="782"/>
      <c r="AN6" s="737"/>
      <c r="AO6" s="782"/>
      <c r="AP6" s="816"/>
      <c r="AQ6" s="782"/>
      <c r="AR6" s="751"/>
      <c r="AS6" s="765" t="s">
        <v>301</v>
      </c>
      <c r="AT6" s="765">
        <f>SUM(AU6:BE6)</f>
        <v>0</v>
      </c>
      <c r="AU6" s="754">
        <f>COUNTIF(AU$17:AU$1048576,"TRUE")</f>
        <v>0</v>
      </c>
      <c r="AV6" s="754">
        <f>COUNTIF(AV$17:AV$1048576,"TRUE")</f>
        <v>0</v>
      </c>
      <c r="AW6" s="755"/>
      <c r="AX6" s="755"/>
      <c r="AY6" s="1142">
        <f>COUNTIF(AY$17:AY$1048576,"TRUE")</f>
        <v>0</v>
      </c>
      <c r="AZ6" s="1142">
        <f>COUNTIF(AZ$17:AZ$1048576,"TRUE")</f>
        <v>0</v>
      </c>
      <c r="BA6" s="755"/>
      <c r="BB6" s="754">
        <f>COUNTIF(BB$17:BB$1048576,"TRUE")</f>
        <v>0</v>
      </c>
      <c r="BC6" s="755"/>
      <c r="BD6" s="754">
        <f>COUNTIF(BD$17:BD$1048576,"TRUE")</f>
        <v>0</v>
      </c>
      <c r="BE6" s="755"/>
      <c r="BF6" s="755"/>
      <c r="BG6" s="686"/>
      <c r="BH6" s="801" t="s">
        <v>300</v>
      </c>
      <c r="BI6" s="802"/>
      <c r="BJ6" s="802"/>
      <c r="BK6" s="802"/>
      <c r="BL6" s="802"/>
      <c r="BM6" s="802"/>
      <c r="BN6" s="802"/>
      <c r="BO6" s="802"/>
      <c r="BP6" s="802"/>
      <c r="BQ6" s="777"/>
    </row>
    <row r="7" spans="1:69" s="773" customFormat="1" ht="12.75" customHeight="1" x14ac:dyDescent="0.2">
      <c r="A7" s="782"/>
      <c r="B7" s="1787"/>
      <c r="C7" s="1228"/>
      <c r="D7" s="1839"/>
      <c r="E7" s="1227"/>
      <c r="F7" s="1227"/>
      <c r="G7" s="1227"/>
      <c r="H7" s="1880"/>
      <c r="I7" s="1869" t="s">
        <v>142</v>
      </c>
      <c r="J7" s="1868"/>
      <c r="K7" s="1883"/>
      <c r="L7" s="1880"/>
      <c r="M7" s="722"/>
      <c r="N7" s="1880" t="s">
        <v>2331</v>
      </c>
      <c r="O7" s="722"/>
      <c r="P7" s="2072" t="s">
        <v>2319</v>
      </c>
      <c r="Q7" s="2072"/>
      <c r="R7" s="2072"/>
      <c r="S7" s="2072"/>
      <c r="T7" s="2072"/>
      <c r="U7" s="2072"/>
      <c r="V7" s="2072"/>
      <c r="W7" s="2072"/>
      <c r="X7" s="2072"/>
      <c r="Y7" s="2072"/>
      <c r="Z7" s="2072"/>
      <c r="AA7" s="2072"/>
      <c r="AB7" s="2072"/>
      <c r="AC7" s="2072"/>
      <c r="AD7" s="2072"/>
      <c r="AE7" s="2072"/>
      <c r="AF7" s="2072"/>
      <c r="AG7" s="2072"/>
      <c r="AH7" s="2072"/>
      <c r="AI7" s="847"/>
      <c r="AJ7" s="1666" t="s">
        <v>2624</v>
      </c>
      <c r="AK7" s="1665"/>
      <c r="AL7" s="1666" t="s">
        <v>25</v>
      </c>
      <c r="AM7" s="782"/>
      <c r="AN7" s="737"/>
      <c r="AO7" s="782"/>
      <c r="AP7" s="816"/>
      <c r="AQ7" s="782"/>
      <c r="AR7" s="751"/>
      <c r="AS7" s="765" t="s">
        <v>302</v>
      </c>
      <c r="AT7" s="765">
        <f>SUM(AU7:BE7)</f>
        <v>0</v>
      </c>
      <c r="AU7" s="755"/>
      <c r="AV7" s="755"/>
      <c r="AW7" s="754">
        <f>COUNTIF(AW$17:AW$1048576,"TRUE")</f>
        <v>0</v>
      </c>
      <c r="AX7" s="754">
        <f>COUNTIF(AX$17:AX$1048576,"TRUE")</f>
        <v>0</v>
      </c>
      <c r="AY7" s="755"/>
      <c r="AZ7" s="755"/>
      <c r="BA7" s="754">
        <f>COUNTIF(BA$17:BA$1048576,"TRUE")</f>
        <v>0</v>
      </c>
      <c r="BB7" s="755"/>
      <c r="BC7" s="754">
        <f>COUNTIF(BC$17:BC$1048576,"TRUE")</f>
        <v>0</v>
      </c>
      <c r="BD7" s="755"/>
      <c r="BE7" s="754">
        <f>COUNTIF(BE$17:BE$1048576,"TRUE")</f>
        <v>0</v>
      </c>
      <c r="BF7" s="754"/>
      <c r="BG7" s="782"/>
      <c r="BH7" s="804"/>
      <c r="BI7" s="804"/>
      <c r="BJ7" s="804"/>
      <c r="BK7" s="804"/>
      <c r="BL7" s="804"/>
      <c r="BM7" s="804"/>
      <c r="BN7" s="804"/>
      <c r="BO7" s="804"/>
      <c r="BP7" s="804"/>
      <c r="BQ7" s="777"/>
    </row>
    <row r="8" spans="1:69" s="773" customFormat="1" ht="12.75" customHeight="1" x14ac:dyDescent="0.2">
      <c r="A8" s="782"/>
      <c r="B8" s="1787"/>
      <c r="C8" s="782"/>
      <c r="D8" s="1840"/>
      <c r="E8" s="736" t="s">
        <v>197</v>
      </c>
      <c r="F8" s="721"/>
      <c r="G8" s="721"/>
      <c r="H8" s="1884"/>
      <c r="I8" s="1885" t="s">
        <v>2329</v>
      </c>
      <c r="J8" s="1884"/>
      <c r="K8" s="1886"/>
      <c r="L8" s="1880" t="s">
        <v>2376</v>
      </c>
      <c r="M8" s="722"/>
      <c r="N8" s="1880" t="s">
        <v>2330</v>
      </c>
      <c r="O8" s="722"/>
      <c r="P8" s="2072" t="s">
        <v>2290</v>
      </c>
      <c r="Q8" s="2072"/>
      <c r="R8" s="2072"/>
      <c r="S8" s="2072"/>
      <c r="T8" s="2072"/>
      <c r="U8" s="2072"/>
      <c r="V8" s="2072"/>
      <c r="W8" s="2072"/>
      <c r="X8" s="2072"/>
      <c r="Y8" s="2072"/>
      <c r="Z8" s="2072"/>
      <c r="AA8" s="2072"/>
      <c r="AB8" s="2072"/>
      <c r="AC8" s="2072"/>
      <c r="AD8" s="2072"/>
      <c r="AE8" s="2072"/>
      <c r="AF8" s="2072"/>
      <c r="AG8" s="2072"/>
      <c r="AH8" s="2072"/>
      <c r="AI8" s="847"/>
      <c r="AJ8" s="1666" t="s">
        <v>2183</v>
      </c>
      <c r="AK8" s="781"/>
      <c r="AL8" s="1666" t="s">
        <v>148</v>
      </c>
      <c r="AM8" s="824"/>
      <c r="AN8" s="737"/>
      <c r="AO8" s="824"/>
      <c r="AP8" s="1398"/>
      <c r="AQ8" s="824"/>
      <c r="AR8" s="751"/>
      <c r="AS8" s="765" t="s">
        <v>305</v>
      </c>
      <c r="AT8" s="765"/>
      <c r="AU8" s="708" t="str">
        <f>IF(AU6&gt;=1,AU$10,"")</f>
        <v/>
      </c>
      <c r="AV8" s="708"/>
      <c r="AW8" s="707"/>
      <c r="AX8" s="707"/>
      <c r="AY8" s="1143" t="str">
        <f>IF(AY6&gt;=1,AY$10,"")</f>
        <v/>
      </c>
      <c r="AZ8" s="1143"/>
      <c r="BA8" s="707"/>
      <c r="BB8" s="708" t="str">
        <f>IF(BB6&gt;=1,BB$10,"")</f>
        <v/>
      </c>
      <c r="BC8" s="707"/>
      <c r="BD8" s="708" t="str">
        <f>IF(BD6&gt;=1,BD$10,"")</f>
        <v/>
      </c>
      <c r="BE8" s="707"/>
      <c r="BF8" s="707"/>
      <c r="BG8" s="782"/>
      <c r="BH8" s="810"/>
      <c r="BI8" s="810"/>
      <c r="BJ8" s="810"/>
      <c r="BK8" s="810"/>
      <c r="BL8" s="810"/>
      <c r="BM8" s="810"/>
      <c r="BN8" s="810"/>
      <c r="BO8" s="810" t="s">
        <v>139</v>
      </c>
      <c r="BP8" s="810" t="s">
        <v>139</v>
      </c>
      <c r="BQ8" s="811"/>
    </row>
    <row r="9" spans="1:69" s="773" customFormat="1" ht="12.75" customHeight="1" x14ac:dyDescent="0.2">
      <c r="A9" s="782"/>
      <c r="B9" s="1787"/>
      <c r="C9" s="258"/>
      <c r="D9" s="1840"/>
      <c r="E9" s="736" t="s">
        <v>484</v>
      </c>
      <c r="F9" s="721"/>
      <c r="G9" s="721"/>
      <c r="H9" s="1887"/>
      <c r="I9" s="1888"/>
      <c r="J9" s="1887"/>
      <c r="K9" s="1888"/>
      <c r="L9" s="1889" t="s">
        <v>2377</v>
      </c>
      <c r="M9" s="722"/>
      <c r="N9" s="1880" t="s">
        <v>2320</v>
      </c>
      <c r="O9" s="722"/>
      <c r="P9" s="2073" t="s">
        <v>2292</v>
      </c>
      <c r="Q9" s="1890"/>
      <c r="R9" s="2070" t="s">
        <v>2282</v>
      </c>
      <c r="S9" s="1890"/>
      <c r="T9" s="2070" t="s">
        <v>2283</v>
      </c>
      <c r="U9" s="1890"/>
      <c r="V9" s="2070" t="s">
        <v>2284</v>
      </c>
      <c r="W9" s="1890"/>
      <c r="X9" s="2070" t="s">
        <v>2285</v>
      </c>
      <c r="Y9" s="1890"/>
      <c r="Z9" s="2070" t="s">
        <v>2286</v>
      </c>
      <c r="AA9" s="1890"/>
      <c r="AB9" s="2070" t="s">
        <v>2287</v>
      </c>
      <c r="AC9" s="1890"/>
      <c r="AD9" s="2070" t="s">
        <v>2288</v>
      </c>
      <c r="AE9" s="1890"/>
      <c r="AF9" s="2070" t="s">
        <v>2289</v>
      </c>
      <c r="AG9" s="1890"/>
      <c r="AH9" s="2075" t="s">
        <v>2291</v>
      </c>
      <c r="AI9" s="847"/>
      <c r="AJ9" s="1666" t="str">
        <f>"Column "&amp;$H$2</f>
        <v>Column h</v>
      </c>
      <c r="AK9" s="781"/>
      <c r="AL9" s="1666" t="s">
        <v>147</v>
      </c>
      <c r="AM9" s="824"/>
      <c r="AN9" s="737" t="s">
        <v>2622</v>
      </c>
      <c r="AO9" s="824"/>
      <c r="AP9" s="1398"/>
      <c r="AQ9" s="824"/>
      <c r="AR9" s="824"/>
      <c r="AS9" s="765" t="s">
        <v>306</v>
      </c>
      <c r="AT9" s="765"/>
      <c r="AU9" s="707"/>
      <c r="AV9" s="707"/>
      <c r="AW9" s="708" t="str">
        <f>IF(AW7&gt;=1,AW$10,"")</f>
        <v/>
      </c>
      <c r="AX9" s="708"/>
      <c r="AY9" s="707"/>
      <c r="AZ9" s="707"/>
      <c r="BA9" s="708" t="str">
        <f>IF(BA7&gt;=1,BA$10,"")</f>
        <v/>
      </c>
      <c r="BB9" s="707"/>
      <c r="BC9" s="708" t="str">
        <f>IF(BC7&gt;=1,BC$10,"")</f>
        <v/>
      </c>
      <c r="BD9" s="707"/>
      <c r="BE9" s="708" t="str">
        <f>IF(BE7&gt;=1,BE$10,"")</f>
        <v/>
      </c>
      <c r="BF9" s="708"/>
      <c r="BG9" s="782"/>
      <c r="BH9" s="810" t="s">
        <v>95</v>
      </c>
      <c r="BI9" s="810" t="s">
        <v>315</v>
      </c>
      <c r="BJ9" s="810" t="s">
        <v>2322</v>
      </c>
      <c r="BK9" s="810" t="s">
        <v>2322</v>
      </c>
      <c r="BL9" s="810" t="s">
        <v>142</v>
      </c>
      <c r="BM9" s="810" t="s">
        <v>142</v>
      </c>
      <c r="BN9" s="810" t="s">
        <v>139</v>
      </c>
      <c r="BO9" s="810" t="s">
        <v>104</v>
      </c>
      <c r="BP9" s="810" t="s">
        <v>104</v>
      </c>
      <c r="BQ9" s="809"/>
    </row>
    <row r="10" spans="1:69" s="773" customFormat="1" ht="12.75" customHeight="1" x14ac:dyDescent="0.2">
      <c r="A10" s="1668" t="s">
        <v>196</v>
      </c>
      <c r="B10" s="1787"/>
      <c r="C10" s="736" t="s">
        <v>2317</v>
      </c>
      <c r="D10" s="1839"/>
      <c r="E10" s="736" t="s">
        <v>485</v>
      </c>
      <c r="F10" s="1228"/>
      <c r="G10" s="1228"/>
      <c r="H10" s="1891" t="s">
        <v>2274</v>
      </c>
      <c r="I10" s="1888"/>
      <c r="J10" s="1891" t="s">
        <v>1149</v>
      </c>
      <c r="K10" s="1892"/>
      <c r="L10" s="1880" t="s">
        <v>2378</v>
      </c>
      <c r="M10" s="722"/>
      <c r="N10" s="1889" t="s">
        <v>2321</v>
      </c>
      <c r="O10" s="722"/>
      <c r="P10" s="2074"/>
      <c r="Q10" s="1893"/>
      <c r="R10" s="2071"/>
      <c r="S10" s="1893"/>
      <c r="T10" s="2071"/>
      <c r="U10" s="1893"/>
      <c r="V10" s="2071"/>
      <c r="W10" s="1893"/>
      <c r="X10" s="2071"/>
      <c r="Y10" s="1893"/>
      <c r="Z10" s="2071"/>
      <c r="AA10" s="1893"/>
      <c r="AB10" s="2071"/>
      <c r="AC10" s="1893"/>
      <c r="AD10" s="2071"/>
      <c r="AE10" s="1893"/>
      <c r="AF10" s="2071"/>
      <c r="AG10" s="1893"/>
      <c r="AH10" s="2076"/>
      <c r="AI10" s="847"/>
      <c r="AJ10" s="1666" t="s">
        <v>538</v>
      </c>
      <c r="AK10" s="781"/>
      <c r="AL10" s="1666" t="s">
        <v>146</v>
      </c>
      <c r="AM10" s="824"/>
      <c r="AN10" s="737" t="s">
        <v>2619</v>
      </c>
      <c r="AO10" s="824"/>
      <c r="AP10" s="1244" t="s">
        <v>140</v>
      </c>
      <c r="AQ10" s="824"/>
      <c r="AR10" s="824"/>
      <c r="AS10" s="758"/>
      <c r="AT10" s="758"/>
      <c r="AU10" s="757" t="str">
        <f>H2</f>
        <v>h</v>
      </c>
      <c r="AV10" s="757"/>
      <c r="AW10" s="757" t="str">
        <f>+AU10</f>
        <v>h</v>
      </c>
      <c r="AX10" s="757"/>
      <c r="AY10" s="757" t="str">
        <f>L2</f>
        <v>l</v>
      </c>
      <c r="AZ10" s="757" t="s">
        <v>189</v>
      </c>
      <c r="BA10" s="757" t="str">
        <f>+AY10</f>
        <v>l</v>
      </c>
      <c r="BB10" s="757" t="str">
        <f>AJ2</f>
        <v>aj</v>
      </c>
      <c r="BC10" s="757" t="str">
        <f>+BB10</f>
        <v>aj</v>
      </c>
      <c r="BD10" s="757" t="str">
        <f>AL2</f>
        <v>al</v>
      </c>
      <c r="BE10" s="757" t="str">
        <f>+BD10</f>
        <v>al</v>
      </c>
      <c r="BF10" s="757"/>
      <c r="BG10" s="782"/>
      <c r="BH10" s="810" t="s">
        <v>39</v>
      </c>
      <c r="BI10" s="810" t="s">
        <v>2322</v>
      </c>
      <c r="BJ10" s="810" t="s">
        <v>2637</v>
      </c>
      <c r="BK10" s="810" t="s">
        <v>2638</v>
      </c>
      <c r="BL10" s="810" t="s">
        <v>60</v>
      </c>
      <c r="BM10" s="810" t="s">
        <v>61</v>
      </c>
      <c r="BN10" s="810" t="s">
        <v>104</v>
      </c>
      <c r="BO10" s="810" t="s">
        <v>60</v>
      </c>
      <c r="BP10" s="810" t="s">
        <v>61</v>
      </c>
      <c r="BQ10" s="809"/>
    </row>
    <row r="11" spans="1:69" s="782" customFormat="1" ht="9.75" customHeight="1" x14ac:dyDescent="0.2">
      <c r="A11" s="816"/>
      <c r="B11" s="1787"/>
      <c r="C11" s="817"/>
      <c r="D11" s="1839"/>
      <c r="F11" s="258"/>
      <c r="G11" s="258"/>
      <c r="H11" s="1888"/>
      <c r="I11" s="1888"/>
      <c r="J11" s="1892"/>
      <c r="K11" s="1892"/>
      <c r="L11" s="1892"/>
      <c r="M11" s="722"/>
      <c r="N11" s="722"/>
      <c r="O11" s="722"/>
      <c r="P11" s="1894"/>
      <c r="Q11" s="1894"/>
      <c r="R11" s="1894"/>
      <c r="S11" s="1894"/>
      <c r="T11" s="1894"/>
      <c r="U11" s="1894"/>
      <c r="V11" s="1894"/>
      <c r="W11" s="1894"/>
      <c r="X11" s="1894"/>
      <c r="Y11" s="1894"/>
      <c r="Z11" s="1894"/>
      <c r="AA11" s="1894"/>
      <c r="AB11" s="1894"/>
      <c r="AC11" s="1894"/>
      <c r="AD11" s="1894"/>
      <c r="AE11" s="1894"/>
      <c r="AF11" s="1894"/>
      <c r="AG11" s="1894"/>
      <c r="AH11" s="1894"/>
      <c r="AI11" s="821"/>
      <c r="AJ11" s="1826"/>
      <c r="AK11" s="781"/>
      <c r="AL11" s="1831"/>
      <c r="AM11" s="824"/>
      <c r="AN11" s="822"/>
      <c r="AO11" s="824"/>
      <c r="AP11" s="1398"/>
      <c r="AQ11" s="824"/>
      <c r="AR11" s="824"/>
      <c r="AU11" s="826"/>
      <c r="AV11" s="826"/>
      <c r="AW11" s="826"/>
      <c r="AX11" s="826"/>
      <c r="AY11" s="1144"/>
      <c r="AZ11" s="1144"/>
      <c r="BA11" s="826"/>
      <c r="BB11" s="826"/>
      <c r="BC11" s="826"/>
      <c r="BD11" s="826"/>
      <c r="BE11" s="826"/>
      <c r="BF11" s="826"/>
      <c r="BG11" s="760"/>
      <c r="BH11" s="825"/>
      <c r="BI11" s="825"/>
      <c r="BJ11" s="825"/>
      <c r="BK11" s="825"/>
      <c r="BL11" s="825"/>
      <c r="BM11" s="825"/>
      <c r="BN11" s="825"/>
      <c r="BO11" s="825"/>
      <c r="BP11" s="825"/>
      <c r="BQ11" s="824"/>
    </row>
    <row r="12" spans="1:69" s="782" customFormat="1" ht="6.75" customHeight="1" x14ac:dyDescent="0.2">
      <c r="A12" s="816"/>
      <c r="B12" s="1790">
        <v>1</v>
      </c>
      <c r="C12" s="817"/>
      <c r="D12" s="1839"/>
      <c r="F12" s="1237"/>
      <c r="G12" s="1237"/>
      <c r="H12" s="1888"/>
      <c r="I12" s="1888"/>
      <c r="J12" s="1892"/>
      <c r="K12" s="1892"/>
      <c r="L12" s="1892"/>
      <c r="M12" s="722"/>
      <c r="N12" s="722"/>
      <c r="O12" s="722"/>
      <c r="P12" s="1894"/>
      <c r="Q12" s="1894"/>
      <c r="R12" s="1894"/>
      <c r="S12" s="1894"/>
      <c r="T12" s="1894"/>
      <c r="U12" s="1894"/>
      <c r="V12" s="1894"/>
      <c r="W12" s="1894"/>
      <c r="X12" s="1894"/>
      <c r="Y12" s="1894"/>
      <c r="Z12" s="1894"/>
      <c r="AA12" s="1894"/>
      <c r="AB12" s="1894"/>
      <c r="AC12" s="1894"/>
      <c r="AD12" s="1894"/>
      <c r="AE12" s="1894"/>
      <c r="AF12" s="1894"/>
      <c r="AG12" s="1894"/>
      <c r="AH12" s="1894"/>
      <c r="AI12" s="821"/>
      <c r="AJ12" s="1826"/>
      <c r="AK12" s="781"/>
      <c r="AL12" s="1831"/>
      <c r="AM12" s="824"/>
      <c r="AN12" s="822"/>
      <c r="AO12" s="824"/>
      <c r="AP12" s="1398"/>
      <c r="AQ12" s="824"/>
      <c r="AR12" s="824"/>
      <c r="AU12" s="759"/>
      <c r="AV12" s="759"/>
      <c r="AW12" s="759"/>
      <c r="AX12" s="759"/>
      <c r="AY12" s="759"/>
      <c r="AZ12" s="759"/>
      <c r="BA12" s="759"/>
      <c r="BB12" s="759"/>
      <c r="BC12" s="759"/>
      <c r="BD12" s="759"/>
      <c r="BE12" s="759"/>
      <c r="BF12" s="759"/>
      <c r="BG12" s="760"/>
      <c r="BH12" s="827"/>
      <c r="BI12" s="827"/>
      <c r="BJ12" s="827"/>
      <c r="BK12" s="827"/>
      <c r="BL12" s="827"/>
      <c r="BM12" s="827"/>
      <c r="BN12" s="827"/>
      <c r="BO12" s="827"/>
      <c r="BP12" s="827"/>
      <c r="BQ12" s="824"/>
    </row>
    <row r="13" spans="1:69" s="782" customFormat="1" ht="15.75" x14ac:dyDescent="0.2">
      <c r="A13" s="1712" t="s">
        <v>2621</v>
      </c>
      <c r="B13" s="1791">
        <v>2</v>
      </c>
      <c r="C13" s="1669"/>
      <c r="D13" s="1248" t="str">
        <f>IF($C13="","Select Mode from Pull-Down List                    ","")</f>
        <v xml:space="preserve">Select Mode from Pull-Down List                    </v>
      </c>
      <c r="E13" s="1277" t="str">
        <f>IF(AND(C13="",OR(H43&lt;&gt;0,J43&lt;&gt;0,H46&lt;&gt;0)),"&lt;&lt; Insert Rail Mode","")</f>
        <v/>
      </c>
      <c r="F13" s="736"/>
      <c r="G13" s="736"/>
      <c r="H13" s="1895"/>
      <c r="I13" s="1896"/>
      <c r="J13" s="1897"/>
      <c r="K13" s="1897"/>
      <c r="L13" s="1898"/>
      <c r="M13" s="1896"/>
      <c r="N13" s="1896"/>
      <c r="O13" s="1896"/>
      <c r="P13" s="1898"/>
      <c r="Q13" s="1896"/>
      <c r="R13" s="1898"/>
      <c r="S13" s="1896"/>
      <c r="T13" s="1898"/>
      <c r="U13" s="1896"/>
      <c r="V13" s="1898"/>
      <c r="W13" s="1896"/>
      <c r="X13" s="1898"/>
      <c r="Y13" s="1896"/>
      <c r="Z13" s="1896"/>
      <c r="AA13" s="1896"/>
      <c r="AB13" s="1896"/>
      <c r="AC13" s="1896"/>
      <c r="AD13" s="1896"/>
      <c r="AE13" s="1896"/>
      <c r="AF13" s="1896"/>
      <c r="AG13" s="1896"/>
      <c r="AH13" s="1896"/>
      <c r="AI13" s="1254"/>
      <c r="AJ13" s="1827"/>
      <c r="AK13" s="1254"/>
      <c r="AL13" s="1827"/>
      <c r="AM13" s="832"/>
      <c r="AN13" s="1254"/>
      <c r="AO13" s="832"/>
      <c r="AP13" s="1399"/>
      <c r="AQ13" s="832"/>
      <c r="AR13" s="832"/>
      <c r="AS13" s="758"/>
      <c r="AT13" s="758" t="b">
        <f>IF(OR(E13&lt;&gt;"",E69="Complete Previous Section First"),TRUE,FALSE)</f>
        <v>0</v>
      </c>
      <c r="AU13" s="763"/>
      <c r="AV13" s="763"/>
      <c r="AW13" s="763"/>
      <c r="AX13" s="763"/>
      <c r="AY13" s="763"/>
      <c r="AZ13" s="763"/>
      <c r="BA13" s="763"/>
      <c r="BB13" s="763"/>
      <c r="BC13" s="763"/>
      <c r="BD13" s="763"/>
      <c r="BE13" s="763"/>
      <c r="BF13" s="759"/>
      <c r="BG13" s="760"/>
      <c r="BH13" s="833"/>
      <c r="BI13" s="833"/>
      <c r="BJ13" s="833"/>
      <c r="BK13" s="833"/>
      <c r="BL13" s="833"/>
      <c r="BM13" s="833"/>
      <c r="BN13" s="833"/>
      <c r="BO13" s="833"/>
      <c r="BP13" s="833"/>
      <c r="BQ13" s="832"/>
    </row>
    <row r="14" spans="1:69" s="782" customFormat="1" ht="3.95" customHeight="1" x14ac:dyDescent="0.2">
      <c r="A14" s="721"/>
      <c r="B14" s="1791">
        <v>3</v>
      </c>
      <c r="C14" s="828"/>
      <c r="D14" s="1841"/>
      <c r="E14" s="281"/>
      <c r="F14" s="281"/>
      <c r="G14" s="281"/>
      <c r="H14" s="1899"/>
      <c r="I14" s="1899"/>
      <c r="J14" s="1899"/>
      <c r="K14" s="1899"/>
      <c r="L14" s="722"/>
      <c r="M14" s="722"/>
      <c r="N14" s="722"/>
      <c r="O14" s="722"/>
      <c r="P14" s="1900"/>
      <c r="Q14" s="1901"/>
      <c r="R14" s="1900"/>
      <c r="S14" s="1901"/>
      <c r="T14" s="1900"/>
      <c r="U14" s="1901"/>
      <c r="V14" s="1900"/>
      <c r="W14" s="1901"/>
      <c r="X14" s="1900"/>
      <c r="Y14" s="1902"/>
      <c r="Z14" s="1902"/>
      <c r="AA14" s="1902"/>
      <c r="AB14" s="1902"/>
      <c r="AC14" s="1902"/>
      <c r="AD14" s="1902"/>
      <c r="AE14" s="1902"/>
      <c r="AF14" s="1902"/>
      <c r="AG14" s="1902"/>
      <c r="AH14" s="1902"/>
      <c r="AI14" s="831"/>
      <c r="AJ14" s="1828"/>
      <c r="AK14" s="724"/>
      <c r="AL14" s="1806"/>
      <c r="AM14" s="832"/>
      <c r="AN14" s="724"/>
      <c r="AO14" s="832"/>
      <c r="AP14" s="1399"/>
      <c r="AQ14" s="832"/>
      <c r="AR14" s="832"/>
      <c r="AS14" s="824"/>
      <c r="AT14" s="824"/>
      <c r="AU14" s="759"/>
      <c r="AV14" s="759"/>
      <c r="AW14" s="759"/>
      <c r="AX14" s="759"/>
      <c r="AY14" s="759"/>
      <c r="AZ14" s="759"/>
      <c r="BA14" s="759"/>
      <c r="BB14" s="759"/>
      <c r="BC14" s="759"/>
      <c r="BD14" s="759"/>
      <c r="BE14" s="759"/>
      <c r="BF14" s="759"/>
      <c r="BG14" s="760"/>
      <c r="BH14" s="833"/>
      <c r="BI14" s="833"/>
      <c r="BJ14" s="833"/>
      <c r="BK14" s="833"/>
      <c r="BL14" s="833"/>
      <c r="BM14" s="833"/>
      <c r="BN14" s="833"/>
      <c r="BO14" s="833"/>
      <c r="BP14" s="833"/>
      <c r="BQ14" s="832"/>
    </row>
    <row r="15" spans="1:69" s="782" customFormat="1" ht="3.95" customHeight="1" x14ac:dyDescent="0.2">
      <c r="A15" s="721"/>
      <c r="B15" s="1791"/>
      <c r="C15" s="828"/>
      <c r="D15" s="1841"/>
      <c r="E15" s="281"/>
      <c r="F15" s="281"/>
      <c r="G15" s="281"/>
      <c r="H15" s="1899"/>
      <c r="I15" s="1899"/>
      <c r="J15" s="1899"/>
      <c r="K15" s="1899"/>
      <c r="L15" s="722"/>
      <c r="M15" s="722"/>
      <c r="N15" s="722"/>
      <c r="O15" s="722"/>
      <c r="P15" s="1900"/>
      <c r="Q15" s="1901"/>
      <c r="R15" s="1900"/>
      <c r="S15" s="1901"/>
      <c r="T15" s="1900"/>
      <c r="U15" s="1901"/>
      <c r="V15" s="1900"/>
      <c r="W15" s="1901"/>
      <c r="X15" s="1900"/>
      <c r="Y15" s="1902"/>
      <c r="Z15" s="1902"/>
      <c r="AA15" s="1902"/>
      <c r="AB15" s="1902"/>
      <c r="AC15" s="1902"/>
      <c r="AD15" s="1902"/>
      <c r="AE15" s="1902"/>
      <c r="AF15" s="1902"/>
      <c r="AG15" s="1902"/>
      <c r="AH15" s="1902"/>
      <c r="AI15" s="831"/>
      <c r="AJ15" s="1828"/>
      <c r="AK15" s="724"/>
      <c r="AL15" s="1806"/>
      <c r="AM15" s="832"/>
      <c r="AN15" s="724"/>
      <c r="AO15" s="832"/>
      <c r="AP15" s="1399"/>
      <c r="AQ15" s="832"/>
      <c r="AR15" s="832"/>
      <c r="AS15" s="824"/>
      <c r="AT15" s="824"/>
      <c r="AU15" s="759"/>
      <c r="AV15" s="759"/>
      <c r="AW15" s="759"/>
      <c r="AX15" s="759"/>
      <c r="AY15" s="759"/>
      <c r="AZ15" s="759"/>
      <c r="BA15" s="759"/>
      <c r="BB15" s="759"/>
      <c r="BC15" s="759"/>
      <c r="BD15" s="759"/>
      <c r="BE15" s="759"/>
      <c r="BF15" s="759"/>
      <c r="BG15" s="760"/>
      <c r="BH15" s="833"/>
      <c r="BI15" s="833"/>
      <c r="BJ15" s="833"/>
      <c r="BK15" s="833"/>
      <c r="BL15" s="833"/>
      <c r="BM15" s="833"/>
      <c r="BN15" s="833"/>
      <c r="BO15" s="833"/>
      <c r="BP15" s="833"/>
      <c r="BQ15" s="832"/>
    </row>
    <row r="16" spans="1:69" s="782" customFormat="1" ht="26.25" thickBot="1" x14ac:dyDescent="0.25">
      <c r="A16" s="1712" t="s">
        <v>2621</v>
      </c>
      <c r="B16" s="1791">
        <v>4</v>
      </c>
      <c r="C16" s="844" t="str">
        <f>IF(C13="","Guideway (Excludes Track)",VLOOKUP(C13,Codes!$C$156:$D$174,2)&amp;" Guideway (Excludes Track)")</f>
        <v>Guideway (Excludes Track)</v>
      </c>
      <c r="D16" s="1841"/>
      <c r="F16" s="764"/>
      <c r="G16" s="764"/>
      <c r="H16" s="1903" t="str">
        <f>H$10</f>
        <v>Linear Feet</v>
      </c>
      <c r="I16" s="1899"/>
      <c r="J16" s="1903" t="str">
        <f>J$10</f>
        <v>Track Feet</v>
      </c>
      <c r="K16" s="1899"/>
      <c r="L16" s="722"/>
      <c r="M16" s="722"/>
      <c r="N16" s="722"/>
      <c r="O16" s="722"/>
      <c r="P16" s="1903" t="str">
        <f>P$9</f>
        <v>Pre-1920</v>
      </c>
      <c r="Q16" s="1869"/>
      <c r="R16" s="1903" t="str">
        <f>R$9</f>
        <v>1920-
1929</v>
      </c>
      <c r="S16" s="1869"/>
      <c r="T16" s="1903" t="str">
        <f>T$9</f>
        <v>1930-
1939</v>
      </c>
      <c r="U16" s="1869"/>
      <c r="V16" s="1903" t="str">
        <f>V$9</f>
        <v>1940-
1949</v>
      </c>
      <c r="W16" s="1869"/>
      <c r="X16" s="1903" t="str">
        <f>X$9</f>
        <v>1950-
1959</v>
      </c>
      <c r="Y16" s="1868"/>
      <c r="Z16" s="1903" t="str">
        <f>Z$9</f>
        <v>1960-
1969</v>
      </c>
      <c r="AA16" s="1868"/>
      <c r="AB16" s="1903" t="str">
        <f>AB$9</f>
        <v>1970-
1979</v>
      </c>
      <c r="AC16" s="1868"/>
      <c r="AD16" s="1903" t="str">
        <f>AD$9</f>
        <v>1980-
1989</v>
      </c>
      <c r="AE16" s="1868"/>
      <c r="AF16" s="1903" t="str">
        <f>AF$9</f>
        <v>1990-
1999</v>
      </c>
      <c r="AG16" s="1868"/>
      <c r="AH16" s="1903" t="str">
        <f>AH$9</f>
        <v>2000-
present</v>
      </c>
      <c r="AI16" s="831"/>
      <c r="AJ16" s="1828"/>
      <c r="AK16" s="724"/>
      <c r="AL16" s="1806"/>
      <c r="AM16" s="832"/>
      <c r="AN16" s="724"/>
      <c r="AO16" s="832"/>
      <c r="AP16" s="1399"/>
      <c r="AQ16" s="832"/>
      <c r="AR16" s="832"/>
      <c r="AS16" s="832"/>
      <c r="AT16" s="832"/>
      <c r="AU16" s="759"/>
      <c r="AV16" s="759"/>
      <c r="AW16" s="759"/>
      <c r="AX16" s="759"/>
      <c r="AY16" s="759"/>
      <c r="AZ16" s="759"/>
      <c r="BA16" s="759"/>
      <c r="BB16" s="759"/>
      <c r="BC16" s="759"/>
      <c r="BD16" s="759"/>
      <c r="BE16" s="759"/>
      <c r="BF16" s="759"/>
      <c r="BG16" s="760"/>
      <c r="BH16" s="833"/>
      <c r="BI16" s="833"/>
      <c r="BJ16" s="833"/>
      <c r="BK16" s="833"/>
      <c r="BL16" s="833"/>
      <c r="BM16" s="833"/>
      <c r="BN16" s="833"/>
      <c r="BO16" s="833"/>
      <c r="BP16" s="833"/>
      <c r="BQ16" s="832"/>
    </row>
    <row r="17" spans="1:69" s="782" customFormat="1" x14ac:dyDescent="0.2">
      <c r="A17" s="852">
        <v>1</v>
      </c>
      <c r="B17" s="1790">
        <v>5</v>
      </c>
      <c r="C17" s="851" t="str">
        <f>Valid!$B$71</f>
        <v>At-Grade/Ballast (including expressway)</v>
      </c>
      <c r="D17" s="1841"/>
      <c r="E17" s="1245" t="str">
        <f>IF(AT17="N/A","",AT17)</f>
        <v/>
      </c>
      <c r="F17" s="764"/>
      <c r="G17" s="764"/>
      <c r="H17" s="1864"/>
      <c r="I17" s="1904" t="str">
        <f>IF(C13="","",IF(J17&lt;&gt;"","Linear Feet   ","Qty? Enter Zero if N/A  "))</f>
        <v/>
      </c>
      <c r="J17" s="1864"/>
      <c r="K17" s="1904" t="str">
        <f>IF(E17="yes","",IF(C13="","",IF(H17="","Qty? Enter Zero if N/A  ",IF(H17&lt;&gt;"","Track Feet      ",""))))</f>
        <v/>
      </c>
      <c r="L17" s="1864"/>
      <c r="M17" s="1620" t="str">
        <f>IF($H17=0,"",IF($L17="",TEXT(BN17,0)&amp;" Years?    ",""))</f>
        <v/>
      </c>
      <c r="N17" s="1905"/>
      <c r="O17" s="1620"/>
      <c r="P17" s="1864"/>
      <c r="Q17" s="1865" t="str">
        <f>IF(OR($N17="",$H17=0, P17&lt;&gt;""),"", IF($BK17&lt;&gt;0, "0 - ", "")&amp;IF($N17="%", TEXT($BK17, "0%"), IF($BK17&lt;1000, TEXT($BK17, "#,##0"), TEXT($BK17/1000, "#,##0")&amp;"k")&amp;" ft.")&amp;"?  ")</f>
        <v/>
      </c>
      <c r="R17" s="1864"/>
      <c r="S17" s="1865" t="str">
        <f>IF(OR($N17="",$H17=0, R17&lt;&gt;""),"", IF($BK17&lt;&gt;0, "0 - ", "")&amp;IF($N17="%", TEXT($BK17, "0%"), IF($BK17&lt;1000, TEXT($BK17, "#,##0"), TEXT($BK17/1000, "#,##0")&amp;"k")&amp;" ft.")&amp;"?  ")</f>
        <v/>
      </c>
      <c r="T17" s="1864"/>
      <c r="U17" s="1865" t="str">
        <f>IF(OR($N17="",$H17=0, T17&lt;&gt;""),"", IF($BK17&lt;&gt;0, "0 - ", "")&amp;IF($N17="%", TEXT($BK17, "0%"), IF($BK17&lt;1000, TEXT($BK17, "#,##0"), TEXT($BK17/1000, "#,##0")&amp;"k")&amp;" ft.")&amp;"?  ")</f>
        <v/>
      </c>
      <c r="V17" s="1864"/>
      <c r="W17" s="1865" t="str">
        <f>IF(OR($N17="",$H17=0, V17&lt;&gt;""),"", IF($BK17&lt;&gt;0, "0 - ", "")&amp;IF($N17="%", TEXT($BK17, "0%"), IF($BK17&lt;1000, TEXT($BK17, "#,##0"), TEXT($BK17/1000, "#,##0")&amp;"k")&amp;" ft.")&amp;"?  ")</f>
        <v/>
      </c>
      <c r="X17" s="1864"/>
      <c r="Y17" s="1865" t="str">
        <f>IF(OR($N17="",$H17=0, X17&lt;&gt;""),"", IF($BK17&lt;&gt;0, "0 - ", "")&amp;IF($N17="%", TEXT($BK17, "0%"), IF($BK17&lt;1000, TEXT($BK17, "#,##0"), TEXT($BK17/1000, "#,##0")&amp;"k")&amp;" ft.")&amp;"?  ")</f>
        <v/>
      </c>
      <c r="Z17" s="1864"/>
      <c r="AA17" s="1865" t="str">
        <f>IF(OR($N17="",$H17=0, Z17&lt;&gt;""),"", IF($BK17&lt;&gt;0, "0 - ", "")&amp;IF($N17="%", TEXT($BK17, "0%"), IF($BK17&lt;1000, TEXT($BK17, "#,##0"), TEXT($BK17/1000, "#,##0")&amp;"k")&amp;" ft.")&amp;"?  ")</f>
        <v/>
      </c>
      <c r="AB17" s="1864"/>
      <c r="AC17" s="1865" t="str">
        <f>IF(OR($N17="",$H17=0, AB17&lt;&gt;""),"", IF($BK17&lt;&gt;0, "0 - ", "")&amp;IF($N17="%", TEXT($BK17, "0%"), IF($BK17&lt;1000, TEXT($BK17, "#,##0"), TEXT($BK17/1000, "#,##0")&amp;"k")&amp;" ft.")&amp;"?  ")</f>
        <v/>
      </c>
      <c r="AD17" s="1864"/>
      <c r="AE17" s="1865" t="str">
        <f>IF(OR($N17="",$H17=0, AD17&lt;&gt;""),"", IF($BK17&lt;&gt;0, "0 - ", "")&amp;IF($N17="%", TEXT($BK17, "0%"), IF($BK17&lt;1000, TEXT($BK17, "#,##0"), TEXT($BK17/1000, "#,##0")&amp;"k")&amp;" ft.")&amp;"?  ")</f>
        <v/>
      </c>
      <c r="AF17" s="1864"/>
      <c r="AG17" s="1865" t="str">
        <f>IF(OR($N17="",$H17=0, AF17&lt;&gt;""),"", IF($BK17&lt;&gt;0, "0 - ", "")&amp;IF($N17="%", TEXT($BK17, "0%"), IF($BK17&lt;1000, TEXT($BK17, "#,##0"), TEXT($BK17/1000, "#,##0")&amp;"k")&amp;" ft.")&amp;"?  ")</f>
        <v/>
      </c>
      <c r="AH17" s="1864"/>
      <c r="AI17" s="1865" t="str">
        <f>IF(OR($N17="",$H17=0, AH17&lt;&gt;""),"", IF($BK17&lt;&gt;0, "0 - ", "")&amp;IF($N17="%", TEXT($BK17, "0%"), IF($BK17&lt;1000, TEXT($BK17, "#,##0"), TEXT($BK17/1000, "#,##0")&amp;"k")&amp;" ft.")&amp;"?  ")</f>
        <v/>
      </c>
      <c r="AJ17" s="1833">
        <f>IFERROR(IF(N17="%", SUM(P17,R17,T17,V17,X17,Z17,AB17,AD17,AF17,AH17)/100, SUM(P17,R17,T17,V17,X17,Z17,AB17,AD17,AF17,AH17)/IF(N17="LF", H17,J17)), 0)</f>
        <v>0</v>
      </c>
      <c r="AK17" s="1648"/>
      <c r="AL17" s="1675"/>
      <c r="AM17" s="839"/>
      <c r="AN17" s="1808"/>
      <c r="AO17" s="839"/>
      <c r="AP17" s="1653"/>
      <c r="AQ17" s="839"/>
      <c r="AS17" s="1399"/>
      <c r="AT17" s="1624" t="str">
        <f>IF(AND($C$13="", H17="", J17=""), "N/A", IF(OR(AND(ISNUMBER(H17), ISNUMBER(J17), H17=0, J17=0), AND(AJ17=1, H17&lt;&gt;"", J17&lt;&gt;"", L17&lt;&gt;"", N17&lt;&gt;"", P17&lt;&gt;"", R17&lt;&gt;"", T17&lt;&gt;"", V17&lt;&gt;"", X17&lt;&gt;"", Z17&lt;&gt;"", AB17&lt;&gt;"", AD17&lt;&gt;"", AF17&lt;&gt;"", AH17&lt;&gt;"",AL17&lt;&gt;"", IF(AND(AL17&lt;1, AN17=""), FALSE, TRUE))), "Yes", "No"))</f>
        <v>N/A</v>
      </c>
      <c r="AU17" s="759" t="b">
        <f>IF(AND(H17="",OR(L17&lt;&gt;"",P17&lt;&gt;"",R17&lt;&gt;"",T17&lt;&gt;"",V17&lt;&gt;"",X17&lt;&gt;"",AL17&lt;&gt;"",Z17&lt;&gt;"",AB17&lt;&gt;"",AD17&lt;&gt;"",AF17&lt;&gt;"",AH17&lt;&gt;"")),TRUE,FALSE)</f>
        <v>0</v>
      </c>
      <c r="AV17" s="759" t="b">
        <f>IF(OR(H17="",H17=0),FALSE,IF(H17&gt;BM17,TRUE,FALSE))</f>
        <v>0</v>
      </c>
      <c r="AW17" s="759" t="b">
        <f>IF(AND($C$13&lt;&gt;"",$H17=""),TRUE,FALSE)</f>
        <v>0</v>
      </c>
      <c r="AX17" s="759" t="b">
        <f>IF(E17="yes",FALSE,IF(H17="0",FALSE,IF(AND($C$13&lt;&gt;"",J17=""),TRUE,FALSE)))</f>
        <v>0</v>
      </c>
      <c r="AY17" s="759" t="b">
        <f>IF($L17="",FALSE,IF($L17&lt;$BO17,TRUE,FALSE))</f>
        <v>0</v>
      </c>
      <c r="AZ17" s="759" t="b">
        <f>IF($L17="",FALSE,IF($L17&gt;$BP17,TRUE,FALSE))</f>
        <v>0</v>
      </c>
      <c r="BA17" s="759" t="b">
        <f>IF(H17=0,FALSE,IF(AND(E17&lt;&gt;"",$L17=""),TRUE,FALSE))</f>
        <v>0</v>
      </c>
      <c r="BB17" s="759" t="b">
        <f>IF(AND($AJ17&lt;&gt;0,$H17&lt;&gt;$BJ17,$N17="LF"),TRUE,IF(AND($AJ17&lt;&gt;0,$J17&lt;&gt;$AJ17,$N17="TF"),TRUE,IF(AND($AJ17&lt;&gt;0,$AJ17&lt;&gt;1,$N17="%"),TRUE,FALSE)))</f>
        <v>0</v>
      </c>
      <c r="BC17" s="759" t="b">
        <f>IF(AT17="No", IF(OR(P17="", R17="", T17="", V17="", X17="", Z17="", AB17="", AD17="", AF17="", AH17=""), TRUE, FALSE), FALSE)</f>
        <v>0</v>
      </c>
      <c r="BD17" s="759" t="b">
        <f>IF($BE17=TRUE,FALSE,IF(OR($AL17&lt;0,$AL17&gt;1),TRUE,FALSE))</f>
        <v>0</v>
      </c>
      <c r="BE17" s="759" t="b">
        <f>IF(AND($H17&lt;&gt;0,$AL17=""),TRUE,FALSE)</f>
        <v>0</v>
      </c>
      <c r="BF17" s="759" t="b">
        <f>IF(N17="%",TRUE,FALSE)</f>
        <v>0</v>
      </c>
      <c r="BG17" s="760"/>
      <c r="BH17" s="1678">
        <f>IF($C17="","",VLOOKUP($C17,val_fg_assets,9,FALSE))</f>
        <v>1</v>
      </c>
      <c r="BI17" s="1678" t="str">
        <f>IF(N17="", "", IF(N17="LF", H17, IF(N17="TF", J17, IF(N17="%", 1, ""))))</f>
        <v/>
      </c>
      <c r="BJ17" s="1679">
        <f>P17+R17+T17+V17+X17+Z17+AB17+AD17+AF17+AH17</f>
        <v>0</v>
      </c>
      <c r="BK17" s="1679" t="str">
        <f>IF(BI17="", "", BI17-BJ17)</f>
        <v/>
      </c>
      <c r="BL17" s="1679">
        <f>IF($C17="","",VLOOKUP($C17,val_fg_assets,3,FALSE))</f>
        <v>0</v>
      </c>
      <c r="BM17" s="1679">
        <f>IF($C17="","",VLOOKUP($C17,val_fg_assets,4,FALSE))</f>
        <v>1320000</v>
      </c>
      <c r="BN17" s="1678">
        <f>IF($C17="","",VLOOKUP($C17,val_fg_assets,5,FALSE))</f>
        <v>80</v>
      </c>
      <c r="BO17" s="1678">
        <f>IF($C17="","",VLOOKUP($C17,val_fg_assets,6,FALSE))</f>
        <v>60</v>
      </c>
      <c r="BP17" s="1678">
        <f>IF($C17="","",VLOOKUP($C17,val_fg_assets,7,FALSE))</f>
        <v>100</v>
      </c>
      <c r="BQ17" s="1399"/>
    </row>
    <row r="18" spans="1:69" s="782" customFormat="1" ht="3.95" customHeight="1" x14ac:dyDescent="0.2">
      <c r="A18" s="1672"/>
      <c r="B18" s="1790">
        <v>6</v>
      </c>
      <c r="C18" s="1673"/>
      <c r="D18" s="1841"/>
      <c r="E18" s="1057"/>
      <c r="F18" s="764"/>
      <c r="G18" s="764"/>
      <c r="H18" s="1906"/>
      <c r="I18" s="1907"/>
      <c r="J18" s="1908"/>
      <c r="K18" s="1907"/>
      <c r="L18" s="1909"/>
      <c r="M18" s="1910"/>
      <c r="N18" s="1911"/>
      <c r="O18" s="1910"/>
      <c r="P18" s="1866"/>
      <c r="Q18" s="1867"/>
      <c r="R18" s="1866"/>
      <c r="S18" s="1867"/>
      <c r="T18" s="1866"/>
      <c r="U18" s="1867"/>
      <c r="V18" s="1866"/>
      <c r="W18" s="1867"/>
      <c r="X18" s="1866"/>
      <c r="Y18" s="1867"/>
      <c r="Z18" s="1867"/>
      <c r="AA18" s="1867"/>
      <c r="AB18" s="1867"/>
      <c r="AC18" s="1867"/>
      <c r="AD18" s="1867"/>
      <c r="AE18" s="1867"/>
      <c r="AF18" s="1867"/>
      <c r="AG18" s="1867"/>
      <c r="AH18" s="1867"/>
      <c r="AI18" s="837"/>
      <c r="AJ18" s="1806"/>
      <c r="AK18" s="841"/>
      <c r="AL18" s="1806"/>
      <c r="AM18" s="1399"/>
      <c r="AN18" s="838"/>
      <c r="AO18" s="1399"/>
      <c r="AP18" s="1223"/>
      <c r="AQ18" s="1399"/>
      <c r="AS18" s="1399"/>
      <c r="AT18" s="1399"/>
      <c r="AU18" s="759"/>
      <c r="AV18" s="759"/>
      <c r="AW18" s="759"/>
      <c r="AX18" s="759"/>
      <c r="AY18" s="759"/>
      <c r="AZ18" s="759"/>
      <c r="BA18" s="759"/>
      <c r="BB18" s="759"/>
      <c r="BC18" s="759"/>
      <c r="BD18" s="759"/>
      <c r="BE18" s="759"/>
      <c r="BF18" s="759"/>
      <c r="BG18" s="760"/>
      <c r="BH18" s="1678"/>
      <c r="BI18" s="1678"/>
      <c r="BJ18" s="1678"/>
      <c r="BK18" s="1678"/>
      <c r="BL18" s="1679"/>
      <c r="BM18" s="1679"/>
      <c r="BN18" s="1678"/>
      <c r="BO18" s="1678"/>
      <c r="BP18" s="1678"/>
      <c r="BQ18" s="1399"/>
    </row>
    <row r="19" spans="1:69" s="782" customFormat="1" ht="3.95" customHeight="1" thickBot="1" x14ac:dyDescent="0.25">
      <c r="A19" s="852"/>
      <c r="B19" s="1791">
        <v>7</v>
      </c>
      <c r="C19" s="851"/>
      <c r="D19" s="1841"/>
      <c r="E19" s="1058"/>
      <c r="F19" s="686"/>
      <c r="G19" s="686"/>
      <c r="H19" s="1909"/>
      <c r="I19" s="1908"/>
      <c r="J19" s="1908"/>
      <c r="K19" s="1908"/>
      <c r="L19" s="1909"/>
      <c r="M19" s="722"/>
      <c r="N19" s="1912"/>
      <c r="O19" s="722"/>
      <c r="P19" s="1868"/>
      <c r="Q19" s="1869"/>
      <c r="R19" s="1868"/>
      <c r="S19" s="1869"/>
      <c r="T19" s="1868"/>
      <c r="U19" s="1869"/>
      <c r="V19" s="1868"/>
      <c r="W19" s="1869"/>
      <c r="X19" s="1868"/>
      <c r="Y19" s="1869"/>
      <c r="Z19" s="1869"/>
      <c r="AA19" s="1869"/>
      <c r="AB19" s="1869"/>
      <c r="AC19" s="1869"/>
      <c r="AD19" s="1869"/>
      <c r="AE19" s="1869"/>
      <c r="AF19" s="1869"/>
      <c r="AG19" s="1869"/>
      <c r="AH19" s="1869"/>
      <c r="AI19" s="1670"/>
      <c r="AJ19" s="1828"/>
      <c r="AK19" s="724"/>
      <c r="AL19" s="1806"/>
      <c r="AM19" s="1399"/>
      <c r="AN19" s="1258"/>
      <c r="AO19" s="1399"/>
      <c r="AP19" s="1399"/>
      <c r="AQ19" s="1399"/>
      <c r="AS19" s="1399"/>
      <c r="AT19" s="1399"/>
      <c r="AU19" s="759"/>
      <c r="AV19" s="759"/>
      <c r="AW19" s="759"/>
      <c r="AX19" s="759"/>
      <c r="AY19" s="759"/>
      <c r="AZ19" s="759"/>
      <c r="BA19" s="759"/>
      <c r="BB19" s="759"/>
      <c r="BC19" s="759"/>
      <c r="BD19" s="759"/>
      <c r="BE19" s="759"/>
      <c r="BF19" s="759"/>
      <c r="BG19" s="760"/>
      <c r="BH19" s="1678"/>
      <c r="BI19" s="1678"/>
      <c r="BJ19" s="1678"/>
      <c r="BK19" s="1678"/>
      <c r="BL19" s="1679"/>
      <c r="BM19" s="1679"/>
      <c r="BN19" s="1678"/>
      <c r="BO19" s="1678"/>
      <c r="BP19" s="1678"/>
      <c r="BQ19" s="1399"/>
    </row>
    <row r="20" spans="1:69" s="782" customFormat="1" x14ac:dyDescent="0.2">
      <c r="A20" s="852">
        <f>A17+1</f>
        <v>2</v>
      </c>
      <c r="B20" s="1791">
        <v>8</v>
      </c>
      <c r="C20" s="851" t="str">
        <f>Valid!$B$72</f>
        <v>At-Grade/In-Street/Embedded</v>
      </c>
      <c r="D20" s="1841"/>
      <c r="E20" s="1245" t="str">
        <f>IF(AT20="N/A","",AT20)</f>
        <v/>
      </c>
      <c r="F20" s="764"/>
      <c r="G20" s="764"/>
      <c r="H20" s="1864"/>
      <c r="I20" s="1904" t="str">
        <f>IF(C13="","",IF(J20&lt;&gt;"","Linear Feet   ","Qty? Enter Zero if N/A  "))</f>
        <v/>
      </c>
      <c r="J20" s="1864"/>
      <c r="K20" s="1904" t="str">
        <f>IF(E20="yes","",IF(C13="","",IF(H20="","Qty? Enter Zero if N/A  ",IF(H20&lt;&gt;"","Track Feet      ",""))))</f>
        <v/>
      </c>
      <c r="L20" s="1864"/>
      <c r="M20" s="1620" t="str">
        <f>IF($H20=0,"",IF($L20="",TEXT(BN20,0)&amp;" Years?    ",""))</f>
        <v/>
      </c>
      <c r="N20" s="1905"/>
      <c r="O20" s="1620"/>
      <c r="P20" s="1864"/>
      <c r="Q20" s="1865" t="str">
        <f>IF($N20="","",IF(AND($N20="",OR($H20="",$H20=0)),"",IF(AND($N20="LF",$AJ20&lt;$H20),"0 - "&amp;TEXT(($H20-$AJ20)/1000,"0")&amp;"k lin. ft.?    ",IF(AND($N20="TF",$AJ20&lt;$J20),"0 - "&amp;TEXT(($J20-$AJ20)/1000,"0")&amp;"k track ft.?    ",IF(AND($N20="%",$AJ20&lt;1),REPLACE(IF(AND($P20&gt;0,$V20&gt;0,$T20&gt;0,$X20&gt;0,$R20&gt;0,$Z20&gt;0,$AB20&gt;0,$AD20&gt;0,$AF20&gt;0,$AH20&gt;0),"","0-"),99,0,REPLACE(TEXT(100-$AJ20,0),99,0,"%?    ")),"")))))</f>
        <v/>
      </c>
      <c r="R20" s="1864"/>
      <c r="S20" s="1865" t="str">
        <f>IF($N20="","",IF(AND($N20="",OR($H20="",$H20=0)),"",IF(AND($N20="LF",$AJ20&lt;$H20),"0 - "&amp;TEXT(($H20-$AJ20)/1000,"0")&amp;"k lin. ft.?    ",IF(AND($N20="TF",$AJ20&lt;$J20),"0 - "&amp;TEXT(($J20-$AJ20)/1000,"0")&amp;"k track ft.?    ",IF(AND($N20="%",$AJ20&lt;1),REPLACE(IF(AND($P20&gt;0,$V20&gt;0,$T20&gt;0,$X20&gt;0,$R20&gt;0,$Z20&gt;0,$AB20&gt;0,$AD20&gt;0,$AF20&gt;0,$AH20&gt;0),"","0-"),99,0,REPLACE(TEXT(100-$AJ20,0),99,0,"%?    ")),"")))))</f>
        <v/>
      </c>
      <c r="T20" s="1864"/>
      <c r="U20" s="1865" t="str">
        <f>IF($N20="","",IF(AND($N20="",OR($H20="",$H20=0)),"",IF(AND($N20="LF",$AJ20&lt;$H20),"0 - "&amp;TEXT(($H20-$AJ20)/1000,"0")&amp;"k lin. ft.?    ",IF(AND($N20="TF",$AJ20&lt;$J20),"0 - "&amp;TEXT(($J20-$AJ20)/1000,"0")&amp;"k track ft.?    ",IF(AND($N20="%",$AJ20&lt;1),REPLACE(IF(AND($P20&gt;0,$V20&gt;0,$T20&gt;0,$X20&gt;0,$R20&gt;0,$Z20&gt;0,$AB20&gt;0,$AD20&gt;0,$AF20&gt;0,$AH20&gt;0),"","0-"),99,0,REPLACE(TEXT(100-$AJ20,0),99,0,"%?    ")),"")))))</f>
        <v/>
      </c>
      <c r="V20" s="1864"/>
      <c r="W20" s="1865" t="str">
        <f>IF($N20="","",IF(AND($N20="",OR($H20="",$H20=0)),"",IF(AND($N20="LF",$AJ20&lt;$H20),"0 - "&amp;TEXT(($H20-$AJ20)/1000,"0")&amp;"k lin. ft.?    ",IF(AND($N20="TF",$AJ20&lt;$J20),"0 - "&amp;TEXT(($J20-$AJ20)/1000,"0")&amp;"k track ft.?    ",IF(AND($N20="%",$AJ20&lt;1),REPLACE(IF(AND($P20&gt;0,$V20&gt;0,$T20&gt;0,$X20&gt;0,$R20&gt;0,$Z20&gt;0,$AB20&gt;0,$AD20&gt;0,$AF20&gt;0,$AH20&gt;0),"","0-"),99,0,REPLACE(TEXT(100-$AJ20,0),99,0,"%?    ")),"")))))</f>
        <v/>
      </c>
      <c r="X20" s="1864"/>
      <c r="Y20" s="1865" t="str">
        <f>IF($N20="","",IF(AND($N20="",OR($H20="",$H20=0)),"",IF(AND($N20="LF",$AJ20&lt;$H20),"0 - "&amp;TEXT(($H20-$AJ20)/1000,"0")&amp;"k lin. ft.?    ",IF(AND($N20="TF",$AJ20&lt;$J20),"0 - "&amp;TEXT(($J20-$AJ20)/1000,"0")&amp;"k track ft.?    ",IF(AND($N20="%",$AJ20&lt;1),REPLACE(IF(AND($P20&gt;0,$V20&gt;0,$T20&gt;0,$X20&gt;0,$R20&gt;0,$Z20&gt;0,$AB20&gt;0,$AD20&gt;0,$AF20&gt;0,$AH20&gt;0),"","0-"),99,0,REPLACE(TEXT(100-$AJ20,0),99,0,"%?    ")),"")))))</f>
        <v/>
      </c>
      <c r="Z20" s="1864"/>
      <c r="AA20" s="1865" t="str">
        <f>IF($N20="","",IF(AND($N20="",OR($H20="",$H20=0)),"",IF(AND($N20="LF",$AJ20&lt;$H20),"0 - "&amp;TEXT(($H20-$AJ20)/1000,"0")&amp;"k lin. ft.?    ",IF(AND($N20="TF",$AJ20&lt;$J20),"0 - "&amp;TEXT(($J20-$AJ20)/1000,"0")&amp;"k track ft.?    ",IF(AND($N20="%",$AJ20&lt;1),REPLACE(IF(AND($P20&gt;0,$V20&gt;0,$T20&gt;0,$X20&gt;0,$R20&gt;0,$Z20&gt;0,$AB20&gt;0,$AD20&gt;0,$AF20&gt;0,$AH20&gt;0),"","0-"),99,0,REPLACE(TEXT(100-$AJ20,0),99,0,"%?    ")),"")))))</f>
        <v/>
      </c>
      <c r="AB20" s="1864"/>
      <c r="AC20" s="1865" t="str">
        <f>IF($N20="","",IF(AND($N20="",OR($H20="",$H20=0)),"",IF(AND($N20="LF",$AJ20&lt;$H20),"0 - "&amp;TEXT(($H20-$AJ20)/1000,"0")&amp;"k lin. ft.?    ",IF(AND($N20="TF",$AJ20&lt;$J20),"0 - "&amp;TEXT(($J20-$AJ20)/1000,"0")&amp;"k track ft.?    ",IF(AND($N20="%",$AJ20&lt;1),REPLACE(IF(AND($P20&gt;0,$V20&gt;0,$T20&gt;0,$X20&gt;0,$R20&gt;0,$Z20&gt;0,$AB20&gt;0,$AD20&gt;0,$AF20&gt;0,$AH20&gt;0),"","0-"),99,0,REPLACE(TEXT(100-$AJ20,0),99,0,"%?    ")),"")))))</f>
        <v/>
      </c>
      <c r="AD20" s="1864"/>
      <c r="AE20" s="1865" t="str">
        <f>IF($N20="","",IF(AND($N20="",OR($H20="",$H20=0)),"",IF(AND($N20="LF",$AJ20&lt;$H20),"0 - "&amp;TEXT(($H20-$AJ20)/1000,"0")&amp;"k lin. ft.?    ",IF(AND($N20="TF",$AJ20&lt;$J20),"0 - "&amp;TEXT(($J20-$AJ20)/1000,"0")&amp;"k track ft.?    ",IF(AND($N20="%",$AJ20&lt;1),REPLACE(IF(AND($P20&gt;0,$V20&gt;0,$T20&gt;0,$X20&gt;0,$R20&gt;0,$Z20&gt;0,$AB20&gt;0,$AD20&gt;0,$AF20&gt;0,$AH20&gt;0),"","0-"),99,0,REPLACE(TEXT(100-$AJ20,0),99,0,"%?    ")),"")))))</f>
        <v/>
      </c>
      <c r="AF20" s="1864"/>
      <c r="AG20" s="1865" t="str">
        <f>IF($N20="","",IF(AND($N20="",OR($H20="",$H20=0)),"",IF(AND($N20="LF",$AJ20&lt;$H20),"0 - "&amp;TEXT(($H20-$AJ20)/1000,"0")&amp;"k lin. ft.?    ",IF(AND($N20="TF",$AJ20&lt;$J20),"0 - "&amp;TEXT(($J20-$AJ20)/1000,"0")&amp;"k track ft.?    ",IF(AND($N20="%",$AJ20&lt;1),REPLACE(IF(AND($P20&gt;0,$V20&gt;0,$T20&gt;0,$X20&gt;0,$R20&gt;0,$Z20&gt;0,$AB20&gt;0,$AD20&gt;0,$AF20&gt;0,$AH20&gt;0),"","0-"),99,0,REPLACE(TEXT(100-$AJ20,0),99,0,"%?    ")),"")))))</f>
        <v/>
      </c>
      <c r="AH20" s="1864"/>
      <c r="AI20" s="904" t="str">
        <f>IF($N20="","",IF(AND($N20="",OR($H20="",$H20=0)),"",IF(AND($N20="LF",$AJ20&lt;$H20),"0 - "&amp;TEXT(($H20-$AJ20)/1000,"0")&amp;"k lin. ft.?    ",IF(AND($N20="TF",$AJ20&lt;$J20),"0 - "&amp;TEXT(($J20-$AJ20)/1000,"0")&amp;"k track ft.?    ",IF(AND($N20="%",$AJ20&lt;1),REPLACE(IF(AND($P20&gt;0,$V20&gt;0,$T20&gt;0,$X20&gt;0,$R20&gt;0,$Z20&gt;0,$AB20&gt;0,$AD20&gt;0,$AF20&gt;0,$AH20&gt;0),"","0-"),99,0,REPLACE(TEXT(100-$AJ20,0),99,0,"%?    ")),"")))))</f>
        <v/>
      </c>
      <c r="AJ20" s="1833">
        <f>IFERROR(IF(N20="%", SUM(P20,R20,T20,V20,X20,Z20,AB20,AD20,AF20,AH20)/100, SUM(P20,R20,T20,V20,X20,Z20,AB20,AD20,AF20,AH20)/IF(N20="LF", H20,J20)), 0)</f>
        <v>0</v>
      </c>
      <c r="AK20" s="1648"/>
      <c r="AL20" s="1675"/>
      <c r="AM20" s="1399"/>
      <c r="AN20" s="1808"/>
      <c r="AO20" s="1399"/>
      <c r="AP20" s="1653"/>
      <c r="AQ20" s="1399"/>
      <c r="AS20" s="1399"/>
      <c r="AT20" s="1624" t="str">
        <f>IF(AND($C$13="", H20="", J20=""), "N/A", IF(OR(AND(ISNUMBER(H20), ISNUMBER(J20), H20=0, J20=0), AND(AJ20=1, H20&lt;&gt;"", J20&lt;&gt;"", L20&lt;&gt;"", N20&lt;&gt;"", P20&lt;&gt;"", R20&lt;&gt;"", T20&lt;&gt;"", V20&lt;&gt;"", X20&lt;&gt;"", Z20&lt;&gt;"", AB20&lt;&gt;"", AD20&lt;&gt;"", AF20&lt;&gt;"", AH20&lt;&gt;"",AL20&lt;&gt;"", IF(AND(AL20&lt;1, AN20=""), FALSE, TRUE))), "Yes", "No"))</f>
        <v>N/A</v>
      </c>
      <c r="AU20" s="759" t="b">
        <f>IF(AND(H20="",OR(L20&lt;&gt;"",P20&lt;&gt;"",R20&lt;&gt;"",T20&lt;&gt;"",V20&lt;&gt;"",X20&lt;&gt;"",AL20&lt;&gt;"",Z20&lt;&gt;"",AB20&lt;&gt;"",AD20&lt;&gt;"",AF20&lt;&gt;"",AH20&lt;&gt;"")),TRUE,FALSE)</f>
        <v>0</v>
      </c>
      <c r="AV20" s="759" t="b">
        <f>IF(OR(H20="",H20=0),FALSE,IF(H20&gt;BM20,TRUE,FALSE))</f>
        <v>0</v>
      </c>
      <c r="AW20" s="759" t="b">
        <f>IF(AND($C$13&lt;&gt;"",$H20=""),TRUE,FALSE)</f>
        <v>0</v>
      </c>
      <c r="AX20" s="759" t="b">
        <f>IF(E20="yes",FALSE,IF(H20="0",FALSE,IF(AND($C$13&lt;&gt;"",J20=""),TRUE,FALSE)))</f>
        <v>0</v>
      </c>
      <c r="AY20" s="759" t="b">
        <f>IF($L20="",FALSE,IF($L20&lt;$BO20,TRUE,FALSE))</f>
        <v>0</v>
      </c>
      <c r="AZ20" s="759" t="b">
        <f>IF($L20="",FALSE,IF($L20&gt;$BP20,TRUE,FALSE))</f>
        <v>0</v>
      </c>
      <c r="BA20" s="759" t="b">
        <f>IF(H20=0,FALSE,IF(AND(E20&lt;&gt;"",$L20=""),TRUE,FALSE))</f>
        <v>0</v>
      </c>
      <c r="BB20" s="759" t="b">
        <f>IF(AND($AJ20&lt;&gt;0,$H20&lt;&gt;$BJ20,$N20="LF"),TRUE,IF(AND($AJ20&lt;&gt;0,$J20&lt;&gt;$AJ20,$N20="TF"),TRUE,IF(AND($AJ20&lt;&gt;0,$AJ20&lt;&gt;1,$N20="%"),TRUE,FALSE)))</f>
        <v>0</v>
      </c>
      <c r="BC20" s="759" t="b">
        <f>IF(AT20="No", IF(OR(P20="", R20="", T20="", V20="", X20="", Z20="", AB20="", AD20="", AF20="", AH20=""), TRUE, FALSE), FALSE)</f>
        <v>0</v>
      </c>
      <c r="BD20" s="759" t="b">
        <f>IF($BE20=TRUE,FALSE,IF(OR($AL20&lt;0,$AL20&gt;1),TRUE,FALSE))</f>
        <v>0</v>
      </c>
      <c r="BE20" s="759" t="b">
        <f>IF(AND($H20&lt;&gt;0,$AL20=""),TRUE,FALSE)</f>
        <v>0</v>
      </c>
      <c r="BF20" s="759" t="b">
        <f>IF(N20="%",TRUE,FALSE)</f>
        <v>0</v>
      </c>
      <c r="BG20" s="760"/>
      <c r="BH20" s="1678">
        <f>IF($C20="","",VLOOKUP($C20,val_fg_assets,9,FALSE))</f>
        <v>1</v>
      </c>
      <c r="BI20" s="1678" t="str">
        <f>IF(N20="", "", IF(N20="LF", H20, IF(N20="TF", J20, IF(N20="%", 1, ""))))</f>
        <v/>
      </c>
      <c r="BJ20" s="1679">
        <f>P20+R20+T20+V20+X20+Z20+AB20+AD20+AF20+AH20</f>
        <v>0</v>
      </c>
      <c r="BK20" s="1679" t="str">
        <f>IF(BI20="", "", BI20-BJ20)</f>
        <v/>
      </c>
      <c r="BL20" s="1679">
        <f>IF($C20="","",VLOOKUP($C20,val_fg_assets,3,FALSE))</f>
        <v>0</v>
      </c>
      <c r="BM20" s="1679">
        <f>IF($C20="","",VLOOKUP($C20,val_fg_assets,4,FALSE))</f>
        <v>1320000</v>
      </c>
      <c r="BN20" s="1678">
        <f>IF($C20="","",VLOOKUP($C20,val_fg_assets,5,FALSE))</f>
        <v>80</v>
      </c>
      <c r="BO20" s="1678">
        <f>IF($C20="","",VLOOKUP($C20,val_fg_assets,6,FALSE))</f>
        <v>60</v>
      </c>
      <c r="BP20" s="1678">
        <f>IF($C20="","",VLOOKUP($C20,val_fg_assets,7,FALSE))</f>
        <v>100</v>
      </c>
      <c r="BQ20" s="1399"/>
    </row>
    <row r="21" spans="1:69" s="782" customFormat="1" ht="3.95" customHeight="1" x14ac:dyDescent="0.2">
      <c r="A21" s="852"/>
      <c r="B21" s="1791">
        <v>9</v>
      </c>
      <c r="C21" s="851"/>
      <c r="D21" s="1841"/>
      <c r="E21" s="1058"/>
      <c r="F21" s="686"/>
      <c r="G21" s="686"/>
      <c r="H21" s="1906"/>
      <c r="I21" s="1907"/>
      <c r="J21" s="1908"/>
      <c r="K21" s="1907"/>
      <c r="L21" s="1909"/>
      <c r="M21" s="1910"/>
      <c r="N21" s="1911"/>
      <c r="O21" s="1910"/>
      <c r="P21" s="1866"/>
      <c r="Q21" s="1867"/>
      <c r="R21" s="1866"/>
      <c r="S21" s="1867"/>
      <c r="T21" s="1866"/>
      <c r="U21" s="1867"/>
      <c r="V21" s="1866"/>
      <c r="W21" s="1867"/>
      <c r="X21" s="1866"/>
      <c r="Y21" s="1867"/>
      <c r="Z21" s="1867"/>
      <c r="AA21" s="1867"/>
      <c r="AB21" s="1867"/>
      <c r="AC21" s="1867"/>
      <c r="AD21" s="1867"/>
      <c r="AE21" s="1867"/>
      <c r="AF21" s="1867"/>
      <c r="AG21" s="1867"/>
      <c r="AH21" s="1867"/>
      <c r="AI21" s="837"/>
      <c r="AJ21" s="1806"/>
      <c r="AK21" s="841"/>
      <c r="AL21" s="1806"/>
      <c r="AM21" s="1399"/>
      <c r="AN21" s="838"/>
      <c r="AO21" s="1399"/>
      <c r="AP21" s="1399"/>
      <c r="AQ21" s="1399"/>
      <c r="AS21" s="1399"/>
      <c r="AT21" s="1399"/>
      <c r="AU21" s="759"/>
      <c r="AV21" s="759"/>
      <c r="AW21" s="759"/>
      <c r="AX21" s="759"/>
      <c r="AY21" s="759"/>
      <c r="AZ21" s="759"/>
      <c r="BA21" s="759"/>
      <c r="BB21" s="759"/>
      <c r="BC21" s="759"/>
      <c r="BD21" s="759"/>
      <c r="BE21" s="759"/>
      <c r="BF21" s="759"/>
      <c r="BG21" s="760"/>
      <c r="BH21" s="1678"/>
      <c r="BI21" s="1678"/>
      <c r="BJ21" s="1678"/>
      <c r="BK21" s="1678"/>
      <c r="BL21" s="1679"/>
      <c r="BM21" s="1679"/>
      <c r="BN21" s="1678"/>
      <c r="BO21" s="1678"/>
      <c r="BP21" s="1678"/>
      <c r="BQ21" s="1399"/>
    </row>
    <row r="22" spans="1:69" s="782" customFormat="1" ht="3.95" customHeight="1" thickBot="1" x14ac:dyDescent="0.25">
      <c r="A22" s="852"/>
      <c r="B22" s="1790">
        <v>10</v>
      </c>
      <c r="C22" s="1673"/>
      <c r="D22" s="1841"/>
      <c r="E22" s="1057"/>
      <c r="F22" s="764"/>
      <c r="G22" s="764"/>
      <c r="H22" s="1913"/>
      <c r="I22" s="1908"/>
      <c r="J22" s="1908"/>
      <c r="K22" s="1908"/>
      <c r="L22" s="1909"/>
      <c r="M22" s="722"/>
      <c r="N22" s="1912"/>
      <c r="O22" s="722"/>
      <c r="P22" s="1868"/>
      <c r="Q22" s="1869"/>
      <c r="R22" s="1868"/>
      <c r="S22" s="1869"/>
      <c r="T22" s="1868"/>
      <c r="U22" s="1869"/>
      <c r="V22" s="1868"/>
      <c r="W22" s="1869"/>
      <c r="X22" s="1868"/>
      <c r="Y22" s="1869"/>
      <c r="Z22" s="1869"/>
      <c r="AA22" s="1869"/>
      <c r="AB22" s="1869"/>
      <c r="AC22" s="1869"/>
      <c r="AD22" s="1869"/>
      <c r="AE22" s="1869"/>
      <c r="AF22" s="1869"/>
      <c r="AG22" s="1869"/>
      <c r="AH22" s="1869"/>
      <c r="AI22" s="1670"/>
      <c r="AJ22" s="1828"/>
      <c r="AK22" s="724"/>
      <c r="AL22" s="1806"/>
      <c r="AM22" s="1399"/>
      <c r="AN22" s="1258"/>
      <c r="AO22" s="1399"/>
      <c r="AP22" s="1223"/>
      <c r="AQ22" s="1399"/>
      <c r="AS22" s="1399"/>
      <c r="AT22" s="1399"/>
      <c r="AU22" s="759"/>
      <c r="AV22" s="759"/>
      <c r="AW22" s="759"/>
      <c r="AX22" s="759"/>
      <c r="AY22" s="759"/>
      <c r="AZ22" s="759"/>
      <c r="BA22" s="759"/>
      <c r="BB22" s="759"/>
      <c r="BC22" s="759"/>
      <c r="BD22" s="759"/>
      <c r="BE22" s="759"/>
      <c r="BF22" s="759"/>
      <c r="BG22" s="760"/>
      <c r="BH22" s="1678"/>
      <c r="BI22" s="1678"/>
      <c r="BJ22" s="1678"/>
      <c r="BK22" s="1678"/>
      <c r="BL22" s="1679"/>
      <c r="BM22" s="1679"/>
      <c r="BN22" s="1678"/>
      <c r="BO22" s="1678"/>
      <c r="BP22" s="1678"/>
      <c r="BQ22" s="1399"/>
    </row>
    <row r="23" spans="1:69" s="782" customFormat="1" x14ac:dyDescent="0.2">
      <c r="A23" s="852">
        <f>A20+1</f>
        <v>3</v>
      </c>
      <c r="B23" s="1790">
        <v>11</v>
      </c>
      <c r="C23" s="851" t="str">
        <f>Valid!$B$73</f>
        <v>Elevated/Retained Fill</v>
      </c>
      <c r="D23" s="1841"/>
      <c r="E23" s="1245" t="str">
        <f>IF(AT23="N/A","",AT23)</f>
        <v/>
      </c>
      <c r="F23" s="686"/>
      <c r="G23" s="686"/>
      <c r="H23" s="1864"/>
      <c r="I23" s="1904" t="str">
        <f>IF(C13="","",IF(J23&lt;&gt;"","Linear Feet   ","Qty? Enter Zero if N/A  "))</f>
        <v/>
      </c>
      <c r="J23" s="1864"/>
      <c r="K23" s="1904" t="str">
        <f>IF(E23="yes","",IF(C13="","",IF(H23="","Qty? Enter Zero if N/A  ",IF(H23&lt;&gt;"","Track Feet      ",""))))</f>
        <v/>
      </c>
      <c r="L23" s="1864"/>
      <c r="M23" s="1620" t="str">
        <f>IF($H23=0,"",IF($L23="",TEXT(BN23,0)&amp;" Years?    ",""))</f>
        <v/>
      </c>
      <c r="N23" s="1905"/>
      <c r="O23" s="1620"/>
      <c r="P23" s="1864"/>
      <c r="Q23" s="1865" t="str">
        <f>IF($N23="","",IF(AND($N23="",OR($H23="",$H23=0)),"",IF(AND($N23="LF",$AJ23&lt;$H23),"0 - "&amp;TEXT(($H23-$AJ23)/1000,"0")&amp;"k lin. ft.?    ",IF(AND($N23="TF",$AJ23&lt;$J23),"0 - "&amp;TEXT(($J23-$AJ23)/1000,"0")&amp;"k track ft.?    ",IF(AND($N23="%",$AJ23&lt;1),REPLACE(IF(AND($P23&gt;0,$V23&gt;0,$T23&gt;0,$X23&gt;0,$R23&gt;0,$Z23&gt;0,$AB23&gt;0,$AD23&gt;0,$AF23&gt;0,$AH23&gt;0),"","0-"),99,0,REPLACE(TEXT(100-$AJ23,0),99,0,"%?    ")),"")))))</f>
        <v/>
      </c>
      <c r="R23" s="1864"/>
      <c r="S23" s="1865" t="str">
        <f>IF($N23="","",IF(AND($N23="",OR($H23="",$H23=0)),"",IF(AND($N23="LF",$AJ23&lt;$H23),"0 - "&amp;TEXT(($H23-$AJ23)/1000,"0")&amp;"k lin. ft.?    ",IF(AND($N23="TF",$AJ23&lt;$J23),"0 - "&amp;TEXT(($J23-$AJ23)/1000,"0")&amp;"k track ft.?    ",IF(AND($N23="%",$AJ23&lt;1),REPLACE(IF(AND($P23&gt;0,$V23&gt;0,$T23&gt;0,$X23&gt;0,$R23&gt;0,$Z23&gt;0,$AB23&gt;0,$AD23&gt;0,$AF23&gt;0,$AH23&gt;0),"","0-"),99,0,REPLACE(TEXT(100-$AJ23,0),99,0,"%?    ")),"")))))</f>
        <v/>
      </c>
      <c r="T23" s="1864"/>
      <c r="U23" s="1865" t="str">
        <f>IF($N23="","",IF(AND($N23="",OR($H23="",$H23=0)),"",IF(AND($N23="LF",$AJ23&lt;$H23),"0 - "&amp;TEXT(($H23-$AJ23)/1000,"0")&amp;"k lin. ft.?    ",IF(AND($N23="TF",$AJ23&lt;$J23),"0 - "&amp;TEXT(($J23-$AJ23)/1000,"0")&amp;"k track ft.?    ",IF(AND($N23="%",$AJ23&lt;1),REPLACE(IF(AND($P23&gt;0,$V23&gt;0,$T23&gt;0,$X23&gt;0,$R23&gt;0,$Z23&gt;0,$AB23&gt;0,$AD23&gt;0,$AF23&gt;0,$AH23&gt;0),"","0-"),99,0,REPLACE(TEXT(100-$AJ23,0),99,0,"%?    ")),"")))))</f>
        <v/>
      </c>
      <c r="V23" s="1864"/>
      <c r="W23" s="1865" t="str">
        <f>IF($N23="","",IF(AND($N23="",OR($H23="",$H23=0)),"",IF(AND($N23="LF",$AJ23&lt;$H23),"0 - "&amp;TEXT(($H23-$AJ23)/1000,"0")&amp;"k lin. ft.?    ",IF(AND($N23="TF",$AJ23&lt;$J23),"0 - "&amp;TEXT(($J23-$AJ23)/1000,"0")&amp;"k track ft.?    ",IF(AND($N23="%",$AJ23&lt;1),REPLACE(IF(AND($P23&gt;0,$V23&gt;0,$T23&gt;0,$X23&gt;0,$R23&gt;0,$Z23&gt;0,$AB23&gt;0,$AD23&gt;0,$AF23&gt;0,$AH23&gt;0),"","0-"),99,0,REPLACE(TEXT(100-$AJ23,0),99,0,"%?    ")),"")))))</f>
        <v/>
      </c>
      <c r="X23" s="1864"/>
      <c r="Y23" s="1865" t="str">
        <f>IF($N23="","",IF(AND($N23="",OR($H23="",$H23=0)),"",IF(AND($N23="LF",$AJ23&lt;$H23),"0 - "&amp;TEXT(($H23-$AJ23)/1000,"0")&amp;"k lin. ft.?    ",IF(AND($N23="TF",$AJ23&lt;$J23),"0 - "&amp;TEXT(($J23-$AJ23)/1000,"0")&amp;"k track ft.?    ",IF(AND($N23="%",$AJ23&lt;1),REPLACE(IF(AND($P23&gt;0,$V23&gt;0,$T23&gt;0,$X23&gt;0,$R23&gt;0,$Z23&gt;0,$AB23&gt;0,$AD23&gt;0,$AF23&gt;0,$AH23&gt;0),"","0-"),99,0,REPLACE(TEXT(100-$AJ23,0),99,0,"%?    ")),"")))))</f>
        <v/>
      </c>
      <c r="Z23" s="1864"/>
      <c r="AA23" s="1865" t="str">
        <f>IF($N23="","",IF(AND($N23="",OR($H23="",$H23=0)),"",IF(AND($N23="LF",$AJ23&lt;$H23),"0 - "&amp;TEXT(($H23-$AJ23)/1000,"0")&amp;"k lin. ft.?    ",IF(AND($N23="TF",$AJ23&lt;$J23),"0 - "&amp;TEXT(($J23-$AJ23)/1000,"0")&amp;"k track ft.?    ",IF(AND($N23="%",$AJ23&lt;1),REPLACE(IF(AND($P23&gt;0,$V23&gt;0,$T23&gt;0,$X23&gt;0,$R23&gt;0,$Z23&gt;0,$AB23&gt;0,$AD23&gt;0,$AF23&gt;0,$AH23&gt;0),"","0-"),99,0,REPLACE(TEXT(100-$AJ23,0),99,0,"%?    ")),"")))))</f>
        <v/>
      </c>
      <c r="AB23" s="1864"/>
      <c r="AC23" s="1865" t="str">
        <f>IF($N23="","",IF(AND($N23="",OR($H23="",$H23=0)),"",IF(AND($N23="LF",$AJ23&lt;$H23),"0 - "&amp;TEXT(($H23-$AJ23)/1000,"0")&amp;"k lin. ft.?    ",IF(AND($N23="TF",$AJ23&lt;$J23),"0 - "&amp;TEXT(($J23-$AJ23)/1000,"0")&amp;"k track ft.?    ",IF(AND($N23="%",$AJ23&lt;1),REPLACE(IF(AND($P23&gt;0,$V23&gt;0,$T23&gt;0,$X23&gt;0,$R23&gt;0,$Z23&gt;0,$AB23&gt;0,$AD23&gt;0,$AF23&gt;0,$AH23&gt;0),"","0-"),99,0,REPLACE(TEXT(100-$AJ23,0),99,0,"%?    ")),"")))))</f>
        <v/>
      </c>
      <c r="AD23" s="1864"/>
      <c r="AE23" s="1865" t="str">
        <f>IF($N23="","",IF(AND($N23="",OR($H23="",$H23=0)),"",IF(AND($N23="LF",$AJ23&lt;$H23),"0 - "&amp;TEXT(($H23-$AJ23)/1000,"0")&amp;"k lin. ft.?    ",IF(AND($N23="TF",$AJ23&lt;$J23),"0 - "&amp;TEXT(($J23-$AJ23)/1000,"0")&amp;"k track ft.?    ",IF(AND($N23="%",$AJ23&lt;1),REPLACE(IF(AND($P23&gt;0,$V23&gt;0,$T23&gt;0,$X23&gt;0,$R23&gt;0,$Z23&gt;0,$AB23&gt;0,$AD23&gt;0,$AF23&gt;0,$AH23&gt;0),"","0-"),99,0,REPLACE(TEXT(100-$AJ23,0),99,0,"%?    ")),"")))))</f>
        <v/>
      </c>
      <c r="AF23" s="1864"/>
      <c r="AG23" s="1865" t="str">
        <f>IF($N23="","",IF(AND($N23="",OR($H23="",$H23=0)),"",IF(AND($N23="LF",$AJ23&lt;$H23),"0 - "&amp;TEXT(($H23-$AJ23)/1000,"0")&amp;"k lin. ft.?    ",IF(AND($N23="TF",$AJ23&lt;$J23),"0 - "&amp;TEXT(($J23-$AJ23)/1000,"0")&amp;"k track ft.?    ",IF(AND($N23="%",$AJ23&lt;1),REPLACE(IF(AND($P23&gt;0,$V23&gt;0,$T23&gt;0,$X23&gt;0,$R23&gt;0,$Z23&gt;0,$AB23&gt;0,$AD23&gt;0,$AF23&gt;0,$AH23&gt;0),"","0-"),99,0,REPLACE(TEXT(100-$AJ23,0),99,0,"%?    ")),"")))))</f>
        <v/>
      </c>
      <c r="AH23" s="1864"/>
      <c r="AI23" s="904" t="str">
        <f>IF($N23="","",IF(AND($N23="",OR($H23="",$H23=0)),"",IF(AND($N23="LF",$AJ23&lt;$H23),"0 - "&amp;TEXT(($H23-$AJ23)/1000,"0")&amp;"k lin. ft.?    ",IF(AND($N23="TF",$AJ23&lt;$J23),"0 - "&amp;TEXT(($J23-$AJ23)/1000,"0")&amp;"k track ft.?    ",IF(AND($N23="%",$AJ23&lt;1),REPLACE(IF(AND($P23&gt;0,$V23&gt;0,$T23&gt;0,$X23&gt;0,$R23&gt;0,$Z23&gt;0,$AB23&gt;0,$AD23&gt;0,$AF23&gt;0,$AH23&gt;0),"","0-"),99,0,REPLACE(TEXT(100-$AJ23,0),99,0,"%?    ")),"")))))</f>
        <v/>
      </c>
      <c r="AJ23" s="1833">
        <f>IFERROR(IF(N23="%", SUM(P23,R23,T23,V23,X23,Z23,AB23,AD23,AF23,AH23)/100, SUM(P23,R23,T23,V23,X23,Z23,AB23,AD23,AF23,AH23)/IF(N23="LF", H23,J23)), 0)</f>
        <v>0</v>
      </c>
      <c r="AK23" s="1648"/>
      <c r="AL23" s="1675"/>
      <c r="AM23" s="1399"/>
      <c r="AN23" s="1808"/>
      <c r="AO23" s="1399"/>
      <c r="AP23" s="1653"/>
      <c r="AQ23" s="1399"/>
      <c r="AS23" s="1399"/>
      <c r="AT23" s="1624" t="str">
        <f>IF(AND($C$13="", H23="", J23=""), "N/A", IF(OR(AND(ISNUMBER(H23), ISNUMBER(J23), H23=0, J23=0), AND(AJ23=1, H23&lt;&gt;"", J23&lt;&gt;"", L23&lt;&gt;"", N23&lt;&gt;"", P23&lt;&gt;"", R23&lt;&gt;"", T23&lt;&gt;"", V23&lt;&gt;"", X23&lt;&gt;"", Z23&lt;&gt;"", AB23&lt;&gt;"", AD23&lt;&gt;"", AF23&lt;&gt;"", AH23&lt;&gt;"",AL23&lt;&gt;"", IF(AND(AL23&lt;1, AN23=""), FALSE, TRUE))), "Yes", "No"))</f>
        <v>N/A</v>
      </c>
      <c r="AU23" s="759" t="b">
        <f>IF(AND(H23="",OR(L23&lt;&gt;"",P23&lt;&gt;"",R23&lt;&gt;"",T23&lt;&gt;"",V23&lt;&gt;"",X23&lt;&gt;"",AL23&lt;&gt;"",Z23&lt;&gt;"",AB23&lt;&gt;"",AD23&lt;&gt;"",AF23&lt;&gt;"",AH23&lt;&gt;"")),TRUE,FALSE)</f>
        <v>0</v>
      </c>
      <c r="AV23" s="759" t="b">
        <f>IF(OR(H23="",H23=0),FALSE,IF(H23&gt;BM23,TRUE,FALSE))</f>
        <v>0</v>
      </c>
      <c r="AW23" s="759" t="b">
        <f>IF(AND($C$13&lt;&gt;"",$H23=""),TRUE,FALSE)</f>
        <v>0</v>
      </c>
      <c r="AX23" s="759" t="b">
        <f>IF(E23="yes",FALSE,IF(H23="0",FALSE,IF(AND($C$13&lt;&gt;"",J23=""),TRUE,FALSE)))</f>
        <v>0</v>
      </c>
      <c r="AY23" s="759" t="b">
        <f>IF($L23="",FALSE,IF($L23&lt;$BO23,TRUE,FALSE))</f>
        <v>0</v>
      </c>
      <c r="AZ23" s="759" t="b">
        <f>IF($L23="",FALSE,IF($L23&gt;$BP23,TRUE,FALSE))</f>
        <v>0</v>
      </c>
      <c r="BA23" s="759" t="b">
        <f>IF(H23=0,FALSE,IF(AND(E23&lt;&gt;"",$L23=""),TRUE,FALSE))</f>
        <v>0</v>
      </c>
      <c r="BB23" s="759" t="b">
        <f>IF(AND($AJ23&lt;&gt;0,$H23&lt;&gt;$BJ23,$N23="LF"),TRUE,IF(AND($AJ23&lt;&gt;0,$J23&lt;&gt;$AJ23,$N23="TF"),TRUE,IF(AND($AJ23&lt;&gt;0,$AJ23&lt;&gt;1,$N23="%"),TRUE,FALSE)))</f>
        <v>0</v>
      </c>
      <c r="BC23" s="759" t="b">
        <f>IF(AT23="No", IF(OR(P23="", R23="", T23="", V23="", X23="", Z23="", AB23="", AD23="", AF23="", AH23=""), TRUE, FALSE), FALSE)</f>
        <v>0</v>
      </c>
      <c r="BD23" s="759" t="b">
        <f>IF($BE23=TRUE,FALSE,IF(OR($AL23&lt;0,$AL23&gt;1),TRUE,FALSE))</f>
        <v>0</v>
      </c>
      <c r="BE23" s="759" t="b">
        <f>IF(AND($H23&lt;&gt;0,$AL23=""),TRUE,FALSE)</f>
        <v>0</v>
      </c>
      <c r="BF23" s="759" t="b">
        <f>IF(N23="%",TRUE,FALSE)</f>
        <v>0</v>
      </c>
      <c r="BG23" s="760"/>
      <c r="BH23" s="1678">
        <f>IF($C23="","",VLOOKUP($C23,val_fg_assets,9,FALSE))</f>
        <v>1</v>
      </c>
      <c r="BI23" s="1678" t="str">
        <f>IF(N23="", "", IF(N23="LF", H23, IF(N23="TF", J23, IF(N23="%", 1, ""))))</f>
        <v/>
      </c>
      <c r="BJ23" s="1679">
        <f>P23+R23+T23+V23+X23+Z23+AB23+AD23+AF23+AH23</f>
        <v>0</v>
      </c>
      <c r="BK23" s="1679" t="str">
        <f>IF(BI23="", "", BI23-BJ23)</f>
        <v/>
      </c>
      <c r="BL23" s="1679">
        <f>IF($C23="","",VLOOKUP($C23,val_fg_assets,3,FALSE))</f>
        <v>0</v>
      </c>
      <c r="BM23" s="1679">
        <f>IF($C23="","",VLOOKUP($C23,val_fg_assets,4,FALSE))</f>
        <v>1320000</v>
      </c>
      <c r="BN23" s="1678">
        <f>IF($C23="","",VLOOKUP($C23,val_fg_assets,5,FALSE))</f>
        <v>80</v>
      </c>
      <c r="BO23" s="1678">
        <f>IF($C23="","",VLOOKUP($C23,val_fg_assets,6,FALSE))</f>
        <v>60</v>
      </c>
      <c r="BP23" s="1678">
        <f>IF($C23="","",VLOOKUP($C23,val_fg_assets,7,FALSE))</f>
        <v>100</v>
      </c>
      <c r="BQ23" s="1399"/>
    </row>
    <row r="24" spans="1:69" s="782" customFormat="1" ht="3.95" customHeight="1" x14ac:dyDescent="0.2">
      <c r="A24" s="852"/>
      <c r="B24" s="1791">
        <v>12</v>
      </c>
      <c r="C24" s="1673"/>
      <c r="D24" s="1841"/>
      <c r="E24" s="1057"/>
      <c r="F24" s="764"/>
      <c r="G24" s="764"/>
      <c r="H24" s="1909"/>
      <c r="I24" s="1908"/>
      <c r="J24" s="1908"/>
      <c r="K24" s="1908"/>
      <c r="L24" s="1909"/>
      <c r="M24" s="1910"/>
      <c r="N24" s="1911"/>
      <c r="O24" s="1910"/>
      <c r="P24" s="1866"/>
      <c r="Q24" s="1867"/>
      <c r="R24" s="1866"/>
      <c r="S24" s="1867"/>
      <c r="T24" s="1866"/>
      <c r="U24" s="1867"/>
      <c r="V24" s="1866"/>
      <c r="W24" s="1867"/>
      <c r="X24" s="1866"/>
      <c r="Y24" s="1867"/>
      <c r="Z24" s="1867"/>
      <c r="AA24" s="1867"/>
      <c r="AB24" s="1867"/>
      <c r="AC24" s="1867"/>
      <c r="AD24" s="1867"/>
      <c r="AE24" s="1867"/>
      <c r="AF24" s="1867"/>
      <c r="AG24" s="1867"/>
      <c r="AH24" s="1867"/>
      <c r="AI24" s="837"/>
      <c r="AJ24" s="1806"/>
      <c r="AK24" s="841"/>
      <c r="AL24" s="1806"/>
      <c r="AM24" s="1399"/>
      <c r="AN24" s="838"/>
      <c r="AO24" s="1399"/>
      <c r="AP24" s="1399"/>
      <c r="AQ24" s="1399"/>
      <c r="AS24" s="1399"/>
      <c r="AT24" s="1399"/>
      <c r="AU24" s="759"/>
      <c r="AV24" s="759"/>
      <c r="AW24" s="759"/>
      <c r="AX24" s="759"/>
      <c r="AY24" s="759"/>
      <c r="AZ24" s="759"/>
      <c r="BA24" s="759"/>
      <c r="BB24" s="759"/>
      <c r="BC24" s="759"/>
      <c r="BD24" s="759"/>
      <c r="BE24" s="759"/>
      <c r="BF24" s="759"/>
      <c r="BG24" s="760"/>
      <c r="BH24" s="1678"/>
      <c r="BI24" s="1678"/>
      <c r="BJ24" s="1678"/>
      <c r="BK24" s="1678"/>
      <c r="BL24" s="1679"/>
      <c r="BM24" s="1679"/>
      <c r="BN24" s="1678"/>
      <c r="BO24" s="1678"/>
      <c r="BP24" s="1678"/>
      <c r="BQ24" s="1399"/>
    </row>
    <row r="25" spans="1:69" s="782" customFormat="1" ht="3.95" customHeight="1" thickBot="1" x14ac:dyDescent="0.25">
      <c r="A25" s="852"/>
      <c r="B25" s="1791">
        <v>13</v>
      </c>
      <c r="C25" s="851"/>
      <c r="D25" s="1841"/>
      <c r="E25" s="1058"/>
      <c r="F25" s="686"/>
      <c r="G25" s="686"/>
      <c r="H25" s="1913"/>
      <c r="I25" s="1908"/>
      <c r="J25" s="1908"/>
      <c r="K25" s="1908"/>
      <c r="L25" s="1909"/>
      <c r="M25" s="722"/>
      <c r="N25" s="1912"/>
      <c r="O25" s="722"/>
      <c r="P25" s="1868"/>
      <c r="Q25" s="1869"/>
      <c r="R25" s="1868"/>
      <c r="S25" s="1869"/>
      <c r="T25" s="1868"/>
      <c r="U25" s="1869"/>
      <c r="V25" s="1868"/>
      <c r="W25" s="1869"/>
      <c r="X25" s="1868"/>
      <c r="Y25" s="1869"/>
      <c r="Z25" s="1869"/>
      <c r="AA25" s="1869"/>
      <c r="AB25" s="1869"/>
      <c r="AC25" s="1869"/>
      <c r="AD25" s="1869"/>
      <c r="AE25" s="1869"/>
      <c r="AF25" s="1869"/>
      <c r="AG25" s="1869"/>
      <c r="AH25" s="1869"/>
      <c r="AI25" s="1670"/>
      <c r="AJ25" s="1828"/>
      <c r="AK25" s="724"/>
      <c r="AL25" s="1806"/>
      <c r="AM25" s="1399"/>
      <c r="AN25" s="1258"/>
      <c r="AO25" s="1399"/>
      <c r="AP25" s="1399"/>
      <c r="AQ25" s="1399"/>
      <c r="AS25" s="1399"/>
      <c r="AT25" s="1399"/>
      <c r="AU25" s="759"/>
      <c r="AV25" s="759"/>
      <c r="AW25" s="759"/>
      <c r="AX25" s="759"/>
      <c r="AY25" s="759"/>
      <c r="AZ25" s="759"/>
      <c r="BA25" s="759"/>
      <c r="BB25" s="759"/>
      <c r="BC25" s="759"/>
      <c r="BD25" s="759"/>
      <c r="BE25" s="759"/>
      <c r="BF25" s="759"/>
      <c r="BG25" s="760"/>
      <c r="BH25" s="1678"/>
      <c r="BI25" s="1678"/>
      <c r="BJ25" s="1678"/>
      <c r="BK25" s="1678"/>
      <c r="BL25" s="1679"/>
      <c r="BM25" s="1679"/>
      <c r="BN25" s="1678"/>
      <c r="BO25" s="1678"/>
      <c r="BP25" s="1678"/>
      <c r="BQ25" s="1399"/>
    </row>
    <row r="26" spans="1:69" s="782" customFormat="1" x14ac:dyDescent="0.2">
      <c r="A26" s="852">
        <f>A23+1</f>
        <v>4</v>
      </c>
      <c r="B26" s="1791">
        <v>14</v>
      </c>
      <c r="C26" s="851" t="str">
        <f>Valid!$B$74</f>
        <v>Elevated/Concrete</v>
      </c>
      <c r="D26" s="1841"/>
      <c r="E26" s="1245" t="str">
        <f>IF(AT26="N/A","",AT26)</f>
        <v/>
      </c>
      <c r="F26" s="764"/>
      <c r="G26" s="764"/>
      <c r="H26" s="1864"/>
      <c r="I26" s="1904" t="str">
        <f>IF(C13="","",IF(J26&lt;&gt;"","Linear Feet   ","Qty? Enter Zero if N/A  "))</f>
        <v/>
      </c>
      <c r="J26" s="1864"/>
      <c r="K26" s="1904" t="str">
        <f>IF(E26="yes","",IF(C13="","",IF(H26="","Qty? Enter Zero if N/A  ",IF(H26&lt;&gt;"","Track Feet      ",""))))</f>
        <v/>
      </c>
      <c r="L26" s="1864"/>
      <c r="M26" s="1620" t="str">
        <f>IF($H26=0,"",IF($L26="",TEXT(BN26,0)&amp;" Years?    ",""))</f>
        <v/>
      </c>
      <c r="N26" s="1905"/>
      <c r="O26" s="1620"/>
      <c r="P26" s="1864"/>
      <c r="Q26" s="1865" t="str">
        <f>IF($N26="","",IF(AND($N26="",OR($H26="",$H26=0)),"",IF(AND($N26="LF",$AJ26&lt;$H26),"0 - "&amp;TEXT(($H26-$AJ26)/1000,"0")&amp;"k lin. ft.?    ",IF(AND($N26="TF",$AJ26&lt;$J26),"0 - "&amp;TEXT(($J26-$AJ26)/1000,"0")&amp;"k track ft.?    ",IF(AND($N26="%",$AJ26&lt;1),REPLACE(IF(AND($P26&gt;0,$V26&gt;0,$T26&gt;0,$X26&gt;0,$R26&gt;0,$Z26&gt;0,$AB26&gt;0,$AD26&gt;0,$AF26&gt;0,$AH26&gt;0),"","0-"),99,0,REPLACE(TEXT(100-$AJ26,0),99,0,"%?    ")),"")))))</f>
        <v/>
      </c>
      <c r="R26" s="1864"/>
      <c r="S26" s="1865" t="str">
        <f>IF($N26="","",IF(AND($N26="",OR($H26="",$H26=0)),"",IF(AND($N26="LF",$AJ26&lt;$H26),"0 - "&amp;TEXT(($H26-$AJ26)/1000,"0")&amp;"k lin. ft.?    ",IF(AND($N26="TF",$AJ26&lt;$J26),"0 - "&amp;TEXT(($J26-$AJ26)/1000,"0")&amp;"k track ft.?    ",IF(AND($N26="%",$AJ26&lt;1),REPLACE(IF(AND($P26&gt;0,$V26&gt;0,$T26&gt;0,$X26&gt;0,$R26&gt;0,$Z26&gt;0,$AB26&gt;0,$AD26&gt;0,$AF26&gt;0,$AH26&gt;0),"","0-"),99,0,REPLACE(TEXT(100-$AJ26,0),99,0,"%?    ")),"")))))</f>
        <v/>
      </c>
      <c r="T26" s="1864"/>
      <c r="U26" s="1865" t="str">
        <f>IF($N26="","",IF(AND($N26="",OR($H26="",$H26=0)),"",IF(AND($N26="LF",$AJ26&lt;$H26),"0 - "&amp;TEXT(($H26-$AJ26)/1000,"0")&amp;"k lin. ft.?    ",IF(AND($N26="TF",$AJ26&lt;$J26),"0 - "&amp;TEXT(($J26-$AJ26)/1000,"0")&amp;"k track ft.?    ",IF(AND($N26="%",$AJ26&lt;1),REPLACE(IF(AND($P26&gt;0,$V26&gt;0,$T26&gt;0,$X26&gt;0,$R26&gt;0,$Z26&gt;0,$AB26&gt;0,$AD26&gt;0,$AF26&gt;0,$AH26&gt;0),"","0-"),99,0,REPLACE(TEXT(100-$AJ26,0),99,0,"%?    ")),"")))))</f>
        <v/>
      </c>
      <c r="V26" s="1864"/>
      <c r="W26" s="1865" t="str">
        <f>IF($N26="","",IF(AND($N26="",OR($H26="",$H26=0)),"",IF(AND($N26="LF",$AJ26&lt;$H26),"0 - "&amp;TEXT(($H26-$AJ26)/1000,"0")&amp;"k lin. ft.?    ",IF(AND($N26="TF",$AJ26&lt;$J26),"0 - "&amp;TEXT(($J26-$AJ26)/1000,"0")&amp;"k track ft.?    ",IF(AND($N26="%",$AJ26&lt;1),REPLACE(IF(AND($P26&gt;0,$V26&gt;0,$T26&gt;0,$X26&gt;0,$R26&gt;0,$Z26&gt;0,$AB26&gt;0,$AD26&gt;0,$AF26&gt;0,$AH26&gt;0),"","0-"),99,0,REPLACE(TEXT(100-$AJ26,0),99,0,"%?    ")),"")))))</f>
        <v/>
      </c>
      <c r="X26" s="1864"/>
      <c r="Y26" s="1865" t="str">
        <f>IF($N26="","",IF(AND($N26="",OR($H26="",$H26=0)),"",IF(AND($N26="LF",$AJ26&lt;$H26),"0 - "&amp;TEXT(($H26-$AJ26)/1000,"0")&amp;"k lin. ft.?    ",IF(AND($N26="TF",$AJ26&lt;$J26),"0 - "&amp;TEXT(($J26-$AJ26)/1000,"0")&amp;"k track ft.?    ",IF(AND($N26="%",$AJ26&lt;1),REPLACE(IF(AND($P26&gt;0,$V26&gt;0,$T26&gt;0,$X26&gt;0,$R26&gt;0,$Z26&gt;0,$AB26&gt;0,$AD26&gt;0,$AF26&gt;0,$AH26&gt;0),"","0-"),99,0,REPLACE(TEXT(100-$AJ26,0),99,0,"%?    ")),"")))))</f>
        <v/>
      </c>
      <c r="Z26" s="1864"/>
      <c r="AA26" s="1865" t="str">
        <f>IF($N26="","",IF(AND($N26="",OR($H26="",$H26=0)),"",IF(AND($N26="LF",$AJ26&lt;$H26),"0 - "&amp;TEXT(($H26-$AJ26)/1000,"0")&amp;"k lin. ft.?    ",IF(AND($N26="TF",$AJ26&lt;$J26),"0 - "&amp;TEXT(($J26-$AJ26)/1000,"0")&amp;"k track ft.?    ",IF(AND($N26="%",$AJ26&lt;1),REPLACE(IF(AND($P26&gt;0,$V26&gt;0,$T26&gt;0,$X26&gt;0,$R26&gt;0,$Z26&gt;0,$AB26&gt;0,$AD26&gt;0,$AF26&gt;0,$AH26&gt;0),"","0-"),99,0,REPLACE(TEXT(100-$AJ26,0),99,0,"%?    ")),"")))))</f>
        <v/>
      </c>
      <c r="AB26" s="1864"/>
      <c r="AC26" s="1865" t="str">
        <f>IF($N26="","",IF(AND($N26="",OR($H26="",$H26=0)),"",IF(AND($N26="LF",$AJ26&lt;$H26),"0 - "&amp;TEXT(($H26-$AJ26)/1000,"0")&amp;"k lin. ft.?    ",IF(AND($N26="TF",$AJ26&lt;$J26),"0 - "&amp;TEXT(($J26-$AJ26)/1000,"0")&amp;"k track ft.?    ",IF(AND($N26="%",$AJ26&lt;1),REPLACE(IF(AND($P26&gt;0,$V26&gt;0,$T26&gt;0,$X26&gt;0,$R26&gt;0,$Z26&gt;0,$AB26&gt;0,$AD26&gt;0,$AF26&gt;0,$AH26&gt;0),"","0-"),99,0,REPLACE(TEXT(100-$AJ26,0),99,0,"%?    ")),"")))))</f>
        <v/>
      </c>
      <c r="AD26" s="1864"/>
      <c r="AE26" s="1865" t="str">
        <f>IF($N26="","",IF(AND($N26="",OR($H26="",$H26=0)),"",IF(AND($N26="LF",$AJ26&lt;$H26),"0 - "&amp;TEXT(($H26-$AJ26)/1000,"0")&amp;"k lin. ft.?    ",IF(AND($N26="TF",$AJ26&lt;$J26),"0 - "&amp;TEXT(($J26-$AJ26)/1000,"0")&amp;"k track ft.?    ",IF(AND($N26="%",$AJ26&lt;1),REPLACE(IF(AND($P26&gt;0,$V26&gt;0,$T26&gt;0,$X26&gt;0,$R26&gt;0,$Z26&gt;0,$AB26&gt;0,$AD26&gt;0,$AF26&gt;0,$AH26&gt;0),"","0-"),99,0,REPLACE(TEXT(100-$AJ26,0),99,0,"%?    ")),"")))))</f>
        <v/>
      </c>
      <c r="AF26" s="1864"/>
      <c r="AG26" s="1865" t="str">
        <f>IF($N26="","",IF(AND($N26="",OR($H26="",$H26=0)),"",IF(AND($N26="LF",$AJ26&lt;$H26),"0 - "&amp;TEXT(($H26-$AJ26)/1000,"0")&amp;"k lin. ft.?    ",IF(AND($N26="TF",$AJ26&lt;$J26),"0 - "&amp;TEXT(($J26-$AJ26)/1000,"0")&amp;"k track ft.?    ",IF(AND($N26="%",$AJ26&lt;1),REPLACE(IF(AND($P26&gt;0,$V26&gt;0,$T26&gt;0,$X26&gt;0,$R26&gt;0,$Z26&gt;0,$AB26&gt;0,$AD26&gt;0,$AF26&gt;0,$AH26&gt;0),"","0-"),99,0,REPLACE(TEXT(100-$AJ26,0),99,0,"%?    ")),"")))))</f>
        <v/>
      </c>
      <c r="AH26" s="1864"/>
      <c r="AI26" s="904" t="str">
        <f>IF($N26="","",IF(AND($N26="",OR($H26="",$H26=0)),"",IF(AND($N26="LF",$AJ26&lt;$H26),"0 - "&amp;TEXT(($H26-$AJ26)/1000,"0")&amp;"k lin. ft.?    ",IF(AND($N26="TF",$AJ26&lt;$J26),"0 - "&amp;TEXT(($J26-$AJ26)/1000,"0")&amp;"k track ft.?    ",IF(AND($N26="%",$AJ26&lt;1),REPLACE(IF(AND($P26&gt;0,$V26&gt;0,$T26&gt;0,$X26&gt;0,$R26&gt;0,$Z26&gt;0,$AB26&gt;0,$AD26&gt;0,$AF26&gt;0,$AH26&gt;0),"","0-"),99,0,REPLACE(TEXT(100-$AJ26,0),99,0,"%?    ")),"")))))</f>
        <v/>
      </c>
      <c r="AJ26" s="1833">
        <f>IFERROR(IF(N26="%", SUM(P26,R26,T26,V26,X26,Z26,AB26,AD26,AF26,AH26)/100, SUM(P26,R26,T26,V26,X26,Z26,AB26,AD26,AF26,AH26)/IF(N26="LF", H26,J26)), 0)</f>
        <v>0</v>
      </c>
      <c r="AK26" s="1648"/>
      <c r="AL26" s="1675"/>
      <c r="AM26" s="1399"/>
      <c r="AN26" s="1808"/>
      <c r="AO26" s="1399"/>
      <c r="AP26" s="1653"/>
      <c r="AQ26" s="1399"/>
      <c r="AS26" s="1399"/>
      <c r="AT26" s="1624" t="str">
        <f>IF(AND($C$13="", H26="", J26=""), "N/A", IF(OR(AND(ISNUMBER(H26), ISNUMBER(J26), H26=0, J26=0), AND(AJ26=1, H26&lt;&gt;"", J26&lt;&gt;"", L26&lt;&gt;"", N26&lt;&gt;"", P26&lt;&gt;"", R26&lt;&gt;"", T26&lt;&gt;"", V26&lt;&gt;"", X26&lt;&gt;"", Z26&lt;&gt;"", AB26&lt;&gt;"", AD26&lt;&gt;"", AF26&lt;&gt;"", AH26&lt;&gt;"",AL26&lt;&gt;"", IF(AND(AL26&lt;1, AN26=""), FALSE, TRUE))), "Yes", "No"))</f>
        <v>N/A</v>
      </c>
      <c r="AU26" s="759" t="b">
        <f>IF(AND(H26="",OR(L26&lt;&gt;"",P26&lt;&gt;"",R26&lt;&gt;"",T26&lt;&gt;"",V26&lt;&gt;"",X26&lt;&gt;"",AL26&lt;&gt;"",Z26&lt;&gt;"",AB26&lt;&gt;"",AD26&lt;&gt;"",AF26&lt;&gt;"",AH26&lt;&gt;"")),TRUE,FALSE)</f>
        <v>0</v>
      </c>
      <c r="AV26" s="759" t="b">
        <f>IF(OR(H26="",H26=0),FALSE,IF(H26&gt;BM26,TRUE,FALSE))</f>
        <v>0</v>
      </c>
      <c r="AW26" s="759" t="b">
        <f>IF(AND($C$13&lt;&gt;"",$H26=""),TRUE,FALSE)</f>
        <v>0</v>
      </c>
      <c r="AX26" s="759" t="b">
        <f>IF(E26="yes",FALSE,IF(H26="0",FALSE,IF(AND($C$13&lt;&gt;"",J26=""),TRUE,FALSE)))</f>
        <v>0</v>
      </c>
      <c r="AY26" s="759" t="b">
        <f>IF($L26="",FALSE,IF($L26&lt;$BO26,TRUE,FALSE))</f>
        <v>0</v>
      </c>
      <c r="AZ26" s="759" t="b">
        <f>IF($L26="",FALSE,IF($L26&gt;$BP26,TRUE,FALSE))</f>
        <v>0</v>
      </c>
      <c r="BA26" s="759" t="b">
        <f>IF(H26=0,FALSE,IF(AND(E26&lt;&gt;"",$L26=""),TRUE,FALSE))</f>
        <v>0</v>
      </c>
      <c r="BB26" s="759" t="b">
        <f>IF(AND($AJ26&lt;&gt;0,$H26&lt;&gt;$BJ26,$N26="LF"),TRUE,IF(AND($AJ26&lt;&gt;0,$J26&lt;&gt;$AJ26,$N26="TF"),TRUE,IF(AND($AJ26&lt;&gt;0,$AJ26&lt;&gt;1,$N26="%"),TRUE,FALSE)))</f>
        <v>0</v>
      </c>
      <c r="BC26" s="759" t="b">
        <f>IF(AT26="No", IF(OR(P26="", R26="", T26="", V26="", X26="", Z26="", AB26="", AD26="", AF26="", AH26=""), TRUE, FALSE), FALSE)</f>
        <v>0</v>
      </c>
      <c r="BD26" s="759" t="b">
        <f>IF($BE26=TRUE,FALSE,IF(OR($AL26&lt;0,$AL26&gt;1),TRUE,FALSE))</f>
        <v>0</v>
      </c>
      <c r="BE26" s="759" t="b">
        <f>IF(AND($H26&lt;&gt;0,$AL26=""),TRUE,FALSE)</f>
        <v>0</v>
      </c>
      <c r="BF26" s="759" t="b">
        <f>IF(N26="%",TRUE,FALSE)</f>
        <v>0</v>
      </c>
      <c r="BG26" s="760"/>
      <c r="BH26" s="1678">
        <f>IF($C26="","",VLOOKUP($C26,val_fg_assets,9,FALSE))</f>
        <v>1</v>
      </c>
      <c r="BI26" s="1678" t="str">
        <f>IF(N26="", "", IF(N26="LF", H26, IF(N26="TF", J26, IF(N26="%", 1, ""))))</f>
        <v/>
      </c>
      <c r="BJ26" s="1679">
        <f>P26+R26+T26+V26+X26+Z26+AB26+AD26+AF26+AH26</f>
        <v>0</v>
      </c>
      <c r="BK26" s="1679" t="str">
        <f>IF(BI26="", "", BI26-BJ26)</f>
        <v/>
      </c>
      <c r="BL26" s="1679">
        <f>IF($C26="","",VLOOKUP($C26,val_fg_assets,3,FALSE))</f>
        <v>0</v>
      </c>
      <c r="BM26" s="1679">
        <f>IF($C26="","",VLOOKUP($C26,val_fg_assets,4,FALSE))</f>
        <v>1320000</v>
      </c>
      <c r="BN26" s="1678">
        <f>IF($C26="","",VLOOKUP($C26,val_fg_assets,5,FALSE))</f>
        <v>80</v>
      </c>
      <c r="BO26" s="1678">
        <f>IF($C26="","",VLOOKUP($C26,val_fg_assets,6,FALSE))</f>
        <v>60</v>
      </c>
      <c r="BP26" s="1678">
        <f>IF($C26="","",VLOOKUP($C26,val_fg_assets,7,FALSE))</f>
        <v>100</v>
      </c>
      <c r="BQ26" s="1399"/>
    </row>
    <row r="27" spans="1:69" s="782" customFormat="1" ht="3.95" customHeight="1" x14ac:dyDescent="0.2">
      <c r="A27" s="852"/>
      <c r="B27" s="1790">
        <v>15</v>
      </c>
      <c r="C27" s="851"/>
      <c r="D27" s="1841"/>
      <c r="E27" s="1058"/>
      <c r="F27" s="686"/>
      <c r="G27" s="686"/>
      <c r="H27" s="1909"/>
      <c r="I27" s="1907"/>
      <c r="J27" s="1908"/>
      <c r="K27" s="1907"/>
      <c r="L27" s="1909"/>
      <c r="M27" s="1910"/>
      <c r="N27" s="1911"/>
      <c r="O27" s="1910"/>
      <c r="P27" s="1866"/>
      <c r="Q27" s="1867"/>
      <c r="R27" s="1866"/>
      <c r="S27" s="1867"/>
      <c r="T27" s="1866"/>
      <c r="U27" s="1867"/>
      <c r="V27" s="1866"/>
      <c r="W27" s="1867"/>
      <c r="X27" s="1866"/>
      <c r="Y27" s="1867"/>
      <c r="Z27" s="1867"/>
      <c r="AA27" s="1867"/>
      <c r="AB27" s="1867"/>
      <c r="AC27" s="1867"/>
      <c r="AD27" s="1867"/>
      <c r="AE27" s="1867"/>
      <c r="AF27" s="1867"/>
      <c r="AG27" s="1867"/>
      <c r="AH27" s="1867"/>
      <c r="AI27" s="837"/>
      <c r="AJ27" s="1806"/>
      <c r="AK27" s="841"/>
      <c r="AL27" s="1806"/>
      <c r="AM27" s="1399"/>
      <c r="AN27" s="838"/>
      <c r="AO27" s="1399"/>
      <c r="AP27" s="1223"/>
      <c r="AQ27" s="1399"/>
      <c r="AS27" s="1399"/>
      <c r="AT27" s="1399"/>
      <c r="AU27" s="759"/>
      <c r="AV27" s="759"/>
      <c r="AW27" s="759"/>
      <c r="AX27" s="759"/>
      <c r="AY27" s="759"/>
      <c r="AZ27" s="759"/>
      <c r="BA27" s="759"/>
      <c r="BB27" s="759"/>
      <c r="BC27" s="759"/>
      <c r="BD27" s="759"/>
      <c r="BE27" s="759"/>
      <c r="BF27" s="759"/>
      <c r="BG27" s="760"/>
      <c r="BH27" s="1678"/>
      <c r="BI27" s="1678"/>
      <c r="BJ27" s="1678"/>
      <c r="BK27" s="1678"/>
      <c r="BL27" s="1679"/>
      <c r="BM27" s="1679"/>
      <c r="BN27" s="1678"/>
      <c r="BO27" s="1678"/>
      <c r="BP27" s="1678"/>
      <c r="BQ27" s="1399"/>
    </row>
    <row r="28" spans="1:69" s="782" customFormat="1" ht="3.95" customHeight="1" thickBot="1" x14ac:dyDescent="0.25">
      <c r="A28" s="852"/>
      <c r="B28" s="1790">
        <v>16</v>
      </c>
      <c r="C28" s="1673"/>
      <c r="D28" s="1841"/>
      <c r="E28" s="1057"/>
      <c r="F28" s="764"/>
      <c r="G28" s="764"/>
      <c r="H28" s="1913"/>
      <c r="I28" s="1908"/>
      <c r="J28" s="1908"/>
      <c r="K28" s="1908"/>
      <c r="L28" s="1909"/>
      <c r="M28" s="722"/>
      <c r="N28" s="1912"/>
      <c r="O28" s="722"/>
      <c r="P28" s="1868"/>
      <c r="Q28" s="1869"/>
      <c r="R28" s="1868"/>
      <c r="S28" s="1869"/>
      <c r="T28" s="1868"/>
      <c r="U28" s="1869"/>
      <c r="V28" s="1868"/>
      <c r="W28" s="1869"/>
      <c r="X28" s="1868"/>
      <c r="Y28" s="1869"/>
      <c r="Z28" s="1869"/>
      <c r="AA28" s="1869"/>
      <c r="AB28" s="1869"/>
      <c r="AC28" s="1869"/>
      <c r="AD28" s="1869"/>
      <c r="AE28" s="1869"/>
      <c r="AF28" s="1869"/>
      <c r="AG28" s="1869"/>
      <c r="AH28" s="1869"/>
      <c r="AI28" s="1670"/>
      <c r="AJ28" s="1828"/>
      <c r="AK28" s="724"/>
      <c r="AL28" s="1806"/>
      <c r="AM28" s="1399"/>
      <c r="AN28" s="1258"/>
      <c r="AO28" s="1399"/>
      <c r="AP28" s="1399"/>
      <c r="AQ28" s="1399"/>
      <c r="AS28" s="1399"/>
      <c r="AT28" s="1399"/>
      <c r="AU28" s="759"/>
      <c r="AV28" s="759"/>
      <c r="AW28" s="759"/>
      <c r="AX28" s="759"/>
      <c r="AY28" s="759"/>
      <c r="AZ28" s="759"/>
      <c r="BA28" s="759"/>
      <c r="BB28" s="759"/>
      <c r="BC28" s="759"/>
      <c r="BD28" s="759"/>
      <c r="BE28" s="759"/>
      <c r="BF28" s="759"/>
      <c r="BG28" s="760"/>
      <c r="BH28" s="1678"/>
      <c r="BI28" s="1678"/>
      <c r="BJ28" s="1678"/>
      <c r="BK28" s="1678"/>
      <c r="BL28" s="1679"/>
      <c r="BM28" s="1679"/>
      <c r="BN28" s="1678"/>
      <c r="BO28" s="1678"/>
      <c r="BP28" s="1678"/>
      <c r="BQ28" s="1399"/>
    </row>
    <row r="29" spans="1:69" s="782" customFormat="1" x14ac:dyDescent="0.2">
      <c r="A29" s="852">
        <f>A26+1</f>
        <v>5</v>
      </c>
      <c r="B29" s="1791">
        <v>17</v>
      </c>
      <c r="C29" s="851" t="str">
        <f>Valid!$B$75</f>
        <v>Elevated/Steel Viaduct or Bridge</v>
      </c>
      <c r="D29" s="1841"/>
      <c r="E29" s="1245" t="str">
        <f>IF(AT29="N/A","",AT29)</f>
        <v/>
      </c>
      <c r="F29" s="686"/>
      <c r="G29" s="686"/>
      <c r="H29" s="1864"/>
      <c r="I29" s="1904" t="str">
        <f>IF(C13="","",IF(J29&lt;&gt;"","Linear Feet   ","Qty? Enter Zero if N/A  "))</f>
        <v/>
      </c>
      <c r="J29" s="1864"/>
      <c r="K29" s="1904" t="str">
        <f>IF(E29="yes","",IF(C13="","",IF(H29="","Qty? Enter Zero if N/A  ",IF(H29&lt;&gt;"","Track Feet      ",""))))</f>
        <v/>
      </c>
      <c r="L29" s="1864"/>
      <c r="M29" s="1620" t="str">
        <f>IF($H29=0,"",IF($L29="",TEXT(BN29,0)&amp;" Years?    ",""))</f>
        <v/>
      </c>
      <c r="N29" s="1905"/>
      <c r="O29" s="1620"/>
      <c r="P29" s="1864"/>
      <c r="Q29" s="1865" t="str">
        <f>IF($N29="","",IF(AND($N29="",OR($H29="",$H29=0)),"",IF(AND($N29="LF",$AJ29&lt;$H29),"0 - "&amp;TEXT(($H29-$AJ29)/1000,"0")&amp;"k lin. ft.?    ",IF(AND($N29="TF",$AJ29&lt;$J29),"0 - "&amp;TEXT(($J29-$AJ29)/1000,"0")&amp;"k track ft.?    ",IF(AND($N29="%",$AJ29&lt;1),REPLACE(IF(AND($P29&gt;0,$V29&gt;0,$T29&gt;0,$X29&gt;0,$R29&gt;0,$Z29&gt;0,$AB29&gt;0,$AD29&gt;0,$AF29&gt;0,$AH29&gt;0),"","0-"),99,0,REPLACE(TEXT(100-$AJ29,0),99,0,"%?    ")),"")))))</f>
        <v/>
      </c>
      <c r="R29" s="1864"/>
      <c r="S29" s="1865" t="str">
        <f>IF($N29="","",IF(AND($N29="",OR($H29="",$H29=0)),"",IF(AND($N29="LF",$AJ29&lt;$H29),"0 - "&amp;TEXT(($H29-$AJ29)/1000,"0")&amp;"k lin. ft.?    ",IF(AND($N29="TF",$AJ29&lt;$J29),"0 - "&amp;TEXT(($J29-$AJ29)/1000,"0")&amp;"k track ft.?    ",IF(AND($N29="%",$AJ29&lt;1),REPLACE(IF(AND($P29&gt;0,$V29&gt;0,$T29&gt;0,$X29&gt;0,$R29&gt;0,$Z29&gt;0,$AB29&gt;0,$AD29&gt;0,$AF29&gt;0,$AH29&gt;0),"","0-"),99,0,REPLACE(TEXT(100-$AJ29,0),99,0,"%?    ")),"")))))</f>
        <v/>
      </c>
      <c r="T29" s="1864"/>
      <c r="U29" s="1865" t="str">
        <f>IF($N29="","",IF(AND($N29="",OR($H29="",$H29=0)),"",IF(AND($N29="LF",$AJ29&lt;$H29),"0 - "&amp;TEXT(($H29-$AJ29)/1000,"0")&amp;"k lin. ft.?    ",IF(AND($N29="TF",$AJ29&lt;$J29),"0 - "&amp;TEXT(($J29-$AJ29)/1000,"0")&amp;"k track ft.?    ",IF(AND($N29="%",$AJ29&lt;1),REPLACE(IF(AND($P29&gt;0,$V29&gt;0,$T29&gt;0,$X29&gt;0,$R29&gt;0,$Z29&gt;0,$AB29&gt;0,$AD29&gt;0,$AF29&gt;0,$AH29&gt;0),"","0-"),99,0,REPLACE(TEXT(100-$AJ29,0),99,0,"%?    ")),"")))))</f>
        <v/>
      </c>
      <c r="V29" s="1864"/>
      <c r="W29" s="1865" t="str">
        <f>IF($N29="","",IF(AND($N29="",OR($H29="",$H29=0)),"",IF(AND($N29="LF",$AJ29&lt;$H29),"0 - "&amp;TEXT(($H29-$AJ29)/1000,"0")&amp;"k lin. ft.?    ",IF(AND($N29="TF",$AJ29&lt;$J29),"0 - "&amp;TEXT(($J29-$AJ29)/1000,"0")&amp;"k track ft.?    ",IF(AND($N29="%",$AJ29&lt;1),REPLACE(IF(AND($P29&gt;0,$V29&gt;0,$T29&gt;0,$X29&gt;0,$R29&gt;0,$Z29&gt;0,$AB29&gt;0,$AD29&gt;0,$AF29&gt;0,$AH29&gt;0),"","0-"),99,0,REPLACE(TEXT(100-$AJ29,0),99,0,"%?    ")),"")))))</f>
        <v/>
      </c>
      <c r="X29" s="1864"/>
      <c r="Y29" s="1865" t="str">
        <f>IF($N29="","",IF(AND($N29="",OR($H29="",$H29=0)),"",IF(AND($N29="LF",$AJ29&lt;$H29),"0 - "&amp;TEXT(($H29-$AJ29)/1000,"0")&amp;"k lin. ft.?    ",IF(AND($N29="TF",$AJ29&lt;$J29),"0 - "&amp;TEXT(($J29-$AJ29)/1000,"0")&amp;"k track ft.?    ",IF(AND($N29="%",$AJ29&lt;1),REPLACE(IF(AND($P29&gt;0,$V29&gt;0,$T29&gt;0,$X29&gt;0,$R29&gt;0,$Z29&gt;0,$AB29&gt;0,$AD29&gt;0,$AF29&gt;0,$AH29&gt;0),"","0-"),99,0,REPLACE(TEXT(100-$AJ29,0),99,0,"%?    ")),"")))))</f>
        <v/>
      </c>
      <c r="Z29" s="1864"/>
      <c r="AA29" s="1865" t="str">
        <f>IF($N29="","",IF(AND($N29="",OR($H29="",$H29=0)),"",IF(AND($N29="LF",$AJ29&lt;$H29),"0 - "&amp;TEXT(($H29-$AJ29)/1000,"0")&amp;"k lin. ft.?    ",IF(AND($N29="TF",$AJ29&lt;$J29),"0 - "&amp;TEXT(($J29-$AJ29)/1000,"0")&amp;"k track ft.?    ",IF(AND($N29="%",$AJ29&lt;1),REPLACE(IF(AND($P29&gt;0,$V29&gt;0,$T29&gt;0,$X29&gt;0,$R29&gt;0,$Z29&gt;0,$AB29&gt;0,$AD29&gt;0,$AF29&gt;0,$AH29&gt;0),"","0-"),99,0,REPLACE(TEXT(100-$AJ29,0),99,0,"%?    ")),"")))))</f>
        <v/>
      </c>
      <c r="AB29" s="1864"/>
      <c r="AC29" s="1865" t="str">
        <f>IF($N29="","",IF(AND($N29="",OR($H29="",$H29=0)),"",IF(AND($N29="LF",$AJ29&lt;$H29),"0 - "&amp;TEXT(($H29-$AJ29)/1000,"0")&amp;"k lin. ft.?    ",IF(AND($N29="TF",$AJ29&lt;$J29),"0 - "&amp;TEXT(($J29-$AJ29)/1000,"0")&amp;"k track ft.?    ",IF(AND($N29="%",$AJ29&lt;1),REPLACE(IF(AND($P29&gt;0,$V29&gt;0,$T29&gt;0,$X29&gt;0,$R29&gt;0,$Z29&gt;0,$AB29&gt;0,$AD29&gt;0,$AF29&gt;0,$AH29&gt;0),"","0-"),99,0,REPLACE(TEXT(100-$AJ29,0),99,0,"%?    ")),"")))))</f>
        <v/>
      </c>
      <c r="AD29" s="1864"/>
      <c r="AE29" s="1865" t="str">
        <f>IF($N29="","",IF(AND($N29="",OR($H29="",$H29=0)),"",IF(AND($N29="LF",$AJ29&lt;$H29),"0 - "&amp;TEXT(($H29-$AJ29)/1000,"0")&amp;"k lin. ft.?    ",IF(AND($N29="TF",$AJ29&lt;$J29),"0 - "&amp;TEXT(($J29-$AJ29)/1000,"0")&amp;"k track ft.?    ",IF(AND($N29="%",$AJ29&lt;1),REPLACE(IF(AND($P29&gt;0,$V29&gt;0,$T29&gt;0,$X29&gt;0,$R29&gt;0,$Z29&gt;0,$AB29&gt;0,$AD29&gt;0,$AF29&gt;0,$AH29&gt;0),"","0-"),99,0,REPLACE(TEXT(100-$AJ29,0),99,0,"%?    ")),"")))))</f>
        <v/>
      </c>
      <c r="AF29" s="1864"/>
      <c r="AG29" s="1865" t="str">
        <f>IF($N29="","",IF(AND($N29="",OR($H29="",$H29=0)),"",IF(AND($N29="LF",$AJ29&lt;$H29),"0 - "&amp;TEXT(($H29-$AJ29)/1000,"0")&amp;"k lin. ft.?    ",IF(AND($N29="TF",$AJ29&lt;$J29),"0 - "&amp;TEXT(($J29-$AJ29)/1000,"0")&amp;"k track ft.?    ",IF(AND($N29="%",$AJ29&lt;1),REPLACE(IF(AND($P29&gt;0,$V29&gt;0,$T29&gt;0,$X29&gt;0,$R29&gt;0,$Z29&gt;0,$AB29&gt;0,$AD29&gt;0,$AF29&gt;0,$AH29&gt;0),"","0-"),99,0,REPLACE(TEXT(100-$AJ29,0),99,0,"%?    ")),"")))))</f>
        <v/>
      </c>
      <c r="AH29" s="1864"/>
      <c r="AI29" s="904" t="str">
        <f>IF($N29="","",IF(AND($N29="",OR($H29="",$H29=0)),"",IF(AND($N29="LF",$AJ29&lt;$H29),"0 - "&amp;TEXT(($H29-$AJ29)/1000,"0")&amp;"k lin. ft.?    ",IF(AND($N29="TF",$AJ29&lt;$J29),"0 - "&amp;TEXT(($J29-$AJ29)/1000,"0")&amp;"k track ft.?    ",IF(AND($N29="%",$AJ29&lt;1),REPLACE(IF(AND($P29&gt;0,$V29&gt;0,$T29&gt;0,$X29&gt;0,$R29&gt;0,$Z29&gt;0,$AB29&gt;0,$AD29&gt;0,$AF29&gt;0,$AH29&gt;0),"","0-"),99,0,REPLACE(TEXT(100-$AJ29,0),99,0,"%?    ")),"")))))</f>
        <v/>
      </c>
      <c r="AJ29" s="1833">
        <f>IFERROR(IF(N29="%", SUM(P29,R29,T29,V29,X29,Z29,AB29,AD29,AF29,AH29)/100, SUM(P29,R29,T29,V29,X29,Z29,AB29,AD29,AF29,AH29)/IF(N29="LF", H29,J29)), 0)</f>
        <v>0</v>
      </c>
      <c r="AK29" s="1648"/>
      <c r="AL29" s="1675"/>
      <c r="AM29" s="1399"/>
      <c r="AN29" s="1808"/>
      <c r="AO29" s="1399"/>
      <c r="AP29" s="1653"/>
      <c r="AQ29" s="1399"/>
      <c r="AS29" s="1399"/>
      <c r="AT29" s="1624" t="str">
        <f>IF(AND($C$13="", H29="", J29=""), "N/A", IF(OR(AND(ISNUMBER(H29), ISNUMBER(J29), H29=0, J29=0), AND(AJ29=1, H29&lt;&gt;"", J29&lt;&gt;"", L29&lt;&gt;"", N29&lt;&gt;"", P29&lt;&gt;"", R29&lt;&gt;"", T29&lt;&gt;"", V29&lt;&gt;"", X29&lt;&gt;"", Z29&lt;&gt;"", AB29&lt;&gt;"", AD29&lt;&gt;"", AF29&lt;&gt;"", AH29&lt;&gt;"",AL29&lt;&gt;"", IF(AND(AL29&lt;1, AN29=""), FALSE, TRUE))), "Yes", "No"))</f>
        <v>N/A</v>
      </c>
      <c r="AU29" s="759" t="b">
        <f>IF(AND(H29="",OR(L29&lt;&gt;"",P29&lt;&gt;"",R29&lt;&gt;"",T29&lt;&gt;"",V29&lt;&gt;"",X29&lt;&gt;"",AL29&lt;&gt;"",Z29&lt;&gt;"",AB29&lt;&gt;"",AD29&lt;&gt;"",AF29&lt;&gt;"",AH29&lt;&gt;"")),TRUE,FALSE)</f>
        <v>0</v>
      </c>
      <c r="AV29" s="759" t="b">
        <f>IF(OR(H29="",H29=0),FALSE,IF(H29&gt;BM29,TRUE,FALSE))</f>
        <v>0</v>
      </c>
      <c r="AW29" s="759" t="b">
        <f>IF(AND($C$13&lt;&gt;"",$H29=""),TRUE,FALSE)</f>
        <v>0</v>
      </c>
      <c r="AX29" s="759" t="b">
        <f>IF(E29="yes",FALSE,IF(H29="0",FALSE,IF(AND($C$13&lt;&gt;"",J29=""),TRUE,FALSE)))</f>
        <v>0</v>
      </c>
      <c r="AY29" s="759" t="b">
        <f>IF($L29="",FALSE,IF($L29&lt;$BO29,TRUE,FALSE))</f>
        <v>0</v>
      </c>
      <c r="AZ29" s="759" t="b">
        <f>IF($L29="",FALSE,IF($L29&gt;$BP29,TRUE,FALSE))</f>
        <v>0</v>
      </c>
      <c r="BA29" s="759" t="b">
        <f>IF(H29=0,FALSE,IF(AND(E29&lt;&gt;"",$L29=""),TRUE,FALSE))</f>
        <v>0</v>
      </c>
      <c r="BB29" s="759" t="b">
        <f>IF(AND($AJ29&lt;&gt;0,$H29&lt;&gt;$BJ29,$N29="LF"),TRUE,IF(AND($AJ29&lt;&gt;0,$J29&lt;&gt;$AJ29,$N29="TF"),TRUE,IF(AND($AJ29&lt;&gt;0,$AJ29&lt;&gt;1,$N29="%"),TRUE,FALSE)))</f>
        <v>0</v>
      </c>
      <c r="BC29" s="759" t="b">
        <f>IF(AT29="No", IF(OR(P29="", R29="", T29="", V29="", X29="", Z29="", AB29="", AD29="", AF29="", AH29=""), TRUE, FALSE), FALSE)</f>
        <v>0</v>
      </c>
      <c r="BD29" s="759" t="b">
        <f>IF($BE29=TRUE,FALSE,IF(OR($AL29&lt;0,$AL29&gt;1),TRUE,FALSE))</f>
        <v>0</v>
      </c>
      <c r="BE29" s="759" t="b">
        <f>IF(AND($H29&lt;&gt;0,$AL29=""),TRUE,FALSE)</f>
        <v>0</v>
      </c>
      <c r="BF29" s="759" t="b">
        <f>IF(N29="%",TRUE,FALSE)</f>
        <v>0</v>
      </c>
      <c r="BG29" s="760"/>
      <c r="BH29" s="1678">
        <f>IF($C29="","",VLOOKUP($C29,val_fg_assets,9,FALSE))</f>
        <v>1</v>
      </c>
      <c r="BI29" s="1678" t="str">
        <f>IF(N29="", "", IF(N29="LF", H29, IF(N29="TF", J29, IF(N29="%", 1, ""))))</f>
        <v/>
      </c>
      <c r="BJ29" s="1679">
        <f>P29+R29+T29+V29+X29+Z29+AB29+AD29+AF29+AH29</f>
        <v>0</v>
      </c>
      <c r="BK29" s="1679" t="str">
        <f>IF(BI29="", "", BI29-BJ29)</f>
        <v/>
      </c>
      <c r="BL29" s="1679">
        <f>IF($C29="","",VLOOKUP($C29,val_fg_assets,3,FALSE))</f>
        <v>0</v>
      </c>
      <c r="BM29" s="1679">
        <f>IF($C29="","",VLOOKUP($C29,val_fg_assets,4,FALSE))</f>
        <v>1320000</v>
      </c>
      <c r="BN29" s="1678">
        <f>IF($C29="","",VLOOKUP($C29,val_fg_assets,5,FALSE))</f>
        <v>80</v>
      </c>
      <c r="BO29" s="1678">
        <f>IF($C29="","",VLOOKUP($C29,val_fg_assets,6,FALSE))</f>
        <v>60</v>
      </c>
      <c r="BP29" s="1678">
        <f>IF($C29="","",VLOOKUP($C29,val_fg_assets,7,FALSE))</f>
        <v>100</v>
      </c>
      <c r="BQ29" s="1399"/>
    </row>
    <row r="30" spans="1:69" s="782" customFormat="1" ht="3.95" customHeight="1" x14ac:dyDescent="0.2">
      <c r="A30" s="852"/>
      <c r="B30" s="1791">
        <v>18</v>
      </c>
      <c r="C30" s="1673"/>
      <c r="D30" s="1841"/>
      <c r="E30" s="1057"/>
      <c r="F30" s="764"/>
      <c r="G30" s="686">
        <v>7</v>
      </c>
      <c r="H30" s="1906"/>
      <c r="I30" s="1907"/>
      <c r="J30" s="1908"/>
      <c r="K30" s="1907"/>
      <c r="L30" s="1909"/>
      <c r="M30" s="1910"/>
      <c r="N30" s="1911"/>
      <c r="O30" s="1910"/>
      <c r="P30" s="1866"/>
      <c r="Q30" s="1867"/>
      <c r="R30" s="1866"/>
      <c r="S30" s="1867"/>
      <c r="T30" s="1866"/>
      <c r="U30" s="1867"/>
      <c r="V30" s="1866"/>
      <c r="W30" s="1867"/>
      <c r="X30" s="1866"/>
      <c r="Y30" s="1867"/>
      <c r="Z30" s="1867"/>
      <c r="AA30" s="1867"/>
      <c r="AB30" s="1867"/>
      <c r="AC30" s="1867"/>
      <c r="AD30" s="1867"/>
      <c r="AE30" s="1867"/>
      <c r="AF30" s="1867"/>
      <c r="AG30" s="1867"/>
      <c r="AH30" s="1867"/>
      <c r="AI30" s="837"/>
      <c r="AJ30" s="1806"/>
      <c r="AK30" s="841"/>
      <c r="AL30" s="1806"/>
      <c r="AM30" s="1399"/>
      <c r="AN30" s="838"/>
      <c r="AO30" s="1399"/>
      <c r="AP30" s="1399"/>
      <c r="AQ30" s="1399"/>
      <c r="AS30" s="1399"/>
      <c r="AT30" s="1399"/>
      <c r="AU30" s="759"/>
      <c r="AV30" s="759"/>
      <c r="AW30" s="759"/>
      <c r="AX30" s="759"/>
      <c r="AY30" s="759"/>
      <c r="AZ30" s="759"/>
      <c r="BA30" s="759"/>
      <c r="BB30" s="759"/>
      <c r="BC30" s="759"/>
      <c r="BD30" s="759"/>
      <c r="BE30" s="759"/>
      <c r="BF30" s="759"/>
      <c r="BG30" s="760"/>
      <c r="BH30" s="1678"/>
      <c r="BI30" s="1678"/>
      <c r="BJ30" s="1678"/>
      <c r="BK30" s="1678"/>
      <c r="BL30" s="1679"/>
      <c r="BM30" s="1679"/>
      <c r="BN30" s="1678"/>
      <c r="BO30" s="1678"/>
      <c r="BP30" s="1678"/>
      <c r="BQ30" s="1399"/>
    </row>
    <row r="31" spans="1:69" s="782" customFormat="1" ht="3.95" customHeight="1" thickBot="1" x14ac:dyDescent="0.25">
      <c r="A31" s="852"/>
      <c r="B31" s="1791">
        <v>19</v>
      </c>
      <c r="C31" s="1673"/>
      <c r="D31" s="1841"/>
      <c r="E31" s="1057"/>
      <c r="F31" s="764"/>
      <c r="G31" s="764">
        <v>8</v>
      </c>
      <c r="H31" s="1906"/>
      <c r="I31" s="1907"/>
      <c r="J31" s="1908"/>
      <c r="K31" s="1907"/>
      <c r="L31" s="1909"/>
      <c r="M31" s="722"/>
      <c r="N31" s="1912"/>
      <c r="O31" s="722"/>
      <c r="P31" s="1868"/>
      <c r="Q31" s="1869"/>
      <c r="R31" s="1868"/>
      <c r="S31" s="1869"/>
      <c r="T31" s="1868"/>
      <c r="U31" s="1869"/>
      <c r="V31" s="1868"/>
      <c r="W31" s="1869"/>
      <c r="X31" s="1868"/>
      <c r="Y31" s="1869"/>
      <c r="Z31" s="1869"/>
      <c r="AA31" s="1869"/>
      <c r="AB31" s="1869"/>
      <c r="AC31" s="1869"/>
      <c r="AD31" s="1869"/>
      <c r="AE31" s="1869"/>
      <c r="AF31" s="1869"/>
      <c r="AG31" s="1869"/>
      <c r="AH31" s="1869"/>
      <c r="AI31" s="1670"/>
      <c r="AJ31" s="1828"/>
      <c r="AK31" s="724"/>
      <c r="AL31" s="1806"/>
      <c r="AM31" s="1399"/>
      <c r="AN31" s="1258"/>
      <c r="AO31" s="1399"/>
      <c r="AP31" s="1223"/>
      <c r="AQ31" s="1399"/>
      <c r="AS31" s="1399"/>
      <c r="AT31" s="1399"/>
      <c r="AU31" s="759"/>
      <c r="AV31" s="759"/>
      <c r="AW31" s="759"/>
      <c r="AX31" s="759"/>
      <c r="AY31" s="759"/>
      <c r="AZ31" s="759"/>
      <c r="BA31" s="759"/>
      <c r="BB31" s="759"/>
      <c r="BC31" s="759"/>
      <c r="BD31" s="759"/>
      <c r="BE31" s="759"/>
      <c r="BF31" s="759"/>
      <c r="BG31" s="760"/>
      <c r="BH31" s="1678"/>
      <c r="BI31" s="1678"/>
      <c r="BJ31" s="1678"/>
      <c r="BK31" s="1678"/>
      <c r="BL31" s="1679"/>
      <c r="BM31" s="1679"/>
      <c r="BN31" s="1678"/>
      <c r="BO31" s="1678"/>
      <c r="BP31" s="1678"/>
      <c r="BQ31" s="1399"/>
    </row>
    <row r="32" spans="1:69" s="782" customFormat="1" x14ac:dyDescent="0.2">
      <c r="A32" s="852">
        <f>A29+1</f>
        <v>6</v>
      </c>
      <c r="B32" s="1790">
        <v>20</v>
      </c>
      <c r="C32" s="851" t="str">
        <f>Valid!$B$76</f>
        <v>Below-Grade/Retained Cut</v>
      </c>
      <c r="D32" s="1841"/>
      <c r="E32" s="1245" t="str">
        <f>IF(AT32="N/A","",AT32)</f>
        <v/>
      </c>
      <c r="F32" s="686"/>
      <c r="G32" s="686"/>
      <c r="H32" s="1864"/>
      <c r="I32" s="1904" t="str">
        <f>IF(C13="","",IF(J32&lt;&gt;"","Linear Feet   ","Qty? Enter Zero if N/A  "))</f>
        <v/>
      </c>
      <c r="J32" s="1864"/>
      <c r="K32" s="1904" t="str">
        <f>IF(E32="yes","",IF(C13="","",IF(H32="","Qty? Enter Zero if N/A  ",IF(H32&lt;&gt;"","Track Feet      ",""))))</f>
        <v/>
      </c>
      <c r="L32" s="1864"/>
      <c r="M32" s="1620" t="str">
        <f>IF($H32=0,"",IF($L32="",TEXT(BN32,0)&amp;" Years?    ",""))</f>
        <v/>
      </c>
      <c r="N32" s="1905"/>
      <c r="O32" s="1620"/>
      <c r="P32" s="1864"/>
      <c r="Q32" s="1865" t="str">
        <f>IF($N32="","",IF(AND($N32="",OR($H32="",$H32=0)),"",IF(AND($N32="LF",$AJ32&lt;$H32),"0 - "&amp;TEXT(($H32-$AJ32)/1000,"0")&amp;"k lin. ft.?    ",IF(AND($N32="TF",$AJ32&lt;$J32),"0 - "&amp;TEXT(($J32-$AJ32)/1000,"0")&amp;"k track ft.?    ",IF(AND($N32="%",$AJ32&lt;1),REPLACE(IF(AND($P32&gt;0,$V32&gt;0,$T32&gt;0,$X32&gt;0,$R32&gt;0,$Z32&gt;0,$AB32&gt;0,$AD32&gt;0,$AF32&gt;0,$AH32&gt;0),"","0-"),99,0,REPLACE(TEXT(100-$AJ32,0),99,0,"%?    ")),"")))))</f>
        <v/>
      </c>
      <c r="R32" s="1864"/>
      <c r="S32" s="1865" t="str">
        <f>IF($N32="","",IF(AND($N32="",OR($H32="",$H32=0)),"",IF(AND($N32="LF",$AJ32&lt;$H32),"0 - "&amp;TEXT(($H32-$AJ32)/1000,"0")&amp;"k lin. ft.?    ",IF(AND($N32="TF",$AJ32&lt;$J32),"0 - "&amp;TEXT(($J32-$AJ32)/1000,"0")&amp;"k track ft.?    ",IF(AND($N32="%",$AJ32&lt;1),REPLACE(IF(AND($P32&gt;0,$V32&gt;0,$T32&gt;0,$X32&gt;0,$R32&gt;0,$Z32&gt;0,$AB32&gt;0,$AD32&gt;0,$AF32&gt;0,$AH32&gt;0),"","0-"),99,0,REPLACE(TEXT(100-$AJ32,0),99,0,"%?    ")),"")))))</f>
        <v/>
      </c>
      <c r="T32" s="1864"/>
      <c r="U32" s="1865" t="str">
        <f>IF($N32="","",IF(AND($N32="",OR($H32="",$H32=0)),"",IF(AND($N32="LF",$AJ32&lt;$H32),"0 - "&amp;TEXT(($H32-$AJ32)/1000,"0")&amp;"k lin. ft.?    ",IF(AND($N32="TF",$AJ32&lt;$J32),"0 - "&amp;TEXT(($J32-$AJ32)/1000,"0")&amp;"k track ft.?    ",IF(AND($N32="%",$AJ32&lt;1),REPLACE(IF(AND($P32&gt;0,$V32&gt;0,$T32&gt;0,$X32&gt;0,$R32&gt;0,$Z32&gt;0,$AB32&gt;0,$AD32&gt;0,$AF32&gt;0,$AH32&gt;0),"","0-"),99,0,REPLACE(TEXT(100-$AJ32,0),99,0,"%?    ")),"")))))</f>
        <v/>
      </c>
      <c r="V32" s="1864"/>
      <c r="W32" s="1865" t="str">
        <f>IF($N32="","",IF(AND($N32="",OR($H32="",$H32=0)),"",IF(AND($N32="LF",$AJ32&lt;$H32),"0 - "&amp;TEXT(($H32-$AJ32)/1000,"0")&amp;"k lin. ft.?    ",IF(AND($N32="TF",$AJ32&lt;$J32),"0 - "&amp;TEXT(($J32-$AJ32)/1000,"0")&amp;"k track ft.?    ",IF(AND($N32="%",$AJ32&lt;1),REPLACE(IF(AND($P32&gt;0,$V32&gt;0,$T32&gt;0,$X32&gt;0,$R32&gt;0,$Z32&gt;0,$AB32&gt;0,$AD32&gt;0,$AF32&gt;0,$AH32&gt;0),"","0-"),99,0,REPLACE(TEXT(100-$AJ32,0),99,0,"%?    ")),"")))))</f>
        <v/>
      </c>
      <c r="X32" s="1864"/>
      <c r="Y32" s="1865" t="str">
        <f>IF($N32="","",IF(AND($N32="",OR($H32="",$H32=0)),"",IF(AND($N32="LF",$AJ32&lt;$H32),"0 - "&amp;TEXT(($H32-$AJ32)/1000,"0")&amp;"k lin. ft.?    ",IF(AND($N32="TF",$AJ32&lt;$J32),"0 - "&amp;TEXT(($J32-$AJ32)/1000,"0")&amp;"k track ft.?    ",IF(AND($N32="%",$AJ32&lt;1),REPLACE(IF(AND($P32&gt;0,$V32&gt;0,$T32&gt;0,$X32&gt;0,$R32&gt;0,$Z32&gt;0,$AB32&gt;0,$AD32&gt;0,$AF32&gt;0,$AH32&gt;0),"","0-"),99,0,REPLACE(TEXT(100-$AJ32,0),99,0,"%?    ")),"")))))</f>
        <v/>
      </c>
      <c r="Z32" s="1864"/>
      <c r="AA32" s="1865" t="str">
        <f>IF($N32="","",IF(AND($N32="",OR($H32="",$H32=0)),"",IF(AND($N32="LF",$AJ32&lt;$H32),"0 - "&amp;TEXT(($H32-$AJ32)/1000,"0")&amp;"k lin. ft.?    ",IF(AND($N32="TF",$AJ32&lt;$J32),"0 - "&amp;TEXT(($J32-$AJ32)/1000,"0")&amp;"k track ft.?    ",IF(AND($N32="%",$AJ32&lt;1),REPLACE(IF(AND($P32&gt;0,$V32&gt;0,$T32&gt;0,$X32&gt;0,$R32&gt;0,$Z32&gt;0,$AB32&gt;0,$AD32&gt;0,$AF32&gt;0,$AH32&gt;0),"","0-"),99,0,REPLACE(TEXT(100-$AJ32,0),99,0,"%?    ")),"")))))</f>
        <v/>
      </c>
      <c r="AB32" s="1864"/>
      <c r="AC32" s="1865" t="str">
        <f>IF($N32="","",IF(AND($N32="",OR($H32="",$H32=0)),"",IF(AND($N32="LF",$AJ32&lt;$H32),"0 - "&amp;TEXT(($H32-$AJ32)/1000,"0")&amp;"k lin. ft.?    ",IF(AND($N32="TF",$AJ32&lt;$J32),"0 - "&amp;TEXT(($J32-$AJ32)/1000,"0")&amp;"k track ft.?    ",IF(AND($N32="%",$AJ32&lt;1),REPLACE(IF(AND($P32&gt;0,$V32&gt;0,$T32&gt;0,$X32&gt;0,$R32&gt;0,$Z32&gt;0,$AB32&gt;0,$AD32&gt;0,$AF32&gt;0,$AH32&gt;0),"","0-"),99,0,REPLACE(TEXT(100-$AJ32,0),99,0,"%?    ")),"")))))</f>
        <v/>
      </c>
      <c r="AD32" s="1864"/>
      <c r="AE32" s="1865" t="str">
        <f>IF($N32="","",IF(AND($N32="",OR($H32="",$H32=0)),"",IF(AND($N32="LF",$AJ32&lt;$H32),"0 - "&amp;TEXT(($H32-$AJ32)/1000,"0")&amp;"k lin. ft.?    ",IF(AND($N32="TF",$AJ32&lt;$J32),"0 - "&amp;TEXT(($J32-$AJ32)/1000,"0")&amp;"k track ft.?    ",IF(AND($N32="%",$AJ32&lt;1),REPLACE(IF(AND($P32&gt;0,$V32&gt;0,$T32&gt;0,$X32&gt;0,$R32&gt;0,$Z32&gt;0,$AB32&gt;0,$AD32&gt;0,$AF32&gt;0,$AH32&gt;0),"","0-"),99,0,REPLACE(TEXT(100-$AJ32,0),99,0,"%?    ")),"")))))</f>
        <v/>
      </c>
      <c r="AF32" s="1864"/>
      <c r="AG32" s="1865" t="str">
        <f>IF($N32="","",IF(AND($N32="",OR($H32="",$H32=0)),"",IF(AND($N32="LF",$AJ32&lt;$H32),"0 - "&amp;TEXT(($H32-$AJ32)/1000,"0")&amp;"k lin. ft.?    ",IF(AND($N32="TF",$AJ32&lt;$J32),"0 - "&amp;TEXT(($J32-$AJ32)/1000,"0")&amp;"k track ft.?    ",IF(AND($N32="%",$AJ32&lt;1),REPLACE(IF(AND($P32&gt;0,$V32&gt;0,$T32&gt;0,$X32&gt;0,$R32&gt;0,$Z32&gt;0,$AB32&gt;0,$AD32&gt;0,$AF32&gt;0,$AH32&gt;0),"","0-"),99,0,REPLACE(TEXT(100-$AJ32,0),99,0,"%?    ")),"")))))</f>
        <v/>
      </c>
      <c r="AH32" s="1864"/>
      <c r="AI32" s="904" t="str">
        <f>IF($N32="","",IF(AND($N32="",OR($H32="",$H32=0)),"",IF(AND($N32="LF",$AJ32&lt;$H32),"0 - "&amp;TEXT(($H32-$AJ32)/1000,"0")&amp;"k lin. ft.?    ",IF(AND($N32="TF",$AJ32&lt;$J32),"0 - "&amp;TEXT(($J32-$AJ32)/1000,"0")&amp;"k track ft.?    ",IF(AND($N32="%",$AJ32&lt;1),REPLACE(IF(AND($P32&gt;0,$V32&gt;0,$T32&gt;0,$X32&gt;0,$R32&gt;0,$Z32&gt;0,$AB32&gt;0,$AD32&gt;0,$AF32&gt;0,$AH32&gt;0),"","0-"),99,0,REPLACE(TEXT(100-$AJ32,0),99,0,"%?    ")),"")))))</f>
        <v/>
      </c>
      <c r="AJ32" s="1833">
        <f>IFERROR(IF(N32="%", SUM(P32,R32,T32,V32,X32,Z32,AB32,AD32,AF32,AH32)/100, SUM(P32,R32,T32,V32,X32,Z32,AB32,AD32,AF32,AH32)/IF(N32="LF", H32,J32)), 0)</f>
        <v>0</v>
      </c>
      <c r="AK32" s="1648"/>
      <c r="AL32" s="1675"/>
      <c r="AM32" s="1399"/>
      <c r="AN32" s="1808"/>
      <c r="AO32" s="1399"/>
      <c r="AP32" s="1653"/>
      <c r="AQ32" s="1399"/>
      <c r="AS32" s="1399"/>
      <c r="AT32" s="1624" t="str">
        <f>IF(AND($C$13="", H32="", J32=""), "N/A", IF(OR(AND(ISNUMBER(H32), ISNUMBER(J32), H32=0, J32=0), AND(AJ32=1, H32&lt;&gt;"", J32&lt;&gt;"", L32&lt;&gt;"", N32&lt;&gt;"", P32&lt;&gt;"", R32&lt;&gt;"", T32&lt;&gt;"", V32&lt;&gt;"", X32&lt;&gt;"", Z32&lt;&gt;"", AB32&lt;&gt;"", AD32&lt;&gt;"", AF32&lt;&gt;"", AH32&lt;&gt;"",AL32&lt;&gt;"", IF(AND(AL32&lt;1, AN32=""), FALSE, TRUE))), "Yes", "No"))</f>
        <v>N/A</v>
      </c>
      <c r="AU32" s="759" t="b">
        <f>IF(AND(H32="",OR(L32&lt;&gt;"",P32&lt;&gt;"",R32&lt;&gt;"",T32&lt;&gt;"",V32&lt;&gt;"",X32&lt;&gt;"",AL32&lt;&gt;"",Z32&lt;&gt;"",AB32&lt;&gt;"",AD32&lt;&gt;"",AF32&lt;&gt;"",AH32&lt;&gt;"")),TRUE,FALSE)</f>
        <v>0</v>
      </c>
      <c r="AV32" s="759" t="b">
        <f>IF(OR(H32="",H32=0),FALSE,IF(H32&gt;BM32,TRUE,FALSE))</f>
        <v>0</v>
      </c>
      <c r="AW32" s="759" t="b">
        <f>IF(AND($C$13&lt;&gt;"",$H32=""),TRUE,FALSE)</f>
        <v>0</v>
      </c>
      <c r="AX32" s="759" t="b">
        <f>IF(E32="yes",FALSE,IF(H32="0",FALSE,IF(AND($C$13&lt;&gt;"",J32=""),TRUE,FALSE)))</f>
        <v>0</v>
      </c>
      <c r="AY32" s="759" t="b">
        <f>IF($L32="",FALSE,IF($L32&lt;$BO32,TRUE,FALSE))</f>
        <v>0</v>
      </c>
      <c r="AZ32" s="759" t="b">
        <f>IF($L32="",FALSE,IF($L32&gt;$BP32,TRUE,FALSE))</f>
        <v>0</v>
      </c>
      <c r="BA32" s="759" t="b">
        <f>IF(H32=0,FALSE,IF(AND(E32&lt;&gt;"",$L32=""),TRUE,FALSE))</f>
        <v>0</v>
      </c>
      <c r="BB32" s="759" t="b">
        <f>IF(AND($AJ32&lt;&gt;0,$H32&lt;&gt;$BJ32,$N32="LF"),TRUE,IF(AND($AJ32&lt;&gt;0,$J32&lt;&gt;$AJ32,$N32="TF"),TRUE,IF(AND($AJ32&lt;&gt;0,$AJ32&lt;&gt;1,$N32="%"),TRUE,FALSE)))</f>
        <v>0</v>
      </c>
      <c r="BC32" s="759" t="b">
        <f>IF(AT32="No", IF(OR(P32="", R32="", T32="", V32="", X32="", Z32="", AB32="", AD32="", AF32="", AH32=""), TRUE, FALSE), FALSE)</f>
        <v>0</v>
      </c>
      <c r="BD32" s="759" t="b">
        <f>IF($BE32=TRUE,FALSE,IF(OR($AL32&lt;0,$AL32&gt;1),TRUE,FALSE))</f>
        <v>0</v>
      </c>
      <c r="BE32" s="759" t="b">
        <f>IF(AND($H32&lt;&gt;0,$AL32=""),TRUE,FALSE)</f>
        <v>0</v>
      </c>
      <c r="BF32" s="759" t="b">
        <f>IF(N32="%",TRUE,FALSE)</f>
        <v>0</v>
      </c>
      <c r="BG32" s="760"/>
      <c r="BH32" s="1678">
        <f>IF($C32="","",VLOOKUP($C32,val_fg_assets,9,FALSE))</f>
        <v>1</v>
      </c>
      <c r="BI32" s="1678" t="str">
        <f>IF(N32="", "", IF(N32="LF", H32, IF(N32="TF", J32, IF(N32="%", 1, ""))))</f>
        <v/>
      </c>
      <c r="BJ32" s="1679">
        <f>P32+R32+T32+V32+X32+Z32+AB32+AD32+AF32+AH32</f>
        <v>0</v>
      </c>
      <c r="BK32" s="1679" t="str">
        <f>IF(BI32="", "", BI32-BJ32)</f>
        <v/>
      </c>
      <c r="BL32" s="1679">
        <f>IF($C32="","",VLOOKUP($C32,val_fg_assets,3,FALSE))</f>
        <v>0</v>
      </c>
      <c r="BM32" s="1679">
        <f>IF($C32="","",VLOOKUP($C32,val_fg_assets,4,FALSE))</f>
        <v>1320000</v>
      </c>
      <c r="BN32" s="1678">
        <f>IF($C32="","",VLOOKUP($C32,val_fg_assets,5,FALSE))</f>
        <v>80</v>
      </c>
      <c r="BO32" s="1678">
        <f>IF($C32="","",VLOOKUP($C32,val_fg_assets,6,FALSE))</f>
        <v>60</v>
      </c>
      <c r="BP32" s="1678">
        <f>IF($C32="","",VLOOKUP($C32,val_fg_assets,7,FALSE))</f>
        <v>100</v>
      </c>
      <c r="BQ32" s="1399"/>
    </row>
    <row r="33" spans="1:69" s="782" customFormat="1" ht="3.95" customHeight="1" x14ac:dyDescent="0.2">
      <c r="A33" s="852"/>
      <c r="B33" s="1790">
        <v>21</v>
      </c>
      <c r="C33" s="851"/>
      <c r="D33" s="1841"/>
      <c r="E33" s="1059"/>
      <c r="F33" s="686"/>
      <c r="G33" s="686"/>
      <c r="H33" s="1913"/>
      <c r="I33" s="1908"/>
      <c r="J33" s="1908"/>
      <c r="K33" s="1908"/>
      <c r="L33" s="1909"/>
      <c r="M33" s="722"/>
      <c r="N33" s="1912"/>
      <c r="O33" s="722"/>
      <c r="P33" s="1866"/>
      <c r="Q33" s="1867"/>
      <c r="R33" s="1866"/>
      <c r="S33" s="1867"/>
      <c r="T33" s="1866"/>
      <c r="U33" s="1867"/>
      <c r="V33" s="1866"/>
      <c r="W33" s="1867"/>
      <c r="X33" s="1866"/>
      <c r="Y33" s="1867"/>
      <c r="Z33" s="1867"/>
      <c r="AA33" s="1867"/>
      <c r="AB33" s="1867"/>
      <c r="AC33" s="1867"/>
      <c r="AD33" s="1867"/>
      <c r="AE33" s="1867"/>
      <c r="AF33" s="1867"/>
      <c r="AG33" s="1867"/>
      <c r="AH33" s="1867"/>
      <c r="AI33" s="837"/>
      <c r="AJ33" s="1828"/>
      <c r="AK33" s="724"/>
      <c r="AL33" s="1806"/>
      <c r="AM33" s="1399"/>
      <c r="AN33" s="1258"/>
      <c r="AO33" s="1399"/>
      <c r="AP33" s="1399"/>
      <c r="AQ33" s="1399"/>
      <c r="AS33" s="1399"/>
      <c r="AT33" s="1399"/>
      <c r="AU33" s="759"/>
      <c r="AV33" s="759"/>
      <c r="AW33" s="759"/>
      <c r="AX33" s="759"/>
      <c r="AY33" s="759"/>
      <c r="AZ33" s="759"/>
      <c r="BA33" s="759"/>
      <c r="BB33" s="759"/>
      <c r="BC33" s="759"/>
      <c r="BD33" s="759"/>
      <c r="BE33" s="759"/>
      <c r="BF33" s="759"/>
      <c r="BG33" s="760"/>
      <c r="BH33" s="1678"/>
      <c r="BI33" s="1678"/>
      <c r="BJ33" s="1678"/>
      <c r="BK33" s="1678"/>
      <c r="BL33" s="1679"/>
      <c r="BM33" s="1679"/>
      <c r="BN33" s="1678"/>
      <c r="BO33" s="1678"/>
      <c r="BP33" s="1678"/>
      <c r="BQ33" s="1399"/>
    </row>
    <row r="34" spans="1:69" s="782" customFormat="1" ht="3.95" customHeight="1" thickBot="1" x14ac:dyDescent="0.25">
      <c r="A34" s="852"/>
      <c r="B34" s="1791">
        <v>22</v>
      </c>
      <c r="C34" s="851"/>
      <c r="D34" s="1841"/>
      <c r="E34" s="1059"/>
      <c r="F34" s="686"/>
      <c r="G34" s="686"/>
      <c r="H34" s="1913"/>
      <c r="I34" s="1908"/>
      <c r="J34" s="1908"/>
      <c r="K34" s="1908"/>
      <c r="L34" s="1909"/>
      <c r="M34" s="722"/>
      <c r="N34" s="1912"/>
      <c r="O34" s="722"/>
      <c r="P34" s="1868"/>
      <c r="Q34" s="1869"/>
      <c r="R34" s="1868"/>
      <c r="S34" s="1869"/>
      <c r="T34" s="1868"/>
      <c r="U34" s="1869"/>
      <c r="V34" s="1868"/>
      <c r="W34" s="1869"/>
      <c r="X34" s="1868"/>
      <c r="Y34" s="1869"/>
      <c r="Z34" s="1869"/>
      <c r="AA34" s="1869"/>
      <c r="AB34" s="1869"/>
      <c r="AC34" s="1869"/>
      <c r="AD34" s="1869"/>
      <c r="AE34" s="1869"/>
      <c r="AF34" s="1869"/>
      <c r="AG34" s="1869"/>
      <c r="AH34" s="1869"/>
      <c r="AI34" s="1670"/>
      <c r="AJ34" s="1828"/>
      <c r="AK34" s="724"/>
      <c r="AL34" s="1806"/>
      <c r="AM34" s="1399"/>
      <c r="AN34" s="1258"/>
      <c r="AO34" s="1399"/>
      <c r="AP34" s="1399"/>
      <c r="AQ34" s="1399"/>
      <c r="AS34" s="1399"/>
      <c r="AT34" s="1399"/>
      <c r="AU34" s="759"/>
      <c r="AV34" s="759"/>
      <c r="AW34" s="759"/>
      <c r="AX34" s="759"/>
      <c r="AY34" s="759"/>
      <c r="AZ34" s="759"/>
      <c r="BA34" s="759"/>
      <c r="BB34" s="759"/>
      <c r="BC34" s="759"/>
      <c r="BD34" s="759"/>
      <c r="BE34" s="759"/>
      <c r="BF34" s="759"/>
      <c r="BG34" s="760"/>
      <c r="BH34" s="1678"/>
      <c r="BI34" s="1678"/>
      <c r="BJ34" s="1678"/>
      <c r="BK34" s="1678"/>
      <c r="BL34" s="1679"/>
      <c r="BM34" s="1679"/>
      <c r="BN34" s="1678"/>
      <c r="BO34" s="1678"/>
      <c r="BP34" s="1678"/>
      <c r="BQ34" s="1399"/>
    </row>
    <row r="35" spans="1:69" s="782" customFormat="1" x14ac:dyDescent="0.2">
      <c r="A35" s="852">
        <f>A32+1</f>
        <v>7</v>
      </c>
      <c r="B35" s="1791">
        <v>23</v>
      </c>
      <c r="C35" s="851" t="str">
        <f>Valid!$B$77</f>
        <v>Below-Grade/Cut-and-Cover Tunnel</v>
      </c>
      <c r="D35" s="1841"/>
      <c r="E35" s="1245" t="str">
        <f>IF(AT35="N/A","",AT35)</f>
        <v/>
      </c>
      <c r="F35" s="686"/>
      <c r="G35" s="686"/>
      <c r="H35" s="1864"/>
      <c r="I35" s="1904" t="str">
        <f>IF(C13="","",IF(J35&lt;&gt;"","Linear Feet   ","Qty? Enter Zero if N/A  "))</f>
        <v/>
      </c>
      <c r="J35" s="1864"/>
      <c r="K35" s="1904" t="str">
        <f>IF(E35="yes","",IF(C13="","",IF(H35="","Qty? Enter Zero if N/A  ",IF(H35&lt;&gt;"","Track Feet      ",""))))</f>
        <v/>
      </c>
      <c r="L35" s="1864"/>
      <c r="M35" s="1620" t="str">
        <f>IF($H35=0,"",IF($L35="",TEXT(BN35,0)&amp;" Years?    ",""))</f>
        <v/>
      </c>
      <c r="N35" s="1905"/>
      <c r="O35" s="1620"/>
      <c r="P35" s="1864"/>
      <c r="Q35" s="1865" t="str">
        <f>IF($N35="","",IF(AND($N35="",OR($H35="",$H35=0)),"",IF(AND($N35="LF",$AJ35&lt;$H35),"0 - "&amp;TEXT(($H35-$AJ35)/1000,"0")&amp;"k lin. ft.?    ",IF(AND($N35="TF",$AJ35&lt;$J35),"0 - "&amp;TEXT(($J35-$AJ35)/1000,"0")&amp;"k track ft.?    ",IF(AND($N35="%",$AJ35&lt;1),REPLACE(IF(AND($P35&gt;0,$V35&gt;0,$T35&gt;0,$X35&gt;0,$R35&gt;0,$Z35&gt;0,$AB35&gt;0,$AD35&gt;0,$AF35&gt;0,$AH35&gt;0),"","0-"),99,0,REPLACE(TEXT(100-$AJ35,0),99,0,"%?    ")),"")))))</f>
        <v/>
      </c>
      <c r="R35" s="1864"/>
      <c r="S35" s="1865" t="str">
        <f>IF($N35="","",IF(AND($N35="",OR($H35="",$H35=0)),"",IF(AND($N35="LF",$AJ35&lt;$H35),"0 - "&amp;TEXT(($H35-$AJ35)/1000,"0")&amp;"k lin. ft.?    ",IF(AND($N35="TF",$AJ35&lt;$J35),"0 - "&amp;TEXT(($J35-$AJ35)/1000,"0")&amp;"k track ft.?    ",IF(AND($N35="%",$AJ35&lt;1),REPLACE(IF(AND($P35&gt;0,$V35&gt;0,$T35&gt;0,$X35&gt;0,$R35&gt;0,$Z35&gt;0,$AB35&gt;0,$AD35&gt;0,$AF35&gt;0,$AH35&gt;0),"","0-"),99,0,REPLACE(TEXT(100-$AJ35,0),99,0,"%?    ")),"")))))</f>
        <v/>
      </c>
      <c r="T35" s="1864"/>
      <c r="U35" s="1865" t="str">
        <f>IF($N35="","",IF(AND($N35="",OR($H35="",$H35=0)),"",IF(AND($N35="LF",$AJ35&lt;$H35),"0 - "&amp;TEXT(($H35-$AJ35)/1000,"0")&amp;"k lin. ft.?    ",IF(AND($N35="TF",$AJ35&lt;$J35),"0 - "&amp;TEXT(($J35-$AJ35)/1000,"0")&amp;"k track ft.?    ",IF(AND($N35="%",$AJ35&lt;1),REPLACE(IF(AND($P35&gt;0,$V35&gt;0,$T35&gt;0,$X35&gt;0,$R35&gt;0,$Z35&gt;0,$AB35&gt;0,$AD35&gt;0,$AF35&gt;0,$AH35&gt;0),"","0-"),99,0,REPLACE(TEXT(100-$AJ35,0),99,0,"%?    ")),"")))))</f>
        <v/>
      </c>
      <c r="V35" s="1864"/>
      <c r="W35" s="1865" t="str">
        <f>IF($N35="","",IF(AND($N35="",OR($H35="",$H35=0)),"",IF(AND($N35="LF",$AJ35&lt;$H35),"0 - "&amp;TEXT(($H35-$AJ35)/1000,"0")&amp;"k lin. ft.?    ",IF(AND($N35="TF",$AJ35&lt;$J35),"0 - "&amp;TEXT(($J35-$AJ35)/1000,"0")&amp;"k track ft.?    ",IF(AND($N35="%",$AJ35&lt;1),REPLACE(IF(AND($P35&gt;0,$V35&gt;0,$T35&gt;0,$X35&gt;0,$R35&gt;0,$Z35&gt;0,$AB35&gt;0,$AD35&gt;0,$AF35&gt;0,$AH35&gt;0),"","0-"),99,0,REPLACE(TEXT(100-$AJ35,0),99,0,"%?    ")),"")))))</f>
        <v/>
      </c>
      <c r="X35" s="1864"/>
      <c r="Y35" s="1865" t="str">
        <f>IF($N35="","",IF(AND($N35="",OR($H35="",$H35=0)),"",IF(AND($N35="LF",$AJ35&lt;$H35),"0 - "&amp;TEXT(($H35-$AJ35)/1000,"0")&amp;"k lin. ft.?    ",IF(AND($N35="TF",$AJ35&lt;$J35),"0 - "&amp;TEXT(($J35-$AJ35)/1000,"0")&amp;"k track ft.?    ",IF(AND($N35="%",$AJ35&lt;1),REPLACE(IF(AND($P35&gt;0,$V35&gt;0,$T35&gt;0,$X35&gt;0,$R35&gt;0,$Z35&gt;0,$AB35&gt;0,$AD35&gt;0,$AF35&gt;0,$AH35&gt;0),"","0-"),99,0,REPLACE(TEXT(100-$AJ35,0),99,0,"%?    ")),"")))))</f>
        <v/>
      </c>
      <c r="Z35" s="1864"/>
      <c r="AA35" s="1865" t="str">
        <f>IF($N35="","",IF(AND($N35="",OR($H35="",$H35=0)),"",IF(AND($N35="LF",$AJ35&lt;$H35),"0 - "&amp;TEXT(($H35-$AJ35)/1000,"0")&amp;"k lin. ft.?    ",IF(AND($N35="TF",$AJ35&lt;$J35),"0 - "&amp;TEXT(($J35-$AJ35)/1000,"0")&amp;"k track ft.?    ",IF(AND($N35="%",$AJ35&lt;1),REPLACE(IF(AND($P35&gt;0,$V35&gt;0,$T35&gt;0,$X35&gt;0,$R35&gt;0,$Z35&gt;0,$AB35&gt;0,$AD35&gt;0,$AF35&gt;0,$AH35&gt;0),"","0-"),99,0,REPLACE(TEXT(100-$AJ35,0),99,0,"%?    ")),"")))))</f>
        <v/>
      </c>
      <c r="AB35" s="1864"/>
      <c r="AC35" s="1865" t="str">
        <f>IF($N35="","",IF(AND($N35="",OR($H35="",$H35=0)),"",IF(AND($N35="LF",$AJ35&lt;$H35),"0 - "&amp;TEXT(($H35-$AJ35)/1000,"0")&amp;"k lin. ft.?    ",IF(AND($N35="TF",$AJ35&lt;$J35),"0 - "&amp;TEXT(($J35-$AJ35)/1000,"0")&amp;"k track ft.?    ",IF(AND($N35="%",$AJ35&lt;1),REPLACE(IF(AND($P35&gt;0,$V35&gt;0,$T35&gt;0,$X35&gt;0,$R35&gt;0,$Z35&gt;0,$AB35&gt;0,$AD35&gt;0,$AF35&gt;0,$AH35&gt;0),"","0-"),99,0,REPLACE(TEXT(100-$AJ35,0),99,0,"%?    ")),"")))))</f>
        <v/>
      </c>
      <c r="AD35" s="1864"/>
      <c r="AE35" s="1865" t="str">
        <f>IF($N35="","",IF(AND($N35="",OR($H35="",$H35=0)),"",IF(AND($N35="LF",$AJ35&lt;$H35),"0 - "&amp;TEXT(($H35-$AJ35)/1000,"0")&amp;"k lin. ft.?    ",IF(AND($N35="TF",$AJ35&lt;$J35),"0 - "&amp;TEXT(($J35-$AJ35)/1000,"0")&amp;"k track ft.?    ",IF(AND($N35="%",$AJ35&lt;1),REPLACE(IF(AND($P35&gt;0,$V35&gt;0,$T35&gt;0,$X35&gt;0,$R35&gt;0,$Z35&gt;0,$AB35&gt;0,$AD35&gt;0,$AF35&gt;0,$AH35&gt;0),"","0-"),99,0,REPLACE(TEXT(100-$AJ35,0),99,0,"%?    ")),"")))))</f>
        <v/>
      </c>
      <c r="AF35" s="1864"/>
      <c r="AG35" s="1865" t="str">
        <f>IF($N35="","",IF(AND($N35="",OR($H35="",$H35=0)),"",IF(AND($N35="LF",$AJ35&lt;$H35),"0 - "&amp;TEXT(($H35-$AJ35)/1000,"0")&amp;"k lin. ft.?    ",IF(AND($N35="TF",$AJ35&lt;$J35),"0 - "&amp;TEXT(($J35-$AJ35)/1000,"0")&amp;"k track ft.?    ",IF(AND($N35="%",$AJ35&lt;1),REPLACE(IF(AND($P35&gt;0,$V35&gt;0,$T35&gt;0,$X35&gt;0,$R35&gt;0,$Z35&gt;0,$AB35&gt;0,$AD35&gt;0,$AF35&gt;0,$AH35&gt;0),"","0-"),99,0,REPLACE(TEXT(100-$AJ35,0),99,0,"%?    ")),"")))))</f>
        <v/>
      </c>
      <c r="AH35" s="1864"/>
      <c r="AI35" s="904" t="str">
        <f>IF($N35="","",IF(AND($N35="",OR($H35="",$H35=0)),"",IF(AND($N35="LF",$AJ35&lt;$H35),"0 - "&amp;TEXT(($H35-$AJ35)/1000,"0")&amp;"k lin. ft.?    ",IF(AND($N35="TF",$AJ35&lt;$J35),"0 - "&amp;TEXT(($J35-$AJ35)/1000,"0")&amp;"k track ft.?    ",IF(AND($N35="%",$AJ35&lt;1),REPLACE(IF(AND($P35&gt;0,$V35&gt;0,$T35&gt;0,$X35&gt;0,$R35&gt;0,$Z35&gt;0,$AB35&gt;0,$AD35&gt;0,$AF35&gt;0,$AH35&gt;0),"","0-"),99,0,REPLACE(TEXT(100-$AJ35,0),99,0,"%?    ")),"")))))</f>
        <v/>
      </c>
      <c r="AJ35" s="1833">
        <f>IFERROR(IF(N35="%", SUM(P35,R35,T35,V35,X35,Z35,AB35,AD35,AF35,AH35)/100, SUM(P35,R35,T35,V35,X35,Z35,AB35,AD35,AF35,AH35)/IF(N35="LF", H35,J35)), 0)</f>
        <v>0</v>
      </c>
      <c r="AK35" s="1648"/>
      <c r="AL35" s="1675"/>
      <c r="AM35" s="1399"/>
      <c r="AN35" s="1671"/>
      <c r="AO35" s="1399"/>
      <c r="AP35" s="1653"/>
      <c r="AQ35" s="1399"/>
      <c r="AS35" s="1399"/>
      <c r="AT35" s="1624" t="str">
        <f>IF(AND($C$13="", H35="", J35=""), "N/A", IF(OR(AND(ISNUMBER(H35), ISNUMBER(J35), H35=0, J35=0), AND(AJ35=1, H35&lt;&gt;"", J35&lt;&gt;"", L35&lt;&gt;"", N35&lt;&gt;"", P35&lt;&gt;"", R35&lt;&gt;"", T35&lt;&gt;"", V35&lt;&gt;"", X35&lt;&gt;"", Z35&lt;&gt;"", AB35&lt;&gt;"", AD35&lt;&gt;"", AF35&lt;&gt;"", AH35&lt;&gt;"",AL35&lt;&gt;"", IF(AND(AL35&lt;1, AN35=""), FALSE, TRUE))), "Yes", "No"))</f>
        <v>N/A</v>
      </c>
      <c r="AU35" s="759" t="b">
        <f>IF(AND(H35="",OR(L35&lt;&gt;"",P35&lt;&gt;"",R35&lt;&gt;"",T35&lt;&gt;"",V35&lt;&gt;"",X35&lt;&gt;"",AL35&lt;&gt;"",Z35&lt;&gt;"",AB35&lt;&gt;"",AD35&lt;&gt;"",AF35&lt;&gt;"",AH35&lt;&gt;"")),TRUE,FALSE)</f>
        <v>0</v>
      </c>
      <c r="AV35" s="759" t="b">
        <f>IF(OR(H35="",H35=0),FALSE,IF(H35&gt;BM35,TRUE,FALSE))</f>
        <v>0</v>
      </c>
      <c r="AW35" s="759" t="b">
        <f>IF(AND($C$13&lt;&gt;"",$H35=""),TRUE,FALSE)</f>
        <v>0</v>
      </c>
      <c r="AX35" s="759" t="b">
        <f>IF(E35="yes",FALSE,IF(H35="0",FALSE,IF(AND($C$13&lt;&gt;"",J35=""),TRUE,FALSE)))</f>
        <v>0</v>
      </c>
      <c r="AY35" s="759" t="b">
        <f>IF($L35="",FALSE,IF($L35&lt;$BO35,TRUE,FALSE))</f>
        <v>0</v>
      </c>
      <c r="AZ35" s="759" t="b">
        <f>IF($L35="",FALSE,IF($L35&gt;$BP35,TRUE,FALSE))</f>
        <v>0</v>
      </c>
      <c r="BA35" s="759" t="b">
        <f>IF(H35=0,FALSE,IF(AND(E35&lt;&gt;"",$L35=""),TRUE,FALSE))</f>
        <v>0</v>
      </c>
      <c r="BB35" s="759" t="b">
        <f>IF(AND($AJ35&lt;&gt;0,$H35&lt;&gt;$BJ35,$N35="LF"),TRUE,IF(AND($AJ35&lt;&gt;0,$J35&lt;&gt;$AJ35,$N35="TF"),TRUE,IF(AND($AJ35&lt;&gt;0,$AJ35&lt;&gt;1,$N35="%"),TRUE,FALSE)))</f>
        <v>0</v>
      </c>
      <c r="BC35" s="759" t="b">
        <f>IF(AT35="No", IF(OR(P35="", R35="", T35="", V35="", X35="", Z35="", AB35="", AD35="", AF35="", AH35=""), TRUE, FALSE), FALSE)</f>
        <v>0</v>
      </c>
      <c r="BD35" s="759" t="b">
        <f>IF($BE35=TRUE,FALSE,IF(OR($AL35&lt;0,$AL35&gt;1),TRUE,FALSE))</f>
        <v>0</v>
      </c>
      <c r="BE35" s="759" t="b">
        <f>IF(AND($H35&lt;&gt;0,$AL35=""),TRUE,FALSE)</f>
        <v>0</v>
      </c>
      <c r="BF35" s="759" t="b">
        <f>IF(N35="%",TRUE,FALSE)</f>
        <v>0</v>
      </c>
      <c r="BG35" s="760"/>
      <c r="BH35" s="1678">
        <f>IF($C35="","",VLOOKUP($C35,val_fg_assets,9,FALSE))</f>
        <v>1</v>
      </c>
      <c r="BI35" s="1678" t="str">
        <f>IF(N35="", "", IF(N35="LF", H35, IF(N35="TF", J35, IF(N35="%", 1, ""))))</f>
        <v/>
      </c>
      <c r="BJ35" s="1679">
        <f>P35+R35+T35+V35+X35+Z35+AB35+AD35+AF35+AH35</f>
        <v>0</v>
      </c>
      <c r="BK35" s="1679" t="str">
        <f>IF(BI35="", "", BI35-BJ35)</f>
        <v/>
      </c>
      <c r="BL35" s="1679">
        <f>IF($C35="","",VLOOKUP($C35,val_fg_assets,3,FALSE))</f>
        <v>0</v>
      </c>
      <c r="BM35" s="1679">
        <f>IF($C35="","",VLOOKUP($C35,val_fg_assets,4,FALSE))</f>
        <v>1320000</v>
      </c>
      <c r="BN35" s="1678">
        <f>IF($C35="","",VLOOKUP($C35,val_fg_assets,5,FALSE))</f>
        <v>80</v>
      </c>
      <c r="BO35" s="1678">
        <f>IF($C35="","",VLOOKUP($C35,val_fg_assets,6,FALSE))</f>
        <v>60</v>
      </c>
      <c r="BP35" s="1678">
        <f>IF($C35="","",VLOOKUP($C35,val_fg_assets,7,FALSE))</f>
        <v>100</v>
      </c>
      <c r="BQ35" s="1399"/>
    </row>
    <row r="36" spans="1:69" s="782" customFormat="1" ht="3.95" customHeight="1" x14ac:dyDescent="0.2">
      <c r="A36" s="852"/>
      <c r="B36" s="1791">
        <v>24</v>
      </c>
      <c r="C36" s="1673"/>
      <c r="D36" s="1841"/>
      <c r="E36" s="1057"/>
      <c r="F36" s="764"/>
      <c r="G36" s="686">
        <v>7</v>
      </c>
      <c r="H36" s="1906"/>
      <c r="I36" s="1907"/>
      <c r="J36" s="1908"/>
      <c r="K36" s="1907"/>
      <c r="L36" s="1909"/>
      <c r="M36" s="1910"/>
      <c r="N36" s="1911"/>
      <c r="O36" s="1910"/>
      <c r="P36" s="1866"/>
      <c r="Q36" s="1867"/>
      <c r="R36" s="1866"/>
      <c r="S36" s="1867"/>
      <c r="T36" s="1866"/>
      <c r="U36" s="1867"/>
      <c r="V36" s="1866"/>
      <c r="W36" s="1867"/>
      <c r="X36" s="1866"/>
      <c r="Y36" s="1867"/>
      <c r="Z36" s="1867"/>
      <c r="AA36" s="1867"/>
      <c r="AB36" s="1867"/>
      <c r="AC36" s="1867"/>
      <c r="AD36" s="1867"/>
      <c r="AE36" s="1867"/>
      <c r="AF36" s="1867"/>
      <c r="AG36" s="1867"/>
      <c r="AH36" s="1867"/>
      <c r="AI36" s="837"/>
      <c r="AJ36" s="1806"/>
      <c r="AK36" s="841"/>
      <c r="AL36" s="1806"/>
      <c r="AM36" s="1399"/>
      <c r="AN36" s="838"/>
      <c r="AO36" s="1399"/>
      <c r="AP36" s="1223"/>
      <c r="AQ36" s="1399"/>
      <c r="AS36" s="1399"/>
      <c r="AT36" s="1399"/>
      <c r="AU36" s="759"/>
      <c r="AV36" s="759"/>
      <c r="AW36" s="759"/>
      <c r="AX36" s="759"/>
      <c r="AY36" s="759"/>
      <c r="AZ36" s="759"/>
      <c r="BA36" s="759"/>
      <c r="BB36" s="759"/>
      <c r="BC36" s="759"/>
      <c r="BD36" s="759"/>
      <c r="BE36" s="759"/>
      <c r="BF36" s="759"/>
      <c r="BG36" s="760"/>
      <c r="BH36" s="1678"/>
      <c r="BI36" s="1678"/>
      <c r="BJ36" s="1678"/>
      <c r="BK36" s="1678"/>
      <c r="BL36" s="1679"/>
      <c r="BM36" s="1679"/>
      <c r="BN36" s="1678"/>
      <c r="BO36" s="1678"/>
      <c r="BP36" s="1678"/>
      <c r="BQ36" s="1399"/>
    </row>
    <row r="37" spans="1:69" s="782" customFormat="1" ht="3.95" customHeight="1" thickBot="1" x14ac:dyDescent="0.25">
      <c r="A37" s="852"/>
      <c r="B37" s="1790">
        <v>25</v>
      </c>
      <c r="C37" s="1673"/>
      <c r="D37" s="1841"/>
      <c r="E37" s="1057"/>
      <c r="F37" s="764"/>
      <c r="G37" s="764">
        <v>8</v>
      </c>
      <c r="H37" s="1906"/>
      <c r="I37" s="1907"/>
      <c r="J37" s="1908"/>
      <c r="K37" s="1907"/>
      <c r="L37" s="1909"/>
      <c r="M37" s="722"/>
      <c r="N37" s="1912"/>
      <c r="O37" s="722"/>
      <c r="P37" s="1868"/>
      <c r="Q37" s="1869"/>
      <c r="R37" s="1868"/>
      <c r="S37" s="1869"/>
      <c r="T37" s="1868"/>
      <c r="U37" s="1869"/>
      <c r="V37" s="1868"/>
      <c r="W37" s="1869"/>
      <c r="X37" s="1868"/>
      <c r="Y37" s="1869"/>
      <c r="Z37" s="1869"/>
      <c r="AA37" s="1869"/>
      <c r="AB37" s="1869"/>
      <c r="AC37" s="1869"/>
      <c r="AD37" s="1869"/>
      <c r="AE37" s="1869"/>
      <c r="AF37" s="1869"/>
      <c r="AG37" s="1869"/>
      <c r="AH37" s="1869"/>
      <c r="AI37" s="1670"/>
      <c r="AJ37" s="1828"/>
      <c r="AK37" s="724"/>
      <c r="AL37" s="1806"/>
      <c r="AM37" s="1399"/>
      <c r="AN37" s="1258"/>
      <c r="AO37" s="1399"/>
      <c r="AP37" s="1399"/>
      <c r="AQ37" s="1399"/>
      <c r="AS37" s="1399"/>
      <c r="AT37" s="1399"/>
      <c r="AU37" s="759"/>
      <c r="AV37" s="759"/>
      <c r="AW37" s="759"/>
      <c r="AX37" s="759"/>
      <c r="AY37" s="759"/>
      <c r="AZ37" s="759"/>
      <c r="BA37" s="759"/>
      <c r="BB37" s="759"/>
      <c r="BC37" s="759"/>
      <c r="BD37" s="759"/>
      <c r="BE37" s="759"/>
      <c r="BF37" s="759"/>
      <c r="BG37" s="760"/>
      <c r="BH37" s="1678"/>
      <c r="BI37" s="1678"/>
      <c r="BJ37" s="1678"/>
      <c r="BK37" s="1678"/>
      <c r="BL37" s="1679"/>
      <c r="BM37" s="1679"/>
      <c r="BN37" s="1678"/>
      <c r="BO37" s="1678"/>
      <c r="BP37" s="1678"/>
      <c r="BQ37" s="1399"/>
    </row>
    <row r="38" spans="1:69" s="782" customFormat="1" x14ac:dyDescent="0.2">
      <c r="A38" s="852">
        <f>A35+1</f>
        <v>8</v>
      </c>
      <c r="B38" s="1790">
        <v>26</v>
      </c>
      <c r="C38" s="851" t="str">
        <f>Valid!$B$78</f>
        <v>Below-Grade/Bored or Blasted Tunnel</v>
      </c>
      <c r="D38" s="1841"/>
      <c r="E38" s="1245" t="str">
        <f>IF(AT38="N/A","",AT38)</f>
        <v/>
      </c>
      <c r="F38" s="686"/>
      <c r="G38" s="686"/>
      <c r="H38" s="1864"/>
      <c r="I38" s="1904" t="str">
        <f>IF(C13="","",IF(J38&lt;&gt;"","Linear Feet   ","Qty? Enter Zero if N/A  "))</f>
        <v/>
      </c>
      <c r="J38" s="1864"/>
      <c r="K38" s="1904" t="str">
        <f>IF(E38="yes","",IF(C13="","",IF(H38="","Qty? Enter Zero if N/A  ",IF(H38&lt;&gt;"","Track Feet      ",""))))</f>
        <v/>
      </c>
      <c r="L38" s="1864"/>
      <c r="M38" s="1620" t="str">
        <f>IF($H38=0,"",IF($L38="",TEXT(BN38,0)&amp;" Years?    ",""))</f>
        <v/>
      </c>
      <c r="N38" s="1905"/>
      <c r="O38" s="1620"/>
      <c r="P38" s="1864"/>
      <c r="Q38" s="1865" t="str">
        <f>IF($N38="","",IF(AND($N38="",OR($H38="",$H38=0)),"",IF(AND($N38="LF",$AJ38&lt;$H38),"0 - "&amp;TEXT(($H38-$AJ38)/1000,"0")&amp;"k lin. ft.?    ",IF(AND($N38="TF",$AJ38&lt;$J38),"0 - "&amp;TEXT(($J38-$AJ38)/1000,"0")&amp;"k track ft.?    ",IF(AND($N38="%",$AJ38&lt;1),REPLACE(IF(AND($P38&gt;0,$V38&gt;0,$T38&gt;0,$X38&gt;0,$R38&gt;0,$Z38&gt;0,$AB38&gt;0,$AD38&gt;0,$AF38&gt;0,$AH38&gt;0),"","0-"),99,0,REPLACE(TEXT(100-$AJ38,0),99,0,"%?    ")),"")))))</f>
        <v/>
      </c>
      <c r="R38" s="1864"/>
      <c r="S38" s="1865" t="str">
        <f>IF($N38="","",IF(AND($N38="",OR($H38="",$H38=0)),"",IF(AND($N38="LF",$AJ38&lt;$H38),"0 - "&amp;TEXT(($H38-$AJ38)/1000,"0")&amp;"k lin. ft.?    ",IF(AND($N38="TF",$AJ38&lt;$J38),"0 - "&amp;TEXT(($J38-$AJ38)/1000,"0")&amp;"k track ft.?    ",IF(AND($N38="%",$AJ38&lt;1),REPLACE(IF(AND($P38&gt;0,$V38&gt;0,$T38&gt;0,$X38&gt;0,$R38&gt;0,$Z38&gt;0,$AB38&gt;0,$AD38&gt;0,$AF38&gt;0,$AH38&gt;0),"","0-"),99,0,REPLACE(TEXT(100-$AJ38,0),99,0,"%?    ")),"")))))</f>
        <v/>
      </c>
      <c r="T38" s="1864"/>
      <c r="U38" s="1865" t="str">
        <f>IF($N38="","",IF(AND($N38="",OR($H38="",$H38=0)),"",IF(AND($N38="LF",$AJ38&lt;$H38),"0 - "&amp;TEXT(($H38-$AJ38)/1000,"0")&amp;"k lin. ft.?    ",IF(AND($N38="TF",$AJ38&lt;$J38),"0 - "&amp;TEXT(($J38-$AJ38)/1000,"0")&amp;"k track ft.?    ",IF(AND($N38="%",$AJ38&lt;1),REPLACE(IF(AND($P38&gt;0,$V38&gt;0,$T38&gt;0,$X38&gt;0,$R38&gt;0,$Z38&gt;0,$AB38&gt;0,$AD38&gt;0,$AF38&gt;0,$AH38&gt;0),"","0-"),99,0,REPLACE(TEXT(100-$AJ38,0),99,0,"%?    ")),"")))))</f>
        <v/>
      </c>
      <c r="V38" s="1864"/>
      <c r="W38" s="1865" t="str">
        <f>IF($N38="","",IF(AND($N38="",OR($H38="",$H38=0)),"",IF(AND($N38="LF",$AJ38&lt;$H38),"0 - "&amp;TEXT(($H38-$AJ38)/1000,"0")&amp;"k lin. ft.?    ",IF(AND($N38="TF",$AJ38&lt;$J38),"0 - "&amp;TEXT(($J38-$AJ38)/1000,"0")&amp;"k track ft.?    ",IF(AND($N38="%",$AJ38&lt;1),REPLACE(IF(AND($P38&gt;0,$V38&gt;0,$T38&gt;0,$X38&gt;0,$R38&gt;0,$Z38&gt;0,$AB38&gt;0,$AD38&gt;0,$AF38&gt;0,$AH38&gt;0),"","0-"),99,0,REPLACE(TEXT(100-$AJ38,0),99,0,"%?    ")),"")))))</f>
        <v/>
      </c>
      <c r="X38" s="1864"/>
      <c r="Y38" s="1865" t="str">
        <f>IF($N38="","",IF(AND($N38="",OR($H38="",$H38=0)),"",IF(AND($N38="LF",$AJ38&lt;$H38),"0 - "&amp;TEXT(($H38-$AJ38)/1000,"0")&amp;"k lin. ft.?    ",IF(AND($N38="TF",$AJ38&lt;$J38),"0 - "&amp;TEXT(($J38-$AJ38)/1000,"0")&amp;"k track ft.?    ",IF(AND($N38="%",$AJ38&lt;1),REPLACE(IF(AND($P38&gt;0,$V38&gt;0,$T38&gt;0,$X38&gt;0,$R38&gt;0,$Z38&gt;0,$AB38&gt;0,$AD38&gt;0,$AF38&gt;0,$AH38&gt;0),"","0-"),99,0,REPLACE(TEXT(100-$AJ38,0),99,0,"%?    ")),"")))))</f>
        <v/>
      </c>
      <c r="Z38" s="1864"/>
      <c r="AA38" s="1865" t="str">
        <f>IF($N38="","",IF(AND($N38="",OR($H38="",$H38=0)),"",IF(AND($N38="LF",$AJ38&lt;$H38),"0 - "&amp;TEXT(($H38-$AJ38)/1000,"0")&amp;"k lin. ft.?    ",IF(AND($N38="TF",$AJ38&lt;$J38),"0 - "&amp;TEXT(($J38-$AJ38)/1000,"0")&amp;"k track ft.?    ",IF(AND($N38="%",$AJ38&lt;1),REPLACE(IF(AND($P38&gt;0,$V38&gt;0,$T38&gt;0,$X38&gt;0,$R38&gt;0,$Z38&gt;0,$AB38&gt;0,$AD38&gt;0,$AF38&gt;0,$AH38&gt;0),"","0-"),99,0,REPLACE(TEXT(100-$AJ38,0),99,0,"%?    ")),"")))))</f>
        <v/>
      </c>
      <c r="AB38" s="1864"/>
      <c r="AC38" s="1865" t="str">
        <f>IF($N38="","",IF(AND($N38="",OR($H38="",$H38=0)),"",IF(AND($N38="LF",$AJ38&lt;$H38),"0 - "&amp;TEXT(($H38-$AJ38)/1000,"0")&amp;"k lin. ft.?    ",IF(AND($N38="TF",$AJ38&lt;$J38),"0 - "&amp;TEXT(($J38-$AJ38)/1000,"0")&amp;"k track ft.?    ",IF(AND($N38="%",$AJ38&lt;1),REPLACE(IF(AND($P38&gt;0,$V38&gt;0,$T38&gt;0,$X38&gt;0,$R38&gt;0,$Z38&gt;0,$AB38&gt;0,$AD38&gt;0,$AF38&gt;0,$AH38&gt;0),"","0-"),99,0,REPLACE(TEXT(100-$AJ38,0),99,0,"%?    ")),"")))))</f>
        <v/>
      </c>
      <c r="AD38" s="1864"/>
      <c r="AE38" s="1865" t="str">
        <f>IF($N38="","",IF(AND($N38="",OR($H38="",$H38=0)),"",IF(AND($N38="LF",$AJ38&lt;$H38),"0 - "&amp;TEXT(($H38-$AJ38)/1000,"0")&amp;"k lin. ft.?    ",IF(AND($N38="TF",$AJ38&lt;$J38),"0 - "&amp;TEXT(($J38-$AJ38)/1000,"0")&amp;"k track ft.?    ",IF(AND($N38="%",$AJ38&lt;1),REPLACE(IF(AND($P38&gt;0,$V38&gt;0,$T38&gt;0,$X38&gt;0,$R38&gt;0,$Z38&gt;0,$AB38&gt;0,$AD38&gt;0,$AF38&gt;0,$AH38&gt;0),"","0-"),99,0,REPLACE(TEXT(100-$AJ38,0),99,0,"%?    ")),"")))))</f>
        <v/>
      </c>
      <c r="AF38" s="1864"/>
      <c r="AG38" s="1865" t="str">
        <f>IF($N38="","",IF(AND($N38="",OR($H38="",$H38=0)),"",IF(AND($N38="LF",$AJ38&lt;$H38),"0 - "&amp;TEXT(($H38-$AJ38)/1000,"0")&amp;"k lin. ft.?    ",IF(AND($N38="TF",$AJ38&lt;$J38),"0 - "&amp;TEXT(($J38-$AJ38)/1000,"0")&amp;"k track ft.?    ",IF(AND($N38="%",$AJ38&lt;1),REPLACE(IF(AND($P38&gt;0,$V38&gt;0,$T38&gt;0,$X38&gt;0,$R38&gt;0,$Z38&gt;0,$AB38&gt;0,$AD38&gt;0,$AF38&gt;0,$AH38&gt;0),"","0-"),99,0,REPLACE(TEXT(100-$AJ38,0),99,0,"%?    ")),"")))))</f>
        <v/>
      </c>
      <c r="AH38" s="1864"/>
      <c r="AI38" s="904" t="str">
        <f>IF($N38="","",IF(AND($N38="",OR($H38="",$H38=0)),"",IF(AND($N38="LF",$AJ38&lt;$H38),"0 - "&amp;TEXT(($H38-$AJ38)/1000,"0")&amp;"k lin. ft.?    ",IF(AND($N38="TF",$AJ38&lt;$J38),"0 - "&amp;TEXT(($J38-$AJ38)/1000,"0")&amp;"k track ft.?    ",IF(AND($N38="%",$AJ38&lt;1),REPLACE(IF(AND($P38&gt;0,$V38&gt;0,$T38&gt;0,$X38&gt;0,$R38&gt;0,$Z38&gt;0,$AB38&gt;0,$AD38&gt;0,$AF38&gt;0,$AH38&gt;0),"","0-"),99,0,REPLACE(TEXT(100-$AJ38,0),99,0,"%?    ")),"")))))</f>
        <v/>
      </c>
      <c r="AJ38" s="1833">
        <f>IFERROR(IF(N38="%", SUM(P38,R38,T38,V38,X38,Z38,AB38,AD38,AF38,AH38)/100, SUM(P38,R38,T38,V38,X38,Z38,AB38,AD38,AF38,AH38)/IF(N38="LF", H38,J38)), 0)</f>
        <v>0</v>
      </c>
      <c r="AK38" s="1648"/>
      <c r="AL38" s="1675"/>
      <c r="AM38" s="1399"/>
      <c r="AN38" s="1671"/>
      <c r="AO38" s="1399"/>
      <c r="AP38" s="1653"/>
      <c r="AQ38" s="1399"/>
      <c r="AS38" s="1399"/>
      <c r="AT38" s="1624" t="str">
        <f>IF(AND($C$13="", H38="", J38=""), "N/A", IF(OR(AND(ISNUMBER(H38), ISNUMBER(J38), H38=0, J38=0), AND(AJ38=1, H38&lt;&gt;"", J38&lt;&gt;"", L38&lt;&gt;"", N38&lt;&gt;"", P38&lt;&gt;"", R38&lt;&gt;"", T38&lt;&gt;"", V38&lt;&gt;"", X38&lt;&gt;"", Z38&lt;&gt;"", AB38&lt;&gt;"", AD38&lt;&gt;"", AF38&lt;&gt;"", AH38&lt;&gt;"",AL38&lt;&gt;"", IF(AND(AL38&lt;1, AN38=""), FALSE, TRUE))), "Yes", "No"))</f>
        <v>N/A</v>
      </c>
      <c r="AU38" s="759" t="b">
        <f>IF(AND(H38="",OR(L38&lt;&gt;"",P38&lt;&gt;"",R38&lt;&gt;"",T38&lt;&gt;"",V38&lt;&gt;"",X38&lt;&gt;"",AL38&lt;&gt;"",Z38&lt;&gt;"",AB38&lt;&gt;"",AD38&lt;&gt;"",AF38&lt;&gt;"",AH38&lt;&gt;"")),TRUE,FALSE)</f>
        <v>0</v>
      </c>
      <c r="AV38" s="759" t="b">
        <f>IF(OR(H38="",H38=0),FALSE,IF(H38&gt;BM38,TRUE,FALSE))</f>
        <v>0</v>
      </c>
      <c r="AW38" s="759" t="b">
        <f>IF(AND($C$13&lt;&gt;"",$H38=""),TRUE,FALSE)</f>
        <v>0</v>
      </c>
      <c r="AX38" s="759" t="b">
        <f>IF(E38="yes",FALSE,IF(H38="0",FALSE,IF(AND($C$13&lt;&gt;"",J38=""),TRUE,FALSE)))</f>
        <v>0</v>
      </c>
      <c r="AY38" s="759" t="b">
        <f>IF($L38="",FALSE,IF($L38&lt;$BO38,TRUE,FALSE))</f>
        <v>0</v>
      </c>
      <c r="AZ38" s="759" t="b">
        <f>IF($L38="",FALSE,IF($L38&gt;$BP38,TRUE,FALSE))</f>
        <v>0</v>
      </c>
      <c r="BA38" s="759" t="b">
        <f>IF(H38=0,FALSE,IF(AND(E38&lt;&gt;"",$L38=""),TRUE,FALSE))</f>
        <v>0</v>
      </c>
      <c r="BB38" s="759" t="b">
        <f>IF(AND($AJ38&lt;&gt;0,$H38&lt;&gt;$BJ38,$N38="LF"),TRUE,IF(AND($AJ38&lt;&gt;0,$J38&lt;&gt;$AJ38,$N38="TF"),TRUE,IF(AND($AJ38&lt;&gt;0,$AJ38&lt;&gt;1,$N38="%"),TRUE,FALSE)))</f>
        <v>0</v>
      </c>
      <c r="BC38" s="759" t="b">
        <f>IF(AT38="No", IF(OR(P38="", R38="", T38="", V38="", X38="", Z38="", AB38="", AD38="", AF38="", AH38=""), TRUE, FALSE), FALSE)</f>
        <v>0</v>
      </c>
      <c r="BD38" s="759" t="b">
        <f>IF($BE38=TRUE,FALSE,IF(OR($AL38&lt;0,$AL38&gt;1),TRUE,FALSE))</f>
        <v>0</v>
      </c>
      <c r="BE38" s="759" t="b">
        <f>IF(AND($H38&lt;&gt;0,$AL38=""),TRUE,FALSE)</f>
        <v>0</v>
      </c>
      <c r="BF38" s="759" t="b">
        <f>IF(N38="%",TRUE,FALSE)</f>
        <v>0</v>
      </c>
      <c r="BG38" s="760"/>
      <c r="BH38" s="1678">
        <f>IF($C38="","",VLOOKUP($C38,val_fg_assets,9,FALSE))</f>
        <v>1</v>
      </c>
      <c r="BI38" s="1678" t="str">
        <f>IF(N38="", "", IF(N38="LF", H38, IF(N38="TF", J38, IF(N38="%", 1, ""))))</f>
        <v/>
      </c>
      <c r="BJ38" s="1679">
        <f>P38+R38+T38+V38+X38+Z38+AB38+AD38+AF38+AH38</f>
        <v>0</v>
      </c>
      <c r="BK38" s="1679" t="str">
        <f>IF(BI38="", "", BI38-BJ38)</f>
        <v/>
      </c>
      <c r="BL38" s="1679">
        <f>IF($C38="","",VLOOKUP($C38,val_fg_assets,3,FALSE))</f>
        <v>0</v>
      </c>
      <c r="BM38" s="1679">
        <f>IF($C38="","",VLOOKUP($C38,val_fg_assets,4,FALSE))</f>
        <v>1320000</v>
      </c>
      <c r="BN38" s="1678">
        <f>IF($C38="","",VLOOKUP($C38,val_fg_assets,5,FALSE))</f>
        <v>80</v>
      </c>
      <c r="BO38" s="1678">
        <f>IF($C38="","",VLOOKUP($C38,val_fg_assets,6,FALSE))</f>
        <v>60</v>
      </c>
      <c r="BP38" s="1678">
        <f>IF($C38="","",VLOOKUP($C38,val_fg_assets,7,FALSE))</f>
        <v>100</v>
      </c>
      <c r="BQ38" s="1399"/>
    </row>
    <row r="39" spans="1:69" s="782" customFormat="1" ht="3.95" customHeight="1" x14ac:dyDescent="0.2">
      <c r="A39" s="852"/>
      <c r="B39" s="1791">
        <v>27</v>
      </c>
      <c r="C39" s="1673"/>
      <c r="D39" s="1841"/>
      <c r="E39" s="1057"/>
      <c r="F39" s="764"/>
      <c r="G39" s="764"/>
      <c r="H39" s="1909"/>
      <c r="I39" s="1908"/>
      <c r="J39" s="1908"/>
      <c r="K39" s="1908"/>
      <c r="L39" s="1909"/>
      <c r="M39" s="1910"/>
      <c r="N39" s="1911"/>
      <c r="O39" s="1910"/>
      <c r="P39" s="1866"/>
      <c r="Q39" s="1867"/>
      <c r="R39" s="1866"/>
      <c r="S39" s="1867"/>
      <c r="T39" s="1866"/>
      <c r="U39" s="1867"/>
      <c r="V39" s="1866"/>
      <c r="W39" s="1867"/>
      <c r="X39" s="1866"/>
      <c r="Y39" s="1867"/>
      <c r="Z39" s="1867"/>
      <c r="AA39" s="1867"/>
      <c r="AB39" s="1867"/>
      <c r="AC39" s="1867"/>
      <c r="AD39" s="1867"/>
      <c r="AE39" s="1867"/>
      <c r="AF39" s="1867"/>
      <c r="AG39" s="1867"/>
      <c r="AH39" s="1867"/>
      <c r="AI39" s="837"/>
      <c r="AJ39" s="1806"/>
      <c r="AK39" s="841"/>
      <c r="AL39" s="1806"/>
      <c r="AM39" s="1399"/>
      <c r="AN39" s="838"/>
      <c r="AO39" s="1399"/>
      <c r="AP39" s="1399"/>
      <c r="AQ39" s="1399"/>
      <c r="AS39" s="1399"/>
      <c r="AT39" s="1399"/>
      <c r="AU39" s="759"/>
      <c r="AV39" s="759"/>
      <c r="AW39" s="759"/>
      <c r="AX39" s="759"/>
      <c r="AY39" s="759"/>
      <c r="AZ39" s="759"/>
      <c r="BA39" s="759"/>
      <c r="BB39" s="759"/>
      <c r="BC39" s="759"/>
      <c r="BD39" s="759"/>
      <c r="BE39" s="759"/>
      <c r="BF39" s="759"/>
      <c r="BG39" s="760"/>
      <c r="BH39" s="1678"/>
      <c r="BI39" s="1678"/>
      <c r="BJ39" s="1678"/>
      <c r="BK39" s="1678"/>
      <c r="BL39" s="1679"/>
      <c r="BM39" s="1679"/>
      <c r="BN39" s="1678"/>
      <c r="BO39" s="1678"/>
      <c r="BP39" s="1678"/>
      <c r="BQ39" s="1399"/>
    </row>
    <row r="40" spans="1:69" s="782" customFormat="1" ht="3.95" customHeight="1" thickBot="1" x14ac:dyDescent="0.25">
      <c r="A40" s="852"/>
      <c r="B40" s="1791">
        <v>28</v>
      </c>
      <c r="C40" s="851"/>
      <c r="D40" s="1841"/>
      <c r="E40" s="1058"/>
      <c r="F40" s="686"/>
      <c r="G40" s="686"/>
      <c r="H40" s="1909"/>
      <c r="I40" s="1908"/>
      <c r="J40" s="1908"/>
      <c r="K40" s="1908"/>
      <c r="L40" s="1909"/>
      <c r="M40" s="722"/>
      <c r="N40" s="1912"/>
      <c r="O40" s="722"/>
      <c r="P40" s="1868"/>
      <c r="Q40" s="1869"/>
      <c r="R40" s="1868"/>
      <c r="S40" s="1869"/>
      <c r="T40" s="1868"/>
      <c r="U40" s="1869"/>
      <c r="V40" s="1868"/>
      <c r="W40" s="1869"/>
      <c r="X40" s="1868"/>
      <c r="Y40" s="1869"/>
      <c r="Z40" s="1869"/>
      <c r="AA40" s="1869"/>
      <c r="AB40" s="1869"/>
      <c r="AC40" s="1869"/>
      <c r="AD40" s="1869"/>
      <c r="AE40" s="1869"/>
      <c r="AF40" s="1869"/>
      <c r="AG40" s="1869"/>
      <c r="AH40" s="1869"/>
      <c r="AI40" s="1670"/>
      <c r="AJ40" s="1828"/>
      <c r="AK40" s="724"/>
      <c r="AL40" s="1806"/>
      <c r="AM40" s="1399"/>
      <c r="AN40" s="1258"/>
      <c r="AO40" s="1399"/>
      <c r="AP40" s="1399"/>
      <c r="AQ40" s="1399"/>
      <c r="AS40" s="1399"/>
      <c r="AT40" s="1399"/>
      <c r="AU40" s="759"/>
      <c r="AV40" s="759"/>
      <c r="AW40" s="759"/>
      <c r="AX40" s="759"/>
      <c r="AY40" s="759"/>
      <c r="AZ40" s="759"/>
      <c r="BA40" s="759"/>
      <c r="BB40" s="759"/>
      <c r="BC40" s="759"/>
      <c r="BD40" s="759"/>
      <c r="BE40" s="759"/>
      <c r="BF40" s="759"/>
      <c r="BG40" s="760"/>
      <c r="BH40" s="1678"/>
      <c r="BI40" s="1678"/>
      <c r="BJ40" s="1678"/>
      <c r="BK40" s="1678"/>
      <c r="BL40" s="1679"/>
      <c r="BM40" s="1679"/>
      <c r="BN40" s="1678"/>
      <c r="BO40" s="1678"/>
      <c r="BP40" s="1678"/>
      <c r="BQ40" s="1399"/>
    </row>
    <row r="41" spans="1:69" s="782" customFormat="1" x14ac:dyDescent="0.2">
      <c r="A41" s="852">
        <f>A38+1</f>
        <v>9</v>
      </c>
      <c r="B41" s="1791">
        <v>29</v>
      </c>
      <c r="C41" s="851" t="str">
        <f>Valid!$B$79</f>
        <v>Below-Grade/Submerged Tube</v>
      </c>
      <c r="D41" s="1841"/>
      <c r="E41" s="1245" t="str">
        <f>IF(AT41="N/A","",AT41)</f>
        <v/>
      </c>
      <c r="F41" s="764"/>
      <c r="G41" s="764"/>
      <c r="H41" s="1864"/>
      <c r="I41" s="1904" t="str">
        <f>IF(C13="","",IF(J41&lt;&gt;"","Linear Feet   ","Qty? Enter Zero if N/A  "))</f>
        <v/>
      </c>
      <c r="J41" s="1864"/>
      <c r="K41" s="1904" t="str">
        <f>IF(E41="yes","",IF(C13="","",IF(H41="","Qty? Enter Zero if N/A  ",IF(H41&lt;&gt;"","Track Feet      ",""))))</f>
        <v/>
      </c>
      <c r="L41" s="1864"/>
      <c r="M41" s="1620" t="str">
        <f>IF($H41=0,"",IF($L41="",TEXT(BN41,0)&amp;" Years?    ",""))</f>
        <v/>
      </c>
      <c r="N41" s="1905"/>
      <c r="O41" s="1620"/>
      <c r="P41" s="1864"/>
      <c r="Q41" s="1865" t="str">
        <f>IF($N41="","",IF(AND($N41="",OR($H41="",$H41=0)),"",IF(AND($N41="LF",$AJ41&lt;$H41),"0 - "&amp;TEXT(($H41-$AJ41)/1000,"0")&amp;"k lin. ft.?    ",IF(AND($N41="TF",$AJ41&lt;$J41),"0 - "&amp;TEXT(($J41-$AJ41)/1000,"0")&amp;"k track ft.?    ",IF(AND($N41="%",$AJ41&lt;1),REPLACE(IF(AND($P41&gt;0,$V41&gt;0,$T41&gt;0,$X41&gt;0,$R41&gt;0,$Z41&gt;0,$AB41&gt;0,$AD41&gt;0,$AF41&gt;0,$AH41&gt;0),"","0-"),99,0,REPLACE(TEXT(100-$AJ41,0),99,0,"%?    ")),"")))))</f>
        <v/>
      </c>
      <c r="R41" s="1864"/>
      <c r="S41" s="1865" t="str">
        <f>IF($N41="","",IF(AND($N41="",OR($H41="",$H41=0)),"",IF(AND($N41="LF",$AJ41&lt;$H41),"0 - "&amp;TEXT(($H41-$AJ41)/1000,"0")&amp;"k lin. ft.?    ",IF(AND($N41="TF",$AJ41&lt;$J41),"0 - "&amp;TEXT(($J41-$AJ41)/1000,"0")&amp;"k track ft.?    ",IF(AND($N41="%",$AJ41&lt;1),REPLACE(IF(AND($P41&gt;0,$V41&gt;0,$T41&gt;0,$X41&gt;0,$R41&gt;0,$Z41&gt;0,$AB41&gt;0,$AD41&gt;0,$AF41&gt;0,$AH41&gt;0),"","0-"),99,0,REPLACE(TEXT(100-$AJ41,0),99,0,"%?    ")),"")))))</f>
        <v/>
      </c>
      <c r="T41" s="1864"/>
      <c r="U41" s="1865" t="str">
        <f>IF($N41="","",IF(AND($N41="",OR($H41="",$H41=0)),"",IF(AND($N41="LF",$AJ41&lt;$H41),"0 - "&amp;TEXT(($H41-$AJ41)/1000,"0")&amp;"k lin. ft.?    ",IF(AND($N41="TF",$AJ41&lt;$J41),"0 - "&amp;TEXT(($J41-$AJ41)/1000,"0")&amp;"k track ft.?    ",IF(AND($N41="%",$AJ41&lt;1),REPLACE(IF(AND($P41&gt;0,$V41&gt;0,$T41&gt;0,$X41&gt;0,$R41&gt;0,$Z41&gt;0,$AB41&gt;0,$AD41&gt;0,$AF41&gt;0,$AH41&gt;0),"","0-"),99,0,REPLACE(TEXT(100-$AJ41,0),99,0,"%?    ")),"")))))</f>
        <v/>
      </c>
      <c r="V41" s="1864"/>
      <c r="W41" s="1865" t="str">
        <f>IF($N41="","",IF(AND($N41="",OR($H41="",$H41=0)),"",IF(AND($N41="LF",$AJ41&lt;$H41),"0 - "&amp;TEXT(($H41-$AJ41)/1000,"0")&amp;"k lin. ft.?    ",IF(AND($N41="TF",$AJ41&lt;$J41),"0 - "&amp;TEXT(($J41-$AJ41)/1000,"0")&amp;"k track ft.?    ",IF(AND($N41="%",$AJ41&lt;1),REPLACE(IF(AND($P41&gt;0,$V41&gt;0,$T41&gt;0,$X41&gt;0,$R41&gt;0,$Z41&gt;0,$AB41&gt;0,$AD41&gt;0,$AF41&gt;0,$AH41&gt;0),"","0-"),99,0,REPLACE(TEXT(100-$AJ41,0),99,0,"%?    ")),"")))))</f>
        <v/>
      </c>
      <c r="X41" s="1864"/>
      <c r="Y41" s="1865" t="str">
        <f>IF($N41="","",IF(AND($N41="",OR($H41="",$H41=0)),"",IF(AND($N41="LF",$AJ41&lt;$H41),"0 - "&amp;TEXT(($H41-$AJ41)/1000,"0")&amp;"k lin. ft.?    ",IF(AND($N41="TF",$AJ41&lt;$J41),"0 - "&amp;TEXT(($J41-$AJ41)/1000,"0")&amp;"k track ft.?    ",IF(AND($N41="%",$AJ41&lt;1),REPLACE(IF(AND($P41&gt;0,$V41&gt;0,$T41&gt;0,$X41&gt;0,$R41&gt;0,$Z41&gt;0,$AB41&gt;0,$AD41&gt;0,$AF41&gt;0,$AH41&gt;0),"","0-"),99,0,REPLACE(TEXT(100-$AJ41,0),99,0,"%?    ")),"")))))</f>
        <v/>
      </c>
      <c r="Z41" s="1864"/>
      <c r="AA41" s="1865" t="str">
        <f>IF($N41="","",IF(AND($N41="",OR($H41="",$H41=0)),"",IF(AND($N41="LF",$AJ41&lt;$H41),"0 - "&amp;TEXT(($H41-$AJ41)/1000,"0")&amp;"k lin. ft.?    ",IF(AND($N41="TF",$AJ41&lt;$J41),"0 - "&amp;TEXT(($J41-$AJ41)/1000,"0")&amp;"k track ft.?    ",IF(AND($N41="%",$AJ41&lt;1),REPLACE(IF(AND($P41&gt;0,$V41&gt;0,$T41&gt;0,$X41&gt;0,$R41&gt;0,$Z41&gt;0,$AB41&gt;0,$AD41&gt;0,$AF41&gt;0,$AH41&gt;0),"","0-"),99,0,REPLACE(TEXT(100-$AJ41,0),99,0,"%?    ")),"")))))</f>
        <v/>
      </c>
      <c r="AB41" s="1864"/>
      <c r="AC41" s="1865" t="str">
        <f>IF($N41="","",IF(AND($N41="",OR($H41="",$H41=0)),"",IF(AND($N41="LF",$AJ41&lt;$H41),"0 - "&amp;TEXT(($H41-$AJ41)/1000,"0")&amp;"k lin. ft.?    ",IF(AND($N41="TF",$AJ41&lt;$J41),"0 - "&amp;TEXT(($J41-$AJ41)/1000,"0")&amp;"k track ft.?    ",IF(AND($N41="%",$AJ41&lt;1),REPLACE(IF(AND($P41&gt;0,$V41&gt;0,$T41&gt;0,$X41&gt;0,$R41&gt;0,$Z41&gt;0,$AB41&gt;0,$AD41&gt;0,$AF41&gt;0,$AH41&gt;0),"","0-"),99,0,REPLACE(TEXT(100-$AJ41,0),99,0,"%?    ")),"")))))</f>
        <v/>
      </c>
      <c r="AD41" s="1864"/>
      <c r="AE41" s="1865" t="str">
        <f>IF($N41="","",IF(AND($N41="",OR($H41="",$H41=0)),"",IF(AND($N41="LF",$AJ41&lt;$H41),"0 - "&amp;TEXT(($H41-$AJ41)/1000,"0")&amp;"k lin. ft.?    ",IF(AND($N41="TF",$AJ41&lt;$J41),"0 - "&amp;TEXT(($J41-$AJ41)/1000,"0")&amp;"k track ft.?    ",IF(AND($N41="%",$AJ41&lt;1),REPLACE(IF(AND($P41&gt;0,$V41&gt;0,$T41&gt;0,$X41&gt;0,$R41&gt;0,$Z41&gt;0,$AB41&gt;0,$AD41&gt;0,$AF41&gt;0,$AH41&gt;0),"","0-"),99,0,REPLACE(TEXT(100-$AJ41,0),99,0,"%?    ")),"")))))</f>
        <v/>
      </c>
      <c r="AF41" s="1864"/>
      <c r="AG41" s="1865" t="str">
        <f>IF($N41="","",IF(AND($N41="",OR($H41="",$H41=0)),"",IF(AND($N41="LF",$AJ41&lt;$H41),"0 - "&amp;TEXT(($H41-$AJ41)/1000,"0")&amp;"k lin. ft.?    ",IF(AND($N41="TF",$AJ41&lt;$J41),"0 - "&amp;TEXT(($J41-$AJ41)/1000,"0")&amp;"k track ft.?    ",IF(AND($N41="%",$AJ41&lt;1),REPLACE(IF(AND($P41&gt;0,$V41&gt;0,$T41&gt;0,$X41&gt;0,$R41&gt;0,$Z41&gt;0,$AB41&gt;0,$AD41&gt;0,$AF41&gt;0,$AH41&gt;0),"","0-"),99,0,REPLACE(TEXT(100-$AJ41,0),99,0,"%?    ")),"")))))</f>
        <v/>
      </c>
      <c r="AH41" s="1864"/>
      <c r="AI41" s="904" t="str">
        <f>IF($N41="","",IF(AND($N41="",OR($H41="",$H41=0)),"",IF(AND($N41="LF",$AJ41&lt;$H41),"0 - "&amp;TEXT(($H41-$AJ41)/1000,"0")&amp;"k lin. ft.?    ",IF(AND($N41="TF",$AJ41&lt;$J41),"0 - "&amp;TEXT(($J41-$AJ41)/1000,"0")&amp;"k track ft.?    ",IF(AND($N41="%",$AJ41&lt;1),REPLACE(IF(AND($P41&gt;0,$V41&gt;0,$T41&gt;0,$X41&gt;0,$R41&gt;0,$Z41&gt;0,$AB41&gt;0,$AD41&gt;0,$AF41&gt;0,$AH41&gt;0),"","0-"),99,0,REPLACE(TEXT(100-$AJ41,0),99,0,"%?    ")),"")))))</f>
        <v/>
      </c>
      <c r="AJ41" s="1833">
        <f>IFERROR(IF(N41="%", SUM(P41,R41,T41,V41,X41,Z41,AB41,AD41,AF41,AH41)/100, SUM(P41,R41,T41,V41,X41,Z41,AB41,AD41,AF41,AH41)/IF(N41="LF", H41,J41)), 0)</f>
        <v>0</v>
      </c>
      <c r="AK41" s="1648"/>
      <c r="AL41" s="1832"/>
      <c r="AM41" s="1399"/>
      <c r="AN41" s="1276"/>
      <c r="AO41" s="1399"/>
      <c r="AP41" s="1653"/>
      <c r="AQ41" s="1399"/>
      <c r="AS41" s="1399"/>
      <c r="AT41" s="1624" t="str">
        <f>IF(AND($C$13="", H41="", J41=""), "N/A", IF(OR(AND(ISNUMBER(H41), ISNUMBER(J41), H41=0, J41=0), AND(AJ41=1, H41&lt;&gt;"", J41&lt;&gt;"", L41&lt;&gt;"", N41&lt;&gt;"", P41&lt;&gt;"", R41&lt;&gt;"", T41&lt;&gt;"", V41&lt;&gt;"", X41&lt;&gt;"", Z41&lt;&gt;"", AB41&lt;&gt;"", AD41&lt;&gt;"", AF41&lt;&gt;"", AH41&lt;&gt;"",AL41&lt;&gt;"", IF(AND(AL41&lt;1, AN41=""), FALSE, TRUE))), "Yes", "No"))</f>
        <v>N/A</v>
      </c>
      <c r="AU41" s="759" t="b">
        <f>IF(AND(H41="",OR(L41&lt;&gt;"",P41&lt;&gt;"",R41&lt;&gt;"",T41&lt;&gt;"",V41&lt;&gt;"",X41&lt;&gt;"",AL41&lt;&gt;"",Z41&lt;&gt;"",AB41&lt;&gt;"",AD41&lt;&gt;"",AF41&lt;&gt;"",AH41&lt;&gt;"")),TRUE,FALSE)</f>
        <v>0</v>
      </c>
      <c r="AV41" s="759" t="b">
        <f>IF(OR(H41="",H41=0),FALSE,IF(H41&gt;BM41,TRUE,FALSE))</f>
        <v>0</v>
      </c>
      <c r="AW41" s="759" t="b">
        <f>IF(AND($C$13&lt;&gt;"",$H41=""),TRUE,FALSE)</f>
        <v>0</v>
      </c>
      <c r="AX41" s="759" t="b">
        <f>IF(E41="yes",FALSE,IF(H41="0",FALSE,IF(AND($C$13&lt;&gt;"",J41=""),TRUE,FALSE)))</f>
        <v>0</v>
      </c>
      <c r="AY41" s="759" t="b">
        <f>IF($L41="",FALSE,IF($L41&lt;$BO41,TRUE,FALSE))</f>
        <v>0</v>
      </c>
      <c r="AZ41" s="759" t="b">
        <f>IF($L41="",FALSE,IF($L41&gt;$BP41,TRUE,FALSE))</f>
        <v>0</v>
      </c>
      <c r="BA41" s="759" t="b">
        <f>IF(H41=0,FALSE,IF(AND(E41&lt;&gt;"",$L41=""),TRUE,FALSE))</f>
        <v>0</v>
      </c>
      <c r="BB41" s="759" t="b">
        <f>IF(AND($AJ41&lt;&gt;0,$H41&lt;&gt;$BJ41,$N41="LF"),TRUE,IF(AND($AJ41&lt;&gt;0,$J41&lt;&gt;$AJ41,$N41="TF"),TRUE,IF(AND($AJ41&lt;&gt;0,$AJ41&lt;&gt;1,$N41="%"),TRUE,FALSE)))</f>
        <v>0</v>
      </c>
      <c r="BC41" s="759" t="b">
        <f>IF(AT41="No", IF(OR(P41="", R41="", T41="", V41="", X41="", Z41="", AB41="", AD41="", AF41="", AH41=""), TRUE, FALSE), FALSE)</f>
        <v>0</v>
      </c>
      <c r="BD41" s="759" t="b">
        <f>IF($BE41=TRUE,FALSE,IF(OR($AL41&lt;0,$AL41&gt;1),TRUE,FALSE))</f>
        <v>0</v>
      </c>
      <c r="BE41" s="759" t="b">
        <f>IF(AND($H41&lt;&gt;0,$AL41=""),TRUE,FALSE)</f>
        <v>0</v>
      </c>
      <c r="BF41" s="759" t="b">
        <f>IF(N41="%",TRUE,FALSE)</f>
        <v>0</v>
      </c>
      <c r="BG41" s="760"/>
      <c r="BH41" s="1678">
        <f>IF($C41="","",VLOOKUP($C41,val_fg_assets,9,FALSE))</f>
        <v>1</v>
      </c>
      <c r="BI41" s="1678" t="str">
        <f>IF(N41="", "", IF(N41="LF", H41, IF(N41="TF", J41, IF(N41="%", 1, ""))))</f>
        <v/>
      </c>
      <c r="BJ41" s="1679">
        <f>P41+R41+T41+V41+X41+Z41+AB41+AD41+AF41+AH41</f>
        <v>0</v>
      </c>
      <c r="BK41" s="1679" t="str">
        <f>IF(BI41="", "", BI41-BJ41)</f>
        <v/>
      </c>
      <c r="BL41" s="1679">
        <f>IF($C41="","",VLOOKUP($C41,val_fg_assets,3,FALSE))</f>
        <v>0</v>
      </c>
      <c r="BM41" s="1679">
        <f>IF($C41="","",VLOOKUP($C41,val_fg_assets,4,FALSE))</f>
        <v>1320000</v>
      </c>
      <c r="BN41" s="1678">
        <f>IF($C41="","",VLOOKUP($C41,val_fg_assets,5,FALSE))</f>
        <v>80</v>
      </c>
      <c r="BO41" s="1678">
        <f>IF($C41="","",VLOOKUP($C41,val_fg_assets,6,FALSE))</f>
        <v>60</v>
      </c>
      <c r="BP41" s="1678">
        <f>IF($C41="","",VLOOKUP($C41,val_fg_assets,7,FALSE))</f>
        <v>100</v>
      </c>
      <c r="BQ41" s="1399"/>
    </row>
    <row r="42" spans="1:69" s="782" customFormat="1" ht="3.95" customHeight="1" thickBot="1" x14ac:dyDescent="0.25">
      <c r="A42" s="852"/>
      <c r="B42" s="1790">
        <v>30</v>
      </c>
      <c r="C42" s="850"/>
      <c r="D42" s="1841"/>
      <c r="E42" s="1058"/>
      <c r="F42" s="686"/>
      <c r="G42" s="686"/>
      <c r="H42" s="1909"/>
      <c r="I42" s="1907"/>
      <c r="J42" s="1908"/>
      <c r="K42" s="1908"/>
      <c r="L42" s="1909"/>
      <c r="M42" s="1910"/>
      <c r="N42" s="1910"/>
      <c r="O42" s="1910"/>
      <c r="P42" s="1866"/>
      <c r="Q42" s="1867"/>
      <c r="R42" s="1866"/>
      <c r="S42" s="1867"/>
      <c r="T42" s="1866"/>
      <c r="U42" s="1867"/>
      <c r="V42" s="1866"/>
      <c r="W42" s="1867"/>
      <c r="X42" s="1866"/>
      <c r="Y42" s="1867"/>
      <c r="Z42" s="1867"/>
      <c r="AA42" s="1867"/>
      <c r="AB42" s="1867"/>
      <c r="AC42" s="1867"/>
      <c r="AD42" s="1867"/>
      <c r="AE42" s="1867"/>
      <c r="AF42" s="1867"/>
      <c r="AG42" s="1867"/>
      <c r="AH42" s="1867"/>
      <c r="AI42" s="837"/>
      <c r="AJ42" s="1806"/>
      <c r="AK42" s="841"/>
      <c r="AL42" s="1806"/>
      <c r="AM42" s="1399"/>
      <c r="AN42" s="838"/>
      <c r="AO42" s="1399"/>
      <c r="AP42" s="1399"/>
      <c r="AQ42" s="1399"/>
      <c r="AS42" s="1399"/>
      <c r="AT42" s="1399"/>
      <c r="AU42" s="759"/>
      <c r="AV42" s="759"/>
      <c r="AW42" s="759"/>
      <c r="AX42" s="759"/>
      <c r="AY42" s="759"/>
      <c r="AZ42" s="759"/>
      <c r="BA42" s="759"/>
      <c r="BB42" s="759"/>
      <c r="BC42" s="759"/>
      <c r="BD42" s="759"/>
      <c r="BE42" s="759"/>
      <c r="BF42" s="759"/>
      <c r="BG42" s="760"/>
      <c r="BH42" s="1678"/>
      <c r="BI42" s="1678"/>
      <c r="BJ42" s="1678"/>
      <c r="BK42" s="1678"/>
      <c r="BL42" s="1679"/>
      <c r="BM42" s="1679"/>
      <c r="BN42" s="1678"/>
      <c r="BO42" s="1678"/>
      <c r="BP42" s="1678"/>
      <c r="BQ42" s="1399"/>
    </row>
    <row r="43" spans="1:69" s="782" customFormat="1" x14ac:dyDescent="0.2">
      <c r="A43" s="1712" t="s">
        <v>2621</v>
      </c>
      <c r="B43" s="1790">
        <v>31</v>
      </c>
      <c r="C43" s="850"/>
      <c r="D43" s="1841"/>
      <c r="E43" s="816"/>
      <c r="F43" s="686"/>
      <c r="G43" s="686"/>
      <c r="H43" s="1914">
        <f>SUM(H17:H41)</f>
        <v>0</v>
      </c>
      <c r="I43" s="1915"/>
      <c r="J43" s="1914">
        <f>SUM(J17:J41)</f>
        <v>0</v>
      </c>
      <c r="K43" s="1880"/>
      <c r="L43" s="1880" t="str">
        <f>IF(C13="","&lt;&lt;Total Guideway (Excluding Track) in Linear Feet and Track Feet","&lt;&lt;Total "&amp;VLOOKUP(C13,Codes!$C$156:$D$174,2)&amp;" Guideway (Excluding Track) in Linear Feet and Track Feet")</f>
        <v>&lt;&lt;Total Guideway (Excluding Track) in Linear Feet and Track Feet</v>
      </c>
      <c r="M43" s="1910"/>
      <c r="N43" s="1910"/>
      <c r="O43" s="1910"/>
      <c r="P43" s="1916"/>
      <c r="Q43" s="1867"/>
      <c r="R43" s="1916"/>
      <c r="S43" s="1867"/>
      <c r="T43" s="1916"/>
      <c r="U43" s="1867"/>
      <c r="V43" s="1916"/>
      <c r="W43" s="1867"/>
      <c r="X43" s="1916"/>
      <c r="Y43" s="1867"/>
      <c r="Z43" s="1867"/>
      <c r="AA43" s="1867"/>
      <c r="AB43" s="1867"/>
      <c r="AC43" s="1867"/>
      <c r="AD43" s="1867"/>
      <c r="AE43" s="1867"/>
      <c r="AF43" s="1867"/>
      <c r="AG43" s="1867"/>
      <c r="AH43" s="1867"/>
      <c r="AI43" s="837"/>
      <c r="AJ43" s="1806"/>
      <c r="AK43" s="841"/>
      <c r="AL43" s="1806"/>
      <c r="AM43" s="1399"/>
      <c r="AN43" s="838"/>
      <c r="AO43" s="1399"/>
      <c r="AP43" s="1399"/>
      <c r="AQ43" s="1399"/>
      <c r="AS43" s="1399"/>
      <c r="AT43" s="1399"/>
      <c r="AU43" s="759"/>
      <c r="AV43" s="759"/>
      <c r="AW43" s="759"/>
      <c r="AX43" s="759"/>
      <c r="AY43" s="759"/>
      <c r="AZ43" s="759"/>
      <c r="BA43" s="759"/>
      <c r="BB43" s="759"/>
      <c r="BC43" s="759"/>
      <c r="BD43" s="759"/>
      <c r="BE43" s="759"/>
      <c r="BF43" s="759"/>
      <c r="BG43" s="760"/>
      <c r="BH43" s="1678"/>
      <c r="BI43" s="1678"/>
      <c r="BJ43" s="1678"/>
      <c r="BK43" s="1678"/>
      <c r="BL43" s="1679"/>
      <c r="BM43" s="1679"/>
      <c r="BN43" s="1678"/>
      <c r="BO43" s="1678"/>
      <c r="BP43" s="1678"/>
      <c r="BQ43" s="1399"/>
    </row>
    <row r="44" spans="1:69" s="686" customFormat="1" x14ac:dyDescent="0.2">
      <c r="A44" s="1712" t="s">
        <v>2621</v>
      </c>
      <c r="B44" s="1791">
        <v>32</v>
      </c>
      <c r="C44" s="844" t="str">
        <f>IF(C13="","Power and Signals",VLOOKUP(C13,Codes!$C$156:$D$174,2)&amp;" Power and Signals")</f>
        <v>Power and Signals</v>
      </c>
      <c r="D44" s="1709"/>
      <c r="E44" s="1057"/>
      <c r="F44" s="764"/>
      <c r="G44" s="764"/>
      <c r="H44" s="1917"/>
      <c r="I44" s="1880"/>
      <c r="J44" s="1651"/>
      <c r="K44" s="1651"/>
      <c r="L44" s="1917"/>
      <c r="M44" s="1651"/>
      <c r="N44" s="1651"/>
      <c r="O44" s="1651"/>
      <c r="P44" s="1916"/>
      <c r="Q44" s="1867"/>
      <c r="R44" s="1916"/>
      <c r="S44" s="1867"/>
      <c r="T44" s="1916"/>
      <c r="U44" s="1867"/>
      <c r="V44" s="1916"/>
      <c r="W44" s="1867"/>
      <c r="X44" s="1916"/>
      <c r="Y44" s="1651"/>
      <c r="Z44" s="1651"/>
      <c r="AA44" s="1651"/>
      <c r="AB44" s="1651"/>
      <c r="AC44" s="1651"/>
      <c r="AD44" s="1651"/>
      <c r="AE44" s="1651"/>
      <c r="AF44" s="1651"/>
      <c r="AG44" s="1651"/>
      <c r="AH44" s="1651"/>
      <c r="AJ44" s="1676"/>
      <c r="AL44" s="1676"/>
      <c r="AP44" s="1223"/>
      <c r="AU44" s="848"/>
      <c r="AV44" s="848"/>
      <c r="AW44" s="848"/>
      <c r="AX44" s="848"/>
      <c r="AY44" s="759"/>
      <c r="AZ44" s="759"/>
      <c r="BA44" s="848"/>
      <c r="BB44" s="759"/>
      <c r="BC44" s="848"/>
      <c r="BD44" s="848"/>
      <c r="BE44" s="848"/>
      <c r="BF44" s="848"/>
      <c r="BH44" s="1680"/>
      <c r="BI44" s="1680"/>
      <c r="BJ44" s="1680"/>
      <c r="BK44" s="1680"/>
      <c r="BL44" s="1680"/>
      <c r="BM44" s="1680"/>
      <c r="BN44" s="1680"/>
      <c r="BO44" s="1680"/>
      <c r="BP44" s="1680"/>
    </row>
    <row r="45" spans="1:69" s="686" customFormat="1" ht="26.25" thickBot="1" x14ac:dyDescent="0.25">
      <c r="A45" s="1712" t="s">
        <v>2621</v>
      </c>
      <c r="B45" s="1791">
        <v>33</v>
      </c>
      <c r="C45" s="1674"/>
      <c r="D45" s="1709"/>
      <c r="E45" s="1057"/>
      <c r="H45" s="1903" t="s">
        <v>13</v>
      </c>
      <c r="I45" s="1651"/>
      <c r="J45" s="1651"/>
      <c r="K45" s="1651"/>
      <c r="L45" s="1909"/>
      <c r="M45" s="1909"/>
      <c r="N45" s="1909"/>
      <c r="O45" s="1909"/>
      <c r="P45" s="1903" t="str">
        <f>P$9</f>
        <v>Pre-1920</v>
      </c>
      <c r="Q45" s="1869"/>
      <c r="R45" s="1903" t="str">
        <f>R$9</f>
        <v>1920-
1929</v>
      </c>
      <c r="S45" s="1869"/>
      <c r="T45" s="1903" t="str">
        <f>T$9</f>
        <v>1930-
1939</v>
      </c>
      <c r="U45" s="1869"/>
      <c r="V45" s="1903" t="str">
        <f>V$9</f>
        <v>1940-
1949</v>
      </c>
      <c r="W45" s="1869"/>
      <c r="X45" s="1903" t="str">
        <f>X$9</f>
        <v>1950-
1959</v>
      </c>
      <c r="Y45" s="1868"/>
      <c r="Z45" s="1903" t="str">
        <f>Z$9</f>
        <v>1960-
1969</v>
      </c>
      <c r="AA45" s="1868"/>
      <c r="AB45" s="1903" t="str">
        <f>AB$9</f>
        <v>1970-
1979</v>
      </c>
      <c r="AC45" s="1868"/>
      <c r="AD45" s="1903" t="str">
        <f>AD$9</f>
        <v>1980-
1989</v>
      </c>
      <c r="AE45" s="1868"/>
      <c r="AF45" s="1903" t="str">
        <f>AF$9</f>
        <v>1990-
1999</v>
      </c>
      <c r="AG45" s="1868"/>
      <c r="AH45" s="1903" t="str">
        <f>AH$9</f>
        <v>2000-
present</v>
      </c>
      <c r="AJ45" s="1676"/>
      <c r="AL45" s="1676"/>
      <c r="AP45" s="1394"/>
      <c r="AU45" s="848"/>
      <c r="AV45" s="848"/>
      <c r="AW45" s="848"/>
      <c r="AX45" s="848"/>
      <c r="AY45" s="759"/>
      <c r="AZ45" s="759"/>
      <c r="BA45" s="848"/>
      <c r="BB45" s="759"/>
      <c r="BC45" s="848"/>
      <c r="BD45" s="848"/>
      <c r="BE45" s="848"/>
      <c r="BF45" s="848"/>
      <c r="BH45" s="1680"/>
      <c r="BI45" s="1680"/>
      <c r="BJ45" s="1680"/>
      <c r="BK45" s="1680"/>
      <c r="BL45" s="1680"/>
      <c r="BM45" s="1680"/>
      <c r="BN45" s="1680"/>
      <c r="BO45" s="1680"/>
      <c r="BP45" s="1680"/>
    </row>
    <row r="46" spans="1:69" s="686" customFormat="1" x14ac:dyDescent="0.2">
      <c r="A46" s="852">
        <f>A41+1</f>
        <v>10</v>
      </c>
      <c r="B46" s="1791">
        <v>34</v>
      </c>
      <c r="C46" s="851" t="str">
        <f>Valid!$B$87</f>
        <v>Substation Building</v>
      </c>
      <c r="D46" s="1709"/>
      <c r="E46" s="1245" t="str">
        <f>IF(AT46="N/A","",AT46)</f>
        <v/>
      </c>
      <c r="H46" s="1864"/>
      <c r="I46" s="1904" t="str">
        <f>IF(AND(C13&lt;&gt;"", H46=""),"Qty? Enter Zero if N/A  ","")</f>
        <v/>
      </c>
      <c r="J46" s="1918"/>
      <c r="K46" s="1651"/>
      <c r="L46" s="1864"/>
      <c r="M46" s="1870" t="str">
        <f>IF($H46=0,"",IF($L46="",TEXT(BN46,0)&amp;" Years?    ",""))</f>
        <v/>
      </c>
      <c r="N46" s="1905"/>
      <c r="O46" s="1870"/>
      <c r="P46" s="1864"/>
      <c r="Q46" s="1865" t="str">
        <f>IF(OR($N46="", AND($N46="",OR($H46="",$H46=0))),"",IF(AND($N46="Quantity",$AJ46&lt;$H46),"0 - "&amp;TEXT($H46-$AJ46,"0")&amp;" buildings?    ",IF(AND($N46="%",$AJ46&lt;1),REPLACE(IF(AND($P46&gt;0,$V46&gt;0,$T46&gt;0,$X46&gt;0,$R46&gt;0,$Z46&gt;0,$AB46&gt;0,$AD46&gt;0,$AF46&gt;0,$AH46&gt;0),"","0-"),99,0,REPLACE(TEXT(100-$AJ46,0),99,0,"?    ")),"")))</f>
        <v/>
      </c>
      <c r="R46" s="1864"/>
      <c r="S46" s="1865" t="str">
        <f>IF(OR($N46="", AND($N46="",OR($H46="",$H46=0))),"",IF(AND($N46="Quantity",$AJ46&lt;$H46),"0 - "&amp;TEXT($H46-$AJ46,"0")&amp;" buildings?    ",IF(AND($N46="%",$AJ46&lt;1),REPLACE(IF(AND($P46&gt;0,$V46&gt;0,$T46&gt;0,$X46&gt;0,$R46&gt;0,$Z46&gt;0,$AB46&gt;0,$AD46&gt;0,$AF46&gt;0,$AH46&gt;0),"","0-"),99,0,REPLACE(TEXT(100-$AJ46,0),99,0,"?    ")),"")))</f>
        <v/>
      </c>
      <c r="T46" s="1864"/>
      <c r="U46" s="1865" t="str">
        <f>IF(OR($N46="", AND($N46="",OR($H46="",$H46=0))),"",IF(AND($N46="Quantity",$AJ46&lt;$H46),"0 - "&amp;TEXT($H46-$AJ46,"0")&amp;" buildings?    ",IF(AND($N46="%",$AJ46&lt;1),REPLACE(IF(AND($P46&gt;0,$V46&gt;0,$T46&gt;0,$X46&gt;0,$R46&gt;0,$Z46&gt;0,$AB46&gt;0,$AD46&gt;0,$AF46&gt;0,$AH46&gt;0),"","0-"),99,0,REPLACE(TEXT(100-$AJ46,0),99,0,"?    ")),"")))</f>
        <v/>
      </c>
      <c r="V46" s="1864"/>
      <c r="W46" s="1865" t="str">
        <f>IF(OR($N46="", AND($N46="",OR($H46="",$H46=0))),"",IF(AND($N46="Quantity",$AJ46&lt;$H46),"0 - "&amp;TEXT($H46-$AJ46,"0")&amp;" buildings?    ",IF(AND($N46="%",$AJ46&lt;1),REPLACE(IF(AND($P46&gt;0,$V46&gt;0,$T46&gt;0,$X46&gt;0,$R46&gt;0,$Z46&gt;0,$AB46&gt;0,$AD46&gt;0,$AF46&gt;0,$AH46&gt;0),"","0-"),99,0,REPLACE(TEXT(100-$AJ46,0),99,0,"?    ")),"")))</f>
        <v/>
      </c>
      <c r="X46" s="1864"/>
      <c r="Y46" s="1865" t="str">
        <f>IF(OR($N46="", AND($N46="",OR($H46="",$H46=0))),"",IF(AND($N46="Quantity",$AJ46&lt;$H46),"0 - "&amp;TEXT($H46-$AJ46,"0")&amp;" buildings?    ",IF(AND($N46="%",$AJ46&lt;1),REPLACE(IF(AND($P46&gt;0,$V46&gt;0,$T46&gt;0,$X46&gt;0,$R46&gt;0,$Z46&gt;0,$AB46&gt;0,$AD46&gt;0,$AF46&gt;0,$AH46&gt;0),"","0-"),99,0,REPLACE(TEXT(100-$AJ46,0),99,0,"?    ")),"")))</f>
        <v/>
      </c>
      <c r="Z46" s="1864"/>
      <c r="AA46" s="1865" t="str">
        <f>IF(OR($N46="", AND($N46="",OR($H46="",$H46=0))),"",IF(AND($N46="Quantity",$AJ46&lt;$H46),"0 - "&amp;TEXT($H46-$AJ46,"0")&amp;" buildings?    ",IF(AND($N46="%",$AJ46&lt;1),REPLACE(IF(AND($P46&gt;0,$V46&gt;0,$T46&gt;0,$X46&gt;0,$R46&gt;0,$Z46&gt;0,$AB46&gt;0,$AD46&gt;0,$AF46&gt;0,$AH46&gt;0),"","0-"),99,0,REPLACE(TEXT(100-$AJ46,0),99,0,"?    ")),"")))</f>
        <v/>
      </c>
      <c r="AB46" s="1864"/>
      <c r="AC46" s="1865" t="str">
        <f>IF(OR($N46="", AND($N46="",OR($H46="",$H46=0))),"",IF(AND($N46="Quantity",$AJ46&lt;$H46),"0 - "&amp;TEXT($H46-$AJ46,"0")&amp;" buildings?    ",IF(AND($N46="%",$AJ46&lt;1),REPLACE(IF(AND($P46&gt;0,$V46&gt;0,$T46&gt;0,$X46&gt;0,$R46&gt;0,$Z46&gt;0,$AB46&gt;0,$AD46&gt;0,$AF46&gt;0,$AH46&gt;0),"","0-"),99,0,REPLACE(TEXT(100-$AJ46,0),99,0,"?    ")),"")))</f>
        <v/>
      </c>
      <c r="AD46" s="1864"/>
      <c r="AE46" s="1865" t="str">
        <f>IF(OR($N46="", AND($N46="",OR($H46="",$H46=0))),"",IF(AND($N46="Quantity",$AJ46&lt;$H46),"0 - "&amp;TEXT($H46-$AJ46,"0")&amp;" buildings?    ",IF(AND($N46="%",$AJ46&lt;1),REPLACE(IF(AND($P46&gt;0,$V46&gt;0,$T46&gt;0,$X46&gt;0,$R46&gt;0,$Z46&gt;0,$AB46&gt;0,$AD46&gt;0,$AF46&gt;0,$AH46&gt;0),"","0-"),99,0,REPLACE(TEXT(100-$AJ46,0),99,0,"?    ")),"")))</f>
        <v/>
      </c>
      <c r="AF46" s="1864"/>
      <c r="AG46" s="1865" t="str">
        <f>IF(OR($N46="", AND($N46="",OR($H46="",$H46=0))),"",IF(AND($N46="Quantity",$AJ46&lt;$H46),"0 - "&amp;TEXT($H46-$AJ46,"0")&amp;" buildings?    ",IF(AND($N46="%",$AJ46&lt;1),REPLACE(IF(AND($P46&gt;0,$V46&gt;0,$T46&gt;0,$X46&gt;0,$R46&gt;0,$Z46&gt;0,$AB46&gt;0,$AD46&gt;0,$AF46&gt;0,$AH46&gt;0),"","0-"),99,0,REPLACE(TEXT(100-$AJ46,0),99,0,"?    ")),"")))</f>
        <v/>
      </c>
      <c r="AH46" s="1864"/>
      <c r="AI46" s="1865" t="str">
        <f>IF(OR($N46="", AND($N46="",OR($H46="",$H46=0))),"",IF(AND($N46="Quantity",$AJ46&lt;$H46),"0 - "&amp;TEXT($H46-$AJ46,"0")&amp;" buildings?    ",IF(AND($N46="%",$AJ46&lt;1),REPLACE(IF(AND($P46&gt;0,$V46&gt;0,$T46&gt;0,$X46&gt;0,$R46&gt;0,$Z46&gt;0,$AB46&gt;0,$AD46&gt;0,$AF46&gt;0,$AH46&gt;0),"","0-"),99,0,REPLACE(TEXT(100-$AJ46,0),99,0,"?    ")),"")))</f>
        <v/>
      </c>
      <c r="AJ46" s="1833">
        <f>IFERROR(IF(N46="%", SUM(P46,R46,T46,V46,X46,Z46,AB46,AD46,AF46,AH46)/100, SUM(P46,R46,T46,V46,X46,Z46,AB46,AD46,AF46,AH46)/H46), 0)</f>
        <v>0</v>
      </c>
      <c r="AL46" s="1832"/>
      <c r="AN46" s="1276"/>
      <c r="AP46" s="1653"/>
      <c r="AT46" s="1624" t="str">
        <f>IF(AND($C$13="", H46=""), "N/A", IF(OR(AND(ISNUMBER(H46), H46=0), AND(AJ46=1, H46&lt;&gt;"", L46&lt;&gt;"", N46&lt;&gt;"", P46&lt;&gt;"", R46&lt;&gt;"", T46&lt;&gt;"", V46&lt;&gt;"", X46&lt;&gt;"", Z46&lt;&gt;"", AB46&lt;&gt;"", AD46&lt;&gt;"", AF46&lt;&gt;"", AH46&lt;&gt;"",AL46&lt;&gt;"", IF(AND(AL46&lt;1, AN46=""), FALSE, TRUE))), "Yes", "No"))</f>
        <v>N/A</v>
      </c>
      <c r="AU46" s="759" t="b">
        <f>IF(AND(H46="",OR(L46&lt;&gt;"",P46&lt;&gt;"",R46&lt;&gt;"",T46&lt;&gt;"",V46&lt;&gt;"",X46&lt;&gt;"",AL46&lt;&gt;"",Z46&lt;&gt;"",AB46&lt;&gt;"",AD46&lt;&gt;"",AF46&lt;&gt;"",AH46&lt;&gt;"")),TRUE,FALSE)</f>
        <v>0</v>
      </c>
      <c r="AV46" s="759" t="b">
        <f>IF(OR(H46="",H46=0),FALSE,IF(H46&gt;BM46,TRUE,FALSE))</f>
        <v>0</v>
      </c>
      <c r="AW46" s="759" t="b">
        <f>IF(AND($C$13&lt;&gt;"",$H46=""),TRUE,FALSE)</f>
        <v>0</v>
      </c>
      <c r="AX46" s="759"/>
      <c r="AY46" s="759" t="b">
        <f>IF($L46="",FALSE,IF($L46&lt;$BO46,TRUE,FALSE))</f>
        <v>0</v>
      </c>
      <c r="AZ46" s="759" t="b">
        <f>IF($L46="",FALSE,IF($L46&gt;$BP46,TRUE,FALSE))</f>
        <v>0</v>
      </c>
      <c r="BA46" s="759" t="b">
        <f>IF(H46=0,FALSE,IF(AND(E46&lt;&gt;"",$L46=""),TRUE,FALSE))</f>
        <v>0</v>
      </c>
      <c r="BB46" s="759" t="b">
        <f>IF(AND($AJ46&lt;&gt;0,$H46&lt;$AJ46,$N46="LF"),TRUE,IF(AND($N46="LF",H46&lt;&gt;"",H46=AJ46),FALSE,IF(AND($AJ46&lt;&gt;0,$AJ46&gt;"100%",$N46="%"),TRUE,FALSE)))</f>
        <v>0</v>
      </c>
      <c r="BC46" s="759" t="b">
        <f>IF(AT46="No", IF(OR(P46="", R46="", T46="", V46="", X46="", Z46="", AB46="", AD46="", AF46="", AH46=""), TRUE, FALSE), FALSE)</f>
        <v>0</v>
      </c>
      <c r="BD46" s="759" t="b">
        <f>IF($BE46=TRUE,FALSE,IF(OR($AL46&lt;0,$AL46&gt;1),TRUE,FALSE))</f>
        <v>0</v>
      </c>
      <c r="BE46" s="759" t="b">
        <f>IF(AND($H46&lt;&gt;0,$AL46=""),TRUE,FALSE)</f>
        <v>0</v>
      </c>
      <c r="BF46" s="759"/>
      <c r="BH46" s="1678"/>
      <c r="BI46" s="1678" t="str">
        <f>IF(N46="", "", IF(N46="Quantity", H46, IF(N46="%", 1, "")))</f>
        <v/>
      </c>
      <c r="BJ46" s="1679">
        <f>P46+R46+T46+V46+X46+Z46+AB46+AD46+AF46+AH46</f>
        <v>0</v>
      </c>
      <c r="BK46" s="1679" t="str">
        <f>IF(BI46="", "", BI46-BJ46)</f>
        <v/>
      </c>
      <c r="BL46" s="1678">
        <f>IF($C46="","",VLOOKUP($C46,Valid!$B$87:$F$96,3,FALSE))</f>
        <v>0</v>
      </c>
      <c r="BM46" s="1678">
        <f>IF($C46="","",VLOOKUP($C46,Valid!$B$87:$F$96,4,FALSE))</f>
        <v>35</v>
      </c>
      <c r="BN46" s="1678">
        <f>IF($C46="","",VLOOKUP($C46,Valid!$B$87:$F$96,5,FALSE))</f>
        <v>100</v>
      </c>
      <c r="BO46" s="1678">
        <f>IF($C46="","",VLOOKUP($C46,Valid!$B$87:$G$96,6,FALSE))</f>
        <v>75</v>
      </c>
      <c r="BP46" s="1678">
        <f>IF($C46="","",VLOOKUP($C46,Valid!$B$87:$Z$96,7,FALSE))</f>
        <v>125</v>
      </c>
    </row>
    <row r="47" spans="1:69" s="686" customFormat="1" ht="3.95" customHeight="1" x14ac:dyDescent="0.2">
      <c r="B47" s="1790">
        <v>35</v>
      </c>
      <c r="C47" s="1674"/>
      <c r="D47" s="1709"/>
      <c r="E47" s="1057"/>
      <c r="H47" s="1917"/>
      <c r="I47" s="1651"/>
      <c r="J47" s="1651"/>
      <c r="K47" s="1651"/>
      <c r="L47" s="1917"/>
      <c r="M47" s="1651"/>
      <c r="N47" s="1651"/>
      <c r="O47" s="1651"/>
      <c r="P47" s="1866"/>
      <c r="Q47" s="1867"/>
      <c r="R47" s="1866"/>
      <c r="S47" s="1867"/>
      <c r="T47" s="1866"/>
      <c r="U47" s="1867"/>
      <c r="V47" s="1866"/>
      <c r="W47" s="1867"/>
      <c r="X47" s="1866"/>
      <c r="Y47" s="1867"/>
      <c r="Z47" s="1867"/>
      <c r="AA47" s="1867"/>
      <c r="AB47" s="1867"/>
      <c r="AC47" s="1867"/>
      <c r="AD47" s="1867"/>
      <c r="AE47" s="1867"/>
      <c r="AF47" s="1867"/>
      <c r="AG47" s="1867"/>
      <c r="AH47" s="1867"/>
      <c r="AJ47" s="1676"/>
      <c r="AL47" s="1676"/>
      <c r="AP47" s="1394"/>
      <c r="AU47" s="848"/>
      <c r="AV47" s="848"/>
      <c r="AW47" s="848"/>
      <c r="AX47" s="848"/>
      <c r="AY47" s="759"/>
      <c r="AZ47" s="759"/>
      <c r="BA47" s="848"/>
      <c r="BB47" s="759"/>
      <c r="BC47" s="848"/>
      <c r="BD47" s="848"/>
      <c r="BE47" s="848"/>
      <c r="BF47" s="848"/>
      <c r="BH47" s="1680"/>
      <c r="BI47" s="1680"/>
      <c r="BJ47" s="1680"/>
      <c r="BK47" s="1680"/>
      <c r="BL47" s="1680"/>
      <c r="BM47" s="1680"/>
      <c r="BN47" s="1680"/>
      <c r="BO47" s="1680"/>
      <c r="BP47" s="1680"/>
    </row>
    <row r="48" spans="1:69" s="686" customFormat="1" ht="3.95" customHeight="1" thickBot="1" x14ac:dyDescent="0.25">
      <c r="B48" s="1790">
        <v>36</v>
      </c>
      <c r="C48" s="1674"/>
      <c r="D48" s="1709"/>
      <c r="E48" s="1057"/>
      <c r="H48" s="1917"/>
      <c r="I48" s="1651"/>
      <c r="J48" s="1651"/>
      <c r="K48" s="1651"/>
      <c r="L48" s="1917"/>
      <c r="M48" s="1651"/>
      <c r="N48" s="1651"/>
      <c r="O48" s="1651"/>
      <c r="P48" s="1868"/>
      <c r="Q48" s="1869"/>
      <c r="R48" s="1868"/>
      <c r="S48" s="1869"/>
      <c r="T48" s="1868"/>
      <c r="U48" s="1869"/>
      <c r="V48" s="1868"/>
      <c r="W48" s="1869"/>
      <c r="X48" s="1868"/>
      <c r="Y48" s="1869"/>
      <c r="Z48" s="1869"/>
      <c r="AA48" s="1869"/>
      <c r="AB48" s="1869"/>
      <c r="AC48" s="1869"/>
      <c r="AD48" s="1869"/>
      <c r="AE48" s="1869"/>
      <c r="AF48" s="1869"/>
      <c r="AG48" s="1869"/>
      <c r="AH48" s="1869"/>
      <c r="AJ48" s="1676"/>
      <c r="AL48" s="1676"/>
      <c r="AP48" s="1394"/>
      <c r="AU48" s="848"/>
      <c r="AV48" s="848"/>
      <c r="AW48" s="848"/>
      <c r="AX48" s="848"/>
      <c r="AY48" s="759"/>
      <c r="AZ48" s="759"/>
      <c r="BA48" s="848"/>
      <c r="BB48" s="759"/>
      <c r="BC48" s="848"/>
      <c r="BD48" s="848"/>
      <c r="BE48" s="848"/>
      <c r="BF48" s="848"/>
      <c r="BH48" s="1680"/>
      <c r="BI48" s="1680"/>
      <c r="BJ48" s="1680"/>
      <c r="BK48" s="1680"/>
      <c r="BL48" s="1680"/>
      <c r="BM48" s="1680"/>
      <c r="BN48" s="1680"/>
      <c r="BO48" s="1680"/>
      <c r="BP48" s="1680"/>
    </row>
    <row r="49" spans="1:68" s="686" customFormat="1" x14ac:dyDescent="0.2">
      <c r="A49" s="852">
        <f>A46+1</f>
        <v>11</v>
      </c>
      <c r="B49" s="1791">
        <v>37</v>
      </c>
      <c r="C49" s="851" t="str">
        <f>Valid!$B$88</f>
        <v>Substation Equipment</v>
      </c>
      <c r="D49" s="1709"/>
      <c r="E49" s="1245" t="str">
        <f>IF(AT49="N/A","",AT49)</f>
        <v/>
      </c>
      <c r="H49" s="1917"/>
      <c r="I49" s="1904"/>
      <c r="J49" s="1919"/>
      <c r="K49" s="1651"/>
      <c r="L49" s="1864"/>
      <c r="M49" s="1920" t="str">
        <f>IF(AND(H46&lt;&gt;"", L49=""),REPLACE(TEXT(BN49,0),99,0," Yrs.?    "),"")</f>
        <v/>
      </c>
      <c r="N49" s="1921"/>
      <c r="O49" s="1870"/>
      <c r="P49" s="1864"/>
      <c r="Q49" s="1865" t="str">
        <f>IF(OR($N49="", AND($N49="",OR($H49="",$H49=0))),"",IF(AND($N49="Quantity",$AJ49&lt;$H49),"0 - "&amp;TEXT($H49-$AJ49,"0")&amp;" buildings?    ",IF(AND($N49="%",$AJ49&lt;1),REPLACE(IF(AND($P49&gt;0,$V49&gt;0,$T49&gt;0,$X49&gt;0,$R49&gt;0,$Z49&gt;0,$AB49&gt;0,$AD49&gt;0,$AF49&gt;0,$AH49&gt;0),"","0-"),99,0,REPLACE(TEXT(100-$AJ49,0),99,0,"?    ")),"")))</f>
        <v/>
      </c>
      <c r="R49" s="1864"/>
      <c r="S49" s="1865" t="str">
        <f>IF(OR($N49="", AND($N49="",OR($H49="",$H49=0))),"",IF(AND($N49="Quantity",$AJ49&lt;$H49),"0 - "&amp;TEXT($H49-$AJ49,"0")&amp;" buildings?    ",IF(AND($N49="%",$AJ49&lt;1),REPLACE(IF(AND($P49&gt;0,$V49&gt;0,$T49&gt;0,$X49&gt;0,$R49&gt;0,$Z49&gt;0,$AB49&gt;0,$AD49&gt;0,$AF49&gt;0,$AH49&gt;0),"","0-"),99,0,REPLACE(TEXT(100-$AJ49,0),99,0,"?    ")),"")))</f>
        <v/>
      </c>
      <c r="T49" s="1864"/>
      <c r="U49" s="1865" t="str">
        <f>IF(OR($N49="", AND($N49="",OR($H49="",$H49=0))),"",IF(AND($N49="Quantity",$AJ49&lt;$H49),"0 - "&amp;TEXT($H49-$AJ49,"0")&amp;" buildings?    ",IF(AND($N49="%",$AJ49&lt;1),REPLACE(IF(AND($P49&gt;0,$V49&gt;0,$T49&gt;0,$X49&gt;0,$R49&gt;0,$Z49&gt;0,$AB49&gt;0,$AD49&gt;0,$AF49&gt;0,$AH49&gt;0),"","0-"),99,0,REPLACE(TEXT(100-$AJ49,0),99,0,"?    ")),"")))</f>
        <v/>
      </c>
      <c r="V49" s="1864"/>
      <c r="W49" s="1865" t="str">
        <f>IF(OR($N49="", AND($N49="",OR($H49="",$H49=0))),"",IF(AND($N49="Quantity",$AJ49&lt;$H49),"0 - "&amp;TEXT($H49-$AJ49,"0")&amp;" buildings?    ",IF(AND($N49="%",$AJ49&lt;1),REPLACE(IF(AND($P49&gt;0,$V49&gt;0,$T49&gt;0,$X49&gt;0,$R49&gt;0,$Z49&gt;0,$AB49&gt;0,$AD49&gt;0,$AF49&gt;0,$AH49&gt;0),"","0-"),99,0,REPLACE(TEXT(100-$AJ49,0),99,0,"?    ")),"")))</f>
        <v/>
      </c>
      <c r="X49" s="1864"/>
      <c r="Y49" s="1865" t="str">
        <f>IF(OR($N49="", AND($N49="",OR($H49="",$H49=0))),"",IF(AND($N49="Quantity",$AJ49&lt;$H49),"0 - "&amp;TEXT($H49-$AJ49,"0")&amp;" buildings?    ",IF(AND($N49="%",$AJ49&lt;1),REPLACE(IF(AND($P49&gt;0,$V49&gt;0,$T49&gt;0,$X49&gt;0,$R49&gt;0,$Z49&gt;0,$AB49&gt;0,$AD49&gt;0,$AF49&gt;0,$AH49&gt;0),"","0-"),99,0,REPLACE(TEXT(100-$AJ49,0),99,0,"?    ")),"")))</f>
        <v/>
      </c>
      <c r="Z49" s="1864"/>
      <c r="AA49" s="1865" t="str">
        <f>IF(OR($N49="", AND($N49="",OR($H49="",$H49=0))),"",IF(AND($N49="Quantity",$AJ49&lt;$H49),"0 - "&amp;TEXT($H49-$AJ49,"0")&amp;" buildings?    ",IF(AND($N49="%",$AJ49&lt;1),REPLACE(IF(AND($P49&gt;0,$V49&gt;0,$T49&gt;0,$X49&gt;0,$R49&gt;0,$Z49&gt;0,$AB49&gt;0,$AD49&gt;0,$AF49&gt;0,$AH49&gt;0),"","0-"),99,0,REPLACE(TEXT(100-$AJ49,0),99,0,"?    ")),"")))</f>
        <v/>
      </c>
      <c r="AB49" s="1864"/>
      <c r="AC49" s="1865" t="str">
        <f>IF(OR($N49="", AND($N49="",OR($H49="",$H49=0))),"",IF(AND($N49="Quantity",$AJ49&lt;$H49),"0 - "&amp;TEXT($H49-$AJ49,"0")&amp;" buildings?    ",IF(AND($N49="%",$AJ49&lt;1),REPLACE(IF(AND($P49&gt;0,$V49&gt;0,$T49&gt;0,$X49&gt;0,$R49&gt;0,$Z49&gt;0,$AB49&gt;0,$AD49&gt;0,$AF49&gt;0,$AH49&gt;0),"","0-"),99,0,REPLACE(TEXT(100-$AJ49,0),99,0,"?    ")),"")))</f>
        <v/>
      </c>
      <c r="AD49" s="1864"/>
      <c r="AE49" s="1865" t="str">
        <f>IF(OR($N49="", AND($N49="",OR($H49="",$H49=0))),"",IF(AND($N49="Quantity",$AJ49&lt;$H49),"0 - "&amp;TEXT($H49-$AJ49,"0")&amp;" buildings?    ",IF(AND($N49="%",$AJ49&lt;1),REPLACE(IF(AND($P49&gt;0,$V49&gt;0,$T49&gt;0,$X49&gt;0,$R49&gt;0,$Z49&gt;0,$AB49&gt;0,$AD49&gt;0,$AF49&gt;0,$AH49&gt;0),"","0-"),99,0,REPLACE(TEXT(100-$AJ49,0),99,0,"?    ")),"")))</f>
        <v/>
      </c>
      <c r="AF49" s="1864"/>
      <c r="AG49" s="1865" t="str">
        <f>IF(OR($N49="", AND($N49="",OR($H49="",$H49=0))),"",IF(AND($N49="Quantity",$AJ49&lt;$H49),"0 - "&amp;TEXT($H49-$AJ49,"0")&amp;" buildings?    ",IF(AND($N49="%",$AJ49&lt;1),REPLACE(IF(AND($P49&gt;0,$V49&gt;0,$T49&gt;0,$X49&gt;0,$R49&gt;0,$Z49&gt;0,$AB49&gt;0,$AD49&gt;0,$AF49&gt;0,$AH49&gt;0),"","0-"),99,0,REPLACE(TEXT(100-$AJ49,0),99,0,"?    ")),"")))</f>
        <v/>
      </c>
      <c r="AH49" s="1864"/>
      <c r="AI49" s="1865" t="str">
        <f>IF(OR($N49="", AND($N49="",OR($H49="",$H49=0))),"",IF(AND($N49="Quantity",$AJ49&lt;$H49),"0 - "&amp;TEXT($H49-$AJ49,"0")&amp;" buildings?    ",IF(AND($N49="%",$AJ49&lt;1),REPLACE(IF(AND($P49&gt;0,$V49&gt;0,$T49&gt;0,$X49&gt;0,$R49&gt;0,$Z49&gt;0,$AB49&gt;0,$AD49&gt;0,$AF49&gt;0,$AH49&gt;0),"","0-"),99,0,REPLACE(TEXT(100-$AJ49,0),99,0,"?    ")),"")))</f>
        <v/>
      </c>
      <c r="AJ49" s="1833">
        <f>IFERROR(IF(N49="%", SUM(P49,R49,T49,V49,X49,Z49,AB49,AD49,AF49,AH49)/100, SUM(P49,R49,T49,V49,X49,Z49,AB49,AD49,AF49,AH49)/H49), 0)</f>
        <v>0</v>
      </c>
      <c r="AL49" s="1832"/>
      <c r="AN49" s="1276"/>
      <c r="AP49" s="1653"/>
      <c r="AT49" s="1624" t="str">
        <f>IF(AND($C$13="", L49=""), "N/A", IF(AND(AJ49=1, L49&lt;&gt;"", N49&lt;&gt;"", P49&lt;&gt;"", R49&lt;&gt;"", T49&lt;&gt;"", V49&lt;&gt;"", X49&lt;&gt;"", Z49&lt;&gt;"", AB49&lt;&gt;"", AD49&lt;&gt;"", AF49&lt;&gt;"", AH49&lt;&gt;"",AL49&lt;&gt;"", IF(AND(AL49&lt;1, AN49=""), FALSE, TRUE)), "Yes", "No"))</f>
        <v>N/A</v>
      </c>
      <c r="AU49" s="759"/>
      <c r="AV49" s="759"/>
      <c r="AW49" s="759"/>
      <c r="AX49" s="759"/>
      <c r="AY49" s="759" t="b">
        <f>IF($L49="",FALSE,IF($L49&lt;$BO49,TRUE,FALSE))</f>
        <v>0</v>
      </c>
      <c r="AZ49" s="759" t="b">
        <f>IF($L49="",FALSE,IF($L49&gt;$BP49,TRUE,FALSE))</f>
        <v>0</v>
      </c>
      <c r="BA49" s="759" t="b">
        <f>IF(AND(E49&lt;&gt;"",$L49=""),TRUE,FALSE)</f>
        <v>0</v>
      </c>
      <c r="BB49" s="759" t="b">
        <f>IF(AND($AJ49&lt;&gt;0,$H49&lt;$AJ49,$N49="LF"),TRUE,IF(AND($N49="LF",H49&lt;&gt;"",H49=AJ49),FALSE,IF(AND($AJ49&lt;&gt;0,$AJ49&gt;"100%",$N49="%"),TRUE,FALSE)))</f>
        <v>0</v>
      </c>
      <c r="BC49" s="759" t="b">
        <f>IF(AT49="No", IF(OR(P49="", R49="", T49="", V49="", X49="", Z49="", AB49="", AD49="", AF49="", AH49=""), TRUE, FALSE), FALSE)</f>
        <v>0</v>
      </c>
      <c r="BD49" s="759" t="b">
        <f>IF($BE49=TRUE,FALSE,IF(OR($AL49&lt;0,$AL49&gt;1),TRUE,FALSE))</f>
        <v>0</v>
      </c>
      <c r="BE49" s="759" t="b">
        <f>IF(AND($E49&lt;&gt;"",$AL49=""),TRUE,FALSE)</f>
        <v>0</v>
      </c>
      <c r="BF49" s="759"/>
      <c r="BH49" s="1680"/>
      <c r="BI49" s="1678" t="str">
        <f>IF(N49="", "", IF(N49="Quantity", H49, IF(N49="%", 1, "")))</f>
        <v/>
      </c>
      <c r="BJ49" s="1679">
        <f>P49+R49+T49+V49+X49+Z49+AB49+AD49+AF49+AH49</f>
        <v>0</v>
      </c>
      <c r="BK49" s="1679" t="str">
        <f>IF(BI49="", "", BI49-BJ49)</f>
        <v/>
      </c>
      <c r="BL49" s="1680"/>
      <c r="BM49" s="1680"/>
      <c r="BN49" s="1678">
        <f>IF($C49="","",VLOOKUP($C49,Valid!$B$87:$F$96,5,FALSE))</f>
        <v>25</v>
      </c>
      <c r="BO49" s="1678">
        <f>IF($C49="","",VLOOKUP($C49,Valid!$B$87:$G$96,6,FALSE))</f>
        <v>19</v>
      </c>
      <c r="BP49" s="1678">
        <f>IF($C49="","",VLOOKUP($C49,Valid!$B$87:$Z$96,7,FALSE))</f>
        <v>31</v>
      </c>
    </row>
    <row r="50" spans="1:68" s="686" customFormat="1" ht="3.95" customHeight="1" x14ac:dyDescent="0.2">
      <c r="B50" s="1791">
        <v>38</v>
      </c>
      <c r="C50" s="1268"/>
      <c r="D50" s="1709"/>
      <c r="E50" s="1057"/>
      <c r="H50" s="1917"/>
      <c r="I50" s="1651"/>
      <c r="J50" s="1651"/>
      <c r="K50" s="1651"/>
      <c r="L50" s="1917"/>
      <c r="M50" s="1651"/>
      <c r="N50" s="1651"/>
      <c r="O50" s="1651"/>
      <c r="P50" s="1866"/>
      <c r="Q50" s="1867"/>
      <c r="R50" s="1866"/>
      <c r="S50" s="1867"/>
      <c r="T50" s="1866"/>
      <c r="U50" s="1867"/>
      <c r="V50" s="1866"/>
      <c r="W50" s="1867"/>
      <c r="X50" s="1866"/>
      <c r="Y50" s="1867"/>
      <c r="Z50" s="1867"/>
      <c r="AA50" s="1867"/>
      <c r="AB50" s="1867"/>
      <c r="AC50" s="1867"/>
      <c r="AD50" s="1867"/>
      <c r="AE50" s="1867"/>
      <c r="AF50" s="1867"/>
      <c r="AG50" s="1867"/>
      <c r="AH50" s="1867"/>
      <c r="AJ50" s="1676"/>
      <c r="AL50" s="1676"/>
      <c r="AP50" s="1394"/>
      <c r="AU50" s="848"/>
      <c r="AV50" s="848"/>
      <c r="AW50" s="848"/>
      <c r="AX50" s="848"/>
      <c r="AY50" s="759"/>
      <c r="AZ50" s="759"/>
      <c r="BA50" s="848"/>
      <c r="BB50" s="759"/>
      <c r="BC50" s="848"/>
      <c r="BD50" s="848"/>
      <c r="BE50" s="848"/>
      <c r="BF50" s="848"/>
      <c r="BH50" s="1680"/>
      <c r="BI50" s="1680"/>
      <c r="BJ50" s="1680"/>
      <c r="BK50" s="1680"/>
      <c r="BL50" s="1680"/>
      <c r="BM50" s="1680"/>
      <c r="BN50" s="1680"/>
      <c r="BO50" s="1680"/>
      <c r="BP50" s="1680"/>
    </row>
    <row r="51" spans="1:68" s="686" customFormat="1" ht="3.95" customHeight="1" thickBot="1" x14ac:dyDescent="0.25">
      <c r="B51" s="1791">
        <v>39</v>
      </c>
      <c r="C51" s="1674"/>
      <c r="D51" s="1709"/>
      <c r="E51" s="1057"/>
      <c r="H51" s="1917"/>
      <c r="I51" s="1651"/>
      <c r="J51" s="1651"/>
      <c r="K51" s="1651"/>
      <c r="L51" s="1917"/>
      <c r="M51" s="1651"/>
      <c r="N51" s="1651"/>
      <c r="O51" s="1651"/>
      <c r="P51" s="1868"/>
      <c r="Q51" s="1869"/>
      <c r="R51" s="1868"/>
      <c r="S51" s="1869"/>
      <c r="T51" s="1868"/>
      <c r="U51" s="1869"/>
      <c r="V51" s="1868"/>
      <c r="W51" s="1869"/>
      <c r="X51" s="1868"/>
      <c r="Y51" s="1869"/>
      <c r="Z51" s="1869"/>
      <c r="AA51" s="1869"/>
      <c r="AB51" s="1869"/>
      <c r="AC51" s="1869"/>
      <c r="AD51" s="1869"/>
      <c r="AE51" s="1869"/>
      <c r="AF51" s="1869"/>
      <c r="AG51" s="1869"/>
      <c r="AH51" s="1869"/>
      <c r="AI51" s="1670"/>
      <c r="AJ51" s="1676"/>
      <c r="AL51" s="1676"/>
      <c r="AP51" s="1394"/>
      <c r="AU51" s="848"/>
      <c r="AV51" s="848"/>
      <c r="AW51" s="848"/>
      <c r="AX51" s="848"/>
      <c r="AY51" s="759"/>
      <c r="AZ51" s="759"/>
      <c r="BA51" s="848"/>
      <c r="BB51" s="759"/>
      <c r="BC51" s="848"/>
      <c r="BD51" s="848"/>
      <c r="BE51" s="848"/>
      <c r="BF51" s="848"/>
      <c r="BH51" s="1680"/>
      <c r="BI51" s="1680"/>
      <c r="BJ51" s="1680"/>
      <c r="BK51" s="1680"/>
      <c r="BL51" s="1680"/>
      <c r="BM51" s="1680"/>
      <c r="BN51" s="1680"/>
      <c r="BO51" s="1680"/>
      <c r="BP51" s="1680"/>
    </row>
    <row r="52" spans="1:68" s="686" customFormat="1" x14ac:dyDescent="0.2">
      <c r="A52" s="852">
        <f>A49+1</f>
        <v>12</v>
      </c>
      <c r="B52" s="1790">
        <v>40</v>
      </c>
      <c r="C52" s="851" t="str">
        <f>Valid!$B$89</f>
        <v>Third Rail/Power Distribution</v>
      </c>
      <c r="D52" s="1709"/>
      <c r="E52" s="1245" t="str">
        <f>IF(AT52="N/A","",AT52)</f>
        <v/>
      </c>
      <c r="H52" s="1917"/>
      <c r="I52" s="1904"/>
      <c r="J52" s="1651"/>
      <c r="K52" s="1651"/>
      <c r="L52" s="1864"/>
      <c r="M52" s="1920" t="str">
        <f>IF(AND(H46&lt;&gt;"", L52=""),REPLACE(TEXT(BN52,0),99,0," Yrs.?    "),"")</f>
        <v/>
      </c>
      <c r="N52" s="1921"/>
      <c r="O52" s="1870"/>
      <c r="P52" s="1864"/>
      <c r="Q52" s="1865" t="str">
        <f>IF(OR($N52="", AND($N52="",OR($H52="",$H52=0))),"",IF(AND($N52="Quantity",$AJ52&lt;$H52),"0 - "&amp;TEXT($H52-$AJ52,"0")&amp;" buildings?    ",IF(AND($N52="%",$AJ52&lt;1),REPLACE(IF(AND($P52&gt;0,$V52&gt;0,$T52&gt;0,$X52&gt;0,$R52&gt;0,$Z52&gt;0,$AB52&gt;0,$AD52&gt;0,$AF52&gt;0,$AH52&gt;0),"","0-"),99,0,REPLACE(TEXT(100-$AJ52,0),99,0,"?    ")),"")))</f>
        <v/>
      </c>
      <c r="R52" s="1864"/>
      <c r="S52" s="1865" t="str">
        <f>IF(OR($N52="", AND($N52="",OR($H52="",$H52=0))),"",IF(AND($N52="Quantity",$AJ52&lt;$H52),"0 - "&amp;TEXT($H52-$AJ52,"0")&amp;" buildings?    ",IF(AND($N52="%",$AJ52&lt;1),REPLACE(IF(AND($P52&gt;0,$V52&gt;0,$T52&gt;0,$X52&gt;0,$R52&gt;0,$Z52&gt;0,$AB52&gt;0,$AD52&gt;0,$AF52&gt;0,$AH52&gt;0),"","0-"),99,0,REPLACE(TEXT(100-$AJ52,0),99,0,"?    ")),"")))</f>
        <v/>
      </c>
      <c r="T52" s="1864"/>
      <c r="U52" s="1865" t="str">
        <f>IF(OR($N52="", AND($N52="",OR($H52="",$H52=0))),"",IF(AND($N52="Quantity",$AJ52&lt;$H52),"0 - "&amp;TEXT($H52-$AJ52,"0")&amp;" buildings?    ",IF(AND($N52="%",$AJ52&lt;1),REPLACE(IF(AND($P52&gt;0,$V52&gt;0,$T52&gt;0,$X52&gt;0,$R52&gt;0,$Z52&gt;0,$AB52&gt;0,$AD52&gt;0,$AF52&gt;0,$AH52&gt;0),"","0-"),99,0,REPLACE(TEXT(100-$AJ52,0),99,0,"?    ")),"")))</f>
        <v/>
      </c>
      <c r="V52" s="1864"/>
      <c r="W52" s="1865" t="str">
        <f>IF(OR($N52="", AND($N52="",OR($H52="",$H52=0))),"",IF(AND($N52="Quantity",$AJ52&lt;$H52),"0 - "&amp;TEXT($H52-$AJ52,"0")&amp;" buildings?    ",IF(AND($N52="%",$AJ52&lt;1),REPLACE(IF(AND($P52&gt;0,$V52&gt;0,$T52&gt;0,$X52&gt;0,$R52&gt;0,$Z52&gt;0,$AB52&gt;0,$AD52&gt;0,$AF52&gt;0,$AH52&gt;0),"","0-"),99,0,REPLACE(TEXT(100-$AJ52,0),99,0,"?    ")),"")))</f>
        <v/>
      </c>
      <c r="X52" s="1864"/>
      <c r="Y52" s="1865" t="str">
        <f>IF(OR($N52="", AND($N52="",OR($H52="",$H52=0))),"",IF(AND($N52="Quantity",$AJ52&lt;$H52),"0 - "&amp;TEXT($H52-$AJ52,"0")&amp;" buildings?    ",IF(AND($N52="%",$AJ52&lt;1),REPLACE(IF(AND($P52&gt;0,$V52&gt;0,$T52&gt;0,$X52&gt;0,$R52&gt;0,$Z52&gt;0,$AB52&gt;0,$AD52&gt;0,$AF52&gt;0,$AH52&gt;0),"","0-"),99,0,REPLACE(TEXT(100-$AJ52,0),99,0,"?    ")),"")))</f>
        <v/>
      </c>
      <c r="Z52" s="1864"/>
      <c r="AA52" s="1865" t="str">
        <f>IF(OR($N52="", AND($N52="",OR($H52="",$H52=0))),"",IF(AND($N52="Quantity",$AJ52&lt;$H52),"0 - "&amp;TEXT($H52-$AJ52,"0")&amp;" buildings?    ",IF(AND($N52="%",$AJ52&lt;1),REPLACE(IF(AND($P52&gt;0,$V52&gt;0,$T52&gt;0,$X52&gt;0,$R52&gt;0,$Z52&gt;0,$AB52&gt;0,$AD52&gt;0,$AF52&gt;0,$AH52&gt;0),"","0-"),99,0,REPLACE(TEXT(100-$AJ52,0),99,0,"?    ")),"")))</f>
        <v/>
      </c>
      <c r="AB52" s="1864"/>
      <c r="AC52" s="1865" t="str">
        <f>IF(OR($N52="", AND($N52="",OR($H52="",$H52=0))),"",IF(AND($N52="Quantity",$AJ52&lt;$H52),"0 - "&amp;TEXT($H52-$AJ52,"0")&amp;" buildings?    ",IF(AND($N52="%",$AJ52&lt;1),REPLACE(IF(AND($P52&gt;0,$V52&gt;0,$T52&gt;0,$X52&gt;0,$R52&gt;0,$Z52&gt;0,$AB52&gt;0,$AD52&gt;0,$AF52&gt;0,$AH52&gt;0),"","0-"),99,0,REPLACE(TEXT(100-$AJ52,0),99,0,"?    ")),"")))</f>
        <v/>
      </c>
      <c r="AD52" s="1864"/>
      <c r="AE52" s="1865" t="str">
        <f>IF(OR($N52="", AND($N52="",OR($H52="",$H52=0))),"",IF(AND($N52="Quantity",$AJ52&lt;$H52),"0 - "&amp;TEXT($H52-$AJ52,"0")&amp;" buildings?    ",IF(AND($N52="%",$AJ52&lt;1),REPLACE(IF(AND($P52&gt;0,$V52&gt;0,$T52&gt;0,$X52&gt;0,$R52&gt;0,$Z52&gt;0,$AB52&gt;0,$AD52&gt;0,$AF52&gt;0,$AH52&gt;0),"","0-"),99,0,REPLACE(TEXT(100-$AJ52,0),99,0,"?    ")),"")))</f>
        <v/>
      </c>
      <c r="AF52" s="1864"/>
      <c r="AG52" s="1865" t="str">
        <f>IF(OR($N52="", AND($N52="",OR($H52="",$H52=0))),"",IF(AND($N52="Quantity",$AJ52&lt;$H52),"0 - "&amp;TEXT($H52-$AJ52,"0")&amp;" buildings?    ",IF(AND($N52="%",$AJ52&lt;1),REPLACE(IF(AND($P52&gt;0,$V52&gt;0,$T52&gt;0,$X52&gt;0,$R52&gt;0,$Z52&gt;0,$AB52&gt;0,$AD52&gt;0,$AF52&gt;0,$AH52&gt;0),"","0-"),99,0,REPLACE(TEXT(100-$AJ52,0),99,0,"?    ")),"")))</f>
        <v/>
      </c>
      <c r="AH52" s="1864"/>
      <c r="AI52" s="1865" t="str">
        <f>IF(OR($N52="", AND($N52="",OR($H52="",$H52=0))),"",IF(AND($N52="Quantity",$AJ52&lt;$H52),"0 - "&amp;TEXT($H52-$AJ52,"0")&amp;" buildings?    ",IF(AND($N52="%",$AJ52&lt;1),REPLACE(IF(AND($P52&gt;0,$V52&gt;0,$T52&gt;0,$X52&gt;0,$R52&gt;0,$Z52&gt;0,$AB52&gt;0,$AD52&gt;0,$AF52&gt;0,$AH52&gt;0),"","0-"),99,0,REPLACE(TEXT(100-$AJ52,0),99,0,"?    ")),"")))</f>
        <v/>
      </c>
      <c r="AJ52" s="1833">
        <f>IFERROR(IF(N52="%", SUM(P52,R52,T52,V52,X52,Z52,AB52,AD52,AF52,AH52)/100, SUM(P52,R52,T52,V52,X52,Z52,AB52,AD52,AF52,AH52)/H52), 0)</f>
        <v>0</v>
      </c>
      <c r="AL52" s="1832"/>
      <c r="AN52" s="1276"/>
      <c r="AP52" s="1653"/>
      <c r="AT52" s="1624" t="str">
        <f>IF(AND($C$13="", L52=""), "N/A", IF(AND(AJ52=1, L52&lt;&gt;"", N52&lt;&gt;"", P52&lt;&gt;"", R52&lt;&gt;"", T52&lt;&gt;"", V52&lt;&gt;"", X52&lt;&gt;"", Z52&lt;&gt;"", AB52&lt;&gt;"", AD52&lt;&gt;"", AF52&lt;&gt;"", AH52&lt;&gt;"",AL52&lt;&gt;"", IF(AND(AL52&lt;1, AN52=""), FALSE, TRUE)), "Yes", "No"))</f>
        <v>N/A</v>
      </c>
      <c r="AU52" s="759"/>
      <c r="AV52" s="759"/>
      <c r="AW52" s="759"/>
      <c r="AX52" s="759"/>
      <c r="AY52" s="759" t="b">
        <f>IF($L52="",FALSE,IF($L52&lt;$BO52,TRUE,FALSE))</f>
        <v>0</v>
      </c>
      <c r="AZ52" s="759" t="b">
        <f>IF($L52="",FALSE,IF($L52&gt;$BP52,TRUE,FALSE))</f>
        <v>0</v>
      </c>
      <c r="BA52" s="759" t="b">
        <f>IF(AND(E52&lt;&gt;"",$L52=""),TRUE,FALSE)</f>
        <v>0</v>
      </c>
      <c r="BB52" s="759" t="b">
        <f>IF(AND($AJ52&lt;&gt;0,$H52&lt;$AJ52,$N52="LF"),TRUE,IF(AND($N52="LF",H52&lt;&gt;"",H52=AJ52),FALSE,IF(AND($AJ52&lt;&gt;0,$AJ52&gt;"100%",$N52="%"),TRUE,FALSE)))</f>
        <v>0</v>
      </c>
      <c r="BC52" s="759" t="b">
        <f>IF(AT52="No", IF(OR(P52="", R52="", T52="", V52="", X52="", Z52="", AB52="", AD52="", AF52="", AH52=""), TRUE, FALSE), FALSE)</f>
        <v>0</v>
      </c>
      <c r="BD52" s="759" t="b">
        <f>IF($BE52=TRUE,FALSE,IF(OR($AL52&lt;0,$AL52&gt;1),TRUE,FALSE))</f>
        <v>0</v>
      </c>
      <c r="BE52" s="759" t="b">
        <f>IF(AND($E52&lt;&gt;"",$AL52=""),TRUE,FALSE)</f>
        <v>0</v>
      </c>
      <c r="BF52" s="759"/>
      <c r="BH52" s="1680"/>
      <c r="BI52" s="1678" t="str">
        <f>IF(N52="", "", IF(N52="Quantity", H52, IF(N52="%", 1, "")))</f>
        <v/>
      </c>
      <c r="BJ52" s="1679">
        <f>P52+R52+T52+V52+X52+Z52+AB52+AD52+AF52+AH52</f>
        <v>0</v>
      </c>
      <c r="BK52" s="1679" t="str">
        <f>IF(BI52="", "", BI52-BJ52)</f>
        <v/>
      </c>
      <c r="BL52" s="1680"/>
      <c r="BM52" s="1680"/>
      <c r="BN52" s="1678">
        <f>IF($C52="","",VLOOKUP($C52,Valid!$B$87:$F$96,5,FALSE))</f>
        <v>25</v>
      </c>
      <c r="BO52" s="1678">
        <f>IF($C52="","",VLOOKUP($C52,Valid!$B$87:$G$96,6,FALSE))</f>
        <v>19</v>
      </c>
      <c r="BP52" s="1678">
        <f>IF($C52="","",VLOOKUP($C52,Valid!$B$87:$Z$96,7,FALSE))</f>
        <v>31</v>
      </c>
    </row>
    <row r="53" spans="1:68" s="686" customFormat="1" ht="3.95" customHeight="1" x14ac:dyDescent="0.2">
      <c r="B53" s="1790">
        <v>41</v>
      </c>
      <c r="C53" s="1674"/>
      <c r="D53" s="1709"/>
      <c r="E53" s="1057"/>
      <c r="H53" s="1917"/>
      <c r="I53" s="1651"/>
      <c r="J53" s="1651"/>
      <c r="K53" s="1651"/>
      <c r="L53" s="1917"/>
      <c r="M53" s="1651"/>
      <c r="N53" s="1651"/>
      <c r="O53" s="1651"/>
      <c r="P53" s="1866"/>
      <c r="Q53" s="1867"/>
      <c r="R53" s="1866"/>
      <c r="S53" s="1867"/>
      <c r="T53" s="1866"/>
      <c r="U53" s="1867"/>
      <c r="V53" s="1866"/>
      <c r="W53" s="1867"/>
      <c r="X53" s="1866"/>
      <c r="Y53" s="1867"/>
      <c r="Z53" s="1867"/>
      <c r="AA53" s="1867"/>
      <c r="AB53" s="1867"/>
      <c r="AC53" s="1867"/>
      <c r="AD53" s="1867"/>
      <c r="AE53" s="1867"/>
      <c r="AF53" s="1867"/>
      <c r="AG53" s="1867"/>
      <c r="AH53" s="1867"/>
      <c r="AJ53" s="1676"/>
      <c r="AL53" s="1676"/>
      <c r="AP53" s="1394"/>
      <c r="AU53" s="848"/>
      <c r="AV53" s="848"/>
      <c r="AW53" s="848"/>
      <c r="AX53" s="848"/>
      <c r="AY53" s="759"/>
      <c r="AZ53" s="759"/>
      <c r="BA53" s="848"/>
      <c r="BB53" s="759"/>
      <c r="BC53" s="848"/>
      <c r="BD53" s="848"/>
      <c r="BE53" s="848"/>
      <c r="BF53" s="848"/>
      <c r="BH53" s="1680"/>
      <c r="BI53" s="1680"/>
      <c r="BJ53" s="1680"/>
      <c r="BK53" s="1680"/>
      <c r="BL53" s="1680"/>
      <c r="BM53" s="1680"/>
      <c r="BN53" s="1680"/>
      <c r="BO53" s="1680"/>
      <c r="BP53" s="1680"/>
    </row>
    <row r="54" spans="1:68" s="686" customFormat="1" ht="3.95" customHeight="1" thickBot="1" x14ac:dyDescent="0.25">
      <c r="B54" s="1791">
        <v>42</v>
      </c>
      <c r="C54" s="1674"/>
      <c r="D54" s="1709"/>
      <c r="E54" s="1057"/>
      <c r="H54" s="1917"/>
      <c r="I54" s="1651"/>
      <c r="J54" s="1651"/>
      <c r="K54" s="1651"/>
      <c r="L54" s="1917"/>
      <c r="M54" s="1651"/>
      <c r="N54" s="1651"/>
      <c r="O54" s="1651"/>
      <c r="P54" s="1868"/>
      <c r="Q54" s="1869"/>
      <c r="R54" s="1868"/>
      <c r="S54" s="1869"/>
      <c r="T54" s="1868"/>
      <c r="U54" s="1869"/>
      <c r="V54" s="1868"/>
      <c r="W54" s="1869"/>
      <c r="X54" s="1868"/>
      <c r="Y54" s="1869"/>
      <c r="Z54" s="1869"/>
      <c r="AA54" s="1869"/>
      <c r="AB54" s="1869"/>
      <c r="AC54" s="1869"/>
      <c r="AD54" s="1869"/>
      <c r="AE54" s="1869"/>
      <c r="AF54" s="1869"/>
      <c r="AG54" s="1869"/>
      <c r="AH54" s="1869"/>
      <c r="AI54" s="1670"/>
      <c r="AJ54" s="1676"/>
      <c r="AL54" s="1676"/>
      <c r="AP54" s="1394"/>
      <c r="AU54" s="848"/>
      <c r="AV54" s="848"/>
      <c r="AW54" s="848"/>
      <c r="AX54" s="848"/>
      <c r="AY54" s="759"/>
      <c r="AZ54" s="759"/>
      <c r="BA54" s="848"/>
      <c r="BB54" s="759"/>
      <c r="BC54" s="848"/>
      <c r="BD54" s="848"/>
      <c r="BE54" s="848"/>
      <c r="BF54" s="848"/>
      <c r="BH54" s="1680"/>
      <c r="BI54" s="1680"/>
      <c r="BJ54" s="1680"/>
      <c r="BK54" s="1680"/>
      <c r="BL54" s="1680"/>
      <c r="BM54" s="1680"/>
      <c r="BN54" s="1680"/>
      <c r="BO54" s="1680"/>
      <c r="BP54" s="1680"/>
    </row>
    <row r="55" spans="1:68" s="686" customFormat="1" x14ac:dyDescent="0.2">
      <c r="A55" s="852">
        <f>A52+1</f>
        <v>13</v>
      </c>
      <c r="B55" s="1791">
        <v>43</v>
      </c>
      <c r="C55" s="851" t="str">
        <f>Valid!$B$90</f>
        <v>Overhead Contact System/Power Distribution</v>
      </c>
      <c r="D55" s="1709"/>
      <c r="E55" s="1245" t="str">
        <f>IF(AT55="N/A","",AT55)</f>
        <v/>
      </c>
      <c r="H55" s="1917"/>
      <c r="I55" s="1904"/>
      <c r="J55" s="1651"/>
      <c r="K55" s="1651"/>
      <c r="L55" s="1864"/>
      <c r="M55" s="1920" t="str">
        <f>IF(AND(H46&lt;&gt;"", L55=""),REPLACE(TEXT(BN55,0),99,0," Yrs.?    "),"")</f>
        <v/>
      </c>
      <c r="N55" s="1921"/>
      <c r="O55" s="1870"/>
      <c r="P55" s="1864"/>
      <c r="Q55" s="1865" t="str">
        <f>IF(OR($N55="", AND($N55="",OR($H55="",$H55=0))),"",IF(AND($N55="Quantity",$AJ55&lt;$H55),"0 - "&amp;TEXT($H55-$AJ55,"0")&amp;" buildings?    ",IF(AND($N55="%",$AJ55&lt;1),REPLACE(IF(AND($P55&gt;0,$V55&gt;0,$T55&gt;0,$X55&gt;0,$R55&gt;0,$Z55&gt;0,$AB55&gt;0,$AD55&gt;0,$AF55&gt;0,$AH55&gt;0),"","0-"),99,0,REPLACE(TEXT(100-$AJ55,0),99,0,"?    ")),"")))</f>
        <v/>
      </c>
      <c r="R55" s="1864"/>
      <c r="S55" s="1865" t="str">
        <f>IF(OR($N55="", AND($N55="",OR($H55="",$H55=0))),"",IF(AND($N55="Quantity",$AJ55&lt;$H55),"0 - "&amp;TEXT($H55-$AJ55,"0")&amp;" buildings?    ",IF(AND($N55="%",$AJ55&lt;1),REPLACE(IF(AND($P55&gt;0,$V55&gt;0,$T55&gt;0,$X55&gt;0,$R55&gt;0,$Z55&gt;0,$AB55&gt;0,$AD55&gt;0,$AF55&gt;0,$AH55&gt;0),"","0-"),99,0,REPLACE(TEXT(100-$AJ55,0),99,0,"?    ")),"")))</f>
        <v/>
      </c>
      <c r="T55" s="1864"/>
      <c r="U55" s="1865" t="str">
        <f>IF(OR($N55="", AND($N55="",OR($H55="",$H55=0))),"",IF(AND($N55="Quantity",$AJ55&lt;$H55),"0 - "&amp;TEXT($H55-$AJ55,"0")&amp;" buildings?    ",IF(AND($N55="%",$AJ55&lt;1),REPLACE(IF(AND($P55&gt;0,$V55&gt;0,$T55&gt;0,$X55&gt;0,$R55&gt;0,$Z55&gt;0,$AB55&gt;0,$AD55&gt;0,$AF55&gt;0,$AH55&gt;0),"","0-"),99,0,REPLACE(TEXT(100-$AJ55,0),99,0,"?    ")),"")))</f>
        <v/>
      </c>
      <c r="V55" s="1864"/>
      <c r="W55" s="1865" t="str">
        <f>IF(OR($N55="", AND($N55="",OR($H55="",$H55=0))),"",IF(AND($N55="Quantity",$AJ55&lt;$H55),"0 - "&amp;TEXT($H55-$AJ55,"0")&amp;" buildings?    ",IF(AND($N55="%",$AJ55&lt;1),REPLACE(IF(AND($P55&gt;0,$V55&gt;0,$T55&gt;0,$X55&gt;0,$R55&gt;0,$Z55&gt;0,$AB55&gt;0,$AD55&gt;0,$AF55&gt;0,$AH55&gt;0),"","0-"),99,0,REPLACE(TEXT(100-$AJ55,0),99,0,"?    ")),"")))</f>
        <v/>
      </c>
      <c r="X55" s="1864"/>
      <c r="Y55" s="1865" t="str">
        <f>IF(OR($N55="", AND($N55="",OR($H55="",$H55=0))),"",IF(AND($N55="Quantity",$AJ55&lt;$H55),"0 - "&amp;TEXT($H55-$AJ55,"0")&amp;" buildings?    ",IF(AND($N55="%",$AJ55&lt;1),REPLACE(IF(AND($P55&gt;0,$V55&gt;0,$T55&gt;0,$X55&gt;0,$R55&gt;0,$Z55&gt;0,$AB55&gt;0,$AD55&gt;0,$AF55&gt;0,$AH55&gt;0),"","0-"),99,0,REPLACE(TEXT(100-$AJ55,0),99,0,"?    ")),"")))</f>
        <v/>
      </c>
      <c r="Z55" s="1864"/>
      <c r="AA55" s="1865" t="str">
        <f>IF(OR($N55="", AND($N55="",OR($H55="",$H55=0))),"",IF(AND($N55="Quantity",$AJ55&lt;$H55),"0 - "&amp;TEXT($H55-$AJ55,"0")&amp;" buildings?    ",IF(AND($N55="%",$AJ55&lt;1),REPLACE(IF(AND($P55&gt;0,$V55&gt;0,$T55&gt;0,$X55&gt;0,$R55&gt;0,$Z55&gt;0,$AB55&gt;0,$AD55&gt;0,$AF55&gt;0,$AH55&gt;0),"","0-"),99,0,REPLACE(TEXT(100-$AJ55,0),99,0,"?    ")),"")))</f>
        <v/>
      </c>
      <c r="AB55" s="1864"/>
      <c r="AC55" s="1865" t="str">
        <f>IF(OR($N55="", AND($N55="",OR($H55="",$H55=0))),"",IF(AND($N55="Quantity",$AJ55&lt;$H55),"0 - "&amp;TEXT($H55-$AJ55,"0")&amp;" buildings?    ",IF(AND($N55="%",$AJ55&lt;1),REPLACE(IF(AND($P55&gt;0,$V55&gt;0,$T55&gt;0,$X55&gt;0,$R55&gt;0,$Z55&gt;0,$AB55&gt;0,$AD55&gt;0,$AF55&gt;0,$AH55&gt;0),"","0-"),99,0,REPLACE(TEXT(100-$AJ55,0),99,0,"?    ")),"")))</f>
        <v/>
      </c>
      <c r="AD55" s="1864"/>
      <c r="AE55" s="1865" t="str">
        <f>IF(OR($N55="", AND($N55="",OR($H55="",$H55=0))),"",IF(AND($N55="Quantity",$AJ55&lt;$H55),"0 - "&amp;TEXT($H55-$AJ55,"0")&amp;" buildings?    ",IF(AND($N55="%",$AJ55&lt;1),REPLACE(IF(AND($P55&gt;0,$V55&gt;0,$T55&gt;0,$X55&gt;0,$R55&gt;0,$Z55&gt;0,$AB55&gt;0,$AD55&gt;0,$AF55&gt;0,$AH55&gt;0),"","0-"),99,0,REPLACE(TEXT(100-$AJ55,0),99,0,"?    ")),"")))</f>
        <v/>
      </c>
      <c r="AF55" s="1864"/>
      <c r="AG55" s="1865" t="str">
        <f>IF(OR($N55="", AND($N55="",OR($H55="",$H55=0))),"",IF(AND($N55="Quantity",$AJ55&lt;$H55),"0 - "&amp;TEXT($H55-$AJ55,"0")&amp;" buildings?    ",IF(AND($N55="%",$AJ55&lt;1),REPLACE(IF(AND($P55&gt;0,$V55&gt;0,$T55&gt;0,$X55&gt;0,$R55&gt;0,$Z55&gt;0,$AB55&gt;0,$AD55&gt;0,$AF55&gt;0,$AH55&gt;0),"","0-"),99,0,REPLACE(TEXT(100-$AJ55,0),99,0,"?    ")),"")))</f>
        <v/>
      </c>
      <c r="AH55" s="1864"/>
      <c r="AI55" s="1865" t="str">
        <f>IF(OR($N55="", AND($N55="",OR($H55="",$H55=0))),"",IF(AND($N55="Quantity",$AJ55&lt;$H55),"0 - "&amp;TEXT($H55-$AJ55,"0")&amp;" buildings?    ",IF(AND($N55="%",$AJ55&lt;1),REPLACE(IF(AND($P55&gt;0,$V55&gt;0,$T55&gt;0,$X55&gt;0,$R55&gt;0,$Z55&gt;0,$AB55&gt;0,$AD55&gt;0,$AF55&gt;0,$AH55&gt;0),"","0-"),99,0,REPLACE(TEXT(100-$AJ55,0),99,0,"?    ")),"")))</f>
        <v/>
      </c>
      <c r="AJ55" s="1833">
        <f>IFERROR(IF(N55="%", SUM(P55,R55,T55,V55,X55,Z55,AB55,AD55,AF55,AH55)/100, SUM(P55,R55,T55,V55,X55,Z55,AB55,AD55,AF55,AH55)/H55), 0)</f>
        <v>0</v>
      </c>
      <c r="AL55" s="1832"/>
      <c r="AN55" s="1276"/>
      <c r="AP55" s="1653"/>
      <c r="AT55" s="1624" t="str">
        <f>IF(AND($C$13="", L55=""), "N/A", IF(AND(AJ55=1, L55&lt;&gt;"", N55&lt;&gt;"", P55&lt;&gt;"", R55&lt;&gt;"", T55&lt;&gt;"", V55&lt;&gt;"", X55&lt;&gt;"", Z55&lt;&gt;"", AB55&lt;&gt;"", AD55&lt;&gt;"", AF55&lt;&gt;"", AH55&lt;&gt;"",AL55&lt;&gt;"", IF(AND(AL55&lt;1, AN55=""), FALSE, TRUE)), "Yes", "No"))</f>
        <v>N/A</v>
      </c>
      <c r="AU55" s="759"/>
      <c r="AV55" s="759"/>
      <c r="AW55" s="759"/>
      <c r="AX55" s="759"/>
      <c r="AY55" s="759" t="b">
        <f>IF($L55="",FALSE,IF($L55&lt;$BO55,TRUE,FALSE))</f>
        <v>0</v>
      </c>
      <c r="AZ55" s="759" t="b">
        <f>IF($L55="",FALSE,IF($L55&gt;$BP55,TRUE,FALSE))</f>
        <v>0</v>
      </c>
      <c r="BA55" s="759" t="b">
        <f>IF(AND(E55&lt;&gt;"",$L55=""),TRUE,FALSE)</f>
        <v>0</v>
      </c>
      <c r="BB55" s="759" t="b">
        <f>IF(AND($AJ55&lt;&gt;0,$H55&lt;$AJ55,$N55="LF"),TRUE,IF(AND($N55="LF",H55&lt;&gt;"",H55=AJ55),FALSE,IF(AND($AJ55&lt;&gt;0,$AJ55&gt;"100%",$N55="%"),TRUE,FALSE)))</f>
        <v>0</v>
      </c>
      <c r="BC55" s="759" t="b">
        <f>IF(AT55="No", IF(OR(P55="", R55="", T55="", V55="", X55="", Z55="", AB55="", AD55="", AF55="", AH55=""), TRUE, FALSE), FALSE)</f>
        <v>0</v>
      </c>
      <c r="BD55" s="759" t="b">
        <f>IF($BE55=TRUE,FALSE,IF(OR($AL55&lt;0,$AL55&gt;1),TRUE,FALSE))</f>
        <v>0</v>
      </c>
      <c r="BE55" s="759" t="b">
        <f>IF(AND($E55&lt;&gt;"",$AL55=""),TRUE,FALSE)</f>
        <v>0</v>
      </c>
      <c r="BF55" s="759"/>
      <c r="BH55" s="1680"/>
      <c r="BI55" s="1678" t="str">
        <f>IF(N55="", "", IF(N55="Quantity", H55, IF(N55="%", 1, "")))</f>
        <v/>
      </c>
      <c r="BJ55" s="1679">
        <f>P55+R55+T55+V55+X55+Z55+AB55+AD55+AF55+AH55</f>
        <v>0</v>
      </c>
      <c r="BK55" s="1679" t="str">
        <f>IF(BI55="", "", BI55-BJ55)</f>
        <v/>
      </c>
      <c r="BL55" s="1680"/>
      <c r="BM55" s="1680"/>
      <c r="BN55" s="1678">
        <f>IF($C55="","",VLOOKUP($C55,Valid!$B$87:$F$96,5,FALSE))</f>
        <v>25</v>
      </c>
      <c r="BO55" s="1678">
        <f>IF($C55="","",VLOOKUP($C55,Valid!$B$87:$G$96,6,FALSE))</f>
        <v>19</v>
      </c>
      <c r="BP55" s="1678">
        <f>IF($C55="","",VLOOKUP($C55,Valid!$B$87:$Z$96,7,FALSE))</f>
        <v>31</v>
      </c>
    </row>
    <row r="56" spans="1:68" s="686" customFormat="1" ht="3.95" customHeight="1" x14ac:dyDescent="0.2">
      <c r="B56" s="1791">
        <v>44</v>
      </c>
      <c r="C56" s="1674"/>
      <c r="D56" s="1709"/>
      <c r="E56" s="1057"/>
      <c r="H56" s="1917"/>
      <c r="I56" s="1651"/>
      <c r="J56" s="1919"/>
      <c r="K56" s="1651"/>
      <c r="L56" s="1922"/>
      <c r="M56" s="1651"/>
      <c r="N56" s="1919"/>
      <c r="O56" s="1651"/>
      <c r="P56" s="1866"/>
      <c r="Q56" s="1867"/>
      <c r="R56" s="1866"/>
      <c r="S56" s="1867"/>
      <c r="T56" s="1866"/>
      <c r="U56" s="1867"/>
      <c r="V56" s="1866"/>
      <c r="W56" s="1867"/>
      <c r="X56" s="1866"/>
      <c r="Y56" s="1867"/>
      <c r="Z56" s="1867"/>
      <c r="AA56" s="1867"/>
      <c r="AB56" s="1867"/>
      <c r="AC56" s="1867"/>
      <c r="AD56" s="1867"/>
      <c r="AE56" s="1867"/>
      <c r="AF56" s="1867"/>
      <c r="AG56" s="1867"/>
      <c r="AH56" s="1867"/>
      <c r="AJ56" s="1792"/>
      <c r="AL56" s="1792"/>
      <c r="AN56" s="685"/>
      <c r="AP56" s="1394"/>
      <c r="AU56" s="848"/>
      <c r="AV56" s="848"/>
      <c r="AW56" s="848"/>
      <c r="AX56" s="848"/>
      <c r="AY56" s="759"/>
      <c r="AZ56" s="759"/>
      <c r="BA56" s="848"/>
      <c r="BB56" s="759"/>
      <c r="BC56" s="848"/>
      <c r="BD56" s="848"/>
      <c r="BE56" s="848"/>
      <c r="BF56" s="848"/>
      <c r="BH56" s="1680"/>
      <c r="BI56" s="1680"/>
      <c r="BJ56" s="1680"/>
      <c r="BK56" s="1680"/>
      <c r="BL56" s="1680"/>
      <c r="BM56" s="1680"/>
      <c r="BN56" s="1680"/>
      <c r="BO56" s="1680"/>
      <c r="BP56" s="1680"/>
    </row>
    <row r="57" spans="1:68" s="686" customFormat="1" ht="3.95" customHeight="1" thickBot="1" x14ac:dyDescent="0.25">
      <c r="B57" s="1790">
        <v>45</v>
      </c>
      <c r="C57" s="1674"/>
      <c r="D57" s="1709"/>
      <c r="E57" s="1057"/>
      <c r="H57" s="1917"/>
      <c r="I57" s="1651"/>
      <c r="J57" s="1651"/>
      <c r="K57" s="1651"/>
      <c r="L57" s="1917"/>
      <c r="M57" s="1651"/>
      <c r="N57" s="1651"/>
      <c r="O57" s="1651"/>
      <c r="P57" s="1868"/>
      <c r="Q57" s="1869"/>
      <c r="R57" s="1868"/>
      <c r="S57" s="1869"/>
      <c r="T57" s="1868"/>
      <c r="U57" s="1869"/>
      <c r="V57" s="1868"/>
      <c r="W57" s="1869"/>
      <c r="X57" s="1868"/>
      <c r="Y57" s="1869"/>
      <c r="Z57" s="1869"/>
      <c r="AA57" s="1869"/>
      <c r="AB57" s="1869"/>
      <c r="AC57" s="1869"/>
      <c r="AD57" s="1869"/>
      <c r="AE57" s="1869"/>
      <c r="AF57" s="1869"/>
      <c r="AG57" s="1869"/>
      <c r="AH57" s="1869"/>
      <c r="AI57" s="1670"/>
      <c r="AJ57" s="1676"/>
      <c r="AL57" s="1676"/>
      <c r="AP57" s="1394"/>
      <c r="AT57" s="1624"/>
      <c r="AU57" s="848"/>
      <c r="AV57" s="848"/>
      <c r="AW57" s="848"/>
      <c r="AX57" s="848"/>
      <c r="AY57" s="759"/>
      <c r="AZ57" s="759"/>
      <c r="BA57" s="848"/>
      <c r="BB57" s="759"/>
      <c r="BC57" s="848"/>
      <c r="BD57" s="848"/>
      <c r="BE57" s="848"/>
      <c r="BF57" s="848"/>
      <c r="BH57" s="1680"/>
      <c r="BI57" s="1680"/>
      <c r="BJ57" s="1680"/>
      <c r="BK57" s="1680"/>
      <c r="BL57" s="1680"/>
      <c r="BM57" s="1680"/>
      <c r="BN57" s="1680"/>
      <c r="BO57" s="1680"/>
      <c r="BP57" s="1680"/>
    </row>
    <row r="58" spans="1:68" s="686" customFormat="1" x14ac:dyDescent="0.2">
      <c r="A58" s="852">
        <f>A55+1</f>
        <v>14</v>
      </c>
      <c r="B58" s="1790">
        <v>46</v>
      </c>
      <c r="C58" s="851" t="str">
        <f>Valid!$B$91</f>
        <v>Train Control &amp; Signaling</v>
      </c>
      <c r="D58" s="1709"/>
      <c r="E58" s="1245" t="str">
        <f>IF(AT58="N/A","",AT58)</f>
        <v/>
      </c>
      <c r="H58" s="1917"/>
      <c r="I58" s="1904"/>
      <c r="J58" s="1919"/>
      <c r="K58" s="1651"/>
      <c r="L58" s="1864"/>
      <c r="M58" s="1920" t="str">
        <f>IF(AND(H46&lt;&gt;"", L58=""),REPLACE(TEXT(BN58,0),99,0," Yrs.?    "),"")</f>
        <v/>
      </c>
      <c r="N58" s="1921"/>
      <c r="O58" s="1870"/>
      <c r="P58" s="1864"/>
      <c r="Q58" s="1865" t="str">
        <f>IF(OR($N58="", AND($N58="",OR($H58="",$H58=0))),"",IF(AND($N58="Quantity",$AJ58&lt;$H58),"0 - "&amp;TEXT($H58-$AJ58,"0")&amp;" buildings?    ",IF(AND($N58="%",$AJ58&lt;1),REPLACE(IF(AND($P58&gt;0,$V58&gt;0,$T58&gt;0,$X58&gt;0,$R58&gt;0,$Z58&gt;0,$AB58&gt;0,$AD58&gt;0,$AF58&gt;0,$AH58&gt;0),"","0-"),99,0,REPLACE(TEXT(100-$AJ58,0),99,0,"?    ")),"")))</f>
        <v/>
      </c>
      <c r="R58" s="1864"/>
      <c r="S58" s="1865" t="str">
        <f>IF(OR($N58="", AND($N58="",OR($H58="",$H58=0))),"",IF(AND($N58="Quantity",$AJ58&lt;$H58),"0 - "&amp;TEXT($H58-$AJ58,"0")&amp;" buildings?    ",IF(AND($N58="%",$AJ58&lt;1),REPLACE(IF(AND($P58&gt;0,$V58&gt;0,$T58&gt;0,$X58&gt;0,$R58&gt;0,$Z58&gt;0,$AB58&gt;0,$AD58&gt;0,$AF58&gt;0,$AH58&gt;0),"","0-"),99,0,REPLACE(TEXT(100-$AJ58,0),99,0,"?    ")),"")))</f>
        <v/>
      </c>
      <c r="T58" s="1864"/>
      <c r="U58" s="1865" t="str">
        <f>IF(OR($N58="", AND($N58="",OR($H58="",$H58=0))),"",IF(AND($N58="Quantity",$AJ58&lt;$H58),"0 - "&amp;TEXT($H58-$AJ58,"0")&amp;" buildings?    ",IF(AND($N58="%",$AJ58&lt;1),REPLACE(IF(AND($P58&gt;0,$V58&gt;0,$T58&gt;0,$X58&gt;0,$R58&gt;0,$Z58&gt;0,$AB58&gt;0,$AD58&gt;0,$AF58&gt;0,$AH58&gt;0),"","0-"),99,0,REPLACE(TEXT(100-$AJ58,0),99,0,"?    ")),"")))</f>
        <v/>
      </c>
      <c r="V58" s="1864"/>
      <c r="W58" s="1865" t="str">
        <f>IF(OR($N58="", AND($N58="",OR($H58="",$H58=0))),"",IF(AND($N58="Quantity",$AJ58&lt;$H58),"0 - "&amp;TEXT($H58-$AJ58,"0")&amp;" buildings?    ",IF(AND($N58="%",$AJ58&lt;1),REPLACE(IF(AND($P58&gt;0,$V58&gt;0,$T58&gt;0,$X58&gt;0,$R58&gt;0,$Z58&gt;0,$AB58&gt;0,$AD58&gt;0,$AF58&gt;0,$AH58&gt;0),"","0-"),99,0,REPLACE(TEXT(100-$AJ58,0),99,0,"?    ")),"")))</f>
        <v/>
      </c>
      <c r="X58" s="1864"/>
      <c r="Y58" s="1865" t="str">
        <f>IF(OR($N58="", AND($N58="",OR($H58="",$H58=0))),"",IF(AND($N58="Quantity",$AJ58&lt;$H58),"0 - "&amp;TEXT($H58-$AJ58,"0")&amp;" buildings?    ",IF(AND($N58="%",$AJ58&lt;1),REPLACE(IF(AND($P58&gt;0,$V58&gt;0,$T58&gt;0,$X58&gt;0,$R58&gt;0,$Z58&gt;0,$AB58&gt;0,$AD58&gt;0,$AF58&gt;0,$AH58&gt;0),"","0-"),99,0,REPLACE(TEXT(100-$AJ58,0),99,0,"?    ")),"")))</f>
        <v/>
      </c>
      <c r="Z58" s="1864"/>
      <c r="AA58" s="1865" t="str">
        <f>IF(OR($N58="", AND($N58="",OR($H58="",$H58=0))),"",IF(AND($N58="Quantity",$AJ58&lt;$H58),"0 - "&amp;TEXT($H58-$AJ58,"0")&amp;" buildings?    ",IF(AND($N58="%",$AJ58&lt;1),REPLACE(IF(AND($P58&gt;0,$V58&gt;0,$T58&gt;0,$X58&gt;0,$R58&gt;0,$Z58&gt;0,$AB58&gt;0,$AD58&gt;0,$AF58&gt;0,$AH58&gt;0),"","0-"),99,0,REPLACE(TEXT(100-$AJ58,0),99,0,"?    ")),"")))</f>
        <v/>
      </c>
      <c r="AB58" s="1864"/>
      <c r="AC58" s="1865" t="str">
        <f>IF(OR($N58="", AND($N58="",OR($H58="",$H58=0))),"",IF(AND($N58="Quantity",$AJ58&lt;$H58),"0 - "&amp;TEXT($H58-$AJ58,"0")&amp;" buildings?    ",IF(AND($N58="%",$AJ58&lt;1),REPLACE(IF(AND($P58&gt;0,$V58&gt;0,$T58&gt;0,$X58&gt;0,$R58&gt;0,$Z58&gt;0,$AB58&gt;0,$AD58&gt;0,$AF58&gt;0,$AH58&gt;0),"","0-"),99,0,REPLACE(TEXT(100-$AJ58,0),99,0,"?    ")),"")))</f>
        <v/>
      </c>
      <c r="AD58" s="1864"/>
      <c r="AE58" s="1865" t="str">
        <f>IF(OR($N58="", AND($N58="",OR($H58="",$H58=0))),"",IF(AND($N58="Quantity",$AJ58&lt;$H58),"0 - "&amp;TEXT($H58-$AJ58,"0")&amp;" buildings?    ",IF(AND($N58="%",$AJ58&lt;1),REPLACE(IF(AND($P58&gt;0,$V58&gt;0,$T58&gt;0,$X58&gt;0,$R58&gt;0,$Z58&gt;0,$AB58&gt;0,$AD58&gt;0,$AF58&gt;0,$AH58&gt;0),"","0-"),99,0,REPLACE(TEXT(100-$AJ58,0),99,0,"?    ")),"")))</f>
        <v/>
      </c>
      <c r="AF58" s="1864"/>
      <c r="AG58" s="1865" t="str">
        <f>IF(OR($N58="", AND($N58="",OR($H58="",$H58=0))),"",IF(AND($N58="Quantity",$AJ58&lt;$H58),"0 - "&amp;TEXT($H58-$AJ58,"0")&amp;" buildings?    ",IF(AND($N58="%",$AJ58&lt;1),REPLACE(IF(AND($P58&gt;0,$V58&gt;0,$T58&gt;0,$X58&gt;0,$R58&gt;0,$Z58&gt;0,$AB58&gt;0,$AD58&gt;0,$AF58&gt;0,$AH58&gt;0),"","0-"),99,0,REPLACE(TEXT(100-$AJ58,0),99,0,"?    ")),"")))</f>
        <v/>
      </c>
      <c r="AH58" s="1864"/>
      <c r="AI58" s="1865" t="str">
        <f>IF(OR($N58="", AND($N58="",OR($H58="",$H58=0))),"",IF(AND($N58="Quantity",$AJ58&lt;$H58),"0 - "&amp;TEXT($H58-$AJ58,"0")&amp;" buildings?    ",IF(AND($N58="%",$AJ58&lt;1),REPLACE(IF(AND($P58&gt;0,$V58&gt;0,$T58&gt;0,$X58&gt;0,$R58&gt;0,$Z58&gt;0,$AB58&gt;0,$AD58&gt;0,$AF58&gt;0,$AH58&gt;0),"","0-"),99,0,REPLACE(TEXT(100-$AJ58,0),99,0,"?    ")),"")))</f>
        <v/>
      </c>
      <c r="AJ58" s="1833">
        <f>IFERROR(IF(N58="%", SUM(P58,R58,T58,V58,X58,Z58,AB58,AD58,AF58,AH58)/100, SUM(P58,R58,T58,V58,X58,Z58,AB58,AD58,AF58,AH58)/H58), 0)</f>
        <v>0</v>
      </c>
      <c r="AL58" s="1832"/>
      <c r="AN58" s="1276"/>
      <c r="AP58" s="1653"/>
      <c r="AT58" s="1624" t="str">
        <f>IF(AND($C$13="", L58=""), "N/A", IF(AND(AJ58=1, L58&lt;&gt;"", N58&lt;&gt;"", P58&lt;&gt;"", R58&lt;&gt;"", T58&lt;&gt;"", V58&lt;&gt;"", X58&lt;&gt;"", Z58&lt;&gt;"", AB58&lt;&gt;"", AD58&lt;&gt;"", AF58&lt;&gt;"", AH58&lt;&gt;"",AL58&lt;&gt;"", IF(AND(AL58&lt;1, AN58=""), FALSE, TRUE)), "Yes", "No"))</f>
        <v>N/A</v>
      </c>
      <c r="AU58" s="759"/>
      <c r="AV58" s="759"/>
      <c r="AW58" s="759"/>
      <c r="AX58" s="759"/>
      <c r="AY58" s="759" t="b">
        <f>IF($L58="",FALSE,IF($L58&lt;$BO58,TRUE,FALSE))</f>
        <v>0</v>
      </c>
      <c r="AZ58" s="759" t="b">
        <f>IF($L58="",FALSE,IF($L58&gt;$BP58,TRUE,FALSE))</f>
        <v>0</v>
      </c>
      <c r="BA58" s="759" t="b">
        <f>IF(AND(E58&lt;&gt;"",$L58=""),TRUE,FALSE)</f>
        <v>0</v>
      </c>
      <c r="BB58" s="759" t="b">
        <f>IF(AND($AJ58&lt;&gt;0,$H58&lt;$AJ58,$N58="LF"),TRUE,IF(AND($N58="LF",H58&lt;&gt;"",H58=AJ58),FALSE,IF(AND($AJ58&lt;&gt;0,$AJ58&gt;"100%",$N58="%"),TRUE,FALSE)))</f>
        <v>0</v>
      </c>
      <c r="BC58" s="759" t="b">
        <f>IF(AT58="No", IF(OR(P58="", R58="", T58="", V58="", X58="", Z58="", AB58="", AD58="", AF58="", AH58=""), TRUE, FALSE), FALSE)</f>
        <v>0</v>
      </c>
      <c r="BD58" s="759" t="b">
        <f>IF($BE58=TRUE,FALSE,IF(OR($AL58&lt;0,$AL58&gt;1),TRUE,FALSE))</f>
        <v>0</v>
      </c>
      <c r="BE58" s="759" t="b">
        <f>IF(AND($E58&lt;&gt;"",$AL58=""),TRUE,FALSE)</f>
        <v>0</v>
      </c>
      <c r="BF58" s="759"/>
      <c r="BH58" s="1680"/>
      <c r="BI58" s="1678" t="str">
        <f>IF(N58="", "", IF(N58="Quantity", H58, IF(N58="%", 1, "")))</f>
        <v/>
      </c>
      <c r="BJ58" s="1679">
        <f>P58+R58+T58+V58+X58+Z58+AB58+AD58+AF58+AH58</f>
        <v>0</v>
      </c>
      <c r="BK58" s="1679" t="str">
        <f>IF(BI58="", "", BI58-BJ58)</f>
        <v/>
      </c>
      <c r="BL58" s="1680"/>
      <c r="BM58" s="1680"/>
      <c r="BN58" s="1678">
        <f>IF($C58="","",VLOOKUP($C58,Valid!$B$87:$F$96,5,FALSE))</f>
        <v>25</v>
      </c>
      <c r="BO58" s="1678">
        <f>IF($C58="","",VLOOKUP($C58,Valid!$B$87:$G$96,6,FALSE))</f>
        <v>19</v>
      </c>
      <c r="BP58" s="1678">
        <f>IF($C58="","",VLOOKUP($C58,Valid!$B$87:$Z$96,7,FALSE))</f>
        <v>31</v>
      </c>
    </row>
    <row r="59" spans="1:68" s="686" customFormat="1" ht="3.95" customHeight="1" x14ac:dyDescent="0.2">
      <c r="B59" s="1791">
        <v>47</v>
      </c>
      <c r="C59" s="1674"/>
      <c r="D59" s="1709"/>
      <c r="E59" s="1057"/>
      <c r="H59" s="1917"/>
      <c r="I59" s="1651"/>
      <c r="J59" s="1651"/>
      <c r="K59" s="1651"/>
      <c r="L59" s="1917"/>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J59" s="1676"/>
      <c r="AL59" s="1676"/>
      <c r="AP59" s="1394"/>
      <c r="AU59" s="848"/>
      <c r="AV59" s="848"/>
      <c r="AW59" s="848"/>
      <c r="AX59" s="848"/>
      <c r="AY59" s="759"/>
      <c r="AZ59" s="759"/>
      <c r="BA59" s="848"/>
      <c r="BB59" s="759"/>
      <c r="BC59" s="848"/>
      <c r="BD59" s="848"/>
      <c r="BE59" s="848"/>
      <c r="BF59" s="848"/>
      <c r="BH59" s="1680"/>
      <c r="BI59" s="1680"/>
      <c r="BJ59" s="1680"/>
      <c r="BK59" s="1680"/>
      <c r="BL59" s="1680"/>
      <c r="BM59" s="1680"/>
      <c r="BN59" s="1680"/>
      <c r="BO59" s="1680"/>
      <c r="BP59" s="1680"/>
    </row>
    <row r="60" spans="1:68" s="686" customFormat="1" ht="3.95" customHeight="1" x14ac:dyDescent="0.2">
      <c r="B60" s="1791">
        <v>48</v>
      </c>
      <c r="C60" s="1674"/>
      <c r="D60" s="1709"/>
      <c r="E60" s="1057"/>
      <c r="H60" s="1917"/>
      <c r="I60" s="1651"/>
      <c r="J60" s="1919"/>
      <c r="K60" s="1651"/>
      <c r="L60" s="1922"/>
      <c r="M60" s="1651"/>
      <c r="N60" s="1919"/>
      <c r="O60" s="1651"/>
      <c r="P60" s="1919"/>
      <c r="Q60" s="1651"/>
      <c r="R60" s="1919"/>
      <c r="S60" s="1651"/>
      <c r="T60" s="1919"/>
      <c r="U60" s="1651"/>
      <c r="V60" s="1919"/>
      <c r="W60" s="1651"/>
      <c r="X60" s="1919"/>
      <c r="Y60" s="1651"/>
      <c r="Z60" s="1919"/>
      <c r="AA60" s="1651"/>
      <c r="AB60" s="1919"/>
      <c r="AC60" s="1651"/>
      <c r="AD60" s="1919"/>
      <c r="AE60" s="1651"/>
      <c r="AF60" s="1919"/>
      <c r="AG60" s="1651"/>
      <c r="AH60" s="1919"/>
      <c r="AJ60" s="1792"/>
      <c r="AL60" s="1792"/>
      <c r="AN60" s="685"/>
      <c r="AP60" s="1394"/>
      <c r="AU60" s="848"/>
      <c r="AV60" s="848"/>
      <c r="AW60" s="848"/>
      <c r="AX60" s="848"/>
      <c r="AY60" s="759"/>
      <c r="AZ60" s="759"/>
      <c r="BA60" s="848"/>
      <c r="BB60" s="759"/>
      <c r="BC60" s="848"/>
      <c r="BD60" s="848"/>
      <c r="BE60" s="848"/>
      <c r="BF60" s="848"/>
      <c r="BH60" s="1680"/>
      <c r="BI60" s="1680"/>
      <c r="BJ60" s="1680"/>
      <c r="BK60" s="1680"/>
      <c r="BL60" s="1680"/>
      <c r="BM60" s="1680"/>
      <c r="BN60" s="1680"/>
      <c r="BO60" s="1680"/>
      <c r="BP60" s="1680"/>
    </row>
    <row r="61" spans="1:68" s="686" customFormat="1" ht="3.95" customHeight="1" x14ac:dyDescent="0.2">
      <c r="B61" s="1791">
        <v>49</v>
      </c>
      <c r="C61" s="1674"/>
      <c r="D61" s="1709"/>
      <c r="E61" s="1057"/>
      <c r="H61" s="1917"/>
      <c r="I61" s="1651"/>
      <c r="J61" s="1651"/>
      <c r="K61" s="1651"/>
      <c r="L61" s="1917"/>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J61" s="1676"/>
      <c r="AL61" s="1676"/>
      <c r="AP61" s="1394"/>
      <c r="AU61" s="848"/>
      <c r="AV61" s="848"/>
      <c r="AW61" s="848"/>
      <c r="AX61" s="848"/>
      <c r="AY61" s="759"/>
      <c r="AZ61" s="759"/>
      <c r="BA61" s="848"/>
      <c r="BB61" s="759"/>
      <c r="BC61" s="848"/>
      <c r="BD61" s="848"/>
      <c r="BE61" s="848"/>
      <c r="BF61" s="848"/>
      <c r="BH61" s="1680"/>
      <c r="BI61" s="1680"/>
      <c r="BJ61" s="1680"/>
      <c r="BK61" s="1680"/>
      <c r="BL61" s="1680"/>
      <c r="BM61" s="1680"/>
      <c r="BN61" s="1680"/>
      <c r="BO61" s="1680"/>
      <c r="BP61" s="1680"/>
    </row>
    <row r="62" spans="1:68" s="686" customFormat="1" ht="3.95" customHeight="1" x14ac:dyDescent="0.2">
      <c r="B62" s="1790">
        <v>50</v>
      </c>
      <c r="C62" s="1677"/>
      <c r="D62" s="1709"/>
      <c r="E62" s="1057"/>
      <c r="H62" s="1917"/>
      <c r="I62" s="1651"/>
      <c r="J62" s="1651"/>
      <c r="K62" s="1651"/>
      <c r="L62" s="1917"/>
      <c r="M62" s="1651"/>
      <c r="N62" s="1651"/>
      <c r="O62" s="1651"/>
      <c r="P62" s="1651"/>
      <c r="Q62" s="1651"/>
      <c r="R62" s="1651"/>
      <c r="S62" s="1651"/>
      <c r="T62" s="1651"/>
      <c r="U62" s="1651"/>
      <c r="V62" s="1651"/>
      <c r="W62" s="1651"/>
      <c r="X62" s="1651"/>
      <c r="Y62" s="1651"/>
      <c r="Z62" s="1651"/>
      <c r="AA62" s="1651"/>
      <c r="AB62" s="1651"/>
      <c r="AC62" s="1651"/>
      <c r="AD62" s="1651"/>
      <c r="AE62" s="1651"/>
      <c r="AF62" s="1651"/>
      <c r="AG62" s="1651"/>
      <c r="AH62" s="1651"/>
      <c r="AJ62" s="1676"/>
      <c r="AL62" s="1676"/>
      <c r="AP62" s="1223"/>
      <c r="AU62" s="848"/>
      <c r="AV62" s="848"/>
      <c r="AW62" s="848"/>
      <c r="AX62" s="848"/>
      <c r="AY62" s="848"/>
      <c r="AZ62" s="848"/>
      <c r="BA62" s="848"/>
      <c r="BB62" s="848"/>
      <c r="BC62" s="848"/>
      <c r="BD62" s="848"/>
      <c r="BE62" s="848"/>
      <c r="BF62" s="848"/>
      <c r="BH62" s="1680"/>
      <c r="BI62" s="1680"/>
      <c r="BJ62" s="1680"/>
      <c r="BK62" s="1680"/>
      <c r="BL62" s="1680"/>
      <c r="BM62" s="1680"/>
      <c r="BN62" s="1680"/>
      <c r="BO62" s="1680"/>
      <c r="BP62" s="1680"/>
    </row>
    <row r="63" spans="1:68" s="686" customFormat="1" ht="3.95" customHeight="1" x14ac:dyDescent="0.2">
      <c r="A63" s="1244"/>
      <c r="B63" s="1790">
        <v>51</v>
      </c>
      <c r="C63" s="1677"/>
      <c r="D63" s="1709"/>
      <c r="E63" s="1057"/>
      <c r="H63" s="1922"/>
      <c r="I63" s="1651"/>
      <c r="J63" s="1919"/>
      <c r="K63" s="1651"/>
      <c r="L63" s="1922"/>
      <c r="M63" s="1651"/>
      <c r="N63" s="1919"/>
      <c r="O63" s="1651"/>
      <c r="P63" s="1919"/>
      <c r="Q63" s="1651"/>
      <c r="R63" s="1919"/>
      <c r="S63" s="1651"/>
      <c r="T63" s="1919"/>
      <c r="U63" s="1651"/>
      <c r="V63" s="1919"/>
      <c r="W63" s="1651"/>
      <c r="X63" s="1919"/>
      <c r="Y63" s="1651"/>
      <c r="Z63" s="1919"/>
      <c r="AA63" s="1651"/>
      <c r="AB63" s="1919"/>
      <c r="AC63" s="1651"/>
      <c r="AD63" s="1919"/>
      <c r="AE63" s="1651"/>
      <c r="AF63" s="1919"/>
      <c r="AG63" s="1651"/>
      <c r="AH63" s="1919"/>
      <c r="AJ63" s="1792"/>
      <c r="AL63" s="1792"/>
      <c r="AN63" s="685"/>
      <c r="AP63" s="1223"/>
      <c r="AU63" s="848"/>
      <c r="AV63" s="848"/>
      <c r="AW63" s="848"/>
      <c r="AX63" s="848"/>
      <c r="AY63" s="848"/>
      <c r="AZ63" s="848"/>
      <c r="BA63" s="848"/>
      <c r="BB63" s="848"/>
      <c r="BC63" s="848"/>
      <c r="BD63" s="848"/>
      <c r="BE63" s="848"/>
      <c r="BF63" s="848"/>
      <c r="BH63" s="1680"/>
      <c r="BI63" s="1680"/>
      <c r="BJ63" s="1680"/>
      <c r="BK63" s="1680"/>
      <c r="BL63" s="1680"/>
      <c r="BM63" s="1680"/>
      <c r="BN63" s="1680"/>
      <c r="BO63" s="1680"/>
      <c r="BP63" s="1680"/>
    </row>
    <row r="64" spans="1:68" s="686" customFormat="1" ht="3.95" customHeight="1" x14ac:dyDescent="0.2">
      <c r="A64" s="1809"/>
      <c r="B64" s="1810">
        <v>52</v>
      </c>
      <c r="C64" s="1811"/>
      <c r="D64" s="1842"/>
      <c r="E64" s="1812"/>
      <c r="F64" s="1809"/>
      <c r="G64" s="1809"/>
      <c r="H64" s="1923"/>
      <c r="I64" s="1924"/>
      <c r="J64" s="1924"/>
      <c r="K64" s="1924"/>
      <c r="L64" s="1923"/>
      <c r="M64" s="1924"/>
      <c r="N64" s="1924"/>
      <c r="O64" s="1924"/>
      <c r="P64" s="1924"/>
      <c r="Q64" s="1924"/>
      <c r="R64" s="1924"/>
      <c r="S64" s="1924"/>
      <c r="T64" s="1924"/>
      <c r="U64" s="1924"/>
      <c r="V64" s="1924"/>
      <c r="W64" s="1924"/>
      <c r="X64" s="1924"/>
      <c r="Y64" s="1924"/>
      <c r="Z64" s="1924"/>
      <c r="AA64" s="1924"/>
      <c r="AB64" s="1924"/>
      <c r="AC64" s="1924"/>
      <c r="AD64" s="1924"/>
      <c r="AE64" s="1924"/>
      <c r="AF64" s="1924"/>
      <c r="AG64" s="1924"/>
      <c r="AH64" s="1924"/>
      <c r="AI64" s="1809"/>
      <c r="AJ64" s="1829"/>
      <c r="AK64" s="1809"/>
      <c r="AL64" s="1829"/>
      <c r="AM64" s="1809"/>
      <c r="AN64" s="1809"/>
      <c r="AO64" s="1809"/>
      <c r="AP64" s="1813"/>
      <c r="AQ64" s="1809"/>
      <c r="AR64" s="1809"/>
      <c r="AS64" s="1809"/>
      <c r="AT64" s="1809"/>
      <c r="AU64" s="1814"/>
      <c r="AV64" s="1814"/>
      <c r="AW64" s="1814"/>
      <c r="AX64" s="1814"/>
      <c r="AY64" s="1814"/>
      <c r="AZ64" s="1814"/>
      <c r="BA64" s="1814"/>
      <c r="BB64" s="1814"/>
      <c r="BC64" s="1814"/>
      <c r="BD64" s="1814"/>
      <c r="BE64" s="1814"/>
      <c r="BF64" s="1814"/>
      <c r="BG64" s="1809"/>
      <c r="BH64" s="1814"/>
      <c r="BI64" s="1814"/>
      <c r="BJ64" s="1814"/>
      <c r="BK64" s="1814"/>
      <c r="BL64" s="1814"/>
      <c r="BM64" s="1814"/>
      <c r="BN64" s="1814"/>
      <c r="BO64" s="1814"/>
      <c r="BP64" s="1814"/>
    </row>
    <row r="65" spans="1:69" s="686" customFormat="1" ht="3.95" customHeight="1" x14ac:dyDescent="0.2">
      <c r="B65" s="1791">
        <v>53</v>
      </c>
      <c r="C65" s="1677"/>
      <c r="D65" s="1709"/>
      <c r="E65" s="1057"/>
      <c r="H65" s="1917"/>
      <c r="I65" s="1651"/>
      <c r="J65" s="1651"/>
      <c r="K65" s="1651"/>
      <c r="L65" s="1925"/>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c r="AJ65" s="1676"/>
      <c r="AL65" s="1676"/>
      <c r="AP65" s="1057"/>
      <c r="AU65" s="848"/>
      <c r="AV65" s="848"/>
      <c r="AW65" s="848"/>
      <c r="AX65" s="848"/>
      <c r="AY65" s="848"/>
      <c r="AZ65" s="848"/>
      <c r="BA65" s="848"/>
      <c r="BB65" s="848"/>
      <c r="BC65" s="848"/>
      <c r="BD65" s="848"/>
      <c r="BE65" s="848"/>
      <c r="BF65" s="848"/>
      <c r="BH65" s="1680"/>
      <c r="BI65" s="1680"/>
      <c r="BJ65" s="1680"/>
      <c r="BK65" s="1680"/>
      <c r="BL65" s="1680"/>
      <c r="BM65" s="1680"/>
      <c r="BN65" s="1680"/>
      <c r="BO65" s="1680"/>
      <c r="BP65" s="1680"/>
    </row>
    <row r="66" spans="1:69" s="686" customFormat="1" ht="3.95" customHeight="1" x14ac:dyDescent="0.2">
      <c r="B66" s="1791">
        <v>54</v>
      </c>
      <c r="C66" s="1677"/>
      <c r="D66" s="1709"/>
      <c r="E66" s="1057"/>
      <c r="H66" s="1922"/>
      <c r="I66" s="1651"/>
      <c r="J66" s="1919"/>
      <c r="K66" s="1651"/>
      <c r="L66" s="1926"/>
      <c r="M66" s="1651"/>
      <c r="N66" s="1919"/>
      <c r="O66" s="1651"/>
      <c r="P66" s="1919"/>
      <c r="Q66" s="1651"/>
      <c r="R66" s="1919"/>
      <c r="S66" s="1651"/>
      <c r="T66" s="1919"/>
      <c r="U66" s="1651"/>
      <c r="V66" s="1919"/>
      <c r="W66" s="1651"/>
      <c r="X66" s="1919"/>
      <c r="Y66" s="1651"/>
      <c r="Z66" s="1919"/>
      <c r="AA66" s="1651"/>
      <c r="AB66" s="1919"/>
      <c r="AC66" s="1651"/>
      <c r="AD66" s="1919"/>
      <c r="AE66" s="1651"/>
      <c r="AF66" s="1919"/>
      <c r="AG66" s="1651"/>
      <c r="AH66" s="1919"/>
      <c r="AJ66" s="1792"/>
      <c r="AL66" s="1792"/>
      <c r="AN66" s="685"/>
      <c r="AP66" s="1057"/>
      <c r="AU66" s="848"/>
      <c r="AV66" s="848"/>
      <c r="AW66" s="848"/>
      <c r="AX66" s="848"/>
      <c r="AY66" s="848"/>
      <c r="AZ66" s="848"/>
      <c r="BA66" s="848"/>
      <c r="BB66" s="848"/>
      <c r="BC66" s="848"/>
      <c r="BD66" s="848"/>
      <c r="BE66" s="848"/>
      <c r="BF66" s="848"/>
      <c r="BH66" s="1680"/>
      <c r="BI66" s="1680"/>
      <c r="BJ66" s="1680"/>
      <c r="BK66" s="1680"/>
      <c r="BL66" s="1680"/>
      <c r="BM66" s="1680"/>
      <c r="BN66" s="1680"/>
      <c r="BO66" s="1680"/>
      <c r="BP66" s="1680"/>
    </row>
    <row r="67" spans="1:69" s="686" customFormat="1" ht="3.95" customHeight="1" x14ac:dyDescent="0.2">
      <c r="B67" s="1790">
        <v>55</v>
      </c>
      <c r="C67" s="1677"/>
      <c r="D67" s="1709"/>
      <c r="E67" s="1057"/>
      <c r="H67" s="1917"/>
      <c r="I67" s="1651"/>
      <c r="J67" s="1651"/>
      <c r="K67" s="1651"/>
      <c r="L67" s="1917"/>
      <c r="M67" s="1651"/>
      <c r="N67" s="1651"/>
      <c r="O67" s="1651"/>
      <c r="P67" s="1651"/>
      <c r="Q67" s="1651"/>
      <c r="R67" s="1651"/>
      <c r="S67" s="1651"/>
      <c r="T67" s="1651"/>
      <c r="U67" s="1651"/>
      <c r="V67" s="1651"/>
      <c r="W67" s="1651"/>
      <c r="X67" s="1651"/>
      <c r="Y67" s="1651"/>
      <c r="Z67" s="1651"/>
      <c r="AA67" s="1651"/>
      <c r="AB67" s="1651"/>
      <c r="AC67" s="1651"/>
      <c r="AD67" s="1651"/>
      <c r="AE67" s="1651"/>
      <c r="AF67" s="1651"/>
      <c r="AG67" s="1651"/>
      <c r="AH67" s="1651"/>
      <c r="AJ67" s="1676"/>
      <c r="AL67" s="1676"/>
      <c r="AP67" s="1057"/>
      <c r="AU67" s="848"/>
      <c r="AV67" s="848"/>
      <c r="AW67" s="848"/>
      <c r="AX67" s="848"/>
      <c r="AY67" s="848"/>
      <c r="AZ67" s="848"/>
      <c r="BA67" s="848"/>
      <c r="BB67" s="848"/>
      <c r="BC67" s="848"/>
      <c r="BD67" s="848"/>
      <c r="BE67" s="848"/>
      <c r="BF67" s="848"/>
      <c r="BH67" s="1680"/>
      <c r="BI67" s="1680"/>
      <c r="BJ67" s="1680"/>
      <c r="BK67" s="1680"/>
      <c r="BL67" s="1680"/>
      <c r="BM67" s="1680"/>
      <c r="BN67" s="1680"/>
      <c r="BO67" s="1680"/>
      <c r="BP67" s="1680"/>
    </row>
    <row r="68" spans="1:69" s="782" customFormat="1" ht="3.95" customHeight="1" x14ac:dyDescent="0.2">
      <c r="A68" s="816"/>
      <c r="B68" s="1790">
        <v>56</v>
      </c>
      <c r="C68" s="1271"/>
      <c r="D68" s="1841"/>
      <c r="E68" s="816"/>
      <c r="F68" s="736"/>
      <c r="G68" s="736"/>
      <c r="H68" s="1927"/>
      <c r="I68" s="1928"/>
      <c r="J68" s="1928"/>
      <c r="K68" s="1928"/>
      <c r="L68" s="1929"/>
      <c r="M68" s="722"/>
      <c r="N68" s="722"/>
      <c r="O68" s="722"/>
      <c r="P68" s="1891"/>
      <c r="Q68" s="1930"/>
      <c r="R68" s="1931"/>
      <c r="S68" s="1930"/>
      <c r="T68" s="1931"/>
      <c r="U68" s="1930"/>
      <c r="V68" s="1931"/>
      <c r="W68" s="1930"/>
      <c r="X68" s="1931"/>
      <c r="Y68" s="1894"/>
      <c r="Z68" s="1894"/>
      <c r="AA68" s="1894"/>
      <c r="AB68" s="1894"/>
      <c r="AC68" s="1894"/>
      <c r="AD68" s="1894"/>
      <c r="AE68" s="1894"/>
      <c r="AF68" s="1894"/>
      <c r="AG68" s="1894"/>
      <c r="AH68" s="1894"/>
      <c r="AI68" s="821"/>
      <c r="AJ68" s="1826"/>
      <c r="AK68" s="781"/>
      <c r="AL68" s="1831"/>
      <c r="AM68" s="824"/>
      <c r="AN68" s="822"/>
      <c r="AO68" s="824"/>
      <c r="AP68" s="1398"/>
      <c r="AQ68" s="824"/>
      <c r="AT68" s="824"/>
      <c r="AU68" s="759"/>
      <c r="AV68" s="759"/>
      <c r="AW68" s="759"/>
      <c r="AX68" s="759"/>
      <c r="AY68" s="759"/>
      <c r="AZ68" s="759"/>
      <c r="BA68" s="759"/>
      <c r="BB68" s="759"/>
      <c r="BC68" s="759"/>
      <c r="BD68" s="759"/>
      <c r="BE68" s="759"/>
      <c r="BF68" s="759"/>
      <c r="BG68" s="760"/>
      <c r="BH68" s="1681"/>
      <c r="BI68" s="1681"/>
      <c r="BJ68" s="1681"/>
      <c r="BK68" s="1681"/>
      <c r="BL68" s="1681"/>
      <c r="BM68" s="1681"/>
      <c r="BN68" s="1681"/>
      <c r="BO68" s="1681"/>
      <c r="BP68" s="1681"/>
      <c r="BQ68" s="824"/>
    </row>
    <row r="69" spans="1:69" s="782" customFormat="1" ht="15.75" x14ac:dyDescent="0.2">
      <c r="A69" s="1712" t="s">
        <v>2621</v>
      </c>
      <c r="B69" s="1791">
        <v>57</v>
      </c>
      <c r="C69" s="1669"/>
      <c r="D69" s="1248" t="str">
        <f>IF(AND(C13&lt;&gt;"",$C69=""),"Select Mode from Pull-Down List                           ","")</f>
        <v/>
      </c>
      <c r="E69" s="1277" t="str">
        <f>IF(AND(C69="",OR(H99&lt;&gt;0,J99&lt;&gt;0,H102&lt;&gt;0)),"&lt;&lt; Insert Rail Mode",IF(AND(C13="",C69&lt;&gt;""),"&lt;&lt;Complete Previous Section First",""))</f>
        <v/>
      </c>
      <c r="F69" s="736"/>
      <c r="G69" s="736"/>
      <c r="H69" s="1932"/>
      <c r="I69" s="1896"/>
      <c r="J69" s="1897"/>
      <c r="K69" s="1897"/>
      <c r="L69" s="1933"/>
      <c r="M69" s="1896"/>
      <c r="N69" s="1896"/>
      <c r="O69" s="1896"/>
      <c r="P69" s="1898"/>
      <c r="Q69" s="1896"/>
      <c r="R69" s="1898"/>
      <c r="S69" s="1896"/>
      <c r="T69" s="1898"/>
      <c r="U69" s="1896"/>
      <c r="V69" s="1898"/>
      <c r="W69" s="1896"/>
      <c r="X69" s="1898"/>
      <c r="Y69" s="1896"/>
      <c r="Z69" s="1896"/>
      <c r="AA69" s="1896"/>
      <c r="AB69" s="1896"/>
      <c r="AC69" s="1896"/>
      <c r="AD69" s="1896"/>
      <c r="AE69" s="1896"/>
      <c r="AF69" s="1896"/>
      <c r="AG69" s="1896"/>
      <c r="AH69" s="1896"/>
      <c r="AI69" s="1254"/>
      <c r="AJ69" s="1827"/>
      <c r="AK69" s="1254"/>
      <c r="AL69" s="1827"/>
      <c r="AM69" s="832"/>
      <c r="AN69" s="1254"/>
      <c r="AO69" s="832"/>
      <c r="AP69" s="1223"/>
      <c r="AQ69" s="832"/>
      <c r="AS69" s="758"/>
      <c r="AT69" s="758" t="b">
        <f>IF(OR(E69&lt;&gt;"",E124="Complete Previous Section First"),TRUE,FALSE)</f>
        <v>0</v>
      </c>
      <c r="AU69" s="763"/>
      <c r="AV69" s="763"/>
      <c r="AW69" s="763"/>
      <c r="AX69" s="763"/>
      <c r="AY69" s="763"/>
      <c r="AZ69" s="763"/>
      <c r="BA69" s="763"/>
      <c r="BB69" s="763"/>
      <c r="BC69" s="763"/>
      <c r="BD69" s="763"/>
      <c r="BE69" s="763"/>
      <c r="BF69" s="759"/>
      <c r="BG69" s="760"/>
      <c r="BH69" s="1678"/>
      <c r="BI69" s="1678"/>
      <c r="BJ69" s="1678"/>
      <c r="BK69" s="1678"/>
      <c r="BL69" s="1678"/>
      <c r="BM69" s="1678"/>
      <c r="BN69" s="1678"/>
      <c r="BO69" s="1678"/>
      <c r="BP69" s="1678"/>
      <c r="BQ69" s="832"/>
    </row>
    <row r="70" spans="1:69" s="782" customFormat="1" ht="3.95" customHeight="1" x14ac:dyDescent="0.2">
      <c r="A70" s="721"/>
      <c r="B70" s="1791">
        <v>58</v>
      </c>
      <c r="C70" s="828"/>
      <c r="D70" s="1841"/>
      <c r="E70" s="721"/>
      <c r="F70" s="281"/>
      <c r="G70" s="281"/>
      <c r="H70" s="1934"/>
      <c r="I70" s="1899"/>
      <c r="J70" s="1899"/>
      <c r="K70" s="1899"/>
      <c r="L70" s="1909"/>
      <c r="M70" s="722"/>
      <c r="N70" s="722"/>
      <c r="O70" s="722"/>
      <c r="P70" s="1900"/>
      <c r="Q70" s="1901"/>
      <c r="R70" s="1900"/>
      <c r="S70" s="1901"/>
      <c r="T70" s="1900"/>
      <c r="U70" s="1901"/>
      <c r="V70" s="1900"/>
      <c r="W70" s="1901"/>
      <c r="X70" s="1900"/>
      <c r="Y70" s="1902"/>
      <c r="Z70" s="1902"/>
      <c r="AA70" s="1902"/>
      <c r="AB70" s="1902"/>
      <c r="AC70" s="1902"/>
      <c r="AD70" s="1902"/>
      <c r="AE70" s="1902"/>
      <c r="AF70" s="1902"/>
      <c r="AG70" s="1902"/>
      <c r="AH70" s="1902"/>
      <c r="AI70" s="831"/>
      <c r="AJ70" s="1828"/>
      <c r="AK70" s="724"/>
      <c r="AL70" s="1806"/>
      <c r="AM70" s="832"/>
      <c r="AN70" s="724"/>
      <c r="AO70" s="832"/>
      <c r="AP70" s="1399"/>
      <c r="AQ70" s="832"/>
      <c r="AS70" s="824"/>
      <c r="AT70" s="832"/>
      <c r="AU70" s="759"/>
      <c r="AV70" s="759"/>
      <c r="AW70" s="759"/>
      <c r="AX70" s="759"/>
      <c r="AY70" s="759"/>
      <c r="AZ70" s="759"/>
      <c r="BA70" s="759"/>
      <c r="BB70" s="759"/>
      <c r="BC70" s="759"/>
      <c r="BD70" s="759"/>
      <c r="BE70" s="759"/>
      <c r="BF70" s="759"/>
      <c r="BG70" s="760"/>
      <c r="BH70" s="1678"/>
      <c r="BI70" s="1678"/>
      <c r="BJ70" s="1678"/>
      <c r="BK70" s="1678"/>
      <c r="BL70" s="1678"/>
      <c r="BM70" s="1678"/>
      <c r="BN70" s="1678"/>
      <c r="BO70" s="1678"/>
      <c r="BP70" s="1678"/>
      <c r="BQ70" s="832"/>
    </row>
    <row r="71" spans="1:69" s="782" customFormat="1" x14ac:dyDescent="0.2">
      <c r="A71" s="1712" t="s">
        <v>2621</v>
      </c>
      <c r="B71" s="1791">
        <v>59</v>
      </c>
      <c r="C71" s="844" t="str">
        <f>IF(C69="","Guideway (Excludes Track)",VLOOKUP(C69,Codes!$C$156:$D$174,2)&amp;" Guideway (Excludes Track)")</f>
        <v>Guideway (Excludes Track)</v>
      </c>
      <c r="D71" s="1841"/>
      <c r="E71" s="721"/>
      <c r="F71" s="281"/>
      <c r="G71" s="281"/>
      <c r="H71" s="1934"/>
      <c r="I71" s="1899"/>
      <c r="J71" s="1899"/>
      <c r="K71" s="1899"/>
      <c r="L71" s="1909"/>
      <c r="M71" s="722"/>
      <c r="N71" s="722"/>
      <c r="O71" s="722"/>
      <c r="P71" s="1900"/>
      <c r="Q71" s="1901"/>
      <c r="R71" s="1900"/>
      <c r="S71" s="1901"/>
      <c r="T71" s="1900"/>
      <c r="U71" s="1901"/>
      <c r="V71" s="1900"/>
      <c r="W71" s="1901"/>
      <c r="X71" s="1900"/>
      <c r="Y71" s="1902"/>
      <c r="Z71" s="1902"/>
      <c r="AA71" s="1902"/>
      <c r="AB71" s="1902"/>
      <c r="AC71" s="1902"/>
      <c r="AD71" s="1902"/>
      <c r="AE71" s="1902"/>
      <c r="AF71" s="1902"/>
      <c r="AG71" s="1902"/>
      <c r="AH71" s="1902"/>
      <c r="AI71" s="831"/>
      <c r="AJ71" s="1828"/>
      <c r="AK71" s="724"/>
      <c r="AL71" s="1806"/>
      <c r="AM71" s="832"/>
      <c r="AN71" s="724"/>
      <c r="AO71" s="832"/>
      <c r="AP71" s="1399"/>
      <c r="AQ71" s="832"/>
      <c r="AS71" s="824"/>
      <c r="AT71" s="832"/>
      <c r="AU71" s="759"/>
      <c r="AV71" s="759"/>
      <c r="AW71" s="759"/>
      <c r="AX71" s="759"/>
      <c r="AY71" s="759"/>
      <c r="AZ71" s="759"/>
      <c r="BA71" s="759"/>
      <c r="BB71" s="759"/>
      <c r="BC71" s="759"/>
      <c r="BD71" s="759"/>
      <c r="BE71" s="759"/>
      <c r="BF71" s="759"/>
      <c r="BG71" s="760"/>
      <c r="BH71" s="1678"/>
      <c r="BI71" s="1678"/>
      <c r="BJ71" s="1678"/>
      <c r="BK71" s="1678"/>
      <c r="BL71" s="1678"/>
      <c r="BM71" s="1678"/>
      <c r="BN71" s="1678"/>
      <c r="BO71" s="1678"/>
      <c r="BP71" s="1678"/>
      <c r="BQ71" s="832"/>
    </row>
    <row r="72" spans="1:69" s="782" customFormat="1" ht="26.25" thickBot="1" x14ac:dyDescent="0.25">
      <c r="A72" s="1712" t="s">
        <v>2621</v>
      </c>
      <c r="B72" s="1790">
        <v>60</v>
      </c>
      <c r="D72" s="1841"/>
      <c r="E72" s="721"/>
      <c r="F72" s="764"/>
      <c r="G72" s="764"/>
      <c r="H72" s="1903" t="str">
        <f>H$10</f>
        <v>Linear Feet</v>
      </c>
      <c r="I72" s="1899"/>
      <c r="J72" s="1903" t="str">
        <f>J$10</f>
        <v>Track Feet</v>
      </c>
      <c r="K72" s="1899"/>
      <c r="L72" s="1909"/>
      <c r="M72" s="722"/>
      <c r="N72" s="722"/>
      <c r="O72" s="722"/>
      <c r="P72" s="1903" t="str">
        <f>P$9</f>
        <v>Pre-1920</v>
      </c>
      <c r="Q72" s="1869"/>
      <c r="R72" s="1903" t="str">
        <f>R$9</f>
        <v>1920-
1929</v>
      </c>
      <c r="S72" s="1869"/>
      <c r="T72" s="1903" t="str">
        <f>T$9</f>
        <v>1930-
1939</v>
      </c>
      <c r="U72" s="1869"/>
      <c r="V72" s="1903" t="str">
        <f>V$9</f>
        <v>1940-
1949</v>
      </c>
      <c r="W72" s="1869"/>
      <c r="X72" s="1903" t="str">
        <f>X$9</f>
        <v>1950-
1959</v>
      </c>
      <c r="Y72" s="1868"/>
      <c r="Z72" s="1903" t="str">
        <f>Z$9</f>
        <v>1960-
1969</v>
      </c>
      <c r="AA72" s="1868"/>
      <c r="AB72" s="1903" t="str">
        <f>AB$9</f>
        <v>1970-
1979</v>
      </c>
      <c r="AC72" s="1868"/>
      <c r="AD72" s="1903" t="str">
        <f>AD$9</f>
        <v>1980-
1989</v>
      </c>
      <c r="AE72" s="1868"/>
      <c r="AF72" s="1903" t="str">
        <f>AF$9</f>
        <v>1990-
1999</v>
      </c>
      <c r="AG72" s="1868"/>
      <c r="AH72" s="1903" t="str">
        <f>AH$9</f>
        <v>2000-
present</v>
      </c>
      <c r="AI72" s="831"/>
      <c r="AJ72" s="1828"/>
      <c r="AK72" s="724"/>
      <c r="AL72" s="1806"/>
      <c r="AM72" s="832"/>
      <c r="AN72" s="724"/>
      <c r="AO72" s="832"/>
      <c r="AP72" s="1223"/>
      <c r="AQ72" s="832"/>
      <c r="AS72" s="832"/>
      <c r="AT72" s="832"/>
      <c r="AU72" s="759"/>
      <c r="AV72" s="759"/>
      <c r="AW72" s="759"/>
      <c r="AX72" s="759"/>
      <c r="AY72" s="759"/>
      <c r="AZ72" s="759"/>
      <c r="BA72" s="759"/>
      <c r="BB72" s="759"/>
      <c r="BC72" s="759"/>
      <c r="BD72" s="759"/>
      <c r="BE72" s="759"/>
      <c r="BF72" s="759"/>
      <c r="BG72" s="760"/>
      <c r="BH72" s="1678"/>
      <c r="BI72" s="1678"/>
      <c r="BJ72" s="1678"/>
      <c r="BK72" s="1678"/>
      <c r="BL72" s="1678"/>
      <c r="BM72" s="1678"/>
      <c r="BN72" s="1678"/>
      <c r="BO72" s="1678"/>
      <c r="BP72" s="1678"/>
      <c r="BQ72" s="832"/>
    </row>
    <row r="73" spans="1:69" s="782" customFormat="1" x14ac:dyDescent="0.2">
      <c r="A73" s="852">
        <f>A58+1</f>
        <v>15</v>
      </c>
      <c r="B73" s="1790">
        <v>61</v>
      </c>
      <c r="C73" s="851" t="str">
        <f>Valid!$B$71</f>
        <v>At-Grade/Ballast (including expressway)</v>
      </c>
      <c r="D73" s="1841"/>
      <c r="E73" s="1245" t="str">
        <f>IF(AT73="N/A","",IF(AT73="N","No","Yes"))</f>
        <v/>
      </c>
      <c r="F73" s="764"/>
      <c r="G73" s="764"/>
      <c r="H73" s="1864"/>
      <c r="I73" s="1904" t="str">
        <f>IF(C69="","",IF(J73&lt;&gt;"","Linear Feet   ","Qty? Enter Zero if N/A  "))</f>
        <v/>
      </c>
      <c r="J73" s="1864"/>
      <c r="K73" s="1904" t="str">
        <f>IF(E73="yes","",IF(C69="","",IF(H73="","Qty? Enter Zero if N/A  ",IF(H73&lt;&gt;"","Track Feet      ",""))))</f>
        <v/>
      </c>
      <c r="L73" s="1864"/>
      <c r="M73" s="1620" t="str">
        <f>IF($H73=0,"",IF($L73="",TEXT(BN73,0)&amp;" Years?    ",""))</f>
        <v/>
      </c>
      <c r="N73" s="1905"/>
      <c r="O73" s="1620"/>
      <c r="P73" s="1864"/>
      <c r="Q73" s="1865" t="str">
        <f>IF(OR($N73="",$H73=0, P73&lt;&gt;""),"", IF($BK73&lt;&gt;0, "0 - ", "")&amp;IF($N73="%", TEXT($BK73, "0%"), IF($BK73&lt;1000, TEXT($BK73, "#,##0"), TEXT($BK73/1000, "#,##0")&amp;"k")&amp;" ft.")&amp;"?  ")</f>
        <v/>
      </c>
      <c r="R73" s="1864"/>
      <c r="S73" s="1865" t="str">
        <f>IF(OR($N73="",$H73=0, R73&lt;&gt;""),"", IF($BK73&lt;&gt;0, "0 - ", "")&amp;IF($N73="%", TEXT($BK73, "0%"), IF($BK73&lt;1000, TEXT($BK73, "#,##0"), TEXT($BK73/1000, "#,##0")&amp;"k")&amp;" ft.")&amp;"?  ")</f>
        <v/>
      </c>
      <c r="T73" s="1864"/>
      <c r="U73" s="1865" t="str">
        <f>IF(OR($N73="",$H73=0, T73&lt;&gt;""),"", IF($BK73&lt;&gt;0, "0 - ", "")&amp;IF($N73="%", TEXT($BK73, "0%"), IF($BK73&lt;1000, TEXT($BK73, "#,##0"), TEXT($BK73/1000, "#,##0")&amp;"k")&amp;" ft.")&amp;"?  ")</f>
        <v/>
      </c>
      <c r="V73" s="1864"/>
      <c r="W73" s="1865" t="str">
        <f>IF(OR($N73="",$H73=0, V73&lt;&gt;""),"", IF($BK73&lt;&gt;0, "0 - ", "")&amp;IF($N73="%", TEXT($BK73, "0%"), IF($BK73&lt;1000, TEXT($BK73, "#,##0"), TEXT($BK73/1000, "#,##0")&amp;"k")&amp;" ft.")&amp;"?  ")</f>
        <v/>
      </c>
      <c r="X73" s="1864"/>
      <c r="Y73" s="1865" t="str">
        <f>IF(OR($N73="",$H73=0, X73&lt;&gt;""),"", IF($BK73&lt;&gt;0, "0 - ", "")&amp;IF($N73="%", TEXT($BK73, "0%"), IF($BK73&lt;1000, TEXT($BK73, "#,##0"), TEXT($BK73/1000, "#,##0")&amp;"k")&amp;" ft.")&amp;"?  ")</f>
        <v/>
      </c>
      <c r="Z73" s="1864"/>
      <c r="AA73" s="1865" t="str">
        <f>IF(OR($N73="",$H73=0, Z73&lt;&gt;""),"", IF($BK73&lt;&gt;0, "0 - ", "")&amp;IF($N73="%", TEXT($BK73, "0%"), IF($BK73&lt;1000, TEXT($BK73, "#,##0"), TEXT($BK73/1000, "#,##0")&amp;"k")&amp;" ft.")&amp;"?  ")</f>
        <v/>
      </c>
      <c r="AB73" s="1864"/>
      <c r="AC73" s="1865" t="str">
        <f>IF(OR($N73="",$H73=0, AB73&lt;&gt;""),"", IF($BK73&lt;&gt;0, "0 - ", "")&amp;IF($N73="%", TEXT($BK73, "0%"), IF($BK73&lt;1000, TEXT($BK73, "#,##0"), TEXT($BK73/1000, "#,##0")&amp;"k")&amp;" ft.")&amp;"?  ")</f>
        <v/>
      </c>
      <c r="AD73" s="1864"/>
      <c r="AE73" s="1865" t="str">
        <f>IF(OR($N73="",$H73=0, AD73&lt;&gt;""),"", IF($BK73&lt;&gt;0, "0 - ", "")&amp;IF($N73="%", TEXT($BK73, "0%"), IF($BK73&lt;1000, TEXT($BK73, "#,##0"), TEXT($BK73/1000, "#,##0")&amp;"k")&amp;" ft.")&amp;"?  ")</f>
        <v/>
      </c>
      <c r="AF73" s="1864"/>
      <c r="AG73" s="1865" t="str">
        <f>IF(OR($N73="",$H73=0, AF73&lt;&gt;""),"", IF($BK73&lt;&gt;0, "0 - ", "")&amp;IF($N73="%", TEXT($BK73, "0%"), IF($BK73&lt;1000, TEXT($BK73, "#,##0"), TEXT($BK73/1000, "#,##0")&amp;"k")&amp;" ft.")&amp;"?  ")</f>
        <v/>
      </c>
      <c r="AH73" s="1864"/>
      <c r="AI73" s="1865" t="str">
        <f>IF(OR($N73="",$H73=0, AH73&lt;&gt;""),"", IF($BK73&lt;&gt;0, "0 - ", "")&amp;IF($N73="%", TEXT($BK73, "0%"), IF($BK73&lt;1000, TEXT($BK73, "#,##0"), TEXT($BK73/1000, "#,##0")&amp;"k")&amp;" ft.")&amp;"?  ")</f>
        <v/>
      </c>
      <c r="AJ73" s="1833">
        <f>IFERROR(IF(N73="%", SUM(P73,R73,T73,V73,X73,Z73,AB73,AD73,AF73,AH73)/100, SUM(P73,R73,T73,V73,X73,Z73,AB73,AD73,AF73,AH73)/IF(N73="LF", H73,J73)), 0)</f>
        <v>0</v>
      </c>
      <c r="AK73" s="1648"/>
      <c r="AL73" s="1675"/>
      <c r="AM73" s="839"/>
      <c r="AN73" s="1808"/>
      <c r="AO73" s="839"/>
      <c r="AP73" s="1653"/>
      <c r="AQ73" s="839"/>
      <c r="AS73" s="1399"/>
      <c r="AT73" s="1624" t="str">
        <f>IF(AND($C$69="", H73="", J73=""), "N/A", IF(OR(AND(ISNUMBER(H73), ISNUMBER(J73), H73=0, J73=0), AND(AJ73=1, H73&lt;&gt;"", J73&lt;&gt;"", L73&lt;&gt;"", N73&lt;&gt;"", P73&lt;&gt;"", R73&lt;&gt;"", T73&lt;&gt;"", V73&lt;&gt;"", X73&lt;&gt;"", Z73&lt;&gt;"", AB73&lt;&gt;"", AD73&lt;&gt;"", AF73&lt;&gt;"", AH73&lt;&gt;"",AL73&lt;&gt;"", IF(AND(AL73&lt;1, AN73=""), FALSE, TRUE))), "Yes", "No"))</f>
        <v>N/A</v>
      </c>
      <c r="AU73" s="759" t="b">
        <f>IF(AND(H73="",OR(L73&lt;&gt;"",P73&lt;&gt;"",R73&lt;&gt;"",T73&lt;&gt;"",V73&lt;&gt;"",X73&lt;&gt;"",AL73&lt;&gt;"",Z73&lt;&gt;"",AB73&lt;&gt;"",AD73&lt;&gt;"",AF73&lt;&gt;"",AH73&lt;&gt;"")),TRUE,FALSE)</f>
        <v>0</v>
      </c>
      <c r="AV73" s="759" t="b">
        <f>IF(OR(H73="",H73=0),FALSE,IF(H73&gt;BM73,TRUE,FALSE))</f>
        <v>0</v>
      </c>
      <c r="AW73" s="759" t="b">
        <f>IF(AND($C$69&lt;&gt;"",$H73=""),TRUE,FALSE)</f>
        <v>0</v>
      </c>
      <c r="AX73" s="759" t="b">
        <f>IF(E73="yes",FALSE,IF(H73="0",FALSE,IF(AND($C$69&lt;&gt;"",J73=""),TRUE,FALSE)))</f>
        <v>0</v>
      </c>
      <c r="AY73" s="759" t="b">
        <f>IF($L73="",FALSE,IF($L73&lt;$BO73,TRUE,FALSE))</f>
        <v>0</v>
      </c>
      <c r="AZ73" s="759" t="b">
        <f>IF($L73="",FALSE,IF($L73&gt;$BP73,TRUE,FALSE))</f>
        <v>0</v>
      </c>
      <c r="BA73" s="759" t="b">
        <f>IF(H73=0,FALSE,IF(AND(E73&lt;&gt;"",$L73=""),TRUE,FALSE))</f>
        <v>0</v>
      </c>
      <c r="BB73" s="759" t="b">
        <f>IF(AND($AJ73&lt;&gt;0,$H73&lt;&gt;$BJ73,$N73="LF"),TRUE,IF(AND($AJ73&lt;&gt;0,$J73&lt;&gt;$AJ73,$N73="TF"),TRUE,IF(AND($AJ73&lt;&gt;0,$AJ73&lt;&gt;1,$N73="%"),TRUE,FALSE)))</f>
        <v>0</v>
      </c>
      <c r="BC73" s="759" t="b">
        <f>IF(AT73="No", IF(OR(P73="", R73="", T73="", V73="", X73="", Z73="", AB73="", AD73="", AF73="", AH73=""), TRUE, FALSE), FALSE)</f>
        <v>0</v>
      </c>
      <c r="BD73" s="759" t="b">
        <f>IF($BE73=TRUE,FALSE,IF(OR($AL73&lt;0,$AL73&gt;1),TRUE,FALSE))</f>
        <v>0</v>
      </c>
      <c r="BE73" s="759" t="b">
        <f>IF(AND($H73&lt;&gt;0,$AL73=""),TRUE,FALSE)</f>
        <v>0</v>
      </c>
      <c r="BF73" s="759" t="b">
        <f>IF(N73="%",TRUE,FALSE)</f>
        <v>0</v>
      </c>
      <c r="BG73" s="760"/>
      <c r="BH73" s="1678">
        <f>IF($C73="","",VLOOKUP($C73,val_fg_assets,9,FALSE))</f>
        <v>1</v>
      </c>
      <c r="BI73" s="1678" t="str">
        <f>IF(N73="", "", IF(N73="LF", H73, IF(N73="TF", J73, IF(N73="%", 1, ""))))</f>
        <v/>
      </c>
      <c r="BJ73" s="1679">
        <f>P73+R73+T73+V73+X73+Z73+AB73+AD73+AF73+AH73</f>
        <v>0</v>
      </c>
      <c r="BK73" s="1679" t="str">
        <f>IF(BI73="", "", BI73-BJ73)</f>
        <v/>
      </c>
      <c r="BL73" s="1679">
        <f>IF($C73="","",VLOOKUP($C73,val_fg_assets,3,FALSE))</f>
        <v>0</v>
      </c>
      <c r="BM73" s="1679">
        <f>IF($C73="","",VLOOKUP($C73,val_fg_assets,4,FALSE))</f>
        <v>1320000</v>
      </c>
      <c r="BN73" s="1678">
        <f>IF($C73="","",VLOOKUP($C73,val_fg_assets,5,FALSE))</f>
        <v>80</v>
      </c>
      <c r="BO73" s="1678">
        <f>IF($C73="","",VLOOKUP($C73,val_fg_assets,6,FALSE))</f>
        <v>60</v>
      </c>
      <c r="BP73" s="1678">
        <f>IF($C73="","",VLOOKUP($C73,val_fg_assets,7,FALSE))</f>
        <v>100</v>
      </c>
      <c r="BQ73" s="1399"/>
    </row>
    <row r="74" spans="1:69" s="782" customFormat="1" ht="3.95" customHeight="1" x14ac:dyDescent="0.2">
      <c r="A74" s="1672"/>
      <c r="B74" s="1791">
        <v>62</v>
      </c>
      <c r="C74" s="1673"/>
      <c r="D74" s="1841"/>
      <c r="E74" s="1057"/>
      <c r="F74" s="764"/>
      <c r="G74" s="764"/>
      <c r="H74" s="1906"/>
      <c r="I74" s="1907"/>
      <c r="J74" s="1908"/>
      <c r="K74" s="1907"/>
      <c r="L74" s="1909"/>
      <c r="M74" s="1910"/>
      <c r="N74" s="1911"/>
      <c r="O74" s="1910"/>
      <c r="P74" s="1866"/>
      <c r="Q74" s="1867"/>
      <c r="R74" s="1866"/>
      <c r="S74" s="1867"/>
      <c r="T74" s="1866"/>
      <c r="U74" s="1867"/>
      <c r="V74" s="1866"/>
      <c r="W74" s="1867"/>
      <c r="X74" s="1866"/>
      <c r="Y74" s="1867"/>
      <c r="Z74" s="1867"/>
      <c r="AA74" s="1867"/>
      <c r="AB74" s="1867"/>
      <c r="AC74" s="1867"/>
      <c r="AD74" s="1867"/>
      <c r="AE74" s="1867"/>
      <c r="AF74" s="1867"/>
      <c r="AG74" s="1867"/>
      <c r="AH74" s="1867"/>
      <c r="AI74" s="837"/>
      <c r="AJ74" s="1806"/>
      <c r="AK74" s="841"/>
      <c r="AL74" s="1806"/>
      <c r="AM74" s="1399"/>
      <c r="AN74" s="838"/>
      <c r="AO74" s="1399"/>
      <c r="AP74" s="1223"/>
      <c r="AQ74" s="1399"/>
      <c r="AS74" s="1399"/>
      <c r="AT74" s="1399"/>
      <c r="AU74" s="759"/>
      <c r="AV74" s="759"/>
      <c r="AW74" s="759"/>
      <c r="AX74" s="759"/>
      <c r="AY74" s="759"/>
      <c r="AZ74" s="759"/>
      <c r="BA74" s="759"/>
      <c r="BB74" s="759"/>
      <c r="BC74" s="759"/>
      <c r="BD74" s="759"/>
      <c r="BE74" s="759"/>
      <c r="BF74" s="759"/>
      <c r="BG74" s="760"/>
      <c r="BH74" s="1678"/>
      <c r="BI74" s="1678"/>
      <c r="BJ74" s="1678"/>
      <c r="BK74" s="1678"/>
      <c r="BL74" s="1679"/>
      <c r="BM74" s="1679"/>
      <c r="BN74" s="1678"/>
      <c r="BO74" s="1678"/>
      <c r="BP74" s="1678"/>
      <c r="BQ74" s="1399"/>
    </row>
    <row r="75" spans="1:69" s="782" customFormat="1" ht="3.95" customHeight="1" thickBot="1" x14ac:dyDescent="0.25">
      <c r="A75" s="852"/>
      <c r="B75" s="1791">
        <v>63</v>
      </c>
      <c r="C75" s="851"/>
      <c r="D75" s="1841"/>
      <c r="E75" s="1058"/>
      <c r="F75" s="686"/>
      <c r="G75" s="686"/>
      <c r="H75" s="1909"/>
      <c r="I75" s="1908"/>
      <c r="J75" s="1908"/>
      <c r="K75" s="1908"/>
      <c r="L75" s="1909"/>
      <c r="M75" s="722"/>
      <c r="N75" s="1912"/>
      <c r="O75" s="722"/>
      <c r="P75" s="1868"/>
      <c r="Q75" s="1869"/>
      <c r="R75" s="1868"/>
      <c r="S75" s="1869"/>
      <c r="T75" s="1868"/>
      <c r="U75" s="1869"/>
      <c r="V75" s="1868"/>
      <c r="W75" s="1869"/>
      <c r="X75" s="1868"/>
      <c r="Y75" s="1869"/>
      <c r="Z75" s="1869"/>
      <c r="AA75" s="1869"/>
      <c r="AB75" s="1869"/>
      <c r="AC75" s="1869"/>
      <c r="AD75" s="1869"/>
      <c r="AE75" s="1869"/>
      <c r="AF75" s="1869"/>
      <c r="AG75" s="1869"/>
      <c r="AH75" s="1869"/>
      <c r="AI75" s="1670"/>
      <c r="AJ75" s="1828"/>
      <c r="AK75" s="724"/>
      <c r="AL75" s="1806"/>
      <c r="AM75" s="1399"/>
      <c r="AN75" s="1258"/>
      <c r="AO75" s="1399"/>
      <c r="AP75" s="1399"/>
      <c r="AQ75" s="1399"/>
      <c r="AS75" s="1399"/>
      <c r="AT75" s="1399"/>
      <c r="AU75" s="759"/>
      <c r="AV75" s="759"/>
      <c r="AW75" s="759"/>
      <c r="AX75" s="759"/>
      <c r="AY75" s="759"/>
      <c r="AZ75" s="759"/>
      <c r="BA75" s="759"/>
      <c r="BB75" s="759"/>
      <c r="BC75" s="759"/>
      <c r="BD75" s="759"/>
      <c r="BE75" s="759"/>
      <c r="BF75" s="759"/>
      <c r="BG75" s="760"/>
      <c r="BH75" s="1678"/>
      <c r="BI75" s="1678"/>
      <c r="BJ75" s="1678"/>
      <c r="BK75" s="1678"/>
      <c r="BL75" s="1679"/>
      <c r="BM75" s="1679"/>
      <c r="BN75" s="1678"/>
      <c r="BO75" s="1678"/>
      <c r="BP75" s="1678"/>
      <c r="BQ75" s="1399"/>
    </row>
    <row r="76" spans="1:69" s="782" customFormat="1" x14ac:dyDescent="0.2">
      <c r="A76" s="852">
        <f>A73+1</f>
        <v>16</v>
      </c>
      <c r="B76" s="1791">
        <v>64</v>
      </c>
      <c r="C76" s="851" t="str">
        <f>Valid!$B$72</f>
        <v>At-Grade/In-Street/Embedded</v>
      </c>
      <c r="D76" s="1841"/>
      <c r="E76" s="1245" t="str">
        <f>IF(AT76="N/A","",IF(AT76="N","No","Yes"))</f>
        <v/>
      </c>
      <c r="F76" s="764"/>
      <c r="G76" s="764"/>
      <c r="H76" s="1864"/>
      <c r="I76" s="1904" t="str">
        <f>IF(C69="","",IF(J76&lt;&gt;"","Linear Feet   ","Qty? Enter Zero if N/A  "))</f>
        <v/>
      </c>
      <c r="J76" s="1864"/>
      <c r="K76" s="1904" t="str">
        <f>IF(E76="yes","",IF(C69="","",IF(H76="","Qty? Enter Zero if N/A  ",IF(H76&lt;&gt;"","Track Feet      ",""))))</f>
        <v/>
      </c>
      <c r="L76" s="1864"/>
      <c r="M76" s="1620" t="str">
        <f>IF($H76=0,"",IF($L76="",TEXT(BN76,0)&amp;" Years?    ",""))</f>
        <v/>
      </c>
      <c r="N76" s="1905"/>
      <c r="O76" s="1620"/>
      <c r="P76" s="1864"/>
      <c r="Q76" s="1865" t="str">
        <f>IF($N76="","",IF(AND($N76="",OR($H76="",$H76=0)),"",IF(AND($N76="LF",$AJ76&lt;$H76),"0 - "&amp;TEXT(($H76-$AJ76)/1000,"0")&amp;"k lin. ft.?    ",IF(AND($N76="TF",$AJ76&lt;$J76),"0 - "&amp;TEXT(($J76-$AJ76)/1000,"0")&amp;"k track ft.?    ",IF(AND($N76="%",$AJ76&lt;1),REPLACE(IF(AND($P76&gt;0,$V76&gt;0,$T76&gt;0,$X76&gt;0,$R76&gt;0,$Z76&gt;0,$AB76&gt;0,$AD76&gt;0,$AF76&gt;0,$AH76&gt;0),"","0-"),99,0,REPLACE(TEXT(100-$AJ76,0),99,0,"%?    ")),"")))))</f>
        <v/>
      </c>
      <c r="R76" s="1864"/>
      <c r="S76" s="1865" t="str">
        <f>IF($N76="","",IF(AND($N76="",OR($H76="",$H76=0)),"",IF(AND($N76="LF",$AJ76&lt;$H76),"0 - "&amp;TEXT(($H76-$AJ76)/1000,"0")&amp;"k lin. ft.?    ",IF(AND($N76="TF",$AJ76&lt;$J76),"0 - "&amp;TEXT(($J76-$AJ76)/1000,"0")&amp;"k track ft.?    ",IF(AND($N76="%",$AJ76&lt;1),REPLACE(IF(AND($P76&gt;0,$V76&gt;0,$T76&gt;0,$X76&gt;0,$R76&gt;0,$Z76&gt;0,$AB76&gt;0,$AD76&gt;0,$AF76&gt;0,$AH76&gt;0),"","0-"),99,0,REPLACE(TEXT(100-$AJ76,0),99,0,"%?    ")),"")))))</f>
        <v/>
      </c>
      <c r="T76" s="1864"/>
      <c r="U76" s="1865" t="str">
        <f>IF($N76="","",IF(AND($N76="",OR($H76="",$H76=0)),"",IF(AND($N76="LF",$AJ76&lt;$H76),"0 - "&amp;TEXT(($H76-$AJ76)/1000,"0")&amp;"k lin. ft.?    ",IF(AND($N76="TF",$AJ76&lt;$J76),"0 - "&amp;TEXT(($J76-$AJ76)/1000,"0")&amp;"k track ft.?    ",IF(AND($N76="%",$AJ76&lt;1),REPLACE(IF(AND($P76&gt;0,$V76&gt;0,$T76&gt;0,$X76&gt;0,$R76&gt;0,$Z76&gt;0,$AB76&gt;0,$AD76&gt;0,$AF76&gt;0,$AH76&gt;0),"","0-"),99,0,REPLACE(TEXT(100-$AJ76,0),99,0,"%?    ")),"")))))</f>
        <v/>
      </c>
      <c r="V76" s="1864"/>
      <c r="W76" s="1865" t="str">
        <f>IF($N76="","",IF(AND($N76="",OR($H76="",$H76=0)),"",IF(AND($N76="LF",$AJ76&lt;$H76),"0 - "&amp;TEXT(($H76-$AJ76)/1000,"0")&amp;"k lin. ft.?    ",IF(AND($N76="TF",$AJ76&lt;$J76),"0 - "&amp;TEXT(($J76-$AJ76)/1000,"0")&amp;"k track ft.?    ",IF(AND($N76="%",$AJ76&lt;1),REPLACE(IF(AND($P76&gt;0,$V76&gt;0,$T76&gt;0,$X76&gt;0,$R76&gt;0,$Z76&gt;0,$AB76&gt;0,$AD76&gt;0,$AF76&gt;0,$AH76&gt;0),"","0-"),99,0,REPLACE(TEXT(100-$AJ76,0),99,0,"%?    ")),"")))))</f>
        <v/>
      </c>
      <c r="X76" s="1864"/>
      <c r="Y76" s="1865" t="str">
        <f>IF($N76="","",IF(AND($N76="",OR($H76="",$H76=0)),"",IF(AND($N76="LF",$AJ76&lt;$H76),"0 - "&amp;TEXT(($H76-$AJ76)/1000,"0")&amp;"k lin. ft.?    ",IF(AND($N76="TF",$AJ76&lt;$J76),"0 - "&amp;TEXT(($J76-$AJ76)/1000,"0")&amp;"k track ft.?    ",IF(AND($N76="%",$AJ76&lt;1),REPLACE(IF(AND($P76&gt;0,$V76&gt;0,$T76&gt;0,$X76&gt;0,$R76&gt;0,$Z76&gt;0,$AB76&gt;0,$AD76&gt;0,$AF76&gt;0,$AH76&gt;0),"","0-"),99,0,REPLACE(TEXT(100-$AJ76,0),99,0,"%?    ")),"")))))</f>
        <v/>
      </c>
      <c r="Z76" s="1864"/>
      <c r="AA76" s="1865" t="str">
        <f>IF($N76="","",IF(AND($N76="",OR($H76="",$H76=0)),"",IF(AND($N76="LF",$AJ76&lt;$H76),"0 - "&amp;TEXT(($H76-$AJ76)/1000,"0")&amp;"k lin. ft.?    ",IF(AND($N76="TF",$AJ76&lt;$J76),"0 - "&amp;TEXT(($J76-$AJ76)/1000,"0")&amp;"k track ft.?    ",IF(AND($N76="%",$AJ76&lt;1),REPLACE(IF(AND($P76&gt;0,$V76&gt;0,$T76&gt;0,$X76&gt;0,$R76&gt;0,$Z76&gt;0,$AB76&gt;0,$AD76&gt;0,$AF76&gt;0,$AH76&gt;0),"","0-"),99,0,REPLACE(TEXT(100-$AJ76,0),99,0,"%?    ")),"")))))</f>
        <v/>
      </c>
      <c r="AB76" s="1864"/>
      <c r="AC76" s="1865" t="str">
        <f>IF($N76="","",IF(AND($N76="",OR($H76="",$H76=0)),"",IF(AND($N76="LF",$AJ76&lt;$H76),"0 - "&amp;TEXT(($H76-$AJ76)/1000,"0")&amp;"k lin. ft.?    ",IF(AND($N76="TF",$AJ76&lt;$J76),"0 - "&amp;TEXT(($J76-$AJ76)/1000,"0")&amp;"k track ft.?    ",IF(AND($N76="%",$AJ76&lt;1),REPLACE(IF(AND($P76&gt;0,$V76&gt;0,$T76&gt;0,$X76&gt;0,$R76&gt;0,$Z76&gt;0,$AB76&gt;0,$AD76&gt;0,$AF76&gt;0,$AH76&gt;0),"","0-"),99,0,REPLACE(TEXT(100-$AJ76,0),99,0,"%?    ")),"")))))</f>
        <v/>
      </c>
      <c r="AD76" s="1864"/>
      <c r="AE76" s="1865" t="str">
        <f>IF($N76="","",IF(AND($N76="",OR($H76="",$H76=0)),"",IF(AND($N76="LF",$AJ76&lt;$H76),"0 - "&amp;TEXT(($H76-$AJ76)/1000,"0")&amp;"k lin. ft.?    ",IF(AND($N76="TF",$AJ76&lt;$J76),"0 - "&amp;TEXT(($J76-$AJ76)/1000,"0")&amp;"k track ft.?    ",IF(AND($N76="%",$AJ76&lt;1),REPLACE(IF(AND($P76&gt;0,$V76&gt;0,$T76&gt;0,$X76&gt;0,$R76&gt;0,$Z76&gt;0,$AB76&gt;0,$AD76&gt;0,$AF76&gt;0,$AH76&gt;0),"","0-"),99,0,REPLACE(TEXT(100-$AJ76,0),99,0,"%?    ")),"")))))</f>
        <v/>
      </c>
      <c r="AF76" s="1864"/>
      <c r="AG76" s="1865" t="str">
        <f>IF($N76="","",IF(AND($N76="",OR($H76="",$H76=0)),"",IF(AND($N76="LF",$AJ76&lt;$H76),"0 - "&amp;TEXT(($H76-$AJ76)/1000,"0")&amp;"k lin. ft.?    ",IF(AND($N76="TF",$AJ76&lt;$J76),"0 - "&amp;TEXT(($J76-$AJ76)/1000,"0")&amp;"k track ft.?    ",IF(AND($N76="%",$AJ76&lt;1),REPLACE(IF(AND($P76&gt;0,$V76&gt;0,$T76&gt;0,$X76&gt;0,$R76&gt;0,$Z76&gt;0,$AB76&gt;0,$AD76&gt;0,$AF76&gt;0,$AH76&gt;0),"","0-"),99,0,REPLACE(TEXT(100-$AJ76,0),99,0,"%?    ")),"")))))</f>
        <v/>
      </c>
      <c r="AH76" s="1864"/>
      <c r="AI76" s="904" t="str">
        <f>IF($N76="","",IF(AND($N76="",OR($H76="",$H76=0)),"",IF(AND($N76="LF",$AJ76&lt;$H76),"0 - "&amp;TEXT(($H76-$AJ76)/1000,"0")&amp;"k lin. ft.?    ",IF(AND($N76="TF",$AJ76&lt;$J76),"0 - "&amp;TEXT(($J76-$AJ76)/1000,"0")&amp;"k track ft.?    ",IF(AND($N76="%",$AJ76&lt;1),REPLACE(IF(AND($P76&gt;0,$V76&gt;0,$T76&gt;0,$X76&gt;0,$R76&gt;0,$Z76&gt;0,$AB76&gt;0,$AD76&gt;0,$AF76&gt;0,$AH76&gt;0),"","0-"),99,0,REPLACE(TEXT(100-$AJ76,0),99,0,"%?    ")),"")))))</f>
        <v/>
      </c>
      <c r="AJ76" s="1833">
        <f>IFERROR(IF(N76="%", SUM(P76,R76,T76,V76,X76,Z76,AB76,AD76,AF76,AH76)/100, SUM(P76,R76,T76,V76,X76,Z76,AB76,AD76,AF76,AH76)/IF(N76="LF", H76,J76)), 0)</f>
        <v>0</v>
      </c>
      <c r="AK76" s="1648"/>
      <c r="AL76" s="1675"/>
      <c r="AM76" s="1399"/>
      <c r="AN76" s="1808"/>
      <c r="AO76" s="1399"/>
      <c r="AP76" s="1653"/>
      <c r="AQ76" s="1399"/>
      <c r="AS76" s="1399"/>
      <c r="AT76" s="1624" t="str">
        <f>IF(AND($C$69="", H76="", J76=""), "N/A", IF(OR(AND(ISNUMBER(H76), ISNUMBER(J76), H76=0, J76=0), AND(AJ76=1, H76&lt;&gt;"", J76&lt;&gt;"", L76&lt;&gt;"", N76&lt;&gt;"", P76&lt;&gt;"", R76&lt;&gt;"", T76&lt;&gt;"", V76&lt;&gt;"", X76&lt;&gt;"", Z76&lt;&gt;"", AB76&lt;&gt;"", AD76&lt;&gt;"", AF76&lt;&gt;"", AH76&lt;&gt;"",AL76&lt;&gt;"", IF(AND(AL76&lt;1, AN76=""), FALSE, TRUE))), "Yes", "No"))</f>
        <v>N/A</v>
      </c>
      <c r="AU76" s="759" t="b">
        <f>IF(AND(H76="",OR(L76&lt;&gt;"",P76&lt;&gt;"",R76&lt;&gt;"",T76&lt;&gt;"",V76&lt;&gt;"",X76&lt;&gt;"",AL76&lt;&gt;"",Z76&lt;&gt;"",AB76&lt;&gt;"",AD76&lt;&gt;"",AF76&lt;&gt;"",AH76&lt;&gt;"")),TRUE,FALSE)</f>
        <v>0</v>
      </c>
      <c r="AV76" s="759" t="b">
        <f>IF(OR(H76="",H76=0),FALSE,IF(H76&gt;BM76,TRUE,FALSE))</f>
        <v>0</v>
      </c>
      <c r="AW76" s="759" t="b">
        <f>IF(AND($C$69&lt;&gt;"",$H76=""),TRUE,FALSE)</f>
        <v>0</v>
      </c>
      <c r="AX76" s="759" t="b">
        <f>IF(E76="yes",FALSE,IF(H76="0",FALSE,IF(AND($C$69&lt;&gt;"",J76=""),TRUE,FALSE)))</f>
        <v>0</v>
      </c>
      <c r="AY76" s="759" t="b">
        <f>IF($L76="",FALSE,IF($L76&lt;$BO76,TRUE,FALSE))</f>
        <v>0</v>
      </c>
      <c r="AZ76" s="759" t="b">
        <f>IF($L76="",FALSE,IF($L76&gt;$BP76,TRUE,FALSE))</f>
        <v>0</v>
      </c>
      <c r="BA76" s="759" t="b">
        <f>IF(H76=0,FALSE,IF(AND(E76&lt;&gt;"",$L76=""),TRUE,FALSE))</f>
        <v>0</v>
      </c>
      <c r="BB76" s="759" t="b">
        <f>IF(AND($AJ76&lt;&gt;0,$H76&lt;&gt;$BJ76,$N76="LF"),TRUE,IF(AND($AJ76&lt;&gt;0,$J76&lt;&gt;$AJ76,$N76="TF"),TRUE,IF(AND($AJ76&lt;&gt;0,$AJ76&lt;&gt;1,$N76="%"),TRUE,FALSE)))</f>
        <v>0</v>
      </c>
      <c r="BC76" s="759" t="b">
        <f>IF(AT76="No", IF(OR(P76="", R76="", T76="", V76="", X76="", Z76="", AB76="", AD76="", AF76="", AH76=""), TRUE, FALSE), FALSE)</f>
        <v>0</v>
      </c>
      <c r="BD76" s="759" t="b">
        <f>IF($BE76=TRUE,FALSE,IF(OR($AL76&lt;0,$AL76&gt;1),TRUE,FALSE))</f>
        <v>0</v>
      </c>
      <c r="BE76" s="759" t="b">
        <f>IF(AND($H76&lt;&gt;0,$AL76=""),TRUE,FALSE)</f>
        <v>0</v>
      </c>
      <c r="BF76" s="759" t="b">
        <f>IF(N76="%",TRUE,FALSE)</f>
        <v>0</v>
      </c>
      <c r="BG76" s="760"/>
      <c r="BH76" s="1678">
        <f>IF($C76="","",VLOOKUP($C76,val_fg_assets,9,FALSE))</f>
        <v>1</v>
      </c>
      <c r="BI76" s="1678" t="str">
        <f>IF(N76="", "", IF(N76="LF", H76, IF(N76="TF", J76, IF(N76="%", 1, ""))))</f>
        <v/>
      </c>
      <c r="BJ76" s="1679">
        <f>P76+R76+T76+V76+X76+Z76+AB76+AD76+AF76+AH76</f>
        <v>0</v>
      </c>
      <c r="BK76" s="1679" t="str">
        <f>IF(BI76="", "", BI76-BJ76)</f>
        <v/>
      </c>
      <c r="BL76" s="1679">
        <f>IF($C76="","",VLOOKUP($C76,val_fg_assets,3,FALSE))</f>
        <v>0</v>
      </c>
      <c r="BM76" s="1679">
        <f>IF($C76="","",VLOOKUP($C76,val_fg_assets,4,FALSE))</f>
        <v>1320000</v>
      </c>
      <c r="BN76" s="1678">
        <f>IF($C76="","",VLOOKUP($C76,val_fg_assets,5,FALSE))</f>
        <v>80</v>
      </c>
      <c r="BO76" s="1678">
        <f>IF($C76="","",VLOOKUP($C76,val_fg_assets,6,FALSE))</f>
        <v>60</v>
      </c>
      <c r="BP76" s="1678">
        <f>IF($C76="","",VLOOKUP($C76,val_fg_assets,7,FALSE))</f>
        <v>100</v>
      </c>
      <c r="BQ76" s="1399"/>
    </row>
    <row r="77" spans="1:69" s="782" customFormat="1" ht="3.95" customHeight="1" x14ac:dyDescent="0.2">
      <c r="A77" s="852"/>
      <c r="B77" s="1790">
        <v>65</v>
      </c>
      <c r="C77" s="851"/>
      <c r="D77" s="1841"/>
      <c r="E77" s="1058"/>
      <c r="F77" s="686"/>
      <c r="G77" s="686"/>
      <c r="H77" s="1906"/>
      <c r="I77" s="1907"/>
      <c r="J77" s="1908"/>
      <c r="K77" s="1907"/>
      <c r="L77" s="1909"/>
      <c r="M77" s="1910"/>
      <c r="N77" s="1911"/>
      <c r="O77" s="1910"/>
      <c r="P77" s="1866"/>
      <c r="Q77" s="1867"/>
      <c r="R77" s="1866"/>
      <c r="S77" s="1867"/>
      <c r="T77" s="1866"/>
      <c r="U77" s="1867"/>
      <c r="V77" s="1866"/>
      <c r="W77" s="1867"/>
      <c r="X77" s="1866"/>
      <c r="Y77" s="1867"/>
      <c r="Z77" s="1867"/>
      <c r="AA77" s="1867"/>
      <c r="AB77" s="1867"/>
      <c r="AC77" s="1867"/>
      <c r="AD77" s="1867"/>
      <c r="AE77" s="1867"/>
      <c r="AF77" s="1867"/>
      <c r="AG77" s="1867"/>
      <c r="AH77" s="1867"/>
      <c r="AI77" s="837"/>
      <c r="AJ77" s="1806"/>
      <c r="AK77" s="841"/>
      <c r="AL77" s="1806"/>
      <c r="AM77" s="1399"/>
      <c r="AN77" s="838"/>
      <c r="AO77" s="1399"/>
      <c r="AP77" s="1399"/>
      <c r="AQ77" s="1399"/>
      <c r="AS77" s="1399"/>
      <c r="AT77" s="1399"/>
      <c r="AU77" s="759"/>
      <c r="AV77" s="759"/>
      <c r="AW77" s="759"/>
      <c r="AX77" s="759"/>
      <c r="AY77" s="759"/>
      <c r="AZ77" s="759"/>
      <c r="BA77" s="759"/>
      <c r="BB77" s="759"/>
      <c r="BC77" s="759"/>
      <c r="BD77" s="759"/>
      <c r="BE77" s="759"/>
      <c r="BF77" s="759"/>
      <c r="BG77" s="760"/>
      <c r="BH77" s="1678"/>
      <c r="BI77" s="1678"/>
      <c r="BJ77" s="1678"/>
      <c r="BK77" s="1678"/>
      <c r="BL77" s="1679"/>
      <c r="BM77" s="1679"/>
      <c r="BN77" s="1678"/>
      <c r="BO77" s="1678"/>
      <c r="BP77" s="1678"/>
      <c r="BQ77" s="1399"/>
    </row>
    <row r="78" spans="1:69" s="782" customFormat="1" ht="3.95" customHeight="1" thickBot="1" x14ac:dyDescent="0.25">
      <c r="A78" s="852"/>
      <c r="B78" s="1790">
        <v>66</v>
      </c>
      <c r="C78" s="1673"/>
      <c r="D78" s="1841"/>
      <c r="E78" s="1057"/>
      <c r="F78" s="764"/>
      <c r="G78" s="764"/>
      <c r="H78" s="1913"/>
      <c r="I78" s="1908"/>
      <c r="J78" s="1908"/>
      <c r="K78" s="1908"/>
      <c r="L78" s="1909"/>
      <c r="M78" s="722"/>
      <c r="N78" s="1912"/>
      <c r="O78" s="722"/>
      <c r="P78" s="1868"/>
      <c r="Q78" s="1869"/>
      <c r="R78" s="1868"/>
      <c r="S78" s="1869"/>
      <c r="T78" s="1868"/>
      <c r="U78" s="1869"/>
      <c r="V78" s="1868"/>
      <c r="W78" s="1869"/>
      <c r="X78" s="1868"/>
      <c r="Y78" s="1869"/>
      <c r="Z78" s="1869"/>
      <c r="AA78" s="1869"/>
      <c r="AB78" s="1869"/>
      <c r="AC78" s="1869"/>
      <c r="AD78" s="1869"/>
      <c r="AE78" s="1869"/>
      <c r="AF78" s="1869"/>
      <c r="AG78" s="1869"/>
      <c r="AH78" s="1869"/>
      <c r="AI78" s="1670"/>
      <c r="AJ78" s="1828"/>
      <c r="AK78" s="724"/>
      <c r="AL78" s="1806"/>
      <c r="AM78" s="1399"/>
      <c r="AN78" s="1258"/>
      <c r="AO78" s="1399"/>
      <c r="AP78" s="1223"/>
      <c r="AQ78" s="1399"/>
      <c r="AS78" s="1399"/>
      <c r="AT78" s="1399"/>
      <c r="AU78" s="759"/>
      <c r="AV78" s="759"/>
      <c r="AW78" s="759"/>
      <c r="AX78" s="759"/>
      <c r="AY78" s="759"/>
      <c r="AZ78" s="759"/>
      <c r="BA78" s="759"/>
      <c r="BB78" s="759"/>
      <c r="BC78" s="759"/>
      <c r="BD78" s="759"/>
      <c r="BE78" s="759"/>
      <c r="BF78" s="759"/>
      <c r="BG78" s="760"/>
      <c r="BH78" s="1678"/>
      <c r="BI78" s="1678"/>
      <c r="BJ78" s="1678"/>
      <c r="BK78" s="1678"/>
      <c r="BL78" s="1679"/>
      <c r="BM78" s="1679"/>
      <c r="BN78" s="1678"/>
      <c r="BO78" s="1678"/>
      <c r="BP78" s="1678"/>
      <c r="BQ78" s="1399"/>
    </row>
    <row r="79" spans="1:69" s="782" customFormat="1" x14ac:dyDescent="0.2">
      <c r="A79" s="852">
        <f>A76+1</f>
        <v>17</v>
      </c>
      <c r="B79" s="1791">
        <v>67</v>
      </c>
      <c r="C79" s="851" t="str">
        <f>Valid!$B$73</f>
        <v>Elevated/Retained Fill</v>
      </c>
      <c r="D79" s="1841"/>
      <c r="E79" s="1245" t="str">
        <f>IF(AT79="N/A","",IF(AT79="N","No","Yes"))</f>
        <v/>
      </c>
      <c r="F79" s="686"/>
      <c r="G79" s="686"/>
      <c r="H79" s="1864"/>
      <c r="I79" s="1904" t="str">
        <f>IF(C69="","",IF(J79&lt;&gt;"","Linear Feet   ","Qty? Enter Zero if N/A  "))</f>
        <v/>
      </c>
      <c r="J79" s="1864"/>
      <c r="K79" s="1904" t="str">
        <f>IF(E79="yes","",IF(C69="","",IF(H79="","Qty? Enter Zero if N/A  ",IF(H79&lt;&gt;"","Track Feet      ",""))))</f>
        <v/>
      </c>
      <c r="L79" s="1864"/>
      <c r="M79" s="1620" t="str">
        <f>IF($H79=0,"",IF($L79="",TEXT(BN79,0)&amp;" Years?    ",""))</f>
        <v/>
      </c>
      <c r="N79" s="1905"/>
      <c r="O79" s="1620"/>
      <c r="P79" s="1864"/>
      <c r="Q79" s="1865" t="str">
        <f>IF($N79="","",IF(AND($N79="",OR($H79="",$H79=0)),"",IF(AND($N79="LF",$AJ79&lt;$H79),"0 - "&amp;TEXT(($H79-$AJ79)/1000,"0")&amp;"k lin. ft.?    ",IF(AND($N79="TF",$AJ79&lt;$J79),"0 - "&amp;TEXT(($J79-$AJ79)/1000,"0")&amp;"k track ft.?    ",IF(AND($N79="%",$AJ79&lt;1),REPLACE(IF(AND($P79&gt;0,$V79&gt;0,$T79&gt;0,$X79&gt;0,$R79&gt;0,$Z79&gt;0,$AB79&gt;0,$AD79&gt;0,$AF79&gt;0,$AH79&gt;0),"","0-"),99,0,REPLACE(TEXT(100-$AJ79,0),99,0,"%?    ")),"")))))</f>
        <v/>
      </c>
      <c r="R79" s="1864"/>
      <c r="S79" s="1865" t="str">
        <f>IF($N79="","",IF(AND($N79="",OR($H79="",$H79=0)),"",IF(AND($N79="LF",$AJ79&lt;$H79),"0 - "&amp;TEXT(($H79-$AJ79)/1000,"0")&amp;"k lin. ft.?    ",IF(AND($N79="TF",$AJ79&lt;$J79),"0 - "&amp;TEXT(($J79-$AJ79)/1000,"0")&amp;"k track ft.?    ",IF(AND($N79="%",$AJ79&lt;1),REPLACE(IF(AND($P79&gt;0,$V79&gt;0,$T79&gt;0,$X79&gt;0,$R79&gt;0,$Z79&gt;0,$AB79&gt;0,$AD79&gt;0,$AF79&gt;0,$AH79&gt;0),"","0-"),99,0,REPLACE(TEXT(100-$AJ79,0),99,0,"%?    ")),"")))))</f>
        <v/>
      </c>
      <c r="T79" s="1864"/>
      <c r="U79" s="1865" t="str">
        <f>IF($N79="","",IF(AND($N79="",OR($H79="",$H79=0)),"",IF(AND($N79="LF",$AJ79&lt;$H79),"0 - "&amp;TEXT(($H79-$AJ79)/1000,"0")&amp;"k lin. ft.?    ",IF(AND($N79="TF",$AJ79&lt;$J79),"0 - "&amp;TEXT(($J79-$AJ79)/1000,"0")&amp;"k track ft.?    ",IF(AND($N79="%",$AJ79&lt;1),REPLACE(IF(AND($P79&gt;0,$V79&gt;0,$T79&gt;0,$X79&gt;0,$R79&gt;0,$Z79&gt;0,$AB79&gt;0,$AD79&gt;0,$AF79&gt;0,$AH79&gt;0),"","0-"),99,0,REPLACE(TEXT(100-$AJ79,0),99,0,"%?    ")),"")))))</f>
        <v/>
      </c>
      <c r="V79" s="1864"/>
      <c r="W79" s="1865" t="str">
        <f>IF($N79="","",IF(AND($N79="",OR($H79="",$H79=0)),"",IF(AND($N79="LF",$AJ79&lt;$H79),"0 - "&amp;TEXT(($H79-$AJ79)/1000,"0")&amp;"k lin. ft.?    ",IF(AND($N79="TF",$AJ79&lt;$J79),"0 - "&amp;TEXT(($J79-$AJ79)/1000,"0")&amp;"k track ft.?    ",IF(AND($N79="%",$AJ79&lt;1),REPLACE(IF(AND($P79&gt;0,$V79&gt;0,$T79&gt;0,$X79&gt;0,$R79&gt;0,$Z79&gt;0,$AB79&gt;0,$AD79&gt;0,$AF79&gt;0,$AH79&gt;0),"","0-"),99,0,REPLACE(TEXT(100-$AJ79,0),99,0,"%?    ")),"")))))</f>
        <v/>
      </c>
      <c r="X79" s="1864"/>
      <c r="Y79" s="1865" t="str">
        <f>IF($N79="","",IF(AND($N79="",OR($H79="",$H79=0)),"",IF(AND($N79="LF",$AJ79&lt;$H79),"0 - "&amp;TEXT(($H79-$AJ79)/1000,"0")&amp;"k lin. ft.?    ",IF(AND($N79="TF",$AJ79&lt;$J79),"0 - "&amp;TEXT(($J79-$AJ79)/1000,"0")&amp;"k track ft.?    ",IF(AND($N79="%",$AJ79&lt;1),REPLACE(IF(AND($P79&gt;0,$V79&gt;0,$T79&gt;0,$X79&gt;0,$R79&gt;0,$Z79&gt;0,$AB79&gt;0,$AD79&gt;0,$AF79&gt;0,$AH79&gt;0),"","0-"),99,0,REPLACE(TEXT(100-$AJ79,0),99,0,"%?    ")),"")))))</f>
        <v/>
      </c>
      <c r="Z79" s="1864"/>
      <c r="AA79" s="1865" t="str">
        <f>IF($N79="","",IF(AND($N79="",OR($H79="",$H79=0)),"",IF(AND($N79="LF",$AJ79&lt;$H79),"0 - "&amp;TEXT(($H79-$AJ79)/1000,"0")&amp;"k lin. ft.?    ",IF(AND($N79="TF",$AJ79&lt;$J79),"0 - "&amp;TEXT(($J79-$AJ79)/1000,"0")&amp;"k track ft.?    ",IF(AND($N79="%",$AJ79&lt;1),REPLACE(IF(AND($P79&gt;0,$V79&gt;0,$T79&gt;0,$X79&gt;0,$R79&gt;0,$Z79&gt;0,$AB79&gt;0,$AD79&gt;0,$AF79&gt;0,$AH79&gt;0),"","0-"),99,0,REPLACE(TEXT(100-$AJ79,0),99,0,"%?    ")),"")))))</f>
        <v/>
      </c>
      <c r="AB79" s="1864"/>
      <c r="AC79" s="1865" t="str">
        <f>IF($N79="","",IF(AND($N79="",OR($H79="",$H79=0)),"",IF(AND($N79="LF",$AJ79&lt;$H79),"0 - "&amp;TEXT(($H79-$AJ79)/1000,"0")&amp;"k lin. ft.?    ",IF(AND($N79="TF",$AJ79&lt;$J79),"0 - "&amp;TEXT(($J79-$AJ79)/1000,"0")&amp;"k track ft.?    ",IF(AND($N79="%",$AJ79&lt;1),REPLACE(IF(AND($P79&gt;0,$V79&gt;0,$T79&gt;0,$X79&gt;0,$R79&gt;0,$Z79&gt;0,$AB79&gt;0,$AD79&gt;0,$AF79&gt;0,$AH79&gt;0),"","0-"),99,0,REPLACE(TEXT(100-$AJ79,0),99,0,"%?    ")),"")))))</f>
        <v/>
      </c>
      <c r="AD79" s="1864"/>
      <c r="AE79" s="1865" t="str">
        <f>IF($N79="","",IF(AND($N79="",OR($H79="",$H79=0)),"",IF(AND($N79="LF",$AJ79&lt;$H79),"0 - "&amp;TEXT(($H79-$AJ79)/1000,"0")&amp;"k lin. ft.?    ",IF(AND($N79="TF",$AJ79&lt;$J79),"0 - "&amp;TEXT(($J79-$AJ79)/1000,"0")&amp;"k track ft.?    ",IF(AND($N79="%",$AJ79&lt;1),REPLACE(IF(AND($P79&gt;0,$V79&gt;0,$T79&gt;0,$X79&gt;0,$R79&gt;0,$Z79&gt;0,$AB79&gt;0,$AD79&gt;0,$AF79&gt;0,$AH79&gt;0),"","0-"),99,0,REPLACE(TEXT(100-$AJ79,0),99,0,"%?    ")),"")))))</f>
        <v/>
      </c>
      <c r="AF79" s="1864"/>
      <c r="AG79" s="1865" t="str">
        <f>IF($N79="","",IF(AND($N79="",OR($H79="",$H79=0)),"",IF(AND($N79="LF",$AJ79&lt;$H79),"0 - "&amp;TEXT(($H79-$AJ79)/1000,"0")&amp;"k lin. ft.?    ",IF(AND($N79="TF",$AJ79&lt;$J79),"0 - "&amp;TEXT(($J79-$AJ79)/1000,"0")&amp;"k track ft.?    ",IF(AND($N79="%",$AJ79&lt;1),REPLACE(IF(AND($P79&gt;0,$V79&gt;0,$T79&gt;0,$X79&gt;0,$R79&gt;0,$Z79&gt;0,$AB79&gt;0,$AD79&gt;0,$AF79&gt;0,$AH79&gt;0),"","0-"),99,0,REPLACE(TEXT(100-$AJ79,0),99,0,"%?    ")),"")))))</f>
        <v/>
      </c>
      <c r="AH79" s="1864"/>
      <c r="AI79" s="904" t="str">
        <f>IF($N79="","",IF(AND($N79="",OR($H79="",$H79=0)),"",IF(AND($N79="LF",$AJ79&lt;$H79),"0 - "&amp;TEXT(($H79-$AJ79)/1000,"0")&amp;"k lin. ft.?    ",IF(AND($N79="TF",$AJ79&lt;$J79),"0 - "&amp;TEXT(($J79-$AJ79)/1000,"0")&amp;"k track ft.?    ",IF(AND($N79="%",$AJ79&lt;1),REPLACE(IF(AND($P79&gt;0,$V79&gt;0,$T79&gt;0,$X79&gt;0,$R79&gt;0,$Z79&gt;0,$AB79&gt;0,$AD79&gt;0,$AF79&gt;0,$AH79&gt;0),"","0-"),99,0,REPLACE(TEXT(100-$AJ79,0),99,0,"%?    ")),"")))))</f>
        <v/>
      </c>
      <c r="AJ79" s="1833">
        <f>IFERROR(IF(N79="%", SUM(P79,R79,T79,V79,X79,Z79,AB79,AD79,AF79,AH79)/100, SUM(P79,R79,T79,V79,X79,Z79,AB79,AD79,AF79,AH79)/IF(N79="LF", H79,J79)), 0)</f>
        <v>0</v>
      </c>
      <c r="AK79" s="1648"/>
      <c r="AL79" s="1675"/>
      <c r="AM79" s="1399"/>
      <c r="AN79" s="1808"/>
      <c r="AO79" s="1399"/>
      <c r="AP79" s="1653"/>
      <c r="AQ79" s="1399"/>
      <c r="AS79" s="1399"/>
      <c r="AT79" s="1624" t="str">
        <f>IF(AND($C$69="", H79="", J79=""), "N/A", IF(OR(AND(ISNUMBER(H79), ISNUMBER(J79), H79=0, J79=0), AND(AJ79=1, H79&lt;&gt;"", J79&lt;&gt;"", L79&lt;&gt;"", N79&lt;&gt;"", P79&lt;&gt;"", R79&lt;&gt;"", T79&lt;&gt;"", V79&lt;&gt;"", X79&lt;&gt;"", Z79&lt;&gt;"", AB79&lt;&gt;"", AD79&lt;&gt;"", AF79&lt;&gt;"", AH79&lt;&gt;"",AL79&lt;&gt;"", IF(AND(AL79&lt;1, AN79=""), FALSE, TRUE))), "Yes", "No"))</f>
        <v>N/A</v>
      </c>
      <c r="AU79" s="759" t="b">
        <f>IF(AND(H79="",OR(L79&lt;&gt;"",P79&lt;&gt;"",R79&lt;&gt;"",T79&lt;&gt;"",V79&lt;&gt;"",X79&lt;&gt;"",AL79&lt;&gt;"",Z79&lt;&gt;"",AB79&lt;&gt;"",AD79&lt;&gt;"",AF79&lt;&gt;"",AH79&lt;&gt;"")),TRUE,FALSE)</f>
        <v>0</v>
      </c>
      <c r="AV79" s="759" t="b">
        <f>IF(OR(H79="",H79=0),FALSE,IF(H79&gt;BM79,TRUE,FALSE))</f>
        <v>0</v>
      </c>
      <c r="AW79" s="759" t="b">
        <f>IF(AND($C$69&lt;&gt;"",$H79=""),TRUE,FALSE)</f>
        <v>0</v>
      </c>
      <c r="AX79" s="759" t="b">
        <f>IF(E79="yes",FALSE,IF(H79="0",FALSE,IF(AND($C$69&lt;&gt;"",J79=""),TRUE,FALSE)))</f>
        <v>0</v>
      </c>
      <c r="AY79" s="759" t="b">
        <f>IF($L79="",FALSE,IF($L79&lt;$BO79,TRUE,FALSE))</f>
        <v>0</v>
      </c>
      <c r="AZ79" s="759" t="b">
        <f>IF($L79="",FALSE,IF($L79&gt;$BP79,TRUE,FALSE))</f>
        <v>0</v>
      </c>
      <c r="BA79" s="759" t="b">
        <f>IF(H79=0,FALSE,IF(AND(E79&lt;&gt;"",$L79=""),TRUE,FALSE))</f>
        <v>0</v>
      </c>
      <c r="BB79" s="759" t="b">
        <f>IF(AND($AJ79&lt;&gt;0,$H79&lt;&gt;$BJ79,$N79="LF"),TRUE,IF(AND($AJ79&lt;&gt;0,$J79&lt;&gt;$AJ79,$N79="TF"),TRUE,IF(AND($AJ79&lt;&gt;0,$AJ79&lt;&gt;1,$N79="%"),TRUE,FALSE)))</f>
        <v>0</v>
      </c>
      <c r="BC79" s="759" t="b">
        <f>IF(AT79="No", IF(OR(P79="", R79="", T79="", V79="", X79="", Z79="", AB79="", AD79="", AF79="", AH79=""), TRUE, FALSE), FALSE)</f>
        <v>0</v>
      </c>
      <c r="BD79" s="759" t="b">
        <f>IF($BE79=TRUE,FALSE,IF(OR($AL79&lt;0,$AL79&gt;1),TRUE,FALSE))</f>
        <v>0</v>
      </c>
      <c r="BE79" s="759" t="b">
        <f>IF(AND($H79&lt;&gt;0,$AL79=""),TRUE,FALSE)</f>
        <v>0</v>
      </c>
      <c r="BF79" s="759" t="b">
        <f>IF(N79="%",TRUE,FALSE)</f>
        <v>0</v>
      </c>
      <c r="BG79" s="760"/>
      <c r="BH79" s="1678">
        <f>IF($C79="","",VLOOKUP($C79,val_fg_assets,9,FALSE))</f>
        <v>1</v>
      </c>
      <c r="BI79" s="1678" t="str">
        <f>IF(N79="", "", IF(N79="LF", H79, IF(N79="TF", J79, IF(N79="%", 1, ""))))</f>
        <v/>
      </c>
      <c r="BJ79" s="1679">
        <f>P79+R79+T79+V79+X79+Z79+AB79+AD79+AF79+AH79</f>
        <v>0</v>
      </c>
      <c r="BK79" s="1679" t="str">
        <f>IF(BI79="", "", BI79-BJ79)</f>
        <v/>
      </c>
      <c r="BL79" s="1679">
        <f>IF($C79="","",VLOOKUP($C79,val_fg_assets,3,FALSE))</f>
        <v>0</v>
      </c>
      <c r="BM79" s="1679">
        <f>IF($C79="","",VLOOKUP($C79,val_fg_assets,4,FALSE))</f>
        <v>1320000</v>
      </c>
      <c r="BN79" s="1678">
        <f>IF($C79="","",VLOOKUP($C79,val_fg_assets,5,FALSE))</f>
        <v>80</v>
      </c>
      <c r="BO79" s="1678">
        <f>IF($C79="","",VLOOKUP($C79,val_fg_assets,6,FALSE))</f>
        <v>60</v>
      </c>
      <c r="BP79" s="1678">
        <f>IF($C79="","",VLOOKUP($C79,val_fg_assets,7,FALSE))</f>
        <v>100</v>
      </c>
      <c r="BQ79" s="1399"/>
    </row>
    <row r="80" spans="1:69" s="782" customFormat="1" ht="3.95" customHeight="1" x14ac:dyDescent="0.2">
      <c r="A80" s="852"/>
      <c r="B80" s="1791">
        <v>68</v>
      </c>
      <c r="C80" s="1673"/>
      <c r="D80" s="1841"/>
      <c r="E80" s="1057"/>
      <c r="F80" s="764"/>
      <c r="G80" s="764"/>
      <c r="H80" s="1909"/>
      <c r="I80" s="1908"/>
      <c r="J80" s="1908"/>
      <c r="K80" s="1908"/>
      <c r="L80" s="1909"/>
      <c r="M80" s="1910"/>
      <c r="N80" s="1911"/>
      <c r="O80" s="1910"/>
      <c r="P80" s="1866"/>
      <c r="Q80" s="1867"/>
      <c r="R80" s="1866"/>
      <c r="S80" s="1867"/>
      <c r="T80" s="1866"/>
      <c r="U80" s="1867"/>
      <c r="V80" s="1866"/>
      <c r="W80" s="1867"/>
      <c r="X80" s="1866"/>
      <c r="Y80" s="1867"/>
      <c r="Z80" s="1867"/>
      <c r="AA80" s="1867"/>
      <c r="AB80" s="1867"/>
      <c r="AC80" s="1867"/>
      <c r="AD80" s="1867"/>
      <c r="AE80" s="1867"/>
      <c r="AF80" s="1867"/>
      <c r="AG80" s="1867"/>
      <c r="AH80" s="1867"/>
      <c r="AI80" s="837"/>
      <c r="AJ80" s="1806"/>
      <c r="AK80" s="841"/>
      <c r="AL80" s="1806"/>
      <c r="AM80" s="1399"/>
      <c r="AN80" s="838"/>
      <c r="AO80" s="1399"/>
      <c r="AP80" s="1399"/>
      <c r="AQ80" s="1399"/>
      <c r="AS80" s="1399"/>
      <c r="AT80" s="1399"/>
      <c r="AU80" s="759"/>
      <c r="AV80" s="759"/>
      <c r="AW80" s="759"/>
      <c r="AX80" s="759"/>
      <c r="AY80" s="759"/>
      <c r="AZ80" s="759"/>
      <c r="BA80" s="759"/>
      <c r="BB80" s="759"/>
      <c r="BC80" s="759"/>
      <c r="BD80" s="759"/>
      <c r="BE80" s="759"/>
      <c r="BF80" s="759"/>
      <c r="BG80" s="760"/>
      <c r="BH80" s="1678"/>
      <c r="BI80" s="1678"/>
      <c r="BJ80" s="1678"/>
      <c r="BK80" s="1678"/>
      <c r="BL80" s="1679"/>
      <c r="BM80" s="1679"/>
      <c r="BN80" s="1678"/>
      <c r="BO80" s="1678"/>
      <c r="BP80" s="1678"/>
      <c r="BQ80" s="1399"/>
    </row>
    <row r="81" spans="1:69" s="782" customFormat="1" ht="3.95" customHeight="1" thickBot="1" x14ac:dyDescent="0.25">
      <c r="A81" s="852"/>
      <c r="B81" s="1791">
        <v>69</v>
      </c>
      <c r="C81" s="851"/>
      <c r="D81" s="1841"/>
      <c r="E81" s="1058"/>
      <c r="F81" s="686"/>
      <c r="G81" s="686"/>
      <c r="H81" s="1913"/>
      <c r="I81" s="1908"/>
      <c r="J81" s="1908"/>
      <c r="K81" s="1908"/>
      <c r="L81" s="1909"/>
      <c r="M81" s="722"/>
      <c r="N81" s="1912"/>
      <c r="O81" s="722"/>
      <c r="P81" s="1868"/>
      <c r="Q81" s="1869"/>
      <c r="R81" s="1868"/>
      <c r="S81" s="1869"/>
      <c r="T81" s="1868"/>
      <c r="U81" s="1869"/>
      <c r="V81" s="1868"/>
      <c r="W81" s="1869"/>
      <c r="X81" s="1868"/>
      <c r="Y81" s="1869"/>
      <c r="Z81" s="1869"/>
      <c r="AA81" s="1869"/>
      <c r="AB81" s="1869"/>
      <c r="AC81" s="1869"/>
      <c r="AD81" s="1869"/>
      <c r="AE81" s="1869"/>
      <c r="AF81" s="1869"/>
      <c r="AG81" s="1869"/>
      <c r="AH81" s="1869"/>
      <c r="AI81" s="1670"/>
      <c r="AJ81" s="1828"/>
      <c r="AK81" s="724"/>
      <c r="AL81" s="1806"/>
      <c r="AM81" s="1399"/>
      <c r="AN81" s="1258"/>
      <c r="AO81" s="1399"/>
      <c r="AP81" s="1399"/>
      <c r="AQ81" s="1399"/>
      <c r="AS81" s="1399"/>
      <c r="AT81" s="1399"/>
      <c r="AU81" s="759"/>
      <c r="AV81" s="759"/>
      <c r="AW81" s="759"/>
      <c r="AX81" s="759"/>
      <c r="AY81" s="759"/>
      <c r="AZ81" s="759"/>
      <c r="BA81" s="759"/>
      <c r="BB81" s="759"/>
      <c r="BC81" s="759"/>
      <c r="BD81" s="759"/>
      <c r="BE81" s="759"/>
      <c r="BF81" s="759"/>
      <c r="BG81" s="760"/>
      <c r="BH81" s="1678"/>
      <c r="BI81" s="1678"/>
      <c r="BJ81" s="1678"/>
      <c r="BK81" s="1678"/>
      <c r="BL81" s="1679"/>
      <c r="BM81" s="1679"/>
      <c r="BN81" s="1678"/>
      <c r="BO81" s="1678"/>
      <c r="BP81" s="1678"/>
      <c r="BQ81" s="1399"/>
    </row>
    <row r="82" spans="1:69" s="782" customFormat="1" x14ac:dyDescent="0.2">
      <c r="A82" s="852">
        <f>A79+1</f>
        <v>18</v>
      </c>
      <c r="B82" s="1790">
        <v>70</v>
      </c>
      <c r="C82" s="851" t="str">
        <f>Valid!$B$74</f>
        <v>Elevated/Concrete</v>
      </c>
      <c r="D82" s="1841"/>
      <c r="E82" s="1245" t="str">
        <f>IF(AT82="N/A","",IF(AT82="N","No","Yes"))</f>
        <v/>
      </c>
      <c r="F82" s="764"/>
      <c r="G82" s="764"/>
      <c r="H82" s="1864"/>
      <c r="I82" s="1904" t="str">
        <f>IF(C69="","",IF(J82&lt;&gt;"","Linear Feet   ","Qty? Enter Zero if N/A  "))</f>
        <v/>
      </c>
      <c r="J82" s="1864"/>
      <c r="K82" s="1904" t="str">
        <f>IF(E82="yes","",IF(C69="","",IF(H82="","Qty? Enter Zero if N/A  ",IF(H82&lt;&gt;"","Track Feet      ",""))))</f>
        <v/>
      </c>
      <c r="L82" s="1864"/>
      <c r="M82" s="1620" t="str">
        <f>IF($H82=0,"",IF($L82="",TEXT(BN82,0)&amp;" Years?    ",""))</f>
        <v/>
      </c>
      <c r="N82" s="1905"/>
      <c r="O82" s="1620"/>
      <c r="P82" s="1864"/>
      <c r="Q82" s="1865" t="str">
        <f>IF($N82="","",IF(AND($N82="",OR($H82="",$H82=0)),"",IF(AND($N82="LF",$AJ82&lt;$H82),"0 - "&amp;TEXT(($H82-$AJ82)/1000,"0")&amp;"k lin. ft.?    ",IF(AND($N82="TF",$AJ82&lt;$J82),"0 - "&amp;TEXT(($J82-$AJ82)/1000,"0")&amp;"k track ft.?    ",IF(AND($N82="%",$AJ82&lt;1),REPLACE(IF(AND($P82&gt;0,$V82&gt;0,$T82&gt;0,$X82&gt;0,$R82&gt;0,$Z82&gt;0,$AB82&gt;0,$AD82&gt;0,$AF82&gt;0,$AH82&gt;0),"","0-"),99,0,REPLACE(TEXT(100-$AJ82,0),99,0,"%?    ")),"")))))</f>
        <v/>
      </c>
      <c r="R82" s="1864"/>
      <c r="S82" s="1865" t="str">
        <f>IF($N82="","",IF(AND($N82="",OR($H82="",$H82=0)),"",IF(AND($N82="LF",$AJ82&lt;$H82),"0 - "&amp;TEXT(($H82-$AJ82)/1000,"0")&amp;"k lin. ft.?    ",IF(AND($N82="TF",$AJ82&lt;$J82),"0 - "&amp;TEXT(($J82-$AJ82)/1000,"0")&amp;"k track ft.?    ",IF(AND($N82="%",$AJ82&lt;1),REPLACE(IF(AND($P82&gt;0,$V82&gt;0,$T82&gt;0,$X82&gt;0,$R82&gt;0,$Z82&gt;0,$AB82&gt;0,$AD82&gt;0,$AF82&gt;0,$AH82&gt;0),"","0-"),99,0,REPLACE(TEXT(100-$AJ82,0),99,0,"%?    ")),"")))))</f>
        <v/>
      </c>
      <c r="T82" s="1864"/>
      <c r="U82" s="1865" t="str">
        <f>IF($N82="","",IF(AND($N82="",OR($H82="",$H82=0)),"",IF(AND($N82="LF",$AJ82&lt;$H82),"0 - "&amp;TEXT(($H82-$AJ82)/1000,"0")&amp;"k lin. ft.?    ",IF(AND($N82="TF",$AJ82&lt;$J82),"0 - "&amp;TEXT(($J82-$AJ82)/1000,"0")&amp;"k track ft.?    ",IF(AND($N82="%",$AJ82&lt;1),REPLACE(IF(AND($P82&gt;0,$V82&gt;0,$T82&gt;0,$X82&gt;0,$R82&gt;0,$Z82&gt;0,$AB82&gt;0,$AD82&gt;0,$AF82&gt;0,$AH82&gt;0),"","0-"),99,0,REPLACE(TEXT(100-$AJ82,0),99,0,"%?    ")),"")))))</f>
        <v/>
      </c>
      <c r="V82" s="1864"/>
      <c r="W82" s="1865" t="str">
        <f>IF($N82="","",IF(AND($N82="",OR($H82="",$H82=0)),"",IF(AND($N82="LF",$AJ82&lt;$H82),"0 - "&amp;TEXT(($H82-$AJ82)/1000,"0")&amp;"k lin. ft.?    ",IF(AND($N82="TF",$AJ82&lt;$J82),"0 - "&amp;TEXT(($J82-$AJ82)/1000,"0")&amp;"k track ft.?    ",IF(AND($N82="%",$AJ82&lt;1),REPLACE(IF(AND($P82&gt;0,$V82&gt;0,$T82&gt;0,$X82&gt;0,$R82&gt;0,$Z82&gt;0,$AB82&gt;0,$AD82&gt;0,$AF82&gt;0,$AH82&gt;0),"","0-"),99,0,REPLACE(TEXT(100-$AJ82,0),99,0,"%?    ")),"")))))</f>
        <v/>
      </c>
      <c r="X82" s="1864"/>
      <c r="Y82" s="1865" t="str">
        <f>IF($N82="","",IF(AND($N82="",OR($H82="",$H82=0)),"",IF(AND($N82="LF",$AJ82&lt;$H82),"0 - "&amp;TEXT(($H82-$AJ82)/1000,"0")&amp;"k lin. ft.?    ",IF(AND($N82="TF",$AJ82&lt;$J82),"0 - "&amp;TEXT(($J82-$AJ82)/1000,"0")&amp;"k track ft.?    ",IF(AND($N82="%",$AJ82&lt;1),REPLACE(IF(AND($P82&gt;0,$V82&gt;0,$T82&gt;0,$X82&gt;0,$R82&gt;0,$Z82&gt;0,$AB82&gt;0,$AD82&gt;0,$AF82&gt;0,$AH82&gt;0),"","0-"),99,0,REPLACE(TEXT(100-$AJ82,0),99,0,"%?    ")),"")))))</f>
        <v/>
      </c>
      <c r="Z82" s="1864"/>
      <c r="AA82" s="1865" t="str">
        <f>IF($N82="","",IF(AND($N82="",OR($H82="",$H82=0)),"",IF(AND($N82="LF",$AJ82&lt;$H82),"0 - "&amp;TEXT(($H82-$AJ82)/1000,"0")&amp;"k lin. ft.?    ",IF(AND($N82="TF",$AJ82&lt;$J82),"0 - "&amp;TEXT(($J82-$AJ82)/1000,"0")&amp;"k track ft.?    ",IF(AND($N82="%",$AJ82&lt;1),REPLACE(IF(AND($P82&gt;0,$V82&gt;0,$T82&gt;0,$X82&gt;0,$R82&gt;0,$Z82&gt;0,$AB82&gt;0,$AD82&gt;0,$AF82&gt;0,$AH82&gt;0),"","0-"),99,0,REPLACE(TEXT(100-$AJ82,0),99,0,"%?    ")),"")))))</f>
        <v/>
      </c>
      <c r="AB82" s="1864"/>
      <c r="AC82" s="1865" t="str">
        <f>IF($N82="","",IF(AND($N82="",OR($H82="",$H82=0)),"",IF(AND($N82="LF",$AJ82&lt;$H82),"0 - "&amp;TEXT(($H82-$AJ82)/1000,"0")&amp;"k lin. ft.?    ",IF(AND($N82="TF",$AJ82&lt;$J82),"0 - "&amp;TEXT(($J82-$AJ82)/1000,"0")&amp;"k track ft.?    ",IF(AND($N82="%",$AJ82&lt;1),REPLACE(IF(AND($P82&gt;0,$V82&gt;0,$T82&gt;0,$X82&gt;0,$R82&gt;0,$Z82&gt;0,$AB82&gt;0,$AD82&gt;0,$AF82&gt;0,$AH82&gt;0),"","0-"),99,0,REPLACE(TEXT(100-$AJ82,0),99,0,"%?    ")),"")))))</f>
        <v/>
      </c>
      <c r="AD82" s="1864"/>
      <c r="AE82" s="1865" t="str">
        <f>IF($N82="","",IF(AND($N82="",OR($H82="",$H82=0)),"",IF(AND($N82="LF",$AJ82&lt;$H82),"0 - "&amp;TEXT(($H82-$AJ82)/1000,"0")&amp;"k lin. ft.?    ",IF(AND($N82="TF",$AJ82&lt;$J82),"0 - "&amp;TEXT(($J82-$AJ82)/1000,"0")&amp;"k track ft.?    ",IF(AND($N82="%",$AJ82&lt;1),REPLACE(IF(AND($P82&gt;0,$V82&gt;0,$T82&gt;0,$X82&gt;0,$R82&gt;0,$Z82&gt;0,$AB82&gt;0,$AD82&gt;0,$AF82&gt;0,$AH82&gt;0),"","0-"),99,0,REPLACE(TEXT(100-$AJ82,0),99,0,"%?    ")),"")))))</f>
        <v/>
      </c>
      <c r="AF82" s="1864"/>
      <c r="AG82" s="1865" t="str">
        <f>IF($N82="","",IF(AND($N82="",OR($H82="",$H82=0)),"",IF(AND($N82="LF",$AJ82&lt;$H82),"0 - "&amp;TEXT(($H82-$AJ82)/1000,"0")&amp;"k lin. ft.?    ",IF(AND($N82="TF",$AJ82&lt;$J82),"0 - "&amp;TEXT(($J82-$AJ82)/1000,"0")&amp;"k track ft.?    ",IF(AND($N82="%",$AJ82&lt;1),REPLACE(IF(AND($P82&gt;0,$V82&gt;0,$T82&gt;0,$X82&gt;0,$R82&gt;0,$Z82&gt;0,$AB82&gt;0,$AD82&gt;0,$AF82&gt;0,$AH82&gt;0),"","0-"),99,0,REPLACE(TEXT(100-$AJ82,0),99,0,"%?    ")),"")))))</f>
        <v/>
      </c>
      <c r="AH82" s="1864"/>
      <c r="AI82" s="904" t="str">
        <f>IF($N82="","",IF(AND($N82="",OR($H82="",$H82=0)),"",IF(AND($N82="LF",$AJ82&lt;$H82),"0 - "&amp;TEXT(($H82-$AJ82)/1000,"0")&amp;"k lin. ft.?    ",IF(AND($N82="TF",$AJ82&lt;$J82),"0 - "&amp;TEXT(($J82-$AJ82)/1000,"0")&amp;"k track ft.?    ",IF(AND($N82="%",$AJ82&lt;1),REPLACE(IF(AND($P82&gt;0,$V82&gt;0,$T82&gt;0,$X82&gt;0,$R82&gt;0,$Z82&gt;0,$AB82&gt;0,$AD82&gt;0,$AF82&gt;0,$AH82&gt;0),"","0-"),99,0,REPLACE(TEXT(100-$AJ82,0),99,0,"%?    ")),"")))))</f>
        <v/>
      </c>
      <c r="AJ82" s="1833">
        <f>IFERROR(IF(N82="%", SUM(P82,R82,T82,V82,X82,Z82,AB82,AD82,AF82,AH82)/100, SUM(P82,R82,T82,V82,X82,Z82,AB82,AD82,AF82,AH82)/IF(N82="LF", H82,J82)), 0)</f>
        <v>0</v>
      </c>
      <c r="AK82" s="1648"/>
      <c r="AL82" s="1675"/>
      <c r="AM82" s="1399"/>
      <c r="AN82" s="1808"/>
      <c r="AO82" s="1399"/>
      <c r="AP82" s="1653"/>
      <c r="AQ82" s="1399"/>
      <c r="AS82" s="1399"/>
      <c r="AT82" s="1624" t="str">
        <f>IF(AND($C$69="", H82="", J82=""), "N/A", IF(OR(AND(ISNUMBER(H82), ISNUMBER(J82), H82=0, J82=0), AND(AJ82=1, H82&lt;&gt;"", J82&lt;&gt;"", L82&lt;&gt;"", N82&lt;&gt;"", P82&lt;&gt;"", R82&lt;&gt;"", T82&lt;&gt;"", V82&lt;&gt;"", X82&lt;&gt;"", Z82&lt;&gt;"", AB82&lt;&gt;"", AD82&lt;&gt;"", AF82&lt;&gt;"", AH82&lt;&gt;"",AL82&lt;&gt;"", IF(AND(AL82&lt;1, AN82=""), FALSE, TRUE))), "Yes", "No"))</f>
        <v>N/A</v>
      </c>
      <c r="AU82" s="759" t="b">
        <f>IF(AND(H82="",OR(L82&lt;&gt;"",P82&lt;&gt;"",R82&lt;&gt;"",T82&lt;&gt;"",V82&lt;&gt;"",X82&lt;&gt;"",AL82&lt;&gt;"",Z82&lt;&gt;"",AB82&lt;&gt;"",AD82&lt;&gt;"",AF82&lt;&gt;"",AH82&lt;&gt;"")),TRUE,FALSE)</f>
        <v>0</v>
      </c>
      <c r="AV82" s="759" t="b">
        <f>IF(OR(H82="",H82=0),FALSE,IF(H82&gt;BM82,TRUE,FALSE))</f>
        <v>0</v>
      </c>
      <c r="AW82" s="759" t="b">
        <f>IF(AND($C$69&lt;&gt;"",$H82=""),TRUE,FALSE)</f>
        <v>0</v>
      </c>
      <c r="AX82" s="759" t="b">
        <f>IF(E82="yes",FALSE,IF(H82="0",FALSE,IF(AND($C$69&lt;&gt;"",J82=""),TRUE,FALSE)))</f>
        <v>0</v>
      </c>
      <c r="AY82" s="759" t="b">
        <f>IF($L82="",FALSE,IF($L82&lt;$BO82,TRUE,FALSE))</f>
        <v>0</v>
      </c>
      <c r="AZ82" s="759" t="b">
        <f>IF($L82="",FALSE,IF($L82&gt;$BP82,TRUE,FALSE))</f>
        <v>0</v>
      </c>
      <c r="BA82" s="759" t="b">
        <f>IF(H82=0,FALSE,IF(AND(E82&lt;&gt;"",$L82=""),TRUE,FALSE))</f>
        <v>0</v>
      </c>
      <c r="BB82" s="759" t="b">
        <f>IF(AND($AJ82&lt;&gt;0,$H82&lt;&gt;$BJ82,$N82="LF"),TRUE,IF(AND($AJ82&lt;&gt;0,$J82&lt;&gt;$AJ82,$N82="TF"),TRUE,IF(AND($AJ82&lt;&gt;0,$AJ82&lt;&gt;1,$N82="%"),TRUE,FALSE)))</f>
        <v>0</v>
      </c>
      <c r="BC82" s="759" t="b">
        <f>IF(AT82="No", IF(OR(P82="", R82="", T82="", V82="", X82="", Z82="", AB82="", AD82="", AF82="", AH82=""), TRUE, FALSE), FALSE)</f>
        <v>0</v>
      </c>
      <c r="BD82" s="759" t="b">
        <f>IF($BE82=TRUE,FALSE,IF(OR($AL82&lt;0,$AL82&gt;1),TRUE,FALSE))</f>
        <v>0</v>
      </c>
      <c r="BE82" s="759" t="b">
        <f>IF(AND($H82&lt;&gt;0,$AL82=""),TRUE,FALSE)</f>
        <v>0</v>
      </c>
      <c r="BF82" s="759" t="b">
        <f>IF(N82="%",TRUE,FALSE)</f>
        <v>0</v>
      </c>
      <c r="BG82" s="760"/>
      <c r="BH82" s="1678">
        <f>IF($C82="","",VLOOKUP($C82,val_fg_assets,9,FALSE))</f>
        <v>1</v>
      </c>
      <c r="BI82" s="1678" t="str">
        <f>IF(N82="", "", IF(N82="LF", H82, IF(N82="TF", J82, IF(N82="%", 1, ""))))</f>
        <v/>
      </c>
      <c r="BJ82" s="1679">
        <f>P82+R82+T82+V82+X82+Z82+AB82+AD82+AF82+AH82</f>
        <v>0</v>
      </c>
      <c r="BK82" s="1679" t="str">
        <f>IF(BI82="", "", BI82-BJ82)</f>
        <v/>
      </c>
      <c r="BL82" s="1679">
        <f>IF($C82="","",VLOOKUP($C82,val_fg_assets,3,FALSE))</f>
        <v>0</v>
      </c>
      <c r="BM82" s="1679">
        <f>IF($C82="","",VLOOKUP($C82,val_fg_assets,4,FALSE))</f>
        <v>1320000</v>
      </c>
      <c r="BN82" s="1678">
        <f>IF($C82="","",VLOOKUP($C82,val_fg_assets,5,FALSE))</f>
        <v>80</v>
      </c>
      <c r="BO82" s="1678">
        <f>IF($C82="","",VLOOKUP($C82,val_fg_assets,6,FALSE))</f>
        <v>60</v>
      </c>
      <c r="BP82" s="1678">
        <f>IF($C82="","",VLOOKUP($C82,val_fg_assets,7,FALSE))</f>
        <v>100</v>
      </c>
      <c r="BQ82" s="1399"/>
    </row>
    <row r="83" spans="1:69" s="782" customFormat="1" ht="3.95" customHeight="1" x14ac:dyDescent="0.2">
      <c r="A83" s="852"/>
      <c r="B83" s="1790">
        <v>71</v>
      </c>
      <c r="C83" s="851"/>
      <c r="D83" s="1841"/>
      <c r="E83" s="1058"/>
      <c r="F83" s="686"/>
      <c r="G83" s="686"/>
      <c r="H83" s="1909"/>
      <c r="I83" s="1907"/>
      <c r="J83" s="1908"/>
      <c r="K83" s="1907"/>
      <c r="L83" s="1909"/>
      <c r="M83" s="1910"/>
      <c r="N83" s="1911"/>
      <c r="O83" s="1910"/>
      <c r="P83" s="1866"/>
      <c r="Q83" s="1867"/>
      <c r="R83" s="1866"/>
      <c r="S83" s="1867"/>
      <c r="T83" s="1866"/>
      <c r="U83" s="1867"/>
      <c r="V83" s="1866"/>
      <c r="W83" s="1867"/>
      <c r="X83" s="1866"/>
      <c r="Y83" s="1867"/>
      <c r="Z83" s="1867"/>
      <c r="AA83" s="1867"/>
      <c r="AB83" s="1867"/>
      <c r="AC83" s="1867"/>
      <c r="AD83" s="1867"/>
      <c r="AE83" s="1867"/>
      <c r="AF83" s="1867"/>
      <c r="AG83" s="1867"/>
      <c r="AH83" s="1867"/>
      <c r="AI83" s="837"/>
      <c r="AJ83" s="1806"/>
      <c r="AK83" s="841"/>
      <c r="AL83" s="1806"/>
      <c r="AM83" s="1399"/>
      <c r="AN83" s="838"/>
      <c r="AO83" s="1399"/>
      <c r="AP83" s="1223"/>
      <c r="AQ83" s="1399"/>
      <c r="AS83" s="1399"/>
      <c r="AT83" s="1399"/>
      <c r="AU83" s="759"/>
      <c r="AV83" s="759"/>
      <c r="AW83" s="759"/>
      <c r="AX83" s="759"/>
      <c r="AY83" s="759"/>
      <c r="AZ83" s="759"/>
      <c r="BA83" s="759"/>
      <c r="BB83" s="759"/>
      <c r="BC83" s="759"/>
      <c r="BD83" s="759"/>
      <c r="BE83" s="759"/>
      <c r="BF83" s="759"/>
      <c r="BG83" s="760"/>
      <c r="BH83" s="1678"/>
      <c r="BI83" s="1678"/>
      <c r="BJ83" s="1678"/>
      <c r="BK83" s="1678"/>
      <c r="BL83" s="1679"/>
      <c r="BM83" s="1679"/>
      <c r="BN83" s="1678"/>
      <c r="BO83" s="1678"/>
      <c r="BP83" s="1678"/>
      <c r="BQ83" s="1399"/>
    </row>
    <row r="84" spans="1:69" s="782" customFormat="1" ht="3.95" customHeight="1" thickBot="1" x14ac:dyDescent="0.25">
      <c r="A84" s="852"/>
      <c r="B84" s="1791">
        <v>72</v>
      </c>
      <c r="C84" s="1673"/>
      <c r="D84" s="1841"/>
      <c r="E84" s="1057"/>
      <c r="F84" s="764"/>
      <c r="G84" s="764"/>
      <c r="H84" s="1913"/>
      <c r="I84" s="1908"/>
      <c r="J84" s="1908"/>
      <c r="K84" s="1908"/>
      <c r="L84" s="1909"/>
      <c r="M84" s="722"/>
      <c r="N84" s="1912"/>
      <c r="O84" s="722"/>
      <c r="P84" s="1868"/>
      <c r="Q84" s="1869"/>
      <c r="R84" s="1868"/>
      <c r="S84" s="1869"/>
      <c r="T84" s="1868"/>
      <c r="U84" s="1869"/>
      <c r="V84" s="1868"/>
      <c r="W84" s="1869"/>
      <c r="X84" s="1868"/>
      <c r="Y84" s="1869"/>
      <c r="Z84" s="1869"/>
      <c r="AA84" s="1869"/>
      <c r="AB84" s="1869"/>
      <c r="AC84" s="1869"/>
      <c r="AD84" s="1869"/>
      <c r="AE84" s="1869"/>
      <c r="AF84" s="1869"/>
      <c r="AG84" s="1869"/>
      <c r="AH84" s="1869"/>
      <c r="AI84" s="1670"/>
      <c r="AJ84" s="1828"/>
      <c r="AK84" s="724"/>
      <c r="AL84" s="1806"/>
      <c r="AM84" s="1399"/>
      <c r="AN84" s="1258"/>
      <c r="AO84" s="1399"/>
      <c r="AP84" s="1399"/>
      <c r="AQ84" s="1399"/>
      <c r="AS84" s="1399"/>
      <c r="AT84" s="1399"/>
      <c r="AU84" s="759"/>
      <c r="AV84" s="759"/>
      <c r="AW84" s="759"/>
      <c r="AX84" s="759"/>
      <c r="AY84" s="759"/>
      <c r="AZ84" s="759"/>
      <c r="BA84" s="759"/>
      <c r="BB84" s="759"/>
      <c r="BC84" s="759"/>
      <c r="BD84" s="759"/>
      <c r="BE84" s="759"/>
      <c r="BF84" s="759"/>
      <c r="BG84" s="760"/>
      <c r="BH84" s="1678"/>
      <c r="BI84" s="1678"/>
      <c r="BJ84" s="1678"/>
      <c r="BK84" s="1678"/>
      <c r="BL84" s="1679"/>
      <c r="BM84" s="1679"/>
      <c r="BN84" s="1678"/>
      <c r="BO84" s="1678"/>
      <c r="BP84" s="1678"/>
      <c r="BQ84" s="1399"/>
    </row>
    <row r="85" spans="1:69" s="782" customFormat="1" x14ac:dyDescent="0.2">
      <c r="A85" s="852">
        <f>A82+1</f>
        <v>19</v>
      </c>
      <c r="B85" s="1791">
        <v>73</v>
      </c>
      <c r="C85" s="851" t="str">
        <f>Valid!$B$75</f>
        <v>Elevated/Steel Viaduct or Bridge</v>
      </c>
      <c r="D85" s="1841"/>
      <c r="E85" s="1245" t="str">
        <f>IF(AT85="N/A","",IF(AT85="N","No","Yes"))</f>
        <v/>
      </c>
      <c r="F85" s="686"/>
      <c r="G85" s="686"/>
      <c r="H85" s="1864"/>
      <c r="I85" s="1904" t="str">
        <f>IF(C69="","",IF(J85&lt;&gt;"","Linear Feet   ","Qty? Enter Zero if N/A  "))</f>
        <v/>
      </c>
      <c r="J85" s="1864"/>
      <c r="K85" s="1904" t="str">
        <f>IF(E85="yes","",IF(C69="","",IF(H85="","Qty? Enter Zero if N/A  ",IF(H85&lt;&gt;"","Track Feet      ",""))))</f>
        <v/>
      </c>
      <c r="L85" s="1864"/>
      <c r="M85" s="1620" t="str">
        <f>IF($H85=0,"",IF($L85="",TEXT(BN85,0)&amp;" Years?    ",""))</f>
        <v/>
      </c>
      <c r="N85" s="1905"/>
      <c r="O85" s="1620"/>
      <c r="P85" s="1864"/>
      <c r="Q85" s="1865" t="str">
        <f>IF($N85="","",IF(AND($N85="",OR($H85="",$H85=0)),"",IF(AND($N85="LF",$AJ85&lt;$H85),"0 - "&amp;TEXT(($H85-$AJ85)/1000,"0")&amp;"k lin. ft.?    ",IF(AND($N85="TF",$AJ85&lt;$J85),"0 - "&amp;TEXT(($J85-$AJ85)/1000,"0")&amp;"k track ft.?    ",IF(AND($N85="%",$AJ85&lt;1),REPLACE(IF(AND($P85&gt;0,$V85&gt;0,$T85&gt;0,$X85&gt;0,$R85&gt;0,$Z85&gt;0,$AB85&gt;0,$AD85&gt;0,$AF85&gt;0,$AH85&gt;0),"","0-"),99,0,REPLACE(TEXT(100-$AJ85,0),99,0,"%?    ")),"")))))</f>
        <v/>
      </c>
      <c r="R85" s="1864"/>
      <c r="S85" s="1865" t="str">
        <f>IF($N85="","",IF(AND($N85="",OR($H85="",$H85=0)),"",IF(AND($N85="LF",$AJ85&lt;$H85),"0 - "&amp;TEXT(($H85-$AJ85)/1000,"0")&amp;"k lin. ft.?    ",IF(AND($N85="TF",$AJ85&lt;$J85),"0 - "&amp;TEXT(($J85-$AJ85)/1000,"0")&amp;"k track ft.?    ",IF(AND($N85="%",$AJ85&lt;1),REPLACE(IF(AND($P85&gt;0,$V85&gt;0,$T85&gt;0,$X85&gt;0,$R85&gt;0,$Z85&gt;0,$AB85&gt;0,$AD85&gt;0,$AF85&gt;0,$AH85&gt;0),"","0-"),99,0,REPLACE(TEXT(100-$AJ85,0),99,0,"%?    ")),"")))))</f>
        <v/>
      </c>
      <c r="T85" s="1864"/>
      <c r="U85" s="1865" t="str">
        <f>IF($N85="","",IF(AND($N85="",OR($H85="",$H85=0)),"",IF(AND($N85="LF",$AJ85&lt;$H85),"0 - "&amp;TEXT(($H85-$AJ85)/1000,"0")&amp;"k lin. ft.?    ",IF(AND($N85="TF",$AJ85&lt;$J85),"0 - "&amp;TEXT(($J85-$AJ85)/1000,"0")&amp;"k track ft.?    ",IF(AND($N85="%",$AJ85&lt;1),REPLACE(IF(AND($P85&gt;0,$V85&gt;0,$T85&gt;0,$X85&gt;0,$R85&gt;0,$Z85&gt;0,$AB85&gt;0,$AD85&gt;0,$AF85&gt;0,$AH85&gt;0),"","0-"),99,0,REPLACE(TEXT(100-$AJ85,0),99,0,"%?    ")),"")))))</f>
        <v/>
      </c>
      <c r="V85" s="1864"/>
      <c r="W85" s="1865" t="str">
        <f>IF($N85="","",IF(AND($N85="",OR($H85="",$H85=0)),"",IF(AND($N85="LF",$AJ85&lt;$H85),"0 - "&amp;TEXT(($H85-$AJ85)/1000,"0")&amp;"k lin. ft.?    ",IF(AND($N85="TF",$AJ85&lt;$J85),"0 - "&amp;TEXT(($J85-$AJ85)/1000,"0")&amp;"k track ft.?    ",IF(AND($N85="%",$AJ85&lt;1),REPLACE(IF(AND($P85&gt;0,$V85&gt;0,$T85&gt;0,$X85&gt;0,$R85&gt;0,$Z85&gt;0,$AB85&gt;0,$AD85&gt;0,$AF85&gt;0,$AH85&gt;0),"","0-"),99,0,REPLACE(TEXT(100-$AJ85,0),99,0,"%?    ")),"")))))</f>
        <v/>
      </c>
      <c r="X85" s="1864"/>
      <c r="Y85" s="1865" t="str">
        <f>IF($N85="","",IF(AND($N85="",OR($H85="",$H85=0)),"",IF(AND($N85="LF",$AJ85&lt;$H85),"0 - "&amp;TEXT(($H85-$AJ85)/1000,"0")&amp;"k lin. ft.?    ",IF(AND($N85="TF",$AJ85&lt;$J85),"0 - "&amp;TEXT(($J85-$AJ85)/1000,"0")&amp;"k track ft.?    ",IF(AND($N85="%",$AJ85&lt;1),REPLACE(IF(AND($P85&gt;0,$V85&gt;0,$T85&gt;0,$X85&gt;0,$R85&gt;0,$Z85&gt;0,$AB85&gt;0,$AD85&gt;0,$AF85&gt;0,$AH85&gt;0),"","0-"),99,0,REPLACE(TEXT(100-$AJ85,0),99,0,"%?    ")),"")))))</f>
        <v/>
      </c>
      <c r="Z85" s="1864"/>
      <c r="AA85" s="1865" t="str">
        <f>IF($N85="","",IF(AND($N85="",OR($H85="",$H85=0)),"",IF(AND($N85="LF",$AJ85&lt;$H85),"0 - "&amp;TEXT(($H85-$AJ85)/1000,"0")&amp;"k lin. ft.?    ",IF(AND($N85="TF",$AJ85&lt;$J85),"0 - "&amp;TEXT(($J85-$AJ85)/1000,"0")&amp;"k track ft.?    ",IF(AND($N85="%",$AJ85&lt;1),REPLACE(IF(AND($P85&gt;0,$V85&gt;0,$T85&gt;0,$X85&gt;0,$R85&gt;0,$Z85&gt;0,$AB85&gt;0,$AD85&gt;0,$AF85&gt;0,$AH85&gt;0),"","0-"),99,0,REPLACE(TEXT(100-$AJ85,0),99,0,"%?    ")),"")))))</f>
        <v/>
      </c>
      <c r="AB85" s="1864"/>
      <c r="AC85" s="1865" t="str">
        <f>IF($N85="","",IF(AND($N85="",OR($H85="",$H85=0)),"",IF(AND($N85="LF",$AJ85&lt;$H85),"0 - "&amp;TEXT(($H85-$AJ85)/1000,"0")&amp;"k lin. ft.?    ",IF(AND($N85="TF",$AJ85&lt;$J85),"0 - "&amp;TEXT(($J85-$AJ85)/1000,"0")&amp;"k track ft.?    ",IF(AND($N85="%",$AJ85&lt;1),REPLACE(IF(AND($P85&gt;0,$V85&gt;0,$T85&gt;0,$X85&gt;0,$R85&gt;0,$Z85&gt;0,$AB85&gt;0,$AD85&gt;0,$AF85&gt;0,$AH85&gt;0),"","0-"),99,0,REPLACE(TEXT(100-$AJ85,0),99,0,"%?    ")),"")))))</f>
        <v/>
      </c>
      <c r="AD85" s="1864"/>
      <c r="AE85" s="1865" t="str">
        <f>IF($N85="","",IF(AND($N85="",OR($H85="",$H85=0)),"",IF(AND($N85="LF",$AJ85&lt;$H85),"0 - "&amp;TEXT(($H85-$AJ85)/1000,"0")&amp;"k lin. ft.?    ",IF(AND($N85="TF",$AJ85&lt;$J85),"0 - "&amp;TEXT(($J85-$AJ85)/1000,"0")&amp;"k track ft.?    ",IF(AND($N85="%",$AJ85&lt;1),REPLACE(IF(AND($P85&gt;0,$V85&gt;0,$T85&gt;0,$X85&gt;0,$R85&gt;0,$Z85&gt;0,$AB85&gt;0,$AD85&gt;0,$AF85&gt;0,$AH85&gt;0),"","0-"),99,0,REPLACE(TEXT(100-$AJ85,0),99,0,"%?    ")),"")))))</f>
        <v/>
      </c>
      <c r="AF85" s="1864"/>
      <c r="AG85" s="1865" t="str">
        <f>IF($N85="","",IF(AND($N85="",OR($H85="",$H85=0)),"",IF(AND($N85="LF",$AJ85&lt;$H85),"0 - "&amp;TEXT(($H85-$AJ85)/1000,"0")&amp;"k lin. ft.?    ",IF(AND($N85="TF",$AJ85&lt;$J85),"0 - "&amp;TEXT(($J85-$AJ85)/1000,"0")&amp;"k track ft.?    ",IF(AND($N85="%",$AJ85&lt;1),REPLACE(IF(AND($P85&gt;0,$V85&gt;0,$T85&gt;0,$X85&gt;0,$R85&gt;0,$Z85&gt;0,$AB85&gt;0,$AD85&gt;0,$AF85&gt;0,$AH85&gt;0),"","0-"),99,0,REPLACE(TEXT(100-$AJ85,0),99,0,"%?    ")),"")))))</f>
        <v/>
      </c>
      <c r="AH85" s="1864"/>
      <c r="AI85" s="904" t="str">
        <f>IF($N85="","",IF(AND($N85="",OR($H85="",$H85=0)),"",IF(AND($N85="LF",$AJ85&lt;$H85),"0 - "&amp;TEXT(($H85-$AJ85)/1000,"0")&amp;"k lin. ft.?    ",IF(AND($N85="TF",$AJ85&lt;$J85),"0 - "&amp;TEXT(($J85-$AJ85)/1000,"0")&amp;"k track ft.?    ",IF(AND($N85="%",$AJ85&lt;1),REPLACE(IF(AND($P85&gt;0,$V85&gt;0,$T85&gt;0,$X85&gt;0,$R85&gt;0,$Z85&gt;0,$AB85&gt;0,$AD85&gt;0,$AF85&gt;0,$AH85&gt;0),"","0-"),99,0,REPLACE(TEXT(100-$AJ85,0),99,0,"%?    ")),"")))))</f>
        <v/>
      </c>
      <c r="AJ85" s="1833">
        <f>IFERROR(IF(N85="%", SUM(P85,R85,T85,V85,X85,Z85,AB85,AD85,AF85,AH85)/100, SUM(P85,R85,T85,V85,X85,Z85,AB85,AD85,AF85,AH85)/IF(N85="LF", H85,J85)), 0)</f>
        <v>0</v>
      </c>
      <c r="AK85" s="1648"/>
      <c r="AL85" s="1675"/>
      <c r="AM85" s="1399"/>
      <c r="AN85" s="1808"/>
      <c r="AO85" s="1399"/>
      <c r="AP85" s="1653"/>
      <c r="AQ85" s="1399"/>
      <c r="AS85" s="1399"/>
      <c r="AT85" s="1624" t="str">
        <f>IF(AND($C$69="", H85="", J85=""), "N/A", IF(OR(AND(ISNUMBER(H85), ISNUMBER(J85), H85=0, J85=0), AND(AJ85=1, H85&lt;&gt;"", J85&lt;&gt;"", L85&lt;&gt;"", N85&lt;&gt;"", P85&lt;&gt;"", R85&lt;&gt;"", T85&lt;&gt;"", V85&lt;&gt;"", X85&lt;&gt;"", Z85&lt;&gt;"", AB85&lt;&gt;"", AD85&lt;&gt;"", AF85&lt;&gt;"", AH85&lt;&gt;"",AL85&lt;&gt;"", IF(AND(AL85&lt;1, AN85=""), FALSE, TRUE))), "Yes", "No"))</f>
        <v>N/A</v>
      </c>
      <c r="AU85" s="759" t="b">
        <f>IF(AND(H85="",OR(L85&lt;&gt;"",P85&lt;&gt;"",R85&lt;&gt;"",T85&lt;&gt;"",V85&lt;&gt;"",X85&lt;&gt;"",AL85&lt;&gt;"",Z85&lt;&gt;"",AB85&lt;&gt;"",AD85&lt;&gt;"",AF85&lt;&gt;"",AH85&lt;&gt;"")),TRUE,FALSE)</f>
        <v>0</v>
      </c>
      <c r="AV85" s="759" t="b">
        <f>IF(OR(H85="",H85=0),FALSE,IF(H85&gt;BM85,TRUE,FALSE))</f>
        <v>0</v>
      </c>
      <c r="AW85" s="759" t="b">
        <f>IF(AND($C$69&lt;&gt;"",$H85=""),TRUE,FALSE)</f>
        <v>0</v>
      </c>
      <c r="AX85" s="759" t="b">
        <f>IF(E85="yes",FALSE,IF(H85="0",FALSE,IF(AND($C$69&lt;&gt;"",J85=""),TRUE,FALSE)))</f>
        <v>0</v>
      </c>
      <c r="AY85" s="759" t="b">
        <f>IF($L85="",FALSE,IF($L85&lt;$BO85,TRUE,FALSE))</f>
        <v>0</v>
      </c>
      <c r="AZ85" s="759" t="b">
        <f>IF($L85="",FALSE,IF($L85&gt;$BP85,TRUE,FALSE))</f>
        <v>0</v>
      </c>
      <c r="BA85" s="759" t="b">
        <f>IF(H85=0,FALSE,IF(AND(E85&lt;&gt;"",$L85=""),TRUE,FALSE))</f>
        <v>0</v>
      </c>
      <c r="BB85" s="759" t="b">
        <f>IF(AND($AJ85&lt;&gt;0,$H85&lt;&gt;$BJ85,$N85="LF"),TRUE,IF(AND($AJ85&lt;&gt;0,$J85&lt;&gt;$AJ85,$N85="TF"),TRUE,IF(AND($AJ85&lt;&gt;0,$AJ85&lt;&gt;1,$N85="%"),TRUE,FALSE)))</f>
        <v>0</v>
      </c>
      <c r="BC85" s="759" t="b">
        <f>IF(AT85="No", IF(OR(P85="", R85="", T85="", V85="", X85="", Z85="", AB85="", AD85="", AF85="", AH85=""), TRUE, FALSE), FALSE)</f>
        <v>0</v>
      </c>
      <c r="BD85" s="759" t="b">
        <f>IF($BE85=TRUE,FALSE,IF(OR($AL85&lt;0,$AL85&gt;1),TRUE,FALSE))</f>
        <v>0</v>
      </c>
      <c r="BE85" s="759" t="b">
        <f>IF(AND($H85&lt;&gt;0,$AL85=""),TRUE,FALSE)</f>
        <v>0</v>
      </c>
      <c r="BF85" s="759" t="b">
        <f>IF(N85="%",TRUE,FALSE)</f>
        <v>0</v>
      </c>
      <c r="BG85" s="760"/>
      <c r="BH85" s="1678">
        <f>IF($C85="","",VLOOKUP($C85,val_fg_assets,9,FALSE))</f>
        <v>1</v>
      </c>
      <c r="BI85" s="1678" t="str">
        <f>IF(N85="", "", IF(N85="LF", H85, IF(N85="TF", J85, IF(N85="%", 1, ""))))</f>
        <v/>
      </c>
      <c r="BJ85" s="1679">
        <f>P85+R85+T85+V85+X85+Z85+AB85+AD85+AF85+AH85</f>
        <v>0</v>
      </c>
      <c r="BK85" s="1679" t="str">
        <f>IF(BI85="", "", BI85-BJ85)</f>
        <v/>
      </c>
      <c r="BL85" s="1679">
        <f>IF($C85="","",VLOOKUP($C85,val_fg_assets,3,FALSE))</f>
        <v>0</v>
      </c>
      <c r="BM85" s="1679">
        <f>IF($C85="","",VLOOKUP($C85,val_fg_assets,4,FALSE))</f>
        <v>1320000</v>
      </c>
      <c r="BN85" s="1678">
        <f>IF($C85="","",VLOOKUP($C85,val_fg_assets,5,FALSE))</f>
        <v>80</v>
      </c>
      <c r="BO85" s="1678">
        <f>IF($C85="","",VLOOKUP($C85,val_fg_assets,6,FALSE))</f>
        <v>60</v>
      </c>
      <c r="BP85" s="1678">
        <f>IF($C85="","",VLOOKUP($C85,val_fg_assets,7,FALSE))</f>
        <v>100</v>
      </c>
      <c r="BQ85" s="1399"/>
    </row>
    <row r="86" spans="1:69" s="782" customFormat="1" ht="3.95" customHeight="1" x14ac:dyDescent="0.2">
      <c r="A86" s="852"/>
      <c r="B86" s="1791">
        <v>74</v>
      </c>
      <c r="C86" s="1673"/>
      <c r="D86" s="1841"/>
      <c r="E86" s="1057"/>
      <c r="F86" s="764"/>
      <c r="G86" s="686">
        <v>7</v>
      </c>
      <c r="H86" s="1906"/>
      <c r="I86" s="1907"/>
      <c r="J86" s="1908"/>
      <c r="K86" s="1907"/>
      <c r="L86" s="1909"/>
      <c r="M86" s="1910"/>
      <c r="N86" s="1911"/>
      <c r="O86" s="1910"/>
      <c r="P86" s="1866"/>
      <c r="Q86" s="1867"/>
      <c r="R86" s="1866"/>
      <c r="S86" s="1867"/>
      <c r="T86" s="1866"/>
      <c r="U86" s="1867"/>
      <c r="V86" s="1866"/>
      <c r="W86" s="1867"/>
      <c r="X86" s="1866"/>
      <c r="Y86" s="1867"/>
      <c r="Z86" s="1867"/>
      <c r="AA86" s="1867"/>
      <c r="AB86" s="1867"/>
      <c r="AC86" s="1867"/>
      <c r="AD86" s="1867"/>
      <c r="AE86" s="1867"/>
      <c r="AF86" s="1867"/>
      <c r="AG86" s="1867"/>
      <c r="AH86" s="1867"/>
      <c r="AI86" s="837"/>
      <c r="AJ86" s="1806"/>
      <c r="AK86" s="841"/>
      <c r="AL86" s="1806"/>
      <c r="AM86" s="1399"/>
      <c r="AN86" s="838"/>
      <c r="AO86" s="1399"/>
      <c r="AP86" s="1399"/>
      <c r="AQ86" s="1399"/>
      <c r="AS86" s="1399"/>
      <c r="AT86" s="1399"/>
      <c r="AU86" s="759"/>
      <c r="AV86" s="759"/>
      <c r="AW86" s="759"/>
      <c r="AX86" s="759"/>
      <c r="AY86" s="759"/>
      <c r="AZ86" s="759"/>
      <c r="BA86" s="759"/>
      <c r="BB86" s="759"/>
      <c r="BC86" s="759"/>
      <c r="BD86" s="759"/>
      <c r="BE86" s="759"/>
      <c r="BF86" s="759"/>
      <c r="BG86" s="760"/>
      <c r="BH86" s="1678"/>
      <c r="BI86" s="1678"/>
      <c r="BJ86" s="1678"/>
      <c r="BK86" s="1678"/>
      <c r="BL86" s="1679"/>
      <c r="BM86" s="1679"/>
      <c r="BN86" s="1678"/>
      <c r="BO86" s="1678"/>
      <c r="BP86" s="1678"/>
      <c r="BQ86" s="1399"/>
    </row>
    <row r="87" spans="1:69" s="782" customFormat="1" ht="3.95" customHeight="1" thickBot="1" x14ac:dyDescent="0.25">
      <c r="A87" s="852"/>
      <c r="B87" s="1790">
        <v>75</v>
      </c>
      <c r="C87" s="1673"/>
      <c r="D87" s="1841"/>
      <c r="E87" s="1057"/>
      <c r="F87" s="764"/>
      <c r="G87" s="764">
        <v>8</v>
      </c>
      <c r="H87" s="1906"/>
      <c r="I87" s="1907"/>
      <c r="J87" s="1908"/>
      <c r="K87" s="1907"/>
      <c r="L87" s="1909"/>
      <c r="M87" s="722"/>
      <c r="N87" s="1912"/>
      <c r="O87" s="722"/>
      <c r="P87" s="1868"/>
      <c r="Q87" s="1869"/>
      <c r="R87" s="1868"/>
      <c r="S87" s="1869"/>
      <c r="T87" s="1868"/>
      <c r="U87" s="1869"/>
      <c r="V87" s="1868"/>
      <c r="W87" s="1869"/>
      <c r="X87" s="1868"/>
      <c r="Y87" s="1869"/>
      <c r="Z87" s="1869"/>
      <c r="AA87" s="1869"/>
      <c r="AB87" s="1869"/>
      <c r="AC87" s="1869"/>
      <c r="AD87" s="1869"/>
      <c r="AE87" s="1869"/>
      <c r="AF87" s="1869"/>
      <c r="AG87" s="1869"/>
      <c r="AH87" s="1869"/>
      <c r="AI87" s="1670"/>
      <c r="AJ87" s="1828"/>
      <c r="AK87" s="724"/>
      <c r="AL87" s="1806"/>
      <c r="AM87" s="1399"/>
      <c r="AN87" s="1258"/>
      <c r="AO87" s="1399"/>
      <c r="AP87" s="1223"/>
      <c r="AQ87" s="1399"/>
      <c r="AS87" s="1399"/>
      <c r="AT87" s="1399"/>
      <c r="AU87" s="759"/>
      <c r="AV87" s="759"/>
      <c r="AW87" s="759"/>
      <c r="AX87" s="759"/>
      <c r="AY87" s="759"/>
      <c r="AZ87" s="759"/>
      <c r="BA87" s="759"/>
      <c r="BB87" s="759"/>
      <c r="BC87" s="759"/>
      <c r="BD87" s="759"/>
      <c r="BE87" s="759"/>
      <c r="BF87" s="759"/>
      <c r="BG87" s="760"/>
      <c r="BH87" s="1678"/>
      <c r="BI87" s="1678"/>
      <c r="BJ87" s="1678"/>
      <c r="BK87" s="1678"/>
      <c r="BL87" s="1679"/>
      <c r="BM87" s="1679"/>
      <c r="BN87" s="1678"/>
      <c r="BO87" s="1678"/>
      <c r="BP87" s="1678"/>
      <c r="BQ87" s="1399"/>
    </row>
    <row r="88" spans="1:69" s="782" customFormat="1" x14ac:dyDescent="0.2">
      <c r="A88" s="852">
        <f>A85+1</f>
        <v>20</v>
      </c>
      <c r="B88" s="1790">
        <v>76</v>
      </c>
      <c r="C88" s="851" t="str">
        <f>Valid!$B$76</f>
        <v>Below-Grade/Retained Cut</v>
      </c>
      <c r="D88" s="1841"/>
      <c r="E88" s="1245" t="str">
        <f>IF(AT88="N/A","",IF(AT88="N","No","Yes"))</f>
        <v/>
      </c>
      <c r="F88" s="686"/>
      <c r="G88" s="686"/>
      <c r="H88" s="1864"/>
      <c r="I88" s="1904" t="str">
        <f>IF(C69="","",IF(J88&lt;&gt;"","Linear Feet   ","Qty? Enter Zero if N/A  "))</f>
        <v/>
      </c>
      <c r="J88" s="1864"/>
      <c r="K88" s="1904" t="str">
        <f>IF(E88="yes","",IF(C69="","",IF(H88="","Qty? Enter Zero if N/A  ",IF(H88&lt;&gt;"","Track Feet      ",""))))</f>
        <v/>
      </c>
      <c r="L88" s="1864"/>
      <c r="M88" s="1620" t="str">
        <f>IF($H88=0,"",IF($L88="",TEXT(BN88,0)&amp;" Years?    ",""))</f>
        <v/>
      </c>
      <c r="N88" s="1905"/>
      <c r="O88" s="1620"/>
      <c r="P88" s="1864"/>
      <c r="Q88" s="1865" t="str">
        <f>IF($N88="","",IF(AND($N88="",OR($H88="",$H88=0)),"",IF(AND($N88="LF",$AJ88&lt;$H88),"0 - "&amp;TEXT(($H88-$AJ88)/1000,"0")&amp;"k lin. ft.?    ",IF(AND($N88="TF",$AJ88&lt;$J88),"0 - "&amp;TEXT(($J88-$AJ88)/1000,"0")&amp;"k track ft.?    ",IF(AND($N88="%",$AJ88&lt;1),REPLACE(IF(AND($P88&gt;0,$V88&gt;0,$T88&gt;0,$X88&gt;0,$R88&gt;0,$Z88&gt;0,$AB88&gt;0,$AD88&gt;0,$AF88&gt;0,$AH88&gt;0),"","0-"),99,0,REPLACE(TEXT(100-$AJ88,0),99,0,"%?    ")),"")))))</f>
        <v/>
      </c>
      <c r="R88" s="1864"/>
      <c r="S88" s="1865" t="str">
        <f>IF($N88="","",IF(AND($N88="",OR($H88="",$H88=0)),"",IF(AND($N88="LF",$AJ88&lt;$H88),"0 - "&amp;TEXT(($H88-$AJ88)/1000,"0")&amp;"k lin. ft.?    ",IF(AND($N88="TF",$AJ88&lt;$J88),"0 - "&amp;TEXT(($J88-$AJ88)/1000,"0")&amp;"k track ft.?    ",IF(AND($N88="%",$AJ88&lt;1),REPLACE(IF(AND($P88&gt;0,$V88&gt;0,$T88&gt;0,$X88&gt;0,$R88&gt;0,$Z88&gt;0,$AB88&gt;0,$AD88&gt;0,$AF88&gt;0,$AH88&gt;0),"","0-"),99,0,REPLACE(TEXT(100-$AJ88,0),99,0,"%?    ")),"")))))</f>
        <v/>
      </c>
      <c r="T88" s="1864"/>
      <c r="U88" s="1865" t="str">
        <f>IF($N88="","",IF(AND($N88="",OR($H88="",$H88=0)),"",IF(AND($N88="LF",$AJ88&lt;$H88),"0 - "&amp;TEXT(($H88-$AJ88)/1000,"0")&amp;"k lin. ft.?    ",IF(AND($N88="TF",$AJ88&lt;$J88),"0 - "&amp;TEXT(($J88-$AJ88)/1000,"0")&amp;"k track ft.?    ",IF(AND($N88="%",$AJ88&lt;1),REPLACE(IF(AND($P88&gt;0,$V88&gt;0,$T88&gt;0,$X88&gt;0,$R88&gt;0,$Z88&gt;0,$AB88&gt;0,$AD88&gt;0,$AF88&gt;0,$AH88&gt;0),"","0-"),99,0,REPLACE(TEXT(100-$AJ88,0),99,0,"%?    ")),"")))))</f>
        <v/>
      </c>
      <c r="V88" s="1864"/>
      <c r="W88" s="1865" t="str">
        <f>IF($N88="","",IF(AND($N88="",OR($H88="",$H88=0)),"",IF(AND($N88="LF",$AJ88&lt;$H88),"0 - "&amp;TEXT(($H88-$AJ88)/1000,"0")&amp;"k lin. ft.?    ",IF(AND($N88="TF",$AJ88&lt;$J88),"0 - "&amp;TEXT(($J88-$AJ88)/1000,"0")&amp;"k track ft.?    ",IF(AND($N88="%",$AJ88&lt;1),REPLACE(IF(AND($P88&gt;0,$V88&gt;0,$T88&gt;0,$X88&gt;0,$R88&gt;0,$Z88&gt;0,$AB88&gt;0,$AD88&gt;0,$AF88&gt;0,$AH88&gt;0),"","0-"),99,0,REPLACE(TEXT(100-$AJ88,0),99,0,"%?    ")),"")))))</f>
        <v/>
      </c>
      <c r="X88" s="1864"/>
      <c r="Y88" s="1865" t="str">
        <f>IF($N88="","",IF(AND($N88="",OR($H88="",$H88=0)),"",IF(AND($N88="LF",$AJ88&lt;$H88),"0 - "&amp;TEXT(($H88-$AJ88)/1000,"0")&amp;"k lin. ft.?    ",IF(AND($N88="TF",$AJ88&lt;$J88),"0 - "&amp;TEXT(($J88-$AJ88)/1000,"0")&amp;"k track ft.?    ",IF(AND($N88="%",$AJ88&lt;1),REPLACE(IF(AND($P88&gt;0,$V88&gt;0,$T88&gt;0,$X88&gt;0,$R88&gt;0,$Z88&gt;0,$AB88&gt;0,$AD88&gt;0,$AF88&gt;0,$AH88&gt;0),"","0-"),99,0,REPLACE(TEXT(100-$AJ88,0),99,0,"%?    ")),"")))))</f>
        <v/>
      </c>
      <c r="Z88" s="1864"/>
      <c r="AA88" s="1865" t="str">
        <f>IF($N88="","",IF(AND($N88="",OR($H88="",$H88=0)),"",IF(AND($N88="LF",$AJ88&lt;$H88),"0 - "&amp;TEXT(($H88-$AJ88)/1000,"0")&amp;"k lin. ft.?    ",IF(AND($N88="TF",$AJ88&lt;$J88),"0 - "&amp;TEXT(($J88-$AJ88)/1000,"0")&amp;"k track ft.?    ",IF(AND($N88="%",$AJ88&lt;1),REPLACE(IF(AND($P88&gt;0,$V88&gt;0,$T88&gt;0,$X88&gt;0,$R88&gt;0,$Z88&gt;0,$AB88&gt;0,$AD88&gt;0,$AF88&gt;0,$AH88&gt;0),"","0-"),99,0,REPLACE(TEXT(100-$AJ88,0),99,0,"%?    ")),"")))))</f>
        <v/>
      </c>
      <c r="AB88" s="1864"/>
      <c r="AC88" s="1865" t="str">
        <f>IF($N88="","",IF(AND($N88="",OR($H88="",$H88=0)),"",IF(AND($N88="LF",$AJ88&lt;$H88),"0 - "&amp;TEXT(($H88-$AJ88)/1000,"0")&amp;"k lin. ft.?    ",IF(AND($N88="TF",$AJ88&lt;$J88),"0 - "&amp;TEXT(($J88-$AJ88)/1000,"0")&amp;"k track ft.?    ",IF(AND($N88="%",$AJ88&lt;1),REPLACE(IF(AND($P88&gt;0,$V88&gt;0,$T88&gt;0,$X88&gt;0,$R88&gt;0,$Z88&gt;0,$AB88&gt;0,$AD88&gt;0,$AF88&gt;0,$AH88&gt;0),"","0-"),99,0,REPLACE(TEXT(100-$AJ88,0),99,0,"%?    ")),"")))))</f>
        <v/>
      </c>
      <c r="AD88" s="1864"/>
      <c r="AE88" s="1865" t="str">
        <f>IF($N88="","",IF(AND($N88="",OR($H88="",$H88=0)),"",IF(AND($N88="LF",$AJ88&lt;$H88),"0 - "&amp;TEXT(($H88-$AJ88)/1000,"0")&amp;"k lin. ft.?    ",IF(AND($N88="TF",$AJ88&lt;$J88),"0 - "&amp;TEXT(($J88-$AJ88)/1000,"0")&amp;"k track ft.?    ",IF(AND($N88="%",$AJ88&lt;1),REPLACE(IF(AND($P88&gt;0,$V88&gt;0,$T88&gt;0,$X88&gt;0,$R88&gt;0,$Z88&gt;0,$AB88&gt;0,$AD88&gt;0,$AF88&gt;0,$AH88&gt;0),"","0-"),99,0,REPLACE(TEXT(100-$AJ88,0),99,0,"%?    ")),"")))))</f>
        <v/>
      </c>
      <c r="AF88" s="1864"/>
      <c r="AG88" s="1865" t="str">
        <f>IF($N88="","",IF(AND($N88="",OR($H88="",$H88=0)),"",IF(AND($N88="LF",$AJ88&lt;$H88),"0 - "&amp;TEXT(($H88-$AJ88)/1000,"0")&amp;"k lin. ft.?    ",IF(AND($N88="TF",$AJ88&lt;$J88),"0 - "&amp;TEXT(($J88-$AJ88)/1000,"0")&amp;"k track ft.?    ",IF(AND($N88="%",$AJ88&lt;1),REPLACE(IF(AND($P88&gt;0,$V88&gt;0,$T88&gt;0,$X88&gt;0,$R88&gt;0,$Z88&gt;0,$AB88&gt;0,$AD88&gt;0,$AF88&gt;0,$AH88&gt;0),"","0-"),99,0,REPLACE(TEXT(100-$AJ88,0),99,0,"%?    ")),"")))))</f>
        <v/>
      </c>
      <c r="AH88" s="1864"/>
      <c r="AI88" s="904" t="str">
        <f>IF($N88="","",IF(AND($N88="",OR($H88="",$H88=0)),"",IF(AND($N88="LF",$AJ88&lt;$H88),"0 - "&amp;TEXT(($H88-$AJ88)/1000,"0")&amp;"k lin. ft.?    ",IF(AND($N88="TF",$AJ88&lt;$J88),"0 - "&amp;TEXT(($J88-$AJ88)/1000,"0")&amp;"k track ft.?    ",IF(AND($N88="%",$AJ88&lt;1),REPLACE(IF(AND($P88&gt;0,$V88&gt;0,$T88&gt;0,$X88&gt;0,$R88&gt;0,$Z88&gt;0,$AB88&gt;0,$AD88&gt;0,$AF88&gt;0,$AH88&gt;0),"","0-"),99,0,REPLACE(TEXT(100-$AJ88,0),99,0,"%?    ")),"")))))</f>
        <v/>
      </c>
      <c r="AJ88" s="1833">
        <f>IFERROR(IF(N88="%", SUM(P88,R88,T88,V88,X88,Z88,AB88,AD88,AF88,AH88)/100, SUM(P88,R88,T88,V88,X88,Z88,AB88,AD88,AF88,AH88)/IF(N88="LF", H88,J88)), 0)</f>
        <v>0</v>
      </c>
      <c r="AK88" s="1648"/>
      <c r="AL88" s="1675"/>
      <c r="AM88" s="1399"/>
      <c r="AN88" s="1808"/>
      <c r="AO88" s="1399"/>
      <c r="AP88" s="1653"/>
      <c r="AQ88" s="1399"/>
      <c r="AS88" s="1399"/>
      <c r="AT88" s="1624" t="str">
        <f>IF(AND($C$69="", H88="", J88=""), "N/A", IF(OR(AND(ISNUMBER(H88), ISNUMBER(J88), H88=0, J88=0), AND(AJ88=1, H88&lt;&gt;"", J88&lt;&gt;"", L88&lt;&gt;"", N88&lt;&gt;"", P88&lt;&gt;"", R88&lt;&gt;"", T88&lt;&gt;"", V88&lt;&gt;"", X88&lt;&gt;"", Z88&lt;&gt;"", AB88&lt;&gt;"", AD88&lt;&gt;"", AF88&lt;&gt;"", AH88&lt;&gt;"",AL88&lt;&gt;"", IF(AND(AL88&lt;1, AN88=""), FALSE, TRUE))), "Yes", "No"))</f>
        <v>N/A</v>
      </c>
      <c r="AU88" s="759" t="b">
        <f>IF(AND(H88="",OR(L88&lt;&gt;"",P88&lt;&gt;"",R88&lt;&gt;"",T88&lt;&gt;"",V88&lt;&gt;"",X88&lt;&gt;"",AL88&lt;&gt;"",Z88&lt;&gt;"",AB88&lt;&gt;"",AD88&lt;&gt;"",AF88&lt;&gt;"",AH88&lt;&gt;"")),TRUE,FALSE)</f>
        <v>0</v>
      </c>
      <c r="AV88" s="759" t="b">
        <f>IF(OR(H88="",H88=0),FALSE,IF(H88&gt;BM88,TRUE,FALSE))</f>
        <v>0</v>
      </c>
      <c r="AW88" s="759" t="b">
        <f>IF(AND($C$69&lt;&gt;"",$H88=""),TRUE,FALSE)</f>
        <v>0</v>
      </c>
      <c r="AX88" s="759" t="b">
        <f>IF(E88="yes",FALSE,IF(H88="0",FALSE,IF(AND($C$69&lt;&gt;"",J88=""),TRUE,FALSE)))</f>
        <v>0</v>
      </c>
      <c r="AY88" s="759" t="b">
        <f>IF($L88="",FALSE,IF($L88&lt;$BO88,TRUE,FALSE))</f>
        <v>0</v>
      </c>
      <c r="AZ88" s="759" t="b">
        <f>IF($L88="",FALSE,IF($L88&gt;$BP88,TRUE,FALSE))</f>
        <v>0</v>
      </c>
      <c r="BA88" s="759" t="b">
        <f>IF(H88=0,FALSE,IF(AND(E88&lt;&gt;"",$L88=""),TRUE,FALSE))</f>
        <v>0</v>
      </c>
      <c r="BB88" s="759" t="b">
        <f>IF(AND($AJ88&lt;&gt;0,$H88&lt;&gt;$BJ88,$N88="LF"),TRUE,IF(AND($AJ88&lt;&gt;0,$J88&lt;&gt;$AJ88,$N88="TF"),TRUE,IF(AND($AJ88&lt;&gt;0,$AJ88&lt;&gt;1,$N88="%"),TRUE,FALSE)))</f>
        <v>0</v>
      </c>
      <c r="BC88" s="759" t="b">
        <f>IF(AT88="No", IF(OR(P88="", R88="", T88="", V88="", X88="", Z88="", AB88="", AD88="", AF88="", AH88=""), TRUE, FALSE), FALSE)</f>
        <v>0</v>
      </c>
      <c r="BD88" s="759" t="b">
        <f>IF($BE88=TRUE,FALSE,IF(OR($AL88&lt;0,$AL88&gt;1),TRUE,FALSE))</f>
        <v>0</v>
      </c>
      <c r="BE88" s="759" t="b">
        <f>IF(AND($H88&lt;&gt;0,$AL88=""),TRUE,FALSE)</f>
        <v>0</v>
      </c>
      <c r="BF88" s="759" t="b">
        <f>IF(N88="%",TRUE,FALSE)</f>
        <v>0</v>
      </c>
      <c r="BG88" s="760"/>
      <c r="BH88" s="1678">
        <f>IF($C88="","",VLOOKUP($C88,val_fg_assets,9,FALSE))</f>
        <v>1</v>
      </c>
      <c r="BI88" s="1678" t="str">
        <f>IF(N88="", "", IF(N88="LF", H88, IF(N88="TF", J88, IF(N88="%", 1, ""))))</f>
        <v/>
      </c>
      <c r="BJ88" s="1679">
        <f>P88+R88+T88+V88+X88+Z88+AB88+AD88+AF88+AH88</f>
        <v>0</v>
      </c>
      <c r="BK88" s="1679" t="str">
        <f>IF(BI88="", "", BI88-BJ88)</f>
        <v/>
      </c>
      <c r="BL88" s="1679">
        <f>IF($C88="","",VLOOKUP($C88,val_fg_assets,3,FALSE))</f>
        <v>0</v>
      </c>
      <c r="BM88" s="1679">
        <f>IF($C88="","",VLOOKUP($C88,val_fg_assets,4,FALSE))</f>
        <v>1320000</v>
      </c>
      <c r="BN88" s="1678">
        <f>IF($C88="","",VLOOKUP($C88,val_fg_assets,5,FALSE))</f>
        <v>80</v>
      </c>
      <c r="BO88" s="1678">
        <f>IF($C88="","",VLOOKUP($C88,val_fg_assets,6,FALSE))</f>
        <v>60</v>
      </c>
      <c r="BP88" s="1678">
        <f>IF($C88="","",VLOOKUP($C88,val_fg_assets,7,FALSE))</f>
        <v>100</v>
      </c>
      <c r="BQ88" s="1399"/>
    </row>
    <row r="89" spans="1:69" s="782" customFormat="1" ht="3.95" customHeight="1" x14ac:dyDescent="0.2">
      <c r="A89" s="852"/>
      <c r="B89" s="1791">
        <v>77</v>
      </c>
      <c r="C89" s="851"/>
      <c r="D89" s="1841"/>
      <c r="E89" s="1059"/>
      <c r="F89" s="686"/>
      <c r="G89" s="686"/>
      <c r="H89" s="1913"/>
      <c r="I89" s="1908"/>
      <c r="J89" s="1908"/>
      <c r="K89" s="1908"/>
      <c r="L89" s="1909"/>
      <c r="M89" s="722"/>
      <c r="N89" s="1912"/>
      <c r="O89" s="722"/>
      <c r="P89" s="1866"/>
      <c r="Q89" s="1867"/>
      <c r="R89" s="1866"/>
      <c r="S89" s="1867"/>
      <c r="T89" s="1866"/>
      <c r="U89" s="1867"/>
      <c r="V89" s="1866"/>
      <c r="W89" s="1867"/>
      <c r="X89" s="1866"/>
      <c r="Y89" s="1867"/>
      <c r="Z89" s="1867"/>
      <c r="AA89" s="1867"/>
      <c r="AB89" s="1867"/>
      <c r="AC89" s="1867"/>
      <c r="AD89" s="1867"/>
      <c r="AE89" s="1867"/>
      <c r="AF89" s="1867"/>
      <c r="AG89" s="1867"/>
      <c r="AH89" s="1867"/>
      <c r="AI89" s="837"/>
      <c r="AJ89" s="1828"/>
      <c r="AK89" s="724"/>
      <c r="AL89" s="1806"/>
      <c r="AM89" s="1399"/>
      <c r="AN89" s="1258"/>
      <c r="AO89" s="1399"/>
      <c r="AP89" s="1399"/>
      <c r="AQ89" s="1399"/>
      <c r="AS89" s="1399"/>
      <c r="AT89" s="1399"/>
      <c r="AU89" s="759"/>
      <c r="AV89" s="759"/>
      <c r="AW89" s="759"/>
      <c r="AX89" s="759"/>
      <c r="AY89" s="759"/>
      <c r="AZ89" s="759"/>
      <c r="BA89" s="759"/>
      <c r="BB89" s="759"/>
      <c r="BC89" s="759"/>
      <c r="BD89" s="759"/>
      <c r="BE89" s="759"/>
      <c r="BF89" s="759"/>
      <c r="BG89" s="760"/>
      <c r="BH89" s="1678"/>
      <c r="BI89" s="1678"/>
      <c r="BJ89" s="1678"/>
      <c r="BK89" s="1678"/>
      <c r="BL89" s="1679"/>
      <c r="BM89" s="1679"/>
      <c r="BN89" s="1678"/>
      <c r="BO89" s="1678"/>
      <c r="BP89" s="1678"/>
      <c r="BQ89" s="1399"/>
    </row>
    <row r="90" spans="1:69" s="782" customFormat="1" ht="3.95" customHeight="1" thickBot="1" x14ac:dyDescent="0.25">
      <c r="A90" s="852"/>
      <c r="B90" s="1791">
        <v>78</v>
      </c>
      <c r="C90" s="851"/>
      <c r="D90" s="1841"/>
      <c r="E90" s="1059"/>
      <c r="F90" s="686"/>
      <c r="G90" s="686"/>
      <c r="H90" s="1913"/>
      <c r="I90" s="1908"/>
      <c r="J90" s="1908"/>
      <c r="K90" s="1908"/>
      <c r="L90" s="1909"/>
      <c r="M90" s="722"/>
      <c r="N90" s="1912"/>
      <c r="O90" s="722"/>
      <c r="P90" s="1868"/>
      <c r="Q90" s="1869"/>
      <c r="R90" s="1868"/>
      <c r="S90" s="1869"/>
      <c r="T90" s="1868"/>
      <c r="U90" s="1869"/>
      <c r="V90" s="1868"/>
      <c r="W90" s="1869"/>
      <c r="X90" s="1868"/>
      <c r="Y90" s="1869"/>
      <c r="Z90" s="1869"/>
      <c r="AA90" s="1869"/>
      <c r="AB90" s="1869"/>
      <c r="AC90" s="1869"/>
      <c r="AD90" s="1869"/>
      <c r="AE90" s="1869"/>
      <c r="AF90" s="1869"/>
      <c r="AG90" s="1869"/>
      <c r="AH90" s="1869"/>
      <c r="AI90" s="1670"/>
      <c r="AJ90" s="1828"/>
      <c r="AK90" s="724"/>
      <c r="AL90" s="1806"/>
      <c r="AM90" s="1399"/>
      <c r="AN90" s="1258"/>
      <c r="AO90" s="1399"/>
      <c r="AP90" s="1399"/>
      <c r="AQ90" s="1399"/>
      <c r="AS90" s="1399"/>
      <c r="AT90" s="1399"/>
      <c r="AU90" s="759"/>
      <c r="AV90" s="759"/>
      <c r="AW90" s="759"/>
      <c r="AX90" s="759"/>
      <c r="AY90" s="759"/>
      <c r="AZ90" s="759"/>
      <c r="BA90" s="759"/>
      <c r="BB90" s="759"/>
      <c r="BC90" s="759"/>
      <c r="BD90" s="759"/>
      <c r="BE90" s="759"/>
      <c r="BF90" s="759"/>
      <c r="BG90" s="760"/>
      <c r="BH90" s="1678"/>
      <c r="BI90" s="1678"/>
      <c r="BJ90" s="1678"/>
      <c r="BK90" s="1678"/>
      <c r="BL90" s="1679"/>
      <c r="BM90" s="1679"/>
      <c r="BN90" s="1678"/>
      <c r="BO90" s="1678"/>
      <c r="BP90" s="1678"/>
      <c r="BQ90" s="1399"/>
    </row>
    <row r="91" spans="1:69" s="782" customFormat="1" x14ac:dyDescent="0.2">
      <c r="A91" s="852">
        <f>A88+1</f>
        <v>21</v>
      </c>
      <c r="B91" s="1791">
        <v>79</v>
      </c>
      <c r="C91" s="851" t="str">
        <f>Valid!$B$77</f>
        <v>Below-Grade/Cut-and-Cover Tunnel</v>
      </c>
      <c r="D91" s="1841"/>
      <c r="E91" s="1245" t="str">
        <f>IF(AT91="N/A","",IF(AT91="N","No","Yes"))</f>
        <v/>
      </c>
      <c r="F91" s="686"/>
      <c r="G91" s="686"/>
      <c r="H91" s="1864"/>
      <c r="I91" s="1904" t="str">
        <f>IF(C69="","",IF(J91&lt;&gt;"","Linear Feet   ","Qty? Enter Zero if N/A  "))</f>
        <v/>
      </c>
      <c r="J91" s="1864"/>
      <c r="K91" s="1904" t="str">
        <f>IF(E91="yes","",IF(C69="","",IF(H91="","Qty? Enter Zero if N/A  ",IF(H91&lt;&gt;"","Track Feet      ",""))))</f>
        <v/>
      </c>
      <c r="L91" s="1864"/>
      <c r="M91" s="1620" t="str">
        <f>IF($H91=0,"",IF($L91="",TEXT(BN91,0)&amp;" Years?    ",""))</f>
        <v/>
      </c>
      <c r="N91" s="1905"/>
      <c r="O91" s="1620"/>
      <c r="P91" s="1864"/>
      <c r="Q91" s="1865" t="str">
        <f>IF($N91="","",IF(AND($N91="",OR($H91="",$H91=0)),"",IF(AND($N91="LF",$AJ91&lt;$H91),"0 - "&amp;TEXT(($H91-$AJ91)/1000,"0")&amp;"k lin. ft.?    ",IF(AND($N91="TF",$AJ91&lt;$J91),"0 - "&amp;TEXT(($J91-$AJ91)/1000,"0")&amp;"k track ft.?    ",IF(AND($N91="%",$AJ91&lt;1),REPLACE(IF(AND($P91&gt;0,$V91&gt;0,$T91&gt;0,$X91&gt;0,$R91&gt;0,$Z91&gt;0,$AB91&gt;0,$AD91&gt;0,$AF91&gt;0,$AH91&gt;0),"","0-"),99,0,REPLACE(TEXT(100-$AJ91,0),99,0,"%?    ")),"")))))</f>
        <v/>
      </c>
      <c r="R91" s="1864"/>
      <c r="S91" s="1865" t="str">
        <f>IF($N91="","",IF(AND($N91="",OR($H91="",$H91=0)),"",IF(AND($N91="LF",$AJ91&lt;$H91),"0 - "&amp;TEXT(($H91-$AJ91)/1000,"0")&amp;"k lin. ft.?    ",IF(AND($N91="TF",$AJ91&lt;$J91),"0 - "&amp;TEXT(($J91-$AJ91)/1000,"0")&amp;"k track ft.?    ",IF(AND($N91="%",$AJ91&lt;1),REPLACE(IF(AND($P91&gt;0,$V91&gt;0,$T91&gt;0,$X91&gt;0,$R91&gt;0,$Z91&gt;0,$AB91&gt;0,$AD91&gt;0,$AF91&gt;0,$AH91&gt;0),"","0-"),99,0,REPLACE(TEXT(100-$AJ91,0),99,0,"%?    ")),"")))))</f>
        <v/>
      </c>
      <c r="T91" s="1864"/>
      <c r="U91" s="1865" t="str">
        <f>IF($N91="","",IF(AND($N91="",OR($H91="",$H91=0)),"",IF(AND($N91="LF",$AJ91&lt;$H91),"0 - "&amp;TEXT(($H91-$AJ91)/1000,"0")&amp;"k lin. ft.?    ",IF(AND($N91="TF",$AJ91&lt;$J91),"0 - "&amp;TEXT(($J91-$AJ91)/1000,"0")&amp;"k track ft.?    ",IF(AND($N91="%",$AJ91&lt;1),REPLACE(IF(AND($P91&gt;0,$V91&gt;0,$T91&gt;0,$X91&gt;0,$R91&gt;0,$Z91&gt;0,$AB91&gt;0,$AD91&gt;0,$AF91&gt;0,$AH91&gt;0),"","0-"),99,0,REPLACE(TEXT(100-$AJ91,0),99,0,"%?    ")),"")))))</f>
        <v/>
      </c>
      <c r="V91" s="1864"/>
      <c r="W91" s="1865" t="str">
        <f>IF($N91="","",IF(AND($N91="",OR($H91="",$H91=0)),"",IF(AND($N91="LF",$AJ91&lt;$H91),"0 - "&amp;TEXT(($H91-$AJ91)/1000,"0")&amp;"k lin. ft.?    ",IF(AND($N91="TF",$AJ91&lt;$J91),"0 - "&amp;TEXT(($J91-$AJ91)/1000,"0")&amp;"k track ft.?    ",IF(AND($N91="%",$AJ91&lt;1),REPLACE(IF(AND($P91&gt;0,$V91&gt;0,$T91&gt;0,$X91&gt;0,$R91&gt;0,$Z91&gt;0,$AB91&gt;0,$AD91&gt;0,$AF91&gt;0,$AH91&gt;0),"","0-"),99,0,REPLACE(TEXT(100-$AJ91,0),99,0,"%?    ")),"")))))</f>
        <v/>
      </c>
      <c r="X91" s="1864"/>
      <c r="Y91" s="1865" t="str">
        <f>IF($N91="","",IF(AND($N91="",OR($H91="",$H91=0)),"",IF(AND($N91="LF",$AJ91&lt;$H91),"0 - "&amp;TEXT(($H91-$AJ91)/1000,"0")&amp;"k lin. ft.?    ",IF(AND($N91="TF",$AJ91&lt;$J91),"0 - "&amp;TEXT(($J91-$AJ91)/1000,"0")&amp;"k track ft.?    ",IF(AND($N91="%",$AJ91&lt;1),REPLACE(IF(AND($P91&gt;0,$V91&gt;0,$T91&gt;0,$X91&gt;0,$R91&gt;0,$Z91&gt;0,$AB91&gt;0,$AD91&gt;0,$AF91&gt;0,$AH91&gt;0),"","0-"),99,0,REPLACE(TEXT(100-$AJ91,0),99,0,"%?    ")),"")))))</f>
        <v/>
      </c>
      <c r="Z91" s="1864"/>
      <c r="AA91" s="1865" t="str">
        <f>IF($N91="","",IF(AND($N91="",OR($H91="",$H91=0)),"",IF(AND($N91="LF",$AJ91&lt;$H91),"0 - "&amp;TEXT(($H91-$AJ91)/1000,"0")&amp;"k lin. ft.?    ",IF(AND($N91="TF",$AJ91&lt;$J91),"0 - "&amp;TEXT(($J91-$AJ91)/1000,"0")&amp;"k track ft.?    ",IF(AND($N91="%",$AJ91&lt;1),REPLACE(IF(AND($P91&gt;0,$V91&gt;0,$T91&gt;0,$X91&gt;0,$R91&gt;0,$Z91&gt;0,$AB91&gt;0,$AD91&gt;0,$AF91&gt;0,$AH91&gt;0),"","0-"),99,0,REPLACE(TEXT(100-$AJ91,0),99,0,"%?    ")),"")))))</f>
        <v/>
      </c>
      <c r="AB91" s="1864"/>
      <c r="AC91" s="1865" t="str">
        <f>IF($N91="","",IF(AND($N91="",OR($H91="",$H91=0)),"",IF(AND($N91="LF",$AJ91&lt;$H91),"0 - "&amp;TEXT(($H91-$AJ91)/1000,"0")&amp;"k lin. ft.?    ",IF(AND($N91="TF",$AJ91&lt;$J91),"0 - "&amp;TEXT(($J91-$AJ91)/1000,"0")&amp;"k track ft.?    ",IF(AND($N91="%",$AJ91&lt;1),REPLACE(IF(AND($P91&gt;0,$V91&gt;0,$T91&gt;0,$X91&gt;0,$R91&gt;0,$Z91&gt;0,$AB91&gt;0,$AD91&gt;0,$AF91&gt;0,$AH91&gt;0),"","0-"),99,0,REPLACE(TEXT(100-$AJ91,0),99,0,"%?    ")),"")))))</f>
        <v/>
      </c>
      <c r="AD91" s="1864"/>
      <c r="AE91" s="1865" t="str">
        <f>IF($N91="","",IF(AND($N91="",OR($H91="",$H91=0)),"",IF(AND($N91="LF",$AJ91&lt;$H91),"0 - "&amp;TEXT(($H91-$AJ91)/1000,"0")&amp;"k lin. ft.?    ",IF(AND($N91="TF",$AJ91&lt;$J91),"0 - "&amp;TEXT(($J91-$AJ91)/1000,"0")&amp;"k track ft.?    ",IF(AND($N91="%",$AJ91&lt;1),REPLACE(IF(AND($P91&gt;0,$V91&gt;0,$T91&gt;0,$X91&gt;0,$R91&gt;0,$Z91&gt;0,$AB91&gt;0,$AD91&gt;0,$AF91&gt;0,$AH91&gt;0),"","0-"),99,0,REPLACE(TEXT(100-$AJ91,0),99,0,"%?    ")),"")))))</f>
        <v/>
      </c>
      <c r="AF91" s="1864"/>
      <c r="AG91" s="1865" t="str">
        <f>IF($N91="","",IF(AND($N91="",OR($H91="",$H91=0)),"",IF(AND($N91="LF",$AJ91&lt;$H91),"0 - "&amp;TEXT(($H91-$AJ91)/1000,"0")&amp;"k lin. ft.?    ",IF(AND($N91="TF",$AJ91&lt;$J91),"0 - "&amp;TEXT(($J91-$AJ91)/1000,"0")&amp;"k track ft.?    ",IF(AND($N91="%",$AJ91&lt;1),REPLACE(IF(AND($P91&gt;0,$V91&gt;0,$T91&gt;0,$X91&gt;0,$R91&gt;0,$Z91&gt;0,$AB91&gt;0,$AD91&gt;0,$AF91&gt;0,$AH91&gt;0),"","0-"),99,0,REPLACE(TEXT(100-$AJ91,0),99,0,"%?    ")),"")))))</f>
        <v/>
      </c>
      <c r="AH91" s="1864"/>
      <c r="AI91" s="904" t="str">
        <f>IF($N91="","",IF(AND($N91="",OR($H91="",$H91=0)),"",IF(AND($N91="LF",$AJ91&lt;$H91),"0 - "&amp;TEXT(($H91-$AJ91)/1000,"0")&amp;"k lin. ft.?    ",IF(AND($N91="TF",$AJ91&lt;$J91),"0 - "&amp;TEXT(($J91-$AJ91)/1000,"0")&amp;"k track ft.?    ",IF(AND($N91="%",$AJ91&lt;1),REPLACE(IF(AND($P91&gt;0,$V91&gt;0,$T91&gt;0,$X91&gt;0,$R91&gt;0,$Z91&gt;0,$AB91&gt;0,$AD91&gt;0,$AF91&gt;0,$AH91&gt;0),"","0-"),99,0,REPLACE(TEXT(100-$AJ91,0),99,0,"%?    ")),"")))))</f>
        <v/>
      </c>
      <c r="AJ91" s="1833">
        <f>IFERROR(IF(N91="%", SUM(P91,R91,T91,V91,X91,Z91,AB91,AD91,AF91,AH91)/100, SUM(P91,R91,T91,V91,X91,Z91,AB91,AD91,AF91,AH91)/IF(N91="LF", H91,J91)), 0)</f>
        <v>0</v>
      </c>
      <c r="AK91" s="1648"/>
      <c r="AL91" s="1675"/>
      <c r="AM91" s="1399"/>
      <c r="AN91" s="1671"/>
      <c r="AO91" s="1399"/>
      <c r="AP91" s="1653"/>
      <c r="AQ91" s="1399"/>
      <c r="AS91" s="1399"/>
      <c r="AT91" s="1624" t="str">
        <f>IF(AND($C$69="", H91="", J91=""), "N/A", IF(OR(AND(ISNUMBER(H91), ISNUMBER(J91), H91=0, J91=0), AND(AJ91=1, H91&lt;&gt;"", J91&lt;&gt;"", L91&lt;&gt;"", N91&lt;&gt;"", P91&lt;&gt;"", R91&lt;&gt;"", T91&lt;&gt;"", V91&lt;&gt;"", X91&lt;&gt;"", Z91&lt;&gt;"", AB91&lt;&gt;"", AD91&lt;&gt;"", AF91&lt;&gt;"", AH91&lt;&gt;"",AL91&lt;&gt;"", IF(AND(AL91&lt;1, AN91=""), FALSE, TRUE))), "Yes", "No"))</f>
        <v>N/A</v>
      </c>
      <c r="AU91" s="759" t="b">
        <f>IF(AND(H91="",OR(L91&lt;&gt;"",P91&lt;&gt;"",R91&lt;&gt;"",T91&lt;&gt;"",V91&lt;&gt;"",X91&lt;&gt;"",AL91&lt;&gt;"",Z91&lt;&gt;"",AB91&lt;&gt;"",AD91&lt;&gt;"",AF91&lt;&gt;"",AH91&lt;&gt;"")),TRUE,FALSE)</f>
        <v>0</v>
      </c>
      <c r="AV91" s="759" t="b">
        <f>IF(OR(H91="",H91=0),FALSE,IF(H91&gt;BM91,TRUE,FALSE))</f>
        <v>0</v>
      </c>
      <c r="AW91" s="759" t="b">
        <f>IF(AND($C$69&lt;&gt;"",$H91=""),TRUE,FALSE)</f>
        <v>0</v>
      </c>
      <c r="AX91" s="759" t="b">
        <f>IF(E91="yes",FALSE,IF(H91="0",FALSE,IF(AND($C$69&lt;&gt;"",J91=""),TRUE,FALSE)))</f>
        <v>0</v>
      </c>
      <c r="AY91" s="759" t="b">
        <f>IF($L91="",FALSE,IF($L91&lt;$BO91,TRUE,FALSE))</f>
        <v>0</v>
      </c>
      <c r="AZ91" s="759" t="b">
        <f>IF($L91="",FALSE,IF($L91&gt;$BP91,TRUE,FALSE))</f>
        <v>0</v>
      </c>
      <c r="BA91" s="759" t="b">
        <f>IF(H91=0,FALSE,IF(AND(E91&lt;&gt;"",$L91=""),TRUE,FALSE))</f>
        <v>0</v>
      </c>
      <c r="BB91" s="759" t="b">
        <f>IF(AND($AJ91&lt;&gt;0,$H91&lt;&gt;$BJ91,$N91="LF"),TRUE,IF(AND($AJ91&lt;&gt;0,$J91&lt;&gt;$AJ91,$N91="TF"),TRUE,IF(AND($AJ91&lt;&gt;0,$AJ91&lt;&gt;1,$N91="%"),TRUE,FALSE)))</f>
        <v>0</v>
      </c>
      <c r="BC91" s="759" t="b">
        <f>IF(AT91="No", IF(OR(P91="", R91="", T91="", V91="", X91="", Z91="", AB91="", AD91="", AF91="", AH91=""), TRUE, FALSE), FALSE)</f>
        <v>0</v>
      </c>
      <c r="BD91" s="759" t="b">
        <f>IF($BE91=TRUE,FALSE,IF(OR($AL91&lt;0,$AL91&gt;1),TRUE,FALSE))</f>
        <v>0</v>
      </c>
      <c r="BE91" s="759" t="b">
        <f>IF(AND($H91&lt;&gt;0,$AL91=""),TRUE,FALSE)</f>
        <v>0</v>
      </c>
      <c r="BF91" s="759" t="b">
        <f>IF(N91="%",TRUE,FALSE)</f>
        <v>0</v>
      </c>
      <c r="BG91" s="760"/>
      <c r="BH91" s="1678">
        <f>IF($C91="","",VLOOKUP($C91,val_fg_assets,9,FALSE))</f>
        <v>1</v>
      </c>
      <c r="BI91" s="1678" t="str">
        <f>IF(N91="", "", IF(N91="LF", H91, IF(N91="TF", J91, IF(N91="%", 1, ""))))</f>
        <v/>
      </c>
      <c r="BJ91" s="1679">
        <f>P91+R91+T91+V91+X91+Z91+AB91+AD91+AF91+AH91</f>
        <v>0</v>
      </c>
      <c r="BK91" s="1679" t="str">
        <f>IF(BI91="", "", BI91-BJ91)</f>
        <v/>
      </c>
      <c r="BL91" s="1679">
        <f>IF($C91="","",VLOOKUP($C91,val_fg_assets,3,FALSE))</f>
        <v>0</v>
      </c>
      <c r="BM91" s="1679">
        <f>IF($C91="","",VLOOKUP($C91,val_fg_assets,4,FALSE))</f>
        <v>1320000</v>
      </c>
      <c r="BN91" s="1678">
        <f>IF($C91="","",VLOOKUP($C91,val_fg_assets,5,FALSE))</f>
        <v>80</v>
      </c>
      <c r="BO91" s="1678">
        <f>IF($C91="","",VLOOKUP($C91,val_fg_assets,6,FALSE))</f>
        <v>60</v>
      </c>
      <c r="BP91" s="1678">
        <f>IF($C91="","",VLOOKUP($C91,val_fg_assets,7,FALSE))</f>
        <v>100</v>
      </c>
      <c r="BQ91" s="1399"/>
    </row>
    <row r="92" spans="1:69" s="782" customFormat="1" ht="3.95" customHeight="1" x14ac:dyDescent="0.2">
      <c r="A92" s="852"/>
      <c r="B92" s="1790">
        <v>80</v>
      </c>
      <c r="C92" s="1673"/>
      <c r="D92" s="1841"/>
      <c r="E92" s="1057"/>
      <c r="F92" s="764"/>
      <c r="G92" s="686">
        <v>7</v>
      </c>
      <c r="H92" s="1906"/>
      <c r="I92" s="1907"/>
      <c r="J92" s="1908"/>
      <c r="K92" s="1907"/>
      <c r="L92" s="1909"/>
      <c r="M92" s="1910"/>
      <c r="N92" s="1911"/>
      <c r="O92" s="1910"/>
      <c r="P92" s="1866"/>
      <c r="Q92" s="1867"/>
      <c r="R92" s="1866"/>
      <c r="S92" s="1867"/>
      <c r="T92" s="1866"/>
      <c r="U92" s="1867"/>
      <c r="V92" s="1866"/>
      <c r="W92" s="1867"/>
      <c r="X92" s="1866"/>
      <c r="Y92" s="1867"/>
      <c r="Z92" s="1867"/>
      <c r="AA92" s="1867"/>
      <c r="AB92" s="1867"/>
      <c r="AC92" s="1867"/>
      <c r="AD92" s="1867"/>
      <c r="AE92" s="1867"/>
      <c r="AF92" s="1867"/>
      <c r="AG92" s="1867"/>
      <c r="AH92" s="1867"/>
      <c r="AI92" s="837"/>
      <c r="AJ92" s="1806"/>
      <c r="AK92" s="841"/>
      <c r="AL92" s="1806"/>
      <c r="AM92" s="1399"/>
      <c r="AN92" s="838"/>
      <c r="AO92" s="1399"/>
      <c r="AP92" s="1223"/>
      <c r="AQ92" s="1399"/>
      <c r="AS92" s="1399"/>
      <c r="AT92" s="1399"/>
      <c r="AU92" s="759"/>
      <c r="AV92" s="759"/>
      <c r="AW92" s="759"/>
      <c r="AX92" s="759"/>
      <c r="AY92" s="759"/>
      <c r="AZ92" s="759"/>
      <c r="BA92" s="759"/>
      <c r="BB92" s="759"/>
      <c r="BC92" s="759"/>
      <c r="BD92" s="759"/>
      <c r="BE92" s="759"/>
      <c r="BF92" s="759"/>
      <c r="BG92" s="760"/>
      <c r="BH92" s="1678"/>
      <c r="BI92" s="1678"/>
      <c r="BJ92" s="1678"/>
      <c r="BK92" s="1678"/>
      <c r="BL92" s="1679"/>
      <c r="BM92" s="1679"/>
      <c r="BN92" s="1678"/>
      <c r="BO92" s="1678"/>
      <c r="BP92" s="1678"/>
      <c r="BQ92" s="1399"/>
    </row>
    <row r="93" spans="1:69" s="782" customFormat="1" ht="3.95" customHeight="1" thickBot="1" x14ac:dyDescent="0.25">
      <c r="A93" s="852"/>
      <c r="B93" s="1790">
        <v>81</v>
      </c>
      <c r="C93" s="1673"/>
      <c r="D93" s="1841"/>
      <c r="E93" s="1057"/>
      <c r="F93" s="764"/>
      <c r="G93" s="764">
        <v>8</v>
      </c>
      <c r="H93" s="1906"/>
      <c r="I93" s="1907"/>
      <c r="J93" s="1908"/>
      <c r="K93" s="1907"/>
      <c r="L93" s="1909"/>
      <c r="M93" s="722"/>
      <c r="N93" s="1912"/>
      <c r="O93" s="722"/>
      <c r="P93" s="1868"/>
      <c r="Q93" s="1869"/>
      <c r="R93" s="1868"/>
      <c r="S93" s="1869"/>
      <c r="T93" s="1868"/>
      <c r="U93" s="1869"/>
      <c r="V93" s="1868"/>
      <c r="W93" s="1869"/>
      <c r="X93" s="1868"/>
      <c r="Y93" s="1869"/>
      <c r="Z93" s="1869"/>
      <c r="AA93" s="1869"/>
      <c r="AB93" s="1869"/>
      <c r="AC93" s="1869"/>
      <c r="AD93" s="1869"/>
      <c r="AE93" s="1869"/>
      <c r="AF93" s="1869"/>
      <c r="AG93" s="1869"/>
      <c r="AH93" s="1869"/>
      <c r="AI93" s="1670"/>
      <c r="AJ93" s="1828"/>
      <c r="AK93" s="724"/>
      <c r="AL93" s="1806"/>
      <c r="AM93" s="1399"/>
      <c r="AN93" s="1258"/>
      <c r="AO93" s="1399"/>
      <c r="AP93" s="1399"/>
      <c r="AQ93" s="1399"/>
      <c r="AS93" s="1399"/>
      <c r="AT93" s="1399"/>
      <c r="AU93" s="759"/>
      <c r="AV93" s="759"/>
      <c r="AW93" s="759"/>
      <c r="AX93" s="759"/>
      <c r="AY93" s="759"/>
      <c r="AZ93" s="759"/>
      <c r="BA93" s="759"/>
      <c r="BB93" s="759"/>
      <c r="BC93" s="759"/>
      <c r="BD93" s="759"/>
      <c r="BE93" s="759"/>
      <c r="BF93" s="759"/>
      <c r="BG93" s="760"/>
      <c r="BH93" s="1678"/>
      <c r="BI93" s="1678"/>
      <c r="BJ93" s="1678"/>
      <c r="BK93" s="1678"/>
      <c r="BL93" s="1679"/>
      <c r="BM93" s="1679"/>
      <c r="BN93" s="1678"/>
      <c r="BO93" s="1678"/>
      <c r="BP93" s="1678"/>
      <c r="BQ93" s="1399"/>
    </row>
    <row r="94" spans="1:69" s="782" customFormat="1" x14ac:dyDescent="0.2">
      <c r="A94" s="852">
        <f>A91+1</f>
        <v>22</v>
      </c>
      <c r="B94" s="1791">
        <v>82</v>
      </c>
      <c r="C94" s="851" t="str">
        <f>Valid!$B$78</f>
        <v>Below-Grade/Bored or Blasted Tunnel</v>
      </c>
      <c r="D94" s="1841"/>
      <c r="E94" s="1245" t="str">
        <f>IF(AT94="N/A","",IF(AT94="N","No","Yes"))</f>
        <v/>
      </c>
      <c r="F94" s="686"/>
      <c r="G94" s="686"/>
      <c r="H94" s="1864"/>
      <c r="I94" s="1904" t="str">
        <f>IF(C69="","",IF(J94&lt;&gt;"","Linear Feet   ","Qty? Enter Zero if N/A  "))</f>
        <v/>
      </c>
      <c r="J94" s="1864"/>
      <c r="K94" s="1904" t="str">
        <f>IF(E94="yes","",IF(C69="","",IF(H94="","Qty? Enter Zero if N/A  ",IF(H94&lt;&gt;"","Track Feet      ",""))))</f>
        <v/>
      </c>
      <c r="L94" s="1864"/>
      <c r="M94" s="1620" t="str">
        <f>IF($H94=0,"",IF($L94="",TEXT(BN94,0)&amp;" Years?    ",""))</f>
        <v/>
      </c>
      <c r="N94" s="1905"/>
      <c r="O94" s="1620"/>
      <c r="P94" s="1864"/>
      <c r="Q94" s="1865" t="str">
        <f>IF($N94="","",IF(AND($N94="",OR($H94="",$H94=0)),"",IF(AND($N94="LF",$AJ94&lt;$H94),"0 - "&amp;TEXT(($H94-$AJ94)/1000,"0")&amp;"k lin. ft.?    ",IF(AND($N94="TF",$AJ94&lt;$J94),"0 - "&amp;TEXT(($J94-$AJ94)/1000,"0")&amp;"k track ft.?    ",IF(AND($N94="%",$AJ94&lt;1),REPLACE(IF(AND($P94&gt;0,$V94&gt;0,$T94&gt;0,$X94&gt;0,$R94&gt;0,$Z94&gt;0,$AB94&gt;0,$AD94&gt;0,$AF94&gt;0,$AH94&gt;0),"","0-"),99,0,REPLACE(TEXT(100-$AJ94,0),99,0,"%?    ")),"")))))</f>
        <v/>
      </c>
      <c r="R94" s="1864"/>
      <c r="S94" s="1865" t="str">
        <f>IF($N94="","",IF(AND($N94="",OR($H94="",$H94=0)),"",IF(AND($N94="LF",$AJ94&lt;$H94),"0 - "&amp;TEXT(($H94-$AJ94)/1000,"0")&amp;"k lin. ft.?    ",IF(AND($N94="TF",$AJ94&lt;$J94),"0 - "&amp;TEXT(($J94-$AJ94)/1000,"0")&amp;"k track ft.?    ",IF(AND($N94="%",$AJ94&lt;1),REPLACE(IF(AND($P94&gt;0,$V94&gt;0,$T94&gt;0,$X94&gt;0,$R94&gt;0,$Z94&gt;0,$AB94&gt;0,$AD94&gt;0,$AF94&gt;0,$AH94&gt;0),"","0-"),99,0,REPLACE(TEXT(100-$AJ94,0),99,0,"%?    ")),"")))))</f>
        <v/>
      </c>
      <c r="T94" s="1864"/>
      <c r="U94" s="1865" t="str">
        <f>IF($N94="","",IF(AND($N94="",OR($H94="",$H94=0)),"",IF(AND($N94="LF",$AJ94&lt;$H94),"0 - "&amp;TEXT(($H94-$AJ94)/1000,"0")&amp;"k lin. ft.?    ",IF(AND($N94="TF",$AJ94&lt;$J94),"0 - "&amp;TEXT(($J94-$AJ94)/1000,"0")&amp;"k track ft.?    ",IF(AND($N94="%",$AJ94&lt;1),REPLACE(IF(AND($P94&gt;0,$V94&gt;0,$T94&gt;0,$X94&gt;0,$R94&gt;0,$Z94&gt;0,$AB94&gt;0,$AD94&gt;0,$AF94&gt;0,$AH94&gt;0),"","0-"),99,0,REPLACE(TEXT(100-$AJ94,0),99,0,"%?    ")),"")))))</f>
        <v/>
      </c>
      <c r="V94" s="1864"/>
      <c r="W94" s="1865" t="str">
        <f>IF($N94="","",IF(AND($N94="",OR($H94="",$H94=0)),"",IF(AND($N94="LF",$AJ94&lt;$H94),"0 - "&amp;TEXT(($H94-$AJ94)/1000,"0")&amp;"k lin. ft.?    ",IF(AND($N94="TF",$AJ94&lt;$J94),"0 - "&amp;TEXT(($J94-$AJ94)/1000,"0")&amp;"k track ft.?    ",IF(AND($N94="%",$AJ94&lt;1),REPLACE(IF(AND($P94&gt;0,$V94&gt;0,$T94&gt;0,$X94&gt;0,$R94&gt;0,$Z94&gt;0,$AB94&gt;0,$AD94&gt;0,$AF94&gt;0,$AH94&gt;0),"","0-"),99,0,REPLACE(TEXT(100-$AJ94,0),99,0,"%?    ")),"")))))</f>
        <v/>
      </c>
      <c r="X94" s="1864"/>
      <c r="Y94" s="1865" t="str">
        <f>IF($N94="","",IF(AND($N94="",OR($H94="",$H94=0)),"",IF(AND($N94="LF",$AJ94&lt;$H94),"0 - "&amp;TEXT(($H94-$AJ94)/1000,"0")&amp;"k lin. ft.?    ",IF(AND($N94="TF",$AJ94&lt;$J94),"0 - "&amp;TEXT(($J94-$AJ94)/1000,"0")&amp;"k track ft.?    ",IF(AND($N94="%",$AJ94&lt;1),REPLACE(IF(AND($P94&gt;0,$V94&gt;0,$T94&gt;0,$X94&gt;0,$R94&gt;0,$Z94&gt;0,$AB94&gt;0,$AD94&gt;0,$AF94&gt;0,$AH94&gt;0),"","0-"),99,0,REPLACE(TEXT(100-$AJ94,0),99,0,"%?    ")),"")))))</f>
        <v/>
      </c>
      <c r="Z94" s="1864"/>
      <c r="AA94" s="1865" t="str">
        <f>IF($N94="","",IF(AND($N94="",OR($H94="",$H94=0)),"",IF(AND($N94="LF",$AJ94&lt;$H94),"0 - "&amp;TEXT(($H94-$AJ94)/1000,"0")&amp;"k lin. ft.?    ",IF(AND($N94="TF",$AJ94&lt;$J94),"0 - "&amp;TEXT(($J94-$AJ94)/1000,"0")&amp;"k track ft.?    ",IF(AND($N94="%",$AJ94&lt;1),REPLACE(IF(AND($P94&gt;0,$V94&gt;0,$T94&gt;0,$X94&gt;0,$R94&gt;0,$Z94&gt;0,$AB94&gt;0,$AD94&gt;0,$AF94&gt;0,$AH94&gt;0),"","0-"),99,0,REPLACE(TEXT(100-$AJ94,0),99,0,"%?    ")),"")))))</f>
        <v/>
      </c>
      <c r="AB94" s="1864"/>
      <c r="AC94" s="1865" t="str">
        <f>IF($N94="","",IF(AND($N94="",OR($H94="",$H94=0)),"",IF(AND($N94="LF",$AJ94&lt;$H94),"0 - "&amp;TEXT(($H94-$AJ94)/1000,"0")&amp;"k lin. ft.?    ",IF(AND($N94="TF",$AJ94&lt;$J94),"0 - "&amp;TEXT(($J94-$AJ94)/1000,"0")&amp;"k track ft.?    ",IF(AND($N94="%",$AJ94&lt;1),REPLACE(IF(AND($P94&gt;0,$V94&gt;0,$T94&gt;0,$X94&gt;0,$R94&gt;0,$Z94&gt;0,$AB94&gt;0,$AD94&gt;0,$AF94&gt;0,$AH94&gt;0),"","0-"),99,0,REPLACE(TEXT(100-$AJ94,0),99,0,"%?    ")),"")))))</f>
        <v/>
      </c>
      <c r="AD94" s="1864"/>
      <c r="AE94" s="1865" t="str">
        <f>IF($N94="","",IF(AND($N94="",OR($H94="",$H94=0)),"",IF(AND($N94="LF",$AJ94&lt;$H94),"0 - "&amp;TEXT(($H94-$AJ94)/1000,"0")&amp;"k lin. ft.?    ",IF(AND($N94="TF",$AJ94&lt;$J94),"0 - "&amp;TEXT(($J94-$AJ94)/1000,"0")&amp;"k track ft.?    ",IF(AND($N94="%",$AJ94&lt;1),REPLACE(IF(AND($P94&gt;0,$V94&gt;0,$T94&gt;0,$X94&gt;0,$R94&gt;0,$Z94&gt;0,$AB94&gt;0,$AD94&gt;0,$AF94&gt;0,$AH94&gt;0),"","0-"),99,0,REPLACE(TEXT(100-$AJ94,0),99,0,"%?    ")),"")))))</f>
        <v/>
      </c>
      <c r="AF94" s="1864"/>
      <c r="AG94" s="1865" t="str">
        <f>IF($N94="","",IF(AND($N94="",OR($H94="",$H94=0)),"",IF(AND($N94="LF",$AJ94&lt;$H94),"0 - "&amp;TEXT(($H94-$AJ94)/1000,"0")&amp;"k lin. ft.?    ",IF(AND($N94="TF",$AJ94&lt;$J94),"0 - "&amp;TEXT(($J94-$AJ94)/1000,"0")&amp;"k track ft.?    ",IF(AND($N94="%",$AJ94&lt;1),REPLACE(IF(AND($P94&gt;0,$V94&gt;0,$T94&gt;0,$X94&gt;0,$R94&gt;0,$Z94&gt;0,$AB94&gt;0,$AD94&gt;0,$AF94&gt;0,$AH94&gt;0),"","0-"),99,0,REPLACE(TEXT(100-$AJ94,0),99,0,"%?    ")),"")))))</f>
        <v/>
      </c>
      <c r="AH94" s="1864"/>
      <c r="AI94" s="904" t="str">
        <f>IF($N94="","",IF(AND($N94="",OR($H94="",$H94=0)),"",IF(AND($N94="LF",$AJ94&lt;$H94),"0 - "&amp;TEXT(($H94-$AJ94)/1000,"0")&amp;"k lin. ft.?    ",IF(AND($N94="TF",$AJ94&lt;$J94),"0 - "&amp;TEXT(($J94-$AJ94)/1000,"0")&amp;"k track ft.?    ",IF(AND($N94="%",$AJ94&lt;1),REPLACE(IF(AND($P94&gt;0,$V94&gt;0,$T94&gt;0,$X94&gt;0,$R94&gt;0,$Z94&gt;0,$AB94&gt;0,$AD94&gt;0,$AF94&gt;0,$AH94&gt;0),"","0-"),99,0,REPLACE(TEXT(100-$AJ94,0),99,0,"%?    ")),"")))))</f>
        <v/>
      </c>
      <c r="AJ94" s="1833">
        <f>IFERROR(IF(N94="%", SUM(P94,R94,T94,V94,X94,Z94,AB94,AD94,AF94,AH94)/100, SUM(P94,R94,T94,V94,X94,Z94,AB94,AD94,AF94,AH94)/IF(N94="LF", H94,J94)), 0)</f>
        <v>0</v>
      </c>
      <c r="AK94" s="1648"/>
      <c r="AL94" s="1675"/>
      <c r="AM94" s="1399"/>
      <c r="AN94" s="1671"/>
      <c r="AO94" s="1399"/>
      <c r="AP94" s="1653"/>
      <c r="AQ94" s="1399"/>
      <c r="AS94" s="1399"/>
      <c r="AT94" s="1624" t="str">
        <f>IF(AND($C$69="", H94="", J94=""), "N/A", IF(OR(AND(ISNUMBER(H94), ISNUMBER(J94), H94=0, J94=0), AND(AJ94=1, H94&lt;&gt;"", J94&lt;&gt;"", L94&lt;&gt;"", N94&lt;&gt;"", P94&lt;&gt;"", R94&lt;&gt;"", T94&lt;&gt;"", V94&lt;&gt;"", X94&lt;&gt;"", Z94&lt;&gt;"", AB94&lt;&gt;"", AD94&lt;&gt;"", AF94&lt;&gt;"", AH94&lt;&gt;"",AL94&lt;&gt;"", IF(AND(AL94&lt;1, AN94=""), FALSE, TRUE))), "Yes", "No"))</f>
        <v>N/A</v>
      </c>
      <c r="AU94" s="759" t="b">
        <f>IF(AND(H94="",OR(L94&lt;&gt;"",P94&lt;&gt;"",R94&lt;&gt;"",T94&lt;&gt;"",V94&lt;&gt;"",X94&lt;&gt;"",AL94&lt;&gt;"",Z94&lt;&gt;"",AB94&lt;&gt;"",AD94&lt;&gt;"",AF94&lt;&gt;"",AH94&lt;&gt;"")),TRUE,FALSE)</f>
        <v>0</v>
      </c>
      <c r="AV94" s="759" t="b">
        <f>IF(OR(H94="",H94=0),FALSE,IF(H94&gt;BM94,TRUE,FALSE))</f>
        <v>0</v>
      </c>
      <c r="AW94" s="759" t="b">
        <f>IF(AND($C$69&lt;&gt;"",$H94=""),TRUE,FALSE)</f>
        <v>0</v>
      </c>
      <c r="AX94" s="759" t="b">
        <f>IF(E94="yes",FALSE,IF(H94="0",FALSE,IF(AND($C$69&lt;&gt;"",J94=""),TRUE,FALSE)))</f>
        <v>0</v>
      </c>
      <c r="AY94" s="759" t="b">
        <f>IF($L94="",FALSE,IF($L94&lt;$BO94,TRUE,FALSE))</f>
        <v>0</v>
      </c>
      <c r="AZ94" s="759" t="b">
        <f>IF($L94="",FALSE,IF($L94&gt;$BP94,TRUE,FALSE))</f>
        <v>0</v>
      </c>
      <c r="BA94" s="759" t="b">
        <f>IF(H94=0,FALSE,IF(AND(E94&lt;&gt;"",$L94=""),TRUE,FALSE))</f>
        <v>0</v>
      </c>
      <c r="BB94" s="759" t="b">
        <f>IF(AND($AJ94&lt;&gt;0,$H94&lt;&gt;$BJ94,$N94="LF"),TRUE,IF(AND($AJ94&lt;&gt;0,$J94&lt;&gt;$AJ94,$N94="TF"),TRUE,IF(AND($AJ94&lt;&gt;0,$AJ94&lt;&gt;1,$N94="%"),TRUE,FALSE)))</f>
        <v>0</v>
      </c>
      <c r="BC94" s="759" t="b">
        <f>IF(AT94="No", IF(OR(P94="", R94="", T94="", V94="", X94="", Z94="", AB94="", AD94="", AF94="", AH94=""), TRUE, FALSE), FALSE)</f>
        <v>0</v>
      </c>
      <c r="BD94" s="759" t="b">
        <f>IF($BE94=TRUE,FALSE,IF(OR($AL94&lt;0,$AL94&gt;1),TRUE,FALSE))</f>
        <v>0</v>
      </c>
      <c r="BE94" s="759" t="b">
        <f>IF(AND($H94&lt;&gt;0,$AL94=""),TRUE,FALSE)</f>
        <v>0</v>
      </c>
      <c r="BF94" s="759" t="b">
        <f>IF(N94="%",TRUE,FALSE)</f>
        <v>0</v>
      </c>
      <c r="BG94" s="760"/>
      <c r="BH94" s="1678">
        <f>IF($C94="","",VLOOKUP($C94,val_fg_assets,9,FALSE))</f>
        <v>1</v>
      </c>
      <c r="BI94" s="1678" t="str">
        <f>IF(N94="", "", IF(N94="LF", H94, IF(N94="TF", J94, IF(N94="%", 1, ""))))</f>
        <v/>
      </c>
      <c r="BJ94" s="1679">
        <f>P94+R94+T94+V94+X94+Z94+AB94+AD94+AF94+AH94</f>
        <v>0</v>
      </c>
      <c r="BK94" s="1679" t="str">
        <f>IF(BI94="", "", BI94-BJ94)</f>
        <v/>
      </c>
      <c r="BL94" s="1679">
        <f>IF($C94="","",VLOOKUP($C94,val_fg_assets,3,FALSE))</f>
        <v>0</v>
      </c>
      <c r="BM94" s="1679">
        <f>IF($C94="","",VLOOKUP($C94,val_fg_assets,4,FALSE))</f>
        <v>1320000</v>
      </c>
      <c r="BN94" s="1678">
        <f>IF($C94="","",VLOOKUP($C94,val_fg_assets,5,FALSE))</f>
        <v>80</v>
      </c>
      <c r="BO94" s="1678">
        <f>IF($C94="","",VLOOKUP($C94,val_fg_assets,6,FALSE))</f>
        <v>60</v>
      </c>
      <c r="BP94" s="1678">
        <f>IF($C94="","",VLOOKUP($C94,val_fg_assets,7,FALSE))</f>
        <v>100</v>
      </c>
      <c r="BQ94" s="1399"/>
    </row>
    <row r="95" spans="1:69" s="782" customFormat="1" ht="3.95" customHeight="1" x14ac:dyDescent="0.2">
      <c r="A95" s="852"/>
      <c r="B95" s="1791">
        <v>83</v>
      </c>
      <c r="C95" s="1673"/>
      <c r="D95" s="1841"/>
      <c r="E95" s="1057"/>
      <c r="F95" s="764"/>
      <c r="G95" s="764"/>
      <c r="H95" s="1909"/>
      <c r="I95" s="1908"/>
      <c r="J95" s="1908"/>
      <c r="K95" s="1908"/>
      <c r="L95" s="1909"/>
      <c r="M95" s="1910"/>
      <c r="N95" s="1911"/>
      <c r="O95" s="1910"/>
      <c r="P95" s="1866"/>
      <c r="Q95" s="1867"/>
      <c r="R95" s="1866"/>
      <c r="S95" s="1867"/>
      <c r="T95" s="1866"/>
      <c r="U95" s="1867"/>
      <c r="V95" s="1866"/>
      <c r="W95" s="1867"/>
      <c r="X95" s="1866"/>
      <c r="Y95" s="1867"/>
      <c r="Z95" s="1867"/>
      <c r="AA95" s="1867"/>
      <c r="AB95" s="1867"/>
      <c r="AC95" s="1867"/>
      <c r="AD95" s="1867"/>
      <c r="AE95" s="1867"/>
      <c r="AF95" s="1867"/>
      <c r="AG95" s="1867"/>
      <c r="AH95" s="1867"/>
      <c r="AI95" s="837"/>
      <c r="AJ95" s="1806"/>
      <c r="AK95" s="841"/>
      <c r="AL95" s="1806"/>
      <c r="AM95" s="1399"/>
      <c r="AN95" s="838"/>
      <c r="AO95" s="1399"/>
      <c r="AP95" s="1399"/>
      <c r="AQ95" s="1399"/>
      <c r="AS95" s="1399"/>
      <c r="AT95" s="1399"/>
      <c r="AU95" s="759"/>
      <c r="AV95" s="759"/>
      <c r="AW95" s="759"/>
      <c r="AX95" s="759"/>
      <c r="AY95" s="759"/>
      <c r="AZ95" s="759"/>
      <c r="BA95" s="759"/>
      <c r="BB95" s="759"/>
      <c r="BC95" s="759"/>
      <c r="BD95" s="759"/>
      <c r="BE95" s="759"/>
      <c r="BF95" s="759"/>
      <c r="BG95" s="760"/>
      <c r="BH95" s="1678"/>
      <c r="BI95" s="1678"/>
      <c r="BJ95" s="1678"/>
      <c r="BK95" s="1678"/>
      <c r="BL95" s="1679"/>
      <c r="BM95" s="1679"/>
      <c r="BN95" s="1678"/>
      <c r="BO95" s="1678"/>
      <c r="BP95" s="1678"/>
      <c r="BQ95" s="1399"/>
    </row>
    <row r="96" spans="1:69" s="782" customFormat="1" ht="3.95" customHeight="1" thickBot="1" x14ac:dyDescent="0.25">
      <c r="A96" s="852"/>
      <c r="B96" s="1791">
        <v>84</v>
      </c>
      <c r="C96" s="851"/>
      <c r="D96" s="1841"/>
      <c r="E96" s="1058"/>
      <c r="F96" s="686"/>
      <c r="G96" s="686"/>
      <c r="H96" s="1909"/>
      <c r="I96" s="1908"/>
      <c r="J96" s="1908"/>
      <c r="K96" s="1908"/>
      <c r="L96" s="1909"/>
      <c r="M96" s="722"/>
      <c r="N96" s="1912"/>
      <c r="O96" s="722"/>
      <c r="P96" s="1868"/>
      <c r="Q96" s="1869"/>
      <c r="R96" s="1868"/>
      <c r="S96" s="1869"/>
      <c r="T96" s="1868"/>
      <c r="U96" s="1869"/>
      <c r="V96" s="1868"/>
      <c r="W96" s="1869"/>
      <c r="X96" s="1868"/>
      <c r="Y96" s="1869"/>
      <c r="Z96" s="1869"/>
      <c r="AA96" s="1869"/>
      <c r="AB96" s="1869"/>
      <c r="AC96" s="1869"/>
      <c r="AD96" s="1869"/>
      <c r="AE96" s="1869"/>
      <c r="AF96" s="1869"/>
      <c r="AG96" s="1869"/>
      <c r="AH96" s="1869"/>
      <c r="AI96" s="1670"/>
      <c r="AJ96" s="1828"/>
      <c r="AK96" s="724"/>
      <c r="AL96" s="1806"/>
      <c r="AM96" s="1399"/>
      <c r="AN96" s="1258"/>
      <c r="AO96" s="1399"/>
      <c r="AP96" s="1399"/>
      <c r="AQ96" s="1399"/>
      <c r="AS96" s="1399"/>
      <c r="AT96" s="1399"/>
      <c r="AU96" s="759"/>
      <c r="AV96" s="759"/>
      <c r="AW96" s="759"/>
      <c r="AX96" s="759"/>
      <c r="AY96" s="759"/>
      <c r="AZ96" s="759"/>
      <c r="BA96" s="759"/>
      <c r="BB96" s="759"/>
      <c r="BC96" s="759"/>
      <c r="BD96" s="759"/>
      <c r="BE96" s="759"/>
      <c r="BF96" s="759"/>
      <c r="BG96" s="760"/>
      <c r="BH96" s="1678"/>
      <c r="BI96" s="1678"/>
      <c r="BJ96" s="1678"/>
      <c r="BK96" s="1678"/>
      <c r="BL96" s="1679"/>
      <c r="BM96" s="1679"/>
      <c r="BN96" s="1678"/>
      <c r="BO96" s="1678"/>
      <c r="BP96" s="1678"/>
      <c r="BQ96" s="1399"/>
    </row>
    <row r="97" spans="1:69" s="782" customFormat="1" x14ac:dyDescent="0.2">
      <c r="A97" s="852">
        <f>A94+1</f>
        <v>23</v>
      </c>
      <c r="B97" s="1790">
        <v>85</v>
      </c>
      <c r="C97" s="851" t="str">
        <f>Valid!$B$79</f>
        <v>Below-Grade/Submerged Tube</v>
      </c>
      <c r="D97" s="1841"/>
      <c r="E97" s="1245" t="str">
        <f>IF(AT97="N/A","",IF(AT97="N","No","Yes"))</f>
        <v/>
      </c>
      <c r="F97" s="764"/>
      <c r="G97" s="764"/>
      <c r="H97" s="1864"/>
      <c r="I97" s="1904" t="str">
        <f>IF(C69="","",IF(J97&lt;&gt;"","Linear Feet   ","Qty? Enter Zero if N/A  "))</f>
        <v/>
      </c>
      <c r="J97" s="1864"/>
      <c r="K97" s="1904" t="str">
        <f>IF(E97="yes","",IF(C69="","",IF(H97="","Qty? Enter Zero if N/A  ",IF(H97&lt;&gt;"","Track Feet      ",""))))</f>
        <v/>
      </c>
      <c r="L97" s="1864"/>
      <c r="M97" s="1620" t="str">
        <f>IF($H97=0,"",IF($L97="",TEXT(BN97,0)&amp;" Years?    ",""))</f>
        <v/>
      </c>
      <c r="N97" s="1905"/>
      <c r="O97" s="1620"/>
      <c r="P97" s="1864"/>
      <c r="Q97" s="1865" t="str">
        <f>IF($N97="","",IF(AND($N97="",OR($H97="",$H97=0)),"",IF(AND($N97="LF",$AJ97&lt;$H97),"0 - "&amp;TEXT(($H97-$AJ97)/1000,"0")&amp;"k lin. ft.?    ",IF(AND($N97="TF",$AJ97&lt;$J97),"0 - "&amp;TEXT(($J97-$AJ97)/1000,"0")&amp;"k track ft.?    ",IF(AND($N97="%",$AJ97&lt;1),REPLACE(IF(AND($P97&gt;0,$V97&gt;0,$T97&gt;0,$X97&gt;0,$R97&gt;0,$Z97&gt;0,$AB97&gt;0,$AD97&gt;0,$AF97&gt;0,$AH97&gt;0),"","0-"),99,0,REPLACE(TEXT(100-$AJ97,0),99,0,"%?    ")),"")))))</f>
        <v/>
      </c>
      <c r="R97" s="1864"/>
      <c r="S97" s="1865" t="str">
        <f>IF($N97="","",IF(AND($N97="",OR($H97="",$H97=0)),"",IF(AND($N97="LF",$AJ97&lt;$H97),"0 - "&amp;TEXT(($H97-$AJ97)/1000,"0")&amp;"k lin. ft.?    ",IF(AND($N97="TF",$AJ97&lt;$J97),"0 - "&amp;TEXT(($J97-$AJ97)/1000,"0")&amp;"k track ft.?    ",IF(AND($N97="%",$AJ97&lt;1),REPLACE(IF(AND($P97&gt;0,$V97&gt;0,$T97&gt;0,$X97&gt;0,$R97&gt;0,$Z97&gt;0,$AB97&gt;0,$AD97&gt;0,$AF97&gt;0,$AH97&gt;0),"","0-"),99,0,REPLACE(TEXT(100-$AJ97,0),99,0,"%?    ")),"")))))</f>
        <v/>
      </c>
      <c r="T97" s="1864"/>
      <c r="U97" s="1865" t="str">
        <f>IF($N97="","",IF(AND($N97="",OR($H97="",$H97=0)),"",IF(AND($N97="LF",$AJ97&lt;$H97),"0 - "&amp;TEXT(($H97-$AJ97)/1000,"0")&amp;"k lin. ft.?    ",IF(AND($N97="TF",$AJ97&lt;$J97),"0 - "&amp;TEXT(($J97-$AJ97)/1000,"0")&amp;"k track ft.?    ",IF(AND($N97="%",$AJ97&lt;1),REPLACE(IF(AND($P97&gt;0,$V97&gt;0,$T97&gt;0,$X97&gt;0,$R97&gt;0,$Z97&gt;0,$AB97&gt;0,$AD97&gt;0,$AF97&gt;0,$AH97&gt;0),"","0-"),99,0,REPLACE(TEXT(100-$AJ97,0),99,0,"%?    ")),"")))))</f>
        <v/>
      </c>
      <c r="V97" s="1864"/>
      <c r="W97" s="1865" t="str">
        <f>IF($N97="","",IF(AND($N97="",OR($H97="",$H97=0)),"",IF(AND($N97="LF",$AJ97&lt;$H97),"0 - "&amp;TEXT(($H97-$AJ97)/1000,"0")&amp;"k lin. ft.?    ",IF(AND($N97="TF",$AJ97&lt;$J97),"0 - "&amp;TEXT(($J97-$AJ97)/1000,"0")&amp;"k track ft.?    ",IF(AND($N97="%",$AJ97&lt;1),REPLACE(IF(AND($P97&gt;0,$V97&gt;0,$T97&gt;0,$X97&gt;0,$R97&gt;0,$Z97&gt;0,$AB97&gt;0,$AD97&gt;0,$AF97&gt;0,$AH97&gt;0),"","0-"),99,0,REPLACE(TEXT(100-$AJ97,0),99,0,"%?    ")),"")))))</f>
        <v/>
      </c>
      <c r="X97" s="1864"/>
      <c r="Y97" s="1865" t="str">
        <f>IF($N97="","",IF(AND($N97="",OR($H97="",$H97=0)),"",IF(AND($N97="LF",$AJ97&lt;$H97),"0 - "&amp;TEXT(($H97-$AJ97)/1000,"0")&amp;"k lin. ft.?    ",IF(AND($N97="TF",$AJ97&lt;$J97),"0 - "&amp;TEXT(($J97-$AJ97)/1000,"0")&amp;"k track ft.?    ",IF(AND($N97="%",$AJ97&lt;1),REPLACE(IF(AND($P97&gt;0,$V97&gt;0,$T97&gt;0,$X97&gt;0,$R97&gt;0,$Z97&gt;0,$AB97&gt;0,$AD97&gt;0,$AF97&gt;0,$AH97&gt;0),"","0-"),99,0,REPLACE(TEXT(100-$AJ97,0),99,0,"%?    ")),"")))))</f>
        <v/>
      </c>
      <c r="Z97" s="1864"/>
      <c r="AA97" s="1865" t="str">
        <f>IF($N97="","",IF(AND($N97="",OR($H97="",$H97=0)),"",IF(AND($N97="LF",$AJ97&lt;$H97),"0 - "&amp;TEXT(($H97-$AJ97)/1000,"0")&amp;"k lin. ft.?    ",IF(AND($N97="TF",$AJ97&lt;$J97),"0 - "&amp;TEXT(($J97-$AJ97)/1000,"0")&amp;"k track ft.?    ",IF(AND($N97="%",$AJ97&lt;1),REPLACE(IF(AND($P97&gt;0,$V97&gt;0,$T97&gt;0,$X97&gt;0,$R97&gt;0,$Z97&gt;0,$AB97&gt;0,$AD97&gt;0,$AF97&gt;0,$AH97&gt;0),"","0-"),99,0,REPLACE(TEXT(100-$AJ97,0),99,0,"%?    ")),"")))))</f>
        <v/>
      </c>
      <c r="AB97" s="1864"/>
      <c r="AC97" s="1865" t="str">
        <f>IF($N97="","",IF(AND($N97="",OR($H97="",$H97=0)),"",IF(AND($N97="LF",$AJ97&lt;$H97),"0 - "&amp;TEXT(($H97-$AJ97)/1000,"0")&amp;"k lin. ft.?    ",IF(AND($N97="TF",$AJ97&lt;$J97),"0 - "&amp;TEXT(($J97-$AJ97)/1000,"0")&amp;"k track ft.?    ",IF(AND($N97="%",$AJ97&lt;1),REPLACE(IF(AND($P97&gt;0,$V97&gt;0,$T97&gt;0,$X97&gt;0,$R97&gt;0,$Z97&gt;0,$AB97&gt;0,$AD97&gt;0,$AF97&gt;0,$AH97&gt;0),"","0-"),99,0,REPLACE(TEXT(100-$AJ97,0),99,0,"%?    ")),"")))))</f>
        <v/>
      </c>
      <c r="AD97" s="1864"/>
      <c r="AE97" s="1865" t="str">
        <f>IF($N97="","",IF(AND($N97="",OR($H97="",$H97=0)),"",IF(AND($N97="LF",$AJ97&lt;$H97),"0 - "&amp;TEXT(($H97-$AJ97)/1000,"0")&amp;"k lin. ft.?    ",IF(AND($N97="TF",$AJ97&lt;$J97),"0 - "&amp;TEXT(($J97-$AJ97)/1000,"0")&amp;"k track ft.?    ",IF(AND($N97="%",$AJ97&lt;1),REPLACE(IF(AND($P97&gt;0,$V97&gt;0,$T97&gt;0,$X97&gt;0,$R97&gt;0,$Z97&gt;0,$AB97&gt;0,$AD97&gt;0,$AF97&gt;0,$AH97&gt;0),"","0-"),99,0,REPLACE(TEXT(100-$AJ97,0),99,0,"%?    ")),"")))))</f>
        <v/>
      </c>
      <c r="AF97" s="1864"/>
      <c r="AG97" s="1865" t="str">
        <f>IF($N97="","",IF(AND($N97="",OR($H97="",$H97=0)),"",IF(AND($N97="LF",$AJ97&lt;$H97),"0 - "&amp;TEXT(($H97-$AJ97)/1000,"0")&amp;"k lin. ft.?    ",IF(AND($N97="TF",$AJ97&lt;$J97),"0 - "&amp;TEXT(($J97-$AJ97)/1000,"0")&amp;"k track ft.?    ",IF(AND($N97="%",$AJ97&lt;1),REPLACE(IF(AND($P97&gt;0,$V97&gt;0,$T97&gt;0,$X97&gt;0,$R97&gt;0,$Z97&gt;0,$AB97&gt;0,$AD97&gt;0,$AF97&gt;0,$AH97&gt;0),"","0-"),99,0,REPLACE(TEXT(100-$AJ97,0),99,0,"%?    ")),"")))))</f>
        <v/>
      </c>
      <c r="AH97" s="1864"/>
      <c r="AI97" s="904" t="str">
        <f>IF($N97="","",IF(AND($N97="",OR($H97="",$H97=0)),"",IF(AND($N97="LF",$AJ97&lt;$H97),"0 - "&amp;TEXT(($H97-$AJ97)/1000,"0")&amp;"k lin. ft.?    ",IF(AND($N97="TF",$AJ97&lt;$J97),"0 - "&amp;TEXT(($J97-$AJ97)/1000,"0")&amp;"k track ft.?    ",IF(AND($N97="%",$AJ97&lt;1),REPLACE(IF(AND($P97&gt;0,$V97&gt;0,$T97&gt;0,$X97&gt;0,$R97&gt;0,$Z97&gt;0,$AB97&gt;0,$AD97&gt;0,$AF97&gt;0,$AH97&gt;0),"","0-"),99,0,REPLACE(TEXT(100-$AJ97,0),99,0,"%?    ")),"")))))</f>
        <v/>
      </c>
      <c r="AJ97" s="1833">
        <f>IFERROR(IF(N97="%", SUM(P97,R97,T97,V97,X97,Z97,AB97,AD97,AF97,AH97)/100, SUM(P97,R97,T97,V97,X97,Z97,AB97,AD97,AF97,AH97)/IF(N97="LF", H97,J97)), 0)</f>
        <v>0</v>
      </c>
      <c r="AK97" s="1648"/>
      <c r="AL97" s="1832"/>
      <c r="AM97" s="1399"/>
      <c r="AN97" s="1276"/>
      <c r="AO97" s="1399"/>
      <c r="AP97" s="1653"/>
      <c r="AQ97" s="1399"/>
      <c r="AS97" s="1399"/>
      <c r="AT97" s="1624" t="str">
        <f>IF(AND($C$69="", H97="", J97=""), "N/A", IF(OR(AND(ISNUMBER(H97), ISNUMBER(J97), H97=0, J97=0), AND(AJ97=1, H97&lt;&gt;"", J97&lt;&gt;"", L97&lt;&gt;"", N97&lt;&gt;"", P97&lt;&gt;"", R97&lt;&gt;"", T97&lt;&gt;"", V97&lt;&gt;"", X97&lt;&gt;"", Z97&lt;&gt;"", AB97&lt;&gt;"", AD97&lt;&gt;"", AF97&lt;&gt;"", AH97&lt;&gt;"",AL97&lt;&gt;"", IF(AND(AL97&lt;1, AN97=""), FALSE, TRUE))), "Yes", "No"))</f>
        <v>N/A</v>
      </c>
      <c r="AU97" s="759" t="b">
        <f>IF(AND(H97="",OR(L97&lt;&gt;"",P97&lt;&gt;"",R97&lt;&gt;"",T97&lt;&gt;"",V97&lt;&gt;"",X97&lt;&gt;"",AL97&lt;&gt;"",Z97&lt;&gt;"",AB97&lt;&gt;"",AD97&lt;&gt;"",AF97&lt;&gt;"",AH97&lt;&gt;"")),TRUE,FALSE)</f>
        <v>0</v>
      </c>
      <c r="AV97" s="759" t="b">
        <f>IF(OR(H97="",H97=0),FALSE,IF(H97&gt;BM97,TRUE,FALSE))</f>
        <v>0</v>
      </c>
      <c r="AW97" s="759" t="b">
        <f>IF(AND($C$69&lt;&gt;"",$H97=""),TRUE,FALSE)</f>
        <v>0</v>
      </c>
      <c r="AX97" s="759" t="b">
        <f>IF(E97="yes",FALSE,IF(H97="0",FALSE,IF(AND($C$69&lt;&gt;"",J97=""),TRUE,FALSE)))</f>
        <v>0</v>
      </c>
      <c r="AY97" s="759" t="b">
        <f>IF($L97="",FALSE,IF($L97&lt;$BO97,TRUE,FALSE))</f>
        <v>0</v>
      </c>
      <c r="AZ97" s="759" t="b">
        <f>IF($L97="",FALSE,IF($L97&gt;$BP97,TRUE,FALSE))</f>
        <v>0</v>
      </c>
      <c r="BA97" s="759" t="b">
        <f>IF(H97=0,FALSE,IF(AND(E97&lt;&gt;"",$L97=""),TRUE,FALSE))</f>
        <v>0</v>
      </c>
      <c r="BB97" s="759" t="b">
        <f>IF(AND($AJ97&lt;&gt;0,$H97&lt;&gt;$BJ97,$N97="LF"),TRUE,IF(AND($AJ97&lt;&gt;0,$J97&lt;&gt;$AJ97,$N97="TF"),TRUE,IF(AND($AJ97&lt;&gt;0,$AJ97&lt;&gt;1,$N97="%"),TRUE,FALSE)))</f>
        <v>0</v>
      </c>
      <c r="BC97" s="759" t="b">
        <f>IF(AT97="No", IF(OR(P97="", R97="", T97="", V97="", X97="", Z97="", AB97="", AD97="", AF97="", AH97=""), TRUE, FALSE), FALSE)</f>
        <v>0</v>
      </c>
      <c r="BD97" s="759" t="b">
        <f>IF($BE97=TRUE,FALSE,IF(OR($AL97&lt;0,$AL97&gt;1),TRUE,FALSE))</f>
        <v>0</v>
      </c>
      <c r="BE97" s="759" t="b">
        <f>IF(AND($H97&lt;&gt;0,$AL97=""),TRUE,FALSE)</f>
        <v>0</v>
      </c>
      <c r="BF97" s="759" t="b">
        <f>IF(N97="%",TRUE,FALSE)</f>
        <v>0</v>
      </c>
      <c r="BG97" s="760"/>
      <c r="BH97" s="1678">
        <f>IF($C97="","",VLOOKUP($C97,val_fg_assets,9,FALSE))</f>
        <v>1</v>
      </c>
      <c r="BI97" s="1678" t="str">
        <f>IF(N97="", "", IF(N97="LF", H97, IF(N97="TF", J97, IF(N97="%", 1, ""))))</f>
        <v/>
      </c>
      <c r="BJ97" s="1679">
        <f>P97+R97+T97+V97+X97+Z97+AB97+AD97+AF97+AH97</f>
        <v>0</v>
      </c>
      <c r="BK97" s="1679" t="str">
        <f>IF(BI97="", "", BI97-BJ97)</f>
        <v/>
      </c>
      <c r="BL97" s="1679">
        <f>IF($C97="","",VLOOKUP($C97,val_fg_assets,3,FALSE))</f>
        <v>0</v>
      </c>
      <c r="BM97" s="1679">
        <f>IF($C97="","",VLOOKUP($C97,val_fg_assets,4,FALSE))</f>
        <v>1320000</v>
      </c>
      <c r="BN97" s="1678">
        <f>IF($C97="","",VLOOKUP($C97,val_fg_assets,5,FALSE))</f>
        <v>80</v>
      </c>
      <c r="BO97" s="1678">
        <f>IF($C97="","",VLOOKUP($C97,val_fg_assets,6,FALSE))</f>
        <v>60</v>
      </c>
      <c r="BP97" s="1678">
        <f>IF($C97="","",VLOOKUP($C97,val_fg_assets,7,FALSE))</f>
        <v>100</v>
      </c>
      <c r="BQ97" s="1399"/>
    </row>
    <row r="98" spans="1:69" s="782" customFormat="1" ht="3.95" customHeight="1" thickBot="1" x14ac:dyDescent="0.25">
      <c r="A98" s="852"/>
      <c r="B98" s="1790">
        <v>86</v>
      </c>
      <c r="C98" s="850"/>
      <c r="D98" s="1841"/>
      <c r="E98" s="1058"/>
      <c r="F98" s="686"/>
      <c r="G98" s="686"/>
      <c r="H98" s="1909"/>
      <c r="I98" s="1907"/>
      <c r="J98" s="1908"/>
      <c r="K98" s="1908"/>
      <c r="L98" s="1909"/>
      <c r="M98" s="1910"/>
      <c r="N98" s="1910"/>
      <c r="O98" s="1910"/>
      <c r="P98" s="1866"/>
      <c r="Q98" s="1867"/>
      <c r="R98" s="1866"/>
      <c r="S98" s="1867"/>
      <c r="T98" s="1866"/>
      <c r="U98" s="1867"/>
      <c r="V98" s="1866"/>
      <c r="W98" s="1867"/>
      <c r="X98" s="1866"/>
      <c r="Y98" s="1867"/>
      <c r="Z98" s="1867"/>
      <c r="AA98" s="1867"/>
      <c r="AB98" s="1867"/>
      <c r="AC98" s="1867"/>
      <c r="AD98" s="1867"/>
      <c r="AE98" s="1867"/>
      <c r="AF98" s="1867"/>
      <c r="AG98" s="1867"/>
      <c r="AH98" s="1867"/>
      <c r="AI98" s="837"/>
      <c r="AJ98" s="1806"/>
      <c r="AK98" s="841"/>
      <c r="AL98" s="1806"/>
      <c r="AM98" s="1399"/>
      <c r="AN98" s="838"/>
      <c r="AO98" s="1399"/>
      <c r="AP98" s="1399"/>
      <c r="AQ98" s="1399"/>
      <c r="AS98" s="1399"/>
      <c r="AT98" s="1399"/>
      <c r="AU98" s="759"/>
      <c r="AV98" s="759"/>
      <c r="AW98" s="759"/>
      <c r="AX98" s="759"/>
      <c r="AY98" s="759"/>
      <c r="AZ98" s="759"/>
      <c r="BA98" s="759"/>
      <c r="BB98" s="759"/>
      <c r="BC98" s="759"/>
      <c r="BD98" s="759"/>
      <c r="BE98" s="759"/>
      <c r="BF98" s="759"/>
      <c r="BG98" s="760"/>
      <c r="BH98" s="1678"/>
      <c r="BI98" s="1678"/>
      <c r="BJ98" s="1678"/>
      <c r="BK98" s="1678"/>
      <c r="BL98" s="1679"/>
      <c r="BM98" s="1679"/>
      <c r="BN98" s="1678"/>
      <c r="BO98" s="1678"/>
      <c r="BP98" s="1678"/>
      <c r="BQ98" s="1399"/>
    </row>
    <row r="99" spans="1:69" s="782" customFormat="1" x14ac:dyDescent="0.2">
      <c r="A99" s="1712" t="s">
        <v>2621</v>
      </c>
      <c r="B99" s="1791">
        <v>87</v>
      </c>
      <c r="C99" s="850"/>
      <c r="D99" s="1841"/>
      <c r="E99" s="816"/>
      <c r="F99" s="686"/>
      <c r="G99" s="686"/>
      <c r="H99" s="1914">
        <f>SUM(H73:H97)</f>
        <v>0</v>
      </c>
      <c r="I99" s="1915"/>
      <c r="J99" s="1914">
        <f>SUM(J73:J97)</f>
        <v>0</v>
      </c>
      <c r="K99" s="1880"/>
      <c r="L99" s="1880" t="str">
        <f>IF(C69="","&lt;&lt;Total Guideway (Excluding Track) in Linear Feet and Track Feet","&lt;&lt;Total "&amp;VLOOKUP(C69,Codes!$C$156:$D$174,2)&amp;" Guideway (Excluding Track) in Linear Feet and Track Feet")</f>
        <v>&lt;&lt;Total Guideway (Excluding Track) in Linear Feet and Track Feet</v>
      </c>
      <c r="M99" s="1910"/>
      <c r="N99" s="1910"/>
      <c r="O99" s="1910"/>
      <c r="P99" s="1916"/>
      <c r="Q99" s="1867"/>
      <c r="R99" s="1916"/>
      <c r="S99" s="1867"/>
      <c r="T99" s="1916"/>
      <c r="U99" s="1867"/>
      <c r="V99" s="1916"/>
      <c r="W99" s="1867"/>
      <c r="X99" s="1916"/>
      <c r="Y99" s="1867"/>
      <c r="Z99" s="1867"/>
      <c r="AA99" s="1867"/>
      <c r="AB99" s="1867"/>
      <c r="AC99" s="1867"/>
      <c r="AD99" s="1867"/>
      <c r="AE99" s="1867"/>
      <c r="AF99" s="1867"/>
      <c r="AG99" s="1867"/>
      <c r="AH99" s="1867"/>
      <c r="AI99" s="837"/>
      <c r="AJ99" s="1806"/>
      <c r="AK99" s="841"/>
      <c r="AL99" s="1806"/>
      <c r="AM99" s="1399"/>
      <c r="AN99" s="838"/>
      <c r="AO99" s="1399"/>
      <c r="AP99" s="1399"/>
      <c r="AQ99" s="1399"/>
      <c r="AS99" s="1399"/>
      <c r="AT99" s="1399"/>
      <c r="AU99" s="759"/>
      <c r="AV99" s="759"/>
      <c r="AW99" s="759"/>
      <c r="AX99" s="759"/>
      <c r="AY99" s="759"/>
      <c r="AZ99" s="759"/>
      <c r="BA99" s="759"/>
      <c r="BB99" s="759"/>
      <c r="BC99" s="759"/>
      <c r="BD99" s="759"/>
      <c r="BE99" s="759"/>
      <c r="BF99" s="759"/>
      <c r="BG99" s="760"/>
      <c r="BH99" s="1678"/>
      <c r="BI99" s="1678"/>
      <c r="BJ99" s="1678"/>
      <c r="BK99" s="1678"/>
      <c r="BL99" s="1679"/>
      <c r="BM99" s="1679"/>
      <c r="BN99" s="1678"/>
      <c r="BO99" s="1678"/>
      <c r="BP99" s="1678"/>
      <c r="BQ99" s="1399"/>
    </row>
    <row r="100" spans="1:69" s="686" customFormat="1" x14ac:dyDescent="0.2">
      <c r="A100" s="1712" t="s">
        <v>2621</v>
      </c>
      <c r="B100" s="1791">
        <v>88</v>
      </c>
      <c r="C100" s="844" t="str">
        <f>IF(C69="","Power and Signals",VLOOKUP(C69,Codes!$C$156:$D$174,2)&amp;" Power and Signals")</f>
        <v>Power and Signals</v>
      </c>
      <c r="D100" s="1709"/>
      <c r="E100" s="1057"/>
      <c r="F100" s="764"/>
      <c r="G100" s="764"/>
      <c r="H100" s="1917"/>
      <c r="I100" s="1880"/>
      <c r="J100" s="1651"/>
      <c r="K100" s="1651"/>
      <c r="L100" s="1917"/>
      <c r="M100" s="1651"/>
      <c r="N100" s="1651"/>
      <c r="O100" s="1651"/>
      <c r="P100" s="1916"/>
      <c r="Q100" s="1867"/>
      <c r="R100" s="1916"/>
      <c r="S100" s="1867"/>
      <c r="T100" s="1916"/>
      <c r="U100" s="1867"/>
      <c r="V100" s="1916"/>
      <c r="W100" s="1867"/>
      <c r="X100" s="1916"/>
      <c r="Y100" s="1651"/>
      <c r="Z100" s="1651"/>
      <c r="AA100" s="1651"/>
      <c r="AB100" s="1651"/>
      <c r="AC100" s="1651"/>
      <c r="AD100" s="1651"/>
      <c r="AE100" s="1651"/>
      <c r="AF100" s="1651"/>
      <c r="AG100" s="1651"/>
      <c r="AH100" s="1651"/>
      <c r="AJ100" s="1676"/>
      <c r="AL100" s="1676"/>
      <c r="AP100" s="1223"/>
      <c r="AU100" s="848"/>
      <c r="AV100" s="848"/>
      <c r="AW100" s="848"/>
      <c r="AX100" s="848"/>
      <c r="AY100" s="759"/>
      <c r="AZ100" s="759"/>
      <c r="BA100" s="848"/>
      <c r="BB100" s="759"/>
      <c r="BC100" s="848"/>
      <c r="BD100" s="848"/>
      <c r="BE100" s="848"/>
      <c r="BF100" s="848"/>
      <c r="BH100" s="1680"/>
      <c r="BI100" s="1680"/>
      <c r="BJ100" s="1680"/>
      <c r="BK100" s="1680"/>
      <c r="BL100" s="1680"/>
      <c r="BM100" s="1680"/>
      <c r="BN100" s="1680"/>
      <c r="BO100" s="1680"/>
      <c r="BP100" s="1680"/>
    </row>
    <row r="101" spans="1:69" s="686" customFormat="1" ht="26.25" thickBot="1" x14ac:dyDescent="0.25">
      <c r="A101" s="1712" t="s">
        <v>2621</v>
      </c>
      <c r="B101" s="1791">
        <v>89</v>
      </c>
      <c r="C101" s="1674"/>
      <c r="D101" s="1709"/>
      <c r="E101" s="1057"/>
      <c r="H101" s="1903" t="s">
        <v>13</v>
      </c>
      <c r="I101" s="1651"/>
      <c r="J101" s="1651"/>
      <c r="K101" s="1651"/>
      <c r="L101" s="1909"/>
      <c r="M101" s="1909"/>
      <c r="N101" s="1909"/>
      <c r="O101" s="1909"/>
      <c r="P101" s="1903" t="str">
        <f>P$9</f>
        <v>Pre-1920</v>
      </c>
      <c r="Q101" s="1869"/>
      <c r="R101" s="1903" t="str">
        <f>R$9</f>
        <v>1920-
1929</v>
      </c>
      <c r="S101" s="1869"/>
      <c r="T101" s="1903" t="str">
        <f>T$9</f>
        <v>1930-
1939</v>
      </c>
      <c r="U101" s="1869"/>
      <c r="V101" s="1903" t="str">
        <f>V$9</f>
        <v>1940-
1949</v>
      </c>
      <c r="W101" s="1869"/>
      <c r="X101" s="1903" t="str">
        <f>X$9</f>
        <v>1950-
1959</v>
      </c>
      <c r="Y101" s="1868"/>
      <c r="Z101" s="1903" t="str">
        <f>Z$9</f>
        <v>1960-
1969</v>
      </c>
      <c r="AA101" s="1868"/>
      <c r="AB101" s="1903" t="str">
        <f>AB$9</f>
        <v>1970-
1979</v>
      </c>
      <c r="AC101" s="1868"/>
      <c r="AD101" s="1903" t="str">
        <f>AD$9</f>
        <v>1980-
1989</v>
      </c>
      <c r="AE101" s="1868"/>
      <c r="AF101" s="1903" t="str">
        <f>AF$9</f>
        <v>1990-
1999</v>
      </c>
      <c r="AG101" s="1868"/>
      <c r="AH101" s="1903" t="str">
        <f>AH$9</f>
        <v>2000-
present</v>
      </c>
      <c r="AJ101" s="1676"/>
      <c r="AL101" s="1676"/>
      <c r="AP101" s="1394"/>
      <c r="AU101" s="848"/>
      <c r="AV101" s="848"/>
      <c r="AW101" s="848"/>
      <c r="AX101" s="848"/>
      <c r="AY101" s="759"/>
      <c r="AZ101" s="759"/>
      <c r="BA101" s="848"/>
      <c r="BB101" s="759"/>
      <c r="BC101" s="848"/>
      <c r="BD101" s="848"/>
      <c r="BE101" s="848"/>
      <c r="BF101" s="848"/>
      <c r="BH101" s="1680"/>
      <c r="BI101" s="1680"/>
      <c r="BJ101" s="1680"/>
      <c r="BK101" s="1680"/>
      <c r="BL101" s="1680"/>
      <c r="BM101" s="1680"/>
      <c r="BN101" s="1680"/>
      <c r="BO101" s="1680"/>
      <c r="BP101" s="1680"/>
    </row>
    <row r="102" spans="1:69" s="686" customFormat="1" x14ac:dyDescent="0.2">
      <c r="A102" s="852">
        <f>A97+1</f>
        <v>24</v>
      </c>
      <c r="B102" s="1790">
        <v>90</v>
      </c>
      <c r="C102" s="851" t="str">
        <f>Valid!$B$87</f>
        <v>Substation Building</v>
      </c>
      <c r="D102" s="1709"/>
      <c r="E102" s="1245" t="str">
        <f>IF(AT102="N/A","",IF(AT102="N","No","Yes"))</f>
        <v/>
      </c>
      <c r="H102" s="1864"/>
      <c r="I102" s="1904" t="str">
        <f>IF(AND(C69&lt;&gt;"", H102=""),"Qty? Enter Zero if N/A  ","")</f>
        <v/>
      </c>
      <c r="J102" s="1918"/>
      <c r="K102" s="1651"/>
      <c r="L102" s="1864"/>
      <c r="M102" s="1870" t="str">
        <f>IF($H102=0,"",IF($L102="",TEXT(BN102,0)&amp;" Years?    ",""))</f>
        <v/>
      </c>
      <c r="N102" s="1905"/>
      <c r="O102" s="1870"/>
      <c r="P102" s="1864"/>
      <c r="Q102" s="1865" t="str">
        <f>IF(OR($N102="", AND($N102="",OR($H102="",$H102=0))),"",IF(AND($N102="Quantity",$AJ102&lt;$H102),"0 - "&amp;TEXT($H102-$AJ102,"0")&amp;" buildings?    ",IF(AND($N102="%",$AJ102&lt;1),REPLACE(IF(AND($P102&gt;0,$V102&gt;0,$T102&gt;0,$X102&gt;0,$R102&gt;0,$Z102&gt;0,$AB102&gt;0,$AD102&gt;0,$AF102&gt;0,$AH102&gt;0),"","0-"),99,0,REPLACE(TEXT(100-$AJ102,0),99,0,"?    ")),"")))</f>
        <v/>
      </c>
      <c r="R102" s="1864"/>
      <c r="S102" s="1865" t="str">
        <f>IF(OR($N102="", AND($N102="",OR($H102="",$H102=0))),"",IF(AND($N102="Quantity",$AJ102&lt;$H102),"0 - "&amp;TEXT($H102-$AJ102,"0")&amp;" buildings?    ",IF(AND($N102="%",$AJ102&lt;1),REPLACE(IF(AND($P102&gt;0,$V102&gt;0,$T102&gt;0,$X102&gt;0,$R102&gt;0,$Z102&gt;0,$AB102&gt;0,$AD102&gt;0,$AF102&gt;0,$AH102&gt;0),"","0-"),99,0,REPLACE(TEXT(100-$AJ102,0),99,0,"?    ")),"")))</f>
        <v/>
      </c>
      <c r="T102" s="1864"/>
      <c r="U102" s="1865" t="str">
        <f>IF(OR($N102="", AND($N102="",OR($H102="",$H102=0))),"",IF(AND($N102="Quantity",$AJ102&lt;$H102),"0 - "&amp;TEXT($H102-$AJ102,"0")&amp;" buildings?    ",IF(AND($N102="%",$AJ102&lt;1),REPLACE(IF(AND($P102&gt;0,$V102&gt;0,$T102&gt;0,$X102&gt;0,$R102&gt;0,$Z102&gt;0,$AB102&gt;0,$AD102&gt;0,$AF102&gt;0,$AH102&gt;0),"","0-"),99,0,REPLACE(TEXT(100-$AJ102,0),99,0,"?    ")),"")))</f>
        <v/>
      </c>
      <c r="V102" s="1864"/>
      <c r="W102" s="1865" t="str">
        <f>IF(OR($N102="", AND($N102="",OR($H102="",$H102=0))),"",IF(AND($N102="Quantity",$AJ102&lt;$H102),"0 - "&amp;TEXT($H102-$AJ102,"0")&amp;" buildings?    ",IF(AND($N102="%",$AJ102&lt;1),REPLACE(IF(AND($P102&gt;0,$V102&gt;0,$T102&gt;0,$X102&gt;0,$R102&gt;0,$Z102&gt;0,$AB102&gt;0,$AD102&gt;0,$AF102&gt;0,$AH102&gt;0),"","0-"),99,0,REPLACE(TEXT(100-$AJ102,0),99,0,"?    ")),"")))</f>
        <v/>
      </c>
      <c r="X102" s="1864"/>
      <c r="Y102" s="1865" t="str">
        <f>IF(OR($N102="", AND($N102="",OR($H102="",$H102=0))),"",IF(AND($N102="Quantity",$AJ102&lt;$H102),"0 - "&amp;TEXT($H102-$AJ102,"0")&amp;" buildings?    ",IF(AND($N102="%",$AJ102&lt;1),REPLACE(IF(AND($P102&gt;0,$V102&gt;0,$T102&gt;0,$X102&gt;0,$R102&gt;0,$Z102&gt;0,$AB102&gt;0,$AD102&gt;0,$AF102&gt;0,$AH102&gt;0),"","0-"),99,0,REPLACE(TEXT(100-$AJ102,0),99,0,"?    ")),"")))</f>
        <v/>
      </c>
      <c r="Z102" s="1864"/>
      <c r="AA102" s="1865" t="str">
        <f>IF(OR($N102="", AND($N102="",OR($H102="",$H102=0))),"",IF(AND($N102="Quantity",$AJ102&lt;$H102),"0 - "&amp;TEXT($H102-$AJ102,"0")&amp;" buildings?    ",IF(AND($N102="%",$AJ102&lt;1),REPLACE(IF(AND($P102&gt;0,$V102&gt;0,$T102&gt;0,$X102&gt;0,$R102&gt;0,$Z102&gt;0,$AB102&gt;0,$AD102&gt;0,$AF102&gt;0,$AH102&gt;0),"","0-"),99,0,REPLACE(TEXT(100-$AJ102,0),99,0,"?    ")),"")))</f>
        <v/>
      </c>
      <c r="AB102" s="1864"/>
      <c r="AC102" s="1865" t="str">
        <f>IF(OR($N102="", AND($N102="",OR($H102="",$H102=0))),"",IF(AND($N102="Quantity",$AJ102&lt;$H102),"0 - "&amp;TEXT($H102-$AJ102,"0")&amp;" buildings?    ",IF(AND($N102="%",$AJ102&lt;1),REPLACE(IF(AND($P102&gt;0,$V102&gt;0,$T102&gt;0,$X102&gt;0,$R102&gt;0,$Z102&gt;0,$AB102&gt;0,$AD102&gt;0,$AF102&gt;0,$AH102&gt;0),"","0-"),99,0,REPLACE(TEXT(100-$AJ102,0),99,0,"?    ")),"")))</f>
        <v/>
      </c>
      <c r="AD102" s="1864"/>
      <c r="AE102" s="1865" t="str">
        <f>IF(OR($N102="", AND($N102="",OR($H102="",$H102=0))),"",IF(AND($N102="Quantity",$AJ102&lt;$H102),"0 - "&amp;TEXT($H102-$AJ102,"0")&amp;" buildings?    ",IF(AND($N102="%",$AJ102&lt;1),REPLACE(IF(AND($P102&gt;0,$V102&gt;0,$T102&gt;0,$X102&gt;0,$R102&gt;0,$Z102&gt;0,$AB102&gt;0,$AD102&gt;0,$AF102&gt;0,$AH102&gt;0),"","0-"),99,0,REPLACE(TEXT(100-$AJ102,0),99,0,"?    ")),"")))</f>
        <v/>
      </c>
      <c r="AF102" s="1864"/>
      <c r="AG102" s="1865" t="str">
        <f>IF(OR($N102="", AND($N102="",OR($H102="",$H102=0))),"",IF(AND($N102="Quantity",$AJ102&lt;$H102),"0 - "&amp;TEXT($H102-$AJ102,"0")&amp;" buildings?    ",IF(AND($N102="%",$AJ102&lt;1),REPLACE(IF(AND($P102&gt;0,$V102&gt;0,$T102&gt;0,$X102&gt;0,$R102&gt;0,$Z102&gt;0,$AB102&gt;0,$AD102&gt;0,$AF102&gt;0,$AH102&gt;0),"","0-"),99,0,REPLACE(TEXT(100-$AJ102,0),99,0,"?    ")),"")))</f>
        <v/>
      </c>
      <c r="AH102" s="1864"/>
      <c r="AI102" s="1865" t="str">
        <f>IF(OR($N102="", AND($N102="",OR($H102="",$H102=0))),"",IF(AND($N102="Quantity",$AJ102&lt;$H102),"0 - "&amp;TEXT($H102-$AJ102,"0")&amp;" buildings?    ",IF(AND($N102="%",$AJ102&lt;1),REPLACE(IF(AND($P102&gt;0,$V102&gt;0,$T102&gt;0,$X102&gt;0,$R102&gt;0,$Z102&gt;0,$AB102&gt;0,$AD102&gt;0,$AF102&gt;0,$AH102&gt;0),"","0-"),99,0,REPLACE(TEXT(100-$AJ102,0),99,0,"?    ")),"")))</f>
        <v/>
      </c>
      <c r="AJ102" s="1833">
        <f>IFERROR(IF(N102="%", SUM(P102,R102,T102,V102,X102,Z102,AB102,AD102,AF102,AH102)/100, SUM(P102,R102,T102,V102,X102,Z102,AB102,AD102,AF102,AH102)/H102), 0)</f>
        <v>0</v>
      </c>
      <c r="AL102" s="1832"/>
      <c r="AN102" s="1276"/>
      <c r="AP102" s="1653"/>
      <c r="AT102" s="1624" t="str">
        <f>IF(AND($C$69="", H102=""), "N/A", IF(OR(AND(ISNUMBER(H102), H102=0), AND(AJ102=1, H102&lt;&gt;"", L102&lt;&gt;"", N102&lt;&gt;"", P102&lt;&gt;"", R102&lt;&gt;"", T102&lt;&gt;"", V102&lt;&gt;"", X102&lt;&gt;"", Z102&lt;&gt;"", AB102&lt;&gt;"", AD102&lt;&gt;"", AF102&lt;&gt;"", AH102&lt;&gt;"",AL102&lt;&gt;"", IF(AND(AL102&lt;1, AN102=""), FALSE, TRUE))), "Yes", "No"))</f>
        <v>N/A</v>
      </c>
      <c r="AU102" s="759" t="b">
        <f>IF(AND(H102="",OR(L102&lt;&gt;"",P102&lt;&gt;"",R102&lt;&gt;"",T102&lt;&gt;"",V102&lt;&gt;"",X102&lt;&gt;"",AL102&lt;&gt;"",Z102&lt;&gt;"",AB102&lt;&gt;"",AD102&lt;&gt;"",AF102&lt;&gt;"",AH102&lt;&gt;"")),TRUE,FALSE)</f>
        <v>0</v>
      </c>
      <c r="AV102" s="759" t="b">
        <f>IF(OR(H102="",H102=0),FALSE,IF(H102&gt;BM102,TRUE,FALSE))</f>
        <v>0</v>
      </c>
      <c r="AW102" s="759" t="b">
        <f>IF(AND($C$69&lt;&gt;"",$H102=""),TRUE,FALSE)</f>
        <v>0</v>
      </c>
      <c r="AX102" s="759"/>
      <c r="AY102" s="759" t="b">
        <f>IF($L102="",FALSE,IF($L102&lt;$BO102,TRUE,FALSE))</f>
        <v>0</v>
      </c>
      <c r="AZ102" s="759" t="b">
        <f>IF($L102="",FALSE,IF($L102&gt;$BP102,TRUE,FALSE))</f>
        <v>0</v>
      </c>
      <c r="BA102" s="759" t="b">
        <f>IF(H102=0,FALSE,IF(AND(E102&lt;&gt;"",$L102=""),TRUE,FALSE))</f>
        <v>0</v>
      </c>
      <c r="BB102" s="759" t="b">
        <f>IF(AND($AJ102&lt;&gt;0,$H102&lt;$AJ102,$N102="LF"),TRUE,IF(AND($N102="LF",H102&lt;&gt;"",H102=AJ102),FALSE,IF(AND($AJ102&lt;&gt;0,$AJ102&gt;"100%",$N102="%"),TRUE,FALSE)))</f>
        <v>0</v>
      </c>
      <c r="BC102" s="759" t="b">
        <f>IF(AT102="No", IF(OR(P102="", R102="", T102="", V102="", X102="", Z102="", AB102="", AD102="", AF102="", AH102=""), TRUE, FALSE), FALSE)</f>
        <v>0</v>
      </c>
      <c r="BD102" s="759" t="b">
        <f>IF($BE102=TRUE,FALSE,IF(OR($AL102&lt;0,$AL102&gt;1),TRUE,FALSE))</f>
        <v>0</v>
      </c>
      <c r="BE102" s="759" t="b">
        <f>IF(AND($H102&lt;&gt;0,$AL102=""),TRUE,FALSE)</f>
        <v>0</v>
      </c>
      <c r="BF102" s="759"/>
      <c r="BH102" s="1678"/>
      <c r="BI102" s="1678" t="str">
        <f>IF(N102="", "", IF(N102="Quantity", H102, IF(N102="%", 1, "")))</f>
        <v/>
      </c>
      <c r="BJ102" s="1679">
        <f>P102+R102+T102+V102+X102+Z102+AB102+AD102+AF102+AH102</f>
        <v>0</v>
      </c>
      <c r="BK102" s="1679" t="str">
        <f>IF(BI102="", "", BI102-BJ102)</f>
        <v/>
      </c>
      <c r="BL102" s="1678">
        <f>IF($C102="","",VLOOKUP($C102,Valid!$B$87:$F$96,3,FALSE))</f>
        <v>0</v>
      </c>
      <c r="BM102" s="1678">
        <f>IF($C102="","",VLOOKUP($C102,Valid!$B$87:$F$96,4,FALSE))</f>
        <v>35</v>
      </c>
      <c r="BN102" s="1678">
        <f>IF($C102="","",VLOOKUP($C102,Valid!$B$87:$F$96,5,FALSE))</f>
        <v>100</v>
      </c>
      <c r="BO102" s="1678">
        <f>IF($C102="","",VLOOKUP($C102,Valid!$B$87:$G$96,6,FALSE))</f>
        <v>75</v>
      </c>
      <c r="BP102" s="1678">
        <f>IF($C102="","",VLOOKUP($C102,Valid!$B$87:$Z$96,7,FALSE))</f>
        <v>125</v>
      </c>
    </row>
    <row r="103" spans="1:69" s="686" customFormat="1" ht="3.95" customHeight="1" x14ac:dyDescent="0.2">
      <c r="B103" s="1790">
        <v>91</v>
      </c>
      <c r="C103" s="1674"/>
      <c r="D103" s="1709"/>
      <c r="E103" s="1057"/>
      <c r="H103" s="1917"/>
      <c r="I103" s="1651"/>
      <c r="J103" s="1651"/>
      <c r="K103" s="1651"/>
      <c r="L103" s="1917"/>
      <c r="M103" s="1651"/>
      <c r="N103" s="1651"/>
      <c r="O103" s="1651"/>
      <c r="P103" s="1866"/>
      <c r="Q103" s="1867"/>
      <c r="R103" s="1866"/>
      <c r="S103" s="1867"/>
      <c r="T103" s="1866"/>
      <c r="U103" s="1867"/>
      <c r="V103" s="1866"/>
      <c r="W103" s="1867"/>
      <c r="X103" s="1866"/>
      <c r="Y103" s="1867"/>
      <c r="Z103" s="1867"/>
      <c r="AA103" s="1867"/>
      <c r="AB103" s="1867"/>
      <c r="AC103" s="1867"/>
      <c r="AD103" s="1867"/>
      <c r="AE103" s="1867"/>
      <c r="AF103" s="1867"/>
      <c r="AG103" s="1867"/>
      <c r="AH103" s="1867"/>
      <c r="AJ103" s="1676"/>
      <c r="AL103" s="1676"/>
      <c r="AP103" s="1394"/>
      <c r="AU103" s="848"/>
      <c r="AV103" s="848"/>
      <c r="AW103" s="848"/>
      <c r="AX103" s="848"/>
      <c r="AY103" s="759"/>
      <c r="AZ103" s="759"/>
      <c r="BA103" s="848"/>
      <c r="BB103" s="759"/>
      <c r="BC103" s="848"/>
      <c r="BD103" s="848"/>
      <c r="BE103" s="848"/>
      <c r="BF103" s="848"/>
      <c r="BH103" s="1680"/>
      <c r="BI103" s="1680"/>
      <c r="BJ103" s="1680"/>
      <c r="BK103" s="1680"/>
      <c r="BL103" s="1680"/>
      <c r="BM103" s="1680"/>
      <c r="BN103" s="1680"/>
      <c r="BO103" s="1680"/>
      <c r="BP103" s="1680"/>
    </row>
    <row r="104" spans="1:69" s="686" customFormat="1" ht="3.95" customHeight="1" thickBot="1" x14ac:dyDescent="0.25">
      <c r="B104" s="1791">
        <v>92</v>
      </c>
      <c r="C104" s="1674"/>
      <c r="D104" s="1709"/>
      <c r="E104" s="1057"/>
      <c r="H104" s="1917"/>
      <c r="I104" s="1651"/>
      <c r="J104" s="1651"/>
      <c r="K104" s="1651"/>
      <c r="L104" s="1917"/>
      <c r="M104" s="1651"/>
      <c r="N104" s="1651"/>
      <c r="O104" s="1651"/>
      <c r="P104" s="1868"/>
      <c r="Q104" s="1869"/>
      <c r="R104" s="1868"/>
      <c r="S104" s="1869"/>
      <c r="T104" s="1868"/>
      <c r="U104" s="1869"/>
      <c r="V104" s="1868"/>
      <c r="W104" s="1869"/>
      <c r="X104" s="1868"/>
      <c r="Y104" s="1869"/>
      <c r="Z104" s="1869"/>
      <c r="AA104" s="1869"/>
      <c r="AB104" s="1869"/>
      <c r="AC104" s="1869"/>
      <c r="AD104" s="1869"/>
      <c r="AE104" s="1869"/>
      <c r="AF104" s="1869"/>
      <c r="AG104" s="1869"/>
      <c r="AH104" s="1869"/>
      <c r="AJ104" s="1676"/>
      <c r="AL104" s="1676"/>
      <c r="AP104" s="1394"/>
      <c r="AU104" s="848"/>
      <c r="AV104" s="848"/>
      <c r="AW104" s="848"/>
      <c r="AX104" s="848"/>
      <c r="AY104" s="759"/>
      <c r="AZ104" s="759"/>
      <c r="BA104" s="848"/>
      <c r="BB104" s="759"/>
      <c r="BC104" s="848"/>
      <c r="BD104" s="848"/>
      <c r="BE104" s="848"/>
      <c r="BF104" s="848"/>
      <c r="BH104" s="1680"/>
      <c r="BI104" s="1680"/>
      <c r="BJ104" s="1680"/>
      <c r="BK104" s="1680"/>
      <c r="BL104" s="1680"/>
      <c r="BM104" s="1680"/>
      <c r="BN104" s="1680"/>
      <c r="BO104" s="1680"/>
      <c r="BP104" s="1680"/>
    </row>
    <row r="105" spans="1:69" s="686" customFormat="1" x14ac:dyDescent="0.2">
      <c r="A105" s="852">
        <f>A102+1</f>
        <v>25</v>
      </c>
      <c r="B105" s="1791">
        <v>93</v>
      </c>
      <c r="C105" s="851" t="str">
        <f>Valid!$B$88</f>
        <v>Substation Equipment</v>
      </c>
      <c r="D105" s="1709"/>
      <c r="E105" s="1245" t="str">
        <f>IF(AT105="N/A","",IF(AT105="N","No","Yes"))</f>
        <v/>
      </c>
      <c r="H105" s="1917"/>
      <c r="I105" s="1904"/>
      <c r="J105" s="1919"/>
      <c r="K105" s="1651"/>
      <c r="L105" s="1864"/>
      <c r="M105" s="1920" t="str">
        <f>IF(AND(H102&lt;&gt;"", L105=""),REPLACE(TEXT(BN105,0),99,0," Yrs.?    "),"")</f>
        <v/>
      </c>
      <c r="N105" s="1921"/>
      <c r="O105" s="1870"/>
      <c r="P105" s="1864"/>
      <c r="Q105" s="1865" t="str">
        <f>IF(OR($N105="", AND($N105="",OR($H105="",$H105=0))),"",IF(AND($N105="Quantity",$AJ105&lt;$H105),"0 - "&amp;TEXT($H105-$AJ105,"0")&amp;" buildings?    ",IF(AND($N105="%",$AJ105&lt;1),REPLACE(IF(AND($P105&gt;0,$V105&gt;0,$T105&gt;0,$X105&gt;0,$R105&gt;0,$Z105&gt;0,$AB105&gt;0,$AD105&gt;0,$AF105&gt;0,$AH105&gt;0),"","0-"),99,0,REPLACE(TEXT(100-$AJ105,0),99,0,"?    ")),"")))</f>
        <v/>
      </c>
      <c r="R105" s="1864"/>
      <c r="S105" s="1865" t="str">
        <f>IF(OR($N105="", AND($N105="",OR($H105="",$H105=0))),"",IF(AND($N105="Quantity",$AJ105&lt;$H105),"0 - "&amp;TEXT($H105-$AJ105,"0")&amp;" buildings?    ",IF(AND($N105="%",$AJ105&lt;1),REPLACE(IF(AND($P105&gt;0,$V105&gt;0,$T105&gt;0,$X105&gt;0,$R105&gt;0,$Z105&gt;0,$AB105&gt;0,$AD105&gt;0,$AF105&gt;0,$AH105&gt;0),"","0-"),99,0,REPLACE(TEXT(100-$AJ105,0),99,0,"?    ")),"")))</f>
        <v/>
      </c>
      <c r="T105" s="1864"/>
      <c r="U105" s="1865" t="str">
        <f>IF(OR($N105="", AND($N105="",OR($H105="",$H105=0))),"",IF(AND($N105="Quantity",$AJ105&lt;$H105),"0 - "&amp;TEXT($H105-$AJ105,"0")&amp;" buildings?    ",IF(AND($N105="%",$AJ105&lt;1),REPLACE(IF(AND($P105&gt;0,$V105&gt;0,$T105&gt;0,$X105&gt;0,$R105&gt;0,$Z105&gt;0,$AB105&gt;0,$AD105&gt;0,$AF105&gt;0,$AH105&gt;0),"","0-"),99,0,REPLACE(TEXT(100-$AJ105,0),99,0,"?    ")),"")))</f>
        <v/>
      </c>
      <c r="V105" s="1864"/>
      <c r="W105" s="1865" t="str">
        <f>IF(OR($N105="", AND($N105="",OR($H105="",$H105=0))),"",IF(AND($N105="Quantity",$AJ105&lt;$H105),"0 - "&amp;TEXT($H105-$AJ105,"0")&amp;" buildings?    ",IF(AND($N105="%",$AJ105&lt;1),REPLACE(IF(AND($P105&gt;0,$V105&gt;0,$T105&gt;0,$X105&gt;0,$R105&gt;0,$Z105&gt;0,$AB105&gt;0,$AD105&gt;0,$AF105&gt;0,$AH105&gt;0),"","0-"),99,0,REPLACE(TEXT(100-$AJ105,0),99,0,"?    ")),"")))</f>
        <v/>
      </c>
      <c r="X105" s="1864"/>
      <c r="Y105" s="1865" t="str">
        <f>IF(OR($N105="", AND($N105="",OR($H105="",$H105=0))),"",IF(AND($N105="Quantity",$AJ105&lt;$H105),"0 - "&amp;TEXT($H105-$AJ105,"0")&amp;" buildings?    ",IF(AND($N105="%",$AJ105&lt;1),REPLACE(IF(AND($P105&gt;0,$V105&gt;0,$T105&gt;0,$X105&gt;0,$R105&gt;0,$Z105&gt;0,$AB105&gt;0,$AD105&gt;0,$AF105&gt;0,$AH105&gt;0),"","0-"),99,0,REPLACE(TEXT(100-$AJ105,0),99,0,"?    ")),"")))</f>
        <v/>
      </c>
      <c r="Z105" s="1864"/>
      <c r="AA105" s="1865" t="str">
        <f>IF(OR($N105="", AND($N105="",OR($H105="",$H105=0))),"",IF(AND($N105="Quantity",$AJ105&lt;$H105),"0 - "&amp;TEXT($H105-$AJ105,"0")&amp;" buildings?    ",IF(AND($N105="%",$AJ105&lt;1),REPLACE(IF(AND($P105&gt;0,$V105&gt;0,$T105&gt;0,$X105&gt;0,$R105&gt;0,$Z105&gt;0,$AB105&gt;0,$AD105&gt;0,$AF105&gt;0,$AH105&gt;0),"","0-"),99,0,REPLACE(TEXT(100-$AJ105,0),99,0,"?    ")),"")))</f>
        <v/>
      </c>
      <c r="AB105" s="1864"/>
      <c r="AC105" s="1865" t="str">
        <f>IF(OR($N105="", AND($N105="",OR($H105="",$H105=0))),"",IF(AND($N105="Quantity",$AJ105&lt;$H105),"0 - "&amp;TEXT($H105-$AJ105,"0")&amp;" buildings?    ",IF(AND($N105="%",$AJ105&lt;1),REPLACE(IF(AND($P105&gt;0,$V105&gt;0,$T105&gt;0,$X105&gt;0,$R105&gt;0,$Z105&gt;0,$AB105&gt;0,$AD105&gt;0,$AF105&gt;0,$AH105&gt;0),"","0-"),99,0,REPLACE(TEXT(100-$AJ105,0),99,0,"?    ")),"")))</f>
        <v/>
      </c>
      <c r="AD105" s="1864"/>
      <c r="AE105" s="1865" t="str">
        <f>IF(OR($N105="", AND($N105="",OR($H105="",$H105=0))),"",IF(AND($N105="Quantity",$AJ105&lt;$H105),"0 - "&amp;TEXT($H105-$AJ105,"0")&amp;" buildings?    ",IF(AND($N105="%",$AJ105&lt;1),REPLACE(IF(AND($P105&gt;0,$V105&gt;0,$T105&gt;0,$X105&gt;0,$R105&gt;0,$Z105&gt;0,$AB105&gt;0,$AD105&gt;0,$AF105&gt;0,$AH105&gt;0),"","0-"),99,0,REPLACE(TEXT(100-$AJ105,0),99,0,"?    ")),"")))</f>
        <v/>
      </c>
      <c r="AF105" s="1864"/>
      <c r="AG105" s="1865" t="str">
        <f>IF(OR($N105="", AND($N105="",OR($H105="",$H105=0))),"",IF(AND($N105="Quantity",$AJ105&lt;$H105),"0 - "&amp;TEXT($H105-$AJ105,"0")&amp;" buildings?    ",IF(AND($N105="%",$AJ105&lt;1),REPLACE(IF(AND($P105&gt;0,$V105&gt;0,$T105&gt;0,$X105&gt;0,$R105&gt;0,$Z105&gt;0,$AB105&gt;0,$AD105&gt;0,$AF105&gt;0,$AH105&gt;0),"","0-"),99,0,REPLACE(TEXT(100-$AJ105,0),99,0,"?    ")),"")))</f>
        <v/>
      </c>
      <c r="AH105" s="1864"/>
      <c r="AI105" s="1865" t="str">
        <f>IF(OR($N105="", AND($N105="",OR($H105="",$H105=0))),"",IF(AND($N105="Quantity",$AJ105&lt;$H105),"0 - "&amp;TEXT($H105-$AJ105,"0")&amp;" buildings?    ",IF(AND($N105="%",$AJ105&lt;1),REPLACE(IF(AND($P105&gt;0,$V105&gt;0,$T105&gt;0,$X105&gt;0,$R105&gt;0,$Z105&gt;0,$AB105&gt;0,$AD105&gt;0,$AF105&gt;0,$AH105&gt;0),"","0-"),99,0,REPLACE(TEXT(100-$AJ105,0),99,0,"?    ")),"")))</f>
        <v/>
      </c>
      <c r="AJ105" s="1833">
        <f>IFERROR(IF(N105="%", SUM(P105,R105,T105,V105,X105,Z105,AB105,AD105,AF105,AH105)/100, SUM(P105,R105,T105,V105,X105,Z105,AB105,AD105,AF105,AH105)/H105), 0)</f>
        <v>0</v>
      </c>
      <c r="AL105" s="1832"/>
      <c r="AN105" s="1276"/>
      <c r="AP105" s="1653"/>
      <c r="AT105" s="1624" t="str">
        <f>IF(AND($C$69="", L105=""), "N/A", IF(AND(AJ105=1, L105&lt;&gt;"", N105&lt;&gt;"", P105&lt;&gt;"", R105&lt;&gt;"", T105&lt;&gt;"", V105&lt;&gt;"", X105&lt;&gt;"", Z105&lt;&gt;"", AB105&lt;&gt;"", AD105&lt;&gt;"", AF105&lt;&gt;"", AH105&lt;&gt;"",AL105&lt;&gt;"", IF(AND(AL105&lt;1, AN105=""), FALSE, TRUE)), "Yes", "No"))</f>
        <v>N/A</v>
      </c>
      <c r="AU105" s="759"/>
      <c r="AV105" s="759"/>
      <c r="AW105" s="759"/>
      <c r="AX105" s="759"/>
      <c r="AY105" s="759" t="b">
        <f>IF($L105="",FALSE,IF($L105&lt;$BO105,TRUE,FALSE))</f>
        <v>0</v>
      </c>
      <c r="AZ105" s="759" t="b">
        <f>IF($L105="",FALSE,IF($L105&gt;$BP105,TRUE,FALSE))</f>
        <v>0</v>
      </c>
      <c r="BA105" s="759" t="b">
        <f>IF(AND(E105&lt;&gt;"",$L105=""),TRUE,FALSE)</f>
        <v>0</v>
      </c>
      <c r="BB105" s="759" t="b">
        <f>IF(AND($AJ105&lt;&gt;0,$H105&lt;$AJ105,$N105="LF"),TRUE,IF(AND($N105="LF",H105&lt;&gt;"",H105=AJ105),FALSE,IF(AND($AJ105&lt;&gt;0,$AJ105&gt;"100%",$N105="%"),TRUE,FALSE)))</f>
        <v>0</v>
      </c>
      <c r="BC105" s="759" t="b">
        <f>IF(AT105="No", IF(OR(P105="", R105="", T105="", V105="", X105="", Z105="", AB105="", AD105="", AF105="", AH105=""), TRUE, FALSE), FALSE)</f>
        <v>0</v>
      </c>
      <c r="BD105" s="759" t="b">
        <f>IF($BE105=TRUE,FALSE,IF(OR($AL105&lt;0,$AL105&gt;1),TRUE,FALSE))</f>
        <v>0</v>
      </c>
      <c r="BE105" s="759" t="b">
        <f>IF(AND($E105&lt;&gt;"",$AL105=""),TRUE,FALSE)</f>
        <v>0</v>
      </c>
      <c r="BF105" s="759"/>
      <c r="BH105" s="1680"/>
      <c r="BI105" s="1678" t="str">
        <f>IF(N105="", "", IF(N105="Quantity", H105, IF(N105="%", 1, "")))</f>
        <v/>
      </c>
      <c r="BJ105" s="1679">
        <f>P105+R105+T105+V105+X105+Z105+AB105+AD105+AF105+AH105</f>
        <v>0</v>
      </c>
      <c r="BK105" s="1679" t="str">
        <f>IF(BI105="", "", BI105-BJ105)</f>
        <v/>
      </c>
      <c r="BL105" s="1680"/>
      <c r="BM105" s="1680"/>
      <c r="BN105" s="1678">
        <f>IF($C105="","",VLOOKUP($C105,Valid!$B$87:$F$96,5,FALSE))</f>
        <v>25</v>
      </c>
      <c r="BO105" s="1678">
        <f>IF($C105="","",VLOOKUP($C105,Valid!$B$87:$G$96,6,FALSE))</f>
        <v>19</v>
      </c>
      <c r="BP105" s="1678">
        <f>IF($C105="","",VLOOKUP($C105,Valid!$B$87:$Z$96,7,FALSE))</f>
        <v>31</v>
      </c>
    </row>
    <row r="106" spans="1:69" s="686" customFormat="1" ht="3.95" customHeight="1" x14ac:dyDescent="0.2">
      <c r="B106" s="1791">
        <v>94</v>
      </c>
      <c r="C106" s="1674"/>
      <c r="D106" s="1709"/>
      <c r="E106" s="1057"/>
      <c r="H106" s="1917"/>
      <c r="I106" s="1651"/>
      <c r="J106" s="1651"/>
      <c r="K106" s="1651"/>
      <c r="L106" s="1917"/>
      <c r="M106" s="1651"/>
      <c r="N106" s="1651"/>
      <c r="O106" s="1651"/>
      <c r="P106" s="1866"/>
      <c r="Q106" s="1867"/>
      <c r="R106" s="1866"/>
      <c r="S106" s="1867"/>
      <c r="T106" s="1866"/>
      <c r="U106" s="1867"/>
      <c r="V106" s="1866"/>
      <c r="W106" s="1867"/>
      <c r="X106" s="1866"/>
      <c r="Y106" s="1867"/>
      <c r="Z106" s="1867"/>
      <c r="AA106" s="1867"/>
      <c r="AB106" s="1867"/>
      <c r="AC106" s="1867"/>
      <c r="AD106" s="1867"/>
      <c r="AE106" s="1867"/>
      <c r="AF106" s="1867"/>
      <c r="AG106" s="1867"/>
      <c r="AH106" s="1867"/>
      <c r="AJ106" s="1676"/>
      <c r="AL106" s="1676"/>
      <c r="AP106" s="1394"/>
      <c r="AU106" s="848"/>
      <c r="AV106" s="848"/>
      <c r="AW106" s="848"/>
      <c r="AX106" s="848"/>
      <c r="AY106" s="759"/>
      <c r="AZ106" s="759"/>
      <c r="BA106" s="848"/>
      <c r="BB106" s="759"/>
      <c r="BC106" s="848"/>
      <c r="BD106" s="848"/>
      <c r="BE106" s="848"/>
      <c r="BF106" s="848"/>
      <c r="BH106" s="1680"/>
      <c r="BI106" s="1680"/>
      <c r="BJ106" s="1680"/>
      <c r="BK106" s="1680"/>
      <c r="BL106" s="1680"/>
      <c r="BM106" s="1680"/>
      <c r="BN106" s="1680"/>
      <c r="BO106" s="1680"/>
      <c r="BP106" s="1680"/>
    </row>
    <row r="107" spans="1:69" s="686" customFormat="1" ht="3.95" customHeight="1" thickBot="1" x14ac:dyDescent="0.25">
      <c r="B107" s="1790">
        <v>95</v>
      </c>
      <c r="C107" s="1674"/>
      <c r="D107" s="1709"/>
      <c r="E107" s="1057"/>
      <c r="H107" s="1917"/>
      <c r="I107" s="1651"/>
      <c r="J107" s="1651"/>
      <c r="K107" s="1651"/>
      <c r="L107" s="1917"/>
      <c r="M107" s="1651"/>
      <c r="N107" s="1651"/>
      <c r="O107" s="1651"/>
      <c r="P107" s="1868"/>
      <c r="Q107" s="1869"/>
      <c r="R107" s="1868"/>
      <c r="S107" s="1869"/>
      <c r="T107" s="1868"/>
      <c r="U107" s="1869"/>
      <c r="V107" s="1868"/>
      <c r="W107" s="1869"/>
      <c r="X107" s="1868"/>
      <c r="Y107" s="1869"/>
      <c r="Z107" s="1869"/>
      <c r="AA107" s="1869"/>
      <c r="AB107" s="1869"/>
      <c r="AC107" s="1869"/>
      <c r="AD107" s="1869"/>
      <c r="AE107" s="1869"/>
      <c r="AF107" s="1869"/>
      <c r="AG107" s="1869"/>
      <c r="AH107" s="1869"/>
      <c r="AI107" s="1670"/>
      <c r="AJ107" s="1676"/>
      <c r="AL107" s="1676"/>
      <c r="AP107" s="1394"/>
      <c r="AU107" s="848"/>
      <c r="AV107" s="848"/>
      <c r="AW107" s="848"/>
      <c r="AX107" s="848"/>
      <c r="AY107" s="759"/>
      <c r="AZ107" s="759"/>
      <c r="BA107" s="848"/>
      <c r="BB107" s="759"/>
      <c r="BC107" s="848"/>
      <c r="BD107" s="848"/>
      <c r="BE107" s="848"/>
      <c r="BF107" s="848"/>
      <c r="BH107" s="1680"/>
      <c r="BI107" s="1680"/>
      <c r="BJ107" s="1680"/>
      <c r="BK107" s="1680"/>
      <c r="BL107" s="1680"/>
      <c r="BM107" s="1680"/>
      <c r="BN107" s="1680"/>
      <c r="BO107" s="1680"/>
      <c r="BP107" s="1680"/>
    </row>
    <row r="108" spans="1:69" s="686" customFormat="1" x14ac:dyDescent="0.2">
      <c r="A108" s="852">
        <f>A105+1</f>
        <v>26</v>
      </c>
      <c r="B108" s="1790">
        <v>96</v>
      </c>
      <c r="C108" s="851" t="str">
        <f>Valid!$B$89</f>
        <v>Third Rail/Power Distribution</v>
      </c>
      <c r="D108" s="1709"/>
      <c r="E108" s="1245" t="str">
        <f>IF(AT108="N/A","",IF(AT108="N","No","Yes"))</f>
        <v/>
      </c>
      <c r="H108" s="1917"/>
      <c r="I108" s="1904"/>
      <c r="J108" s="1651"/>
      <c r="K108" s="1651"/>
      <c r="L108" s="1864"/>
      <c r="M108" s="1920" t="str">
        <f>IF(AND(H102&lt;&gt;"", L108=""),REPLACE(TEXT(BN108,0),99,0," Yrs.?    "),"")</f>
        <v/>
      </c>
      <c r="N108" s="1921"/>
      <c r="O108" s="1870"/>
      <c r="P108" s="1864"/>
      <c r="Q108" s="1865" t="str">
        <f>IF(OR($N108="", AND($N108="",OR($H108="",$H108=0))),"",IF(AND($N108="Quantity",$AJ108&lt;$H108),"0 - "&amp;TEXT($H108-$AJ108,"0")&amp;" buildings?    ",IF(AND($N108="%",$AJ108&lt;1),REPLACE(IF(AND($P108&gt;0,$V108&gt;0,$T108&gt;0,$X108&gt;0,$R108&gt;0,$Z108&gt;0,$AB108&gt;0,$AD108&gt;0,$AF108&gt;0,$AH108&gt;0),"","0-"),99,0,REPLACE(TEXT(100-$AJ108,0),99,0,"?    ")),"")))</f>
        <v/>
      </c>
      <c r="R108" s="1864"/>
      <c r="S108" s="1865" t="str">
        <f>IF(OR($N108="", AND($N108="",OR($H108="",$H108=0))),"",IF(AND($N108="Quantity",$AJ108&lt;$H108),"0 - "&amp;TEXT($H108-$AJ108,"0")&amp;" buildings?    ",IF(AND($N108="%",$AJ108&lt;1),REPLACE(IF(AND($P108&gt;0,$V108&gt;0,$T108&gt;0,$X108&gt;0,$R108&gt;0,$Z108&gt;0,$AB108&gt;0,$AD108&gt;0,$AF108&gt;0,$AH108&gt;0),"","0-"),99,0,REPLACE(TEXT(100-$AJ108,0),99,0,"?    ")),"")))</f>
        <v/>
      </c>
      <c r="T108" s="1864"/>
      <c r="U108" s="1865" t="str">
        <f>IF(OR($N108="", AND($N108="",OR($H108="",$H108=0))),"",IF(AND($N108="Quantity",$AJ108&lt;$H108),"0 - "&amp;TEXT($H108-$AJ108,"0")&amp;" buildings?    ",IF(AND($N108="%",$AJ108&lt;1),REPLACE(IF(AND($P108&gt;0,$V108&gt;0,$T108&gt;0,$X108&gt;0,$R108&gt;0,$Z108&gt;0,$AB108&gt;0,$AD108&gt;0,$AF108&gt;0,$AH108&gt;0),"","0-"),99,0,REPLACE(TEXT(100-$AJ108,0),99,0,"?    ")),"")))</f>
        <v/>
      </c>
      <c r="V108" s="1864"/>
      <c r="W108" s="1865" t="str">
        <f>IF(OR($N108="", AND($N108="",OR($H108="",$H108=0))),"",IF(AND($N108="Quantity",$AJ108&lt;$H108),"0 - "&amp;TEXT($H108-$AJ108,"0")&amp;" buildings?    ",IF(AND($N108="%",$AJ108&lt;1),REPLACE(IF(AND($P108&gt;0,$V108&gt;0,$T108&gt;0,$X108&gt;0,$R108&gt;0,$Z108&gt;0,$AB108&gt;0,$AD108&gt;0,$AF108&gt;0,$AH108&gt;0),"","0-"),99,0,REPLACE(TEXT(100-$AJ108,0),99,0,"?    ")),"")))</f>
        <v/>
      </c>
      <c r="X108" s="1864"/>
      <c r="Y108" s="1865" t="str">
        <f>IF(OR($N108="", AND($N108="",OR($H108="",$H108=0))),"",IF(AND($N108="Quantity",$AJ108&lt;$H108),"0 - "&amp;TEXT($H108-$AJ108,"0")&amp;" buildings?    ",IF(AND($N108="%",$AJ108&lt;1),REPLACE(IF(AND($P108&gt;0,$V108&gt;0,$T108&gt;0,$X108&gt;0,$R108&gt;0,$Z108&gt;0,$AB108&gt;0,$AD108&gt;0,$AF108&gt;0,$AH108&gt;0),"","0-"),99,0,REPLACE(TEXT(100-$AJ108,0),99,0,"?    ")),"")))</f>
        <v/>
      </c>
      <c r="Z108" s="1864"/>
      <c r="AA108" s="1865" t="str">
        <f>IF(OR($N108="", AND($N108="",OR($H108="",$H108=0))),"",IF(AND($N108="Quantity",$AJ108&lt;$H108),"0 - "&amp;TEXT($H108-$AJ108,"0")&amp;" buildings?    ",IF(AND($N108="%",$AJ108&lt;1),REPLACE(IF(AND($P108&gt;0,$V108&gt;0,$T108&gt;0,$X108&gt;0,$R108&gt;0,$Z108&gt;0,$AB108&gt;0,$AD108&gt;0,$AF108&gt;0,$AH108&gt;0),"","0-"),99,0,REPLACE(TEXT(100-$AJ108,0),99,0,"?    ")),"")))</f>
        <v/>
      </c>
      <c r="AB108" s="1864"/>
      <c r="AC108" s="1865" t="str">
        <f>IF(OR($N108="", AND($N108="",OR($H108="",$H108=0))),"",IF(AND($N108="Quantity",$AJ108&lt;$H108),"0 - "&amp;TEXT($H108-$AJ108,"0")&amp;" buildings?    ",IF(AND($N108="%",$AJ108&lt;1),REPLACE(IF(AND($P108&gt;0,$V108&gt;0,$T108&gt;0,$X108&gt;0,$R108&gt;0,$Z108&gt;0,$AB108&gt;0,$AD108&gt;0,$AF108&gt;0,$AH108&gt;0),"","0-"),99,0,REPLACE(TEXT(100-$AJ108,0),99,0,"?    ")),"")))</f>
        <v/>
      </c>
      <c r="AD108" s="1864"/>
      <c r="AE108" s="1865" t="str">
        <f>IF(OR($N108="", AND($N108="",OR($H108="",$H108=0))),"",IF(AND($N108="Quantity",$AJ108&lt;$H108),"0 - "&amp;TEXT($H108-$AJ108,"0")&amp;" buildings?    ",IF(AND($N108="%",$AJ108&lt;1),REPLACE(IF(AND($P108&gt;0,$V108&gt;0,$T108&gt;0,$X108&gt;0,$R108&gt;0,$Z108&gt;0,$AB108&gt;0,$AD108&gt;0,$AF108&gt;0,$AH108&gt;0),"","0-"),99,0,REPLACE(TEXT(100-$AJ108,0),99,0,"?    ")),"")))</f>
        <v/>
      </c>
      <c r="AF108" s="1864"/>
      <c r="AG108" s="1865" t="str">
        <f>IF(OR($N108="", AND($N108="",OR($H108="",$H108=0))),"",IF(AND($N108="Quantity",$AJ108&lt;$H108),"0 - "&amp;TEXT($H108-$AJ108,"0")&amp;" buildings?    ",IF(AND($N108="%",$AJ108&lt;1),REPLACE(IF(AND($P108&gt;0,$V108&gt;0,$T108&gt;0,$X108&gt;0,$R108&gt;0,$Z108&gt;0,$AB108&gt;0,$AD108&gt;0,$AF108&gt;0,$AH108&gt;0),"","0-"),99,0,REPLACE(TEXT(100-$AJ108,0),99,0,"?    ")),"")))</f>
        <v/>
      </c>
      <c r="AH108" s="1864"/>
      <c r="AI108" s="1865" t="str">
        <f>IF(OR($N108="", AND($N108="",OR($H108="",$H108=0))),"",IF(AND($N108="Quantity",$AJ108&lt;$H108),"0 - "&amp;TEXT($H108-$AJ108,"0")&amp;" buildings?    ",IF(AND($N108="%",$AJ108&lt;1),REPLACE(IF(AND($P108&gt;0,$V108&gt;0,$T108&gt;0,$X108&gt;0,$R108&gt;0,$Z108&gt;0,$AB108&gt;0,$AD108&gt;0,$AF108&gt;0,$AH108&gt;0),"","0-"),99,0,REPLACE(TEXT(100-$AJ108,0),99,0,"?    ")),"")))</f>
        <v/>
      </c>
      <c r="AJ108" s="1833">
        <f>IFERROR(IF(N108="%", SUM(P108,R108,T108,V108,X108,Z108,AB108,AD108,AF108,AH108)/100, SUM(P108,R108,T108,V108,X108,Z108,AB108,AD108,AF108,AH108)/H108), 0)</f>
        <v>0</v>
      </c>
      <c r="AL108" s="1832"/>
      <c r="AN108" s="1276"/>
      <c r="AP108" s="1653"/>
      <c r="AT108" s="1624" t="str">
        <f>IF(AND($C$69="", L108=""), "N/A", IF(AND(AJ108=1, L108&lt;&gt;"", N108&lt;&gt;"", P108&lt;&gt;"", R108&lt;&gt;"", T108&lt;&gt;"", V108&lt;&gt;"", X108&lt;&gt;"", Z108&lt;&gt;"", AB108&lt;&gt;"", AD108&lt;&gt;"", AF108&lt;&gt;"", AH108&lt;&gt;"",AL108&lt;&gt;"", IF(AND(AL108&lt;1, AN108=""), FALSE, TRUE)), "Yes", "No"))</f>
        <v>N/A</v>
      </c>
      <c r="AU108" s="759"/>
      <c r="AV108" s="759"/>
      <c r="AW108" s="759"/>
      <c r="AX108" s="759"/>
      <c r="AY108" s="759" t="b">
        <f>IF($L108="",FALSE,IF($L108&lt;$BO108,TRUE,FALSE))</f>
        <v>0</v>
      </c>
      <c r="AZ108" s="759" t="b">
        <f>IF($L108="",FALSE,IF($L108&gt;$BP108,TRUE,FALSE))</f>
        <v>0</v>
      </c>
      <c r="BA108" s="759" t="b">
        <f>IF(AND(E108&lt;&gt;"",$L108=""),TRUE,FALSE)</f>
        <v>0</v>
      </c>
      <c r="BB108" s="759" t="b">
        <f>IF(AND($AJ108&lt;&gt;0,$H108&lt;$AJ108,$N108="LF"),TRUE,IF(AND($N108="LF",H108&lt;&gt;"",H108=AJ108),FALSE,IF(AND($AJ108&lt;&gt;0,$AJ108&gt;"100%",$N108="%"),TRUE,FALSE)))</f>
        <v>0</v>
      </c>
      <c r="BC108" s="759" t="b">
        <f>IF(AT108="No", IF(OR(P108="", R108="", T108="", V108="", X108="", Z108="", AB108="", AD108="", AF108="", AH108=""), TRUE, FALSE), FALSE)</f>
        <v>0</v>
      </c>
      <c r="BD108" s="759" t="b">
        <f>IF($BE108=TRUE,FALSE,IF(OR($AL108&lt;0,$AL108&gt;1),TRUE,FALSE))</f>
        <v>0</v>
      </c>
      <c r="BE108" s="759" t="b">
        <f>IF(AND($E108&lt;&gt;"",$AL108=""),TRUE,FALSE)</f>
        <v>0</v>
      </c>
      <c r="BF108" s="759"/>
      <c r="BH108" s="1680"/>
      <c r="BI108" s="1678" t="str">
        <f>IF(N108="", "", IF(N108="Quantity", H108, IF(N108="%", 1, "")))</f>
        <v/>
      </c>
      <c r="BJ108" s="1679">
        <f>P108+R108+T108+V108+X108+Z108+AB108+AD108+AF108+AH108</f>
        <v>0</v>
      </c>
      <c r="BK108" s="1679" t="str">
        <f>IF(BI108="", "", BI108-BJ108)</f>
        <v/>
      </c>
      <c r="BL108" s="1680"/>
      <c r="BM108" s="1680"/>
      <c r="BN108" s="1678">
        <f>IF($C108="","",VLOOKUP($C108,Valid!$B$87:$F$96,5,FALSE))</f>
        <v>25</v>
      </c>
      <c r="BO108" s="1678">
        <f>IF($C108="","",VLOOKUP($C108,Valid!$B$87:$G$96,6,FALSE))</f>
        <v>19</v>
      </c>
      <c r="BP108" s="1678">
        <f>IF($C108="","",VLOOKUP($C108,Valid!$B$87:$Z$96,7,FALSE))</f>
        <v>31</v>
      </c>
    </row>
    <row r="109" spans="1:69" s="686" customFormat="1" ht="3.95" customHeight="1" x14ac:dyDescent="0.2">
      <c r="B109" s="1791">
        <v>97</v>
      </c>
      <c r="C109" s="1674"/>
      <c r="D109" s="1709"/>
      <c r="E109" s="1057"/>
      <c r="H109" s="1917"/>
      <c r="I109" s="1651"/>
      <c r="J109" s="1651"/>
      <c r="K109" s="1651"/>
      <c r="L109" s="1917"/>
      <c r="M109" s="1651"/>
      <c r="N109" s="1651"/>
      <c r="O109" s="1651"/>
      <c r="P109" s="1866"/>
      <c r="Q109" s="1867"/>
      <c r="R109" s="1866"/>
      <c r="S109" s="1867"/>
      <c r="T109" s="1866"/>
      <c r="U109" s="1867"/>
      <c r="V109" s="1866"/>
      <c r="W109" s="1867"/>
      <c r="X109" s="1866"/>
      <c r="Y109" s="1867"/>
      <c r="Z109" s="1867"/>
      <c r="AA109" s="1867"/>
      <c r="AB109" s="1867"/>
      <c r="AC109" s="1867"/>
      <c r="AD109" s="1867"/>
      <c r="AE109" s="1867"/>
      <c r="AF109" s="1867"/>
      <c r="AG109" s="1867"/>
      <c r="AH109" s="1867"/>
      <c r="AJ109" s="1676"/>
      <c r="AL109" s="1676"/>
      <c r="AP109" s="1394"/>
      <c r="AU109" s="848"/>
      <c r="AV109" s="848"/>
      <c r="AW109" s="848"/>
      <c r="AX109" s="848"/>
      <c r="AY109" s="759"/>
      <c r="AZ109" s="759"/>
      <c r="BA109" s="848"/>
      <c r="BB109" s="759"/>
      <c r="BC109" s="848"/>
      <c r="BD109" s="848"/>
      <c r="BE109" s="848"/>
      <c r="BF109" s="848"/>
      <c r="BH109" s="1680"/>
      <c r="BI109" s="1680"/>
      <c r="BJ109" s="1680"/>
      <c r="BK109" s="1680"/>
      <c r="BL109" s="1680"/>
      <c r="BM109" s="1680"/>
      <c r="BN109" s="1680"/>
      <c r="BO109" s="1680"/>
      <c r="BP109" s="1680"/>
    </row>
    <row r="110" spans="1:69" s="686" customFormat="1" ht="3.95" customHeight="1" thickBot="1" x14ac:dyDescent="0.25">
      <c r="B110" s="1791">
        <v>98</v>
      </c>
      <c r="C110" s="1674"/>
      <c r="D110" s="1709"/>
      <c r="E110" s="1057"/>
      <c r="H110" s="1917"/>
      <c r="I110" s="1651"/>
      <c r="J110" s="1651"/>
      <c r="K110" s="1651"/>
      <c r="L110" s="1917"/>
      <c r="M110" s="1651"/>
      <c r="N110" s="1651"/>
      <c r="O110" s="1651"/>
      <c r="P110" s="1868"/>
      <c r="Q110" s="1869"/>
      <c r="R110" s="1868"/>
      <c r="S110" s="1869"/>
      <c r="T110" s="1868"/>
      <c r="U110" s="1869"/>
      <c r="V110" s="1868"/>
      <c r="W110" s="1869"/>
      <c r="X110" s="1868"/>
      <c r="Y110" s="1869"/>
      <c r="Z110" s="1869"/>
      <c r="AA110" s="1869"/>
      <c r="AB110" s="1869"/>
      <c r="AC110" s="1869"/>
      <c r="AD110" s="1869"/>
      <c r="AE110" s="1869"/>
      <c r="AF110" s="1869"/>
      <c r="AG110" s="1869"/>
      <c r="AH110" s="1869"/>
      <c r="AI110" s="1670"/>
      <c r="AJ110" s="1676"/>
      <c r="AL110" s="1676"/>
      <c r="AP110" s="1394"/>
      <c r="AU110" s="848"/>
      <c r="AV110" s="848"/>
      <c r="AW110" s="848"/>
      <c r="AX110" s="848"/>
      <c r="AY110" s="759"/>
      <c r="AZ110" s="759"/>
      <c r="BA110" s="848"/>
      <c r="BB110" s="759"/>
      <c r="BC110" s="848"/>
      <c r="BD110" s="848"/>
      <c r="BE110" s="848"/>
      <c r="BF110" s="848"/>
      <c r="BH110" s="1680"/>
      <c r="BI110" s="1680"/>
      <c r="BJ110" s="1680"/>
      <c r="BK110" s="1680"/>
      <c r="BL110" s="1680"/>
      <c r="BM110" s="1680"/>
      <c r="BN110" s="1680"/>
      <c r="BO110" s="1680"/>
      <c r="BP110" s="1680"/>
    </row>
    <row r="111" spans="1:69" s="686" customFormat="1" x14ac:dyDescent="0.2">
      <c r="A111" s="852">
        <f>A108+1</f>
        <v>27</v>
      </c>
      <c r="B111" s="1791">
        <v>99</v>
      </c>
      <c r="C111" s="851" t="str">
        <f>Valid!$B$90</f>
        <v>Overhead Contact System/Power Distribution</v>
      </c>
      <c r="D111" s="1709"/>
      <c r="E111" s="1245" t="str">
        <f>IF(AT111="N/A","",IF(AT111="N","No","Yes"))</f>
        <v/>
      </c>
      <c r="H111" s="1917"/>
      <c r="I111" s="1904"/>
      <c r="J111" s="1651"/>
      <c r="K111" s="1651"/>
      <c r="L111" s="1864"/>
      <c r="M111" s="1920" t="str">
        <f>IF(AND(H102&lt;&gt;"", L111=""),REPLACE(TEXT(BN111,0),99,0," Yrs.?    "),"")</f>
        <v/>
      </c>
      <c r="N111" s="1921"/>
      <c r="O111" s="1870"/>
      <c r="P111" s="1864"/>
      <c r="Q111" s="1865" t="str">
        <f>IF(OR($N111="", AND($N111="",OR($H111="",$H111=0))),"",IF(AND($N111="Quantity",$AJ111&lt;$H111),"0 - "&amp;TEXT($H111-$AJ111,"0")&amp;" buildings?    ",IF(AND($N111="%",$AJ111&lt;1),REPLACE(IF(AND($P111&gt;0,$V111&gt;0,$T111&gt;0,$X111&gt;0,$R111&gt;0,$Z111&gt;0,$AB111&gt;0,$AD111&gt;0,$AF111&gt;0,$AH111&gt;0),"","0-"),99,0,REPLACE(TEXT(100-$AJ111,0),99,0,"?    ")),"")))</f>
        <v/>
      </c>
      <c r="R111" s="1864"/>
      <c r="S111" s="1865" t="str">
        <f>IF(OR($N111="", AND($N111="",OR($H111="",$H111=0))),"",IF(AND($N111="Quantity",$AJ111&lt;$H111),"0 - "&amp;TEXT($H111-$AJ111,"0")&amp;" buildings?    ",IF(AND($N111="%",$AJ111&lt;1),REPLACE(IF(AND($P111&gt;0,$V111&gt;0,$T111&gt;0,$X111&gt;0,$R111&gt;0,$Z111&gt;0,$AB111&gt;0,$AD111&gt;0,$AF111&gt;0,$AH111&gt;0),"","0-"),99,0,REPLACE(TEXT(100-$AJ111,0),99,0,"?    ")),"")))</f>
        <v/>
      </c>
      <c r="T111" s="1864"/>
      <c r="U111" s="1865" t="str">
        <f>IF(OR($N111="", AND($N111="",OR($H111="",$H111=0))),"",IF(AND($N111="Quantity",$AJ111&lt;$H111),"0 - "&amp;TEXT($H111-$AJ111,"0")&amp;" buildings?    ",IF(AND($N111="%",$AJ111&lt;1),REPLACE(IF(AND($P111&gt;0,$V111&gt;0,$T111&gt;0,$X111&gt;0,$R111&gt;0,$Z111&gt;0,$AB111&gt;0,$AD111&gt;0,$AF111&gt;0,$AH111&gt;0),"","0-"),99,0,REPLACE(TEXT(100-$AJ111,0),99,0,"?    ")),"")))</f>
        <v/>
      </c>
      <c r="V111" s="1864"/>
      <c r="W111" s="1865" t="str">
        <f>IF(OR($N111="", AND($N111="",OR($H111="",$H111=0))),"",IF(AND($N111="Quantity",$AJ111&lt;$H111),"0 - "&amp;TEXT($H111-$AJ111,"0")&amp;" buildings?    ",IF(AND($N111="%",$AJ111&lt;1),REPLACE(IF(AND($P111&gt;0,$V111&gt;0,$T111&gt;0,$X111&gt;0,$R111&gt;0,$Z111&gt;0,$AB111&gt;0,$AD111&gt;0,$AF111&gt;0,$AH111&gt;0),"","0-"),99,0,REPLACE(TEXT(100-$AJ111,0),99,0,"?    ")),"")))</f>
        <v/>
      </c>
      <c r="X111" s="1864"/>
      <c r="Y111" s="1865" t="str">
        <f>IF(OR($N111="", AND($N111="",OR($H111="",$H111=0))),"",IF(AND($N111="Quantity",$AJ111&lt;$H111),"0 - "&amp;TEXT($H111-$AJ111,"0")&amp;" buildings?    ",IF(AND($N111="%",$AJ111&lt;1),REPLACE(IF(AND($P111&gt;0,$V111&gt;0,$T111&gt;0,$X111&gt;0,$R111&gt;0,$Z111&gt;0,$AB111&gt;0,$AD111&gt;0,$AF111&gt;0,$AH111&gt;0),"","0-"),99,0,REPLACE(TEXT(100-$AJ111,0),99,0,"?    ")),"")))</f>
        <v/>
      </c>
      <c r="Z111" s="1864"/>
      <c r="AA111" s="1865" t="str">
        <f>IF(OR($N111="", AND($N111="",OR($H111="",$H111=0))),"",IF(AND($N111="Quantity",$AJ111&lt;$H111),"0 - "&amp;TEXT($H111-$AJ111,"0")&amp;" buildings?    ",IF(AND($N111="%",$AJ111&lt;1),REPLACE(IF(AND($P111&gt;0,$V111&gt;0,$T111&gt;0,$X111&gt;0,$R111&gt;0,$Z111&gt;0,$AB111&gt;0,$AD111&gt;0,$AF111&gt;0,$AH111&gt;0),"","0-"),99,0,REPLACE(TEXT(100-$AJ111,0),99,0,"?    ")),"")))</f>
        <v/>
      </c>
      <c r="AB111" s="1864"/>
      <c r="AC111" s="1865" t="str">
        <f>IF(OR($N111="", AND($N111="",OR($H111="",$H111=0))),"",IF(AND($N111="Quantity",$AJ111&lt;$H111),"0 - "&amp;TEXT($H111-$AJ111,"0")&amp;" buildings?    ",IF(AND($N111="%",$AJ111&lt;1),REPLACE(IF(AND($P111&gt;0,$V111&gt;0,$T111&gt;0,$X111&gt;0,$R111&gt;0,$Z111&gt;0,$AB111&gt;0,$AD111&gt;0,$AF111&gt;0,$AH111&gt;0),"","0-"),99,0,REPLACE(TEXT(100-$AJ111,0),99,0,"?    ")),"")))</f>
        <v/>
      </c>
      <c r="AD111" s="1864"/>
      <c r="AE111" s="1865" t="str">
        <f>IF(OR($N111="", AND($N111="",OR($H111="",$H111=0))),"",IF(AND($N111="Quantity",$AJ111&lt;$H111),"0 - "&amp;TEXT($H111-$AJ111,"0")&amp;" buildings?    ",IF(AND($N111="%",$AJ111&lt;1),REPLACE(IF(AND($P111&gt;0,$V111&gt;0,$T111&gt;0,$X111&gt;0,$R111&gt;0,$Z111&gt;0,$AB111&gt;0,$AD111&gt;0,$AF111&gt;0,$AH111&gt;0),"","0-"),99,0,REPLACE(TEXT(100-$AJ111,0),99,0,"?    ")),"")))</f>
        <v/>
      </c>
      <c r="AF111" s="1864"/>
      <c r="AG111" s="1865" t="str">
        <f>IF(OR($N111="", AND($N111="",OR($H111="",$H111=0))),"",IF(AND($N111="Quantity",$AJ111&lt;$H111),"0 - "&amp;TEXT($H111-$AJ111,"0")&amp;" buildings?    ",IF(AND($N111="%",$AJ111&lt;1),REPLACE(IF(AND($P111&gt;0,$V111&gt;0,$T111&gt;0,$X111&gt;0,$R111&gt;0,$Z111&gt;0,$AB111&gt;0,$AD111&gt;0,$AF111&gt;0,$AH111&gt;0),"","0-"),99,0,REPLACE(TEXT(100-$AJ111,0),99,0,"?    ")),"")))</f>
        <v/>
      </c>
      <c r="AH111" s="1864"/>
      <c r="AI111" s="1865" t="str">
        <f>IF(OR($N111="", AND($N111="",OR($H111="",$H111=0))),"",IF(AND($N111="Quantity",$AJ111&lt;$H111),"0 - "&amp;TEXT($H111-$AJ111,"0")&amp;" buildings?    ",IF(AND($N111="%",$AJ111&lt;1),REPLACE(IF(AND($P111&gt;0,$V111&gt;0,$T111&gt;0,$X111&gt;0,$R111&gt;0,$Z111&gt;0,$AB111&gt;0,$AD111&gt;0,$AF111&gt;0,$AH111&gt;0),"","0-"),99,0,REPLACE(TEXT(100-$AJ111,0),99,0,"?    ")),"")))</f>
        <v/>
      </c>
      <c r="AJ111" s="1833">
        <f>IFERROR(IF(N111="%", SUM(P111,R111,T111,V111,X111,Z111,AB111,AD111,AF111,AH111)/100, SUM(P111,R111,T111,V111,X111,Z111,AB111,AD111,AF111,AH111)/H111), 0)</f>
        <v>0</v>
      </c>
      <c r="AL111" s="1832"/>
      <c r="AN111" s="1276"/>
      <c r="AP111" s="1653"/>
      <c r="AT111" s="1624" t="str">
        <f>IF(AND($C$69="", L111=""), "N/A", IF(AND(AJ111=1, L111&lt;&gt;"", N111&lt;&gt;"", P111&lt;&gt;"", R111&lt;&gt;"", T111&lt;&gt;"", V111&lt;&gt;"", X111&lt;&gt;"", Z111&lt;&gt;"", AB111&lt;&gt;"", AD111&lt;&gt;"", AF111&lt;&gt;"", AH111&lt;&gt;"",AL111&lt;&gt;"", IF(AND(AL111&lt;1, AN111=""), FALSE, TRUE)), "Yes", "No"))</f>
        <v>N/A</v>
      </c>
      <c r="AU111" s="759"/>
      <c r="AV111" s="759"/>
      <c r="AW111" s="759"/>
      <c r="AX111" s="759"/>
      <c r="AY111" s="759" t="b">
        <f>IF($L111="",FALSE,IF($L111&lt;$BO111,TRUE,FALSE))</f>
        <v>0</v>
      </c>
      <c r="AZ111" s="759" t="b">
        <f>IF($L111="",FALSE,IF($L111&gt;$BP111,TRUE,FALSE))</f>
        <v>0</v>
      </c>
      <c r="BA111" s="759" t="b">
        <f>IF(AND(E111&lt;&gt;"",$L111=""),TRUE,FALSE)</f>
        <v>0</v>
      </c>
      <c r="BB111" s="759" t="b">
        <f>IF(AND($AJ111&lt;&gt;0,$H111&lt;$AJ111,$N111="LF"),TRUE,IF(AND($N111="LF",H111&lt;&gt;"",H111=AJ111),FALSE,IF(AND($AJ111&lt;&gt;0,$AJ111&gt;"100%",$N111="%"),TRUE,FALSE)))</f>
        <v>0</v>
      </c>
      <c r="BC111" s="759" t="b">
        <f>IF(AT111="No", IF(OR(P111="", R111="", T111="", V111="", X111="", Z111="", AB111="", AD111="", AF111="", AH111=""), TRUE, FALSE), FALSE)</f>
        <v>0</v>
      </c>
      <c r="BD111" s="759" t="b">
        <f>IF($BE111=TRUE,FALSE,IF(OR($AL111&lt;0,$AL111&gt;1),TRUE,FALSE))</f>
        <v>0</v>
      </c>
      <c r="BE111" s="759" t="b">
        <f>IF(AND($E111&lt;&gt;"",$AL111=""),TRUE,FALSE)</f>
        <v>0</v>
      </c>
      <c r="BF111" s="759"/>
      <c r="BH111" s="1680"/>
      <c r="BI111" s="1678" t="str">
        <f>IF(N111="", "", IF(N111="Quantity", H111, IF(N111="%", 1, "")))</f>
        <v/>
      </c>
      <c r="BJ111" s="1679">
        <f>P111+R111+T111+V111+X111+Z111+AB111+AD111+AF111+AH111</f>
        <v>0</v>
      </c>
      <c r="BK111" s="1679" t="str">
        <f>IF(BI111="", "", BI111-BJ111)</f>
        <v/>
      </c>
      <c r="BL111" s="1680"/>
      <c r="BM111" s="1680"/>
      <c r="BN111" s="1678">
        <f>IF($C111="","",VLOOKUP($C111,Valid!$B$87:$F$96,5,FALSE))</f>
        <v>25</v>
      </c>
      <c r="BO111" s="1678">
        <f>IF($C111="","",VLOOKUP($C111,Valid!$B$87:$G$96,6,FALSE))</f>
        <v>19</v>
      </c>
      <c r="BP111" s="1678">
        <f>IF($C111="","",VLOOKUP($C111,Valid!$B$87:$Z$96,7,FALSE))</f>
        <v>31</v>
      </c>
    </row>
    <row r="112" spans="1:69" s="686" customFormat="1" ht="3.95" customHeight="1" x14ac:dyDescent="0.2">
      <c r="B112" s="1790">
        <v>100</v>
      </c>
      <c r="C112" s="1674"/>
      <c r="D112" s="1709"/>
      <c r="E112" s="1057"/>
      <c r="H112" s="1917"/>
      <c r="I112" s="1651"/>
      <c r="J112" s="1919"/>
      <c r="K112" s="1651"/>
      <c r="L112" s="1922"/>
      <c r="M112" s="1651"/>
      <c r="N112" s="1919"/>
      <c r="O112" s="1651"/>
      <c r="P112" s="1866"/>
      <c r="Q112" s="1867"/>
      <c r="R112" s="1866"/>
      <c r="S112" s="1867"/>
      <c r="T112" s="1866"/>
      <c r="U112" s="1867"/>
      <c r="V112" s="1866"/>
      <c r="W112" s="1867"/>
      <c r="X112" s="1866"/>
      <c r="Y112" s="1867"/>
      <c r="Z112" s="1867"/>
      <c r="AA112" s="1867"/>
      <c r="AB112" s="1867"/>
      <c r="AC112" s="1867"/>
      <c r="AD112" s="1867"/>
      <c r="AE112" s="1867"/>
      <c r="AF112" s="1867"/>
      <c r="AG112" s="1867"/>
      <c r="AH112" s="1867"/>
      <c r="AJ112" s="1792"/>
      <c r="AL112" s="1792"/>
      <c r="AN112" s="685"/>
      <c r="AP112" s="1394"/>
      <c r="AU112" s="848"/>
      <c r="AV112" s="848"/>
      <c r="AW112" s="848"/>
      <c r="AX112" s="848"/>
      <c r="AY112" s="759"/>
      <c r="AZ112" s="759"/>
      <c r="BA112" s="848"/>
      <c r="BB112" s="759"/>
      <c r="BC112" s="848"/>
      <c r="BD112" s="848"/>
      <c r="BE112" s="848"/>
      <c r="BF112" s="848"/>
      <c r="BH112" s="1680"/>
      <c r="BI112" s="1680"/>
      <c r="BJ112" s="1680"/>
      <c r="BK112" s="1680"/>
      <c r="BL112" s="1680"/>
      <c r="BM112" s="1680"/>
      <c r="BN112" s="1680"/>
      <c r="BO112" s="1680"/>
      <c r="BP112" s="1680"/>
    </row>
    <row r="113" spans="1:69" s="686" customFormat="1" ht="3.95" customHeight="1" thickBot="1" x14ac:dyDescent="0.25">
      <c r="B113" s="1790">
        <v>101</v>
      </c>
      <c r="C113" s="1674"/>
      <c r="D113" s="1709"/>
      <c r="E113" s="1057"/>
      <c r="H113" s="1917"/>
      <c r="I113" s="1651"/>
      <c r="J113" s="1651"/>
      <c r="K113" s="1651"/>
      <c r="L113" s="1917"/>
      <c r="M113" s="1651"/>
      <c r="N113" s="1651"/>
      <c r="O113" s="1651"/>
      <c r="P113" s="1868"/>
      <c r="Q113" s="1869"/>
      <c r="R113" s="1868"/>
      <c r="S113" s="1869"/>
      <c r="T113" s="1868"/>
      <c r="U113" s="1869"/>
      <c r="V113" s="1868"/>
      <c r="W113" s="1869"/>
      <c r="X113" s="1868"/>
      <c r="Y113" s="1869"/>
      <c r="Z113" s="1869"/>
      <c r="AA113" s="1869"/>
      <c r="AB113" s="1869"/>
      <c r="AC113" s="1869"/>
      <c r="AD113" s="1869"/>
      <c r="AE113" s="1869"/>
      <c r="AF113" s="1869"/>
      <c r="AG113" s="1869"/>
      <c r="AH113" s="1869"/>
      <c r="AI113" s="1670"/>
      <c r="AJ113" s="1676"/>
      <c r="AL113" s="1676"/>
      <c r="AP113" s="1394"/>
      <c r="AT113" s="1624"/>
      <c r="AU113" s="848"/>
      <c r="AV113" s="848"/>
      <c r="AW113" s="848"/>
      <c r="AX113" s="848"/>
      <c r="AY113" s="759"/>
      <c r="AZ113" s="759"/>
      <c r="BA113" s="848"/>
      <c r="BB113" s="759"/>
      <c r="BC113" s="848"/>
      <c r="BD113" s="848"/>
      <c r="BE113" s="848"/>
      <c r="BF113" s="848"/>
      <c r="BH113" s="1680"/>
      <c r="BI113" s="1680"/>
      <c r="BJ113" s="1680"/>
      <c r="BK113" s="1680"/>
      <c r="BL113" s="1680"/>
      <c r="BM113" s="1680"/>
      <c r="BN113" s="1680"/>
      <c r="BO113" s="1680"/>
      <c r="BP113" s="1680"/>
    </row>
    <row r="114" spans="1:69" s="686" customFormat="1" x14ac:dyDescent="0.2">
      <c r="A114" s="852">
        <f>A111+1</f>
        <v>28</v>
      </c>
      <c r="B114" s="1791">
        <v>102</v>
      </c>
      <c r="C114" s="851" t="str">
        <f>Valid!$B$91</f>
        <v>Train Control &amp; Signaling</v>
      </c>
      <c r="D114" s="1709"/>
      <c r="E114" s="1245" t="str">
        <f>IF(AT114="N/A","",IF(AT114="N","No","Yes"))</f>
        <v/>
      </c>
      <c r="H114" s="1917"/>
      <c r="I114" s="1904"/>
      <c r="J114" s="1919"/>
      <c r="K114" s="1651"/>
      <c r="L114" s="1864"/>
      <c r="M114" s="1920" t="str">
        <f>IF(AND(H102&lt;&gt;"", L114=""),REPLACE(TEXT(BN114,0),99,0," Yrs.?    "),"")</f>
        <v/>
      </c>
      <c r="N114" s="1921"/>
      <c r="O114" s="1870"/>
      <c r="P114" s="1864"/>
      <c r="Q114" s="1865" t="str">
        <f>IF(OR($N114="", AND($N114="",OR($H114="",$H114=0))),"",IF(AND($N114="Quantity",$AJ114&lt;$H114),"0 - "&amp;TEXT($H114-$AJ114,"0")&amp;" buildings?    ",IF(AND($N114="%",$AJ114&lt;1),REPLACE(IF(AND($P114&gt;0,$V114&gt;0,$T114&gt;0,$X114&gt;0,$R114&gt;0,$Z114&gt;0,$AB114&gt;0,$AD114&gt;0,$AF114&gt;0,$AH114&gt;0),"","0-"),99,0,REPLACE(TEXT(100-$AJ114,0),99,0,"?    ")),"")))</f>
        <v/>
      </c>
      <c r="R114" s="1864"/>
      <c r="S114" s="1865" t="str">
        <f>IF(OR($N114="", AND($N114="",OR($H114="",$H114=0))),"",IF(AND($N114="Quantity",$AJ114&lt;$H114),"0 - "&amp;TEXT($H114-$AJ114,"0")&amp;" buildings?    ",IF(AND($N114="%",$AJ114&lt;1),REPLACE(IF(AND($P114&gt;0,$V114&gt;0,$T114&gt;0,$X114&gt;0,$R114&gt;0,$Z114&gt;0,$AB114&gt;0,$AD114&gt;0,$AF114&gt;0,$AH114&gt;0),"","0-"),99,0,REPLACE(TEXT(100-$AJ114,0),99,0,"?    ")),"")))</f>
        <v/>
      </c>
      <c r="T114" s="1864"/>
      <c r="U114" s="1865" t="str">
        <f>IF(OR($N114="", AND($N114="",OR($H114="",$H114=0))),"",IF(AND($N114="Quantity",$AJ114&lt;$H114),"0 - "&amp;TEXT($H114-$AJ114,"0")&amp;" buildings?    ",IF(AND($N114="%",$AJ114&lt;1),REPLACE(IF(AND($P114&gt;0,$V114&gt;0,$T114&gt;0,$X114&gt;0,$R114&gt;0,$Z114&gt;0,$AB114&gt;0,$AD114&gt;0,$AF114&gt;0,$AH114&gt;0),"","0-"),99,0,REPLACE(TEXT(100-$AJ114,0),99,0,"?    ")),"")))</f>
        <v/>
      </c>
      <c r="V114" s="1864"/>
      <c r="W114" s="1865" t="str">
        <f>IF(OR($N114="", AND($N114="",OR($H114="",$H114=0))),"",IF(AND($N114="Quantity",$AJ114&lt;$H114),"0 - "&amp;TEXT($H114-$AJ114,"0")&amp;" buildings?    ",IF(AND($N114="%",$AJ114&lt;1),REPLACE(IF(AND($P114&gt;0,$V114&gt;0,$T114&gt;0,$X114&gt;0,$R114&gt;0,$Z114&gt;0,$AB114&gt;0,$AD114&gt;0,$AF114&gt;0,$AH114&gt;0),"","0-"),99,0,REPLACE(TEXT(100-$AJ114,0),99,0,"?    ")),"")))</f>
        <v/>
      </c>
      <c r="X114" s="1864"/>
      <c r="Y114" s="1865" t="str">
        <f>IF(OR($N114="", AND($N114="",OR($H114="",$H114=0))),"",IF(AND($N114="Quantity",$AJ114&lt;$H114),"0 - "&amp;TEXT($H114-$AJ114,"0")&amp;" buildings?    ",IF(AND($N114="%",$AJ114&lt;1),REPLACE(IF(AND($P114&gt;0,$V114&gt;0,$T114&gt;0,$X114&gt;0,$R114&gt;0,$Z114&gt;0,$AB114&gt;0,$AD114&gt;0,$AF114&gt;0,$AH114&gt;0),"","0-"),99,0,REPLACE(TEXT(100-$AJ114,0),99,0,"?    ")),"")))</f>
        <v/>
      </c>
      <c r="Z114" s="1864"/>
      <c r="AA114" s="1865" t="str">
        <f>IF(OR($N114="", AND($N114="",OR($H114="",$H114=0))),"",IF(AND($N114="Quantity",$AJ114&lt;$H114),"0 - "&amp;TEXT($H114-$AJ114,"0")&amp;" buildings?    ",IF(AND($N114="%",$AJ114&lt;1),REPLACE(IF(AND($P114&gt;0,$V114&gt;0,$T114&gt;0,$X114&gt;0,$R114&gt;0,$Z114&gt;0,$AB114&gt;0,$AD114&gt;0,$AF114&gt;0,$AH114&gt;0),"","0-"),99,0,REPLACE(TEXT(100-$AJ114,0),99,0,"?    ")),"")))</f>
        <v/>
      </c>
      <c r="AB114" s="1864"/>
      <c r="AC114" s="1865" t="str">
        <f>IF(OR($N114="", AND($N114="",OR($H114="",$H114=0))),"",IF(AND($N114="Quantity",$AJ114&lt;$H114),"0 - "&amp;TEXT($H114-$AJ114,"0")&amp;" buildings?    ",IF(AND($N114="%",$AJ114&lt;1),REPLACE(IF(AND($P114&gt;0,$V114&gt;0,$T114&gt;0,$X114&gt;0,$R114&gt;0,$Z114&gt;0,$AB114&gt;0,$AD114&gt;0,$AF114&gt;0,$AH114&gt;0),"","0-"),99,0,REPLACE(TEXT(100-$AJ114,0),99,0,"?    ")),"")))</f>
        <v/>
      </c>
      <c r="AD114" s="1864"/>
      <c r="AE114" s="1865" t="str">
        <f>IF(OR($N114="", AND($N114="",OR($H114="",$H114=0))),"",IF(AND($N114="Quantity",$AJ114&lt;$H114),"0 - "&amp;TEXT($H114-$AJ114,"0")&amp;" buildings?    ",IF(AND($N114="%",$AJ114&lt;1),REPLACE(IF(AND($P114&gt;0,$V114&gt;0,$T114&gt;0,$X114&gt;0,$R114&gt;0,$Z114&gt;0,$AB114&gt;0,$AD114&gt;0,$AF114&gt;0,$AH114&gt;0),"","0-"),99,0,REPLACE(TEXT(100-$AJ114,0),99,0,"?    ")),"")))</f>
        <v/>
      </c>
      <c r="AF114" s="1864"/>
      <c r="AG114" s="1865" t="str">
        <f>IF(OR($N114="", AND($N114="",OR($H114="",$H114=0))),"",IF(AND($N114="Quantity",$AJ114&lt;$H114),"0 - "&amp;TEXT($H114-$AJ114,"0")&amp;" buildings?    ",IF(AND($N114="%",$AJ114&lt;1),REPLACE(IF(AND($P114&gt;0,$V114&gt;0,$T114&gt;0,$X114&gt;0,$R114&gt;0,$Z114&gt;0,$AB114&gt;0,$AD114&gt;0,$AF114&gt;0,$AH114&gt;0),"","0-"),99,0,REPLACE(TEXT(100-$AJ114,0),99,0,"?    ")),"")))</f>
        <v/>
      </c>
      <c r="AH114" s="1864"/>
      <c r="AI114" s="1865" t="str">
        <f>IF(OR($N114="", AND($N114="",OR($H114="",$H114=0))),"",IF(AND($N114="Quantity",$AJ114&lt;$H114),"0 - "&amp;TEXT($H114-$AJ114,"0")&amp;" buildings?    ",IF(AND($N114="%",$AJ114&lt;1),REPLACE(IF(AND($P114&gt;0,$V114&gt;0,$T114&gt;0,$X114&gt;0,$R114&gt;0,$Z114&gt;0,$AB114&gt;0,$AD114&gt;0,$AF114&gt;0,$AH114&gt;0),"","0-"),99,0,REPLACE(TEXT(100-$AJ114,0),99,0,"?    ")),"")))</f>
        <v/>
      </c>
      <c r="AJ114" s="1833">
        <f>IFERROR(IF(N114="%", SUM(P114,R114,T114,V114,X114,Z114,AB114,AD114,AF114,AH114)/100, SUM(P114,R114,T114,V114,X114,Z114,AB114,AD114,AF114,AH114)/H114), 0)</f>
        <v>0</v>
      </c>
      <c r="AL114" s="1832"/>
      <c r="AN114" s="1276"/>
      <c r="AP114" s="1653"/>
      <c r="AT114" s="1624" t="str">
        <f>IF(AND($C$69="", L114=""), "N/A", IF(AND(AJ114=1, L114&lt;&gt;"", N114&lt;&gt;"", P114&lt;&gt;"", R114&lt;&gt;"", T114&lt;&gt;"", V114&lt;&gt;"", X114&lt;&gt;"", Z114&lt;&gt;"", AB114&lt;&gt;"", AD114&lt;&gt;"", AF114&lt;&gt;"", AH114&lt;&gt;"",AL114&lt;&gt;"", IF(AND(AL114&lt;1, AN114=""), FALSE, TRUE)), "Yes", "No"))</f>
        <v>N/A</v>
      </c>
      <c r="AU114" s="759"/>
      <c r="AV114" s="759"/>
      <c r="AW114" s="759"/>
      <c r="AX114" s="759"/>
      <c r="AY114" s="759" t="b">
        <f>IF($L114="",FALSE,IF($L114&lt;$BO114,TRUE,FALSE))</f>
        <v>0</v>
      </c>
      <c r="AZ114" s="759" t="b">
        <f>IF($L114="",FALSE,IF($L114&gt;$BP114,TRUE,FALSE))</f>
        <v>0</v>
      </c>
      <c r="BA114" s="759" t="b">
        <f>IF(AND(E114&lt;&gt;"",$L114=""),TRUE,FALSE)</f>
        <v>0</v>
      </c>
      <c r="BB114" s="759" t="b">
        <f>IF(AND($AJ114&lt;&gt;0,$H114&lt;$AJ114,$N114="LF"),TRUE,IF(AND($N114="LF",H114&lt;&gt;"",H114=AJ114),FALSE,IF(AND($AJ114&lt;&gt;0,$AJ114&gt;"100%",$N114="%"),TRUE,FALSE)))</f>
        <v>0</v>
      </c>
      <c r="BC114" s="759" t="b">
        <f>IF(AT114="No", IF(OR(P114="", R114="", T114="", V114="", X114="", Z114="", AB114="", AD114="", AF114="", AH114=""), TRUE, FALSE), FALSE)</f>
        <v>0</v>
      </c>
      <c r="BD114" s="759" t="b">
        <f>IF($BE114=TRUE,FALSE,IF(OR($AL114&lt;0,$AL114&gt;1),TRUE,FALSE))</f>
        <v>0</v>
      </c>
      <c r="BE114" s="759" t="b">
        <f>IF(AND($E114&lt;&gt;"",$AL114=""),TRUE,FALSE)</f>
        <v>0</v>
      </c>
      <c r="BF114" s="759"/>
      <c r="BH114" s="1680"/>
      <c r="BI114" s="1678" t="str">
        <f>IF(N114="", "", IF(N114="Quantity", H114, IF(N114="%", 1, "")))</f>
        <v/>
      </c>
      <c r="BJ114" s="1679">
        <f>P114+R114+T114+V114+X114+Z114+AB114+AD114+AF114+AH114</f>
        <v>0</v>
      </c>
      <c r="BK114" s="1679" t="str">
        <f>IF(BI114="", "", BI114-BJ114)</f>
        <v/>
      </c>
      <c r="BL114" s="1680"/>
      <c r="BM114" s="1680"/>
      <c r="BN114" s="1678">
        <f>IF($C114="","",VLOOKUP($C114,Valid!$B$87:$F$96,5,FALSE))</f>
        <v>25</v>
      </c>
      <c r="BO114" s="1678">
        <f>IF($C114="","",VLOOKUP($C114,Valid!$B$87:$G$96,6,FALSE))</f>
        <v>19</v>
      </c>
      <c r="BP114" s="1678">
        <f>IF($C114="","",VLOOKUP($C114,Valid!$B$87:$Z$96,7,FALSE))</f>
        <v>31</v>
      </c>
    </row>
    <row r="115" spans="1:69" s="686" customFormat="1" ht="3.95" customHeight="1" x14ac:dyDescent="0.2">
      <c r="B115" s="1791">
        <v>103</v>
      </c>
      <c r="C115" s="1674"/>
      <c r="D115" s="1709"/>
      <c r="E115" s="1057"/>
      <c r="H115" s="1917"/>
      <c r="I115" s="1651"/>
      <c r="J115" s="1651"/>
      <c r="K115" s="1651"/>
      <c r="L115" s="1917"/>
      <c r="M115" s="1651"/>
      <c r="N115" s="1651"/>
      <c r="O115" s="1651"/>
      <c r="P115" s="1651"/>
      <c r="Q115" s="1651"/>
      <c r="R115" s="1651"/>
      <c r="S115" s="1651"/>
      <c r="T115" s="1651"/>
      <c r="U115" s="1651"/>
      <c r="V115" s="1651"/>
      <c r="W115" s="1651"/>
      <c r="X115" s="1651"/>
      <c r="Y115" s="1651"/>
      <c r="Z115" s="1651"/>
      <c r="AA115" s="1651"/>
      <c r="AB115" s="1651"/>
      <c r="AC115" s="1651"/>
      <c r="AD115" s="1651"/>
      <c r="AE115" s="1651"/>
      <c r="AF115" s="1651"/>
      <c r="AG115" s="1651"/>
      <c r="AH115" s="1651"/>
      <c r="AJ115" s="1676"/>
      <c r="AL115" s="1676"/>
      <c r="AP115" s="1394"/>
      <c r="AU115" s="848"/>
      <c r="AV115" s="848"/>
      <c r="AW115" s="848"/>
      <c r="AX115" s="848"/>
      <c r="AY115" s="759"/>
      <c r="AZ115" s="759"/>
      <c r="BA115" s="848"/>
      <c r="BB115" s="759"/>
      <c r="BC115" s="848"/>
      <c r="BD115" s="848"/>
      <c r="BE115" s="848"/>
      <c r="BF115" s="848"/>
      <c r="BH115" s="1680"/>
      <c r="BI115" s="1680"/>
      <c r="BJ115" s="1680"/>
      <c r="BK115" s="1680"/>
      <c r="BL115" s="1680"/>
      <c r="BM115" s="1680"/>
      <c r="BN115" s="1680"/>
      <c r="BO115" s="1680"/>
      <c r="BP115" s="1680"/>
    </row>
    <row r="116" spans="1:69" s="686" customFormat="1" ht="3.95" customHeight="1" x14ac:dyDescent="0.2">
      <c r="B116" s="1791">
        <v>104</v>
      </c>
      <c r="C116" s="1674"/>
      <c r="D116" s="1709"/>
      <c r="E116" s="1057"/>
      <c r="H116" s="1917"/>
      <c r="I116" s="1651"/>
      <c r="J116" s="1919"/>
      <c r="K116" s="1651"/>
      <c r="L116" s="1922"/>
      <c r="M116" s="1651"/>
      <c r="N116" s="1919"/>
      <c r="O116" s="1651"/>
      <c r="P116" s="1919"/>
      <c r="Q116" s="1651"/>
      <c r="R116" s="1919"/>
      <c r="S116" s="1651"/>
      <c r="T116" s="1919"/>
      <c r="U116" s="1651"/>
      <c r="V116" s="1919"/>
      <c r="W116" s="1651"/>
      <c r="X116" s="1919"/>
      <c r="Y116" s="1651"/>
      <c r="Z116" s="1919"/>
      <c r="AA116" s="1651"/>
      <c r="AB116" s="1919"/>
      <c r="AC116" s="1651"/>
      <c r="AD116" s="1919"/>
      <c r="AE116" s="1651"/>
      <c r="AF116" s="1919"/>
      <c r="AG116" s="1651"/>
      <c r="AH116" s="1919"/>
      <c r="AJ116" s="1792"/>
      <c r="AL116" s="1792"/>
      <c r="AN116" s="685"/>
      <c r="AP116" s="1394"/>
      <c r="AU116" s="848"/>
      <c r="AV116" s="848"/>
      <c r="AW116" s="848"/>
      <c r="AX116" s="848"/>
      <c r="AY116" s="759"/>
      <c r="AZ116" s="759"/>
      <c r="BA116" s="848"/>
      <c r="BB116" s="759"/>
      <c r="BC116" s="848"/>
      <c r="BD116" s="848"/>
      <c r="BE116" s="848"/>
      <c r="BF116" s="848"/>
      <c r="BH116" s="1680"/>
      <c r="BI116" s="1680"/>
      <c r="BJ116" s="1680"/>
      <c r="BK116" s="1680"/>
      <c r="BL116" s="1680"/>
      <c r="BM116" s="1680"/>
      <c r="BN116" s="1680"/>
      <c r="BO116" s="1680"/>
      <c r="BP116" s="1680"/>
    </row>
    <row r="117" spans="1:69" s="686" customFormat="1" ht="3.95" customHeight="1" x14ac:dyDescent="0.2">
      <c r="B117" s="1790">
        <v>105</v>
      </c>
      <c r="C117" s="1674"/>
      <c r="D117" s="1709"/>
      <c r="E117" s="1057"/>
      <c r="H117" s="1917"/>
      <c r="I117" s="1651"/>
      <c r="J117" s="1651"/>
      <c r="K117" s="1651"/>
      <c r="L117" s="1917"/>
      <c r="M117" s="1651"/>
      <c r="N117" s="1651"/>
      <c r="O117" s="1651"/>
      <c r="P117" s="1651"/>
      <c r="Q117" s="1651"/>
      <c r="R117" s="1651"/>
      <c r="S117" s="1651"/>
      <c r="T117" s="1651"/>
      <c r="U117" s="1651"/>
      <c r="V117" s="1651"/>
      <c r="W117" s="1651"/>
      <c r="X117" s="1651"/>
      <c r="Y117" s="1651"/>
      <c r="Z117" s="1651"/>
      <c r="AA117" s="1651"/>
      <c r="AB117" s="1651"/>
      <c r="AC117" s="1651"/>
      <c r="AD117" s="1651"/>
      <c r="AE117" s="1651"/>
      <c r="AF117" s="1651"/>
      <c r="AG117" s="1651"/>
      <c r="AH117" s="1651"/>
      <c r="AJ117" s="1676"/>
      <c r="AL117" s="1676"/>
      <c r="AP117" s="1394"/>
      <c r="AU117" s="848"/>
      <c r="AV117" s="848"/>
      <c r="AW117" s="848"/>
      <c r="AX117" s="848"/>
      <c r="AY117" s="759"/>
      <c r="AZ117" s="759"/>
      <c r="BA117" s="848"/>
      <c r="BB117" s="759"/>
      <c r="BC117" s="848"/>
      <c r="BD117" s="848"/>
      <c r="BE117" s="848"/>
      <c r="BF117" s="848"/>
      <c r="BH117" s="1680"/>
      <c r="BI117" s="1680"/>
      <c r="BJ117" s="1680"/>
      <c r="BK117" s="1680"/>
      <c r="BL117" s="1680"/>
      <c r="BM117" s="1680"/>
      <c r="BN117" s="1680"/>
      <c r="BO117" s="1680"/>
      <c r="BP117" s="1680"/>
    </row>
    <row r="118" spans="1:69" s="686" customFormat="1" ht="3.95" customHeight="1" x14ac:dyDescent="0.2">
      <c r="B118" s="1790">
        <v>106</v>
      </c>
      <c r="C118" s="1677"/>
      <c r="D118" s="1709"/>
      <c r="E118" s="1057"/>
      <c r="H118" s="1917"/>
      <c r="I118" s="1651"/>
      <c r="J118" s="1651"/>
      <c r="K118" s="1651"/>
      <c r="L118" s="1917"/>
      <c r="M118" s="1651"/>
      <c r="N118" s="1651"/>
      <c r="O118" s="1651"/>
      <c r="P118" s="1651"/>
      <c r="Q118" s="1651"/>
      <c r="R118" s="1651"/>
      <c r="S118" s="1651"/>
      <c r="T118" s="1651"/>
      <c r="U118" s="1651"/>
      <c r="V118" s="1651"/>
      <c r="W118" s="1651"/>
      <c r="X118" s="1651"/>
      <c r="Y118" s="1651"/>
      <c r="Z118" s="1651"/>
      <c r="AA118" s="1651"/>
      <c r="AB118" s="1651"/>
      <c r="AC118" s="1651"/>
      <c r="AD118" s="1651"/>
      <c r="AE118" s="1651"/>
      <c r="AF118" s="1651"/>
      <c r="AG118" s="1651"/>
      <c r="AH118" s="1651"/>
      <c r="AJ118" s="1676"/>
      <c r="AL118" s="1676"/>
      <c r="AP118" s="1223"/>
      <c r="AU118" s="848"/>
      <c r="AV118" s="848"/>
      <c r="AW118" s="848"/>
      <c r="AX118" s="848"/>
      <c r="AY118" s="848"/>
      <c r="AZ118" s="848"/>
      <c r="BA118" s="848"/>
      <c r="BB118" s="848"/>
      <c r="BC118" s="848"/>
      <c r="BD118" s="848"/>
      <c r="BE118" s="848"/>
      <c r="BF118" s="848"/>
      <c r="BH118" s="1680"/>
      <c r="BI118" s="1680"/>
      <c r="BJ118" s="1680"/>
      <c r="BK118" s="1680"/>
      <c r="BL118" s="1680"/>
      <c r="BM118" s="1680"/>
      <c r="BN118" s="1680"/>
      <c r="BO118" s="1680"/>
      <c r="BP118" s="1680"/>
    </row>
    <row r="119" spans="1:69" s="686" customFormat="1" ht="3.95" customHeight="1" x14ac:dyDescent="0.2">
      <c r="A119" s="1809"/>
      <c r="B119" s="1810">
        <v>52</v>
      </c>
      <c r="C119" s="1811"/>
      <c r="D119" s="1842"/>
      <c r="E119" s="1812"/>
      <c r="F119" s="1809"/>
      <c r="G119" s="1809"/>
      <c r="H119" s="1936"/>
      <c r="I119" s="1924"/>
      <c r="J119" s="1937"/>
      <c r="K119" s="1924"/>
      <c r="L119" s="1936"/>
      <c r="M119" s="1924"/>
      <c r="N119" s="1937"/>
      <c r="O119" s="1924"/>
      <c r="P119" s="1937"/>
      <c r="Q119" s="1924"/>
      <c r="R119" s="1937"/>
      <c r="S119" s="1924"/>
      <c r="T119" s="1937"/>
      <c r="U119" s="1924"/>
      <c r="V119" s="1937"/>
      <c r="W119" s="1924"/>
      <c r="X119" s="1937"/>
      <c r="Y119" s="1924"/>
      <c r="Z119" s="1937"/>
      <c r="AA119" s="1924"/>
      <c r="AB119" s="1937"/>
      <c r="AC119" s="1924"/>
      <c r="AD119" s="1937"/>
      <c r="AE119" s="1924"/>
      <c r="AF119" s="1937"/>
      <c r="AG119" s="1924"/>
      <c r="AH119" s="1937"/>
      <c r="AI119" s="1809"/>
      <c r="AJ119" s="1938"/>
      <c r="AK119" s="1809"/>
      <c r="AL119" s="1938"/>
      <c r="AM119" s="1809"/>
      <c r="AN119" s="1815"/>
      <c r="AO119" s="1809"/>
      <c r="AP119" s="1935"/>
      <c r="AQ119" s="1809"/>
      <c r="AR119" s="1809"/>
      <c r="AS119" s="1809"/>
      <c r="AT119" s="1809"/>
      <c r="AU119" s="1814"/>
      <c r="AV119" s="1814"/>
      <c r="AW119" s="1814"/>
      <c r="AX119" s="1814"/>
      <c r="AY119" s="1814"/>
      <c r="AZ119" s="1814"/>
      <c r="BA119" s="1814"/>
      <c r="BB119" s="1814"/>
      <c r="BC119" s="1814"/>
      <c r="BD119" s="1814"/>
      <c r="BE119" s="1814"/>
      <c r="BF119" s="1814"/>
      <c r="BG119" s="1809"/>
      <c r="BH119" s="1814"/>
      <c r="BI119" s="1814"/>
      <c r="BJ119" s="1814"/>
      <c r="BK119" s="1814"/>
      <c r="BL119" s="1814"/>
      <c r="BM119" s="1814"/>
      <c r="BN119" s="1814"/>
      <c r="BO119" s="1814"/>
      <c r="BP119" s="1814"/>
    </row>
    <row r="120" spans="1:69" s="686" customFormat="1" ht="3.95" customHeight="1" x14ac:dyDescent="0.2">
      <c r="B120" s="1791">
        <v>108</v>
      </c>
      <c r="C120" s="1677"/>
      <c r="D120" s="1709"/>
      <c r="E120" s="1057"/>
      <c r="H120" s="1917"/>
      <c r="I120" s="1651"/>
      <c r="J120" s="1651"/>
      <c r="K120" s="1651"/>
      <c r="L120" s="1917"/>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1651"/>
      <c r="AJ120" s="1676"/>
      <c r="AL120" s="1676"/>
      <c r="AP120" s="1394"/>
      <c r="AU120" s="848"/>
      <c r="AV120" s="848"/>
      <c r="AW120" s="848"/>
      <c r="AX120" s="848"/>
      <c r="AY120" s="848"/>
      <c r="AZ120" s="848"/>
      <c r="BA120" s="848"/>
      <c r="BB120" s="848"/>
      <c r="BC120" s="848"/>
      <c r="BD120" s="848"/>
      <c r="BE120" s="848"/>
      <c r="BF120" s="848"/>
      <c r="BH120" s="1680"/>
      <c r="BI120" s="1680"/>
      <c r="BJ120" s="1680"/>
      <c r="BK120" s="1680"/>
      <c r="BL120" s="1680"/>
      <c r="BM120" s="1680"/>
      <c r="BN120" s="1680"/>
      <c r="BO120" s="1680"/>
      <c r="BP120" s="1680"/>
    </row>
    <row r="121" spans="1:69" s="686" customFormat="1" ht="3.95" customHeight="1" x14ac:dyDescent="0.2">
      <c r="B121" s="1791">
        <v>109</v>
      </c>
      <c r="C121" s="1677"/>
      <c r="D121" s="1709"/>
      <c r="E121" s="1057"/>
      <c r="H121" s="1917"/>
      <c r="I121" s="1651"/>
      <c r="J121" s="1651"/>
      <c r="K121" s="1651"/>
      <c r="L121" s="1926"/>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1651"/>
      <c r="AJ121" s="1676"/>
      <c r="AL121" s="1676"/>
      <c r="AP121" s="1057"/>
      <c r="AU121" s="848"/>
      <c r="AV121" s="848"/>
      <c r="AW121" s="848"/>
      <c r="AX121" s="848"/>
      <c r="AY121" s="848"/>
      <c r="AZ121" s="848"/>
      <c r="BA121" s="848"/>
      <c r="BB121" s="848"/>
      <c r="BC121" s="848"/>
      <c r="BD121" s="848"/>
      <c r="BE121" s="848"/>
      <c r="BF121" s="848"/>
      <c r="BH121" s="1680"/>
      <c r="BI121" s="1680"/>
      <c r="BJ121" s="1680"/>
      <c r="BK121" s="1680"/>
      <c r="BL121" s="1680"/>
      <c r="BM121" s="1680"/>
      <c r="BN121" s="1680"/>
      <c r="BO121" s="1680"/>
      <c r="BP121" s="1680"/>
    </row>
    <row r="122" spans="1:69" s="686" customFormat="1" ht="3.95" customHeight="1" x14ac:dyDescent="0.2">
      <c r="B122" s="1790">
        <v>110</v>
      </c>
      <c r="C122" s="1269"/>
      <c r="D122" s="1709"/>
      <c r="E122" s="1057"/>
      <c r="H122" s="1917"/>
      <c r="I122" s="1651"/>
      <c r="J122" s="1651"/>
      <c r="K122" s="1651"/>
      <c r="L122" s="1917"/>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1651"/>
      <c r="AJ122" s="1676"/>
      <c r="AL122" s="1676"/>
      <c r="AP122" s="1057"/>
      <c r="AU122" s="848"/>
      <c r="AV122" s="848"/>
      <c r="AW122" s="848"/>
      <c r="AX122" s="848"/>
      <c r="AY122" s="848"/>
      <c r="AZ122" s="848"/>
      <c r="BA122" s="848"/>
      <c r="BB122" s="848"/>
      <c r="BC122" s="848"/>
      <c r="BD122" s="848"/>
      <c r="BE122" s="848"/>
      <c r="BF122" s="848"/>
      <c r="BH122" s="1680"/>
      <c r="BI122" s="1680"/>
      <c r="BJ122" s="1680"/>
      <c r="BK122" s="1680"/>
      <c r="BL122" s="1680"/>
      <c r="BM122" s="1680"/>
      <c r="BN122" s="1680"/>
      <c r="BO122" s="1680"/>
      <c r="BP122" s="1680"/>
    </row>
    <row r="123" spans="1:69" s="782" customFormat="1" ht="3.95" customHeight="1" x14ac:dyDescent="0.2">
      <c r="A123" s="816"/>
      <c r="B123" s="1790">
        <v>111</v>
      </c>
      <c r="C123" s="1271"/>
      <c r="D123" s="1841"/>
      <c r="E123" s="816"/>
      <c r="F123" s="736"/>
      <c r="G123" s="736"/>
      <c r="H123" s="1927"/>
      <c r="I123" s="1928"/>
      <c r="J123" s="1928"/>
      <c r="K123" s="1928"/>
      <c r="L123" s="1929"/>
      <c r="M123" s="722"/>
      <c r="N123" s="722"/>
      <c r="O123" s="722"/>
      <c r="P123" s="1891"/>
      <c r="Q123" s="1930"/>
      <c r="R123" s="1931"/>
      <c r="S123" s="1930"/>
      <c r="T123" s="1931"/>
      <c r="U123" s="1930"/>
      <c r="V123" s="1931"/>
      <c r="W123" s="1930"/>
      <c r="X123" s="1931"/>
      <c r="Y123" s="1894"/>
      <c r="Z123" s="1894"/>
      <c r="AA123" s="1894"/>
      <c r="AB123" s="1894"/>
      <c r="AC123" s="1894"/>
      <c r="AD123" s="1894"/>
      <c r="AE123" s="1894"/>
      <c r="AF123" s="1894"/>
      <c r="AG123" s="1894"/>
      <c r="AH123" s="1894"/>
      <c r="AI123" s="821"/>
      <c r="AJ123" s="1826"/>
      <c r="AK123" s="781"/>
      <c r="AL123" s="1831"/>
      <c r="AM123" s="824"/>
      <c r="AN123" s="822"/>
      <c r="AO123" s="824"/>
      <c r="AP123" s="1398"/>
      <c r="AQ123" s="824"/>
      <c r="AT123" s="824"/>
      <c r="AU123" s="759"/>
      <c r="AV123" s="759"/>
      <c r="AW123" s="759"/>
      <c r="AX123" s="759"/>
      <c r="AY123" s="759"/>
      <c r="AZ123" s="759"/>
      <c r="BA123" s="759"/>
      <c r="BB123" s="759"/>
      <c r="BC123" s="759"/>
      <c r="BD123" s="759"/>
      <c r="BE123" s="759"/>
      <c r="BF123" s="759"/>
      <c r="BG123" s="760"/>
      <c r="BH123" s="1681"/>
      <c r="BI123" s="1681"/>
      <c r="BJ123" s="1681"/>
      <c r="BK123" s="1681"/>
      <c r="BL123" s="1681"/>
      <c r="BM123" s="1681"/>
      <c r="BN123" s="1681"/>
      <c r="BO123" s="1681"/>
      <c r="BP123" s="1681"/>
      <c r="BQ123" s="824"/>
    </row>
    <row r="124" spans="1:69" s="782" customFormat="1" ht="15.75" x14ac:dyDescent="0.2">
      <c r="A124" s="1712" t="s">
        <v>2621</v>
      </c>
      <c r="B124" s="1791">
        <v>112</v>
      </c>
      <c r="C124" s="1669"/>
      <c r="D124" s="1248" t="str">
        <f>IF(AND(C69&lt;&gt;"",$C124=""),"Select Mode from Pull-Down List                           ","")</f>
        <v/>
      </c>
      <c r="E124" s="1277" t="str">
        <f>IF(AND(C124="",OR(H154&lt;&gt;0,J154&lt;&gt;0,H157&lt;&gt;0)),"&lt;&lt; Insert Rail Mode",IF(AND(C69="",C124&lt;&gt;""),"&lt;&lt;Complete Previous Section First",""))</f>
        <v/>
      </c>
      <c r="F124" s="736"/>
      <c r="G124" s="736"/>
      <c r="H124" s="1932"/>
      <c r="I124" s="1896"/>
      <c r="J124" s="1897"/>
      <c r="K124" s="1897"/>
      <c r="L124" s="1933"/>
      <c r="M124" s="1896"/>
      <c r="N124" s="1896"/>
      <c r="O124" s="1896"/>
      <c r="P124" s="1898"/>
      <c r="Q124" s="1896"/>
      <c r="R124" s="1898"/>
      <c r="S124" s="1896"/>
      <c r="T124" s="1898"/>
      <c r="U124" s="1896"/>
      <c r="V124" s="1898"/>
      <c r="W124" s="1896"/>
      <c r="X124" s="1898"/>
      <c r="Y124" s="1896"/>
      <c r="Z124" s="1896"/>
      <c r="AA124" s="1896"/>
      <c r="AB124" s="1896"/>
      <c r="AC124" s="1896"/>
      <c r="AD124" s="1896"/>
      <c r="AE124" s="1896"/>
      <c r="AF124" s="1896"/>
      <c r="AG124" s="1896"/>
      <c r="AH124" s="1896"/>
      <c r="AI124" s="1254"/>
      <c r="AJ124" s="1827"/>
      <c r="AK124" s="1254"/>
      <c r="AL124" s="1827"/>
      <c r="AM124" s="832"/>
      <c r="AN124" s="1254"/>
      <c r="AO124" s="832"/>
      <c r="AP124" s="1399"/>
      <c r="AQ124" s="832"/>
      <c r="AS124" s="758"/>
      <c r="AT124" s="758" t="b">
        <f>IF(OR(E124&lt;&gt;"",E179="Complete Previous Section First"),TRUE,FALSE)</f>
        <v>0</v>
      </c>
      <c r="AU124" s="763"/>
      <c r="AV124" s="763"/>
      <c r="AW124" s="763"/>
      <c r="AX124" s="763"/>
      <c r="AY124" s="763"/>
      <c r="AZ124" s="763"/>
      <c r="BA124" s="763"/>
      <c r="BB124" s="763"/>
      <c r="BC124" s="763"/>
      <c r="BD124" s="763"/>
      <c r="BE124" s="763"/>
      <c r="BF124" s="759"/>
      <c r="BG124" s="760"/>
      <c r="BH124" s="1678"/>
      <c r="BI124" s="1678"/>
      <c r="BJ124" s="1678"/>
      <c r="BK124" s="1678"/>
      <c r="BL124" s="1678"/>
      <c r="BM124" s="1678"/>
      <c r="BN124" s="1678"/>
      <c r="BO124" s="1678"/>
      <c r="BP124" s="1678"/>
      <c r="BQ124" s="832"/>
    </row>
    <row r="125" spans="1:69" s="782" customFormat="1" ht="3.95" customHeight="1" x14ac:dyDescent="0.2">
      <c r="A125" s="721"/>
      <c r="B125" s="1791">
        <v>113</v>
      </c>
      <c r="C125" s="828"/>
      <c r="D125" s="1841"/>
      <c r="E125" s="721"/>
      <c r="F125" s="281"/>
      <c r="G125" s="281"/>
      <c r="H125" s="1934"/>
      <c r="I125" s="1899"/>
      <c r="J125" s="1899"/>
      <c r="K125" s="1899"/>
      <c r="L125" s="1909"/>
      <c r="M125" s="722"/>
      <c r="N125" s="722"/>
      <c r="O125" s="722"/>
      <c r="P125" s="1900"/>
      <c r="Q125" s="1901"/>
      <c r="R125" s="1900"/>
      <c r="S125" s="1901"/>
      <c r="T125" s="1900"/>
      <c r="U125" s="1901"/>
      <c r="V125" s="1900"/>
      <c r="W125" s="1901"/>
      <c r="X125" s="1900"/>
      <c r="Y125" s="1902"/>
      <c r="Z125" s="1902"/>
      <c r="AA125" s="1902"/>
      <c r="AB125" s="1902"/>
      <c r="AC125" s="1902"/>
      <c r="AD125" s="1902"/>
      <c r="AE125" s="1902"/>
      <c r="AF125" s="1902"/>
      <c r="AG125" s="1902"/>
      <c r="AH125" s="1902"/>
      <c r="AI125" s="831"/>
      <c r="AJ125" s="1828"/>
      <c r="AK125" s="724"/>
      <c r="AL125" s="1806"/>
      <c r="AM125" s="832"/>
      <c r="AN125" s="724"/>
      <c r="AO125" s="832"/>
      <c r="AP125" s="1399"/>
      <c r="AQ125" s="832"/>
      <c r="AS125" s="824"/>
      <c r="AT125" s="832"/>
      <c r="AU125" s="759"/>
      <c r="AV125" s="759"/>
      <c r="AW125" s="759"/>
      <c r="AX125" s="759"/>
      <c r="AY125" s="759"/>
      <c r="AZ125" s="759"/>
      <c r="BA125" s="759"/>
      <c r="BB125" s="759"/>
      <c r="BC125" s="759"/>
      <c r="BD125" s="759"/>
      <c r="BE125" s="759"/>
      <c r="BF125" s="759"/>
      <c r="BG125" s="760"/>
      <c r="BH125" s="1678"/>
      <c r="BI125" s="1678"/>
      <c r="BJ125" s="1678"/>
      <c r="BK125" s="1678"/>
      <c r="BL125" s="1678"/>
      <c r="BM125" s="1678"/>
      <c r="BN125" s="1678"/>
      <c r="BO125" s="1678"/>
      <c r="BP125" s="1678"/>
      <c r="BQ125" s="832"/>
    </row>
    <row r="126" spans="1:69" s="782" customFormat="1" x14ac:dyDescent="0.2">
      <c r="A126" s="1712" t="s">
        <v>2621</v>
      </c>
      <c r="B126" s="1791">
        <v>114</v>
      </c>
      <c r="C126" s="844" t="str">
        <f>IF(C124="","Guideway (Excludes Track)",VLOOKUP(C124,Codes!$C$156:$D$174,2)&amp;" Guideway (Excludes Track)")</f>
        <v>Guideway (Excludes Track)</v>
      </c>
      <c r="D126" s="1841"/>
      <c r="E126" s="721"/>
      <c r="F126" s="281"/>
      <c r="G126" s="281"/>
      <c r="H126" s="1934"/>
      <c r="I126" s="1899"/>
      <c r="J126" s="1899"/>
      <c r="K126" s="1899"/>
      <c r="L126" s="1909"/>
      <c r="M126" s="722"/>
      <c r="N126" s="722"/>
      <c r="O126" s="722"/>
      <c r="P126" s="1900"/>
      <c r="Q126" s="1901"/>
      <c r="R126" s="1900"/>
      <c r="S126" s="1901"/>
      <c r="T126" s="1900"/>
      <c r="U126" s="1901"/>
      <c r="V126" s="1900"/>
      <c r="W126" s="1901"/>
      <c r="X126" s="1900"/>
      <c r="Y126" s="1902"/>
      <c r="Z126" s="1902"/>
      <c r="AA126" s="1902"/>
      <c r="AB126" s="1902"/>
      <c r="AC126" s="1902"/>
      <c r="AD126" s="1902"/>
      <c r="AE126" s="1902"/>
      <c r="AF126" s="1902"/>
      <c r="AG126" s="1902"/>
      <c r="AH126" s="1902"/>
      <c r="AI126" s="831"/>
      <c r="AJ126" s="1828"/>
      <c r="AK126" s="724"/>
      <c r="AL126" s="1806"/>
      <c r="AM126" s="832"/>
      <c r="AN126" s="724"/>
      <c r="AO126" s="832"/>
      <c r="AP126" s="1223"/>
      <c r="AQ126" s="832"/>
      <c r="AS126" s="824"/>
      <c r="AT126" s="832"/>
      <c r="AU126" s="759"/>
      <c r="AV126" s="759"/>
      <c r="AW126" s="759"/>
      <c r="AX126" s="759"/>
      <c r="AY126" s="759"/>
      <c r="AZ126" s="759"/>
      <c r="BA126" s="759"/>
      <c r="BB126" s="759"/>
      <c r="BC126" s="759"/>
      <c r="BD126" s="759"/>
      <c r="BE126" s="759"/>
      <c r="BF126" s="759"/>
      <c r="BG126" s="760"/>
      <c r="BH126" s="1678"/>
      <c r="BI126" s="1678"/>
      <c r="BJ126" s="1678"/>
      <c r="BK126" s="1678"/>
      <c r="BL126" s="1678"/>
      <c r="BM126" s="1678"/>
      <c r="BN126" s="1678"/>
      <c r="BO126" s="1678"/>
      <c r="BP126" s="1678"/>
      <c r="BQ126" s="832"/>
    </row>
    <row r="127" spans="1:69" s="782" customFormat="1" ht="26.25" thickBot="1" x14ac:dyDescent="0.25">
      <c r="A127" s="1712" t="s">
        <v>2621</v>
      </c>
      <c r="B127" s="1790">
        <v>115</v>
      </c>
      <c r="D127" s="1841"/>
      <c r="E127" s="816"/>
      <c r="F127" s="764"/>
      <c r="G127" s="764"/>
      <c r="H127" s="1903" t="str">
        <f>H$10</f>
        <v>Linear Feet</v>
      </c>
      <c r="I127" s="1899"/>
      <c r="J127" s="1903" t="str">
        <f>J$10</f>
        <v>Track Feet</v>
      </c>
      <c r="K127" s="1899"/>
      <c r="L127" s="1909"/>
      <c r="M127" s="722"/>
      <c r="N127" s="722"/>
      <c r="O127" s="722"/>
      <c r="P127" s="1903" t="str">
        <f>P$9</f>
        <v>Pre-1920</v>
      </c>
      <c r="Q127" s="1869"/>
      <c r="R127" s="1903" t="str">
        <f>R$9</f>
        <v>1920-
1929</v>
      </c>
      <c r="S127" s="1869"/>
      <c r="T127" s="1903" t="str">
        <f>T$9</f>
        <v>1930-
1939</v>
      </c>
      <c r="U127" s="1869"/>
      <c r="V127" s="1903" t="str">
        <f>V$9</f>
        <v>1940-
1949</v>
      </c>
      <c r="W127" s="1869"/>
      <c r="X127" s="1903" t="str">
        <f>X$9</f>
        <v>1950-
1959</v>
      </c>
      <c r="Y127" s="1868"/>
      <c r="Z127" s="1903" t="str">
        <f>Z$9</f>
        <v>1960-
1969</v>
      </c>
      <c r="AA127" s="1868"/>
      <c r="AB127" s="1903" t="str">
        <f>AB$9</f>
        <v>1970-
1979</v>
      </c>
      <c r="AC127" s="1868"/>
      <c r="AD127" s="1903" t="str">
        <f>AD$9</f>
        <v>1980-
1989</v>
      </c>
      <c r="AE127" s="1868"/>
      <c r="AF127" s="1903" t="str">
        <f>AF$9</f>
        <v>1990-
1999</v>
      </c>
      <c r="AG127" s="1868"/>
      <c r="AH127" s="1903" t="str">
        <f>AH$9</f>
        <v>2000-
present</v>
      </c>
      <c r="AI127" s="831"/>
      <c r="AJ127" s="1828"/>
      <c r="AK127" s="724"/>
      <c r="AL127" s="1806"/>
      <c r="AM127" s="832"/>
      <c r="AN127" s="724"/>
      <c r="AO127" s="832"/>
      <c r="AP127" s="1399"/>
      <c r="AQ127" s="832"/>
      <c r="AS127" s="832"/>
      <c r="AT127" s="832"/>
      <c r="AU127" s="759"/>
      <c r="AV127" s="759"/>
      <c r="AW127" s="759"/>
      <c r="AX127" s="759"/>
      <c r="AY127" s="759"/>
      <c r="AZ127" s="759"/>
      <c r="BA127" s="759"/>
      <c r="BB127" s="759"/>
      <c r="BC127" s="759"/>
      <c r="BD127" s="759"/>
      <c r="BE127" s="759"/>
      <c r="BF127" s="759"/>
      <c r="BG127" s="760"/>
      <c r="BH127" s="1678"/>
      <c r="BI127" s="1678"/>
      <c r="BJ127" s="1678"/>
      <c r="BK127" s="1678"/>
      <c r="BL127" s="1678"/>
      <c r="BM127" s="1678"/>
      <c r="BN127" s="1678"/>
      <c r="BO127" s="1678"/>
      <c r="BP127" s="1678"/>
      <c r="BQ127" s="832"/>
    </row>
    <row r="128" spans="1:69" s="782" customFormat="1" x14ac:dyDescent="0.2">
      <c r="A128" s="852">
        <f>A114+1</f>
        <v>29</v>
      </c>
      <c r="B128" s="1790">
        <v>116</v>
      </c>
      <c r="C128" s="851" t="str">
        <f>Valid!$B$71</f>
        <v>At-Grade/Ballast (including expressway)</v>
      </c>
      <c r="D128" s="1841"/>
      <c r="E128" s="1245" t="str">
        <f>IF(AT128="N/A","",IF(AT128="N","No","Yes"))</f>
        <v/>
      </c>
      <c r="F128" s="764"/>
      <c r="G128" s="764"/>
      <c r="H128" s="1864"/>
      <c r="I128" s="1904" t="str">
        <f>IF(C124="","",IF(J128&lt;&gt;"","Linear Feet   ","Qty? Enter Zero if N/A  "))</f>
        <v/>
      </c>
      <c r="J128" s="1864"/>
      <c r="K128" s="1904" t="str">
        <f>IF(E128="yes","",IF(C124="","",IF(H128="","Qty? Enter Zero if N/A  ",IF(H128&lt;&gt;"","Track Feet      ",""))))</f>
        <v/>
      </c>
      <c r="L128" s="1864"/>
      <c r="M128" s="1620" t="str">
        <f>IF($H128=0,"",IF($L128="",TEXT(BN128,0)&amp;" Years?    ",""))</f>
        <v/>
      </c>
      <c r="N128" s="1905"/>
      <c r="O128" s="1620"/>
      <c r="P128" s="1864"/>
      <c r="Q128" s="1865" t="str">
        <f>IF(OR($N128="",$H128=0, P128&lt;&gt;""),"", IF($BK128&lt;&gt;0, "0 - ", "")&amp;IF($N128="%", TEXT($BK128, "0%"), IF($BK128&lt;1000, TEXT($BK128, "#,##0"), TEXT($BK128/1000, "#,##0")&amp;"k")&amp;" ft.")&amp;"?  ")</f>
        <v/>
      </c>
      <c r="R128" s="1864"/>
      <c r="S128" s="1865" t="str">
        <f>IF(OR($N128="",$H128=0, R128&lt;&gt;""),"", IF($BK128&lt;&gt;0, "0 - ", "")&amp;IF($N128="%", TEXT($BK128, "0%"), IF($BK128&lt;1000, TEXT($BK128, "#,##0"), TEXT($BK128/1000, "#,##0")&amp;"k")&amp;" ft.")&amp;"?  ")</f>
        <v/>
      </c>
      <c r="T128" s="1864"/>
      <c r="U128" s="1865" t="str">
        <f>IF(OR($N128="",$H128=0, T128&lt;&gt;""),"", IF($BK128&lt;&gt;0, "0 - ", "")&amp;IF($N128="%", TEXT($BK128, "0%"), IF($BK128&lt;1000, TEXT($BK128, "#,##0"), TEXT($BK128/1000, "#,##0")&amp;"k")&amp;" ft.")&amp;"?  ")</f>
        <v/>
      </c>
      <c r="V128" s="1864"/>
      <c r="W128" s="1865" t="str">
        <f>IF(OR($N128="",$H128=0, V128&lt;&gt;""),"", IF($BK128&lt;&gt;0, "0 - ", "")&amp;IF($N128="%", TEXT($BK128, "0%"), IF($BK128&lt;1000, TEXT($BK128, "#,##0"), TEXT($BK128/1000, "#,##0")&amp;"k")&amp;" ft.")&amp;"?  ")</f>
        <v/>
      </c>
      <c r="X128" s="1864"/>
      <c r="Y128" s="1865" t="str">
        <f>IF(OR($N128="",$H128=0, X128&lt;&gt;""),"", IF($BK128&lt;&gt;0, "0 - ", "")&amp;IF($N128="%", TEXT($BK128, "0%"), IF($BK128&lt;1000, TEXT($BK128, "#,##0"), TEXT($BK128/1000, "#,##0")&amp;"k")&amp;" ft.")&amp;"?  ")</f>
        <v/>
      </c>
      <c r="Z128" s="1864"/>
      <c r="AA128" s="1865" t="str">
        <f>IF(OR($N128="",$H128=0, Z128&lt;&gt;""),"", IF($BK128&lt;&gt;0, "0 - ", "")&amp;IF($N128="%", TEXT($BK128, "0%"), IF($BK128&lt;1000, TEXT($BK128, "#,##0"), TEXT($BK128/1000, "#,##0")&amp;"k")&amp;" ft.")&amp;"?  ")</f>
        <v/>
      </c>
      <c r="AB128" s="1864"/>
      <c r="AC128" s="1865" t="str">
        <f>IF(OR($N128="",$H128=0, AB128&lt;&gt;""),"", IF($BK128&lt;&gt;0, "0 - ", "")&amp;IF($N128="%", TEXT($BK128, "0%"), IF($BK128&lt;1000, TEXT($BK128, "#,##0"), TEXT($BK128/1000, "#,##0")&amp;"k")&amp;" ft.")&amp;"?  ")</f>
        <v/>
      </c>
      <c r="AD128" s="1864"/>
      <c r="AE128" s="1865" t="str">
        <f>IF(OR($N128="",$H128=0, AD128&lt;&gt;""),"", IF($BK128&lt;&gt;0, "0 - ", "")&amp;IF($N128="%", TEXT($BK128, "0%"), IF($BK128&lt;1000, TEXT($BK128, "#,##0"), TEXT($BK128/1000, "#,##0")&amp;"k")&amp;" ft.")&amp;"?  ")</f>
        <v/>
      </c>
      <c r="AF128" s="1864"/>
      <c r="AG128" s="1865" t="str">
        <f>IF(OR($N128="",$H128=0, AF128&lt;&gt;""),"", IF($BK128&lt;&gt;0, "0 - ", "")&amp;IF($N128="%", TEXT($BK128, "0%"), IF($BK128&lt;1000, TEXT($BK128, "#,##0"), TEXT($BK128/1000, "#,##0")&amp;"k")&amp;" ft.")&amp;"?  ")</f>
        <v/>
      </c>
      <c r="AH128" s="1864"/>
      <c r="AI128" s="1865" t="str">
        <f>IF(OR($N128="",$H128=0, AH128&lt;&gt;""),"", IF($BK128&lt;&gt;0, "0 - ", "")&amp;IF($N128="%", TEXT($BK128, "0%"), IF($BK128&lt;1000, TEXT($BK128, "#,##0"), TEXT($BK128/1000, "#,##0")&amp;"k")&amp;" ft.")&amp;"?  ")</f>
        <v/>
      </c>
      <c r="AJ128" s="1833">
        <f>IFERROR(IF(N128="%", SUM(P128,R128,T128,V128,X128,Z128,AB128,AD128,AF128,AH128)/100, SUM(P128,R128,T128,V128,X128,Z128,AB128,AD128,AF128,AH128)/IF(N128="LF", H128,J128)), 0)</f>
        <v>0</v>
      </c>
      <c r="AK128" s="1648"/>
      <c r="AL128" s="1675"/>
      <c r="AM128" s="839"/>
      <c r="AN128" s="1808"/>
      <c r="AO128" s="839"/>
      <c r="AP128" s="1653"/>
      <c r="AQ128" s="839"/>
      <c r="AS128" s="1399"/>
      <c r="AT128" s="1624" t="str">
        <f>IF(AND($C$124="", H128="", J128=""), "N/A", IF(OR(AND(ISNUMBER(H128), ISNUMBER(J128), H128=0, J128=0), AND(AJ128=1, H128&lt;&gt;"", J128&lt;&gt;"", L128&lt;&gt;"", N128&lt;&gt;"", P128&lt;&gt;"", R128&lt;&gt;"", T128&lt;&gt;"", V128&lt;&gt;"", X128&lt;&gt;"", Z128&lt;&gt;"", AB128&lt;&gt;"", AD128&lt;&gt;"", AF128&lt;&gt;"", AH128&lt;&gt;"",AL128&lt;&gt;"", IF(AND(AL128&lt;1, AN128=""), FALSE, TRUE))), "Yes", "No"))</f>
        <v>N/A</v>
      </c>
      <c r="AU128" s="759" t="b">
        <f>IF(AND(H128="",OR(L128&lt;&gt;"",P128&lt;&gt;"",R128&lt;&gt;"",T128&lt;&gt;"",V128&lt;&gt;"",X128&lt;&gt;"",AL128&lt;&gt;"",Z128&lt;&gt;"",AB128&lt;&gt;"",AD128&lt;&gt;"",AF128&lt;&gt;"",AH128&lt;&gt;"")),TRUE,FALSE)</f>
        <v>0</v>
      </c>
      <c r="AV128" s="759" t="b">
        <f>IF(OR(H128="",H128=0),FALSE,IF(H128&gt;BM128,TRUE,FALSE))</f>
        <v>0</v>
      </c>
      <c r="AW128" s="759" t="b">
        <f>IF(AND($C$124&lt;&gt;"",$H128=""),TRUE,FALSE)</f>
        <v>0</v>
      </c>
      <c r="AX128" s="759" t="b">
        <f>IF(E128="yes",FALSE,IF(H128="0",FALSE,IF(AND($C$124&lt;&gt;"",J128=""),TRUE,FALSE)))</f>
        <v>0</v>
      </c>
      <c r="AY128" s="759" t="b">
        <f>IF($L128="",FALSE,IF($L128&lt;$BO128,TRUE,FALSE))</f>
        <v>0</v>
      </c>
      <c r="AZ128" s="759" t="b">
        <f>IF($L128="",FALSE,IF($L128&gt;$BP128,TRUE,FALSE))</f>
        <v>0</v>
      </c>
      <c r="BA128" s="759" t="b">
        <f>IF(H128=0,FALSE,IF(AND(E128&lt;&gt;"",$L128=""),TRUE,FALSE))</f>
        <v>0</v>
      </c>
      <c r="BB128" s="759" t="b">
        <f>IF(AND($AJ128&lt;&gt;0,$H128&lt;&gt;$BJ128,$N128="LF"),TRUE,IF(AND($AJ128&lt;&gt;0,$J128&lt;&gt;$AJ128,$N128="TF"),TRUE,IF(AND($AJ128&lt;&gt;0,$AJ128&lt;&gt;1,$N128="%"),TRUE,FALSE)))</f>
        <v>0</v>
      </c>
      <c r="BC128" s="759" t="b">
        <f>IF(AT128="No", IF(OR(P128="", R128="", T128="", V128="", X128="", Z128="", AB128="", AD128="", AF128="", AH128=""), TRUE, FALSE), FALSE)</f>
        <v>0</v>
      </c>
      <c r="BD128" s="759" t="b">
        <f>IF($BE128=TRUE,FALSE,IF(OR($AL128&lt;0,$AL128&gt;1),TRUE,FALSE))</f>
        <v>0</v>
      </c>
      <c r="BE128" s="759" t="b">
        <f>IF(AND($H128&lt;&gt;0,$AL128=""),TRUE,FALSE)</f>
        <v>0</v>
      </c>
      <c r="BF128" s="759" t="b">
        <f>IF(N128="%",TRUE,FALSE)</f>
        <v>0</v>
      </c>
      <c r="BG128" s="760"/>
      <c r="BH128" s="1678">
        <f>IF($C128="","",VLOOKUP($C128,val_fg_assets,9,FALSE))</f>
        <v>1</v>
      </c>
      <c r="BI128" s="1678" t="str">
        <f>IF(N128="", "", IF(N128="LF", H128, IF(N128="TF", J128, IF(N128="%", 1, ""))))</f>
        <v/>
      </c>
      <c r="BJ128" s="1679">
        <f>P128+R128+T128+V128+X128+Z128+AB128+AD128+AF128+AH128</f>
        <v>0</v>
      </c>
      <c r="BK128" s="1679" t="str">
        <f>IF(BI128="", "", BI128-BJ128)</f>
        <v/>
      </c>
      <c r="BL128" s="1679">
        <f>IF($C128="","",VLOOKUP($C128,val_fg_assets,3,FALSE))</f>
        <v>0</v>
      </c>
      <c r="BM128" s="1679">
        <f>IF($C128="","",VLOOKUP($C128,val_fg_assets,4,FALSE))</f>
        <v>1320000</v>
      </c>
      <c r="BN128" s="1678">
        <f>IF($C128="","",VLOOKUP($C128,val_fg_assets,5,FALSE))</f>
        <v>80</v>
      </c>
      <c r="BO128" s="1678">
        <f>IF($C128="","",VLOOKUP($C128,val_fg_assets,6,FALSE))</f>
        <v>60</v>
      </c>
      <c r="BP128" s="1678">
        <f>IF($C128="","",VLOOKUP($C128,val_fg_assets,7,FALSE))</f>
        <v>100</v>
      </c>
      <c r="BQ128" s="1399"/>
    </row>
    <row r="129" spans="1:69" s="782" customFormat="1" ht="3.95" customHeight="1" x14ac:dyDescent="0.2">
      <c r="A129" s="1672"/>
      <c r="B129" s="1791">
        <v>117</v>
      </c>
      <c r="C129" s="1673"/>
      <c r="D129" s="1841"/>
      <c r="E129" s="1057"/>
      <c r="F129" s="764"/>
      <c r="G129" s="764"/>
      <c r="H129" s="1906"/>
      <c r="I129" s="1907"/>
      <c r="J129" s="1908"/>
      <c r="K129" s="1907"/>
      <c r="L129" s="1909"/>
      <c r="M129" s="1910"/>
      <c r="N129" s="1911"/>
      <c r="O129" s="1910"/>
      <c r="P129" s="1866"/>
      <c r="Q129" s="1867"/>
      <c r="R129" s="1866"/>
      <c r="S129" s="1867"/>
      <c r="T129" s="1866"/>
      <c r="U129" s="1867"/>
      <c r="V129" s="1866"/>
      <c r="W129" s="1867"/>
      <c r="X129" s="1866"/>
      <c r="Y129" s="1867"/>
      <c r="Z129" s="1867"/>
      <c r="AA129" s="1867"/>
      <c r="AB129" s="1867"/>
      <c r="AC129" s="1867"/>
      <c r="AD129" s="1867"/>
      <c r="AE129" s="1867"/>
      <c r="AF129" s="1867"/>
      <c r="AG129" s="1867"/>
      <c r="AH129" s="1867"/>
      <c r="AI129" s="837"/>
      <c r="AJ129" s="1806"/>
      <c r="AK129" s="841"/>
      <c r="AL129" s="1806"/>
      <c r="AM129" s="1399"/>
      <c r="AN129" s="838"/>
      <c r="AO129" s="1399"/>
      <c r="AP129" s="1223"/>
      <c r="AQ129" s="1399"/>
      <c r="AS129" s="1399"/>
      <c r="AT129" s="1399"/>
      <c r="AU129" s="759"/>
      <c r="AV129" s="759"/>
      <c r="AW129" s="759"/>
      <c r="AX129" s="759"/>
      <c r="AY129" s="759"/>
      <c r="AZ129" s="759"/>
      <c r="BA129" s="759"/>
      <c r="BB129" s="759"/>
      <c r="BC129" s="759"/>
      <c r="BD129" s="759"/>
      <c r="BE129" s="759"/>
      <c r="BF129" s="759"/>
      <c r="BG129" s="760"/>
      <c r="BH129" s="1678"/>
      <c r="BI129" s="1678"/>
      <c r="BJ129" s="1678"/>
      <c r="BK129" s="1678"/>
      <c r="BL129" s="1679"/>
      <c r="BM129" s="1679"/>
      <c r="BN129" s="1678"/>
      <c r="BO129" s="1678"/>
      <c r="BP129" s="1678"/>
      <c r="BQ129" s="1399"/>
    </row>
    <row r="130" spans="1:69" s="782" customFormat="1" ht="3.95" customHeight="1" thickBot="1" x14ac:dyDescent="0.25">
      <c r="A130" s="852"/>
      <c r="B130" s="1791">
        <v>118</v>
      </c>
      <c r="C130" s="851"/>
      <c r="D130" s="1841"/>
      <c r="E130" s="1058"/>
      <c r="F130" s="686"/>
      <c r="G130" s="686"/>
      <c r="H130" s="1909"/>
      <c r="I130" s="1908"/>
      <c r="J130" s="1908"/>
      <c r="K130" s="1908"/>
      <c r="L130" s="1909"/>
      <c r="M130" s="722"/>
      <c r="N130" s="1912"/>
      <c r="O130" s="722"/>
      <c r="P130" s="1868"/>
      <c r="Q130" s="1869"/>
      <c r="R130" s="1868"/>
      <c r="S130" s="1869"/>
      <c r="T130" s="1868"/>
      <c r="U130" s="1869"/>
      <c r="V130" s="1868"/>
      <c r="W130" s="1869"/>
      <c r="X130" s="1868"/>
      <c r="Y130" s="1869"/>
      <c r="Z130" s="1869"/>
      <c r="AA130" s="1869"/>
      <c r="AB130" s="1869"/>
      <c r="AC130" s="1869"/>
      <c r="AD130" s="1869"/>
      <c r="AE130" s="1869"/>
      <c r="AF130" s="1869"/>
      <c r="AG130" s="1869"/>
      <c r="AH130" s="1869"/>
      <c r="AI130" s="1670"/>
      <c r="AJ130" s="1828"/>
      <c r="AK130" s="724"/>
      <c r="AL130" s="1806"/>
      <c r="AM130" s="1399"/>
      <c r="AN130" s="1258"/>
      <c r="AO130" s="1399"/>
      <c r="AP130" s="1399"/>
      <c r="AQ130" s="1399"/>
      <c r="AS130" s="1399"/>
      <c r="AT130" s="1399"/>
      <c r="AU130" s="759"/>
      <c r="AV130" s="759"/>
      <c r="AW130" s="759"/>
      <c r="AX130" s="759"/>
      <c r="AY130" s="759"/>
      <c r="AZ130" s="759"/>
      <c r="BA130" s="759"/>
      <c r="BB130" s="759"/>
      <c r="BC130" s="759"/>
      <c r="BD130" s="759"/>
      <c r="BE130" s="759"/>
      <c r="BF130" s="759"/>
      <c r="BG130" s="760"/>
      <c r="BH130" s="1678"/>
      <c r="BI130" s="1678"/>
      <c r="BJ130" s="1678"/>
      <c r="BK130" s="1678"/>
      <c r="BL130" s="1679"/>
      <c r="BM130" s="1679"/>
      <c r="BN130" s="1678"/>
      <c r="BO130" s="1678"/>
      <c r="BP130" s="1678"/>
      <c r="BQ130" s="1399"/>
    </row>
    <row r="131" spans="1:69" s="782" customFormat="1" x14ac:dyDescent="0.2">
      <c r="A131" s="852">
        <f>A128+1</f>
        <v>30</v>
      </c>
      <c r="B131" s="1791">
        <v>119</v>
      </c>
      <c r="C131" s="851" t="str">
        <f>Valid!$B$72</f>
        <v>At-Grade/In-Street/Embedded</v>
      </c>
      <c r="D131" s="1841"/>
      <c r="E131" s="1245" t="str">
        <f>IF(AT131="N/A","",IF(AT131="N","No","Yes"))</f>
        <v/>
      </c>
      <c r="F131" s="764"/>
      <c r="G131" s="764"/>
      <c r="H131" s="1864"/>
      <c r="I131" s="1904" t="str">
        <f>IF(C124="","",IF(J131&lt;&gt;"","Linear Feet   ","Qty? Enter Zero if N/A  "))</f>
        <v/>
      </c>
      <c r="J131" s="1864"/>
      <c r="K131" s="1904" t="str">
        <f>IF(E131="yes","",IF(C124="","",IF(H131="","Qty? Enter Zero if N/A  ",IF(H131&lt;&gt;"","Track Feet      ",""))))</f>
        <v/>
      </c>
      <c r="L131" s="1864"/>
      <c r="M131" s="1620" t="str">
        <f>IF($H131=0,"",IF($L131="",TEXT(BN131,0)&amp;" Years?    ",""))</f>
        <v/>
      </c>
      <c r="N131" s="1905"/>
      <c r="O131" s="1620"/>
      <c r="P131" s="1864"/>
      <c r="Q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R131" s="1864"/>
      <c r="S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T131" s="1864"/>
      <c r="U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V131" s="1864"/>
      <c r="W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X131" s="1864"/>
      <c r="Y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Z131" s="1864"/>
      <c r="AA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B131" s="1864"/>
      <c r="AC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D131" s="1864"/>
      <c r="AE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F131" s="1864"/>
      <c r="AG131" s="1865"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H131" s="1864"/>
      <c r="AI131" s="904" t="str">
        <f>IF($N131="","",IF(AND($N131="",OR($H131="",$H131=0)),"",IF(AND($N131="LF",$AJ131&lt;$H131),"0 - "&amp;TEXT(($H131-$AJ131)/1000,"0")&amp;"k lin. ft.?    ",IF(AND($N131="TF",$AJ131&lt;$J131),"0 - "&amp;TEXT(($J131-$AJ131)/1000,"0")&amp;"k track ft.?    ",IF(AND($N131="%",$AJ131&lt;1),REPLACE(IF(AND($P131&gt;0,$V131&gt;0,$T131&gt;0,$X131&gt;0,$R131&gt;0,$Z131&gt;0,$AB131&gt;0,$AD131&gt;0,$AF131&gt;0,$AH131&gt;0),"","0-"),99,0,REPLACE(TEXT(100-$AJ131,0),99,0,"%?    ")),"")))))</f>
        <v/>
      </c>
      <c r="AJ131" s="1833">
        <f>IFERROR(IF(N131="%", SUM(P131,R131,T131,V131,X131,Z131,AB131,AD131,AF131,AH131)/100, SUM(P131,R131,T131,V131,X131,Z131,AB131,AD131,AF131,AH131)/IF(N131="LF", H131,J131)), 0)</f>
        <v>0</v>
      </c>
      <c r="AK131" s="1648"/>
      <c r="AL131" s="1675"/>
      <c r="AM131" s="1399"/>
      <c r="AN131" s="1808"/>
      <c r="AO131" s="1399"/>
      <c r="AP131" s="1653"/>
      <c r="AQ131" s="1399"/>
      <c r="AS131" s="1399"/>
      <c r="AT131" s="1624" t="str">
        <f>IF(AND($C$124="", H131="", J131=""), "N/A", IF(OR(AND(ISNUMBER(H131), ISNUMBER(J131), H131=0, J131=0), AND(AJ131=1, H131&lt;&gt;"", J131&lt;&gt;"", L131&lt;&gt;"", N131&lt;&gt;"", P131&lt;&gt;"", R131&lt;&gt;"", T131&lt;&gt;"", V131&lt;&gt;"", X131&lt;&gt;"", Z131&lt;&gt;"", AB131&lt;&gt;"", AD131&lt;&gt;"", AF131&lt;&gt;"", AH131&lt;&gt;"",AL131&lt;&gt;"", IF(AND(AL131&lt;1, AN131=""), FALSE, TRUE))), "Yes", "No"))</f>
        <v>N/A</v>
      </c>
      <c r="AU131" s="759" t="b">
        <f>IF(AND(H131="",OR(L131&lt;&gt;"",P131&lt;&gt;"",R131&lt;&gt;"",T131&lt;&gt;"",V131&lt;&gt;"",X131&lt;&gt;"",AL131&lt;&gt;"",Z131&lt;&gt;"",AB131&lt;&gt;"",AD131&lt;&gt;"",AF131&lt;&gt;"",AH131&lt;&gt;"")),TRUE,FALSE)</f>
        <v>0</v>
      </c>
      <c r="AV131" s="759" t="b">
        <f>IF(OR(H131="",H131=0),FALSE,IF(H131&gt;BM131,TRUE,FALSE))</f>
        <v>0</v>
      </c>
      <c r="AW131" s="759" t="b">
        <f>IF(AND($C$124&lt;&gt;"",$H131=""),TRUE,FALSE)</f>
        <v>0</v>
      </c>
      <c r="AX131" s="759" t="b">
        <f>IF(E131="yes",FALSE,IF(H131="0",FALSE,IF(AND($C$124&lt;&gt;"",J131=""),TRUE,FALSE)))</f>
        <v>0</v>
      </c>
      <c r="AY131" s="759" t="b">
        <f>IF($L131="",FALSE,IF($L131&lt;$BO131,TRUE,FALSE))</f>
        <v>0</v>
      </c>
      <c r="AZ131" s="759" t="b">
        <f>IF($L131="",FALSE,IF($L131&gt;$BP131,TRUE,FALSE))</f>
        <v>0</v>
      </c>
      <c r="BA131" s="759" t="b">
        <f>IF(H131=0,FALSE,IF(AND(E131&lt;&gt;"",$L131=""),TRUE,FALSE))</f>
        <v>0</v>
      </c>
      <c r="BB131" s="759" t="b">
        <f>IF(AND($AJ131&lt;&gt;0,$H131&lt;&gt;$BJ131,$N131="LF"),TRUE,IF(AND($AJ131&lt;&gt;0,$J131&lt;&gt;$AJ131,$N131="TF"),TRUE,IF(AND($AJ131&lt;&gt;0,$AJ131&lt;&gt;1,$N131="%"),TRUE,FALSE)))</f>
        <v>0</v>
      </c>
      <c r="BC131" s="759" t="b">
        <f>IF(AT131="No", IF(OR(P131="", R131="", T131="", V131="", X131="", Z131="", AB131="", AD131="", AF131="", AH131=""), TRUE, FALSE), FALSE)</f>
        <v>0</v>
      </c>
      <c r="BD131" s="759" t="b">
        <f>IF($BE131=TRUE,FALSE,IF(OR($AL131&lt;0,$AL131&gt;1),TRUE,FALSE))</f>
        <v>0</v>
      </c>
      <c r="BE131" s="759" t="b">
        <f>IF(AND($H131&lt;&gt;0,$AL131=""),TRUE,FALSE)</f>
        <v>0</v>
      </c>
      <c r="BF131" s="759" t="b">
        <f>IF(N131="%",TRUE,FALSE)</f>
        <v>0</v>
      </c>
      <c r="BG131" s="760"/>
      <c r="BH131" s="1678">
        <f>IF($C131="","",VLOOKUP($C131,val_fg_assets,9,FALSE))</f>
        <v>1</v>
      </c>
      <c r="BI131" s="1678" t="str">
        <f>IF(N131="", "", IF(N131="LF", H131, IF(N131="TF", J131, IF(N131="%", 1, ""))))</f>
        <v/>
      </c>
      <c r="BJ131" s="1679">
        <f>P131+R131+T131+V131+X131+Z131+AB131+AD131+AF131+AH131</f>
        <v>0</v>
      </c>
      <c r="BK131" s="1679" t="str">
        <f>IF(BI131="", "", BI131-BJ131)</f>
        <v/>
      </c>
      <c r="BL131" s="1679">
        <f>IF($C131="","",VLOOKUP($C131,val_fg_assets,3,FALSE))</f>
        <v>0</v>
      </c>
      <c r="BM131" s="1679">
        <f>IF($C131="","",VLOOKUP($C131,val_fg_assets,4,FALSE))</f>
        <v>1320000</v>
      </c>
      <c r="BN131" s="1678">
        <f>IF($C131="","",VLOOKUP($C131,val_fg_assets,5,FALSE))</f>
        <v>80</v>
      </c>
      <c r="BO131" s="1678">
        <f>IF($C131="","",VLOOKUP($C131,val_fg_assets,6,FALSE))</f>
        <v>60</v>
      </c>
      <c r="BP131" s="1678">
        <f>IF($C131="","",VLOOKUP($C131,val_fg_assets,7,FALSE))</f>
        <v>100</v>
      </c>
      <c r="BQ131" s="1399"/>
    </row>
    <row r="132" spans="1:69" s="782" customFormat="1" ht="3.95" customHeight="1" x14ac:dyDescent="0.2">
      <c r="A132" s="852"/>
      <c r="B132" s="1790">
        <v>120</v>
      </c>
      <c r="C132" s="851"/>
      <c r="D132" s="1841"/>
      <c r="E132" s="1058"/>
      <c r="F132" s="686"/>
      <c r="G132" s="686"/>
      <c r="H132" s="1906"/>
      <c r="I132" s="1907"/>
      <c r="J132" s="1908"/>
      <c r="K132" s="1907"/>
      <c r="L132" s="1909"/>
      <c r="M132" s="1910"/>
      <c r="N132" s="1911"/>
      <c r="O132" s="1910"/>
      <c r="P132" s="1866"/>
      <c r="Q132" s="1867"/>
      <c r="R132" s="1866"/>
      <c r="S132" s="1867"/>
      <c r="T132" s="1866"/>
      <c r="U132" s="1867"/>
      <c r="V132" s="1866"/>
      <c r="W132" s="1867"/>
      <c r="X132" s="1866"/>
      <c r="Y132" s="1867"/>
      <c r="Z132" s="1867"/>
      <c r="AA132" s="1867"/>
      <c r="AB132" s="1867"/>
      <c r="AC132" s="1867"/>
      <c r="AD132" s="1867"/>
      <c r="AE132" s="1867"/>
      <c r="AF132" s="1867"/>
      <c r="AG132" s="1867"/>
      <c r="AH132" s="1867"/>
      <c r="AI132" s="837"/>
      <c r="AJ132" s="1806"/>
      <c r="AK132" s="841"/>
      <c r="AL132" s="1806"/>
      <c r="AM132" s="1399"/>
      <c r="AN132" s="838"/>
      <c r="AO132" s="1399"/>
      <c r="AP132" s="1399"/>
      <c r="AQ132" s="1399"/>
      <c r="AS132" s="1399"/>
      <c r="AT132" s="1399"/>
      <c r="AU132" s="759"/>
      <c r="AV132" s="759"/>
      <c r="AW132" s="759"/>
      <c r="AX132" s="759"/>
      <c r="AY132" s="759"/>
      <c r="AZ132" s="759"/>
      <c r="BA132" s="759"/>
      <c r="BB132" s="759"/>
      <c r="BC132" s="759"/>
      <c r="BD132" s="759"/>
      <c r="BE132" s="759"/>
      <c r="BF132" s="759"/>
      <c r="BG132" s="760"/>
      <c r="BH132" s="1678"/>
      <c r="BI132" s="1678"/>
      <c r="BJ132" s="1678"/>
      <c r="BK132" s="1678"/>
      <c r="BL132" s="1679"/>
      <c r="BM132" s="1679"/>
      <c r="BN132" s="1678"/>
      <c r="BO132" s="1678"/>
      <c r="BP132" s="1678"/>
      <c r="BQ132" s="1399"/>
    </row>
    <row r="133" spans="1:69" s="782" customFormat="1" ht="3.95" customHeight="1" thickBot="1" x14ac:dyDescent="0.25">
      <c r="A133" s="852"/>
      <c r="B133" s="1790">
        <v>121</v>
      </c>
      <c r="C133" s="1673"/>
      <c r="D133" s="1841"/>
      <c r="E133" s="1057"/>
      <c r="F133" s="764"/>
      <c r="G133" s="764"/>
      <c r="H133" s="1913"/>
      <c r="I133" s="1908"/>
      <c r="J133" s="1908"/>
      <c r="K133" s="1908"/>
      <c r="L133" s="1909"/>
      <c r="M133" s="722"/>
      <c r="N133" s="1912"/>
      <c r="O133" s="722"/>
      <c r="P133" s="1868"/>
      <c r="Q133" s="1869"/>
      <c r="R133" s="1868"/>
      <c r="S133" s="1869"/>
      <c r="T133" s="1868"/>
      <c r="U133" s="1869"/>
      <c r="V133" s="1868"/>
      <c r="W133" s="1869"/>
      <c r="X133" s="1868"/>
      <c r="Y133" s="1869"/>
      <c r="Z133" s="1869"/>
      <c r="AA133" s="1869"/>
      <c r="AB133" s="1869"/>
      <c r="AC133" s="1869"/>
      <c r="AD133" s="1869"/>
      <c r="AE133" s="1869"/>
      <c r="AF133" s="1869"/>
      <c r="AG133" s="1869"/>
      <c r="AH133" s="1869"/>
      <c r="AI133" s="1670"/>
      <c r="AJ133" s="1828"/>
      <c r="AK133" s="724"/>
      <c r="AL133" s="1806"/>
      <c r="AM133" s="1399"/>
      <c r="AN133" s="1258"/>
      <c r="AO133" s="1399"/>
      <c r="AP133" s="1223"/>
      <c r="AQ133" s="1399"/>
      <c r="AS133" s="1399"/>
      <c r="AT133" s="1399"/>
      <c r="AU133" s="759"/>
      <c r="AV133" s="759"/>
      <c r="AW133" s="759"/>
      <c r="AX133" s="759"/>
      <c r="AY133" s="759"/>
      <c r="AZ133" s="759"/>
      <c r="BA133" s="759"/>
      <c r="BB133" s="759"/>
      <c r="BC133" s="759"/>
      <c r="BD133" s="759"/>
      <c r="BE133" s="759"/>
      <c r="BF133" s="759"/>
      <c r="BG133" s="760"/>
      <c r="BH133" s="1678"/>
      <c r="BI133" s="1678"/>
      <c r="BJ133" s="1678"/>
      <c r="BK133" s="1678"/>
      <c r="BL133" s="1679"/>
      <c r="BM133" s="1679"/>
      <c r="BN133" s="1678"/>
      <c r="BO133" s="1678"/>
      <c r="BP133" s="1678"/>
      <c r="BQ133" s="1399"/>
    </row>
    <row r="134" spans="1:69" s="782" customFormat="1" x14ac:dyDescent="0.2">
      <c r="A134" s="852">
        <f>A131+1</f>
        <v>31</v>
      </c>
      <c r="B134" s="1791">
        <v>122</v>
      </c>
      <c r="C134" s="851" t="str">
        <f>Valid!$B$73</f>
        <v>Elevated/Retained Fill</v>
      </c>
      <c r="D134" s="1841"/>
      <c r="E134" s="1245" t="str">
        <f>IF(AT134="N/A","",IF(AT134="N","No","Yes"))</f>
        <v/>
      </c>
      <c r="F134" s="686"/>
      <c r="G134" s="686"/>
      <c r="H134" s="1864"/>
      <c r="I134" s="1904" t="str">
        <f>IF(C124="","",IF(J134&lt;&gt;"","Linear Feet   ","Qty? Enter Zero if N/A  "))</f>
        <v/>
      </c>
      <c r="J134" s="1864"/>
      <c r="K134" s="1904" t="str">
        <f>IF(E134="yes","",IF(C124="","",IF(H134="","Qty? Enter Zero if N/A  ",IF(H134&lt;&gt;"","Track Feet      ",""))))</f>
        <v/>
      </c>
      <c r="L134" s="1864"/>
      <c r="M134" s="1620" t="str">
        <f>IF($H134=0,"",IF($L134="",TEXT(BN134,0)&amp;" Years?    ",""))</f>
        <v/>
      </c>
      <c r="N134" s="1905"/>
      <c r="O134" s="1620"/>
      <c r="P134" s="1864"/>
      <c r="Q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R134" s="1864"/>
      <c r="S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T134" s="1864"/>
      <c r="U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V134" s="1864"/>
      <c r="W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X134" s="1864"/>
      <c r="Y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Z134" s="1864"/>
      <c r="AA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B134" s="1864"/>
      <c r="AC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D134" s="1864"/>
      <c r="AE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F134" s="1864"/>
      <c r="AG134" s="1865"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H134" s="1864"/>
      <c r="AI134" s="904" t="str">
        <f>IF($N134="","",IF(AND($N134="",OR($H134="",$H134=0)),"",IF(AND($N134="LF",$AJ134&lt;$H134),"0 - "&amp;TEXT(($H134-$AJ134)/1000,"0")&amp;"k lin. ft.?    ",IF(AND($N134="TF",$AJ134&lt;$J134),"0 - "&amp;TEXT(($J134-$AJ134)/1000,"0")&amp;"k track ft.?    ",IF(AND($N134="%",$AJ134&lt;1),REPLACE(IF(AND($P134&gt;0,$V134&gt;0,$T134&gt;0,$X134&gt;0,$R134&gt;0,$Z134&gt;0,$AB134&gt;0,$AD134&gt;0,$AF134&gt;0,$AH134&gt;0),"","0-"),99,0,REPLACE(TEXT(100-$AJ134,0),99,0,"%?    ")),"")))))</f>
        <v/>
      </c>
      <c r="AJ134" s="1833">
        <f>IFERROR(IF(N134="%", SUM(P134,R134,T134,V134,X134,Z134,AB134,AD134,AF134,AH134)/100, SUM(P134,R134,T134,V134,X134,Z134,AB134,AD134,AF134,AH134)/IF(N134="LF", H134,J134)), 0)</f>
        <v>0</v>
      </c>
      <c r="AK134" s="1648"/>
      <c r="AL134" s="1675"/>
      <c r="AM134" s="1399"/>
      <c r="AN134" s="1808"/>
      <c r="AO134" s="1399"/>
      <c r="AP134" s="1653"/>
      <c r="AQ134" s="1399"/>
      <c r="AS134" s="1399"/>
      <c r="AT134" s="1624" t="str">
        <f>IF(AND($C$124="", H134="", J134=""), "N/A", IF(OR(AND(ISNUMBER(H134), ISNUMBER(J134), H134=0, J134=0), AND(AJ134=1, H134&lt;&gt;"", J134&lt;&gt;"", L134&lt;&gt;"", N134&lt;&gt;"", P134&lt;&gt;"", R134&lt;&gt;"", T134&lt;&gt;"", V134&lt;&gt;"", X134&lt;&gt;"", Z134&lt;&gt;"", AB134&lt;&gt;"", AD134&lt;&gt;"", AF134&lt;&gt;"", AH134&lt;&gt;"",AL134&lt;&gt;"", IF(AND(AL134&lt;1, AN134=""), FALSE, TRUE))), "Yes", "No"))</f>
        <v>N/A</v>
      </c>
      <c r="AU134" s="759" t="b">
        <f>IF(AND(H134="",OR(L134&lt;&gt;"",P134&lt;&gt;"",R134&lt;&gt;"",T134&lt;&gt;"",V134&lt;&gt;"",X134&lt;&gt;"",AL134&lt;&gt;"",Z134&lt;&gt;"",AB134&lt;&gt;"",AD134&lt;&gt;"",AF134&lt;&gt;"",AH134&lt;&gt;"")),TRUE,FALSE)</f>
        <v>0</v>
      </c>
      <c r="AV134" s="759" t="b">
        <f>IF(OR(H134="",H134=0),FALSE,IF(H134&gt;BM134,TRUE,FALSE))</f>
        <v>0</v>
      </c>
      <c r="AW134" s="759" t="b">
        <f>IF(AND($C$124&lt;&gt;"",$H134=""),TRUE,FALSE)</f>
        <v>0</v>
      </c>
      <c r="AX134" s="759" t="b">
        <f>IF(E134="yes",FALSE,IF(H134="0",FALSE,IF(AND($C$124&lt;&gt;"",J134=""),TRUE,FALSE)))</f>
        <v>0</v>
      </c>
      <c r="AY134" s="759" t="b">
        <f>IF($L134="",FALSE,IF($L134&lt;$BO134,TRUE,FALSE))</f>
        <v>0</v>
      </c>
      <c r="AZ134" s="759" t="b">
        <f>IF($L134="",FALSE,IF($L134&gt;$BP134,TRUE,FALSE))</f>
        <v>0</v>
      </c>
      <c r="BA134" s="759" t="b">
        <f>IF(H134=0,FALSE,IF(AND(E134&lt;&gt;"",$L134=""),TRUE,FALSE))</f>
        <v>0</v>
      </c>
      <c r="BB134" s="759" t="b">
        <f>IF(AND($AJ134&lt;&gt;0,$H134&lt;&gt;$BJ134,$N134="LF"),TRUE,IF(AND($AJ134&lt;&gt;0,$J134&lt;&gt;$AJ134,$N134="TF"),TRUE,IF(AND($AJ134&lt;&gt;0,$AJ134&lt;&gt;1,$N134="%"),TRUE,FALSE)))</f>
        <v>0</v>
      </c>
      <c r="BC134" s="759" t="b">
        <f>IF(AT134="No", IF(OR(P134="", R134="", T134="", V134="", X134="", Z134="", AB134="", AD134="", AF134="", AH134=""), TRUE, FALSE), FALSE)</f>
        <v>0</v>
      </c>
      <c r="BD134" s="759" t="b">
        <f>IF($BE134=TRUE,FALSE,IF(OR($AL134&lt;0,$AL134&gt;1),TRUE,FALSE))</f>
        <v>0</v>
      </c>
      <c r="BE134" s="759" t="b">
        <f>IF(AND($H134&lt;&gt;0,$AL134=""),TRUE,FALSE)</f>
        <v>0</v>
      </c>
      <c r="BF134" s="759" t="b">
        <f>IF(N134="%",TRUE,FALSE)</f>
        <v>0</v>
      </c>
      <c r="BG134" s="760"/>
      <c r="BH134" s="1678">
        <f>IF($C134="","",VLOOKUP($C134,val_fg_assets,9,FALSE))</f>
        <v>1</v>
      </c>
      <c r="BI134" s="1678" t="str">
        <f>IF(N134="", "", IF(N134="LF", H134, IF(N134="TF", J134, IF(N134="%", 1, ""))))</f>
        <v/>
      </c>
      <c r="BJ134" s="1679">
        <f>P134+R134+T134+V134+X134+Z134+AB134+AD134+AF134+AH134</f>
        <v>0</v>
      </c>
      <c r="BK134" s="1679" t="str">
        <f>IF(BI134="", "", BI134-BJ134)</f>
        <v/>
      </c>
      <c r="BL134" s="1679">
        <f>IF($C134="","",VLOOKUP($C134,val_fg_assets,3,FALSE))</f>
        <v>0</v>
      </c>
      <c r="BM134" s="1679">
        <f>IF($C134="","",VLOOKUP($C134,val_fg_assets,4,FALSE))</f>
        <v>1320000</v>
      </c>
      <c r="BN134" s="1678">
        <f>IF($C134="","",VLOOKUP($C134,val_fg_assets,5,FALSE))</f>
        <v>80</v>
      </c>
      <c r="BO134" s="1678">
        <f>IF($C134="","",VLOOKUP($C134,val_fg_assets,6,FALSE))</f>
        <v>60</v>
      </c>
      <c r="BP134" s="1678">
        <f>IF($C134="","",VLOOKUP($C134,val_fg_assets,7,FALSE))</f>
        <v>100</v>
      </c>
      <c r="BQ134" s="1399"/>
    </row>
    <row r="135" spans="1:69" s="782" customFormat="1" ht="3.95" customHeight="1" x14ac:dyDescent="0.2">
      <c r="A135" s="852"/>
      <c r="B135" s="1791">
        <v>123</v>
      </c>
      <c r="C135" s="1673"/>
      <c r="D135" s="1841"/>
      <c r="E135" s="1057"/>
      <c r="F135" s="764"/>
      <c r="G135" s="764"/>
      <c r="H135" s="1909"/>
      <c r="I135" s="1908"/>
      <c r="J135" s="1908"/>
      <c r="K135" s="1908"/>
      <c r="L135" s="1909"/>
      <c r="M135" s="1910"/>
      <c r="N135" s="1911"/>
      <c r="O135" s="1910"/>
      <c r="P135" s="1866"/>
      <c r="Q135" s="1867"/>
      <c r="R135" s="1866"/>
      <c r="S135" s="1867"/>
      <c r="T135" s="1866"/>
      <c r="U135" s="1867"/>
      <c r="V135" s="1866"/>
      <c r="W135" s="1867"/>
      <c r="X135" s="1866"/>
      <c r="Y135" s="1867"/>
      <c r="Z135" s="1867"/>
      <c r="AA135" s="1867"/>
      <c r="AB135" s="1867"/>
      <c r="AC135" s="1867"/>
      <c r="AD135" s="1867"/>
      <c r="AE135" s="1867"/>
      <c r="AF135" s="1867"/>
      <c r="AG135" s="1867"/>
      <c r="AH135" s="1867"/>
      <c r="AI135" s="837"/>
      <c r="AJ135" s="1806"/>
      <c r="AK135" s="841"/>
      <c r="AL135" s="1806"/>
      <c r="AM135" s="1399"/>
      <c r="AN135" s="838"/>
      <c r="AO135" s="1399"/>
      <c r="AP135" s="1399"/>
      <c r="AQ135" s="1399"/>
      <c r="AS135" s="1399"/>
      <c r="AT135" s="1399"/>
      <c r="AU135" s="759"/>
      <c r="AV135" s="759"/>
      <c r="AW135" s="759"/>
      <c r="AX135" s="759"/>
      <c r="AY135" s="759"/>
      <c r="AZ135" s="759"/>
      <c r="BA135" s="759"/>
      <c r="BB135" s="759"/>
      <c r="BC135" s="759"/>
      <c r="BD135" s="759"/>
      <c r="BE135" s="759"/>
      <c r="BF135" s="759"/>
      <c r="BG135" s="760"/>
      <c r="BH135" s="1678"/>
      <c r="BI135" s="1678"/>
      <c r="BJ135" s="1678"/>
      <c r="BK135" s="1678"/>
      <c r="BL135" s="1679"/>
      <c r="BM135" s="1679"/>
      <c r="BN135" s="1678"/>
      <c r="BO135" s="1678"/>
      <c r="BP135" s="1678"/>
      <c r="BQ135" s="1399"/>
    </row>
    <row r="136" spans="1:69" s="782" customFormat="1" ht="3.95" customHeight="1" thickBot="1" x14ac:dyDescent="0.25">
      <c r="A136" s="852"/>
      <c r="B136" s="1791">
        <v>124</v>
      </c>
      <c r="C136" s="851"/>
      <c r="D136" s="1841"/>
      <c r="E136" s="1058"/>
      <c r="F136" s="686"/>
      <c r="G136" s="686"/>
      <c r="H136" s="1913"/>
      <c r="I136" s="1908"/>
      <c r="J136" s="1908"/>
      <c r="K136" s="1908"/>
      <c r="L136" s="1909"/>
      <c r="M136" s="722"/>
      <c r="N136" s="1912"/>
      <c r="O136" s="722"/>
      <c r="P136" s="1868"/>
      <c r="Q136" s="1869"/>
      <c r="R136" s="1868"/>
      <c r="S136" s="1869"/>
      <c r="T136" s="1868"/>
      <c r="U136" s="1869"/>
      <c r="V136" s="1868"/>
      <c r="W136" s="1869"/>
      <c r="X136" s="1868"/>
      <c r="Y136" s="1869"/>
      <c r="Z136" s="1869"/>
      <c r="AA136" s="1869"/>
      <c r="AB136" s="1869"/>
      <c r="AC136" s="1869"/>
      <c r="AD136" s="1869"/>
      <c r="AE136" s="1869"/>
      <c r="AF136" s="1869"/>
      <c r="AG136" s="1869"/>
      <c r="AH136" s="1869"/>
      <c r="AI136" s="1670"/>
      <c r="AJ136" s="1828"/>
      <c r="AK136" s="724"/>
      <c r="AL136" s="1806"/>
      <c r="AM136" s="1399"/>
      <c r="AN136" s="1258"/>
      <c r="AO136" s="1399"/>
      <c r="AP136" s="1399"/>
      <c r="AQ136" s="1399"/>
      <c r="AS136" s="1399"/>
      <c r="AT136" s="1399"/>
      <c r="AU136" s="759"/>
      <c r="AV136" s="759"/>
      <c r="AW136" s="759"/>
      <c r="AX136" s="759"/>
      <c r="AY136" s="759"/>
      <c r="AZ136" s="759"/>
      <c r="BA136" s="759"/>
      <c r="BB136" s="759"/>
      <c r="BC136" s="759"/>
      <c r="BD136" s="759"/>
      <c r="BE136" s="759"/>
      <c r="BF136" s="759"/>
      <c r="BG136" s="760"/>
      <c r="BH136" s="1678"/>
      <c r="BI136" s="1678"/>
      <c r="BJ136" s="1678"/>
      <c r="BK136" s="1678"/>
      <c r="BL136" s="1679"/>
      <c r="BM136" s="1679"/>
      <c r="BN136" s="1678"/>
      <c r="BO136" s="1678"/>
      <c r="BP136" s="1678"/>
      <c r="BQ136" s="1399"/>
    </row>
    <row r="137" spans="1:69" s="782" customFormat="1" x14ac:dyDescent="0.2">
      <c r="A137" s="852">
        <f>A134+1</f>
        <v>32</v>
      </c>
      <c r="B137" s="1790">
        <v>125</v>
      </c>
      <c r="C137" s="851" t="str">
        <f>Valid!$B$74</f>
        <v>Elevated/Concrete</v>
      </c>
      <c r="D137" s="1841"/>
      <c r="E137" s="1245" t="str">
        <f>IF(AT137="N/A","",IF(AT137="N","No","Yes"))</f>
        <v/>
      </c>
      <c r="F137" s="764"/>
      <c r="G137" s="764"/>
      <c r="H137" s="1864"/>
      <c r="I137" s="1904" t="str">
        <f>IF(C124="","",IF(J137&lt;&gt;"","Linear Feet   ","Qty? Enter Zero if N/A  "))</f>
        <v/>
      </c>
      <c r="J137" s="1864"/>
      <c r="K137" s="1904" t="str">
        <f>IF(E137="yes","",IF(C124="","",IF(H137="","Qty? Enter Zero if N/A  ",IF(H137&lt;&gt;"","Track Feet      ",""))))</f>
        <v/>
      </c>
      <c r="L137" s="1864"/>
      <c r="M137" s="1620" t="str">
        <f>IF($H137=0,"",IF($L137="",TEXT(BN137,0)&amp;" Years?    ",""))</f>
        <v/>
      </c>
      <c r="N137" s="1905"/>
      <c r="O137" s="1620"/>
      <c r="P137" s="1864"/>
      <c r="Q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R137" s="1864"/>
      <c r="S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T137" s="1864"/>
      <c r="U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V137" s="1864"/>
      <c r="W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X137" s="1864"/>
      <c r="Y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Z137" s="1864"/>
      <c r="AA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B137" s="1864"/>
      <c r="AC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D137" s="1864"/>
      <c r="AE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F137" s="1864"/>
      <c r="AG137" s="1865"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H137" s="1864"/>
      <c r="AI137" s="904" t="str">
        <f>IF($N137="","",IF(AND($N137="",OR($H137="",$H137=0)),"",IF(AND($N137="LF",$AJ137&lt;$H137),"0 - "&amp;TEXT(($H137-$AJ137)/1000,"0")&amp;"k lin. ft.?    ",IF(AND($N137="TF",$AJ137&lt;$J137),"0 - "&amp;TEXT(($J137-$AJ137)/1000,"0")&amp;"k track ft.?    ",IF(AND($N137="%",$AJ137&lt;1),REPLACE(IF(AND($P137&gt;0,$V137&gt;0,$T137&gt;0,$X137&gt;0,$R137&gt;0,$Z137&gt;0,$AB137&gt;0,$AD137&gt;0,$AF137&gt;0,$AH137&gt;0),"","0-"),99,0,REPLACE(TEXT(100-$AJ137,0),99,0,"%?    ")),"")))))</f>
        <v/>
      </c>
      <c r="AJ137" s="1833">
        <f>IFERROR(IF(N137="%", SUM(P137,R137,T137,V137,X137,Z137,AB137,AD137,AF137,AH137)/100, SUM(P137,R137,T137,V137,X137,Z137,AB137,AD137,AF137,AH137)/IF(N137="LF", H137,J137)), 0)</f>
        <v>0</v>
      </c>
      <c r="AK137" s="1648"/>
      <c r="AL137" s="1675"/>
      <c r="AM137" s="1399"/>
      <c r="AN137" s="1808"/>
      <c r="AO137" s="1399"/>
      <c r="AP137" s="1653"/>
      <c r="AQ137" s="1399"/>
      <c r="AS137" s="1399"/>
      <c r="AT137" s="1624" t="str">
        <f>IF(AND($C$124="", H137="", J137=""), "N/A", IF(OR(AND(ISNUMBER(H137), ISNUMBER(J137), H137=0, J137=0), AND(AJ137=1, H137&lt;&gt;"", J137&lt;&gt;"", L137&lt;&gt;"", N137&lt;&gt;"", P137&lt;&gt;"", R137&lt;&gt;"", T137&lt;&gt;"", V137&lt;&gt;"", X137&lt;&gt;"", Z137&lt;&gt;"", AB137&lt;&gt;"", AD137&lt;&gt;"", AF137&lt;&gt;"", AH137&lt;&gt;"",AL137&lt;&gt;"", IF(AND(AL137&lt;1, AN137=""), FALSE, TRUE))), "Yes", "No"))</f>
        <v>N/A</v>
      </c>
      <c r="AU137" s="759" t="b">
        <f>IF(AND(H137="",OR(L137&lt;&gt;"",P137&lt;&gt;"",R137&lt;&gt;"",T137&lt;&gt;"",V137&lt;&gt;"",X137&lt;&gt;"",AL137&lt;&gt;"",Z137&lt;&gt;"",AB137&lt;&gt;"",AD137&lt;&gt;"",AF137&lt;&gt;"",AH137&lt;&gt;"")),TRUE,FALSE)</f>
        <v>0</v>
      </c>
      <c r="AV137" s="759" t="b">
        <f>IF(OR(H137="",H137=0),FALSE,IF(H137&gt;BM137,TRUE,FALSE))</f>
        <v>0</v>
      </c>
      <c r="AW137" s="759" t="b">
        <f>IF(AND($C$124&lt;&gt;"",$H137=""),TRUE,FALSE)</f>
        <v>0</v>
      </c>
      <c r="AX137" s="759" t="b">
        <f>IF(E137="yes",FALSE,IF(H137="0",FALSE,IF(AND($C$124&lt;&gt;"",J137=""),TRUE,FALSE)))</f>
        <v>0</v>
      </c>
      <c r="AY137" s="759" t="b">
        <f>IF($L137="",FALSE,IF($L137&lt;$BO137,TRUE,FALSE))</f>
        <v>0</v>
      </c>
      <c r="AZ137" s="759" t="b">
        <f>IF($L137="",FALSE,IF($L137&gt;$BP137,TRUE,FALSE))</f>
        <v>0</v>
      </c>
      <c r="BA137" s="759" t="b">
        <f>IF(H137=0,FALSE,IF(AND(E137&lt;&gt;"",$L137=""),TRUE,FALSE))</f>
        <v>0</v>
      </c>
      <c r="BB137" s="759" t="b">
        <f>IF(AND($AJ137&lt;&gt;0,$H137&lt;&gt;$BJ137,$N137="LF"),TRUE,IF(AND($AJ137&lt;&gt;0,$J137&lt;&gt;$AJ137,$N137="TF"),TRUE,IF(AND($AJ137&lt;&gt;0,$AJ137&lt;&gt;1,$N137="%"),TRUE,FALSE)))</f>
        <v>0</v>
      </c>
      <c r="BC137" s="759" t="b">
        <f>IF(AT137="No", IF(OR(P137="", R137="", T137="", V137="", X137="", Z137="", AB137="", AD137="", AF137="", AH137=""), TRUE, FALSE), FALSE)</f>
        <v>0</v>
      </c>
      <c r="BD137" s="759" t="b">
        <f>IF($BE137=TRUE,FALSE,IF(OR($AL137&lt;0,$AL137&gt;1),TRUE,FALSE))</f>
        <v>0</v>
      </c>
      <c r="BE137" s="759" t="b">
        <f>IF(AND($H137&lt;&gt;0,$AL137=""),TRUE,FALSE)</f>
        <v>0</v>
      </c>
      <c r="BF137" s="759" t="b">
        <f>IF(N137="%",TRUE,FALSE)</f>
        <v>0</v>
      </c>
      <c r="BG137" s="760"/>
      <c r="BH137" s="1678">
        <f>IF($C137="","",VLOOKUP($C137,val_fg_assets,9,FALSE))</f>
        <v>1</v>
      </c>
      <c r="BI137" s="1678" t="str">
        <f>IF(N137="", "", IF(N137="LF", H137, IF(N137="TF", J137, IF(N137="%", 1, ""))))</f>
        <v/>
      </c>
      <c r="BJ137" s="1679">
        <f>P137+R137+T137+V137+X137+Z137+AB137+AD137+AF137+AH137</f>
        <v>0</v>
      </c>
      <c r="BK137" s="1679" t="str">
        <f>IF(BI137="", "", BI137-BJ137)</f>
        <v/>
      </c>
      <c r="BL137" s="1679">
        <f>IF($C137="","",VLOOKUP($C137,val_fg_assets,3,FALSE))</f>
        <v>0</v>
      </c>
      <c r="BM137" s="1679">
        <f>IF($C137="","",VLOOKUP($C137,val_fg_assets,4,FALSE))</f>
        <v>1320000</v>
      </c>
      <c r="BN137" s="1678">
        <f>IF($C137="","",VLOOKUP($C137,val_fg_assets,5,FALSE))</f>
        <v>80</v>
      </c>
      <c r="BO137" s="1678">
        <f>IF($C137="","",VLOOKUP($C137,val_fg_assets,6,FALSE))</f>
        <v>60</v>
      </c>
      <c r="BP137" s="1678">
        <f>IF($C137="","",VLOOKUP($C137,val_fg_assets,7,FALSE))</f>
        <v>100</v>
      </c>
      <c r="BQ137" s="1399"/>
    </row>
    <row r="138" spans="1:69" s="782" customFormat="1" ht="3.95" customHeight="1" x14ac:dyDescent="0.2">
      <c r="A138" s="852"/>
      <c r="B138" s="1790">
        <v>126</v>
      </c>
      <c r="C138" s="851"/>
      <c r="D138" s="1841"/>
      <c r="E138" s="1058"/>
      <c r="F138" s="686"/>
      <c r="G138" s="686"/>
      <c r="H138" s="1909"/>
      <c r="I138" s="1907"/>
      <c r="J138" s="1908"/>
      <c r="K138" s="1907"/>
      <c r="L138" s="1909"/>
      <c r="M138" s="1910"/>
      <c r="N138" s="1911"/>
      <c r="O138" s="1910"/>
      <c r="P138" s="1866"/>
      <c r="Q138" s="1867"/>
      <c r="R138" s="1866"/>
      <c r="S138" s="1867"/>
      <c r="T138" s="1866"/>
      <c r="U138" s="1867"/>
      <c r="V138" s="1866"/>
      <c r="W138" s="1867"/>
      <c r="X138" s="1866"/>
      <c r="Y138" s="1867"/>
      <c r="Z138" s="1867"/>
      <c r="AA138" s="1867"/>
      <c r="AB138" s="1867"/>
      <c r="AC138" s="1867"/>
      <c r="AD138" s="1867"/>
      <c r="AE138" s="1867"/>
      <c r="AF138" s="1867"/>
      <c r="AG138" s="1867"/>
      <c r="AH138" s="1867"/>
      <c r="AI138" s="837"/>
      <c r="AJ138" s="1806"/>
      <c r="AK138" s="841"/>
      <c r="AL138" s="1806"/>
      <c r="AM138" s="1399"/>
      <c r="AN138" s="838"/>
      <c r="AO138" s="1399"/>
      <c r="AP138" s="1223"/>
      <c r="AQ138" s="1399"/>
      <c r="AS138" s="1399"/>
      <c r="AT138" s="1399"/>
      <c r="AU138" s="759"/>
      <c r="AV138" s="759"/>
      <c r="AW138" s="759"/>
      <c r="AX138" s="759"/>
      <c r="AY138" s="759"/>
      <c r="AZ138" s="759"/>
      <c r="BA138" s="759"/>
      <c r="BB138" s="759"/>
      <c r="BC138" s="759"/>
      <c r="BD138" s="759"/>
      <c r="BE138" s="759"/>
      <c r="BF138" s="759"/>
      <c r="BG138" s="760"/>
      <c r="BH138" s="1678"/>
      <c r="BI138" s="1678"/>
      <c r="BJ138" s="1678"/>
      <c r="BK138" s="1678"/>
      <c r="BL138" s="1679"/>
      <c r="BM138" s="1679"/>
      <c r="BN138" s="1678"/>
      <c r="BO138" s="1678"/>
      <c r="BP138" s="1678"/>
      <c r="BQ138" s="1399"/>
    </row>
    <row r="139" spans="1:69" s="782" customFormat="1" ht="3.95" customHeight="1" thickBot="1" x14ac:dyDescent="0.25">
      <c r="A139" s="852"/>
      <c r="B139" s="1791">
        <v>127</v>
      </c>
      <c r="C139" s="1673"/>
      <c r="D139" s="1841"/>
      <c r="E139" s="1057"/>
      <c r="F139" s="764"/>
      <c r="G139" s="764"/>
      <c r="H139" s="1913"/>
      <c r="I139" s="1908"/>
      <c r="J139" s="1908"/>
      <c r="K139" s="1908"/>
      <c r="L139" s="1909"/>
      <c r="M139" s="722"/>
      <c r="N139" s="1912"/>
      <c r="O139" s="722"/>
      <c r="P139" s="1868"/>
      <c r="Q139" s="1869"/>
      <c r="R139" s="1868"/>
      <c r="S139" s="1869"/>
      <c r="T139" s="1868"/>
      <c r="U139" s="1869"/>
      <c r="V139" s="1868"/>
      <c r="W139" s="1869"/>
      <c r="X139" s="1868"/>
      <c r="Y139" s="1869"/>
      <c r="Z139" s="1869"/>
      <c r="AA139" s="1869"/>
      <c r="AB139" s="1869"/>
      <c r="AC139" s="1869"/>
      <c r="AD139" s="1869"/>
      <c r="AE139" s="1869"/>
      <c r="AF139" s="1869"/>
      <c r="AG139" s="1869"/>
      <c r="AH139" s="1869"/>
      <c r="AI139" s="1670"/>
      <c r="AJ139" s="1828"/>
      <c r="AK139" s="724"/>
      <c r="AL139" s="1806"/>
      <c r="AM139" s="1399"/>
      <c r="AN139" s="1258"/>
      <c r="AO139" s="1399"/>
      <c r="AP139" s="1399"/>
      <c r="AQ139" s="1399"/>
      <c r="AS139" s="1399"/>
      <c r="AT139" s="1399"/>
      <c r="AU139" s="759"/>
      <c r="AV139" s="759"/>
      <c r="AW139" s="759"/>
      <c r="AX139" s="759"/>
      <c r="AY139" s="759"/>
      <c r="AZ139" s="759"/>
      <c r="BA139" s="759"/>
      <c r="BB139" s="759"/>
      <c r="BC139" s="759"/>
      <c r="BD139" s="759"/>
      <c r="BE139" s="759"/>
      <c r="BF139" s="759"/>
      <c r="BG139" s="760"/>
      <c r="BH139" s="1678"/>
      <c r="BI139" s="1678"/>
      <c r="BJ139" s="1678"/>
      <c r="BK139" s="1678"/>
      <c r="BL139" s="1679"/>
      <c r="BM139" s="1679"/>
      <c r="BN139" s="1678"/>
      <c r="BO139" s="1678"/>
      <c r="BP139" s="1678"/>
      <c r="BQ139" s="1399"/>
    </row>
    <row r="140" spans="1:69" s="782" customFormat="1" x14ac:dyDescent="0.2">
      <c r="A140" s="852">
        <f>A137+1</f>
        <v>33</v>
      </c>
      <c r="B140" s="1791">
        <v>128</v>
      </c>
      <c r="C140" s="851" t="str">
        <f>Valid!$B$75</f>
        <v>Elevated/Steel Viaduct or Bridge</v>
      </c>
      <c r="D140" s="1841"/>
      <c r="E140" s="1245" t="str">
        <f>IF(AT140="N/A","",IF(AT140="N","No","Yes"))</f>
        <v/>
      </c>
      <c r="F140" s="686"/>
      <c r="G140" s="686"/>
      <c r="H140" s="1864"/>
      <c r="I140" s="1904" t="str">
        <f>IF(C124="","",IF(J140&lt;&gt;"","Linear Feet   ","Qty? Enter Zero if N/A  "))</f>
        <v/>
      </c>
      <c r="J140" s="1864"/>
      <c r="K140" s="1904" t="str">
        <f>IF(E140="yes","",IF(C124="","",IF(H140="","Qty? Enter Zero if N/A  ",IF(H140&lt;&gt;"","Track Feet      ",""))))</f>
        <v/>
      </c>
      <c r="L140" s="1864"/>
      <c r="M140" s="1620" t="str">
        <f>IF($H140=0,"",IF($L140="",TEXT(BN140,0)&amp;" Years?    ",""))</f>
        <v/>
      </c>
      <c r="N140" s="1905"/>
      <c r="O140" s="1620"/>
      <c r="P140" s="1864"/>
      <c r="Q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R140" s="1864"/>
      <c r="S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T140" s="1864"/>
      <c r="U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V140" s="1864"/>
      <c r="W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X140" s="1864"/>
      <c r="Y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Z140" s="1864"/>
      <c r="AA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B140" s="1864"/>
      <c r="AC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D140" s="1864"/>
      <c r="AE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F140" s="1864"/>
      <c r="AG140" s="1865"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H140" s="1864"/>
      <c r="AI140" s="904" t="str">
        <f>IF($N140="","",IF(AND($N140="",OR($H140="",$H140=0)),"",IF(AND($N140="LF",$AJ140&lt;$H140),"0 - "&amp;TEXT(($H140-$AJ140)/1000,"0")&amp;"k lin. ft.?    ",IF(AND($N140="TF",$AJ140&lt;$J140),"0 - "&amp;TEXT(($J140-$AJ140)/1000,"0")&amp;"k track ft.?    ",IF(AND($N140="%",$AJ140&lt;1),REPLACE(IF(AND($P140&gt;0,$V140&gt;0,$T140&gt;0,$X140&gt;0,$R140&gt;0,$Z140&gt;0,$AB140&gt;0,$AD140&gt;0,$AF140&gt;0,$AH140&gt;0),"","0-"),99,0,REPLACE(TEXT(100-$AJ140,0),99,0,"%?    ")),"")))))</f>
        <v/>
      </c>
      <c r="AJ140" s="1833">
        <f>IFERROR(IF(N140="%", SUM(P140,R140,T140,V140,X140,Z140,AB140,AD140,AF140,AH140)/100, SUM(P140,R140,T140,V140,X140,Z140,AB140,AD140,AF140,AH140)/IF(N140="LF", H140,J140)), 0)</f>
        <v>0</v>
      </c>
      <c r="AK140" s="1648"/>
      <c r="AL140" s="1675"/>
      <c r="AM140" s="1399"/>
      <c r="AN140" s="1808"/>
      <c r="AO140" s="1399"/>
      <c r="AP140" s="1653"/>
      <c r="AQ140" s="1399"/>
      <c r="AS140" s="1399"/>
      <c r="AT140" s="1624" t="str">
        <f>IF(AND($C$124="", H140="", J140=""), "N/A", IF(OR(AND(ISNUMBER(H140), ISNUMBER(J140), H140=0, J140=0), AND(AJ140=1, H140&lt;&gt;"", J140&lt;&gt;"", L140&lt;&gt;"", N140&lt;&gt;"", P140&lt;&gt;"", R140&lt;&gt;"", T140&lt;&gt;"", V140&lt;&gt;"", X140&lt;&gt;"", Z140&lt;&gt;"", AB140&lt;&gt;"", AD140&lt;&gt;"", AF140&lt;&gt;"", AH140&lt;&gt;"",AL140&lt;&gt;"", IF(AND(AL140&lt;1, AN140=""), FALSE, TRUE))), "Yes", "No"))</f>
        <v>N/A</v>
      </c>
      <c r="AU140" s="759" t="b">
        <f>IF(AND(H140="",OR(L140&lt;&gt;"",P140&lt;&gt;"",R140&lt;&gt;"",T140&lt;&gt;"",V140&lt;&gt;"",X140&lt;&gt;"",AL140&lt;&gt;"",Z140&lt;&gt;"",AB140&lt;&gt;"",AD140&lt;&gt;"",AF140&lt;&gt;"",AH140&lt;&gt;"")),TRUE,FALSE)</f>
        <v>0</v>
      </c>
      <c r="AV140" s="759" t="b">
        <f>IF(OR(H140="",H140=0),FALSE,IF(H140&gt;BM140,TRUE,FALSE))</f>
        <v>0</v>
      </c>
      <c r="AW140" s="759" t="b">
        <f>IF(AND($C$124&lt;&gt;"",$H140=""),TRUE,FALSE)</f>
        <v>0</v>
      </c>
      <c r="AX140" s="759" t="b">
        <f>IF(E140="yes",FALSE,IF(H140="0",FALSE,IF(AND($C$124&lt;&gt;"",J140=""),TRUE,FALSE)))</f>
        <v>0</v>
      </c>
      <c r="AY140" s="759" t="b">
        <f>IF($L140="",FALSE,IF($L140&lt;$BO140,TRUE,FALSE))</f>
        <v>0</v>
      </c>
      <c r="AZ140" s="759" t="b">
        <f>IF($L140="",FALSE,IF($L140&gt;$BP140,TRUE,FALSE))</f>
        <v>0</v>
      </c>
      <c r="BA140" s="759" t="b">
        <f>IF(H140=0,FALSE,IF(AND(E140&lt;&gt;"",$L140=""),TRUE,FALSE))</f>
        <v>0</v>
      </c>
      <c r="BB140" s="759" t="b">
        <f>IF(AND($AJ140&lt;&gt;0,$H140&lt;&gt;$BJ140,$N140="LF"),TRUE,IF(AND($AJ140&lt;&gt;0,$J140&lt;&gt;$AJ140,$N140="TF"),TRUE,IF(AND($AJ140&lt;&gt;0,$AJ140&lt;&gt;1,$N140="%"),TRUE,FALSE)))</f>
        <v>0</v>
      </c>
      <c r="BC140" s="759" t="b">
        <f>IF(AT140="No", IF(OR(P140="", R140="", T140="", V140="", X140="", Z140="", AB140="", AD140="", AF140="", AH140=""), TRUE, FALSE), FALSE)</f>
        <v>0</v>
      </c>
      <c r="BD140" s="759" t="b">
        <f>IF($BE140=TRUE,FALSE,IF(OR($AL140&lt;0,$AL140&gt;1),TRUE,FALSE))</f>
        <v>0</v>
      </c>
      <c r="BE140" s="759" t="b">
        <f>IF(AND($H140&lt;&gt;0,$AL140=""),TRUE,FALSE)</f>
        <v>0</v>
      </c>
      <c r="BF140" s="759" t="b">
        <f>IF(N140="%",TRUE,FALSE)</f>
        <v>0</v>
      </c>
      <c r="BG140" s="760"/>
      <c r="BH140" s="1678">
        <f>IF($C140="","",VLOOKUP($C140,val_fg_assets,9,FALSE))</f>
        <v>1</v>
      </c>
      <c r="BI140" s="1678" t="str">
        <f>IF(N140="", "", IF(N140="LF", H140, IF(N140="TF", J140, IF(N140="%", 1, ""))))</f>
        <v/>
      </c>
      <c r="BJ140" s="1679">
        <f>P140+R140+T140+V140+X140+Z140+AB140+AD140+AF140+AH140</f>
        <v>0</v>
      </c>
      <c r="BK140" s="1679" t="str">
        <f>IF(BI140="", "", BI140-BJ140)</f>
        <v/>
      </c>
      <c r="BL140" s="1679">
        <f>IF($C140="","",VLOOKUP($C140,val_fg_assets,3,FALSE))</f>
        <v>0</v>
      </c>
      <c r="BM140" s="1679">
        <f>IF($C140="","",VLOOKUP($C140,val_fg_assets,4,FALSE))</f>
        <v>1320000</v>
      </c>
      <c r="BN140" s="1678">
        <f>IF($C140="","",VLOOKUP($C140,val_fg_assets,5,FALSE))</f>
        <v>80</v>
      </c>
      <c r="BO140" s="1678">
        <f>IF($C140="","",VLOOKUP($C140,val_fg_assets,6,FALSE))</f>
        <v>60</v>
      </c>
      <c r="BP140" s="1678">
        <f>IF($C140="","",VLOOKUP($C140,val_fg_assets,7,FALSE))</f>
        <v>100</v>
      </c>
      <c r="BQ140" s="1399"/>
    </row>
    <row r="141" spans="1:69" s="782" customFormat="1" ht="3.95" customHeight="1" x14ac:dyDescent="0.2">
      <c r="A141" s="852"/>
      <c r="B141" s="1791">
        <v>129</v>
      </c>
      <c r="C141" s="1674"/>
      <c r="D141" s="1841"/>
      <c r="E141" s="1057"/>
      <c r="F141" s="764"/>
      <c r="G141" s="686">
        <v>7</v>
      </c>
      <c r="H141" s="1906"/>
      <c r="I141" s="1907"/>
      <c r="J141" s="1908"/>
      <c r="K141" s="1907"/>
      <c r="L141" s="1909"/>
      <c r="M141" s="1910"/>
      <c r="N141" s="1911"/>
      <c r="O141" s="1910"/>
      <c r="P141" s="1866"/>
      <c r="Q141" s="1867"/>
      <c r="R141" s="1866"/>
      <c r="S141" s="1867"/>
      <c r="T141" s="1866"/>
      <c r="U141" s="1867"/>
      <c r="V141" s="1866"/>
      <c r="W141" s="1867"/>
      <c r="X141" s="1866"/>
      <c r="Y141" s="1867"/>
      <c r="Z141" s="1867"/>
      <c r="AA141" s="1867"/>
      <c r="AB141" s="1867"/>
      <c r="AC141" s="1867"/>
      <c r="AD141" s="1867"/>
      <c r="AE141" s="1867"/>
      <c r="AF141" s="1867"/>
      <c r="AG141" s="1867"/>
      <c r="AH141" s="1867"/>
      <c r="AI141" s="837"/>
      <c r="AJ141" s="1806"/>
      <c r="AK141" s="841"/>
      <c r="AL141" s="1806"/>
      <c r="AM141" s="1399"/>
      <c r="AN141" s="838"/>
      <c r="AO141" s="1399"/>
      <c r="AP141" s="1399"/>
      <c r="AQ141" s="1399"/>
      <c r="AS141" s="1399"/>
      <c r="AT141" s="1399"/>
      <c r="AU141" s="759"/>
      <c r="AV141" s="759"/>
      <c r="AW141" s="759"/>
      <c r="AX141" s="759"/>
      <c r="AY141" s="759"/>
      <c r="AZ141" s="759"/>
      <c r="BA141" s="759"/>
      <c r="BB141" s="759"/>
      <c r="BC141" s="759"/>
      <c r="BD141" s="759"/>
      <c r="BE141" s="759"/>
      <c r="BF141" s="759"/>
      <c r="BG141" s="760"/>
      <c r="BH141" s="1678"/>
      <c r="BI141" s="1678"/>
      <c r="BJ141" s="1678"/>
      <c r="BK141" s="1678"/>
      <c r="BL141" s="1679"/>
      <c r="BM141" s="1679"/>
      <c r="BN141" s="1678"/>
      <c r="BO141" s="1678"/>
      <c r="BP141" s="1678"/>
      <c r="BQ141" s="1399"/>
    </row>
    <row r="142" spans="1:69" s="782" customFormat="1" ht="3.95" customHeight="1" thickBot="1" x14ac:dyDescent="0.25">
      <c r="A142" s="852"/>
      <c r="B142" s="1790">
        <v>130</v>
      </c>
      <c r="C142" s="1674"/>
      <c r="D142" s="1841"/>
      <c r="E142" s="1057"/>
      <c r="F142" s="764"/>
      <c r="G142" s="764">
        <v>8</v>
      </c>
      <c r="H142" s="1906"/>
      <c r="I142" s="1907"/>
      <c r="J142" s="1908"/>
      <c r="K142" s="1907"/>
      <c r="L142" s="1909"/>
      <c r="M142" s="722"/>
      <c r="N142" s="1912"/>
      <c r="O142" s="722"/>
      <c r="P142" s="1868"/>
      <c r="Q142" s="1869"/>
      <c r="R142" s="1868"/>
      <c r="S142" s="1869"/>
      <c r="T142" s="1868"/>
      <c r="U142" s="1869"/>
      <c r="V142" s="1868"/>
      <c r="W142" s="1869"/>
      <c r="X142" s="1868"/>
      <c r="Y142" s="1869"/>
      <c r="Z142" s="1869"/>
      <c r="AA142" s="1869"/>
      <c r="AB142" s="1869"/>
      <c r="AC142" s="1869"/>
      <c r="AD142" s="1869"/>
      <c r="AE142" s="1869"/>
      <c r="AF142" s="1869"/>
      <c r="AG142" s="1869"/>
      <c r="AH142" s="1869"/>
      <c r="AI142" s="1670"/>
      <c r="AJ142" s="1828"/>
      <c r="AK142" s="724"/>
      <c r="AL142" s="1806"/>
      <c r="AM142" s="1399"/>
      <c r="AN142" s="1258"/>
      <c r="AO142" s="1399"/>
      <c r="AP142" s="1223"/>
      <c r="AQ142" s="1399"/>
      <c r="AS142" s="1399"/>
      <c r="AT142" s="1399"/>
      <c r="AU142" s="759"/>
      <c r="AV142" s="759"/>
      <c r="AW142" s="759"/>
      <c r="AX142" s="759"/>
      <c r="AY142" s="759"/>
      <c r="AZ142" s="759"/>
      <c r="BA142" s="759"/>
      <c r="BB142" s="759"/>
      <c r="BC142" s="759"/>
      <c r="BD142" s="759"/>
      <c r="BE142" s="759"/>
      <c r="BF142" s="759"/>
      <c r="BG142" s="760"/>
      <c r="BH142" s="1678"/>
      <c r="BI142" s="1678"/>
      <c r="BJ142" s="1678"/>
      <c r="BK142" s="1678"/>
      <c r="BL142" s="1679"/>
      <c r="BM142" s="1679"/>
      <c r="BN142" s="1678"/>
      <c r="BO142" s="1678"/>
      <c r="BP142" s="1678"/>
      <c r="BQ142" s="1399"/>
    </row>
    <row r="143" spans="1:69" s="782" customFormat="1" x14ac:dyDescent="0.2">
      <c r="A143" s="852">
        <f>A140+1</f>
        <v>34</v>
      </c>
      <c r="B143" s="1790">
        <v>131</v>
      </c>
      <c r="C143" s="851" t="str">
        <f>Valid!$B$76</f>
        <v>Below-Grade/Retained Cut</v>
      </c>
      <c r="D143" s="1841"/>
      <c r="E143" s="1245" t="str">
        <f>IF(AT143="N/A","",IF(AT143="N","No","Yes"))</f>
        <v/>
      </c>
      <c r="F143" s="686"/>
      <c r="G143" s="686"/>
      <c r="H143" s="1864"/>
      <c r="I143" s="1904" t="str">
        <f>IF(C124="","",IF(J143&lt;&gt;"","Linear Feet   ","Qty? Enter Zero if N/A  "))</f>
        <v/>
      </c>
      <c r="J143" s="1864"/>
      <c r="K143" s="1904" t="str">
        <f>IF(E143="yes","",IF(C124="","",IF(H143="","Qty? Enter Zero if N/A  ",IF(H143&lt;&gt;"","Track Feet      ",""))))</f>
        <v/>
      </c>
      <c r="L143" s="1864"/>
      <c r="M143" s="1620" t="str">
        <f>IF($H143=0,"",IF($L143="",TEXT(BN143,0)&amp;" Years?    ",""))</f>
        <v/>
      </c>
      <c r="N143" s="1905"/>
      <c r="O143" s="1620"/>
      <c r="P143" s="1864"/>
      <c r="Q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R143" s="1864"/>
      <c r="S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T143" s="1864"/>
      <c r="U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V143" s="1864"/>
      <c r="W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X143" s="1864"/>
      <c r="Y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Z143" s="1864"/>
      <c r="AA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B143" s="1864"/>
      <c r="AC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D143" s="1864"/>
      <c r="AE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F143" s="1864"/>
      <c r="AG143" s="1865"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H143" s="1864"/>
      <c r="AI143" s="904" t="str">
        <f>IF($N143="","",IF(AND($N143="",OR($H143="",$H143=0)),"",IF(AND($N143="LF",$AJ143&lt;$H143),"0 - "&amp;TEXT(($H143-$AJ143)/1000,"0")&amp;"k lin. ft.?    ",IF(AND($N143="TF",$AJ143&lt;$J143),"0 - "&amp;TEXT(($J143-$AJ143)/1000,"0")&amp;"k track ft.?    ",IF(AND($N143="%",$AJ143&lt;1),REPLACE(IF(AND($P143&gt;0,$V143&gt;0,$T143&gt;0,$X143&gt;0,$R143&gt;0,$Z143&gt;0,$AB143&gt;0,$AD143&gt;0,$AF143&gt;0,$AH143&gt;0),"","0-"),99,0,REPLACE(TEXT(100-$AJ143,0),99,0,"%?    ")),"")))))</f>
        <v/>
      </c>
      <c r="AJ143" s="1833">
        <f>IFERROR(IF(N143="%", SUM(P143,R143,T143,V143,X143,Z143,AB143,AD143,AF143,AH143)/100, SUM(P143,R143,T143,V143,X143,Z143,AB143,AD143,AF143,AH143)/IF(N143="LF", H143,J143)), 0)</f>
        <v>0</v>
      </c>
      <c r="AK143" s="1648"/>
      <c r="AL143" s="1675"/>
      <c r="AM143" s="1399"/>
      <c r="AN143" s="1808"/>
      <c r="AO143" s="1399"/>
      <c r="AP143" s="1653"/>
      <c r="AQ143" s="1399"/>
      <c r="AS143" s="1399"/>
      <c r="AT143" s="1624" t="str">
        <f>IF(AND($C$124="", H143="", J143=""), "N/A", IF(OR(AND(ISNUMBER(H143), ISNUMBER(J143), H143=0, J143=0), AND(AJ143=1, H143&lt;&gt;"", J143&lt;&gt;"", L143&lt;&gt;"", N143&lt;&gt;"", P143&lt;&gt;"", R143&lt;&gt;"", T143&lt;&gt;"", V143&lt;&gt;"", X143&lt;&gt;"", Z143&lt;&gt;"", AB143&lt;&gt;"", AD143&lt;&gt;"", AF143&lt;&gt;"", AH143&lt;&gt;"",AL143&lt;&gt;"", IF(AND(AL143&lt;1, AN143=""), FALSE, TRUE))), "Yes", "No"))</f>
        <v>N/A</v>
      </c>
      <c r="AU143" s="759" t="b">
        <f>IF(AND(H143="",OR(L143&lt;&gt;"",P143&lt;&gt;"",R143&lt;&gt;"",T143&lt;&gt;"",V143&lt;&gt;"",X143&lt;&gt;"",AL143&lt;&gt;"",Z143&lt;&gt;"",AB143&lt;&gt;"",AD143&lt;&gt;"",AF143&lt;&gt;"",AH143&lt;&gt;"")),TRUE,FALSE)</f>
        <v>0</v>
      </c>
      <c r="AV143" s="759" t="b">
        <f>IF(OR(H143="",H143=0),FALSE,IF(H143&gt;BM143,TRUE,FALSE))</f>
        <v>0</v>
      </c>
      <c r="AW143" s="759" t="b">
        <f>IF(AND($C$124&lt;&gt;"",$H143=""),TRUE,FALSE)</f>
        <v>0</v>
      </c>
      <c r="AX143" s="759" t="b">
        <f>IF(E143="yes",FALSE,IF(H143="0",FALSE,IF(AND($C$124&lt;&gt;"",J143=""),TRUE,FALSE)))</f>
        <v>0</v>
      </c>
      <c r="AY143" s="759" t="b">
        <f>IF($L143="",FALSE,IF($L143&lt;$BO143,TRUE,FALSE))</f>
        <v>0</v>
      </c>
      <c r="AZ143" s="759" t="b">
        <f>IF($L143="",FALSE,IF($L143&gt;$BP143,TRUE,FALSE))</f>
        <v>0</v>
      </c>
      <c r="BA143" s="759" t="b">
        <f>IF(H143=0,FALSE,IF(AND(E143&lt;&gt;"",$L143=""),TRUE,FALSE))</f>
        <v>0</v>
      </c>
      <c r="BB143" s="759" t="b">
        <f>IF(AND($AJ143&lt;&gt;0,$H143&lt;&gt;$BJ143,$N143="LF"),TRUE,IF(AND($AJ143&lt;&gt;0,$J143&lt;&gt;$AJ143,$N143="TF"),TRUE,IF(AND($AJ143&lt;&gt;0,$AJ143&lt;&gt;1,$N143="%"),TRUE,FALSE)))</f>
        <v>0</v>
      </c>
      <c r="BC143" s="759" t="b">
        <f>IF(AT143="No", IF(OR(P143="", R143="", T143="", V143="", X143="", Z143="", AB143="", AD143="", AF143="", AH143=""), TRUE, FALSE), FALSE)</f>
        <v>0</v>
      </c>
      <c r="BD143" s="759" t="b">
        <f>IF($BE143=TRUE,FALSE,IF(OR($AL143&lt;0,$AL143&gt;1),TRUE,FALSE))</f>
        <v>0</v>
      </c>
      <c r="BE143" s="759" t="b">
        <f>IF(AND($H143&lt;&gt;0,$AL143=""),TRUE,FALSE)</f>
        <v>0</v>
      </c>
      <c r="BF143" s="759" t="b">
        <f>IF(N143="%",TRUE,FALSE)</f>
        <v>0</v>
      </c>
      <c r="BG143" s="760"/>
      <c r="BH143" s="1678">
        <f>IF($C143="","",VLOOKUP($C143,val_fg_assets,9,FALSE))</f>
        <v>1</v>
      </c>
      <c r="BI143" s="1678" t="str">
        <f>IF(N143="", "", IF(N143="LF", H143, IF(N143="TF", J143, IF(N143="%", 1, ""))))</f>
        <v/>
      </c>
      <c r="BJ143" s="1679">
        <f>P143+R143+T143+V143+X143+Z143+AB143+AD143+AF143+AH143</f>
        <v>0</v>
      </c>
      <c r="BK143" s="1679" t="str">
        <f>IF(BI143="", "", BI143-BJ143)</f>
        <v/>
      </c>
      <c r="BL143" s="1679">
        <f>IF($C143="","",VLOOKUP($C143,val_fg_assets,3,FALSE))</f>
        <v>0</v>
      </c>
      <c r="BM143" s="1679">
        <f>IF($C143="","",VLOOKUP($C143,val_fg_assets,4,FALSE))</f>
        <v>1320000</v>
      </c>
      <c r="BN143" s="1678">
        <f>IF($C143="","",VLOOKUP($C143,val_fg_assets,5,FALSE))</f>
        <v>80</v>
      </c>
      <c r="BO143" s="1678">
        <f>IF($C143="","",VLOOKUP($C143,val_fg_assets,6,FALSE))</f>
        <v>60</v>
      </c>
      <c r="BP143" s="1678">
        <f>IF($C143="","",VLOOKUP($C143,val_fg_assets,7,FALSE))</f>
        <v>100</v>
      </c>
      <c r="BQ143" s="1399"/>
    </row>
    <row r="144" spans="1:69" s="782" customFormat="1" ht="3.95" customHeight="1" x14ac:dyDescent="0.2">
      <c r="A144" s="852"/>
      <c r="B144" s="1791">
        <v>132</v>
      </c>
      <c r="C144" s="1674"/>
      <c r="D144" s="1841"/>
      <c r="E144" s="1059"/>
      <c r="F144" s="686"/>
      <c r="G144" s="686"/>
      <c r="H144" s="1913"/>
      <c r="I144" s="1908"/>
      <c r="J144" s="1908"/>
      <c r="K144" s="1908"/>
      <c r="L144" s="1909"/>
      <c r="M144" s="722"/>
      <c r="N144" s="1912"/>
      <c r="O144" s="722"/>
      <c r="P144" s="1866"/>
      <c r="Q144" s="1867"/>
      <c r="R144" s="1866"/>
      <c r="S144" s="1867"/>
      <c r="T144" s="1866"/>
      <c r="U144" s="1867"/>
      <c r="V144" s="1866"/>
      <c r="W144" s="1867"/>
      <c r="X144" s="1866"/>
      <c r="Y144" s="1867"/>
      <c r="Z144" s="1867"/>
      <c r="AA144" s="1867"/>
      <c r="AB144" s="1867"/>
      <c r="AC144" s="1867"/>
      <c r="AD144" s="1867"/>
      <c r="AE144" s="1867"/>
      <c r="AF144" s="1867"/>
      <c r="AG144" s="1867"/>
      <c r="AH144" s="1867"/>
      <c r="AI144" s="837"/>
      <c r="AJ144" s="1828"/>
      <c r="AK144" s="724"/>
      <c r="AL144" s="1806"/>
      <c r="AM144" s="1399"/>
      <c r="AN144" s="1258"/>
      <c r="AO144" s="1399"/>
      <c r="AP144" s="1399"/>
      <c r="AQ144" s="1399"/>
      <c r="AS144" s="1399"/>
      <c r="AT144" s="1399"/>
      <c r="AU144" s="759"/>
      <c r="AV144" s="759"/>
      <c r="AW144" s="759"/>
      <c r="AX144" s="759"/>
      <c r="AY144" s="759"/>
      <c r="AZ144" s="759"/>
      <c r="BA144" s="759"/>
      <c r="BB144" s="759"/>
      <c r="BC144" s="759"/>
      <c r="BD144" s="759"/>
      <c r="BE144" s="759"/>
      <c r="BF144" s="759"/>
      <c r="BG144" s="760"/>
      <c r="BH144" s="1678"/>
      <c r="BI144" s="1678"/>
      <c r="BJ144" s="1678"/>
      <c r="BK144" s="1678"/>
      <c r="BL144" s="1679"/>
      <c r="BM144" s="1679"/>
      <c r="BN144" s="1678"/>
      <c r="BO144" s="1678"/>
      <c r="BP144" s="1678"/>
      <c r="BQ144" s="1399"/>
    </row>
    <row r="145" spans="1:69" s="782" customFormat="1" ht="3.95" customHeight="1" thickBot="1" x14ac:dyDescent="0.25">
      <c r="A145" s="852"/>
      <c r="B145" s="1791">
        <v>133</v>
      </c>
      <c r="C145" s="1674"/>
      <c r="D145" s="1841"/>
      <c r="E145" s="1059"/>
      <c r="F145" s="686"/>
      <c r="G145" s="686"/>
      <c r="H145" s="1913"/>
      <c r="I145" s="1908"/>
      <c r="J145" s="1908"/>
      <c r="K145" s="1908"/>
      <c r="L145" s="1909"/>
      <c r="M145" s="722"/>
      <c r="N145" s="1912"/>
      <c r="O145" s="722"/>
      <c r="P145" s="1868"/>
      <c r="Q145" s="1869"/>
      <c r="R145" s="1868"/>
      <c r="S145" s="1869"/>
      <c r="T145" s="1868"/>
      <c r="U145" s="1869"/>
      <c r="V145" s="1868"/>
      <c r="W145" s="1869"/>
      <c r="X145" s="1868"/>
      <c r="Y145" s="1869"/>
      <c r="Z145" s="1869"/>
      <c r="AA145" s="1869"/>
      <c r="AB145" s="1869"/>
      <c r="AC145" s="1869"/>
      <c r="AD145" s="1869"/>
      <c r="AE145" s="1869"/>
      <c r="AF145" s="1869"/>
      <c r="AG145" s="1869"/>
      <c r="AH145" s="1869"/>
      <c r="AI145" s="1670"/>
      <c r="AJ145" s="1828"/>
      <c r="AK145" s="724"/>
      <c r="AL145" s="1806"/>
      <c r="AM145" s="1399"/>
      <c r="AN145" s="1258"/>
      <c r="AO145" s="1399"/>
      <c r="AP145" s="1399"/>
      <c r="AQ145" s="1399"/>
      <c r="AS145" s="1399"/>
      <c r="AT145" s="1399"/>
      <c r="AU145" s="759"/>
      <c r="AV145" s="759"/>
      <c r="AW145" s="759"/>
      <c r="AX145" s="759"/>
      <c r="AY145" s="759"/>
      <c r="AZ145" s="759"/>
      <c r="BA145" s="759"/>
      <c r="BB145" s="759"/>
      <c r="BC145" s="759"/>
      <c r="BD145" s="759"/>
      <c r="BE145" s="759"/>
      <c r="BF145" s="759"/>
      <c r="BG145" s="760"/>
      <c r="BH145" s="1678"/>
      <c r="BI145" s="1678"/>
      <c r="BJ145" s="1678"/>
      <c r="BK145" s="1678"/>
      <c r="BL145" s="1679"/>
      <c r="BM145" s="1679"/>
      <c r="BN145" s="1678"/>
      <c r="BO145" s="1678"/>
      <c r="BP145" s="1678"/>
      <c r="BQ145" s="1399"/>
    </row>
    <row r="146" spans="1:69" s="782" customFormat="1" x14ac:dyDescent="0.2">
      <c r="A146" s="852">
        <f>A143+1</f>
        <v>35</v>
      </c>
      <c r="B146" s="1791">
        <v>134</v>
      </c>
      <c r="C146" s="851" t="str">
        <f>Valid!$B$77</f>
        <v>Below-Grade/Cut-and-Cover Tunnel</v>
      </c>
      <c r="D146" s="1841"/>
      <c r="E146" s="1245" t="str">
        <f>IF(AT146="N/A","",IF(AT146="N","No","Yes"))</f>
        <v/>
      </c>
      <c r="F146" s="686"/>
      <c r="G146" s="686"/>
      <c r="H146" s="1864"/>
      <c r="I146" s="1904" t="str">
        <f>IF(C124="","",IF(J146&lt;&gt;"","Linear Feet   ","Qty? Enter Zero if N/A  "))</f>
        <v/>
      </c>
      <c r="J146" s="1864"/>
      <c r="K146" s="1904" t="str">
        <f>IF(E146="yes","",IF(C124="","",IF(H146="","Qty? Enter Zero if N/A  ",IF(H146&lt;&gt;"","Track Feet      ",""))))</f>
        <v/>
      </c>
      <c r="L146" s="1864"/>
      <c r="M146" s="1620" t="str">
        <f>IF($H146=0,"",IF($L146="",TEXT(BN146,0)&amp;" Years?    ",""))</f>
        <v/>
      </c>
      <c r="N146" s="1905"/>
      <c r="O146" s="1620"/>
      <c r="P146" s="1864"/>
      <c r="Q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R146" s="1864"/>
      <c r="S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T146" s="1864"/>
      <c r="U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V146" s="1864"/>
      <c r="W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X146" s="1864"/>
      <c r="Y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Z146" s="1864"/>
      <c r="AA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B146" s="1864"/>
      <c r="AC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D146" s="1864"/>
      <c r="AE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F146" s="1864"/>
      <c r="AG146" s="1865"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H146" s="1864"/>
      <c r="AI146" s="904" t="str">
        <f>IF($N146="","",IF(AND($N146="",OR($H146="",$H146=0)),"",IF(AND($N146="LF",$AJ146&lt;$H146),"0 - "&amp;TEXT(($H146-$AJ146)/1000,"0")&amp;"k lin. ft.?    ",IF(AND($N146="TF",$AJ146&lt;$J146),"0 - "&amp;TEXT(($J146-$AJ146)/1000,"0")&amp;"k track ft.?    ",IF(AND($N146="%",$AJ146&lt;1),REPLACE(IF(AND($P146&gt;0,$V146&gt;0,$T146&gt;0,$X146&gt;0,$R146&gt;0,$Z146&gt;0,$AB146&gt;0,$AD146&gt;0,$AF146&gt;0,$AH146&gt;0),"","0-"),99,0,REPLACE(TEXT(100-$AJ146,0),99,0,"%?    ")),"")))))</f>
        <v/>
      </c>
      <c r="AJ146" s="1833">
        <f>IFERROR(IF(N146="%", SUM(P146,R146,T146,V146,X146,Z146,AB146,AD146,AF146,AH146)/100, SUM(P146,R146,T146,V146,X146,Z146,AB146,AD146,AF146,AH146)/IF(N146="LF", H146,J146)), 0)</f>
        <v>0</v>
      </c>
      <c r="AK146" s="1648"/>
      <c r="AL146" s="1675"/>
      <c r="AM146" s="1399"/>
      <c r="AN146" s="1671"/>
      <c r="AO146" s="1399"/>
      <c r="AP146" s="1653"/>
      <c r="AQ146" s="1399"/>
      <c r="AS146" s="1399"/>
      <c r="AT146" s="1624" t="str">
        <f>IF(AND($C$124="", H146="", J146=""), "N/A", IF(OR(AND(ISNUMBER(H146), ISNUMBER(J146), H146=0, J146=0), AND(AJ146=1, H146&lt;&gt;"", J146&lt;&gt;"", L146&lt;&gt;"", N146&lt;&gt;"", P146&lt;&gt;"", R146&lt;&gt;"", T146&lt;&gt;"", V146&lt;&gt;"", X146&lt;&gt;"", Z146&lt;&gt;"", AB146&lt;&gt;"", AD146&lt;&gt;"", AF146&lt;&gt;"", AH146&lt;&gt;"",AL146&lt;&gt;"", IF(AND(AL146&lt;1, AN146=""), FALSE, TRUE))), "Yes", "No"))</f>
        <v>N/A</v>
      </c>
      <c r="AU146" s="759" t="b">
        <f>IF(AND(H146="",OR(L146&lt;&gt;"",P146&lt;&gt;"",R146&lt;&gt;"",T146&lt;&gt;"",V146&lt;&gt;"",X146&lt;&gt;"",AL146&lt;&gt;"",Z146&lt;&gt;"",AB146&lt;&gt;"",AD146&lt;&gt;"",AF146&lt;&gt;"",AH146&lt;&gt;"")),TRUE,FALSE)</f>
        <v>0</v>
      </c>
      <c r="AV146" s="759" t="b">
        <f>IF(OR(H146="",H146=0),FALSE,IF(H146&gt;BM146,TRUE,FALSE))</f>
        <v>0</v>
      </c>
      <c r="AW146" s="759" t="b">
        <f>IF(AND($C$124&lt;&gt;"",$H146=""),TRUE,FALSE)</f>
        <v>0</v>
      </c>
      <c r="AX146" s="759" t="b">
        <f>IF(E146="yes",FALSE,IF(H146="0",FALSE,IF(AND($C$124&lt;&gt;"",J146=""),TRUE,FALSE)))</f>
        <v>0</v>
      </c>
      <c r="AY146" s="759" t="b">
        <f>IF($L146="",FALSE,IF($L146&lt;$BO146,TRUE,FALSE))</f>
        <v>0</v>
      </c>
      <c r="AZ146" s="759" t="b">
        <f>IF($L146="",FALSE,IF($L146&gt;$BP146,TRUE,FALSE))</f>
        <v>0</v>
      </c>
      <c r="BA146" s="759" t="b">
        <f>IF(H146=0,FALSE,IF(AND(E146&lt;&gt;"",$L146=""),TRUE,FALSE))</f>
        <v>0</v>
      </c>
      <c r="BB146" s="759" t="b">
        <f>IF(AND($AJ146&lt;&gt;0,$H146&lt;&gt;$BJ146,$N146="LF"),TRUE,IF(AND($AJ146&lt;&gt;0,$J146&lt;&gt;$AJ146,$N146="TF"),TRUE,IF(AND($AJ146&lt;&gt;0,$AJ146&lt;&gt;1,$N146="%"),TRUE,FALSE)))</f>
        <v>0</v>
      </c>
      <c r="BC146" s="759" t="b">
        <f>IF(AT146="No", IF(OR(P146="", R146="", T146="", V146="", X146="", Z146="", AB146="", AD146="", AF146="", AH146=""), TRUE, FALSE), FALSE)</f>
        <v>0</v>
      </c>
      <c r="BD146" s="759" t="b">
        <f>IF($BE146=TRUE,FALSE,IF(OR($AL146&lt;0,$AL146&gt;1),TRUE,FALSE))</f>
        <v>0</v>
      </c>
      <c r="BE146" s="759" t="b">
        <f>IF(AND($H146&lt;&gt;0,$AL146=""),TRUE,FALSE)</f>
        <v>0</v>
      </c>
      <c r="BF146" s="759" t="b">
        <f>IF(N146="%",TRUE,FALSE)</f>
        <v>0</v>
      </c>
      <c r="BG146" s="760"/>
      <c r="BH146" s="1678">
        <f>IF($C146="","",VLOOKUP($C146,val_fg_assets,9,FALSE))</f>
        <v>1</v>
      </c>
      <c r="BI146" s="1678" t="str">
        <f>IF(N146="", "", IF(N146="LF", H146, IF(N146="TF", J146, IF(N146="%", 1, ""))))</f>
        <v/>
      </c>
      <c r="BJ146" s="1679">
        <f>P146+R146+T146+V146+X146+Z146+AB146+AD146+AF146+AH146</f>
        <v>0</v>
      </c>
      <c r="BK146" s="1679" t="str">
        <f>IF(BI146="", "", BI146-BJ146)</f>
        <v/>
      </c>
      <c r="BL146" s="1679">
        <f>IF($C146="","",VLOOKUP($C146,val_fg_assets,3,FALSE))</f>
        <v>0</v>
      </c>
      <c r="BM146" s="1679">
        <f>IF($C146="","",VLOOKUP($C146,val_fg_assets,4,FALSE))</f>
        <v>1320000</v>
      </c>
      <c r="BN146" s="1678">
        <f>IF($C146="","",VLOOKUP($C146,val_fg_assets,5,FALSE))</f>
        <v>80</v>
      </c>
      <c r="BO146" s="1678">
        <f>IF($C146="","",VLOOKUP($C146,val_fg_assets,6,FALSE))</f>
        <v>60</v>
      </c>
      <c r="BP146" s="1678">
        <f>IF($C146="","",VLOOKUP($C146,val_fg_assets,7,FALSE))</f>
        <v>100</v>
      </c>
      <c r="BQ146" s="1399"/>
    </row>
    <row r="147" spans="1:69" s="782" customFormat="1" ht="3.95" customHeight="1" x14ac:dyDescent="0.2">
      <c r="A147" s="852"/>
      <c r="B147" s="1790">
        <v>135</v>
      </c>
      <c r="C147" s="1674"/>
      <c r="D147" s="1841"/>
      <c r="E147" s="1057"/>
      <c r="F147" s="764"/>
      <c r="G147" s="686">
        <v>7</v>
      </c>
      <c r="H147" s="1906"/>
      <c r="I147" s="1907"/>
      <c r="J147" s="1908"/>
      <c r="K147" s="1907"/>
      <c r="L147" s="1909"/>
      <c r="M147" s="1910"/>
      <c r="N147" s="1911"/>
      <c r="O147" s="1910"/>
      <c r="P147" s="1866"/>
      <c r="Q147" s="1867"/>
      <c r="R147" s="1866"/>
      <c r="S147" s="1867"/>
      <c r="T147" s="1866"/>
      <c r="U147" s="1867"/>
      <c r="V147" s="1866"/>
      <c r="W147" s="1867"/>
      <c r="X147" s="1866"/>
      <c r="Y147" s="1867"/>
      <c r="Z147" s="1867"/>
      <c r="AA147" s="1867"/>
      <c r="AB147" s="1867"/>
      <c r="AC147" s="1867"/>
      <c r="AD147" s="1867"/>
      <c r="AE147" s="1867"/>
      <c r="AF147" s="1867"/>
      <c r="AG147" s="1867"/>
      <c r="AH147" s="1867"/>
      <c r="AI147" s="837"/>
      <c r="AJ147" s="1806"/>
      <c r="AK147" s="841"/>
      <c r="AL147" s="1806"/>
      <c r="AM147" s="1399"/>
      <c r="AN147" s="838"/>
      <c r="AO147" s="1399"/>
      <c r="AP147" s="1223"/>
      <c r="AQ147" s="1399"/>
      <c r="AS147" s="1399"/>
      <c r="AT147" s="1399"/>
      <c r="AU147" s="759"/>
      <c r="AV147" s="759"/>
      <c r="AW147" s="759"/>
      <c r="AX147" s="759"/>
      <c r="AY147" s="759"/>
      <c r="AZ147" s="759"/>
      <c r="BA147" s="759"/>
      <c r="BB147" s="759"/>
      <c r="BC147" s="759"/>
      <c r="BD147" s="759"/>
      <c r="BE147" s="759"/>
      <c r="BF147" s="759"/>
      <c r="BG147" s="760"/>
      <c r="BH147" s="1678"/>
      <c r="BI147" s="1678"/>
      <c r="BJ147" s="1678"/>
      <c r="BK147" s="1678"/>
      <c r="BL147" s="1679"/>
      <c r="BM147" s="1679"/>
      <c r="BN147" s="1678"/>
      <c r="BO147" s="1678"/>
      <c r="BP147" s="1678"/>
      <c r="BQ147" s="1399"/>
    </row>
    <row r="148" spans="1:69" s="782" customFormat="1" ht="3.95" customHeight="1" thickBot="1" x14ac:dyDescent="0.25">
      <c r="A148" s="852"/>
      <c r="B148" s="1790">
        <v>136</v>
      </c>
      <c r="C148" s="1674"/>
      <c r="D148" s="1841"/>
      <c r="E148" s="1057"/>
      <c r="F148" s="764"/>
      <c r="G148" s="764">
        <v>8</v>
      </c>
      <c r="H148" s="1906"/>
      <c r="I148" s="1907"/>
      <c r="J148" s="1908"/>
      <c r="K148" s="1907"/>
      <c r="L148" s="1909"/>
      <c r="M148" s="722"/>
      <c r="N148" s="1912"/>
      <c r="O148" s="722"/>
      <c r="P148" s="1868"/>
      <c r="Q148" s="1869"/>
      <c r="R148" s="1868"/>
      <c r="S148" s="1869"/>
      <c r="T148" s="1868"/>
      <c r="U148" s="1869"/>
      <c r="V148" s="1868"/>
      <c r="W148" s="1869"/>
      <c r="X148" s="1868"/>
      <c r="Y148" s="1869"/>
      <c r="Z148" s="1869"/>
      <c r="AA148" s="1869"/>
      <c r="AB148" s="1869"/>
      <c r="AC148" s="1869"/>
      <c r="AD148" s="1869"/>
      <c r="AE148" s="1869"/>
      <c r="AF148" s="1869"/>
      <c r="AG148" s="1869"/>
      <c r="AH148" s="1869"/>
      <c r="AI148" s="1670"/>
      <c r="AJ148" s="1828"/>
      <c r="AK148" s="724"/>
      <c r="AL148" s="1806"/>
      <c r="AM148" s="1399"/>
      <c r="AN148" s="1258"/>
      <c r="AO148" s="1399"/>
      <c r="AP148" s="1399"/>
      <c r="AQ148" s="1399"/>
      <c r="AS148" s="1399"/>
      <c r="AT148" s="1399"/>
      <c r="AU148" s="759"/>
      <c r="AV148" s="759"/>
      <c r="AW148" s="759"/>
      <c r="AX148" s="759"/>
      <c r="AY148" s="759"/>
      <c r="AZ148" s="759"/>
      <c r="BA148" s="759"/>
      <c r="BB148" s="759"/>
      <c r="BC148" s="759"/>
      <c r="BD148" s="759"/>
      <c r="BE148" s="759"/>
      <c r="BF148" s="759"/>
      <c r="BG148" s="760"/>
      <c r="BH148" s="1678"/>
      <c r="BI148" s="1678"/>
      <c r="BJ148" s="1678"/>
      <c r="BK148" s="1678"/>
      <c r="BL148" s="1679"/>
      <c r="BM148" s="1679"/>
      <c r="BN148" s="1678"/>
      <c r="BO148" s="1678"/>
      <c r="BP148" s="1678"/>
      <c r="BQ148" s="1399"/>
    </row>
    <row r="149" spans="1:69" s="782" customFormat="1" x14ac:dyDescent="0.2">
      <c r="A149" s="852">
        <f>A146+1</f>
        <v>36</v>
      </c>
      <c r="B149" s="1791">
        <v>137</v>
      </c>
      <c r="C149" s="851" t="str">
        <f>Valid!$B$78</f>
        <v>Below-Grade/Bored or Blasted Tunnel</v>
      </c>
      <c r="D149" s="1841"/>
      <c r="E149" s="1245" t="str">
        <f>IF(AT149="N/A","",IF(AT149="N","No","Yes"))</f>
        <v/>
      </c>
      <c r="F149" s="686"/>
      <c r="G149" s="686"/>
      <c r="H149" s="1864"/>
      <c r="I149" s="1904" t="str">
        <f>IF(C124="","",IF(J149&lt;&gt;"","Linear Feet   ","Qty? Enter Zero if N/A  "))</f>
        <v/>
      </c>
      <c r="J149" s="1864"/>
      <c r="K149" s="1904" t="str">
        <f>IF(E149="yes","",IF(C124="","",IF(H149="","Qty? Enter Zero if N/A  ",IF(H149&lt;&gt;"","Track Feet      ",""))))</f>
        <v/>
      </c>
      <c r="L149" s="1864"/>
      <c r="M149" s="1620" t="str">
        <f>IF($H149=0,"",IF($L149="",TEXT(BN149,0)&amp;" Years?    ",""))</f>
        <v/>
      </c>
      <c r="N149" s="1905"/>
      <c r="O149" s="1620"/>
      <c r="P149" s="1864"/>
      <c r="Q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R149" s="1864"/>
      <c r="S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T149" s="1864"/>
      <c r="U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V149" s="1864"/>
      <c r="W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X149" s="1864"/>
      <c r="Y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Z149" s="1864"/>
      <c r="AA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B149" s="1864"/>
      <c r="AC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D149" s="1864"/>
      <c r="AE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F149" s="1864"/>
      <c r="AG149" s="1865"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H149" s="1864"/>
      <c r="AI149" s="904" t="str">
        <f>IF($N149="","",IF(AND($N149="",OR($H149="",$H149=0)),"",IF(AND($N149="LF",$AJ149&lt;$H149),"0 - "&amp;TEXT(($H149-$AJ149)/1000,"0")&amp;"k lin. ft.?    ",IF(AND($N149="TF",$AJ149&lt;$J149),"0 - "&amp;TEXT(($J149-$AJ149)/1000,"0")&amp;"k track ft.?    ",IF(AND($N149="%",$AJ149&lt;1),REPLACE(IF(AND($P149&gt;0,$V149&gt;0,$T149&gt;0,$X149&gt;0,$R149&gt;0,$Z149&gt;0,$AB149&gt;0,$AD149&gt;0,$AF149&gt;0,$AH149&gt;0),"","0-"),99,0,REPLACE(TEXT(100-$AJ149,0),99,0,"%?    ")),"")))))</f>
        <v/>
      </c>
      <c r="AJ149" s="1833">
        <f>IFERROR(IF(N149="%", SUM(P149,R149,T149,V149,X149,Z149,AB149,AD149,AF149,AH149)/100, SUM(P149,R149,T149,V149,X149,Z149,AB149,AD149,AF149,AH149)/IF(N149="LF", H149,J149)), 0)</f>
        <v>0</v>
      </c>
      <c r="AK149" s="1648"/>
      <c r="AL149" s="1675"/>
      <c r="AM149" s="1399"/>
      <c r="AN149" s="1671"/>
      <c r="AO149" s="1399"/>
      <c r="AP149" s="1653"/>
      <c r="AQ149" s="1399"/>
      <c r="AS149" s="1399"/>
      <c r="AT149" s="1624" t="str">
        <f>IF(AND($C$124="", H149="", J149=""), "N/A", IF(OR(AND(ISNUMBER(H149), ISNUMBER(J149), H149=0, J149=0), AND(AJ149=1, H149&lt;&gt;"", J149&lt;&gt;"", L149&lt;&gt;"", N149&lt;&gt;"", P149&lt;&gt;"", R149&lt;&gt;"", T149&lt;&gt;"", V149&lt;&gt;"", X149&lt;&gt;"", Z149&lt;&gt;"", AB149&lt;&gt;"", AD149&lt;&gt;"", AF149&lt;&gt;"", AH149&lt;&gt;"",AL149&lt;&gt;"", IF(AND(AL149&lt;1, AN149=""), FALSE, TRUE))), "Yes", "No"))</f>
        <v>N/A</v>
      </c>
      <c r="AU149" s="759" t="b">
        <f>IF(AND(H149="",OR(L149&lt;&gt;"",P149&lt;&gt;"",R149&lt;&gt;"",T149&lt;&gt;"",V149&lt;&gt;"",X149&lt;&gt;"",AL149&lt;&gt;"",Z149&lt;&gt;"",AB149&lt;&gt;"",AD149&lt;&gt;"",AF149&lt;&gt;"",AH149&lt;&gt;"")),TRUE,FALSE)</f>
        <v>0</v>
      </c>
      <c r="AV149" s="759" t="b">
        <f>IF(OR(H149="",H149=0),FALSE,IF(H149&gt;BM149,TRUE,FALSE))</f>
        <v>0</v>
      </c>
      <c r="AW149" s="759" t="b">
        <f>IF(AND($C$124&lt;&gt;"",$H149=""),TRUE,FALSE)</f>
        <v>0</v>
      </c>
      <c r="AX149" s="759" t="b">
        <f>IF(E149="yes",FALSE,IF(H149="0",FALSE,IF(AND($C$124&lt;&gt;"",J149=""),TRUE,FALSE)))</f>
        <v>0</v>
      </c>
      <c r="AY149" s="759" t="b">
        <f>IF($L149="",FALSE,IF($L149&lt;$BO149,TRUE,FALSE))</f>
        <v>0</v>
      </c>
      <c r="AZ149" s="759" t="b">
        <f>IF($L149="",FALSE,IF($L149&gt;$BP149,TRUE,FALSE))</f>
        <v>0</v>
      </c>
      <c r="BA149" s="759" t="b">
        <f>IF(H149=0,FALSE,IF(AND(E149&lt;&gt;"",$L149=""),TRUE,FALSE))</f>
        <v>0</v>
      </c>
      <c r="BB149" s="759" t="b">
        <f>IF(AND($AJ149&lt;&gt;0,$H149&lt;&gt;$BJ149,$N149="LF"),TRUE,IF(AND($AJ149&lt;&gt;0,$J149&lt;&gt;$AJ149,$N149="TF"),TRUE,IF(AND($AJ149&lt;&gt;0,$AJ149&lt;&gt;1,$N149="%"),TRUE,FALSE)))</f>
        <v>0</v>
      </c>
      <c r="BC149" s="759" t="b">
        <f>IF(AT149="No", IF(OR(P149="", R149="", T149="", V149="", X149="", Z149="", AB149="", AD149="", AF149="", AH149=""), TRUE, FALSE), FALSE)</f>
        <v>0</v>
      </c>
      <c r="BD149" s="759" t="b">
        <f>IF($BE149=TRUE,FALSE,IF(OR($AL149&lt;0,$AL149&gt;1),TRUE,FALSE))</f>
        <v>0</v>
      </c>
      <c r="BE149" s="759" t="b">
        <f>IF(AND($H149&lt;&gt;0,$AL149=""),TRUE,FALSE)</f>
        <v>0</v>
      </c>
      <c r="BF149" s="759" t="b">
        <f>IF(N149="%",TRUE,FALSE)</f>
        <v>0</v>
      </c>
      <c r="BG149" s="760"/>
      <c r="BH149" s="1678">
        <f>IF($C149="","",VLOOKUP($C149,val_fg_assets,9,FALSE))</f>
        <v>1</v>
      </c>
      <c r="BI149" s="1678" t="str">
        <f>IF(N149="", "", IF(N149="LF", H149, IF(N149="TF", J149, IF(N149="%", 1, ""))))</f>
        <v/>
      </c>
      <c r="BJ149" s="1679">
        <f>P149+R149+T149+V149+X149+Z149+AB149+AD149+AF149+AH149</f>
        <v>0</v>
      </c>
      <c r="BK149" s="1679" t="str">
        <f>IF(BI149="", "", BI149-BJ149)</f>
        <v/>
      </c>
      <c r="BL149" s="1679">
        <f>IF($C149="","",VLOOKUP($C149,val_fg_assets,3,FALSE))</f>
        <v>0</v>
      </c>
      <c r="BM149" s="1679">
        <f>IF($C149="","",VLOOKUP($C149,val_fg_assets,4,FALSE))</f>
        <v>1320000</v>
      </c>
      <c r="BN149" s="1678">
        <f>IF($C149="","",VLOOKUP($C149,val_fg_assets,5,FALSE))</f>
        <v>80</v>
      </c>
      <c r="BO149" s="1678">
        <f>IF($C149="","",VLOOKUP($C149,val_fg_assets,6,FALSE))</f>
        <v>60</v>
      </c>
      <c r="BP149" s="1678">
        <f>IF($C149="","",VLOOKUP($C149,val_fg_assets,7,FALSE))</f>
        <v>100</v>
      </c>
      <c r="BQ149" s="1399"/>
    </row>
    <row r="150" spans="1:69" s="782" customFormat="1" ht="3.95" customHeight="1" x14ac:dyDescent="0.2">
      <c r="A150" s="852"/>
      <c r="B150" s="1791">
        <v>138</v>
      </c>
      <c r="C150" s="1674"/>
      <c r="D150" s="1841"/>
      <c r="E150" s="1057"/>
      <c r="F150" s="764"/>
      <c r="G150" s="764"/>
      <c r="H150" s="1909"/>
      <c r="I150" s="1908"/>
      <c r="J150" s="1908"/>
      <c r="K150" s="1908"/>
      <c r="L150" s="1909"/>
      <c r="M150" s="1910"/>
      <c r="N150" s="1911"/>
      <c r="O150" s="1910"/>
      <c r="P150" s="1866"/>
      <c r="Q150" s="1867"/>
      <c r="R150" s="1866"/>
      <c r="S150" s="1867"/>
      <c r="T150" s="1866"/>
      <c r="U150" s="1867"/>
      <c r="V150" s="1866"/>
      <c r="W150" s="1867"/>
      <c r="X150" s="1866"/>
      <c r="Y150" s="1867"/>
      <c r="Z150" s="1867"/>
      <c r="AA150" s="1867"/>
      <c r="AB150" s="1867"/>
      <c r="AC150" s="1867"/>
      <c r="AD150" s="1867"/>
      <c r="AE150" s="1867"/>
      <c r="AF150" s="1867"/>
      <c r="AG150" s="1867"/>
      <c r="AH150" s="1867"/>
      <c r="AI150" s="837"/>
      <c r="AJ150" s="1806"/>
      <c r="AK150" s="841"/>
      <c r="AL150" s="1806"/>
      <c r="AM150" s="1399"/>
      <c r="AN150" s="838"/>
      <c r="AO150" s="1399"/>
      <c r="AP150" s="1399"/>
      <c r="AQ150" s="1399"/>
      <c r="AS150" s="1399"/>
      <c r="AT150" s="1399"/>
      <c r="AU150" s="759"/>
      <c r="AV150" s="759"/>
      <c r="AW150" s="759"/>
      <c r="AX150" s="759"/>
      <c r="AY150" s="759"/>
      <c r="AZ150" s="759"/>
      <c r="BA150" s="759"/>
      <c r="BB150" s="759"/>
      <c r="BC150" s="759"/>
      <c r="BD150" s="759"/>
      <c r="BE150" s="759"/>
      <c r="BF150" s="759"/>
      <c r="BG150" s="760"/>
      <c r="BH150" s="1678"/>
      <c r="BI150" s="1678"/>
      <c r="BJ150" s="1678"/>
      <c r="BK150" s="1678"/>
      <c r="BL150" s="1679"/>
      <c r="BM150" s="1679"/>
      <c r="BN150" s="1678"/>
      <c r="BO150" s="1678"/>
      <c r="BP150" s="1678"/>
      <c r="BQ150" s="1399"/>
    </row>
    <row r="151" spans="1:69" s="782" customFormat="1" ht="3.95" customHeight="1" thickBot="1" x14ac:dyDescent="0.25">
      <c r="A151" s="852"/>
      <c r="B151" s="1791">
        <v>139</v>
      </c>
      <c r="C151" s="1674"/>
      <c r="D151" s="1841"/>
      <c r="E151" s="1058"/>
      <c r="F151" s="686"/>
      <c r="G151" s="686"/>
      <c r="H151" s="1909"/>
      <c r="I151" s="1908"/>
      <c r="J151" s="1908"/>
      <c r="K151" s="1908"/>
      <c r="L151" s="1909"/>
      <c r="M151" s="722"/>
      <c r="N151" s="1912"/>
      <c r="O151" s="722"/>
      <c r="P151" s="1868"/>
      <c r="Q151" s="1869"/>
      <c r="R151" s="1868"/>
      <c r="S151" s="1869"/>
      <c r="T151" s="1868"/>
      <c r="U151" s="1869"/>
      <c r="V151" s="1868"/>
      <c r="W151" s="1869"/>
      <c r="X151" s="1868"/>
      <c r="Y151" s="1869"/>
      <c r="Z151" s="1869"/>
      <c r="AA151" s="1869"/>
      <c r="AB151" s="1869"/>
      <c r="AC151" s="1869"/>
      <c r="AD151" s="1869"/>
      <c r="AE151" s="1869"/>
      <c r="AF151" s="1869"/>
      <c r="AG151" s="1869"/>
      <c r="AH151" s="1869"/>
      <c r="AI151" s="1670"/>
      <c r="AJ151" s="1828"/>
      <c r="AK151" s="724"/>
      <c r="AL151" s="1806"/>
      <c r="AM151" s="1399"/>
      <c r="AN151" s="1258"/>
      <c r="AO151" s="1399"/>
      <c r="AP151" s="1399"/>
      <c r="AQ151" s="1399"/>
      <c r="AS151" s="1399"/>
      <c r="AT151" s="1399"/>
      <c r="AU151" s="759"/>
      <c r="AV151" s="759"/>
      <c r="AW151" s="759"/>
      <c r="AX151" s="759"/>
      <c r="AY151" s="759"/>
      <c r="AZ151" s="759"/>
      <c r="BA151" s="759"/>
      <c r="BB151" s="759"/>
      <c r="BC151" s="759"/>
      <c r="BD151" s="759"/>
      <c r="BE151" s="759"/>
      <c r="BF151" s="759"/>
      <c r="BG151" s="760"/>
      <c r="BH151" s="1678"/>
      <c r="BI151" s="1678"/>
      <c r="BJ151" s="1678"/>
      <c r="BK151" s="1678"/>
      <c r="BL151" s="1679"/>
      <c r="BM151" s="1679"/>
      <c r="BN151" s="1678"/>
      <c r="BO151" s="1678"/>
      <c r="BP151" s="1678"/>
      <c r="BQ151" s="1399"/>
    </row>
    <row r="152" spans="1:69" s="782" customFormat="1" x14ac:dyDescent="0.2">
      <c r="A152" s="852">
        <f>A149+1</f>
        <v>37</v>
      </c>
      <c r="B152" s="1790">
        <v>140</v>
      </c>
      <c r="C152" s="851" t="str">
        <f>Valid!$B$79</f>
        <v>Below-Grade/Submerged Tube</v>
      </c>
      <c r="D152" s="1841"/>
      <c r="E152" s="1245" t="str">
        <f>IF(AT152="N/A","",IF(AT152="N","No","Yes"))</f>
        <v/>
      </c>
      <c r="F152" s="764"/>
      <c r="G152" s="764"/>
      <c r="H152" s="1864"/>
      <c r="I152" s="1904" t="str">
        <f>IF(C124="","",IF(J152&lt;&gt;"","Linear Feet   ","Qty? Enter Zero if N/A  "))</f>
        <v/>
      </c>
      <c r="J152" s="1864"/>
      <c r="K152" s="1904" t="str">
        <f>IF(E152="yes","",IF(C124="","",IF(H152="","Qty? Enter Zero if N/A  ",IF(H152&lt;&gt;"","Track Feet      ",""))))</f>
        <v/>
      </c>
      <c r="L152" s="1864"/>
      <c r="M152" s="1620" t="str">
        <f>IF($H152=0,"",IF($L152="",TEXT(BN152,0)&amp;" Years?    ",""))</f>
        <v/>
      </c>
      <c r="N152" s="1905"/>
      <c r="O152" s="1620"/>
      <c r="P152" s="1864"/>
      <c r="Q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R152" s="1864"/>
      <c r="S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T152" s="1864"/>
      <c r="U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V152" s="1864"/>
      <c r="W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X152" s="1864"/>
      <c r="Y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Z152" s="1864"/>
      <c r="AA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B152" s="1864"/>
      <c r="AC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D152" s="1864"/>
      <c r="AE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F152" s="1864"/>
      <c r="AG152" s="1865"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H152" s="1864"/>
      <c r="AI152" s="904" t="str">
        <f>IF($N152="","",IF(AND($N152="",OR($H152="",$H152=0)),"",IF(AND($N152="LF",$AJ152&lt;$H152),"0 - "&amp;TEXT(($H152-$AJ152)/1000,"0")&amp;"k lin. ft.?    ",IF(AND($N152="TF",$AJ152&lt;$J152),"0 - "&amp;TEXT(($J152-$AJ152)/1000,"0")&amp;"k track ft.?    ",IF(AND($N152="%",$AJ152&lt;1),REPLACE(IF(AND($P152&gt;0,$V152&gt;0,$T152&gt;0,$X152&gt;0,$R152&gt;0,$Z152&gt;0,$AB152&gt;0,$AD152&gt;0,$AF152&gt;0,$AH152&gt;0),"","0-"),99,0,REPLACE(TEXT(100-$AJ152,0),99,0,"%?    ")),"")))))</f>
        <v/>
      </c>
      <c r="AJ152" s="1833">
        <f>IFERROR(IF(N152="%", SUM(P152,R152,T152,V152,X152,Z152,AB152,AD152,AF152,AH152)/100, SUM(P152,R152,T152,V152,X152,Z152,AB152,AD152,AF152,AH152)/IF(N152="LF", H152,J152)), 0)</f>
        <v>0</v>
      </c>
      <c r="AK152" s="1648"/>
      <c r="AL152" s="1832"/>
      <c r="AM152" s="1399"/>
      <c r="AN152" s="1276"/>
      <c r="AO152" s="1399"/>
      <c r="AP152" s="1653"/>
      <c r="AQ152" s="1399"/>
      <c r="AS152" s="1399"/>
      <c r="AT152" s="1624" t="str">
        <f>IF(AND($C$124="", H152="", J152=""), "N/A", IF(OR(AND(ISNUMBER(H152), ISNUMBER(J152), H152=0, J152=0), AND(AJ152=1, H152&lt;&gt;"", J152&lt;&gt;"", L152&lt;&gt;"", N152&lt;&gt;"", P152&lt;&gt;"", R152&lt;&gt;"", T152&lt;&gt;"", V152&lt;&gt;"", X152&lt;&gt;"", Z152&lt;&gt;"", AB152&lt;&gt;"", AD152&lt;&gt;"", AF152&lt;&gt;"", AH152&lt;&gt;"",AL152&lt;&gt;"", IF(AND(AL152&lt;1, AN152=""), FALSE, TRUE))), "Yes", "No"))</f>
        <v>N/A</v>
      </c>
      <c r="AU152" s="759" t="b">
        <f>IF(AND(H152="",OR(L152&lt;&gt;"",P152&lt;&gt;"",R152&lt;&gt;"",T152&lt;&gt;"",V152&lt;&gt;"",X152&lt;&gt;"",AL152&lt;&gt;"",Z152&lt;&gt;"",AB152&lt;&gt;"",AD152&lt;&gt;"",AF152&lt;&gt;"",AH152&lt;&gt;"")),TRUE,FALSE)</f>
        <v>0</v>
      </c>
      <c r="AV152" s="759" t="b">
        <f>IF(OR(H152="",H152=0),FALSE,IF(H152&gt;BM152,TRUE,FALSE))</f>
        <v>0</v>
      </c>
      <c r="AW152" s="759" t="b">
        <f>IF(AND($C$124&lt;&gt;"",$H152=""),TRUE,FALSE)</f>
        <v>0</v>
      </c>
      <c r="AX152" s="759" t="b">
        <f>IF(E152="yes",FALSE,IF(H152="0",FALSE,IF(AND($C$124&lt;&gt;"",J152=""),TRUE,FALSE)))</f>
        <v>0</v>
      </c>
      <c r="AY152" s="759" t="b">
        <f>IF($L152="",FALSE,IF($L152&lt;$BO152,TRUE,FALSE))</f>
        <v>0</v>
      </c>
      <c r="AZ152" s="759" t="b">
        <f>IF($L152="",FALSE,IF($L152&gt;$BP152,TRUE,FALSE))</f>
        <v>0</v>
      </c>
      <c r="BA152" s="759" t="b">
        <f>IF(H152=0,FALSE,IF(AND(E152&lt;&gt;"",$L152=""),TRUE,FALSE))</f>
        <v>0</v>
      </c>
      <c r="BB152" s="759" t="b">
        <f>IF(AND($AJ152&lt;&gt;0,$H152&lt;&gt;$BJ152,$N152="LF"),TRUE,IF(AND($AJ152&lt;&gt;0,$J152&lt;&gt;$AJ152,$N152="TF"),TRUE,IF(AND($AJ152&lt;&gt;0,$AJ152&lt;&gt;1,$N152="%"),TRUE,FALSE)))</f>
        <v>0</v>
      </c>
      <c r="BC152" s="759" t="b">
        <f>IF(AT152="No", IF(OR(P152="", R152="", T152="", V152="", X152="", Z152="", AB152="", AD152="", AF152="", AH152=""), TRUE, FALSE), FALSE)</f>
        <v>0</v>
      </c>
      <c r="BD152" s="759" t="b">
        <f>IF($BE152=TRUE,FALSE,IF(OR($AL152&lt;0,$AL152&gt;1),TRUE,FALSE))</f>
        <v>0</v>
      </c>
      <c r="BE152" s="759" t="b">
        <f>IF(AND($H152&lt;&gt;0,$AL152=""),TRUE,FALSE)</f>
        <v>0</v>
      </c>
      <c r="BF152" s="759" t="b">
        <f>IF(N152="%",TRUE,FALSE)</f>
        <v>0</v>
      </c>
      <c r="BG152" s="760"/>
      <c r="BH152" s="1678">
        <f>IF($C152="","",VLOOKUP($C152,val_fg_assets,9,FALSE))</f>
        <v>1</v>
      </c>
      <c r="BI152" s="1678" t="str">
        <f>IF(N152="", "", IF(N152="LF", H152, IF(N152="TF", J152, IF(N152="%", 1, ""))))</f>
        <v/>
      </c>
      <c r="BJ152" s="1679">
        <f>P152+R152+T152+V152+X152+Z152+AB152+AD152+AF152+AH152</f>
        <v>0</v>
      </c>
      <c r="BK152" s="1679" t="str">
        <f>IF(BI152="", "", BI152-BJ152)</f>
        <v/>
      </c>
      <c r="BL152" s="1679">
        <f>IF($C152="","",VLOOKUP($C152,val_fg_assets,3,FALSE))</f>
        <v>0</v>
      </c>
      <c r="BM152" s="1679">
        <f>IF($C152="","",VLOOKUP($C152,val_fg_assets,4,FALSE))</f>
        <v>1320000</v>
      </c>
      <c r="BN152" s="1678">
        <f>IF($C152="","",VLOOKUP($C152,val_fg_assets,5,FALSE))</f>
        <v>80</v>
      </c>
      <c r="BO152" s="1678">
        <f>IF($C152="","",VLOOKUP($C152,val_fg_assets,6,FALSE))</f>
        <v>60</v>
      </c>
      <c r="BP152" s="1678">
        <f>IF($C152="","",VLOOKUP($C152,val_fg_assets,7,FALSE))</f>
        <v>100</v>
      </c>
      <c r="BQ152" s="1399"/>
    </row>
    <row r="153" spans="1:69" s="782" customFormat="1" ht="3.95" customHeight="1" thickBot="1" x14ac:dyDescent="0.25">
      <c r="A153" s="852"/>
      <c r="B153" s="1790">
        <v>141</v>
      </c>
      <c r="C153" s="850"/>
      <c r="D153" s="1841"/>
      <c r="E153" s="1058"/>
      <c r="F153" s="686"/>
      <c r="G153" s="686"/>
      <c r="H153" s="1909"/>
      <c r="I153" s="1907"/>
      <c r="J153" s="1908"/>
      <c r="K153" s="1908"/>
      <c r="L153" s="1909"/>
      <c r="M153" s="1910"/>
      <c r="N153" s="1910"/>
      <c r="O153" s="1910"/>
      <c r="P153" s="1866"/>
      <c r="Q153" s="1867"/>
      <c r="R153" s="1866"/>
      <c r="S153" s="1867"/>
      <c r="T153" s="1866"/>
      <c r="U153" s="1867"/>
      <c r="V153" s="1866"/>
      <c r="W153" s="1867"/>
      <c r="X153" s="1866"/>
      <c r="Y153" s="1867"/>
      <c r="Z153" s="1867"/>
      <c r="AA153" s="1867"/>
      <c r="AB153" s="1867"/>
      <c r="AC153" s="1867"/>
      <c r="AD153" s="1867"/>
      <c r="AE153" s="1867"/>
      <c r="AF153" s="1867"/>
      <c r="AG153" s="1867"/>
      <c r="AH153" s="1867"/>
      <c r="AI153" s="837"/>
      <c r="AJ153" s="1806"/>
      <c r="AK153" s="841"/>
      <c r="AL153" s="1806"/>
      <c r="AM153" s="1399"/>
      <c r="AN153" s="838"/>
      <c r="AO153" s="1399"/>
      <c r="AP153" s="1399"/>
      <c r="AQ153" s="1399"/>
      <c r="AS153" s="1399"/>
      <c r="AT153" s="1399"/>
      <c r="AU153" s="759"/>
      <c r="AV153" s="759"/>
      <c r="AW153" s="759"/>
      <c r="AX153" s="759"/>
      <c r="AY153" s="759"/>
      <c r="AZ153" s="759"/>
      <c r="BA153" s="759"/>
      <c r="BB153" s="759"/>
      <c r="BC153" s="759"/>
      <c r="BD153" s="759"/>
      <c r="BE153" s="759"/>
      <c r="BF153" s="759"/>
      <c r="BG153" s="760"/>
      <c r="BH153" s="1678"/>
      <c r="BI153" s="1678"/>
      <c r="BJ153" s="1678"/>
      <c r="BK153" s="1678"/>
      <c r="BL153" s="1679"/>
      <c r="BM153" s="1679"/>
      <c r="BN153" s="1678"/>
      <c r="BO153" s="1678"/>
      <c r="BP153" s="1678"/>
      <c r="BQ153" s="1399"/>
    </row>
    <row r="154" spans="1:69" s="782" customFormat="1" x14ac:dyDescent="0.2">
      <c r="A154" s="1712" t="s">
        <v>2621</v>
      </c>
      <c r="B154" s="1791">
        <v>142</v>
      </c>
      <c r="C154" s="850"/>
      <c r="D154" s="1841"/>
      <c r="E154" s="816"/>
      <c r="F154" s="686"/>
      <c r="G154" s="686"/>
      <c r="H154" s="1914">
        <f>SUM(H128:H152)</f>
        <v>0</v>
      </c>
      <c r="I154" s="1915"/>
      <c r="J154" s="1914">
        <f>SUM(J128:J152)</f>
        <v>0</v>
      </c>
      <c r="K154" s="1880"/>
      <c r="L154" s="1880" t="str">
        <f>IF(C124="","&lt;&lt;Total Guideway (Excluding Track) in Linear Feet and Track Feet","&lt;&lt;Total "&amp;VLOOKUP(C124,Codes!$C$156:$D$174,2)&amp;" Guideway (Excluding Track) in Linear Feet and Track Feet")</f>
        <v>&lt;&lt;Total Guideway (Excluding Track) in Linear Feet and Track Feet</v>
      </c>
      <c r="M154" s="1910"/>
      <c r="N154" s="1910"/>
      <c r="O154" s="1910"/>
      <c r="P154" s="1916"/>
      <c r="Q154" s="1867"/>
      <c r="R154" s="1916"/>
      <c r="S154" s="1867"/>
      <c r="T154" s="1916"/>
      <c r="U154" s="1867"/>
      <c r="V154" s="1916"/>
      <c r="W154" s="1867"/>
      <c r="X154" s="1916"/>
      <c r="Y154" s="1867"/>
      <c r="Z154" s="1867"/>
      <c r="AA154" s="1867"/>
      <c r="AB154" s="1867"/>
      <c r="AC154" s="1867"/>
      <c r="AD154" s="1867"/>
      <c r="AE154" s="1867"/>
      <c r="AF154" s="1867"/>
      <c r="AG154" s="1867"/>
      <c r="AH154" s="1867"/>
      <c r="AI154" s="837"/>
      <c r="AJ154" s="1806"/>
      <c r="AK154" s="841"/>
      <c r="AL154" s="1806"/>
      <c r="AM154" s="1399"/>
      <c r="AN154" s="838"/>
      <c r="AO154" s="1399"/>
      <c r="AP154" s="1399"/>
      <c r="AQ154" s="1399"/>
      <c r="AS154" s="1399"/>
      <c r="AT154" s="1399"/>
      <c r="AU154" s="759"/>
      <c r="AV154" s="759"/>
      <c r="AW154" s="759"/>
      <c r="AX154" s="759"/>
      <c r="AY154" s="759"/>
      <c r="AZ154" s="759"/>
      <c r="BA154" s="759"/>
      <c r="BB154" s="759"/>
      <c r="BC154" s="759"/>
      <c r="BD154" s="759"/>
      <c r="BE154" s="759"/>
      <c r="BF154" s="759"/>
      <c r="BG154" s="760"/>
      <c r="BH154" s="1678"/>
      <c r="BI154" s="1678"/>
      <c r="BJ154" s="1678"/>
      <c r="BK154" s="1678"/>
      <c r="BL154" s="1679"/>
      <c r="BM154" s="1679"/>
      <c r="BN154" s="1678"/>
      <c r="BO154" s="1678"/>
      <c r="BP154" s="1678"/>
      <c r="BQ154" s="1399"/>
    </row>
    <row r="155" spans="1:69" s="686" customFormat="1" x14ac:dyDescent="0.2">
      <c r="A155" s="1712" t="s">
        <v>2621</v>
      </c>
      <c r="B155" s="1791">
        <v>143</v>
      </c>
      <c r="C155" s="844" t="str">
        <f>IF(C124="","Power and Signals",VLOOKUP(C124,Codes!$C$156:$D$174,2)&amp;" Power and Signals")</f>
        <v>Power and Signals</v>
      </c>
      <c r="D155" s="1709"/>
      <c r="E155" s="1057"/>
      <c r="F155" s="764"/>
      <c r="G155" s="764"/>
      <c r="H155" s="1917"/>
      <c r="I155" s="1880"/>
      <c r="J155" s="1651"/>
      <c r="K155" s="1651"/>
      <c r="L155" s="1917"/>
      <c r="M155" s="1651"/>
      <c r="N155" s="1651"/>
      <c r="O155" s="1651"/>
      <c r="P155" s="1916"/>
      <c r="Q155" s="1867"/>
      <c r="R155" s="1916"/>
      <c r="S155" s="1867"/>
      <c r="T155" s="1916"/>
      <c r="U155" s="1867"/>
      <c r="V155" s="1916"/>
      <c r="W155" s="1867"/>
      <c r="X155" s="1916"/>
      <c r="Y155" s="1651"/>
      <c r="Z155" s="1651"/>
      <c r="AA155" s="1651"/>
      <c r="AB155" s="1651"/>
      <c r="AC155" s="1651"/>
      <c r="AD155" s="1651"/>
      <c r="AE155" s="1651"/>
      <c r="AF155" s="1651"/>
      <c r="AG155" s="1651"/>
      <c r="AH155" s="1651"/>
      <c r="AJ155" s="1676"/>
      <c r="AL155" s="1676"/>
      <c r="AP155" s="1223"/>
      <c r="AU155" s="848"/>
      <c r="AV155" s="848"/>
      <c r="AW155" s="848"/>
      <c r="AX155" s="848"/>
      <c r="AY155" s="759"/>
      <c r="AZ155" s="759"/>
      <c r="BA155" s="848"/>
      <c r="BB155" s="759"/>
      <c r="BC155" s="848"/>
      <c r="BD155" s="848"/>
      <c r="BE155" s="848"/>
      <c r="BF155" s="848"/>
      <c r="BH155" s="1680"/>
      <c r="BI155" s="1680"/>
      <c r="BJ155" s="1680"/>
      <c r="BK155" s="1680"/>
      <c r="BL155" s="1680"/>
      <c r="BM155" s="1680"/>
      <c r="BN155" s="1680"/>
      <c r="BO155" s="1680"/>
      <c r="BP155" s="1680"/>
    </row>
    <row r="156" spans="1:69" s="686" customFormat="1" ht="26.25" thickBot="1" x14ac:dyDescent="0.25">
      <c r="A156" s="1712" t="s">
        <v>2621</v>
      </c>
      <c r="B156" s="1791">
        <v>144</v>
      </c>
      <c r="C156" s="1674"/>
      <c r="D156" s="1709"/>
      <c r="E156" s="1057"/>
      <c r="H156" s="1903" t="s">
        <v>13</v>
      </c>
      <c r="I156" s="1651"/>
      <c r="J156" s="1651"/>
      <c r="K156" s="1651"/>
      <c r="L156" s="1909"/>
      <c r="M156" s="1909"/>
      <c r="N156" s="1909"/>
      <c r="O156" s="1909"/>
      <c r="P156" s="1903" t="str">
        <f>P$9</f>
        <v>Pre-1920</v>
      </c>
      <c r="Q156" s="1869"/>
      <c r="R156" s="1903" t="str">
        <f>R$9</f>
        <v>1920-
1929</v>
      </c>
      <c r="S156" s="1869"/>
      <c r="T156" s="1903" t="str">
        <f>T$9</f>
        <v>1930-
1939</v>
      </c>
      <c r="U156" s="1869"/>
      <c r="V156" s="1903" t="str">
        <f>V$9</f>
        <v>1940-
1949</v>
      </c>
      <c r="W156" s="1869"/>
      <c r="X156" s="1903" t="str">
        <f>X$9</f>
        <v>1950-
1959</v>
      </c>
      <c r="Y156" s="1868"/>
      <c r="Z156" s="1903" t="str">
        <f>Z$9</f>
        <v>1960-
1969</v>
      </c>
      <c r="AA156" s="1868"/>
      <c r="AB156" s="1903" t="str">
        <f>AB$9</f>
        <v>1970-
1979</v>
      </c>
      <c r="AC156" s="1868"/>
      <c r="AD156" s="1903" t="str">
        <f>AD$9</f>
        <v>1980-
1989</v>
      </c>
      <c r="AE156" s="1868"/>
      <c r="AF156" s="1903" t="str">
        <f>AF$9</f>
        <v>1990-
1999</v>
      </c>
      <c r="AG156" s="1868"/>
      <c r="AH156" s="1903" t="str">
        <f>AH$9</f>
        <v>2000-
present</v>
      </c>
      <c r="AJ156" s="1676"/>
      <c r="AL156" s="1676"/>
      <c r="AP156" s="1394"/>
      <c r="AU156" s="848"/>
      <c r="AV156" s="848"/>
      <c r="AW156" s="848"/>
      <c r="AX156" s="848"/>
      <c r="AY156" s="759"/>
      <c r="AZ156" s="759"/>
      <c r="BA156" s="848"/>
      <c r="BB156" s="759"/>
      <c r="BC156" s="848"/>
      <c r="BD156" s="848"/>
      <c r="BE156" s="848"/>
      <c r="BF156" s="848"/>
      <c r="BH156" s="1680"/>
      <c r="BI156" s="1680"/>
      <c r="BJ156" s="1680"/>
      <c r="BK156" s="1680"/>
      <c r="BL156" s="1680"/>
      <c r="BM156" s="1680"/>
      <c r="BN156" s="1680"/>
      <c r="BO156" s="1680"/>
      <c r="BP156" s="1680"/>
    </row>
    <row r="157" spans="1:69" s="686" customFormat="1" x14ac:dyDescent="0.2">
      <c r="A157" s="852">
        <f>A152+1</f>
        <v>38</v>
      </c>
      <c r="B157" s="1790">
        <v>145</v>
      </c>
      <c r="C157" s="851" t="str">
        <f>Valid!$B$87</f>
        <v>Substation Building</v>
      </c>
      <c r="D157" s="1709"/>
      <c r="E157" s="1245" t="str">
        <f>IF(AT157="N/A","",IF(AT157="N","No","Yes"))</f>
        <v/>
      </c>
      <c r="H157" s="1864"/>
      <c r="I157" s="1904" t="str">
        <f>IF(AND(C124&lt;&gt;"", H157=""),"Qty? Enter Zero if N/A  ","")</f>
        <v/>
      </c>
      <c r="J157" s="1918"/>
      <c r="K157" s="1651"/>
      <c r="L157" s="1864"/>
      <c r="M157" s="1870" t="str">
        <f>IF($H157=0,"",IF($L157="",TEXT(BN157,0)&amp;" Years?    ",""))</f>
        <v/>
      </c>
      <c r="N157" s="1905"/>
      <c r="O157" s="1870"/>
      <c r="P157" s="1864"/>
      <c r="Q157" s="1865" t="str">
        <f>IF(OR($N157="", AND($N157="",OR($H157="",$H157=0))),"",IF(AND($N157="Quantity",$AJ157&lt;$H157),"0 - "&amp;TEXT($H157-$AJ157,"0")&amp;" buildings?    ",IF(AND($N157="%",$AJ157&lt;1),REPLACE(IF(AND($P157&gt;0,$V157&gt;0,$T157&gt;0,$X157&gt;0,$R157&gt;0,$Z157&gt;0,$AB157&gt;0,$AD157&gt;0,$AF157&gt;0,$AH157&gt;0),"","0-"),99,0,REPLACE(TEXT(100-$AJ157,0),99,0,"?    ")),"")))</f>
        <v/>
      </c>
      <c r="R157" s="1864"/>
      <c r="S157" s="1865" t="str">
        <f>IF(OR($N157="", AND($N157="",OR($H157="",$H157=0))),"",IF(AND($N157="Quantity",$AJ157&lt;$H157),"0 - "&amp;TEXT($H157-$AJ157,"0")&amp;" buildings?    ",IF(AND($N157="%",$AJ157&lt;1),REPLACE(IF(AND($P157&gt;0,$V157&gt;0,$T157&gt;0,$X157&gt;0,$R157&gt;0,$Z157&gt;0,$AB157&gt;0,$AD157&gt;0,$AF157&gt;0,$AH157&gt;0),"","0-"),99,0,REPLACE(TEXT(100-$AJ157,0),99,0,"?    ")),"")))</f>
        <v/>
      </c>
      <c r="T157" s="1864"/>
      <c r="U157" s="1865" t="str">
        <f>IF(OR($N157="", AND($N157="",OR($H157="",$H157=0))),"",IF(AND($N157="Quantity",$AJ157&lt;$H157),"0 - "&amp;TEXT($H157-$AJ157,"0")&amp;" buildings?    ",IF(AND($N157="%",$AJ157&lt;1),REPLACE(IF(AND($P157&gt;0,$V157&gt;0,$T157&gt;0,$X157&gt;0,$R157&gt;0,$Z157&gt;0,$AB157&gt;0,$AD157&gt;0,$AF157&gt;0,$AH157&gt;0),"","0-"),99,0,REPLACE(TEXT(100-$AJ157,0),99,0,"?    ")),"")))</f>
        <v/>
      </c>
      <c r="V157" s="1864"/>
      <c r="W157" s="1865" t="str">
        <f>IF(OR($N157="", AND($N157="",OR($H157="",$H157=0))),"",IF(AND($N157="Quantity",$AJ157&lt;$H157),"0 - "&amp;TEXT($H157-$AJ157,"0")&amp;" buildings?    ",IF(AND($N157="%",$AJ157&lt;1),REPLACE(IF(AND($P157&gt;0,$V157&gt;0,$T157&gt;0,$X157&gt;0,$R157&gt;0,$Z157&gt;0,$AB157&gt;0,$AD157&gt;0,$AF157&gt;0,$AH157&gt;0),"","0-"),99,0,REPLACE(TEXT(100-$AJ157,0),99,0,"?    ")),"")))</f>
        <v/>
      </c>
      <c r="X157" s="1864"/>
      <c r="Y157" s="1865" t="str">
        <f>IF(OR($N157="", AND($N157="",OR($H157="",$H157=0))),"",IF(AND($N157="Quantity",$AJ157&lt;$H157),"0 - "&amp;TEXT($H157-$AJ157,"0")&amp;" buildings?    ",IF(AND($N157="%",$AJ157&lt;1),REPLACE(IF(AND($P157&gt;0,$V157&gt;0,$T157&gt;0,$X157&gt;0,$R157&gt;0,$Z157&gt;0,$AB157&gt;0,$AD157&gt;0,$AF157&gt;0,$AH157&gt;0),"","0-"),99,0,REPLACE(TEXT(100-$AJ157,0),99,0,"?    ")),"")))</f>
        <v/>
      </c>
      <c r="Z157" s="1864"/>
      <c r="AA157" s="1865" t="str">
        <f>IF(OR($N157="", AND($N157="",OR($H157="",$H157=0))),"",IF(AND($N157="Quantity",$AJ157&lt;$H157),"0 - "&amp;TEXT($H157-$AJ157,"0")&amp;" buildings?    ",IF(AND($N157="%",$AJ157&lt;1),REPLACE(IF(AND($P157&gt;0,$V157&gt;0,$T157&gt;0,$X157&gt;0,$R157&gt;0,$Z157&gt;0,$AB157&gt;0,$AD157&gt;0,$AF157&gt;0,$AH157&gt;0),"","0-"),99,0,REPLACE(TEXT(100-$AJ157,0),99,0,"?    ")),"")))</f>
        <v/>
      </c>
      <c r="AB157" s="1864"/>
      <c r="AC157" s="1865" t="str">
        <f>IF(OR($N157="", AND($N157="",OR($H157="",$H157=0))),"",IF(AND($N157="Quantity",$AJ157&lt;$H157),"0 - "&amp;TEXT($H157-$AJ157,"0")&amp;" buildings?    ",IF(AND($N157="%",$AJ157&lt;1),REPLACE(IF(AND($P157&gt;0,$V157&gt;0,$T157&gt;0,$X157&gt;0,$R157&gt;0,$Z157&gt;0,$AB157&gt;0,$AD157&gt;0,$AF157&gt;0,$AH157&gt;0),"","0-"),99,0,REPLACE(TEXT(100-$AJ157,0),99,0,"?    ")),"")))</f>
        <v/>
      </c>
      <c r="AD157" s="1864"/>
      <c r="AE157" s="1865" t="str">
        <f>IF(OR($N157="", AND($N157="",OR($H157="",$H157=0))),"",IF(AND($N157="Quantity",$AJ157&lt;$H157),"0 - "&amp;TEXT($H157-$AJ157,"0")&amp;" buildings?    ",IF(AND($N157="%",$AJ157&lt;1),REPLACE(IF(AND($P157&gt;0,$V157&gt;0,$T157&gt;0,$X157&gt;0,$R157&gt;0,$Z157&gt;0,$AB157&gt;0,$AD157&gt;0,$AF157&gt;0,$AH157&gt;0),"","0-"),99,0,REPLACE(TEXT(100-$AJ157,0),99,0,"?    ")),"")))</f>
        <v/>
      </c>
      <c r="AF157" s="1864"/>
      <c r="AG157" s="1865" t="str">
        <f>IF(OR($N157="", AND($N157="",OR($H157="",$H157=0))),"",IF(AND($N157="Quantity",$AJ157&lt;$H157),"0 - "&amp;TEXT($H157-$AJ157,"0")&amp;" buildings?    ",IF(AND($N157="%",$AJ157&lt;1),REPLACE(IF(AND($P157&gt;0,$V157&gt;0,$T157&gt;0,$X157&gt;0,$R157&gt;0,$Z157&gt;0,$AB157&gt;0,$AD157&gt;0,$AF157&gt;0,$AH157&gt;0),"","0-"),99,0,REPLACE(TEXT(100-$AJ157,0),99,0,"?    ")),"")))</f>
        <v/>
      </c>
      <c r="AH157" s="1864"/>
      <c r="AI157" s="1865" t="str">
        <f>IF(OR($N157="", AND($N157="",OR($H157="",$H157=0))),"",IF(AND($N157="Quantity",$AJ157&lt;$H157),"0 - "&amp;TEXT($H157-$AJ157,"0")&amp;" buildings?    ",IF(AND($N157="%",$AJ157&lt;1),REPLACE(IF(AND($P157&gt;0,$V157&gt;0,$T157&gt;0,$X157&gt;0,$R157&gt;0,$Z157&gt;0,$AB157&gt;0,$AD157&gt;0,$AF157&gt;0,$AH157&gt;0),"","0-"),99,0,REPLACE(TEXT(100-$AJ157,0),99,0,"?    ")),"")))</f>
        <v/>
      </c>
      <c r="AJ157" s="1833">
        <f>IFERROR(IF(N157="%", SUM(P157,R157,T157,V157,X157,Z157,AB157,AD157,AF157,AH157)/100, SUM(P157,R157,T157,V157,X157,Z157,AB157,AD157,AF157,AH157)/H157), 0)</f>
        <v>0</v>
      </c>
      <c r="AL157" s="1832"/>
      <c r="AN157" s="1276"/>
      <c r="AP157" s="1653"/>
      <c r="AT157" s="1624" t="str">
        <f>IF(AND($C$124="", H157=""), "N/A", IF(OR(AND(ISNUMBER(H157), H157=0), AND(AJ157=1, H157&lt;&gt;"", L157&lt;&gt;"", N157&lt;&gt;"", P157&lt;&gt;"", R157&lt;&gt;"", T157&lt;&gt;"", V157&lt;&gt;"", X157&lt;&gt;"", Z157&lt;&gt;"", AB157&lt;&gt;"", AD157&lt;&gt;"", AF157&lt;&gt;"", AH157&lt;&gt;"",AL157&lt;&gt;"", IF(AND(AL157&lt;1, AN157=""), FALSE, TRUE))), "Yes", "No"))</f>
        <v>N/A</v>
      </c>
      <c r="AU157" s="759" t="b">
        <f>IF(AND(H157="",OR(L157&lt;&gt;"",P157&lt;&gt;"",R157&lt;&gt;"",T157&lt;&gt;"",V157&lt;&gt;"",X157&lt;&gt;"",AL157&lt;&gt;"",Z157&lt;&gt;"",AB157&lt;&gt;"",AD157&lt;&gt;"",AF157&lt;&gt;"",AH157&lt;&gt;"")),TRUE,FALSE)</f>
        <v>0</v>
      </c>
      <c r="AV157" s="759" t="b">
        <f>IF(OR(H157="",H157=0),FALSE,IF(H157&gt;BM157,TRUE,FALSE))</f>
        <v>0</v>
      </c>
      <c r="AW157" s="759" t="b">
        <f>IF(AND($C$124&lt;&gt;"",$H157=""),TRUE,FALSE)</f>
        <v>0</v>
      </c>
      <c r="AX157" s="759"/>
      <c r="AY157" s="759" t="b">
        <f>IF($L157="",FALSE,IF($L157&lt;$BO157,TRUE,FALSE))</f>
        <v>0</v>
      </c>
      <c r="AZ157" s="759" t="b">
        <f>IF($L157="",FALSE,IF($L157&gt;$BP157,TRUE,FALSE))</f>
        <v>0</v>
      </c>
      <c r="BA157" s="759" t="b">
        <f>IF(H157=0,FALSE,IF(AND(E157&lt;&gt;"",$L157=""),TRUE,FALSE))</f>
        <v>0</v>
      </c>
      <c r="BB157" s="759" t="b">
        <f>IF(AND($AJ157&lt;&gt;0,$H157&lt;$AJ157,$N157="LF"),TRUE,IF(AND($N157="LF",H157&lt;&gt;"",H157=AJ157),FALSE,IF(AND($AJ157&lt;&gt;0,$AJ157&gt;"100%",$N157="%"),TRUE,FALSE)))</f>
        <v>0</v>
      </c>
      <c r="BC157" s="759" t="b">
        <f>IF(AT157="No", IF(OR(P157="", R157="", T157="", V157="", X157="", Z157="", AB157="", AD157="", AF157="", AH157=""), TRUE, FALSE), FALSE)</f>
        <v>0</v>
      </c>
      <c r="BD157" s="759" t="b">
        <f>IF($BE157=TRUE,FALSE,IF(OR($AL157&lt;0,$AL157&gt;1),TRUE,FALSE))</f>
        <v>0</v>
      </c>
      <c r="BE157" s="759" t="b">
        <f>IF(AND($H157&lt;&gt;0,$AL157=""),TRUE,FALSE)</f>
        <v>0</v>
      </c>
      <c r="BF157" s="759"/>
      <c r="BH157" s="1678"/>
      <c r="BI157" s="1678" t="str">
        <f>IF(N157="", "", IF(N157="Quantity", H157, IF(N157="%", 1, "")))</f>
        <v/>
      </c>
      <c r="BJ157" s="1679">
        <f>P157+R157+T157+V157+X157+Z157+AB157+AD157+AF157+AH157</f>
        <v>0</v>
      </c>
      <c r="BK157" s="1679" t="str">
        <f>IF(BI157="", "", BI157-BJ157)</f>
        <v/>
      </c>
      <c r="BL157" s="1678">
        <f>IF($C157="","",VLOOKUP($C157,Valid!$B$87:$F$96,3,FALSE))</f>
        <v>0</v>
      </c>
      <c r="BM157" s="1678">
        <f>IF($C157="","",VLOOKUP($C157,Valid!$B$87:$F$96,4,FALSE))</f>
        <v>35</v>
      </c>
      <c r="BN157" s="1678">
        <f>IF($C157="","",VLOOKUP($C157,Valid!$B$87:$F$96,5,FALSE))</f>
        <v>100</v>
      </c>
      <c r="BO157" s="1678">
        <f>IF($C157="","",VLOOKUP($C157,Valid!$B$87:$G$96,6,FALSE))</f>
        <v>75</v>
      </c>
      <c r="BP157" s="1678">
        <f>IF($C157="","",VLOOKUP($C157,Valid!$B$87:$Z$96,7,FALSE))</f>
        <v>125</v>
      </c>
    </row>
    <row r="158" spans="1:69" s="686" customFormat="1" ht="3.95" customHeight="1" x14ac:dyDescent="0.2">
      <c r="B158" s="1790">
        <v>146</v>
      </c>
      <c r="C158" s="1674"/>
      <c r="D158" s="1709"/>
      <c r="E158" s="1057"/>
      <c r="H158" s="1917"/>
      <c r="I158" s="1651"/>
      <c r="J158" s="1651"/>
      <c r="K158" s="1651"/>
      <c r="L158" s="1917"/>
      <c r="M158" s="1651"/>
      <c r="N158" s="1651"/>
      <c r="O158" s="1651"/>
      <c r="P158" s="1866"/>
      <c r="Q158" s="1867"/>
      <c r="R158" s="1866"/>
      <c r="S158" s="1867"/>
      <c r="T158" s="1866"/>
      <c r="U158" s="1867"/>
      <c r="V158" s="1866"/>
      <c r="W158" s="1867"/>
      <c r="X158" s="1866"/>
      <c r="Y158" s="1867"/>
      <c r="Z158" s="1867"/>
      <c r="AA158" s="1867"/>
      <c r="AB158" s="1867"/>
      <c r="AC158" s="1867"/>
      <c r="AD158" s="1867"/>
      <c r="AE158" s="1867"/>
      <c r="AF158" s="1867"/>
      <c r="AG158" s="1867"/>
      <c r="AH158" s="1867"/>
      <c r="AJ158" s="1676"/>
      <c r="AL158" s="1676"/>
      <c r="AP158" s="1394"/>
      <c r="AU158" s="848"/>
      <c r="AV158" s="848"/>
      <c r="AW158" s="848"/>
      <c r="AX158" s="848"/>
      <c r="AY158" s="759"/>
      <c r="AZ158" s="759"/>
      <c r="BA158" s="848"/>
      <c r="BB158" s="759"/>
      <c r="BC158" s="848"/>
      <c r="BD158" s="848"/>
      <c r="BE158" s="848"/>
      <c r="BF158" s="848"/>
      <c r="BH158" s="1680"/>
      <c r="BI158" s="1680"/>
      <c r="BJ158" s="1680"/>
      <c r="BK158" s="1680"/>
      <c r="BL158" s="1680"/>
      <c r="BM158" s="1680"/>
      <c r="BN158" s="1680"/>
      <c r="BO158" s="1680"/>
      <c r="BP158" s="1680"/>
    </row>
    <row r="159" spans="1:69" s="686" customFormat="1" ht="3.95" customHeight="1" thickBot="1" x14ac:dyDescent="0.25">
      <c r="B159" s="1791">
        <v>147</v>
      </c>
      <c r="C159" s="1674"/>
      <c r="D159" s="1709"/>
      <c r="E159" s="1057"/>
      <c r="H159" s="1917"/>
      <c r="I159" s="1651"/>
      <c r="J159" s="1651"/>
      <c r="K159" s="1651"/>
      <c r="L159" s="1917"/>
      <c r="M159" s="1651"/>
      <c r="N159" s="1651"/>
      <c r="O159" s="1651"/>
      <c r="P159" s="1868"/>
      <c r="Q159" s="1869"/>
      <c r="R159" s="1868"/>
      <c r="S159" s="1869"/>
      <c r="T159" s="1868"/>
      <c r="U159" s="1869"/>
      <c r="V159" s="1868"/>
      <c r="W159" s="1869"/>
      <c r="X159" s="1868"/>
      <c r="Y159" s="1869"/>
      <c r="Z159" s="1869"/>
      <c r="AA159" s="1869"/>
      <c r="AB159" s="1869"/>
      <c r="AC159" s="1869"/>
      <c r="AD159" s="1869"/>
      <c r="AE159" s="1869"/>
      <c r="AF159" s="1869"/>
      <c r="AG159" s="1869"/>
      <c r="AH159" s="1869"/>
      <c r="AJ159" s="1676"/>
      <c r="AL159" s="1676"/>
      <c r="AP159" s="1394"/>
      <c r="AU159" s="848"/>
      <c r="AV159" s="848"/>
      <c r="AW159" s="848"/>
      <c r="AX159" s="848"/>
      <c r="AY159" s="759"/>
      <c r="AZ159" s="759"/>
      <c r="BA159" s="848"/>
      <c r="BB159" s="759"/>
      <c r="BC159" s="848"/>
      <c r="BD159" s="848"/>
      <c r="BE159" s="848"/>
      <c r="BF159" s="848"/>
      <c r="BH159" s="1680"/>
      <c r="BI159" s="1680"/>
      <c r="BJ159" s="1680"/>
      <c r="BK159" s="1680"/>
      <c r="BL159" s="1680"/>
      <c r="BM159" s="1680"/>
      <c r="BN159" s="1680"/>
      <c r="BO159" s="1680"/>
      <c r="BP159" s="1680"/>
    </row>
    <row r="160" spans="1:69" s="686" customFormat="1" x14ac:dyDescent="0.2">
      <c r="A160" s="852">
        <f>A157+1</f>
        <v>39</v>
      </c>
      <c r="B160" s="1791">
        <v>148</v>
      </c>
      <c r="C160" s="851" t="str">
        <f>Valid!$B$88</f>
        <v>Substation Equipment</v>
      </c>
      <c r="D160" s="1709"/>
      <c r="E160" s="1245" t="str">
        <f>IF(AT160="N/A","",IF(AT160="N","No","Yes"))</f>
        <v/>
      </c>
      <c r="H160" s="1917"/>
      <c r="I160" s="1904"/>
      <c r="J160" s="1919"/>
      <c r="K160" s="1651"/>
      <c r="L160" s="1864"/>
      <c r="M160" s="1920" t="str">
        <f>IF(AND(H157&lt;&gt;"", L160=""),REPLACE(TEXT(BN160,0),99,0," Yrs.?    "),"")</f>
        <v/>
      </c>
      <c r="N160" s="1921"/>
      <c r="O160" s="1870"/>
      <c r="P160" s="1864"/>
      <c r="Q160" s="1865" t="str">
        <f>IF(OR($N160="", AND($N160="",OR($H160="",$H160=0))),"",IF(AND($N160="Quantity",$AJ160&lt;$H160),"0 - "&amp;TEXT($H160-$AJ160,"0")&amp;" buildings?    ",IF(AND($N160="%",$AJ160&lt;1),REPLACE(IF(AND($P160&gt;0,$V160&gt;0,$T160&gt;0,$X160&gt;0,$R160&gt;0,$Z160&gt;0,$AB160&gt;0,$AD160&gt;0,$AF160&gt;0,$AH160&gt;0),"","0-"),99,0,REPLACE(TEXT(100-$AJ160,0),99,0,"?    ")),"")))</f>
        <v/>
      </c>
      <c r="R160" s="1864"/>
      <c r="S160" s="1865" t="str">
        <f>IF(OR($N160="", AND($N160="",OR($H160="",$H160=0))),"",IF(AND($N160="Quantity",$AJ160&lt;$H160),"0 - "&amp;TEXT($H160-$AJ160,"0")&amp;" buildings?    ",IF(AND($N160="%",$AJ160&lt;1),REPLACE(IF(AND($P160&gt;0,$V160&gt;0,$T160&gt;0,$X160&gt;0,$R160&gt;0,$Z160&gt;0,$AB160&gt;0,$AD160&gt;0,$AF160&gt;0,$AH160&gt;0),"","0-"),99,0,REPLACE(TEXT(100-$AJ160,0),99,0,"?    ")),"")))</f>
        <v/>
      </c>
      <c r="T160" s="1864"/>
      <c r="U160" s="1865" t="str">
        <f>IF(OR($N160="", AND($N160="",OR($H160="",$H160=0))),"",IF(AND($N160="Quantity",$AJ160&lt;$H160),"0 - "&amp;TEXT($H160-$AJ160,"0")&amp;" buildings?    ",IF(AND($N160="%",$AJ160&lt;1),REPLACE(IF(AND($P160&gt;0,$V160&gt;0,$T160&gt;0,$X160&gt;0,$R160&gt;0,$Z160&gt;0,$AB160&gt;0,$AD160&gt;0,$AF160&gt;0,$AH160&gt;0),"","0-"),99,0,REPLACE(TEXT(100-$AJ160,0),99,0,"?    ")),"")))</f>
        <v/>
      </c>
      <c r="V160" s="1864"/>
      <c r="W160" s="1865" t="str">
        <f>IF(OR($N160="", AND($N160="",OR($H160="",$H160=0))),"",IF(AND($N160="Quantity",$AJ160&lt;$H160),"0 - "&amp;TEXT($H160-$AJ160,"0")&amp;" buildings?    ",IF(AND($N160="%",$AJ160&lt;1),REPLACE(IF(AND($P160&gt;0,$V160&gt;0,$T160&gt;0,$X160&gt;0,$R160&gt;0,$Z160&gt;0,$AB160&gt;0,$AD160&gt;0,$AF160&gt;0,$AH160&gt;0),"","0-"),99,0,REPLACE(TEXT(100-$AJ160,0),99,0,"?    ")),"")))</f>
        <v/>
      </c>
      <c r="X160" s="1864"/>
      <c r="Y160" s="1865" t="str">
        <f>IF(OR($N160="", AND($N160="",OR($H160="",$H160=0))),"",IF(AND($N160="Quantity",$AJ160&lt;$H160),"0 - "&amp;TEXT($H160-$AJ160,"0")&amp;" buildings?    ",IF(AND($N160="%",$AJ160&lt;1),REPLACE(IF(AND($P160&gt;0,$V160&gt;0,$T160&gt;0,$X160&gt;0,$R160&gt;0,$Z160&gt;0,$AB160&gt;0,$AD160&gt;0,$AF160&gt;0,$AH160&gt;0),"","0-"),99,0,REPLACE(TEXT(100-$AJ160,0),99,0,"?    ")),"")))</f>
        <v/>
      </c>
      <c r="Z160" s="1864"/>
      <c r="AA160" s="1865" t="str">
        <f>IF(OR($N160="", AND($N160="",OR($H160="",$H160=0))),"",IF(AND($N160="Quantity",$AJ160&lt;$H160),"0 - "&amp;TEXT($H160-$AJ160,"0")&amp;" buildings?    ",IF(AND($N160="%",$AJ160&lt;1),REPLACE(IF(AND($P160&gt;0,$V160&gt;0,$T160&gt;0,$X160&gt;0,$R160&gt;0,$Z160&gt;0,$AB160&gt;0,$AD160&gt;0,$AF160&gt;0,$AH160&gt;0),"","0-"),99,0,REPLACE(TEXT(100-$AJ160,0),99,0,"?    ")),"")))</f>
        <v/>
      </c>
      <c r="AB160" s="1864"/>
      <c r="AC160" s="1865" t="str">
        <f>IF(OR($N160="", AND($N160="",OR($H160="",$H160=0))),"",IF(AND($N160="Quantity",$AJ160&lt;$H160),"0 - "&amp;TEXT($H160-$AJ160,"0")&amp;" buildings?    ",IF(AND($N160="%",$AJ160&lt;1),REPLACE(IF(AND($P160&gt;0,$V160&gt;0,$T160&gt;0,$X160&gt;0,$R160&gt;0,$Z160&gt;0,$AB160&gt;0,$AD160&gt;0,$AF160&gt;0,$AH160&gt;0),"","0-"),99,0,REPLACE(TEXT(100-$AJ160,0),99,0,"?    ")),"")))</f>
        <v/>
      </c>
      <c r="AD160" s="1864"/>
      <c r="AE160" s="1865" t="str">
        <f>IF(OR($N160="", AND($N160="",OR($H160="",$H160=0))),"",IF(AND($N160="Quantity",$AJ160&lt;$H160),"0 - "&amp;TEXT($H160-$AJ160,"0")&amp;" buildings?    ",IF(AND($N160="%",$AJ160&lt;1),REPLACE(IF(AND($P160&gt;0,$V160&gt;0,$T160&gt;0,$X160&gt;0,$R160&gt;0,$Z160&gt;0,$AB160&gt;0,$AD160&gt;0,$AF160&gt;0,$AH160&gt;0),"","0-"),99,0,REPLACE(TEXT(100-$AJ160,0),99,0,"?    ")),"")))</f>
        <v/>
      </c>
      <c r="AF160" s="1864"/>
      <c r="AG160" s="1865" t="str">
        <f>IF(OR($N160="", AND($N160="",OR($H160="",$H160=0))),"",IF(AND($N160="Quantity",$AJ160&lt;$H160),"0 - "&amp;TEXT($H160-$AJ160,"0")&amp;" buildings?    ",IF(AND($N160="%",$AJ160&lt;1),REPLACE(IF(AND($P160&gt;0,$V160&gt;0,$T160&gt;0,$X160&gt;0,$R160&gt;0,$Z160&gt;0,$AB160&gt;0,$AD160&gt;0,$AF160&gt;0,$AH160&gt;0),"","0-"),99,0,REPLACE(TEXT(100-$AJ160,0),99,0,"?    ")),"")))</f>
        <v/>
      </c>
      <c r="AH160" s="1864"/>
      <c r="AI160" s="1865" t="str">
        <f>IF(OR($N160="", AND($N160="",OR($H160="",$H160=0))),"",IF(AND($N160="Quantity",$AJ160&lt;$H160),"0 - "&amp;TEXT($H160-$AJ160,"0")&amp;" buildings?    ",IF(AND($N160="%",$AJ160&lt;1),REPLACE(IF(AND($P160&gt;0,$V160&gt;0,$T160&gt;0,$X160&gt;0,$R160&gt;0,$Z160&gt;0,$AB160&gt;0,$AD160&gt;0,$AF160&gt;0,$AH160&gt;0),"","0-"),99,0,REPLACE(TEXT(100-$AJ160,0),99,0,"?    ")),"")))</f>
        <v/>
      </c>
      <c r="AJ160" s="1833">
        <f>IFERROR(IF(N160="%", SUM(P160,R160,T160,V160,X160,Z160,AB160,AD160,AF160,AH160)/100, SUM(P160,R160,T160,V160,X160,Z160,AB160,AD160,AF160,AH160)/H160), 0)</f>
        <v>0</v>
      </c>
      <c r="AL160" s="1832"/>
      <c r="AN160" s="1276"/>
      <c r="AP160" s="1653"/>
      <c r="AT160" s="1624" t="str">
        <f>IF(AND($C$124="", L160=""), "N/A", IF(AND(AJ160=1, L160&lt;&gt;"", N160&lt;&gt;"", P160&lt;&gt;"", R160&lt;&gt;"", T160&lt;&gt;"", V160&lt;&gt;"", X160&lt;&gt;"", Z160&lt;&gt;"", AB160&lt;&gt;"", AD160&lt;&gt;"", AF160&lt;&gt;"", AH160&lt;&gt;"",AL160&lt;&gt;"", IF(AND(AL160&lt;1, AN160=""), FALSE, TRUE)), "Yes", "No"))</f>
        <v>N/A</v>
      </c>
      <c r="AU160" s="759"/>
      <c r="AV160" s="759"/>
      <c r="AW160" s="759"/>
      <c r="AX160" s="759"/>
      <c r="AY160" s="759" t="b">
        <f>IF($L160="",FALSE,IF($L160&lt;$BO160,TRUE,FALSE))</f>
        <v>0</v>
      </c>
      <c r="AZ160" s="759" t="b">
        <f>IF($L160="",FALSE,IF($L160&gt;$BP160,TRUE,FALSE))</f>
        <v>0</v>
      </c>
      <c r="BA160" s="759" t="b">
        <f>IF(AND(E160&lt;&gt;"",$L160=""),TRUE,FALSE)</f>
        <v>0</v>
      </c>
      <c r="BB160" s="759" t="b">
        <f>IF(AND($AJ160&lt;&gt;0,$H160&lt;$AJ160,$N160="LF"),TRUE,IF(AND($N160="LF",H160&lt;&gt;"",H160=AJ160),FALSE,IF(AND($AJ160&lt;&gt;0,$AJ160&gt;"100%",$N160="%"),TRUE,FALSE)))</f>
        <v>0</v>
      </c>
      <c r="BC160" s="759" t="b">
        <f>IF(AT160="No", IF(OR(P160="", R160="", T160="", V160="", X160="", Z160="", AB160="", AD160="", AF160="", AH160=""), TRUE, FALSE), FALSE)</f>
        <v>0</v>
      </c>
      <c r="BD160" s="759" t="b">
        <f>IF($BE160=TRUE,FALSE,IF(OR($AL160&lt;0,$AL160&gt;1),TRUE,FALSE))</f>
        <v>0</v>
      </c>
      <c r="BE160" s="759" t="b">
        <f>IF(AND($E160&lt;&gt;"",$AL160=""),TRUE,FALSE)</f>
        <v>0</v>
      </c>
      <c r="BF160" s="759"/>
      <c r="BH160" s="1680"/>
      <c r="BI160" s="1678" t="str">
        <f>IF(N160="", "", IF(N160="Quantity", H160, IF(N160="%", 1, "")))</f>
        <v/>
      </c>
      <c r="BJ160" s="1679">
        <f>P160+R160+T160+V160+X160+Z160+AB160+AD160+AF160+AH160</f>
        <v>0</v>
      </c>
      <c r="BK160" s="1679" t="str">
        <f>IF(BI160="", "", BI160-BJ160)</f>
        <v/>
      </c>
      <c r="BL160" s="1680"/>
      <c r="BM160" s="1680"/>
      <c r="BN160" s="1678">
        <f>IF($C160="","",VLOOKUP($C160,Valid!$B$87:$F$96,5,FALSE))</f>
        <v>25</v>
      </c>
      <c r="BO160" s="1678">
        <f>IF($C160="","",VLOOKUP($C160,Valid!$B$87:$G$96,6,FALSE))</f>
        <v>19</v>
      </c>
      <c r="BP160" s="1678">
        <f>IF($C160="","",VLOOKUP($C160,Valid!$B$87:$Z$96,7,FALSE))</f>
        <v>31</v>
      </c>
    </row>
    <row r="161" spans="1:68" s="686" customFormat="1" ht="3.95" customHeight="1" x14ac:dyDescent="0.2">
      <c r="B161" s="1791">
        <v>149</v>
      </c>
      <c r="C161" s="1674"/>
      <c r="D161" s="1709"/>
      <c r="E161" s="1057"/>
      <c r="H161" s="1917"/>
      <c r="I161" s="1651"/>
      <c r="J161" s="1651"/>
      <c r="K161" s="1651"/>
      <c r="L161" s="1917"/>
      <c r="M161" s="1651"/>
      <c r="N161" s="1651"/>
      <c r="O161" s="1651"/>
      <c r="P161" s="1866"/>
      <c r="Q161" s="1867"/>
      <c r="R161" s="1866"/>
      <c r="S161" s="1867"/>
      <c r="T161" s="1866"/>
      <c r="U161" s="1867"/>
      <c r="V161" s="1866"/>
      <c r="W161" s="1867"/>
      <c r="X161" s="1866"/>
      <c r="Y161" s="1867"/>
      <c r="Z161" s="1867"/>
      <c r="AA161" s="1867"/>
      <c r="AB161" s="1867"/>
      <c r="AC161" s="1867"/>
      <c r="AD161" s="1867"/>
      <c r="AE161" s="1867"/>
      <c r="AF161" s="1867"/>
      <c r="AG161" s="1867"/>
      <c r="AH161" s="1867"/>
      <c r="AJ161" s="1676"/>
      <c r="AL161" s="1676"/>
      <c r="AP161" s="1394"/>
      <c r="AU161" s="848"/>
      <c r="AV161" s="848"/>
      <c r="AW161" s="848"/>
      <c r="AX161" s="848"/>
      <c r="AY161" s="759"/>
      <c r="AZ161" s="759"/>
      <c r="BA161" s="848"/>
      <c r="BB161" s="759"/>
      <c r="BC161" s="848"/>
      <c r="BD161" s="848"/>
      <c r="BE161" s="848"/>
      <c r="BF161" s="848"/>
      <c r="BH161" s="1680"/>
      <c r="BI161" s="1680"/>
      <c r="BJ161" s="1680"/>
      <c r="BK161" s="1680"/>
      <c r="BL161" s="1680"/>
      <c r="BM161" s="1680"/>
      <c r="BN161" s="1680"/>
      <c r="BO161" s="1680"/>
      <c r="BP161" s="1680"/>
    </row>
    <row r="162" spans="1:68" s="686" customFormat="1" ht="3.95" customHeight="1" thickBot="1" x14ac:dyDescent="0.25">
      <c r="B162" s="1790">
        <v>150</v>
      </c>
      <c r="C162" s="1674"/>
      <c r="D162" s="1709"/>
      <c r="E162" s="1057"/>
      <c r="H162" s="1917"/>
      <c r="I162" s="1651"/>
      <c r="J162" s="1651"/>
      <c r="K162" s="1651"/>
      <c r="L162" s="1917"/>
      <c r="M162" s="1651"/>
      <c r="N162" s="1651"/>
      <c r="O162" s="1651"/>
      <c r="P162" s="1868"/>
      <c r="Q162" s="1869"/>
      <c r="R162" s="1868"/>
      <c r="S162" s="1869"/>
      <c r="T162" s="1868"/>
      <c r="U162" s="1869"/>
      <c r="V162" s="1868"/>
      <c r="W162" s="1869"/>
      <c r="X162" s="1868"/>
      <c r="Y162" s="1869"/>
      <c r="Z162" s="1869"/>
      <c r="AA162" s="1869"/>
      <c r="AB162" s="1869"/>
      <c r="AC162" s="1869"/>
      <c r="AD162" s="1869"/>
      <c r="AE162" s="1869"/>
      <c r="AF162" s="1869"/>
      <c r="AG162" s="1869"/>
      <c r="AH162" s="1869"/>
      <c r="AI162" s="1670"/>
      <c r="AJ162" s="1676"/>
      <c r="AL162" s="1676"/>
      <c r="AP162" s="1394"/>
      <c r="AU162" s="848"/>
      <c r="AV162" s="848"/>
      <c r="AW162" s="848"/>
      <c r="AX162" s="848"/>
      <c r="AY162" s="759"/>
      <c r="AZ162" s="759"/>
      <c r="BA162" s="848"/>
      <c r="BB162" s="759"/>
      <c r="BC162" s="848"/>
      <c r="BD162" s="848"/>
      <c r="BE162" s="848"/>
      <c r="BF162" s="848"/>
      <c r="BH162" s="1680"/>
      <c r="BI162" s="1680"/>
      <c r="BJ162" s="1680"/>
      <c r="BK162" s="1680"/>
      <c r="BL162" s="1680"/>
      <c r="BM162" s="1680"/>
      <c r="BN162" s="1680"/>
      <c r="BO162" s="1680"/>
      <c r="BP162" s="1680"/>
    </row>
    <row r="163" spans="1:68" s="686" customFormat="1" x14ac:dyDescent="0.2">
      <c r="A163" s="852">
        <f>A160+1</f>
        <v>40</v>
      </c>
      <c r="B163" s="1790">
        <v>151</v>
      </c>
      <c r="C163" s="851" t="str">
        <f>Valid!$B$89</f>
        <v>Third Rail/Power Distribution</v>
      </c>
      <c r="D163" s="1709"/>
      <c r="E163" s="1245" t="str">
        <f>IF(AT163="N/A","",IF(AT163="N","No","Yes"))</f>
        <v/>
      </c>
      <c r="H163" s="1917"/>
      <c r="I163" s="1904"/>
      <c r="J163" s="1651"/>
      <c r="K163" s="1651"/>
      <c r="L163" s="1864"/>
      <c r="M163" s="1920" t="str">
        <f>IF(AND(H157&lt;&gt;"", L163=""),REPLACE(TEXT(BN163,0),99,0," Yrs.?    "),"")</f>
        <v/>
      </c>
      <c r="N163" s="1921"/>
      <c r="O163" s="1870"/>
      <c r="P163" s="1864"/>
      <c r="Q163" s="1865" t="str">
        <f>IF(OR($N163="", AND($N163="",OR($H163="",$H163=0))),"",IF(AND($N163="Quantity",$AJ163&lt;$H163),"0 - "&amp;TEXT($H163-$AJ163,"0")&amp;" buildings?    ",IF(AND($N163="%",$AJ163&lt;1),REPLACE(IF(AND($P163&gt;0,$V163&gt;0,$T163&gt;0,$X163&gt;0,$R163&gt;0,$Z163&gt;0,$AB163&gt;0,$AD163&gt;0,$AF163&gt;0,$AH163&gt;0),"","0-"),99,0,REPLACE(TEXT(100-$AJ163,0),99,0,"?    ")),"")))</f>
        <v/>
      </c>
      <c r="R163" s="1864"/>
      <c r="S163" s="1865" t="str">
        <f>IF(OR($N163="", AND($N163="",OR($H163="",$H163=0))),"",IF(AND($N163="Quantity",$AJ163&lt;$H163),"0 - "&amp;TEXT($H163-$AJ163,"0")&amp;" buildings?    ",IF(AND($N163="%",$AJ163&lt;1),REPLACE(IF(AND($P163&gt;0,$V163&gt;0,$T163&gt;0,$X163&gt;0,$R163&gt;0,$Z163&gt;0,$AB163&gt;0,$AD163&gt;0,$AF163&gt;0,$AH163&gt;0),"","0-"),99,0,REPLACE(TEXT(100-$AJ163,0),99,0,"?    ")),"")))</f>
        <v/>
      </c>
      <c r="T163" s="1864"/>
      <c r="U163" s="1865" t="str">
        <f>IF(OR($N163="", AND($N163="",OR($H163="",$H163=0))),"",IF(AND($N163="Quantity",$AJ163&lt;$H163),"0 - "&amp;TEXT($H163-$AJ163,"0")&amp;" buildings?    ",IF(AND($N163="%",$AJ163&lt;1),REPLACE(IF(AND($P163&gt;0,$V163&gt;0,$T163&gt;0,$X163&gt;0,$R163&gt;0,$Z163&gt;0,$AB163&gt;0,$AD163&gt;0,$AF163&gt;0,$AH163&gt;0),"","0-"),99,0,REPLACE(TEXT(100-$AJ163,0),99,0,"?    ")),"")))</f>
        <v/>
      </c>
      <c r="V163" s="1864"/>
      <c r="W163" s="1865" t="str">
        <f>IF(OR($N163="", AND($N163="",OR($H163="",$H163=0))),"",IF(AND($N163="Quantity",$AJ163&lt;$H163),"0 - "&amp;TEXT($H163-$AJ163,"0")&amp;" buildings?    ",IF(AND($N163="%",$AJ163&lt;1),REPLACE(IF(AND($P163&gt;0,$V163&gt;0,$T163&gt;0,$X163&gt;0,$R163&gt;0,$Z163&gt;0,$AB163&gt;0,$AD163&gt;0,$AF163&gt;0,$AH163&gt;0),"","0-"),99,0,REPLACE(TEXT(100-$AJ163,0),99,0,"?    ")),"")))</f>
        <v/>
      </c>
      <c r="X163" s="1864"/>
      <c r="Y163" s="1865" t="str">
        <f>IF(OR($N163="", AND($N163="",OR($H163="",$H163=0))),"",IF(AND($N163="Quantity",$AJ163&lt;$H163),"0 - "&amp;TEXT($H163-$AJ163,"0")&amp;" buildings?    ",IF(AND($N163="%",$AJ163&lt;1),REPLACE(IF(AND($P163&gt;0,$V163&gt;0,$T163&gt;0,$X163&gt;0,$R163&gt;0,$Z163&gt;0,$AB163&gt;0,$AD163&gt;0,$AF163&gt;0,$AH163&gt;0),"","0-"),99,0,REPLACE(TEXT(100-$AJ163,0),99,0,"?    ")),"")))</f>
        <v/>
      </c>
      <c r="Z163" s="1864"/>
      <c r="AA163" s="1865" t="str">
        <f>IF(OR($N163="", AND($N163="",OR($H163="",$H163=0))),"",IF(AND($N163="Quantity",$AJ163&lt;$H163),"0 - "&amp;TEXT($H163-$AJ163,"0")&amp;" buildings?    ",IF(AND($N163="%",$AJ163&lt;1),REPLACE(IF(AND($P163&gt;0,$V163&gt;0,$T163&gt;0,$X163&gt;0,$R163&gt;0,$Z163&gt;0,$AB163&gt;0,$AD163&gt;0,$AF163&gt;0,$AH163&gt;0),"","0-"),99,0,REPLACE(TEXT(100-$AJ163,0),99,0,"?    ")),"")))</f>
        <v/>
      </c>
      <c r="AB163" s="1864"/>
      <c r="AC163" s="1865" t="str">
        <f>IF(OR($N163="", AND($N163="",OR($H163="",$H163=0))),"",IF(AND($N163="Quantity",$AJ163&lt;$H163),"0 - "&amp;TEXT($H163-$AJ163,"0")&amp;" buildings?    ",IF(AND($N163="%",$AJ163&lt;1),REPLACE(IF(AND($P163&gt;0,$V163&gt;0,$T163&gt;0,$X163&gt;0,$R163&gt;0,$Z163&gt;0,$AB163&gt;0,$AD163&gt;0,$AF163&gt;0,$AH163&gt;0),"","0-"),99,0,REPLACE(TEXT(100-$AJ163,0),99,0,"?    ")),"")))</f>
        <v/>
      </c>
      <c r="AD163" s="1864"/>
      <c r="AE163" s="1865" t="str">
        <f>IF(OR($N163="", AND($N163="",OR($H163="",$H163=0))),"",IF(AND($N163="Quantity",$AJ163&lt;$H163),"0 - "&amp;TEXT($H163-$AJ163,"0")&amp;" buildings?    ",IF(AND($N163="%",$AJ163&lt;1),REPLACE(IF(AND($P163&gt;0,$V163&gt;0,$T163&gt;0,$X163&gt;0,$R163&gt;0,$Z163&gt;0,$AB163&gt;0,$AD163&gt;0,$AF163&gt;0,$AH163&gt;0),"","0-"),99,0,REPLACE(TEXT(100-$AJ163,0),99,0,"?    ")),"")))</f>
        <v/>
      </c>
      <c r="AF163" s="1864"/>
      <c r="AG163" s="1865" t="str">
        <f>IF(OR($N163="", AND($N163="",OR($H163="",$H163=0))),"",IF(AND($N163="Quantity",$AJ163&lt;$H163),"0 - "&amp;TEXT($H163-$AJ163,"0")&amp;" buildings?    ",IF(AND($N163="%",$AJ163&lt;1),REPLACE(IF(AND($P163&gt;0,$V163&gt;0,$T163&gt;0,$X163&gt;0,$R163&gt;0,$Z163&gt;0,$AB163&gt;0,$AD163&gt;0,$AF163&gt;0,$AH163&gt;0),"","0-"),99,0,REPLACE(TEXT(100-$AJ163,0),99,0,"?    ")),"")))</f>
        <v/>
      </c>
      <c r="AH163" s="1864"/>
      <c r="AI163" s="1865" t="str">
        <f>IF(OR($N163="", AND($N163="",OR($H163="",$H163=0))),"",IF(AND($N163="Quantity",$AJ163&lt;$H163),"0 - "&amp;TEXT($H163-$AJ163,"0")&amp;" buildings?    ",IF(AND($N163="%",$AJ163&lt;1),REPLACE(IF(AND($P163&gt;0,$V163&gt;0,$T163&gt;0,$X163&gt;0,$R163&gt;0,$Z163&gt;0,$AB163&gt;0,$AD163&gt;0,$AF163&gt;0,$AH163&gt;0),"","0-"),99,0,REPLACE(TEXT(100-$AJ163,0),99,0,"?    ")),"")))</f>
        <v/>
      </c>
      <c r="AJ163" s="1833">
        <f>IFERROR(IF(N163="%", SUM(P163,R163,T163,V163,X163,Z163,AB163,AD163,AF163,AH163)/100, SUM(P163,R163,T163,V163,X163,Z163,AB163,AD163,AF163,AH163)/H163), 0)</f>
        <v>0</v>
      </c>
      <c r="AL163" s="1832"/>
      <c r="AN163" s="1276"/>
      <c r="AP163" s="1653"/>
      <c r="AT163" s="1624" t="str">
        <f>IF(AND($C$124="", L163=""), "N/A", IF(AND(AJ163=1, L163&lt;&gt;"", N163&lt;&gt;"", P163&lt;&gt;"", R163&lt;&gt;"", T163&lt;&gt;"", V163&lt;&gt;"", X163&lt;&gt;"", Z163&lt;&gt;"", AB163&lt;&gt;"", AD163&lt;&gt;"", AF163&lt;&gt;"", AH163&lt;&gt;"",AL163&lt;&gt;"", IF(AND(AL163&lt;1, AN163=""), FALSE, TRUE)), "Yes", "No"))</f>
        <v>N/A</v>
      </c>
      <c r="AU163" s="759"/>
      <c r="AV163" s="759"/>
      <c r="AW163" s="759"/>
      <c r="AX163" s="759"/>
      <c r="AY163" s="759" t="b">
        <f>IF($L163="",FALSE,IF($L163&lt;$BO163,TRUE,FALSE))</f>
        <v>0</v>
      </c>
      <c r="AZ163" s="759" t="b">
        <f>IF($L163="",FALSE,IF($L163&gt;$BP163,TRUE,FALSE))</f>
        <v>0</v>
      </c>
      <c r="BA163" s="759" t="b">
        <f>IF(AND(E163&lt;&gt;"",$L163=""),TRUE,FALSE)</f>
        <v>0</v>
      </c>
      <c r="BB163" s="759" t="b">
        <f>IF(AND($AJ163&lt;&gt;0,$H163&lt;$AJ163,$N163="LF"),TRUE,IF(AND($N163="LF",H163&lt;&gt;"",H163=AJ163),FALSE,IF(AND($AJ163&lt;&gt;0,$AJ163&gt;"100%",$N163="%"),TRUE,FALSE)))</f>
        <v>0</v>
      </c>
      <c r="BC163" s="759" t="b">
        <f>IF(AT163="No", IF(OR(P163="", R163="", T163="", V163="", X163="", Z163="", AB163="", AD163="", AF163="", AH163=""), TRUE, FALSE), FALSE)</f>
        <v>0</v>
      </c>
      <c r="BD163" s="759" t="b">
        <f>IF($BE163=TRUE,FALSE,IF(OR($AL163&lt;0,$AL163&gt;1),TRUE,FALSE))</f>
        <v>0</v>
      </c>
      <c r="BE163" s="759" t="b">
        <f>IF(AND($E163&lt;&gt;"",$AL163=""),TRUE,FALSE)</f>
        <v>0</v>
      </c>
      <c r="BF163" s="759"/>
      <c r="BH163" s="1680"/>
      <c r="BI163" s="1678" t="str">
        <f>IF(N163="", "", IF(N163="Quantity", H163, IF(N163="%", 1, "")))</f>
        <v/>
      </c>
      <c r="BJ163" s="1679">
        <f>P163+R163+T163+V163+X163+Z163+AB163+AD163+AF163+AH163</f>
        <v>0</v>
      </c>
      <c r="BK163" s="1679" t="str">
        <f>IF(BI163="", "", BI163-BJ163)</f>
        <v/>
      </c>
      <c r="BL163" s="1680"/>
      <c r="BM163" s="1680"/>
      <c r="BN163" s="1678">
        <f>IF($C163="","",VLOOKUP($C163,Valid!$B$87:$F$96,5,FALSE))</f>
        <v>25</v>
      </c>
      <c r="BO163" s="1678">
        <f>IF($C163="","",VLOOKUP($C163,Valid!$B$87:$G$96,6,FALSE))</f>
        <v>19</v>
      </c>
      <c r="BP163" s="1678">
        <f>IF($C163="","",VLOOKUP($C163,Valid!$B$87:$Z$96,7,FALSE))</f>
        <v>31</v>
      </c>
    </row>
    <row r="164" spans="1:68" s="686" customFormat="1" ht="3.95" customHeight="1" x14ac:dyDescent="0.2">
      <c r="B164" s="1791">
        <v>152</v>
      </c>
      <c r="C164" s="1674"/>
      <c r="D164" s="1709"/>
      <c r="E164" s="1057"/>
      <c r="H164" s="1917"/>
      <c r="I164" s="1651"/>
      <c r="J164" s="1651"/>
      <c r="K164" s="1651"/>
      <c r="L164" s="1917"/>
      <c r="M164" s="1651"/>
      <c r="N164" s="1651"/>
      <c r="O164" s="1651"/>
      <c r="P164" s="1866"/>
      <c r="Q164" s="1867"/>
      <c r="R164" s="1866"/>
      <c r="S164" s="1867"/>
      <c r="T164" s="1866"/>
      <c r="U164" s="1867"/>
      <c r="V164" s="1866"/>
      <c r="W164" s="1867"/>
      <c r="X164" s="1866"/>
      <c r="Y164" s="1867"/>
      <c r="Z164" s="1867"/>
      <c r="AA164" s="1867"/>
      <c r="AB164" s="1867"/>
      <c r="AC164" s="1867"/>
      <c r="AD164" s="1867"/>
      <c r="AE164" s="1867"/>
      <c r="AF164" s="1867"/>
      <c r="AG164" s="1867"/>
      <c r="AH164" s="1867"/>
      <c r="AJ164" s="1676"/>
      <c r="AL164" s="1676"/>
      <c r="AP164" s="1394"/>
      <c r="AU164" s="848"/>
      <c r="AV164" s="848"/>
      <c r="AW164" s="848"/>
      <c r="AX164" s="848"/>
      <c r="AY164" s="759"/>
      <c r="AZ164" s="759"/>
      <c r="BA164" s="848"/>
      <c r="BB164" s="759"/>
      <c r="BC164" s="848"/>
      <c r="BD164" s="848"/>
      <c r="BE164" s="848"/>
      <c r="BF164" s="848"/>
      <c r="BH164" s="1680"/>
      <c r="BI164" s="1680"/>
      <c r="BJ164" s="1680"/>
      <c r="BK164" s="1680"/>
      <c r="BL164" s="1680"/>
      <c r="BM164" s="1680"/>
      <c r="BN164" s="1680"/>
      <c r="BO164" s="1680"/>
      <c r="BP164" s="1680"/>
    </row>
    <row r="165" spans="1:68" s="686" customFormat="1" ht="3.95" customHeight="1" thickBot="1" x14ac:dyDescent="0.25">
      <c r="B165" s="1791">
        <v>153</v>
      </c>
      <c r="C165" s="1674"/>
      <c r="D165" s="1709"/>
      <c r="E165" s="1057"/>
      <c r="H165" s="1917"/>
      <c r="I165" s="1651"/>
      <c r="J165" s="1651"/>
      <c r="K165" s="1651"/>
      <c r="L165" s="1917"/>
      <c r="M165" s="1651"/>
      <c r="N165" s="1651"/>
      <c r="O165" s="1651"/>
      <c r="P165" s="1868"/>
      <c r="Q165" s="1869"/>
      <c r="R165" s="1868"/>
      <c r="S165" s="1869"/>
      <c r="T165" s="1868"/>
      <c r="U165" s="1869"/>
      <c r="V165" s="1868"/>
      <c r="W165" s="1869"/>
      <c r="X165" s="1868"/>
      <c r="Y165" s="1869"/>
      <c r="Z165" s="1869"/>
      <c r="AA165" s="1869"/>
      <c r="AB165" s="1869"/>
      <c r="AC165" s="1869"/>
      <c r="AD165" s="1869"/>
      <c r="AE165" s="1869"/>
      <c r="AF165" s="1869"/>
      <c r="AG165" s="1869"/>
      <c r="AH165" s="1869"/>
      <c r="AI165" s="1670"/>
      <c r="AJ165" s="1676"/>
      <c r="AL165" s="1676"/>
      <c r="AP165" s="1394"/>
      <c r="AU165" s="848"/>
      <c r="AV165" s="848"/>
      <c r="AW165" s="848"/>
      <c r="AX165" s="848"/>
      <c r="AY165" s="759"/>
      <c r="AZ165" s="759"/>
      <c r="BA165" s="848"/>
      <c r="BB165" s="759"/>
      <c r="BC165" s="848"/>
      <c r="BD165" s="848"/>
      <c r="BE165" s="848"/>
      <c r="BF165" s="848"/>
      <c r="BH165" s="1680"/>
      <c r="BI165" s="1680"/>
      <c r="BJ165" s="1680"/>
      <c r="BK165" s="1680"/>
      <c r="BL165" s="1680"/>
      <c r="BM165" s="1680"/>
      <c r="BN165" s="1680"/>
      <c r="BO165" s="1680"/>
      <c r="BP165" s="1680"/>
    </row>
    <row r="166" spans="1:68" s="686" customFormat="1" x14ac:dyDescent="0.2">
      <c r="A166" s="852">
        <f>A163+1</f>
        <v>41</v>
      </c>
      <c r="B166" s="1791">
        <v>154</v>
      </c>
      <c r="C166" s="851" t="str">
        <f>Valid!$B$90</f>
        <v>Overhead Contact System/Power Distribution</v>
      </c>
      <c r="D166" s="1709"/>
      <c r="E166" s="1245" t="str">
        <f>IF(AT166="N/A","",IF(AT166="N","No","Yes"))</f>
        <v/>
      </c>
      <c r="H166" s="1917"/>
      <c r="I166" s="1904"/>
      <c r="J166" s="1651"/>
      <c r="K166" s="1651"/>
      <c r="L166" s="1864"/>
      <c r="M166" s="1920" t="str">
        <f>IF(AND(H157&lt;&gt;"", L166=""),REPLACE(TEXT(BN166,0),99,0," Yrs.?    "),"")</f>
        <v/>
      </c>
      <c r="N166" s="1921"/>
      <c r="O166" s="1870"/>
      <c r="P166" s="1864"/>
      <c r="Q166" s="1865" t="str">
        <f>IF(OR($N166="", AND($N166="",OR($H166="",$H166=0))),"",IF(AND($N166="Quantity",$AJ166&lt;$H166),"0 - "&amp;TEXT($H166-$AJ166,"0")&amp;" buildings?    ",IF(AND($N166="%",$AJ166&lt;1),REPLACE(IF(AND($P166&gt;0,$V166&gt;0,$T166&gt;0,$X166&gt;0,$R166&gt;0,$Z166&gt;0,$AB166&gt;0,$AD166&gt;0,$AF166&gt;0,$AH166&gt;0),"","0-"),99,0,REPLACE(TEXT(100-$AJ166,0),99,0,"?    ")),"")))</f>
        <v/>
      </c>
      <c r="R166" s="1864"/>
      <c r="S166" s="1865" t="str">
        <f>IF(OR($N166="", AND($N166="",OR($H166="",$H166=0))),"",IF(AND($N166="Quantity",$AJ166&lt;$H166),"0 - "&amp;TEXT($H166-$AJ166,"0")&amp;" buildings?    ",IF(AND($N166="%",$AJ166&lt;1),REPLACE(IF(AND($P166&gt;0,$V166&gt;0,$T166&gt;0,$X166&gt;0,$R166&gt;0,$Z166&gt;0,$AB166&gt;0,$AD166&gt;0,$AF166&gt;0,$AH166&gt;0),"","0-"),99,0,REPLACE(TEXT(100-$AJ166,0),99,0,"?    ")),"")))</f>
        <v/>
      </c>
      <c r="T166" s="1864"/>
      <c r="U166" s="1865" t="str">
        <f>IF(OR($N166="", AND($N166="",OR($H166="",$H166=0))),"",IF(AND($N166="Quantity",$AJ166&lt;$H166),"0 - "&amp;TEXT($H166-$AJ166,"0")&amp;" buildings?    ",IF(AND($N166="%",$AJ166&lt;1),REPLACE(IF(AND($P166&gt;0,$V166&gt;0,$T166&gt;0,$X166&gt;0,$R166&gt;0,$Z166&gt;0,$AB166&gt;0,$AD166&gt;0,$AF166&gt;0,$AH166&gt;0),"","0-"),99,0,REPLACE(TEXT(100-$AJ166,0),99,0,"?    ")),"")))</f>
        <v/>
      </c>
      <c r="V166" s="1864"/>
      <c r="W166" s="1865" t="str">
        <f>IF(OR($N166="", AND($N166="",OR($H166="",$H166=0))),"",IF(AND($N166="Quantity",$AJ166&lt;$H166),"0 - "&amp;TEXT($H166-$AJ166,"0")&amp;" buildings?    ",IF(AND($N166="%",$AJ166&lt;1),REPLACE(IF(AND($P166&gt;0,$V166&gt;0,$T166&gt;0,$X166&gt;0,$R166&gt;0,$Z166&gt;0,$AB166&gt;0,$AD166&gt;0,$AF166&gt;0,$AH166&gt;0),"","0-"),99,0,REPLACE(TEXT(100-$AJ166,0),99,0,"?    ")),"")))</f>
        <v/>
      </c>
      <c r="X166" s="1864"/>
      <c r="Y166" s="1865" t="str">
        <f>IF(OR($N166="", AND($N166="",OR($H166="",$H166=0))),"",IF(AND($N166="Quantity",$AJ166&lt;$H166),"0 - "&amp;TEXT($H166-$AJ166,"0")&amp;" buildings?    ",IF(AND($N166="%",$AJ166&lt;1),REPLACE(IF(AND($P166&gt;0,$V166&gt;0,$T166&gt;0,$X166&gt;0,$R166&gt;0,$Z166&gt;0,$AB166&gt;0,$AD166&gt;0,$AF166&gt;0,$AH166&gt;0),"","0-"),99,0,REPLACE(TEXT(100-$AJ166,0),99,0,"?    ")),"")))</f>
        <v/>
      </c>
      <c r="Z166" s="1864"/>
      <c r="AA166" s="1865" t="str">
        <f>IF(OR($N166="", AND($N166="",OR($H166="",$H166=0))),"",IF(AND($N166="Quantity",$AJ166&lt;$H166),"0 - "&amp;TEXT($H166-$AJ166,"0")&amp;" buildings?    ",IF(AND($N166="%",$AJ166&lt;1),REPLACE(IF(AND($P166&gt;0,$V166&gt;0,$T166&gt;0,$X166&gt;0,$R166&gt;0,$Z166&gt;0,$AB166&gt;0,$AD166&gt;0,$AF166&gt;0,$AH166&gt;0),"","0-"),99,0,REPLACE(TEXT(100-$AJ166,0),99,0,"?    ")),"")))</f>
        <v/>
      </c>
      <c r="AB166" s="1864"/>
      <c r="AC166" s="1865" t="str">
        <f>IF(OR($N166="", AND($N166="",OR($H166="",$H166=0))),"",IF(AND($N166="Quantity",$AJ166&lt;$H166),"0 - "&amp;TEXT($H166-$AJ166,"0")&amp;" buildings?    ",IF(AND($N166="%",$AJ166&lt;1),REPLACE(IF(AND($P166&gt;0,$V166&gt;0,$T166&gt;0,$X166&gt;0,$R166&gt;0,$Z166&gt;0,$AB166&gt;0,$AD166&gt;0,$AF166&gt;0,$AH166&gt;0),"","0-"),99,0,REPLACE(TEXT(100-$AJ166,0),99,0,"?    ")),"")))</f>
        <v/>
      </c>
      <c r="AD166" s="1864"/>
      <c r="AE166" s="1865" t="str">
        <f>IF(OR($N166="", AND($N166="",OR($H166="",$H166=0))),"",IF(AND($N166="Quantity",$AJ166&lt;$H166),"0 - "&amp;TEXT($H166-$AJ166,"0")&amp;" buildings?    ",IF(AND($N166="%",$AJ166&lt;1),REPLACE(IF(AND($P166&gt;0,$V166&gt;0,$T166&gt;0,$X166&gt;0,$R166&gt;0,$Z166&gt;0,$AB166&gt;0,$AD166&gt;0,$AF166&gt;0,$AH166&gt;0),"","0-"),99,0,REPLACE(TEXT(100-$AJ166,0),99,0,"?    ")),"")))</f>
        <v/>
      </c>
      <c r="AF166" s="1864"/>
      <c r="AG166" s="1865" t="str">
        <f>IF(OR($N166="", AND($N166="",OR($H166="",$H166=0))),"",IF(AND($N166="Quantity",$AJ166&lt;$H166),"0 - "&amp;TEXT($H166-$AJ166,"0")&amp;" buildings?    ",IF(AND($N166="%",$AJ166&lt;1),REPLACE(IF(AND($P166&gt;0,$V166&gt;0,$T166&gt;0,$X166&gt;0,$R166&gt;0,$Z166&gt;0,$AB166&gt;0,$AD166&gt;0,$AF166&gt;0,$AH166&gt;0),"","0-"),99,0,REPLACE(TEXT(100-$AJ166,0),99,0,"?    ")),"")))</f>
        <v/>
      </c>
      <c r="AH166" s="1864"/>
      <c r="AI166" s="1865" t="str">
        <f>IF(OR($N166="", AND($N166="",OR($H166="",$H166=0))),"",IF(AND($N166="Quantity",$AJ166&lt;$H166),"0 - "&amp;TEXT($H166-$AJ166,"0")&amp;" buildings?    ",IF(AND($N166="%",$AJ166&lt;1),REPLACE(IF(AND($P166&gt;0,$V166&gt;0,$T166&gt;0,$X166&gt;0,$R166&gt;0,$Z166&gt;0,$AB166&gt;0,$AD166&gt;0,$AF166&gt;0,$AH166&gt;0),"","0-"),99,0,REPLACE(TEXT(100-$AJ166,0),99,0,"?    ")),"")))</f>
        <v/>
      </c>
      <c r="AJ166" s="1833">
        <f>IFERROR(IF(N166="%", SUM(P166,R166,T166,V166,X166,Z166,AB166,AD166,AF166,AH166)/100, SUM(P166,R166,T166,V166,X166,Z166,AB166,AD166,AF166,AH166)/H166), 0)</f>
        <v>0</v>
      </c>
      <c r="AL166" s="1832"/>
      <c r="AN166" s="1276"/>
      <c r="AP166" s="1653"/>
      <c r="AT166" s="1624" t="str">
        <f>IF(AND($C$124="", L166=""), "N/A", IF(AND(AJ166=1, L166&lt;&gt;"", N166&lt;&gt;"", P166&lt;&gt;"", R166&lt;&gt;"", T166&lt;&gt;"", V166&lt;&gt;"", X166&lt;&gt;"", Z166&lt;&gt;"", AB166&lt;&gt;"", AD166&lt;&gt;"", AF166&lt;&gt;"", AH166&lt;&gt;"",AL166&lt;&gt;"", IF(AND(AL166&lt;1, AN166=""), FALSE, TRUE)), "Yes", "No"))</f>
        <v>N/A</v>
      </c>
      <c r="AU166" s="759"/>
      <c r="AV166" s="759"/>
      <c r="AW166" s="759"/>
      <c r="AX166" s="759"/>
      <c r="AY166" s="759" t="b">
        <f>IF($L166="",FALSE,IF($L166&lt;$BO166,TRUE,FALSE))</f>
        <v>0</v>
      </c>
      <c r="AZ166" s="759" t="b">
        <f>IF($L166="",FALSE,IF($L166&gt;$BP166,TRUE,FALSE))</f>
        <v>0</v>
      </c>
      <c r="BA166" s="759" t="b">
        <f>IF(AND(E166&lt;&gt;"",$L166=""),TRUE,FALSE)</f>
        <v>0</v>
      </c>
      <c r="BB166" s="759" t="b">
        <f>IF(AND($AJ166&lt;&gt;0,$H166&lt;$AJ166,$N166="LF"),TRUE,IF(AND($N166="LF",H166&lt;&gt;"",H166=AJ166),FALSE,IF(AND($AJ166&lt;&gt;0,$AJ166&gt;"100%",$N166="%"),TRUE,FALSE)))</f>
        <v>0</v>
      </c>
      <c r="BC166" s="759" t="b">
        <f>IF(AT166="No", IF(OR(P166="", R166="", T166="", V166="", X166="", Z166="", AB166="", AD166="", AF166="", AH166=""), TRUE, FALSE), FALSE)</f>
        <v>0</v>
      </c>
      <c r="BD166" s="759" t="b">
        <f>IF($BE166=TRUE,FALSE,IF(OR($AL166&lt;0,$AL166&gt;1),TRUE,FALSE))</f>
        <v>0</v>
      </c>
      <c r="BE166" s="759" t="b">
        <f>IF(AND($E166&lt;&gt;"",$AL166=""),TRUE,FALSE)</f>
        <v>0</v>
      </c>
      <c r="BF166" s="759"/>
      <c r="BH166" s="1680"/>
      <c r="BI166" s="1678" t="str">
        <f>IF(N166="", "", IF(N166="Quantity", H166, IF(N166="%", 1, "")))</f>
        <v/>
      </c>
      <c r="BJ166" s="1679">
        <f>P166+R166+T166+V166+X166+Z166+AB166+AD166+AF166+AH166</f>
        <v>0</v>
      </c>
      <c r="BK166" s="1679" t="str">
        <f>IF(BI166="", "", BI166-BJ166)</f>
        <v/>
      </c>
      <c r="BL166" s="1680"/>
      <c r="BM166" s="1680"/>
      <c r="BN166" s="1678">
        <f>IF($C166="","",VLOOKUP($C166,Valid!$B$87:$F$96,5,FALSE))</f>
        <v>25</v>
      </c>
      <c r="BO166" s="1678">
        <f>IF($C166="","",VLOOKUP($C166,Valid!$B$87:$G$96,6,FALSE))</f>
        <v>19</v>
      </c>
      <c r="BP166" s="1678">
        <f>IF($C166="","",VLOOKUP($C166,Valid!$B$87:$Z$96,7,FALSE))</f>
        <v>31</v>
      </c>
    </row>
    <row r="167" spans="1:68" s="686" customFormat="1" ht="3.95" customHeight="1" x14ac:dyDescent="0.2">
      <c r="B167" s="1790">
        <v>155</v>
      </c>
      <c r="C167" s="1674"/>
      <c r="D167" s="1709"/>
      <c r="E167" s="1057"/>
      <c r="H167" s="1917"/>
      <c r="I167" s="1651"/>
      <c r="J167" s="1919"/>
      <c r="K167" s="1651"/>
      <c r="L167" s="1922"/>
      <c r="M167" s="1651"/>
      <c r="N167" s="1919"/>
      <c r="O167" s="1651"/>
      <c r="P167" s="1866"/>
      <c r="Q167" s="1867"/>
      <c r="R167" s="1866"/>
      <c r="S167" s="1867"/>
      <c r="T167" s="1866"/>
      <c r="U167" s="1867"/>
      <c r="V167" s="1866"/>
      <c r="W167" s="1867"/>
      <c r="X167" s="1866"/>
      <c r="Y167" s="1867"/>
      <c r="Z167" s="1867"/>
      <c r="AA167" s="1867"/>
      <c r="AB167" s="1867"/>
      <c r="AC167" s="1867"/>
      <c r="AD167" s="1867"/>
      <c r="AE167" s="1867"/>
      <c r="AF167" s="1867"/>
      <c r="AG167" s="1867"/>
      <c r="AH167" s="1867"/>
      <c r="AJ167" s="1792"/>
      <c r="AL167" s="1792"/>
      <c r="AN167" s="685"/>
      <c r="AP167" s="1394"/>
      <c r="AU167" s="848"/>
      <c r="AV167" s="848"/>
      <c r="AW167" s="848"/>
      <c r="AX167" s="848"/>
      <c r="AY167" s="759"/>
      <c r="AZ167" s="759"/>
      <c r="BA167" s="848"/>
      <c r="BB167" s="759"/>
      <c r="BC167" s="848"/>
      <c r="BD167" s="848"/>
      <c r="BE167" s="848"/>
      <c r="BF167" s="848"/>
      <c r="BH167" s="1680"/>
      <c r="BI167" s="1680"/>
      <c r="BJ167" s="1680"/>
      <c r="BK167" s="1680"/>
      <c r="BL167" s="1680"/>
      <c r="BM167" s="1680"/>
      <c r="BN167" s="1680"/>
      <c r="BO167" s="1680"/>
      <c r="BP167" s="1680"/>
    </row>
    <row r="168" spans="1:68" s="686" customFormat="1" ht="3.95" customHeight="1" thickBot="1" x14ac:dyDescent="0.25">
      <c r="B168" s="1790">
        <v>156</v>
      </c>
      <c r="C168" s="1674"/>
      <c r="D168" s="1709"/>
      <c r="E168" s="1057"/>
      <c r="H168" s="1917"/>
      <c r="I168" s="1651"/>
      <c r="J168" s="1651"/>
      <c r="K168" s="1651"/>
      <c r="L168" s="1917"/>
      <c r="M168" s="1651"/>
      <c r="N168" s="1651"/>
      <c r="O168" s="1651"/>
      <c r="P168" s="1868"/>
      <c r="Q168" s="1869"/>
      <c r="R168" s="1868"/>
      <c r="S168" s="1869"/>
      <c r="T168" s="1868"/>
      <c r="U168" s="1869"/>
      <c r="V168" s="1868"/>
      <c r="W168" s="1869"/>
      <c r="X168" s="1868"/>
      <c r="Y168" s="1869"/>
      <c r="Z168" s="1869"/>
      <c r="AA168" s="1869"/>
      <c r="AB168" s="1869"/>
      <c r="AC168" s="1869"/>
      <c r="AD168" s="1869"/>
      <c r="AE168" s="1869"/>
      <c r="AF168" s="1869"/>
      <c r="AG168" s="1869"/>
      <c r="AH168" s="1869"/>
      <c r="AI168" s="1670"/>
      <c r="AJ168" s="1676"/>
      <c r="AL168" s="1676"/>
      <c r="AP168" s="1394"/>
      <c r="AT168" s="1624"/>
      <c r="AU168" s="848"/>
      <c r="AV168" s="848"/>
      <c r="AW168" s="848"/>
      <c r="AX168" s="848"/>
      <c r="AY168" s="759"/>
      <c r="AZ168" s="759"/>
      <c r="BA168" s="848"/>
      <c r="BB168" s="759"/>
      <c r="BC168" s="848"/>
      <c r="BD168" s="848"/>
      <c r="BE168" s="848"/>
      <c r="BF168" s="848"/>
      <c r="BH168" s="1680"/>
      <c r="BI168" s="1680"/>
      <c r="BJ168" s="1680"/>
      <c r="BK168" s="1680"/>
      <c r="BL168" s="1680"/>
      <c r="BM168" s="1680"/>
      <c r="BN168" s="1680"/>
      <c r="BO168" s="1680"/>
      <c r="BP168" s="1680"/>
    </row>
    <row r="169" spans="1:68" s="686" customFormat="1" x14ac:dyDescent="0.2">
      <c r="A169" s="852">
        <f>A166+1</f>
        <v>42</v>
      </c>
      <c r="B169" s="1791">
        <v>157</v>
      </c>
      <c r="C169" s="851" t="str">
        <f>Valid!$B$91</f>
        <v>Train Control &amp; Signaling</v>
      </c>
      <c r="D169" s="1709"/>
      <c r="E169" s="1245" t="str">
        <f>IF(AT169="N/A","",IF(AT169="N","No","Yes"))</f>
        <v/>
      </c>
      <c r="H169" s="1917"/>
      <c r="I169" s="1904"/>
      <c r="J169" s="1919"/>
      <c r="K169" s="1651"/>
      <c r="L169" s="1864"/>
      <c r="M169" s="1920" t="str">
        <f>IF(AND(H157&lt;&gt;"", L169=""),REPLACE(TEXT(BN169,0),99,0," Yrs.?    "),"")</f>
        <v/>
      </c>
      <c r="N169" s="1921"/>
      <c r="O169" s="1870"/>
      <c r="P169" s="1864"/>
      <c r="Q169" s="1865" t="str">
        <f>IF(OR($N169="", AND($N169="",OR($H169="",$H169=0))),"",IF(AND($N169="Quantity",$AJ169&lt;$H169),"0 - "&amp;TEXT($H169-$AJ169,"0")&amp;" buildings?    ",IF(AND($N169="%",$AJ169&lt;1),REPLACE(IF(AND($P169&gt;0,$V169&gt;0,$T169&gt;0,$X169&gt;0,$R169&gt;0,$Z169&gt;0,$AB169&gt;0,$AD169&gt;0,$AF169&gt;0,$AH169&gt;0),"","0-"),99,0,REPLACE(TEXT(100-$AJ169,0),99,0,"?    ")),"")))</f>
        <v/>
      </c>
      <c r="R169" s="1864"/>
      <c r="S169" s="1865" t="str">
        <f>IF(OR($N169="", AND($N169="",OR($H169="",$H169=0))),"",IF(AND($N169="Quantity",$AJ169&lt;$H169),"0 - "&amp;TEXT($H169-$AJ169,"0")&amp;" buildings?    ",IF(AND($N169="%",$AJ169&lt;1),REPLACE(IF(AND($P169&gt;0,$V169&gt;0,$T169&gt;0,$X169&gt;0,$R169&gt;0,$Z169&gt;0,$AB169&gt;0,$AD169&gt;0,$AF169&gt;0,$AH169&gt;0),"","0-"),99,0,REPLACE(TEXT(100-$AJ169,0),99,0,"?    ")),"")))</f>
        <v/>
      </c>
      <c r="T169" s="1864"/>
      <c r="U169" s="1865" t="str">
        <f>IF(OR($N169="", AND($N169="",OR($H169="",$H169=0))),"",IF(AND($N169="Quantity",$AJ169&lt;$H169),"0 - "&amp;TEXT($H169-$AJ169,"0")&amp;" buildings?    ",IF(AND($N169="%",$AJ169&lt;1),REPLACE(IF(AND($P169&gt;0,$V169&gt;0,$T169&gt;0,$X169&gt;0,$R169&gt;0,$Z169&gt;0,$AB169&gt;0,$AD169&gt;0,$AF169&gt;0,$AH169&gt;0),"","0-"),99,0,REPLACE(TEXT(100-$AJ169,0),99,0,"?    ")),"")))</f>
        <v/>
      </c>
      <c r="V169" s="1864"/>
      <c r="W169" s="1865" t="str">
        <f>IF(OR($N169="", AND($N169="",OR($H169="",$H169=0))),"",IF(AND($N169="Quantity",$AJ169&lt;$H169),"0 - "&amp;TEXT($H169-$AJ169,"0")&amp;" buildings?    ",IF(AND($N169="%",$AJ169&lt;1),REPLACE(IF(AND($P169&gt;0,$V169&gt;0,$T169&gt;0,$X169&gt;0,$R169&gt;0,$Z169&gt;0,$AB169&gt;0,$AD169&gt;0,$AF169&gt;0,$AH169&gt;0),"","0-"),99,0,REPLACE(TEXT(100-$AJ169,0),99,0,"?    ")),"")))</f>
        <v/>
      </c>
      <c r="X169" s="1864"/>
      <c r="Y169" s="1865" t="str">
        <f>IF(OR($N169="", AND($N169="",OR($H169="",$H169=0))),"",IF(AND($N169="Quantity",$AJ169&lt;$H169),"0 - "&amp;TEXT($H169-$AJ169,"0")&amp;" buildings?    ",IF(AND($N169="%",$AJ169&lt;1),REPLACE(IF(AND($P169&gt;0,$V169&gt;0,$T169&gt;0,$X169&gt;0,$R169&gt;0,$Z169&gt;0,$AB169&gt;0,$AD169&gt;0,$AF169&gt;0,$AH169&gt;0),"","0-"),99,0,REPLACE(TEXT(100-$AJ169,0),99,0,"?    ")),"")))</f>
        <v/>
      </c>
      <c r="Z169" s="1864"/>
      <c r="AA169" s="1865" t="str">
        <f>IF(OR($N169="", AND($N169="",OR($H169="",$H169=0))),"",IF(AND($N169="Quantity",$AJ169&lt;$H169),"0 - "&amp;TEXT($H169-$AJ169,"0")&amp;" buildings?    ",IF(AND($N169="%",$AJ169&lt;1),REPLACE(IF(AND($P169&gt;0,$V169&gt;0,$T169&gt;0,$X169&gt;0,$R169&gt;0,$Z169&gt;0,$AB169&gt;0,$AD169&gt;0,$AF169&gt;0,$AH169&gt;0),"","0-"),99,0,REPLACE(TEXT(100-$AJ169,0),99,0,"?    ")),"")))</f>
        <v/>
      </c>
      <c r="AB169" s="1864"/>
      <c r="AC169" s="1865" t="str">
        <f>IF(OR($N169="", AND($N169="",OR($H169="",$H169=0))),"",IF(AND($N169="Quantity",$AJ169&lt;$H169),"0 - "&amp;TEXT($H169-$AJ169,"0")&amp;" buildings?    ",IF(AND($N169="%",$AJ169&lt;1),REPLACE(IF(AND($P169&gt;0,$V169&gt;0,$T169&gt;0,$X169&gt;0,$R169&gt;0,$Z169&gt;0,$AB169&gt;0,$AD169&gt;0,$AF169&gt;0,$AH169&gt;0),"","0-"),99,0,REPLACE(TEXT(100-$AJ169,0),99,0,"?    ")),"")))</f>
        <v/>
      </c>
      <c r="AD169" s="1864"/>
      <c r="AE169" s="1865" t="str">
        <f>IF(OR($N169="", AND($N169="",OR($H169="",$H169=0))),"",IF(AND($N169="Quantity",$AJ169&lt;$H169),"0 - "&amp;TEXT($H169-$AJ169,"0")&amp;" buildings?    ",IF(AND($N169="%",$AJ169&lt;1),REPLACE(IF(AND($P169&gt;0,$V169&gt;0,$T169&gt;0,$X169&gt;0,$R169&gt;0,$Z169&gt;0,$AB169&gt;0,$AD169&gt;0,$AF169&gt;0,$AH169&gt;0),"","0-"),99,0,REPLACE(TEXT(100-$AJ169,0),99,0,"?    ")),"")))</f>
        <v/>
      </c>
      <c r="AF169" s="1864"/>
      <c r="AG169" s="1865" t="str">
        <f>IF(OR($N169="", AND($N169="",OR($H169="",$H169=0))),"",IF(AND($N169="Quantity",$AJ169&lt;$H169),"0 - "&amp;TEXT($H169-$AJ169,"0")&amp;" buildings?    ",IF(AND($N169="%",$AJ169&lt;1),REPLACE(IF(AND($P169&gt;0,$V169&gt;0,$T169&gt;0,$X169&gt;0,$R169&gt;0,$Z169&gt;0,$AB169&gt;0,$AD169&gt;0,$AF169&gt;0,$AH169&gt;0),"","0-"),99,0,REPLACE(TEXT(100-$AJ169,0),99,0,"?    ")),"")))</f>
        <v/>
      </c>
      <c r="AH169" s="1864"/>
      <c r="AI169" s="1865" t="str">
        <f>IF(OR($N169="", AND($N169="",OR($H169="",$H169=0))),"",IF(AND($N169="Quantity",$AJ169&lt;$H169),"0 - "&amp;TEXT($H169-$AJ169,"0")&amp;" buildings?    ",IF(AND($N169="%",$AJ169&lt;1),REPLACE(IF(AND($P169&gt;0,$V169&gt;0,$T169&gt;0,$X169&gt;0,$R169&gt;0,$Z169&gt;0,$AB169&gt;0,$AD169&gt;0,$AF169&gt;0,$AH169&gt;0),"","0-"),99,0,REPLACE(TEXT(100-$AJ169,0),99,0,"?    ")),"")))</f>
        <v/>
      </c>
      <c r="AJ169" s="1833">
        <f>IFERROR(IF(N169="%", SUM(P169,R169,T169,V169,X169,Z169,AB169,AD169,AF169,AH169)/100, SUM(P169,R169,T169,V169,X169,Z169,AB169,AD169,AF169,AH169)/H169), 0)</f>
        <v>0</v>
      </c>
      <c r="AL169" s="1832"/>
      <c r="AN169" s="1276"/>
      <c r="AP169" s="1653"/>
      <c r="AT169" s="1624" t="str">
        <f>IF(AND($C$124="", L169=""), "N/A", IF(AND(AJ169=1, L169&lt;&gt;"", N169&lt;&gt;"", P169&lt;&gt;"", R169&lt;&gt;"", T169&lt;&gt;"", V169&lt;&gt;"", X169&lt;&gt;"", Z169&lt;&gt;"", AB169&lt;&gt;"", AD169&lt;&gt;"", AF169&lt;&gt;"", AH169&lt;&gt;"",AL169&lt;&gt;"", IF(AND(AL169&lt;1, AN169=""), FALSE, TRUE)), "Yes", "No"))</f>
        <v>N/A</v>
      </c>
      <c r="AU169" s="759"/>
      <c r="AV169" s="759"/>
      <c r="AW169" s="759"/>
      <c r="AX169" s="759"/>
      <c r="AY169" s="759" t="b">
        <f>IF($L169="",FALSE,IF($L169&lt;$BO169,TRUE,FALSE))</f>
        <v>0</v>
      </c>
      <c r="AZ169" s="759" t="b">
        <f>IF($L169="",FALSE,IF($L169&gt;$BP169,TRUE,FALSE))</f>
        <v>0</v>
      </c>
      <c r="BA169" s="759" t="b">
        <f>IF(AND(E169&lt;&gt;"",$L169=""),TRUE,FALSE)</f>
        <v>0</v>
      </c>
      <c r="BB169" s="759" t="b">
        <f>IF(AND($AJ169&lt;&gt;0,$H169&lt;$AJ169,$N169="LF"),TRUE,IF(AND($N169="LF",H169&lt;&gt;"",H169=AJ169),FALSE,IF(AND($AJ169&lt;&gt;0,$AJ169&gt;"100%",$N169="%"),TRUE,FALSE)))</f>
        <v>0</v>
      </c>
      <c r="BC169" s="759" t="b">
        <f>IF(AT169="No", IF(OR(P169="", R169="", T169="", V169="", X169="", Z169="", AB169="", AD169="", AF169="", AH169=""), TRUE, FALSE), FALSE)</f>
        <v>0</v>
      </c>
      <c r="BD169" s="759" t="b">
        <f>IF($BE169=TRUE,FALSE,IF(OR($AL169&lt;0,$AL169&gt;1),TRUE,FALSE))</f>
        <v>0</v>
      </c>
      <c r="BE169" s="759" t="b">
        <f>IF(AND($E169&lt;&gt;"",$AL169=""),TRUE,FALSE)</f>
        <v>0</v>
      </c>
      <c r="BF169" s="759"/>
      <c r="BH169" s="1680"/>
      <c r="BI169" s="1678" t="str">
        <f>IF(N169="", "", IF(N169="Quantity", H169, IF(N169="%", 1, "")))</f>
        <v/>
      </c>
      <c r="BJ169" s="1679">
        <f>P169+R169+T169+V169+X169+Z169+AB169+AD169+AF169+AH169</f>
        <v>0</v>
      </c>
      <c r="BK169" s="1679" t="str">
        <f>IF(BI169="", "", BI169-BJ169)</f>
        <v/>
      </c>
      <c r="BL169" s="1680"/>
      <c r="BM169" s="1680"/>
      <c r="BN169" s="1678">
        <f>IF($C169="","",VLOOKUP($C169,Valid!$B$87:$F$96,5,FALSE))</f>
        <v>25</v>
      </c>
      <c r="BO169" s="1678">
        <f>IF($C169="","",VLOOKUP($C169,Valid!$B$87:$G$96,6,FALSE))</f>
        <v>19</v>
      </c>
      <c r="BP169" s="1678">
        <f>IF($C169="","",VLOOKUP($C169,Valid!$B$87:$Z$96,7,FALSE))</f>
        <v>31</v>
      </c>
    </row>
    <row r="170" spans="1:68" s="686" customFormat="1" ht="3.95" customHeight="1" x14ac:dyDescent="0.2">
      <c r="B170" s="1791">
        <v>158</v>
      </c>
      <c r="C170" s="1674"/>
      <c r="D170" s="1709"/>
      <c r="E170" s="1057"/>
      <c r="H170" s="1917"/>
      <c r="I170" s="1651"/>
      <c r="J170" s="1651"/>
      <c r="K170" s="1651"/>
      <c r="L170" s="1917"/>
      <c r="M170" s="1651"/>
      <c r="N170" s="1651"/>
      <c r="O170" s="1651"/>
      <c r="P170" s="1651"/>
      <c r="Q170" s="1651"/>
      <c r="R170" s="1651"/>
      <c r="S170" s="1651"/>
      <c r="T170" s="1651"/>
      <c r="U170" s="1651"/>
      <c r="V170" s="1651"/>
      <c r="W170" s="1651"/>
      <c r="X170" s="1651"/>
      <c r="Y170" s="1651"/>
      <c r="Z170" s="1651"/>
      <c r="AA170" s="1651"/>
      <c r="AB170" s="1651"/>
      <c r="AC170" s="1651"/>
      <c r="AD170" s="1651"/>
      <c r="AE170" s="1651"/>
      <c r="AF170" s="1651"/>
      <c r="AG170" s="1651"/>
      <c r="AH170" s="1651"/>
      <c r="AJ170" s="1676"/>
      <c r="AL170" s="1676"/>
      <c r="AP170" s="1394"/>
      <c r="AU170" s="848"/>
      <c r="AV170" s="848"/>
      <c r="AW170" s="848"/>
      <c r="AX170" s="848"/>
      <c r="AY170" s="759"/>
      <c r="AZ170" s="759"/>
      <c r="BA170" s="848"/>
      <c r="BB170" s="759"/>
      <c r="BC170" s="848"/>
      <c r="BD170" s="848"/>
      <c r="BE170" s="848"/>
      <c r="BF170" s="848"/>
      <c r="BH170" s="1680"/>
      <c r="BI170" s="1680"/>
      <c r="BJ170" s="1680"/>
      <c r="BK170" s="1680"/>
      <c r="BL170" s="1680"/>
      <c r="BM170" s="1680"/>
      <c r="BN170" s="1680"/>
      <c r="BO170" s="1680"/>
      <c r="BP170" s="1680"/>
    </row>
    <row r="171" spans="1:68" s="686" customFormat="1" ht="3.95" customHeight="1" x14ac:dyDescent="0.2">
      <c r="B171" s="1791">
        <v>159</v>
      </c>
      <c r="C171" s="1674"/>
      <c r="D171" s="1709"/>
      <c r="E171" s="1057"/>
      <c r="H171" s="1917"/>
      <c r="I171" s="1651"/>
      <c r="J171" s="1919"/>
      <c r="K171" s="1651"/>
      <c r="L171" s="1922"/>
      <c r="M171" s="1651"/>
      <c r="N171" s="1919"/>
      <c r="O171" s="1651"/>
      <c r="P171" s="1919"/>
      <c r="Q171" s="1651"/>
      <c r="R171" s="1919"/>
      <c r="S171" s="1651"/>
      <c r="T171" s="1919"/>
      <c r="U171" s="1651"/>
      <c r="V171" s="1919"/>
      <c r="W171" s="1651"/>
      <c r="X171" s="1919"/>
      <c r="Y171" s="1651"/>
      <c r="Z171" s="1919"/>
      <c r="AA171" s="1651"/>
      <c r="AB171" s="1919"/>
      <c r="AC171" s="1651"/>
      <c r="AD171" s="1919"/>
      <c r="AE171" s="1651"/>
      <c r="AF171" s="1919"/>
      <c r="AG171" s="1651"/>
      <c r="AH171" s="1919"/>
      <c r="AJ171" s="1792"/>
      <c r="AL171" s="1792"/>
      <c r="AN171" s="685"/>
      <c r="AP171" s="1394"/>
      <c r="AU171" s="848"/>
      <c r="AV171" s="848"/>
      <c r="AW171" s="848"/>
      <c r="AX171" s="848"/>
      <c r="AY171" s="759"/>
      <c r="AZ171" s="759"/>
      <c r="BA171" s="848"/>
      <c r="BB171" s="759"/>
      <c r="BC171" s="848"/>
      <c r="BD171" s="848"/>
      <c r="BE171" s="848"/>
      <c r="BF171" s="848"/>
      <c r="BH171" s="1680"/>
      <c r="BI171" s="1680"/>
      <c r="BJ171" s="1680"/>
      <c r="BK171" s="1680"/>
      <c r="BL171" s="1680"/>
      <c r="BM171" s="1680"/>
      <c r="BN171" s="1680"/>
      <c r="BO171" s="1680"/>
      <c r="BP171" s="1680"/>
    </row>
    <row r="172" spans="1:68" s="686" customFormat="1" ht="3.95" customHeight="1" x14ac:dyDescent="0.2">
      <c r="B172" s="1790">
        <v>160</v>
      </c>
      <c r="C172" s="1674"/>
      <c r="D172" s="1709"/>
      <c r="E172" s="1057"/>
      <c r="H172" s="1917"/>
      <c r="I172" s="1651"/>
      <c r="J172" s="1651"/>
      <c r="K172" s="1651"/>
      <c r="L172" s="1917"/>
      <c r="M172" s="1651"/>
      <c r="N172" s="1651"/>
      <c r="O172" s="1651"/>
      <c r="P172" s="1651"/>
      <c r="Q172" s="1651"/>
      <c r="R172" s="1651"/>
      <c r="S172" s="1651"/>
      <c r="T172" s="1651"/>
      <c r="U172" s="1651"/>
      <c r="V172" s="1651"/>
      <c r="W172" s="1651"/>
      <c r="X172" s="1651"/>
      <c r="Y172" s="1651"/>
      <c r="Z172" s="1651"/>
      <c r="AA172" s="1651"/>
      <c r="AB172" s="1651"/>
      <c r="AC172" s="1651"/>
      <c r="AD172" s="1651"/>
      <c r="AE172" s="1651"/>
      <c r="AF172" s="1651"/>
      <c r="AG172" s="1651"/>
      <c r="AH172" s="1651"/>
      <c r="AJ172" s="1676"/>
      <c r="AL172" s="1676"/>
      <c r="AP172" s="1394"/>
      <c r="AU172" s="848"/>
      <c r="AV172" s="848"/>
      <c r="AW172" s="848"/>
      <c r="AX172" s="848"/>
      <c r="AY172" s="759"/>
      <c r="AZ172" s="759"/>
      <c r="BA172" s="848"/>
      <c r="BB172" s="759"/>
      <c r="BC172" s="848"/>
      <c r="BD172" s="848"/>
      <c r="BE172" s="848"/>
      <c r="BF172" s="848"/>
      <c r="BH172" s="1680"/>
      <c r="BI172" s="1680"/>
      <c r="BJ172" s="1680"/>
      <c r="BK172" s="1680"/>
      <c r="BL172" s="1680"/>
      <c r="BM172" s="1680"/>
      <c r="BN172" s="1680"/>
      <c r="BO172" s="1680"/>
      <c r="BP172" s="1680"/>
    </row>
    <row r="173" spans="1:68" s="686" customFormat="1" ht="3.95" customHeight="1" x14ac:dyDescent="0.2">
      <c r="A173" s="1809"/>
      <c r="B173" s="1810">
        <v>52</v>
      </c>
      <c r="C173" s="1811"/>
      <c r="D173" s="1842"/>
      <c r="E173" s="1812"/>
      <c r="F173" s="1809"/>
      <c r="G173" s="1809"/>
      <c r="H173" s="1923"/>
      <c r="I173" s="1924"/>
      <c r="J173" s="1924"/>
      <c r="K173" s="1924"/>
      <c r="L173" s="1923"/>
      <c r="M173" s="1924"/>
      <c r="N173" s="1924"/>
      <c r="O173" s="1924"/>
      <c r="P173" s="1924"/>
      <c r="Q173" s="1924"/>
      <c r="R173" s="1924"/>
      <c r="S173" s="1924"/>
      <c r="T173" s="1924"/>
      <c r="U173" s="1924"/>
      <c r="V173" s="1924"/>
      <c r="W173" s="1924"/>
      <c r="X173" s="1924"/>
      <c r="Y173" s="1924"/>
      <c r="Z173" s="1924"/>
      <c r="AA173" s="1924"/>
      <c r="AB173" s="1924"/>
      <c r="AC173" s="1924"/>
      <c r="AD173" s="1924"/>
      <c r="AE173" s="1924"/>
      <c r="AF173" s="1924"/>
      <c r="AG173" s="1924"/>
      <c r="AH173" s="1924"/>
      <c r="AI173" s="1809"/>
      <c r="AJ173" s="1829"/>
      <c r="AK173" s="1809"/>
      <c r="AL173" s="1829"/>
      <c r="AM173" s="1809"/>
      <c r="AN173" s="1809"/>
      <c r="AO173" s="1809"/>
      <c r="AP173" s="1935"/>
      <c r="AQ173" s="1809"/>
      <c r="AR173" s="1809"/>
      <c r="AS173" s="1809"/>
      <c r="AT173" s="1809"/>
      <c r="AU173" s="1814"/>
      <c r="AV173" s="1814"/>
      <c r="AW173" s="1814"/>
      <c r="AX173" s="1814"/>
      <c r="AY173" s="1814"/>
      <c r="AZ173" s="1814"/>
      <c r="BA173" s="1814"/>
      <c r="BB173" s="1814"/>
      <c r="BC173" s="1814"/>
      <c r="BD173" s="1814"/>
      <c r="BE173" s="1814"/>
      <c r="BF173" s="1814"/>
      <c r="BG173" s="1809"/>
      <c r="BH173" s="1814"/>
      <c r="BI173" s="1814"/>
      <c r="BJ173" s="1814"/>
      <c r="BK173" s="1814"/>
      <c r="BL173" s="1814"/>
      <c r="BM173" s="1814"/>
      <c r="BN173" s="1814"/>
      <c r="BO173" s="1814"/>
      <c r="BP173" s="1814"/>
    </row>
    <row r="174" spans="1:68" s="686" customFormat="1" ht="3.95" customHeight="1" x14ac:dyDescent="0.2">
      <c r="A174" s="1244"/>
      <c r="B174" s="1791">
        <v>162</v>
      </c>
      <c r="C174" s="1677"/>
      <c r="D174" s="1709"/>
      <c r="E174" s="1057"/>
      <c r="H174" s="1922"/>
      <c r="I174" s="1651"/>
      <c r="J174" s="1919"/>
      <c r="K174" s="1651"/>
      <c r="L174" s="1922"/>
      <c r="M174" s="1651"/>
      <c r="N174" s="1919"/>
      <c r="O174" s="1651"/>
      <c r="P174" s="1919"/>
      <c r="Q174" s="1651"/>
      <c r="R174" s="1919"/>
      <c r="S174" s="1651"/>
      <c r="T174" s="1919"/>
      <c r="U174" s="1651"/>
      <c r="V174" s="1919"/>
      <c r="W174" s="1651"/>
      <c r="X174" s="1919"/>
      <c r="Y174" s="1651"/>
      <c r="Z174" s="1919"/>
      <c r="AA174" s="1651"/>
      <c r="AB174" s="1919"/>
      <c r="AC174" s="1651"/>
      <c r="AD174" s="1919"/>
      <c r="AE174" s="1651"/>
      <c r="AF174" s="1919"/>
      <c r="AG174" s="1651"/>
      <c r="AH174" s="1919"/>
      <c r="AJ174" s="1792"/>
      <c r="AL174" s="1792"/>
      <c r="AN174" s="685"/>
      <c r="AP174" s="1223"/>
      <c r="AU174" s="848"/>
      <c r="AV174" s="848"/>
      <c r="AW174" s="848"/>
      <c r="AX174" s="848"/>
      <c r="AY174" s="848"/>
      <c r="AZ174" s="848"/>
      <c r="BA174" s="848"/>
      <c r="BB174" s="848"/>
      <c r="BC174" s="848"/>
      <c r="BD174" s="848"/>
      <c r="BE174" s="848"/>
      <c r="BF174" s="848"/>
      <c r="BH174" s="1680"/>
      <c r="BI174" s="1680"/>
      <c r="BJ174" s="1680"/>
      <c r="BK174" s="1680"/>
      <c r="BL174" s="1680"/>
      <c r="BM174" s="1680"/>
      <c r="BN174" s="1680"/>
      <c r="BO174" s="1680"/>
      <c r="BP174" s="1680"/>
    </row>
    <row r="175" spans="1:68" s="686" customFormat="1" ht="3.95" customHeight="1" x14ac:dyDescent="0.2">
      <c r="B175" s="1791">
        <v>163</v>
      </c>
      <c r="C175" s="1677"/>
      <c r="D175" s="1709"/>
      <c r="E175" s="1057"/>
      <c r="H175" s="1917"/>
      <c r="I175" s="1651"/>
      <c r="J175" s="1651"/>
      <c r="K175" s="1651"/>
      <c r="L175" s="1922"/>
      <c r="M175" s="1651"/>
      <c r="N175" s="1651"/>
      <c r="O175" s="1651"/>
      <c r="P175" s="1919"/>
      <c r="Q175" s="1651"/>
      <c r="R175" s="1919"/>
      <c r="S175" s="1651"/>
      <c r="T175" s="1919"/>
      <c r="U175" s="1651"/>
      <c r="V175" s="1919"/>
      <c r="W175" s="1651"/>
      <c r="X175" s="1919"/>
      <c r="Y175" s="1651"/>
      <c r="Z175" s="1919"/>
      <c r="AA175" s="1651"/>
      <c r="AB175" s="1919"/>
      <c r="AC175" s="1651"/>
      <c r="AD175" s="1919"/>
      <c r="AE175" s="1651"/>
      <c r="AF175" s="1919"/>
      <c r="AG175" s="1651"/>
      <c r="AH175" s="1919"/>
      <c r="AJ175" s="1792"/>
      <c r="AL175" s="1792"/>
      <c r="AN175" s="685"/>
      <c r="AP175" s="1394"/>
      <c r="AU175" s="848"/>
      <c r="AV175" s="848"/>
      <c r="AW175" s="848"/>
      <c r="AX175" s="848"/>
      <c r="AY175" s="848"/>
      <c r="AZ175" s="848"/>
      <c r="BA175" s="848"/>
      <c r="BB175" s="848"/>
      <c r="BC175" s="848"/>
      <c r="BD175" s="848"/>
      <c r="BE175" s="848"/>
      <c r="BF175" s="848"/>
      <c r="BH175" s="1680"/>
      <c r="BI175" s="1680"/>
      <c r="BJ175" s="1680"/>
      <c r="BK175" s="1680"/>
      <c r="BL175" s="1680"/>
      <c r="BM175" s="1680"/>
      <c r="BN175" s="1680"/>
      <c r="BO175" s="1680"/>
      <c r="BP175" s="1680"/>
    </row>
    <row r="176" spans="1:68" s="686" customFormat="1" ht="3.95" customHeight="1" x14ac:dyDescent="0.2">
      <c r="B176" s="1791">
        <v>164</v>
      </c>
      <c r="C176" s="1677"/>
      <c r="D176" s="1709"/>
      <c r="E176" s="1057"/>
      <c r="H176" s="1917"/>
      <c r="I176" s="1651"/>
      <c r="J176" s="1651"/>
      <c r="K176" s="1651"/>
      <c r="L176" s="1925"/>
      <c r="M176" s="1651"/>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J176" s="1676"/>
      <c r="AL176" s="1676"/>
      <c r="AP176" s="1057"/>
      <c r="AU176" s="848"/>
      <c r="AV176" s="848"/>
      <c r="AW176" s="848"/>
      <c r="AX176" s="848"/>
      <c r="AY176" s="848"/>
      <c r="AZ176" s="848"/>
      <c r="BA176" s="848"/>
      <c r="BB176" s="848"/>
      <c r="BC176" s="848"/>
      <c r="BD176" s="848"/>
      <c r="BE176" s="848"/>
      <c r="BF176" s="848"/>
      <c r="BH176" s="1680"/>
      <c r="BI176" s="1680"/>
      <c r="BJ176" s="1680"/>
      <c r="BK176" s="1680"/>
      <c r="BL176" s="1680"/>
      <c r="BM176" s="1680"/>
      <c r="BN176" s="1680"/>
      <c r="BO176" s="1680"/>
      <c r="BP176" s="1680"/>
    </row>
    <row r="177" spans="1:69" s="686" customFormat="1" ht="3.95" customHeight="1" x14ac:dyDescent="0.2">
      <c r="B177" s="1790">
        <v>165</v>
      </c>
      <c r="C177" s="1677"/>
      <c r="D177" s="1709"/>
      <c r="E177" s="1057"/>
      <c r="H177" s="1917"/>
      <c r="I177" s="1651"/>
      <c r="J177" s="1651"/>
      <c r="K177" s="1651"/>
      <c r="L177" s="1926"/>
      <c r="M177" s="1651"/>
      <c r="N177" s="1651"/>
      <c r="O177" s="1651"/>
      <c r="P177" s="1651"/>
      <c r="Q177" s="1651"/>
      <c r="R177" s="1651"/>
      <c r="S177" s="1651"/>
      <c r="T177" s="1651"/>
      <c r="U177" s="1651"/>
      <c r="V177" s="1651"/>
      <c r="W177" s="1651"/>
      <c r="X177" s="1651"/>
      <c r="Y177" s="1651"/>
      <c r="Z177" s="1651"/>
      <c r="AA177" s="1651"/>
      <c r="AB177" s="1651"/>
      <c r="AC177" s="1651"/>
      <c r="AD177" s="1651"/>
      <c r="AE177" s="1651"/>
      <c r="AF177" s="1651"/>
      <c r="AG177" s="1651"/>
      <c r="AH177" s="1651"/>
      <c r="AJ177" s="1676"/>
      <c r="AL177" s="1676"/>
      <c r="AP177" s="1057"/>
      <c r="AU177" s="848"/>
      <c r="AV177" s="848"/>
      <c r="AW177" s="848"/>
      <c r="AX177" s="848"/>
      <c r="AY177" s="848"/>
      <c r="AZ177" s="848"/>
      <c r="BA177" s="848"/>
      <c r="BB177" s="848"/>
      <c r="BC177" s="848"/>
      <c r="BD177" s="848"/>
      <c r="BE177" s="848"/>
      <c r="BF177" s="848"/>
      <c r="BH177" s="1680"/>
      <c r="BI177" s="1680"/>
      <c r="BJ177" s="1680"/>
      <c r="BK177" s="1680"/>
      <c r="BL177" s="1680"/>
      <c r="BM177" s="1680"/>
      <c r="BN177" s="1680"/>
      <c r="BO177" s="1680"/>
      <c r="BP177" s="1680"/>
    </row>
    <row r="178" spans="1:69" s="782" customFormat="1" ht="3.95" customHeight="1" x14ac:dyDescent="0.2">
      <c r="A178" s="816"/>
      <c r="B178" s="1790">
        <v>166</v>
      </c>
      <c r="C178" s="1271"/>
      <c r="D178" s="1841"/>
      <c r="E178" s="721"/>
      <c r="F178" s="736"/>
      <c r="G178" s="736"/>
      <c r="H178" s="1927"/>
      <c r="I178" s="1928"/>
      <c r="J178" s="1928"/>
      <c r="K178" s="1928"/>
      <c r="L178" s="1929"/>
      <c r="M178" s="722"/>
      <c r="N178" s="722"/>
      <c r="O178" s="722"/>
      <c r="P178" s="1891"/>
      <c r="Q178" s="1930"/>
      <c r="R178" s="1931"/>
      <c r="S178" s="1930"/>
      <c r="T178" s="1931"/>
      <c r="U178" s="1930"/>
      <c r="V178" s="1931"/>
      <c r="W178" s="1930"/>
      <c r="X178" s="1931"/>
      <c r="Y178" s="1894"/>
      <c r="Z178" s="1894"/>
      <c r="AA178" s="1894"/>
      <c r="AB178" s="1894"/>
      <c r="AC178" s="1894"/>
      <c r="AD178" s="1894"/>
      <c r="AE178" s="1894"/>
      <c r="AF178" s="1894"/>
      <c r="AG178" s="1894"/>
      <c r="AH178" s="1894"/>
      <c r="AI178" s="821"/>
      <c r="AJ178" s="1826"/>
      <c r="AK178" s="781"/>
      <c r="AL178" s="1831"/>
      <c r="AM178" s="824"/>
      <c r="AN178" s="822"/>
      <c r="AO178" s="824"/>
      <c r="AP178" s="1391"/>
      <c r="AQ178" s="824"/>
      <c r="AT178" s="824"/>
      <c r="AU178" s="759"/>
      <c r="AV178" s="759"/>
      <c r="AW178" s="759"/>
      <c r="AX178" s="759"/>
      <c r="AY178" s="759"/>
      <c r="AZ178" s="759"/>
      <c r="BA178" s="759"/>
      <c r="BB178" s="759"/>
      <c r="BC178" s="759"/>
      <c r="BD178" s="759"/>
      <c r="BE178" s="759"/>
      <c r="BF178" s="759"/>
      <c r="BG178" s="760"/>
      <c r="BH178" s="1681"/>
      <c r="BI178" s="1681"/>
      <c r="BJ178" s="1681"/>
      <c r="BK178" s="1681"/>
      <c r="BL178" s="1681"/>
      <c r="BM178" s="1681"/>
      <c r="BN178" s="1681"/>
      <c r="BO178" s="1681"/>
      <c r="BP178" s="1681"/>
      <c r="BQ178" s="824"/>
    </row>
    <row r="179" spans="1:69" s="782" customFormat="1" ht="15.75" x14ac:dyDescent="0.2">
      <c r="A179" s="1712" t="s">
        <v>2621</v>
      </c>
      <c r="B179" s="1791">
        <v>167</v>
      </c>
      <c r="C179" s="1669"/>
      <c r="D179" s="1248" t="str">
        <f>IF(AND(C124&lt;&gt;"",$C179=""),"Select Mode from Pull-Down List                           ","")</f>
        <v/>
      </c>
      <c r="E179" s="1277" t="str">
        <f>IF(AND(C179="",OR(H209&lt;&gt;0,J209&lt;&gt;0,H212&lt;&gt;0)),"&lt;&lt; Insert Rail Mode",IF(AND(C124="",C179&lt;&gt;""),"&lt;&lt;Complete Previous Section First",""))</f>
        <v/>
      </c>
      <c r="F179" s="736"/>
      <c r="G179" s="736"/>
      <c r="H179" s="1932"/>
      <c r="I179" s="1896"/>
      <c r="J179" s="1897"/>
      <c r="K179" s="1897"/>
      <c r="L179" s="1933"/>
      <c r="M179" s="1896"/>
      <c r="N179" s="1896"/>
      <c r="O179" s="1896"/>
      <c r="P179" s="1898"/>
      <c r="Q179" s="1896"/>
      <c r="R179" s="1898"/>
      <c r="S179" s="1896"/>
      <c r="T179" s="1898"/>
      <c r="U179" s="1896"/>
      <c r="V179" s="1898"/>
      <c r="W179" s="1896"/>
      <c r="X179" s="1898"/>
      <c r="Y179" s="1896"/>
      <c r="Z179" s="1896"/>
      <c r="AA179" s="1896"/>
      <c r="AB179" s="1896"/>
      <c r="AC179" s="1896"/>
      <c r="AD179" s="1896"/>
      <c r="AE179" s="1896"/>
      <c r="AF179" s="1896"/>
      <c r="AG179" s="1896"/>
      <c r="AH179" s="1896"/>
      <c r="AI179" s="1254"/>
      <c r="AJ179" s="1827"/>
      <c r="AK179" s="1254"/>
      <c r="AL179" s="1827"/>
      <c r="AM179" s="832"/>
      <c r="AN179" s="1254"/>
      <c r="AO179" s="832"/>
      <c r="AP179" s="1399"/>
      <c r="AQ179" s="832"/>
      <c r="AS179" s="758"/>
      <c r="AT179" s="758" t="b">
        <f>IF(OR(E179&lt;&gt;"",E234="Complete Previous Section First"),TRUE,FALSE)</f>
        <v>0</v>
      </c>
      <c r="AU179" s="763"/>
      <c r="AV179" s="763"/>
      <c r="AW179" s="763"/>
      <c r="AX179" s="763"/>
      <c r="AY179" s="763"/>
      <c r="AZ179" s="763"/>
      <c r="BA179" s="763"/>
      <c r="BB179" s="763"/>
      <c r="BC179" s="763"/>
      <c r="BD179" s="763"/>
      <c r="BE179" s="763"/>
      <c r="BF179" s="759"/>
      <c r="BG179" s="760"/>
      <c r="BH179" s="1678"/>
      <c r="BI179" s="1678"/>
      <c r="BJ179" s="1678"/>
      <c r="BK179" s="1678"/>
      <c r="BL179" s="1678"/>
      <c r="BM179" s="1678"/>
      <c r="BN179" s="1678"/>
      <c r="BO179" s="1678"/>
      <c r="BP179" s="1678"/>
      <c r="BQ179" s="832"/>
    </row>
    <row r="180" spans="1:69" s="782" customFormat="1" ht="3.95" customHeight="1" x14ac:dyDescent="0.2">
      <c r="A180" s="721"/>
      <c r="B180" s="1791">
        <v>168</v>
      </c>
      <c r="C180" s="828"/>
      <c r="D180" s="1841"/>
      <c r="E180" s="721"/>
      <c r="F180" s="281"/>
      <c r="G180" s="281"/>
      <c r="H180" s="1934"/>
      <c r="I180" s="1899"/>
      <c r="J180" s="1899"/>
      <c r="K180" s="1899"/>
      <c r="L180" s="1909"/>
      <c r="M180" s="722"/>
      <c r="N180" s="722"/>
      <c r="O180" s="722"/>
      <c r="P180" s="1900"/>
      <c r="Q180" s="1901"/>
      <c r="R180" s="1900"/>
      <c r="S180" s="1901"/>
      <c r="T180" s="1900"/>
      <c r="U180" s="1901"/>
      <c r="V180" s="1900"/>
      <c r="W180" s="1901"/>
      <c r="X180" s="1900"/>
      <c r="Y180" s="1902"/>
      <c r="Z180" s="1902"/>
      <c r="AA180" s="1902"/>
      <c r="AB180" s="1902"/>
      <c r="AC180" s="1902"/>
      <c r="AD180" s="1902"/>
      <c r="AE180" s="1902"/>
      <c r="AF180" s="1902"/>
      <c r="AG180" s="1902"/>
      <c r="AH180" s="1902"/>
      <c r="AI180" s="831"/>
      <c r="AJ180" s="1828"/>
      <c r="AK180" s="724"/>
      <c r="AL180" s="1806"/>
      <c r="AM180" s="832"/>
      <c r="AN180" s="724"/>
      <c r="AO180" s="832"/>
      <c r="AP180" s="1399"/>
      <c r="AQ180" s="832"/>
      <c r="AS180" s="824"/>
      <c r="AT180" s="832"/>
      <c r="AU180" s="759"/>
      <c r="AV180" s="759"/>
      <c r="AW180" s="759"/>
      <c r="AX180" s="759"/>
      <c r="AY180" s="759"/>
      <c r="AZ180" s="759"/>
      <c r="BA180" s="759"/>
      <c r="BB180" s="759"/>
      <c r="BC180" s="759"/>
      <c r="BD180" s="759"/>
      <c r="BE180" s="759"/>
      <c r="BF180" s="759"/>
      <c r="BG180" s="760"/>
      <c r="BH180" s="1678"/>
      <c r="BI180" s="1678"/>
      <c r="BJ180" s="1678"/>
      <c r="BK180" s="1678"/>
      <c r="BL180" s="1678"/>
      <c r="BM180" s="1678"/>
      <c r="BN180" s="1678"/>
      <c r="BO180" s="1678"/>
      <c r="BP180" s="1678"/>
      <c r="BQ180" s="832"/>
    </row>
    <row r="181" spans="1:69" s="782" customFormat="1" x14ac:dyDescent="0.2">
      <c r="A181" s="1712" t="s">
        <v>2621</v>
      </c>
      <c r="B181" s="1791">
        <v>169</v>
      </c>
      <c r="C181" s="844" t="str">
        <f>IF(C179="","Guideway (Excludes Track)",VLOOKUP(C179,Codes!$C$156:$D$174,2)&amp;" Guideway (Excludes Track)")</f>
        <v>Guideway (Excludes Track)</v>
      </c>
      <c r="D181" s="1841"/>
      <c r="E181" s="721"/>
      <c r="F181" s="281"/>
      <c r="G181" s="281"/>
      <c r="H181" s="1934"/>
      <c r="I181" s="1899"/>
      <c r="J181" s="1899"/>
      <c r="K181" s="1899"/>
      <c r="L181" s="1909"/>
      <c r="M181" s="722"/>
      <c r="N181" s="722"/>
      <c r="O181" s="722"/>
      <c r="P181" s="1900"/>
      <c r="Q181" s="1901"/>
      <c r="R181" s="1900"/>
      <c r="S181" s="1901"/>
      <c r="T181" s="1900"/>
      <c r="U181" s="1901"/>
      <c r="V181" s="1900"/>
      <c r="W181" s="1901"/>
      <c r="X181" s="1900"/>
      <c r="Y181" s="1902"/>
      <c r="Z181" s="1902"/>
      <c r="AA181" s="1902"/>
      <c r="AB181" s="1902"/>
      <c r="AC181" s="1902"/>
      <c r="AD181" s="1902"/>
      <c r="AE181" s="1902"/>
      <c r="AF181" s="1902"/>
      <c r="AG181" s="1902"/>
      <c r="AH181" s="1902"/>
      <c r="AI181" s="831"/>
      <c r="AJ181" s="1828"/>
      <c r="AK181" s="724"/>
      <c r="AL181" s="1806"/>
      <c r="AM181" s="832"/>
      <c r="AN181" s="724"/>
      <c r="AO181" s="832"/>
      <c r="AP181" s="1223"/>
      <c r="AQ181" s="832"/>
      <c r="AS181" s="824"/>
      <c r="AT181" s="832"/>
      <c r="AU181" s="759"/>
      <c r="AV181" s="759"/>
      <c r="AW181" s="759"/>
      <c r="AX181" s="759"/>
      <c r="AY181" s="759"/>
      <c r="AZ181" s="759"/>
      <c r="BA181" s="759"/>
      <c r="BB181" s="759"/>
      <c r="BC181" s="759"/>
      <c r="BD181" s="759"/>
      <c r="BE181" s="759"/>
      <c r="BF181" s="759"/>
      <c r="BG181" s="760"/>
      <c r="BH181" s="1678"/>
      <c r="BI181" s="1678"/>
      <c r="BJ181" s="1678"/>
      <c r="BK181" s="1678"/>
      <c r="BL181" s="1678"/>
      <c r="BM181" s="1678"/>
      <c r="BN181" s="1678"/>
      <c r="BO181" s="1678"/>
      <c r="BP181" s="1678"/>
      <c r="BQ181" s="832"/>
    </row>
    <row r="182" spans="1:69" s="782" customFormat="1" ht="26.25" thickBot="1" x14ac:dyDescent="0.25">
      <c r="A182" s="1712" t="s">
        <v>2621</v>
      </c>
      <c r="B182" s="1790">
        <v>170</v>
      </c>
      <c r="D182" s="1841"/>
      <c r="E182" s="816"/>
      <c r="F182" s="764"/>
      <c r="G182" s="764"/>
      <c r="H182" s="1903" t="str">
        <f>H$10</f>
        <v>Linear Feet</v>
      </c>
      <c r="I182" s="1899"/>
      <c r="J182" s="1903" t="str">
        <f>J$10</f>
        <v>Track Feet</v>
      </c>
      <c r="K182" s="1899"/>
      <c r="L182" s="1909"/>
      <c r="M182" s="722"/>
      <c r="N182" s="722"/>
      <c r="O182" s="722"/>
      <c r="P182" s="1903" t="str">
        <f>P$9</f>
        <v>Pre-1920</v>
      </c>
      <c r="Q182" s="1869"/>
      <c r="R182" s="1903" t="str">
        <f>R$9</f>
        <v>1920-
1929</v>
      </c>
      <c r="S182" s="1869"/>
      <c r="T182" s="1903" t="str">
        <f>T$9</f>
        <v>1930-
1939</v>
      </c>
      <c r="U182" s="1869"/>
      <c r="V182" s="1903" t="str">
        <f>V$9</f>
        <v>1940-
1949</v>
      </c>
      <c r="W182" s="1869"/>
      <c r="X182" s="1903" t="str">
        <f>X$9</f>
        <v>1950-
1959</v>
      </c>
      <c r="Y182" s="1868"/>
      <c r="Z182" s="1903" t="str">
        <f>Z$9</f>
        <v>1960-
1969</v>
      </c>
      <c r="AA182" s="1868"/>
      <c r="AB182" s="1903" t="str">
        <f>AB$9</f>
        <v>1970-
1979</v>
      </c>
      <c r="AC182" s="1868"/>
      <c r="AD182" s="1903" t="str">
        <f>AD$9</f>
        <v>1980-
1989</v>
      </c>
      <c r="AE182" s="1868"/>
      <c r="AF182" s="1903" t="str">
        <f>AF$9</f>
        <v>1990-
1999</v>
      </c>
      <c r="AG182" s="1868"/>
      <c r="AH182" s="1903" t="str">
        <f>AH$9</f>
        <v>2000-
present</v>
      </c>
      <c r="AI182" s="831"/>
      <c r="AJ182" s="1828"/>
      <c r="AK182" s="724"/>
      <c r="AL182" s="1806"/>
      <c r="AM182" s="832"/>
      <c r="AN182" s="724"/>
      <c r="AO182" s="832"/>
      <c r="AP182" s="1399"/>
      <c r="AQ182" s="832"/>
      <c r="AS182" s="832"/>
      <c r="AT182" s="832"/>
      <c r="AU182" s="759"/>
      <c r="AV182" s="759"/>
      <c r="AW182" s="759"/>
      <c r="AX182" s="759"/>
      <c r="AY182" s="759"/>
      <c r="AZ182" s="759"/>
      <c r="BA182" s="759"/>
      <c r="BB182" s="759"/>
      <c r="BC182" s="759"/>
      <c r="BD182" s="759"/>
      <c r="BE182" s="759"/>
      <c r="BF182" s="759"/>
      <c r="BG182" s="760"/>
      <c r="BH182" s="1678"/>
      <c r="BI182" s="1678"/>
      <c r="BJ182" s="1678"/>
      <c r="BK182" s="1678"/>
      <c r="BL182" s="1678"/>
      <c r="BM182" s="1678"/>
      <c r="BN182" s="1678"/>
      <c r="BO182" s="1678"/>
      <c r="BP182" s="1678"/>
      <c r="BQ182" s="832"/>
    </row>
    <row r="183" spans="1:69" s="782" customFormat="1" ht="12.75" customHeight="1" x14ac:dyDescent="0.2">
      <c r="A183" s="852">
        <f>A169+1</f>
        <v>43</v>
      </c>
      <c r="B183" s="1790">
        <v>171</v>
      </c>
      <c r="C183" s="851" t="str">
        <f>Valid!$B$71</f>
        <v>At-Grade/Ballast (including expressway)</v>
      </c>
      <c r="D183" s="1841"/>
      <c r="E183" s="1245" t="str">
        <f>IF(AT183="N/A","",IF(AT183="N","No","Yes"))</f>
        <v/>
      </c>
      <c r="F183" s="764"/>
      <c r="G183" s="764"/>
      <c r="H183" s="1864"/>
      <c r="I183" s="1904" t="str">
        <f>IF(C179="","",IF(J183&lt;&gt;"","Linear Feet   ","Qty? Enter Zero if N/A  "))</f>
        <v/>
      </c>
      <c r="J183" s="1864"/>
      <c r="K183" s="1904" t="str">
        <f>IF(E183="yes","",IF(C179="","",IF(H183="","Qty? Enter Zero if N/A  ",IF(H183&lt;&gt;"","Track Feet      ",""))))</f>
        <v/>
      </c>
      <c r="L183" s="1864"/>
      <c r="M183" s="1620" t="str">
        <f>IF($H183=0,"",IF($L183="",TEXT(BN183,0)&amp;" Years?    ",""))</f>
        <v/>
      </c>
      <c r="N183" s="1905"/>
      <c r="O183" s="1620"/>
      <c r="P183" s="1864"/>
      <c r="Q183" s="1865" t="str">
        <f>IF(OR($N183="",$H183=0, P183&lt;&gt;""),"", IF($BK183&lt;&gt;0, "0 - ", "")&amp;IF($N183="%", TEXT($BK183, "0%"), IF($BK183&lt;1000, TEXT($BK183, "#,##0"), TEXT($BK183/1000, "#,##0")&amp;"k")&amp;" ft.")&amp;"?  ")</f>
        <v/>
      </c>
      <c r="R183" s="1864"/>
      <c r="S183" s="1865" t="str">
        <f>IF(OR($N183="",$H183=0, R183&lt;&gt;""),"", IF($BK183&lt;&gt;0, "0 - ", "")&amp;IF($N183="%", TEXT($BK183, "0%"), IF($BK183&lt;1000, TEXT($BK183, "#,##0"), TEXT($BK183/1000, "#,##0")&amp;"k")&amp;" ft.")&amp;"?  ")</f>
        <v/>
      </c>
      <c r="T183" s="1864"/>
      <c r="U183" s="1865" t="str">
        <f>IF(OR($N183="",$H183=0, T183&lt;&gt;""),"", IF($BK183&lt;&gt;0, "0 - ", "")&amp;IF($N183="%", TEXT($BK183, "0%"), IF($BK183&lt;1000, TEXT($BK183, "#,##0"), TEXT($BK183/1000, "#,##0")&amp;"k")&amp;" ft.")&amp;"?  ")</f>
        <v/>
      </c>
      <c r="V183" s="1864"/>
      <c r="W183" s="1865" t="str">
        <f>IF(OR($N183="",$H183=0, V183&lt;&gt;""),"", IF($BK183&lt;&gt;0, "0 - ", "")&amp;IF($N183="%", TEXT($BK183, "0%"), IF($BK183&lt;1000, TEXT($BK183, "#,##0"), TEXT($BK183/1000, "#,##0")&amp;"k")&amp;" ft.")&amp;"?  ")</f>
        <v/>
      </c>
      <c r="X183" s="1864"/>
      <c r="Y183" s="1865" t="str">
        <f>IF(OR($N183="",$H183=0, X183&lt;&gt;""),"", IF($BK183&lt;&gt;0, "0 - ", "")&amp;IF($N183="%", TEXT($BK183, "0%"), IF($BK183&lt;1000, TEXT($BK183, "#,##0"), TEXT($BK183/1000, "#,##0")&amp;"k")&amp;" ft.")&amp;"?  ")</f>
        <v/>
      </c>
      <c r="Z183" s="1864"/>
      <c r="AA183" s="1865" t="str">
        <f>IF(OR($N183="",$H183=0, Z183&lt;&gt;""),"", IF($BK183&lt;&gt;0, "0 - ", "")&amp;IF($N183="%", TEXT($BK183, "0%"), IF($BK183&lt;1000, TEXT($BK183, "#,##0"), TEXT($BK183/1000, "#,##0")&amp;"k")&amp;" ft.")&amp;"?  ")</f>
        <v/>
      </c>
      <c r="AB183" s="1864"/>
      <c r="AC183" s="1865" t="str">
        <f>IF(OR($N183="",$H183=0, AB183&lt;&gt;""),"", IF($BK183&lt;&gt;0, "0 - ", "")&amp;IF($N183="%", TEXT($BK183, "0%"), IF($BK183&lt;1000, TEXT($BK183, "#,##0"), TEXT($BK183/1000, "#,##0")&amp;"k")&amp;" ft.")&amp;"?  ")</f>
        <v/>
      </c>
      <c r="AD183" s="1864"/>
      <c r="AE183" s="1865" t="str">
        <f>IF(OR($N183="",$H183=0, AD183&lt;&gt;""),"", IF($BK183&lt;&gt;0, "0 - ", "")&amp;IF($N183="%", TEXT($BK183, "0%"), IF($BK183&lt;1000, TEXT($BK183, "#,##0"), TEXT($BK183/1000, "#,##0")&amp;"k")&amp;" ft.")&amp;"?  ")</f>
        <v/>
      </c>
      <c r="AF183" s="1864"/>
      <c r="AG183" s="1865" t="str">
        <f>IF(OR($N183="",$H183=0, AF183&lt;&gt;""),"", IF($BK183&lt;&gt;0, "0 - ", "")&amp;IF($N183="%", TEXT($BK183, "0%"), IF($BK183&lt;1000, TEXT($BK183, "#,##0"), TEXT($BK183/1000, "#,##0")&amp;"k")&amp;" ft.")&amp;"?  ")</f>
        <v/>
      </c>
      <c r="AH183" s="1864"/>
      <c r="AI183" s="1865" t="str">
        <f>IF(OR($N183="",$H183=0, AH183&lt;&gt;""),"", IF($BK183&lt;&gt;0, "0 - ", "")&amp;IF($N183="%", TEXT($BK183, "0%"), IF($BK183&lt;1000, TEXT($BK183, "#,##0"), TEXT($BK183/1000, "#,##0")&amp;"k")&amp;" ft.")&amp;"?  ")</f>
        <v/>
      </c>
      <c r="AJ183" s="1833">
        <f>IFERROR(IF(N183="%", SUM(P183,R183,T183,V183,X183,Z183,AB183,AD183,AF183,AH183)/100, SUM(P183,R183,T183,V183,X183,Z183,AB183,AD183,AF183,AH183)/IF(N183="LF", H183,J183)), 0)</f>
        <v>0</v>
      </c>
      <c r="AK183" s="1648"/>
      <c r="AL183" s="1675"/>
      <c r="AM183" s="839"/>
      <c r="AN183" s="1808"/>
      <c r="AO183" s="839"/>
      <c r="AP183" s="1653"/>
      <c r="AQ183" s="839"/>
      <c r="AS183" s="1399"/>
      <c r="AT183" s="1624" t="str">
        <f>IF(AND($C$179="", H183="", J183=""), "N/A", IF(OR(AND(ISNUMBER(H183), ISNUMBER(J183), H183=0, J183=0), AND(AJ183=1, H183&lt;&gt;"", J183&lt;&gt;"", L183&lt;&gt;"", N183&lt;&gt;"", P183&lt;&gt;"", R183&lt;&gt;"", T183&lt;&gt;"", V183&lt;&gt;"", X183&lt;&gt;"", Z183&lt;&gt;"", AB183&lt;&gt;"", AD183&lt;&gt;"", AF183&lt;&gt;"", AH183&lt;&gt;"",AL183&lt;&gt;"", IF(AND(AL183&lt;1, AN183=""), FALSE, TRUE))), "Yes", "No"))</f>
        <v>N/A</v>
      </c>
      <c r="AU183" s="759" t="b">
        <f>IF(AND(H183="",OR(L183&lt;&gt;"",P183&lt;&gt;"",R183&lt;&gt;"",T183&lt;&gt;"",V183&lt;&gt;"",X183&lt;&gt;"",AL183&lt;&gt;"",Z183&lt;&gt;"",AB183&lt;&gt;"",AD183&lt;&gt;"",AF183&lt;&gt;"",AH183&lt;&gt;"")),TRUE,FALSE)</f>
        <v>0</v>
      </c>
      <c r="AV183" s="759" t="b">
        <f>IF(OR(H183="",H183=0),FALSE,IF(H183&gt;BM183,TRUE,FALSE))</f>
        <v>0</v>
      </c>
      <c r="AW183" s="759" t="b">
        <f>IF(AND($C$179&lt;&gt;"",$H183=""),TRUE,FALSE)</f>
        <v>0</v>
      </c>
      <c r="AX183" s="759" t="b">
        <f>IF(E183="yes",FALSE,IF(H183="0",FALSE,IF(AND($C$179&lt;&gt;"",J183=""),TRUE,FALSE)))</f>
        <v>0</v>
      </c>
      <c r="AY183" s="759" t="b">
        <f>IF($L183="",FALSE,IF($L183&lt;$BO183,TRUE,FALSE))</f>
        <v>0</v>
      </c>
      <c r="AZ183" s="759" t="b">
        <f>IF($L183="",FALSE,IF($L183&gt;$BP183,TRUE,FALSE))</f>
        <v>0</v>
      </c>
      <c r="BA183" s="759" t="b">
        <f>IF(H183=0,FALSE,IF(AND(E183&lt;&gt;"",$L183=""),TRUE,FALSE))</f>
        <v>0</v>
      </c>
      <c r="BB183" s="759" t="b">
        <f>IF(AND($AJ183&lt;&gt;0,$H183&lt;&gt;$BJ183,$N183="LF"),TRUE,IF(AND($AJ183&lt;&gt;0,$J183&lt;&gt;$AJ183,$N183="TF"),TRUE,IF(AND($AJ183&lt;&gt;0,$AJ183&lt;&gt;1,$N183="%"),TRUE,FALSE)))</f>
        <v>0</v>
      </c>
      <c r="BC183" s="759" t="b">
        <f>IF(AT183="No", IF(OR(P183="", R183="", T183="", V183="", X183="", Z183="", AB183="", AD183="", AF183="", AH183=""), TRUE, FALSE), FALSE)</f>
        <v>0</v>
      </c>
      <c r="BD183" s="759" t="b">
        <f>IF($BE183=TRUE,FALSE,IF(OR($AL183&lt;0,$AL183&gt;1),TRUE,FALSE))</f>
        <v>0</v>
      </c>
      <c r="BE183" s="759" t="b">
        <f>IF(AND($H183&lt;&gt;0,$AL183=""),TRUE,FALSE)</f>
        <v>0</v>
      </c>
      <c r="BF183" s="759" t="b">
        <f>IF(N183="%",TRUE,FALSE)</f>
        <v>0</v>
      </c>
      <c r="BG183" s="760"/>
      <c r="BH183" s="1678">
        <f>IF($C183="","",VLOOKUP($C183,val_fg_assets,9,FALSE))</f>
        <v>1</v>
      </c>
      <c r="BI183" s="1678" t="str">
        <f>IF(N183="", "", IF(N183="LF", H183, IF(N183="TF", J183, IF(N183="%", 1, ""))))</f>
        <v/>
      </c>
      <c r="BJ183" s="1679">
        <f>P183+R183+T183+V183+X183+Z183+AB183+AD183+AF183+AH183</f>
        <v>0</v>
      </c>
      <c r="BK183" s="1679" t="str">
        <f>IF(BI183="", "", BI183-BJ183)</f>
        <v/>
      </c>
      <c r="BL183" s="1679">
        <f>IF($C183="","",VLOOKUP($C183,val_fg_assets,3,FALSE))</f>
        <v>0</v>
      </c>
      <c r="BM183" s="1679">
        <f>IF($C183="","",VLOOKUP($C183,val_fg_assets,4,FALSE))</f>
        <v>1320000</v>
      </c>
      <c r="BN183" s="1678">
        <f>IF($C183="","",VLOOKUP($C183,val_fg_assets,5,FALSE))</f>
        <v>80</v>
      </c>
      <c r="BO183" s="1678">
        <f>IF($C183="","",VLOOKUP($C183,val_fg_assets,6,FALSE))</f>
        <v>60</v>
      </c>
      <c r="BP183" s="1678">
        <f>IF($C183="","",VLOOKUP($C183,val_fg_assets,7,FALSE))</f>
        <v>100</v>
      </c>
      <c r="BQ183" s="1399"/>
    </row>
    <row r="184" spans="1:69" s="782" customFormat="1" ht="3.95" customHeight="1" x14ac:dyDescent="0.2">
      <c r="A184" s="1672"/>
      <c r="B184" s="1791">
        <v>172</v>
      </c>
      <c r="C184" s="1673"/>
      <c r="D184" s="1841"/>
      <c r="E184" s="1057"/>
      <c r="F184" s="764"/>
      <c r="G184" s="764"/>
      <c r="H184" s="1906"/>
      <c r="I184" s="1907"/>
      <c r="J184" s="1908"/>
      <c r="K184" s="1907"/>
      <c r="L184" s="1909"/>
      <c r="M184" s="1910"/>
      <c r="N184" s="1911"/>
      <c r="O184" s="1910"/>
      <c r="P184" s="1866"/>
      <c r="Q184" s="1867"/>
      <c r="R184" s="1866"/>
      <c r="S184" s="1867"/>
      <c r="T184" s="1866"/>
      <c r="U184" s="1867"/>
      <c r="V184" s="1866"/>
      <c r="W184" s="1867"/>
      <c r="X184" s="1866"/>
      <c r="Y184" s="1867"/>
      <c r="Z184" s="1867"/>
      <c r="AA184" s="1867"/>
      <c r="AB184" s="1867"/>
      <c r="AC184" s="1867"/>
      <c r="AD184" s="1867"/>
      <c r="AE184" s="1867"/>
      <c r="AF184" s="1867"/>
      <c r="AG184" s="1867"/>
      <c r="AH184" s="1867"/>
      <c r="AI184" s="837"/>
      <c r="AJ184" s="1806"/>
      <c r="AK184" s="841"/>
      <c r="AL184" s="1806"/>
      <c r="AM184" s="1399"/>
      <c r="AN184" s="838"/>
      <c r="AO184" s="1399"/>
      <c r="AP184" s="1223"/>
      <c r="AQ184" s="1399"/>
      <c r="AS184" s="1399"/>
      <c r="AT184" s="1399"/>
      <c r="AU184" s="759"/>
      <c r="AV184" s="759"/>
      <c r="AW184" s="759"/>
      <c r="AX184" s="759"/>
      <c r="AY184" s="759"/>
      <c r="AZ184" s="759"/>
      <c r="BA184" s="759"/>
      <c r="BB184" s="759"/>
      <c r="BC184" s="759"/>
      <c r="BD184" s="759"/>
      <c r="BE184" s="759"/>
      <c r="BF184" s="759"/>
      <c r="BG184" s="760"/>
      <c r="BH184" s="1678"/>
      <c r="BI184" s="1678"/>
      <c r="BJ184" s="1678"/>
      <c r="BK184" s="1678"/>
      <c r="BL184" s="1679"/>
      <c r="BM184" s="1679"/>
      <c r="BN184" s="1678"/>
      <c r="BO184" s="1678"/>
      <c r="BP184" s="1678"/>
      <c r="BQ184" s="1399"/>
    </row>
    <row r="185" spans="1:69" s="782" customFormat="1" ht="3.95" customHeight="1" thickBot="1" x14ac:dyDescent="0.25">
      <c r="A185" s="852"/>
      <c r="B185" s="1791">
        <v>173</v>
      </c>
      <c r="C185" s="851"/>
      <c r="D185" s="1841"/>
      <c r="E185" s="1058"/>
      <c r="F185" s="686"/>
      <c r="G185" s="686"/>
      <c r="H185" s="1909"/>
      <c r="I185" s="1908"/>
      <c r="J185" s="1908"/>
      <c r="K185" s="1908"/>
      <c r="L185" s="1909"/>
      <c r="M185" s="722"/>
      <c r="N185" s="1912"/>
      <c r="O185" s="722"/>
      <c r="P185" s="1868"/>
      <c r="Q185" s="1869"/>
      <c r="R185" s="1868"/>
      <c r="S185" s="1869"/>
      <c r="T185" s="1868"/>
      <c r="U185" s="1869"/>
      <c r="V185" s="1868"/>
      <c r="W185" s="1869"/>
      <c r="X185" s="1868"/>
      <c r="Y185" s="1869"/>
      <c r="Z185" s="1869"/>
      <c r="AA185" s="1869"/>
      <c r="AB185" s="1869"/>
      <c r="AC185" s="1869"/>
      <c r="AD185" s="1869"/>
      <c r="AE185" s="1869"/>
      <c r="AF185" s="1869"/>
      <c r="AG185" s="1869"/>
      <c r="AH185" s="1869"/>
      <c r="AI185" s="1670"/>
      <c r="AJ185" s="1828"/>
      <c r="AK185" s="724"/>
      <c r="AL185" s="1806"/>
      <c r="AM185" s="1399"/>
      <c r="AN185" s="1258"/>
      <c r="AO185" s="1399"/>
      <c r="AP185" s="1399"/>
      <c r="AQ185" s="1399"/>
      <c r="AS185" s="1399"/>
      <c r="AT185" s="1399"/>
      <c r="AU185" s="759"/>
      <c r="AV185" s="759"/>
      <c r="AW185" s="759"/>
      <c r="AX185" s="759"/>
      <c r="AY185" s="759"/>
      <c r="AZ185" s="759"/>
      <c r="BA185" s="759"/>
      <c r="BB185" s="759"/>
      <c r="BC185" s="759"/>
      <c r="BD185" s="759"/>
      <c r="BE185" s="759"/>
      <c r="BF185" s="759"/>
      <c r="BG185" s="760"/>
      <c r="BH185" s="1678"/>
      <c r="BI185" s="1678"/>
      <c r="BJ185" s="1678"/>
      <c r="BK185" s="1678"/>
      <c r="BL185" s="1679"/>
      <c r="BM185" s="1679"/>
      <c r="BN185" s="1678"/>
      <c r="BO185" s="1678"/>
      <c r="BP185" s="1678"/>
      <c r="BQ185" s="1399"/>
    </row>
    <row r="186" spans="1:69" s="782" customFormat="1" x14ac:dyDescent="0.2">
      <c r="A186" s="852">
        <f>A183+1</f>
        <v>44</v>
      </c>
      <c r="B186" s="1791">
        <v>174</v>
      </c>
      <c r="C186" s="851" t="str">
        <f>Valid!$B$72</f>
        <v>At-Grade/In-Street/Embedded</v>
      </c>
      <c r="D186" s="1841"/>
      <c r="E186" s="1245" t="str">
        <f>IF(AT186="N/A","",IF(AT186="N","No","Yes"))</f>
        <v/>
      </c>
      <c r="F186" s="764"/>
      <c r="G186" s="764"/>
      <c r="H186" s="1864"/>
      <c r="I186" s="1904" t="str">
        <f>IF(C179="","",IF(J186&lt;&gt;"","Linear Feet   ","Qty? Enter Zero if N/A  "))</f>
        <v/>
      </c>
      <c r="J186" s="1864"/>
      <c r="K186" s="1904" t="str">
        <f>IF(E186="yes","",IF(C179="","",IF(H186="","Qty? Enter Zero if N/A  ",IF(H186&lt;&gt;"","Track Feet      ",""))))</f>
        <v/>
      </c>
      <c r="L186" s="1864"/>
      <c r="M186" s="1620" t="str">
        <f>IF($H186=0,"",IF($L186="",TEXT(BN186,0)&amp;" Years?    ",""))</f>
        <v/>
      </c>
      <c r="N186" s="1905"/>
      <c r="O186" s="1620"/>
      <c r="P186" s="1864"/>
      <c r="Q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R186" s="1864"/>
      <c r="S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T186" s="1864"/>
      <c r="U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V186" s="1864"/>
      <c r="W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X186" s="1864"/>
      <c r="Y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Z186" s="1864"/>
      <c r="AA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B186" s="1864"/>
      <c r="AC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D186" s="1864"/>
      <c r="AE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F186" s="1864"/>
      <c r="AG186" s="1865"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H186" s="1864"/>
      <c r="AI186" s="904" t="str">
        <f>IF($N186="","",IF(AND($N186="",OR($H186="",$H186=0)),"",IF(AND($N186="LF",$AJ186&lt;$H186),"0 - "&amp;TEXT(($H186-$AJ186)/1000,"0")&amp;"k lin. ft.?    ",IF(AND($N186="TF",$AJ186&lt;$J186),"0 - "&amp;TEXT(($J186-$AJ186)/1000,"0")&amp;"k track ft.?    ",IF(AND($N186="%",$AJ186&lt;1),REPLACE(IF(AND($P186&gt;0,$V186&gt;0,$T186&gt;0,$X186&gt;0,$R186&gt;0,$Z186&gt;0,$AB186&gt;0,$AD186&gt;0,$AF186&gt;0,$AH186&gt;0),"","0-"),99,0,REPLACE(TEXT(100-$AJ186,0),99,0,"%?    ")),"")))))</f>
        <v/>
      </c>
      <c r="AJ186" s="1833">
        <f>IFERROR(IF(N186="%", SUM(P186,R186,T186,V186,X186,Z186,AB186,AD186,AF186,AH186)/100, SUM(P186,R186,T186,V186,X186,Z186,AB186,AD186,AF186,AH186)/IF(N186="LF", H186,J186)), 0)</f>
        <v>0</v>
      </c>
      <c r="AK186" s="1648"/>
      <c r="AL186" s="1675"/>
      <c r="AM186" s="1399"/>
      <c r="AN186" s="1808"/>
      <c r="AO186" s="1399"/>
      <c r="AP186" s="1653"/>
      <c r="AQ186" s="1399"/>
      <c r="AS186" s="1399"/>
      <c r="AT186" s="1624" t="str">
        <f>IF(AND($C$179="", H186="", J186=""), "N/A", IF(OR(AND(ISNUMBER(H186), ISNUMBER(J186), H186=0, J186=0), AND(AJ186=1, H186&lt;&gt;"", J186&lt;&gt;"", L186&lt;&gt;"", N186&lt;&gt;"", P186&lt;&gt;"", R186&lt;&gt;"", T186&lt;&gt;"", V186&lt;&gt;"", X186&lt;&gt;"", Z186&lt;&gt;"", AB186&lt;&gt;"", AD186&lt;&gt;"", AF186&lt;&gt;"", AH186&lt;&gt;"",AL186&lt;&gt;"", IF(AND(AL186&lt;1, AN186=""), FALSE, TRUE))), "Yes", "No"))</f>
        <v>N/A</v>
      </c>
      <c r="AU186" s="759" t="b">
        <f>IF(AND(H186="",OR(L186&lt;&gt;"",P186&lt;&gt;"",R186&lt;&gt;"",T186&lt;&gt;"",V186&lt;&gt;"",X186&lt;&gt;"",AL186&lt;&gt;"",Z186&lt;&gt;"",AB186&lt;&gt;"",AD186&lt;&gt;"",AF186&lt;&gt;"",AH186&lt;&gt;"")),TRUE,FALSE)</f>
        <v>0</v>
      </c>
      <c r="AV186" s="759" t="b">
        <f>IF(OR(H186="",H186=0),FALSE,IF(H186&gt;BM186,TRUE,FALSE))</f>
        <v>0</v>
      </c>
      <c r="AW186" s="759" t="b">
        <f>IF(AND($C$179&lt;&gt;"",$H186=""),TRUE,FALSE)</f>
        <v>0</v>
      </c>
      <c r="AX186" s="759" t="b">
        <f>IF(E186="yes",FALSE,IF(H186="0",FALSE,IF(AND($C$179&lt;&gt;"",J186=""),TRUE,FALSE)))</f>
        <v>0</v>
      </c>
      <c r="AY186" s="759" t="b">
        <f>IF($L186="",FALSE,IF($L186&lt;$BO186,TRUE,FALSE))</f>
        <v>0</v>
      </c>
      <c r="AZ186" s="759" t="b">
        <f>IF($L186="",FALSE,IF($L186&gt;$BP186,TRUE,FALSE))</f>
        <v>0</v>
      </c>
      <c r="BA186" s="759" t="b">
        <f>IF(H186=0,FALSE,IF(AND(E186&lt;&gt;"",$L186=""),TRUE,FALSE))</f>
        <v>0</v>
      </c>
      <c r="BB186" s="759" t="b">
        <f>IF(AND($AJ186&lt;&gt;0,$H186&lt;&gt;$BJ186,$N186="LF"),TRUE,IF(AND($AJ186&lt;&gt;0,$J186&lt;&gt;$AJ186,$N186="TF"),TRUE,IF(AND($AJ186&lt;&gt;0,$AJ186&lt;&gt;1,$N186="%"),TRUE,FALSE)))</f>
        <v>0</v>
      </c>
      <c r="BC186" s="759" t="b">
        <f>IF(AT186="No", IF(OR(P186="", R186="", T186="", V186="", X186="", Z186="", AB186="", AD186="", AF186="", AH186=""), TRUE, FALSE), FALSE)</f>
        <v>0</v>
      </c>
      <c r="BD186" s="759" t="b">
        <f>IF($BE186=TRUE,FALSE,IF(OR($AL186&lt;0,$AL186&gt;1),TRUE,FALSE))</f>
        <v>0</v>
      </c>
      <c r="BE186" s="759" t="b">
        <f>IF(AND($H186&lt;&gt;0,$AL186=""),TRUE,FALSE)</f>
        <v>0</v>
      </c>
      <c r="BF186" s="759" t="b">
        <f>IF(N186="%",TRUE,FALSE)</f>
        <v>0</v>
      </c>
      <c r="BG186" s="760"/>
      <c r="BH186" s="1678">
        <f>IF($C186="","",VLOOKUP($C186,val_fg_assets,9,FALSE))</f>
        <v>1</v>
      </c>
      <c r="BI186" s="1678" t="str">
        <f>IF(N186="", "", IF(N186="LF", H186, IF(N186="TF", J186, IF(N186="%", 1, ""))))</f>
        <v/>
      </c>
      <c r="BJ186" s="1679">
        <f>P186+R186+T186+V186+X186+Z186+AB186+AD186+AF186+AH186</f>
        <v>0</v>
      </c>
      <c r="BK186" s="1679" t="str">
        <f>IF(BI186="", "", BI186-BJ186)</f>
        <v/>
      </c>
      <c r="BL186" s="1679">
        <f>IF($C186="","",VLOOKUP($C186,val_fg_assets,3,FALSE))</f>
        <v>0</v>
      </c>
      <c r="BM186" s="1679">
        <f>IF($C186="","",VLOOKUP($C186,val_fg_assets,4,FALSE))</f>
        <v>1320000</v>
      </c>
      <c r="BN186" s="1678">
        <f>IF($C186="","",VLOOKUP($C186,val_fg_assets,5,FALSE))</f>
        <v>80</v>
      </c>
      <c r="BO186" s="1678">
        <f>IF($C186="","",VLOOKUP($C186,val_fg_assets,6,FALSE))</f>
        <v>60</v>
      </c>
      <c r="BP186" s="1678">
        <f>IF($C186="","",VLOOKUP($C186,val_fg_assets,7,FALSE))</f>
        <v>100</v>
      </c>
      <c r="BQ186" s="1399"/>
    </row>
    <row r="187" spans="1:69" s="782" customFormat="1" ht="3.95" customHeight="1" x14ac:dyDescent="0.2">
      <c r="A187" s="852"/>
      <c r="B187" s="1790">
        <v>175</v>
      </c>
      <c r="C187" s="851"/>
      <c r="D187" s="1841"/>
      <c r="E187" s="1058"/>
      <c r="F187" s="686"/>
      <c r="G187" s="686"/>
      <c r="H187" s="1906"/>
      <c r="I187" s="1907"/>
      <c r="J187" s="1908"/>
      <c r="K187" s="1907"/>
      <c r="L187" s="1909"/>
      <c r="M187" s="1910"/>
      <c r="N187" s="1911"/>
      <c r="O187" s="1910"/>
      <c r="P187" s="1866"/>
      <c r="Q187" s="1867"/>
      <c r="R187" s="1866"/>
      <c r="S187" s="1867"/>
      <c r="T187" s="1866"/>
      <c r="U187" s="1867"/>
      <c r="V187" s="1866"/>
      <c r="W187" s="1867"/>
      <c r="X187" s="1866"/>
      <c r="Y187" s="1867"/>
      <c r="Z187" s="1867"/>
      <c r="AA187" s="1867"/>
      <c r="AB187" s="1867"/>
      <c r="AC187" s="1867"/>
      <c r="AD187" s="1867"/>
      <c r="AE187" s="1867"/>
      <c r="AF187" s="1867"/>
      <c r="AG187" s="1867"/>
      <c r="AH187" s="1867"/>
      <c r="AI187" s="837"/>
      <c r="AJ187" s="1806"/>
      <c r="AK187" s="841"/>
      <c r="AL187" s="1806"/>
      <c r="AM187" s="1399"/>
      <c r="AN187" s="838"/>
      <c r="AO187" s="1399"/>
      <c r="AP187" s="1399"/>
      <c r="AQ187" s="1399"/>
      <c r="AS187" s="1399"/>
      <c r="AT187" s="1399"/>
      <c r="AU187" s="759"/>
      <c r="AV187" s="759"/>
      <c r="AW187" s="759"/>
      <c r="AX187" s="759"/>
      <c r="AY187" s="759"/>
      <c r="AZ187" s="759"/>
      <c r="BA187" s="759"/>
      <c r="BB187" s="759"/>
      <c r="BC187" s="759"/>
      <c r="BD187" s="759"/>
      <c r="BE187" s="759"/>
      <c r="BF187" s="759"/>
      <c r="BG187" s="760"/>
      <c r="BH187" s="1678"/>
      <c r="BI187" s="1678"/>
      <c r="BJ187" s="1678"/>
      <c r="BK187" s="1678"/>
      <c r="BL187" s="1679"/>
      <c r="BM187" s="1679"/>
      <c r="BN187" s="1678"/>
      <c r="BO187" s="1678"/>
      <c r="BP187" s="1678"/>
      <c r="BQ187" s="1399"/>
    </row>
    <row r="188" spans="1:69" s="782" customFormat="1" ht="3.95" customHeight="1" thickBot="1" x14ac:dyDescent="0.25">
      <c r="A188" s="852"/>
      <c r="B188" s="1790">
        <v>176</v>
      </c>
      <c r="C188" s="1673"/>
      <c r="D188" s="1841"/>
      <c r="E188" s="1057"/>
      <c r="F188" s="764"/>
      <c r="G188" s="764"/>
      <c r="H188" s="1913"/>
      <c r="I188" s="1908"/>
      <c r="J188" s="1908"/>
      <c r="K188" s="1908"/>
      <c r="L188" s="1909"/>
      <c r="M188" s="722"/>
      <c r="N188" s="1912"/>
      <c r="O188" s="722"/>
      <c r="P188" s="1868"/>
      <c r="Q188" s="1869"/>
      <c r="R188" s="1868"/>
      <c r="S188" s="1869"/>
      <c r="T188" s="1868"/>
      <c r="U188" s="1869"/>
      <c r="V188" s="1868"/>
      <c r="W188" s="1869"/>
      <c r="X188" s="1868"/>
      <c r="Y188" s="1869"/>
      <c r="Z188" s="1869"/>
      <c r="AA188" s="1869"/>
      <c r="AB188" s="1869"/>
      <c r="AC188" s="1869"/>
      <c r="AD188" s="1869"/>
      <c r="AE188" s="1869"/>
      <c r="AF188" s="1869"/>
      <c r="AG188" s="1869"/>
      <c r="AH188" s="1869"/>
      <c r="AI188" s="1670"/>
      <c r="AJ188" s="1828"/>
      <c r="AK188" s="724"/>
      <c r="AL188" s="1806"/>
      <c r="AM188" s="1399"/>
      <c r="AN188" s="1258"/>
      <c r="AO188" s="1399"/>
      <c r="AP188" s="1223"/>
      <c r="AQ188" s="1399"/>
      <c r="AS188" s="1399"/>
      <c r="AT188" s="1399"/>
      <c r="AU188" s="759"/>
      <c r="AV188" s="759"/>
      <c r="AW188" s="759"/>
      <c r="AX188" s="759"/>
      <c r="AY188" s="759"/>
      <c r="AZ188" s="759"/>
      <c r="BA188" s="759"/>
      <c r="BB188" s="759"/>
      <c r="BC188" s="759"/>
      <c r="BD188" s="759"/>
      <c r="BE188" s="759"/>
      <c r="BF188" s="759"/>
      <c r="BG188" s="760"/>
      <c r="BH188" s="1678"/>
      <c r="BI188" s="1678"/>
      <c r="BJ188" s="1678"/>
      <c r="BK188" s="1678"/>
      <c r="BL188" s="1679"/>
      <c r="BM188" s="1679"/>
      <c r="BN188" s="1678"/>
      <c r="BO188" s="1678"/>
      <c r="BP188" s="1678"/>
      <c r="BQ188" s="1399"/>
    </row>
    <row r="189" spans="1:69" s="782" customFormat="1" x14ac:dyDescent="0.2">
      <c r="A189" s="852">
        <f>A186+1</f>
        <v>45</v>
      </c>
      <c r="B189" s="1791">
        <v>177</v>
      </c>
      <c r="C189" s="851" t="str">
        <f>Valid!$B$73</f>
        <v>Elevated/Retained Fill</v>
      </c>
      <c r="D189" s="1841"/>
      <c r="E189" s="1245" t="str">
        <f>IF(AT189="N/A","",IF(AT189="N","No","Yes"))</f>
        <v/>
      </c>
      <c r="F189" s="686"/>
      <c r="G189" s="686"/>
      <c r="H189" s="1864"/>
      <c r="I189" s="1904" t="str">
        <f>IF(C179="","",IF(J189&lt;&gt;"","Linear Feet   ","Qty? Enter Zero if N/A  "))</f>
        <v/>
      </c>
      <c r="J189" s="1864"/>
      <c r="K189" s="1904" t="str">
        <f>IF(E189="yes","",IF(C179="","",IF(H189="","Qty? Enter Zero if N/A  ",IF(H189&lt;&gt;"","Track Feet      ",""))))</f>
        <v/>
      </c>
      <c r="L189" s="1864"/>
      <c r="M189" s="1620" t="str">
        <f>IF($H189=0,"",IF($L189="",TEXT(BN189,0)&amp;" Years?    ",""))</f>
        <v/>
      </c>
      <c r="N189" s="1905"/>
      <c r="O189" s="1620"/>
      <c r="P189" s="1864"/>
      <c r="Q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R189" s="1864"/>
      <c r="S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T189" s="1864"/>
      <c r="U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V189" s="1864"/>
      <c r="W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X189" s="1864"/>
      <c r="Y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Z189" s="1864"/>
      <c r="AA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B189" s="1864"/>
      <c r="AC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D189" s="1864"/>
      <c r="AE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F189" s="1864"/>
      <c r="AG189" s="1865"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H189" s="1864"/>
      <c r="AI189" s="904" t="str">
        <f>IF($N189="","",IF(AND($N189="",OR($H189="",$H189=0)),"",IF(AND($N189="LF",$AJ189&lt;$H189),"0 - "&amp;TEXT(($H189-$AJ189)/1000,"0")&amp;"k lin. ft.?    ",IF(AND($N189="TF",$AJ189&lt;$J189),"0 - "&amp;TEXT(($J189-$AJ189)/1000,"0")&amp;"k track ft.?    ",IF(AND($N189="%",$AJ189&lt;1),REPLACE(IF(AND($P189&gt;0,$V189&gt;0,$T189&gt;0,$X189&gt;0,$R189&gt;0,$Z189&gt;0,$AB189&gt;0,$AD189&gt;0,$AF189&gt;0,$AH189&gt;0),"","0-"),99,0,REPLACE(TEXT(100-$AJ189,0),99,0,"%?    ")),"")))))</f>
        <v/>
      </c>
      <c r="AJ189" s="1833">
        <f>IFERROR(IF(N189="%", SUM(P189,R189,T189,V189,X189,Z189,AB189,AD189,AF189,AH189)/100, SUM(P189,R189,T189,V189,X189,Z189,AB189,AD189,AF189,AH189)/IF(N189="LF", H189,J189)), 0)</f>
        <v>0</v>
      </c>
      <c r="AK189" s="1648"/>
      <c r="AL189" s="1675"/>
      <c r="AM189" s="1399"/>
      <c r="AN189" s="1808"/>
      <c r="AO189" s="1399"/>
      <c r="AP189" s="1653"/>
      <c r="AQ189" s="1399"/>
      <c r="AS189" s="1399"/>
      <c r="AT189" s="1624" t="str">
        <f>IF(AND($C$179="", H189="", J189=""), "N/A", IF(OR(AND(ISNUMBER(H189), ISNUMBER(J189), H189=0, J189=0), AND(AJ189=1, H189&lt;&gt;"", J189&lt;&gt;"", L189&lt;&gt;"", N189&lt;&gt;"", P189&lt;&gt;"", R189&lt;&gt;"", T189&lt;&gt;"", V189&lt;&gt;"", X189&lt;&gt;"", Z189&lt;&gt;"", AB189&lt;&gt;"", AD189&lt;&gt;"", AF189&lt;&gt;"", AH189&lt;&gt;"",AL189&lt;&gt;"", IF(AND(AL189&lt;1, AN189=""), FALSE, TRUE))), "Yes", "No"))</f>
        <v>N/A</v>
      </c>
      <c r="AU189" s="759" t="b">
        <f>IF(AND(H189="",OR(L189&lt;&gt;"",P189&lt;&gt;"",R189&lt;&gt;"",T189&lt;&gt;"",V189&lt;&gt;"",X189&lt;&gt;"",AL189&lt;&gt;"",Z189&lt;&gt;"",AB189&lt;&gt;"",AD189&lt;&gt;"",AF189&lt;&gt;"",AH189&lt;&gt;"")),TRUE,FALSE)</f>
        <v>0</v>
      </c>
      <c r="AV189" s="759" t="b">
        <f>IF(OR(H189="",H189=0),FALSE,IF(H189&gt;BM189,TRUE,FALSE))</f>
        <v>0</v>
      </c>
      <c r="AW189" s="759" t="b">
        <f>IF(AND($C$179&lt;&gt;"",$H189=""),TRUE,FALSE)</f>
        <v>0</v>
      </c>
      <c r="AX189" s="759" t="b">
        <f>IF(E189="yes",FALSE,IF(H189="0",FALSE,IF(AND($C$179&lt;&gt;"",J189=""),TRUE,FALSE)))</f>
        <v>0</v>
      </c>
      <c r="AY189" s="759" t="b">
        <f>IF($L189="",FALSE,IF($L189&lt;$BO189,TRUE,FALSE))</f>
        <v>0</v>
      </c>
      <c r="AZ189" s="759" t="b">
        <f>IF($L189="",FALSE,IF($L189&gt;$BP189,TRUE,FALSE))</f>
        <v>0</v>
      </c>
      <c r="BA189" s="759" t="b">
        <f>IF(H189=0,FALSE,IF(AND(E189&lt;&gt;"",$L189=""),TRUE,FALSE))</f>
        <v>0</v>
      </c>
      <c r="BB189" s="759" t="b">
        <f>IF(AND($AJ189&lt;&gt;0,$H189&lt;&gt;$BJ189,$N189="LF"),TRUE,IF(AND($AJ189&lt;&gt;0,$J189&lt;&gt;$AJ189,$N189="TF"),TRUE,IF(AND($AJ189&lt;&gt;0,$AJ189&lt;&gt;1,$N189="%"),TRUE,FALSE)))</f>
        <v>0</v>
      </c>
      <c r="BC189" s="759" t="b">
        <f>IF(AT189="No", IF(OR(P189="", R189="", T189="", V189="", X189="", Z189="", AB189="", AD189="", AF189="", AH189=""), TRUE, FALSE), FALSE)</f>
        <v>0</v>
      </c>
      <c r="BD189" s="759" t="b">
        <f>IF($BE189=TRUE,FALSE,IF(OR($AL189&lt;0,$AL189&gt;1),TRUE,FALSE))</f>
        <v>0</v>
      </c>
      <c r="BE189" s="759" t="b">
        <f>IF(AND($H189&lt;&gt;0,$AL189=""),TRUE,FALSE)</f>
        <v>0</v>
      </c>
      <c r="BF189" s="759" t="b">
        <f>IF(N189="%",TRUE,FALSE)</f>
        <v>0</v>
      </c>
      <c r="BG189" s="760"/>
      <c r="BH189" s="1678">
        <f>IF($C189="","",VLOOKUP($C189,val_fg_assets,9,FALSE))</f>
        <v>1</v>
      </c>
      <c r="BI189" s="1678" t="str">
        <f>IF(N189="", "", IF(N189="LF", H189, IF(N189="TF", J189, IF(N189="%", 1, ""))))</f>
        <v/>
      </c>
      <c r="BJ189" s="1679">
        <f>P189+R189+T189+V189+X189+Z189+AB189+AD189+AF189+AH189</f>
        <v>0</v>
      </c>
      <c r="BK189" s="1679" t="str">
        <f>IF(BI189="", "", BI189-BJ189)</f>
        <v/>
      </c>
      <c r="BL189" s="1679">
        <f>IF($C189="","",VLOOKUP($C189,val_fg_assets,3,FALSE))</f>
        <v>0</v>
      </c>
      <c r="BM189" s="1679">
        <f>IF($C189="","",VLOOKUP($C189,val_fg_assets,4,FALSE))</f>
        <v>1320000</v>
      </c>
      <c r="BN189" s="1678">
        <f>IF($C189="","",VLOOKUP($C189,val_fg_assets,5,FALSE))</f>
        <v>80</v>
      </c>
      <c r="BO189" s="1678">
        <f>IF($C189="","",VLOOKUP($C189,val_fg_assets,6,FALSE))</f>
        <v>60</v>
      </c>
      <c r="BP189" s="1678">
        <f>IF($C189="","",VLOOKUP($C189,val_fg_assets,7,FALSE))</f>
        <v>100</v>
      </c>
      <c r="BQ189" s="1399"/>
    </row>
    <row r="190" spans="1:69" s="782" customFormat="1" ht="3.95" customHeight="1" x14ac:dyDescent="0.2">
      <c r="A190" s="852"/>
      <c r="B190" s="1791">
        <v>178</v>
      </c>
      <c r="C190" s="1673"/>
      <c r="D190" s="1841"/>
      <c r="E190" s="1057"/>
      <c r="F190" s="764"/>
      <c r="G190" s="764"/>
      <c r="H190" s="1909"/>
      <c r="I190" s="1908"/>
      <c r="J190" s="1908"/>
      <c r="K190" s="1908"/>
      <c r="L190" s="1909"/>
      <c r="M190" s="1910"/>
      <c r="N190" s="1911"/>
      <c r="O190" s="1910"/>
      <c r="P190" s="1866"/>
      <c r="Q190" s="1867"/>
      <c r="R190" s="1866"/>
      <c r="S190" s="1867"/>
      <c r="T190" s="1866"/>
      <c r="U190" s="1867"/>
      <c r="V190" s="1866"/>
      <c r="W190" s="1867"/>
      <c r="X190" s="1866"/>
      <c r="Y190" s="1867"/>
      <c r="Z190" s="1867"/>
      <c r="AA190" s="1867"/>
      <c r="AB190" s="1867"/>
      <c r="AC190" s="1867"/>
      <c r="AD190" s="1867"/>
      <c r="AE190" s="1867"/>
      <c r="AF190" s="1867"/>
      <c r="AG190" s="1867"/>
      <c r="AH190" s="1867"/>
      <c r="AI190" s="837"/>
      <c r="AJ190" s="1806"/>
      <c r="AK190" s="841"/>
      <c r="AL190" s="1806"/>
      <c r="AM190" s="1399"/>
      <c r="AN190" s="838"/>
      <c r="AO190" s="1399"/>
      <c r="AP190" s="1399"/>
      <c r="AQ190" s="1399"/>
      <c r="AS190" s="1399"/>
      <c r="AT190" s="1399"/>
      <c r="AU190" s="759"/>
      <c r="AV190" s="759"/>
      <c r="AW190" s="759"/>
      <c r="AX190" s="759"/>
      <c r="AY190" s="759"/>
      <c r="AZ190" s="759"/>
      <c r="BA190" s="759"/>
      <c r="BB190" s="759"/>
      <c r="BC190" s="759"/>
      <c r="BD190" s="759"/>
      <c r="BE190" s="759"/>
      <c r="BF190" s="759"/>
      <c r="BG190" s="760"/>
      <c r="BH190" s="1678"/>
      <c r="BI190" s="1678"/>
      <c r="BJ190" s="1678"/>
      <c r="BK190" s="1678"/>
      <c r="BL190" s="1679"/>
      <c r="BM190" s="1679"/>
      <c r="BN190" s="1678"/>
      <c r="BO190" s="1678"/>
      <c r="BP190" s="1678"/>
      <c r="BQ190" s="1399"/>
    </row>
    <row r="191" spans="1:69" s="782" customFormat="1" ht="3.95" customHeight="1" thickBot="1" x14ac:dyDescent="0.25">
      <c r="A191" s="852"/>
      <c r="B191" s="1791">
        <v>179</v>
      </c>
      <c r="C191" s="851"/>
      <c r="D191" s="1841"/>
      <c r="E191" s="1058"/>
      <c r="F191" s="686"/>
      <c r="G191" s="686"/>
      <c r="H191" s="1913"/>
      <c r="I191" s="1908"/>
      <c r="J191" s="1908"/>
      <c r="K191" s="1908"/>
      <c r="L191" s="1909"/>
      <c r="M191" s="722"/>
      <c r="N191" s="1912"/>
      <c r="O191" s="722"/>
      <c r="P191" s="1868"/>
      <c r="Q191" s="1869"/>
      <c r="R191" s="1868"/>
      <c r="S191" s="1869"/>
      <c r="T191" s="1868"/>
      <c r="U191" s="1869"/>
      <c r="V191" s="1868"/>
      <c r="W191" s="1869"/>
      <c r="X191" s="1868"/>
      <c r="Y191" s="1869"/>
      <c r="Z191" s="1869"/>
      <c r="AA191" s="1869"/>
      <c r="AB191" s="1869"/>
      <c r="AC191" s="1869"/>
      <c r="AD191" s="1869"/>
      <c r="AE191" s="1869"/>
      <c r="AF191" s="1869"/>
      <c r="AG191" s="1869"/>
      <c r="AH191" s="1869"/>
      <c r="AI191" s="1670"/>
      <c r="AJ191" s="1828"/>
      <c r="AK191" s="724"/>
      <c r="AL191" s="1806"/>
      <c r="AM191" s="1399"/>
      <c r="AN191" s="1258"/>
      <c r="AO191" s="1399"/>
      <c r="AP191" s="1399"/>
      <c r="AQ191" s="1399"/>
      <c r="AS191" s="1399"/>
      <c r="AT191" s="1399"/>
      <c r="AU191" s="759"/>
      <c r="AV191" s="759"/>
      <c r="AW191" s="759"/>
      <c r="AX191" s="759"/>
      <c r="AY191" s="759"/>
      <c r="AZ191" s="759"/>
      <c r="BA191" s="759"/>
      <c r="BB191" s="759"/>
      <c r="BC191" s="759"/>
      <c r="BD191" s="759"/>
      <c r="BE191" s="759"/>
      <c r="BF191" s="759"/>
      <c r="BG191" s="760"/>
      <c r="BH191" s="1678"/>
      <c r="BI191" s="1678"/>
      <c r="BJ191" s="1678"/>
      <c r="BK191" s="1678"/>
      <c r="BL191" s="1679"/>
      <c r="BM191" s="1679"/>
      <c r="BN191" s="1678"/>
      <c r="BO191" s="1678"/>
      <c r="BP191" s="1678"/>
      <c r="BQ191" s="1399"/>
    </row>
    <row r="192" spans="1:69" s="782" customFormat="1" x14ac:dyDescent="0.2">
      <c r="A192" s="852">
        <f>A189+1</f>
        <v>46</v>
      </c>
      <c r="B192" s="1790">
        <v>180</v>
      </c>
      <c r="C192" s="851" t="str">
        <f>Valid!$B$74</f>
        <v>Elevated/Concrete</v>
      </c>
      <c r="D192" s="1841"/>
      <c r="E192" s="1245" t="str">
        <f>IF(AT192="N/A","",IF(AT192="N","No","Yes"))</f>
        <v/>
      </c>
      <c r="F192" s="764"/>
      <c r="G192" s="764"/>
      <c r="H192" s="1864"/>
      <c r="I192" s="1904" t="str">
        <f>IF(C179="","",IF(J192&lt;&gt;"","Linear Feet   ","Qty? Enter Zero if N/A  "))</f>
        <v/>
      </c>
      <c r="J192" s="1864"/>
      <c r="K192" s="1904" t="str">
        <f>IF(E192="yes","",IF(C179="","",IF(H192="","Qty? Enter Zero if N/A  ",IF(H192&lt;&gt;"","Track Feet      ",""))))</f>
        <v/>
      </c>
      <c r="L192" s="1864"/>
      <c r="M192" s="1620" t="str">
        <f>IF($H192=0,"",IF($L192="",TEXT(BN192,0)&amp;" Years?    ",""))</f>
        <v/>
      </c>
      <c r="N192" s="1905"/>
      <c r="O192" s="1620"/>
      <c r="P192" s="1864"/>
      <c r="Q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R192" s="1864"/>
      <c r="S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T192" s="1864"/>
      <c r="U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V192" s="1864"/>
      <c r="W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X192" s="1864"/>
      <c r="Y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Z192" s="1864"/>
      <c r="AA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B192" s="1864"/>
      <c r="AC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D192" s="1864"/>
      <c r="AE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F192" s="1864"/>
      <c r="AG192" s="1865"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H192" s="1864"/>
      <c r="AI192" s="904" t="str">
        <f>IF($N192="","",IF(AND($N192="",OR($H192="",$H192=0)),"",IF(AND($N192="LF",$AJ192&lt;$H192),"0 - "&amp;TEXT(($H192-$AJ192)/1000,"0")&amp;"k lin. ft.?    ",IF(AND($N192="TF",$AJ192&lt;$J192),"0 - "&amp;TEXT(($J192-$AJ192)/1000,"0")&amp;"k track ft.?    ",IF(AND($N192="%",$AJ192&lt;1),REPLACE(IF(AND($P192&gt;0,$V192&gt;0,$T192&gt;0,$X192&gt;0,$R192&gt;0,$Z192&gt;0,$AB192&gt;0,$AD192&gt;0,$AF192&gt;0,$AH192&gt;0),"","0-"),99,0,REPLACE(TEXT(100-$AJ192,0),99,0,"%?    ")),"")))))</f>
        <v/>
      </c>
      <c r="AJ192" s="1833">
        <f>IFERROR(IF(N192="%", SUM(P192,R192,T192,V192,X192,Z192,AB192,AD192,AF192,AH192)/100, SUM(P192,R192,T192,V192,X192,Z192,AB192,AD192,AF192,AH192)/IF(N192="LF", H192,J192)), 0)</f>
        <v>0</v>
      </c>
      <c r="AK192" s="1648"/>
      <c r="AL192" s="1675"/>
      <c r="AM192" s="1399"/>
      <c r="AN192" s="1808"/>
      <c r="AO192" s="1399"/>
      <c r="AP192" s="1653"/>
      <c r="AQ192" s="1399"/>
      <c r="AS192" s="1399"/>
      <c r="AT192" s="1624" t="str">
        <f>IF(AND($C$179="", H192="", J192=""), "N/A", IF(OR(AND(ISNUMBER(H192), ISNUMBER(J192), H192=0, J192=0), AND(AJ192=1, H192&lt;&gt;"", J192&lt;&gt;"", L192&lt;&gt;"", N192&lt;&gt;"", P192&lt;&gt;"", R192&lt;&gt;"", T192&lt;&gt;"", V192&lt;&gt;"", X192&lt;&gt;"", Z192&lt;&gt;"", AB192&lt;&gt;"", AD192&lt;&gt;"", AF192&lt;&gt;"", AH192&lt;&gt;"",AL192&lt;&gt;"", IF(AND(AL192&lt;1, AN192=""), FALSE, TRUE))), "Yes", "No"))</f>
        <v>N/A</v>
      </c>
      <c r="AU192" s="759" t="b">
        <f>IF(AND(H192="",OR(L192&lt;&gt;"",P192&lt;&gt;"",R192&lt;&gt;"",T192&lt;&gt;"",V192&lt;&gt;"",X192&lt;&gt;"",AL192&lt;&gt;"",Z192&lt;&gt;"",AB192&lt;&gt;"",AD192&lt;&gt;"",AF192&lt;&gt;"",AH192&lt;&gt;"")),TRUE,FALSE)</f>
        <v>0</v>
      </c>
      <c r="AV192" s="759" t="b">
        <f>IF(OR(H192="",H192=0),FALSE,IF(H192&gt;BM192,TRUE,FALSE))</f>
        <v>0</v>
      </c>
      <c r="AW192" s="759" t="b">
        <f>IF(AND($C$179&lt;&gt;"",$H192=""),TRUE,FALSE)</f>
        <v>0</v>
      </c>
      <c r="AX192" s="759" t="b">
        <f>IF(E192="yes",FALSE,IF(H192="0",FALSE,IF(AND($C$179&lt;&gt;"",J192=""),TRUE,FALSE)))</f>
        <v>0</v>
      </c>
      <c r="AY192" s="759" t="b">
        <f>IF($L192="",FALSE,IF($L192&lt;$BO192,TRUE,FALSE))</f>
        <v>0</v>
      </c>
      <c r="AZ192" s="759" t="b">
        <f>IF($L192="",FALSE,IF($L192&gt;$BP192,TRUE,FALSE))</f>
        <v>0</v>
      </c>
      <c r="BA192" s="759" t="b">
        <f>IF(H192=0,FALSE,IF(AND(E192&lt;&gt;"",$L192=""),TRUE,FALSE))</f>
        <v>0</v>
      </c>
      <c r="BB192" s="759" t="b">
        <f>IF(AND($AJ192&lt;&gt;0,$H192&lt;&gt;$BJ192,$N192="LF"),TRUE,IF(AND($AJ192&lt;&gt;0,$J192&lt;&gt;$AJ192,$N192="TF"),TRUE,IF(AND($AJ192&lt;&gt;0,$AJ192&lt;&gt;1,$N192="%"),TRUE,FALSE)))</f>
        <v>0</v>
      </c>
      <c r="BC192" s="759" t="b">
        <f>IF(AT192="No", IF(OR(P192="", R192="", T192="", V192="", X192="", Z192="", AB192="", AD192="", AF192="", AH192=""), TRUE, FALSE), FALSE)</f>
        <v>0</v>
      </c>
      <c r="BD192" s="759" t="b">
        <f>IF($BE192=TRUE,FALSE,IF(OR($AL192&lt;0,$AL192&gt;1),TRUE,FALSE))</f>
        <v>0</v>
      </c>
      <c r="BE192" s="759" t="b">
        <f>IF(AND($H192&lt;&gt;0,$AL192=""),TRUE,FALSE)</f>
        <v>0</v>
      </c>
      <c r="BF192" s="759" t="b">
        <f>IF(N192="%",TRUE,FALSE)</f>
        <v>0</v>
      </c>
      <c r="BG192" s="760"/>
      <c r="BH192" s="1678">
        <f>IF($C192="","",VLOOKUP($C192,val_fg_assets,9,FALSE))</f>
        <v>1</v>
      </c>
      <c r="BI192" s="1678" t="str">
        <f>IF(N192="", "", IF(N192="LF", H192, IF(N192="TF", J192, IF(N192="%", 1, ""))))</f>
        <v/>
      </c>
      <c r="BJ192" s="1679">
        <f>P192+R192+T192+V192+X192+Z192+AB192+AD192+AF192+AH192</f>
        <v>0</v>
      </c>
      <c r="BK192" s="1679" t="str">
        <f>IF(BI192="", "", BI192-BJ192)</f>
        <v/>
      </c>
      <c r="BL192" s="1679">
        <f>IF($C192="","",VLOOKUP($C192,val_fg_assets,3,FALSE))</f>
        <v>0</v>
      </c>
      <c r="BM192" s="1679">
        <f>IF($C192="","",VLOOKUP($C192,val_fg_assets,4,FALSE))</f>
        <v>1320000</v>
      </c>
      <c r="BN192" s="1678">
        <f>IF($C192="","",VLOOKUP($C192,val_fg_assets,5,FALSE))</f>
        <v>80</v>
      </c>
      <c r="BO192" s="1678">
        <f>IF($C192="","",VLOOKUP($C192,val_fg_assets,6,FALSE))</f>
        <v>60</v>
      </c>
      <c r="BP192" s="1678">
        <f>IF($C192="","",VLOOKUP($C192,val_fg_assets,7,FALSE))</f>
        <v>100</v>
      </c>
      <c r="BQ192" s="1399"/>
    </row>
    <row r="193" spans="1:69" s="782" customFormat="1" ht="3.95" customHeight="1" x14ac:dyDescent="0.2">
      <c r="A193" s="852"/>
      <c r="B193" s="1790">
        <v>181</v>
      </c>
      <c r="C193" s="851"/>
      <c r="D193" s="1841"/>
      <c r="E193" s="1058"/>
      <c r="F193" s="686"/>
      <c r="G193" s="686"/>
      <c r="H193" s="1909"/>
      <c r="I193" s="1907"/>
      <c r="J193" s="1908"/>
      <c r="K193" s="1907"/>
      <c r="L193" s="1909"/>
      <c r="M193" s="1910"/>
      <c r="N193" s="1911"/>
      <c r="O193" s="1910"/>
      <c r="P193" s="1866"/>
      <c r="Q193" s="1867"/>
      <c r="R193" s="1866"/>
      <c r="S193" s="1867"/>
      <c r="T193" s="1866"/>
      <c r="U193" s="1867"/>
      <c r="V193" s="1866"/>
      <c r="W193" s="1867"/>
      <c r="X193" s="1866"/>
      <c r="Y193" s="1867"/>
      <c r="Z193" s="1867"/>
      <c r="AA193" s="1867"/>
      <c r="AB193" s="1867"/>
      <c r="AC193" s="1867"/>
      <c r="AD193" s="1867"/>
      <c r="AE193" s="1867"/>
      <c r="AF193" s="1867"/>
      <c r="AG193" s="1867"/>
      <c r="AH193" s="1867"/>
      <c r="AI193" s="837"/>
      <c r="AJ193" s="1806"/>
      <c r="AK193" s="841"/>
      <c r="AL193" s="1806"/>
      <c r="AM193" s="1399"/>
      <c r="AN193" s="838"/>
      <c r="AO193" s="1399"/>
      <c r="AP193" s="1223"/>
      <c r="AQ193" s="1399"/>
      <c r="AS193" s="1399"/>
      <c r="AT193" s="1399"/>
      <c r="AU193" s="759"/>
      <c r="AV193" s="759"/>
      <c r="AW193" s="759"/>
      <c r="AX193" s="759"/>
      <c r="AY193" s="759"/>
      <c r="AZ193" s="759"/>
      <c r="BA193" s="759"/>
      <c r="BB193" s="759"/>
      <c r="BC193" s="759"/>
      <c r="BD193" s="759"/>
      <c r="BE193" s="759"/>
      <c r="BF193" s="759"/>
      <c r="BG193" s="760"/>
      <c r="BH193" s="1678"/>
      <c r="BI193" s="1678"/>
      <c r="BJ193" s="1678"/>
      <c r="BK193" s="1678"/>
      <c r="BL193" s="1679"/>
      <c r="BM193" s="1679"/>
      <c r="BN193" s="1678"/>
      <c r="BO193" s="1678"/>
      <c r="BP193" s="1678"/>
      <c r="BQ193" s="1399"/>
    </row>
    <row r="194" spans="1:69" s="782" customFormat="1" ht="3.95" customHeight="1" thickBot="1" x14ac:dyDescent="0.25">
      <c r="A194" s="852"/>
      <c r="B194" s="1791">
        <v>182</v>
      </c>
      <c r="C194" s="1673"/>
      <c r="D194" s="1841"/>
      <c r="E194" s="1057"/>
      <c r="F194" s="764"/>
      <c r="G194" s="764"/>
      <c r="H194" s="1913"/>
      <c r="I194" s="1908"/>
      <c r="J194" s="1908"/>
      <c r="K194" s="1908"/>
      <c r="L194" s="1909"/>
      <c r="M194" s="722"/>
      <c r="N194" s="1912"/>
      <c r="O194" s="722"/>
      <c r="P194" s="1868"/>
      <c r="Q194" s="1869"/>
      <c r="R194" s="1868"/>
      <c r="S194" s="1869"/>
      <c r="T194" s="1868"/>
      <c r="U194" s="1869"/>
      <c r="V194" s="1868"/>
      <c r="W194" s="1869"/>
      <c r="X194" s="1868"/>
      <c r="Y194" s="1869"/>
      <c r="Z194" s="1869"/>
      <c r="AA194" s="1869"/>
      <c r="AB194" s="1869"/>
      <c r="AC194" s="1869"/>
      <c r="AD194" s="1869"/>
      <c r="AE194" s="1869"/>
      <c r="AF194" s="1869"/>
      <c r="AG194" s="1869"/>
      <c r="AH194" s="1869"/>
      <c r="AI194" s="1670"/>
      <c r="AJ194" s="1828"/>
      <c r="AK194" s="724"/>
      <c r="AL194" s="1806"/>
      <c r="AM194" s="1399"/>
      <c r="AN194" s="1258"/>
      <c r="AO194" s="1399"/>
      <c r="AP194" s="1399"/>
      <c r="AQ194" s="1399"/>
      <c r="AS194" s="1399"/>
      <c r="AT194" s="1399"/>
      <c r="AU194" s="759"/>
      <c r="AV194" s="759"/>
      <c r="AW194" s="759"/>
      <c r="AX194" s="759"/>
      <c r="AY194" s="759"/>
      <c r="AZ194" s="759"/>
      <c r="BA194" s="759"/>
      <c r="BB194" s="759"/>
      <c r="BC194" s="759"/>
      <c r="BD194" s="759"/>
      <c r="BE194" s="759"/>
      <c r="BF194" s="759"/>
      <c r="BG194" s="760"/>
      <c r="BH194" s="1678"/>
      <c r="BI194" s="1678"/>
      <c r="BJ194" s="1678"/>
      <c r="BK194" s="1678"/>
      <c r="BL194" s="1679"/>
      <c r="BM194" s="1679"/>
      <c r="BN194" s="1678"/>
      <c r="BO194" s="1678"/>
      <c r="BP194" s="1678"/>
      <c r="BQ194" s="1399"/>
    </row>
    <row r="195" spans="1:69" s="782" customFormat="1" x14ac:dyDescent="0.2">
      <c r="A195" s="852">
        <f>A192+1</f>
        <v>47</v>
      </c>
      <c r="B195" s="1791">
        <v>183</v>
      </c>
      <c r="C195" s="851" t="str">
        <f>Valid!$B$75</f>
        <v>Elevated/Steel Viaduct or Bridge</v>
      </c>
      <c r="D195" s="1841"/>
      <c r="E195" s="1245" t="str">
        <f>IF(AT195="N/A","",IF(AT195="N","No","Yes"))</f>
        <v/>
      </c>
      <c r="F195" s="686"/>
      <c r="G195" s="686"/>
      <c r="H195" s="1864"/>
      <c r="I195" s="1904" t="str">
        <f>IF(C179="","",IF(J195&lt;&gt;"","Linear Feet   ","Qty? Enter Zero if N/A  "))</f>
        <v/>
      </c>
      <c r="J195" s="1864"/>
      <c r="K195" s="1904" t="str">
        <f>IF(E195="yes","",IF(C179="","",IF(H195="","Qty? Enter Zero if N/A  ",IF(H195&lt;&gt;"","Track Feet      ",""))))</f>
        <v/>
      </c>
      <c r="L195" s="1864"/>
      <c r="M195" s="1620" t="str">
        <f>IF($H195=0,"",IF($L195="",TEXT(BN195,0)&amp;" Years?    ",""))</f>
        <v/>
      </c>
      <c r="N195" s="1905"/>
      <c r="O195" s="1620"/>
      <c r="P195" s="1864"/>
      <c r="Q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R195" s="1864"/>
      <c r="S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T195" s="1864"/>
      <c r="U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V195" s="1864"/>
      <c r="W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X195" s="1864"/>
      <c r="Y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Z195" s="1864"/>
      <c r="AA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B195" s="1864"/>
      <c r="AC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D195" s="1864"/>
      <c r="AE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F195" s="1864"/>
      <c r="AG195" s="1865"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H195" s="1864"/>
      <c r="AI195" s="904" t="str">
        <f>IF($N195="","",IF(AND($N195="",OR($H195="",$H195=0)),"",IF(AND($N195="LF",$AJ195&lt;$H195),"0 - "&amp;TEXT(($H195-$AJ195)/1000,"0")&amp;"k lin. ft.?    ",IF(AND($N195="TF",$AJ195&lt;$J195),"0 - "&amp;TEXT(($J195-$AJ195)/1000,"0")&amp;"k track ft.?    ",IF(AND($N195="%",$AJ195&lt;1),REPLACE(IF(AND($P195&gt;0,$V195&gt;0,$T195&gt;0,$X195&gt;0,$R195&gt;0,$Z195&gt;0,$AB195&gt;0,$AD195&gt;0,$AF195&gt;0,$AH195&gt;0),"","0-"),99,0,REPLACE(TEXT(100-$AJ195,0),99,0,"%?    ")),"")))))</f>
        <v/>
      </c>
      <c r="AJ195" s="1833">
        <f>IFERROR(IF(N195="%", SUM(P195,R195,T195,V195,X195,Z195,AB195,AD195,AF195,AH195)/100, SUM(P195,R195,T195,V195,X195,Z195,AB195,AD195,AF195,AH195)/IF(N195="LF", H195,J195)), 0)</f>
        <v>0</v>
      </c>
      <c r="AK195" s="1648"/>
      <c r="AL195" s="1675"/>
      <c r="AM195" s="1399"/>
      <c r="AN195" s="1808"/>
      <c r="AO195" s="1399"/>
      <c r="AP195" s="1653"/>
      <c r="AQ195" s="1399"/>
      <c r="AS195" s="1399"/>
      <c r="AT195" s="1624" t="str">
        <f>IF(AND($C$179="", H195="", J195=""), "N/A", IF(OR(AND(ISNUMBER(H195), ISNUMBER(J195), H195=0, J195=0), AND(AJ195=1, H195&lt;&gt;"", J195&lt;&gt;"", L195&lt;&gt;"", N195&lt;&gt;"", P195&lt;&gt;"", R195&lt;&gt;"", T195&lt;&gt;"", V195&lt;&gt;"", X195&lt;&gt;"", Z195&lt;&gt;"", AB195&lt;&gt;"", AD195&lt;&gt;"", AF195&lt;&gt;"", AH195&lt;&gt;"",AL195&lt;&gt;"", IF(AND(AL195&lt;1, AN195=""), FALSE, TRUE))), "Yes", "No"))</f>
        <v>N/A</v>
      </c>
      <c r="AU195" s="759" t="b">
        <f>IF(AND(H195="",OR(L195&lt;&gt;"",P195&lt;&gt;"",R195&lt;&gt;"",T195&lt;&gt;"",V195&lt;&gt;"",X195&lt;&gt;"",AL195&lt;&gt;"",Z195&lt;&gt;"",AB195&lt;&gt;"",AD195&lt;&gt;"",AF195&lt;&gt;"",AH195&lt;&gt;"")),TRUE,FALSE)</f>
        <v>0</v>
      </c>
      <c r="AV195" s="759" t="b">
        <f>IF(OR(H195="",H195=0),FALSE,IF(H195&gt;BM195,TRUE,FALSE))</f>
        <v>0</v>
      </c>
      <c r="AW195" s="759" t="b">
        <f>IF(AND($C$179&lt;&gt;"",$H195=""),TRUE,FALSE)</f>
        <v>0</v>
      </c>
      <c r="AX195" s="759" t="b">
        <f>IF(E195="yes",FALSE,IF(H195="0",FALSE,IF(AND($C$179&lt;&gt;"",J195=""),TRUE,FALSE)))</f>
        <v>0</v>
      </c>
      <c r="AY195" s="759" t="b">
        <f>IF($L195="",FALSE,IF($L195&lt;$BO195,TRUE,FALSE))</f>
        <v>0</v>
      </c>
      <c r="AZ195" s="759" t="b">
        <f>IF($L195="",FALSE,IF($L195&gt;$BP195,TRUE,FALSE))</f>
        <v>0</v>
      </c>
      <c r="BA195" s="759" t="b">
        <f>IF(H195=0,FALSE,IF(AND(E195&lt;&gt;"",$L195=""),TRUE,FALSE))</f>
        <v>0</v>
      </c>
      <c r="BB195" s="759" t="b">
        <f>IF(AND($AJ195&lt;&gt;0,$H195&lt;&gt;$BJ195,$N195="LF"),TRUE,IF(AND($AJ195&lt;&gt;0,$J195&lt;&gt;$AJ195,$N195="TF"),TRUE,IF(AND($AJ195&lt;&gt;0,$AJ195&lt;&gt;1,$N195="%"),TRUE,FALSE)))</f>
        <v>0</v>
      </c>
      <c r="BC195" s="759" t="b">
        <f>IF(AT195="No", IF(OR(P195="", R195="", T195="", V195="", X195="", Z195="", AB195="", AD195="", AF195="", AH195=""), TRUE, FALSE), FALSE)</f>
        <v>0</v>
      </c>
      <c r="BD195" s="759" t="b">
        <f>IF($BE195=TRUE,FALSE,IF(OR($AL195&lt;0,$AL195&gt;1),TRUE,FALSE))</f>
        <v>0</v>
      </c>
      <c r="BE195" s="759" t="b">
        <f>IF(AND($H195&lt;&gt;0,$AL195=""),TRUE,FALSE)</f>
        <v>0</v>
      </c>
      <c r="BF195" s="759" t="b">
        <f>IF(N195="%",TRUE,FALSE)</f>
        <v>0</v>
      </c>
      <c r="BG195" s="760"/>
      <c r="BH195" s="1678">
        <f>IF($C195="","",VLOOKUP($C195,val_fg_assets,9,FALSE))</f>
        <v>1</v>
      </c>
      <c r="BI195" s="1678" t="str">
        <f>IF(N195="", "", IF(N195="LF", H195, IF(N195="TF", J195, IF(N195="%", 1, ""))))</f>
        <v/>
      </c>
      <c r="BJ195" s="1679">
        <f>P195+R195+T195+V195+X195+Z195+AB195+AD195+AF195+AH195</f>
        <v>0</v>
      </c>
      <c r="BK195" s="1679" t="str">
        <f>IF(BI195="", "", BI195-BJ195)</f>
        <v/>
      </c>
      <c r="BL195" s="1679">
        <f>IF($C195="","",VLOOKUP($C195,val_fg_assets,3,FALSE))</f>
        <v>0</v>
      </c>
      <c r="BM195" s="1679">
        <f>IF($C195="","",VLOOKUP($C195,val_fg_assets,4,FALSE))</f>
        <v>1320000</v>
      </c>
      <c r="BN195" s="1678">
        <f>IF($C195="","",VLOOKUP($C195,val_fg_assets,5,FALSE))</f>
        <v>80</v>
      </c>
      <c r="BO195" s="1678">
        <f>IF($C195="","",VLOOKUP($C195,val_fg_assets,6,FALSE))</f>
        <v>60</v>
      </c>
      <c r="BP195" s="1678">
        <f>IF($C195="","",VLOOKUP($C195,val_fg_assets,7,FALSE))</f>
        <v>100</v>
      </c>
      <c r="BQ195" s="1399"/>
    </row>
    <row r="196" spans="1:69" s="782" customFormat="1" ht="3.95" customHeight="1" x14ac:dyDescent="0.2">
      <c r="A196" s="852"/>
      <c r="B196" s="1791">
        <v>184</v>
      </c>
      <c r="C196" s="1673"/>
      <c r="D196" s="1841"/>
      <c r="E196" s="1057"/>
      <c r="F196" s="764"/>
      <c r="G196" s="686">
        <v>7</v>
      </c>
      <c r="H196" s="1906"/>
      <c r="I196" s="1907"/>
      <c r="J196" s="1908"/>
      <c r="K196" s="1907"/>
      <c r="L196" s="1909"/>
      <c r="M196" s="1910"/>
      <c r="N196" s="1911"/>
      <c r="O196" s="1910"/>
      <c r="P196" s="1866"/>
      <c r="Q196" s="1867"/>
      <c r="R196" s="1866"/>
      <c r="S196" s="1867"/>
      <c r="T196" s="1866"/>
      <c r="U196" s="1867"/>
      <c r="V196" s="1866"/>
      <c r="W196" s="1867"/>
      <c r="X196" s="1866"/>
      <c r="Y196" s="1867"/>
      <c r="Z196" s="1867"/>
      <c r="AA196" s="1867"/>
      <c r="AB196" s="1867"/>
      <c r="AC196" s="1867"/>
      <c r="AD196" s="1867"/>
      <c r="AE196" s="1867"/>
      <c r="AF196" s="1867"/>
      <c r="AG196" s="1867"/>
      <c r="AH196" s="1867"/>
      <c r="AI196" s="837"/>
      <c r="AJ196" s="1806"/>
      <c r="AK196" s="841"/>
      <c r="AL196" s="1806"/>
      <c r="AM196" s="1399"/>
      <c r="AN196" s="838"/>
      <c r="AO196" s="1399"/>
      <c r="AP196" s="1399"/>
      <c r="AQ196" s="1399"/>
      <c r="AS196" s="1399"/>
      <c r="AT196" s="1399"/>
      <c r="AU196" s="759"/>
      <c r="AV196" s="759"/>
      <c r="AW196" s="759"/>
      <c r="AX196" s="759"/>
      <c r="AY196" s="759"/>
      <c r="AZ196" s="759"/>
      <c r="BA196" s="759"/>
      <c r="BB196" s="759"/>
      <c r="BC196" s="759"/>
      <c r="BD196" s="759"/>
      <c r="BE196" s="759"/>
      <c r="BF196" s="759"/>
      <c r="BG196" s="760"/>
      <c r="BH196" s="1678"/>
      <c r="BI196" s="1678"/>
      <c r="BJ196" s="1678"/>
      <c r="BK196" s="1678"/>
      <c r="BL196" s="1679"/>
      <c r="BM196" s="1679"/>
      <c r="BN196" s="1678"/>
      <c r="BO196" s="1678"/>
      <c r="BP196" s="1678"/>
      <c r="BQ196" s="1399"/>
    </row>
    <row r="197" spans="1:69" s="782" customFormat="1" ht="3.95" customHeight="1" thickBot="1" x14ac:dyDescent="0.25">
      <c r="A197" s="852"/>
      <c r="B197" s="1790">
        <v>185</v>
      </c>
      <c r="C197" s="850"/>
      <c r="D197" s="1841"/>
      <c r="E197" s="1057"/>
      <c r="F197" s="764"/>
      <c r="G197" s="764">
        <v>8</v>
      </c>
      <c r="H197" s="1906"/>
      <c r="I197" s="1907"/>
      <c r="J197" s="1908"/>
      <c r="K197" s="1907"/>
      <c r="L197" s="1909"/>
      <c r="M197" s="722"/>
      <c r="N197" s="1912"/>
      <c r="O197" s="722"/>
      <c r="P197" s="1868"/>
      <c r="Q197" s="1869"/>
      <c r="R197" s="1868"/>
      <c r="S197" s="1869"/>
      <c r="T197" s="1868"/>
      <c r="U197" s="1869"/>
      <c r="V197" s="1868"/>
      <c r="W197" s="1869"/>
      <c r="X197" s="1868"/>
      <c r="Y197" s="1869"/>
      <c r="Z197" s="1869"/>
      <c r="AA197" s="1869"/>
      <c r="AB197" s="1869"/>
      <c r="AC197" s="1869"/>
      <c r="AD197" s="1869"/>
      <c r="AE197" s="1869"/>
      <c r="AF197" s="1869"/>
      <c r="AG197" s="1869"/>
      <c r="AH197" s="1869"/>
      <c r="AI197" s="1670"/>
      <c r="AJ197" s="1828"/>
      <c r="AK197" s="724"/>
      <c r="AL197" s="1806"/>
      <c r="AM197" s="1399"/>
      <c r="AN197" s="1258"/>
      <c r="AO197" s="1399"/>
      <c r="AP197" s="1223"/>
      <c r="AQ197" s="1399"/>
      <c r="AS197" s="1399"/>
      <c r="AT197" s="1399"/>
      <c r="AU197" s="759"/>
      <c r="AV197" s="759"/>
      <c r="AW197" s="759"/>
      <c r="AX197" s="759"/>
      <c r="AY197" s="759"/>
      <c r="AZ197" s="759"/>
      <c r="BA197" s="759"/>
      <c r="BB197" s="759"/>
      <c r="BC197" s="759"/>
      <c r="BD197" s="759"/>
      <c r="BE197" s="759"/>
      <c r="BF197" s="759"/>
      <c r="BG197" s="760"/>
      <c r="BH197" s="1678"/>
      <c r="BI197" s="1678"/>
      <c r="BJ197" s="1678"/>
      <c r="BK197" s="1678"/>
      <c r="BL197" s="1679"/>
      <c r="BM197" s="1679"/>
      <c r="BN197" s="1678"/>
      <c r="BO197" s="1678"/>
      <c r="BP197" s="1678"/>
      <c r="BQ197" s="1399"/>
    </row>
    <row r="198" spans="1:69" s="782" customFormat="1" x14ac:dyDescent="0.2">
      <c r="A198" s="852">
        <f>A195+1</f>
        <v>48</v>
      </c>
      <c r="B198" s="1790">
        <v>186</v>
      </c>
      <c r="C198" s="851" t="str">
        <f>Valid!$B$76</f>
        <v>Below-Grade/Retained Cut</v>
      </c>
      <c r="D198" s="1841"/>
      <c r="E198" s="1245" t="str">
        <f>IF(AT198="N/A","",IF(AT198="N","No","Yes"))</f>
        <v/>
      </c>
      <c r="F198" s="686"/>
      <c r="G198" s="686"/>
      <c r="H198" s="1864"/>
      <c r="I198" s="1904" t="str">
        <f>IF(C179="","",IF(J198&lt;&gt;"","Linear Feet   ","Qty? Enter Zero if N/A  "))</f>
        <v/>
      </c>
      <c r="J198" s="1864"/>
      <c r="K198" s="1904" t="str">
        <f>IF(E198="yes","",IF(C179="","",IF(H198="","Qty? Enter Zero if N/A  ",IF(H198&lt;&gt;"","Track Feet      ",""))))</f>
        <v/>
      </c>
      <c r="L198" s="1864"/>
      <c r="M198" s="1620" t="str">
        <f>IF($H198=0,"",IF($L198="",TEXT(BN198,0)&amp;" Years?    ",""))</f>
        <v/>
      </c>
      <c r="N198" s="1905"/>
      <c r="O198" s="1620"/>
      <c r="P198" s="1864"/>
      <c r="Q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R198" s="1864"/>
      <c r="S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T198" s="1864"/>
      <c r="U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V198" s="1864"/>
      <c r="W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X198" s="1864"/>
      <c r="Y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Z198" s="1864"/>
      <c r="AA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B198" s="1864"/>
      <c r="AC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D198" s="1864"/>
      <c r="AE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F198" s="1864"/>
      <c r="AG198" s="1865"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H198" s="1864"/>
      <c r="AI198" s="904" t="str">
        <f>IF($N198="","",IF(AND($N198="",OR($H198="",$H198=0)),"",IF(AND($N198="LF",$AJ198&lt;$H198),"0 - "&amp;TEXT(($H198-$AJ198)/1000,"0")&amp;"k lin. ft.?    ",IF(AND($N198="TF",$AJ198&lt;$J198),"0 - "&amp;TEXT(($J198-$AJ198)/1000,"0")&amp;"k track ft.?    ",IF(AND($N198="%",$AJ198&lt;1),REPLACE(IF(AND($P198&gt;0,$V198&gt;0,$T198&gt;0,$X198&gt;0,$R198&gt;0,$Z198&gt;0,$AB198&gt;0,$AD198&gt;0,$AF198&gt;0,$AH198&gt;0),"","0-"),99,0,REPLACE(TEXT(100-$AJ198,0),99,0,"%?    ")),"")))))</f>
        <v/>
      </c>
      <c r="AJ198" s="1833">
        <f>IFERROR(IF(N198="%", SUM(P198,R198,T198,V198,X198,Z198,AB198,AD198,AF198,AH198)/100, SUM(P198,R198,T198,V198,X198,Z198,AB198,AD198,AF198,AH198)/IF(N198="LF", H198,J198)), 0)</f>
        <v>0</v>
      </c>
      <c r="AK198" s="1648"/>
      <c r="AL198" s="1675"/>
      <c r="AM198" s="1399"/>
      <c r="AN198" s="1808"/>
      <c r="AO198" s="1399"/>
      <c r="AP198" s="1653"/>
      <c r="AQ198" s="1399"/>
      <c r="AS198" s="1399"/>
      <c r="AT198" s="1624" t="str">
        <f>IF(AND($C$179="", H198="", J198=""), "N/A", IF(OR(AND(ISNUMBER(H198), ISNUMBER(J198), H198=0, J198=0), AND(AJ198=1, H198&lt;&gt;"", J198&lt;&gt;"", L198&lt;&gt;"", N198&lt;&gt;"", P198&lt;&gt;"", R198&lt;&gt;"", T198&lt;&gt;"", V198&lt;&gt;"", X198&lt;&gt;"", Z198&lt;&gt;"", AB198&lt;&gt;"", AD198&lt;&gt;"", AF198&lt;&gt;"", AH198&lt;&gt;"",AL198&lt;&gt;"", IF(AND(AL198&lt;1, AN198=""), FALSE, TRUE))), "Yes", "No"))</f>
        <v>N/A</v>
      </c>
      <c r="AU198" s="759" t="b">
        <f>IF(AND(H198="",OR(L198&lt;&gt;"",P198&lt;&gt;"",R198&lt;&gt;"",T198&lt;&gt;"",V198&lt;&gt;"",X198&lt;&gt;"",AL198&lt;&gt;"",Z198&lt;&gt;"",AB198&lt;&gt;"",AD198&lt;&gt;"",AF198&lt;&gt;"",AH198&lt;&gt;"")),TRUE,FALSE)</f>
        <v>0</v>
      </c>
      <c r="AV198" s="759" t="b">
        <f>IF(OR(H198="",H198=0),FALSE,IF(H198&gt;BM198,TRUE,FALSE))</f>
        <v>0</v>
      </c>
      <c r="AW198" s="759" t="b">
        <f>IF(AND($C$179&lt;&gt;"",$H198=""),TRUE,FALSE)</f>
        <v>0</v>
      </c>
      <c r="AX198" s="759" t="b">
        <f>IF(E198="yes",FALSE,IF(H198="0",FALSE,IF(AND($C$179&lt;&gt;"",J198=""),TRUE,FALSE)))</f>
        <v>0</v>
      </c>
      <c r="AY198" s="759" t="b">
        <f>IF($L198="",FALSE,IF($L198&lt;$BO198,TRUE,FALSE))</f>
        <v>0</v>
      </c>
      <c r="AZ198" s="759" t="b">
        <f>IF($L198="",FALSE,IF($L198&gt;$BP198,TRUE,FALSE))</f>
        <v>0</v>
      </c>
      <c r="BA198" s="759" t="b">
        <f>IF(H198=0,FALSE,IF(AND(E198&lt;&gt;"",$L198=""),TRUE,FALSE))</f>
        <v>0</v>
      </c>
      <c r="BB198" s="759" t="b">
        <f>IF(AND($AJ198&lt;&gt;0,$H198&lt;&gt;$BJ198,$N198="LF"),TRUE,IF(AND($AJ198&lt;&gt;0,$J198&lt;&gt;$AJ198,$N198="TF"),TRUE,IF(AND($AJ198&lt;&gt;0,$AJ198&lt;&gt;1,$N198="%"),TRUE,FALSE)))</f>
        <v>0</v>
      </c>
      <c r="BC198" s="759" t="b">
        <f>IF(AT198="No", IF(OR(P198="", R198="", T198="", V198="", X198="", Z198="", AB198="", AD198="", AF198="", AH198=""), TRUE, FALSE), FALSE)</f>
        <v>0</v>
      </c>
      <c r="BD198" s="759" t="b">
        <f>IF($BE198=TRUE,FALSE,IF(OR($AL198&lt;0,$AL198&gt;1),TRUE,FALSE))</f>
        <v>0</v>
      </c>
      <c r="BE198" s="759" t="b">
        <f>IF(AND($H198&lt;&gt;0,$AL198=""),TRUE,FALSE)</f>
        <v>0</v>
      </c>
      <c r="BF198" s="759" t="b">
        <f>IF(N198="%",TRUE,FALSE)</f>
        <v>0</v>
      </c>
      <c r="BG198" s="760"/>
      <c r="BH198" s="1678">
        <f>IF($C198="","",VLOOKUP($C198,val_fg_assets,9,FALSE))</f>
        <v>1</v>
      </c>
      <c r="BI198" s="1678" t="str">
        <f>IF(N198="", "", IF(N198="LF", H198, IF(N198="TF", J198, IF(N198="%", 1, ""))))</f>
        <v/>
      </c>
      <c r="BJ198" s="1679">
        <f>P198+R198+T198+V198+X198+Z198+AB198+AD198+AF198+AH198</f>
        <v>0</v>
      </c>
      <c r="BK198" s="1679" t="str">
        <f>IF(BI198="", "", BI198-BJ198)</f>
        <v/>
      </c>
      <c r="BL198" s="1679">
        <f>IF($C198="","",VLOOKUP($C198,val_fg_assets,3,FALSE))</f>
        <v>0</v>
      </c>
      <c r="BM198" s="1679">
        <f>IF($C198="","",VLOOKUP($C198,val_fg_assets,4,FALSE))</f>
        <v>1320000</v>
      </c>
      <c r="BN198" s="1678">
        <f>IF($C198="","",VLOOKUP($C198,val_fg_assets,5,FALSE))</f>
        <v>80</v>
      </c>
      <c r="BO198" s="1678">
        <f>IF($C198="","",VLOOKUP($C198,val_fg_assets,6,FALSE))</f>
        <v>60</v>
      </c>
      <c r="BP198" s="1678">
        <f>IF($C198="","",VLOOKUP($C198,val_fg_assets,7,FALSE))</f>
        <v>100</v>
      </c>
      <c r="BQ198" s="1399"/>
    </row>
    <row r="199" spans="1:69" s="782" customFormat="1" ht="3.95" customHeight="1" x14ac:dyDescent="0.2">
      <c r="A199" s="852"/>
      <c r="B199" s="1791">
        <v>187</v>
      </c>
      <c r="C199" s="851"/>
      <c r="D199" s="1841"/>
      <c r="E199" s="1059"/>
      <c r="F199" s="686"/>
      <c r="G199" s="686"/>
      <c r="H199" s="1913"/>
      <c r="I199" s="1908"/>
      <c r="J199" s="1908"/>
      <c r="K199" s="1908"/>
      <c r="L199" s="1909"/>
      <c r="M199" s="722"/>
      <c r="N199" s="1912"/>
      <c r="O199" s="722"/>
      <c r="P199" s="1866"/>
      <c r="Q199" s="1867"/>
      <c r="R199" s="1866"/>
      <c r="S199" s="1867"/>
      <c r="T199" s="1866"/>
      <c r="U199" s="1867"/>
      <c r="V199" s="1866"/>
      <c r="W199" s="1867"/>
      <c r="X199" s="1866"/>
      <c r="Y199" s="1867"/>
      <c r="Z199" s="1867"/>
      <c r="AA199" s="1867"/>
      <c r="AB199" s="1867"/>
      <c r="AC199" s="1867"/>
      <c r="AD199" s="1867"/>
      <c r="AE199" s="1867"/>
      <c r="AF199" s="1867"/>
      <c r="AG199" s="1867"/>
      <c r="AH199" s="1867"/>
      <c r="AI199" s="837"/>
      <c r="AJ199" s="1828"/>
      <c r="AK199" s="724"/>
      <c r="AL199" s="1806"/>
      <c r="AM199" s="1399"/>
      <c r="AN199" s="1258"/>
      <c r="AO199" s="1399"/>
      <c r="AP199" s="1399"/>
      <c r="AQ199" s="1399"/>
      <c r="AS199" s="1399"/>
      <c r="AT199" s="1399"/>
      <c r="AU199" s="759"/>
      <c r="AV199" s="759"/>
      <c r="AW199" s="759"/>
      <c r="AX199" s="759"/>
      <c r="AY199" s="759"/>
      <c r="AZ199" s="759"/>
      <c r="BA199" s="759"/>
      <c r="BB199" s="759"/>
      <c r="BC199" s="759"/>
      <c r="BD199" s="759"/>
      <c r="BE199" s="759"/>
      <c r="BF199" s="759"/>
      <c r="BG199" s="760"/>
      <c r="BH199" s="1678"/>
      <c r="BI199" s="1678"/>
      <c r="BJ199" s="1678"/>
      <c r="BK199" s="1678"/>
      <c r="BL199" s="1679"/>
      <c r="BM199" s="1679"/>
      <c r="BN199" s="1678"/>
      <c r="BO199" s="1678"/>
      <c r="BP199" s="1678"/>
      <c r="BQ199" s="1399"/>
    </row>
    <row r="200" spans="1:69" s="782" customFormat="1" ht="3.95" customHeight="1" thickBot="1" x14ac:dyDescent="0.25">
      <c r="A200" s="852"/>
      <c r="B200" s="1791">
        <v>188</v>
      </c>
      <c r="C200" s="851"/>
      <c r="D200" s="1841"/>
      <c r="E200" s="1059"/>
      <c r="F200" s="686"/>
      <c r="G200" s="686"/>
      <c r="H200" s="1913"/>
      <c r="I200" s="1908"/>
      <c r="J200" s="1908"/>
      <c r="K200" s="1908"/>
      <c r="L200" s="1909"/>
      <c r="M200" s="722"/>
      <c r="N200" s="1912"/>
      <c r="O200" s="722"/>
      <c r="P200" s="1868"/>
      <c r="Q200" s="1869"/>
      <c r="R200" s="1868"/>
      <c r="S200" s="1869"/>
      <c r="T200" s="1868"/>
      <c r="U200" s="1869"/>
      <c r="V200" s="1868"/>
      <c r="W200" s="1869"/>
      <c r="X200" s="1868"/>
      <c r="Y200" s="1869"/>
      <c r="Z200" s="1869"/>
      <c r="AA200" s="1869"/>
      <c r="AB200" s="1869"/>
      <c r="AC200" s="1869"/>
      <c r="AD200" s="1869"/>
      <c r="AE200" s="1869"/>
      <c r="AF200" s="1869"/>
      <c r="AG200" s="1869"/>
      <c r="AH200" s="1869"/>
      <c r="AI200" s="1670"/>
      <c r="AJ200" s="1828"/>
      <c r="AK200" s="724"/>
      <c r="AL200" s="1806"/>
      <c r="AM200" s="1399"/>
      <c r="AN200" s="1258"/>
      <c r="AO200" s="1399"/>
      <c r="AP200" s="1399"/>
      <c r="AQ200" s="1399"/>
      <c r="AS200" s="1399"/>
      <c r="AT200" s="1399"/>
      <c r="AU200" s="759"/>
      <c r="AV200" s="759"/>
      <c r="AW200" s="759"/>
      <c r="AX200" s="759"/>
      <c r="AY200" s="759"/>
      <c r="AZ200" s="759"/>
      <c r="BA200" s="759"/>
      <c r="BB200" s="759"/>
      <c r="BC200" s="759"/>
      <c r="BD200" s="759"/>
      <c r="BE200" s="759"/>
      <c r="BF200" s="759"/>
      <c r="BG200" s="760"/>
      <c r="BH200" s="1678"/>
      <c r="BI200" s="1678"/>
      <c r="BJ200" s="1678"/>
      <c r="BK200" s="1678"/>
      <c r="BL200" s="1679"/>
      <c r="BM200" s="1679"/>
      <c r="BN200" s="1678"/>
      <c r="BO200" s="1678"/>
      <c r="BP200" s="1678"/>
      <c r="BQ200" s="1399"/>
    </row>
    <row r="201" spans="1:69" s="782" customFormat="1" x14ac:dyDescent="0.2">
      <c r="A201" s="852">
        <f>A198+1</f>
        <v>49</v>
      </c>
      <c r="B201" s="1791">
        <v>189</v>
      </c>
      <c r="C201" s="851" t="str">
        <f>Valid!$B$77</f>
        <v>Below-Grade/Cut-and-Cover Tunnel</v>
      </c>
      <c r="D201" s="1841"/>
      <c r="E201" s="1245" t="str">
        <f>IF(AT201="N/A","",IF(AT201="N","No","Yes"))</f>
        <v/>
      </c>
      <c r="F201" s="686"/>
      <c r="G201" s="686"/>
      <c r="H201" s="1864"/>
      <c r="I201" s="1904" t="str">
        <f>IF(C179="","",IF(J201&lt;&gt;"","Linear Feet   ","Qty? Enter Zero if N/A  "))</f>
        <v/>
      </c>
      <c r="J201" s="1864"/>
      <c r="K201" s="1904" t="str">
        <f>IF(E201="yes","",IF(C179="","",IF(H201="","Qty? Enter Zero if N/A  ",IF(H201&lt;&gt;"","Track Feet      ",""))))</f>
        <v/>
      </c>
      <c r="L201" s="1864"/>
      <c r="M201" s="1620" t="str">
        <f>IF($H201=0,"",IF($L201="",TEXT(BN201,0)&amp;" Years?    ",""))</f>
        <v/>
      </c>
      <c r="N201" s="1905"/>
      <c r="O201" s="1620"/>
      <c r="P201" s="1864"/>
      <c r="Q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R201" s="1864"/>
      <c r="S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T201" s="1864"/>
      <c r="U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V201" s="1864"/>
      <c r="W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X201" s="1864"/>
      <c r="Y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Z201" s="1864"/>
      <c r="AA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B201" s="1864"/>
      <c r="AC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D201" s="1864"/>
      <c r="AE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F201" s="1864"/>
      <c r="AG201" s="1865"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H201" s="1864"/>
      <c r="AI201" s="904" t="str">
        <f>IF($N201="","",IF(AND($N201="",OR($H201="",$H201=0)),"",IF(AND($N201="LF",$AJ201&lt;$H201),"0 - "&amp;TEXT(($H201-$AJ201)/1000,"0")&amp;"k lin. ft.?    ",IF(AND($N201="TF",$AJ201&lt;$J201),"0 - "&amp;TEXT(($J201-$AJ201)/1000,"0")&amp;"k track ft.?    ",IF(AND($N201="%",$AJ201&lt;1),REPLACE(IF(AND($P201&gt;0,$V201&gt;0,$T201&gt;0,$X201&gt;0,$R201&gt;0,$Z201&gt;0,$AB201&gt;0,$AD201&gt;0,$AF201&gt;0,$AH201&gt;0),"","0-"),99,0,REPLACE(TEXT(100-$AJ201,0),99,0,"%?    ")),"")))))</f>
        <v/>
      </c>
      <c r="AJ201" s="1833">
        <f>IFERROR(IF(N201="%", SUM(P201,R201,T201,V201,X201,Z201,AB201,AD201,AF201,AH201)/100, SUM(P201,R201,T201,V201,X201,Z201,AB201,AD201,AF201,AH201)/IF(N201="LF", H201,J201)), 0)</f>
        <v>0</v>
      </c>
      <c r="AK201" s="1648"/>
      <c r="AL201" s="1675"/>
      <c r="AM201" s="1399"/>
      <c r="AN201" s="1671"/>
      <c r="AO201" s="1399"/>
      <c r="AP201" s="1653"/>
      <c r="AQ201" s="1399"/>
      <c r="AS201" s="1399"/>
      <c r="AT201" s="1624" t="str">
        <f>IF(AND($C$179="", H201="", J201=""), "N/A", IF(OR(AND(ISNUMBER(H201), ISNUMBER(J201), H201=0, J201=0), AND(AJ201=1, H201&lt;&gt;"", J201&lt;&gt;"", L201&lt;&gt;"", N201&lt;&gt;"", P201&lt;&gt;"", R201&lt;&gt;"", T201&lt;&gt;"", V201&lt;&gt;"", X201&lt;&gt;"", Z201&lt;&gt;"", AB201&lt;&gt;"", AD201&lt;&gt;"", AF201&lt;&gt;"", AH201&lt;&gt;"",AL201&lt;&gt;"", IF(AND(AL201&lt;1, AN201=""), FALSE, TRUE))), "Yes", "No"))</f>
        <v>N/A</v>
      </c>
      <c r="AU201" s="759" t="b">
        <f>IF(AND(H201="",OR(L201&lt;&gt;"",P201&lt;&gt;"",R201&lt;&gt;"",T201&lt;&gt;"",V201&lt;&gt;"",X201&lt;&gt;"",AL201&lt;&gt;"",Z201&lt;&gt;"",AB201&lt;&gt;"",AD201&lt;&gt;"",AF201&lt;&gt;"",AH201&lt;&gt;"")),TRUE,FALSE)</f>
        <v>0</v>
      </c>
      <c r="AV201" s="759" t="b">
        <f>IF(OR(H201="",H201=0),FALSE,IF(H201&gt;BM201,TRUE,FALSE))</f>
        <v>0</v>
      </c>
      <c r="AW201" s="759" t="b">
        <f>IF(AND($C$179&lt;&gt;"",$H201=""),TRUE,FALSE)</f>
        <v>0</v>
      </c>
      <c r="AX201" s="759" t="b">
        <f>IF(E201="yes",FALSE,IF(H201="0",FALSE,IF(AND($C$179&lt;&gt;"",J201=""),TRUE,FALSE)))</f>
        <v>0</v>
      </c>
      <c r="AY201" s="759" t="b">
        <f>IF($L201="",FALSE,IF($L201&lt;$BO201,TRUE,FALSE))</f>
        <v>0</v>
      </c>
      <c r="AZ201" s="759" t="b">
        <f>IF($L201="",FALSE,IF($L201&gt;$BP201,TRUE,FALSE))</f>
        <v>0</v>
      </c>
      <c r="BA201" s="759" t="b">
        <f>IF(H201=0,FALSE,IF(AND(E201&lt;&gt;"",$L201=""),TRUE,FALSE))</f>
        <v>0</v>
      </c>
      <c r="BB201" s="759" t="b">
        <f>IF(AND($AJ201&lt;&gt;0,$H201&lt;&gt;$BJ201,$N201="LF"),TRUE,IF(AND($AJ201&lt;&gt;0,$J201&lt;&gt;$AJ201,$N201="TF"),TRUE,IF(AND($AJ201&lt;&gt;0,$AJ201&lt;&gt;1,$N201="%"),TRUE,FALSE)))</f>
        <v>0</v>
      </c>
      <c r="BC201" s="759" t="b">
        <f>IF(AT201="No", IF(OR(P201="", R201="", T201="", V201="", X201="", Z201="", AB201="", AD201="", AF201="", AH201=""), TRUE, FALSE), FALSE)</f>
        <v>0</v>
      </c>
      <c r="BD201" s="759" t="b">
        <f>IF($BE201=TRUE,FALSE,IF(OR($AL201&lt;0,$AL201&gt;1),TRUE,FALSE))</f>
        <v>0</v>
      </c>
      <c r="BE201" s="759" t="b">
        <f>IF(AND($H201&lt;&gt;0,$AL201=""),TRUE,FALSE)</f>
        <v>0</v>
      </c>
      <c r="BF201" s="759" t="b">
        <f>IF(N201="%",TRUE,FALSE)</f>
        <v>0</v>
      </c>
      <c r="BG201" s="760"/>
      <c r="BH201" s="1678">
        <f>IF($C201="","",VLOOKUP($C201,val_fg_assets,9,FALSE))</f>
        <v>1</v>
      </c>
      <c r="BI201" s="1678" t="str">
        <f>IF(N201="", "", IF(N201="LF", H201, IF(N201="TF", J201, IF(N201="%", 1, ""))))</f>
        <v/>
      </c>
      <c r="BJ201" s="1679">
        <f>P201+R201+T201+V201+X201+Z201+AB201+AD201+AF201+AH201</f>
        <v>0</v>
      </c>
      <c r="BK201" s="1679" t="str">
        <f>IF(BI201="", "", BI201-BJ201)</f>
        <v/>
      </c>
      <c r="BL201" s="1679">
        <f>IF($C201="","",VLOOKUP($C201,val_fg_assets,3,FALSE))</f>
        <v>0</v>
      </c>
      <c r="BM201" s="1679">
        <f>IF($C201="","",VLOOKUP($C201,val_fg_assets,4,FALSE))</f>
        <v>1320000</v>
      </c>
      <c r="BN201" s="1678">
        <f>IF($C201="","",VLOOKUP($C201,val_fg_assets,5,FALSE))</f>
        <v>80</v>
      </c>
      <c r="BO201" s="1678">
        <f>IF($C201="","",VLOOKUP($C201,val_fg_assets,6,FALSE))</f>
        <v>60</v>
      </c>
      <c r="BP201" s="1678">
        <f>IF($C201="","",VLOOKUP($C201,val_fg_assets,7,FALSE))</f>
        <v>100</v>
      </c>
      <c r="BQ201" s="1399"/>
    </row>
    <row r="202" spans="1:69" s="782" customFormat="1" ht="3.95" customHeight="1" x14ac:dyDescent="0.2">
      <c r="A202" s="852"/>
      <c r="B202" s="1790">
        <v>190</v>
      </c>
      <c r="C202" s="1673"/>
      <c r="D202" s="1841"/>
      <c r="E202" s="1057"/>
      <c r="F202" s="764"/>
      <c r="G202" s="686">
        <v>7</v>
      </c>
      <c r="H202" s="1906"/>
      <c r="I202" s="1907"/>
      <c r="J202" s="1908"/>
      <c r="K202" s="1907"/>
      <c r="L202" s="1909"/>
      <c r="M202" s="1910"/>
      <c r="N202" s="1911"/>
      <c r="O202" s="1910"/>
      <c r="P202" s="1866"/>
      <c r="Q202" s="1867"/>
      <c r="R202" s="1866"/>
      <c r="S202" s="1867"/>
      <c r="T202" s="1866"/>
      <c r="U202" s="1867"/>
      <c r="V202" s="1866"/>
      <c r="W202" s="1867"/>
      <c r="X202" s="1866"/>
      <c r="Y202" s="1867"/>
      <c r="Z202" s="1867"/>
      <c r="AA202" s="1867"/>
      <c r="AB202" s="1867"/>
      <c r="AC202" s="1867"/>
      <c r="AD202" s="1867"/>
      <c r="AE202" s="1867"/>
      <c r="AF202" s="1867"/>
      <c r="AG202" s="1867"/>
      <c r="AH202" s="1867"/>
      <c r="AI202" s="837"/>
      <c r="AJ202" s="1806"/>
      <c r="AK202" s="841"/>
      <c r="AL202" s="1806"/>
      <c r="AM202" s="1399"/>
      <c r="AN202" s="838"/>
      <c r="AO202" s="1399"/>
      <c r="AP202" s="1223"/>
      <c r="AQ202" s="1399"/>
      <c r="AS202" s="1399"/>
      <c r="AT202" s="1399"/>
      <c r="AU202" s="759"/>
      <c r="AV202" s="759"/>
      <c r="AW202" s="759"/>
      <c r="AX202" s="759"/>
      <c r="AY202" s="759"/>
      <c r="AZ202" s="759"/>
      <c r="BA202" s="759"/>
      <c r="BB202" s="759"/>
      <c r="BC202" s="759"/>
      <c r="BD202" s="759"/>
      <c r="BE202" s="759"/>
      <c r="BF202" s="759"/>
      <c r="BG202" s="760"/>
      <c r="BH202" s="1678"/>
      <c r="BI202" s="1678"/>
      <c r="BJ202" s="1678"/>
      <c r="BK202" s="1678"/>
      <c r="BL202" s="1679"/>
      <c r="BM202" s="1679"/>
      <c r="BN202" s="1678"/>
      <c r="BO202" s="1678"/>
      <c r="BP202" s="1678"/>
      <c r="BQ202" s="1399"/>
    </row>
    <row r="203" spans="1:69" s="782" customFormat="1" ht="3.95" customHeight="1" thickBot="1" x14ac:dyDescent="0.25">
      <c r="A203" s="852"/>
      <c r="B203" s="1790">
        <v>191</v>
      </c>
      <c r="C203" s="1673"/>
      <c r="D203" s="1841"/>
      <c r="E203" s="1057"/>
      <c r="F203" s="764"/>
      <c r="G203" s="764">
        <v>8</v>
      </c>
      <c r="H203" s="1906"/>
      <c r="I203" s="1907"/>
      <c r="J203" s="1908"/>
      <c r="K203" s="1907"/>
      <c r="L203" s="1909"/>
      <c r="M203" s="722"/>
      <c r="N203" s="1912"/>
      <c r="O203" s="722"/>
      <c r="P203" s="1868"/>
      <c r="Q203" s="1869"/>
      <c r="R203" s="1868"/>
      <c r="S203" s="1869"/>
      <c r="T203" s="1868"/>
      <c r="U203" s="1869"/>
      <c r="V203" s="1868"/>
      <c r="W203" s="1869"/>
      <c r="X203" s="1868"/>
      <c r="Y203" s="1869"/>
      <c r="Z203" s="1869"/>
      <c r="AA203" s="1869"/>
      <c r="AB203" s="1869"/>
      <c r="AC203" s="1869"/>
      <c r="AD203" s="1869"/>
      <c r="AE203" s="1869"/>
      <c r="AF203" s="1869"/>
      <c r="AG203" s="1869"/>
      <c r="AH203" s="1869"/>
      <c r="AI203" s="1670"/>
      <c r="AJ203" s="1828"/>
      <c r="AK203" s="724"/>
      <c r="AL203" s="1806"/>
      <c r="AM203" s="1399"/>
      <c r="AN203" s="1258"/>
      <c r="AO203" s="1399"/>
      <c r="AP203" s="1399"/>
      <c r="AQ203" s="1399"/>
      <c r="AS203" s="1399"/>
      <c r="AT203" s="1399"/>
      <c r="AU203" s="759"/>
      <c r="AV203" s="759"/>
      <c r="AW203" s="759"/>
      <c r="AX203" s="759"/>
      <c r="AY203" s="759"/>
      <c r="AZ203" s="759"/>
      <c r="BA203" s="759"/>
      <c r="BB203" s="759"/>
      <c r="BC203" s="759"/>
      <c r="BD203" s="759"/>
      <c r="BE203" s="759"/>
      <c r="BF203" s="759"/>
      <c r="BG203" s="760"/>
      <c r="BH203" s="1678"/>
      <c r="BI203" s="1678"/>
      <c r="BJ203" s="1678"/>
      <c r="BK203" s="1678"/>
      <c r="BL203" s="1679"/>
      <c r="BM203" s="1679"/>
      <c r="BN203" s="1678"/>
      <c r="BO203" s="1678"/>
      <c r="BP203" s="1678"/>
      <c r="BQ203" s="1399"/>
    </row>
    <row r="204" spans="1:69" s="782" customFormat="1" x14ac:dyDescent="0.2">
      <c r="A204" s="852">
        <f>A201+1</f>
        <v>50</v>
      </c>
      <c r="B204" s="1791">
        <v>192</v>
      </c>
      <c r="C204" s="851" t="str">
        <f>Valid!$B$78</f>
        <v>Below-Grade/Bored or Blasted Tunnel</v>
      </c>
      <c r="D204" s="1841"/>
      <c r="E204" s="1245" t="str">
        <f>IF(AT204="N/A","",IF(AT204="N","No","Yes"))</f>
        <v/>
      </c>
      <c r="F204" s="686"/>
      <c r="G204" s="686"/>
      <c r="H204" s="1864"/>
      <c r="I204" s="1904" t="str">
        <f>IF(C179="","",IF(J204&lt;&gt;"","Linear Feet   ","Qty? Enter Zero if N/A  "))</f>
        <v/>
      </c>
      <c r="J204" s="1864"/>
      <c r="K204" s="1904" t="str">
        <f>IF(E204="yes","",IF(C179="","",IF(H204="","Qty? Enter Zero if N/A  ",IF(H204&lt;&gt;"","Track Feet      ",""))))</f>
        <v/>
      </c>
      <c r="L204" s="1864"/>
      <c r="M204" s="1620" t="str">
        <f>IF($H204=0,"",IF($L204="",TEXT(BN204,0)&amp;" Years?    ",""))</f>
        <v/>
      </c>
      <c r="N204" s="1905"/>
      <c r="O204" s="1620"/>
      <c r="P204" s="1864"/>
      <c r="Q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R204" s="1864"/>
      <c r="S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T204" s="1864"/>
      <c r="U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V204" s="1864"/>
      <c r="W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X204" s="1864"/>
      <c r="Y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Z204" s="1864"/>
      <c r="AA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B204" s="1864"/>
      <c r="AC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D204" s="1864"/>
      <c r="AE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F204" s="1864"/>
      <c r="AG204" s="1865"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H204" s="1864"/>
      <c r="AI204" s="904" t="str">
        <f>IF($N204="","",IF(AND($N204="",OR($H204="",$H204=0)),"",IF(AND($N204="LF",$AJ204&lt;$H204),"0 - "&amp;TEXT(($H204-$AJ204)/1000,"0")&amp;"k lin. ft.?    ",IF(AND($N204="TF",$AJ204&lt;$J204),"0 - "&amp;TEXT(($J204-$AJ204)/1000,"0")&amp;"k track ft.?    ",IF(AND($N204="%",$AJ204&lt;1),REPLACE(IF(AND($P204&gt;0,$V204&gt;0,$T204&gt;0,$X204&gt;0,$R204&gt;0,$Z204&gt;0,$AB204&gt;0,$AD204&gt;0,$AF204&gt;0,$AH204&gt;0),"","0-"),99,0,REPLACE(TEXT(100-$AJ204,0),99,0,"%?    ")),"")))))</f>
        <v/>
      </c>
      <c r="AJ204" s="1833">
        <f>IFERROR(IF(N204="%", SUM(P204,R204,T204,V204,X204,Z204,AB204,AD204,AF204,AH204)/100, SUM(P204,R204,T204,V204,X204,Z204,AB204,AD204,AF204,AH204)/IF(N204="LF", H204,J204)), 0)</f>
        <v>0</v>
      </c>
      <c r="AK204" s="1648"/>
      <c r="AL204" s="1675"/>
      <c r="AM204" s="1399"/>
      <c r="AN204" s="1671"/>
      <c r="AO204" s="1399"/>
      <c r="AP204" s="1653"/>
      <c r="AQ204" s="1399"/>
      <c r="AS204" s="1399"/>
      <c r="AT204" s="1624" t="str">
        <f>IF(AND($C$179="", H204="", J204=""), "N/A", IF(OR(AND(ISNUMBER(H204), ISNUMBER(J204), H204=0, J204=0), AND(AJ204=1, H204&lt;&gt;"", J204&lt;&gt;"", L204&lt;&gt;"", N204&lt;&gt;"", P204&lt;&gt;"", R204&lt;&gt;"", T204&lt;&gt;"", V204&lt;&gt;"", X204&lt;&gt;"", Z204&lt;&gt;"", AB204&lt;&gt;"", AD204&lt;&gt;"", AF204&lt;&gt;"", AH204&lt;&gt;"",AL204&lt;&gt;"", IF(AND(AL204&lt;1, AN204=""), FALSE, TRUE))), "Yes", "No"))</f>
        <v>N/A</v>
      </c>
      <c r="AU204" s="759" t="b">
        <f>IF(AND(H204="",OR(L204&lt;&gt;"",P204&lt;&gt;"",R204&lt;&gt;"",T204&lt;&gt;"",V204&lt;&gt;"",X204&lt;&gt;"",AL204&lt;&gt;"",Z204&lt;&gt;"",AB204&lt;&gt;"",AD204&lt;&gt;"",AF204&lt;&gt;"",AH204&lt;&gt;"")),TRUE,FALSE)</f>
        <v>0</v>
      </c>
      <c r="AV204" s="759" t="b">
        <f>IF(OR(H204="",H204=0),FALSE,IF(H204&gt;BM204,TRUE,FALSE))</f>
        <v>0</v>
      </c>
      <c r="AW204" s="759" t="b">
        <f>IF(AND($C$179&lt;&gt;"",$H204=""),TRUE,FALSE)</f>
        <v>0</v>
      </c>
      <c r="AX204" s="759" t="b">
        <f>IF(E204="yes",FALSE,IF(H204="0",FALSE,IF(AND($C$179&lt;&gt;"",J204=""),TRUE,FALSE)))</f>
        <v>0</v>
      </c>
      <c r="AY204" s="759" t="b">
        <f>IF($L204="",FALSE,IF($L204&lt;$BO204,TRUE,FALSE))</f>
        <v>0</v>
      </c>
      <c r="AZ204" s="759" t="b">
        <f>IF($L204="",FALSE,IF($L204&gt;$BP204,TRUE,FALSE))</f>
        <v>0</v>
      </c>
      <c r="BA204" s="759" t="b">
        <f>IF(H204=0,FALSE,IF(AND(E204&lt;&gt;"",$L204=""),TRUE,FALSE))</f>
        <v>0</v>
      </c>
      <c r="BB204" s="759" t="b">
        <f>IF(AND($AJ204&lt;&gt;0,$H204&lt;&gt;$BJ204,$N204="LF"),TRUE,IF(AND($AJ204&lt;&gt;0,$J204&lt;&gt;$AJ204,$N204="TF"),TRUE,IF(AND($AJ204&lt;&gt;0,$AJ204&lt;&gt;1,$N204="%"),TRUE,FALSE)))</f>
        <v>0</v>
      </c>
      <c r="BC204" s="759" t="b">
        <f>IF(AT204="No", IF(OR(P204="", R204="", T204="", V204="", X204="", Z204="", AB204="", AD204="", AF204="", AH204=""), TRUE, FALSE), FALSE)</f>
        <v>0</v>
      </c>
      <c r="BD204" s="759" t="b">
        <f>IF($BE204=TRUE,FALSE,IF(OR($AL204&lt;0,$AL204&gt;1),TRUE,FALSE))</f>
        <v>0</v>
      </c>
      <c r="BE204" s="759" t="b">
        <f>IF(AND($H204&lt;&gt;0,$AL204=""),TRUE,FALSE)</f>
        <v>0</v>
      </c>
      <c r="BF204" s="759" t="b">
        <f>IF(N204="%",TRUE,FALSE)</f>
        <v>0</v>
      </c>
      <c r="BG204" s="760"/>
      <c r="BH204" s="1678">
        <f>IF($C204="","",VLOOKUP($C204,val_fg_assets,9,FALSE))</f>
        <v>1</v>
      </c>
      <c r="BI204" s="1678" t="str">
        <f>IF(N204="", "", IF(N204="LF", H204, IF(N204="TF", J204, IF(N204="%", 1, ""))))</f>
        <v/>
      </c>
      <c r="BJ204" s="1679">
        <f>P204+R204+T204+V204+X204+Z204+AB204+AD204+AF204+AH204</f>
        <v>0</v>
      </c>
      <c r="BK204" s="1679" t="str">
        <f>IF(BI204="", "", BI204-BJ204)</f>
        <v/>
      </c>
      <c r="BL204" s="1679">
        <f>IF($C204="","",VLOOKUP($C204,val_fg_assets,3,FALSE))</f>
        <v>0</v>
      </c>
      <c r="BM204" s="1679">
        <f>IF($C204="","",VLOOKUP($C204,val_fg_assets,4,FALSE))</f>
        <v>1320000</v>
      </c>
      <c r="BN204" s="1678">
        <f>IF($C204="","",VLOOKUP($C204,val_fg_assets,5,FALSE))</f>
        <v>80</v>
      </c>
      <c r="BO204" s="1678">
        <f>IF($C204="","",VLOOKUP($C204,val_fg_assets,6,FALSE))</f>
        <v>60</v>
      </c>
      <c r="BP204" s="1678">
        <f>IF($C204="","",VLOOKUP($C204,val_fg_assets,7,FALSE))</f>
        <v>100</v>
      </c>
      <c r="BQ204" s="1399"/>
    </row>
    <row r="205" spans="1:69" s="782" customFormat="1" ht="3.95" customHeight="1" x14ac:dyDescent="0.2">
      <c r="A205" s="852"/>
      <c r="B205" s="1791">
        <v>193</v>
      </c>
      <c r="C205" s="1673"/>
      <c r="D205" s="1841"/>
      <c r="E205" s="1057"/>
      <c r="F205" s="764"/>
      <c r="G205" s="764"/>
      <c r="H205" s="1909"/>
      <c r="I205" s="1908"/>
      <c r="J205" s="1908"/>
      <c r="K205" s="1908"/>
      <c r="L205" s="1909"/>
      <c r="M205" s="1910"/>
      <c r="N205" s="1911"/>
      <c r="O205" s="1910"/>
      <c r="P205" s="1866"/>
      <c r="Q205" s="1867"/>
      <c r="R205" s="1866"/>
      <c r="S205" s="1867"/>
      <c r="T205" s="1866"/>
      <c r="U205" s="1867"/>
      <c r="V205" s="1866"/>
      <c r="W205" s="1867"/>
      <c r="X205" s="1866"/>
      <c r="Y205" s="1867"/>
      <c r="Z205" s="1867"/>
      <c r="AA205" s="1867"/>
      <c r="AB205" s="1867"/>
      <c r="AC205" s="1867"/>
      <c r="AD205" s="1867"/>
      <c r="AE205" s="1867"/>
      <c r="AF205" s="1867"/>
      <c r="AG205" s="1867"/>
      <c r="AH205" s="1867"/>
      <c r="AI205" s="837"/>
      <c r="AJ205" s="1806"/>
      <c r="AK205" s="841"/>
      <c r="AL205" s="1806"/>
      <c r="AM205" s="1399"/>
      <c r="AN205" s="838"/>
      <c r="AO205" s="1399"/>
      <c r="AP205" s="1399"/>
      <c r="AQ205" s="1399"/>
      <c r="AS205" s="1399"/>
      <c r="AT205" s="1399"/>
      <c r="AU205" s="759"/>
      <c r="AV205" s="759"/>
      <c r="AW205" s="759"/>
      <c r="AX205" s="759"/>
      <c r="AY205" s="759"/>
      <c r="AZ205" s="759"/>
      <c r="BA205" s="759"/>
      <c r="BB205" s="759"/>
      <c r="BC205" s="759"/>
      <c r="BD205" s="759"/>
      <c r="BE205" s="759"/>
      <c r="BF205" s="759"/>
      <c r="BG205" s="760"/>
      <c r="BH205" s="1678"/>
      <c r="BI205" s="1678"/>
      <c r="BJ205" s="1678"/>
      <c r="BK205" s="1678"/>
      <c r="BL205" s="1679"/>
      <c r="BM205" s="1679"/>
      <c r="BN205" s="1678"/>
      <c r="BO205" s="1678"/>
      <c r="BP205" s="1678"/>
      <c r="BQ205" s="1399"/>
    </row>
    <row r="206" spans="1:69" s="782" customFormat="1" ht="3.95" customHeight="1" thickBot="1" x14ac:dyDescent="0.25">
      <c r="A206" s="852"/>
      <c r="B206" s="1791">
        <v>194</v>
      </c>
      <c r="C206" s="851"/>
      <c r="D206" s="1841"/>
      <c r="E206" s="1058"/>
      <c r="F206" s="686"/>
      <c r="G206" s="686"/>
      <c r="H206" s="1909"/>
      <c r="I206" s="1908"/>
      <c r="J206" s="1908"/>
      <c r="K206" s="1908"/>
      <c r="L206" s="1909"/>
      <c r="M206" s="722"/>
      <c r="N206" s="1912"/>
      <c r="O206" s="722"/>
      <c r="P206" s="1868"/>
      <c r="Q206" s="1869"/>
      <c r="R206" s="1868"/>
      <c r="S206" s="1869"/>
      <c r="T206" s="1868"/>
      <c r="U206" s="1869"/>
      <c r="V206" s="1868"/>
      <c r="W206" s="1869"/>
      <c r="X206" s="1868"/>
      <c r="Y206" s="1869"/>
      <c r="Z206" s="1869"/>
      <c r="AA206" s="1869"/>
      <c r="AB206" s="1869"/>
      <c r="AC206" s="1869"/>
      <c r="AD206" s="1869"/>
      <c r="AE206" s="1869"/>
      <c r="AF206" s="1869"/>
      <c r="AG206" s="1869"/>
      <c r="AH206" s="1869"/>
      <c r="AI206" s="1670"/>
      <c r="AJ206" s="1828"/>
      <c r="AK206" s="724"/>
      <c r="AL206" s="1806"/>
      <c r="AM206" s="1399"/>
      <c r="AN206" s="1258"/>
      <c r="AO206" s="1399"/>
      <c r="AP206" s="1399"/>
      <c r="AQ206" s="1399"/>
      <c r="AS206" s="1399"/>
      <c r="AT206" s="1399"/>
      <c r="AU206" s="759"/>
      <c r="AV206" s="759"/>
      <c r="AW206" s="759"/>
      <c r="AX206" s="759"/>
      <c r="AY206" s="759"/>
      <c r="AZ206" s="759"/>
      <c r="BA206" s="759"/>
      <c r="BB206" s="759"/>
      <c r="BC206" s="759"/>
      <c r="BD206" s="759"/>
      <c r="BE206" s="759"/>
      <c r="BF206" s="759"/>
      <c r="BG206" s="760"/>
      <c r="BH206" s="1678"/>
      <c r="BI206" s="1678"/>
      <c r="BJ206" s="1678"/>
      <c r="BK206" s="1678"/>
      <c r="BL206" s="1679"/>
      <c r="BM206" s="1679"/>
      <c r="BN206" s="1678"/>
      <c r="BO206" s="1678"/>
      <c r="BP206" s="1678"/>
      <c r="BQ206" s="1399"/>
    </row>
    <row r="207" spans="1:69" s="782" customFormat="1" x14ac:dyDescent="0.2">
      <c r="A207" s="852">
        <f>A204+1</f>
        <v>51</v>
      </c>
      <c r="B207" s="1790">
        <v>195</v>
      </c>
      <c r="C207" s="851" t="str">
        <f>Valid!$B$79</f>
        <v>Below-Grade/Submerged Tube</v>
      </c>
      <c r="D207" s="1841"/>
      <c r="E207" s="1245" t="str">
        <f>IF(AT207="N/A","",IF(AT207="N","No","Yes"))</f>
        <v/>
      </c>
      <c r="F207" s="764"/>
      <c r="G207" s="764"/>
      <c r="H207" s="1864"/>
      <c r="I207" s="1904" t="str">
        <f>IF(C179="","",IF(J207&lt;&gt;"","Linear Feet   ","Qty? Enter Zero if N/A  "))</f>
        <v/>
      </c>
      <c r="J207" s="1864"/>
      <c r="K207" s="1904" t="str">
        <f>IF(E207="yes","",IF(C179="","",IF(H207="","Qty? Enter Zero if N/A  ",IF(H207&lt;&gt;"","Track Feet      ",""))))</f>
        <v/>
      </c>
      <c r="L207" s="1864"/>
      <c r="M207" s="1620" t="str">
        <f>IF($H207=0,"",IF($L207="",TEXT(BN207,0)&amp;" Years?    ",""))</f>
        <v/>
      </c>
      <c r="N207" s="1905"/>
      <c r="O207" s="1620"/>
      <c r="P207" s="1864"/>
      <c r="Q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R207" s="1864"/>
      <c r="S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T207" s="1864"/>
      <c r="U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V207" s="1864"/>
      <c r="W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X207" s="1864"/>
      <c r="Y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Z207" s="1864"/>
      <c r="AA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B207" s="1864"/>
      <c r="AC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D207" s="1864"/>
      <c r="AE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F207" s="1864"/>
      <c r="AG207" s="1865"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H207" s="1864"/>
      <c r="AI207" s="904" t="str">
        <f>IF($N207="","",IF(AND($N207="",OR($H207="",$H207=0)),"",IF(AND($N207="LF",$AJ207&lt;$H207),"0 - "&amp;TEXT(($H207-$AJ207)/1000,"0")&amp;"k lin. ft.?    ",IF(AND($N207="TF",$AJ207&lt;$J207),"0 - "&amp;TEXT(($J207-$AJ207)/1000,"0")&amp;"k track ft.?    ",IF(AND($N207="%",$AJ207&lt;1),REPLACE(IF(AND($P207&gt;0,$V207&gt;0,$T207&gt;0,$X207&gt;0,$R207&gt;0,$Z207&gt;0,$AB207&gt;0,$AD207&gt;0,$AF207&gt;0,$AH207&gt;0),"","0-"),99,0,REPLACE(TEXT(100-$AJ207,0),99,0,"%?    ")),"")))))</f>
        <v/>
      </c>
      <c r="AJ207" s="1833">
        <f>IFERROR(IF(N207="%", SUM(P207,R207,T207,V207,X207,Z207,AB207,AD207,AF207,AH207)/100, SUM(P207,R207,T207,V207,X207,Z207,AB207,AD207,AF207,AH207)/IF(N207="LF", H207,J207)), 0)</f>
        <v>0</v>
      </c>
      <c r="AK207" s="1648"/>
      <c r="AL207" s="1832"/>
      <c r="AM207" s="1399"/>
      <c r="AN207" s="1276"/>
      <c r="AO207" s="1399"/>
      <c r="AP207" s="1653"/>
      <c r="AQ207" s="1399"/>
      <c r="AS207" s="1399"/>
      <c r="AT207" s="1624" t="str">
        <f>IF(AND($C$179="", H207="", J207=""), "N/A", IF(OR(AND(ISNUMBER(H207), ISNUMBER(J207), H207=0, J207=0), AND(AJ207=1, H207&lt;&gt;"", J207&lt;&gt;"", L207&lt;&gt;"", N207&lt;&gt;"", P207&lt;&gt;"", R207&lt;&gt;"", T207&lt;&gt;"", V207&lt;&gt;"", X207&lt;&gt;"", Z207&lt;&gt;"", AB207&lt;&gt;"", AD207&lt;&gt;"", AF207&lt;&gt;"", AH207&lt;&gt;"",AL207&lt;&gt;"", IF(AND(AL207&lt;1, AN207=""), FALSE, TRUE))), "Yes", "No"))</f>
        <v>N/A</v>
      </c>
      <c r="AU207" s="759" t="b">
        <f>IF(AND(H207="",OR(L207&lt;&gt;"",P207&lt;&gt;"",R207&lt;&gt;"",T207&lt;&gt;"",V207&lt;&gt;"",X207&lt;&gt;"",AL207&lt;&gt;"",Z207&lt;&gt;"",AB207&lt;&gt;"",AD207&lt;&gt;"",AF207&lt;&gt;"",AH207&lt;&gt;"")),TRUE,FALSE)</f>
        <v>0</v>
      </c>
      <c r="AV207" s="759" t="b">
        <f>IF(OR(H207="",H207=0),FALSE,IF(H207&gt;BM207,TRUE,FALSE))</f>
        <v>0</v>
      </c>
      <c r="AW207" s="759" t="b">
        <f>IF(AND($C$179&lt;&gt;"",$H207=""),TRUE,FALSE)</f>
        <v>0</v>
      </c>
      <c r="AX207" s="759" t="b">
        <f>IF(E207="yes",FALSE,IF(H207="0",FALSE,IF(AND($C$179&lt;&gt;"",J207=""),TRUE,FALSE)))</f>
        <v>0</v>
      </c>
      <c r="AY207" s="759" t="b">
        <f>IF($L207="",FALSE,IF($L207&lt;$BO207,TRUE,FALSE))</f>
        <v>0</v>
      </c>
      <c r="AZ207" s="759" t="b">
        <f>IF($L207="",FALSE,IF($L207&gt;$BP207,TRUE,FALSE))</f>
        <v>0</v>
      </c>
      <c r="BA207" s="759" t="b">
        <f>IF(H207=0,FALSE,IF(AND(E207&lt;&gt;"",$L207=""),TRUE,FALSE))</f>
        <v>0</v>
      </c>
      <c r="BB207" s="759" t="b">
        <f>IF(AND($AJ207&lt;&gt;0,$H207&lt;&gt;$BJ207,$N207="LF"),TRUE,IF(AND($AJ207&lt;&gt;0,$J207&lt;&gt;$AJ207,$N207="TF"),TRUE,IF(AND($AJ207&lt;&gt;0,$AJ207&lt;&gt;1,$N207="%"),TRUE,FALSE)))</f>
        <v>0</v>
      </c>
      <c r="BC207" s="759" t="b">
        <f>IF(AT207="No", IF(OR(P207="", R207="", T207="", V207="", X207="", Z207="", AB207="", AD207="", AF207="", AH207=""), TRUE, FALSE), FALSE)</f>
        <v>0</v>
      </c>
      <c r="BD207" s="759" t="b">
        <f>IF($BE207=TRUE,FALSE,IF(OR($AL207&lt;0,$AL207&gt;1),TRUE,FALSE))</f>
        <v>0</v>
      </c>
      <c r="BE207" s="759" t="b">
        <f>IF(AND($H207&lt;&gt;0,$AL207=""),TRUE,FALSE)</f>
        <v>0</v>
      </c>
      <c r="BF207" s="759" t="b">
        <f>IF(N207="%",TRUE,FALSE)</f>
        <v>0</v>
      </c>
      <c r="BG207" s="760"/>
      <c r="BH207" s="1678">
        <f>IF($C207="","",VLOOKUP($C207,val_fg_assets,9,FALSE))</f>
        <v>1</v>
      </c>
      <c r="BI207" s="1678" t="str">
        <f>IF(N207="", "", IF(N207="LF", H207, IF(N207="TF", J207, IF(N207="%", 1, ""))))</f>
        <v/>
      </c>
      <c r="BJ207" s="1679">
        <f>P207+R207+T207+V207+X207+Z207+AB207+AD207+AF207+AH207</f>
        <v>0</v>
      </c>
      <c r="BK207" s="1679" t="str">
        <f>IF(BI207="", "", BI207-BJ207)</f>
        <v/>
      </c>
      <c r="BL207" s="1679">
        <f>IF($C207="","",VLOOKUP($C207,val_fg_assets,3,FALSE))</f>
        <v>0</v>
      </c>
      <c r="BM207" s="1679">
        <f>IF($C207="","",VLOOKUP($C207,val_fg_assets,4,FALSE))</f>
        <v>1320000</v>
      </c>
      <c r="BN207" s="1678">
        <f>IF($C207="","",VLOOKUP($C207,val_fg_assets,5,FALSE))</f>
        <v>80</v>
      </c>
      <c r="BO207" s="1678">
        <f>IF($C207="","",VLOOKUP($C207,val_fg_assets,6,FALSE))</f>
        <v>60</v>
      </c>
      <c r="BP207" s="1678">
        <f>IF($C207="","",VLOOKUP($C207,val_fg_assets,7,FALSE))</f>
        <v>100</v>
      </c>
      <c r="BQ207" s="1399"/>
    </row>
    <row r="208" spans="1:69" s="782" customFormat="1" ht="3.95" customHeight="1" thickBot="1" x14ac:dyDescent="0.25">
      <c r="A208" s="852"/>
      <c r="B208" s="1790">
        <v>196</v>
      </c>
      <c r="C208" s="850"/>
      <c r="D208" s="1841"/>
      <c r="E208" s="1058"/>
      <c r="F208" s="686"/>
      <c r="G208" s="686"/>
      <c r="H208" s="1909"/>
      <c r="I208" s="1907"/>
      <c r="J208" s="1908"/>
      <c r="K208" s="1908"/>
      <c r="L208" s="1909"/>
      <c r="M208" s="1910"/>
      <c r="N208" s="1910"/>
      <c r="O208" s="1910"/>
      <c r="P208" s="1866"/>
      <c r="Q208" s="1867"/>
      <c r="R208" s="1866"/>
      <c r="S208" s="1867"/>
      <c r="T208" s="1866"/>
      <c r="U208" s="1867"/>
      <c r="V208" s="1866"/>
      <c r="W208" s="1867"/>
      <c r="X208" s="1866"/>
      <c r="Y208" s="1867"/>
      <c r="Z208" s="1867"/>
      <c r="AA208" s="1867"/>
      <c r="AB208" s="1867"/>
      <c r="AC208" s="1867"/>
      <c r="AD208" s="1867"/>
      <c r="AE208" s="1867"/>
      <c r="AF208" s="1867"/>
      <c r="AG208" s="1867"/>
      <c r="AH208" s="1867"/>
      <c r="AI208" s="837"/>
      <c r="AJ208" s="1806"/>
      <c r="AK208" s="841"/>
      <c r="AL208" s="1806"/>
      <c r="AM208" s="1399"/>
      <c r="AN208" s="838"/>
      <c r="AO208" s="1399"/>
      <c r="AP208" s="1399"/>
      <c r="AQ208" s="1399"/>
      <c r="AS208" s="1399"/>
      <c r="AT208" s="1399"/>
      <c r="AU208" s="759"/>
      <c r="AV208" s="759"/>
      <c r="AW208" s="759"/>
      <c r="AX208" s="759"/>
      <c r="AY208" s="759"/>
      <c r="AZ208" s="759"/>
      <c r="BA208" s="759"/>
      <c r="BB208" s="759"/>
      <c r="BC208" s="759"/>
      <c r="BD208" s="759"/>
      <c r="BE208" s="759"/>
      <c r="BF208" s="759"/>
      <c r="BG208" s="760"/>
      <c r="BH208" s="1678"/>
      <c r="BI208" s="1678"/>
      <c r="BJ208" s="1678"/>
      <c r="BK208" s="1678"/>
      <c r="BL208" s="1679"/>
      <c r="BM208" s="1679"/>
      <c r="BN208" s="1678"/>
      <c r="BO208" s="1678"/>
      <c r="BP208" s="1678"/>
      <c r="BQ208" s="1399"/>
    </row>
    <row r="209" spans="1:69" s="782" customFormat="1" x14ac:dyDescent="0.2">
      <c r="A209" s="1712" t="s">
        <v>2621</v>
      </c>
      <c r="B209" s="1791">
        <v>197</v>
      </c>
      <c r="C209" s="850"/>
      <c r="D209" s="1841"/>
      <c r="E209" s="816"/>
      <c r="F209" s="686"/>
      <c r="G209" s="686"/>
      <c r="H209" s="1914">
        <f>SUM(H183:H207)</f>
        <v>0</v>
      </c>
      <c r="I209" s="1915"/>
      <c r="J209" s="1914">
        <f>SUM(J183:J207)</f>
        <v>0</v>
      </c>
      <c r="K209" s="1880"/>
      <c r="L209" s="1880" t="str">
        <f>IF(C179="","&lt;&lt;Total Guideway (Excluding Track) in Linear Feet and Track Feet","&lt;&lt;Total "&amp;VLOOKUP(C179,Codes!$C$156:$D$174,2)&amp;" Guideway (Excluding Track) in Linear Feet and Track Feet")</f>
        <v>&lt;&lt;Total Guideway (Excluding Track) in Linear Feet and Track Feet</v>
      </c>
      <c r="M209" s="1910"/>
      <c r="N209" s="1910"/>
      <c r="O209" s="1910"/>
      <c r="P209" s="1916"/>
      <c r="Q209" s="1867"/>
      <c r="R209" s="1916"/>
      <c r="S209" s="1867"/>
      <c r="T209" s="1916"/>
      <c r="U209" s="1867"/>
      <c r="V209" s="1916"/>
      <c r="W209" s="1867"/>
      <c r="X209" s="1916"/>
      <c r="Y209" s="1867"/>
      <c r="Z209" s="1867"/>
      <c r="AA209" s="1867"/>
      <c r="AB209" s="1867"/>
      <c r="AC209" s="1867"/>
      <c r="AD209" s="1867"/>
      <c r="AE209" s="1867"/>
      <c r="AF209" s="1867"/>
      <c r="AG209" s="1867"/>
      <c r="AH209" s="1867"/>
      <c r="AI209" s="837"/>
      <c r="AJ209" s="1806"/>
      <c r="AK209" s="841"/>
      <c r="AL209" s="1806"/>
      <c r="AM209" s="1399"/>
      <c r="AN209" s="838"/>
      <c r="AO209" s="1399"/>
      <c r="AP209" s="1399"/>
      <c r="AQ209" s="1399"/>
      <c r="AS209" s="1399"/>
      <c r="AT209" s="1399"/>
      <c r="AU209" s="759"/>
      <c r="AV209" s="759"/>
      <c r="AW209" s="759"/>
      <c r="AX209" s="759"/>
      <c r="AY209" s="759"/>
      <c r="AZ209" s="759"/>
      <c r="BA209" s="759"/>
      <c r="BB209" s="759"/>
      <c r="BC209" s="759"/>
      <c r="BD209" s="759"/>
      <c r="BE209" s="759"/>
      <c r="BF209" s="759"/>
      <c r="BG209" s="760"/>
      <c r="BH209" s="1678"/>
      <c r="BI209" s="1678"/>
      <c r="BJ209" s="1678"/>
      <c r="BK209" s="1678"/>
      <c r="BL209" s="1679"/>
      <c r="BM209" s="1679"/>
      <c r="BN209" s="1678"/>
      <c r="BO209" s="1678"/>
      <c r="BP209" s="1678"/>
      <c r="BQ209" s="1399"/>
    </row>
    <row r="210" spans="1:69" s="686" customFormat="1" x14ac:dyDescent="0.2">
      <c r="A210" s="1712" t="s">
        <v>2621</v>
      </c>
      <c r="B210" s="1791">
        <v>198</v>
      </c>
      <c r="C210" s="844" t="str">
        <f>IF(C179="","Power and Signals",VLOOKUP(C179,Codes!$C$156:$D$174,2)&amp;" Power and Signals")</f>
        <v>Power and Signals</v>
      </c>
      <c r="D210" s="1709"/>
      <c r="E210" s="1057"/>
      <c r="F210" s="764"/>
      <c r="G210" s="764"/>
      <c r="H210" s="1917"/>
      <c r="I210" s="1880"/>
      <c r="J210" s="1651"/>
      <c r="K210" s="1651"/>
      <c r="L210" s="1917"/>
      <c r="M210" s="1651"/>
      <c r="N210" s="1651"/>
      <c r="O210" s="1651"/>
      <c r="P210" s="1916"/>
      <c r="Q210" s="1867"/>
      <c r="R210" s="1916"/>
      <c r="S210" s="1867"/>
      <c r="T210" s="1916"/>
      <c r="U210" s="1867"/>
      <c r="V210" s="1916"/>
      <c r="W210" s="1867"/>
      <c r="X210" s="1916"/>
      <c r="Y210" s="1651"/>
      <c r="Z210" s="1651"/>
      <c r="AA210" s="1651"/>
      <c r="AB210" s="1651"/>
      <c r="AC210" s="1651"/>
      <c r="AD210" s="1651"/>
      <c r="AE210" s="1651"/>
      <c r="AF210" s="1651"/>
      <c r="AG210" s="1651"/>
      <c r="AH210" s="1651"/>
      <c r="AJ210" s="1676"/>
      <c r="AL210" s="1676"/>
      <c r="AP210" s="1223"/>
      <c r="AU210" s="848"/>
      <c r="AV210" s="848"/>
      <c r="AW210" s="848"/>
      <c r="AX210" s="848"/>
      <c r="AY210" s="759"/>
      <c r="AZ210" s="759"/>
      <c r="BA210" s="848"/>
      <c r="BB210" s="759"/>
      <c r="BC210" s="848"/>
      <c r="BD210" s="848"/>
      <c r="BE210" s="848"/>
      <c r="BF210" s="848"/>
      <c r="BH210" s="1680"/>
      <c r="BI210" s="1680"/>
      <c r="BJ210" s="1680"/>
      <c r="BK210" s="1680"/>
      <c r="BL210" s="1680"/>
      <c r="BM210" s="1680"/>
      <c r="BN210" s="1680"/>
      <c r="BO210" s="1680"/>
      <c r="BP210" s="1680"/>
    </row>
    <row r="211" spans="1:69" s="686" customFormat="1" ht="26.25" thickBot="1" x14ac:dyDescent="0.25">
      <c r="A211" s="1712" t="s">
        <v>2621</v>
      </c>
      <c r="B211" s="1791">
        <v>199</v>
      </c>
      <c r="C211" s="1674"/>
      <c r="D211" s="1709"/>
      <c r="E211" s="1057"/>
      <c r="H211" s="1903" t="s">
        <v>13</v>
      </c>
      <c r="I211" s="1651"/>
      <c r="J211" s="1651"/>
      <c r="K211" s="1651"/>
      <c r="L211" s="1909"/>
      <c r="M211" s="1909"/>
      <c r="N211" s="1909"/>
      <c r="O211" s="1909"/>
      <c r="P211" s="1903" t="str">
        <f>P$9</f>
        <v>Pre-1920</v>
      </c>
      <c r="Q211" s="1869"/>
      <c r="R211" s="1903" t="str">
        <f>R$9</f>
        <v>1920-
1929</v>
      </c>
      <c r="S211" s="1869"/>
      <c r="T211" s="1903" t="str">
        <f>T$9</f>
        <v>1930-
1939</v>
      </c>
      <c r="U211" s="1869"/>
      <c r="V211" s="1903" t="str">
        <f>V$9</f>
        <v>1940-
1949</v>
      </c>
      <c r="W211" s="1869"/>
      <c r="X211" s="1903" t="str">
        <f>X$9</f>
        <v>1950-
1959</v>
      </c>
      <c r="Y211" s="1868"/>
      <c r="Z211" s="1903" t="str">
        <f>Z$9</f>
        <v>1960-
1969</v>
      </c>
      <c r="AA211" s="1868"/>
      <c r="AB211" s="1903" t="str">
        <f>AB$9</f>
        <v>1970-
1979</v>
      </c>
      <c r="AC211" s="1868"/>
      <c r="AD211" s="1903" t="str">
        <f>AD$9</f>
        <v>1980-
1989</v>
      </c>
      <c r="AE211" s="1868"/>
      <c r="AF211" s="1903" t="str">
        <f>AF$9</f>
        <v>1990-
1999</v>
      </c>
      <c r="AG211" s="1868"/>
      <c r="AH211" s="1903" t="str">
        <f>AH$9</f>
        <v>2000-
present</v>
      </c>
      <c r="AJ211" s="1676"/>
      <c r="AL211" s="1676"/>
      <c r="AP211" s="1394"/>
      <c r="AU211" s="848"/>
      <c r="AV211" s="848"/>
      <c r="AW211" s="848"/>
      <c r="AX211" s="848"/>
      <c r="AY211" s="759"/>
      <c r="AZ211" s="759"/>
      <c r="BA211" s="848"/>
      <c r="BB211" s="759"/>
      <c r="BC211" s="848"/>
      <c r="BD211" s="848"/>
      <c r="BE211" s="848"/>
      <c r="BF211" s="848"/>
      <c r="BH211" s="1680"/>
      <c r="BI211" s="1680"/>
      <c r="BJ211" s="1680"/>
      <c r="BK211" s="1680"/>
      <c r="BL211" s="1680"/>
      <c r="BM211" s="1680"/>
      <c r="BN211" s="1680"/>
      <c r="BO211" s="1680"/>
      <c r="BP211" s="1680"/>
    </row>
    <row r="212" spans="1:69" s="686" customFormat="1" x14ac:dyDescent="0.2">
      <c r="A212" s="852">
        <f>A207+1</f>
        <v>52</v>
      </c>
      <c r="B212" s="1790">
        <v>200</v>
      </c>
      <c r="C212" s="851" t="str">
        <f>Valid!$B$87</f>
        <v>Substation Building</v>
      </c>
      <c r="D212" s="1709"/>
      <c r="E212" s="1245" t="str">
        <f>IF(AT212="N/A","",IF(AT212="N","No","Yes"))</f>
        <v/>
      </c>
      <c r="H212" s="1864"/>
      <c r="I212" s="1904" t="str">
        <f>IF(AND(C179&lt;&gt;"", H212=""),"Qty? Enter Zero if N/A  ","")</f>
        <v/>
      </c>
      <c r="J212" s="1918"/>
      <c r="K212" s="1651"/>
      <c r="L212" s="1864"/>
      <c r="M212" s="1870" t="str">
        <f>IF($H212=0,"",IF($L212="",TEXT(BN212,0)&amp;" Years?    ",""))</f>
        <v/>
      </c>
      <c r="N212" s="1905"/>
      <c r="O212" s="1870"/>
      <c r="P212" s="1864"/>
      <c r="Q212" s="1865" t="str">
        <f>IF(OR($N212="", AND($N212="",OR($H212="",$H212=0))),"",IF(AND($N212="Quantity",$AJ212&lt;$H212),"0 - "&amp;TEXT($H212-$AJ212,"0")&amp;" buildings?    ",IF(AND($N212="%",$AJ212&lt;1),REPLACE(IF(AND($P212&gt;0,$V212&gt;0,$T212&gt;0,$X212&gt;0,$R212&gt;0,$Z212&gt;0,$AB212&gt;0,$AD212&gt;0,$AF212&gt;0,$AH212&gt;0),"","0-"),99,0,REPLACE(TEXT(100-$AJ212,0),99,0,"?    ")),"")))</f>
        <v/>
      </c>
      <c r="R212" s="1864"/>
      <c r="S212" s="1865" t="str">
        <f>IF(OR($N212="", AND($N212="",OR($H212="",$H212=0))),"",IF(AND($N212="Quantity",$AJ212&lt;$H212),"0 - "&amp;TEXT($H212-$AJ212,"0")&amp;" buildings?    ",IF(AND($N212="%",$AJ212&lt;1),REPLACE(IF(AND($P212&gt;0,$V212&gt;0,$T212&gt;0,$X212&gt;0,$R212&gt;0,$Z212&gt;0,$AB212&gt;0,$AD212&gt;0,$AF212&gt;0,$AH212&gt;0),"","0-"),99,0,REPLACE(TEXT(100-$AJ212,0),99,0,"?    ")),"")))</f>
        <v/>
      </c>
      <c r="T212" s="1864"/>
      <c r="U212" s="1865" t="str">
        <f>IF(OR($N212="", AND($N212="",OR($H212="",$H212=0))),"",IF(AND($N212="Quantity",$AJ212&lt;$H212),"0 - "&amp;TEXT($H212-$AJ212,"0")&amp;" buildings?    ",IF(AND($N212="%",$AJ212&lt;1),REPLACE(IF(AND($P212&gt;0,$V212&gt;0,$T212&gt;0,$X212&gt;0,$R212&gt;0,$Z212&gt;0,$AB212&gt;0,$AD212&gt;0,$AF212&gt;0,$AH212&gt;0),"","0-"),99,0,REPLACE(TEXT(100-$AJ212,0),99,0,"?    ")),"")))</f>
        <v/>
      </c>
      <c r="V212" s="1864"/>
      <c r="W212" s="1865" t="str">
        <f>IF(OR($N212="", AND($N212="",OR($H212="",$H212=0))),"",IF(AND($N212="Quantity",$AJ212&lt;$H212),"0 - "&amp;TEXT($H212-$AJ212,"0")&amp;" buildings?    ",IF(AND($N212="%",$AJ212&lt;1),REPLACE(IF(AND($P212&gt;0,$V212&gt;0,$T212&gt;0,$X212&gt;0,$R212&gt;0,$Z212&gt;0,$AB212&gt;0,$AD212&gt;0,$AF212&gt;0,$AH212&gt;0),"","0-"),99,0,REPLACE(TEXT(100-$AJ212,0),99,0,"?    ")),"")))</f>
        <v/>
      </c>
      <c r="X212" s="1864"/>
      <c r="Y212" s="1865" t="str">
        <f>IF(OR($N212="", AND($N212="",OR($H212="",$H212=0))),"",IF(AND($N212="Quantity",$AJ212&lt;$H212),"0 - "&amp;TEXT($H212-$AJ212,"0")&amp;" buildings?    ",IF(AND($N212="%",$AJ212&lt;1),REPLACE(IF(AND($P212&gt;0,$V212&gt;0,$T212&gt;0,$X212&gt;0,$R212&gt;0,$Z212&gt;0,$AB212&gt;0,$AD212&gt;0,$AF212&gt;0,$AH212&gt;0),"","0-"),99,0,REPLACE(TEXT(100-$AJ212,0),99,0,"?    ")),"")))</f>
        <v/>
      </c>
      <c r="Z212" s="1864"/>
      <c r="AA212" s="1865" t="str">
        <f>IF(OR($N212="", AND($N212="",OR($H212="",$H212=0))),"",IF(AND($N212="Quantity",$AJ212&lt;$H212),"0 - "&amp;TEXT($H212-$AJ212,"0")&amp;" buildings?    ",IF(AND($N212="%",$AJ212&lt;1),REPLACE(IF(AND($P212&gt;0,$V212&gt;0,$T212&gt;0,$X212&gt;0,$R212&gt;0,$Z212&gt;0,$AB212&gt;0,$AD212&gt;0,$AF212&gt;0,$AH212&gt;0),"","0-"),99,0,REPLACE(TEXT(100-$AJ212,0),99,0,"?    ")),"")))</f>
        <v/>
      </c>
      <c r="AB212" s="1864"/>
      <c r="AC212" s="1865" t="str">
        <f>IF(OR($N212="", AND($N212="",OR($H212="",$H212=0))),"",IF(AND($N212="Quantity",$AJ212&lt;$H212),"0 - "&amp;TEXT($H212-$AJ212,"0")&amp;" buildings?    ",IF(AND($N212="%",$AJ212&lt;1),REPLACE(IF(AND($P212&gt;0,$V212&gt;0,$T212&gt;0,$X212&gt;0,$R212&gt;0,$Z212&gt;0,$AB212&gt;0,$AD212&gt;0,$AF212&gt;0,$AH212&gt;0),"","0-"),99,0,REPLACE(TEXT(100-$AJ212,0),99,0,"?    ")),"")))</f>
        <v/>
      </c>
      <c r="AD212" s="1864"/>
      <c r="AE212" s="1865" t="str">
        <f>IF(OR($N212="", AND($N212="",OR($H212="",$H212=0))),"",IF(AND($N212="Quantity",$AJ212&lt;$H212),"0 - "&amp;TEXT($H212-$AJ212,"0")&amp;" buildings?    ",IF(AND($N212="%",$AJ212&lt;1),REPLACE(IF(AND($P212&gt;0,$V212&gt;0,$T212&gt;0,$X212&gt;0,$R212&gt;0,$Z212&gt;0,$AB212&gt;0,$AD212&gt;0,$AF212&gt;0,$AH212&gt;0),"","0-"),99,0,REPLACE(TEXT(100-$AJ212,0),99,0,"?    ")),"")))</f>
        <v/>
      </c>
      <c r="AF212" s="1864"/>
      <c r="AG212" s="1865" t="str">
        <f>IF(OR($N212="", AND($N212="",OR($H212="",$H212=0))),"",IF(AND($N212="Quantity",$AJ212&lt;$H212),"0 - "&amp;TEXT($H212-$AJ212,"0")&amp;" buildings?    ",IF(AND($N212="%",$AJ212&lt;1),REPLACE(IF(AND($P212&gt;0,$V212&gt;0,$T212&gt;0,$X212&gt;0,$R212&gt;0,$Z212&gt;0,$AB212&gt;0,$AD212&gt;0,$AF212&gt;0,$AH212&gt;0),"","0-"),99,0,REPLACE(TEXT(100-$AJ212,0),99,0,"?    ")),"")))</f>
        <v/>
      </c>
      <c r="AH212" s="1864"/>
      <c r="AI212" s="1865" t="str">
        <f>IF(OR($N212="", AND($N212="",OR($H212="",$H212=0))),"",IF(AND($N212="Quantity",$AJ212&lt;$H212),"0 - "&amp;TEXT($H212-$AJ212,"0")&amp;" buildings?    ",IF(AND($N212="%",$AJ212&lt;1),REPLACE(IF(AND($P212&gt;0,$V212&gt;0,$T212&gt;0,$X212&gt;0,$R212&gt;0,$Z212&gt;0,$AB212&gt;0,$AD212&gt;0,$AF212&gt;0,$AH212&gt;0),"","0-"),99,0,REPLACE(TEXT(100-$AJ212,0),99,0,"?    ")),"")))</f>
        <v/>
      </c>
      <c r="AJ212" s="1833">
        <f>IFERROR(IF(N212="%", SUM(P212,R212,T212,V212,X212,Z212,AB212,AD212,AF212,AH212)/100, SUM(P212,R212,T212,V212,X212,Z212,AB212,AD212,AF212,AH212)/H212), 0)</f>
        <v>0</v>
      </c>
      <c r="AL212" s="1832"/>
      <c r="AN212" s="1276"/>
      <c r="AP212" s="1653"/>
      <c r="AT212" s="1624" t="str">
        <f>IF(AND($C$179="", H212=""), "N/A", IF(OR(AND(ISNUMBER(H212), H212=0), AND(AJ212=1, H212&lt;&gt;"", L212&lt;&gt;"", N212&lt;&gt;"", P212&lt;&gt;"", R212&lt;&gt;"", T212&lt;&gt;"", V212&lt;&gt;"", X212&lt;&gt;"", Z212&lt;&gt;"", AB212&lt;&gt;"", AD212&lt;&gt;"", AF212&lt;&gt;"", AH212&lt;&gt;"",AL212&lt;&gt;"", IF(AND(AL212&lt;1, AN212=""), FALSE, TRUE))), "Yes", "No"))</f>
        <v>N/A</v>
      </c>
      <c r="AU212" s="759" t="b">
        <f>IF(AND(H212="",OR(L212&lt;&gt;"",P212&lt;&gt;"",R212&lt;&gt;"",T212&lt;&gt;"",V212&lt;&gt;"",X212&lt;&gt;"",AL212&lt;&gt;"",Z212&lt;&gt;"",AB212&lt;&gt;"",AD212&lt;&gt;"",AF212&lt;&gt;"",AH212&lt;&gt;"")),TRUE,FALSE)</f>
        <v>0</v>
      </c>
      <c r="AV212" s="759" t="b">
        <f>IF(OR(H212="",H212=0),FALSE,IF(H212&gt;BM212,TRUE,FALSE))</f>
        <v>0</v>
      </c>
      <c r="AW212" s="759" t="b">
        <f>IF(AND($C$179&lt;&gt;"",$H212=""),TRUE,FALSE)</f>
        <v>0</v>
      </c>
      <c r="AX212" s="759"/>
      <c r="AY212" s="759" t="b">
        <f>IF($L212="",FALSE,IF($L212&lt;$BO212,TRUE,FALSE))</f>
        <v>0</v>
      </c>
      <c r="AZ212" s="759" t="b">
        <f>IF($L212="",FALSE,IF($L212&gt;$BP212,TRUE,FALSE))</f>
        <v>0</v>
      </c>
      <c r="BA212" s="759" t="b">
        <f>IF(H212=0,FALSE,IF(AND(E212&lt;&gt;"",$L212=""),TRUE,FALSE))</f>
        <v>0</v>
      </c>
      <c r="BB212" s="759" t="b">
        <f>IF(AND($AJ212&lt;&gt;0,$H212&lt;$AJ212,$N212="LF"),TRUE,IF(AND($N212="LF",H212&lt;&gt;"",H212=AJ212),FALSE,IF(AND($AJ212&lt;&gt;0,$AJ212&gt;"100%",$N212="%"),TRUE,FALSE)))</f>
        <v>0</v>
      </c>
      <c r="BC212" s="759" t="b">
        <f>IF(AT212="No", IF(OR(P212="", R212="", T212="", V212="", X212="", Z212="", AB212="", AD212="", AF212="", AH212=""), TRUE, FALSE), FALSE)</f>
        <v>0</v>
      </c>
      <c r="BD212" s="759" t="b">
        <f>IF($BE212=TRUE,FALSE,IF(OR($AL212&lt;0,$AL212&gt;1),TRUE,FALSE))</f>
        <v>0</v>
      </c>
      <c r="BE212" s="759" t="b">
        <f>IF(AND($H212&lt;&gt;0,$AL212=""),TRUE,FALSE)</f>
        <v>0</v>
      </c>
      <c r="BF212" s="759"/>
      <c r="BH212" s="1678"/>
      <c r="BI212" s="1678" t="str">
        <f>IF(N212="", "", IF(N212="Quantity", H212, IF(N212="%", 1, "")))</f>
        <v/>
      </c>
      <c r="BJ212" s="1679">
        <f>P212+R212+T212+V212+X212+Z212+AB212+AD212+AF212+AH212</f>
        <v>0</v>
      </c>
      <c r="BK212" s="1679" t="str">
        <f>IF(BI212="", "", BI212-BJ212)</f>
        <v/>
      </c>
      <c r="BL212" s="1678">
        <f>IF($C212="","",VLOOKUP($C212,Valid!$B$87:$F$96,3,FALSE))</f>
        <v>0</v>
      </c>
      <c r="BM212" s="1678">
        <f>IF($C212="","",VLOOKUP($C212,Valid!$B$87:$F$96,4,FALSE))</f>
        <v>35</v>
      </c>
      <c r="BN212" s="1678">
        <f>IF($C212="","",VLOOKUP($C212,Valid!$B$87:$F$96,5,FALSE))</f>
        <v>100</v>
      </c>
      <c r="BO212" s="1678">
        <f>IF($C212="","",VLOOKUP($C212,Valid!$B$87:$G$96,6,FALSE))</f>
        <v>75</v>
      </c>
      <c r="BP212" s="1678">
        <f>IF($C212="","",VLOOKUP($C212,Valid!$B$87:$Z$96,7,FALSE))</f>
        <v>125</v>
      </c>
    </row>
    <row r="213" spans="1:69" s="686" customFormat="1" ht="3.95" customHeight="1" x14ac:dyDescent="0.2">
      <c r="B213" s="1790">
        <v>201</v>
      </c>
      <c r="C213" s="1674"/>
      <c r="D213" s="1709"/>
      <c r="E213" s="1057"/>
      <c r="H213" s="1917"/>
      <c r="I213" s="1651"/>
      <c r="J213" s="1651"/>
      <c r="K213" s="1651"/>
      <c r="L213" s="1917"/>
      <c r="M213" s="1651"/>
      <c r="N213" s="1651"/>
      <c r="O213" s="1651"/>
      <c r="P213" s="1866"/>
      <c r="Q213" s="1867"/>
      <c r="R213" s="1866"/>
      <c r="S213" s="1867"/>
      <c r="T213" s="1866"/>
      <c r="U213" s="1867"/>
      <c r="V213" s="1866"/>
      <c r="W213" s="1867"/>
      <c r="X213" s="1866"/>
      <c r="Y213" s="1867"/>
      <c r="Z213" s="1867"/>
      <c r="AA213" s="1867"/>
      <c r="AB213" s="1867"/>
      <c r="AC213" s="1867"/>
      <c r="AD213" s="1867"/>
      <c r="AE213" s="1867"/>
      <c r="AF213" s="1867"/>
      <c r="AG213" s="1867"/>
      <c r="AH213" s="1867"/>
      <c r="AJ213" s="1676"/>
      <c r="AL213" s="1676"/>
      <c r="AP213" s="1394"/>
      <c r="AU213" s="848"/>
      <c r="AV213" s="848"/>
      <c r="AW213" s="848"/>
      <c r="AX213" s="848"/>
      <c r="AY213" s="759"/>
      <c r="AZ213" s="759"/>
      <c r="BA213" s="848"/>
      <c r="BB213" s="759"/>
      <c r="BC213" s="848"/>
      <c r="BD213" s="848"/>
      <c r="BE213" s="848"/>
      <c r="BF213" s="848"/>
      <c r="BH213" s="1680"/>
      <c r="BI213" s="1680"/>
      <c r="BJ213" s="1680"/>
      <c r="BK213" s="1680"/>
      <c r="BL213" s="1680"/>
      <c r="BM213" s="1680"/>
      <c r="BN213" s="1680"/>
      <c r="BO213" s="1680"/>
      <c r="BP213" s="1680"/>
    </row>
    <row r="214" spans="1:69" s="686" customFormat="1" ht="3.95" customHeight="1" thickBot="1" x14ac:dyDescent="0.25">
      <c r="B214" s="1791">
        <v>202</v>
      </c>
      <c r="C214" s="1674"/>
      <c r="D214" s="1709"/>
      <c r="E214" s="1057"/>
      <c r="H214" s="1917"/>
      <c r="I214" s="1651"/>
      <c r="J214" s="1651"/>
      <c r="K214" s="1651"/>
      <c r="L214" s="1917"/>
      <c r="M214" s="1651"/>
      <c r="N214" s="1651"/>
      <c r="O214" s="1651"/>
      <c r="P214" s="1868"/>
      <c r="Q214" s="1869"/>
      <c r="R214" s="1868"/>
      <c r="S214" s="1869"/>
      <c r="T214" s="1868"/>
      <c r="U214" s="1869"/>
      <c r="V214" s="1868"/>
      <c r="W214" s="1869"/>
      <c r="X214" s="1868"/>
      <c r="Y214" s="1869"/>
      <c r="Z214" s="1869"/>
      <c r="AA214" s="1869"/>
      <c r="AB214" s="1869"/>
      <c r="AC214" s="1869"/>
      <c r="AD214" s="1869"/>
      <c r="AE214" s="1869"/>
      <c r="AF214" s="1869"/>
      <c r="AG214" s="1869"/>
      <c r="AH214" s="1869"/>
      <c r="AJ214" s="1676"/>
      <c r="AL214" s="1676"/>
      <c r="AP214" s="1394"/>
      <c r="AU214" s="848"/>
      <c r="AV214" s="848"/>
      <c r="AW214" s="848"/>
      <c r="AX214" s="848"/>
      <c r="AY214" s="759"/>
      <c r="AZ214" s="759"/>
      <c r="BA214" s="848"/>
      <c r="BB214" s="759"/>
      <c r="BC214" s="848"/>
      <c r="BD214" s="848"/>
      <c r="BE214" s="848"/>
      <c r="BF214" s="848"/>
      <c r="BH214" s="1680"/>
      <c r="BI214" s="1680"/>
      <c r="BJ214" s="1680"/>
      <c r="BK214" s="1680"/>
      <c r="BL214" s="1680"/>
      <c r="BM214" s="1680"/>
      <c r="BN214" s="1680"/>
      <c r="BO214" s="1680"/>
      <c r="BP214" s="1680"/>
    </row>
    <row r="215" spans="1:69" s="686" customFormat="1" x14ac:dyDescent="0.2">
      <c r="A215" s="852">
        <f>A212+1</f>
        <v>53</v>
      </c>
      <c r="B215" s="1791">
        <v>203</v>
      </c>
      <c r="C215" s="851" t="str">
        <f>Valid!$B$88</f>
        <v>Substation Equipment</v>
      </c>
      <c r="D215" s="1709"/>
      <c r="E215" s="1245" t="str">
        <f>IF(AT215="N/A","",IF(AT215="N","No","Yes"))</f>
        <v/>
      </c>
      <c r="H215" s="1917"/>
      <c r="I215" s="1904"/>
      <c r="J215" s="1919"/>
      <c r="K215" s="1651"/>
      <c r="L215" s="1864"/>
      <c r="M215" s="1920" t="str">
        <f>IF(AND(H212&lt;&gt;"", L215=""),REPLACE(TEXT(BN215,0),99,0," Yrs.?    "),"")</f>
        <v/>
      </c>
      <c r="N215" s="1921"/>
      <c r="O215" s="1870"/>
      <c r="P215" s="1864"/>
      <c r="Q215" s="1865" t="str">
        <f>IF(OR($N215="", AND($N215="",OR($H215="",$H215=0))),"",IF(AND($N215="Quantity",$AJ215&lt;$H215),"0 - "&amp;TEXT($H215-$AJ215,"0")&amp;" buildings?    ",IF(AND($N215="%",$AJ215&lt;1),REPLACE(IF(AND($P215&gt;0,$V215&gt;0,$T215&gt;0,$X215&gt;0,$R215&gt;0,$Z215&gt;0,$AB215&gt;0,$AD215&gt;0,$AF215&gt;0,$AH215&gt;0),"","0-"),99,0,REPLACE(TEXT(100-$AJ215,0),99,0,"?    ")),"")))</f>
        <v/>
      </c>
      <c r="R215" s="1864"/>
      <c r="S215" s="1865" t="str">
        <f>IF(OR($N215="", AND($N215="",OR($H215="",$H215=0))),"",IF(AND($N215="Quantity",$AJ215&lt;$H215),"0 - "&amp;TEXT($H215-$AJ215,"0")&amp;" buildings?    ",IF(AND($N215="%",$AJ215&lt;1),REPLACE(IF(AND($P215&gt;0,$V215&gt;0,$T215&gt;0,$X215&gt;0,$R215&gt;0,$Z215&gt;0,$AB215&gt;0,$AD215&gt;0,$AF215&gt;0,$AH215&gt;0),"","0-"),99,0,REPLACE(TEXT(100-$AJ215,0),99,0,"?    ")),"")))</f>
        <v/>
      </c>
      <c r="T215" s="1864"/>
      <c r="U215" s="1865" t="str">
        <f>IF(OR($N215="", AND($N215="",OR($H215="",$H215=0))),"",IF(AND($N215="Quantity",$AJ215&lt;$H215),"0 - "&amp;TEXT($H215-$AJ215,"0")&amp;" buildings?    ",IF(AND($N215="%",$AJ215&lt;1),REPLACE(IF(AND($P215&gt;0,$V215&gt;0,$T215&gt;0,$X215&gt;0,$R215&gt;0,$Z215&gt;0,$AB215&gt;0,$AD215&gt;0,$AF215&gt;0,$AH215&gt;0),"","0-"),99,0,REPLACE(TEXT(100-$AJ215,0),99,0,"?    ")),"")))</f>
        <v/>
      </c>
      <c r="V215" s="1864"/>
      <c r="W215" s="1865" t="str">
        <f>IF(OR($N215="", AND($N215="",OR($H215="",$H215=0))),"",IF(AND($N215="Quantity",$AJ215&lt;$H215),"0 - "&amp;TEXT($H215-$AJ215,"0")&amp;" buildings?    ",IF(AND($N215="%",$AJ215&lt;1),REPLACE(IF(AND($P215&gt;0,$V215&gt;0,$T215&gt;0,$X215&gt;0,$R215&gt;0,$Z215&gt;0,$AB215&gt;0,$AD215&gt;0,$AF215&gt;0,$AH215&gt;0),"","0-"),99,0,REPLACE(TEXT(100-$AJ215,0),99,0,"?    ")),"")))</f>
        <v/>
      </c>
      <c r="X215" s="1864"/>
      <c r="Y215" s="1865" t="str">
        <f>IF(OR($N215="", AND($N215="",OR($H215="",$H215=0))),"",IF(AND($N215="Quantity",$AJ215&lt;$H215),"0 - "&amp;TEXT($H215-$AJ215,"0")&amp;" buildings?    ",IF(AND($N215="%",$AJ215&lt;1),REPLACE(IF(AND($P215&gt;0,$V215&gt;0,$T215&gt;0,$X215&gt;0,$R215&gt;0,$Z215&gt;0,$AB215&gt;0,$AD215&gt;0,$AF215&gt;0,$AH215&gt;0),"","0-"),99,0,REPLACE(TEXT(100-$AJ215,0),99,0,"?    ")),"")))</f>
        <v/>
      </c>
      <c r="Z215" s="1864"/>
      <c r="AA215" s="1865" t="str">
        <f>IF(OR($N215="", AND($N215="",OR($H215="",$H215=0))),"",IF(AND($N215="Quantity",$AJ215&lt;$H215),"0 - "&amp;TEXT($H215-$AJ215,"0")&amp;" buildings?    ",IF(AND($N215="%",$AJ215&lt;1),REPLACE(IF(AND($P215&gt;0,$V215&gt;0,$T215&gt;0,$X215&gt;0,$R215&gt;0,$Z215&gt;0,$AB215&gt;0,$AD215&gt;0,$AF215&gt;0,$AH215&gt;0),"","0-"),99,0,REPLACE(TEXT(100-$AJ215,0),99,0,"?    ")),"")))</f>
        <v/>
      </c>
      <c r="AB215" s="1864"/>
      <c r="AC215" s="1865" t="str">
        <f>IF(OR($N215="", AND($N215="",OR($H215="",$H215=0))),"",IF(AND($N215="Quantity",$AJ215&lt;$H215),"0 - "&amp;TEXT($H215-$AJ215,"0")&amp;" buildings?    ",IF(AND($N215="%",$AJ215&lt;1),REPLACE(IF(AND($P215&gt;0,$V215&gt;0,$T215&gt;0,$X215&gt;0,$R215&gt;0,$Z215&gt;0,$AB215&gt;0,$AD215&gt;0,$AF215&gt;0,$AH215&gt;0),"","0-"),99,0,REPLACE(TEXT(100-$AJ215,0),99,0,"?    ")),"")))</f>
        <v/>
      </c>
      <c r="AD215" s="1864"/>
      <c r="AE215" s="1865" t="str">
        <f>IF(OR($N215="", AND($N215="",OR($H215="",$H215=0))),"",IF(AND($N215="Quantity",$AJ215&lt;$H215),"0 - "&amp;TEXT($H215-$AJ215,"0")&amp;" buildings?    ",IF(AND($N215="%",$AJ215&lt;1),REPLACE(IF(AND($P215&gt;0,$V215&gt;0,$T215&gt;0,$X215&gt;0,$R215&gt;0,$Z215&gt;0,$AB215&gt;0,$AD215&gt;0,$AF215&gt;0,$AH215&gt;0),"","0-"),99,0,REPLACE(TEXT(100-$AJ215,0),99,0,"?    ")),"")))</f>
        <v/>
      </c>
      <c r="AF215" s="1864"/>
      <c r="AG215" s="1865" t="str">
        <f>IF(OR($N215="", AND($N215="",OR($H215="",$H215=0))),"",IF(AND($N215="Quantity",$AJ215&lt;$H215),"0 - "&amp;TEXT($H215-$AJ215,"0")&amp;" buildings?    ",IF(AND($N215="%",$AJ215&lt;1),REPLACE(IF(AND($P215&gt;0,$V215&gt;0,$T215&gt;0,$X215&gt;0,$R215&gt;0,$Z215&gt;0,$AB215&gt;0,$AD215&gt;0,$AF215&gt;0,$AH215&gt;0),"","0-"),99,0,REPLACE(TEXT(100-$AJ215,0),99,0,"?    ")),"")))</f>
        <v/>
      </c>
      <c r="AH215" s="1864"/>
      <c r="AI215" s="1865" t="str">
        <f>IF(OR($N215="", AND($N215="",OR($H215="",$H215=0))),"",IF(AND($N215="Quantity",$AJ215&lt;$H215),"0 - "&amp;TEXT($H215-$AJ215,"0")&amp;" buildings?    ",IF(AND($N215="%",$AJ215&lt;1),REPLACE(IF(AND($P215&gt;0,$V215&gt;0,$T215&gt;0,$X215&gt;0,$R215&gt;0,$Z215&gt;0,$AB215&gt;0,$AD215&gt;0,$AF215&gt;0,$AH215&gt;0),"","0-"),99,0,REPLACE(TEXT(100-$AJ215,0),99,0,"?    ")),"")))</f>
        <v/>
      </c>
      <c r="AJ215" s="1833">
        <f>IFERROR(IF(N215="%", SUM(P215,R215,T215,V215,X215,Z215,AB215,AD215,AF215,AH215)/100, SUM(P215,R215,T215,V215,X215,Z215,AB215,AD215,AF215,AH215)/H215), 0)</f>
        <v>0</v>
      </c>
      <c r="AL215" s="1832"/>
      <c r="AN215" s="1276"/>
      <c r="AP215" s="1653"/>
      <c r="AT215" s="1624" t="str">
        <f>IF(AND($C$179="", L215=""), "N/A", IF(AND(AJ215=1, L215&lt;&gt;"", N215&lt;&gt;"", P215&lt;&gt;"", R215&lt;&gt;"", T215&lt;&gt;"", V215&lt;&gt;"", X215&lt;&gt;"", Z215&lt;&gt;"", AB215&lt;&gt;"", AD215&lt;&gt;"", AF215&lt;&gt;"", AH215&lt;&gt;"",AL215&lt;&gt;"", IF(AND(AL215&lt;1, AN215=""), FALSE, TRUE)), "Yes", "No"))</f>
        <v>N/A</v>
      </c>
      <c r="AU215" s="759"/>
      <c r="AV215" s="759"/>
      <c r="AW215" s="759"/>
      <c r="AX215" s="759"/>
      <c r="AY215" s="759" t="b">
        <f>IF($L215="",FALSE,IF($L215&lt;$BO215,TRUE,FALSE))</f>
        <v>0</v>
      </c>
      <c r="AZ215" s="759" t="b">
        <f>IF($L215="",FALSE,IF($L215&gt;$BP215,TRUE,FALSE))</f>
        <v>0</v>
      </c>
      <c r="BA215" s="759" t="b">
        <f>IF(AND(E215&lt;&gt;"",$L215=""),TRUE,FALSE)</f>
        <v>0</v>
      </c>
      <c r="BB215" s="759" t="b">
        <f>IF(AND($AJ215&lt;&gt;0,$H215&lt;$AJ215,$N215="LF"),TRUE,IF(AND($N215="LF",H215&lt;&gt;"",H215=AJ215),FALSE,IF(AND($AJ215&lt;&gt;0,$AJ215&gt;"100%",$N215="%"),TRUE,FALSE)))</f>
        <v>0</v>
      </c>
      <c r="BC215" s="759" t="b">
        <f>IF(AT215="No", IF(OR(P215="", R215="", T215="", V215="", X215="", Z215="", AB215="", AD215="", AF215="", AH215=""), TRUE, FALSE), FALSE)</f>
        <v>0</v>
      </c>
      <c r="BD215" s="759" t="b">
        <f>IF($BE215=TRUE,FALSE,IF(OR($AL215&lt;0,$AL215&gt;1),TRUE,FALSE))</f>
        <v>0</v>
      </c>
      <c r="BE215" s="759" t="b">
        <f>IF(AND($E215&lt;&gt;"",$AL215=""),TRUE,FALSE)</f>
        <v>0</v>
      </c>
      <c r="BF215" s="759"/>
      <c r="BH215" s="1680"/>
      <c r="BI215" s="1678" t="str">
        <f>IF(N215="", "", IF(N215="Quantity", H215, IF(N215="%", 1, "")))</f>
        <v/>
      </c>
      <c r="BJ215" s="1679">
        <f>P215+R215+T215+V215+X215+Z215+AB215+AD215+AF215+AH215</f>
        <v>0</v>
      </c>
      <c r="BK215" s="1679" t="str">
        <f>IF(BI215="", "", BI215-BJ215)</f>
        <v/>
      </c>
      <c r="BL215" s="1680"/>
      <c r="BM215" s="1680"/>
      <c r="BN215" s="1678">
        <f>IF($C215="","",VLOOKUP($C215,Valid!$B$87:$F$96,5,FALSE))</f>
        <v>25</v>
      </c>
      <c r="BO215" s="1678">
        <f>IF($C215="","",VLOOKUP($C215,Valid!$B$87:$G$96,6,FALSE))</f>
        <v>19</v>
      </c>
      <c r="BP215" s="1678">
        <f>IF($C215="","",VLOOKUP($C215,Valid!$B$87:$Z$96,7,FALSE))</f>
        <v>31</v>
      </c>
    </row>
    <row r="216" spans="1:69" s="686" customFormat="1" ht="3.95" customHeight="1" x14ac:dyDescent="0.2">
      <c r="B216" s="1791">
        <v>204</v>
      </c>
      <c r="C216" s="1674"/>
      <c r="D216" s="1709"/>
      <c r="E216" s="1057"/>
      <c r="H216" s="1917"/>
      <c r="I216" s="1651"/>
      <c r="J216" s="1651"/>
      <c r="K216" s="1651"/>
      <c r="L216" s="1917"/>
      <c r="M216" s="1651"/>
      <c r="N216" s="1651"/>
      <c r="O216" s="1651"/>
      <c r="P216" s="1866"/>
      <c r="Q216" s="1867"/>
      <c r="R216" s="1866"/>
      <c r="S216" s="1867"/>
      <c r="T216" s="1866"/>
      <c r="U216" s="1867"/>
      <c r="V216" s="1866"/>
      <c r="W216" s="1867"/>
      <c r="X216" s="1866"/>
      <c r="Y216" s="1867"/>
      <c r="Z216" s="1867"/>
      <c r="AA216" s="1867"/>
      <c r="AB216" s="1867"/>
      <c r="AC216" s="1867"/>
      <c r="AD216" s="1867"/>
      <c r="AE216" s="1867"/>
      <c r="AF216" s="1867"/>
      <c r="AG216" s="1867"/>
      <c r="AH216" s="1867"/>
      <c r="AJ216" s="1676"/>
      <c r="AL216" s="1676"/>
      <c r="AP216" s="1394"/>
      <c r="AU216" s="848"/>
      <c r="AV216" s="848"/>
      <c r="AW216" s="848"/>
      <c r="AX216" s="848"/>
      <c r="AY216" s="759"/>
      <c r="AZ216" s="759"/>
      <c r="BA216" s="848"/>
      <c r="BB216" s="759"/>
      <c r="BC216" s="848"/>
      <c r="BD216" s="848"/>
      <c r="BE216" s="848"/>
      <c r="BF216" s="848"/>
      <c r="BH216" s="1680"/>
      <c r="BI216" s="1680"/>
      <c r="BJ216" s="1680"/>
      <c r="BK216" s="1680"/>
      <c r="BL216" s="1680"/>
      <c r="BM216" s="1680"/>
      <c r="BN216" s="1680"/>
      <c r="BO216" s="1680"/>
      <c r="BP216" s="1680"/>
    </row>
    <row r="217" spans="1:69" s="686" customFormat="1" ht="3.95" customHeight="1" thickBot="1" x14ac:dyDescent="0.25">
      <c r="B217" s="1790">
        <v>205</v>
      </c>
      <c r="C217" s="1674"/>
      <c r="D217" s="1709"/>
      <c r="E217" s="1057"/>
      <c r="H217" s="1917"/>
      <c r="I217" s="1651"/>
      <c r="J217" s="1651"/>
      <c r="K217" s="1651"/>
      <c r="L217" s="1917"/>
      <c r="M217" s="1651"/>
      <c r="N217" s="1651"/>
      <c r="O217" s="1651"/>
      <c r="P217" s="1868"/>
      <c r="Q217" s="1869"/>
      <c r="R217" s="1868"/>
      <c r="S217" s="1869"/>
      <c r="T217" s="1868"/>
      <c r="U217" s="1869"/>
      <c r="V217" s="1868"/>
      <c r="W217" s="1869"/>
      <c r="X217" s="1868"/>
      <c r="Y217" s="1869"/>
      <c r="Z217" s="1869"/>
      <c r="AA217" s="1869"/>
      <c r="AB217" s="1869"/>
      <c r="AC217" s="1869"/>
      <c r="AD217" s="1869"/>
      <c r="AE217" s="1869"/>
      <c r="AF217" s="1869"/>
      <c r="AG217" s="1869"/>
      <c r="AH217" s="1869"/>
      <c r="AI217" s="1670"/>
      <c r="AJ217" s="1676"/>
      <c r="AL217" s="1676"/>
      <c r="AP217" s="1394"/>
      <c r="AU217" s="848"/>
      <c r="AV217" s="848"/>
      <c r="AW217" s="848"/>
      <c r="AX217" s="848"/>
      <c r="AY217" s="759"/>
      <c r="AZ217" s="759"/>
      <c r="BA217" s="848"/>
      <c r="BB217" s="759"/>
      <c r="BC217" s="848"/>
      <c r="BD217" s="848"/>
      <c r="BE217" s="848"/>
      <c r="BF217" s="848"/>
      <c r="BH217" s="1680"/>
      <c r="BI217" s="1680"/>
      <c r="BJ217" s="1680"/>
      <c r="BK217" s="1680"/>
      <c r="BL217" s="1680"/>
      <c r="BM217" s="1680"/>
      <c r="BN217" s="1680"/>
      <c r="BO217" s="1680"/>
      <c r="BP217" s="1680"/>
    </row>
    <row r="218" spans="1:69" s="686" customFormat="1" x14ac:dyDescent="0.2">
      <c r="A218" s="852">
        <f>A215+1</f>
        <v>54</v>
      </c>
      <c r="B218" s="1790">
        <v>206</v>
      </c>
      <c r="C218" s="851" t="str">
        <f>Valid!$B$89</f>
        <v>Third Rail/Power Distribution</v>
      </c>
      <c r="D218" s="1709"/>
      <c r="E218" s="1245" t="str">
        <f>IF(AT218="N/A","",IF(AT218="N","No","Yes"))</f>
        <v/>
      </c>
      <c r="H218" s="1917"/>
      <c r="I218" s="1904"/>
      <c r="J218" s="1651"/>
      <c r="K218" s="1651"/>
      <c r="L218" s="1864"/>
      <c r="M218" s="1920" t="str">
        <f>IF(AND(H212&lt;&gt;"", L218=""),REPLACE(TEXT(BN218,0),99,0," Yrs.?    "),"")</f>
        <v/>
      </c>
      <c r="N218" s="1921"/>
      <c r="O218" s="1870"/>
      <c r="P218" s="1864"/>
      <c r="Q218" s="1865" t="str">
        <f>IF(OR($N218="", AND($N218="",OR($H218="",$H218=0))),"",IF(AND($N218="Quantity",$AJ218&lt;$H218),"0 - "&amp;TEXT($H218-$AJ218,"0")&amp;" buildings?    ",IF(AND($N218="%",$AJ218&lt;1),REPLACE(IF(AND($P218&gt;0,$V218&gt;0,$T218&gt;0,$X218&gt;0,$R218&gt;0,$Z218&gt;0,$AB218&gt;0,$AD218&gt;0,$AF218&gt;0,$AH218&gt;0),"","0-"),99,0,REPLACE(TEXT(100-$AJ218,0),99,0,"?    ")),"")))</f>
        <v/>
      </c>
      <c r="R218" s="1864"/>
      <c r="S218" s="1865" t="str">
        <f>IF(OR($N218="", AND($N218="",OR($H218="",$H218=0))),"",IF(AND($N218="Quantity",$AJ218&lt;$H218),"0 - "&amp;TEXT($H218-$AJ218,"0")&amp;" buildings?    ",IF(AND($N218="%",$AJ218&lt;1),REPLACE(IF(AND($P218&gt;0,$V218&gt;0,$T218&gt;0,$X218&gt;0,$R218&gt;0,$Z218&gt;0,$AB218&gt;0,$AD218&gt;0,$AF218&gt;0,$AH218&gt;0),"","0-"),99,0,REPLACE(TEXT(100-$AJ218,0),99,0,"?    ")),"")))</f>
        <v/>
      </c>
      <c r="T218" s="1864"/>
      <c r="U218" s="1865" t="str">
        <f>IF(OR($N218="", AND($N218="",OR($H218="",$H218=0))),"",IF(AND($N218="Quantity",$AJ218&lt;$H218),"0 - "&amp;TEXT($H218-$AJ218,"0")&amp;" buildings?    ",IF(AND($N218="%",$AJ218&lt;1),REPLACE(IF(AND($P218&gt;0,$V218&gt;0,$T218&gt;0,$X218&gt;0,$R218&gt;0,$Z218&gt;0,$AB218&gt;0,$AD218&gt;0,$AF218&gt;0,$AH218&gt;0),"","0-"),99,0,REPLACE(TEXT(100-$AJ218,0),99,0,"?    ")),"")))</f>
        <v/>
      </c>
      <c r="V218" s="1864"/>
      <c r="W218" s="1865" t="str">
        <f>IF(OR($N218="", AND($N218="",OR($H218="",$H218=0))),"",IF(AND($N218="Quantity",$AJ218&lt;$H218),"0 - "&amp;TEXT($H218-$AJ218,"0")&amp;" buildings?    ",IF(AND($N218="%",$AJ218&lt;1),REPLACE(IF(AND($P218&gt;0,$V218&gt;0,$T218&gt;0,$X218&gt;0,$R218&gt;0,$Z218&gt;0,$AB218&gt;0,$AD218&gt;0,$AF218&gt;0,$AH218&gt;0),"","0-"),99,0,REPLACE(TEXT(100-$AJ218,0),99,0,"?    ")),"")))</f>
        <v/>
      </c>
      <c r="X218" s="1864"/>
      <c r="Y218" s="1865" t="str">
        <f>IF(OR($N218="", AND($N218="",OR($H218="",$H218=0))),"",IF(AND($N218="Quantity",$AJ218&lt;$H218),"0 - "&amp;TEXT($H218-$AJ218,"0")&amp;" buildings?    ",IF(AND($N218="%",$AJ218&lt;1),REPLACE(IF(AND($P218&gt;0,$V218&gt;0,$T218&gt;0,$X218&gt;0,$R218&gt;0,$Z218&gt;0,$AB218&gt;0,$AD218&gt;0,$AF218&gt;0,$AH218&gt;0),"","0-"),99,0,REPLACE(TEXT(100-$AJ218,0),99,0,"?    ")),"")))</f>
        <v/>
      </c>
      <c r="Z218" s="1864"/>
      <c r="AA218" s="1865" t="str">
        <f>IF(OR($N218="", AND($N218="",OR($H218="",$H218=0))),"",IF(AND($N218="Quantity",$AJ218&lt;$H218),"0 - "&amp;TEXT($H218-$AJ218,"0")&amp;" buildings?    ",IF(AND($N218="%",$AJ218&lt;1),REPLACE(IF(AND($P218&gt;0,$V218&gt;0,$T218&gt;0,$X218&gt;0,$R218&gt;0,$Z218&gt;0,$AB218&gt;0,$AD218&gt;0,$AF218&gt;0,$AH218&gt;0),"","0-"),99,0,REPLACE(TEXT(100-$AJ218,0),99,0,"?    ")),"")))</f>
        <v/>
      </c>
      <c r="AB218" s="1864"/>
      <c r="AC218" s="1865" t="str">
        <f>IF(OR($N218="", AND($N218="",OR($H218="",$H218=0))),"",IF(AND($N218="Quantity",$AJ218&lt;$H218),"0 - "&amp;TEXT($H218-$AJ218,"0")&amp;" buildings?    ",IF(AND($N218="%",$AJ218&lt;1),REPLACE(IF(AND($P218&gt;0,$V218&gt;0,$T218&gt;0,$X218&gt;0,$R218&gt;0,$Z218&gt;0,$AB218&gt;0,$AD218&gt;0,$AF218&gt;0,$AH218&gt;0),"","0-"),99,0,REPLACE(TEXT(100-$AJ218,0),99,0,"?    ")),"")))</f>
        <v/>
      </c>
      <c r="AD218" s="1864"/>
      <c r="AE218" s="1865" t="str">
        <f>IF(OR($N218="", AND($N218="",OR($H218="",$H218=0))),"",IF(AND($N218="Quantity",$AJ218&lt;$H218),"0 - "&amp;TEXT($H218-$AJ218,"0")&amp;" buildings?    ",IF(AND($N218="%",$AJ218&lt;1),REPLACE(IF(AND($P218&gt;0,$V218&gt;0,$T218&gt;0,$X218&gt;0,$R218&gt;0,$Z218&gt;0,$AB218&gt;0,$AD218&gt;0,$AF218&gt;0,$AH218&gt;0),"","0-"),99,0,REPLACE(TEXT(100-$AJ218,0),99,0,"?    ")),"")))</f>
        <v/>
      </c>
      <c r="AF218" s="1864"/>
      <c r="AG218" s="1865" t="str">
        <f>IF(OR($N218="", AND($N218="",OR($H218="",$H218=0))),"",IF(AND($N218="Quantity",$AJ218&lt;$H218),"0 - "&amp;TEXT($H218-$AJ218,"0")&amp;" buildings?    ",IF(AND($N218="%",$AJ218&lt;1),REPLACE(IF(AND($P218&gt;0,$V218&gt;0,$T218&gt;0,$X218&gt;0,$R218&gt;0,$Z218&gt;0,$AB218&gt;0,$AD218&gt;0,$AF218&gt;0,$AH218&gt;0),"","0-"),99,0,REPLACE(TEXT(100-$AJ218,0),99,0,"?    ")),"")))</f>
        <v/>
      </c>
      <c r="AH218" s="1864"/>
      <c r="AI218" s="1865" t="str">
        <f>IF(OR($N218="", AND($N218="",OR($H218="",$H218=0))),"",IF(AND($N218="Quantity",$AJ218&lt;$H218),"0 - "&amp;TEXT($H218-$AJ218,"0")&amp;" buildings?    ",IF(AND($N218="%",$AJ218&lt;1),REPLACE(IF(AND($P218&gt;0,$V218&gt;0,$T218&gt;0,$X218&gt;0,$R218&gt;0,$Z218&gt;0,$AB218&gt;0,$AD218&gt;0,$AF218&gt;0,$AH218&gt;0),"","0-"),99,0,REPLACE(TEXT(100-$AJ218,0),99,0,"?    ")),"")))</f>
        <v/>
      </c>
      <c r="AJ218" s="1833">
        <f>IFERROR(IF(N218="%", SUM(P218,R218,T218,V218,X218,Z218,AB218,AD218,AF218,AH218)/100, SUM(P218,R218,T218,V218,X218,Z218,AB218,AD218,AF218,AH218)/H218), 0)</f>
        <v>0</v>
      </c>
      <c r="AL218" s="1832"/>
      <c r="AN218" s="1276"/>
      <c r="AP218" s="1653"/>
      <c r="AT218" s="1624" t="str">
        <f>IF(AND($C$179="", L218=""), "N/A", IF(AND(AJ218=1, L218&lt;&gt;"", N218&lt;&gt;"", P218&lt;&gt;"", R218&lt;&gt;"", T218&lt;&gt;"", V218&lt;&gt;"", X218&lt;&gt;"", Z218&lt;&gt;"", AB218&lt;&gt;"", AD218&lt;&gt;"", AF218&lt;&gt;"", AH218&lt;&gt;"",AL218&lt;&gt;"", IF(AND(AL218&lt;1, AN218=""), FALSE, TRUE)), "Yes", "No"))</f>
        <v>N/A</v>
      </c>
      <c r="AU218" s="759"/>
      <c r="AV218" s="759"/>
      <c r="AW218" s="759"/>
      <c r="AX218" s="759"/>
      <c r="AY218" s="759" t="b">
        <f>IF($L218="",FALSE,IF($L218&lt;$BO218,TRUE,FALSE))</f>
        <v>0</v>
      </c>
      <c r="AZ218" s="759" t="b">
        <f>IF($L218="",FALSE,IF($L218&gt;$BP218,TRUE,FALSE))</f>
        <v>0</v>
      </c>
      <c r="BA218" s="759" t="b">
        <f>IF(AND(E218&lt;&gt;"",$L218=""),TRUE,FALSE)</f>
        <v>0</v>
      </c>
      <c r="BB218" s="759" t="b">
        <f>IF(AND($AJ218&lt;&gt;0,$H218&lt;$AJ218,$N218="LF"),TRUE,IF(AND($N218="LF",H218&lt;&gt;"",H218=AJ218),FALSE,IF(AND($AJ218&lt;&gt;0,$AJ218&gt;"100%",$N218="%"),TRUE,FALSE)))</f>
        <v>0</v>
      </c>
      <c r="BC218" s="759" t="b">
        <f>IF(AT218="No", IF(OR(P218="", R218="", T218="", V218="", X218="", Z218="", AB218="", AD218="", AF218="", AH218=""), TRUE, FALSE), FALSE)</f>
        <v>0</v>
      </c>
      <c r="BD218" s="759" t="b">
        <f>IF($BE218=TRUE,FALSE,IF(OR($AL218&lt;0,$AL218&gt;1),TRUE,FALSE))</f>
        <v>0</v>
      </c>
      <c r="BE218" s="759" t="b">
        <f>IF(AND($E218&lt;&gt;"",$AL218=""),TRUE,FALSE)</f>
        <v>0</v>
      </c>
      <c r="BF218" s="759"/>
      <c r="BH218" s="1680"/>
      <c r="BI218" s="1678" t="str">
        <f>IF(N218="", "", IF(N218="Quantity", H218, IF(N218="%", 1, "")))</f>
        <v/>
      </c>
      <c r="BJ218" s="1679">
        <f>P218+R218+T218+V218+X218+Z218+AB218+AD218+AF218+AH218</f>
        <v>0</v>
      </c>
      <c r="BK218" s="1679" t="str">
        <f>IF(BI218="", "", BI218-BJ218)</f>
        <v/>
      </c>
      <c r="BL218" s="1680"/>
      <c r="BM218" s="1680"/>
      <c r="BN218" s="1678">
        <f>IF($C218="","",VLOOKUP($C218,Valid!$B$87:$F$96,5,FALSE))</f>
        <v>25</v>
      </c>
      <c r="BO218" s="1678">
        <f>IF($C218="","",VLOOKUP($C218,Valid!$B$87:$G$96,6,FALSE))</f>
        <v>19</v>
      </c>
      <c r="BP218" s="1678">
        <f>IF($C218="","",VLOOKUP($C218,Valid!$B$87:$Z$96,7,FALSE))</f>
        <v>31</v>
      </c>
    </row>
    <row r="219" spans="1:69" s="686" customFormat="1" ht="3.95" customHeight="1" x14ac:dyDescent="0.2">
      <c r="B219" s="1791">
        <v>207</v>
      </c>
      <c r="C219" s="1674"/>
      <c r="D219" s="1709"/>
      <c r="E219" s="1057"/>
      <c r="H219" s="1917"/>
      <c r="I219" s="1651"/>
      <c r="J219" s="1651"/>
      <c r="K219" s="1651"/>
      <c r="L219" s="1917"/>
      <c r="M219" s="1651"/>
      <c r="N219" s="1651"/>
      <c r="O219" s="1651"/>
      <c r="P219" s="1866"/>
      <c r="Q219" s="1867"/>
      <c r="R219" s="1866"/>
      <c r="S219" s="1867"/>
      <c r="T219" s="1866"/>
      <c r="U219" s="1867"/>
      <c r="V219" s="1866"/>
      <c r="W219" s="1867"/>
      <c r="X219" s="1866"/>
      <c r="Y219" s="1867"/>
      <c r="Z219" s="1867"/>
      <c r="AA219" s="1867"/>
      <c r="AB219" s="1867"/>
      <c r="AC219" s="1867"/>
      <c r="AD219" s="1867"/>
      <c r="AE219" s="1867"/>
      <c r="AF219" s="1867"/>
      <c r="AG219" s="1867"/>
      <c r="AH219" s="1867"/>
      <c r="AJ219" s="1676"/>
      <c r="AL219" s="1676"/>
      <c r="AP219" s="1394"/>
      <c r="AU219" s="848"/>
      <c r="AV219" s="848"/>
      <c r="AW219" s="848"/>
      <c r="AX219" s="848"/>
      <c r="AY219" s="759"/>
      <c r="AZ219" s="759"/>
      <c r="BA219" s="848"/>
      <c r="BB219" s="759"/>
      <c r="BC219" s="848"/>
      <c r="BD219" s="848"/>
      <c r="BE219" s="848"/>
      <c r="BF219" s="848"/>
      <c r="BH219" s="1680"/>
      <c r="BI219" s="1680"/>
      <c r="BJ219" s="1680"/>
      <c r="BK219" s="1680"/>
      <c r="BL219" s="1680"/>
      <c r="BM219" s="1680"/>
      <c r="BN219" s="1680"/>
      <c r="BO219" s="1680"/>
      <c r="BP219" s="1680"/>
    </row>
    <row r="220" spans="1:69" s="686" customFormat="1" ht="3.95" customHeight="1" thickBot="1" x14ac:dyDescent="0.25">
      <c r="B220" s="1791">
        <v>208</v>
      </c>
      <c r="C220" s="1674"/>
      <c r="D220" s="1709"/>
      <c r="E220" s="1057"/>
      <c r="H220" s="1917"/>
      <c r="I220" s="1651"/>
      <c r="J220" s="1651"/>
      <c r="K220" s="1651"/>
      <c r="L220" s="1917"/>
      <c r="M220" s="1651"/>
      <c r="N220" s="1651"/>
      <c r="O220" s="1651"/>
      <c r="P220" s="1868"/>
      <c r="Q220" s="1869"/>
      <c r="R220" s="1868"/>
      <c r="S220" s="1869"/>
      <c r="T220" s="1868"/>
      <c r="U220" s="1869"/>
      <c r="V220" s="1868"/>
      <c r="W220" s="1869"/>
      <c r="X220" s="1868"/>
      <c r="Y220" s="1869"/>
      <c r="Z220" s="1869"/>
      <c r="AA220" s="1869"/>
      <c r="AB220" s="1869"/>
      <c r="AC220" s="1869"/>
      <c r="AD220" s="1869"/>
      <c r="AE220" s="1869"/>
      <c r="AF220" s="1869"/>
      <c r="AG220" s="1869"/>
      <c r="AH220" s="1869"/>
      <c r="AI220" s="1670"/>
      <c r="AJ220" s="1676"/>
      <c r="AL220" s="1676"/>
      <c r="AP220" s="1394"/>
      <c r="AU220" s="848"/>
      <c r="AV220" s="848"/>
      <c r="AW220" s="848"/>
      <c r="AX220" s="848"/>
      <c r="AY220" s="759"/>
      <c r="AZ220" s="759"/>
      <c r="BA220" s="848"/>
      <c r="BB220" s="759"/>
      <c r="BC220" s="848"/>
      <c r="BD220" s="848"/>
      <c r="BE220" s="848"/>
      <c r="BF220" s="848"/>
      <c r="BH220" s="1680"/>
      <c r="BI220" s="1680"/>
      <c r="BJ220" s="1680"/>
      <c r="BK220" s="1680"/>
      <c r="BL220" s="1680"/>
      <c r="BM220" s="1680"/>
      <c r="BN220" s="1680"/>
      <c r="BO220" s="1680"/>
      <c r="BP220" s="1680"/>
    </row>
    <row r="221" spans="1:69" s="686" customFormat="1" x14ac:dyDescent="0.2">
      <c r="A221" s="852">
        <f>A218+1</f>
        <v>55</v>
      </c>
      <c r="B221" s="1791">
        <v>209</v>
      </c>
      <c r="C221" s="851" t="str">
        <f>Valid!$B$90</f>
        <v>Overhead Contact System/Power Distribution</v>
      </c>
      <c r="D221" s="1709"/>
      <c r="E221" s="1245" t="str">
        <f>IF(AT221="N/A","",IF(AT221="N","No","Yes"))</f>
        <v/>
      </c>
      <c r="H221" s="1917"/>
      <c r="I221" s="1904"/>
      <c r="J221" s="1651"/>
      <c r="K221" s="1651"/>
      <c r="L221" s="1864"/>
      <c r="M221" s="1920" t="str">
        <f>IF(AND(H212&lt;&gt;"", L221=""),REPLACE(TEXT(BN221,0),99,0," Yrs.?    "),"")</f>
        <v/>
      </c>
      <c r="N221" s="1921"/>
      <c r="O221" s="1870"/>
      <c r="P221" s="1864"/>
      <c r="Q221" s="1865" t="str">
        <f>IF(OR($N221="", AND($N221="",OR($H221="",$H221=0))),"",IF(AND($N221="Quantity",$AJ221&lt;$H221),"0 - "&amp;TEXT($H221-$AJ221,"0")&amp;" buildings?    ",IF(AND($N221="%",$AJ221&lt;1),REPLACE(IF(AND($P221&gt;0,$V221&gt;0,$T221&gt;0,$X221&gt;0,$R221&gt;0,$Z221&gt;0,$AB221&gt;0,$AD221&gt;0,$AF221&gt;0,$AH221&gt;0),"","0-"),99,0,REPLACE(TEXT(100-$AJ221,0),99,0,"?    ")),"")))</f>
        <v/>
      </c>
      <c r="R221" s="1864"/>
      <c r="S221" s="1865" t="str">
        <f>IF(OR($N221="", AND($N221="",OR($H221="",$H221=0))),"",IF(AND($N221="Quantity",$AJ221&lt;$H221),"0 - "&amp;TEXT($H221-$AJ221,"0")&amp;" buildings?    ",IF(AND($N221="%",$AJ221&lt;1),REPLACE(IF(AND($P221&gt;0,$V221&gt;0,$T221&gt;0,$X221&gt;0,$R221&gt;0,$Z221&gt;0,$AB221&gt;0,$AD221&gt;0,$AF221&gt;0,$AH221&gt;0),"","0-"),99,0,REPLACE(TEXT(100-$AJ221,0),99,0,"?    ")),"")))</f>
        <v/>
      </c>
      <c r="T221" s="1864"/>
      <c r="U221" s="1865" t="str">
        <f>IF(OR($N221="", AND($N221="",OR($H221="",$H221=0))),"",IF(AND($N221="Quantity",$AJ221&lt;$H221),"0 - "&amp;TEXT($H221-$AJ221,"0")&amp;" buildings?    ",IF(AND($N221="%",$AJ221&lt;1),REPLACE(IF(AND($P221&gt;0,$V221&gt;0,$T221&gt;0,$X221&gt;0,$R221&gt;0,$Z221&gt;0,$AB221&gt;0,$AD221&gt;0,$AF221&gt;0,$AH221&gt;0),"","0-"),99,0,REPLACE(TEXT(100-$AJ221,0),99,0,"?    ")),"")))</f>
        <v/>
      </c>
      <c r="V221" s="1864"/>
      <c r="W221" s="1865" t="str">
        <f>IF(OR($N221="", AND($N221="",OR($H221="",$H221=0))),"",IF(AND($N221="Quantity",$AJ221&lt;$H221),"0 - "&amp;TEXT($H221-$AJ221,"0")&amp;" buildings?    ",IF(AND($N221="%",$AJ221&lt;1),REPLACE(IF(AND($P221&gt;0,$V221&gt;0,$T221&gt;0,$X221&gt;0,$R221&gt;0,$Z221&gt;0,$AB221&gt;0,$AD221&gt;0,$AF221&gt;0,$AH221&gt;0),"","0-"),99,0,REPLACE(TEXT(100-$AJ221,0),99,0,"?    ")),"")))</f>
        <v/>
      </c>
      <c r="X221" s="1864"/>
      <c r="Y221" s="1865" t="str">
        <f>IF(OR($N221="", AND($N221="",OR($H221="",$H221=0))),"",IF(AND($N221="Quantity",$AJ221&lt;$H221),"0 - "&amp;TEXT($H221-$AJ221,"0")&amp;" buildings?    ",IF(AND($N221="%",$AJ221&lt;1),REPLACE(IF(AND($P221&gt;0,$V221&gt;0,$T221&gt;0,$X221&gt;0,$R221&gt;0,$Z221&gt;0,$AB221&gt;0,$AD221&gt;0,$AF221&gt;0,$AH221&gt;0),"","0-"),99,0,REPLACE(TEXT(100-$AJ221,0),99,0,"?    ")),"")))</f>
        <v/>
      </c>
      <c r="Z221" s="1864"/>
      <c r="AA221" s="1865" t="str">
        <f>IF(OR($N221="", AND($N221="",OR($H221="",$H221=0))),"",IF(AND($N221="Quantity",$AJ221&lt;$H221),"0 - "&amp;TEXT($H221-$AJ221,"0")&amp;" buildings?    ",IF(AND($N221="%",$AJ221&lt;1),REPLACE(IF(AND($P221&gt;0,$V221&gt;0,$T221&gt;0,$X221&gt;0,$R221&gt;0,$Z221&gt;0,$AB221&gt;0,$AD221&gt;0,$AF221&gt;0,$AH221&gt;0),"","0-"),99,0,REPLACE(TEXT(100-$AJ221,0),99,0,"?    ")),"")))</f>
        <v/>
      </c>
      <c r="AB221" s="1864"/>
      <c r="AC221" s="1865" t="str">
        <f>IF(OR($N221="", AND($N221="",OR($H221="",$H221=0))),"",IF(AND($N221="Quantity",$AJ221&lt;$H221),"0 - "&amp;TEXT($H221-$AJ221,"0")&amp;" buildings?    ",IF(AND($N221="%",$AJ221&lt;1),REPLACE(IF(AND($P221&gt;0,$V221&gt;0,$T221&gt;0,$X221&gt;0,$R221&gt;0,$Z221&gt;0,$AB221&gt;0,$AD221&gt;0,$AF221&gt;0,$AH221&gt;0),"","0-"),99,0,REPLACE(TEXT(100-$AJ221,0),99,0,"?    ")),"")))</f>
        <v/>
      </c>
      <c r="AD221" s="1864"/>
      <c r="AE221" s="1865" t="str">
        <f>IF(OR($N221="", AND($N221="",OR($H221="",$H221=0))),"",IF(AND($N221="Quantity",$AJ221&lt;$H221),"0 - "&amp;TEXT($H221-$AJ221,"0")&amp;" buildings?    ",IF(AND($N221="%",$AJ221&lt;1),REPLACE(IF(AND($P221&gt;0,$V221&gt;0,$T221&gt;0,$X221&gt;0,$R221&gt;0,$Z221&gt;0,$AB221&gt;0,$AD221&gt;0,$AF221&gt;0,$AH221&gt;0),"","0-"),99,0,REPLACE(TEXT(100-$AJ221,0),99,0,"?    ")),"")))</f>
        <v/>
      </c>
      <c r="AF221" s="1864"/>
      <c r="AG221" s="1865" t="str">
        <f>IF(OR($N221="", AND($N221="",OR($H221="",$H221=0))),"",IF(AND($N221="Quantity",$AJ221&lt;$H221),"0 - "&amp;TEXT($H221-$AJ221,"0")&amp;" buildings?    ",IF(AND($N221="%",$AJ221&lt;1),REPLACE(IF(AND($P221&gt;0,$V221&gt;0,$T221&gt;0,$X221&gt;0,$R221&gt;0,$Z221&gt;0,$AB221&gt;0,$AD221&gt;0,$AF221&gt;0,$AH221&gt;0),"","0-"),99,0,REPLACE(TEXT(100-$AJ221,0),99,0,"?    ")),"")))</f>
        <v/>
      </c>
      <c r="AH221" s="1864"/>
      <c r="AI221" s="1865" t="str">
        <f>IF(OR($N221="", AND($N221="",OR($H221="",$H221=0))),"",IF(AND($N221="Quantity",$AJ221&lt;$H221),"0 - "&amp;TEXT($H221-$AJ221,"0")&amp;" buildings?    ",IF(AND($N221="%",$AJ221&lt;1),REPLACE(IF(AND($P221&gt;0,$V221&gt;0,$T221&gt;0,$X221&gt;0,$R221&gt;0,$Z221&gt;0,$AB221&gt;0,$AD221&gt;0,$AF221&gt;0,$AH221&gt;0),"","0-"),99,0,REPLACE(TEXT(100-$AJ221,0),99,0,"?    ")),"")))</f>
        <v/>
      </c>
      <c r="AJ221" s="1833">
        <f>IFERROR(IF(N221="%", SUM(P221,R221,T221,V221,X221,Z221,AB221,AD221,AF221,AH221)/100, SUM(P221,R221,T221,V221,X221,Z221,AB221,AD221,AF221,AH221)/H221), 0)</f>
        <v>0</v>
      </c>
      <c r="AL221" s="1832"/>
      <c r="AN221" s="1276"/>
      <c r="AP221" s="1653"/>
      <c r="AT221" s="1624" t="str">
        <f>IF(AND($C$179="", L221=""), "N/A", IF(AND(AJ221=1, L221&lt;&gt;"", N221&lt;&gt;"", P221&lt;&gt;"", R221&lt;&gt;"", T221&lt;&gt;"", V221&lt;&gt;"", X221&lt;&gt;"", Z221&lt;&gt;"", AB221&lt;&gt;"", AD221&lt;&gt;"", AF221&lt;&gt;"", AH221&lt;&gt;"",AL221&lt;&gt;"", IF(AND(AL221&lt;1, AN221=""), FALSE, TRUE)), "Yes", "No"))</f>
        <v>N/A</v>
      </c>
      <c r="AU221" s="759"/>
      <c r="AV221" s="759"/>
      <c r="AW221" s="759"/>
      <c r="AX221" s="759"/>
      <c r="AY221" s="759" t="b">
        <f>IF($L221="",FALSE,IF($L221&lt;$BO221,TRUE,FALSE))</f>
        <v>0</v>
      </c>
      <c r="AZ221" s="759" t="b">
        <f>IF($L221="",FALSE,IF($L221&gt;$BP221,TRUE,FALSE))</f>
        <v>0</v>
      </c>
      <c r="BA221" s="759" t="b">
        <f>IF(AND(E221&lt;&gt;"",$L221=""),TRUE,FALSE)</f>
        <v>0</v>
      </c>
      <c r="BB221" s="759" t="b">
        <f>IF(AND($AJ221&lt;&gt;0,$H221&lt;$AJ221,$N221="LF"),TRUE,IF(AND($N221="LF",H221&lt;&gt;"",H221=AJ221),FALSE,IF(AND($AJ221&lt;&gt;0,$AJ221&gt;"100%",$N221="%"),TRUE,FALSE)))</f>
        <v>0</v>
      </c>
      <c r="BC221" s="759" t="b">
        <f>IF(AT221="No", IF(OR(P221="", R221="", T221="", V221="", X221="", Z221="", AB221="", AD221="", AF221="", AH221=""), TRUE, FALSE), FALSE)</f>
        <v>0</v>
      </c>
      <c r="BD221" s="759" t="b">
        <f>IF($BE221=TRUE,FALSE,IF(OR($AL221&lt;0,$AL221&gt;1),TRUE,FALSE))</f>
        <v>0</v>
      </c>
      <c r="BE221" s="759" t="b">
        <f>IF(AND($E221&lt;&gt;"",$AL221=""),TRUE,FALSE)</f>
        <v>0</v>
      </c>
      <c r="BF221" s="759"/>
      <c r="BH221" s="1680"/>
      <c r="BI221" s="1678" t="str">
        <f>IF(N221="", "", IF(N221="Quantity", H221, IF(N221="%", 1, "")))</f>
        <v/>
      </c>
      <c r="BJ221" s="1679">
        <f>P221+R221+T221+V221+X221+Z221+AB221+AD221+AF221+AH221</f>
        <v>0</v>
      </c>
      <c r="BK221" s="1679" t="str">
        <f>IF(BI221="", "", BI221-BJ221)</f>
        <v/>
      </c>
      <c r="BL221" s="1680"/>
      <c r="BM221" s="1680"/>
      <c r="BN221" s="1678">
        <f>IF($C221="","",VLOOKUP($C221,Valid!$B$87:$F$96,5,FALSE))</f>
        <v>25</v>
      </c>
      <c r="BO221" s="1678">
        <f>IF($C221="","",VLOOKUP($C221,Valid!$B$87:$G$96,6,FALSE))</f>
        <v>19</v>
      </c>
      <c r="BP221" s="1678">
        <f>IF($C221="","",VLOOKUP($C221,Valid!$B$87:$Z$96,7,FALSE))</f>
        <v>31</v>
      </c>
    </row>
    <row r="222" spans="1:69" s="686" customFormat="1" ht="3.95" customHeight="1" x14ac:dyDescent="0.2">
      <c r="B222" s="1790">
        <v>210</v>
      </c>
      <c r="C222" s="1674"/>
      <c r="D222" s="1709"/>
      <c r="E222" s="1057"/>
      <c r="H222" s="1917"/>
      <c r="I222" s="1651"/>
      <c r="J222" s="1919"/>
      <c r="K222" s="1651"/>
      <c r="L222" s="1922"/>
      <c r="M222" s="1651"/>
      <c r="N222" s="1919"/>
      <c r="O222" s="1651"/>
      <c r="P222" s="1866"/>
      <c r="Q222" s="1867"/>
      <c r="R222" s="1866"/>
      <c r="S222" s="1867"/>
      <c r="T222" s="1866"/>
      <c r="U222" s="1867"/>
      <c r="V222" s="1866"/>
      <c r="W222" s="1867"/>
      <c r="X222" s="1866"/>
      <c r="Y222" s="1867"/>
      <c r="Z222" s="1867"/>
      <c r="AA222" s="1867"/>
      <c r="AB222" s="1867"/>
      <c r="AC222" s="1867"/>
      <c r="AD222" s="1867"/>
      <c r="AE222" s="1867"/>
      <c r="AF222" s="1867"/>
      <c r="AG222" s="1867"/>
      <c r="AH222" s="1867"/>
      <c r="AJ222" s="1792"/>
      <c r="AL222" s="1792"/>
      <c r="AN222" s="685"/>
      <c r="AP222" s="1394"/>
      <c r="AU222" s="848"/>
      <c r="AV222" s="848"/>
      <c r="AW222" s="848"/>
      <c r="AX222" s="848"/>
      <c r="AY222" s="759"/>
      <c r="AZ222" s="759"/>
      <c r="BA222" s="848"/>
      <c r="BB222" s="759"/>
      <c r="BC222" s="848"/>
      <c r="BD222" s="848"/>
      <c r="BE222" s="848"/>
      <c r="BF222" s="848"/>
      <c r="BH222" s="1680"/>
      <c r="BI222" s="1680"/>
      <c r="BJ222" s="1680"/>
      <c r="BK222" s="1680"/>
      <c r="BL222" s="1680"/>
      <c r="BM222" s="1680"/>
      <c r="BN222" s="1680"/>
      <c r="BO222" s="1680"/>
      <c r="BP222" s="1680"/>
    </row>
    <row r="223" spans="1:69" s="686" customFormat="1" ht="3.95" customHeight="1" thickBot="1" x14ac:dyDescent="0.25">
      <c r="B223" s="1790">
        <v>211</v>
      </c>
      <c r="C223" s="1674"/>
      <c r="D223" s="1709"/>
      <c r="E223" s="1057"/>
      <c r="H223" s="1917"/>
      <c r="I223" s="1651"/>
      <c r="J223" s="1651"/>
      <c r="K223" s="1651"/>
      <c r="L223" s="1917"/>
      <c r="M223" s="1651"/>
      <c r="N223" s="1651"/>
      <c r="O223" s="1651"/>
      <c r="P223" s="1868"/>
      <c r="Q223" s="1869"/>
      <c r="R223" s="1868"/>
      <c r="S223" s="1869"/>
      <c r="T223" s="1868"/>
      <c r="U223" s="1869"/>
      <c r="V223" s="1868"/>
      <c r="W223" s="1869"/>
      <c r="X223" s="1868"/>
      <c r="Y223" s="1869"/>
      <c r="Z223" s="1869"/>
      <c r="AA223" s="1869"/>
      <c r="AB223" s="1869"/>
      <c r="AC223" s="1869"/>
      <c r="AD223" s="1869"/>
      <c r="AE223" s="1869"/>
      <c r="AF223" s="1869"/>
      <c r="AG223" s="1869"/>
      <c r="AH223" s="1869"/>
      <c r="AI223" s="1670"/>
      <c r="AJ223" s="1676"/>
      <c r="AL223" s="1676"/>
      <c r="AP223" s="1394"/>
      <c r="AT223" s="1624"/>
      <c r="AU223" s="848"/>
      <c r="AV223" s="848"/>
      <c r="AW223" s="848"/>
      <c r="AX223" s="848"/>
      <c r="AY223" s="759"/>
      <c r="AZ223" s="759"/>
      <c r="BA223" s="848"/>
      <c r="BB223" s="759"/>
      <c r="BC223" s="848"/>
      <c r="BD223" s="848"/>
      <c r="BE223" s="848"/>
      <c r="BF223" s="848"/>
      <c r="BH223" s="1680"/>
      <c r="BI223" s="1680"/>
      <c r="BJ223" s="1680"/>
      <c r="BK223" s="1680"/>
      <c r="BL223" s="1680"/>
      <c r="BM223" s="1680"/>
      <c r="BN223" s="1680"/>
      <c r="BO223" s="1680"/>
      <c r="BP223" s="1680"/>
    </row>
    <row r="224" spans="1:69" s="686" customFormat="1" x14ac:dyDescent="0.2">
      <c r="A224" s="852">
        <f>A221+1</f>
        <v>56</v>
      </c>
      <c r="B224" s="1791">
        <v>212</v>
      </c>
      <c r="C224" s="851" t="str">
        <f>Valid!$B$91</f>
        <v>Train Control &amp; Signaling</v>
      </c>
      <c r="D224" s="1709"/>
      <c r="E224" s="1245" t="str">
        <f>IF(AT224="N/A","",IF(AT224="N","No","Yes"))</f>
        <v/>
      </c>
      <c r="H224" s="1917"/>
      <c r="I224" s="1904"/>
      <c r="J224" s="1919"/>
      <c r="K224" s="1651"/>
      <c r="L224" s="1864"/>
      <c r="M224" s="1920" t="str">
        <f>IF(AND(H212&lt;&gt;"", L224=""),REPLACE(TEXT(BN224,0),99,0," Yrs.?    "),"")</f>
        <v/>
      </c>
      <c r="N224" s="1921"/>
      <c r="O224" s="1870"/>
      <c r="P224" s="1864"/>
      <c r="Q224" s="1865" t="str">
        <f>IF(OR($N224="", AND($N224="",OR($H224="",$H224=0))),"",IF(AND($N224="Quantity",$AJ224&lt;$H224),"0 - "&amp;TEXT($H224-$AJ224,"0")&amp;" buildings?    ",IF(AND($N224="%",$AJ224&lt;1),REPLACE(IF(AND($P224&gt;0,$V224&gt;0,$T224&gt;0,$X224&gt;0,$R224&gt;0,$Z224&gt;0,$AB224&gt;0,$AD224&gt;0,$AF224&gt;0,$AH224&gt;0),"","0-"),99,0,REPLACE(TEXT(100-$AJ224,0),99,0,"?    ")),"")))</f>
        <v/>
      </c>
      <c r="R224" s="1864"/>
      <c r="S224" s="1865" t="str">
        <f>IF(OR($N224="", AND($N224="",OR($H224="",$H224=0))),"",IF(AND($N224="Quantity",$AJ224&lt;$H224),"0 - "&amp;TEXT($H224-$AJ224,"0")&amp;" buildings?    ",IF(AND($N224="%",$AJ224&lt;1),REPLACE(IF(AND($P224&gt;0,$V224&gt;0,$T224&gt;0,$X224&gt;0,$R224&gt;0,$Z224&gt;0,$AB224&gt;0,$AD224&gt;0,$AF224&gt;0,$AH224&gt;0),"","0-"),99,0,REPLACE(TEXT(100-$AJ224,0),99,0,"?    ")),"")))</f>
        <v/>
      </c>
      <c r="T224" s="1864"/>
      <c r="U224" s="1865" t="str">
        <f>IF(OR($N224="", AND($N224="",OR($H224="",$H224=0))),"",IF(AND($N224="Quantity",$AJ224&lt;$H224),"0 - "&amp;TEXT($H224-$AJ224,"0")&amp;" buildings?    ",IF(AND($N224="%",$AJ224&lt;1),REPLACE(IF(AND($P224&gt;0,$V224&gt;0,$T224&gt;0,$X224&gt;0,$R224&gt;0,$Z224&gt;0,$AB224&gt;0,$AD224&gt;0,$AF224&gt;0,$AH224&gt;0),"","0-"),99,0,REPLACE(TEXT(100-$AJ224,0),99,0,"?    ")),"")))</f>
        <v/>
      </c>
      <c r="V224" s="1864"/>
      <c r="W224" s="1865" t="str">
        <f>IF(OR($N224="", AND($N224="",OR($H224="",$H224=0))),"",IF(AND($N224="Quantity",$AJ224&lt;$H224),"0 - "&amp;TEXT($H224-$AJ224,"0")&amp;" buildings?    ",IF(AND($N224="%",$AJ224&lt;1),REPLACE(IF(AND($P224&gt;0,$V224&gt;0,$T224&gt;0,$X224&gt;0,$R224&gt;0,$Z224&gt;0,$AB224&gt;0,$AD224&gt;0,$AF224&gt;0,$AH224&gt;0),"","0-"),99,0,REPLACE(TEXT(100-$AJ224,0),99,0,"?    ")),"")))</f>
        <v/>
      </c>
      <c r="X224" s="1864"/>
      <c r="Y224" s="1865" t="str">
        <f>IF(OR($N224="", AND($N224="",OR($H224="",$H224=0))),"",IF(AND($N224="Quantity",$AJ224&lt;$H224),"0 - "&amp;TEXT($H224-$AJ224,"0")&amp;" buildings?    ",IF(AND($N224="%",$AJ224&lt;1),REPLACE(IF(AND($P224&gt;0,$V224&gt;0,$T224&gt;0,$X224&gt;0,$R224&gt;0,$Z224&gt;0,$AB224&gt;0,$AD224&gt;0,$AF224&gt;0,$AH224&gt;0),"","0-"),99,0,REPLACE(TEXT(100-$AJ224,0),99,0,"?    ")),"")))</f>
        <v/>
      </c>
      <c r="Z224" s="1864"/>
      <c r="AA224" s="1865" t="str">
        <f>IF(OR($N224="", AND($N224="",OR($H224="",$H224=0))),"",IF(AND($N224="Quantity",$AJ224&lt;$H224),"0 - "&amp;TEXT($H224-$AJ224,"0")&amp;" buildings?    ",IF(AND($N224="%",$AJ224&lt;1),REPLACE(IF(AND($P224&gt;0,$V224&gt;0,$T224&gt;0,$X224&gt;0,$R224&gt;0,$Z224&gt;0,$AB224&gt;0,$AD224&gt;0,$AF224&gt;0,$AH224&gt;0),"","0-"),99,0,REPLACE(TEXT(100-$AJ224,0),99,0,"?    ")),"")))</f>
        <v/>
      </c>
      <c r="AB224" s="1864"/>
      <c r="AC224" s="1865" t="str">
        <f>IF(OR($N224="", AND($N224="",OR($H224="",$H224=0))),"",IF(AND($N224="Quantity",$AJ224&lt;$H224),"0 - "&amp;TEXT($H224-$AJ224,"0")&amp;" buildings?    ",IF(AND($N224="%",$AJ224&lt;1),REPLACE(IF(AND($P224&gt;0,$V224&gt;0,$T224&gt;0,$X224&gt;0,$R224&gt;0,$Z224&gt;0,$AB224&gt;0,$AD224&gt;0,$AF224&gt;0,$AH224&gt;0),"","0-"),99,0,REPLACE(TEXT(100-$AJ224,0),99,0,"?    ")),"")))</f>
        <v/>
      </c>
      <c r="AD224" s="1864"/>
      <c r="AE224" s="1865" t="str">
        <f>IF(OR($N224="", AND($N224="",OR($H224="",$H224=0))),"",IF(AND($N224="Quantity",$AJ224&lt;$H224),"0 - "&amp;TEXT($H224-$AJ224,"0")&amp;" buildings?    ",IF(AND($N224="%",$AJ224&lt;1),REPLACE(IF(AND($P224&gt;0,$V224&gt;0,$T224&gt;0,$X224&gt;0,$R224&gt;0,$Z224&gt;0,$AB224&gt;0,$AD224&gt;0,$AF224&gt;0,$AH224&gt;0),"","0-"),99,0,REPLACE(TEXT(100-$AJ224,0),99,0,"?    ")),"")))</f>
        <v/>
      </c>
      <c r="AF224" s="1864"/>
      <c r="AG224" s="1865" t="str">
        <f>IF(OR($N224="", AND($N224="",OR($H224="",$H224=0))),"",IF(AND($N224="Quantity",$AJ224&lt;$H224),"0 - "&amp;TEXT($H224-$AJ224,"0")&amp;" buildings?    ",IF(AND($N224="%",$AJ224&lt;1),REPLACE(IF(AND($P224&gt;0,$V224&gt;0,$T224&gt;0,$X224&gt;0,$R224&gt;0,$Z224&gt;0,$AB224&gt;0,$AD224&gt;0,$AF224&gt;0,$AH224&gt;0),"","0-"),99,0,REPLACE(TEXT(100-$AJ224,0),99,0,"?    ")),"")))</f>
        <v/>
      </c>
      <c r="AH224" s="1864"/>
      <c r="AI224" s="1865" t="str">
        <f>IF(OR($N224="", AND($N224="",OR($H224="",$H224=0))),"",IF(AND($N224="Quantity",$AJ224&lt;$H224),"0 - "&amp;TEXT($H224-$AJ224,"0")&amp;" buildings?    ",IF(AND($N224="%",$AJ224&lt;1),REPLACE(IF(AND($P224&gt;0,$V224&gt;0,$T224&gt;0,$X224&gt;0,$R224&gt;0,$Z224&gt;0,$AB224&gt;0,$AD224&gt;0,$AF224&gt;0,$AH224&gt;0),"","0-"),99,0,REPLACE(TEXT(100-$AJ224,0),99,0,"?    ")),"")))</f>
        <v/>
      </c>
      <c r="AJ224" s="1833">
        <f>IFERROR(IF(N224="%", SUM(P224,R224,T224,V224,X224,Z224,AB224,AD224,AF224,AH224)/100, SUM(P224,R224,T224,V224,X224,Z224,AB224,AD224,AF224,AH224)/H224), 0)</f>
        <v>0</v>
      </c>
      <c r="AL224" s="1832"/>
      <c r="AN224" s="1276"/>
      <c r="AP224" s="1653"/>
      <c r="AT224" s="1624" t="str">
        <f>IF(AND($C$179="", L224=""), "N/A", IF(AND(AJ224=1, L224&lt;&gt;"", N224&lt;&gt;"", P224&lt;&gt;"", R224&lt;&gt;"", T224&lt;&gt;"", V224&lt;&gt;"", X224&lt;&gt;"", Z224&lt;&gt;"", AB224&lt;&gt;"", AD224&lt;&gt;"", AF224&lt;&gt;"", AH224&lt;&gt;"",AL224&lt;&gt;"", IF(AND(AL224&lt;1, AN224=""), FALSE, TRUE)), "Yes", "No"))</f>
        <v>N/A</v>
      </c>
      <c r="AU224" s="759"/>
      <c r="AV224" s="759"/>
      <c r="AW224" s="759"/>
      <c r="AX224" s="759"/>
      <c r="AY224" s="759" t="b">
        <f>IF($L224="",FALSE,IF($L224&lt;$BO224,TRUE,FALSE))</f>
        <v>0</v>
      </c>
      <c r="AZ224" s="759" t="b">
        <f>IF($L224="",FALSE,IF($L224&gt;$BP224,TRUE,FALSE))</f>
        <v>0</v>
      </c>
      <c r="BA224" s="759" t="b">
        <f>IF(AND(E224&lt;&gt;"",$L224=""),TRUE,FALSE)</f>
        <v>0</v>
      </c>
      <c r="BB224" s="759" t="b">
        <f>IF(AND($AJ224&lt;&gt;0,$H224&lt;$AJ224,$N224="LF"),TRUE,IF(AND($N224="LF",H224&lt;&gt;"",H224=AJ224),FALSE,IF(AND($AJ224&lt;&gt;0,$AJ224&gt;"100%",$N224="%"),TRUE,FALSE)))</f>
        <v>0</v>
      </c>
      <c r="BC224" s="759" t="b">
        <f>IF(AT224="No", IF(OR(P224="", R224="", T224="", V224="", X224="", Z224="", AB224="", AD224="", AF224="", AH224=""), TRUE, FALSE), FALSE)</f>
        <v>0</v>
      </c>
      <c r="BD224" s="759" t="b">
        <f>IF($BE224=TRUE,FALSE,IF(OR($AL224&lt;0,$AL224&gt;1),TRUE,FALSE))</f>
        <v>0</v>
      </c>
      <c r="BE224" s="759" t="b">
        <f>IF(AND($E224&lt;&gt;"",$AL224=""),TRUE,FALSE)</f>
        <v>0</v>
      </c>
      <c r="BF224" s="759"/>
      <c r="BH224" s="1680"/>
      <c r="BI224" s="1678" t="str">
        <f>IF(N224="", "", IF(N224="Quantity", H224, IF(N224="%", 1, "")))</f>
        <v/>
      </c>
      <c r="BJ224" s="1679">
        <f>P224+R224+T224+V224+X224+Z224+AB224+AD224+AF224+AH224</f>
        <v>0</v>
      </c>
      <c r="BK224" s="1679" t="str">
        <f>IF(BI224="", "", BI224-BJ224)</f>
        <v/>
      </c>
      <c r="BL224" s="1680"/>
      <c r="BM224" s="1680"/>
      <c r="BN224" s="1678">
        <f>IF($C224="","",VLOOKUP($C224,Valid!$B$87:$F$96,5,FALSE))</f>
        <v>25</v>
      </c>
      <c r="BO224" s="1678">
        <f>IF($C224="","",VLOOKUP($C224,Valid!$B$87:$G$96,6,FALSE))</f>
        <v>19</v>
      </c>
      <c r="BP224" s="1678">
        <f>IF($C224="","",VLOOKUP($C224,Valid!$B$87:$Z$96,7,FALSE))</f>
        <v>31</v>
      </c>
    </row>
    <row r="225" spans="1:69" s="686" customFormat="1" ht="3.95" customHeight="1" x14ac:dyDescent="0.2">
      <c r="B225" s="1791">
        <v>213</v>
      </c>
      <c r="C225" s="1674"/>
      <c r="D225" s="1709"/>
      <c r="E225" s="1057"/>
      <c r="H225" s="1922"/>
      <c r="I225" s="1651"/>
      <c r="J225" s="1919"/>
      <c r="K225" s="1651"/>
      <c r="L225" s="1922"/>
      <c r="M225" s="1651"/>
      <c r="N225" s="1919"/>
      <c r="O225" s="1651"/>
      <c r="P225" s="1919"/>
      <c r="Q225" s="1651"/>
      <c r="R225" s="1919"/>
      <c r="S225" s="1651"/>
      <c r="T225" s="1919"/>
      <c r="U225" s="1651"/>
      <c r="V225" s="1919"/>
      <c r="W225" s="1651"/>
      <c r="X225" s="1919"/>
      <c r="Y225" s="1651"/>
      <c r="Z225" s="1919"/>
      <c r="AA225" s="1651"/>
      <c r="AB225" s="1919"/>
      <c r="AC225" s="1651"/>
      <c r="AD225" s="1919"/>
      <c r="AE225" s="1651"/>
      <c r="AF225" s="1919"/>
      <c r="AG225" s="1651"/>
      <c r="AH225" s="1919"/>
      <c r="AJ225" s="1792"/>
      <c r="AL225" s="1792"/>
      <c r="AN225" s="685"/>
      <c r="AP225" s="1394"/>
      <c r="AU225" s="848"/>
      <c r="AV225" s="848"/>
      <c r="AW225" s="848"/>
      <c r="AX225" s="848"/>
      <c r="AY225" s="759"/>
      <c r="AZ225" s="759"/>
      <c r="BA225" s="848"/>
      <c r="BB225" s="759"/>
      <c r="BC225" s="848"/>
      <c r="BD225" s="848"/>
      <c r="BE225" s="848"/>
      <c r="BF225" s="848"/>
      <c r="BH225" s="1680"/>
      <c r="BI225" s="1680"/>
      <c r="BJ225" s="1680"/>
      <c r="BK225" s="1680"/>
      <c r="BL225" s="1680"/>
      <c r="BM225" s="1680"/>
      <c r="BN225" s="1680"/>
      <c r="BO225" s="1680"/>
      <c r="BP225" s="1680"/>
    </row>
    <row r="226" spans="1:69" s="686" customFormat="1" ht="3.95" customHeight="1" x14ac:dyDescent="0.2">
      <c r="B226" s="1791">
        <v>214</v>
      </c>
      <c r="C226" s="1674"/>
      <c r="D226" s="1709"/>
      <c r="E226" s="1057"/>
      <c r="H226" s="1917"/>
      <c r="I226" s="1651"/>
      <c r="J226" s="1651"/>
      <c r="K226" s="1651"/>
      <c r="L226" s="1917"/>
      <c r="M226" s="1651"/>
      <c r="N226" s="1651"/>
      <c r="O226" s="1651"/>
      <c r="P226" s="1651"/>
      <c r="Q226" s="1651"/>
      <c r="R226" s="1651"/>
      <c r="S226" s="1651"/>
      <c r="T226" s="1651"/>
      <c r="U226" s="1651"/>
      <c r="V226" s="1651"/>
      <c r="W226" s="1651"/>
      <c r="X226" s="1651"/>
      <c r="Y226" s="1651"/>
      <c r="Z226" s="1651"/>
      <c r="AA226" s="1651"/>
      <c r="AB226" s="1651"/>
      <c r="AC226" s="1651"/>
      <c r="AD226" s="1651"/>
      <c r="AE226" s="1651"/>
      <c r="AF226" s="1651"/>
      <c r="AG226" s="1651"/>
      <c r="AH226" s="1651"/>
      <c r="AJ226" s="1676"/>
      <c r="AL226" s="1676"/>
      <c r="AP226" s="1394"/>
      <c r="AU226" s="848"/>
      <c r="AV226" s="848"/>
      <c r="AW226" s="848"/>
      <c r="AX226" s="848"/>
      <c r="AY226" s="759"/>
      <c r="AZ226" s="759"/>
      <c r="BA226" s="848"/>
      <c r="BB226" s="759"/>
      <c r="BC226" s="848"/>
      <c r="BD226" s="848"/>
      <c r="BE226" s="848"/>
      <c r="BF226" s="848"/>
      <c r="BH226" s="1680"/>
      <c r="BI226" s="1680"/>
      <c r="BJ226" s="1680"/>
      <c r="BK226" s="1680"/>
      <c r="BL226" s="1680"/>
      <c r="BM226" s="1680"/>
      <c r="BN226" s="1680"/>
      <c r="BO226" s="1680"/>
      <c r="BP226" s="1680"/>
    </row>
    <row r="227" spans="1:69" s="686" customFormat="1" ht="3.95" customHeight="1" x14ac:dyDescent="0.2">
      <c r="B227" s="1790">
        <v>215</v>
      </c>
      <c r="C227" s="1674"/>
      <c r="D227" s="1709"/>
      <c r="E227" s="1057"/>
      <c r="H227" s="1917"/>
      <c r="I227" s="1651"/>
      <c r="J227" s="1651"/>
      <c r="K227" s="1651"/>
      <c r="L227" s="1917"/>
      <c r="M227" s="1651"/>
      <c r="N227" s="1651"/>
      <c r="O227" s="1651"/>
      <c r="P227" s="1651"/>
      <c r="Q227" s="1651"/>
      <c r="R227" s="1651"/>
      <c r="S227" s="1651"/>
      <c r="T227" s="1651"/>
      <c r="U227" s="1651"/>
      <c r="V227" s="1651"/>
      <c r="W227" s="1651"/>
      <c r="X227" s="1651"/>
      <c r="Y227" s="1651"/>
      <c r="Z227" s="1651"/>
      <c r="AA227" s="1651"/>
      <c r="AB227" s="1651"/>
      <c r="AC227" s="1651"/>
      <c r="AD227" s="1651"/>
      <c r="AE227" s="1651"/>
      <c r="AF227" s="1651"/>
      <c r="AG227" s="1651"/>
      <c r="AH227" s="1651"/>
      <c r="AJ227" s="1676"/>
      <c r="AL227" s="1676"/>
      <c r="AP227" s="1394"/>
      <c r="AU227" s="848"/>
      <c r="AV227" s="848"/>
      <c r="AW227" s="848"/>
      <c r="AX227" s="848"/>
      <c r="AY227" s="759"/>
      <c r="AZ227" s="759"/>
      <c r="BA227" s="848"/>
      <c r="BB227" s="759"/>
      <c r="BC227" s="848"/>
      <c r="BD227" s="848"/>
      <c r="BE227" s="848"/>
      <c r="BF227" s="848"/>
      <c r="BH227" s="1680"/>
      <c r="BI227" s="1680"/>
      <c r="BJ227" s="1680"/>
      <c r="BK227" s="1680"/>
      <c r="BL227" s="1680"/>
      <c r="BM227" s="1680"/>
      <c r="BN227" s="1680"/>
      <c r="BO227" s="1680"/>
      <c r="BP227" s="1680"/>
    </row>
    <row r="228" spans="1:69" s="686" customFormat="1" ht="3.95" customHeight="1" x14ac:dyDescent="0.2">
      <c r="B228" s="1790">
        <v>216</v>
      </c>
      <c r="C228" s="1677"/>
      <c r="D228" s="1709"/>
      <c r="E228" s="1057"/>
      <c r="H228" s="1922"/>
      <c r="I228" s="1651"/>
      <c r="J228" s="1919"/>
      <c r="K228" s="1651"/>
      <c r="L228" s="1922"/>
      <c r="M228" s="1651"/>
      <c r="N228" s="1919"/>
      <c r="O228" s="1651"/>
      <c r="P228" s="1919"/>
      <c r="Q228" s="1651"/>
      <c r="R228" s="1919"/>
      <c r="S228" s="1651"/>
      <c r="T228" s="1919"/>
      <c r="U228" s="1651"/>
      <c r="V228" s="1919"/>
      <c r="W228" s="1651"/>
      <c r="X228" s="1919"/>
      <c r="Y228" s="1651"/>
      <c r="Z228" s="1919"/>
      <c r="AA228" s="1651"/>
      <c r="AB228" s="1919"/>
      <c r="AC228" s="1651"/>
      <c r="AD228" s="1919"/>
      <c r="AE228" s="1651"/>
      <c r="AF228" s="1919"/>
      <c r="AG228" s="1651"/>
      <c r="AH228" s="1919"/>
      <c r="AJ228" s="1792"/>
      <c r="AL228" s="1792"/>
      <c r="AN228" s="685"/>
      <c r="AP228" s="1223"/>
      <c r="AU228" s="848"/>
      <c r="AV228" s="848"/>
      <c r="AW228" s="848"/>
      <c r="AX228" s="848"/>
      <c r="AY228" s="848"/>
      <c r="AZ228" s="848"/>
      <c r="BA228" s="848"/>
      <c r="BB228" s="848"/>
      <c r="BC228" s="848"/>
      <c r="BD228" s="848"/>
      <c r="BE228" s="848"/>
      <c r="BF228" s="848"/>
      <c r="BH228" s="1680"/>
      <c r="BI228" s="1680"/>
      <c r="BJ228" s="1680"/>
      <c r="BK228" s="1680"/>
      <c r="BL228" s="1680"/>
      <c r="BM228" s="1680"/>
      <c r="BN228" s="1680"/>
      <c r="BO228" s="1680"/>
      <c r="BP228" s="1680"/>
    </row>
    <row r="229" spans="1:69" s="686" customFormat="1" ht="3.95" customHeight="1" x14ac:dyDescent="0.2">
      <c r="A229" s="1809"/>
      <c r="B229" s="1810">
        <v>52</v>
      </c>
      <c r="C229" s="1811"/>
      <c r="D229" s="1842"/>
      <c r="E229" s="1812"/>
      <c r="F229" s="1809"/>
      <c r="G229" s="1809"/>
      <c r="H229" s="1923"/>
      <c r="I229" s="1924"/>
      <c r="J229" s="1924"/>
      <c r="K229" s="1924"/>
      <c r="L229" s="1923"/>
      <c r="M229" s="1924"/>
      <c r="N229" s="1924"/>
      <c r="O229" s="1924"/>
      <c r="P229" s="1924"/>
      <c r="Q229" s="1924"/>
      <c r="R229" s="1924"/>
      <c r="S229" s="1924"/>
      <c r="T229" s="1924"/>
      <c r="U229" s="1924"/>
      <c r="V229" s="1924"/>
      <c r="W229" s="1924"/>
      <c r="X229" s="1924"/>
      <c r="Y229" s="1924"/>
      <c r="Z229" s="1924"/>
      <c r="AA229" s="1924"/>
      <c r="AB229" s="1924"/>
      <c r="AC229" s="1924"/>
      <c r="AD229" s="1924"/>
      <c r="AE229" s="1924"/>
      <c r="AF229" s="1924"/>
      <c r="AG229" s="1924"/>
      <c r="AH229" s="1924"/>
      <c r="AI229" s="1809"/>
      <c r="AJ229" s="1829"/>
      <c r="AK229" s="1809"/>
      <c r="AL229" s="1829"/>
      <c r="AM229" s="1809"/>
      <c r="AN229" s="1809"/>
      <c r="AO229" s="1809"/>
      <c r="AP229" s="1813"/>
      <c r="AQ229" s="1809"/>
      <c r="AR229" s="1809"/>
      <c r="AS229" s="1809"/>
      <c r="AT229" s="1809"/>
      <c r="AU229" s="1814"/>
      <c r="AV229" s="1814"/>
      <c r="AW229" s="1814"/>
      <c r="AX229" s="1814"/>
      <c r="AY229" s="1814"/>
      <c r="AZ229" s="1814"/>
      <c r="BA229" s="1814"/>
      <c r="BB229" s="1814"/>
      <c r="BC229" s="1814"/>
      <c r="BD229" s="1814"/>
      <c r="BE229" s="1814"/>
      <c r="BF229" s="1814"/>
      <c r="BG229" s="1809"/>
      <c r="BH229" s="1814"/>
      <c r="BI229" s="1814"/>
      <c r="BJ229" s="1814"/>
      <c r="BK229" s="1814"/>
      <c r="BL229" s="1814"/>
      <c r="BM229" s="1814"/>
      <c r="BN229" s="1814"/>
      <c r="BO229" s="1814"/>
      <c r="BP229" s="1814"/>
    </row>
    <row r="230" spans="1:69" s="686" customFormat="1" ht="3.95" customHeight="1" x14ac:dyDescent="0.2">
      <c r="B230" s="1791">
        <v>218</v>
      </c>
      <c r="C230" s="1677"/>
      <c r="D230" s="1709"/>
      <c r="E230" s="1057"/>
      <c r="H230" s="1917"/>
      <c r="I230" s="1651"/>
      <c r="J230" s="1651"/>
      <c r="K230" s="1651"/>
      <c r="L230" s="1917"/>
      <c r="M230" s="1651"/>
      <c r="N230" s="1651"/>
      <c r="O230" s="1651"/>
      <c r="P230" s="1651"/>
      <c r="Q230" s="1651"/>
      <c r="R230" s="1651"/>
      <c r="S230" s="1651"/>
      <c r="T230" s="1651"/>
      <c r="U230" s="1651"/>
      <c r="V230" s="1651"/>
      <c r="W230" s="1651"/>
      <c r="X230" s="1651"/>
      <c r="Y230" s="1651"/>
      <c r="Z230" s="1651"/>
      <c r="AA230" s="1651"/>
      <c r="AB230" s="1651"/>
      <c r="AC230" s="1651"/>
      <c r="AD230" s="1651"/>
      <c r="AE230" s="1651"/>
      <c r="AF230" s="1651"/>
      <c r="AG230" s="1651"/>
      <c r="AH230" s="1651"/>
      <c r="AJ230" s="1676"/>
      <c r="AL230" s="1676"/>
      <c r="AP230" s="1394"/>
      <c r="AU230" s="848"/>
      <c r="AV230" s="848"/>
      <c r="AW230" s="848"/>
      <c r="AX230" s="848"/>
      <c r="AY230" s="848"/>
      <c r="AZ230" s="848"/>
      <c r="BA230" s="848"/>
      <c r="BB230" s="848"/>
      <c r="BC230" s="848"/>
      <c r="BD230" s="848"/>
      <c r="BE230" s="848"/>
      <c r="BF230" s="848"/>
      <c r="BH230" s="1680"/>
      <c r="BI230" s="1680"/>
      <c r="BJ230" s="1680"/>
      <c r="BK230" s="1680"/>
      <c r="BL230" s="1680"/>
      <c r="BM230" s="1680"/>
      <c r="BN230" s="1680"/>
      <c r="BO230" s="1680"/>
      <c r="BP230" s="1680"/>
    </row>
    <row r="231" spans="1:69" s="686" customFormat="1" ht="3.95" customHeight="1" x14ac:dyDescent="0.2">
      <c r="B231" s="1791">
        <v>219</v>
      </c>
      <c r="C231" s="1677"/>
      <c r="D231" s="1709"/>
      <c r="E231" s="1057"/>
      <c r="H231" s="1922"/>
      <c r="I231" s="1651"/>
      <c r="J231" s="1919"/>
      <c r="K231" s="1651"/>
      <c r="L231" s="1925"/>
      <c r="M231" s="1651"/>
      <c r="N231" s="1919"/>
      <c r="O231" s="1651"/>
      <c r="P231" s="1919"/>
      <c r="Q231" s="1651"/>
      <c r="R231" s="1919"/>
      <c r="S231" s="1651"/>
      <c r="T231" s="1919"/>
      <c r="U231" s="1651"/>
      <c r="V231" s="1919"/>
      <c r="W231" s="1651"/>
      <c r="X231" s="1919"/>
      <c r="Y231" s="1651"/>
      <c r="Z231" s="1919"/>
      <c r="AA231" s="1651"/>
      <c r="AB231" s="1919"/>
      <c r="AC231" s="1651"/>
      <c r="AD231" s="1919"/>
      <c r="AE231" s="1651"/>
      <c r="AF231" s="1919"/>
      <c r="AG231" s="1651"/>
      <c r="AH231" s="1919"/>
      <c r="AJ231" s="1792"/>
      <c r="AL231" s="1792"/>
      <c r="AN231" s="685"/>
      <c r="AP231" s="1057"/>
      <c r="AU231" s="848"/>
      <c r="AV231" s="848"/>
      <c r="AW231" s="848"/>
      <c r="AX231" s="848"/>
      <c r="AY231" s="848"/>
      <c r="AZ231" s="848"/>
      <c r="BA231" s="848"/>
      <c r="BB231" s="848"/>
      <c r="BC231" s="848"/>
      <c r="BD231" s="848"/>
      <c r="BE231" s="848"/>
      <c r="BF231" s="848"/>
      <c r="BH231" s="1680"/>
      <c r="BI231" s="1680"/>
      <c r="BJ231" s="1680"/>
      <c r="BK231" s="1680"/>
      <c r="BL231" s="1680"/>
      <c r="BM231" s="1680"/>
      <c r="BN231" s="1680"/>
      <c r="BO231" s="1680"/>
      <c r="BP231" s="1680"/>
    </row>
    <row r="232" spans="1:69" s="686" customFormat="1" ht="3.95" customHeight="1" x14ac:dyDescent="0.2">
      <c r="B232" s="1790">
        <v>220</v>
      </c>
      <c r="C232" s="1677"/>
      <c r="D232" s="1709"/>
      <c r="E232" s="1057"/>
      <c r="H232" s="1917"/>
      <c r="I232" s="1651"/>
      <c r="J232" s="1651"/>
      <c r="K232" s="1651"/>
      <c r="L232" s="1926"/>
      <c r="M232" s="1651"/>
      <c r="N232" s="1651"/>
      <c r="O232" s="1651"/>
      <c r="P232" s="1651"/>
      <c r="Q232" s="1651"/>
      <c r="R232" s="1651"/>
      <c r="S232" s="1651"/>
      <c r="T232" s="1651"/>
      <c r="U232" s="1651"/>
      <c r="V232" s="1651"/>
      <c r="W232" s="1651"/>
      <c r="X232" s="1651"/>
      <c r="Y232" s="1651"/>
      <c r="Z232" s="1651"/>
      <c r="AA232" s="1651"/>
      <c r="AB232" s="1651"/>
      <c r="AC232" s="1651"/>
      <c r="AD232" s="1651"/>
      <c r="AE232" s="1651"/>
      <c r="AF232" s="1651"/>
      <c r="AG232" s="1651"/>
      <c r="AH232" s="1651"/>
      <c r="AJ232" s="1676"/>
      <c r="AL232" s="1676"/>
      <c r="AP232" s="1057"/>
      <c r="AU232" s="848"/>
      <c r="AV232" s="848"/>
      <c r="AW232" s="848"/>
      <c r="AX232" s="848"/>
      <c r="AY232" s="848"/>
      <c r="AZ232" s="848"/>
      <c r="BA232" s="848"/>
      <c r="BB232" s="848"/>
      <c r="BC232" s="848"/>
      <c r="BD232" s="848"/>
      <c r="BE232" s="848"/>
      <c r="BF232" s="848"/>
      <c r="BH232" s="1680"/>
      <c r="BI232" s="1680"/>
      <c r="BJ232" s="1680"/>
      <c r="BK232" s="1680"/>
      <c r="BL232" s="1680"/>
      <c r="BM232" s="1680"/>
      <c r="BN232" s="1680"/>
      <c r="BO232" s="1680"/>
      <c r="BP232" s="1680"/>
    </row>
    <row r="233" spans="1:69" s="782" customFormat="1" ht="3.95" customHeight="1" x14ac:dyDescent="0.2">
      <c r="A233" s="816"/>
      <c r="B233" s="1790">
        <v>221</v>
      </c>
      <c r="C233" s="1271"/>
      <c r="D233" s="1841"/>
      <c r="E233" s="816"/>
      <c r="F233" s="736"/>
      <c r="G233" s="736"/>
      <c r="H233" s="1927"/>
      <c r="I233" s="1928"/>
      <c r="J233" s="1928"/>
      <c r="K233" s="1928"/>
      <c r="L233" s="1929"/>
      <c r="M233" s="722"/>
      <c r="N233" s="722"/>
      <c r="O233" s="722"/>
      <c r="P233" s="1891"/>
      <c r="Q233" s="1930"/>
      <c r="R233" s="1931"/>
      <c r="S233" s="1930"/>
      <c r="T233" s="1931"/>
      <c r="U233" s="1930"/>
      <c r="V233" s="1931"/>
      <c r="W233" s="1930"/>
      <c r="X233" s="1931"/>
      <c r="Y233" s="1894"/>
      <c r="Z233" s="1894"/>
      <c r="AA233" s="1894"/>
      <c r="AB233" s="1894"/>
      <c r="AC233" s="1894"/>
      <c r="AD233" s="1894"/>
      <c r="AE233" s="1894"/>
      <c r="AF233" s="1894"/>
      <c r="AG233" s="1894"/>
      <c r="AH233" s="1894"/>
      <c r="AI233" s="821"/>
      <c r="AJ233" s="1826"/>
      <c r="AK233" s="781"/>
      <c r="AL233" s="1831"/>
      <c r="AM233" s="824"/>
      <c r="AN233" s="822"/>
      <c r="AO233" s="824"/>
      <c r="AP233" s="1398"/>
      <c r="AQ233" s="824"/>
      <c r="AT233" s="824"/>
      <c r="AU233" s="759"/>
      <c r="AV233" s="759"/>
      <c r="AW233" s="759"/>
      <c r="AX233" s="759"/>
      <c r="AY233" s="759"/>
      <c r="AZ233" s="759"/>
      <c r="BA233" s="759"/>
      <c r="BB233" s="759"/>
      <c r="BC233" s="759"/>
      <c r="BD233" s="759"/>
      <c r="BE233" s="759"/>
      <c r="BF233" s="759"/>
      <c r="BG233" s="760"/>
      <c r="BH233" s="1681"/>
      <c r="BI233" s="1681"/>
      <c r="BJ233" s="1681"/>
      <c r="BK233" s="1681"/>
      <c r="BL233" s="1681"/>
      <c r="BM233" s="1681"/>
      <c r="BN233" s="1681"/>
      <c r="BO233" s="1681"/>
      <c r="BP233" s="1681"/>
      <c r="BQ233" s="824"/>
    </row>
    <row r="234" spans="1:69" s="782" customFormat="1" ht="15.75" x14ac:dyDescent="0.2">
      <c r="A234" s="1712" t="s">
        <v>2621</v>
      </c>
      <c r="B234" s="1791">
        <v>222</v>
      </c>
      <c r="C234" s="1669"/>
      <c r="D234" s="1248" t="str">
        <f>IF(AND(C179&lt;&gt;"",$C234=""),"Select Mode from Pull-Down List                           ","")</f>
        <v/>
      </c>
      <c r="E234" s="1277" t="str">
        <f>IF(AND(C234="",OR(H264&lt;&gt;0,J264&lt;&gt;0,H267&lt;&gt;0)),"&lt;&lt; Insert Rail Mode",IF(AND(C179="",C234&lt;&gt;""),"&lt;&lt;Complete Previous Section First",""))</f>
        <v/>
      </c>
      <c r="F234" s="736"/>
      <c r="G234" s="736"/>
      <c r="H234" s="1932"/>
      <c r="I234" s="1896"/>
      <c r="J234" s="1897"/>
      <c r="K234" s="1897"/>
      <c r="L234" s="1933"/>
      <c r="M234" s="1896"/>
      <c r="N234" s="1896"/>
      <c r="O234" s="1896"/>
      <c r="P234" s="1898"/>
      <c r="Q234" s="1896"/>
      <c r="R234" s="1898"/>
      <c r="S234" s="1896"/>
      <c r="T234" s="1898"/>
      <c r="U234" s="1896"/>
      <c r="V234" s="1898"/>
      <c r="W234" s="1896"/>
      <c r="X234" s="1898"/>
      <c r="Y234" s="1896"/>
      <c r="Z234" s="1896"/>
      <c r="AA234" s="1896"/>
      <c r="AB234" s="1896"/>
      <c r="AC234" s="1896"/>
      <c r="AD234" s="1896"/>
      <c r="AE234" s="1896"/>
      <c r="AF234" s="1896"/>
      <c r="AG234" s="1896"/>
      <c r="AH234" s="1896"/>
      <c r="AI234" s="1254"/>
      <c r="AJ234" s="1827"/>
      <c r="AK234" s="1254"/>
      <c r="AL234" s="1827"/>
      <c r="AM234" s="832"/>
      <c r="AN234" s="1254"/>
      <c r="AO234" s="832"/>
      <c r="AP234" s="1223"/>
      <c r="AQ234" s="832"/>
      <c r="AS234" s="758"/>
      <c r="AT234" s="758" t="b">
        <f>IF(OR(E234&lt;&gt;"",E290="Complete Previous Section First"),TRUE,FALSE)</f>
        <v>0</v>
      </c>
      <c r="AU234" s="763"/>
      <c r="AV234" s="763"/>
      <c r="AW234" s="763"/>
      <c r="AX234" s="763"/>
      <c r="AY234" s="763"/>
      <c r="AZ234" s="763"/>
      <c r="BA234" s="763"/>
      <c r="BB234" s="763"/>
      <c r="BC234" s="763"/>
      <c r="BD234" s="763"/>
      <c r="BE234" s="763"/>
      <c r="BF234" s="759"/>
      <c r="BG234" s="760"/>
      <c r="BH234" s="1678"/>
      <c r="BI234" s="1678"/>
      <c r="BJ234" s="1678"/>
      <c r="BK234" s="1678"/>
      <c r="BL234" s="1678"/>
      <c r="BM234" s="1678"/>
      <c r="BN234" s="1678"/>
      <c r="BO234" s="1678"/>
      <c r="BP234" s="1678"/>
      <c r="BQ234" s="832"/>
    </row>
    <row r="235" spans="1:69" s="782" customFormat="1" ht="3.95" customHeight="1" x14ac:dyDescent="0.2">
      <c r="A235" s="721"/>
      <c r="B235" s="1791">
        <v>223</v>
      </c>
      <c r="C235" s="828"/>
      <c r="D235" s="1841"/>
      <c r="E235" s="721"/>
      <c r="F235" s="281"/>
      <c r="G235" s="281"/>
      <c r="H235" s="1934"/>
      <c r="I235" s="1899"/>
      <c r="J235" s="1899"/>
      <c r="K235" s="1899"/>
      <c r="L235" s="1909"/>
      <c r="M235" s="722"/>
      <c r="N235" s="722"/>
      <c r="O235" s="722"/>
      <c r="P235" s="1900"/>
      <c r="Q235" s="1901"/>
      <c r="R235" s="1900"/>
      <c r="S235" s="1901"/>
      <c r="T235" s="1900"/>
      <c r="U235" s="1901"/>
      <c r="V235" s="1900"/>
      <c r="W235" s="1901"/>
      <c r="X235" s="1900"/>
      <c r="Y235" s="1902"/>
      <c r="Z235" s="1902"/>
      <c r="AA235" s="1902"/>
      <c r="AB235" s="1902"/>
      <c r="AC235" s="1902"/>
      <c r="AD235" s="1902"/>
      <c r="AE235" s="1902"/>
      <c r="AF235" s="1902"/>
      <c r="AG235" s="1902"/>
      <c r="AH235" s="1902"/>
      <c r="AI235" s="831"/>
      <c r="AJ235" s="1828"/>
      <c r="AK235" s="724"/>
      <c r="AL235" s="1806"/>
      <c r="AM235" s="832"/>
      <c r="AN235" s="724"/>
      <c r="AO235" s="832"/>
      <c r="AP235" s="1399"/>
      <c r="AQ235" s="832"/>
      <c r="AS235" s="824"/>
      <c r="AT235" s="832"/>
      <c r="AU235" s="759"/>
      <c r="AV235" s="759"/>
      <c r="AW235" s="759"/>
      <c r="AX235" s="759"/>
      <c r="AY235" s="759"/>
      <c r="AZ235" s="759"/>
      <c r="BA235" s="759"/>
      <c r="BB235" s="759"/>
      <c r="BC235" s="759"/>
      <c r="BD235" s="759"/>
      <c r="BE235" s="759"/>
      <c r="BF235" s="759"/>
      <c r="BG235" s="760"/>
      <c r="BH235" s="1678"/>
      <c r="BI235" s="1678"/>
      <c r="BJ235" s="1678"/>
      <c r="BK235" s="1678"/>
      <c r="BL235" s="1678"/>
      <c r="BM235" s="1678"/>
      <c r="BN235" s="1678"/>
      <c r="BO235" s="1678"/>
      <c r="BP235" s="1678"/>
      <c r="BQ235" s="832"/>
    </row>
    <row r="236" spans="1:69" s="782" customFormat="1" x14ac:dyDescent="0.2">
      <c r="A236" s="1712" t="s">
        <v>2621</v>
      </c>
      <c r="B236" s="1791">
        <v>224</v>
      </c>
      <c r="C236" s="844" t="str">
        <f>IF(C234="","Guideway (Excludes Track)",VLOOKUP(C234,Codes!$C$156:$D$174,2)&amp;" Guideway (Excludes Track)")</f>
        <v>Guideway (Excludes Track)</v>
      </c>
      <c r="D236" s="1841"/>
      <c r="E236" s="721"/>
      <c r="F236" s="281"/>
      <c r="G236" s="281"/>
      <c r="H236" s="1934"/>
      <c r="I236" s="1899"/>
      <c r="J236" s="1899"/>
      <c r="K236" s="1899"/>
      <c r="L236" s="1909"/>
      <c r="M236" s="722"/>
      <c r="N236" s="722"/>
      <c r="O236" s="722"/>
      <c r="P236" s="1900"/>
      <c r="Q236" s="1901"/>
      <c r="R236" s="1900"/>
      <c r="S236" s="1901"/>
      <c r="T236" s="1900"/>
      <c r="U236" s="1901"/>
      <c r="V236" s="1900"/>
      <c r="W236" s="1901"/>
      <c r="X236" s="1900"/>
      <c r="Y236" s="1902"/>
      <c r="Z236" s="1902"/>
      <c r="AA236" s="1902"/>
      <c r="AB236" s="1902"/>
      <c r="AC236" s="1902"/>
      <c r="AD236" s="1902"/>
      <c r="AE236" s="1902"/>
      <c r="AF236" s="1902"/>
      <c r="AG236" s="1902"/>
      <c r="AH236" s="1902"/>
      <c r="AI236" s="831"/>
      <c r="AJ236" s="1828"/>
      <c r="AK236" s="724"/>
      <c r="AL236" s="1806"/>
      <c r="AM236" s="832"/>
      <c r="AN236" s="724"/>
      <c r="AO236" s="832"/>
      <c r="AP236" s="1399"/>
      <c r="AQ236" s="832"/>
      <c r="AS236" s="824"/>
      <c r="AT236" s="832"/>
      <c r="AU236" s="759"/>
      <c r="AV236" s="759"/>
      <c r="AW236" s="759"/>
      <c r="AX236" s="759"/>
      <c r="AY236" s="759"/>
      <c r="AZ236" s="759"/>
      <c r="BA236" s="759"/>
      <c r="BB236" s="759"/>
      <c r="BC236" s="759"/>
      <c r="BD236" s="759"/>
      <c r="BE236" s="759"/>
      <c r="BF236" s="759"/>
      <c r="BG236" s="760"/>
      <c r="BH236" s="1678"/>
      <c r="BI236" s="1678"/>
      <c r="BJ236" s="1678"/>
      <c r="BK236" s="1678"/>
      <c r="BL236" s="1678"/>
      <c r="BM236" s="1678"/>
      <c r="BN236" s="1678"/>
      <c r="BO236" s="1678"/>
      <c r="BP236" s="1678"/>
      <c r="BQ236" s="832"/>
    </row>
    <row r="237" spans="1:69" s="782" customFormat="1" ht="26.25" thickBot="1" x14ac:dyDescent="0.25">
      <c r="A237" s="1712" t="s">
        <v>2621</v>
      </c>
      <c r="B237" s="1790">
        <v>225</v>
      </c>
      <c r="D237" s="1841"/>
      <c r="E237" s="816"/>
      <c r="F237" s="764"/>
      <c r="G237" s="764"/>
      <c r="H237" s="1903" t="str">
        <f>H$10</f>
        <v>Linear Feet</v>
      </c>
      <c r="I237" s="1899"/>
      <c r="J237" s="1903" t="str">
        <f>J$10</f>
        <v>Track Feet</v>
      </c>
      <c r="K237" s="1899"/>
      <c r="L237" s="1909"/>
      <c r="M237" s="722"/>
      <c r="N237" s="722"/>
      <c r="O237" s="722"/>
      <c r="P237" s="1903" t="str">
        <f>P$9</f>
        <v>Pre-1920</v>
      </c>
      <c r="Q237" s="1869"/>
      <c r="R237" s="1903" t="str">
        <f>R$9</f>
        <v>1920-
1929</v>
      </c>
      <c r="S237" s="1869"/>
      <c r="T237" s="1903" t="str">
        <f>T$9</f>
        <v>1930-
1939</v>
      </c>
      <c r="U237" s="1869"/>
      <c r="V237" s="1903" t="str">
        <f>V$9</f>
        <v>1940-
1949</v>
      </c>
      <c r="W237" s="1869"/>
      <c r="X237" s="1903" t="str">
        <f>X$9</f>
        <v>1950-
1959</v>
      </c>
      <c r="Y237" s="1868"/>
      <c r="Z237" s="1903" t="str">
        <f>Z$9</f>
        <v>1960-
1969</v>
      </c>
      <c r="AA237" s="1868"/>
      <c r="AB237" s="1903" t="str">
        <f>AB$9</f>
        <v>1970-
1979</v>
      </c>
      <c r="AC237" s="1868"/>
      <c r="AD237" s="1903" t="str">
        <f>AD$9</f>
        <v>1980-
1989</v>
      </c>
      <c r="AE237" s="1868"/>
      <c r="AF237" s="1903" t="str">
        <f>AF$9</f>
        <v>1990-
1999</v>
      </c>
      <c r="AG237" s="1868"/>
      <c r="AH237" s="1903" t="str">
        <f>AH$9</f>
        <v>2000-
present</v>
      </c>
      <c r="AI237" s="831"/>
      <c r="AJ237" s="1828"/>
      <c r="AK237" s="724"/>
      <c r="AL237" s="1806"/>
      <c r="AM237" s="832"/>
      <c r="AN237" s="724"/>
      <c r="AO237" s="832"/>
      <c r="AP237" s="1399"/>
      <c r="AQ237" s="832"/>
      <c r="AS237" s="832"/>
      <c r="AT237" s="832"/>
      <c r="AU237" s="759"/>
      <c r="AV237" s="759"/>
      <c r="AW237" s="759"/>
      <c r="AX237" s="759"/>
      <c r="AY237" s="759"/>
      <c r="AZ237" s="759"/>
      <c r="BA237" s="759"/>
      <c r="BB237" s="759"/>
      <c r="BC237" s="759"/>
      <c r="BD237" s="759"/>
      <c r="BE237" s="759"/>
      <c r="BF237" s="759"/>
      <c r="BG237" s="760"/>
      <c r="BH237" s="1678"/>
      <c r="BI237" s="1678"/>
      <c r="BJ237" s="1678"/>
      <c r="BK237" s="1678"/>
      <c r="BL237" s="1678"/>
      <c r="BM237" s="1678"/>
      <c r="BN237" s="1678"/>
      <c r="BO237" s="1678"/>
      <c r="BP237" s="1678"/>
      <c r="BQ237" s="832"/>
    </row>
    <row r="238" spans="1:69" s="782" customFormat="1" x14ac:dyDescent="0.2">
      <c r="A238" s="852">
        <f>A224+1</f>
        <v>57</v>
      </c>
      <c r="B238" s="1790">
        <v>226</v>
      </c>
      <c r="C238" s="851" t="str">
        <f>Valid!$B$71</f>
        <v>At-Grade/Ballast (including expressway)</v>
      </c>
      <c r="D238" s="1841"/>
      <c r="E238" s="1245" t="str">
        <f>IF(AT238="N/A","",IF(AT238="N","No","Yes"))</f>
        <v/>
      </c>
      <c r="F238" s="764"/>
      <c r="G238" s="764"/>
      <c r="H238" s="1864"/>
      <c r="I238" s="1904" t="str">
        <f>IF(C234="","",IF(J238&lt;&gt;"","Linear Feet   ","Qty? Enter Zero if N/A  "))</f>
        <v/>
      </c>
      <c r="J238" s="1864"/>
      <c r="K238" s="1904" t="str">
        <f>IF(E238="yes","",IF(C234="","",IF(H238="","Qty? Enter Zero if N/A  ",IF(H238&lt;&gt;"","Track Feet      ",""))))</f>
        <v/>
      </c>
      <c r="L238" s="1864"/>
      <c r="M238" s="1620" t="str">
        <f>IF($H238=0,"",IF($L238="",TEXT(BN238,0)&amp;" Years?    ",""))</f>
        <v/>
      </c>
      <c r="N238" s="1905"/>
      <c r="O238" s="1620"/>
      <c r="P238" s="1864"/>
      <c r="Q238" s="1865" t="str">
        <f>IF(OR($N238="",$H238=0, P238&lt;&gt;""),"", IF($BK238&lt;&gt;0, "0 - ", "")&amp;IF($N238="%", TEXT($BK238, "0%"), IF($BK238&lt;1000, TEXT($BK238, "#,##0"), TEXT($BK238/1000, "#,##0")&amp;"k")&amp;" ft.")&amp;"?  ")</f>
        <v/>
      </c>
      <c r="R238" s="1864"/>
      <c r="S238" s="1865" t="str">
        <f>IF(OR($N238="",$H238=0, R238&lt;&gt;""),"", IF($BK238&lt;&gt;0, "0 - ", "")&amp;IF($N238="%", TEXT($BK238, "0%"), IF($BK238&lt;1000, TEXT($BK238, "#,##0"), TEXT($BK238/1000, "#,##0")&amp;"k")&amp;" ft.")&amp;"?  ")</f>
        <v/>
      </c>
      <c r="T238" s="1864"/>
      <c r="U238" s="1865" t="str">
        <f>IF(OR($N238="",$H238=0, T238&lt;&gt;""),"", IF($BK238&lt;&gt;0, "0 - ", "")&amp;IF($N238="%", TEXT($BK238, "0%"), IF($BK238&lt;1000, TEXT($BK238, "#,##0"), TEXT($BK238/1000, "#,##0")&amp;"k")&amp;" ft.")&amp;"?  ")</f>
        <v/>
      </c>
      <c r="V238" s="1864"/>
      <c r="W238" s="1865" t="str">
        <f>IF(OR($N238="",$H238=0, V238&lt;&gt;""),"", IF($BK238&lt;&gt;0, "0 - ", "")&amp;IF($N238="%", TEXT($BK238, "0%"), IF($BK238&lt;1000, TEXT($BK238, "#,##0"), TEXT($BK238/1000, "#,##0")&amp;"k")&amp;" ft.")&amp;"?  ")</f>
        <v/>
      </c>
      <c r="X238" s="1864"/>
      <c r="Y238" s="1865" t="str">
        <f>IF(OR($N238="",$H238=0, X238&lt;&gt;""),"", IF($BK238&lt;&gt;0, "0 - ", "")&amp;IF($N238="%", TEXT($BK238, "0%"), IF($BK238&lt;1000, TEXT($BK238, "#,##0"), TEXT($BK238/1000, "#,##0")&amp;"k")&amp;" ft.")&amp;"?  ")</f>
        <v/>
      </c>
      <c r="Z238" s="1864"/>
      <c r="AA238" s="1865" t="str">
        <f>IF(OR($N238="",$H238=0, Z238&lt;&gt;""),"", IF($BK238&lt;&gt;0, "0 - ", "")&amp;IF($N238="%", TEXT($BK238, "0%"), IF($BK238&lt;1000, TEXT($BK238, "#,##0"), TEXT($BK238/1000, "#,##0")&amp;"k")&amp;" ft.")&amp;"?  ")</f>
        <v/>
      </c>
      <c r="AB238" s="1864"/>
      <c r="AC238" s="1865" t="str">
        <f>IF(OR($N238="",$H238=0, AB238&lt;&gt;""),"", IF($BK238&lt;&gt;0, "0 - ", "")&amp;IF($N238="%", TEXT($BK238, "0%"), IF($BK238&lt;1000, TEXT($BK238, "#,##0"), TEXT($BK238/1000, "#,##0")&amp;"k")&amp;" ft.")&amp;"?  ")</f>
        <v/>
      </c>
      <c r="AD238" s="1864"/>
      <c r="AE238" s="1865" t="str">
        <f>IF(OR($N238="",$H238=0, AD238&lt;&gt;""),"", IF($BK238&lt;&gt;0, "0 - ", "")&amp;IF($N238="%", TEXT($BK238, "0%"), IF($BK238&lt;1000, TEXT($BK238, "#,##0"), TEXT($BK238/1000, "#,##0")&amp;"k")&amp;" ft.")&amp;"?  ")</f>
        <v/>
      </c>
      <c r="AF238" s="1864"/>
      <c r="AG238" s="1865" t="str">
        <f>IF(OR($N238="",$H238=0, AF238&lt;&gt;""),"", IF($BK238&lt;&gt;0, "0 - ", "")&amp;IF($N238="%", TEXT($BK238, "0%"), IF($BK238&lt;1000, TEXT($BK238, "#,##0"), TEXT($BK238/1000, "#,##0")&amp;"k")&amp;" ft.")&amp;"?  ")</f>
        <v/>
      </c>
      <c r="AH238" s="1864"/>
      <c r="AI238" s="1865" t="str">
        <f>IF(OR($N238="",$H238=0, AH238&lt;&gt;""),"", IF($BK238&lt;&gt;0, "0 - ", "")&amp;IF($N238="%", TEXT($BK238, "0%"), IF($BK238&lt;1000, TEXT($BK238, "#,##0"), TEXT($BK238/1000, "#,##0")&amp;"k")&amp;" ft.")&amp;"?  ")</f>
        <v/>
      </c>
      <c r="AJ238" s="1833">
        <f>IFERROR(IF(N238="%", SUM(P238,R238,T238,V238,X238,Z238,AB238,AD238,AF238,AH238)/100, SUM(P238,R238,T238,V238,X238,Z238,AB238,AD238,AF238,AH238)/IF(N238="LF", H238,J238)), 0)</f>
        <v>0</v>
      </c>
      <c r="AK238" s="1648"/>
      <c r="AL238" s="1675"/>
      <c r="AM238" s="839"/>
      <c r="AN238" s="1808"/>
      <c r="AO238" s="839"/>
      <c r="AP238" s="1653"/>
      <c r="AQ238" s="839"/>
      <c r="AS238" s="1399"/>
      <c r="AT238" s="1624" t="str">
        <f>IF(AND($C$234="", H238="", J238=""), "N/A", IF(OR(AND(ISNUMBER(H238), ISNUMBER(J238), H238=0, J238=0), AND(AJ238=1, H238&lt;&gt;"", J238&lt;&gt;"", L238&lt;&gt;"", N238&lt;&gt;"", P238&lt;&gt;"", R238&lt;&gt;"", T238&lt;&gt;"", V238&lt;&gt;"", X238&lt;&gt;"", Z238&lt;&gt;"", AB238&lt;&gt;"", AD238&lt;&gt;"", AF238&lt;&gt;"", AH238&lt;&gt;"",AL238&lt;&gt;"", IF(AND(AL238&lt;1, AN238=""), FALSE, TRUE))), "Yes", "No"))</f>
        <v>N/A</v>
      </c>
      <c r="AU238" s="759" t="b">
        <f>IF(AND(H238="",OR(L238&lt;&gt;"",P238&lt;&gt;"",R238&lt;&gt;"",T238&lt;&gt;"",V238&lt;&gt;"",X238&lt;&gt;"",AL238&lt;&gt;"",Z238&lt;&gt;"",AB238&lt;&gt;"",AD238&lt;&gt;"",AF238&lt;&gt;"",AH238&lt;&gt;"")),TRUE,FALSE)</f>
        <v>0</v>
      </c>
      <c r="AV238" s="759" t="b">
        <f>IF(OR(H238="",H238=0),FALSE,IF(H238&gt;BM238,TRUE,FALSE))</f>
        <v>0</v>
      </c>
      <c r="AW238" s="759" t="b">
        <f>IF(AND($C$234&lt;&gt;"",$H238=""),TRUE,FALSE)</f>
        <v>0</v>
      </c>
      <c r="AX238" s="759" t="b">
        <f>IF(E238="yes",FALSE,IF(H238="0",FALSE,IF(AND($C$234&lt;&gt;"",J238=""),TRUE,FALSE)))</f>
        <v>0</v>
      </c>
      <c r="AY238" s="759" t="b">
        <f>IF($L238="",FALSE,IF($L238&lt;$BO238,TRUE,FALSE))</f>
        <v>0</v>
      </c>
      <c r="AZ238" s="759" t="b">
        <f>IF($L238="",FALSE,IF($L238&gt;$BP238,TRUE,FALSE))</f>
        <v>0</v>
      </c>
      <c r="BA238" s="759" t="b">
        <f>IF(H238=0,FALSE,IF(AND(E238&lt;&gt;"",$L238=""),TRUE,FALSE))</f>
        <v>0</v>
      </c>
      <c r="BB238" s="759" t="b">
        <f>IF(AND($AJ238&lt;&gt;0,$H238&lt;&gt;$BJ238,$N238="LF"),TRUE,IF(AND($AJ238&lt;&gt;0,$J238&lt;&gt;$AJ238,$N238="TF"),TRUE,IF(AND($AJ238&lt;&gt;0,$AJ238&lt;&gt;1,$N238="%"),TRUE,FALSE)))</f>
        <v>0</v>
      </c>
      <c r="BC238" s="759" t="b">
        <f>IF(AT238="No", IF(OR(P238="", R238="", T238="", V238="", X238="", Z238="", AB238="", AD238="", AF238="", AH238=""), TRUE, FALSE), FALSE)</f>
        <v>0</v>
      </c>
      <c r="BD238" s="759" t="b">
        <f>IF($BE238=TRUE,FALSE,IF(OR($AL238&lt;0,$AL238&gt;1),TRUE,FALSE))</f>
        <v>0</v>
      </c>
      <c r="BE238" s="759" t="b">
        <f>IF(AND($H238&lt;&gt;0,$AL238=""),TRUE,FALSE)</f>
        <v>0</v>
      </c>
      <c r="BF238" s="759" t="b">
        <f>IF(N238="%",TRUE,FALSE)</f>
        <v>0</v>
      </c>
      <c r="BG238" s="760"/>
      <c r="BH238" s="1678">
        <f>IF($C238="","",VLOOKUP($C238,val_fg_assets,9,FALSE))</f>
        <v>1</v>
      </c>
      <c r="BI238" s="1678" t="str">
        <f>IF(N238="", "", IF(N238="LF", H238, IF(N238="TF", J238, IF(N238="%", 1, ""))))</f>
        <v/>
      </c>
      <c r="BJ238" s="1679">
        <f>P238+R238+T238+V238+X238+Z238+AB238+AD238+AF238+AH238</f>
        <v>0</v>
      </c>
      <c r="BK238" s="1679" t="str">
        <f>IF(BI238="", "", BI238-BJ238)</f>
        <v/>
      </c>
      <c r="BL238" s="1679">
        <f>IF($C238="","",VLOOKUP($C238,val_fg_assets,3,FALSE))</f>
        <v>0</v>
      </c>
      <c r="BM238" s="1679">
        <f>IF($C238="","",VLOOKUP($C238,val_fg_assets,4,FALSE))</f>
        <v>1320000</v>
      </c>
      <c r="BN238" s="1678">
        <f>IF($C238="","",VLOOKUP($C238,val_fg_assets,5,FALSE))</f>
        <v>80</v>
      </c>
      <c r="BO238" s="1678">
        <f>IF($C238="","",VLOOKUP($C238,val_fg_assets,6,FALSE))</f>
        <v>60</v>
      </c>
      <c r="BP238" s="1678">
        <f>IF($C238="","",VLOOKUP($C238,val_fg_assets,7,FALSE))</f>
        <v>100</v>
      </c>
      <c r="BQ238" s="1399"/>
    </row>
    <row r="239" spans="1:69" s="782" customFormat="1" ht="3.95" customHeight="1" x14ac:dyDescent="0.2">
      <c r="A239" s="1672"/>
      <c r="B239" s="1791">
        <v>227</v>
      </c>
      <c r="C239" s="1673"/>
      <c r="D239" s="1841"/>
      <c r="E239" s="1057"/>
      <c r="F239" s="764"/>
      <c r="G239" s="764"/>
      <c r="H239" s="1906"/>
      <c r="I239" s="1907"/>
      <c r="J239" s="1908"/>
      <c r="K239" s="1907"/>
      <c r="L239" s="1909"/>
      <c r="M239" s="1910"/>
      <c r="N239" s="1911"/>
      <c r="O239" s="1910"/>
      <c r="P239" s="1866"/>
      <c r="Q239" s="1867"/>
      <c r="R239" s="1866"/>
      <c r="S239" s="1867"/>
      <c r="T239" s="1866"/>
      <c r="U239" s="1867"/>
      <c r="V239" s="1866"/>
      <c r="W239" s="1867"/>
      <c r="X239" s="1866"/>
      <c r="Y239" s="1867"/>
      <c r="Z239" s="1867"/>
      <c r="AA239" s="1867"/>
      <c r="AB239" s="1867"/>
      <c r="AC239" s="1867"/>
      <c r="AD239" s="1867"/>
      <c r="AE239" s="1867"/>
      <c r="AF239" s="1867"/>
      <c r="AG239" s="1867"/>
      <c r="AH239" s="1867"/>
      <c r="AI239" s="837"/>
      <c r="AJ239" s="1806"/>
      <c r="AK239" s="841"/>
      <c r="AL239" s="1806"/>
      <c r="AM239" s="1399"/>
      <c r="AN239" s="838"/>
      <c r="AO239" s="1399"/>
      <c r="AP239" s="1223"/>
      <c r="AQ239" s="1399"/>
      <c r="AS239" s="1399"/>
      <c r="AT239" s="1399"/>
      <c r="AU239" s="759"/>
      <c r="AV239" s="759"/>
      <c r="AW239" s="759"/>
      <c r="AX239" s="759"/>
      <c r="AY239" s="759"/>
      <c r="AZ239" s="759"/>
      <c r="BA239" s="759"/>
      <c r="BB239" s="759"/>
      <c r="BC239" s="759"/>
      <c r="BD239" s="759"/>
      <c r="BE239" s="759"/>
      <c r="BF239" s="759"/>
      <c r="BG239" s="760"/>
      <c r="BH239" s="1678"/>
      <c r="BI239" s="1678"/>
      <c r="BJ239" s="1678"/>
      <c r="BK239" s="1678"/>
      <c r="BL239" s="1679"/>
      <c r="BM239" s="1679"/>
      <c r="BN239" s="1678"/>
      <c r="BO239" s="1678"/>
      <c r="BP239" s="1678"/>
      <c r="BQ239" s="1399"/>
    </row>
    <row r="240" spans="1:69" s="782" customFormat="1" ht="3.95" customHeight="1" thickBot="1" x14ac:dyDescent="0.25">
      <c r="A240" s="852"/>
      <c r="B240" s="1791">
        <v>228</v>
      </c>
      <c r="C240" s="851"/>
      <c r="D240" s="1841"/>
      <c r="E240" s="1058"/>
      <c r="F240" s="686"/>
      <c r="G240" s="686"/>
      <c r="H240" s="1909"/>
      <c r="I240" s="1908"/>
      <c r="J240" s="1908"/>
      <c r="K240" s="1908"/>
      <c r="L240" s="1909"/>
      <c r="M240" s="722"/>
      <c r="N240" s="1912"/>
      <c r="O240" s="722"/>
      <c r="P240" s="1868"/>
      <c r="Q240" s="1869"/>
      <c r="R240" s="1868"/>
      <c r="S240" s="1869"/>
      <c r="T240" s="1868"/>
      <c r="U240" s="1869"/>
      <c r="V240" s="1868"/>
      <c r="W240" s="1869"/>
      <c r="X240" s="1868"/>
      <c r="Y240" s="1869"/>
      <c r="Z240" s="1869"/>
      <c r="AA240" s="1869"/>
      <c r="AB240" s="1869"/>
      <c r="AC240" s="1869"/>
      <c r="AD240" s="1869"/>
      <c r="AE240" s="1869"/>
      <c r="AF240" s="1869"/>
      <c r="AG240" s="1869"/>
      <c r="AH240" s="1869"/>
      <c r="AI240" s="1670"/>
      <c r="AJ240" s="1828"/>
      <c r="AK240" s="724"/>
      <c r="AL240" s="1806"/>
      <c r="AM240" s="1399"/>
      <c r="AN240" s="1258"/>
      <c r="AO240" s="1399"/>
      <c r="AP240" s="1399"/>
      <c r="AQ240" s="1399"/>
      <c r="AS240" s="1399"/>
      <c r="AT240" s="1399"/>
      <c r="AU240" s="759"/>
      <c r="AV240" s="759"/>
      <c r="AW240" s="759"/>
      <c r="AX240" s="759"/>
      <c r="AY240" s="759"/>
      <c r="AZ240" s="759"/>
      <c r="BA240" s="759"/>
      <c r="BB240" s="759"/>
      <c r="BC240" s="759"/>
      <c r="BD240" s="759"/>
      <c r="BE240" s="759"/>
      <c r="BF240" s="759"/>
      <c r="BG240" s="760"/>
      <c r="BH240" s="1678"/>
      <c r="BI240" s="1678"/>
      <c r="BJ240" s="1678"/>
      <c r="BK240" s="1678"/>
      <c r="BL240" s="1679"/>
      <c r="BM240" s="1679"/>
      <c r="BN240" s="1678"/>
      <c r="BO240" s="1678"/>
      <c r="BP240" s="1678"/>
      <c r="BQ240" s="1399"/>
    </row>
    <row r="241" spans="1:69" s="782" customFormat="1" x14ac:dyDescent="0.2">
      <c r="A241" s="852">
        <f>A238+1</f>
        <v>58</v>
      </c>
      <c r="B241" s="1791">
        <v>229</v>
      </c>
      <c r="C241" s="851" t="str">
        <f>Valid!$B$72</f>
        <v>At-Grade/In-Street/Embedded</v>
      </c>
      <c r="D241" s="1841"/>
      <c r="E241" s="1245" t="str">
        <f>IF(AT241="N/A","",IF(AT241="N","No","Yes"))</f>
        <v/>
      </c>
      <c r="F241" s="764"/>
      <c r="G241" s="764"/>
      <c r="H241" s="1864"/>
      <c r="I241" s="1904" t="str">
        <f>IF(C234="","",IF(J241&lt;&gt;"","Linear Feet   ","Qty? Enter Zero if N/A  "))</f>
        <v/>
      </c>
      <c r="J241" s="1864"/>
      <c r="K241" s="1904" t="str">
        <f>IF(E241="yes","",IF(C234="","",IF(H241="","Qty? Enter Zero if N/A  ",IF(H241&lt;&gt;"","Track Feet      ",""))))</f>
        <v/>
      </c>
      <c r="L241" s="1864"/>
      <c r="M241" s="1620" t="str">
        <f>IF($H241=0,"",IF($L241="",TEXT(BN241,0)&amp;" Years?    ",""))</f>
        <v/>
      </c>
      <c r="N241" s="1905"/>
      <c r="O241" s="1620"/>
      <c r="P241" s="1864"/>
      <c r="Q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R241" s="1864"/>
      <c r="S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T241" s="1864"/>
      <c r="U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V241" s="1864"/>
      <c r="W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X241" s="1864"/>
      <c r="Y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Z241" s="1864"/>
      <c r="AA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B241" s="1864"/>
      <c r="AC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D241" s="1864"/>
      <c r="AE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F241" s="1864"/>
      <c r="AG241" s="1865"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H241" s="1864"/>
      <c r="AI241" s="904" t="str">
        <f>IF($N241="","",IF(AND($N241="",OR($H241="",$H241=0)),"",IF(AND($N241="LF",$AJ241&lt;$H241),"0 - "&amp;TEXT(($H241-$AJ241)/1000,"0")&amp;"k lin. ft.?    ",IF(AND($N241="TF",$AJ241&lt;$J241),"0 - "&amp;TEXT(($J241-$AJ241)/1000,"0")&amp;"k track ft.?    ",IF(AND($N241="%",$AJ241&lt;1),REPLACE(IF(AND($P241&gt;0,$V241&gt;0,$T241&gt;0,$X241&gt;0,$R241&gt;0,$Z241&gt;0,$AB241&gt;0,$AD241&gt;0,$AF241&gt;0,$AH241&gt;0),"","0-"),99,0,REPLACE(TEXT(100-$AJ241,0),99,0,"%?    ")),"")))))</f>
        <v/>
      </c>
      <c r="AJ241" s="1833">
        <f>IFERROR(IF(N241="%", SUM(P241,R241,T241,V241,X241,Z241,AB241,AD241,AF241,AH241)/100, SUM(P241,R241,T241,V241,X241,Z241,AB241,AD241,AF241,AH241)/IF(N241="LF", H241,J241)), 0)</f>
        <v>0</v>
      </c>
      <c r="AK241" s="1648"/>
      <c r="AL241" s="1675"/>
      <c r="AM241" s="1399"/>
      <c r="AN241" s="1808"/>
      <c r="AO241" s="1399"/>
      <c r="AP241" s="1653"/>
      <c r="AQ241" s="1399"/>
      <c r="AS241" s="1399"/>
      <c r="AT241" s="1624" t="str">
        <f>IF(AND($C$234="", H241="", J241=""), "N/A", IF(OR(AND(ISNUMBER(H241), ISNUMBER(J241), H241=0, J241=0), AND(AJ241=1, H241&lt;&gt;"", J241&lt;&gt;"", L241&lt;&gt;"", N241&lt;&gt;"", P241&lt;&gt;"", R241&lt;&gt;"", T241&lt;&gt;"", V241&lt;&gt;"", X241&lt;&gt;"", Z241&lt;&gt;"", AB241&lt;&gt;"", AD241&lt;&gt;"", AF241&lt;&gt;"", AH241&lt;&gt;"",AL241&lt;&gt;"", IF(AND(AL241&lt;1, AN241=""), FALSE, TRUE))), "Yes", "No"))</f>
        <v>N/A</v>
      </c>
      <c r="AU241" s="759" t="b">
        <f>IF(AND(H241="",OR(L241&lt;&gt;"",P241&lt;&gt;"",R241&lt;&gt;"",T241&lt;&gt;"",V241&lt;&gt;"",X241&lt;&gt;"",AL241&lt;&gt;"",Z241&lt;&gt;"",AB241&lt;&gt;"",AD241&lt;&gt;"",AF241&lt;&gt;"",AH241&lt;&gt;"")),TRUE,FALSE)</f>
        <v>0</v>
      </c>
      <c r="AV241" s="759" t="b">
        <f>IF(OR(H241="",H241=0),FALSE,IF(H241&gt;BM241,TRUE,FALSE))</f>
        <v>0</v>
      </c>
      <c r="AW241" s="759" t="b">
        <f>IF(AND($C$234&lt;&gt;"",$H241=""),TRUE,FALSE)</f>
        <v>0</v>
      </c>
      <c r="AX241" s="759" t="b">
        <f>IF(E241="yes",FALSE,IF(H241="0",FALSE,IF(AND($C$234&lt;&gt;"",J241=""),TRUE,FALSE)))</f>
        <v>0</v>
      </c>
      <c r="AY241" s="759" t="b">
        <f>IF($L241="",FALSE,IF($L241&lt;$BO241,TRUE,FALSE))</f>
        <v>0</v>
      </c>
      <c r="AZ241" s="759" t="b">
        <f>IF($L241="",FALSE,IF($L241&gt;$BP241,TRUE,FALSE))</f>
        <v>0</v>
      </c>
      <c r="BA241" s="759" t="b">
        <f>IF(H241=0,FALSE,IF(AND(E241&lt;&gt;"",$L241=""),TRUE,FALSE))</f>
        <v>0</v>
      </c>
      <c r="BB241" s="759" t="b">
        <f>IF(AND($AJ241&lt;&gt;0,$H241&lt;&gt;$BJ241,$N241="LF"),TRUE,IF(AND($AJ241&lt;&gt;0,$J241&lt;&gt;$AJ241,$N241="TF"),TRUE,IF(AND($AJ241&lt;&gt;0,$AJ241&lt;&gt;1,$N241="%"),TRUE,FALSE)))</f>
        <v>0</v>
      </c>
      <c r="BC241" s="759" t="b">
        <f>IF(AT241="No", IF(OR(P241="", R241="", T241="", V241="", X241="", Z241="", AB241="", AD241="", AF241="", AH241=""), TRUE, FALSE), FALSE)</f>
        <v>0</v>
      </c>
      <c r="BD241" s="759" t="b">
        <f>IF($BE241=TRUE,FALSE,IF(OR($AL241&lt;0,$AL241&gt;1),TRUE,FALSE))</f>
        <v>0</v>
      </c>
      <c r="BE241" s="759" t="b">
        <f>IF(AND($H241&lt;&gt;0,$AL241=""),TRUE,FALSE)</f>
        <v>0</v>
      </c>
      <c r="BF241" s="759" t="b">
        <f>IF(N241="%",TRUE,FALSE)</f>
        <v>0</v>
      </c>
      <c r="BG241" s="760"/>
      <c r="BH241" s="1678">
        <f>IF($C241="","",VLOOKUP($C241,val_fg_assets,9,FALSE))</f>
        <v>1</v>
      </c>
      <c r="BI241" s="1678" t="str">
        <f>IF(N241="", "", IF(N241="LF", H241, IF(N241="TF", J241, IF(N241="%", 1, ""))))</f>
        <v/>
      </c>
      <c r="BJ241" s="1679">
        <f>P241+R241+T241+V241+X241+Z241+AB241+AD241+AF241+AH241</f>
        <v>0</v>
      </c>
      <c r="BK241" s="1679" t="str">
        <f>IF(BI241="", "", BI241-BJ241)</f>
        <v/>
      </c>
      <c r="BL241" s="1679">
        <f>IF($C241="","",VLOOKUP($C241,val_fg_assets,3,FALSE))</f>
        <v>0</v>
      </c>
      <c r="BM241" s="1679">
        <f>IF($C241="","",VLOOKUP($C241,val_fg_assets,4,FALSE))</f>
        <v>1320000</v>
      </c>
      <c r="BN241" s="1678">
        <f>IF($C241="","",VLOOKUP($C241,val_fg_assets,5,FALSE))</f>
        <v>80</v>
      </c>
      <c r="BO241" s="1678">
        <f>IF($C241="","",VLOOKUP($C241,val_fg_assets,6,FALSE))</f>
        <v>60</v>
      </c>
      <c r="BP241" s="1678">
        <f>IF($C241="","",VLOOKUP($C241,val_fg_assets,7,FALSE))</f>
        <v>100</v>
      </c>
      <c r="BQ241" s="1399"/>
    </row>
    <row r="242" spans="1:69" s="782" customFormat="1" ht="3.95" customHeight="1" x14ac:dyDescent="0.2">
      <c r="A242" s="852"/>
      <c r="B242" s="1790">
        <v>230</v>
      </c>
      <c r="C242" s="851"/>
      <c r="D242" s="1841"/>
      <c r="E242" s="1058"/>
      <c r="F242" s="686"/>
      <c r="G242" s="686"/>
      <c r="H242" s="1906"/>
      <c r="I242" s="1907"/>
      <c r="J242" s="1908"/>
      <c r="K242" s="1907"/>
      <c r="L242" s="1909"/>
      <c r="M242" s="1910"/>
      <c r="N242" s="1911"/>
      <c r="O242" s="1910"/>
      <c r="P242" s="1866"/>
      <c r="Q242" s="1867"/>
      <c r="R242" s="1866"/>
      <c r="S242" s="1867"/>
      <c r="T242" s="1866"/>
      <c r="U242" s="1867"/>
      <c r="V242" s="1866"/>
      <c r="W242" s="1867"/>
      <c r="X242" s="1866"/>
      <c r="Y242" s="1867"/>
      <c r="Z242" s="1867"/>
      <c r="AA242" s="1867"/>
      <c r="AB242" s="1867"/>
      <c r="AC242" s="1867"/>
      <c r="AD242" s="1867"/>
      <c r="AE242" s="1867"/>
      <c r="AF242" s="1867"/>
      <c r="AG242" s="1867"/>
      <c r="AH242" s="1867"/>
      <c r="AI242" s="837"/>
      <c r="AJ242" s="1806"/>
      <c r="AK242" s="841"/>
      <c r="AL242" s="1806"/>
      <c r="AM242" s="1399"/>
      <c r="AN242" s="838"/>
      <c r="AO242" s="1399"/>
      <c r="AP242" s="1399"/>
      <c r="AQ242" s="1399"/>
      <c r="AS242" s="1399"/>
      <c r="AT242" s="1399"/>
      <c r="AU242" s="759"/>
      <c r="AV242" s="759"/>
      <c r="AW242" s="759"/>
      <c r="AX242" s="759"/>
      <c r="AY242" s="759"/>
      <c r="AZ242" s="759"/>
      <c r="BA242" s="759"/>
      <c r="BB242" s="759"/>
      <c r="BC242" s="759"/>
      <c r="BD242" s="759"/>
      <c r="BE242" s="759"/>
      <c r="BF242" s="759"/>
      <c r="BG242" s="760"/>
      <c r="BH242" s="1678"/>
      <c r="BI242" s="1678"/>
      <c r="BJ242" s="1678"/>
      <c r="BK242" s="1678"/>
      <c r="BL242" s="1679"/>
      <c r="BM242" s="1679"/>
      <c r="BN242" s="1678"/>
      <c r="BO242" s="1678"/>
      <c r="BP242" s="1678"/>
      <c r="BQ242" s="1399"/>
    </row>
    <row r="243" spans="1:69" s="782" customFormat="1" ht="3.95" customHeight="1" thickBot="1" x14ac:dyDescent="0.25">
      <c r="A243" s="852"/>
      <c r="B243" s="1790">
        <v>231</v>
      </c>
      <c r="C243" s="1673"/>
      <c r="D243" s="1841"/>
      <c r="E243" s="1057"/>
      <c r="F243" s="764"/>
      <c r="G243" s="764"/>
      <c r="H243" s="1913"/>
      <c r="I243" s="1908"/>
      <c r="J243" s="1908"/>
      <c r="K243" s="1908"/>
      <c r="L243" s="1909"/>
      <c r="M243" s="722"/>
      <c r="N243" s="1912"/>
      <c r="O243" s="722"/>
      <c r="P243" s="1868"/>
      <c r="Q243" s="1869"/>
      <c r="R243" s="1868"/>
      <c r="S243" s="1869"/>
      <c r="T243" s="1868"/>
      <c r="U243" s="1869"/>
      <c r="V243" s="1868"/>
      <c r="W243" s="1869"/>
      <c r="X243" s="1868"/>
      <c r="Y243" s="1869"/>
      <c r="Z243" s="1869"/>
      <c r="AA243" s="1869"/>
      <c r="AB243" s="1869"/>
      <c r="AC243" s="1869"/>
      <c r="AD243" s="1869"/>
      <c r="AE243" s="1869"/>
      <c r="AF243" s="1869"/>
      <c r="AG243" s="1869"/>
      <c r="AH243" s="1869"/>
      <c r="AI243" s="1670"/>
      <c r="AJ243" s="1828"/>
      <c r="AK243" s="724"/>
      <c r="AL243" s="1806"/>
      <c r="AM243" s="1399"/>
      <c r="AN243" s="1258"/>
      <c r="AO243" s="1399"/>
      <c r="AP243" s="1223"/>
      <c r="AQ243" s="1399"/>
      <c r="AS243" s="1399"/>
      <c r="AT243" s="1399"/>
      <c r="AU243" s="759"/>
      <c r="AV243" s="759"/>
      <c r="AW243" s="759"/>
      <c r="AX243" s="759"/>
      <c r="AY243" s="759"/>
      <c r="AZ243" s="759"/>
      <c r="BA243" s="759"/>
      <c r="BB243" s="759"/>
      <c r="BC243" s="759"/>
      <c r="BD243" s="759"/>
      <c r="BE243" s="759"/>
      <c r="BF243" s="759"/>
      <c r="BG243" s="760"/>
      <c r="BH243" s="1678"/>
      <c r="BI243" s="1678"/>
      <c r="BJ243" s="1678"/>
      <c r="BK243" s="1678"/>
      <c r="BL243" s="1679"/>
      <c r="BM243" s="1679"/>
      <c r="BN243" s="1678"/>
      <c r="BO243" s="1678"/>
      <c r="BP243" s="1678"/>
      <c r="BQ243" s="1399"/>
    </row>
    <row r="244" spans="1:69" s="782" customFormat="1" x14ac:dyDescent="0.2">
      <c r="A244" s="852">
        <f>A241+1</f>
        <v>59</v>
      </c>
      <c r="B244" s="1791">
        <v>232</v>
      </c>
      <c r="C244" s="851" t="str">
        <f>Valid!$B$73</f>
        <v>Elevated/Retained Fill</v>
      </c>
      <c r="D244" s="1841"/>
      <c r="E244" s="1245" t="str">
        <f>IF(AT244="N/A","",IF(AT244="N","No","Yes"))</f>
        <v/>
      </c>
      <c r="F244" s="686"/>
      <c r="G244" s="686"/>
      <c r="H244" s="1864"/>
      <c r="I244" s="1904" t="str">
        <f>IF(C234="","",IF(J244&lt;&gt;"","Linear Feet   ","Qty? Enter Zero if N/A  "))</f>
        <v/>
      </c>
      <c r="J244" s="1864"/>
      <c r="K244" s="1904" t="str">
        <f>IF(E244="yes","",IF(C234="","",IF(H244="","Qty? Enter Zero if N/A  ",IF(H244&lt;&gt;"","Track Feet      ",""))))</f>
        <v/>
      </c>
      <c r="L244" s="1864"/>
      <c r="M244" s="1620" t="str">
        <f>IF($H244=0,"",IF($L244="",TEXT(BN244,0)&amp;" Years?    ",""))</f>
        <v/>
      </c>
      <c r="N244" s="1905"/>
      <c r="O244" s="1620"/>
      <c r="P244" s="1864"/>
      <c r="Q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R244" s="1864"/>
      <c r="S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T244" s="1864"/>
      <c r="U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V244" s="1864"/>
      <c r="W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X244" s="1864"/>
      <c r="Y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Z244" s="1864"/>
      <c r="AA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B244" s="1864"/>
      <c r="AC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D244" s="1864"/>
      <c r="AE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F244" s="1864"/>
      <c r="AG244" s="1865"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H244" s="1864"/>
      <c r="AI244" s="904" t="str">
        <f>IF($N244="","",IF(AND($N244="",OR($H244="",$H244=0)),"",IF(AND($N244="LF",$AJ244&lt;$H244),"0 - "&amp;TEXT(($H244-$AJ244)/1000,"0")&amp;"k lin. ft.?    ",IF(AND($N244="TF",$AJ244&lt;$J244),"0 - "&amp;TEXT(($J244-$AJ244)/1000,"0")&amp;"k track ft.?    ",IF(AND($N244="%",$AJ244&lt;1),REPLACE(IF(AND($P244&gt;0,$V244&gt;0,$T244&gt;0,$X244&gt;0,$R244&gt;0,$Z244&gt;0,$AB244&gt;0,$AD244&gt;0,$AF244&gt;0,$AH244&gt;0),"","0-"),99,0,REPLACE(TEXT(100-$AJ244,0),99,0,"%?    ")),"")))))</f>
        <v/>
      </c>
      <c r="AJ244" s="1833">
        <f>IFERROR(IF(N244="%", SUM(P244,R244,T244,V244,X244,Z244,AB244,AD244,AF244,AH244)/100, SUM(P244,R244,T244,V244,X244,Z244,AB244,AD244,AF244,AH244)/IF(N244="LF", H244,J244)), 0)</f>
        <v>0</v>
      </c>
      <c r="AK244" s="1648"/>
      <c r="AL244" s="1675"/>
      <c r="AM244" s="1399"/>
      <c r="AN244" s="1808"/>
      <c r="AO244" s="1399"/>
      <c r="AP244" s="1653"/>
      <c r="AQ244" s="1399"/>
      <c r="AS244" s="1399"/>
      <c r="AT244" s="1624" t="str">
        <f>IF(AND($C$234="", H244="", J244=""), "N/A", IF(OR(AND(ISNUMBER(H244), ISNUMBER(J244), H244=0, J244=0), AND(AJ244=1, H244&lt;&gt;"", J244&lt;&gt;"", L244&lt;&gt;"", N244&lt;&gt;"", P244&lt;&gt;"", R244&lt;&gt;"", T244&lt;&gt;"", V244&lt;&gt;"", X244&lt;&gt;"", Z244&lt;&gt;"", AB244&lt;&gt;"", AD244&lt;&gt;"", AF244&lt;&gt;"", AH244&lt;&gt;"",AL244&lt;&gt;"", IF(AND(AL244&lt;1, AN244=""), FALSE, TRUE))), "Yes", "No"))</f>
        <v>N/A</v>
      </c>
      <c r="AU244" s="759" t="b">
        <f>IF(AND(H244="",OR(L244&lt;&gt;"",P244&lt;&gt;"",R244&lt;&gt;"",T244&lt;&gt;"",V244&lt;&gt;"",X244&lt;&gt;"",AL244&lt;&gt;"",Z244&lt;&gt;"",AB244&lt;&gt;"",AD244&lt;&gt;"",AF244&lt;&gt;"",AH244&lt;&gt;"")),TRUE,FALSE)</f>
        <v>0</v>
      </c>
      <c r="AV244" s="759" t="b">
        <f>IF(OR(H244="",H244=0),FALSE,IF(H244&gt;BM244,TRUE,FALSE))</f>
        <v>0</v>
      </c>
      <c r="AW244" s="759" t="b">
        <f>IF(AND($C$234&lt;&gt;"",$H244=""),TRUE,FALSE)</f>
        <v>0</v>
      </c>
      <c r="AX244" s="759" t="b">
        <f>IF(E244="yes",FALSE,IF(H244="0",FALSE,IF(AND($C$234&lt;&gt;"",J244=""),TRUE,FALSE)))</f>
        <v>0</v>
      </c>
      <c r="AY244" s="759" t="b">
        <f>IF($L244="",FALSE,IF($L244&lt;$BO244,TRUE,FALSE))</f>
        <v>0</v>
      </c>
      <c r="AZ244" s="759" t="b">
        <f>IF($L244="",FALSE,IF($L244&gt;$BP244,TRUE,FALSE))</f>
        <v>0</v>
      </c>
      <c r="BA244" s="759" t="b">
        <f>IF(H244=0,FALSE,IF(AND(E244&lt;&gt;"",$L244=""),TRUE,FALSE))</f>
        <v>0</v>
      </c>
      <c r="BB244" s="759" t="b">
        <f>IF(AND($AJ244&lt;&gt;0,$H244&lt;&gt;$BJ244,$N244="LF"),TRUE,IF(AND($AJ244&lt;&gt;0,$J244&lt;&gt;$AJ244,$N244="TF"),TRUE,IF(AND($AJ244&lt;&gt;0,$AJ244&lt;&gt;1,$N244="%"),TRUE,FALSE)))</f>
        <v>0</v>
      </c>
      <c r="BC244" s="759" t="b">
        <f>IF(AT244="No", IF(OR(P244="", R244="", T244="", V244="", X244="", Z244="", AB244="", AD244="", AF244="", AH244=""), TRUE, FALSE), FALSE)</f>
        <v>0</v>
      </c>
      <c r="BD244" s="759" t="b">
        <f>IF($BE244=TRUE,FALSE,IF(OR($AL244&lt;0,$AL244&gt;1),TRUE,FALSE))</f>
        <v>0</v>
      </c>
      <c r="BE244" s="759" t="b">
        <f>IF(AND($H244&lt;&gt;0,$AL244=""),TRUE,FALSE)</f>
        <v>0</v>
      </c>
      <c r="BF244" s="759" t="b">
        <f>IF(N244="%",TRUE,FALSE)</f>
        <v>0</v>
      </c>
      <c r="BG244" s="760"/>
      <c r="BH244" s="1678">
        <f>IF($C244="","",VLOOKUP($C244,val_fg_assets,9,FALSE))</f>
        <v>1</v>
      </c>
      <c r="BI244" s="1678" t="str">
        <f>IF(N244="", "", IF(N244="LF", H244, IF(N244="TF", J244, IF(N244="%", 1, ""))))</f>
        <v/>
      </c>
      <c r="BJ244" s="1679">
        <f>P244+R244+T244+V244+X244+Z244+AB244+AD244+AF244+AH244</f>
        <v>0</v>
      </c>
      <c r="BK244" s="1679" t="str">
        <f>IF(BI244="", "", BI244-BJ244)</f>
        <v/>
      </c>
      <c r="BL244" s="1679">
        <f>IF($C244="","",VLOOKUP($C244,val_fg_assets,3,FALSE))</f>
        <v>0</v>
      </c>
      <c r="BM244" s="1679">
        <f>IF($C244="","",VLOOKUP($C244,val_fg_assets,4,FALSE))</f>
        <v>1320000</v>
      </c>
      <c r="BN244" s="1678">
        <f>IF($C244="","",VLOOKUP($C244,val_fg_assets,5,FALSE))</f>
        <v>80</v>
      </c>
      <c r="BO244" s="1678">
        <f>IF($C244="","",VLOOKUP($C244,val_fg_assets,6,FALSE))</f>
        <v>60</v>
      </c>
      <c r="BP244" s="1678">
        <f>IF($C244="","",VLOOKUP($C244,val_fg_assets,7,FALSE))</f>
        <v>100</v>
      </c>
      <c r="BQ244" s="1399"/>
    </row>
    <row r="245" spans="1:69" s="782" customFormat="1" ht="3.95" customHeight="1" x14ac:dyDescent="0.2">
      <c r="A245" s="852"/>
      <c r="B245" s="1791">
        <v>233</v>
      </c>
      <c r="C245" s="1673"/>
      <c r="D245" s="1841"/>
      <c r="E245" s="1057"/>
      <c r="F245" s="764"/>
      <c r="G245" s="764"/>
      <c r="H245" s="1909"/>
      <c r="I245" s="1908"/>
      <c r="J245" s="1908"/>
      <c r="K245" s="1908"/>
      <c r="L245" s="1909"/>
      <c r="M245" s="1910"/>
      <c r="N245" s="1911"/>
      <c r="O245" s="1910"/>
      <c r="P245" s="1866"/>
      <c r="Q245" s="1867"/>
      <c r="R245" s="1866"/>
      <c r="S245" s="1867"/>
      <c r="T245" s="1866"/>
      <c r="U245" s="1867"/>
      <c r="V245" s="1866"/>
      <c r="W245" s="1867"/>
      <c r="X245" s="1866"/>
      <c r="Y245" s="1867"/>
      <c r="Z245" s="1867"/>
      <c r="AA245" s="1867"/>
      <c r="AB245" s="1867"/>
      <c r="AC245" s="1867"/>
      <c r="AD245" s="1867"/>
      <c r="AE245" s="1867"/>
      <c r="AF245" s="1867"/>
      <c r="AG245" s="1867"/>
      <c r="AH245" s="1867"/>
      <c r="AI245" s="837"/>
      <c r="AJ245" s="1806"/>
      <c r="AK245" s="841"/>
      <c r="AL245" s="1806"/>
      <c r="AM245" s="1399"/>
      <c r="AN245" s="838"/>
      <c r="AO245" s="1399"/>
      <c r="AP245" s="1399"/>
      <c r="AQ245" s="1399"/>
      <c r="AS245" s="1399"/>
      <c r="AT245" s="1399"/>
      <c r="AU245" s="759"/>
      <c r="AV245" s="759"/>
      <c r="AW245" s="759"/>
      <c r="AX245" s="759"/>
      <c r="AY245" s="759"/>
      <c r="AZ245" s="759"/>
      <c r="BA245" s="759"/>
      <c r="BB245" s="759"/>
      <c r="BC245" s="759"/>
      <c r="BD245" s="759"/>
      <c r="BE245" s="759"/>
      <c r="BF245" s="759"/>
      <c r="BG245" s="760"/>
      <c r="BH245" s="1678"/>
      <c r="BI245" s="1678"/>
      <c r="BJ245" s="1678"/>
      <c r="BK245" s="1678"/>
      <c r="BL245" s="1679"/>
      <c r="BM245" s="1679"/>
      <c r="BN245" s="1678"/>
      <c r="BO245" s="1678"/>
      <c r="BP245" s="1678"/>
      <c r="BQ245" s="1399"/>
    </row>
    <row r="246" spans="1:69" s="782" customFormat="1" ht="3.95" customHeight="1" thickBot="1" x14ac:dyDescent="0.25">
      <c r="A246" s="852"/>
      <c r="B246" s="1791">
        <v>234</v>
      </c>
      <c r="C246" s="851"/>
      <c r="D246" s="1841"/>
      <c r="E246" s="1058"/>
      <c r="F246" s="686"/>
      <c r="G246" s="686"/>
      <c r="H246" s="1913"/>
      <c r="I246" s="1908"/>
      <c r="J246" s="1908"/>
      <c r="K246" s="1908"/>
      <c r="L246" s="1909"/>
      <c r="M246" s="722"/>
      <c r="N246" s="1912"/>
      <c r="O246" s="722"/>
      <c r="P246" s="1868"/>
      <c r="Q246" s="1869"/>
      <c r="R246" s="1868"/>
      <c r="S246" s="1869"/>
      <c r="T246" s="1868"/>
      <c r="U246" s="1869"/>
      <c r="V246" s="1868"/>
      <c r="W246" s="1869"/>
      <c r="X246" s="1868"/>
      <c r="Y246" s="1869"/>
      <c r="Z246" s="1869"/>
      <c r="AA246" s="1869"/>
      <c r="AB246" s="1869"/>
      <c r="AC246" s="1869"/>
      <c r="AD246" s="1869"/>
      <c r="AE246" s="1869"/>
      <c r="AF246" s="1869"/>
      <c r="AG246" s="1869"/>
      <c r="AH246" s="1869"/>
      <c r="AI246" s="1670"/>
      <c r="AJ246" s="1828"/>
      <c r="AK246" s="724"/>
      <c r="AL246" s="1806"/>
      <c r="AM246" s="1399"/>
      <c r="AN246" s="1258"/>
      <c r="AO246" s="1399"/>
      <c r="AP246" s="1399"/>
      <c r="AQ246" s="1399"/>
      <c r="AS246" s="1399"/>
      <c r="AT246" s="1399"/>
      <c r="AU246" s="759"/>
      <c r="AV246" s="759"/>
      <c r="AW246" s="759"/>
      <c r="AX246" s="759"/>
      <c r="AY246" s="759"/>
      <c r="AZ246" s="759"/>
      <c r="BA246" s="759"/>
      <c r="BB246" s="759"/>
      <c r="BC246" s="759"/>
      <c r="BD246" s="759"/>
      <c r="BE246" s="759"/>
      <c r="BF246" s="759"/>
      <c r="BG246" s="760"/>
      <c r="BH246" s="1678"/>
      <c r="BI246" s="1678"/>
      <c r="BJ246" s="1678"/>
      <c r="BK246" s="1678"/>
      <c r="BL246" s="1679"/>
      <c r="BM246" s="1679"/>
      <c r="BN246" s="1678"/>
      <c r="BO246" s="1678"/>
      <c r="BP246" s="1678"/>
      <c r="BQ246" s="1399"/>
    </row>
    <row r="247" spans="1:69" s="782" customFormat="1" x14ac:dyDescent="0.2">
      <c r="A247" s="852">
        <f>A244+1</f>
        <v>60</v>
      </c>
      <c r="B247" s="1790">
        <v>235</v>
      </c>
      <c r="C247" s="851" t="str">
        <f>Valid!$B$74</f>
        <v>Elevated/Concrete</v>
      </c>
      <c r="D247" s="1841"/>
      <c r="E247" s="1245" t="str">
        <f>IF(AT247="N/A","",IF(AT247="N","No","Yes"))</f>
        <v/>
      </c>
      <c r="F247" s="764"/>
      <c r="G247" s="764"/>
      <c r="H247" s="1864"/>
      <c r="I247" s="1904" t="str">
        <f>IF(C234="","",IF(J247&lt;&gt;"","Linear Feet   ","Qty? Enter Zero if N/A  "))</f>
        <v/>
      </c>
      <c r="J247" s="1864"/>
      <c r="K247" s="1904" t="str">
        <f>IF(E247="yes","",IF(C234="","",IF(H247="","Qty? Enter Zero if N/A  ",IF(H247&lt;&gt;"","Track Feet      ",""))))</f>
        <v/>
      </c>
      <c r="L247" s="1864"/>
      <c r="M247" s="1620" t="str">
        <f>IF($H247=0,"",IF($L247="",TEXT(BN247,0)&amp;" Years?    ",""))</f>
        <v/>
      </c>
      <c r="N247" s="1905"/>
      <c r="O247" s="1620"/>
      <c r="P247" s="1864"/>
      <c r="Q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R247" s="1864"/>
      <c r="S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T247" s="1864"/>
      <c r="U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V247" s="1864"/>
      <c r="W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X247" s="1864"/>
      <c r="Y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Z247" s="1864"/>
      <c r="AA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B247" s="1864"/>
      <c r="AC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D247" s="1864"/>
      <c r="AE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F247" s="1864"/>
      <c r="AG247" s="1865"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H247" s="1864"/>
      <c r="AI247" s="904" t="str">
        <f>IF($N247="","",IF(AND($N247="",OR($H247="",$H247=0)),"",IF(AND($N247="LF",$AJ247&lt;$H247),"0 - "&amp;TEXT(($H247-$AJ247)/1000,"0")&amp;"k lin. ft.?    ",IF(AND($N247="TF",$AJ247&lt;$J247),"0 - "&amp;TEXT(($J247-$AJ247)/1000,"0")&amp;"k track ft.?    ",IF(AND($N247="%",$AJ247&lt;1),REPLACE(IF(AND($P247&gt;0,$V247&gt;0,$T247&gt;0,$X247&gt;0,$R247&gt;0,$Z247&gt;0,$AB247&gt;0,$AD247&gt;0,$AF247&gt;0,$AH247&gt;0),"","0-"),99,0,REPLACE(TEXT(100-$AJ247,0),99,0,"%?    ")),"")))))</f>
        <v/>
      </c>
      <c r="AJ247" s="1833">
        <f>IFERROR(IF(N247="%", SUM(P247,R247,T247,V247,X247,Z247,AB247,AD247,AF247,AH247)/100, SUM(P247,R247,T247,V247,X247,Z247,AB247,AD247,AF247,AH247)/IF(N247="LF", H247,J247)), 0)</f>
        <v>0</v>
      </c>
      <c r="AK247" s="1648"/>
      <c r="AL247" s="1675"/>
      <c r="AM247" s="1399"/>
      <c r="AN247" s="1808"/>
      <c r="AO247" s="1399"/>
      <c r="AP247" s="1653"/>
      <c r="AQ247" s="1399"/>
      <c r="AS247" s="1399"/>
      <c r="AT247" s="1624" t="str">
        <f>IF(AND($C$234="", H247="", J247=""), "N/A", IF(OR(AND(ISNUMBER(H247), ISNUMBER(J247), H247=0, J247=0), AND(AJ247=1, H247&lt;&gt;"", J247&lt;&gt;"", L247&lt;&gt;"", N247&lt;&gt;"", P247&lt;&gt;"", R247&lt;&gt;"", T247&lt;&gt;"", V247&lt;&gt;"", X247&lt;&gt;"", Z247&lt;&gt;"", AB247&lt;&gt;"", AD247&lt;&gt;"", AF247&lt;&gt;"", AH247&lt;&gt;"",AL247&lt;&gt;"", IF(AND(AL247&lt;1, AN247=""), FALSE, TRUE))), "Yes", "No"))</f>
        <v>N/A</v>
      </c>
      <c r="AU247" s="759" t="b">
        <f>IF(AND(H247="",OR(L247&lt;&gt;"",P247&lt;&gt;"",R247&lt;&gt;"",T247&lt;&gt;"",V247&lt;&gt;"",X247&lt;&gt;"",AL247&lt;&gt;"",Z247&lt;&gt;"",AB247&lt;&gt;"",AD247&lt;&gt;"",AF247&lt;&gt;"",AH247&lt;&gt;"")),TRUE,FALSE)</f>
        <v>0</v>
      </c>
      <c r="AV247" s="759" t="b">
        <f>IF(OR(H247="",H247=0),FALSE,IF(H247&gt;BM247,TRUE,FALSE))</f>
        <v>0</v>
      </c>
      <c r="AW247" s="759" t="b">
        <f>IF(AND($C$234&lt;&gt;"",$H247=""),TRUE,FALSE)</f>
        <v>0</v>
      </c>
      <c r="AX247" s="759" t="b">
        <f>IF(E247="yes",FALSE,IF(H247="0",FALSE,IF(AND($C$234&lt;&gt;"",J247=""),TRUE,FALSE)))</f>
        <v>0</v>
      </c>
      <c r="AY247" s="759" t="b">
        <f>IF($L247="",FALSE,IF($L247&lt;$BO247,TRUE,FALSE))</f>
        <v>0</v>
      </c>
      <c r="AZ247" s="759" t="b">
        <f>IF($L247="",FALSE,IF($L247&gt;$BP247,TRUE,FALSE))</f>
        <v>0</v>
      </c>
      <c r="BA247" s="759" t="b">
        <f>IF(H247=0,FALSE,IF(AND(E247&lt;&gt;"",$L247=""),TRUE,FALSE))</f>
        <v>0</v>
      </c>
      <c r="BB247" s="759" t="b">
        <f>IF(AND($AJ247&lt;&gt;0,$H247&lt;&gt;$BJ247,$N247="LF"),TRUE,IF(AND($AJ247&lt;&gt;0,$J247&lt;&gt;$AJ247,$N247="TF"),TRUE,IF(AND($AJ247&lt;&gt;0,$AJ247&lt;&gt;1,$N247="%"),TRUE,FALSE)))</f>
        <v>0</v>
      </c>
      <c r="BC247" s="759" t="b">
        <f>IF(AT247="No", IF(OR(P247="", R247="", T247="", V247="", X247="", Z247="", AB247="", AD247="", AF247="", AH247=""), TRUE, FALSE), FALSE)</f>
        <v>0</v>
      </c>
      <c r="BD247" s="759" t="b">
        <f>IF($BE247=TRUE,FALSE,IF(OR($AL247&lt;0,$AL247&gt;1),TRUE,FALSE))</f>
        <v>0</v>
      </c>
      <c r="BE247" s="759" t="b">
        <f>IF(AND($H247&lt;&gt;0,$AL247=""),TRUE,FALSE)</f>
        <v>0</v>
      </c>
      <c r="BF247" s="759" t="b">
        <f>IF(N247="%",TRUE,FALSE)</f>
        <v>0</v>
      </c>
      <c r="BG247" s="760"/>
      <c r="BH247" s="1678">
        <f>IF($C247="","",VLOOKUP($C247,val_fg_assets,9,FALSE))</f>
        <v>1</v>
      </c>
      <c r="BI247" s="1678" t="str">
        <f>IF(N247="", "", IF(N247="LF", H247, IF(N247="TF", J247, IF(N247="%", 1, ""))))</f>
        <v/>
      </c>
      <c r="BJ247" s="1679">
        <f>P247+R247+T247+V247+X247+Z247+AB247+AD247+AF247+AH247</f>
        <v>0</v>
      </c>
      <c r="BK247" s="1679" t="str">
        <f>IF(BI247="", "", BI247-BJ247)</f>
        <v/>
      </c>
      <c r="BL247" s="1679">
        <f>IF($C247="","",VLOOKUP($C247,val_fg_assets,3,FALSE))</f>
        <v>0</v>
      </c>
      <c r="BM247" s="1679">
        <f>IF($C247="","",VLOOKUP($C247,val_fg_assets,4,FALSE))</f>
        <v>1320000</v>
      </c>
      <c r="BN247" s="1678">
        <f>IF($C247="","",VLOOKUP($C247,val_fg_assets,5,FALSE))</f>
        <v>80</v>
      </c>
      <c r="BO247" s="1678">
        <f>IF($C247="","",VLOOKUP($C247,val_fg_assets,6,FALSE))</f>
        <v>60</v>
      </c>
      <c r="BP247" s="1678">
        <f>IF($C247="","",VLOOKUP($C247,val_fg_assets,7,FALSE))</f>
        <v>100</v>
      </c>
      <c r="BQ247" s="1399"/>
    </row>
    <row r="248" spans="1:69" s="782" customFormat="1" ht="3.95" customHeight="1" x14ac:dyDescent="0.2">
      <c r="A248" s="852"/>
      <c r="B248" s="1790">
        <v>236</v>
      </c>
      <c r="C248" s="851"/>
      <c r="D248" s="1841"/>
      <c r="E248" s="1058"/>
      <c r="F248" s="686"/>
      <c r="G248" s="686"/>
      <c r="H248" s="1909"/>
      <c r="I248" s="1907"/>
      <c r="J248" s="1908"/>
      <c r="K248" s="1907"/>
      <c r="L248" s="1909"/>
      <c r="M248" s="1910"/>
      <c r="N248" s="1911"/>
      <c r="O248" s="1910"/>
      <c r="P248" s="1866"/>
      <c r="Q248" s="1867"/>
      <c r="R248" s="1866"/>
      <c r="S248" s="1867"/>
      <c r="T248" s="1866"/>
      <c r="U248" s="1867"/>
      <c r="V248" s="1866"/>
      <c r="W248" s="1867"/>
      <c r="X248" s="1866"/>
      <c r="Y248" s="1867"/>
      <c r="Z248" s="1867"/>
      <c r="AA248" s="1867"/>
      <c r="AB248" s="1867"/>
      <c r="AC248" s="1867"/>
      <c r="AD248" s="1867"/>
      <c r="AE248" s="1867"/>
      <c r="AF248" s="1867"/>
      <c r="AG248" s="1867"/>
      <c r="AH248" s="1867"/>
      <c r="AI248" s="837"/>
      <c r="AJ248" s="1806"/>
      <c r="AK248" s="841"/>
      <c r="AL248" s="1806"/>
      <c r="AM248" s="1399"/>
      <c r="AN248" s="838"/>
      <c r="AO248" s="1399"/>
      <c r="AP248" s="1223"/>
      <c r="AQ248" s="1399"/>
      <c r="AS248" s="1399"/>
      <c r="AT248" s="1399"/>
      <c r="AU248" s="759"/>
      <c r="AV248" s="759"/>
      <c r="AW248" s="759"/>
      <c r="AX248" s="759"/>
      <c r="AY248" s="759"/>
      <c r="AZ248" s="759"/>
      <c r="BA248" s="759"/>
      <c r="BB248" s="759"/>
      <c r="BC248" s="759"/>
      <c r="BD248" s="759"/>
      <c r="BE248" s="759"/>
      <c r="BF248" s="759"/>
      <c r="BG248" s="760"/>
      <c r="BH248" s="1678"/>
      <c r="BI248" s="1678"/>
      <c r="BJ248" s="1678"/>
      <c r="BK248" s="1678"/>
      <c r="BL248" s="1679"/>
      <c r="BM248" s="1679"/>
      <c r="BN248" s="1678"/>
      <c r="BO248" s="1678"/>
      <c r="BP248" s="1678"/>
      <c r="BQ248" s="1399"/>
    </row>
    <row r="249" spans="1:69" s="782" customFormat="1" ht="3.95" customHeight="1" thickBot="1" x14ac:dyDescent="0.25">
      <c r="A249" s="852"/>
      <c r="B249" s="1791">
        <v>237</v>
      </c>
      <c r="C249" s="1673"/>
      <c r="D249" s="1841"/>
      <c r="E249" s="1057"/>
      <c r="F249" s="764"/>
      <c r="G249" s="764"/>
      <c r="H249" s="1913"/>
      <c r="I249" s="1908"/>
      <c r="J249" s="1908"/>
      <c r="K249" s="1908"/>
      <c r="L249" s="1909"/>
      <c r="M249" s="722"/>
      <c r="N249" s="1912"/>
      <c r="O249" s="722"/>
      <c r="P249" s="1868"/>
      <c r="Q249" s="1869"/>
      <c r="R249" s="1868"/>
      <c r="S249" s="1869"/>
      <c r="T249" s="1868"/>
      <c r="U249" s="1869"/>
      <c r="V249" s="1868"/>
      <c r="W249" s="1869"/>
      <c r="X249" s="1868"/>
      <c r="Y249" s="1869"/>
      <c r="Z249" s="1869"/>
      <c r="AA249" s="1869"/>
      <c r="AB249" s="1869"/>
      <c r="AC249" s="1869"/>
      <c r="AD249" s="1869"/>
      <c r="AE249" s="1869"/>
      <c r="AF249" s="1869"/>
      <c r="AG249" s="1869"/>
      <c r="AH249" s="1869"/>
      <c r="AI249" s="1670"/>
      <c r="AJ249" s="1828"/>
      <c r="AK249" s="724"/>
      <c r="AL249" s="1806"/>
      <c r="AM249" s="1399"/>
      <c r="AN249" s="1258"/>
      <c r="AO249" s="1399"/>
      <c r="AP249" s="1399"/>
      <c r="AQ249" s="1399"/>
      <c r="AS249" s="1399"/>
      <c r="AT249" s="1399"/>
      <c r="AU249" s="759"/>
      <c r="AV249" s="759"/>
      <c r="AW249" s="759"/>
      <c r="AX249" s="759"/>
      <c r="AY249" s="759"/>
      <c r="AZ249" s="759"/>
      <c r="BA249" s="759"/>
      <c r="BB249" s="759"/>
      <c r="BC249" s="759"/>
      <c r="BD249" s="759"/>
      <c r="BE249" s="759"/>
      <c r="BF249" s="759"/>
      <c r="BG249" s="760"/>
      <c r="BH249" s="1678"/>
      <c r="BI249" s="1678"/>
      <c r="BJ249" s="1678"/>
      <c r="BK249" s="1678"/>
      <c r="BL249" s="1679"/>
      <c r="BM249" s="1679"/>
      <c r="BN249" s="1678"/>
      <c r="BO249" s="1678"/>
      <c r="BP249" s="1678"/>
      <c r="BQ249" s="1399"/>
    </row>
    <row r="250" spans="1:69" s="782" customFormat="1" x14ac:dyDescent="0.2">
      <c r="A250" s="852">
        <f>A247+1</f>
        <v>61</v>
      </c>
      <c r="B250" s="1791">
        <v>238</v>
      </c>
      <c r="C250" s="851" t="str">
        <f>Valid!$B$75</f>
        <v>Elevated/Steel Viaduct or Bridge</v>
      </c>
      <c r="D250" s="1841"/>
      <c r="E250" s="1245" t="str">
        <f>IF(AT250="N/A","",IF(AT250="N","No","Yes"))</f>
        <v/>
      </c>
      <c r="F250" s="686"/>
      <c r="G250" s="686"/>
      <c r="H250" s="1864"/>
      <c r="I250" s="1904" t="str">
        <f>IF(C234="","",IF(J250&lt;&gt;"","Linear Feet   ","Qty? Enter Zero if N/A  "))</f>
        <v/>
      </c>
      <c r="J250" s="1864"/>
      <c r="K250" s="1904" t="str">
        <f>IF(E250="yes","",IF(C234="","",IF(H250="","Qty? Enter Zero if N/A  ",IF(H250&lt;&gt;"","Track Feet      ",""))))</f>
        <v/>
      </c>
      <c r="L250" s="1864"/>
      <c r="M250" s="1620" t="str">
        <f>IF($H250=0,"",IF($L250="",TEXT(BN250,0)&amp;" Years?    ",""))</f>
        <v/>
      </c>
      <c r="N250" s="1905"/>
      <c r="O250" s="1620"/>
      <c r="P250" s="1864"/>
      <c r="Q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R250" s="1864"/>
      <c r="S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T250" s="1864"/>
      <c r="U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V250" s="1864"/>
      <c r="W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X250" s="1864"/>
      <c r="Y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Z250" s="1864"/>
      <c r="AA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B250" s="1864"/>
      <c r="AC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D250" s="1864"/>
      <c r="AE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F250" s="1864"/>
      <c r="AG250" s="1865"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H250" s="1864"/>
      <c r="AI250" s="904" t="str">
        <f>IF($N250="","",IF(AND($N250="",OR($H250="",$H250=0)),"",IF(AND($N250="LF",$AJ250&lt;$H250),"0 - "&amp;TEXT(($H250-$AJ250)/1000,"0")&amp;"k lin. ft.?    ",IF(AND($N250="TF",$AJ250&lt;$J250),"0 - "&amp;TEXT(($J250-$AJ250)/1000,"0")&amp;"k track ft.?    ",IF(AND($N250="%",$AJ250&lt;1),REPLACE(IF(AND($P250&gt;0,$V250&gt;0,$T250&gt;0,$X250&gt;0,$R250&gt;0,$Z250&gt;0,$AB250&gt;0,$AD250&gt;0,$AF250&gt;0,$AH250&gt;0),"","0-"),99,0,REPLACE(TEXT(100-$AJ250,0),99,0,"%?    ")),"")))))</f>
        <v/>
      </c>
      <c r="AJ250" s="1833">
        <f>IFERROR(IF(N250="%", SUM(P250,R250,T250,V250,X250,Z250,AB250,AD250,AF250,AH250)/100, SUM(P250,R250,T250,V250,X250,Z250,AB250,AD250,AF250,AH250)/IF(N250="LF", H250,J250)), 0)</f>
        <v>0</v>
      </c>
      <c r="AK250" s="1648"/>
      <c r="AL250" s="1675"/>
      <c r="AM250" s="1399"/>
      <c r="AN250" s="1808"/>
      <c r="AO250" s="1399"/>
      <c r="AP250" s="1653"/>
      <c r="AQ250" s="1399"/>
      <c r="AS250" s="1399"/>
      <c r="AT250" s="1624" t="str">
        <f>IF(AND($C$234="", H250="", J250=""), "N/A", IF(OR(AND(ISNUMBER(H250), ISNUMBER(J250), H250=0, J250=0), AND(AJ250=1, H250&lt;&gt;"", J250&lt;&gt;"", L250&lt;&gt;"", N250&lt;&gt;"", P250&lt;&gt;"", R250&lt;&gt;"", T250&lt;&gt;"", V250&lt;&gt;"", X250&lt;&gt;"", Z250&lt;&gt;"", AB250&lt;&gt;"", AD250&lt;&gt;"", AF250&lt;&gt;"", AH250&lt;&gt;"",AL250&lt;&gt;"", IF(AND(AL250&lt;1, AN250=""), FALSE, TRUE))), "Yes", "No"))</f>
        <v>N/A</v>
      </c>
      <c r="AU250" s="759" t="b">
        <f>IF(AND(H250="",OR(L250&lt;&gt;"",P250&lt;&gt;"",R250&lt;&gt;"",T250&lt;&gt;"",V250&lt;&gt;"",X250&lt;&gt;"",AL250&lt;&gt;"",Z250&lt;&gt;"",AB250&lt;&gt;"",AD250&lt;&gt;"",AF250&lt;&gt;"",AH250&lt;&gt;"")),TRUE,FALSE)</f>
        <v>0</v>
      </c>
      <c r="AV250" s="759" t="b">
        <f>IF(OR(H250="",H250=0),FALSE,IF(H250&gt;BM250,TRUE,FALSE))</f>
        <v>0</v>
      </c>
      <c r="AW250" s="759" t="b">
        <f>IF(AND($C$234&lt;&gt;"",$H250=""),TRUE,FALSE)</f>
        <v>0</v>
      </c>
      <c r="AX250" s="759" t="b">
        <f>IF(E250="yes",FALSE,IF(H250="0",FALSE,IF(AND($C$234&lt;&gt;"",J250=""),TRUE,FALSE)))</f>
        <v>0</v>
      </c>
      <c r="AY250" s="759" t="b">
        <f>IF($L250="",FALSE,IF($L250&lt;$BO250,TRUE,FALSE))</f>
        <v>0</v>
      </c>
      <c r="AZ250" s="759" t="b">
        <f>IF($L250="",FALSE,IF($L250&gt;$BP250,TRUE,FALSE))</f>
        <v>0</v>
      </c>
      <c r="BA250" s="759" t="b">
        <f>IF(H250=0,FALSE,IF(AND(E250&lt;&gt;"",$L250=""),TRUE,FALSE))</f>
        <v>0</v>
      </c>
      <c r="BB250" s="759" t="b">
        <f>IF(AND($AJ250&lt;&gt;0,$H250&lt;&gt;$BJ250,$N250="LF"),TRUE,IF(AND($AJ250&lt;&gt;0,$J250&lt;&gt;$AJ250,$N250="TF"),TRUE,IF(AND($AJ250&lt;&gt;0,$AJ250&lt;&gt;1,$N250="%"),TRUE,FALSE)))</f>
        <v>0</v>
      </c>
      <c r="BC250" s="759" t="b">
        <f>IF(AT250="No", IF(OR(P250="", R250="", T250="", V250="", X250="", Z250="", AB250="", AD250="", AF250="", AH250=""), TRUE, FALSE), FALSE)</f>
        <v>0</v>
      </c>
      <c r="BD250" s="759" t="b">
        <f>IF($BE250=TRUE,FALSE,IF(OR($AL250&lt;0,$AL250&gt;1),TRUE,FALSE))</f>
        <v>0</v>
      </c>
      <c r="BE250" s="759" t="b">
        <f>IF(AND($H250&lt;&gt;0,$AL250=""),TRUE,FALSE)</f>
        <v>0</v>
      </c>
      <c r="BF250" s="759" t="b">
        <f>IF(N250="%",TRUE,FALSE)</f>
        <v>0</v>
      </c>
      <c r="BG250" s="760"/>
      <c r="BH250" s="1678">
        <f>IF($C250="","",VLOOKUP($C250,val_fg_assets,9,FALSE))</f>
        <v>1</v>
      </c>
      <c r="BI250" s="1678" t="str">
        <f>IF(N250="", "", IF(N250="LF", H250, IF(N250="TF", J250, IF(N250="%", 1, ""))))</f>
        <v/>
      </c>
      <c r="BJ250" s="1679">
        <f>P250+R250+T250+V250+X250+Z250+AB250+AD250+AF250+AH250</f>
        <v>0</v>
      </c>
      <c r="BK250" s="1679" t="str">
        <f>IF(BI250="", "", BI250-BJ250)</f>
        <v/>
      </c>
      <c r="BL250" s="1679">
        <f>IF($C250="","",VLOOKUP($C250,val_fg_assets,3,FALSE))</f>
        <v>0</v>
      </c>
      <c r="BM250" s="1679">
        <f>IF($C250="","",VLOOKUP($C250,val_fg_assets,4,FALSE))</f>
        <v>1320000</v>
      </c>
      <c r="BN250" s="1678">
        <f>IF($C250="","",VLOOKUP($C250,val_fg_assets,5,FALSE))</f>
        <v>80</v>
      </c>
      <c r="BO250" s="1678">
        <f>IF($C250="","",VLOOKUP($C250,val_fg_assets,6,FALSE))</f>
        <v>60</v>
      </c>
      <c r="BP250" s="1678">
        <f>IF($C250="","",VLOOKUP($C250,val_fg_assets,7,FALSE))</f>
        <v>100</v>
      </c>
      <c r="BQ250" s="1399"/>
    </row>
    <row r="251" spans="1:69" s="782" customFormat="1" ht="3.95" customHeight="1" x14ac:dyDescent="0.2">
      <c r="A251" s="852"/>
      <c r="B251" s="1791">
        <v>239</v>
      </c>
      <c r="C251" s="1673"/>
      <c r="D251" s="1841"/>
      <c r="E251" s="1057"/>
      <c r="F251" s="764"/>
      <c r="G251" s="686">
        <v>7</v>
      </c>
      <c r="H251" s="1906"/>
      <c r="I251" s="1907"/>
      <c r="J251" s="1908"/>
      <c r="K251" s="1907"/>
      <c r="L251" s="1909"/>
      <c r="M251" s="1910"/>
      <c r="N251" s="1911"/>
      <c r="O251" s="1910"/>
      <c r="P251" s="1866"/>
      <c r="Q251" s="1867"/>
      <c r="R251" s="1866"/>
      <c r="S251" s="1867"/>
      <c r="T251" s="1866"/>
      <c r="U251" s="1867"/>
      <c r="V251" s="1866"/>
      <c r="W251" s="1867"/>
      <c r="X251" s="1866"/>
      <c r="Y251" s="1867"/>
      <c r="Z251" s="1867"/>
      <c r="AA251" s="1867"/>
      <c r="AB251" s="1867"/>
      <c r="AC251" s="1867"/>
      <c r="AD251" s="1867"/>
      <c r="AE251" s="1867"/>
      <c r="AF251" s="1867"/>
      <c r="AG251" s="1867"/>
      <c r="AH251" s="1867"/>
      <c r="AI251" s="837"/>
      <c r="AJ251" s="1806"/>
      <c r="AK251" s="841"/>
      <c r="AL251" s="1806"/>
      <c r="AM251" s="1399"/>
      <c r="AN251" s="838"/>
      <c r="AO251" s="1399"/>
      <c r="AP251" s="1399"/>
      <c r="AQ251" s="1399"/>
      <c r="AS251" s="1399"/>
      <c r="AT251" s="1399"/>
      <c r="AU251" s="759"/>
      <c r="AV251" s="759"/>
      <c r="AW251" s="759"/>
      <c r="AX251" s="759"/>
      <c r="AY251" s="759"/>
      <c r="AZ251" s="759"/>
      <c r="BA251" s="759"/>
      <c r="BB251" s="759"/>
      <c r="BC251" s="759"/>
      <c r="BD251" s="759"/>
      <c r="BE251" s="759"/>
      <c r="BF251" s="759"/>
      <c r="BG251" s="760"/>
      <c r="BH251" s="1678"/>
      <c r="BI251" s="1678"/>
      <c r="BJ251" s="1678"/>
      <c r="BK251" s="1678"/>
      <c r="BL251" s="1679"/>
      <c r="BM251" s="1679"/>
      <c r="BN251" s="1678"/>
      <c r="BO251" s="1678"/>
      <c r="BP251" s="1678"/>
      <c r="BQ251" s="1399"/>
    </row>
    <row r="252" spans="1:69" s="782" customFormat="1" ht="3.95" customHeight="1" thickBot="1" x14ac:dyDescent="0.25">
      <c r="A252" s="852"/>
      <c r="B252" s="1790">
        <v>240</v>
      </c>
      <c r="C252" s="1673"/>
      <c r="D252" s="1841"/>
      <c r="E252" s="1057"/>
      <c r="F252" s="764"/>
      <c r="G252" s="764">
        <v>8</v>
      </c>
      <c r="H252" s="1906"/>
      <c r="I252" s="1907"/>
      <c r="J252" s="1908"/>
      <c r="K252" s="1907"/>
      <c r="L252" s="1909"/>
      <c r="M252" s="722"/>
      <c r="N252" s="1912"/>
      <c r="O252" s="722"/>
      <c r="P252" s="1868"/>
      <c r="Q252" s="1869"/>
      <c r="R252" s="1868"/>
      <c r="S252" s="1869"/>
      <c r="T252" s="1868"/>
      <c r="U252" s="1869"/>
      <c r="V252" s="1868"/>
      <c r="W252" s="1869"/>
      <c r="X252" s="1868"/>
      <c r="Y252" s="1869"/>
      <c r="Z252" s="1869"/>
      <c r="AA252" s="1869"/>
      <c r="AB252" s="1869"/>
      <c r="AC252" s="1869"/>
      <c r="AD252" s="1869"/>
      <c r="AE252" s="1869"/>
      <c r="AF252" s="1869"/>
      <c r="AG252" s="1869"/>
      <c r="AH252" s="1869"/>
      <c r="AI252" s="1670"/>
      <c r="AJ252" s="1828"/>
      <c r="AK252" s="724"/>
      <c r="AL252" s="1806"/>
      <c r="AM252" s="1399"/>
      <c r="AN252" s="1258"/>
      <c r="AO252" s="1399"/>
      <c r="AP252" s="1223"/>
      <c r="AQ252" s="1399"/>
      <c r="AS252" s="1399"/>
      <c r="AT252" s="1399"/>
      <c r="AU252" s="759"/>
      <c r="AV252" s="759"/>
      <c r="AW252" s="759"/>
      <c r="AX252" s="759"/>
      <c r="AY252" s="759"/>
      <c r="AZ252" s="759"/>
      <c r="BA252" s="759"/>
      <c r="BB252" s="759"/>
      <c r="BC252" s="759"/>
      <c r="BD252" s="759"/>
      <c r="BE252" s="759"/>
      <c r="BF252" s="759"/>
      <c r="BG252" s="760"/>
      <c r="BH252" s="1678"/>
      <c r="BI252" s="1678"/>
      <c r="BJ252" s="1678"/>
      <c r="BK252" s="1678"/>
      <c r="BL252" s="1679"/>
      <c r="BM252" s="1679"/>
      <c r="BN252" s="1678"/>
      <c r="BO252" s="1678"/>
      <c r="BP252" s="1678"/>
      <c r="BQ252" s="1399"/>
    </row>
    <row r="253" spans="1:69" s="782" customFormat="1" x14ac:dyDescent="0.2">
      <c r="A253" s="852">
        <f>A250+1</f>
        <v>62</v>
      </c>
      <c r="B253" s="1790">
        <v>241</v>
      </c>
      <c r="C253" s="851" t="str">
        <f>Valid!$B$76</f>
        <v>Below-Grade/Retained Cut</v>
      </c>
      <c r="D253" s="1841"/>
      <c r="E253" s="1245" t="str">
        <f>IF(AT253="N/A","",IF(AT253="N","No","Yes"))</f>
        <v/>
      </c>
      <c r="F253" s="686"/>
      <c r="G253" s="686"/>
      <c r="H253" s="1864"/>
      <c r="I253" s="1904" t="str">
        <f>IF(C234="","",IF(J253&lt;&gt;"","Linear Feet   ","Qty? Enter Zero if N/A  "))</f>
        <v/>
      </c>
      <c r="J253" s="1864"/>
      <c r="K253" s="1904" t="str">
        <f>IF(E253="yes","",IF(C234="","",IF(H253="","Qty? Enter Zero if N/A  ",IF(H253&lt;&gt;"","Track Feet      ",""))))</f>
        <v/>
      </c>
      <c r="L253" s="1864"/>
      <c r="M253" s="1620" t="str">
        <f>IF($H253=0,"",IF($L253="",TEXT(BN253,0)&amp;" Years?    ",""))</f>
        <v/>
      </c>
      <c r="N253" s="1905"/>
      <c r="O253" s="1620"/>
      <c r="P253" s="1864"/>
      <c r="Q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R253" s="1864"/>
      <c r="S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T253" s="1864"/>
      <c r="U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V253" s="1864"/>
      <c r="W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X253" s="1864"/>
      <c r="Y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Z253" s="1864"/>
      <c r="AA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B253" s="1864"/>
      <c r="AC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D253" s="1864"/>
      <c r="AE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F253" s="1864"/>
      <c r="AG253" s="1865"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H253" s="1864"/>
      <c r="AI253" s="904" t="str">
        <f>IF($N253="","",IF(AND($N253="",OR($H253="",$H253=0)),"",IF(AND($N253="LF",$AJ253&lt;$H253),"0 - "&amp;TEXT(($H253-$AJ253)/1000,"0")&amp;"k lin. ft.?    ",IF(AND($N253="TF",$AJ253&lt;$J253),"0 - "&amp;TEXT(($J253-$AJ253)/1000,"0")&amp;"k track ft.?    ",IF(AND($N253="%",$AJ253&lt;1),REPLACE(IF(AND($P253&gt;0,$V253&gt;0,$T253&gt;0,$X253&gt;0,$R253&gt;0,$Z253&gt;0,$AB253&gt;0,$AD253&gt;0,$AF253&gt;0,$AH253&gt;0),"","0-"),99,0,REPLACE(TEXT(100-$AJ253,0),99,0,"%?    ")),"")))))</f>
        <v/>
      </c>
      <c r="AJ253" s="1833">
        <f>IFERROR(IF(N253="%", SUM(P253,R253,T253,V253,X253,Z253,AB253,AD253,AF253,AH253)/100, SUM(P253,R253,T253,V253,X253,Z253,AB253,AD253,AF253,AH253)/IF(N253="LF", H253,J253)), 0)</f>
        <v>0</v>
      </c>
      <c r="AK253" s="1648"/>
      <c r="AL253" s="1675"/>
      <c r="AM253" s="1399"/>
      <c r="AN253" s="1808"/>
      <c r="AO253" s="1399"/>
      <c r="AP253" s="1653"/>
      <c r="AQ253" s="1399"/>
      <c r="AS253" s="1399"/>
      <c r="AT253" s="1624" t="str">
        <f>IF(AND($C$234="", H253="", J253=""), "N/A", IF(OR(AND(ISNUMBER(H253), ISNUMBER(J253), H253=0, J253=0), AND(AJ253=1, H253&lt;&gt;"", J253&lt;&gt;"", L253&lt;&gt;"", N253&lt;&gt;"", P253&lt;&gt;"", R253&lt;&gt;"", T253&lt;&gt;"", V253&lt;&gt;"", X253&lt;&gt;"", Z253&lt;&gt;"", AB253&lt;&gt;"", AD253&lt;&gt;"", AF253&lt;&gt;"", AH253&lt;&gt;"",AL253&lt;&gt;"", IF(AND(AL253&lt;1, AN253=""), FALSE, TRUE))), "Yes", "No"))</f>
        <v>N/A</v>
      </c>
      <c r="AU253" s="759" t="b">
        <f>IF(AND(H253="",OR(L253&lt;&gt;"",P253&lt;&gt;"",R253&lt;&gt;"",T253&lt;&gt;"",V253&lt;&gt;"",X253&lt;&gt;"",AL253&lt;&gt;"",Z253&lt;&gt;"",AB253&lt;&gt;"",AD253&lt;&gt;"",AF253&lt;&gt;"",AH253&lt;&gt;"")),TRUE,FALSE)</f>
        <v>0</v>
      </c>
      <c r="AV253" s="759" t="b">
        <f>IF(OR(H253="",H253=0),FALSE,IF(H253&gt;BM253,TRUE,FALSE))</f>
        <v>0</v>
      </c>
      <c r="AW253" s="759" t="b">
        <f>IF(AND($C$234&lt;&gt;"",$H253=""),TRUE,FALSE)</f>
        <v>0</v>
      </c>
      <c r="AX253" s="759" t="b">
        <f>IF(E253="yes",FALSE,IF(H253="0",FALSE,IF(AND($C$234&lt;&gt;"",J253=""),TRUE,FALSE)))</f>
        <v>0</v>
      </c>
      <c r="AY253" s="759" t="b">
        <f>IF($L253="",FALSE,IF($L253&lt;$BO253,TRUE,FALSE))</f>
        <v>0</v>
      </c>
      <c r="AZ253" s="759" t="b">
        <f>IF($L253="",FALSE,IF($L253&gt;$BP253,TRUE,FALSE))</f>
        <v>0</v>
      </c>
      <c r="BA253" s="759" t="b">
        <f>IF(H253=0,FALSE,IF(AND(E253&lt;&gt;"",$L253=""),TRUE,FALSE))</f>
        <v>0</v>
      </c>
      <c r="BB253" s="759" t="b">
        <f>IF(AND($AJ253&lt;&gt;0,$H253&lt;&gt;$BJ253,$N253="LF"),TRUE,IF(AND($AJ253&lt;&gt;0,$J253&lt;&gt;$AJ253,$N253="TF"),TRUE,IF(AND($AJ253&lt;&gt;0,$AJ253&lt;&gt;1,$N253="%"),TRUE,FALSE)))</f>
        <v>0</v>
      </c>
      <c r="BC253" s="759" t="b">
        <f>IF(AT253="No", IF(OR(P253="", R253="", T253="", V253="", X253="", Z253="", AB253="", AD253="", AF253="", AH253=""), TRUE, FALSE), FALSE)</f>
        <v>0</v>
      </c>
      <c r="BD253" s="759" t="b">
        <f>IF($BE253=TRUE,FALSE,IF(OR($AL253&lt;0,$AL253&gt;1),TRUE,FALSE))</f>
        <v>0</v>
      </c>
      <c r="BE253" s="759" t="b">
        <f>IF(AND($H253&lt;&gt;0,$AL253=""),TRUE,FALSE)</f>
        <v>0</v>
      </c>
      <c r="BF253" s="759" t="b">
        <f>IF(N253="%",TRUE,FALSE)</f>
        <v>0</v>
      </c>
      <c r="BG253" s="760"/>
      <c r="BH253" s="1678">
        <f>IF($C253="","",VLOOKUP($C253,val_fg_assets,9,FALSE))</f>
        <v>1</v>
      </c>
      <c r="BI253" s="1678" t="str">
        <f>IF(N253="", "", IF(N253="LF", H253, IF(N253="TF", J253, IF(N253="%", 1, ""))))</f>
        <v/>
      </c>
      <c r="BJ253" s="1679">
        <f>P253+R253+T253+V253+X253+Z253+AB253+AD253+AF253+AH253</f>
        <v>0</v>
      </c>
      <c r="BK253" s="1679" t="str">
        <f>IF(BI253="", "", BI253-BJ253)</f>
        <v/>
      </c>
      <c r="BL253" s="1679">
        <f>IF($C253="","",VLOOKUP($C253,val_fg_assets,3,FALSE))</f>
        <v>0</v>
      </c>
      <c r="BM253" s="1679">
        <f>IF($C253="","",VLOOKUP($C253,val_fg_assets,4,FALSE))</f>
        <v>1320000</v>
      </c>
      <c r="BN253" s="1678">
        <f>IF($C253="","",VLOOKUP($C253,val_fg_assets,5,FALSE))</f>
        <v>80</v>
      </c>
      <c r="BO253" s="1678">
        <f>IF($C253="","",VLOOKUP($C253,val_fg_assets,6,FALSE))</f>
        <v>60</v>
      </c>
      <c r="BP253" s="1678">
        <f>IF($C253="","",VLOOKUP($C253,val_fg_assets,7,FALSE))</f>
        <v>100</v>
      </c>
      <c r="BQ253" s="1399"/>
    </row>
    <row r="254" spans="1:69" s="782" customFormat="1" ht="3.95" customHeight="1" x14ac:dyDescent="0.2">
      <c r="A254" s="852"/>
      <c r="B254" s="1791">
        <v>242</v>
      </c>
      <c r="C254" s="851"/>
      <c r="D254" s="1841"/>
      <c r="E254" s="1059"/>
      <c r="F254" s="686"/>
      <c r="G254" s="686"/>
      <c r="H254" s="1913"/>
      <c r="I254" s="1908"/>
      <c r="J254" s="1908"/>
      <c r="K254" s="1908"/>
      <c r="L254" s="1909"/>
      <c r="M254" s="722"/>
      <c r="N254" s="1912"/>
      <c r="O254" s="722"/>
      <c r="P254" s="1866"/>
      <c r="Q254" s="1867"/>
      <c r="R254" s="1866"/>
      <c r="S254" s="1867"/>
      <c r="T254" s="1866"/>
      <c r="U254" s="1867"/>
      <c r="V254" s="1866"/>
      <c r="W254" s="1867"/>
      <c r="X254" s="1866"/>
      <c r="Y254" s="1867"/>
      <c r="Z254" s="1867"/>
      <c r="AA254" s="1867"/>
      <c r="AB254" s="1867"/>
      <c r="AC254" s="1867"/>
      <c r="AD254" s="1867"/>
      <c r="AE254" s="1867"/>
      <c r="AF254" s="1867"/>
      <c r="AG254" s="1867"/>
      <c r="AH254" s="1867"/>
      <c r="AI254" s="837"/>
      <c r="AJ254" s="1828"/>
      <c r="AK254" s="724"/>
      <c r="AL254" s="1806"/>
      <c r="AM254" s="1399"/>
      <c r="AN254" s="1258"/>
      <c r="AO254" s="1399"/>
      <c r="AP254" s="1399"/>
      <c r="AQ254" s="1399"/>
      <c r="AS254" s="1399"/>
      <c r="AT254" s="1399"/>
      <c r="AU254" s="759"/>
      <c r="AV254" s="759"/>
      <c r="AW254" s="759"/>
      <c r="AX254" s="759"/>
      <c r="AY254" s="759"/>
      <c r="AZ254" s="759"/>
      <c r="BA254" s="759"/>
      <c r="BB254" s="759"/>
      <c r="BC254" s="759"/>
      <c r="BD254" s="759"/>
      <c r="BE254" s="759"/>
      <c r="BF254" s="759"/>
      <c r="BG254" s="760"/>
      <c r="BH254" s="1678"/>
      <c r="BI254" s="1678"/>
      <c r="BJ254" s="1678"/>
      <c r="BK254" s="1678"/>
      <c r="BL254" s="1679"/>
      <c r="BM254" s="1679"/>
      <c r="BN254" s="1678"/>
      <c r="BO254" s="1678"/>
      <c r="BP254" s="1678"/>
      <c r="BQ254" s="1399"/>
    </row>
    <row r="255" spans="1:69" s="782" customFormat="1" ht="3.95" customHeight="1" thickBot="1" x14ac:dyDescent="0.25">
      <c r="A255" s="852"/>
      <c r="B255" s="1791">
        <v>243</v>
      </c>
      <c r="C255" s="851"/>
      <c r="D255" s="1841"/>
      <c r="E255" s="1059"/>
      <c r="F255" s="686"/>
      <c r="G255" s="686"/>
      <c r="H255" s="1913"/>
      <c r="I255" s="1908"/>
      <c r="J255" s="1908"/>
      <c r="K255" s="1908"/>
      <c r="L255" s="1909"/>
      <c r="M255" s="722"/>
      <c r="N255" s="1912"/>
      <c r="O255" s="722"/>
      <c r="P255" s="1868"/>
      <c r="Q255" s="1869"/>
      <c r="R255" s="1868"/>
      <c r="S255" s="1869"/>
      <c r="T255" s="1868"/>
      <c r="U255" s="1869"/>
      <c r="V255" s="1868"/>
      <c r="W255" s="1869"/>
      <c r="X255" s="1868"/>
      <c r="Y255" s="1869"/>
      <c r="Z255" s="1869"/>
      <c r="AA255" s="1869"/>
      <c r="AB255" s="1869"/>
      <c r="AC255" s="1869"/>
      <c r="AD255" s="1869"/>
      <c r="AE255" s="1869"/>
      <c r="AF255" s="1869"/>
      <c r="AG255" s="1869"/>
      <c r="AH255" s="1869"/>
      <c r="AI255" s="1670"/>
      <c r="AJ255" s="1828"/>
      <c r="AK255" s="724"/>
      <c r="AL255" s="1806"/>
      <c r="AM255" s="1399"/>
      <c r="AN255" s="1258"/>
      <c r="AO255" s="1399"/>
      <c r="AP255" s="1399"/>
      <c r="AQ255" s="1399"/>
      <c r="AS255" s="1399"/>
      <c r="AT255" s="1399"/>
      <c r="AU255" s="759"/>
      <c r="AV255" s="759"/>
      <c r="AW255" s="759"/>
      <c r="AX255" s="759"/>
      <c r="AY255" s="759"/>
      <c r="AZ255" s="759"/>
      <c r="BA255" s="759"/>
      <c r="BB255" s="759"/>
      <c r="BC255" s="759"/>
      <c r="BD255" s="759"/>
      <c r="BE255" s="759"/>
      <c r="BF255" s="759"/>
      <c r="BG255" s="760"/>
      <c r="BH255" s="1678"/>
      <c r="BI255" s="1678"/>
      <c r="BJ255" s="1678"/>
      <c r="BK255" s="1678"/>
      <c r="BL255" s="1679"/>
      <c r="BM255" s="1679"/>
      <c r="BN255" s="1678"/>
      <c r="BO255" s="1678"/>
      <c r="BP255" s="1678"/>
      <c r="BQ255" s="1399"/>
    </row>
    <row r="256" spans="1:69" s="782" customFormat="1" x14ac:dyDescent="0.2">
      <c r="A256" s="852">
        <f>A253+1</f>
        <v>63</v>
      </c>
      <c r="B256" s="1791">
        <v>244</v>
      </c>
      <c r="C256" s="851" t="str">
        <f>Valid!$B$77</f>
        <v>Below-Grade/Cut-and-Cover Tunnel</v>
      </c>
      <c r="D256" s="1841"/>
      <c r="E256" s="1245" t="str">
        <f>IF(AT256="N/A","",IF(AT256="N","No","Yes"))</f>
        <v/>
      </c>
      <c r="F256" s="686"/>
      <c r="G256" s="686"/>
      <c r="H256" s="1864"/>
      <c r="I256" s="1904" t="str">
        <f>IF(C234="","",IF(J256&lt;&gt;"","Linear Feet   ","Qty? Enter Zero if N/A  "))</f>
        <v/>
      </c>
      <c r="J256" s="1864"/>
      <c r="K256" s="1904" t="str">
        <f>IF(E256="yes","",IF(C234="","",IF(H256="","Qty? Enter Zero if N/A  ",IF(H256&lt;&gt;"","Track Feet      ",""))))</f>
        <v/>
      </c>
      <c r="L256" s="1864"/>
      <c r="M256" s="1620" t="str">
        <f>IF($H256=0,"",IF($L256="",TEXT(BN256,0)&amp;" Years?    ",""))</f>
        <v/>
      </c>
      <c r="N256" s="1905"/>
      <c r="O256" s="1620"/>
      <c r="P256" s="1864"/>
      <c r="Q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R256" s="1864"/>
      <c r="S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T256" s="1864"/>
      <c r="U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V256" s="1864"/>
      <c r="W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X256" s="1864"/>
      <c r="Y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Z256" s="1864"/>
      <c r="AA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B256" s="1864"/>
      <c r="AC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D256" s="1864"/>
      <c r="AE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F256" s="1864"/>
      <c r="AG256" s="1865"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H256" s="1864"/>
      <c r="AI256" s="904" t="str">
        <f>IF($N256="","",IF(AND($N256="",OR($H256="",$H256=0)),"",IF(AND($N256="LF",$AJ256&lt;$H256),"0 - "&amp;TEXT(($H256-$AJ256)/1000,"0")&amp;"k lin. ft.?    ",IF(AND($N256="TF",$AJ256&lt;$J256),"0 - "&amp;TEXT(($J256-$AJ256)/1000,"0")&amp;"k track ft.?    ",IF(AND($N256="%",$AJ256&lt;1),REPLACE(IF(AND($P256&gt;0,$V256&gt;0,$T256&gt;0,$X256&gt;0,$R256&gt;0,$Z256&gt;0,$AB256&gt;0,$AD256&gt;0,$AF256&gt;0,$AH256&gt;0),"","0-"),99,0,REPLACE(TEXT(100-$AJ256,0),99,0,"%?    ")),"")))))</f>
        <v/>
      </c>
      <c r="AJ256" s="1833">
        <f>IFERROR(IF(N256="%", SUM(P256,R256,T256,V256,X256,Z256,AB256,AD256,AF256,AH256)/100, SUM(P256,R256,T256,V256,X256,Z256,AB256,AD256,AF256,AH256)/IF(N256="LF", H256,J256)), 0)</f>
        <v>0</v>
      </c>
      <c r="AK256" s="1648"/>
      <c r="AL256" s="1675"/>
      <c r="AM256" s="1399"/>
      <c r="AN256" s="1671"/>
      <c r="AO256" s="1399"/>
      <c r="AP256" s="1653"/>
      <c r="AQ256" s="1399"/>
      <c r="AS256" s="1399"/>
      <c r="AT256" s="1624" t="str">
        <f>IF(AND($C$234="", H256="", J256=""), "N/A", IF(OR(AND(ISNUMBER(H256), ISNUMBER(J256), H256=0, J256=0), AND(AJ256=1, H256&lt;&gt;"", J256&lt;&gt;"", L256&lt;&gt;"", N256&lt;&gt;"", P256&lt;&gt;"", R256&lt;&gt;"", T256&lt;&gt;"", V256&lt;&gt;"", X256&lt;&gt;"", Z256&lt;&gt;"", AB256&lt;&gt;"", AD256&lt;&gt;"", AF256&lt;&gt;"", AH256&lt;&gt;"",AL256&lt;&gt;"", IF(AND(AL256&lt;1, AN256=""), FALSE, TRUE))), "Yes", "No"))</f>
        <v>N/A</v>
      </c>
      <c r="AU256" s="759" t="b">
        <f>IF(AND(H256="",OR(L256&lt;&gt;"",P256&lt;&gt;"",R256&lt;&gt;"",T256&lt;&gt;"",V256&lt;&gt;"",X256&lt;&gt;"",AL256&lt;&gt;"",Z256&lt;&gt;"",AB256&lt;&gt;"",AD256&lt;&gt;"",AF256&lt;&gt;"",AH256&lt;&gt;"")),TRUE,FALSE)</f>
        <v>0</v>
      </c>
      <c r="AV256" s="759" t="b">
        <f>IF(OR(H256="",H256=0),FALSE,IF(H256&gt;BM256,TRUE,FALSE))</f>
        <v>0</v>
      </c>
      <c r="AW256" s="759" t="b">
        <f>IF(AND($C$234&lt;&gt;"",$H256=""),TRUE,FALSE)</f>
        <v>0</v>
      </c>
      <c r="AX256" s="759" t="b">
        <f>IF(E256="yes",FALSE,IF(H256="0",FALSE,IF(AND($C$234&lt;&gt;"",J256=""),TRUE,FALSE)))</f>
        <v>0</v>
      </c>
      <c r="AY256" s="759" t="b">
        <f>IF($L256="",FALSE,IF($L256&lt;$BO256,TRUE,FALSE))</f>
        <v>0</v>
      </c>
      <c r="AZ256" s="759" t="b">
        <f>IF($L256="",FALSE,IF($L256&gt;$BP256,TRUE,FALSE))</f>
        <v>0</v>
      </c>
      <c r="BA256" s="759" t="b">
        <f>IF(H256=0,FALSE,IF(AND(E256&lt;&gt;"",$L256=""),TRUE,FALSE))</f>
        <v>0</v>
      </c>
      <c r="BB256" s="759" t="b">
        <f>IF(AND($AJ256&lt;&gt;0,$H256&lt;&gt;$BJ256,$N256="LF"),TRUE,IF(AND($AJ256&lt;&gt;0,$J256&lt;&gt;$AJ256,$N256="TF"),TRUE,IF(AND($AJ256&lt;&gt;0,$AJ256&lt;&gt;1,$N256="%"),TRUE,FALSE)))</f>
        <v>0</v>
      </c>
      <c r="BC256" s="759" t="b">
        <f>IF(AT256="No", IF(OR(P256="", R256="", T256="", V256="", X256="", Z256="", AB256="", AD256="", AF256="", AH256=""), TRUE, FALSE), FALSE)</f>
        <v>0</v>
      </c>
      <c r="BD256" s="759" t="b">
        <f>IF($BE256=TRUE,FALSE,IF(OR($AL256&lt;0,$AL256&gt;1),TRUE,FALSE))</f>
        <v>0</v>
      </c>
      <c r="BE256" s="759" t="b">
        <f>IF(AND($H256&lt;&gt;0,$AL256=""),TRUE,FALSE)</f>
        <v>0</v>
      </c>
      <c r="BF256" s="759" t="b">
        <f>IF(N256="%",TRUE,FALSE)</f>
        <v>0</v>
      </c>
      <c r="BG256" s="760"/>
      <c r="BH256" s="1678">
        <f>IF($C256="","",VLOOKUP($C256,val_fg_assets,9,FALSE))</f>
        <v>1</v>
      </c>
      <c r="BI256" s="1678" t="str">
        <f>IF(N256="", "", IF(N256="LF", H256, IF(N256="TF", J256, IF(N256="%", 1, ""))))</f>
        <v/>
      </c>
      <c r="BJ256" s="1679">
        <f>P256+R256+T256+V256+X256+Z256+AB256+AD256+AF256+AH256</f>
        <v>0</v>
      </c>
      <c r="BK256" s="1679" t="str">
        <f>IF(BI256="", "", BI256-BJ256)</f>
        <v/>
      </c>
      <c r="BL256" s="1679">
        <f>IF($C256="","",VLOOKUP($C256,val_fg_assets,3,FALSE))</f>
        <v>0</v>
      </c>
      <c r="BM256" s="1679">
        <f>IF($C256="","",VLOOKUP($C256,val_fg_assets,4,FALSE))</f>
        <v>1320000</v>
      </c>
      <c r="BN256" s="1678">
        <f>IF($C256="","",VLOOKUP($C256,val_fg_assets,5,FALSE))</f>
        <v>80</v>
      </c>
      <c r="BO256" s="1678">
        <f>IF($C256="","",VLOOKUP($C256,val_fg_assets,6,FALSE))</f>
        <v>60</v>
      </c>
      <c r="BP256" s="1678">
        <f>IF($C256="","",VLOOKUP($C256,val_fg_assets,7,FALSE))</f>
        <v>100</v>
      </c>
      <c r="BQ256" s="1399"/>
    </row>
    <row r="257" spans="1:69" s="782" customFormat="1" ht="3.95" customHeight="1" x14ac:dyDescent="0.2">
      <c r="A257" s="852"/>
      <c r="B257" s="1790">
        <v>245</v>
      </c>
      <c r="C257" s="1673"/>
      <c r="D257" s="1841"/>
      <c r="E257" s="1057"/>
      <c r="F257" s="764"/>
      <c r="G257" s="686">
        <v>7</v>
      </c>
      <c r="H257" s="1906"/>
      <c r="I257" s="1907"/>
      <c r="J257" s="1908"/>
      <c r="K257" s="1907"/>
      <c r="L257" s="1909"/>
      <c r="M257" s="1910"/>
      <c r="N257" s="1911"/>
      <c r="O257" s="1910"/>
      <c r="P257" s="1866"/>
      <c r="Q257" s="1867"/>
      <c r="R257" s="1866"/>
      <c r="S257" s="1867"/>
      <c r="T257" s="1866"/>
      <c r="U257" s="1867"/>
      <c r="V257" s="1866"/>
      <c r="W257" s="1867"/>
      <c r="X257" s="1866"/>
      <c r="Y257" s="1867"/>
      <c r="Z257" s="1867"/>
      <c r="AA257" s="1867"/>
      <c r="AB257" s="1867"/>
      <c r="AC257" s="1867"/>
      <c r="AD257" s="1867"/>
      <c r="AE257" s="1867"/>
      <c r="AF257" s="1867"/>
      <c r="AG257" s="1867"/>
      <c r="AH257" s="1867"/>
      <c r="AI257" s="837"/>
      <c r="AJ257" s="1806"/>
      <c r="AK257" s="841"/>
      <c r="AL257" s="1806"/>
      <c r="AM257" s="1399"/>
      <c r="AN257" s="838"/>
      <c r="AO257" s="1399"/>
      <c r="AP257" s="1223"/>
      <c r="AQ257" s="1399"/>
      <c r="AS257" s="1399"/>
      <c r="AT257" s="1399"/>
      <c r="AU257" s="759"/>
      <c r="AV257" s="759"/>
      <c r="AW257" s="759"/>
      <c r="AX257" s="759"/>
      <c r="AY257" s="759"/>
      <c r="AZ257" s="759"/>
      <c r="BA257" s="759"/>
      <c r="BB257" s="759"/>
      <c r="BC257" s="759"/>
      <c r="BD257" s="759"/>
      <c r="BE257" s="759"/>
      <c r="BF257" s="759"/>
      <c r="BG257" s="760"/>
      <c r="BH257" s="1678"/>
      <c r="BI257" s="1678"/>
      <c r="BJ257" s="1678"/>
      <c r="BK257" s="1678"/>
      <c r="BL257" s="1679"/>
      <c r="BM257" s="1679"/>
      <c r="BN257" s="1678"/>
      <c r="BO257" s="1678"/>
      <c r="BP257" s="1678"/>
      <c r="BQ257" s="1399"/>
    </row>
    <row r="258" spans="1:69" s="782" customFormat="1" ht="3.95" customHeight="1" thickBot="1" x14ac:dyDescent="0.25">
      <c r="A258" s="852"/>
      <c r="B258" s="1790">
        <v>246</v>
      </c>
      <c r="C258" s="1673"/>
      <c r="D258" s="1841"/>
      <c r="E258" s="1057"/>
      <c r="F258" s="764"/>
      <c r="G258" s="764">
        <v>8</v>
      </c>
      <c r="H258" s="1906"/>
      <c r="I258" s="1907"/>
      <c r="J258" s="1908"/>
      <c r="K258" s="1907"/>
      <c r="L258" s="1909"/>
      <c r="M258" s="722"/>
      <c r="N258" s="1912"/>
      <c r="O258" s="722"/>
      <c r="P258" s="1868"/>
      <c r="Q258" s="1869"/>
      <c r="R258" s="1868"/>
      <c r="S258" s="1869"/>
      <c r="T258" s="1868"/>
      <c r="U258" s="1869"/>
      <c r="V258" s="1868"/>
      <c r="W258" s="1869"/>
      <c r="X258" s="1868"/>
      <c r="Y258" s="1869"/>
      <c r="Z258" s="1869"/>
      <c r="AA258" s="1869"/>
      <c r="AB258" s="1869"/>
      <c r="AC258" s="1869"/>
      <c r="AD258" s="1869"/>
      <c r="AE258" s="1869"/>
      <c r="AF258" s="1869"/>
      <c r="AG258" s="1869"/>
      <c r="AH258" s="1869"/>
      <c r="AI258" s="1670"/>
      <c r="AJ258" s="1828"/>
      <c r="AK258" s="724"/>
      <c r="AL258" s="1806"/>
      <c r="AM258" s="1399"/>
      <c r="AN258" s="1258"/>
      <c r="AO258" s="1399"/>
      <c r="AP258" s="1399"/>
      <c r="AQ258" s="1399"/>
      <c r="AS258" s="1399"/>
      <c r="AT258" s="1399"/>
      <c r="AU258" s="759"/>
      <c r="AV258" s="759"/>
      <c r="AW258" s="759"/>
      <c r="AX258" s="759"/>
      <c r="AY258" s="759"/>
      <c r="AZ258" s="759"/>
      <c r="BA258" s="759"/>
      <c r="BB258" s="759"/>
      <c r="BC258" s="759"/>
      <c r="BD258" s="759"/>
      <c r="BE258" s="759"/>
      <c r="BF258" s="759"/>
      <c r="BG258" s="760"/>
      <c r="BH258" s="1678"/>
      <c r="BI258" s="1678"/>
      <c r="BJ258" s="1678"/>
      <c r="BK258" s="1678"/>
      <c r="BL258" s="1679"/>
      <c r="BM258" s="1679"/>
      <c r="BN258" s="1678"/>
      <c r="BO258" s="1678"/>
      <c r="BP258" s="1678"/>
      <c r="BQ258" s="1399"/>
    </row>
    <row r="259" spans="1:69" s="782" customFormat="1" x14ac:dyDescent="0.2">
      <c r="A259" s="852">
        <f>A256+1</f>
        <v>64</v>
      </c>
      <c r="B259" s="1791">
        <v>247</v>
      </c>
      <c r="C259" s="851" t="str">
        <f>Valid!$B$78</f>
        <v>Below-Grade/Bored or Blasted Tunnel</v>
      </c>
      <c r="D259" s="1841"/>
      <c r="E259" s="1245" t="str">
        <f>IF(AT259="N/A","",IF(AT259="N","No","Yes"))</f>
        <v/>
      </c>
      <c r="F259" s="686"/>
      <c r="G259" s="686"/>
      <c r="H259" s="1864"/>
      <c r="I259" s="1904" t="str">
        <f>IF(C234="","",IF(J259&lt;&gt;"","Linear Feet   ","Qty? Enter Zero if N/A  "))</f>
        <v/>
      </c>
      <c r="J259" s="1864"/>
      <c r="K259" s="1904" t="str">
        <f>IF(E259="yes","",IF(C234="","",IF(H259="","Qty? Enter Zero if N/A  ",IF(H259&lt;&gt;"","Track Feet      ",""))))</f>
        <v/>
      </c>
      <c r="L259" s="1864"/>
      <c r="M259" s="1620" t="str">
        <f>IF($H259=0,"",IF($L259="",TEXT(BN259,0)&amp;" Years?    ",""))</f>
        <v/>
      </c>
      <c r="N259" s="1905"/>
      <c r="O259" s="1620"/>
      <c r="P259" s="1864"/>
      <c r="Q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R259" s="1864"/>
      <c r="S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T259" s="1864"/>
      <c r="U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V259" s="1864"/>
      <c r="W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X259" s="1864"/>
      <c r="Y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Z259" s="1864"/>
      <c r="AA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B259" s="1864"/>
      <c r="AC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D259" s="1864"/>
      <c r="AE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F259" s="1864"/>
      <c r="AG259" s="1865"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H259" s="1864"/>
      <c r="AI259" s="904" t="str">
        <f>IF($N259="","",IF(AND($N259="",OR($H259="",$H259=0)),"",IF(AND($N259="LF",$AJ259&lt;$H259),"0 - "&amp;TEXT(($H259-$AJ259)/1000,"0")&amp;"k lin. ft.?    ",IF(AND($N259="TF",$AJ259&lt;$J259),"0 - "&amp;TEXT(($J259-$AJ259)/1000,"0")&amp;"k track ft.?    ",IF(AND($N259="%",$AJ259&lt;1),REPLACE(IF(AND($P259&gt;0,$V259&gt;0,$T259&gt;0,$X259&gt;0,$R259&gt;0,$Z259&gt;0,$AB259&gt;0,$AD259&gt;0,$AF259&gt;0,$AH259&gt;0),"","0-"),99,0,REPLACE(TEXT(100-$AJ259,0),99,0,"%?    ")),"")))))</f>
        <v/>
      </c>
      <c r="AJ259" s="1833">
        <f>IFERROR(IF(N259="%", SUM(P259,R259,T259,V259,X259,Z259,AB259,AD259,AF259,AH259)/100, SUM(P259,R259,T259,V259,X259,Z259,AB259,AD259,AF259,AH259)/IF(N259="LF", H259,J259)), 0)</f>
        <v>0</v>
      </c>
      <c r="AK259" s="1648"/>
      <c r="AL259" s="1675"/>
      <c r="AM259" s="1399"/>
      <c r="AN259" s="1671"/>
      <c r="AO259" s="1399"/>
      <c r="AP259" s="1653"/>
      <c r="AQ259" s="1399"/>
      <c r="AS259" s="1399"/>
      <c r="AT259" s="1624" t="str">
        <f>IF(AND($C$234="", H259="", J259=""), "N/A", IF(OR(AND(ISNUMBER(H259), ISNUMBER(J259), H259=0, J259=0), AND(AJ259=1, H259&lt;&gt;"", J259&lt;&gt;"", L259&lt;&gt;"", N259&lt;&gt;"", P259&lt;&gt;"", R259&lt;&gt;"", T259&lt;&gt;"", V259&lt;&gt;"", X259&lt;&gt;"", Z259&lt;&gt;"", AB259&lt;&gt;"", AD259&lt;&gt;"", AF259&lt;&gt;"", AH259&lt;&gt;"",AL259&lt;&gt;"", IF(AND(AL259&lt;1, AN259=""), FALSE, TRUE))), "Yes", "No"))</f>
        <v>N/A</v>
      </c>
      <c r="AU259" s="759" t="b">
        <f>IF(AND(H259="",OR(L259&lt;&gt;"",P259&lt;&gt;"",R259&lt;&gt;"",T259&lt;&gt;"",V259&lt;&gt;"",X259&lt;&gt;"",AL259&lt;&gt;"",Z259&lt;&gt;"",AB259&lt;&gt;"",AD259&lt;&gt;"",AF259&lt;&gt;"",AH259&lt;&gt;"")),TRUE,FALSE)</f>
        <v>0</v>
      </c>
      <c r="AV259" s="759" t="b">
        <f>IF(OR(H259="",H259=0),FALSE,IF(H259&gt;BM259,TRUE,FALSE))</f>
        <v>0</v>
      </c>
      <c r="AW259" s="759" t="b">
        <f>IF(AND($C$234&lt;&gt;"",$H259=""),TRUE,FALSE)</f>
        <v>0</v>
      </c>
      <c r="AX259" s="759" t="b">
        <f>IF(E259="yes",FALSE,IF(H259="0",FALSE,IF(AND($C$234&lt;&gt;"",J259=""),TRUE,FALSE)))</f>
        <v>0</v>
      </c>
      <c r="AY259" s="759" t="b">
        <f>IF($L259="",FALSE,IF($L259&lt;$BO259,TRUE,FALSE))</f>
        <v>0</v>
      </c>
      <c r="AZ259" s="759" t="b">
        <f>IF($L259="",FALSE,IF($L259&gt;$BP259,TRUE,FALSE))</f>
        <v>0</v>
      </c>
      <c r="BA259" s="759" t="b">
        <f>IF(H259=0,FALSE,IF(AND(E259&lt;&gt;"",$L259=""),TRUE,FALSE))</f>
        <v>0</v>
      </c>
      <c r="BB259" s="759" t="b">
        <f>IF(AND($AJ259&lt;&gt;0,$H259&lt;&gt;$BJ259,$N259="LF"),TRUE,IF(AND($AJ259&lt;&gt;0,$J259&lt;&gt;$AJ259,$N259="TF"),TRUE,IF(AND($AJ259&lt;&gt;0,$AJ259&lt;&gt;1,$N259="%"),TRUE,FALSE)))</f>
        <v>0</v>
      </c>
      <c r="BC259" s="759" t="b">
        <f>IF(AT259="No", IF(OR(P259="", R259="", T259="", V259="", X259="", Z259="", AB259="", AD259="", AF259="", AH259=""), TRUE, FALSE), FALSE)</f>
        <v>0</v>
      </c>
      <c r="BD259" s="759" t="b">
        <f>IF($BE259=TRUE,FALSE,IF(OR($AL259&lt;0,$AL259&gt;1),TRUE,FALSE))</f>
        <v>0</v>
      </c>
      <c r="BE259" s="759" t="b">
        <f>IF(AND($H259&lt;&gt;0,$AL259=""),TRUE,FALSE)</f>
        <v>0</v>
      </c>
      <c r="BF259" s="759" t="b">
        <f>IF(N259="%",TRUE,FALSE)</f>
        <v>0</v>
      </c>
      <c r="BG259" s="760"/>
      <c r="BH259" s="1678">
        <f>IF($C259="","",VLOOKUP($C259,val_fg_assets,9,FALSE))</f>
        <v>1</v>
      </c>
      <c r="BI259" s="1678" t="str">
        <f>IF(N259="", "", IF(N259="LF", H259, IF(N259="TF", J259, IF(N259="%", 1, ""))))</f>
        <v/>
      </c>
      <c r="BJ259" s="1679">
        <f>P259+R259+T259+V259+X259+Z259+AB259+AD259+AF259+AH259</f>
        <v>0</v>
      </c>
      <c r="BK259" s="1679" t="str">
        <f>IF(BI259="", "", BI259-BJ259)</f>
        <v/>
      </c>
      <c r="BL259" s="1679">
        <f>IF($C259="","",VLOOKUP($C259,val_fg_assets,3,FALSE))</f>
        <v>0</v>
      </c>
      <c r="BM259" s="1679">
        <f>IF($C259="","",VLOOKUP($C259,val_fg_assets,4,FALSE))</f>
        <v>1320000</v>
      </c>
      <c r="BN259" s="1678">
        <f>IF($C259="","",VLOOKUP($C259,val_fg_assets,5,FALSE))</f>
        <v>80</v>
      </c>
      <c r="BO259" s="1678">
        <f>IF($C259="","",VLOOKUP($C259,val_fg_assets,6,FALSE))</f>
        <v>60</v>
      </c>
      <c r="BP259" s="1678">
        <f>IF($C259="","",VLOOKUP($C259,val_fg_assets,7,FALSE))</f>
        <v>100</v>
      </c>
      <c r="BQ259" s="1399"/>
    </row>
    <row r="260" spans="1:69" s="782" customFormat="1" ht="3.95" customHeight="1" x14ac:dyDescent="0.2">
      <c r="A260" s="852"/>
      <c r="B260" s="1791">
        <v>248</v>
      </c>
      <c r="C260" s="1673"/>
      <c r="D260" s="1841"/>
      <c r="E260" s="1057"/>
      <c r="F260" s="764"/>
      <c r="G260" s="764"/>
      <c r="H260" s="1909"/>
      <c r="I260" s="1908"/>
      <c r="J260" s="1908"/>
      <c r="K260" s="1908"/>
      <c r="L260" s="1909"/>
      <c r="M260" s="1910"/>
      <c r="N260" s="1911"/>
      <c r="O260" s="1910"/>
      <c r="P260" s="1866"/>
      <c r="Q260" s="1867"/>
      <c r="R260" s="1866"/>
      <c r="S260" s="1867"/>
      <c r="T260" s="1866"/>
      <c r="U260" s="1867"/>
      <c r="V260" s="1866"/>
      <c r="W260" s="1867"/>
      <c r="X260" s="1866"/>
      <c r="Y260" s="1867"/>
      <c r="Z260" s="1867"/>
      <c r="AA260" s="1867"/>
      <c r="AB260" s="1867"/>
      <c r="AC260" s="1867"/>
      <c r="AD260" s="1867"/>
      <c r="AE260" s="1867"/>
      <c r="AF260" s="1867"/>
      <c r="AG260" s="1867"/>
      <c r="AH260" s="1867"/>
      <c r="AI260" s="837"/>
      <c r="AJ260" s="1806"/>
      <c r="AK260" s="841"/>
      <c r="AL260" s="1806"/>
      <c r="AM260" s="1399"/>
      <c r="AN260" s="838"/>
      <c r="AO260" s="1399"/>
      <c r="AP260" s="1399"/>
      <c r="AQ260" s="1399"/>
      <c r="AS260" s="1399"/>
      <c r="AT260" s="1399"/>
      <c r="AU260" s="759"/>
      <c r="AV260" s="759"/>
      <c r="AW260" s="759"/>
      <c r="AX260" s="759"/>
      <c r="AY260" s="759"/>
      <c r="AZ260" s="759"/>
      <c r="BA260" s="759"/>
      <c r="BB260" s="759"/>
      <c r="BC260" s="759"/>
      <c r="BD260" s="759"/>
      <c r="BE260" s="759"/>
      <c r="BF260" s="759"/>
      <c r="BG260" s="760"/>
      <c r="BH260" s="1678"/>
      <c r="BI260" s="1678"/>
      <c r="BJ260" s="1678"/>
      <c r="BK260" s="1678"/>
      <c r="BL260" s="1679"/>
      <c r="BM260" s="1679"/>
      <c r="BN260" s="1678"/>
      <c r="BO260" s="1678"/>
      <c r="BP260" s="1678"/>
      <c r="BQ260" s="1399"/>
    </row>
    <row r="261" spans="1:69" s="782" customFormat="1" ht="3.95" customHeight="1" thickBot="1" x14ac:dyDescent="0.25">
      <c r="A261" s="852"/>
      <c r="B261" s="1791">
        <v>249</v>
      </c>
      <c r="C261" s="851"/>
      <c r="D261" s="1841"/>
      <c r="E261" s="1058"/>
      <c r="F261" s="686"/>
      <c r="G261" s="686"/>
      <c r="H261" s="1909"/>
      <c r="I261" s="1908"/>
      <c r="J261" s="1908"/>
      <c r="K261" s="1908"/>
      <c r="L261" s="1909"/>
      <c r="M261" s="722"/>
      <c r="N261" s="1912"/>
      <c r="O261" s="722"/>
      <c r="P261" s="1868"/>
      <c r="Q261" s="1869"/>
      <c r="R261" s="1868"/>
      <c r="S261" s="1869"/>
      <c r="T261" s="1868"/>
      <c r="U261" s="1869"/>
      <c r="V261" s="1868"/>
      <c r="W261" s="1869"/>
      <c r="X261" s="1868"/>
      <c r="Y261" s="1869"/>
      <c r="Z261" s="1869"/>
      <c r="AA261" s="1869"/>
      <c r="AB261" s="1869"/>
      <c r="AC261" s="1869"/>
      <c r="AD261" s="1869"/>
      <c r="AE261" s="1869"/>
      <c r="AF261" s="1869"/>
      <c r="AG261" s="1869"/>
      <c r="AH261" s="1869"/>
      <c r="AI261" s="1670"/>
      <c r="AJ261" s="1828"/>
      <c r="AK261" s="724"/>
      <c r="AL261" s="1806"/>
      <c r="AM261" s="1399"/>
      <c r="AN261" s="1258"/>
      <c r="AO261" s="1399"/>
      <c r="AP261" s="1399"/>
      <c r="AQ261" s="1399"/>
      <c r="AS261" s="1399"/>
      <c r="AT261" s="1399"/>
      <c r="AU261" s="759"/>
      <c r="AV261" s="759"/>
      <c r="AW261" s="759"/>
      <c r="AX261" s="759"/>
      <c r="AY261" s="759"/>
      <c r="AZ261" s="759"/>
      <c r="BA261" s="759"/>
      <c r="BB261" s="759"/>
      <c r="BC261" s="759"/>
      <c r="BD261" s="759"/>
      <c r="BE261" s="759"/>
      <c r="BF261" s="759"/>
      <c r="BG261" s="760"/>
      <c r="BH261" s="1678"/>
      <c r="BI261" s="1678"/>
      <c r="BJ261" s="1678"/>
      <c r="BK261" s="1678"/>
      <c r="BL261" s="1679"/>
      <c r="BM261" s="1679"/>
      <c r="BN261" s="1678"/>
      <c r="BO261" s="1678"/>
      <c r="BP261" s="1678"/>
      <c r="BQ261" s="1399"/>
    </row>
    <row r="262" spans="1:69" s="782" customFormat="1" x14ac:dyDescent="0.2">
      <c r="A262" s="852">
        <f>A259+1</f>
        <v>65</v>
      </c>
      <c r="B262" s="1790">
        <v>250</v>
      </c>
      <c r="C262" s="851" t="str">
        <f>Valid!$B$79</f>
        <v>Below-Grade/Submerged Tube</v>
      </c>
      <c r="D262" s="1841"/>
      <c r="E262" s="1245" t="str">
        <f>IF(AT262="N/A","",IF(AT262="N","No","Yes"))</f>
        <v/>
      </c>
      <c r="F262" s="764"/>
      <c r="G262" s="764"/>
      <c r="H262" s="1864"/>
      <c r="I262" s="1904" t="str">
        <f>IF(C234="","",IF(J262&lt;&gt;"","Linear Feet   ","Qty? Enter Zero if N/A  "))</f>
        <v/>
      </c>
      <c r="J262" s="1864"/>
      <c r="K262" s="1904" t="str">
        <f>IF(E262="yes","",IF(C234="","",IF(H262="","Qty? Enter Zero if N/A  ",IF(H262&lt;&gt;"","Track Feet      ",""))))</f>
        <v/>
      </c>
      <c r="L262" s="1864"/>
      <c r="M262" s="1620" t="str">
        <f>IF($H262=0,"",IF($L262="",TEXT(BN262,0)&amp;" Years?    ",""))</f>
        <v/>
      </c>
      <c r="N262" s="1905"/>
      <c r="O262" s="1620"/>
      <c r="P262" s="1864"/>
      <c r="Q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R262" s="1864"/>
      <c r="S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T262" s="1864"/>
      <c r="U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V262" s="1864"/>
      <c r="W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X262" s="1864"/>
      <c r="Y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Z262" s="1864"/>
      <c r="AA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B262" s="1864"/>
      <c r="AC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D262" s="1864"/>
      <c r="AE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F262" s="1864"/>
      <c r="AG262" s="1865"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H262" s="1864"/>
      <c r="AI262" s="904" t="str">
        <f>IF($N262="","",IF(AND($N262="",OR($H262="",$H262=0)),"",IF(AND($N262="LF",$AJ262&lt;$H262),"0 - "&amp;TEXT(($H262-$AJ262)/1000,"0")&amp;"k lin. ft.?    ",IF(AND($N262="TF",$AJ262&lt;$J262),"0 - "&amp;TEXT(($J262-$AJ262)/1000,"0")&amp;"k track ft.?    ",IF(AND($N262="%",$AJ262&lt;1),REPLACE(IF(AND($P262&gt;0,$V262&gt;0,$T262&gt;0,$X262&gt;0,$R262&gt;0,$Z262&gt;0,$AB262&gt;0,$AD262&gt;0,$AF262&gt;0,$AH262&gt;0),"","0-"),99,0,REPLACE(TEXT(100-$AJ262,0),99,0,"%?    ")),"")))))</f>
        <v/>
      </c>
      <c r="AJ262" s="1833">
        <f>IFERROR(IF(N262="%", SUM(P262,R262,T262,V262,X262,Z262,AB262,AD262,AF262,AH262)/100, SUM(P262,R262,T262,V262,X262,Z262,AB262,AD262,AF262,AH262)/IF(N262="LF", H262,J262)), 0)</f>
        <v>0</v>
      </c>
      <c r="AK262" s="1648"/>
      <c r="AL262" s="1832"/>
      <c r="AM262" s="1399"/>
      <c r="AN262" s="1276"/>
      <c r="AO262" s="1399"/>
      <c r="AP262" s="1653"/>
      <c r="AQ262" s="1399"/>
      <c r="AS262" s="1399"/>
      <c r="AT262" s="1624" t="str">
        <f>IF(AND($C$234="", H262="", J262=""), "N/A", IF(OR(AND(ISNUMBER(H262), ISNUMBER(J262), H262=0, J262=0), AND(AJ262=1, H262&lt;&gt;"", J262&lt;&gt;"", L262&lt;&gt;"", N262&lt;&gt;"", P262&lt;&gt;"", R262&lt;&gt;"", T262&lt;&gt;"", V262&lt;&gt;"", X262&lt;&gt;"", Z262&lt;&gt;"", AB262&lt;&gt;"", AD262&lt;&gt;"", AF262&lt;&gt;"", AH262&lt;&gt;"",AL262&lt;&gt;"", IF(AND(AL262&lt;1, AN262=""), FALSE, TRUE))), "Yes", "No"))</f>
        <v>N/A</v>
      </c>
      <c r="AU262" s="759" t="b">
        <f>IF(AND(H262="",OR(L262&lt;&gt;"",P262&lt;&gt;"",R262&lt;&gt;"",T262&lt;&gt;"",V262&lt;&gt;"",X262&lt;&gt;"",AL262&lt;&gt;"",Z262&lt;&gt;"",AB262&lt;&gt;"",AD262&lt;&gt;"",AF262&lt;&gt;"",AH262&lt;&gt;"")),TRUE,FALSE)</f>
        <v>0</v>
      </c>
      <c r="AV262" s="759" t="b">
        <f>IF(OR(H262="",H262=0),FALSE,IF(H262&gt;BM262,TRUE,FALSE))</f>
        <v>0</v>
      </c>
      <c r="AW262" s="759" t="b">
        <f>IF(AND($C$234&lt;&gt;"",$H262=""),TRUE,FALSE)</f>
        <v>0</v>
      </c>
      <c r="AX262" s="759" t="b">
        <f>IF(E262="yes",FALSE,IF(H262="0",FALSE,IF(AND($C$234&lt;&gt;"",J262=""),TRUE,FALSE)))</f>
        <v>0</v>
      </c>
      <c r="AY262" s="759" t="b">
        <f>IF($L262="",FALSE,IF($L262&lt;$BO262,TRUE,FALSE))</f>
        <v>0</v>
      </c>
      <c r="AZ262" s="759" t="b">
        <f>IF($L262="",FALSE,IF($L262&gt;$BP262,TRUE,FALSE))</f>
        <v>0</v>
      </c>
      <c r="BA262" s="759" t="b">
        <f>IF(H262=0,FALSE,IF(AND(E262&lt;&gt;"",$L262=""),TRUE,FALSE))</f>
        <v>0</v>
      </c>
      <c r="BB262" s="759" t="b">
        <f>IF(AND($AJ262&lt;&gt;0,$H262&lt;&gt;$BJ262,$N262="LF"),TRUE,IF(AND($AJ262&lt;&gt;0,$J262&lt;&gt;$AJ262,$N262="TF"),TRUE,IF(AND($AJ262&lt;&gt;0,$AJ262&lt;&gt;1,$N262="%"),TRUE,FALSE)))</f>
        <v>0</v>
      </c>
      <c r="BC262" s="759" t="b">
        <f>IF(AT262="No", IF(OR(P262="", R262="", T262="", V262="", X262="", Z262="", AB262="", AD262="", AF262="", AH262=""), TRUE, FALSE), FALSE)</f>
        <v>0</v>
      </c>
      <c r="BD262" s="759" t="b">
        <f>IF($BE262=TRUE,FALSE,IF(OR($AL262&lt;0,$AL262&gt;1),TRUE,FALSE))</f>
        <v>0</v>
      </c>
      <c r="BE262" s="759" t="b">
        <f>IF(AND($H262&lt;&gt;0,$AL262=""),TRUE,FALSE)</f>
        <v>0</v>
      </c>
      <c r="BF262" s="759" t="b">
        <f>IF(N262="%",TRUE,FALSE)</f>
        <v>0</v>
      </c>
      <c r="BG262" s="760"/>
      <c r="BH262" s="1678">
        <f>IF($C262="","",VLOOKUP($C262,val_fg_assets,9,FALSE))</f>
        <v>1</v>
      </c>
      <c r="BI262" s="1678" t="str">
        <f>IF(N262="", "", IF(N262="LF", H262, IF(N262="TF", J262, IF(N262="%", 1, ""))))</f>
        <v/>
      </c>
      <c r="BJ262" s="1679">
        <f>P262+R262+T262+V262+X262+Z262+AB262+AD262+AF262+AH262</f>
        <v>0</v>
      </c>
      <c r="BK262" s="1679" t="str">
        <f>IF(BI262="", "", BI262-BJ262)</f>
        <v/>
      </c>
      <c r="BL262" s="1679">
        <f>IF($C262="","",VLOOKUP($C262,val_fg_assets,3,FALSE))</f>
        <v>0</v>
      </c>
      <c r="BM262" s="1679">
        <f>IF($C262="","",VLOOKUP($C262,val_fg_assets,4,FALSE))</f>
        <v>1320000</v>
      </c>
      <c r="BN262" s="1678">
        <f>IF($C262="","",VLOOKUP($C262,val_fg_assets,5,FALSE))</f>
        <v>80</v>
      </c>
      <c r="BO262" s="1678">
        <f>IF($C262="","",VLOOKUP($C262,val_fg_assets,6,FALSE))</f>
        <v>60</v>
      </c>
      <c r="BP262" s="1678">
        <f>IF($C262="","",VLOOKUP($C262,val_fg_assets,7,FALSE))</f>
        <v>100</v>
      </c>
      <c r="BQ262" s="1399"/>
    </row>
    <row r="263" spans="1:69" s="782" customFormat="1" ht="3.95" customHeight="1" thickBot="1" x14ac:dyDescent="0.25">
      <c r="A263" s="852"/>
      <c r="B263" s="1790">
        <v>251</v>
      </c>
      <c r="C263" s="850"/>
      <c r="D263" s="1841"/>
      <c r="E263" s="1058"/>
      <c r="F263" s="686"/>
      <c r="G263" s="686"/>
      <c r="H263" s="1909"/>
      <c r="I263" s="1907"/>
      <c r="J263" s="1908"/>
      <c r="K263" s="1908"/>
      <c r="L263" s="1909"/>
      <c r="M263" s="1910"/>
      <c r="N263" s="1910"/>
      <c r="O263" s="1910"/>
      <c r="P263" s="1866"/>
      <c r="Q263" s="1867"/>
      <c r="R263" s="1866"/>
      <c r="S263" s="1867"/>
      <c r="T263" s="1866"/>
      <c r="U263" s="1867"/>
      <c r="V263" s="1866"/>
      <c r="W263" s="1867"/>
      <c r="X263" s="1866"/>
      <c r="Y263" s="1867"/>
      <c r="Z263" s="1867"/>
      <c r="AA263" s="1867"/>
      <c r="AB263" s="1867"/>
      <c r="AC263" s="1867"/>
      <c r="AD263" s="1867"/>
      <c r="AE263" s="1867"/>
      <c r="AF263" s="1867"/>
      <c r="AG263" s="1867"/>
      <c r="AH263" s="1867"/>
      <c r="AI263" s="837"/>
      <c r="AJ263" s="1806"/>
      <c r="AK263" s="841"/>
      <c r="AL263" s="1806"/>
      <c r="AM263" s="1399"/>
      <c r="AN263" s="838"/>
      <c r="AO263" s="1399"/>
      <c r="AP263" s="1399"/>
      <c r="AQ263" s="1399"/>
      <c r="AS263" s="1399"/>
      <c r="AT263" s="1399"/>
      <c r="AU263" s="759"/>
      <c r="AV263" s="759"/>
      <c r="AW263" s="759"/>
      <c r="AX263" s="759"/>
      <c r="AY263" s="759"/>
      <c r="AZ263" s="759"/>
      <c r="BA263" s="759"/>
      <c r="BB263" s="759"/>
      <c r="BC263" s="759"/>
      <c r="BD263" s="759"/>
      <c r="BE263" s="759"/>
      <c r="BF263" s="759"/>
      <c r="BG263" s="760"/>
      <c r="BH263" s="1678"/>
      <c r="BI263" s="1678"/>
      <c r="BJ263" s="1678"/>
      <c r="BK263" s="1678"/>
      <c r="BL263" s="1679"/>
      <c r="BM263" s="1679"/>
      <c r="BN263" s="1678"/>
      <c r="BO263" s="1678"/>
      <c r="BP263" s="1678"/>
      <c r="BQ263" s="1399"/>
    </row>
    <row r="264" spans="1:69" s="782" customFormat="1" x14ac:dyDescent="0.2">
      <c r="A264" s="1712" t="s">
        <v>2621</v>
      </c>
      <c r="B264" s="1791">
        <v>252</v>
      </c>
      <c r="C264" s="850"/>
      <c r="D264" s="1841"/>
      <c r="E264" s="816"/>
      <c r="F264" s="686"/>
      <c r="G264" s="686"/>
      <c r="H264" s="1914">
        <f>SUM(H238:H262)</f>
        <v>0</v>
      </c>
      <c r="I264" s="1915"/>
      <c r="J264" s="1914">
        <f>SUM(J238:J262)</f>
        <v>0</v>
      </c>
      <c r="K264" s="1880"/>
      <c r="L264" s="1880" t="str">
        <f>IF(C234="","&lt;&lt;Total Guideway (Excluding Track) in Linear Feet and Track Feet","&lt;&lt;Total "&amp;VLOOKUP(C234,Codes!$C$156:$D$174,2)&amp;" Guideway (Excluding Track) in Linear Feet and Track Feet")</f>
        <v>&lt;&lt;Total Guideway (Excluding Track) in Linear Feet and Track Feet</v>
      </c>
      <c r="M264" s="1910"/>
      <c r="N264" s="1910"/>
      <c r="O264" s="1910"/>
      <c r="P264" s="1916"/>
      <c r="Q264" s="1867"/>
      <c r="R264" s="1916"/>
      <c r="S264" s="1867"/>
      <c r="T264" s="1916"/>
      <c r="U264" s="1867"/>
      <c r="V264" s="1916"/>
      <c r="W264" s="1867"/>
      <c r="X264" s="1916"/>
      <c r="Y264" s="1867"/>
      <c r="Z264" s="1867"/>
      <c r="AA264" s="1867"/>
      <c r="AB264" s="1867"/>
      <c r="AC264" s="1867"/>
      <c r="AD264" s="1867"/>
      <c r="AE264" s="1867"/>
      <c r="AF264" s="1867"/>
      <c r="AG264" s="1867"/>
      <c r="AH264" s="1867"/>
      <c r="AI264" s="837"/>
      <c r="AJ264" s="1806"/>
      <c r="AK264" s="841"/>
      <c r="AL264" s="1806"/>
      <c r="AM264" s="1399"/>
      <c r="AN264" s="838"/>
      <c r="AO264" s="1399"/>
      <c r="AP264" s="1399"/>
      <c r="AQ264" s="1399"/>
      <c r="AS264" s="1399"/>
      <c r="AT264" s="1399"/>
      <c r="AU264" s="759"/>
      <c r="AV264" s="759"/>
      <c r="AW264" s="759"/>
      <c r="AX264" s="759"/>
      <c r="AY264" s="759"/>
      <c r="AZ264" s="759"/>
      <c r="BA264" s="759"/>
      <c r="BB264" s="759"/>
      <c r="BC264" s="759"/>
      <c r="BD264" s="759"/>
      <c r="BE264" s="759"/>
      <c r="BF264" s="759"/>
      <c r="BG264" s="760"/>
      <c r="BH264" s="1678"/>
      <c r="BI264" s="1678"/>
      <c r="BJ264" s="1678"/>
      <c r="BK264" s="1678"/>
      <c r="BL264" s="1679"/>
      <c r="BM264" s="1679"/>
      <c r="BN264" s="1678"/>
      <c r="BO264" s="1678"/>
      <c r="BP264" s="1678"/>
      <c r="BQ264" s="1399"/>
    </row>
    <row r="265" spans="1:69" s="686" customFormat="1" x14ac:dyDescent="0.2">
      <c r="A265" s="1712" t="s">
        <v>2621</v>
      </c>
      <c r="B265" s="1791">
        <v>253</v>
      </c>
      <c r="C265" s="844" t="str">
        <f>IF(C234="","Power and Signals",VLOOKUP(C234,Codes!$C$156:$D$174,2)&amp;" Power and Signals")</f>
        <v>Power and Signals</v>
      </c>
      <c r="D265" s="1709"/>
      <c r="E265" s="1057"/>
      <c r="F265" s="764"/>
      <c r="G265" s="764"/>
      <c r="H265" s="1917"/>
      <c r="I265" s="1880"/>
      <c r="J265" s="1651"/>
      <c r="K265" s="1651"/>
      <c r="L265" s="1917"/>
      <c r="M265" s="1651"/>
      <c r="N265" s="1651"/>
      <c r="O265" s="1651"/>
      <c r="P265" s="1916"/>
      <c r="Q265" s="1867"/>
      <c r="R265" s="1916"/>
      <c r="S265" s="1867"/>
      <c r="T265" s="1916"/>
      <c r="U265" s="1867"/>
      <c r="V265" s="1916"/>
      <c r="W265" s="1867"/>
      <c r="X265" s="1916"/>
      <c r="Y265" s="1651"/>
      <c r="Z265" s="1651"/>
      <c r="AA265" s="1651"/>
      <c r="AB265" s="1651"/>
      <c r="AC265" s="1651"/>
      <c r="AD265" s="1651"/>
      <c r="AE265" s="1651"/>
      <c r="AF265" s="1651"/>
      <c r="AG265" s="1651"/>
      <c r="AH265" s="1651"/>
      <c r="AJ265" s="1676"/>
      <c r="AL265" s="1676"/>
      <c r="AP265" s="1223"/>
      <c r="AU265" s="848"/>
      <c r="AV265" s="848"/>
      <c r="AW265" s="848"/>
      <c r="AX265" s="848"/>
      <c r="AY265" s="759"/>
      <c r="AZ265" s="759"/>
      <c r="BA265" s="848"/>
      <c r="BB265" s="759"/>
      <c r="BC265" s="848"/>
      <c r="BD265" s="848"/>
      <c r="BE265" s="848"/>
      <c r="BF265" s="848"/>
      <c r="BH265" s="1680"/>
      <c r="BI265" s="1680"/>
      <c r="BJ265" s="1680"/>
      <c r="BK265" s="1680"/>
      <c r="BL265" s="1680"/>
      <c r="BM265" s="1680"/>
      <c r="BN265" s="1680"/>
      <c r="BO265" s="1680"/>
      <c r="BP265" s="1680"/>
    </row>
    <row r="266" spans="1:69" s="686" customFormat="1" ht="26.25" thickBot="1" x14ac:dyDescent="0.25">
      <c r="A266" s="1712" t="s">
        <v>2621</v>
      </c>
      <c r="B266" s="1791">
        <v>254</v>
      </c>
      <c r="C266" s="1674"/>
      <c r="D266" s="1709"/>
      <c r="E266" s="1057"/>
      <c r="H266" s="1903" t="s">
        <v>13</v>
      </c>
      <c r="I266" s="1651"/>
      <c r="J266" s="1651"/>
      <c r="K266" s="1651"/>
      <c r="L266" s="1909"/>
      <c r="M266" s="1909"/>
      <c r="N266" s="1909"/>
      <c r="O266" s="1909"/>
      <c r="P266" s="1903" t="str">
        <f>P$9</f>
        <v>Pre-1920</v>
      </c>
      <c r="Q266" s="1869"/>
      <c r="R266" s="1903" t="str">
        <f>R$9</f>
        <v>1920-
1929</v>
      </c>
      <c r="S266" s="1869"/>
      <c r="T266" s="1903" t="str">
        <f>T$9</f>
        <v>1930-
1939</v>
      </c>
      <c r="U266" s="1869"/>
      <c r="V266" s="1903" t="str">
        <f>V$9</f>
        <v>1940-
1949</v>
      </c>
      <c r="W266" s="1869"/>
      <c r="X266" s="1903" t="str">
        <f>X$9</f>
        <v>1950-
1959</v>
      </c>
      <c r="Y266" s="1868"/>
      <c r="Z266" s="1903" t="str">
        <f>Z$9</f>
        <v>1960-
1969</v>
      </c>
      <c r="AA266" s="1868"/>
      <c r="AB266" s="1903" t="str">
        <f>AB$9</f>
        <v>1970-
1979</v>
      </c>
      <c r="AC266" s="1868"/>
      <c r="AD266" s="1903" t="str">
        <f>AD$9</f>
        <v>1980-
1989</v>
      </c>
      <c r="AE266" s="1868"/>
      <c r="AF266" s="1903" t="str">
        <f>AF$9</f>
        <v>1990-
1999</v>
      </c>
      <c r="AG266" s="1868"/>
      <c r="AH266" s="1903" t="str">
        <f>AH$9</f>
        <v>2000-
present</v>
      </c>
      <c r="AJ266" s="1676"/>
      <c r="AL266" s="1676"/>
      <c r="AP266" s="1394"/>
      <c r="AU266" s="848"/>
      <c r="AV266" s="848"/>
      <c r="AW266" s="848"/>
      <c r="AX266" s="848"/>
      <c r="AY266" s="759"/>
      <c r="AZ266" s="759"/>
      <c r="BA266" s="848"/>
      <c r="BB266" s="759"/>
      <c r="BC266" s="848"/>
      <c r="BD266" s="848"/>
      <c r="BE266" s="848"/>
      <c r="BF266" s="848"/>
      <c r="BH266" s="1680"/>
      <c r="BI266" s="1680"/>
      <c r="BJ266" s="1680"/>
      <c r="BK266" s="1680"/>
      <c r="BL266" s="1680"/>
      <c r="BM266" s="1680"/>
      <c r="BN266" s="1680"/>
      <c r="BO266" s="1680"/>
      <c r="BP266" s="1680"/>
    </row>
    <row r="267" spans="1:69" s="686" customFormat="1" x14ac:dyDescent="0.2">
      <c r="A267" s="852">
        <f>A262+1</f>
        <v>66</v>
      </c>
      <c r="B267" s="1790">
        <v>255</v>
      </c>
      <c r="C267" s="851" t="str">
        <f>Valid!$B$87</f>
        <v>Substation Building</v>
      </c>
      <c r="D267" s="1709"/>
      <c r="E267" s="1245" t="str">
        <f>IF(AT267="N/A","",IF(AT267="N","No","Yes"))</f>
        <v/>
      </c>
      <c r="H267" s="1864"/>
      <c r="I267" s="1904" t="str">
        <f>IF(AND(C234&lt;&gt;"", H267=""),"Qty? Enter Zero if N/A  ","")</f>
        <v/>
      </c>
      <c r="J267" s="1918"/>
      <c r="K267" s="1651"/>
      <c r="L267" s="1864"/>
      <c r="M267" s="1870" t="str">
        <f>IF($H267=0,"",IF($L267="",TEXT(BN267,0)&amp;" Years?    ",""))</f>
        <v/>
      </c>
      <c r="N267" s="1905"/>
      <c r="O267" s="1870"/>
      <c r="P267" s="1864"/>
      <c r="Q267" s="1865" t="str">
        <f>IF(OR($N267="", AND($N267="",OR($H267="",$H267=0))),"",IF(AND($N267="Quantity",$AJ267&lt;$H267),"0 - "&amp;TEXT($H267-$AJ267,"0")&amp;" buildings?    ",IF(AND($N267="%",$AJ267&lt;1),REPLACE(IF(AND($P267&gt;0,$V267&gt;0,$T267&gt;0,$X267&gt;0,$R267&gt;0,$Z267&gt;0,$AB267&gt;0,$AD267&gt;0,$AF267&gt;0,$AH267&gt;0),"","0-"),99,0,REPLACE(TEXT(100-$AJ267,0),99,0,"?    ")),"")))</f>
        <v/>
      </c>
      <c r="R267" s="1864"/>
      <c r="S267" s="1865" t="str">
        <f>IF(OR($N267="", AND($N267="",OR($H267="",$H267=0))),"",IF(AND($N267="Quantity",$AJ267&lt;$H267),"0 - "&amp;TEXT($H267-$AJ267,"0")&amp;" buildings?    ",IF(AND($N267="%",$AJ267&lt;1),REPLACE(IF(AND($P267&gt;0,$V267&gt;0,$T267&gt;0,$X267&gt;0,$R267&gt;0,$Z267&gt;0,$AB267&gt;0,$AD267&gt;0,$AF267&gt;0,$AH267&gt;0),"","0-"),99,0,REPLACE(TEXT(100-$AJ267,0),99,0,"?    ")),"")))</f>
        <v/>
      </c>
      <c r="T267" s="1864"/>
      <c r="U267" s="1865" t="str">
        <f>IF(OR($N267="", AND($N267="",OR($H267="",$H267=0))),"",IF(AND($N267="Quantity",$AJ267&lt;$H267),"0 - "&amp;TEXT($H267-$AJ267,"0")&amp;" buildings?    ",IF(AND($N267="%",$AJ267&lt;1),REPLACE(IF(AND($P267&gt;0,$V267&gt;0,$T267&gt;0,$X267&gt;0,$R267&gt;0,$Z267&gt;0,$AB267&gt;0,$AD267&gt;0,$AF267&gt;0,$AH267&gt;0),"","0-"),99,0,REPLACE(TEXT(100-$AJ267,0),99,0,"?    ")),"")))</f>
        <v/>
      </c>
      <c r="V267" s="1864"/>
      <c r="W267" s="1865" t="str">
        <f>IF(OR($N267="", AND($N267="",OR($H267="",$H267=0))),"",IF(AND($N267="Quantity",$AJ267&lt;$H267),"0 - "&amp;TEXT($H267-$AJ267,"0")&amp;" buildings?    ",IF(AND($N267="%",$AJ267&lt;1),REPLACE(IF(AND($P267&gt;0,$V267&gt;0,$T267&gt;0,$X267&gt;0,$R267&gt;0,$Z267&gt;0,$AB267&gt;0,$AD267&gt;0,$AF267&gt;0,$AH267&gt;0),"","0-"),99,0,REPLACE(TEXT(100-$AJ267,0),99,0,"?    ")),"")))</f>
        <v/>
      </c>
      <c r="X267" s="1864"/>
      <c r="Y267" s="1865" t="str">
        <f>IF(OR($N267="", AND($N267="",OR($H267="",$H267=0))),"",IF(AND($N267="Quantity",$AJ267&lt;$H267),"0 - "&amp;TEXT($H267-$AJ267,"0")&amp;" buildings?    ",IF(AND($N267="%",$AJ267&lt;1),REPLACE(IF(AND($P267&gt;0,$V267&gt;0,$T267&gt;0,$X267&gt;0,$R267&gt;0,$Z267&gt;0,$AB267&gt;0,$AD267&gt;0,$AF267&gt;0,$AH267&gt;0),"","0-"),99,0,REPLACE(TEXT(100-$AJ267,0),99,0,"?    ")),"")))</f>
        <v/>
      </c>
      <c r="Z267" s="1864"/>
      <c r="AA267" s="1865" t="str">
        <f>IF(OR($N267="", AND($N267="",OR($H267="",$H267=0))),"",IF(AND($N267="Quantity",$AJ267&lt;$H267),"0 - "&amp;TEXT($H267-$AJ267,"0")&amp;" buildings?    ",IF(AND($N267="%",$AJ267&lt;1),REPLACE(IF(AND($P267&gt;0,$V267&gt;0,$T267&gt;0,$X267&gt;0,$R267&gt;0,$Z267&gt;0,$AB267&gt;0,$AD267&gt;0,$AF267&gt;0,$AH267&gt;0),"","0-"),99,0,REPLACE(TEXT(100-$AJ267,0),99,0,"?    ")),"")))</f>
        <v/>
      </c>
      <c r="AB267" s="1864"/>
      <c r="AC267" s="1865" t="str">
        <f>IF(OR($N267="", AND($N267="",OR($H267="",$H267=0))),"",IF(AND($N267="Quantity",$AJ267&lt;$H267),"0 - "&amp;TEXT($H267-$AJ267,"0")&amp;" buildings?    ",IF(AND($N267="%",$AJ267&lt;1),REPLACE(IF(AND($P267&gt;0,$V267&gt;0,$T267&gt;0,$X267&gt;0,$R267&gt;0,$Z267&gt;0,$AB267&gt;0,$AD267&gt;0,$AF267&gt;0,$AH267&gt;0),"","0-"),99,0,REPLACE(TEXT(100-$AJ267,0),99,0,"?    ")),"")))</f>
        <v/>
      </c>
      <c r="AD267" s="1864"/>
      <c r="AE267" s="1865" t="str">
        <f>IF(OR($N267="", AND($N267="",OR($H267="",$H267=0))),"",IF(AND($N267="Quantity",$AJ267&lt;$H267),"0 - "&amp;TEXT($H267-$AJ267,"0")&amp;" buildings?    ",IF(AND($N267="%",$AJ267&lt;1),REPLACE(IF(AND($P267&gt;0,$V267&gt;0,$T267&gt;0,$X267&gt;0,$R267&gt;0,$Z267&gt;0,$AB267&gt;0,$AD267&gt;0,$AF267&gt;0,$AH267&gt;0),"","0-"),99,0,REPLACE(TEXT(100-$AJ267,0),99,0,"?    ")),"")))</f>
        <v/>
      </c>
      <c r="AF267" s="1864"/>
      <c r="AG267" s="1865" t="str">
        <f>IF(OR($N267="", AND($N267="",OR($H267="",$H267=0))),"",IF(AND($N267="Quantity",$AJ267&lt;$H267),"0 - "&amp;TEXT($H267-$AJ267,"0")&amp;" buildings?    ",IF(AND($N267="%",$AJ267&lt;1),REPLACE(IF(AND($P267&gt;0,$V267&gt;0,$T267&gt;0,$X267&gt;0,$R267&gt;0,$Z267&gt;0,$AB267&gt;0,$AD267&gt;0,$AF267&gt;0,$AH267&gt;0),"","0-"),99,0,REPLACE(TEXT(100-$AJ267,0),99,0,"?    ")),"")))</f>
        <v/>
      </c>
      <c r="AH267" s="1864"/>
      <c r="AI267" s="1865" t="str">
        <f>IF(OR($N267="", AND($N267="",OR($H267="",$H267=0))),"",IF(AND($N267="Quantity",$AJ267&lt;$H267),"0 - "&amp;TEXT($H267-$AJ267,"0")&amp;" buildings?    ",IF(AND($N267="%",$AJ267&lt;1),REPLACE(IF(AND($P267&gt;0,$V267&gt;0,$T267&gt;0,$X267&gt;0,$R267&gt;0,$Z267&gt;0,$AB267&gt;0,$AD267&gt;0,$AF267&gt;0,$AH267&gt;0),"","0-"),99,0,REPLACE(TEXT(100-$AJ267,0),99,0,"?    ")),"")))</f>
        <v/>
      </c>
      <c r="AJ267" s="1833">
        <f>IFERROR(IF(N267="%", SUM(P267,R267,T267,V267,X267,Z267,AB267,AD267,AF267,AH267)/100, SUM(P267,R267,T267,V267,X267,Z267,AB267,AD267,AF267,AH267)/H267), 0)</f>
        <v>0</v>
      </c>
      <c r="AL267" s="1832"/>
      <c r="AN267" s="1276"/>
      <c r="AP267" s="1653"/>
      <c r="AT267" s="1624" t="str">
        <f>IF(AND($C$234="", H267=""), "N/A", IF(OR(AND(ISNUMBER(H267), H267=0), AND(AJ267=1, H267&lt;&gt;"", L267&lt;&gt;"", N267&lt;&gt;"", P267&lt;&gt;"", R267&lt;&gt;"", T267&lt;&gt;"", V267&lt;&gt;"", X267&lt;&gt;"", Z267&lt;&gt;"", AB267&lt;&gt;"", AD267&lt;&gt;"", AF267&lt;&gt;"", AH267&lt;&gt;"",AL267&lt;&gt;"", IF(AND(AL267&lt;1, AN267=""), FALSE, TRUE))), "Yes", "No"))</f>
        <v>N/A</v>
      </c>
      <c r="AU267" s="759" t="b">
        <f>IF(AND(H267="",OR(L267&lt;&gt;"",P267&lt;&gt;"",R267&lt;&gt;"",T267&lt;&gt;"",V267&lt;&gt;"",X267&lt;&gt;"",AL267&lt;&gt;"",Z267&lt;&gt;"",AB267&lt;&gt;"",AD267&lt;&gt;"",AF267&lt;&gt;"",AH267&lt;&gt;"")),TRUE,FALSE)</f>
        <v>0</v>
      </c>
      <c r="AV267" s="759" t="b">
        <f>IF(OR(H267="",H267=0),FALSE,IF(H267&gt;BM267,TRUE,FALSE))</f>
        <v>0</v>
      </c>
      <c r="AW267" s="759" t="b">
        <f>IF(AND($C$234&lt;&gt;"",$H267=""),TRUE,FALSE)</f>
        <v>0</v>
      </c>
      <c r="AX267" s="759"/>
      <c r="AY267" s="759" t="b">
        <f>IF($L267="",FALSE,IF($L267&lt;$BO267,TRUE,FALSE))</f>
        <v>0</v>
      </c>
      <c r="AZ267" s="759" t="b">
        <f>IF($L267="",FALSE,IF($L267&gt;$BP267,TRUE,FALSE))</f>
        <v>0</v>
      </c>
      <c r="BA267" s="759" t="b">
        <f>IF(H267=0,FALSE,IF(AND(E267&lt;&gt;"",$L267=""),TRUE,FALSE))</f>
        <v>0</v>
      </c>
      <c r="BB267" s="759" t="b">
        <f>IF(AND($AJ267&lt;&gt;0,$H267&lt;$AJ267,$N267="LF"),TRUE,IF(AND($N267="LF",H267&lt;&gt;"",H267=AJ267),FALSE,IF(AND($AJ267&lt;&gt;0,$AJ267&gt;"100%",$N267="%"),TRUE,FALSE)))</f>
        <v>0</v>
      </c>
      <c r="BC267" s="759" t="b">
        <f>IF(AT267="No", IF(OR(P267="", R267="", T267="", V267="", X267="", Z267="", AB267="", AD267="", AF267="", AH267=""), TRUE, FALSE), FALSE)</f>
        <v>0</v>
      </c>
      <c r="BD267" s="759" t="b">
        <f>IF($BE267=TRUE,FALSE,IF(OR($AL267&lt;0,$AL267&gt;1),TRUE,FALSE))</f>
        <v>0</v>
      </c>
      <c r="BE267" s="759" t="b">
        <f>IF(AND($H267&lt;&gt;0,$AL267=""),TRUE,FALSE)</f>
        <v>0</v>
      </c>
      <c r="BF267" s="759"/>
      <c r="BH267" s="1678"/>
      <c r="BI267" s="1678" t="str">
        <f>IF(N267="", "", IF(N267="Quantity", H267, IF(N267="%", 1, "")))</f>
        <v/>
      </c>
      <c r="BJ267" s="1679">
        <f>P267+R267+T267+V267+X267+Z267+AB267+AD267+AF267+AH267</f>
        <v>0</v>
      </c>
      <c r="BK267" s="1679" t="str">
        <f>IF(BI267="", "", BI267-BJ267)</f>
        <v/>
      </c>
      <c r="BL267" s="1678">
        <f>IF($C267="","",VLOOKUP($C267,Valid!$B$87:$F$96,3,FALSE))</f>
        <v>0</v>
      </c>
      <c r="BM267" s="1678">
        <f>IF($C267="","",VLOOKUP($C267,Valid!$B$87:$F$96,4,FALSE))</f>
        <v>35</v>
      </c>
      <c r="BN267" s="1678">
        <f>IF($C267="","",VLOOKUP($C267,Valid!$B$87:$F$96,5,FALSE))</f>
        <v>100</v>
      </c>
      <c r="BO267" s="1678">
        <f>IF($C267="","",VLOOKUP($C267,Valid!$B$87:$G$96,6,FALSE))</f>
        <v>75</v>
      </c>
      <c r="BP267" s="1678">
        <f>IF($C267="","",VLOOKUP($C267,Valid!$B$87:$Z$96,7,FALSE))</f>
        <v>125</v>
      </c>
    </row>
    <row r="268" spans="1:69" s="686" customFormat="1" ht="3.95" customHeight="1" x14ac:dyDescent="0.2">
      <c r="B268" s="1790">
        <v>256</v>
      </c>
      <c r="C268" s="1674"/>
      <c r="D268" s="1709"/>
      <c r="E268" s="1057"/>
      <c r="H268" s="1917"/>
      <c r="I268" s="1651"/>
      <c r="J268" s="1651"/>
      <c r="K268" s="1651"/>
      <c r="L268" s="1917"/>
      <c r="M268" s="1651"/>
      <c r="N268" s="1651"/>
      <c r="O268" s="1651"/>
      <c r="P268" s="1866"/>
      <c r="Q268" s="1867"/>
      <c r="R268" s="1866"/>
      <c r="S268" s="1867"/>
      <c r="T268" s="1866"/>
      <c r="U268" s="1867"/>
      <c r="V268" s="1866"/>
      <c r="W268" s="1867"/>
      <c r="X268" s="1866"/>
      <c r="Y268" s="1867"/>
      <c r="Z268" s="1867"/>
      <c r="AA268" s="1867"/>
      <c r="AB268" s="1867"/>
      <c r="AC268" s="1867"/>
      <c r="AD268" s="1867"/>
      <c r="AE268" s="1867"/>
      <c r="AF268" s="1867"/>
      <c r="AG268" s="1867"/>
      <c r="AH268" s="1867"/>
      <c r="AJ268" s="1676"/>
      <c r="AL268" s="1676"/>
      <c r="AP268" s="1394"/>
      <c r="AU268" s="848"/>
      <c r="AV268" s="848"/>
      <c r="AW268" s="848"/>
      <c r="AX268" s="848"/>
      <c r="AY268" s="759"/>
      <c r="AZ268" s="759"/>
      <c r="BA268" s="848"/>
      <c r="BB268" s="759"/>
      <c r="BC268" s="848"/>
      <c r="BD268" s="848"/>
      <c r="BE268" s="848"/>
      <c r="BF268" s="848"/>
      <c r="BH268" s="1680"/>
      <c r="BI268" s="1680"/>
      <c r="BJ268" s="1680"/>
      <c r="BK268" s="1680"/>
      <c r="BL268" s="1680"/>
      <c r="BM268" s="1680"/>
      <c r="BN268" s="1680"/>
      <c r="BO268" s="1680"/>
      <c r="BP268" s="1680"/>
    </row>
    <row r="269" spans="1:69" s="686" customFormat="1" ht="3.95" customHeight="1" thickBot="1" x14ac:dyDescent="0.25">
      <c r="B269" s="1791">
        <v>257</v>
      </c>
      <c r="C269" s="1674"/>
      <c r="D269" s="1709"/>
      <c r="E269" s="1057"/>
      <c r="H269" s="1917"/>
      <c r="I269" s="1651"/>
      <c r="J269" s="1651"/>
      <c r="K269" s="1651"/>
      <c r="L269" s="1917"/>
      <c r="M269" s="1651"/>
      <c r="N269" s="1651"/>
      <c r="O269" s="1651"/>
      <c r="P269" s="1868"/>
      <c r="Q269" s="1869"/>
      <c r="R269" s="1868"/>
      <c r="S269" s="1869"/>
      <c r="T269" s="1868"/>
      <c r="U269" s="1869"/>
      <c r="V269" s="1868"/>
      <c r="W269" s="1869"/>
      <c r="X269" s="1868"/>
      <c r="Y269" s="1869"/>
      <c r="Z269" s="1869"/>
      <c r="AA269" s="1869"/>
      <c r="AB269" s="1869"/>
      <c r="AC269" s="1869"/>
      <c r="AD269" s="1869"/>
      <c r="AE269" s="1869"/>
      <c r="AF269" s="1869"/>
      <c r="AG269" s="1869"/>
      <c r="AH269" s="1869"/>
      <c r="AJ269" s="1676"/>
      <c r="AL269" s="1676"/>
      <c r="AP269" s="1394"/>
      <c r="AU269" s="848"/>
      <c r="AV269" s="848"/>
      <c r="AW269" s="848"/>
      <c r="AX269" s="848"/>
      <c r="AY269" s="759"/>
      <c r="AZ269" s="759"/>
      <c r="BA269" s="848"/>
      <c r="BB269" s="759"/>
      <c r="BC269" s="848"/>
      <c r="BD269" s="848"/>
      <c r="BE269" s="848"/>
      <c r="BF269" s="848"/>
      <c r="BH269" s="1680"/>
      <c r="BI269" s="1680"/>
      <c r="BJ269" s="1680"/>
      <c r="BK269" s="1680"/>
      <c r="BL269" s="1680"/>
      <c r="BM269" s="1680"/>
      <c r="BN269" s="1680"/>
      <c r="BO269" s="1680"/>
      <c r="BP269" s="1680"/>
    </row>
    <row r="270" spans="1:69" s="686" customFormat="1" x14ac:dyDescent="0.2">
      <c r="A270" s="852">
        <f>A267+1</f>
        <v>67</v>
      </c>
      <c r="B270" s="1791">
        <v>258</v>
      </c>
      <c r="C270" s="851" t="str">
        <f>Valid!$B$88</f>
        <v>Substation Equipment</v>
      </c>
      <c r="D270" s="1709"/>
      <c r="E270" s="1245" t="str">
        <f>IF(AT270="N/A","",IF(AT270="N","No","Yes"))</f>
        <v/>
      </c>
      <c r="H270" s="1917"/>
      <c r="I270" s="1904"/>
      <c r="J270" s="1919"/>
      <c r="K270" s="1651"/>
      <c r="L270" s="1864"/>
      <c r="M270" s="1920" t="str">
        <f>IF(AND(H267&lt;&gt;"", L270=""),REPLACE(TEXT(BN270,0),99,0," Yrs.?    "),"")</f>
        <v/>
      </c>
      <c r="N270" s="1921"/>
      <c r="O270" s="1870"/>
      <c r="P270" s="1864"/>
      <c r="Q270" s="1865" t="str">
        <f>IF(OR($N270="", AND($N270="",OR($H270="",$H270=0))),"",IF(AND($N270="Quantity",$AJ270&lt;$H270),"0 - "&amp;TEXT($H270-$AJ270,"0")&amp;" buildings?    ",IF(AND($N270="%",$AJ270&lt;1),REPLACE(IF(AND($P270&gt;0,$V270&gt;0,$T270&gt;0,$X270&gt;0,$R270&gt;0,$Z270&gt;0,$AB270&gt;0,$AD270&gt;0,$AF270&gt;0,$AH270&gt;0),"","0-"),99,0,REPLACE(TEXT(100-$AJ270,0),99,0,"?    ")),"")))</f>
        <v/>
      </c>
      <c r="R270" s="1864"/>
      <c r="S270" s="1865" t="str">
        <f>IF(OR($N270="", AND($N270="",OR($H270="",$H270=0))),"",IF(AND($N270="Quantity",$AJ270&lt;$H270),"0 - "&amp;TEXT($H270-$AJ270,"0")&amp;" buildings?    ",IF(AND($N270="%",$AJ270&lt;1),REPLACE(IF(AND($P270&gt;0,$V270&gt;0,$T270&gt;0,$X270&gt;0,$R270&gt;0,$Z270&gt;0,$AB270&gt;0,$AD270&gt;0,$AF270&gt;0,$AH270&gt;0),"","0-"),99,0,REPLACE(TEXT(100-$AJ270,0),99,0,"?    ")),"")))</f>
        <v/>
      </c>
      <c r="T270" s="1864"/>
      <c r="U270" s="1865" t="str">
        <f>IF(OR($N270="", AND($N270="",OR($H270="",$H270=0))),"",IF(AND($N270="Quantity",$AJ270&lt;$H270),"0 - "&amp;TEXT($H270-$AJ270,"0")&amp;" buildings?    ",IF(AND($N270="%",$AJ270&lt;1),REPLACE(IF(AND($P270&gt;0,$V270&gt;0,$T270&gt;0,$X270&gt;0,$R270&gt;0,$Z270&gt;0,$AB270&gt;0,$AD270&gt;0,$AF270&gt;0,$AH270&gt;0),"","0-"),99,0,REPLACE(TEXT(100-$AJ270,0),99,0,"?    ")),"")))</f>
        <v/>
      </c>
      <c r="V270" s="1864"/>
      <c r="W270" s="1865" t="str">
        <f>IF(OR($N270="", AND($N270="",OR($H270="",$H270=0))),"",IF(AND($N270="Quantity",$AJ270&lt;$H270),"0 - "&amp;TEXT($H270-$AJ270,"0")&amp;" buildings?    ",IF(AND($N270="%",$AJ270&lt;1),REPLACE(IF(AND($P270&gt;0,$V270&gt;0,$T270&gt;0,$X270&gt;0,$R270&gt;0,$Z270&gt;0,$AB270&gt;0,$AD270&gt;0,$AF270&gt;0,$AH270&gt;0),"","0-"),99,0,REPLACE(TEXT(100-$AJ270,0),99,0,"?    ")),"")))</f>
        <v/>
      </c>
      <c r="X270" s="1864"/>
      <c r="Y270" s="1865" t="str">
        <f>IF(OR($N270="", AND($N270="",OR($H270="",$H270=0))),"",IF(AND($N270="Quantity",$AJ270&lt;$H270),"0 - "&amp;TEXT($H270-$AJ270,"0")&amp;" buildings?    ",IF(AND($N270="%",$AJ270&lt;1),REPLACE(IF(AND($P270&gt;0,$V270&gt;0,$T270&gt;0,$X270&gt;0,$R270&gt;0,$Z270&gt;0,$AB270&gt;0,$AD270&gt;0,$AF270&gt;0,$AH270&gt;0),"","0-"),99,0,REPLACE(TEXT(100-$AJ270,0),99,0,"?    ")),"")))</f>
        <v/>
      </c>
      <c r="Z270" s="1864"/>
      <c r="AA270" s="1865" t="str">
        <f>IF(OR($N270="", AND($N270="",OR($H270="",$H270=0))),"",IF(AND($N270="Quantity",$AJ270&lt;$H270),"0 - "&amp;TEXT($H270-$AJ270,"0")&amp;" buildings?    ",IF(AND($N270="%",$AJ270&lt;1),REPLACE(IF(AND($P270&gt;0,$V270&gt;0,$T270&gt;0,$X270&gt;0,$R270&gt;0,$Z270&gt;0,$AB270&gt;0,$AD270&gt;0,$AF270&gt;0,$AH270&gt;0),"","0-"),99,0,REPLACE(TEXT(100-$AJ270,0),99,0,"?    ")),"")))</f>
        <v/>
      </c>
      <c r="AB270" s="1864"/>
      <c r="AC270" s="1865" t="str">
        <f>IF(OR($N270="", AND($N270="",OR($H270="",$H270=0))),"",IF(AND($N270="Quantity",$AJ270&lt;$H270),"0 - "&amp;TEXT($H270-$AJ270,"0")&amp;" buildings?    ",IF(AND($N270="%",$AJ270&lt;1),REPLACE(IF(AND($P270&gt;0,$V270&gt;0,$T270&gt;0,$X270&gt;0,$R270&gt;0,$Z270&gt;0,$AB270&gt;0,$AD270&gt;0,$AF270&gt;0,$AH270&gt;0),"","0-"),99,0,REPLACE(TEXT(100-$AJ270,0),99,0,"?    ")),"")))</f>
        <v/>
      </c>
      <c r="AD270" s="1864"/>
      <c r="AE270" s="1865" t="str">
        <f>IF(OR($N270="", AND($N270="",OR($H270="",$H270=0))),"",IF(AND($N270="Quantity",$AJ270&lt;$H270),"0 - "&amp;TEXT($H270-$AJ270,"0")&amp;" buildings?    ",IF(AND($N270="%",$AJ270&lt;1),REPLACE(IF(AND($P270&gt;0,$V270&gt;0,$T270&gt;0,$X270&gt;0,$R270&gt;0,$Z270&gt;0,$AB270&gt;0,$AD270&gt;0,$AF270&gt;0,$AH270&gt;0),"","0-"),99,0,REPLACE(TEXT(100-$AJ270,0),99,0,"?    ")),"")))</f>
        <v/>
      </c>
      <c r="AF270" s="1864"/>
      <c r="AG270" s="1865" t="str">
        <f>IF(OR($N270="", AND($N270="",OR($H270="",$H270=0))),"",IF(AND($N270="Quantity",$AJ270&lt;$H270),"0 - "&amp;TEXT($H270-$AJ270,"0")&amp;" buildings?    ",IF(AND($N270="%",$AJ270&lt;1),REPLACE(IF(AND($P270&gt;0,$V270&gt;0,$T270&gt;0,$X270&gt;0,$R270&gt;0,$Z270&gt;0,$AB270&gt;0,$AD270&gt;0,$AF270&gt;0,$AH270&gt;0),"","0-"),99,0,REPLACE(TEXT(100-$AJ270,0),99,0,"?    ")),"")))</f>
        <v/>
      </c>
      <c r="AH270" s="1864"/>
      <c r="AI270" s="1865" t="str">
        <f>IF(OR($N270="", AND($N270="",OR($H270="",$H270=0))),"",IF(AND($N270="Quantity",$AJ270&lt;$H270),"0 - "&amp;TEXT($H270-$AJ270,"0")&amp;" buildings?    ",IF(AND($N270="%",$AJ270&lt;1),REPLACE(IF(AND($P270&gt;0,$V270&gt;0,$T270&gt;0,$X270&gt;0,$R270&gt;0,$Z270&gt;0,$AB270&gt;0,$AD270&gt;0,$AF270&gt;0,$AH270&gt;0),"","0-"),99,0,REPLACE(TEXT(100-$AJ270,0),99,0,"?    ")),"")))</f>
        <v/>
      </c>
      <c r="AJ270" s="1833">
        <f>IFERROR(IF(N270="%", SUM(P270,R270,T270,V270,X270,Z270,AB270,AD270,AF270,AH270)/100, SUM(P270,R270,T270,V270,X270,Z270,AB270,AD270,AF270,AH270)/H270), 0)</f>
        <v>0</v>
      </c>
      <c r="AL270" s="1832"/>
      <c r="AN270" s="1276"/>
      <c r="AP270" s="1653"/>
      <c r="AT270" s="1624" t="str">
        <f>IF(AND($C$234="", L270=""), "N/A", IF(AND(AJ270=1, L270&lt;&gt;"", N270&lt;&gt;"", P270&lt;&gt;"", R270&lt;&gt;"", T270&lt;&gt;"", V270&lt;&gt;"", X270&lt;&gt;"", Z270&lt;&gt;"", AB270&lt;&gt;"", AD270&lt;&gt;"", AF270&lt;&gt;"", AH270&lt;&gt;"",AL270&lt;&gt;"", IF(AND(AL270&lt;1, AN270=""), FALSE, TRUE)), "Yes", "No"))</f>
        <v>N/A</v>
      </c>
      <c r="AU270" s="759"/>
      <c r="AV270" s="759"/>
      <c r="AW270" s="759"/>
      <c r="AX270" s="759"/>
      <c r="AY270" s="759" t="b">
        <f>IF($L270="",FALSE,IF($L270&lt;$BO270,TRUE,FALSE))</f>
        <v>0</v>
      </c>
      <c r="AZ270" s="759" t="b">
        <f>IF($L270="",FALSE,IF($L270&gt;$BP270,TRUE,FALSE))</f>
        <v>0</v>
      </c>
      <c r="BA270" s="759" t="b">
        <f>IF(AND(E270&lt;&gt;"",$L270=""),TRUE,FALSE)</f>
        <v>0</v>
      </c>
      <c r="BB270" s="759" t="b">
        <f>IF(AND($AJ270&lt;&gt;0,$H270&lt;$AJ270,$N270="LF"),TRUE,IF(AND($N270="LF",H270&lt;&gt;"",H270=AJ270),FALSE,IF(AND($AJ270&lt;&gt;0,$AJ270&gt;"100%",$N270="%"),TRUE,FALSE)))</f>
        <v>0</v>
      </c>
      <c r="BC270" s="759" t="b">
        <f>IF(AT270="No", IF(OR(P270="", R270="", T270="", V270="", X270="", Z270="", AB270="", AD270="", AF270="", AH270=""), TRUE, FALSE), FALSE)</f>
        <v>0</v>
      </c>
      <c r="BD270" s="759" t="b">
        <f>IF($BE270=TRUE,FALSE,IF(OR($AL270&lt;0,$AL270&gt;1),TRUE,FALSE))</f>
        <v>0</v>
      </c>
      <c r="BE270" s="759" t="b">
        <f>IF(AND($E270&lt;&gt;"",$AL270=""),TRUE,FALSE)</f>
        <v>0</v>
      </c>
      <c r="BF270" s="759"/>
      <c r="BH270" s="1680"/>
      <c r="BI270" s="1678" t="str">
        <f>IF(N270="", "", IF(N270="Quantity", H270, IF(N270="%", 1, "")))</f>
        <v/>
      </c>
      <c r="BJ270" s="1679">
        <f>P270+R270+T270+V270+X270+Z270+AB270+AD270+AF270+AH270</f>
        <v>0</v>
      </c>
      <c r="BK270" s="1679" t="str">
        <f>IF(BI270="", "", BI270-BJ270)</f>
        <v/>
      </c>
      <c r="BL270" s="1680"/>
      <c r="BM270" s="1680"/>
      <c r="BN270" s="1678">
        <f>IF($C270="","",VLOOKUP($C270,Valid!$B$87:$F$96,5,FALSE))</f>
        <v>25</v>
      </c>
      <c r="BO270" s="1678">
        <f>IF($C270="","",VLOOKUP($C270,Valid!$B$87:$G$96,6,FALSE))</f>
        <v>19</v>
      </c>
      <c r="BP270" s="1678">
        <f>IF($C270="","",VLOOKUP($C270,Valid!$B$87:$Z$96,7,FALSE))</f>
        <v>31</v>
      </c>
    </row>
    <row r="271" spans="1:69" s="686" customFormat="1" ht="3.95" customHeight="1" x14ac:dyDescent="0.2">
      <c r="B271" s="1791">
        <v>259</v>
      </c>
      <c r="C271" s="1674"/>
      <c r="D271" s="1709"/>
      <c r="E271" s="1057"/>
      <c r="H271" s="1917"/>
      <c r="I271" s="1651"/>
      <c r="J271" s="1651"/>
      <c r="K271" s="1651"/>
      <c r="L271" s="1917"/>
      <c r="M271" s="1651"/>
      <c r="N271" s="1651"/>
      <c r="O271" s="1651"/>
      <c r="P271" s="1866"/>
      <c r="Q271" s="1867"/>
      <c r="R271" s="1866"/>
      <c r="S271" s="1867"/>
      <c r="T271" s="1866"/>
      <c r="U271" s="1867"/>
      <c r="V271" s="1866"/>
      <c r="W271" s="1867"/>
      <c r="X271" s="1866"/>
      <c r="Y271" s="1867"/>
      <c r="Z271" s="1867"/>
      <c r="AA271" s="1867"/>
      <c r="AB271" s="1867"/>
      <c r="AC271" s="1867"/>
      <c r="AD271" s="1867"/>
      <c r="AE271" s="1867"/>
      <c r="AF271" s="1867"/>
      <c r="AG271" s="1867"/>
      <c r="AH271" s="1867"/>
      <c r="AJ271" s="1676"/>
      <c r="AL271" s="1676"/>
      <c r="AP271" s="1394"/>
      <c r="AU271" s="848"/>
      <c r="AV271" s="848"/>
      <c r="AW271" s="848"/>
      <c r="AX271" s="848"/>
      <c r="AY271" s="759"/>
      <c r="AZ271" s="759"/>
      <c r="BA271" s="848"/>
      <c r="BB271" s="759"/>
      <c r="BC271" s="848"/>
      <c r="BD271" s="848"/>
      <c r="BE271" s="848"/>
      <c r="BF271" s="848"/>
      <c r="BH271" s="1680"/>
      <c r="BI271" s="1680"/>
      <c r="BJ271" s="1680"/>
      <c r="BK271" s="1680"/>
      <c r="BL271" s="1680"/>
      <c r="BM271" s="1680"/>
      <c r="BN271" s="1680"/>
      <c r="BO271" s="1680"/>
      <c r="BP271" s="1680"/>
    </row>
    <row r="272" spans="1:69" s="686" customFormat="1" ht="3.95" customHeight="1" thickBot="1" x14ac:dyDescent="0.25">
      <c r="B272" s="1790">
        <v>260</v>
      </c>
      <c r="C272" s="1674"/>
      <c r="D272" s="1709"/>
      <c r="E272" s="1057"/>
      <c r="H272" s="1917"/>
      <c r="I272" s="1651"/>
      <c r="J272" s="1651"/>
      <c r="K272" s="1651"/>
      <c r="L272" s="1917"/>
      <c r="M272" s="1651"/>
      <c r="N272" s="1651"/>
      <c r="O272" s="1651"/>
      <c r="P272" s="1868"/>
      <c r="Q272" s="1869"/>
      <c r="R272" s="1868"/>
      <c r="S272" s="1869"/>
      <c r="T272" s="1868"/>
      <c r="U272" s="1869"/>
      <c r="V272" s="1868"/>
      <c r="W272" s="1869"/>
      <c r="X272" s="1868"/>
      <c r="Y272" s="1869"/>
      <c r="Z272" s="1869"/>
      <c r="AA272" s="1869"/>
      <c r="AB272" s="1869"/>
      <c r="AC272" s="1869"/>
      <c r="AD272" s="1869"/>
      <c r="AE272" s="1869"/>
      <c r="AF272" s="1869"/>
      <c r="AG272" s="1869"/>
      <c r="AH272" s="1869"/>
      <c r="AI272" s="1670"/>
      <c r="AJ272" s="1676"/>
      <c r="AL272" s="1676"/>
      <c r="AP272" s="1394"/>
      <c r="AU272" s="848"/>
      <c r="AV272" s="848"/>
      <c r="AW272" s="848"/>
      <c r="AX272" s="848"/>
      <c r="AY272" s="759"/>
      <c r="AZ272" s="759"/>
      <c r="BA272" s="848"/>
      <c r="BB272" s="759"/>
      <c r="BC272" s="848"/>
      <c r="BD272" s="848"/>
      <c r="BE272" s="848"/>
      <c r="BF272" s="848"/>
      <c r="BH272" s="1680"/>
      <c r="BI272" s="1680"/>
      <c r="BJ272" s="1680"/>
      <c r="BK272" s="1680"/>
      <c r="BL272" s="1680"/>
      <c r="BM272" s="1680"/>
      <c r="BN272" s="1680"/>
      <c r="BO272" s="1680"/>
      <c r="BP272" s="1680"/>
    </row>
    <row r="273" spans="1:68" s="686" customFormat="1" x14ac:dyDescent="0.2">
      <c r="A273" s="852">
        <f>A270+1</f>
        <v>68</v>
      </c>
      <c r="B273" s="1790">
        <v>261</v>
      </c>
      <c r="C273" s="851" t="str">
        <f>Valid!$B$89</f>
        <v>Third Rail/Power Distribution</v>
      </c>
      <c r="D273" s="1709"/>
      <c r="E273" s="1245" t="str">
        <f>IF(AT273="N/A","",IF(AT273="N","No","Yes"))</f>
        <v/>
      </c>
      <c r="H273" s="1917"/>
      <c r="I273" s="1904"/>
      <c r="J273" s="1651"/>
      <c r="K273" s="1651"/>
      <c r="L273" s="1864"/>
      <c r="M273" s="1920" t="str">
        <f>IF(AND(H267&lt;&gt;"", L273=""),REPLACE(TEXT(BN273,0),99,0," Yrs.?    "),"")</f>
        <v/>
      </c>
      <c r="N273" s="1921"/>
      <c r="O273" s="1870"/>
      <c r="P273" s="1864"/>
      <c r="Q273" s="1865" t="str">
        <f>IF(OR($N273="", AND($N273="",OR($H273="",$H273=0))),"",IF(AND($N273="Quantity",$AJ273&lt;$H273),"0 - "&amp;TEXT($H273-$AJ273,"0")&amp;" buildings?    ",IF(AND($N273="%",$AJ273&lt;1),REPLACE(IF(AND($P273&gt;0,$V273&gt;0,$T273&gt;0,$X273&gt;0,$R273&gt;0,$Z273&gt;0,$AB273&gt;0,$AD273&gt;0,$AF273&gt;0,$AH273&gt;0),"","0-"),99,0,REPLACE(TEXT(100-$AJ273,0),99,0,"?    ")),"")))</f>
        <v/>
      </c>
      <c r="R273" s="1864"/>
      <c r="S273" s="1865" t="str">
        <f>IF(OR($N273="", AND($N273="",OR($H273="",$H273=0))),"",IF(AND($N273="Quantity",$AJ273&lt;$H273),"0 - "&amp;TEXT($H273-$AJ273,"0")&amp;" buildings?    ",IF(AND($N273="%",$AJ273&lt;1),REPLACE(IF(AND($P273&gt;0,$V273&gt;0,$T273&gt;0,$X273&gt;0,$R273&gt;0,$Z273&gt;0,$AB273&gt;0,$AD273&gt;0,$AF273&gt;0,$AH273&gt;0),"","0-"),99,0,REPLACE(TEXT(100-$AJ273,0),99,0,"?    ")),"")))</f>
        <v/>
      </c>
      <c r="T273" s="1864"/>
      <c r="U273" s="1865" t="str">
        <f>IF(OR($N273="", AND($N273="",OR($H273="",$H273=0))),"",IF(AND($N273="Quantity",$AJ273&lt;$H273),"0 - "&amp;TEXT($H273-$AJ273,"0")&amp;" buildings?    ",IF(AND($N273="%",$AJ273&lt;1),REPLACE(IF(AND($P273&gt;0,$V273&gt;0,$T273&gt;0,$X273&gt;0,$R273&gt;0,$Z273&gt;0,$AB273&gt;0,$AD273&gt;0,$AF273&gt;0,$AH273&gt;0),"","0-"),99,0,REPLACE(TEXT(100-$AJ273,0),99,0,"?    ")),"")))</f>
        <v/>
      </c>
      <c r="V273" s="1864"/>
      <c r="W273" s="1865" t="str">
        <f>IF(OR($N273="", AND($N273="",OR($H273="",$H273=0))),"",IF(AND($N273="Quantity",$AJ273&lt;$H273),"0 - "&amp;TEXT($H273-$AJ273,"0")&amp;" buildings?    ",IF(AND($N273="%",$AJ273&lt;1),REPLACE(IF(AND($P273&gt;0,$V273&gt;0,$T273&gt;0,$X273&gt;0,$R273&gt;0,$Z273&gt;0,$AB273&gt;0,$AD273&gt;0,$AF273&gt;0,$AH273&gt;0),"","0-"),99,0,REPLACE(TEXT(100-$AJ273,0),99,0,"?    ")),"")))</f>
        <v/>
      </c>
      <c r="X273" s="1864"/>
      <c r="Y273" s="1865" t="str">
        <f>IF(OR($N273="", AND($N273="",OR($H273="",$H273=0))),"",IF(AND($N273="Quantity",$AJ273&lt;$H273),"0 - "&amp;TEXT($H273-$AJ273,"0")&amp;" buildings?    ",IF(AND($N273="%",$AJ273&lt;1),REPLACE(IF(AND($P273&gt;0,$V273&gt;0,$T273&gt;0,$X273&gt;0,$R273&gt;0,$Z273&gt;0,$AB273&gt;0,$AD273&gt;0,$AF273&gt;0,$AH273&gt;0),"","0-"),99,0,REPLACE(TEXT(100-$AJ273,0),99,0,"?    ")),"")))</f>
        <v/>
      </c>
      <c r="Z273" s="1864"/>
      <c r="AA273" s="1865" t="str">
        <f>IF(OR($N273="", AND($N273="",OR($H273="",$H273=0))),"",IF(AND($N273="Quantity",$AJ273&lt;$H273),"0 - "&amp;TEXT($H273-$AJ273,"0")&amp;" buildings?    ",IF(AND($N273="%",$AJ273&lt;1),REPLACE(IF(AND($P273&gt;0,$V273&gt;0,$T273&gt;0,$X273&gt;0,$R273&gt;0,$Z273&gt;0,$AB273&gt;0,$AD273&gt;0,$AF273&gt;0,$AH273&gt;0),"","0-"),99,0,REPLACE(TEXT(100-$AJ273,0),99,0,"?    ")),"")))</f>
        <v/>
      </c>
      <c r="AB273" s="1864"/>
      <c r="AC273" s="1865" t="str">
        <f>IF(OR($N273="", AND($N273="",OR($H273="",$H273=0))),"",IF(AND($N273="Quantity",$AJ273&lt;$H273),"0 - "&amp;TEXT($H273-$AJ273,"0")&amp;" buildings?    ",IF(AND($N273="%",$AJ273&lt;1),REPLACE(IF(AND($P273&gt;0,$V273&gt;0,$T273&gt;0,$X273&gt;0,$R273&gt;0,$Z273&gt;0,$AB273&gt;0,$AD273&gt;0,$AF273&gt;0,$AH273&gt;0),"","0-"),99,0,REPLACE(TEXT(100-$AJ273,0),99,0,"?    ")),"")))</f>
        <v/>
      </c>
      <c r="AD273" s="1864"/>
      <c r="AE273" s="1865" t="str">
        <f>IF(OR($N273="", AND($N273="",OR($H273="",$H273=0))),"",IF(AND($N273="Quantity",$AJ273&lt;$H273),"0 - "&amp;TEXT($H273-$AJ273,"0")&amp;" buildings?    ",IF(AND($N273="%",$AJ273&lt;1),REPLACE(IF(AND($P273&gt;0,$V273&gt;0,$T273&gt;0,$X273&gt;0,$R273&gt;0,$Z273&gt;0,$AB273&gt;0,$AD273&gt;0,$AF273&gt;0,$AH273&gt;0),"","0-"),99,0,REPLACE(TEXT(100-$AJ273,0),99,0,"?    ")),"")))</f>
        <v/>
      </c>
      <c r="AF273" s="1864"/>
      <c r="AG273" s="1865" t="str">
        <f>IF(OR($N273="", AND($N273="",OR($H273="",$H273=0))),"",IF(AND($N273="Quantity",$AJ273&lt;$H273),"0 - "&amp;TEXT($H273-$AJ273,"0")&amp;" buildings?    ",IF(AND($N273="%",$AJ273&lt;1),REPLACE(IF(AND($P273&gt;0,$V273&gt;0,$T273&gt;0,$X273&gt;0,$R273&gt;0,$Z273&gt;0,$AB273&gt;0,$AD273&gt;0,$AF273&gt;0,$AH273&gt;0),"","0-"),99,0,REPLACE(TEXT(100-$AJ273,0),99,0,"?    ")),"")))</f>
        <v/>
      </c>
      <c r="AH273" s="1864"/>
      <c r="AI273" s="1865" t="str">
        <f>IF(OR($N273="", AND($N273="",OR($H273="",$H273=0))),"",IF(AND($N273="Quantity",$AJ273&lt;$H273),"0 - "&amp;TEXT($H273-$AJ273,"0")&amp;" buildings?    ",IF(AND($N273="%",$AJ273&lt;1),REPLACE(IF(AND($P273&gt;0,$V273&gt;0,$T273&gt;0,$X273&gt;0,$R273&gt;0,$Z273&gt;0,$AB273&gt;0,$AD273&gt;0,$AF273&gt;0,$AH273&gt;0),"","0-"),99,0,REPLACE(TEXT(100-$AJ273,0),99,0,"?    ")),"")))</f>
        <v/>
      </c>
      <c r="AJ273" s="1833">
        <f>IFERROR(IF(N273="%", SUM(P273,R273,T273,V273,X273,Z273,AB273,AD273,AF273,AH273)/100, SUM(P273,R273,T273,V273,X273,Z273,AB273,AD273,AF273,AH273)/H273), 0)</f>
        <v>0</v>
      </c>
      <c r="AL273" s="1832"/>
      <c r="AN273" s="1276"/>
      <c r="AP273" s="1653"/>
      <c r="AT273" s="1624" t="str">
        <f>IF(AND($C$234="", L273=""), "N/A", IF(AND(AJ273=1, L273&lt;&gt;"", N273&lt;&gt;"", P273&lt;&gt;"", R273&lt;&gt;"", T273&lt;&gt;"", V273&lt;&gt;"", X273&lt;&gt;"", Z273&lt;&gt;"", AB273&lt;&gt;"", AD273&lt;&gt;"", AF273&lt;&gt;"", AH273&lt;&gt;"",AL273&lt;&gt;"", IF(AND(AL273&lt;1, AN273=""), FALSE, TRUE)), "Yes", "No"))</f>
        <v>N/A</v>
      </c>
      <c r="AU273" s="759"/>
      <c r="AV273" s="759"/>
      <c r="AW273" s="759"/>
      <c r="AX273" s="759"/>
      <c r="AY273" s="759" t="b">
        <f>IF($L273="",FALSE,IF($L273&lt;$BO273,TRUE,FALSE))</f>
        <v>0</v>
      </c>
      <c r="AZ273" s="759" t="b">
        <f>IF($L273="",FALSE,IF($L273&gt;$BP273,TRUE,FALSE))</f>
        <v>0</v>
      </c>
      <c r="BA273" s="759" t="b">
        <f>IF(AND(E273&lt;&gt;"",$L273=""),TRUE,FALSE)</f>
        <v>0</v>
      </c>
      <c r="BB273" s="759" t="b">
        <f>IF(AND($AJ273&lt;&gt;0,$H273&lt;$AJ273,$N273="LF"),TRUE,IF(AND($N273="LF",H273&lt;&gt;"",H273=AJ273),FALSE,IF(AND($AJ273&lt;&gt;0,$AJ273&gt;"100%",$N273="%"),TRUE,FALSE)))</f>
        <v>0</v>
      </c>
      <c r="BC273" s="759" t="b">
        <f>IF(AT273="No", IF(OR(P273="", R273="", T273="", V273="", X273="", Z273="", AB273="", AD273="", AF273="", AH273=""), TRUE, FALSE), FALSE)</f>
        <v>0</v>
      </c>
      <c r="BD273" s="759" t="b">
        <f>IF($BE273=TRUE,FALSE,IF(OR($AL273&lt;0,$AL273&gt;1),TRUE,FALSE))</f>
        <v>0</v>
      </c>
      <c r="BE273" s="759" t="b">
        <f>IF(AND($E273&lt;&gt;"",$AL273=""),TRUE,FALSE)</f>
        <v>0</v>
      </c>
      <c r="BF273" s="759"/>
      <c r="BH273" s="1680"/>
      <c r="BI273" s="1678" t="str">
        <f>IF(N273="", "", IF(N273="Quantity", H273, IF(N273="%", 1, "")))</f>
        <v/>
      </c>
      <c r="BJ273" s="1679">
        <f>P273+R273+T273+V273+X273+Z273+AB273+AD273+AF273+AH273</f>
        <v>0</v>
      </c>
      <c r="BK273" s="1679" t="str">
        <f>IF(BI273="", "", BI273-BJ273)</f>
        <v/>
      </c>
      <c r="BL273" s="1680"/>
      <c r="BM273" s="1680"/>
      <c r="BN273" s="1678">
        <f>IF($C273="","",VLOOKUP($C273,Valid!$B$87:$F$96,5,FALSE))</f>
        <v>25</v>
      </c>
      <c r="BO273" s="1678">
        <f>IF($C273="","",VLOOKUP($C273,Valid!$B$87:$G$96,6,FALSE))</f>
        <v>19</v>
      </c>
      <c r="BP273" s="1678">
        <f>IF($C273="","",VLOOKUP($C273,Valid!$B$87:$Z$96,7,FALSE))</f>
        <v>31</v>
      </c>
    </row>
    <row r="274" spans="1:68" s="686" customFormat="1" ht="3.95" customHeight="1" x14ac:dyDescent="0.2">
      <c r="B274" s="1791">
        <v>262</v>
      </c>
      <c r="C274" s="1268"/>
      <c r="D274" s="1709"/>
      <c r="E274" s="1057"/>
      <c r="H274" s="1917"/>
      <c r="I274" s="1651"/>
      <c r="J274" s="1651"/>
      <c r="K274" s="1651"/>
      <c r="L274" s="1917"/>
      <c r="M274" s="1651"/>
      <c r="N274" s="1651"/>
      <c r="O274" s="1651"/>
      <c r="P274" s="1866"/>
      <c r="Q274" s="1867"/>
      <c r="R274" s="1866"/>
      <c r="S274" s="1867"/>
      <c r="T274" s="1866"/>
      <c r="U274" s="1867"/>
      <c r="V274" s="1866"/>
      <c r="W274" s="1867"/>
      <c r="X274" s="1866"/>
      <c r="Y274" s="1867"/>
      <c r="Z274" s="1867"/>
      <c r="AA274" s="1867"/>
      <c r="AB274" s="1867"/>
      <c r="AC274" s="1867"/>
      <c r="AD274" s="1867"/>
      <c r="AE274" s="1867"/>
      <c r="AF274" s="1867"/>
      <c r="AG274" s="1867"/>
      <c r="AH274" s="1867"/>
      <c r="AJ274" s="1676"/>
      <c r="AL274" s="1676"/>
      <c r="AP274" s="1394"/>
      <c r="AU274" s="848"/>
      <c r="AV274" s="848"/>
      <c r="AW274" s="848"/>
      <c r="AX274" s="848"/>
      <c r="AY274" s="759"/>
      <c r="AZ274" s="759"/>
      <c r="BA274" s="848"/>
      <c r="BB274" s="759"/>
      <c r="BC274" s="848"/>
      <c r="BD274" s="848"/>
      <c r="BE274" s="848"/>
      <c r="BF274" s="848"/>
      <c r="BH274" s="1680"/>
      <c r="BI274" s="1680"/>
      <c r="BJ274" s="1680"/>
      <c r="BK274" s="1680"/>
      <c r="BL274" s="1680"/>
      <c r="BM274" s="1680"/>
      <c r="BN274" s="1680"/>
      <c r="BO274" s="1680"/>
      <c r="BP274" s="1680"/>
    </row>
    <row r="275" spans="1:68" s="686" customFormat="1" ht="3.95" customHeight="1" thickBot="1" x14ac:dyDescent="0.25">
      <c r="B275" s="1791">
        <v>263</v>
      </c>
      <c r="C275" s="1674"/>
      <c r="D275" s="1709"/>
      <c r="E275" s="1057"/>
      <c r="H275" s="1917"/>
      <c r="I275" s="1651"/>
      <c r="J275" s="1651"/>
      <c r="K275" s="1651"/>
      <c r="L275" s="1917"/>
      <c r="M275" s="1651"/>
      <c r="N275" s="1651"/>
      <c r="O275" s="1651"/>
      <c r="P275" s="1868"/>
      <c r="Q275" s="1869"/>
      <c r="R275" s="1868"/>
      <c r="S275" s="1869"/>
      <c r="T275" s="1868"/>
      <c r="U275" s="1869"/>
      <c r="V275" s="1868"/>
      <c r="W275" s="1869"/>
      <c r="X275" s="1868"/>
      <c r="Y275" s="1869"/>
      <c r="Z275" s="1869"/>
      <c r="AA275" s="1869"/>
      <c r="AB275" s="1869"/>
      <c r="AC275" s="1869"/>
      <c r="AD275" s="1869"/>
      <c r="AE275" s="1869"/>
      <c r="AF275" s="1869"/>
      <c r="AG275" s="1869"/>
      <c r="AH275" s="1869"/>
      <c r="AI275" s="1670"/>
      <c r="AJ275" s="1676"/>
      <c r="AL275" s="1676"/>
      <c r="AP275" s="1394"/>
      <c r="AU275" s="848"/>
      <c r="AV275" s="848"/>
      <c r="AW275" s="848"/>
      <c r="AX275" s="848"/>
      <c r="AY275" s="759"/>
      <c r="AZ275" s="759"/>
      <c r="BA275" s="848"/>
      <c r="BB275" s="759"/>
      <c r="BC275" s="848"/>
      <c r="BD275" s="848"/>
      <c r="BE275" s="848"/>
      <c r="BF275" s="848"/>
      <c r="BH275" s="1680"/>
      <c r="BI275" s="1680"/>
      <c r="BJ275" s="1680"/>
      <c r="BK275" s="1680"/>
      <c r="BL275" s="1680"/>
      <c r="BM275" s="1680"/>
      <c r="BN275" s="1680"/>
      <c r="BO275" s="1680"/>
      <c r="BP275" s="1680"/>
    </row>
    <row r="276" spans="1:68" s="686" customFormat="1" x14ac:dyDescent="0.2">
      <c r="A276" s="852">
        <f>A273+1</f>
        <v>69</v>
      </c>
      <c r="B276" s="1791">
        <v>264</v>
      </c>
      <c r="C276" s="851" t="str">
        <f>Valid!$B$90</f>
        <v>Overhead Contact System/Power Distribution</v>
      </c>
      <c r="D276" s="1709"/>
      <c r="E276" s="1245" t="str">
        <f>IF(AT276="N/A","",IF(AT276="N","No","Yes"))</f>
        <v/>
      </c>
      <c r="H276" s="1917"/>
      <c r="I276" s="1904"/>
      <c r="J276" s="1651"/>
      <c r="K276" s="1651"/>
      <c r="L276" s="1864"/>
      <c r="M276" s="1920" t="str">
        <f>IF(AND(H267&lt;&gt;"", L276=""),REPLACE(TEXT(BN276,0),99,0," Yrs.?    "),"")</f>
        <v/>
      </c>
      <c r="N276" s="1921"/>
      <c r="O276" s="1870"/>
      <c r="P276" s="1864"/>
      <c r="Q276" s="1865" t="str">
        <f>IF(OR($N276="", AND($N276="",OR($H276="",$H276=0))),"",IF(AND($N276="Quantity",$AJ276&lt;$H276),"0 - "&amp;TEXT($H276-$AJ276,"0")&amp;" buildings?    ",IF(AND($N276="%",$AJ276&lt;1),REPLACE(IF(AND($P276&gt;0,$V276&gt;0,$T276&gt;0,$X276&gt;0,$R276&gt;0,$Z276&gt;0,$AB276&gt;0,$AD276&gt;0,$AF276&gt;0,$AH276&gt;0),"","0-"),99,0,REPLACE(TEXT(100-$AJ276,0),99,0,"?    ")),"")))</f>
        <v/>
      </c>
      <c r="R276" s="1864"/>
      <c r="S276" s="1865" t="str">
        <f>IF(OR($N276="", AND($N276="",OR($H276="",$H276=0))),"",IF(AND($N276="Quantity",$AJ276&lt;$H276),"0 - "&amp;TEXT($H276-$AJ276,"0")&amp;" buildings?    ",IF(AND($N276="%",$AJ276&lt;1),REPLACE(IF(AND($P276&gt;0,$V276&gt;0,$T276&gt;0,$X276&gt;0,$R276&gt;0,$Z276&gt;0,$AB276&gt;0,$AD276&gt;0,$AF276&gt;0,$AH276&gt;0),"","0-"),99,0,REPLACE(TEXT(100-$AJ276,0),99,0,"?    ")),"")))</f>
        <v/>
      </c>
      <c r="T276" s="1864"/>
      <c r="U276" s="1865" t="str">
        <f>IF(OR($N276="", AND($N276="",OR($H276="",$H276=0))),"",IF(AND($N276="Quantity",$AJ276&lt;$H276),"0 - "&amp;TEXT($H276-$AJ276,"0")&amp;" buildings?    ",IF(AND($N276="%",$AJ276&lt;1),REPLACE(IF(AND($P276&gt;0,$V276&gt;0,$T276&gt;0,$X276&gt;0,$R276&gt;0,$Z276&gt;0,$AB276&gt;0,$AD276&gt;0,$AF276&gt;0,$AH276&gt;0),"","0-"),99,0,REPLACE(TEXT(100-$AJ276,0),99,0,"?    ")),"")))</f>
        <v/>
      </c>
      <c r="V276" s="1864"/>
      <c r="W276" s="1865" t="str">
        <f>IF(OR($N276="", AND($N276="",OR($H276="",$H276=0))),"",IF(AND($N276="Quantity",$AJ276&lt;$H276),"0 - "&amp;TEXT($H276-$AJ276,"0")&amp;" buildings?    ",IF(AND($N276="%",$AJ276&lt;1),REPLACE(IF(AND($P276&gt;0,$V276&gt;0,$T276&gt;0,$X276&gt;0,$R276&gt;0,$Z276&gt;0,$AB276&gt;0,$AD276&gt;0,$AF276&gt;0,$AH276&gt;0),"","0-"),99,0,REPLACE(TEXT(100-$AJ276,0),99,0,"?    ")),"")))</f>
        <v/>
      </c>
      <c r="X276" s="1864"/>
      <c r="Y276" s="1865" t="str">
        <f>IF(OR($N276="", AND($N276="",OR($H276="",$H276=0))),"",IF(AND($N276="Quantity",$AJ276&lt;$H276),"0 - "&amp;TEXT($H276-$AJ276,"0")&amp;" buildings?    ",IF(AND($N276="%",$AJ276&lt;1),REPLACE(IF(AND($P276&gt;0,$V276&gt;0,$T276&gt;0,$X276&gt;0,$R276&gt;0,$Z276&gt;0,$AB276&gt;0,$AD276&gt;0,$AF276&gt;0,$AH276&gt;0),"","0-"),99,0,REPLACE(TEXT(100-$AJ276,0),99,0,"?    ")),"")))</f>
        <v/>
      </c>
      <c r="Z276" s="1864"/>
      <c r="AA276" s="1865" t="str">
        <f>IF(OR($N276="", AND($N276="",OR($H276="",$H276=0))),"",IF(AND($N276="Quantity",$AJ276&lt;$H276),"0 - "&amp;TEXT($H276-$AJ276,"0")&amp;" buildings?    ",IF(AND($N276="%",$AJ276&lt;1),REPLACE(IF(AND($P276&gt;0,$V276&gt;0,$T276&gt;0,$X276&gt;0,$R276&gt;0,$Z276&gt;0,$AB276&gt;0,$AD276&gt;0,$AF276&gt;0,$AH276&gt;0),"","0-"),99,0,REPLACE(TEXT(100-$AJ276,0),99,0,"?    ")),"")))</f>
        <v/>
      </c>
      <c r="AB276" s="1864"/>
      <c r="AC276" s="1865" t="str">
        <f>IF(OR($N276="", AND($N276="",OR($H276="",$H276=0))),"",IF(AND($N276="Quantity",$AJ276&lt;$H276),"0 - "&amp;TEXT($H276-$AJ276,"0")&amp;" buildings?    ",IF(AND($N276="%",$AJ276&lt;1),REPLACE(IF(AND($P276&gt;0,$V276&gt;0,$T276&gt;0,$X276&gt;0,$R276&gt;0,$Z276&gt;0,$AB276&gt;0,$AD276&gt;0,$AF276&gt;0,$AH276&gt;0),"","0-"),99,0,REPLACE(TEXT(100-$AJ276,0),99,0,"?    ")),"")))</f>
        <v/>
      </c>
      <c r="AD276" s="1864"/>
      <c r="AE276" s="1865" t="str">
        <f>IF(OR($N276="", AND($N276="",OR($H276="",$H276=0))),"",IF(AND($N276="Quantity",$AJ276&lt;$H276),"0 - "&amp;TEXT($H276-$AJ276,"0")&amp;" buildings?    ",IF(AND($N276="%",$AJ276&lt;1),REPLACE(IF(AND($P276&gt;0,$V276&gt;0,$T276&gt;0,$X276&gt;0,$R276&gt;0,$Z276&gt;0,$AB276&gt;0,$AD276&gt;0,$AF276&gt;0,$AH276&gt;0),"","0-"),99,0,REPLACE(TEXT(100-$AJ276,0),99,0,"?    ")),"")))</f>
        <v/>
      </c>
      <c r="AF276" s="1864"/>
      <c r="AG276" s="1865" t="str">
        <f>IF(OR($N276="", AND($N276="",OR($H276="",$H276=0))),"",IF(AND($N276="Quantity",$AJ276&lt;$H276),"0 - "&amp;TEXT($H276-$AJ276,"0")&amp;" buildings?    ",IF(AND($N276="%",$AJ276&lt;1),REPLACE(IF(AND($P276&gt;0,$V276&gt;0,$T276&gt;0,$X276&gt;0,$R276&gt;0,$Z276&gt;0,$AB276&gt;0,$AD276&gt;0,$AF276&gt;0,$AH276&gt;0),"","0-"),99,0,REPLACE(TEXT(100-$AJ276,0),99,0,"?    ")),"")))</f>
        <v/>
      </c>
      <c r="AH276" s="1864"/>
      <c r="AI276" s="1865" t="str">
        <f>IF(OR($N276="", AND($N276="",OR($H276="",$H276=0))),"",IF(AND($N276="Quantity",$AJ276&lt;$H276),"0 - "&amp;TEXT($H276-$AJ276,"0")&amp;" buildings?    ",IF(AND($N276="%",$AJ276&lt;1),REPLACE(IF(AND($P276&gt;0,$V276&gt;0,$T276&gt;0,$X276&gt;0,$R276&gt;0,$Z276&gt;0,$AB276&gt;0,$AD276&gt;0,$AF276&gt;0,$AH276&gt;0),"","0-"),99,0,REPLACE(TEXT(100-$AJ276,0),99,0,"?    ")),"")))</f>
        <v/>
      </c>
      <c r="AJ276" s="1833">
        <f>IFERROR(IF(N276="%", SUM(P276,R276,T276,V276,X276,Z276,AB276,AD276,AF276,AH276)/100, SUM(P276,R276,T276,V276,X276,Z276,AB276,AD276,AF276,AH276)/H276), 0)</f>
        <v>0</v>
      </c>
      <c r="AL276" s="1832"/>
      <c r="AN276" s="1276"/>
      <c r="AP276" s="1653"/>
      <c r="AT276" s="1624" t="str">
        <f>IF(AND($C$234="", L276=""), "N/A", IF(AND(AJ276=1, L276&lt;&gt;"", N276&lt;&gt;"", P276&lt;&gt;"", R276&lt;&gt;"", T276&lt;&gt;"", V276&lt;&gt;"", X276&lt;&gt;"", Z276&lt;&gt;"", AB276&lt;&gt;"", AD276&lt;&gt;"", AF276&lt;&gt;"", AH276&lt;&gt;"",AL276&lt;&gt;"", IF(AND(AL276&lt;1, AN276=""), FALSE, TRUE)), "Yes", "No"))</f>
        <v>N/A</v>
      </c>
      <c r="AU276" s="759"/>
      <c r="AV276" s="759"/>
      <c r="AW276" s="759"/>
      <c r="AX276" s="759"/>
      <c r="AY276" s="759" t="b">
        <f>IF($L276="",FALSE,IF($L276&lt;$BO276,TRUE,FALSE))</f>
        <v>0</v>
      </c>
      <c r="AZ276" s="759" t="b">
        <f>IF($L276="",FALSE,IF($L276&gt;$BP276,TRUE,FALSE))</f>
        <v>0</v>
      </c>
      <c r="BA276" s="759" t="b">
        <f>IF(AND(E276&lt;&gt;"",$L276=""),TRUE,FALSE)</f>
        <v>0</v>
      </c>
      <c r="BB276" s="759" t="b">
        <f>IF(AND($AJ276&lt;&gt;0,$H276&lt;$AJ276,$N276="LF"),TRUE,IF(AND($N276="LF",H276&lt;&gt;"",H276=AJ276),FALSE,IF(AND($AJ276&lt;&gt;0,$AJ276&gt;"100%",$N276="%"),TRUE,FALSE)))</f>
        <v>0</v>
      </c>
      <c r="BC276" s="759" t="b">
        <f>IF(AT276="No", IF(OR(P276="", R276="", T276="", V276="", X276="", Z276="", AB276="", AD276="", AF276="", AH276=""), TRUE, FALSE), FALSE)</f>
        <v>0</v>
      </c>
      <c r="BD276" s="759" t="b">
        <f>IF($BE276=TRUE,FALSE,IF(OR($AL276&lt;0,$AL276&gt;1),TRUE,FALSE))</f>
        <v>0</v>
      </c>
      <c r="BE276" s="759" t="b">
        <f>IF(AND($E276&lt;&gt;"",$AL276=""),TRUE,FALSE)</f>
        <v>0</v>
      </c>
      <c r="BF276" s="759"/>
      <c r="BH276" s="1680"/>
      <c r="BI276" s="1678" t="str">
        <f>IF(N276="", "", IF(N276="Quantity", H276, IF(N276="%", 1, "")))</f>
        <v/>
      </c>
      <c r="BJ276" s="1679">
        <f>P276+R276+T276+V276+X276+Z276+AB276+AD276+AF276+AH276</f>
        <v>0</v>
      </c>
      <c r="BK276" s="1679" t="str">
        <f>IF(BI276="", "", BI276-BJ276)</f>
        <v/>
      </c>
      <c r="BL276" s="1680"/>
      <c r="BM276" s="1680"/>
      <c r="BN276" s="1678">
        <f>IF($C276="","",VLOOKUP($C276,Valid!$B$87:$F$96,5,FALSE))</f>
        <v>25</v>
      </c>
      <c r="BO276" s="1678">
        <f>IF($C276="","",VLOOKUP($C276,Valid!$B$87:$G$96,6,FALSE))</f>
        <v>19</v>
      </c>
      <c r="BP276" s="1678">
        <f>IF($C276="","",VLOOKUP($C276,Valid!$B$87:$Z$96,7,FALSE))</f>
        <v>31</v>
      </c>
    </row>
    <row r="277" spans="1:68" s="686" customFormat="1" ht="3.95" customHeight="1" x14ac:dyDescent="0.2">
      <c r="B277" s="1790">
        <v>265</v>
      </c>
      <c r="C277" s="1674"/>
      <c r="D277" s="1709"/>
      <c r="E277" s="1057"/>
      <c r="H277" s="1917"/>
      <c r="I277" s="1651"/>
      <c r="J277" s="1919"/>
      <c r="K277" s="1651"/>
      <c r="L277" s="1922"/>
      <c r="M277" s="1651"/>
      <c r="N277" s="1919"/>
      <c r="O277" s="1651"/>
      <c r="P277" s="1866"/>
      <c r="Q277" s="1867"/>
      <c r="R277" s="1866"/>
      <c r="S277" s="1867"/>
      <c r="T277" s="1866"/>
      <c r="U277" s="1867"/>
      <c r="V277" s="1866"/>
      <c r="W277" s="1867"/>
      <c r="X277" s="1866"/>
      <c r="Y277" s="1867"/>
      <c r="Z277" s="1867"/>
      <c r="AA277" s="1867"/>
      <c r="AB277" s="1867"/>
      <c r="AC277" s="1867"/>
      <c r="AD277" s="1867"/>
      <c r="AE277" s="1867"/>
      <c r="AF277" s="1867"/>
      <c r="AG277" s="1867"/>
      <c r="AH277" s="1867"/>
      <c r="AJ277" s="1792"/>
      <c r="AL277" s="1792"/>
      <c r="AN277" s="685"/>
      <c r="AP277" s="1394"/>
      <c r="AU277" s="848"/>
      <c r="AV277" s="848"/>
      <c r="AW277" s="848"/>
      <c r="AX277" s="848"/>
      <c r="AY277" s="759"/>
      <c r="AZ277" s="759"/>
      <c r="BA277" s="848"/>
      <c r="BB277" s="759"/>
      <c r="BC277" s="848"/>
      <c r="BD277" s="848"/>
      <c r="BE277" s="848"/>
      <c r="BF277" s="848"/>
      <c r="BH277" s="1680"/>
      <c r="BI277" s="1680"/>
      <c r="BJ277" s="1680"/>
      <c r="BK277" s="1680"/>
      <c r="BL277" s="1680"/>
      <c r="BM277" s="1680"/>
      <c r="BN277" s="1680"/>
      <c r="BO277" s="1680"/>
      <c r="BP277" s="1680"/>
    </row>
    <row r="278" spans="1:68" s="686" customFormat="1" ht="3.95" customHeight="1" thickBot="1" x14ac:dyDescent="0.25">
      <c r="B278" s="1790">
        <v>266</v>
      </c>
      <c r="C278" s="1674"/>
      <c r="D278" s="1709"/>
      <c r="E278" s="1057"/>
      <c r="H278" s="1917"/>
      <c r="I278" s="1651"/>
      <c r="J278" s="1651"/>
      <c r="K278" s="1651"/>
      <c r="L278" s="1917"/>
      <c r="M278" s="1651"/>
      <c r="N278" s="1651"/>
      <c r="O278" s="1651"/>
      <c r="P278" s="1868"/>
      <c r="Q278" s="1869"/>
      <c r="R278" s="1868"/>
      <c r="S278" s="1869"/>
      <c r="T278" s="1868"/>
      <c r="U278" s="1869"/>
      <c r="V278" s="1868"/>
      <c r="W278" s="1869"/>
      <c r="X278" s="1868"/>
      <c r="Y278" s="1869"/>
      <c r="Z278" s="1869"/>
      <c r="AA278" s="1869"/>
      <c r="AB278" s="1869"/>
      <c r="AC278" s="1869"/>
      <c r="AD278" s="1869"/>
      <c r="AE278" s="1869"/>
      <c r="AF278" s="1869"/>
      <c r="AG278" s="1869"/>
      <c r="AH278" s="1869"/>
      <c r="AI278" s="1670"/>
      <c r="AJ278" s="1676"/>
      <c r="AL278" s="1676"/>
      <c r="AP278" s="1394"/>
      <c r="AT278" s="1624"/>
      <c r="AU278" s="848"/>
      <c r="AV278" s="848"/>
      <c r="AW278" s="848"/>
      <c r="AX278" s="848"/>
      <c r="AY278" s="759"/>
      <c r="AZ278" s="759"/>
      <c r="BA278" s="848"/>
      <c r="BB278" s="759"/>
      <c r="BC278" s="848"/>
      <c r="BD278" s="848"/>
      <c r="BE278" s="848"/>
      <c r="BF278" s="848"/>
      <c r="BH278" s="1680"/>
      <c r="BI278" s="1680"/>
      <c r="BJ278" s="1680"/>
      <c r="BK278" s="1680"/>
      <c r="BL278" s="1680"/>
      <c r="BM278" s="1680"/>
      <c r="BN278" s="1680"/>
      <c r="BO278" s="1680"/>
      <c r="BP278" s="1680"/>
    </row>
    <row r="279" spans="1:68" s="686" customFormat="1" x14ac:dyDescent="0.2">
      <c r="A279" s="852">
        <f>A276+1</f>
        <v>70</v>
      </c>
      <c r="B279" s="1791">
        <v>267</v>
      </c>
      <c r="C279" s="851" t="str">
        <f>Valid!$B$91</f>
        <v>Train Control &amp; Signaling</v>
      </c>
      <c r="D279" s="1709"/>
      <c r="E279" s="1245" t="str">
        <f>IF(AT279="N/A","",IF(AT279="N","No","Yes"))</f>
        <v/>
      </c>
      <c r="H279" s="1917"/>
      <c r="I279" s="1904"/>
      <c r="J279" s="1919"/>
      <c r="K279" s="1651"/>
      <c r="L279" s="1864"/>
      <c r="M279" s="1920" t="str">
        <f>IF(AND(H267&lt;&gt;"", L279=""),REPLACE(TEXT(BN279,0),99,0," Yrs.?    "),"")</f>
        <v/>
      </c>
      <c r="N279" s="1921"/>
      <c r="O279" s="1870"/>
      <c r="P279" s="1864"/>
      <c r="Q279" s="1865" t="str">
        <f>IF(OR($N279="", AND($N279="",OR($H279="",$H279=0))),"",IF(AND($N279="Quantity",$AJ279&lt;$H279),"0 - "&amp;TEXT($H279-$AJ279,"0")&amp;" buildings?    ",IF(AND($N279="%",$AJ279&lt;1),REPLACE(IF(AND($P279&gt;0,$V279&gt;0,$T279&gt;0,$X279&gt;0,$R279&gt;0,$Z279&gt;0,$AB279&gt;0,$AD279&gt;0,$AF279&gt;0,$AH279&gt;0),"","0-"),99,0,REPLACE(TEXT(100-$AJ279,0),99,0,"?    ")),"")))</f>
        <v/>
      </c>
      <c r="R279" s="1864"/>
      <c r="S279" s="1865" t="str">
        <f>IF(OR($N279="", AND($N279="",OR($H279="",$H279=0))),"",IF(AND($N279="Quantity",$AJ279&lt;$H279),"0 - "&amp;TEXT($H279-$AJ279,"0")&amp;" buildings?    ",IF(AND($N279="%",$AJ279&lt;1),REPLACE(IF(AND($P279&gt;0,$V279&gt;0,$T279&gt;0,$X279&gt;0,$R279&gt;0,$Z279&gt;0,$AB279&gt;0,$AD279&gt;0,$AF279&gt;0,$AH279&gt;0),"","0-"),99,0,REPLACE(TEXT(100-$AJ279,0),99,0,"?    ")),"")))</f>
        <v/>
      </c>
      <c r="T279" s="1864"/>
      <c r="U279" s="1865" t="str">
        <f>IF(OR($N279="", AND($N279="",OR($H279="",$H279=0))),"",IF(AND($N279="Quantity",$AJ279&lt;$H279),"0 - "&amp;TEXT($H279-$AJ279,"0")&amp;" buildings?    ",IF(AND($N279="%",$AJ279&lt;1),REPLACE(IF(AND($P279&gt;0,$V279&gt;0,$T279&gt;0,$X279&gt;0,$R279&gt;0,$Z279&gt;0,$AB279&gt;0,$AD279&gt;0,$AF279&gt;0,$AH279&gt;0),"","0-"),99,0,REPLACE(TEXT(100-$AJ279,0),99,0,"?    ")),"")))</f>
        <v/>
      </c>
      <c r="V279" s="1864"/>
      <c r="W279" s="1865" t="str">
        <f>IF(OR($N279="", AND($N279="",OR($H279="",$H279=0))),"",IF(AND($N279="Quantity",$AJ279&lt;$H279),"0 - "&amp;TEXT($H279-$AJ279,"0")&amp;" buildings?    ",IF(AND($N279="%",$AJ279&lt;1),REPLACE(IF(AND($P279&gt;0,$V279&gt;0,$T279&gt;0,$X279&gt;0,$R279&gt;0,$Z279&gt;0,$AB279&gt;0,$AD279&gt;0,$AF279&gt;0,$AH279&gt;0),"","0-"),99,0,REPLACE(TEXT(100-$AJ279,0),99,0,"?    ")),"")))</f>
        <v/>
      </c>
      <c r="X279" s="1864"/>
      <c r="Y279" s="1865" t="str">
        <f>IF(OR($N279="", AND($N279="",OR($H279="",$H279=0))),"",IF(AND($N279="Quantity",$AJ279&lt;$H279),"0 - "&amp;TEXT($H279-$AJ279,"0")&amp;" buildings?    ",IF(AND($N279="%",$AJ279&lt;1),REPLACE(IF(AND($P279&gt;0,$V279&gt;0,$T279&gt;0,$X279&gt;0,$R279&gt;0,$Z279&gt;0,$AB279&gt;0,$AD279&gt;0,$AF279&gt;0,$AH279&gt;0),"","0-"),99,0,REPLACE(TEXT(100-$AJ279,0),99,0,"?    ")),"")))</f>
        <v/>
      </c>
      <c r="Z279" s="1864"/>
      <c r="AA279" s="1865" t="str">
        <f>IF(OR($N279="", AND($N279="",OR($H279="",$H279=0))),"",IF(AND($N279="Quantity",$AJ279&lt;$H279),"0 - "&amp;TEXT($H279-$AJ279,"0")&amp;" buildings?    ",IF(AND($N279="%",$AJ279&lt;1),REPLACE(IF(AND($P279&gt;0,$V279&gt;0,$T279&gt;0,$X279&gt;0,$R279&gt;0,$Z279&gt;0,$AB279&gt;0,$AD279&gt;0,$AF279&gt;0,$AH279&gt;0),"","0-"),99,0,REPLACE(TEXT(100-$AJ279,0),99,0,"?    ")),"")))</f>
        <v/>
      </c>
      <c r="AB279" s="1864"/>
      <c r="AC279" s="1865" t="str">
        <f>IF(OR($N279="", AND($N279="",OR($H279="",$H279=0))),"",IF(AND($N279="Quantity",$AJ279&lt;$H279),"0 - "&amp;TEXT($H279-$AJ279,"0")&amp;" buildings?    ",IF(AND($N279="%",$AJ279&lt;1),REPLACE(IF(AND($P279&gt;0,$V279&gt;0,$T279&gt;0,$X279&gt;0,$R279&gt;0,$Z279&gt;0,$AB279&gt;0,$AD279&gt;0,$AF279&gt;0,$AH279&gt;0),"","0-"),99,0,REPLACE(TEXT(100-$AJ279,0),99,0,"?    ")),"")))</f>
        <v/>
      </c>
      <c r="AD279" s="1864"/>
      <c r="AE279" s="1865" t="str">
        <f>IF(OR($N279="", AND($N279="",OR($H279="",$H279=0))),"",IF(AND($N279="Quantity",$AJ279&lt;$H279),"0 - "&amp;TEXT($H279-$AJ279,"0")&amp;" buildings?    ",IF(AND($N279="%",$AJ279&lt;1),REPLACE(IF(AND($P279&gt;0,$V279&gt;0,$T279&gt;0,$X279&gt;0,$R279&gt;0,$Z279&gt;0,$AB279&gt;0,$AD279&gt;0,$AF279&gt;0,$AH279&gt;0),"","0-"),99,0,REPLACE(TEXT(100-$AJ279,0),99,0,"?    ")),"")))</f>
        <v/>
      </c>
      <c r="AF279" s="1864"/>
      <c r="AG279" s="1865" t="str">
        <f>IF(OR($N279="", AND($N279="",OR($H279="",$H279=0))),"",IF(AND($N279="Quantity",$AJ279&lt;$H279),"0 - "&amp;TEXT($H279-$AJ279,"0")&amp;" buildings?    ",IF(AND($N279="%",$AJ279&lt;1),REPLACE(IF(AND($P279&gt;0,$V279&gt;0,$T279&gt;0,$X279&gt;0,$R279&gt;0,$Z279&gt;0,$AB279&gt;0,$AD279&gt;0,$AF279&gt;0,$AH279&gt;0),"","0-"),99,0,REPLACE(TEXT(100-$AJ279,0),99,0,"?    ")),"")))</f>
        <v/>
      </c>
      <c r="AH279" s="1864"/>
      <c r="AI279" s="1865" t="str">
        <f>IF(OR($N279="", AND($N279="",OR($H279="",$H279=0))),"",IF(AND($N279="Quantity",$AJ279&lt;$H279),"0 - "&amp;TEXT($H279-$AJ279,"0")&amp;" buildings?    ",IF(AND($N279="%",$AJ279&lt;1),REPLACE(IF(AND($P279&gt;0,$V279&gt;0,$T279&gt;0,$X279&gt;0,$R279&gt;0,$Z279&gt;0,$AB279&gt;0,$AD279&gt;0,$AF279&gt;0,$AH279&gt;0),"","0-"),99,0,REPLACE(TEXT(100-$AJ279,0),99,0,"?    ")),"")))</f>
        <v/>
      </c>
      <c r="AJ279" s="1833">
        <f>IFERROR(IF(N279="%", SUM(P279,R279,T279,V279,X279,Z279,AB279,AD279,AF279,AH279)/100, SUM(P279,R279,T279,V279,X279,Z279,AB279,AD279,AF279,AH279)/H279), 0)</f>
        <v>0</v>
      </c>
      <c r="AL279" s="1832"/>
      <c r="AN279" s="1276"/>
      <c r="AP279" s="1653"/>
      <c r="AT279" s="1624" t="str">
        <f>IF(AND($C$234="", L279=""), "N/A", IF(AND(AJ279=1, L279&lt;&gt;"", N279&lt;&gt;"", P279&lt;&gt;"", R279&lt;&gt;"", T279&lt;&gt;"", V279&lt;&gt;"", X279&lt;&gt;"", Z279&lt;&gt;"", AB279&lt;&gt;"", AD279&lt;&gt;"", AF279&lt;&gt;"", AH279&lt;&gt;"",AL279&lt;&gt;"", IF(AND(AL279&lt;1, AN279=""), FALSE, TRUE)), "Yes", "No"))</f>
        <v>N/A</v>
      </c>
      <c r="AU279" s="759"/>
      <c r="AV279" s="759"/>
      <c r="AW279" s="759"/>
      <c r="AX279" s="759"/>
      <c r="AY279" s="759" t="b">
        <f>IF($L279="",FALSE,IF($L279&lt;$BO279,TRUE,FALSE))</f>
        <v>0</v>
      </c>
      <c r="AZ279" s="759" t="b">
        <f>IF($L279="",FALSE,IF($L279&gt;$BP279,TRUE,FALSE))</f>
        <v>0</v>
      </c>
      <c r="BA279" s="759" t="b">
        <f>IF(AND(E279&lt;&gt;"",$L279=""),TRUE,FALSE)</f>
        <v>0</v>
      </c>
      <c r="BB279" s="759" t="b">
        <f>IF(AND($AJ279&lt;&gt;0,$H279&lt;$AJ279,$N279="LF"),TRUE,IF(AND($N279="LF",H279&lt;&gt;"",H279=AJ279),FALSE,IF(AND($AJ279&lt;&gt;0,$AJ279&gt;"100%",$N279="%"),TRUE,FALSE)))</f>
        <v>0</v>
      </c>
      <c r="BC279" s="759" t="b">
        <f>IF(AT279="No", IF(OR(P279="", R279="", T279="", V279="", X279="", Z279="", AB279="", AD279="", AF279="", AH279=""), TRUE, FALSE), FALSE)</f>
        <v>0</v>
      </c>
      <c r="BD279" s="759" t="b">
        <f>IF($BE279=TRUE,FALSE,IF(OR($AL279&lt;0,$AL279&gt;1),TRUE,FALSE))</f>
        <v>0</v>
      </c>
      <c r="BE279" s="759" t="b">
        <f>IF(AND($E279&lt;&gt;"",$AL279=""),TRUE,FALSE)</f>
        <v>0</v>
      </c>
      <c r="BF279" s="759"/>
      <c r="BH279" s="1680"/>
      <c r="BI279" s="1678" t="str">
        <f>IF(N279="", "", IF(N279="Quantity", H279, IF(N279="%", 1, "")))</f>
        <v/>
      </c>
      <c r="BJ279" s="1679">
        <f>P279+R279+T279+V279+X279+Z279+AB279+AD279+AF279+AH279</f>
        <v>0</v>
      </c>
      <c r="BK279" s="1679" t="str">
        <f>IF(BI279="", "", BI279-BJ279)</f>
        <v/>
      </c>
      <c r="BL279" s="1680"/>
      <c r="BM279" s="1680"/>
      <c r="BN279" s="1678">
        <f>IF($C279="","",VLOOKUP($C279,Valid!$B$87:$F$96,5,FALSE))</f>
        <v>25</v>
      </c>
      <c r="BO279" s="1678">
        <f>IF($C279="","",VLOOKUP($C279,Valid!$B$87:$G$96,6,FALSE))</f>
        <v>19</v>
      </c>
      <c r="BP279" s="1678">
        <f>IF($C279="","",VLOOKUP($C279,Valid!$B$87:$Z$96,7,FALSE))</f>
        <v>31</v>
      </c>
    </row>
    <row r="280" spans="1:68" s="686" customFormat="1" ht="3.95" customHeight="1" x14ac:dyDescent="0.2">
      <c r="B280" s="1791">
        <v>268</v>
      </c>
      <c r="C280" s="1674"/>
      <c r="D280" s="1709"/>
      <c r="E280" s="1057"/>
      <c r="H280" s="1922"/>
      <c r="I280" s="1651"/>
      <c r="J280" s="1919"/>
      <c r="K280" s="1651"/>
      <c r="L280" s="1922"/>
      <c r="M280" s="1651"/>
      <c r="N280" s="1919"/>
      <c r="O280" s="1651"/>
      <c r="P280" s="1919"/>
      <c r="Q280" s="1651"/>
      <c r="R280" s="1919"/>
      <c r="S280" s="1651"/>
      <c r="T280" s="1919"/>
      <c r="U280" s="1651"/>
      <c r="V280" s="1919"/>
      <c r="W280" s="1651"/>
      <c r="X280" s="1919"/>
      <c r="Y280" s="1651"/>
      <c r="Z280" s="1919"/>
      <c r="AA280" s="1651"/>
      <c r="AB280" s="1919"/>
      <c r="AC280" s="1651"/>
      <c r="AD280" s="1919"/>
      <c r="AE280" s="1651"/>
      <c r="AF280" s="1919"/>
      <c r="AG280" s="1651"/>
      <c r="AH280" s="1919"/>
      <c r="AJ280" s="1792"/>
      <c r="AL280" s="1792"/>
      <c r="AN280" s="685"/>
      <c r="AP280" s="1394"/>
      <c r="AU280" s="848"/>
      <c r="AV280" s="848"/>
      <c r="AW280" s="848"/>
      <c r="AX280" s="848"/>
      <c r="AY280" s="759"/>
      <c r="AZ280" s="759"/>
      <c r="BA280" s="848"/>
      <c r="BB280" s="759"/>
      <c r="BC280" s="848"/>
      <c r="BD280" s="848"/>
      <c r="BE280" s="848"/>
      <c r="BF280" s="848"/>
      <c r="BH280" s="1680"/>
      <c r="BI280" s="1680"/>
      <c r="BJ280" s="1680"/>
      <c r="BK280" s="1680"/>
      <c r="BL280" s="1680"/>
      <c r="BM280" s="1680"/>
      <c r="BN280" s="1680"/>
      <c r="BO280" s="1680"/>
      <c r="BP280" s="1680"/>
    </row>
    <row r="281" spans="1:68" s="686" customFormat="1" ht="3.95" customHeight="1" x14ac:dyDescent="0.2">
      <c r="B281" s="1791">
        <v>269</v>
      </c>
      <c r="C281" s="1674"/>
      <c r="D281" s="1709"/>
      <c r="E281" s="1057"/>
      <c r="H281" s="1917"/>
      <c r="I281" s="1651"/>
      <c r="J281" s="1651"/>
      <c r="K281" s="1651"/>
      <c r="L281" s="1917"/>
      <c r="M281" s="1651"/>
      <c r="N281" s="1651"/>
      <c r="O281" s="1651"/>
      <c r="P281" s="1651"/>
      <c r="Q281" s="1651"/>
      <c r="R281" s="1651"/>
      <c r="S281" s="1651"/>
      <c r="T281" s="1651"/>
      <c r="U281" s="1651"/>
      <c r="V281" s="1651"/>
      <c r="W281" s="1651"/>
      <c r="X281" s="1651"/>
      <c r="Y281" s="1651"/>
      <c r="Z281" s="1651"/>
      <c r="AA281" s="1651"/>
      <c r="AB281" s="1651"/>
      <c r="AC281" s="1651"/>
      <c r="AD281" s="1651"/>
      <c r="AE281" s="1651"/>
      <c r="AF281" s="1651"/>
      <c r="AG281" s="1651"/>
      <c r="AH281" s="1651"/>
      <c r="AJ281" s="1676"/>
      <c r="AL281" s="1676"/>
      <c r="AP281" s="1394"/>
      <c r="AU281" s="848"/>
      <c r="AV281" s="848"/>
      <c r="AW281" s="848"/>
      <c r="AX281" s="848"/>
      <c r="AY281" s="759"/>
      <c r="AZ281" s="759"/>
      <c r="BA281" s="848"/>
      <c r="BB281" s="759"/>
      <c r="BC281" s="848"/>
      <c r="BD281" s="848"/>
      <c r="BE281" s="848"/>
      <c r="BF281" s="848"/>
      <c r="BH281" s="1680"/>
      <c r="BI281" s="1680"/>
      <c r="BJ281" s="1680"/>
      <c r="BK281" s="1680"/>
      <c r="BL281" s="1680"/>
      <c r="BM281" s="1680"/>
      <c r="BN281" s="1680"/>
      <c r="BO281" s="1680"/>
      <c r="BP281" s="1680"/>
    </row>
    <row r="282" spans="1:68" s="686" customFormat="1" ht="3.95" customHeight="1" x14ac:dyDescent="0.2">
      <c r="B282" s="1790">
        <v>270</v>
      </c>
      <c r="C282" s="1674"/>
      <c r="D282" s="1709"/>
      <c r="E282" s="1057"/>
      <c r="H282" s="1917"/>
      <c r="I282" s="1651"/>
      <c r="J282" s="1651"/>
      <c r="K282" s="1651"/>
      <c r="L282" s="1917"/>
      <c r="M282" s="1651"/>
      <c r="N282" s="1651"/>
      <c r="O282" s="1651"/>
      <c r="P282" s="1651"/>
      <c r="Q282" s="1651"/>
      <c r="R282" s="1651"/>
      <c r="S282" s="1651"/>
      <c r="T282" s="1651"/>
      <c r="U282" s="1651"/>
      <c r="V282" s="1651"/>
      <c r="W282" s="1651"/>
      <c r="X282" s="1651"/>
      <c r="Y282" s="1651"/>
      <c r="Z282" s="1651"/>
      <c r="AA282" s="1651"/>
      <c r="AB282" s="1651"/>
      <c r="AC282" s="1651"/>
      <c r="AD282" s="1651"/>
      <c r="AE282" s="1651"/>
      <c r="AF282" s="1651"/>
      <c r="AG282" s="1651"/>
      <c r="AH282" s="1651"/>
      <c r="AJ282" s="1676"/>
      <c r="AL282" s="1676"/>
      <c r="AP282" s="1394"/>
      <c r="AU282" s="848"/>
      <c r="AV282" s="848"/>
      <c r="AW282" s="848"/>
      <c r="AX282" s="848"/>
      <c r="AY282" s="759"/>
      <c r="AZ282" s="759"/>
      <c r="BA282" s="848"/>
      <c r="BB282" s="759"/>
      <c r="BC282" s="848"/>
      <c r="BD282" s="848"/>
      <c r="BE282" s="848"/>
      <c r="BF282" s="848"/>
      <c r="BH282" s="1680"/>
      <c r="BI282" s="1680"/>
      <c r="BJ282" s="1680"/>
      <c r="BK282" s="1680"/>
      <c r="BL282" s="1680"/>
      <c r="BM282" s="1680"/>
      <c r="BN282" s="1680"/>
      <c r="BO282" s="1680"/>
      <c r="BP282" s="1680"/>
    </row>
    <row r="283" spans="1:68" s="686" customFormat="1" ht="3.95" customHeight="1" x14ac:dyDescent="0.2">
      <c r="B283" s="1790">
        <v>271</v>
      </c>
      <c r="C283" s="1677"/>
      <c r="D283" s="1709"/>
      <c r="E283" s="1057"/>
      <c r="H283" s="1922"/>
      <c r="I283" s="1651"/>
      <c r="J283" s="1919"/>
      <c r="K283" s="1651"/>
      <c r="L283" s="1922"/>
      <c r="M283" s="1651"/>
      <c r="N283" s="1919"/>
      <c r="O283" s="1651"/>
      <c r="P283" s="1919"/>
      <c r="Q283" s="1651"/>
      <c r="R283" s="1919"/>
      <c r="S283" s="1651"/>
      <c r="T283" s="1919"/>
      <c r="U283" s="1651"/>
      <c r="V283" s="1919"/>
      <c r="W283" s="1651"/>
      <c r="X283" s="1919"/>
      <c r="Y283" s="1651"/>
      <c r="Z283" s="1919"/>
      <c r="AA283" s="1651"/>
      <c r="AB283" s="1919"/>
      <c r="AC283" s="1651"/>
      <c r="AD283" s="1919"/>
      <c r="AE283" s="1651"/>
      <c r="AF283" s="1919"/>
      <c r="AG283" s="1651"/>
      <c r="AH283" s="1919"/>
      <c r="AJ283" s="1792"/>
      <c r="AL283" s="1792"/>
      <c r="AN283" s="685"/>
      <c r="AP283" s="1223"/>
      <c r="AU283" s="848"/>
      <c r="AV283" s="848"/>
      <c r="AW283" s="848"/>
      <c r="AX283" s="848"/>
      <c r="AY283" s="848"/>
      <c r="AZ283" s="848"/>
      <c r="BA283" s="848"/>
      <c r="BB283" s="848"/>
      <c r="BC283" s="848"/>
      <c r="BD283" s="848"/>
      <c r="BE283" s="848"/>
      <c r="BF283" s="848"/>
      <c r="BH283" s="1680"/>
      <c r="BI283" s="1680"/>
      <c r="BJ283" s="1680"/>
      <c r="BK283" s="1680"/>
      <c r="BL283" s="1680"/>
      <c r="BM283" s="1680"/>
      <c r="BN283" s="1680"/>
      <c r="BO283" s="1680"/>
      <c r="BP283" s="1680"/>
    </row>
    <row r="284" spans="1:68" s="686" customFormat="1" ht="3.95" customHeight="1" x14ac:dyDescent="0.2">
      <c r="A284" s="1809"/>
      <c r="B284" s="1810">
        <v>52</v>
      </c>
      <c r="C284" s="1811"/>
      <c r="D284" s="1842"/>
      <c r="E284" s="1812"/>
      <c r="F284" s="1809"/>
      <c r="G284" s="1809"/>
      <c r="H284" s="1923"/>
      <c r="I284" s="1924"/>
      <c r="J284" s="1924"/>
      <c r="K284" s="1924"/>
      <c r="L284" s="1923"/>
      <c r="M284" s="1924"/>
      <c r="N284" s="1924"/>
      <c r="O284" s="1924"/>
      <c r="P284" s="1924"/>
      <c r="Q284" s="1924"/>
      <c r="R284" s="1924"/>
      <c r="S284" s="1924"/>
      <c r="T284" s="1924"/>
      <c r="U284" s="1924"/>
      <c r="V284" s="1924"/>
      <c r="W284" s="1924"/>
      <c r="X284" s="1924"/>
      <c r="Y284" s="1924"/>
      <c r="Z284" s="1924"/>
      <c r="AA284" s="1924"/>
      <c r="AB284" s="1924"/>
      <c r="AC284" s="1924"/>
      <c r="AD284" s="1924"/>
      <c r="AE284" s="1924"/>
      <c r="AF284" s="1924"/>
      <c r="AG284" s="1924"/>
      <c r="AH284" s="1924"/>
      <c r="AI284" s="1809"/>
      <c r="AJ284" s="1829"/>
      <c r="AK284" s="1809"/>
      <c r="AL284" s="1829"/>
      <c r="AM284" s="1809"/>
      <c r="AN284" s="1809"/>
      <c r="AO284" s="1809"/>
      <c r="AP284" s="1813"/>
      <c r="AQ284" s="1809"/>
      <c r="AR284" s="1809"/>
      <c r="AS284" s="1809"/>
      <c r="AT284" s="1809"/>
      <c r="AU284" s="1814"/>
      <c r="AV284" s="1814"/>
      <c r="AW284" s="1814"/>
      <c r="AX284" s="1814"/>
      <c r="AY284" s="1814"/>
      <c r="AZ284" s="1814"/>
      <c r="BA284" s="1814"/>
      <c r="BB284" s="1814"/>
      <c r="BC284" s="1814"/>
      <c r="BD284" s="1814"/>
      <c r="BE284" s="1814"/>
      <c r="BF284" s="1814"/>
      <c r="BG284" s="1809"/>
      <c r="BH284" s="1814"/>
      <c r="BI284" s="1814"/>
      <c r="BJ284" s="1814"/>
      <c r="BK284" s="1814"/>
      <c r="BL284" s="1814"/>
      <c r="BM284" s="1814"/>
      <c r="BN284" s="1814"/>
      <c r="BO284" s="1814"/>
      <c r="BP284" s="1814"/>
    </row>
    <row r="285" spans="1:68" s="686" customFormat="1" ht="3.95" customHeight="1" x14ac:dyDescent="0.2">
      <c r="B285" s="1791">
        <v>273</v>
      </c>
      <c r="C285" s="1677"/>
      <c r="D285" s="1709"/>
      <c r="E285" s="1057"/>
      <c r="H285" s="1917"/>
      <c r="I285" s="1651"/>
      <c r="J285" s="1651"/>
      <c r="K285" s="1651"/>
      <c r="L285" s="1917"/>
      <c r="M285" s="1651"/>
      <c r="N285" s="1651"/>
      <c r="O285" s="1651"/>
      <c r="P285" s="1651"/>
      <c r="Q285" s="1651"/>
      <c r="R285" s="1651"/>
      <c r="S285" s="1651"/>
      <c r="T285" s="1651"/>
      <c r="U285" s="1651"/>
      <c r="V285" s="1651"/>
      <c r="W285" s="1651"/>
      <c r="X285" s="1651"/>
      <c r="Y285" s="1651"/>
      <c r="Z285" s="1651"/>
      <c r="AA285" s="1651"/>
      <c r="AB285" s="1651"/>
      <c r="AC285" s="1651"/>
      <c r="AD285" s="1651"/>
      <c r="AE285" s="1651"/>
      <c r="AF285" s="1651"/>
      <c r="AG285" s="1651"/>
      <c r="AH285" s="1651"/>
      <c r="AJ285" s="1676"/>
      <c r="AL285" s="1676"/>
      <c r="AP285" s="1394"/>
      <c r="AU285" s="848"/>
      <c r="AV285" s="848"/>
      <c r="AW285" s="848"/>
      <c r="AX285" s="848"/>
      <c r="AY285" s="848"/>
      <c r="AZ285" s="848"/>
      <c r="BA285" s="848"/>
      <c r="BB285" s="848"/>
      <c r="BC285" s="848"/>
      <c r="BD285" s="848"/>
      <c r="BE285" s="848"/>
      <c r="BF285" s="848"/>
      <c r="BH285" s="1680"/>
      <c r="BI285" s="1680"/>
      <c r="BJ285" s="1680"/>
      <c r="BK285" s="1680"/>
      <c r="BL285" s="1680"/>
      <c r="BM285" s="1680"/>
      <c r="BN285" s="1680"/>
      <c r="BO285" s="1680"/>
      <c r="BP285" s="1680"/>
    </row>
    <row r="286" spans="1:68" s="686" customFormat="1" ht="3.95" customHeight="1" x14ac:dyDescent="0.2">
      <c r="B286" s="1791">
        <v>274</v>
      </c>
      <c r="C286" s="1677"/>
      <c r="D286" s="1709"/>
      <c r="E286" s="1057"/>
      <c r="H286" s="1922"/>
      <c r="I286" s="1651"/>
      <c r="J286" s="1919"/>
      <c r="K286" s="1651"/>
      <c r="L286" s="1925"/>
      <c r="M286" s="1651"/>
      <c r="N286" s="1919"/>
      <c r="O286" s="1651"/>
      <c r="P286" s="1919"/>
      <c r="Q286" s="1651"/>
      <c r="R286" s="1919"/>
      <c r="S286" s="1651"/>
      <c r="T286" s="1919"/>
      <c r="U286" s="1651"/>
      <c r="V286" s="1919"/>
      <c r="W286" s="1651"/>
      <c r="X286" s="1919"/>
      <c r="Y286" s="1651"/>
      <c r="Z286" s="1919"/>
      <c r="AA286" s="1651"/>
      <c r="AB286" s="1919"/>
      <c r="AC286" s="1651"/>
      <c r="AD286" s="1919"/>
      <c r="AE286" s="1651"/>
      <c r="AF286" s="1919"/>
      <c r="AG286" s="1651"/>
      <c r="AH286" s="1919"/>
      <c r="AJ286" s="1792"/>
      <c r="AL286" s="1792"/>
      <c r="AN286" s="685"/>
      <c r="AP286" s="1057"/>
      <c r="AU286" s="848"/>
      <c r="AV286" s="848"/>
      <c r="AW286" s="848"/>
      <c r="AX286" s="848"/>
      <c r="AY286" s="848"/>
      <c r="AZ286" s="848"/>
      <c r="BA286" s="848"/>
      <c r="BB286" s="848"/>
      <c r="BC286" s="848"/>
      <c r="BD286" s="848"/>
      <c r="BE286" s="848"/>
      <c r="BF286" s="848"/>
      <c r="BH286" s="1680"/>
      <c r="BI286" s="1680"/>
      <c r="BJ286" s="1680"/>
      <c r="BK286" s="1680"/>
      <c r="BL286" s="1680"/>
      <c r="BM286" s="1680"/>
      <c r="BN286" s="1680"/>
      <c r="BO286" s="1680"/>
      <c r="BP286" s="1680"/>
    </row>
    <row r="287" spans="1:68" s="686" customFormat="1" ht="3.95" customHeight="1" x14ac:dyDescent="0.2">
      <c r="B287" s="1790">
        <v>275</v>
      </c>
      <c r="C287" s="1677"/>
      <c r="D287" s="1709"/>
      <c r="E287" s="1057"/>
      <c r="H287" s="1917"/>
      <c r="I287" s="1651"/>
      <c r="J287" s="1651"/>
      <c r="K287" s="1651"/>
      <c r="L287" s="1926"/>
      <c r="M287" s="1651"/>
      <c r="N287" s="1651"/>
      <c r="O287" s="1651"/>
      <c r="P287" s="1651"/>
      <c r="Q287" s="1651"/>
      <c r="R287" s="1651"/>
      <c r="S287" s="1651"/>
      <c r="T287" s="1651"/>
      <c r="U287" s="1651"/>
      <c r="V287" s="1651"/>
      <c r="W287" s="1651"/>
      <c r="X287" s="1651"/>
      <c r="Y287" s="1651"/>
      <c r="Z287" s="1651"/>
      <c r="AA287" s="1651"/>
      <c r="AB287" s="1651"/>
      <c r="AC287" s="1651"/>
      <c r="AD287" s="1651"/>
      <c r="AE287" s="1651"/>
      <c r="AF287" s="1651"/>
      <c r="AG287" s="1651"/>
      <c r="AH287" s="1651"/>
      <c r="AJ287" s="1676"/>
      <c r="AL287" s="1676"/>
      <c r="AP287" s="1057"/>
      <c r="AU287" s="848"/>
      <c r="AV287" s="848"/>
      <c r="AW287" s="848"/>
      <c r="AX287" s="848"/>
      <c r="AY287" s="848"/>
      <c r="AZ287" s="848"/>
      <c r="BA287" s="848"/>
      <c r="BB287" s="848"/>
      <c r="BC287" s="848"/>
      <c r="BD287" s="848"/>
      <c r="BE287" s="848"/>
      <c r="BF287" s="848"/>
      <c r="BH287" s="1680"/>
      <c r="BI287" s="1680"/>
      <c r="BJ287" s="1680"/>
      <c r="BK287" s="1680"/>
      <c r="BL287" s="1680"/>
      <c r="BM287" s="1680"/>
      <c r="BN287" s="1680"/>
      <c r="BO287" s="1680"/>
      <c r="BP287" s="1680"/>
    </row>
    <row r="288" spans="1:68" s="686" customFormat="1" ht="3.95" customHeight="1" x14ac:dyDescent="0.2">
      <c r="B288" s="1790">
        <v>276</v>
      </c>
      <c r="C288" s="1677"/>
      <c r="D288" s="1709"/>
      <c r="E288" s="1057"/>
      <c r="H288" s="1917"/>
      <c r="I288" s="1651"/>
      <c r="J288" s="1651"/>
      <c r="K288" s="1651"/>
      <c r="L288" s="1917"/>
      <c r="M288" s="1651"/>
      <c r="N288" s="1651"/>
      <c r="O288" s="1651"/>
      <c r="P288" s="1651"/>
      <c r="Q288" s="1651"/>
      <c r="R288" s="1651"/>
      <c r="S288" s="1651"/>
      <c r="T288" s="1651"/>
      <c r="U288" s="1651"/>
      <c r="V288" s="1651"/>
      <c r="W288" s="1651"/>
      <c r="X288" s="1651"/>
      <c r="Y288" s="1651"/>
      <c r="Z288" s="1651"/>
      <c r="AA288" s="1651"/>
      <c r="AB288" s="1651"/>
      <c r="AC288" s="1651"/>
      <c r="AD288" s="1651"/>
      <c r="AE288" s="1651"/>
      <c r="AF288" s="1651"/>
      <c r="AG288" s="1651"/>
      <c r="AH288" s="1651"/>
      <c r="AJ288" s="1676"/>
      <c r="AL288" s="1676"/>
      <c r="AP288" s="1057"/>
      <c r="AU288" s="848"/>
      <c r="AV288" s="848"/>
      <c r="AW288" s="848"/>
      <c r="AX288" s="848"/>
      <c r="AY288" s="848"/>
      <c r="AZ288" s="848"/>
      <c r="BA288" s="848"/>
      <c r="BB288" s="848"/>
      <c r="BC288" s="848"/>
      <c r="BD288" s="848"/>
      <c r="BE288" s="848"/>
      <c r="BF288" s="848"/>
      <c r="BH288" s="1680"/>
      <c r="BI288" s="1680"/>
      <c r="BJ288" s="1680"/>
      <c r="BK288" s="1680"/>
      <c r="BL288" s="1680"/>
      <c r="BM288" s="1680"/>
      <c r="BN288" s="1680"/>
      <c r="BO288" s="1680"/>
      <c r="BP288" s="1680"/>
    </row>
    <row r="289" spans="1:69" s="782" customFormat="1" ht="3.95" customHeight="1" x14ac:dyDescent="0.2">
      <c r="A289" s="816"/>
      <c r="B289" s="1791">
        <v>277</v>
      </c>
      <c r="C289" s="1271"/>
      <c r="D289" s="1841"/>
      <c r="E289" s="721"/>
      <c r="F289" s="736"/>
      <c r="G289" s="736"/>
      <c r="H289" s="1927"/>
      <c r="I289" s="1928"/>
      <c r="J289" s="1928"/>
      <c r="K289" s="1928"/>
      <c r="L289" s="1929"/>
      <c r="M289" s="722"/>
      <c r="N289" s="722"/>
      <c r="O289" s="722"/>
      <c r="P289" s="1891"/>
      <c r="Q289" s="1930"/>
      <c r="R289" s="1931"/>
      <c r="S289" s="1930"/>
      <c r="T289" s="1931"/>
      <c r="U289" s="1930"/>
      <c r="V289" s="1931"/>
      <c r="W289" s="1930"/>
      <c r="X289" s="1931"/>
      <c r="Y289" s="1894"/>
      <c r="Z289" s="1894"/>
      <c r="AA289" s="1894"/>
      <c r="AB289" s="1894"/>
      <c r="AC289" s="1894"/>
      <c r="AD289" s="1894"/>
      <c r="AE289" s="1894"/>
      <c r="AF289" s="1894"/>
      <c r="AG289" s="1894"/>
      <c r="AH289" s="1894"/>
      <c r="AI289" s="821"/>
      <c r="AJ289" s="1826"/>
      <c r="AK289" s="781"/>
      <c r="AL289" s="1831"/>
      <c r="AM289" s="824"/>
      <c r="AN289" s="822"/>
      <c r="AO289" s="824"/>
      <c r="AP289" s="1391"/>
      <c r="AQ289" s="824"/>
      <c r="AT289" s="824"/>
      <c r="AU289" s="759"/>
      <c r="AV289" s="759"/>
      <c r="AW289" s="759"/>
      <c r="AX289" s="759"/>
      <c r="AY289" s="759"/>
      <c r="AZ289" s="759"/>
      <c r="BA289" s="759"/>
      <c r="BB289" s="759"/>
      <c r="BC289" s="759"/>
      <c r="BD289" s="759"/>
      <c r="BE289" s="759"/>
      <c r="BF289" s="759"/>
      <c r="BG289" s="760"/>
      <c r="BH289" s="1681"/>
      <c r="BI289" s="1681"/>
      <c r="BJ289" s="1681"/>
      <c r="BK289" s="1681"/>
      <c r="BL289" s="1681"/>
      <c r="BM289" s="1681"/>
      <c r="BN289" s="1681"/>
      <c r="BO289" s="1681"/>
      <c r="BP289" s="1681"/>
      <c r="BQ289" s="824"/>
    </row>
    <row r="290" spans="1:69" s="782" customFormat="1" ht="15.75" x14ac:dyDescent="0.2">
      <c r="A290" s="1712" t="s">
        <v>2621</v>
      </c>
      <c r="B290" s="1791">
        <v>278</v>
      </c>
      <c r="C290" s="1669"/>
      <c r="D290" s="1248" t="str">
        <f>IF(AND(C234&lt;&gt;"",$C290=""),"Select Mode from Pull-Down List                           ","")</f>
        <v/>
      </c>
      <c r="E290" s="1277" t="str">
        <f>IF(AND(C290="",OR(H320&lt;&gt;0,J320&lt;&gt;0,H323&lt;&gt;0)),"&lt;&lt; Insert Rail Mode",IF(AND(C234="",C290&lt;&gt;""),"&lt;&lt;Complete Previous Section First",""))</f>
        <v/>
      </c>
      <c r="F290" s="736"/>
      <c r="G290" s="736"/>
      <c r="H290" s="1932"/>
      <c r="I290" s="1896"/>
      <c r="J290" s="1897"/>
      <c r="K290" s="1897"/>
      <c r="L290" s="1933"/>
      <c r="M290" s="1896"/>
      <c r="N290" s="1896"/>
      <c r="O290" s="1896"/>
      <c r="P290" s="1898"/>
      <c r="Q290" s="1896"/>
      <c r="R290" s="1898"/>
      <c r="S290" s="1896"/>
      <c r="T290" s="1898"/>
      <c r="U290" s="1896"/>
      <c r="V290" s="1898"/>
      <c r="W290" s="1896"/>
      <c r="X290" s="1898"/>
      <c r="Y290" s="1896"/>
      <c r="Z290" s="1896"/>
      <c r="AA290" s="1896"/>
      <c r="AB290" s="1896"/>
      <c r="AC290" s="1896"/>
      <c r="AD290" s="1896"/>
      <c r="AE290" s="1896"/>
      <c r="AF290" s="1896"/>
      <c r="AG290" s="1896"/>
      <c r="AH290" s="1896"/>
      <c r="AI290" s="1254"/>
      <c r="AJ290" s="1827"/>
      <c r="AK290" s="1254"/>
      <c r="AL290" s="1827"/>
      <c r="AM290" s="832"/>
      <c r="AN290" s="1254"/>
      <c r="AO290" s="832"/>
      <c r="AP290" s="1399"/>
      <c r="AQ290" s="832"/>
      <c r="AS290" s="758"/>
      <c r="AT290" s="758" t="b">
        <f>IF(OR(E290&lt;&gt;"",E346="Complete Previous Section First"),TRUE,FALSE)</f>
        <v>0</v>
      </c>
      <c r="AU290" s="763"/>
      <c r="AV290" s="763"/>
      <c r="AW290" s="763"/>
      <c r="AX290" s="763"/>
      <c r="AY290" s="763"/>
      <c r="AZ290" s="763"/>
      <c r="BA290" s="763"/>
      <c r="BB290" s="763"/>
      <c r="BC290" s="763"/>
      <c r="BD290" s="763"/>
      <c r="BE290" s="763"/>
      <c r="BF290" s="759"/>
      <c r="BG290" s="760"/>
      <c r="BH290" s="1678"/>
      <c r="BI290" s="1678"/>
      <c r="BJ290" s="1678"/>
      <c r="BK290" s="1678"/>
      <c r="BL290" s="1678"/>
      <c r="BM290" s="1678"/>
      <c r="BN290" s="1678"/>
      <c r="BO290" s="1678"/>
      <c r="BP290" s="1678"/>
      <c r="BQ290" s="832"/>
    </row>
    <row r="291" spans="1:69" s="782" customFormat="1" ht="3.95" customHeight="1" x14ac:dyDescent="0.2">
      <c r="A291" s="721"/>
      <c r="B291" s="1791">
        <v>279</v>
      </c>
      <c r="C291" s="828"/>
      <c r="D291" s="1841"/>
      <c r="E291" s="721"/>
      <c r="F291" s="281"/>
      <c r="G291" s="281"/>
      <c r="H291" s="1934"/>
      <c r="I291" s="1899"/>
      <c r="J291" s="1899"/>
      <c r="K291" s="1899"/>
      <c r="L291" s="1909"/>
      <c r="M291" s="722"/>
      <c r="N291" s="722"/>
      <c r="O291" s="722"/>
      <c r="P291" s="1900"/>
      <c r="Q291" s="1901"/>
      <c r="R291" s="1900"/>
      <c r="S291" s="1901"/>
      <c r="T291" s="1900"/>
      <c r="U291" s="1901"/>
      <c r="V291" s="1900"/>
      <c r="W291" s="1901"/>
      <c r="X291" s="1900"/>
      <c r="Y291" s="1902"/>
      <c r="Z291" s="1902"/>
      <c r="AA291" s="1902"/>
      <c r="AB291" s="1902"/>
      <c r="AC291" s="1902"/>
      <c r="AD291" s="1902"/>
      <c r="AE291" s="1902"/>
      <c r="AF291" s="1902"/>
      <c r="AG291" s="1902"/>
      <c r="AH291" s="1902"/>
      <c r="AI291" s="831"/>
      <c r="AJ291" s="1828"/>
      <c r="AK291" s="724"/>
      <c r="AL291" s="1806"/>
      <c r="AM291" s="832"/>
      <c r="AN291" s="724"/>
      <c r="AO291" s="832"/>
      <c r="AP291" s="1399"/>
      <c r="AQ291" s="832"/>
      <c r="AS291" s="824"/>
      <c r="AT291" s="832"/>
      <c r="AU291" s="759"/>
      <c r="AV291" s="759"/>
      <c r="AW291" s="759"/>
      <c r="AX291" s="759"/>
      <c r="AY291" s="759"/>
      <c r="AZ291" s="759"/>
      <c r="BA291" s="759"/>
      <c r="BB291" s="759"/>
      <c r="BC291" s="759"/>
      <c r="BD291" s="759"/>
      <c r="BE291" s="759"/>
      <c r="BF291" s="759"/>
      <c r="BG291" s="760"/>
      <c r="BH291" s="1678"/>
      <c r="BI291" s="1678"/>
      <c r="BJ291" s="1678"/>
      <c r="BK291" s="1678"/>
      <c r="BL291" s="1678"/>
      <c r="BM291" s="1678"/>
      <c r="BN291" s="1678"/>
      <c r="BO291" s="1678"/>
      <c r="BP291" s="1678"/>
      <c r="BQ291" s="832"/>
    </row>
    <row r="292" spans="1:69" s="782" customFormat="1" x14ac:dyDescent="0.2">
      <c r="A292" s="1712" t="s">
        <v>2621</v>
      </c>
      <c r="B292" s="1790">
        <v>280</v>
      </c>
      <c r="C292" s="844" t="str">
        <f>IF(C290="","Guideway (Excludes Track)",VLOOKUP(C290,Codes!$C$156:$D$174,2)&amp;" Guideway (Excludes Track)")</f>
        <v>Guideway (Excludes Track)</v>
      </c>
      <c r="D292" s="1841"/>
      <c r="E292" s="721"/>
      <c r="F292" s="281"/>
      <c r="G292" s="281"/>
      <c r="H292" s="1934"/>
      <c r="I292" s="1899"/>
      <c r="J292" s="1899"/>
      <c r="K292" s="1899"/>
      <c r="L292" s="1909"/>
      <c r="M292" s="722"/>
      <c r="N292" s="722"/>
      <c r="O292" s="722"/>
      <c r="P292" s="1900"/>
      <c r="Q292" s="1901"/>
      <c r="R292" s="1900"/>
      <c r="S292" s="1901"/>
      <c r="T292" s="1900"/>
      <c r="U292" s="1901"/>
      <c r="V292" s="1900"/>
      <c r="W292" s="1901"/>
      <c r="X292" s="1900"/>
      <c r="Y292" s="1902"/>
      <c r="Z292" s="1902"/>
      <c r="AA292" s="1902"/>
      <c r="AB292" s="1902"/>
      <c r="AC292" s="1902"/>
      <c r="AD292" s="1902"/>
      <c r="AE292" s="1902"/>
      <c r="AF292" s="1902"/>
      <c r="AG292" s="1902"/>
      <c r="AH292" s="1902"/>
      <c r="AI292" s="831"/>
      <c r="AJ292" s="1828"/>
      <c r="AK292" s="724"/>
      <c r="AL292" s="1806"/>
      <c r="AM292" s="832"/>
      <c r="AN292" s="724"/>
      <c r="AO292" s="832"/>
      <c r="AP292" s="1223"/>
      <c r="AQ292" s="832"/>
      <c r="AS292" s="824"/>
      <c r="AT292" s="832"/>
      <c r="AU292" s="759"/>
      <c r="AV292" s="759"/>
      <c r="AW292" s="759"/>
      <c r="AX292" s="759"/>
      <c r="AY292" s="759"/>
      <c r="AZ292" s="759"/>
      <c r="BA292" s="759"/>
      <c r="BB292" s="759"/>
      <c r="BC292" s="759"/>
      <c r="BD292" s="759"/>
      <c r="BE292" s="759"/>
      <c r="BF292" s="759"/>
      <c r="BG292" s="760"/>
      <c r="BH292" s="1678"/>
      <c r="BI292" s="1678"/>
      <c r="BJ292" s="1678"/>
      <c r="BK292" s="1678"/>
      <c r="BL292" s="1678"/>
      <c r="BM292" s="1678"/>
      <c r="BN292" s="1678"/>
      <c r="BO292" s="1678"/>
      <c r="BP292" s="1678"/>
      <c r="BQ292" s="832"/>
    </row>
    <row r="293" spans="1:69" s="782" customFormat="1" ht="26.25" thickBot="1" x14ac:dyDescent="0.25">
      <c r="A293" s="1712" t="s">
        <v>2621</v>
      </c>
      <c r="B293" s="1790">
        <v>281</v>
      </c>
      <c r="D293" s="1841"/>
      <c r="E293" s="816"/>
      <c r="F293" s="764"/>
      <c r="G293" s="764"/>
      <c r="H293" s="1903" t="str">
        <f>H$10</f>
        <v>Linear Feet</v>
      </c>
      <c r="I293" s="1899"/>
      <c r="J293" s="1903" t="str">
        <f>J$10</f>
        <v>Track Feet</v>
      </c>
      <c r="K293" s="1899"/>
      <c r="L293" s="1909"/>
      <c r="M293" s="722"/>
      <c r="N293" s="722"/>
      <c r="O293" s="722"/>
      <c r="P293" s="1903" t="str">
        <f>P$9</f>
        <v>Pre-1920</v>
      </c>
      <c r="Q293" s="1869"/>
      <c r="R293" s="1903" t="str">
        <f>R$9</f>
        <v>1920-
1929</v>
      </c>
      <c r="S293" s="1869"/>
      <c r="T293" s="1903" t="str">
        <f>T$9</f>
        <v>1930-
1939</v>
      </c>
      <c r="U293" s="1869"/>
      <c r="V293" s="1903" t="str">
        <f>V$9</f>
        <v>1940-
1949</v>
      </c>
      <c r="W293" s="1869"/>
      <c r="X293" s="1903" t="str">
        <f>X$9</f>
        <v>1950-
1959</v>
      </c>
      <c r="Y293" s="1868"/>
      <c r="Z293" s="1903" t="str">
        <f>Z$9</f>
        <v>1960-
1969</v>
      </c>
      <c r="AA293" s="1868"/>
      <c r="AB293" s="1903" t="str">
        <f>AB$9</f>
        <v>1970-
1979</v>
      </c>
      <c r="AC293" s="1868"/>
      <c r="AD293" s="1903" t="str">
        <f>AD$9</f>
        <v>1980-
1989</v>
      </c>
      <c r="AE293" s="1868"/>
      <c r="AF293" s="1903" t="str">
        <f>AF$9</f>
        <v>1990-
1999</v>
      </c>
      <c r="AG293" s="1868"/>
      <c r="AH293" s="1903" t="str">
        <f>AH$9</f>
        <v>2000-
present</v>
      </c>
      <c r="AI293" s="831"/>
      <c r="AJ293" s="1828"/>
      <c r="AK293" s="724"/>
      <c r="AL293" s="1806"/>
      <c r="AM293" s="832"/>
      <c r="AN293" s="724"/>
      <c r="AO293" s="832"/>
      <c r="AP293" s="1399"/>
      <c r="AQ293" s="832"/>
      <c r="AS293" s="832"/>
      <c r="AT293" s="832"/>
      <c r="AU293" s="759"/>
      <c r="AV293" s="759"/>
      <c r="AW293" s="759"/>
      <c r="AX293" s="759"/>
      <c r="AY293" s="759"/>
      <c r="AZ293" s="759"/>
      <c r="BA293" s="759"/>
      <c r="BB293" s="759"/>
      <c r="BC293" s="759"/>
      <c r="BD293" s="759"/>
      <c r="BE293" s="759"/>
      <c r="BF293" s="759"/>
      <c r="BG293" s="760"/>
      <c r="BH293" s="1678"/>
      <c r="BI293" s="1678"/>
      <c r="BJ293" s="1678"/>
      <c r="BK293" s="1678"/>
      <c r="BL293" s="1678"/>
      <c r="BM293" s="1678"/>
      <c r="BN293" s="1678"/>
      <c r="BO293" s="1678"/>
      <c r="BP293" s="1678"/>
      <c r="BQ293" s="832"/>
    </row>
    <row r="294" spans="1:69" s="782" customFormat="1" x14ac:dyDescent="0.2">
      <c r="A294" s="852">
        <f>A279+1</f>
        <v>71</v>
      </c>
      <c r="B294" s="1791">
        <v>282</v>
      </c>
      <c r="C294" s="851" t="str">
        <f>Valid!$B$71</f>
        <v>At-Grade/Ballast (including expressway)</v>
      </c>
      <c r="D294" s="1841"/>
      <c r="E294" s="1245" t="str">
        <f>IF(AT294="N/A","",IF(AT294="N","No","Yes"))</f>
        <v/>
      </c>
      <c r="F294" s="764"/>
      <c r="G294" s="764"/>
      <c r="H294" s="1864"/>
      <c r="I294" s="1904" t="str">
        <f>IF(C290="","",IF(J294&lt;&gt;"","Linear Feet   ","Qty? Enter Zero if N/A  "))</f>
        <v/>
      </c>
      <c r="J294" s="1864"/>
      <c r="K294" s="1904" t="str">
        <f>IF(E294="yes","",IF(C290="","",IF(H294="","Qty? Enter Zero if N/A  ",IF(H294&lt;&gt;"","Track Feet      ",""))))</f>
        <v/>
      </c>
      <c r="L294" s="1864"/>
      <c r="M294" s="1620" t="str">
        <f>IF($H294=0,"",IF($L294="",TEXT(BN294,0)&amp;" Years?    ",""))</f>
        <v/>
      </c>
      <c r="N294" s="1905"/>
      <c r="O294" s="1620"/>
      <c r="P294" s="1864"/>
      <c r="Q294" s="1865" t="str">
        <f>IF(OR($N294="",$H294=0, P294&lt;&gt;""),"", IF($BK294&lt;&gt;0, "0 - ", "")&amp;IF($N294="%", TEXT($BK294, "0%"), IF($BK294&lt;1000, TEXT($BK294, "#,##0"), TEXT($BK294/1000, "#,##0")&amp;"k")&amp;" ft.")&amp;"?  ")</f>
        <v/>
      </c>
      <c r="R294" s="1864"/>
      <c r="S294" s="1865" t="str">
        <f>IF(OR($N294="",$H294=0, R294&lt;&gt;""),"", IF($BK294&lt;&gt;0, "0 - ", "")&amp;IF($N294="%", TEXT($BK294, "0%"), IF($BK294&lt;1000, TEXT($BK294, "#,##0"), TEXT($BK294/1000, "#,##0")&amp;"k")&amp;" ft.")&amp;"?  ")</f>
        <v/>
      </c>
      <c r="T294" s="1864"/>
      <c r="U294" s="1865" t="str">
        <f>IF(OR($N294="",$H294=0, T294&lt;&gt;""),"", IF($BK294&lt;&gt;0, "0 - ", "")&amp;IF($N294="%", TEXT($BK294, "0%"), IF($BK294&lt;1000, TEXT($BK294, "#,##0"), TEXT($BK294/1000, "#,##0")&amp;"k")&amp;" ft.")&amp;"?  ")</f>
        <v/>
      </c>
      <c r="V294" s="1864"/>
      <c r="W294" s="1865" t="str">
        <f>IF(OR($N294="",$H294=0, V294&lt;&gt;""),"", IF($BK294&lt;&gt;0, "0 - ", "")&amp;IF($N294="%", TEXT($BK294, "0%"), IF($BK294&lt;1000, TEXT($BK294, "#,##0"), TEXT($BK294/1000, "#,##0")&amp;"k")&amp;" ft.")&amp;"?  ")</f>
        <v/>
      </c>
      <c r="X294" s="1864"/>
      <c r="Y294" s="1865" t="str">
        <f>IF(OR($N294="",$H294=0, X294&lt;&gt;""),"", IF($BK294&lt;&gt;0, "0 - ", "")&amp;IF($N294="%", TEXT($BK294, "0%"), IF($BK294&lt;1000, TEXT($BK294, "#,##0"), TEXT($BK294/1000, "#,##0")&amp;"k")&amp;" ft.")&amp;"?  ")</f>
        <v/>
      </c>
      <c r="Z294" s="1864"/>
      <c r="AA294" s="1865" t="str">
        <f>IF(OR($N294="",$H294=0, Z294&lt;&gt;""),"", IF($BK294&lt;&gt;0, "0 - ", "")&amp;IF($N294="%", TEXT($BK294, "0%"), IF($BK294&lt;1000, TEXT($BK294, "#,##0"), TEXT($BK294/1000, "#,##0")&amp;"k")&amp;" ft.")&amp;"?  ")</f>
        <v/>
      </c>
      <c r="AB294" s="1864"/>
      <c r="AC294" s="1865" t="str">
        <f>IF(OR($N294="",$H294=0, AB294&lt;&gt;""),"", IF($BK294&lt;&gt;0, "0 - ", "")&amp;IF($N294="%", TEXT($BK294, "0%"), IF($BK294&lt;1000, TEXT($BK294, "#,##0"), TEXT($BK294/1000, "#,##0")&amp;"k")&amp;" ft.")&amp;"?  ")</f>
        <v/>
      </c>
      <c r="AD294" s="1864"/>
      <c r="AE294" s="1865" t="str">
        <f>IF(OR($N294="",$H294=0, AD294&lt;&gt;""),"", IF($BK294&lt;&gt;0, "0 - ", "")&amp;IF($N294="%", TEXT($BK294, "0%"), IF($BK294&lt;1000, TEXT($BK294, "#,##0"), TEXT($BK294/1000, "#,##0")&amp;"k")&amp;" ft.")&amp;"?  ")</f>
        <v/>
      </c>
      <c r="AF294" s="1864"/>
      <c r="AG294" s="1865" t="str">
        <f>IF(OR($N294="",$H294=0, AF294&lt;&gt;""),"", IF($BK294&lt;&gt;0, "0 - ", "")&amp;IF($N294="%", TEXT($BK294, "0%"), IF($BK294&lt;1000, TEXT($BK294, "#,##0"), TEXT($BK294/1000, "#,##0")&amp;"k")&amp;" ft.")&amp;"?  ")</f>
        <v/>
      </c>
      <c r="AH294" s="1864"/>
      <c r="AI294" s="1865" t="str">
        <f>IF(OR($N294="",$H294=0, AH294&lt;&gt;""),"", IF($BK294&lt;&gt;0, "0 - ", "")&amp;IF($N294="%", TEXT($BK294, "0%"), IF($BK294&lt;1000, TEXT($BK294, "#,##0"), TEXT($BK294/1000, "#,##0")&amp;"k")&amp;" ft.")&amp;"?  ")</f>
        <v/>
      </c>
      <c r="AJ294" s="1833">
        <f>IFERROR(IF(N294="%", SUM(P294,R294,T294,V294,X294,Z294,AB294,AD294,AF294,AH294)/100, SUM(P294,R294,T294,V294,X294,Z294,AB294,AD294,AF294,AH294)/IF(N294="LF", H294,J294)), 0)</f>
        <v>0</v>
      </c>
      <c r="AK294" s="1648"/>
      <c r="AL294" s="1675"/>
      <c r="AM294" s="839"/>
      <c r="AN294" s="1808"/>
      <c r="AO294" s="839"/>
      <c r="AP294" s="1653"/>
      <c r="AQ294" s="839"/>
      <c r="AS294" s="1399"/>
      <c r="AT294" s="1624" t="str">
        <f>IF(AND($C$290="", H294="", J294=""), "N/A", IF(OR(AND(ISNUMBER(H294), ISNUMBER(J294), H294=0, J294=0), AND(AJ294=1, H294&lt;&gt;"", J294&lt;&gt;"", L294&lt;&gt;"", N294&lt;&gt;"", P294&lt;&gt;"", R294&lt;&gt;"", T294&lt;&gt;"", V294&lt;&gt;"", X294&lt;&gt;"", Z294&lt;&gt;"", AB294&lt;&gt;"", AD294&lt;&gt;"", AF294&lt;&gt;"", AH294&lt;&gt;"",AL294&lt;&gt;"", IF(AND(AL294&lt;1, AN294=""), FALSE, TRUE))), "Yes", "No"))</f>
        <v>N/A</v>
      </c>
      <c r="AU294" s="759" t="b">
        <f>IF(AND(H294="",OR(L294&lt;&gt;"",P294&lt;&gt;"",R294&lt;&gt;"",T294&lt;&gt;"",V294&lt;&gt;"",X294&lt;&gt;"",AL294&lt;&gt;"",Z294&lt;&gt;"",AB294&lt;&gt;"",AD294&lt;&gt;"",AF294&lt;&gt;"",AH294&lt;&gt;"")),TRUE,FALSE)</f>
        <v>0</v>
      </c>
      <c r="AV294" s="759" t="b">
        <f>IF(OR(H294="",H294=0),FALSE,IF(H294&gt;BM294,TRUE,FALSE))</f>
        <v>0</v>
      </c>
      <c r="AW294" s="759" t="b">
        <f>IF(AND($C$290&lt;&gt;"",$H294=""),TRUE,FALSE)</f>
        <v>0</v>
      </c>
      <c r="AX294" s="759" t="b">
        <f>IF(E294="yes",FALSE,IF(H294="0",FALSE,IF(AND($C$290&lt;&gt;"",J294=""),TRUE,FALSE)))</f>
        <v>0</v>
      </c>
      <c r="AY294" s="759" t="b">
        <f>IF($L294="",FALSE,IF($L294&lt;$BO294,TRUE,FALSE))</f>
        <v>0</v>
      </c>
      <c r="AZ294" s="759" t="b">
        <f>IF($L294="",FALSE,IF($L294&gt;$BP294,TRUE,FALSE))</f>
        <v>0</v>
      </c>
      <c r="BA294" s="759" t="b">
        <f>IF(H294=0,FALSE,IF(AND(E294&lt;&gt;"",$L294=""),TRUE,FALSE))</f>
        <v>0</v>
      </c>
      <c r="BB294" s="759" t="b">
        <f>IF(AND($AJ294&lt;&gt;0,$H294&lt;&gt;$BJ294,$N294="LF"),TRUE,IF(AND($AJ294&lt;&gt;0,$J294&lt;&gt;$AJ294,$N294="TF"),TRUE,IF(AND($AJ294&lt;&gt;0,$AJ294&lt;&gt;1,$N294="%"),TRUE,FALSE)))</f>
        <v>0</v>
      </c>
      <c r="BC294" s="759" t="b">
        <f>IF(AT294="No", IF(OR(P294="", R294="", T294="", V294="", X294="", Z294="", AB294="", AD294="", AF294="", AH294=""), TRUE, FALSE), FALSE)</f>
        <v>0</v>
      </c>
      <c r="BD294" s="759" t="b">
        <f>IF($BE294=TRUE,FALSE,IF(OR($AL294&lt;0,$AL294&gt;1),TRUE,FALSE))</f>
        <v>0</v>
      </c>
      <c r="BE294" s="759" t="b">
        <f>IF(AND($H294&lt;&gt;0,$AL294=""),TRUE,FALSE)</f>
        <v>0</v>
      </c>
      <c r="BF294" s="759" t="b">
        <f>IF(N294="%",TRUE,FALSE)</f>
        <v>0</v>
      </c>
      <c r="BG294" s="760"/>
      <c r="BH294" s="1678">
        <f>IF($C294="","",VLOOKUP($C294,val_fg_assets,9,FALSE))</f>
        <v>1</v>
      </c>
      <c r="BI294" s="1678" t="str">
        <f>IF(N294="", "", IF(N294="LF", H294, IF(N294="TF", J294, IF(N294="%", 1, ""))))</f>
        <v/>
      </c>
      <c r="BJ294" s="1679">
        <f>P294+R294+T294+V294+X294+Z294+AB294+AD294+AF294+AH294</f>
        <v>0</v>
      </c>
      <c r="BK294" s="1679" t="str">
        <f>IF(BI294="", "", BI294-BJ294)</f>
        <v/>
      </c>
      <c r="BL294" s="1679">
        <f>IF($C294="","",VLOOKUP($C294,val_fg_assets,3,FALSE))</f>
        <v>0</v>
      </c>
      <c r="BM294" s="1679">
        <f>IF($C294="","",VLOOKUP($C294,val_fg_assets,4,FALSE))</f>
        <v>1320000</v>
      </c>
      <c r="BN294" s="1678">
        <f>IF($C294="","",VLOOKUP($C294,val_fg_assets,5,FALSE))</f>
        <v>80</v>
      </c>
      <c r="BO294" s="1678">
        <f>IF($C294="","",VLOOKUP($C294,val_fg_assets,6,FALSE))</f>
        <v>60</v>
      </c>
      <c r="BP294" s="1678">
        <f>IF($C294="","",VLOOKUP($C294,val_fg_assets,7,FALSE))</f>
        <v>100</v>
      </c>
      <c r="BQ294" s="1399"/>
    </row>
    <row r="295" spans="1:69" s="782" customFormat="1" ht="3.95" customHeight="1" x14ac:dyDescent="0.2">
      <c r="A295" s="1672"/>
      <c r="B295" s="1791">
        <v>283</v>
      </c>
      <c r="C295" s="1673"/>
      <c r="D295" s="1841"/>
      <c r="E295" s="1057"/>
      <c r="F295" s="764"/>
      <c r="G295" s="764"/>
      <c r="H295" s="1906"/>
      <c r="I295" s="1907"/>
      <c r="J295" s="1908"/>
      <c r="K295" s="1907"/>
      <c r="L295" s="1909"/>
      <c r="M295" s="1910"/>
      <c r="N295" s="1911"/>
      <c r="O295" s="1910"/>
      <c r="P295" s="1866"/>
      <c r="Q295" s="1867"/>
      <c r="R295" s="1866"/>
      <c r="S295" s="1867"/>
      <c r="T295" s="1866"/>
      <c r="U295" s="1867"/>
      <c r="V295" s="1866"/>
      <c r="W295" s="1867"/>
      <c r="X295" s="1866"/>
      <c r="Y295" s="1867"/>
      <c r="Z295" s="1867"/>
      <c r="AA295" s="1867"/>
      <c r="AB295" s="1867"/>
      <c r="AC295" s="1867"/>
      <c r="AD295" s="1867"/>
      <c r="AE295" s="1867"/>
      <c r="AF295" s="1867"/>
      <c r="AG295" s="1867"/>
      <c r="AH295" s="1867"/>
      <c r="AI295" s="837"/>
      <c r="AJ295" s="1806"/>
      <c r="AK295" s="841"/>
      <c r="AL295" s="1806"/>
      <c r="AM295" s="1399"/>
      <c r="AN295" s="838"/>
      <c r="AO295" s="1399"/>
      <c r="AP295" s="1223"/>
      <c r="AQ295" s="1399"/>
      <c r="AS295" s="1399"/>
      <c r="AT295" s="1399"/>
      <c r="AU295" s="759"/>
      <c r="AV295" s="759"/>
      <c r="AW295" s="759"/>
      <c r="AX295" s="759"/>
      <c r="AY295" s="759"/>
      <c r="AZ295" s="759"/>
      <c r="BA295" s="759"/>
      <c r="BB295" s="759"/>
      <c r="BC295" s="759"/>
      <c r="BD295" s="759"/>
      <c r="BE295" s="759"/>
      <c r="BF295" s="759"/>
      <c r="BG295" s="760"/>
      <c r="BH295" s="1678"/>
      <c r="BI295" s="1678"/>
      <c r="BJ295" s="1678"/>
      <c r="BK295" s="1678"/>
      <c r="BL295" s="1679"/>
      <c r="BM295" s="1679"/>
      <c r="BN295" s="1678"/>
      <c r="BO295" s="1678"/>
      <c r="BP295" s="1678"/>
      <c r="BQ295" s="1399"/>
    </row>
    <row r="296" spans="1:69" s="782" customFormat="1" ht="3.95" customHeight="1" thickBot="1" x14ac:dyDescent="0.25">
      <c r="A296" s="852"/>
      <c r="B296" s="1791">
        <v>284</v>
      </c>
      <c r="C296" s="851"/>
      <c r="D296" s="1841"/>
      <c r="E296" s="1058"/>
      <c r="F296" s="686"/>
      <c r="G296" s="686"/>
      <c r="H296" s="1909"/>
      <c r="I296" s="1908"/>
      <c r="J296" s="1908"/>
      <c r="K296" s="1908"/>
      <c r="L296" s="1909"/>
      <c r="M296" s="722"/>
      <c r="N296" s="1912"/>
      <c r="O296" s="722"/>
      <c r="P296" s="1868"/>
      <c r="Q296" s="1869"/>
      <c r="R296" s="1868"/>
      <c r="S296" s="1869"/>
      <c r="T296" s="1868"/>
      <c r="U296" s="1869"/>
      <c r="V296" s="1868"/>
      <c r="W296" s="1869"/>
      <c r="X296" s="1868"/>
      <c r="Y296" s="1869"/>
      <c r="Z296" s="1869"/>
      <c r="AA296" s="1869"/>
      <c r="AB296" s="1869"/>
      <c r="AC296" s="1869"/>
      <c r="AD296" s="1869"/>
      <c r="AE296" s="1869"/>
      <c r="AF296" s="1869"/>
      <c r="AG296" s="1869"/>
      <c r="AH296" s="1869"/>
      <c r="AI296" s="1670"/>
      <c r="AJ296" s="1828"/>
      <c r="AK296" s="724"/>
      <c r="AL296" s="1806"/>
      <c r="AM296" s="1399"/>
      <c r="AN296" s="1258"/>
      <c r="AO296" s="1399"/>
      <c r="AP296" s="1399"/>
      <c r="AQ296" s="1399"/>
      <c r="AS296" s="1399"/>
      <c r="AT296" s="1399"/>
      <c r="AU296" s="759"/>
      <c r="AV296" s="759"/>
      <c r="AW296" s="759"/>
      <c r="AX296" s="759"/>
      <c r="AY296" s="759"/>
      <c r="AZ296" s="759"/>
      <c r="BA296" s="759"/>
      <c r="BB296" s="759"/>
      <c r="BC296" s="759"/>
      <c r="BD296" s="759"/>
      <c r="BE296" s="759"/>
      <c r="BF296" s="759"/>
      <c r="BG296" s="760"/>
      <c r="BH296" s="1678"/>
      <c r="BI296" s="1678"/>
      <c r="BJ296" s="1678"/>
      <c r="BK296" s="1678"/>
      <c r="BL296" s="1679"/>
      <c r="BM296" s="1679"/>
      <c r="BN296" s="1678"/>
      <c r="BO296" s="1678"/>
      <c r="BP296" s="1678"/>
      <c r="BQ296" s="1399"/>
    </row>
    <row r="297" spans="1:69" s="782" customFormat="1" x14ac:dyDescent="0.2">
      <c r="A297" s="852">
        <f>A294+1</f>
        <v>72</v>
      </c>
      <c r="B297" s="1790">
        <v>285</v>
      </c>
      <c r="C297" s="851" t="str">
        <f>Valid!$B$72</f>
        <v>At-Grade/In-Street/Embedded</v>
      </c>
      <c r="D297" s="1841"/>
      <c r="E297" s="1245" t="str">
        <f>IF(AT297="N/A","",IF(AT297="N","No","Yes"))</f>
        <v/>
      </c>
      <c r="F297" s="764"/>
      <c r="G297" s="764"/>
      <c r="H297" s="1864"/>
      <c r="I297" s="1904" t="str">
        <f>IF(C290="","",IF(J297&lt;&gt;"","Linear Feet   ","Qty? Enter Zero if N/A  "))</f>
        <v/>
      </c>
      <c r="J297" s="1864"/>
      <c r="K297" s="1904" t="str">
        <f>IF(E297="yes","",IF(C290="","",IF(H297="","Qty? Enter Zero if N/A  ",IF(H297&lt;&gt;"","Track Feet      ",""))))</f>
        <v/>
      </c>
      <c r="L297" s="1864"/>
      <c r="M297" s="1620" t="str">
        <f>IF($H297=0,"",IF($L297="",TEXT(BN297,0)&amp;" Years?    ",""))</f>
        <v/>
      </c>
      <c r="N297" s="1905"/>
      <c r="O297" s="1620"/>
      <c r="P297" s="1864"/>
      <c r="Q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R297" s="1864"/>
      <c r="S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T297" s="1864"/>
      <c r="U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V297" s="1864"/>
      <c r="W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X297" s="1864"/>
      <c r="Y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Z297" s="1864"/>
      <c r="AA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B297" s="1864"/>
      <c r="AC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D297" s="1864"/>
      <c r="AE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F297" s="1864"/>
      <c r="AG297" s="1865"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H297" s="1864"/>
      <c r="AI297" s="904" t="str">
        <f>IF($N297="","",IF(AND($N297="",OR($H297="",$H297=0)),"",IF(AND($N297="LF",$AJ297&lt;$H297),"0 - "&amp;TEXT(($H297-$AJ297)/1000,"0")&amp;"k lin. ft.?    ",IF(AND($N297="TF",$AJ297&lt;$J297),"0 - "&amp;TEXT(($J297-$AJ297)/1000,"0")&amp;"k track ft.?    ",IF(AND($N297="%",$AJ297&lt;1),REPLACE(IF(AND($P297&gt;0,$V297&gt;0,$T297&gt;0,$X297&gt;0,$R297&gt;0,$Z297&gt;0,$AB297&gt;0,$AD297&gt;0,$AF297&gt;0,$AH297&gt;0),"","0-"),99,0,REPLACE(TEXT(100-$AJ297,0),99,0,"%?    ")),"")))))</f>
        <v/>
      </c>
      <c r="AJ297" s="1833">
        <f>IFERROR(IF(N297="%", SUM(P297,R297,T297,V297,X297,Z297,AB297,AD297,AF297,AH297)/100, SUM(P297,R297,T297,V297,X297,Z297,AB297,AD297,AF297,AH297)/IF(N297="LF", H297,J297)), 0)</f>
        <v>0</v>
      </c>
      <c r="AK297" s="1648"/>
      <c r="AL297" s="1675"/>
      <c r="AM297" s="1399"/>
      <c r="AN297" s="1808"/>
      <c r="AO297" s="1399"/>
      <c r="AP297" s="1653"/>
      <c r="AQ297" s="1399"/>
      <c r="AS297" s="1399"/>
      <c r="AT297" s="1624" t="str">
        <f>IF(AND($C$290="", H297="", J297=""), "N/A", IF(OR(AND(ISNUMBER(H297), ISNUMBER(J297), H297=0, J297=0), AND(AJ297=1, H297&lt;&gt;"", J297&lt;&gt;"", L297&lt;&gt;"", N297&lt;&gt;"", P297&lt;&gt;"", R297&lt;&gt;"", T297&lt;&gt;"", V297&lt;&gt;"", X297&lt;&gt;"", Z297&lt;&gt;"", AB297&lt;&gt;"", AD297&lt;&gt;"", AF297&lt;&gt;"", AH297&lt;&gt;"",AL297&lt;&gt;"", IF(AND(AL297&lt;1, AN297=""), FALSE, TRUE))), "Yes", "No"))</f>
        <v>N/A</v>
      </c>
      <c r="AU297" s="759" t="b">
        <f>IF(AND(H297="",OR(L297&lt;&gt;"",P297&lt;&gt;"",R297&lt;&gt;"",T297&lt;&gt;"",V297&lt;&gt;"",X297&lt;&gt;"",AL297&lt;&gt;"",Z297&lt;&gt;"",AB297&lt;&gt;"",AD297&lt;&gt;"",AF297&lt;&gt;"",AH297&lt;&gt;"")),TRUE,FALSE)</f>
        <v>0</v>
      </c>
      <c r="AV297" s="759" t="b">
        <f>IF(OR(H297="",H297=0),FALSE,IF(H297&gt;BM297,TRUE,FALSE))</f>
        <v>0</v>
      </c>
      <c r="AW297" s="759" t="b">
        <f>IF(AND($C$290&lt;&gt;"",$H297=""),TRUE,FALSE)</f>
        <v>0</v>
      </c>
      <c r="AX297" s="759" t="b">
        <f>IF(E297="yes",FALSE,IF(H297="0",FALSE,IF(AND($C$290&lt;&gt;"",J297=""),TRUE,FALSE)))</f>
        <v>0</v>
      </c>
      <c r="AY297" s="759" t="b">
        <f>IF($L297="",FALSE,IF($L297&lt;$BO297,TRUE,FALSE))</f>
        <v>0</v>
      </c>
      <c r="AZ297" s="759" t="b">
        <f>IF($L297="",FALSE,IF($L297&gt;$BP297,TRUE,FALSE))</f>
        <v>0</v>
      </c>
      <c r="BA297" s="759" t="b">
        <f>IF(H297=0,FALSE,IF(AND(E297&lt;&gt;"",$L297=""),TRUE,FALSE))</f>
        <v>0</v>
      </c>
      <c r="BB297" s="759" t="b">
        <f>IF(AND($AJ297&lt;&gt;0,$H297&lt;&gt;$BJ297,$N297="LF"),TRUE,IF(AND($AJ297&lt;&gt;0,$J297&lt;&gt;$AJ297,$N297="TF"),TRUE,IF(AND($AJ297&lt;&gt;0,$AJ297&lt;&gt;1,$N297="%"),TRUE,FALSE)))</f>
        <v>0</v>
      </c>
      <c r="BC297" s="759" t="b">
        <f>IF(AT297="No", IF(OR(P297="", R297="", T297="", V297="", X297="", Z297="", AB297="", AD297="", AF297="", AH297=""), TRUE, FALSE), FALSE)</f>
        <v>0</v>
      </c>
      <c r="BD297" s="759" t="b">
        <f>IF($BE297=TRUE,FALSE,IF(OR($AL297&lt;0,$AL297&gt;1),TRUE,FALSE))</f>
        <v>0</v>
      </c>
      <c r="BE297" s="759" t="b">
        <f>IF(AND($H297&lt;&gt;0,$AL297=""),TRUE,FALSE)</f>
        <v>0</v>
      </c>
      <c r="BF297" s="759" t="b">
        <f>IF(N297="%",TRUE,FALSE)</f>
        <v>0</v>
      </c>
      <c r="BG297" s="760"/>
      <c r="BH297" s="1678">
        <f>IF($C297="","",VLOOKUP($C297,val_fg_assets,9,FALSE))</f>
        <v>1</v>
      </c>
      <c r="BI297" s="1678" t="str">
        <f>IF(N297="", "", IF(N297="LF", H297, IF(N297="TF", J297, IF(N297="%", 1, ""))))</f>
        <v/>
      </c>
      <c r="BJ297" s="1679">
        <f>P297+R297+T297+V297+X297+Z297+AB297+AD297+AF297+AH297</f>
        <v>0</v>
      </c>
      <c r="BK297" s="1679" t="str">
        <f>IF(BI297="", "", BI297-BJ297)</f>
        <v/>
      </c>
      <c r="BL297" s="1679">
        <f>IF($C297="","",VLOOKUP($C297,val_fg_assets,3,FALSE))</f>
        <v>0</v>
      </c>
      <c r="BM297" s="1679">
        <f>IF($C297="","",VLOOKUP($C297,val_fg_assets,4,FALSE))</f>
        <v>1320000</v>
      </c>
      <c r="BN297" s="1678">
        <f>IF($C297="","",VLOOKUP($C297,val_fg_assets,5,FALSE))</f>
        <v>80</v>
      </c>
      <c r="BO297" s="1678">
        <f>IF($C297="","",VLOOKUP($C297,val_fg_assets,6,FALSE))</f>
        <v>60</v>
      </c>
      <c r="BP297" s="1678">
        <f>IF($C297="","",VLOOKUP($C297,val_fg_assets,7,FALSE))</f>
        <v>100</v>
      </c>
      <c r="BQ297" s="1399"/>
    </row>
    <row r="298" spans="1:69" s="782" customFormat="1" ht="3.95" customHeight="1" x14ac:dyDescent="0.2">
      <c r="A298" s="852"/>
      <c r="B298" s="1790">
        <v>286</v>
      </c>
      <c r="C298" s="851"/>
      <c r="D298" s="1841"/>
      <c r="E298" s="1058"/>
      <c r="F298" s="686"/>
      <c r="G298" s="686"/>
      <c r="H298" s="1906"/>
      <c r="I298" s="1907"/>
      <c r="J298" s="1908"/>
      <c r="K298" s="1907"/>
      <c r="L298" s="1909"/>
      <c r="M298" s="1910"/>
      <c r="N298" s="1911"/>
      <c r="O298" s="1910"/>
      <c r="P298" s="1866"/>
      <c r="Q298" s="1867"/>
      <c r="R298" s="1866"/>
      <c r="S298" s="1867"/>
      <c r="T298" s="1866"/>
      <c r="U298" s="1867"/>
      <c r="V298" s="1866"/>
      <c r="W298" s="1867"/>
      <c r="X298" s="1866"/>
      <c r="Y298" s="1867"/>
      <c r="Z298" s="1867"/>
      <c r="AA298" s="1867"/>
      <c r="AB298" s="1867"/>
      <c r="AC298" s="1867"/>
      <c r="AD298" s="1867"/>
      <c r="AE298" s="1867"/>
      <c r="AF298" s="1867"/>
      <c r="AG298" s="1867"/>
      <c r="AH298" s="1867"/>
      <c r="AI298" s="837"/>
      <c r="AJ298" s="1806"/>
      <c r="AK298" s="841"/>
      <c r="AL298" s="1806"/>
      <c r="AM298" s="1399"/>
      <c r="AN298" s="838"/>
      <c r="AO298" s="1399"/>
      <c r="AP298" s="1399"/>
      <c r="AQ298" s="1399"/>
      <c r="AS298" s="1399"/>
      <c r="AT298" s="1399"/>
      <c r="AU298" s="759"/>
      <c r="AV298" s="759"/>
      <c r="AW298" s="759"/>
      <c r="AX298" s="759"/>
      <c r="AY298" s="759"/>
      <c r="AZ298" s="759"/>
      <c r="BA298" s="759"/>
      <c r="BB298" s="759"/>
      <c r="BC298" s="759"/>
      <c r="BD298" s="759"/>
      <c r="BE298" s="759"/>
      <c r="BF298" s="759"/>
      <c r="BG298" s="760"/>
      <c r="BH298" s="1678"/>
      <c r="BI298" s="1678"/>
      <c r="BJ298" s="1678"/>
      <c r="BK298" s="1678"/>
      <c r="BL298" s="1679"/>
      <c r="BM298" s="1679"/>
      <c r="BN298" s="1678"/>
      <c r="BO298" s="1678"/>
      <c r="BP298" s="1678"/>
      <c r="BQ298" s="1399"/>
    </row>
    <row r="299" spans="1:69" s="782" customFormat="1" ht="3.95" customHeight="1" thickBot="1" x14ac:dyDescent="0.25">
      <c r="A299" s="852"/>
      <c r="B299" s="1791">
        <v>287</v>
      </c>
      <c r="C299" s="1673"/>
      <c r="D299" s="1841"/>
      <c r="E299" s="1057"/>
      <c r="F299" s="764"/>
      <c r="G299" s="764"/>
      <c r="H299" s="1913"/>
      <c r="I299" s="1908"/>
      <c r="J299" s="1908"/>
      <c r="K299" s="1908"/>
      <c r="L299" s="1909"/>
      <c r="M299" s="722"/>
      <c r="N299" s="1912"/>
      <c r="O299" s="722"/>
      <c r="P299" s="1868"/>
      <c r="Q299" s="1869"/>
      <c r="R299" s="1868"/>
      <c r="S299" s="1869"/>
      <c r="T299" s="1868"/>
      <c r="U299" s="1869"/>
      <c r="V299" s="1868"/>
      <c r="W299" s="1869"/>
      <c r="X299" s="1868"/>
      <c r="Y299" s="1869"/>
      <c r="Z299" s="1869"/>
      <c r="AA299" s="1869"/>
      <c r="AB299" s="1869"/>
      <c r="AC299" s="1869"/>
      <c r="AD299" s="1869"/>
      <c r="AE299" s="1869"/>
      <c r="AF299" s="1869"/>
      <c r="AG299" s="1869"/>
      <c r="AH299" s="1869"/>
      <c r="AI299" s="1670"/>
      <c r="AJ299" s="1828"/>
      <c r="AK299" s="724"/>
      <c r="AL299" s="1806"/>
      <c r="AM299" s="1399"/>
      <c r="AN299" s="1258"/>
      <c r="AO299" s="1399"/>
      <c r="AP299" s="1223"/>
      <c r="AQ299" s="1399"/>
      <c r="AS299" s="1399"/>
      <c r="AT299" s="1399"/>
      <c r="AU299" s="759"/>
      <c r="AV299" s="759"/>
      <c r="AW299" s="759"/>
      <c r="AX299" s="759"/>
      <c r="AY299" s="759"/>
      <c r="AZ299" s="759"/>
      <c r="BA299" s="759"/>
      <c r="BB299" s="759"/>
      <c r="BC299" s="759"/>
      <c r="BD299" s="759"/>
      <c r="BE299" s="759"/>
      <c r="BF299" s="759"/>
      <c r="BG299" s="760"/>
      <c r="BH299" s="1678"/>
      <c r="BI299" s="1678"/>
      <c r="BJ299" s="1678"/>
      <c r="BK299" s="1678"/>
      <c r="BL299" s="1679"/>
      <c r="BM299" s="1679"/>
      <c r="BN299" s="1678"/>
      <c r="BO299" s="1678"/>
      <c r="BP299" s="1678"/>
      <c r="BQ299" s="1399"/>
    </row>
    <row r="300" spans="1:69" s="782" customFormat="1" x14ac:dyDescent="0.2">
      <c r="A300" s="852">
        <f>A297+1</f>
        <v>73</v>
      </c>
      <c r="B300" s="1791">
        <v>288</v>
      </c>
      <c r="C300" s="851" t="str">
        <f>Valid!$B$73</f>
        <v>Elevated/Retained Fill</v>
      </c>
      <c r="D300" s="1841"/>
      <c r="E300" s="1245" t="str">
        <f>IF(AT300="N/A","",IF(AT300="N","No","Yes"))</f>
        <v/>
      </c>
      <c r="F300" s="686"/>
      <c r="G300" s="686"/>
      <c r="H300" s="1864"/>
      <c r="I300" s="1904" t="str">
        <f>IF(C290="","",IF(J300&lt;&gt;"","Linear Feet   ","Qty? Enter Zero if N/A  "))</f>
        <v/>
      </c>
      <c r="J300" s="1864"/>
      <c r="K300" s="1904" t="str">
        <f>IF(E300="yes","",IF(C290="","",IF(H300="","Qty? Enter Zero if N/A  ",IF(H300&lt;&gt;"","Track Feet      ",""))))</f>
        <v/>
      </c>
      <c r="L300" s="1864"/>
      <c r="M300" s="1620" t="str">
        <f>IF($H300=0,"",IF($L300="",TEXT(BN300,0)&amp;" Years?    ",""))</f>
        <v/>
      </c>
      <c r="N300" s="1905"/>
      <c r="O300" s="1620"/>
      <c r="P300" s="1864"/>
      <c r="Q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R300" s="1864"/>
      <c r="S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T300" s="1864"/>
      <c r="U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V300" s="1864"/>
      <c r="W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X300" s="1864"/>
      <c r="Y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Z300" s="1864"/>
      <c r="AA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B300" s="1864"/>
      <c r="AC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D300" s="1864"/>
      <c r="AE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F300" s="1864"/>
      <c r="AG300" s="1865"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H300" s="1864"/>
      <c r="AI300" s="904" t="str">
        <f>IF($N300="","",IF(AND($N300="",OR($H300="",$H300=0)),"",IF(AND($N300="LF",$AJ300&lt;$H300),"0 - "&amp;TEXT(($H300-$AJ300)/1000,"0")&amp;"k lin. ft.?    ",IF(AND($N300="TF",$AJ300&lt;$J300),"0 - "&amp;TEXT(($J300-$AJ300)/1000,"0")&amp;"k track ft.?    ",IF(AND($N300="%",$AJ300&lt;1),REPLACE(IF(AND($P300&gt;0,$V300&gt;0,$T300&gt;0,$X300&gt;0,$R300&gt;0,$Z300&gt;0,$AB300&gt;0,$AD300&gt;0,$AF300&gt;0,$AH300&gt;0),"","0-"),99,0,REPLACE(TEXT(100-$AJ300,0),99,0,"%?    ")),"")))))</f>
        <v/>
      </c>
      <c r="AJ300" s="1833">
        <f>IFERROR(IF(N300="%", SUM(P300,R300,T300,V300,X300,Z300,AB300,AD300,AF300,AH300)/100, SUM(P300,R300,T300,V300,X300,Z300,AB300,AD300,AF300,AH300)/IF(N300="LF", H300,J300)), 0)</f>
        <v>0</v>
      </c>
      <c r="AK300" s="1648"/>
      <c r="AL300" s="1675"/>
      <c r="AM300" s="1399"/>
      <c r="AN300" s="1808"/>
      <c r="AO300" s="1399"/>
      <c r="AP300" s="1653"/>
      <c r="AQ300" s="1399"/>
      <c r="AS300" s="1399"/>
      <c r="AT300" s="1624" t="str">
        <f>IF(AND($C$290="", H300="", J300=""), "N/A", IF(OR(AND(ISNUMBER(H300), ISNUMBER(J300), H300=0, J300=0), AND(AJ300=1, H300&lt;&gt;"", J300&lt;&gt;"", L300&lt;&gt;"", N300&lt;&gt;"", P300&lt;&gt;"", R300&lt;&gt;"", T300&lt;&gt;"", V300&lt;&gt;"", X300&lt;&gt;"", Z300&lt;&gt;"", AB300&lt;&gt;"", AD300&lt;&gt;"", AF300&lt;&gt;"", AH300&lt;&gt;"",AL300&lt;&gt;"", IF(AND(AL300&lt;1, AN300=""), FALSE, TRUE))), "Yes", "No"))</f>
        <v>N/A</v>
      </c>
      <c r="AU300" s="759" t="b">
        <f>IF(AND(H300="",OR(L300&lt;&gt;"",P300&lt;&gt;"",R300&lt;&gt;"",T300&lt;&gt;"",V300&lt;&gt;"",X300&lt;&gt;"",AL300&lt;&gt;"",Z300&lt;&gt;"",AB300&lt;&gt;"",AD300&lt;&gt;"",AF300&lt;&gt;"",AH300&lt;&gt;"")),TRUE,FALSE)</f>
        <v>0</v>
      </c>
      <c r="AV300" s="759" t="b">
        <f>IF(OR(H300="",H300=0),FALSE,IF(H300&gt;BM300,TRUE,FALSE))</f>
        <v>0</v>
      </c>
      <c r="AW300" s="759" t="b">
        <f>IF(AND($C$290&lt;&gt;"",$H300=""),TRUE,FALSE)</f>
        <v>0</v>
      </c>
      <c r="AX300" s="759" t="b">
        <f>IF(E300="yes",FALSE,IF(H300="0",FALSE,IF(AND($C$290&lt;&gt;"",J300=""),TRUE,FALSE)))</f>
        <v>0</v>
      </c>
      <c r="AY300" s="759" t="b">
        <f>IF($L300="",FALSE,IF($L300&lt;$BO300,TRUE,FALSE))</f>
        <v>0</v>
      </c>
      <c r="AZ300" s="759" t="b">
        <f>IF($L300="",FALSE,IF($L300&gt;$BP300,TRUE,FALSE))</f>
        <v>0</v>
      </c>
      <c r="BA300" s="759" t="b">
        <f>IF(H300=0,FALSE,IF(AND(E300&lt;&gt;"",$L300=""),TRUE,FALSE))</f>
        <v>0</v>
      </c>
      <c r="BB300" s="759" t="b">
        <f>IF(AND($AJ300&lt;&gt;0,$H300&lt;&gt;$BJ300,$N300="LF"),TRUE,IF(AND($AJ300&lt;&gt;0,$J300&lt;&gt;$AJ300,$N300="TF"),TRUE,IF(AND($AJ300&lt;&gt;0,$AJ300&lt;&gt;1,$N300="%"),TRUE,FALSE)))</f>
        <v>0</v>
      </c>
      <c r="BC300" s="759" t="b">
        <f>IF(AT300="No", IF(OR(P300="", R300="", T300="", V300="", X300="", Z300="", AB300="", AD300="", AF300="", AH300=""), TRUE, FALSE), FALSE)</f>
        <v>0</v>
      </c>
      <c r="BD300" s="759" t="b">
        <f>IF($BE300=TRUE,FALSE,IF(OR($AL300&lt;0,$AL300&gt;1),TRUE,FALSE))</f>
        <v>0</v>
      </c>
      <c r="BE300" s="759" t="b">
        <f>IF(AND($H300&lt;&gt;0,$AL300=""),TRUE,FALSE)</f>
        <v>0</v>
      </c>
      <c r="BF300" s="759" t="b">
        <f>IF(N300="%",TRUE,FALSE)</f>
        <v>0</v>
      </c>
      <c r="BG300" s="760"/>
      <c r="BH300" s="1678">
        <f>IF($C300="","",VLOOKUP($C300,val_fg_assets,9,FALSE))</f>
        <v>1</v>
      </c>
      <c r="BI300" s="1678" t="str">
        <f>IF(N300="", "", IF(N300="LF", H300, IF(N300="TF", J300, IF(N300="%", 1, ""))))</f>
        <v/>
      </c>
      <c r="BJ300" s="1679">
        <f>P300+R300+T300+V300+X300+Z300+AB300+AD300+AF300+AH300</f>
        <v>0</v>
      </c>
      <c r="BK300" s="1679" t="str">
        <f>IF(BI300="", "", BI300-BJ300)</f>
        <v/>
      </c>
      <c r="BL300" s="1679">
        <f>IF($C300="","",VLOOKUP($C300,val_fg_assets,3,FALSE))</f>
        <v>0</v>
      </c>
      <c r="BM300" s="1679">
        <f>IF($C300="","",VLOOKUP($C300,val_fg_assets,4,FALSE))</f>
        <v>1320000</v>
      </c>
      <c r="BN300" s="1678">
        <f>IF($C300="","",VLOOKUP($C300,val_fg_assets,5,FALSE))</f>
        <v>80</v>
      </c>
      <c r="BO300" s="1678">
        <f>IF($C300="","",VLOOKUP($C300,val_fg_assets,6,FALSE))</f>
        <v>60</v>
      </c>
      <c r="BP300" s="1678">
        <f>IF($C300="","",VLOOKUP($C300,val_fg_assets,7,FALSE))</f>
        <v>100</v>
      </c>
      <c r="BQ300" s="1399"/>
    </row>
    <row r="301" spans="1:69" s="782" customFormat="1" ht="3.95" customHeight="1" x14ac:dyDescent="0.2">
      <c r="A301" s="852"/>
      <c r="B301" s="1791">
        <v>289</v>
      </c>
      <c r="C301" s="1673"/>
      <c r="D301" s="1841"/>
      <c r="E301" s="1057"/>
      <c r="F301" s="764"/>
      <c r="G301" s="764"/>
      <c r="H301" s="1909"/>
      <c r="I301" s="1908"/>
      <c r="J301" s="1908"/>
      <c r="K301" s="1908"/>
      <c r="L301" s="1909"/>
      <c r="M301" s="1910"/>
      <c r="N301" s="1911"/>
      <c r="O301" s="1910"/>
      <c r="P301" s="1866"/>
      <c r="Q301" s="1867"/>
      <c r="R301" s="1866"/>
      <c r="S301" s="1867"/>
      <c r="T301" s="1866"/>
      <c r="U301" s="1867"/>
      <c r="V301" s="1866"/>
      <c r="W301" s="1867"/>
      <c r="X301" s="1866"/>
      <c r="Y301" s="1867"/>
      <c r="Z301" s="1867"/>
      <c r="AA301" s="1867"/>
      <c r="AB301" s="1867"/>
      <c r="AC301" s="1867"/>
      <c r="AD301" s="1867"/>
      <c r="AE301" s="1867"/>
      <c r="AF301" s="1867"/>
      <c r="AG301" s="1867"/>
      <c r="AH301" s="1867"/>
      <c r="AI301" s="837"/>
      <c r="AJ301" s="1806"/>
      <c r="AK301" s="841"/>
      <c r="AL301" s="1806"/>
      <c r="AM301" s="1399"/>
      <c r="AN301" s="838"/>
      <c r="AO301" s="1399"/>
      <c r="AP301" s="1399"/>
      <c r="AQ301" s="1399"/>
      <c r="AS301" s="1399"/>
      <c r="AT301" s="1399"/>
      <c r="AU301" s="759"/>
      <c r="AV301" s="759"/>
      <c r="AW301" s="759"/>
      <c r="AX301" s="759"/>
      <c r="AY301" s="759"/>
      <c r="AZ301" s="759"/>
      <c r="BA301" s="759"/>
      <c r="BB301" s="759"/>
      <c r="BC301" s="759"/>
      <c r="BD301" s="759"/>
      <c r="BE301" s="759"/>
      <c r="BF301" s="759"/>
      <c r="BG301" s="760"/>
      <c r="BH301" s="1678"/>
      <c r="BI301" s="1678"/>
      <c r="BJ301" s="1678"/>
      <c r="BK301" s="1678"/>
      <c r="BL301" s="1679"/>
      <c r="BM301" s="1679"/>
      <c r="BN301" s="1678"/>
      <c r="BO301" s="1678"/>
      <c r="BP301" s="1678"/>
      <c r="BQ301" s="1399"/>
    </row>
    <row r="302" spans="1:69" s="782" customFormat="1" ht="3.95" customHeight="1" thickBot="1" x14ac:dyDescent="0.25">
      <c r="A302" s="852"/>
      <c r="B302" s="1790">
        <v>290</v>
      </c>
      <c r="C302" s="851"/>
      <c r="D302" s="1841"/>
      <c r="E302" s="1058"/>
      <c r="F302" s="686"/>
      <c r="G302" s="686"/>
      <c r="H302" s="1913"/>
      <c r="I302" s="1908"/>
      <c r="J302" s="1908"/>
      <c r="K302" s="1908"/>
      <c r="L302" s="1909"/>
      <c r="M302" s="722"/>
      <c r="N302" s="1912"/>
      <c r="O302" s="722"/>
      <c r="P302" s="1868"/>
      <c r="Q302" s="1869"/>
      <c r="R302" s="1868"/>
      <c r="S302" s="1869"/>
      <c r="T302" s="1868"/>
      <c r="U302" s="1869"/>
      <c r="V302" s="1868"/>
      <c r="W302" s="1869"/>
      <c r="X302" s="1868"/>
      <c r="Y302" s="1869"/>
      <c r="Z302" s="1869"/>
      <c r="AA302" s="1869"/>
      <c r="AB302" s="1869"/>
      <c r="AC302" s="1869"/>
      <c r="AD302" s="1869"/>
      <c r="AE302" s="1869"/>
      <c r="AF302" s="1869"/>
      <c r="AG302" s="1869"/>
      <c r="AH302" s="1869"/>
      <c r="AI302" s="1670"/>
      <c r="AJ302" s="1828"/>
      <c r="AK302" s="724"/>
      <c r="AL302" s="1806"/>
      <c r="AM302" s="1399"/>
      <c r="AN302" s="1258"/>
      <c r="AO302" s="1399"/>
      <c r="AP302" s="1399"/>
      <c r="AQ302" s="1399"/>
      <c r="AS302" s="1399"/>
      <c r="AT302" s="1399"/>
      <c r="AU302" s="759"/>
      <c r="AV302" s="759"/>
      <c r="AW302" s="759"/>
      <c r="AX302" s="759"/>
      <c r="AY302" s="759"/>
      <c r="AZ302" s="759"/>
      <c r="BA302" s="759"/>
      <c r="BB302" s="759"/>
      <c r="BC302" s="759"/>
      <c r="BD302" s="759"/>
      <c r="BE302" s="759"/>
      <c r="BF302" s="759"/>
      <c r="BG302" s="760"/>
      <c r="BH302" s="1678"/>
      <c r="BI302" s="1678"/>
      <c r="BJ302" s="1678"/>
      <c r="BK302" s="1678"/>
      <c r="BL302" s="1679"/>
      <c r="BM302" s="1679"/>
      <c r="BN302" s="1678"/>
      <c r="BO302" s="1678"/>
      <c r="BP302" s="1678"/>
      <c r="BQ302" s="1399"/>
    </row>
    <row r="303" spans="1:69" s="782" customFormat="1" x14ac:dyDescent="0.2">
      <c r="A303" s="852">
        <f>A300+1</f>
        <v>74</v>
      </c>
      <c r="B303" s="1790">
        <v>291</v>
      </c>
      <c r="C303" s="851" t="str">
        <f>Valid!$B$74</f>
        <v>Elevated/Concrete</v>
      </c>
      <c r="D303" s="1841"/>
      <c r="E303" s="1245" t="str">
        <f>IF(AT303="N/A","",IF(AT303="N","No","Yes"))</f>
        <v/>
      </c>
      <c r="F303" s="764"/>
      <c r="G303" s="764"/>
      <c r="H303" s="1864"/>
      <c r="I303" s="1904" t="str">
        <f>IF(C290="","",IF(J303&lt;&gt;"","Linear Feet   ","Qty? Enter Zero if N/A  "))</f>
        <v/>
      </c>
      <c r="J303" s="1864"/>
      <c r="K303" s="1904" t="str">
        <f>IF(E303="yes","",IF(C290="","",IF(H303="","Qty? Enter Zero if N/A  ",IF(H303&lt;&gt;"","Track Feet      ",""))))</f>
        <v/>
      </c>
      <c r="L303" s="1864"/>
      <c r="M303" s="1620" t="str">
        <f>IF($H303=0,"",IF($L303="",TEXT(BN303,0)&amp;" Years?    ",""))</f>
        <v/>
      </c>
      <c r="N303" s="1905"/>
      <c r="O303" s="1620"/>
      <c r="P303" s="1864"/>
      <c r="Q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R303" s="1864"/>
      <c r="S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T303" s="1864"/>
      <c r="U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V303" s="1864"/>
      <c r="W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X303" s="1864"/>
      <c r="Y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Z303" s="1864"/>
      <c r="AA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B303" s="1864"/>
      <c r="AC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D303" s="1864"/>
      <c r="AE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F303" s="1864"/>
      <c r="AG303" s="1865"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H303" s="1864"/>
      <c r="AI303" s="904" t="str">
        <f>IF($N303="","",IF(AND($N303="",OR($H303="",$H303=0)),"",IF(AND($N303="LF",$AJ303&lt;$H303),"0 - "&amp;TEXT(($H303-$AJ303)/1000,"0")&amp;"k lin. ft.?    ",IF(AND($N303="TF",$AJ303&lt;$J303),"0 - "&amp;TEXT(($J303-$AJ303)/1000,"0")&amp;"k track ft.?    ",IF(AND($N303="%",$AJ303&lt;1),REPLACE(IF(AND($P303&gt;0,$V303&gt;0,$T303&gt;0,$X303&gt;0,$R303&gt;0,$Z303&gt;0,$AB303&gt;0,$AD303&gt;0,$AF303&gt;0,$AH303&gt;0),"","0-"),99,0,REPLACE(TEXT(100-$AJ303,0),99,0,"%?    ")),"")))))</f>
        <v/>
      </c>
      <c r="AJ303" s="1833">
        <f>IFERROR(IF(N303="%", SUM(P303,R303,T303,V303,X303,Z303,AB303,AD303,AF303,AH303)/100, SUM(P303,R303,T303,V303,X303,Z303,AB303,AD303,AF303,AH303)/IF(N303="LF", H303,J303)), 0)</f>
        <v>0</v>
      </c>
      <c r="AK303" s="1648"/>
      <c r="AL303" s="1675"/>
      <c r="AM303" s="1399"/>
      <c r="AN303" s="1808"/>
      <c r="AO303" s="1399"/>
      <c r="AP303" s="1653"/>
      <c r="AQ303" s="1399"/>
      <c r="AS303" s="1399"/>
      <c r="AT303" s="1624" t="str">
        <f>IF(AND($C$290="", H303="", J303=""), "N/A", IF(OR(AND(ISNUMBER(H303), ISNUMBER(J303), H303=0, J303=0), AND(AJ303=1, H303&lt;&gt;"", J303&lt;&gt;"", L303&lt;&gt;"", N303&lt;&gt;"", P303&lt;&gt;"", R303&lt;&gt;"", T303&lt;&gt;"", V303&lt;&gt;"", X303&lt;&gt;"", Z303&lt;&gt;"", AB303&lt;&gt;"", AD303&lt;&gt;"", AF303&lt;&gt;"", AH303&lt;&gt;"",AL303&lt;&gt;"", IF(AND(AL303&lt;1, AN303=""), FALSE, TRUE))), "Yes", "No"))</f>
        <v>N/A</v>
      </c>
      <c r="AU303" s="759" t="b">
        <f>IF(AND(H303="",OR(L303&lt;&gt;"",P303&lt;&gt;"",R303&lt;&gt;"",T303&lt;&gt;"",V303&lt;&gt;"",X303&lt;&gt;"",AL303&lt;&gt;"",Z303&lt;&gt;"",AB303&lt;&gt;"",AD303&lt;&gt;"",AF303&lt;&gt;"",AH303&lt;&gt;"")),TRUE,FALSE)</f>
        <v>0</v>
      </c>
      <c r="AV303" s="759" t="b">
        <f>IF(OR(H303="",H303=0),FALSE,IF(H303&gt;BM303,TRUE,FALSE))</f>
        <v>0</v>
      </c>
      <c r="AW303" s="759" t="b">
        <f>IF(AND($C$290&lt;&gt;"",$H303=""),TRUE,FALSE)</f>
        <v>0</v>
      </c>
      <c r="AX303" s="759" t="b">
        <f>IF(E303="yes",FALSE,IF(H303="0",FALSE,IF(AND($C$290&lt;&gt;"",J303=""),TRUE,FALSE)))</f>
        <v>0</v>
      </c>
      <c r="AY303" s="759" t="b">
        <f>IF($L303="",FALSE,IF($L303&lt;$BO303,TRUE,FALSE))</f>
        <v>0</v>
      </c>
      <c r="AZ303" s="759" t="b">
        <f>IF($L303="",FALSE,IF($L303&gt;$BP303,TRUE,FALSE))</f>
        <v>0</v>
      </c>
      <c r="BA303" s="759" t="b">
        <f>IF(H303=0,FALSE,IF(AND(E303&lt;&gt;"",$L303=""),TRUE,FALSE))</f>
        <v>0</v>
      </c>
      <c r="BB303" s="759" t="b">
        <f>IF(AND($AJ303&lt;&gt;0,$H303&lt;&gt;$BJ303,$N303="LF"),TRUE,IF(AND($AJ303&lt;&gt;0,$J303&lt;&gt;$AJ303,$N303="TF"),TRUE,IF(AND($AJ303&lt;&gt;0,$AJ303&lt;&gt;1,$N303="%"),TRUE,FALSE)))</f>
        <v>0</v>
      </c>
      <c r="BC303" s="759" t="b">
        <f>IF(AT303="No", IF(OR(P303="", R303="", T303="", V303="", X303="", Z303="", AB303="", AD303="", AF303="", AH303=""), TRUE, FALSE), FALSE)</f>
        <v>0</v>
      </c>
      <c r="BD303" s="759" t="b">
        <f>IF($BE303=TRUE,FALSE,IF(OR($AL303&lt;0,$AL303&gt;1),TRUE,FALSE))</f>
        <v>0</v>
      </c>
      <c r="BE303" s="759" t="b">
        <f>IF(AND($H303&lt;&gt;0,$AL303=""),TRUE,FALSE)</f>
        <v>0</v>
      </c>
      <c r="BF303" s="759" t="b">
        <f>IF(N303="%",TRUE,FALSE)</f>
        <v>0</v>
      </c>
      <c r="BG303" s="760"/>
      <c r="BH303" s="1678">
        <f>IF($C303="","",VLOOKUP($C303,val_fg_assets,9,FALSE))</f>
        <v>1</v>
      </c>
      <c r="BI303" s="1678" t="str">
        <f>IF(N303="", "", IF(N303="LF", H303, IF(N303="TF", J303, IF(N303="%", 1, ""))))</f>
        <v/>
      </c>
      <c r="BJ303" s="1679">
        <f>P303+R303+T303+V303+X303+Z303+AB303+AD303+AF303+AH303</f>
        <v>0</v>
      </c>
      <c r="BK303" s="1679" t="str">
        <f>IF(BI303="", "", BI303-BJ303)</f>
        <v/>
      </c>
      <c r="BL303" s="1679">
        <f>IF($C303="","",VLOOKUP($C303,val_fg_assets,3,FALSE))</f>
        <v>0</v>
      </c>
      <c r="BM303" s="1679">
        <f>IF($C303="","",VLOOKUP($C303,val_fg_assets,4,FALSE))</f>
        <v>1320000</v>
      </c>
      <c r="BN303" s="1678">
        <f>IF($C303="","",VLOOKUP($C303,val_fg_assets,5,FALSE))</f>
        <v>80</v>
      </c>
      <c r="BO303" s="1678">
        <f>IF($C303="","",VLOOKUP($C303,val_fg_assets,6,FALSE))</f>
        <v>60</v>
      </c>
      <c r="BP303" s="1678">
        <f>IF($C303="","",VLOOKUP($C303,val_fg_assets,7,FALSE))</f>
        <v>100</v>
      </c>
      <c r="BQ303" s="1399"/>
    </row>
    <row r="304" spans="1:69" s="782" customFormat="1" ht="3.95" customHeight="1" x14ac:dyDescent="0.2">
      <c r="A304" s="852"/>
      <c r="B304" s="1791">
        <v>292</v>
      </c>
      <c r="C304" s="851"/>
      <c r="D304" s="1841"/>
      <c r="E304" s="1058"/>
      <c r="F304" s="686"/>
      <c r="G304" s="686"/>
      <c r="H304" s="1909"/>
      <c r="I304" s="1907"/>
      <c r="J304" s="1908"/>
      <c r="K304" s="1907"/>
      <c r="L304" s="1909"/>
      <c r="M304" s="1910"/>
      <c r="N304" s="1911"/>
      <c r="O304" s="1910"/>
      <c r="P304" s="1866"/>
      <c r="Q304" s="1867"/>
      <c r="R304" s="1866"/>
      <c r="S304" s="1867"/>
      <c r="T304" s="1866"/>
      <c r="U304" s="1867"/>
      <c r="V304" s="1866"/>
      <c r="W304" s="1867"/>
      <c r="X304" s="1866"/>
      <c r="Y304" s="1867"/>
      <c r="Z304" s="1867"/>
      <c r="AA304" s="1867"/>
      <c r="AB304" s="1867"/>
      <c r="AC304" s="1867"/>
      <c r="AD304" s="1867"/>
      <c r="AE304" s="1867"/>
      <c r="AF304" s="1867"/>
      <c r="AG304" s="1867"/>
      <c r="AH304" s="1867"/>
      <c r="AI304" s="837"/>
      <c r="AJ304" s="1806"/>
      <c r="AK304" s="841"/>
      <c r="AL304" s="1806"/>
      <c r="AM304" s="1399"/>
      <c r="AN304" s="838"/>
      <c r="AO304" s="1399"/>
      <c r="AP304" s="1223"/>
      <c r="AQ304" s="1399"/>
      <c r="AS304" s="1399"/>
      <c r="AT304" s="1399"/>
      <c r="AU304" s="759"/>
      <c r="AV304" s="759"/>
      <c r="AW304" s="759"/>
      <c r="AX304" s="759"/>
      <c r="AY304" s="759"/>
      <c r="AZ304" s="759"/>
      <c r="BA304" s="759"/>
      <c r="BB304" s="759"/>
      <c r="BC304" s="759"/>
      <c r="BD304" s="759"/>
      <c r="BE304" s="759"/>
      <c r="BF304" s="759"/>
      <c r="BG304" s="760"/>
      <c r="BH304" s="1678"/>
      <c r="BI304" s="1678"/>
      <c r="BJ304" s="1678"/>
      <c r="BK304" s="1678"/>
      <c r="BL304" s="1679"/>
      <c r="BM304" s="1679"/>
      <c r="BN304" s="1678"/>
      <c r="BO304" s="1678"/>
      <c r="BP304" s="1678"/>
      <c r="BQ304" s="1399"/>
    </row>
    <row r="305" spans="1:69" s="782" customFormat="1" ht="3.95" customHeight="1" thickBot="1" x14ac:dyDescent="0.25">
      <c r="A305" s="852"/>
      <c r="B305" s="1791">
        <v>293</v>
      </c>
      <c r="C305" s="1673"/>
      <c r="D305" s="1841"/>
      <c r="E305" s="1057"/>
      <c r="F305" s="764"/>
      <c r="G305" s="764"/>
      <c r="H305" s="1913"/>
      <c r="I305" s="1908"/>
      <c r="J305" s="1908"/>
      <c r="K305" s="1908"/>
      <c r="L305" s="1909"/>
      <c r="M305" s="722"/>
      <c r="N305" s="1912"/>
      <c r="O305" s="722"/>
      <c r="P305" s="1868"/>
      <c r="Q305" s="1869"/>
      <c r="R305" s="1868"/>
      <c r="S305" s="1869"/>
      <c r="T305" s="1868"/>
      <c r="U305" s="1869"/>
      <c r="V305" s="1868"/>
      <c r="W305" s="1869"/>
      <c r="X305" s="1868"/>
      <c r="Y305" s="1869"/>
      <c r="Z305" s="1869"/>
      <c r="AA305" s="1869"/>
      <c r="AB305" s="1869"/>
      <c r="AC305" s="1869"/>
      <c r="AD305" s="1869"/>
      <c r="AE305" s="1869"/>
      <c r="AF305" s="1869"/>
      <c r="AG305" s="1869"/>
      <c r="AH305" s="1869"/>
      <c r="AI305" s="1670"/>
      <c r="AJ305" s="1828"/>
      <c r="AK305" s="724"/>
      <c r="AL305" s="1806"/>
      <c r="AM305" s="1399"/>
      <c r="AN305" s="1258"/>
      <c r="AO305" s="1399"/>
      <c r="AP305" s="1399"/>
      <c r="AQ305" s="1399"/>
      <c r="AS305" s="1399"/>
      <c r="AT305" s="1399"/>
      <c r="AU305" s="759"/>
      <c r="AV305" s="759"/>
      <c r="AW305" s="759"/>
      <c r="AX305" s="759"/>
      <c r="AY305" s="759"/>
      <c r="AZ305" s="759"/>
      <c r="BA305" s="759"/>
      <c r="BB305" s="759"/>
      <c r="BC305" s="759"/>
      <c r="BD305" s="759"/>
      <c r="BE305" s="759"/>
      <c r="BF305" s="759"/>
      <c r="BG305" s="760"/>
      <c r="BH305" s="1678"/>
      <c r="BI305" s="1678"/>
      <c r="BJ305" s="1678"/>
      <c r="BK305" s="1678"/>
      <c r="BL305" s="1679"/>
      <c r="BM305" s="1679"/>
      <c r="BN305" s="1678"/>
      <c r="BO305" s="1678"/>
      <c r="BP305" s="1678"/>
      <c r="BQ305" s="1399"/>
    </row>
    <row r="306" spans="1:69" s="782" customFormat="1" x14ac:dyDescent="0.2">
      <c r="A306" s="852">
        <f>A303+1</f>
        <v>75</v>
      </c>
      <c r="B306" s="1791">
        <v>294</v>
      </c>
      <c r="C306" s="851" t="str">
        <f>Valid!$B$75</f>
        <v>Elevated/Steel Viaduct or Bridge</v>
      </c>
      <c r="D306" s="1841"/>
      <c r="E306" s="1245" t="str">
        <f>IF(AT306="N/A","",IF(AT306="N","No","Yes"))</f>
        <v/>
      </c>
      <c r="F306" s="686"/>
      <c r="G306" s="686"/>
      <c r="H306" s="1864"/>
      <c r="I306" s="1904" t="str">
        <f>IF(C290="","",IF(J306&lt;&gt;"","Linear Feet   ","Qty? Enter Zero if N/A  "))</f>
        <v/>
      </c>
      <c r="J306" s="1864"/>
      <c r="K306" s="1904" t="str">
        <f>IF(E306="yes","",IF(C290="","",IF(H306="","Qty? Enter Zero if N/A  ",IF(H306&lt;&gt;"","Track Feet      ",""))))</f>
        <v/>
      </c>
      <c r="L306" s="1864"/>
      <c r="M306" s="1620" t="str">
        <f>IF($H306=0,"",IF($L306="",TEXT(BN306,0)&amp;" Years?    ",""))</f>
        <v/>
      </c>
      <c r="N306" s="1905"/>
      <c r="O306" s="1620"/>
      <c r="P306" s="1864"/>
      <c r="Q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R306" s="1864"/>
      <c r="S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T306" s="1864"/>
      <c r="U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V306" s="1864"/>
      <c r="W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X306" s="1864"/>
      <c r="Y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Z306" s="1864"/>
      <c r="AA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B306" s="1864"/>
      <c r="AC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D306" s="1864"/>
      <c r="AE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F306" s="1864"/>
      <c r="AG306" s="1865"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H306" s="1864"/>
      <c r="AI306" s="904" t="str">
        <f>IF($N306="","",IF(AND($N306="",OR($H306="",$H306=0)),"",IF(AND($N306="LF",$AJ306&lt;$H306),"0 - "&amp;TEXT(($H306-$AJ306)/1000,"0")&amp;"k lin. ft.?    ",IF(AND($N306="TF",$AJ306&lt;$J306),"0 - "&amp;TEXT(($J306-$AJ306)/1000,"0")&amp;"k track ft.?    ",IF(AND($N306="%",$AJ306&lt;1),REPLACE(IF(AND($P306&gt;0,$V306&gt;0,$T306&gt;0,$X306&gt;0,$R306&gt;0,$Z306&gt;0,$AB306&gt;0,$AD306&gt;0,$AF306&gt;0,$AH306&gt;0),"","0-"),99,0,REPLACE(TEXT(100-$AJ306,0),99,0,"%?    ")),"")))))</f>
        <v/>
      </c>
      <c r="AJ306" s="1833">
        <f>IFERROR(IF(N306="%", SUM(P306,R306,T306,V306,X306,Z306,AB306,AD306,AF306,AH306)/100, SUM(P306,R306,T306,V306,X306,Z306,AB306,AD306,AF306,AH306)/IF(N306="LF", H306,J306)), 0)</f>
        <v>0</v>
      </c>
      <c r="AK306" s="1648"/>
      <c r="AL306" s="1675"/>
      <c r="AM306" s="1399"/>
      <c r="AN306" s="1808"/>
      <c r="AO306" s="1399"/>
      <c r="AP306" s="1653"/>
      <c r="AQ306" s="1399"/>
      <c r="AS306" s="1399"/>
      <c r="AT306" s="1624" t="str">
        <f>IF(AND($C$290="", H306="", J306=""), "N/A", IF(OR(AND(ISNUMBER(H306), ISNUMBER(J306), H306=0, J306=0), AND(AJ306=1, H306&lt;&gt;"", J306&lt;&gt;"", L306&lt;&gt;"", N306&lt;&gt;"", P306&lt;&gt;"", R306&lt;&gt;"", T306&lt;&gt;"", V306&lt;&gt;"", X306&lt;&gt;"", Z306&lt;&gt;"", AB306&lt;&gt;"", AD306&lt;&gt;"", AF306&lt;&gt;"", AH306&lt;&gt;"",AL306&lt;&gt;"", IF(AND(AL306&lt;1, AN306=""), FALSE, TRUE))), "Yes", "No"))</f>
        <v>N/A</v>
      </c>
      <c r="AU306" s="759" t="b">
        <f>IF(AND(H306="",OR(L306&lt;&gt;"",P306&lt;&gt;"",R306&lt;&gt;"",T306&lt;&gt;"",V306&lt;&gt;"",X306&lt;&gt;"",AL306&lt;&gt;"",Z306&lt;&gt;"",AB306&lt;&gt;"",AD306&lt;&gt;"",AF306&lt;&gt;"",AH306&lt;&gt;"")),TRUE,FALSE)</f>
        <v>0</v>
      </c>
      <c r="AV306" s="759" t="b">
        <f>IF(OR(H306="",H306=0),FALSE,IF(H306&gt;BM306,TRUE,FALSE))</f>
        <v>0</v>
      </c>
      <c r="AW306" s="759" t="b">
        <f>IF(AND($C$290&lt;&gt;"",$H306=""),TRUE,FALSE)</f>
        <v>0</v>
      </c>
      <c r="AX306" s="759" t="b">
        <f>IF(E306="yes",FALSE,IF(H306="0",FALSE,IF(AND($C$290&lt;&gt;"",J306=""),TRUE,FALSE)))</f>
        <v>0</v>
      </c>
      <c r="AY306" s="759" t="b">
        <f>IF($L306="",FALSE,IF($L306&lt;$BO306,TRUE,FALSE))</f>
        <v>0</v>
      </c>
      <c r="AZ306" s="759" t="b">
        <f>IF($L306="",FALSE,IF($L306&gt;$BP306,TRUE,FALSE))</f>
        <v>0</v>
      </c>
      <c r="BA306" s="759" t="b">
        <f>IF(H306=0,FALSE,IF(AND(E306&lt;&gt;"",$L306=""),TRUE,FALSE))</f>
        <v>0</v>
      </c>
      <c r="BB306" s="759" t="b">
        <f>IF(AND($AJ306&lt;&gt;0,$H306&lt;&gt;$BJ306,$N306="LF"),TRUE,IF(AND($AJ306&lt;&gt;0,$J306&lt;&gt;$AJ306,$N306="TF"),TRUE,IF(AND($AJ306&lt;&gt;0,$AJ306&lt;&gt;1,$N306="%"),TRUE,FALSE)))</f>
        <v>0</v>
      </c>
      <c r="BC306" s="759" t="b">
        <f>IF(AT306="No", IF(OR(P306="", R306="", T306="", V306="", X306="", Z306="", AB306="", AD306="", AF306="", AH306=""), TRUE, FALSE), FALSE)</f>
        <v>0</v>
      </c>
      <c r="BD306" s="759" t="b">
        <f>IF($BE306=TRUE,FALSE,IF(OR($AL306&lt;0,$AL306&gt;1),TRUE,FALSE))</f>
        <v>0</v>
      </c>
      <c r="BE306" s="759" t="b">
        <f>IF(AND($H306&lt;&gt;0,$AL306=""),TRUE,FALSE)</f>
        <v>0</v>
      </c>
      <c r="BF306" s="759" t="b">
        <f>IF(N306="%",TRUE,FALSE)</f>
        <v>0</v>
      </c>
      <c r="BG306" s="760"/>
      <c r="BH306" s="1678">
        <f>IF($C306="","",VLOOKUP($C306,val_fg_assets,9,FALSE))</f>
        <v>1</v>
      </c>
      <c r="BI306" s="1678" t="str">
        <f>IF(N306="", "", IF(N306="LF", H306, IF(N306="TF", J306, IF(N306="%", 1, ""))))</f>
        <v/>
      </c>
      <c r="BJ306" s="1679">
        <f>P306+R306+T306+V306+X306+Z306+AB306+AD306+AF306+AH306</f>
        <v>0</v>
      </c>
      <c r="BK306" s="1679" t="str">
        <f>IF(BI306="", "", BI306-BJ306)</f>
        <v/>
      </c>
      <c r="BL306" s="1679">
        <f>IF($C306="","",VLOOKUP($C306,val_fg_assets,3,FALSE))</f>
        <v>0</v>
      </c>
      <c r="BM306" s="1679">
        <f>IF($C306="","",VLOOKUP($C306,val_fg_assets,4,FALSE))</f>
        <v>1320000</v>
      </c>
      <c r="BN306" s="1678">
        <f>IF($C306="","",VLOOKUP($C306,val_fg_assets,5,FALSE))</f>
        <v>80</v>
      </c>
      <c r="BO306" s="1678">
        <f>IF($C306="","",VLOOKUP($C306,val_fg_assets,6,FALSE))</f>
        <v>60</v>
      </c>
      <c r="BP306" s="1678">
        <f>IF($C306="","",VLOOKUP($C306,val_fg_assets,7,FALSE))</f>
        <v>100</v>
      </c>
      <c r="BQ306" s="1399"/>
    </row>
    <row r="307" spans="1:69" s="782" customFormat="1" ht="3.95" customHeight="1" x14ac:dyDescent="0.2">
      <c r="A307" s="852"/>
      <c r="B307" s="1790">
        <v>295</v>
      </c>
      <c r="C307" s="1673"/>
      <c r="D307" s="1841"/>
      <c r="E307" s="1057"/>
      <c r="F307" s="764"/>
      <c r="G307" s="686">
        <v>7</v>
      </c>
      <c r="H307" s="1906"/>
      <c r="I307" s="1907"/>
      <c r="J307" s="1908"/>
      <c r="K307" s="1907"/>
      <c r="L307" s="1909"/>
      <c r="M307" s="1910"/>
      <c r="N307" s="1911"/>
      <c r="O307" s="1910"/>
      <c r="P307" s="1866"/>
      <c r="Q307" s="1867"/>
      <c r="R307" s="1866"/>
      <c r="S307" s="1867"/>
      <c r="T307" s="1866"/>
      <c r="U307" s="1867"/>
      <c r="V307" s="1866"/>
      <c r="W307" s="1867"/>
      <c r="X307" s="1866"/>
      <c r="Y307" s="1867"/>
      <c r="Z307" s="1867"/>
      <c r="AA307" s="1867"/>
      <c r="AB307" s="1867"/>
      <c r="AC307" s="1867"/>
      <c r="AD307" s="1867"/>
      <c r="AE307" s="1867"/>
      <c r="AF307" s="1867"/>
      <c r="AG307" s="1867"/>
      <c r="AH307" s="1867"/>
      <c r="AI307" s="837"/>
      <c r="AJ307" s="1806"/>
      <c r="AK307" s="841"/>
      <c r="AL307" s="1806"/>
      <c r="AM307" s="1399"/>
      <c r="AN307" s="838"/>
      <c r="AO307" s="1399"/>
      <c r="AP307" s="1399"/>
      <c r="AQ307" s="1399"/>
      <c r="AS307" s="1399"/>
      <c r="AT307" s="1399"/>
      <c r="AU307" s="759"/>
      <c r="AV307" s="759"/>
      <c r="AW307" s="759"/>
      <c r="AX307" s="759"/>
      <c r="AY307" s="759"/>
      <c r="AZ307" s="759"/>
      <c r="BA307" s="759"/>
      <c r="BB307" s="759"/>
      <c r="BC307" s="759"/>
      <c r="BD307" s="759"/>
      <c r="BE307" s="759"/>
      <c r="BF307" s="759"/>
      <c r="BG307" s="760"/>
      <c r="BH307" s="1678"/>
      <c r="BI307" s="1678"/>
      <c r="BJ307" s="1678"/>
      <c r="BK307" s="1678"/>
      <c r="BL307" s="1679"/>
      <c r="BM307" s="1679"/>
      <c r="BN307" s="1678"/>
      <c r="BO307" s="1678"/>
      <c r="BP307" s="1678"/>
      <c r="BQ307" s="1399"/>
    </row>
    <row r="308" spans="1:69" s="782" customFormat="1" ht="3.95" customHeight="1" thickBot="1" x14ac:dyDescent="0.25">
      <c r="A308" s="852"/>
      <c r="B308" s="1790">
        <v>296</v>
      </c>
      <c r="C308" s="1673"/>
      <c r="D308" s="1841"/>
      <c r="E308" s="1057"/>
      <c r="F308" s="764"/>
      <c r="G308" s="764">
        <v>8</v>
      </c>
      <c r="H308" s="1906"/>
      <c r="I308" s="1907"/>
      <c r="J308" s="1908"/>
      <c r="K308" s="1907"/>
      <c r="L308" s="1909"/>
      <c r="M308" s="722"/>
      <c r="N308" s="1912"/>
      <c r="O308" s="722"/>
      <c r="P308" s="1868"/>
      <c r="Q308" s="1869"/>
      <c r="R308" s="1868"/>
      <c r="S308" s="1869"/>
      <c r="T308" s="1868"/>
      <c r="U308" s="1869"/>
      <c r="V308" s="1868"/>
      <c r="W308" s="1869"/>
      <c r="X308" s="1868"/>
      <c r="Y308" s="1869"/>
      <c r="Z308" s="1869"/>
      <c r="AA308" s="1869"/>
      <c r="AB308" s="1869"/>
      <c r="AC308" s="1869"/>
      <c r="AD308" s="1869"/>
      <c r="AE308" s="1869"/>
      <c r="AF308" s="1869"/>
      <c r="AG308" s="1869"/>
      <c r="AH308" s="1869"/>
      <c r="AI308" s="1670"/>
      <c r="AJ308" s="1828"/>
      <c r="AK308" s="724"/>
      <c r="AL308" s="1806"/>
      <c r="AM308" s="1399"/>
      <c r="AN308" s="1258"/>
      <c r="AO308" s="1399"/>
      <c r="AP308" s="1223"/>
      <c r="AQ308" s="1399"/>
      <c r="AS308" s="1399"/>
      <c r="AT308" s="1399"/>
      <c r="AU308" s="759"/>
      <c r="AV308" s="759"/>
      <c r="AW308" s="759"/>
      <c r="AX308" s="759"/>
      <c r="AY308" s="759"/>
      <c r="AZ308" s="759"/>
      <c r="BA308" s="759"/>
      <c r="BB308" s="759"/>
      <c r="BC308" s="759"/>
      <c r="BD308" s="759"/>
      <c r="BE308" s="759"/>
      <c r="BF308" s="759"/>
      <c r="BG308" s="760"/>
      <c r="BH308" s="1678"/>
      <c r="BI308" s="1678"/>
      <c r="BJ308" s="1678"/>
      <c r="BK308" s="1678"/>
      <c r="BL308" s="1679"/>
      <c r="BM308" s="1679"/>
      <c r="BN308" s="1678"/>
      <c r="BO308" s="1678"/>
      <c r="BP308" s="1678"/>
      <c r="BQ308" s="1399"/>
    </row>
    <row r="309" spans="1:69" s="782" customFormat="1" x14ac:dyDescent="0.2">
      <c r="A309" s="852">
        <f>A306+1</f>
        <v>76</v>
      </c>
      <c r="B309" s="1791">
        <v>297</v>
      </c>
      <c r="C309" s="851" t="str">
        <f>Valid!$B$76</f>
        <v>Below-Grade/Retained Cut</v>
      </c>
      <c r="D309" s="1841"/>
      <c r="E309" s="1245" t="str">
        <f>IF(AT309="N/A","",IF(AT309="N","No","Yes"))</f>
        <v/>
      </c>
      <c r="F309" s="686"/>
      <c r="G309" s="686"/>
      <c r="H309" s="1864"/>
      <c r="I309" s="1904" t="str">
        <f>IF(C290="","",IF(J309&lt;&gt;"","Linear Feet   ","Qty? Enter Zero if N/A  "))</f>
        <v/>
      </c>
      <c r="J309" s="1864"/>
      <c r="K309" s="1904" t="str">
        <f>IF(E309="yes","",IF(C290="","",IF(H309="","Qty? Enter Zero if N/A  ",IF(H309&lt;&gt;"","Track Feet      ",""))))</f>
        <v/>
      </c>
      <c r="L309" s="1864"/>
      <c r="M309" s="1620" t="str">
        <f>IF($H309=0,"",IF($L309="",TEXT(BN309,0)&amp;" Years?    ",""))</f>
        <v/>
      </c>
      <c r="N309" s="1905"/>
      <c r="O309" s="1620"/>
      <c r="P309" s="1864"/>
      <c r="Q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R309" s="1864"/>
      <c r="S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T309" s="1864"/>
      <c r="U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V309" s="1864"/>
      <c r="W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X309" s="1864"/>
      <c r="Y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Z309" s="1864"/>
      <c r="AA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B309" s="1864"/>
      <c r="AC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D309" s="1864"/>
      <c r="AE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F309" s="1864"/>
      <c r="AG309" s="1865"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H309" s="1864"/>
      <c r="AI309" s="904" t="str">
        <f>IF($N309="","",IF(AND($N309="",OR($H309="",$H309=0)),"",IF(AND($N309="LF",$AJ309&lt;$H309),"0 - "&amp;TEXT(($H309-$AJ309)/1000,"0")&amp;"k lin. ft.?    ",IF(AND($N309="TF",$AJ309&lt;$J309),"0 - "&amp;TEXT(($J309-$AJ309)/1000,"0")&amp;"k track ft.?    ",IF(AND($N309="%",$AJ309&lt;1),REPLACE(IF(AND($P309&gt;0,$V309&gt;0,$T309&gt;0,$X309&gt;0,$R309&gt;0,$Z309&gt;0,$AB309&gt;0,$AD309&gt;0,$AF309&gt;0,$AH309&gt;0),"","0-"),99,0,REPLACE(TEXT(100-$AJ309,0),99,0,"%?    ")),"")))))</f>
        <v/>
      </c>
      <c r="AJ309" s="1833">
        <f>IFERROR(IF(N309="%", SUM(P309,R309,T309,V309,X309,Z309,AB309,AD309,AF309,AH309)/100, SUM(P309,R309,T309,V309,X309,Z309,AB309,AD309,AF309,AH309)/IF(N309="LF", H309,J309)), 0)</f>
        <v>0</v>
      </c>
      <c r="AK309" s="1648"/>
      <c r="AL309" s="1675"/>
      <c r="AM309" s="1399"/>
      <c r="AN309" s="1808"/>
      <c r="AO309" s="1399"/>
      <c r="AP309" s="1653"/>
      <c r="AQ309" s="1399"/>
      <c r="AS309" s="1399"/>
      <c r="AT309" s="1624" t="str">
        <f>IF(AND($C$290="", H309="", J309=""), "N/A", IF(OR(AND(ISNUMBER(H309), ISNUMBER(J309), H309=0, J309=0), AND(AJ309=1, H309&lt;&gt;"", J309&lt;&gt;"", L309&lt;&gt;"", N309&lt;&gt;"", P309&lt;&gt;"", R309&lt;&gt;"", T309&lt;&gt;"", V309&lt;&gt;"", X309&lt;&gt;"", Z309&lt;&gt;"", AB309&lt;&gt;"", AD309&lt;&gt;"", AF309&lt;&gt;"", AH309&lt;&gt;"",AL309&lt;&gt;"", IF(AND(AL309&lt;1, AN309=""), FALSE, TRUE))), "Yes", "No"))</f>
        <v>N/A</v>
      </c>
      <c r="AU309" s="759" t="b">
        <f>IF(AND(H309="",OR(L309&lt;&gt;"",P309&lt;&gt;"",R309&lt;&gt;"",T309&lt;&gt;"",V309&lt;&gt;"",X309&lt;&gt;"",AL309&lt;&gt;"",Z309&lt;&gt;"",AB309&lt;&gt;"",AD309&lt;&gt;"",AF309&lt;&gt;"",AH309&lt;&gt;"")),TRUE,FALSE)</f>
        <v>0</v>
      </c>
      <c r="AV309" s="759" t="b">
        <f>IF(OR(H309="",H309=0),FALSE,IF(H309&gt;BM309,TRUE,FALSE))</f>
        <v>0</v>
      </c>
      <c r="AW309" s="759" t="b">
        <f>IF(AND($C$290&lt;&gt;"",$H309=""),TRUE,FALSE)</f>
        <v>0</v>
      </c>
      <c r="AX309" s="759" t="b">
        <f>IF(E309="yes",FALSE,IF(H309="0",FALSE,IF(AND($C$290&lt;&gt;"",J309=""),TRUE,FALSE)))</f>
        <v>0</v>
      </c>
      <c r="AY309" s="759" t="b">
        <f>IF($L309="",FALSE,IF($L309&lt;$BO309,TRUE,FALSE))</f>
        <v>0</v>
      </c>
      <c r="AZ309" s="759" t="b">
        <f>IF($L309="",FALSE,IF($L309&gt;$BP309,TRUE,FALSE))</f>
        <v>0</v>
      </c>
      <c r="BA309" s="759" t="b">
        <f>IF(H309=0,FALSE,IF(AND(E309&lt;&gt;"",$L309=""),TRUE,FALSE))</f>
        <v>0</v>
      </c>
      <c r="BB309" s="759" t="b">
        <f>IF(AND($AJ309&lt;&gt;0,$H309&lt;&gt;$BJ309,$N309="LF"),TRUE,IF(AND($AJ309&lt;&gt;0,$J309&lt;&gt;$AJ309,$N309="TF"),TRUE,IF(AND($AJ309&lt;&gt;0,$AJ309&lt;&gt;1,$N309="%"),TRUE,FALSE)))</f>
        <v>0</v>
      </c>
      <c r="BC309" s="759" t="b">
        <f>IF(AT309="No", IF(OR(P309="", R309="", T309="", V309="", X309="", Z309="", AB309="", AD309="", AF309="", AH309=""), TRUE, FALSE), FALSE)</f>
        <v>0</v>
      </c>
      <c r="BD309" s="759" t="b">
        <f>IF($BE309=TRUE,FALSE,IF(OR($AL309&lt;0,$AL309&gt;1),TRUE,FALSE))</f>
        <v>0</v>
      </c>
      <c r="BE309" s="759" t="b">
        <f>IF(AND($H309&lt;&gt;0,$AL309=""),TRUE,FALSE)</f>
        <v>0</v>
      </c>
      <c r="BF309" s="759" t="b">
        <f>IF(N309="%",TRUE,FALSE)</f>
        <v>0</v>
      </c>
      <c r="BG309" s="760"/>
      <c r="BH309" s="1678">
        <f>IF($C309="","",VLOOKUP($C309,val_fg_assets,9,FALSE))</f>
        <v>1</v>
      </c>
      <c r="BI309" s="1678" t="str">
        <f>IF(N309="", "", IF(N309="LF", H309, IF(N309="TF", J309, IF(N309="%", 1, ""))))</f>
        <v/>
      </c>
      <c r="BJ309" s="1679">
        <f>P309+R309+T309+V309+X309+Z309+AB309+AD309+AF309+AH309</f>
        <v>0</v>
      </c>
      <c r="BK309" s="1679" t="str">
        <f>IF(BI309="", "", BI309-BJ309)</f>
        <v/>
      </c>
      <c r="BL309" s="1679">
        <f>IF($C309="","",VLOOKUP($C309,val_fg_assets,3,FALSE))</f>
        <v>0</v>
      </c>
      <c r="BM309" s="1679">
        <f>IF($C309="","",VLOOKUP($C309,val_fg_assets,4,FALSE))</f>
        <v>1320000</v>
      </c>
      <c r="BN309" s="1678">
        <f>IF($C309="","",VLOOKUP($C309,val_fg_assets,5,FALSE))</f>
        <v>80</v>
      </c>
      <c r="BO309" s="1678">
        <f>IF($C309="","",VLOOKUP($C309,val_fg_assets,6,FALSE))</f>
        <v>60</v>
      </c>
      <c r="BP309" s="1678">
        <f>IF($C309="","",VLOOKUP($C309,val_fg_assets,7,FALSE))</f>
        <v>100</v>
      </c>
      <c r="BQ309" s="1399"/>
    </row>
    <row r="310" spans="1:69" s="782" customFormat="1" ht="3.95" customHeight="1" x14ac:dyDescent="0.2">
      <c r="A310" s="852"/>
      <c r="B310" s="1791">
        <v>298</v>
      </c>
      <c r="C310" s="851"/>
      <c r="D310" s="1841"/>
      <c r="E310" s="1059"/>
      <c r="F310" s="686"/>
      <c r="G310" s="686"/>
      <c r="H310" s="1913"/>
      <c r="I310" s="1908"/>
      <c r="J310" s="1908"/>
      <c r="K310" s="1908"/>
      <c r="L310" s="1909"/>
      <c r="M310" s="722"/>
      <c r="N310" s="1912"/>
      <c r="O310" s="722"/>
      <c r="P310" s="1866"/>
      <c r="Q310" s="1867"/>
      <c r="R310" s="1866"/>
      <c r="S310" s="1867"/>
      <c r="T310" s="1866"/>
      <c r="U310" s="1867"/>
      <c r="V310" s="1866"/>
      <c r="W310" s="1867"/>
      <c r="X310" s="1866"/>
      <c r="Y310" s="1867"/>
      <c r="Z310" s="1867"/>
      <c r="AA310" s="1867"/>
      <c r="AB310" s="1867"/>
      <c r="AC310" s="1867"/>
      <c r="AD310" s="1867"/>
      <c r="AE310" s="1867"/>
      <c r="AF310" s="1867"/>
      <c r="AG310" s="1867"/>
      <c r="AH310" s="1867"/>
      <c r="AI310" s="837"/>
      <c r="AJ310" s="1828"/>
      <c r="AK310" s="724"/>
      <c r="AL310" s="1806"/>
      <c r="AM310" s="1399"/>
      <c r="AN310" s="1258"/>
      <c r="AO310" s="1399"/>
      <c r="AP310" s="1399"/>
      <c r="AQ310" s="1399"/>
      <c r="AS310" s="1399"/>
      <c r="AT310" s="1399"/>
      <c r="AU310" s="759"/>
      <c r="AV310" s="759"/>
      <c r="AW310" s="759"/>
      <c r="AX310" s="759"/>
      <c r="AY310" s="759"/>
      <c r="AZ310" s="759"/>
      <c r="BA310" s="759"/>
      <c r="BB310" s="759"/>
      <c r="BC310" s="759"/>
      <c r="BD310" s="759"/>
      <c r="BE310" s="759"/>
      <c r="BF310" s="759"/>
      <c r="BG310" s="760"/>
      <c r="BH310" s="1678"/>
      <c r="BI310" s="1678"/>
      <c r="BJ310" s="1678"/>
      <c r="BK310" s="1678"/>
      <c r="BL310" s="1679"/>
      <c r="BM310" s="1679"/>
      <c r="BN310" s="1678"/>
      <c r="BO310" s="1678"/>
      <c r="BP310" s="1678"/>
      <c r="BQ310" s="1399"/>
    </row>
    <row r="311" spans="1:69" s="782" customFormat="1" ht="3.95" customHeight="1" thickBot="1" x14ac:dyDescent="0.25">
      <c r="A311" s="852"/>
      <c r="B311" s="1791">
        <v>299</v>
      </c>
      <c r="C311" s="851"/>
      <c r="D311" s="1841"/>
      <c r="E311" s="1059"/>
      <c r="F311" s="686"/>
      <c r="G311" s="686"/>
      <c r="H311" s="1913"/>
      <c r="I311" s="1908"/>
      <c r="J311" s="1908"/>
      <c r="K311" s="1908"/>
      <c r="L311" s="1909"/>
      <c r="M311" s="722"/>
      <c r="N311" s="1912"/>
      <c r="O311" s="722"/>
      <c r="P311" s="1868"/>
      <c r="Q311" s="1869"/>
      <c r="R311" s="1868"/>
      <c r="S311" s="1869"/>
      <c r="T311" s="1868"/>
      <c r="U311" s="1869"/>
      <c r="V311" s="1868"/>
      <c r="W311" s="1869"/>
      <c r="X311" s="1868"/>
      <c r="Y311" s="1869"/>
      <c r="Z311" s="1869"/>
      <c r="AA311" s="1869"/>
      <c r="AB311" s="1869"/>
      <c r="AC311" s="1869"/>
      <c r="AD311" s="1869"/>
      <c r="AE311" s="1869"/>
      <c r="AF311" s="1869"/>
      <c r="AG311" s="1869"/>
      <c r="AH311" s="1869"/>
      <c r="AI311" s="1670"/>
      <c r="AJ311" s="1828"/>
      <c r="AK311" s="724"/>
      <c r="AL311" s="1806"/>
      <c r="AM311" s="1399"/>
      <c r="AN311" s="1258"/>
      <c r="AO311" s="1399"/>
      <c r="AP311" s="1399"/>
      <c r="AQ311" s="1399"/>
      <c r="AS311" s="1399"/>
      <c r="AT311" s="1399"/>
      <c r="AU311" s="759"/>
      <c r="AV311" s="759"/>
      <c r="AW311" s="759"/>
      <c r="AX311" s="759"/>
      <c r="AY311" s="759"/>
      <c r="AZ311" s="759"/>
      <c r="BA311" s="759"/>
      <c r="BB311" s="759"/>
      <c r="BC311" s="759"/>
      <c r="BD311" s="759"/>
      <c r="BE311" s="759"/>
      <c r="BF311" s="759"/>
      <c r="BG311" s="760"/>
      <c r="BH311" s="1678"/>
      <c r="BI311" s="1678"/>
      <c r="BJ311" s="1678"/>
      <c r="BK311" s="1678"/>
      <c r="BL311" s="1679"/>
      <c r="BM311" s="1679"/>
      <c r="BN311" s="1678"/>
      <c r="BO311" s="1678"/>
      <c r="BP311" s="1678"/>
      <c r="BQ311" s="1399"/>
    </row>
    <row r="312" spans="1:69" s="782" customFormat="1" x14ac:dyDescent="0.2">
      <c r="A312" s="852">
        <f>A309+1</f>
        <v>77</v>
      </c>
      <c r="B312" s="1790">
        <v>300</v>
      </c>
      <c r="C312" s="851" t="str">
        <f>Valid!$B$77</f>
        <v>Below-Grade/Cut-and-Cover Tunnel</v>
      </c>
      <c r="D312" s="1841"/>
      <c r="E312" s="1245" t="str">
        <f>IF(AT312="N/A","",IF(AT312="N","No","Yes"))</f>
        <v/>
      </c>
      <c r="F312" s="686"/>
      <c r="G312" s="686"/>
      <c r="H312" s="1864"/>
      <c r="I312" s="1904" t="str">
        <f>IF(C290="","",IF(J312&lt;&gt;"","Linear Feet   ","Qty? Enter Zero if N/A  "))</f>
        <v/>
      </c>
      <c r="J312" s="1864"/>
      <c r="K312" s="1904" t="str">
        <f>IF(E312="yes","",IF(C290="","",IF(H312="","Qty? Enter Zero if N/A  ",IF(H312&lt;&gt;"","Track Feet      ",""))))</f>
        <v/>
      </c>
      <c r="L312" s="1864"/>
      <c r="M312" s="1620" t="str">
        <f>IF($H312=0,"",IF($L312="",TEXT(BN312,0)&amp;" Years?    ",""))</f>
        <v/>
      </c>
      <c r="N312" s="1905"/>
      <c r="O312" s="1620"/>
      <c r="P312" s="1864"/>
      <c r="Q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R312" s="1864"/>
      <c r="S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T312" s="1864"/>
      <c r="U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V312" s="1864"/>
      <c r="W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X312" s="1864"/>
      <c r="Y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Z312" s="1864"/>
      <c r="AA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B312" s="1864"/>
      <c r="AC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D312" s="1864"/>
      <c r="AE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F312" s="1864"/>
      <c r="AG312" s="1865"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H312" s="1864"/>
      <c r="AI312" s="904" t="str">
        <f>IF($N312="","",IF(AND($N312="",OR($H312="",$H312=0)),"",IF(AND($N312="LF",$AJ312&lt;$H312),"0 - "&amp;TEXT(($H312-$AJ312)/1000,"0")&amp;"k lin. ft.?    ",IF(AND($N312="TF",$AJ312&lt;$J312),"0 - "&amp;TEXT(($J312-$AJ312)/1000,"0")&amp;"k track ft.?    ",IF(AND($N312="%",$AJ312&lt;1),REPLACE(IF(AND($P312&gt;0,$V312&gt;0,$T312&gt;0,$X312&gt;0,$R312&gt;0,$Z312&gt;0,$AB312&gt;0,$AD312&gt;0,$AF312&gt;0,$AH312&gt;0),"","0-"),99,0,REPLACE(TEXT(100-$AJ312,0),99,0,"%?    ")),"")))))</f>
        <v/>
      </c>
      <c r="AJ312" s="1833">
        <f>IFERROR(IF(N312="%", SUM(P312,R312,T312,V312,X312,Z312,AB312,AD312,AF312,AH312)/100, SUM(P312,R312,T312,V312,X312,Z312,AB312,AD312,AF312,AH312)/IF(N312="LF", H312,J312)), 0)</f>
        <v>0</v>
      </c>
      <c r="AK312" s="1648"/>
      <c r="AL312" s="1675"/>
      <c r="AM312" s="1399"/>
      <c r="AN312" s="1671"/>
      <c r="AO312" s="1399"/>
      <c r="AP312" s="1653"/>
      <c r="AQ312" s="1399"/>
      <c r="AS312" s="1399"/>
      <c r="AT312" s="1624" t="str">
        <f>IF(AND($C$290="", H312="", J312=""), "N/A", IF(OR(AND(ISNUMBER(H312), ISNUMBER(J312), H312=0, J312=0), AND(AJ312=1, H312&lt;&gt;"", J312&lt;&gt;"", L312&lt;&gt;"", N312&lt;&gt;"", P312&lt;&gt;"", R312&lt;&gt;"", T312&lt;&gt;"", V312&lt;&gt;"", X312&lt;&gt;"", Z312&lt;&gt;"", AB312&lt;&gt;"", AD312&lt;&gt;"", AF312&lt;&gt;"", AH312&lt;&gt;"",AL312&lt;&gt;"", IF(AND(AL312&lt;1, AN312=""), FALSE, TRUE))), "Yes", "No"))</f>
        <v>N/A</v>
      </c>
      <c r="AU312" s="759" t="b">
        <f>IF(AND(H312="",OR(L312&lt;&gt;"",P312&lt;&gt;"",R312&lt;&gt;"",T312&lt;&gt;"",V312&lt;&gt;"",X312&lt;&gt;"",AL312&lt;&gt;"",Z312&lt;&gt;"",AB312&lt;&gt;"",AD312&lt;&gt;"",AF312&lt;&gt;"",AH312&lt;&gt;"")),TRUE,FALSE)</f>
        <v>0</v>
      </c>
      <c r="AV312" s="759" t="b">
        <f>IF(OR(H312="",H312=0),FALSE,IF(H312&gt;BM312,TRUE,FALSE))</f>
        <v>0</v>
      </c>
      <c r="AW312" s="759" t="b">
        <f>IF(AND($C$290&lt;&gt;"",$H312=""),TRUE,FALSE)</f>
        <v>0</v>
      </c>
      <c r="AX312" s="759" t="b">
        <f>IF(E312="yes",FALSE,IF(H312="0",FALSE,IF(AND($C$290&lt;&gt;"",J312=""),TRUE,FALSE)))</f>
        <v>0</v>
      </c>
      <c r="AY312" s="759" t="b">
        <f>IF($L312="",FALSE,IF($L312&lt;$BO312,TRUE,FALSE))</f>
        <v>0</v>
      </c>
      <c r="AZ312" s="759" t="b">
        <f>IF($L312="",FALSE,IF($L312&gt;$BP312,TRUE,FALSE))</f>
        <v>0</v>
      </c>
      <c r="BA312" s="759" t="b">
        <f>IF(H312=0,FALSE,IF(AND(E312&lt;&gt;"",$L312=""),TRUE,FALSE))</f>
        <v>0</v>
      </c>
      <c r="BB312" s="759" t="b">
        <f>IF(AND($AJ312&lt;&gt;0,$H312&lt;&gt;$BJ312,$N312="LF"),TRUE,IF(AND($AJ312&lt;&gt;0,$J312&lt;&gt;$AJ312,$N312="TF"),TRUE,IF(AND($AJ312&lt;&gt;0,$AJ312&lt;&gt;1,$N312="%"),TRUE,FALSE)))</f>
        <v>0</v>
      </c>
      <c r="BC312" s="759" t="b">
        <f>IF(AT312="No", IF(OR(P312="", R312="", T312="", V312="", X312="", Z312="", AB312="", AD312="", AF312="", AH312=""), TRUE, FALSE), FALSE)</f>
        <v>0</v>
      </c>
      <c r="BD312" s="759" t="b">
        <f>IF($BE312=TRUE,FALSE,IF(OR($AL312&lt;0,$AL312&gt;1),TRUE,FALSE))</f>
        <v>0</v>
      </c>
      <c r="BE312" s="759" t="b">
        <f>IF(AND($H312&lt;&gt;0,$AL312=""),TRUE,FALSE)</f>
        <v>0</v>
      </c>
      <c r="BF312" s="759" t="b">
        <f>IF(N312="%",TRUE,FALSE)</f>
        <v>0</v>
      </c>
      <c r="BG312" s="760"/>
      <c r="BH312" s="1678">
        <f>IF($C312="","",VLOOKUP($C312,val_fg_assets,9,FALSE))</f>
        <v>1</v>
      </c>
      <c r="BI312" s="1678" t="str">
        <f>IF(N312="", "", IF(N312="LF", H312, IF(N312="TF", J312, IF(N312="%", 1, ""))))</f>
        <v/>
      </c>
      <c r="BJ312" s="1679">
        <f>P312+R312+T312+V312+X312+Z312+AB312+AD312+AF312+AH312</f>
        <v>0</v>
      </c>
      <c r="BK312" s="1679" t="str">
        <f>IF(BI312="", "", BI312-BJ312)</f>
        <v/>
      </c>
      <c r="BL312" s="1679">
        <f>IF($C312="","",VLOOKUP($C312,val_fg_assets,3,FALSE))</f>
        <v>0</v>
      </c>
      <c r="BM312" s="1679">
        <f>IF($C312="","",VLOOKUP($C312,val_fg_assets,4,FALSE))</f>
        <v>1320000</v>
      </c>
      <c r="BN312" s="1678">
        <f>IF($C312="","",VLOOKUP($C312,val_fg_assets,5,FALSE))</f>
        <v>80</v>
      </c>
      <c r="BO312" s="1678">
        <f>IF($C312="","",VLOOKUP($C312,val_fg_assets,6,FALSE))</f>
        <v>60</v>
      </c>
      <c r="BP312" s="1678">
        <f>IF($C312="","",VLOOKUP($C312,val_fg_assets,7,FALSE))</f>
        <v>100</v>
      </c>
      <c r="BQ312" s="1399"/>
    </row>
    <row r="313" spans="1:69" s="782" customFormat="1" ht="3.95" customHeight="1" x14ac:dyDescent="0.2">
      <c r="A313" s="852"/>
      <c r="B313" s="1790">
        <v>301</v>
      </c>
      <c r="C313" s="1673"/>
      <c r="D313" s="1841"/>
      <c r="E313" s="1057"/>
      <c r="F313" s="764"/>
      <c r="G313" s="686">
        <v>7</v>
      </c>
      <c r="H313" s="1906"/>
      <c r="I313" s="1907"/>
      <c r="J313" s="1908"/>
      <c r="K313" s="1907"/>
      <c r="L313" s="1909"/>
      <c r="M313" s="1910"/>
      <c r="N313" s="1911"/>
      <c r="O313" s="1910"/>
      <c r="P313" s="1866"/>
      <c r="Q313" s="1867"/>
      <c r="R313" s="1866"/>
      <c r="S313" s="1867"/>
      <c r="T313" s="1866"/>
      <c r="U313" s="1867"/>
      <c r="V313" s="1866"/>
      <c r="W313" s="1867"/>
      <c r="X313" s="1866"/>
      <c r="Y313" s="1867"/>
      <c r="Z313" s="1867"/>
      <c r="AA313" s="1867"/>
      <c r="AB313" s="1867"/>
      <c r="AC313" s="1867"/>
      <c r="AD313" s="1867"/>
      <c r="AE313" s="1867"/>
      <c r="AF313" s="1867"/>
      <c r="AG313" s="1867"/>
      <c r="AH313" s="1867"/>
      <c r="AI313" s="837"/>
      <c r="AJ313" s="1806"/>
      <c r="AK313" s="841"/>
      <c r="AL313" s="1806"/>
      <c r="AM313" s="1399"/>
      <c r="AN313" s="838"/>
      <c r="AO313" s="1399"/>
      <c r="AP313" s="1223"/>
      <c r="AQ313" s="1399"/>
      <c r="AS313" s="1399"/>
      <c r="AT313" s="1399"/>
      <c r="AU313" s="759"/>
      <c r="AV313" s="759"/>
      <c r="AW313" s="759"/>
      <c r="AX313" s="759"/>
      <c r="AY313" s="759"/>
      <c r="AZ313" s="759"/>
      <c r="BA313" s="759"/>
      <c r="BB313" s="759"/>
      <c r="BC313" s="759"/>
      <c r="BD313" s="759"/>
      <c r="BE313" s="759"/>
      <c r="BF313" s="759"/>
      <c r="BG313" s="760"/>
      <c r="BH313" s="1678"/>
      <c r="BI313" s="1678"/>
      <c r="BJ313" s="1678"/>
      <c r="BK313" s="1678"/>
      <c r="BL313" s="1679"/>
      <c r="BM313" s="1679"/>
      <c r="BN313" s="1678"/>
      <c r="BO313" s="1678"/>
      <c r="BP313" s="1678"/>
      <c r="BQ313" s="1399"/>
    </row>
    <row r="314" spans="1:69" s="782" customFormat="1" ht="3.95" customHeight="1" thickBot="1" x14ac:dyDescent="0.25">
      <c r="A314" s="852"/>
      <c r="B314" s="1791">
        <v>302</v>
      </c>
      <c r="C314" s="1673"/>
      <c r="D314" s="1841"/>
      <c r="E314" s="1057"/>
      <c r="F314" s="764"/>
      <c r="G314" s="764">
        <v>8</v>
      </c>
      <c r="H314" s="1906"/>
      <c r="I314" s="1907"/>
      <c r="J314" s="1908"/>
      <c r="K314" s="1907"/>
      <c r="L314" s="1909"/>
      <c r="M314" s="722"/>
      <c r="N314" s="1912"/>
      <c r="O314" s="722"/>
      <c r="P314" s="1868"/>
      <c r="Q314" s="1869"/>
      <c r="R314" s="1868"/>
      <c r="S314" s="1869"/>
      <c r="T314" s="1868"/>
      <c r="U314" s="1869"/>
      <c r="V314" s="1868"/>
      <c r="W314" s="1869"/>
      <c r="X314" s="1868"/>
      <c r="Y314" s="1869"/>
      <c r="Z314" s="1869"/>
      <c r="AA314" s="1869"/>
      <c r="AB314" s="1869"/>
      <c r="AC314" s="1869"/>
      <c r="AD314" s="1869"/>
      <c r="AE314" s="1869"/>
      <c r="AF314" s="1869"/>
      <c r="AG314" s="1869"/>
      <c r="AH314" s="1869"/>
      <c r="AI314" s="1670"/>
      <c r="AJ314" s="1828"/>
      <c r="AK314" s="724"/>
      <c r="AL314" s="1806"/>
      <c r="AM314" s="1399"/>
      <c r="AN314" s="1258"/>
      <c r="AO314" s="1399"/>
      <c r="AP314" s="1399"/>
      <c r="AQ314" s="1399"/>
      <c r="AS314" s="1399"/>
      <c r="AT314" s="1399"/>
      <c r="AU314" s="759"/>
      <c r="AV314" s="759"/>
      <c r="AW314" s="759"/>
      <c r="AX314" s="759"/>
      <c r="AY314" s="759"/>
      <c r="AZ314" s="759"/>
      <c r="BA314" s="759"/>
      <c r="BB314" s="759"/>
      <c r="BC314" s="759"/>
      <c r="BD314" s="759"/>
      <c r="BE314" s="759"/>
      <c r="BF314" s="759"/>
      <c r="BG314" s="760"/>
      <c r="BH314" s="1678"/>
      <c r="BI314" s="1678"/>
      <c r="BJ314" s="1678"/>
      <c r="BK314" s="1678"/>
      <c r="BL314" s="1679"/>
      <c r="BM314" s="1679"/>
      <c r="BN314" s="1678"/>
      <c r="BO314" s="1678"/>
      <c r="BP314" s="1678"/>
      <c r="BQ314" s="1399"/>
    </row>
    <row r="315" spans="1:69" s="782" customFormat="1" x14ac:dyDescent="0.2">
      <c r="A315" s="852">
        <f>A312+1</f>
        <v>78</v>
      </c>
      <c r="B315" s="1791">
        <v>303</v>
      </c>
      <c r="C315" s="851" t="str">
        <f>Valid!$B$78</f>
        <v>Below-Grade/Bored or Blasted Tunnel</v>
      </c>
      <c r="D315" s="1841"/>
      <c r="E315" s="1245" t="str">
        <f>IF(AT315="N/A","",IF(AT315="N","No","Yes"))</f>
        <v/>
      </c>
      <c r="F315" s="686"/>
      <c r="G315" s="686"/>
      <c r="H315" s="1864"/>
      <c r="I315" s="1904" t="str">
        <f>IF(C290="","",IF(J315&lt;&gt;"","Linear Feet   ","Qty? Enter Zero if N/A  "))</f>
        <v/>
      </c>
      <c r="J315" s="1864"/>
      <c r="K315" s="1904" t="str">
        <f>IF(E315="yes","",IF(C290="","",IF(H315="","Qty? Enter Zero if N/A  ",IF(H315&lt;&gt;"","Track Feet      ",""))))</f>
        <v/>
      </c>
      <c r="L315" s="1864"/>
      <c r="M315" s="1620" t="str">
        <f>IF($H315=0,"",IF($L315="",TEXT(BN315,0)&amp;" Years?    ",""))</f>
        <v/>
      </c>
      <c r="N315" s="1905"/>
      <c r="O315" s="1620"/>
      <c r="P315" s="1864"/>
      <c r="Q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R315" s="1864"/>
      <c r="S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T315" s="1864"/>
      <c r="U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V315" s="1864"/>
      <c r="W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X315" s="1864"/>
      <c r="Y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Z315" s="1864"/>
      <c r="AA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B315" s="1864"/>
      <c r="AC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D315" s="1864"/>
      <c r="AE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F315" s="1864"/>
      <c r="AG315" s="1865"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H315" s="1864"/>
      <c r="AI315" s="904" t="str">
        <f>IF($N315="","",IF(AND($N315="",OR($H315="",$H315=0)),"",IF(AND($N315="LF",$AJ315&lt;$H315),"0 - "&amp;TEXT(($H315-$AJ315)/1000,"0")&amp;"k lin. ft.?    ",IF(AND($N315="TF",$AJ315&lt;$J315),"0 - "&amp;TEXT(($J315-$AJ315)/1000,"0")&amp;"k track ft.?    ",IF(AND($N315="%",$AJ315&lt;1),REPLACE(IF(AND($P315&gt;0,$V315&gt;0,$T315&gt;0,$X315&gt;0,$R315&gt;0,$Z315&gt;0,$AB315&gt;0,$AD315&gt;0,$AF315&gt;0,$AH315&gt;0),"","0-"),99,0,REPLACE(TEXT(100-$AJ315,0),99,0,"%?    ")),"")))))</f>
        <v/>
      </c>
      <c r="AJ315" s="1833">
        <f>IFERROR(IF(N315="%", SUM(P315,R315,T315,V315,X315,Z315,AB315,AD315,AF315,AH315)/100, SUM(P315,R315,T315,V315,X315,Z315,AB315,AD315,AF315,AH315)/IF(N315="LF", H315,J315)), 0)</f>
        <v>0</v>
      </c>
      <c r="AK315" s="1648"/>
      <c r="AL315" s="1675"/>
      <c r="AM315" s="1399"/>
      <c r="AN315" s="1671"/>
      <c r="AO315" s="1399"/>
      <c r="AP315" s="1653"/>
      <c r="AQ315" s="1399"/>
      <c r="AS315" s="1399"/>
      <c r="AT315" s="1624" t="str">
        <f>IF(AND($C$290="", H315="", J315=""), "N/A", IF(OR(AND(ISNUMBER(H315), ISNUMBER(J315), H315=0, J315=0), AND(AJ315=1, H315&lt;&gt;"", J315&lt;&gt;"", L315&lt;&gt;"", N315&lt;&gt;"", P315&lt;&gt;"", R315&lt;&gt;"", T315&lt;&gt;"", V315&lt;&gt;"", X315&lt;&gt;"", Z315&lt;&gt;"", AB315&lt;&gt;"", AD315&lt;&gt;"", AF315&lt;&gt;"", AH315&lt;&gt;"",AL315&lt;&gt;"", IF(AND(AL315&lt;1, AN315=""), FALSE, TRUE))), "Yes", "No"))</f>
        <v>N/A</v>
      </c>
      <c r="AU315" s="759" t="b">
        <f>IF(AND(H315="",OR(L315&lt;&gt;"",P315&lt;&gt;"",R315&lt;&gt;"",T315&lt;&gt;"",V315&lt;&gt;"",X315&lt;&gt;"",AL315&lt;&gt;"",Z315&lt;&gt;"",AB315&lt;&gt;"",AD315&lt;&gt;"",AF315&lt;&gt;"",AH315&lt;&gt;"")),TRUE,FALSE)</f>
        <v>0</v>
      </c>
      <c r="AV315" s="759" t="b">
        <f>IF(OR(H315="",H315=0),FALSE,IF(H315&gt;BM315,TRUE,FALSE))</f>
        <v>0</v>
      </c>
      <c r="AW315" s="759" t="b">
        <f>IF(AND($C$290&lt;&gt;"",$H315=""),TRUE,FALSE)</f>
        <v>0</v>
      </c>
      <c r="AX315" s="759" t="b">
        <f>IF(E315="yes",FALSE,IF(H315="0",FALSE,IF(AND($C$290&lt;&gt;"",J315=""),TRUE,FALSE)))</f>
        <v>0</v>
      </c>
      <c r="AY315" s="759" t="b">
        <f>IF($L315="",FALSE,IF($L315&lt;$BO315,TRUE,FALSE))</f>
        <v>0</v>
      </c>
      <c r="AZ315" s="759" t="b">
        <f>IF($L315="",FALSE,IF($L315&gt;$BP315,TRUE,FALSE))</f>
        <v>0</v>
      </c>
      <c r="BA315" s="759" t="b">
        <f>IF(H315=0,FALSE,IF(AND(E315&lt;&gt;"",$L315=""),TRUE,FALSE))</f>
        <v>0</v>
      </c>
      <c r="BB315" s="759" t="b">
        <f>IF(AND($AJ315&lt;&gt;0,$H315&lt;&gt;$BJ315,$N315="LF"),TRUE,IF(AND($AJ315&lt;&gt;0,$J315&lt;&gt;$AJ315,$N315="TF"),TRUE,IF(AND($AJ315&lt;&gt;0,$AJ315&lt;&gt;1,$N315="%"),TRUE,FALSE)))</f>
        <v>0</v>
      </c>
      <c r="BC315" s="759" t="b">
        <f>IF(AT315="No", IF(OR(P315="", R315="", T315="", V315="", X315="", Z315="", AB315="", AD315="", AF315="", AH315=""), TRUE, FALSE), FALSE)</f>
        <v>0</v>
      </c>
      <c r="BD315" s="759" t="b">
        <f>IF($BE315=TRUE,FALSE,IF(OR($AL315&lt;0,$AL315&gt;1),TRUE,FALSE))</f>
        <v>0</v>
      </c>
      <c r="BE315" s="759" t="b">
        <f>IF(AND($H315&lt;&gt;0,$AL315=""),TRUE,FALSE)</f>
        <v>0</v>
      </c>
      <c r="BF315" s="759" t="b">
        <f>IF(N315="%",TRUE,FALSE)</f>
        <v>0</v>
      </c>
      <c r="BG315" s="760"/>
      <c r="BH315" s="1678">
        <f>IF($C315="","",VLOOKUP($C315,val_fg_assets,9,FALSE))</f>
        <v>1</v>
      </c>
      <c r="BI315" s="1678" t="str">
        <f>IF(N315="", "", IF(N315="LF", H315, IF(N315="TF", J315, IF(N315="%", 1, ""))))</f>
        <v/>
      </c>
      <c r="BJ315" s="1679">
        <f>P315+R315+T315+V315+X315+Z315+AB315+AD315+AF315+AH315</f>
        <v>0</v>
      </c>
      <c r="BK315" s="1679" t="str">
        <f>IF(BI315="", "", BI315-BJ315)</f>
        <v/>
      </c>
      <c r="BL315" s="1679">
        <f>IF($C315="","",VLOOKUP($C315,val_fg_assets,3,FALSE))</f>
        <v>0</v>
      </c>
      <c r="BM315" s="1679">
        <f>IF($C315="","",VLOOKUP($C315,val_fg_assets,4,FALSE))</f>
        <v>1320000</v>
      </c>
      <c r="BN315" s="1678">
        <f>IF($C315="","",VLOOKUP($C315,val_fg_assets,5,FALSE))</f>
        <v>80</v>
      </c>
      <c r="BO315" s="1678">
        <f>IF($C315="","",VLOOKUP($C315,val_fg_assets,6,FALSE))</f>
        <v>60</v>
      </c>
      <c r="BP315" s="1678">
        <f>IF($C315="","",VLOOKUP($C315,val_fg_assets,7,FALSE))</f>
        <v>100</v>
      </c>
      <c r="BQ315" s="1399"/>
    </row>
    <row r="316" spans="1:69" s="782" customFormat="1" ht="3.95" customHeight="1" x14ac:dyDescent="0.2">
      <c r="A316" s="852"/>
      <c r="B316" s="1791">
        <v>304</v>
      </c>
      <c r="C316" s="1673"/>
      <c r="D316" s="1841"/>
      <c r="E316" s="1057"/>
      <c r="F316" s="764"/>
      <c r="G316" s="764"/>
      <c r="H316" s="1909"/>
      <c r="I316" s="1908"/>
      <c r="J316" s="1908"/>
      <c r="K316" s="1908"/>
      <c r="L316" s="1909"/>
      <c r="M316" s="1910"/>
      <c r="N316" s="1911"/>
      <c r="O316" s="1910"/>
      <c r="P316" s="1866"/>
      <c r="Q316" s="1867"/>
      <c r="R316" s="1866"/>
      <c r="S316" s="1867"/>
      <c r="T316" s="1866"/>
      <c r="U316" s="1867"/>
      <c r="V316" s="1866"/>
      <c r="W316" s="1867"/>
      <c r="X316" s="1866"/>
      <c r="Y316" s="1867"/>
      <c r="Z316" s="1867"/>
      <c r="AA316" s="1867"/>
      <c r="AB316" s="1867"/>
      <c r="AC316" s="1867"/>
      <c r="AD316" s="1867"/>
      <c r="AE316" s="1867"/>
      <c r="AF316" s="1867"/>
      <c r="AG316" s="1867"/>
      <c r="AH316" s="1867"/>
      <c r="AI316" s="837"/>
      <c r="AJ316" s="1806"/>
      <c r="AK316" s="841"/>
      <c r="AL316" s="1806"/>
      <c r="AM316" s="1399"/>
      <c r="AN316" s="838"/>
      <c r="AO316" s="1399"/>
      <c r="AP316" s="1399"/>
      <c r="AQ316" s="1399"/>
      <c r="AS316" s="1399"/>
      <c r="AT316" s="1399"/>
      <c r="AU316" s="759"/>
      <c r="AV316" s="759"/>
      <c r="AW316" s="759"/>
      <c r="AX316" s="759"/>
      <c r="AY316" s="759"/>
      <c r="AZ316" s="759"/>
      <c r="BA316" s="759"/>
      <c r="BB316" s="759"/>
      <c r="BC316" s="759"/>
      <c r="BD316" s="759"/>
      <c r="BE316" s="759"/>
      <c r="BF316" s="759"/>
      <c r="BG316" s="760"/>
      <c r="BH316" s="1678"/>
      <c r="BI316" s="1678"/>
      <c r="BJ316" s="1678"/>
      <c r="BK316" s="1678"/>
      <c r="BL316" s="1679"/>
      <c r="BM316" s="1679"/>
      <c r="BN316" s="1678"/>
      <c r="BO316" s="1678"/>
      <c r="BP316" s="1678"/>
      <c r="BQ316" s="1399"/>
    </row>
    <row r="317" spans="1:69" s="782" customFormat="1" ht="3.95" customHeight="1" thickBot="1" x14ac:dyDescent="0.25">
      <c r="A317" s="852"/>
      <c r="B317" s="1790">
        <v>305</v>
      </c>
      <c r="C317" s="851"/>
      <c r="D317" s="1841"/>
      <c r="E317" s="1058"/>
      <c r="F317" s="686"/>
      <c r="G317" s="686"/>
      <c r="H317" s="1909"/>
      <c r="I317" s="1908"/>
      <c r="J317" s="1908"/>
      <c r="K317" s="1908"/>
      <c r="L317" s="1909"/>
      <c r="M317" s="722"/>
      <c r="N317" s="1912"/>
      <c r="O317" s="722"/>
      <c r="P317" s="1868"/>
      <c r="Q317" s="1869"/>
      <c r="R317" s="1868"/>
      <c r="S317" s="1869"/>
      <c r="T317" s="1868"/>
      <c r="U317" s="1869"/>
      <c r="V317" s="1868"/>
      <c r="W317" s="1869"/>
      <c r="X317" s="1868"/>
      <c r="Y317" s="1869"/>
      <c r="Z317" s="1869"/>
      <c r="AA317" s="1869"/>
      <c r="AB317" s="1869"/>
      <c r="AC317" s="1869"/>
      <c r="AD317" s="1869"/>
      <c r="AE317" s="1869"/>
      <c r="AF317" s="1869"/>
      <c r="AG317" s="1869"/>
      <c r="AH317" s="1869"/>
      <c r="AI317" s="1670"/>
      <c r="AJ317" s="1828"/>
      <c r="AK317" s="724"/>
      <c r="AL317" s="1806"/>
      <c r="AM317" s="1399"/>
      <c r="AN317" s="1258"/>
      <c r="AO317" s="1399"/>
      <c r="AP317" s="1399"/>
      <c r="AQ317" s="1399"/>
      <c r="AS317" s="1399"/>
      <c r="AT317" s="1399"/>
      <c r="AU317" s="759"/>
      <c r="AV317" s="759"/>
      <c r="AW317" s="759"/>
      <c r="AX317" s="759"/>
      <c r="AY317" s="759"/>
      <c r="AZ317" s="759"/>
      <c r="BA317" s="759"/>
      <c r="BB317" s="759"/>
      <c r="BC317" s="759"/>
      <c r="BD317" s="759"/>
      <c r="BE317" s="759"/>
      <c r="BF317" s="759"/>
      <c r="BG317" s="760"/>
      <c r="BH317" s="1678"/>
      <c r="BI317" s="1678"/>
      <c r="BJ317" s="1678"/>
      <c r="BK317" s="1678"/>
      <c r="BL317" s="1679"/>
      <c r="BM317" s="1679"/>
      <c r="BN317" s="1678"/>
      <c r="BO317" s="1678"/>
      <c r="BP317" s="1678"/>
      <c r="BQ317" s="1399"/>
    </row>
    <row r="318" spans="1:69" s="782" customFormat="1" x14ac:dyDescent="0.2">
      <c r="A318" s="852">
        <f>A315+1</f>
        <v>79</v>
      </c>
      <c r="B318" s="1790">
        <v>306</v>
      </c>
      <c r="C318" s="851" t="str">
        <f>Valid!$B$79</f>
        <v>Below-Grade/Submerged Tube</v>
      </c>
      <c r="D318" s="1841"/>
      <c r="E318" s="1245" t="str">
        <f>IF(AT318="N/A","",IF(AT318="N","No","Yes"))</f>
        <v/>
      </c>
      <c r="F318" s="764"/>
      <c r="G318" s="764"/>
      <c r="H318" s="1864"/>
      <c r="I318" s="1904" t="str">
        <f>IF(C290="","",IF(J318&lt;&gt;"","Linear Feet   ","Qty? Enter Zero if N/A  "))</f>
        <v/>
      </c>
      <c r="J318" s="1864"/>
      <c r="K318" s="1904" t="str">
        <f>IF(E318="yes","",IF(C290="","",IF(H318="","Qty? Enter Zero if N/A  ",IF(H318&lt;&gt;"","Track Feet      ",""))))</f>
        <v/>
      </c>
      <c r="L318" s="1864"/>
      <c r="M318" s="1620" t="str">
        <f>IF($H318=0,"",IF($L318="",TEXT(BN318,0)&amp;" Years?    ",""))</f>
        <v/>
      </c>
      <c r="N318" s="1905"/>
      <c r="O318" s="1620"/>
      <c r="P318" s="1864"/>
      <c r="Q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R318" s="1864"/>
      <c r="S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T318" s="1864"/>
      <c r="U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V318" s="1864"/>
      <c r="W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X318" s="1864"/>
      <c r="Y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Z318" s="1864"/>
      <c r="AA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B318" s="1864"/>
      <c r="AC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D318" s="1864"/>
      <c r="AE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F318" s="1864"/>
      <c r="AG318" s="1865"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H318" s="1864"/>
      <c r="AI318" s="904" t="str">
        <f>IF($N318="","",IF(AND($N318="",OR($H318="",$H318=0)),"",IF(AND($N318="LF",$AJ318&lt;$H318),"0 - "&amp;TEXT(($H318-$AJ318)/1000,"0")&amp;"k lin. ft.?    ",IF(AND($N318="TF",$AJ318&lt;$J318),"0 - "&amp;TEXT(($J318-$AJ318)/1000,"0")&amp;"k track ft.?    ",IF(AND($N318="%",$AJ318&lt;1),REPLACE(IF(AND($P318&gt;0,$V318&gt;0,$T318&gt;0,$X318&gt;0,$R318&gt;0,$Z318&gt;0,$AB318&gt;0,$AD318&gt;0,$AF318&gt;0,$AH318&gt;0),"","0-"),99,0,REPLACE(TEXT(100-$AJ318,0),99,0,"%?    ")),"")))))</f>
        <v/>
      </c>
      <c r="AJ318" s="1833">
        <f>IFERROR(IF(N318="%", SUM(P318,R318,T318,V318,X318,Z318,AB318,AD318,AF318,AH318)/100, SUM(P318,R318,T318,V318,X318,Z318,AB318,AD318,AF318,AH318)/IF(N318="LF", H318,J318)), 0)</f>
        <v>0</v>
      </c>
      <c r="AK318" s="1648"/>
      <c r="AL318" s="1832"/>
      <c r="AM318" s="1399"/>
      <c r="AN318" s="1276"/>
      <c r="AO318" s="1399"/>
      <c r="AP318" s="1653"/>
      <c r="AQ318" s="1399"/>
      <c r="AS318" s="1399"/>
      <c r="AT318" s="1624" t="str">
        <f>IF(AND($C$290="", H318="", J318=""), "N/A", IF(OR(AND(ISNUMBER(H318), ISNUMBER(J318), H318=0, J318=0), AND(AJ318=1, H318&lt;&gt;"", J318&lt;&gt;"", L318&lt;&gt;"", N318&lt;&gt;"", P318&lt;&gt;"", R318&lt;&gt;"", T318&lt;&gt;"", V318&lt;&gt;"", X318&lt;&gt;"", Z318&lt;&gt;"", AB318&lt;&gt;"", AD318&lt;&gt;"", AF318&lt;&gt;"", AH318&lt;&gt;"",AL318&lt;&gt;"", IF(AND(AL318&lt;1, AN318=""), FALSE, TRUE))), "Yes", "No"))</f>
        <v>N/A</v>
      </c>
      <c r="AU318" s="759" t="b">
        <f>IF(AND(H318="",OR(L318&lt;&gt;"",P318&lt;&gt;"",R318&lt;&gt;"",T318&lt;&gt;"",V318&lt;&gt;"",X318&lt;&gt;"",AL318&lt;&gt;"",Z318&lt;&gt;"",AB318&lt;&gt;"",AD318&lt;&gt;"",AF318&lt;&gt;"",AH318&lt;&gt;"")),TRUE,FALSE)</f>
        <v>0</v>
      </c>
      <c r="AV318" s="759" t="b">
        <f>IF(OR(H318="",H318=0),FALSE,IF(H318&gt;BM318,TRUE,FALSE))</f>
        <v>0</v>
      </c>
      <c r="AW318" s="759" t="b">
        <f>IF(AND($C$290&lt;&gt;"",$H318=""),TRUE,FALSE)</f>
        <v>0</v>
      </c>
      <c r="AX318" s="759" t="b">
        <f>IF(E318="yes",FALSE,IF(H318="0",FALSE,IF(AND($C$290&lt;&gt;"",J318=""),TRUE,FALSE)))</f>
        <v>0</v>
      </c>
      <c r="AY318" s="759" t="b">
        <f>IF($L318="",FALSE,IF($L318&lt;$BO318,TRUE,FALSE))</f>
        <v>0</v>
      </c>
      <c r="AZ318" s="759" t="b">
        <f>IF($L318="",FALSE,IF($L318&gt;$BP318,TRUE,FALSE))</f>
        <v>0</v>
      </c>
      <c r="BA318" s="759" t="b">
        <f>IF(H318=0,FALSE,IF(AND(E318&lt;&gt;"",$L318=""),TRUE,FALSE))</f>
        <v>0</v>
      </c>
      <c r="BB318" s="759" t="b">
        <f>IF(AND($AJ318&lt;&gt;0,$H318&lt;&gt;$BJ318,$N318="LF"),TRUE,IF(AND($AJ318&lt;&gt;0,$J318&lt;&gt;$AJ318,$N318="TF"),TRUE,IF(AND($AJ318&lt;&gt;0,$AJ318&lt;&gt;1,$N318="%"),TRUE,FALSE)))</f>
        <v>0</v>
      </c>
      <c r="BC318" s="759" t="b">
        <f>IF(AT318="No", IF(OR(P318="", R318="", T318="", V318="", X318="", Z318="", AB318="", AD318="", AF318="", AH318=""), TRUE, FALSE), FALSE)</f>
        <v>0</v>
      </c>
      <c r="BD318" s="759" t="b">
        <f>IF($BE318=TRUE,FALSE,IF(OR($AL318&lt;0,$AL318&gt;1),TRUE,FALSE))</f>
        <v>0</v>
      </c>
      <c r="BE318" s="759" t="b">
        <f>IF(AND($H318&lt;&gt;0,$AL318=""),TRUE,FALSE)</f>
        <v>0</v>
      </c>
      <c r="BF318" s="759" t="b">
        <f>IF(N318="%",TRUE,FALSE)</f>
        <v>0</v>
      </c>
      <c r="BG318" s="760"/>
      <c r="BH318" s="1678">
        <f>IF($C318="","",VLOOKUP($C318,val_fg_assets,9,FALSE))</f>
        <v>1</v>
      </c>
      <c r="BI318" s="1678" t="str">
        <f>IF(N318="", "", IF(N318="LF", H318, IF(N318="TF", J318, IF(N318="%", 1, ""))))</f>
        <v/>
      </c>
      <c r="BJ318" s="1679">
        <f>P318+R318+T318+V318+X318+Z318+AB318+AD318+AF318+AH318</f>
        <v>0</v>
      </c>
      <c r="BK318" s="1679" t="str">
        <f>IF(BI318="", "", BI318-BJ318)</f>
        <v/>
      </c>
      <c r="BL318" s="1679">
        <f>IF($C318="","",VLOOKUP($C318,val_fg_assets,3,FALSE))</f>
        <v>0</v>
      </c>
      <c r="BM318" s="1679">
        <f>IF($C318="","",VLOOKUP($C318,val_fg_assets,4,FALSE))</f>
        <v>1320000</v>
      </c>
      <c r="BN318" s="1678">
        <f>IF($C318="","",VLOOKUP($C318,val_fg_assets,5,FALSE))</f>
        <v>80</v>
      </c>
      <c r="BO318" s="1678">
        <f>IF($C318="","",VLOOKUP($C318,val_fg_assets,6,FALSE))</f>
        <v>60</v>
      </c>
      <c r="BP318" s="1678">
        <f>IF($C318="","",VLOOKUP($C318,val_fg_assets,7,FALSE))</f>
        <v>100</v>
      </c>
      <c r="BQ318" s="1399"/>
    </row>
    <row r="319" spans="1:69" s="782" customFormat="1" ht="3.95" customHeight="1" thickBot="1" x14ac:dyDescent="0.25">
      <c r="A319" s="852"/>
      <c r="B319" s="1791">
        <v>307</v>
      </c>
      <c r="C319" s="850"/>
      <c r="D319" s="1841"/>
      <c r="E319" s="1058"/>
      <c r="F319" s="686"/>
      <c r="G319" s="686"/>
      <c r="H319" s="1909"/>
      <c r="I319" s="1907"/>
      <c r="J319" s="1908"/>
      <c r="K319" s="1908"/>
      <c r="L319" s="1909"/>
      <c r="M319" s="1910"/>
      <c r="N319" s="1910"/>
      <c r="O319" s="1910"/>
      <c r="P319" s="1866"/>
      <c r="Q319" s="1867"/>
      <c r="R319" s="1866"/>
      <c r="S319" s="1867"/>
      <c r="T319" s="1866"/>
      <c r="U319" s="1867"/>
      <c r="V319" s="1866"/>
      <c r="W319" s="1867"/>
      <c r="X319" s="1866"/>
      <c r="Y319" s="1867"/>
      <c r="Z319" s="1867"/>
      <c r="AA319" s="1867"/>
      <c r="AB319" s="1867"/>
      <c r="AC319" s="1867"/>
      <c r="AD319" s="1867"/>
      <c r="AE319" s="1867"/>
      <c r="AF319" s="1867"/>
      <c r="AG319" s="1867"/>
      <c r="AH319" s="1867"/>
      <c r="AI319" s="837"/>
      <c r="AJ319" s="1806"/>
      <c r="AK319" s="841"/>
      <c r="AL319" s="1806"/>
      <c r="AM319" s="1399"/>
      <c r="AN319" s="838"/>
      <c r="AO319" s="1399"/>
      <c r="AP319" s="1399"/>
      <c r="AQ319" s="1399"/>
      <c r="AS319" s="1399"/>
      <c r="AT319" s="1399"/>
      <c r="AU319" s="759"/>
      <c r="AV319" s="759"/>
      <c r="AW319" s="759"/>
      <c r="AX319" s="759"/>
      <c r="AY319" s="759"/>
      <c r="AZ319" s="759"/>
      <c r="BA319" s="759"/>
      <c r="BB319" s="759"/>
      <c r="BC319" s="759"/>
      <c r="BD319" s="759"/>
      <c r="BE319" s="759"/>
      <c r="BF319" s="759"/>
      <c r="BG319" s="760"/>
      <c r="BH319" s="1678"/>
      <c r="BI319" s="1678"/>
      <c r="BJ319" s="1678"/>
      <c r="BK319" s="1678"/>
      <c r="BL319" s="1679"/>
      <c r="BM319" s="1679"/>
      <c r="BN319" s="1678"/>
      <c r="BO319" s="1678"/>
      <c r="BP319" s="1678"/>
      <c r="BQ319" s="1399"/>
    </row>
    <row r="320" spans="1:69" s="782" customFormat="1" x14ac:dyDescent="0.2">
      <c r="A320" s="1712" t="s">
        <v>2621</v>
      </c>
      <c r="B320" s="1791">
        <v>308</v>
      </c>
      <c r="C320" s="850"/>
      <c r="D320" s="1841"/>
      <c r="E320" s="816"/>
      <c r="F320" s="686"/>
      <c r="G320" s="686"/>
      <c r="H320" s="1914">
        <f>SUM(H294:H318)</f>
        <v>0</v>
      </c>
      <c r="I320" s="1915"/>
      <c r="J320" s="1914">
        <f>SUM(J294:J318)</f>
        <v>0</v>
      </c>
      <c r="K320" s="1880"/>
      <c r="L320" s="1880" t="str">
        <f>IF(C290="","&lt;&lt;Total Guideway (Excluding Track) in Linear Feet and Track Feet","&lt;&lt;Total "&amp;VLOOKUP(C290,Codes!$C$156:$D$174,2)&amp;" Guideway (Excluding Track) in Linear Feet and Track Feet")</f>
        <v>&lt;&lt;Total Guideway (Excluding Track) in Linear Feet and Track Feet</v>
      </c>
      <c r="M320" s="1910"/>
      <c r="N320" s="1910"/>
      <c r="O320" s="1910"/>
      <c r="P320" s="1916"/>
      <c r="Q320" s="1867"/>
      <c r="R320" s="1916"/>
      <c r="S320" s="1867"/>
      <c r="T320" s="1916"/>
      <c r="U320" s="1867"/>
      <c r="V320" s="1916"/>
      <c r="W320" s="1867"/>
      <c r="X320" s="1916"/>
      <c r="Y320" s="1867"/>
      <c r="Z320" s="1867"/>
      <c r="AA320" s="1867"/>
      <c r="AB320" s="1867"/>
      <c r="AC320" s="1867"/>
      <c r="AD320" s="1867"/>
      <c r="AE320" s="1867"/>
      <c r="AF320" s="1867"/>
      <c r="AG320" s="1867"/>
      <c r="AH320" s="1867"/>
      <c r="AI320" s="837"/>
      <c r="AJ320" s="1806"/>
      <c r="AK320" s="841"/>
      <c r="AL320" s="1806"/>
      <c r="AM320" s="1399"/>
      <c r="AN320" s="838"/>
      <c r="AO320" s="1399"/>
      <c r="AP320" s="1399"/>
      <c r="AQ320" s="1399"/>
      <c r="AS320" s="1399"/>
      <c r="AT320" s="1399"/>
      <c r="AU320" s="759"/>
      <c r="AV320" s="759"/>
      <c r="AW320" s="759"/>
      <c r="AX320" s="759"/>
      <c r="AY320" s="759"/>
      <c r="AZ320" s="759"/>
      <c r="BA320" s="759"/>
      <c r="BB320" s="759"/>
      <c r="BC320" s="759"/>
      <c r="BD320" s="759"/>
      <c r="BE320" s="759"/>
      <c r="BF320" s="759"/>
      <c r="BG320" s="760"/>
      <c r="BH320" s="1678"/>
      <c r="BI320" s="1678"/>
      <c r="BJ320" s="1678"/>
      <c r="BK320" s="1678"/>
      <c r="BL320" s="1679"/>
      <c r="BM320" s="1679"/>
      <c r="BN320" s="1678"/>
      <c r="BO320" s="1678"/>
      <c r="BP320" s="1678"/>
      <c r="BQ320" s="1399"/>
    </row>
    <row r="321" spans="1:68" s="686" customFormat="1" x14ac:dyDescent="0.2">
      <c r="A321" s="1712" t="s">
        <v>2621</v>
      </c>
      <c r="B321" s="1791">
        <v>309</v>
      </c>
      <c r="C321" s="844" t="str">
        <f>IF(C290="","Power and Signals",VLOOKUP(C290,Codes!$C$156:$D$174,2)&amp;" Power and Signals")</f>
        <v>Power and Signals</v>
      </c>
      <c r="D321" s="1709"/>
      <c r="E321" s="1057"/>
      <c r="F321" s="764"/>
      <c r="G321" s="764"/>
      <c r="H321" s="1917"/>
      <c r="I321" s="1880"/>
      <c r="J321" s="1651"/>
      <c r="K321" s="1651"/>
      <c r="L321" s="1917"/>
      <c r="M321" s="1651"/>
      <c r="N321" s="1651"/>
      <c r="O321" s="1651"/>
      <c r="P321" s="1916"/>
      <c r="Q321" s="1867"/>
      <c r="R321" s="1916"/>
      <c r="S321" s="1867"/>
      <c r="T321" s="1916"/>
      <c r="U321" s="1867"/>
      <c r="V321" s="1916"/>
      <c r="W321" s="1867"/>
      <c r="X321" s="1916"/>
      <c r="Y321" s="1651"/>
      <c r="Z321" s="1651"/>
      <c r="AA321" s="1651"/>
      <c r="AB321" s="1651"/>
      <c r="AC321" s="1651"/>
      <c r="AD321" s="1651"/>
      <c r="AE321" s="1651"/>
      <c r="AF321" s="1651"/>
      <c r="AG321" s="1651"/>
      <c r="AH321" s="1651"/>
      <c r="AJ321" s="1676"/>
      <c r="AL321" s="1676"/>
      <c r="AP321" s="1223"/>
      <c r="AU321" s="848"/>
      <c r="AV321" s="848"/>
      <c r="AW321" s="848"/>
      <c r="AX321" s="848"/>
      <c r="AY321" s="759"/>
      <c r="AZ321" s="759"/>
      <c r="BA321" s="848"/>
      <c r="BB321" s="759"/>
      <c r="BC321" s="848"/>
      <c r="BD321" s="848"/>
      <c r="BE321" s="848"/>
      <c r="BF321" s="848"/>
      <c r="BH321" s="1680"/>
      <c r="BI321" s="1680"/>
      <c r="BJ321" s="1680"/>
      <c r="BK321" s="1680"/>
      <c r="BL321" s="1680"/>
      <c r="BM321" s="1680"/>
      <c r="BN321" s="1680"/>
      <c r="BO321" s="1680"/>
      <c r="BP321" s="1680"/>
    </row>
    <row r="322" spans="1:68" s="686" customFormat="1" ht="26.25" thickBot="1" x14ac:dyDescent="0.25">
      <c r="A322" s="1712" t="s">
        <v>2621</v>
      </c>
      <c r="B322" s="1790">
        <v>310</v>
      </c>
      <c r="C322" s="1674"/>
      <c r="D322" s="1709"/>
      <c r="E322" s="1057"/>
      <c r="H322" s="1903" t="s">
        <v>13</v>
      </c>
      <c r="I322" s="1651"/>
      <c r="J322" s="1651"/>
      <c r="K322" s="1651"/>
      <c r="L322" s="1909"/>
      <c r="M322" s="1909"/>
      <c r="N322" s="1909"/>
      <c r="O322" s="1909"/>
      <c r="P322" s="1903" t="str">
        <f>P$9</f>
        <v>Pre-1920</v>
      </c>
      <c r="Q322" s="1869"/>
      <c r="R322" s="1903" t="str">
        <f>R$9</f>
        <v>1920-
1929</v>
      </c>
      <c r="S322" s="1869"/>
      <c r="T322" s="1903" t="str">
        <f>T$9</f>
        <v>1930-
1939</v>
      </c>
      <c r="U322" s="1869"/>
      <c r="V322" s="1903" t="str">
        <f>V$9</f>
        <v>1940-
1949</v>
      </c>
      <c r="W322" s="1869"/>
      <c r="X322" s="1903" t="str">
        <f>X$9</f>
        <v>1950-
1959</v>
      </c>
      <c r="Y322" s="1868"/>
      <c r="Z322" s="1903" t="str">
        <f>Z$9</f>
        <v>1960-
1969</v>
      </c>
      <c r="AA322" s="1868"/>
      <c r="AB322" s="1903" t="str">
        <f>AB$9</f>
        <v>1970-
1979</v>
      </c>
      <c r="AC322" s="1868"/>
      <c r="AD322" s="1903" t="str">
        <f>AD$9</f>
        <v>1980-
1989</v>
      </c>
      <c r="AE322" s="1868"/>
      <c r="AF322" s="1903" t="str">
        <f>AF$9</f>
        <v>1990-
1999</v>
      </c>
      <c r="AG322" s="1868"/>
      <c r="AH322" s="1903" t="str">
        <f>AH$9</f>
        <v>2000-
present</v>
      </c>
      <c r="AJ322" s="1676"/>
      <c r="AL322" s="1676"/>
      <c r="AP322" s="1394"/>
      <c r="AU322" s="848"/>
      <c r="AV322" s="848"/>
      <c r="AW322" s="848"/>
      <c r="AX322" s="848"/>
      <c r="AY322" s="759"/>
      <c r="AZ322" s="759"/>
      <c r="BA322" s="848"/>
      <c r="BB322" s="759"/>
      <c r="BC322" s="848"/>
      <c r="BD322" s="848"/>
      <c r="BE322" s="848"/>
      <c r="BF322" s="848"/>
      <c r="BH322" s="1680"/>
      <c r="BI322" s="1680"/>
      <c r="BJ322" s="1680"/>
      <c r="BK322" s="1680"/>
      <c r="BL322" s="1680"/>
      <c r="BM322" s="1680"/>
      <c r="BN322" s="1680"/>
      <c r="BO322" s="1680"/>
      <c r="BP322" s="1680"/>
    </row>
    <row r="323" spans="1:68" s="686" customFormat="1" x14ac:dyDescent="0.2">
      <c r="A323" s="852">
        <f>A318+1</f>
        <v>80</v>
      </c>
      <c r="B323" s="1790">
        <v>311</v>
      </c>
      <c r="C323" s="851" t="str">
        <f>Valid!$B$87</f>
        <v>Substation Building</v>
      </c>
      <c r="D323" s="1709"/>
      <c r="E323" s="1245" t="str">
        <f>IF(AT323="N/A","",IF(AT323="N","No","Yes"))</f>
        <v/>
      </c>
      <c r="H323" s="1864"/>
      <c r="I323" s="1904" t="str">
        <f>IF(AND(C290&lt;&gt;"", H323=""),"Qty? Enter Zero if N/A  ","")</f>
        <v/>
      </c>
      <c r="J323" s="1918"/>
      <c r="K323" s="1651"/>
      <c r="L323" s="1864"/>
      <c r="M323" s="1870" t="str">
        <f>IF($H323=0,"",IF($L323="",TEXT(BN323,0)&amp;" Years?    ",""))</f>
        <v/>
      </c>
      <c r="N323" s="1905"/>
      <c r="O323" s="1870"/>
      <c r="P323" s="1864"/>
      <c r="Q323" s="1865" t="str">
        <f>IF(OR($N323="", AND($N323="",OR($H323="",$H323=0))),"",IF(AND($N323="Quantity",$AJ323&lt;$H323),"0 - "&amp;TEXT($H323-$AJ323,"0")&amp;" buildings?    ",IF(AND($N323="%",$AJ323&lt;1),REPLACE(IF(AND($P323&gt;0,$V323&gt;0,$T323&gt;0,$X323&gt;0,$R323&gt;0,$Z323&gt;0,$AB323&gt;0,$AD323&gt;0,$AF323&gt;0,$AH323&gt;0),"","0-"),99,0,REPLACE(TEXT(100-$AJ323,0),99,0,"?    ")),"")))</f>
        <v/>
      </c>
      <c r="R323" s="1864"/>
      <c r="S323" s="1865" t="str">
        <f>IF(OR($N323="", AND($N323="",OR($H323="",$H323=0))),"",IF(AND($N323="Quantity",$AJ323&lt;$H323),"0 - "&amp;TEXT($H323-$AJ323,"0")&amp;" buildings?    ",IF(AND($N323="%",$AJ323&lt;1),REPLACE(IF(AND($P323&gt;0,$V323&gt;0,$T323&gt;0,$X323&gt;0,$R323&gt;0,$Z323&gt;0,$AB323&gt;0,$AD323&gt;0,$AF323&gt;0,$AH323&gt;0),"","0-"),99,0,REPLACE(TEXT(100-$AJ323,0),99,0,"?    ")),"")))</f>
        <v/>
      </c>
      <c r="T323" s="1864"/>
      <c r="U323" s="1865" t="str">
        <f>IF(OR($N323="", AND($N323="",OR($H323="",$H323=0))),"",IF(AND($N323="Quantity",$AJ323&lt;$H323),"0 - "&amp;TEXT($H323-$AJ323,"0")&amp;" buildings?    ",IF(AND($N323="%",$AJ323&lt;1),REPLACE(IF(AND($P323&gt;0,$V323&gt;0,$T323&gt;0,$X323&gt;0,$R323&gt;0,$Z323&gt;0,$AB323&gt;0,$AD323&gt;0,$AF323&gt;0,$AH323&gt;0),"","0-"),99,0,REPLACE(TEXT(100-$AJ323,0),99,0,"?    ")),"")))</f>
        <v/>
      </c>
      <c r="V323" s="1864"/>
      <c r="W323" s="1865" t="str">
        <f>IF(OR($N323="", AND($N323="",OR($H323="",$H323=0))),"",IF(AND($N323="Quantity",$AJ323&lt;$H323),"0 - "&amp;TEXT($H323-$AJ323,"0")&amp;" buildings?    ",IF(AND($N323="%",$AJ323&lt;1),REPLACE(IF(AND($P323&gt;0,$V323&gt;0,$T323&gt;0,$X323&gt;0,$R323&gt;0,$Z323&gt;0,$AB323&gt;0,$AD323&gt;0,$AF323&gt;0,$AH323&gt;0),"","0-"),99,0,REPLACE(TEXT(100-$AJ323,0),99,0,"?    ")),"")))</f>
        <v/>
      </c>
      <c r="X323" s="1864"/>
      <c r="Y323" s="1865" t="str">
        <f>IF(OR($N323="", AND($N323="",OR($H323="",$H323=0))),"",IF(AND($N323="Quantity",$AJ323&lt;$H323),"0 - "&amp;TEXT($H323-$AJ323,"0")&amp;" buildings?    ",IF(AND($N323="%",$AJ323&lt;1),REPLACE(IF(AND($P323&gt;0,$V323&gt;0,$T323&gt;0,$X323&gt;0,$R323&gt;0,$Z323&gt;0,$AB323&gt;0,$AD323&gt;0,$AF323&gt;0,$AH323&gt;0),"","0-"),99,0,REPLACE(TEXT(100-$AJ323,0),99,0,"?    ")),"")))</f>
        <v/>
      </c>
      <c r="Z323" s="1864"/>
      <c r="AA323" s="1865" t="str">
        <f>IF(OR($N323="", AND($N323="",OR($H323="",$H323=0))),"",IF(AND($N323="Quantity",$AJ323&lt;$H323),"0 - "&amp;TEXT($H323-$AJ323,"0")&amp;" buildings?    ",IF(AND($N323="%",$AJ323&lt;1),REPLACE(IF(AND($P323&gt;0,$V323&gt;0,$T323&gt;0,$X323&gt;0,$R323&gt;0,$Z323&gt;0,$AB323&gt;0,$AD323&gt;0,$AF323&gt;0,$AH323&gt;0),"","0-"),99,0,REPLACE(TEXT(100-$AJ323,0),99,0,"?    ")),"")))</f>
        <v/>
      </c>
      <c r="AB323" s="1864"/>
      <c r="AC323" s="1865" t="str">
        <f>IF(OR($N323="", AND($N323="",OR($H323="",$H323=0))),"",IF(AND($N323="Quantity",$AJ323&lt;$H323),"0 - "&amp;TEXT($H323-$AJ323,"0")&amp;" buildings?    ",IF(AND($N323="%",$AJ323&lt;1),REPLACE(IF(AND($P323&gt;0,$V323&gt;0,$T323&gt;0,$X323&gt;0,$R323&gt;0,$Z323&gt;0,$AB323&gt;0,$AD323&gt;0,$AF323&gt;0,$AH323&gt;0),"","0-"),99,0,REPLACE(TEXT(100-$AJ323,0),99,0,"?    ")),"")))</f>
        <v/>
      </c>
      <c r="AD323" s="1864"/>
      <c r="AE323" s="1865" t="str">
        <f>IF(OR($N323="", AND($N323="",OR($H323="",$H323=0))),"",IF(AND($N323="Quantity",$AJ323&lt;$H323),"0 - "&amp;TEXT($H323-$AJ323,"0")&amp;" buildings?    ",IF(AND($N323="%",$AJ323&lt;1),REPLACE(IF(AND($P323&gt;0,$V323&gt;0,$T323&gt;0,$X323&gt;0,$R323&gt;0,$Z323&gt;0,$AB323&gt;0,$AD323&gt;0,$AF323&gt;0,$AH323&gt;0),"","0-"),99,0,REPLACE(TEXT(100-$AJ323,0),99,0,"?    ")),"")))</f>
        <v/>
      </c>
      <c r="AF323" s="1864"/>
      <c r="AG323" s="1865" t="str">
        <f>IF(OR($N323="", AND($N323="",OR($H323="",$H323=0))),"",IF(AND($N323="Quantity",$AJ323&lt;$H323),"0 - "&amp;TEXT($H323-$AJ323,"0")&amp;" buildings?    ",IF(AND($N323="%",$AJ323&lt;1),REPLACE(IF(AND($P323&gt;0,$V323&gt;0,$T323&gt;0,$X323&gt;0,$R323&gt;0,$Z323&gt;0,$AB323&gt;0,$AD323&gt;0,$AF323&gt;0,$AH323&gt;0),"","0-"),99,0,REPLACE(TEXT(100-$AJ323,0),99,0,"?    ")),"")))</f>
        <v/>
      </c>
      <c r="AH323" s="1864"/>
      <c r="AI323" s="1865" t="str">
        <f>IF(OR($N323="", AND($N323="",OR($H323="",$H323=0))),"",IF(AND($N323="Quantity",$AJ323&lt;$H323),"0 - "&amp;TEXT($H323-$AJ323,"0")&amp;" buildings?    ",IF(AND($N323="%",$AJ323&lt;1),REPLACE(IF(AND($P323&gt;0,$V323&gt;0,$T323&gt;0,$X323&gt;0,$R323&gt;0,$Z323&gt;0,$AB323&gt;0,$AD323&gt;0,$AF323&gt;0,$AH323&gt;0),"","0-"),99,0,REPLACE(TEXT(100-$AJ323,0),99,0,"?    ")),"")))</f>
        <v/>
      </c>
      <c r="AJ323" s="1833">
        <f>IFERROR(IF(N323="%", SUM(P323,R323,T323,V323,X323,Z323,AB323,AD323,AF323,AH323)/100, SUM(P323,R323,T323,V323,X323,Z323,AB323,AD323,AF323,AH323)/H323), 0)</f>
        <v>0</v>
      </c>
      <c r="AL323" s="1832"/>
      <c r="AN323" s="1276"/>
      <c r="AP323" s="1653"/>
      <c r="AT323" s="1624" t="str">
        <f>IF(AND($C$290="", H323=""), "N/A", IF(OR(AND(ISNUMBER(H323), H323=0), AND(AJ323=1, H323&lt;&gt;"", L323&lt;&gt;"", N323&lt;&gt;"", P323&lt;&gt;"", R323&lt;&gt;"", T323&lt;&gt;"", V323&lt;&gt;"", X323&lt;&gt;"", Z323&lt;&gt;"", AB323&lt;&gt;"", AD323&lt;&gt;"", AF323&lt;&gt;"", AH323&lt;&gt;"",AL323&lt;&gt;"", IF(AND(AL323&lt;1, AN323=""), FALSE, TRUE))), "Yes", "No"))</f>
        <v>N/A</v>
      </c>
      <c r="AU323" s="759" t="b">
        <f>IF(AND(H323="",OR(L323&lt;&gt;"",P323&lt;&gt;"",R323&lt;&gt;"",T323&lt;&gt;"",V323&lt;&gt;"",X323&lt;&gt;"",AL323&lt;&gt;"",Z323&lt;&gt;"",AB323&lt;&gt;"",AD323&lt;&gt;"",AF323&lt;&gt;"",AH323&lt;&gt;"")),TRUE,FALSE)</f>
        <v>0</v>
      </c>
      <c r="AV323" s="759" t="b">
        <f>IF(OR(H323="",H323=0),FALSE,IF(H323&gt;BM323,TRUE,FALSE))</f>
        <v>0</v>
      </c>
      <c r="AW323" s="759" t="b">
        <f>IF(AND($C$290&lt;&gt;"",$H323=""),TRUE,FALSE)</f>
        <v>0</v>
      </c>
      <c r="AX323" s="759"/>
      <c r="AY323" s="759" t="b">
        <f>IF($L323="",FALSE,IF($L323&lt;$BO323,TRUE,FALSE))</f>
        <v>0</v>
      </c>
      <c r="AZ323" s="759" t="b">
        <f>IF($L323="",FALSE,IF($L323&gt;$BP323,TRUE,FALSE))</f>
        <v>0</v>
      </c>
      <c r="BA323" s="759" t="b">
        <f>IF(H323=0,FALSE,IF(AND(E323&lt;&gt;"",$L323=""),TRUE,FALSE))</f>
        <v>0</v>
      </c>
      <c r="BB323" s="759" t="b">
        <f>IF(AND($AJ323&lt;&gt;0,$H323&lt;$AJ323,$N323="LF"),TRUE,IF(AND($N323="LF",H323&lt;&gt;"",H323=AJ323),FALSE,IF(AND($AJ323&lt;&gt;0,$AJ323&gt;"100%",$N323="%"),TRUE,FALSE)))</f>
        <v>0</v>
      </c>
      <c r="BC323" s="759" t="b">
        <f>IF(AT323="No", IF(OR(P323="", R323="", T323="", V323="", X323="", Z323="", AB323="", AD323="", AF323="", AH323=""), TRUE, FALSE), FALSE)</f>
        <v>0</v>
      </c>
      <c r="BD323" s="759" t="b">
        <f>IF($BE323=TRUE,FALSE,IF(OR($AL323&lt;0,$AL323&gt;1),TRUE,FALSE))</f>
        <v>0</v>
      </c>
      <c r="BE323" s="759" t="b">
        <f>IF(AND($H323&lt;&gt;0,$AL323=""),TRUE,FALSE)</f>
        <v>0</v>
      </c>
      <c r="BF323" s="759"/>
      <c r="BH323" s="1678"/>
      <c r="BI323" s="1678" t="str">
        <f>IF(N323="", "", IF(N323="Quantity", H323, IF(N323="%", 1, "")))</f>
        <v/>
      </c>
      <c r="BJ323" s="1679">
        <f>P323+R323+T323+V323+X323+Z323+AB323+AD323+AF323+AH323</f>
        <v>0</v>
      </c>
      <c r="BK323" s="1679" t="str">
        <f>IF(BI323="", "", BI323-BJ323)</f>
        <v/>
      </c>
      <c r="BL323" s="1678">
        <f>IF($C323="","",VLOOKUP($C323,Valid!$B$87:$F$96,3,FALSE))</f>
        <v>0</v>
      </c>
      <c r="BM323" s="1678">
        <f>IF($C323="","",VLOOKUP($C323,Valid!$B$87:$F$96,4,FALSE))</f>
        <v>35</v>
      </c>
      <c r="BN323" s="1678">
        <f>IF($C323="","",VLOOKUP($C323,Valid!$B$87:$F$96,5,FALSE))</f>
        <v>100</v>
      </c>
      <c r="BO323" s="1678">
        <f>IF($C323="","",VLOOKUP($C323,Valid!$B$87:$G$96,6,FALSE))</f>
        <v>75</v>
      </c>
      <c r="BP323" s="1678">
        <f>IF($C323="","",VLOOKUP($C323,Valid!$B$87:$Z$96,7,FALSE))</f>
        <v>125</v>
      </c>
    </row>
    <row r="324" spans="1:68" s="686" customFormat="1" ht="3.95" customHeight="1" x14ac:dyDescent="0.2">
      <c r="B324" s="1791">
        <v>312</v>
      </c>
      <c r="C324" s="1674"/>
      <c r="D324" s="1709"/>
      <c r="E324" s="1057"/>
      <c r="H324" s="1917"/>
      <c r="I324" s="1651"/>
      <c r="J324" s="1651"/>
      <c r="K324" s="1651"/>
      <c r="L324" s="1917"/>
      <c r="M324" s="1651"/>
      <c r="N324" s="1651"/>
      <c r="O324" s="1651"/>
      <c r="P324" s="1866"/>
      <c r="Q324" s="1867"/>
      <c r="R324" s="1866"/>
      <c r="S324" s="1867"/>
      <c r="T324" s="1866"/>
      <c r="U324" s="1867"/>
      <c r="V324" s="1866"/>
      <c r="W324" s="1867"/>
      <c r="X324" s="1866"/>
      <c r="Y324" s="1867"/>
      <c r="Z324" s="1867"/>
      <c r="AA324" s="1867"/>
      <c r="AB324" s="1867"/>
      <c r="AC324" s="1867"/>
      <c r="AD324" s="1867"/>
      <c r="AE324" s="1867"/>
      <c r="AF324" s="1867"/>
      <c r="AG324" s="1867"/>
      <c r="AH324" s="1867"/>
      <c r="AJ324" s="1676"/>
      <c r="AL324" s="1676"/>
      <c r="AP324" s="1394"/>
      <c r="AU324" s="848"/>
      <c r="AV324" s="848"/>
      <c r="AW324" s="848"/>
      <c r="AX324" s="848"/>
      <c r="AY324" s="759"/>
      <c r="AZ324" s="759"/>
      <c r="BA324" s="848"/>
      <c r="BB324" s="759"/>
      <c r="BC324" s="848"/>
      <c r="BD324" s="848"/>
      <c r="BE324" s="848"/>
      <c r="BF324" s="848"/>
      <c r="BH324" s="1680"/>
      <c r="BI324" s="1680"/>
      <c r="BJ324" s="1680"/>
      <c r="BK324" s="1680"/>
      <c r="BL324" s="1680"/>
      <c r="BM324" s="1680"/>
      <c r="BN324" s="1680"/>
      <c r="BO324" s="1680"/>
      <c r="BP324" s="1680"/>
    </row>
    <row r="325" spans="1:68" s="686" customFormat="1" ht="3.95" customHeight="1" thickBot="1" x14ac:dyDescent="0.25">
      <c r="B325" s="1791">
        <v>313</v>
      </c>
      <c r="C325" s="1674"/>
      <c r="D325" s="1709"/>
      <c r="E325" s="1057"/>
      <c r="H325" s="1917"/>
      <c r="I325" s="1651"/>
      <c r="J325" s="1651"/>
      <c r="K325" s="1651"/>
      <c r="L325" s="1917"/>
      <c r="M325" s="1651"/>
      <c r="N325" s="1651"/>
      <c r="O325" s="1651"/>
      <c r="P325" s="1868"/>
      <c r="Q325" s="1869"/>
      <c r="R325" s="1868"/>
      <c r="S325" s="1869"/>
      <c r="T325" s="1868"/>
      <c r="U325" s="1869"/>
      <c r="V325" s="1868"/>
      <c r="W325" s="1869"/>
      <c r="X325" s="1868"/>
      <c r="Y325" s="1869"/>
      <c r="Z325" s="1869"/>
      <c r="AA325" s="1869"/>
      <c r="AB325" s="1869"/>
      <c r="AC325" s="1869"/>
      <c r="AD325" s="1869"/>
      <c r="AE325" s="1869"/>
      <c r="AF325" s="1869"/>
      <c r="AG325" s="1869"/>
      <c r="AH325" s="1869"/>
      <c r="AJ325" s="1676"/>
      <c r="AL325" s="1676"/>
      <c r="AP325" s="1394"/>
      <c r="AU325" s="848"/>
      <c r="AV325" s="848"/>
      <c r="AW325" s="848"/>
      <c r="AX325" s="848"/>
      <c r="AY325" s="759"/>
      <c r="AZ325" s="759"/>
      <c r="BA325" s="848"/>
      <c r="BB325" s="759"/>
      <c r="BC325" s="848"/>
      <c r="BD325" s="848"/>
      <c r="BE325" s="848"/>
      <c r="BF325" s="848"/>
      <c r="BH325" s="1680"/>
      <c r="BI325" s="1680"/>
      <c r="BJ325" s="1680"/>
      <c r="BK325" s="1680"/>
      <c r="BL325" s="1680"/>
      <c r="BM325" s="1680"/>
      <c r="BN325" s="1680"/>
      <c r="BO325" s="1680"/>
      <c r="BP325" s="1680"/>
    </row>
    <row r="326" spans="1:68" s="686" customFormat="1" x14ac:dyDescent="0.2">
      <c r="A326" s="852">
        <f>A323+1</f>
        <v>81</v>
      </c>
      <c r="B326" s="1791">
        <v>314</v>
      </c>
      <c r="C326" s="851" t="str">
        <f>Valid!$B$88</f>
        <v>Substation Equipment</v>
      </c>
      <c r="D326" s="1709"/>
      <c r="E326" s="1245" t="str">
        <f>IF(AT326="N/A","",IF(AT326="N","No","Yes"))</f>
        <v/>
      </c>
      <c r="H326" s="1917"/>
      <c r="I326" s="1904"/>
      <c r="J326" s="1919"/>
      <c r="K326" s="1651"/>
      <c r="L326" s="1864"/>
      <c r="M326" s="1920" t="str">
        <f>IF(AND(H323&lt;&gt;"", L326=""),REPLACE(TEXT(BN326,0),99,0," Yrs.?    "),"")</f>
        <v/>
      </c>
      <c r="N326" s="1921"/>
      <c r="O326" s="1870"/>
      <c r="P326" s="1864"/>
      <c r="Q326" s="1865" t="str">
        <f>IF(OR($N326="", AND($N326="",OR($H326="",$H326=0))),"",IF(AND($N326="Quantity",$AJ326&lt;$H326),"0 - "&amp;TEXT($H326-$AJ326,"0")&amp;" buildings?    ",IF(AND($N326="%",$AJ326&lt;1),REPLACE(IF(AND($P326&gt;0,$V326&gt;0,$T326&gt;0,$X326&gt;0,$R326&gt;0,$Z326&gt;0,$AB326&gt;0,$AD326&gt;0,$AF326&gt;0,$AH326&gt;0),"","0-"),99,0,REPLACE(TEXT(100-$AJ326,0),99,0,"?    ")),"")))</f>
        <v/>
      </c>
      <c r="R326" s="1864"/>
      <c r="S326" s="1865" t="str">
        <f>IF(OR($N326="", AND($N326="",OR($H326="",$H326=0))),"",IF(AND($N326="Quantity",$AJ326&lt;$H326),"0 - "&amp;TEXT($H326-$AJ326,"0")&amp;" buildings?    ",IF(AND($N326="%",$AJ326&lt;1),REPLACE(IF(AND($P326&gt;0,$V326&gt;0,$T326&gt;0,$X326&gt;0,$R326&gt;0,$Z326&gt;0,$AB326&gt;0,$AD326&gt;0,$AF326&gt;0,$AH326&gt;0),"","0-"),99,0,REPLACE(TEXT(100-$AJ326,0),99,0,"?    ")),"")))</f>
        <v/>
      </c>
      <c r="T326" s="1864"/>
      <c r="U326" s="1865" t="str">
        <f>IF(OR($N326="", AND($N326="",OR($H326="",$H326=0))),"",IF(AND($N326="Quantity",$AJ326&lt;$H326),"0 - "&amp;TEXT($H326-$AJ326,"0")&amp;" buildings?    ",IF(AND($N326="%",$AJ326&lt;1),REPLACE(IF(AND($P326&gt;0,$V326&gt;0,$T326&gt;0,$X326&gt;0,$R326&gt;0,$Z326&gt;0,$AB326&gt;0,$AD326&gt;0,$AF326&gt;0,$AH326&gt;0),"","0-"),99,0,REPLACE(TEXT(100-$AJ326,0),99,0,"?    ")),"")))</f>
        <v/>
      </c>
      <c r="V326" s="1864"/>
      <c r="W326" s="1865" t="str">
        <f>IF(OR($N326="", AND($N326="",OR($H326="",$H326=0))),"",IF(AND($N326="Quantity",$AJ326&lt;$H326),"0 - "&amp;TEXT($H326-$AJ326,"0")&amp;" buildings?    ",IF(AND($N326="%",$AJ326&lt;1),REPLACE(IF(AND($P326&gt;0,$V326&gt;0,$T326&gt;0,$X326&gt;0,$R326&gt;0,$Z326&gt;0,$AB326&gt;0,$AD326&gt;0,$AF326&gt;0,$AH326&gt;0),"","0-"),99,0,REPLACE(TEXT(100-$AJ326,0),99,0,"?    ")),"")))</f>
        <v/>
      </c>
      <c r="X326" s="1864"/>
      <c r="Y326" s="1865" t="str">
        <f>IF(OR($N326="", AND($N326="",OR($H326="",$H326=0))),"",IF(AND($N326="Quantity",$AJ326&lt;$H326),"0 - "&amp;TEXT($H326-$AJ326,"0")&amp;" buildings?    ",IF(AND($N326="%",$AJ326&lt;1),REPLACE(IF(AND($P326&gt;0,$V326&gt;0,$T326&gt;0,$X326&gt;0,$R326&gt;0,$Z326&gt;0,$AB326&gt;0,$AD326&gt;0,$AF326&gt;0,$AH326&gt;0),"","0-"),99,0,REPLACE(TEXT(100-$AJ326,0),99,0,"?    ")),"")))</f>
        <v/>
      </c>
      <c r="Z326" s="1864"/>
      <c r="AA326" s="1865" t="str">
        <f>IF(OR($N326="", AND($N326="",OR($H326="",$H326=0))),"",IF(AND($N326="Quantity",$AJ326&lt;$H326),"0 - "&amp;TEXT($H326-$AJ326,"0")&amp;" buildings?    ",IF(AND($N326="%",$AJ326&lt;1),REPLACE(IF(AND($P326&gt;0,$V326&gt;0,$T326&gt;0,$X326&gt;0,$R326&gt;0,$Z326&gt;0,$AB326&gt;0,$AD326&gt;0,$AF326&gt;0,$AH326&gt;0),"","0-"),99,0,REPLACE(TEXT(100-$AJ326,0),99,0,"?    ")),"")))</f>
        <v/>
      </c>
      <c r="AB326" s="1864"/>
      <c r="AC326" s="1865" t="str">
        <f>IF(OR($N326="", AND($N326="",OR($H326="",$H326=0))),"",IF(AND($N326="Quantity",$AJ326&lt;$H326),"0 - "&amp;TEXT($H326-$AJ326,"0")&amp;" buildings?    ",IF(AND($N326="%",$AJ326&lt;1),REPLACE(IF(AND($P326&gt;0,$V326&gt;0,$T326&gt;0,$X326&gt;0,$R326&gt;0,$Z326&gt;0,$AB326&gt;0,$AD326&gt;0,$AF326&gt;0,$AH326&gt;0),"","0-"),99,0,REPLACE(TEXT(100-$AJ326,0),99,0,"?    ")),"")))</f>
        <v/>
      </c>
      <c r="AD326" s="1864"/>
      <c r="AE326" s="1865" t="str">
        <f>IF(OR($N326="", AND($N326="",OR($H326="",$H326=0))),"",IF(AND($N326="Quantity",$AJ326&lt;$H326),"0 - "&amp;TEXT($H326-$AJ326,"0")&amp;" buildings?    ",IF(AND($N326="%",$AJ326&lt;1),REPLACE(IF(AND($P326&gt;0,$V326&gt;0,$T326&gt;0,$X326&gt;0,$R326&gt;0,$Z326&gt;0,$AB326&gt;0,$AD326&gt;0,$AF326&gt;0,$AH326&gt;0),"","0-"),99,0,REPLACE(TEXT(100-$AJ326,0),99,0,"?    ")),"")))</f>
        <v/>
      </c>
      <c r="AF326" s="1864"/>
      <c r="AG326" s="1865" t="str">
        <f>IF(OR($N326="", AND($N326="",OR($H326="",$H326=0))),"",IF(AND($N326="Quantity",$AJ326&lt;$H326),"0 - "&amp;TEXT($H326-$AJ326,"0")&amp;" buildings?    ",IF(AND($N326="%",$AJ326&lt;1),REPLACE(IF(AND($P326&gt;0,$V326&gt;0,$T326&gt;0,$X326&gt;0,$R326&gt;0,$Z326&gt;0,$AB326&gt;0,$AD326&gt;0,$AF326&gt;0,$AH326&gt;0),"","0-"),99,0,REPLACE(TEXT(100-$AJ326,0),99,0,"?    ")),"")))</f>
        <v/>
      </c>
      <c r="AH326" s="1864"/>
      <c r="AI326" s="1865" t="str">
        <f>IF(OR($N326="", AND($N326="",OR($H326="",$H326=0))),"",IF(AND($N326="Quantity",$AJ326&lt;$H326),"0 - "&amp;TEXT($H326-$AJ326,"0")&amp;" buildings?    ",IF(AND($N326="%",$AJ326&lt;1),REPLACE(IF(AND($P326&gt;0,$V326&gt;0,$T326&gt;0,$X326&gt;0,$R326&gt;0,$Z326&gt;0,$AB326&gt;0,$AD326&gt;0,$AF326&gt;0,$AH326&gt;0),"","0-"),99,0,REPLACE(TEXT(100-$AJ326,0),99,0,"?    ")),"")))</f>
        <v/>
      </c>
      <c r="AJ326" s="1833">
        <f>IFERROR(IF(N326="%", SUM(P326,R326,T326,V326,X326,Z326,AB326,AD326,AF326,AH326)/100, SUM(P326,R326,T326,V326,X326,Z326,AB326,AD326,AF326,AH326)/H326), 0)</f>
        <v>0</v>
      </c>
      <c r="AL326" s="1832"/>
      <c r="AN326" s="1276"/>
      <c r="AP326" s="1653"/>
      <c r="AT326" s="1624" t="str">
        <f>IF(AND($C$290="", L326=""), "N/A", IF(AND(AJ326=1, L326&lt;&gt;"", N326&lt;&gt;"", P326&lt;&gt;"", R326&lt;&gt;"", T326&lt;&gt;"", V326&lt;&gt;"", X326&lt;&gt;"", Z326&lt;&gt;"", AB326&lt;&gt;"", AD326&lt;&gt;"", AF326&lt;&gt;"", AH326&lt;&gt;"",AL326&lt;&gt;"", IF(AND(AL326&lt;1, AN326=""), FALSE, TRUE)), "Yes", "No"))</f>
        <v>N/A</v>
      </c>
      <c r="AU326" s="759"/>
      <c r="AV326" s="759"/>
      <c r="AW326" s="759"/>
      <c r="AX326" s="759"/>
      <c r="AY326" s="759" t="b">
        <f>IF($L326="",FALSE,IF($L326&lt;$BO326,TRUE,FALSE))</f>
        <v>0</v>
      </c>
      <c r="AZ326" s="759" t="b">
        <f>IF($L326="",FALSE,IF($L326&gt;$BP326,TRUE,FALSE))</f>
        <v>0</v>
      </c>
      <c r="BA326" s="759" t="b">
        <f>IF(AND(E326&lt;&gt;"",$L326=""),TRUE,FALSE)</f>
        <v>0</v>
      </c>
      <c r="BB326" s="759" t="b">
        <f>IF(AND($AJ326&lt;&gt;0,$H326&lt;$AJ326,$N326="LF"),TRUE,IF(AND($N326="LF",H326&lt;&gt;"",H326=AJ326),FALSE,IF(AND($AJ326&lt;&gt;0,$AJ326&gt;"100%",$N326="%"),TRUE,FALSE)))</f>
        <v>0</v>
      </c>
      <c r="BC326" s="759" t="b">
        <f>IF(AT326="No", IF(OR(P326="", R326="", T326="", V326="", X326="", Z326="", AB326="", AD326="", AF326="", AH326=""), TRUE, FALSE), FALSE)</f>
        <v>0</v>
      </c>
      <c r="BD326" s="759" t="b">
        <f>IF($BE326=TRUE,FALSE,IF(OR($AL326&lt;0,$AL326&gt;1),TRUE,FALSE))</f>
        <v>0</v>
      </c>
      <c r="BE326" s="759" t="b">
        <f>IF(AND($E326&lt;&gt;"",$AL326=""),TRUE,FALSE)</f>
        <v>0</v>
      </c>
      <c r="BF326" s="759"/>
      <c r="BH326" s="1680"/>
      <c r="BI326" s="1678" t="str">
        <f>IF(N326="", "", IF(N326="Quantity", H326, IF(N326="%", 1, "")))</f>
        <v/>
      </c>
      <c r="BJ326" s="1679">
        <f>P326+R326+T326+V326+X326+Z326+AB326+AD326+AF326+AH326</f>
        <v>0</v>
      </c>
      <c r="BK326" s="1679" t="str">
        <f>IF(BI326="", "", BI326-BJ326)</f>
        <v/>
      </c>
      <c r="BL326" s="1680"/>
      <c r="BM326" s="1680"/>
      <c r="BN326" s="1678">
        <f>IF($C326="","",VLOOKUP($C326,Valid!$B$87:$F$96,5,FALSE))</f>
        <v>25</v>
      </c>
      <c r="BO326" s="1678">
        <f>IF($C326="","",VLOOKUP($C326,Valid!$B$87:$G$96,6,FALSE))</f>
        <v>19</v>
      </c>
      <c r="BP326" s="1678">
        <f>IF($C326="","",VLOOKUP($C326,Valid!$B$87:$Z$96,7,FALSE))</f>
        <v>31</v>
      </c>
    </row>
    <row r="327" spans="1:68" s="686" customFormat="1" ht="3.95" customHeight="1" x14ac:dyDescent="0.2">
      <c r="B327" s="1790">
        <v>315</v>
      </c>
      <c r="C327" s="1674"/>
      <c r="D327" s="1709"/>
      <c r="E327" s="1057"/>
      <c r="H327" s="1917"/>
      <c r="I327" s="1651"/>
      <c r="J327" s="1651"/>
      <c r="K327" s="1651"/>
      <c r="L327" s="1917"/>
      <c r="M327" s="1651"/>
      <c r="N327" s="1651"/>
      <c r="O327" s="1651"/>
      <c r="P327" s="1866"/>
      <c r="Q327" s="1867"/>
      <c r="R327" s="1866"/>
      <c r="S327" s="1867"/>
      <c r="T327" s="1866"/>
      <c r="U327" s="1867"/>
      <c r="V327" s="1866"/>
      <c r="W327" s="1867"/>
      <c r="X327" s="1866"/>
      <c r="Y327" s="1867"/>
      <c r="Z327" s="1867"/>
      <c r="AA327" s="1867"/>
      <c r="AB327" s="1867"/>
      <c r="AC327" s="1867"/>
      <c r="AD327" s="1867"/>
      <c r="AE327" s="1867"/>
      <c r="AF327" s="1867"/>
      <c r="AG327" s="1867"/>
      <c r="AH327" s="1867"/>
      <c r="AJ327" s="1676"/>
      <c r="AL327" s="1676"/>
      <c r="AP327" s="1394"/>
      <c r="AU327" s="848"/>
      <c r="AV327" s="848"/>
      <c r="AW327" s="848"/>
      <c r="AX327" s="848"/>
      <c r="AY327" s="759"/>
      <c r="AZ327" s="759"/>
      <c r="BA327" s="848"/>
      <c r="BB327" s="759"/>
      <c r="BC327" s="848"/>
      <c r="BD327" s="848"/>
      <c r="BE327" s="848"/>
      <c r="BF327" s="848"/>
      <c r="BH327" s="1680"/>
      <c r="BI327" s="1680"/>
      <c r="BJ327" s="1680"/>
      <c r="BK327" s="1680"/>
      <c r="BL327" s="1680"/>
      <c r="BM327" s="1680"/>
      <c r="BN327" s="1680"/>
      <c r="BO327" s="1680"/>
      <c r="BP327" s="1680"/>
    </row>
    <row r="328" spans="1:68" s="686" customFormat="1" ht="3.95" customHeight="1" thickBot="1" x14ac:dyDescent="0.25">
      <c r="B328" s="1790">
        <v>316</v>
      </c>
      <c r="C328" s="1674"/>
      <c r="D328" s="1709"/>
      <c r="E328" s="1057"/>
      <c r="H328" s="1917"/>
      <c r="I328" s="1651"/>
      <c r="J328" s="1651"/>
      <c r="K328" s="1651"/>
      <c r="L328" s="1917"/>
      <c r="M328" s="1651"/>
      <c r="N328" s="1651"/>
      <c r="O328" s="1651"/>
      <c r="P328" s="1868"/>
      <c r="Q328" s="1869"/>
      <c r="R328" s="1868"/>
      <c r="S328" s="1869"/>
      <c r="T328" s="1868"/>
      <c r="U328" s="1869"/>
      <c r="V328" s="1868"/>
      <c r="W328" s="1869"/>
      <c r="X328" s="1868"/>
      <c r="Y328" s="1869"/>
      <c r="Z328" s="1869"/>
      <c r="AA328" s="1869"/>
      <c r="AB328" s="1869"/>
      <c r="AC328" s="1869"/>
      <c r="AD328" s="1869"/>
      <c r="AE328" s="1869"/>
      <c r="AF328" s="1869"/>
      <c r="AG328" s="1869"/>
      <c r="AH328" s="1869"/>
      <c r="AI328" s="1670"/>
      <c r="AJ328" s="1676"/>
      <c r="AL328" s="1676"/>
      <c r="AP328" s="1394"/>
      <c r="AU328" s="848"/>
      <c r="AV328" s="848"/>
      <c r="AW328" s="848"/>
      <c r="AX328" s="848"/>
      <c r="AY328" s="759"/>
      <c r="AZ328" s="759"/>
      <c r="BA328" s="848"/>
      <c r="BB328" s="759"/>
      <c r="BC328" s="848"/>
      <c r="BD328" s="848"/>
      <c r="BE328" s="848"/>
      <c r="BF328" s="848"/>
      <c r="BH328" s="1680"/>
      <c r="BI328" s="1680"/>
      <c r="BJ328" s="1680"/>
      <c r="BK328" s="1680"/>
      <c r="BL328" s="1680"/>
      <c r="BM328" s="1680"/>
      <c r="BN328" s="1680"/>
      <c r="BO328" s="1680"/>
      <c r="BP328" s="1680"/>
    </row>
    <row r="329" spans="1:68" s="686" customFormat="1" x14ac:dyDescent="0.2">
      <c r="A329" s="852">
        <f>A326+1</f>
        <v>82</v>
      </c>
      <c r="B329" s="1791">
        <v>317</v>
      </c>
      <c r="C329" s="851" t="str">
        <f>Valid!$B$89</f>
        <v>Third Rail/Power Distribution</v>
      </c>
      <c r="D329" s="1709"/>
      <c r="E329" s="1245" t="str">
        <f>IF(AT329="N/A","",IF(AT329="N","No","Yes"))</f>
        <v/>
      </c>
      <c r="H329" s="1917"/>
      <c r="I329" s="1904"/>
      <c r="J329" s="1651"/>
      <c r="K329" s="1651"/>
      <c r="L329" s="1864"/>
      <c r="M329" s="1920" t="str">
        <f>IF(AND(H323&lt;&gt;"", L329=""),REPLACE(TEXT(BN329,0),99,0," Yrs.?    "),"")</f>
        <v/>
      </c>
      <c r="N329" s="1921"/>
      <c r="O329" s="1870"/>
      <c r="P329" s="1864"/>
      <c r="Q329" s="1865" t="str">
        <f>IF(OR($N329="", AND($N329="",OR($H329="",$H329=0))),"",IF(AND($N329="Quantity",$AJ329&lt;$H329),"0 - "&amp;TEXT($H329-$AJ329,"0")&amp;" buildings?    ",IF(AND($N329="%",$AJ329&lt;1),REPLACE(IF(AND($P329&gt;0,$V329&gt;0,$T329&gt;0,$X329&gt;0,$R329&gt;0,$Z329&gt;0,$AB329&gt;0,$AD329&gt;0,$AF329&gt;0,$AH329&gt;0),"","0-"),99,0,REPLACE(TEXT(100-$AJ329,0),99,0,"?    ")),"")))</f>
        <v/>
      </c>
      <c r="R329" s="1864"/>
      <c r="S329" s="1865" t="str">
        <f>IF(OR($N329="", AND($N329="",OR($H329="",$H329=0))),"",IF(AND($N329="Quantity",$AJ329&lt;$H329),"0 - "&amp;TEXT($H329-$AJ329,"0")&amp;" buildings?    ",IF(AND($N329="%",$AJ329&lt;1),REPLACE(IF(AND($P329&gt;0,$V329&gt;0,$T329&gt;0,$X329&gt;0,$R329&gt;0,$Z329&gt;0,$AB329&gt;0,$AD329&gt;0,$AF329&gt;0,$AH329&gt;0),"","0-"),99,0,REPLACE(TEXT(100-$AJ329,0),99,0,"?    ")),"")))</f>
        <v/>
      </c>
      <c r="T329" s="1864"/>
      <c r="U329" s="1865" t="str">
        <f>IF(OR($N329="", AND($N329="",OR($H329="",$H329=0))),"",IF(AND($N329="Quantity",$AJ329&lt;$H329),"0 - "&amp;TEXT($H329-$AJ329,"0")&amp;" buildings?    ",IF(AND($N329="%",$AJ329&lt;1),REPLACE(IF(AND($P329&gt;0,$V329&gt;0,$T329&gt;0,$X329&gt;0,$R329&gt;0,$Z329&gt;0,$AB329&gt;0,$AD329&gt;0,$AF329&gt;0,$AH329&gt;0),"","0-"),99,0,REPLACE(TEXT(100-$AJ329,0),99,0,"?    ")),"")))</f>
        <v/>
      </c>
      <c r="V329" s="1864"/>
      <c r="W329" s="1865" t="str">
        <f>IF(OR($N329="", AND($N329="",OR($H329="",$H329=0))),"",IF(AND($N329="Quantity",$AJ329&lt;$H329),"0 - "&amp;TEXT($H329-$AJ329,"0")&amp;" buildings?    ",IF(AND($N329="%",$AJ329&lt;1),REPLACE(IF(AND($P329&gt;0,$V329&gt;0,$T329&gt;0,$X329&gt;0,$R329&gt;0,$Z329&gt;0,$AB329&gt;0,$AD329&gt;0,$AF329&gt;0,$AH329&gt;0),"","0-"),99,0,REPLACE(TEXT(100-$AJ329,0),99,0,"?    ")),"")))</f>
        <v/>
      </c>
      <c r="X329" s="1864"/>
      <c r="Y329" s="1865" t="str">
        <f>IF(OR($N329="", AND($N329="",OR($H329="",$H329=0))),"",IF(AND($N329="Quantity",$AJ329&lt;$H329),"0 - "&amp;TEXT($H329-$AJ329,"0")&amp;" buildings?    ",IF(AND($N329="%",$AJ329&lt;1),REPLACE(IF(AND($P329&gt;0,$V329&gt;0,$T329&gt;0,$X329&gt;0,$R329&gt;0,$Z329&gt;0,$AB329&gt;0,$AD329&gt;0,$AF329&gt;0,$AH329&gt;0),"","0-"),99,0,REPLACE(TEXT(100-$AJ329,0),99,0,"?    ")),"")))</f>
        <v/>
      </c>
      <c r="Z329" s="1864"/>
      <c r="AA329" s="1865" t="str">
        <f>IF(OR($N329="", AND($N329="",OR($H329="",$H329=0))),"",IF(AND($N329="Quantity",$AJ329&lt;$H329),"0 - "&amp;TEXT($H329-$AJ329,"0")&amp;" buildings?    ",IF(AND($N329="%",$AJ329&lt;1),REPLACE(IF(AND($P329&gt;0,$V329&gt;0,$T329&gt;0,$X329&gt;0,$R329&gt;0,$Z329&gt;0,$AB329&gt;0,$AD329&gt;0,$AF329&gt;0,$AH329&gt;0),"","0-"),99,0,REPLACE(TEXT(100-$AJ329,0),99,0,"?    ")),"")))</f>
        <v/>
      </c>
      <c r="AB329" s="1864"/>
      <c r="AC329" s="1865" t="str">
        <f>IF(OR($N329="", AND($N329="",OR($H329="",$H329=0))),"",IF(AND($N329="Quantity",$AJ329&lt;$H329),"0 - "&amp;TEXT($H329-$AJ329,"0")&amp;" buildings?    ",IF(AND($N329="%",$AJ329&lt;1),REPLACE(IF(AND($P329&gt;0,$V329&gt;0,$T329&gt;0,$X329&gt;0,$R329&gt;0,$Z329&gt;0,$AB329&gt;0,$AD329&gt;0,$AF329&gt;0,$AH329&gt;0),"","0-"),99,0,REPLACE(TEXT(100-$AJ329,0),99,0,"?    ")),"")))</f>
        <v/>
      </c>
      <c r="AD329" s="1864"/>
      <c r="AE329" s="1865" t="str">
        <f>IF(OR($N329="", AND($N329="",OR($H329="",$H329=0))),"",IF(AND($N329="Quantity",$AJ329&lt;$H329),"0 - "&amp;TEXT($H329-$AJ329,"0")&amp;" buildings?    ",IF(AND($N329="%",$AJ329&lt;1),REPLACE(IF(AND($P329&gt;0,$V329&gt;0,$T329&gt;0,$X329&gt;0,$R329&gt;0,$Z329&gt;0,$AB329&gt;0,$AD329&gt;0,$AF329&gt;0,$AH329&gt;0),"","0-"),99,0,REPLACE(TEXT(100-$AJ329,0),99,0,"?    ")),"")))</f>
        <v/>
      </c>
      <c r="AF329" s="1864"/>
      <c r="AG329" s="1865" t="str">
        <f>IF(OR($N329="", AND($N329="",OR($H329="",$H329=0))),"",IF(AND($N329="Quantity",$AJ329&lt;$H329),"0 - "&amp;TEXT($H329-$AJ329,"0")&amp;" buildings?    ",IF(AND($N329="%",$AJ329&lt;1),REPLACE(IF(AND($P329&gt;0,$V329&gt;0,$T329&gt;0,$X329&gt;0,$R329&gt;0,$Z329&gt;0,$AB329&gt;0,$AD329&gt;0,$AF329&gt;0,$AH329&gt;0),"","0-"),99,0,REPLACE(TEXT(100-$AJ329,0),99,0,"?    ")),"")))</f>
        <v/>
      </c>
      <c r="AH329" s="1864"/>
      <c r="AI329" s="1865" t="str">
        <f>IF(OR($N329="", AND($N329="",OR($H329="",$H329=0))),"",IF(AND($N329="Quantity",$AJ329&lt;$H329),"0 - "&amp;TEXT($H329-$AJ329,"0")&amp;" buildings?    ",IF(AND($N329="%",$AJ329&lt;1),REPLACE(IF(AND($P329&gt;0,$V329&gt;0,$T329&gt;0,$X329&gt;0,$R329&gt;0,$Z329&gt;0,$AB329&gt;0,$AD329&gt;0,$AF329&gt;0,$AH329&gt;0),"","0-"),99,0,REPLACE(TEXT(100-$AJ329,0),99,0,"?    ")),"")))</f>
        <v/>
      </c>
      <c r="AJ329" s="1833">
        <f>IFERROR(IF(N329="%", SUM(P329,R329,T329,V329,X329,Z329,AB329,AD329,AF329,AH329)/100, SUM(P329,R329,T329,V329,X329,Z329,AB329,AD329,AF329,AH329)/H329), 0)</f>
        <v>0</v>
      </c>
      <c r="AL329" s="1832"/>
      <c r="AN329" s="1276"/>
      <c r="AP329" s="1653"/>
      <c r="AT329" s="1624" t="str">
        <f>IF(AND($C$290="", L329=""), "N/A", IF(AND(AJ329=1, L329&lt;&gt;"", N329&lt;&gt;"", P329&lt;&gt;"", R329&lt;&gt;"", T329&lt;&gt;"", V329&lt;&gt;"", X329&lt;&gt;"", Z329&lt;&gt;"", AB329&lt;&gt;"", AD329&lt;&gt;"", AF329&lt;&gt;"", AH329&lt;&gt;"",AL329&lt;&gt;"", IF(AND(AL329&lt;1, AN329=""), FALSE, TRUE)), "Yes", "No"))</f>
        <v>N/A</v>
      </c>
      <c r="AU329" s="759"/>
      <c r="AV329" s="759"/>
      <c r="AW329" s="759"/>
      <c r="AX329" s="759"/>
      <c r="AY329" s="759" t="b">
        <f>IF($L329="",FALSE,IF($L329&lt;$BO329,TRUE,FALSE))</f>
        <v>0</v>
      </c>
      <c r="AZ329" s="759" t="b">
        <f>IF($L329="",FALSE,IF($L329&gt;$BP329,TRUE,FALSE))</f>
        <v>0</v>
      </c>
      <c r="BA329" s="759" t="b">
        <f>IF(AND(E329&lt;&gt;"",$L329=""),TRUE,FALSE)</f>
        <v>0</v>
      </c>
      <c r="BB329" s="759" t="b">
        <f>IF(AND($AJ329&lt;&gt;0,$H329&lt;$AJ329,$N329="LF"),TRUE,IF(AND($N329="LF",H329&lt;&gt;"",H329=AJ329),FALSE,IF(AND($AJ329&lt;&gt;0,$AJ329&gt;"100%",$N329="%"),TRUE,FALSE)))</f>
        <v>0</v>
      </c>
      <c r="BC329" s="759" t="b">
        <f>IF(AT329="No", IF(OR(P329="", R329="", T329="", V329="", X329="", Z329="", AB329="", AD329="", AF329="", AH329=""), TRUE, FALSE), FALSE)</f>
        <v>0</v>
      </c>
      <c r="BD329" s="759" t="b">
        <f>IF($BE329=TRUE,FALSE,IF(OR($AL329&lt;0,$AL329&gt;1),TRUE,FALSE))</f>
        <v>0</v>
      </c>
      <c r="BE329" s="759" t="b">
        <f>IF(AND($E329&lt;&gt;"",$AL329=""),TRUE,FALSE)</f>
        <v>0</v>
      </c>
      <c r="BF329" s="759"/>
      <c r="BH329" s="1680"/>
      <c r="BI329" s="1678" t="str">
        <f>IF(N329="", "", IF(N329="Quantity", H329, IF(N329="%", 1, "")))</f>
        <v/>
      </c>
      <c r="BJ329" s="1679">
        <f>P329+R329+T329+V329+X329+Z329+AB329+AD329+AF329+AH329</f>
        <v>0</v>
      </c>
      <c r="BK329" s="1679" t="str">
        <f>IF(BI329="", "", BI329-BJ329)</f>
        <v/>
      </c>
      <c r="BL329" s="1680"/>
      <c r="BM329" s="1680"/>
      <c r="BN329" s="1678">
        <f>IF($C329="","",VLOOKUP($C329,Valid!$B$87:$F$96,5,FALSE))</f>
        <v>25</v>
      </c>
      <c r="BO329" s="1678">
        <f>IF($C329="","",VLOOKUP($C329,Valid!$B$87:$G$96,6,FALSE))</f>
        <v>19</v>
      </c>
      <c r="BP329" s="1678">
        <f>IF($C329="","",VLOOKUP($C329,Valid!$B$87:$Z$96,7,FALSE))</f>
        <v>31</v>
      </c>
    </row>
    <row r="330" spans="1:68" s="686" customFormat="1" ht="3.95" customHeight="1" x14ac:dyDescent="0.2">
      <c r="B330" s="1791">
        <v>318</v>
      </c>
      <c r="C330" s="1674"/>
      <c r="D330" s="1709"/>
      <c r="E330" s="1057"/>
      <c r="H330" s="1917"/>
      <c r="I330" s="1651"/>
      <c r="J330" s="1651"/>
      <c r="K330" s="1651"/>
      <c r="L330" s="1917"/>
      <c r="M330" s="1651"/>
      <c r="N330" s="1651"/>
      <c r="O330" s="1651"/>
      <c r="P330" s="1866"/>
      <c r="Q330" s="1867"/>
      <c r="R330" s="1866"/>
      <c r="S330" s="1867"/>
      <c r="T330" s="1866"/>
      <c r="U330" s="1867"/>
      <c r="V330" s="1866"/>
      <c r="W330" s="1867"/>
      <c r="X330" s="1866"/>
      <c r="Y330" s="1867"/>
      <c r="Z330" s="1867"/>
      <c r="AA330" s="1867"/>
      <c r="AB330" s="1867"/>
      <c r="AC330" s="1867"/>
      <c r="AD330" s="1867"/>
      <c r="AE330" s="1867"/>
      <c r="AF330" s="1867"/>
      <c r="AG330" s="1867"/>
      <c r="AH330" s="1867"/>
      <c r="AJ330" s="1676"/>
      <c r="AL330" s="1676"/>
      <c r="AP330" s="1394"/>
      <c r="AU330" s="848"/>
      <c r="AV330" s="848"/>
      <c r="AW330" s="848"/>
      <c r="AX330" s="848"/>
      <c r="AY330" s="759"/>
      <c r="AZ330" s="759"/>
      <c r="BA330" s="848"/>
      <c r="BB330" s="759"/>
      <c r="BC330" s="848"/>
      <c r="BD330" s="848"/>
      <c r="BE330" s="848"/>
      <c r="BF330" s="848"/>
      <c r="BH330" s="1680"/>
      <c r="BI330" s="1680"/>
      <c r="BJ330" s="1680"/>
      <c r="BK330" s="1680"/>
      <c r="BL330" s="1680"/>
      <c r="BM330" s="1680"/>
      <c r="BN330" s="1680"/>
      <c r="BO330" s="1680"/>
      <c r="BP330" s="1680"/>
    </row>
    <row r="331" spans="1:68" s="686" customFormat="1" ht="3.95" customHeight="1" thickBot="1" x14ac:dyDescent="0.25">
      <c r="B331" s="1791">
        <v>319</v>
      </c>
      <c r="C331" s="1674"/>
      <c r="D331" s="1709"/>
      <c r="E331" s="1057"/>
      <c r="H331" s="1917"/>
      <c r="I331" s="1651"/>
      <c r="J331" s="1651"/>
      <c r="K331" s="1651"/>
      <c r="L331" s="1917"/>
      <c r="M331" s="1651"/>
      <c r="N331" s="1651"/>
      <c r="O331" s="1651"/>
      <c r="P331" s="1868"/>
      <c r="Q331" s="1869"/>
      <c r="R331" s="1868"/>
      <c r="S331" s="1869"/>
      <c r="T331" s="1868"/>
      <c r="U331" s="1869"/>
      <c r="V331" s="1868"/>
      <c r="W331" s="1869"/>
      <c r="X331" s="1868"/>
      <c r="Y331" s="1869"/>
      <c r="Z331" s="1869"/>
      <c r="AA331" s="1869"/>
      <c r="AB331" s="1869"/>
      <c r="AC331" s="1869"/>
      <c r="AD331" s="1869"/>
      <c r="AE331" s="1869"/>
      <c r="AF331" s="1869"/>
      <c r="AG331" s="1869"/>
      <c r="AH331" s="1869"/>
      <c r="AI331" s="1670"/>
      <c r="AJ331" s="1676"/>
      <c r="AL331" s="1676"/>
      <c r="AP331" s="1394"/>
      <c r="AU331" s="848"/>
      <c r="AV331" s="848"/>
      <c r="AW331" s="848"/>
      <c r="AX331" s="848"/>
      <c r="AY331" s="759"/>
      <c r="AZ331" s="759"/>
      <c r="BA331" s="848"/>
      <c r="BB331" s="759"/>
      <c r="BC331" s="848"/>
      <c r="BD331" s="848"/>
      <c r="BE331" s="848"/>
      <c r="BF331" s="848"/>
      <c r="BH331" s="1680"/>
      <c r="BI331" s="1680"/>
      <c r="BJ331" s="1680"/>
      <c r="BK331" s="1680"/>
      <c r="BL331" s="1680"/>
      <c r="BM331" s="1680"/>
      <c r="BN331" s="1680"/>
      <c r="BO331" s="1680"/>
      <c r="BP331" s="1680"/>
    </row>
    <row r="332" spans="1:68" s="686" customFormat="1" x14ac:dyDescent="0.2">
      <c r="A332" s="852">
        <f>A329+1</f>
        <v>83</v>
      </c>
      <c r="B332" s="1790">
        <v>320</v>
      </c>
      <c r="C332" s="851" t="str">
        <f>Valid!$B$90</f>
        <v>Overhead Contact System/Power Distribution</v>
      </c>
      <c r="D332" s="1709"/>
      <c r="E332" s="1245" t="str">
        <f>IF(AT332="N/A","",IF(AT332="N","No","Yes"))</f>
        <v/>
      </c>
      <c r="H332" s="1917"/>
      <c r="I332" s="1904"/>
      <c r="J332" s="1651"/>
      <c r="K332" s="1651"/>
      <c r="L332" s="1864"/>
      <c r="M332" s="1920" t="str">
        <f>IF(AND(H323&lt;&gt;"", L332=""),REPLACE(TEXT(BN332,0),99,0," Yrs.?    "),"")</f>
        <v/>
      </c>
      <c r="N332" s="1921"/>
      <c r="O332" s="1870"/>
      <c r="P332" s="1864"/>
      <c r="Q332" s="1865" t="str">
        <f>IF(OR($N332="", AND($N332="",OR($H332="",$H332=0))),"",IF(AND($N332="Quantity",$AJ332&lt;$H332),"0 - "&amp;TEXT($H332-$AJ332,"0")&amp;" buildings?    ",IF(AND($N332="%",$AJ332&lt;1),REPLACE(IF(AND($P332&gt;0,$V332&gt;0,$T332&gt;0,$X332&gt;0,$R332&gt;0,$Z332&gt;0,$AB332&gt;0,$AD332&gt;0,$AF332&gt;0,$AH332&gt;0),"","0-"),99,0,REPLACE(TEXT(100-$AJ332,0),99,0,"?    ")),"")))</f>
        <v/>
      </c>
      <c r="R332" s="1864"/>
      <c r="S332" s="1865" t="str">
        <f>IF(OR($N332="", AND($N332="",OR($H332="",$H332=0))),"",IF(AND($N332="Quantity",$AJ332&lt;$H332),"0 - "&amp;TEXT($H332-$AJ332,"0")&amp;" buildings?    ",IF(AND($N332="%",$AJ332&lt;1),REPLACE(IF(AND($P332&gt;0,$V332&gt;0,$T332&gt;0,$X332&gt;0,$R332&gt;0,$Z332&gt;0,$AB332&gt;0,$AD332&gt;0,$AF332&gt;0,$AH332&gt;0),"","0-"),99,0,REPLACE(TEXT(100-$AJ332,0),99,0,"?    ")),"")))</f>
        <v/>
      </c>
      <c r="T332" s="1864"/>
      <c r="U332" s="1865" t="str">
        <f>IF(OR($N332="", AND($N332="",OR($H332="",$H332=0))),"",IF(AND($N332="Quantity",$AJ332&lt;$H332),"0 - "&amp;TEXT($H332-$AJ332,"0")&amp;" buildings?    ",IF(AND($N332="%",$AJ332&lt;1),REPLACE(IF(AND($P332&gt;0,$V332&gt;0,$T332&gt;0,$X332&gt;0,$R332&gt;0,$Z332&gt;0,$AB332&gt;0,$AD332&gt;0,$AF332&gt;0,$AH332&gt;0),"","0-"),99,0,REPLACE(TEXT(100-$AJ332,0),99,0,"?    ")),"")))</f>
        <v/>
      </c>
      <c r="V332" s="1864"/>
      <c r="W332" s="1865" t="str">
        <f>IF(OR($N332="", AND($N332="",OR($H332="",$H332=0))),"",IF(AND($N332="Quantity",$AJ332&lt;$H332),"0 - "&amp;TEXT($H332-$AJ332,"0")&amp;" buildings?    ",IF(AND($N332="%",$AJ332&lt;1),REPLACE(IF(AND($P332&gt;0,$V332&gt;0,$T332&gt;0,$X332&gt;0,$R332&gt;0,$Z332&gt;0,$AB332&gt;0,$AD332&gt;0,$AF332&gt;0,$AH332&gt;0),"","0-"),99,0,REPLACE(TEXT(100-$AJ332,0),99,0,"?    ")),"")))</f>
        <v/>
      </c>
      <c r="X332" s="1864"/>
      <c r="Y332" s="1865" t="str">
        <f>IF(OR($N332="", AND($N332="",OR($H332="",$H332=0))),"",IF(AND($N332="Quantity",$AJ332&lt;$H332),"0 - "&amp;TEXT($H332-$AJ332,"0")&amp;" buildings?    ",IF(AND($N332="%",$AJ332&lt;1),REPLACE(IF(AND($P332&gt;0,$V332&gt;0,$T332&gt;0,$X332&gt;0,$R332&gt;0,$Z332&gt;0,$AB332&gt;0,$AD332&gt;0,$AF332&gt;0,$AH332&gt;0),"","0-"),99,0,REPLACE(TEXT(100-$AJ332,0),99,0,"?    ")),"")))</f>
        <v/>
      </c>
      <c r="Z332" s="1864"/>
      <c r="AA332" s="1865" t="str">
        <f>IF(OR($N332="", AND($N332="",OR($H332="",$H332=0))),"",IF(AND($N332="Quantity",$AJ332&lt;$H332),"0 - "&amp;TEXT($H332-$AJ332,"0")&amp;" buildings?    ",IF(AND($N332="%",$AJ332&lt;1),REPLACE(IF(AND($P332&gt;0,$V332&gt;0,$T332&gt;0,$X332&gt;0,$R332&gt;0,$Z332&gt;0,$AB332&gt;0,$AD332&gt;0,$AF332&gt;0,$AH332&gt;0),"","0-"),99,0,REPLACE(TEXT(100-$AJ332,0),99,0,"?    ")),"")))</f>
        <v/>
      </c>
      <c r="AB332" s="1864"/>
      <c r="AC332" s="1865" t="str">
        <f>IF(OR($N332="", AND($N332="",OR($H332="",$H332=0))),"",IF(AND($N332="Quantity",$AJ332&lt;$H332),"0 - "&amp;TEXT($H332-$AJ332,"0")&amp;" buildings?    ",IF(AND($N332="%",$AJ332&lt;1),REPLACE(IF(AND($P332&gt;0,$V332&gt;0,$T332&gt;0,$X332&gt;0,$R332&gt;0,$Z332&gt;0,$AB332&gt;0,$AD332&gt;0,$AF332&gt;0,$AH332&gt;0),"","0-"),99,0,REPLACE(TEXT(100-$AJ332,0),99,0,"?    ")),"")))</f>
        <v/>
      </c>
      <c r="AD332" s="1864"/>
      <c r="AE332" s="1865" t="str">
        <f>IF(OR($N332="", AND($N332="",OR($H332="",$H332=0))),"",IF(AND($N332="Quantity",$AJ332&lt;$H332),"0 - "&amp;TEXT($H332-$AJ332,"0")&amp;" buildings?    ",IF(AND($N332="%",$AJ332&lt;1),REPLACE(IF(AND($P332&gt;0,$V332&gt;0,$T332&gt;0,$X332&gt;0,$R332&gt;0,$Z332&gt;0,$AB332&gt;0,$AD332&gt;0,$AF332&gt;0,$AH332&gt;0),"","0-"),99,0,REPLACE(TEXT(100-$AJ332,0),99,0,"?    ")),"")))</f>
        <v/>
      </c>
      <c r="AF332" s="1864"/>
      <c r="AG332" s="1865" t="str">
        <f>IF(OR($N332="", AND($N332="",OR($H332="",$H332=0))),"",IF(AND($N332="Quantity",$AJ332&lt;$H332),"0 - "&amp;TEXT($H332-$AJ332,"0")&amp;" buildings?    ",IF(AND($N332="%",$AJ332&lt;1),REPLACE(IF(AND($P332&gt;0,$V332&gt;0,$T332&gt;0,$X332&gt;0,$R332&gt;0,$Z332&gt;0,$AB332&gt;0,$AD332&gt;0,$AF332&gt;0,$AH332&gt;0),"","0-"),99,0,REPLACE(TEXT(100-$AJ332,0),99,0,"?    ")),"")))</f>
        <v/>
      </c>
      <c r="AH332" s="1864"/>
      <c r="AI332" s="1865" t="str">
        <f>IF(OR($N332="", AND($N332="",OR($H332="",$H332=0))),"",IF(AND($N332="Quantity",$AJ332&lt;$H332),"0 - "&amp;TEXT($H332-$AJ332,"0")&amp;" buildings?    ",IF(AND($N332="%",$AJ332&lt;1),REPLACE(IF(AND($P332&gt;0,$V332&gt;0,$T332&gt;0,$X332&gt;0,$R332&gt;0,$Z332&gt;0,$AB332&gt;0,$AD332&gt;0,$AF332&gt;0,$AH332&gt;0),"","0-"),99,0,REPLACE(TEXT(100-$AJ332,0),99,0,"?    ")),"")))</f>
        <v/>
      </c>
      <c r="AJ332" s="1833">
        <f>IFERROR(IF(N332="%", SUM(P332,R332,T332,V332,X332,Z332,AB332,AD332,AF332,AH332)/100, SUM(P332,R332,T332,V332,X332,Z332,AB332,AD332,AF332,AH332)/H332), 0)</f>
        <v>0</v>
      </c>
      <c r="AL332" s="1832"/>
      <c r="AN332" s="1276"/>
      <c r="AP332" s="1653"/>
      <c r="AT332" s="1624" t="str">
        <f>IF(AND($C$290="", L332=""), "N/A", IF(AND(AJ332=1, L332&lt;&gt;"", N332&lt;&gt;"", P332&lt;&gt;"", R332&lt;&gt;"", T332&lt;&gt;"", V332&lt;&gt;"", X332&lt;&gt;"", Z332&lt;&gt;"", AB332&lt;&gt;"", AD332&lt;&gt;"", AF332&lt;&gt;"", AH332&lt;&gt;"",AL332&lt;&gt;"", IF(AND(AL332&lt;1, AN332=""), FALSE, TRUE)), "Yes", "No"))</f>
        <v>N/A</v>
      </c>
      <c r="AU332" s="759"/>
      <c r="AV332" s="759"/>
      <c r="AW332" s="759"/>
      <c r="AX332" s="759"/>
      <c r="AY332" s="759" t="b">
        <f>IF($L332="",FALSE,IF($L332&lt;$BO332,TRUE,FALSE))</f>
        <v>0</v>
      </c>
      <c r="AZ332" s="759" t="b">
        <f>IF($L332="",FALSE,IF($L332&gt;$BP332,TRUE,FALSE))</f>
        <v>0</v>
      </c>
      <c r="BA332" s="759" t="b">
        <f>IF(AND(E332&lt;&gt;"",$L332=""),TRUE,FALSE)</f>
        <v>0</v>
      </c>
      <c r="BB332" s="759" t="b">
        <f>IF(AND($AJ332&lt;&gt;0,$H332&lt;$AJ332,$N332="LF"),TRUE,IF(AND($N332="LF",H332&lt;&gt;"",H332=AJ332),FALSE,IF(AND($AJ332&lt;&gt;0,$AJ332&gt;"100%",$N332="%"),TRUE,FALSE)))</f>
        <v>0</v>
      </c>
      <c r="BC332" s="759" t="b">
        <f>IF(AT332="No", IF(OR(P332="", R332="", T332="", V332="", X332="", Z332="", AB332="", AD332="", AF332="", AH332=""), TRUE, FALSE), FALSE)</f>
        <v>0</v>
      </c>
      <c r="BD332" s="759" t="b">
        <f>IF($BE332=TRUE,FALSE,IF(OR($AL332&lt;0,$AL332&gt;1),TRUE,FALSE))</f>
        <v>0</v>
      </c>
      <c r="BE332" s="759" t="b">
        <f>IF(AND($E332&lt;&gt;"",$AL332=""),TRUE,FALSE)</f>
        <v>0</v>
      </c>
      <c r="BF332" s="759"/>
      <c r="BH332" s="1680"/>
      <c r="BI332" s="1678" t="str">
        <f>IF(N332="", "", IF(N332="Quantity", H332, IF(N332="%", 1, "")))</f>
        <v/>
      </c>
      <c r="BJ332" s="1679">
        <f>P332+R332+T332+V332+X332+Z332+AB332+AD332+AF332+AH332</f>
        <v>0</v>
      </c>
      <c r="BK332" s="1679" t="str">
        <f>IF(BI332="", "", BI332-BJ332)</f>
        <v/>
      </c>
      <c r="BL332" s="1680"/>
      <c r="BM332" s="1680"/>
      <c r="BN332" s="1678">
        <f>IF($C332="","",VLOOKUP($C332,Valid!$B$87:$F$96,5,FALSE))</f>
        <v>25</v>
      </c>
      <c r="BO332" s="1678">
        <f>IF($C332="","",VLOOKUP($C332,Valid!$B$87:$G$96,6,FALSE))</f>
        <v>19</v>
      </c>
      <c r="BP332" s="1678">
        <f>IF($C332="","",VLOOKUP($C332,Valid!$B$87:$Z$96,7,FALSE))</f>
        <v>31</v>
      </c>
    </row>
    <row r="333" spans="1:68" s="686" customFormat="1" ht="3.95" customHeight="1" x14ac:dyDescent="0.2">
      <c r="B333" s="1790">
        <v>321</v>
      </c>
      <c r="C333" s="1674"/>
      <c r="D333" s="1709"/>
      <c r="E333" s="1057"/>
      <c r="H333" s="1917"/>
      <c r="I333" s="1651"/>
      <c r="J333" s="1919"/>
      <c r="K333" s="1651"/>
      <c r="L333" s="1922"/>
      <c r="M333" s="1651"/>
      <c r="N333" s="1919"/>
      <c r="O333" s="1651"/>
      <c r="P333" s="1866"/>
      <c r="Q333" s="1867"/>
      <c r="R333" s="1866"/>
      <c r="S333" s="1867"/>
      <c r="T333" s="1866"/>
      <c r="U333" s="1867"/>
      <c r="V333" s="1866"/>
      <c r="W333" s="1867"/>
      <c r="X333" s="1866"/>
      <c r="Y333" s="1867"/>
      <c r="Z333" s="1867"/>
      <c r="AA333" s="1867"/>
      <c r="AB333" s="1867"/>
      <c r="AC333" s="1867"/>
      <c r="AD333" s="1867"/>
      <c r="AE333" s="1867"/>
      <c r="AF333" s="1867"/>
      <c r="AG333" s="1867"/>
      <c r="AH333" s="1867"/>
      <c r="AJ333" s="1792"/>
      <c r="AL333" s="1792"/>
      <c r="AN333" s="685"/>
      <c r="AP333" s="1394"/>
      <c r="AU333" s="848"/>
      <c r="AV333" s="848"/>
      <c r="AW333" s="848"/>
      <c r="AX333" s="848"/>
      <c r="AY333" s="759"/>
      <c r="AZ333" s="759"/>
      <c r="BA333" s="848"/>
      <c r="BB333" s="759"/>
      <c r="BC333" s="848"/>
      <c r="BD333" s="848"/>
      <c r="BE333" s="848"/>
      <c r="BF333" s="848"/>
      <c r="BH333" s="1680"/>
      <c r="BI333" s="1680"/>
      <c r="BJ333" s="1680"/>
      <c r="BK333" s="1680"/>
      <c r="BL333" s="1680"/>
      <c r="BM333" s="1680"/>
      <c r="BN333" s="1680"/>
      <c r="BO333" s="1680"/>
      <c r="BP333" s="1680"/>
    </row>
    <row r="334" spans="1:68" s="686" customFormat="1" ht="3.95" customHeight="1" thickBot="1" x14ac:dyDescent="0.25">
      <c r="B334" s="1791">
        <v>322</v>
      </c>
      <c r="C334" s="1674"/>
      <c r="D334" s="1709"/>
      <c r="E334" s="1057"/>
      <c r="H334" s="1917"/>
      <c r="I334" s="1651"/>
      <c r="J334" s="1651"/>
      <c r="K334" s="1651"/>
      <c r="L334" s="1917"/>
      <c r="M334" s="1651"/>
      <c r="N334" s="1651"/>
      <c r="O334" s="1651"/>
      <c r="P334" s="1868"/>
      <c r="Q334" s="1869"/>
      <c r="R334" s="1868"/>
      <c r="S334" s="1869"/>
      <c r="T334" s="1868"/>
      <c r="U334" s="1869"/>
      <c r="V334" s="1868"/>
      <c r="W334" s="1869"/>
      <c r="X334" s="1868"/>
      <c r="Y334" s="1869"/>
      <c r="Z334" s="1869"/>
      <c r="AA334" s="1869"/>
      <c r="AB334" s="1869"/>
      <c r="AC334" s="1869"/>
      <c r="AD334" s="1869"/>
      <c r="AE334" s="1869"/>
      <c r="AF334" s="1869"/>
      <c r="AG334" s="1869"/>
      <c r="AH334" s="1869"/>
      <c r="AI334" s="1670"/>
      <c r="AJ334" s="1676"/>
      <c r="AL334" s="1676"/>
      <c r="AP334" s="1394"/>
      <c r="AT334" s="1624"/>
      <c r="AU334" s="848"/>
      <c r="AV334" s="848"/>
      <c r="AW334" s="848"/>
      <c r="AX334" s="848"/>
      <c r="AY334" s="759"/>
      <c r="AZ334" s="759"/>
      <c r="BA334" s="848"/>
      <c r="BB334" s="759"/>
      <c r="BC334" s="848"/>
      <c r="BD334" s="848"/>
      <c r="BE334" s="848"/>
      <c r="BF334" s="848"/>
      <c r="BH334" s="1680"/>
      <c r="BI334" s="1680"/>
      <c r="BJ334" s="1680"/>
      <c r="BK334" s="1680"/>
      <c r="BL334" s="1680"/>
      <c r="BM334" s="1680"/>
      <c r="BN334" s="1680"/>
      <c r="BO334" s="1680"/>
      <c r="BP334" s="1680"/>
    </row>
    <row r="335" spans="1:68" s="686" customFormat="1" x14ac:dyDescent="0.2">
      <c r="A335" s="852">
        <f>A332+1</f>
        <v>84</v>
      </c>
      <c r="B335" s="1791">
        <v>323</v>
      </c>
      <c r="C335" s="851" t="str">
        <f>Valid!$B$91</f>
        <v>Train Control &amp; Signaling</v>
      </c>
      <c r="D335" s="1709"/>
      <c r="E335" s="1245" t="str">
        <f>IF(AT335="N/A","",IF(AT335="N","No","Yes"))</f>
        <v/>
      </c>
      <c r="H335" s="1917"/>
      <c r="I335" s="1904"/>
      <c r="J335" s="1919"/>
      <c r="K335" s="1651"/>
      <c r="L335" s="1864"/>
      <c r="M335" s="1920" t="str">
        <f>IF(AND(H323&lt;&gt;"", L335=""),REPLACE(TEXT(BN335,0),99,0," Yrs.?    "),"")</f>
        <v/>
      </c>
      <c r="N335" s="1921"/>
      <c r="O335" s="1870"/>
      <c r="P335" s="1864"/>
      <c r="Q335" s="1865" t="str">
        <f>IF(OR($N335="", AND($N335="",OR($H335="",$H335=0))),"",IF(AND($N335="Quantity",$AJ335&lt;$H335),"0 - "&amp;TEXT($H335-$AJ335,"0")&amp;" buildings?    ",IF(AND($N335="%",$AJ335&lt;1),REPLACE(IF(AND($P335&gt;0,$V335&gt;0,$T335&gt;0,$X335&gt;0,$R335&gt;0,$Z335&gt;0,$AB335&gt;0,$AD335&gt;0,$AF335&gt;0,$AH335&gt;0),"","0-"),99,0,REPLACE(TEXT(100-$AJ335,0),99,0,"?    ")),"")))</f>
        <v/>
      </c>
      <c r="R335" s="1864"/>
      <c r="S335" s="1865" t="str">
        <f>IF(OR($N335="", AND($N335="",OR($H335="",$H335=0))),"",IF(AND($N335="Quantity",$AJ335&lt;$H335),"0 - "&amp;TEXT($H335-$AJ335,"0")&amp;" buildings?    ",IF(AND($N335="%",$AJ335&lt;1),REPLACE(IF(AND($P335&gt;0,$V335&gt;0,$T335&gt;0,$X335&gt;0,$R335&gt;0,$Z335&gt;0,$AB335&gt;0,$AD335&gt;0,$AF335&gt;0,$AH335&gt;0),"","0-"),99,0,REPLACE(TEXT(100-$AJ335,0),99,0,"?    ")),"")))</f>
        <v/>
      </c>
      <c r="T335" s="1864"/>
      <c r="U335" s="1865" t="str">
        <f>IF(OR($N335="", AND($N335="",OR($H335="",$H335=0))),"",IF(AND($N335="Quantity",$AJ335&lt;$H335),"0 - "&amp;TEXT($H335-$AJ335,"0")&amp;" buildings?    ",IF(AND($N335="%",$AJ335&lt;1),REPLACE(IF(AND($P335&gt;0,$V335&gt;0,$T335&gt;0,$X335&gt;0,$R335&gt;0,$Z335&gt;0,$AB335&gt;0,$AD335&gt;0,$AF335&gt;0,$AH335&gt;0),"","0-"),99,0,REPLACE(TEXT(100-$AJ335,0),99,0,"?    ")),"")))</f>
        <v/>
      </c>
      <c r="V335" s="1864"/>
      <c r="W335" s="1865" t="str">
        <f>IF(OR($N335="", AND($N335="",OR($H335="",$H335=0))),"",IF(AND($N335="Quantity",$AJ335&lt;$H335),"0 - "&amp;TEXT($H335-$AJ335,"0")&amp;" buildings?    ",IF(AND($N335="%",$AJ335&lt;1),REPLACE(IF(AND($P335&gt;0,$V335&gt;0,$T335&gt;0,$X335&gt;0,$R335&gt;0,$Z335&gt;0,$AB335&gt;0,$AD335&gt;0,$AF335&gt;0,$AH335&gt;0),"","0-"),99,0,REPLACE(TEXT(100-$AJ335,0),99,0,"?    ")),"")))</f>
        <v/>
      </c>
      <c r="X335" s="1864"/>
      <c r="Y335" s="1865" t="str">
        <f>IF(OR($N335="", AND($N335="",OR($H335="",$H335=0))),"",IF(AND($N335="Quantity",$AJ335&lt;$H335),"0 - "&amp;TEXT($H335-$AJ335,"0")&amp;" buildings?    ",IF(AND($N335="%",$AJ335&lt;1),REPLACE(IF(AND($P335&gt;0,$V335&gt;0,$T335&gt;0,$X335&gt;0,$R335&gt;0,$Z335&gt;0,$AB335&gt;0,$AD335&gt;0,$AF335&gt;0,$AH335&gt;0),"","0-"),99,0,REPLACE(TEXT(100-$AJ335,0),99,0,"?    ")),"")))</f>
        <v/>
      </c>
      <c r="Z335" s="1864"/>
      <c r="AA335" s="1865" t="str">
        <f>IF(OR($N335="", AND($N335="",OR($H335="",$H335=0))),"",IF(AND($N335="Quantity",$AJ335&lt;$H335),"0 - "&amp;TEXT($H335-$AJ335,"0")&amp;" buildings?    ",IF(AND($N335="%",$AJ335&lt;1),REPLACE(IF(AND($P335&gt;0,$V335&gt;0,$T335&gt;0,$X335&gt;0,$R335&gt;0,$Z335&gt;0,$AB335&gt;0,$AD335&gt;0,$AF335&gt;0,$AH335&gt;0),"","0-"),99,0,REPLACE(TEXT(100-$AJ335,0),99,0,"?    ")),"")))</f>
        <v/>
      </c>
      <c r="AB335" s="1864"/>
      <c r="AC335" s="1865" t="str">
        <f>IF(OR($N335="", AND($N335="",OR($H335="",$H335=0))),"",IF(AND($N335="Quantity",$AJ335&lt;$H335),"0 - "&amp;TEXT($H335-$AJ335,"0")&amp;" buildings?    ",IF(AND($N335="%",$AJ335&lt;1),REPLACE(IF(AND($P335&gt;0,$V335&gt;0,$T335&gt;0,$X335&gt;0,$R335&gt;0,$Z335&gt;0,$AB335&gt;0,$AD335&gt;0,$AF335&gt;0,$AH335&gt;0),"","0-"),99,0,REPLACE(TEXT(100-$AJ335,0),99,0,"?    ")),"")))</f>
        <v/>
      </c>
      <c r="AD335" s="1864"/>
      <c r="AE335" s="1865" t="str">
        <f>IF(OR($N335="", AND($N335="",OR($H335="",$H335=0))),"",IF(AND($N335="Quantity",$AJ335&lt;$H335),"0 - "&amp;TEXT($H335-$AJ335,"0")&amp;" buildings?    ",IF(AND($N335="%",$AJ335&lt;1),REPLACE(IF(AND($P335&gt;0,$V335&gt;0,$T335&gt;0,$X335&gt;0,$R335&gt;0,$Z335&gt;0,$AB335&gt;0,$AD335&gt;0,$AF335&gt;0,$AH335&gt;0),"","0-"),99,0,REPLACE(TEXT(100-$AJ335,0),99,0,"?    ")),"")))</f>
        <v/>
      </c>
      <c r="AF335" s="1864"/>
      <c r="AG335" s="1865" t="str">
        <f>IF(OR($N335="", AND($N335="",OR($H335="",$H335=0))),"",IF(AND($N335="Quantity",$AJ335&lt;$H335),"0 - "&amp;TEXT($H335-$AJ335,"0")&amp;" buildings?    ",IF(AND($N335="%",$AJ335&lt;1),REPLACE(IF(AND($P335&gt;0,$V335&gt;0,$T335&gt;0,$X335&gt;0,$R335&gt;0,$Z335&gt;0,$AB335&gt;0,$AD335&gt;0,$AF335&gt;0,$AH335&gt;0),"","0-"),99,0,REPLACE(TEXT(100-$AJ335,0),99,0,"?    ")),"")))</f>
        <v/>
      </c>
      <c r="AH335" s="1864"/>
      <c r="AI335" s="1865" t="str">
        <f>IF(OR($N335="", AND($N335="",OR($H335="",$H335=0))),"",IF(AND($N335="Quantity",$AJ335&lt;$H335),"0 - "&amp;TEXT($H335-$AJ335,"0")&amp;" buildings?    ",IF(AND($N335="%",$AJ335&lt;1),REPLACE(IF(AND($P335&gt;0,$V335&gt;0,$T335&gt;0,$X335&gt;0,$R335&gt;0,$Z335&gt;0,$AB335&gt;0,$AD335&gt;0,$AF335&gt;0,$AH335&gt;0),"","0-"),99,0,REPLACE(TEXT(100-$AJ335,0),99,0,"?    ")),"")))</f>
        <v/>
      </c>
      <c r="AJ335" s="1833">
        <f>IFERROR(IF(N335="%", SUM(P335,R335,T335,V335,X335,Z335,AB335,AD335,AF335,AH335)/100, SUM(P335,R335,T335,V335,X335,Z335,AB335,AD335,AF335,AH335)/H335), 0)</f>
        <v>0</v>
      </c>
      <c r="AL335" s="1832"/>
      <c r="AN335" s="1276"/>
      <c r="AP335" s="1653"/>
      <c r="AT335" s="1624" t="str">
        <f>IF(AND($C$290="", L335=""), "N/A", IF(AND(AJ335=1, L335&lt;&gt;"", N335&lt;&gt;"", P335&lt;&gt;"", R335&lt;&gt;"", T335&lt;&gt;"", V335&lt;&gt;"", X335&lt;&gt;"", Z335&lt;&gt;"", AB335&lt;&gt;"", AD335&lt;&gt;"", AF335&lt;&gt;"", AH335&lt;&gt;"",AL335&lt;&gt;"", IF(AND(AL335&lt;1, AN335=""), FALSE, TRUE)), "Yes", "No"))</f>
        <v>N/A</v>
      </c>
      <c r="AU335" s="759"/>
      <c r="AV335" s="759"/>
      <c r="AW335" s="759"/>
      <c r="AX335" s="759"/>
      <c r="AY335" s="759" t="b">
        <f>IF($L335="",FALSE,IF($L335&lt;$BO335,TRUE,FALSE))</f>
        <v>0</v>
      </c>
      <c r="AZ335" s="759" t="b">
        <f>IF($L335="",FALSE,IF($L335&gt;$BP335,TRUE,FALSE))</f>
        <v>0</v>
      </c>
      <c r="BA335" s="759" t="b">
        <f>IF(AND(E335&lt;&gt;"",$L335=""),TRUE,FALSE)</f>
        <v>0</v>
      </c>
      <c r="BB335" s="759" t="b">
        <f>IF(AND($AJ335&lt;&gt;0,$H335&lt;$AJ335,$N335="LF"),TRUE,IF(AND($N335="LF",H335&lt;&gt;"",H335=AJ335),FALSE,IF(AND($AJ335&lt;&gt;0,$AJ335&gt;"100%",$N335="%"),TRUE,FALSE)))</f>
        <v>0</v>
      </c>
      <c r="BC335" s="759" t="b">
        <f>IF(AT335="No", IF(OR(P335="", R335="", T335="", V335="", X335="", Z335="", AB335="", AD335="", AF335="", AH335=""), TRUE, FALSE), FALSE)</f>
        <v>0</v>
      </c>
      <c r="BD335" s="759" t="b">
        <f>IF($BE335=TRUE,FALSE,IF(OR($AL335&lt;0,$AL335&gt;1),TRUE,FALSE))</f>
        <v>0</v>
      </c>
      <c r="BE335" s="759" t="b">
        <f>IF(AND($E335&lt;&gt;"",$AL335=""),TRUE,FALSE)</f>
        <v>0</v>
      </c>
      <c r="BF335" s="759"/>
      <c r="BH335" s="1680"/>
      <c r="BI335" s="1678" t="str">
        <f>IF(N335="", "", IF(N335="Quantity", H335, IF(N335="%", 1, "")))</f>
        <v/>
      </c>
      <c r="BJ335" s="1679">
        <f>P335+R335+T335+V335+X335+Z335+AB335+AD335+AF335+AH335</f>
        <v>0</v>
      </c>
      <c r="BK335" s="1679" t="str">
        <f>IF(BI335="", "", BI335-BJ335)</f>
        <v/>
      </c>
      <c r="BL335" s="1680"/>
      <c r="BM335" s="1680"/>
      <c r="BN335" s="1678">
        <f>IF($C335="","",VLOOKUP($C335,Valid!$B$87:$F$96,5,FALSE))</f>
        <v>25</v>
      </c>
      <c r="BO335" s="1678">
        <f>IF($C335="","",VLOOKUP($C335,Valid!$B$87:$G$96,6,FALSE))</f>
        <v>19</v>
      </c>
      <c r="BP335" s="1678">
        <f>IF($C335="","",VLOOKUP($C335,Valid!$B$87:$Z$96,7,FALSE))</f>
        <v>31</v>
      </c>
    </row>
    <row r="336" spans="1:68" s="686" customFormat="1" ht="3.95" customHeight="1" x14ac:dyDescent="0.2">
      <c r="B336" s="1791">
        <v>324</v>
      </c>
      <c r="C336" s="1674"/>
      <c r="D336" s="1709"/>
      <c r="E336" s="1057"/>
      <c r="H336" s="1917"/>
      <c r="I336" s="1651"/>
      <c r="J336" s="1651"/>
      <c r="K336" s="1651"/>
      <c r="L336" s="1917"/>
      <c r="M336" s="1651"/>
      <c r="N336" s="1651"/>
      <c r="O336" s="1651"/>
      <c r="P336" s="1651"/>
      <c r="Q336" s="1651"/>
      <c r="R336" s="1651"/>
      <c r="S336" s="1651"/>
      <c r="T336" s="1651"/>
      <c r="U336" s="1651"/>
      <c r="V336" s="1651"/>
      <c r="W336" s="1651"/>
      <c r="X336" s="1651"/>
      <c r="Y336" s="1651"/>
      <c r="Z336" s="1651"/>
      <c r="AA336" s="1651"/>
      <c r="AB336" s="1651"/>
      <c r="AC336" s="1651"/>
      <c r="AD336" s="1651"/>
      <c r="AE336" s="1651"/>
      <c r="AF336" s="1651"/>
      <c r="AG336" s="1651"/>
      <c r="AH336" s="1651"/>
      <c r="AJ336" s="1676"/>
      <c r="AL336" s="1676"/>
      <c r="AP336" s="1394"/>
      <c r="AU336" s="848"/>
      <c r="AV336" s="848"/>
      <c r="AW336" s="848"/>
      <c r="AX336" s="848"/>
      <c r="AY336" s="759"/>
      <c r="AZ336" s="759"/>
      <c r="BA336" s="848"/>
      <c r="BB336" s="759"/>
      <c r="BC336" s="848"/>
      <c r="BD336" s="848"/>
      <c r="BE336" s="848"/>
      <c r="BF336" s="848"/>
      <c r="BH336" s="1680"/>
      <c r="BI336" s="1680"/>
      <c r="BJ336" s="1680"/>
      <c r="BK336" s="1680"/>
      <c r="BL336" s="1680"/>
      <c r="BM336" s="1680"/>
      <c r="BN336" s="1680"/>
      <c r="BO336" s="1680"/>
      <c r="BP336" s="1680"/>
    </row>
    <row r="337" spans="1:69" s="686" customFormat="1" ht="3.95" customHeight="1" x14ac:dyDescent="0.2">
      <c r="B337" s="1790">
        <v>325</v>
      </c>
      <c r="C337" s="1674"/>
      <c r="D337" s="1709"/>
      <c r="E337" s="1057"/>
      <c r="H337" s="1917"/>
      <c r="I337" s="1651"/>
      <c r="J337" s="1651"/>
      <c r="K337" s="1651"/>
      <c r="L337" s="1917"/>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J337" s="1676"/>
      <c r="AL337" s="1676"/>
      <c r="AP337" s="1394"/>
      <c r="AU337" s="848"/>
      <c r="AV337" s="848"/>
      <c r="AW337" s="848"/>
      <c r="AX337" s="848"/>
      <c r="AY337" s="759"/>
      <c r="AZ337" s="759"/>
      <c r="BA337" s="848"/>
      <c r="BB337" s="759"/>
      <c r="BC337" s="848"/>
      <c r="BD337" s="848"/>
      <c r="BE337" s="848"/>
      <c r="BF337" s="848"/>
      <c r="BH337" s="1680"/>
      <c r="BI337" s="1680"/>
      <c r="BJ337" s="1680"/>
      <c r="BK337" s="1680"/>
      <c r="BL337" s="1680"/>
      <c r="BM337" s="1680"/>
      <c r="BN337" s="1680"/>
      <c r="BO337" s="1680"/>
      <c r="BP337" s="1680"/>
    </row>
    <row r="338" spans="1:69" s="686" customFormat="1" ht="3.95" customHeight="1" x14ac:dyDescent="0.2">
      <c r="B338" s="1790">
        <v>326</v>
      </c>
      <c r="C338" s="1674"/>
      <c r="D338" s="1709"/>
      <c r="E338" s="1057"/>
      <c r="H338" s="1917"/>
      <c r="I338" s="1651"/>
      <c r="J338" s="1651"/>
      <c r="K338" s="1651"/>
      <c r="L338" s="1917"/>
      <c r="M338" s="1651"/>
      <c r="N338" s="1651"/>
      <c r="O338" s="1651"/>
      <c r="P338" s="1651"/>
      <c r="Q338" s="1651"/>
      <c r="R338" s="1651"/>
      <c r="S338" s="1651"/>
      <c r="T338" s="1651"/>
      <c r="U338" s="1651"/>
      <c r="V338" s="1651"/>
      <c r="W338" s="1651"/>
      <c r="X338" s="1651"/>
      <c r="Y338" s="1651"/>
      <c r="Z338" s="1651"/>
      <c r="AA338" s="1651"/>
      <c r="AB338" s="1651"/>
      <c r="AC338" s="1651"/>
      <c r="AD338" s="1651"/>
      <c r="AE338" s="1651"/>
      <c r="AF338" s="1651"/>
      <c r="AG338" s="1651"/>
      <c r="AH338" s="1651"/>
      <c r="AJ338" s="1676"/>
      <c r="AL338" s="1676"/>
      <c r="AP338" s="1394"/>
      <c r="AU338" s="848"/>
      <c r="AV338" s="848"/>
      <c r="AW338" s="848"/>
      <c r="AX338" s="848"/>
      <c r="AY338" s="759"/>
      <c r="AZ338" s="759"/>
      <c r="BA338" s="848"/>
      <c r="BB338" s="759"/>
      <c r="BC338" s="848"/>
      <c r="BD338" s="848"/>
      <c r="BE338" s="848"/>
      <c r="BF338" s="848"/>
      <c r="BH338" s="1680"/>
      <c r="BI338" s="1680"/>
      <c r="BJ338" s="1680"/>
      <c r="BK338" s="1680"/>
      <c r="BL338" s="1680"/>
      <c r="BM338" s="1680"/>
      <c r="BN338" s="1680"/>
      <c r="BO338" s="1680"/>
      <c r="BP338" s="1680"/>
    </row>
    <row r="339" spans="1:69" s="686" customFormat="1" ht="3.95" customHeight="1" x14ac:dyDescent="0.2">
      <c r="B339" s="1791">
        <v>327</v>
      </c>
      <c r="C339" s="1677"/>
      <c r="D339" s="1709"/>
      <c r="E339" s="1057"/>
      <c r="H339" s="1917"/>
      <c r="I339" s="1651"/>
      <c r="J339" s="1651"/>
      <c r="K339" s="1651"/>
      <c r="L339" s="1917"/>
      <c r="M339" s="1651"/>
      <c r="N339" s="1651"/>
      <c r="O339" s="1651"/>
      <c r="P339" s="1651"/>
      <c r="Q339" s="1651"/>
      <c r="R339" s="1651"/>
      <c r="S339" s="1651"/>
      <c r="T339" s="1651"/>
      <c r="U339" s="1651"/>
      <c r="V339" s="1651"/>
      <c r="W339" s="1651"/>
      <c r="X339" s="1651"/>
      <c r="Y339" s="1651"/>
      <c r="Z339" s="1651"/>
      <c r="AA339" s="1651"/>
      <c r="AB339" s="1651"/>
      <c r="AC339" s="1651"/>
      <c r="AD339" s="1651"/>
      <c r="AE339" s="1651"/>
      <c r="AF339" s="1651"/>
      <c r="AG339" s="1651"/>
      <c r="AH339" s="1651"/>
      <c r="AJ339" s="1676"/>
      <c r="AL339" s="1676"/>
      <c r="AP339" s="1223"/>
      <c r="AU339" s="848"/>
      <c r="AV339" s="848"/>
      <c r="AW339" s="848"/>
      <c r="AX339" s="848"/>
      <c r="AY339" s="848"/>
      <c r="AZ339" s="848"/>
      <c r="BA339" s="848"/>
      <c r="BB339" s="848"/>
      <c r="BC339" s="848"/>
      <c r="BD339" s="848"/>
      <c r="BE339" s="848"/>
      <c r="BF339" s="848"/>
      <c r="BH339" s="1680"/>
      <c r="BI339" s="1680"/>
      <c r="BJ339" s="1680"/>
      <c r="BK339" s="1680"/>
      <c r="BL339" s="1680"/>
      <c r="BM339" s="1680"/>
      <c r="BN339" s="1680"/>
      <c r="BO339" s="1680"/>
      <c r="BP339" s="1680"/>
    </row>
    <row r="340" spans="1:69" s="686" customFormat="1" ht="3.95" customHeight="1" x14ac:dyDescent="0.2">
      <c r="A340" s="1809"/>
      <c r="B340" s="1810">
        <v>52</v>
      </c>
      <c r="C340" s="1811"/>
      <c r="D340" s="1842"/>
      <c r="E340" s="1812"/>
      <c r="F340" s="1809"/>
      <c r="G340" s="1809"/>
      <c r="H340" s="1923"/>
      <c r="I340" s="1924"/>
      <c r="J340" s="1924"/>
      <c r="K340" s="1924"/>
      <c r="L340" s="1923"/>
      <c r="M340" s="1924"/>
      <c r="N340" s="1924"/>
      <c r="O340" s="1924"/>
      <c r="P340" s="1924"/>
      <c r="Q340" s="1924"/>
      <c r="R340" s="1924"/>
      <c r="S340" s="1924"/>
      <c r="T340" s="1924"/>
      <c r="U340" s="1924"/>
      <c r="V340" s="1924"/>
      <c r="W340" s="1924"/>
      <c r="X340" s="1924"/>
      <c r="Y340" s="1924"/>
      <c r="Z340" s="1924"/>
      <c r="AA340" s="1924"/>
      <c r="AB340" s="1924"/>
      <c r="AC340" s="1924"/>
      <c r="AD340" s="1924"/>
      <c r="AE340" s="1924"/>
      <c r="AF340" s="1924"/>
      <c r="AG340" s="1924"/>
      <c r="AH340" s="1924"/>
      <c r="AI340" s="1809"/>
      <c r="AJ340" s="1829"/>
      <c r="AK340" s="1809"/>
      <c r="AL340" s="1829"/>
      <c r="AM340" s="1809"/>
      <c r="AN340" s="1809"/>
      <c r="AO340" s="1809"/>
      <c r="AP340" s="1813"/>
      <c r="AQ340" s="1809"/>
      <c r="AR340" s="1809"/>
      <c r="AS340" s="1809"/>
      <c r="AT340" s="1809"/>
      <c r="AU340" s="1814"/>
      <c r="AV340" s="1814"/>
      <c r="AW340" s="1814"/>
      <c r="AX340" s="1814"/>
      <c r="AY340" s="1814"/>
      <c r="AZ340" s="1814"/>
      <c r="BA340" s="1814"/>
      <c r="BB340" s="1814"/>
      <c r="BC340" s="1814"/>
      <c r="BD340" s="1814"/>
      <c r="BE340" s="1814"/>
      <c r="BF340" s="1814"/>
      <c r="BG340" s="1809"/>
      <c r="BH340" s="1814"/>
      <c r="BI340" s="1814"/>
      <c r="BJ340" s="1814"/>
      <c r="BK340" s="1814"/>
      <c r="BL340" s="1814"/>
      <c r="BM340" s="1814"/>
      <c r="BN340" s="1814"/>
      <c r="BO340" s="1814"/>
      <c r="BP340" s="1814"/>
    </row>
    <row r="341" spans="1:69" s="686" customFormat="1" ht="3.95" customHeight="1" x14ac:dyDescent="0.2">
      <c r="B341" s="1791">
        <v>329</v>
      </c>
      <c r="C341" s="1677"/>
      <c r="D341" s="1709"/>
      <c r="E341" s="1057"/>
      <c r="H341" s="1917"/>
      <c r="I341" s="1651"/>
      <c r="J341" s="1651"/>
      <c r="K341" s="1651"/>
      <c r="L341" s="1917"/>
      <c r="M341" s="1651"/>
      <c r="N341" s="1651"/>
      <c r="O341" s="1651"/>
      <c r="P341" s="1651"/>
      <c r="Q341" s="1651"/>
      <c r="R341" s="1651"/>
      <c r="S341" s="1651"/>
      <c r="T341" s="1651"/>
      <c r="U341" s="1651"/>
      <c r="V341" s="1651"/>
      <c r="W341" s="1651"/>
      <c r="X341" s="1651"/>
      <c r="Y341" s="1651"/>
      <c r="Z341" s="1651"/>
      <c r="AA341" s="1651"/>
      <c r="AB341" s="1651"/>
      <c r="AC341" s="1651"/>
      <c r="AD341" s="1651"/>
      <c r="AE341" s="1651"/>
      <c r="AF341" s="1651"/>
      <c r="AG341" s="1651"/>
      <c r="AH341" s="1651"/>
      <c r="AJ341" s="1676"/>
      <c r="AL341" s="1676"/>
      <c r="AP341" s="1394"/>
      <c r="AU341" s="848"/>
      <c r="AV341" s="848"/>
      <c r="AW341" s="848"/>
      <c r="AX341" s="848"/>
      <c r="AY341" s="848"/>
      <c r="AZ341" s="848"/>
      <c r="BA341" s="848"/>
      <c r="BB341" s="848"/>
      <c r="BC341" s="848"/>
      <c r="BD341" s="848"/>
      <c r="BE341" s="848"/>
      <c r="BF341" s="848"/>
      <c r="BH341" s="1680"/>
      <c r="BI341" s="1680"/>
      <c r="BJ341" s="1680"/>
      <c r="BK341" s="1680"/>
      <c r="BL341" s="1680"/>
      <c r="BM341" s="1680"/>
      <c r="BN341" s="1680"/>
      <c r="BO341" s="1680"/>
      <c r="BP341" s="1680"/>
    </row>
    <row r="342" spans="1:69" s="686" customFormat="1" ht="3.95" customHeight="1" x14ac:dyDescent="0.2">
      <c r="B342" s="1790">
        <v>330</v>
      </c>
      <c r="C342" s="1677"/>
      <c r="D342" s="1709"/>
      <c r="E342" s="1057"/>
      <c r="H342" s="1917"/>
      <c r="I342" s="1651"/>
      <c r="J342" s="1651"/>
      <c r="K342" s="1651"/>
      <c r="L342" s="1925"/>
      <c r="M342" s="1651"/>
      <c r="N342" s="1651"/>
      <c r="O342" s="1651"/>
      <c r="P342" s="1651"/>
      <c r="Q342" s="1651"/>
      <c r="R342" s="1651"/>
      <c r="S342" s="1651"/>
      <c r="T342" s="1651"/>
      <c r="U342" s="1651"/>
      <c r="V342" s="1651"/>
      <c r="W342" s="1651"/>
      <c r="X342" s="1651"/>
      <c r="Y342" s="1651"/>
      <c r="Z342" s="1651"/>
      <c r="AA342" s="1651"/>
      <c r="AB342" s="1651"/>
      <c r="AC342" s="1651"/>
      <c r="AD342" s="1651"/>
      <c r="AE342" s="1651"/>
      <c r="AF342" s="1651"/>
      <c r="AG342" s="1651"/>
      <c r="AH342" s="1651"/>
      <c r="AJ342" s="1676"/>
      <c r="AL342" s="1676"/>
      <c r="AP342" s="1057"/>
      <c r="AU342" s="848"/>
      <c r="AV342" s="848"/>
      <c r="AW342" s="848"/>
      <c r="AX342" s="848"/>
      <c r="AY342" s="848"/>
      <c r="AZ342" s="848"/>
      <c r="BA342" s="848"/>
      <c r="BB342" s="848"/>
      <c r="BC342" s="848"/>
      <c r="BD342" s="848"/>
      <c r="BE342" s="848"/>
      <c r="BF342" s="848"/>
      <c r="BH342" s="1680"/>
      <c r="BI342" s="1680"/>
      <c r="BJ342" s="1680"/>
      <c r="BK342" s="1680"/>
      <c r="BL342" s="1680"/>
      <c r="BM342" s="1680"/>
      <c r="BN342" s="1680"/>
      <c r="BO342" s="1680"/>
      <c r="BP342" s="1680"/>
    </row>
    <row r="343" spans="1:69" s="686" customFormat="1" ht="3.95" customHeight="1" x14ac:dyDescent="0.2">
      <c r="B343" s="1790">
        <v>331</v>
      </c>
      <c r="C343" s="1677"/>
      <c r="D343" s="1709"/>
      <c r="E343" s="1057"/>
      <c r="H343" s="1917"/>
      <c r="I343" s="1651"/>
      <c r="J343" s="1651"/>
      <c r="K343" s="1651"/>
      <c r="L343" s="1926"/>
      <c r="M343" s="1651"/>
      <c r="N343" s="1651"/>
      <c r="O343" s="1651"/>
      <c r="P343" s="1651"/>
      <c r="Q343" s="1651"/>
      <c r="R343" s="1651"/>
      <c r="S343" s="1651"/>
      <c r="T343" s="1651"/>
      <c r="U343" s="1651"/>
      <c r="V343" s="1651"/>
      <c r="W343" s="1651"/>
      <c r="X343" s="1651"/>
      <c r="Y343" s="1651"/>
      <c r="Z343" s="1651"/>
      <c r="AA343" s="1651"/>
      <c r="AB343" s="1651"/>
      <c r="AC343" s="1651"/>
      <c r="AD343" s="1651"/>
      <c r="AE343" s="1651"/>
      <c r="AF343" s="1651"/>
      <c r="AG343" s="1651"/>
      <c r="AH343" s="1651"/>
      <c r="AJ343" s="1676"/>
      <c r="AL343" s="1676"/>
      <c r="AP343" s="1057"/>
      <c r="AU343" s="848"/>
      <c r="AV343" s="848"/>
      <c r="AW343" s="848"/>
      <c r="AX343" s="848"/>
      <c r="AY343" s="848"/>
      <c r="AZ343" s="848"/>
      <c r="BA343" s="848"/>
      <c r="BB343" s="848"/>
      <c r="BC343" s="848"/>
      <c r="BD343" s="848"/>
      <c r="BE343" s="848"/>
      <c r="BF343" s="848"/>
      <c r="BH343" s="1680"/>
      <c r="BI343" s="1680"/>
      <c r="BJ343" s="1680"/>
      <c r="BK343" s="1680"/>
      <c r="BL343" s="1680"/>
      <c r="BM343" s="1680"/>
      <c r="BN343" s="1680"/>
      <c r="BO343" s="1680"/>
      <c r="BP343" s="1680"/>
    </row>
    <row r="344" spans="1:69" s="686" customFormat="1" ht="3.95" customHeight="1" x14ac:dyDescent="0.2">
      <c r="B344" s="1791">
        <v>332</v>
      </c>
      <c r="C344" s="1677"/>
      <c r="D344" s="1709"/>
      <c r="E344" s="1057"/>
      <c r="H344" s="1917"/>
      <c r="I344" s="1651"/>
      <c r="J344" s="1651"/>
      <c r="K344" s="1651"/>
      <c r="L344" s="1917"/>
      <c r="M344" s="1651"/>
      <c r="N344" s="1651"/>
      <c r="O344" s="1651"/>
      <c r="P344" s="1651"/>
      <c r="Q344" s="1651"/>
      <c r="R344" s="1651"/>
      <c r="S344" s="1651"/>
      <c r="T344" s="1651"/>
      <c r="U344" s="1651"/>
      <c r="V344" s="1651"/>
      <c r="W344" s="1651"/>
      <c r="X344" s="1651"/>
      <c r="Y344" s="1651"/>
      <c r="Z344" s="1651"/>
      <c r="AA344" s="1651"/>
      <c r="AB344" s="1651"/>
      <c r="AC344" s="1651"/>
      <c r="AD344" s="1651"/>
      <c r="AE344" s="1651"/>
      <c r="AF344" s="1651"/>
      <c r="AG344" s="1651"/>
      <c r="AH344" s="1651"/>
      <c r="AJ344" s="1676"/>
      <c r="AL344" s="1676"/>
      <c r="AP344" s="1057"/>
      <c r="AU344" s="848"/>
      <c r="AV344" s="848"/>
      <c r="AW344" s="848"/>
      <c r="AX344" s="848"/>
      <c r="AY344" s="848"/>
      <c r="AZ344" s="848"/>
      <c r="BA344" s="848"/>
      <c r="BB344" s="848"/>
      <c r="BC344" s="848"/>
      <c r="BD344" s="848"/>
      <c r="BE344" s="848"/>
      <c r="BF344" s="848"/>
      <c r="BH344" s="1680"/>
      <c r="BI344" s="1680"/>
      <c r="BJ344" s="1680"/>
      <c r="BK344" s="1680"/>
      <c r="BL344" s="1680"/>
      <c r="BM344" s="1680"/>
      <c r="BN344" s="1680"/>
      <c r="BO344" s="1680"/>
      <c r="BP344" s="1680"/>
    </row>
    <row r="345" spans="1:69" s="782" customFormat="1" ht="3.95" customHeight="1" x14ac:dyDescent="0.2">
      <c r="A345" s="816"/>
      <c r="B345" s="1791">
        <v>333</v>
      </c>
      <c r="C345" s="1271"/>
      <c r="D345" s="1841"/>
      <c r="E345" s="816"/>
      <c r="F345" s="736"/>
      <c r="G345" s="736"/>
      <c r="H345" s="1927"/>
      <c r="I345" s="1928"/>
      <c r="J345" s="1928"/>
      <c r="K345" s="1928"/>
      <c r="L345" s="1929"/>
      <c r="M345" s="722"/>
      <c r="N345" s="722"/>
      <c r="O345" s="722"/>
      <c r="P345" s="1891"/>
      <c r="Q345" s="1930"/>
      <c r="R345" s="1931"/>
      <c r="S345" s="1930"/>
      <c r="T345" s="1931"/>
      <c r="U345" s="1930"/>
      <c r="V345" s="1931"/>
      <c r="W345" s="1930"/>
      <c r="X345" s="1931"/>
      <c r="Y345" s="1894"/>
      <c r="Z345" s="1894"/>
      <c r="AA345" s="1894"/>
      <c r="AB345" s="1894"/>
      <c r="AC345" s="1894"/>
      <c r="AD345" s="1894"/>
      <c r="AE345" s="1894"/>
      <c r="AF345" s="1894"/>
      <c r="AG345" s="1894"/>
      <c r="AH345" s="1894"/>
      <c r="AI345" s="821"/>
      <c r="AJ345" s="1826"/>
      <c r="AK345" s="781"/>
      <c r="AL345" s="1831"/>
      <c r="AM345" s="824"/>
      <c r="AN345" s="822"/>
      <c r="AO345" s="824"/>
      <c r="AP345" s="1398"/>
      <c r="AQ345" s="824"/>
      <c r="AT345" s="824"/>
      <c r="AU345" s="759"/>
      <c r="AV345" s="759"/>
      <c r="AW345" s="759"/>
      <c r="AX345" s="759"/>
      <c r="AY345" s="759"/>
      <c r="AZ345" s="759"/>
      <c r="BA345" s="759"/>
      <c r="BB345" s="759"/>
      <c r="BC345" s="759"/>
      <c r="BD345" s="759"/>
      <c r="BE345" s="759"/>
      <c r="BF345" s="759"/>
      <c r="BG345" s="760"/>
      <c r="BH345" s="1681"/>
      <c r="BI345" s="1681"/>
      <c r="BJ345" s="1681"/>
      <c r="BK345" s="1681"/>
      <c r="BL345" s="1681"/>
      <c r="BM345" s="1681"/>
      <c r="BN345" s="1681"/>
      <c r="BO345" s="1681"/>
      <c r="BP345" s="1681"/>
      <c r="BQ345" s="824"/>
    </row>
    <row r="346" spans="1:69" s="782" customFormat="1" ht="15.75" x14ac:dyDescent="0.2">
      <c r="A346" s="1712" t="s">
        <v>2621</v>
      </c>
      <c r="B346" s="1791">
        <v>334</v>
      </c>
      <c r="C346" s="1669"/>
      <c r="D346" s="1248" t="str">
        <f>IF(AND(C290&lt;&gt;"",$C346=""),"Select Mode from Pull-Down List                           ","")</f>
        <v/>
      </c>
      <c r="E346" s="1277" t="str">
        <f>IF(AND(C346="",OR(H376&lt;&gt;0,J376&lt;&gt;0,H379&lt;&gt;0)),"&lt;&lt; Insert Rail Mode",IF(AND(C290="",C346&lt;&gt;""),"&lt;&lt;Complete Previous Section First",""))</f>
        <v/>
      </c>
      <c r="F346" s="736"/>
      <c r="G346" s="736"/>
      <c r="H346" s="1932"/>
      <c r="I346" s="1896"/>
      <c r="J346" s="1897"/>
      <c r="K346" s="1897"/>
      <c r="L346" s="1933"/>
      <c r="M346" s="1896"/>
      <c r="N346" s="1896"/>
      <c r="O346" s="1896"/>
      <c r="P346" s="1898"/>
      <c r="Q346" s="1896"/>
      <c r="R346" s="1898"/>
      <c r="S346" s="1896"/>
      <c r="T346" s="1898"/>
      <c r="U346" s="1896"/>
      <c r="V346" s="1898"/>
      <c r="W346" s="1896"/>
      <c r="X346" s="1898"/>
      <c r="Y346" s="1896"/>
      <c r="Z346" s="1896"/>
      <c r="AA346" s="1896"/>
      <c r="AB346" s="1896"/>
      <c r="AC346" s="1896"/>
      <c r="AD346" s="1896"/>
      <c r="AE346" s="1896"/>
      <c r="AF346" s="1896"/>
      <c r="AG346" s="1896"/>
      <c r="AH346" s="1896"/>
      <c r="AI346" s="1254"/>
      <c r="AJ346" s="1827"/>
      <c r="AK346" s="1254"/>
      <c r="AL346" s="1827"/>
      <c r="AM346" s="832"/>
      <c r="AN346" s="1254"/>
      <c r="AO346" s="832"/>
      <c r="AP346" s="1399"/>
      <c r="AQ346" s="832"/>
      <c r="AS346" s="758"/>
      <c r="AT346" s="758" t="b">
        <f>IF(OR(E346&lt;&gt;"",E402="Complete Previous Section First"),TRUE,FALSE)</f>
        <v>0</v>
      </c>
      <c r="AU346" s="763"/>
      <c r="AV346" s="763"/>
      <c r="AW346" s="763"/>
      <c r="AX346" s="763"/>
      <c r="AY346" s="763"/>
      <c r="AZ346" s="763"/>
      <c r="BA346" s="763"/>
      <c r="BB346" s="763"/>
      <c r="BC346" s="763"/>
      <c r="BD346" s="763"/>
      <c r="BE346" s="763"/>
      <c r="BF346" s="759"/>
      <c r="BG346" s="760"/>
      <c r="BH346" s="1678"/>
      <c r="BI346" s="1678"/>
      <c r="BJ346" s="1678"/>
      <c r="BK346" s="1678"/>
      <c r="BL346" s="1678"/>
      <c r="BM346" s="1678"/>
      <c r="BN346" s="1678"/>
      <c r="BO346" s="1678"/>
      <c r="BP346" s="1678"/>
      <c r="BQ346" s="832"/>
    </row>
    <row r="347" spans="1:69" s="782" customFormat="1" ht="3.95" customHeight="1" x14ac:dyDescent="0.2">
      <c r="A347" s="721"/>
      <c r="B347" s="1790">
        <v>335</v>
      </c>
      <c r="C347" s="828"/>
      <c r="D347" s="1841"/>
      <c r="E347" s="721"/>
      <c r="F347" s="281"/>
      <c r="G347" s="281"/>
      <c r="H347" s="1934"/>
      <c r="I347" s="1899"/>
      <c r="J347" s="1899"/>
      <c r="K347" s="1899"/>
      <c r="L347" s="1909"/>
      <c r="M347" s="722"/>
      <c r="N347" s="722"/>
      <c r="O347" s="722"/>
      <c r="P347" s="1900"/>
      <c r="Q347" s="1901"/>
      <c r="R347" s="1900"/>
      <c r="S347" s="1901"/>
      <c r="T347" s="1900"/>
      <c r="U347" s="1901"/>
      <c r="V347" s="1900"/>
      <c r="W347" s="1901"/>
      <c r="X347" s="1900"/>
      <c r="Y347" s="1902"/>
      <c r="Z347" s="1902"/>
      <c r="AA347" s="1902"/>
      <c r="AB347" s="1902"/>
      <c r="AC347" s="1902"/>
      <c r="AD347" s="1902"/>
      <c r="AE347" s="1902"/>
      <c r="AF347" s="1902"/>
      <c r="AG347" s="1902"/>
      <c r="AH347" s="1902"/>
      <c r="AI347" s="831"/>
      <c r="AJ347" s="1828"/>
      <c r="AK347" s="724"/>
      <c r="AL347" s="1806"/>
      <c r="AM347" s="832"/>
      <c r="AN347" s="724"/>
      <c r="AO347" s="832"/>
      <c r="AP347" s="1399"/>
      <c r="AQ347" s="832"/>
      <c r="AS347" s="824"/>
      <c r="AT347" s="832"/>
      <c r="AU347" s="759"/>
      <c r="AV347" s="759"/>
      <c r="AW347" s="759"/>
      <c r="AX347" s="759"/>
      <c r="AY347" s="759"/>
      <c r="AZ347" s="759"/>
      <c r="BA347" s="759"/>
      <c r="BB347" s="759"/>
      <c r="BC347" s="759"/>
      <c r="BD347" s="759"/>
      <c r="BE347" s="759"/>
      <c r="BF347" s="759"/>
      <c r="BG347" s="760"/>
      <c r="BH347" s="1678"/>
      <c r="BI347" s="1678"/>
      <c r="BJ347" s="1678"/>
      <c r="BK347" s="1678"/>
      <c r="BL347" s="1678"/>
      <c r="BM347" s="1678"/>
      <c r="BN347" s="1678"/>
      <c r="BO347" s="1678"/>
      <c r="BP347" s="1678"/>
      <c r="BQ347" s="832"/>
    </row>
    <row r="348" spans="1:69" s="782" customFormat="1" x14ac:dyDescent="0.2">
      <c r="A348" s="1712" t="s">
        <v>2621</v>
      </c>
      <c r="B348" s="1790">
        <v>336</v>
      </c>
      <c r="C348" s="844" t="str">
        <f>IF(C346="","Guideway (Excludes Track)",VLOOKUP(C346,Codes!$C$156:$D$174,2)&amp;" Guideway (Excludes Track)")</f>
        <v>Guideway (Excludes Track)</v>
      </c>
      <c r="D348" s="1841"/>
      <c r="E348" s="721"/>
      <c r="F348" s="281"/>
      <c r="G348" s="281"/>
      <c r="H348" s="1934"/>
      <c r="I348" s="1899"/>
      <c r="J348" s="1899"/>
      <c r="K348" s="1899"/>
      <c r="L348" s="1909"/>
      <c r="M348" s="722"/>
      <c r="N348" s="722"/>
      <c r="O348" s="722"/>
      <c r="P348" s="1900"/>
      <c r="Q348" s="1901"/>
      <c r="R348" s="1900"/>
      <c r="S348" s="1901"/>
      <c r="T348" s="1900"/>
      <c r="U348" s="1901"/>
      <c r="V348" s="1900"/>
      <c r="W348" s="1901"/>
      <c r="X348" s="1900"/>
      <c r="Y348" s="1902"/>
      <c r="Z348" s="1902"/>
      <c r="AA348" s="1902"/>
      <c r="AB348" s="1902"/>
      <c r="AC348" s="1902"/>
      <c r="AD348" s="1902"/>
      <c r="AE348" s="1902"/>
      <c r="AF348" s="1902"/>
      <c r="AG348" s="1902"/>
      <c r="AH348" s="1902"/>
      <c r="AI348" s="831"/>
      <c r="AJ348" s="1828"/>
      <c r="AK348" s="724"/>
      <c r="AL348" s="1806"/>
      <c r="AM348" s="832"/>
      <c r="AN348" s="724"/>
      <c r="AO348" s="832"/>
      <c r="AP348" s="1399"/>
      <c r="AQ348" s="832"/>
      <c r="AS348" s="824"/>
      <c r="AT348" s="832"/>
      <c r="AU348" s="759"/>
      <c r="AV348" s="759"/>
      <c r="AW348" s="759"/>
      <c r="AX348" s="759"/>
      <c r="AY348" s="759"/>
      <c r="AZ348" s="759"/>
      <c r="BA348" s="759"/>
      <c r="BB348" s="759"/>
      <c r="BC348" s="759"/>
      <c r="BD348" s="759"/>
      <c r="BE348" s="759"/>
      <c r="BF348" s="759"/>
      <c r="BG348" s="760"/>
      <c r="BH348" s="1678"/>
      <c r="BI348" s="1678"/>
      <c r="BJ348" s="1678"/>
      <c r="BK348" s="1678"/>
      <c r="BL348" s="1678"/>
      <c r="BM348" s="1678"/>
      <c r="BN348" s="1678"/>
      <c r="BO348" s="1678"/>
      <c r="BP348" s="1678"/>
      <c r="BQ348" s="832"/>
    </row>
    <row r="349" spans="1:69" s="782" customFormat="1" ht="26.25" thickBot="1" x14ac:dyDescent="0.25">
      <c r="A349" s="1712" t="s">
        <v>2621</v>
      </c>
      <c r="B349" s="1791">
        <v>337</v>
      </c>
      <c r="D349" s="1841"/>
      <c r="E349" s="816"/>
      <c r="F349" s="764"/>
      <c r="G349" s="764"/>
      <c r="H349" s="1903" t="str">
        <f>H$10</f>
        <v>Linear Feet</v>
      </c>
      <c r="I349" s="1899"/>
      <c r="J349" s="1903" t="str">
        <f>J$10</f>
        <v>Track Feet</v>
      </c>
      <c r="K349" s="1899"/>
      <c r="L349" s="1909"/>
      <c r="M349" s="722"/>
      <c r="N349" s="722"/>
      <c r="O349" s="722"/>
      <c r="P349" s="1903" t="str">
        <f>P$9</f>
        <v>Pre-1920</v>
      </c>
      <c r="Q349" s="1869"/>
      <c r="R349" s="1903" t="str">
        <f>R$9</f>
        <v>1920-
1929</v>
      </c>
      <c r="S349" s="1869"/>
      <c r="T349" s="1903" t="str">
        <f>T$9</f>
        <v>1930-
1939</v>
      </c>
      <c r="U349" s="1869"/>
      <c r="V349" s="1903" t="str">
        <f>V$9</f>
        <v>1940-
1949</v>
      </c>
      <c r="W349" s="1869"/>
      <c r="X349" s="1903" t="str">
        <f>X$9</f>
        <v>1950-
1959</v>
      </c>
      <c r="Y349" s="1868"/>
      <c r="Z349" s="1903" t="str">
        <f>Z$9</f>
        <v>1960-
1969</v>
      </c>
      <c r="AA349" s="1868"/>
      <c r="AB349" s="1903" t="str">
        <f>AB$9</f>
        <v>1970-
1979</v>
      </c>
      <c r="AC349" s="1868"/>
      <c r="AD349" s="1903" t="str">
        <f>AD$9</f>
        <v>1980-
1989</v>
      </c>
      <c r="AE349" s="1868"/>
      <c r="AF349" s="1903" t="str">
        <f>AF$9</f>
        <v>1990-
1999</v>
      </c>
      <c r="AG349" s="1868"/>
      <c r="AH349" s="1903" t="str">
        <f>AH$9</f>
        <v>2000-
present</v>
      </c>
      <c r="AI349" s="831"/>
      <c r="AJ349" s="1828"/>
      <c r="AK349" s="724"/>
      <c r="AL349" s="1806"/>
      <c r="AM349" s="832"/>
      <c r="AN349" s="724"/>
      <c r="AO349" s="832"/>
      <c r="AP349" s="1399"/>
      <c r="AQ349" s="832"/>
      <c r="AS349" s="832"/>
      <c r="AT349" s="832"/>
      <c r="AU349" s="759"/>
      <c r="AV349" s="759"/>
      <c r="AW349" s="759"/>
      <c r="AX349" s="759"/>
      <c r="AY349" s="759"/>
      <c r="AZ349" s="759"/>
      <c r="BA349" s="759"/>
      <c r="BB349" s="759"/>
      <c r="BC349" s="759"/>
      <c r="BD349" s="759"/>
      <c r="BE349" s="759"/>
      <c r="BF349" s="759"/>
      <c r="BG349" s="760"/>
      <c r="BH349" s="1678"/>
      <c r="BI349" s="1678"/>
      <c r="BJ349" s="1678"/>
      <c r="BK349" s="1678"/>
      <c r="BL349" s="1678"/>
      <c r="BM349" s="1678"/>
      <c r="BN349" s="1678"/>
      <c r="BO349" s="1678"/>
      <c r="BP349" s="1678"/>
      <c r="BQ349" s="832"/>
    </row>
    <row r="350" spans="1:69" s="782" customFormat="1" x14ac:dyDescent="0.2">
      <c r="A350" s="852">
        <f>A335+1</f>
        <v>85</v>
      </c>
      <c r="B350" s="1791">
        <v>338</v>
      </c>
      <c r="C350" s="851" t="str">
        <f>Valid!$B$71</f>
        <v>At-Grade/Ballast (including expressway)</v>
      </c>
      <c r="D350" s="1841"/>
      <c r="E350" s="1245" t="str">
        <f>IF(AT350="N/A","",IF(AT350="N","No","Yes"))</f>
        <v/>
      </c>
      <c r="F350" s="764"/>
      <c r="G350" s="764"/>
      <c r="H350" s="1864"/>
      <c r="I350" s="1904" t="str">
        <f>IF(C346="","",IF(J350&lt;&gt;"","Linear Feet   ","Qty? Enter Zero if N/A  "))</f>
        <v/>
      </c>
      <c r="J350" s="1864"/>
      <c r="K350" s="1904" t="str">
        <f>IF(E350="yes","",IF(C346="","",IF(H350="","Qty? Enter Zero if N/A  ",IF(H350&lt;&gt;"","Track Feet      ",""))))</f>
        <v/>
      </c>
      <c r="L350" s="1864"/>
      <c r="M350" s="1620" t="str">
        <f>IF($H350=0,"",IF($L350="",TEXT(BN350,0)&amp;" Years?    ",""))</f>
        <v/>
      </c>
      <c r="N350" s="1905"/>
      <c r="O350" s="1620"/>
      <c r="P350" s="1864"/>
      <c r="Q350" s="1865" t="str">
        <f>IF(OR($N350="",$H350=0, P350&lt;&gt;""),"", IF($BK350&lt;&gt;0, "0 - ", "")&amp;IF($N350="%", TEXT($BK350, "0%"), IF($BK350&lt;1000, TEXT($BK350, "#,##0"), TEXT($BK350/1000, "#,##0")&amp;"k")&amp;" ft.")&amp;"?  ")</f>
        <v/>
      </c>
      <c r="R350" s="1864"/>
      <c r="S350" s="1865" t="str">
        <f>IF(OR($N350="",$H350=0, R350&lt;&gt;""),"", IF($BK350&lt;&gt;0, "0 - ", "")&amp;IF($N350="%", TEXT($BK350, "0%"), IF($BK350&lt;1000, TEXT($BK350, "#,##0"), TEXT($BK350/1000, "#,##0")&amp;"k")&amp;" ft.")&amp;"?  ")</f>
        <v/>
      </c>
      <c r="T350" s="1864"/>
      <c r="U350" s="1865" t="str">
        <f>IF(OR($N350="",$H350=0, T350&lt;&gt;""),"", IF($BK350&lt;&gt;0, "0 - ", "")&amp;IF($N350="%", TEXT($BK350, "0%"), IF($BK350&lt;1000, TEXT($BK350, "#,##0"), TEXT($BK350/1000, "#,##0")&amp;"k")&amp;" ft.")&amp;"?  ")</f>
        <v/>
      </c>
      <c r="V350" s="1864"/>
      <c r="W350" s="1865" t="str">
        <f>IF(OR($N350="",$H350=0, V350&lt;&gt;""),"", IF($BK350&lt;&gt;0, "0 - ", "")&amp;IF($N350="%", TEXT($BK350, "0%"), IF($BK350&lt;1000, TEXT($BK350, "#,##0"), TEXT($BK350/1000, "#,##0")&amp;"k")&amp;" ft.")&amp;"?  ")</f>
        <v/>
      </c>
      <c r="X350" s="1864"/>
      <c r="Y350" s="1865" t="str">
        <f>IF(OR($N350="",$H350=0, X350&lt;&gt;""),"", IF($BK350&lt;&gt;0, "0 - ", "")&amp;IF($N350="%", TEXT($BK350, "0%"), IF($BK350&lt;1000, TEXT($BK350, "#,##0"), TEXT($BK350/1000, "#,##0")&amp;"k")&amp;" ft.")&amp;"?  ")</f>
        <v/>
      </c>
      <c r="Z350" s="1864"/>
      <c r="AA350" s="1865" t="str">
        <f>IF(OR($N350="",$H350=0, Z350&lt;&gt;""),"", IF($BK350&lt;&gt;0, "0 - ", "")&amp;IF($N350="%", TEXT($BK350, "0%"), IF($BK350&lt;1000, TEXT($BK350, "#,##0"), TEXT($BK350/1000, "#,##0")&amp;"k")&amp;" ft.")&amp;"?  ")</f>
        <v/>
      </c>
      <c r="AB350" s="1864"/>
      <c r="AC350" s="1865" t="str">
        <f>IF(OR($N350="",$H350=0, AB350&lt;&gt;""),"", IF($BK350&lt;&gt;0, "0 - ", "")&amp;IF($N350="%", TEXT($BK350, "0%"), IF($BK350&lt;1000, TEXT($BK350, "#,##0"), TEXT($BK350/1000, "#,##0")&amp;"k")&amp;" ft.")&amp;"?  ")</f>
        <v/>
      </c>
      <c r="AD350" s="1864"/>
      <c r="AE350" s="1865" t="str">
        <f>IF(OR($N350="",$H350=0, AD350&lt;&gt;""),"", IF($BK350&lt;&gt;0, "0 - ", "")&amp;IF($N350="%", TEXT($BK350, "0%"), IF($BK350&lt;1000, TEXT($BK350, "#,##0"), TEXT($BK350/1000, "#,##0")&amp;"k")&amp;" ft.")&amp;"?  ")</f>
        <v/>
      </c>
      <c r="AF350" s="1864"/>
      <c r="AG350" s="1865" t="str">
        <f>IF(OR($N350="",$H350=0, AF350&lt;&gt;""),"", IF($BK350&lt;&gt;0, "0 - ", "")&amp;IF($N350="%", TEXT($BK350, "0%"), IF($BK350&lt;1000, TEXT($BK350, "#,##0"), TEXT($BK350/1000, "#,##0")&amp;"k")&amp;" ft.")&amp;"?  ")</f>
        <v/>
      </c>
      <c r="AH350" s="1864"/>
      <c r="AI350" s="1865" t="str">
        <f>IF(OR($N350="",$H350=0, AH350&lt;&gt;""),"", IF($BK350&lt;&gt;0, "0 - ", "")&amp;IF($N350="%", TEXT($BK350, "0%"), IF($BK350&lt;1000, TEXT($BK350, "#,##0"), TEXT($BK350/1000, "#,##0")&amp;"k")&amp;" ft.")&amp;"?  ")</f>
        <v/>
      </c>
      <c r="AJ350" s="1833">
        <f>IFERROR(IF(N350="%", SUM(P350,R350,T350,V350,X350,Z350,AB350,AD350,AF350,AH350)/100, SUM(P350,R350,T350,V350,X350,Z350,AB350,AD350,AF350,AH350)/IF(N350="LF", H350,J350)), 0)</f>
        <v>0</v>
      </c>
      <c r="AK350" s="1648"/>
      <c r="AL350" s="1675"/>
      <c r="AM350" s="839"/>
      <c r="AN350" s="1808"/>
      <c r="AO350" s="839"/>
      <c r="AP350" s="1653"/>
      <c r="AQ350" s="839"/>
      <c r="AS350" s="1399"/>
      <c r="AT350" s="1624" t="str">
        <f>IF(AND($C$346="", H350="", J350=""), "N/A", IF(OR(AND(ISNUMBER(H350), ISNUMBER(J350), H350=0, J350=0), AND(AJ350=1, H350&lt;&gt;"", J350&lt;&gt;"", L350&lt;&gt;"", N350&lt;&gt;"", P350&lt;&gt;"", R350&lt;&gt;"", T350&lt;&gt;"", V350&lt;&gt;"", X350&lt;&gt;"", Z350&lt;&gt;"", AB350&lt;&gt;"", AD350&lt;&gt;"", AF350&lt;&gt;"", AH350&lt;&gt;"",AL350&lt;&gt;"", IF(AND(AL350&lt;1, AN350=""), FALSE, TRUE))), "Yes", "No"))</f>
        <v>N/A</v>
      </c>
      <c r="AU350" s="759" t="b">
        <f>IF(AND(H350="",OR(L350&lt;&gt;"",P350&lt;&gt;"",R350&lt;&gt;"",T350&lt;&gt;"",V350&lt;&gt;"",X350&lt;&gt;"",AL350&lt;&gt;"",Z350&lt;&gt;"",AB350&lt;&gt;"",AD350&lt;&gt;"",AF350&lt;&gt;"",AH350&lt;&gt;"")),TRUE,FALSE)</f>
        <v>0</v>
      </c>
      <c r="AV350" s="759" t="b">
        <f>IF(OR(H350="",H350=0),FALSE,IF(H350&gt;BM350,TRUE,FALSE))</f>
        <v>0</v>
      </c>
      <c r="AW350" s="759" t="b">
        <f>IF(AND($C$346&lt;&gt;"",$H350=""),TRUE,FALSE)</f>
        <v>0</v>
      </c>
      <c r="AX350" s="759" t="b">
        <f>IF(E350="yes",FALSE,IF(H350="0",FALSE,IF(AND($C$346&lt;&gt;"",J350=""),TRUE,FALSE)))</f>
        <v>0</v>
      </c>
      <c r="AY350" s="759" t="b">
        <f>IF($L350="",FALSE,IF($L350&lt;$BO350,TRUE,FALSE))</f>
        <v>0</v>
      </c>
      <c r="AZ350" s="759" t="b">
        <f>IF($L350="",FALSE,IF($L350&gt;$BP350,TRUE,FALSE))</f>
        <v>0</v>
      </c>
      <c r="BA350" s="759" t="b">
        <f>IF(H350=0,FALSE,IF(AND(E350&lt;&gt;"",$L350=""),TRUE,FALSE))</f>
        <v>0</v>
      </c>
      <c r="BB350" s="759" t="b">
        <f>IF(AND($AJ350&lt;&gt;0,$H350&lt;&gt;$BJ350,$N350="LF"),TRUE,IF(AND($AJ350&lt;&gt;0,$J350&lt;&gt;$AJ350,$N350="TF"),TRUE,IF(AND($AJ350&lt;&gt;0,$AJ350&lt;&gt;1,$N350="%"),TRUE,FALSE)))</f>
        <v>0</v>
      </c>
      <c r="BC350" s="759" t="b">
        <f>IF(AT350="No", IF(OR(P350="", R350="", T350="", V350="", X350="", Z350="", AB350="", AD350="", AF350="", AH350=""), TRUE, FALSE), FALSE)</f>
        <v>0</v>
      </c>
      <c r="BD350" s="759" t="b">
        <f>IF($BE350=TRUE,FALSE,IF(OR($AL350&lt;0,$AL350&gt;1),TRUE,FALSE))</f>
        <v>0</v>
      </c>
      <c r="BE350" s="759" t="b">
        <f>IF(AND($H350&lt;&gt;0,$AL350=""),TRUE,FALSE)</f>
        <v>0</v>
      </c>
      <c r="BF350" s="759" t="b">
        <f>IF(N350="%",TRUE,FALSE)</f>
        <v>0</v>
      </c>
      <c r="BG350" s="760"/>
      <c r="BH350" s="1678">
        <f>IF($C350="","",VLOOKUP($C350,val_fg_assets,9,FALSE))</f>
        <v>1</v>
      </c>
      <c r="BI350" s="1678" t="str">
        <f>IF(N350="", "", IF(N350="LF", H350, IF(N350="TF", J350, IF(N350="%", 1, ""))))</f>
        <v/>
      </c>
      <c r="BJ350" s="1679">
        <f>P350+R350+T350+V350+X350+Z350+AB350+AD350+AF350+AH350</f>
        <v>0</v>
      </c>
      <c r="BK350" s="1679" t="str">
        <f>IF(BI350="", "", BI350-BJ350)</f>
        <v/>
      </c>
      <c r="BL350" s="1679">
        <f>IF($C350="","",VLOOKUP($C350,val_fg_assets,3,FALSE))</f>
        <v>0</v>
      </c>
      <c r="BM350" s="1679">
        <f>IF($C350="","",VLOOKUP($C350,val_fg_assets,4,FALSE))</f>
        <v>1320000</v>
      </c>
      <c r="BN350" s="1678">
        <f>IF($C350="","",VLOOKUP($C350,val_fg_assets,5,FALSE))</f>
        <v>80</v>
      </c>
      <c r="BO350" s="1678">
        <f>IF($C350="","",VLOOKUP($C350,val_fg_assets,6,FALSE))</f>
        <v>60</v>
      </c>
      <c r="BP350" s="1678">
        <f>IF($C350="","",VLOOKUP($C350,val_fg_assets,7,FALSE))</f>
        <v>100</v>
      </c>
      <c r="BQ350" s="1399"/>
    </row>
    <row r="351" spans="1:69" s="782" customFormat="1" ht="3.95" customHeight="1" x14ac:dyDescent="0.2">
      <c r="A351" s="1672"/>
      <c r="B351" s="1791">
        <v>339</v>
      </c>
      <c r="C351" s="1673"/>
      <c r="D351" s="1841"/>
      <c r="E351" s="1057"/>
      <c r="F351" s="764"/>
      <c r="G351" s="764"/>
      <c r="H351" s="1906"/>
      <c r="I351" s="1907"/>
      <c r="J351" s="1908"/>
      <c r="K351" s="1907"/>
      <c r="L351" s="1909"/>
      <c r="M351" s="1910"/>
      <c r="N351" s="1911"/>
      <c r="O351" s="1910"/>
      <c r="P351" s="1866"/>
      <c r="Q351" s="1867"/>
      <c r="R351" s="1866"/>
      <c r="S351" s="1867"/>
      <c r="T351" s="1866"/>
      <c r="U351" s="1867"/>
      <c r="V351" s="1866"/>
      <c r="W351" s="1867"/>
      <c r="X351" s="1866"/>
      <c r="Y351" s="1867"/>
      <c r="Z351" s="1867"/>
      <c r="AA351" s="1867"/>
      <c r="AB351" s="1867"/>
      <c r="AC351" s="1867"/>
      <c r="AD351" s="1867"/>
      <c r="AE351" s="1867"/>
      <c r="AF351" s="1867"/>
      <c r="AG351" s="1867"/>
      <c r="AH351" s="1867"/>
      <c r="AI351" s="837"/>
      <c r="AJ351" s="1806"/>
      <c r="AK351" s="841"/>
      <c r="AL351" s="1806"/>
      <c r="AM351" s="1399"/>
      <c r="AN351" s="838"/>
      <c r="AO351" s="1399"/>
      <c r="AP351" s="1223"/>
      <c r="AQ351" s="1399"/>
      <c r="AS351" s="1399"/>
      <c r="AT351" s="1399"/>
      <c r="AU351" s="759"/>
      <c r="AV351" s="759"/>
      <c r="AW351" s="759"/>
      <c r="AX351" s="759"/>
      <c r="AY351" s="759"/>
      <c r="AZ351" s="759"/>
      <c r="BA351" s="759"/>
      <c r="BB351" s="759"/>
      <c r="BC351" s="759"/>
      <c r="BD351" s="759"/>
      <c r="BE351" s="759"/>
      <c r="BF351" s="759"/>
      <c r="BG351" s="760"/>
      <c r="BH351" s="1678"/>
      <c r="BI351" s="1678"/>
      <c r="BJ351" s="1678"/>
      <c r="BK351" s="1678"/>
      <c r="BL351" s="1679"/>
      <c r="BM351" s="1679"/>
      <c r="BN351" s="1678"/>
      <c r="BO351" s="1678"/>
      <c r="BP351" s="1678"/>
      <c r="BQ351" s="1399"/>
    </row>
    <row r="352" spans="1:69" s="782" customFormat="1" ht="3.95" customHeight="1" thickBot="1" x14ac:dyDescent="0.25">
      <c r="A352" s="852"/>
      <c r="B352" s="1790">
        <v>340</v>
      </c>
      <c r="C352" s="851"/>
      <c r="D352" s="1841"/>
      <c r="E352" s="1058"/>
      <c r="F352" s="686"/>
      <c r="G352" s="686"/>
      <c r="H352" s="1909"/>
      <c r="I352" s="1908"/>
      <c r="J352" s="1908"/>
      <c r="K352" s="1908"/>
      <c r="L352" s="1909"/>
      <c r="M352" s="722"/>
      <c r="N352" s="1912"/>
      <c r="O352" s="722"/>
      <c r="P352" s="1868"/>
      <c r="Q352" s="1869"/>
      <c r="R352" s="1868"/>
      <c r="S352" s="1869"/>
      <c r="T352" s="1868"/>
      <c r="U352" s="1869"/>
      <c r="V352" s="1868"/>
      <c r="W352" s="1869"/>
      <c r="X352" s="1868"/>
      <c r="Y352" s="1869"/>
      <c r="Z352" s="1869"/>
      <c r="AA352" s="1869"/>
      <c r="AB352" s="1869"/>
      <c r="AC352" s="1869"/>
      <c r="AD352" s="1869"/>
      <c r="AE352" s="1869"/>
      <c r="AF352" s="1869"/>
      <c r="AG352" s="1869"/>
      <c r="AH352" s="1869"/>
      <c r="AI352" s="1670"/>
      <c r="AJ352" s="1828"/>
      <c r="AK352" s="724"/>
      <c r="AL352" s="1806"/>
      <c r="AM352" s="1399"/>
      <c r="AN352" s="1258"/>
      <c r="AO352" s="1399"/>
      <c r="AP352" s="1399"/>
      <c r="AQ352" s="1399"/>
      <c r="AS352" s="1399"/>
      <c r="AT352" s="1399"/>
      <c r="AU352" s="759"/>
      <c r="AV352" s="759"/>
      <c r="AW352" s="759"/>
      <c r="AX352" s="759"/>
      <c r="AY352" s="759"/>
      <c r="AZ352" s="759"/>
      <c r="BA352" s="759"/>
      <c r="BB352" s="759"/>
      <c r="BC352" s="759"/>
      <c r="BD352" s="759"/>
      <c r="BE352" s="759"/>
      <c r="BF352" s="759"/>
      <c r="BG352" s="760"/>
      <c r="BH352" s="1678"/>
      <c r="BI352" s="1678"/>
      <c r="BJ352" s="1678"/>
      <c r="BK352" s="1678"/>
      <c r="BL352" s="1679"/>
      <c r="BM352" s="1679"/>
      <c r="BN352" s="1678"/>
      <c r="BO352" s="1678"/>
      <c r="BP352" s="1678"/>
      <c r="BQ352" s="1399"/>
    </row>
    <row r="353" spans="1:69" s="782" customFormat="1" x14ac:dyDescent="0.2">
      <c r="A353" s="852">
        <f>A350+1</f>
        <v>86</v>
      </c>
      <c r="B353" s="1790">
        <v>341</v>
      </c>
      <c r="C353" s="851" t="str">
        <f>Valid!$B$72</f>
        <v>At-Grade/In-Street/Embedded</v>
      </c>
      <c r="D353" s="1841"/>
      <c r="E353" s="1245" t="str">
        <f>IF(AT353="N/A","",IF(AT353="N","No","Yes"))</f>
        <v/>
      </c>
      <c r="F353" s="764"/>
      <c r="G353" s="764"/>
      <c r="H353" s="1864"/>
      <c r="I353" s="1904" t="str">
        <f>IF(C346="","",IF(J353&lt;&gt;"","Linear Feet   ","Qty? Enter Zero if N/A  "))</f>
        <v/>
      </c>
      <c r="J353" s="1864"/>
      <c r="K353" s="1904" t="str">
        <f>IF(E353="yes","",IF(C346="","",IF(H353="","Qty? Enter Zero if N/A  ",IF(H353&lt;&gt;"","Track Feet      ",""))))</f>
        <v/>
      </c>
      <c r="L353" s="1864"/>
      <c r="M353" s="1620" t="str">
        <f>IF($H353=0,"",IF($L353="",TEXT(BN353,0)&amp;" Years?    ",""))</f>
        <v/>
      </c>
      <c r="N353" s="1905"/>
      <c r="O353" s="1620"/>
      <c r="P353" s="1864"/>
      <c r="Q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R353" s="1864"/>
      <c r="S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T353" s="1864"/>
      <c r="U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V353" s="1864"/>
      <c r="W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X353" s="1864"/>
      <c r="Y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Z353" s="1864"/>
      <c r="AA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B353" s="1864"/>
      <c r="AC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D353" s="1864"/>
      <c r="AE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F353" s="1864"/>
      <c r="AG353" s="1865"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H353" s="1864"/>
      <c r="AI353" s="904" t="str">
        <f>IF($N353="","",IF(AND($N353="",OR($H353="",$H353=0)),"",IF(AND($N353="LF",$AJ353&lt;$H353),"0 - "&amp;TEXT(($H353-$AJ353)/1000,"0")&amp;"k lin. ft.?    ",IF(AND($N353="TF",$AJ353&lt;$J353),"0 - "&amp;TEXT(($J353-$AJ353)/1000,"0")&amp;"k track ft.?    ",IF(AND($N353="%",$AJ353&lt;1),REPLACE(IF(AND($P353&gt;0,$V353&gt;0,$T353&gt;0,$X353&gt;0,$R353&gt;0,$Z353&gt;0,$AB353&gt;0,$AD353&gt;0,$AF353&gt;0,$AH353&gt;0),"","0-"),99,0,REPLACE(TEXT(100-$AJ353,0),99,0,"%?    ")),"")))))</f>
        <v/>
      </c>
      <c r="AJ353" s="1833">
        <f>IFERROR(IF(N353="%", SUM(P353,R353,T353,V353,X353,Z353,AB353,AD353,AF353,AH353)/100, SUM(P353,R353,T353,V353,X353,Z353,AB353,AD353,AF353,AH353)/IF(N353="LF", H353,J353)), 0)</f>
        <v>0</v>
      </c>
      <c r="AK353" s="1648"/>
      <c r="AL353" s="1675"/>
      <c r="AM353" s="1399"/>
      <c r="AN353" s="1808"/>
      <c r="AO353" s="1399"/>
      <c r="AP353" s="1653"/>
      <c r="AQ353" s="1399"/>
      <c r="AS353" s="1399"/>
      <c r="AT353" s="1624" t="str">
        <f>IF(AND($C$346="", H353="", J353=""), "N/A", IF(OR(AND(ISNUMBER(H353), ISNUMBER(J353), H353=0, J353=0), AND(AJ353=1, H353&lt;&gt;"", J353&lt;&gt;"", L353&lt;&gt;"", N353&lt;&gt;"", P353&lt;&gt;"", R353&lt;&gt;"", T353&lt;&gt;"", V353&lt;&gt;"", X353&lt;&gt;"", Z353&lt;&gt;"", AB353&lt;&gt;"", AD353&lt;&gt;"", AF353&lt;&gt;"", AH353&lt;&gt;"",AL353&lt;&gt;"", IF(AND(AL353&lt;1, AN353=""), FALSE, TRUE))), "Yes", "No"))</f>
        <v>N/A</v>
      </c>
      <c r="AU353" s="759" t="b">
        <f>IF(AND(H353="",OR(L353&lt;&gt;"",P353&lt;&gt;"",R353&lt;&gt;"",T353&lt;&gt;"",V353&lt;&gt;"",X353&lt;&gt;"",AL353&lt;&gt;"",Z353&lt;&gt;"",AB353&lt;&gt;"",AD353&lt;&gt;"",AF353&lt;&gt;"",AH353&lt;&gt;"")),TRUE,FALSE)</f>
        <v>0</v>
      </c>
      <c r="AV353" s="759" t="b">
        <f>IF(OR(H353="",H353=0),FALSE,IF(H353&gt;BM353,TRUE,FALSE))</f>
        <v>0</v>
      </c>
      <c r="AW353" s="759" t="b">
        <f>IF(AND($C$346&lt;&gt;"",$H353=""),TRUE,FALSE)</f>
        <v>0</v>
      </c>
      <c r="AX353" s="759" t="b">
        <f>IF(E353="yes",FALSE,IF(H353="0",FALSE,IF(AND($C$346&lt;&gt;"",J353=""),TRUE,FALSE)))</f>
        <v>0</v>
      </c>
      <c r="AY353" s="759" t="b">
        <f>IF($L353="",FALSE,IF($L353&lt;$BO353,TRUE,FALSE))</f>
        <v>0</v>
      </c>
      <c r="AZ353" s="759" t="b">
        <f>IF($L353="",FALSE,IF($L353&gt;$BP353,TRUE,FALSE))</f>
        <v>0</v>
      </c>
      <c r="BA353" s="759" t="b">
        <f>IF(H353=0,FALSE,IF(AND(E353&lt;&gt;"",$L353=""),TRUE,FALSE))</f>
        <v>0</v>
      </c>
      <c r="BB353" s="759" t="b">
        <f>IF(AND($AJ353&lt;&gt;0,$H353&lt;&gt;$BJ353,$N353="LF"),TRUE,IF(AND($AJ353&lt;&gt;0,$J353&lt;&gt;$AJ353,$N353="TF"),TRUE,IF(AND($AJ353&lt;&gt;0,$AJ353&lt;&gt;1,$N353="%"),TRUE,FALSE)))</f>
        <v>0</v>
      </c>
      <c r="BC353" s="759" t="b">
        <f>IF(AT353="No", IF(OR(P353="", R353="", T353="", V353="", X353="", Z353="", AB353="", AD353="", AF353="", AH353=""), TRUE, FALSE), FALSE)</f>
        <v>0</v>
      </c>
      <c r="BD353" s="759" t="b">
        <f>IF($BE353=TRUE,FALSE,IF(OR($AL353&lt;0,$AL353&gt;1),TRUE,FALSE))</f>
        <v>0</v>
      </c>
      <c r="BE353" s="759" t="b">
        <f>IF(AND($H353&lt;&gt;0,$AL353=""),TRUE,FALSE)</f>
        <v>0</v>
      </c>
      <c r="BF353" s="759" t="b">
        <f>IF(N353="%",TRUE,FALSE)</f>
        <v>0</v>
      </c>
      <c r="BG353" s="760"/>
      <c r="BH353" s="1678">
        <f>IF($C353="","",VLOOKUP($C353,val_fg_assets,9,FALSE))</f>
        <v>1</v>
      </c>
      <c r="BI353" s="1678" t="str">
        <f>IF(N353="", "", IF(N353="LF", H353, IF(N353="TF", J353, IF(N353="%", 1, ""))))</f>
        <v/>
      </c>
      <c r="BJ353" s="1679">
        <f>P353+R353+T353+V353+X353+Z353+AB353+AD353+AF353+AH353</f>
        <v>0</v>
      </c>
      <c r="BK353" s="1679" t="str">
        <f>IF(BI353="", "", BI353-BJ353)</f>
        <v/>
      </c>
      <c r="BL353" s="1679">
        <f>IF($C353="","",VLOOKUP($C353,val_fg_assets,3,FALSE))</f>
        <v>0</v>
      </c>
      <c r="BM353" s="1679">
        <f>IF($C353="","",VLOOKUP($C353,val_fg_assets,4,FALSE))</f>
        <v>1320000</v>
      </c>
      <c r="BN353" s="1678">
        <f>IF($C353="","",VLOOKUP($C353,val_fg_assets,5,FALSE))</f>
        <v>80</v>
      </c>
      <c r="BO353" s="1678">
        <f>IF($C353="","",VLOOKUP($C353,val_fg_assets,6,FALSE))</f>
        <v>60</v>
      </c>
      <c r="BP353" s="1678">
        <f>IF($C353="","",VLOOKUP($C353,val_fg_assets,7,FALSE))</f>
        <v>100</v>
      </c>
      <c r="BQ353" s="1399"/>
    </row>
    <row r="354" spans="1:69" s="782" customFormat="1" ht="3.95" customHeight="1" x14ac:dyDescent="0.2">
      <c r="A354" s="852"/>
      <c r="B354" s="1791">
        <v>342</v>
      </c>
      <c r="C354" s="851"/>
      <c r="D354" s="1841"/>
      <c r="E354" s="1058"/>
      <c r="F354" s="686"/>
      <c r="G354" s="686"/>
      <c r="H354" s="1906"/>
      <c r="I354" s="1907"/>
      <c r="J354" s="1908"/>
      <c r="K354" s="1907"/>
      <c r="L354" s="1909"/>
      <c r="M354" s="1910"/>
      <c r="N354" s="1911"/>
      <c r="O354" s="1910"/>
      <c r="P354" s="1866"/>
      <c r="Q354" s="1867"/>
      <c r="R354" s="1866"/>
      <c r="S354" s="1867"/>
      <c r="T354" s="1866"/>
      <c r="U354" s="1867"/>
      <c r="V354" s="1866"/>
      <c r="W354" s="1867"/>
      <c r="X354" s="1866"/>
      <c r="Y354" s="1867"/>
      <c r="Z354" s="1867"/>
      <c r="AA354" s="1867"/>
      <c r="AB354" s="1867"/>
      <c r="AC354" s="1867"/>
      <c r="AD354" s="1867"/>
      <c r="AE354" s="1867"/>
      <c r="AF354" s="1867"/>
      <c r="AG354" s="1867"/>
      <c r="AH354" s="1867"/>
      <c r="AI354" s="837"/>
      <c r="AJ354" s="1806"/>
      <c r="AK354" s="841"/>
      <c r="AL354" s="1806"/>
      <c r="AM354" s="1399"/>
      <c r="AN354" s="838"/>
      <c r="AO354" s="1399"/>
      <c r="AP354" s="1399"/>
      <c r="AQ354" s="1399"/>
      <c r="AS354" s="1399"/>
      <c r="AT354" s="1399"/>
      <c r="AU354" s="759"/>
      <c r="AV354" s="759"/>
      <c r="AW354" s="759"/>
      <c r="AX354" s="759"/>
      <c r="AY354" s="759"/>
      <c r="AZ354" s="759"/>
      <c r="BA354" s="759"/>
      <c r="BB354" s="759"/>
      <c r="BC354" s="759"/>
      <c r="BD354" s="759"/>
      <c r="BE354" s="759"/>
      <c r="BF354" s="759"/>
      <c r="BG354" s="760"/>
      <c r="BH354" s="1678"/>
      <c r="BI354" s="1678"/>
      <c r="BJ354" s="1678"/>
      <c r="BK354" s="1678"/>
      <c r="BL354" s="1679"/>
      <c r="BM354" s="1679"/>
      <c r="BN354" s="1678"/>
      <c r="BO354" s="1678"/>
      <c r="BP354" s="1678"/>
      <c r="BQ354" s="1399"/>
    </row>
    <row r="355" spans="1:69" s="782" customFormat="1" ht="3.95" customHeight="1" thickBot="1" x14ac:dyDescent="0.25">
      <c r="A355" s="852"/>
      <c r="B355" s="1791">
        <v>343</v>
      </c>
      <c r="C355" s="1673"/>
      <c r="D355" s="1841"/>
      <c r="E355" s="1057"/>
      <c r="F355" s="764"/>
      <c r="G355" s="764"/>
      <c r="H355" s="1913"/>
      <c r="I355" s="1908"/>
      <c r="J355" s="1908"/>
      <c r="K355" s="1908"/>
      <c r="L355" s="1909"/>
      <c r="M355" s="722"/>
      <c r="N355" s="1912"/>
      <c r="O355" s="722"/>
      <c r="P355" s="1868"/>
      <c r="Q355" s="1869"/>
      <c r="R355" s="1868"/>
      <c r="S355" s="1869"/>
      <c r="T355" s="1868"/>
      <c r="U355" s="1869"/>
      <c r="V355" s="1868"/>
      <c r="W355" s="1869"/>
      <c r="X355" s="1868"/>
      <c r="Y355" s="1869"/>
      <c r="Z355" s="1869"/>
      <c r="AA355" s="1869"/>
      <c r="AB355" s="1869"/>
      <c r="AC355" s="1869"/>
      <c r="AD355" s="1869"/>
      <c r="AE355" s="1869"/>
      <c r="AF355" s="1869"/>
      <c r="AG355" s="1869"/>
      <c r="AH355" s="1869"/>
      <c r="AI355" s="1670"/>
      <c r="AJ355" s="1828"/>
      <c r="AK355" s="724"/>
      <c r="AL355" s="1806"/>
      <c r="AM355" s="1399"/>
      <c r="AN355" s="1258"/>
      <c r="AO355" s="1399"/>
      <c r="AP355" s="1223"/>
      <c r="AQ355" s="1399"/>
      <c r="AS355" s="1399"/>
      <c r="AT355" s="1399"/>
      <c r="AU355" s="759"/>
      <c r="AV355" s="759"/>
      <c r="AW355" s="759"/>
      <c r="AX355" s="759"/>
      <c r="AY355" s="759"/>
      <c r="AZ355" s="759"/>
      <c r="BA355" s="759"/>
      <c r="BB355" s="759"/>
      <c r="BC355" s="759"/>
      <c r="BD355" s="759"/>
      <c r="BE355" s="759"/>
      <c r="BF355" s="759"/>
      <c r="BG355" s="760"/>
      <c r="BH355" s="1678"/>
      <c r="BI355" s="1678"/>
      <c r="BJ355" s="1678"/>
      <c r="BK355" s="1678"/>
      <c r="BL355" s="1679"/>
      <c r="BM355" s="1679"/>
      <c r="BN355" s="1678"/>
      <c r="BO355" s="1678"/>
      <c r="BP355" s="1678"/>
      <c r="BQ355" s="1399"/>
    </row>
    <row r="356" spans="1:69" s="782" customFormat="1" x14ac:dyDescent="0.2">
      <c r="A356" s="852">
        <f>A353+1</f>
        <v>87</v>
      </c>
      <c r="B356" s="1791">
        <v>344</v>
      </c>
      <c r="C356" s="851" t="str">
        <f>Valid!$B$73</f>
        <v>Elevated/Retained Fill</v>
      </c>
      <c r="D356" s="1841"/>
      <c r="E356" s="1245" t="str">
        <f>IF(AT356="N/A","",IF(AT356="N","No","Yes"))</f>
        <v/>
      </c>
      <c r="F356" s="686"/>
      <c r="G356" s="686"/>
      <c r="H356" s="1864"/>
      <c r="I356" s="1904" t="str">
        <f>IF(C346="","",IF(J356&lt;&gt;"","Linear Feet   ","Qty? Enter Zero if N/A  "))</f>
        <v/>
      </c>
      <c r="J356" s="1864"/>
      <c r="K356" s="1904" t="str">
        <f>IF(E356="yes","",IF(C346="","",IF(H356="","Qty? Enter Zero if N/A  ",IF(H356&lt;&gt;"","Track Feet      ",""))))</f>
        <v/>
      </c>
      <c r="L356" s="1864"/>
      <c r="M356" s="1620" t="str">
        <f>IF($H356=0,"",IF($L356="",TEXT(BN356,0)&amp;" Years?    ",""))</f>
        <v/>
      </c>
      <c r="N356" s="1905"/>
      <c r="O356" s="1620"/>
      <c r="P356" s="1864"/>
      <c r="Q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R356" s="1864"/>
      <c r="S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T356" s="1864"/>
      <c r="U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V356" s="1864"/>
      <c r="W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X356" s="1864"/>
      <c r="Y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Z356" s="1864"/>
      <c r="AA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B356" s="1864"/>
      <c r="AC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D356" s="1864"/>
      <c r="AE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F356" s="1864"/>
      <c r="AG356" s="1865"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H356" s="1864"/>
      <c r="AI356" s="904" t="str">
        <f>IF($N356="","",IF(AND($N356="",OR($H356="",$H356=0)),"",IF(AND($N356="LF",$AJ356&lt;$H356),"0 - "&amp;TEXT(($H356-$AJ356)/1000,"0")&amp;"k lin. ft.?    ",IF(AND($N356="TF",$AJ356&lt;$J356),"0 - "&amp;TEXT(($J356-$AJ356)/1000,"0")&amp;"k track ft.?    ",IF(AND($N356="%",$AJ356&lt;1),REPLACE(IF(AND($P356&gt;0,$V356&gt;0,$T356&gt;0,$X356&gt;0,$R356&gt;0,$Z356&gt;0,$AB356&gt;0,$AD356&gt;0,$AF356&gt;0,$AH356&gt;0),"","0-"),99,0,REPLACE(TEXT(100-$AJ356,0),99,0,"%?    ")),"")))))</f>
        <v/>
      </c>
      <c r="AJ356" s="1833">
        <f>IFERROR(IF(N356="%", SUM(P356,R356,T356,V356,X356,Z356,AB356,AD356,AF356,AH356)/100, SUM(P356,R356,T356,V356,X356,Z356,AB356,AD356,AF356,AH356)/IF(N356="LF", H356,J356)), 0)</f>
        <v>0</v>
      </c>
      <c r="AK356" s="1648"/>
      <c r="AL356" s="1675"/>
      <c r="AM356" s="1399"/>
      <c r="AN356" s="1808"/>
      <c r="AO356" s="1399"/>
      <c r="AP356" s="1653"/>
      <c r="AQ356" s="1399"/>
      <c r="AS356" s="1399"/>
      <c r="AT356" s="1624" t="str">
        <f>IF(AND($C$346="", H356="", J356=""), "N/A", IF(OR(AND(ISNUMBER(H356), ISNUMBER(J356), H356=0, J356=0), AND(AJ356=1, H356&lt;&gt;"", J356&lt;&gt;"", L356&lt;&gt;"", N356&lt;&gt;"", P356&lt;&gt;"", R356&lt;&gt;"", T356&lt;&gt;"", V356&lt;&gt;"", X356&lt;&gt;"", Z356&lt;&gt;"", AB356&lt;&gt;"", AD356&lt;&gt;"", AF356&lt;&gt;"", AH356&lt;&gt;"",AL356&lt;&gt;"", IF(AND(AL356&lt;1, AN356=""), FALSE, TRUE))), "Yes", "No"))</f>
        <v>N/A</v>
      </c>
      <c r="AU356" s="759" t="b">
        <f>IF(AND(H356="",OR(L356&lt;&gt;"",P356&lt;&gt;"",R356&lt;&gt;"",T356&lt;&gt;"",V356&lt;&gt;"",X356&lt;&gt;"",AL356&lt;&gt;"",Z356&lt;&gt;"",AB356&lt;&gt;"",AD356&lt;&gt;"",AF356&lt;&gt;"",AH356&lt;&gt;"")),TRUE,FALSE)</f>
        <v>0</v>
      </c>
      <c r="AV356" s="759" t="b">
        <f>IF(OR(H356="",H356=0),FALSE,IF(H356&gt;BM356,TRUE,FALSE))</f>
        <v>0</v>
      </c>
      <c r="AW356" s="759" t="b">
        <f>IF(AND($C$346&lt;&gt;"",$H356=""),TRUE,FALSE)</f>
        <v>0</v>
      </c>
      <c r="AX356" s="759" t="b">
        <f>IF(E356="yes",FALSE,IF(H356="0",FALSE,IF(AND($C$346&lt;&gt;"",J356=""),TRUE,FALSE)))</f>
        <v>0</v>
      </c>
      <c r="AY356" s="759" t="b">
        <f>IF($L356="",FALSE,IF($L356&lt;$BO356,TRUE,FALSE))</f>
        <v>0</v>
      </c>
      <c r="AZ356" s="759" t="b">
        <f>IF($L356="",FALSE,IF($L356&gt;$BP356,TRUE,FALSE))</f>
        <v>0</v>
      </c>
      <c r="BA356" s="759" t="b">
        <f>IF(H356=0,FALSE,IF(AND(E356&lt;&gt;"",$L356=""),TRUE,FALSE))</f>
        <v>0</v>
      </c>
      <c r="BB356" s="759" t="b">
        <f>IF(AND($AJ356&lt;&gt;0,$H356&lt;&gt;$BJ356,$N356="LF"),TRUE,IF(AND($AJ356&lt;&gt;0,$J356&lt;&gt;$AJ356,$N356="TF"),TRUE,IF(AND($AJ356&lt;&gt;0,$AJ356&lt;&gt;1,$N356="%"),TRUE,FALSE)))</f>
        <v>0</v>
      </c>
      <c r="BC356" s="759" t="b">
        <f>IF(AT356="No", IF(OR(P356="", R356="", T356="", V356="", X356="", Z356="", AB356="", AD356="", AF356="", AH356=""), TRUE, FALSE), FALSE)</f>
        <v>0</v>
      </c>
      <c r="BD356" s="759" t="b">
        <f>IF($BE356=TRUE,FALSE,IF(OR($AL356&lt;0,$AL356&gt;1),TRUE,FALSE))</f>
        <v>0</v>
      </c>
      <c r="BE356" s="759" t="b">
        <f>IF(AND($H356&lt;&gt;0,$AL356=""),TRUE,FALSE)</f>
        <v>0</v>
      </c>
      <c r="BF356" s="759" t="b">
        <f>IF(N356="%",TRUE,FALSE)</f>
        <v>0</v>
      </c>
      <c r="BG356" s="760"/>
      <c r="BH356" s="1678">
        <f>IF($C356="","",VLOOKUP($C356,val_fg_assets,9,FALSE))</f>
        <v>1</v>
      </c>
      <c r="BI356" s="1678" t="str">
        <f>IF(N356="", "", IF(N356="LF", H356, IF(N356="TF", J356, IF(N356="%", 1, ""))))</f>
        <v/>
      </c>
      <c r="BJ356" s="1679">
        <f>P356+R356+T356+V356+X356+Z356+AB356+AD356+AF356+AH356</f>
        <v>0</v>
      </c>
      <c r="BK356" s="1679" t="str">
        <f>IF(BI356="", "", BI356-BJ356)</f>
        <v/>
      </c>
      <c r="BL356" s="1679">
        <f>IF($C356="","",VLOOKUP($C356,val_fg_assets,3,FALSE))</f>
        <v>0</v>
      </c>
      <c r="BM356" s="1679">
        <f>IF($C356="","",VLOOKUP($C356,val_fg_assets,4,FALSE))</f>
        <v>1320000</v>
      </c>
      <c r="BN356" s="1678">
        <f>IF($C356="","",VLOOKUP($C356,val_fg_assets,5,FALSE))</f>
        <v>80</v>
      </c>
      <c r="BO356" s="1678">
        <f>IF($C356="","",VLOOKUP($C356,val_fg_assets,6,FALSE))</f>
        <v>60</v>
      </c>
      <c r="BP356" s="1678">
        <f>IF($C356="","",VLOOKUP($C356,val_fg_assets,7,FALSE))</f>
        <v>100</v>
      </c>
      <c r="BQ356" s="1399"/>
    </row>
    <row r="357" spans="1:69" s="782" customFormat="1" ht="3.95" customHeight="1" x14ac:dyDescent="0.2">
      <c r="A357" s="852"/>
      <c r="B357" s="1790">
        <v>345</v>
      </c>
      <c r="C357" s="1673"/>
      <c r="D357" s="1841"/>
      <c r="E357" s="1057"/>
      <c r="F357" s="764"/>
      <c r="G357" s="764"/>
      <c r="H357" s="1909"/>
      <c r="I357" s="1908"/>
      <c r="J357" s="1908"/>
      <c r="K357" s="1908"/>
      <c r="L357" s="1909"/>
      <c r="M357" s="1910"/>
      <c r="N357" s="1911"/>
      <c r="O357" s="1910"/>
      <c r="P357" s="1866"/>
      <c r="Q357" s="1867"/>
      <c r="R357" s="1866"/>
      <c r="S357" s="1867"/>
      <c r="T357" s="1866"/>
      <c r="U357" s="1867"/>
      <c r="V357" s="1866"/>
      <c r="W357" s="1867"/>
      <c r="X357" s="1866"/>
      <c r="Y357" s="1867"/>
      <c r="Z357" s="1867"/>
      <c r="AA357" s="1867"/>
      <c r="AB357" s="1867"/>
      <c r="AC357" s="1867"/>
      <c r="AD357" s="1867"/>
      <c r="AE357" s="1867"/>
      <c r="AF357" s="1867"/>
      <c r="AG357" s="1867"/>
      <c r="AH357" s="1867"/>
      <c r="AI357" s="837"/>
      <c r="AJ357" s="1806"/>
      <c r="AK357" s="841"/>
      <c r="AL357" s="1806"/>
      <c r="AM357" s="1399"/>
      <c r="AN357" s="838"/>
      <c r="AO357" s="1399"/>
      <c r="AP357" s="1399"/>
      <c r="AQ357" s="1399"/>
      <c r="AS357" s="1399"/>
      <c r="AT357" s="1399"/>
      <c r="AU357" s="759"/>
      <c r="AV357" s="759"/>
      <c r="AW357" s="759"/>
      <c r="AX357" s="759"/>
      <c r="AY357" s="759"/>
      <c r="AZ357" s="759"/>
      <c r="BA357" s="759"/>
      <c r="BB357" s="759"/>
      <c r="BC357" s="759"/>
      <c r="BD357" s="759"/>
      <c r="BE357" s="759"/>
      <c r="BF357" s="759"/>
      <c r="BG357" s="760"/>
      <c r="BH357" s="1678"/>
      <c r="BI357" s="1678"/>
      <c r="BJ357" s="1678"/>
      <c r="BK357" s="1678"/>
      <c r="BL357" s="1679"/>
      <c r="BM357" s="1679"/>
      <c r="BN357" s="1678"/>
      <c r="BO357" s="1678"/>
      <c r="BP357" s="1678"/>
      <c r="BQ357" s="1399"/>
    </row>
    <row r="358" spans="1:69" s="782" customFormat="1" ht="3.95" customHeight="1" thickBot="1" x14ac:dyDescent="0.25">
      <c r="A358" s="852"/>
      <c r="B358" s="1790">
        <v>346</v>
      </c>
      <c r="C358" s="851"/>
      <c r="D358" s="1841"/>
      <c r="E358" s="1058"/>
      <c r="F358" s="686"/>
      <c r="G358" s="686"/>
      <c r="H358" s="1913"/>
      <c r="I358" s="1908"/>
      <c r="J358" s="1908"/>
      <c r="K358" s="1908"/>
      <c r="L358" s="1909"/>
      <c r="M358" s="722"/>
      <c r="N358" s="1912"/>
      <c r="O358" s="722"/>
      <c r="P358" s="1868"/>
      <c r="Q358" s="1869"/>
      <c r="R358" s="1868"/>
      <c r="S358" s="1869"/>
      <c r="T358" s="1868"/>
      <c r="U358" s="1869"/>
      <c r="V358" s="1868"/>
      <c r="W358" s="1869"/>
      <c r="X358" s="1868"/>
      <c r="Y358" s="1869"/>
      <c r="Z358" s="1869"/>
      <c r="AA358" s="1869"/>
      <c r="AB358" s="1869"/>
      <c r="AC358" s="1869"/>
      <c r="AD358" s="1869"/>
      <c r="AE358" s="1869"/>
      <c r="AF358" s="1869"/>
      <c r="AG358" s="1869"/>
      <c r="AH358" s="1869"/>
      <c r="AI358" s="1670"/>
      <c r="AJ358" s="1828"/>
      <c r="AK358" s="724"/>
      <c r="AL358" s="1806"/>
      <c r="AM358" s="1399"/>
      <c r="AN358" s="1258"/>
      <c r="AO358" s="1399"/>
      <c r="AP358" s="1399"/>
      <c r="AQ358" s="1399"/>
      <c r="AS358" s="1399"/>
      <c r="AT358" s="1399"/>
      <c r="AU358" s="759"/>
      <c r="AV358" s="759"/>
      <c r="AW358" s="759"/>
      <c r="AX358" s="759"/>
      <c r="AY358" s="759"/>
      <c r="AZ358" s="759"/>
      <c r="BA358" s="759"/>
      <c r="BB358" s="759"/>
      <c r="BC358" s="759"/>
      <c r="BD358" s="759"/>
      <c r="BE358" s="759"/>
      <c r="BF358" s="759"/>
      <c r="BG358" s="760"/>
      <c r="BH358" s="1678"/>
      <c r="BI358" s="1678"/>
      <c r="BJ358" s="1678"/>
      <c r="BK358" s="1678"/>
      <c r="BL358" s="1679"/>
      <c r="BM358" s="1679"/>
      <c r="BN358" s="1678"/>
      <c r="BO358" s="1678"/>
      <c r="BP358" s="1678"/>
      <c r="BQ358" s="1399"/>
    </row>
    <row r="359" spans="1:69" s="782" customFormat="1" x14ac:dyDescent="0.2">
      <c r="A359" s="852">
        <f>A356+1</f>
        <v>88</v>
      </c>
      <c r="B359" s="1791">
        <v>347</v>
      </c>
      <c r="C359" s="851" t="str">
        <f>Valid!$B$74</f>
        <v>Elevated/Concrete</v>
      </c>
      <c r="D359" s="1841"/>
      <c r="E359" s="1245" t="str">
        <f>IF(AT359="N/A","",IF(AT359="N","No","Yes"))</f>
        <v/>
      </c>
      <c r="F359" s="764"/>
      <c r="G359" s="764"/>
      <c r="H359" s="1864"/>
      <c r="I359" s="1904" t="str">
        <f>IF(C346="","",IF(J359&lt;&gt;"","Linear Feet   ","Qty? Enter Zero if N/A  "))</f>
        <v/>
      </c>
      <c r="J359" s="1864"/>
      <c r="K359" s="1904" t="str">
        <f>IF(E359="yes","",IF(C346="","",IF(H359="","Qty? Enter Zero if N/A  ",IF(H359&lt;&gt;"","Track Feet      ",""))))</f>
        <v/>
      </c>
      <c r="L359" s="1864"/>
      <c r="M359" s="1620" t="str">
        <f>IF($H359=0,"",IF($L359="",TEXT(BN359,0)&amp;" Years?    ",""))</f>
        <v/>
      </c>
      <c r="N359" s="1905"/>
      <c r="O359" s="1620"/>
      <c r="P359" s="1864"/>
      <c r="Q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R359" s="1864"/>
      <c r="S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T359" s="1864"/>
      <c r="U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V359" s="1864"/>
      <c r="W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X359" s="1864"/>
      <c r="Y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Z359" s="1864"/>
      <c r="AA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B359" s="1864"/>
      <c r="AC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D359" s="1864"/>
      <c r="AE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F359" s="1864"/>
      <c r="AG359" s="1865"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H359" s="1864"/>
      <c r="AI359" s="904" t="str">
        <f>IF($N359="","",IF(AND($N359="",OR($H359="",$H359=0)),"",IF(AND($N359="LF",$AJ359&lt;$H359),"0 - "&amp;TEXT(($H359-$AJ359)/1000,"0")&amp;"k lin. ft.?    ",IF(AND($N359="TF",$AJ359&lt;$J359),"0 - "&amp;TEXT(($J359-$AJ359)/1000,"0")&amp;"k track ft.?    ",IF(AND($N359="%",$AJ359&lt;1),REPLACE(IF(AND($P359&gt;0,$V359&gt;0,$T359&gt;0,$X359&gt;0,$R359&gt;0,$Z359&gt;0,$AB359&gt;0,$AD359&gt;0,$AF359&gt;0,$AH359&gt;0),"","0-"),99,0,REPLACE(TEXT(100-$AJ359,0),99,0,"%?    ")),"")))))</f>
        <v/>
      </c>
      <c r="AJ359" s="1833">
        <f>IFERROR(IF(N359="%", SUM(P359,R359,T359,V359,X359,Z359,AB359,AD359,AF359,AH359)/100, SUM(P359,R359,T359,V359,X359,Z359,AB359,AD359,AF359,AH359)/IF(N359="LF", H359,J359)), 0)</f>
        <v>0</v>
      </c>
      <c r="AK359" s="1648"/>
      <c r="AL359" s="1675"/>
      <c r="AM359" s="1399"/>
      <c r="AN359" s="1808"/>
      <c r="AO359" s="1399"/>
      <c r="AP359" s="1653"/>
      <c r="AQ359" s="1399"/>
      <c r="AS359" s="1399"/>
      <c r="AT359" s="1624" t="str">
        <f>IF(AND($C$346="", H359="", J359=""), "N/A", IF(OR(AND(ISNUMBER(H359), ISNUMBER(J359), H359=0, J359=0), AND(AJ359=1, H359&lt;&gt;"", J359&lt;&gt;"", L359&lt;&gt;"", N359&lt;&gt;"", P359&lt;&gt;"", R359&lt;&gt;"", T359&lt;&gt;"", V359&lt;&gt;"", X359&lt;&gt;"", Z359&lt;&gt;"", AB359&lt;&gt;"", AD359&lt;&gt;"", AF359&lt;&gt;"", AH359&lt;&gt;"",AL359&lt;&gt;"", IF(AND(AL359&lt;1, AN359=""), FALSE, TRUE))), "Yes", "No"))</f>
        <v>N/A</v>
      </c>
      <c r="AU359" s="759" t="b">
        <f>IF(AND(H359="",OR(L359&lt;&gt;"",P359&lt;&gt;"",R359&lt;&gt;"",T359&lt;&gt;"",V359&lt;&gt;"",X359&lt;&gt;"",AL359&lt;&gt;"",Z359&lt;&gt;"",AB359&lt;&gt;"",AD359&lt;&gt;"",AF359&lt;&gt;"",AH359&lt;&gt;"")),TRUE,FALSE)</f>
        <v>0</v>
      </c>
      <c r="AV359" s="759" t="b">
        <f>IF(OR(H359="",H359=0),FALSE,IF(H359&gt;BM359,TRUE,FALSE))</f>
        <v>0</v>
      </c>
      <c r="AW359" s="759" t="b">
        <f>IF(AND($C$346&lt;&gt;"",$H359=""),TRUE,FALSE)</f>
        <v>0</v>
      </c>
      <c r="AX359" s="759" t="b">
        <f>IF(E359="yes",FALSE,IF(H359="0",FALSE,IF(AND($C$346&lt;&gt;"",J359=""),TRUE,FALSE)))</f>
        <v>0</v>
      </c>
      <c r="AY359" s="759" t="b">
        <f>IF($L359="",FALSE,IF($L359&lt;$BO359,TRUE,FALSE))</f>
        <v>0</v>
      </c>
      <c r="AZ359" s="759" t="b">
        <f>IF($L359="",FALSE,IF($L359&gt;$BP359,TRUE,FALSE))</f>
        <v>0</v>
      </c>
      <c r="BA359" s="759" t="b">
        <f>IF(H359=0,FALSE,IF(AND(E359&lt;&gt;"",$L359=""),TRUE,FALSE))</f>
        <v>0</v>
      </c>
      <c r="BB359" s="759" t="b">
        <f>IF(AND($AJ359&lt;&gt;0,$H359&lt;&gt;$BJ359,$N359="LF"),TRUE,IF(AND($AJ359&lt;&gt;0,$J359&lt;&gt;$AJ359,$N359="TF"),TRUE,IF(AND($AJ359&lt;&gt;0,$AJ359&lt;&gt;1,$N359="%"),TRUE,FALSE)))</f>
        <v>0</v>
      </c>
      <c r="BC359" s="759" t="b">
        <f>IF(AT359="No", IF(OR(P359="", R359="", T359="", V359="", X359="", Z359="", AB359="", AD359="", AF359="", AH359=""), TRUE, FALSE), FALSE)</f>
        <v>0</v>
      </c>
      <c r="BD359" s="759" t="b">
        <f>IF($BE359=TRUE,FALSE,IF(OR($AL359&lt;0,$AL359&gt;1),TRUE,FALSE))</f>
        <v>0</v>
      </c>
      <c r="BE359" s="759" t="b">
        <f>IF(AND($H359&lt;&gt;0,$AL359=""),TRUE,FALSE)</f>
        <v>0</v>
      </c>
      <c r="BF359" s="759" t="b">
        <f>IF(N359="%",TRUE,FALSE)</f>
        <v>0</v>
      </c>
      <c r="BG359" s="760"/>
      <c r="BH359" s="1678">
        <f>IF($C359="","",VLOOKUP($C359,val_fg_assets,9,FALSE))</f>
        <v>1</v>
      </c>
      <c r="BI359" s="1678" t="str">
        <f>IF(N359="", "", IF(N359="LF", H359, IF(N359="TF", J359, IF(N359="%", 1, ""))))</f>
        <v/>
      </c>
      <c r="BJ359" s="1679">
        <f>P359+R359+T359+V359+X359+Z359+AB359+AD359+AF359+AH359</f>
        <v>0</v>
      </c>
      <c r="BK359" s="1679" t="str">
        <f>IF(BI359="", "", BI359-BJ359)</f>
        <v/>
      </c>
      <c r="BL359" s="1679">
        <f>IF($C359="","",VLOOKUP($C359,val_fg_assets,3,FALSE))</f>
        <v>0</v>
      </c>
      <c r="BM359" s="1679">
        <f>IF($C359="","",VLOOKUP($C359,val_fg_assets,4,FALSE))</f>
        <v>1320000</v>
      </c>
      <c r="BN359" s="1678">
        <f>IF($C359="","",VLOOKUP($C359,val_fg_assets,5,FALSE))</f>
        <v>80</v>
      </c>
      <c r="BO359" s="1678">
        <f>IF($C359="","",VLOOKUP($C359,val_fg_assets,6,FALSE))</f>
        <v>60</v>
      </c>
      <c r="BP359" s="1678">
        <f>IF($C359="","",VLOOKUP($C359,val_fg_assets,7,FALSE))</f>
        <v>100</v>
      </c>
      <c r="BQ359" s="1399"/>
    </row>
    <row r="360" spans="1:69" s="782" customFormat="1" ht="3.95" customHeight="1" x14ac:dyDescent="0.2">
      <c r="A360" s="852"/>
      <c r="B360" s="1791">
        <v>348</v>
      </c>
      <c r="C360" s="851"/>
      <c r="D360" s="1841"/>
      <c r="E360" s="1058"/>
      <c r="F360" s="686"/>
      <c r="G360" s="686"/>
      <c r="H360" s="1909"/>
      <c r="I360" s="1907"/>
      <c r="J360" s="1908"/>
      <c r="K360" s="1907"/>
      <c r="L360" s="1909"/>
      <c r="M360" s="1910"/>
      <c r="N360" s="1911"/>
      <c r="O360" s="1910"/>
      <c r="P360" s="1866"/>
      <c r="Q360" s="1867"/>
      <c r="R360" s="1866"/>
      <c r="S360" s="1867"/>
      <c r="T360" s="1866"/>
      <c r="U360" s="1867"/>
      <c r="V360" s="1866"/>
      <c r="W360" s="1867"/>
      <c r="X360" s="1866"/>
      <c r="Y360" s="1867"/>
      <c r="Z360" s="1867"/>
      <c r="AA360" s="1867"/>
      <c r="AB360" s="1867"/>
      <c r="AC360" s="1867"/>
      <c r="AD360" s="1867"/>
      <c r="AE360" s="1867"/>
      <c r="AF360" s="1867"/>
      <c r="AG360" s="1867"/>
      <c r="AH360" s="1867"/>
      <c r="AI360" s="837"/>
      <c r="AJ360" s="1806"/>
      <c r="AK360" s="841"/>
      <c r="AL360" s="1806"/>
      <c r="AM360" s="1399"/>
      <c r="AN360" s="838"/>
      <c r="AO360" s="1399"/>
      <c r="AP360" s="1223"/>
      <c r="AQ360" s="1399"/>
      <c r="AS360" s="1399"/>
      <c r="AT360" s="1399"/>
      <c r="AU360" s="759"/>
      <c r="AV360" s="759"/>
      <c r="AW360" s="759"/>
      <c r="AX360" s="759"/>
      <c r="AY360" s="759"/>
      <c r="AZ360" s="759"/>
      <c r="BA360" s="759"/>
      <c r="BB360" s="759"/>
      <c r="BC360" s="759"/>
      <c r="BD360" s="759"/>
      <c r="BE360" s="759"/>
      <c r="BF360" s="759"/>
      <c r="BG360" s="760"/>
      <c r="BH360" s="1678"/>
      <c r="BI360" s="1678"/>
      <c r="BJ360" s="1678"/>
      <c r="BK360" s="1678"/>
      <c r="BL360" s="1679"/>
      <c r="BM360" s="1679"/>
      <c r="BN360" s="1678"/>
      <c r="BO360" s="1678"/>
      <c r="BP360" s="1678"/>
      <c r="BQ360" s="1399"/>
    </row>
    <row r="361" spans="1:69" s="782" customFormat="1" ht="3.95" customHeight="1" thickBot="1" x14ac:dyDescent="0.25">
      <c r="A361" s="852"/>
      <c r="B361" s="1791">
        <v>349</v>
      </c>
      <c r="C361" s="1673"/>
      <c r="D361" s="1841"/>
      <c r="E361" s="1057"/>
      <c r="F361" s="764"/>
      <c r="G361" s="764"/>
      <c r="H361" s="1913"/>
      <c r="I361" s="1908"/>
      <c r="J361" s="1908"/>
      <c r="K361" s="1908"/>
      <c r="L361" s="1909"/>
      <c r="M361" s="722"/>
      <c r="N361" s="1912"/>
      <c r="O361" s="722"/>
      <c r="P361" s="1868"/>
      <c r="Q361" s="1869"/>
      <c r="R361" s="1868"/>
      <c r="S361" s="1869"/>
      <c r="T361" s="1868"/>
      <c r="U361" s="1869"/>
      <c r="V361" s="1868"/>
      <c r="W361" s="1869"/>
      <c r="X361" s="1868"/>
      <c r="Y361" s="1869"/>
      <c r="Z361" s="1869"/>
      <c r="AA361" s="1869"/>
      <c r="AB361" s="1869"/>
      <c r="AC361" s="1869"/>
      <c r="AD361" s="1869"/>
      <c r="AE361" s="1869"/>
      <c r="AF361" s="1869"/>
      <c r="AG361" s="1869"/>
      <c r="AH361" s="1869"/>
      <c r="AI361" s="1670"/>
      <c r="AJ361" s="1828"/>
      <c r="AK361" s="724"/>
      <c r="AL361" s="1806"/>
      <c r="AM361" s="1399"/>
      <c r="AN361" s="1258"/>
      <c r="AO361" s="1399"/>
      <c r="AP361" s="1399"/>
      <c r="AQ361" s="1399"/>
      <c r="AS361" s="1399"/>
      <c r="AT361" s="1399"/>
      <c r="AU361" s="759"/>
      <c r="AV361" s="759"/>
      <c r="AW361" s="759"/>
      <c r="AX361" s="759"/>
      <c r="AY361" s="759"/>
      <c r="AZ361" s="759"/>
      <c r="BA361" s="759"/>
      <c r="BB361" s="759"/>
      <c r="BC361" s="759"/>
      <c r="BD361" s="759"/>
      <c r="BE361" s="759"/>
      <c r="BF361" s="759"/>
      <c r="BG361" s="760"/>
      <c r="BH361" s="1678"/>
      <c r="BI361" s="1678"/>
      <c r="BJ361" s="1678"/>
      <c r="BK361" s="1678"/>
      <c r="BL361" s="1679"/>
      <c r="BM361" s="1679"/>
      <c r="BN361" s="1678"/>
      <c r="BO361" s="1678"/>
      <c r="BP361" s="1678"/>
      <c r="BQ361" s="1399"/>
    </row>
    <row r="362" spans="1:69" s="782" customFormat="1" x14ac:dyDescent="0.2">
      <c r="A362" s="852">
        <f>A359+1</f>
        <v>89</v>
      </c>
      <c r="B362" s="1790">
        <v>350</v>
      </c>
      <c r="C362" s="851" t="str">
        <f>Valid!$B$75</f>
        <v>Elevated/Steel Viaduct or Bridge</v>
      </c>
      <c r="D362" s="1841"/>
      <c r="E362" s="1245" t="str">
        <f>IF(AT362="N/A","",IF(AT362="N","No","Yes"))</f>
        <v/>
      </c>
      <c r="F362" s="686"/>
      <c r="G362" s="686"/>
      <c r="H362" s="1864"/>
      <c r="I362" s="1904" t="str">
        <f>IF(C346="","",IF(J362&lt;&gt;"","Linear Feet   ","Qty? Enter Zero if N/A  "))</f>
        <v/>
      </c>
      <c r="J362" s="1864"/>
      <c r="K362" s="1904" t="str">
        <f>IF(E362="yes","",IF(C346="","",IF(H362="","Qty? Enter Zero if N/A  ",IF(H362&lt;&gt;"","Track Feet      ",""))))</f>
        <v/>
      </c>
      <c r="L362" s="1864"/>
      <c r="M362" s="1620" t="str">
        <f>IF($H362=0,"",IF($L362="",TEXT(BN362,0)&amp;" Years?    ",""))</f>
        <v/>
      </c>
      <c r="N362" s="1905"/>
      <c r="O362" s="1620"/>
      <c r="P362" s="1864"/>
      <c r="Q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R362" s="1864"/>
      <c r="S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T362" s="1864"/>
      <c r="U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V362" s="1864"/>
      <c r="W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X362" s="1864"/>
      <c r="Y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Z362" s="1864"/>
      <c r="AA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B362" s="1864"/>
      <c r="AC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D362" s="1864"/>
      <c r="AE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F362" s="1864"/>
      <c r="AG362" s="1865"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H362" s="1864"/>
      <c r="AI362" s="904" t="str">
        <f>IF($N362="","",IF(AND($N362="",OR($H362="",$H362=0)),"",IF(AND($N362="LF",$AJ362&lt;$H362),"0 - "&amp;TEXT(($H362-$AJ362)/1000,"0")&amp;"k lin. ft.?    ",IF(AND($N362="TF",$AJ362&lt;$J362),"0 - "&amp;TEXT(($J362-$AJ362)/1000,"0")&amp;"k track ft.?    ",IF(AND($N362="%",$AJ362&lt;1),REPLACE(IF(AND($P362&gt;0,$V362&gt;0,$T362&gt;0,$X362&gt;0,$R362&gt;0,$Z362&gt;0,$AB362&gt;0,$AD362&gt;0,$AF362&gt;0,$AH362&gt;0),"","0-"),99,0,REPLACE(TEXT(100-$AJ362,0),99,0,"%?    ")),"")))))</f>
        <v/>
      </c>
      <c r="AJ362" s="1833">
        <f>IFERROR(IF(N362="%", SUM(P362,R362,T362,V362,X362,Z362,AB362,AD362,AF362,AH362)/100, SUM(P362,R362,T362,V362,X362,Z362,AB362,AD362,AF362,AH362)/IF(N362="LF", H362,J362)), 0)</f>
        <v>0</v>
      </c>
      <c r="AK362" s="1648"/>
      <c r="AL362" s="1675"/>
      <c r="AM362" s="1399"/>
      <c r="AN362" s="1808"/>
      <c r="AO362" s="1399"/>
      <c r="AP362" s="1653"/>
      <c r="AQ362" s="1399"/>
      <c r="AS362" s="1399"/>
      <c r="AT362" s="1624" t="str">
        <f>IF(AND($C$346="", H362="", J362=""), "N/A", IF(OR(AND(ISNUMBER(H362), ISNUMBER(J362), H362=0, J362=0), AND(AJ362=1, H362&lt;&gt;"", J362&lt;&gt;"", L362&lt;&gt;"", N362&lt;&gt;"", P362&lt;&gt;"", R362&lt;&gt;"", T362&lt;&gt;"", V362&lt;&gt;"", X362&lt;&gt;"", Z362&lt;&gt;"", AB362&lt;&gt;"", AD362&lt;&gt;"", AF362&lt;&gt;"", AH362&lt;&gt;"",AL362&lt;&gt;"", IF(AND(AL362&lt;1, AN362=""), FALSE, TRUE))), "Yes", "No"))</f>
        <v>N/A</v>
      </c>
      <c r="AU362" s="759" t="b">
        <f>IF(AND(H362="",OR(L362&lt;&gt;"",P362&lt;&gt;"",R362&lt;&gt;"",T362&lt;&gt;"",V362&lt;&gt;"",X362&lt;&gt;"",AL362&lt;&gt;"",Z362&lt;&gt;"",AB362&lt;&gt;"",AD362&lt;&gt;"",AF362&lt;&gt;"",AH362&lt;&gt;"")),TRUE,FALSE)</f>
        <v>0</v>
      </c>
      <c r="AV362" s="759" t="b">
        <f>IF(OR(H362="",H362=0),FALSE,IF(H362&gt;BM362,TRUE,FALSE))</f>
        <v>0</v>
      </c>
      <c r="AW362" s="759" t="b">
        <f>IF(AND($C$346&lt;&gt;"",$H362=""),TRUE,FALSE)</f>
        <v>0</v>
      </c>
      <c r="AX362" s="759" t="b">
        <f>IF(E362="yes",FALSE,IF(H362="0",FALSE,IF(AND($C$346&lt;&gt;"",J362=""),TRUE,FALSE)))</f>
        <v>0</v>
      </c>
      <c r="AY362" s="759" t="b">
        <f>IF($L362="",FALSE,IF($L362&lt;$BO362,TRUE,FALSE))</f>
        <v>0</v>
      </c>
      <c r="AZ362" s="759" t="b">
        <f>IF($L362="",FALSE,IF($L362&gt;$BP362,TRUE,FALSE))</f>
        <v>0</v>
      </c>
      <c r="BA362" s="759" t="b">
        <f>IF(H362=0,FALSE,IF(AND(E362&lt;&gt;"",$L362=""),TRUE,FALSE))</f>
        <v>0</v>
      </c>
      <c r="BB362" s="759" t="b">
        <f>IF(AND($AJ362&lt;&gt;0,$H362&lt;&gt;$BJ362,$N362="LF"),TRUE,IF(AND($AJ362&lt;&gt;0,$J362&lt;&gt;$AJ362,$N362="TF"),TRUE,IF(AND($AJ362&lt;&gt;0,$AJ362&lt;&gt;1,$N362="%"),TRUE,FALSE)))</f>
        <v>0</v>
      </c>
      <c r="BC362" s="759" t="b">
        <f>IF(AT362="No", IF(OR(P362="", R362="", T362="", V362="", X362="", Z362="", AB362="", AD362="", AF362="", AH362=""), TRUE, FALSE), FALSE)</f>
        <v>0</v>
      </c>
      <c r="BD362" s="759" t="b">
        <f>IF($BE362=TRUE,FALSE,IF(OR($AL362&lt;0,$AL362&gt;1),TRUE,FALSE))</f>
        <v>0</v>
      </c>
      <c r="BE362" s="759" t="b">
        <f>IF(AND($H362&lt;&gt;0,$AL362=""),TRUE,FALSE)</f>
        <v>0</v>
      </c>
      <c r="BF362" s="759" t="b">
        <f>IF(N362="%",TRUE,FALSE)</f>
        <v>0</v>
      </c>
      <c r="BG362" s="760"/>
      <c r="BH362" s="1678">
        <f>IF($C362="","",VLOOKUP($C362,val_fg_assets,9,FALSE))</f>
        <v>1</v>
      </c>
      <c r="BI362" s="1678" t="str">
        <f>IF(N362="", "", IF(N362="LF", H362, IF(N362="TF", J362, IF(N362="%", 1, ""))))</f>
        <v/>
      </c>
      <c r="BJ362" s="1679">
        <f>P362+R362+T362+V362+X362+Z362+AB362+AD362+AF362+AH362</f>
        <v>0</v>
      </c>
      <c r="BK362" s="1679" t="str">
        <f>IF(BI362="", "", BI362-BJ362)</f>
        <v/>
      </c>
      <c r="BL362" s="1679">
        <f>IF($C362="","",VLOOKUP($C362,val_fg_assets,3,FALSE))</f>
        <v>0</v>
      </c>
      <c r="BM362" s="1679">
        <f>IF($C362="","",VLOOKUP($C362,val_fg_assets,4,FALSE))</f>
        <v>1320000</v>
      </c>
      <c r="BN362" s="1678">
        <f>IF($C362="","",VLOOKUP($C362,val_fg_assets,5,FALSE))</f>
        <v>80</v>
      </c>
      <c r="BO362" s="1678">
        <f>IF($C362="","",VLOOKUP($C362,val_fg_assets,6,FALSE))</f>
        <v>60</v>
      </c>
      <c r="BP362" s="1678">
        <f>IF($C362="","",VLOOKUP($C362,val_fg_assets,7,FALSE))</f>
        <v>100</v>
      </c>
      <c r="BQ362" s="1399"/>
    </row>
    <row r="363" spans="1:69" s="782" customFormat="1" ht="3.95" customHeight="1" x14ac:dyDescent="0.2">
      <c r="A363" s="852"/>
      <c r="B363" s="1790">
        <v>351</v>
      </c>
      <c r="C363" s="1673"/>
      <c r="D363" s="1841"/>
      <c r="E363" s="1057"/>
      <c r="F363" s="764"/>
      <c r="G363" s="686">
        <v>7</v>
      </c>
      <c r="H363" s="1906"/>
      <c r="I363" s="1907"/>
      <c r="J363" s="1908"/>
      <c r="K363" s="1907"/>
      <c r="L363" s="1909"/>
      <c r="M363" s="1910"/>
      <c r="N363" s="1911"/>
      <c r="O363" s="1910"/>
      <c r="P363" s="1866"/>
      <c r="Q363" s="1867"/>
      <c r="R363" s="1866"/>
      <c r="S363" s="1867"/>
      <c r="T363" s="1866"/>
      <c r="U363" s="1867"/>
      <c r="V363" s="1866"/>
      <c r="W363" s="1867"/>
      <c r="X363" s="1866"/>
      <c r="Y363" s="1867"/>
      <c r="Z363" s="1867"/>
      <c r="AA363" s="1867"/>
      <c r="AB363" s="1867"/>
      <c r="AC363" s="1867"/>
      <c r="AD363" s="1867"/>
      <c r="AE363" s="1867"/>
      <c r="AF363" s="1867"/>
      <c r="AG363" s="1867"/>
      <c r="AH363" s="1867"/>
      <c r="AI363" s="837"/>
      <c r="AJ363" s="1806"/>
      <c r="AK363" s="841"/>
      <c r="AL363" s="1806"/>
      <c r="AM363" s="1399"/>
      <c r="AN363" s="838"/>
      <c r="AO363" s="1399"/>
      <c r="AP363" s="1399"/>
      <c r="AQ363" s="1399"/>
      <c r="AS363" s="1399"/>
      <c r="AT363" s="1399"/>
      <c r="AU363" s="759"/>
      <c r="AV363" s="759"/>
      <c r="AW363" s="759"/>
      <c r="AX363" s="759"/>
      <c r="AY363" s="759"/>
      <c r="AZ363" s="759"/>
      <c r="BA363" s="759"/>
      <c r="BB363" s="759"/>
      <c r="BC363" s="759"/>
      <c r="BD363" s="759"/>
      <c r="BE363" s="759"/>
      <c r="BF363" s="759"/>
      <c r="BG363" s="760"/>
      <c r="BH363" s="1678"/>
      <c r="BI363" s="1678"/>
      <c r="BJ363" s="1678"/>
      <c r="BK363" s="1678"/>
      <c r="BL363" s="1679"/>
      <c r="BM363" s="1679"/>
      <c r="BN363" s="1678"/>
      <c r="BO363" s="1678"/>
      <c r="BP363" s="1678"/>
      <c r="BQ363" s="1399"/>
    </row>
    <row r="364" spans="1:69" s="782" customFormat="1" ht="3.95" customHeight="1" thickBot="1" x14ac:dyDescent="0.25">
      <c r="A364" s="852"/>
      <c r="B364" s="1791">
        <v>352</v>
      </c>
      <c r="C364" s="1673"/>
      <c r="D364" s="1841"/>
      <c r="E364" s="1057"/>
      <c r="F364" s="764"/>
      <c r="G364" s="764">
        <v>8</v>
      </c>
      <c r="H364" s="1906"/>
      <c r="I364" s="1907"/>
      <c r="J364" s="1908"/>
      <c r="K364" s="1907"/>
      <c r="L364" s="1909"/>
      <c r="M364" s="722"/>
      <c r="N364" s="1912"/>
      <c r="O364" s="722"/>
      <c r="P364" s="1868"/>
      <c r="Q364" s="1869"/>
      <c r="R364" s="1868"/>
      <c r="S364" s="1869"/>
      <c r="T364" s="1868"/>
      <c r="U364" s="1869"/>
      <c r="V364" s="1868"/>
      <c r="W364" s="1869"/>
      <c r="X364" s="1868"/>
      <c r="Y364" s="1869"/>
      <c r="Z364" s="1869"/>
      <c r="AA364" s="1869"/>
      <c r="AB364" s="1869"/>
      <c r="AC364" s="1869"/>
      <c r="AD364" s="1869"/>
      <c r="AE364" s="1869"/>
      <c r="AF364" s="1869"/>
      <c r="AG364" s="1869"/>
      <c r="AH364" s="1869"/>
      <c r="AI364" s="1670"/>
      <c r="AJ364" s="1828"/>
      <c r="AK364" s="724"/>
      <c r="AL364" s="1806"/>
      <c r="AM364" s="1399"/>
      <c r="AN364" s="1258"/>
      <c r="AO364" s="1399"/>
      <c r="AP364" s="1223"/>
      <c r="AQ364" s="1399"/>
      <c r="AS364" s="1399"/>
      <c r="AT364" s="1399"/>
      <c r="AU364" s="759"/>
      <c r="AV364" s="759"/>
      <c r="AW364" s="759"/>
      <c r="AX364" s="759"/>
      <c r="AY364" s="759"/>
      <c r="AZ364" s="759"/>
      <c r="BA364" s="759"/>
      <c r="BB364" s="759"/>
      <c r="BC364" s="759"/>
      <c r="BD364" s="759"/>
      <c r="BE364" s="759"/>
      <c r="BF364" s="759"/>
      <c r="BG364" s="760"/>
      <c r="BH364" s="1678"/>
      <c r="BI364" s="1678"/>
      <c r="BJ364" s="1678"/>
      <c r="BK364" s="1678"/>
      <c r="BL364" s="1679"/>
      <c r="BM364" s="1679"/>
      <c r="BN364" s="1678"/>
      <c r="BO364" s="1678"/>
      <c r="BP364" s="1678"/>
      <c r="BQ364" s="1399"/>
    </row>
    <row r="365" spans="1:69" s="782" customFormat="1" x14ac:dyDescent="0.2">
      <c r="A365" s="852">
        <f>A362+1</f>
        <v>90</v>
      </c>
      <c r="B365" s="1791">
        <v>353</v>
      </c>
      <c r="C365" s="851" t="str">
        <f>Valid!$B$76</f>
        <v>Below-Grade/Retained Cut</v>
      </c>
      <c r="D365" s="1841"/>
      <c r="E365" s="1245" t="str">
        <f>IF(AT365="N/A","",IF(AT365="N","No","Yes"))</f>
        <v/>
      </c>
      <c r="F365" s="686"/>
      <c r="G365" s="686"/>
      <c r="H365" s="1864"/>
      <c r="I365" s="1904" t="str">
        <f>IF(C346="","",IF(J365&lt;&gt;"","Linear Feet   ","Qty? Enter Zero if N/A  "))</f>
        <v/>
      </c>
      <c r="J365" s="1864"/>
      <c r="K365" s="1904" t="str">
        <f>IF(E365="yes","",IF(C346="","",IF(H365="","Qty? Enter Zero if N/A  ",IF(H365&lt;&gt;"","Track Feet      ",""))))</f>
        <v/>
      </c>
      <c r="L365" s="1864"/>
      <c r="M365" s="1620" t="str">
        <f>IF($H365=0,"",IF($L365="",TEXT(BN365,0)&amp;" Years?    ",""))</f>
        <v/>
      </c>
      <c r="N365" s="1905"/>
      <c r="O365" s="1620"/>
      <c r="P365" s="1864"/>
      <c r="Q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R365" s="1864"/>
      <c r="S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T365" s="1864"/>
      <c r="U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V365" s="1864"/>
      <c r="W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X365" s="1864"/>
      <c r="Y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Z365" s="1864"/>
      <c r="AA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B365" s="1864"/>
      <c r="AC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D365" s="1864"/>
      <c r="AE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F365" s="1864"/>
      <c r="AG365" s="1865"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H365" s="1864"/>
      <c r="AI365" s="904" t="str">
        <f>IF($N365="","",IF(AND($N365="",OR($H365="",$H365=0)),"",IF(AND($N365="LF",$AJ365&lt;$H365),"0 - "&amp;TEXT(($H365-$AJ365)/1000,"0")&amp;"k lin. ft.?    ",IF(AND($N365="TF",$AJ365&lt;$J365),"0 - "&amp;TEXT(($J365-$AJ365)/1000,"0")&amp;"k track ft.?    ",IF(AND($N365="%",$AJ365&lt;1),REPLACE(IF(AND($P365&gt;0,$V365&gt;0,$T365&gt;0,$X365&gt;0,$R365&gt;0,$Z365&gt;0,$AB365&gt;0,$AD365&gt;0,$AF365&gt;0,$AH365&gt;0),"","0-"),99,0,REPLACE(TEXT(100-$AJ365,0),99,0,"%?    ")),"")))))</f>
        <v/>
      </c>
      <c r="AJ365" s="1833">
        <f>IFERROR(IF(N365="%", SUM(P365,R365,T365,V365,X365,Z365,AB365,AD365,AF365,AH365)/100, SUM(P365,R365,T365,V365,X365,Z365,AB365,AD365,AF365,AH365)/IF(N365="LF", H365,J365)), 0)</f>
        <v>0</v>
      </c>
      <c r="AK365" s="1648"/>
      <c r="AL365" s="1675"/>
      <c r="AM365" s="1399"/>
      <c r="AN365" s="1808"/>
      <c r="AO365" s="1399"/>
      <c r="AP365" s="1653"/>
      <c r="AQ365" s="1399"/>
      <c r="AS365" s="1399"/>
      <c r="AT365" s="1624" t="str">
        <f>IF(AND($C$346="", H365="", J365=""), "N/A", IF(OR(AND(ISNUMBER(H365), ISNUMBER(J365), H365=0, J365=0), AND(AJ365=1, H365&lt;&gt;"", J365&lt;&gt;"", L365&lt;&gt;"", N365&lt;&gt;"", P365&lt;&gt;"", R365&lt;&gt;"", T365&lt;&gt;"", V365&lt;&gt;"", X365&lt;&gt;"", Z365&lt;&gt;"", AB365&lt;&gt;"", AD365&lt;&gt;"", AF365&lt;&gt;"", AH365&lt;&gt;"",AL365&lt;&gt;"", IF(AND(AL365&lt;1, AN365=""), FALSE, TRUE))), "Yes", "No"))</f>
        <v>N/A</v>
      </c>
      <c r="AU365" s="759" t="b">
        <f>IF(AND(H365="",OR(L365&lt;&gt;"",P365&lt;&gt;"",R365&lt;&gt;"",T365&lt;&gt;"",V365&lt;&gt;"",X365&lt;&gt;"",AL365&lt;&gt;"",Z365&lt;&gt;"",AB365&lt;&gt;"",AD365&lt;&gt;"",AF365&lt;&gt;"",AH365&lt;&gt;"")),TRUE,FALSE)</f>
        <v>0</v>
      </c>
      <c r="AV365" s="759" t="b">
        <f>IF(OR(H365="",H365=0),FALSE,IF(H365&gt;BM365,TRUE,FALSE))</f>
        <v>0</v>
      </c>
      <c r="AW365" s="759" t="b">
        <f>IF(AND($C$346&lt;&gt;"",$H365=""),TRUE,FALSE)</f>
        <v>0</v>
      </c>
      <c r="AX365" s="759" t="b">
        <f>IF(E365="yes",FALSE,IF(H365="0",FALSE,IF(AND($C$346&lt;&gt;"",J365=""),TRUE,FALSE)))</f>
        <v>0</v>
      </c>
      <c r="AY365" s="759" t="b">
        <f>IF($L365="",FALSE,IF($L365&lt;$BO365,TRUE,FALSE))</f>
        <v>0</v>
      </c>
      <c r="AZ365" s="759" t="b">
        <f>IF($L365="",FALSE,IF($L365&gt;$BP365,TRUE,FALSE))</f>
        <v>0</v>
      </c>
      <c r="BA365" s="759" t="b">
        <f>IF(H365=0,FALSE,IF(AND(E365&lt;&gt;"",$L365=""),TRUE,FALSE))</f>
        <v>0</v>
      </c>
      <c r="BB365" s="759" t="b">
        <f>IF(AND($AJ365&lt;&gt;0,$H365&lt;&gt;$BJ365,$N365="LF"),TRUE,IF(AND($AJ365&lt;&gt;0,$J365&lt;&gt;$AJ365,$N365="TF"),TRUE,IF(AND($AJ365&lt;&gt;0,$AJ365&lt;&gt;1,$N365="%"),TRUE,FALSE)))</f>
        <v>0</v>
      </c>
      <c r="BC365" s="759" t="b">
        <f>IF(AT365="No", IF(OR(P365="", R365="", T365="", V365="", X365="", Z365="", AB365="", AD365="", AF365="", AH365=""), TRUE, FALSE), FALSE)</f>
        <v>0</v>
      </c>
      <c r="BD365" s="759" t="b">
        <f>IF($BE365=TRUE,FALSE,IF(OR($AL365&lt;0,$AL365&gt;1),TRUE,FALSE))</f>
        <v>0</v>
      </c>
      <c r="BE365" s="759" t="b">
        <f>IF(AND($H365&lt;&gt;0,$AL365=""),TRUE,FALSE)</f>
        <v>0</v>
      </c>
      <c r="BF365" s="759" t="b">
        <f>IF(N365="%",TRUE,FALSE)</f>
        <v>0</v>
      </c>
      <c r="BG365" s="760"/>
      <c r="BH365" s="1678">
        <f>IF($C365="","",VLOOKUP($C365,val_fg_assets,9,FALSE))</f>
        <v>1</v>
      </c>
      <c r="BI365" s="1678" t="str">
        <f>IF(N365="", "", IF(N365="LF", H365, IF(N365="TF", J365, IF(N365="%", 1, ""))))</f>
        <v/>
      </c>
      <c r="BJ365" s="1679">
        <f>P365+R365+T365+V365+X365+Z365+AB365+AD365+AF365+AH365</f>
        <v>0</v>
      </c>
      <c r="BK365" s="1679" t="str">
        <f>IF(BI365="", "", BI365-BJ365)</f>
        <v/>
      </c>
      <c r="BL365" s="1679">
        <f>IF($C365="","",VLOOKUP($C365,val_fg_assets,3,FALSE))</f>
        <v>0</v>
      </c>
      <c r="BM365" s="1679">
        <f>IF($C365="","",VLOOKUP($C365,val_fg_assets,4,FALSE))</f>
        <v>1320000</v>
      </c>
      <c r="BN365" s="1678">
        <f>IF($C365="","",VLOOKUP($C365,val_fg_assets,5,FALSE))</f>
        <v>80</v>
      </c>
      <c r="BO365" s="1678">
        <f>IF($C365="","",VLOOKUP($C365,val_fg_assets,6,FALSE))</f>
        <v>60</v>
      </c>
      <c r="BP365" s="1678">
        <f>IF($C365="","",VLOOKUP($C365,val_fg_assets,7,FALSE))</f>
        <v>100</v>
      </c>
      <c r="BQ365" s="1399"/>
    </row>
    <row r="366" spans="1:69" s="782" customFormat="1" ht="3.95" customHeight="1" x14ac:dyDescent="0.2">
      <c r="A366" s="852"/>
      <c r="B366" s="1791">
        <v>354</v>
      </c>
      <c r="C366" s="851"/>
      <c r="D366" s="1841"/>
      <c r="E366" s="1059"/>
      <c r="F366" s="686"/>
      <c r="G366" s="686"/>
      <c r="H366" s="1913"/>
      <c r="I366" s="1908"/>
      <c r="J366" s="1908"/>
      <c r="K366" s="1908"/>
      <c r="L366" s="1909"/>
      <c r="M366" s="722"/>
      <c r="N366" s="1912"/>
      <c r="O366" s="722"/>
      <c r="P366" s="1866"/>
      <c r="Q366" s="1867"/>
      <c r="R366" s="1866"/>
      <c r="S366" s="1867"/>
      <c r="T366" s="1866"/>
      <c r="U366" s="1867"/>
      <c r="V366" s="1866"/>
      <c r="W366" s="1867"/>
      <c r="X366" s="1866"/>
      <c r="Y366" s="1867"/>
      <c r="Z366" s="1867"/>
      <c r="AA366" s="1867"/>
      <c r="AB366" s="1867"/>
      <c r="AC366" s="1867"/>
      <c r="AD366" s="1867"/>
      <c r="AE366" s="1867"/>
      <c r="AF366" s="1867"/>
      <c r="AG366" s="1867"/>
      <c r="AH366" s="1867"/>
      <c r="AI366" s="837"/>
      <c r="AJ366" s="1828"/>
      <c r="AK366" s="724"/>
      <c r="AL366" s="1806"/>
      <c r="AM366" s="1399"/>
      <c r="AN366" s="1258"/>
      <c r="AO366" s="1399"/>
      <c r="AP366" s="1399"/>
      <c r="AQ366" s="1399"/>
      <c r="AS366" s="1399"/>
      <c r="AT366" s="1399"/>
      <c r="AU366" s="759"/>
      <c r="AV366" s="759"/>
      <c r="AW366" s="759"/>
      <c r="AX366" s="759"/>
      <c r="AY366" s="759"/>
      <c r="AZ366" s="759"/>
      <c r="BA366" s="759"/>
      <c r="BB366" s="759"/>
      <c r="BC366" s="759"/>
      <c r="BD366" s="759"/>
      <c r="BE366" s="759"/>
      <c r="BF366" s="759"/>
      <c r="BG366" s="760"/>
      <c r="BH366" s="1678"/>
      <c r="BI366" s="1678"/>
      <c r="BJ366" s="1678"/>
      <c r="BK366" s="1678"/>
      <c r="BL366" s="1679"/>
      <c r="BM366" s="1679"/>
      <c r="BN366" s="1678"/>
      <c r="BO366" s="1678"/>
      <c r="BP366" s="1678"/>
      <c r="BQ366" s="1399"/>
    </row>
    <row r="367" spans="1:69" s="782" customFormat="1" ht="3.95" customHeight="1" thickBot="1" x14ac:dyDescent="0.25">
      <c r="A367" s="852"/>
      <c r="B367" s="1790">
        <v>355</v>
      </c>
      <c r="C367" s="851"/>
      <c r="D367" s="1841"/>
      <c r="E367" s="1059"/>
      <c r="F367" s="686"/>
      <c r="G367" s="686"/>
      <c r="H367" s="1913"/>
      <c r="I367" s="1908"/>
      <c r="J367" s="1908"/>
      <c r="K367" s="1908"/>
      <c r="L367" s="1909"/>
      <c r="M367" s="722"/>
      <c r="N367" s="1912"/>
      <c r="O367" s="722"/>
      <c r="P367" s="1868"/>
      <c r="Q367" s="1869"/>
      <c r="R367" s="1868"/>
      <c r="S367" s="1869"/>
      <c r="T367" s="1868"/>
      <c r="U367" s="1869"/>
      <c r="V367" s="1868"/>
      <c r="W367" s="1869"/>
      <c r="X367" s="1868"/>
      <c r="Y367" s="1869"/>
      <c r="Z367" s="1869"/>
      <c r="AA367" s="1869"/>
      <c r="AB367" s="1869"/>
      <c r="AC367" s="1869"/>
      <c r="AD367" s="1869"/>
      <c r="AE367" s="1869"/>
      <c r="AF367" s="1869"/>
      <c r="AG367" s="1869"/>
      <c r="AH367" s="1869"/>
      <c r="AI367" s="1670"/>
      <c r="AJ367" s="1828"/>
      <c r="AK367" s="724"/>
      <c r="AL367" s="1806"/>
      <c r="AM367" s="1399"/>
      <c r="AN367" s="1258"/>
      <c r="AO367" s="1399"/>
      <c r="AP367" s="1399"/>
      <c r="AQ367" s="1399"/>
      <c r="AS367" s="1399"/>
      <c r="AT367" s="1399"/>
      <c r="AU367" s="759"/>
      <c r="AV367" s="759"/>
      <c r="AW367" s="759"/>
      <c r="AX367" s="759"/>
      <c r="AY367" s="759"/>
      <c r="AZ367" s="759"/>
      <c r="BA367" s="759"/>
      <c r="BB367" s="759"/>
      <c r="BC367" s="759"/>
      <c r="BD367" s="759"/>
      <c r="BE367" s="759"/>
      <c r="BF367" s="759"/>
      <c r="BG367" s="760"/>
      <c r="BH367" s="1678"/>
      <c r="BI367" s="1678"/>
      <c r="BJ367" s="1678"/>
      <c r="BK367" s="1678"/>
      <c r="BL367" s="1679"/>
      <c r="BM367" s="1679"/>
      <c r="BN367" s="1678"/>
      <c r="BO367" s="1678"/>
      <c r="BP367" s="1678"/>
      <c r="BQ367" s="1399"/>
    </row>
    <row r="368" spans="1:69" s="782" customFormat="1" x14ac:dyDescent="0.2">
      <c r="A368" s="852">
        <f>A365+1</f>
        <v>91</v>
      </c>
      <c r="B368" s="1790">
        <v>356</v>
      </c>
      <c r="C368" s="851" t="str">
        <f>Valid!$B$77</f>
        <v>Below-Grade/Cut-and-Cover Tunnel</v>
      </c>
      <c r="D368" s="1841"/>
      <c r="E368" s="1245" t="str">
        <f>IF(AT368="N/A","",IF(AT368="N","No","Yes"))</f>
        <v/>
      </c>
      <c r="F368" s="686"/>
      <c r="G368" s="686"/>
      <c r="H368" s="1864"/>
      <c r="I368" s="1904" t="str">
        <f>IF(C346="","",IF(J368&lt;&gt;"","Linear Feet   ","Qty? Enter Zero if N/A  "))</f>
        <v/>
      </c>
      <c r="J368" s="1864"/>
      <c r="K368" s="1904" t="str">
        <f>IF(E368="yes","",IF(C346="","",IF(H368="","Qty? Enter Zero if N/A  ",IF(H368&lt;&gt;"","Track Feet      ",""))))</f>
        <v/>
      </c>
      <c r="L368" s="1864"/>
      <c r="M368" s="1620" t="str">
        <f>IF($H368=0,"",IF($L368="",TEXT(BN368,0)&amp;" Years?    ",""))</f>
        <v/>
      </c>
      <c r="N368" s="1905"/>
      <c r="O368" s="1620"/>
      <c r="P368" s="1864"/>
      <c r="Q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R368" s="1864"/>
      <c r="S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T368" s="1864"/>
      <c r="U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V368" s="1864"/>
      <c r="W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X368" s="1864"/>
      <c r="Y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Z368" s="1864"/>
      <c r="AA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B368" s="1864"/>
      <c r="AC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D368" s="1864"/>
      <c r="AE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F368" s="1864"/>
      <c r="AG368" s="1865"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H368" s="1864"/>
      <c r="AI368" s="904" t="str">
        <f>IF($N368="","",IF(AND($N368="",OR($H368="",$H368=0)),"",IF(AND($N368="LF",$AJ368&lt;$H368),"0 - "&amp;TEXT(($H368-$AJ368)/1000,"0")&amp;"k lin. ft.?    ",IF(AND($N368="TF",$AJ368&lt;$J368),"0 - "&amp;TEXT(($J368-$AJ368)/1000,"0")&amp;"k track ft.?    ",IF(AND($N368="%",$AJ368&lt;1),REPLACE(IF(AND($P368&gt;0,$V368&gt;0,$T368&gt;0,$X368&gt;0,$R368&gt;0,$Z368&gt;0,$AB368&gt;0,$AD368&gt;0,$AF368&gt;0,$AH368&gt;0),"","0-"),99,0,REPLACE(TEXT(100-$AJ368,0),99,0,"%?    ")),"")))))</f>
        <v/>
      </c>
      <c r="AJ368" s="1833">
        <f>IFERROR(IF(N368="%", SUM(P368,R368,T368,V368,X368,Z368,AB368,AD368,AF368,AH368)/100, SUM(P368,R368,T368,V368,X368,Z368,AB368,AD368,AF368,AH368)/IF(N368="LF", H368,J368)), 0)</f>
        <v>0</v>
      </c>
      <c r="AK368" s="1648"/>
      <c r="AL368" s="1675"/>
      <c r="AM368" s="1399"/>
      <c r="AN368" s="1671"/>
      <c r="AO368" s="1399"/>
      <c r="AP368" s="1653"/>
      <c r="AQ368" s="1399"/>
      <c r="AS368" s="1399"/>
      <c r="AT368" s="1624" t="str">
        <f>IF(AND($C$346="", H368="", J368=""), "N/A", IF(OR(AND(ISNUMBER(H368), ISNUMBER(J368), H368=0, J368=0), AND(AJ368=1, H368&lt;&gt;"", J368&lt;&gt;"", L368&lt;&gt;"", N368&lt;&gt;"", P368&lt;&gt;"", R368&lt;&gt;"", T368&lt;&gt;"", V368&lt;&gt;"", X368&lt;&gt;"", Z368&lt;&gt;"", AB368&lt;&gt;"", AD368&lt;&gt;"", AF368&lt;&gt;"", AH368&lt;&gt;"",AL368&lt;&gt;"", IF(AND(AL368&lt;1, AN368=""), FALSE, TRUE))), "Yes", "No"))</f>
        <v>N/A</v>
      </c>
      <c r="AU368" s="759" t="b">
        <f>IF(AND(H368="",OR(L368&lt;&gt;"",P368&lt;&gt;"",R368&lt;&gt;"",T368&lt;&gt;"",V368&lt;&gt;"",X368&lt;&gt;"",AL368&lt;&gt;"",Z368&lt;&gt;"",AB368&lt;&gt;"",AD368&lt;&gt;"",AF368&lt;&gt;"",AH368&lt;&gt;"")),TRUE,FALSE)</f>
        <v>0</v>
      </c>
      <c r="AV368" s="759" t="b">
        <f>IF(OR(H368="",H368=0),FALSE,IF(H368&gt;BM368,TRUE,FALSE))</f>
        <v>0</v>
      </c>
      <c r="AW368" s="759" t="b">
        <f>IF(AND($C$346&lt;&gt;"",$H368=""),TRUE,FALSE)</f>
        <v>0</v>
      </c>
      <c r="AX368" s="759" t="b">
        <f>IF(E368="yes",FALSE,IF(H368="0",FALSE,IF(AND($C$346&lt;&gt;"",J368=""),TRUE,FALSE)))</f>
        <v>0</v>
      </c>
      <c r="AY368" s="759" t="b">
        <f>IF($L368="",FALSE,IF($L368&lt;$BO368,TRUE,FALSE))</f>
        <v>0</v>
      </c>
      <c r="AZ368" s="759" t="b">
        <f>IF($L368="",FALSE,IF($L368&gt;$BP368,TRUE,FALSE))</f>
        <v>0</v>
      </c>
      <c r="BA368" s="759" t="b">
        <f>IF(H368=0,FALSE,IF(AND(E368&lt;&gt;"",$L368=""),TRUE,FALSE))</f>
        <v>0</v>
      </c>
      <c r="BB368" s="759" t="b">
        <f>IF(AND($AJ368&lt;&gt;0,$H368&lt;&gt;$BJ368,$N368="LF"),TRUE,IF(AND($AJ368&lt;&gt;0,$J368&lt;&gt;$AJ368,$N368="TF"),TRUE,IF(AND($AJ368&lt;&gt;0,$AJ368&lt;&gt;1,$N368="%"),TRUE,FALSE)))</f>
        <v>0</v>
      </c>
      <c r="BC368" s="759" t="b">
        <f>IF(AT368="No", IF(OR(P368="", R368="", T368="", V368="", X368="", Z368="", AB368="", AD368="", AF368="", AH368=""), TRUE, FALSE), FALSE)</f>
        <v>0</v>
      </c>
      <c r="BD368" s="759" t="b">
        <f>IF($BE368=TRUE,FALSE,IF(OR($AL368&lt;0,$AL368&gt;1),TRUE,FALSE))</f>
        <v>0</v>
      </c>
      <c r="BE368" s="759" t="b">
        <f>IF(AND($H368&lt;&gt;0,$AL368=""),TRUE,FALSE)</f>
        <v>0</v>
      </c>
      <c r="BF368" s="759" t="b">
        <f>IF(N368="%",TRUE,FALSE)</f>
        <v>0</v>
      </c>
      <c r="BG368" s="760"/>
      <c r="BH368" s="1678">
        <f>IF($C368="","",VLOOKUP($C368,val_fg_assets,9,FALSE))</f>
        <v>1</v>
      </c>
      <c r="BI368" s="1678" t="str">
        <f>IF(N368="", "", IF(N368="LF", H368, IF(N368="TF", J368, IF(N368="%", 1, ""))))</f>
        <v/>
      </c>
      <c r="BJ368" s="1679">
        <f>P368+R368+T368+V368+X368+Z368+AB368+AD368+AF368+AH368</f>
        <v>0</v>
      </c>
      <c r="BK368" s="1679" t="str">
        <f>IF(BI368="", "", BI368-BJ368)</f>
        <v/>
      </c>
      <c r="BL368" s="1679">
        <f>IF($C368="","",VLOOKUP($C368,val_fg_assets,3,FALSE))</f>
        <v>0</v>
      </c>
      <c r="BM368" s="1679">
        <f>IF($C368="","",VLOOKUP($C368,val_fg_assets,4,FALSE))</f>
        <v>1320000</v>
      </c>
      <c r="BN368" s="1678">
        <f>IF($C368="","",VLOOKUP($C368,val_fg_assets,5,FALSE))</f>
        <v>80</v>
      </c>
      <c r="BO368" s="1678">
        <f>IF($C368="","",VLOOKUP($C368,val_fg_assets,6,FALSE))</f>
        <v>60</v>
      </c>
      <c r="BP368" s="1678">
        <f>IF($C368="","",VLOOKUP($C368,val_fg_assets,7,FALSE))</f>
        <v>100</v>
      </c>
      <c r="BQ368" s="1399"/>
    </row>
    <row r="369" spans="1:69" s="782" customFormat="1" ht="3.95" customHeight="1" x14ac:dyDescent="0.2">
      <c r="A369" s="852"/>
      <c r="B369" s="1791">
        <v>357</v>
      </c>
      <c r="C369" s="1673"/>
      <c r="D369" s="1841"/>
      <c r="E369" s="1057"/>
      <c r="F369" s="764"/>
      <c r="G369" s="686">
        <v>7</v>
      </c>
      <c r="H369" s="1906"/>
      <c r="I369" s="1907"/>
      <c r="J369" s="1908"/>
      <c r="K369" s="1907"/>
      <c r="L369" s="1909"/>
      <c r="M369" s="1910"/>
      <c r="N369" s="1911"/>
      <c r="O369" s="1910"/>
      <c r="P369" s="1866"/>
      <c r="Q369" s="1867"/>
      <c r="R369" s="1866"/>
      <c r="S369" s="1867"/>
      <c r="T369" s="1866"/>
      <c r="U369" s="1867"/>
      <c r="V369" s="1866"/>
      <c r="W369" s="1867"/>
      <c r="X369" s="1866"/>
      <c r="Y369" s="1867"/>
      <c r="Z369" s="1867"/>
      <c r="AA369" s="1867"/>
      <c r="AB369" s="1867"/>
      <c r="AC369" s="1867"/>
      <c r="AD369" s="1867"/>
      <c r="AE369" s="1867"/>
      <c r="AF369" s="1867"/>
      <c r="AG369" s="1867"/>
      <c r="AH369" s="1867"/>
      <c r="AI369" s="837"/>
      <c r="AJ369" s="1806"/>
      <c r="AK369" s="841"/>
      <c r="AL369" s="1806"/>
      <c r="AM369" s="1399"/>
      <c r="AN369" s="838"/>
      <c r="AO369" s="1399"/>
      <c r="AP369" s="1223"/>
      <c r="AQ369" s="1399"/>
      <c r="AS369" s="1399"/>
      <c r="AT369" s="1399"/>
      <c r="AU369" s="759"/>
      <c r="AV369" s="759"/>
      <c r="AW369" s="759"/>
      <c r="AX369" s="759"/>
      <c r="AY369" s="759"/>
      <c r="AZ369" s="759"/>
      <c r="BA369" s="759"/>
      <c r="BB369" s="759"/>
      <c r="BC369" s="759"/>
      <c r="BD369" s="759"/>
      <c r="BE369" s="759"/>
      <c r="BF369" s="759"/>
      <c r="BG369" s="760"/>
      <c r="BH369" s="1678"/>
      <c r="BI369" s="1678"/>
      <c r="BJ369" s="1678"/>
      <c r="BK369" s="1678"/>
      <c r="BL369" s="1679"/>
      <c r="BM369" s="1679"/>
      <c r="BN369" s="1678"/>
      <c r="BO369" s="1678"/>
      <c r="BP369" s="1678"/>
      <c r="BQ369" s="1399"/>
    </row>
    <row r="370" spans="1:69" s="782" customFormat="1" ht="3.95" customHeight="1" thickBot="1" x14ac:dyDescent="0.25">
      <c r="A370" s="852"/>
      <c r="B370" s="1791">
        <v>358</v>
      </c>
      <c r="C370" s="1673"/>
      <c r="D370" s="1841"/>
      <c r="E370" s="1057"/>
      <c r="F370" s="764"/>
      <c r="G370" s="764">
        <v>8</v>
      </c>
      <c r="H370" s="1906"/>
      <c r="I370" s="1907"/>
      <c r="J370" s="1908"/>
      <c r="K370" s="1907"/>
      <c r="L370" s="1909"/>
      <c r="M370" s="722"/>
      <c r="N370" s="1912"/>
      <c r="O370" s="722"/>
      <c r="P370" s="1868"/>
      <c r="Q370" s="1869"/>
      <c r="R370" s="1868"/>
      <c r="S370" s="1869"/>
      <c r="T370" s="1868"/>
      <c r="U370" s="1869"/>
      <c r="V370" s="1868"/>
      <c r="W370" s="1869"/>
      <c r="X370" s="1868"/>
      <c r="Y370" s="1869"/>
      <c r="Z370" s="1869"/>
      <c r="AA370" s="1869"/>
      <c r="AB370" s="1869"/>
      <c r="AC370" s="1869"/>
      <c r="AD370" s="1869"/>
      <c r="AE370" s="1869"/>
      <c r="AF370" s="1869"/>
      <c r="AG370" s="1869"/>
      <c r="AH370" s="1869"/>
      <c r="AI370" s="1670"/>
      <c r="AJ370" s="1828"/>
      <c r="AK370" s="724"/>
      <c r="AL370" s="1806"/>
      <c r="AM370" s="1399"/>
      <c r="AN370" s="1258"/>
      <c r="AO370" s="1399"/>
      <c r="AP370" s="1399"/>
      <c r="AQ370" s="1399"/>
      <c r="AS370" s="1399"/>
      <c r="AT370" s="1399"/>
      <c r="AU370" s="759"/>
      <c r="AV370" s="759"/>
      <c r="AW370" s="759"/>
      <c r="AX370" s="759"/>
      <c r="AY370" s="759"/>
      <c r="AZ370" s="759"/>
      <c r="BA370" s="759"/>
      <c r="BB370" s="759"/>
      <c r="BC370" s="759"/>
      <c r="BD370" s="759"/>
      <c r="BE370" s="759"/>
      <c r="BF370" s="759"/>
      <c r="BG370" s="760"/>
      <c r="BH370" s="1678"/>
      <c r="BI370" s="1678"/>
      <c r="BJ370" s="1678"/>
      <c r="BK370" s="1678"/>
      <c r="BL370" s="1679"/>
      <c r="BM370" s="1679"/>
      <c r="BN370" s="1678"/>
      <c r="BO370" s="1678"/>
      <c r="BP370" s="1678"/>
      <c r="BQ370" s="1399"/>
    </row>
    <row r="371" spans="1:69" s="782" customFormat="1" x14ac:dyDescent="0.2">
      <c r="A371" s="852">
        <f>A368+1</f>
        <v>92</v>
      </c>
      <c r="B371" s="1791">
        <v>359</v>
      </c>
      <c r="C371" s="851" t="str">
        <f>Valid!$B$78</f>
        <v>Below-Grade/Bored or Blasted Tunnel</v>
      </c>
      <c r="D371" s="1841"/>
      <c r="E371" s="1245" t="str">
        <f>IF(AT371="N/A","",IF(AT371="N","No","Yes"))</f>
        <v/>
      </c>
      <c r="F371" s="686"/>
      <c r="G371" s="686"/>
      <c r="H371" s="1864"/>
      <c r="I371" s="1904" t="str">
        <f>IF(C346="","",IF(J371&lt;&gt;"","Linear Feet   ","Qty? Enter Zero if N/A  "))</f>
        <v/>
      </c>
      <c r="J371" s="1864"/>
      <c r="K371" s="1904" t="str">
        <f>IF(E371="yes","",IF(C346="","",IF(H371="","Qty? Enter Zero if N/A  ",IF(H371&lt;&gt;"","Track Feet      ",""))))</f>
        <v/>
      </c>
      <c r="L371" s="1864"/>
      <c r="M371" s="1620" t="str">
        <f>IF($H371=0,"",IF($L371="",TEXT(BN371,0)&amp;" Years?    ",""))</f>
        <v/>
      </c>
      <c r="N371" s="1905"/>
      <c r="O371" s="1620"/>
      <c r="P371" s="1864"/>
      <c r="Q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R371" s="1864"/>
      <c r="S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T371" s="1864"/>
      <c r="U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V371" s="1864"/>
      <c r="W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X371" s="1864"/>
      <c r="Y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Z371" s="1864"/>
      <c r="AA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B371" s="1864"/>
      <c r="AC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D371" s="1864"/>
      <c r="AE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F371" s="1864"/>
      <c r="AG371" s="1865"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H371" s="1864"/>
      <c r="AI371" s="904" t="str">
        <f>IF($N371="","",IF(AND($N371="",OR($H371="",$H371=0)),"",IF(AND($N371="LF",$AJ371&lt;$H371),"0 - "&amp;TEXT(($H371-$AJ371)/1000,"0")&amp;"k lin. ft.?    ",IF(AND($N371="TF",$AJ371&lt;$J371),"0 - "&amp;TEXT(($J371-$AJ371)/1000,"0")&amp;"k track ft.?    ",IF(AND($N371="%",$AJ371&lt;1),REPLACE(IF(AND($P371&gt;0,$V371&gt;0,$T371&gt;0,$X371&gt;0,$R371&gt;0,$Z371&gt;0,$AB371&gt;0,$AD371&gt;0,$AF371&gt;0,$AH371&gt;0),"","0-"),99,0,REPLACE(TEXT(100-$AJ371,0),99,0,"%?    ")),"")))))</f>
        <v/>
      </c>
      <c r="AJ371" s="1833">
        <f>IFERROR(IF(N371="%", SUM(P371,R371,T371,V371,X371,Z371,AB371,AD371,AF371,AH371)/100, SUM(P371,R371,T371,V371,X371,Z371,AB371,AD371,AF371,AH371)/IF(N371="LF", H371,J371)), 0)</f>
        <v>0</v>
      </c>
      <c r="AK371" s="1648"/>
      <c r="AL371" s="1675"/>
      <c r="AM371" s="1399"/>
      <c r="AN371" s="1671"/>
      <c r="AO371" s="1399"/>
      <c r="AP371" s="1653"/>
      <c r="AQ371" s="1399"/>
      <c r="AS371" s="1399"/>
      <c r="AT371" s="1624" t="str">
        <f>IF(AND($C$346="", H371="", J371=""), "N/A", IF(OR(AND(ISNUMBER(H371), ISNUMBER(J371), H371=0, J371=0), AND(AJ371=1, H371&lt;&gt;"", J371&lt;&gt;"", L371&lt;&gt;"", N371&lt;&gt;"", P371&lt;&gt;"", R371&lt;&gt;"", T371&lt;&gt;"", V371&lt;&gt;"", X371&lt;&gt;"", Z371&lt;&gt;"", AB371&lt;&gt;"", AD371&lt;&gt;"", AF371&lt;&gt;"", AH371&lt;&gt;"",AL371&lt;&gt;"", IF(AND(AL371&lt;1, AN371=""), FALSE, TRUE))), "Yes", "No"))</f>
        <v>N/A</v>
      </c>
      <c r="AU371" s="759" t="b">
        <f>IF(AND(H371="",OR(L371&lt;&gt;"",P371&lt;&gt;"",R371&lt;&gt;"",T371&lt;&gt;"",V371&lt;&gt;"",X371&lt;&gt;"",AL371&lt;&gt;"",Z371&lt;&gt;"",AB371&lt;&gt;"",AD371&lt;&gt;"",AF371&lt;&gt;"",AH371&lt;&gt;"")),TRUE,FALSE)</f>
        <v>0</v>
      </c>
      <c r="AV371" s="759" t="b">
        <f>IF(OR(H371="",H371=0),FALSE,IF(H371&gt;BM371,TRUE,FALSE))</f>
        <v>0</v>
      </c>
      <c r="AW371" s="759" t="b">
        <f>IF(AND($C$346&lt;&gt;"",$H371=""),TRUE,FALSE)</f>
        <v>0</v>
      </c>
      <c r="AX371" s="759" t="b">
        <f>IF(E371="yes",FALSE,IF(H371="0",FALSE,IF(AND($C$346&lt;&gt;"",J371=""),TRUE,FALSE)))</f>
        <v>0</v>
      </c>
      <c r="AY371" s="759" t="b">
        <f>IF($L371="",FALSE,IF($L371&lt;$BO371,TRUE,FALSE))</f>
        <v>0</v>
      </c>
      <c r="AZ371" s="759" t="b">
        <f>IF($L371="",FALSE,IF($L371&gt;$BP371,TRUE,FALSE))</f>
        <v>0</v>
      </c>
      <c r="BA371" s="759" t="b">
        <f>IF(H371=0,FALSE,IF(AND(E371&lt;&gt;"",$L371=""),TRUE,FALSE))</f>
        <v>0</v>
      </c>
      <c r="BB371" s="759" t="b">
        <f>IF(AND($AJ371&lt;&gt;0,$H371&lt;&gt;$BJ371,$N371="LF"),TRUE,IF(AND($AJ371&lt;&gt;0,$J371&lt;&gt;$AJ371,$N371="TF"),TRUE,IF(AND($AJ371&lt;&gt;0,$AJ371&lt;&gt;1,$N371="%"),TRUE,FALSE)))</f>
        <v>0</v>
      </c>
      <c r="BC371" s="759" t="b">
        <f>IF(AT371="No", IF(OR(P371="", R371="", T371="", V371="", X371="", Z371="", AB371="", AD371="", AF371="", AH371=""), TRUE, FALSE), FALSE)</f>
        <v>0</v>
      </c>
      <c r="BD371" s="759" t="b">
        <f>IF($BE371=TRUE,FALSE,IF(OR($AL371&lt;0,$AL371&gt;1),TRUE,FALSE))</f>
        <v>0</v>
      </c>
      <c r="BE371" s="759" t="b">
        <f>IF(AND($H371&lt;&gt;0,$AL371=""),TRUE,FALSE)</f>
        <v>0</v>
      </c>
      <c r="BF371" s="759" t="b">
        <f>IF(N371="%",TRUE,FALSE)</f>
        <v>0</v>
      </c>
      <c r="BG371" s="760"/>
      <c r="BH371" s="1678">
        <f>IF($C371="","",VLOOKUP($C371,val_fg_assets,9,FALSE))</f>
        <v>1</v>
      </c>
      <c r="BI371" s="1678" t="str">
        <f>IF(N371="", "", IF(N371="LF", H371, IF(N371="TF", J371, IF(N371="%", 1, ""))))</f>
        <v/>
      </c>
      <c r="BJ371" s="1679">
        <f>P371+R371+T371+V371+X371+Z371+AB371+AD371+AF371+AH371</f>
        <v>0</v>
      </c>
      <c r="BK371" s="1679" t="str">
        <f>IF(BI371="", "", BI371-BJ371)</f>
        <v/>
      </c>
      <c r="BL371" s="1679">
        <f>IF($C371="","",VLOOKUP($C371,val_fg_assets,3,FALSE))</f>
        <v>0</v>
      </c>
      <c r="BM371" s="1679">
        <f>IF($C371="","",VLOOKUP($C371,val_fg_assets,4,FALSE))</f>
        <v>1320000</v>
      </c>
      <c r="BN371" s="1678">
        <f>IF($C371="","",VLOOKUP($C371,val_fg_assets,5,FALSE))</f>
        <v>80</v>
      </c>
      <c r="BO371" s="1678">
        <f>IF($C371="","",VLOOKUP($C371,val_fg_assets,6,FALSE))</f>
        <v>60</v>
      </c>
      <c r="BP371" s="1678">
        <f>IF($C371="","",VLOOKUP($C371,val_fg_assets,7,FALSE))</f>
        <v>100</v>
      </c>
      <c r="BQ371" s="1399"/>
    </row>
    <row r="372" spans="1:69" s="782" customFormat="1" ht="3.95" customHeight="1" x14ac:dyDescent="0.2">
      <c r="A372" s="852"/>
      <c r="B372" s="1790">
        <v>360</v>
      </c>
      <c r="C372" s="1673"/>
      <c r="D372" s="1841"/>
      <c r="E372" s="1057"/>
      <c r="F372" s="764"/>
      <c r="G372" s="764"/>
      <c r="H372" s="1909"/>
      <c r="I372" s="1908"/>
      <c r="J372" s="1908"/>
      <c r="K372" s="1908"/>
      <c r="L372" s="1909"/>
      <c r="M372" s="1910"/>
      <c r="N372" s="1911"/>
      <c r="O372" s="1910"/>
      <c r="P372" s="1866"/>
      <c r="Q372" s="1867"/>
      <c r="R372" s="1866"/>
      <c r="S372" s="1867"/>
      <c r="T372" s="1866"/>
      <c r="U372" s="1867"/>
      <c r="V372" s="1866"/>
      <c r="W372" s="1867"/>
      <c r="X372" s="1866"/>
      <c r="Y372" s="1867"/>
      <c r="Z372" s="1867"/>
      <c r="AA372" s="1867"/>
      <c r="AB372" s="1867"/>
      <c r="AC372" s="1867"/>
      <c r="AD372" s="1867"/>
      <c r="AE372" s="1867"/>
      <c r="AF372" s="1867"/>
      <c r="AG372" s="1867"/>
      <c r="AH372" s="1867"/>
      <c r="AI372" s="837"/>
      <c r="AJ372" s="1806"/>
      <c r="AK372" s="841"/>
      <c r="AL372" s="1806"/>
      <c r="AM372" s="1399"/>
      <c r="AN372" s="838"/>
      <c r="AO372" s="1399"/>
      <c r="AP372" s="1399"/>
      <c r="AQ372" s="1399"/>
      <c r="AS372" s="1399"/>
      <c r="AT372" s="1399"/>
      <c r="AU372" s="759"/>
      <c r="AV372" s="759"/>
      <c r="AW372" s="759"/>
      <c r="AX372" s="759"/>
      <c r="AY372" s="759"/>
      <c r="AZ372" s="759"/>
      <c r="BA372" s="759"/>
      <c r="BB372" s="759"/>
      <c r="BC372" s="759"/>
      <c r="BD372" s="759"/>
      <c r="BE372" s="759"/>
      <c r="BF372" s="759"/>
      <c r="BG372" s="760"/>
      <c r="BH372" s="1678"/>
      <c r="BI372" s="1678"/>
      <c r="BJ372" s="1678"/>
      <c r="BK372" s="1678"/>
      <c r="BL372" s="1679"/>
      <c r="BM372" s="1679"/>
      <c r="BN372" s="1678"/>
      <c r="BO372" s="1678"/>
      <c r="BP372" s="1678"/>
      <c r="BQ372" s="1399"/>
    </row>
    <row r="373" spans="1:69" s="782" customFormat="1" ht="3.95" customHeight="1" thickBot="1" x14ac:dyDescent="0.25">
      <c r="A373" s="852"/>
      <c r="B373" s="1790">
        <v>361</v>
      </c>
      <c r="C373" s="851"/>
      <c r="D373" s="1841"/>
      <c r="E373" s="1058"/>
      <c r="F373" s="686"/>
      <c r="G373" s="686"/>
      <c r="H373" s="1909"/>
      <c r="I373" s="1908"/>
      <c r="J373" s="1908"/>
      <c r="K373" s="1908"/>
      <c r="L373" s="1909"/>
      <c r="M373" s="722"/>
      <c r="N373" s="1912"/>
      <c r="O373" s="722"/>
      <c r="P373" s="1868"/>
      <c r="Q373" s="1869"/>
      <c r="R373" s="1868"/>
      <c r="S373" s="1869"/>
      <c r="T373" s="1868"/>
      <c r="U373" s="1869"/>
      <c r="V373" s="1868"/>
      <c r="W373" s="1869"/>
      <c r="X373" s="1868"/>
      <c r="Y373" s="1869"/>
      <c r="Z373" s="1869"/>
      <c r="AA373" s="1869"/>
      <c r="AB373" s="1869"/>
      <c r="AC373" s="1869"/>
      <c r="AD373" s="1869"/>
      <c r="AE373" s="1869"/>
      <c r="AF373" s="1869"/>
      <c r="AG373" s="1869"/>
      <c r="AH373" s="1869"/>
      <c r="AI373" s="1670"/>
      <c r="AJ373" s="1828"/>
      <c r="AK373" s="724"/>
      <c r="AL373" s="1806"/>
      <c r="AM373" s="1399"/>
      <c r="AN373" s="1258"/>
      <c r="AO373" s="1399"/>
      <c r="AP373" s="1399"/>
      <c r="AQ373" s="1399"/>
      <c r="AS373" s="1399"/>
      <c r="AT373" s="1399"/>
      <c r="AU373" s="759"/>
      <c r="AV373" s="759"/>
      <c r="AW373" s="759"/>
      <c r="AX373" s="759"/>
      <c r="AY373" s="759"/>
      <c r="AZ373" s="759"/>
      <c r="BA373" s="759"/>
      <c r="BB373" s="759"/>
      <c r="BC373" s="759"/>
      <c r="BD373" s="759"/>
      <c r="BE373" s="759"/>
      <c r="BF373" s="759"/>
      <c r="BG373" s="760"/>
      <c r="BH373" s="1678"/>
      <c r="BI373" s="1678"/>
      <c r="BJ373" s="1678"/>
      <c r="BK373" s="1678"/>
      <c r="BL373" s="1679"/>
      <c r="BM373" s="1679"/>
      <c r="BN373" s="1678"/>
      <c r="BO373" s="1678"/>
      <c r="BP373" s="1678"/>
      <c r="BQ373" s="1399"/>
    </row>
    <row r="374" spans="1:69" s="782" customFormat="1" x14ac:dyDescent="0.2">
      <c r="A374" s="852">
        <f>A371+1</f>
        <v>93</v>
      </c>
      <c r="B374" s="1791">
        <v>362</v>
      </c>
      <c r="C374" s="851" t="str">
        <f>Valid!$B$79</f>
        <v>Below-Grade/Submerged Tube</v>
      </c>
      <c r="D374" s="1841"/>
      <c r="E374" s="1245" t="str">
        <f>IF(AT374="N/A","",IF(AT374="N","No","Yes"))</f>
        <v/>
      </c>
      <c r="F374" s="764"/>
      <c r="G374" s="764"/>
      <c r="H374" s="1864"/>
      <c r="I374" s="1904" t="str">
        <f>IF(C346="","",IF(J374&lt;&gt;"","Linear Feet   ","Qty? Enter Zero if N/A  "))</f>
        <v/>
      </c>
      <c r="J374" s="1864"/>
      <c r="K374" s="1904" t="str">
        <f>IF(E374="yes","",IF(C346="","",IF(H374="","Qty? Enter Zero if N/A  ",IF(H374&lt;&gt;"","Track Feet      ",""))))</f>
        <v/>
      </c>
      <c r="L374" s="1864"/>
      <c r="M374" s="1620" t="str">
        <f>IF($H374=0,"",IF($L374="",TEXT(BN374,0)&amp;" Years?    ",""))</f>
        <v/>
      </c>
      <c r="N374" s="1905"/>
      <c r="O374" s="1620"/>
      <c r="P374" s="1864"/>
      <c r="Q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R374" s="1864"/>
      <c r="S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T374" s="1864"/>
      <c r="U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V374" s="1864"/>
      <c r="W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X374" s="1864"/>
      <c r="Y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Z374" s="1864"/>
      <c r="AA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B374" s="1864"/>
      <c r="AC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D374" s="1864"/>
      <c r="AE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F374" s="1864"/>
      <c r="AG374" s="1865"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H374" s="1864"/>
      <c r="AI374" s="904" t="str">
        <f>IF($N374="","",IF(AND($N374="",OR($H374="",$H374=0)),"",IF(AND($N374="LF",$AJ374&lt;$H374),"0 - "&amp;TEXT(($H374-$AJ374)/1000,"0")&amp;"k lin. ft.?    ",IF(AND($N374="TF",$AJ374&lt;$J374),"0 - "&amp;TEXT(($J374-$AJ374)/1000,"0")&amp;"k track ft.?    ",IF(AND($N374="%",$AJ374&lt;1),REPLACE(IF(AND($P374&gt;0,$V374&gt;0,$T374&gt;0,$X374&gt;0,$R374&gt;0,$Z374&gt;0,$AB374&gt;0,$AD374&gt;0,$AF374&gt;0,$AH374&gt;0),"","0-"),99,0,REPLACE(TEXT(100-$AJ374,0),99,0,"%?    ")),"")))))</f>
        <v/>
      </c>
      <c r="AJ374" s="1833">
        <f>IFERROR(IF(N374="%", SUM(P374,R374,T374,V374,X374,Z374,AB374,AD374,AF374,AH374)/100, SUM(P374,R374,T374,V374,X374,Z374,AB374,AD374,AF374,AH374)/IF(N374="LF", H374,J374)), 0)</f>
        <v>0</v>
      </c>
      <c r="AK374" s="1648"/>
      <c r="AL374" s="1832"/>
      <c r="AM374" s="1399"/>
      <c r="AN374" s="1276"/>
      <c r="AO374" s="1399"/>
      <c r="AP374" s="1653"/>
      <c r="AQ374" s="1399"/>
      <c r="AS374" s="1399"/>
      <c r="AT374" s="1624" t="str">
        <f>IF(AND($C$346="", H374="", J374=""), "N/A", IF(OR(AND(ISNUMBER(H374), ISNUMBER(J374), H374=0, J374=0), AND(AJ374=1, H374&lt;&gt;"", J374&lt;&gt;"", L374&lt;&gt;"", N374&lt;&gt;"", P374&lt;&gt;"", R374&lt;&gt;"", T374&lt;&gt;"", V374&lt;&gt;"", X374&lt;&gt;"", Z374&lt;&gt;"", AB374&lt;&gt;"", AD374&lt;&gt;"", AF374&lt;&gt;"", AH374&lt;&gt;"",AL374&lt;&gt;"", IF(AND(AL374&lt;1, AN374=""), FALSE, TRUE))), "Yes", "No"))</f>
        <v>N/A</v>
      </c>
      <c r="AU374" s="759" t="b">
        <f>IF(AND(H374="",OR(L374&lt;&gt;"",P374&lt;&gt;"",R374&lt;&gt;"",T374&lt;&gt;"",V374&lt;&gt;"",X374&lt;&gt;"",AL374&lt;&gt;"",Z374&lt;&gt;"",AB374&lt;&gt;"",AD374&lt;&gt;"",AF374&lt;&gt;"",AH374&lt;&gt;"")),TRUE,FALSE)</f>
        <v>0</v>
      </c>
      <c r="AV374" s="759" t="b">
        <f>IF(OR(H374="",H374=0),FALSE,IF(H374&gt;BM374,TRUE,FALSE))</f>
        <v>0</v>
      </c>
      <c r="AW374" s="759" t="b">
        <f>IF(AND($C$346&lt;&gt;"",$H374=""),TRUE,FALSE)</f>
        <v>0</v>
      </c>
      <c r="AX374" s="759" t="b">
        <f>IF(E374="yes",FALSE,IF(H374="0",FALSE,IF(AND($C$346&lt;&gt;"",J374=""),TRUE,FALSE)))</f>
        <v>0</v>
      </c>
      <c r="AY374" s="759" t="b">
        <f>IF($L374="",FALSE,IF($L374&lt;$BO374,TRUE,FALSE))</f>
        <v>0</v>
      </c>
      <c r="AZ374" s="759" t="b">
        <f>IF($L374="",FALSE,IF($L374&gt;$BP374,TRUE,FALSE))</f>
        <v>0</v>
      </c>
      <c r="BA374" s="759" t="b">
        <f>IF(H374=0,FALSE,IF(AND(E374&lt;&gt;"",$L374=""),TRUE,FALSE))</f>
        <v>0</v>
      </c>
      <c r="BB374" s="759" t="b">
        <f>IF(AND($AJ374&lt;&gt;0,$H374&lt;&gt;$BJ374,$N374="LF"),TRUE,IF(AND($AJ374&lt;&gt;0,$J374&lt;&gt;$AJ374,$N374="TF"),TRUE,IF(AND($AJ374&lt;&gt;0,$AJ374&lt;&gt;1,$N374="%"),TRUE,FALSE)))</f>
        <v>0</v>
      </c>
      <c r="BC374" s="759" t="b">
        <f>IF(AT374="No", IF(OR(P374="", R374="", T374="", V374="", X374="", Z374="", AB374="", AD374="", AF374="", AH374=""), TRUE, FALSE), FALSE)</f>
        <v>0</v>
      </c>
      <c r="BD374" s="759" t="b">
        <f>IF($BE374=TRUE,FALSE,IF(OR($AL374&lt;0,$AL374&gt;1),TRUE,FALSE))</f>
        <v>0</v>
      </c>
      <c r="BE374" s="759" t="b">
        <f>IF(AND($H374&lt;&gt;0,$AL374=""),TRUE,FALSE)</f>
        <v>0</v>
      </c>
      <c r="BF374" s="759" t="b">
        <f>IF(N374="%",TRUE,FALSE)</f>
        <v>0</v>
      </c>
      <c r="BG374" s="760"/>
      <c r="BH374" s="1678">
        <f>IF($C374="","",VLOOKUP($C374,val_fg_assets,9,FALSE))</f>
        <v>1</v>
      </c>
      <c r="BI374" s="1678" t="str">
        <f>IF(N374="", "", IF(N374="LF", H374, IF(N374="TF", J374, IF(N374="%", 1, ""))))</f>
        <v/>
      </c>
      <c r="BJ374" s="1679">
        <f>P374+R374+T374+V374+X374+Z374+AB374+AD374+AF374+AH374</f>
        <v>0</v>
      </c>
      <c r="BK374" s="1679" t="str">
        <f>IF(BI374="", "", BI374-BJ374)</f>
        <v/>
      </c>
      <c r="BL374" s="1679">
        <f>IF($C374="","",VLOOKUP($C374,val_fg_assets,3,FALSE))</f>
        <v>0</v>
      </c>
      <c r="BM374" s="1679">
        <f>IF($C374="","",VLOOKUP($C374,val_fg_assets,4,FALSE))</f>
        <v>1320000</v>
      </c>
      <c r="BN374" s="1678">
        <f>IF($C374="","",VLOOKUP($C374,val_fg_assets,5,FALSE))</f>
        <v>80</v>
      </c>
      <c r="BO374" s="1678">
        <f>IF($C374="","",VLOOKUP($C374,val_fg_assets,6,FALSE))</f>
        <v>60</v>
      </c>
      <c r="BP374" s="1678">
        <f>IF($C374="","",VLOOKUP($C374,val_fg_assets,7,FALSE))</f>
        <v>100</v>
      </c>
      <c r="BQ374" s="1399"/>
    </row>
    <row r="375" spans="1:69" s="782" customFormat="1" ht="3.95" customHeight="1" thickBot="1" x14ac:dyDescent="0.25">
      <c r="A375" s="852"/>
      <c r="B375" s="1791">
        <v>363</v>
      </c>
      <c r="C375" s="850"/>
      <c r="D375" s="1841"/>
      <c r="E375" s="1058"/>
      <c r="F375" s="686"/>
      <c r="G375" s="686"/>
      <c r="H375" s="1909"/>
      <c r="I375" s="1907"/>
      <c r="J375" s="1908"/>
      <c r="K375" s="1908"/>
      <c r="L375" s="1909"/>
      <c r="M375" s="1910"/>
      <c r="N375" s="1910"/>
      <c r="O375" s="1910"/>
      <c r="P375" s="1866"/>
      <c r="Q375" s="1867"/>
      <c r="R375" s="1866"/>
      <c r="S375" s="1867"/>
      <c r="T375" s="1866"/>
      <c r="U375" s="1867"/>
      <c r="V375" s="1866"/>
      <c r="W375" s="1867"/>
      <c r="X375" s="1866"/>
      <c r="Y375" s="1867"/>
      <c r="Z375" s="1867"/>
      <c r="AA375" s="1867"/>
      <c r="AB375" s="1867"/>
      <c r="AC375" s="1867"/>
      <c r="AD375" s="1867"/>
      <c r="AE375" s="1867"/>
      <c r="AF375" s="1867"/>
      <c r="AG375" s="1867"/>
      <c r="AH375" s="1867"/>
      <c r="AI375" s="837"/>
      <c r="AJ375" s="1806"/>
      <c r="AK375" s="841"/>
      <c r="AL375" s="1806"/>
      <c r="AM375" s="1399"/>
      <c r="AN375" s="838"/>
      <c r="AO375" s="1399"/>
      <c r="AP375" s="1399"/>
      <c r="AQ375" s="1399"/>
      <c r="AS375" s="1399"/>
      <c r="AT375" s="1399"/>
      <c r="AU375" s="759"/>
      <c r="AV375" s="759"/>
      <c r="AW375" s="759"/>
      <c r="AX375" s="759"/>
      <c r="AY375" s="759"/>
      <c r="AZ375" s="759"/>
      <c r="BA375" s="759"/>
      <c r="BB375" s="759"/>
      <c r="BC375" s="759"/>
      <c r="BD375" s="759"/>
      <c r="BE375" s="759"/>
      <c r="BF375" s="759"/>
      <c r="BG375" s="760"/>
      <c r="BH375" s="1678"/>
      <c r="BI375" s="1678"/>
      <c r="BJ375" s="1678"/>
      <c r="BK375" s="1678"/>
      <c r="BL375" s="1679"/>
      <c r="BM375" s="1679"/>
      <c r="BN375" s="1678"/>
      <c r="BO375" s="1678"/>
      <c r="BP375" s="1678"/>
      <c r="BQ375" s="1399"/>
    </row>
    <row r="376" spans="1:69" s="782" customFormat="1" x14ac:dyDescent="0.2">
      <c r="A376" s="1712" t="s">
        <v>2621</v>
      </c>
      <c r="B376" s="1791">
        <v>364</v>
      </c>
      <c r="C376" s="850"/>
      <c r="D376" s="1841"/>
      <c r="E376" s="816"/>
      <c r="F376" s="686"/>
      <c r="G376" s="686"/>
      <c r="H376" s="1914">
        <f>SUM(H350:H374)</f>
        <v>0</v>
      </c>
      <c r="I376" s="1915"/>
      <c r="J376" s="1914">
        <f>SUM(J350:J374)</f>
        <v>0</v>
      </c>
      <c r="K376" s="1880"/>
      <c r="L376" s="1880" t="str">
        <f>IF(C346="","&lt;&lt;Total Guideway (Excluding Track) in Linear Feet and Track Feet","&lt;&lt;Total "&amp;VLOOKUP(C346,Codes!$C$156:$D$174,2)&amp;" Guideway (Excluding Track) in Linear Feet and Track Feet")</f>
        <v>&lt;&lt;Total Guideway (Excluding Track) in Linear Feet and Track Feet</v>
      </c>
      <c r="M376" s="1910"/>
      <c r="N376" s="1910"/>
      <c r="O376" s="1910"/>
      <c r="P376" s="1916"/>
      <c r="Q376" s="1867"/>
      <c r="R376" s="1916"/>
      <c r="S376" s="1867"/>
      <c r="T376" s="1916"/>
      <c r="U376" s="1867"/>
      <c r="V376" s="1916"/>
      <c r="W376" s="1867"/>
      <c r="X376" s="1916"/>
      <c r="Y376" s="1867"/>
      <c r="Z376" s="1867"/>
      <c r="AA376" s="1867"/>
      <c r="AB376" s="1867"/>
      <c r="AC376" s="1867"/>
      <c r="AD376" s="1867"/>
      <c r="AE376" s="1867"/>
      <c r="AF376" s="1867"/>
      <c r="AG376" s="1867"/>
      <c r="AH376" s="1867"/>
      <c r="AI376" s="837"/>
      <c r="AJ376" s="1806"/>
      <c r="AK376" s="841"/>
      <c r="AL376" s="1806"/>
      <c r="AM376" s="1399"/>
      <c r="AN376" s="838"/>
      <c r="AO376" s="1399"/>
      <c r="AP376" s="1399"/>
      <c r="AQ376" s="1399"/>
      <c r="AS376" s="1399"/>
      <c r="AT376" s="1399"/>
      <c r="AU376" s="759"/>
      <c r="AV376" s="759"/>
      <c r="AW376" s="759"/>
      <c r="AX376" s="759"/>
      <c r="AY376" s="759"/>
      <c r="AZ376" s="759"/>
      <c r="BA376" s="759"/>
      <c r="BB376" s="759"/>
      <c r="BC376" s="759"/>
      <c r="BD376" s="759"/>
      <c r="BE376" s="759"/>
      <c r="BF376" s="759"/>
      <c r="BG376" s="760"/>
      <c r="BH376" s="1678"/>
      <c r="BI376" s="1678"/>
      <c r="BJ376" s="1678"/>
      <c r="BK376" s="1678"/>
      <c r="BL376" s="1679"/>
      <c r="BM376" s="1679"/>
      <c r="BN376" s="1678"/>
      <c r="BO376" s="1678"/>
      <c r="BP376" s="1678"/>
      <c r="BQ376" s="1399"/>
    </row>
    <row r="377" spans="1:69" s="686" customFormat="1" x14ac:dyDescent="0.2">
      <c r="A377" s="1712" t="s">
        <v>2621</v>
      </c>
      <c r="B377" s="1790">
        <v>365</v>
      </c>
      <c r="C377" s="844" t="str">
        <f>IF(C346="","Power and Signals",VLOOKUP(C346,Codes!$C$156:$D$174,2)&amp;" Power and Signals")</f>
        <v>Power and Signals</v>
      </c>
      <c r="D377" s="1709"/>
      <c r="E377" s="1057"/>
      <c r="F377" s="764"/>
      <c r="G377" s="764"/>
      <c r="H377" s="1917"/>
      <c r="I377" s="1880"/>
      <c r="J377" s="1651"/>
      <c r="K377" s="1651"/>
      <c r="L377" s="1917"/>
      <c r="M377" s="1651"/>
      <c r="N377" s="1651"/>
      <c r="O377" s="1651"/>
      <c r="P377" s="1916"/>
      <c r="Q377" s="1867"/>
      <c r="R377" s="1916"/>
      <c r="S377" s="1867"/>
      <c r="T377" s="1916"/>
      <c r="U377" s="1867"/>
      <c r="V377" s="1916"/>
      <c r="W377" s="1867"/>
      <c r="X377" s="1916"/>
      <c r="Y377" s="1651"/>
      <c r="Z377" s="1651"/>
      <c r="AA377" s="1651"/>
      <c r="AB377" s="1651"/>
      <c r="AC377" s="1651"/>
      <c r="AD377" s="1651"/>
      <c r="AE377" s="1651"/>
      <c r="AF377" s="1651"/>
      <c r="AG377" s="1651"/>
      <c r="AH377" s="1651"/>
      <c r="AJ377" s="1676"/>
      <c r="AL377" s="1676"/>
      <c r="AP377" s="1223"/>
      <c r="AU377" s="848"/>
      <c r="AV377" s="848"/>
      <c r="AW377" s="848"/>
      <c r="AX377" s="848"/>
      <c r="AY377" s="759"/>
      <c r="AZ377" s="759"/>
      <c r="BA377" s="848"/>
      <c r="BB377" s="759"/>
      <c r="BC377" s="848"/>
      <c r="BD377" s="848"/>
      <c r="BE377" s="848"/>
      <c r="BF377" s="848"/>
      <c r="BH377" s="1680"/>
      <c r="BI377" s="1680"/>
      <c r="BJ377" s="1680"/>
      <c r="BK377" s="1680"/>
      <c r="BL377" s="1680"/>
      <c r="BM377" s="1680"/>
      <c r="BN377" s="1680"/>
      <c r="BO377" s="1680"/>
      <c r="BP377" s="1680"/>
    </row>
    <row r="378" spans="1:69" s="686" customFormat="1" ht="26.25" thickBot="1" x14ac:dyDescent="0.25">
      <c r="A378" s="1712" t="s">
        <v>2621</v>
      </c>
      <c r="B378" s="1790">
        <v>366</v>
      </c>
      <c r="C378" s="1674"/>
      <c r="D378" s="1709"/>
      <c r="E378" s="1057"/>
      <c r="H378" s="1903" t="s">
        <v>13</v>
      </c>
      <c r="I378" s="1651"/>
      <c r="J378" s="1651"/>
      <c r="K378" s="1651"/>
      <c r="L378" s="1909"/>
      <c r="M378" s="1909"/>
      <c r="N378" s="1909"/>
      <c r="O378" s="1909"/>
      <c r="P378" s="1903" t="str">
        <f>P$9</f>
        <v>Pre-1920</v>
      </c>
      <c r="Q378" s="1869"/>
      <c r="R378" s="1903" t="str">
        <f>R$9</f>
        <v>1920-
1929</v>
      </c>
      <c r="S378" s="1869"/>
      <c r="T378" s="1903" t="str">
        <f>T$9</f>
        <v>1930-
1939</v>
      </c>
      <c r="U378" s="1869"/>
      <c r="V378" s="1903" t="str">
        <f>V$9</f>
        <v>1940-
1949</v>
      </c>
      <c r="W378" s="1869"/>
      <c r="X378" s="1903" t="str">
        <f>X$9</f>
        <v>1950-
1959</v>
      </c>
      <c r="Y378" s="1868"/>
      <c r="Z378" s="1903" t="str">
        <f>Z$9</f>
        <v>1960-
1969</v>
      </c>
      <c r="AA378" s="1868"/>
      <c r="AB378" s="1903" t="str">
        <f>AB$9</f>
        <v>1970-
1979</v>
      </c>
      <c r="AC378" s="1868"/>
      <c r="AD378" s="1903" t="str">
        <f>AD$9</f>
        <v>1980-
1989</v>
      </c>
      <c r="AE378" s="1868"/>
      <c r="AF378" s="1903" t="str">
        <f>AF$9</f>
        <v>1990-
1999</v>
      </c>
      <c r="AG378" s="1868"/>
      <c r="AH378" s="1903" t="str">
        <f>AH$9</f>
        <v>2000-
present</v>
      </c>
      <c r="AJ378" s="1676"/>
      <c r="AL378" s="1676"/>
      <c r="AP378" s="1394"/>
      <c r="AU378" s="848"/>
      <c r="AV378" s="848"/>
      <c r="AW378" s="848"/>
      <c r="AX378" s="848"/>
      <c r="AY378" s="759"/>
      <c r="AZ378" s="759"/>
      <c r="BA378" s="848"/>
      <c r="BB378" s="759"/>
      <c r="BC378" s="848"/>
      <c r="BD378" s="848"/>
      <c r="BE378" s="848"/>
      <c r="BF378" s="848"/>
      <c r="BH378" s="1680"/>
      <c r="BI378" s="1680"/>
      <c r="BJ378" s="1680"/>
      <c r="BK378" s="1680"/>
      <c r="BL378" s="1680"/>
      <c r="BM378" s="1680"/>
      <c r="BN378" s="1680"/>
      <c r="BO378" s="1680"/>
      <c r="BP378" s="1680"/>
    </row>
    <row r="379" spans="1:69" s="686" customFormat="1" x14ac:dyDescent="0.2">
      <c r="A379" s="852">
        <f>A374+1</f>
        <v>94</v>
      </c>
      <c r="B379" s="1791">
        <v>367</v>
      </c>
      <c r="C379" s="851" t="str">
        <f>Valid!$B$87</f>
        <v>Substation Building</v>
      </c>
      <c r="D379" s="1709"/>
      <c r="E379" s="1245" t="str">
        <f>IF(AT379="N/A","",IF(AT379="N","No","Yes"))</f>
        <v/>
      </c>
      <c r="H379" s="1864"/>
      <c r="I379" s="1904" t="str">
        <f>IF(AND(C346&lt;&gt;"", H379=""),"Qty? Enter Zero if N/A  ","")</f>
        <v/>
      </c>
      <c r="J379" s="1918"/>
      <c r="K379" s="1651"/>
      <c r="L379" s="1864"/>
      <c r="M379" s="1870" t="str">
        <f>IF($H379=0,"",IF($L379="",TEXT(BN379,0)&amp;" Years?    ",""))</f>
        <v/>
      </c>
      <c r="N379" s="1905"/>
      <c r="O379" s="1870"/>
      <c r="P379" s="1864"/>
      <c r="Q379" s="1865" t="str">
        <f>IF(OR($N379="", AND($N379="",OR($H379="",$H379=0))),"",IF(AND($N379="Quantity",$AJ379&lt;$H379),"0 - "&amp;TEXT($H379-$AJ379,"0")&amp;" buildings?    ",IF(AND($N379="%",$AJ379&lt;1),REPLACE(IF(AND($P379&gt;0,$V379&gt;0,$T379&gt;0,$X379&gt;0,$R379&gt;0,$Z379&gt;0,$AB379&gt;0,$AD379&gt;0,$AF379&gt;0,$AH379&gt;0),"","0-"),99,0,REPLACE(TEXT(100-$AJ379,0),99,0,"?    ")),"")))</f>
        <v/>
      </c>
      <c r="R379" s="1864"/>
      <c r="S379" s="1865" t="str">
        <f>IF(OR($N379="", AND($N379="",OR($H379="",$H379=0))),"",IF(AND($N379="Quantity",$AJ379&lt;$H379),"0 - "&amp;TEXT($H379-$AJ379,"0")&amp;" buildings?    ",IF(AND($N379="%",$AJ379&lt;1),REPLACE(IF(AND($P379&gt;0,$V379&gt;0,$T379&gt;0,$X379&gt;0,$R379&gt;0,$Z379&gt;0,$AB379&gt;0,$AD379&gt;0,$AF379&gt;0,$AH379&gt;0),"","0-"),99,0,REPLACE(TEXT(100-$AJ379,0),99,0,"?    ")),"")))</f>
        <v/>
      </c>
      <c r="T379" s="1864"/>
      <c r="U379" s="1865" t="str">
        <f>IF(OR($N379="", AND($N379="",OR($H379="",$H379=0))),"",IF(AND($N379="Quantity",$AJ379&lt;$H379),"0 - "&amp;TEXT($H379-$AJ379,"0")&amp;" buildings?    ",IF(AND($N379="%",$AJ379&lt;1),REPLACE(IF(AND($P379&gt;0,$V379&gt;0,$T379&gt;0,$X379&gt;0,$R379&gt;0,$Z379&gt;0,$AB379&gt;0,$AD379&gt;0,$AF379&gt;0,$AH379&gt;0),"","0-"),99,0,REPLACE(TEXT(100-$AJ379,0),99,0,"?    ")),"")))</f>
        <v/>
      </c>
      <c r="V379" s="1864"/>
      <c r="W379" s="1865" t="str">
        <f>IF(OR($N379="", AND($N379="",OR($H379="",$H379=0))),"",IF(AND($N379="Quantity",$AJ379&lt;$H379),"0 - "&amp;TEXT($H379-$AJ379,"0")&amp;" buildings?    ",IF(AND($N379="%",$AJ379&lt;1),REPLACE(IF(AND($P379&gt;0,$V379&gt;0,$T379&gt;0,$X379&gt;0,$R379&gt;0,$Z379&gt;0,$AB379&gt;0,$AD379&gt;0,$AF379&gt;0,$AH379&gt;0),"","0-"),99,0,REPLACE(TEXT(100-$AJ379,0),99,0,"?    ")),"")))</f>
        <v/>
      </c>
      <c r="X379" s="1864"/>
      <c r="Y379" s="1865" t="str">
        <f>IF(OR($N379="", AND($N379="",OR($H379="",$H379=0))),"",IF(AND($N379="Quantity",$AJ379&lt;$H379),"0 - "&amp;TEXT($H379-$AJ379,"0")&amp;" buildings?    ",IF(AND($N379="%",$AJ379&lt;1),REPLACE(IF(AND($P379&gt;0,$V379&gt;0,$T379&gt;0,$X379&gt;0,$R379&gt;0,$Z379&gt;0,$AB379&gt;0,$AD379&gt;0,$AF379&gt;0,$AH379&gt;0),"","0-"),99,0,REPLACE(TEXT(100-$AJ379,0),99,0,"?    ")),"")))</f>
        <v/>
      </c>
      <c r="Z379" s="1864"/>
      <c r="AA379" s="1865" t="str">
        <f>IF(OR($N379="", AND($N379="",OR($H379="",$H379=0))),"",IF(AND($N379="Quantity",$AJ379&lt;$H379),"0 - "&amp;TEXT($H379-$AJ379,"0")&amp;" buildings?    ",IF(AND($N379="%",$AJ379&lt;1),REPLACE(IF(AND($P379&gt;0,$V379&gt;0,$T379&gt;0,$X379&gt;0,$R379&gt;0,$Z379&gt;0,$AB379&gt;0,$AD379&gt;0,$AF379&gt;0,$AH379&gt;0),"","0-"),99,0,REPLACE(TEXT(100-$AJ379,0),99,0,"?    ")),"")))</f>
        <v/>
      </c>
      <c r="AB379" s="1864"/>
      <c r="AC379" s="1865" t="str">
        <f>IF(OR($N379="", AND($N379="",OR($H379="",$H379=0))),"",IF(AND($N379="Quantity",$AJ379&lt;$H379),"0 - "&amp;TEXT($H379-$AJ379,"0")&amp;" buildings?    ",IF(AND($N379="%",$AJ379&lt;1),REPLACE(IF(AND($P379&gt;0,$V379&gt;0,$T379&gt;0,$X379&gt;0,$R379&gt;0,$Z379&gt;0,$AB379&gt;0,$AD379&gt;0,$AF379&gt;0,$AH379&gt;0),"","0-"),99,0,REPLACE(TEXT(100-$AJ379,0),99,0,"?    ")),"")))</f>
        <v/>
      </c>
      <c r="AD379" s="1864"/>
      <c r="AE379" s="1865" t="str">
        <f>IF(OR($N379="", AND($N379="",OR($H379="",$H379=0))),"",IF(AND($N379="Quantity",$AJ379&lt;$H379),"0 - "&amp;TEXT($H379-$AJ379,"0")&amp;" buildings?    ",IF(AND($N379="%",$AJ379&lt;1),REPLACE(IF(AND($P379&gt;0,$V379&gt;0,$T379&gt;0,$X379&gt;0,$R379&gt;0,$Z379&gt;0,$AB379&gt;0,$AD379&gt;0,$AF379&gt;0,$AH379&gt;0),"","0-"),99,0,REPLACE(TEXT(100-$AJ379,0),99,0,"?    ")),"")))</f>
        <v/>
      </c>
      <c r="AF379" s="1864"/>
      <c r="AG379" s="1865" t="str">
        <f>IF(OR($N379="", AND($N379="",OR($H379="",$H379=0))),"",IF(AND($N379="Quantity",$AJ379&lt;$H379),"0 - "&amp;TEXT($H379-$AJ379,"0")&amp;" buildings?    ",IF(AND($N379="%",$AJ379&lt;1),REPLACE(IF(AND($P379&gt;0,$V379&gt;0,$T379&gt;0,$X379&gt;0,$R379&gt;0,$Z379&gt;0,$AB379&gt;0,$AD379&gt;0,$AF379&gt;0,$AH379&gt;0),"","0-"),99,0,REPLACE(TEXT(100-$AJ379,0),99,0,"?    ")),"")))</f>
        <v/>
      </c>
      <c r="AH379" s="1864"/>
      <c r="AI379" s="1865" t="str">
        <f>IF(OR($N379="", AND($N379="",OR($H379="",$H379=0))),"",IF(AND($N379="Quantity",$AJ379&lt;$H379),"0 - "&amp;TEXT($H379-$AJ379,"0")&amp;" buildings?    ",IF(AND($N379="%",$AJ379&lt;1),REPLACE(IF(AND($P379&gt;0,$V379&gt;0,$T379&gt;0,$X379&gt;0,$R379&gt;0,$Z379&gt;0,$AB379&gt;0,$AD379&gt;0,$AF379&gt;0,$AH379&gt;0),"","0-"),99,0,REPLACE(TEXT(100-$AJ379,0),99,0,"?    ")),"")))</f>
        <v/>
      </c>
      <c r="AJ379" s="1833">
        <f>IFERROR(IF(N379="%", SUM(P379,R379,T379,V379,X379,Z379,AB379,AD379,AF379,AH379)/100, SUM(P379,R379,T379,V379,X379,Z379,AB379,AD379,AF379,AH379)/H379), 0)</f>
        <v>0</v>
      </c>
      <c r="AL379" s="1832"/>
      <c r="AN379" s="1276"/>
      <c r="AP379" s="1653"/>
      <c r="AT379" s="1624" t="str">
        <f>IF(AND($C$346="", H379=""), "N/A", IF(OR(AND(ISNUMBER(H379), H379=0), AND(AJ379=1, H379&lt;&gt;"", L379&lt;&gt;"", N379&lt;&gt;"", P379&lt;&gt;"", R379&lt;&gt;"", T379&lt;&gt;"", V379&lt;&gt;"", X379&lt;&gt;"", Z379&lt;&gt;"", AB379&lt;&gt;"", AD379&lt;&gt;"", AF379&lt;&gt;"", AH379&lt;&gt;"",AL379&lt;&gt;"", IF(AND(AL379&lt;1, AN379=""), FALSE, TRUE))), "Yes", "No"))</f>
        <v>N/A</v>
      </c>
      <c r="AU379" s="759" t="b">
        <f>IF(AND(H379="",OR(L379&lt;&gt;"",P379&lt;&gt;"",R379&lt;&gt;"",T379&lt;&gt;"",V379&lt;&gt;"",X379&lt;&gt;"",AL379&lt;&gt;"",Z379&lt;&gt;"",AB379&lt;&gt;"",AD379&lt;&gt;"",AF379&lt;&gt;"",AH379&lt;&gt;"")),TRUE,FALSE)</f>
        <v>0</v>
      </c>
      <c r="AV379" s="759" t="b">
        <f>IF(OR(H379="",H379=0),FALSE,IF(H379&gt;BM379,TRUE,FALSE))</f>
        <v>0</v>
      </c>
      <c r="AW379" s="759" t="b">
        <f>IF(AND($C$346&lt;&gt;"",$H379=""),TRUE,FALSE)</f>
        <v>0</v>
      </c>
      <c r="AX379" s="759"/>
      <c r="AY379" s="759" t="b">
        <f>IF($L379="",FALSE,IF($L379&lt;$BO379,TRUE,FALSE))</f>
        <v>0</v>
      </c>
      <c r="AZ379" s="759" t="b">
        <f>IF($L379="",FALSE,IF($L379&gt;$BP379,TRUE,FALSE))</f>
        <v>0</v>
      </c>
      <c r="BA379" s="759" t="b">
        <f>IF(H379=0,FALSE,IF(AND(E379&lt;&gt;"",$L379=""),TRUE,FALSE))</f>
        <v>0</v>
      </c>
      <c r="BB379" s="759" t="b">
        <f>IF(AND($AJ379&lt;&gt;0,$H379&lt;$AJ379,$N379="LF"),TRUE,IF(AND($N379="LF",H379&lt;&gt;"",H379=AJ379),FALSE,IF(AND($AJ379&lt;&gt;0,$AJ379&gt;"100%",$N379="%"),TRUE,FALSE)))</f>
        <v>0</v>
      </c>
      <c r="BC379" s="759" t="b">
        <f>IF(AT379="No", IF(OR(P379="", R379="", T379="", V379="", X379="", Z379="", AB379="", AD379="", AF379="", AH379=""), TRUE, FALSE), FALSE)</f>
        <v>0</v>
      </c>
      <c r="BD379" s="759" t="b">
        <f>IF($BE379=TRUE,FALSE,IF(OR($AL379&lt;0,$AL379&gt;1),TRUE,FALSE))</f>
        <v>0</v>
      </c>
      <c r="BE379" s="759" t="b">
        <f>IF(AND($H379&lt;&gt;0,$AL379=""),TRUE,FALSE)</f>
        <v>0</v>
      </c>
      <c r="BF379" s="759"/>
      <c r="BH379" s="1678"/>
      <c r="BI379" s="1678" t="str">
        <f>IF(N379="", "", IF(N379="Quantity", H379, IF(N379="%", 1, "")))</f>
        <v/>
      </c>
      <c r="BJ379" s="1679">
        <f>P379+R379+T379+V379+X379+Z379+AB379+AD379+AF379+AH379</f>
        <v>0</v>
      </c>
      <c r="BK379" s="1679" t="str">
        <f>IF(BI379="", "", BI379-BJ379)</f>
        <v/>
      </c>
      <c r="BL379" s="1678">
        <f>IF($C379="","",VLOOKUP($C379,Valid!$B$87:$F$96,3,FALSE))</f>
        <v>0</v>
      </c>
      <c r="BM379" s="1678">
        <f>IF($C379="","",VLOOKUP($C379,Valid!$B$87:$F$96,4,FALSE))</f>
        <v>35</v>
      </c>
      <c r="BN379" s="1678">
        <f>IF($C379="","",VLOOKUP($C379,Valid!$B$87:$F$96,5,FALSE))</f>
        <v>100</v>
      </c>
      <c r="BO379" s="1678">
        <f>IF($C379="","",VLOOKUP($C379,Valid!$B$87:$G$96,6,FALSE))</f>
        <v>75</v>
      </c>
      <c r="BP379" s="1678">
        <f>IF($C379="","",VLOOKUP($C379,Valid!$B$87:$Z$96,7,FALSE))</f>
        <v>125</v>
      </c>
    </row>
    <row r="380" spans="1:69" s="686" customFormat="1" ht="3.95" customHeight="1" x14ac:dyDescent="0.2">
      <c r="B380" s="1791">
        <v>368</v>
      </c>
      <c r="C380" s="1674"/>
      <c r="D380" s="1709"/>
      <c r="E380" s="1057"/>
      <c r="H380" s="1917"/>
      <c r="I380" s="1651"/>
      <c r="J380" s="1651"/>
      <c r="K380" s="1651"/>
      <c r="L380" s="1917"/>
      <c r="M380" s="1651"/>
      <c r="N380" s="1651"/>
      <c r="O380" s="1651"/>
      <c r="P380" s="1866"/>
      <c r="Q380" s="1867"/>
      <c r="R380" s="1866"/>
      <c r="S380" s="1867"/>
      <c r="T380" s="1866"/>
      <c r="U380" s="1867"/>
      <c r="V380" s="1866"/>
      <c r="W380" s="1867"/>
      <c r="X380" s="1866"/>
      <c r="Y380" s="1867"/>
      <c r="Z380" s="1867"/>
      <c r="AA380" s="1867"/>
      <c r="AB380" s="1867"/>
      <c r="AC380" s="1867"/>
      <c r="AD380" s="1867"/>
      <c r="AE380" s="1867"/>
      <c r="AF380" s="1867"/>
      <c r="AG380" s="1867"/>
      <c r="AH380" s="1867"/>
      <c r="AJ380" s="1676"/>
      <c r="AL380" s="1676"/>
      <c r="AP380" s="1394"/>
      <c r="AU380" s="848"/>
      <c r="AV380" s="848"/>
      <c r="AW380" s="848"/>
      <c r="AX380" s="848"/>
      <c r="AY380" s="759"/>
      <c r="AZ380" s="759"/>
      <c r="BA380" s="848"/>
      <c r="BB380" s="759"/>
      <c r="BC380" s="848"/>
      <c r="BD380" s="848"/>
      <c r="BE380" s="848"/>
      <c r="BF380" s="848"/>
      <c r="BH380" s="1680"/>
      <c r="BI380" s="1680"/>
      <c r="BJ380" s="1680"/>
      <c r="BK380" s="1680"/>
      <c r="BL380" s="1680"/>
      <c r="BM380" s="1680"/>
      <c r="BN380" s="1680"/>
      <c r="BO380" s="1680"/>
      <c r="BP380" s="1680"/>
    </row>
    <row r="381" spans="1:69" s="686" customFormat="1" ht="3.95" customHeight="1" thickBot="1" x14ac:dyDescent="0.25">
      <c r="B381" s="1791">
        <v>369</v>
      </c>
      <c r="C381" s="1674"/>
      <c r="D381" s="1709"/>
      <c r="E381" s="1057"/>
      <c r="H381" s="1917"/>
      <c r="I381" s="1651"/>
      <c r="J381" s="1651"/>
      <c r="K381" s="1651"/>
      <c r="L381" s="1917"/>
      <c r="M381" s="1651"/>
      <c r="N381" s="1651"/>
      <c r="O381" s="1651"/>
      <c r="P381" s="1868"/>
      <c r="Q381" s="1869"/>
      <c r="R381" s="1868"/>
      <c r="S381" s="1869"/>
      <c r="T381" s="1868"/>
      <c r="U381" s="1869"/>
      <c r="V381" s="1868"/>
      <c r="W381" s="1869"/>
      <c r="X381" s="1868"/>
      <c r="Y381" s="1869"/>
      <c r="Z381" s="1869"/>
      <c r="AA381" s="1869"/>
      <c r="AB381" s="1869"/>
      <c r="AC381" s="1869"/>
      <c r="AD381" s="1869"/>
      <c r="AE381" s="1869"/>
      <c r="AF381" s="1869"/>
      <c r="AG381" s="1869"/>
      <c r="AH381" s="1869"/>
      <c r="AJ381" s="1676"/>
      <c r="AL381" s="1676"/>
      <c r="AP381" s="1394"/>
      <c r="AU381" s="848"/>
      <c r="AV381" s="848"/>
      <c r="AW381" s="848"/>
      <c r="AX381" s="848"/>
      <c r="AY381" s="759"/>
      <c r="AZ381" s="759"/>
      <c r="BA381" s="848"/>
      <c r="BB381" s="759"/>
      <c r="BC381" s="848"/>
      <c r="BD381" s="848"/>
      <c r="BE381" s="848"/>
      <c r="BF381" s="848"/>
      <c r="BH381" s="1680"/>
      <c r="BI381" s="1680"/>
      <c r="BJ381" s="1680"/>
      <c r="BK381" s="1680"/>
      <c r="BL381" s="1680"/>
      <c r="BM381" s="1680"/>
      <c r="BN381" s="1680"/>
      <c r="BO381" s="1680"/>
      <c r="BP381" s="1680"/>
    </row>
    <row r="382" spans="1:69" s="686" customFormat="1" x14ac:dyDescent="0.2">
      <c r="A382" s="852">
        <f>A379+1</f>
        <v>95</v>
      </c>
      <c r="B382" s="1790">
        <v>370</v>
      </c>
      <c r="C382" s="851" t="str">
        <f>Valid!$B$88</f>
        <v>Substation Equipment</v>
      </c>
      <c r="D382" s="1709"/>
      <c r="E382" s="1245" t="str">
        <f>IF(AT382="N/A","",IF(AT382="N","No","Yes"))</f>
        <v/>
      </c>
      <c r="H382" s="1917"/>
      <c r="I382" s="1904"/>
      <c r="J382" s="1919"/>
      <c r="K382" s="1651"/>
      <c r="L382" s="1864"/>
      <c r="M382" s="1920" t="str">
        <f>IF(AND(H379&lt;&gt;"", L382=""),REPLACE(TEXT(BN382,0),99,0," Yrs.?    "),"")</f>
        <v/>
      </c>
      <c r="N382" s="1921"/>
      <c r="O382" s="1870"/>
      <c r="P382" s="1864"/>
      <c r="Q382" s="1865" t="str">
        <f>IF(OR($N382="", AND($N382="",OR($H382="",$H382=0))),"",IF(AND($N382="Quantity",$AJ382&lt;$H382),"0 - "&amp;TEXT($H382-$AJ382,"0")&amp;" buildings?    ",IF(AND($N382="%",$AJ382&lt;1),REPLACE(IF(AND($P382&gt;0,$V382&gt;0,$T382&gt;0,$X382&gt;0,$R382&gt;0,$Z382&gt;0,$AB382&gt;0,$AD382&gt;0,$AF382&gt;0,$AH382&gt;0),"","0-"),99,0,REPLACE(TEXT(100-$AJ382,0),99,0,"?    ")),"")))</f>
        <v/>
      </c>
      <c r="R382" s="1864"/>
      <c r="S382" s="1865" t="str">
        <f>IF(OR($N382="", AND($N382="",OR($H382="",$H382=0))),"",IF(AND($N382="Quantity",$AJ382&lt;$H382),"0 - "&amp;TEXT($H382-$AJ382,"0")&amp;" buildings?    ",IF(AND($N382="%",$AJ382&lt;1),REPLACE(IF(AND($P382&gt;0,$V382&gt;0,$T382&gt;0,$X382&gt;0,$R382&gt;0,$Z382&gt;0,$AB382&gt;0,$AD382&gt;0,$AF382&gt;0,$AH382&gt;0),"","0-"),99,0,REPLACE(TEXT(100-$AJ382,0),99,0,"?    ")),"")))</f>
        <v/>
      </c>
      <c r="T382" s="1864"/>
      <c r="U382" s="1865" t="str">
        <f>IF(OR($N382="", AND($N382="",OR($H382="",$H382=0))),"",IF(AND($N382="Quantity",$AJ382&lt;$H382),"0 - "&amp;TEXT($H382-$AJ382,"0")&amp;" buildings?    ",IF(AND($N382="%",$AJ382&lt;1),REPLACE(IF(AND($P382&gt;0,$V382&gt;0,$T382&gt;0,$X382&gt;0,$R382&gt;0,$Z382&gt;0,$AB382&gt;0,$AD382&gt;0,$AF382&gt;0,$AH382&gt;0),"","0-"),99,0,REPLACE(TEXT(100-$AJ382,0),99,0,"?    ")),"")))</f>
        <v/>
      </c>
      <c r="V382" s="1864"/>
      <c r="W382" s="1865" t="str">
        <f>IF(OR($N382="", AND($N382="",OR($H382="",$H382=0))),"",IF(AND($N382="Quantity",$AJ382&lt;$H382),"0 - "&amp;TEXT($H382-$AJ382,"0")&amp;" buildings?    ",IF(AND($N382="%",$AJ382&lt;1),REPLACE(IF(AND($P382&gt;0,$V382&gt;0,$T382&gt;0,$X382&gt;0,$R382&gt;0,$Z382&gt;0,$AB382&gt;0,$AD382&gt;0,$AF382&gt;0,$AH382&gt;0),"","0-"),99,0,REPLACE(TEXT(100-$AJ382,0),99,0,"?    ")),"")))</f>
        <v/>
      </c>
      <c r="X382" s="1864"/>
      <c r="Y382" s="1865" t="str">
        <f>IF(OR($N382="", AND($N382="",OR($H382="",$H382=0))),"",IF(AND($N382="Quantity",$AJ382&lt;$H382),"0 - "&amp;TEXT($H382-$AJ382,"0")&amp;" buildings?    ",IF(AND($N382="%",$AJ382&lt;1),REPLACE(IF(AND($P382&gt;0,$V382&gt;0,$T382&gt;0,$X382&gt;0,$R382&gt;0,$Z382&gt;0,$AB382&gt;0,$AD382&gt;0,$AF382&gt;0,$AH382&gt;0),"","0-"),99,0,REPLACE(TEXT(100-$AJ382,0),99,0,"?    ")),"")))</f>
        <v/>
      </c>
      <c r="Z382" s="1864"/>
      <c r="AA382" s="1865" t="str">
        <f>IF(OR($N382="", AND($N382="",OR($H382="",$H382=0))),"",IF(AND($N382="Quantity",$AJ382&lt;$H382),"0 - "&amp;TEXT($H382-$AJ382,"0")&amp;" buildings?    ",IF(AND($N382="%",$AJ382&lt;1),REPLACE(IF(AND($P382&gt;0,$V382&gt;0,$T382&gt;0,$X382&gt;0,$R382&gt;0,$Z382&gt;0,$AB382&gt;0,$AD382&gt;0,$AF382&gt;0,$AH382&gt;0),"","0-"),99,0,REPLACE(TEXT(100-$AJ382,0),99,0,"?    ")),"")))</f>
        <v/>
      </c>
      <c r="AB382" s="1864"/>
      <c r="AC382" s="1865" t="str">
        <f>IF(OR($N382="", AND($N382="",OR($H382="",$H382=0))),"",IF(AND($N382="Quantity",$AJ382&lt;$H382),"0 - "&amp;TEXT($H382-$AJ382,"0")&amp;" buildings?    ",IF(AND($N382="%",$AJ382&lt;1),REPLACE(IF(AND($P382&gt;0,$V382&gt;0,$T382&gt;0,$X382&gt;0,$R382&gt;0,$Z382&gt;0,$AB382&gt;0,$AD382&gt;0,$AF382&gt;0,$AH382&gt;0),"","0-"),99,0,REPLACE(TEXT(100-$AJ382,0),99,0,"?    ")),"")))</f>
        <v/>
      </c>
      <c r="AD382" s="1864"/>
      <c r="AE382" s="1865" t="str">
        <f>IF(OR($N382="", AND($N382="",OR($H382="",$H382=0))),"",IF(AND($N382="Quantity",$AJ382&lt;$H382),"0 - "&amp;TEXT($H382-$AJ382,"0")&amp;" buildings?    ",IF(AND($N382="%",$AJ382&lt;1),REPLACE(IF(AND($P382&gt;0,$V382&gt;0,$T382&gt;0,$X382&gt;0,$R382&gt;0,$Z382&gt;0,$AB382&gt;0,$AD382&gt;0,$AF382&gt;0,$AH382&gt;0),"","0-"),99,0,REPLACE(TEXT(100-$AJ382,0),99,0,"?    ")),"")))</f>
        <v/>
      </c>
      <c r="AF382" s="1864"/>
      <c r="AG382" s="1865" t="str">
        <f>IF(OR($N382="", AND($N382="",OR($H382="",$H382=0))),"",IF(AND($N382="Quantity",$AJ382&lt;$H382),"0 - "&amp;TEXT($H382-$AJ382,"0")&amp;" buildings?    ",IF(AND($N382="%",$AJ382&lt;1),REPLACE(IF(AND($P382&gt;0,$V382&gt;0,$T382&gt;0,$X382&gt;0,$R382&gt;0,$Z382&gt;0,$AB382&gt;0,$AD382&gt;0,$AF382&gt;0,$AH382&gt;0),"","0-"),99,0,REPLACE(TEXT(100-$AJ382,0),99,0,"?    ")),"")))</f>
        <v/>
      </c>
      <c r="AH382" s="1864"/>
      <c r="AI382" s="1865" t="str">
        <f>IF(OR($N382="", AND($N382="",OR($H382="",$H382=0))),"",IF(AND($N382="Quantity",$AJ382&lt;$H382),"0 - "&amp;TEXT($H382-$AJ382,"0")&amp;" buildings?    ",IF(AND($N382="%",$AJ382&lt;1),REPLACE(IF(AND($P382&gt;0,$V382&gt;0,$T382&gt;0,$X382&gt;0,$R382&gt;0,$Z382&gt;0,$AB382&gt;0,$AD382&gt;0,$AF382&gt;0,$AH382&gt;0),"","0-"),99,0,REPLACE(TEXT(100-$AJ382,0),99,0,"?    ")),"")))</f>
        <v/>
      </c>
      <c r="AJ382" s="1833">
        <f>IFERROR(IF(N382="%", SUM(P382,R382,T382,V382,X382,Z382,AB382,AD382,AF382,AH382)/100, SUM(P382,R382,T382,V382,X382,Z382,AB382,AD382,AF382,AH382)/H382), 0)</f>
        <v>0</v>
      </c>
      <c r="AL382" s="1832"/>
      <c r="AN382" s="1276"/>
      <c r="AP382" s="1653"/>
      <c r="AT382" s="1624" t="str">
        <f>IF(AND($C$346="", L382=""), "N/A", IF(AND(AJ382=1, L382&lt;&gt;"", N382&lt;&gt;"", P382&lt;&gt;"", R382&lt;&gt;"", T382&lt;&gt;"", V382&lt;&gt;"", X382&lt;&gt;"", Z382&lt;&gt;"", AB382&lt;&gt;"", AD382&lt;&gt;"", AF382&lt;&gt;"", AH382&lt;&gt;"",AL382&lt;&gt;"", IF(AND(AL382&lt;1, AN382=""), FALSE, TRUE)), "Yes", "No"))</f>
        <v>N/A</v>
      </c>
      <c r="AU382" s="759"/>
      <c r="AV382" s="759"/>
      <c r="AW382" s="759"/>
      <c r="AX382" s="759"/>
      <c r="AY382" s="759" t="b">
        <f>IF($L382="",FALSE,IF($L382&lt;$BO382,TRUE,FALSE))</f>
        <v>0</v>
      </c>
      <c r="AZ382" s="759" t="b">
        <f>IF($L382="",FALSE,IF($L382&gt;$BP382,TRUE,FALSE))</f>
        <v>0</v>
      </c>
      <c r="BA382" s="759" t="b">
        <f>IF(AND(E382&lt;&gt;"",$L382=""),TRUE,FALSE)</f>
        <v>0</v>
      </c>
      <c r="BB382" s="759" t="b">
        <f>IF(AND($AJ382&lt;&gt;0,$H382&lt;$AJ382,$N382="LF"),TRUE,IF(AND($N382="LF",H382&lt;&gt;"",H382=AJ382),FALSE,IF(AND($AJ382&lt;&gt;0,$AJ382&gt;"100%",$N382="%"),TRUE,FALSE)))</f>
        <v>0</v>
      </c>
      <c r="BC382" s="759" t="b">
        <f>IF(AT382="No", IF(OR(P382="", R382="", T382="", V382="", X382="", Z382="", AB382="", AD382="", AF382="", AH382=""), TRUE, FALSE), FALSE)</f>
        <v>0</v>
      </c>
      <c r="BD382" s="759" t="b">
        <f>IF($BE382=TRUE,FALSE,IF(OR($AL382&lt;0,$AL382&gt;1),TRUE,FALSE))</f>
        <v>0</v>
      </c>
      <c r="BE382" s="759" t="b">
        <f>IF(AND($E382&lt;&gt;"",$AL382=""),TRUE,FALSE)</f>
        <v>0</v>
      </c>
      <c r="BF382" s="759"/>
      <c r="BH382" s="1680"/>
      <c r="BI382" s="1678" t="str">
        <f>IF(N382="", "", IF(N382="Quantity", H382, IF(N382="%", 1, "")))</f>
        <v/>
      </c>
      <c r="BJ382" s="1679">
        <f>P382+R382+T382+V382+X382+Z382+AB382+AD382+AF382+AH382</f>
        <v>0</v>
      </c>
      <c r="BK382" s="1679" t="str">
        <f>IF(BI382="", "", BI382-BJ382)</f>
        <v/>
      </c>
      <c r="BL382" s="1680"/>
      <c r="BM382" s="1680"/>
      <c r="BN382" s="1678">
        <f>IF($C382="","",VLOOKUP($C382,Valid!$B$87:$F$96,5,FALSE))</f>
        <v>25</v>
      </c>
      <c r="BO382" s="1678">
        <f>IF($C382="","",VLOOKUP($C382,Valid!$B$87:$G$96,6,FALSE))</f>
        <v>19</v>
      </c>
      <c r="BP382" s="1678">
        <f>IF($C382="","",VLOOKUP($C382,Valid!$B$87:$Z$96,7,FALSE))</f>
        <v>31</v>
      </c>
    </row>
    <row r="383" spans="1:69" s="686" customFormat="1" ht="3.95" customHeight="1" x14ac:dyDescent="0.2">
      <c r="B383" s="1790">
        <v>371</v>
      </c>
      <c r="C383" s="1674"/>
      <c r="D383" s="1709"/>
      <c r="E383" s="1057"/>
      <c r="H383" s="1917"/>
      <c r="I383" s="1651"/>
      <c r="J383" s="1651"/>
      <c r="K383" s="1651"/>
      <c r="L383" s="1917"/>
      <c r="M383" s="1651"/>
      <c r="N383" s="1651"/>
      <c r="O383" s="1651"/>
      <c r="P383" s="1866"/>
      <c r="Q383" s="1867"/>
      <c r="R383" s="1866"/>
      <c r="S383" s="1867"/>
      <c r="T383" s="1866"/>
      <c r="U383" s="1867"/>
      <c r="V383" s="1866"/>
      <c r="W383" s="1867"/>
      <c r="X383" s="1866"/>
      <c r="Y383" s="1867"/>
      <c r="Z383" s="1867"/>
      <c r="AA383" s="1867"/>
      <c r="AB383" s="1867"/>
      <c r="AC383" s="1867"/>
      <c r="AD383" s="1867"/>
      <c r="AE383" s="1867"/>
      <c r="AF383" s="1867"/>
      <c r="AG383" s="1867"/>
      <c r="AH383" s="1867"/>
      <c r="AJ383" s="1676"/>
      <c r="AL383" s="1676"/>
      <c r="AP383" s="1394"/>
      <c r="AU383" s="848"/>
      <c r="AV383" s="848"/>
      <c r="AW383" s="848"/>
      <c r="AX383" s="848"/>
      <c r="AY383" s="759"/>
      <c r="AZ383" s="759"/>
      <c r="BA383" s="848"/>
      <c r="BB383" s="759"/>
      <c r="BC383" s="848"/>
      <c r="BD383" s="848"/>
      <c r="BE383" s="848"/>
      <c r="BF383" s="848"/>
      <c r="BH383" s="1680"/>
      <c r="BI383" s="1680"/>
      <c r="BJ383" s="1680"/>
      <c r="BK383" s="1680"/>
      <c r="BL383" s="1680"/>
      <c r="BM383" s="1680"/>
      <c r="BN383" s="1680"/>
      <c r="BO383" s="1680"/>
      <c r="BP383" s="1680"/>
    </row>
    <row r="384" spans="1:69" s="686" customFormat="1" ht="3.95" customHeight="1" thickBot="1" x14ac:dyDescent="0.25">
      <c r="B384" s="1791">
        <v>372</v>
      </c>
      <c r="C384" s="1674"/>
      <c r="D384" s="1709"/>
      <c r="E384" s="1057"/>
      <c r="H384" s="1917"/>
      <c r="I384" s="1651"/>
      <c r="J384" s="1651"/>
      <c r="K384" s="1651"/>
      <c r="L384" s="1917"/>
      <c r="M384" s="1651"/>
      <c r="N384" s="1651"/>
      <c r="O384" s="1651"/>
      <c r="P384" s="1868"/>
      <c r="Q384" s="1869"/>
      <c r="R384" s="1868"/>
      <c r="S384" s="1869"/>
      <c r="T384" s="1868"/>
      <c r="U384" s="1869"/>
      <c r="V384" s="1868"/>
      <c r="W384" s="1869"/>
      <c r="X384" s="1868"/>
      <c r="Y384" s="1869"/>
      <c r="Z384" s="1869"/>
      <c r="AA384" s="1869"/>
      <c r="AB384" s="1869"/>
      <c r="AC384" s="1869"/>
      <c r="AD384" s="1869"/>
      <c r="AE384" s="1869"/>
      <c r="AF384" s="1869"/>
      <c r="AG384" s="1869"/>
      <c r="AH384" s="1869"/>
      <c r="AI384" s="1670"/>
      <c r="AJ384" s="1676"/>
      <c r="AL384" s="1676"/>
      <c r="AP384" s="1394"/>
      <c r="AU384" s="848"/>
      <c r="AV384" s="848"/>
      <c r="AW384" s="848"/>
      <c r="AX384" s="848"/>
      <c r="AY384" s="759"/>
      <c r="AZ384" s="759"/>
      <c r="BA384" s="848"/>
      <c r="BB384" s="759"/>
      <c r="BC384" s="848"/>
      <c r="BD384" s="848"/>
      <c r="BE384" s="848"/>
      <c r="BF384" s="848"/>
      <c r="BH384" s="1680"/>
      <c r="BI384" s="1680"/>
      <c r="BJ384" s="1680"/>
      <c r="BK384" s="1680"/>
      <c r="BL384" s="1680"/>
      <c r="BM384" s="1680"/>
      <c r="BN384" s="1680"/>
      <c r="BO384" s="1680"/>
      <c r="BP384" s="1680"/>
    </row>
    <row r="385" spans="1:68" s="686" customFormat="1" x14ac:dyDescent="0.2">
      <c r="A385" s="852">
        <f>A382+1</f>
        <v>96</v>
      </c>
      <c r="B385" s="1791">
        <v>373</v>
      </c>
      <c r="C385" s="851" t="str">
        <f>Valid!$B$89</f>
        <v>Third Rail/Power Distribution</v>
      </c>
      <c r="D385" s="1709"/>
      <c r="E385" s="1245" t="str">
        <f>IF(AT385="N/A","",IF(AT385="N","No","Yes"))</f>
        <v/>
      </c>
      <c r="H385" s="1917"/>
      <c r="I385" s="1904"/>
      <c r="J385" s="1651"/>
      <c r="K385" s="1651"/>
      <c r="L385" s="1864"/>
      <c r="M385" s="1920" t="str">
        <f>IF(AND(H379&lt;&gt;"", L385=""),REPLACE(TEXT(BN385,0),99,0," Yrs.?    "),"")</f>
        <v/>
      </c>
      <c r="N385" s="1921"/>
      <c r="O385" s="1870"/>
      <c r="P385" s="1864"/>
      <c r="Q385" s="1865" t="str">
        <f>IF(OR($N385="", AND($N385="",OR($H385="",$H385=0))),"",IF(AND($N385="Quantity",$AJ385&lt;$H385),"0 - "&amp;TEXT($H385-$AJ385,"0")&amp;" buildings?    ",IF(AND($N385="%",$AJ385&lt;1),REPLACE(IF(AND($P385&gt;0,$V385&gt;0,$T385&gt;0,$X385&gt;0,$R385&gt;0,$Z385&gt;0,$AB385&gt;0,$AD385&gt;0,$AF385&gt;0,$AH385&gt;0),"","0-"),99,0,REPLACE(TEXT(100-$AJ385,0),99,0,"?    ")),"")))</f>
        <v/>
      </c>
      <c r="R385" s="1864"/>
      <c r="S385" s="1865" t="str">
        <f>IF(OR($N385="", AND($N385="",OR($H385="",$H385=0))),"",IF(AND($N385="Quantity",$AJ385&lt;$H385),"0 - "&amp;TEXT($H385-$AJ385,"0")&amp;" buildings?    ",IF(AND($N385="%",$AJ385&lt;1),REPLACE(IF(AND($P385&gt;0,$V385&gt;0,$T385&gt;0,$X385&gt;0,$R385&gt;0,$Z385&gt;0,$AB385&gt;0,$AD385&gt;0,$AF385&gt;0,$AH385&gt;0),"","0-"),99,0,REPLACE(TEXT(100-$AJ385,0),99,0,"?    ")),"")))</f>
        <v/>
      </c>
      <c r="T385" s="1864"/>
      <c r="U385" s="1865" t="str">
        <f>IF(OR($N385="", AND($N385="",OR($H385="",$H385=0))),"",IF(AND($N385="Quantity",$AJ385&lt;$H385),"0 - "&amp;TEXT($H385-$AJ385,"0")&amp;" buildings?    ",IF(AND($N385="%",$AJ385&lt;1),REPLACE(IF(AND($P385&gt;0,$V385&gt;0,$T385&gt;0,$X385&gt;0,$R385&gt;0,$Z385&gt;0,$AB385&gt;0,$AD385&gt;0,$AF385&gt;0,$AH385&gt;0),"","0-"),99,0,REPLACE(TEXT(100-$AJ385,0),99,0,"?    ")),"")))</f>
        <v/>
      </c>
      <c r="V385" s="1864"/>
      <c r="W385" s="1865" t="str">
        <f>IF(OR($N385="", AND($N385="",OR($H385="",$H385=0))),"",IF(AND($N385="Quantity",$AJ385&lt;$H385),"0 - "&amp;TEXT($H385-$AJ385,"0")&amp;" buildings?    ",IF(AND($N385="%",$AJ385&lt;1),REPLACE(IF(AND($P385&gt;0,$V385&gt;0,$T385&gt;0,$X385&gt;0,$R385&gt;0,$Z385&gt;0,$AB385&gt;0,$AD385&gt;0,$AF385&gt;0,$AH385&gt;0),"","0-"),99,0,REPLACE(TEXT(100-$AJ385,0),99,0,"?    ")),"")))</f>
        <v/>
      </c>
      <c r="X385" s="1864"/>
      <c r="Y385" s="1865" t="str">
        <f>IF(OR($N385="", AND($N385="",OR($H385="",$H385=0))),"",IF(AND($N385="Quantity",$AJ385&lt;$H385),"0 - "&amp;TEXT($H385-$AJ385,"0")&amp;" buildings?    ",IF(AND($N385="%",$AJ385&lt;1),REPLACE(IF(AND($P385&gt;0,$V385&gt;0,$T385&gt;0,$X385&gt;0,$R385&gt;0,$Z385&gt;0,$AB385&gt;0,$AD385&gt;0,$AF385&gt;0,$AH385&gt;0),"","0-"),99,0,REPLACE(TEXT(100-$AJ385,0),99,0,"?    ")),"")))</f>
        <v/>
      </c>
      <c r="Z385" s="1864"/>
      <c r="AA385" s="1865" t="str">
        <f>IF(OR($N385="", AND($N385="",OR($H385="",$H385=0))),"",IF(AND($N385="Quantity",$AJ385&lt;$H385),"0 - "&amp;TEXT($H385-$AJ385,"0")&amp;" buildings?    ",IF(AND($N385="%",$AJ385&lt;1),REPLACE(IF(AND($P385&gt;0,$V385&gt;0,$T385&gt;0,$X385&gt;0,$R385&gt;0,$Z385&gt;0,$AB385&gt;0,$AD385&gt;0,$AF385&gt;0,$AH385&gt;0),"","0-"),99,0,REPLACE(TEXT(100-$AJ385,0),99,0,"?    ")),"")))</f>
        <v/>
      </c>
      <c r="AB385" s="1864"/>
      <c r="AC385" s="1865" t="str">
        <f>IF(OR($N385="", AND($N385="",OR($H385="",$H385=0))),"",IF(AND($N385="Quantity",$AJ385&lt;$H385),"0 - "&amp;TEXT($H385-$AJ385,"0")&amp;" buildings?    ",IF(AND($N385="%",$AJ385&lt;1),REPLACE(IF(AND($P385&gt;0,$V385&gt;0,$T385&gt;0,$X385&gt;0,$R385&gt;0,$Z385&gt;0,$AB385&gt;0,$AD385&gt;0,$AF385&gt;0,$AH385&gt;0),"","0-"),99,0,REPLACE(TEXT(100-$AJ385,0),99,0,"?    ")),"")))</f>
        <v/>
      </c>
      <c r="AD385" s="1864"/>
      <c r="AE385" s="1865" t="str">
        <f>IF(OR($N385="", AND($N385="",OR($H385="",$H385=0))),"",IF(AND($N385="Quantity",$AJ385&lt;$H385),"0 - "&amp;TEXT($H385-$AJ385,"0")&amp;" buildings?    ",IF(AND($N385="%",$AJ385&lt;1),REPLACE(IF(AND($P385&gt;0,$V385&gt;0,$T385&gt;0,$X385&gt;0,$R385&gt;0,$Z385&gt;0,$AB385&gt;0,$AD385&gt;0,$AF385&gt;0,$AH385&gt;0),"","0-"),99,0,REPLACE(TEXT(100-$AJ385,0),99,0,"?    ")),"")))</f>
        <v/>
      </c>
      <c r="AF385" s="1864"/>
      <c r="AG385" s="1865" t="str">
        <f>IF(OR($N385="", AND($N385="",OR($H385="",$H385=0))),"",IF(AND($N385="Quantity",$AJ385&lt;$H385),"0 - "&amp;TEXT($H385-$AJ385,"0")&amp;" buildings?    ",IF(AND($N385="%",$AJ385&lt;1),REPLACE(IF(AND($P385&gt;0,$V385&gt;0,$T385&gt;0,$X385&gt;0,$R385&gt;0,$Z385&gt;0,$AB385&gt;0,$AD385&gt;0,$AF385&gt;0,$AH385&gt;0),"","0-"),99,0,REPLACE(TEXT(100-$AJ385,0),99,0,"?    ")),"")))</f>
        <v/>
      </c>
      <c r="AH385" s="1864"/>
      <c r="AI385" s="1865" t="str">
        <f>IF(OR($N385="", AND($N385="",OR($H385="",$H385=0))),"",IF(AND($N385="Quantity",$AJ385&lt;$H385),"0 - "&amp;TEXT($H385-$AJ385,"0")&amp;" buildings?    ",IF(AND($N385="%",$AJ385&lt;1),REPLACE(IF(AND($P385&gt;0,$V385&gt;0,$T385&gt;0,$X385&gt;0,$R385&gt;0,$Z385&gt;0,$AB385&gt;0,$AD385&gt;0,$AF385&gt;0,$AH385&gt;0),"","0-"),99,0,REPLACE(TEXT(100-$AJ385,0),99,0,"?    ")),"")))</f>
        <v/>
      </c>
      <c r="AJ385" s="1833">
        <f>IFERROR(IF(N385="%", SUM(P385,R385,T385,V385,X385,Z385,AB385,AD385,AF385,AH385)/100, SUM(P385,R385,T385,V385,X385,Z385,AB385,AD385,AF385,AH385)/H385), 0)</f>
        <v>0</v>
      </c>
      <c r="AL385" s="1832"/>
      <c r="AN385" s="1276"/>
      <c r="AP385" s="1653"/>
      <c r="AT385" s="1624" t="str">
        <f>IF(AND($C$346="", L385=""), "N/A", IF(AND(AJ385=1, L385&lt;&gt;"", N385&lt;&gt;"", P385&lt;&gt;"", R385&lt;&gt;"", T385&lt;&gt;"", V385&lt;&gt;"", X385&lt;&gt;"", Z385&lt;&gt;"", AB385&lt;&gt;"", AD385&lt;&gt;"", AF385&lt;&gt;"", AH385&lt;&gt;"",AL385&lt;&gt;"", IF(AND(AL385&lt;1, AN385=""), FALSE, TRUE)), "Yes", "No"))</f>
        <v>N/A</v>
      </c>
      <c r="AU385" s="759"/>
      <c r="AV385" s="759"/>
      <c r="AW385" s="759"/>
      <c r="AX385" s="759"/>
      <c r="AY385" s="759" t="b">
        <f>IF($L385="",FALSE,IF($L385&lt;$BO385,TRUE,FALSE))</f>
        <v>0</v>
      </c>
      <c r="AZ385" s="759" t="b">
        <f>IF($L385="",FALSE,IF($L385&gt;$BP385,TRUE,FALSE))</f>
        <v>0</v>
      </c>
      <c r="BA385" s="759" t="b">
        <f>IF(AND(E385&lt;&gt;"",$L385=""),TRUE,FALSE)</f>
        <v>0</v>
      </c>
      <c r="BB385" s="759" t="b">
        <f>IF(AND($AJ385&lt;&gt;0,$H385&lt;$AJ385,$N385="LF"),TRUE,IF(AND($N385="LF",H385&lt;&gt;"",H385=AJ385),FALSE,IF(AND($AJ385&lt;&gt;0,$AJ385&gt;"100%",$N385="%"),TRUE,FALSE)))</f>
        <v>0</v>
      </c>
      <c r="BC385" s="759" t="b">
        <f>IF(AT385="No", IF(OR(P385="", R385="", T385="", V385="", X385="", Z385="", AB385="", AD385="", AF385="", AH385=""), TRUE, FALSE), FALSE)</f>
        <v>0</v>
      </c>
      <c r="BD385" s="759" t="b">
        <f>IF($BE385=TRUE,FALSE,IF(OR($AL385&lt;0,$AL385&gt;1),TRUE,FALSE))</f>
        <v>0</v>
      </c>
      <c r="BE385" s="759" t="b">
        <f>IF(AND($E385&lt;&gt;"",$AL385=""),TRUE,FALSE)</f>
        <v>0</v>
      </c>
      <c r="BF385" s="759"/>
      <c r="BH385" s="1680"/>
      <c r="BI385" s="1678" t="str">
        <f>IF(N385="", "", IF(N385="Quantity", H385, IF(N385="%", 1, "")))</f>
        <v/>
      </c>
      <c r="BJ385" s="1679">
        <f>P385+R385+T385+V385+X385+Z385+AB385+AD385+AF385+AH385</f>
        <v>0</v>
      </c>
      <c r="BK385" s="1679" t="str">
        <f>IF(BI385="", "", BI385-BJ385)</f>
        <v/>
      </c>
      <c r="BL385" s="1680"/>
      <c r="BM385" s="1680"/>
      <c r="BN385" s="1678">
        <f>IF($C385="","",VLOOKUP($C385,Valid!$B$87:$F$96,5,FALSE))</f>
        <v>25</v>
      </c>
      <c r="BO385" s="1678">
        <f>IF($C385="","",VLOOKUP($C385,Valid!$B$87:$G$96,6,FALSE))</f>
        <v>19</v>
      </c>
      <c r="BP385" s="1678">
        <f>IF($C385="","",VLOOKUP($C385,Valid!$B$87:$Z$96,7,FALSE))</f>
        <v>31</v>
      </c>
    </row>
    <row r="386" spans="1:68" s="686" customFormat="1" ht="3.95" customHeight="1" x14ac:dyDescent="0.2">
      <c r="B386" s="1791">
        <v>374</v>
      </c>
      <c r="C386" s="1674"/>
      <c r="D386" s="1709"/>
      <c r="E386" s="1057"/>
      <c r="H386" s="1917"/>
      <c r="I386" s="1651"/>
      <c r="J386" s="1651"/>
      <c r="K386" s="1651"/>
      <c r="L386" s="1917"/>
      <c r="M386" s="1651"/>
      <c r="N386" s="1651"/>
      <c r="O386" s="1651"/>
      <c r="P386" s="1866"/>
      <c r="Q386" s="1867"/>
      <c r="R386" s="1866"/>
      <c r="S386" s="1867"/>
      <c r="T386" s="1866"/>
      <c r="U386" s="1867"/>
      <c r="V386" s="1866"/>
      <c r="W386" s="1867"/>
      <c r="X386" s="1866"/>
      <c r="Y386" s="1867"/>
      <c r="Z386" s="1867"/>
      <c r="AA386" s="1867"/>
      <c r="AB386" s="1867"/>
      <c r="AC386" s="1867"/>
      <c r="AD386" s="1867"/>
      <c r="AE386" s="1867"/>
      <c r="AF386" s="1867"/>
      <c r="AG386" s="1867"/>
      <c r="AH386" s="1867"/>
      <c r="AJ386" s="1676"/>
      <c r="AL386" s="1676"/>
      <c r="AP386" s="1394"/>
      <c r="AU386" s="848"/>
      <c r="AV386" s="848"/>
      <c r="AW386" s="848"/>
      <c r="AX386" s="848"/>
      <c r="AY386" s="759"/>
      <c r="AZ386" s="759"/>
      <c r="BA386" s="848"/>
      <c r="BB386" s="759"/>
      <c r="BC386" s="848"/>
      <c r="BD386" s="848"/>
      <c r="BE386" s="848"/>
      <c r="BF386" s="848"/>
      <c r="BH386" s="1680"/>
      <c r="BI386" s="1680"/>
      <c r="BJ386" s="1680"/>
      <c r="BK386" s="1680"/>
      <c r="BL386" s="1680"/>
      <c r="BM386" s="1680"/>
      <c r="BN386" s="1680"/>
      <c r="BO386" s="1680"/>
      <c r="BP386" s="1680"/>
    </row>
    <row r="387" spans="1:68" s="686" customFormat="1" ht="3.95" customHeight="1" thickBot="1" x14ac:dyDescent="0.25">
      <c r="B387" s="1790">
        <v>375</v>
      </c>
      <c r="C387" s="1674"/>
      <c r="D387" s="1709"/>
      <c r="E387" s="1057"/>
      <c r="H387" s="1917"/>
      <c r="I387" s="1651"/>
      <c r="J387" s="1651"/>
      <c r="K387" s="1651"/>
      <c r="L387" s="1917"/>
      <c r="M387" s="1651"/>
      <c r="N387" s="1651"/>
      <c r="O387" s="1651"/>
      <c r="P387" s="1868"/>
      <c r="Q387" s="1869"/>
      <c r="R387" s="1868"/>
      <c r="S387" s="1869"/>
      <c r="T387" s="1868"/>
      <c r="U387" s="1869"/>
      <c r="V387" s="1868"/>
      <c r="W387" s="1869"/>
      <c r="X387" s="1868"/>
      <c r="Y387" s="1869"/>
      <c r="Z387" s="1869"/>
      <c r="AA387" s="1869"/>
      <c r="AB387" s="1869"/>
      <c r="AC387" s="1869"/>
      <c r="AD387" s="1869"/>
      <c r="AE387" s="1869"/>
      <c r="AF387" s="1869"/>
      <c r="AG387" s="1869"/>
      <c r="AH387" s="1869"/>
      <c r="AI387" s="1670"/>
      <c r="AJ387" s="1676"/>
      <c r="AL387" s="1676"/>
      <c r="AP387" s="1394"/>
      <c r="AU387" s="848"/>
      <c r="AV387" s="848"/>
      <c r="AW387" s="848"/>
      <c r="AX387" s="848"/>
      <c r="AY387" s="759"/>
      <c r="AZ387" s="759"/>
      <c r="BA387" s="848"/>
      <c r="BB387" s="759"/>
      <c r="BC387" s="848"/>
      <c r="BD387" s="848"/>
      <c r="BE387" s="848"/>
      <c r="BF387" s="848"/>
      <c r="BH387" s="1680"/>
      <c r="BI387" s="1680"/>
      <c r="BJ387" s="1680"/>
      <c r="BK387" s="1680"/>
      <c r="BL387" s="1680"/>
      <c r="BM387" s="1680"/>
      <c r="BN387" s="1680"/>
      <c r="BO387" s="1680"/>
      <c r="BP387" s="1680"/>
    </row>
    <row r="388" spans="1:68" s="686" customFormat="1" x14ac:dyDescent="0.2">
      <c r="A388" s="852">
        <f>A385+1</f>
        <v>97</v>
      </c>
      <c r="B388" s="1790">
        <v>376</v>
      </c>
      <c r="C388" s="851" t="str">
        <f>Valid!$B$90</f>
        <v>Overhead Contact System/Power Distribution</v>
      </c>
      <c r="D388" s="1709"/>
      <c r="E388" s="1245" t="str">
        <f>IF(AT388="N/A","",IF(AT388="N","No","Yes"))</f>
        <v/>
      </c>
      <c r="H388" s="1917"/>
      <c r="I388" s="1904"/>
      <c r="J388" s="1651"/>
      <c r="K388" s="1651"/>
      <c r="L388" s="1864"/>
      <c r="M388" s="1920" t="str">
        <f>IF(AND(H379&lt;&gt;"", L388=""),REPLACE(TEXT(BN388,0),99,0," Yrs.?    "),"")</f>
        <v/>
      </c>
      <c r="N388" s="1921"/>
      <c r="O388" s="1870"/>
      <c r="P388" s="1864"/>
      <c r="Q388" s="1865" t="str">
        <f>IF(OR($N388="", AND($N388="",OR($H388="",$H388=0))),"",IF(AND($N388="Quantity",$AJ388&lt;$H388),"0 - "&amp;TEXT($H388-$AJ388,"0")&amp;" buildings?    ",IF(AND($N388="%",$AJ388&lt;1),REPLACE(IF(AND($P388&gt;0,$V388&gt;0,$T388&gt;0,$X388&gt;0,$R388&gt;0,$Z388&gt;0,$AB388&gt;0,$AD388&gt;0,$AF388&gt;0,$AH388&gt;0),"","0-"),99,0,REPLACE(TEXT(100-$AJ388,0),99,0,"?    ")),"")))</f>
        <v/>
      </c>
      <c r="R388" s="1864"/>
      <c r="S388" s="1865" t="str">
        <f>IF(OR($N388="", AND($N388="",OR($H388="",$H388=0))),"",IF(AND($N388="Quantity",$AJ388&lt;$H388),"0 - "&amp;TEXT($H388-$AJ388,"0")&amp;" buildings?    ",IF(AND($N388="%",$AJ388&lt;1),REPLACE(IF(AND($P388&gt;0,$V388&gt;0,$T388&gt;0,$X388&gt;0,$R388&gt;0,$Z388&gt;0,$AB388&gt;0,$AD388&gt;0,$AF388&gt;0,$AH388&gt;0),"","0-"),99,0,REPLACE(TEXT(100-$AJ388,0),99,0,"?    ")),"")))</f>
        <v/>
      </c>
      <c r="T388" s="1864"/>
      <c r="U388" s="1865" t="str">
        <f>IF(OR($N388="", AND($N388="",OR($H388="",$H388=0))),"",IF(AND($N388="Quantity",$AJ388&lt;$H388),"0 - "&amp;TEXT($H388-$AJ388,"0")&amp;" buildings?    ",IF(AND($N388="%",$AJ388&lt;1),REPLACE(IF(AND($P388&gt;0,$V388&gt;0,$T388&gt;0,$X388&gt;0,$R388&gt;0,$Z388&gt;0,$AB388&gt;0,$AD388&gt;0,$AF388&gt;0,$AH388&gt;0),"","0-"),99,0,REPLACE(TEXT(100-$AJ388,0),99,0,"?    ")),"")))</f>
        <v/>
      </c>
      <c r="V388" s="1864"/>
      <c r="W388" s="1865" t="str">
        <f>IF(OR($N388="", AND($N388="",OR($H388="",$H388=0))),"",IF(AND($N388="Quantity",$AJ388&lt;$H388),"0 - "&amp;TEXT($H388-$AJ388,"0")&amp;" buildings?    ",IF(AND($N388="%",$AJ388&lt;1),REPLACE(IF(AND($P388&gt;0,$V388&gt;0,$T388&gt;0,$X388&gt;0,$R388&gt;0,$Z388&gt;0,$AB388&gt;0,$AD388&gt;0,$AF388&gt;0,$AH388&gt;0),"","0-"),99,0,REPLACE(TEXT(100-$AJ388,0),99,0,"?    ")),"")))</f>
        <v/>
      </c>
      <c r="X388" s="1864"/>
      <c r="Y388" s="1865" t="str">
        <f>IF(OR($N388="", AND($N388="",OR($H388="",$H388=0))),"",IF(AND($N388="Quantity",$AJ388&lt;$H388),"0 - "&amp;TEXT($H388-$AJ388,"0")&amp;" buildings?    ",IF(AND($N388="%",$AJ388&lt;1),REPLACE(IF(AND($P388&gt;0,$V388&gt;0,$T388&gt;0,$X388&gt;0,$R388&gt;0,$Z388&gt;0,$AB388&gt;0,$AD388&gt;0,$AF388&gt;0,$AH388&gt;0),"","0-"),99,0,REPLACE(TEXT(100-$AJ388,0),99,0,"?    ")),"")))</f>
        <v/>
      </c>
      <c r="Z388" s="1864"/>
      <c r="AA388" s="1865" t="str">
        <f>IF(OR($N388="", AND($N388="",OR($H388="",$H388=0))),"",IF(AND($N388="Quantity",$AJ388&lt;$H388),"0 - "&amp;TEXT($H388-$AJ388,"0")&amp;" buildings?    ",IF(AND($N388="%",$AJ388&lt;1),REPLACE(IF(AND($P388&gt;0,$V388&gt;0,$T388&gt;0,$X388&gt;0,$R388&gt;0,$Z388&gt;0,$AB388&gt;0,$AD388&gt;0,$AF388&gt;0,$AH388&gt;0),"","0-"),99,0,REPLACE(TEXT(100-$AJ388,0),99,0,"?    ")),"")))</f>
        <v/>
      </c>
      <c r="AB388" s="1864"/>
      <c r="AC388" s="1865" t="str">
        <f>IF(OR($N388="", AND($N388="",OR($H388="",$H388=0))),"",IF(AND($N388="Quantity",$AJ388&lt;$H388),"0 - "&amp;TEXT($H388-$AJ388,"0")&amp;" buildings?    ",IF(AND($N388="%",$AJ388&lt;1),REPLACE(IF(AND($P388&gt;0,$V388&gt;0,$T388&gt;0,$X388&gt;0,$R388&gt;0,$Z388&gt;0,$AB388&gt;0,$AD388&gt;0,$AF388&gt;0,$AH388&gt;0),"","0-"),99,0,REPLACE(TEXT(100-$AJ388,0),99,0,"?    ")),"")))</f>
        <v/>
      </c>
      <c r="AD388" s="1864"/>
      <c r="AE388" s="1865" t="str">
        <f>IF(OR($N388="", AND($N388="",OR($H388="",$H388=0))),"",IF(AND($N388="Quantity",$AJ388&lt;$H388),"0 - "&amp;TEXT($H388-$AJ388,"0")&amp;" buildings?    ",IF(AND($N388="%",$AJ388&lt;1),REPLACE(IF(AND($P388&gt;0,$V388&gt;0,$T388&gt;0,$X388&gt;0,$R388&gt;0,$Z388&gt;0,$AB388&gt;0,$AD388&gt;0,$AF388&gt;0,$AH388&gt;0),"","0-"),99,0,REPLACE(TEXT(100-$AJ388,0),99,0,"?    ")),"")))</f>
        <v/>
      </c>
      <c r="AF388" s="1864"/>
      <c r="AG388" s="1865" t="str">
        <f>IF(OR($N388="", AND($N388="",OR($H388="",$H388=0))),"",IF(AND($N388="Quantity",$AJ388&lt;$H388),"0 - "&amp;TEXT($H388-$AJ388,"0")&amp;" buildings?    ",IF(AND($N388="%",$AJ388&lt;1),REPLACE(IF(AND($P388&gt;0,$V388&gt;0,$T388&gt;0,$X388&gt;0,$R388&gt;0,$Z388&gt;0,$AB388&gt;0,$AD388&gt;0,$AF388&gt;0,$AH388&gt;0),"","0-"),99,0,REPLACE(TEXT(100-$AJ388,0),99,0,"?    ")),"")))</f>
        <v/>
      </c>
      <c r="AH388" s="1864"/>
      <c r="AI388" s="1865" t="str">
        <f>IF(OR($N388="", AND($N388="",OR($H388="",$H388=0))),"",IF(AND($N388="Quantity",$AJ388&lt;$H388),"0 - "&amp;TEXT($H388-$AJ388,"0")&amp;" buildings?    ",IF(AND($N388="%",$AJ388&lt;1),REPLACE(IF(AND($P388&gt;0,$V388&gt;0,$T388&gt;0,$X388&gt;0,$R388&gt;0,$Z388&gt;0,$AB388&gt;0,$AD388&gt;0,$AF388&gt;0,$AH388&gt;0),"","0-"),99,0,REPLACE(TEXT(100-$AJ388,0),99,0,"?    ")),"")))</f>
        <v/>
      </c>
      <c r="AJ388" s="1833">
        <f>IFERROR(IF(N388="%", SUM(P388,R388,T388,V388,X388,Z388,AB388,AD388,AF388,AH388)/100, SUM(P388,R388,T388,V388,X388,Z388,AB388,AD388,AF388,AH388)/H388), 0)</f>
        <v>0</v>
      </c>
      <c r="AL388" s="1832"/>
      <c r="AN388" s="1276"/>
      <c r="AP388" s="1653"/>
      <c r="AT388" s="1624" t="str">
        <f>IF(AND($C$346="", L388=""), "N/A", IF(AND(AJ388=1, L388&lt;&gt;"", N388&lt;&gt;"", P388&lt;&gt;"", R388&lt;&gt;"", T388&lt;&gt;"", V388&lt;&gt;"", X388&lt;&gt;"", Z388&lt;&gt;"", AB388&lt;&gt;"", AD388&lt;&gt;"", AF388&lt;&gt;"", AH388&lt;&gt;"",AL388&lt;&gt;"", IF(AND(AL388&lt;1, AN388=""), FALSE, TRUE)), "Yes", "No"))</f>
        <v>N/A</v>
      </c>
      <c r="AU388" s="759"/>
      <c r="AV388" s="759"/>
      <c r="AW388" s="759"/>
      <c r="AX388" s="759"/>
      <c r="AY388" s="759" t="b">
        <f>IF($L388="",FALSE,IF($L388&lt;$BO388,TRUE,FALSE))</f>
        <v>0</v>
      </c>
      <c r="AZ388" s="759" t="b">
        <f>IF($L388="",FALSE,IF($L388&gt;$BP388,TRUE,FALSE))</f>
        <v>0</v>
      </c>
      <c r="BA388" s="759" t="b">
        <f>IF(AND(E388&lt;&gt;"",$L388=""),TRUE,FALSE)</f>
        <v>0</v>
      </c>
      <c r="BB388" s="759" t="b">
        <f>IF(AND($AJ388&lt;&gt;0,$H388&lt;$AJ388,$N388="LF"),TRUE,IF(AND($N388="LF",H388&lt;&gt;"",H388=AJ388),FALSE,IF(AND($AJ388&lt;&gt;0,$AJ388&gt;"100%",$N388="%"),TRUE,FALSE)))</f>
        <v>0</v>
      </c>
      <c r="BC388" s="759" t="b">
        <f>IF(AT388="No", IF(OR(P388="", R388="", T388="", V388="", X388="", Z388="", AB388="", AD388="", AF388="", AH388=""), TRUE, FALSE), FALSE)</f>
        <v>0</v>
      </c>
      <c r="BD388" s="759" t="b">
        <f>IF($BE388=TRUE,FALSE,IF(OR($AL388&lt;0,$AL388&gt;1),TRUE,FALSE))</f>
        <v>0</v>
      </c>
      <c r="BE388" s="759" t="b">
        <f>IF(AND($E388&lt;&gt;"",$AL388=""),TRUE,FALSE)</f>
        <v>0</v>
      </c>
      <c r="BF388" s="759"/>
      <c r="BH388" s="1680"/>
      <c r="BI388" s="1678" t="str">
        <f>IF(N388="", "", IF(N388="Quantity", H388, IF(N388="%", 1, "")))</f>
        <v/>
      </c>
      <c r="BJ388" s="1679">
        <f>P388+R388+T388+V388+X388+Z388+AB388+AD388+AF388+AH388</f>
        <v>0</v>
      </c>
      <c r="BK388" s="1679" t="str">
        <f>IF(BI388="", "", BI388-BJ388)</f>
        <v/>
      </c>
      <c r="BL388" s="1680"/>
      <c r="BM388" s="1680"/>
      <c r="BN388" s="1678">
        <f>IF($C388="","",VLOOKUP($C388,Valid!$B$87:$F$96,5,FALSE))</f>
        <v>25</v>
      </c>
      <c r="BO388" s="1678">
        <f>IF($C388="","",VLOOKUP($C388,Valid!$B$87:$G$96,6,FALSE))</f>
        <v>19</v>
      </c>
      <c r="BP388" s="1678">
        <f>IF($C388="","",VLOOKUP($C388,Valid!$B$87:$Z$96,7,FALSE))</f>
        <v>31</v>
      </c>
    </row>
    <row r="389" spans="1:68" s="686" customFormat="1" ht="3.95" customHeight="1" x14ac:dyDescent="0.2">
      <c r="B389" s="1791">
        <v>377</v>
      </c>
      <c r="C389" s="1674"/>
      <c r="D389" s="1709"/>
      <c r="E389" s="1057"/>
      <c r="H389" s="1917"/>
      <c r="I389" s="1651"/>
      <c r="J389" s="1919"/>
      <c r="K389" s="1651"/>
      <c r="L389" s="1922"/>
      <c r="M389" s="1651"/>
      <c r="N389" s="1919"/>
      <c r="O389" s="1651"/>
      <c r="P389" s="1866"/>
      <c r="Q389" s="1867"/>
      <c r="R389" s="1866"/>
      <c r="S389" s="1867"/>
      <c r="T389" s="1866"/>
      <c r="U389" s="1867"/>
      <c r="V389" s="1866"/>
      <c r="W389" s="1867"/>
      <c r="X389" s="1866"/>
      <c r="Y389" s="1867"/>
      <c r="Z389" s="1867"/>
      <c r="AA389" s="1867"/>
      <c r="AB389" s="1867"/>
      <c r="AC389" s="1867"/>
      <c r="AD389" s="1867"/>
      <c r="AE389" s="1867"/>
      <c r="AF389" s="1867"/>
      <c r="AG389" s="1867"/>
      <c r="AH389" s="1867"/>
      <c r="AJ389" s="1792"/>
      <c r="AL389" s="1792"/>
      <c r="AN389" s="685"/>
      <c r="AP389" s="1394"/>
      <c r="AU389" s="848"/>
      <c r="AV389" s="848"/>
      <c r="AW389" s="848"/>
      <c r="AX389" s="848"/>
      <c r="AY389" s="759"/>
      <c r="AZ389" s="759"/>
      <c r="BA389" s="848"/>
      <c r="BB389" s="759"/>
      <c r="BC389" s="848"/>
      <c r="BD389" s="848"/>
      <c r="BE389" s="848"/>
      <c r="BF389" s="848"/>
      <c r="BH389" s="1680"/>
      <c r="BI389" s="1680"/>
      <c r="BJ389" s="1680"/>
      <c r="BK389" s="1680"/>
      <c r="BL389" s="1680"/>
      <c r="BM389" s="1680"/>
      <c r="BN389" s="1680"/>
      <c r="BO389" s="1680"/>
      <c r="BP389" s="1680"/>
    </row>
    <row r="390" spans="1:68" s="686" customFormat="1" ht="3.95" customHeight="1" thickBot="1" x14ac:dyDescent="0.25">
      <c r="B390" s="1791">
        <v>378</v>
      </c>
      <c r="C390" s="1674"/>
      <c r="D390" s="1709"/>
      <c r="E390" s="1057"/>
      <c r="H390" s="1917"/>
      <c r="I390" s="1651"/>
      <c r="J390" s="1651"/>
      <c r="K390" s="1651"/>
      <c r="L390" s="1917"/>
      <c r="M390" s="1651"/>
      <c r="N390" s="1651"/>
      <c r="O390" s="1651"/>
      <c r="P390" s="1868"/>
      <c r="Q390" s="1869"/>
      <c r="R390" s="1868"/>
      <c r="S390" s="1869"/>
      <c r="T390" s="1868"/>
      <c r="U390" s="1869"/>
      <c r="V390" s="1868"/>
      <c r="W390" s="1869"/>
      <c r="X390" s="1868"/>
      <c r="Y390" s="1869"/>
      <c r="Z390" s="1869"/>
      <c r="AA390" s="1869"/>
      <c r="AB390" s="1869"/>
      <c r="AC390" s="1869"/>
      <c r="AD390" s="1869"/>
      <c r="AE390" s="1869"/>
      <c r="AF390" s="1869"/>
      <c r="AG390" s="1869"/>
      <c r="AH390" s="1869"/>
      <c r="AI390" s="1670"/>
      <c r="AJ390" s="1676"/>
      <c r="AL390" s="1676"/>
      <c r="AP390" s="1394"/>
      <c r="AT390" s="1624"/>
      <c r="AU390" s="848"/>
      <c r="AV390" s="848"/>
      <c r="AW390" s="848"/>
      <c r="AX390" s="848"/>
      <c r="AY390" s="759"/>
      <c r="AZ390" s="759"/>
      <c r="BA390" s="848"/>
      <c r="BB390" s="759"/>
      <c r="BC390" s="848"/>
      <c r="BD390" s="848"/>
      <c r="BE390" s="848"/>
      <c r="BF390" s="848"/>
      <c r="BH390" s="1680"/>
      <c r="BI390" s="1680"/>
      <c r="BJ390" s="1680"/>
      <c r="BK390" s="1680"/>
      <c r="BL390" s="1680"/>
      <c r="BM390" s="1680"/>
      <c r="BN390" s="1680"/>
      <c r="BO390" s="1680"/>
      <c r="BP390" s="1680"/>
    </row>
    <row r="391" spans="1:68" s="686" customFormat="1" x14ac:dyDescent="0.2">
      <c r="A391" s="852">
        <f>A388+1</f>
        <v>98</v>
      </c>
      <c r="B391" s="1791">
        <v>379</v>
      </c>
      <c r="C391" s="851" t="str">
        <f>Valid!$B$91</f>
        <v>Train Control &amp; Signaling</v>
      </c>
      <c r="D391" s="1709"/>
      <c r="E391" s="1245" t="str">
        <f>IF(AT391="N/A","",IF(AT391="N","No","Yes"))</f>
        <v/>
      </c>
      <c r="H391" s="1917"/>
      <c r="I391" s="1904"/>
      <c r="J391" s="1919"/>
      <c r="K391" s="1651"/>
      <c r="L391" s="1864"/>
      <c r="M391" s="1920" t="str">
        <f>IF(AND(H379&lt;&gt;"", L391=""),REPLACE(TEXT(BN391,0),99,0," Yrs.?    "),"")</f>
        <v/>
      </c>
      <c r="N391" s="1921"/>
      <c r="O391" s="1870"/>
      <c r="P391" s="1864"/>
      <c r="Q391" s="1865" t="str">
        <f>IF(OR($N391="", AND($N391="",OR($H391="",$H391=0))),"",IF(AND($N391="Quantity",$AJ391&lt;$H391),"0 - "&amp;TEXT($H391-$AJ391,"0")&amp;" buildings?    ",IF(AND($N391="%",$AJ391&lt;1),REPLACE(IF(AND($P391&gt;0,$V391&gt;0,$T391&gt;0,$X391&gt;0,$R391&gt;0,$Z391&gt;0,$AB391&gt;0,$AD391&gt;0,$AF391&gt;0,$AH391&gt;0),"","0-"),99,0,REPLACE(TEXT(100-$AJ391,0),99,0,"?    ")),"")))</f>
        <v/>
      </c>
      <c r="R391" s="1864"/>
      <c r="S391" s="1865" t="str">
        <f>IF(OR($N391="", AND($N391="",OR($H391="",$H391=0))),"",IF(AND($N391="Quantity",$AJ391&lt;$H391),"0 - "&amp;TEXT($H391-$AJ391,"0")&amp;" buildings?    ",IF(AND($N391="%",$AJ391&lt;1),REPLACE(IF(AND($P391&gt;0,$V391&gt;0,$T391&gt;0,$X391&gt;0,$R391&gt;0,$Z391&gt;0,$AB391&gt;0,$AD391&gt;0,$AF391&gt;0,$AH391&gt;0),"","0-"),99,0,REPLACE(TEXT(100-$AJ391,0),99,0,"?    ")),"")))</f>
        <v/>
      </c>
      <c r="T391" s="1864"/>
      <c r="U391" s="1865" t="str">
        <f>IF(OR($N391="", AND($N391="",OR($H391="",$H391=0))),"",IF(AND($N391="Quantity",$AJ391&lt;$H391),"0 - "&amp;TEXT($H391-$AJ391,"0")&amp;" buildings?    ",IF(AND($N391="%",$AJ391&lt;1),REPLACE(IF(AND($P391&gt;0,$V391&gt;0,$T391&gt;0,$X391&gt;0,$R391&gt;0,$Z391&gt;0,$AB391&gt;0,$AD391&gt;0,$AF391&gt;0,$AH391&gt;0),"","0-"),99,0,REPLACE(TEXT(100-$AJ391,0),99,0,"?    ")),"")))</f>
        <v/>
      </c>
      <c r="V391" s="1864"/>
      <c r="W391" s="1865" t="str">
        <f>IF(OR($N391="", AND($N391="",OR($H391="",$H391=0))),"",IF(AND($N391="Quantity",$AJ391&lt;$H391),"0 - "&amp;TEXT($H391-$AJ391,"0")&amp;" buildings?    ",IF(AND($N391="%",$AJ391&lt;1),REPLACE(IF(AND($P391&gt;0,$V391&gt;0,$T391&gt;0,$X391&gt;0,$R391&gt;0,$Z391&gt;0,$AB391&gt;0,$AD391&gt;0,$AF391&gt;0,$AH391&gt;0),"","0-"),99,0,REPLACE(TEXT(100-$AJ391,0),99,0,"?    ")),"")))</f>
        <v/>
      </c>
      <c r="X391" s="1864"/>
      <c r="Y391" s="1865" t="str">
        <f>IF(OR($N391="", AND($N391="",OR($H391="",$H391=0))),"",IF(AND($N391="Quantity",$AJ391&lt;$H391),"0 - "&amp;TEXT($H391-$AJ391,"0")&amp;" buildings?    ",IF(AND($N391="%",$AJ391&lt;1),REPLACE(IF(AND($P391&gt;0,$V391&gt;0,$T391&gt;0,$X391&gt;0,$R391&gt;0,$Z391&gt;0,$AB391&gt;0,$AD391&gt;0,$AF391&gt;0,$AH391&gt;0),"","0-"),99,0,REPLACE(TEXT(100-$AJ391,0),99,0,"?    ")),"")))</f>
        <v/>
      </c>
      <c r="Z391" s="1864"/>
      <c r="AA391" s="1865" t="str">
        <f>IF(OR($N391="", AND($N391="",OR($H391="",$H391=0))),"",IF(AND($N391="Quantity",$AJ391&lt;$H391),"0 - "&amp;TEXT($H391-$AJ391,"0")&amp;" buildings?    ",IF(AND($N391="%",$AJ391&lt;1),REPLACE(IF(AND($P391&gt;0,$V391&gt;0,$T391&gt;0,$X391&gt;0,$R391&gt;0,$Z391&gt;0,$AB391&gt;0,$AD391&gt;0,$AF391&gt;0,$AH391&gt;0),"","0-"),99,0,REPLACE(TEXT(100-$AJ391,0),99,0,"?    ")),"")))</f>
        <v/>
      </c>
      <c r="AB391" s="1864"/>
      <c r="AC391" s="1865" t="str">
        <f>IF(OR($N391="", AND($N391="",OR($H391="",$H391=0))),"",IF(AND($N391="Quantity",$AJ391&lt;$H391),"0 - "&amp;TEXT($H391-$AJ391,"0")&amp;" buildings?    ",IF(AND($N391="%",$AJ391&lt;1),REPLACE(IF(AND($P391&gt;0,$V391&gt;0,$T391&gt;0,$X391&gt;0,$R391&gt;0,$Z391&gt;0,$AB391&gt;0,$AD391&gt;0,$AF391&gt;0,$AH391&gt;0),"","0-"),99,0,REPLACE(TEXT(100-$AJ391,0),99,0,"?    ")),"")))</f>
        <v/>
      </c>
      <c r="AD391" s="1864"/>
      <c r="AE391" s="1865" t="str">
        <f>IF(OR($N391="", AND($N391="",OR($H391="",$H391=0))),"",IF(AND($N391="Quantity",$AJ391&lt;$H391),"0 - "&amp;TEXT($H391-$AJ391,"0")&amp;" buildings?    ",IF(AND($N391="%",$AJ391&lt;1),REPLACE(IF(AND($P391&gt;0,$V391&gt;0,$T391&gt;0,$X391&gt;0,$R391&gt;0,$Z391&gt;0,$AB391&gt;0,$AD391&gt;0,$AF391&gt;0,$AH391&gt;0),"","0-"),99,0,REPLACE(TEXT(100-$AJ391,0),99,0,"?    ")),"")))</f>
        <v/>
      </c>
      <c r="AF391" s="1864"/>
      <c r="AG391" s="1865" t="str">
        <f>IF(OR($N391="", AND($N391="",OR($H391="",$H391=0))),"",IF(AND($N391="Quantity",$AJ391&lt;$H391),"0 - "&amp;TEXT($H391-$AJ391,"0")&amp;" buildings?    ",IF(AND($N391="%",$AJ391&lt;1),REPLACE(IF(AND($P391&gt;0,$V391&gt;0,$T391&gt;0,$X391&gt;0,$R391&gt;0,$Z391&gt;0,$AB391&gt;0,$AD391&gt;0,$AF391&gt;0,$AH391&gt;0),"","0-"),99,0,REPLACE(TEXT(100-$AJ391,0),99,0,"?    ")),"")))</f>
        <v/>
      </c>
      <c r="AH391" s="1864"/>
      <c r="AI391" s="1865" t="str">
        <f>IF(OR($N391="", AND($N391="",OR($H391="",$H391=0))),"",IF(AND($N391="Quantity",$AJ391&lt;$H391),"0 - "&amp;TEXT($H391-$AJ391,"0")&amp;" buildings?    ",IF(AND($N391="%",$AJ391&lt;1),REPLACE(IF(AND($P391&gt;0,$V391&gt;0,$T391&gt;0,$X391&gt;0,$R391&gt;0,$Z391&gt;0,$AB391&gt;0,$AD391&gt;0,$AF391&gt;0,$AH391&gt;0),"","0-"),99,0,REPLACE(TEXT(100-$AJ391,0),99,0,"?    ")),"")))</f>
        <v/>
      </c>
      <c r="AJ391" s="1833">
        <f>IFERROR(IF(N391="%", SUM(P391,R391,T391,V391,X391,Z391,AB391,AD391,AF391,AH391)/100, SUM(P391,R391,T391,V391,X391,Z391,AB391,AD391,AF391,AH391)/H391), 0)</f>
        <v>0</v>
      </c>
      <c r="AL391" s="1832"/>
      <c r="AN391" s="1276"/>
      <c r="AP391" s="1653"/>
      <c r="AT391" s="1624" t="str">
        <f>IF(AND($C$346="", L391=""), "N/A", IF(AND(AJ391=1, L391&lt;&gt;"", N391&lt;&gt;"", P391&lt;&gt;"", R391&lt;&gt;"", T391&lt;&gt;"", V391&lt;&gt;"", X391&lt;&gt;"", Z391&lt;&gt;"", AB391&lt;&gt;"", AD391&lt;&gt;"", AF391&lt;&gt;"", AH391&lt;&gt;"",AL391&lt;&gt;"", IF(AND(AL391&lt;1, AN391=""), FALSE, TRUE)), "Yes", "No"))</f>
        <v>N/A</v>
      </c>
      <c r="AU391" s="759"/>
      <c r="AV391" s="759"/>
      <c r="AW391" s="759"/>
      <c r="AX391" s="759"/>
      <c r="AY391" s="759" t="b">
        <f>IF($L391="",FALSE,IF($L391&lt;$BO391,TRUE,FALSE))</f>
        <v>0</v>
      </c>
      <c r="AZ391" s="759" t="b">
        <f>IF($L391="",FALSE,IF($L391&gt;$BP391,TRUE,FALSE))</f>
        <v>0</v>
      </c>
      <c r="BA391" s="759" t="b">
        <f>IF(AND(E391&lt;&gt;"",$L391=""),TRUE,FALSE)</f>
        <v>0</v>
      </c>
      <c r="BB391" s="759" t="b">
        <f>IF(AND($AJ391&lt;&gt;0,$H391&lt;$AJ391,$N391="LF"),TRUE,IF(AND($N391="LF",H391&lt;&gt;"",H391=AJ391),FALSE,IF(AND($AJ391&lt;&gt;0,$AJ391&gt;"100%",$N391="%"),TRUE,FALSE)))</f>
        <v>0</v>
      </c>
      <c r="BC391" s="759" t="b">
        <f>IF(AT391="No", IF(OR(P391="", R391="", T391="", V391="", X391="", Z391="", AB391="", AD391="", AF391="", AH391=""), TRUE, FALSE), FALSE)</f>
        <v>0</v>
      </c>
      <c r="BD391" s="759" t="b">
        <f>IF($BE391=TRUE,FALSE,IF(OR($AL391&lt;0,$AL391&gt;1),TRUE,FALSE))</f>
        <v>0</v>
      </c>
      <c r="BE391" s="759" t="b">
        <f>IF(AND($E391&lt;&gt;"",$AL391=""),TRUE,FALSE)</f>
        <v>0</v>
      </c>
      <c r="BF391" s="759"/>
      <c r="BH391" s="1680"/>
      <c r="BI391" s="1678" t="str">
        <f>IF(N391="", "", IF(N391="Quantity", H391, IF(N391="%", 1, "")))</f>
        <v/>
      </c>
      <c r="BJ391" s="1679">
        <f>P391+R391+T391+V391+X391+Z391+AB391+AD391+AF391+AH391</f>
        <v>0</v>
      </c>
      <c r="BK391" s="1679" t="str">
        <f>IF(BI391="", "", BI391-BJ391)</f>
        <v/>
      </c>
      <c r="BL391" s="1680"/>
      <c r="BM391" s="1680"/>
      <c r="BN391" s="1678">
        <f>IF($C391="","",VLOOKUP($C391,Valid!$B$87:$F$96,5,FALSE))</f>
        <v>25</v>
      </c>
      <c r="BO391" s="1678">
        <f>IF($C391="","",VLOOKUP($C391,Valid!$B$87:$G$96,6,FALSE))</f>
        <v>19</v>
      </c>
      <c r="BP391" s="1678">
        <f>IF($C391="","",VLOOKUP($C391,Valid!$B$87:$Z$96,7,FALSE))</f>
        <v>31</v>
      </c>
    </row>
    <row r="392" spans="1:68" s="686" customFormat="1" ht="3.95" customHeight="1" x14ac:dyDescent="0.2">
      <c r="B392" s="1790">
        <v>380</v>
      </c>
      <c r="C392" s="1674"/>
      <c r="D392" s="1709"/>
      <c r="E392" s="1057"/>
      <c r="H392" s="1917"/>
      <c r="I392" s="1651"/>
      <c r="J392" s="1651"/>
      <c r="K392" s="1651"/>
      <c r="L392" s="1917"/>
      <c r="M392" s="1651"/>
      <c r="N392" s="1651"/>
      <c r="O392" s="1651"/>
      <c r="P392" s="1651"/>
      <c r="Q392" s="1651"/>
      <c r="R392" s="1651"/>
      <c r="S392" s="1651"/>
      <c r="T392" s="1651"/>
      <c r="U392" s="1651"/>
      <c r="V392" s="1651"/>
      <c r="W392" s="1651"/>
      <c r="X392" s="1651"/>
      <c r="Y392" s="1651"/>
      <c r="Z392" s="1651"/>
      <c r="AA392" s="1651"/>
      <c r="AB392" s="1651"/>
      <c r="AC392" s="1651"/>
      <c r="AD392" s="1651"/>
      <c r="AE392" s="1651"/>
      <c r="AF392" s="1651"/>
      <c r="AG392" s="1651"/>
      <c r="AH392" s="1651"/>
      <c r="AJ392" s="1676"/>
      <c r="AL392" s="1676"/>
      <c r="AP392" s="1394"/>
      <c r="AU392" s="848"/>
      <c r="AV392" s="848"/>
      <c r="AW392" s="848"/>
      <c r="AX392" s="848"/>
      <c r="AY392" s="759"/>
      <c r="AZ392" s="759"/>
      <c r="BA392" s="848"/>
      <c r="BB392" s="759"/>
      <c r="BC392" s="848"/>
      <c r="BD392" s="848"/>
      <c r="BE392" s="848"/>
      <c r="BF392" s="848"/>
      <c r="BH392" s="1680"/>
      <c r="BI392" s="1680"/>
      <c r="BJ392" s="1680"/>
      <c r="BK392" s="1680"/>
      <c r="BL392" s="1680"/>
      <c r="BM392" s="1680"/>
      <c r="BN392" s="1680"/>
      <c r="BO392" s="1680"/>
      <c r="BP392" s="1680"/>
    </row>
    <row r="393" spans="1:68" s="686" customFormat="1" ht="3.95" customHeight="1" x14ac:dyDescent="0.2">
      <c r="B393" s="1790">
        <v>381</v>
      </c>
      <c r="C393" s="1674"/>
      <c r="D393" s="1709"/>
      <c r="E393" s="1057"/>
      <c r="H393" s="1922"/>
      <c r="I393" s="1651"/>
      <c r="J393" s="1651"/>
      <c r="K393" s="1651"/>
      <c r="L393" s="1922"/>
      <c r="M393" s="1651"/>
      <c r="N393" s="1919"/>
      <c r="O393" s="1651"/>
      <c r="P393" s="1919"/>
      <c r="Q393" s="1651"/>
      <c r="R393" s="1919"/>
      <c r="S393" s="1651"/>
      <c r="T393" s="1919"/>
      <c r="U393" s="1651"/>
      <c r="V393" s="1919"/>
      <c r="W393" s="1651"/>
      <c r="X393" s="1919"/>
      <c r="Y393" s="1651"/>
      <c r="Z393" s="1919"/>
      <c r="AA393" s="1651"/>
      <c r="AB393" s="1919"/>
      <c r="AC393" s="1651"/>
      <c r="AD393" s="1919"/>
      <c r="AE393" s="1651"/>
      <c r="AF393" s="1919"/>
      <c r="AG393" s="1651"/>
      <c r="AH393" s="1919"/>
      <c r="AJ393" s="1792"/>
      <c r="AL393" s="1792"/>
      <c r="AN393" s="685"/>
      <c r="AP393" s="1394"/>
      <c r="AU393" s="848"/>
      <c r="AV393" s="848"/>
      <c r="AW393" s="848"/>
      <c r="AX393" s="848"/>
      <c r="AY393" s="759"/>
      <c r="AZ393" s="759"/>
      <c r="BA393" s="848"/>
      <c r="BB393" s="759"/>
      <c r="BC393" s="848"/>
      <c r="BD393" s="848"/>
      <c r="BE393" s="848"/>
      <c r="BF393" s="848"/>
      <c r="BH393" s="1680"/>
      <c r="BI393" s="1680"/>
      <c r="BJ393" s="1680"/>
      <c r="BK393" s="1680"/>
      <c r="BL393" s="1680"/>
      <c r="BM393" s="1680"/>
      <c r="BN393" s="1680"/>
      <c r="BO393" s="1680"/>
      <c r="BP393" s="1680"/>
    </row>
    <row r="394" spans="1:68" s="686" customFormat="1" ht="3.95" customHeight="1" x14ac:dyDescent="0.2">
      <c r="B394" s="1791">
        <v>382</v>
      </c>
      <c r="C394" s="1674"/>
      <c r="D394" s="1709"/>
      <c r="E394" s="1057"/>
      <c r="H394" s="1917"/>
      <c r="I394" s="1651"/>
      <c r="J394" s="1651"/>
      <c r="K394" s="1651"/>
      <c r="L394" s="1917"/>
      <c r="M394" s="1651"/>
      <c r="N394" s="1651"/>
      <c r="O394" s="1651"/>
      <c r="P394" s="1651"/>
      <c r="Q394" s="1651"/>
      <c r="R394" s="1651"/>
      <c r="S394" s="1651"/>
      <c r="T394" s="1651"/>
      <c r="U394" s="1651"/>
      <c r="V394" s="1651"/>
      <c r="W394" s="1651"/>
      <c r="X394" s="1651"/>
      <c r="Y394" s="1651"/>
      <c r="Z394" s="1651"/>
      <c r="AA394" s="1651"/>
      <c r="AB394" s="1651"/>
      <c r="AC394" s="1651"/>
      <c r="AD394" s="1651"/>
      <c r="AE394" s="1651"/>
      <c r="AF394" s="1651"/>
      <c r="AG394" s="1651"/>
      <c r="AH394" s="1651"/>
      <c r="AJ394" s="1676"/>
      <c r="AL394" s="1676"/>
      <c r="AP394" s="1394"/>
      <c r="AU394" s="848"/>
      <c r="AV394" s="848"/>
      <c r="AW394" s="848"/>
      <c r="AX394" s="848"/>
      <c r="AY394" s="759"/>
      <c r="AZ394" s="759"/>
      <c r="BA394" s="848"/>
      <c r="BB394" s="759"/>
      <c r="BC394" s="848"/>
      <c r="BD394" s="848"/>
      <c r="BE394" s="848"/>
      <c r="BF394" s="848"/>
      <c r="BH394" s="1680"/>
      <c r="BI394" s="1680"/>
      <c r="BJ394" s="1680"/>
      <c r="BK394" s="1680"/>
      <c r="BL394" s="1680"/>
      <c r="BM394" s="1680"/>
      <c r="BN394" s="1680"/>
      <c r="BO394" s="1680"/>
      <c r="BP394" s="1680"/>
    </row>
    <row r="395" spans="1:68" s="686" customFormat="1" ht="3.95" customHeight="1" x14ac:dyDescent="0.2">
      <c r="B395" s="1791">
        <v>383</v>
      </c>
      <c r="C395" s="1677"/>
      <c r="D395" s="1709"/>
      <c r="E395" s="1057"/>
      <c r="H395" s="1917"/>
      <c r="I395" s="1651"/>
      <c r="J395" s="1651"/>
      <c r="K395" s="1651"/>
      <c r="L395" s="1917"/>
      <c r="M395" s="1651"/>
      <c r="N395" s="1651"/>
      <c r="O395" s="1651"/>
      <c r="P395" s="1651"/>
      <c r="Q395" s="1651"/>
      <c r="R395" s="1651"/>
      <c r="S395" s="1651"/>
      <c r="T395" s="1651"/>
      <c r="U395" s="1651"/>
      <c r="V395" s="1651"/>
      <c r="W395" s="1651"/>
      <c r="X395" s="1651"/>
      <c r="Y395" s="1651"/>
      <c r="Z395" s="1651"/>
      <c r="AA395" s="1651"/>
      <c r="AB395" s="1651"/>
      <c r="AC395" s="1651"/>
      <c r="AD395" s="1651"/>
      <c r="AE395" s="1651"/>
      <c r="AF395" s="1651"/>
      <c r="AG395" s="1651"/>
      <c r="AH395" s="1651"/>
      <c r="AJ395" s="1676"/>
      <c r="AL395" s="1676"/>
      <c r="AP395" s="1223"/>
      <c r="AU395" s="848"/>
      <c r="AV395" s="848"/>
      <c r="AW395" s="848"/>
      <c r="AX395" s="848"/>
      <c r="AY395" s="848"/>
      <c r="AZ395" s="848"/>
      <c r="BA395" s="848"/>
      <c r="BB395" s="848"/>
      <c r="BC395" s="848"/>
      <c r="BD395" s="848"/>
      <c r="BE395" s="848"/>
      <c r="BF395" s="848"/>
      <c r="BH395" s="1680"/>
      <c r="BI395" s="1680"/>
      <c r="BJ395" s="1680"/>
      <c r="BK395" s="1680"/>
      <c r="BL395" s="1680"/>
      <c r="BM395" s="1680"/>
      <c r="BN395" s="1680"/>
      <c r="BO395" s="1680"/>
      <c r="BP395" s="1680"/>
    </row>
    <row r="396" spans="1:68" s="686" customFormat="1" ht="3.95" customHeight="1" x14ac:dyDescent="0.2">
      <c r="A396" s="1809"/>
      <c r="B396" s="1810">
        <v>52</v>
      </c>
      <c r="C396" s="1811"/>
      <c r="D396" s="1842"/>
      <c r="E396" s="1812"/>
      <c r="F396" s="1809"/>
      <c r="G396" s="1809"/>
      <c r="H396" s="1923"/>
      <c r="I396" s="1924"/>
      <c r="J396" s="1924"/>
      <c r="K396" s="1924"/>
      <c r="L396" s="1923"/>
      <c r="M396" s="1924"/>
      <c r="N396" s="1924"/>
      <c r="O396" s="1924"/>
      <c r="P396" s="1924"/>
      <c r="Q396" s="1924"/>
      <c r="R396" s="1924"/>
      <c r="S396" s="1924"/>
      <c r="T396" s="1924"/>
      <c r="U396" s="1924"/>
      <c r="V396" s="1924"/>
      <c r="W396" s="1924"/>
      <c r="X396" s="1924"/>
      <c r="Y396" s="1924"/>
      <c r="Z396" s="1924"/>
      <c r="AA396" s="1924"/>
      <c r="AB396" s="1924"/>
      <c r="AC396" s="1924"/>
      <c r="AD396" s="1924"/>
      <c r="AE396" s="1924"/>
      <c r="AF396" s="1924"/>
      <c r="AG396" s="1924"/>
      <c r="AH396" s="1924"/>
      <c r="AI396" s="1809"/>
      <c r="AJ396" s="1829"/>
      <c r="AK396" s="1809"/>
      <c r="AL396" s="1829"/>
      <c r="AM396" s="1809"/>
      <c r="AN396" s="1809"/>
      <c r="AO396" s="1809"/>
      <c r="AP396" s="1813"/>
      <c r="AQ396" s="1809"/>
      <c r="AR396" s="1809"/>
      <c r="AS396" s="1809"/>
      <c r="AT396" s="1809"/>
      <c r="AU396" s="1814"/>
      <c r="AV396" s="1814"/>
      <c r="AW396" s="1814"/>
      <c r="AX396" s="1814"/>
      <c r="AY396" s="1814"/>
      <c r="AZ396" s="1814"/>
      <c r="BA396" s="1814"/>
      <c r="BB396" s="1814"/>
      <c r="BC396" s="1814"/>
      <c r="BD396" s="1814"/>
      <c r="BE396" s="1814"/>
      <c r="BF396" s="1814"/>
      <c r="BG396" s="1809"/>
      <c r="BH396" s="1814"/>
      <c r="BI396" s="1814"/>
      <c r="BJ396" s="1814"/>
      <c r="BK396" s="1814"/>
      <c r="BL396" s="1814"/>
      <c r="BM396" s="1814"/>
      <c r="BN396" s="1814"/>
      <c r="BO396" s="1814"/>
      <c r="BP396" s="1814"/>
    </row>
    <row r="397" spans="1:68" s="686" customFormat="1" ht="3.95" customHeight="1" x14ac:dyDescent="0.2">
      <c r="B397" s="1790">
        <v>385</v>
      </c>
      <c r="C397" s="1677"/>
      <c r="D397" s="1709"/>
      <c r="E397" s="1057"/>
      <c r="H397" s="1917"/>
      <c r="I397" s="1651"/>
      <c r="J397" s="1651"/>
      <c r="K397" s="1651"/>
      <c r="L397" s="1917"/>
      <c r="M397" s="1651"/>
      <c r="N397" s="1651"/>
      <c r="O397" s="1651"/>
      <c r="P397" s="1651"/>
      <c r="Q397" s="1651"/>
      <c r="R397" s="1651"/>
      <c r="S397" s="1651"/>
      <c r="T397" s="1651"/>
      <c r="U397" s="1651"/>
      <c r="V397" s="1651"/>
      <c r="W397" s="1651"/>
      <c r="X397" s="1651"/>
      <c r="Y397" s="1651"/>
      <c r="Z397" s="1651"/>
      <c r="AA397" s="1651"/>
      <c r="AB397" s="1651"/>
      <c r="AC397" s="1651"/>
      <c r="AD397" s="1651"/>
      <c r="AE397" s="1651"/>
      <c r="AF397" s="1651"/>
      <c r="AG397" s="1651"/>
      <c r="AH397" s="1651"/>
      <c r="AJ397" s="1676"/>
      <c r="AL397" s="1676"/>
      <c r="AP397" s="1394"/>
      <c r="AU397" s="848"/>
      <c r="AV397" s="848"/>
      <c r="AW397" s="848"/>
      <c r="AX397" s="848"/>
      <c r="AY397" s="848"/>
      <c r="AZ397" s="848"/>
      <c r="BA397" s="848"/>
      <c r="BB397" s="848"/>
      <c r="BC397" s="848"/>
      <c r="BD397" s="848"/>
      <c r="BE397" s="848"/>
      <c r="BF397" s="848"/>
      <c r="BH397" s="1680"/>
      <c r="BI397" s="1680"/>
      <c r="BJ397" s="1680"/>
      <c r="BK397" s="1680"/>
      <c r="BL397" s="1680"/>
      <c r="BM397" s="1680"/>
      <c r="BN397" s="1680"/>
      <c r="BO397" s="1680"/>
      <c r="BP397" s="1680"/>
    </row>
    <row r="398" spans="1:68" s="686" customFormat="1" ht="3.95" customHeight="1" x14ac:dyDescent="0.2">
      <c r="B398" s="1790">
        <v>386</v>
      </c>
      <c r="C398" s="1677"/>
      <c r="D398" s="1709"/>
      <c r="E398" s="1057"/>
      <c r="H398" s="1917"/>
      <c r="I398" s="1651"/>
      <c r="J398" s="1651"/>
      <c r="K398" s="1651"/>
      <c r="L398" s="1925"/>
      <c r="M398" s="1651"/>
      <c r="N398" s="1651"/>
      <c r="O398" s="1651"/>
      <c r="P398" s="1651"/>
      <c r="Q398" s="1651"/>
      <c r="R398" s="1651"/>
      <c r="S398" s="1651"/>
      <c r="T398" s="1651"/>
      <c r="U398" s="1651"/>
      <c r="V398" s="1651"/>
      <c r="W398" s="1651"/>
      <c r="X398" s="1651"/>
      <c r="Y398" s="1651"/>
      <c r="Z398" s="1651"/>
      <c r="AA398" s="1651"/>
      <c r="AB398" s="1651"/>
      <c r="AC398" s="1651"/>
      <c r="AD398" s="1651"/>
      <c r="AE398" s="1651"/>
      <c r="AF398" s="1651"/>
      <c r="AG398" s="1651"/>
      <c r="AH398" s="1651"/>
      <c r="AJ398" s="1676"/>
      <c r="AL398" s="1676"/>
      <c r="AP398" s="1057"/>
      <c r="AU398" s="848"/>
      <c r="AV398" s="848"/>
      <c r="AW398" s="848"/>
      <c r="AX398" s="848"/>
      <c r="AY398" s="848"/>
      <c r="AZ398" s="848"/>
      <c r="BA398" s="848"/>
      <c r="BB398" s="848"/>
      <c r="BC398" s="848"/>
      <c r="BD398" s="848"/>
      <c r="BE398" s="848"/>
      <c r="BF398" s="848"/>
      <c r="BH398" s="1680"/>
      <c r="BI398" s="1680"/>
      <c r="BJ398" s="1680"/>
      <c r="BK398" s="1680"/>
      <c r="BL398" s="1680"/>
      <c r="BM398" s="1680"/>
      <c r="BN398" s="1680"/>
      <c r="BO398" s="1680"/>
      <c r="BP398" s="1680"/>
    </row>
    <row r="399" spans="1:68" s="686" customFormat="1" ht="3.95" customHeight="1" x14ac:dyDescent="0.2">
      <c r="B399" s="1791">
        <v>387</v>
      </c>
      <c r="C399" s="1677"/>
      <c r="D399" s="1709"/>
      <c r="E399" s="1057"/>
      <c r="H399" s="1917"/>
      <c r="I399" s="1651"/>
      <c r="J399" s="1651"/>
      <c r="K399" s="1651"/>
      <c r="L399" s="1926"/>
      <c r="M399" s="1651"/>
      <c r="N399" s="1651"/>
      <c r="O399" s="1651"/>
      <c r="P399" s="1919"/>
      <c r="Q399" s="1651"/>
      <c r="R399" s="1919"/>
      <c r="S399" s="1651"/>
      <c r="T399" s="1919"/>
      <c r="U399" s="1651"/>
      <c r="V399" s="1919"/>
      <c r="W399" s="1651"/>
      <c r="X399" s="1919"/>
      <c r="Y399" s="1651"/>
      <c r="Z399" s="1919"/>
      <c r="AA399" s="1651"/>
      <c r="AB399" s="1919"/>
      <c r="AC399" s="1651"/>
      <c r="AD399" s="1919"/>
      <c r="AE399" s="1651"/>
      <c r="AF399" s="1919"/>
      <c r="AG399" s="1651"/>
      <c r="AH399" s="1919"/>
      <c r="AJ399" s="1792"/>
      <c r="AL399" s="1792"/>
      <c r="AN399" s="685"/>
      <c r="AP399" s="1057"/>
      <c r="AU399" s="848"/>
      <c r="AV399" s="848"/>
      <c r="AW399" s="848"/>
      <c r="AX399" s="848"/>
      <c r="AY399" s="848"/>
      <c r="AZ399" s="848"/>
      <c r="BA399" s="848"/>
      <c r="BB399" s="848"/>
      <c r="BC399" s="848"/>
      <c r="BD399" s="848"/>
      <c r="BE399" s="848"/>
      <c r="BF399" s="848"/>
      <c r="BH399" s="1680"/>
      <c r="BI399" s="1680"/>
      <c r="BJ399" s="1680"/>
      <c r="BK399" s="1680"/>
      <c r="BL399" s="1680"/>
      <c r="BM399" s="1680"/>
      <c r="BN399" s="1680"/>
      <c r="BO399" s="1680"/>
      <c r="BP399" s="1680"/>
    </row>
    <row r="400" spans="1:68" s="686" customFormat="1" ht="3.95" customHeight="1" x14ac:dyDescent="0.2">
      <c r="B400" s="1791">
        <v>388</v>
      </c>
      <c r="C400" s="1677"/>
      <c r="D400" s="1709"/>
      <c r="E400" s="1057"/>
      <c r="H400" s="1917"/>
      <c r="I400" s="1651"/>
      <c r="J400" s="1651"/>
      <c r="K400" s="1651"/>
      <c r="L400" s="1917"/>
      <c r="M400" s="1651"/>
      <c r="N400" s="1651"/>
      <c r="O400" s="1651"/>
      <c r="P400" s="1651"/>
      <c r="Q400" s="1651"/>
      <c r="R400" s="1651"/>
      <c r="S400" s="1651"/>
      <c r="T400" s="1651"/>
      <c r="U400" s="1651"/>
      <c r="V400" s="1651"/>
      <c r="W400" s="1651"/>
      <c r="X400" s="1651"/>
      <c r="Y400" s="1651"/>
      <c r="Z400" s="1651"/>
      <c r="AA400" s="1651"/>
      <c r="AB400" s="1651"/>
      <c r="AC400" s="1651"/>
      <c r="AD400" s="1651"/>
      <c r="AE400" s="1651"/>
      <c r="AF400" s="1651"/>
      <c r="AG400" s="1651"/>
      <c r="AH400" s="1651"/>
      <c r="AJ400" s="1676"/>
      <c r="AL400" s="1676"/>
      <c r="AP400" s="1057"/>
      <c r="AU400" s="848"/>
      <c r="AV400" s="848"/>
      <c r="AW400" s="848"/>
      <c r="AX400" s="848"/>
      <c r="AY400" s="848"/>
      <c r="AZ400" s="848"/>
      <c r="BA400" s="848"/>
      <c r="BB400" s="848"/>
      <c r="BC400" s="848"/>
      <c r="BD400" s="848"/>
      <c r="BE400" s="848"/>
      <c r="BF400" s="848"/>
      <c r="BH400" s="1680"/>
      <c r="BI400" s="1680"/>
      <c r="BJ400" s="1680"/>
      <c r="BK400" s="1680"/>
      <c r="BL400" s="1680"/>
      <c r="BM400" s="1680"/>
      <c r="BN400" s="1680"/>
      <c r="BO400" s="1680"/>
      <c r="BP400" s="1680"/>
    </row>
    <row r="401" spans="1:69" s="782" customFormat="1" ht="3.95" customHeight="1" x14ac:dyDescent="0.2">
      <c r="A401" s="816"/>
      <c r="B401" s="1791">
        <v>389</v>
      </c>
      <c r="C401" s="1271"/>
      <c r="D401" s="1841"/>
      <c r="E401" s="816"/>
      <c r="F401" s="736"/>
      <c r="G401" s="736"/>
      <c r="H401" s="1927"/>
      <c r="I401" s="1928"/>
      <c r="J401" s="1928"/>
      <c r="K401" s="1928"/>
      <c r="L401" s="1929"/>
      <c r="M401" s="722"/>
      <c r="N401" s="722"/>
      <c r="O401" s="722"/>
      <c r="P401" s="1891"/>
      <c r="Q401" s="1930"/>
      <c r="R401" s="1931"/>
      <c r="S401" s="1930"/>
      <c r="T401" s="1931"/>
      <c r="U401" s="1930"/>
      <c r="V401" s="1931"/>
      <c r="W401" s="1930"/>
      <c r="X401" s="1931"/>
      <c r="Y401" s="1894"/>
      <c r="Z401" s="1894"/>
      <c r="AA401" s="1894"/>
      <c r="AB401" s="1894"/>
      <c r="AC401" s="1894"/>
      <c r="AD401" s="1894"/>
      <c r="AE401" s="1894"/>
      <c r="AF401" s="1894"/>
      <c r="AG401" s="1894"/>
      <c r="AH401" s="1894"/>
      <c r="AI401" s="821"/>
      <c r="AJ401" s="1826"/>
      <c r="AK401" s="781"/>
      <c r="AL401" s="1831"/>
      <c r="AM401" s="824"/>
      <c r="AN401" s="822"/>
      <c r="AO401" s="824"/>
      <c r="AP401" s="1398"/>
      <c r="AQ401" s="824"/>
      <c r="AT401" s="824"/>
      <c r="AU401" s="759"/>
      <c r="AV401" s="759"/>
      <c r="AW401" s="759"/>
      <c r="AX401" s="759"/>
      <c r="AY401" s="759"/>
      <c r="AZ401" s="759"/>
      <c r="BA401" s="759"/>
      <c r="BB401" s="759"/>
      <c r="BC401" s="759"/>
      <c r="BD401" s="759"/>
      <c r="BE401" s="759"/>
      <c r="BF401" s="759"/>
      <c r="BG401" s="760"/>
      <c r="BH401" s="1681"/>
      <c r="BI401" s="1681"/>
      <c r="BJ401" s="1681"/>
      <c r="BK401" s="1681"/>
      <c r="BL401" s="1681"/>
      <c r="BM401" s="1681"/>
      <c r="BN401" s="1681"/>
      <c r="BO401" s="1681"/>
      <c r="BP401" s="1681"/>
      <c r="BQ401" s="824"/>
    </row>
    <row r="402" spans="1:69" s="782" customFormat="1" ht="15.75" x14ac:dyDescent="0.2">
      <c r="A402" s="1712" t="s">
        <v>2621</v>
      </c>
      <c r="B402" s="1790">
        <v>390</v>
      </c>
      <c r="C402" s="1669"/>
      <c r="D402" s="1248" t="str">
        <f>IF(AND(C346&lt;&gt;"",$C402=""),"Select Mode from Pull-Down List                           ","")</f>
        <v/>
      </c>
      <c r="E402" s="1277" t="str">
        <f>IF(AND(C402="",OR(H432&lt;&gt;0,J432&lt;&gt;0,H435&lt;&gt;0)),"&lt;&lt; Insert Rail Mode",IF(AND(C346="",C402&lt;&gt;""),"&lt;&lt;Complete Previous Section First",""))</f>
        <v/>
      </c>
      <c r="F402" s="736"/>
      <c r="G402" s="736"/>
      <c r="H402" s="1932"/>
      <c r="I402" s="1896"/>
      <c r="J402" s="1897"/>
      <c r="K402" s="1897"/>
      <c r="L402" s="1933"/>
      <c r="M402" s="1896"/>
      <c r="N402" s="1896"/>
      <c r="O402" s="1896"/>
      <c r="P402" s="1898"/>
      <c r="Q402" s="1896"/>
      <c r="R402" s="1898"/>
      <c r="S402" s="1896"/>
      <c r="T402" s="1898"/>
      <c r="U402" s="1896"/>
      <c r="V402" s="1898"/>
      <c r="W402" s="1896"/>
      <c r="X402" s="1898"/>
      <c r="Y402" s="1896"/>
      <c r="Z402" s="1896"/>
      <c r="AA402" s="1896"/>
      <c r="AB402" s="1896"/>
      <c r="AC402" s="1896"/>
      <c r="AD402" s="1896"/>
      <c r="AE402" s="1896"/>
      <c r="AF402" s="1896"/>
      <c r="AG402" s="1896"/>
      <c r="AH402" s="1896"/>
      <c r="AI402" s="1254"/>
      <c r="AJ402" s="1827"/>
      <c r="AK402" s="1254"/>
      <c r="AL402" s="1827"/>
      <c r="AM402" s="832"/>
      <c r="AN402" s="1254"/>
      <c r="AO402" s="832"/>
      <c r="AP402" s="1223"/>
      <c r="AQ402" s="832"/>
      <c r="AS402" s="758"/>
      <c r="AT402" s="758" t="b">
        <f>IF(OR(E402&lt;&gt;"",E458="Complete Previous Section First"),TRUE,FALSE)</f>
        <v>0</v>
      </c>
      <c r="AU402" s="763"/>
      <c r="AV402" s="763"/>
      <c r="AW402" s="763"/>
      <c r="AX402" s="763"/>
      <c r="AY402" s="763"/>
      <c r="AZ402" s="763"/>
      <c r="BA402" s="763"/>
      <c r="BB402" s="763"/>
      <c r="BC402" s="763"/>
      <c r="BD402" s="763"/>
      <c r="BE402" s="763"/>
      <c r="BF402" s="759"/>
      <c r="BG402" s="760"/>
      <c r="BH402" s="1678"/>
      <c r="BI402" s="1678"/>
      <c r="BJ402" s="1678"/>
      <c r="BK402" s="1678"/>
      <c r="BL402" s="1678"/>
      <c r="BM402" s="1678"/>
      <c r="BN402" s="1678"/>
      <c r="BO402" s="1678"/>
      <c r="BP402" s="1678"/>
      <c r="BQ402" s="832"/>
    </row>
    <row r="403" spans="1:69" s="782" customFormat="1" ht="3.95" customHeight="1" x14ac:dyDescent="0.2">
      <c r="A403" s="721"/>
      <c r="B403" s="1790">
        <v>391</v>
      </c>
      <c r="C403" s="828"/>
      <c r="D403" s="1841"/>
      <c r="E403" s="721"/>
      <c r="F403" s="281"/>
      <c r="G403" s="281"/>
      <c r="H403" s="1934"/>
      <c r="I403" s="1899"/>
      <c r="J403" s="1899"/>
      <c r="K403" s="1899"/>
      <c r="L403" s="1909"/>
      <c r="M403" s="722"/>
      <c r="N403" s="722"/>
      <c r="O403" s="722"/>
      <c r="P403" s="1900"/>
      <c r="Q403" s="1901"/>
      <c r="R403" s="1900"/>
      <c r="S403" s="1901"/>
      <c r="T403" s="1900"/>
      <c r="U403" s="1901"/>
      <c r="V403" s="1900"/>
      <c r="W403" s="1901"/>
      <c r="X403" s="1900"/>
      <c r="Y403" s="1902"/>
      <c r="Z403" s="1902"/>
      <c r="AA403" s="1902"/>
      <c r="AB403" s="1902"/>
      <c r="AC403" s="1902"/>
      <c r="AD403" s="1902"/>
      <c r="AE403" s="1902"/>
      <c r="AF403" s="1902"/>
      <c r="AG403" s="1902"/>
      <c r="AH403" s="1902"/>
      <c r="AI403" s="831"/>
      <c r="AJ403" s="1828"/>
      <c r="AK403" s="724"/>
      <c r="AL403" s="1806"/>
      <c r="AM403" s="832"/>
      <c r="AN403" s="724"/>
      <c r="AO403" s="832"/>
      <c r="AP403" s="1399"/>
      <c r="AQ403" s="832"/>
      <c r="AS403" s="824"/>
      <c r="AT403" s="832"/>
      <c r="AU403" s="759"/>
      <c r="AV403" s="759"/>
      <c r="AW403" s="759"/>
      <c r="AX403" s="759"/>
      <c r="AY403" s="759"/>
      <c r="AZ403" s="759"/>
      <c r="BA403" s="759"/>
      <c r="BB403" s="759"/>
      <c r="BC403" s="759"/>
      <c r="BD403" s="759"/>
      <c r="BE403" s="759"/>
      <c r="BF403" s="759"/>
      <c r="BG403" s="760"/>
      <c r="BH403" s="1678"/>
      <c r="BI403" s="1678"/>
      <c r="BJ403" s="1678"/>
      <c r="BK403" s="1678"/>
      <c r="BL403" s="1678"/>
      <c r="BM403" s="1678"/>
      <c r="BN403" s="1678"/>
      <c r="BO403" s="1678"/>
      <c r="BP403" s="1678"/>
      <c r="BQ403" s="832"/>
    </row>
    <row r="404" spans="1:69" s="782" customFormat="1" x14ac:dyDescent="0.2">
      <c r="A404" s="1712" t="s">
        <v>2621</v>
      </c>
      <c r="B404" s="1791">
        <v>392</v>
      </c>
      <c r="C404" s="844" t="str">
        <f>IF(C402="","Guideway (Excludes Track)",VLOOKUP(C402,Codes!$C$156:$D$174,2)&amp;" Guideway (Excludes Track)")</f>
        <v>Guideway (Excludes Track)</v>
      </c>
      <c r="D404" s="1841"/>
      <c r="E404" s="721"/>
      <c r="F404" s="281"/>
      <c r="G404" s="281"/>
      <c r="H404" s="1934"/>
      <c r="I404" s="1899"/>
      <c r="J404" s="1899"/>
      <c r="K404" s="1899"/>
      <c r="L404" s="1909"/>
      <c r="M404" s="722"/>
      <c r="N404" s="722"/>
      <c r="O404" s="722"/>
      <c r="P404" s="1900"/>
      <c r="Q404" s="1901"/>
      <c r="R404" s="1900"/>
      <c r="S404" s="1901"/>
      <c r="T404" s="1900"/>
      <c r="U404" s="1901"/>
      <c r="V404" s="1900"/>
      <c r="W404" s="1901"/>
      <c r="X404" s="1900"/>
      <c r="Y404" s="1902"/>
      <c r="Z404" s="1902"/>
      <c r="AA404" s="1902"/>
      <c r="AB404" s="1902"/>
      <c r="AC404" s="1902"/>
      <c r="AD404" s="1902"/>
      <c r="AE404" s="1902"/>
      <c r="AF404" s="1902"/>
      <c r="AG404" s="1902"/>
      <c r="AH404" s="1902"/>
      <c r="AI404" s="831"/>
      <c r="AJ404" s="1828"/>
      <c r="AK404" s="724"/>
      <c r="AL404" s="1806"/>
      <c r="AM404" s="832"/>
      <c r="AN404" s="724"/>
      <c r="AO404" s="832"/>
      <c r="AP404" s="1399"/>
      <c r="AQ404" s="832"/>
      <c r="AS404" s="824"/>
      <c r="AT404" s="832"/>
      <c r="AU404" s="759"/>
      <c r="AV404" s="759"/>
      <c r="AW404" s="759"/>
      <c r="AX404" s="759"/>
      <c r="AY404" s="759"/>
      <c r="AZ404" s="759"/>
      <c r="BA404" s="759"/>
      <c r="BB404" s="759"/>
      <c r="BC404" s="759"/>
      <c r="BD404" s="759"/>
      <c r="BE404" s="759"/>
      <c r="BF404" s="759"/>
      <c r="BG404" s="760"/>
      <c r="BH404" s="1678"/>
      <c r="BI404" s="1678"/>
      <c r="BJ404" s="1678"/>
      <c r="BK404" s="1678"/>
      <c r="BL404" s="1678"/>
      <c r="BM404" s="1678"/>
      <c r="BN404" s="1678"/>
      <c r="BO404" s="1678"/>
      <c r="BP404" s="1678"/>
      <c r="BQ404" s="832"/>
    </row>
    <row r="405" spans="1:69" s="782" customFormat="1" ht="26.25" thickBot="1" x14ac:dyDescent="0.25">
      <c r="A405" s="1712" t="s">
        <v>2621</v>
      </c>
      <c r="B405" s="1791">
        <v>393</v>
      </c>
      <c r="D405" s="1841"/>
      <c r="E405" s="721"/>
      <c r="F405" s="764"/>
      <c r="G405" s="764"/>
      <c r="H405" s="1903" t="str">
        <f>H$10</f>
        <v>Linear Feet</v>
      </c>
      <c r="I405" s="1899"/>
      <c r="J405" s="1903" t="str">
        <f>J$10</f>
        <v>Track Feet</v>
      </c>
      <c r="K405" s="1899"/>
      <c r="L405" s="1909"/>
      <c r="M405" s="722"/>
      <c r="N405" s="722"/>
      <c r="O405" s="722"/>
      <c r="P405" s="1903" t="str">
        <f>P$9</f>
        <v>Pre-1920</v>
      </c>
      <c r="Q405" s="1869"/>
      <c r="R405" s="1903" t="str">
        <f>R$9</f>
        <v>1920-
1929</v>
      </c>
      <c r="S405" s="1869"/>
      <c r="T405" s="1903" t="str">
        <f>T$9</f>
        <v>1930-
1939</v>
      </c>
      <c r="U405" s="1869"/>
      <c r="V405" s="1903" t="str">
        <f>V$9</f>
        <v>1940-
1949</v>
      </c>
      <c r="W405" s="1869"/>
      <c r="X405" s="1903" t="str">
        <f>X$9</f>
        <v>1950-
1959</v>
      </c>
      <c r="Y405" s="1868"/>
      <c r="Z405" s="1903" t="str">
        <f>Z$9</f>
        <v>1960-
1969</v>
      </c>
      <c r="AA405" s="1868"/>
      <c r="AB405" s="1903" t="str">
        <f>AB$9</f>
        <v>1970-
1979</v>
      </c>
      <c r="AC405" s="1868"/>
      <c r="AD405" s="1903" t="str">
        <f>AD$9</f>
        <v>1980-
1989</v>
      </c>
      <c r="AE405" s="1868"/>
      <c r="AF405" s="1903" t="str">
        <f>AF$9</f>
        <v>1990-
1999</v>
      </c>
      <c r="AG405" s="1868"/>
      <c r="AH405" s="1903" t="str">
        <f>AH$9</f>
        <v>2000-
present</v>
      </c>
      <c r="AI405" s="831"/>
      <c r="AJ405" s="1828"/>
      <c r="AK405" s="724"/>
      <c r="AL405" s="1806"/>
      <c r="AM405" s="832"/>
      <c r="AN405" s="724"/>
      <c r="AO405" s="832"/>
      <c r="AP405" s="1223"/>
      <c r="AQ405" s="832"/>
      <c r="AS405" s="832"/>
      <c r="AT405" s="832"/>
      <c r="AU405" s="759"/>
      <c r="AV405" s="759"/>
      <c r="AW405" s="759"/>
      <c r="AX405" s="759"/>
      <c r="AY405" s="759"/>
      <c r="AZ405" s="759"/>
      <c r="BA405" s="759"/>
      <c r="BB405" s="759"/>
      <c r="BC405" s="759"/>
      <c r="BD405" s="759"/>
      <c r="BE405" s="759"/>
      <c r="BF405" s="759"/>
      <c r="BG405" s="760"/>
      <c r="BH405" s="1678"/>
      <c r="BI405" s="1678"/>
      <c r="BJ405" s="1678"/>
      <c r="BK405" s="1678"/>
      <c r="BL405" s="1678"/>
      <c r="BM405" s="1678"/>
      <c r="BN405" s="1678"/>
      <c r="BO405" s="1678"/>
      <c r="BP405" s="1678"/>
      <c r="BQ405" s="832"/>
    </row>
    <row r="406" spans="1:69" s="782" customFormat="1" x14ac:dyDescent="0.2">
      <c r="A406" s="852">
        <f>A391+1</f>
        <v>99</v>
      </c>
      <c r="B406" s="1791">
        <v>394</v>
      </c>
      <c r="C406" s="851" t="str">
        <f>Valid!$B$71</f>
        <v>At-Grade/Ballast (including expressway)</v>
      </c>
      <c r="D406" s="1841"/>
      <c r="E406" s="1245" t="str">
        <f>IF(AT406="N/A","",IF(AT406="N","No","Yes"))</f>
        <v/>
      </c>
      <c r="F406" s="764"/>
      <c r="G406" s="764"/>
      <c r="H406" s="1864"/>
      <c r="I406" s="1904" t="str">
        <f>IF(C402="","",IF(J406&lt;&gt;"","Linear Feet   ","Qty? Enter Zero if N/A  "))</f>
        <v/>
      </c>
      <c r="J406" s="1864"/>
      <c r="K406" s="1904" t="str">
        <f>IF(E406="yes","",IF(C402="","",IF(H406="","Qty? Enter Zero if N/A  ",IF(H406&lt;&gt;"","Track Feet      ",""))))</f>
        <v/>
      </c>
      <c r="L406" s="1864"/>
      <c r="M406" s="1620" t="str">
        <f>IF($H406=0,"",IF($L406="",TEXT(BN406,0)&amp;" Years?    ",""))</f>
        <v/>
      </c>
      <c r="N406" s="1905"/>
      <c r="O406" s="1620"/>
      <c r="P406" s="1864"/>
      <c r="Q406" s="1865" t="str">
        <f>IF(OR($N406="",$H406=0, P406&lt;&gt;""),"", IF($BK406&lt;&gt;0, "0 - ", "")&amp;IF($N406="%", TEXT($BK406, "0%"), IF($BK406&lt;1000, TEXT($BK406, "#,##0"), TEXT($BK406/1000, "#,##0")&amp;"k")&amp;" ft.")&amp;"?  ")</f>
        <v/>
      </c>
      <c r="R406" s="1864"/>
      <c r="S406" s="1865" t="str">
        <f>IF(OR($N406="",$H406=0, R406&lt;&gt;""),"", IF($BK406&lt;&gt;0, "0 - ", "")&amp;IF($N406="%", TEXT($BK406, "0%"), IF($BK406&lt;1000, TEXT($BK406, "#,##0"), TEXT($BK406/1000, "#,##0")&amp;"k")&amp;" ft.")&amp;"?  ")</f>
        <v/>
      </c>
      <c r="T406" s="1864"/>
      <c r="U406" s="1865" t="str">
        <f>IF(OR($N406="",$H406=0, T406&lt;&gt;""),"", IF($BK406&lt;&gt;0, "0 - ", "")&amp;IF($N406="%", TEXT($BK406, "0%"), IF($BK406&lt;1000, TEXT($BK406, "#,##0"), TEXT($BK406/1000, "#,##0")&amp;"k")&amp;" ft.")&amp;"?  ")</f>
        <v/>
      </c>
      <c r="V406" s="1864"/>
      <c r="W406" s="1865" t="str">
        <f>IF(OR($N406="",$H406=0, V406&lt;&gt;""),"", IF($BK406&lt;&gt;0, "0 - ", "")&amp;IF($N406="%", TEXT($BK406, "0%"), IF($BK406&lt;1000, TEXT($BK406, "#,##0"), TEXT($BK406/1000, "#,##0")&amp;"k")&amp;" ft.")&amp;"?  ")</f>
        <v/>
      </c>
      <c r="X406" s="1864"/>
      <c r="Y406" s="1865" t="str">
        <f>IF(OR($N406="",$H406=0, X406&lt;&gt;""),"", IF($BK406&lt;&gt;0, "0 - ", "")&amp;IF($N406="%", TEXT($BK406, "0%"), IF($BK406&lt;1000, TEXT($BK406, "#,##0"), TEXT($BK406/1000, "#,##0")&amp;"k")&amp;" ft.")&amp;"?  ")</f>
        <v/>
      </c>
      <c r="Z406" s="1864"/>
      <c r="AA406" s="1865" t="str">
        <f>IF(OR($N406="",$H406=0, Z406&lt;&gt;""),"", IF($BK406&lt;&gt;0, "0 - ", "")&amp;IF($N406="%", TEXT($BK406, "0%"), IF($BK406&lt;1000, TEXT($BK406, "#,##0"), TEXT($BK406/1000, "#,##0")&amp;"k")&amp;" ft.")&amp;"?  ")</f>
        <v/>
      </c>
      <c r="AB406" s="1864"/>
      <c r="AC406" s="1865" t="str">
        <f>IF(OR($N406="",$H406=0, AB406&lt;&gt;""),"", IF($BK406&lt;&gt;0, "0 - ", "")&amp;IF($N406="%", TEXT($BK406, "0%"), IF($BK406&lt;1000, TEXT($BK406, "#,##0"), TEXT($BK406/1000, "#,##0")&amp;"k")&amp;" ft.")&amp;"?  ")</f>
        <v/>
      </c>
      <c r="AD406" s="1864"/>
      <c r="AE406" s="1865" t="str">
        <f>IF(OR($N406="",$H406=0, AD406&lt;&gt;""),"", IF($BK406&lt;&gt;0, "0 - ", "")&amp;IF($N406="%", TEXT($BK406, "0%"), IF($BK406&lt;1000, TEXT($BK406, "#,##0"), TEXT($BK406/1000, "#,##0")&amp;"k")&amp;" ft.")&amp;"?  ")</f>
        <v/>
      </c>
      <c r="AF406" s="1864"/>
      <c r="AG406" s="1865" t="str">
        <f>IF(OR($N406="",$H406=0, AF406&lt;&gt;""),"", IF($BK406&lt;&gt;0, "0 - ", "")&amp;IF($N406="%", TEXT($BK406, "0%"), IF($BK406&lt;1000, TEXT($BK406, "#,##0"), TEXT($BK406/1000, "#,##0")&amp;"k")&amp;" ft.")&amp;"?  ")</f>
        <v/>
      </c>
      <c r="AH406" s="1864"/>
      <c r="AI406" s="1865" t="str">
        <f>IF(OR($N406="",$H406=0, AH406&lt;&gt;""),"", IF($BK406&lt;&gt;0, "0 - ", "")&amp;IF($N406="%", TEXT($BK406, "0%"), IF($BK406&lt;1000, TEXT($BK406, "#,##0"), TEXT($BK406/1000, "#,##0")&amp;"k")&amp;" ft.")&amp;"?  ")</f>
        <v/>
      </c>
      <c r="AJ406" s="1833">
        <f>IFERROR(IF(N406="%", SUM(P406,R406,T406,V406,X406,Z406,AB406,AD406,AF406,AH406)/100, SUM(P406,R406,T406,V406,X406,Z406,AB406,AD406,AF406,AH406)/IF(N406="LF", H406,J406)), 0)</f>
        <v>0</v>
      </c>
      <c r="AK406" s="1648"/>
      <c r="AL406" s="1675"/>
      <c r="AM406" s="839"/>
      <c r="AN406" s="1808"/>
      <c r="AO406" s="839"/>
      <c r="AP406" s="1653"/>
      <c r="AQ406" s="839"/>
      <c r="AS406" s="1399"/>
      <c r="AT406" s="1624" t="str">
        <f>IF(AND($C$402="", H406="", J406=""), "N/A", IF(OR(AND(ISNUMBER(H406), ISNUMBER(J406), H406=0, J406=0), AND(AJ406=1, H406&lt;&gt;"", J406&lt;&gt;"", L406&lt;&gt;"", N406&lt;&gt;"", P406&lt;&gt;"", R406&lt;&gt;"", T406&lt;&gt;"", V406&lt;&gt;"", X406&lt;&gt;"", Z406&lt;&gt;"", AB406&lt;&gt;"", AD406&lt;&gt;"", AF406&lt;&gt;"", AH406&lt;&gt;"",AL406&lt;&gt;"", IF(AND(AL406&lt;1, AN406=""), FALSE, TRUE))), "Yes", "No"))</f>
        <v>N/A</v>
      </c>
      <c r="AU406" s="759" t="b">
        <f>IF(AND(H406="",OR(L406&lt;&gt;"",P406&lt;&gt;"",R406&lt;&gt;"",T406&lt;&gt;"",V406&lt;&gt;"",X406&lt;&gt;"",AL406&lt;&gt;"",Z406&lt;&gt;"",AB406&lt;&gt;"",AD406&lt;&gt;"",AF406&lt;&gt;"",AH406&lt;&gt;"")),TRUE,FALSE)</f>
        <v>0</v>
      </c>
      <c r="AV406" s="759" t="b">
        <f>IF(OR(H406="",H406=0),FALSE,IF(H406&gt;BM406,TRUE,FALSE))</f>
        <v>0</v>
      </c>
      <c r="AW406" s="759" t="b">
        <f>IF(AND($C$402&lt;&gt;"",$H406=""),TRUE,FALSE)</f>
        <v>0</v>
      </c>
      <c r="AX406" s="759" t="b">
        <f>IF(E406="yes",FALSE,IF(H406="0",FALSE,IF(AND($C$402&lt;&gt;"",J406=""),TRUE,FALSE)))</f>
        <v>0</v>
      </c>
      <c r="AY406" s="759" t="b">
        <f>IF($L406="",FALSE,IF($L406&lt;$BO406,TRUE,FALSE))</f>
        <v>0</v>
      </c>
      <c r="AZ406" s="759" t="b">
        <f>IF($L406="",FALSE,IF($L406&gt;$BP406,TRUE,FALSE))</f>
        <v>0</v>
      </c>
      <c r="BA406" s="759" t="b">
        <f>IF(H406=0,FALSE,IF(AND(E406&lt;&gt;"",$L406=""),TRUE,FALSE))</f>
        <v>0</v>
      </c>
      <c r="BB406" s="759" t="b">
        <f>IF(AND($AJ406&lt;&gt;0,$H406&lt;&gt;$BJ406,$N406="LF"),TRUE,IF(AND($AJ406&lt;&gt;0,$J406&lt;&gt;$AJ406,$N406="TF"),TRUE,IF(AND($AJ406&lt;&gt;0,$AJ406&lt;&gt;1,$N406="%"),TRUE,FALSE)))</f>
        <v>0</v>
      </c>
      <c r="BC406" s="759" t="b">
        <f>IF(AT406="No", IF(OR(P406="", R406="", T406="", V406="", X406="", Z406="", AB406="", AD406="", AF406="", AH406=""), TRUE, FALSE), FALSE)</f>
        <v>0</v>
      </c>
      <c r="BD406" s="759" t="b">
        <f>IF($BE406=TRUE,FALSE,IF(OR($AL406&lt;0,$AL406&gt;1),TRUE,FALSE))</f>
        <v>0</v>
      </c>
      <c r="BE406" s="759" t="b">
        <f>IF(AND($H406&lt;&gt;0,$AL406=""),TRUE,FALSE)</f>
        <v>0</v>
      </c>
      <c r="BF406" s="759" t="b">
        <f>IF(N406="%",TRUE,FALSE)</f>
        <v>0</v>
      </c>
      <c r="BG406" s="760"/>
      <c r="BH406" s="1678">
        <f>IF($C406="","",VLOOKUP($C406,val_fg_assets,9,FALSE))</f>
        <v>1</v>
      </c>
      <c r="BI406" s="1678" t="str">
        <f>IF(N406="", "", IF(N406="LF", H406, IF(N406="TF", J406, IF(N406="%", 1, ""))))</f>
        <v/>
      </c>
      <c r="BJ406" s="1679">
        <f>P406+R406+T406+V406+X406+Z406+AB406+AD406+AF406+AH406</f>
        <v>0</v>
      </c>
      <c r="BK406" s="1679" t="str">
        <f>IF(BI406="", "", BI406-BJ406)</f>
        <v/>
      </c>
      <c r="BL406" s="1679">
        <f>IF($C406="","",VLOOKUP($C406,val_fg_assets,3,FALSE))</f>
        <v>0</v>
      </c>
      <c r="BM406" s="1679">
        <f>IF($C406="","",VLOOKUP($C406,val_fg_assets,4,FALSE))</f>
        <v>1320000</v>
      </c>
      <c r="BN406" s="1678">
        <f>IF($C406="","",VLOOKUP($C406,val_fg_assets,5,FALSE))</f>
        <v>80</v>
      </c>
      <c r="BO406" s="1678">
        <f>IF($C406="","",VLOOKUP($C406,val_fg_assets,6,FALSE))</f>
        <v>60</v>
      </c>
      <c r="BP406" s="1678">
        <f>IF($C406="","",VLOOKUP($C406,val_fg_assets,7,FALSE))</f>
        <v>100</v>
      </c>
      <c r="BQ406" s="1399"/>
    </row>
    <row r="407" spans="1:69" s="782" customFormat="1" ht="3.95" customHeight="1" x14ac:dyDescent="0.2">
      <c r="A407" s="1672"/>
      <c r="B407" s="1790">
        <v>395</v>
      </c>
      <c r="C407" s="1673"/>
      <c r="D407" s="1841"/>
      <c r="E407" s="1057"/>
      <c r="F407" s="764"/>
      <c r="G407" s="764"/>
      <c r="H407" s="1906"/>
      <c r="I407" s="1907"/>
      <c r="J407" s="1908"/>
      <c r="K407" s="1907"/>
      <c r="L407" s="1909"/>
      <c r="M407" s="1910"/>
      <c r="N407" s="1911"/>
      <c r="O407" s="1910"/>
      <c r="P407" s="1866"/>
      <c r="Q407" s="1867"/>
      <c r="R407" s="1866"/>
      <c r="S407" s="1867"/>
      <c r="T407" s="1866"/>
      <c r="U407" s="1867"/>
      <c r="V407" s="1866"/>
      <c r="W407" s="1867"/>
      <c r="X407" s="1866"/>
      <c r="Y407" s="1867"/>
      <c r="Z407" s="1867"/>
      <c r="AA407" s="1867"/>
      <c r="AB407" s="1867"/>
      <c r="AC407" s="1867"/>
      <c r="AD407" s="1867"/>
      <c r="AE407" s="1867"/>
      <c r="AF407" s="1867"/>
      <c r="AG407" s="1867"/>
      <c r="AH407" s="1867"/>
      <c r="AI407" s="837"/>
      <c r="AJ407" s="1806"/>
      <c r="AK407" s="841"/>
      <c r="AL407" s="1806"/>
      <c r="AM407" s="1399"/>
      <c r="AN407" s="838"/>
      <c r="AO407" s="1399"/>
      <c r="AP407" s="1223"/>
      <c r="AQ407" s="1399"/>
      <c r="AS407" s="1399"/>
      <c r="AT407" s="1399"/>
      <c r="AU407" s="759"/>
      <c r="AV407" s="759"/>
      <c r="AW407" s="759"/>
      <c r="AX407" s="759"/>
      <c r="AY407" s="759"/>
      <c r="AZ407" s="759"/>
      <c r="BA407" s="759"/>
      <c r="BB407" s="759"/>
      <c r="BC407" s="759"/>
      <c r="BD407" s="759"/>
      <c r="BE407" s="759"/>
      <c r="BF407" s="759"/>
      <c r="BG407" s="760"/>
      <c r="BH407" s="1678"/>
      <c r="BI407" s="1678"/>
      <c r="BJ407" s="1678"/>
      <c r="BK407" s="1678"/>
      <c r="BL407" s="1679"/>
      <c r="BM407" s="1679"/>
      <c r="BN407" s="1678"/>
      <c r="BO407" s="1678"/>
      <c r="BP407" s="1678"/>
      <c r="BQ407" s="1399"/>
    </row>
    <row r="408" spans="1:69" s="782" customFormat="1" ht="3.95" customHeight="1" thickBot="1" x14ac:dyDescent="0.25">
      <c r="A408" s="852"/>
      <c r="B408" s="1790">
        <v>396</v>
      </c>
      <c r="C408" s="851"/>
      <c r="D408" s="1841"/>
      <c r="E408" s="1058"/>
      <c r="F408" s="686"/>
      <c r="G408" s="686"/>
      <c r="H408" s="1909"/>
      <c r="I408" s="1908"/>
      <c r="J408" s="1908"/>
      <c r="K408" s="1908"/>
      <c r="L408" s="1909"/>
      <c r="M408" s="722"/>
      <c r="N408" s="1912"/>
      <c r="O408" s="722"/>
      <c r="P408" s="1868"/>
      <c r="Q408" s="1869"/>
      <c r="R408" s="1868"/>
      <c r="S408" s="1869"/>
      <c r="T408" s="1868"/>
      <c r="U408" s="1869"/>
      <c r="V408" s="1868"/>
      <c r="W408" s="1869"/>
      <c r="X408" s="1868"/>
      <c r="Y408" s="1869"/>
      <c r="Z408" s="1869"/>
      <c r="AA408" s="1869"/>
      <c r="AB408" s="1869"/>
      <c r="AC408" s="1869"/>
      <c r="AD408" s="1869"/>
      <c r="AE408" s="1869"/>
      <c r="AF408" s="1869"/>
      <c r="AG408" s="1869"/>
      <c r="AH408" s="1869"/>
      <c r="AI408" s="1670"/>
      <c r="AJ408" s="1828"/>
      <c r="AK408" s="724"/>
      <c r="AL408" s="1806"/>
      <c r="AM408" s="1399"/>
      <c r="AN408" s="1258"/>
      <c r="AO408" s="1399"/>
      <c r="AP408" s="1399"/>
      <c r="AQ408" s="1399"/>
      <c r="AS408" s="1399"/>
      <c r="AT408" s="1399"/>
      <c r="AU408" s="759"/>
      <c r="AV408" s="759"/>
      <c r="AW408" s="759"/>
      <c r="AX408" s="759"/>
      <c r="AY408" s="759"/>
      <c r="AZ408" s="759"/>
      <c r="BA408" s="759"/>
      <c r="BB408" s="759"/>
      <c r="BC408" s="759"/>
      <c r="BD408" s="759"/>
      <c r="BE408" s="759"/>
      <c r="BF408" s="759"/>
      <c r="BG408" s="760"/>
      <c r="BH408" s="1678"/>
      <c r="BI408" s="1678"/>
      <c r="BJ408" s="1678"/>
      <c r="BK408" s="1678"/>
      <c r="BL408" s="1679"/>
      <c r="BM408" s="1679"/>
      <c r="BN408" s="1678"/>
      <c r="BO408" s="1678"/>
      <c r="BP408" s="1678"/>
      <c r="BQ408" s="1399"/>
    </row>
    <row r="409" spans="1:69" s="782" customFormat="1" x14ac:dyDescent="0.2">
      <c r="A409" s="852">
        <f>A406+1</f>
        <v>100</v>
      </c>
      <c r="B409" s="1791">
        <v>397</v>
      </c>
      <c r="C409" s="851" t="str">
        <f>Valid!$B$72</f>
        <v>At-Grade/In-Street/Embedded</v>
      </c>
      <c r="D409" s="1841"/>
      <c r="E409" s="1245" t="str">
        <f>IF(AT409="N/A","",IF(AT409="N","No","Yes"))</f>
        <v/>
      </c>
      <c r="F409" s="764"/>
      <c r="G409" s="764"/>
      <c r="H409" s="1864"/>
      <c r="I409" s="1904" t="str">
        <f>IF(C402="","",IF(J409&lt;&gt;"","Linear Feet   ","Qty? Enter Zero if N/A  "))</f>
        <v/>
      </c>
      <c r="J409" s="1864"/>
      <c r="K409" s="1904" t="str">
        <f>IF(E409="yes","",IF(C402="","",IF(H409="","Qty? Enter Zero if N/A  ",IF(H409&lt;&gt;"","Track Feet      ",""))))</f>
        <v/>
      </c>
      <c r="L409" s="1864"/>
      <c r="M409" s="1620" t="str">
        <f>IF($H409=0,"",IF($L409="",TEXT(BN409,0)&amp;" Years?    ",""))</f>
        <v/>
      </c>
      <c r="N409" s="1905"/>
      <c r="O409" s="1620"/>
      <c r="P409" s="1864"/>
      <c r="Q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R409" s="1864"/>
      <c r="S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T409" s="1864"/>
      <c r="U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V409" s="1864"/>
      <c r="W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X409" s="1864"/>
      <c r="Y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Z409" s="1864"/>
      <c r="AA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B409" s="1864"/>
      <c r="AC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D409" s="1864"/>
      <c r="AE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F409" s="1864"/>
      <c r="AG409" s="1865"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H409" s="1864"/>
      <c r="AI409" s="904" t="str">
        <f>IF($N409="","",IF(AND($N409="",OR($H409="",$H409=0)),"",IF(AND($N409="LF",$AJ409&lt;$H409),"0 - "&amp;TEXT(($H409-$AJ409)/1000,"0")&amp;"k lin. ft.?    ",IF(AND($N409="TF",$AJ409&lt;$J409),"0 - "&amp;TEXT(($J409-$AJ409)/1000,"0")&amp;"k track ft.?    ",IF(AND($N409="%",$AJ409&lt;1),REPLACE(IF(AND($P409&gt;0,$V409&gt;0,$T409&gt;0,$X409&gt;0,$R409&gt;0,$Z409&gt;0,$AB409&gt;0,$AD409&gt;0,$AF409&gt;0,$AH409&gt;0),"","0-"),99,0,REPLACE(TEXT(100-$AJ409,0),99,0,"%?    ")),"")))))</f>
        <v/>
      </c>
      <c r="AJ409" s="1833">
        <f>IFERROR(IF(N409="%", SUM(P409,R409,T409,V409,X409,Z409,AB409,AD409,AF409,AH409)/100, SUM(P409,R409,T409,V409,X409,Z409,AB409,AD409,AF409,AH409)/IF(N409="LF", H409,J409)), 0)</f>
        <v>0</v>
      </c>
      <c r="AK409" s="1648"/>
      <c r="AL409" s="1675"/>
      <c r="AM409" s="1399"/>
      <c r="AN409" s="1808"/>
      <c r="AO409" s="1399"/>
      <c r="AP409" s="1653"/>
      <c r="AQ409" s="1399"/>
      <c r="AS409" s="1399"/>
      <c r="AT409" s="1624" t="str">
        <f>IF(AND($C$402="", H409="", J409=""), "N/A", IF(OR(AND(ISNUMBER(H409), ISNUMBER(J409), H409=0, J409=0), AND(AJ409=1, H409&lt;&gt;"", J409&lt;&gt;"", L409&lt;&gt;"", N409&lt;&gt;"", P409&lt;&gt;"", R409&lt;&gt;"", T409&lt;&gt;"", V409&lt;&gt;"", X409&lt;&gt;"", Z409&lt;&gt;"", AB409&lt;&gt;"", AD409&lt;&gt;"", AF409&lt;&gt;"", AH409&lt;&gt;"",AL409&lt;&gt;"", IF(AND(AL409&lt;1, AN409=""), FALSE, TRUE))), "Yes", "No"))</f>
        <v>N/A</v>
      </c>
      <c r="AU409" s="759" t="b">
        <f>IF(AND(H409="",OR(L409&lt;&gt;"",P409&lt;&gt;"",R409&lt;&gt;"",T409&lt;&gt;"",V409&lt;&gt;"",X409&lt;&gt;"",AL409&lt;&gt;"",Z409&lt;&gt;"",AB409&lt;&gt;"",AD409&lt;&gt;"",AF409&lt;&gt;"",AH409&lt;&gt;"")),TRUE,FALSE)</f>
        <v>0</v>
      </c>
      <c r="AV409" s="759" t="b">
        <f>IF(OR(H409="",H409=0),FALSE,IF(H409&gt;BM409,TRUE,FALSE))</f>
        <v>0</v>
      </c>
      <c r="AW409" s="759" t="b">
        <f>IF(AND($C$402&lt;&gt;"",$H409=""),TRUE,FALSE)</f>
        <v>0</v>
      </c>
      <c r="AX409" s="759" t="b">
        <f>IF(E409="yes",FALSE,IF(H409="0",FALSE,IF(AND($C$402&lt;&gt;"",J409=""),TRUE,FALSE)))</f>
        <v>0</v>
      </c>
      <c r="AY409" s="759" t="b">
        <f>IF($L409="",FALSE,IF($L409&lt;$BO409,TRUE,FALSE))</f>
        <v>0</v>
      </c>
      <c r="AZ409" s="759" t="b">
        <f>IF($L409="",FALSE,IF($L409&gt;$BP409,TRUE,FALSE))</f>
        <v>0</v>
      </c>
      <c r="BA409" s="759" t="b">
        <f>IF(H409=0,FALSE,IF(AND(E409&lt;&gt;"",$L409=""),TRUE,FALSE))</f>
        <v>0</v>
      </c>
      <c r="BB409" s="759" t="b">
        <f>IF(AND($AJ409&lt;&gt;0,$H409&lt;&gt;$BJ409,$N409="LF"),TRUE,IF(AND($AJ409&lt;&gt;0,$J409&lt;&gt;$AJ409,$N409="TF"),TRUE,IF(AND($AJ409&lt;&gt;0,$AJ409&lt;&gt;1,$N409="%"),TRUE,FALSE)))</f>
        <v>0</v>
      </c>
      <c r="BC409" s="759" t="b">
        <f>IF(AT409="No", IF(OR(P409="", R409="", T409="", V409="", X409="", Z409="", AB409="", AD409="", AF409="", AH409=""), TRUE, FALSE), FALSE)</f>
        <v>0</v>
      </c>
      <c r="BD409" s="759" t="b">
        <f>IF($BE409=TRUE,FALSE,IF(OR($AL409&lt;0,$AL409&gt;1),TRUE,FALSE))</f>
        <v>0</v>
      </c>
      <c r="BE409" s="759" t="b">
        <f>IF(AND($H409&lt;&gt;0,$AL409=""),TRUE,FALSE)</f>
        <v>0</v>
      </c>
      <c r="BF409" s="759" t="b">
        <f>IF(N409="%",TRUE,FALSE)</f>
        <v>0</v>
      </c>
      <c r="BG409" s="760"/>
      <c r="BH409" s="1678">
        <f>IF($C409="","",VLOOKUP($C409,val_fg_assets,9,FALSE))</f>
        <v>1</v>
      </c>
      <c r="BI409" s="1678" t="str">
        <f>IF(N409="", "", IF(N409="LF", H409, IF(N409="TF", J409, IF(N409="%", 1, ""))))</f>
        <v/>
      </c>
      <c r="BJ409" s="1679">
        <f>P409+R409+T409+V409+X409+Z409+AB409+AD409+AF409+AH409</f>
        <v>0</v>
      </c>
      <c r="BK409" s="1679" t="str">
        <f>IF(BI409="", "", BI409-BJ409)</f>
        <v/>
      </c>
      <c r="BL409" s="1679">
        <f>IF($C409="","",VLOOKUP($C409,val_fg_assets,3,FALSE))</f>
        <v>0</v>
      </c>
      <c r="BM409" s="1679">
        <f>IF($C409="","",VLOOKUP($C409,val_fg_assets,4,FALSE))</f>
        <v>1320000</v>
      </c>
      <c r="BN409" s="1678">
        <f>IF($C409="","",VLOOKUP($C409,val_fg_assets,5,FALSE))</f>
        <v>80</v>
      </c>
      <c r="BO409" s="1678">
        <f>IF($C409="","",VLOOKUP($C409,val_fg_assets,6,FALSE))</f>
        <v>60</v>
      </c>
      <c r="BP409" s="1678">
        <f>IF($C409="","",VLOOKUP($C409,val_fg_assets,7,FALSE))</f>
        <v>100</v>
      </c>
      <c r="BQ409" s="1399"/>
    </row>
    <row r="410" spans="1:69" s="782" customFormat="1" ht="3.95" customHeight="1" x14ac:dyDescent="0.2">
      <c r="A410" s="852"/>
      <c r="B410" s="1791">
        <v>398</v>
      </c>
      <c r="C410" s="851"/>
      <c r="D410" s="1841"/>
      <c r="E410" s="1058"/>
      <c r="F410" s="686"/>
      <c r="G410" s="686"/>
      <c r="H410" s="1906"/>
      <c r="I410" s="1907"/>
      <c r="J410" s="1908"/>
      <c r="K410" s="1907"/>
      <c r="L410" s="1909"/>
      <c r="M410" s="1910"/>
      <c r="N410" s="1911"/>
      <c r="O410" s="1910"/>
      <c r="P410" s="1866"/>
      <c r="Q410" s="1867"/>
      <c r="R410" s="1866"/>
      <c r="S410" s="1867"/>
      <c r="T410" s="1866"/>
      <c r="U410" s="1867"/>
      <c r="V410" s="1866"/>
      <c r="W410" s="1867"/>
      <c r="X410" s="1866"/>
      <c r="Y410" s="1867"/>
      <c r="Z410" s="1867"/>
      <c r="AA410" s="1867"/>
      <c r="AB410" s="1867"/>
      <c r="AC410" s="1867"/>
      <c r="AD410" s="1867"/>
      <c r="AE410" s="1867"/>
      <c r="AF410" s="1867"/>
      <c r="AG410" s="1867"/>
      <c r="AH410" s="1867"/>
      <c r="AI410" s="837"/>
      <c r="AJ410" s="1806"/>
      <c r="AK410" s="841"/>
      <c r="AL410" s="1806"/>
      <c r="AM410" s="1399"/>
      <c r="AN410" s="838"/>
      <c r="AO410" s="1399"/>
      <c r="AP410" s="1399"/>
      <c r="AQ410" s="1399"/>
      <c r="AS410" s="1399"/>
      <c r="AT410" s="1399"/>
      <c r="AU410" s="759"/>
      <c r="AV410" s="759"/>
      <c r="AW410" s="759"/>
      <c r="AX410" s="759"/>
      <c r="AY410" s="759"/>
      <c r="AZ410" s="759"/>
      <c r="BA410" s="759"/>
      <c r="BB410" s="759"/>
      <c r="BC410" s="759"/>
      <c r="BD410" s="759"/>
      <c r="BE410" s="759"/>
      <c r="BF410" s="759"/>
      <c r="BG410" s="760"/>
      <c r="BH410" s="1678"/>
      <c r="BI410" s="1678"/>
      <c r="BJ410" s="1678"/>
      <c r="BK410" s="1678"/>
      <c r="BL410" s="1679"/>
      <c r="BM410" s="1679"/>
      <c r="BN410" s="1678"/>
      <c r="BO410" s="1678"/>
      <c r="BP410" s="1678"/>
      <c r="BQ410" s="1399"/>
    </row>
    <row r="411" spans="1:69" s="782" customFormat="1" ht="3.95" customHeight="1" thickBot="1" x14ac:dyDescent="0.25">
      <c r="A411" s="852"/>
      <c r="B411" s="1791">
        <v>399</v>
      </c>
      <c r="C411" s="1673"/>
      <c r="D411" s="1841"/>
      <c r="E411" s="1057"/>
      <c r="F411" s="764"/>
      <c r="G411" s="764"/>
      <c r="H411" s="1913"/>
      <c r="I411" s="1908"/>
      <c r="J411" s="1908"/>
      <c r="K411" s="1908"/>
      <c r="L411" s="1909"/>
      <c r="M411" s="722"/>
      <c r="N411" s="1912"/>
      <c r="O411" s="722"/>
      <c r="P411" s="1868"/>
      <c r="Q411" s="1869"/>
      <c r="R411" s="1868"/>
      <c r="S411" s="1869"/>
      <c r="T411" s="1868"/>
      <c r="U411" s="1869"/>
      <c r="V411" s="1868"/>
      <c r="W411" s="1869"/>
      <c r="X411" s="1868"/>
      <c r="Y411" s="1869"/>
      <c r="Z411" s="1869"/>
      <c r="AA411" s="1869"/>
      <c r="AB411" s="1869"/>
      <c r="AC411" s="1869"/>
      <c r="AD411" s="1869"/>
      <c r="AE411" s="1869"/>
      <c r="AF411" s="1869"/>
      <c r="AG411" s="1869"/>
      <c r="AH411" s="1869"/>
      <c r="AI411" s="1670"/>
      <c r="AJ411" s="1828"/>
      <c r="AK411" s="724"/>
      <c r="AL411" s="1806"/>
      <c r="AM411" s="1399"/>
      <c r="AN411" s="1258"/>
      <c r="AO411" s="1399"/>
      <c r="AP411" s="1223"/>
      <c r="AQ411" s="1399"/>
      <c r="AS411" s="1399"/>
      <c r="AT411" s="1399"/>
      <c r="AU411" s="759"/>
      <c r="AV411" s="759"/>
      <c r="AW411" s="759"/>
      <c r="AX411" s="759"/>
      <c r="AY411" s="759"/>
      <c r="AZ411" s="759"/>
      <c r="BA411" s="759"/>
      <c r="BB411" s="759"/>
      <c r="BC411" s="759"/>
      <c r="BD411" s="759"/>
      <c r="BE411" s="759"/>
      <c r="BF411" s="759"/>
      <c r="BG411" s="760"/>
      <c r="BH411" s="1678"/>
      <c r="BI411" s="1678"/>
      <c r="BJ411" s="1678"/>
      <c r="BK411" s="1678"/>
      <c r="BL411" s="1679"/>
      <c r="BM411" s="1679"/>
      <c r="BN411" s="1678"/>
      <c r="BO411" s="1678"/>
      <c r="BP411" s="1678"/>
      <c r="BQ411" s="1399"/>
    </row>
    <row r="412" spans="1:69" s="782" customFormat="1" x14ac:dyDescent="0.2">
      <c r="A412" s="852">
        <f>A409+1</f>
        <v>101</v>
      </c>
      <c r="B412" s="1790">
        <v>400</v>
      </c>
      <c r="C412" s="851" t="str">
        <f>Valid!$B$73</f>
        <v>Elevated/Retained Fill</v>
      </c>
      <c r="D412" s="1841"/>
      <c r="E412" s="1245" t="str">
        <f>IF(AT412="N/A","",IF(AT412="N","No","Yes"))</f>
        <v/>
      </c>
      <c r="F412" s="686"/>
      <c r="G412" s="686"/>
      <c r="H412" s="1864"/>
      <c r="I412" s="1904" t="str">
        <f>IF(C402="","",IF(J412&lt;&gt;"","Linear Feet   ","Qty? Enter Zero if N/A  "))</f>
        <v/>
      </c>
      <c r="J412" s="1864"/>
      <c r="K412" s="1904" t="str">
        <f>IF(E412="yes","",IF(C402="","",IF(H412="","Qty? Enter Zero if N/A  ",IF(H412&lt;&gt;"","Track Feet      ",""))))</f>
        <v/>
      </c>
      <c r="L412" s="1864"/>
      <c r="M412" s="1620" t="str">
        <f>IF($H412=0,"",IF($L412="",TEXT(BN412,0)&amp;" Years?    ",""))</f>
        <v/>
      </c>
      <c r="N412" s="1905"/>
      <c r="O412" s="1620"/>
      <c r="P412" s="1864"/>
      <c r="Q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R412" s="1864"/>
      <c r="S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T412" s="1864"/>
      <c r="U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V412" s="1864"/>
      <c r="W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X412" s="1864"/>
      <c r="Y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Z412" s="1864"/>
      <c r="AA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B412" s="1864"/>
      <c r="AC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D412" s="1864"/>
      <c r="AE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F412" s="1864"/>
      <c r="AG412" s="1865"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H412" s="1864"/>
      <c r="AI412" s="904" t="str">
        <f>IF($N412="","",IF(AND($N412="",OR($H412="",$H412=0)),"",IF(AND($N412="LF",$AJ412&lt;$H412),"0 - "&amp;TEXT(($H412-$AJ412)/1000,"0")&amp;"k lin. ft.?    ",IF(AND($N412="TF",$AJ412&lt;$J412),"0 - "&amp;TEXT(($J412-$AJ412)/1000,"0")&amp;"k track ft.?    ",IF(AND($N412="%",$AJ412&lt;1),REPLACE(IF(AND($P412&gt;0,$V412&gt;0,$T412&gt;0,$X412&gt;0,$R412&gt;0,$Z412&gt;0,$AB412&gt;0,$AD412&gt;0,$AF412&gt;0,$AH412&gt;0),"","0-"),99,0,REPLACE(TEXT(100-$AJ412,0),99,0,"%?    ")),"")))))</f>
        <v/>
      </c>
      <c r="AJ412" s="1833">
        <f>IFERROR(IF(N412="%", SUM(P412,R412,T412,V412,X412,Z412,AB412,AD412,AF412,AH412)/100, SUM(P412,R412,T412,V412,X412,Z412,AB412,AD412,AF412,AH412)/IF(N412="LF", H412,J412)), 0)</f>
        <v>0</v>
      </c>
      <c r="AK412" s="1648"/>
      <c r="AL412" s="1675"/>
      <c r="AM412" s="1399"/>
      <c r="AN412" s="1808"/>
      <c r="AO412" s="1399"/>
      <c r="AP412" s="1653"/>
      <c r="AQ412" s="1399"/>
      <c r="AS412" s="1399"/>
      <c r="AT412" s="1624" t="str">
        <f>IF(AND($C$402="", H412="", J412=""), "N/A", IF(OR(AND(ISNUMBER(H412), ISNUMBER(J412), H412=0, J412=0), AND(AJ412=1, H412&lt;&gt;"", J412&lt;&gt;"", L412&lt;&gt;"", N412&lt;&gt;"", P412&lt;&gt;"", R412&lt;&gt;"", T412&lt;&gt;"", V412&lt;&gt;"", X412&lt;&gt;"", Z412&lt;&gt;"", AB412&lt;&gt;"", AD412&lt;&gt;"", AF412&lt;&gt;"", AH412&lt;&gt;"",AL412&lt;&gt;"", IF(AND(AL412&lt;1, AN412=""), FALSE, TRUE))), "Yes", "No"))</f>
        <v>N/A</v>
      </c>
      <c r="AU412" s="759" t="b">
        <f>IF(AND(H412="",OR(L412&lt;&gt;"",P412&lt;&gt;"",R412&lt;&gt;"",T412&lt;&gt;"",V412&lt;&gt;"",X412&lt;&gt;"",AL412&lt;&gt;"",Z412&lt;&gt;"",AB412&lt;&gt;"",AD412&lt;&gt;"",AF412&lt;&gt;"",AH412&lt;&gt;"")),TRUE,FALSE)</f>
        <v>0</v>
      </c>
      <c r="AV412" s="759" t="b">
        <f>IF(OR(H412="",H412=0),FALSE,IF(H412&gt;BM412,TRUE,FALSE))</f>
        <v>0</v>
      </c>
      <c r="AW412" s="759" t="b">
        <f>IF(AND($C$402&lt;&gt;"",$H412=""),TRUE,FALSE)</f>
        <v>0</v>
      </c>
      <c r="AX412" s="759" t="b">
        <f>IF(E412="yes",FALSE,IF(H412="0",FALSE,IF(AND($C$402&lt;&gt;"",J412=""),TRUE,FALSE)))</f>
        <v>0</v>
      </c>
      <c r="AY412" s="759" t="b">
        <f>IF($L412="",FALSE,IF($L412&lt;$BO412,TRUE,FALSE))</f>
        <v>0</v>
      </c>
      <c r="AZ412" s="759" t="b">
        <f>IF($L412="",FALSE,IF($L412&gt;$BP412,TRUE,FALSE))</f>
        <v>0</v>
      </c>
      <c r="BA412" s="759" t="b">
        <f>IF(H412=0,FALSE,IF(AND(E412&lt;&gt;"",$L412=""),TRUE,FALSE))</f>
        <v>0</v>
      </c>
      <c r="BB412" s="759" t="b">
        <f>IF(AND($AJ412&lt;&gt;0,$H412&lt;&gt;$BJ412,$N412="LF"),TRUE,IF(AND($AJ412&lt;&gt;0,$J412&lt;&gt;$AJ412,$N412="TF"),TRUE,IF(AND($AJ412&lt;&gt;0,$AJ412&lt;&gt;1,$N412="%"),TRUE,FALSE)))</f>
        <v>0</v>
      </c>
      <c r="BC412" s="759" t="b">
        <f>IF(AT412="No", IF(OR(P412="", R412="", T412="", V412="", X412="", Z412="", AB412="", AD412="", AF412="", AH412=""), TRUE, FALSE), FALSE)</f>
        <v>0</v>
      </c>
      <c r="BD412" s="759" t="b">
        <f>IF($BE412=TRUE,FALSE,IF(OR($AL412&lt;0,$AL412&gt;1),TRUE,FALSE))</f>
        <v>0</v>
      </c>
      <c r="BE412" s="759" t="b">
        <f>IF(AND($H412&lt;&gt;0,$AL412=""),TRUE,FALSE)</f>
        <v>0</v>
      </c>
      <c r="BF412" s="759" t="b">
        <f>IF(N412="%",TRUE,FALSE)</f>
        <v>0</v>
      </c>
      <c r="BG412" s="760"/>
      <c r="BH412" s="1678">
        <f>IF($C412="","",VLOOKUP($C412,val_fg_assets,9,FALSE))</f>
        <v>1</v>
      </c>
      <c r="BI412" s="1678" t="str">
        <f>IF(N412="", "", IF(N412="LF", H412, IF(N412="TF", J412, IF(N412="%", 1, ""))))</f>
        <v/>
      </c>
      <c r="BJ412" s="1679">
        <f>P412+R412+T412+V412+X412+Z412+AB412+AD412+AF412+AH412</f>
        <v>0</v>
      </c>
      <c r="BK412" s="1679" t="str">
        <f>IF(BI412="", "", BI412-BJ412)</f>
        <v/>
      </c>
      <c r="BL412" s="1679">
        <f>IF($C412="","",VLOOKUP($C412,val_fg_assets,3,FALSE))</f>
        <v>0</v>
      </c>
      <c r="BM412" s="1679">
        <f>IF($C412="","",VLOOKUP($C412,val_fg_assets,4,FALSE))</f>
        <v>1320000</v>
      </c>
      <c r="BN412" s="1678">
        <f>IF($C412="","",VLOOKUP($C412,val_fg_assets,5,FALSE))</f>
        <v>80</v>
      </c>
      <c r="BO412" s="1678">
        <f>IF($C412="","",VLOOKUP($C412,val_fg_assets,6,FALSE))</f>
        <v>60</v>
      </c>
      <c r="BP412" s="1678">
        <f>IF($C412="","",VLOOKUP($C412,val_fg_assets,7,FALSE))</f>
        <v>100</v>
      </c>
      <c r="BQ412" s="1399"/>
    </row>
    <row r="413" spans="1:69" s="782" customFormat="1" ht="3.95" customHeight="1" x14ac:dyDescent="0.2">
      <c r="A413" s="852"/>
      <c r="B413" s="1790">
        <v>401</v>
      </c>
      <c r="C413" s="1673"/>
      <c r="D413" s="1841"/>
      <c r="E413" s="1057"/>
      <c r="F413" s="764"/>
      <c r="G413" s="764"/>
      <c r="H413" s="1909"/>
      <c r="I413" s="1908"/>
      <c r="J413" s="1908"/>
      <c r="K413" s="1908"/>
      <c r="L413" s="1909"/>
      <c r="M413" s="1910"/>
      <c r="N413" s="1911"/>
      <c r="O413" s="1910"/>
      <c r="P413" s="1866"/>
      <c r="Q413" s="1867"/>
      <c r="R413" s="1866"/>
      <c r="S413" s="1867"/>
      <c r="T413" s="1866"/>
      <c r="U413" s="1867"/>
      <c r="V413" s="1866"/>
      <c r="W413" s="1867"/>
      <c r="X413" s="1866"/>
      <c r="Y413" s="1867"/>
      <c r="Z413" s="1867"/>
      <c r="AA413" s="1867"/>
      <c r="AB413" s="1867"/>
      <c r="AC413" s="1867"/>
      <c r="AD413" s="1867"/>
      <c r="AE413" s="1867"/>
      <c r="AF413" s="1867"/>
      <c r="AG413" s="1867"/>
      <c r="AH413" s="1867"/>
      <c r="AI413" s="837"/>
      <c r="AJ413" s="1806"/>
      <c r="AK413" s="841"/>
      <c r="AL413" s="1806"/>
      <c r="AM413" s="1399"/>
      <c r="AN413" s="838"/>
      <c r="AO413" s="1399"/>
      <c r="AP413" s="1399"/>
      <c r="AQ413" s="1399"/>
      <c r="AS413" s="1399"/>
      <c r="AT413" s="1399"/>
      <c r="AU413" s="759"/>
      <c r="AV413" s="759"/>
      <c r="AW413" s="759"/>
      <c r="AX413" s="759"/>
      <c r="AY413" s="759"/>
      <c r="AZ413" s="759"/>
      <c r="BA413" s="759"/>
      <c r="BB413" s="759"/>
      <c r="BC413" s="759"/>
      <c r="BD413" s="759"/>
      <c r="BE413" s="759"/>
      <c r="BF413" s="759"/>
      <c r="BG413" s="760"/>
      <c r="BH413" s="1678"/>
      <c r="BI413" s="1678"/>
      <c r="BJ413" s="1678"/>
      <c r="BK413" s="1678"/>
      <c r="BL413" s="1679"/>
      <c r="BM413" s="1679"/>
      <c r="BN413" s="1678"/>
      <c r="BO413" s="1678"/>
      <c r="BP413" s="1678"/>
      <c r="BQ413" s="1399"/>
    </row>
    <row r="414" spans="1:69" s="782" customFormat="1" ht="3.95" customHeight="1" thickBot="1" x14ac:dyDescent="0.25">
      <c r="A414" s="852"/>
      <c r="B414" s="1791">
        <v>402</v>
      </c>
      <c r="C414" s="851"/>
      <c r="D414" s="1841"/>
      <c r="E414" s="1058"/>
      <c r="F414" s="686"/>
      <c r="G414" s="686"/>
      <c r="H414" s="1913"/>
      <c r="I414" s="1908"/>
      <c r="J414" s="1908"/>
      <c r="K414" s="1908"/>
      <c r="L414" s="1909"/>
      <c r="M414" s="722"/>
      <c r="N414" s="1912"/>
      <c r="O414" s="722"/>
      <c r="P414" s="1868"/>
      <c r="Q414" s="1869"/>
      <c r="R414" s="1868"/>
      <c r="S414" s="1869"/>
      <c r="T414" s="1868"/>
      <c r="U414" s="1869"/>
      <c r="V414" s="1868"/>
      <c r="W414" s="1869"/>
      <c r="X414" s="1868"/>
      <c r="Y414" s="1869"/>
      <c r="Z414" s="1869"/>
      <c r="AA414" s="1869"/>
      <c r="AB414" s="1869"/>
      <c r="AC414" s="1869"/>
      <c r="AD414" s="1869"/>
      <c r="AE414" s="1869"/>
      <c r="AF414" s="1869"/>
      <c r="AG414" s="1869"/>
      <c r="AH414" s="1869"/>
      <c r="AI414" s="1670"/>
      <c r="AJ414" s="1828"/>
      <c r="AK414" s="724"/>
      <c r="AL414" s="1806"/>
      <c r="AM414" s="1399"/>
      <c r="AN414" s="1258"/>
      <c r="AO414" s="1399"/>
      <c r="AP414" s="1399"/>
      <c r="AQ414" s="1399"/>
      <c r="AS414" s="1399"/>
      <c r="AT414" s="1399"/>
      <c r="AU414" s="759"/>
      <c r="AV414" s="759"/>
      <c r="AW414" s="759"/>
      <c r="AX414" s="759"/>
      <c r="AY414" s="759"/>
      <c r="AZ414" s="759"/>
      <c r="BA414" s="759"/>
      <c r="BB414" s="759"/>
      <c r="BC414" s="759"/>
      <c r="BD414" s="759"/>
      <c r="BE414" s="759"/>
      <c r="BF414" s="759"/>
      <c r="BG414" s="760"/>
      <c r="BH414" s="1678"/>
      <c r="BI414" s="1678"/>
      <c r="BJ414" s="1678"/>
      <c r="BK414" s="1678"/>
      <c r="BL414" s="1679"/>
      <c r="BM414" s="1679"/>
      <c r="BN414" s="1678"/>
      <c r="BO414" s="1678"/>
      <c r="BP414" s="1678"/>
      <c r="BQ414" s="1399"/>
    </row>
    <row r="415" spans="1:69" s="782" customFormat="1" x14ac:dyDescent="0.2">
      <c r="A415" s="852">
        <f>A412+1</f>
        <v>102</v>
      </c>
      <c r="B415" s="1791">
        <v>403</v>
      </c>
      <c r="C415" s="851" t="str">
        <f>Valid!$B$74</f>
        <v>Elevated/Concrete</v>
      </c>
      <c r="D415" s="1841"/>
      <c r="E415" s="1245" t="str">
        <f>IF(AT415="N/A","",IF(AT415="N","No","Yes"))</f>
        <v/>
      </c>
      <c r="F415" s="764"/>
      <c r="G415" s="764"/>
      <c r="H415" s="1864"/>
      <c r="I415" s="1904" t="str">
        <f>IF(C402="","",IF(J415&lt;&gt;"","Linear Feet   ","Qty? Enter Zero if N/A  "))</f>
        <v/>
      </c>
      <c r="J415" s="1864"/>
      <c r="K415" s="1904" t="str">
        <f>IF(E415="yes","",IF(C402="","",IF(H415="","Qty? Enter Zero if N/A  ",IF(H415&lt;&gt;"","Track Feet      ",""))))</f>
        <v/>
      </c>
      <c r="L415" s="1864"/>
      <c r="M415" s="1620" t="str">
        <f>IF($H415=0,"",IF($L415="",TEXT(BN415,0)&amp;" Years?    ",""))</f>
        <v/>
      </c>
      <c r="N415" s="1905"/>
      <c r="O415" s="1620"/>
      <c r="P415" s="1864"/>
      <c r="Q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R415" s="1864"/>
      <c r="S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T415" s="1864"/>
      <c r="U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V415" s="1864"/>
      <c r="W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X415" s="1864"/>
      <c r="Y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Z415" s="1864"/>
      <c r="AA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B415" s="1864"/>
      <c r="AC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D415" s="1864"/>
      <c r="AE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F415" s="1864"/>
      <c r="AG415" s="1865"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H415" s="1864"/>
      <c r="AI415" s="904" t="str">
        <f>IF($N415="","",IF(AND($N415="",OR($H415="",$H415=0)),"",IF(AND($N415="LF",$AJ415&lt;$H415),"0 - "&amp;TEXT(($H415-$AJ415)/1000,"0")&amp;"k lin. ft.?    ",IF(AND($N415="TF",$AJ415&lt;$J415),"0 - "&amp;TEXT(($J415-$AJ415)/1000,"0")&amp;"k track ft.?    ",IF(AND($N415="%",$AJ415&lt;1),REPLACE(IF(AND($P415&gt;0,$V415&gt;0,$T415&gt;0,$X415&gt;0,$R415&gt;0,$Z415&gt;0,$AB415&gt;0,$AD415&gt;0,$AF415&gt;0,$AH415&gt;0),"","0-"),99,0,REPLACE(TEXT(100-$AJ415,0),99,0,"%?    ")),"")))))</f>
        <v/>
      </c>
      <c r="AJ415" s="1833">
        <f>IFERROR(IF(N415="%", SUM(P415,R415,T415,V415,X415,Z415,AB415,AD415,AF415,AH415)/100, SUM(P415,R415,T415,V415,X415,Z415,AB415,AD415,AF415,AH415)/IF(N415="LF", H415,J415)), 0)</f>
        <v>0</v>
      </c>
      <c r="AK415" s="1648"/>
      <c r="AL415" s="1675"/>
      <c r="AM415" s="1399"/>
      <c r="AN415" s="1808"/>
      <c r="AO415" s="1399"/>
      <c r="AP415" s="1653"/>
      <c r="AQ415" s="1399"/>
      <c r="AS415" s="1399"/>
      <c r="AT415" s="1624" t="str">
        <f>IF(AND($C$402="", H415="", J415=""), "N/A", IF(OR(AND(ISNUMBER(H415), ISNUMBER(J415), H415=0, J415=0), AND(AJ415=1, H415&lt;&gt;"", J415&lt;&gt;"", L415&lt;&gt;"", N415&lt;&gt;"", P415&lt;&gt;"", R415&lt;&gt;"", T415&lt;&gt;"", V415&lt;&gt;"", X415&lt;&gt;"", Z415&lt;&gt;"", AB415&lt;&gt;"", AD415&lt;&gt;"", AF415&lt;&gt;"", AH415&lt;&gt;"",AL415&lt;&gt;"", IF(AND(AL415&lt;1, AN415=""), FALSE, TRUE))), "Yes", "No"))</f>
        <v>N/A</v>
      </c>
      <c r="AU415" s="759" t="b">
        <f>IF(AND(H415="",OR(L415&lt;&gt;"",P415&lt;&gt;"",R415&lt;&gt;"",T415&lt;&gt;"",V415&lt;&gt;"",X415&lt;&gt;"",AL415&lt;&gt;"",Z415&lt;&gt;"",AB415&lt;&gt;"",AD415&lt;&gt;"",AF415&lt;&gt;"",AH415&lt;&gt;"")),TRUE,FALSE)</f>
        <v>0</v>
      </c>
      <c r="AV415" s="759" t="b">
        <f>IF(OR(H415="",H415=0),FALSE,IF(H415&gt;BM415,TRUE,FALSE))</f>
        <v>0</v>
      </c>
      <c r="AW415" s="759" t="b">
        <f>IF(AND($C$402&lt;&gt;"",$H415=""),TRUE,FALSE)</f>
        <v>0</v>
      </c>
      <c r="AX415" s="759" t="b">
        <f>IF(E415="yes",FALSE,IF(H415="0",FALSE,IF(AND($C$402&lt;&gt;"",J415=""),TRUE,FALSE)))</f>
        <v>0</v>
      </c>
      <c r="AY415" s="759" t="b">
        <f>IF($L415="",FALSE,IF($L415&lt;$BO415,TRUE,FALSE))</f>
        <v>0</v>
      </c>
      <c r="AZ415" s="759" t="b">
        <f>IF($L415="",FALSE,IF($L415&gt;$BP415,TRUE,FALSE))</f>
        <v>0</v>
      </c>
      <c r="BA415" s="759" t="b">
        <f>IF(H415=0,FALSE,IF(AND(E415&lt;&gt;"",$L415=""),TRUE,FALSE))</f>
        <v>0</v>
      </c>
      <c r="BB415" s="759" t="b">
        <f>IF(AND($AJ415&lt;&gt;0,$H415&lt;&gt;$BJ415,$N415="LF"),TRUE,IF(AND($AJ415&lt;&gt;0,$J415&lt;&gt;$AJ415,$N415="TF"),TRUE,IF(AND($AJ415&lt;&gt;0,$AJ415&lt;&gt;1,$N415="%"),TRUE,FALSE)))</f>
        <v>0</v>
      </c>
      <c r="BC415" s="759" t="b">
        <f>IF(AT415="No", IF(OR(P415="", R415="", T415="", V415="", X415="", Z415="", AB415="", AD415="", AF415="", AH415=""), TRUE, FALSE), FALSE)</f>
        <v>0</v>
      </c>
      <c r="BD415" s="759" t="b">
        <f>IF($BE415=TRUE,FALSE,IF(OR($AL415&lt;0,$AL415&gt;1),TRUE,FALSE))</f>
        <v>0</v>
      </c>
      <c r="BE415" s="759" t="b">
        <f>IF(AND($H415&lt;&gt;0,$AL415=""),TRUE,FALSE)</f>
        <v>0</v>
      </c>
      <c r="BF415" s="759" t="b">
        <f>IF(N415="%",TRUE,FALSE)</f>
        <v>0</v>
      </c>
      <c r="BG415" s="760"/>
      <c r="BH415" s="1678">
        <f>IF($C415="","",VLOOKUP($C415,val_fg_assets,9,FALSE))</f>
        <v>1</v>
      </c>
      <c r="BI415" s="1678" t="str">
        <f>IF(N415="", "", IF(N415="LF", H415, IF(N415="TF", J415, IF(N415="%", 1, ""))))</f>
        <v/>
      </c>
      <c r="BJ415" s="1679">
        <f>P415+R415+T415+V415+X415+Z415+AB415+AD415+AF415+AH415</f>
        <v>0</v>
      </c>
      <c r="BK415" s="1679" t="str">
        <f>IF(BI415="", "", BI415-BJ415)</f>
        <v/>
      </c>
      <c r="BL415" s="1679">
        <f>IF($C415="","",VLOOKUP($C415,val_fg_assets,3,FALSE))</f>
        <v>0</v>
      </c>
      <c r="BM415" s="1679">
        <f>IF($C415="","",VLOOKUP($C415,val_fg_assets,4,FALSE))</f>
        <v>1320000</v>
      </c>
      <c r="BN415" s="1678">
        <f>IF($C415="","",VLOOKUP($C415,val_fg_assets,5,FALSE))</f>
        <v>80</v>
      </c>
      <c r="BO415" s="1678">
        <f>IF($C415="","",VLOOKUP($C415,val_fg_assets,6,FALSE))</f>
        <v>60</v>
      </c>
      <c r="BP415" s="1678">
        <f>IF($C415="","",VLOOKUP($C415,val_fg_assets,7,FALSE))</f>
        <v>100</v>
      </c>
      <c r="BQ415" s="1399"/>
    </row>
    <row r="416" spans="1:69" s="782" customFormat="1" ht="3.95" customHeight="1" x14ac:dyDescent="0.2">
      <c r="A416" s="852"/>
      <c r="B416" s="1791">
        <v>404</v>
      </c>
      <c r="C416" s="851"/>
      <c r="D416" s="1841"/>
      <c r="E416" s="1058"/>
      <c r="F416" s="686"/>
      <c r="G416" s="686"/>
      <c r="H416" s="1909"/>
      <c r="I416" s="1907"/>
      <c r="J416" s="1908"/>
      <c r="K416" s="1907"/>
      <c r="L416" s="1909"/>
      <c r="M416" s="1910"/>
      <c r="N416" s="1911"/>
      <c r="O416" s="1910"/>
      <c r="P416" s="1866"/>
      <c r="Q416" s="1867"/>
      <c r="R416" s="1866"/>
      <c r="S416" s="1867"/>
      <c r="T416" s="1866"/>
      <c r="U416" s="1867"/>
      <c r="V416" s="1866"/>
      <c r="W416" s="1867"/>
      <c r="X416" s="1866"/>
      <c r="Y416" s="1867"/>
      <c r="Z416" s="1867"/>
      <c r="AA416" s="1867"/>
      <c r="AB416" s="1867"/>
      <c r="AC416" s="1867"/>
      <c r="AD416" s="1867"/>
      <c r="AE416" s="1867"/>
      <c r="AF416" s="1867"/>
      <c r="AG416" s="1867"/>
      <c r="AH416" s="1867"/>
      <c r="AI416" s="837"/>
      <c r="AJ416" s="1806"/>
      <c r="AK416" s="841"/>
      <c r="AL416" s="1806"/>
      <c r="AM416" s="1399"/>
      <c r="AN416" s="838"/>
      <c r="AO416" s="1399"/>
      <c r="AP416" s="1223"/>
      <c r="AQ416" s="1399"/>
      <c r="AS416" s="1399"/>
      <c r="AT416" s="1399"/>
      <c r="AU416" s="759"/>
      <c r="AV416" s="759"/>
      <c r="AW416" s="759"/>
      <c r="AX416" s="759"/>
      <c r="AY416" s="759"/>
      <c r="AZ416" s="759"/>
      <c r="BA416" s="759"/>
      <c r="BB416" s="759"/>
      <c r="BC416" s="759"/>
      <c r="BD416" s="759"/>
      <c r="BE416" s="759"/>
      <c r="BF416" s="759"/>
      <c r="BG416" s="760"/>
      <c r="BH416" s="1678"/>
      <c r="BI416" s="1678"/>
      <c r="BJ416" s="1678"/>
      <c r="BK416" s="1678"/>
      <c r="BL416" s="1679"/>
      <c r="BM416" s="1679"/>
      <c r="BN416" s="1678"/>
      <c r="BO416" s="1678"/>
      <c r="BP416" s="1678"/>
      <c r="BQ416" s="1399"/>
    </row>
    <row r="417" spans="1:69" s="782" customFormat="1" ht="3.95" customHeight="1" thickBot="1" x14ac:dyDescent="0.25">
      <c r="A417" s="852"/>
      <c r="B417" s="1790">
        <v>405</v>
      </c>
      <c r="C417" s="1673"/>
      <c r="D417" s="1841"/>
      <c r="E417" s="1057"/>
      <c r="F417" s="764"/>
      <c r="G417" s="764"/>
      <c r="H417" s="1913"/>
      <c r="I417" s="1908"/>
      <c r="J417" s="1908"/>
      <c r="K417" s="1908"/>
      <c r="L417" s="1909"/>
      <c r="M417" s="722"/>
      <c r="N417" s="1912"/>
      <c r="O417" s="722"/>
      <c r="P417" s="1868"/>
      <c r="Q417" s="1869"/>
      <c r="R417" s="1868"/>
      <c r="S417" s="1869"/>
      <c r="T417" s="1868"/>
      <c r="U417" s="1869"/>
      <c r="V417" s="1868"/>
      <c r="W417" s="1869"/>
      <c r="X417" s="1868"/>
      <c r="Y417" s="1869"/>
      <c r="Z417" s="1869"/>
      <c r="AA417" s="1869"/>
      <c r="AB417" s="1869"/>
      <c r="AC417" s="1869"/>
      <c r="AD417" s="1869"/>
      <c r="AE417" s="1869"/>
      <c r="AF417" s="1869"/>
      <c r="AG417" s="1869"/>
      <c r="AH417" s="1869"/>
      <c r="AI417" s="1670"/>
      <c r="AJ417" s="1828"/>
      <c r="AK417" s="724"/>
      <c r="AL417" s="1806"/>
      <c r="AM417" s="1399"/>
      <c r="AN417" s="1258"/>
      <c r="AO417" s="1399"/>
      <c r="AP417" s="1399"/>
      <c r="AQ417" s="1399"/>
      <c r="AS417" s="1399"/>
      <c r="AT417" s="1399"/>
      <c r="AU417" s="759"/>
      <c r="AV417" s="759"/>
      <c r="AW417" s="759"/>
      <c r="AX417" s="759"/>
      <c r="AY417" s="759"/>
      <c r="AZ417" s="759"/>
      <c r="BA417" s="759"/>
      <c r="BB417" s="759"/>
      <c r="BC417" s="759"/>
      <c r="BD417" s="759"/>
      <c r="BE417" s="759"/>
      <c r="BF417" s="759"/>
      <c r="BG417" s="760"/>
      <c r="BH417" s="1678"/>
      <c r="BI417" s="1678"/>
      <c r="BJ417" s="1678"/>
      <c r="BK417" s="1678"/>
      <c r="BL417" s="1679"/>
      <c r="BM417" s="1679"/>
      <c r="BN417" s="1678"/>
      <c r="BO417" s="1678"/>
      <c r="BP417" s="1678"/>
      <c r="BQ417" s="1399"/>
    </row>
    <row r="418" spans="1:69" s="782" customFormat="1" x14ac:dyDescent="0.2">
      <c r="A418" s="852">
        <f>A415+1</f>
        <v>103</v>
      </c>
      <c r="B418" s="1790">
        <v>406</v>
      </c>
      <c r="C418" s="851" t="str">
        <f>Valid!$B$75</f>
        <v>Elevated/Steel Viaduct or Bridge</v>
      </c>
      <c r="D418" s="1841"/>
      <c r="E418" s="1245" t="str">
        <f>IF(AT418="N/A","",IF(AT418="N","No","Yes"))</f>
        <v/>
      </c>
      <c r="F418" s="686"/>
      <c r="G418" s="686"/>
      <c r="H418" s="1864"/>
      <c r="I418" s="1904" t="str">
        <f>IF(C402="","",IF(J418&lt;&gt;"","Linear Feet   ","Qty? Enter Zero if N/A  "))</f>
        <v/>
      </c>
      <c r="J418" s="1864"/>
      <c r="K418" s="1904" t="str">
        <f>IF(E418="yes","",IF(C402="","",IF(H418="","Qty? Enter Zero if N/A  ",IF(H418&lt;&gt;"","Track Feet      ",""))))</f>
        <v/>
      </c>
      <c r="L418" s="1864"/>
      <c r="M418" s="1620" t="str">
        <f>IF($H418=0,"",IF($L418="",TEXT(BN418,0)&amp;" Years?    ",""))</f>
        <v/>
      </c>
      <c r="N418" s="1905"/>
      <c r="O418" s="1620"/>
      <c r="P418" s="1864"/>
      <c r="Q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R418" s="1864"/>
      <c r="S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T418" s="1864"/>
      <c r="U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V418" s="1864"/>
      <c r="W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X418" s="1864"/>
      <c r="Y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Z418" s="1864"/>
      <c r="AA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B418" s="1864"/>
      <c r="AC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D418" s="1864"/>
      <c r="AE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F418" s="1864"/>
      <c r="AG418" s="1865"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H418" s="1864"/>
      <c r="AI418" s="904" t="str">
        <f>IF($N418="","",IF(AND($N418="",OR($H418="",$H418=0)),"",IF(AND($N418="LF",$AJ418&lt;$H418),"0 - "&amp;TEXT(($H418-$AJ418)/1000,"0")&amp;"k lin. ft.?    ",IF(AND($N418="TF",$AJ418&lt;$J418),"0 - "&amp;TEXT(($J418-$AJ418)/1000,"0")&amp;"k track ft.?    ",IF(AND($N418="%",$AJ418&lt;1),REPLACE(IF(AND($P418&gt;0,$V418&gt;0,$T418&gt;0,$X418&gt;0,$R418&gt;0,$Z418&gt;0,$AB418&gt;0,$AD418&gt;0,$AF418&gt;0,$AH418&gt;0),"","0-"),99,0,REPLACE(TEXT(100-$AJ418,0),99,0,"%?    ")),"")))))</f>
        <v/>
      </c>
      <c r="AJ418" s="1833">
        <f>IFERROR(IF(N418="%", SUM(P418,R418,T418,V418,X418,Z418,AB418,AD418,AF418,AH418)/100, SUM(P418,R418,T418,V418,X418,Z418,AB418,AD418,AF418,AH418)/IF(N418="LF", H418,J418)), 0)</f>
        <v>0</v>
      </c>
      <c r="AK418" s="1648"/>
      <c r="AL418" s="1675"/>
      <c r="AM418" s="1399"/>
      <c r="AN418" s="1808"/>
      <c r="AO418" s="1399"/>
      <c r="AP418" s="1653"/>
      <c r="AQ418" s="1399"/>
      <c r="AS418" s="1399"/>
      <c r="AT418" s="1624" t="str">
        <f>IF(AND($C$402="", H418="", J418=""), "N/A", IF(OR(AND(ISNUMBER(H418), ISNUMBER(J418), H418=0, J418=0), AND(AJ418=1, H418&lt;&gt;"", J418&lt;&gt;"", L418&lt;&gt;"", N418&lt;&gt;"", P418&lt;&gt;"", R418&lt;&gt;"", T418&lt;&gt;"", V418&lt;&gt;"", X418&lt;&gt;"", Z418&lt;&gt;"", AB418&lt;&gt;"", AD418&lt;&gt;"", AF418&lt;&gt;"", AH418&lt;&gt;"",AL418&lt;&gt;"", IF(AND(AL418&lt;1, AN418=""), FALSE, TRUE))), "Yes", "No"))</f>
        <v>N/A</v>
      </c>
      <c r="AU418" s="759" t="b">
        <f>IF(AND(H418="",OR(L418&lt;&gt;"",P418&lt;&gt;"",R418&lt;&gt;"",T418&lt;&gt;"",V418&lt;&gt;"",X418&lt;&gt;"",AL418&lt;&gt;"",Z418&lt;&gt;"",AB418&lt;&gt;"",AD418&lt;&gt;"",AF418&lt;&gt;"",AH418&lt;&gt;"")),TRUE,FALSE)</f>
        <v>0</v>
      </c>
      <c r="AV418" s="759" t="b">
        <f>IF(OR(H418="",H418=0),FALSE,IF(H418&gt;BM418,TRUE,FALSE))</f>
        <v>0</v>
      </c>
      <c r="AW418" s="759" t="b">
        <f>IF(AND($C$402&lt;&gt;"",$H418=""),TRUE,FALSE)</f>
        <v>0</v>
      </c>
      <c r="AX418" s="759" t="b">
        <f>IF(E418="yes",FALSE,IF(H418="0",FALSE,IF(AND($C$402&lt;&gt;"",J418=""),TRUE,FALSE)))</f>
        <v>0</v>
      </c>
      <c r="AY418" s="759" t="b">
        <f>IF($L418="",FALSE,IF($L418&lt;$BO418,TRUE,FALSE))</f>
        <v>0</v>
      </c>
      <c r="AZ418" s="759" t="b">
        <f>IF($L418="",FALSE,IF($L418&gt;$BP418,TRUE,FALSE))</f>
        <v>0</v>
      </c>
      <c r="BA418" s="759" t="b">
        <f>IF(H418=0,FALSE,IF(AND(E418&lt;&gt;"",$L418=""),TRUE,FALSE))</f>
        <v>0</v>
      </c>
      <c r="BB418" s="759" t="b">
        <f>IF(AND($AJ418&lt;&gt;0,$H418&lt;&gt;$BJ418,$N418="LF"),TRUE,IF(AND($AJ418&lt;&gt;0,$J418&lt;&gt;$AJ418,$N418="TF"),TRUE,IF(AND($AJ418&lt;&gt;0,$AJ418&lt;&gt;1,$N418="%"),TRUE,FALSE)))</f>
        <v>0</v>
      </c>
      <c r="BC418" s="759" t="b">
        <f>IF(AT418="No", IF(OR(P418="", R418="", T418="", V418="", X418="", Z418="", AB418="", AD418="", AF418="", AH418=""), TRUE, FALSE), FALSE)</f>
        <v>0</v>
      </c>
      <c r="BD418" s="759" t="b">
        <f>IF($BE418=TRUE,FALSE,IF(OR($AL418&lt;0,$AL418&gt;1),TRUE,FALSE))</f>
        <v>0</v>
      </c>
      <c r="BE418" s="759" t="b">
        <f>IF(AND($H418&lt;&gt;0,$AL418=""),TRUE,FALSE)</f>
        <v>0</v>
      </c>
      <c r="BF418" s="759" t="b">
        <f>IF(N418="%",TRUE,FALSE)</f>
        <v>0</v>
      </c>
      <c r="BG418" s="760"/>
      <c r="BH418" s="1678">
        <f>IF($C418="","",VLOOKUP($C418,val_fg_assets,9,FALSE))</f>
        <v>1</v>
      </c>
      <c r="BI418" s="1678" t="str">
        <f>IF(N418="", "", IF(N418="LF", H418, IF(N418="TF", J418, IF(N418="%", 1, ""))))</f>
        <v/>
      </c>
      <c r="BJ418" s="1679">
        <f>P418+R418+T418+V418+X418+Z418+AB418+AD418+AF418+AH418</f>
        <v>0</v>
      </c>
      <c r="BK418" s="1679" t="str">
        <f>IF(BI418="", "", BI418-BJ418)</f>
        <v/>
      </c>
      <c r="BL418" s="1679">
        <f>IF($C418="","",VLOOKUP($C418,val_fg_assets,3,FALSE))</f>
        <v>0</v>
      </c>
      <c r="BM418" s="1679">
        <f>IF($C418="","",VLOOKUP($C418,val_fg_assets,4,FALSE))</f>
        <v>1320000</v>
      </c>
      <c r="BN418" s="1678">
        <f>IF($C418="","",VLOOKUP($C418,val_fg_assets,5,FALSE))</f>
        <v>80</v>
      </c>
      <c r="BO418" s="1678">
        <f>IF($C418="","",VLOOKUP($C418,val_fg_assets,6,FALSE))</f>
        <v>60</v>
      </c>
      <c r="BP418" s="1678">
        <f>IF($C418="","",VLOOKUP($C418,val_fg_assets,7,FALSE))</f>
        <v>100</v>
      </c>
      <c r="BQ418" s="1399"/>
    </row>
    <row r="419" spans="1:69" s="782" customFormat="1" ht="3.95" customHeight="1" x14ac:dyDescent="0.2">
      <c r="A419" s="852"/>
      <c r="B419" s="1791">
        <v>407</v>
      </c>
      <c r="C419" s="1673"/>
      <c r="D419" s="1841"/>
      <c r="E419" s="1057"/>
      <c r="F419" s="764"/>
      <c r="G419" s="686">
        <v>7</v>
      </c>
      <c r="H419" s="1906"/>
      <c r="I419" s="1907"/>
      <c r="J419" s="1908"/>
      <c r="K419" s="1907"/>
      <c r="L419" s="1909"/>
      <c r="M419" s="1910"/>
      <c r="N419" s="1911"/>
      <c r="O419" s="1910"/>
      <c r="P419" s="1866"/>
      <c r="Q419" s="1867"/>
      <c r="R419" s="1866"/>
      <c r="S419" s="1867"/>
      <c r="T419" s="1866"/>
      <c r="U419" s="1867"/>
      <c r="V419" s="1866"/>
      <c r="W419" s="1867"/>
      <c r="X419" s="1866"/>
      <c r="Y419" s="1867"/>
      <c r="Z419" s="1867"/>
      <c r="AA419" s="1867"/>
      <c r="AB419" s="1867"/>
      <c r="AC419" s="1867"/>
      <c r="AD419" s="1867"/>
      <c r="AE419" s="1867"/>
      <c r="AF419" s="1867"/>
      <c r="AG419" s="1867"/>
      <c r="AH419" s="1867"/>
      <c r="AI419" s="837"/>
      <c r="AJ419" s="1806"/>
      <c r="AK419" s="841"/>
      <c r="AL419" s="1806"/>
      <c r="AM419" s="1399"/>
      <c r="AN419" s="838"/>
      <c r="AO419" s="1399"/>
      <c r="AP419" s="1399"/>
      <c r="AQ419" s="1399"/>
      <c r="AS419" s="1399"/>
      <c r="AT419" s="1399"/>
      <c r="AU419" s="759"/>
      <c r="AV419" s="759"/>
      <c r="AW419" s="759"/>
      <c r="AX419" s="759"/>
      <c r="AY419" s="759"/>
      <c r="AZ419" s="759"/>
      <c r="BA419" s="759"/>
      <c r="BB419" s="759"/>
      <c r="BC419" s="759"/>
      <c r="BD419" s="759"/>
      <c r="BE419" s="759"/>
      <c r="BF419" s="759"/>
      <c r="BG419" s="760"/>
      <c r="BH419" s="1678"/>
      <c r="BI419" s="1678"/>
      <c r="BJ419" s="1678"/>
      <c r="BK419" s="1678"/>
      <c r="BL419" s="1679"/>
      <c r="BM419" s="1679"/>
      <c r="BN419" s="1678"/>
      <c r="BO419" s="1678"/>
      <c r="BP419" s="1678"/>
      <c r="BQ419" s="1399"/>
    </row>
    <row r="420" spans="1:69" s="782" customFormat="1" ht="3.95" customHeight="1" thickBot="1" x14ac:dyDescent="0.25">
      <c r="A420" s="852"/>
      <c r="B420" s="1791">
        <v>408</v>
      </c>
      <c r="C420" s="1673"/>
      <c r="D420" s="1841"/>
      <c r="E420" s="1057"/>
      <c r="F420" s="764"/>
      <c r="G420" s="764">
        <v>8</v>
      </c>
      <c r="H420" s="1906"/>
      <c r="I420" s="1907"/>
      <c r="J420" s="1908"/>
      <c r="K420" s="1907"/>
      <c r="L420" s="1909"/>
      <c r="M420" s="722"/>
      <c r="N420" s="1912"/>
      <c r="O420" s="722"/>
      <c r="P420" s="1868"/>
      <c r="Q420" s="1869"/>
      <c r="R420" s="1868"/>
      <c r="S420" s="1869"/>
      <c r="T420" s="1868"/>
      <c r="U420" s="1869"/>
      <c r="V420" s="1868"/>
      <c r="W420" s="1869"/>
      <c r="X420" s="1868"/>
      <c r="Y420" s="1869"/>
      <c r="Z420" s="1869"/>
      <c r="AA420" s="1869"/>
      <c r="AB420" s="1869"/>
      <c r="AC420" s="1869"/>
      <c r="AD420" s="1869"/>
      <c r="AE420" s="1869"/>
      <c r="AF420" s="1869"/>
      <c r="AG420" s="1869"/>
      <c r="AH420" s="1869"/>
      <c r="AI420" s="1670"/>
      <c r="AJ420" s="1828"/>
      <c r="AK420" s="724"/>
      <c r="AL420" s="1806"/>
      <c r="AM420" s="1399"/>
      <c r="AN420" s="1258"/>
      <c r="AO420" s="1399"/>
      <c r="AP420" s="1223"/>
      <c r="AQ420" s="1399"/>
      <c r="AS420" s="1399"/>
      <c r="AT420" s="1399"/>
      <c r="AU420" s="759"/>
      <c r="AV420" s="759"/>
      <c r="AW420" s="759"/>
      <c r="AX420" s="759"/>
      <c r="AY420" s="759"/>
      <c r="AZ420" s="759"/>
      <c r="BA420" s="759"/>
      <c r="BB420" s="759"/>
      <c r="BC420" s="759"/>
      <c r="BD420" s="759"/>
      <c r="BE420" s="759"/>
      <c r="BF420" s="759"/>
      <c r="BG420" s="760"/>
      <c r="BH420" s="1678"/>
      <c r="BI420" s="1678"/>
      <c r="BJ420" s="1678"/>
      <c r="BK420" s="1678"/>
      <c r="BL420" s="1679"/>
      <c r="BM420" s="1679"/>
      <c r="BN420" s="1678"/>
      <c r="BO420" s="1678"/>
      <c r="BP420" s="1678"/>
      <c r="BQ420" s="1399"/>
    </row>
    <row r="421" spans="1:69" s="782" customFormat="1" x14ac:dyDescent="0.2">
      <c r="A421" s="852">
        <f>A418+1</f>
        <v>104</v>
      </c>
      <c r="B421" s="1791">
        <v>409</v>
      </c>
      <c r="C421" s="851" t="str">
        <f>Valid!$B$76</f>
        <v>Below-Grade/Retained Cut</v>
      </c>
      <c r="D421" s="1841"/>
      <c r="E421" s="1245" t="str">
        <f>IF(AT421="N/A","",IF(AT421="N","No","Yes"))</f>
        <v/>
      </c>
      <c r="F421" s="686"/>
      <c r="G421" s="686"/>
      <c r="H421" s="1864"/>
      <c r="I421" s="1904" t="str">
        <f>IF(C402="","",IF(J421&lt;&gt;"","Linear Feet   ","Qty? Enter Zero if N/A  "))</f>
        <v/>
      </c>
      <c r="J421" s="1864"/>
      <c r="K421" s="1904" t="str">
        <f>IF(E421="yes","",IF(C402="","",IF(H421="","Qty? Enter Zero if N/A  ",IF(H421&lt;&gt;"","Track Feet      ",""))))</f>
        <v/>
      </c>
      <c r="L421" s="1864"/>
      <c r="M421" s="1620" t="str">
        <f>IF($H421=0,"",IF($L421="",TEXT(BN421,0)&amp;" Years?    ",""))</f>
        <v/>
      </c>
      <c r="N421" s="1905"/>
      <c r="O421" s="1620"/>
      <c r="P421" s="1864"/>
      <c r="Q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R421" s="1864"/>
      <c r="S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T421" s="1864"/>
      <c r="U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V421" s="1864"/>
      <c r="W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X421" s="1864"/>
      <c r="Y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Z421" s="1864"/>
      <c r="AA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B421" s="1864"/>
      <c r="AC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D421" s="1864"/>
      <c r="AE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F421" s="1864"/>
      <c r="AG421" s="1865"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H421" s="1864"/>
      <c r="AI421" s="904" t="str">
        <f>IF($N421="","",IF(AND($N421="",OR($H421="",$H421=0)),"",IF(AND($N421="LF",$AJ421&lt;$H421),"0 - "&amp;TEXT(($H421-$AJ421)/1000,"0")&amp;"k lin. ft.?    ",IF(AND($N421="TF",$AJ421&lt;$J421),"0 - "&amp;TEXT(($J421-$AJ421)/1000,"0")&amp;"k track ft.?    ",IF(AND($N421="%",$AJ421&lt;1),REPLACE(IF(AND($P421&gt;0,$V421&gt;0,$T421&gt;0,$X421&gt;0,$R421&gt;0,$Z421&gt;0,$AB421&gt;0,$AD421&gt;0,$AF421&gt;0,$AH421&gt;0),"","0-"),99,0,REPLACE(TEXT(100-$AJ421,0),99,0,"%?    ")),"")))))</f>
        <v/>
      </c>
      <c r="AJ421" s="1833">
        <f>IFERROR(IF(N421="%", SUM(P421,R421,T421,V421,X421,Z421,AB421,AD421,AF421,AH421)/100, SUM(P421,R421,T421,V421,X421,Z421,AB421,AD421,AF421,AH421)/IF(N421="LF", H421,J421)), 0)</f>
        <v>0</v>
      </c>
      <c r="AK421" s="1648"/>
      <c r="AL421" s="1675"/>
      <c r="AM421" s="1399"/>
      <c r="AN421" s="1808"/>
      <c r="AO421" s="1399"/>
      <c r="AP421" s="1653"/>
      <c r="AQ421" s="1399"/>
      <c r="AS421" s="1399"/>
      <c r="AT421" s="1624" t="str">
        <f>IF(AND($C$402="", H421="", J421=""), "N/A", IF(OR(AND(ISNUMBER(H421), ISNUMBER(J421), H421=0, J421=0), AND(AJ421=1, H421&lt;&gt;"", J421&lt;&gt;"", L421&lt;&gt;"", N421&lt;&gt;"", P421&lt;&gt;"", R421&lt;&gt;"", T421&lt;&gt;"", V421&lt;&gt;"", X421&lt;&gt;"", Z421&lt;&gt;"", AB421&lt;&gt;"", AD421&lt;&gt;"", AF421&lt;&gt;"", AH421&lt;&gt;"",AL421&lt;&gt;"", IF(AND(AL421&lt;1, AN421=""), FALSE, TRUE))), "Yes", "No"))</f>
        <v>N/A</v>
      </c>
      <c r="AU421" s="759" t="b">
        <f>IF(AND(H421="",OR(L421&lt;&gt;"",P421&lt;&gt;"",R421&lt;&gt;"",T421&lt;&gt;"",V421&lt;&gt;"",X421&lt;&gt;"",AL421&lt;&gt;"",Z421&lt;&gt;"",AB421&lt;&gt;"",AD421&lt;&gt;"",AF421&lt;&gt;"",AH421&lt;&gt;"")),TRUE,FALSE)</f>
        <v>0</v>
      </c>
      <c r="AV421" s="759" t="b">
        <f>IF(OR(H421="",H421=0),FALSE,IF(H421&gt;BM421,TRUE,FALSE))</f>
        <v>0</v>
      </c>
      <c r="AW421" s="759" t="b">
        <f>IF(AND($C$402&lt;&gt;"",$H421=""),TRUE,FALSE)</f>
        <v>0</v>
      </c>
      <c r="AX421" s="759" t="b">
        <f>IF(E421="yes",FALSE,IF(H421="0",FALSE,IF(AND($C$402&lt;&gt;"",J421=""),TRUE,FALSE)))</f>
        <v>0</v>
      </c>
      <c r="AY421" s="759" t="b">
        <f>IF($L421="",FALSE,IF($L421&lt;$BO421,TRUE,FALSE))</f>
        <v>0</v>
      </c>
      <c r="AZ421" s="759" t="b">
        <f>IF($L421="",FALSE,IF($L421&gt;$BP421,TRUE,FALSE))</f>
        <v>0</v>
      </c>
      <c r="BA421" s="759" t="b">
        <f>IF(H421=0,FALSE,IF(AND(E421&lt;&gt;"",$L421=""),TRUE,FALSE))</f>
        <v>0</v>
      </c>
      <c r="BB421" s="759" t="b">
        <f>IF(AND($AJ421&lt;&gt;0,$H421&lt;&gt;$BJ421,$N421="LF"),TRUE,IF(AND($AJ421&lt;&gt;0,$J421&lt;&gt;$AJ421,$N421="TF"),TRUE,IF(AND($AJ421&lt;&gt;0,$AJ421&lt;&gt;1,$N421="%"),TRUE,FALSE)))</f>
        <v>0</v>
      </c>
      <c r="BC421" s="759" t="b">
        <f>IF(AT421="No", IF(OR(P421="", R421="", T421="", V421="", X421="", Z421="", AB421="", AD421="", AF421="", AH421=""), TRUE, FALSE), FALSE)</f>
        <v>0</v>
      </c>
      <c r="BD421" s="759" t="b">
        <f>IF($BE421=TRUE,FALSE,IF(OR($AL421&lt;0,$AL421&gt;1),TRUE,FALSE))</f>
        <v>0</v>
      </c>
      <c r="BE421" s="759" t="b">
        <f>IF(AND($H421&lt;&gt;0,$AL421=""),TRUE,FALSE)</f>
        <v>0</v>
      </c>
      <c r="BF421" s="759" t="b">
        <f>IF(N421="%",TRUE,FALSE)</f>
        <v>0</v>
      </c>
      <c r="BG421" s="760"/>
      <c r="BH421" s="1678">
        <f>IF($C421="","",VLOOKUP($C421,val_fg_assets,9,FALSE))</f>
        <v>1</v>
      </c>
      <c r="BI421" s="1678" t="str">
        <f>IF(N421="", "", IF(N421="LF", H421, IF(N421="TF", J421, IF(N421="%", 1, ""))))</f>
        <v/>
      </c>
      <c r="BJ421" s="1679">
        <f>P421+R421+T421+V421+X421+Z421+AB421+AD421+AF421+AH421</f>
        <v>0</v>
      </c>
      <c r="BK421" s="1679" t="str">
        <f>IF(BI421="", "", BI421-BJ421)</f>
        <v/>
      </c>
      <c r="BL421" s="1679">
        <f>IF($C421="","",VLOOKUP($C421,val_fg_assets,3,FALSE))</f>
        <v>0</v>
      </c>
      <c r="BM421" s="1679">
        <f>IF($C421="","",VLOOKUP($C421,val_fg_assets,4,FALSE))</f>
        <v>1320000</v>
      </c>
      <c r="BN421" s="1678">
        <f>IF($C421="","",VLOOKUP($C421,val_fg_assets,5,FALSE))</f>
        <v>80</v>
      </c>
      <c r="BO421" s="1678">
        <f>IF($C421="","",VLOOKUP($C421,val_fg_assets,6,FALSE))</f>
        <v>60</v>
      </c>
      <c r="BP421" s="1678">
        <f>IF($C421="","",VLOOKUP($C421,val_fg_assets,7,FALSE))</f>
        <v>100</v>
      </c>
      <c r="BQ421" s="1399"/>
    </row>
    <row r="422" spans="1:69" s="782" customFormat="1" ht="3.95" customHeight="1" x14ac:dyDescent="0.2">
      <c r="A422" s="852"/>
      <c r="B422" s="1790">
        <v>410</v>
      </c>
      <c r="C422" s="851"/>
      <c r="D422" s="1841"/>
      <c r="E422" s="1059"/>
      <c r="F422" s="686"/>
      <c r="G422" s="686"/>
      <c r="H422" s="1913"/>
      <c r="I422" s="1908"/>
      <c r="J422" s="1908"/>
      <c r="K422" s="1908"/>
      <c r="L422" s="1909"/>
      <c r="M422" s="722"/>
      <c r="N422" s="1912"/>
      <c r="O422" s="722"/>
      <c r="P422" s="1866"/>
      <c r="Q422" s="1867"/>
      <c r="R422" s="1866"/>
      <c r="S422" s="1867"/>
      <c r="T422" s="1866"/>
      <c r="U422" s="1867"/>
      <c r="V422" s="1866"/>
      <c r="W422" s="1867"/>
      <c r="X422" s="1866"/>
      <c r="Y422" s="1867"/>
      <c r="Z422" s="1867"/>
      <c r="AA422" s="1867"/>
      <c r="AB422" s="1867"/>
      <c r="AC422" s="1867"/>
      <c r="AD422" s="1867"/>
      <c r="AE422" s="1867"/>
      <c r="AF422" s="1867"/>
      <c r="AG422" s="1867"/>
      <c r="AH422" s="1867"/>
      <c r="AI422" s="837"/>
      <c r="AJ422" s="1828"/>
      <c r="AK422" s="724"/>
      <c r="AL422" s="1806"/>
      <c r="AM422" s="1399"/>
      <c r="AN422" s="1258"/>
      <c r="AO422" s="1399"/>
      <c r="AP422" s="1399"/>
      <c r="AQ422" s="1399"/>
      <c r="AS422" s="1399"/>
      <c r="AT422" s="1399"/>
      <c r="AU422" s="759"/>
      <c r="AV422" s="759"/>
      <c r="AW422" s="759"/>
      <c r="AX422" s="759"/>
      <c r="AY422" s="759"/>
      <c r="AZ422" s="759"/>
      <c r="BA422" s="759"/>
      <c r="BB422" s="759"/>
      <c r="BC422" s="759"/>
      <c r="BD422" s="759"/>
      <c r="BE422" s="759"/>
      <c r="BF422" s="759"/>
      <c r="BG422" s="760"/>
      <c r="BH422" s="1678"/>
      <c r="BI422" s="1678"/>
      <c r="BJ422" s="1678"/>
      <c r="BK422" s="1678"/>
      <c r="BL422" s="1679"/>
      <c r="BM422" s="1679"/>
      <c r="BN422" s="1678"/>
      <c r="BO422" s="1678"/>
      <c r="BP422" s="1678"/>
      <c r="BQ422" s="1399"/>
    </row>
    <row r="423" spans="1:69" s="782" customFormat="1" ht="3.95" customHeight="1" thickBot="1" x14ac:dyDescent="0.25">
      <c r="A423" s="852"/>
      <c r="B423" s="1790">
        <v>411</v>
      </c>
      <c r="C423" s="851"/>
      <c r="D423" s="1841"/>
      <c r="E423" s="1059"/>
      <c r="F423" s="686"/>
      <c r="G423" s="686"/>
      <c r="H423" s="1913"/>
      <c r="I423" s="1908"/>
      <c r="J423" s="1908"/>
      <c r="K423" s="1908"/>
      <c r="L423" s="1909"/>
      <c r="M423" s="722"/>
      <c r="N423" s="1912"/>
      <c r="O423" s="722"/>
      <c r="P423" s="1868"/>
      <c r="Q423" s="1869"/>
      <c r="R423" s="1868"/>
      <c r="S423" s="1869"/>
      <c r="T423" s="1868"/>
      <c r="U423" s="1869"/>
      <c r="V423" s="1868"/>
      <c r="W423" s="1869"/>
      <c r="X423" s="1868"/>
      <c r="Y423" s="1869"/>
      <c r="Z423" s="1869"/>
      <c r="AA423" s="1869"/>
      <c r="AB423" s="1869"/>
      <c r="AC423" s="1869"/>
      <c r="AD423" s="1869"/>
      <c r="AE423" s="1869"/>
      <c r="AF423" s="1869"/>
      <c r="AG423" s="1869"/>
      <c r="AH423" s="1869"/>
      <c r="AI423" s="1670"/>
      <c r="AJ423" s="1828"/>
      <c r="AK423" s="724"/>
      <c r="AL423" s="1806"/>
      <c r="AM423" s="1399"/>
      <c r="AN423" s="1258"/>
      <c r="AO423" s="1399"/>
      <c r="AP423" s="1399"/>
      <c r="AQ423" s="1399"/>
      <c r="AS423" s="1399"/>
      <c r="AT423" s="1399"/>
      <c r="AU423" s="759"/>
      <c r="AV423" s="759"/>
      <c r="AW423" s="759"/>
      <c r="AX423" s="759"/>
      <c r="AY423" s="759"/>
      <c r="AZ423" s="759"/>
      <c r="BA423" s="759"/>
      <c r="BB423" s="759"/>
      <c r="BC423" s="759"/>
      <c r="BD423" s="759"/>
      <c r="BE423" s="759"/>
      <c r="BF423" s="759"/>
      <c r="BG423" s="760"/>
      <c r="BH423" s="1678"/>
      <c r="BI423" s="1678"/>
      <c r="BJ423" s="1678"/>
      <c r="BK423" s="1678"/>
      <c r="BL423" s="1679"/>
      <c r="BM423" s="1679"/>
      <c r="BN423" s="1678"/>
      <c r="BO423" s="1678"/>
      <c r="BP423" s="1678"/>
      <c r="BQ423" s="1399"/>
    </row>
    <row r="424" spans="1:69" s="782" customFormat="1" x14ac:dyDescent="0.2">
      <c r="A424" s="852">
        <f>A421+1</f>
        <v>105</v>
      </c>
      <c r="B424" s="1791">
        <v>412</v>
      </c>
      <c r="C424" s="851" t="str">
        <f>Valid!$B$77</f>
        <v>Below-Grade/Cut-and-Cover Tunnel</v>
      </c>
      <c r="D424" s="1841"/>
      <c r="E424" s="1245" t="str">
        <f>IF(AT424="N/A","",IF(AT424="N","No","Yes"))</f>
        <v/>
      </c>
      <c r="F424" s="686"/>
      <c r="G424" s="686"/>
      <c r="H424" s="1864"/>
      <c r="I424" s="1904" t="str">
        <f>IF(C402="","",IF(J424&lt;&gt;"","Linear Feet   ","Qty? Enter Zero if N/A  "))</f>
        <v/>
      </c>
      <c r="J424" s="1864"/>
      <c r="K424" s="1904" t="str">
        <f>IF(E424="yes","",IF(C402="","",IF(H424="","Qty? Enter Zero if N/A  ",IF(H424&lt;&gt;"","Track Feet      ",""))))</f>
        <v/>
      </c>
      <c r="L424" s="1864"/>
      <c r="M424" s="1620" t="str">
        <f>IF($H424=0,"",IF($L424="",TEXT(BN424,0)&amp;" Years?    ",""))</f>
        <v/>
      </c>
      <c r="N424" s="1905"/>
      <c r="O424" s="1620"/>
      <c r="P424" s="1864"/>
      <c r="Q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R424" s="1864"/>
      <c r="S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T424" s="1864"/>
      <c r="U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V424" s="1864"/>
      <c r="W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X424" s="1864"/>
      <c r="Y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Z424" s="1864"/>
      <c r="AA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B424" s="1864"/>
      <c r="AC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D424" s="1864"/>
      <c r="AE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F424" s="1864"/>
      <c r="AG424" s="1865"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H424" s="1864"/>
      <c r="AI424" s="904" t="str">
        <f>IF($N424="","",IF(AND($N424="",OR($H424="",$H424=0)),"",IF(AND($N424="LF",$AJ424&lt;$H424),"0 - "&amp;TEXT(($H424-$AJ424)/1000,"0")&amp;"k lin. ft.?    ",IF(AND($N424="TF",$AJ424&lt;$J424),"0 - "&amp;TEXT(($J424-$AJ424)/1000,"0")&amp;"k track ft.?    ",IF(AND($N424="%",$AJ424&lt;1),REPLACE(IF(AND($P424&gt;0,$V424&gt;0,$T424&gt;0,$X424&gt;0,$R424&gt;0,$Z424&gt;0,$AB424&gt;0,$AD424&gt;0,$AF424&gt;0,$AH424&gt;0),"","0-"),99,0,REPLACE(TEXT(100-$AJ424,0),99,0,"%?    ")),"")))))</f>
        <v/>
      </c>
      <c r="AJ424" s="1833">
        <f>IFERROR(IF(N424="%", SUM(P424,R424,T424,V424,X424,Z424,AB424,AD424,AF424,AH424)/100, SUM(P424,R424,T424,V424,X424,Z424,AB424,AD424,AF424,AH424)/IF(N424="LF", H424,J424)), 0)</f>
        <v>0</v>
      </c>
      <c r="AK424" s="1648"/>
      <c r="AL424" s="1675"/>
      <c r="AM424" s="1399"/>
      <c r="AN424" s="1671"/>
      <c r="AO424" s="1399"/>
      <c r="AP424" s="1653"/>
      <c r="AQ424" s="1399"/>
      <c r="AS424" s="1399"/>
      <c r="AT424" s="1624" t="str">
        <f>IF(AND($C$402="", H424="", J424=""), "N/A", IF(OR(AND(ISNUMBER(H424), ISNUMBER(J424), H424=0, J424=0), AND(AJ424=1, H424&lt;&gt;"", J424&lt;&gt;"", L424&lt;&gt;"", N424&lt;&gt;"", P424&lt;&gt;"", R424&lt;&gt;"", T424&lt;&gt;"", V424&lt;&gt;"", X424&lt;&gt;"", Z424&lt;&gt;"", AB424&lt;&gt;"", AD424&lt;&gt;"", AF424&lt;&gt;"", AH424&lt;&gt;"",AL424&lt;&gt;"", IF(AND(AL424&lt;1, AN424=""), FALSE, TRUE))), "Yes", "No"))</f>
        <v>N/A</v>
      </c>
      <c r="AU424" s="759" t="b">
        <f>IF(AND(H424="",OR(L424&lt;&gt;"",P424&lt;&gt;"",R424&lt;&gt;"",T424&lt;&gt;"",V424&lt;&gt;"",X424&lt;&gt;"",AL424&lt;&gt;"",Z424&lt;&gt;"",AB424&lt;&gt;"",AD424&lt;&gt;"",AF424&lt;&gt;"",AH424&lt;&gt;"")),TRUE,FALSE)</f>
        <v>0</v>
      </c>
      <c r="AV424" s="759" t="b">
        <f>IF(OR(H424="",H424=0),FALSE,IF(H424&gt;BM424,TRUE,FALSE))</f>
        <v>0</v>
      </c>
      <c r="AW424" s="759" t="b">
        <f>IF(AND($C$402&lt;&gt;"",$H424=""),TRUE,FALSE)</f>
        <v>0</v>
      </c>
      <c r="AX424" s="759" t="b">
        <f>IF(E424="yes",FALSE,IF(H424="0",FALSE,IF(AND($C$402&lt;&gt;"",J424=""),TRUE,FALSE)))</f>
        <v>0</v>
      </c>
      <c r="AY424" s="759" t="b">
        <f>IF($L424="",FALSE,IF($L424&lt;$BO424,TRUE,FALSE))</f>
        <v>0</v>
      </c>
      <c r="AZ424" s="759" t="b">
        <f>IF($L424="",FALSE,IF($L424&gt;$BP424,TRUE,FALSE))</f>
        <v>0</v>
      </c>
      <c r="BA424" s="759" t="b">
        <f>IF(H424=0,FALSE,IF(AND(E424&lt;&gt;"",$L424=""),TRUE,FALSE))</f>
        <v>0</v>
      </c>
      <c r="BB424" s="759" t="b">
        <f>IF(AND($AJ424&lt;&gt;0,$H424&lt;&gt;$BJ424,$N424="LF"),TRUE,IF(AND($AJ424&lt;&gt;0,$J424&lt;&gt;$AJ424,$N424="TF"),TRUE,IF(AND($AJ424&lt;&gt;0,$AJ424&lt;&gt;1,$N424="%"),TRUE,FALSE)))</f>
        <v>0</v>
      </c>
      <c r="BC424" s="759" t="b">
        <f>IF(AT424="No", IF(OR(P424="", R424="", T424="", V424="", X424="", Z424="", AB424="", AD424="", AF424="", AH424=""), TRUE, FALSE), FALSE)</f>
        <v>0</v>
      </c>
      <c r="BD424" s="759" t="b">
        <f>IF($BE424=TRUE,FALSE,IF(OR($AL424&lt;0,$AL424&gt;1),TRUE,FALSE))</f>
        <v>0</v>
      </c>
      <c r="BE424" s="759" t="b">
        <f>IF(AND($H424&lt;&gt;0,$AL424=""),TRUE,FALSE)</f>
        <v>0</v>
      </c>
      <c r="BF424" s="759" t="b">
        <f>IF(N424="%",TRUE,FALSE)</f>
        <v>0</v>
      </c>
      <c r="BG424" s="760"/>
      <c r="BH424" s="1678">
        <f>IF($C424="","",VLOOKUP($C424,val_fg_assets,9,FALSE))</f>
        <v>1</v>
      </c>
      <c r="BI424" s="1678" t="str">
        <f>IF(N424="", "", IF(N424="LF", H424, IF(N424="TF", J424, IF(N424="%", 1, ""))))</f>
        <v/>
      </c>
      <c r="BJ424" s="1679">
        <f>P424+R424+T424+V424+X424+Z424+AB424+AD424+AF424+AH424</f>
        <v>0</v>
      </c>
      <c r="BK424" s="1679" t="str">
        <f>IF(BI424="", "", BI424-BJ424)</f>
        <v/>
      </c>
      <c r="BL424" s="1679">
        <f>IF($C424="","",VLOOKUP($C424,val_fg_assets,3,FALSE))</f>
        <v>0</v>
      </c>
      <c r="BM424" s="1679">
        <f>IF($C424="","",VLOOKUP($C424,val_fg_assets,4,FALSE))</f>
        <v>1320000</v>
      </c>
      <c r="BN424" s="1678">
        <f>IF($C424="","",VLOOKUP($C424,val_fg_assets,5,FALSE))</f>
        <v>80</v>
      </c>
      <c r="BO424" s="1678">
        <f>IF($C424="","",VLOOKUP($C424,val_fg_assets,6,FALSE))</f>
        <v>60</v>
      </c>
      <c r="BP424" s="1678">
        <f>IF($C424="","",VLOOKUP($C424,val_fg_assets,7,FALSE))</f>
        <v>100</v>
      </c>
      <c r="BQ424" s="1399"/>
    </row>
    <row r="425" spans="1:69" s="782" customFormat="1" ht="3.95" customHeight="1" x14ac:dyDescent="0.2">
      <c r="A425" s="852"/>
      <c r="B425" s="1791">
        <v>413</v>
      </c>
      <c r="C425" s="1673"/>
      <c r="D425" s="1841"/>
      <c r="E425" s="1057"/>
      <c r="F425" s="764"/>
      <c r="G425" s="686">
        <v>7</v>
      </c>
      <c r="H425" s="1906"/>
      <c r="I425" s="1907"/>
      <c r="J425" s="1908"/>
      <c r="K425" s="1907"/>
      <c r="L425" s="1909"/>
      <c r="M425" s="1910"/>
      <c r="N425" s="1911"/>
      <c r="O425" s="1910"/>
      <c r="P425" s="1866"/>
      <c r="Q425" s="1867"/>
      <c r="R425" s="1866"/>
      <c r="S425" s="1867"/>
      <c r="T425" s="1866"/>
      <c r="U425" s="1867"/>
      <c r="V425" s="1866"/>
      <c r="W425" s="1867"/>
      <c r="X425" s="1866"/>
      <c r="Y425" s="1867"/>
      <c r="Z425" s="1867"/>
      <c r="AA425" s="1867"/>
      <c r="AB425" s="1867"/>
      <c r="AC425" s="1867"/>
      <c r="AD425" s="1867"/>
      <c r="AE425" s="1867"/>
      <c r="AF425" s="1867"/>
      <c r="AG425" s="1867"/>
      <c r="AH425" s="1867"/>
      <c r="AI425" s="837"/>
      <c r="AJ425" s="1806"/>
      <c r="AK425" s="841"/>
      <c r="AL425" s="1806"/>
      <c r="AM425" s="1399"/>
      <c r="AN425" s="838"/>
      <c r="AO425" s="1399"/>
      <c r="AP425" s="1223"/>
      <c r="AQ425" s="1399"/>
      <c r="AS425" s="1399"/>
      <c r="AT425" s="1399"/>
      <c r="AU425" s="759"/>
      <c r="AV425" s="759"/>
      <c r="AW425" s="759"/>
      <c r="AX425" s="759"/>
      <c r="AY425" s="759"/>
      <c r="AZ425" s="759"/>
      <c r="BA425" s="759"/>
      <c r="BB425" s="759"/>
      <c r="BC425" s="759"/>
      <c r="BD425" s="759"/>
      <c r="BE425" s="759"/>
      <c r="BF425" s="759"/>
      <c r="BG425" s="760"/>
      <c r="BH425" s="1678"/>
      <c r="BI425" s="1678"/>
      <c r="BJ425" s="1678"/>
      <c r="BK425" s="1678"/>
      <c r="BL425" s="1679"/>
      <c r="BM425" s="1679"/>
      <c r="BN425" s="1678"/>
      <c r="BO425" s="1678"/>
      <c r="BP425" s="1678"/>
      <c r="BQ425" s="1399"/>
    </row>
    <row r="426" spans="1:69" s="782" customFormat="1" ht="3.95" customHeight="1" thickBot="1" x14ac:dyDescent="0.25">
      <c r="A426" s="852"/>
      <c r="B426" s="1791">
        <v>414</v>
      </c>
      <c r="C426" s="1673"/>
      <c r="D426" s="1841"/>
      <c r="E426" s="1057"/>
      <c r="F426" s="764"/>
      <c r="G426" s="764">
        <v>8</v>
      </c>
      <c r="H426" s="1906"/>
      <c r="I426" s="1907"/>
      <c r="J426" s="1908"/>
      <c r="K426" s="1907"/>
      <c r="L426" s="1909"/>
      <c r="M426" s="722"/>
      <c r="N426" s="1912"/>
      <c r="O426" s="722"/>
      <c r="P426" s="1868"/>
      <c r="Q426" s="1869"/>
      <c r="R426" s="1868"/>
      <c r="S426" s="1869"/>
      <c r="T426" s="1868"/>
      <c r="U426" s="1869"/>
      <c r="V426" s="1868"/>
      <c r="W426" s="1869"/>
      <c r="X426" s="1868"/>
      <c r="Y426" s="1869"/>
      <c r="Z426" s="1869"/>
      <c r="AA426" s="1869"/>
      <c r="AB426" s="1869"/>
      <c r="AC426" s="1869"/>
      <c r="AD426" s="1869"/>
      <c r="AE426" s="1869"/>
      <c r="AF426" s="1869"/>
      <c r="AG426" s="1869"/>
      <c r="AH426" s="1869"/>
      <c r="AI426" s="1670"/>
      <c r="AJ426" s="1828"/>
      <c r="AK426" s="724"/>
      <c r="AL426" s="1806"/>
      <c r="AM426" s="1399"/>
      <c r="AN426" s="1258"/>
      <c r="AO426" s="1399"/>
      <c r="AP426" s="1399"/>
      <c r="AQ426" s="1399"/>
      <c r="AS426" s="1399"/>
      <c r="AT426" s="1399"/>
      <c r="AU426" s="759"/>
      <c r="AV426" s="759"/>
      <c r="AW426" s="759"/>
      <c r="AX426" s="759"/>
      <c r="AY426" s="759"/>
      <c r="AZ426" s="759"/>
      <c r="BA426" s="759"/>
      <c r="BB426" s="759"/>
      <c r="BC426" s="759"/>
      <c r="BD426" s="759"/>
      <c r="BE426" s="759"/>
      <c r="BF426" s="759"/>
      <c r="BG426" s="760"/>
      <c r="BH426" s="1678"/>
      <c r="BI426" s="1678"/>
      <c r="BJ426" s="1678"/>
      <c r="BK426" s="1678"/>
      <c r="BL426" s="1679"/>
      <c r="BM426" s="1679"/>
      <c r="BN426" s="1678"/>
      <c r="BO426" s="1678"/>
      <c r="BP426" s="1678"/>
      <c r="BQ426" s="1399"/>
    </row>
    <row r="427" spans="1:69" s="782" customFormat="1" x14ac:dyDescent="0.2">
      <c r="A427" s="852">
        <f>A424+1</f>
        <v>106</v>
      </c>
      <c r="B427" s="1790">
        <v>415</v>
      </c>
      <c r="C427" s="851" t="str">
        <f>Valid!$B$78</f>
        <v>Below-Grade/Bored or Blasted Tunnel</v>
      </c>
      <c r="D427" s="1841"/>
      <c r="E427" s="1245" t="str">
        <f>IF(AT427="N/A","",IF(AT427="N","No","Yes"))</f>
        <v/>
      </c>
      <c r="F427" s="686"/>
      <c r="G427" s="686"/>
      <c r="H427" s="1864"/>
      <c r="I427" s="1904" t="str">
        <f>IF(C402="","",IF(J427&lt;&gt;"","Linear Feet   ","Qty? Enter Zero if N/A  "))</f>
        <v/>
      </c>
      <c r="J427" s="1864"/>
      <c r="K427" s="1904" t="str">
        <f>IF(E427="yes","",IF(C402="","",IF(H427="","Qty? Enter Zero if N/A  ",IF(H427&lt;&gt;"","Track Feet      ",""))))</f>
        <v/>
      </c>
      <c r="L427" s="1864"/>
      <c r="M427" s="1620" t="str">
        <f>IF($H427=0,"",IF($L427="",TEXT(BN427,0)&amp;" Years?    ",""))</f>
        <v/>
      </c>
      <c r="N427" s="1905"/>
      <c r="O427" s="1620"/>
      <c r="P427" s="1864"/>
      <c r="Q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R427" s="1864"/>
      <c r="S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T427" s="1864"/>
      <c r="U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V427" s="1864"/>
      <c r="W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X427" s="1864"/>
      <c r="Y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Z427" s="1864"/>
      <c r="AA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B427" s="1864"/>
      <c r="AC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D427" s="1864"/>
      <c r="AE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F427" s="1864"/>
      <c r="AG427" s="1865"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H427" s="1864"/>
      <c r="AI427" s="904" t="str">
        <f>IF($N427="","",IF(AND($N427="",OR($H427="",$H427=0)),"",IF(AND($N427="LF",$AJ427&lt;$H427),"0 - "&amp;TEXT(($H427-$AJ427)/1000,"0")&amp;"k lin. ft.?    ",IF(AND($N427="TF",$AJ427&lt;$J427),"0 - "&amp;TEXT(($J427-$AJ427)/1000,"0")&amp;"k track ft.?    ",IF(AND($N427="%",$AJ427&lt;1),REPLACE(IF(AND($P427&gt;0,$V427&gt;0,$T427&gt;0,$X427&gt;0,$R427&gt;0,$Z427&gt;0,$AB427&gt;0,$AD427&gt;0,$AF427&gt;0,$AH427&gt;0),"","0-"),99,0,REPLACE(TEXT(100-$AJ427,0),99,0,"%?    ")),"")))))</f>
        <v/>
      </c>
      <c r="AJ427" s="1833">
        <f>IFERROR(IF(N427="%", SUM(P427,R427,T427,V427,X427,Z427,AB427,AD427,AF427,AH427)/100, SUM(P427,R427,T427,V427,X427,Z427,AB427,AD427,AF427,AH427)/IF(N427="LF", H427,J427)), 0)</f>
        <v>0</v>
      </c>
      <c r="AK427" s="1648"/>
      <c r="AL427" s="1675"/>
      <c r="AM427" s="1399"/>
      <c r="AN427" s="1671"/>
      <c r="AO427" s="1399"/>
      <c r="AP427" s="1653"/>
      <c r="AQ427" s="1399"/>
      <c r="AS427" s="1399"/>
      <c r="AT427" s="1624" t="str">
        <f>IF(AND($C$402="", H427="", J427=""), "N/A", IF(OR(AND(ISNUMBER(H427), ISNUMBER(J427), H427=0, J427=0), AND(AJ427=1, H427&lt;&gt;"", J427&lt;&gt;"", L427&lt;&gt;"", N427&lt;&gt;"", P427&lt;&gt;"", R427&lt;&gt;"", T427&lt;&gt;"", V427&lt;&gt;"", X427&lt;&gt;"", Z427&lt;&gt;"", AB427&lt;&gt;"", AD427&lt;&gt;"", AF427&lt;&gt;"", AH427&lt;&gt;"",AL427&lt;&gt;"", IF(AND(AL427&lt;1, AN427=""), FALSE, TRUE))), "Yes", "No"))</f>
        <v>N/A</v>
      </c>
      <c r="AU427" s="759" t="b">
        <f>IF(AND(H427="",OR(L427&lt;&gt;"",P427&lt;&gt;"",R427&lt;&gt;"",T427&lt;&gt;"",V427&lt;&gt;"",X427&lt;&gt;"",AL427&lt;&gt;"",Z427&lt;&gt;"",AB427&lt;&gt;"",AD427&lt;&gt;"",AF427&lt;&gt;"",AH427&lt;&gt;"")),TRUE,FALSE)</f>
        <v>0</v>
      </c>
      <c r="AV427" s="759" t="b">
        <f>IF(OR(H427="",H427=0),FALSE,IF(H427&gt;BM427,TRUE,FALSE))</f>
        <v>0</v>
      </c>
      <c r="AW427" s="759" t="b">
        <f>IF(AND($C$402&lt;&gt;"",$H427=""),TRUE,FALSE)</f>
        <v>0</v>
      </c>
      <c r="AX427" s="759" t="b">
        <f>IF(E427="yes",FALSE,IF(H427="0",FALSE,IF(AND($C$402&lt;&gt;"",J427=""),TRUE,FALSE)))</f>
        <v>0</v>
      </c>
      <c r="AY427" s="759" t="b">
        <f>IF($L427="",FALSE,IF($L427&lt;$BO427,TRUE,FALSE))</f>
        <v>0</v>
      </c>
      <c r="AZ427" s="759" t="b">
        <f>IF($L427="",FALSE,IF($L427&gt;$BP427,TRUE,FALSE))</f>
        <v>0</v>
      </c>
      <c r="BA427" s="759" t="b">
        <f>IF(H427=0,FALSE,IF(AND(E427&lt;&gt;"",$L427=""),TRUE,FALSE))</f>
        <v>0</v>
      </c>
      <c r="BB427" s="759" t="b">
        <f>IF(AND($AJ427&lt;&gt;0,$H427&lt;&gt;$BJ427,$N427="LF"),TRUE,IF(AND($AJ427&lt;&gt;0,$J427&lt;&gt;$AJ427,$N427="TF"),TRUE,IF(AND($AJ427&lt;&gt;0,$AJ427&lt;&gt;1,$N427="%"),TRUE,FALSE)))</f>
        <v>0</v>
      </c>
      <c r="BC427" s="759" t="b">
        <f>IF(AT427="No", IF(OR(P427="", R427="", T427="", V427="", X427="", Z427="", AB427="", AD427="", AF427="", AH427=""), TRUE, FALSE), FALSE)</f>
        <v>0</v>
      </c>
      <c r="BD427" s="759" t="b">
        <f>IF($BE427=TRUE,FALSE,IF(OR($AL427&lt;0,$AL427&gt;1),TRUE,FALSE))</f>
        <v>0</v>
      </c>
      <c r="BE427" s="759" t="b">
        <f>IF(AND($H427&lt;&gt;0,$AL427=""),TRUE,FALSE)</f>
        <v>0</v>
      </c>
      <c r="BF427" s="759" t="b">
        <f>IF(N427="%",TRUE,FALSE)</f>
        <v>0</v>
      </c>
      <c r="BG427" s="760"/>
      <c r="BH427" s="1678">
        <f>IF($C427="","",VLOOKUP($C427,val_fg_assets,9,FALSE))</f>
        <v>1</v>
      </c>
      <c r="BI427" s="1678" t="str">
        <f>IF(N427="", "", IF(N427="LF", H427, IF(N427="TF", J427, IF(N427="%", 1, ""))))</f>
        <v/>
      </c>
      <c r="BJ427" s="1679">
        <f>P427+R427+T427+V427+X427+Z427+AB427+AD427+AF427+AH427</f>
        <v>0</v>
      </c>
      <c r="BK427" s="1679" t="str">
        <f>IF(BI427="", "", BI427-BJ427)</f>
        <v/>
      </c>
      <c r="BL427" s="1679">
        <f>IF($C427="","",VLOOKUP($C427,val_fg_assets,3,FALSE))</f>
        <v>0</v>
      </c>
      <c r="BM427" s="1679">
        <f>IF($C427="","",VLOOKUP($C427,val_fg_assets,4,FALSE))</f>
        <v>1320000</v>
      </c>
      <c r="BN427" s="1678">
        <f>IF($C427="","",VLOOKUP($C427,val_fg_assets,5,FALSE))</f>
        <v>80</v>
      </c>
      <c r="BO427" s="1678">
        <f>IF($C427="","",VLOOKUP($C427,val_fg_assets,6,FALSE))</f>
        <v>60</v>
      </c>
      <c r="BP427" s="1678">
        <f>IF($C427="","",VLOOKUP($C427,val_fg_assets,7,FALSE))</f>
        <v>100</v>
      </c>
      <c r="BQ427" s="1399"/>
    </row>
    <row r="428" spans="1:69" s="782" customFormat="1" ht="3.95" customHeight="1" x14ac:dyDescent="0.2">
      <c r="A428" s="852"/>
      <c r="B428" s="1790">
        <v>416</v>
      </c>
      <c r="C428" s="1673"/>
      <c r="D428" s="1841"/>
      <c r="E428" s="1057"/>
      <c r="F428" s="764"/>
      <c r="G428" s="764"/>
      <c r="H428" s="1909"/>
      <c r="I428" s="1908"/>
      <c r="J428" s="1908"/>
      <c r="K428" s="1908"/>
      <c r="L428" s="1909"/>
      <c r="M428" s="1910"/>
      <c r="N428" s="1911"/>
      <c r="O428" s="1910"/>
      <c r="P428" s="1866"/>
      <c r="Q428" s="1867"/>
      <c r="R428" s="1866"/>
      <c r="S428" s="1867"/>
      <c r="T428" s="1866"/>
      <c r="U428" s="1867"/>
      <c r="V428" s="1866"/>
      <c r="W428" s="1867"/>
      <c r="X428" s="1866"/>
      <c r="Y428" s="1867"/>
      <c r="Z428" s="1867"/>
      <c r="AA428" s="1867"/>
      <c r="AB428" s="1867"/>
      <c r="AC428" s="1867"/>
      <c r="AD428" s="1867"/>
      <c r="AE428" s="1867"/>
      <c r="AF428" s="1867"/>
      <c r="AG428" s="1867"/>
      <c r="AH428" s="1867"/>
      <c r="AI428" s="837"/>
      <c r="AJ428" s="1806"/>
      <c r="AK428" s="841"/>
      <c r="AL428" s="1806"/>
      <c r="AM428" s="1399"/>
      <c r="AN428" s="838"/>
      <c r="AO428" s="1399"/>
      <c r="AP428" s="1399"/>
      <c r="AQ428" s="1399"/>
      <c r="AS428" s="1399"/>
      <c r="AT428" s="1399"/>
      <c r="AU428" s="759"/>
      <c r="AV428" s="759"/>
      <c r="AW428" s="759"/>
      <c r="AX428" s="759"/>
      <c r="AY428" s="759"/>
      <c r="AZ428" s="759"/>
      <c r="BA428" s="759"/>
      <c r="BB428" s="759"/>
      <c r="BC428" s="759"/>
      <c r="BD428" s="759"/>
      <c r="BE428" s="759"/>
      <c r="BF428" s="759"/>
      <c r="BG428" s="760"/>
      <c r="BH428" s="1678"/>
      <c r="BI428" s="1678"/>
      <c r="BJ428" s="1678"/>
      <c r="BK428" s="1678"/>
      <c r="BL428" s="1679"/>
      <c r="BM428" s="1679"/>
      <c r="BN428" s="1678"/>
      <c r="BO428" s="1678"/>
      <c r="BP428" s="1678"/>
      <c r="BQ428" s="1399"/>
    </row>
    <row r="429" spans="1:69" s="782" customFormat="1" ht="3.95" customHeight="1" thickBot="1" x14ac:dyDescent="0.25">
      <c r="A429" s="852"/>
      <c r="B429" s="1791">
        <v>417</v>
      </c>
      <c r="C429" s="851"/>
      <c r="D429" s="1841"/>
      <c r="E429" s="1058"/>
      <c r="F429" s="686"/>
      <c r="G429" s="686"/>
      <c r="H429" s="1909"/>
      <c r="I429" s="1908"/>
      <c r="J429" s="1908"/>
      <c r="K429" s="1908"/>
      <c r="L429" s="1909"/>
      <c r="M429" s="722"/>
      <c r="N429" s="1912"/>
      <c r="O429" s="722"/>
      <c r="P429" s="1868"/>
      <c r="Q429" s="1869"/>
      <c r="R429" s="1868"/>
      <c r="S429" s="1869"/>
      <c r="T429" s="1868"/>
      <c r="U429" s="1869"/>
      <c r="V429" s="1868"/>
      <c r="W429" s="1869"/>
      <c r="X429" s="1868"/>
      <c r="Y429" s="1869"/>
      <c r="Z429" s="1869"/>
      <c r="AA429" s="1869"/>
      <c r="AB429" s="1869"/>
      <c r="AC429" s="1869"/>
      <c r="AD429" s="1869"/>
      <c r="AE429" s="1869"/>
      <c r="AF429" s="1869"/>
      <c r="AG429" s="1869"/>
      <c r="AH429" s="1869"/>
      <c r="AI429" s="1670"/>
      <c r="AJ429" s="1828"/>
      <c r="AK429" s="724"/>
      <c r="AL429" s="1806"/>
      <c r="AM429" s="1399"/>
      <c r="AN429" s="1258"/>
      <c r="AO429" s="1399"/>
      <c r="AP429" s="1399"/>
      <c r="AQ429" s="1399"/>
      <c r="AS429" s="1399"/>
      <c r="AT429" s="1399"/>
      <c r="AU429" s="759"/>
      <c r="AV429" s="759"/>
      <c r="AW429" s="759"/>
      <c r="AX429" s="759"/>
      <c r="AY429" s="759"/>
      <c r="AZ429" s="759"/>
      <c r="BA429" s="759"/>
      <c r="BB429" s="759"/>
      <c r="BC429" s="759"/>
      <c r="BD429" s="759"/>
      <c r="BE429" s="759"/>
      <c r="BF429" s="759"/>
      <c r="BG429" s="760"/>
      <c r="BH429" s="1678"/>
      <c r="BI429" s="1678"/>
      <c r="BJ429" s="1678"/>
      <c r="BK429" s="1678"/>
      <c r="BL429" s="1679"/>
      <c r="BM429" s="1679"/>
      <c r="BN429" s="1678"/>
      <c r="BO429" s="1678"/>
      <c r="BP429" s="1678"/>
      <c r="BQ429" s="1399"/>
    </row>
    <row r="430" spans="1:69" s="782" customFormat="1" x14ac:dyDescent="0.2">
      <c r="A430" s="852">
        <f>A427+1</f>
        <v>107</v>
      </c>
      <c r="B430" s="1791">
        <v>418</v>
      </c>
      <c r="C430" s="851" t="str">
        <f>Valid!$B$79</f>
        <v>Below-Grade/Submerged Tube</v>
      </c>
      <c r="D430" s="1841"/>
      <c r="E430" s="1245" t="str">
        <f>IF(AT430="N/A","",IF(AT430="N","No","Yes"))</f>
        <v/>
      </c>
      <c r="F430" s="764"/>
      <c r="G430" s="764"/>
      <c r="H430" s="1864"/>
      <c r="I430" s="1904" t="str">
        <f>IF(C402="","",IF(J430&lt;&gt;"","Linear Feet   ","Qty? Enter Zero if N/A  "))</f>
        <v/>
      </c>
      <c r="J430" s="1864"/>
      <c r="K430" s="1904" t="str">
        <f>IF(E430="yes","",IF(C402="","",IF(H430="","Qty? Enter Zero if N/A  ",IF(H430&lt;&gt;"","Track Feet      ",""))))</f>
        <v/>
      </c>
      <c r="L430" s="1864"/>
      <c r="M430" s="1620" t="str">
        <f>IF($H430=0,"",IF($L430="",TEXT(BN430,0)&amp;" Years?    ",""))</f>
        <v/>
      </c>
      <c r="N430" s="1905"/>
      <c r="O430" s="1620"/>
      <c r="P430" s="1864"/>
      <c r="Q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R430" s="1864"/>
      <c r="S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T430" s="1864"/>
      <c r="U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V430" s="1864"/>
      <c r="W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X430" s="1864"/>
      <c r="Y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Z430" s="1864"/>
      <c r="AA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B430" s="1864"/>
      <c r="AC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D430" s="1864"/>
      <c r="AE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F430" s="1864"/>
      <c r="AG430" s="1865"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H430" s="1864"/>
      <c r="AI430" s="904" t="str">
        <f>IF($N430="","",IF(AND($N430="",OR($H430="",$H430=0)),"",IF(AND($N430="LF",$AJ430&lt;$H430),"0 - "&amp;TEXT(($H430-$AJ430)/1000,"0")&amp;"k lin. ft.?    ",IF(AND($N430="TF",$AJ430&lt;$J430),"0 - "&amp;TEXT(($J430-$AJ430)/1000,"0")&amp;"k track ft.?    ",IF(AND($N430="%",$AJ430&lt;1),REPLACE(IF(AND($P430&gt;0,$V430&gt;0,$T430&gt;0,$X430&gt;0,$R430&gt;0,$Z430&gt;0,$AB430&gt;0,$AD430&gt;0,$AF430&gt;0,$AH430&gt;0),"","0-"),99,0,REPLACE(TEXT(100-$AJ430,0),99,0,"%?    ")),"")))))</f>
        <v/>
      </c>
      <c r="AJ430" s="1833">
        <f>IFERROR(IF(N430="%", SUM(P430,R430,T430,V430,X430,Z430,AB430,AD430,AF430,AH430)/100, SUM(P430,R430,T430,V430,X430,Z430,AB430,AD430,AF430,AH430)/IF(N430="LF", H430,J430)), 0)</f>
        <v>0</v>
      </c>
      <c r="AK430" s="1648"/>
      <c r="AL430" s="1832"/>
      <c r="AM430" s="1399"/>
      <c r="AN430" s="1276"/>
      <c r="AO430" s="1399"/>
      <c r="AP430" s="1653"/>
      <c r="AQ430" s="1399"/>
      <c r="AS430" s="1399"/>
      <c r="AT430" s="1624" t="str">
        <f>IF(AND($C$402="", H430="", J430=""), "N/A", IF(OR(AND(ISNUMBER(H430), ISNUMBER(J430), H430=0, J430=0), AND(AJ430=1, H430&lt;&gt;"", J430&lt;&gt;"", L430&lt;&gt;"", N430&lt;&gt;"", P430&lt;&gt;"", R430&lt;&gt;"", T430&lt;&gt;"", V430&lt;&gt;"", X430&lt;&gt;"", Z430&lt;&gt;"", AB430&lt;&gt;"", AD430&lt;&gt;"", AF430&lt;&gt;"", AH430&lt;&gt;"",AL430&lt;&gt;"", IF(AND(AL430&lt;1, AN430=""), FALSE, TRUE))), "Yes", "No"))</f>
        <v>N/A</v>
      </c>
      <c r="AU430" s="759" t="b">
        <f>IF(AND(H430="",OR(L430&lt;&gt;"",P430&lt;&gt;"",R430&lt;&gt;"",T430&lt;&gt;"",V430&lt;&gt;"",X430&lt;&gt;"",AL430&lt;&gt;"",Z430&lt;&gt;"",AB430&lt;&gt;"",AD430&lt;&gt;"",AF430&lt;&gt;"",AH430&lt;&gt;"")),TRUE,FALSE)</f>
        <v>0</v>
      </c>
      <c r="AV430" s="759" t="b">
        <f>IF(OR(H430="",H430=0),FALSE,IF(H430&gt;BM430,TRUE,FALSE))</f>
        <v>0</v>
      </c>
      <c r="AW430" s="759" t="b">
        <f>IF(AND($C$402&lt;&gt;"",$H430=""),TRUE,FALSE)</f>
        <v>0</v>
      </c>
      <c r="AX430" s="759" t="b">
        <f>IF(E430="yes",FALSE,IF(H430="0",FALSE,IF(AND($C$402&lt;&gt;"",J430=""),TRUE,FALSE)))</f>
        <v>0</v>
      </c>
      <c r="AY430" s="759" t="b">
        <f>IF($L430="",FALSE,IF($L430&lt;$BO430,TRUE,FALSE))</f>
        <v>0</v>
      </c>
      <c r="AZ430" s="759" t="b">
        <f>IF($L430="",FALSE,IF($L430&gt;$BP430,TRUE,FALSE))</f>
        <v>0</v>
      </c>
      <c r="BA430" s="759" t="b">
        <f>IF(H430=0,FALSE,IF(AND(E430&lt;&gt;"",$L430=""),TRUE,FALSE))</f>
        <v>0</v>
      </c>
      <c r="BB430" s="759" t="b">
        <f>IF(AND($AJ430&lt;&gt;0,$H430&lt;&gt;$BJ430,$N430="LF"),TRUE,IF(AND($AJ430&lt;&gt;0,$J430&lt;&gt;$AJ430,$N430="TF"),TRUE,IF(AND($AJ430&lt;&gt;0,$AJ430&lt;&gt;1,$N430="%"),TRUE,FALSE)))</f>
        <v>0</v>
      </c>
      <c r="BC430" s="759" t="b">
        <f>IF(AT430="No", IF(OR(P430="", R430="", T430="", V430="", X430="", Z430="", AB430="", AD430="", AF430="", AH430=""), TRUE, FALSE), FALSE)</f>
        <v>0</v>
      </c>
      <c r="BD430" s="759" t="b">
        <f>IF($BE430=TRUE,FALSE,IF(OR($AL430&lt;0,$AL430&gt;1),TRUE,FALSE))</f>
        <v>0</v>
      </c>
      <c r="BE430" s="759" t="b">
        <f>IF(AND($H430&lt;&gt;0,$AL430=""),TRUE,FALSE)</f>
        <v>0</v>
      </c>
      <c r="BF430" s="759" t="b">
        <f>IF(N430="%",TRUE,FALSE)</f>
        <v>0</v>
      </c>
      <c r="BG430" s="760"/>
      <c r="BH430" s="1678">
        <f>IF($C430="","",VLOOKUP($C430,val_fg_assets,9,FALSE))</f>
        <v>1</v>
      </c>
      <c r="BI430" s="1678" t="str">
        <f>IF(N430="", "", IF(N430="LF", H430, IF(N430="TF", J430, IF(N430="%", 1, ""))))</f>
        <v/>
      </c>
      <c r="BJ430" s="1679">
        <f>P430+R430+T430+V430+X430+Z430+AB430+AD430+AF430+AH430</f>
        <v>0</v>
      </c>
      <c r="BK430" s="1679" t="str">
        <f>IF(BI430="", "", BI430-BJ430)</f>
        <v/>
      </c>
      <c r="BL430" s="1679">
        <f>IF($C430="","",VLOOKUP($C430,val_fg_assets,3,FALSE))</f>
        <v>0</v>
      </c>
      <c r="BM430" s="1679">
        <f>IF($C430="","",VLOOKUP($C430,val_fg_assets,4,FALSE))</f>
        <v>1320000</v>
      </c>
      <c r="BN430" s="1678">
        <f>IF($C430="","",VLOOKUP($C430,val_fg_assets,5,FALSE))</f>
        <v>80</v>
      </c>
      <c r="BO430" s="1678">
        <f>IF($C430="","",VLOOKUP($C430,val_fg_assets,6,FALSE))</f>
        <v>60</v>
      </c>
      <c r="BP430" s="1678">
        <f>IF($C430="","",VLOOKUP($C430,val_fg_assets,7,FALSE))</f>
        <v>100</v>
      </c>
      <c r="BQ430" s="1399"/>
    </row>
    <row r="431" spans="1:69" s="782" customFormat="1" ht="3.95" customHeight="1" thickBot="1" x14ac:dyDescent="0.25">
      <c r="A431" s="852"/>
      <c r="B431" s="1791">
        <v>419</v>
      </c>
      <c r="C431" s="850"/>
      <c r="D431" s="1841"/>
      <c r="E431" s="1058"/>
      <c r="F431" s="686"/>
      <c r="G431" s="686"/>
      <c r="H431" s="1909"/>
      <c r="I431" s="1907"/>
      <c r="J431" s="1908"/>
      <c r="K431" s="1908"/>
      <c r="L431" s="1909"/>
      <c r="M431" s="1910"/>
      <c r="N431" s="1910"/>
      <c r="O431" s="1910"/>
      <c r="P431" s="1866"/>
      <c r="Q431" s="1867"/>
      <c r="R431" s="1866"/>
      <c r="S431" s="1867"/>
      <c r="T431" s="1866"/>
      <c r="U431" s="1867"/>
      <c r="V431" s="1866"/>
      <c r="W431" s="1867"/>
      <c r="X431" s="1866"/>
      <c r="Y431" s="1867"/>
      <c r="Z431" s="1867"/>
      <c r="AA431" s="1867"/>
      <c r="AB431" s="1867"/>
      <c r="AC431" s="1867"/>
      <c r="AD431" s="1867"/>
      <c r="AE431" s="1867"/>
      <c r="AF431" s="1867"/>
      <c r="AG431" s="1867"/>
      <c r="AH431" s="1867"/>
      <c r="AI431" s="837"/>
      <c r="AJ431" s="1806"/>
      <c r="AK431" s="841"/>
      <c r="AL431" s="1806"/>
      <c r="AM431" s="1399"/>
      <c r="AN431" s="838"/>
      <c r="AO431" s="1399"/>
      <c r="AP431" s="1399"/>
      <c r="AQ431" s="1399"/>
      <c r="AS431" s="1399"/>
      <c r="AT431" s="1399"/>
      <c r="AU431" s="759"/>
      <c r="AV431" s="759"/>
      <c r="AW431" s="759"/>
      <c r="AX431" s="759"/>
      <c r="AY431" s="759"/>
      <c r="AZ431" s="759"/>
      <c r="BA431" s="759"/>
      <c r="BB431" s="759"/>
      <c r="BC431" s="759"/>
      <c r="BD431" s="759"/>
      <c r="BE431" s="759"/>
      <c r="BF431" s="759"/>
      <c r="BG431" s="760"/>
      <c r="BH431" s="1678"/>
      <c r="BI431" s="1678"/>
      <c r="BJ431" s="1678"/>
      <c r="BK431" s="1678"/>
      <c r="BL431" s="1679"/>
      <c r="BM431" s="1679"/>
      <c r="BN431" s="1678"/>
      <c r="BO431" s="1678"/>
      <c r="BP431" s="1678"/>
      <c r="BQ431" s="1399"/>
    </row>
    <row r="432" spans="1:69" s="782" customFormat="1" x14ac:dyDescent="0.2">
      <c r="A432" s="1712" t="s">
        <v>2621</v>
      </c>
      <c r="B432" s="1790">
        <v>420</v>
      </c>
      <c r="C432" s="850"/>
      <c r="D432" s="1841"/>
      <c r="E432" s="721"/>
      <c r="F432" s="686"/>
      <c r="G432" s="686"/>
      <c r="H432" s="1914">
        <f>SUM(H406:H430)</f>
        <v>0</v>
      </c>
      <c r="I432" s="1915"/>
      <c r="J432" s="1914">
        <f>SUM(J406:J430)</f>
        <v>0</v>
      </c>
      <c r="K432" s="1880"/>
      <c r="L432" s="1880" t="str">
        <f>IF(C402="","&lt;&lt;Total Guideway (Excluding Track) in Linear Feet and Track Feet","&lt;&lt;Total "&amp;VLOOKUP(C402,Codes!$C$156:$D$174,2)&amp;" Guideway (Excluding Track) in Linear Feet and Track Feet")</f>
        <v>&lt;&lt;Total Guideway (Excluding Track) in Linear Feet and Track Feet</v>
      </c>
      <c r="M432" s="1910"/>
      <c r="N432" s="1910"/>
      <c r="O432" s="1910"/>
      <c r="P432" s="1916"/>
      <c r="Q432" s="1867"/>
      <c r="R432" s="1916"/>
      <c r="S432" s="1867"/>
      <c r="T432" s="1916"/>
      <c r="U432" s="1867"/>
      <c r="V432" s="1916"/>
      <c r="W432" s="1867"/>
      <c r="X432" s="1916"/>
      <c r="Y432" s="1867"/>
      <c r="Z432" s="1867"/>
      <c r="AA432" s="1867"/>
      <c r="AB432" s="1867"/>
      <c r="AC432" s="1867"/>
      <c r="AD432" s="1867"/>
      <c r="AE432" s="1867"/>
      <c r="AF432" s="1867"/>
      <c r="AG432" s="1867"/>
      <c r="AH432" s="1867"/>
      <c r="AI432" s="837"/>
      <c r="AJ432" s="1806"/>
      <c r="AK432" s="841"/>
      <c r="AL432" s="1806"/>
      <c r="AM432" s="1399"/>
      <c r="AN432" s="838"/>
      <c r="AO432" s="1399"/>
      <c r="AP432" s="1399"/>
      <c r="AQ432" s="1399"/>
      <c r="AS432" s="1399"/>
      <c r="AT432" s="1399"/>
      <c r="AU432" s="759"/>
      <c r="AV432" s="759"/>
      <c r="AW432" s="759"/>
      <c r="AX432" s="759"/>
      <c r="AY432" s="759"/>
      <c r="AZ432" s="759"/>
      <c r="BA432" s="759"/>
      <c r="BB432" s="759"/>
      <c r="BC432" s="759"/>
      <c r="BD432" s="759"/>
      <c r="BE432" s="759"/>
      <c r="BF432" s="759"/>
      <c r="BG432" s="760"/>
      <c r="BH432" s="1678"/>
      <c r="BI432" s="1678"/>
      <c r="BJ432" s="1678"/>
      <c r="BK432" s="1678"/>
      <c r="BL432" s="1679"/>
      <c r="BM432" s="1679"/>
      <c r="BN432" s="1678"/>
      <c r="BO432" s="1678"/>
      <c r="BP432" s="1678"/>
      <c r="BQ432" s="1399"/>
    </row>
    <row r="433" spans="1:68" s="686" customFormat="1" x14ac:dyDescent="0.2">
      <c r="A433" s="1712" t="s">
        <v>2621</v>
      </c>
      <c r="B433" s="1790">
        <v>421</v>
      </c>
      <c r="C433" s="844" t="str">
        <f>IF(C402="","Power and Signals",VLOOKUP(C402,Codes!$C$156:$D$174,2)&amp;" Power and Signals")</f>
        <v>Power and Signals</v>
      </c>
      <c r="D433" s="1709"/>
      <c r="E433" s="1057"/>
      <c r="F433" s="764"/>
      <c r="G433" s="764"/>
      <c r="H433" s="1917"/>
      <c r="I433" s="1880"/>
      <c r="J433" s="1651"/>
      <c r="K433" s="1651"/>
      <c r="L433" s="1917"/>
      <c r="M433" s="1651"/>
      <c r="N433" s="1651"/>
      <c r="O433" s="1651"/>
      <c r="P433" s="1916"/>
      <c r="Q433" s="1867"/>
      <c r="R433" s="1916"/>
      <c r="S433" s="1867"/>
      <c r="T433" s="1916"/>
      <c r="U433" s="1867"/>
      <c r="V433" s="1916"/>
      <c r="W433" s="1867"/>
      <c r="X433" s="1916"/>
      <c r="Y433" s="1651"/>
      <c r="Z433" s="1651"/>
      <c r="AA433" s="1651"/>
      <c r="AB433" s="1651"/>
      <c r="AC433" s="1651"/>
      <c r="AD433" s="1651"/>
      <c r="AE433" s="1651"/>
      <c r="AF433" s="1651"/>
      <c r="AG433" s="1651"/>
      <c r="AH433" s="1651"/>
      <c r="AJ433" s="1676"/>
      <c r="AL433" s="1676"/>
      <c r="AP433" s="1223"/>
      <c r="AU433" s="848"/>
      <c r="AV433" s="848"/>
      <c r="AW433" s="848"/>
      <c r="AX433" s="848"/>
      <c r="AY433" s="759"/>
      <c r="AZ433" s="759"/>
      <c r="BA433" s="848"/>
      <c r="BB433" s="759"/>
      <c r="BC433" s="848"/>
      <c r="BD433" s="848"/>
      <c r="BE433" s="848"/>
      <c r="BF433" s="848"/>
      <c r="BH433" s="1680"/>
      <c r="BI433" s="1680"/>
      <c r="BJ433" s="1680"/>
      <c r="BK433" s="1680"/>
      <c r="BL433" s="1680"/>
      <c r="BM433" s="1680"/>
      <c r="BN433" s="1680"/>
      <c r="BO433" s="1680"/>
      <c r="BP433" s="1680"/>
    </row>
    <row r="434" spans="1:68" s="686" customFormat="1" ht="26.25" thickBot="1" x14ac:dyDescent="0.25">
      <c r="A434" s="1712" t="s">
        <v>2621</v>
      </c>
      <c r="B434" s="1791">
        <v>422</v>
      </c>
      <c r="C434" s="1674"/>
      <c r="D434" s="1709"/>
      <c r="E434" s="1057"/>
      <c r="H434" s="1903" t="s">
        <v>13</v>
      </c>
      <c r="I434" s="1651"/>
      <c r="J434" s="1651"/>
      <c r="K434" s="1651"/>
      <c r="L434" s="1909"/>
      <c r="M434" s="1909"/>
      <c r="N434" s="1909"/>
      <c r="O434" s="1909"/>
      <c r="P434" s="1903" t="str">
        <f>P$9</f>
        <v>Pre-1920</v>
      </c>
      <c r="Q434" s="1869"/>
      <c r="R434" s="1903" t="str">
        <f>R$9</f>
        <v>1920-
1929</v>
      </c>
      <c r="S434" s="1869"/>
      <c r="T434" s="1903" t="str">
        <f>T$9</f>
        <v>1930-
1939</v>
      </c>
      <c r="U434" s="1869"/>
      <c r="V434" s="1903" t="str">
        <f>V$9</f>
        <v>1940-
1949</v>
      </c>
      <c r="W434" s="1869"/>
      <c r="X434" s="1903" t="str">
        <f>X$9</f>
        <v>1950-
1959</v>
      </c>
      <c r="Y434" s="1868"/>
      <c r="Z434" s="1903" t="str">
        <f>Z$9</f>
        <v>1960-
1969</v>
      </c>
      <c r="AA434" s="1868"/>
      <c r="AB434" s="1903" t="str">
        <f>AB$9</f>
        <v>1970-
1979</v>
      </c>
      <c r="AC434" s="1868"/>
      <c r="AD434" s="1903" t="str">
        <f>AD$9</f>
        <v>1980-
1989</v>
      </c>
      <c r="AE434" s="1868"/>
      <c r="AF434" s="1903" t="str">
        <f>AF$9</f>
        <v>1990-
1999</v>
      </c>
      <c r="AG434" s="1868"/>
      <c r="AH434" s="1903" t="str">
        <f>AH$9</f>
        <v>2000-
present</v>
      </c>
      <c r="AJ434" s="1676"/>
      <c r="AL434" s="1676"/>
      <c r="AP434" s="1394"/>
      <c r="AU434" s="848"/>
      <c r="AV434" s="848"/>
      <c r="AW434" s="848"/>
      <c r="AX434" s="848"/>
      <c r="AY434" s="759"/>
      <c r="AZ434" s="759"/>
      <c r="BA434" s="848"/>
      <c r="BB434" s="759"/>
      <c r="BC434" s="848"/>
      <c r="BD434" s="848"/>
      <c r="BE434" s="848"/>
      <c r="BF434" s="848"/>
      <c r="BH434" s="1680"/>
      <c r="BI434" s="1680"/>
      <c r="BJ434" s="1680"/>
      <c r="BK434" s="1680"/>
      <c r="BL434" s="1680"/>
      <c r="BM434" s="1680"/>
      <c r="BN434" s="1680"/>
      <c r="BO434" s="1680"/>
      <c r="BP434" s="1680"/>
    </row>
    <row r="435" spans="1:68" s="686" customFormat="1" x14ac:dyDescent="0.2">
      <c r="A435" s="852">
        <f>A430+1</f>
        <v>108</v>
      </c>
      <c r="B435" s="1791">
        <v>423</v>
      </c>
      <c r="C435" s="851" t="str">
        <f>Valid!$B$87</f>
        <v>Substation Building</v>
      </c>
      <c r="D435" s="1709"/>
      <c r="E435" s="1245" t="str">
        <f>IF(AT435="N/A","",IF(AT435="N","No","Yes"))</f>
        <v/>
      </c>
      <c r="H435" s="1864"/>
      <c r="I435" s="1904" t="str">
        <f>IF(AND(C402&lt;&gt;"", H435=""),"Qty? Enter Zero if N/A  ","")</f>
        <v/>
      </c>
      <c r="J435" s="1918"/>
      <c r="K435" s="1651"/>
      <c r="L435" s="1864"/>
      <c r="M435" s="1870" t="str">
        <f>IF($H435=0,"",IF($L435="",TEXT(BN435,0)&amp;" Years?    ",""))</f>
        <v/>
      </c>
      <c r="N435" s="1905"/>
      <c r="O435" s="1870"/>
      <c r="P435" s="1864"/>
      <c r="Q435" s="1865" t="str">
        <f>IF(OR($N435="", AND($N435="",OR($H435="",$H435=0))),"",IF(AND($N435="Quantity",$AJ435&lt;$H435),"0 - "&amp;TEXT($H435-$AJ435,"0")&amp;" buildings?    ",IF(AND($N435="%",$AJ435&lt;1),REPLACE(IF(AND($P435&gt;0,$V435&gt;0,$T435&gt;0,$X435&gt;0,$R435&gt;0,$Z435&gt;0,$AB435&gt;0,$AD435&gt;0,$AF435&gt;0,$AH435&gt;0),"","0-"),99,0,REPLACE(TEXT(100-$AJ435,0),99,0,"?    ")),"")))</f>
        <v/>
      </c>
      <c r="R435" s="1864"/>
      <c r="S435" s="1865" t="str">
        <f>IF(OR($N435="", AND($N435="",OR($H435="",$H435=0))),"",IF(AND($N435="Quantity",$AJ435&lt;$H435),"0 - "&amp;TEXT($H435-$AJ435,"0")&amp;" buildings?    ",IF(AND($N435="%",$AJ435&lt;1),REPLACE(IF(AND($P435&gt;0,$V435&gt;0,$T435&gt;0,$X435&gt;0,$R435&gt;0,$Z435&gt;0,$AB435&gt;0,$AD435&gt;0,$AF435&gt;0,$AH435&gt;0),"","0-"),99,0,REPLACE(TEXT(100-$AJ435,0),99,0,"?    ")),"")))</f>
        <v/>
      </c>
      <c r="T435" s="1864"/>
      <c r="U435" s="1865" t="str">
        <f>IF(OR($N435="", AND($N435="",OR($H435="",$H435=0))),"",IF(AND($N435="Quantity",$AJ435&lt;$H435),"0 - "&amp;TEXT($H435-$AJ435,"0")&amp;" buildings?    ",IF(AND($N435="%",$AJ435&lt;1),REPLACE(IF(AND($P435&gt;0,$V435&gt;0,$T435&gt;0,$X435&gt;0,$R435&gt;0,$Z435&gt;0,$AB435&gt;0,$AD435&gt;0,$AF435&gt;0,$AH435&gt;0),"","0-"),99,0,REPLACE(TEXT(100-$AJ435,0),99,0,"?    ")),"")))</f>
        <v/>
      </c>
      <c r="V435" s="1864"/>
      <c r="W435" s="1865" t="str">
        <f>IF(OR($N435="", AND($N435="",OR($H435="",$H435=0))),"",IF(AND($N435="Quantity",$AJ435&lt;$H435),"0 - "&amp;TEXT($H435-$AJ435,"0")&amp;" buildings?    ",IF(AND($N435="%",$AJ435&lt;1),REPLACE(IF(AND($P435&gt;0,$V435&gt;0,$T435&gt;0,$X435&gt;0,$R435&gt;0,$Z435&gt;0,$AB435&gt;0,$AD435&gt;0,$AF435&gt;0,$AH435&gt;0),"","0-"),99,0,REPLACE(TEXT(100-$AJ435,0),99,0,"?    ")),"")))</f>
        <v/>
      </c>
      <c r="X435" s="1864"/>
      <c r="Y435" s="1865" t="str">
        <f>IF(OR($N435="", AND($N435="",OR($H435="",$H435=0))),"",IF(AND($N435="Quantity",$AJ435&lt;$H435),"0 - "&amp;TEXT($H435-$AJ435,"0")&amp;" buildings?    ",IF(AND($N435="%",$AJ435&lt;1),REPLACE(IF(AND($P435&gt;0,$V435&gt;0,$T435&gt;0,$X435&gt;0,$R435&gt;0,$Z435&gt;0,$AB435&gt;0,$AD435&gt;0,$AF435&gt;0,$AH435&gt;0),"","0-"),99,0,REPLACE(TEXT(100-$AJ435,0),99,0,"?    ")),"")))</f>
        <v/>
      </c>
      <c r="Z435" s="1864"/>
      <c r="AA435" s="1865" t="str">
        <f>IF(OR($N435="", AND($N435="",OR($H435="",$H435=0))),"",IF(AND($N435="Quantity",$AJ435&lt;$H435),"0 - "&amp;TEXT($H435-$AJ435,"0")&amp;" buildings?    ",IF(AND($N435="%",$AJ435&lt;1),REPLACE(IF(AND($P435&gt;0,$V435&gt;0,$T435&gt;0,$X435&gt;0,$R435&gt;0,$Z435&gt;0,$AB435&gt;0,$AD435&gt;0,$AF435&gt;0,$AH435&gt;0),"","0-"),99,0,REPLACE(TEXT(100-$AJ435,0),99,0,"?    ")),"")))</f>
        <v/>
      </c>
      <c r="AB435" s="1864"/>
      <c r="AC435" s="1865" t="str">
        <f>IF(OR($N435="", AND($N435="",OR($H435="",$H435=0))),"",IF(AND($N435="Quantity",$AJ435&lt;$H435),"0 - "&amp;TEXT($H435-$AJ435,"0")&amp;" buildings?    ",IF(AND($N435="%",$AJ435&lt;1),REPLACE(IF(AND($P435&gt;0,$V435&gt;0,$T435&gt;0,$X435&gt;0,$R435&gt;0,$Z435&gt;0,$AB435&gt;0,$AD435&gt;0,$AF435&gt;0,$AH435&gt;0),"","0-"),99,0,REPLACE(TEXT(100-$AJ435,0),99,0,"?    ")),"")))</f>
        <v/>
      </c>
      <c r="AD435" s="1864"/>
      <c r="AE435" s="1865" t="str">
        <f>IF(OR($N435="", AND($N435="",OR($H435="",$H435=0))),"",IF(AND($N435="Quantity",$AJ435&lt;$H435),"0 - "&amp;TEXT($H435-$AJ435,"0")&amp;" buildings?    ",IF(AND($N435="%",$AJ435&lt;1),REPLACE(IF(AND($P435&gt;0,$V435&gt;0,$T435&gt;0,$X435&gt;0,$R435&gt;0,$Z435&gt;0,$AB435&gt;0,$AD435&gt;0,$AF435&gt;0,$AH435&gt;0),"","0-"),99,0,REPLACE(TEXT(100-$AJ435,0),99,0,"?    ")),"")))</f>
        <v/>
      </c>
      <c r="AF435" s="1864"/>
      <c r="AG435" s="1865" t="str">
        <f>IF(OR($N435="", AND($N435="",OR($H435="",$H435=0))),"",IF(AND($N435="Quantity",$AJ435&lt;$H435),"0 - "&amp;TEXT($H435-$AJ435,"0")&amp;" buildings?    ",IF(AND($N435="%",$AJ435&lt;1),REPLACE(IF(AND($P435&gt;0,$V435&gt;0,$T435&gt;0,$X435&gt;0,$R435&gt;0,$Z435&gt;0,$AB435&gt;0,$AD435&gt;0,$AF435&gt;0,$AH435&gt;0),"","0-"),99,0,REPLACE(TEXT(100-$AJ435,0),99,0,"?    ")),"")))</f>
        <v/>
      </c>
      <c r="AH435" s="1864"/>
      <c r="AI435" s="1865" t="str">
        <f>IF(OR($N435="", AND($N435="",OR($H435="",$H435=0))),"",IF(AND($N435="Quantity",$AJ435&lt;$H435),"0 - "&amp;TEXT($H435-$AJ435,"0")&amp;" buildings?    ",IF(AND($N435="%",$AJ435&lt;1),REPLACE(IF(AND($P435&gt;0,$V435&gt;0,$T435&gt;0,$X435&gt;0,$R435&gt;0,$Z435&gt;0,$AB435&gt;0,$AD435&gt;0,$AF435&gt;0,$AH435&gt;0),"","0-"),99,0,REPLACE(TEXT(100-$AJ435,0),99,0,"?    ")),"")))</f>
        <v/>
      </c>
      <c r="AJ435" s="1833">
        <f>IFERROR(IF(N435="%", SUM(P435,R435,T435,V435,X435,Z435,AB435,AD435,AF435,AH435)/100, SUM(P435,R435,T435,V435,X435,Z435,AB435,AD435,AF435,AH435)/H435), 0)</f>
        <v>0</v>
      </c>
      <c r="AL435" s="1832"/>
      <c r="AN435" s="1276"/>
      <c r="AP435" s="1653"/>
      <c r="AT435" s="1624" t="str">
        <f>IF(AND($C$402="", H435=""), "N/A", IF(OR(AND(ISNUMBER(H435), H435=0), AND(AJ435=1, H435&lt;&gt;"", L435&lt;&gt;"", N435&lt;&gt;"", P435&lt;&gt;"", R435&lt;&gt;"", T435&lt;&gt;"", V435&lt;&gt;"", X435&lt;&gt;"", Z435&lt;&gt;"", AB435&lt;&gt;"", AD435&lt;&gt;"", AF435&lt;&gt;"", AH435&lt;&gt;"",AL435&lt;&gt;"", IF(AND(AL435&lt;1, AN435=""), FALSE, TRUE))), "Yes", "No"))</f>
        <v>N/A</v>
      </c>
      <c r="AU435" s="759" t="b">
        <f>IF(AND(H435="",OR(L435&lt;&gt;"",P435&lt;&gt;"",R435&lt;&gt;"",T435&lt;&gt;"",V435&lt;&gt;"",X435&lt;&gt;"",AL435&lt;&gt;"",Z435&lt;&gt;"",AB435&lt;&gt;"",AD435&lt;&gt;"",AF435&lt;&gt;"",AH435&lt;&gt;"")),TRUE,FALSE)</f>
        <v>0</v>
      </c>
      <c r="AV435" s="759" t="b">
        <f>IF(OR(H435="",H435=0),FALSE,IF(H435&gt;BM435,TRUE,FALSE))</f>
        <v>0</v>
      </c>
      <c r="AW435" s="759" t="b">
        <f>IF(AND($C$402&lt;&gt;"",$H435=""),TRUE,FALSE)</f>
        <v>0</v>
      </c>
      <c r="AX435" s="759"/>
      <c r="AY435" s="759" t="b">
        <f>IF($L435="",FALSE,IF($L435&lt;$BO435,TRUE,FALSE))</f>
        <v>0</v>
      </c>
      <c r="AZ435" s="759" t="b">
        <f>IF($L435="",FALSE,IF($L435&gt;$BP435,TRUE,FALSE))</f>
        <v>0</v>
      </c>
      <c r="BA435" s="759" t="b">
        <f>IF(H435=0,FALSE,IF(AND(E435&lt;&gt;"",$L435=""),TRUE,FALSE))</f>
        <v>0</v>
      </c>
      <c r="BB435" s="759" t="b">
        <f>IF(AND($AJ435&lt;&gt;0,$H435&lt;$AJ435,$N435="LF"),TRUE,IF(AND($N435="LF",H435&lt;&gt;"",H435=AJ435),FALSE,IF(AND($AJ435&lt;&gt;0,$AJ435&gt;"100%",$N435="%"),TRUE,FALSE)))</f>
        <v>0</v>
      </c>
      <c r="BC435" s="759" t="b">
        <f>IF(AT435="No", IF(OR(P435="", R435="", T435="", V435="", X435="", Z435="", AB435="", AD435="", AF435="", AH435=""), TRUE, FALSE), FALSE)</f>
        <v>0</v>
      </c>
      <c r="BD435" s="759" t="b">
        <f>IF($BE435=TRUE,FALSE,IF(OR($AL435&lt;0,$AL435&gt;1),TRUE,FALSE))</f>
        <v>0</v>
      </c>
      <c r="BE435" s="759" t="b">
        <f>IF(AND($H435&lt;&gt;0,$AL435=""),TRUE,FALSE)</f>
        <v>0</v>
      </c>
      <c r="BF435" s="759"/>
      <c r="BH435" s="1678"/>
      <c r="BI435" s="1678" t="str">
        <f>IF(N435="", "", IF(N435="Quantity", H435, IF(N435="%", 1, "")))</f>
        <v/>
      </c>
      <c r="BJ435" s="1679">
        <f>P435+R435+T435+V435+X435+Z435+AB435+AD435+AF435+AH435</f>
        <v>0</v>
      </c>
      <c r="BK435" s="1679" t="str">
        <f>IF(BI435="", "", BI435-BJ435)</f>
        <v/>
      </c>
      <c r="BL435" s="1678">
        <f>IF($C435="","",VLOOKUP($C435,Valid!$B$87:$F$96,3,FALSE))</f>
        <v>0</v>
      </c>
      <c r="BM435" s="1678">
        <f>IF($C435="","",VLOOKUP($C435,Valid!$B$87:$F$96,4,FALSE))</f>
        <v>35</v>
      </c>
      <c r="BN435" s="1678">
        <f>IF($C435="","",VLOOKUP($C435,Valid!$B$87:$F$96,5,FALSE))</f>
        <v>100</v>
      </c>
      <c r="BO435" s="1678">
        <f>IF($C435="","",VLOOKUP($C435,Valid!$B$87:$G$96,6,FALSE))</f>
        <v>75</v>
      </c>
      <c r="BP435" s="1678">
        <f>IF($C435="","",VLOOKUP($C435,Valid!$B$87:$Z$96,7,FALSE))</f>
        <v>125</v>
      </c>
    </row>
    <row r="436" spans="1:68" s="686" customFormat="1" ht="3.95" customHeight="1" x14ac:dyDescent="0.2">
      <c r="B436" s="1791">
        <v>424</v>
      </c>
      <c r="C436" s="1674"/>
      <c r="D436" s="1709"/>
      <c r="E436" s="1057"/>
      <c r="H436" s="1917"/>
      <c r="I436" s="1651"/>
      <c r="J436" s="1651"/>
      <c r="K436" s="1651"/>
      <c r="L436" s="1917"/>
      <c r="M436" s="1651"/>
      <c r="N436" s="1651"/>
      <c r="O436" s="1651"/>
      <c r="P436" s="1866"/>
      <c r="Q436" s="1867"/>
      <c r="R436" s="1866"/>
      <c r="S436" s="1867"/>
      <c r="T436" s="1866"/>
      <c r="U436" s="1867"/>
      <c r="V436" s="1866"/>
      <c r="W436" s="1867"/>
      <c r="X436" s="1866"/>
      <c r="Y436" s="1867"/>
      <c r="Z436" s="1867"/>
      <c r="AA436" s="1867"/>
      <c r="AB436" s="1867"/>
      <c r="AC436" s="1867"/>
      <c r="AD436" s="1867"/>
      <c r="AE436" s="1867"/>
      <c r="AF436" s="1867"/>
      <c r="AG436" s="1867"/>
      <c r="AH436" s="1867"/>
      <c r="AJ436" s="1676"/>
      <c r="AL436" s="1676"/>
      <c r="AP436" s="1394"/>
      <c r="AU436" s="848"/>
      <c r="AV436" s="848"/>
      <c r="AW436" s="848"/>
      <c r="AX436" s="848"/>
      <c r="AY436" s="759"/>
      <c r="AZ436" s="759"/>
      <c r="BA436" s="848"/>
      <c r="BB436" s="759"/>
      <c r="BC436" s="848"/>
      <c r="BD436" s="848"/>
      <c r="BE436" s="848"/>
      <c r="BF436" s="848"/>
      <c r="BH436" s="1680"/>
      <c r="BI436" s="1680"/>
      <c r="BJ436" s="1680"/>
      <c r="BK436" s="1680"/>
      <c r="BL436" s="1680"/>
      <c r="BM436" s="1680"/>
      <c r="BN436" s="1680"/>
      <c r="BO436" s="1680"/>
      <c r="BP436" s="1680"/>
    </row>
    <row r="437" spans="1:68" s="686" customFormat="1" ht="3.95" customHeight="1" thickBot="1" x14ac:dyDescent="0.25">
      <c r="B437" s="1790">
        <v>425</v>
      </c>
      <c r="C437" s="1674"/>
      <c r="D437" s="1709"/>
      <c r="E437" s="1057"/>
      <c r="H437" s="1917"/>
      <c r="I437" s="1651"/>
      <c r="J437" s="1651"/>
      <c r="K437" s="1651"/>
      <c r="L437" s="1917"/>
      <c r="M437" s="1651"/>
      <c r="N437" s="1651"/>
      <c r="O437" s="1651"/>
      <c r="P437" s="1868"/>
      <c r="Q437" s="1869"/>
      <c r="R437" s="1868"/>
      <c r="S437" s="1869"/>
      <c r="T437" s="1868"/>
      <c r="U437" s="1869"/>
      <c r="V437" s="1868"/>
      <c r="W437" s="1869"/>
      <c r="X437" s="1868"/>
      <c r="Y437" s="1869"/>
      <c r="Z437" s="1869"/>
      <c r="AA437" s="1869"/>
      <c r="AB437" s="1869"/>
      <c r="AC437" s="1869"/>
      <c r="AD437" s="1869"/>
      <c r="AE437" s="1869"/>
      <c r="AF437" s="1869"/>
      <c r="AG437" s="1869"/>
      <c r="AH437" s="1869"/>
      <c r="AJ437" s="1676"/>
      <c r="AL437" s="1676"/>
      <c r="AP437" s="1394"/>
      <c r="AU437" s="848"/>
      <c r="AV437" s="848"/>
      <c r="AW437" s="848"/>
      <c r="AX437" s="848"/>
      <c r="AY437" s="759"/>
      <c r="AZ437" s="759"/>
      <c r="BA437" s="848"/>
      <c r="BB437" s="759"/>
      <c r="BC437" s="848"/>
      <c r="BD437" s="848"/>
      <c r="BE437" s="848"/>
      <c r="BF437" s="848"/>
      <c r="BH437" s="1680"/>
      <c r="BI437" s="1680"/>
      <c r="BJ437" s="1680"/>
      <c r="BK437" s="1680"/>
      <c r="BL437" s="1680"/>
      <c r="BM437" s="1680"/>
      <c r="BN437" s="1680"/>
      <c r="BO437" s="1680"/>
      <c r="BP437" s="1680"/>
    </row>
    <row r="438" spans="1:68" s="686" customFormat="1" x14ac:dyDescent="0.2">
      <c r="A438" s="852">
        <f>A435+1</f>
        <v>109</v>
      </c>
      <c r="B438" s="1790">
        <v>426</v>
      </c>
      <c r="C438" s="851" t="str">
        <f>Valid!$B$88</f>
        <v>Substation Equipment</v>
      </c>
      <c r="D438" s="1709"/>
      <c r="E438" s="1245" t="str">
        <f>IF(AT438="N/A","",IF(AT438="N","No","Yes"))</f>
        <v/>
      </c>
      <c r="H438" s="1917"/>
      <c r="I438" s="1904"/>
      <c r="J438" s="1919"/>
      <c r="K438" s="1651"/>
      <c r="L438" s="1864"/>
      <c r="M438" s="1920" t="str">
        <f>IF(AND(H435&lt;&gt;"", L438=""),REPLACE(TEXT(BN438,0),99,0," Yrs.?    "),"")</f>
        <v/>
      </c>
      <c r="N438" s="1921"/>
      <c r="O438" s="1870"/>
      <c r="P438" s="1864"/>
      <c r="Q438" s="1865" t="str">
        <f>IF(OR($N438="", AND($N438="",OR($H438="",$H438=0))),"",IF(AND($N438="Quantity",$AJ438&lt;$H438),"0 - "&amp;TEXT($H438-$AJ438,"0")&amp;" buildings?    ",IF(AND($N438="%",$AJ438&lt;1),REPLACE(IF(AND($P438&gt;0,$V438&gt;0,$T438&gt;0,$X438&gt;0,$R438&gt;0,$Z438&gt;0,$AB438&gt;0,$AD438&gt;0,$AF438&gt;0,$AH438&gt;0),"","0-"),99,0,REPLACE(TEXT(100-$AJ438,0),99,0,"?    ")),"")))</f>
        <v/>
      </c>
      <c r="R438" s="1864"/>
      <c r="S438" s="1865" t="str">
        <f>IF(OR($N438="", AND($N438="",OR($H438="",$H438=0))),"",IF(AND($N438="Quantity",$AJ438&lt;$H438),"0 - "&amp;TEXT($H438-$AJ438,"0")&amp;" buildings?    ",IF(AND($N438="%",$AJ438&lt;1),REPLACE(IF(AND($P438&gt;0,$V438&gt;0,$T438&gt;0,$X438&gt;0,$R438&gt;0,$Z438&gt;0,$AB438&gt;0,$AD438&gt;0,$AF438&gt;0,$AH438&gt;0),"","0-"),99,0,REPLACE(TEXT(100-$AJ438,0),99,0,"?    ")),"")))</f>
        <v/>
      </c>
      <c r="T438" s="1864"/>
      <c r="U438" s="1865" t="str">
        <f>IF(OR($N438="", AND($N438="",OR($H438="",$H438=0))),"",IF(AND($N438="Quantity",$AJ438&lt;$H438),"0 - "&amp;TEXT($H438-$AJ438,"0")&amp;" buildings?    ",IF(AND($N438="%",$AJ438&lt;1),REPLACE(IF(AND($P438&gt;0,$V438&gt;0,$T438&gt;0,$X438&gt;0,$R438&gt;0,$Z438&gt;0,$AB438&gt;0,$AD438&gt;0,$AF438&gt;0,$AH438&gt;0),"","0-"),99,0,REPLACE(TEXT(100-$AJ438,0),99,0,"?    ")),"")))</f>
        <v/>
      </c>
      <c r="V438" s="1864"/>
      <c r="W438" s="1865" t="str">
        <f>IF(OR($N438="", AND($N438="",OR($H438="",$H438=0))),"",IF(AND($N438="Quantity",$AJ438&lt;$H438),"0 - "&amp;TEXT($H438-$AJ438,"0")&amp;" buildings?    ",IF(AND($N438="%",$AJ438&lt;1),REPLACE(IF(AND($P438&gt;0,$V438&gt;0,$T438&gt;0,$X438&gt;0,$R438&gt;0,$Z438&gt;0,$AB438&gt;0,$AD438&gt;0,$AF438&gt;0,$AH438&gt;0),"","0-"),99,0,REPLACE(TEXT(100-$AJ438,0),99,0,"?    ")),"")))</f>
        <v/>
      </c>
      <c r="X438" s="1864"/>
      <c r="Y438" s="1865" t="str">
        <f>IF(OR($N438="", AND($N438="",OR($H438="",$H438=0))),"",IF(AND($N438="Quantity",$AJ438&lt;$H438),"0 - "&amp;TEXT($H438-$AJ438,"0")&amp;" buildings?    ",IF(AND($N438="%",$AJ438&lt;1),REPLACE(IF(AND($P438&gt;0,$V438&gt;0,$T438&gt;0,$X438&gt;0,$R438&gt;0,$Z438&gt;0,$AB438&gt;0,$AD438&gt;0,$AF438&gt;0,$AH438&gt;0),"","0-"),99,0,REPLACE(TEXT(100-$AJ438,0),99,0,"?    ")),"")))</f>
        <v/>
      </c>
      <c r="Z438" s="1864"/>
      <c r="AA438" s="1865" t="str">
        <f>IF(OR($N438="", AND($N438="",OR($H438="",$H438=0))),"",IF(AND($N438="Quantity",$AJ438&lt;$H438),"0 - "&amp;TEXT($H438-$AJ438,"0")&amp;" buildings?    ",IF(AND($N438="%",$AJ438&lt;1),REPLACE(IF(AND($P438&gt;0,$V438&gt;0,$T438&gt;0,$X438&gt;0,$R438&gt;0,$Z438&gt;0,$AB438&gt;0,$AD438&gt;0,$AF438&gt;0,$AH438&gt;0),"","0-"),99,0,REPLACE(TEXT(100-$AJ438,0),99,0,"?    ")),"")))</f>
        <v/>
      </c>
      <c r="AB438" s="1864"/>
      <c r="AC438" s="1865" t="str">
        <f>IF(OR($N438="", AND($N438="",OR($H438="",$H438=0))),"",IF(AND($N438="Quantity",$AJ438&lt;$H438),"0 - "&amp;TEXT($H438-$AJ438,"0")&amp;" buildings?    ",IF(AND($N438="%",$AJ438&lt;1),REPLACE(IF(AND($P438&gt;0,$V438&gt;0,$T438&gt;0,$X438&gt;0,$R438&gt;0,$Z438&gt;0,$AB438&gt;0,$AD438&gt;0,$AF438&gt;0,$AH438&gt;0),"","0-"),99,0,REPLACE(TEXT(100-$AJ438,0),99,0,"?    ")),"")))</f>
        <v/>
      </c>
      <c r="AD438" s="1864"/>
      <c r="AE438" s="1865" t="str">
        <f>IF(OR($N438="", AND($N438="",OR($H438="",$H438=0))),"",IF(AND($N438="Quantity",$AJ438&lt;$H438),"0 - "&amp;TEXT($H438-$AJ438,"0")&amp;" buildings?    ",IF(AND($N438="%",$AJ438&lt;1),REPLACE(IF(AND($P438&gt;0,$V438&gt;0,$T438&gt;0,$X438&gt;0,$R438&gt;0,$Z438&gt;0,$AB438&gt;0,$AD438&gt;0,$AF438&gt;0,$AH438&gt;0),"","0-"),99,0,REPLACE(TEXT(100-$AJ438,0),99,0,"?    ")),"")))</f>
        <v/>
      </c>
      <c r="AF438" s="1864"/>
      <c r="AG438" s="1865" t="str">
        <f>IF(OR($N438="", AND($N438="",OR($H438="",$H438=0))),"",IF(AND($N438="Quantity",$AJ438&lt;$H438),"0 - "&amp;TEXT($H438-$AJ438,"0")&amp;" buildings?    ",IF(AND($N438="%",$AJ438&lt;1),REPLACE(IF(AND($P438&gt;0,$V438&gt;0,$T438&gt;0,$X438&gt;0,$R438&gt;0,$Z438&gt;0,$AB438&gt;0,$AD438&gt;0,$AF438&gt;0,$AH438&gt;0),"","0-"),99,0,REPLACE(TEXT(100-$AJ438,0),99,0,"?    ")),"")))</f>
        <v/>
      </c>
      <c r="AH438" s="1864"/>
      <c r="AI438" s="1865" t="str">
        <f>IF(OR($N438="", AND($N438="",OR($H438="",$H438=0))),"",IF(AND($N438="Quantity",$AJ438&lt;$H438),"0 - "&amp;TEXT($H438-$AJ438,"0")&amp;" buildings?    ",IF(AND($N438="%",$AJ438&lt;1),REPLACE(IF(AND($P438&gt;0,$V438&gt;0,$T438&gt;0,$X438&gt;0,$R438&gt;0,$Z438&gt;0,$AB438&gt;0,$AD438&gt;0,$AF438&gt;0,$AH438&gt;0),"","0-"),99,0,REPLACE(TEXT(100-$AJ438,0),99,0,"?    ")),"")))</f>
        <v/>
      </c>
      <c r="AJ438" s="1833">
        <f>IFERROR(IF(N438="%", SUM(P438,R438,T438,V438,X438,Z438,AB438,AD438,AF438,AH438)/100, SUM(P438,R438,T438,V438,X438,Z438,AB438,AD438,AF438,AH438)/H438), 0)</f>
        <v>0</v>
      </c>
      <c r="AL438" s="1832"/>
      <c r="AN438" s="1276"/>
      <c r="AP438" s="1653"/>
      <c r="AT438" s="1624" t="str">
        <f>IF(AND($C$402="", L438=""), "N/A", IF(AND(AJ438=1, L438&lt;&gt;"", N438&lt;&gt;"", P438&lt;&gt;"", R438&lt;&gt;"", T438&lt;&gt;"", V438&lt;&gt;"", X438&lt;&gt;"", Z438&lt;&gt;"", AB438&lt;&gt;"", AD438&lt;&gt;"", AF438&lt;&gt;"", AH438&lt;&gt;"",AL438&lt;&gt;"", IF(AND(AL438&lt;1, AN438=""), FALSE, TRUE)), "Yes", "No"))</f>
        <v>N/A</v>
      </c>
      <c r="AU438" s="759"/>
      <c r="AV438" s="759"/>
      <c r="AW438" s="759"/>
      <c r="AX438" s="759"/>
      <c r="AY438" s="759" t="b">
        <f>IF($L438="",FALSE,IF($L438&lt;$BO438,TRUE,FALSE))</f>
        <v>0</v>
      </c>
      <c r="AZ438" s="759" t="b">
        <f>IF($L438="",FALSE,IF($L438&gt;$BP438,TRUE,FALSE))</f>
        <v>0</v>
      </c>
      <c r="BA438" s="759" t="b">
        <f>IF(AND(E438&lt;&gt;"",$L438=""),TRUE,FALSE)</f>
        <v>0</v>
      </c>
      <c r="BB438" s="759" t="b">
        <f>IF(AND($AJ438&lt;&gt;0,$H438&lt;$AJ438,$N438="LF"),TRUE,IF(AND($N438="LF",H438&lt;&gt;"",H438=AJ438),FALSE,IF(AND($AJ438&lt;&gt;0,$AJ438&gt;"100%",$N438="%"),TRUE,FALSE)))</f>
        <v>0</v>
      </c>
      <c r="BC438" s="759" t="b">
        <f>IF(AT438="No", IF(OR(P438="", R438="", T438="", V438="", X438="", Z438="", AB438="", AD438="", AF438="", AH438=""), TRUE, FALSE), FALSE)</f>
        <v>0</v>
      </c>
      <c r="BD438" s="759" t="b">
        <f>IF($BE438=TRUE,FALSE,IF(OR($AL438&lt;0,$AL438&gt;1),TRUE,FALSE))</f>
        <v>0</v>
      </c>
      <c r="BE438" s="759" t="b">
        <f>IF(AND($E438&lt;&gt;"",$AL438=""),TRUE,FALSE)</f>
        <v>0</v>
      </c>
      <c r="BF438" s="759"/>
      <c r="BH438" s="1680"/>
      <c r="BI438" s="1678" t="str">
        <f>IF(N438="", "", IF(N438="Quantity", H438, IF(N438="%", 1, "")))</f>
        <v/>
      </c>
      <c r="BJ438" s="1679">
        <f>P438+R438+T438+V438+X438+Z438+AB438+AD438+AF438+AH438</f>
        <v>0</v>
      </c>
      <c r="BK438" s="1679" t="str">
        <f>IF(BI438="", "", BI438-BJ438)</f>
        <v/>
      </c>
      <c r="BL438" s="1680"/>
      <c r="BM438" s="1680"/>
      <c r="BN438" s="1678">
        <f>IF($C438="","",VLOOKUP($C438,Valid!$B$87:$F$96,5,FALSE))</f>
        <v>25</v>
      </c>
      <c r="BO438" s="1678">
        <f>IF($C438="","",VLOOKUP($C438,Valid!$B$87:$G$96,6,FALSE))</f>
        <v>19</v>
      </c>
      <c r="BP438" s="1678">
        <f>IF($C438="","",VLOOKUP($C438,Valid!$B$87:$Z$96,7,FALSE))</f>
        <v>31</v>
      </c>
    </row>
    <row r="439" spans="1:68" s="686" customFormat="1" ht="3.95" customHeight="1" x14ac:dyDescent="0.2">
      <c r="B439" s="1791">
        <v>427</v>
      </c>
      <c r="C439" s="1674"/>
      <c r="D439" s="1709"/>
      <c r="E439" s="1057"/>
      <c r="H439" s="1917"/>
      <c r="I439" s="1651"/>
      <c r="J439" s="1651"/>
      <c r="K439" s="1651"/>
      <c r="L439" s="1917"/>
      <c r="M439" s="1651"/>
      <c r="N439" s="1651"/>
      <c r="O439" s="1651"/>
      <c r="P439" s="1866"/>
      <c r="Q439" s="1867"/>
      <c r="R439" s="1866"/>
      <c r="S439" s="1867"/>
      <c r="T439" s="1866"/>
      <c r="U439" s="1867"/>
      <c r="V439" s="1866"/>
      <c r="W439" s="1867"/>
      <c r="X439" s="1866"/>
      <c r="Y439" s="1867"/>
      <c r="Z439" s="1867"/>
      <c r="AA439" s="1867"/>
      <c r="AB439" s="1867"/>
      <c r="AC439" s="1867"/>
      <c r="AD439" s="1867"/>
      <c r="AE439" s="1867"/>
      <c r="AF439" s="1867"/>
      <c r="AG439" s="1867"/>
      <c r="AH439" s="1867"/>
      <c r="AJ439" s="1676"/>
      <c r="AL439" s="1676"/>
      <c r="AP439" s="1394"/>
      <c r="AU439" s="848"/>
      <c r="AV439" s="848"/>
      <c r="AW439" s="848"/>
      <c r="AX439" s="848"/>
      <c r="AY439" s="759"/>
      <c r="AZ439" s="759"/>
      <c r="BA439" s="848"/>
      <c r="BB439" s="759"/>
      <c r="BC439" s="848"/>
      <c r="BD439" s="848"/>
      <c r="BE439" s="848"/>
      <c r="BF439" s="848"/>
      <c r="BH439" s="1680"/>
      <c r="BI439" s="1680"/>
      <c r="BJ439" s="1680"/>
      <c r="BK439" s="1680"/>
      <c r="BL439" s="1680"/>
      <c r="BM439" s="1680"/>
      <c r="BN439" s="1680"/>
      <c r="BO439" s="1680"/>
      <c r="BP439" s="1680"/>
    </row>
    <row r="440" spans="1:68" s="686" customFormat="1" ht="3.95" customHeight="1" thickBot="1" x14ac:dyDescent="0.25">
      <c r="B440" s="1791">
        <v>428</v>
      </c>
      <c r="C440" s="1674"/>
      <c r="D440" s="1709"/>
      <c r="E440" s="1057"/>
      <c r="H440" s="1917"/>
      <c r="I440" s="1651"/>
      <c r="J440" s="1651"/>
      <c r="K440" s="1651"/>
      <c r="L440" s="1917"/>
      <c r="M440" s="1651"/>
      <c r="N440" s="1651"/>
      <c r="O440" s="1651"/>
      <c r="P440" s="1868"/>
      <c r="Q440" s="1869"/>
      <c r="R440" s="1868"/>
      <c r="S440" s="1869"/>
      <c r="T440" s="1868"/>
      <c r="U440" s="1869"/>
      <c r="V440" s="1868"/>
      <c r="W440" s="1869"/>
      <c r="X440" s="1868"/>
      <c r="Y440" s="1869"/>
      <c r="Z440" s="1869"/>
      <c r="AA440" s="1869"/>
      <c r="AB440" s="1869"/>
      <c r="AC440" s="1869"/>
      <c r="AD440" s="1869"/>
      <c r="AE440" s="1869"/>
      <c r="AF440" s="1869"/>
      <c r="AG440" s="1869"/>
      <c r="AH440" s="1869"/>
      <c r="AI440" s="1670"/>
      <c r="AJ440" s="1676"/>
      <c r="AL440" s="1676"/>
      <c r="AP440" s="1394"/>
      <c r="AU440" s="848"/>
      <c r="AV440" s="848"/>
      <c r="AW440" s="848"/>
      <c r="AX440" s="848"/>
      <c r="AY440" s="759"/>
      <c r="AZ440" s="759"/>
      <c r="BA440" s="848"/>
      <c r="BB440" s="759"/>
      <c r="BC440" s="848"/>
      <c r="BD440" s="848"/>
      <c r="BE440" s="848"/>
      <c r="BF440" s="848"/>
      <c r="BH440" s="1680"/>
      <c r="BI440" s="1680"/>
      <c r="BJ440" s="1680"/>
      <c r="BK440" s="1680"/>
      <c r="BL440" s="1680"/>
      <c r="BM440" s="1680"/>
      <c r="BN440" s="1680"/>
      <c r="BO440" s="1680"/>
      <c r="BP440" s="1680"/>
    </row>
    <row r="441" spans="1:68" s="686" customFormat="1" x14ac:dyDescent="0.2">
      <c r="A441" s="852">
        <f>A438+1</f>
        <v>110</v>
      </c>
      <c r="B441" s="1791">
        <v>429</v>
      </c>
      <c r="C441" s="851" t="str">
        <f>Valid!$B$89</f>
        <v>Third Rail/Power Distribution</v>
      </c>
      <c r="D441" s="1709"/>
      <c r="E441" s="1245" t="str">
        <f>IF(AT441="N/A","",IF(AT441="N","No","Yes"))</f>
        <v/>
      </c>
      <c r="H441" s="1917"/>
      <c r="I441" s="1904"/>
      <c r="J441" s="1651"/>
      <c r="K441" s="1651"/>
      <c r="L441" s="1864"/>
      <c r="M441" s="1920" t="str">
        <f>IF(AND(H435&lt;&gt;"", L441=""),REPLACE(TEXT(BN441,0),99,0," Yrs.?    "),"")</f>
        <v/>
      </c>
      <c r="N441" s="1921"/>
      <c r="O441" s="1870"/>
      <c r="P441" s="1864"/>
      <c r="Q441" s="1865" t="str">
        <f>IF(OR($N441="", AND($N441="",OR($H441="",$H441=0))),"",IF(AND($N441="Quantity",$AJ441&lt;$H441),"0 - "&amp;TEXT($H441-$AJ441,"0")&amp;" buildings?    ",IF(AND($N441="%",$AJ441&lt;1),REPLACE(IF(AND($P441&gt;0,$V441&gt;0,$T441&gt;0,$X441&gt;0,$R441&gt;0,$Z441&gt;0,$AB441&gt;0,$AD441&gt;0,$AF441&gt;0,$AH441&gt;0),"","0-"),99,0,REPLACE(TEXT(100-$AJ441,0),99,0,"?    ")),"")))</f>
        <v/>
      </c>
      <c r="R441" s="1864"/>
      <c r="S441" s="1865" t="str">
        <f>IF(OR($N441="", AND($N441="",OR($H441="",$H441=0))),"",IF(AND($N441="Quantity",$AJ441&lt;$H441),"0 - "&amp;TEXT($H441-$AJ441,"0")&amp;" buildings?    ",IF(AND($N441="%",$AJ441&lt;1),REPLACE(IF(AND($P441&gt;0,$V441&gt;0,$T441&gt;0,$X441&gt;0,$R441&gt;0,$Z441&gt;0,$AB441&gt;0,$AD441&gt;0,$AF441&gt;0,$AH441&gt;0),"","0-"),99,0,REPLACE(TEXT(100-$AJ441,0),99,0,"?    ")),"")))</f>
        <v/>
      </c>
      <c r="T441" s="1864"/>
      <c r="U441" s="1865" t="str">
        <f>IF(OR($N441="", AND($N441="",OR($H441="",$H441=0))),"",IF(AND($N441="Quantity",$AJ441&lt;$H441),"0 - "&amp;TEXT($H441-$AJ441,"0")&amp;" buildings?    ",IF(AND($N441="%",$AJ441&lt;1),REPLACE(IF(AND($P441&gt;0,$V441&gt;0,$T441&gt;0,$X441&gt;0,$R441&gt;0,$Z441&gt;0,$AB441&gt;0,$AD441&gt;0,$AF441&gt;0,$AH441&gt;0),"","0-"),99,0,REPLACE(TEXT(100-$AJ441,0),99,0,"?    ")),"")))</f>
        <v/>
      </c>
      <c r="V441" s="1864"/>
      <c r="W441" s="1865" t="str">
        <f>IF(OR($N441="", AND($N441="",OR($H441="",$H441=0))),"",IF(AND($N441="Quantity",$AJ441&lt;$H441),"0 - "&amp;TEXT($H441-$AJ441,"0")&amp;" buildings?    ",IF(AND($N441="%",$AJ441&lt;1),REPLACE(IF(AND($P441&gt;0,$V441&gt;0,$T441&gt;0,$X441&gt;0,$R441&gt;0,$Z441&gt;0,$AB441&gt;0,$AD441&gt;0,$AF441&gt;0,$AH441&gt;0),"","0-"),99,0,REPLACE(TEXT(100-$AJ441,0),99,0,"?    ")),"")))</f>
        <v/>
      </c>
      <c r="X441" s="1864"/>
      <c r="Y441" s="1865" t="str">
        <f>IF(OR($N441="", AND($N441="",OR($H441="",$H441=0))),"",IF(AND($N441="Quantity",$AJ441&lt;$H441),"0 - "&amp;TEXT($H441-$AJ441,"0")&amp;" buildings?    ",IF(AND($N441="%",$AJ441&lt;1),REPLACE(IF(AND($P441&gt;0,$V441&gt;0,$T441&gt;0,$X441&gt;0,$R441&gt;0,$Z441&gt;0,$AB441&gt;0,$AD441&gt;0,$AF441&gt;0,$AH441&gt;0),"","0-"),99,0,REPLACE(TEXT(100-$AJ441,0),99,0,"?    ")),"")))</f>
        <v/>
      </c>
      <c r="Z441" s="1864"/>
      <c r="AA441" s="1865" t="str">
        <f>IF(OR($N441="", AND($N441="",OR($H441="",$H441=0))),"",IF(AND($N441="Quantity",$AJ441&lt;$H441),"0 - "&amp;TEXT($H441-$AJ441,"0")&amp;" buildings?    ",IF(AND($N441="%",$AJ441&lt;1),REPLACE(IF(AND($P441&gt;0,$V441&gt;0,$T441&gt;0,$X441&gt;0,$R441&gt;0,$Z441&gt;0,$AB441&gt;0,$AD441&gt;0,$AF441&gt;0,$AH441&gt;0),"","0-"),99,0,REPLACE(TEXT(100-$AJ441,0),99,0,"?    ")),"")))</f>
        <v/>
      </c>
      <c r="AB441" s="1864"/>
      <c r="AC441" s="1865" t="str">
        <f>IF(OR($N441="", AND($N441="",OR($H441="",$H441=0))),"",IF(AND($N441="Quantity",$AJ441&lt;$H441),"0 - "&amp;TEXT($H441-$AJ441,"0")&amp;" buildings?    ",IF(AND($N441="%",$AJ441&lt;1),REPLACE(IF(AND($P441&gt;0,$V441&gt;0,$T441&gt;0,$X441&gt;0,$R441&gt;0,$Z441&gt;0,$AB441&gt;0,$AD441&gt;0,$AF441&gt;0,$AH441&gt;0),"","0-"),99,0,REPLACE(TEXT(100-$AJ441,0),99,0,"?    ")),"")))</f>
        <v/>
      </c>
      <c r="AD441" s="1864"/>
      <c r="AE441" s="1865" t="str">
        <f>IF(OR($N441="", AND($N441="",OR($H441="",$H441=0))),"",IF(AND($N441="Quantity",$AJ441&lt;$H441),"0 - "&amp;TEXT($H441-$AJ441,"0")&amp;" buildings?    ",IF(AND($N441="%",$AJ441&lt;1),REPLACE(IF(AND($P441&gt;0,$V441&gt;0,$T441&gt;0,$X441&gt;0,$R441&gt;0,$Z441&gt;0,$AB441&gt;0,$AD441&gt;0,$AF441&gt;0,$AH441&gt;0),"","0-"),99,0,REPLACE(TEXT(100-$AJ441,0),99,0,"?    ")),"")))</f>
        <v/>
      </c>
      <c r="AF441" s="1864"/>
      <c r="AG441" s="1865" t="str">
        <f>IF(OR($N441="", AND($N441="",OR($H441="",$H441=0))),"",IF(AND($N441="Quantity",$AJ441&lt;$H441),"0 - "&amp;TEXT($H441-$AJ441,"0")&amp;" buildings?    ",IF(AND($N441="%",$AJ441&lt;1),REPLACE(IF(AND($P441&gt;0,$V441&gt;0,$T441&gt;0,$X441&gt;0,$R441&gt;0,$Z441&gt;0,$AB441&gt;0,$AD441&gt;0,$AF441&gt;0,$AH441&gt;0),"","0-"),99,0,REPLACE(TEXT(100-$AJ441,0),99,0,"?    ")),"")))</f>
        <v/>
      </c>
      <c r="AH441" s="1864"/>
      <c r="AI441" s="1865" t="str">
        <f>IF(OR($N441="", AND($N441="",OR($H441="",$H441=0))),"",IF(AND($N441="Quantity",$AJ441&lt;$H441),"0 - "&amp;TEXT($H441-$AJ441,"0")&amp;" buildings?    ",IF(AND($N441="%",$AJ441&lt;1),REPLACE(IF(AND($P441&gt;0,$V441&gt;0,$T441&gt;0,$X441&gt;0,$R441&gt;0,$Z441&gt;0,$AB441&gt;0,$AD441&gt;0,$AF441&gt;0,$AH441&gt;0),"","0-"),99,0,REPLACE(TEXT(100-$AJ441,0),99,0,"?    ")),"")))</f>
        <v/>
      </c>
      <c r="AJ441" s="1833">
        <f>IFERROR(IF(N441="%", SUM(P441,R441,T441,V441,X441,Z441,AB441,AD441,AF441,AH441)/100, SUM(P441,R441,T441,V441,X441,Z441,AB441,AD441,AF441,AH441)/H441), 0)</f>
        <v>0</v>
      </c>
      <c r="AL441" s="1832"/>
      <c r="AN441" s="1276"/>
      <c r="AP441" s="1653"/>
      <c r="AT441" s="1624" t="str">
        <f>IF(AND($C$402="", L441=""), "N/A", IF(AND(AJ441=1, L441&lt;&gt;"", N441&lt;&gt;"", P441&lt;&gt;"", R441&lt;&gt;"", T441&lt;&gt;"", V441&lt;&gt;"", X441&lt;&gt;"", Z441&lt;&gt;"", AB441&lt;&gt;"", AD441&lt;&gt;"", AF441&lt;&gt;"", AH441&lt;&gt;"",AL441&lt;&gt;"", IF(AND(AL441&lt;1, AN441=""), FALSE, TRUE)), "Yes", "No"))</f>
        <v>N/A</v>
      </c>
      <c r="AU441" s="759"/>
      <c r="AV441" s="759"/>
      <c r="AW441" s="759"/>
      <c r="AX441" s="759"/>
      <c r="AY441" s="759" t="b">
        <f>IF($L441="",FALSE,IF($L441&lt;$BO441,TRUE,FALSE))</f>
        <v>0</v>
      </c>
      <c r="AZ441" s="759" t="b">
        <f>IF($L441="",FALSE,IF($L441&gt;$BP441,TRUE,FALSE))</f>
        <v>0</v>
      </c>
      <c r="BA441" s="759" t="b">
        <f>IF(AND(E441&lt;&gt;"",$L441=""),TRUE,FALSE)</f>
        <v>0</v>
      </c>
      <c r="BB441" s="759" t="b">
        <f>IF(AND($AJ441&lt;&gt;0,$H441&lt;$AJ441,$N441="LF"),TRUE,IF(AND($N441="LF",H441&lt;&gt;"",H441=AJ441),FALSE,IF(AND($AJ441&lt;&gt;0,$AJ441&gt;"100%",$N441="%"),TRUE,FALSE)))</f>
        <v>0</v>
      </c>
      <c r="BC441" s="759" t="b">
        <f>IF(AT441="No", IF(OR(P441="", R441="", T441="", V441="", X441="", Z441="", AB441="", AD441="", AF441="", AH441=""), TRUE, FALSE), FALSE)</f>
        <v>0</v>
      </c>
      <c r="BD441" s="759" t="b">
        <f>IF($BE441=TRUE,FALSE,IF(OR($AL441&lt;0,$AL441&gt;1),TRUE,FALSE))</f>
        <v>0</v>
      </c>
      <c r="BE441" s="759" t="b">
        <f>IF(AND($E441&lt;&gt;"",$AL441=""),TRUE,FALSE)</f>
        <v>0</v>
      </c>
      <c r="BF441" s="759"/>
      <c r="BH441" s="1680"/>
      <c r="BI441" s="1678" t="str">
        <f>IF(N441="", "", IF(N441="Quantity", H441, IF(N441="%", 1, "")))</f>
        <v/>
      </c>
      <c r="BJ441" s="1679">
        <f>P441+R441+T441+V441+X441+Z441+AB441+AD441+AF441+AH441</f>
        <v>0</v>
      </c>
      <c r="BK441" s="1679" t="str">
        <f>IF(BI441="", "", BI441-BJ441)</f>
        <v/>
      </c>
      <c r="BL441" s="1680"/>
      <c r="BM441" s="1680"/>
      <c r="BN441" s="1678">
        <f>IF($C441="","",VLOOKUP($C441,Valid!$B$87:$F$96,5,FALSE))</f>
        <v>25</v>
      </c>
      <c r="BO441" s="1678">
        <f>IF($C441="","",VLOOKUP($C441,Valid!$B$87:$G$96,6,FALSE))</f>
        <v>19</v>
      </c>
      <c r="BP441" s="1678">
        <f>IF($C441="","",VLOOKUP($C441,Valid!$B$87:$Z$96,7,FALSE))</f>
        <v>31</v>
      </c>
    </row>
    <row r="442" spans="1:68" s="686" customFormat="1" ht="3.95" customHeight="1" x14ac:dyDescent="0.2">
      <c r="B442" s="1790">
        <v>430</v>
      </c>
      <c r="C442" s="1674"/>
      <c r="D442" s="1709"/>
      <c r="E442" s="1057"/>
      <c r="H442" s="1917"/>
      <c r="I442" s="1651"/>
      <c r="J442" s="1651"/>
      <c r="K442" s="1651"/>
      <c r="L442" s="1917"/>
      <c r="M442" s="1651"/>
      <c r="N442" s="1651"/>
      <c r="O442" s="1651"/>
      <c r="P442" s="1866"/>
      <c r="Q442" s="1867"/>
      <c r="R442" s="1866"/>
      <c r="S442" s="1867"/>
      <c r="T442" s="1866"/>
      <c r="U442" s="1867"/>
      <c r="V442" s="1866"/>
      <c r="W442" s="1867"/>
      <c r="X442" s="1866"/>
      <c r="Y442" s="1867"/>
      <c r="Z442" s="1867"/>
      <c r="AA442" s="1867"/>
      <c r="AB442" s="1867"/>
      <c r="AC442" s="1867"/>
      <c r="AD442" s="1867"/>
      <c r="AE442" s="1867"/>
      <c r="AF442" s="1867"/>
      <c r="AG442" s="1867"/>
      <c r="AH442" s="1867"/>
      <c r="AJ442" s="1676"/>
      <c r="AL442" s="1676"/>
      <c r="AP442" s="1394"/>
      <c r="AU442" s="848"/>
      <c r="AV442" s="848"/>
      <c r="AW442" s="848"/>
      <c r="AX442" s="848"/>
      <c r="AY442" s="759"/>
      <c r="AZ442" s="759"/>
      <c r="BA442" s="848"/>
      <c r="BB442" s="759"/>
      <c r="BC442" s="848"/>
      <c r="BD442" s="848"/>
      <c r="BE442" s="848"/>
      <c r="BF442" s="848"/>
      <c r="BH442" s="1680"/>
      <c r="BI442" s="1680"/>
      <c r="BJ442" s="1680"/>
      <c r="BK442" s="1680"/>
      <c r="BL442" s="1680"/>
      <c r="BM442" s="1680"/>
      <c r="BN442" s="1680"/>
      <c r="BO442" s="1680"/>
      <c r="BP442" s="1680"/>
    </row>
    <row r="443" spans="1:68" s="686" customFormat="1" ht="3.95" customHeight="1" thickBot="1" x14ac:dyDescent="0.25">
      <c r="B443" s="1790">
        <v>431</v>
      </c>
      <c r="C443" s="1674"/>
      <c r="D443" s="1709"/>
      <c r="E443" s="1057"/>
      <c r="H443" s="1917"/>
      <c r="I443" s="1651"/>
      <c r="J443" s="1651"/>
      <c r="K443" s="1651"/>
      <c r="L443" s="1917"/>
      <c r="M443" s="1651"/>
      <c r="N443" s="1651"/>
      <c r="O443" s="1651"/>
      <c r="P443" s="1868"/>
      <c r="Q443" s="1869"/>
      <c r="R443" s="1868"/>
      <c r="S443" s="1869"/>
      <c r="T443" s="1868"/>
      <c r="U443" s="1869"/>
      <c r="V443" s="1868"/>
      <c r="W443" s="1869"/>
      <c r="X443" s="1868"/>
      <c r="Y443" s="1869"/>
      <c r="Z443" s="1869"/>
      <c r="AA443" s="1869"/>
      <c r="AB443" s="1869"/>
      <c r="AC443" s="1869"/>
      <c r="AD443" s="1869"/>
      <c r="AE443" s="1869"/>
      <c r="AF443" s="1869"/>
      <c r="AG443" s="1869"/>
      <c r="AH443" s="1869"/>
      <c r="AI443" s="1670"/>
      <c r="AJ443" s="1676"/>
      <c r="AL443" s="1676"/>
      <c r="AP443" s="1394"/>
      <c r="AU443" s="848"/>
      <c r="AV443" s="848"/>
      <c r="AW443" s="848"/>
      <c r="AX443" s="848"/>
      <c r="AY443" s="759"/>
      <c r="AZ443" s="759"/>
      <c r="BA443" s="848"/>
      <c r="BB443" s="759"/>
      <c r="BC443" s="848"/>
      <c r="BD443" s="848"/>
      <c r="BE443" s="848"/>
      <c r="BF443" s="848"/>
      <c r="BH443" s="1680"/>
      <c r="BI443" s="1680"/>
      <c r="BJ443" s="1680"/>
      <c r="BK443" s="1680"/>
      <c r="BL443" s="1680"/>
      <c r="BM443" s="1680"/>
      <c r="BN443" s="1680"/>
      <c r="BO443" s="1680"/>
      <c r="BP443" s="1680"/>
    </row>
    <row r="444" spans="1:68" s="686" customFormat="1" x14ac:dyDescent="0.2">
      <c r="A444" s="852">
        <f>A441+1</f>
        <v>111</v>
      </c>
      <c r="B444" s="1791">
        <v>432</v>
      </c>
      <c r="C444" s="851" t="str">
        <f>Valid!$B$90</f>
        <v>Overhead Contact System/Power Distribution</v>
      </c>
      <c r="D444" s="1709"/>
      <c r="E444" s="1245" t="str">
        <f>IF(AT444="N/A","",IF(AT444="N","No","Yes"))</f>
        <v/>
      </c>
      <c r="H444" s="1917"/>
      <c r="I444" s="1904"/>
      <c r="J444" s="1651"/>
      <c r="K444" s="1651"/>
      <c r="L444" s="1864"/>
      <c r="M444" s="1920" t="str">
        <f>IF(AND(H435&lt;&gt;"", L444=""),REPLACE(TEXT(BN444,0),99,0," Yrs.?    "),"")</f>
        <v/>
      </c>
      <c r="N444" s="1921"/>
      <c r="O444" s="1870"/>
      <c r="P444" s="1864"/>
      <c r="Q444" s="1865" t="str">
        <f>IF(OR($N444="", AND($N444="",OR($H444="",$H444=0))),"",IF(AND($N444="Quantity",$AJ444&lt;$H444),"0 - "&amp;TEXT($H444-$AJ444,"0")&amp;" buildings?    ",IF(AND($N444="%",$AJ444&lt;1),REPLACE(IF(AND($P444&gt;0,$V444&gt;0,$T444&gt;0,$X444&gt;0,$R444&gt;0,$Z444&gt;0,$AB444&gt;0,$AD444&gt;0,$AF444&gt;0,$AH444&gt;0),"","0-"),99,0,REPLACE(TEXT(100-$AJ444,0),99,0,"?    ")),"")))</f>
        <v/>
      </c>
      <c r="R444" s="1864"/>
      <c r="S444" s="1865" t="str">
        <f>IF(OR($N444="", AND($N444="",OR($H444="",$H444=0))),"",IF(AND($N444="Quantity",$AJ444&lt;$H444),"0 - "&amp;TEXT($H444-$AJ444,"0")&amp;" buildings?    ",IF(AND($N444="%",$AJ444&lt;1),REPLACE(IF(AND($P444&gt;0,$V444&gt;0,$T444&gt;0,$X444&gt;0,$R444&gt;0,$Z444&gt;0,$AB444&gt;0,$AD444&gt;0,$AF444&gt;0,$AH444&gt;0),"","0-"),99,0,REPLACE(TEXT(100-$AJ444,0),99,0,"?    ")),"")))</f>
        <v/>
      </c>
      <c r="T444" s="1864"/>
      <c r="U444" s="1865" t="str">
        <f>IF(OR($N444="", AND($N444="",OR($H444="",$H444=0))),"",IF(AND($N444="Quantity",$AJ444&lt;$H444),"0 - "&amp;TEXT($H444-$AJ444,"0")&amp;" buildings?    ",IF(AND($N444="%",$AJ444&lt;1),REPLACE(IF(AND($P444&gt;0,$V444&gt;0,$T444&gt;0,$X444&gt;0,$R444&gt;0,$Z444&gt;0,$AB444&gt;0,$AD444&gt;0,$AF444&gt;0,$AH444&gt;0),"","0-"),99,0,REPLACE(TEXT(100-$AJ444,0),99,0,"?    ")),"")))</f>
        <v/>
      </c>
      <c r="V444" s="1864"/>
      <c r="W444" s="1865" t="str">
        <f>IF(OR($N444="", AND($N444="",OR($H444="",$H444=0))),"",IF(AND($N444="Quantity",$AJ444&lt;$H444),"0 - "&amp;TEXT($H444-$AJ444,"0")&amp;" buildings?    ",IF(AND($N444="%",$AJ444&lt;1),REPLACE(IF(AND($P444&gt;0,$V444&gt;0,$T444&gt;0,$X444&gt;0,$R444&gt;0,$Z444&gt;0,$AB444&gt;0,$AD444&gt;0,$AF444&gt;0,$AH444&gt;0),"","0-"),99,0,REPLACE(TEXT(100-$AJ444,0),99,0,"?    ")),"")))</f>
        <v/>
      </c>
      <c r="X444" s="1864"/>
      <c r="Y444" s="1865" t="str">
        <f>IF(OR($N444="", AND($N444="",OR($H444="",$H444=0))),"",IF(AND($N444="Quantity",$AJ444&lt;$H444),"0 - "&amp;TEXT($H444-$AJ444,"0")&amp;" buildings?    ",IF(AND($N444="%",$AJ444&lt;1),REPLACE(IF(AND($P444&gt;0,$V444&gt;0,$T444&gt;0,$X444&gt;0,$R444&gt;0,$Z444&gt;0,$AB444&gt;0,$AD444&gt;0,$AF444&gt;0,$AH444&gt;0),"","0-"),99,0,REPLACE(TEXT(100-$AJ444,0),99,0,"?    ")),"")))</f>
        <v/>
      </c>
      <c r="Z444" s="1864"/>
      <c r="AA444" s="1865" t="str">
        <f>IF(OR($N444="", AND($N444="",OR($H444="",$H444=0))),"",IF(AND($N444="Quantity",$AJ444&lt;$H444),"0 - "&amp;TEXT($H444-$AJ444,"0")&amp;" buildings?    ",IF(AND($N444="%",$AJ444&lt;1),REPLACE(IF(AND($P444&gt;0,$V444&gt;0,$T444&gt;0,$X444&gt;0,$R444&gt;0,$Z444&gt;0,$AB444&gt;0,$AD444&gt;0,$AF444&gt;0,$AH444&gt;0),"","0-"),99,0,REPLACE(TEXT(100-$AJ444,0),99,0,"?    ")),"")))</f>
        <v/>
      </c>
      <c r="AB444" s="1864"/>
      <c r="AC444" s="1865" t="str">
        <f>IF(OR($N444="", AND($N444="",OR($H444="",$H444=0))),"",IF(AND($N444="Quantity",$AJ444&lt;$H444),"0 - "&amp;TEXT($H444-$AJ444,"0")&amp;" buildings?    ",IF(AND($N444="%",$AJ444&lt;1),REPLACE(IF(AND($P444&gt;0,$V444&gt;0,$T444&gt;0,$X444&gt;0,$R444&gt;0,$Z444&gt;0,$AB444&gt;0,$AD444&gt;0,$AF444&gt;0,$AH444&gt;0),"","0-"),99,0,REPLACE(TEXT(100-$AJ444,0),99,0,"?    ")),"")))</f>
        <v/>
      </c>
      <c r="AD444" s="1864"/>
      <c r="AE444" s="1865" t="str">
        <f>IF(OR($N444="", AND($N444="",OR($H444="",$H444=0))),"",IF(AND($N444="Quantity",$AJ444&lt;$H444),"0 - "&amp;TEXT($H444-$AJ444,"0")&amp;" buildings?    ",IF(AND($N444="%",$AJ444&lt;1),REPLACE(IF(AND($P444&gt;0,$V444&gt;0,$T444&gt;0,$X444&gt;0,$R444&gt;0,$Z444&gt;0,$AB444&gt;0,$AD444&gt;0,$AF444&gt;0,$AH444&gt;0),"","0-"),99,0,REPLACE(TEXT(100-$AJ444,0),99,0,"?    ")),"")))</f>
        <v/>
      </c>
      <c r="AF444" s="1864"/>
      <c r="AG444" s="1865" t="str">
        <f>IF(OR($N444="", AND($N444="",OR($H444="",$H444=0))),"",IF(AND($N444="Quantity",$AJ444&lt;$H444),"0 - "&amp;TEXT($H444-$AJ444,"0")&amp;" buildings?    ",IF(AND($N444="%",$AJ444&lt;1),REPLACE(IF(AND($P444&gt;0,$V444&gt;0,$T444&gt;0,$X444&gt;0,$R444&gt;0,$Z444&gt;0,$AB444&gt;0,$AD444&gt;0,$AF444&gt;0,$AH444&gt;0),"","0-"),99,0,REPLACE(TEXT(100-$AJ444,0),99,0,"?    ")),"")))</f>
        <v/>
      </c>
      <c r="AH444" s="1864"/>
      <c r="AI444" s="1865" t="str">
        <f>IF(OR($N444="", AND($N444="",OR($H444="",$H444=0))),"",IF(AND($N444="Quantity",$AJ444&lt;$H444),"0 - "&amp;TEXT($H444-$AJ444,"0")&amp;" buildings?    ",IF(AND($N444="%",$AJ444&lt;1),REPLACE(IF(AND($P444&gt;0,$V444&gt;0,$T444&gt;0,$X444&gt;0,$R444&gt;0,$Z444&gt;0,$AB444&gt;0,$AD444&gt;0,$AF444&gt;0,$AH444&gt;0),"","0-"),99,0,REPLACE(TEXT(100-$AJ444,0),99,0,"?    ")),"")))</f>
        <v/>
      </c>
      <c r="AJ444" s="1833">
        <f>IFERROR(IF(N444="%", SUM(P444,R444,T444,V444,X444,Z444,AB444,AD444,AF444,AH444)/100, SUM(P444,R444,T444,V444,X444,Z444,AB444,AD444,AF444,AH444)/H444), 0)</f>
        <v>0</v>
      </c>
      <c r="AL444" s="1832"/>
      <c r="AN444" s="1276"/>
      <c r="AP444" s="1653"/>
      <c r="AT444" s="1624" t="str">
        <f>IF(AND($C$402="", L444=""), "N/A", IF(AND(AJ444=1, L444&lt;&gt;"", N444&lt;&gt;"", P444&lt;&gt;"", R444&lt;&gt;"", T444&lt;&gt;"", V444&lt;&gt;"", X444&lt;&gt;"", Z444&lt;&gt;"", AB444&lt;&gt;"", AD444&lt;&gt;"", AF444&lt;&gt;"", AH444&lt;&gt;"",AL444&lt;&gt;"", IF(AND(AL444&lt;1, AN444=""), FALSE, TRUE)), "Yes", "No"))</f>
        <v>N/A</v>
      </c>
      <c r="AU444" s="759"/>
      <c r="AV444" s="759"/>
      <c r="AW444" s="759"/>
      <c r="AX444" s="759"/>
      <c r="AY444" s="759" t="b">
        <f>IF($L444="",FALSE,IF($L444&lt;$BO444,TRUE,FALSE))</f>
        <v>0</v>
      </c>
      <c r="AZ444" s="759" t="b">
        <f>IF($L444="",FALSE,IF($L444&gt;$BP444,TRUE,FALSE))</f>
        <v>0</v>
      </c>
      <c r="BA444" s="759" t="b">
        <f>IF(AND(E444&lt;&gt;"",$L444=""),TRUE,FALSE)</f>
        <v>0</v>
      </c>
      <c r="BB444" s="759" t="b">
        <f>IF(AND($AJ444&lt;&gt;0,$H444&lt;$AJ444,$N444="LF"),TRUE,IF(AND($N444="LF",H444&lt;&gt;"",H444=AJ444),FALSE,IF(AND($AJ444&lt;&gt;0,$AJ444&gt;"100%",$N444="%"),TRUE,FALSE)))</f>
        <v>0</v>
      </c>
      <c r="BC444" s="759" t="b">
        <f>IF(AT444="No", IF(OR(P444="", R444="", T444="", V444="", X444="", Z444="", AB444="", AD444="", AF444="", AH444=""), TRUE, FALSE), FALSE)</f>
        <v>0</v>
      </c>
      <c r="BD444" s="759" t="b">
        <f>IF($BE444=TRUE,FALSE,IF(OR($AL444&lt;0,$AL444&gt;1),TRUE,FALSE))</f>
        <v>0</v>
      </c>
      <c r="BE444" s="759" t="b">
        <f>IF(AND($E444&lt;&gt;"",$AL444=""),TRUE,FALSE)</f>
        <v>0</v>
      </c>
      <c r="BF444" s="759"/>
      <c r="BH444" s="1680"/>
      <c r="BI444" s="1678" t="str">
        <f>IF(N444="", "", IF(N444="Quantity", H444, IF(N444="%", 1, "")))</f>
        <v/>
      </c>
      <c r="BJ444" s="1679">
        <f>P444+R444+T444+V444+X444+Z444+AB444+AD444+AF444+AH444</f>
        <v>0</v>
      </c>
      <c r="BK444" s="1679" t="str">
        <f>IF(BI444="", "", BI444-BJ444)</f>
        <v/>
      </c>
      <c r="BL444" s="1680"/>
      <c r="BM444" s="1680"/>
      <c r="BN444" s="1678">
        <f>IF($C444="","",VLOOKUP($C444,Valid!$B$87:$F$96,5,FALSE))</f>
        <v>25</v>
      </c>
      <c r="BO444" s="1678">
        <f>IF($C444="","",VLOOKUP($C444,Valid!$B$87:$G$96,6,FALSE))</f>
        <v>19</v>
      </c>
      <c r="BP444" s="1678">
        <f>IF($C444="","",VLOOKUP($C444,Valid!$B$87:$Z$96,7,FALSE))</f>
        <v>31</v>
      </c>
    </row>
    <row r="445" spans="1:68" s="686" customFormat="1" ht="3.95" customHeight="1" x14ac:dyDescent="0.2">
      <c r="B445" s="1791">
        <v>433</v>
      </c>
      <c r="C445" s="1674"/>
      <c r="D445" s="1709"/>
      <c r="E445" s="1057"/>
      <c r="H445" s="1917"/>
      <c r="I445" s="1651"/>
      <c r="J445" s="1919"/>
      <c r="K445" s="1651"/>
      <c r="L445" s="1922"/>
      <c r="M445" s="1651"/>
      <c r="N445" s="1919"/>
      <c r="O445" s="1651"/>
      <c r="P445" s="1866"/>
      <c r="Q445" s="1867"/>
      <c r="R445" s="1866"/>
      <c r="S445" s="1867"/>
      <c r="T445" s="1866"/>
      <c r="U445" s="1867"/>
      <c r="V445" s="1866"/>
      <c r="W445" s="1867"/>
      <c r="X445" s="1866"/>
      <c r="Y445" s="1867"/>
      <c r="Z445" s="1867"/>
      <c r="AA445" s="1867"/>
      <c r="AB445" s="1867"/>
      <c r="AC445" s="1867"/>
      <c r="AD445" s="1867"/>
      <c r="AE445" s="1867"/>
      <c r="AF445" s="1867"/>
      <c r="AG445" s="1867"/>
      <c r="AH445" s="1867"/>
      <c r="AJ445" s="1792"/>
      <c r="AL445" s="1792"/>
      <c r="AN445" s="685"/>
      <c r="AP445" s="1394"/>
      <c r="AU445" s="848"/>
      <c r="AV445" s="848"/>
      <c r="AW445" s="848"/>
      <c r="AX445" s="848"/>
      <c r="AY445" s="759"/>
      <c r="AZ445" s="759"/>
      <c r="BA445" s="848"/>
      <c r="BB445" s="759"/>
      <c r="BC445" s="848"/>
      <c r="BD445" s="848"/>
      <c r="BE445" s="848"/>
      <c r="BF445" s="848"/>
      <c r="BH445" s="1680"/>
      <c r="BI445" s="1680"/>
      <c r="BJ445" s="1680"/>
      <c r="BK445" s="1680"/>
      <c r="BL445" s="1680"/>
      <c r="BM445" s="1680"/>
      <c r="BN445" s="1680"/>
      <c r="BO445" s="1680"/>
      <c r="BP445" s="1680"/>
    </row>
    <row r="446" spans="1:68" s="686" customFormat="1" ht="3.95" customHeight="1" thickBot="1" x14ac:dyDescent="0.25">
      <c r="B446" s="1791">
        <v>434</v>
      </c>
      <c r="C446" s="1674"/>
      <c r="D446" s="1709"/>
      <c r="E446" s="1057"/>
      <c r="H446" s="1917"/>
      <c r="I446" s="1651"/>
      <c r="J446" s="1651"/>
      <c r="K446" s="1651"/>
      <c r="L446" s="1917"/>
      <c r="M446" s="1651"/>
      <c r="N446" s="1651"/>
      <c r="O446" s="1651"/>
      <c r="P446" s="1868"/>
      <c r="Q446" s="1869"/>
      <c r="R446" s="1868"/>
      <c r="S446" s="1869"/>
      <c r="T446" s="1868"/>
      <c r="U446" s="1869"/>
      <c r="V446" s="1868"/>
      <c r="W446" s="1869"/>
      <c r="X446" s="1868"/>
      <c r="Y446" s="1869"/>
      <c r="Z446" s="1869"/>
      <c r="AA446" s="1869"/>
      <c r="AB446" s="1869"/>
      <c r="AC446" s="1869"/>
      <c r="AD446" s="1869"/>
      <c r="AE446" s="1869"/>
      <c r="AF446" s="1869"/>
      <c r="AG446" s="1869"/>
      <c r="AH446" s="1869"/>
      <c r="AI446" s="1670"/>
      <c r="AJ446" s="1676"/>
      <c r="AL446" s="1676"/>
      <c r="AP446" s="1394"/>
      <c r="AT446" s="1624"/>
      <c r="AU446" s="848"/>
      <c r="AV446" s="848"/>
      <c r="AW446" s="848"/>
      <c r="AX446" s="848"/>
      <c r="AY446" s="759"/>
      <c r="AZ446" s="759"/>
      <c r="BA446" s="848"/>
      <c r="BB446" s="759"/>
      <c r="BC446" s="848"/>
      <c r="BD446" s="848"/>
      <c r="BE446" s="848"/>
      <c r="BF446" s="848"/>
      <c r="BH446" s="1680"/>
      <c r="BI446" s="1680"/>
      <c r="BJ446" s="1680"/>
      <c r="BK446" s="1680"/>
      <c r="BL446" s="1680"/>
      <c r="BM446" s="1680"/>
      <c r="BN446" s="1680"/>
      <c r="BO446" s="1680"/>
      <c r="BP446" s="1680"/>
    </row>
    <row r="447" spans="1:68" s="686" customFormat="1" x14ac:dyDescent="0.2">
      <c r="A447" s="852">
        <f>A444+1</f>
        <v>112</v>
      </c>
      <c r="B447" s="1790">
        <v>435</v>
      </c>
      <c r="C447" s="851" t="str">
        <f>Valid!$B$91</f>
        <v>Train Control &amp; Signaling</v>
      </c>
      <c r="D447" s="1709"/>
      <c r="E447" s="1245" t="str">
        <f>IF(AT447="N/A","",IF(AT447="N","No","Yes"))</f>
        <v/>
      </c>
      <c r="H447" s="1917"/>
      <c r="I447" s="1904"/>
      <c r="J447" s="1919"/>
      <c r="K447" s="1651"/>
      <c r="L447" s="1864"/>
      <c r="M447" s="1920" t="str">
        <f>IF(AND(H435&lt;&gt;"", L447=""),REPLACE(TEXT(BN447,0),99,0," Yrs.?    "),"")</f>
        <v/>
      </c>
      <c r="N447" s="1921"/>
      <c r="O447" s="1870"/>
      <c r="P447" s="1864"/>
      <c r="Q447" s="1865" t="str">
        <f>IF(OR($N447="", AND($N447="",OR($H447="",$H447=0))),"",IF(AND($N447="Quantity",$AJ447&lt;$H447),"0 - "&amp;TEXT($H447-$AJ447,"0")&amp;" buildings?    ",IF(AND($N447="%",$AJ447&lt;1),REPLACE(IF(AND($P447&gt;0,$V447&gt;0,$T447&gt;0,$X447&gt;0,$R447&gt;0,$Z447&gt;0,$AB447&gt;0,$AD447&gt;0,$AF447&gt;0,$AH447&gt;0),"","0-"),99,0,REPLACE(TEXT(100-$AJ447,0),99,0,"?    ")),"")))</f>
        <v/>
      </c>
      <c r="R447" s="1864"/>
      <c r="S447" s="1865" t="str">
        <f>IF(OR($N447="", AND($N447="",OR($H447="",$H447=0))),"",IF(AND($N447="Quantity",$AJ447&lt;$H447),"0 - "&amp;TEXT($H447-$AJ447,"0")&amp;" buildings?    ",IF(AND($N447="%",$AJ447&lt;1),REPLACE(IF(AND($P447&gt;0,$V447&gt;0,$T447&gt;0,$X447&gt;0,$R447&gt;0,$Z447&gt;0,$AB447&gt;0,$AD447&gt;0,$AF447&gt;0,$AH447&gt;0),"","0-"),99,0,REPLACE(TEXT(100-$AJ447,0),99,0,"?    ")),"")))</f>
        <v/>
      </c>
      <c r="T447" s="1864"/>
      <c r="U447" s="1865" t="str">
        <f>IF(OR($N447="", AND($N447="",OR($H447="",$H447=0))),"",IF(AND($N447="Quantity",$AJ447&lt;$H447),"0 - "&amp;TEXT($H447-$AJ447,"0")&amp;" buildings?    ",IF(AND($N447="%",$AJ447&lt;1),REPLACE(IF(AND($P447&gt;0,$V447&gt;0,$T447&gt;0,$X447&gt;0,$R447&gt;0,$Z447&gt;0,$AB447&gt;0,$AD447&gt;0,$AF447&gt;0,$AH447&gt;0),"","0-"),99,0,REPLACE(TEXT(100-$AJ447,0),99,0,"?    ")),"")))</f>
        <v/>
      </c>
      <c r="V447" s="1864"/>
      <c r="W447" s="1865" t="str">
        <f>IF(OR($N447="", AND($N447="",OR($H447="",$H447=0))),"",IF(AND($N447="Quantity",$AJ447&lt;$H447),"0 - "&amp;TEXT($H447-$AJ447,"0")&amp;" buildings?    ",IF(AND($N447="%",$AJ447&lt;1),REPLACE(IF(AND($P447&gt;0,$V447&gt;0,$T447&gt;0,$X447&gt;0,$R447&gt;0,$Z447&gt;0,$AB447&gt;0,$AD447&gt;0,$AF447&gt;0,$AH447&gt;0),"","0-"),99,0,REPLACE(TEXT(100-$AJ447,0),99,0,"?    ")),"")))</f>
        <v/>
      </c>
      <c r="X447" s="1864"/>
      <c r="Y447" s="1865" t="str">
        <f>IF(OR($N447="", AND($N447="",OR($H447="",$H447=0))),"",IF(AND($N447="Quantity",$AJ447&lt;$H447),"0 - "&amp;TEXT($H447-$AJ447,"0")&amp;" buildings?    ",IF(AND($N447="%",$AJ447&lt;1),REPLACE(IF(AND($P447&gt;0,$V447&gt;0,$T447&gt;0,$X447&gt;0,$R447&gt;0,$Z447&gt;0,$AB447&gt;0,$AD447&gt;0,$AF447&gt;0,$AH447&gt;0),"","0-"),99,0,REPLACE(TEXT(100-$AJ447,0),99,0,"?    ")),"")))</f>
        <v/>
      </c>
      <c r="Z447" s="1864"/>
      <c r="AA447" s="1865" t="str">
        <f>IF(OR($N447="", AND($N447="",OR($H447="",$H447=0))),"",IF(AND($N447="Quantity",$AJ447&lt;$H447),"0 - "&amp;TEXT($H447-$AJ447,"0")&amp;" buildings?    ",IF(AND($N447="%",$AJ447&lt;1),REPLACE(IF(AND($P447&gt;0,$V447&gt;0,$T447&gt;0,$X447&gt;0,$R447&gt;0,$Z447&gt;0,$AB447&gt;0,$AD447&gt;0,$AF447&gt;0,$AH447&gt;0),"","0-"),99,0,REPLACE(TEXT(100-$AJ447,0),99,0,"?    ")),"")))</f>
        <v/>
      </c>
      <c r="AB447" s="1864"/>
      <c r="AC447" s="1865" t="str">
        <f>IF(OR($N447="", AND($N447="",OR($H447="",$H447=0))),"",IF(AND($N447="Quantity",$AJ447&lt;$H447),"0 - "&amp;TEXT($H447-$AJ447,"0")&amp;" buildings?    ",IF(AND($N447="%",$AJ447&lt;1),REPLACE(IF(AND($P447&gt;0,$V447&gt;0,$T447&gt;0,$X447&gt;0,$R447&gt;0,$Z447&gt;0,$AB447&gt;0,$AD447&gt;0,$AF447&gt;0,$AH447&gt;0),"","0-"),99,0,REPLACE(TEXT(100-$AJ447,0),99,0,"?    ")),"")))</f>
        <v/>
      </c>
      <c r="AD447" s="1864"/>
      <c r="AE447" s="1865" t="str">
        <f>IF(OR($N447="", AND($N447="",OR($H447="",$H447=0))),"",IF(AND($N447="Quantity",$AJ447&lt;$H447),"0 - "&amp;TEXT($H447-$AJ447,"0")&amp;" buildings?    ",IF(AND($N447="%",$AJ447&lt;1),REPLACE(IF(AND($P447&gt;0,$V447&gt;0,$T447&gt;0,$X447&gt;0,$R447&gt;0,$Z447&gt;0,$AB447&gt;0,$AD447&gt;0,$AF447&gt;0,$AH447&gt;0),"","0-"),99,0,REPLACE(TEXT(100-$AJ447,0),99,0,"?    ")),"")))</f>
        <v/>
      </c>
      <c r="AF447" s="1864"/>
      <c r="AG447" s="1865" t="str">
        <f>IF(OR($N447="", AND($N447="",OR($H447="",$H447=0))),"",IF(AND($N447="Quantity",$AJ447&lt;$H447),"0 - "&amp;TEXT($H447-$AJ447,"0")&amp;" buildings?    ",IF(AND($N447="%",$AJ447&lt;1),REPLACE(IF(AND($P447&gt;0,$V447&gt;0,$T447&gt;0,$X447&gt;0,$R447&gt;0,$Z447&gt;0,$AB447&gt;0,$AD447&gt;0,$AF447&gt;0,$AH447&gt;0),"","0-"),99,0,REPLACE(TEXT(100-$AJ447,0),99,0,"?    ")),"")))</f>
        <v/>
      </c>
      <c r="AH447" s="1864"/>
      <c r="AI447" s="1865" t="str">
        <f>IF(OR($N447="", AND($N447="",OR($H447="",$H447=0))),"",IF(AND($N447="Quantity",$AJ447&lt;$H447),"0 - "&amp;TEXT($H447-$AJ447,"0")&amp;" buildings?    ",IF(AND($N447="%",$AJ447&lt;1),REPLACE(IF(AND($P447&gt;0,$V447&gt;0,$T447&gt;0,$X447&gt;0,$R447&gt;0,$Z447&gt;0,$AB447&gt;0,$AD447&gt;0,$AF447&gt;0,$AH447&gt;0),"","0-"),99,0,REPLACE(TEXT(100-$AJ447,0),99,0,"?    ")),"")))</f>
        <v/>
      </c>
      <c r="AJ447" s="1833">
        <f>IFERROR(IF(N447="%", SUM(P447,R447,T447,V447,X447,Z447,AB447,AD447,AF447,AH447)/100, SUM(P447,R447,T447,V447,X447,Z447,AB447,AD447,AF447,AH447)/H447), 0)</f>
        <v>0</v>
      </c>
      <c r="AL447" s="1832"/>
      <c r="AN447" s="1276"/>
      <c r="AP447" s="1653"/>
      <c r="AT447" s="1624" t="str">
        <f>IF(AND($C$402="", L447=""), "N/A", IF(AND(AJ447=1, L447&lt;&gt;"", N447&lt;&gt;"", P447&lt;&gt;"", R447&lt;&gt;"", T447&lt;&gt;"", V447&lt;&gt;"", X447&lt;&gt;"", Z447&lt;&gt;"", AB447&lt;&gt;"", AD447&lt;&gt;"", AF447&lt;&gt;"", AH447&lt;&gt;"",AL447&lt;&gt;"", IF(AND(AL447&lt;1, AN447=""), FALSE, TRUE)), "Yes", "No"))</f>
        <v>N/A</v>
      </c>
      <c r="AU447" s="759"/>
      <c r="AV447" s="759"/>
      <c r="AW447" s="759"/>
      <c r="AX447" s="759"/>
      <c r="AY447" s="759" t="b">
        <f>IF($L447="",FALSE,IF($L447&lt;$BO447,TRUE,FALSE))</f>
        <v>0</v>
      </c>
      <c r="AZ447" s="759" t="b">
        <f>IF($L447="",FALSE,IF($L447&gt;$BP447,TRUE,FALSE))</f>
        <v>0</v>
      </c>
      <c r="BA447" s="759" t="b">
        <f>IF(AND(E447&lt;&gt;"",$L447=""),TRUE,FALSE)</f>
        <v>0</v>
      </c>
      <c r="BB447" s="759" t="b">
        <f>IF(AND($AJ447&lt;&gt;0,$H447&lt;$AJ447,$N447="LF"),TRUE,IF(AND($N447="LF",H447&lt;&gt;"",H447=AJ447),FALSE,IF(AND($AJ447&lt;&gt;0,$AJ447&gt;"100%",$N447="%"),TRUE,FALSE)))</f>
        <v>0</v>
      </c>
      <c r="BC447" s="759" t="b">
        <f>IF(AT447="No", IF(OR(P447="", R447="", T447="", V447="", X447="", Z447="", AB447="", AD447="", AF447="", AH447=""), TRUE, FALSE), FALSE)</f>
        <v>0</v>
      </c>
      <c r="BD447" s="759" t="b">
        <f>IF($BE447=TRUE,FALSE,IF(OR($AL447&lt;0,$AL447&gt;1),TRUE,FALSE))</f>
        <v>0</v>
      </c>
      <c r="BE447" s="759" t="b">
        <f>IF(AND($E447&lt;&gt;"",$AL447=""),TRUE,FALSE)</f>
        <v>0</v>
      </c>
      <c r="BF447" s="759"/>
      <c r="BH447" s="1680"/>
      <c r="BI447" s="1678" t="str">
        <f>IF(N447="", "", IF(N447="Quantity", H447, IF(N447="%", 1, "")))</f>
        <v/>
      </c>
      <c r="BJ447" s="1679">
        <f>P447+R447+T447+V447+X447+Z447+AB447+AD447+AF447+AH447</f>
        <v>0</v>
      </c>
      <c r="BK447" s="1679" t="str">
        <f>IF(BI447="", "", BI447-BJ447)</f>
        <v/>
      </c>
      <c r="BL447" s="1680"/>
      <c r="BM447" s="1680"/>
      <c r="BN447" s="1678">
        <f>IF($C447="","",VLOOKUP($C447,Valid!$B$87:$F$96,5,FALSE))</f>
        <v>25</v>
      </c>
      <c r="BO447" s="1678">
        <f>IF($C447="","",VLOOKUP($C447,Valid!$B$87:$G$96,6,FALSE))</f>
        <v>19</v>
      </c>
      <c r="BP447" s="1678">
        <f>IF($C447="","",VLOOKUP($C447,Valid!$B$87:$Z$96,7,FALSE))</f>
        <v>31</v>
      </c>
    </row>
    <row r="448" spans="1:68" s="686" customFormat="1" ht="3.95" customHeight="1" x14ac:dyDescent="0.2">
      <c r="B448" s="1790">
        <v>436</v>
      </c>
      <c r="C448" s="1674"/>
      <c r="D448" s="1709"/>
      <c r="E448" s="1057"/>
      <c r="H448" s="1917"/>
      <c r="I448" s="1651"/>
      <c r="J448" s="1651"/>
      <c r="K448" s="1651"/>
      <c r="L448" s="1917"/>
      <c r="M448" s="1651"/>
      <c r="N448" s="1651"/>
      <c r="O448" s="1651"/>
      <c r="P448" s="1651"/>
      <c r="Q448" s="1651"/>
      <c r="R448" s="1651"/>
      <c r="S448" s="1651"/>
      <c r="T448" s="1651"/>
      <c r="U448" s="1651"/>
      <c r="V448" s="1651"/>
      <c r="W448" s="1651"/>
      <c r="X448" s="1651"/>
      <c r="Y448" s="1651"/>
      <c r="Z448" s="1651"/>
      <c r="AA448" s="1651"/>
      <c r="AB448" s="1651"/>
      <c r="AC448" s="1651"/>
      <c r="AD448" s="1651"/>
      <c r="AE448" s="1651"/>
      <c r="AF448" s="1651"/>
      <c r="AG448" s="1651"/>
      <c r="AH448" s="1651"/>
      <c r="AJ448" s="1676"/>
      <c r="AL448" s="1676"/>
      <c r="AP448" s="1394"/>
      <c r="AU448" s="848"/>
      <c r="AV448" s="848"/>
      <c r="AW448" s="848"/>
      <c r="AX448" s="848"/>
      <c r="AY448" s="759"/>
      <c r="AZ448" s="759"/>
      <c r="BA448" s="848"/>
      <c r="BB448" s="759"/>
      <c r="BC448" s="848"/>
      <c r="BD448" s="848"/>
      <c r="BE448" s="848"/>
      <c r="BF448" s="848"/>
      <c r="BH448" s="1680"/>
      <c r="BI448" s="1680"/>
      <c r="BJ448" s="1680"/>
      <c r="BK448" s="1680"/>
      <c r="BL448" s="1680"/>
      <c r="BM448" s="1680"/>
      <c r="BN448" s="1680"/>
      <c r="BO448" s="1680"/>
      <c r="BP448" s="1680"/>
    </row>
    <row r="449" spans="1:69" s="686" customFormat="1" ht="3.95" customHeight="1" x14ac:dyDescent="0.2">
      <c r="B449" s="1791">
        <v>437</v>
      </c>
      <c r="C449" s="1674"/>
      <c r="D449" s="1709"/>
      <c r="E449" s="1057"/>
      <c r="H449" s="1922"/>
      <c r="I449" s="1651"/>
      <c r="J449" s="1919"/>
      <c r="K449" s="1651"/>
      <c r="L449" s="1922"/>
      <c r="M449" s="1651"/>
      <c r="N449" s="1919"/>
      <c r="O449" s="1651"/>
      <c r="P449" s="1919"/>
      <c r="Q449" s="1651"/>
      <c r="R449" s="1919"/>
      <c r="S449" s="1651"/>
      <c r="T449" s="1919"/>
      <c r="U449" s="1651"/>
      <c r="V449" s="1919"/>
      <c r="W449" s="1651"/>
      <c r="X449" s="1919"/>
      <c r="Y449" s="1651"/>
      <c r="Z449" s="1919"/>
      <c r="AA449" s="1651"/>
      <c r="AB449" s="1919"/>
      <c r="AC449" s="1651"/>
      <c r="AD449" s="1919"/>
      <c r="AE449" s="1651"/>
      <c r="AF449" s="1919"/>
      <c r="AG449" s="1651"/>
      <c r="AH449" s="1919"/>
      <c r="AJ449" s="1792"/>
      <c r="AL449" s="1792"/>
      <c r="AN449" s="685"/>
      <c r="AP449" s="1394"/>
      <c r="AU449" s="848"/>
      <c r="AV449" s="848"/>
      <c r="AW449" s="848"/>
      <c r="AX449" s="848"/>
      <c r="AY449" s="759"/>
      <c r="AZ449" s="759"/>
      <c r="BA449" s="848"/>
      <c r="BB449" s="759"/>
      <c r="BC449" s="848"/>
      <c r="BD449" s="848"/>
      <c r="BE449" s="848"/>
      <c r="BF449" s="848"/>
      <c r="BH449" s="1680"/>
      <c r="BI449" s="1680"/>
      <c r="BJ449" s="1680"/>
      <c r="BK449" s="1680"/>
      <c r="BL449" s="1680"/>
      <c r="BM449" s="1680"/>
      <c r="BN449" s="1680"/>
      <c r="BO449" s="1680"/>
      <c r="BP449" s="1680"/>
    </row>
    <row r="450" spans="1:69" s="686" customFormat="1" ht="3.95" customHeight="1" x14ac:dyDescent="0.2">
      <c r="B450" s="1791">
        <v>438</v>
      </c>
      <c r="C450" s="1674"/>
      <c r="D450" s="1709"/>
      <c r="E450" s="1057"/>
      <c r="H450" s="1917"/>
      <c r="I450" s="1651"/>
      <c r="J450" s="1651"/>
      <c r="K450" s="1651"/>
      <c r="L450" s="1917"/>
      <c r="M450" s="1651"/>
      <c r="N450" s="1651"/>
      <c r="O450" s="1651"/>
      <c r="P450" s="1651"/>
      <c r="Q450" s="1651"/>
      <c r="R450" s="1651"/>
      <c r="S450" s="1651"/>
      <c r="T450" s="1651"/>
      <c r="U450" s="1651"/>
      <c r="V450" s="1651"/>
      <c r="W450" s="1651"/>
      <c r="X450" s="1651"/>
      <c r="Y450" s="1651"/>
      <c r="Z450" s="1651"/>
      <c r="AA450" s="1651"/>
      <c r="AB450" s="1651"/>
      <c r="AC450" s="1651"/>
      <c r="AD450" s="1651"/>
      <c r="AE450" s="1651"/>
      <c r="AF450" s="1651"/>
      <c r="AG450" s="1651"/>
      <c r="AH450" s="1651"/>
      <c r="AJ450" s="1676"/>
      <c r="AL450" s="1676"/>
      <c r="AP450" s="1394"/>
      <c r="AU450" s="848"/>
      <c r="AV450" s="848"/>
      <c r="AW450" s="848"/>
      <c r="AX450" s="848"/>
      <c r="AY450" s="759"/>
      <c r="AZ450" s="759"/>
      <c r="BA450" s="848"/>
      <c r="BB450" s="759"/>
      <c r="BC450" s="848"/>
      <c r="BD450" s="848"/>
      <c r="BE450" s="848"/>
      <c r="BF450" s="848"/>
      <c r="BH450" s="1680"/>
      <c r="BI450" s="1680"/>
      <c r="BJ450" s="1680"/>
      <c r="BK450" s="1680"/>
      <c r="BL450" s="1680"/>
      <c r="BM450" s="1680"/>
      <c r="BN450" s="1680"/>
      <c r="BO450" s="1680"/>
      <c r="BP450" s="1680"/>
    </row>
    <row r="451" spans="1:69" s="686" customFormat="1" ht="3.95" customHeight="1" x14ac:dyDescent="0.2">
      <c r="B451" s="1791">
        <v>439</v>
      </c>
      <c r="C451" s="1677"/>
      <c r="D451" s="1709"/>
      <c r="E451" s="1057"/>
      <c r="H451" s="1917"/>
      <c r="I451" s="1651"/>
      <c r="J451" s="1651"/>
      <c r="K451" s="1651"/>
      <c r="L451" s="1917"/>
      <c r="M451" s="1651"/>
      <c r="N451" s="1651"/>
      <c r="O451" s="1651"/>
      <c r="P451" s="1651"/>
      <c r="Q451" s="1651"/>
      <c r="R451" s="1651"/>
      <c r="S451" s="1651"/>
      <c r="T451" s="1651"/>
      <c r="U451" s="1651"/>
      <c r="V451" s="1651"/>
      <c r="W451" s="1651"/>
      <c r="X451" s="1651"/>
      <c r="Y451" s="1651"/>
      <c r="Z451" s="1651"/>
      <c r="AA451" s="1651"/>
      <c r="AB451" s="1651"/>
      <c r="AC451" s="1651"/>
      <c r="AD451" s="1651"/>
      <c r="AE451" s="1651"/>
      <c r="AF451" s="1651"/>
      <c r="AG451" s="1651"/>
      <c r="AH451" s="1651"/>
      <c r="AJ451" s="1676"/>
      <c r="AL451" s="1676"/>
      <c r="AP451" s="1223"/>
      <c r="AU451" s="848"/>
      <c r="AV451" s="848"/>
      <c r="AW451" s="848"/>
      <c r="AX451" s="848"/>
      <c r="AY451" s="848"/>
      <c r="AZ451" s="848"/>
      <c r="BA451" s="848"/>
      <c r="BB451" s="848"/>
      <c r="BC451" s="848"/>
      <c r="BD451" s="848"/>
      <c r="BE451" s="848"/>
      <c r="BF451" s="848"/>
      <c r="BH451" s="1680"/>
      <c r="BI451" s="1680"/>
      <c r="BJ451" s="1680"/>
      <c r="BK451" s="1680"/>
      <c r="BL451" s="1680"/>
      <c r="BM451" s="1680"/>
      <c r="BN451" s="1680"/>
      <c r="BO451" s="1680"/>
      <c r="BP451" s="1680"/>
    </row>
    <row r="452" spans="1:69" s="686" customFormat="1" ht="3.95" customHeight="1" x14ac:dyDescent="0.2">
      <c r="A452" s="1809"/>
      <c r="B452" s="1810">
        <v>52</v>
      </c>
      <c r="C452" s="1811"/>
      <c r="D452" s="1842"/>
      <c r="E452" s="1812"/>
      <c r="F452" s="1809"/>
      <c r="G452" s="1809"/>
      <c r="H452" s="1923"/>
      <c r="I452" s="1924"/>
      <c r="J452" s="1924"/>
      <c r="K452" s="1924"/>
      <c r="L452" s="1923"/>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G452" s="1924"/>
      <c r="AH452" s="1924"/>
      <c r="AI452" s="1809"/>
      <c r="AJ452" s="1829"/>
      <c r="AK452" s="1809"/>
      <c r="AL452" s="1829"/>
      <c r="AM452" s="1809"/>
      <c r="AN452" s="1809"/>
      <c r="AO452" s="1809"/>
      <c r="AP452" s="1813"/>
      <c r="AQ452" s="1809"/>
      <c r="AR452" s="1809"/>
      <c r="AS452" s="1809"/>
      <c r="AT452" s="1809"/>
      <c r="AU452" s="1814"/>
      <c r="AV452" s="1814"/>
      <c r="AW452" s="1814"/>
      <c r="AX452" s="1814"/>
      <c r="AY452" s="1814"/>
      <c r="AZ452" s="1814"/>
      <c r="BA452" s="1814"/>
      <c r="BB452" s="1814"/>
      <c r="BC452" s="1814"/>
      <c r="BD452" s="1814"/>
      <c r="BE452" s="1814"/>
      <c r="BF452" s="1814"/>
      <c r="BG452" s="1809"/>
      <c r="BH452" s="1814"/>
      <c r="BI452" s="1814"/>
      <c r="BJ452" s="1814"/>
      <c r="BK452" s="1814"/>
      <c r="BL452" s="1814"/>
      <c r="BM452" s="1814"/>
      <c r="BN452" s="1814"/>
      <c r="BO452" s="1814"/>
      <c r="BP452" s="1814"/>
    </row>
    <row r="453" spans="1:69" s="686" customFormat="1" ht="3.95" customHeight="1" x14ac:dyDescent="0.2">
      <c r="B453" s="1790">
        <v>441</v>
      </c>
      <c r="C453" s="1677"/>
      <c r="D453" s="1709"/>
      <c r="E453" s="1057"/>
      <c r="H453" s="1917"/>
      <c r="I453" s="1651"/>
      <c r="J453" s="1651"/>
      <c r="K453" s="1651"/>
      <c r="L453" s="1917"/>
      <c r="M453" s="1651"/>
      <c r="N453" s="1651"/>
      <c r="O453" s="1651"/>
      <c r="P453" s="1651"/>
      <c r="Q453" s="1651"/>
      <c r="R453" s="1651"/>
      <c r="S453" s="1651"/>
      <c r="T453" s="1651"/>
      <c r="U453" s="1651"/>
      <c r="V453" s="1651"/>
      <c r="W453" s="1651"/>
      <c r="X453" s="1651"/>
      <c r="Y453" s="1651"/>
      <c r="Z453" s="1651"/>
      <c r="AA453" s="1651"/>
      <c r="AB453" s="1651"/>
      <c r="AC453" s="1651"/>
      <c r="AD453" s="1651"/>
      <c r="AE453" s="1651"/>
      <c r="AF453" s="1651"/>
      <c r="AG453" s="1651"/>
      <c r="AH453" s="1651"/>
      <c r="AJ453" s="1676"/>
      <c r="AL453" s="1676"/>
      <c r="AP453" s="1394"/>
      <c r="AU453" s="848"/>
      <c r="AV453" s="848"/>
      <c r="AW453" s="848"/>
      <c r="AX453" s="848"/>
      <c r="AY453" s="848"/>
      <c r="AZ453" s="848"/>
      <c r="BA453" s="848"/>
      <c r="BB453" s="848"/>
      <c r="BC453" s="848"/>
      <c r="BD453" s="848"/>
      <c r="BE453" s="848"/>
      <c r="BF453" s="848"/>
      <c r="BH453" s="1680"/>
      <c r="BI453" s="1680"/>
      <c r="BJ453" s="1680"/>
      <c r="BK453" s="1680"/>
      <c r="BL453" s="1680"/>
      <c r="BM453" s="1680"/>
      <c r="BN453" s="1680"/>
      <c r="BO453" s="1680"/>
      <c r="BP453" s="1680"/>
    </row>
    <row r="454" spans="1:69" s="686" customFormat="1" ht="3.95" customHeight="1" x14ac:dyDescent="0.2">
      <c r="B454" s="1791">
        <v>442</v>
      </c>
      <c r="C454" s="1677"/>
      <c r="D454" s="1709"/>
      <c r="E454" s="1057"/>
      <c r="H454" s="1917"/>
      <c r="I454" s="1651"/>
      <c r="J454" s="1651"/>
      <c r="K454" s="1651"/>
      <c r="L454" s="1925"/>
      <c r="M454" s="1651"/>
      <c r="N454" s="1651"/>
      <c r="O454" s="1651"/>
      <c r="P454" s="1651"/>
      <c r="Q454" s="1651"/>
      <c r="R454" s="1651"/>
      <c r="S454" s="1651"/>
      <c r="T454" s="1651"/>
      <c r="U454" s="1651"/>
      <c r="V454" s="1651"/>
      <c r="W454" s="1651"/>
      <c r="X454" s="1651"/>
      <c r="Y454" s="1651"/>
      <c r="Z454" s="1651"/>
      <c r="AA454" s="1651"/>
      <c r="AB454" s="1651"/>
      <c r="AC454" s="1651"/>
      <c r="AD454" s="1651"/>
      <c r="AE454" s="1651"/>
      <c r="AF454" s="1651"/>
      <c r="AG454" s="1651"/>
      <c r="AH454" s="1651"/>
      <c r="AJ454" s="1676"/>
      <c r="AL454" s="1676"/>
      <c r="AP454" s="1057"/>
      <c r="AU454" s="848"/>
      <c r="AV454" s="848"/>
      <c r="AW454" s="848"/>
      <c r="AX454" s="848"/>
      <c r="AY454" s="848"/>
      <c r="AZ454" s="848"/>
      <c r="BA454" s="848"/>
      <c r="BB454" s="848"/>
      <c r="BC454" s="848"/>
      <c r="BD454" s="848"/>
      <c r="BE454" s="848"/>
      <c r="BF454" s="848"/>
      <c r="BH454" s="1680"/>
      <c r="BI454" s="1680"/>
      <c r="BJ454" s="1680"/>
      <c r="BK454" s="1680"/>
      <c r="BL454" s="1680"/>
      <c r="BM454" s="1680"/>
      <c r="BN454" s="1680"/>
      <c r="BO454" s="1680"/>
      <c r="BP454" s="1680"/>
    </row>
    <row r="455" spans="1:69" s="686" customFormat="1" ht="3.95" customHeight="1" x14ac:dyDescent="0.2">
      <c r="B455" s="1791">
        <v>443</v>
      </c>
      <c r="C455" s="1677"/>
      <c r="D455" s="1709"/>
      <c r="E455" s="1057"/>
      <c r="H455" s="1922"/>
      <c r="I455" s="1651"/>
      <c r="J455" s="1919"/>
      <c r="K455" s="1651"/>
      <c r="L455" s="1926"/>
      <c r="M455" s="1651"/>
      <c r="N455" s="1919"/>
      <c r="O455" s="1651"/>
      <c r="P455" s="1919"/>
      <c r="Q455" s="1651"/>
      <c r="R455" s="1919"/>
      <c r="S455" s="1651"/>
      <c r="T455" s="1919"/>
      <c r="U455" s="1651"/>
      <c r="V455" s="1919"/>
      <c r="W455" s="1651"/>
      <c r="X455" s="1919"/>
      <c r="Y455" s="1651"/>
      <c r="Z455" s="1919"/>
      <c r="AA455" s="1651"/>
      <c r="AB455" s="1919"/>
      <c r="AC455" s="1651"/>
      <c r="AD455" s="1919"/>
      <c r="AE455" s="1651"/>
      <c r="AF455" s="1919"/>
      <c r="AG455" s="1651"/>
      <c r="AH455" s="1919"/>
      <c r="AJ455" s="1792"/>
      <c r="AL455" s="1792"/>
      <c r="AN455" s="685"/>
      <c r="AP455" s="1057"/>
      <c r="AU455" s="848"/>
      <c r="AV455" s="848"/>
      <c r="AW455" s="848"/>
      <c r="AX455" s="848"/>
      <c r="AY455" s="848"/>
      <c r="AZ455" s="848"/>
      <c r="BA455" s="848"/>
      <c r="BB455" s="848"/>
      <c r="BC455" s="848"/>
      <c r="BD455" s="848"/>
      <c r="BE455" s="848"/>
      <c r="BF455" s="848"/>
      <c r="BH455" s="1680"/>
      <c r="BI455" s="1680"/>
      <c r="BJ455" s="1680"/>
      <c r="BK455" s="1680"/>
      <c r="BL455" s="1680"/>
      <c r="BM455" s="1680"/>
      <c r="BN455" s="1680"/>
      <c r="BO455" s="1680"/>
      <c r="BP455" s="1680"/>
    </row>
    <row r="456" spans="1:69" s="686" customFormat="1" ht="3.95" customHeight="1" x14ac:dyDescent="0.2">
      <c r="B456" s="1791">
        <v>444</v>
      </c>
      <c r="C456" s="1677"/>
      <c r="D456" s="1709"/>
      <c r="E456" s="1057"/>
      <c r="H456" s="1917"/>
      <c r="I456" s="1651"/>
      <c r="J456" s="1651"/>
      <c r="K456" s="1651"/>
      <c r="L456" s="1917"/>
      <c r="M456" s="1651"/>
      <c r="N456" s="1651"/>
      <c r="O456" s="1651"/>
      <c r="P456" s="1651"/>
      <c r="Q456" s="1651"/>
      <c r="R456" s="1651"/>
      <c r="S456" s="1651"/>
      <c r="T456" s="1651"/>
      <c r="U456" s="1651"/>
      <c r="V456" s="1651"/>
      <c r="W456" s="1651"/>
      <c r="X456" s="1651"/>
      <c r="Y456" s="1651"/>
      <c r="Z456" s="1651"/>
      <c r="AA456" s="1651"/>
      <c r="AB456" s="1651"/>
      <c r="AC456" s="1651"/>
      <c r="AD456" s="1651"/>
      <c r="AE456" s="1651"/>
      <c r="AF456" s="1651"/>
      <c r="AG456" s="1651"/>
      <c r="AH456" s="1651"/>
      <c r="AJ456" s="1676"/>
      <c r="AL456" s="1676"/>
      <c r="AP456" s="1057"/>
      <c r="AU456" s="848"/>
      <c r="AV456" s="848"/>
      <c r="AW456" s="848"/>
      <c r="AX456" s="848"/>
      <c r="AY456" s="848"/>
      <c r="AZ456" s="848"/>
      <c r="BA456" s="848"/>
      <c r="BB456" s="848"/>
      <c r="BC456" s="848"/>
      <c r="BD456" s="848"/>
      <c r="BE456" s="848"/>
      <c r="BF456" s="848"/>
      <c r="BH456" s="1680"/>
      <c r="BI456" s="1680"/>
      <c r="BJ456" s="1680"/>
      <c r="BK456" s="1680"/>
      <c r="BL456" s="1680"/>
      <c r="BM456" s="1680"/>
      <c r="BN456" s="1680"/>
      <c r="BO456" s="1680"/>
      <c r="BP456" s="1680"/>
    </row>
    <row r="457" spans="1:69" s="782" customFormat="1" ht="3.95" customHeight="1" x14ac:dyDescent="0.2">
      <c r="A457" s="816"/>
      <c r="B457" s="1790">
        <v>445</v>
      </c>
      <c r="C457" s="1271"/>
      <c r="D457" s="1841"/>
      <c r="E457" s="816"/>
      <c r="F457" s="736"/>
      <c r="G457" s="736"/>
      <c r="H457" s="1927"/>
      <c r="I457" s="1928"/>
      <c r="J457" s="1928"/>
      <c r="K457" s="1928"/>
      <c r="L457" s="1929"/>
      <c r="M457" s="722"/>
      <c r="N457" s="722"/>
      <c r="O457" s="722"/>
      <c r="P457" s="1891"/>
      <c r="Q457" s="1930"/>
      <c r="R457" s="1931"/>
      <c r="S457" s="1930"/>
      <c r="T457" s="1931"/>
      <c r="U457" s="1930"/>
      <c r="V457" s="1931"/>
      <c r="W457" s="1930"/>
      <c r="X457" s="1931"/>
      <c r="Y457" s="1894"/>
      <c r="Z457" s="1894"/>
      <c r="AA457" s="1894"/>
      <c r="AB457" s="1894"/>
      <c r="AC457" s="1894"/>
      <c r="AD457" s="1894"/>
      <c r="AE457" s="1894"/>
      <c r="AF457" s="1894"/>
      <c r="AG457" s="1894"/>
      <c r="AH457" s="1894"/>
      <c r="AI457" s="821"/>
      <c r="AJ457" s="1826"/>
      <c r="AK457" s="781"/>
      <c r="AL457" s="1831"/>
      <c r="AM457" s="824"/>
      <c r="AN457" s="822"/>
      <c r="AO457" s="824"/>
      <c r="AP457" s="1398"/>
      <c r="AQ457" s="824"/>
      <c r="AT457" s="824"/>
      <c r="AU457" s="759"/>
      <c r="AV457" s="759"/>
      <c r="AW457" s="759"/>
      <c r="AX457" s="759"/>
      <c r="AY457" s="759"/>
      <c r="AZ457" s="759"/>
      <c r="BA457" s="759"/>
      <c r="BB457" s="759"/>
      <c r="BC457" s="759"/>
      <c r="BD457" s="759"/>
      <c r="BE457" s="759"/>
      <c r="BF457" s="759"/>
      <c r="BG457" s="760"/>
      <c r="BH457" s="1681"/>
      <c r="BI457" s="1681"/>
      <c r="BJ457" s="1681"/>
      <c r="BK457" s="1681"/>
      <c r="BL457" s="1681"/>
      <c r="BM457" s="1681"/>
      <c r="BN457" s="1681"/>
      <c r="BO457" s="1681"/>
      <c r="BP457" s="1681"/>
      <c r="BQ457" s="824"/>
    </row>
    <row r="458" spans="1:69" s="782" customFormat="1" ht="15.75" x14ac:dyDescent="0.2">
      <c r="A458" s="1712" t="s">
        <v>2621</v>
      </c>
      <c r="B458" s="1790">
        <v>446</v>
      </c>
      <c r="C458" s="1669"/>
      <c r="D458" s="1248" t="str">
        <f>IF(AND(C402&lt;&gt;"",$C458=""),"Select Mode from Pull-Down List                           ","")</f>
        <v/>
      </c>
      <c r="E458" s="1277" t="str">
        <f>IF(AND(C458="",OR(H488&lt;&gt;0,J488&lt;&gt;0,H491&lt;&gt;0)),"&lt;&lt; Insert Rail Mode",IF(AND(C402="",C458&lt;&gt;""),"&lt;&lt;Complete Previous Section First",""))</f>
        <v/>
      </c>
      <c r="F458" s="736"/>
      <c r="G458" s="736"/>
      <c r="H458" s="1932"/>
      <c r="I458" s="1896"/>
      <c r="J458" s="1897"/>
      <c r="K458" s="1897"/>
      <c r="L458" s="1933"/>
      <c r="M458" s="1896"/>
      <c r="N458" s="1896"/>
      <c r="O458" s="1896"/>
      <c r="P458" s="1898"/>
      <c r="Q458" s="1896"/>
      <c r="R458" s="1898"/>
      <c r="S458" s="1896"/>
      <c r="T458" s="1898"/>
      <c r="U458" s="1896"/>
      <c r="V458" s="1898"/>
      <c r="W458" s="1896"/>
      <c r="X458" s="1898"/>
      <c r="Y458" s="1896"/>
      <c r="Z458" s="1896"/>
      <c r="AA458" s="1896"/>
      <c r="AB458" s="1896"/>
      <c r="AC458" s="1896"/>
      <c r="AD458" s="1896"/>
      <c r="AE458" s="1896"/>
      <c r="AF458" s="1896"/>
      <c r="AG458" s="1896"/>
      <c r="AH458" s="1896"/>
      <c r="AI458" s="1254"/>
      <c r="AJ458" s="1827"/>
      <c r="AK458" s="1254"/>
      <c r="AL458" s="1827"/>
      <c r="AM458" s="832"/>
      <c r="AN458" s="1254"/>
      <c r="AO458" s="832"/>
      <c r="AP458" s="1223"/>
      <c r="AQ458" s="832"/>
      <c r="AS458" s="758"/>
      <c r="AT458" s="758" t="b">
        <f>IF(OR(E458&lt;&gt;"",E514="Complete Previous Section First"),TRUE,FALSE)</f>
        <v>0</v>
      </c>
      <c r="AU458" s="763"/>
      <c r="AV458" s="763"/>
      <c r="AW458" s="763"/>
      <c r="AX458" s="763"/>
      <c r="AY458" s="763"/>
      <c r="AZ458" s="763"/>
      <c r="BA458" s="763"/>
      <c r="BB458" s="763"/>
      <c r="BC458" s="763"/>
      <c r="BD458" s="763"/>
      <c r="BE458" s="763"/>
      <c r="BF458" s="759"/>
      <c r="BG458" s="760"/>
      <c r="BH458" s="1678"/>
      <c r="BI458" s="1678"/>
      <c r="BJ458" s="1678"/>
      <c r="BK458" s="1678"/>
      <c r="BL458" s="1678"/>
      <c r="BM458" s="1678"/>
      <c r="BN458" s="1678"/>
      <c r="BO458" s="1678"/>
      <c r="BP458" s="1678"/>
      <c r="BQ458" s="832"/>
    </row>
    <row r="459" spans="1:69" s="782" customFormat="1" ht="3.95" customHeight="1" x14ac:dyDescent="0.2">
      <c r="A459" s="721"/>
      <c r="B459" s="1791">
        <v>447</v>
      </c>
      <c r="C459" s="828"/>
      <c r="D459" s="1841"/>
      <c r="E459" s="721"/>
      <c r="F459" s="281"/>
      <c r="G459" s="281"/>
      <c r="H459" s="1934"/>
      <c r="I459" s="1899"/>
      <c r="J459" s="1899"/>
      <c r="K459" s="1899"/>
      <c r="L459" s="1909"/>
      <c r="M459" s="722"/>
      <c r="N459" s="722"/>
      <c r="O459" s="722"/>
      <c r="P459" s="1900"/>
      <c r="Q459" s="1901"/>
      <c r="R459" s="1900"/>
      <c r="S459" s="1901"/>
      <c r="T459" s="1900"/>
      <c r="U459" s="1901"/>
      <c r="V459" s="1900"/>
      <c r="W459" s="1901"/>
      <c r="X459" s="1900"/>
      <c r="Y459" s="1902"/>
      <c r="Z459" s="1902"/>
      <c r="AA459" s="1902"/>
      <c r="AB459" s="1902"/>
      <c r="AC459" s="1902"/>
      <c r="AD459" s="1902"/>
      <c r="AE459" s="1902"/>
      <c r="AF459" s="1902"/>
      <c r="AG459" s="1902"/>
      <c r="AH459" s="1902"/>
      <c r="AI459" s="831"/>
      <c r="AJ459" s="1828"/>
      <c r="AK459" s="724"/>
      <c r="AL459" s="1806"/>
      <c r="AM459" s="832"/>
      <c r="AN459" s="724"/>
      <c r="AO459" s="832"/>
      <c r="AP459" s="1399"/>
      <c r="AQ459" s="832"/>
      <c r="AS459" s="824"/>
      <c r="AT459" s="832"/>
      <c r="AU459" s="759"/>
      <c r="AV459" s="759"/>
      <c r="AW459" s="759"/>
      <c r="AX459" s="759"/>
      <c r="AY459" s="759"/>
      <c r="AZ459" s="759"/>
      <c r="BA459" s="759"/>
      <c r="BB459" s="759"/>
      <c r="BC459" s="759"/>
      <c r="BD459" s="759"/>
      <c r="BE459" s="759"/>
      <c r="BF459" s="759"/>
      <c r="BG459" s="760"/>
      <c r="BH459" s="1678"/>
      <c r="BI459" s="1678"/>
      <c r="BJ459" s="1678"/>
      <c r="BK459" s="1678"/>
      <c r="BL459" s="1678"/>
      <c r="BM459" s="1678"/>
      <c r="BN459" s="1678"/>
      <c r="BO459" s="1678"/>
      <c r="BP459" s="1678"/>
      <c r="BQ459" s="832"/>
    </row>
    <row r="460" spans="1:69" s="782" customFormat="1" x14ac:dyDescent="0.2">
      <c r="A460" s="1712" t="s">
        <v>2621</v>
      </c>
      <c r="B460" s="1791">
        <v>448</v>
      </c>
      <c r="C460" s="844" t="str">
        <f>IF(C458="","Guideway (Excludes Track)",VLOOKUP(C458,Codes!$C$156:$D$174,2)&amp;" Guideway (Excludes Track)")</f>
        <v>Guideway (Excludes Track)</v>
      </c>
      <c r="D460" s="1841"/>
      <c r="E460" s="721"/>
      <c r="F460" s="281"/>
      <c r="G460" s="281"/>
      <c r="H460" s="1934"/>
      <c r="I460" s="1899"/>
      <c r="J460" s="1899"/>
      <c r="K460" s="1899"/>
      <c r="L460" s="1909"/>
      <c r="M460" s="722"/>
      <c r="N460" s="722"/>
      <c r="O460" s="722"/>
      <c r="P460" s="1900"/>
      <c r="Q460" s="1901"/>
      <c r="R460" s="1900"/>
      <c r="S460" s="1901"/>
      <c r="T460" s="1900"/>
      <c r="U460" s="1901"/>
      <c r="V460" s="1900"/>
      <c r="W460" s="1901"/>
      <c r="X460" s="1900"/>
      <c r="Y460" s="1902"/>
      <c r="Z460" s="1902"/>
      <c r="AA460" s="1902"/>
      <c r="AB460" s="1902"/>
      <c r="AC460" s="1902"/>
      <c r="AD460" s="1902"/>
      <c r="AE460" s="1902"/>
      <c r="AF460" s="1902"/>
      <c r="AG460" s="1902"/>
      <c r="AH460" s="1902"/>
      <c r="AI460" s="831"/>
      <c r="AJ460" s="1828"/>
      <c r="AK460" s="724"/>
      <c r="AL460" s="1806"/>
      <c r="AM460" s="832"/>
      <c r="AN460" s="724"/>
      <c r="AO460" s="832"/>
      <c r="AP460" s="1399"/>
      <c r="AQ460" s="832"/>
      <c r="AS460" s="824"/>
      <c r="AT460" s="832"/>
      <c r="AU460" s="759"/>
      <c r="AV460" s="759"/>
      <c r="AW460" s="759"/>
      <c r="AX460" s="759"/>
      <c r="AY460" s="759"/>
      <c r="AZ460" s="759"/>
      <c r="BA460" s="759"/>
      <c r="BB460" s="759"/>
      <c r="BC460" s="759"/>
      <c r="BD460" s="759"/>
      <c r="BE460" s="759"/>
      <c r="BF460" s="759"/>
      <c r="BG460" s="760"/>
      <c r="BH460" s="1678"/>
      <c r="BI460" s="1678"/>
      <c r="BJ460" s="1678"/>
      <c r="BK460" s="1678"/>
      <c r="BL460" s="1678"/>
      <c r="BM460" s="1678"/>
      <c r="BN460" s="1678"/>
      <c r="BO460" s="1678"/>
      <c r="BP460" s="1678"/>
      <c r="BQ460" s="832"/>
    </row>
    <row r="461" spans="1:69" s="782" customFormat="1" ht="26.25" thickBot="1" x14ac:dyDescent="0.25">
      <c r="A461" s="1712" t="s">
        <v>2621</v>
      </c>
      <c r="B461" s="1791">
        <v>449</v>
      </c>
      <c r="D461" s="1841"/>
      <c r="E461" s="816"/>
      <c r="F461" s="764"/>
      <c r="G461" s="764"/>
      <c r="H461" s="1903" t="str">
        <f>H$10</f>
        <v>Linear Feet</v>
      </c>
      <c r="I461" s="1899"/>
      <c r="J461" s="1903" t="str">
        <f>J$10</f>
        <v>Track Feet</v>
      </c>
      <c r="K461" s="1899"/>
      <c r="L461" s="1909"/>
      <c r="M461" s="722"/>
      <c r="N461" s="722"/>
      <c r="O461" s="722"/>
      <c r="P461" s="1903" t="str">
        <f>P$9</f>
        <v>Pre-1920</v>
      </c>
      <c r="Q461" s="1869"/>
      <c r="R461" s="1903" t="str">
        <f>R$9</f>
        <v>1920-
1929</v>
      </c>
      <c r="S461" s="1869"/>
      <c r="T461" s="1903" t="str">
        <f>T$9</f>
        <v>1930-
1939</v>
      </c>
      <c r="U461" s="1869"/>
      <c r="V461" s="1903" t="str">
        <f>V$9</f>
        <v>1940-
1949</v>
      </c>
      <c r="W461" s="1869"/>
      <c r="X461" s="1903" t="str">
        <f>X$9</f>
        <v>1950-
1959</v>
      </c>
      <c r="Y461" s="1868"/>
      <c r="Z461" s="1903" t="str">
        <f>Z$9</f>
        <v>1960-
1969</v>
      </c>
      <c r="AA461" s="1868"/>
      <c r="AB461" s="1903" t="str">
        <f>AB$9</f>
        <v>1970-
1979</v>
      </c>
      <c r="AC461" s="1868"/>
      <c r="AD461" s="1903" t="str">
        <f>AD$9</f>
        <v>1980-
1989</v>
      </c>
      <c r="AE461" s="1868"/>
      <c r="AF461" s="1903" t="str">
        <f>AF$9</f>
        <v>1990-
1999</v>
      </c>
      <c r="AG461" s="1868"/>
      <c r="AH461" s="1903" t="str">
        <f>AH$9</f>
        <v>2000-
present</v>
      </c>
      <c r="AI461" s="831"/>
      <c r="AJ461" s="1828"/>
      <c r="AK461" s="724"/>
      <c r="AL461" s="1806"/>
      <c r="AM461" s="832"/>
      <c r="AN461" s="724"/>
      <c r="AO461" s="832"/>
      <c r="AP461" s="1399"/>
      <c r="AQ461" s="832"/>
      <c r="AS461" s="832"/>
      <c r="AT461" s="832"/>
      <c r="AU461" s="759"/>
      <c r="AV461" s="759"/>
      <c r="AW461" s="759"/>
      <c r="AX461" s="759"/>
      <c r="AY461" s="759"/>
      <c r="AZ461" s="759"/>
      <c r="BA461" s="759"/>
      <c r="BB461" s="759"/>
      <c r="BC461" s="759"/>
      <c r="BD461" s="759"/>
      <c r="BE461" s="759"/>
      <c r="BF461" s="759"/>
      <c r="BG461" s="760"/>
      <c r="BH461" s="1678"/>
      <c r="BI461" s="1678"/>
      <c r="BJ461" s="1678"/>
      <c r="BK461" s="1678"/>
      <c r="BL461" s="1678"/>
      <c r="BM461" s="1678"/>
      <c r="BN461" s="1678"/>
      <c r="BO461" s="1678"/>
      <c r="BP461" s="1678"/>
      <c r="BQ461" s="832"/>
    </row>
    <row r="462" spans="1:69" s="782" customFormat="1" x14ac:dyDescent="0.2">
      <c r="A462" s="852">
        <f>A447+1</f>
        <v>113</v>
      </c>
      <c r="B462" s="1790">
        <v>450</v>
      </c>
      <c r="C462" s="851" t="str">
        <f>Valid!$B$71</f>
        <v>At-Grade/Ballast (including expressway)</v>
      </c>
      <c r="D462" s="1841"/>
      <c r="E462" s="1245" t="str">
        <f>IF(AT462="N/A","",IF(AT462="N","No","Yes"))</f>
        <v/>
      </c>
      <c r="F462" s="764"/>
      <c r="G462" s="764"/>
      <c r="H462" s="1864"/>
      <c r="I462" s="1904" t="str">
        <f>IF(C458="","",IF(J462&lt;&gt;"","Linear Feet   ","Qty? Enter Zero if N/A  "))</f>
        <v/>
      </c>
      <c r="J462" s="1864"/>
      <c r="K462" s="1904" t="str">
        <f>IF(E462="yes","",IF(C458="","",IF(H462="","Qty? Enter Zero if N/A  ",IF(H462&lt;&gt;"","Track Feet      ",""))))</f>
        <v/>
      </c>
      <c r="L462" s="1864"/>
      <c r="M462" s="1620" t="str">
        <f>IF($H462=0,"",IF($L462="",TEXT(BN462,0)&amp;" Years?    ",""))</f>
        <v/>
      </c>
      <c r="N462" s="1905"/>
      <c r="O462" s="1620"/>
      <c r="P462" s="1864"/>
      <c r="Q462" s="1865" t="str">
        <f>IF(OR($N462="",$H462=0, P462&lt;&gt;""),"", IF($BK462&lt;&gt;0, "0 - ", "")&amp;IF($N462="%", TEXT($BK462, "0%"), IF($BK462&lt;1000, TEXT($BK462, "#,##0"), TEXT($BK462/1000, "#,##0")&amp;"k")&amp;" ft.")&amp;"?  ")</f>
        <v/>
      </c>
      <c r="R462" s="1864"/>
      <c r="S462" s="1865" t="str">
        <f>IF(OR($N462="",$H462=0, R462&lt;&gt;""),"", IF($BK462&lt;&gt;0, "0 - ", "")&amp;IF($N462="%", TEXT($BK462, "0%"), IF($BK462&lt;1000, TEXT($BK462, "#,##0"), TEXT($BK462/1000, "#,##0")&amp;"k")&amp;" ft.")&amp;"?  ")</f>
        <v/>
      </c>
      <c r="T462" s="1864"/>
      <c r="U462" s="1865" t="str">
        <f>IF(OR($N462="",$H462=0, T462&lt;&gt;""),"", IF($BK462&lt;&gt;0, "0 - ", "")&amp;IF($N462="%", TEXT($BK462, "0%"), IF($BK462&lt;1000, TEXT($BK462, "#,##0"), TEXT($BK462/1000, "#,##0")&amp;"k")&amp;" ft.")&amp;"?  ")</f>
        <v/>
      </c>
      <c r="V462" s="1864"/>
      <c r="W462" s="1865" t="str">
        <f>IF(OR($N462="",$H462=0, V462&lt;&gt;""),"", IF($BK462&lt;&gt;0, "0 - ", "")&amp;IF($N462="%", TEXT($BK462, "0%"), IF($BK462&lt;1000, TEXT($BK462, "#,##0"), TEXT($BK462/1000, "#,##0")&amp;"k")&amp;" ft.")&amp;"?  ")</f>
        <v/>
      </c>
      <c r="X462" s="1864"/>
      <c r="Y462" s="1865" t="str">
        <f>IF(OR($N462="",$H462=0, X462&lt;&gt;""),"", IF($BK462&lt;&gt;0, "0 - ", "")&amp;IF($N462="%", TEXT($BK462, "0%"), IF($BK462&lt;1000, TEXT($BK462, "#,##0"), TEXT($BK462/1000, "#,##0")&amp;"k")&amp;" ft.")&amp;"?  ")</f>
        <v/>
      </c>
      <c r="Z462" s="1864"/>
      <c r="AA462" s="1865" t="str">
        <f>IF(OR($N462="",$H462=0, Z462&lt;&gt;""),"", IF($BK462&lt;&gt;0, "0 - ", "")&amp;IF($N462="%", TEXT($BK462, "0%"), IF($BK462&lt;1000, TEXT($BK462, "#,##0"), TEXT($BK462/1000, "#,##0")&amp;"k")&amp;" ft.")&amp;"?  ")</f>
        <v/>
      </c>
      <c r="AB462" s="1864"/>
      <c r="AC462" s="1865" t="str">
        <f>IF(OR($N462="",$H462=0, AB462&lt;&gt;""),"", IF($BK462&lt;&gt;0, "0 - ", "")&amp;IF($N462="%", TEXT($BK462, "0%"), IF($BK462&lt;1000, TEXT($BK462, "#,##0"), TEXT($BK462/1000, "#,##0")&amp;"k")&amp;" ft.")&amp;"?  ")</f>
        <v/>
      </c>
      <c r="AD462" s="1864"/>
      <c r="AE462" s="1865" t="str">
        <f>IF(OR($N462="",$H462=0, AD462&lt;&gt;""),"", IF($BK462&lt;&gt;0, "0 - ", "")&amp;IF($N462="%", TEXT($BK462, "0%"), IF($BK462&lt;1000, TEXT($BK462, "#,##0"), TEXT($BK462/1000, "#,##0")&amp;"k")&amp;" ft.")&amp;"?  ")</f>
        <v/>
      </c>
      <c r="AF462" s="1864"/>
      <c r="AG462" s="1865" t="str">
        <f>IF(OR($N462="",$H462=0, AF462&lt;&gt;""),"", IF($BK462&lt;&gt;0, "0 - ", "")&amp;IF($N462="%", TEXT($BK462, "0%"), IF($BK462&lt;1000, TEXT($BK462, "#,##0"), TEXT($BK462/1000, "#,##0")&amp;"k")&amp;" ft.")&amp;"?  ")</f>
        <v/>
      </c>
      <c r="AH462" s="1864"/>
      <c r="AI462" s="1865" t="str">
        <f>IF(OR($N462="",$H462=0, AH462&lt;&gt;""),"", IF($BK462&lt;&gt;0, "0 - ", "")&amp;IF($N462="%", TEXT($BK462, "0%"), IF($BK462&lt;1000, TEXT($BK462, "#,##0"), TEXT($BK462/1000, "#,##0")&amp;"k")&amp;" ft.")&amp;"?  ")</f>
        <v/>
      </c>
      <c r="AJ462" s="1833">
        <f>IFERROR(IF(N462="%", SUM(P462,R462,T462,V462,X462,Z462,AB462,AD462,AF462,AH462)/100, SUM(P462,R462,T462,V462,X462,Z462,AB462,AD462,AF462,AH462)/IF(N462="LF", H462,J462)), 0)</f>
        <v>0</v>
      </c>
      <c r="AK462" s="1648"/>
      <c r="AL462" s="1675"/>
      <c r="AM462" s="839"/>
      <c r="AN462" s="1808"/>
      <c r="AO462" s="839"/>
      <c r="AP462" s="1653"/>
      <c r="AQ462" s="839"/>
      <c r="AS462" s="1399"/>
      <c r="AT462" s="1624" t="str">
        <f>IF(AND($C$458="", H462="", J462=""), "N/A", IF(OR(AND(ISNUMBER(H462), ISNUMBER(J462), H462=0, J462=0), AND(AJ462=1, H462&lt;&gt;"", J462&lt;&gt;"", L462&lt;&gt;"", N462&lt;&gt;"", P462&lt;&gt;"", R462&lt;&gt;"", T462&lt;&gt;"", V462&lt;&gt;"", X462&lt;&gt;"", Z462&lt;&gt;"", AB462&lt;&gt;"", AD462&lt;&gt;"", AF462&lt;&gt;"", AH462&lt;&gt;"",AL462&lt;&gt;"", IF(AND(AL462&lt;1, AN462=""), FALSE, TRUE))), "Yes", "No"))</f>
        <v>N/A</v>
      </c>
      <c r="AU462" s="759" t="b">
        <f>IF(AND(H462="",OR(L462&lt;&gt;"",P462&lt;&gt;"",R462&lt;&gt;"",T462&lt;&gt;"",V462&lt;&gt;"",X462&lt;&gt;"",AL462&lt;&gt;"",Z462&lt;&gt;"",AB462&lt;&gt;"",AD462&lt;&gt;"",AF462&lt;&gt;"",AH462&lt;&gt;"")),TRUE,FALSE)</f>
        <v>0</v>
      </c>
      <c r="AV462" s="759" t="b">
        <f>IF(OR(H462="",H462=0),FALSE,IF(H462&gt;BM462,TRUE,FALSE))</f>
        <v>0</v>
      </c>
      <c r="AW462" s="759" t="b">
        <f>IF(AND($C$458&lt;&gt;"",$H462=""),TRUE,FALSE)</f>
        <v>0</v>
      </c>
      <c r="AX462" s="759" t="b">
        <f>IF(E462="yes",FALSE,IF(H462="0",FALSE,IF(AND($C$458&lt;&gt;"",J462=""),TRUE,FALSE)))</f>
        <v>0</v>
      </c>
      <c r="AY462" s="759" t="b">
        <f>IF($L462="",FALSE,IF($L462&lt;$BO462,TRUE,FALSE))</f>
        <v>0</v>
      </c>
      <c r="AZ462" s="759" t="b">
        <f>IF($L462="",FALSE,IF($L462&gt;$BP462,TRUE,FALSE))</f>
        <v>0</v>
      </c>
      <c r="BA462" s="759" t="b">
        <f>IF(H462=0,FALSE,IF(AND(E462&lt;&gt;"",$L462=""),TRUE,FALSE))</f>
        <v>0</v>
      </c>
      <c r="BB462" s="759" t="b">
        <f>IF(AND($AJ462&lt;&gt;0,$H462&lt;&gt;$BJ462,$N462="LF"),TRUE,IF(AND($AJ462&lt;&gt;0,$J462&lt;&gt;$AJ462,$N462="TF"),TRUE,IF(AND($AJ462&lt;&gt;0,$AJ462&lt;&gt;1,$N462="%"),TRUE,FALSE)))</f>
        <v>0</v>
      </c>
      <c r="BC462" s="759" t="b">
        <f>IF(AT462="No", IF(OR(P462="", R462="", T462="", V462="", X462="", Z462="", AB462="", AD462="", AF462="", AH462=""), TRUE, FALSE), FALSE)</f>
        <v>0</v>
      </c>
      <c r="BD462" s="759" t="b">
        <f>IF($BE462=TRUE,FALSE,IF(OR($AL462&lt;0,$AL462&gt;1),TRUE,FALSE))</f>
        <v>0</v>
      </c>
      <c r="BE462" s="759" t="b">
        <f>IF(AND($H462&lt;&gt;0,$AL462=""),TRUE,FALSE)</f>
        <v>0</v>
      </c>
      <c r="BF462" s="759" t="b">
        <f>IF(N462="%",TRUE,FALSE)</f>
        <v>0</v>
      </c>
      <c r="BG462" s="760"/>
      <c r="BH462" s="1678">
        <f>IF($C462="","",VLOOKUP($C462,val_fg_assets,9,FALSE))</f>
        <v>1</v>
      </c>
      <c r="BI462" s="1678" t="str">
        <f>IF(N462="", "", IF(N462="LF", H462, IF(N462="TF", J462, IF(N462="%", 1, ""))))</f>
        <v/>
      </c>
      <c r="BJ462" s="1679">
        <f>P462+R462+T462+V462+X462+Z462+AB462+AD462+AF462+AH462</f>
        <v>0</v>
      </c>
      <c r="BK462" s="1679" t="str">
        <f>IF(BI462="", "", BI462-BJ462)</f>
        <v/>
      </c>
      <c r="BL462" s="1679">
        <f>IF($C462="","",VLOOKUP($C462,val_fg_assets,3,FALSE))</f>
        <v>0</v>
      </c>
      <c r="BM462" s="1679">
        <f>IF($C462="","",VLOOKUP($C462,val_fg_assets,4,FALSE))</f>
        <v>1320000</v>
      </c>
      <c r="BN462" s="1678">
        <f>IF($C462="","",VLOOKUP($C462,val_fg_assets,5,FALSE))</f>
        <v>80</v>
      </c>
      <c r="BO462" s="1678">
        <f>IF($C462="","",VLOOKUP($C462,val_fg_assets,6,FALSE))</f>
        <v>60</v>
      </c>
      <c r="BP462" s="1678">
        <f>IF($C462="","",VLOOKUP($C462,val_fg_assets,7,FALSE))</f>
        <v>100</v>
      </c>
      <c r="BQ462" s="1399"/>
    </row>
    <row r="463" spans="1:69" s="782" customFormat="1" ht="3.95" customHeight="1" x14ac:dyDescent="0.2">
      <c r="A463" s="1672"/>
      <c r="B463" s="1790">
        <v>451</v>
      </c>
      <c r="C463" s="1673"/>
      <c r="D463" s="1841"/>
      <c r="E463" s="1057"/>
      <c r="F463" s="764"/>
      <c r="G463" s="764"/>
      <c r="H463" s="1906"/>
      <c r="I463" s="1907"/>
      <c r="J463" s="1908"/>
      <c r="K463" s="1907"/>
      <c r="L463" s="1909"/>
      <c r="M463" s="1910"/>
      <c r="N463" s="1911"/>
      <c r="O463" s="1910"/>
      <c r="P463" s="1866"/>
      <c r="Q463" s="1867"/>
      <c r="R463" s="1866"/>
      <c r="S463" s="1867"/>
      <c r="T463" s="1866"/>
      <c r="U463" s="1867"/>
      <c r="V463" s="1866"/>
      <c r="W463" s="1867"/>
      <c r="X463" s="1866"/>
      <c r="Y463" s="1867"/>
      <c r="Z463" s="1867"/>
      <c r="AA463" s="1867"/>
      <c r="AB463" s="1867"/>
      <c r="AC463" s="1867"/>
      <c r="AD463" s="1867"/>
      <c r="AE463" s="1867"/>
      <c r="AF463" s="1867"/>
      <c r="AG463" s="1867"/>
      <c r="AH463" s="1867"/>
      <c r="AI463" s="837"/>
      <c r="AJ463" s="1806"/>
      <c r="AK463" s="841"/>
      <c r="AL463" s="1806"/>
      <c r="AM463" s="1399"/>
      <c r="AN463" s="838"/>
      <c r="AO463" s="1399"/>
      <c r="AP463" s="1223"/>
      <c r="AQ463" s="1399"/>
      <c r="AS463" s="1399"/>
      <c r="AT463" s="1399"/>
      <c r="AU463" s="759"/>
      <c r="AV463" s="759"/>
      <c r="AW463" s="759"/>
      <c r="AX463" s="759"/>
      <c r="AY463" s="759"/>
      <c r="AZ463" s="759"/>
      <c r="BA463" s="759"/>
      <c r="BB463" s="759"/>
      <c r="BC463" s="759"/>
      <c r="BD463" s="759"/>
      <c r="BE463" s="759"/>
      <c r="BF463" s="759"/>
      <c r="BG463" s="760"/>
      <c r="BH463" s="1678"/>
      <c r="BI463" s="1678"/>
      <c r="BJ463" s="1678"/>
      <c r="BK463" s="1678"/>
      <c r="BL463" s="1679"/>
      <c r="BM463" s="1679"/>
      <c r="BN463" s="1678"/>
      <c r="BO463" s="1678"/>
      <c r="BP463" s="1678"/>
      <c r="BQ463" s="1399"/>
    </row>
    <row r="464" spans="1:69" s="782" customFormat="1" ht="3.95" customHeight="1" thickBot="1" x14ac:dyDescent="0.25">
      <c r="A464" s="852"/>
      <c r="B464" s="1791">
        <v>452</v>
      </c>
      <c r="C464" s="851"/>
      <c r="D464" s="1841"/>
      <c r="E464" s="1058"/>
      <c r="F464" s="686"/>
      <c r="G464" s="686"/>
      <c r="H464" s="1909"/>
      <c r="I464" s="1908"/>
      <c r="J464" s="1908"/>
      <c r="K464" s="1908"/>
      <c r="L464" s="1909"/>
      <c r="M464" s="722"/>
      <c r="N464" s="1912"/>
      <c r="O464" s="722"/>
      <c r="P464" s="1868"/>
      <c r="Q464" s="1869"/>
      <c r="R464" s="1868"/>
      <c r="S464" s="1869"/>
      <c r="T464" s="1868"/>
      <c r="U464" s="1869"/>
      <c r="V464" s="1868"/>
      <c r="W464" s="1869"/>
      <c r="X464" s="1868"/>
      <c r="Y464" s="1869"/>
      <c r="Z464" s="1869"/>
      <c r="AA464" s="1869"/>
      <c r="AB464" s="1869"/>
      <c r="AC464" s="1869"/>
      <c r="AD464" s="1869"/>
      <c r="AE464" s="1869"/>
      <c r="AF464" s="1869"/>
      <c r="AG464" s="1869"/>
      <c r="AH464" s="1869"/>
      <c r="AI464" s="1670"/>
      <c r="AJ464" s="1828"/>
      <c r="AK464" s="724"/>
      <c r="AL464" s="1806"/>
      <c r="AM464" s="1399"/>
      <c r="AN464" s="1258"/>
      <c r="AO464" s="1399"/>
      <c r="AP464" s="1399"/>
      <c r="AQ464" s="1399"/>
      <c r="AS464" s="1399"/>
      <c r="AT464" s="1399"/>
      <c r="AU464" s="759"/>
      <c r="AV464" s="759"/>
      <c r="AW464" s="759"/>
      <c r="AX464" s="759"/>
      <c r="AY464" s="759"/>
      <c r="AZ464" s="759"/>
      <c r="BA464" s="759"/>
      <c r="BB464" s="759"/>
      <c r="BC464" s="759"/>
      <c r="BD464" s="759"/>
      <c r="BE464" s="759"/>
      <c r="BF464" s="759"/>
      <c r="BG464" s="760"/>
      <c r="BH464" s="1678"/>
      <c r="BI464" s="1678"/>
      <c r="BJ464" s="1678"/>
      <c r="BK464" s="1678"/>
      <c r="BL464" s="1679"/>
      <c r="BM464" s="1679"/>
      <c r="BN464" s="1678"/>
      <c r="BO464" s="1678"/>
      <c r="BP464" s="1678"/>
      <c r="BQ464" s="1399"/>
    </row>
    <row r="465" spans="1:69" s="782" customFormat="1" x14ac:dyDescent="0.2">
      <c r="A465" s="852">
        <f>A462+1</f>
        <v>114</v>
      </c>
      <c r="B465" s="1791">
        <v>453</v>
      </c>
      <c r="C465" s="851" t="str">
        <f>Valid!$B$72</f>
        <v>At-Grade/In-Street/Embedded</v>
      </c>
      <c r="D465" s="1841"/>
      <c r="E465" s="1245" t="str">
        <f>IF(AT465="N/A","",IF(AT465="N","No","Yes"))</f>
        <v/>
      </c>
      <c r="F465" s="764"/>
      <c r="G465" s="764"/>
      <c r="H465" s="1864"/>
      <c r="I465" s="1904" t="str">
        <f>IF(C458="","",IF(J465&lt;&gt;"","Linear Feet   ","Qty? Enter Zero if N/A  "))</f>
        <v/>
      </c>
      <c r="J465" s="1864"/>
      <c r="K465" s="1904" t="str">
        <f>IF(E465="yes","",IF(C458="","",IF(H465="","Qty? Enter Zero if N/A  ",IF(H465&lt;&gt;"","Track Feet      ",""))))</f>
        <v/>
      </c>
      <c r="L465" s="1864"/>
      <c r="M465" s="1620" t="str">
        <f>IF($H465=0,"",IF($L465="",TEXT(BN465,0)&amp;" Years?    ",""))</f>
        <v/>
      </c>
      <c r="N465" s="1905"/>
      <c r="O465" s="1620"/>
      <c r="P465" s="1864"/>
      <c r="Q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R465" s="1864"/>
      <c r="S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T465" s="1864"/>
      <c r="U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V465" s="1864"/>
      <c r="W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X465" s="1864"/>
      <c r="Y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Z465" s="1864"/>
      <c r="AA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B465" s="1864"/>
      <c r="AC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D465" s="1864"/>
      <c r="AE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F465" s="1864"/>
      <c r="AG465" s="1865"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H465" s="1864"/>
      <c r="AI465" s="904" t="str">
        <f>IF($N465="","",IF(AND($N465="",OR($H465="",$H465=0)),"",IF(AND($N465="LF",$AJ465&lt;$H465),"0 - "&amp;TEXT(($H465-$AJ465)/1000,"0")&amp;"k lin. ft.?    ",IF(AND($N465="TF",$AJ465&lt;$J465),"0 - "&amp;TEXT(($J465-$AJ465)/1000,"0")&amp;"k track ft.?    ",IF(AND($N465="%",$AJ465&lt;1),REPLACE(IF(AND($P465&gt;0,$V465&gt;0,$T465&gt;0,$X465&gt;0,$R465&gt;0,$Z465&gt;0,$AB465&gt;0,$AD465&gt;0,$AF465&gt;0,$AH465&gt;0),"","0-"),99,0,REPLACE(TEXT(100-$AJ465,0),99,0,"%?    ")),"")))))</f>
        <v/>
      </c>
      <c r="AJ465" s="1833">
        <f>IFERROR(IF(N465="%", SUM(P465,R465,T465,V465,X465,Z465,AB465,AD465,AF465,AH465)/100, SUM(P465,R465,T465,V465,X465,Z465,AB465,AD465,AF465,AH465)/IF(N465="LF", H465,J465)), 0)</f>
        <v>0</v>
      </c>
      <c r="AK465" s="1648"/>
      <c r="AL465" s="1675"/>
      <c r="AM465" s="1399"/>
      <c r="AN465" s="1808"/>
      <c r="AO465" s="1399"/>
      <c r="AP465" s="1653"/>
      <c r="AQ465" s="1399"/>
      <c r="AS465" s="1399"/>
      <c r="AT465" s="1624" t="str">
        <f>IF(AND($C$458="", H465="", J465=""), "N/A", IF(OR(AND(ISNUMBER(H465), ISNUMBER(J465), H465=0, J465=0), AND(AJ465=1, H465&lt;&gt;"", J465&lt;&gt;"", L465&lt;&gt;"", N465&lt;&gt;"", P465&lt;&gt;"", R465&lt;&gt;"", T465&lt;&gt;"", V465&lt;&gt;"", X465&lt;&gt;"", Z465&lt;&gt;"", AB465&lt;&gt;"", AD465&lt;&gt;"", AF465&lt;&gt;"", AH465&lt;&gt;"",AL465&lt;&gt;"", IF(AND(AL465&lt;1, AN465=""), FALSE, TRUE))), "Yes", "No"))</f>
        <v>N/A</v>
      </c>
      <c r="AU465" s="759" t="b">
        <f>IF(AND(H465="",OR(L465&lt;&gt;"",P465&lt;&gt;"",R465&lt;&gt;"",T465&lt;&gt;"",V465&lt;&gt;"",X465&lt;&gt;"",AL465&lt;&gt;"",Z465&lt;&gt;"",AB465&lt;&gt;"",AD465&lt;&gt;"",AF465&lt;&gt;"",AH465&lt;&gt;"")),TRUE,FALSE)</f>
        <v>0</v>
      </c>
      <c r="AV465" s="759" t="b">
        <f>IF(OR(H465="",H465=0),FALSE,IF(H465&gt;BM465,TRUE,FALSE))</f>
        <v>0</v>
      </c>
      <c r="AW465" s="759" t="b">
        <f>IF(AND($C$458&lt;&gt;"",$H465=""),TRUE,FALSE)</f>
        <v>0</v>
      </c>
      <c r="AX465" s="759" t="b">
        <f>IF(E465="yes",FALSE,IF(H465="0",FALSE,IF(AND($C$458&lt;&gt;"",J465=""),TRUE,FALSE)))</f>
        <v>0</v>
      </c>
      <c r="AY465" s="759" t="b">
        <f>IF($L465="",FALSE,IF($L465&lt;$BO465,TRUE,FALSE))</f>
        <v>0</v>
      </c>
      <c r="AZ465" s="759" t="b">
        <f>IF($L465="",FALSE,IF($L465&gt;$BP465,TRUE,FALSE))</f>
        <v>0</v>
      </c>
      <c r="BA465" s="759" t="b">
        <f>IF(H465=0,FALSE,IF(AND(E465&lt;&gt;"",$L465=""),TRUE,FALSE))</f>
        <v>0</v>
      </c>
      <c r="BB465" s="759" t="b">
        <f>IF(AND($AJ465&lt;&gt;0,$H465&lt;&gt;$BJ465,$N465="LF"),TRUE,IF(AND($AJ465&lt;&gt;0,$J465&lt;&gt;$AJ465,$N465="TF"),TRUE,IF(AND($AJ465&lt;&gt;0,$AJ465&lt;&gt;1,$N465="%"),TRUE,FALSE)))</f>
        <v>0</v>
      </c>
      <c r="BC465" s="759" t="b">
        <f>IF(AT465="No", IF(OR(P465="", R465="", T465="", V465="", X465="", Z465="", AB465="", AD465="", AF465="", AH465=""), TRUE, FALSE), FALSE)</f>
        <v>0</v>
      </c>
      <c r="BD465" s="759" t="b">
        <f>IF($BE465=TRUE,FALSE,IF(OR($AL465&lt;0,$AL465&gt;1),TRUE,FALSE))</f>
        <v>0</v>
      </c>
      <c r="BE465" s="759" t="b">
        <f>IF(AND($H465&lt;&gt;0,$AL465=""),TRUE,FALSE)</f>
        <v>0</v>
      </c>
      <c r="BF465" s="759" t="b">
        <f>IF(N465="%",TRUE,FALSE)</f>
        <v>0</v>
      </c>
      <c r="BG465" s="760"/>
      <c r="BH465" s="1678">
        <f>IF($C465="","",VLOOKUP($C465,val_fg_assets,9,FALSE))</f>
        <v>1</v>
      </c>
      <c r="BI465" s="1678" t="str">
        <f>IF(N465="", "", IF(N465="LF", H465, IF(N465="TF", J465, IF(N465="%", 1, ""))))</f>
        <v/>
      </c>
      <c r="BJ465" s="1679">
        <f>P465+R465+T465+V465+X465+Z465+AB465+AD465+AF465+AH465</f>
        <v>0</v>
      </c>
      <c r="BK465" s="1679" t="str">
        <f>IF(BI465="", "", BI465-BJ465)</f>
        <v/>
      </c>
      <c r="BL465" s="1679">
        <f>IF($C465="","",VLOOKUP($C465,val_fg_assets,3,FALSE))</f>
        <v>0</v>
      </c>
      <c r="BM465" s="1679">
        <f>IF($C465="","",VLOOKUP($C465,val_fg_assets,4,FALSE))</f>
        <v>1320000</v>
      </c>
      <c r="BN465" s="1678">
        <f>IF($C465="","",VLOOKUP($C465,val_fg_assets,5,FALSE))</f>
        <v>80</v>
      </c>
      <c r="BO465" s="1678">
        <f>IF($C465="","",VLOOKUP($C465,val_fg_assets,6,FALSE))</f>
        <v>60</v>
      </c>
      <c r="BP465" s="1678">
        <f>IF($C465="","",VLOOKUP($C465,val_fg_assets,7,FALSE))</f>
        <v>100</v>
      </c>
      <c r="BQ465" s="1399"/>
    </row>
    <row r="466" spans="1:69" s="782" customFormat="1" ht="3.95" customHeight="1" x14ac:dyDescent="0.2">
      <c r="A466" s="852"/>
      <c r="B466" s="1791">
        <v>454</v>
      </c>
      <c r="C466" s="851"/>
      <c r="D466" s="1841"/>
      <c r="E466" s="1058"/>
      <c r="F466" s="686"/>
      <c r="G466" s="686"/>
      <c r="H466" s="1906"/>
      <c r="I466" s="1907"/>
      <c r="J466" s="1908"/>
      <c r="K466" s="1907"/>
      <c r="L466" s="1909"/>
      <c r="M466" s="1910"/>
      <c r="N466" s="1911"/>
      <c r="O466" s="1910"/>
      <c r="P466" s="1866"/>
      <c r="Q466" s="1867"/>
      <c r="R466" s="1866"/>
      <c r="S466" s="1867"/>
      <c r="T466" s="1866"/>
      <c r="U466" s="1867"/>
      <c r="V466" s="1866"/>
      <c r="W466" s="1867"/>
      <c r="X466" s="1866"/>
      <c r="Y466" s="1867"/>
      <c r="Z466" s="1867"/>
      <c r="AA466" s="1867"/>
      <c r="AB466" s="1867"/>
      <c r="AC466" s="1867"/>
      <c r="AD466" s="1867"/>
      <c r="AE466" s="1867"/>
      <c r="AF466" s="1867"/>
      <c r="AG466" s="1867"/>
      <c r="AH466" s="1867"/>
      <c r="AI466" s="837"/>
      <c r="AJ466" s="1806"/>
      <c r="AK466" s="841"/>
      <c r="AL466" s="1806"/>
      <c r="AM466" s="1399"/>
      <c r="AN466" s="838"/>
      <c r="AO466" s="1399"/>
      <c r="AP466" s="1399"/>
      <c r="AQ466" s="1399"/>
      <c r="AS466" s="1399"/>
      <c r="AT466" s="1399"/>
      <c r="AU466" s="759"/>
      <c r="AV466" s="759"/>
      <c r="AW466" s="759"/>
      <c r="AX466" s="759"/>
      <c r="AY466" s="759"/>
      <c r="AZ466" s="759"/>
      <c r="BA466" s="759"/>
      <c r="BB466" s="759"/>
      <c r="BC466" s="759"/>
      <c r="BD466" s="759"/>
      <c r="BE466" s="759"/>
      <c r="BF466" s="759"/>
      <c r="BG466" s="760"/>
      <c r="BH466" s="1678"/>
      <c r="BI466" s="1678"/>
      <c r="BJ466" s="1678"/>
      <c r="BK466" s="1678"/>
      <c r="BL466" s="1679"/>
      <c r="BM466" s="1679"/>
      <c r="BN466" s="1678"/>
      <c r="BO466" s="1678"/>
      <c r="BP466" s="1678"/>
      <c r="BQ466" s="1399"/>
    </row>
    <row r="467" spans="1:69" s="782" customFormat="1" ht="3.95" customHeight="1" thickBot="1" x14ac:dyDescent="0.25">
      <c r="A467" s="852"/>
      <c r="B467" s="1790">
        <v>455</v>
      </c>
      <c r="C467" s="1673"/>
      <c r="D467" s="1841"/>
      <c r="E467" s="1057"/>
      <c r="F467" s="764"/>
      <c r="G467" s="764"/>
      <c r="H467" s="1913"/>
      <c r="I467" s="1908"/>
      <c r="J467" s="1908"/>
      <c r="K467" s="1908"/>
      <c r="L467" s="1909"/>
      <c r="M467" s="722"/>
      <c r="N467" s="1912"/>
      <c r="O467" s="722"/>
      <c r="P467" s="1868"/>
      <c r="Q467" s="1869"/>
      <c r="R467" s="1868"/>
      <c r="S467" s="1869"/>
      <c r="T467" s="1868"/>
      <c r="U467" s="1869"/>
      <c r="V467" s="1868"/>
      <c r="W467" s="1869"/>
      <c r="X467" s="1868"/>
      <c r="Y467" s="1869"/>
      <c r="Z467" s="1869"/>
      <c r="AA467" s="1869"/>
      <c r="AB467" s="1869"/>
      <c r="AC467" s="1869"/>
      <c r="AD467" s="1869"/>
      <c r="AE467" s="1869"/>
      <c r="AF467" s="1869"/>
      <c r="AG467" s="1869"/>
      <c r="AH467" s="1869"/>
      <c r="AI467" s="1670"/>
      <c r="AJ467" s="1828"/>
      <c r="AK467" s="724"/>
      <c r="AL467" s="1806"/>
      <c r="AM467" s="1399"/>
      <c r="AN467" s="1258"/>
      <c r="AO467" s="1399"/>
      <c r="AP467" s="1223"/>
      <c r="AQ467" s="1399"/>
      <c r="AS467" s="1399"/>
      <c r="AT467" s="1399"/>
      <c r="AU467" s="759"/>
      <c r="AV467" s="759"/>
      <c r="AW467" s="759"/>
      <c r="AX467" s="759"/>
      <c r="AY467" s="759"/>
      <c r="AZ467" s="759"/>
      <c r="BA467" s="759"/>
      <c r="BB467" s="759"/>
      <c r="BC467" s="759"/>
      <c r="BD467" s="759"/>
      <c r="BE467" s="759"/>
      <c r="BF467" s="759"/>
      <c r="BG467" s="760"/>
      <c r="BH467" s="1678"/>
      <c r="BI467" s="1678"/>
      <c r="BJ467" s="1678"/>
      <c r="BK467" s="1678"/>
      <c r="BL467" s="1679"/>
      <c r="BM467" s="1679"/>
      <c r="BN467" s="1678"/>
      <c r="BO467" s="1678"/>
      <c r="BP467" s="1678"/>
      <c r="BQ467" s="1399"/>
    </row>
    <row r="468" spans="1:69" s="782" customFormat="1" x14ac:dyDescent="0.2">
      <c r="A468" s="852">
        <f>A465+1</f>
        <v>115</v>
      </c>
      <c r="B468" s="1790">
        <v>456</v>
      </c>
      <c r="C468" s="851" t="str">
        <f>Valid!$B$73</f>
        <v>Elevated/Retained Fill</v>
      </c>
      <c r="D468" s="1841"/>
      <c r="E468" s="1245" t="str">
        <f>IF(AT468="N/A","",IF(AT468="N","No","Yes"))</f>
        <v/>
      </c>
      <c r="F468" s="686"/>
      <c r="G468" s="686"/>
      <c r="H468" s="1864"/>
      <c r="I468" s="1904" t="str">
        <f>IF(C458="","",IF(J468&lt;&gt;"","Linear Feet   ","Qty? Enter Zero if N/A  "))</f>
        <v/>
      </c>
      <c r="J468" s="1864"/>
      <c r="K468" s="1904" t="str">
        <f>IF(E468="yes","",IF(C458="","",IF(H468="","Qty? Enter Zero if N/A  ",IF(H468&lt;&gt;"","Track Feet      ",""))))</f>
        <v/>
      </c>
      <c r="L468" s="1864"/>
      <c r="M468" s="1620" t="str">
        <f>IF($H468=0,"",IF($L468="",TEXT(BN468,0)&amp;" Years?    ",""))</f>
        <v/>
      </c>
      <c r="N468" s="1905"/>
      <c r="O468" s="1620"/>
      <c r="P468" s="1864"/>
      <c r="Q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R468" s="1864"/>
      <c r="S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T468" s="1864"/>
      <c r="U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V468" s="1864"/>
      <c r="W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X468" s="1864"/>
      <c r="Y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Z468" s="1864"/>
      <c r="AA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B468" s="1864"/>
      <c r="AC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D468" s="1864"/>
      <c r="AE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F468" s="1864"/>
      <c r="AG468" s="1865"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H468" s="1864"/>
      <c r="AI468" s="904" t="str">
        <f>IF($N468="","",IF(AND($N468="",OR($H468="",$H468=0)),"",IF(AND($N468="LF",$AJ468&lt;$H468),"0 - "&amp;TEXT(($H468-$AJ468)/1000,"0")&amp;"k lin. ft.?    ",IF(AND($N468="TF",$AJ468&lt;$J468),"0 - "&amp;TEXT(($J468-$AJ468)/1000,"0")&amp;"k track ft.?    ",IF(AND($N468="%",$AJ468&lt;1),REPLACE(IF(AND($P468&gt;0,$V468&gt;0,$T468&gt;0,$X468&gt;0,$R468&gt;0,$Z468&gt;0,$AB468&gt;0,$AD468&gt;0,$AF468&gt;0,$AH468&gt;0),"","0-"),99,0,REPLACE(TEXT(100-$AJ468,0),99,0,"%?    ")),"")))))</f>
        <v/>
      </c>
      <c r="AJ468" s="1833">
        <f>IFERROR(IF(N468="%", SUM(P468,R468,T468,V468,X468,Z468,AB468,AD468,AF468,AH468)/100, SUM(P468,R468,T468,V468,X468,Z468,AB468,AD468,AF468,AH468)/IF(N468="LF", H468,J468)), 0)</f>
        <v>0</v>
      </c>
      <c r="AK468" s="1648"/>
      <c r="AL468" s="1675"/>
      <c r="AM468" s="1399"/>
      <c r="AN468" s="1808"/>
      <c r="AO468" s="1399"/>
      <c r="AP468" s="1653"/>
      <c r="AQ468" s="1399"/>
      <c r="AS468" s="1399"/>
      <c r="AT468" s="1624" t="str">
        <f>IF(AND($C$458="", H468="", J468=""), "N/A", IF(OR(AND(ISNUMBER(H468), ISNUMBER(J468), H468=0, J468=0), AND(AJ468=1, H468&lt;&gt;"", J468&lt;&gt;"", L468&lt;&gt;"", N468&lt;&gt;"", P468&lt;&gt;"", R468&lt;&gt;"", T468&lt;&gt;"", V468&lt;&gt;"", X468&lt;&gt;"", Z468&lt;&gt;"", AB468&lt;&gt;"", AD468&lt;&gt;"", AF468&lt;&gt;"", AH468&lt;&gt;"",AL468&lt;&gt;"", IF(AND(AL468&lt;1, AN468=""), FALSE, TRUE))), "Yes", "No"))</f>
        <v>N/A</v>
      </c>
      <c r="AU468" s="759" t="b">
        <f>IF(AND(H468="",OR(L468&lt;&gt;"",P468&lt;&gt;"",R468&lt;&gt;"",T468&lt;&gt;"",V468&lt;&gt;"",X468&lt;&gt;"",AL468&lt;&gt;"",Z468&lt;&gt;"",AB468&lt;&gt;"",AD468&lt;&gt;"",AF468&lt;&gt;"",AH468&lt;&gt;"")),TRUE,FALSE)</f>
        <v>0</v>
      </c>
      <c r="AV468" s="759" t="b">
        <f>IF(OR(H468="",H468=0),FALSE,IF(H468&gt;BM468,TRUE,FALSE))</f>
        <v>0</v>
      </c>
      <c r="AW468" s="759" t="b">
        <f>IF(AND($C$458&lt;&gt;"",$H468=""),TRUE,FALSE)</f>
        <v>0</v>
      </c>
      <c r="AX468" s="759" t="b">
        <f>IF(E468="yes",FALSE,IF(H468="0",FALSE,IF(AND($C$458&lt;&gt;"",J468=""),TRUE,FALSE)))</f>
        <v>0</v>
      </c>
      <c r="AY468" s="759" t="b">
        <f>IF($L468="",FALSE,IF($L468&lt;$BO468,TRUE,FALSE))</f>
        <v>0</v>
      </c>
      <c r="AZ468" s="759" t="b">
        <f>IF($L468="",FALSE,IF($L468&gt;$BP468,TRUE,FALSE))</f>
        <v>0</v>
      </c>
      <c r="BA468" s="759" t="b">
        <f>IF(H468=0,FALSE,IF(AND(E468&lt;&gt;"",$L468=""),TRUE,FALSE))</f>
        <v>0</v>
      </c>
      <c r="BB468" s="759" t="b">
        <f>IF(AND($AJ468&lt;&gt;0,$H468&lt;&gt;$BJ468,$N468="LF"),TRUE,IF(AND($AJ468&lt;&gt;0,$J468&lt;&gt;$AJ468,$N468="TF"),TRUE,IF(AND($AJ468&lt;&gt;0,$AJ468&lt;&gt;1,$N468="%"),TRUE,FALSE)))</f>
        <v>0</v>
      </c>
      <c r="BC468" s="759" t="b">
        <f>IF(AT468="No", IF(OR(P468="", R468="", T468="", V468="", X468="", Z468="", AB468="", AD468="", AF468="", AH468=""), TRUE, FALSE), FALSE)</f>
        <v>0</v>
      </c>
      <c r="BD468" s="759" t="b">
        <f>IF($BE468=TRUE,FALSE,IF(OR($AL468&lt;0,$AL468&gt;1),TRUE,FALSE))</f>
        <v>0</v>
      </c>
      <c r="BE468" s="759" t="b">
        <f>IF(AND($H468&lt;&gt;0,$AL468=""),TRUE,FALSE)</f>
        <v>0</v>
      </c>
      <c r="BF468" s="759" t="b">
        <f>IF(N468="%",TRUE,FALSE)</f>
        <v>0</v>
      </c>
      <c r="BG468" s="760"/>
      <c r="BH468" s="1678">
        <f>IF($C468="","",VLOOKUP($C468,val_fg_assets,9,FALSE))</f>
        <v>1</v>
      </c>
      <c r="BI468" s="1678" t="str">
        <f>IF(N468="", "", IF(N468="LF", H468, IF(N468="TF", J468, IF(N468="%", 1, ""))))</f>
        <v/>
      </c>
      <c r="BJ468" s="1679">
        <f>P468+R468+T468+V468+X468+Z468+AB468+AD468+AF468+AH468</f>
        <v>0</v>
      </c>
      <c r="BK468" s="1679" t="str">
        <f>IF(BI468="", "", BI468-BJ468)</f>
        <v/>
      </c>
      <c r="BL468" s="1679">
        <f>IF($C468="","",VLOOKUP($C468,val_fg_assets,3,FALSE))</f>
        <v>0</v>
      </c>
      <c r="BM468" s="1679">
        <f>IF($C468="","",VLOOKUP($C468,val_fg_assets,4,FALSE))</f>
        <v>1320000</v>
      </c>
      <c r="BN468" s="1678">
        <f>IF($C468="","",VLOOKUP($C468,val_fg_assets,5,FALSE))</f>
        <v>80</v>
      </c>
      <c r="BO468" s="1678">
        <f>IF($C468="","",VLOOKUP($C468,val_fg_assets,6,FALSE))</f>
        <v>60</v>
      </c>
      <c r="BP468" s="1678">
        <f>IF($C468="","",VLOOKUP($C468,val_fg_assets,7,FALSE))</f>
        <v>100</v>
      </c>
      <c r="BQ468" s="1399"/>
    </row>
    <row r="469" spans="1:69" s="782" customFormat="1" ht="3.95" customHeight="1" x14ac:dyDescent="0.2">
      <c r="A469" s="852"/>
      <c r="B469" s="1791">
        <v>457</v>
      </c>
      <c r="C469" s="1673"/>
      <c r="D469" s="1841"/>
      <c r="E469" s="1057"/>
      <c r="F469" s="764"/>
      <c r="G469" s="764"/>
      <c r="H469" s="1909"/>
      <c r="I469" s="1908"/>
      <c r="J469" s="1908"/>
      <c r="K469" s="1908"/>
      <c r="L469" s="1909"/>
      <c r="M469" s="1910"/>
      <c r="N469" s="1911"/>
      <c r="O469" s="1910"/>
      <c r="P469" s="1866"/>
      <c r="Q469" s="1867"/>
      <c r="R469" s="1866"/>
      <c r="S469" s="1867"/>
      <c r="T469" s="1866"/>
      <c r="U469" s="1867"/>
      <c r="V469" s="1866"/>
      <c r="W469" s="1867"/>
      <c r="X469" s="1866"/>
      <c r="Y469" s="1867"/>
      <c r="Z469" s="1867"/>
      <c r="AA469" s="1867"/>
      <c r="AB469" s="1867"/>
      <c r="AC469" s="1867"/>
      <c r="AD469" s="1867"/>
      <c r="AE469" s="1867"/>
      <c r="AF469" s="1867"/>
      <c r="AG469" s="1867"/>
      <c r="AH469" s="1867"/>
      <c r="AI469" s="837"/>
      <c r="AJ469" s="1806"/>
      <c r="AK469" s="841"/>
      <c r="AL469" s="1806"/>
      <c r="AM469" s="1399"/>
      <c r="AN469" s="838"/>
      <c r="AO469" s="1399"/>
      <c r="AP469" s="1399"/>
      <c r="AQ469" s="1399"/>
      <c r="AS469" s="1399"/>
      <c r="AT469" s="1399"/>
      <c r="AU469" s="759"/>
      <c r="AV469" s="759"/>
      <c r="AW469" s="759"/>
      <c r="AX469" s="759"/>
      <c r="AY469" s="759"/>
      <c r="AZ469" s="759"/>
      <c r="BA469" s="759"/>
      <c r="BB469" s="759"/>
      <c r="BC469" s="759"/>
      <c r="BD469" s="759"/>
      <c r="BE469" s="759"/>
      <c r="BF469" s="759"/>
      <c r="BG469" s="760"/>
      <c r="BH469" s="1678"/>
      <c r="BI469" s="1678"/>
      <c r="BJ469" s="1678"/>
      <c r="BK469" s="1678"/>
      <c r="BL469" s="1679"/>
      <c r="BM469" s="1679"/>
      <c r="BN469" s="1678"/>
      <c r="BO469" s="1678"/>
      <c r="BP469" s="1678"/>
      <c r="BQ469" s="1399"/>
    </row>
    <row r="470" spans="1:69" s="782" customFormat="1" ht="3.95" customHeight="1" thickBot="1" x14ac:dyDescent="0.25">
      <c r="A470" s="852"/>
      <c r="B470" s="1791">
        <v>458</v>
      </c>
      <c r="C470" s="851"/>
      <c r="D470" s="1841"/>
      <c r="E470" s="1058"/>
      <c r="F470" s="686"/>
      <c r="G470" s="686"/>
      <c r="H470" s="1913"/>
      <c r="I470" s="1908"/>
      <c r="J470" s="1908"/>
      <c r="K470" s="1908"/>
      <c r="L470" s="1909"/>
      <c r="M470" s="722"/>
      <c r="N470" s="1912"/>
      <c r="O470" s="722"/>
      <c r="P470" s="1868"/>
      <c r="Q470" s="1869"/>
      <c r="R470" s="1868"/>
      <c r="S470" s="1869"/>
      <c r="T470" s="1868"/>
      <c r="U470" s="1869"/>
      <c r="V470" s="1868"/>
      <c r="W470" s="1869"/>
      <c r="X470" s="1868"/>
      <c r="Y470" s="1869"/>
      <c r="Z470" s="1869"/>
      <c r="AA470" s="1869"/>
      <c r="AB470" s="1869"/>
      <c r="AC470" s="1869"/>
      <c r="AD470" s="1869"/>
      <c r="AE470" s="1869"/>
      <c r="AF470" s="1869"/>
      <c r="AG470" s="1869"/>
      <c r="AH470" s="1869"/>
      <c r="AI470" s="1670"/>
      <c r="AJ470" s="1828"/>
      <c r="AK470" s="724"/>
      <c r="AL470" s="1806"/>
      <c r="AM470" s="1399"/>
      <c r="AN470" s="1258"/>
      <c r="AO470" s="1399"/>
      <c r="AP470" s="1399"/>
      <c r="AQ470" s="1399"/>
      <c r="AS470" s="1399"/>
      <c r="AT470" s="1399"/>
      <c r="AU470" s="759"/>
      <c r="AV470" s="759"/>
      <c r="AW470" s="759"/>
      <c r="AX470" s="759"/>
      <c r="AY470" s="759"/>
      <c r="AZ470" s="759"/>
      <c r="BA470" s="759"/>
      <c r="BB470" s="759"/>
      <c r="BC470" s="759"/>
      <c r="BD470" s="759"/>
      <c r="BE470" s="759"/>
      <c r="BF470" s="759"/>
      <c r="BG470" s="760"/>
      <c r="BH470" s="1678"/>
      <c r="BI470" s="1678"/>
      <c r="BJ470" s="1678"/>
      <c r="BK470" s="1678"/>
      <c r="BL470" s="1679"/>
      <c r="BM470" s="1679"/>
      <c r="BN470" s="1678"/>
      <c r="BO470" s="1678"/>
      <c r="BP470" s="1678"/>
      <c r="BQ470" s="1399"/>
    </row>
    <row r="471" spans="1:69" s="782" customFormat="1" x14ac:dyDescent="0.2">
      <c r="A471" s="852">
        <f>A468+1</f>
        <v>116</v>
      </c>
      <c r="B471" s="1791">
        <v>459</v>
      </c>
      <c r="C471" s="851" t="str">
        <f>Valid!$B$74</f>
        <v>Elevated/Concrete</v>
      </c>
      <c r="D471" s="1841"/>
      <c r="E471" s="1245" t="str">
        <f>IF(AT471="N/A","",IF(AT471="N","No","Yes"))</f>
        <v/>
      </c>
      <c r="F471" s="764"/>
      <c r="G471" s="764"/>
      <c r="H471" s="1864"/>
      <c r="I471" s="1904" t="str">
        <f>IF(C458="","",IF(J471&lt;&gt;"","Linear Feet   ","Qty? Enter Zero if N/A  "))</f>
        <v/>
      </c>
      <c r="J471" s="1864"/>
      <c r="K471" s="1904" t="str">
        <f>IF(E471="yes","",IF(C458="","",IF(H471="","Qty? Enter Zero if N/A  ",IF(H471&lt;&gt;"","Track Feet      ",""))))</f>
        <v/>
      </c>
      <c r="L471" s="1864"/>
      <c r="M471" s="1620" t="str">
        <f>IF($H471=0,"",IF($L471="",TEXT(BN471,0)&amp;" Years?    ",""))</f>
        <v/>
      </c>
      <c r="N471" s="1905"/>
      <c r="O471" s="1620"/>
      <c r="P471" s="1864"/>
      <c r="Q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R471" s="1864"/>
      <c r="S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T471" s="1864"/>
      <c r="U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V471" s="1864"/>
      <c r="W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X471" s="1864"/>
      <c r="Y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Z471" s="1864"/>
      <c r="AA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B471" s="1864"/>
      <c r="AC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D471" s="1864"/>
      <c r="AE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F471" s="1864"/>
      <c r="AG471" s="1865"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H471" s="1864"/>
      <c r="AI471" s="904" t="str">
        <f>IF($N471="","",IF(AND($N471="",OR($H471="",$H471=0)),"",IF(AND($N471="LF",$AJ471&lt;$H471),"0 - "&amp;TEXT(($H471-$AJ471)/1000,"0")&amp;"k lin. ft.?    ",IF(AND($N471="TF",$AJ471&lt;$J471),"0 - "&amp;TEXT(($J471-$AJ471)/1000,"0")&amp;"k track ft.?    ",IF(AND($N471="%",$AJ471&lt;1),REPLACE(IF(AND($P471&gt;0,$V471&gt;0,$T471&gt;0,$X471&gt;0,$R471&gt;0,$Z471&gt;0,$AB471&gt;0,$AD471&gt;0,$AF471&gt;0,$AH471&gt;0),"","0-"),99,0,REPLACE(TEXT(100-$AJ471,0),99,0,"%?    ")),"")))))</f>
        <v/>
      </c>
      <c r="AJ471" s="1833">
        <f>IFERROR(IF(N471="%", SUM(P471,R471,T471,V471,X471,Z471,AB471,AD471,AF471,AH471)/100, SUM(P471,R471,T471,V471,X471,Z471,AB471,AD471,AF471,AH471)/IF(N471="LF", H471,J471)), 0)</f>
        <v>0</v>
      </c>
      <c r="AK471" s="1648"/>
      <c r="AL471" s="1675"/>
      <c r="AM471" s="1399"/>
      <c r="AN471" s="1808"/>
      <c r="AO471" s="1399"/>
      <c r="AP471" s="1653"/>
      <c r="AQ471" s="1399"/>
      <c r="AS471" s="1399"/>
      <c r="AT471" s="1624" t="str">
        <f>IF(AND($C$458="", H471="", J471=""), "N/A", IF(OR(AND(ISNUMBER(H471), ISNUMBER(J471), H471=0, J471=0), AND(AJ471=1, H471&lt;&gt;"", J471&lt;&gt;"", L471&lt;&gt;"", N471&lt;&gt;"", P471&lt;&gt;"", R471&lt;&gt;"", T471&lt;&gt;"", V471&lt;&gt;"", X471&lt;&gt;"", Z471&lt;&gt;"", AB471&lt;&gt;"", AD471&lt;&gt;"", AF471&lt;&gt;"", AH471&lt;&gt;"",AL471&lt;&gt;"", IF(AND(AL471&lt;1, AN471=""), FALSE, TRUE))), "Yes", "No"))</f>
        <v>N/A</v>
      </c>
      <c r="AU471" s="759" t="b">
        <f>IF(AND(H471="",OR(L471&lt;&gt;"",P471&lt;&gt;"",R471&lt;&gt;"",T471&lt;&gt;"",V471&lt;&gt;"",X471&lt;&gt;"",AL471&lt;&gt;"",Z471&lt;&gt;"",AB471&lt;&gt;"",AD471&lt;&gt;"",AF471&lt;&gt;"",AH471&lt;&gt;"")),TRUE,FALSE)</f>
        <v>0</v>
      </c>
      <c r="AV471" s="759" t="b">
        <f>IF(OR(H471="",H471=0),FALSE,IF(H471&gt;BM471,TRUE,FALSE))</f>
        <v>0</v>
      </c>
      <c r="AW471" s="759" t="b">
        <f>IF(AND($C$458&lt;&gt;"",$H471=""),TRUE,FALSE)</f>
        <v>0</v>
      </c>
      <c r="AX471" s="759" t="b">
        <f>IF(E471="yes",FALSE,IF(H471="0",FALSE,IF(AND($C$458&lt;&gt;"",J471=""),TRUE,FALSE)))</f>
        <v>0</v>
      </c>
      <c r="AY471" s="759" t="b">
        <f>IF($L471="",FALSE,IF($L471&lt;$BO471,TRUE,FALSE))</f>
        <v>0</v>
      </c>
      <c r="AZ471" s="759" t="b">
        <f>IF($L471="",FALSE,IF($L471&gt;$BP471,TRUE,FALSE))</f>
        <v>0</v>
      </c>
      <c r="BA471" s="759" t="b">
        <f>IF(H471=0,FALSE,IF(AND(E471&lt;&gt;"",$L471=""),TRUE,FALSE))</f>
        <v>0</v>
      </c>
      <c r="BB471" s="759" t="b">
        <f>IF(AND($AJ471&lt;&gt;0,$H471&lt;&gt;$BJ471,$N471="LF"),TRUE,IF(AND($AJ471&lt;&gt;0,$J471&lt;&gt;$AJ471,$N471="TF"),TRUE,IF(AND($AJ471&lt;&gt;0,$AJ471&lt;&gt;1,$N471="%"),TRUE,FALSE)))</f>
        <v>0</v>
      </c>
      <c r="BC471" s="759" t="b">
        <f>IF(AT471="No", IF(OR(P471="", R471="", T471="", V471="", X471="", Z471="", AB471="", AD471="", AF471="", AH471=""), TRUE, FALSE), FALSE)</f>
        <v>0</v>
      </c>
      <c r="BD471" s="759" t="b">
        <f>IF($BE471=TRUE,FALSE,IF(OR($AL471&lt;0,$AL471&gt;1),TRUE,FALSE))</f>
        <v>0</v>
      </c>
      <c r="BE471" s="759" t="b">
        <f>IF(AND($H471&lt;&gt;0,$AL471=""),TRUE,FALSE)</f>
        <v>0</v>
      </c>
      <c r="BF471" s="759" t="b">
        <f>IF(N471="%",TRUE,FALSE)</f>
        <v>0</v>
      </c>
      <c r="BG471" s="760"/>
      <c r="BH471" s="1678">
        <f>IF($C471="","",VLOOKUP($C471,val_fg_assets,9,FALSE))</f>
        <v>1</v>
      </c>
      <c r="BI471" s="1678" t="str">
        <f>IF(N471="", "", IF(N471="LF", H471, IF(N471="TF", J471, IF(N471="%", 1, ""))))</f>
        <v/>
      </c>
      <c r="BJ471" s="1679">
        <f>P471+R471+T471+V471+X471+Z471+AB471+AD471+AF471+AH471</f>
        <v>0</v>
      </c>
      <c r="BK471" s="1679" t="str">
        <f>IF(BI471="", "", BI471-BJ471)</f>
        <v/>
      </c>
      <c r="BL471" s="1679">
        <f>IF($C471="","",VLOOKUP($C471,val_fg_assets,3,FALSE))</f>
        <v>0</v>
      </c>
      <c r="BM471" s="1679">
        <f>IF($C471="","",VLOOKUP($C471,val_fg_assets,4,FALSE))</f>
        <v>1320000</v>
      </c>
      <c r="BN471" s="1678">
        <f>IF($C471="","",VLOOKUP($C471,val_fg_assets,5,FALSE))</f>
        <v>80</v>
      </c>
      <c r="BO471" s="1678">
        <f>IF($C471="","",VLOOKUP($C471,val_fg_assets,6,FALSE))</f>
        <v>60</v>
      </c>
      <c r="BP471" s="1678">
        <f>IF($C471="","",VLOOKUP($C471,val_fg_assets,7,FALSE))</f>
        <v>100</v>
      </c>
      <c r="BQ471" s="1399"/>
    </row>
    <row r="472" spans="1:69" s="782" customFormat="1" ht="3.95" customHeight="1" x14ac:dyDescent="0.2">
      <c r="A472" s="852"/>
      <c r="B472" s="1790">
        <v>460</v>
      </c>
      <c r="C472" s="851"/>
      <c r="D472" s="1841"/>
      <c r="E472" s="1058"/>
      <c r="F472" s="686"/>
      <c r="G472" s="686"/>
      <c r="H472" s="1909"/>
      <c r="I472" s="1907"/>
      <c r="J472" s="1908"/>
      <c r="K472" s="1907"/>
      <c r="L472" s="1909"/>
      <c r="M472" s="1910"/>
      <c r="N472" s="1911"/>
      <c r="O472" s="1910"/>
      <c r="P472" s="1866"/>
      <c r="Q472" s="1867"/>
      <c r="R472" s="1866"/>
      <c r="S472" s="1867"/>
      <c r="T472" s="1866"/>
      <c r="U472" s="1867"/>
      <c r="V472" s="1866"/>
      <c r="W472" s="1867"/>
      <c r="X472" s="1866"/>
      <c r="Y472" s="1867"/>
      <c r="Z472" s="1867"/>
      <c r="AA472" s="1867"/>
      <c r="AB472" s="1867"/>
      <c r="AC472" s="1867"/>
      <c r="AD472" s="1867"/>
      <c r="AE472" s="1867"/>
      <c r="AF472" s="1867"/>
      <c r="AG472" s="1867"/>
      <c r="AH472" s="1867"/>
      <c r="AI472" s="837"/>
      <c r="AJ472" s="1806"/>
      <c r="AK472" s="841"/>
      <c r="AL472" s="1806"/>
      <c r="AM472" s="1399"/>
      <c r="AN472" s="838"/>
      <c r="AO472" s="1399"/>
      <c r="AP472" s="1223"/>
      <c r="AQ472" s="1399"/>
      <c r="AS472" s="1399"/>
      <c r="AT472" s="1399"/>
      <c r="AU472" s="759"/>
      <c r="AV472" s="759"/>
      <c r="AW472" s="759"/>
      <c r="AX472" s="759"/>
      <c r="AY472" s="759"/>
      <c r="AZ472" s="759"/>
      <c r="BA472" s="759"/>
      <c r="BB472" s="759"/>
      <c r="BC472" s="759"/>
      <c r="BD472" s="759"/>
      <c r="BE472" s="759"/>
      <c r="BF472" s="759"/>
      <c r="BG472" s="760"/>
      <c r="BH472" s="1678"/>
      <c r="BI472" s="1678"/>
      <c r="BJ472" s="1678"/>
      <c r="BK472" s="1678"/>
      <c r="BL472" s="1679"/>
      <c r="BM472" s="1679"/>
      <c r="BN472" s="1678"/>
      <c r="BO472" s="1678"/>
      <c r="BP472" s="1678"/>
      <c r="BQ472" s="1399"/>
    </row>
    <row r="473" spans="1:69" s="782" customFormat="1" ht="3.95" customHeight="1" thickBot="1" x14ac:dyDescent="0.25">
      <c r="A473" s="852"/>
      <c r="B473" s="1790">
        <v>461</v>
      </c>
      <c r="C473" s="1673"/>
      <c r="D473" s="1841"/>
      <c r="E473" s="1057"/>
      <c r="F473" s="764"/>
      <c r="G473" s="764"/>
      <c r="H473" s="1913"/>
      <c r="I473" s="1908"/>
      <c r="J473" s="1908"/>
      <c r="K473" s="1908"/>
      <c r="L473" s="1909"/>
      <c r="M473" s="722"/>
      <c r="N473" s="1912"/>
      <c r="O473" s="722"/>
      <c r="P473" s="1868"/>
      <c r="Q473" s="1869"/>
      <c r="R473" s="1868"/>
      <c r="S473" s="1869"/>
      <c r="T473" s="1868"/>
      <c r="U473" s="1869"/>
      <c r="V473" s="1868"/>
      <c r="W473" s="1869"/>
      <c r="X473" s="1868"/>
      <c r="Y473" s="1869"/>
      <c r="Z473" s="1869"/>
      <c r="AA473" s="1869"/>
      <c r="AB473" s="1869"/>
      <c r="AC473" s="1869"/>
      <c r="AD473" s="1869"/>
      <c r="AE473" s="1869"/>
      <c r="AF473" s="1869"/>
      <c r="AG473" s="1869"/>
      <c r="AH473" s="1869"/>
      <c r="AI473" s="1670"/>
      <c r="AJ473" s="1828"/>
      <c r="AK473" s="724"/>
      <c r="AL473" s="1806"/>
      <c r="AM473" s="1399"/>
      <c r="AN473" s="1258"/>
      <c r="AO473" s="1399"/>
      <c r="AP473" s="1399"/>
      <c r="AQ473" s="1399"/>
      <c r="AS473" s="1399"/>
      <c r="AT473" s="1399"/>
      <c r="AU473" s="759"/>
      <c r="AV473" s="759"/>
      <c r="AW473" s="759"/>
      <c r="AX473" s="759"/>
      <c r="AY473" s="759"/>
      <c r="AZ473" s="759"/>
      <c r="BA473" s="759"/>
      <c r="BB473" s="759"/>
      <c r="BC473" s="759"/>
      <c r="BD473" s="759"/>
      <c r="BE473" s="759"/>
      <c r="BF473" s="759"/>
      <c r="BG473" s="760"/>
      <c r="BH473" s="1678"/>
      <c r="BI473" s="1678"/>
      <c r="BJ473" s="1678"/>
      <c r="BK473" s="1678"/>
      <c r="BL473" s="1679"/>
      <c r="BM473" s="1679"/>
      <c r="BN473" s="1678"/>
      <c r="BO473" s="1678"/>
      <c r="BP473" s="1678"/>
      <c r="BQ473" s="1399"/>
    </row>
    <row r="474" spans="1:69" s="782" customFormat="1" x14ac:dyDescent="0.2">
      <c r="A474" s="852">
        <f>A471+1</f>
        <v>117</v>
      </c>
      <c r="B474" s="1791">
        <v>462</v>
      </c>
      <c r="C474" s="851" t="str">
        <f>Valid!$B$75</f>
        <v>Elevated/Steel Viaduct or Bridge</v>
      </c>
      <c r="D474" s="1841"/>
      <c r="E474" s="1245" t="str">
        <f>IF(AT474="N/A","",IF(AT474="N","No","Yes"))</f>
        <v/>
      </c>
      <c r="F474" s="686"/>
      <c r="G474" s="686"/>
      <c r="H474" s="1864"/>
      <c r="I474" s="1904" t="str">
        <f>IF(C458="","",IF(J474&lt;&gt;"","Linear Feet   ","Qty? Enter Zero if N/A  "))</f>
        <v/>
      </c>
      <c r="J474" s="1864"/>
      <c r="K474" s="1904" t="str">
        <f>IF(E474="yes","",IF(C458="","",IF(H474="","Qty? Enter Zero if N/A  ",IF(H474&lt;&gt;"","Track Feet      ",""))))</f>
        <v/>
      </c>
      <c r="L474" s="1864"/>
      <c r="M474" s="1620" t="str">
        <f>IF($H474=0,"",IF($L474="",TEXT(BN474,0)&amp;" Years?    ",""))</f>
        <v/>
      </c>
      <c r="N474" s="1905"/>
      <c r="O474" s="1620"/>
      <c r="P474" s="1864"/>
      <c r="Q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R474" s="1864"/>
      <c r="S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T474" s="1864"/>
      <c r="U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V474" s="1864"/>
      <c r="W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X474" s="1864"/>
      <c r="Y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Z474" s="1864"/>
      <c r="AA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B474" s="1864"/>
      <c r="AC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D474" s="1864"/>
      <c r="AE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F474" s="1864"/>
      <c r="AG474" s="1865"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H474" s="1864"/>
      <c r="AI474" s="904" t="str">
        <f>IF($N474="","",IF(AND($N474="",OR($H474="",$H474=0)),"",IF(AND($N474="LF",$AJ474&lt;$H474),"0 - "&amp;TEXT(($H474-$AJ474)/1000,"0")&amp;"k lin. ft.?    ",IF(AND($N474="TF",$AJ474&lt;$J474),"0 - "&amp;TEXT(($J474-$AJ474)/1000,"0")&amp;"k track ft.?    ",IF(AND($N474="%",$AJ474&lt;1),REPLACE(IF(AND($P474&gt;0,$V474&gt;0,$T474&gt;0,$X474&gt;0,$R474&gt;0,$Z474&gt;0,$AB474&gt;0,$AD474&gt;0,$AF474&gt;0,$AH474&gt;0),"","0-"),99,0,REPLACE(TEXT(100-$AJ474,0),99,0,"%?    ")),"")))))</f>
        <v/>
      </c>
      <c r="AJ474" s="1833">
        <f>IFERROR(IF(N474="%", SUM(P474,R474,T474,V474,X474,Z474,AB474,AD474,AF474,AH474)/100, SUM(P474,R474,T474,V474,X474,Z474,AB474,AD474,AF474,AH474)/IF(N474="LF", H474,J474)), 0)</f>
        <v>0</v>
      </c>
      <c r="AK474" s="1648"/>
      <c r="AL474" s="1675"/>
      <c r="AM474" s="1399"/>
      <c r="AN474" s="1808"/>
      <c r="AO474" s="1399"/>
      <c r="AP474" s="1653"/>
      <c r="AQ474" s="1399"/>
      <c r="AS474" s="1399"/>
      <c r="AT474" s="1624" t="str">
        <f>IF(AND($C$458="", H474="", J474=""), "N/A", IF(OR(AND(ISNUMBER(H474), ISNUMBER(J474), H474=0, J474=0), AND(AJ474=1, H474&lt;&gt;"", J474&lt;&gt;"", L474&lt;&gt;"", N474&lt;&gt;"", P474&lt;&gt;"", R474&lt;&gt;"", T474&lt;&gt;"", V474&lt;&gt;"", X474&lt;&gt;"", Z474&lt;&gt;"", AB474&lt;&gt;"", AD474&lt;&gt;"", AF474&lt;&gt;"", AH474&lt;&gt;"",AL474&lt;&gt;"", IF(AND(AL474&lt;1, AN474=""), FALSE, TRUE))), "Yes", "No"))</f>
        <v>N/A</v>
      </c>
      <c r="AU474" s="759" t="b">
        <f>IF(AND(H474="",OR(L474&lt;&gt;"",P474&lt;&gt;"",R474&lt;&gt;"",T474&lt;&gt;"",V474&lt;&gt;"",X474&lt;&gt;"",AL474&lt;&gt;"",Z474&lt;&gt;"",AB474&lt;&gt;"",AD474&lt;&gt;"",AF474&lt;&gt;"",AH474&lt;&gt;"")),TRUE,FALSE)</f>
        <v>0</v>
      </c>
      <c r="AV474" s="759" t="b">
        <f>IF(OR(H474="",H474=0),FALSE,IF(H474&gt;BM474,TRUE,FALSE))</f>
        <v>0</v>
      </c>
      <c r="AW474" s="759" t="b">
        <f>IF(AND($C$458&lt;&gt;"",$H474=""),TRUE,FALSE)</f>
        <v>0</v>
      </c>
      <c r="AX474" s="759" t="b">
        <f>IF(E474="yes",FALSE,IF(H474="0",FALSE,IF(AND($C$458&lt;&gt;"",J474=""),TRUE,FALSE)))</f>
        <v>0</v>
      </c>
      <c r="AY474" s="759" t="b">
        <f>IF($L474="",FALSE,IF($L474&lt;$BO474,TRUE,FALSE))</f>
        <v>0</v>
      </c>
      <c r="AZ474" s="759" t="b">
        <f>IF($L474="",FALSE,IF($L474&gt;$BP474,TRUE,FALSE))</f>
        <v>0</v>
      </c>
      <c r="BA474" s="759" t="b">
        <f>IF(H474=0,FALSE,IF(AND(E474&lt;&gt;"",$L474=""),TRUE,FALSE))</f>
        <v>0</v>
      </c>
      <c r="BB474" s="759" t="b">
        <f>IF(AND($AJ474&lt;&gt;0,$H474&lt;&gt;$BJ474,$N474="LF"),TRUE,IF(AND($AJ474&lt;&gt;0,$J474&lt;&gt;$AJ474,$N474="TF"),TRUE,IF(AND($AJ474&lt;&gt;0,$AJ474&lt;&gt;1,$N474="%"),TRUE,FALSE)))</f>
        <v>0</v>
      </c>
      <c r="BC474" s="759" t="b">
        <f>IF(AT474="No", IF(OR(P474="", R474="", T474="", V474="", X474="", Z474="", AB474="", AD474="", AF474="", AH474=""), TRUE, FALSE), FALSE)</f>
        <v>0</v>
      </c>
      <c r="BD474" s="759" t="b">
        <f>IF($BE474=TRUE,FALSE,IF(OR($AL474&lt;0,$AL474&gt;1),TRUE,FALSE))</f>
        <v>0</v>
      </c>
      <c r="BE474" s="759" t="b">
        <f>IF(AND($H474&lt;&gt;0,$AL474=""),TRUE,FALSE)</f>
        <v>0</v>
      </c>
      <c r="BF474" s="759" t="b">
        <f>IF(N474="%",TRUE,FALSE)</f>
        <v>0</v>
      </c>
      <c r="BG474" s="760"/>
      <c r="BH474" s="1678">
        <f>IF($C474="","",VLOOKUP($C474,val_fg_assets,9,FALSE))</f>
        <v>1</v>
      </c>
      <c r="BI474" s="1678" t="str">
        <f>IF(N474="", "", IF(N474="LF", H474, IF(N474="TF", J474, IF(N474="%", 1, ""))))</f>
        <v/>
      </c>
      <c r="BJ474" s="1679">
        <f>P474+R474+T474+V474+X474+Z474+AB474+AD474+AF474+AH474</f>
        <v>0</v>
      </c>
      <c r="BK474" s="1679" t="str">
        <f>IF(BI474="", "", BI474-BJ474)</f>
        <v/>
      </c>
      <c r="BL474" s="1679">
        <f>IF($C474="","",VLOOKUP($C474,val_fg_assets,3,FALSE))</f>
        <v>0</v>
      </c>
      <c r="BM474" s="1679">
        <f>IF($C474="","",VLOOKUP($C474,val_fg_assets,4,FALSE))</f>
        <v>1320000</v>
      </c>
      <c r="BN474" s="1678">
        <f>IF($C474="","",VLOOKUP($C474,val_fg_assets,5,FALSE))</f>
        <v>80</v>
      </c>
      <c r="BO474" s="1678">
        <f>IF($C474="","",VLOOKUP($C474,val_fg_assets,6,FALSE))</f>
        <v>60</v>
      </c>
      <c r="BP474" s="1678">
        <f>IF($C474="","",VLOOKUP($C474,val_fg_assets,7,FALSE))</f>
        <v>100</v>
      </c>
      <c r="BQ474" s="1399"/>
    </row>
    <row r="475" spans="1:69" s="782" customFormat="1" ht="3.95" customHeight="1" x14ac:dyDescent="0.2">
      <c r="A475" s="852"/>
      <c r="B475" s="1791">
        <v>463</v>
      </c>
      <c r="C475" s="1673"/>
      <c r="D475" s="1841"/>
      <c r="E475" s="1057"/>
      <c r="F475" s="764"/>
      <c r="G475" s="686">
        <v>7</v>
      </c>
      <c r="H475" s="1906"/>
      <c r="I475" s="1907"/>
      <c r="J475" s="1908"/>
      <c r="K475" s="1907"/>
      <c r="L475" s="1909"/>
      <c r="M475" s="1910"/>
      <c r="N475" s="1911"/>
      <c r="O475" s="1910"/>
      <c r="P475" s="1866"/>
      <c r="Q475" s="1867"/>
      <c r="R475" s="1866"/>
      <c r="S475" s="1867"/>
      <c r="T475" s="1866"/>
      <c r="U475" s="1867"/>
      <c r="V475" s="1866"/>
      <c r="W475" s="1867"/>
      <c r="X475" s="1866"/>
      <c r="Y475" s="1867"/>
      <c r="Z475" s="1867"/>
      <c r="AA475" s="1867"/>
      <c r="AB475" s="1867"/>
      <c r="AC475" s="1867"/>
      <c r="AD475" s="1867"/>
      <c r="AE475" s="1867"/>
      <c r="AF475" s="1867"/>
      <c r="AG475" s="1867"/>
      <c r="AH475" s="1867"/>
      <c r="AI475" s="837"/>
      <c r="AJ475" s="1806"/>
      <c r="AK475" s="841"/>
      <c r="AL475" s="1806"/>
      <c r="AM475" s="1399"/>
      <c r="AN475" s="838"/>
      <c r="AO475" s="1399"/>
      <c r="AP475" s="1399"/>
      <c r="AQ475" s="1399"/>
      <c r="AS475" s="1399"/>
      <c r="AT475" s="1399"/>
      <c r="AU475" s="759"/>
      <c r="AV475" s="759"/>
      <c r="AW475" s="759"/>
      <c r="AX475" s="759"/>
      <c r="AY475" s="759"/>
      <c r="AZ475" s="759"/>
      <c r="BA475" s="759"/>
      <c r="BB475" s="759"/>
      <c r="BC475" s="759"/>
      <c r="BD475" s="759"/>
      <c r="BE475" s="759"/>
      <c r="BF475" s="759"/>
      <c r="BG475" s="760"/>
      <c r="BH475" s="1678"/>
      <c r="BI475" s="1678"/>
      <c r="BJ475" s="1678"/>
      <c r="BK475" s="1678"/>
      <c r="BL475" s="1679"/>
      <c r="BM475" s="1679"/>
      <c r="BN475" s="1678"/>
      <c r="BO475" s="1678"/>
      <c r="BP475" s="1678"/>
      <c r="BQ475" s="1399"/>
    </row>
    <row r="476" spans="1:69" s="782" customFormat="1" ht="3.95" customHeight="1" thickBot="1" x14ac:dyDescent="0.25">
      <c r="A476" s="852"/>
      <c r="B476" s="1791">
        <v>464</v>
      </c>
      <c r="C476" s="1673"/>
      <c r="D476" s="1841"/>
      <c r="E476" s="1057"/>
      <c r="F476" s="764"/>
      <c r="G476" s="764">
        <v>8</v>
      </c>
      <c r="H476" s="1906"/>
      <c r="I476" s="1907"/>
      <c r="J476" s="1908"/>
      <c r="K476" s="1907"/>
      <c r="L476" s="1909"/>
      <c r="M476" s="722"/>
      <c r="N476" s="1912"/>
      <c r="O476" s="722"/>
      <c r="P476" s="1868"/>
      <c r="Q476" s="1869"/>
      <c r="R476" s="1868"/>
      <c r="S476" s="1869"/>
      <c r="T476" s="1868"/>
      <c r="U476" s="1869"/>
      <c r="V476" s="1868"/>
      <c r="W476" s="1869"/>
      <c r="X476" s="1868"/>
      <c r="Y476" s="1869"/>
      <c r="Z476" s="1869"/>
      <c r="AA476" s="1869"/>
      <c r="AB476" s="1869"/>
      <c r="AC476" s="1869"/>
      <c r="AD476" s="1869"/>
      <c r="AE476" s="1869"/>
      <c r="AF476" s="1869"/>
      <c r="AG476" s="1869"/>
      <c r="AH476" s="1869"/>
      <c r="AI476" s="1670"/>
      <c r="AJ476" s="1828"/>
      <c r="AK476" s="724"/>
      <c r="AL476" s="1806"/>
      <c r="AM476" s="1399"/>
      <c r="AN476" s="1258"/>
      <c r="AO476" s="1399"/>
      <c r="AP476" s="1223"/>
      <c r="AQ476" s="1399"/>
      <c r="AS476" s="1399"/>
      <c r="AT476" s="1399"/>
      <c r="AU476" s="759"/>
      <c r="AV476" s="759"/>
      <c r="AW476" s="759"/>
      <c r="AX476" s="759"/>
      <c r="AY476" s="759"/>
      <c r="AZ476" s="759"/>
      <c r="BA476" s="759"/>
      <c r="BB476" s="759"/>
      <c r="BC476" s="759"/>
      <c r="BD476" s="759"/>
      <c r="BE476" s="759"/>
      <c r="BF476" s="759"/>
      <c r="BG476" s="760"/>
      <c r="BH476" s="1678"/>
      <c r="BI476" s="1678"/>
      <c r="BJ476" s="1678"/>
      <c r="BK476" s="1678"/>
      <c r="BL476" s="1679"/>
      <c r="BM476" s="1679"/>
      <c r="BN476" s="1678"/>
      <c r="BO476" s="1678"/>
      <c r="BP476" s="1678"/>
      <c r="BQ476" s="1399"/>
    </row>
    <row r="477" spans="1:69" s="782" customFormat="1" x14ac:dyDescent="0.2">
      <c r="A477" s="852">
        <f>A474+1</f>
        <v>118</v>
      </c>
      <c r="B477" s="1790">
        <v>465</v>
      </c>
      <c r="C477" s="851" t="str">
        <f>Valid!$B$76</f>
        <v>Below-Grade/Retained Cut</v>
      </c>
      <c r="D477" s="1841"/>
      <c r="E477" s="1245" t="str">
        <f>IF(AT477="N/A","",IF(AT477="N","No","Yes"))</f>
        <v/>
      </c>
      <c r="F477" s="686"/>
      <c r="G477" s="686"/>
      <c r="H477" s="1864"/>
      <c r="I477" s="1904" t="str">
        <f>IF(C458="","",IF(J477&lt;&gt;"","Linear Feet   ","Qty? Enter Zero if N/A  "))</f>
        <v/>
      </c>
      <c r="J477" s="1864"/>
      <c r="K477" s="1904" t="str">
        <f>IF(E477="yes","",IF(C458="","",IF(H477="","Qty? Enter Zero if N/A  ",IF(H477&lt;&gt;"","Track Feet      ",""))))</f>
        <v/>
      </c>
      <c r="L477" s="1864"/>
      <c r="M477" s="1620" t="str">
        <f>IF($H477=0,"",IF($L477="",TEXT(BN477,0)&amp;" Years?    ",""))</f>
        <v/>
      </c>
      <c r="N477" s="1905"/>
      <c r="O477" s="1620"/>
      <c r="P477" s="1864"/>
      <c r="Q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R477" s="1864"/>
      <c r="S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T477" s="1864"/>
      <c r="U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V477" s="1864"/>
      <c r="W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X477" s="1864"/>
      <c r="Y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Z477" s="1864"/>
      <c r="AA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B477" s="1864"/>
      <c r="AC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D477" s="1864"/>
      <c r="AE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F477" s="1864"/>
      <c r="AG477" s="1865"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H477" s="1864"/>
      <c r="AI477" s="904" t="str">
        <f>IF($N477="","",IF(AND($N477="",OR($H477="",$H477=0)),"",IF(AND($N477="LF",$AJ477&lt;$H477),"0 - "&amp;TEXT(($H477-$AJ477)/1000,"0")&amp;"k lin. ft.?    ",IF(AND($N477="TF",$AJ477&lt;$J477),"0 - "&amp;TEXT(($J477-$AJ477)/1000,"0")&amp;"k track ft.?    ",IF(AND($N477="%",$AJ477&lt;1),REPLACE(IF(AND($P477&gt;0,$V477&gt;0,$T477&gt;0,$X477&gt;0,$R477&gt;0,$Z477&gt;0,$AB477&gt;0,$AD477&gt;0,$AF477&gt;0,$AH477&gt;0),"","0-"),99,0,REPLACE(TEXT(100-$AJ477,0),99,0,"%?    ")),"")))))</f>
        <v/>
      </c>
      <c r="AJ477" s="1833">
        <f>IFERROR(IF(N477="%", SUM(P477,R477,T477,V477,X477,Z477,AB477,AD477,AF477,AH477)/100, SUM(P477,R477,T477,V477,X477,Z477,AB477,AD477,AF477,AH477)/IF(N477="LF", H477,J477)), 0)</f>
        <v>0</v>
      </c>
      <c r="AK477" s="1648"/>
      <c r="AL477" s="1675"/>
      <c r="AM477" s="1399"/>
      <c r="AN477" s="1808"/>
      <c r="AO477" s="1399"/>
      <c r="AP477" s="1653"/>
      <c r="AQ477" s="1399"/>
      <c r="AS477" s="1399"/>
      <c r="AT477" s="1624" t="str">
        <f>IF(AND($C$458="", H477="", J477=""), "N/A", IF(OR(AND(ISNUMBER(H477), ISNUMBER(J477), H477=0, J477=0), AND(AJ477=1, H477&lt;&gt;"", J477&lt;&gt;"", L477&lt;&gt;"", N477&lt;&gt;"", P477&lt;&gt;"", R477&lt;&gt;"", T477&lt;&gt;"", V477&lt;&gt;"", X477&lt;&gt;"", Z477&lt;&gt;"", AB477&lt;&gt;"", AD477&lt;&gt;"", AF477&lt;&gt;"", AH477&lt;&gt;"",AL477&lt;&gt;"", IF(AND(AL477&lt;1, AN477=""), FALSE, TRUE))), "Yes", "No"))</f>
        <v>N/A</v>
      </c>
      <c r="AU477" s="759" t="b">
        <f>IF(AND(H477="",OR(L477&lt;&gt;"",P477&lt;&gt;"",R477&lt;&gt;"",T477&lt;&gt;"",V477&lt;&gt;"",X477&lt;&gt;"",AL477&lt;&gt;"",Z477&lt;&gt;"",AB477&lt;&gt;"",AD477&lt;&gt;"",AF477&lt;&gt;"",AH477&lt;&gt;"")),TRUE,FALSE)</f>
        <v>0</v>
      </c>
      <c r="AV477" s="759" t="b">
        <f>IF(OR(H477="",H477=0),FALSE,IF(H477&gt;BM477,TRUE,FALSE))</f>
        <v>0</v>
      </c>
      <c r="AW477" s="759" t="b">
        <f>IF(AND($C$458&lt;&gt;"",$H477=""),TRUE,FALSE)</f>
        <v>0</v>
      </c>
      <c r="AX477" s="759" t="b">
        <f>IF(E477="yes",FALSE,IF(H477="0",FALSE,IF(AND($C$458&lt;&gt;"",J477=""),TRUE,FALSE)))</f>
        <v>0</v>
      </c>
      <c r="AY477" s="759" t="b">
        <f>IF($L477="",FALSE,IF($L477&lt;$BO477,TRUE,FALSE))</f>
        <v>0</v>
      </c>
      <c r="AZ477" s="759" t="b">
        <f>IF($L477="",FALSE,IF($L477&gt;$BP477,TRUE,FALSE))</f>
        <v>0</v>
      </c>
      <c r="BA477" s="759" t="b">
        <f>IF(H477=0,FALSE,IF(AND(E477&lt;&gt;"",$L477=""),TRUE,FALSE))</f>
        <v>0</v>
      </c>
      <c r="BB477" s="759" t="b">
        <f>IF(AND($AJ477&lt;&gt;0,$H477&lt;&gt;$BJ477,$N477="LF"),TRUE,IF(AND($AJ477&lt;&gt;0,$J477&lt;&gt;$AJ477,$N477="TF"),TRUE,IF(AND($AJ477&lt;&gt;0,$AJ477&lt;&gt;1,$N477="%"),TRUE,FALSE)))</f>
        <v>0</v>
      </c>
      <c r="BC477" s="759" t="b">
        <f>IF(AT477="No", IF(OR(P477="", R477="", T477="", V477="", X477="", Z477="", AB477="", AD477="", AF477="", AH477=""), TRUE, FALSE), FALSE)</f>
        <v>0</v>
      </c>
      <c r="BD477" s="759" t="b">
        <f>IF($BE477=TRUE,FALSE,IF(OR($AL477&lt;0,$AL477&gt;1),TRUE,FALSE))</f>
        <v>0</v>
      </c>
      <c r="BE477" s="759" t="b">
        <f>IF(AND($H477&lt;&gt;0,$AL477=""),TRUE,FALSE)</f>
        <v>0</v>
      </c>
      <c r="BF477" s="759" t="b">
        <f>IF(N477="%",TRUE,FALSE)</f>
        <v>0</v>
      </c>
      <c r="BG477" s="760"/>
      <c r="BH477" s="1678">
        <f>IF($C477="","",VLOOKUP($C477,val_fg_assets,9,FALSE))</f>
        <v>1</v>
      </c>
      <c r="BI477" s="1678" t="str">
        <f>IF(N477="", "", IF(N477="LF", H477, IF(N477="TF", J477, IF(N477="%", 1, ""))))</f>
        <v/>
      </c>
      <c r="BJ477" s="1679">
        <f>P477+R477+T477+V477+X477+Z477+AB477+AD477+AF477+AH477</f>
        <v>0</v>
      </c>
      <c r="BK477" s="1679" t="str">
        <f>IF(BI477="", "", BI477-BJ477)</f>
        <v/>
      </c>
      <c r="BL477" s="1679">
        <f>IF($C477="","",VLOOKUP($C477,val_fg_assets,3,FALSE))</f>
        <v>0</v>
      </c>
      <c r="BM477" s="1679">
        <f>IF($C477="","",VLOOKUP($C477,val_fg_assets,4,FALSE))</f>
        <v>1320000</v>
      </c>
      <c r="BN477" s="1678">
        <f>IF($C477="","",VLOOKUP($C477,val_fg_assets,5,FALSE))</f>
        <v>80</v>
      </c>
      <c r="BO477" s="1678">
        <f>IF($C477="","",VLOOKUP($C477,val_fg_assets,6,FALSE))</f>
        <v>60</v>
      </c>
      <c r="BP477" s="1678">
        <f>IF($C477="","",VLOOKUP($C477,val_fg_assets,7,FALSE))</f>
        <v>100</v>
      </c>
      <c r="BQ477" s="1399"/>
    </row>
    <row r="478" spans="1:69" s="782" customFormat="1" ht="3.95" customHeight="1" x14ac:dyDescent="0.2">
      <c r="A478" s="852"/>
      <c r="B478" s="1790">
        <v>466</v>
      </c>
      <c r="C478" s="851"/>
      <c r="D478" s="1841"/>
      <c r="E478" s="1059"/>
      <c r="F478" s="686"/>
      <c r="G478" s="686"/>
      <c r="H478" s="1913"/>
      <c r="I478" s="1908"/>
      <c r="J478" s="1908"/>
      <c r="K478" s="1908"/>
      <c r="L478" s="1909"/>
      <c r="M478" s="722"/>
      <c r="N478" s="1912"/>
      <c r="O478" s="722"/>
      <c r="P478" s="1866"/>
      <c r="Q478" s="1867"/>
      <c r="R478" s="1866"/>
      <c r="S478" s="1867"/>
      <c r="T478" s="1866"/>
      <c r="U478" s="1867"/>
      <c r="V478" s="1866"/>
      <c r="W478" s="1867"/>
      <c r="X478" s="1866"/>
      <c r="Y478" s="1867"/>
      <c r="Z478" s="1867"/>
      <c r="AA478" s="1867"/>
      <c r="AB478" s="1867"/>
      <c r="AC478" s="1867"/>
      <c r="AD478" s="1867"/>
      <c r="AE478" s="1867"/>
      <c r="AF478" s="1867"/>
      <c r="AG478" s="1867"/>
      <c r="AH478" s="1867"/>
      <c r="AI478" s="837"/>
      <c r="AJ478" s="1828"/>
      <c r="AK478" s="724"/>
      <c r="AL478" s="1806"/>
      <c r="AM478" s="1399"/>
      <c r="AN478" s="1258"/>
      <c r="AO478" s="1399"/>
      <c r="AP478" s="1399"/>
      <c r="AQ478" s="1399"/>
      <c r="AS478" s="1399"/>
      <c r="AT478" s="1399"/>
      <c r="AU478" s="759"/>
      <c r="AV478" s="759"/>
      <c r="AW478" s="759"/>
      <c r="AX478" s="759"/>
      <c r="AY478" s="759"/>
      <c r="AZ478" s="759"/>
      <c r="BA478" s="759"/>
      <c r="BB478" s="759"/>
      <c r="BC478" s="759"/>
      <c r="BD478" s="759"/>
      <c r="BE478" s="759"/>
      <c r="BF478" s="759"/>
      <c r="BG478" s="760"/>
      <c r="BH478" s="1678"/>
      <c r="BI478" s="1678"/>
      <c r="BJ478" s="1678"/>
      <c r="BK478" s="1678"/>
      <c r="BL478" s="1679"/>
      <c r="BM478" s="1679"/>
      <c r="BN478" s="1678"/>
      <c r="BO478" s="1678"/>
      <c r="BP478" s="1678"/>
      <c r="BQ478" s="1399"/>
    </row>
    <row r="479" spans="1:69" s="782" customFormat="1" ht="3.95" customHeight="1" thickBot="1" x14ac:dyDescent="0.25">
      <c r="A479" s="852"/>
      <c r="B479" s="1791">
        <v>467</v>
      </c>
      <c r="C479" s="851"/>
      <c r="D479" s="1841"/>
      <c r="E479" s="1059"/>
      <c r="F479" s="686"/>
      <c r="G479" s="686"/>
      <c r="H479" s="1913"/>
      <c r="I479" s="1908"/>
      <c r="J479" s="1908"/>
      <c r="K479" s="1908"/>
      <c r="L479" s="1909"/>
      <c r="M479" s="722"/>
      <c r="N479" s="1912"/>
      <c r="O479" s="722"/>
      <c r="P479" s="1868"/>
      <c r="Q479" s="1869"/>
      <c r="R479" s="1868"/>
      <c r="S479" s="1869"/>
      <c r="T479" s="1868"/>
      <c r="U479" s="1869"/>
      <c r="V479" s="1868"/>
      <c r="W479" s="1869"/>
      <c r="X479" s="1868"/>
      <c r="Y479" s="1869"/>
      <c r="Z479" s="1869"/>
      <c r="AA479" s="1869"/>
      <c r="AB479" s="1869"/>
      <c r="AC479" s="1869"/>
      <c r="AD479" s="1869"/>
      <c r="AE479" s="1869"/>
      <c r="AF479" s="1869"/>
      <c r="AG479" s="1869"/>
      <c r="AH479" s="1869"/>
      <c r="AI479" s="1670"/>
      <c r="AJ479" s="1828"/>
      <c r="AK479" s="724"/>
      <c r="AL479" s="1806"/>
      <c r="AM479" s="1399"/>
      <c r="AN479" s="1258"/>
      <c r="AO479" s="1399"/>
      <c r="AP479" s="1399"/>
      <c r="AQ479" s="1399"/>
      <c r="AS479" s="1399"/>
      <c r="AT479" s="1399"/>
      <c r="AU479" s="759"/>
      <c r="AV479" s="759"/>
      <c r="AW479" s="759"/>
      <c r="AX479" s="759"/>
      <c r="AY479" s="759"/>
      <c r="AZ479" s="759"/>
      <c r="BA479" s="759"/>
      <c r="BB479" s="759"/>
      <c r="BC479" s="759"/>
      <c r="BD479" s="759"/>
      <c r="BE479" s="759"/>
      <c r="BF479" s="759"/>
      <c r="BG479" s="760"/>
      <c r="BH479" s="1678"/>
      <c r="BI479" s="1678"/>
      <c r="BJ479" s="1678"/>
      <c r="BK479" s="1678"/>
      <c r="BL479" s="1679"/>
      <c r="BM479" s="1679"/>
      <c r="BN479" s="1678"/>
      <c r="BO479" s="1678"/>
      <c r="BP479" s="1678"/>
      <c r="BQ479" s="1399"/>
    </row>
    <row r="480" spans="1:69" s="782" customFormat="1" x14ac:dyDescent="0.2">
      <c r="A480" s="852">
        <f>A477+1</f>
        <v>119</v>
      </c>
      <c r="B480" s="1791">
        <v>468</v>
      </c>
      <c r="C480" s="851" t="str">
        <f>Valid!$B$77</f>
        <v>Below-Grade/Cut-and-Cover Tunnel</v>
      </c>
      <c r="D480" s="1841"/>
      <c r="E480" s="1245" t="str">
        <f>IF(AT480="N/A","",IF(AT480="N","No","Yes"))</f>
        <v/>
      </c>
      <c r="F480" s="686"/>
      <c r="G480" s="686"/>
      <c r="H480" s="1864"/>
      <c r="I480" s="1904" t="str">
        <f>IF(C458="","",IF(J480&lt;&gt;"","Linear Feet   ","Qty? Enter Zero if N/A  "))</f>
        <v/>
      </c>
      <c r="J480" s="1864"/>
      <c r="K480" s="1904" t="str">
        <f>IF(E480="yes","",IF(C458="","",IF(H480="","Qty? Enter Zero if N/A  ",IF(H480&lt;&gt;"","Track Feet      ",""))))</f>
        <v/>
      </c>
      <c r="L480" s="1864"/>
      <c r="M480" s="1620" t="str">
        <f>IF($H480=0,"",IF($L480="",TEXT(BN480,0)&amp;" Years?    ",""))</f>
        <v/>
      </c>
      <c r="N480" s="1905"/>
      <c r="O480" s="1620"/>
      <c r="P480" s="1864"/>
      <c r="Q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R480" s="1864"/>
      <c r="S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T480" s="1864"/>
      <c r="U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V480" s="1864"/>
      <c r="W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X480" s="1864"/>
      <c r="Y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Z480" s="1864"/>
      <c r="AA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B480" s="1864"/>
      <c r="AC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D480" s="1864"/>
      <c r="AE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F480" s="1864"/>
      <c r="AG480" s="1865"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H480" s="1864"/>
      <c r="AI480" s="904" t="str">
        <f>IF($N480="","",IF(AND($N480="",OR($H480="",$H480=0)),"",IF(AND($N480="LF",$AJ480&lt;$H480),"0 - "&amp;TEXT(($H480-$AJ480)/1000,"0")&amp;"k lin. ft.?    ",IF(AND($N480="TF",$AJ480&lt;$J480),"0 - "&amp;TEXT(($J480-$AJ480)/1000,"0")&amp;"k track ft.?    ",IF(AND($N480="%",$AJ480&lt;1),REPLACE(IF(AND($P480&gt;0,$V480&gt;0,$T480&gt;0,$X480&gt;0,$R480&gt;0,$Z480&gt;0,$AB480&gt;0,$AD480&gt;0,$AF480&gt;0,$AH480&gt;0),"","0-"),99,0,REPLACE(TEXT(100-$AJ480,0),99,0,"%?    ")),"")))))</f>
        <v/>
      </c>
      <c r="AJ480" s="1833">
        <f>IFERROR(IF(N480="%", SUM(P480,R480,T480,V480,X480,Z480,AB480,AD480,AF480,AH480)/100, SUM(P480,R480,T480,V480,X480,Z480,AB480,AD480,AF480,AH480)/IF(N480="LF", H480,J480)), 0)</f>
        <v>0</v>
      </c>
      <c r="AK480" s="1648"/>
      <c r="AL480" s="1675"/>
      <c r="AM480" s="1399"/>
      <c r="AN480" s="1671"/>
      <c r="AO480" s="1399"/>
      <c r="AP480" s="1653"/>
      <c r="AQ480" s="1399"/>
      <c r="AS480" s="1399"/>
      <c r="AT480" s="1624" t="str">
        <f>IF(AND($C$458="", H480="", J480=""), "N/A", IF(OR(AND(ISNUMBER(H480), ISNUMBER(J480), H480=0, J480=0), AND(AJ480=1, H480&lt;&gt;"", J480&lt;&gt;"", L480&lt;&gt;"", N480&lt;&gt;"", P480&lt;&gt;"", R480&lt;&gt;"", T480&lt;&gt;"", V480&lt;&gt;"", X480&lt;&gt;"", Z480&lt;&gt;"", AB480&lt;&gt;"", AD480&lt;&gt;"", AF480&lt;&gt;"", AH480&lt;&gt;"",AL480&lt;&gt;"", IF(AND(AL480&lt;1, AN480=""), FALSE, TRUE))), "Yes", "No"))</f>
        <v>N/A</v>
      </c>
      <c r="AU480" s="759" t="b">
        <f>IF(AND(H480="",OR(L480&lt;&gt;"",P480&lt;&gt;"",R480&lt;&gt;"",T480&lt;&gt;"",V480&lt;&gt;"",X480&lt;&gt;"",AL480&lt;&gt;"",Z480&lt;&gt;"",AB480&lt;&gt;"",AD480&lt;&gt;"",AF480&lt;&gt;"",AH480&lt;&gt;"")),TRUE,FALSE)</f>
        <v>0</v>
      </c>
      <c r="AV480" s="759" t="b">
        <f>IF(OR(H480="",H480=0),FALSE,IF(H480&gt;BM480,TRUE,FALSE))</f>
        <v>0</v>
      </c>
      <c r="AW480" s="759" t="b">
        <f>IF(AND($C$458&lt;&gt;"",$H480=""),TRUE,FALSE)</f>
        <v>0</v>
      </c>
      <c r="AX480" s="759" t="b">
        <f>IF(E480="yes",FALSE,IF(H480="0",FALSE,IF(AND($C$458&lt;&gt;"",J480=""),TRUE,FALSE)))</f>
        <v>0</v>
      </c>
      <c r="AY480" s="759" t="b">
        <f>IF($L480="",FALSE,IF($L480&lt;$BO480,TRUE,FALSE))</f>
        <v>0</v>
      </c>
      <c r="AZ480" s="759" t="b">
        <f>IF($L480="",FALSE,IF($L480&gt;$BP480,TRUE,FALSE))</f>
        <v>0</v>
      </c>
      <c r="BA480" s="759" t="b">
        <f>IF(H480=0,FALSE,IF(AND(E480&lt;&gt;"",$L480=""),TRUE,FALSE))</f>
        <v>0</v>
      </c>
      <c r="BB480" s="759" t="b">
        <f>IF(AND($AJ480&lt;&gt;0,$H480&lt;&gt;$BJ480,$N480="LF"),TRUE,IF(AND($AJ480&lt;&gt;0,$J480&lt;&gt;$AJ480,$N480="TF"),TRUE,IF(AND($AJ480&lt;&gt;0,$AJ480&lt;&gt;1,$N480="%"),TRUE,FALSE)))</f>
        <v>0</v>
      </c>
      <c r="BC480" s="759" t="b">
        <f>IF(AT480="No", IF(OR(P480="", R480="", T480="", V480="", X480="", Z480="", AB480="", AD480="", AF480="", AH480=""), TRUE, FALSE), FALSE)</f>
        <v>0</v>
      </c>
      <c r="BD480" s="759" t="b">
        <f>IF($BE480=TRUE,FALSE,IF(OR($AL480&lt;0,$AL480&gt;1),TRUE,FALSE))</f>
        <v>0</v>
      </c>
      <c r="BE480" s="759" t="b">
        <f>IF(AND($H480&lt;&gt;0,$AL480=""),TRUE,FALSE)</f>
        <v>0</v>
      </c>
      <c r="BF480" s="759" t="b">
        <f>IF(N480="%",TRUE,FALSE)</f>
        <v>0</v>
      </c>
      <c r="BG480" s="760"/>
      <c r="BH480" s="1678">
        <f>IF($C480="","",VLOOKUP($C480,val_fg_assets,9,FALSE))</f>
        <v>1</v>
      </c>
      <c r="BI480" s="1678" t="str">
        <f>IF(N480="", "", IF(N480="LF", H480, IF(N480="TF", J480, IF(N480="%", 1, ""))))</f>
        <v/>
      </c>
      <c r="BJ480" s="1679">
        <f>P480+R480+T480+V480+X480+Z480+AB480+AD480+AF480+AH480</f>
        <v>0</v>
      </c>
      <c r="BK480" s="1679" t="str">
        <f>IF(BI480="", "", BI480-BJ480)</f>
        <v/>
      </c>
      <c r="BL480" s="1679">
        <f>IF($C480="","",VLOOKUP($C480,val_fg_assets,3,FALSE))</f>
        <v>0</v>
      </c>
      <c r="BM480" s="1679">
        <f>IF($C480="","",VLOOKUP($C480,val_fg_assets,4,FALSE))</f>
        <v>1320000</v>
      </c>
      <c r="BN480" s="1678">
        <f>IF($C480="","",VLOOKUP($C480,val_fg_assets,5,FALSE))</f>
        <v>80</v>
      </c>
      <c r="BO480" s="1678">
        <f>IF($C480="","",VLOOKUP($C480,val_fg_assets,6,FALSE))</f>
        <v>60</v>
      </c>
      <c r="BP480" s="1678">
        <f>IF($C480="","",VLOOKUP($C480,val_fg_assets,7,FALSE))</f>
        <v>100</v>
      </c>
      <c r="BQ480" s="1399"/>
    </row>
    <row r="481" spans="1:69" s="782" customFormat="1" ht="3.95" customHeight="1" x14ac:dyDescent="0.2">
      <c r="A481" s="852"/>
      <c r="B481" s="1791">
        <v>469</v>
      </c>
      <c r="C481" s="1673"/>
      <c r="D481" s="1841"/>
      <c r="E481" s="1057"/>
      <c r="F481" s="764"/>
      <c r="G481" s="686">
        <v>7</v>
      </c>
      <c r="H481" s="1906"/>
      <c r="I481" s="1907"/>
      <c r="J481" s="1908"/>
      <c r="K481" s="1907"/>
      <c r="L481" s="1909"/>
      <c r="M481" s="1910"/>
      <c r="N481" s="1911"/>
      <c r="O481" s="1910"/>
      <c r="P481" s="1866"/>
      <c r="Q481" s="1867"/>
      <c r="R481" s="1866"/>
      <c r="S481" s="1867"/>
      <c r="T481" s="1866"/>
      <c r="U481" s="1867"/>
      <c r="V481" s="1866"/>
      <c r="W481" s="1867"/>
      <c r="X481" s="1866"/>
      <c r="Y481" s="1867"/>
      <c r="Z481" s="1867"/>
      <c r="AA481" s="1867"/>
      <c r="AB481" s="1867"/>
      <c r="AC481" s="1867"/>
      <c r="AD481" s="1867"/>
      <c r="AE481" s="1867"/>
      <c r="AF481" s="1867"/>
      <c r="AG481" s="1867"/>
      <c r="AH481" s="1867"/>
      <c r="AI481" s="837"/>
      <c r="AJ481" s="1806"/>
      <c r="AK481" s="841"/>
      <c r="AL481" s="1806"/>
      <c r="AM481" s="1399"/>
      <c r="AN481" s="838"/>
      <c r="AO481" s="1399"/>
      <c r="AP481" s="1223"/>
      <c r="AQ481" s="1399"/>
      <c r="AS481" s="1399"/>
      <c r="AT481" s="1399"/>
      <c r="AU481" s="759"/>
      <c r="AV481" s="759"/>
      <c r="AW481" s="759"/>
      <c r="AX481" s="759"/>
      <c r="AY481" s="759"/>
      <c r="AZ481" s="759"/>
      <c r="BA481" s="759"/>
      <c r="BB481" s="759"/>
      <c r="BC481" s="759"/>
      <c r="BD481" s="759"/>
      <c r="BE481" s="759"/>
      <c r="BF481" s="759"/>
      <c r="BG481" s="760"/>
      <c r="BH481" s="1678"/>
      <c r="BI481" s="1678"/>
      <c r="BJ481" s="1678"/>
      <c r="BK481" s="1678"/>
      <c r="BL481" s="1679"/>
      <c r="BM481" s="1679"/>
      <c r="BN481" s="1678"/>
      <c r="BO481" s="1678"/>
      <c r="BP481" s="1678"/>
      <c r="BQ481" s="1399"/>
    </row>
    <row r="482" spans="1:69" s="782" customFormat="1" ht="3.95" customHeight="1" thickBot="1" x14ac:dyDescent="0.25">
      <c r="A482" s="852"/>
      <c r="B482" s="1790">
        <v>470</v>
      </c>
      <c r="C482" s="1673"/>
      <c r="D482" s="1841"/>
      <c r="E482" s="1057"/>
      <c r="F482" s="764"/>
      <c r="G482" s="764">
        <v>8</v>
      </c>
      <c r="H482" s="1906"/>
      <c r="I482" s="1907"/>
      <c r="J482" s="1908"/>
      <c r="K482" s="1907"/>
      <c r="L482" s="1909"/>
      <c r="M482" s="722"/>
      <c r="N482" s="1912"/>
      <c r="O482" s="722"/>
      <c r="P482" s="1868"/>
      <c r="Q482" s="1869"/>
      <c r="R482" s="1868"/>
      <c r="S482" s="1869"/>
      <c r="T482" s="1868"/>
      <c r="U482" s="1869"/>
      <c r="V482" s="1868"/>
      <c r="W482" s="1869"/>
      <c r="X482" s="1868"/>
      <c r="Y482" s="1869"/>
      <c r="Z482" s="1869"/>
      <c r="AA482" s="1869"/>
      <c r="AB482" s="1869"/>
      <c r="AC482" s="1869"/>
      <c r="AD482" s="1869"/>
      <c r="AE482" s="1869"/>
      <c r="AF482" s="1869"/>
      <c r="AG482" s="1869"/>
      <c r="AH482" s="1869"/>
      <c r="AI482" s="1670"/>
      <c r="AJ482" s="1828"/>
      <c r="AK482" s="724"/>
      <c r="AL482" s="1806"/>
      <c r="AM482" s="1399"/>
      <c r="AN482" s="1258"/>
      <c r="AO482" s="1399"/>
      <c r="AP482" s="1399"/>
      <c r="AQ482" s="1399"/>
      <c r="AS482" s="1399"/>
      <c r="AT482" s="1399"/>
      <c r="AU482" s="759"/>
      <c r="AV482" s="759"/>
      <c r="AW482" s="759"/>
      <c r="AX482" s="759"/>
      <c r="AY482" s="759"/>
      <c r="AZ482" s="759"/>
      <c r="BA482" s="759"/>
      <c r="BB482" s="759"/>
      <c r="BC482" s="759"/>
      <c r="BD482" s="759"/>
      <c r="BE482" s="759"/>
      <c r="BF482" s="759"/>
      <c r="BG482" s="760"/>
      <c r="BH482" s="1678"/>
      <c r="BI482" s="1678"/>
      <c r="BJ482" s="1678"/>
      <c r="BK482" s="1678"/>
      <c r="BL482" s="1679"/>
      <c r="BM482" s="1679"/>
      <c r="BN482" s="1678"/>
      <c r="BO482" s="1678"/>
      <c r="BP482" s="1678"/>
      <c r="BQ482" s="1399"/>
    </row>
    <row r="483" spans="1:69" s="782" customFormat="1" x14ac:dyDescent="0.2">
      <c r="A483" s="852">
        <f>A480+1</f>
        <v>120</v>
      </c>
      <c r="B483" s="1790">
        <v>471</v>
      </c>
      <c r="C483" s="851" t="str">
        <f>Valid!$B$78</f>
        <v>Below-Grade/Bored or Blasted Tunnel</v>
      </c>
      <c r="D483" s="1841"/>
      <c r="E483" s="1245" t="str">
        <f>IF(AT483="N/A","",IF(AT483="N","No","Yes"))</f>
        <v/>
      </c>
      <c r="F483" s="686"/>
      <c r="G483" s="686"/>
      <c r="H483" s="1864"/>
      <c r="I483" s="1904" t="str">
        <f>IF(C458="","",IF(J483&lt;&gt;"","Linear Feet   ","Qty? Enter Zero if N/A  "))</f>
        <v/>
      </c>
      <c r="J483" s="1864"/>
      <c r="K483" s="1904" t="str">
        <f>IF(E483="yes","",IF(C458="","",IF(H483="","Qty? Enter Zero if N/A  ",IF(H483&lt;&gt;"","Track Feet      ",""))))</f>
        <v/>
      </c>
      <c r="L483" s="1864"/>
      <c r="M483" s="1620" t="str">
        <f>IF($H483=0,"",IF($L483="",TEXT(BN483,0)&amp;" Years?    ",""))</f>
        <v/>
      </c>
      <c r="N483" s="1905"/>
      <c r="O483" s="1620"/>
      <c r="P483" s="1864"/>
      <c r="Q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R483" s="1864"/>
      <c r="S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T483" s="1864"/>
      <c r="U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V483" s="1864"/>
      <c r="W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X483" s="1864"/>
      <c r="Y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Z483" s="1864"/>
      <c r="AA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B483" s="1864"/>
      <c r="AC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D483" s="1864"/>
      <c r="AE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F483" s="1864"/>
      <c r="AG483" s="1865"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H483" s="1864"/>
      <c r="AI483" s="904" t="str">
        <f>IF($N483="","",IF(AND($N483="",OR($H483="",$H483=0)),"",IF(AND($N483="LF",$AJ483&lt;$H483),"0 - "&amp;TEXT(($H483-$AJ483)/1000,"0")&amp;"k lin. ft.?    ",IF(AND($N483="TF",$AJ483&lt;$J483),"0 - "&amp;TEXT(($J483-$AJ483)/1000,"0")&amp;"k track ft.?    ",IF(AND($N483="%",$AJ483&lt;1),REPLACE(IF(AND($P483&gt;0,$V483&gt;0,$T483&gt;0,$X483&gt;0,$R483&gt;0,$Z483&gt;0,$AB483&gt;0,$AD483&gt;0,$AF483&gt;0,$AH483&gt;0),"","0-"),99,0,REPLACE(TEXT(100-$AJ483,0),99,0,"%?    ")),"")))))</f>
        <v/>
      </c>
      <c r="AJ483" s="1833">
        <f>IFERROR(IF(N483="%", SUM(P483,R483,T483,V483,X483,Z483,AB483,AD483,AF483,AH483)/100, SUM(P483,R483,T483,V483,X483,Z483,AB483,AD483,AF483,AH483)/IF(N483="LF", H483,J483)), 0)</f>
        <v>0</v>
      </c>
      <c r="AK483" s="1648"/>
      <c r="AL483" s="1675"/>
      <c r="AM483" s="1399"/>
      <c r="AN483" s="1671"/>
      <c r="AO483" s="1399"/>
      <c r="AP483" s="1653"/>
      <c r="AQ483" s="1399"/>
      <c r="AS483" s="1399"/>
      <c r="AT483" s="1624" t="str">
        <f>IF(AND($C$458="", H483="", J483=""), "N/A", IF(OR(AND(ISNUMBER(H483), ISNUMBER(J483), H483=0, J483=0), AND(AJ483=1, H483&lt;&gt;"", J483&lt;&gt;"", L483&lt;&gt;"", N483&lt;&gt;"", P483&lt;&gt;"", R483&lt;&gt;"", T483&lt;&gt;"", V483&lt;&gt;"", X483&lt;&gt;"", Z483&lt;&gt;"", AB483&lt;&gt;"", AD483&lt;&gt;"", AF483&lt;&gt;"", AH483&lt;&gt;"",AL483&lt;&gt;"", IF(AND(AL483&lt;1, AN483=""), FALSE, TRUE))), "Yes", "No"))</f>
        <v>N/A</v>
      </c>
      <c r="AU483" s="759" t="b">
        <f>IF(AND(H483="",OR(L483&lt;&gt;"",P483&lt;&gt;"",R483&lt;&gt;"",T483&lt;&gt;"",V483&lt;&gt;"",X483&lt;&gt;"",AL483&lt;&gt;"",Z483&lt;&gt;"",AB483&lt;&gt;"",AD483&lt;&gt;"",AF483&lt;&gt;"",AH483&lt;&gt;"")),TRUE,FALSE)</f>
        <v>0</v>
      </c>
      <c r="AV483" s="759" t="b">
        <f>IF(OR(H483="",H483=0),FALSE,IF(H483&gt;BM483,TRUE,FALSE))</f>
        <v>0</v>
      </c>
      <c r="AW483" s="759" t="b">
        <f>IF(AND($C$458&lt;&gt;"",$H483=""),TRUE,FALSE)</f>
        <v>0</v>
      </c>
      <c r="AX483" s="759" t="b">
        <f>IF(E483="yes",FALSE,IF(H483="0",FALSE,IF(AND($C$458&lt;&gt;"",J483=""),TRUE,FALSE)))</f>
        <v>0</v>
      </c>
      <c r="AY483" s="759" t="b">
        <f>IF($L483="",FALSE,IF($L483&lt;$BO483,TRUE,FALSE))</f>
        <v>0</v>
      </c>
      <c r="AZ483" s="759" t="b">
        <f>IF($L483="",FALSE,IF($L483&gt;$BP483,TRUE,FALSE))</f>
        <v>0</v>
      </c>
      <c r="BA483" s="759" t="b">
        <f>IF(H483=0,FALSE,IF(AND(E483&lt;&gt;"",$L483=""),TRUE,FALSE))</f>
        <v>0</v>
      </c>
      <c r="BB483" s="759" t="b">
        <f>IF(AND($AJ483&lt;&gt;0,$H483&lt;&gt;$BJ483,$N483="LF"),TRUE,IF(AND($AJ483&lt;&gt;0,$J483&lt;&gt;$AJ483,$N483="TF"),TRUE,IF(AND($AJ483&lt;&gt;0,$AJ483&lt;&gt;1,$N483="%"),TRUE,FALSE)))</f>
        <v>0</v>
      </c>
      <c r="BC483" s="759" t="b">
        <f>IF(AT483="No", IF(OR(P483="", R483="", T483="", V483="", X483="", Z483="", AB483="", AD483="", AF483="", AH483=""), TRUE, FALSE), FALSE)</f>
        <v>0</v>
      </c>
      <c r="BD483" s="759" t="b">
        <f>IF($BE483=TRUE,FALSE,IF(OR($AL483&lt;0,$AL483&gt;1),TRUE,FALSE))</f>
        <v>0</v>
      </c>
      <c r="BE483" s="759" t="b">
        <f>IF(AND($H483&lt;&gt;0,$AL483=""),TRUE,FALSE)</f>
        <v>0</v>
      </c>
      <c r="BF483" s="759" t="b">
        <f>IF(N483="%",TRUE,FALSE)</f>
        <v>0</v>
      </c>
      <c r="BG483" s="760"/>
      <c r="BH483" s="1678">
        <f>IF($C483="","",VLOOKUP($C483,val_fg_assets,9,FALSE))</f>
        <v>1</v>
      </c>
      <c r="BI483" s="1678" t="str">
        <f>IF(N483="", "", IF(N483="LF", H483, IF(N483="TF", J483, IF(N483="%", 1, ""))))</f>
        <v/>
      </c>
      <c r="BJ483" s="1679">
        <f>P483+R483+T483+V483+X483+Z483+AB483+AD483+AF483+AH483</f>
        <v>0</v>
      </c>
      <c r="BK483" s="1679" t="str">
        <f>IF(BI483="", "", BI483-BJ483)</f>
        <v/>
      </c>
      <c r="BL483" s="1679">
        <f>IF($C483="","",VLOOKUP($C483,val_fg_assets,3,FALSE))</f>
        <v>0</v>
      </c>
      <c r="BM483" s="1679">
        <f>IF($C483="","",VLOOKUP($C483,val_fg_assets,4,FALSE))</f>
        <v>1320000</v>
      </c>
      <c r="BN483" s="1678">
        <f>IF($C483="","",VLOOKUP($C483,val_fg_assets,5,FALSE))</f>
        <v>80</v>
      </c>
      <c r="BO483" s="1678">
        <f>IF($C483="","",VLOOKUP($C483,val_fg_assets,6,FALSE))</f>
        <v>60</v>
      </c>
      <c r="BP483" s="1678">
        <f>IF($C483="","",VLOOKUP($C483,val_fg_assets,7,FALSE))</f>
        <v>100</v>
      </c>
      <c r="BQ483" s="1399"/>
    </row>
    <row r="484" spans="1:69" s="782" customFormat="1" ht="3.95" customHeight="1" x14ac:dyDescent="0.2">
      <c r="A484" s="852"/>
      <c r="B484" s="1791">
        <v>472</v>
      </c>
      <c r="C484" s="1673"/>
      <c r="D484" s="1841"/>
      <c r="E484" s="1057"/>
      <c r="F484" s="764"/>
      <c r="G484" s="764"/>
      <c r="H484" s="1909"/>
      <c r="I484" s="1908"/>
      <c r="J484" s="1908"/>
      <c r="K484" s="1908"/>
      <c r="L484" s="1909"/>
      <c r="M484" s="1910"/>
      <c r="N484" s="1911"/>
      <c r="O484" s="1910"/>
      <c r="P484" s="1866"/>
      <c r="Q484" s="1867"/>
      <c r="R484" s="1866"/>
      <c r="S484" s="1867"/>
      <c r="T484" s="1866"/>
      <c r="U484" s="1867"/>
      <c r="V484" s="1866"/>
      <c r="W484" s="1867"/>
      <c r="X484" s="1866"/>
      <c r="Y484" s="1867"/>
      <c r="Z484" s="1867"/>
      <c r="AA484" s="1867"/>
      <c r="AB484" s="1867"/>
      <c r="AC484" s="1867"/>
      <c r="AD484" s="1867"/>
      <c r="AE484" s="1867"/>
      <c r="AF484" s="1867"/>
      <c r="AG484" s="1867"/>
      <c r="AH484" s="1867"/>
      <c r="AI484" s="837"/>
      <c r="AJ484" s="1806"/>
      <c r="AK484" s="841"/>
      <c r="AL484" s="1806"/>
      <c r="AM484" s="1399"/>
      <c r="AN484" s="838"/>
      <c r="AO484" s="1399"/>
      <c r="AP484" s="1399"/>
      <c r="AQ484" s="1399"/>
      <c r="AS484" s="1399"/>
      <c r="AT484" s="1399"/>
      <c r="AU484" s="759"/>
      <c r="AV484" s="759"/>
      <c r="AW484" s="759"/>
      <c r="AX484" s="759"/>
      <c r="AY484" s="759"/>
      <c r="AZ484" s="759"/>
      <c r="BA484" s="759"/>
      <c r="BB484" s="759"/>
      <c r="BC484" s="759"/>
      <c r="BD484" s="759"/>
      <c r="BE484" s="759"/>
      <c r="BF484" s="759"/>
      <c r="BG484" s="760"/>
      <c r="BH484" s="1678"/>
      <c r="BI484" s="1678"/>
      <c r="BJ484" s="1678"/>
      <c r="BK484" s="1678"/>
      <c r="BL484" s="1679"/>
      <c r="BM484" s="1679"/>
      <c r="BN484" s="1678"/>
      <c r="BO484" s="1678"/>
      <c r="BP484" s="1678"/>
      <c r="BQ484" s="1399"/>
    </row>
    <row r="485" spans="1:69" s="782" customFormat="1" ht="3.95" customHeight="1" thickBot="1" x14ac:dyDescent="0.25">
      <c r="A485" s="852"/>
      <c r="B485" s="1791">
        <v>473</v>
      </c>
      <c r="C485" s="851"/>
      <c r="D485" s="1841"/>
      <c r="E485" s="1058"/>
      <c r="F485" s="686"/>
      <c r="G485" s="686"/>
      <c r="H485" s="1909"/>
      <c r="I485" s="1908"/>
      <c r="J485" s="1908"/>
      <c r="K485" s="1908"/>
      <c r="L485" s="1909"/>
      <c r="M485" s="722"/>
      <c r="N485" s="1912"/>
      <c r="O485" s="722"/>
      <c r="P485" s="1868"/>
      <c r="Q485" s="1869"/>
      <c r="R485" s="1868"/>
      <c r="S485" s="1869"/>
      <c r="T485" s="1868"/>
      <c r="U485" s="1869"/>
      <c r="V485" s="1868"/>
      <c r="W485" s="1869"/>
      <c r="X485" s="1868"/>
      <c r="Y485" s="1869"/>
      <c r="Z485" s="1869"/>
      <c r="AA485" s="1869"/>
      <c r="AB485" s="1869"/>
      <c r="AC485" s="1869"/>
      <c r="AD485" s="1869"/>
      <c r="AE485" s="1869"/>
      <c r="AF485" s="1869"/>
      <c r="AG485" s="1869"/>
      <c r="AH485" s="1869"/>
      <c r="AI485" s="1670"/>
      <c r="AJ485" s="1828"/>
      <c r="AK485" s="724"/>
      <c r="AL485" s="1806"/>
      <c r="AM485" s="1399"/>
      <c r="AN485" s="1258"/>
      <c r="AO485" s="1399"/>
      <c r="AP485" s="1399"/>
      <c r="AQ485" s="1399"/>
      <c r="AS485" s="1399"/>
      <c r="AT485" s="1399"/>
      <c r="AU485" s="759"/>
      <c r="AV485" s="759"/>
      <c r="AW485" s="759"/>
      <c r="AX485" s="759"/>
      <c r="AY485" s="759"/>
      <c r="AZ485" s="759"/>
      <c r="BA485" s="759"/>
      <c r="BB485" s="759"/>
      <c r="BC485" s="759"/>
      <c r="BD485" s="759"/>
      <c r="BE485" s="759"/>
      <c r="BF485" s="759"/>
      <c r="BG485" s="760"/>
      <c r="BH485" s="1678"/>
      <c r="BI485" s="1678"/>
      <c r="BJ485" s="1678"/>
      <c r="BK485" s="1678"/>
      <c r="BL485" s="1679"/>
      <c r="BM485" s="1679"/>
      <c r="BN485" s="1678"/>
      <c r="BO485" s="1678"/>
      <c r="BP485" s="1678"/>
      <c r="BQ485" s="1399"/>
    </row>
    <row r="486" spans="1:69" s="782" customFormat="1" x14ac:dyDescent="0.2">
      <c r="A486" s="852">
        <f>A483+1</f>
        <v>121</v>
      </c>
      <c r="B486" s="1791">
        <v>474</v>
      </c>
      <c r="C486" s="851" t="str">
        <f>Valid!$B$79</f>
        <v>Below-Grade/Submerged Tube</v>
      </c>
      <c r="D486" s="1841"/>
      <c r="E486" s="1245" t="str">
        <f>IF(AT486="N/A","",IF(AT486="N","No","Yes"))</f>
        <v/>
      </c>
      <c r="F486" s="764"/>
      <c r="G486" s="764"/>
      <c r="H486" s="1864"/>
      <c r="I486" s="1904" t="str">
        <f>IF(C458="","",IF(J486&lt;&gt;"","Linear Feet   ","Qty? Enter Zero if N/A  "))</f>
        <v/>
      </c>
      <c r="J486" s="1864"/>
      <c r="K486" s="1904" t="str">
        <f>IF(E486="yes","",IF(C458="","",IF(H486="","Qty? Enter Zero if N/A  ",IF(H486&lt;&gt;"","Track Feet      ",""))))</f>
        <v/>
      </c>
      <c r="L486" s="1864"/>
      <c r="M486" s="1620" t="str">
        <f>IF($H486=0,"",IF($L486="",TEXT(BN486,0)&amp;" Years?    ",""))</f>
        <v/>
      </c>
      <c r="N486" s="1905"/>
      <c r="O486" s="1620"/>
      <c r="P486" s="1864"/>
      <c r="Q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R486" s="1864"/>
      <c r="S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T486" s="1864"/>
      <c r="U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V486" s="1864"/>
      <c r="W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X486" s="1864"/>
      <c r="Y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Z486" s="1864"/>
      <c r="AA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B486" s="1864"/>
      <c r="AC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D486" s="1864"/>
      <c r="AE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F486" s="1864"/>
      <c r="AG486" s="1865"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H486" s="1864"/>
      <c r="AI486" s="904" t="str">
        <f>IF($N486="","",IF(AND($N486="",OR($H486="",$H486=0)),"",IF(AND($N486="LF",$AJ486&lt;$H486),"0 - "&amp;TEXT(($H486-$AJ486)/1000,"0")&amp;"k lin. ft.?    ",IF(AND($N486="TF",$AJ486&lt;$J486),"0 - "&amp;TEXT(($J486-$AJ486)/1000,"0")&amp;"k track ft.?    ",IF(AND($N486="%",$AJ486&lt;1),REPLACE(IF(AND($P486&gt;0,$V486&gt;0,$T486&gt;0,$X486&gt;0,$R486&gt;0,$Z486&gt;0,$AB486&gt;0,$AD486&gt;0,$AF486&gt;0,$AH486&gt;0),"","0-"),99,0,REPLACE(TEXT(100-$AJ486,0),99,0,"%?    ")),"")))))</f>
        <v/>
      </c>
      <c r="AJ486" s="1833">
        <f>IFERROR(IF(N486="%", SUM(P486,R486,T486,V486,X486,Z486,AB486,AD486,AF486,AH486)/100, SUM(P486,R486,T486,V486,X486,Z486,AB486,AD486,AF486,AH486)/IF(N486="LF", H486,J486)), 0)</f>
        <v>0</v>
      </c>
      <c r="AK486" s="1648"/>
      <c r="AL486" s="1832"/>
      <c r="AM486" s="1399"/>
      <c r="AN486" s="1276"/>
      <c r="AO486" s="1399"/>
      <c r="AP486" s="1653"/>
      <c r="AQ486" s="1399"/>
      <c r="AS486" s="1399"/>
      <c r="AT486" s="1624" t="str">
        <f>IF(AND($C$458="", H486="", J486=""), "N/A", IF(OR(AND(ISNUMBER(H486), ISNUMBER(J486), H486=0, J486=0), AND(AJ486=1, H486&lt;&gt;"", J486&lt;&gt;"", L486&lt;&gt;"", N486&lt;&gt;"", P486&lt;&gt;"", R486&lt;&gt;"", T486&lt;&gt;"", V486&lt;&gt;"", X486&lt;&gt;"", Z486&lt;&gt;"", AB486&lt;&gt;"", AD486&lt;&gt;"", AF486&lt;&gt;"", AH486&lt;&gt;"",AL486&lt;&gt;"", IF(AND(AL486&lt;1, AN486=""), FALSE, TRUE))), "Yes", "No"))</f>
        <v>N/A</v>
      </c>
      <c r="AU486" s="759" t="b">
        <f>IF(AND(H486="",OR(L486&lt;&gt;"",P486&lt;&gt;"",R486&lt;&gt;"",T486&lt;&gt;"",V486&lt;&gt;"",X486&lt;&gt;"",AL486&lt;&gt;"",Z486&lt;&gt;"",AB486&lt;&gt;"",AD486&lt;&gt;"",AF486&lt;&gt;"",AH486&lt;&gt;"")),TRUE,FALSE)</f>
        <v>0</v>
      </c>
      <c r="AV486" s="759" t="b">
        <f>IF(OR(H486="",H486=0),FALSE,IF(H486&gt;BM486,TRUE,FALSE))</f>
        <v>0</v>
      </c>
      <c r="AW486" s="759" t="b">
        <f>IF(AND($C$458&lt;&gt;"",$H486=""),TRUE,FALSE)</f>
        <v>0</v>
      </c>
      <c r="AX486" s="759" t="b">
        <f>IF(E486="yes",FALSE,IF(H486="0",FALSE,IF(AND($C$458&lt;&gt;"",J486=""),TRUE,FALSE)))</f>
        <v>0</v>
      </c>
      <c r="AY486" s="759" t="b">
        <f>IF($L486="",FALSE,IF($L486&lt;$BO486,TRUE,FALSE))</f>
        <v>0</v>
      </c>
      <c r="AZ486" s="759" t="b">
        <f>IF($L486="",FALSE,IF($L486&gt;$BP486,TRUE,FALSE))</f>
        <v>0</v>
      </c>
      <c r="BA486" s="759" t="b">
        <f>IF(H486=0,FALSE,IF(AND(E486&lt;&gt;"",$L486=""),TRUE,FALSE))</f>
        <v>0</v>
      </c>
      <c r="BB486" s="759" t="b">
        <f>IF(AND($AJ486&lt;&gt;0,$H486&lt;&gt;$BJ486,$N486="LF"),TRUE,IF(AND($AJ486&lt;&gt;0,$J486&lt;&gt;$AJ486,$N486="TF"),TRUE,IF(AND($AJ486&lt;&gt;0,$AJ486&lt;&gt;1,$N486="%"),TRUE,FALSE)))</f>
        <v>0</v>
      </c>
      <c r="BC486" s="759" t="b">
        <f>IF(AT486="No", IF(OR(P486="", R486="", T486="", V486="", X486="", Z486="", AB486="", AD486="", AF486="", AH486=""), TRUE, FALSE), FALSE)</f>
        <v>0</v>
      </c>
      <c r="BD486" s="759" t="b">
        <f>IF($BE486=TRUE,FALSE,IF(OR($AL486&lt;0,$AL486&gt;1),TRUE,FALSE))</f>
        <v>0</v>
      </c>
      <c r="BE486" s="759" t="b">
        <f>IF(AND($H486&lt;&gt;0,$AL486=""),TRUE,FALSE)</f>
        <v>0</v>
      </c>
      <c r="BF486" s="759" t="b">
        <f>IF(N486="%",TRUE,FALSE)</f>
        <v>0</v>
      </c>
      <c r="BG486" s="760"/>
      <c r="BH486" s="1678">
        <f>IF($C486="","",VLOOKUP($C486,val_fg_assets,9,FALSE))</f>
        <v>1</v>
      </c>
      <c r="BI486" s="1678" t="str">
        <f>IF(N486="", "", IF(N486="LF", H486, IF(N486="TF", J486, IF(N486="%", 1, ""))))</f>
        <v/>
      </c>
      <c r="BJ486" s="1679">
        <f>P486+R486+T486+V486+X486+Z486+AB486+AD486+AF486+AH486</f>
        <v>0</v>
      </c>
      <c r="BK486" s="1679" t="str">
        <f>IF(BI486="", "", BI486-BJ486)</f>
        <v/>
      </c>
      <c r="BL486" s="1679">
        <f>IF($C486="","",VLOOKUP($C486,val_fg_assets,3,FALSE))</f>
        <v>0</v>
      </c>
      <c r="BM486" s="1679">
        <f>IF($C486="","",VLOOKUP($C486,val_fg_assets,4,FALSE))</f>
        <v>1320000</v>
      </c>
      <c r="BN486" s="1678">
        <f>IF($C486="","",VLOOKUP($C486,val_fg_assets,5,FALSE))</f>
        <v>80</v>
      </c>
      <c r="BO486" s="1678">
        <f>IF($C486="","",VLOOKUP($C486,val_fg_assets,6,FALSE))</f>
        <v>60</v>
      </c>
      <c r="BP486" s="1678">
        <f>IF($C486="","",VLOOKUP($C486,val_fg_assets,7,FALSE))</f>
        <v>100</v>
      </c>
      <c r="BQ486" s="1399"/>
    </row>
    <row r="487" spans="1:69" s="782" customFormat="1" ht="3.95" customHeight="1" thickBot="1" x14ac:dyDescent="0.25">
      <c r="A487" s="852"/>
      <c r="B487" s="1790">
        <v>475</v>
      </c>
      <c r="C487" s="850"/>
      <c r="D487" s="1841"/>
      <c r="E487" s="1058"/>
      <c r="F487" s="686"/>
      <c r="G487" s="686"/>
      <c r="H487" s="1909"/>
      <c r="I487" s="1907"/>
      <c r="J487" s="1908"/>
      <c r="K487" s="1908"/>
      <c r="L487" s="1909"/>
      <c r="M487" s="1910"/>
      <c r="N487" s="1910"/>
      <c r="O487" s="1910"/>
      <c r="P487" s="1866"/>
      <c r="Q487" s="1867"/>
      <c r="R487" s="1866"/>
      <c r="S487" s="1867"/>
      <c r="T487" s="1866"/>
      <c r="U487" s="1867"/>
      <c r="V487" s="1866"/>
      <c r="W487" s="1867"/>
      <c r="X487" s="1866"/>
      <c r="Y487" s="1867"/>
      <c r="Z487" s="1867"/>
      <c r="AA487" s="1867"/>
      <c r="AB487" s="1867"/>
      <c r="AC487" s="1867"/>
      <c r="AD487" s="1867"/>
      <c r="AE487" s="1867"/>
      <c r="AF487" s="1867"/>
      <c r="AG487" s="1867"/>
      <c r="AH487" s="1867"/>
      <c r="AI487" s="837"/>
      <c r="AJ487" s="1806"/>
      <c r="AK487" s="841"/>
      <c r="AL487" s="1806"/>
      <c r="AM487" s="1399"/>
      <c r="AN487" s="838"/>
      <c r="AO487" s="1399"/>
      <c r="AP487" s="1399"/>
      <c r="AQ487" s="1399"/>
      <c r="AS487" s="1399"/>
      <c r="AT487" s="1399"/>
      <c r="AU487" s="759"/>
      <c r="AV487" s="759"/>
      <c r="AW487" s="759"/>
      <c r="AX487" s="759"/>
      <c r="AY487" s="759"/>
      <c r="AZ487" s="759"/>
      <c r="BA487" s="759"/>
      <c r="BB487" s="759"/>
      <c r="BC487" s="759"/>
      <c r="BD487" s="759"/>
      <c r="BE487" s="759"/>
      <c r="BF487" s="759"/>
      <c r="BG487" s="760"/>
      <c r="BH487" s="1678"/>
      <c r="BI487" s="1678"/>
      <c r="BJ487" s="1678"/>
      <c r="BK487" s="1678"/>
      <c r="BL487" s="1679"/>
      <c r="BM487" s="1679"/>
      <c r="BN487" s="1678"/>
      <c r="BO487" s="1678"/>
      <c r="BP487" s="1678"/>
      <c r="BQ487" s="1399"/>
    </row>
    <row r="488" spans="1:69" s="782" customFormat="1" x14ac:dyDescent="0.2">
      <c r="A488" s="1712" t="s">
        <v>2621</v>
      </c>
      <c r="B488" s="1790">
        <v>476</v>
      </c>
      <c r="C488" s="850"/>
      <c r="D488" s="1841"/>
      <c r="E488" s="816"/>
      <c r="F488" s="686"/>
      <c r="G488" s="686"/>
      <c r="H488" s="1914">
        <f>SUM(H462:H486)</f>
        <v>0</v>
      </c>
      <c r="I488" s="1915"/>
      <c r="J488" s="1914">
        <f>SUM(J462:J486)</f>
        <v>0</v>
      </c>
      <c r="K488" s="1880"/>
      <c r="L488" s="1880" t="str">
        <f>IF(C458="","&lt;&lt;Total Guideway (Excluding Track) in Linear Feet and Track Feet","&lt;&lt;Total "&amp;VLOOKUP(C458,Codes!$C$156:$D$174,2)&amp;" Guideway (Excluding Track) in Linear Feet and Track Feet")</f>
        <v>&lt;&lt;Total Guideway (Excluding Track) in Linear Feet and Track Feet</v>
      </c>
      <c r="M488" s="1910"/>
      <c r="N488" s="1910"/>
      <c r="O488" s="1910"/>
      <c r="P488" s="1916"/>
      <c r="Q488" s="1867"/>
      <c r="R488" s="1916"/>
      <c r="S488" s="1867"/>
      <c r="T488" s="1916"/>
      <c r="U488" s="1867"/>
      <c r="V488" s="1916"/>
      <c r="W488" s="1867"/>
      <c r="X488" s="1916"/>
      <c r="Y488" s="1867"/>
      <c r="Z488" s="1867"/>
      <c r="AA488" s="1867"/>
      <c r="AB488" s="1867"/>
      <c r="AC488" s="1867"/>
      <c r="AD488" s="1867"/>
      <c r="AE488" s="1867"/>
      <c r="AF488" s="1867"/>
      <c r="AG488" s="1867"/>
      <c r="AH488" s="1867"/>
      <c r="AI488" s="837"/>
      <c r="AJ488" s="1806"/>
      <c r="AK488" s="841"/>
      <c r="AL488" s="1806"/>
      <c r="AM488" s="1399"/>
      <c r="AN488" s="838"/>
      <c r="AO488" s="1399"/>
      <c r="AP488" s="1399"/>
      <c r="AQ488" s="1399"/>
      <c r="AS488" s="1399"/>
      <c r="AT488" s="1399"/>
      <c r="AU488" s="759"/>
      <c r="AV488" s="759"/>
      <c r="AW488" s="759"/>
      <c r="AX488" s="759"/>
      <c r="AY488" s="759"/>
      <c r="AZ488" s="759"/>
      <c r="BA488" s="759"/>
      <c r="BB488" s="759"/>
      <c r="BC488" s="759"/>
      <c r="BD488" s="759"/>
      <c r="BE488" s="759"/>
      <c r="BF488" s="759"/>
      <c r="BG488" s="760"/>
      <c r="BH488" s="1678"/>
      <c r="BI488" s="1678"/>
      <c r="BJ488" s="1678"/>
      <c r="BK488" s="1678"/>
      <c r="BL488" s="1679"/>
      <c r="BM488" s="1679"/>
      <c r="BN488" s="1678"/>
      <c r="BO488" s="1678"/>
      <c r="BP488" s="1678"/>
      <c r="BQ488" s="1399"/>
    </row>
    <row r="489" spans="1:69" s="686" customFormat="1" x14ac:dyDescent="0.2">
      <c r="A489" s="1712" t="s">
        <v>2621</v>
      </c>
      <c r="B489" s="1791">
        <v>477</v>
      </c>
      <c r="C489" s="844" t="str">
        <f>IF(C458="","Power and Signals",VLOOKUP(C458,Codes!$C$156:$D$174,2)&amp;" Power and Signals")</f>
        <v>Power and Signals</v>
      </c>
      <c r="D489" s="1709"/>
      <c r="E489" s="1057"/>
      <c r="F489" s="764"/>
      <c r="G489" s="764"/>
      <c r="H489" s="1917"/>
      <c r="I489" s="1880"/>
      <c r="J489" s="1651"/>
      <c r="K489" s="1651"/>
      <c r="L489" s="1917"/>
      <c r="M489" s="1651"/>
      <c r="N489" s="1651"/>
      <c r="O489" s="1651"/>
      <c r="P489" s="1916"/>
      <c r="Q489" s="1867"/>
      <c r="R489" s="1916"/>
      <c r="S489" s="1867"/>
      <c r="T489" s="1916"/>
      <c r="U489" s="1867"/>
      <c r="V489" s="1916"/>
      <c r="W489" s="1867"/>
      <c r="X489" s="1916"/>
      <c r="Y489" s="1651"/>
      <c r="Z489" s="1651"/>
      <c r="AA489" s="1651"/>
      <c r="AB489" s="1651"/>
      <c r="AC489" s="1651"/>
      <c r="AD489" s="1651"/>
      <c r="AE489" s="1651"/>
      <c r="AF489" s="1651"/>
      <c r="AG489" s="1651"/>
      <c r="AH489" s="1651"/>
      <c r="AJ489" s="1676"/>
      <c r="AL489" s="1676"/>
      <c r="AP489" s="1223"/>
      <c r="AU489" s="848"/>
      <c r="AV489" s="848"/>
      <c r="AW489" s="848"/>
      <c r="AX489" s="848"/>
      <c r="AY489" s="759"/>
      <c r="AZ489" s="759"/>
      <c r="BA489" s="848"/>
      <c r="BB489" s="759"/>
      <c r="BC489" s="848"/>
      <c r="BD489" s="848"/>
      <c r="BE489" s="848"/>
      <c r="BF489" s="848"/>
      <c r="BH489" s="1680"/>
      <c r="BI489" s="1680"/>
      <c r="BJ489" s="1680"/>
      <c r="BK489" s="1680"/>
      <c r="BL489" s="1680"/>
      <c r="BM489" s="1680"/>
      <c r="BN489" s="1680"/>
      <c r="BO489" s="1680"/>
      <c r="BP489" s="1680"/>
    </row>
    <row r="490" spans="1:69" s="686" customFormat="1" ht="26.25" thickBot="1" x14ac:dyDescent="0.25">
      <c r="A490" s="1712" t="s">
        <v>2621</v>
      </c>
      <c r="B490" s="1791">
        <v>478</v>
      </c>
      <c r="C490" s="1674"/>
      <c r="D490" s="1709"/>
      <c r="E490" s="1057"/>
      <c r="H490" s="1903" t="s">
        <v>13</v>
      </c>
      <c r="I490" s="1651"/>
      <c r="J490" s="1651"/>
      <c r="K490" s="1651"/>
      <c r="L490" s="1909"/>
      <c r="M490" s="1909"/>
      <c r="N490" s="1909"/>
      <c r="O490" s="1909"/>
      <c r="P490" s="1903" t="str">
        <f>P$9</f>
        <v>Pre-1920</v>
      </c>
      <c r="Q490" s="1869"/>
      <c r="R490" s="1903" t="str">
        <f>R$9</f>
        <v>1920-
1929</v>
      </c>
      <c r="S490" s="1869"/>
      <c r="T490" s="1903" t="str">
        <f>T$9</f>
        <v>1930-
1939</v>
      </c>
      <c r="U490" s="1869"/>
      <c r="V490" s="1903" t="str">
        <f>V$9</f>
        <v>1940-
1949</v>
      </c>
      <c r="W490" s="1869"/>
      <c r="X490" s="1903" t="str">
        <f>X$9</f>
        <v>1950-
1959</v>
      </c>
      <c r="Y490" s="1868"/>
      <c r="Z490" s="1903" t="str">
        <f>Z$9</f>
        <v>1960-
1969</v>
      </c>
      <c r="AA490" s="1868"/>
      <c r="AB490" s="1903" t="str">
        <f>AB$9</f>
        <v>1970-
1979</v>
      </c>
      <c r="AC490" s="1868"/>
      <c r="AD490" s="1903" t="str">
        <f>AD$9</f>
        <v>1980-
1989</v>
      </c>
      <c r="AE490" s="1868"/>
      <c r="AF490" s="1903" t="str">
        <f>AF$9</f>
        <v>1990-
1999</v>
      </c>
      <c r="AG490" s="1868"/>
      <c r="AH490" s="1903" t="str">
        <f>AH$9</f>
        <v>2000-
present</v>
      </c>
      <c r="AJ490" s="1676"/>
      <c r="AL490" s="1676"/>
      <c r="AP490" s="1394"/>
      <c r="AU490" s="848"/>
      <c r="AV490" s="848"/>
      <c r="AW490" s="848"/>
      <c r="AX490" s="848"/>
      <c r="AY490" s="759"/>
      <c r="AZ490" s="759"/>
      <c r="BA490" s="848"/>
      <c r="BB490" s="759"/>
      <c r="BC490" s="848"/>
      <c r="BD490" s="848"/>
      <c r="BE490" s="848"/>
      <c r="BF490" s="848"/>
      <c r="BH490" s="1680"/>
      <c r="BI490" s="1680"/>
      <c r="BJ490" s="1680"/>
      <c r="BK490" s="1680"/>
      <c r="BL490" s="1680"/>
      <c r="BM490" s="1680"/>
      <c r="BN490" s="1680"/>
      <c r="BO490" s="1680"/>
      <c r="BP490" s="1680"/>
    </row>
    <row r="491" spans="1:69" s="686" customFormat="1" x14ac:dyDescent="0.2">
      <c r="A491" s="852">
        <f>A486+1</f>
        <v>122</v>
      </c>
      <c r="B491" s="1791">
        <v>479</v>
      </c>
      <c r="C491" s="851" t="str">
        <f>Valid!$B$87</f>
        <v>Substation Building</v>
      </c>
      <c r="D491" s="1709"/>
      <c r="E491" s="1245" t="str">
        <f>IF(AT491="N/A","",IF(AT491="N","No","Yes"))</f>
        <v/>
      </c>
      <c r="H491" s="1864"/>
      <c r="I491" s="1904" t="str">
        <f>IF(AND(C458&lt;&gt;"", H491=""),"Qty? Enter Zero if N/A  ","")</f>
        <v/>
      </c>
      <c r="J491" s="1918"/>
      <c r="K491" s="1651"/>
      <c r="L491" s="1864"/>
      <c r="M491" s="1870" t="str">
        <f>IF($H491=0,"",IF($L491="",TEXT(BN491,0)&amp;" Years?    ",""))</f>
        <v/>
      </c>
      <c r="N491" s="1905"/>
      <c r="O491" s="1870"/>
      <c r="P491" s="1864"/>
      <c r="Q491" s="1865" t="str">
        <f>IF(OR($N491="", AND($N491="",OR($H491="",$H491=0))),"",IF(AND($N491="Quantity",$AJ491&lt;$H491),"0 - "&amp;TEXT($H491-$AJ491,"0")&amp;" buildings?    ",IF(AND($N491="%",$AJ491&lt;1),REPLACE(IF(AND($P491&gt;0,$V491&gt;0,$T491&gt;0,$X491&gt;0,$R491&gt;0,$Z491&gt;0,$AB491&gt;0,$AD491&gt;0,$AF491&gt;0,$AH491&gt;0),"","0-"),99,0,REPLACE(TEXT(100-$AJ491,0),99,0,"?    ")),"")))</f>
        <v/>
      </c>
      <c r="R491" s="1864"/>
      <c r="S491" s="1865" t="str">
        <f>IF(OR($N491="", AND($N491="",OR($H491="",$H491=0))),"",IF(AND($N491="Quantity",$AJ491&lt;$H491),"0 - "&amp;TEXT($H491-$AJ491,"0")&amp;" buildings?    ",IF(AND($N491="%",$AJ491&lt;1),REPLACE(IF(AND($P491&gt;0,$V491&gt;0,$T491&gt;0,$X491&gt;0,$R491&gt;0,$Z491&gt;0,$AB491&gt;0,$AD491&gt;0,$AF491&gt;0,$AH491&gt;0),"","0-"),99,0,REPLACE(TEXT(100-$AJ491,0),99,0,"?    ")),"")))</f>
        <v/>
      </c>
      <c r="T491" s="1864"/>
      <c r="U491" s="1865" t="str">
        <f>IF(OR($N491="", AND($N491="",OR($H491="",$H491=0))),"",IF(AND($N491="Quantity",$AJ491&lt;$H491),"0 - "&amp;TEXT($H491-$AJ491,"0")&amp;" buildings?    ",IF(AND($N491="%",$AJ491&lt;1),REPLACE(IF(AND($P491&gt;0,$V491&gt;0,$T491&gt;0,$X491&gt;0,$R491&gt;0,$Z491&gt;0,$AB491&gt;0,$AD491&gt;0,$AF491&gt;0,$AH491&gt;0),"","0-"),99,0,REPLACE(TEXT(100-$AJ491,0),99,0,"?    ")),"")))</f>
        <v/>
      </c>
      <c r="V491" s="1864"/>
      <c r="W491" s="1865" t="str">
        <f>IF(OR($N491="", AND($N491="",OR($H491="",$H491=0))),"",IF(AND($N491="Quantity",$AJ491&lt;$H491),"0 - "&amp;TEXT($H491-$AJ491,"0")&amp;" buildings?    ",IF(AND($N491="%",$AJ491&lt;1),REPLACE(IF(AND($P491&gt;0,$V491&gt;0,$T491&gt;0,$X491&gt;0,$R491&gt;0,$Z491&gt;0,$AB491&gt;0,$AD491&gt;0,$AF491&gt;0,$AH491&gt;0),"","0-"),99,0,REPLACE(TEXT(100-$AJ491,0),99,0,"?    ")),"")))</f>
        <v/>
      </c>
      <c r="X491" s="1864"/>
      <c r="Y491" s="1865" t="str">
        <f>IF(OR($N491="", AND($N491="",OR($H491="",$H491=0))),"",IF(AND($N491="Quantity",$AJ491&lt;$H491),"0 - "&amp;TEXT($H491-$AJ491,"0")&amp;" buildings?    ",IF(AND($N491="%",$AJ491&lt;1),REPLACE(IF(AND($P491&gt;0,$V491&gt;0,$T491&gt;0,$X491&gt;0,$R491&gt;0,$Z491&gt;0,$AB491&gt;0,$AD491&gt;0,$AF491&gt;0,$AH491&gt;0),"","0-"),99,0,REPLACE(TEXT(100-$AJ491,0),99,0,"?    ")),"")))</f>
        <v/>
      </c>
      <c r="Z491" s="1864"/>
      <c r="AA491" s="1865" t="str">
        <f>IF(OR($N491="", AND($N491="",OR($H491="",$H491=0))),"",IF(AND($N491="Quantity",$AJ491&lt;$H491),"0 - "&amp;TEXT($H491-$AJ491,"0")&amp;" buildings?    ",IF(AND($N491="%",$AJ491&lt;1),REPLACE(IF(AND($P491&gt;0,$V491&gt;0,$T491&gt;0,$X491&gt;0,$R491&gt;0,$Z491&gt;0,$AB491&gt;0,$AD491&gt;0,$AF491&gt;0,$AH491&gt;0),"","0-"),99,0,REPLACE(TEXT(100-$AJ491,0),99,0,"?    ")),"")))</f>
        <v/>
      </c>
      <c r="AB491" s="1864"/>
      <c r="AC491" s="1865" t="str">
        <f>IF(OR($N491="", AND($N491="",OR($H491="",$H491=0))),"",IF(AND($N491="Quantity",$AJ491&lt;$H491),"0 - "&amp;TEXT($H491-$AJ491,"0")&amp;" buildings?    ",IF(AND($N491="%",$AJ491&lt;1),REPLACE(IF(AND($P491&gt;0,$V491&gt;0,$T491&gt;0,$X491&gt;0,$R491&gt;0,$Z491&gt;0,$AB491&gt;0,$AD491&gt;0,$AF491&gt;0,$AH491&gt;0),"","0-"),99,0,REPLACE(TEXT(100-$AJ491,0),99,0,"?    ")),"")))</f>
        <v/>
      </c>
      <c r="AD491" s="1864"/>
      <c r="AE491" s="1865" t="str">
        <f>IF(OR($N491="", AND($N491="",OR($H491="",$H491=0))),"",IF(AND($N491="Quantity",$AJ491&lt;$H491),"0 - "&amp;TEXT($H491-$AJ491,"0")&amp;" buildings?    ",IF(AND($N491="%",$AJ491&lt;1),REPLACE(IF(AND($P491&gt;0,$V491&gt;0,$T491&gt;0,$X491&gt;0,$R491&gt;0,$Z491&gt;0,$AB491&gt;0,$AD491&gt;0,$AF491&gt;0,$AH491&gt;0),"","0-"),99,0,REPLACE(TEXT(100-$AJ491,0),99,0,"?    ")),"")))</f>
        <v/>
      </c>
      <c r="AF491" s="1864"/>
      <c r="AG491" s="1865" t="str">
        <f>IF(OR($N491="", AND($N491="",OR($H491="",$H491=0))),"",IF(AND($N491="Quantity",$AJ491&lt;$H491),"0 - "&amp;TEXT($H491-$AJ491,"0")&amp;" buildings?    ",IF(AND($N491="%",$AJ491&lt;1),REPLACE(IF(AND($P491&gt;0,$V491&gt;0,$T491&gt;0,$X491&gt;0,$R491&gt;0,$Z491&gt;0,$AB491&gt;0,$AD491&gt;0,$AF491&gt;0,$AH491&gt;0),"","0-"),99,0,REPLACE(TEXT(100-$AJ491,0),99,0,"?    ")),"")))</f>
        <v/>
      </c>
      <c r="AH491" s="1864"/>
      <c r="AI491" s="1865" t="str">
        <f>IF(OR($N491="", AND($N491="",OR($H491="",$H491=0))),"",IF(AND($N491="Quantity",$AJ491&lt;$H491),"0 - "&amp;TEXT($H491-$AJ491,"0")&amp;" buildings?    ",IF(AND($N491="%",$AJ491&lt;1),REPLACE(IF(AND($P491&gt;0,$V491&gt;0,$T491&gt;0,$X491&gt;0,$R491&gt;0,$Z491&gt;0,$AB491&gt;0,$AD491&gt;0,$AF491&gt;0,$AH491&gt;0),"","0-"),99,0,REPLACE(TEXT(100-$AJ491,0),99,0,"?    ")),"")))</f>
        <v/>
      </c>
      <c r="AJ491" s="1833">
        <f>IFERROR(IF(N491="%", SUM(P491,R491,T491,V491,X491,Z491,AB491,AD491,AF491,AH491)/100, SUM(P491,R491,T491,V491,X491,Z491,AB491,AD491,AF491,AH491)/H491), 0)</f>
        <v>0</v>
      </c>
      <c r="AL491" s="1832"/>
      <c r="AN491" s="1276"/>
      <c r="AP491" s="1653"/>
      <c r="AT491" s="1624" t="str">
        <f>IF(AND($C$458="", H491=""), "N/A", IF(OR(AND(ISNUMBER(H491), H491=0), AND(AJ491=1, H491&lt;&gt;"", L491&lt;&gt;"", N491&lt;&gt;"", P491&lt;&gt;"", R491&lt;&gt;"", T491&lt;&gt;"", V491&lt;&gt;"", X491&lt;&gt;"", Z491&lt;&gt;"", AB491&lt;&gt;"", AD491&lt;&gt;"", AF491&lt;&gt;"", AH491&lt;&gt;"",AL491&lt;&gt;"", IF(AND(AL491&lt;1, AN491=""), FALSE, TRUE))), "Yes", "No"))</f>
        <v>N/A</v>
      </c>
      <c r="AU491" s="759" t="b">
        <f>IF(AND(H491="",OR(L491&lt;&gt;"",P491&lt;&gt;"",R491&lt;&gt;"",T491&lt;&gt;"",V491&lt;&gt;"",X491&lt;&gt;"",AL491&lt;&gt;"",Z491&lt;&gt;"",AB491&lt;&gt;"",AD491&lt;&gt;"",AF491&lt;&gt;"",AH491&lt;&gt;"")),TRUE,FALSE)</f>
        <v>0</v>
      </c>
      <c r="AV491" s="759" t="b">
        <f>IF(OR(H491="",H491=0),FALSE,IF(H491&gt;BM491,TRUE,FALSE))</f>
        <v>0</v>
      </c>
      <c r="AW491" s="759" t="b">
        <f>IF(AND($C$458&lt;&gt;"",$H491=""),TRUE,FALSE)</f>
        <v>0</v>
      </c>
      <c r="AX491" s="759"/>
      <c r="AY491" s="759" t="b">
        <f>IF($L491="",FALSE,IF($L491&lt;$BO491,TRUE,FALSE))</f>
        <v>0</v>
      </c>
      <c r="AZ491" s="759" t="b">
        <f>IF($L491="",FALSE,IF($L491&gt;$BP491,TRUE,FALSE))</f>
        <v>0</v>
      </c>
      <c r="BA491" s="759" t="b">
        <f>IF(H491=0,FALSE,IF(AND(E491&lt;&gt;"",$L491=""),TRUE,FALSE))</f>
        <v>0</v>
      </c>
      <c r="BB491" s="759" t="b">
        <f>IF(AND($AJ491&lt;&gt;0,$H491&lt;$AJ491,$N491="LF"),TRUE,IF(AND($N491="LF",H491&lt;&gt;"",H491=AJ491),FALSE,IF(AND($AJ491&lt;&gt;0,$AJ491&gt;"100%",$N491="%"),TRUE,FALSE)))</f>
        <v>0</v>
      </c>
      <c r="BC491" s="759" t="b">
        <f>IF(AT491="No", IF(OR(P491="", R491="", T491="", V491="", X491="", Z491="", AB491="", AD491="", AF491="", AH491=""), TRUE, FALSE), FALSE)</f>
        <v>0</v>
      </c>
      <c r="BD491" s="759" t="b">
        <f>IF($BE491=TRUE,FALSE,IF(OR($AL491&lt;0,$AL491&gt;1),TRUE,FALSE))</f>
        <v>0</v>
      </c>
      <c r="BE491" s="759" t="b">
        <f>IF(AND($H491&lt;&gt;0,$AL491=""),TRUE,FALSE)</f>
        <v>0</v>
      </c>
      <c r="BF491" s="759"/>
      <c r="BH491" s="1678"/>
      <c r="BI491" s="1678" t="str">
        <f>IF(N491="", "", IF(N491="Quantity", H491, IF(N491="%", 1, "")))</f>
        <v/>
      </c>
      <c r="BJ491" s="1679">
        <f>P491+R491+T491+V491+X491+Z491+AB491+AD491+AF491+AH491</f>
        <v>0</v>
      </c>
      <c r="BK491" s="1679" t="str">
        <f>IF(BI491="", "", BI491-BJ491)</f>
        <v/>
      </c>
      <c r="BL491" s="1678">
        <f>IF($C491="","",VLOOKUP($C491,Valid!$B$87:$F$96,3,FALSE))</f>
        <v>0</v>
      </c>
      <c r="BM491" s="1678">
        <f>IF($C491="","",VLOOKUP($C491,Valid!$B$87:$F$96,4,FALSE))</f>
        <v>35</v>
      </c>
      <c r="BN491" s="1678">
        <f>IF($C491="","",VLOOKUP($C491,Valid!$B$87:$F$96,5,FALSE))</f>
        <v>100</v>
      </c>
      <c r="BO491" s="1678">
        <f>IF($C491="","",VLOOKUP($C491,Valid!$B$87:$G$96,6,FALSE))</f>
        <v>75</v>
      </c>
      <c r="BP491" s="1678">
        <f>IF($C491="","",VLOOKUP($C491,Valid!$B$87:$Z$96,7,FALSE))</f>
        <v>125</v>
      </c>
    </row>
    <row r="492" spans="1:69" s="686" customFormat="1" ht="3.95" customHeight="1" x14ac:dyDescent="0.2">
      <c r="B492" s="1790">
        <v>480</v>
      </c>
      <c r="C492" s="1674"/>
      <c r="D492" s="1709"/>
      <c r="E492" s="1057"/>
      <c r="H492" s="1917"/>
      <c r="I492" s="1651"/>
      <c r="J492" s="1651"/>
      <c r="K492" s="1651"/>
      <c r="L492" s="1917"/>
      <c r="M492" s="1651"/>
      <c r="N492" s="1651"/>
      <c r="O492" s="1651"/>
      <c r="P492" s="1866"/>
      <c r="Q492" s="1867"/>
      <c r="R492" s="1866"/>
      <c r="S492" s="1867"/>
      <c r="T492" s="1866"/>
      <c r="U492" s="1867"/>
      <c r="V492" s="1866"/>
      <c r="W492" s="1867"/>
      <c r="X492" s="1866"/>
      <c r="Y492" s="1867"/>
      <c r="Z492" s="1867"/>
      <c r="AA492" s="1867"/>
      <c r="AB492" s="1867"/>
      <c r="AC492" s="1867"/>
      <c r="AD492" s="1867"/>
      <c r="AE492" s="1867"/>
      <c r="AF492" s="1867"/>
      <c r="AG492" s="1867"/>
      <c r="AH492" s="1867"/>
      <c r="AJ492" s="1676"/>
      <c r="AL492" s="1676"/>
      <c r="AP492" s="1394"/>
      <c r="AU492" s="848"/>
      <c r="AV492" s="848"/>
      <c r="AW492" s="848"/>
      <c r="AX492" s="848"/>
      <c r="AY492" s="759"/>
      <c r="AZ492" s="759"/>
      <c r="BA492" s="848"/>
      <c r="BB492" s="759"/>
      <c r="BC492" s="848"/>
      <c r="BD492" s="848"/>
      <c r="BE492" s="848"/>
      <c r="BF492" s="848"/>
      <c r="BH492" s="1680"/>
      <c r="BI492" s="1680"/>
      <c r="BJ492" s="1680"/>
      <c r="BK492" s="1680"/>
      <c r="BL492" s="1680"/>
      <c r="BM492" s="1680"/>
      <c r="BN492" s="1680"/>
      <c r="BO492" s="1680"/>
      <c r="BP492" s="1680"/>
    </row>
    <row r="493" spans="1:69" s="686" customFormat="1" ht="3.95" customHeight="1" thickBot="1" x14ac:dyDescent="0.25">
      <c r="B493" s="1790">
        <v>481</v>
      </c>
      <c r="C493" s="1674"/>
      <c r="D493" s="1709"/>
      <c r="E493" s="1057"/>
      <c r="H493" s="1917"/>
      <c r="I493" s="1651"/>
      <c r="J493" s="1651"/>
      <c r="K493" s="1651"/>
      <c r="L493" s="1917"/>
      <c r="M493" s="1651"/>
      <c r="N493" s="1651"/>
      <c r="O493" s="1651"/>
      <c r="P493" s="1868"/>
      <c r="Q493" s="1869"/>
      <c r="R493" s="1868"/>
      <c r="S493" s="1869"/>
      <c r="T493" s="1868"/>
      <c r="U493" s="1869"/>
      <c r="V493" s="1868"/>
      <c r="W493" s="1869"/>
      <c r="X493" s="1868"/>
      <c r="Y493" s="1869"/>
      <c r="Z493" s="1869"/>
      <c r="AA493" s="1869"/>
      <c r="AB493" s="1869"/>
      <c r="AC493" s="1869"/>
      <c r="AD493" s="1869"/>
      <c r="AE493" s="1869"/>
      <c r="AF493" s="1869"/>
      <c r="AG493" s="1869"/>
      <c r="AH493" s="1869"/>
      <c r="AJ493" s="1676"/>
      <c r="AL493" s="1676"/>
      <c r="AP493" s="1394"/>
      <c r="AU493" s="848"/>
      <c r="AV493" s="848"/>
      <c r="AW493" s="848"/>
      <c r="AX493" s="848"/>
      <c r="AY493" s="759"/>
      <c r="AZ493" s="759"/>
      <c r="BA493" s="848"/>
      <c r="BB493" s="759"/>
      <c r="BC493" s="848"/>
      <c r="BD493" s="848"/>
      <c r="BE493" s="848"/>
      <c r="BF493" s="848"/>
      <c r="BH493" s="1680"/>
      <c r="BI493" s="1680"/>
      <c r="BJ493" s="1680"/>
      <c r="BK493" s="1680"/>
      <c r="BL493" s="1680"/>
      <c r="BM493" s="1680"/>
      <c r="BN493" s="1680"/>
      <c r="BO493" s="1680"/>
      <c r="BP493" s="1680"/>
    </row>
    <row r="494" spans="1:69" s="686" customFormat="1" x14ac:dyDescent="0.2">
      <c r="A494" s="852">
        <f>A491+1</f>
        <v>123</v>
      </c>
      <c r="B494" s="1791">
        <v>482</v>
      </c>
      <c r="C494" s="851" t="str">
        <f>Valid!$B$88</f>
        <v>Substation Equipment</v>
      </c>
      <c r="D494" s="1709"/>
      <c r="E494" s="1245" t="str">
        <f>IF(AT494="N/A","",IF(AT494="N","No","Yes"))</f>
        <v/>
      </c>
      <c r="H494" s="1917"/>
      <c r="I494" s="1904"/>
      <c r="J494" s="1919"/>
      <c r="K494" s="1651"/>
      <c r="L494" s="1864"/>
      <c r="M494" s="1920" t="str">
        <f>IF(AND(H491&lt;&gt;"", L494=""),REPLACE(TEXT(BN494,0),99,0," Yrs.?    "),"")</f>
        <v/>
      </c>
      <c r="N494" s="1921"/>
      <c r="O494" s="1870"/>
      <c r="P494" s="1864"/>
      <c r="Q494" s="1865" t="str">
        <f>IF(OR($N494="", AND($N494="",OR($H494="",$H494=0))),"",IF(AND($N494="Quantity",$AJ494&lt;$H494),"0 - "&amp;TEXT($H494-$AJ494,"0")&amp;" buildings?    ",IF(AND($N494="%",$AJ494&lt;1),REPLACE(IF(AND($P494&gt;0,$V494&gt;0,$T494&gt;0,$X494&gt;0,$R494&gt;0,$Z494&gt;0,$AB494&gt;0,$AD494&gt;0,$AF494&gt;0,$AH494&gt;0),"","0-"),99,0,REPLACE(TEXT(100-$AJ494,0),99,0,"?    ")),"")))</f>
        <v/>
      </c>
      <c r="R494" s="1864"/>
      <c r="S494" s="1865" t="str">
        <f>IF(OR($N494="", AND($N494="",OR($H494="",$H494=0))),"",IF(AND($N494="Quantity",$AJ494&lt;$H494),"0 - "&amp;TEXT($H494-$AJ494,"0")&amp;" buildings?    ",IF(AND($N494="%",$AJ494&lt;1),REPLACE(IF(AND($P494&gt;0,$V494&gt;0,$T494&gt;0,$X494&gt;0,$R494&gt;0,$Z494&gt;0,$AB494&gt;0,$AD494&gt;0,$AF494&gt;0,$AH494&gt;0),"","0-"),99,0,REPLACE(TEXT(100-$AJ494,0),99,0,"?    ")),"")))</f>
        <v/>
      </c>
      <c r="T494" s="1864"/>
      <c r="U494" s="1865" t="str">
        <f>IF(OR($N494="", AND($N494="",OR($H494="",$H494=0))),"",IF(AND($N494="Quantity",$AJ494&lt;$H494),"0 - "&amp;TEXT($H494-$AJ494,"0")&amp;" buildings?    ",IF(AND($N494="%",$AJ494&lt;1),REPLACE(IF(AND($P494&gt;0,$V494&gt;0,$T494&gt;0,$X494&gt;0,$R494&gt;0,$Z494&gt;0,$AB494&gt;0,$AD494&gt;0,$AF494&gt;0,$AH494&gt;0),"","0-"),99,0,REPLACE(TEXT(100-$AJ494,0),99,0,"?    ")),"")))</f>
        <v/>
      </c>
      <c r="V494" s="1864"/>
      <c r="W494" s="1865" t="str">
        <f>IF(OR($N494="", AND($N494="",OR($H494="",$H494=0))),"",IF(AND($N494="Quantity",$AJ494&lt;$H494),"0 - "&amp;TEXT($H494-$AJ494,"0")&amp;" buildings?    ",IF(AND($N494="%",$AJ494&lt;1),REPLACE(IF(AND($P494&gt;0,$V494&gt;0,$T494&gt;0,$X494&gt;0,$R494&gt;0,$Z494&gt;0,$AB494&gt;0,$AD494&gt;0,$AF494&gt;0,$AH494&gt;0),"","0-"),99,0,REPLACE(TEXT(100-$AJ494,0),99,0,"?    ")),"")))</f>
        <v/>
      </c>
      <c r="X494" s="1864"/>
      <c r="Y494" s="1865" t="str">
        <f>IF(OR($N494="", AND($N494="",OR($H494="",$H494=0))),"",IF(AND($N494="Quantity",$AJ494&lt;$H494),"0 - "&amp;TEXT($H494-$AJ494,"0")&amp;" buildings?    ",IF(AND($N494="%",$AJ494&lt;1),REPLACE(IF(AND($P494&gt;0,$V494&gt;0,$T494&gt;0,$X494&gt;0,$R494&gt;0,$Z494&gt;0,$AB494&gt;0,$AD494&gt;0,$AF494&gt;0,$AH494&gt;0),"","0-"),99,0,REPLACE(TEXT(100-$AJ494,0),99,0,"?    ")),"")))</f>
        <v/>
      </c>
      <c r="Z494" s="1864"/>
      <c r="AA494" s="1865" t="str">
        <f>IF(OR($N494="", AND($N494="",OR($H494="",$H494=0))),"",IF(AND($N494="Quantity",$AJ494&lt;$H494),"0 - "&amp;TEXT($H494-$AJ494,"0")&amp;" buildings?    ",IF(AND($N494="%",$AJ494&lt;1),REPLACE(IF(AND($P494&gt;0,$V494&gt;0,$T494&gt;0,$X494&gt;0,$R494&gt;0,$Z494&gt;0,$AB494&gt;0,$AD494&gt;0,$AF494&gt;0,$AH494&gt;0),"","0-"),99,0,REPLACE(TEXT(100-$AJ494,0),99,0,"?    ")),"")))</f>
        <v/>
      </c>
      <c r="AB494" s="1864"/>
      <c r="AC494" s="1865" t="str">
        <f>IF(OR($N494="", AND($N494="",OR($H494="",$H494=0))),"",IF(AND($N494="Quantity",$AJ494&lt;$H494),"0 - "&amp;TEXT($H494-$AJ494,"0")&amp;" buildings?    ",IF(AND($N494="%",$AJ494&lt;1),REPLACE(IF(AND($P494&gt;0,$V494&gt;0,$T494&gt;0,$X494&gt;0,$R494&gt;0,$Z494&gt;0,$AB494&gt;0,$AD494&gt;0,$AF494&gt;0,$AH494&gt;0),"","0-"),99,0,REPLACE(TEXT(100-$AJ494,0),99,0,"?    ")),"")))</f>
        <v/>
      </c>
      <c r="AD494" s="1864"/>
      <c r="AE494" s="1865" t="str">
        <f>IF(OR($N494="", AND($N494="",OR($H494="",$H494=0))),"",IF(AND($N494="Quantity",$AJ494&lt;$H494),"0 - "&amp;TEXT($H494-$AJ494,"0")&amp;" buildings?    ",IF(AND($N494="%",$AJ494&lt;1),REPLACE(IF(AND($P494&gt;0,$V494&gt;0,$T494&gt;0,$X494&gt;0,$R494&gt;0,$Z494&gt;0,$AB494&gt;0,$AD494&gt;0,$AF494&gt;0,$AH494&gt;0),"","0-"),99,0,REPLACE(TEXT(100-$AJ494,0),99,0,"?    ")),"")))</f>
        <v/>
      </c>
      <c r="AF494" s="1864"/>
      <c r="AG494" s="1865" t="str">
        <f>IF(OR($N494="", AND($N494="",OR($H494="",$H494=0))),"",IF(AND($N494="Quantity",$AJ494&lt;$H494),"0 - "&amp;TEXT($H494-$AJ494,"0")&amp;" buildings?    ",IF(AND($N494="%",$AJ494&lt;1),REPLACE(IF(AND($P494&gt;0,$V494&gt;0,$T494&gt;0,$X494&gt;0,$R494&gt;0,$Z494&gt;0,$AB494&gt;0,$AD494&gt;0,$AF494&gt;0,$AH494&gt;0),"","0-"),99,0,REPLACE(TEXT(100-$AJ494,0),99,0,"?    ")),"")))</f>
        <v/>
      </c>
      <c r="AH494" s="1864"/>
      <c r="AI494" s="1865" t="str">
        <f>IF(OR($N494="", AND($N494="",OR($H494="",$H494=0))),"",IF(AND($N494="Quantity",$AJ494&lt;$H494),"0 - "&amp;TEXT($H494-$AJ494,"0")&amp;" buildings?    ",IF(AND($N494="%",$AJ494&lt;1),REPLACE(IF(AND($P494&gt;0,$V494&gt;0,$T494&gt;0,$X494&gt;0,$R494&gt;0,$Z494&gt;0,$AB494&gt;0,$AD494&gt;0,$AF494&gt;0,$AH494&gt;0),"","0-"),99,0,REPLACE(TEXT(100-$AJ494,0),99,0,"?    ")),"")))</f>
        <v/>
      </c>
      <c r="AJ494" s="1833">
        <f>IFERROR(IF(N494="%", SUM(P494,R494,T494,V494,X494,Z494,AB494,AD494,AF494,AH494)/100, SUM(P494,R494,T494,V494,X494,Z494,AB494,AD494,AF494,AH494)/H494), 0)</f>
        <v>0</v>
      </c>
      <c r="AL494" s="1832"/>
      <c r="AN494" s="1276"/>
      <c r="AP494" s="1653"/>
      <c r="AT494" s="1624" t="str">
        <f>IF(AND($C$458="", L494=""), "N/A", IF(AND(AJ494=1, L494&lt;&gt;"", N494&lt;&gt;"", P494&lt;&gt;"", R494&lt;&gt;"", T494&lt;&gt;"", V494&lt;&gt;"", X494&lt;&gt;"", Z494&lt;&gt;"", AB494&lt;&gt;"", AD494&lt;&gt;"", AF494&lt;&gt;"", AH494&lt;&gt;"",AL494&lt;&gt;"", IF(AND(AL494&lt;1, AN494=""), FALSE, TRUE)), "Yes", "No"))</f>
        <v>N/A</v>
      </c>
      <c r="AU494" s="759"/>
      <c r="AV494" s="759"/>
      <c r="AW494" s="759"/>
      <c r="AX494" s="759"/>
      <c r="AY494" s="759" t="b">
        <f>IF($L494="",FALSE,IF($L494&lt;$BO494,TRUE,FALSE))</f>
        <v>0</v>
      </c>
      <c r="AZ494" s="759" t="b">
        <f>IF($L494="",FALSE,IF($L494&gt;$BP494,TRUE,FALSE))</f>
        <v>0</v>
      </c>
      <c r="BA494" s="759" t="b">
        <f>IF(AND(E494&lt;&gt;"",$L494=""),TRUE,FALSE)</f>
        <v>0</v>
      </c>
      <c r="BB494" s="759" t="b">
        <f>IF(AND($AJ494&lt;&gt;0,$H494&lt;$AJ494,$N494="LF"),TRUE,IF(AND($N494="LF",H494&lt;&gt;"",H494=AJ494),FALSE,IF(AND($AJ494&lt;&gt;0,$AJ494&gt;"100%",$N494="%"),TRUE,FALSE)))</f>
        <v>0</v>
      </c>
      <c r="BC494" s="759" t="b">
        <f>IF(AT494="No", IF(OR(P494="", R494="", T494="", V494="", X494="", Z494="", AB494="", AD494="", AF494="", AH494=""), TRUE, FALSE), FALSE)</f>
        <v>0</v>
      </c>
      <c r="BD494" s="759" t="b">
        <f>IF($BE494=TRUE,FALSE,IF(OR($AL494&lt;0,$AL494&gt;1),TRUE,FALSE))</f>
        <v>0</v>
      </c>
      <c r="BE494" s="759" t="b">
        <f>IF(AND($E494&lt;&gt;"",$AL494=""),TRUE,FALSE)</f>
        <v>0</v>
      </c>
      <c r="BF494" s="759"/>
      <c r="BH494" s="1680"/>
      <c r="BI494" s="1678" t="str">
        <f>IF(N494="", "", IF(N494="Quantity", H494, IF(N494="%", 1, "")))</f>
        <v/>
      </c>
      <c r="BJ494" s="1679">
        <f>P494+R494+T494+V494+X494+Z494+AB494+AD494+AF494+AH494</f>
        <v>0</v>
      </c>
      <c r="BK494" s="1679" t="str">
        <f>IF(BI494="", "", BI494-BJ494)</f>
        <v/>
      </c>
      <c r="BL494" s="1680"/>
      <c r="BM494" s="1680"/>
      <c r="BN494" s="1678">
        <f>IF($C494="","",VLOOKUP($C494,Valid!$B$87:$F$96,5,FALSE))</f>
        <v>25</v>
      </c>
      <c r="BO494" s="1678">
        <f>IF($C494="","",VLOOKUP($C494,Valid!$B$87:$G$96,6,FALSE))</f>
        <v>19</v>
      </c>
      <c r="BP494" s="1678">
        <f>IF($C494="","",VLOOKUP($C494,Valid!$B$87:$Z$96,7,FALSE))</f>
        <v>31</v>
      </c>
    </row>
    <row r="495" spans="1:69" s="686" customFormat="1" ht="3.95" customHeight="1" x14ac:dyDescent="0.2">
      <c r="B495" s="1791">
        <v>483</v>
      </c>
      <c r="C495" s="1674"/>
      <c r="D495" s="1709"/>
      <c r="E495" s="1057"/>
      <c r="H495" s="1917"/>
      <c r="I495" s="1651"/>
      <c r="J495" s="1651"/>
      <c r="K495" s="1651"/>
      <c r="L495" s="1917"/>
      <c r="M495" s="1651"/>
      <c r="N495" s="1651"/>
      <c r="O495" s="1651"/>
      <c r="P495" s="1866"/>
      <c r="Q495" s="1867"/>
      <c r="R495" s="1866"/>
      <c r="S495" s="1867"/>
      <c r="T495" s="1866"/>
      <c r="U495" s="1867"/>
      <c r="V495" s="1866"/>
      <c r="W495" s="1867"/>
      <c r="X495" s="1866"/>
      <c r="Y495" s="1867"/>
      <c r="Z495" s="1867"/>
      <c r="AA495" s="1867"/>
      <c r="AB495" s="1867"/>
      <c r="AC495" s="1867"/>
      <c r="AD495" s="1867"/>
      <c r="AE495" s="1867"/>
      <c r="AF495" s="1867"/>
      <c r="AG495" s="1867"/>
      <c r="AH495" s="1867"/>
      <c r="AJ495" s="1676"/>
      <c r="AL495" s="1676"/>
      <c r="AP495" s="1394"/>
      <c r="AU495" s="848"/>
      <c r="AV495" s="848"/>
      <c r="AW495" s="848"/>
      <c r="AX495" s="848"/>
      <c r="AY495" s="759"/>
      <c r="AZ495" s="759"/>
      <c r="BA495" s="848"/>
      <c r="BB495" s="759"/>
      <c r="BC495" s="848"/>
      <c r="BD495" s="848"/>
      <c r="BE495" s="848"/>
      <c r="BF495" s="848"/>
      <c r="BH495" s="1680"/>
      <c r="BI495" s="1680"/>
      <c r="BJ495" s="1680"/>
      <c r="BK495" s="1680"/>
      <c r="BL495" s="1680"/>
      <c r="BM495" s="1680"/>
      <c r="BN495" s="1680"/>
      <c r="BO495" s="1680"/>
      <c r="BP495" s="1680"/>
    </row>
    <row r="496" spans="1:69" s="686" customFormat="1" ht="3.95" customHeight="1" thickBot="1" x14ac:dyDescent="0.25">
      <c r="B496" s="1791">
        <v>484</v>
      </c>
      <c r="C496" s="1674"/>
      <c r="D496" s="1709"/>
      <c r="E496" s="1057"/>
      <c r="H496" s="1917"/>
      <c r="I496" s="1651"/>
      <c r="J496" s="1651"/>
      <c r="K496" s="1651"/>
      <c r="L496" s="1917"/>
      <c r="M496" s="1651"/>
      <c r="N496" s="1651"/>
      <c r="O496" s="1651"/>
      <c r="P496" s="1868"/>
      <c r="Q496" s="1869"/>
      <c r="R496" s="1868"/>
      <c r="S496" s="1869"/>
      <c r="T496" s="1868"/>
      <c r="U496" s="1869"/>
      <c r="V496" s="1868"/>
      <c r="W496" s="1869"/>
      <c r="X496" s="1868"/>
      <c r="Y496" s="1869"/>
      <c r="Z496" s="1869"/>
      <c r="AA496" s="1869"/>
      <c r="AB496" s="1869"/>
      <c r="AC496" s="1869"/>
      <c r="AD496" s="1869"/>
      <c r="AE496" s="1869"/>
      <c r="AF496" s="1869"/>
      <c r="AG496" s="1869"/>
      <c r="AH496" s="1869"/>
      <c r="AI496" s="1670"/>
      <c r="AJ496" s="1676"/>
      <c r="AL496" s="1676"/>
      <c r="AP496" s="1394"/>
      <c r="AU496" s="848"/>
      <c r="AV496" s="848"/>
      <c r="AW496" s="848"/>
      <c r="AX496" s="848"/>
      <c r="AY496" s="759"/>
      <c r="AZ496" s="759"/>
      <c r="BA496" s="848"/>
      <c r="BB496" s="759"/>
      <c r="BC496" s="848"/>
      <c r="BD496" s="848"/>
      <c r="BE496" s="848"/>
      <c r="BF496" s="848"/>
      <c r="BH496" s="1680"/>
      <c r="BI496" s="1680"/>
      <c r="BJ496" s="1680"/>
      <c r="BK496" s="1680"/>
      <c r="BL496" s="1680"/>
      <c r="BM496" s="1680"/>
      <c r="BN496" s="1680"/>
      <c r="BO496" s="1680"/>
      <c r="BP496" s="1680"/>
    </row>
    <row r="497" spans="1:68" s="686" customFormat="1" x14ac:dyDescent="0.2">
      <c r="A497" s="852">
        <f>A494+1</f>
        <v>124</v>
      </c>
      <c r="B497" s="1790">
        <v>485</v>
      </c>
      <c r="C497" s="851" t="str">
        <f>Valid!$B$89</f>
        <v>Third Rail/Power Distribution</v>
      </c>
      <c r="D497" s="1709"/>
      <c r="E497" s="1245" t="str">
        <f>IF(AT497="N/A","",IF(AT497="N","No","Yes"))</f>
        <v/>
      </c>
      <c r="H497" s="1917"/>
      <c r="I497" s="1904"/>
      <c r="J497" s="1651"/>
      <c r="K497" s="1651"/>
      <c r="L497" s="1864"/>
      <c r="M497" s="1920" t="str">
        <f>IF(AND(H491&lt;&gt;"", L497=""),REPLACE(TEXT(BN497,0),99,0," Yrs.?    "),"")</f>
        <v/>
      </c>
      <c r="N497" s="1921"/>
      <c r="O497" s="1870"/>
      <c r="P497" s="1864"/>
      <c r="Q497" s="1865" t="str">
        <f>IF(OR($N497="", AND($N497="",OR($H497="",$H497=0))),"",IF(AND($N497="Quantity",$AJ497&lt;$H497),"0 - "&amp;TEXT($H497-$AJ497,"0")&amp;" buildings?    ",IF(AND($N497="%",$AJ497&lt;1),REPLACE(IF(AND($P497&gt;0,$V497&gt;0,$T497&gt;0,$X497&gt;0,$R497&gt;0,$Z497&gt;0,$AB497&gt;0,$AD497&gt;0,$AF497&gt;0,$AH497&gt;0),"","0-"),99,0,REPLACE(TEXT(100-$AJ497,0),99,0,"?    ")),"")))</f>
        <v/>
      </c>
      <c r="R497" s="1864"/>
      <c r="S497" s="1865" t="str">
        <f>IF(OR($N497="", AND($N497="",OR($H497="",$H497=0))),"",IF(AND($N497="Quantity",$AJ497&lt;$H497),"0 - "&amp;TEXT($H497-$AJ497,"0")&amp;" buildings?    ",IF(AND($N497="%",$AJ497&lt;1),REPLACE(IF(AND($P497&gt;0,$V497&gt;0,$T497&gt;0,$X497&gt;0,$R497&gt;0,$Z497&gt;0,$AB497&gt;0,$AD497&gt;0,$AF497&gt;0,$AH497&gt;0),"","0-"),99,0,REPLACE(TEXT(100-$AJ497,0),99,0,"?    ")),"")))</f>
        <v/>
      </c>
      <c r="T497" s="1864"/>
      <c r="U497" s="1865" t="str">
        <f>IF(OR($N497="", AND($N497="",OR($H497="",$H497=0))),"",IF(AND($N497="Quantity",$AJ497&lt;$H497),"0 - "&amp;TEXT($H497-$AJ497,"0")&amp;" buildings?    ",IF(AND($N497="%",$AJ497&lt;1),REPLACE(IF(AND($P497&gt;0,$V497&gt;0,$T497&gt;0,$X497&gt;0,$R497&gt;0,$Z497&gt;0,$AB497&gt;0,$AD497&gt;0,$AF497&gt;0,$AH497&gt;0),"","0-"),99,0,REPLACE(TEXT(100-$AJ497,0),99,0,"?    ")),"")))</f>
        <v/>
      </c>
      <c r="V497" s="1864"/>
      <c r="W497" s="1865" t="str">
        <f>IF(OR($N497="", AND($N497="",OR($H497="",$H497=0))),"",IF(AND($N497="Quantity",$AJ497&lt;$H497),"0 - "&amp;TEXT($H497-$AJ497,"0")&amp;" buildings?    ",IF(AND($N497="%",$AJ497&lt;1),REPLACE(IF(AND($P497&gt;0,$V497&gt;0,$T497&gt;0,$X497&gt;0,$R497&gt;0,$Z497&gt;0,$AB497&gt;0,$AD497&gt;0,$AF497&gt;0,$AH497&gt;0),"","0-"),99,0,REPLACE(TEXT(100-$AJ497,0),99,0,"?    ")),"")))</f>
        <v/>
      </c>
      <c r="X497" s="1864"/>
      <c r="Y497" s="1865" t="str">
        <f>IF(OR($N497="", AND($N497="",OR($H497="",$H497=0))),"",IF(AND($N497="Quantity",$AJ497&lt;$H497),"0 - "&amp;TEXT($H497-$AJ497,"0")&amp;" buildings?    ",IF(AND($N497="%",$AJ497&lt;1),REPLACE(IF(AND($P497&gt;0,$V497&gt;0,$T497&gt;0,$X497&gt;0,$R497&gt;0,$Z497&gt;0,$AB497&gt;0,$AD497&gt;0,$AF497&gt;0,$AH497&gt;0),"","0-"),99,0,REPLACE(TEXT(100-$AJ497,0),99,0,"?    ")),"")))</f>
        <v/>
      </c>
      <c r="Z497" s="1864"/>
      <c r="AA497" s="1865" t="str">
        <f>IF(OR($N497="", AND($N497="",OR($H497="",$H497=0))),"",IF(AND($N497="Quantity",$AJ497&lt;$H497),"0 - "&amp;TEXT($H497-$AJ497,"0")&amp;" buildings?    ",IF(AND($N497="%",$AJ497&lt;1),REPLACE(IF(AND($P497&gt;0,$V497&gt;0,$T497&gt;0,$X497&gt;0,$R497&gt;0,$Z497&gt;0,$AB497&gt;0,$AD497&gt;0,$AF497&gt;0,$AH497&gt;0),"","0-"),99,0,REPLACE(TEXT(100-$AJ497,0),99,0,"?    ")),"")))</f>
        <v/>
      </c>
      <c r="AB497" s="1864"/>
      <c r="AC497" s="1865" t="str">
        <f>IF(OR($N497="", AND($N497="",OR($H497="",$H497=0))),"",IF(AND($N497="Quantity",$AJ497&lt;$H497),"0 - "&amp;TEXT($H497-$AJ497,"0")&amp;" buildings?    ",IF(AND($N497="%",$AJ497&lt;1),REPLACE(IF(AND($P497&gt;0,$V497&gt;0,$T497&gt;0,$X497&gt;0,$R497&gt;0,$Z497&gt;0,$AB497&gt;0,$AD497&gt;0,$AF497&gt;0,$AH497&gt;0),"","0-"),99,0,REPLACE(TEXT(100-$AJ497,0),99,0,"?    ")),"")))</f>
        <v/>
      </c>
      <c r="AD497" s="1864"/>
      <c r="AE497" s="1865" t="str">
        <f>IF(OR($N497="", AND($N497="",OR($H497="",$H497=0))),"",IF(AND($N497="Quantity",$AJ497&lt;$H497),"0 - "&amp;TEXT($H497-$AJ497,"0")&amp;" buildings?    ",IF(AND($N497="%",$AJ497&lt;1),REPLACE(IF(AND($P497&gt;0,$V497&gt;0,$T497&gt;0,$X497&gt;0,$R497&gt;0,$Z497&gt;0,$AB497&gt;0,$AD497&gt;0,$AF497&gt;0,$AH497&gt;0),"","0-"),99,0,REPLACE(TEXT(100-$AJ497,0),99,0,"?    ")),"")))</f>
        <v/>
      </c>
      <c r="AF497" s="1864"/>
      <c r="AG497" s="1865" t="str">
        <f>IF(OR($N497="", AND($N497="",OR($H497="",$H497=0))),"",IF(AND($N497="Quantity",$AJ497&lt;$H497),"0 - "&amp;TEXT($H497-$AJ497,"0")&amp;" buildings?    ",IF(AND($N497="%",$AJ497&lt;1),REPLACE(IF(AND($P497&gt;0,$V497&gt;0,$T497&gt;0,$X497&gt;0,$R497&gt;0,$Z497&gt;0,$AB497&gt;0,$AD497&gt;0,$AF497&gt;0,$AH497&gt;0),"","0-"),99,0,REPLACE(TEXT(100-$AJ497,0),99,0,"?    ")),"")))</f>
        <v/>
      </c>
      <c r="AH497" s="1864"/>
      <c r="AI497" s="1865" t="str">
        <f>IF(OR($N497="", AND($N497="",OR($H497="",$H497=0))),"",IF(AND($N497="Quantity",$AJ497&lt;$H497),"0 - "&amp;TEXT($H497-$AJ497,"0")&amp;" buildings?    ",IF(AND($N497="%",$AJ497&lt;1),REPLACE(IF(AND($P497&gt;0,$V497&gt;0,$T497&gt;0,$X497&gt;0,$R497&gt;0,$Z497&gt;0,$AB497&gt;0,$AD497&gt;0,$AF497&gt;0,$AH497&gt;0),"","0-"),99,0,REPLACE(TEXT(100-$AJ497,0),99,0,"?    ")),"")))</f>
        <v/>
      </c>
      <c r="AJ497" s="1833">
        <f>IFERROR(IF(N497="%", SUM(P497,R497,T497,V497,X497,Z497,AB497,AD497,AF497,AH497)/100, SUM(P497,R497,T497,V497,X497,Z497,AB497,AD497,AF497,AH497)/H497), 0)</f>
        <v>0</v>
      </c>
      <c r="AL497" s="1832"/>
      <c r="AN497" s="1276"/>
      <c r="AP497" s="1653"/>
      <c r="AT497" s="1624" t="str">
        <f>IF(AND($C$458="", L497=""), "N/A", IF(AND(AJ497=1, L497&lt;&gt;"", N497&lt;&gt;"", P497&lt;&gt;"", R497&lt;&gt;"", T497&lt;&gt;"", V497&lt;&gt;"", X497&lt;&gt;"", Z497&lt;&gt;"", AB497&lt;&gt;"", AD497&lt;&gt;"", AF497&lt;&gt;"", AH497&lt;&gt;"",AL497&lt;&gt;"", IF(AND(AL497&lt;1, AN497=""), FALSE, TRUE)), "Yes", "No"))</f>
        <v>N/A</v>
      </c>
      <c r="AU497" s="759"/>
      <c r="AV497" s="759"/>
      <c r="AW497" s="759"/>
      <c r="AX497" s="759"/>
      <c r="AY497" s="759" t="b">
        <f>IF($L497="",FALSE,IF($L497&lt;$BO497,TRUE,FALSE))</f>
        <v>0</v>
      </c>
      <c r="AZ497" s="759" t="b">
        <f>IF($L497="",FALSE,IF($L497&gt;$BP497,TRUE,FALSE))</f>
        <v>0</v>
      </c>
      <c r="BA497" s="759" t="b">
        <f>IF(AND(E497&lt;&gt;"",$L497=""),TRUE,FALSE)</f>
        <v>0</v>
      </c>
      <c r="BB497" s="759" t="b">
        <f>IF(AND($AJ497&lt;&gt;0,$H497&lt;$AJ497,$N497="LF"),TRUE,IF(AND($N497="LF",H497&lt;&gt;"",H497=AJ497),FALSE,IF(AND($AJ497&lt;&gt;0,$AJ497&gt;"100%",$N497="%"),TRUE,FALSE)))</f>
        <v>0</v>
      </c>
      <c r="BC497" s="759" t="b">
        <f>IF(AT497="No", IF(OR(P497="", R497="", T497="", V497="", X497="", Z497="", AB497="", AD497="", AF497="", AH497=""), TRUE, FALSE), FALSE)</f>
        <v>0</v>
      </c>
      <c r="BD497" s="759" t="b">
        <f>IF($BE497=TRUE,FALSE,IF(OR($AL497&lt;0,$AL497&gt;1),TRUE,FALSE))</f>
        <v>0</v>
      </c>
      <c r="BE497" s="759" t="b">
        <f>IF(AND($E497&lt;&gt;"",$AL497=""),TRUE,FALSE)</f>
        <v>0</v>
      </c>
      <c r="BF497" s="759"/>
      <c r="BH497" s="1680"/>
      <c r="BI497" s="1678" t="str">
        <f>IF(N497="", "", IF(N497="Quantity", H497, IF(N497="%", 1, "")))</f>
        <v/>
      </c>
      <c r="BJ497" s="1679">
        <f>P497+R497+T497+V497+X497+Z497+AB497+AD497+AF497+AH497</f>
        <v>0</v>
      </c>
      <c r="BK497" s="1679" t="str">
        <f>IF(BI497="", "", BI497-BJ497)</f>
        <v/>
      </c>
      <c r="BL497" s="1680"/>
      <c r="BM497" s="1680"/>
      <c r="BN497" s="1678">
        <f>IF($C497="","",VLOOKUP($C497,Valid!$B$87:$F$96,5,FALSE))</f>
        <v>25</v>
      </c>
      <c r="BO497" s="1678">
        <f>IF($C497="","",VLOOKUP($C497,Valid!$B$87:$G$96,6,FALSE))</f>
        <v>19</v>
      </c>
      <c r="BP497" s="1678">
        <f>IF($C497="","",VLOOKUP($C497,Valid!$B$87:$Z$96,7,FALSE))</f>
        <v>31</v>
      </c>
    </row>
    <row r="498" spans="1:68" s="686" customFormat="1" ht="3.95" customHeight="1" x14ac:dyDescent="0.2">
      <c r="B498" s="1790">
        <v>486</v>
      </c>
      <c r="C498" s="1268"/>
      <c r="D498" s="1709"/>
      <c r="E498" s="1057"/>
      <c r="H498" s="1917"/>
      <c r="I498" s="1651"/>
      <c r="J498" s="1651"/>
      <c r="K498" s="1651"/>
      <c r="L498" s="1917"/>
      <c r="M498" s="1651"/>
      <c r="N498" s="1651"/>
      <c r="O498" s="1651"/>
      <c r="P498" s="1866"/>
      <c r="Q498" s="1867"/>
      <c r="R498" s="1866"/>
      <c r="S498" s="1867"/>
      <c r="T498" s="1866"/>
      <c r="U498" s="1867"/>
      <c r="V498" s="1866"/>
      <c r="W498" s="1867"/>
      <c r="X498" s="1866"/>
      <c r="Y498" s="1867"/>
      <c r="Z498" s="1867"/>
      <c r="AA498" s="1867"/>
      <c r="AB498" s="1867"/>
      <c r="AC498" s="1867"/>
      <c r="AD498" s="1867"/>
      <c r="AE498" s="1867"/>
      <c r="AF498" s="1867"/>
      <c r="AG498" s="1867"/>
      <c r="AH498" s="1867"/>
      <c r="AJ498" s="1676"/>
      <c r="AL498" s="1676"/>
      <c r="AP498" s="1394"/>
      <c r="AU498" s="848"/>
      <c r="AV498" s="848"/>
      <c r="AW498" s="848"/>
      <c r="AX498" s="848"/>
      <c r="AY498" s="759"/>
      <c r="AZ498" s="759"/>
      <c r="BA498" s="848"/>
      <c r="BB498" s="759"/>
      <c r="BC498" s="848"/>
      <c r="BD498" s="848"/>
      <c r="BE498" s="848"/>
      <c r="BF498" s="848"/>
      <c r="BH498" s="1680"/>
      <c r="BI498" s="1680"/>
      <c r="BJ498" s="1680"/>
      <c r="BK498" s="1680"/>
      <c r="BL498" s="1680"/>
      <c r="BM498" s="1680"/>
      <c r="BN498" s="1680"/>
      <c r="BO498" s="1680"/>
      <c r="BP498" s="1680"/>
    </row>
    <row r="499" spans="1:68" s="686" customFormat="1" ht="3.95" customHeight="1" thickBot="1" x14ac:dyDescent="0.25">
      <c r="B499" s="1791">
        <v>487</v>
      </c>
      <c r="C499" s="1674"/>
      <c r="D499" s="1709"/>
      <c r="E499" s="1057"/>
      <c r="H499" s="1917"/>
      <c r="I499" s="1651"/>
      <c r="J499" s="1651"/>
      <c r="K499" s="1651"/>
      <c r="L499" s="1917"/>
      <c r="M499" s="1651"/>
      <c r="N499" s="1651"/>
      <c r="O499" s="1651"/>
      <c r="P499" s="1868"/>
      <c r="Q499" s="1869"/>
      <c r="R499" s="1868"/>
      <c r="S499" s="1869"/>
      <c r="T499" s="1868"/>
      <c r="U499" s="1869"/>
      <c r="V499" s="1868"/>
      <c r="W499" s="1869"/>
      <c r="X499" s="1868"/>
      <c r="Y499" s="1869"/>
      <c r="Z499" s="1869"/>
      <c r="AA499" s="1869"/>
      <c r="AB499" s="1869"/>
      <c r="AC499" s="1869"/>
      <c r="AD499" s="1869"/>
      <c r="AE499" s="1869"/>
      <c r="AF499" s="1869"/>
      <c r="AG499" s="1869"/>
      <c r="AH499" s="1869"/>
      <c r="AI499" s="1670"/>
      <c r="AJ499" s="1676"/>
      <c r="AL499" s="1676"/>
      <c r="AP499" s="1394"/>
      <c r="AU499" s="848"/>
      <c r="AV499" s="848"/>
      <c r="AW499" s="848"/>
      <c r="AX499" s="848"/>
      <c r="AY499" s="759"/>
      <c r="AZ499" s="759"/>
      <c r="BA499" s="848"/>
      <c r="BB499" s="759"/>
      <c r="BC499" s="848"/>
      <c r="BD499" s="848"/>
      <c r="BE499" s="848"/>
      <c r="BF499" s="848"/>
      <c r="BH499" s="1680"/>
      <c r="BI499" s="1680"/>
      <c r="BJ499" s="1680"/>
      <c r="BK499" s="1680"/>
      <c r="BL499" s="1680"/>
      <c r="BM499" s="1680"/>
      <c r="BN499" s="1680"/>
      <c r="BO499" s="1680"/>
      <c r="BP499" s="1680"/>
    </row>
    <row r="500" spans="1:68" s="686" customFormat="1" x14ac:dyDescent="0.2">
      <c r="A500" s="852">
        <f>A497+1</f>
        <v>125</v>
      </c>
      <c r="B500" s="1791">
        <v>488</v>
      </c>
      <c r="C500" s="851" t="str">
        <f>Valid!$B$90</f>
        <v>Overhead Contact System/Power Distribution</v>
      </c>
      <c r="D500" s="1709"/>
      <c r="E500" s="1245" t="str">
        <f>IF(AT500="N/A","",IF(AT500="N","No","Yes"))</f>
        <v/>
      </c>
      <c r="H500" s="1917"/>
      <c r="I500" s="1904"/>
      <c r="J500" s="1651"/>
      <c r="K500" s="1651"/>
      <c r="L500" s="1864"/>
      <c r="M500" s="1920" t="str">
        <f>IF(AND(H491&lt;&gt;"", L500=""),REPLACE(TEXT(BN500,0),99,0," Yrs.?    "),"")</f>
        <v/>
      </c>
      <c r="N500" s="1921"/>
      <c r="O500" s="1870"/>
      <c r="P500" s="1864"/>
      <c r="Q500" s="1865" t="str">
        <f>IF(OR($N500="", AND($N500="",OR($H500="",$H500=0))),"",IF(AND($N500="Quantity",$AJ500&lt;$H500),"0 - "&amp;TEXT($H500-$AJ500,"0")&amp;" buildings?    ",IF(AND($N500="%",$AJ500&lt;1),REPLACE(IF(AND($P500&gt;0,$V500&gt;0,$T500&gt;0,$X500&gt;0,$R500&gt;0,$Z500&gt;0,$AB500&gt;0,$AD500&gt;0,$AF500&gt;0,$AH500&gt;0),"","0-"),99,0,REPLACE(TEXT(100-$AJ500,0),99,0,"?    ")),"")))</f>
        <v/>
      </c>
      <c r="R500" s="1864"/>
      <c r="S500" s="1865" t="str">
        <f>IF(OR($N500="", AND($N500="",OR($H500="",$H500=0))),"",IF(AND($N500="Quantity",$AJ500&lt;$H500),"0 - "&amp;TEXT($H500-$AJ500,"0")&amp;" buildings?    ",IF(AND($N500="%",$AJ500&lt;1),REPLACE(IF(AND($P500&gt;0,$V500&gt;0,$T500&gt;0,$X500&gt;0,$R500&gt;0,$Z500&gt;0,$AB500&gt;0,$AD500&gt;0,$AF500&gt;0,$AH500&gt;0),"","0-"),99,0,REPLACE(TEXT(100-$AJ500,0),99,0,"?    ")),"")))</f>
        <v/>
      </c>
      <c r="T500" s="1864"/>
      <c r="U500" s="1865" t="str">
        <f>IF(OR($N500="", AND($N500="",OR($H500="",$H500=0))),"",IF(AND($N500="Quantity",$AJ500&lt;$H500),"0 - "&amp;TEXT($H500-$AJ500,"0")&amp;" buildings?    ",IF(AND($N500="%",$AJ500&lt;1),REPLACE(IF(AND($P500&gt;0,$V500&gt;0,$T500&gt;0,$X500&gt;0,$R500&gt;0,$Z500&gt;0,$AB500&gt;0,$AD500&gt;0,$AF500&gt;0,$AH500&gt;0),"","0-"),99,0,REPLACE(TEXT(100-$AJ500,0),99,0,"?    ")),"")))</f>
        <v/>
      </c>
      <c r="V500" s="1864"/>
      <c r="W500" s="1865" t="str">
        <f>IF(OR($N500="", AND($N500="",OR($H500="",$H500=0))),"",IF(AND($N500="Quantity",$AJ500&lt;$H500),"0 - "&amp;TEXT($H500-$AJ500,"0")&amp;" buildings?    ",IF(AND($N500="%",$AJ500&lt;1),REPLACE(IF(AND($P500&gt;0,$V500&gt;0,$T500&gt;0,$X500&gt;0,$R500&gt;0,$Z500&gt;0,$AB500&gt;0,$AD500&gt;0,$AF500&gt;0,$AH500&gt;0),"","0-"),99,0,REPLACE(TEXT(100-$AJ500,0),99,0,"?    ")),"")))</f>
        <v/>
      </c>
      <c r="X500" s="1864"/>
      <c r="Y500" s="1865" t="str">
        <f>IF(OR($N500="", AND($N500="",OR($H500="",$H500=0))),"",IF(AND($N500="Quantity",$AJ500&lt;$H500),"0 - "&amp;TEXT($H500-$AJ500,"0")&amp;" buildings?    ",IF(AND($N500="%",$AJ500&lt;1),REPLACE(IF(AND($P500&gt;0,$V500&gt;0,$T500&gt;0,$X500&gt;0,$R500&gt;0,$Z500&gt;0,$AB500&gt;0,$AD500&gt;0,$AF500&gt;0,$AH500&gt;0),"","0-"),99,0,REPLACE(TEXT(100-$AJ500,0),99,0,"?    ")),"")))</f>
        <v/>
      </c>
      <c r="Z500" s="1864"/>
      <c r="AA500" s="1865" t="str">
        <f>IF(OR($N500="", AND($N500="",OR($H500="",$H500=0))),"",IF(AND($N500="Quantity",$AJ500&lt;$H500),"0 - "&amp;TEXT($H500-$AJ500,"0")&amp;" buildings?    ",IF(AND($N500="%",$AJ500&lt;1),REPLACE(IF(AND($P500&gt;0,$V500&gt;0,$T500&gt;0,$X500&gt;0,$R500&gt;0,$Z500&gt;0,$AB500&gt;0,$AD500&gt;0,$AF500&gt;0,$AH500&gt;0),"","0-"),99,0,REPLACE(TEXT(100-$AJ500,0),99,0,"?    ")),"")))</f>
        <v/>
      </c>
      <c r="AB500" s="1864"/>
      <c r="AC500" s="1865" t="str">
        <f>IF(OR($N500="", AND($N500="",OR($H500="",$H500=0))),"",IF(AND($N500="Quantity",$AJ500&lt;$H500),"0 - "&amp;TEXT($H500-$AJ500,"0")&amp;" buildings?    ",IF(AND($N500="%",$AJ500&lt;1),REPLACE(IF(AND($P500&gt;0,$V500&gt;0,$T500&gt;0,$X500&gt;0,$R500&gt;0,$Z500&gt;0,$AB500&gt;0,$AD500&gt;0,$AF500&gt;0,$AH500&gt;0),"","0-"),99,0,REPLACE(TEXT(100-$AJ500,0),99,0,"?    ")),"")))</f>
        <v/>
      </c>
      <c r="AD500" s="1864"/>
      <c r="AE500" s="1865" t="str">
        <f>IF(OR($N500="", AND($N500="",OR($H500="",$H500=0))),"",IF(AND($N500="Quantity",$AJ500&lt;$H500),"0 - "&amp;TEXT($H500-$AJ500,"0")&amp;" buildings?    ",IF(AND($N500="%",$AJ500&lt;1),REPLACE(IF(AND($P500&gt;0,$V500&gt;0,$T500&gt;0,$X500&gt;0,$R500&gt;0,$Z500&gt;0,$AB500&gt;0,$AD500&gt;0,$AF500&gt;0,$AH500&gt;0),"","0-"),99,0,REPLACE(TEXT(100-$AJ500,0),99,0,"?    ")),"")))</f>
        <v/>
      </c>
      <c r="AF500" s="1864"/>
      <c r="AG500" s="1865" t="str">
        <f>IF(OR($N500="", AND($N500="",OR($H500="",$H500=0))),"",IF(AND($N500="Quantity",$AJ500&lt;$H500),"0 - "&amp;TEXT($H500-$AJ500,"0")&amp;" buildings?    ",IF(AND($N500="%",$AJ500&lt;1),REPLACE(IF(AND($P500&gt;0,$V500&gt;0,$T500&gt;0,$X500&gt;0,$R500&gt;0,$Z500&gt;0,$AB500&gt;0,$AD500&gt;0,$AF500&gt;0,$AH500&gt;0),"","0-"),99,0,REPLACE(TEXT(100-$AJ500,0),99,0,"?    ")),"")))</f>
        <v/>
      </c>
      <c r="AH500" s="1864"/>
      <c r="AI500" s="1865" t="str">
        <f>IF(OR($N500="", AND($N500="",OR($H500="",$H500=0))),"",IF(AND($N500="Quantity",$AJ500&lt;$H500),"0 - "&amp;TEXT($H500-$AJ500,"0")&amp;" buildings?    ",IF(AND($N500="%",$AJ500&lt;1),REPLACE(IF(AND($P500&gt;0,$V500&gt;0,$T500&gt;0,$X500&gt;0,$R500&gt;0,$Z500&gt;0,$AB500&gt;0,$AD500&gt;0,$AF500&gt;0,$AH500&gt;0),"","0-"),99,0,REPLACE(TEXT(100-$AJ500,0),99,0,"?    ")),"")))</f>
        <v/>
      </c>
      <c r="AJ500" s="1833">
        <f>IFERROR(IF(N500="%", SUM(P500,R500,T500,V500,X500,Z500,AB500,AD500,AF500,AH500)/100, SUM(P500,R500,T500,V500,X500,Z500,AB500,AD500,AF500,AH500)/H500), 0)</f>
        <v>0</v>
      </c>
      <c r="AL500" s="1832"/>
      <c r="AN500" s="1276"/>
      <c r="AP500" s="1653"/>
      <c r="AT500" s="1624" t="str">
        <f>IF(AND($C$458="", L500=""), "N/A", IF(AND(AJ500=1, L500&lt;&gt;"", N500&lt;&gt;"", P500&lt;&gt;"", R500&lt;&gt;"", T500&lt;&gt;"", V500&lt;&gt;"", X500&lt;&gt;"", Z500&lt;&gt;"", AB500&lt;&gt;"", AD500&lt;&gt;"", AF500&lt;&gt;"", AH500&lt;&gt;"",AL500&lt;&gt;"", IF(AND(AL500&lt;1, AN500=""), FALSE, TRUE)), "Yes", "No"))</f>
        <v>N/A</v>
      </c>
      <c r="AU500" s="759"/>
      <c r="AV500" s="759"/>
      <c r="AW500" s="759"/>
      <c r="AX500" s="759"/>
      <c r="AY500" s="759" t="b">
        <f>IF($L500="",FALSE,IF($L500&lt;$BO500,TRUE,FALSE))</f>
        <v>0</v>
      </c>
      <c r="AZ500" s="759" t="b">
        <f>IF($L500="",FALSE,IF($L500&gt;$BP500,TRUE,FALSE))</f>
        <v>0</v>
      </c>
      <c r="BA500" s="759" t="b">
        <f>IF(AND(E500&lt;&gt;"",$L500=""),TRUE,FALSE)</f>
        <v>0</v>
      </c>
      <c r="BB500" s="759" t="b">
        <f>IF(AND($AJ500&lt;&gt;0,$H500&lt;$AJ500,$N500="LF"),TRUE,IF(AND($N500="LF",H500&lt;&gt;"",H500=AJ500),FALSE,IF(AND($AJ500&lt;&gt;0,$AJ500&gt;"100%",$N500="%"),TRUE,FALSE)))</f>
        <v>0</v>
      </c>
      <c r="BC500" s="759" t="b">
        <f>IF(AT500="No", IF(OR(P500="", R500="", T500="", V500="", X500="", Z500="", AB500="", AD500="", AF500="", AH500=""), TRUE, FALSE), FALSE)</f>
        <v>0</v>
      </c>
      <c r="BD500" s="759" t="b">
        <f>IF($BE500=TRUE,FALSE,IF(OR($AL500&lt;0,$AL500&gt;1),TRUE,FALSE))</f>
        <v>0</v>
      </c>
      <c r="BE500" s="759" t="b">
        <f>IF(AND($E500&lt;&gt;"",$AL500=""),TRUE,FALSE)</f>
        <v>0</v>
      </c>
      <c r="BF500" s="759"/>
      <c r="BH500" s="1680"/>
      <c r="BI500" s="1678" t="str">
        <f>IF(N500="", "", IF(N500="Quantity", H500, IF(N500="%", 1, "")))</f>
        <v/>
      </c>
      <c r="BJ500" s="1679">
        <f>P500+R500+T500+V500+X500+Z500+AB500+AD500+AF500+AH500</f>
        <v>0</v>
      </c>
      <c r="BK500" s="1679" t="str">
        <f>IF(BI500="", "", BI500-BJ500)</f>
        <v/>
      </c>
      <c r="BL500" s="1680"/>
      <c r="BM500" s="1680"/>
      <c r="BN500" s="1678">
        <f>IF($C500="","",VLOOKUP($C500,Valid!$B$87:$F$96,5,FALSE))</f>
        <v>25</v>
      </c>
      <c r="BO500" s="1678">
        <f>IF($C500="","",VLOOKUP($C500,Valid!$B$87:$G$96,6,FALSE))</f>
        <v>19</v>
      </c>
      <c r="BP500" s="1678">
        <f>IF($C500="","",VLOOKUP($C500,Valid!$B$87:$Z$96,7,FALSE))</f>
        <v>31</v>
      </c>
    </row>
    <row r="501" spans="1:68" s="686" customFormat="1" ht="3.95" customHeight="1" x14ac:dyDescent="0.2">
      <c r="B501" s="1791">
        <v>489</v>
      </c>
      <c r="C501" s="1674"/>
      <c r="D501" s="1709"/>
      <c r="E501" s="1057"/>
      <c r="H501" s="1917"/>
      <c r="I501" s="1651"/>
      <c r="J501" s="1919"/>
      <c r="K501" s="1651"/>
      <c r="L501" s="1922"/>
      <c r="M501" s="1651"/>
      <c r="N501" s="1919"/>
      <c r="O501" s="1651"/>
      <c r="P501" s="1866"/>
      <c r="Q501" s="1867"/>
      <c r="R501" s="1866"/>
      <c r="S501" s="1867"/>
      <c r="T501" s="1866"/>
      <c r="U501" s="1867"/>
      <c r="V501" s="1866"/>
      <c r="W501" s="1867"/>
      <c r="X501" s="1866"/>
      <c r="Y501" s="1867"/>
      <c r="Z501" s="1867"/>
      <c r="AA501" s="1867"/>
      <c r="AB501" s="1867"/>
      <c r="AC501" s="1867"/>
      <c r="AD501" s="1867"/>
      <c r="AE501" s="1867"/>
      <c r="AF501" s="1867"/>
      <c r="AG501" s="1867"/>
      <c r="AH501" s="1867"/>
      <c r="AJ501" s="1792"/>
      <c r="AL501" s="1792"/>
      <c r="AN501" s="685"/>
      <c r="AP501" s="1394"/>
      <c r="AU501" s="848"/>
      <c r="AV501" s="848"/>
      <c r="AW501" s="848"/>
      <c r="AX501" s="848"/>
      <c r="AY501" s="759"/>
      <c r="AZ501" s="759"/>
      <c r="BA501" s="848"/>
      <c r="BB501" s="759"/>
      <c r="BC501" s="848"/>
      <c r="BD501" s="848"/>
      <c r="BE501" s="848"/>
      <c r="BF501" s="848"/>
      <c r="BH501" s="1680"/>
      <c r="BI501" s="1680"/>
      <c r="BJ501" s="1680"/>
      <c r="BK501" s="1680"/>
      <c r="BL501" s="1680"/>
      <c r="BM501" s="1680"/>
      <c r="BN501" s="1680"/>
      <c r="BO501" s="1680"/>
      <c r="BP501" s="1680"/>
    </row>
    <row r="502" spans="1:68" s="686" customFormat="1" ht="3.95" customHeight="1" thickBot="1" x14ac:dyDescent="0.25">
      <c r="B502" s="1790">
        <v>490</v>
      </c>
      <c r="C502" s="1674"/>
      <c r="D502" s="1709"/>
      <c r="E502" s="1057"/>
      <c r="H502" s="1917"/>
      <c r="I502" s="1651"/>
      <c r="J502" s="1651"/>
      <c r="K502" s="1651"/>
      <c r="L502" s="1917"/>
      <c r="M502" s="1651"/>
      <c r="N502" s="1651"/>
      <c r="O502" s="1651"/>
      <c r="P502" s="1868"/>
      <c r="Q502" s="1869"/>
      <c r="R502" s="1868"/>
      <c r="S502" s="1869"/>
      <c r="T502" s="1868"/>
      <c r="U502" s="1869"/>
      <c r="V502" s="1868"/>
      <c r="W502" s="1869"/>
      <c r="X502" s="1868"/>
      <c r="Y502" s="1869"/>
      <c r="Z502" s="1869"/>
      <c r="AA502" s="1869"/>
      <c r="AB502" s="1869"/>
      <c r="AC502" s="1869"/>
      <c r="AD502" s="1869"/>
      <c r="AE502" s="1869"/>
      <c r="AF502" s="1869"/>
      <c r="AG502" s="1869"/>
      <c r="AH502" s="1869"/>
      <c r="AI502" s="1670"/>
      <c r="AJ502" s="1676"/>
      <c r="AL502" s="1676"/>
      <c r="AP502" s="1394"/>
      <c r="AT502" s="1624"/>
      <c r="AU502" s="848"/>
      <c r="AV502" s="848"/>
      <c r="AW502" s="848"/>
      <c r="AX502" s="848"/>
      <c r="AY502" s="759"/>
      <c r="AZ502" s="759"/>
      <c r="BA502" s="848"/>
      <c r="BB502" s="759"/>
      <c r="BC502" s="848"/>
      <c r="BD502" s="848"/>
      <c r="BE502" s="848"/>
      <c r="BF502" s="848"/>
      <c r="BH502" s="1680"/>
      <c r="BI502" s="1680"/>
      <c r="BJ502" s="1680"/>
      <c r="BK502" s="1680"/>
      <c r="BL502" s="1680"/>
      <c r="BM502" s="1680"/>
      <c r="BN502" s="1680"/>
      <c r="BO502" s="1680"/>
      <c r="BP502" s="1680"/>
    </row>
    <row r="503" spans="1:68" s="686" customFormat="1" x14ac:dyDescent="0.2">
      <c r="A503" s="852">
        <f>A500+1</f>
        <v>126</v>
      </c>
      <c r="B503" s="1790">
        <v>491</v>
      </c>
      <c r="C503" s="851" t="str">
        <f>Valid!$B$91</f>
        <v>Train Control &amp; Signaling</v>
      </c>
      <c r="D503" s="1709"/>
      <c r="E503" s="1245" t="str">
        <f>IF(AT503="N/A","",IF(AT503="N","No","Yes"))</f>
        <v/>
      </c>
      <c r="H503" s="1917"/>
      <c r="I503" s="1904"/>
      <c r="J503" s="1919"/>
      <c r="K503" s="1651"/>
      <c r="L503" s="1864"/>
      <c r="M503" s="1920" t="str">
        <f>IF(AND(H491&lt;&gt;"", L503=""),REPLACE(TEXT(BN503,0),99,0," Yrs.?    "),"")</f>
        <v/>
      </c>
      <c r="N503" s="1921"/>
      <c r="O503" s="1870"/>
      <c r="P503" s="1864"/>
      <c r="Q503" s="1865" t="str">
        <f>IF(OR($N503="", AND($N503="",OR($H503="",$H503=0))),"",IF(AND($N503="Quantity",$AJ503&lt;$H503),"0 - "&amp;TEXT($H503-$AJ503,"0")&amp;" buildings?    ",IF(AND($N503="%",$AJ503&lt;1),REPLACE(IF(AND($P503&gt;0,$V503&gt;0,$T503&gt;0,$X503&gt;0,$R503&gt;0,$Z503&gt;0,$AB503&gt;0,$AD503&gt;0,$AF503&gt;0,$AH503&gt;0),"","0-"),99,0,REPLACE(TEXT(100-$AJ503,0),99,0,"?    ")),"")))</f>
        <v/>
      </c>
      <c r="R503" s="1864"/>
      <c r="S503" s="1865" t="str">
        <f>IF(OR($N503="", AND($N503="",OR($H503="",$H503=0))),"",IF(AND($N503="Quantity",$AJ503&lt;$H503),"0 - "&amp;TEXT($H503-$AJ503,"0")&amp;" buildings?    ",IF(AND($N503="%",$AJ503&lt;1),REPLACE(IF(AND($P503&gt;0,$V503&gt;0,$T503&gt;0,$X503&gt;0,$R503&gt;0,$Z503&gt;0,$AB503&gt;0,$AD503&gt;0,$AF503&gt;0,$AH503&gt;0),"","0-"),99,0,REPLACE(TEXT(100-$AJ503,0),99,0,"?    ")),"")))</f>
        <v/>
      </c>
      <c r="T503" s="1864"/>
      <c r="U503" s="1865" t="str">
        <f>IF(OR($N503="", AND($N503="",OR($H503="",$H503=0))),"",IF(AND($N503="Quantity",$AJ503&lt;$H503),"0 - "&amp;TEXT($H503-$AJ503,"0")&amp;" buildings?    ",IF(AND($N503="%",$AJ503&lt;1),REPLACE(IF(AND($P503&gt;0,$V503&gt;0,$T503&gt;0,$X503&gt;0,$R503&gt;0,$Z503&gt;0,$AB503&gt;0,$AD503&gt;0,$AF503&gt;0,$AH503&gt;0),"","0-"),99,0,REPLACE(TEXT(100-$AJ503,0),99,0,"?    ")),"")))</f>
        <v/>
      </c>
      <c r="V503" s="1864"/>
      <c r="W503" s="1865" t="str">
        <f>IF(OR($N503="", AND($N503="",OR($H503="",$H503=0))),"",IF(AND($N503="Quantity",$AJ503&lt;$H503),"0 - "&amp;TEXT($H503-$AJ503,"0")&amp;" buildings?    ",IF(AND($N503="%",$AJ503&lt;1),REPLACE(IF(AND($P503&gt;0,$V503&gt;0,$T503&gt;0,$X503&gt;0,$R503&gt;0,$Z503&gt;0,$AB503&gt;0,$AD503&gt;0,$AF503&gt;0,$AH503&gt;0),"","0-"),99,0,REPLACE(TEXT(100-$AJ503,0),99,0,"?    ")),"")))</f>
        <v/>
      </c>
      <c r="X503" s="1864"/>
      <c r="Y503" s="1865" t="str">
        <f>IF(OR($N503="", AND($N503="",OR($H503="",$H503=0))),"",IF(AND($N503="Quantity",$AJ503&lt;$H503),"0 - "&amp;TEXT($H503-$AJ503,"0")&amp;" buildings?    ",IF(AND($N503="%",$AJ503&lt;1),REPLACE(IF(AND($P503&gt;0,$V503&gt;0,$T503&gt;0,$X503&gt;0,$R503&gt;0,$Z503&gt;0,$AB503&gt;0,$AD503&gt;0,$AF503&gt;0,$AH503&gt;0),"","0-"),99,0,REPLACE(TEXT(100-$AJ503,0),99,0,"?    ")),"")))</f>
        <v/>
      </c>
      <c r="Z503" s="1864"/>
      <c r="AA503" s="1865" t="str">
        <f>IF(OR($N503="", AND($N503="",OR($H503="",$H503=0))),"",IF(AND($N503="Quantity",$AJ503&lt;$H503),"0 - "&amp;TEXT($H503-$AJ503,"0")&amp;" buildings?    ",IF(AND($N503="%",$AJ503&lt;1),REPLACE(IF(AND($P503&gt;0,$V503&gt;0,$T503&gt;0,$X503&gt;0,$R503&gt;0,$Z503&gt;0,$AB503&gt;0,$AD503&gt;0,$AF503&gt;0,$AH503&gt;0),"","0-"),99,0,REPLACE(TEXT(100-$AJ503,0),99,0,"?    ")),"")))</f>
        <v/>
      </c>
      <c r="AB503" s="1864"/>
      <c r="AC503" s="1865" t="str">
        <f>IF(OR($N503="", AND($N503="",OR($H503="",$H503=0))),"",IF(AND($N503="Quantity",$AJ503&lt;$H503),"0 - "&amp;TEXT($H503-$AJ503,"0")&amp;" buildings?    ",IF(AND($N503="%",$AJ503&lt;1),REPLACE(IF(AND($P503&gt;0,$V503&gt;0,$T503&gt;0,$X503&gt;0,$R503&gt;0,$Z503&gt;0,$AB503&gt;0,$AD503&gt;0,$AF503&gt;0,$AH503&gt;0),"","0-"),99,0,REPLACE(TEXT(100-$AJ503,0),99,0,"?    ")),"")))</f>
        <v/>
      </c>
      <c r="AD503" s="1864"/>
      <c r="AE503" s="1865" t="str">
        <f>IF(OR($N503="", AND($N503="",OR($H503="",$H503=0))),"",IF(AND($N503="Quantity",$AJ503&lt;$H503),"0 - "&amp;TEXT($H503-$AJ503,"0")&amp;" buildings?    ",IF(AND($N503="%",$AJ503&lt;1),REPLACE(IF(AND($P503&gt;0,$V503&gt;0,$T503&gt;0,$X503&gt;0,$R503&gt;0,$Z503&gt;0,$AB503&gt;0,$AD503&gt;0,$AF503&gt;0,$AH503&gt;0),"","0-"),99,0,REPLACE(TEXT(100-$AJ503,0),99,0,"?    ")),"")))</f>
        <v/>
      </c>
      <c r="AF503" s="1864"/>
      <c r="AG503" s="1865" t="str">
        <f>IF(OR($N503="", AND($N503="",OR($H503="",$H503=0))),"",IF(AND($N503="Quantity",$AJ503&lt;$H503),"0 - "&amp;TEXT($H503-$AJ503,"0")&amp;" buildings?    ",IF(AND($N503="%",$AJ503&lt;1),REPLACE(IF(AND($P503&gt;0,$V503&gt;0,$T503&gt;0,$X503&gt;0,$R503&gt;0,$Z503&gt;0,$AB503&gt;0,$AD503&gt;0,$AF503&gt;0,$AH503&gt;0),"","0-"),99,0,REPLACE(TEXT(100-$AJ503,0),99,0,"?    ")),"")))</f>
        <v/>
      </c>
      <c r="AH503" s="1864"/>
      <c r="AI503" s="1865" t="str">
        <f>IF(OR($N503="", AND($N503="",OR($H503="",$H503=0))),"",IF(AND($N503="Quantity",$AJ503&lt;$H503),"0 - "&amp;TEXT($H503-$AJ503,"0")&amp;" buildings?    ",IF(AND($N503="%",$AJ503&lt;1),REPLACE(IF(AND($P503&gt;0,$V503&gt;0,$T503&gt;0,$X503&gt;0,$R503&gt;0,$Z503&gt;0,$AB503&gt;0,$AD503&gt;0,$AF503&gt;0,$AH503&gt;0),"","0-"),99,0,REPLACE(TEXT(100-$AJ503,0),99,0,"?    ")),"")))</f>
        <v/>
      </c>
      <c r="AJ503" s="1833">
        <f>IFERROR(IF(N503="%", SUM(P503,R503,T503,V503,X503,Z503,AB503,AD503,AF503,AH503)/100, SUM(P503,R503,T503,V503,X503,Z503,AB503,AD503,AF503,AH503)/H503), 0)</f>
        <v>0</v>
      </c>
      <c r="AL503" s="1832"/>
      <c r="AN503" s="1276"/>
      <c r="AP503" s="1653"/>
      <c r="AT503" s="1624" t="str">
        <f>IF(AND($C$458="", L503=""), "N/A", IF(AND(AJ503=1, L503&lt;&gt;"", N503&lt;&gt;"", P503&lt;&gt;"", R503&lt;&gt;"", T503&lt;&gt;"", V503&lt;&gt;"", X503&lt;&gt;"", Z503&lt;&gt;"", AB503&lt;&gt;"", AD503&lt;&gt;"", AF503&lt;&gt;"", AH503&lt;&gt;"",AL503&lt;&gt;"", IF(AND(AL503&lt;1, AN503=""), FALSE, TRUE)), "Yes", "No"))</f>
        <v>N/A</v>
      </c>
      <c r="AU503" s="759"/>
      <c r="AV503" s="759"/>
      <c r="AW503" s="759"/>
      <c r="AX503" s="759"/>
      <c r="AY503" s="759" t="b">
        <f>IF($L503="",FALSE,IF($L503&lt;$BO503,TRUE,FALSE))</f>
        <v>0</v>
      </c>
      <c r="AZ503" s="759" t="b">
        <f>IF($L503="",FALSE,IF($L503&gt;$BP503,TRUE,FALSE))</f>
        <v>0</v>
      </c>
      <c r="BA503" s="759" t="b">
        <f>IF(AND(E503&lt;&gt;"",$L503=""),TRUE,FALSE)</f>
        <v>0</v>
      </c>
      <c r="BB503" s="759" t="b">
        <f>IF(AND($AJ503&lt;&gt;0,$H503&lt;$AJ503,$N503="LF"),TRUE,IF(AND($N503="LF",H503&lt;&gt;"",H503=AJ503),FALSE,IF(AND($AJ503&lt;&gt;0,$AJ503&gt;"100%",$N503="%"),TRUE,FALSE)))</f>
        <v>0</v>
      </c>
      <c r="BC503" s="759" t="b">
        <f>IF(AT503="No", IF(OR(P503="", R503="", T503="", V503="", X503="", Z503="", AB503="", AD503="", AF503="", AH503=""), TRUE, FALSE), FALSE)</f>
        <v>0</v>
      </c>
      <c r="BD503" s="759" t="b">
        <f>IF($BE503=TRUE,FALSE,IF(OR($AL503&lt;0,$AL503&gt;1),TRUE,FALSE))</f>
        <v>0</v>
      </c>
      <c r="BE503" s="759" t="b">
        <f>IF(AND($E503&lt;&gt;"",$AL503=""),TRUE,FALSE)</f>
        <v>0</v>
      </c>
      <c r="BF503" s="759"/>
      <c r="BH503" s="1680"/>
      <c r="BI503" s="1678" t="str">
        <f>IF(N503="", "", IF(N503="Quantity", H503, IF(N503="%", 1, "")))</f>
        <v/>
      </c>
      <c r="BJ503" s="1679">
        <f>P503+R503+T503+V503+X503+Z503+AB503+AD503+AF503+AH503</f>
        <v>0</v>
      </c>
      <c r="BK503" s="1679" t="str">
        <f>IF(BI503="", "", BI503-BJ503)</f>
        <v/>
      </c>
      <c r="BL503" s="1680"/>
      <c r="BM503" s="1680"/>
      <c r="BN503" s="1678">
        <f>IF($C503="","",VLOOKUP($C503,Valid!$B$87:$F$96,5,FALSE))</f>
        <v>25</v>
      </c>
      <c r="BO503" s="1678">
        <f>IF($C503="","",VLOOKUP($C503,Valid!$B$87:$G$96,6,FALSE))</f>
        <v>19</v>
      </c>
      <c r="BP503" s="1678">
        <f>IF($C503="","",VLOOKUP($C503,Valid!$B$87:$Z$96,7,FALSE))</f>
        <v>31</v>
      </c>
    </row>
    <row r="504" spans="1:68" s="686" customFormat="1" ht="3.95" customHeight="1" x14ac:dyDescent="0.2">
      <c r="B504" s="1791">
        <v>492</v>
      </c>
      <c r="C504" s="1674"/>
      <c r="D504" s="1709"/>
      <c r="E504" s="1057"/>
      <c r="H504" s="1922"/>
      <c r="I504" s="1651"/>
      <c r="J504" s="1919"/>
      <c r="K504" s="1651"/>
      <c r="L504" s="1922"/>
      <c r="M504" s="1651"/>
      <c r="N504" s="1919"/>
      <c r="O504" s="1651"/>
      <c r="P504" s="1919"/>
      <c r="Q504" s="1651"/>
      <c r="R504" s="1919"/>
      <c r="S504" s="1651"/>
      <c r="T504" s="1919"/>
      <c r="U504" s="1651"/>
      <c r="V504" s="1919"/>
      <c r="W504" s="1651"/>
      <c r="X504" s="1919"/>
      <c r="Y504" s="1651"/>
      <c r="Z504" s="1919"/>
      <c r="AA504" s="1651"/>
      <c r="AB504" s="1919"/>
      <c r="AC504" s="1651"/>
      <c r="AD504" s="1919"/>
      <c r="AE504" s="1651"/>
      <c r="AF504" s="1919"/>
      <c r="AG504" s="1651"/>
      <c r="AH504" s="1919"/>
      <c r="AJ504" s="1792"/>
      <c r="AL504" s="1792"/>
      <c r="AN504" s="685"/>
      <c r="AP504" s="1394"/>
      <c r="AU504" s="848"/>
      <c r="AV504" s="848"/>
      <c r="AW504" s="848"/>
      <c r="AX504" s="848"/>
      <c r="AY504" s="759"/>
      <c r="AZ504" s="759"/>
      <c r="BA504" s="848"/>
      <c r="BB504" s="759"/>
      <c r="BC504" s="848"/>
      <c r="BD504" s="848"/>
      <c r="BE504" s="848"/>
      <c r="BF504" s="848"/>
      <c r="BH504" s="1680"/>
      <c r="BI504" s="1680"/>
      <c r="BJ504" s="1680"/>
      <c r="BK504" s="1680"/>
      <c r="BL504" s="1680"/>
      <c r="BM504" s="1680"/>
      <c r="BN504" s="1680"/>
      <c r="BO504" s="1680"/>
      <c r="BP504" s="1680"/>
    </row>
    <row r="505" spans="1:68" s="686" customFormat="1" ht="3.95" customHeight="1" x14ac:dyDescent="0.2">
      <c r="B505" s="1791">
        <v>493</v>
      </c>
      <c r="C505" s="1674"/>
      <c r="D505" s="1709"/>
      <c r="E505" s="1057"/>
      <c r="H505" s="1917"/>
      <c r="I505" s="1651"/>
      <c r="J505" s="1651"/>
      <c r="K505" s="1651"/>
      <c r="L505" s="1917"/>
      <c r="M505" s="1651"/>
      <c r="N505" s="1651"/>
      <c r="O505" s="1651"/>
      <c r="P505" s="1651"/>
      <c r="Q505" s="1651"/>
      <c r="R505" s="1651"/>
      <c r="S505" s="1651"/>
      <c r="T505" s="1651"/>
      <c r="U505" s="1651"/>
      <c r="V505" s="1651"/>
      <c r="W505" s="1651"/>
      <c r="X505" s="1651"/>
      <c r="Y505" s="1651"/>
      <c r="Z505" s="1651"/>
      <c r="AA505" s="1651"/>
      <c r="AB505" s="1651"/>
      <c r="AC505" s="1651"/>
      <c r="AD505" s="1651"/>
      <c r="AE505" s="1651"/>
      <c r="AF505" s="1651"/>
      <c r="AG505" s="1651"/>
      <c r="AH505" s="1651"/>
      <c r="AJ505" s="1676"/>
      <c r="AL505" s="1676"/>
      <c r="AP505" s="1394"/>
      <c r="AU505" s="848"/>
      <c r="AV505" s="848"/>
      <c r="AW505" s="848"/>
      <c r="AX505" s="848"/>
      <c r="AY505" s="759"/>
      <c r="AZ505" s="759"/>
      <c r="BA505" s="848"/>
      <c r="BB505" s="759"/>
      <c r="BC505" s="848"/>
      <c r="BD505" s="848"/>
      <c r="BE505" s="848"/>
      <c r="BF505" s="848"/>
      <c r="BH505" s="1680"/>
      <c r="BI505" s="1680"/>
      <c r="BJ505" s="1680"/>
      <c r="BK505" s="1680"/>
      <c r="BL505" s="1680"/>
      <c r="BM505" s="1680"/>
      <c r="BN505" s="1680"/>
      <c r="BO505" s="1680"/>
      <c r="BP505" s="1680"/>
    </row>
    <row r="506" spans="1:68" s="686" customFormat="1" ht="3.95" customHeight="1" x14ac:dyDescent="0.2">
      <c r="B506" s="1791">
        <v>494</v>
      </c>
      <c r="C506" s="1674"/>
      <c r="D506" s="1709"/>
      <c r="E506" s="1057"/>
      <c r="H506" s="1917"/>
      <c r="I506" s="1651"/>
      <c r="J506" s="1651"/>
      <c r="K506" s="1651"/>
      <c r="L506" s="1917"/>
      <c r="M506" s="1651"/>
      <c r="N506" s="1651"/>
      <c r="O506" s="1651"/>
      <c r="P506" s="1651"/>
      <c r="Q506" s="1651"/>
      <c r="R506" s="1651"/>
      <c r="S506" s="1651"/>
      <c r="T506" s="1651"/>
      <c r="U506" s="1651"/>
      <c r="V506" s="1651"/>
      <c r="W506" s="1651"/>
      <c r="X506" s="1651"/>
      <c r="Y506" s="1651"/>
      <c r="Z506" s="1651"/>
      <c r="AA506" s="1651"/>
      <c r="AB506" s="1651"/>
      <c r="AC506" s="1651"/>
      <c r="AD506" s="1651"/>
      <c r="AE506" s="1651"/>
      <c r="AF506" s="1651"/>
      <c r="AG506" s="1651"/>
      <c r="AH506" s="1651"/>
      <c r="AJ506" s="1676"/>
      <c r="AL506" s="1676"/>
      <c r="AP506" s="1394"/>
      <c r="AU506" s="848"/>
      <c r="AV506" s="848"/>
      <c r="AW506" s="848"/>
      <c r="AX506" s="848"/>
      <c r="AY506" s="759"/>
      <c r="AZ506" s="759"/>
      <c r="BA506" s="848"/>
      <c r="BB506" s="759"/>
      <c r="BC506" s="848"/>
      <c r="BD506" s="848"/>
      <c r="BE506" s="848"/>
      <c r="BF506" s="848"/>
      <c r="BH506" s="1680"/>
      <c r="BI506" s="1680"/>
      <c r="BJ506" s="1680"/>
      <c r="BK506" s="1680"/>
      <c r="BL506" s="1680"/>
      <c r="BM506" s="1680"/>
      <c r="BN506" s="1680"/>
      <c r="BO506" s="1680"/>
      <c r="BP506" s="1680"/>
    </row>
    <row r="507" spans="1:68" s="686" customFormat="1" ht="3.95" customHeight="1" x14ac:dyDescent="0.2">
      <c r="B507" s="1790">
        <v>495</v>
      </c>
      <c r="C507" s="1677"/>
      <c r="D507" s="1709"/>
      <c r="E507" s="1057"/>
      <c r="H507" s="1922"/>
      <c r="I507" s="1651"/>
      <c r="J507" s="1919"/>
      <c r="K507" s="1651"/>
      <c r="L507" s="1922"/>
      <c r="M507" s="1651"/>
      <c r="N507" s="1919"/>
      <c r="O507" s="1651"/>
      <c r="P507" s="1919"/>
      <c r="Q507" s="1651"/>
      <c r="R507" s="1919"/>
      <c r="S507" s="1651"/>
      <c r="T507" s="1919"/>
      <c r="U507" s="1651"/>
      <c r="V507" s="1919"/>
      <c r="W507" s="1651"/>
      <c r="X507" s="1919"/>
      <c r="Y507" s="1651"/>
      <c r="Z507" s="1919"/>
      <c r="AA507" s="1651"/>
      <c r="AB507" s="1919"/>
      <c r="AC507" s="1651"/>
      <c r="AD507" s="1919"/>
      <c r="AE507" s="1651"/>
      <c r="AF507" s="1919"/>
      <c r="AG507" s="1651"/>
      <c r="AH507" s="1919"/>
      <c r="AJ507" s="1792"/>
      <c r="AL507" s="1792"/>
      <c r="AN507" s="685"/>
      <c r="AP507" s="1223"/>
      <c r="AU507" s="848"/>
      <c r="AV507" s="848"/>
      <c r="AW507" s="848"/>
      <c r="AX507" s="848"/>
      <c r="AY507" s="848"/>
      <c r="AZ507" s="848"/>
      <c r="BA507" s="848"/>
      <c r="BB507" s="848"/>
      <c r="BC507" s="848"/>
      <c r="BD507" s="848"/>
      <c r="BE507" s="848"/>
      <c r="BF507" s="848"/>
      <c r="BH507" s="1680"/>
      <c r="BI507" s="1680"/>
      <c r="BJ507" s="1680"/>
      <c r="BK507" s="1680"/>
      <c r="BL507" s="1680"/>
      <c r="BM507" s="1680"/>
      <c r="BN507" s="1680"/>
      <c r="BO507" s="1680"/>
      <c r="BP507" s="1680"/>
    </row>
    <row r="508" spans="1:68" s="686" customFormat="1" ht="3.95" customHeight="1" x14ac:dyDescent="0.2">
      <c r="A508" s="1809"/>
      <c r="B508" s="1810">
        <v>52</v>
      </c>
      <c r="C508" s="1811"/>
      <c r="D508" s="1842"/>
      <c r="E508" s="1812"/>
      <c r="F508" s="1809"/>
      <c r="G508" s="1809"/>
      <c r="H508" s="1923"/>
      <c r="I508" s="1924"/>
      <c r="J508" s="1924"/>
      <c r="K508" s="1924"/>
      <c r="L508" s="1923"/>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1924"/>
      <c r="AH508" s="1924"/>
      <c r="AI508" s="1809"/>
      <c r="AJ508" s="1829"/>
      <c r="AK508" s="1809"/>
      <c r="AL508" s="1829"/>
      <c r="AM508" s="1809"/>
      <c r="AN508" s="1809"/>
      <c r="AO508" s="1809"/>
      <c r="AP508" s="1813"/>
      <c r="AQ508" s="1809"/>
      <c r="AR508" s="1809"/>
      <c r="AS508" s="1809"/>
      <c r="AT508" s="1809"/>
      <c r="AU508" s="1814"/>
      <c r="AV508" s="1814"/>
      <c r="AW508" s="1814"/>
      <c r="AX508" s="1814"/>
      <c r="AY508" s="1814"/>
      <c r="AZ508" s="1814"/>
      <c r="BA508" s="1814"/>
      <c r="BB508" s="1814"/>
      <c r="BC508" s="1814"/>
      <c r="BD508" s="1814"/>
      <c r="BE508" s="1814"/>
      <c r="BF508" s="1814"/>
      <c r="BG508" s="1809"/>
      <c r="BH508" s="1814"/>
      <c r="BI508" s="1814"/>
      <c r="BJ508" s="1814"/>
      <c r="BK508" s="1814"/>
      <c r="BL508" s="1814"/>
      <c r="BM508" s="1814"/>
      <c r="BN508" s="1814"/>
      <c r="BO508" s="1814"/>
      <c r="BP508" s="1814"/>
    </row>
    <row r="509" spans="1:68" s="686" customFormat="1" ht="3.95" customHeight="1" x14ac:dyDescent="0.2">
      <c r="B509" s="1791">
        <v>497</v>
      </c>
      <c r="C509" s="1677"/>
      <c r="D509" s="1709"/>
      <c r="E509" s="1057"/>
      <c r="H509" s="1917"/>
      <c r="I509" s="1651"/>
      <c r="J509" s="1651"/>
      <c r="K509" s="1651"/>
      <c r="L509" s="1917"/>
      <c r="M509" s="1651"/>
      <c r="N509" s="1651"/>
      <c r="O509" s="1651"/>
      <c r="P509" s="1651"/>
      <c r="Q509" s="1651"/>
      <c r="R509" s="1651"/>
      <c r="S509" s="1651"/>
      <c r="T509" s="1651"/>
      <c r="U509" s="1651"/>
      <c r="V509" s="1651"/>
      <c r="W509" s="1651"/>
      <c r="X509" s="1651"/>
      <c r="Y509" s="1651"/>
      <c r="Z509" s="1651"/>
      <c r="AA509" s="1651"/>
      <c r="AB509" s="1651"/>
      <c r="AC509" s="1651"/>
      <c r="AD509" s="1651"/>
      <c r="AE509" s="1651"/>
      <c r="AF509" s="1651"/>
      <c r="AG509" s="1651"/>
      <c r="AH509" s="1651"/>
      <c r="AJ509" s="1676"/>
      <c r="AL509" s="1676"/>
      <c r="AP509" s="1394"/>
      <c r="AU509" s="848"/>
      <c r="AV509" s="848"/>
      <c r="AW509" s="848"/>
      <c r="AX509" s="848"/>
      <c r="AY509" s="848"/>
      <c r="AZ509" s="848"/>
      <c r="BA509" s="848"/>
      <c r="BB509" s="848"/>
      <c r="BC509" s="848"/>
      <c r="BD509" s="848"/>
      <c r="BE509" s="848"/>
      <c r="BF509" s="848"/>
      <c r="BH509" s="1680"/>
      <c r="BI509" s="1680"/>
      <c r="BJ509" s="1680"/>
      <c r="BK509" s="1680"/>
      <c r="BL509" s="1680"/>
      <c r="BM509" s="1680"/>
      <c r="BN509" s="1680"/>
      <c r="BO509" s="1680"/>
      <c r="BP509" s="1680"/>
    </row>
    <row r="510" spans="1:68" s="686" customFormat="1" ht="3.95" customHeight="1" x14ac:dyDescent="0.2">
      <c r="B510" s="1791">
        <v>498</v>
      </c>
      <c r="C510" s="1677"/>
      <c r="D510" s="1709"/>
      <c r="E510" s="1057"/>
      <c r="H510" s="1922"/>
      <c r="I510" s="1651"/>
      <c r="J510" s="1919"/>
      <c r="K510" s="1651"/>
      <c r="L510" s="1925"/>
      <c r="M510" s="1651"/>
      <c r="N510" s="1919"/>
      <c r="O510" s="1651"/>
      <c r="P510" s="1919"/>
      <c r="Q510" s="1651"/>
      <c r="R510" s="1919"/>
      <c r="S510" s="1651"/>
      <c r="T510" s="1919"/>
      <c r="U510" s="1651"/>
      <c r="V510" s="1919"/>
      <c r="W510" s="1651"/>
      <c r="X510" s="1919"/>
      <c r="Y510" s="1651"/>
      <c r="Z510" s="1919"/>
      <c r="AA510" s="1651"/>
      <c r="AB510" s="1919"/>
      <c r="AC510" s="1651"/>
      <c r="AD510" s="1919"/>
      <c r="AE510" s="1651"/>
      <c r="AF510" s="1919"/>
      <c r="AG510" s="1651"/>
      <c r="AH510" s="1919"/>
      <c r="AJ510" s="1792"/>
      <c r="AL510" s="1792"/>
      <c r="AN510" s="685"/>
      <c r="AP510" s="1057"/>
      <c r="AU510" s="848"/>
      <c r="AV510" s="848"/>
      <c r="AW510" s="848"/>
      <c r="AX510" s="848"/>
      <c r="AY510" s="848"/>
      <c r="AZ510" s="848"/>
      <c r="BA510" s="848"/>
      <c r="BB510" s="848"/>
      <c r="BC510" s="848"/>
      <c r="BD510" s="848"/>
      <c r="BE510" s="848"/>
      <c r="BF510" s="848"/>
      <c r="BH510" s="1680"/>
      <c r="BI510" s="1680"/>
      <c r="BJ510" s="1680"/>
      <c r="BK510" s="1680"/>
      <c r="BL510" s="1680"/>
      <c r="BM510" s="1680"/>
      <c r="BN510" s="1680"/>
      <c r="BO510" s="1680"/>
      <c r="BP510" s="1680"/>
    </row>
    <row r="511" spans="1:68" s="686" customFormat="1" ht="3.95" customHeight="1" x14ac:dyDescent="0.2">
      <c r="B511" s="1791">
        <v>499</v>
      </c>
      <c r="C511" s="1677"/>
      <c r="D511" s="1709"/>
      <c r="E511" s="1057"/>
      <c r="H511" s="1917"/>
      <c r="I511" s="1651"/>
      <c r="J511" s="1651"/>
      <c r="K511" s="1651"/>
      <c r="L511" s="1926"/>
      <c r="M511" s="1651"/>
      <c r="N511" s="1651"/>
      <c r="O511" s="1651"/>
      <c r="P511" s="1651"/>
      <c r="Q511" s="1651"/>
      <c r="R511" s="1651"/>
      <c r="S511" s="1651"/>
      <c r="T511" s="1651"/>
      <c r="U511" s="1651"/>
      <c r="V511" s="1651"/>
      <c r="W511" s="1651"/>
      <c r="X511" s="1651"/>
      <c r="Y511" s="1651"/>
      <c r="Z511" s="1651"/>
      <c r="AA511" s="1651"/>
      <c r="AB511" s="1651"/>
      <c r="AC511" s="1651"/>
      <c r="AD511" s="1651"/>
      <c r="AE511" s="1651"/>
      <c r="AF511" s="1651"/>
      <c r="AG511" s="1651"/>
      <c r="AH511" s="1651"/>
      <c r="AJ511" s="1676"/>
      <c r="AL511" s="1676"/>
      <c r="AP511" s="1057"/>
      <c r="AU511" s="848"/>
      <c r="AV511" s="848"/>
      <c r="AW511" s="848"/>
      <c r="AX511" s="848"/>
      <c r="AY511" s="848"/>
      <c r="AZ511" s="848"/>
      <c r="BA511" s="848"/>
      <c r="BB511" s="848"/>
      <c r="BC511" s="848"/>
      <c r="BD511" s="848"/>
      <c r="BE511" s="848"/>
      <c r="BF511" s="848"/>
      <c r="BH511" s="1680"/>
      <c r="BI511" s="1680"/>
      <c r="BJ511" s="1680"/>
      <c r="BK511" s="1680"/>
      <c r="BL511" s="1680"/>
      <c r="BM511" s="1680"/>
      <c r="BN511" s="1680"/>
      <c r="BO511" s="1680"/>
      <c r="BP511" s="1680"/>
    </row>
    <row r="512" spans="1:68" s="686" customFormat="1" ht="3.95" customHeight="1" x14ac:dyDescent="0.2">
      <c r="B512" s="1790">
        <v>500</v>
      </c>
      <c r="C512" s="1677"/>
      <c r="D512" s="1709"/>
      <c r="E512" s="1057"/>
      <c r="H512" s="1917"/>
      <c r="I512" s="1651"/>
      <c r="J512" s="1651"/>
      <c r="K512" s="1651"/>
      <c r="L512" s="1917"/>
      <c r="M512" s="1651"/>
      <c r="N512" s="1651"/>
      <c r="O512" s="1651"/>
      <c r="P512" s="1651"/>
      <c r="Q512" s="1651"/>
      <c r="R512" s="1651"/>
      <c r="S512" s="1651"/>
      <c r="T512" s="1651"/>
      <c r="U512" s="1651"/>
      <c r="V512" s="1651"/>
      <c r="W512" s="1651"/>
      <c r="X512" s="1651"/>
      <c r="Y512" s="1651"/>
      <c r="Z512" s="1651"/>
      <c r="AA512" s="1651"/>
      <c r="AB512" s="1651"/>
      <c r="AC512" s="1651"/>
      <c r="AD512" s="1651"/>
      <c r="AE512" s="1651"/>
      <c r="AF512" s="1651"/>
      <c r="AG512" s="1651"/>
      <c r="AH512" s="1651"/>
      <c r="AJ512" s="1676"/>
      <c r="AL512" s="1676"/>
      <c r="AP512" s="1057"/>
      <c r="AU512" s="848"/>
      <c r="AV512" s="848"/>
      <c r="AW512" s="848"/>
      <c r="AX512" s="848"/>
      <c r="AY512" s="848"/>
      <c r="AZ512" s="848"/>
      <c r="BA512" s="848"/>
      <c r="BB512" s="848"/>
      <c r="BC512" s="848"/>
      <c r="BD512" s="848"/>
      <c r="BE512" s="848"/>
      <c r="BF512" s="848"/>
      <c r="BH512" s="1680"/>
      <c r="BI512" s="1680"/>
      <c r="BJ512" s="1680"/>
      <c r="BK512" s="1680"/>
      <c r="BL512" s="1680"/>
      <c r="BM512" s="1680"/>
      <c r="BN512" s="1680"/>
      <c r="BO512" s="1680"/>
      <c r="BP512" s="1680"/>
    </row>
    <row r="513" spans="1:69" s="782" customFormat="1" ht="3.95" customHeight="1" x14ac:dyDescent="0.2">
      <c r="A513" s="816"/>
      <c r="B513" s="1790">
        <v>501</v>
      </c>
      <c r="C513" s="1271"/>
      <c r="D513" s="1841"/>
      <c r="E513" s="721"/>
      <c r="F513" s="736"/>
      <c r="G513" s="736"/>
      <c r="H513" s="1927"/>
      <c r="I513" s="1928"/>
      <c r="J513" s="1928"/>
      <c r="K513" s="1928"/>
      <c r="L513" s="1929"/>
      <c r="M513" s="722"/>
      <c r="N513" s="722"/>
      <c r="O513" s="722"/>
      <c r="P513" s="1891"/>
      <c r="Q513" s="1930"/>
      <c r="R513" s="1931"/>
      <c r="S513" s="1930"/>
      <c r="T513" s="1931"/>
      <c r="U513" s="1930"/>
      <c r="V513" s="1931"/>
      <c r="W513" s="1930"/>
      <c r="X513" s="1931"/>
      <c r="Y513" s="1894"/>
      <c r="Z513" s="1894"/>
      <c r="AA513" s="1894"/>
      <c r="AB513" s="1894"/>
      <c r="AC513" s="1894"/>
      <c r="AD513" s="1894"/>
      <c r="AE513" s="1894"/>
      <c r="AF513" s="1894"/>
      <c r="AG513" s="1894"/>
      <c r="AH513" s="1894"/>
      <c r="AI513" s="821"/>
      <c r="AJ513" s="1826"/>
      <c r="AK513" s="781"/>
      <c r="AL513" s="1831"/>
      <c r="AM513" s="824"/>
      <c r="AN513" s="822"/>
      <c r="AO513" s="824"/>
      <c r="AP513" s="1391"/>
      <c r="AQ513" s="824"/>
      <c r="AT513" s="824"/>
      <c r="AU513" s="759"/>
      <c r="AV513" s="759"/>
      <c r="AW513" s="759"/>
      <c r="AX513" s="759"/>
      <c r="AY513" s="759"/>
      <c r="AZ513" s="759"/>
      <c r="BA513" s="759"/>
      <c r="BB513" s="759"/>
      <c r="BC513" s="759"/>
      <c r="BD513" s="759"/>
      <c r="BE513" s="759"/>
      <c r="BF513" s="759"/>
      <c r="BG513" s="760"/>
      <c r="BH513" s="1681"/>
      <c r="BI513" s="1681"/>
      <c r="BJ513" s="1681"/>
      <c r="BK513" s="1681"/>
      <c r="BL513" s="1681"/>
      <c r="BM513" s="1681"/>
      <c r="BN513" s="1681"/>
      <c r="BO513" s="1681"/>
      <c r="BP513" s="1681"/>
      <c r="BQ513" s="824"/>
    </row>
    <row r="514" spans="1:69" s="782" customFormat="1" ht="15.75" x14ac:dyDescent="0.2">
      <c r="A514" s="1712" t="s">
        <v>2621</v>
      </c>
      <c r="B514" s="1791">
        <v>502</v>
      </c>
      <c r="C514" s="1669"/>
      <c r="D514" s="1248" t="str">
        <f>IF(AND(C458&lt;&gt;"",$C514=""),"Select Mode from Pull-Down List                           ","")</f>
        <v/>
      </c>
      <c r="E514" s="1277" t="str">
        <f>IF(AND(C514="",OR(H544&lt;&gt;0,J544&lt;&gt;0,H547&lt;&gt;0)),"&lt;&lt; Insert Rail Mode",IF(AND(C458="",C514&lt;&gt;""),"&lt;&lt;Complete Previous Section First",""))</f>
        <v/>
      </c>
      <c r="F514" s="736"/>
      <c r="G514" s="736"/>
      <c r="H514" s="1932"/>
      <c r="I514" s="1896"/>
      <c r="J514" s="1897"/>
      <c r="K514" s="1897"/>
      <c r="L514" s="1933"/>
      <c r="M514" s="1896"/>
      <c r="N514" s="1896"/>
      <c r="O514" s="1896"/>
      <c r="P514" s="1898"/>
      <c r="Q514" s="1896"/>
      <c r="R514" s="1898"/>
      <c r="S514" s="1896"/>
      <c r="T514" s="1898"/>
      <c r="U514" s="1896"/>
      <c r="V514" s="1898"/>
      <c r="W514" s="1896"/>
      <c r="X514" s="1898"/>
      <c r="Y514" s="1896"/>
      <c r="Z514" s="1896"/>
      <c r="AA514" s="1896"/>
      <c r="AB514" s="1896"/>
      <c r="AC514" s="1896"/>
      <c r="AD514" s="1896"/>
      <c r="AE514" s="1896"/>
      <c r="AF514" s="1896"/>
      <c r="AG514" s="1896"/>
      <c r="AH514" s="1896"/>
      <c r="AI514" s="1254"/>
      <c r="AJ514" s="1827"/>
      <c r="AK514" s="1254"/>
      <c r="AL514" s="1827"/>
      <c r="AM514" s="832"/>
      <c r="AN514" s="1254"/>
      <c r="AO514" s="832"/>
      <c r="AP514" s="1399"/>
      <c r="AQ514" s="832"/>
      <c r="AS514" s="758"/>
      <c r="AT514" s="758" t="b">
        <f>IF(OR(E514&lt;&gt;"",E570="Complete Previous Section First"),TRUE,FALSE)</f>
        <v>0</v>
      </c>
      <c r="AU514" s="763"/>
      <c r="AV514" s="763"/>
      <c r="AW514" s="763"/>
      <c r="AX514" s="763"/>
      <c r="AY514" s="763"/>
      <c r="AZ514" s="763"/>
      <c r="BA514" s="763"/>
      <c r="BB514" s="763"/>
      <c r="BC514" s="763"/>
      <c r="BD514" s="763"/>
      <c r="BE514" s="763"/>
      <c r="BF514" s="759"/>
      <c r="BG514" s="760"/>
      <c r="BH514" s="1678"/>
      <c r="BI514" s="1678"/>
      <c r="BJ514" s="1678"/>
      <c r="BK514" s="1678"/>
      <c r="BL514" s="1678"/>
      <c r="BM514" s="1678"/>
      <c r="BN514" s="1678"/>
      <c r="BO514" s="1678"/>
      <c r="BP514" s="1678"/>
      <c r="BQ514" s="832"/>
    </row>
    <row r="515" spans="1:69" s="782" customFormat="1" ht="3.95" customHeight="1" x14ac:dyDescent="0.2">
      <c r="A515" s="721"/>
      <c r="B515" s="1791">
        <v>503</v>
      </c>
      <c r="C515" s="828"/>
      <c r="D515" s="1841"/>
      <c r="E515" s="721"/>
      <c r="F515" s="281"/>
      <c r="G515" s="281"/>
      <c r="H515" s="1934"/>
      <c r="I515" s="1899"/>
      <c r="J515" s="1899"/>
      <c r="K515" s="1899"/>
      <c r="L515" s="1909"/>
      <c r="M515" s="722"/>
      <c r="N515" s="722"/>
      <c r="O515" s="722"/>
      <c r="P515" s="1900"/>
      <c r="Q515" s="1901"/>
      <c r="R515" s="1900"/>
      <c r="S515" s="1901"/>
      <c r="T515" s="1900"/>
      <c r="U515" s="1901"/>
      <c r="V515" s="1900"/>
      <c r="W515" s="1901"/>
      <c r="X515" s="1900"/>
      <c r="Y515" s="1902"/>
      <c r="Z515" s="1902"/>
      <c r="AA515" s="1902"/>
      <c r="AB515" s="1902"/>
      <c r="AC515" s="1902"/>
      <c r="AD515" s="1902"/>
      <c r="AE515" s="1902"/>
      <c r="AF515" s="1902"/>
      <c r="AG515" s="1902"/>
      <c r="AH515" s="1902"/>
      <c r="AI515" s="831"/>
      <c r="AJ515" s="1828"/>
      <c r="AK515" s="724"/>
      <c r="AL515" s="1806"/>
      <c r="AM515" s="832"/>
      <c r="AN515" s="724"/>
      <c r="AO515" s="832"/>
      <c r="AP515" s="1399"/>
      <c r="AQ515" s="832"/>
      <c r="AS515" s="824"/>
      <c r="AT515" s="832"/>
      <c r="AU515" s="759"/>
      <c r="AV515" s="759"/>
      <c r="AW515" s="759"/>
      <c r="AX515" s="759"/>
      <c r="AY515" s="759"/>
      <c r="AZ515" s="759"/>
      <c r="BA515" s="759"/>
      <c r="BB515" s="759"/>
      <c r="BC515" s="759"/>
      <c r="BD515" s="759"/>
      <c r="BE515" s="759"/>
      <c r="BF515" s="759"/>
      <c r="BG515" s="760"/>
      <c r="BH515" s="1678"/>
      <c r="BI515" s="1678"/>
      <c r="BJ515" s="1678"/>
      <c r="BK515" s="1678"/>
      <c r="BL515" s="1678"/>
      <c r="BM515" s="1678"/>
      <c r="BN515" s="1678"/>
      <c r="BO515" s="1678"/>
      <c r="BP515" s="1678"/>
      <c r="BQ515" s="832"/>
    </row>
    <row r="516" spans="1:69" s="782" customFormat="1" x14ac:dyDescent="0.2">
      <c r="A516" s="1712" t="s">
        <v>2621</v>
      </c>
      <c r="B516" s="1791">
        <v>504</v>
      </c>
      <c r="C516" s="844" t="str">
        <f>IF(C514="","Guideway (Excludes Track)",VLOOKUP(C514,Codes!$C$156:$D$174,2)&amp;" Guideway (Excludes Track)")</f>
        <v>Guideway (Excludes Track)</v>
      </c>
      <c r="D516" s="1841"/>
      <c r="E516" s="721"/>
      <c r="F516" s="281"/>
      <c r="G516" s="281"/>
      <c r="H516" s="1934"/>
      <c r="I516" s="1899"/>
      <c r="J516" s="1899"/>
      <c r="K516" s="1899"/>
      <c r="L516" s="1909"/>
      <c r="M516" s="722"/>
      <c r="N516" s="722"/>
      <c r="O516" s="722"/>
      <c r="P516" s="1900"/>
      <c r="Q516" s="1901"/>
      <c r="R516" s="1900"/>
      <c r="S516" s="1901"/>
      <c r="T516" s="1900"/>
      <c r="U516" s="1901"/>
      <c r="V516" s="1900"/>
      <c r="W516" s="1901"/>
      <c r="X516" s="1900"/>
      <c r="Y516" s="1902"/>
      <c r="Z516" s="1902"/>
      <c r="AA516" s="1902"/>
      <c r="AB516" s="1902"/>
      <c r="AC516" s="1902"/>
      <c r="AD516" s="1902"/>
      <c r="AE516" s="1902"/>
      <c r="AF516" s="1902"/>
      <c r="AG516" s="1902"/>
      <c r="AH516" s="1902"/>
      <c r="AI516" s="831"/>
      <c r="AJ516" s="1828"/>
      <c r="AK516" s="724"/>
      <c r="AL516" s="1806"/>
      <c r="AM516" s="832"/>
      <c r="AN516" s="724"/>
      <c r="AO516" s="832"/>
      <c r="AP516" s="1223"/>
      <c r="AQ516" s="832"/>
      <c r="AS516" s="824"/>
      <c r="AT516" s="832"/>
      <c r="AU516" s="759"/>
      <c r="AV516" s="759"/>
      <c r="AW516" s="759"/>
      <c r="AX516" s="759"/>
      <c r="AY516" s="759"/>
      <c r="AZ516" s="759"/>
      <c r="BA516" s="759"/>
      <c r="BB516" s="759"/>
      <c r="BC516" s="759"/>
      <c r="BD516" s="759"/>
      <c r="BE516" s="759"/>
      <c r="BF516" s="759"/>
      <c r="BG516" s="760"/>
      <c r="BH516" s="1678"/>
      <c r="BI516" s="1678"/>
      <c r="BJ516" s="1678"/>
      <c r="BK516" s="1678"/>
      <c r="BL516" s="1678"/>
      <c r="BM516" s="1678"/>
      <c r="BN516" s="1678"/>
      <c r="BO516" s="1678"/>
      <c r="BP516" s="1678"/>
      <c r="BQ516" s="832"/>
    </row>
    <row r="517" spans="1:69" s="782" customFormat="1" ht="26.25" thickBot="1" x14ac:dyDescent="0.25">
      <c r="A517" s="1712" t="s">
        <v>2621</v>
      </c>
      <c r="B517" s="1790">
        <v>505</v>
      </c>
      <c r="D517" s="1841"/>
      <c r="E517" s="816"/>
      <c r="F517" s="764"/>
      <c r="G517" s="764"/>
      <c r="H517" s="1903" t="str">
        <f>H$10</f>
        <v>Linear Feet</v>
      </c>
      <c r="I517" s="1899"/>
      <c r="J517" s="1903" t="str">
        <f>J$10</f>
        <v>Track Feet</v>
      </c>
      <c r="K517" s="1899"/>
      <c r="L517" s="1909"/>
      <c r="M517" s="722"/>
      <c r="N517" s="722"/>
      <c r="O517" s="722"/>
      <c r="P517" s="1903" t="str">
        <f>P$9</f>
        <v>Pre-1920</v>
      </c>
      <c r="Q517" s="1869"/>
      <c r="R517" s="1903" t="str">
        <f>R$9</f>
        <v>1920-
1929</v>
      </c>
      <c r="S517" s="1869"/>
      <c r="T517" s="1903" t="str">
        <f>T$9</f>
        <v>1930-
1939</v>
      </c>
      <c r="U517" s="1869"/>
      <c r="V517" s="1903" t="str">
        <f>V$9</f>
        <v>1940-
1949</v>
      </c>
      <c r="W517" s="1869"/>
      <c r="X517" s="1903" t="str">
        <f>X$9</f>
        <v>1950-
1959</v>
      </c>
      <c r="Y517" s="1868"/>
      <c r="Z517" s="1903" t="str">
        <f>Z$9</f>
        <v>1960-
1969</v>
      </c>
      <c r="AA517" s="1868"/>
      <c r="AB517" s="1903" t="str">
        <f>AB$9</f>
        <v>1970-
1979</v>
      </c>
      <c r="AC517" s="1868"/>
      <c r="AD517" s="1903" t="str">
        <f>AD$9</f>
        <v>1980-
1989</v>
      </c>
      <c r="AE517" s="1868"/>
      <c r="AF517" s="1903" t="str">
        <f>AF$9</f>
        <v>1990-
1999</v>
      </c>
      <c r="AG517" s="1868"/>
      <c r="AH517" s="1903" t="str">
        <f>AH$9</f>
        <v>2000-
present</v>
      </c>
      <c r="AI517" s="831"/>
      <c r="AJ517" s="1828"/>
      <c r="AK517" s="724"/>
      <c r="AL517" s="1806"/>
      <c r="AM517" s="832"/>
      <c r="AN517" s="724"/>
      <c r="AO517" s="832"/>
      <c r="AP517" s="1399"/>
      <c r="AQ517" s="832"/>
      <c r="AS517" s="832"/>
      <c r="AT517" s="832"/>
      <c r="AU517" s="759"/>
      <c r="AV517" s="759"/>
      <c r="AW517" s="759"/>
      <c r="AX517" s="759"/>
      <c r="AY517" s="759"/>
      <c r="AZ517" s="759"/>
      <c r="BA517" s="759"/>
      <c r="BB517" s="759"/>
      <c r="BC517" s="759"/>
      <c r="BD517" s="759"/>
      <c r="BE517" s="759"/>
      <c r="BF517" s="759"/>
      <c r="BG517" s="760"/>
      <c r="BH517" s="1678"/>
      <c r="BI517" s="1678"/>
      <c r="BJ517" s="1678"/>
      <c r="BK517" s="1678"/>
      <c r="BL517" s="1678"/>
      <c r="BM517" s="1678"/>
      <c r="BN517" s="1678"/>
      <c r="BO517" s="1678"/>
      <c r="BP517" s="1678"/>
      <c r="BQ517" s="832"/>
    </row>
    <row r="518" spans="1:69" s="782" customFormat="1" x14ac:dyDescent="0.2">
      <c r="A518" s="852">
        <f>A503+1</f>
        <v>127</v>
      </c>
      <c r="B518" s="1790">
        <v>506</v>
      </c>
      <c r="C518" s="851" t="str">
        <f>Valid!$B$71</f>
        <v>At-Grade/Ballast (including expressway)</v>
      </c>
      <c r="D518" s="1841"/>
      <c r="E518" s="1245" t="str">
        <f>IF(AT518="N/A","",IF(AT518="N","No","Yes"))</f>
        <v/>
      </c>
      <c r="F518" s="764"/>
      <c r="G518" s="764"/>
      <c r="H518" s="1864"/>
      <c r="I518" s="1904" t="str">
        <f>IF(C514="","",IF(J518&lt;&gt;"","Linear Feet   ","Qty? Enter Zero if N/A  "))</f>
        <v/>
      </c>
      <c r="J518" s="1864"/>
      <c r="K518" s="1904" t="str">
        <f>IF(E518="yes","",IF(C514="","",IF(H518="","Qty? Enter Zero if N/A  ",IF(H518&lt;&gt;"","Track Feet      ",""))))</f>
        <v/>
      </c>
      <c r="L518" s="1864"/>
      <c r="M518" s="1620" t="str">
        <f>IF($H518=0,"",IF($L518="",TEXT(BN518,0)&amp;" Years?    ",""))</f>
        <v/>
      </c>
      <c r="N518" s="1905"/>
      <c r="O518" s="1620"/>
      <c r="P518" s="1864"/>
      <c r="Q518" s="1865" t="str">
        <f>IF(OR($N518="",$H518=0, P518&lt;&gt;""),"", IF($BK518&lt;&gt;0, "0 - ", "")&amp;IF($N518="%", TEXT($BK518, "0%"), IF($BK518&lt;1000, TEXT($BK518, "#,##0"), TEXT($BK518/1000, "#,##0")&amp;"k")&amp;" ft.")&amp;"?  ")</f>
        <v/>
      </c>
      <c r="R518" s="1864"/>
      <c r="S518" s="1865" t="str">
        <f>IF(OR($N518="",$H518=0, R518&lt;&gt;""),"", IF($BK518&lt;&gt;0, "0 - ", "")&amp;IF($N518="%", TEXT($BK518, "0%"), IF($BK518&lt;1000, TEXT($BK518, "#,##0"), TEXT($BK518/1000, "#,##0")&amp;"k")&amp;" ft.")&amp;"?  ")</f>
        <v/>
      </c>
      <c r="T518" s="1864"/>
      <c r="U518" s="1865" t="str">
        <f>IF(OR($N518="",$H518=0, T518&lt;&gt;""),"", IF($BK518&lt;&gt;0, "0 - ", "")&amp;IF($N518="%", TEXT($BK518, "0%"), IF($BK518&lt;1000, TEXT($BK518, "#,##0"), TEXT($BK518/1000, "#,##0")&amp;"k")&amp;" ft.")&amp;"?  ")</f>
        <v/>
      </c>
      <c r="V518" s="1864"/>
      <c r="W518" s="1865" t="str">
        <f>IF(OR($N518="",$H518=0, V518&lt;&gt;""),"", IF($BK518&lt;&gt;0, "0 - ", "")&amp;IF($N518="%", TEXT($BK518, "0%"), IF($BK518&lt;1000, TEXT($BK518, "#,##0"), TEXT($BK518/1000, "#,##0")&amp;"k")&amp;" ft.")&amp;"?  ")</f>
        <v/>
      </c>
      <c r="X518" s="1864"/>
      <c r="Y518" s="1865" t="str">
        <f>IF(OR($N518="",$H518=0, X518&lt;&gt;""),"", IF($BK518&lt;&gt;0, "0 - ", "")&amp;IF($N518="%", TEXT($BK518, "0%"), IF($BK518&lt;1000, TEXT($BK518, "#,##0"), TEXT($BK518/1000, "#,##0")&amp;"k")&amp;" ft.")&amp;"?  ")</f>
        <v/>
      </c>
      <c r="Z518" s="1864"/>
      <c r="AA518" s="1865" t="str">
        <f>IF(OR($N518="",$H518=0, Z518&lt;&gt;""),"", IF($BK518&lt;&gt;0, "0 - ", "")&amp;IF($N518="%", TEXT($BK518, "0%"), IF($BK518&lt;1000, TEXT($BK518, "#,##0"), TEXT($BK518/1000, "#,##0")&amp;"k")&amp;" ft.")&amp;"?  ")</f>
        <v/>
      </c>
      <c r="AB518" s="1864"/>
      <c r="AC518" s="1865" t="str">
        <f>IF(OR($N518="",$H518=0, AB518&lt;&gt;""),"", IF($BK518&lt;&gt;0, "0 - ", "")&amp;IF($N518="%", TEXT($BK518, "0%"), IF($BK518&lt;1000, TEXT($BK518, "#,##0"), TEXT($BK518/1000, "#,##0")&amp;"k")&amp;" ft.")&amp;"?  ")</f>
        <v/>
      </c>
      <c r="AD518" s="1864"/>
      <c r="AE518" s="1865" t="str">
        <f>IF(OR($N518="",$H518=0, AD518&lt;&gt;""),"", IF($BK518&lt;&gt;0, "0 - ", "")&amp;IF($N518="%", TEXT($BK518, "0%"), IF($BK518&lt;1000, TEXT($BK518, "#,##0"), TEXT($BK518/1000, "#,##0")&amp;"k")&amp;" ft.")&amp;"?  ")</f>
        <v/>
      </c>
      <c r="AF518" s="1864"/>
      <c r="AG518" s="1865" t="str">
        <f>IF(OR($N518="",$H518=0, AF518&lt;&gt;""),"", IF($BK518&lt;&gt;0, "0 - ", "")&amp;IF($N518="%", TEXT($BK518, "0%"), IF($BK518&lt;1000, TEXT($BK518, "#,##0"), TEXT($BK518/1000, "#,##0")&amp;"k")&amp;" ft.")&amp;"?  ")</f>
        <v/>
      </c>
      <c r="AH518" s="1864"/>
      <c r="AI518" s="1865" t="str">
        <f>IF(OR($N518="",$H518=0, AH518&lt;&gt;""),"", IF($BK518&lt;&gt;0, "0 - ", "")&amp;IF($N518="%", TEXT($BK518, "0%"), IF($BK518&lt;1000, TEXT($BK518, "#,##0"), TEXT($BK518/1000, "#,##0")&amp;"k")&amp;" ft.")&amp;"?  ")</f>
        <v/>
      </c>
      <c r="AJ518" s="1833">
        <f>IFERROR(IF(N518="%", SUM(P518,R518,T518,V518,X518,Z518,AB518,AD518,AF518,AH518)/100, SUM(P518,R518,T518,V518,X518,Z518,AB518,AD518,AF518,AH518)/IF(N518="LF", H518,J518)), 0)</f>
        <v>0</v>
      </c>
      <c r="AK518" s="1648"/>
      <c r="AL518" s="1675"/>
      <c r="AM518" s="839"/>
      <c r="AN518" s="1808"/>
      <c r="AO518" s="839"/>
      <c r="AP518" s="1653"/>
      <c r="AQ518" s="839"/>
      <c r="AS518" s="1399"/>
      <c r="AT518" s="1624" t="str">
        <f>IF(AND($C$514="", H518="", J518=""), "N/A", IF(OR(AND(ISNUMBER(H518), ISNUMBER(J518), H518=0, J518=0), AND(AJ518=1, H518&lt;&gt;"", J518&lt;&gt;"", L518&lt;&gt;"", N518&lt;&gt;"", P518&lt;&gt;"", R518&lt;&gt;"", T518&lt;&gt;"", V518&lt;&gt;"", X518&lt;&gt;"", Z518&lt;&gt;"", AB518&lt;&gt;"", AD518&lt;&gt;"", AF518&lt;&gt;"", AH518&lt;&gt;"",AL518&lt;&gt;"", IF(AND(AL518&lt;1, AN518=""), FALSE, TRUE))), "Yes", "No"))</f>
        <v>N/A</v>
      </c>
      <c r="AU518" s="759" t="b">
        <f>IF(AND(H518="",OR(L518&lt;&gt;"",P518&lt;&gt;"",R518&lt;&gt;"",T518&lt;&gt;"",V518&lt;&gt;"",X518&lt;&gt;"",AL518&lt;&gt;"",Z518&lt;&gt;"",AB518&lt;&gt;"",AD518&lt;&gt;"",AF518&lt;&gt;"",AH518&lt;&gt;"")),TRUE,FALSE)</f>
        <v>0</v>
      </c>
      <c r="AV518" s="759" t="b">
        <f>IF(OR(H518="",H518=0),FALSE,IF(H518&gt;BM518,TRUE,FALSE))</f>
        <v>0</v>
      </c>
      <c r="AW518" s="759" t="b">
        <f>IF(AND($C$514&lt;&gt;"",$H518=""),TRUE,FALSE)</f>
        <v>0</v>
      </c>
      <c r="AX518" s="759" t="b">
        <f>IF(E518="yes",FALSE,IF(H518="0",FALSE,IF(AND($C$514&lt;&gt;"",J518=""),TRUE,FALSE)))</f>
        <v>0</v>
      </c>
      <c r="AY518" s="759" t="b">
        <f>IF($L518="",FALSE,IF($L518&lt;$BO518,TRUE,FALSE))</f>
        <v>0</v>
      </c>
      <c r="AZ518" s="759" t="b">
        <f>IF($L518="",FALSE,IF($L518&gt;$BP518,TRUE,FALSE))</f>
        <v>0</v>
      </c>
      <c r="BA518" s="759" t="b">
        <f>IF(H518=0,FALSE,IF(AND(E518&lt;&gt;"",$L518=""),TRUE,FALSE))</f>
        <v>0</v>
      </c>
      <c r="BB518" s="759" t="b">
        <f>IF(AND($AJ518&lt;&gt;0,$H518&lt;&gt;$BJ518,$N518="LF"),TRUE,IF(AND($AJ518&lt;&gt;0,$J518&lt;&gt;$AJ518,$N518="TF"),TRUE,IF(AND($AJ518&lt;&gt;0,$AJ518&lt;&gt;1,$N518="%"),TRUE,FALSE)))</f>
        <v>0</v>
      </c>
      <c r="BC518" s="759" t="b">
        <f>IF(AT518="No", IF(OR(P518="", R518="", T518="", V518="", X518="", Z518="", AB518="", AD518="", AF518="", AH518=""), TRUE, FALSE), FALSE)</f>
        <v>0</v>
      </c>
      <c r="BD518" s="759" t="b">
        <f>IF($BE518=TRUE,FALSE,IF(OR($AL518&lt;0,$AL518&gt;1),TRUE,FALSE))</f>
        <v>0</v>
      </c>
      <c r="BE518" s="759" t="b">
        <f>IF(AND($H518&lt;&gt;0,$AL518=""),TRUE,FALSE)</f>
        <v>0</v>
      </c>
      <c r="BF518" s="759" t="b">
        <f>IF(N518="%",TRUE,FALSE)</f>
        <v>0</v>
      </c>
      <c r="BG518" s="760"/>
      <c r="BH518" s="1678">
        <f>IF($C518="","",VLOOKUP($C518,val_fg_assets,9,FALSE))</f>
        <v>1</v>
      </c>
      <c r="BI518" s="1678" t="str">
        <f>IF(N518="", "", IF(N518="LF", H518, IF(N518="TF", J518, IF(N518="%", 1, ""))))</f>
        <v/>
      </c>
      <c r="BJ518" s="1679">
        <f>P518+R518+T518+V518+X518+Z518+AB518+AD518+AF518+AH518</f>
        <v>0</v>
      </c>
      <c r="BK518" s="1679" t="str">
        <f>IF(BI518="", "", BI518-BJ518)</f>
        <v/>
      </c>
      <c r="BL518" s="1679">
        <f>IF($C518="","",VLOOKUP($C518,val_fg_assets,3,FALSE))</f>
        <v>0</v>
      </c>
      <c r="BM518" s="1679">
        <f>IF($C518="","",VLOOKUP($C518,val_fg_assets,4,FALSE))</f>
        <v>1320000</v>
      </c>
      <c r="BN518" s="1678">
        <f>IF($C518="","",VLOOKUP($C518,val_fg_assets,5,FALSE))</f>
        <v>80</v>
      </c>
      <c r="BO518" s="1678">
        <f>IF($C518="","",VLOOKUP($C518,val_fg_assets,6,FALSE))</f>
        <v>60</v>
      </c>
      <c r="BP518" s="1678">
        <f>IF($C518="","",VLOOKUP($C518,val_fg_assets,7,FALSE))</f>
        <v>100</v>
      </c>
      <c r="BQ518" s="1399"/>
    </row>
    <row r="519" spans="1:69" s="782" customFormat="1" ht="3.95" customHeight="1" x14ac:dyDescent="0.2">
      <c r="A519" s="1672"/>
      <c r="B519" s="1791">
        <v>507</v>
      </c>
      <c r="C519" s="1673"/>
      <c r="D519" s="1841"/>
      <c r="E519" s="1057"/>
      <c r="F519" s="764"/>
      <c r="G519" s="764"/>
      <c r="H519" s="1906"/>
      <c r="I519" s="1907"/>
      <c r="J519" s="1908"/>
      <c r="K519" s="1907"/>
      <c r="L519" s="1909"/>
      <c r="M519" s="1910"/>
      <c r="N519" s="1911"/>
      <c r="O519" s="1910"/>
      <c r="P519" s="1866"/>
      <c r="Q519" s="1867"/>
      <c r="R519" s="1866"/>
      <c r="S519" s="1867"/>
      <c r="T519" s="1866"/>
      <c r="U519" s="1867"/>
      <c r="V519" s="1866"/>
      <c r="W519" s="1867"/>
      <c r="X519" s="1866"/>
      <c r="Y519" s="1867"/>
      <c r="Z519" s="1867"/>
      <c r="AA519" s="1867"/>
      <c r="AB519" s="1867"/>
      <c r="AC519" s="1867"/>
      <c r="AD519" s="1867"/>
      <c r="AE519" s="1867"/>
      <c r="AF519" s="1867"/>
      <c r="AG519" s="1867"/>
      <c r="AH519" s="1867"/>
      <c r="AI519" s="837"/>
      <c r="AJ519" s="1806"/>
      <c r="AK519" s="841"/>
      <c r="AL519" s="1806"/>
      <c r="AM519" s="1399"/>
      <c r="AN519" s="838"/>
      <c r="AO519" s="1399"/>
      <c r="AP519" s="1223"/>
      <c r="AQ519" s="1399"/>
      <c r="AS519" s="1399"/>
      <c r="AT519" s="1399"/>
      <c r="AU519" s="759"/>
      <c r="AV519" s="759"/>
      <c r="AW519" s="759"/>
      <c r="AX519" s="759"/>
      <c r="AY519" s="759"/>
      <c r="AZ519" s="759"/>
      <c r="BA519" s="759"/>
      <c r="BB519" s="759"/>
      <c r="BC519" s="759"/>
      <c r="BD519" s="759"/>
      <c r="BE519" s="759"/>
      <c r="BF519" s="759"/>
      <c r="BG519" s="760"/>
      <c r="BH519" s="1678"/>
      <c r="BI519" s="1678"/>
      <c r="BJ519" s="1678"/>
      <c r="BK519" s="1678"/>
      <c r="BL519" s="1679"/>
      <c r="BM519" s="1679"/>
      <c r="BN519" s="1678"/>
      <c r="BO519" s="1678"/>
      <c r="BP519" s="1678"/>
      <c r="BQ519" s="1399"/>
    </row>
    <row r="520" spans="1:69" s="782" customFormat="1" ht="3.95" customHeight="1" thickBot="1" x14ac:dyDescent="0.25">
      <c r="A520" s="852"/>
      <c r="B520" s="1791">
        <v>508</v>
      </c>
      <c r="C520" s="851"/>
      <c r="D520" s="1841"/>
      <c r="E520" s="1058"/>
      <c r="F520" s="686"/>
      <c r="G520" s="686"/>
      <c r="H520" s="1909"/>
      <c r="I520" s="1908"/>
      <c r="J520" s="1908"/>
      <c r="K520" s="1908"/>
      <c r="L520" s="1909"/>
      <c r="M520" s="722"/>
      <c r="N520" s="1912"/>
      <c r="O520" s="722"/>
      <c r="P520" s="1868"/>
      <c r="Q520" s="1869"/>
      <c r="R520" s="1868"/>
      <c r="S520" s="1869"/>
      <c r="T520" s="1868"/>
      <c r="U520" s="1869"/>
      <c r="V520" s="1868"/>
      <c r="W520" s="1869"/>
      <c r="X520" s="1868"/>
      <c r="Y520" s="1869"/>
      <c r="Z520" s="1869"/>
      <c r="AA520" s="1869"/>
      <c r="AB520" s="1869"/>
      <c r="AC520" s="1869"/>
      <c r="AD520" s="1869"/>
      <c r="AE520" s="1869"/>
      <c r="AF520" s="1869"/>
      <c r="AG520" s="1869"/>
      <c r="AH520" s="1869"/>
      <c r="AI520" s="1670"/>
      <c r="AJ520" s="1828"/>
      <c r="AK520" s="724"/>
      <c r="AL520" s="1806"/>
      <c r="AM520" s="1399"/>
      <c r="AN520" s="1258"/>
      <c r="AO520" s="1399"/>
      <c r="AP520" s="1399"/>
      <c r="AQ520" s="1399"/>
      <c r="AS520" s="1399"/>
      <c r="AT520" s="1399"/>
      <c r="AU520" s="759"/>
      <c r="AV520" s="759"/>
      <c r="AW520" s="759"/>
      <c r="AX520" s="759"/>
      <c r="AY520" s="759"/>
      <c r="AZ520" s="759"/>
      <c r="BA520" s="759"/>
      <c r="BB520" s="759"/>
      <c r="BC520" s="759"/>
      <c r="BD520" s="759"/>
      <c r="BE520" s="759"/>
      <c r="BF520" s="759"/>
      <c r="BG520" s="760"/>
      <c r="BH520" s="1678"/>
      <c r="BI520" s="1678"/>
      <c r="BJ520" s="1678"/>
      <c r="BK520" s="1678"/>
      <c r="BL520" s="1679"/>
      <c r="BM520" s="1679"/>
      <c r="BN520" s="1678"/>
      <c r="BO520" s="1678"/>
      <c r="BP520" s="1678"/>
      <c r="BQ520" s="1399"/>
    </row>
    <row r="521" spans="1:69" s="782" customFormat="1" x14ac:dyDescent="0.2">
      <c r="A521" s="852">
        <f>A518+1</f>
        <v>128</v>
      </c>
      <c r="B521" s="1791">
        <v>509</v>
      </c>
      <c r="C521" s="851" t="str">
        <f>Valid!$B$72</f>
        <v>At-Grade/In-Street/Embedded</v>
      </c>
      <c r="D521" s="1841"/>
      <c r="E521" s="1245" t="str">
        <f>IF(AT521="N/A","",IF(AT521="N","No","Yes"))</f>
        <v/>
      </c>
      <c r="F521" s="764"/>
      <c r="G521" s="764"/>
      <c r="H521" s="1864"/>
      <c r="I521" s="1904" t="str">
        <f>IF(C514="","",IF(J521&lt;&gt;"","Linear Feet   ","Qty? Enter Zero if N/A  "))</f>
        <v/>
      </c>
      <c r="J521" s="1864"/>
      <c r="K521" s="1904" t="str">
        <f>IF(E521="yes","",IF(C514="","",IF(H521="","Qty? Enter Zero if N/A  ",IF(H521&lt;&gt;"","Track Feet      ",""))))</f>
        <v/>
      </c>
      <c r="L521" s="1864"/>
      <c r="M521" s="1620" t="str">
        <f>IF($H521=0,"",IF($L521="",TEXT(BN521,0)&amp;" Years?    ",""))</f>
        <v/>
      </c>
      <c r="N521" s="1905"/>
      <c r="O521" s="1620"/>
      <c r="P521" s="1864"/>
      <c r="Q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R521" s="1864"/>
      <c r="S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T521" s="1864"/>
      <c r="U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V521" s="1864"/>
      <c r="W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X521" s="1864"/>
      <c r="Y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Z521" s="1864"/>
      <c r="AA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B521" s="1864"/>
      <c r="AC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D521" s="1864"/>
      <c r="AE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F521" s="1864"/>
      <c r="AG521" s="1865"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H521" s="1864"/>
      <c r="AI521" s="904" t="str">
        <f>IF($N521="","",IF(AND($N521="",OR($H521="",$H521=0)),"",IF(AND($N521="LF",$AJ521&lt;$H521),"0 - "&amp;TEXT(($H521-$AJ521)/1000,"0")&amp;"k lin. ft.?    ",IF(AND($N521="TF",$AJ521&lt;$J521),"0 - "&amp;TEXT(($J521-$AJ521)/1000,"0")&amp;"k track ft.?    ",IF(AND($N521="%",$AJ521&lt;1),REPLACE(IF(AND($P521&gt;0,$V521&gt;0,$T521&gt;0,$X521&gt;0,$R521&gt;0,$Z521&gt;0,$AB521&gt;0,$AD521&gt;0,$AF521&gt;0,$AH521&gt;0),"","0-"),99,0,REPLACE(TEXT(100-$AJ521,0),99,0,"%?    ")),"")))))</f>
        <v/>
      </c>
      <c r="AJ521" s="1833">
        <f>IFERROR(IF(N521="%", SUM(P521,R521,T521,V521,X521,Z521,AB521,AD521,AF521,AH521)/100, SUM(P521,R521,T521,V521,X521,Z521,AB521,AD521,AF521,AH521)/IF(N521="LF", H521,J521)), 0)</f>
        <v>0</v>
      </c>
      <c r="AK521" s="1648"/>
      <c r="AL521" s="1675"/>
      <c r="AM521" s="1399"/>
      <c r="AN521" s="1808"/>
      <c r="AO521" s="1399"/>
      <c r="AP521" s="1653"/>
      <c r="AQ521" s="1399"/>
      <c r="AS521" s="1399"/>
      <c r="AT521" s="1624" t="str">
        <f>IF(AND($C$514="", H521="", J521=""), "N/A", IF(OR(AND(ISNUMBER(H521), ISNUMBER(J521), H521=0, J521=0), AND(AJ521=1, H521&lt;&gt;"", J521&lt;&gt;"", L521&lt;&gt;"", N521&lt;&gt;"", P521&lt;&gt;"", R521&lt;&gt;"", T521&lt;&gt;"", V521&lt;&gt;"", X521&lt;&gt;"", Z521&lt;&gt;"", AB521&lt;&gt;"", AD521&lt;&gt;"", AF521&lt;&gt;"", AH521&lt;&gt;"",AL521&lt;&gt;"", IF(AND(AL521&lt;1, AN521=""), FALSE, TRUE))), "Yes", "No"))</f>
        <v>N/A</v>
      </c>
      <c r="AU521" s="759" t="b">
        <f>IF(AND(H521="",OR(L521&lt;&gt;"",P521&lt;&gt;"",R521&lt;&gt;"",T521&lt;&gt;"",V521&lt;&gt;"",X521&lt;&gt;"",AL521&lt;&gt;"",Z521&lt;&gt;"",AB521&lt;&gt;"",AD521&lt;&gt;"",AF521&lt;&gt;"",AH521&lt;&gt;"")),TRUE,FALSE)</f>
        <v>0</v>
      </c>
      <c r="AV521" s="759" t="b">
        <f>IF(OR(H521="",H521=0),FALSE,IF(H521&gt;BM521,TRUE,FALSE))</f>
        <v>0</v>
      </c>
      <c r="AW521" s="759" t="b">
        <f>IF(AND($C$514&lt;&gt;"",$H521=""),TRUE,FALSE)</f>
        <v>0</v>
      </c>
      <c r="AX521" s="759" t="b">
        <f>IF(E521="yes",FALSE,IF(H521="0",FALSE,IF(AND($C$514&lt;&gt;"",J521=""),TRUE,FALSE)))</f>
        <v>0</v>
      </c>
      <c r="AY521" s="759" t="b">
        <f>IF($L521="",FALSE,IF($L521&lt;$BO521,TRUE,FALSE))</f>
        <v>0</v>
      </c>
      <c r="AZ521" s="759" t="b">
        <f>IF($L521="",FALSE,IF($L521&gt;$BP521,TRUE,FALSE))</f>
        <v>0</v>
      </c>
      <c r="BA521" s="759" t="b">
        <f>IF(H521=0,FALSE,IF(AND(E521&lt;&gt;"",$L521=""),TRUE,FALSE))</f>
        <v>0</v>
      </c>
      <c r="BB521" s="759" t="b">
        <f>IF(AND($AJ521&lt;&gt;0,$H521&lt;&gt;$BJ521,$N521="LF"),TRUE,IF(AND($AJ521&lt;&gt;0,$J521&lt;&gt;$AJ521,$N521="TF"),TRUE,IF(AND($AJ521&lt;&gt;0,$AJ521&lt;&gt;1,$N521="%"),TRUE,FALSE)))</f>
        <v>0</v>
      </c>
      <c r="BC521" s="759" t="b">
        <f>IF(AT521="No", IF(OR(P521="", R521="", T521="", V521="", X521="", Z521="", AB521="", AD521="", AF521="", AH521=""), TRUE, FALSE), FALSE)</f>
        <v>0</v>
      </c>
      <c r="BD521" s="759" t="b">
        <f>IF($BE521=TRUE,FALSE,IF(OR($AL521&lt;0,$AL521&gt;1),TRUE,FALSE))</f>
        <v>0</v>
      </c>
      <c r="BE521" s="759" t="b">
        <f>IF(AND($H521&lt;&gt;0,$AL521=""),TRUE,FALSE)</f>
        <v>0</v>
      </c>
      <c r="BF521" s="759" t="b">
        <f>IF(N521="%",TRUE,FALSE)</f>
        <v>0</v>
      </c>
      <c r="BG521" s="760"/>
      <c r="BH521" s="1678">
        <f>IF($C521="","",VLOOKUP($C521,val_fg_assets,9,FALSE))</f>
        <v>1</v>
      </c>
      <c r="BI521" s="1678" t="str">
        <f>IF(N521="", "", IF(N521="LF", H521, IF(N521="TF", J521, IF(N521="%", 1, ""))))</f>
        <v/>
      </c>
      <c r="BJ521" s="1679">
        <f>P521+R521+T521+V521+X521+Z521+AB521+AD521+AF521+AH521</f>
        <v>0</v>
      </c>
      <c r="BK521" s="1679" t="str">
        <f>IF(BI521="", "", BI521-BJ521)</f>
        <v/>
      </c>
      <c r="BL521" s="1679">
        <f>IF($C521="","",VLOOKUP($C521,val_fg_assets,3,FALSE))</f>
        <v>0</v>
      </c>
      <c r="BM521" s="1679">
        <f>IF($C521="","",VLOOKUP($C521,val_fg_assets,4,FALSE))</f>
        <v>1320000</v>
      </c>
      <c r="BN521" s="1678">
        <f>IF($C521="","",VLOOKUP($C521,val_fg_assets,5,FALSE))</f>
        <v>80</v>
      </c>
      <c r="BO521" s="1678">
        <f>IF($C521="","",VLOOKUP($C521,val_fg_assets,6,FALSE))</f>
        <v>60</v>
      </c>
      <c r="BP521" s="1678">
        <f>IF($C521="","",VLOOKUP($C521,val_fg_assets,7,FALSE))</f>
        <v>100</v>
      </c>
      <c r="BQ521" s="1399"/>
    </row>
    <row r="522" spans="1:69" s="782" customFormat="1" ht="3.95" customHeight="1" x14ac:dyDescent="0.2">
      <c r="A522" s="852"/>
      <c r="B522" s="1790">
        <v>510</v>
      </c>
      <c r="C522" s="851"/>
      <c r="D522" s="1841"/>
      <c r="E522" s="1058"/>
      <c r="F522" s="686"/>
      <c r="G522" s="686"/>
      <c r="H522" s="1906"/>
      <c r="I522" s="1907"/>
      <c r="J522" s="1908"/>
      <c r="K522" s="1907"/>
      <c r="L522" s="1909"/>
      <c r="M522" s="1910"/>
      <c r="N522" s="1911"/>
      <c r="O522" s="1910"/>
      <c r="P522" s="1866"/>
      <c r="Q522" s="1867"/>
      <c r="R522" s="1866"/>
      <c r="S522" s="1867"/>
      <c r="T522" s="1866"/>
      <c r="U522" s="1867"/>
      <c r="V522" s="1866"/>
      <c r="W522" s="1867"/>
      <c r="X522" s="1866"/>
      <c r="Y522" s="1867"/>
      <c r="Z522" s="1867"/>
      <c r="AA522" s="1867"/>
      <c r="AB522" s="1867"/>
      <c r="AC522" s="1867"/>
      <c r="AD522" s="1867"/>
      <c r="AE522" s="1867"/>
      <c r="AF522" s="1867"/>
      <c r="AG522" s="1867"/>
      <c r="AH522" s="1867"/>
      <c r="AI522" s="837"/>
      <c r="AJ522" s="1806"/>
      <c r="AK522" s="841"/>
      <c r="AL522" s="1806"/>
      <c r="AM522" s="1399"/>
      <c r="AN522" s="838"/>
      <c r="AO522" s="1399"/>
      <c r="AP522" s="1399"/>
      <c r="AQ522" s="1399"/>
      <c r="AS522" s="1399"/>
      <c r="AT522" s="1399"/>
      <c r="AU522" s="759"/>
      <c r="AV522" s="759"/>
      <c r="AW522" s="759"/>
      <c r="AX522" s="759"/>
      <c r="AY522" s="759"/>
      <c r="AZ522" s="759"/>
      <c r="BA522" s="759"/>
      <c r="BB522" s="759"/>
      <c r="BC522" s="759"/>
      <c r="BD522" s="759"/>
      <c r="BE522" s="759"/>
      <c r="BF522" s="759"/>
      <c r="BG522" s="760"/>
      <c r="BH522" s="1678"/>
      <c r="BI522" s="1678"/>
      <c r="BJ522" s="1678"/>
      <c r="BK522" s="1678"/>
      <c r="BL522" s="1679"/>
      <c r="BM522" s="1679"/>
      <c r="BN522" s="1678"/>
      <c r="BO522" s="1678"/>
      <c r="BP522" s="1678"/>
      <c r="BQ522" s="1399"/>
    </row>
    <row r="523" spans="1:69" s="782" customFormat="1" ht="3.95" customHeight="1" thickBot="1" x14ac:dyDescent="0.25">
      <c r="A523" s="852"/>
      <c r="B523" s="1790">
        <v>511</v>
      </c>
      <c r="C523" s="1673"/>
      <c r="D523" s="1841"/>
      <c r="E523" s="1057"/>
      <c r="F523" s="764"/>
      <c r="G523" s="764"/>
      <c r="H523" s="1913"/>
      <c r="I523" s="1908"/>
      <c r="J523" s="1908"/>
      <c r="K523" s="1908"/>
      <c r="L523" s="1909"/>
      <c r="M523" s="722"/>
      <c r="N523" s="1912"/>
      <c r="O523" s="722"/>
      <c r="P523" s="1868"/>
      <c r="Q523" s="1869"/>
      <c r="R523" s="1868"/>
      <c r="S523" s="1869"/>
      <c r="T523" s="1868"/>
      <c r="U523" s="1869"/>
      <c r="V523" s="1868"/>
      <c r="W523" s="1869"/>
      <c r="X523" s="1868"/>
      <c r="Y523" s="1869"/>
      <c r="Z523" s="1869"/>
      <c r="AA523" s="1869"/>
      <c r="AB523" s="1869"/>
      <c r="AC523" s="1869"/>
      <c r="AD523" s="1869"/>
      <c r="AE523" s="1869"/>
      <c r="AF523" s="1869"/>
      <c r="AG523" s="1869"/>
      <c r="AH523" s="1869"/>
      <c r="AI523" s="1670"/>
      <c r="AJ523" s="1828"/>
      <c r="AK523" s="724"/>
      <c r="AL523" s="1806"/>
      <c r="AM523" s="1399"/>
      <c r="AN523" s="1258"/>
      <c r="AO523" s="1399"/>
      <c r="AP523" s="1223"/>
      <c r="AQ523" s="1399"/>
      <c r="AS523" s="1399"/>
      <c r="AT523" s="1399"/>
      <c r="AU523" s="759"/>
      <c r="AV523" s="759"/>
      <c r="AW523" s="759"/>
      <c r="AX523" s="759"/>
      <c r="AY523" s="759"/>
      <c r="AZ523" s="759"/>
      <c r="BA523" s="759"/>
      <c r="BB523" s="759"/>
      <c r="BC523" s="759"/>
      <c r="BD523" s="759"/>
      <c r="BE523" s="759"/>
      <c r="BF523" s="759"/>
      <c r="BG523" s="760"/>
      <c r="BH523" s="1678"/>
      <c r="BI523" s="1678"/>
      <c r="BJ523" s="1678"/>
      <c r="BK523" s="1678"/>
      <c r="BL523" s="1679"/>
      <c r="BM523" s="1679"/>
      <c r="BN523" s="1678"/>
      <c r="BO523" s="1678"/>
      <c r="BP523" s="1678"/>
      <c r="BQ523" s="1399"/>
    </row>
    <row r="524" spans="1:69" s="782" customFormat="1" x14ac:dyDescent="0.2">
      <c r="A524" s="852">
        <f>A521+1</f>
        <v>129</v>
      </c>
      <c r="B524" s="1791">
        <v>512</v>
      </c>
      <c r="C524" s="851" t="str">
        <f>Valid!$B$73</f>
        <v>Elevated/Retained Fill</v>
      </c>
      <c r="D524" s="1841"/>
      <c r="E524" s="1245" t="str">
        <f>IF(AT524="N/A","",IF(AT524="N","No","Yes"))</f>
        <v/>
      </c>
      <c r="F524" s="686"/>
      <c r="G524" s="686"/>
      <c r="H524" s="1864"/>
      <c r="I524" s="1904" t="str">
        <f>IF(C514="","",IF(J524&lt;&gt;"","Linear Feet   ","Qty? Enter Zero if N/A  "))</f>
        <v/>
      </c>
      <c r="J524" s="1864"/>
      <c r="K524" s="1904" t="str">
        <f>IF(E524="yes","",IF(C514="","",IF(H524="","Qty? Enter Zero if N/A  ",IF(H524&lt;&gt;"","Track Feet      ",""))))</f>
        <v/>
      </c>
      <c r="L524" s="1864"/>
      <c r="M524" s="1620" t="str">
        <f>IF($H524=0,"",IF($L524="",TEXT(BN524,0)&amp;" Years?    ",""))</f>
        <v/>
      </c>
      <c r="N524" s="1905"/>
      <c r="O524" s="1620"/>
      <c r="P524" s="1864"/>
      <c r="Q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R524" s="1864"/>
      <c r="S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T524" s="1864"/>
      <c r="U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V524" s="1864"/>
      <c r="W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X524" s="1864"/>
      <c r="Y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Z524" s="1864"/>
      <c r="AA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B524" s="1864"/>
      <c r="AC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D524" s="1864"/>
      <c r="AE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F524" s="1864"/>
      <c r="AG524" s="1865"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H524" s="1864"/>
      <c r="AI524" s="904" t="str">
        <f>IF($N524="","",IF(AND($N524="",OR($H524="",$H524=0)),"",IF(AND($N524="LF",$AJ524&lt;$H524),"0 - "&amp;TEXT(($H524-$AJ524)/1000,"0")&amp;"k lin. ft.?    ",IF(AND($N524="TF",$AJ524&lt;$J524),"0 - "&amp;TEXT(($J524-$AJ524)/1000,"0")&amp;"k track ft.?    ",IF(AND($N524="%",$AJ524&lt;1),REPLACE(IF(AND($P524&gt;0,$V524&gt;0,$T524&gt;0,$X524&gt;0,$R524&gt;0,$Z524&gt;0,$AB524&gt;0,$AD524&gt;0,$AF524&gt;0,$AH524&gt;0),"","0-"),99,0,REPLACE(TEXT(100-$AJ524,0),99,0,"%?    ")),"")))))</f>
        <v/>
      </c>
      <c r="AJ524" s="1833">
        <f>IFERROR(IF(N524="%", SUM(P524,R524,T524,V524,X524,Z524,AB524,AD524,AF524,AH524)/100, SUM(P524,R524,T524,V524,X524,Z524,AB524,AD524,AF524,AH524)/IF(N524="LF", H524,J524)), 0)</f>
        <v>0</v>
      </c>
      <c r="AK524" s="1648"/>
      <c r="AL524" s="1675"/>
      <c r="AM524" s="1399"/>
      <c r="AN524" s="1808"/>
      <c r="AO524" s="1399"/>
      <c r="AP524" s="1653"/>
      <c r="AQ524" s="1399"/>
      <c r="AS524" s="1399"/>
      <c r="AT524" s="1624" t="str">
        <f>IF(AND($C$514="", H524="", J524=""), "N/A", IF(OR(AND(ISNUMBER(H524), ISNUMBER(J524), H524=0, J524=0), AND(AJ524=1, H524&lt;&gt;"", J524&lt;&gt;"", L524&lt;&gt;"", N524&lt;&gt;"", P524&lt;&gt;"", R524&lt;&gt;"", T524&lt;&gt;"", V524&lt;&gt;"", X524&lt;&gt;"", Z524&lt;&gt;"", AB524&lt;&gt;"", AD524&lt;&gt;"", AF524&lt;&gt;"", AH524&lt;&gt;"",AL524&lt;&gt;"", IF(AND(AL524&lt;1, AN524=""), FALSE, TRUE))), "Yes", "No"))</f>
        <v>N/A</v>
      </c>
      <c r="AU524" s="759" t="b">
        <f>IF(AND(H524="",OR(L524&lt;&gt;"",P524&lt;&gt;"",R524&lt;&gt;"",T524&lt;&gt;"",V524&lt;&gt;"",X524&lt;&gt;"",AL524&lt;&gt;"",Z524&lt;&gt;"",AB524&lt;&gt;"",AD524&lt;&gt;"",AF524&lt;&gt;"",AH524&lt;&gt;"")),TRUE,FALSE)</f>
        <v>0</v>
      </c>
      <c r="AV524" s="759" t="b">
        <f>IF(OR(H524="",H524=0),FALSE,IF(H524&gt;BM524,TRUE,FALSE))</f>
        <v>0</v>
      </c>
      <c r="AW524" s="759" t="b">
        <f>IF(AND($C$514&lt;&gt;"",$H524=""),TRUE,FALSE)</f>
        <v>0</v>
      </c>
      <c r="AX524" s="759" t="b">
        <f>IF(E524="yes",FALSE,IF(H524="0",FALSE,IF(AND($C$514&lt;&gt;"",J524=""),TRUE,FALSE)))</f>
        <v>0</v>
      </c>
      <c r="AY524" s="759" t="b">
        <f>IF($L524="",FALSE,IF($L524&lt;$BO524,TRUE,FALSE))</f>
        <v>0</v>
      </c>
      <c r="AZ524" s="759" t="b">
        <f>IF($L524="",FALSE,IF($L524&gt;$BP524,TRUE,FALSE))</f>
        <v>0</v>
      </c>
      <c r="BA524" s="759" t="b">
        <f>IF(H524=0,FALSE,IF(AND(E524&lt;&gt;"",$L524=""),TRUE,FALSE))</f>
        <v>0</v>
      </c>
      <c r="BB524" s="759" t="b">
        <f>IF(AND($AJ524&lt;&gt;0,$H524&lt;&gt;$BJ524,$N524="LF"),TRUE,IF(AND($AJ524&lt;&gt;0,$J524&lt;&gt;$AJ524,$N524="TF"),TRUE,IF(AND($AJ524&lt;&gt;0,$AJ524&lt;&gt;1,$N524="%"),TRUE,FALSE)))</f>
        <v>0</v>
      </c>
      <c r="BC524" s="759" t="b">
        <f>IF(AT524="No", IF(OR(P524="", R524="", T524="", V524="", X524="", Z524="", AB524="", AD524="", AF524="", AH524=""), TRUE, FALSE), FALSE)</f>
        <v>0</v>
      </c>
      <c r="BD524" s="759" t="b">
        <f>IF($BE524=TRUE,FALSE,IF(OR($AL524&lt;0,$AL524&gt;1),TRUE,FALSE))</f>
        <v>0</v>
      </c>
      <c r="BE524" s="759" t="b">
        <f>IF(AND($H524&lt;&gt;0,$AL524=""),TRUE,FALSE)</f>
        <v>0</v>
      </c>
      <c r="BF524" s="759" t="b">
        <f>IF(N524="%",TRUE,FALSE)</f>
        <v>0</v>
      </c>
      <c r="BG524" s="760"/>
      <c r="BH524" s="1678">
        <f>IF($C524="","",VLOOKUP($C524,val_fg_assets,9,FALSE))</f>
        <v>1</v>
      </c>
      <c r="BI524" s="1678" t="str">
        <f>IF(N524="", "", IF(N524="LF", H524, IF(N524="TF", J524, IF(N524="%", 1, ""))))</f>
        <v/>
      </c>
      <c r="BJ524" s="1679">
        <f>P524+R524+T524+V524+X524+Z524+AB524+AD524+AF524+AH524</f>
        <v>0</v>
      </c>
      <c r="BK524" s="1679" t="str">
        <f>IF(BI524="", "", BI524-BJ524)</f>
        <v/>
      </c>
      <c r="BL524" s="1679">
        <f>IF($C524="","",VLOOKUP($C524,val_fg_assets,3,FALSE))</f>
        <v>0</v>
      </c>
      <c r="BM524" s="1679">
        <f>IF($C524="","",VLOOKUP($C524,val_fg_assets,4,FALSE))</f>
        <v>1320000</v>
      </c>
      <c r="BN524" s="1678">
        <f>IF($C524="","",VLOOKUP($C524,val_fg_assets,5,FALSE))</f>
        <v>80</v>
      </c>
      <c r="BO524" s="1678">
        <f>IF($C524="","",VLOOKUP($C524,val_fg_assets,6,FALSE))</f>
        <v>60</v>
      </c>
      <c r="BP524" s="1678">
        <f>IF($C524="","",VLOOKUP($C524,val_fg_assets,7,FALSE))</f>
        <v>100</v>
      </c>
      <c r="BQ524" s="1399"/>
    </row>
    <row r="525" spans="1:69" s="782" customFormat="1" ht="3.95" customHeight="1" x14ac:dyDescent="0.2">
      <c r="A525" s="852"/>
      <c r="B525" s="1791">
        <v>513</v>
      </c>
      <c r="C525" s="1673"/>
      <c r="D525" s="1841"/>
      <c r="E525" s="1057"/>
      <c r="F525" s="764"/>
      <c r="G525" s="764"/>
      <c r="H525" s="1909"/>
      <c r="I525" s="1908"/>
      <c r="J525" s="1908"/>
      <c r="K525" s="1908"/>
      <c r="L525" s="1909"/>
      <c r="M525" s="1910"/>
      <c r="N525" s="1911"/>
      <c r="O525" s="1910"/>
      <c r="P525" s="1866"/>
      <c r="Q525" s="1867"/>
      <c r="R525" s="1866"/>
      <c r="S525" s="1867"/>
      <c r="T525" s="1866"/>
      <c r="U525" s="1867"/>
      <c r="V525" s="1866"/>
      <c r="W525" s="1867"/>
      <c r="X525" s="1866"/>
      <c r="Y525" s="1867"/>
      <c r="Z525" s="1867"/>
      <c r="AA525" s="1867"/>
      <c r="AB525" s="1867"/>
      <c r="AC525" s="1867"/>
      <c r="AD525" s="1867"/>
      <c r="AE525" s="1867"/>
      <c r="AF525" s="1867"/>
      <c r="AG525" s="1867"/>
      <c r="AH525" s="1867"/>
      <c r="AI525" s="837"/>
      <c r="AJ525" s="1806"/>
      <c r="AK525" s="841"/>
      <c r="AL525" s="1806"/>
      <c r="AM525" s="1399"/>
      <c r="AN525" s="838"/>
      <c r="AO525" s="1399"/>
      <c r="AP525" s="1399"/>
      <c r="AQ525" s="1399"/>
      <c r="AS525" s="1399"/>
      <c r="AT525" s="1399"/>
      <c r="AU525" s="759"/>
      <c r="AV525" s="759"/>
      <c r="AW525" s="759"/>
      <c r="AX525" s="759"/>
      <c r="AY525" s="759"/>
      <c r="AZ525" s="759"/>
      <c r="BA525" s="759"/>
      <c r="BB525" s="759"/>
      <c r="BC525" s="759"/>
      <c r="BD525" s="759"/>
      <c r="BE525" s="759"/>
      <c r="BF525" s="759"/>
      <c r="BG525" s="760"/>
      <c r="BH525" s="1678"/>
      <c r="BI525" s="1678"/>
      <c r="BJ525" s="1678"/>
      <c r="BK525" s="1678"/>
      <c r="BL525" s="1679"/>
      <c r="BM525" s="1679"/>
      <c r="BN525" s="1678"/>
      <c r="BO525" s="1678"/>
      <c r="BP525" s="1678"/>
      <c r="BQ525" s="1399"/>
    </row>
    <row r="526" spans="1:69" s="782" customFormat="1" ht="3.95" customHeight="1" thickBot="1" x14ac:dyDescent="0.25">
      <c r="A526" s="852"/>
      <c r="B526" s="1791">
        <v>514</v>
      </c>
      <c r="C526" s="851"/>
      <c r="D526" s="1841"/>
      <c r="E526" s="1058"/>
      <c r="F526" s="686"/>
      <c r="G526" s="686"/>
      <c r="H526" s="1913"/>
      <c r="I526" s="1908"/>
      <c r="J526" s="1908"/>
      <c r="K526" s="1908"/>
      <c r="L526" s="1909"/>
      <c r="M526" s="722"/>
      <c r="N526" s="1912"/>
      <c r="O526" s="722"/>
      <c r="P526" s="1868"/>
      <c r="Q526" s="1869"/>
      <c r="R526" s="1868"/>
      <c r="S526" s="1869"/>
      <c r="T526" s="1868"/>
      <c r="U526" s="1869"/>
      <c r="V526" s="1868"/>
      <c r="W526" s="1869"/>
      <c r="X526" s="1868"/>
      <c r="Y526" s="1869"/>
      <c r="Z526" s="1869"/>
      <c r="AA526" s="1869"/>
      <c r="AB526" s="1869"/>
      <c r="AC526" s="1869"/>
      <c r="AD526" s="1869"/>
      <c r="AE526" s="1869"/>
      <c r="AF526" s="1869"/>
      <c r="AG526" s="1869"/>
      <c r="AH526" s="1869"/>
      <c r="AI526" s="1670"/>
      <c r="AJ526" s="1828"/>
      <c r="AK526" s="724"/>
      <c r="AL526" s="1806"/>
      <c r="AM526" s="1399"/>
      <c r="AN526" s="1258"/>
      <c r="AO526" s="1399"/>
      <c r="AP526" s="1399"/>
      <c r="AQ526" s="1399"/>
      <c r="AS526" s="1399"/>
      <c r="AT526" s="1399"/>
      <c r="AU526" s="759"/>
      <c r="AV526" s="759"/>
      <c r="AW526" s="759"/>
      <c r="AX526" s="759"/>
      <c r="AY526" s="759"/>
      <c r="AZ526" s="759"/>
      <c r="BA526" s="759"/>
      <c r="BB526" s="759"/>
      <c r="BC526" s="759"/>
      <c r="BD526" s="759"/>
      <c r="BE526" s="759"/>
      <c r="BF526" s="759"/>
      <c r="BG526" s="760"/>
      <c r="BH526" s="1678"/>
      <c r="BI526" s="1678"/>
      <c r="BJ526" s="1678"/>
      <c r="BK526" s="1678"/>
      <c r="BL526" s="1679"/>
      <c r="BM526" s="1679"/>
      <c r="BN526" s="1678"/>
      <c r="BO526" s="1678"/>
      <c r="BP526" s="1678"/>
      <c r="BQ526" s="1399"/>
    </row>
    <row r="527" spans="1:69" s="782" customFormat="1" x14ac:dyDescent="0.2">
      <c r="A527" s="852">
        <f>A524+1</f>
        <v>130</v>
      </c>
      <c r="B527" s="1790">
        <v>515</v>
      </c>
      <c r="C527" s="851" t="str">
        <f>Valid!$B$74</f>
        <v>Elevated/Concrete</v>
      </c>
      <c r="D527" s="1841"/>
      <c r="E527" s="1245" t="str">
        <f>IF(AT527="N/A","",IF(AT527="N","No","Yes"))</f>
        <v/>
      </c>
      <c r="F527" s="764"/>
      <c r="G527" s="764"/>
      <c r="H527" s="1864"/>
      <c r="I527" s="1904" t="str">
        <f>IF(C514="","",IF(J527&lt;&gt;"","Linear Feet   ","Qty? Enter Zero if N/A  "))</f>
        <v/>
      </c>
      <c r="J527" s="1864"/>
      <c r="K527" s="1904" t="str">
        <f>IF(E527="yes","",IF(C514="","",IF(H527="","Qty? Enter Zero if N/A  ",IF(H527&lt;&gt;"","Track Feet      ",""))))</f>
        <v/>
      </c>
      <c r="L527" s="1864"/>
      <c r="M527" s="1620" t="str">
        <f>IF($H527=0,"",IF($L527="",TEXT(BN527,0)&amp;" Years?    ",""))</f>
        <v/>
      </c>
      <c r="N527" s="1905"/>
      <c r="O527" s="1620"/>
      <c r="P527" s="1864"/>
      <c r="Q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R527" s="1864"/>
      <c r="S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T527" s="1864"/>
      <c r="U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V527" s="1864"/>
      <c r="W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X527" s="1864"/>
      <c r="Y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Z527" s="1864"/>
      <c r="AA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B527" s="1864"/>
      <c r="AC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D527" s="1864"/>
      <c r="AE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F527" s="1864"/>
      <c r="AG527" s="1865"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H527" s="1864"/>
      <c r="AI527" s="904" t="str">
        <f>IF($N527="","",IF(AND($N527="",OR($H527="",$H527=0)),"",IF(AND($N527="LF",$AJ527&lt;$H527),"0 - "&amp;TEXT(($H527-$AJ527)/1000,"0")&amp;"k lin. ft.?    ",IF(AND($N527="TF",$AJ527&lt;$J527),"0 - "&amp;TEXT(($J527-$AJ527)/1000,"0")&amp;"k track ft.?    ",IF(AND($N527="%",$AJ527&lt;1),REPLACE(IF(AND($P527&gt;0,$V527&gt;0,$T527&gt;0,$X527&gt;0,$R527&gt;0,$Z527&gt;0,$AB527&gt;0,$AD527&gt;0,$AF527&gt;0,$AH527&gt;0),"","0-"),99,0,REPLACE(TEXT(100-$AJ527,0),99,0,"%?    ")),"")))))</f>
        <v/>
      </c>
      <c r="AJ527" s="1833">
        <f>IFERROR(IF(N527="%", SUM(P527,R527,T527,V527,X527,Z527,AB527,AD527,AF527,AH527)/100, SUM(P527,R527,T527,V527,X527,Z527,AB527,AD527,AF527,AH527)/IF(N527="LF", H527,J527)), 0)</f>
        <v>0</v>
      </c>
      <c r="AK527" s="1648"/>
      <c r="AL527" s="1675"/>
      <c r="AM527" s="1399"/>
      <c r="AN527" s="1808"/>
      <c r="AO527" s="1399"/>
      <c r="AP527" s="1653"/>
      <c r="AQ527" s="1399"/>
      <c r="AS527" s="1399"/>
      <c r="AT527" s="1624" t="str">
        <f>IF(AND($C$514="", H527="", J527=""), "N/A", IF(OR(AND(ISNUMBER(H527), ISNUMBER(J527), H527=0, J527=0), AND(AJ527=1, H527&lt;&gt;"", J527&lt;&gt;"", L527&lt;&gt;"", N527&lt;&gt;"", P527&lt;&gt;"", R527&lt;&gt;"", T527&lt;&gt;"", V527&lt;&gt;"", X527&lt;&gt;"", Z527&lt;&gt;"", AB527&lt;&gt;"", AD527&lt;&gt;"", AF527&lt;&gt;"", AH527&lt;&gt;"",AL527&lt;&gt;"", IF(AND(AL527&lt;1, AN527=""), FALSE, TRUE))), "Yes", "No"))</f>
        <v>N/A</v>
      </c>
      <c r="AU527" s="759" t="b">
        <f>IF(AND(H527="",OR(L527&lt;&gt;"",P527&lt;&gt;"",R527&lt;&gt;"",T527&lt;&gt;"",V527&lt;&gt;"",X527&lt;&gt;"",AL527&lt;&gt;"",Z527&lt;&gt;"",AB527&lt;&gt;"",AD527&lt;&gt;"",AF527&lt;&gt;"",AH527&lt;&gt;"")),TRUE,FALSE)</f>
        <v>0</v>
      </c>
      <c r="AV527" s="759" t="b">
        <f>IF(OR(H527="",H527=0),FALSE,IF(H527&gt;BM527,TRUE,FALSE))</f>
        <v>0</v>
      </c>
      <c r="AW527" s="759" t="b">
        <f>IF(AND($C$514&lt;&gt;"",$H527=""),TRUE,FALSE)</f>
        <v>0</v>
      </c>
      <c r="AX527" s="759" t="b">
        <f>IF(E527="yes",FALSE,IF(H527="0",FALSE,IF(AND($C$514&lt;&gt;"",J527=""),TRUE,FALSE)))</f>
        <v>0</v>
      </c>
      <c r="AY527" s="759" t="b">
        <f>IF($L527="",FALSE,IF($L527&lt;$BO527,TRUE,FALSE))</f>
        <v>0</v>
      </c>
      <c r="AZ527" s="759" t="b">
        <f>IF($L527="",FALSE,IF($L527&gt;$BP527,TRUE,FALSE))</f>
        <v>0</v>
      </c>
      <c r="BA527" s="759" t="b">
        <f>IF(H527=0,FALSE,IF(AND(E527&lt;&gt;"",$L527=""),TRUE,FALSE))</f>
        <v>0</v>
      </c>
      <c r="BB527" s="759" t="b">
        <f>IF(AND($AJ527&lt;&gt;0,$H527&lt;&gt;$BJ527,$N527="LF"),TRUE,IF(AND($AJ527&lt;&gt;0,$J527&lt;&gt;$AJ527,$N527="TF"),TRUE,IF(AND($AJ527&lt;&gt;0,$AJ527&lt;&gt;1,$N527="%"),TRUE,FALSE)))</f>
        <v>0</v>
      </c>
      <c r="BC527" s="759" t="b">
        <f>IF(AT527="No", IF(OR(P527="", R527="", T527="", V527="", X527="", Z527="", AB527="", AD527="", AF527="", AH527=""), TRUE, FALSE), FALSE)</f>
        <v>0</v>
      </c>
      <c r="BD527" s="759" t="b">
        <f>IF($BE527=TRUE,FALSE,IF(OR($AL527&lt;0,$AL527&gt;1),TRUE,FALSE))</f>
        <v>0</v>
      </c>
      <c r="BE527" s="759" t="b">
        <f>IF(AND($H527&lt;&gt;0,$AL527=""),TRUE,FALSE)</f>
        <v>0</v>
      </c>
      <c r="BF527" s="759" t="b">
        <f>IF(N527="%",TRUE,FALSE)</f>
        <v>0</v>
      </c>
      <c r="BG527" s="760"/>
      <c r="BH527" s="1678">
        <f>IF($C527="","",VLOOKUP($C527,val_fg_assets,9,FALSE))</f>
        <v>1</v>
      </c>
      <c r="BI527" s="1678" t="str">
        <f>IF(N527="", "", IF(N527="LF", H527, IF(N527="TF", J527, IF(N527="%", 1, ""))))</f>
        <v/>
      </c>
      <c r="BJ527" s="1679">
        <f>P527+R527+T527+V527+X527+Z527+AB527+AD527+AF527+AH527</f>
        <v>0</v>
      </c>
      <c r="BK527" s="1679" t="str">
        <f>IF(BI527="", "", BI527-BJ527)</f>
        <v/>
      </c>
      <c r="BL527" s="1679">
        <f>IF($C527="","",VLOOKUP($C527,val_fg_assets,3,FALSE))</f>
        <v>0</v>
      </c>
      <c r="BM527" s="1679">
        <f>IF($C527="","",VLOOKUP($C527,val_fg_assets,4,FALSE))</f>
        <v>1320000</v>
      </c>
      <c r="BN527" s="1678">
        <f>IF($C527="","",VLOOKUP($C527,val_fg_assets,5,FALSE))</f>
        <v>80</v>
      </c>
      <c r="BO527" s="1678">
        <f>IF($C527="","",VLOOKUP($C527,val_fg_assets,6,FALSE))</f>
        <v>60</v>
      </c>
      <c r="BP527" s="1678">
        <f>IF($C527="","",VLOOKUP($C527,val_fg_assets,7,FALSE))</f>
        <v>100</v>
      </c>
      <c r="BQ527" s="1399"/>
    </row>
    <row r="528" spans="1:69" s="782" customFormat="1" ht="3.95" customHeight="1" x14ac:dyDescent="0.2">
      <c r="A528" s="852"/>
      <c r="B528" s="1790">
        <v>516</v>
      </c>
      <c r="C528" s="851"/>
      <c r="D528" s="1841"/>
      <c r="E528" s="1058"/>
      <c r="F528" s="686"/>
      <c r="G528" s="686"/>
      <c r="H528" s="1909"/>
      <c r="I528" s="1907"/>
      <c r="J528" s="1908"/>
      <c r="K528" s="1907"/>
      <c r="L528" s="1909"/>
      <c r="M528" s="1910"/>
      <c r="N528" s="1911"/>
      <c r="O528" s="1910"/>
      <c r="P528" s="1866"/>
      <c r="Q528" s="1867"/>
      <c r="R528" s="1866"/>
      <c r="S528" s="1867"/>
      <c r="T528" s="1866"/>
      <c r="U528" s="1867"/>
      <c r="V528" s="1866"/>
      <c r="W528" s="1867"/>
      <c r="X528" s="1866"/>
      <c r="Y528" s="1867"/>
      <c r="Z528" s="1867"/>
      <c r="AA528" s="1867"/>
      <c r="AB528" s="1867"/>
      <c r="AC528" s="1867"/>
      <c r="AD528" s="1867"/>
      <c r="AE528" s="1867"/>
      <c r="AF528" s="1867"/>
      <c r="AG528" s="1867"/>
      <c r="AH528" s="1867"/>
      <c r="AI528" s="837"/>
      <c r="AJ528" s="1806"/>
      <c r="AK528" s="841"/>
      <c r="AL528" s="1806"/>
      <c r="AM528" s="1399"/>
      <c r="AN528" s="838"/>
      <c r="AO528" s="1399"/>
      <c r="AP528" s="1223"/>
      <c r="AQ528" s="1399"/>
      <c r="AS528" s="1399"/>
      <c r="AT528" s="1399"/>
      <c r="AU528" s="759"/>
      <c r="AV528" s="759"/>
      <c r="AW528" s="759"/>
      <c r="AX528" s="759"/>
      <c r="AY528" s="759"/>
      <c r="AZ528" s="759"/>
      <c r="BA528" s="759"/>
      <c r="BB528" s="759"/>
      <c r="BC528" s="759"/>
      <c r="BD528" s="759"/>
      <c r="BE528" s="759"/>
      <c r="BF528" s="759"/>
      <c r="BG528" s="760"/>
      <c r="BH528" s="1678"/>
      <c r="BI528" s="1678"/>
      <c r="BJ528" s="1678"/>
      <c r="BK528" s="1678"/>
      <c r="BL528" s="1679"/>
      <c r="BM528" s="1679"/>
      <c r="BN528" s="1678"/>
      <c r="BO528" s="1678"/>
      <c r="BP528" s="1678"/>
      <c r="BQ528" s="1399"/>
    </row>
    <row r="529" spans="1:69" s="782" customFormat="1" ht="3.95" customHeight="1" thickBot="1" x14ac:dyDescent="0.25">
      <c r="A529" s="852"/>
      <c r="B529" s="1791">
        <v>517</v>
      </c>
      <c r="C529" s="1673"/>
      <c r="D529" s="1841"/>
      <c r="E529" s="1057"/>
      <c r="F529" s="764"/>
      <c r="G529" s="764"/>
      <c r="H529" s="1913"/>
      <c r="I529" s="1908"/>
      <c r="J529" s="1908"/>
      <c r="K529" s="1908"/>
      <c r="L529" s="1909"/>
      <c r="M529" s="722"/>
      <c r="N529" s="1912"/>
      <c r="O529" s="722"/>
      <c r="P529" s="1868"/>
      <c r="Q529" s="1869"/>
      <c r="R529" s="1868"/>
      <c r="S529" s="1869"/>
      <c r="T529" s="1868"/>
      <c r="U529" s="1869"/>
      <c r="V529" s="1868"/>
      <c r="W529" s="1869"/>
      <c r="X529" s="1868"/>
      <c r="Y529" s="1869"/>
      <c r="Z529" s="1869"/>
      <c r="AA529" s="1869"/>
      <c r="AB529" s="1869"/>
      <c r="AC529" s="1869"/>
      <c r="AD529" s="1869"/>
      <c r="AE529" s="1869"/>
      <c r="AF529" s="1869"/>
      <c r="AG529" s="1869"/>
      <c r="AH529" s="1869"/>
      <c r="AI529" s="1670"/>
      <c r="AJ529" s="1828"/>
      <c r="AK529" s="724"/>
      <c r="AL529" s="1806"/>
      <c r="AM529" s="1399"/>
      <c r="AN529" s="1258"/>
      <c r="AO529" s="1399"/>
      <c r="AP529" s="1399"/>
      <c r="AQ529" s="1399"/>
      <c r="AS529" s="1399"/>
      <c r="AT529" s="1399"/>
      <c r="AU529" s="759"/>
      <c r="AV529" s="759"/>
      <c r="AW529" s="759"/>
      <c r="AX529" s="759"/>
      <c r="AY529" s="759"/>
      <c r="AZ529" s="759"/>
      <c r="BA529" s="759"/>
      <c r="BB529" s="759"/>
      <c r="BC529" s="759"/>
      <c r="BD529" s="759"/>
      <c r="BE529" s="759"/>
      <c r="BF529" s="759"/>
      <c r="BG529" s="760"/>
      <c r="BH529" s="1678"/>
      <c r="BI529" s="1678"/>
      <c r="BJ529" s="1678"/>
      <c r="BK529" s="1678"/>
      <c r="BL529" s="1679"/>
      <c r="BM529" s="1679"/>
      <c r="BN529" s="1678"/>
      <c r="BO529" s="1678"/>
      <c r="BP529" s="1678"/>
      <c r="BQ529" s="1399"/>
    </row>
    <row r="530" spans="1:69" s="782" customFormat="1" x14ac:dyDescent="0.2">
      <c r="A530" s="852">
        <f>A527+1</f>
        <v>131</v>
      </c>
      <c r="B530" s="1791">
        <v>518</v>
      </c>
      <c r="C530" s="851" t="str">
        <f>Valid!$B$75</f>
        <v>Elevated/Steel Viaduct or Bridge</v>
      </c>
      <c r="D530" s="1841"/>
      <c r="E530" s="1245" t="str">
        <f>IF(AT530="N/A","",IF(AT530="N","No","Yes"))</f>
        <v/>
      </c>
      <c r="F530" s="686"/>
      <c r="G530" s="686"/>
      <c r="H530" s="1864"/>
      <c r="I530" s="1904" t="str">
        <f>IF(C514="","",IF(J530&lt;&gt;"","Linear Feet   ","Qty? Enter Zero if N/A  "))</f>
        <v/>
      </c>
      <c r="J530" s="1864"/>
      <c r="K530" s="1904" t="str">
        <f>IF(E530="yes","",IF(C514="","",IF(H530="","Qty? Enter Zero if N/A  ",IF(H530&lt;&gt;"","Track Feet      ",""))))</f>
        <v/>
      </c>
      <c r="L530" s="1864"/>
      <c r="M530" s="1620" t="str">
        <f>IF($H530=0,"",IF($L530="",TEXT(BN530,0)&amp;" Years?    ",""))</f>
        <v/>
      </c>
      <c r="N530" s="1905"/>
      <c r="O530" s="1620"/>
      <c r="P530" s="1864"/>
      <c r="Q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R530" s="1864"/>
      <c r="S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T530" s="1864"/>
      <c r="U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V530" s="1864"/>
      <c r="W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X530" s="1864"/>
      <c r="Y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Z530" s="1864"/>
      <c r="AA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B530" s="1864"/>
      <c r="AC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D530" s="1864"/>
      <c r="AE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F530" s="1864"/>
      <c r="AG530" s="1865"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H530" s="1864"/>
      <c r="AI530" s="904" t="str">
        <f>IF($N530="","",IF(AND($N530="",OR($H530="",$H530=0)),"",IF(AND($N530="LF",$AJ530&lt;$H530),"0 - "&amp;TEXT(($H530-$AJ530)/1000,"0")&amp;"k lin. ft.?    ",IF(AND($N530="TF",$AJ530&lt;$J530),"0 - "&amp;TEXT(($J530-$AJ530)/1000,"0")&amp;"k track ft.?    ",IF(AND($N530="%",$AJ530&lt;1),REPLACE(IF(AND($P530&gt;0,$V530&gt;0,$T530&gt;0,$X530&gt;0,$R530&gt;0,$Z530&gt;0,$AB530&gt;0,$AD530&gt;0,$AF530&gt;0,$AH530&gt;0),"","0-"),99,0,REPLACE(TEXT(100-$AJ530,0),99,0,"%?    ")),"")))))</f>
        <v/>
      </c>
      <c r="AJ530" s="1833">
        <f>IFERROR(IF(N530="%", SUM(P530,R530,T530,V530,X530,Z530,AB530,AD530,AF530,AH530)/100, SUM(P530,R530,T530,V530,X530,Z530,AB530,AD530,AF530,AH530)/IF(N530="LF", H530,J530)), 0)</f>
        <v>0</v>
      </c>
      <c r="AK530" s="1648"/>
      <c r="AL530" s="1675"/>
      <c r="AM530" s="1399"/>
      <c r="AN530" s="1808"/>
      <c r="AO530" s="1399"/>
      <c r="AP530" s="1653"/>
      <c r="AQ530" s="1399"/>
      <c r="AS530" s="1399"/>
      <c r="AT530" s="1624" t="str">
        <f>IF(AND($C$514="", H530="", J530=""), "N/A", IF(OR(AND(ISNUMBER(H530), ISNUMBER(J530), H530=0, J530=0), AND(AJ530=1, H530&lt;&gt;"", J530&lt;&gt;"", L530&lt;&gt;"", N530&lt;&gt;"", P530&lt;&gt;"", R530&lt;&gt;"", T530&lt;&gt;"", V530&lt;&gt;"", X530&lt;&gt;"", Z530&lt;&gt;"", AB530&lt;&gt;"", AD530&lt;&gt;"", AF530&lt;&gt;"", AH530&lt;&gt;"",AL530&lt;&gt;"", IF(AND(AL530&lt;1, AN530=""), FALSE, TRUE))), "Yes", "No"))</f>
        <v>N/A</v>
      </c>
      <c r="AU530" s="759" t="b">
        <f>IF(AND(H530="",OR(L530&lt;&gt;"",P530&lt;&gt;"",R530&lt;&gt;"",T530&lt;&gt;"",V530&lt;&gt;"",X530&lt;&gt;"",AL530&lt;&gt;"",Z530&lt;&gt;"",AB530&lt;&gt;"",AD530&lt;&gt;"",AF530&lt;&gt;"",AH530&lt;&gt;"")),TRUE,FALSE)</f>
        <v>0</v>
      </c>
      <c r="AV530" s="759" t="b">
        <f>IF(OR(H530="",H530=0),FALSE,IF(H530&gt;BM530,TRUE,FALSE))</f>
        <v>0</v>
      </c>
      <c r="AW530" s="759" t="b">
        <f>IF(AND($C$514&lt;&gt;"",$H530=""),TRUE,FALSE)</f>
        <v>0</v>
      </c>
      <c r="AX530" s="759" t="b">
        <f>IF(E530="yes",FALSE,IF(H530="0",FALSE,IF(AND($C$514&lt;&gt;"",J530=""),TRUE,FALSE)))</f>
        <v>0</v>
      </c>
      <c r="AY530" s="759" t="b">
        <f>IF($L530="",FALSE,IF($L530&lt;$BO530,TRUE,FALSE))</f>
        <v>0</v>
      </c>
      <c r="AZ530" s="759" t="b">
        <f>IF($L530="",FALSE,IF($L530&gt;$BP530,TRUE,FALSE))</f>
        <v>0</v>
      </c>
      <c r="BA530" s="759" t="b">
        <f>IF(H530=0,FALSE,IF(AND(E530&lt;&gt;"",$L530=""),TRUE,FALSE))</f>
        <v>0</v>
      </c>
      <c r="BB530" s="759" t="b">
        <f>IF(AND($AJ530&lt;&gt;0,$H530&lt;&gt;$BJ530,$N530="LF"),TRUE,IF(AND($AJ530&lt;&gt;0,$J530&lt;&gt;$AJ530,$N530="TF"),TRUE,IF(AND($AJ530&lt;&gt;0,$AJ530&lt;&gt;1,$N530="%"),TRUE,FALSE)))</f>
        <v>0</v>
      </c>
      <c r="BC530" s="759" t="b">
        <f>IF(AT530="No", IF(OR(P530="", R530="", T530="", V530="", X530="", Z530="", AB530="", AD530="", AF530="", AH530=""), TRUE, FALSE), FALSE)</f>
        <v>0</v>
      </c>
      <c r="BD530" s="759" t="b">
        <f>IF($BE530=TRUE,FALSE,IF(OR($AL530&lt;0,$AL530&gt;1),TRUE,FALSE))</f>
        <v>0</v>
      </c>
      <c r="BE530" s="759" t="b">
        <f>IF(AND($H530&lt;&gt;0,$AL530=""),TRUE,FALSE)</f>
        <v>0</v>
      </c>
      <c r="BF530" s="759" t="b">
        <f>IF(N530="%",TRUE,FALSE)</f>
        <v>0</v>
      </c>
      <c r="BG530" s="760"/>
      <c r="BH530" s="1678">
        <f>IF($C530="","",VLOOKUP($C530,val_fg_assets,9,FALSE))</f>
        <v>1</v>
      </c>
      <c r="BI530" s="1678" t="str">
        <f>IF(N530="", "", IF(N530="LF", H530, IF(N530="TF", J530, IF(N530="%", 1, ""))))</f>
        <v/>
      </c>
      <c r="BJ530" s="1679">
        <f>P530+R530+T530+V530+X530+Z530+AB530+AD530+AF530+AH530</f>
        <v>0</v>
      </c>
      <c r="BK530" s="1679" t="str">
        <f>IF(BI530="", "", BI530-BJ530)</f>
        <v/>
      </c>
      <c r="BL530" s="1679">
        <f>IF($C530="","",VLOOKUP($C530,val_fg_assets,3,FALSE))</f>
        <v>0</v>
      </c>
      <c r="BM530" s="1679">
        <f>IF($C530="","",VLOOKUP($C530,val_fg_assets,4,FALSE))</f>
        <v>1320000</v>
      </c>
      <c r="BN530" s="1678">
        <f>IF($C530="","",VLOOKUP($C530,val_fg_assets,5,FALSE))</f>
        <v>80</v>
      </c>
      <c r="BO530" s="1678">
        <f>IF($C530="","",VLOOKUP($C530,val_fg_assets,6,FALSE))</f>
        <v>60</v>
      </c>
      <c r="BP530" s="1678">
        <f>IF($C530="","",VLOOKUP($C530,val_fg_assets,7,FALSE))</f>
        <v>100</v>
      </c>
      <c r="BQ530" s="1399"/>
    </row>
    <row r="531" spans="1:69" s="782" customFormat="1" ht="3.95" customHeight="1" x14ac:dyDescent="0.2">
      <c r="A531" s="852"/>
      <c r="B531" s="1791">
        <v>519</v>
      </c>
      <c r="C531" s="1673"/>
      <c r="D531" s="1841"/>
      <c r="E531" s="1057"/>
      <c r="F531" s="764"/>
      <c r="G531" s="686">
        <v>7</v>
      </c>
      <c r="H531" s="1906"/>
      <c r="I531" s="1907"/>
      <c r="J531" s="1908"/>
      <c r="K531" s="1907"/>
      <c r="L531" s="1909"/>
      <c r="M531" s="1910"/>
      <c r="N531" s="1911"/>
      <c r="O531" s="1910"/>
      <c r="P531" s="1866"/>
      <c r="Q531" s="1867"/>
      <c r="R531" s="1866"/>
      <c r="S531" s="1867"/>
      <c r="T531" s="1866"/>
      <c r="U531" s="1867"/>
      <c r="V531" s="1866"/>
      <c r="W531" s="1867"/>
      <c r="X531" s="1866"/>
      <c r="Y531" s="1867"/>
      <c r="Z531" s="1867"/>
      <c r="AA531" s="1867"/>
      <c r="AB531" s="1867"/>
      <c r="AC531" s="1867"/>
      <c r="AD531" s="1867"/>
      <c r="AE531" s="1867"/>
      <c r="AF531" s="1867"/>
      <c r="AG531" s="1867"/>
      <c r="AH531" s="1867"/>
      <c r="AI531" s="837"/>
      <c r="AJ531" s="1806"/>
      <c r="AK531" s="841"/>
      <c r="AL531" s="1806"/>
      <c r="AM531" s="1399"/>
      <c r="AN531" s="838"/>
      <c r="AO531" s="1399"/>
      <c r="AP531" s="1399"/>
      <c r="AQ531" s="1399"/>
      <c r="AS531" s="1399"/>
      <c r="AT531" s="1399"/>
      <c r="AU531" s="759"/>
      <c r="AV531" s="759"/>
      <c r="AW531" s="759"/>
      <c r="AX531" s="759"/>
      <c r="AY531" s="759"/>
      <c r="AZ531" s="759"/>
      <c r="BA531" s="759"/>
      <c r="BB531" s="759"/>
      <c r="BC531" s="759"/>
      <c r="BD531" s="759"/>
      <c r="BE531" s="759"/>
      <c r="BF531" s="759"/>
      <c r="BG531" s="760"/>
      <c r="BH531" s="1678"/>
      <c r="BI531" s="1678"/>
      <c r="BJ531" s="1678"/>
      <c r="BK531" s="1678"/>
      <c r="BL531" s="1679"/>
      <c r="BM531" s="1679"/>
      <c r="BN531" s="1678"/>
      <c r="BO531" s="1678"/>
      <c r="BP531" s="1678"/>
      <c r="BQ531" s="1399"/>
    </row>
    <row r="532" spans="1:69" s="782" customFormat="1" ht="3.95" customHeight="1" thickBot="1" x14ac:dyDescent="0.25">
      <c r="A532" s="852"/>
      <c r="B532" s="1790">
        <v>520</v>
      </c>
      <c r="C532" s="1673"/>
      <c r="D532" s="1841"/>
      <c r="E532" s="1057"/>
      <c r="F532" s="764"/>
      <c r="G532" s="764">
        <v>8</v>
      </c>
      <c r="H532" s="1906"/>
      <c r="I532" s="1907"/>
      <c r="J532" s="1908"/>
      <c r="K532" s="1907"/>
      <c r="L532" s="1909"/>
      <c r="M532" s="722"/>
      <c r="N532" s="1912"/>
      <c r="O532" s="722"/>
      <c r="P532" s="1868"/>
      <c r="Q532" s="1869"/>
      <c r="R532" s="1868"/>
      <c r="S532" s="1869"/>
      <c r="T532" s="1868"/>
      <c r="U532" s="1869"/>
      <c r="V532" s="1868"/>
      <c r="W532" s="1869"/>
      <c r="X532" s="1868"/>
      <c r="Y532" s="1869"/>
      <c r="Z532" s="1869"/>
      <c r="AA532" s="1869"/>
      <c r="AB532" s="1869"/>
      <c r="AC532" s="1869"/>
      <c r="AD532" s="1869"/>
      <c r="AE532" s="1869"/>
      <c r="AF532" s="1869"/>
      <c r="AG532" s="1869"/>
      <c r="AH532" s="1869"/>
      <c r="AI532" s="1670"/>
      <c r="AJ532" s="1828"/>
      <c r="AK532" s="724"/>
      <c r="AL532" s="1806"/>
      <c r="AM532" s="1399"/>
      <c r="AN532" s="1258"/>
      <c r="AO532" s="1399"/>
      <c r="AP532" s="1223"/>
      <c r="AQ532" s="1399"/>
      <c r="AS532" s="1399"/>
      <c r="AT532" s="1399"/>
      <c r="AU532" s="759"/>
      <c r="AV532" s="759"/>
      <c r="AW532" s="759"/>
      <c r="AX532" s="759"/>
      <c r="AY532" s="759"/>
      <c r="AZ532" s="759"/>
      <c r="BA532" s="759"/>
      <c r="BB532" s="759"/>
      <c r="BC532" s="759"/>
      <c r="BD532" s="759"/>
      <c r="BE532" s="759"/>
      <c r="BF532" s="759"/>
      <c r="BG532" s="760"/>
      <c r="BH532" s="1678"/>
      <c r="BI532" s="1678"/>
      <c r="BJ532" s="1678"/>
      <c r="BK532" s="1678"/>
      <c r="BL532" s="1679"/>
      <c r="BM532" s="1679"/>
      <c r="BN532" s="1678"/>
      <c r="BO532" s="1678"/>
      <c r="BP532" s="1678"/>
      <c r="BQ532" s="1399"/>
    </row>
    <row r="533" spans="1:69" s="782" customFormat="1" x14ac:dyDescent="0.2">
      <c r="A533" s="852">
        <f>A530+1</f>
        <v>132</v>
      </c>
      <c r="B533" s="1790">
        <v>521</v>
      </c>
      <c r="C533" s="851" t="str">
        <f>Valid!$B$76</f>
        <v>Below-Grade/Retained Cut</v>
      </c>
      <c r="D533" s="1841"/>
      <c r="E533" s="1245" t="str">
        <f>IF(AT533="N/A","",IF(AT533="N","No","Yes"))</f>
        <v/>
      </c>
      <c r="F533" s="686"/>
      <c r="G533" s="686"/>
      <c r="H533" s="1864"/>
      <c r="I533" s="1904" t="str">
        <f>IF(C514="","",IF(J533&lt;&gt;"","Linear Feet   ","Qty? Enter Zero if N/A  "))</f>
        <v/>
      </c>
      <c r="J533" s="1864"/>
      <c r="K533" s="1904" t="str">
        <f>IF(E533="yes","",IF(C514="","",IF(H533="","Qty? Enter Zero if N/A  ",IF(H533&lt;&gt;"","Track Feet      ",""))))</f>
        <v/>
      </c>
      <c r="L533" s="1864"/>
      <c r="M533" s="1620" t="str">
        <f>IF($H533=0,"",IF($L533="",TEXT(BN533,0)&amp;" Years?    ",""))</f>
        <v/>
      </c>
      <c r="N533" s="1905"/>
      <c r="O533" s="1620"/>
      <c r="P533" s="1864"/>
      <c r="Q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R533" s="1864"/>
      <c r="S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T533" s="1864"/>
      <c r="U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V533" s="1864"/>
      <c r="W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X533" s="1864"/>
      <c r="Y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Z533" s="1864"/>
      <c r="AA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B533" s="1864"/>
      <c r="AC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D533" s="1864"/>
      <c r="AE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F533" s="1864"/>
      <c r="AG533" s="1865"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H533" s="1864"/>
      <c r="AI533" s="904" t="str">
        <f>IF($N533="","",IF(AND($N533="",OR($H533="",$H533=0)),"",IF(AND($N533="LF",$AJ533&lt;$H533),"0 - "&amp;TEXT(($H533-$AJ533)/1000,"0")&amp;"k lin. ft.?    ",IF(AND($N533="TF",$AJ533&lt;$J533),"0 - "&amp;TEXT(($J533-$AJ533)/1000,"0")&amp;"k track ft.?    ",IF(AND($N533="%",$AJ533&lt;1),REPLACE(IF(AND($P533&gt;0,$V533&gt;0,$T533&gt;0,$X533&gt;0,$R533&gt;0,$Z533&gt;0,$AB533&gt;0,$AD533&gt;0,$AF533&gt;0,$AH533&gt;0),"","0-"),99,0,REPLACE(TEXT(100-$AJ533,0),99,0,"%?    ")),"")))))</f>
        <v/>
      </c>
      <c r="AJ533" s="1833">
        <f>IFERROR(IF(N533="%", SUM(P533,R533,T533,V533,X533,Z533,AB533,AD533,AF533,AH533)/100, SUM(P533,R533,T533,V533,X533,Z533,AB533,AD533,AF533,AH533)/IF(N533="LF", H533,J533)), 0)</f>
        <v>0</v>
      </c>
      <c r="AK533" s="1648"/>
      <c r="AL533" s="1675"/>
      <c r="AM533" s="1399"/>
      <c r="AN533" s="1808"/>
      <c r="AO533" s="1399"/>
      <c r="AP533" s="1653"/>
      <c r="AQ533" s="1399"/>
      <c r="AS533" s="1399"/>
      <c r="AT533" s="1624" t="str">
        <f>IF(AND($C$514="", H533="", J533=""), "N/A", IF(OR(AND(ISNUMBER(H533), ISNUMBER(J533), H533=0, J533=0), AND(AJ533=1, H533&lt;&gt;"", J533&lt;&gt;"", L533&lt;&gt;"", N533&lt;&gt;"", P533&lt;&gt;"", R533&lt;&gt;"", T533&lt;&gt;"", V533&lt;&gt;"", X533&lt;&gt;"", Z533&lt;&gt;"", AB533&lt;&gt;"", AD533&lt;&gt;"", AF533&lt;&gt;"", AH533&lt;&gt;"",AL533&lt;&gt;"", IF(AND(AL533&lt;1, AN533=""), FALSE, TRUE))), "Yes", "No"))</f>
        <v>N/A</v>
      </c>
      <c r="AU533" s="759" t="b">
        <f>IF(AND(H533="",OR(L533&lt;&gt;"",P533&lt;&gt;"",R533&lt;&gt;"",T533&lt;&gt;"",V533&lt;&gt;"",X533&lt;&gt;"",AL533&lt;&gt;"",Z533&lt;&gt;"",AB533&lt;&gt;"",AD533&lt;&gt;"",AF533&lt;&gt;"",AH533&lt;&gt;"")),TRUE,FALSE)</f>
        <v>0</v>
      </c>
      <c r="AV533" s="759" t="b">
        <f>IF(OR(H533="",H533=0),FALSE,IF(H533&gt;BM533,TRUE,FALSE))</f>
        <v>0</v>
      </c>
      <c r="AW533" s="759" t="b">
        <f>IF(AND($C$514&lt;&gt;"",$H533=""),TRUE,FALSE)</f>
        <v>0</v>
      </c>
      <c r="AX533" s="759" t="b">
        <f>IF(E533="yes",FALSE,IF(H533="0",FALSE,IF(AND($C$514&lt;&gt;"",J533=""),TRUE,FALSE)))</f>
        <v>0</v>
      </c>
      <c r="AY533" s="759" t="b">
        <f>IF($L533="",FALSE,IF($L533&lt;$BO533,TRUE,FALSE))</f>
        <v>0</v>
      </c>
      <c r="AZ533" s="759" t="b">
        <f>IF($L533="",FALSE,IF($L533&gt;$BP533,TRUE,FALSE))</f>
        <v>0</v>
      </c>
      <c r="BA533" s="759" t="b">
        <f>IF(H533=0,FALSE,IF(AND(E533&lt;&gt;"",$L533=""),TRUE,FALSE))</f>
        <v>0</v>
      </c>
      <c r="BB533" s="759" t="b">
        <f>IF(AND($AJ533&lt;&gt;0,$H533&lt;&gt;$BJ533,$N533="LF"),TRUE,IF(AND($AJ533&lt;&gt;0,$J533&lt;&gt;$AJ533,$N533="TF"),TRUE,IF(AND($AJ533&lt;&gt;0,$AJ533&lt;&gt;1,$N533="%"),TRUE,FALSE)))</f>
        <v>0</v>
      </c>
      <c r="BC533" s="759" t="b">
        <f>IF(AT533="No", IF(OR(P533="", R533="", T533="", V533="", X533="", Z533="", AB533="", AD533="", AF533="", AH533=""), TRUE, FALSE), FALSE)</f>
        <v>0</v>
      </c>
      <c r="BD533" s="759" t="b">
        <f>IF($BE533=TRUE,FALSE,IF(OR($AL533&lt;0,$AL533&gt;1),TRUE,FALSE))</f>
        <v>0</v>
      </c>
      <c r="BE533" s="759" t="b">
        <f>IF(AND($H533&lt;&gt;0,$AL533=""),TRUE,FALSE)</f>
        <v>0</v>
      </c>
      <c r="BF533" s="759" t="b">
        <f>IF(N533="%",TRUE,FALSE)</f>
        <v>0</v>
      </c>
      <c r="BG533" s="760"/>
      <c r="BH533" s="1678">
        <f>IF($C533="","",VLOOKUP($C533,val_fg_assets,9,FALSE))</f>
        <v>1</v>
      </c>
      <c r="BI533" s="1678" t="str">
        <f>IF(N533="", "", IF(N533="LF", H533, IF(N533="TF", J533, IF(N533="%", 1, ""))))</f>
        <v/>
      </c>
      <c r="BJ533" s="1679">
        <f>P533+R533+T533+V533+X533+Z533+AB533+AD533+AF533+AH533</f>
        <v>0</v>
      </c>
      <c r="BK533" s="1679" t="str">
        <f>IF(BI533="", "", BI533-BJ533)</f>
        <v/>
      </c>
      <c r="BL533" s="1679">
        <f>IF($C533="","",VLOOKUP($C533,val_fg_assets,3,FALSE))</f>
        <v>0</v>
      </c>
      <c r="BM533" s="1679">
        <f>IF($C533="","",VLOOKUP($C533,val_fg_assets,4,FALSE))</f>
        <v>1320000</v>
      </c>
      <c r="BN533" s="1678">
        <f>IF($C533="","",VLOOKUP($C533,val_fg_assets,5,FALSE))</f>
        <v>80</v>
      </c>
      <c r="BO533" s="1678">
        <f>IF($C533="","",VLOOKUP($C533,val_fg_assets,6,FALSE))</f>
        <v>60</v>
      </c>
      <c r="BP533" s="1678">
        <f>IF($C533="","",VLOOKUP($C533,val_fg_assets,7,FALSE))</f>
        <v>100</v>
      </c>
      <c r="BQ533" s="1399"/>
    </row>
    <row r="534" spans="1:69" s="782" customFormat="1" ht="3.95" customHeight="1" x14ac:dyDescent="0.2">
      <c r="A534" s="852"/>
      <c r="B534" s="1791">
        <v>522</v>
      </c>
      <c r="C534" s="851"/>
      <c r="D534" s="1841"/>
      <c r="E534" s="1059"/>
      <c r="F534" s="686"/>
      <c r="G534" s="686"/>
      <c r="H534" s="1913"/>
      <c r="I534" s="1908"/>
      <c r="J534" s="1908"/>
      <c r="K534" s="1908"/>
      <c r="L534" s="1909"/>
      <c r="M534" s="722"/>
      <c r="N534" s="1912"/>
      <c r="O534" s="722"/>
      <c r="P534" s="1866"/>
      <c r="Q534" s="1867"/>
      <c r="R534" s="1866"/>
      <c r="S534" s="1867"/>
      <c r="T534" s="1866"/>
      <c r="U534" s="1867"/>
      <c r="V534" s="1866"/>
      <c r="W534" s="1867"/>
      <c r="X534" s="1866"/>
      <c r="Y534" s="1867"/>
      <c r="Z534" s="1867"/>
      <c r="AA534" s="1867"/>
      <c r="AB534" s="1867"/>
      <c r="AC534" s="1867"/>
      <c r="AD534" s="1867"/>
      <c r="AE534" s="1867"/>
      <c r="AF534" s="1867"/>
      <c r="AG534" s="1867"/>
      <c r="AH534" s="1867"/>
      <c r="AI534" s="837"/>
      <c r="AJ534" s="1828"/>
      <c r="AK534" s="724"/>
      <c r="AL534" s="1806"/>
      <c r="AM534" s="1399"/>
      <c r="AN534" s="1258"/>
      <c r="AO534" s="1399"/>
      <c r="AP534" s="1399"/>
      <c r="AQ534" s="1399"/>
      <c r="AS534" s="1399"/>
      <c r="AT534" s="1399"/>
      <c r="AU534" s="759"/>
      <c r="AV534" s="759"/>
      <c r="AW534" s="759"/>
      <c r="AX534" s="759"/>
      <c r="AY534" s="759"/>
      <c r="AZ534" s="759"/>
      <c r="BA534" s="759"/>
      <c r="BB534" s="759"/>
      <c r="BC534" s="759"/>
      <c r="BD534" s="759"/>
      <c r="BE534" s="759"/>
      <c r="BF534" s="759"/>
      <c r="BG534" s="760"/>
      <c r="BH534" s="1678"/>
      <c r="BI534" s="1678"/>
      <c r="BJ534" s="1678"/>
      <c r="BK534" s="1678"/>
      <c r="BL534" s="1679"/>
      <c r="BM534" s="1679"/>
      <c r="BN534" s="1678"/>
      <c r="BO534" s="1678"/>
      <c r="BP534" s="1678"/>
      <c r="BQ534" s="1399"/>
    </row>
    <row r="535" spans="1:69" s="782" customFormat="1" ht="3.95" customHeight="1" thickBot="1" x14ac:dyDescent="0.25">
      <c r="A535" s="852"/>
      <c r="B535" s="1791">
        <v>523</v>
      </c>
      <c r="C535" s="851"/>
      <c r="D535" s="1841"/>
      <c r="E535" s="1059"/>
      <c r="F535" s="686"/>
      <c r="G535" s="686"/>
      <c r="H535" s="1913"/>
      <c r="I535" s="1908"/>
      <c r="J535" s="1908"/>
      <c r="K535" s="1908"/>
      <c r="L535" s="1909"/>
      <c r="M535" s="722"/>
      <c r="N535" s="1912"/>
      <c r="O535" s="722"/>
      <c r="P535" s="1868"/>
      <c r="Q535" s="1869"/>
      <c r="R535" s="1868"/>
      <c r="S535" s="1869"/>
      <c r="T535" s="1868"/>
      <c r="U535" s="1869"/>
      <c r="V535" s="1868"/>
      <c r="W535" s="1869"/>
      <c r="X535" s="1868"/>
      <c r="Y535" s="1869"/>
      <c r="Z535" s="1869"/>
      <c r="AA535" s="1869"/>
      <c r="AB535" s="1869"/>
      <c r="AC535" s="1869"/>
      <c r="AD535" s="1869"/>
      <c r="AE535" s="1869"/>
      <c r="AF535" s="1869"/>
      <c r="AG535" s="1869"/>
      <c r="AH535" s="1869"/>
      <c r="AI535" s="1670"/>
      <c r="AJ535" s="1828"/>
      <c r="AK535" s="724"/>
      <c r="AL535" s="1806"/>
      <c r="AM535" s="1399"/>
      <c r="AN535" s="1258"/>
      <c r="AO535" s="1399"/>
      <c r="AP535" s="1399"/>
      <c r="AQ535" s="1399"/>
      <c r="AS535" s="1399"/>
      <c r="AT535" s="1399"/>
      <c r="AU535" s="759"/>
      <c r="AV535" s="759"/>
      <c r="AW535" s="759"/>
      <c r="AX535" s="759"/>
      <c r="AY535" s="759"/>
      <c r="AZ535" s="759"/>
      <c r="BA535" s="759"/>
      <c r="BB535" s="759"/>
      <c r="BC535" s="759"/>
      <c r="BD535" s="759"/>
      <c r="BE535" s="759"/>
      <c r="BF535" s="759"/>
      <c r="BG535" s="760"/>
      <c r="BH535" s="1678"/>
      <c r="BI535" s="1678"/>
      <c r="BJ535" s="1678"/>
      <c r="BK535" s="1678"/>
      <c r="BL535" s="1679"/>
      <c r="BM535" s="1679"/>
      <c r="BN535" s="1678"/>
      <c r="BO535" s="1678"/>
      <c r="BP535" s="1678"/>
      <c r="BQ535" s="1399"/>
    </row>
    <row r="536" spans="1:69" s="782" customFormat="1" x14ac:dyDescent="0.2">
      <c r="A536" s="852">
        <f>A533+1</f>
        <v>133</v>
      </c>
      <c r="B536" s="1791">
        <v>524</v>
      </c>
      <c r="C536" s="851" t="str">
        <f>Valid!$B$77</f>
        <v>Below-Grade/Cut-and-Cover Tunnel</v>
      </c>
      <c r="D536" s="1841"/>
      <c r="E536" s="1245" t="str">
        <f>IF(AT536="N/A","",IF(AT536="N","No","Yes"))</f>
        <v/>
      </c>
      <c r="F536" s="686"/>
      <c r="G536" s="686"/>
      <c r="H536" s="1864"/>
      <c r="I536" s="1904" t="str">
        <f>IF(C514="","",IF(J536&lt;&gt;"","Linear Feet   ","Qty? Enter Zero if N/A  "))</f>
        <v/>
      </c>
      <c r="J536" s="1864"/>
      <c r="K536" s="1904" t="str">
        <f>IF(E536="yes","",IF(C514="","",IF(H536="","Qty? Enter Zero if N/A  ",IF(H536&lt;&gt;"","Track Feet      ",""))))</f>
        <v/>
      </c>
      <c r="L536" s="1864"/>
      <c r="M536" s="1620" t="str">
        <f>IF($H536=0,"",IF($L536="",TEXT(BN536,0)&amp;" Years?    ",""))</f>
        <v/>
      </c>
      <c r="N536" s="1905"/>
      <c r="O536" s="1620"/>
      <c r="P536" s="1864"/>
      <c r="Q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R536" s="1864"/>
      <c r="S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T536" s="1864"/>
      <c r="U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V536" s="1864"/>
      <c r="W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X536" s="1864"/>
      <c r="Y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Z536" s="1864"/>
      <c r="AA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B536" s="1864"/>
      <c r="AC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D536" s="1864"/>
      <c r="AE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F536" s="1864"/>
      <c r="AG536" s="1865"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H536" s="1864"/>
      <c r="AI536" s="904" t="str">
        <f>IF($N536="","",IF(AND($N536="",OR($H536="",$H536=0)),"",IF(AND($N536="LF",$AJ536&lt;$H536),"0 - "&amp;TEXT(($H536-$AJ536)/1000,"0")&amp;"k lin. ft.?    ",IF(AND($N536="TF",$AJ536&lt;$J536),"0 - "&amp;TEXT(($J536-$AJ536)/1000,"0")&amp;"k track ft.?    ",IF(AND($N536="%",$AJ536&lt;1),REPLACE(IF(AND($P536&gt;0,$V536&gt;0,$T536&gt;0,$X536&gt;0,$R536&gt;0,$Z536&gt;0,$AB536&gt;0,$AD536&gt;0,$AF536&gt;0,$AH536&gt;0),"","0-"),99,0,REPLACE(TEXT(100-$AJ536,0),99,0,"%?    ")),"")))))</f>
        <v/>
      </c>
      <c r="AJ536" s="1833">
        <f>IFERROR(IF(N536="%", SUM(P536,R536,T536,V536,X536,Z536,AB536,AD536,AF536,AH536)/100, SUM(P536,R536,T536,V536,X536,Z536,AB536,AD536,AF536,AH536)/IF(N536="LF", H536,J536)), 0)</f>
        <v>0</v>
      </c>
      <c r="AK536" s="1648"/>
      <c r="AL536" s="1675"/>
      <c r="AM536" s="1399"/>
      <c r="AN536" s="1671"/>
      <c r="AO536" s="1399"/>
      <c r="AP536" s="1653"/>
      <c r="AQ536" s="1399"/>
      <c r="AS536" s="1399"/>
      <c r="AT536" s="1624" t="str">
        <f>IF(AND($C$514="", H536="", J536=""), "N/A", IF(OR(AND(ISNUMBER(H536), ISNUMBER(J536), H536=0, J536=0), AND(AJ536=1, H536&lt;&gt;"", J536&lt;&gt;"", L536&lt;&gt;"", N536&lt;&gt;"", P536&lt;&gt;"", R536&lt;&gt;"", T536&lt;&gt;"", V536&lt;&gt;"", X536&lt;&gt;"", Z536&lt;&gt;"", AB536&lt;&gt;"", AD536&lt;&gt;"", AF536&lt;&gt;"", AH536&lt;&gt;"",AL536&lt;&gt;"", IF(AND(AL536&lt;1, AN536=""), FALSE, TRUE))), "Yes", "No"))</f>
        <v>N/A</v>
      </c>
      <c r="AU536" s="759" t="b">
        <f>IF(AND(H536="",OR(L536&lt;&gt;"",P536&lt;&gt;"",R536&lt;&gt;"",T536&lt;&gt;"",V536&lt;&gt;"",X536&lt;&gt;"",AL536&lt;&gt;"",Z536&lt;&gt;"",AB536&lt;&gt;"",AD536&lt;&gt;"",AF536&lt;&gt;"",AH536&lt;&gt;"")),TRUE,FALSE)</f>
        <v>0</v>
      </c>
      <c r="AV536" s="759" t="b">
        <f>IF(OR(H536="",H536=0),FALSE,IF(H536&gt;BM536,TRUE,FALSE))</f>
        <v>0</v>
      </c>
      <c r="AW536" s="759" t="b">
        <f>IF(AND($C$514&lt;&gt;"",$H536=""),TRUE,FALSE)</f>
        <v>0</v>
      </c>
      <c r="AX536" s="759" t="b">
        <f>IF(E536="yes",FALSE,IF(H536="0",FALSE,IF(AND($C$514&lt;&gt;"",J536=""),TRUE,FALSE)))</f>
        <v>0</v>
      </c>
      <c r="AY536" s="759" t="b">
        <f>IF($L536="",FALSE,IF($L536&lt;$BO536,TRUE,FALSE))</f>
        <v>0</v>
      </c>
      <c r="AZ536" s="759" t="b">
        <f>IF($L536="",FALSE,IF($L536&gt;$BP536,TRUE,FALSE))</f>
        <v>0</v>
      </c>
      <c r="BA536" s="759" t="b">
        <f>IF(H536=0,FALSE,IF(AND(E536&lt;&gt;"",$L536=""),TRUE,FALSE))</f>
        <v>0</v>
      </c>
      <c r="BB536" s="759" t="b">
        <f>IF(AND($AJ536&lt;&gt;0,$H536&lt;&gt;$BJ536,$N536="LF"),TRUE,IF(AND($AJ536&lt;&gt;0,$J536&lt;&gt;$AJ536,$N536="TF"),TRUE,IF(AND($AJ536&lt;&gt;0,$AJ536&lt;&gt;1,$N536="%"),TRUE,FALSE)))</f>
        <v>0</v>
      </c>
      <c r="BC536" s="759" t="b">
        <f>IF(AT536="No", IF(OR(P536="", R536="", T536="", V536="", X536="", Z536="", AB536="", AD536="", AF536="", AH536=""), TRUE, FALSE), FALSE)</f>
        <v>0</v>
      </c>
      <c r="BD536" s="759" t="b">
        <f>IF($BE536=TRUE,FALSE,IF(OR($AL536&lt;0,$AL536&gt;1),TRUE,FALSE))</f>
        <v>0</v>
      </c>
      <c r="BE536" s="759" t="b">
        <f>IF(AND($H536&lt;&gt;0,$AL536=""),TRUE,FALSE)</f>
        <v>0</v>
      </c>
      <c r="BF536" s="759" t="b">
        <f>IF(N536="%",TRUE,FALSE)</f>
        <v>0</v>
      </c>
      <c r="BG536" s="760"/>
      <c r="BH536" s="1678">
        <f>IF($C536="","",VLOOKUP($C536,val_fg_assets,9,FALSE))</f>
        <v>1</v>
      </c>
      <c r="BI536" s="1678" t="str">
        <f>IF(N536="", "", IF(N536="LF", H536, IF(N536="TF", J536, IF(N536="%", 1, ""))))</f>
        <v/>
      </c>
      <c r="BJ536" s="1679">
        <f>P536+R536+T536+V536+X536+Z536+AB536+AD536+AF536+AH536</f>
        <v>0</v>
      </c>
      <c r="BK536" s="1679" t="str">
        <f>IF(BI536="", "", BI536-BJ536)</f>
        <v/>
      </c>
      <c r="BL536" s="1679">
        <f>IF($C536="","",VLOOKUP($C536,val_fg_assets,3,FALSE))</f>
        <v>0</v>
      </c>
      <c r="BM536" s="1679">
        <f>IF($C536="","",VLOOKUP($C536,val_fg_assets,4,FALSE))</f>
        <v>1320000</v>
      </c>
      <c r="BN536" s="1678">
        <f>IF($C536="","",VLOOKUP($C536,val_fg_assets,5,FALSE))</f>
        <v>80</v>
      </c>
      <c r="BO536" s="1678">
        <f>IF($C536="","",VLOOKUP($C536,val_fg_assets,6,FALSE))</f>
        <v>60</v>
      </c>
      <c r="BP536" s="1678">
        <f>IF($C536="","",VLOOKUP($C536,val_fg_assets,7,FALSE))</f>
        <v>100</v>
      </c>
      <c r="BQ536" s="1399"/>
    </row>
    <row r="537" spans="1:69" s="782" customFormat="1" ht="3.95" customHeight="1" x14ac:dyDescent="0.2">
      <c r="A537" s="852"/>
      <c r="B537" s="1790">
        <v>525</v>
      </c>
      <c r="C537" s="1673"/>
      <c r="D537" s="1841"/>
      <c r="E537" s="1057"/>
      <c r="F537" s="764"/>
      <c r="G537" s="686">
        <v>7</v>
      </c>
      <c r="H537" s="1906"/>
      <c r="I537" s="1907"/>
      <c r="J537" s="1908"/>
      <c r="K537" s="1907"/>
      <c r="L537" s="1909"/>
      <c r="M537" s="1910"/>
      <c r="N537" s="1911"/>
      <c r="O537" s="1910"/>
      <c r="P537" s="1866"/>
      <c r="Q537" s="1867"/>
      <c r="R537" s="1866"/>
      <c r="S537" s="1867"/>
      <c r="T537" s="1866"/>
      <c r="U537" s="1867"/>
      <c r="V537" s="1866"/>
      <c r="W537" s="1867"/>
      <c r="X537" s="1866"/>
      <c r="Y537" s="1867"/>
      <c r="Z537" s="1867"/>
      <c r="AA537" s="1867"/>
      <c r="AB537" s="1867"/>
      <c r="AC537" s="1867"/>
      <c r="AD537" s="1867"/>
      <c r="AE537" s="1867"/>
      <c r="AF537" s="1867"/>
      <c r="AG537" s="1867"/>
      <c r="AH537" s="1867"/>
      <c r="AI537" s="837"/>
      <c r="AJ537" s="1806"/>
      <c r="AK537" s="841"/>
      <c r="AL537" s="1806"/>
      <c r="AM537" s="1399"/>
      <c r="AN537" s="838"/>
      <c r="AO537" s="1399"/>
      <c r="AP537" s="1223"/>
      <c r="AQ537" s="1399"/>
      <c r="AS537" s="1399"/>
      <c r="AT537" s="1399"/>
      <c r="AU537" s="759"/>
      <c r="AV537" s="759"/>
      <c r="AW537" s="759"/>
      <c r="AX537" s="759"/>
      <c r="AY537" s="759"/>
      <c r="AZ537" s="759"/>
      <c r="BA537" s="759"/>
      <c r="BB537" s="759"/>
      <c r="BC537" s="759"/>
      <c r="BD537" s="759"/>
      <c r="BE537" s="759"/>
      <c r="BF537" s="759"/>
      <c r="BG537" s="760"/>
      <c r="BH537" s="1678"/>
      <c r="BI537" s="1678"/>
      <c r="BJ537" s="1678"/>
      <c r="BK537" s="1678"/>
      <c r="BL537" s="1679"/>
      <c r="BM537" s="1679"/>
      <c r="BN537" s="1678"/>
      <c r="BO537" s="1678"/>
      <c r="BP537" s="1678"/>
      <c r="BQ537" s="1399"/>
    </row>
    <row r="538" spans="1:69" s="782" customFormat="1" ht="3.95" customHeight="1" thickBot="1" x14ac:dyDescent="0.25">
      <c r="A538" s="852"/>
      <c r="B538" s="1790">
        <v>526</v>
      </c>
      <c r="C538" s="1673"/>
      <c r="D538" s="1841"/>
      <c r="E538" s="1057"/>
      <c r="F538" s="764"/>
      <c r="G538" s="764">
        <v>8</v>
      </c>
      <c r="H538" s="1906"/>
      <c r="I538" s="1907"/>
      <c r="J538" s="1908"/>
      <c r="K538" s="1907"/>
      <c r="L538" s="1909"/>
      <c r="M538" s="722"/>
      <c r="N538" s="1912"/>
      <c r="O538" s="722"/>
      <c r="P538" s="1868"/>
      <c r="Q538" s="1869"/>
      <c r="R538" s="1868"/>
      <c r="S538" s="1869"/>
      <c r="T538" s="1868"/>
      <c r="U538" s="1869"/>
      <c r="V538" s="1868"/>
      <c r="W538" s="1869"/>
      <c r="X538" s="1868"/>
      <c r="Y538" s="1869"/>
      <c r="Z538" s="1869"/>
      <c r="AA538" s="1869"/>
      <c r="AB538" s="1869"/>
      <c r="AC538" s="1869"/>
      <c r="AD538" s="1869"/>
      <c r="AE538" s="1869"/>
      <c r="AF538" s="1869"/>
      <c r="AG538" s="1869"/>
      <c r="AH538" s="1869"/>
      <c r="AI538" s="1670"/>
      <c r="AJ538" s="1828"/>
      <c r="AK538" s="724"/>
      <c r="AL538" s="1806"/>
      <c r="AM538" s="1399"/>
      <c r="AN538" s="1258"/>
      <c r="AO538" s="1399"/>
      <c r="AP538" s="1399"/>
      <c r="AQ538" s="1399"/>
      <c r="AS538" s="1399"/>
      <c r="AT538" s="1399"/>
      <c r="AU538" s="759"/>
      <c r="AV538" s="759"/>
      <c r="AW538" s="759"/>
      <c r="AX538" s="759"/>
      <c r="AY538" s="759"/>
      <c r="AZ538" s="759"/>
      <c r="BA538" s="759"/>
      <c r="BB538" s="759"/>
      <c r="BC538" s="759"/>
      <c r="BD538" s="759"/>
      <c r="BE538" s="759"/>
      <c r="BF538" s="759"/>
      <c r="BG538" s="760"/>
      <c r="BH538" s="1678"/>
      <c r="BI538" s="1678"/>
      <c r="BJ538" s="1678"/>
      <c r="BK538" s="1678"/>
      <c r="BL538" s="1679"/>
      <c r="BM538" s="1679"/>
      <c r="BN538" s="1678"/>
      <c r="BO538" s="1678"/>
      <c r="BP538" s="1678"/>
      <c r="BQ538" s="1399"/>
    </row>
    <row r="539" spans="1:69" s="782" customFormat="1" x14ac:dyDescent="0.2">
      <c r="A539" s="852">
        <f>A536+1</f>
        <v>134</v>
      </c>
      <c r="B539" s="1791">
        <v>527</v>
      </c>
      <c r="C539" s="851" t="str">
        <f>Valid!$B$78</f>
        <v>Below-Grade/Bored or Blasted Tunnel</v>
      </c>
      <c r="D539" s="1841"/>
      <c r="E539" s="1245" t="str">
        <f>IF(AT539="N/A","",IF(AT539="N","No","Yes"))</f>
        <v/>
      </c>
      <c r="F539" s="686"/>
      <c r="G539" s="686"/>
      <c r="H539" s="1864"/>
      <c r="I539" s="1904" t="str">
        <f>IF(C514="","",IF(J539&lt;&gt;"","Linear Feet   ","Qty? Enter Zero if N/A  "))</f>
        <v/>
      </c>
      <c r="J539" s="1864"/>
      <c r="K539" s="1904" t="str">
        <f>IF(E539="yes","",IF(C514="","",IF(H539="","Qty? Enter Zero if N/A  ",IF(H539&lt;&gt;"","Track Feet      ",""))))</f>
        <v/>
      </c>
      <c r="L539" s="1864"/>
      <c r="M539" s="1620" t="str">
        <f>IF($H539=0,"",IF($L539="",TEXT(BN539,0)&amp;" Years?    ",""))</f>
        <v/>
      </c>
      <c r="N539" s="1905"/>
      <c r="O539" s="1620"/>
      <c r="P539" s="1864"/>
      <c r="Q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R539" s="1864"/>
      <c r="S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T539" s="1864"/>
      <c r="U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V539" s="1864"/>
      <c r="W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X539" s="1864"/>
      <c r="Y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Z539" s="1864"/>
      <c r="AA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B539" s="1864"/>
      <c r="AC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D539" s="1864"/>
      <c r="AE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F539" s="1864"/>
      <c r="AG539" s="1865"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H539" s="1864"/>
      <c r="AI539" s="904" t="str">
        <f>IF($N539="","",IF(AND($N539="",OR($H539="",$H539=0)),"",IF(AND($N539="LF",$AJ539&lt;$H539),"0 - "&amp;TEXT(($H539-$AJ539)/1000,"0")&amp;"k lin. ft.?    ",IF(AND($N539="TF",$AJ539&lt;$J539),"0 - "&amp;TEXT(($J539-$AJ539)/1000,"0")&amp;"k track ft.?    ",IF(AND($N539="%",$AJ539&lt;1),REPLACE(IF(AND($P539&gt;0,$V539&gt;0,$T539&gt;0,$X539&gt;0,$R539&gt;0,$Z539&gt;0,$AB539&gt;0,$AD539&gt;0,$AF539&gt;0,$AH539&gt;0),"","0-"),99,0,REPLACE(TEXT(100-$AJ539,0),99,0,"%?    ")),"")))))</f>
        <v/>
      </c>
      <c r="AJ539" s="1833">
        <f>IFERROR(IF(N539="%", SUM(P539,R539,T539,V539,X539,Z539,AB539,AD539,AF539,AH539)/100, SUM(P539,R539,T539,V539,X539,Z539,AB539,AD539,AF539,AH539)/IF(N539="LF", H539,J539)), 0)</f>
        <v>0</v>
      </c>
      <c r="AK539" s="1648"/>
      <c r="AL539" s="1675"/>
      <c r="AM539" s="1399"/>
      <c r="AN539" s="1671"/>
      <c r="AO539" s="1399"/>
      <c r="AP539" s="1653"/>
      <c r="AQ539" s="1399"/>
      <c r="AS539" s="1399"/>
      <c r="AT539" s="1624" t="str">
        <f>IF(AND($C$514="", H539="", J539=""), "N/A", IF(OR(AND(ISNUMBER(H539), ISNUMBER(J539), H539=0, J539=0), AND(AJ539=1, H539&lt;&gt;"", J539&lt;&gt;"", L539&lt;&gt;"", N539&lt;&gt;"", P539&lt;&gt;"", R539&lt;&gt;"", T539&lt;&gt;"", V539&lt;&gt;"", X539&lt;&gt;"", Z539&lt;&gt;"", AB539&lt;&gt;"", AD539&lt;&gt;"", AF539&lt;&gt;"", AH539&lt;&gt;"",AL539&lt;&gt;"", IF(AND(AL539&lt;1, AN539=""), FALSE, TRUE))), "Yes", "No"))</f>
        <v>N/A</v>
      </c>
      <c r="AU539" s="759" t="b">
        <f>IF(AND(H539="",OR(L539&lt;&gt;"",P539&lt;&gt;"",R539&lt;&gt;"",T539&lt;&gt;"",V539&lt;&gt;"",X539&lt;&gt;"",AL539&lt;&gt;"",Z539&lt;&gt;"",AB539&lt;&gt;"",AD539&lt;&gt;"",AF539&lt;&gt;"",AH539&lt;&gt;"")),TRUE,FALSE)</f>
        <v>0</v>
      </c>
      <c r="AV539" s="759" t="b">
        <f>IF(OR(H539="",H539=0),FALSE,IF(H539&gt;BM539,TRUE,FALSE))</f>
        <v>0</v>
      </c>
      <c r="AW539" s="759" t="b">
        <f>IF(AND($C$514&lt;&gt;"",$H539=""),TRUE,FALSE)</f>
        <v>0</v>
      </c>
      <c r="AX539" s="759" t="b">
        <f>IF(E539="yes",FALSE,IF(H539="0",FALSE,IF(AND($C$514&lt;&gt;"",J539=""),TRUE,FALSE)))</f>
        <v>0</v>
      </c>
      <c r="AY539" s="759" t="b">
        <f>IF($L539="",FALSE,IF($L539&lt;$BO539,TRUE,FALSE))</f>
        <v>0</v>
      </c>
      <c r="AZ539" s="759" t="b">
        <f>IF($L539="",FALSE,IF($L539&gt;$BP539,TRUE,FALSE))</f>
        <v>0</v>
      </c>
      <c r="BA539" s="759" t="b">
        <f>IF(H539=0,FALSE,IF(AND(E539&lt;&gt;"",$L539=""),TRUE,FALSE))</f>
        <v>0</v>
      </c>
      <c r="BB539" s="759" t="b">
        <f>IF(AND($AJ539&lt;&gt;0,$H539&lt;&gt;$BJ539,$N539="LF"),TRUE,IF(AND($AJ539&lt;&gt;0,$J539&lt;&gt;$AJ539,$N539="TF"),TRUE,IF(AND($AJ539&lt;&gt;0,$AJ539&lt;&gt;1,$N539="%"),TRUE,FALSE)))</f>
        <v>0</v>
      </c>
      <c r="BC539" s="759" t="b">
        <f>IF(AT539="No", IF(OR(P539="", R539="", T539="", V539="", X539="", Z539="", AB539="", AD539="", AF539="", AH539=""), TRUE, FALSE), FALSE)</f>
        <v>0</v>
      </c>
      <c r="BD539" s="759" t="b">
        <f>IF($BE539=TRUE,FALSE,IF(OR($AL539&lt;0,$AL539&gt;1),TRUE,FALSE))</f>
        <v>0</v>
      </c>
      <c r="BE539" s="759" t="b">
        <f>IF(AND($H539&lt;&gt;0,$AL539=""),TRUE,FALSE)</f>
        <v>0</v>
      </c>
      <c r="BF539" s="759" t="b">
        <f>IF(N539="%",TRUE,FALSE)</f>
        <v>0</v>
      </c>
      <c r="BG539" s="760"/>
      <c r="BH539" s="1678">
        <f>IF($C539="","",VLOOKUP($C539,val_fg_assets,9,FALSE))</f>
        <v>1</v>
      </c>
      <c r="BI539" s="1678" t="str">
        <f>IF(N539="", "", IF(N539="LF", H539, IF(N539="TF", J539, IF(N539="%", 1, ""))))</f>
        <v/>
      </c>
      <c r="BJ539" s="1679">
        <f>P539+R539+T539+V539+X539+Z539+AB539+AD539+AF539+AH539</f>
        <v>0</v>
      </c>
      <c r="BK539" s="1679" t="str">
        <f>IF(BI539="", "", BI539-BJ539)</f>
        <v/>
      </c>
      <c r="BL539" s="1679">
        <f>IF($C539="","",VLOOKUP($C539,val_fg_assets,3,FALSE))</f>
        <v>0</v>
      </c>
      <c r="BM539" s="1679">
        <f>IF($C539="","",VLOOKUP($C539,val_fg_assets,4,FALSE))</f>
        <v>1320000</v>
      </c>
      <c r="BN539" s="1678">
        <f>IF($C539="","",VLOOKUP($C539,val_fg_assets,5,FALSE))</f>
        <v>80</v>
      </c>
      <c r="BO539" s="1678">
        <f>IF($C539="","",VLOOKUP($C539,val_fg_assets,6,FALSE))</f>
        <v>60</v>
      </c>
      <c r="BP539" s="1678">
        <f>IF($C539="","",VLOOKUP($C539,val_fg_assets,7,FALSE))</f>
        <v>100</v>
      </c>
      <c r="BQ539" s="1399"/>
    </row>
    <row r="540" spans="1:69" s="782" customFormat="1" ht="3.95" customHeight="1" x14ac:dyDescent="0.2">
      <c r="A540" s="852"/>
      <c r="B540" s="1791">
        <v>528</v>
      </c>
      <c r="C540" s="1673"/>
      <c r="D540" s="1841"/>
      <c r="E540" s="1057"/>
      <c r="F540" s="764"/>
      <c r="G540" s="764"/>
      <c r="H540" s="1909"/>
      <c r="I540" s="1908"/>
      <c r="J540" s="1908"/>
      <c r="K540" s="1908"/>
      <c r="L540" s="1909"/>
      <c r="M540" s="1910"/>
      <c r="N540" s="1911"/>
      <c r="O540" s="1910"/>
      <c r="P540" s="1866"/>
      <c r="Q540" s="1867"/>
      <c r="R540" s="1866"/>
      <c r="S540" s="1867"/>
      <c r="T540" s="1866"/>
      <c r="U540" s="1867"/>
      <c r="V540" s="1866"/>
      <c r="W540" s="1867"/>
      <c r="X540" s="1866"/>
      <c r="Y540" s="1867"/>
      <c r="Z540" s="1867"/>
      <c r="AA540" s="1867"/>
      <c r="AB540" s="1867"/>
      <c r="AC540" s="1867"/>
      <c r="AD540" s="1867"/>
      <c r="AE540" s="1867"/>
      <c r="AF540" s="1867"/>
      <c r="AG540" s="1867"/>
      <c r="AH540" s="1867"/>
      <c r="AI540" s="837"/>
      <c r="AJ540" s="1806"/>
      <c r="AK540" s="841"/>
      <c r="AL540" s="1806"/>
      <c r="AM540" s="1399"/>
      <c r="AN540" s="838"/>
      <c r="AO540" s="1399"/>
      <c r="AP540" s="1399"/>
      <c r="AQ540" s="1399"/>
      <c r="AS540" s="1399"/>
      <c r="AT540" s="1399"/>
      <c r="AU540" s="759"/>
      <c r="AV540" s="759"/>
      <c r="AW540" s="759"/>
      <c r="AX540" s="759"/>
      <c r="AY540" s="759"/>
      <c r="AZ540" s="759"/>
      <c r="BA540" s="759"/>
      <c r="BB540" s="759"/>
      <c r="BC540" s="759"/>
      <c r="BD540" s="759"/>
      <c r="BE540" s="759"/>
      <c r="BF540" s="759"/>
      <c r="BG540" s="760"/>
      <c r="BH540" s="1678"/>
      <c r="BI540" s="1678"/>
      <c r="BJ540" s="1678"/>
      <c r="BK540" s="1678"/>
      <c r="BL540" s="1679"/>
      <c r="BM540" s="1679"/>
      <c r="BN540" s="1678"/>
      <c r="BO540" s="1678"/>
      <c r="BP540" s="1678"/>
      <c r="BQ540" s="1399"/>
    </row>
    <row r="541" spans="1:69" s="782" customFormat="1" ht="3.95" customHeight="1" thickBot="1" x14ac:dyDescent="0.25">
      <c r="A541" s="852"/>
      <c r="B541" s="1791">
        <v>529</v>
      </c>
      <c r="C541" s="851"/>
      <c r="D541" s="1841"/>
      <c r="E541" s="1058"/>
      <c r="F541" s="686"/>
      <c r="G541" s="686"/>
      <c r="H541" s="1909"/>
      <c r="I541" s="1908"/>
      <c r="J541" s="1908"/>
      <c r="K541" s="1908"/>
      <c r="L541" s="1909"/>
      <c r="M541" s="722"/>
      <c r="N541" s="1912"/>
      <c r="O541" s="722"/>
      <c r="P541" s="1868"/>
      <c r="Q541" s="1869"/>
      <c r="R541" s="1868"/>
      <c r="S541" s="1869"/>
      <c r="T541" s="1868"/>
      <c r="U541" s="1869"/>
      <c r="V541" s="1868"/>
      <c r="W541" s="1869"/>
      <c r="X541" s="1868"/>
      <c r="Y541" s="1869"/>
      <c r="Z541" s="1869"/>
      <c r="AA541" s="1869"/>
      <c r="AB541" s="1869"/>
      <c r="AC541" s="1869"/>
      <c r="AD541" s="1869"/>
      <c r="AE541" s="1869"/>
      <c r="AF541" s="1869"/>
      <c r="AG541" s="1869"/>
      <c r="AH541" s="1869"/>
      <c r="AI541" s="1670"/>
      <c r="AJ541" s="1828"/>
      <c r="AK541" s="724"/>
      <c r="AL541" s="1806"/>
      <c r="AM541" s="1399"/>
      <c r="AN541" s="1258"/>
      <c r="AO541" s="1399"/>
      <c r="AP541" s="1399"/>
      <c r="AQ541" s="1399"/>
      <c r="AS541" s="1399"/>
      <c r="AT541" s="1399"/>
      <c r="AU541" s="759"/>
      <c r="AV541" s="759"/>
      <c r="AW541" s="759"/>
      <c r="AX541" s="759"/>
      <c r="AY541" s="759"/>
      <c r="AZ541" s="759"/>
      <c r="BA541" s="759"/>
      <c r="BB541" s="759"/>
      <c r="BC541" s="759"/>
      <c r="BD541" s="759"/>
      <c r="BE541" s="759"/>
      <c r="BF541" s="759"/>
      <c r="BG541" s="760"/>
      <c r="BH541" s="1678"/>
      <c r="BI541" s="1678"/>
      <c r="BJ541" s="1678"/>
      <c r="BK541" s="1678"/>
      <c r="BL541" s="1679"/>
      <c r="BM541" s="1679"/>
      <c r="BN541" s="1678"/>
      <c r="BO541" s="1678"/>
      <c r="BP541" s="1678"/>
      <c r="BQ541" s="1399"/>
    </row>
    <row r="542" spans="1:69" s="782" customFormat="1" x14ac:dyDescent="0.2">
      <c r="A542" s="852">
        <f>A539+1</f>
        <v>135</v>
      </c>
      <c r="B542" s="1790">
        <v>530</v>
      </c>
      <c r="C542" s="851" t="str">
        <f>Valid!$B$79</f>
        <v>Below-Grade/Submerged Tube</v>
      </c>
      <c r="D542" s="1841"/>
      <c r="E542" s="1245" t="str">
        <f>IF(AT542="N/A","",IF(AT542="N","No","Yes"))</f>
        <v/>
      </c>
      <c r="F542" s="764"/>
      <c r="G542" s="764"/>
      <c r="H542" s="1864"/>
      <c r="I542" s="1904" t="str">
        <f>IF(C514="","",IF(J542&lt;&gt;"","Linear Feet   ","Qty? Enter Zero if N/A  "))</f>
        <v/>
      </c>
      <c r="J542" s="1864"/>
      <c r="K542" s="1904" t="str">
        <f>IF(E542="yes","",IF(C514="","",IF(H542="","Qty? Enter Zero if N/A  ",IF(H542&lt;&gt;"","Track Feet      ",""))))</f>
        <v/>
      </c>
      <c r="L542" s="1864"/>
      <c r="M542" s="1620" t="str">
        <f>IF($H542=0,"",IF($L542="",TEXT(BN542,0)&amp;" Years?    ",""))</f>
        <v/>
      </c>
      <c r="N542" s="1905"/>
      <c r="O542" s="1620"/>
      <c r="P542" s="1864"/>
      <c r="Q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R542" s="1864"/>
      <c r="S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T542" s="1864"/>
      <c r="U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V542" s="1864"/>
      <c r="W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X542" s="1864"/>
      <c r="Y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Z542" s="1864"/>
      <c r="AA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B542" s="1864"/>
      <c r="AC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D542" s="1864"/>
      <c r="AE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F542" s="1864"/>
      <c r="AG542" s="1865"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H542" s="1864"/>
      <c r="AI542" s="904" t="str">
        <f>IF($N542="","",IF(AND($N542="",OR($H542="",$H542=0)),"",IF(AND($N542="LF",$AJ542&lt;$H542),"0 - "&amp;TEXT(($H542-$AJ542)/1000,"0")&amp;"k lin. ft.?    ",IF(AND($N542="TF",$AJ542&lt;$J542),"0 - "&amp;TEXT(($J542-$AJ542)/1000,"0")&amp;"k track ft.?    ",IF(AND($N542="%",$AJ542&lt;1),REPLACE(IF(AND($P542&gt;0,$V542&gt;0,$T542&gt;0,$X542&gt;0,$R542&gt;0,$Z542&gt;0,$AB542&gt;0,$AD542&gt;0,$AF542&gt;0,$AH542&gt;0),"","0-"),99,0,REPLACE(TEXT(100-$AJ542,0),99,0,"%?    ")),"")))))</f>
        <v/>
      </c>
      <c r="AJ542" s="1833">
        <f>IFERROR(IF(N542="%", SUM(P542,R542,T542,V542,X542,Z542,AB542,AD542,AF542,AH542)/100, SUM(P542,R542,T542,V542,X542,Z542,AB542,AD542,AF542,AH542)/IF(N542="LF", H542,J542)), 0)</f>
        <v>0</v>
      </c>
      <c r="AK542" s="1648"/>
      <c r="AL542" s="1832"/>
      <c r="AM542" s="1399"/>
      <c r="AN542" s="1276"/>
      <c r="AO542" s="1399"/>
      <c r="AP542" s="1653"/>
      <c r="AQ542" s="1399"/>
      <c r="AS542" s="1399"/>
      <c r="AT542" s="1624" t="str">
        <f>IF(AND($C$514="", H542="", J542=""), "N/A", IF(OR(AND(ISNUMBER(H542), ISNUMBER(J542), H542=0, J542=0), AND(AJ542=1, H542&lt;&gt;"", J542&lt;&gt;"", L542&lt;&gt;"", N542&lt;&gt;"", P542&lt;&gt;"", R542&lt;&gt;"", T542&lt;&gt;"", V542&lt;&gt;"", X542&lt;&gt;"", Z542&lt;&gt;"", AB542&lt;&gt;"", AD542&lt;&gt;"", AF542&lt;&gt;"", AH542&lt;&gt;"",AL542&lt;&gt;"", IF(AND(AL542&lt;1, AN542=""), FALSE, TRUE))), "Yes", "No"))</f>
        <v>N/A</v>
      </c>
      <c r="AU542" s="759" t="b">
        <f>IF(AND(H542="",OR(L542&lt;&gt;"",P542&lt;&gt;"",R542&lt;&gt;"",T542&lt;&gt;"",V542&lt;&gt;"",X542&lt;&gt;"",AL542&lt;&gt;"",Z542&lt;&gt;"",AB542&lt;&gt;"",AD542&lt;&gt;"",AF542&lt;&gt;"",AH542&lt;&gt;"")),TRUE,FALSE)</f>
        <v>0</v>
      </c>
      <c r="AV542" s="759" t="b">
        <f>IF(OR(H542="",H542=0),FALSE,IF(H542&gt;BM542,TRUE,FALSE))</f>
        <v>0</v>
      </c>
      <c r="AW542" s="759" t="b">
        <f>IF(AND($C$514&lt;&gt;"",$H542=""),TRUE,FALSE)</f>
        <v>0</v>
      </c>
      <c r="AX542" s="759" t="b">
        <f>IF(E542="yes",FALSE,IF(H542="0",FALSE,IF(AND($C$514&lt;&gt;"",J542=""),TRUE,FALSE)))</f>
        <v>0</v>
      </c>
      <c r="AY542" s="759" t="b">
        <f>IF($L542="",FALSE,IF($L542&lt;$BO542,TRUE,FALSE))</f>
        <v>0</v>
      </c>
      <c r="AZ542" s="759" t="b">
        <f>IF($L542="",FALSE,IF($L542&gt;$BP542,TRUE,FALSE))</f>
        <v>0</v>
      </c>
      <c r="BA542" s="759" t="b">
        <f>IF(H542=0,FALSE,IF(AND(E542&lt;&gt;"",$L542=""),TRUE,FALSE))</f>
        <v>0</v>
      </c>
      <c r="BB542" s="759" t="b">
        <f>IF(AND($AJ542&lt;&gt;0,$H542&lt;&gt;$BJ542,$N542="LF"),TRUE,IF(AND($AJ542&lt;&gt;0,$J542&lt;&gt;$AJ542,$N542="TF"),TRUE,IF(AND($AJ542&lt;&gt;0,$AJ542&lt;&gt;1,$N542="%"),TRUE,FALSE)))</f>
        <v>0</v>
      </c>
      <c r="BC542" s="759" t="b">
        <f>IF(AT542="No", IF(OR(P542="", R542="", T542="", V542="", X542="", Z542="", AB542="", AD542="", AF542="", AH542=""), TRUE, FALSE), FALSE)</f>
        <v>0</v>
      </c>
      <c r="BD542" s="759" t="b">
        <f>IF($BE542=TRUE,FALSE,IF(OR($AL542&lt;0,$AL542&gt;1),TRUE,FALSE))</f>
        <v>0</v>
      </c>
      <c r="BE542" s="759" t="b">
        <f>IF(AND($H542&lt;&gt;0,$AL542=""),TRUE,FALSE)</f>
        <v>0</v>
      </c>
      <c r="BF542" s="759" t="b">
        <f>IF(N542="%",TRUE,FALSE)</f>
        <v>0</v>
      </c>
      <c r="BG542" s="760"/>
      <c r="BH542" s="1678">
        <f>IF($C542="","",VLOOKUP($C542,val_fg_assets,9,FALSE))</f>
        <v>1</v>
      </c>
      <c r="BI542" s="1678" t="str">
        <f>IF(N542="", "", IF(N542="LF", H542, IF(N542="TF", J542, IF(N542="%", 1, ""))))</f>
        <v/>
      </c>
      <c r="BJ542" s="1679">
        <f>P542+R542+T542+V542+X542+Z542+AB542+AD542+AF542+AH542</f>
        <v>0</v>
      </c>
      <c r="BK542" s="1679" t="str">
        <f>IF(BI542="", "", BI542-BJ542)</f>
        <v/>
      </c>
      <c r="BL542" s="1679">
        <f>IF($C542="","",VLOOKUP($C542,val_fg_assets,3,FALSE))</f>
        <v>0</v>
      </c>
      <c r="BM542" s="1679">
        <f>IF($C542="","",VLOOKUP($C542,val_fg_assets,4,FALSE))</f>
        <v>1320000</v>
      </c>
      <c r="BN542" s="1678">
        <f>IF($C542="","",VLOOKUP($C542,val_fg_assets,5,FALSE))</f>
        <v>80</v>
      </c>
      <c r="BO542" s="1678">
        <f>IF($C542="","",VLOOKUP($C542,val_fg_assets,6,FALSE))</f>
        <v>60</v>
      </c>
      <c r="BP542" s="1678">
        <f>IF($C542="","",VLOOKUP($C542,val_fg_assets,7,FALSE))</f>
        <v>100</v>
      </c>
      <c r="BQ542" s="1399"/>
    </row>
    <row r="543" spans="1:69" s="782" customFormat="1" ht="3.95" customHeight="1" thickBot="1" x14ac:dyDescent="0.25">
      <c r="A543" s="852"/>
      <c r="B543" s="1790">
        <v>531</v>
      </c>
      <c r="C543" s="850"/>
      <c r="D543" s="1841"/>
      <c r="E543" s="1058"/>
      <c r="F543" s="686"/>
      <c r="G543" s="686"/>
      <c r="H543" s="1909"/>
      <c r="I543" s="1907"/>
      <c r="J543" s="1908"/>
      <c r="K543" s="1908"/>
      <c r="L543" s="1909"/>
      <c r="M543" s="1910"/>
      <c r="N543" s="1910"/>
      <c r="O543" s="1910"/>
      <c r="P543" s="1866"/>
      <c r="Q543" s="1867"/>
      <c r="R543" s="1866"/>
      <c r="S543" s="1867"/>
      <c r="T543" s="1866"/>
      <c r="U543" s="1867"/>
      <c r="V543" s="1866"/>
      <c r="W543" s="1867"/>
      <c r="X543" s="1866"/>
      <c r="Y543" s="1867"/>
      <c r="Z543" s="1867"/>
      <c r="AA543" s="1867"/>
      <c r="AB543" s="1867"/>
      <c r="AC543" s="1867"/>
      <c r="AD543" s="1867"/>
      <c r="AE543" s="1867"/>
      <c r="AF543" s="1867"/>
      <c r="AG543" s="1867"/>
      <c r="AH543" s="1867"/>
      <c r="AI543" s="837"/>
      <c r="AJ543" s="1806"/>
      <c r="AK543" s="841"/>
      <c r="AL543" s="1806"/>
      <c r="AM543" s="1399"/>
      <c r="AN543" s="838"/>
      <c r="AO543" s="1399"/>
      <c r="AP543" s="1399"/>
      <c r="AQ543" s="1399"/>
      <c r="AS543" s="1399"/>
      <c r="AT543" s="1399"/>
      <c r="AU543" s="759"/>
      <c r="AV543" s="759"/>
      <c r="AW543" s="759"/>
      <c r="AX543" s="759"/>
      <c r="AY543" s="759"/>
      <c r="AZ543" s="759"/>
      <c r="BA543" s="759"/>
      <c r="BB543" s="759"/>
      <c r="BC543" s="759"/>
      <c r="BD543" s="759"/>
      <c r="BE543" s="759"/>
      <c r="BF543" s="759"/>
      <c r="BG543" s="760"/>
      <c r="BH543" s="1678"/>
      <c r="BI543" s="1678"/>
      <c r="BJ543" s="1678"/>
      <c r="BK543" s="1678"/>
      <c r="BL543" s="1679"/>
      <c r="BM543" s="1679"/>
      <c r="BN543" s="1678"/>
      <c r="BO543" s="1678"/>
      <c r="BP543" s="1678"/>
      <c r="BQ543" s="1399"/>
    </row>
    <row r="544" spans="1:69" s="782" customFormat="1" x14ac:dyDescent="0.2">
      <c r="A544" s="1712" t="s">
        <v>2621</v>
      </c>
      <c r="B544" s="1791">
        <v>532</v>
      </c>
      <c r="C544" s="850"/>
      <c r="D544" s="1841"/>
      <c r="E544" s="816"/>
      <c r="F544" s="686"/>
      <c r="G544" s="686"/>
      <c r="H544" s="1914">
        <f>SUM(H518:H542)</f>
        <v>0</v>
      </c>
      <c r="I544" s="1915"/>
      <c r="J544" s="1914">
        <f>SUM(J518:J542)</f>
        <v>0</v>
      </c>
      <c r="K544" s="1880"/>
      <c r="L544" s="1880" t="str">
        <f>IF(C514="","&lt;&lt;Total Guideway (Excluding Track) in Linear Feet and Track Feet","&lt;&lt;Total "&amp;VLOOKUP(C514,Codes!$C$156:$D$174,2)&amp;" Guideway (Excluding Track) in Linear Feet and Track Feet")</f>
        <v>&lt;&lt;Total Guideway (Excluding Track) in Linear Feet and Track Feet</v>
      </c>
      <c r="M544" s="1910"/>
      <c r="N544" s="1910"/>
      <c r="O544" s="1910"/>
      <c r="P544" s="1916"/>
      <c r="Q544" s="1867"/>
      <c r="R544" s="1916"/>
      <c r="S544" s="1867"/>
      <c r="T544" s="1916"/>
      <c r="U544" s="1867"/>
      <c r="V544" s="1916"/>
      <c r="W544" s="1867"/>
      <c r="X544" s="1916"/>
      <c r="Y544" s="1867"/>
      <c r="Z544" s="1867"/>
      <c r="AA544" s="1867"/>
      <c r="AB544" s="1867"/>
      <c r="AC544" s="1867"/>
      <c r="AD544" s="1867"/>
      <c r="AE544" s="1867"/>
      <c r="AF544" s="1867"/>
      <c r="AG544" s="1867"/>
      <c r="AH544" s="1867"/>
      <c r="AI544" s="837"/>
      <c r="AJ544" s="1806"/>
      <c r="AK544" s="841"/>
      <c r="AL544" s="1806"/>
      <c r="AM544" s="1399"/>
      <c r="AN544" s="838"/>
      <c r="AO544" s="1399"/>
      <c r="AP544" s="1399"/>
      <c r="AQ544" s="1399"/>
      <c r="AS544" s="1399"/>
      <c r="AT544" s="1399"/>
      <c r="AU544" s="759"/>
      <c r="AV544" s="759"/>
      <c r="AW544" s="759"/>
      <c r="AX544" s="759"/>
      <c r="AY544" s="759"/>
      <c r="AZ544" s="759"/>
      <c r="BA544" s="759"/>
      <c r="BB544" s="759"/>
      <c r="BC544" s="759"/>
      <c r="BD544" s="759"/>
      <c r="BE544" s="759"/>
      <c r="BF544" s="759"/>
      <c r="BG544" s="760"/>
      <c r="BH544" s="1678"/>
      <c r="BI544" s="1678"/>
      <c r="BJ544" s="1678"/>
      <c r="BK544" s="1678"/>
      <c r="BL544" s="1679"/>
      <c r="BM544" s="1679"/>
      <c r="BN544" s="1678"/>
      <c r="BO544" s="1678"/>
      <c r="BP544" s="1678"/>
      <c r="BQ544" s="1399"/>
    </row>
    <row r="545" spans="1:68" s="686" customFormat="1" x14ac:dyDescent="0.2">
      <c r="A545" s="1712" t="s">
        <v>2621</v>
      </c>
      <c r="B545" s="1791">
        <v>533</v>
      </c>
      <c r="C545" s="844" t="str">
        <f>IF(C514="","Power and Signals",VLOOKUP(C514,Codes!$C$156:$D$174,2)&amp;" Power and Signals")</f>
        <v>Power and Signals</v>
      </c>
      <c r="D545" s="1709"/>
      <c r="E545" s="1057"/>
      <c r="F545" s="764"/>
      <c r="G545" s="764"/>
      <c r="H545" s="1917"/>
      <c r="I545" s="1880"/>
      <c r="J545" s="1651"/>
      <c r="K545" s="1651"/>
      <c r="L545" s="1917"/>
      <c r="M545" s="1651"/>
      <c r="N545" s="1651"/>
      <c r="O545" s="1651"/>
      <c r="P545" s="1916"/>
      <c r="Q545" s="1867"/>
      <c r="R545" s="1916"/>
      <c r="S545" s="1867"/>
      <c r="T545" s="1916"/>
      <c r="U545" s="1867"/>
      <c r="V545" s="1916"/>
      <c r="W545" s="1867"/>
      <c r="X545" s="1916"/>
      <c r="Y545" s="1651"/>
      <c r="Z545" s="1651"/>
      <c r="AA545" s="1651"/>
      <c r="AB545" s="1651"/>
      <c r="AC545" s="1651"/>
      <c r="AD545" s="1651"/>
      <c r="AE545" s="1651"/>
      <c r="AF545" s="1651"/>
      <c r="AG545" s="1651"/>
      <c r="AH545" s="1651"/>
      <c r="AJ545" s="1676"/>
      <c r="AL545" s="1676"/>
      <c r="AP545" s="1223"/>
      <c r="AU545" s="848"/>
      <c r="AV545" s="848"/>
      <c r="AW545" s="848"/>
      <c r="AX545" s="848"/>
      <c r="AY545" s="759"/>
      <c r="AZ545" s="759"/>
      <c r="BA545" s="848"/>
      <c r="BB545" s="759"/>
      <c r="BC545" s="848"/>
      <c r="BD545" s="848"/>
      <c r="BE545" s="848"/>
      <c r="BF545" s="848"/>
      <c r="BH545" s="1680"/>
      <c r="BI545" s="1680"/>
      <c r="BJ545" s="1680"/>
      <c r="BK545" s="1680"/>
      <c r="BL545" s="1680"/>
      <c r="BM545" s="1680"/>
      <c r="BN545" s="1680"/>
      <c r="BO545" s="1680"/>
      <c r="BP545" s="1680"/>
    </row>
    <row r="546" spans="1:68" s="686" customFormat="1" ht="26.25" thickBot="1" x14ac:dyDescent="0.25">
      <c r="A546" s="1712" t="s">
        <v>2621</v>
      </c>
      <c r="B546" s="1791">
        <v>534</v>
      </c>
      <c r="C546" s="1674"/>
      <c r="D546" s="1709"/>
      <c r="E546" s="1057"/>
      <c r="H546" s="1903" t="s">
        <v>13</v>
      </c>
      <c r="I546" s="1651"/>
      <c r="J546" s="1651"/>
      <c r="K546" s="1651"/>
      <c r="L546" s="1909"/>
      <c r="M546" s="1909"/>
      <c r="N546" s="1909"/>
      <c r="O546" s="1909"/>
      <c r="P546" s="1903" t="str">
        <f>P$9</f>
        <v>Pre-1920</v>
      </c>
      <c r="Q546" s="1869"/>
      <c r="R546" s="1903" t="str">
        <f>R$9</f>
        <v>1920-
1929</v>
      </c>
      <c r="S546" s="1869"/>
      <c r="T546" s="1903" t="str">
        <f>T$9</f>
        <v>1930-
1939</v>
      </c>
      <c r="U546" s="1869"/>
      <c r="V546" s="1903" t="str">
        <f>V$9</f>
        <v>1940-
1949</v>
      </c>
      <c r="W546" s="1869"/>
      <c r="X546" s="1903" t="str">
        <f>X$9</f>
        <v>1950-
1959</v>
      </c>
      <c r="Y546" s="1868"/>
      <c r="Z546" s="1903" t="str">
        <f>Z$9</f>
        <v>1960-
1969</v>
      </c>
      <c r="AA546" s="1868"/>
      <c r="AB546" s="1903" t="str">
        <f>AB$9</f>
        <v>1970-
1979</v>
      </c>
      <c r="AC546" s="1868"/>
      <c r="AD546" s="1903" t="str">
        <f>AD$9</f>
        <v>1980-
1989</v>
      </c>
      <c r="AE546" s="1868"/>
      <c r="AF546" s="1903" t="str">
        <f>AF$9</f>
        <v>1990-
1999</v>
      </c>
      <c r="AG546" s="1868"/>
      <c r="AH546" s="1903" t="str">
        <f>AH$9</f>
        <v>2000-
present</v>
      </c>
      <c r="AJ546" s="1676"/>
      <c r="AL546" s="1676"/>
      <c r="AP546" s="1394"/>
      <c r="AU546" s="848"/>
      <c r="AV546" s="848"/>
      <c r="AW546" s="848"/>
      <c r="AX546" s="848"/>
      <c r="AY546" s="759"/>
      <c r="AZ546" s="759"/>
      <c r="BA546" s="848"/>
      <c r="BB546" s="759"/>
      <c r="BC546" s="848"/>
      <c r="BD546" s="848"/>
      <c r="BE546" s="848"/>
      <c r="BF546" s="848"/>
      <c r="BH546" s="1680"/>
      <c r="BI546" s="1680"/>
      <c r="BJ546" s="1680"/>
      <c r="BK546" s="1680"/>
      <c r="BL546" s="1680"/>
      <c r="BM546" s="1680"/>
      <c r="BN546" s="1680"/>
      <c r="BO546" s="1680"/>
      <c r="BP546" s="1680"/>
    </row>
    <row r="547" spans="1:68" s="686" customFormat="1" x14ac:dyDescent="0.2">
      <c r="A547" s="852">
        <f>A542+1</f>
        <v>136</v>
      </c>
      <c r="B547" s="1790">
        <v>535</v>
      </c>
      <c r="C547" s="851" t="str">
        <f>Valid!$B$87</f>
        <v>Substation Building</v>
      </c>
      <c r="D547" s="1709"/>
      <c r="E547" s="1245" t="str">
        <f>IF(AT547="N/A","",IF(AT547="N","No","Yes"))</f>
        <v/>
      </c>
      <c r="H547" s="1864"/>
      <c r="I547" s="1904" t="str">
        <f>IF(AND(C514&lt;&gt;"", H547=""),"Qty? Enter Zero if N/A  ","")</f>
        <v/>
      </c>
      <c r="J547" s="1918"/>
      <c r="K547" s="1651"/>
      <c r="L547" s="1864"/>
      <c r="M547" s="1870" t="str">
        <f>IF($H547=0,"",IF($L547="",TEXT(BN547,0)&amp;" Years?    ",""))</f>
        <v/>
      </c>
      <c r="N547" s="1905"/>
      <c r="O547" s="1870"/>
      <c r="P547" s="1864"/>
      <c r="Q547" s="1865" t="str">
        <f>IF(OR($N547="", AND($N547="",OR($H547="",$H547=0))),"",IF(AND($N547="Quantity",$AJ547&lt;$H547),"0 - "&amp;TEXT($H547-$AJ547,"0")&amp;" buildings?    ",IF(AND($N547="%",$AJ547&lt;1),REPLACE(IF(AND($P547&gt;0,$V547&gt;0,$T547&gt;0,$X547&gt;0,$R547&gt;0,$Z547&gt;0,$AB547&gt;0,$AD547&gt;0,$AF547&gt;0,$AH547&gt;0),"","0-"),99,0,REPLACE(TEXT(100-$AJ547,0),99,0,"?    ")),"")))</f>
        <v/>
      </c>
      <c r="R547" s="1864"/>
      <c r="S547" s="1865" t="str">
        <f>IF(OR($N547="", AND($N547="",OR($H547="",$H547=0))),"",IF(AND($N547="Quantity",$AJ547&lt;$H547),"0 - "&amp;TEXT($H547-$AJ547,"0")&amp;" buildings?    ",IF(AND($N547="%",$AJ547&lt;1),REPLACE(IF(AND($P547&gt;0,$V547&gt;0,$T547&gt;0,$X547&gt;0,$R547&gt;0,$Z547&gt;0,$AB547&gt;0,$AD547&gt;0,$AF547&gt;0,$AH547&gt;0),"","0-"),99,0,REPLACE(TEXT(100-$AJ547,0),99,0,"?    ")),"")))</f>
        <v/>
      </c>
      <c r="T547" s="1864"/>
      <c r="U547" s="1865" t="str">
        <f>IF(OR($N547="", AND($N547="",OR($H547="",$H547=0))),"",IF(AND($N547="Quantity",$AJ547&lt;$H547),"0 - "&amp;TEXT($H547-$AJ547,"0")&amp;" buildings?    ",IF(AND($N547="%",$AJ547&lt;1),REPLACE(IF(AND($P547&gt;0,$V547&gt;0,$T547&gt;0,$X547&gt;0,$R547&gt;0,$Z547&gt;0,$AB547&gt;0,$AD547&gt;0,$AF547&gt;0,$AH547&gt;0),"","0-"),99,0,REPLACE(TEXT(100-$AJ547,0),99,0,"?    ")),"")))</f>
        <v/>
      </c>
      <c r="V547" s="1864"/>
      <c r="W547" s="1865" t="str">
        <f>IF(OR($N547="", AND($N547="",OR($H547="",$H547=0))),"",IF(AND($N547="Quantity",$AJ547&lt;$H547),"0 - "&amp;TEXT($H547-$AJ547,"0")&amp;" buildings?    ",IF(AND($N547="%",$AJ547&lt;1),REPLACE(IF(AND($P547&gt;0,$V547&gt;0,$T547&gt;0,$X547&gt;0,$R547&gt;0,$Z547&gt;0,$AB547&gt;0,$AD547&gt;0,$AF547&gt;0,$AH547&gt;0),"","0-"),99,0,REPLACE(TEXT(100-$AJ547,0),99,0,"?    ")),"")))</f>
        <v/>
      </c>
      <c r="X547" s="1864"/>
      <c r="Y547" s="1865" t="str">
        <f>IF(OR($N547="", AND($N547="",OR($H547="",$H547=0))),"",IF(AND($N547="Quantity",$AJ547&lt;$H547),"0 - "&amp;TEXT($H547-$AJ547,"0")&amp;" buildings?    ",IF(AND($N547="%",$AJ547&lt;1),REPLACE(IF(AND($P547&gt;0,$V547&gt;0,$T547&gt;0,$X547&gt;0,$R547&gt;0,$Z547&gt;0,$AB547&gt;0,$AD547&gt;0,$AF547&gt;0,$AH547&gt;0),"","0-"),99,0,REPLACE(TEXT(100-$AJ547,0),99,0,"?    ")),"")))</f>
        <v/>
      </c>
      <c r="Z547" s="1864"/>
      <c r="AA547" s="1865" t="str">
        <f>IF(OR($N547="", AND($N547="",OR($H547="",$H547=0))),"",IF(AND($N547="Quantity",$AJ547&lt;$H547),"0 - "&amp;TEXT($H547-$AJ547,"0")&amp;" buildings?    ",IF(AND($N547="%",$AJ547&lt;1),REPLACE(IF(AND($P547&gt;0,$V547&gt;0,$T547&gt;0,$X547&gt;0,$R547&gt;0,$Z547&gt;0,$AB547&gt;0,$AD547&gt;0,$AF547&gt;0,$AH547&gt;0),"","0-"),99,0,REPLACE(TEXT(100-$AJ547,0),99,0,"?    ")),"")))</f>
        <v/>
      </c>
      <c r="AB547" s="1864"/>
      <c r="AC547" s="1865" t="str">
        <f>IF(OR($N547="", AND($N547="",OR($H547="",$H547=0))),"",IF(AND($N547="Quantity",$AJ547&lt;$H547),"0 - "&amp;TEXT($H547-$AJ547,"0")&amp;" buildings?    ",IF(AND($N547="%",$AJ547&lt;1),REPLACE(IF(AND($P547&gt;0,$V547&gt;0,$T547&gt;0,$X547&gt;0,$R547&gt;0,$Z547&gt;0,$AB547&gt;0,$AD547&gt;0,$AF547&gt;0,$AH547&gt;0),"","0-"),99,0,REPLACE(TEXT(100-$AJ547,0),99,0,"?    ")),"")))</f>
        <v/>
      </c>
      <c r="AD547" s="1864"/>
      <c r="AE547" s="1865" t="str">
        <f>IF(OR($N547="", AND($N547="",OR($H547="",$H547=0))),"",IF(AND($N547="Quantity",$AJ547&lt;$H547),"0 - "&amp;TEXT($H547-$AJ547,"0")&amp;" buildings?    ",IF(AND($N547="%",$AJ547&lt;1),REPLACE(IF(AND($P547&gt;0,$V547&gt;0,$T547&gt;0,$X547&gt;0,$R547&gt;0,$Z547&gt;0,$AB547&gt;0,$AD547&gt;0,$AF547&gt;0,$AH547&gt;0),"","0-"),99,0,REPLACE(TEXT(100-$AJ547,0),99,0,"?    ")),"")))</f>
        <v/>
      </c>
      <c r="AF547" s="1864"/>
      <c r="AG547" s="1865" t="str">
        <f>IF(OR($N547="", AND($N547="",OR($H547="",$H547=0))),"",IF(AND($N547="Quantity",$AJ547&lt;$H547),"0 - "&amp;TEXT($H547-$AJ547,"0")&amp;" buildings?    ",IF(AND($N547="%",$AJ547&lt;1),REPLACE(IF(AND($P547&gt;0,$V547&gt;0,$T547&gt;0,$X547&gt;0,$R547&gt;0,$Z547&gt;0,$AB547&gt;0,$AD547&gt;0,$AF547&gt;0,$AH547&gt;0),"","0-"),99,0,REPLACE(TEXT(100-$AJ547,0),99,0,"?    ")),"")))</f>
        <v/>
      </c>
      <c r="AH547" s="1864"/>
      <c r="AI547" s="1865" t="str">
        <f>IF(OR($N547="", AND($N547="",OR($H547="",$H547=0))),"",IF(AND($N547="Quantity",$AJ547&lt;$H547),"0 - "&amp;TEXT($H547-$AJ547,"0")&amp;" buildings?    ",IF(AND($N547="%",$AJ547&lt;1),REPLACE(IF(AND($P547&gt;0,$V547&gt;0,$T547&gt;0,$X547&gt;0,$R547&gt;0,$Z547&gt;0,$AB547&gt;0,$AD547&gt;0,$AF547&gt;0,$AH547&gt;0),"","0-"),99,0,REPLACE(TEXT(100-$AJ547,0),99,0,"?    ")),"")))</f>
        <v/>
      </c>
      <c r="AJ547" s="1833">
        <f>IFERROR(IF(N547="%", SUM(P547,R547,T547,V547,X547,Z547,AB547,AD547,AF547,AH547)/100, SUM(P547,R547,T547,V547,X547,Z547,AB547,AD547,AF547,AH547)/H547), 0)</f>
        <v>0</v>
      </c>
      <c r="AL547" s="1832"/>
      <c r="AN547" s="1276"/>
      <c r="AP547" s="1653"/>
      <c r="AT547" s="1624" t="str">
        <f>IF(AND($C$514="", H547=""), "N/A", IF(OR(AND(ISNUMBER(H547), H547=0), AND(AJ547=1, H547&lt;&gt;"", L547&lt;&gt;"", N547&lt;&gt;"", P547&lt;&gt;"", R547&lt;&gt;"", T547&lt;&gt;"", V547&lt;&gt;"", X547&lt;&gt;"", Z547&lt;&gt;"", AB547&lt;&gt;"", AD547&lt;&gt;"", AF547&lt;&gt;"", AH547&lt;&gt;"",AL547&lt;&gt;"", IF(AND(AL547&lt;1, AN547=""), FALSE, TRUE))), "Yes", "No"))</f>
        <v>N/A</v>
      </c>
      <c r="AU547" s="759" t="b">
        <f>IF(AND(H547="",OR(L547&lt;&gt;"",P547&lt;&gt;"",R547&lt;&gt;"",T547&lt;&gt;"",V547&lt;&gt;"",X547&lt;&gt;"",AL547&lt;&gt;"",Z547&lt;&gt;"",AB547&lt;&gt;"",AD547&lt;&gt;"",AF547&lt;&gt;"",AH547&lt;&gt;"")),TRUE,FALSE)</f>
        <v>0</v>
      </c>
      <c r="AV547" s="759" t="b">
        <f>IF(OR(H547="",H547=0),FALSE,IF(H547&gt;BM547,TRUE,FALSE))</f>
        <v>0</v>
      </c>
      <c r="AW547" s="759" t="b">
        <f>IF(AND($C$514&lt;&gt;"",$H547=""),TRUE,FALSE)</f>
        <v>0</v>
      </c>
      <c r="AX547" s="759"/>
      <c r="AY547" s="759" t="b">
        <f>IF($L547="",FALSE,IF($L547&lt;$BO547,TRUE,FALSE))</f>
        <v>0</v>
      </c>
      <c r="AZ547" s="759" t="b">
        <f>IF($L547="",FALSE,IF($L547&gt;$BP547,TRUE,FALSE))</f>
        <v>0</v>
      </c>
      <c r="BA547" s="759" t="b">
        <f>IF(H547=0,FALSE,IF(AND(E547&lt;&gt;"",$L547=""),TRUE,FALSE))</f>
        <v>0</v>
      </c>
      <c r="BB547" s="759" t="b">
        <f>IF(AND($AJ547&lt;&gt;0,$H547&lt;$AJ547,$N547="LF"),TRUE,IF(AND($N547="LF",H547&lt;&gt;"",H547=AJ547),FALSE,IF(AND($AJ547&lt;&gt;0,$AJ547&gt;"100%",$N547="%"),TRUE,FALSE)))</f>
        <v>0</v>
      </c>
      <c r="BC547" s="759" t="b">
        <f>IF(AT547="No", IF(OR(P547="", R547="", T547="", V547="", X547="", Z547="", AB547="", AD547="", AF547="", AH547=""), TRUE, FALSE), FALSE)</f>
        <v>0</v>
      </c>
      <c r="BD547" s="759" t="b">
        <f>IF($BE547=TRUE,FALSE,IF(OR($AL547&lt;0,$AL547&gt;1),TRUE,FALSE))</f>
        <v>0</v>
      </c>
      <c r="BE547" s="759" t="b">
        <f>IF(AND($H547&lt;&gt;0,$AL547=""),TRUE,FALSE)</f>
        <v>0</v>
      </c>
      <c r="BF547" s="759"/>
      <c r="BH547" s="1678"/>
      <c r="BI547" s="1678" t="str">
        <f>IF(N547="", "", IF(N547="Quantity", H547, IF(N547="%", 1, "")))</f>
        <v/>
      </c>
      <c r="BJ547" s="1679">
        <f>P547+R547+T547+V547+X547+Z547+AB547+AD547+AF547+AH547</f>
        <v>0</v>
      </c>
      <c r="BK547" s="1679" t="str">
        <f>IF(BI547="", "", BI547-BJ547)</f>
        <v/>
      </c>
      <c r="BL547" s="1678">
        <f>IF($C547="","",VLOOKUP($C547,Valid!$B$87:$F$96,3,FALSE))</f>
        <v>0</v>
      </c>
      <c r="BM547" s="1678">
        <f>IF($C547="","",VLOOKUP($C547,Valid!$B$87:$F$96,4,FALSE))</f>
        <v>35</v>
      </c>
      <c r="BN547" s="1678">
        <f>IF($C547="","",VLOOKUP($C547,Valid!$B$87:$F$96,5,FALSE))</f>
        <v>100</v>
      </c>
      <c r="BO547" s="1678">
        <f>IF($C547="","",VLOOKUP($C547,Valid!$B$87:$G$96,6,FALSE))</f>
        <v>75</v>
      </c>
      <c r="BP547" s="1678">
        <f>IF($C547="","",VLOOKUP($C547,Valid!$B$87:$Z$96,7,FALSE))</f>
        <v>125</v>
      </c>
    </row>
    <row r="548" spans="1:68" s="686" customFormat="1" ht="3.95" customHeight="1" x14ac:dyDescent="0.2">
      <c r="B548" s="1790">
        <v>536</v>
      </c>
      <c r="C548" s="1674"/>
      <c r="D548" s="1709"/>
      <c r="E548" s="1057"/>
      <c r="H548" s="1917"/>
      <c r="I548" s="1651"/>
      <c r="J548" s="1651"/>
      <c r="K548" s="1651"/>
      <c r="L548" s="1917"/>
      <c r="M548" s="1651"/>
      <c r="N548" s="1651"/>
      <c r="O548" s="1651"/>
      <c r="P548" s="1866"/>
      <c r="Q548" s="1867"/>
      <c r="R548" s="1866"/>
      <c r="S548" s="1867"/>
      <c r="T548" s="1866"/>
      <c r="U548" s="1867"/>
      <c r="V548" s="1866"/>
      <c r="W548" s="1867"/>
      <c r="X548" s="1866"/>
      <c r="Y548" s="1867"/>
      <c r="Z548" s="1867"/>
      <c r="AA548" s="1867"/>
      <c r="AB548" s="1867"/>
      <c r="AC548" s="1867"/>
      <c r="AD548" s="1867"/>
      <c r="AE548" s="1867"/>
      <c r="AF548" s="1867"/>
      <c r="AG548" s="1867"/>
      <c r="AH548" s="1867"/>
      <c r="AJ548" s="1676"/>
      <c r="AL548" s="1676"/>
      <c r="AP548" s="1394"/>
      <c r="AU548" s="848"/>
      <c r="AV548" s="848"/>
      <c r="AW548" s="848"/>
      <c r="AX548" s="848"/>
      <c r="AY548" s="759"/>
      <c r="AZ548" s="759"/>
      <c r="BA548" s="848"/>
      <c r="BB548" s="759"/>
      <c r="BC548" s="848"/>
      <c r="BD548" s="848"/>
      <c r="BE548" s="848"/>
      <c r="BF548" s="848"/>
      <c r="BH548" s="1680"/>
      <c r="BI548" s="1680"/>
      <c r="BJ548" s="1680"/>
      <c r="BK548" s="1680"/>
      <c r="BL548" s="1680"/>
      <c r="BM548" s="1680"/>
      <c r="BN548" s="1680"/>
      <c r="BO548" s="1680"/>
      <c r="BP548" s="1680"/>
    </row>
    <row r="549" spans="1:68" s="686" customFormat="1" ht="3.95" customHeight="1" thickBot="1" x14ac:dyDescent="0.25">
      <c r="B549" s="1791">
        <v>537</v>
      </c>
      <c r="C549" s="1674"/>
      <c r="D549" s="1709"/>
      <c r="E549" s="1057"/>
      <c r="H549" s="1917"/>
      <c r="I549" s="1651"/>
      <c r="J549" s="1651"/>
      <c r="K549" s="1651"/>
      <c r="L549" s="1917"/>
      <c r="M549" s="1651"/>
      <c r="N549" s="1651"/>
      <c r="O549" s="1651"/>
      <c r="P549" s="1868"/>
      <c r="Q549" s="1869"/>
      <c r="R549" s="1868"/>
      <c r="S549" s="1869"/>
      <c r="T549" s="1868"/>
      <c r="U549" s="1869"/>
      <c r="V549" s="1868"/>
      <c r="W549" s="1869"/>
      <c r="X549" s="1868"/>
      <c r="Y549" s="1869"/>
      <c r="Z549" s="1869"/>
      <c r="AA549" s="1869"/>
      <c r="AB549" s="1869"/>
      <c r="AC549" s="1869"/>
      <c r="AD549" s="1869"/>
      <c r="AE549" s="1869"/>
      <c r="AF549" s="1869"/>
      <c r="AG549" s="1869"/>
      <c r="AH549" s="1869"/>
      <c r="AJ549" s="1676"/>
      <c r="AL549" s="1676"/>
      <c r="AP549" s="1394"/>
      <c r="AU549" s="848"/>
      <c r="AV549" s="848"/>
      <c r="AW549" s="848"/>
      <c r="AX549" s="848"/>
      <c r="AY549" s="759"/>
      <c r="AZ549" s="759"/>
      <c r="BA549" s="848"/>
      <c r="BB549" s="759"/>
      <c r="BC549" s="848"/>
      <c r="BD549" s="848"/>
      <c r="BE549" s="848"/>
      <c r="BF549" s="848"/>
      <c r="BH549" s="1680"/>
      <c r="BI549" s="1680"/>
      <c r="BJ549" s="1680"/>
      <c r="BK549" s="1680"/>
      <c r="BL549" s="1680"/>
      <c r="BM549" s="1680"/>
      <c r="BN549" s="1680"/>
      <c r="BO549" s="1680"/>
      <c r="BP549" s="1680"/>
    </row>
    <row r="550" spans="1:68" s="686" customFormat="1" x14ac:dyDescent="0.2">
      <c r="A550" s="852">
        <f>A547+1</f>
        <v>137</v>
      </c>
      <c r="B550" s="1791">
        <v>538</v>
      </c>
      <c r="C550" s="851" t="str">
        <f>Valid!$B$88</f>
        <v>Substation Equipment</v>
      </c>
      <c r="D550" s="1709"/>
      <c r="E550" s="1245" t="str">
        <f>IF(AT550="N/A","",IF(AT550="N","No","Yes"))</f>
        <v/>
      </c>
      <c r="H550" s="1917"/>
      <c r="I550" s="1904"/>
      <c r="J550" s="1919"/>
      <c r="K550" s="1651"/>
      <c r="L550" s="1864"/>
      <c r="M550" s="1920" t="str">
        <f>IF(AND(H547&lt;&gt;"", L550=""),REPLACE(TEXT(BN550,0),99,0," Yrs.?    "),"")</f>
        <v/>
      </c>
      <c r="N550" s="1921"/>
      <c r="O550" s="1870"/>
      <c r="P550" s="1864"/>
      <c r="Q550" s="1865" t="str">
        <f>IF(OR($N550="", AND($N550="",OR($H550="",$H550=0))),"",IF(AND($N550="Quantity",$AJ550&lt;$H550),"0 - "&amp;TEXT($H550-$AJ550,"0")&amp;" buildings?    ",IF(AND($N550="%",$AJ550&lt;1),REPLACE(IF(AND($P550&gt;0,$V550&gt;0,$T550&gt;0,$X550&gt;0,$R550&gt;0,$Z550&gt;0,$AB550&gt;0,$AD550&gt;0,$AF550&gt;0,$AH550&gt;0),"","0-"),99,0,REPLACE(TEXT(100-$AJ550,0),99,0,"?    ")),"")))</f>
        <v/>
      </c>
      <c r="R550" s="1864"/>
      <c r="S550" s="1865" t="str">
        <f>IF(OR($N550="", AND($N550="",OR($H550="",$H550=0))),"",IF(AND($N550="Quantity",$AJ550&lt;$H550),"0 - "&amp;TEXT($H550-$AJ550,"0")&amp;" buildings?    ",IF(AND($N550="%",$AJ550&lt;1),REPLACE(IF(AND($P550&gt;0,$V550&gt;0,$T550&gt;0,$X550&gt;0,$R550&gt;0,$Z550&gt;0,$AB550&gt;0,$AD550&gt;0,$AF550&gt;0,$AH550&gt;0),"","0-"),99,0,REPLACE(TEXT(100-$AJ550,0),99,0,"?    ")),"")))</f>
        <v/>
      </c>
      <c r="T550" s="1864"/>
      <c r="U550" s="1865" t="str">
        <f>IF(OR($N550="", AND($N550="",OR($H550="",$H550=0))),"",IF(AND($N550="Quantity",$AJ550&lt;$H550),"0 - "&amp;TEXT($H550-$AJ550,"0")&amp;" buildings?    ",IF(AND($N550="%",$AJ550&lt;1),REPLACE(IF(AND($P550&gt;0,$V550&gt;0,$T550&gt;0,$X550&gt;0,$R550&gt;0,$Z550&gt;0,$AB550&gt;0,$AD550&gt;0,$AF550&gt;0,$AH550&gt;0),"","0-"),99,0,REPLACE(TEXT(100-$AJ550,0),99,0,"?    ")),"")))</f>
        <v/>
      </c>
      <c r="V550" s="1864"/>
      <c r="W550" s="1865" t="str">
        <f>IF(OR($N550="", AND($N550="",OR($H550="",$H550=0))),"",IF(AND($N550="Quantity",$AJ550&lt;$H550),"0 - "&amp;TEXT($H550-$AJ550,"0")&amp;" buildings?    ",IF(AND($N550="%",$AJ550&lt;1),REPLACE(IF(AND($P550&gt;0,$V550&gt;0,$T550&gt;0,$X550&gt;0,$R550&gt;0,$Z550&gt;0,$AB550&gt;0,$AD550&gt;0,$AF550&gt;0,$AH550&gt;0),"","0-"),99,0,REPLACE(TEXT(100-$AJ550,0),99,0,"?    ")),"")))</f>
        <v/>
      </c>
      <c r="X550" s="1864"/>
      <c r="Y550" s="1865" t="str">
        <f>IF(OR($N550="", AND($N550="",OR($H550="",$H550=0))),"",IF(AND($N550="Quantity",$AJ550&lt;$H550),"0 - "&amp;TEXT($H550-$AJ550,"0")&amp;" buildings?    ",IF(AND($N550="%",$AJ550&lt;1),REPLACE(IF(AND($P550&gt;0,$V550&gt;0,$T550&gt;0,$X550&gt;0,$R550&gt;0,$Z550&gt;0,$AB550&gt;0,$AD550&gt;0,$AF550&gt;0,$AH550&gt;0),"","0-"),99,0,REPLACE(TEXT(100-$AJ550,0),99,0,"?    ")),"")))</f>
        <v/>
      </c>
      <c r="Z550" s="1864"/>
      <c r="AA550" s="1865" t="str">
        <f>IF(OR($N550="", AND($N550="",OR($H550="",$H550=0))),"",IF(AND($N550="Quantity",$AJ550&lt;$H550),"0 - "&amp;TEXT($H550-$AJ550,"0")&amp;" buildings?    ",IF(AND($N550="%",$AJ550&lt;1),REPLACE(IF(AND($P550&gt;0,$V550&gt;0,$T550&gt;0,$X550&gt;0,$R550&gt;0,$Z550&gt;0,$AB550&gt;0,$AD550&gt;0,$AF550&gt;0,$AH550&gt;0),"","0-"),99,0,REPLACE(TEXT(100-$AJ550,0),99,0,"?    ")),"")))</f>
        <v/>
      </c>
      <c r="AB550" s="1864"/>
      <c r="AC550" s="1865" t="str">
        <f>IF(OR($N550="", AND($N550="",OR($H550="",$H550=0))),"",IF(AND($N550="Quantity",$AJ550&lt;$H550),"0 - "&amp;TEXT($H550-$AJ550,"0")&amp;" buildings?    ",IF(AND($N550="%",$AJ550&lt;1),REPLACE(IF(AND($P550&gt;0,$V550&gt;0,$T550&gt;0,$X550&gt;0,$R550&gt;0,$Z550&gt;0,$AB550&gt;0,$AD550&gt;0,$AF550&gt;0,$AH550&gt;0),"","0-"),99,0,REPLACE(TEXT(100-$AJ550,0),99,0,"?    ")),"")))</f>
        <v/>
      </c>
      <c r="AD550" s="1864"/>
      <c r="AE550" s="1865" t="str">
        <f>IF(OR($N550="", AND($N550="",OR($H550="",$H550=0))),"",IF(AND($N550="Quantity",$AJ550&lt;$H550),"0 - "&amp;TEXT($H550-$AJ550,"0")&amp;" buildings?    ",IF(AND($N550="%",$AJ550&lt;1),REPLACE(IF(AND($P550&gt;0,$V550&gt;0,$T550&gt;0,$X550&gt;0,$R550&gt;0,$Z550&gt;0,$AB550&gt;0,$AD550&gt;0,$AF550&gt;0,$AH550&gt;0),"","0-"),99,0,REPLACE(TEXT(100-$AJ550,0),99,0,"?    ")),"")))</f>
        <v/>
      </c>
      <c r="AF550" s="1864"/>
      <c r="AG550" s="1865" t="str">
        <f>IF(OR($N550="", AND($N550="",OR($H550="",$H550=0))),"",IF(AND($N550="Quantity",$AJ550&lt;$H550),"0 - "&amp;TEXT($H550-$AJ550,"0")&amp;" buildings?    ",IF(AND($N550="%",$AJ550&lt;1),REPLACE(IF(AND($P550&gt;0,$V550&gt;0,$T550&gt;0,$X550&gt;0,$R550&gt;0,$Z550&gt;0,$AB550&gt;0,$AD550&gt;0,$AF550&gt;0,$AH550&gt;0),"","0-"),99,0,REPLACE(TEXT(100-$AJ550,0),99,0,"?    ")),"")))</f>
        <v/>
      </c>
      <c r="AH550" s="1864"/>
      <c r="AI550" s="1865" t="str">
        <f>IF(OR($N550="", AND($N550="",OR($H550="",$H550=0))),"",IF(AND($N550="Quantity",$AJ550&lt;$H550),"0 - "&amp;TEXT($H550-$AJ550,"0")&amp;" buildings?    ",IF(AND($N550="%",$AJ550&lt;1),REPLACE(IF(AND($P550&gt;0,$V550&gt;0,$T550&gt;0,$X550&gt;0,$R550&gt;0,$Z550&gt;0,$AB550&gt;0,$AD550&gt;0,$AF550&gt;0,$AH550&gt;0),"","0-"),99,0,REPLACE(TEXT(100-$AJ550,0),99,0,"?    ")),"")))</f>
        <v/>
      </c>
      <c r="AJ550" s="1833">
        <f>IFERROR(IF(N550="%", SUM(P550,R550,T550,V550,X550,Z550,AB550,AD550,AF550,AH550)/100, SUM(P550,R550,T550,V550,X550,Z550,AB550,AD550,AF550,AH550)/H550), 0)</f>
        <v>0</v>
      </c>
      <c r="AL550" s="1832"/>
      <c r="AN550" s="1276"/>
      <c r="AP550" s="1653"/>
      <c r="AT550" s="1624" t="str">
        <f>IF(AND($C$514="", L550=""), "N/A", IF(AND(AJ550=1, L550&lt;&gt;"", N550&lt;&gt;"", P550&lt;&gt;"", R550&lt;&gt;"", T550&lt;&gt;"", V550&lt;&gt;"", X550&lt;&gt;"", Z550&lt;&gt;"", AB550&lt;&gt;"", AD550&lt;&gt;"", AF550&lt;&gt;"", AH550&lt;&gt;"",AL550&lt;&gt;"", IF(AND(AL550&lt;1, AN550=""), FALSE, TRUE)), "Yes", "No"))</f>
        <v>N/A</v>
      </c>
      <c r="AU550" s="759"/>
      <c r="AV550" s="759"/>
      <c r="AW550" s="759"/>
      <c r="AX550" s="759"/>
      <c r="AY550" s="759" t="b">
        <f>IF($L550="",FALSE,IF($L550&lt;$BO550,TRUE,FALSE))</f>
        <v>0</v>
      </c>
      <c r="AZ550" s="759" t="b">
        <f>IF($L550="",FALSE,IF($L550&gt;$BP550,TRUE,FALSE))</f>
        <v>0</v>
      </c>
      <c r="BA550" s="759" t="b">
        <f>IF(AND(E550&lt;&gt;"",$L550=""),TRUE,FALSE)</f>
        <v>0</v>
      </c>
      <c r="BB550" s="759" t="b">
        <f>IF(AND($AJ550&lt;&gt;0,$H550&lt;$AJ550,$N550="LF"),TRUE,IF(AND($N550="LF",H550&lt;&gt;"",H550=AJ550),FALSE,IF(AND($AJ550&lt;&gt;0,$AJ550&gt;"100%",$N550="%"),TRUE,FALSE)))</f>
        <v>0</v>
      </c>
      <c r="BC550" s="759" t="b">
        <f>IF(AT550="No", IF(OR(P550="", R550="", T550="", V550="", X550="", Z550="", AB550="", AD550="", AF550="", AH550=""), TRUE, FALSE), FALSE)</f>
        <v>0</v>
      </c>
      <c r="BD550" s="759" t="b">
        <f>IF($BE550=TRUE,FALSE,IF(OR($AL550&lt;0,$AL550&gt;1),TRUE,FALSE))</f>
        <v>0</v>
      </c>
      <c r="BE550" s="759" t="b">
        <f>IF(AND($E550&lt;&gt;"",$AL550=""),TRUE,FALSE)</f>
        <v>0</v>
      </c>
      <c r="BF550" s="759"/>
      <c r="BH550" s="1680"/>
      <c r="BI550" s="1678" t="str">
        <f>IF(N550="", "", IF(N550="Quantity", H550, IF(N550="%", 1, "")))</f>
        <v/>
      </c>
      <c r="BJ550" s="1679">
        <f>P550+R550+T550+V550+X550+Z550+AB550+AD550+AF550+AH550</f>
        <v>0</v>
      </c>
      <c r="BK550" s="1679" t="str">
        <f>IF(BI550="", "", BI550-BJ550)</f>
        <v/>
      </c>
      <c r="BL550" s="1680"/>
      <c r="BM550" s="1680"/>
      <c r="BN550" s="1678">
        <f>IF($C550="","",VLOOKUP($C550,Valid!$B$87:$F$96,5,FALSE))</f>
        <v>25</v>
      </c>
      <c r="BO550" s="1678">
        <f>IF($C550="","",VLOOKUP($C550,Valid!$B$87:$G$96,6,FALSE))</f>
        <v>19</v>
      </c>
      <c r="BP550" s="1678">
        <f>IF($C550="","",VLOOKUP($C550,Valid!$B$87:$Z$96,7,FALSE))</f>
        <v>31</v>
      </c>
    </row>
    <row r="551" spans="1:68" s="686" customFormat="1" ht="3.95" customHeight="1" x14ac:dyDescent="0.2">
      <c r="B551" s="1791">
        <v>539</v>
      </c>
      <c r="C551" s="1674"/>
      <c r="D551" s="1709"/>
      <c r="E551" s="1057"/>
      <c r="H551" s="1917"/>
      <c r="I551" s="1651"/>
      <c r="J551" s="1651"/>
      <c r="K551" s="1651"/>
      <c r="L551" s="1917"/>
      <c r="M551" s="1651"/>
      <c r="N551" s="1651"/>
      <c r="O551" s="1651"/>
      <c r="P551" s="1866"/>
      <c r="Q551" s="1867"/>
      <c r="R551" s="1866"/>
      <c r="S551" s="1867"/>
      <c r="T551" s="1866"/>
      <c r="U551" s="1867"/>
      <c r="V551" s="1866"/>
      <c r="W551" s="1867"/>
      <c r="X551" s="1866"/>
      <c r="Y551" s="1867"/>
      <c r="Z551" s="1867"/>
      <c r="AA551" s="1867"/>
      <c r="AB551" s="1867"/>
      <c r="AC551" s="1867"/>
      <c r="AD551" s="1867"/>
      <c r="AE551" s="1867"/>
      <c r="AF551" s="1867"/>
      <c r="AG551" s="1867"/>
      <c r="AH551" s="1867"/>
      <c r="AJ551" s="1676"/>
      <c r="AL551" s="1676"/>
      <c r="AP551" s="1394"/>
      <c r="AU551" s="848"/>
      <c r="AV551" s="848"/>
      <c r="AW551" s="848"/>
      <c r="AX551" s="848"/>
      <c r="AY551" s="759"/>
      <c r="AZ551" s="759"/>
      <c r="BA551" s="848"/>
      <c r="BB551" s="759"/>
      <c r="BC551" s="848"/>
      <c r="BD551" s="848"/>
      <c r="BE551" s="848"/>
      <c r="BF551" s="848"/>
      <c r="BH551" s="1680"/>
      <c r="BI551" s="1680"/>
      <c r="BJ551" s="1680"/>
      <c r="BK551" s="1680"/>
      <c r="BL551" s="1680"/>
      <c r="BM551" s="1680"/>
      <c r="BN551" s="1680"/>
      <c r="BO551" s="1680"/>
      <c r="BP551" s="1680"/>
    </row>
    <row r="552" spans="1:68" s="686" customFormat="1" ht="3.95" customHeight="1" thickBot="1" x14ac:dyDescent="0.25">
      <c r="B552" s="1790">
        <v>540</v>
      </c>
      <c r="C552" s="1674"/>
      <c r="D552" s="1709"/>
      <c r="E552" s="1057"/>
      <c r="H552" s="1917"/>
      <c r="I552" s="1651"/>
      <c r="J552" s="1651"/>
      <c r="K552" s="1651"/>
      <c r="L552" s="1917"/>
      <c r="M552" s="1651"/>
      <c r="N552" s="1651"/>
      <c r="O552" s="1651"/>
      <c r="P552" s="1868"/>
      <c r="Q552" s="1869"/>
      <c r="R552" s="1868"/>
      <c r="S552" s="1869"/>
      <c r="T552" s="1868"/>
      <c r="U552" s="1869"/>
      <c r="V552" s="1868"/>
      <c r="W552" s="1869"/>
      <c r="X552" s="1868"/>
      <c r="Y552" s="1869"/>
      <c r="Z552" s="1869"/>
      <c r="AA552" s="1869"/>
      <c r="AB552" s="1869"/>
      <c r="AC552" s="1869"/>
      <c r="AD552" s="1869"/>
      <c r="AE552" s="1869"/>
      <c r="AF552" s="1869"/>
      <c r="AG552" s="1869"/>
      <c r="AH552" s="1869"/>
      <c r="AI552" s="1670"/>
      <c r="AJ552" s="1676"/>
      <c r="AL552" s="1676"/>
      <c r="AP552" s="1394"/>
      <c r="AU552" s="848"/>
      <c r="AV552" s="848"/>
      <c r="AW552" s="848"/>
      <c r="AX552" s="848"/>
      <c r="AY552" s="759"/>
      <c r="AZ552" s="759"/>
      <c r="BA552" s="848"/>
      <c r="BB552" s="759"/>
      <c r="BC552" s="848"/>
      <c r="BD552" s="848"/>
      <c r="BE552" s="848"/>
      <c r="BF552" s="848"/>
      <c r="BH552" s="1680"/>
      <c r="BI552" s="1680"/>
      <c r="BJ552" s="1680"/>
      <c r="BK552" s="1680"/>
      <c r="BL552" s="1680"/>
      <c r="BM552" s="1680"/>
      <c r="BN552" s="1680"/>
      <c r="BO552" s="1680"/>
      <c r="BP552" s="1680"/>
    </row>
    <row r="553" spans="1:68" s="686" customFormat="1" x14ac:dyDescent="0.2">
      <c r="A553" s="852">
        <f>A550+1</f>
        <v>138</v>
      </c>
      <c r="B553" s="1790">
        <v>541</v>
      </c>
      <c r="C553" s="851" t="str">
        <f>Valid!$B$89</f>
        <v>Third Rail/Power Distribution</v>
      </c>
      <c r="D553" s="1709"/>
      <c r="E553" s="1245" t="str">
        <f>IF(AT553="N/A","",IF(AT553="N","No","Yes"))</f>
        <v/>
      </c>
      <c r="H553" s="1917"/>
      <c r="I553" s="1904"/>
      <c r="J553" s="1651"/>
      <c r="K553" s="1651"/>
      <c r="L553" s="1864"/>
      <c r="M553" s="1920" t="str">
        <f>IF(AND(H547&lt;&gt;"", L553=""),REPLACE(TEXT(BN553,0),99,0," Yrs.?    "),"")</f>
        <v/>
      </c>
      <c r="N553" s="1921"/>
      <c r="O553" s="1870"/>
      <c r="P553" s="1864"/>
      <c r="Q553" s="1865" t="str">
        <f>IF(OR($N553="", AND($N553="",OR($H553="",$H553=0))),"",IF(AND($N553="Quantity",$AJ553&lt;$H553),"0 - "&amp;TEXT($H553-$AJ553,"0")&amp;" buildings?    ",IF(AND($N553="%",$AJ553&lt;1),REPLACE(IF(AND($P553&gt;0,$V553&gt;0,$T553&gt;0,$X553&gt;0,$R553&gt;0,$Z553&gt;0,$AB553&gt;0,$AD553&gt;0,$AF553&gt;0,$AH553&gt;0),"","0-"),99,0,REPLACE(TEXT(100-$AJ553,0),99,0,"?    ")),"")))</f>
        <v/>
      </c>
      <c r="R553" s="1864"/>
      <c r="S553" s="1865" t="str">
        <f>IF(OR($N553="", AND($N553="",OR($H553="",$H553=0))),"",IF(AND($N553="Quantity",$AJ553&lt;$H553),"0 - "&amp;TEXT($H553-$AJ553,"0")&amp;" buildings?    ",IF(AND($N553="%",$AJ553&lt;1),REPLACE(IF(AND($P553&gt;0,$V553&gt;0,$T553&gt;0,$X553&gt;0,$R553&gt;0,$Z553&gt;0,$AB553&gt;0,$AD553&gt;0,$AF553&gt;0,$AH553&gt;0),"","0-"),99,0,REPLACE(TEXT(100-$AJ553,0),99,0,"?    ")),"")))</f>
        <v/>
      </c>
      <c r="T553" s="1864"/>
      <c r="U553" s="1865" t="str">
        <f>IF(OR($N553="", AND($N553="",OR($H553="",$H553=0))),"",IF(AND($N553="Quantity",$AJ553&lt;$H553),"0 - "&amp;TEXT($H553-$AJ553,"0")&amp;" buildings?    ",IF(AND($N553="%",$AJ553&lt;1),REPLACE(IF(AND($P553&gt;0,$V553&gt;0,$T553&gt;0,$X553&gt;0,$R553&gt;0,$Z553&gt;0,$AB553&gt;0,$AD553&gt;0,$AF553&gt;0,$AH553&gt;0),"","0-"),99,0,REPLACE(TEXT(100-$AJ553,0),99,0,"?    ")),"")))</f>
        <v/>
      </c>
      <c r="V553" s="1864"/>
      <c r="W553" s="1865" t="str">
        <f>IF(OR($N553="", AND($N553="",OR($H553="",$H553=0))),"",IF(AND($N553="Quantity",$AJ553&lt;$H553),"0 - "&amp;TEXT($H553-$AJ553,"0")&amp;" buildings?    ",IF(AND($N553="%",$AJ553&lt;1),REPLACE(IF(AND($P553&gt;0,$V553&gt;0,$T553&gt;0,$X553&gt;0,$R553&gt;0,$Z553&gt;0,$AB553&gt;0,$AD553&gt;0,$AF553&gt;0,$AH553&gt;0),"","0-"),99,0,REPLACE(TEXT(100-$AJ553,0),99,0,"?    ")),"")))</f>
        <v/>
      </c>
      <c r="X553" s="1864"/>
      <c r="Y553" s="1865" t="str">
        <f>IF(OR($N553="", AND($N553="",OR($H553="",$H553=0))),"",IF(AND($N553="Quantity",$AJ553&lt;$H553),"0 - "&amp;TEXT($H553-$AJ553,"0")&amp;" buildings?    ",IF(AND($N553="%",$AJ553&lt;1),REPLACE(IF(AND($P553&gt;0,$V553&gt;0,$T553&gt;0,$X553&gt;0,$R553&gt;0,$Z553&gt;0,$AB553&gt;0,$AD553&gt;0,$AF553&gt;0,$AH553&gt;0),"","0-"),99,0,REPLACE(TEXT(100-$AJ553,0),99,0,"?    ")),"")))</f>
        <v/>
      </c>
      <c r="Z553" s="1864"/>
      <c r="AA553" s="1865" t="str">
        <f>IF(OR($N553="", AND($N553="",OR($H553="",$H553=0))),"",IF(AND($N553="Quantity",$AJ553&lt;$H553),"0 - "&amp;TEXT($H553-$AJ553,"0")&amp;" buildings?    ",IF(AND($N553="%",$AJ553&lt;1),REPLACE(IF(AND($P553&gt;0,$V553&gt;0,$T553&gt;0,$X553&gt;0,$R553&gt;0,$Z553&gt;0,$AB553&gt;0,$AD553&gt;0,$AF553&gt;0,$AH553&gt;0),"","0-"),99,0,REPLACE(TEXT(100-$AJ553,0),99,0,"?    ")),"")))</f>
        <v/>
      </c>
      <c r="AB553" s="1864"/>
      <c r="AC553" s="1865" t="str">
        <f>IF(OR($N553="", AND($N553="",OR($H553="",$H553=0))),"",IF(AND($N553="Quantity",$AJ553&lt;$H553),"0 - "&amp;TEXT($H553-$AJ553,"0")&amp;" buildings?    ",IF(AND($N553="%",$AJ553&lt;1),REPLACE(IF(AND($P553&gt;0,$V553&gt;0,$T553&gt;0,$X553&gt;0,$R553&gt;0,$Z553&gt;0,$AB553&gt;0,$AD553&gt;0,$AF553&gt;0,$AH553&gt;0),"","0-"),99,0,REPLACE(TEXT(100-$AJ553,0),99,0,"?    ")),"")))</f>
        <v/>
      </c>
      <c r="AD553" s="1864"/>
      <c r="AE553" s="1865" t="str">
        <f>IF(OR($N553="", AND($N553="",OR($H553="",$H553=0))),"",IF(AND($N553="Quantity",$AJ553&lt;$H553),"0 - "&amp;TEXT($H553-$AJ553,"0")&amp;" buildings?    ",IF(AND($N553="%",$AJ553&lt;1),REPLACE(IF(AND($P553&gt;0,$V553&gt;0,$T553&gt;0,$X553&gt;0,$R553&gt;0,$Z553&gt;0,$AB553&gt;0,$AD553&gt;0,$AF553&gt;0,$AH553&gt;0),"","0-"),99,0,REPLACE(TEXT(100-$AJ553,0),99,0,"?    ")),"")))</f>
        <v/>
      </c>
      <c r="AF553" s="1864"/>
      <c r="AG553" s="1865" t="str">
        <f>IF(OR($N553="", AND($N553="",OR($H553="",$H553=0))),"",IF(AND($N553="Quantity",$AJ553&lt;$H553),"0 - "&amp;TEXT($H553-$AJ553,"0")&amp;" buildings?    ",IF(AND($N553="%",$AJ553&lt;1),REPLACE(IF(AND($P553&gt;0,$V553&gt;0,$T553&gt;0,$X553&gt;0,$R553&gt;0,$Z553&gt;0,$AB553&gt;0,$AD553&gt;0,$AF553&gt;0,$AH553&gt;0),"","0-"),99,0,REPLACE(TEXT(100-$AJ553,0),99,0,"?    ")),"")))</f>
        <v/>
      </c>
      <c r="AH553" s="1864"/>
      <c r="AI553" s="1865" t="str">
        <f>IF(OR($N553="", AND($N553="",OR($H553="",$H553=0))),"",IF(AND($N553="Quantity",$AJ553&lt;$H553),"0 - "&amp;TEXT($H553-$AJ553,"0")&amp;" buildings?    ",IF(AND($N553="%",$AJ553&lt;1),REPLACE(IF(AND($P553&gt;0,$V553&gt;0,$T553&gt;0,$X553&gt;0,$R553&gt;0,$Z553&gt;0,$AB553&gt;0,$AD553&gt;0,$AF553&gt;0,$AH553&gt;0),"","0-"),99,0,REPLACE(TEXT(100-$AJ553,0),99,0,"?    ")),"")))</f>
        <v/>
      </c>
      <c r="AJ553" s="1833">
        <f>IFERROR(IF(N553="%", SUM(P553,R553,T553,V553,X553,Z553,AB553,AD553,AF553,AH553)/100, SUM(P553,R553,T553,V553,X553,Z553,AB553,AD553,AF553,AH553)/H553), 0)</f>
        <v>0</v>
      </c>
      <c r="AL553" s="1832"/>
      <c r="AN553" s="1276"/>
      <c r="AP553" s="1653"/>
      <c r="AT553" s="1624" t="str">
        <f>IF(AND($C$514="", L553=""), "N/A", IF(AND(AJ553=1, L553&lt;&gt;"", N553&lt;&gt;"", P553&lt;&gt;"", R553&lt;&gt;"", T553&lt;&gt;"", V553&lt;&gt;"", X553&lt;&gt;"", Z553&lt;&gt;"", AB553&lt;&gt;"", AD553&lt;&gt;"", AF553&lt;&gt;"", AH553&lt;&gt;"",AL553&lt;&gt;"", IF(AND(AL553&lt;1, AN553=""), FALSE, TRUE)), "Yes", "No"))</f>
        <v>N/A</v>
      </c>
      <c r="AU553" s="759"/>
      <c r="AV553" s="759"/>
      <c r="AW553" s="759"/>
      <c r="AX553" s="759"/>
      <c r="AY553" s="759" t="b">
        <f>IF($L553="",FALSE,IF($L553&lt;$BO553,TRUE,FALSE))</f>
        <v>0</v>
      </c>
      <c r="AZ553" s="759" t="b">
        <f>IF($L553="",FALSE,IF($L553&gt;$BP553,TRUE,FALSE))</f>
        <v>0</v>
      </c>
      <c r="BA553" s="759" t="b">
        <f>IF(AND(E553&lt;&gt;"",$L553=""),TRUE,FALSE)</f>
        <v>0</v>
      </c>
      <c r="BB553" s="759" t="b">
        <f>IF(AND($AJ553&lt;&gt;0,$H553&lt;$AJ553,$N553="LF"),TRUE,IF(AND($N553="LF",H553&lt;&gt;"",H553=AJ553),FALSE,IF(AND($AJ553&lt;&gt;0,$AJ553&gt;"100%",$N553="%"),TRUE,FALSE)))</f>
        <v>0</v>
      </c>
      <c r="BC553" s="759" t="b">
        <f>IF(AT553="No", IF(OR(P553="", R553="", T553="", V553="", X553="", Z553="", AB553="", AD553="", AF553="", AH553=""), TRUE, FALSE), FALSE)</f>
        <v>0</v>
      </c>
      <c r="BD553" s="759" t="b">
        <f>IF($BE553=TRUE,FALSE,IF(OR($AL553&lt;0,$AL553&gt;1),TRUE,FALSE))</f>
        <v>0</v>
      </c>
      <c r="BE553" s="759" t="b">
        <f>IF(AND($E553&lt;&gt;"",$AL553=""),TRUE,FALSE)</f>
        <v>0</v>
      </c>
      <c r="BF553" s="759"/>
      <c r="BH553" s="1680"/>
      <c r="BI553" s="1678" t="str">
        <f>IF(N553="", "", IF(N553="Quantity", H553, IF(N553="%", 1, "")))</f>
        <v/>
      </c>
      <c r="BJ553" s="1679">
        <f>P553+R553+T553+V553+X553+Z553+AB553+AD553+AF553+AH553</f>
        <v>0</v>
      </c>
      <c r="BK553" s="1679" t="str">
        <f>IF(BI553="", "", BI553-BJ553)</f>
        <v/>
      </c>
      <c r="BL553" s="1680"/>
      <c r="BM553" s="1680"/>
      <c r="BN553" s="1678">
        <f>IF($C553="","",VLOOKUP($C553,Valid!$B$87:$F$96,5,FALSE))</f>
        <v>25</v>
      </c>
      <c r="BO553" s="1678">
        <f>IF($C553="","",VLOOKUP($C553,Valid!$B$87:$G$96,6,FALSE))</f>
        <v>19</v>
      </c>
      <c r="BP553" s="1678">
        <f>IF($C553="","",VLOOKUP($C553,Valid!$B$87:$Z$96,7,FALSE))</f>
        <v>31</v>
      </c>
    </row>
    <row r="554" spans="1:68" s="686" customFormat="1" ht="3.95" customHeight="1" x14ac:dyDescent="0.2">
      <c r="B554" s="1791">
        <v>542</v>
      </c>
      <c r="C554" s="1674"/>
      <c r="D554" s="1709"/>
      <c r="E554" s="1057"/>
      <c r="H554" s="1917"/>
      <c r="I554" s="1651"/>
      <c r="J554" s="1651"/>
      <c r="K554" s="1651"/>
      <c r="L554" s="1917"/>
      <c r="M554" s="1651"/>
      <c r="N554" s="1651"/>
      <c r="O554" s="1651"/>
      <c r="P554" s="1866"/>
      <c r="Q554" s="1867"/>
      <c r="R554" s="1866"/>
      <c r="S554" s="1867"/>
      <c r="T554" s="1866"/>
      <c r="U554" s="1867"/>
      <c r="V554" s="1866"/>
      <c r="W554" s="1867"/>
      <c r="X554" s="1866"/>
      <c r="Y554" s="1867"/>
      <c r="Z554" s="1867"/>
      <c r="AA554" s="1867"/>
      <c r="AB554" s="1867"/>
      <c r="AC554" s="1867"/>
      <c r="AD554" s="1867"/>
      <c r="AE554" s="1867"/>
      <c r="AF554" s="1867"/>
      <c r="AG554" s="1867"/>
      <c r="AH554" s="1867"/>
      <c r="AJ554" s="1676"/>
      <c r="AL554" s="1676"/>
      <c r="AP554" s="1394"/>
      <c r="AU554" s="848"/>
      <c r="AV554" s="848"/>
      <c r="AW554" s="848"/>
      <c r="AX554" s="848"/>
      <c r="AY554" s="759"/>
      <c r="AZ554" s="759"/>
      <c r="BA554" s="848"/>
      <c r="BB554" s="759"/>
      <c r="BC554" s="848"/>
      <c r="BD554" s="848"/>
      <c r="BE554" s="848"/>
      <c r="BF554" s="848"/>
      <c r="BH554" s="1680"/>
      <c r="BI554" s="1680"/>
      <c r="BJ554" s="1680"/>
      <c r="BK554" s="1680"/>
      <c r="BL554" s="1680"/>
      <c r="BM554" s="1680"/>
      <c r="BN554" s="1680"/>
      <c r="BO554" s="1680"/>
      <c r="BP554" s="1680"/>
    </row>
    <row r="555" spans="1:68" s="686" customFormat="1" ht="3.95" customHeight="1" thickBot="1" x14ac:dyDescent="0.25">
      <c r="B555" s="1791">
        <v>543</v>
      </c>
      <c r="C555" s="1674"/>
      <c r="D555" s="1709"/>
      <c r="E555" s="1057"/>
      <c r="H555" s="1917"/>
      <c r="I555" s="1651"/>
      <c r="J555" s="1651"/>
      <c r="K555" s="1651"/>
      <c r="L555" s="1917"/>
      <c r="M555" s="1651"/>
      <c r="N555" s="1651"/>
      <c r="O555" s="1651"/>
      <c r="P555" s="1868"/>
      <c r="Q555" s="1869"/>
      <c r="R555" s="1868"/>
      <c r="S555" s="1869"/>
      <c r="T555" s="1868"/>
      <c r="U555" s="1869"/>
      <c r="V555" s="1868"/>
      <c r="W555" s="1869"/>
      <c r="X555" s="1868"/>
      <c r="Y555" s="1869"/>
      <c r="Z555" s="1869"/>
      <c r="AA555" s="1869"/>
      <c r="AB555" s="1869"/>
      <c r="AC555" s="1869"/>
      <c r="AD555" s="1869"/>
      <c r="AE555" s="1869"/>
      <c r="AF555" s="1869"/>
      <c r="AG555" s="1869"/>
      <c r="AH555" s="1869"/>
      <c r="AI555" s="1670"/>
      <c r="AJ555" s="1676"/>
      <c r="AL555" s="1676"/>
      <c r="AP555" s="1394"/>
      <c r="AU555" s="848"/>
      <c r="AV555" s="848"/>
      <c r="AW555" s="848"/>
      <c r="AX555" s="848"/>
      <c r="AY555" s="759"/>
      <c r="AZ555" s="759"/>
      <c r="BA555" s="848"/>
      <c r="BB555" s="759"/>
      <c r="BC555" s="848"/>
      <c r="BD555" s="848"/>
      <c r="BE555" s="848"/>
      <c r="BF555" s="848"/>
      <c r="BH555" s="1680"/>
      <c r="BI555" s="1680"/>
      <c r="BJ555" s="1680"/>
      <c r="BK555" s="1680"/>
      <c r="BL555" s="1680"/>
      <c r="BM555" s="1680"/>
      <c r="BN555" s="1680"/>
      <c r="BO555" s="1680"/>
      <c r="BP555" s="1680"/>
    </row>
    <row r="556" spans="1:68" s="686" customFormat="1" x14ac:dyDescent="0.2">
      <c r="A556" s="852">
        <f>A553+1</f>
        <v>139</v>
      </c>
      <c r="B556" s="1791">
        <v>544</v>
      </c>
      <c r="C556" s="851" t="str">
        <f>Valid!$B$90</f>
        <v>Overhead Contact System/Power Distribution</v>
      </c>
      <c r="D556" s="1709"/>
      <c r="E556" s="1245" t="str">
        <f>IF(AT556="N/A","",IF(AT556="N","No","Yes"))</f>
        <v/>
      </c>
      <c r="H556" s="1917"/>
      <c r="I556" s="1904"/>
      <c r="J556" s="1651"/>
      <c r="K556" s="1651"/>
      <c r="L556" s="1864"/>
      <c r="M556" s="1920" t="str">
        <f>IF(AND(H547&lt;&gt;"", L556=""),REPLACE(TEXT(BN556,0),99,0," Yrs.?    "),"")</f>
        <v/>
      </c>
      <c r="N556" s="1921"/>
      <c r="O556" s="1870"/>
      <c r="P556" s="1864"/>
      <c r="Q556" s="1865" t="str">
        <f>IF(OR($N556="", AND($N556="",OR($H556="",$H556=0))),"",IF(AND($N556="Quantity",$AJ556&lt;$H556),"0 - "&amp;TEXT($H556-$AJ556,"0")&amp;" buildings?    ",IF(AND($N556="%",$AJ556&lt;1),REPLACE(IF(AND($P556&gt;0,$V556&gt;0,$T556&gt;0,$X556&gt;0,$R556&gt;0,$Z556&gt;0,$AB556&gt;0,$AD556&gt;0,$AF556&gt;0,$AH556&gt;0),"","0-"),99,0,REPLACE(TEXT(100-$AJ556,0),99,0,"?    ")),"")))</f>
        <v/>
      </c>
      <c r="R556" s="1864"/>
      <c r="S556" s="1865" t="str">
        <f>IF(OR($N556="", AND($N556="",OR($H556="",$H556=0))),"",IF(AND($N556="Quantity",$AJ556&lt;$H556),"0 - "&amp;TEXT($H556-$AJ556,"0")&amp;" buildings?    ",IF(AND($N556="%",$AJ556&lt;1),REPLACE(IF(AND($P556&gt;0,$V556&gt;0,$T556&gt;0,$X556&gt;0,$R556&gt;0,$Z556&gt;0,$AB556&gt;0,$AD556&gt;0,$AF556&gt;0,$AH556&gt;0),"","0-"),99,0,REPLACE(TEXT(100-$AJ556,0),99,0,"?    ")),"")))</f>
        <v/>
      </c>
      <c r="T556" s="1864"/>
      <c r="U556" s="1865" t="str">
        <f>IF(OR($N556="", AND($N556="",OR($H556="",$H556=0))),"",IF(AND($N556="Quantity",$AJ556&lt;$H556),"0 - "&amp;TEXT($H556-$AJ556,"0")&amp;" buildings?    ",IF(AND($N556="%",$AJ556&lt;1),REPLACE(IF(AND($P556&gt;0,$V556&gt;0,$T556&gt;0,$X556&gt;0,$R556&gt;0,$Z556&gt;0,$AB556&gt;0,$AD556&gt;0,$AF556&gt;0,$AH556&gt;0),"","0-"),99,0,REPLACE(TEXT(100-$AJ556,0),99,0,"?    ")),"")))</f>
        <v/>
      </c>
      <c r="V556" s="1864"/>
      <c r="W556" s="1865" t="str">
        <f>IF(OR($N556="", AND($N556="",OR($H556="",$H556=0))),"",IF(AND($N556="Quantity",$AJ556&lt;$H556),"0 - "&amp;TEXT($H556-$AJ556,"0")&amp;" buildings?    ",IF(AND($N556="%",$AJ556&lt;1),REPLACE(IF(AND($P556&gt;0,$V556&gt;0,$T556&gt;0,$X556&gt;0,$R556&gt;0,$Z556&gt;0,$AB556&gt;0,$AD556&gt;0,$AF556&gt;0,$AH556&gt;0),"","0-"),99,0,REPLACE(TEXT(100-$AJ556,0),99,0,"?    ")),"")))</f>
        <v/>
      </c>
      <c r="X556" s="1864"/>
      <c r="Y556" s="1865" t="str">
        <f>IF(OR($N556="", AND($N556="",OR($H556="",$H556=0))),"",IF(AND($N556="Quantity",$AJ556&lt;$H556),"0 - "&amp;TEXT($H556-$AJ556,"0")&amp;" buildings?    ",IF(AND($N556="%",$AJ556&lt;1),REPLACE(IF(AND($P556&gt;0,$V556&gt;0,$T556&gt;0,$X556&gt;0,$R556&gt;0,$Z556&gt;0,$AB556&gt;0,$AD556&gt;0,$AF556&gt;0,$AH556&gt;0),"","0-"),99,0,REPLACE(TEXT(100-$AJ556,0),99,0,"?    ")),"")))</f>
        <v/>
      </c>
      <c r="Z556" s="1864"/>
      <c r="AA556" s="1865" t="str">
        <f>IF(OR($N556="", AND($N556="",OR($H556="",$H556=0))),"",IF(AND($N556="Quantity",$AJ556&lt;$H556),"0 - "&amp;TEXT($H556-$AJ556,"0")&amp;" buildings?    ",IF(AND($N556="%",$AJ556&lt;1),REPLACE(IF(AND($P556&gt;0,$V556&gt;0,$T556&gt;0,$X556&gt;0,$R556&gt;0,$Z556&gt;0,$AB556&gt;0,$AD556&gt;0,$AF556&gt;0,$AH556&gt;0),"","0-"),99,0,REPLACE(TEXT(100-$AJ556,0),99,0,"?    ")),"")))</f>
        <v/>
      </c>
      <c r="AB556" s="1864"/>
      <c r="AC556" s="1865" t="str">
        <f>IF(OR($N556="", AND($N556="",OR($H556="",$H556=0))),"",IF(AND($N556="Quantity",$AJ556&lt;$H556),"0 - "&amp;TEXT($H556-$AJ556,"0")&amp;" buildings?    ",IF(AND($N556="%",$AJ556&lt;1),REPLACE(IF(AND($P556&gt;0,$V556&gt;0,$T556&gt;0,$X556&gt;0,$R556&gt;0,$Z556&gt;0,$AB556&gt;0,$AD556&gt;0,$AF556&gt;0,$AH556&gt;0),"","0-"),99,0,REPLACE(TEXT(100-$AJ556,0),99,0,"?    ")),"")))</f>
        <v/>
      </c>
      <c r="AD556" s="1864"/>
      <c r="AE556" s="1865" t="str">
        <f>IF(OR($N556="", AND($N556="",OR($H556="",$H556=0))),"",IF(AND($N556="Quantity",$AJ556&lt;$H556),"0 - "&amp;TEXT($H556-$AJ556,"0")&amp;" buildings?    ",IF(AND($N556="%",$AJ556&lt;1),REPLACE(IF(AND($P556&gt;0,$V556&gt;0,$T556&gt;0,$X556&gt;0,$R556&gt;0,$Z556&gt;0,$AB556&gt;0,$AD556&gt;0,$AF556&gt;0,$AH556&gt;0),"","0-"),99,0,REPLACE(TEXT(100-$AJ556,0),99,0,"?    ")),"")))</f>
        <v/>
      </c>
      <c r="AF556" s="1864"/>
      <c r="AG556" s="1865" t="str">
        <f>IF(OR($N556="", AND($N556="",OR($H556="",$H556=0))),"",IF(AND($N556="Quantity",$AJ556&lt;$H556),"0 - "&amp;TEXT($H556-$AJ556,"0")&amp;" buildings?    ",IF(AND($N556="%",$AJ556&lt;1),REPLACE(IF(AND($P556&gt;0,$V556&gt;0,$T556&gt;0,$X556&gt;0,$R556&gt;0,$Z556&gt;0,$AB556&gt;0,$AD556&gt;0,$AF556&gt;0,$AH556&gt;0),"","0-"),99,0,REPLACE(TEXT(100-$AJ556,0),99,0,"?    ")),"")))</f>
        <v/>
      </c>
      <c r="AH556" s="1864"/>
      <c r="AI556" s="1865" t="str">
        <f>IF(OR($N556="", AND($N556="",OR($H556="",$H556=0))),"",IF(AND($N556="Quantity",$AJ556&lt;$H556),"0 - "&amp;TEXT($H556-$AJ556,"0")&amp;" buildings?    ",IF(AND($N556="%",$AJ556&lt;1),REPLACE(IF(AND($P556&gt;0,$V556&gt;0,$T556&gt;0,$X556&gt;0,$R556&gt;0,$Z556&gt;0,$AB556&gt;0,$AD556&gt;0,$AF556&gt;0,$AH556&gt;0),"","0-"),99,0,REPLACE(TEXT(100-$AJ556,0),99,0,"?    ")),"")))</f>
        <v/>
      </c>
      <c r="AJ556" s="1833">
        <f>IFERROR(IF(N556="%", SUM(P556,R556,T556,V556,X556,Z556,AB556,AD556,AF556,AH556)/100, SUM(P556,R556,T556,V556,X556,Z556,AB556,AD556,AF556,AH556)/H556), 0)</f>
        <v>0</v>
      </c>
      <c r="AL556" s="1832"/>
      <c r="AN556" s="1276"/>
      <c r="AP556" s="1653"/>
      <c r="AT556" s="1624" t="str">
        <f>IF(AND($C$514="", L556=""), "N/A", IF(AND(AJ556=1, L556&lt;&gt;"", N556&lt;&gt;"", P556&lt;&gt;"", R556&lt;&gt;"", T556&lt;&gt;"", V556&lt;&gt;"", X556&lt;&gt;"", Z556&lt;&gt;"", AB556&lt;&gt;"", AD556&lt;&gt;"", AF556&lt;&gt;"", AH556&lt;&gt;"",AL556&lt;&gt;"", IF(AND(AL556&lt;1, AN556=""), FALSE, TRUE)), "Yes", "No"))</f>
        <v>N/A</v>
      </c>
      <c r="AU556" s="759"/>
      <c r="AV556" s="759"/>
      <c r="AW556" s="759"/>
      <c r="AX556" s="759"/>
      <c r="AY556" s="759" t="b">
        <f>IF($L556="",FALSE,IF($L556&lt;$BO556,TRUE,FALSE))</f>
        <v>0</v>
      </c>
      <c r="AZ556" s="759" t="b">
        <f>IF($L556="",FALSE,IF($L556&gt;$BP556,TRUE,FALSE))</f>
        <v>0</v>
      </c>
      <c r="BA556" s="759" t="b">
        <f>IF(AND(E556&lt;&gt;"",$L556=""),TRUE,FALSE)</f>
        <v>0</v>
      </c>
      <c r="BB556" s="759" t="b">
        <f>IF(AND($AJ556&lt;&gt;0,$H556&lt;$AJ556,$N556="LF"),TRUE,IF(AND($N556="LF",H556&lt;&gt;"",H556=AJ556),FALSE,IF(AND($AJ556&lt;&gt;0,$AJ556&gt;"100%",$N556="%"),TRUE,FALSE)))</f>
        <v>0</v>
      </c>
      <c r="BC556" s="759" t="b">
        <f>IF(AT556="No", IF(OR(P556="", R556="", T556="", V556="", X556="", Z556="", AB556="", AD556="", AF556="", AH556=""), TRUE, FALSE), FALSE)</f>
        <v>0</v>
      </c>
      <c r="BD556" s="759" t="b">
        <f>IF($BE556=TRUE,FALSE,IF(OR($AL556&lt;0,$AL556&gt;1),TRUE,FALSE))</f>
        <v>0</v>
      </c>
      <c r="BE556" s="759" t="b">
        <f>IF(AND($E556&lt;&gt;"",$AL556=""),TRUE,FALSE)</f>
        <v>0</v>
      </c>
      <c r="BF556" s="759"/>
      <c r="BH556" s="1680"/>
      <c r="BI556" s="1678" t="str">
        <f>IF(N556="", "", IF(N556="Quantity", H556, IF(N556="%", 1, "")))</f>
        <v/>
      </c>
      <c r="BJ556" s="1679">
        <f>P556+R556+T556+V556+X556+Z556+AB556+AD556+AF556+AH556</f>
        <v>0</v>
      </c>
      <c r="BK556" s="1679" t="str">
        <f>IF(BI556="", "", BI556-BJ556)</f>
        <v/>
      </c>
      <c r="BL556" s="1680"/>
      <c r="BM556" s="1680"/>
      <c r="BN556" s="1678">
        <f>IF($C556="","",VLOOKUP($C556,Valid!$B$87:$F$96,5,FALSE))</f>
        <v>25</v>
      </c>
      <c r="BO556" s="1678">
        <f>IF($C556="","",VLOOKUP($C556,Valid!$B$87:$G$96,6,FALSE))</f>
        <v>19</v>
      </c>
      <c r="BP556" s="1678">
        <f>IF($C556="","",VLOOKUP($C556,Valid!$B$87:$Z$96,7,FALSE))</f>
        <v>31</v>
      </c>
    </row>
    <row r="557" spans="1:68" s="686" customFormat="1" ht="3.95" customHeight="1" x14ac:dyDescent="0.2">
      <c r="B557" s="1790">
        <v>545</v>
      </c>
      <c r="C557" s="1674"/>
      <c r="D557" s="1709"/>
      <c r="E557" s="1057"/>
      <c r="H557" s="1917"/>
      <c r="I557" s="1651"/>
      <c r="J557" s="1919"/>
      <c r="K557" s="1651"/>
      <c r="L557" s="1922"/>
      <c r="M557" s="1651"/>
      <c r="N557" s="1919"/>
      <c r="O557" s="1651"/>
      <c r="P557" s="1866"/>
      <c r="Q557" s="1867"/>
      <c r="R557" s="1866"/>
      <c r="S557" s="1867"/>
      <c r="T557" s="1866"/>
      <c r="U557" s="1867"/>
      <c r="V557" s="1866"/>
      <c r="W557" s="1867"/>
      <c r="X557" s="1866"/>
      <c r="Y557" s="1867"/>
      <c r="Z557" s="1867"/>
      <c r="AA557" s="1867"/>
      <c r="AB557" s="1867"/>
      <c r="AC557" s="1867"/>
      <c r="AD557" s="1867"/>
      <c r="AE557" s="1867"/>
      <c r="AF557" s="1867"/>
      <c r="AG557" s="1867"/>
      <c r="AH557" s="1867"/>
      <c r="AJ557" s="1792"/>
      <c r="AL557" s="1792"/>
      <c r="AN557" s="685"/>
      <c r="AP557" s="1394"/>
      <c r="AU557" s="848"/>
      <c r="AV557" s="848"/>
      <c r="AW557" s="848"/>
      <c r="AX557" s="848"/>
      <c r="AY557" s="759"/>
      <c r="AZ557" s="759"/>
      <c r="BA557" s="848"/>
      <c r="BB557" s="759"/>
      <c r="BC557" s="848"/>
      <c r="BD557" s="848"/>
      <c r="BE557" s="848"/>
      <c r="BF557" s="848"/>
      <c r="BH557" s="1680"/>
      <c r="BI557" s="1680"/>
      <c r="BJ557" s="1680"/>
      <c r="BK557" s="1680"/>
      <c r="BL557" s="1680"/>
      <c r="BM557" s="1680"/>
      <c r="BN557" s="1680"/>
      <c r="BO557" s="1680"/>
      <c r="BP557" s="1680"/>
    </row>
    <row r="558" spans="1:68" s="686" customFormat="1" ht="3.95" customHeight="1" thickBot="1" x14ac:dyDescent="0.25">
      <c r="B558" s="1790">
        <v>546</v>
      </c>
      <c r="C558" s="1674"/>
      <c r="D558" s="1709"/>
      <c r="E558" s="1057"/>
      <c r="H558" s="1917"/>
      <c r="I558" s="1651"/>
      <c r="J558" s="1651"/>
      <c r="K558" s="1651"/>
      <c r="L558" s="1917"/>
      <c r="M558" s="1651"/>
      <c r="N558" s="1651"/>
      <c r="O558" s="1651"/>
      <c r="P558" s="1868"/>
      <c r="Q558" s="1869"/>
      <c r="R558" s="1868"/>
      <c r="S558" s="1869"/>
      <c r="T558" s="1868"/>
      <c r="U558" s="1869"/>
      <c r="V558" s="1868"/>
      <c r="W558" s="1869"/>
      <c r="X558" s="1868"/>
      <c r="Y558" s="1869"/>
      <c r="Z558" s="1869"/>
      <c r="AA558" s="1869"/>
      <c r="AB558" s="1869"/>
      <c r="AC558" s="1869"/>
      <c r="AD558" s="1869"/>
      <c r="AE558" s="1869"/>
      <c r="AF558" s="1869"/>
      <c r="AG558" s="1869"/>
      <c r="AH558" s="1869"/>
      <c r="AI558" s="1670"/>
      <c r="AJ558" s="1676"/>
      <c r="AL558" s="1676"/>
      <c r="AP558" s="1394"/>
      <c r="AT558" s="1624"/>
      <c r="AU558" s="848"/>
      <c r="AV558" s="848"/>
      <c r="AW558" s="848"/>
      <c r="AX558" s="848"/>
      <c r="AY558" s="759"/>
      <c r="AZ558" s="759"/>
      <c r="BA558" s="848"/>
      <c r="BB558" s="759"/>
      <c r="BC558" s="848"/>
      <c r="BD558" s="848"/>
      <c r="BE558" s="848"/>
      <c r="BF558" s="848"/>
      <c r="BH558" s="1680"/>
      <c r="BI558" s="1680"/>
      <c r="BJ558" s="1680"/>
      <c r="BK558" s="1680"/>
      <c r="BL558" s="1680"/>
      <c r="BM558" s="1680"/>
      <c r="BN558" s="1680"/>
      <c r="BO558" s="1680"/>
      <c r="BP558" s="1680"/>
    </row>
    <row r="559" spans="1:68" s="686" customFormat="1" x14ac:dyDescent="0.2">
      <c r="A559" s="852">
        <f>A556+1</f>
        <v>140</v>
      </c>
      <c r="B559" s="1791">
        <v>547</v>
      </c>
      <c r="C559" s="851" t="str">
        <f>Valid!$B$91</f>
        <v>Train Control &amp; Signaling</v>
      </c>
      <c r="D559" s="1709"/>
      <c r="E559" s="1245" t="str">
        <f>IF(AT559="N/A","",IF(AT559="N","No","Yes"))</f>
        <v/>
      </c>
      <c r="H559" s="1917"/>
      <c r="I559" s="1904"/>
      <c r="J559" s="1919"/>
      <c r="K559" s="1651"/>
      <c r="L559" s="1864"/>
      <c r="M559" s="1920" t="str">
        <f>IF(AND(H547&lt;&gt;"", L559=""),REPLACE(TEXT(BN559,0),99,0," Yrs.?    "),"")</f>
        <v/>
      </c>
      <c r="N559" s="1921"/>
      <c r="O559" s="1870"/>
      <c r="P559" s="1864"/>
      <c r="Q559" s="1865" t="str">
        <f>IF(OR($N559="", AND($N559="",OR($H559="",$H559=0))),"",IF(AND($N559="Quantity",$AJ559&lt;$H559),"0 - "&amp;TEXT($H559-$AJ559,"0")&amp;" buildings?    ",IF(AND($N559="%",$AJ559&lt;1),REPLACE(IF(AND($P559&gt;0,$V559&gt;0,$T559&gt;0,$X559&gt;0,$R559&gt;0,$Z559&gt;0,$AB559&gt;0,$AD559&gt;0,$AF559&gt;0,$AH559&gt;0),"","0-"),99,0,REPLACE(TEXT(100-$AJ559,0),99,0,"?    ")),"")))</f>
        <v/>
      </c>
      <c r="R559" s="1864"/>
      <c r="S559" s="1865" t="str">
        <f>IF(OR($N559="", AND($N559="",OR($H559="",$H559=0))),"",IF(AND($N559="Quantity",$AJ559&lt;$H559),"0 - "&amp;TEXT($H559-$AJ559,"0")&amp;" buildings?    ",IF(AND($N559="%",$AJ559&lt;1),REPLACE(IF(AND($P559&gt;0,$V559&gt;0,$T559&gt;0,$X559&gt;0,$R559&gt;0,$Z559&gt;0,$AB559&gt;0,$AD559&gt;0,$AF559&gt;0,$AH559&gt;0),"","0-"),99,0,REPLACE(TEXT(100-$AJ559,0),99,0,"?    ")),"")))</f>
        <v/>
      </c>
      <c r="T559" s="1864"/>
      <c r="U559" s="1865" t="str">
        <f>IF(OR($N559="", AND($N559="",OR($H559="",$H559=0))),"",IF(AND($N559="Quantity",$AJ559&lt;$H559),"0 - "&amp;TEXT($H559-$AJ559,"0")&amp;" buildings?    ",IF(AND($N559="%",$AJ559&lt;1),REPLACE(IF(AND($P559&gt;0,$V559&gt;0,$T559&gt;0,$X559&gt;0,$R559&gt;0,$Z559&gt;0,$AB559&gt;0,$AD559&gt;0,$AF559&gt;0,$AH559&gt;0),"","0-"),99,0,REPLACE(TEXT(100-$AJ559,0),99,0,"?    ")),"")))</f>
        <v/>
      </c>
      <c r="V559" s="1864"/>
      <c r="W559" s="1865" t="str">
        <f>IF(OR($N559="", AND($N559="",OR($H559="",$H559=0))),"",IF(AND($N559="Quantity",$AJ559&lt;$H559),"0 - "&amp;TEXT($H559-$AJ559,"0")&amp;" buildings?    ",IF(AND($N559="%",$AJ559&lt;1),REPLACE(IF(AND($P559&gt;0,$V559&gt;0,$T559&gt;0,$X559&gt;0,$R559&gt;0,$Z559&gt;0,$AB559&gt;0,$AD559&gt;0,$AF559&gt;0,$AH559&gt;0),"","0-"),99,0,REPLACE(TEXT(100-$AJ559,0),99,0,"?    ")),"")))</f>
        <v/>
      </c>
      <c r="X559" s="1864"/>
      <c r="Y559" s="1865" t="str">
        <f>IF(OR($N559="", AND($N559="",OR($H559="",$H559=0))),"",IF(AND($N559="Quantity",$AJ559&lt;$H559),"0 - "&amp;TEXT($H559-$AJ559,"0")&amp;" buildings?    ",IF(AND($N559="%",$AJ559&lt;1),REPLACE(IF(AND($P559&gt;0,$V559&gt;0,$T559&gt;0,$X559&gt;0,$R559&gt;0,$Z559&gt;0,$AB559&gt;0,$AD559&gt;0,$AF559&gt;0,$AH559&gt;0),"","0-"),99,0,REPLACE(TEXT(100-$AJ559,0),99,0,"?    ")),"")))</f>
        <v/>
      </c>
      <c r="Z559" s="1864"/>
      <c r="AA559" s="1865" t="str">
        <f>IF(OR($N559="", AND($N559="",OR($H559="",$H559=0))),"",IF(AND($N559="Quantity",$AJ559&lt;$H559),"0 - "&amp;TEXT($H559-$AJ559,"0")&amp;" buildings?    ",IF(AND($N559="%",$AJ559&lt;1),REPLACE(IF(AND($P559&gt;0,$V559&gt;0,$T559&gt;0,$X559&gt;0,$R559&gt;0,$Z559&gt;0,$AB559&gt;0,$AD559&gt;0,$AF559&gt;0,$AH559&gt;0),"","0-"),99,0,REPLACE(TEXT(100-$AJ559,0),99,0,"?    ")),"")))</f>
        <v/>
      </c>
      <c r="AB559" s="1864"/>
      <c r="AC559" s="1865" t="str">
        <f>IF(OR($N559="", AND($N559="",OR($H559="",$H559=0))),"",IF(AND($N559="Quantity",$AJ559&lt;$H559),"0 - "&amp;TEXT($H559-$AJ559,"0")&amp;" buildings?    ",IF(AND($N559="%",$AJ559&lt;1),REPLACE(IF(AND($P559&gt;0,$V559&gt;0,$T559&gt;0,$X559&gt;0,$R559&gt;0,$Z559&gt;0,$AB559&gt;0,$AD559&gt;0,$AF559&gt;0,$AH559&gt;0),"","0-"),99,0,REPLACE(TEXT(100-$AJ559,0),99,0,"?    ")),"")))</f>
        <v/>
      </c>
      <c r="AD559" s="1864"/>
      <c r="AE559" s="1865" t="str">
        <f>IF(OR($N559="", AND($N559="",OR($H559="",$H559=0))),"",IF(AND($N559="Quantity",$AJ559&lt;$H559),"0 - "&amp;TEXT($H559-$AJ559,"0")&amp;" buildings?    ",IF(AND($N559="%",$AJ559&lt;1),REPLACE(IF(AND($P559&gt;0,$V559&gt;0,$T559&gt;0,$X559&gt;0,$R559&gt;0,$Z559&gt;0,$AB559&gt;0,$AD559&gt;0,$AF559&gt;0,$AH559&gt;0),"","0-"),99,0,REPLACE(TEXT(100-$AJ559,0),99,0,"?    ")),"")))</f>
        <v/>
      </c>
      <c r="AF559" s="1864"/>
      <c r="AG559" s="1865" t="str">
        <f>IF(OR($N559="", AND($N559="",OR($H559="",$H559=0))),"",IF(AND($N559="Quantity",$AJ559&lt;$H559),"0 - "&amp;TEXT($H559-$AJ559,"0")&amp;" buildings?    ",IF(AND($N559="%",$AJ559&lt;1),REPLACE(IF(AND($P559&gt;0,$V559&gt;0,$T559&gt;0,$X559&gt;0,$R559&gt;0,$Z559&gt;0,$AB559&gt;0,$AD559&gt;0,$AF559&gt;0,$AH559&gt;0),"","0-"),99,0,REPLACE(TEXT(100-$AJ559,0),99,0,"?    ")),"")))</f>
        <v/>
      </c>
      <c r="AH559" s="1864"/>
      <c r="AI559" s="1865" t="str">
        <f>IF(OR($N559="", AND($N559="",OR($H559="",$H559=0))),"",IF(AND($N559="Quantity",$AJ559&lt;$H559),"0 - "&amp;TEXT($H559-$AJ559,"0")&amp;" buildings?    ",IF(AND($N559="%",$AJ559&lt;1),REPLACE(IF(AND($P559&gt;0,$V559&gt;0,$T559&gt;0,$X559&gt;0,$R559&gt;0,$Z559&gt;0,$AB559&gt;0,$AD559&gt;0,$AF559&gt;0,$AH559&gt;0),"","0-"),99,0,REPLACE(TEXT(100-$AJ559,0),99,0,"?    ")),"")))</f>
        <v/>
      </c>
      <c r="AJ559" s="1833">
        <f>IFERROR(IF(N559="%", SUM(P559,R559,T559,V559,X559,Z559,AB559,AD559,AF559,AH559)/100, SUM(P559,R559,T559,V559,X559,Z559,AB559,AD559,AF559,AH559)/H559), 0)</f>
        <v>0</v>
      </c>
      <c r="AL559" s="1832"/>
      <c r="AN559" s="1276"/>
      <c r="AP559" s="1653"/>
      <c r="AT559" s="1624" t="str">
        <f>IF(AND($C$514="", L559=""), "N/A", IF(AND(AJ559=1, L559&lt;&gt;"", N559&lt;&gt;"", P559&lt;&gt;"", R559&lt;&gt;"", T559&lt;&gt;"", V559&lt;&gt;"", X559&lt;&gt;"", Z559&lt;&gt;"", AB559&lt;&gt;"", AD559&lt;&gt;"", AF559&lt;&gt;"", AH559&lt;&gt;"",AL559&lt;&gt;"", IF(AND(AL559&lt;1, AN559=""), FALSE, TRUE)), "Yes", "No"))</f>
        <v>N/A</v>
      </c>
      <c r="AU559" s="759"/>
      <c r="AV559" s="759"/>
      <c r="AW559" s="759"/>
      <c r="AX559" s="759"/>
      <c r="AY559" s="759" t="b">
        <f>IF($L559="",FALSE,IF($L559&lt;$BO559,TRUE,FALSE))</f>
        <v>0</v>
      </c>
      <c r="AZ559" s="759" t="b">
        <f>IF($L559="",FALSE,IF($L559&gt;$BP559,TRUE,FALSE))</f>
        <v>0</v>
      </c>
      <c r="BA559" s="759" t="b">
        <f>IF(AND(E559&lt;&gt;"",$L559=""),TRUE,FALSE)</f>
        <v>0</v>
      </c>
      <c r="BB559" s="759" t="b">
        <f>IF(AND($AJ559&lt;&gt;0,$H559&lt;$AJ559,$N559="LF"),TRUE,IF(AND($N559="LF",H559&lt;&gt;"",H559=AJ559),FALSE,IF(AND($AJ559&lt;&gt;0,$AJ559&gt;"100%",$N559="%"),TRUE,FALSE)))</f>
        <v>0</v>
      </c>
      <c r="BC559" s="759" t="b">
        <f>IF(AT559="No", IF(OR(P559="", R559="", T559="", V559="", X559="", Z559="", AB559="", AD559="", AF559="", AH559=""), TRUE, FALSE), FALSE)</f>
        <v>0</v>
      </c>
      <c r="BD559" s="759" t="b">
        <f>IF($BE559=TRUE,FALSE,IF(OR($AL559&lt;0,$AL559&gt;1),TRUE,FALSE))</f>
        <v>0</v>
      </c>
      <c r="BE559" s="759" t="b">
        <f>IF(AND($E559&lt;&gt;"",$AL559=""),TRUE,FALSE)</f>
        <v>0</v>
      </c>
      <c r="BF559" s="759"/>
      <c r="BH559" s="1680"/>
      <c r="BI559" s="1678" t="str">
        <f>IF(N559="", "", IF(N559="Quantity", H559, IF(N559="%", 1, "")))</f>
        <v/>
      </c>
      <c r="BJ559" s="1679">
        <f>P559+R559+T559+V559+X559+Z559+AB559+AD559+AF559+AH559</f>
        <v>0</v>
      </c>
      <c r="BK559" s="1679" t="str">
        <f>IF(BI559="", "", BI559-BJ559)</f>
        <v/>
      </c>
      <c r="BL559" s="1680"/>
      <c r="BM559" s="1680"/>
      <c r="BN559" s="1678">
        <f>IF($C559="","",VLOOKUP($C559,Valid!$B$87:$F$96,5,FALSE))</f>
        <v>25</v>
      </c>
      <c r="BO559" s="1678">
        <f>IF($C559="","",VLOOKUP($C559,Valid!$B$87:$G$96,6,FALSE))</f>
        <v>19</v>
      </c>
      <c r="BP559" s="1678">
        <f>IF($C559="","",VLOOKUP($C559,Valid!$B$87:$Z$96,7,FALSE))</f>
        <v>31</v>
      </c>
    </row>
    <row r="560" spans="1:68" s="686" customFormat="1" x14ac:dyDescent="0.2">
      <c r="B560" s="1791">
        <v>548</v>
      </c>
      <c r="C560" s="1674"/>
      <c r="D560" s="1709"/>
      <c r="E560" s="1057"/>
      <c r="H560" s="1917"/>
      <c r="I560" s="1651"/>
      <c r="J560" s="1651"/>
      <c r="K560" s="1651"/>
      <c r="L560" s="1917"/>
      <c r="M560" s="1651"/>
      <c r="N560" s="1651"/>
      <c r="O560" s="1651"/>
      <c r="P560" s="1651"/>
      <c r="Q560" s="1651"/>
      <c r="R560" s="1651"/>
      <c r="S560" s="1651"/>
      <c r="T560" s="1651"/>
      <c r="U560" s="1651"/>
      <c r="V560" s="1651"/>
      <c r="W560" s="1651"/>
      <c r="X560" s="1651"/>
      <c r="Y560" s="1651"/>
      <c r="Z560" s="1651"/>
      <c r="AA560" s="1651"/>
      <c r="AB560" s="1651"/>
      <c r="AC560" s="1651"/>
      <c r="AD560" s="1651"/>
      <c r="AE560" s="1651"/>
      <c r="AF560" s="1651"/>
      <c r="AG560" s="1651"/>
      <c r="AH560" s="1651"/>
      <c r="AJ560" s="1676"/>
      <c r="AL560" s="1676"/>
      <c r="AP560" s="1394"/>
      <c r="AU560" s="848"/>
      <c r="AV560" s="848"/>
      <c r="AW560" s="848"/>
      <c r="AX560" s="848"/>
      <c r="AY560" s="759"/>
      <c r="AZ560" s="759"/>
      <c r="BA560" s="848"/>
      <c r="BB560" s="759"/>
      <c r="BC560" s="848"/>
      <c r="BD560" s="848"/>
      <c r="BE560" s="848"/>
      <c r="BF560" s="848"/>
      <c r="BH560" s="1680"/>
      <c r="BI560" s="1680"/>
      <c r="BJ560" s="1680"/>
      <c r="BK560" s="1680"/>
      <c r="BL560" s="1680"/>
      <c r="BM560" s="1680"/>
      <c r="BN560" s="1680"/>
      <c r="BO560" s="1680"/>
      <c r="BP560" s="1680"/>
    </row>
    <row r="561" spans="2:68" s="686" customFormat="1" x14ac:dyDescent="0.2">
      <c r="B561" s="1787"/>
      <c r="C561" s="1674"/>
      <c r="D561" s="1709"/>
      <c r="E561" s="1057"/>
      <c r="H561" s="1917"/>
      <c r="I561" s="1651"/>
      <c r="J561" s="1651"/>
      <c r="K561" s="1651"/>
      <c r="L561" s="1917"/>
      <c r="M561" s="1651"/>
      <c r="N561" s="1651"/>
      <c r="O561" s="1651"/>
      <c r="P561" s="1651"/>
      <c r="Q561" s="1651"/>
      <c r="R561" s="1651"/>
      <c r="S561" s="1651"/>
      <c r="T561" s="1651"/>
      <c r="U561" s="1651"/>
      <c r="V561" s="1651"/>
      <c r="W561" s="1651"/>
      <c r="X561" s="1651"/>
      <c r="Y561" s="1651"/>
      <c r="Z561" s="1651"/>
      <c r="AA561" s="1651"/>
      <c r="AB561" s="1651"/>
      <c r="AC561" s="1651"/>
      <c r="AD561" s="1651"/>
      <c r="AE561" s="1651"/>
      <c r="AF561" s="1651"/>
      <c r="AG561" s="1651"/>
      <c r="AH561" s="1651"/>
      <c r="AJ561" s="1676"/>
      <c r="AL561" s="1676"/>
      <c r="AP561" s="1394"/>
      <c r="AU561" s="848"/>
      <c r="AV561" s="848"/>
      <c r="AW561" s="848"/>
      <c r="AX561" s="848"/>
      <c r="AY561" s="759"/>
      <c r="AZ561" s="759"/>
      <c r="BA561" s="848"/>
      <c r="BB561" s="759"/>
      <c r="BC561" s="848"/>
      <c r="BD561" s="848"/>
      <c r="BE561" s="848"/>
      <c r="BF561" s="848"/>
      <c r="BH561" s="1680"/>
      <c r="BI561" s="1680"/>
      <c r="BJ561" s="1680"/>
      <c r="BK561" s="1680"/>
      <c r="BL561" s="1680"/>
      <c r="BM561" s="1680"/>
      <c r="BN561" s="1680"/>
      <c r="BO561" s="1680"/>
      <c r="BP561" s="1680"/>
    </row>
    <row r="562" spans="2:68" s="686" customFormat="1" x14ac:dyDescent="0.2">
      <c r="B562" s="1788"/>
      <c r="C562" s="1677"/>
      <c r="D562" s="1709"/>
      <c r="E562" s="685"/>
      <c r="H562" s="1651"/>
      <c r="I562" s="1651"/>
      <c r="J562" s="1651"/>
      <c r="K562" s="1651"/>
      <c r="L562" s="1651"/>
      <c r="M562" s="1651"/>
      <c r="N562" s="1651"/>
      <c r="O562" s="1651"/>
      <c r="P562" s="1651"/>
      <c r="Q562" s="1651"/>
      <c r="R562" s="1651"/>
      <c r="S562" s="1651"/>
      <c r="T562" s="1651"/>
      <c r="U562" s="1651"/>
      <c r="V562" s="1651"/>
      <c r="W562" s="1651"/>
      <c r="X562" s="1651"/>
      <c r="Y562" s="1651"/>
      <c r="Z562" s="1651"/>
      <c r="AA562" s="1651"/>
      <c r="AB562" s="1651"/>
      <c r="AC562" s="1651"/>
      <c r="AD562" s="1651"/>
      <c r="AE562" s="1651"/>
      <c r="AF562" s="1651"/>
      <c r="AG562" s="1651"/>
      <c r="AH562" s="1651"/>
      <c r="AJ562" s="1676"/>
      <c r="AL562" s="1676"/>
      <c r="AP562" s="1639"/>
    </row>
  </sheetData>
  <sheetProtection password="C82B" sheet="1" objects="1" scenarios="1" formatCells="0" formatColumns="0" formatRows="0" selectLockedCells="1" sort="0" autoFilter="0"/>
  <autoFilter ref="A11:BP561">
    <sortState ref="A12:BK560">
      <sortCondition ref="B11:B560"/>
    </sortState>
  </autoFilter>
  <mergeCells count="13">
    <mergeCell ref="BB4:BC4"/>
    <mergeCell ref="T9:T10"/>
    <mergeCell ref="R9:R10"/>
    <mergeCell ref="P8:AH8"/>
    <mergeCell ref="P7:AH7"/>
    <mergeCell ref="P9:P10"/>
    <mergeCell ref="AH9:AH10"/>
    <mergeCell ref="AF9:AF10"/>
    <mergeCell ref="AD9:AD10"/>
    <mergeCell ref="AB9:AB10"/>
    <mergeCell ref="Z9:Z10"/>
    <mergeCell ref="X9:X10"/>
    <mergeCell ref="V9:V10"/>
  </mergeCells>
  <conditionalFormatting sqref="L17:L42 L44:L72 L120:L127 L175:L182 L230:L237 L285:L293 L341:L349 L397:L405 L453:L461 L509:L517 L225:L228 L280:L283 L336:L339 L392:L395 L448:L451 L504:L507 L560:L1048576">
    <cfRule type="expression" dxfId="745" priority="9843">
      <formula>AY17</formula>
    </cfRule>
  </conditionalFormatting>
  <conditionalFormatting sqref="L17:L42 L44:L72 L120:L127 L175:L182 L230:L237 L285:L293 L341:L349 L397:L405 L453:L461 L509:L517 L225:L228 L280:L283 L336:L339 L392:L395 L448:L451 L504:L507 L560:L99478">
    <cfRule type="expression" dxfId="744" priority="2195">
      <formula>$AZ17</formula>
    </cfRule>
  </conditionalFormatting>
  <conditionalFormatting sqref="H504:H507 H280:H283 H336:H339 H392:H395 H448:H451 H17:H44 H225:H228 H120:H126 H175:H181 H230:H236 H285:H292 H341:H348 H397:H404 H453:H460 H509:H516 H46:H71 H560:H1048576">
    <cfRule type="expression" dxfId="743" priority="11534">
      <formula>AU17</formula>
    </cfRule>
  </conditionalFormatting>
  <conditionalFormatting sqref="J560:J99995 H504:H507 J47:J71 J280:J283 H280:H283 J336:J339 J392:J395 H336:H339 H392:H395 J448:J451 H448:H451 J504:J507 H17:H44 H560:H999825 J225:J228 H225:H228 H120:H126 J120:J126 H175:H181 J175:J181 H230:H236 J230:J236 H285:H292 J285:J292 H341:H348 J341:J348 H397:H404 J397:J404 H453:H460 J453:J460 J509:J516 H509:H516 H46:H71">
    <cfRule type="expression" dxfId="742" priority="1353">
      <formula>$AW17</formula>
    </cfRule>
  </conditionalFormatting>
  <conditionalFormatting sqref="AL17:AL72 AL120:AL127 AL175:AL182 AL230:AL237 AL285:AL293 AL341:AL349 AL397:AL405 AL453:AL461 AL509:AL517 AL225:AL228 AL280:AL283 AL336:AL339 AL392:AL395 AL448:AL451 AL504:AL507 AL560:AL99825">
    <cfRule type="expression" dxfId="741" priority="1351">
      <formula>$BD17</formula>
    </cfRule>
  </conditionalFormatting>
  <conditionalFormatting sqref="H504:H507 H280:H283 H336:H339 H392:H395 H448:H451 H17:H44 H560:H99825 H225:H228 H120:H126 H175:H181 H230:H236 H285:H292 H341:H348 H397:H404 H453:H460 H509:H516 H46:H71">
    <cfRule type="expression" dxfId="740" priority="1349">
      <formula>$AV17</formula>
    </cfRule>
  </conditionalFormatting>
  <conditionalFormatting sqref="AJ120:AJ127 AJ175:AJ182 AJ230:AJ237 AJ285:AJ293 AJ341:AJ349 AJ397:AJ405 AJ453:AJ461 AJ509:AJ517 AJ18:AJ22 AJ50:AJ51 AJ53:AJ54 AJ56:AJ57 AJ59:AJ72 AJ225:AJ228 AJ280:AJ283 AJ336:AJ339 AJ392:AJ395 AJ448:AJ451 AJ504:AJ507 AJ560:AJ99825 AJ24:AJ25 AJ27:AJ28 AJ30:AJ31 AJ33:AJ34 AJ36:AJ37 AJ39:AJ40 AJ42:AJ48">
    <cfRule type="expression" dxfId="739" priority="1348">
      <formula>$BB18</formula>
    </cfRule>
  </conditionalFormatting>
  <conditionalFormatting sqref="J20:J45">
    <cfRule type="expression" dxfId="738" priority="1340">
      <formula>$AW20</formula>
    </cfRule>
  </conditionalFormatting>
  <conditionalFormatting sqref="J20:J45 J47:J71 J560:J999995 J225:J228 J280:J283 J336:J339 J392:J395 J448:J451 J504:J507 J120:J126 J175:J181 J230:J236 J285:J292 J341:J348 J397:J404 J453:J460 J509:J516">
    <cfRule type="expression" dxfId="737" priority="1339">
      <formula>$AV20</formula>
    </cfRule>
    <cfRule type="expression" dxfId="736" priority="1341">
      <formula>$AU$20</formula>
    </cfRule>
  </conditionalFormatting>
  <conditionalFormatting sqref="J23">
    <cfRule type="expression" dxfId="735" priority="1338">
      <formula>AZ23</formula>
    </cfRule>
  </conditionalFormatting>
  <conditionalFormatting sqref="J23">
    <cfRule type="expression" dxfId="734" priority="1337">
      <formula>$AW23</formula>
    </cfRule>
  </conditionalFormatting>
  <conditionalFormatting sqref="J23">
    <cfRule type="expression" dxfId="733" priority="1336">
      <formula>$AV23</formula>
    </cfRule>
  </conditionalFormatting>
  <conditionalFormatting sqref="J26">
    <cfRule type="expression" dxfId="732" priority="1335">
      <formula>AZ26</formula>
    </cfRule>
  </conditionalFormatting>
  <conditionalFormatting sqref="J26">
    <cfRule type="expression" dxfId="731" priority="1334">
      <formula>$AW26</formula>
    </cfRule>
  </conditionalFormatting>
  <conditionalFormatting sqref="J26">
    <cfRule type="expression" dxfId="730" priority="1333">
      <formula>$AV26</formula>
    </cfRule>
  </conditionalFormatting>
  <conditionalFormatting sqref="J29">
    <cfRule type="expression" dxfId="729" priority="1332">
      <formula>AZ29</formula>
    </cfRule>
  </conditionalFormatting>
  <conditionalFormatting sqref="J29">
    <cfRule type="expression" dxfId="728" priority="1331">
      <formula>$AW29</formula>
    </cfRule>
  </conditionalFormatting>
  <conditionalFormatting sqref="J29">
    <cfRule type="expression" dxfId="727" priority="1330">
      <formula>$AV29</formula>
    </cfRule>
  </conditionalFormatting>
  <conditionalFormatting sqref="J32">
    <cfRule type="expression" dxfId="726" priority="1329">
      <formula>AZ32</formula>
    </cfRule>
  </conditionalFormatting>
  <conditionalFormatting sqref="J32">
    <cfRule type="expression" dxfId="725" priority="1328">
      <formula>$AW32</formula>
    </cfRule>
  </conditionalFormatting>
  <conditionalFormatting sqref="J32">
    <cfRule type="expression" dxfId="724" priority="1327">
      <formula>$AV32</formula>
    </cfRule>
  </conditionalFormatting>
  <conditionalFormatting sqref="J35">
    <cfRule type="expression" dxfId="723" priority="1326">
      <formula>AZ35</formula>
    </cfRule>
  </conditionalFormatting>
  <conditionalFormatting sqref="J35">
    <cfRule type="expression" dxfId="722" priority="1325">
      <formula>$AW35</formula>
    </cfRule>
  </conditionalFormatting>
  <conditionalFormatting sqref="J35">
    <cfRule type="expression" dxfId="721" priority="1324">
      <formula>$AV35</formula>
    </cfRule>
  </conditionalFormatting>
  <conditionalFormatting sqref="J38">
    <cfRule type="expression" dxfId="720" priority="1323">
      <formula>AZ38</formula>
    </cfRule>
  </conditionalFormatting>
  <conditionalFormatting sqref="J38">
    <cfRule type="expression" dxfId="719" priority="1322">
      <formula>$AW38</formula>
    </cfRule>
  </conditionalFormatting>
  <conditionalFormatting sqref="J38">
    <cfRule type="expression" dxfId="718" priority="1321">
      <formula>$AV38</formula>
    </cfRule>
  </conditionalFormatting>
  <conditionalFormatting sqref="J41">
    <cfRule type="expression" dxfId="717" priority="1320">
      <formula>AZ41</formula>
    </cfRule>
  </conditionalFormatting>
  <conditionalFormatting sqref="J41">
    <cfRule type="expression" dxfId="716" priority="1319">
      <formula>$AW41</formula>
    </cfRule>
  </conditionalFormatting>
  <conditionalFormatting sqref="J41">
    <cfRule type="expression" dxfId="715" priority="1318">
      <formula>$AV41</formula>
    </cfRule>
  </conditionalFormatting>
  <conditionalFormatting sqref="J284 H284">
    <cfRule type="expression" dxfId="714" priority="1043">
      <formula>$AW284</formula>
    </cfRule>
  </conditionalFormatting>
  <conditionalFormatting sqref="J229 H229">
    <cfRule type="expression" dxfId="713" priority="1057">
      <formula>$AW229</formula>
    </cfRule>
  </conditionalFormatting>
  <conditionalFormatting sqref="J43">
    <cfRule type="expression" dxfId="712" priority="1127">
      <formula>AY43</formula>
    </cfRule>
  </conditionalFormatting>
  <conditionalFormatting sqref="J43">
    <cfRule type="expression" dxfId="711" priority="1126">
      <formula>$AW43</formula>
    </cfRule>
  </conditionalFormatting>
  <conditionalFormatting sqref="J43">
    <cfRule type="expression" dxfId="710" priority="1125">
      <formula>$AV43</formula>
    </cfRule>
  </conditionalFormatting>
  <conditionalFormatting sqref="J213:J224 H183:H210 H212:H224">
    <cfRule type="expression" dxfId="709" priority="368">
      <formula>$AW183</formula>
    </cfRule>
  </conditionalFormatting>
  <conditionalFormatting sqref="C3">
    <cfRule type="expression" dxfId="708" priority="11797">
      <formula>$AT$6&gt;0</formula>
    </cfRule>
  </conditionalFormatting>
  <conditionalFormatting sqref="C4">
    <cfRule type="expression" dxfId="707" priority="11798">
      <formula>$AT$7&gt;0</formula>
    </cfRule>
  </conditionalFormatting>
  <conditionalFormatting sqref="E120:E172 E174:E228 E230:E283 E285:E339 E341:E395 E397:E451 E453:E507 E509:E1048576 E1:E118">
    <cfRule type="cellIs" dxfId="706" priority="11433" operator="equal">
      <formula>"Yes"</formula>
    </cfRule>
    <cfRule type="cellIs" dxfId="705" priority="11434" operator="equal">
      <formula>"No"</formula>
    </cfRule>
  </conditionalFormatting>
  <conditionalFormatting sqref="AN18:AN19 AN21:AN22 AN24:AN25 AN27:AN28 AN30:AN31 AN33:AN72 AN120:AN127 AN175:AN182 AN230:AN237 AN285:AN293 AN341:AN349 AN397:AN405 AN453:AN461 AN509:AN517 AN225:AN228 AN280:AN283 AN336:AN339 AN392:AN395 AN448:AN451 AN504:AN507 AN560:AN99825">
    <cfRule type="expression" dxfId="704" priority="1097">
      <formula>$BD18</formula>
    </cfRule>
  </conditionalFormatting>
  <conditionalFormatting sqref="AN17">
    <cfRule type="expression" dxfId="703" priority="1096">
      <formula>$AB17</formula>
    </cfRule>
  </conditionalFormatting>
  <conditionalFormatting sqref="AN20">
    <cfRule type="expression" dxfId="702" priority="1095">
      <formula>$AB20</formula>
    </cfRule>
  </conditionalFormatting>
  <conditionalFormatting sqref="AN23">
    <cfRule type="expression" dxfId="701" priority="1094">
      <formula>$AB23</formula>
    </cfRule>
  </conditionalFormatting>
  <conditionalFormatting sqref="AN26">
    <cfRule type="expression" dxfId="700" priority="1093">
      <formula>$AB26</formula>
    </cfRule>
  </conditionalFormatting>
  <conditionalFormatting sqref="AN29">
    <cfRule type="expression" dxfId="699" priority="1092">
      <formula>$AB29</formula>
    </cfRule>
  </conditionalFormatting>
  <conditionalFormatting sqref="AN32">
    <cfRule type="expression" dxfId="698" priority="1091">
      <formula>$AB32</formula>
    </cfRule>
  </conditionalFormatting>
  <conditionalFormatting sqref="E119">
    <cfRule type="cellIs" dxfId="697" priority="1088" operator="equal">
      <formula>"Yes"</formula>
    </cfRule>
    <cfRule type="cellIs" dxfId="696" priority="1089" operator="equal">
      <formula>"No"</formula>
    </cfRule>
  </conditionalFormatting>
  <conditionalFormatting sqref="E173">
    <cfRule type="cellIs" dxfId="695" priority="1074" operator="equal">
      <formula>"Yes"</formula>
    </cfRule>
    <cfRule type="cellIs" dxfId="694" priority="1075" operator="equal">
      <formula>"No"</formula>
    </cfRule>
  </conditionalFormatting>
  <conditionalFormatting sqref="L229">
    <cfRule type="expression" dxfId="693" priority="1059">
      <formula>AY229</formula>
    </cfRule>
  </conditionalFormatting>
  <conditionalFormatting sqref="L229">
    <cfRule type="expression" dxfId="692" priority="1058">
      <formula>$AZ229</formula>
    </cfRule>
  </conditionalFormatting>
  <conditionalFormatting sqref="H229">
    <cfRule type="expression" dxfId="691" priority="1062">
      <formula>AU229</formula>
    </cfRule>
  </conditionalFormatting>
  <conditionalFormatting sqref="AL229">
    <cfRule type="expression" dxfId="690" priority="1055">
      <formula>$BD229</formula>
    </cfRule>
  </conditionalFormatting>
  <conditionalFormatting sqref="H229">
    <cfRule type="expression" dxfId="689" priority="1054">
      <formula>$AV229</formula>
    </cfRule>
  </conditionalFormatting>
  <conditionalFormatting sqref="AJ229">
    <cfRule type="expression" dxfId="688" priority="1053">
      <formula>$BB229</formula>
    </cfRule>
  </conditionalFormatting>
  <conditionalFormatting sqref="J229">
    <cfRule type="expression" dxfId="687" priority="1051">
      <formula>$AV229</formula>
    </cfRule>
    <cfRule type="expression" dxfId="686" priority="1052">
      <formula>$AU$20</formula>
    </cfRule>
  </conditionalFormatting>
  <conditionalFormatting sqref="E229">
    <cfRule type="cellIs" dxfId="685" priority="1060" operator="equal">
      <formula>"Yes"</formula>
    </cfRule>
    <cfRule type="cellIs" dxfId="684" priority="1061" operator="equal">
      <formula>"No"</formula>
    </cfRule>
  </conditionalFormatting>
  <conditionalFormatting sqref="AN229">
    <cfRule type="expression" dxfId="683" priority="1049">
      <formula>$BD229</formula>
    </cfRule>
  </conditionalFormatting>
  <conditionalFormatting sqref="L284">
    <cfRule type="expression" dxfId="682" priority="1045">
      <formula>AY284</formula>
    </cfRule>
  </conditionalFormatting>
  <conditionalFormatting sqref="L284">
    <cfRule type="expression" dxfId="681" priority="1044">
      <formula>$AZ284</formula>
    </cfRule>
  </conditionalFormatting>
  <conditionalFormatting sqref="H284">
    <cfRule type="expression" dxfId="680" priority="1048">
      <formula>AU284</formula>
    </cfRule>
  </conditionalFormatting>
  <conditionalFormatting sqref="AL284">
    <cfRule type="expression" dxfId="679" priority="1041">
      <formula>$BD284</formula>
    </cfRule>
  </conditionalFormatting>
  <conditionalFormatting sqref="H284">
    <cfRule type="expression" dxfId="678" priority="1040">
      <formula>$AV284</formula>
    </cfRule>
  </conditionalFormatting>
  <conditionalFormatting sqref="AJ284">
    <cfRule type="expression" dxfId="677" priority="1039">
      <formula>$BB284</formula>
    </cfRule>
  </conditionalFormatting>
  <conditionalFormatting sqref="J284">
    <cfRule type="expression" dxfId="676" priority="1037">
      <formula>$AV284</formula>
    </cfRule>
    <cfRule type="expression" dxfId="675" priority="1038">
      <formula>$AU$20</formula>
    </cfRule>
  </conditionalFormatting>
  <conditionalFormatting sqref="E284">
    <cfRule type="cellIs" dxfId="674" priority="1046" operator="equal">
      <formula>"Yes"</formula>
    </cfRule>
    <cfRule type="cellIs" dxfId="673" priority="1047" operator="equal">
      <formula>"No"</formula>
    </cfRule>
  </conditionalFormatting>
  <conditionalFormatting sqref="AN284">
    <cfRule type="expression" dxfId="672" priority="1035">
      <formula>$BD284</formula>
    </cfRule>
  </conditionalFormatting>
  <conditionalFormatting sqref="L340">
    <cfRule type="expression" dxfId="671" priority="1031">
      <formula>AY340</formula>
    </cfRule>
  </conditionalFormatting>
  <conditionalFormatting sqref="L340">
    <cfRule type="expression" dxfId="670" priority="1030">
      <formula>$AZ340</formula>
    </cfRule>
  </conditionalFormatting>
  <conditionalFormatting sqref="H340">
    <cfRule type="expression" dxfId="669" priority="1034">
      <formula>AU340</formula>
    </cfRule>
  </conditionalFormatting>
  <conditionalFormatting sqref="J340 H340">
    <cfRule type="expression" dxfId="668" priority="1029">
      <formula>$AW340</formula>
    </cfRule>
  </conditionalFormatting>
  <conditionalFormatting sqref="AL340">
    <cfRule type="expression" dxfId="667" priority="1027">
      <formula>$BD340</formula>
    </cfRule>
  </conditionalFormatting>
  <conditionalFormatting sqref="H340">
    <cfRule type="expression" dxfId="666" priority="1026">
      <formula>$AV340</formula>
    </cfRule>
  </conditionalFormatting>
  <conditionalFormatting sqref="AJ340">
    <cfRule type="expression" dxfId="665" priority="1025">
      <formula>$BB340</formula>
    </cfRule>
  </conditionalFormatting>
  <conditionalFormatting sqref="J340">
    <cfRule type="expression" dxfId="664" priority="1023">
      <formula>$AV340</formula>
    </cfRule>
    <cfRule type="expression" dxfId="663" priority="1024">
      <formula>$AU$20</formula>
    </cfRule>
  </conditionalFormatting>
  <conditionalFormatting sqref="E340">
    <cfRule type="cellIs" dxfId="662" priority="1032" operator="equal">
      <formula>"Yes"</formula>
    </cfRule>
    <cfRule type="cellIs" dxfId="661" priority="1033" operator="equal">
      <formula>"No"</formula>
    </cfRule>
  </conditionalFormatting>
  <conditionalFormatting sqref="AN340">
    <cfRule type="expression" dxfId="660" priority="1021">
      <formula>$BD340</formula>
    </cfRule>
  </conditionalFormatting>
  <conditionalFormatting sqref="L396">
    <cfRule type="expression" dxfId="659" priority="1017">
      <formula>AY396</formula>
    </cfRule>
  </conditionalFormatting>
  <conditionalFormatting sqref="L396">
    <cfRule type="expression" dxfId="658" priority="1016">
      <formula>$AZ396</formula>
    </cfRule>
  </conditionalFormatting>
  <conditionalFormatting sqref="H396">
    <cfRule type="expression" dxfId="657" priority="1020">
      <formula>AU396</formula>
    </cfRule>
  </conditionalFormatting>
  <conditionalFormatting sqref="J396 H396">
    <cfRule type="expression" dxfId="656" priority="1015">
      <formula>$AW396</formula>
    </cfRule>
  </conditionalFormatting>
  <conditionalFormatting sqref="AL396">
    <cfRule type="expression" dxfId="655" priority="1013">
      <formula>$BD396</formula>
    </cfRule>
  </conditionalFormatting>
  <conditionalFormatting sqref="H396">
    <cfRule type="expression" dxfId="654" priority="1012">
      <formula>$AV396</formula>
    </cfRule>
  </conditionalFormatting>
  <conditionalFormatting sqref="AJ396">
    <cfRule type="expression" dxfId="653" priority="1011">
      <formula>$BB396</formula>
    </cfRule>
  </conditionalFormatting>
  <conditionalFormatting sqref="J396">
    <cfRule type="expression" dxfId="652" priority="1009">
      <formula>$AV396</formula>
    </cfRule>
    <cfRule type="expression" dxfId="651" priority="1010">
      <formula>$AU$20</formula>
    </cfRule>
  </conditionalFormatting>
  <conditionalFormatting sqref="E396">
    <cfRule type="cellIs" dxfId="650" priority="1018" operator="equal">
      <formula>"Yes"</formula>
    </cfRule>
    <cfRule type="cellIs" dxfId="649" priority="1019" operator="equal">
      <formula>"No"</formula>
    </cfRule>
  </conditionalFormatting>
  <conditionalFormatting sqref="AN396">
    <cfRule type="expression" dxfId="648" priority="1007">
      <formula>$BD396</formula>
    </cfRule>
  </conditionalFormatting>
  <conditionalFormatting sqref="L452">
    <cfRule type="expression" dxfId="647" priority="1003">
      <formula>AY452</formula>
    </cfRule>
  </conditionalFormatting>
  <conditionalFormatting sqref="L452">
    <cfRule type="expression" dxfId="646" priority="1002">
      <formula>$AZ452</formula>
    </cfRule>
  </conditionalFormatting>
  <conditionalFormatting sqref="H452">
    <cfRule type="expression" dxfId="645" priority="1006">
      <formula>AU452</formula>
    </cfRule>
  </conditionalFormatting>
  <conditionalFormatting sqref="J452 H452">
    <cfRule type="expression" dxfId="644" priority="1001">
      <formula>$AW452</formula>
    </cfRule>
  </conditionalFormatting>
  <conditionalFormatting sqref="AL452">
    <cfRule type="expression" dxfId="643" priority="999">
      <formula>$BD452</formula>
    </cfRule>
  </conditionalFormatting>
  <conditionalFormatting sqref="H452">
    <cfRule type="expression" dxfId="642" priority="998">
      <formula>$AV452</formula>
    </cfRule>
  </conditionalFormatting>
  <conditionalFormatting sqref="AJ452">
    <cfRule type="expression" dxfId="641" priority="997">
      <formula>$BB452</formula>
    </cfRule>
  </conditionalFormatting>
  <conditionalFormatting sqref="J452">
    <cfRule type="expression" dxfId="640" priority="995">
      <formula>$AV452</formula>
    </cfRule>
    <cfRule type="expression" dxfId="639" priority="996">
      <formula>$AU$20</formula>
    </cfRule>
  </conditionalFormatting>
  <conditionalFormatting sqref="E452">
    <cfRule type="cellIs" dxfId="638" priority="1004" operator="equal">
      <formula>"Yes"</formula>
    </cfRule>
    <cfRule type="cellIs" dxfId="637" priority="1005" operator="equal">
      <formula>"No"</formula>
    </cfRule>
  </conditionalFormatting>
  <conditionalFormatting sqref="AN452">
    <cfRule type="expression" dxfId="636" priority="993">
      <formula>$BD452</formula>
    </cfRule>
  </conditionalFormatting>
  <conditionalFormatting sqref="L508">
    <cfRule type="expression" dxfId="635" priority="989">
      <formula>AY508</formula>
    </cfRule>
  </conditionalFormatting>
  <conditionalFormatting sqref="L508">
    <cfRule type="expression" dxfId="634" priority="988">
      <formula>$AZ508</formula>
    </cfRule>
  </conditionalFormatting>
  <conditionalFormatting sqref="H508">
    <cfRule type="expression" dxfId="633" priority="992">
      <formula>AU508</formula>
    </cfRule>
  </conditionalFormatting>
  <conditionalFormatting sqref="J508 H508">
    <cfRule type="expression" dxfId="632" priority="987">
      <formula>$AW508</formula>
    </cfRule>
  </conditionalFormatting>
  <conditionalFormatting sqref="AL508">
    <cfRule type="expression" dxfId="631" priority="985">
      <formula>$BD508</formula>
    </cfRule>
  </conditionalFormatting>
  <conditionalFormatting sqref="H508">
    <cfRule type="expression" dxfId="630" priority="984">
      <formula>$AV508</formula>
    </cfRule>
  </conditionalFormatting>
  <conditionalFormatting sqref="AJ508">
    <cfRule type="expression" dxfId="629" priority="983">
      <formula>$BB508</formula>
    </cfRule>
  </conditionalFormatting>
  <conditionalFormatting sqref="J508">
    <cfRule type="expression" dxfId="628" priority="981">
      <formula>$AV508</formula>
    </cfRule>
    <cfRule type="expression" dxfId="627" priority="982">
      <formula>$AU$20</formula>
    </cfRule>
  </conditionalFormatting>
  <conditionalFormatting sqref="E508">
    <cfRule type="cellIs" dxfId="626" priority="990" operator="equal">
      <formula>"Yes"</formula>
    </cfRule>
    <cfRule type="cellIs" dxfId="625" priority="991" operator="equal">
      <formula>"No"</formula>
    </cfRule>
  </conditionalFormatting>
  <conditionalFormatting sqref="AN508">
    <cfRule type="expression" dxfId="624" priority="979">
      <formula>$BD508</formula>
    </cfRule>
  </conditionalFormatting>
  <conditionalFormatting sqref="AJ49">
    <cfRule type="expression" dxfId="623" priority="966">
      <formula>$BB49</formula>
    </cfRule>
  </conditionalFormatting>
  <conditionalFormatting sqref="AJ52">
    <cfRule type="expression" dxfId="622" priority="965">
      <formula>$BB52</formula>
    </cfRule>
  </conditionalFormatting>
  <conditionalFormatting sqref="AJ55">
    <cfRule type="expression" dxfId="621" priority="964">
      <formula>$BB55</formula>
    </cfRule>
  </conditionalFormatting>
  <conditionalFormatting sqref="AJ58">
    <cfRule type="expression" dxfId="620" priority="963">
      <formula>$BB58</formula>
    </cfRule>
  </conditionalFormatting>
  <conditionalFormatting sqref="AJ41">
    <cfRule type="expression" dxfId="619" priority="847">
      <formula>$BB41</formula>
    </cfRule>
  </conditionalFormatting>
  <conditionalFormatting sqref="AJ17">
    <cfRule type="expression" dxfId="618" priority="854">
      <formula>$BB17</formula>
    </cfRule>
  </conditionalFormatting>
  <conditionalFormatting sqref="AJ23">
    <cfRule type="expression" dxfId="617" priority="853">
      <formula>$BB23</formula>
    </cfRule>
  </conditionalFormatting>
  <conditionalFormatting sqref="AJ26">
    <cfRule type="expression" dxfId="616" priority="852">
      <formula>$BB26</formula>
    </cfRule>
  </conditionalFormatting>
  <conditionalFormatting sqref="AJ29">
    <cfRule type="expression" dxfId="615" priority="851">
      <formula>$BB29</formula>
    </cfRule>
  </conditionalFormatting>
  <conditionalFormatting sqref="AJ32">
    <cfRule type="expression" dxfId="614" priority="850">
      <formula>$BB32</formula>
    </cfRule>
  </conditionalFormatting>
  <conditionalFormatting sqref="AJ35">
    <cfRule type="expression" dxfId="613" priority="849">
      <formula>$BB35</formula>
    </cfRule>
  </conditionalFormatting>
  <conditionalFormatting sqref="AJ38">
    <cfRule type="expression" dxfId="612" priority="848">
      <formula>$BB38</formula>
    </cfRule>
  </conditionalFormatting>
  <conditionalFormatting sqref="AJ218">
    <cfRule type="expression" dxfId="611" priority="329">
      <formula>$BB218</formula>
    </cfRule>
  </conditionalFormatting>
  <conditionalFormatting sqref="AJ215">
    <cfRule type="expression" dxfId="610" priority="330">
      <formula>$BB215</formula>
    </cfRule>
  </conditionalFormatting>
  <conditionalFormatting sqref="AJ140">
    <cfRule type="expression" dxfId="609" priority="376">
      <formula>$BB140</formula>
    </cfRule>
  </conditionalFormatting>
  <conditionalFormatting sqref="J149">
    <cfRule type="expression" dxfId="608" priority="398">
      <formula>$AW149</formula>
    </cfRule>
  </conditionalFormatting>
  <conditionalFormatting sqref="J152">
    <cfRule type="expression" dxfId="607" priority="396">
      <formula>AZ152</formula>
    </cfRule>
  </conditionalFormatting>
  <conditionalFormatting sqref="J152">
    <cfRule type="expression" dxfId="606" priority="395">
      <formula>$AW152</formula>
    </cfRule>
  </conditionalFormatting>
  <conditionalFormatting sqref="J152">
    <cfRule type="expression" dxfId="605" priority="394">
      <formula>$AV152</formula>
    </cfRule>
  </conditionalFormatting>
  <conditionalFormatting sqref="J154">
    <cfRule type="expression" dxfId="604" priority="392">
      <formula>$AW154</formula>
    </cfRule>
  </conditionalFormatting>
  <conditionalFormatting sqref="J154">
    <cfRule type="expression" dxfId="603" priority="391">
      <formula>$AV154</formula>
    </cfRule>
  </conditionalFormatting>
  <conditionalFormatting sqref="AJ184:AJ188 AJ216:AJ217 AJ219:AJ220 AJ222:AJ223 AJ190:AJ191 AJ193:AJ194 AJ196:AJ197 AJ199:AJ200 AJ202:AJ203 AJ205:AJ206 AJ208:AJ214">
    <cfRule type="expression" dxfId="602" priority="365">
      <formula>$BB184</formula>
    </cfRule>
  </conditionalFormatting>
  <conditionalFormatting sqref="AJ152">
    <cfRule type="expression" dxfId="601" priority="372">
      <formula>$BB152</formula>
    </cfRule>
  </conditionalFormatting>
  <conditionalFormatting sqref="J137">
    <cfRule type="expression" dxfId="600" priority="410">
      <formula>$AW137</formula>
    </cfRule>
  </conditionalFormatting>
  <conditionalFormatting sqref="J140">
    <cfRule type="expression" dxfId="599" priority="408">
      <formula>AZ140</formula>
    </cfRule>
  </conditionalFormatting>
  <conditionalFormatting sqref="J140">
    <cfRule type="expression" dxfId="598" priority="407">
      <formula>$AW140</formula>
    </cfRule>
  </conditionalFormatting>
  <conditionalFormatting sqref="J140">
    <cfRule type="expression" dxfId="597" priority="406">
      <formula>$AV140</formula>
    </cfRule>
  </conditionalFormatting>
  <conditionalFormatting sqref="J143">
    <cfRule type="expression" dxfId="596" priority="405">
      <formula>AZ143</formula>
    </cfRule>
  </conditionalFormatting>
  <conditionalFormatting sqref="J143">
    <cfRule type="expression" dxfId="595" priority="404">
      <formula>$AW143</formula>
    </cfRule>
  </conditionalFormatting>
  <conditionalFormatting sqref="J143">
    <cfRule type="expression" dxfId="594" priority="403">
      <formula>$AV143</formula>
    </cfRule>
  </conditionalFormatting>
  <conditionalFormatting sqref="J146">
    <cfRule type="expression" dxfId="593" priority="402">
      <formula>AZ146</formula>
    </cfRule>
  </conditionalFormatting>
  <conditionalFormatting sqref="J146">
    <cfRule type="expression" dxfId="592" priority="401">
      <formula>$AW146</formula>
    </cfRule>
  </conditionalFormatting>
  <conditionalFormatting sqref="J146">
    <cfRule type="expression" dxfId="591" priority="400">
      <formula>$AV146</formula>
    </cfRule>
  </conditionalFormatting>
  <conditionalFormatting sqref="J149">
    <cfRule type="expression" dxfId="590" priority="399">
      <formula>AZ149</formula>
    </cfRule>
  </conditionalFormatting>
  <conditionalFormatting sqref="J149">
    <cfRule type="expression" dxfId="589" priority="397">
      <formula>$AV149</formula>
    </cfRule>
  </conditionalFormatting>
  <conditionalFormatting sqref="AJ137">
    <cfRule type="expression" dxfId="588" priority="377">
      <formula>$BB137</formula>
    </cfRule>
  </conditionalFormatting>
  <conditionalFormatting sqref="AJ160">
    <cfRule type="expression" dxfId="587" priority="383">
      <formula>$BB160</formula>
    </cfRule>
  </conditionalFormatting>
  <conditionalFormatting sqref="AJ163">
    <cfRule type="expression" dxfId="586" priority="382">
      <formula>$BB163</formula>
    </cfRule>
  </conditionalFormatting>
  <conditionalFormatting sqref="AJ166">
    <cfRule type="expression" dxfId="585" priority="381">
      <formula>$BB166</formula>
    </cfRule>
  </conditionalFormatting>
  <conditionalFormatting sqref="AJ169">
    <cfRule type="expression" dxfId="584" priority="380">
      <formula>$BB169</formula>
    </cfRule>
  </conditionalFormatting>
  <conditionalFormatting sqref="AJ128">
    <cfRule type="expression" dxfId="583" priority="379">
      <formula>$BB128</formula>
    </cfRule>
  </conditionalFormatting>
  <conditionalFormatting sqref="AJ134">
    <cfRule type="expression" dxfId="582" priority="378">
      <formula>$BB134</formula>
    </cfRule>
  </conditionalFormatting>
  <conditionalFormatting sqref="J131:J156">
    <cfRule type="expression" dxfId="581" priority="416">
      <formula>$AW131</formula>
    </cfRule>
  </conditionalFormatting>
  <conditionalFormatting sqref="J134">
    <cfRule type="expression" dxfId="580" priority="414">
      <formula>AZ134</formula>
    </cfRule>
  </conditionalFormatting>
  <conditionalFormatting sqref="J134">
    <cfRule type="expression" dxfId="579" priority="413">
      <formula>$AW134</formula>
    </cfRule>
  </conditionalFormatting>
  <conditionalFormatting sqref="J134">
    <cfRule type="expression" dxfId="578" priority="412">
      <formula>$AV134</formula>
    </cfRule>
  </conditionalFormatting>
  <conditionalFormatting sqref="J137">
    <cfRule type="expression" dxfId="577" priority="411">
      <formula>AZ137</formula>
    </cfRule>
  </conditionalFormatting>
  <conditionalFormatting sqref="J137">
    <cfRule type="expression" dxfId="576" priority="409">
      <formula>$AV137</formula>
    </cfRule>
  </conditionalFormatting>
  <conditionalFormatting sqref="AJ105">
    <cfRule type="expression" dxfId="575" priority="436">
      <formula>$BB105</formula>
    </cfRule>
  </conditionalFormatting>
  <conditionalFormatting sqref="AJ129:AJ133 AJ161:AJ162 AJ164:AJ165 AJ167:AJ168 AJ170:AJ174 AJ135:AJ136 AJ138:AJ139 AJ141:AJ142 AJ144:AJ145 AJ147:AJ148 AJ150:AJ151 AJ153:AJ159">
    <cfRule type="expression" dxfId="574" priority="418">
      <formula>$BB129</formula>
    </cfRule>
  </conditionalFormatting>
  <conditionalFormatting sqref="AJ97">
    <cfRule type="expression" dxfId="573" priority="425">
      <formula>$BB97</formula>
    </cfRule>
  </conditionalFormatting>
  <conditionalFormatting sqref="AJ73">
    <cfRule type="expression" dxfId="572" priority="432">
      <formula>$BB73</formula>
    </cfRule>
  </conditionalFormatting>
  <conditionalFormatting sqref="AJ79">
    <cfRule type="expression" dxfId="571" priority="431">
      <formula>$BB79</formula>
    </cfRule>
  </conditionalFormatting>
  <conditionalFormatting sqref="AJ82">
    <cfRule type="expression" dxfId="570" priority="430">
      <formula>$BB82</formula>
    </cfRule>
  </conditionalFormatting>
  <conditionalFormatting sqref="AJ85">
    <cfRule type="expression" dxfId="569" priority="429">
      <formula>$BB85</formula>
    </cfRule>
  </conditionalFormatting>
  <conditionalFormatting sqref="AJ88">
    <cfRule type="expression" dxfId="568" priority="428">
      <formula>$BB88</formula>
    </cfRule>
  </conditionalFormatting>
  <conditionalFormatting sqref="AJ91">
    <cfRule type="expression" dxfId="567" priority="427">
      <formula>$BB91</formula>
    </cfRule>
  </conditionalFormatting>
  <conditionalFormatting sqref="AJ94">
    <cfRule type="expression" dxfId="566" priority="426">
      <formula>$BB94</formula>
    </cfRule>
  </conditionalFormatting>
  <conditionalFormatting sqref="L73:L98 L100:L119">
    <cfRule type="expression" dxfId="565" priority="476">
      <formula>AY73</formula>
    </cfRule>
  </conditionalFormatting>
  <conditionalFormatting sqref="L73:L98 L100:L119">
    <cfRule type="expression" dxfId="564" priority="475">
      <formula>$AZ73</formula>
    </cfRule>
  </conditionalFormatting>
  <conditionalFormatting sqref="H73:H100 H102:H119">
    <cfRule type="expression" dxfId="563" priority="477">
      <formula>AU73</formula>
    </cfRule>
  </conditionalFormatting>
  <conditionalFormatting sqref="J103:J119 H73:H100 H102:H119">
    <cfRule type="expression" dxfId="562" priority="474">
      <formula>$AW73</formula>
    </cfRule>
  </conditionalFormatting>
  <conditionalFormatting sqref="AL73:AL119">
    <cfRule type="expression" dxfId="561" priority="473">
      <formula>$BD73</formula>
    </cfRule>
  </conditionalFormatting>
  <conditionalFormatting sqref="H73:H100 H102:H119">
    <cfRule type="expression" dxfId="560" priority="472">
      <formula>$AV73</formula>
    </cfRule>
  </conditionalFormatting>
  <conditionalFormatting sqref="AJ74:AJ78 AJ106:AJ107 AJ109:AJ110 AJ112:AJ113 AJ115:AJ119 AJ80:AJ81 AJ83:AJ84 AJ86:AJ87 AJ89:AJ90 AJ92:AJ93 AJ95:AJ96 AJ98:AJ104">
    <cfRule type="expression" dxfId="559" priority="471">
      <formula>$BB74</formula>
    </cfRule>
  </conditionalFormatting>
  <conditionalFormatting sqref="J76:J101">
    <cfRule type="expression" dxfId="558" priority="469">
      <formula>$AW76</formula>
    </cfRule>
  </conditionalFormatting>
  <conditionalFormatting sqref="J76:J101 J103:J119">
    <cfRule type="expression" dxfId="557" priority="468">
      <formula>$AV76</formula>
    </cfRule>
    <cfRule type="expression" dxfId="556" priority="470">
      <formula>$AU$20</formula>
    </cfRule>
  </conditionalFormatting>
  <conditionalFormatting sqref="J79">
    <cfRule type="expression" dxfId="555" priority="467">
      <formula>AZ79</formula>
    </cfRule>
  </conditionalFormatting>
  <conditionalFormatting sqref="J79">
    <cfRule type="expression" dxfId="554" priority="466">
      <formula>$AW79</formula>
    </cfRule>
  </conditionalFormatting>
  <conditionalFormatting sqref="J79">
    <cfRule type="expression" dxfId="553" priority="465">
      <formula>$AV79</formula>
    </cfRule>
  </conditionalFormatting>
  <conditionalFormatting sqref="J82">
    <cfRule type="expression" dxfId="552" priority="464">
      <formula>AZ82</formula>
    </cfRule>
  </conditionalFormatting>
  <conditionalFormatting sqref="J82">
    <cfRule type="expression" dxfId="551" priority="463">
      <formula>$AW82</formula>
    </cfRule>
  </conditionalFormatting>
  <conditionalFormatting sqref="J82">
    <cfRule type="expression" dxfId="550" priority="462">
      <formula>$AV82</formula>
    </cfRule>
  </conditionalFormatting>
  <conditionalFormatting sqref="J85">
    <cfRule type="expression" dxfId="549" priority="461">
      <formula>AZ85</formula>
    </cfRule>
  </conditionalFormatting>
  <conditionalFormatting sqref="J85">
    <cfRule type="expression" dxfId="548" priority="460">
      <formula>$AW85</formula>
    </cfRule>
  </conditionalFormatting>
  <conditionalFormatting sqref="J85">
    <cfRule type="expression" dxfId="547" priority="459">
      <formula>$AV85</formula>
    </cfRule>
  </conditionalFormatting>
  <conditionalFormatting sqref="J88">
    <cfRule type="expression" dxfId="546" priority="458">
      <formula>AZ88</formula>
    </cfRule>
  </conditionalFormatting>
  <conditionalFormatting sqref="J88">
    <cfRule type="expression" dxfId="545" priority="457">
      <formula>$AW88</formula>
    </cfRule>
  </conditionalFormatting>
  <conditionalFormatting sqref="J88">
    <cfRule type="expression" dxfId="544" priority="456">
      <formula>$AV88</formula>
    </cfRule>
  </conditionalFormatting>
  <conditionalFormatting sqref="J91">
    <cfRule type="expression" dxfId="543" priority="455">
      <formula>AZ91</formula>
    </cfRule>
  </conditionalFormatting>
  <conditionalFormatting sqref="J91">
    <cfRule type="expression" dxfId="542" priority="454">
      <formula>$AW91</formula>
    </cfRule>
  </conditionalFormatting>
  <conditionalFormatting sqref="J91">
    <cfRule type="expression" dxfId="541" priority="453">
      <formula>$AV91</formula>
    </cfRule>
  </conditionalFormatting>
  <conditionalFormatting sqref="J94">
    <cfRule type="expression" dxfId="540" priority="452">
      <formula>AZ94</formula>
    </cfRule>
  </conditionalFormatting>
  <conditionalFormatting sqref="J94">
    <cfRule type="expression" dxfId="539" priority="451">
      <formula>$AW94</formula>
    </cfRule>
  </conditionalFormatting>
  <conditionalFormatting sqref="J94">
    <cfRule type="expression" dxfId="538" priority="450">
      <formula>$AV94</formula>
    </cfRule>
  </conditionalFormatting>
  <conditionalFormatting sqref="J97">
    <cfRule type="expression" dxfId="537" priority="449">
      <formula>AZ97</formula>
    </cfRule>
  </conditionalFormatting>
  <conditionalFormatting sqref="J97">
    <cfRule type="expression" dxfId="536" priority="448">
      <formula>$AW97</formula>
    </cfRule>
  </conditionalFormatting>
  <conditionalFormatting sqref="J97">
    <cfRule type="expression" dxfId="535" priority="447">
      <formula>$AV97</formula>
    </cfRule>
  </conditionalFormatting>
  <conditionalFormatting sqref="J99">
    <cfRule type="expression" dxfId="534" priority="446">
      <formula>AY99</formula>
    </cfRule>
  </conditionalFormatting>
  <conditionalFormatting sqref="J99">
    <cfRule type="expression" dxfId="533" priority="445">
      <formula>$AW99</formula>
    </cfRule>
  </conditionalFormatting>
  <conditionalFormatting sqref="J99">
    <cfRule type="expression" dxfId="532" priority="444">
      <formula>$AV99</formula>
    </cfRule>
  </conditionalFormatting>
  <conditionalFormatting sqref="AN74:AN75 AN77:AN78 AN80:AN81 AN83:AN84 AN86:AN87 AN89:AN119">
    <cfRule type="expression" dxfId="531" priority="443">
      <formula>$BD74</formula>
    </cfRule>
  </conditionalFormatting>
  <conditionalFormatting sqref="AN73">
    <cfRule type="expression" dxfId="530" priority="442">
      <formula>$AB73</formula>
    </cfRule>
  </conditionalFormatting>
  <conditionalFormatting sqref="AN76">
    <cfRule type="expression" dxfId="529" priority="441">
      <formula>$AB76</formula>
    </cfRule>
  </conditionalFormatting>
  <conditionalFormatting sqref="AN79">
    <cfRule type="expression" dxfId="528" priority="440">
      <formula>$AB79</formula>
    </cfRule>
  </conditionalFormatting>
  <conditionalFormatting sqref="AN82">
    <cfRule type="expression" dxfId="527" priority="439">
      <formula>$AB82</formula>
    </cfRule>
  </conditionalFormatting>
  <conditionalFormatting sqref="AN85">
    <cfRule type="expression" dxfId="526" priority="438">
      <formula>$AB85</formula>
    </cfRule>
  </conditionalFormatting>
  <conditionalFormatting sqref="AN88">
    <cfRule type="expression" dxfId="525" priority="437">
      <formula>$AB88</formula>
    </cfRule>
  </conditionalFormatting>
  <conditionalFormatting sqref="AJ108">
    <cfRule type="expression" dxfId="524" priority="435">
      <formula>$BB108</formula>
    </cfRule>
  </conditionalFormatting>
  <conditionalFormatting sqref="AJ111">
    <cfRule type="expression" dxfId="523" priority="434">
      <formula>$BB111</formula>
    </cfRule>
  </conditionalFormatting>
  <conditionalFormatting sqref="AJ114">
    <cfRule type="expression" dxfId="522" priority="433">
      <formula>$BB114</formula>
    </cfRule>
  </conditionalFormatting>
  <conditionalFormatting sqref="L128:L153 L155:L174">
    <cfRule type="expression" dxfId="521" priority="423">
      <formula>AY128</formula>
    </cfRule>
  </conditionalFormatting>
  <conditionalFormatting sqref="L128:L153 L155:L174">
    <cfRule type="expression" dxfId="520" priority="422">
      <formula>$AZ128</formula>
    </cfRule>
  </conditionalFormatting>
  <conditionalFormatting sqref="H128:H155 H157:H174">
    <cfRule type="expression" dxfId="519" priority="424">
      <formula>AU128</formula>
    </cfRule>
  </conditionalFormatting>
  <conditionalFormatting sqref="J158:J174 H128:H155 H157:H174">
    <cfRule type="expression" dxfId="518" priority="421">
      <formula>$AW128</formula>
    </cfRule>
  </conditionalFormatting>
  <conditionalFormatting sqref="AL128:AL174">
    <cfRule type="expression" dxfId="517" priority="420">
      <formula>$BD128</formula>
    </cfRule>
  </conditionalFormatting>
  <conditionalFormatting sqref="H128:H155 H157:H174">
    <cfRule type="expression" dxfId="516" priority="419">
      <formula>$AV128</formula>
    </cfRule>
  </conditionalFormatting>
  <conditionalFormatting sqref="J131:J156 J158:J174">
    <cfRule type="expression" dxfId="515" priority="415">
      <formula>$AV131</formula>
    </cfRule>
    <cfRule type="expression" dxfId="514" priority="417">
      <formula>$AU$20</formula>
    </cfRule>
  </conditionalFormatting>
  <conditionalFormatting sqref="J154">
    <cfRule type="expression" dxfId="513" priority="393">
      <formula>AY154</formula>
    </cfRule>
  </conditionalFormatting>
  <conditionalFormatting sqref="AN129:AN130 AN132:AN133 AN135:AN136 AN138:AN139 AN141:AN142 AN144:AN174">
    <cfRule type="expression" dxfId="512" priority="390">
      <formula>$BD129</formula>
    </cfRule>
  </conditionalFormatting>
  <conditionalFormatting sqref="AN128">
    <cfRule type="expression" dxfId="511" priority="389">
      <formula>$AB128</formula>
    </cfRule>
  </conditionalFormatting>
  <conditionalFormatting sqref="AN131">
    <cfRule type="expression" dxfId="510" priority="388">
      <formula>$AB131</formula>
    </cfRule>
  </conditionalFormatting>
  <conditionalFormatting sqref="AN134">
    <cfRule type="expression" dxfId="509" priority="387">
      <formula>$AB134</formula>
    </cfRule>
  </conditionalFormatting>
  <conditionalFormatting sqref="AN137">
    <cfRule type="expression" dxfId="508" priority="386">
      <formula>$AB137</formula>
    </cfRule>
  </conditionalFormatting>
  <conditionalFormatting sqref="AN140">
    <cfRule type="expression" dxfId="507" priority="385">
      <formula>$AB140</formula>
    </cfRule>
  </conditionalFormatting>
  <conditionalFormatting sqref="AN143">
    <cfRule type="expression" dxfId="506" priority="384">
      <formula>$AB143</formula>
    </cfRule>
  </conditionalFormatting>
  <conditionalFormatting sqref="AJ143">
    <cfRule type="expression" dxfId="505" priority="375">
      <formula>$BB143</formula>
    </cfRule>
  </conditionalFormatting>
  <conditionalFormatting sqref="AJ146">
    <cfRule type="expression" dxfId="504" priority="374">
      <formula>$BB146</formula>
    </cfRule>
  </conditionalFormatting>
  <conditionalFormatting sqref="AJ149">
    <cfRule type="expression" dxfId="503" priority="373">
      <formula>$BB149</formula>
    </cfRule>
  </conditionalFormatting>
  <conditionalFormatting sqref="AJ542">
    <cfRule type="expression" dxfId="502" priority="1">
      <formula>$BB542</formula>
    </cfRule>
  </conditionalFormatting>
  <conditionalFormatting sqref="L183:L208 L210:L224">
    <cfRule type="expression" dxfId="501" priority="370">
      <formula>AY183</formula>
    </cfRule>
  </conditionalFormatting>
  <conditionalFormatting sqref="L183:L208 L210:L224">
    <cfRule type="expression" dxfId="500" priority="369">
      <formula>$AZ183</formula>
    </cfRule>
  </conditionalFormatting>
  <conditionalFormatting sqref="H183:H210 H212:H224">
    <cfRule type="expression" dxfId="499" priority="371">
      <formula>AU183</formula>
    </cfRule>
  </conditionalFormatting>
  <conditionalFormatting sqref="AL183:AL224">
    <cfRule type="expression" dxfId="498" priority="367">
      <formula>$BD183</formula>
    </cfRule>
  </conditionalFormatting>
  <conditionalFormatting sqref="H183:H210 H212:H224">
    <cfRule type="expression" dxfId="497" priority="366">
      <formula>$AV183</formula>
    </cfRule>
  </conditionalFormatting>
  <conditionalFormatting sqref="J186:J211">
    <cfRule type="expression" dxfId="496" priority="363">
      <formula>$AW186</formula>
    </cfRule>
  </conditionalFormatting>
  <conditionalFormatting sqref="J186:J211 J213:J224">
    <cfRule type="expression" dxfId="495" priority="362">
      <formula>$AV186</formula>
    </cfRule>
    <cfRule type="expression" dxfId="494" priority="364">
      <formula>$AU$20</formula>
    </cfRule>
  </conditionalFormatting>
  <conditionalFormatting sqref="J189">
    <cfRule type="expression" dxfId="493" priority="361">
      <formula>AZ189</formula>
    </cfRule>
  </conditionalFormatting>
  <conditionalFormatting sqref="J189">
    <cfRule type="expression" dxfId="492" priority="360">
      <formula>$AW189</formula>
    </cfRule>
  </conditionalFormatting>
  <conditionalFormatting sqref="J189">
    <cfRule type="expression" dxfId="491" priority="359">
      <formula>$AV189</formula>
    </cfRule>
  </conditionalFormatting>
  <conditionalFormatting sqref="J192">
    <cfRule type="expression" dxfId="490" priority="358">
      <formula>AZ192</formula>
    </cfRule>
  </conditionalFormatting>
  <conditionalFormatting sqref="J192">
    <cfRule type="expression" dxfId="489" priority="357">
      <formula>$AW192</formula>
    </cfRule>
  </conditionalFormatting>
  <conditionalFormatting sqref="J192">
    <cfRule type="expression" dxfId="488" priority="356">
      <formula>$AV192</formula>
    </cfRule>
  </conditionalFormatting>
  <conditionalFormatting sqref="J195">
    <cfRule type="expression" dxfId="487" priority="355">
      <formula>AZ195</formula>
    </cfRule>
  </conditionalFormatting>
  <conditionalFormatting sqref="J195">
    <cfRule type="expression" dxfId="486" priority="354">
      <formula>$AW195</formula>
    </cfRule>
  </conditionalFormatting>
  <conditionalFormatting sqref="J195">
    <cfRule type="expression" dxfId="485" priority="353">
      <formula>$AV195</formula>
    </cfRule>
  </conditionalFormatting>
  <conditionalFormatting sqref="J198">
    <cfRule type="expression" dxfId="484" priority="352">
      <formula>AZ198</formula>
    </cfRule>
  </conditionalFormatting>
  <conditionalFormatting sqref="J198">
    <cfRule type="expression" dxfId="483" priority="351">
      <formula>$AW198</formula>
    </cfRule>
  </conditionalFormatting>
  <conditionalFormatting sqref="J198">
    <cfRule type="expression" dxfId="482" priority="350">
      <formula>$AV198</formula>
    </cfRule>
  </conditionalFormatting>
  <conditionalFormatting sqref="J201">
    <cfRule type="expression" dxfId="481" priority="349">
      <formula>AZ201</formula>
    </cfRule>
  </conditionalFormatting>
  <conditionalFormatting sqref="J201">
    <cfRule type="expression" dxfId="480" priority="348">
      <formula>$AW201</formula>
    </cfRule>
  </conditionalFormatting>
  <conditionalFormatting sqref="J201">
    <cfRule type="expression" dxfId="479" priority="347">
      <formula>$AV201</formula>
    </cfRule>
  </conditionalFormatting>
  <conditionalFormatting sqref="J204">
    <cfRule type="expression" dxfId="478" priority="346">
      <formula>AZ204</formula>
    </cfRule>
  </conditionalFormatting>
  <conditionalFormatting sqref="J204">
    <cfRule type="expression" dxfId="477" priority="345">
      <formula>$AW204</formula>
    </cfRule>
  </conditionalFormatting>
  <conditionalFormatting sqref="J204">
    <cfRule type="expression" dxfId="476" priority="344">
      <formula>$AV204</formula>
    </cfRule>
  </conditionalFormatting>
  <conditionalFormatting sqref="J207">
    <cfRule type="expression" dxfId="475" priority="343">
      <formula>AZ207</formula>
    </cfRule>
  </conditionalFormatting>
  <conditionalFormatting sqref="J207">
    <cfRule type="expression" dxfId="474" priority="342">
      <formula>$AW207</formula>
    </cfRule>
  </conditionalFormatting>
  <conditionalFormatting sqref="J207">
    <cfRule type="expression" dxfId="473" priority="341">
      <formula>$AV207</formula>
    </cfRule>
  </conditionalFormatting>
  <conditionalFormatting sqref="J209">
    <cfRule type="expression" dxfId="472" priority="340">
      <formula>AY209</formula>
    </cfRule>
  </conditionalFormatting>
  <conditionalFormatting sqref="J209">
    <cfRule type="expression" dxfId="471" priority="339">
      <formula>$AW209</formula>
    </cfRule>
  </conditionalFormatting>
  <conditionalFormatting sqref="J209">
    <cfRule type="expression" dxfId="470" priority="338">
      <formula>$AV209</formula>
    </cfRule>
  </conditionalFormatting>
  <conditionalFormatting sqref="AN184:AN185 AN187:AN188 AN190:AN191 AN193:AN194 AN196:AN197 AN199:AN224">
    <cfRule type="expression" dxfId="469" priority="337">
      <formula>$BD184</formula>
    </cfRule>
  </conditionalFormatting>
  <conditionalFormatting sqref="AN183">
    <cfRule type="expression" dxfId="468" priority="336">
      <formula>$AB183</formula>
    </cfRule>
  </conditionalFormatting>
  <conditionalFormatting sqref="AN186">
    <cfRule type="expression" dxfId="467" priority="335">
      <formula>$AB186</formula>
    </cfRule>
  </conditionalFormatting>
  <conditionalFormatting sqref="AN189">
    <cfRule type="expression" dxfId="466" priority="334">
      <formula>$AB189</formula>
    </cfRule>
  </conditionalFormatting>
  <conditionalFormatting sqref="AN192">
    <cfRule type="expression" dxfId="465" priority="333">
      <formula>$AB192</formula>
    </cfRule>
  </conditionalFormatting>
  <conditionalFormatting sqref="AN195">
    <cfRule type="expression" dxfId="464" priority="332">
      <formula>$AB195</formula>
    </cfRule>
  </conditionalFormatting>
  <conditionalFormatting sqref="AN198">
    <cfRule type="expression" dxfId="463" priority="331">
      <formula>$AB198</formula>
    </cfRule>
  </conditionalFormatting>
  <conditionalFormatting sqref="AJ221">
    <cfRule type="expression" dxfId="462" priority="328">
      <formula>$BB221</formula>
    </cfRule>
  </conditionalFormatting>
  <conditionalFormatting sqref="AJ224">
    <cfRule type="expression" dxfId="461" priority="327">
      <formula>$BB224</formula>
    </cfRule>
  </conditionalFormatting>
  <conditionalFormatting sqref="AJ207">
    <cfRule type="expression" dxfId="460" priority="319">
      <formula>$BB207</formula>
    </cfRule>
  </conditionalFormatting>
  <conditionalFormatting sqref="AJ183">
    <cfRule type="expression" dxfId="459" priority="326">
      <formula>$BB183</formula>
    </cfRule>
  </conditionalFormatting>
  <conditionalFormatting sqref="AJ189">
    <cfRule type="expression" dxfId="458" priority="325">
      <formula>$BB189</formula>
    </cfRule>
  </conditionalFormatting>
  <conditionalFormatting sqref="AJ192">
    <cfRule type="expression" dxfId="457" priority="324">
      <formula>$BB192</formula>
    </cfRule>
  </conditionalFormatting>
  <conditionalFormatting sqref="AJ195">
    <cfRule type="expression" dxfId="456" priority="323">
      <formula>$BB195</formula>
    </cfRule>
  </conditionalFormatting>
  <conditionalFormatting sqref="AJ198">
    <cfRule type="expression" dxfId="455" priority="322">
      <formula>$BB198</formula>
    </cfRule>
  </conditionalFormatting>
  <conditionalFormatting sqref="AJ201">
    <cfRule type="expression" dxfId="454" priority="321">
      <formula>$BB201</formula>
    </cfRule>
  </conditionalFormatting>
  <conditionalFormatting sqref="AJ204">
    <cfRule type="expression" dxfId="453" priority="320">
      <formula>$BB204</formula>
    </cfRule>
  </conditionalFormatting>
  <conditionalFormatting sqref="L238:L263 L265:L279">
    <cfRule type="expression" dxfId="452" priority="317">
      <formula>AY238</formula>
    </cfRule>
  </conditionalFormatting>
  <conditionalFormatting sqref="L238:L263 L265:L279">
    <cfRule type="expression" dxfId="451" priority="316">
      <formula>$AZ238</formula>
    </cfRule>
  </conditionalFormatting>
  <conditionalFormatting sqref="H238:H265 H267:H279">
    <cfRule type="expression" dxfId="450" priority="318">
      <formula>AU238</formula>
    </cfRule>
  </conditionalFormatting>
  <conditionalFormatting sqref="J268:J279 H238:H265 H267:H279">
    <cfRule type="expression" dxfId="449" priority="315">
      <formula>$AW238</formula>
    </cfRule>
  </conditionalFormatting>
  <conditionalFormatting sqref="AL238:AL279">
    <cfRule type="expression" dxfId="448" priority="314">
      <formula>$BD238</formula>
    </cfRule>
  </conditionalFormatting>
  <conditionalFormatting sqref="H238:H265 H267:H279">
    <cfRule type="expression" dxfId="447" priority="313">
      <formula>$AV238</formula>
    </cfRule>
  </conditionalFormatting>
  <conditionalFormatting sqref="AJ239:AJ243 AJ271:AJ272 AJ274:AJ275 AJ277:AJ278 AJ245:AJ246 AJ248:AJ249 AJ251:AJ252 AJ254:AJ255 AJ257:AJ258 AJ260:AJ261 AJ263:AJ269">
    <cfRule type="expression" dxfId="446" priority="312">
      <formula>$BB239</formula>
    </cfRule>
  </conditionalFormatting>
  <conditionalFormatting sqref="J241:J266">
    <cfRule type="expression" dxfId="445" priority="310">
      <formula>$AW241</formula>
    </cfRule>
  </conditionalFormatting>
  <conditionalFormatting sqref="J241:J266 J268:J279">
    <cfRule type="expression" dxfId="444" priority="309">
      <formula>$AV241</formula>
    </cfRule>
    <cfRule type="expression" dxfId="443" priority="311">
      <formula>$AU$20</formula>
    </cfRule>
  </conditionalFormatting>
  <conditionalFormatting sqref="J244">
    <cfRule type="expression" dxfId="442" priority="308">
      <formula>AZ244</formula>
    </cfRule>
  </conditionalFormatting>
  <conditionalFormatting sqref="J244">
    <cfRule type="expression" dxfId="441" priority="307">
      <formula>$AW244</formula>
    </cfRule>
  </conditionalFormatting>
  <conditionalFormatting sqref="J244">
    <cfRule type="expression" dxfId="440" priority="306">
      <formula>$AV244</formula>
    </cfRule>
  </conditionalFormatting>
  <conditionalFormatting sqref="J247">
    <cfRule type="expression" dxfId="439" priority="305">
      <formula>AZ247</formula>
    </cfRule>
  </conditionalFormatting>
  <conditionalFormatting sqref="J247">
    <cfRule type="expression" dxfId="438" priority="304">
      <formula>$AW247</formula>
    </cfRule>
  </conditionalFormatting>
  <conditionalFormatting sqref="J247">
    <cfRule type="expression" dxfId="437" priority="303">
      <formula>$AV247</formula>
    </cfRule>
  </conditionalFormatting>
  <conditionalFormatting sqref="J250">
    <cfRule type="expression" dxfId="436" priority="302">
      <formula>AZ250</formula>
    </cfRule>
  </conditionalFormatting>
  <conditionalFormatting sqref="J250">
    <cfRule type="expression" dxfId="435" priority="301">
      <formula>$AW250</formula>
    </cfRule>
  </conditionalFormatting>
  <conditionalFormatting sqref="J250">
    <cfRule type="expression" dxfId="434" priority="300">
      <formula>$AV250</formula>
    </cfRule>
  </conditionalFormatting>
  <conditionalFormatting sqref="J253">
    <cfRule type="expression" dxfId="433" priority="299">
      <formula>AZ253</formula>
    </cfRule>
  </conditionalFormatting>
  <conditionalFormatting sqref="J253">
    <cfRule type="expression" dxfId="432" priority="298">
      <formula>$AW253</formula>
    </cfRule>
  </conditionalFormatting>
  <conditionalFormatting sqref="J253">
    <cfRule type="expression" dxfId="431" priority="297">
      <formula>$AV253</formula>
    </cfRule>
  </conditionalFormatting>
  <conditionalFormatting sqref="J256">
    <cfRule type="expression" dxfId="430" priority="296">
      <formula>AZ256</formula>
    </cfRule>
  </conditionalFormatting>
  <conditionalFormatting sqref="J256">
    <cfRule type="expression" dxfId="429" priority="295">
      <formula>$AW256</formula>
    </cfRule>
  </conditionalFormatting>
  <conditionalFormatting sqref="J256">
    <cfRule type="expression" dxfId="428" priority="294">
      <formula>$AV256</formula>
    </cfRule>
  </conditionalFormatting>
  <conditionalFormatting sqref="J259">
    <cfRule type="expression" dxfId="427" priority="293">
      <formula>AZ259</formula>
    </cfRule>
  </conditionalFormatting>
  <conditionalFormatting sqref="J259">
    <cfRule type="expression" dxfId="426" priority="292">
      <formula>$AW259</formula>
    </cfRule>
  </conditionalFormatting>
  <conditionalFormatting sqref="J259">
    <cfRule type="expression" dxfId="425" priority="291">
      <formula>$AV259</formula>
    </cfRule>
  </conditionalFormatting>
  <conditionalFormatting sqref="J262">
    <cfRule type="expression" dxfId="424" priority="290">
      <formula>AZ262</formula>
    </cfRule>
  </conditionalFormatting>
  <conditionalFormatting sqref="J262">
    <cfRule type="expression" dxfId="423" priority="289">
      <formula>$AW262</formula>
    </cfRule>
  </conditionalFormatting>
  <conditionalFormatting sqref="J262">
    <cfRule type="expression" dxfId="422" priority="288">
      <formula>$AV262</formula>
    </cfRule>
  </conditionalFormatting>
  <conditionalFormatting sqref="J264">
    <cfRule type="expression" dxfId="421" priority="287">
      <formula>AY264</formula>
    </cfRule>
  </conditionalFormatting>
  <conditionalFormatting sqref="J264">
    <cfRule type="expression" dxfId="420" priority="286">
      <formula>$AW264</formula>
    </cfRule>
  </conditionalFormatting>
  <conditionalFormatting sqref="J264">
    <cfRule type="expression" dxfId="419" priority="285">
      <formula>$AV264</formula>
    </cfRule>
  </conditionalFormatting>
  <conditionalFormatting sqref="AN239:AN240 AN242:AN243 AN245:AN246 AN248:AN249 AN251:AN252 AN254:AN279">
    <cfRule type="expression" dxfId="418" priority="284">
      <formula>$BD239</formula>
    </cfRule>
  </conditionalFormatting>
  <conditionalFormatting sqref="AN238">
    <cfRule type="expression" dxfId="417" priority="283">
      <formula>$AB238</formula>
    </cfRule>
  </conditionalFormatting>
  <conditionalFormatting sqref="AN241">
    <cfRule type="expression" dxfId="416" priority="282">
      <formula>$AB241</formula>
    </cfRule>
  </conditionalFormatting>
  <conditionalFormatting sqref="AN244">
    <cfRule type="expression" dxfId="415" priority="281">
      <formula>$AB244</formula>
    </cfRule>
  </conditionalFormatting>
  <conditionalFormatting sqref="AN247">
    <cfRule type="expression" dxfId="414" priority="280">
      <formula>$AB247</formula>
    </cfRule>
  </conditionalFormatting>
  <conditionalFormatting sqref="AN250">
    <cfRule type="expression" dxfId="413" priority="279">
      <formula>$AB250</formula>
    </cfRule>
  </conditionalFormatting>
  <conditionalFormatting sqref="AN253">
    <cfRule type="expression" dxfId="412" priority="278">
      <formula>$AB253</formula>
    </cfRule>
  </conditionalFormatting>
  <conditionalFormatting sqref="AJ270">
    <cfRule type="expression" dxfId="411" priority="277">
      <formula>$BB270</formula>
    </cfRule>
  </conditionalFormatting>
  <conditionalFormatting sqref="AJ273">
    <cfRule type="expression" dxfId="410" priority="276">
      <formula>$BB273</formula>
    </cfRule>
  </conditionalFormatting>
  <conditionalFormatting sqref="AJ276">
    <cfRule type="expression" dxfId="409" priority="275">
      <formula>$BB276</formula>
    </cfRule>
  </conditionalFormatting>
  <conditionalFormatting sqref="AJ279">
    <cfRule type="expression" dxfId="408" priority="274">
      <formula>$BB279</formula>
    </cfRule>
  </conditionalFormatting>
  <conditionalFormatting sqref="AJ262">
    <cfRule type="expression" dxfId="407" priority="266">
      <formula>$BB262</formula>
    </cfRule>
  </conditionalFormatting>
  <conditionalFormatting sqref="AJ238">
    <cfRule type="expression" dxfId="406" priority="273">
      <formula>$BB238</formula>
    </cfRule>
  </conditionalFormatting>
  <conditionalFormatting sqref="AJ244">
    <cfRule type="expression" dxfId="405" priority="272">
      <formula>$BB244</formula>
    </cfRule>
  </conditionalFormatting>
  <conditionalFormatting sqref="AJ247">
    <cfRule type="expression" dxfId="404" priority="271">
      <formula>$BB247</formula>
    </cfRule>
  </conditionalFormatting>
  <conditionalFormatting sqref="AJ250">
    <cfRule type="expression" dxfId="403" priority="270">
      <formula>$BB250</formula>
    </cfRule>
  </conditionalFormatting>
  <conditionalFormatting sqref="AJ253">
    <cfRule type="expression" dxfId="402" priority="269">
      <formula>$BB253</formula>
    </cfRule>
  </conditionalFormatting>
  <conditionalFormatting sqref="AJ256">
    <cfRule type="expression" dxfId="401" priority="268">
      <formula>$BB256</formula>
    </cfRule>
  </conditionalFormatting>
  <conditionalFormatting sqref="AJ259">
    <cfRule type="expression" dxfId="400" priority="267">
      <formula>$BB259</formula>
    </cfRule>
  </conditionalFormatting>
  <conditionalFormatting sqref="L294:L319 L321:L335">
    <cfRule type="expression" dxfId="399" priority="264">
      <formula>AY294</formula>
    </cfRule>
  </conditionalFormatting>
  <conditionalFormatting sqref="L294:L319 L321:L335">
    <cfRule type="expression" dxfId="398" priority="263">
      <formula>$AZ294</formula>
    </cfRule>
  </conditionalFormatting>
  <conditionalFormatting sqref="H294:H321 H323:H335">
    <cfRule type="expression" dxfId="397" priority="265">
      <formula>AU294</formula>
    </cfRule>
  </conditionalFormatting>
  <conditionalFormatting sqref="J324:J335 H294:H321 H323:H335">
    <cfRule type="expression" dxfId="396" priority="262">
      <formula>$AW294</formula>
    </cfRule>
  </conditionalFormatting>
  <conditionalFormatting sqref="AL294:AL335">
    <cfRule type="expression" dxfId="395" priority="261">
      <formula>$BD294</formula>
    </cfRule>
  </conditionalFormatting>
  <conditionalFormatting sqref="H294:H321 H323:H335">
    <cfRule type="expression" dxfId="394" priority="260">
      <formula>$AV294</formula>
    </cfRule>
  </conditionalFormatting>
  <conditionalFormatting sqref="AJ295:AJ299 AJ327:AJ328 AJ330:AJ331 AJ333:AJ334 AJ301:AJ302 AJ304:AJ305 AJ307:AJ308 AJ310:AJ311 AJ313:AJ314 AJ316:AJ317 AJ319:AJ325">
    <cfRule type="expression" dxfId="393" priority="259">
      <formula>$BB295</formula>
    </cfRule>
  </conditionalFormatting>
  <conditionalFormatting sqref="J297:J322">
    <cfRule type="expression" dxfId="392" priority="257">
      <formula>$AW297</formula>
    </cfRule>
  </conditionalFormatting>
  <conditionalFormatting sqref="J297:J322 J324:J335">
    <cfRule type="expression" dxfId="391" priority="256">
      <formula>$AV297</formula>
    </cfRule>
    <cfRule type="expression" dxfId="390" priority="258">
      <formula>$AU$20</formula>
    </cfRule>
  </conditionalFormatting>
  <conditionalFormatting sqref="J300">
    <cfRule type="expression" dxfId="389" priority="255">
      <formula>AZ300</formula>
    </cfRule>
  </conditionalFormatting>
  <conditionalFormatting sqref="J300">
    <cfRule type="expression" dxfId="388" priority="254">
      <formula>$AW300</formula>
    </cfRule>
  </conditionalFormatting>
  <conditionalFormatting sqref="J300">
    <cfRule type="expression" dxfId="387" priority="253">
      <formula>$AV300</formula>
    </cfRule>
  </conditionalFormatting>
  <conditionalFormatting sqref="J303">
    <cfRule type="expression" dxfId="386" priority="252">
      <formula>AZ303</formula>
    </cfRule>
  </conditionalFormatting>
  <conditionalFormatting sqref="J303">
    <cfRule type="expression" dxfId="385" priority="251">
      <formula>$AW303</formula>
    </cfRule>
  </conditionalFormatting>
  <conditionalFormatting sqref="J303">
    <cfRule type="expression" dxfId="384" priority="250">
      <formula>$AV303</formula>
    </cfRule>
  </conditionalFormatting>
  <conditionalFormatting sqref="J306">
    <cfRule type="expression" dxfId="383" priority="249">
      <formula>AZ306</formula>
    </cfRule>
  </conditionalFormatting>
  <conditionalFormatting sqref="J306">
    <cfRule type="expression" dxfId="382" priority="248">
      <formula>$AW306</formula>
    </cfRule>
  </conditionalFormatting>
  <conditionalFormatting sqref="J306">
    <cfRule type="expression" dxfId="381" priority="247">
      <formula>$AV306</formula>
    </cfRule>
  </conditionalFormatting>
  <conditionalFormatting sqref="J309">
    <cfRule type="expression" dxfId="380" priority="246">
      <formula>AZ309</formula>
    </cfRule>
  </conditionalFormatting>
  <conditionalFormatting sqref="J309">
    <cfRule type="expression" dxfId="379" priority="245">
      <formula>$AW309</formula>
    </cfRule>
  </conditionalFormatting>
  <conditionalFormatting sqref="J309">
    <cfRule type="expression" dxfId="378" priority="244">
      <formula>$AV309</formula>
    </cfRule>
  </conditionalFormatting>
  <conditionalFormatting sqref="J312">
    <cfRule type="expression" dxfId="377" priority="243">
      <formula>AZ312</formula>
    </cfRule>
  </conditionalFormatting>
  <conditionalFormatting sqref="J312">
    <cfRule type="expression" dxfId="376" priority="242">
      <formula>$AW312</formula>
    </cfRule>
  </conditionalFormatting>
  <conditionalFormatting sqref="J312">
    <cfRule type="expression" dxfId="375" priority="241">
      <formula>$AV312</formula>
    </cfRule>
  </conditionalFormatting>
  <conditionalFormatting sqref="J315">
    <cfRule type="expression" dxfId="374" priority="240">
      <formula>AZ315</formula>
    </cfRule>
  </conditionalFormatting>
  <conditionalFormatting sqref="J315">
    <cfRule type="expression" dxfId="373" priority="239">
      <formula>$AW315</formula>
    </cfRule>
  </conditionalFormatting>
  <conditionalFormatting sqref="J315">
    <cfRule type="expression" dxfId="372" priority="238">
      <formula>$AV315</formula>
    </cfRule>
  </conditionalFormatting>
  <conditionalFormatting sqref="J318">
    <cfRule type="expression" dxfId="371" priority="237">
      <formula>AZ318</formula>
    </cfRule>
  </conditionalFormatting>
  <conditionalFormatting sqref="J318">
    <cfRule type="expression" dxfId="370" priority="236">
      <formula>$AW318</formula>
    </cfRule>
  </conditionalFormatting>
  <conditionalFormatting sqref="J318">
    <cfRule type="expression" dxfId="369" priority="235">
      <formula>$AV318</formula>
    </cfRule>
  </conditionalFormatting>
  <conditionalFormatting sqref="J320">
    <cfRule type="expression" dxfId="368" priority="234">
      <formula>AY320</formula>
    </cfRule>
  </conditionalFormatting>
  <conditionalFormatting sqref="J320">
    <cfRule type="expression" dxfId="367" priority="233">
      <formula>$AW320</formula>
    </cfRule>
  </conditionalFormatting>
  <conditionalFormatting sqref="J320">
    <cfRule type="expression" dxfId="366" priority="232">
      <formula>$AV320</formula>
    </cfRule>
  </conditionalFormatting>
  <conditionalFormatting sqref="AN295:AN296 AN298:AN299 AN301:AN302 AN304:AN305 AN307:AN308 AN310:AN335">
    <cfRule type="expression" dxfId="365" priority="231">
      <formula>$BD295</formula>
    </cfRule>
  </conditionalFormatting>
  <conditionalFormatting sqref="AN294">
    <cfRule type="expression" dxfId="364" priority="230">
      <formula>$AB294</formula>
    </cfRule>
  </conditionalFormatting>
  <conditionalFormatting sqref="AN297">
    <cfRule type="expression" dxfId="363" priority="229">
      <formula>$AB297</formula>
    </cfRule>
  </conditionalFormatting>
  <conditionalFormatting sqref="AN300">
    <cfRule type="expression" dxfId="362" priority="228">
      <formula>$AB300</formula>
    </cfRule>
  </conditionalFormatting>
  <conditionalFormatting sqref="AN303">
    <cfRule type="expression" dxfId="361" priority="227">
      <formula>$AB303</formula>
    </cfRule>
  </conditionalFormatting>
  <conditionalFormatting sqref="AN306">
    <cfRule type="expression" dxfId="360" priority="226">
      <formula>$AB306</formula>
    </cfRule>
  </conditionalFormatting>
  <conditionalFormatting sqref="AN309">
    <cfRule type="expression" dxfId="359" priority="225">
      <formula>$AB309</formula>
    </cfRule>
  </conditionalFormatting>
  <conditionalFormatting sqref="AJ326">
    <cfRule type="expression" dxfId="358" priority="224">
      <formula>$BB326</formula>
    </cfRule>
  </conditionalFormatting>
  <conditionalFormatting sqref="AJ329">
    <cfRule type="expression" dxfId="357" priority="223">
      <formula>$BB329</formula>
    </cfRule>
  </conditionalFormatting>
  <conditionalFormatting sqref="AJ332">
    <cfRule type="expression" dxfId="356" priority="222">
      <formula>$BB332</formula>
    </cfRule>
  </conditionalFormatting>
  <conditionalFormatting sqref="AJ335">
    <cfRule type="expression" dxfId="355" priority="221">
      <formula>$BB335</formula>
    </cfRule>
  </conditionalFormatting>
  <conditionalFormatting sqref="AJ318">
    <cfRule type="expression" dxfId="354" priority="213">
      <formula>$BB318</formula>
    </cfRule>
  </conditionalFormatting>
  <conditionalFormatting sqref="AJ294">
    <cfRule type="expression" dxfId="353" priority="220">
      <formula>$BB294</formula>
    </cfRule>
  </conditionalFormatting>
  <conditionalFormatting sqref="AJ300">
    <cfRule type="expression" dxfId="352" priority="219">
      <formula>$BB300</formula>
    </cfRule>
  </conditionalFormatting>
  <conditionalFormatting sqref="AJ303">
    <cfRule type="expression" dxfId="351" priority="218">
      <formula>$BB303</formula>
    </cfRule>
  </conditionalFormatting>
  <conditionalFormatting sqref="AJ306">
    <cfRule type="expression" dxfId="350" priority="217">
      <formula>$BB306</formula>
    </cfRule>
  </conditionalFormatting>
  <conditionalFormatting sqref="AJ309">
    <cfRule type="expression" dxfId="349" priority="216">
      <formula>$BB309</formula>
    </cfRule>
  </conditionalFormatting>
  <conditionalFormatting sqref="AJ312">
    <cfRule type="expression" dxfId="348" priority="215">
      <formula>$BB312</formula>
    </cfRule>
  </conditionalFormatting>
  <conditionalFormatting sqref="AJ315">
    <cfRule type="expression" dxfId="347" priority="214">
      <formula>$BB315</formula>
    </cfRule>
  </conditionalFormatting>
  <conditionalFormatting sqref="L350:L375 L377:L391">
    <cfRule type="expression" dxfId="346" priority="211">
      <formula>AY350</formula>
    </cfRule>
  </conditionalFormatting>
  <conditionalFormatting sqref="L350:L375 L377:L391">
    <cfRule type="expression" dxfId="345" priority="210">
      <formula>$AZ350</formula>
    </cfRule>
  </conditionalFormatting>
  <conditionalFormatting sqref="H350:H377 H379:H391">
    <cfRule type="expression" dxfId="344" priority="212">
      <formula>AU350</formula>
    </cfRule>
  </conditionalFormatting>
  <conditionalFormatting sqref="J380:J391 H350:H377 H379:H391">
    <cfRule type="expression" dxfId="343" priority="209">
      <formula>$AW350</formula>
    </cfRule>
  </conditionalFormatting>
  <conditionalFormatting sqref="AL350:AL391">
    <cfRule type="expression" dxfId="342" priority="208">
      <formula>$BD350</formula>
    </cfRule>
  </conditionalFormatting>
  <conditionalFormatting sqref="H350:H377 H379:H391">
    <cfRule type="expression" dxfId="341" priority="207">
      <formula>$AV350</formula>
    </cfRule>
  </conditionalFormatting>
  <conditionalFormatting sqref="AJ351:AJ355 AJ383:AJ384 AJ386:AJ387 AJ389:AJ390 AJ357:AJ358 AJ360:AJ361 AJ363:AJ364 AJ366:AJ367 AJ369:AJ370 AJ372:AJ373 AJ375:AJ381">
    <cfRule type="expression" dxfId="340" priority="206">
      <formula>$BB351</formula>
    </cfRule>
  </conditionalFormatting>
  <conditionalFormatting sqref="J353:J378">
    <cfRule type="expression" dxfId="339" priority="204">
      <formula>$AW353</formula>
    </cfRule>
  </conditionalFormatting>
  <conditionalFormatting sqref="J353:J378 J380:J391">
    <cfRule type="expression" dxfId="338" priority="203">
      <formula>$AV353</formula>
    </cfRule>
    <cfRule type="expression" dxfId="337" priority="205">
      <formula>$AU$20</formula>
    </cfRule>
  </conditionalFormatting>
  <conditionalFormatting sqref="J356">
    <cfRule type="expression" dxfId="336" priority="202">
      <formula>AZ356</formula>
    </cfRule>
  </conditionalFormatting>
  <conditionalFormatting sqref="J356">
    <cfRule type="expression" dxfId="335" priority="201">
      <formula>$AW356</formula>
    </cfRule>
  </conditionalFormatting>
  <conditionalFormatting sqref="J356">
    <cfRule type="expression" dxfId="334" priority="200">
      <formula>$AV356</formula>
    </cfRule>
  </conditionalFormatting>
  <conditionalFormatting sqref="J359">
    <cfRule type="expression" dxfId="333" priority="199">
      <formula>AZ359</formula>
    </cfRule>
  </conditionalFormatting>
  <conditionalFormatting sqref="J359">
    <cfRule type="expression" dxfId="332" priority="198">
      <formula>$AW359</formula>
    </cfRule>
  </conditionalFormatting>
  <conditionalFormatting sqref="J359">
    <cfRule type="expression" dxfId="331" priority="197">
      <formula>$AV359</formula>
    </cfRule>
  </conditionalFormatting>
  <conditionalFormatting sqref="J362">
    <cfRule type="expression" dxfId="330" priority="196">
      <formula>AZ362</formula>
    </cfRule>
  </conditionalFormatting>
  <conditionalFormatting sqref="J362">
    <cfRule type="expression" dxfId="329" priority="195">
      <formula>$AW362</formula>
    </cfRule>
  </conditionalFormatting>
  <conditionalFormatting sqref="J362">
    <cfRule type="expression" dxfId="328" priority="194">
      <formula>$AV362</formula>
    </cfRule>
  </conditionalFormatting>
  <conditionalFormatting sqref="J365">
    <cfRule type="expression" dxfId="327" priority="193">
      <formula>AZ365</formula>
    </cfRule>
  </conditionalFormatting>
  <conditionalFormatting sqref="J365">
    <cfRule type="expression" dxfId="326" priority="192">
      <formula>$AW365</formula>
    </cfRule>
  </conditionalFormatting>
  <conditionalFormatting sqref="J365">
    <cfRule type="expression" dxfId="325" priority="191">
      <formula>$AV365</formula>
    </cfRule>
  </conditionalFormatting>
  <conditionalFormatting sqref="J368">
    <cfRule type="expression" dxfId="324" priority="190">
      <formula>AZ368</formula>
    </cfRule>
  </conditionalFormatting>
  <conditionalFormatting sqref="J368">
    <cfRule type="expression" dxfId="323" priority="189">
      <formula>$AW368</formula>
    </cfRule>
  </conditionalFormatting>
  <conditionalFormatting sqref="J368">
    <cfRule type="expression" dxfId="322" priority="188">
      <formula>$AV368</formula>
    </cfRule>
  </conditionalFormatting>
  <conditionalFormatting sqref="J371">
    <cfRule type="expression" dxfId="321" priority="187">
      <formula>AZ371</formula>
    </cfRule>
  </conditionalFormatting>
  <conditionalFormatting sqref="J371">
    <cfRule type="expression" dxfId="320" priority="186">
      <formula>$AW371</formula>
    </cfRule>
  </conditionalFormatting>
  <conditionalFormatting sqref="J371">
    <cfRule type="expression" dxfId="319" priority="185">
      <formula>$AV371</formula>
    </cfRule>
  </conditionalFormatting>
  <conditionalFormatting sqref="J374">
    <cfRule type="expression" dxfId="318" priority="184">
      <formula>AZ374</formula>
    </cfRule>
  </conditionalFormatting>
  <conditionalFormatting sqref="J374">
    <cfRule type="expression" dxfId="317" priority="183">
      <formula>$AW374</formula>
    </cfRule>
  </conditionalFormatting>
  <conditionalFormatting sqref="J374">
    <cfRule type="expression" dxfId="316" priority="182">
      <formula>$AV374</formula>
    </cfRule>
  </conditionalFormatting>
  <conditionalFormatting sqref="J376">
    <cfRule type="expression" dxfId="315" priority="181">
      <formula>AY376</formula>
    </cfRule>
  </conditionalFormatting>
  <conditionalFormatting sqref="J376">
    <cfRule type="expression" dxfId="314" priority="180">
      <formula>$AW376</formula>
    </cfRule>
  </conditionalFormatting>
  <conditionalFormatting sqref="J376">
    <cfRule type="expression" dxfId="313" priority="179">
      <formula>$AV376</formula>
    </cfRule>
  </conditionalFormatting>
  <conditionalFormatting sqref="AN351:AN352 AN354:AN355 AN357:AN358 AN360:AN361 AN363:AN364 AN366:AN391">
    <cfRule type="expression" dxfId="312" priority="178">
      <formula>$BD351</formula>
    </cfRule>
  </conditionalFormatting>
  <conditionalFormatting sqref="AN350">
    <cfRule type="expression" dxfId="311" priority="177">
      <formula>$AB350</formula>
    </cfRule>
  </conditionalFormatting>
  <conditionalFormatting sqref="AN353">
    <cfRule type="expression" dxfId="310" priority="176">
      <formula>$AB353</formula>
    </cfRule>
  </conditionalFormatting>
  <conditionalFormatting sqref="AN356">
    <cfRule type="expression" dxfId="309" priority="175">
      <formula>$AB356</formula>
    </cfRule>
  </conditionalFormatting>
  <conditionalFormatting sqref="AN359">
    <cfRule type="expression" dxfId="308" priority="174">
      <formula>$AB359</formula>
    </cfRule>
  </conditionalFormatting>
  <conditionalFormatting sqref="AN362">
    <cfRule type="expression" dxfId="307" priority="173">
      <formula>$AB362</formula>
    </cfRule>
  </conditionalFormatting>
  <conditionalFormatting sqref="AN365">
    <cfRule type="expression" dxfId="306" priority="172">
      <formula>$AB365</formula>
    </cfRule>
  </conditionalFormatting>
  <conditionalFormatting sqref="AJ382">
    <cfRule type="expression" dxfId="305" priority="171">
      <formula>$BB382</formula>
    </cfRule>
  </conditionalFormatting>
  <conditionalFormatting sqref="AJ385">
    <cfRule type="expression" dxfId="304" priority="170">
      <formula>$BB385</formula>
    </cfRule>
  </conditionalFormatting>
  <conditionalFormatting sqref="AJ388">
    <cfRule type="expression" dxfId="303" priority="169">
      <formula>$BB388</formula>
    </cfRule>
  </conditionalFormatting>
  <conditionalFormatting sqref="AJ391">
    <cfRule type="expression" dxfId="302" priority="168">
      <formula>$BB391</formula>
    </cfRule>
  </conditionalFormatting>
  <conditionalFormatting sqref="AJ374">
    <cfRule type="expression" dxfId="301" priority="160">
      <formula>$BB374</formula>
    </cfRule>
  </conditionalFormatting>
  <conditionalFormatting sqref="AJ350">
    <cfRule type="expression" dxfId="300" priority="167">
      <formula>$BB350</formula>
    </cfRule>
  </conditionalFormatting>
  <conditionalFormatting sqref="AJ356">
    <cfRule type="expression" dxfId="299" priority="166">
      <formula>$BB356</formula>
    </cfRule>
  </conditionalFormatting>
  <conditionalFormatting sqref="AJ359">
    <cfRule type="expression" dxfId="298" priority="165">
      <formula>$BB359</formula>
    </cfRule>
  </conditionalFormatting>
  <conditionalFormatting sqref="AJ362">
    <cfRule type="expression" dxfId="297" priority="164">
      <formula>$BB362</formula>
    </cfRule>
  </conditionalFormatting>
  <conditionalFormatting sqref="AJ365">
    <cfRule type="expression" dxfId="296" priority="163">
      <formula>$BB365</formula>
    </cfRule>
  </conditionalFormatting>
  <conditionalFormatting sqref="AJ368">
    <cfRule type="expression" dxfId="295" priority="162">
      <formula>$BB368</formula>
    </cfRule>
  </conditionalFormatting>
  <conditionalFormatting sqref="AJ371">
    <cfRule type="expression" dxfId="294" priority="161">
      <formula>$BB371</formula>
    </cfRule>
  </conditionalFormatting>
  <conditionalFormatting sqref="L406:L431 L433:L447">
    <cfRule type="expression" dxfId="293" priority="158">
      <formula>AY406</formula>
    </cfRule>
  </conditionalFormatting>
  <conditionalFormatting sqref="L406:L431 L433:L447">
    <cfRule type="expression" dxfId="292" priority="157">
      <formula>$AZ406</formula>
    </cfRule>
  </conditionalFormatting>
  <conditionalFormatting sqref="H406:H433 H435:H447">
    <cfRule type="expression" dxfId="291" priority="159">
      <formula>AU406</formula>
    </cfRule>
  </conditionalFormatting>
  <conditionalFormatting sqref="J436:J447 H406:H433 H435:H447">
    <cfRule type="expression" dxfId="290" priority="156">
      <formula>$AW406</formula>
    </cfRule>
  </conditionalFormatting>
  <conditionalFormatting sqref="AL406:AL447">
    <cfRule type="expression" dxfId="289" priority="155">
      <formula>$BD406</formula>
    </cfRule>
  </conditionalFormatting>
  <conditionalFormatting sqref="H406:H433 H435:H447">
    <cfRule type="expression" dxfId="288" priority="154">
      <formula>$AV406</formula>
    </cfRule>
  </conditionalFormatting>
  <conditionalFormatting sqref="AJ407:AJ411 AJ439:AJ440 AJ442:AJ443 AJ445:AJ446 AJ413:AJ414 AJ416:AJ417 AJ419:AJ420 AJ422:AJ423 AJ425:AJ426 AJ428:AJ429 AJ431:AJ437">
    <cfRule type="expression" dxfId="287" priority="153">
      <formula>$BB407</formula>
    </cfRule>
  </conditionalFormatting>
  <conditionalFormatting sqref="J409:J434">
    <cfRule type="expression" dxfId="286" priority="151">
      <formula>$AW409</formula>
    </cfRule>
  </conditionalFormatting>
  <conditionalFormatting sqref="J409:J434 J436:J447">
    <cfRule type="expression" dxfId="285" priority="150">
      <formula>$AV409</formula>
    </cfRule>
    <cfRule type="expression" dxfId="284" priority="152">
      <formula>$AU$20</formula>
    </cfRule>
  </conditionalFormatting>
  <conditionalFormatting sqref="J412">
    <cfRule type="expression" dxfId="283" priority="149">
      <formula>AZ412</formula>
    </cfRule>
  </conditionalFormatting>
  <conditionalFormatting sqref="J412">
    <cfRule type="expression" dxfId="282" priority="148">
      <formula>$AW412</formula>
    </cfRule>
  </conditionalFormatting>
  <conditionalFormatting sqref="J412">
    <cfRule type="expression" dxfId="281" priority="147">
      <formula>$AV412</formula>
    </cfRule>
  </conditionalFormatting>
  <conditionalFormatting sqref="J415">
    <cfRule type="expression" dxfId="280" priority="146">
      <formula>AZ415</formula>
    </cfRule>
  </conditionalFormatting>
  <conditionalFormatting sqref="J415">
    <cfRule type="expression" dxfId="279" priority="145">
      <formula>$AW415</formula>
    </cfRule>
  </conditionalFormatting>
  <conditionalFormatting sqref="J415">
    <cfRule type="expression" dxfId="278" priority="144">
      <formula>$AV415</formula>
    </cfRule>
  </conditionalFormatting>
  <conditionalFormatting sqref="J418">
    <cfRule type="expression" dxfId="277" priority="143">
      <formula>AZ418</formula>
    </cfRule>
  </conditionalFormatting>
  <conditionalFormatting sqref="J418">
    <cfRule type="expression" dxfId="276" priority="142">
      <formula>$AW418</formula>
    </cfRule>
  </conditionalFormatting>
  <conditionalFormatting sqref="J418">
    <cfRule type="expression" dxfId="275" priority="141">
      <formula>$AV418</formula>
    </cfRule>
  </conditionalFormatting>
  <conditionalFormatting sqref="J421">
    <cfRule type="expression" dxfId="274" priority="140">
      <formula>AZ421</formula>
    </cfRule>
  </conditionalFormatting>
  <conditionalFormatting sqref="J421">
    <cfRule type="expression" dxfId="273" priority="139">
      <formula>$AW421</formula>
    </cfRule>
  </conditionalFormatting>
  <conditionalFormatting sqref="J421">
    <cfRule type="expression" dxfId="272" priority="138">
      <formula>$AV421</formula>
    </cfRule>
  </conditionalFormatting>
  <conditionalFormatting sqref="J424">
    <cfRule type="expression" dxfId="271" priority="137">
      <formula>AZ424</formula>
    </cfRule>
  </conditionalFormatting>
  <conditionalFormatting sqref="J424">
    <cfRule type="expression" dxfId="270" priority="136">
      <formula>$AW424</formula>
    </cfRule>
  </conditionalFormatting>
  <conditionalFormatting sqref="J424">
    <cfRule type="expression" dxfId="269" priority="135">
      <formula>$AV424</formula>
    </cfRule>
  </conditionalFormatting>
  <conditionalFormatting sqref="J427">
    <cfRule type="expression" dxfId="268" priority="134">
      <formula>AZ427</formula>
    </cfRule>
  </conditionalFormatting>
  <conditionalFormatting sqref="J427">
    <cfRule type="expression" dxfId="267" priority="133">
      <formula>$AW427</formula>
    </cfRule>
  </conditionalFormatting>
  <conditionalFormatting sqref="J427">
    <cfRule type="expression" dxfId="266" priority="132">
      <formula>$AV427</formula>
    </cfRule>
  </conditionalFormatting>
  <conditionalFormatting sqref="J430">
    <cfRule type="expression" dxfId="265" priority="131">
      <formula>AZ430</formula>
    </cfRule>
  </conditionalFormatting>
  <conditionalFormatting sqref="J430">
    <cfRule type="expression" dxfId="264" priority="130">
      <formula>$AW430</formula>
    </cfRule>
  </conditionalFormatting>
  <conditionalFormatting sqref="J430">
    <cfRule type="expression" dxfId="263" priority="129">
      <formula>$AV430</formula>
    </cfRule>
  </conditionalFormatting>
  <conditionalFormatting sqref="J432">
    <cfRule type="expression" dxfId="262" priority="128">
      <formula>AY432</formula>
    </cfRule>
  </conditionalFormatting>
  <conditionalFormatting sqref="J432">
    <cfRule type="expression" dxfId="261" priority="127">
      <formula>$AW432</formula>
    </cfRule>
  </conditionalFormatting>
  <conditionalFormatting sqref="J432">
    <cfRule type="expression" dxfId="260" priority="126">
      <formula>$AV432</formula>
    </cfRule>
  </conditionalFormatting>
  <conditionalFormatting sqref="AN407:AN408 AN410:AN411 AN413:AN414 AN416:AN417 AN419:AN420 AN422:AN447">
    <cfRule type="expression" dxfId="259" priority="125">
      <formula>$BD407</formula>
    </cfRule>
  </conditionalFormatting>
  <conditionalFormatting sqref="AN406">
    <cfRule type="expression" dxfId="258" priority="124">
      <formula>$AB406</formula>
    </cfRule>
  </conditionalFormatting>
  <conditionalFormatting sqref="AN409">
    <cfRule type="expression" dxfId="257" priority="123">
      <formula>$AB409</formula>
    </cfRule>
  </conditionalFormatting>
  <conditionalFormatting sqref="AN412">
    <cfRule type="expression" dxfId="256" priority="122">
      <formula>$AB412</formula>
    </cfRule>
  </conditionalFormatting>
  <conditionalFormatting sqref="AN415">
    <cfRule type="expression" dxfId="255" priority="121">
      <formula>$AB415</formula>
    </cfRule>
  </conditionalFormatting>
  <conditionalFormatting sqref="AN418">
    <cfRule type="expression" dxfId="254" priority="120">
      <formula>$AB418</formula>
    </cfRule>
  </conditionalFormatting>
  <conditionalFormatting sqref="AN421">
    <cfRule type="expression" dxfId="253" priority="119">
      <formula>$AB421</formula>
    </cfRule>
  </conditionalFormatting>
  <conditionalFormatting sqref="AJ438">
    <cfRule type="expression" dxfId="252" priority="118">
      <formula>$BB438</formula>
    </cfRule>
  </conditionalFormatting>
  <conditionalFormatting sqref="AJ441">
    <cfRule type="expression" dxfId="251" priority="117">
      <formula>$BB441</formula>
    </cfRule>
  </conditionalFormatting>
  <conditionalFormatting sqref="AJ444">
    <cfRule type="expression" dxfId="250" priority="116">
      <formula>$BB444</formula>
    </cfRule>
  </conditionalFormatting>
  <conditionalFormatting sqref="AJ447">
    <cfRule type="expression" dxfId="249" priority="115">
      <formula>$BB447</formula>
    </cfRule>
  </conditionalFormatting>
  <conditionalFormatting sqref="AJ430">
    <cfRule type="expression" dxfId="248" priority="107">
      <formula>$BB430</formula>
    </cfRule>
  </conditionalFormatting>
  <conditionalFormatting sqref="AJ406">
    <cfRule type="expression" dxfId="247" priority="114">
      <formula>$BB406</formula>
    </cfRule>
  </conditionalFormatting>
  <conditionalFormatting sqref="AJ412">
    <cfRule type="expression" dxfId="246" priority="113">
      <formula>$BB412</formula>
    </cfRule>
  </conditionalFormatting>
  <conditionalFormatting sqref="AJ415">
    <cfRule type="expression" dxfId="245" priority="112">
      <formula>$BB415</formula>
    </cfRule>
  </conditionalFormatting>
  <conditionalFormatting sqref="AJ418">
    <cfRule type="expression" dxfId="244" priority="111">
      <formula>$BB418</formula>
    </cfRule>
  </conditionalFormatting>
  <conditionalFormatting sqref="AJ421">
    <cfRule type="expression" dxfId="243" priority="110">
      <formula>$BB421</formula>
    </cfRule>
  </conditionalFormatting>
  <conditionalFormatting sqref="AJ424">
    <cfRule type="expression" dxfId="242" priority="109">
      <formula>$BB424</formula>
    </cfRule>
  </conditionalFormatting>
  <conditionalFormatting sqref="AJ427">
    <cfRule type="expression" dxfId="241" priority="108">
      <formula>$BB427</formula>
    </cfRule>
  </conditionalFormatting>
  <conditionalFormatting sqref="L462:L487 L489:L503">
    <cfRule type="expression" dxfId="240" priority="105">
      <formula>AY462</formula>
    </cfRule>
  </conditionalFormatting>
  <conditionalFormatting sqref="L462:L487 L489:L503">
    <cfRule type="expression" dxfId="239" priority="104">
      <formula>$AZ462</formula>
    </cfRule>
  </conditionalFormatting>
  <conditionalFormatting sqref="H462:H489 H491:H503">
    <cfRule type="expression" dxfId="238" priority="106">
      <formula>AU462</formula>
    </cfRule>
  </conditionalFormatting>
  <conditionalFormatting sqref="J492:J503 H462:H489 H491:H503">
    <cfRule type="expression" dxfId="237" priority="103">
      <formula>$AW462</formula>
    </cfRule>
  </conditionalFormatting>
  <conditionalFormatting sqref="AL462:AL503">
    <cfRule type="expression" dxfId="236" priority="102">
      <formula>$BD462</formula>
    </cfRule>
  </conditionalFormatting>
  <conditionalFormatting sqref="H462:H489 H491:H503">
    <cfRule type="expression" dxfId="235" priority="101">
      <formula>$AV462</formula>
    </cfRule>
  </conditionalFormatting>
  <conditionalFormatting sqref="AJ463:AJ467 AJ495:AJ496 AJ498:AJ499 AJ501:AJ502 AJ469:AJ470 AJ472:AJ473 AJ475:AJ476 AJ478:AJ479 AJ481:AJ482 AJ484:AJ485 AJ487:AJ493">
    <cfRule type="expression" dxfId="234" priority="100">
      <formula>$BB463</formula>
    </cfRule>
  </conditionalFormatting>
  <conditionalFormatting sqref="J465:J490">
    <cfRule type="expression" dxfId="233" priority="98">
      <formula>$AW465</formula>
    </cfRule>
  </conditionalFormatting>
  <conditionalFormatting sqref="J465:J490 J492:J503">
    <cfRule type="expression" dxfId="232" priority="97">
      <formula>$AV465</formula>
    </cfRule>
    <cfRule type="expression" dxfId="231" priority="99">
      <formula>$AU$20</formula>
    </cfRule>
  </conditionalFormatting>
  <conditionalFormatting sqref="J468">
    <cfRule type="expression" dxfId="230" priority="96">
      <formula>AZ468</formula>
    </cfRule>
  </conditionalFormatting>
  <conditionalFormatting sqref="J468">
    <cfRule type="expression" dxfId="229" priority="95">
      <formula>$AW468</formula>
    </cfRule>
  </conditionalFormatting>
  <conditionalFormatting sqref="J468">
    <cfRule type="expression" dxfId="228" priority="94">
      <formula>$AV468</formula>
    </cfRule>
  </conditionalFormatting>
  <conditionalFormatting sqref="J471">
    <cfRule type="expression" dxfId="227" priority="93">
      <formula>AZ471</formula>
    </cfRule>
  </conditionalFormatting>
  <conditionalFormatting sqref="J471">
    <cfRule type="expression" dxfId="226" priority="92">
      <formula>$AW471</formula>
    </cfRule>
  </conditionalFormatting>
  <conditionalFormatting sqref="J471">
    <cfRule type="expression" dxfId="225" priority="91">
      <formula>$AV471</formula>
    </cfRule>
  </conditionalFormatting>
  <conditionalFormatting sqref="J474">
    <cfRule type="expression" dxfId="224" priority="90">
      <formula>AZ474</formula>
    </cfRule>
  </conditionalFormatting>
  <conditionalFormatting sqref="J474">
    <cfRule type="expression" dxfId="223" priority="89">
      <formula>$AW474</formula>
    </cfRule>
  </conditionalFormatting>
  <conditionalFormatting sqref="J474">
    <cfRule type="expression" dxfId="222" priority="88">
      <formula>$AV474</formula>
    </cfRule>
  </conditionalFormatting>
  <conditionalFormatting sqref="J477">
    <cfRule type="expression" dxfId="221" priority="87">
      <formula>AZ477</formula>
    </cfRule>
  </conditionalFormatting>
  <conditionalFormatting sqref="J477">
    <cfRule type="expression" dxfId="220" priority="86">
      <formula>$AW477</formula>
    </cfRule>
  </conditionalFormatting>
  <conditionalFormatting sqref="J477">
    <cfRule type="expression" dxfId="219" priority="85">
      <formula>$AV477</formula>
    </cfRule>
  </conditionalFormatting>
  <conditionalFormatting sqref="J480">
    <cfRule type="expression" dxfId="218" priority="84">
      <formula>AZ480</formula>
    </cfRule>
  </conditionalFormatting>
  <conditionalFormatting sqref="J480">
    <cfRule type="expression" dxfId="217" priority="83">
      <formula>$AW480</formula>
    </cfRule>
  </conditionalFormatting>
  <conditionalFormatting sqref="J480">
    <cfRule type="expression" dxfId="216" priority="82">
      <formula>$AV480</formula>
    </cfRule>
  </conditionalFormatting>
  <conditionalFormatting sqref="J483">
    <cfRule type="expression" dxfId="215" priority="81">
      <formula>AZ483</formula>
    </cfRule>
  </conditionalFormatting>
  <conditionalFormatting sqref="J483">
    <cfRule type="expression" dxfId="214" priority="80">
      <formula>$AW483</formula>
    </cfRule>
  </conditionalFormatting>
  <conditionalFormatting sqref="J483">
    <cfRule type="expression" dxfId="213" priority="79">
      <formula>$AV483</formula>
    </cfRule>
  </conditionalFormatting>
  <conditionalFormatting sqref="J486">
    <cfRule type="expression" dxfId="212" priority="78">
      <formula>AZ486</formula>
    </cfRule>
  </conditionalFormatting>
  <conditionalFormatting sqref="J486">
    <cfRule type="expression" dxfId="211" priority="77">
      <formula>$AW486</formula>
    </cfRule>
  </conditionalFormatting>
  <conditionalFormatting sqref="J486">
    <cfRule type="expression" dxfId="210" priority="76">
      <formula>$AV486</formula>
    </cfRule>
  </conditionalFormatting>
  <conditionalFormatting sqref="J488">
    <cfRule type="expression" dxfId="209" priority="75">
      <formula>AY488</formula>
    </cfRule>
  </conditionalFormatting>
  <conditionalFormatting sqref="J488">
    <cfRule type="expression" dxfId="208" priority="74">
      <formula>$AW488</formula>
    </cfRule>
  </conditionalFormatting>
  <conditionalFormatting sqref="J488">
    <cfRule type="expression" dxfId="207" priority="73">
      <formula>$AV488</formula>
    </cfRule>
  </conditionalFormatting>
  <conditionalFormatting sqref="AN463:AN464 AN466:AN467 AN469:AN470 AN472:AN473 AN475:AN476 AN478:AN503">
    <cfRule type="expression" dxfId="206" priority="72">
      <formula>$BD463</formula>
    </cfRule>
  </conditionalFormatting>
  <conditionalFormatting sqref="AN462">
    <cfRule type="expression" dxfId="205" priority="71">
      <formula>$AB462</formula>
    </cfRule>
  </conditionalFormatting>
  <conditionalFormatting sqref="AN465">
    <cfRule type="expression" dxfId="204" priority="70">
      <formula>$AB465</formula>
    </cfRule>
  </conditionalFormatting>
  <conditionalFormatting sqref="AN468">
    <cfRule type="expression" dxfId="203" priority="69">
      <formula>$AB468</formula>
    </cfRule>
  </conditionalFormatting>
  <conditionalFormatting sqref="AN471">
    <cfRule type="expression" dxfId="202" priority="68">
      <formula>$AB471</formula>
    </cfRule>
  </conditionalFormatting>
  <conditionalFormatting sqref="AN474">
    <cfRule type="expression" dxfId="201" priority="67">
      <formula>$AB474</formula>
    </cfRule>
  </conditionalFormatting>
  <conditionalFormatting sqref="AN477">
    <cfRule type="expression" dxfId="200" priority="66">
      <formula>$AB477</formula>
    </cfRule>
  </conditionalFormatting>
  <conditionalFormatting sqref="AJ494">
    <cfRule type="expression" dxfId="199" priority="65">
      <formula>$BB494</formula>
    </cfRule>
  </conditionalFormatting>
  <conditionalFormatting sqref="AJ497">
    <cfRule type="expression" dxfId="198" priority="64">
      <formula>$BB497</formula>
    </cfRule>
  </conditionalFormatting>
  <conditionalFormatting sqref="AJ500">
    <cfRule type="expression" dxfId="197" priority="63">
      <formula>$BB500</formula>
    </cfRule>
  </conditionalFormatting>
  <conditionalFormatting sqref="AJ503">
    <cfRule type="expression" dxfId="196" priority="62">
      <formula>$BB503</formula>
    </cfRule>
  </conditionalFormatting>
  <conditionalFormatting sqref="AJ486">
    <cfRule type="expression" dxfId="195" priority="54">
      <formula>$BB486</formula>
    </cfRule>
  </conditionalFormatting>
  <conditionalFormatting sqref="AJ462">
    <cfRule type="expression" dxfId="194" priority="61">
      <formula>$BB462</formula>
    </cfRule>
  </conditionalFormatting>
  <conditionalFormatting sqref="AJ468">
    <cfRule type="expression" dxfId="193" priority="60">
      <formula>$BB468</formula>
    </cfRule>
  </conditionalFormatting>
  <conditionalFormatting sqref="AJ471">
    <cfRule type="expression" dxfId="192" priority="59">
      <formula>$BB471</formula>
    </cfRule>
  </conditionalFormatting>
  <conditionalFormatting sqref="AJ474">
    <cfRule type="expression" dxfId="191" priority="58">
      <formula>$BB474</formula>
    </cfRule>
  </conditionalFormatting>
  <conditionalFormatting sqref="AJ477">
    <cfRule type="expression" dxfId="190" priority="57">
      <formula>$BB477</formula>
    </cfRule>
  </conditionalFormatting>
  <conditionalFormatting sqref="AJ480">
    <cfRule type="expression" dxfId="189" priority="56">
      <formula>$BB480</formula>
    </cfRule>
  </conditionalFormatting>
  <conditionalFormatting sqref="AJ483">
    <cfRule type="expression" dxfId="188" priority="55">
      <formula>$BB483</formula>
    </cfRule>
  </conditionalFormatting>
  <conditionalFormatting sqref="L518:L543 L545:L559">
    <cfRule type="expression" dxfId="187" priority="52">
      <formula>AY518</formula>
    </cfRule>
  </conditionalFormatting>
  <conditionalFormatting sqref="L518:L543 L545:L559">
    <cfRule type="expression" dxfId="186" priority="51">
      <formula>$AZ518</formula>
    </cfRule>
  </conditionalFormatting>
  <conditionalFormatting sqref="H518:H545 H547:H559">
    <cfRule type="expression" dxfId="185" priority="53">
      <formula>AU518</formula>
    </cfRule>
  </conditionalFormatting>
  <conditionalFormatting sqref="J548:J559 H518:H545 H547:H559">
    <cfRule type="expression" dxfId="184" priority="50">
      <formula>$AW518</formula>
    </cfRule>
  </conditionalFormatting>
  <conditionalFormatting sqref="AL518:AL559">
    <cfRule type="expression" dxfId="183" priority="49">
      <formula>$BD518</formula>
    </cfRule>
  </conditionalFormatting>
  <conditionalFormatting sqref="H518:H545 H547:H559">
    <cfRule type="expression" dxfId="182" priority="48">
      <formula>$AV518</formula>
    </cfRule>
  </conditionalFormatting>
  <conditionalFormatting sqref="AJ519:AJ523 AJ551:AJ552 AJ554:AJ555 AJ557:AJ558 AJ525:AJ526 AJ528:AJ529 AJ531:AJ532 AJ534:AJ535 AJ537:AJ538 AJ540:AJ541 AJ543:AJ549">
    <cfRule type="expression" dxfId="181" priority="47">
      <formula>$BB519</formula>
    </cfRule>
  </conditionalFormatting>
  <conditionalFormatting sqref="J521:J546">
    <cfRule type="expression" dxfId="180" priority="45">
      <formula>$AW521</formula>
    </cfRule>
  </conditionalFormatting>
  <conditionalFormatting sqref="J521:J546 J548:J559">
    <cfRule type="expression" dxfId="179" priority="44">
      <formula>$AV521</formula>
    </cfRule>
    <cfRule type="expression" dxfId="178" priority="46">
      <formula>$AU$20</formula>
    </cfRule>
  </conditionalFormatting>
  <conditionalFormatting sqref="J524">
    <cfRule type="expression" dxfId="177" priority="43">
      <formula>AZ524</formula>
    </cfRule>
  </conditionalFormatting>
  <conditionalFormatting sqref="J524">
    <cfRule type="expression" dxfId="176" priority="42">
      <formula>$AW524</formula>
    </cfRule>
  </conditionalFormatting>
  <conditionalFormatting sqref="J524">
    <cfRule type="expression" dxfId="175" priority="41">
      <formula>$AV524</formula>
    </cfRule>
  </conditionalFormatting>
  <conditionalFormatting sqref="J527">
    <cfRule type="expression" dxfId="174" priority="40">
      <formula>AZ527</formula>
    </cfRule>
  </conditionalFormatting>
  <conditionalFormatting sqref="J527">
    <cfRule type="expression" dxfId="173" priority="39">
      <formula>$AW527</formula>
    </cfRule>
  </conditionalFormatting>
  <conditionalFormatting sqref="J527">
    <cfRule type="expression" dxfId="172" priority="38">
      <formula>$AV527</formula>
    </cfRule>
  </conditionalFormatting>
  <conditionalFormatting sqref="J530">
    <cfRule type="expression" dxfId="171" priority="37">
      <formula>AZ530</formula>
    </cfRule>
  </conditionalFormatting>
  <conditionalFormatting sqref="J530">
    <cfRule type="expression" dxfId="170" priority="36">
      <formula>$AW530</formula>
    </cfRule>
  </conditionalFormatting>
  <conditionalFormatting sqref="J530">
    <cfRule type="expression" dxfId="169" priority="35">
      <formula>$AV530</formula>
    </cfRule>
  </conditionalFormatting>
  <conditionalFormatting sqref="J533">
    <cfRule type="expression" dxfId="168" priority="34">
      <formula>AZ533</formula>
    </cfRule>
  </conditionalFormatting>
  <conditionalFormatting sqref="J533">
    <cfRule type="expression" dxfId="167" priority="33">
      <formula>$AW533</formula>
    </cfRule>
  </conditionalFormatting>
  <conditionalFormatting sqref="J533">
    <cfRule type="expression" dxfId="166" priority="32">
      <formula>$AV533</formula>
    </cfRule>
  </conditionalFormatting>
  <conditionalFormatting sqref="J536">
    <cfRule type="expression" dxfId="165" priority="31">
      <formula>AZ536</formula>
    </cfRule>
  </conditionalFormatting>
  <conditionalFormatting sqref="J536">
    <cfRule type="expression" dxfId="164" priority="30">
      <formula>$AW536</formula>
    </cfRule>
  </conditionalFormatting>
  <conditionalFormatting sqref="J536">
    <cfRule type="expression" dxfId="163" priority="29">
      <formula>$AV536</formula>
    </cfRule>
  </conditionalFormatting>
  <conditionalFormatting sqref="J539">
    <cfRule type="expression" dxfId="162" priority="28">
      <formula>AZ539</formula>
    </cfRule>
  </conditionalFormatting>
  <conditionalFormatting sqref="J539">
    <cfRule type="expression" dxfId="161" priority="27">
      <formula>$AW539</formula>
    </cfRule>
  </conditionalFormatting>
  <conditionalFormatting sqref="J539">
    <cfRule type="expression" dxfId="160" priority="26">
      <formula>$AV539</formula>
    </cfRule>
  </conditionalFormatting>
  <conditionalFormatting sqref="J542">
    <cfRule type="expression" dxfId="159" priority="25">
      <formula>AZ542</formula>
    </cfRule>
  </conditionalFormatting>
  <conditionalFormatting sqref="J542">
    <cfRule type="expression" dxfId="158" priority="24">
      <formula>$AW542</formula>
    </cfRule>
  </conditionalFormatting>
  <conditionalFormatting sqref="J542">
    <cfRule type="expression" dxfId="157" priority="23">
      <formula>$AV542</formula>
    </cfRule>
  </conditionalFormatting>
  <conditionalFormatting sqref="J544">
    <cfRule type="expression" dxfId="156" priority="22">
      <formula>AY544</formula>
    </cfRule>
  </conditionalFormatting>
  <conditionalFormatting sqref="J544">
    <cfRule type="expression" dxfId="155" priority="21">
      <formula>$AW544</formula>
    </cfRule>
  </conditionalFormatting>
  <conditionalFormatting sqref="J544">
    <cfRule type="expression" dxfId="154" priority="20">
      <formula>$AV544</formula>
    </cfRule>
  </conditionalFormatting>
  <conditionalFormatting sqref="AN519:AN520 AN522:AN523 AN525:AN526 AN528:AN529 AN531:AN532 AN534:AN559">
    <cfRule type="expression" dxfId="153" priority="19">
      <formula>$BD519</formula>
    </cfRule>
  </conditionalFormatting>
  <conditionalFormatting sqref="AN518">
    <cfRule type="expression" dxfId="152" priority="18">
      <formula>$AB518</formula>
    </cfRule>
  </conditionalFormatting>
  <conditionalFormatting sqref="AN521">
    <cfRule type="expression" dxfId="151" priority="17">
      <formula>$AB521</formula>
    </cfRule>
  </conditionalFormatting>
  <conditionalFormatting sqref="AN524">
    <cfRule type="expression" dxfId="150" priority="16">
      <formula>$AB524</formula>
    </cfRule>
  </conditionalFormatting>
  <conditionalFormatting sqref="AN527">
    <cfRule type="expression" dxfId="149" priority="15">
      <formula>$AB527</formula>
    </cfRule>
  </conditionalFormatting>
  <conditionalFormatting sqref="AN530">
    <cfRule type="expression" dxfId="148" priority="14">
      <formula>$AB530</formula>
    </cfRule>
  </conditionalFormatting>
  <conditionalFormatting sqref="AN533">
    <cfRule type="expression" dxfId="147" priority="13">
      <formula>$AB533</formula>
    </cfRule>
  </conditionalFormatting>
  <conditionalFormatting sqref="AJ550">
    <cfRule type="expression" dxfId="146" priority="12">
      <formula>$BB550</formula>
    </cfRule>
  </conditionalFormatting>
  <conditionalFormatting sqref="AJ553">
    <cfRule type="expression" dxfId="145" priority="11">
      <formula>$BB553</formula>
    </cfRule>
  </conditionalFormatting>
  <conditionalFormatting sqref="AJ556">
    <cfRule type="expression" dxfId="144" priority="10">
      <formula>$BB556</formula>
    </cfRule>
  </conditionalFormatting>
  <conditionalFormatting sqref="AJ559">
    <cfRule type="expression" dxfId="143" priority="9">
      <formula>$BB559</formula>
    </cfRule>
  </conditionalFormatting>
  <conditionalFormatting sqref="AJ518">
    <cfRule type="expression" dxfId="142" priority="8">
      <formula>$BB518</formula>
    </cfRule>
  </conditionalFormatting>
  <conditionalFormatting sqref="AJ524">
    <cfRule type="expression" dxfId="141" priority="7">
      <formula>$BB524</formula>
    </cfRule>
  </conditionalFormatting>
  <conditionalFormatting sqref="AJ527">
    <cfRule type="expression" dxfId="140" priority="6">
      <formula>$BB527</formula>
    </cfRule>
  </conditionalFormatting>
  <conditionalFormatting sqref="AJ530">
    <cfRule type="expression" dxfId="139" priority="5">
      <formula>$BB530</formula>
    </cfRule>
  </conditionalFormatting>
  <conditionalFormatting sqref="AJ533">
    <cfRule type="expression" dxfId="138" priority="4">
      <formula>$BB533</formula>
    </cfRule>
  </conditionalFormatting>
  <conditionalFormatting sqref="AJ536">
    <cfRule type="expression" dxfId="137" priority="3">
      <formula>$BB536</formula>
    </cfRule>
  </conditionalFormatting>
  <conditionalFormatting sqref="AJ539">
    <cfRule type="expression" dxfId="136" priority="2">
      <formula>$BB539</formula>
    </cfRule>
  </conditionalFormatting>
  <dataValidations count="4">
    <dataValidation type="list" allowBlank="1" showInputMessage="1" showErrorMessage="1" sqref="N406 N427 N350 N371 N353 N356 N359 N362 N365 N368 N374 N409 N238 N259 N241 N244 N247 N250 N253 N256 N262 N412 N128 N149 N131 N134 N137 N140 N143 N146 N152 N415 N462 N483 N465 N468 N471 N474 N477 N480 N486 N17 N38 N20 N23 N26 N29 N32 N35 N41 N294 N315 N297 N300 N303 N306 N309 N312 N418 N421 N73 N94 N76 N79 N82 N85 N88 N91 N97 N424 N183 N204 N186 N189 N192 N195 N198 N201 N207 N430 N318 N518 N539 N521 N524 N527 N530 N533 N536 N542">
      <formula1>guidewayunits</formula1>
    </dataValidation>
    <dataValidation type="list" allowBlank="1" showInputMessage="1" showErrorMessage="1" sqref="N46 N435 N491 N102 N157 N212 N267 N323 N379 N547">
      <formula1>substationunit</formula1>
    </dataValidation>
    <dataValidation type="list" allowBlank="1" showInputMessage="1" showErrorMessage="1" sqref="C514 C234 C13 C69 C124 C179 C290 C346 C402 C458">
      <formula1>Railmodes1</formula1>
    </dataValidation>
    <dataValidation type="list" allowBlank="1" showInputMessage="1" showErrorMessage="1" sqref="AN17 AN20 AN23 AN26 AN29 AN32 AN73 AN76 AN79 AN82 AN85 AN88 AN128 AN131 AN134 AN137 AN140 AN143 AN183 AN186 AN189 AN192 AN195 AN198 AN238 AN241 AN244 AN247 AN250 AN253 AN294 AN297 AN300 AN303 AN306 AN309 AN350 AN353 AN356 AN359 AN362 AN365 AN406 AN409 AN412 AN415 AN418 AN421 AN462 AN465 AN468 AN471 AN474 AN477 AN518 AN521 AN524 AN527 AN530 AN533">
      <formula1>RailAg</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sheetPr>
  <dimension ref="A1:AN322"/>
  <sheetViews>
    <sheetView zoomScaleNormal="100" workbookViewId="0">
      <pane xSplit="6" ySplit="11" topLeftCell="G12" activePane="bottomRight" state="frozen"/>
      <selection activeCell="C25" sqref="C25"/>
      <selection pane="topRight" activeCell="C25" sqref="C25"/>
      <selection pane="bottomLeft" activeCell="C25" sqref="C25"/>
      <selection pane="bottomRight" activeCell="C13" sqref="C13"/>
    </sheetView>
  </sheetViews>
  <sheetFormatPr defaultColWidth="9.140625" defaultRowHeight="12.75" x14ac:dyDescent="0.2"/>
  <cols>
    <col min="1" max="1" width="4.5703125" style="685" customWidth="1"/>
    <col min="2" max="2" width="2.7109375" style="1770" customWidth="1"/>
    <col min="3" max="3" width="68.85546875" style="1269" customWidth="1"/>
    <col min="4" max="4" width="1.42578125" style="1846" customWidth="1"/>
    <col min="5" max="5" width="9.7109375" style="685" customWidth="1"/>
    <col min="6" max="7" width="1.42578125" style="685" customWidth="1"/>
    <col min="8" max="8" width="12.85546875" style="685" customWidth="1"/>
    <col min="9" max="9" width="1.42578125" style="685" customWidth="1"/>
    <col min="10" max="10" width="10.5703125" style="685" customWidth="1"/>
    <col min="11" max="11" width="1.42578125" style="685" customWidth="1"/>
    <col min="12" max="12" width="9.42578125" style="685" bestFit="1" customWidth="1"/>
    <col min="13" max="13" width="1.42578125" style="685" customWidth="1"/>
    <col min="14" max="14" width="8" style="685" bestFit="1" customWidth="1"/>
    <col min="15" max="15" width="1.42578125" style="685" customWidth="1"/>
    <col min="16" max="16" width="30.28515625" style="685" customWidth="1"/>
    <col min="17" max="17" width="1.42578125" style="685" customWidth="1"/>
    <col min="18" max="18" width="57.140625" style="1057" customWidth="1"/>
    <col min="19" max="19" width="9.140625" style="685" hidden="1" customWidth="1"/>
    <col min="20" max="20" width="21" style="685" hidden="1" customWidth="1"/>
    <col min="21" max="21" width="7" style="685" hidden="1" customWidth="1"/>
    <col min="22" max="22" width="9.140625" style="685" hidden="1" customWidth="1"/>
    <col min="23" max="23" width="7.7109375" style="685" hidden="1" customWidth="1"/>
    <col min="24" max="24" width="7" style="685" hidden="1" customWidth="1"/>
    <col min="25" max="25" width="7.7109375" style="685" hidden="1" customWidth="1"/>
    <col min="26" max="26" width="7" style="685" hidden="1" customWidth="1"/>
    <col min="27" max="27" width="7.7109375" style="685" hidden="1" customWidth="1"/>
    <col min="28" max="28" width="7.85546875" style="685" hidden="1" customWidth="1"/>
    <col min="29" max="29" width="7.7109375" style="685" hidden="1" customWidth="1"/>
    <col min="30" max="30" width="5.7109375" style="685" hidden="1" customWidth="1"/>
    <col min="31" max="31" width="7.42578125" style="685" hidden="1" customWidth="1"/>
    <col min="32" max="32" width="8.5703125" style="685" hidden="1" customWidth="1"/>
    <col min="33" max="33" width="9.140625" style="685" hidden="1" customWidth="1"/>
    <col min="34" max="36" width="6.5703125" style="685" hidden="1" customWidth="1"/>
    <col min="37" max="37" width="1.42578125" style="685" hidden="1" customWidth="1"/>
    <col min="38" max="40" width="9.140625" style="685" hidden="1" customWidth="1"/>
    <col min="41" max="16384" width="9.140625" style="685"/>
  </cols>
  <sheetData>
    <row r="1" spans="1:39" s="668" customFormat="1" ht="20.25" x14ac:dyDescent="0.3">
      <c r="A1" s="784" t="s">
        <v>2267</v>
      </c>
      <c r="B1" s="1767"/>
      <c r="C1" s="665"/>
      <c r="D1" s="1834"/>
      <c r="E1" s="665"/>
      <c r="F1" s="665"/>
      <c r="G1" s="665"/>
      <c r="H1" s="665"/>
      <c r="I1" s="665"/>
      <c r="J1" s="665"/>
      <c r="K1" s="665"/>
      <c r="L1" s="665"/>
      <c r="M1" s="665"/>
      <c r="N1" s="665"/>
      <c r="O1" s="665"/>
      <c r="P1" s="665"/>
      <c r="Q1" s="665"/>
      <c r="R1" s="1388"/>
      <c r="S1" s="665"/>
      <c r="T1" s="1216"/>
      <c r="U1" s="1216"/>
      <c r="V1" s="1218"/>
      <c r="W1" s="1217"/>
      <c r="X1" s="1217"/>
      <c r="Y1" s="1217"/>
      <c r="Z1" s="1217"/>
      <c r="AA1" s="1216"/>
      <c r="AB1" s="1216"/>
      <c r="AC1" s="1216"/>
      <c r="AD1" s="1216"/>
      <c r="AE1" s="1216"/>
      <c r="AF1" s="1216"/>
      <c r="AG1" s="1216"/>
      <c r="AH1" s="1216"/>
      <c r="AI1" s="1216"/>
      <c r="AJ1" s="1216"/>
    </row>
    <row r="2" spans="1:39" s="1216" customFormat="1" ht="12.75" customHeight="1" x14ac:dyDescent="0.2">
      <c r="B2" s="1768"/>
      <c r="C2" s="1216" t="str">
        <f>VLOOKUP(COLUMN(),Columns,2,FALSE)</f>
        <v>c</v>
      </c>
      <c r="D2" s="1844"/>
      <c r="H2" s="1216" t="str">
        <f>VLOOKUP(COLUMN(),Columns,2,FALSE)</f>
        <v>h</v>
      </c>
      <c r="L2" s="1216" t="str">
        <f>VLOOKUP(COLUMN(),Columns,2,FALSE)</f>
        <v>l</v>
      </c>
      <c r="N2" s="1216" t="str">
        <f>VLOOKUP(COLUMN(),Columns,2,FALSE)</f>
        <v>n</v>
      </c>
      <c r="R2" s="1389" t="str">
        <f>VLOOKUP(COLUMN(),Columns,2,FALSE)</f>
        <v>r</v>
      </c>
      <c r="T2" s="685"/>
      <c r="U2" s="685"/>
      <c r="V2" s="787" t="s">
        <v>199</v>
      </c>
      <c r="W2" s="788"/>
      <c r="X2" s="788"/>
      <c r="Y2" s="788"/>
      <c r="Z2" s="788"/>
      <c r="AA2" s="788"/>
      <c r="AB2" s="788"/>
      <c r="AC2" s="788"/>
      <c r="AD2" s="685"/>
      <c r="AE2" s="685"/>
      <c r="AF2" s="685"/>
      <c r="AG2" s="685"/>
      <c r="AH2" s="685"/>
      <c r="AI2" s="685"/>
      <c r="AJ2" s="685"/>
    </row>
    <row r="3" spans="1:39" ht="12.75" customHeight="1" x14ac:dyDescent="0.2">
      <c r="A3" s="786"/>
      <c r="B3" s="1769"/>
      <c r="C3" s="150" t="str">
        <f>IF($U$6&gt;0,"Check Data Values in Cols. "&amp;$H$2&amp;" to "&amp;#REF!,"NO BAD DATA")</f>
        <v>NO BAD DATA</v>
      </c>
      <c r="D3" s="1835"/>
      <c r="E3" s="149"/>
      <c r="F3" s="149"/>
      <c r="G3" s="149"/>
      <c r="H3" s="149" t="str">
        <f>IF($V$6&gt;=1,"Bad Data","")</f>
        <v/>
      </c>
      <c r="I3" s="149"/>
      <c r="J3" s="149"/>
      <c r="K3" s="149"/>
      <c r="L3" s="149" t="str">
        <f>IF(AND($Y$6&gt;=1,$Z$6&gt;=1),"Bad Data",IF($Y$6&gt;=1,"Too Low?",IF($Z$6&gt;=1,"Too High?","")))</f>
        <v/>
      </c>
      <c r="M3" s="149"/>
      <c r="N3" s="149" t="str">
        <f>IF($AB$6&gt;=1,"Bad Data","")</f>
        <v/>
      </c>
      <c r="O3" s="149"/>
      <c r="P3" s="149"/>
      <c r="Q3" s="149"/>
      <c r="R3" s="1390"/>
      <c r="S3" s="786"/>
      <c r="V3" s="790" t="s">
        <v>142</v>
      </c>
      <c r="W3" s="791"/>
      <c r="X3" s="793"/>
      <c r="Y3" s="749" t="s">
        <v>283</v>
      </c>
      <c r="Z3" s="750"/>
      <c r="AA3" s="750"/>
      <c r="AB3" s="792" t="s">
        <v>284</v>
      </c>
      <c r="AC3" s="791"/>
    </row>
    <row r="4" spans="1:39" ht="12.75" customHeight="1" x14ac:dyDescent="0.2">
      <c r="A4" s="786"/>
      <c r="B4" s="1769"/>
      <c r="C4" s="150" t="str">
        <f>IF($U$7&gt;0,"Check for Missing Data in Cols. "&amp;$H$2&amp;" to "&amp;$N$2,"NO MISSING DATA")</f>
        <v>NO MISSING DATA</v>
      </c>
      <c r="D4" s="1836"/>
      <c r="E4" s="767"/>
      <c r="F4" s="767"/>
      <c r="G4" s="767"/>
      <c r="H4" s="149" t="str">
        <f>IF($W$7&gt;=1,"Quantity?","")</f>
        <v/>
      </c>
      <c r="I4" s="767"/>
      <c r="J4" s="767"/>
      <c r="K4" s="767"/>
      <c r="L4" s="149" t="str">
        <f>IF($AA$7&gt;=1,"Exp. Service Yrs.?","")</f>
        <v/>
      </c>
      <c r="M4" s="767"/>
      <c r="N4" s="2077" t="str">
        <f>IF($AC$7&gt;=1,"% Capital?","")</f>
        <v/>
      </c>
      <c r="O4" s="2077"/>
      <c r="P4" s="2077"/>
      <c r="Q4" s="149"/>
      <c r="R4" s="1390"/>
      <c r="S4" s="786"/>
      <c r="T4" s="1259"/>
      <c r="U4" s="1259"/>
      <c r="V4" s="1260" t="s">
        <v>55</v>
      </c>
      <c r="W4" s="1261" t="s">
        <v>56</v>
      </c>
      <c r="X4" s="1240" t="s">
        <v>2307</v>
      </c>
      <c r="Y4" s="1260" t="s">
        <v>12</v>
      </c>
      <c r="Z4" s="1240" t="s">
        <v>12</v>
      </c>
      <c r="AA4" s="1261" t="s">
        <v>56</v>
      </c>
      <c r="AB4" s="1260" t="s">
        <v>55</v>
      </c>
      <c r="AC4" s="1261" t="s">
        <v>56</v>
      </c>
      <c r="AD4" s="760"/>
      <c r="AE4" s="1259"/>
      <c r="AG4" s="1259"/>
      <c r="AH4" s="1259"/>
      <c r="AI4" s="1259"/>
      <c r="AJ4" s="1259"/>
    </row>
    <row r="5" spans="1:39" s="760" customFormat="1" ht="12.75" customHeight="1" x14ac:dyDescent="0.2">
      <c r="B5" s="1771"/>
      <c r="C5" s="721"/>
      <c r="D5" s="1838"/>
      <c r="E5" s="1057"/>
      <c r="F5" s="1057"/>
      <c r="G5" s="1057"/>
      <c r="H5" s="1230"/>
      <c r="I5" s="1230"/>
      <c r="J5" s="1230"/>
      <c r="K5" s="1230"/>
      <c r="L5" s="1231" t="s">
        <v>10</v>
      </c>
      <c r="M5" s="758"/>
      <c r="N5" s="737" t="s">
        <v>149</v>
      </c>
      <c r="O5" s="758"/>
      <c r="P5" s="737"/>
      <c r="Q5" s="758"/>
      <c r="R5" s="721"/>
      <c r="T5" s="1242"/>
      <c r="U5" s="1242"/>
      <c r="V5" s="1260" t="s">
        <v>57</v>
      </c>
      <c r="W5" s="1261" t="s">
        <v>57</v>
      </c>
      <c r="X5" s="1240" t="s">
        <v>2308</v>
      </c>
      <c r="Y5" s="1260" t="s">
        <v>60</v>
      </c>
      <c r="Z5" s="1240" t="s">
        <v>61</v>
      </c>
      <c r="AA5" s="1261" t="s">
        <v>57</v>
      </c>
      <c r="AB5" s="1260" t="s">
        <v>57</v>
      </c>
      <c r="AC5" s="1261" t="s">
        <v>57</v>
      </c>
      <c r="AD5" s="685"/>
      <c r="AE5" s="1259">
        <f>Valid!$J$1</f>
        <v>9</v>
      </c>
      <c r="AF5" s="1259">
        <f>Valid!$D$1</f>
        <v>3</v>
      </c>
      <c r="AG5" s="1259">
        <f>Valid!$E$1</f>
        <v>4</v>
      </c>
      <c r="AH5" s="1259">
        <f>Valid!$F$1</f>
        <v>5</v>
      </c>
      <c r="AI5" s="1259">
        <f>Valid!$G$1</f>
        <v>6</v>
      </c>
      <c r="AJ5" s="1259">
        <f>Valid!$H$1</f>
        <v>7</v>
      </c>
      <c r="AK5" s="1259"/>
      <c r="AL5" s="685"/>
      <c r="AM5" s="685"/>
    </row>
    <row r="6" spans="1:39" s="760" customFormat="1" ht="12.75" customHeight="1" x14ac:dyDescent="0.2">
      <c r="B6" s="1771"/>
      <c r="C6" s="721" t="str">
        <f>""</f>
        <v/>
      </c>
      <c r="D6" s="1838"/>
      <c r="E6" s="1057"/>
      <c r="F6" s="1057"/>
      <c r="G6" s="1057"/>
      <c r="H6" s="1232"/>
      <c r="I6" s="1232"/>
      <c r="J6" s="1232"/>
      <c r="K6" s="1232"/>
      <c r="L6" s="1231" t="s">
        <v>0</v>
      </c>
      <c r="M6" s="758"/>
      <c r="N6" s="737" t="s">
        <v>200</v>
      </c>
      <c r="O6" s="758"/>
      <c r="P6" s="737"/>
      <c r="Q6" s="758"/>
      <c r="R6" s="721"/>
      <c r="T6" s="765" t="s">
        <v>301</v>
      </c>
      <c r="U6" s="765">
        <f>SUM(V6:AC6)</f>
        <v>0</v>
      </c>
      <c r="V6" s="1262">
        <f>COUNTIF(V$19:V$1048576,"TRUE")</f>
        <v>0</v>
      </c>
      <c r="W6" s="1262"/>
      <c r="X6" s="1262"/>
      <c r="Y6" s="1262">
        <f>COUNTIF(Y$19:Y$1048576,"TRUE")</f>
        <v>0</v>
      </c>
      <c r="Z6" s="1262">
        <f>COUNTIF(Z$19:Z$1048576,"TRUE")</f>
        <v>0</v>
      </c>
      <c r="AA6" s="1262"/>
      <c r="AB6" s="1262">
        <f>COUNTIF(AB$19:AB$1048576,"TRUE")</f>
        <v>0</v>
      </c>
      <c r="AC6" s="1262"/>
      <c r="AD6" s="685"/>
      <c r="AE6" s="1263" t="s">
        <v>300</v>
      </c>
      <c r="AF6" s="1264"/>
      <c r="AG6" s="1264"/>
      <c r="AH6" s="1264"/>
      <c r="AI6" s="1264"/>
      <c r="AJ6" s="1264"/>
      <c r="AK6" s="1242"/>
    </row>
    <row r="7" spans="1:39" s="760" customFormat="1" ht="12.75" customHeight="1" x14ac:dyDescent="0.2">
      <c r="B7" s="1771"/>
      <c r="C7" s="1228"/>
      <c r="D7" s="1839"/>
      <c r="E7" s="1227"/>
      <c r="F7" s="1227"/>
      <c r="G7" s="1227"/>
      <c r="H7" s="1231" t="s">
        <v>142</v>
      </c>
      <c r="I7" s="1233"/>
      <c r="J7" s="819"/>
      <c r="K7" s="1233"/>
      <c r="L7" s="1231" t="s">
        <v>8</v>
      </c>
      <c r="M7" s="758"/>
      <c r="N7" s="737" t="s">
        <v>25</v>
      </c>
      <c r="O7" s="756"/>
      <c r="P7" s="737"/>
      <c r="Q7" s="756"/>
      <c r="R7" s="721"/>
      <c r="T7" s="765" t="s">
        <v>302</v>
      </c>
      <c r="U7" s="765">
        <f>SUM(V7:AC7)</f>
        <v>0</v>
      </c>
      <c r="V7" s="1262"/>
      <c r="W7" s="1262">
        <f>COUNTIF(W$19:W$1048576,"TRUE")</f>
        <v>0</v>
      </c>
      <c r="X7" s="1262"/>
      <c r="Y7" s="1262"/>
      <c r="Z7" s="1262"/>
      <c r="AA7" s="1262">
        <f>COUNTIF(AA$19:AA$1048576,"TRUE")</f>
        <v>0</v>
      </c>
      <c r="AB7" s="1262"/>
      <c r="AC7" s="1262">
        <f>COUNTIF(AC$19:AC$1048576,"TRUE")</f>
        <v>0</v>
      </c>
      <c r="AE7" s="804"/>
      <c r="AF7" s="804"/>
      <c r="AG7" s="804"/>
      <c r="AH7" s="804"/>
      <c r="AI7" s="804"/>
      <c r="AJ7" s="804"/>
      <c r="AK7" s="1242"/>
    </row>
    <row r="8" spans="1:39" s="760" customFormat="1" ht="12.75" customHeight="1" x14ac:dyDescent="0.2">
      <c r="B8" s="1771"/>
      <c r="D8" s="1840"/>
      <c r="E8" s="736" t="s">
        <v>197</v>
      </c>
      <c r="F8" s="721"/>
      <c r="G8" s="721"/>
      <c r="H8" s="1234" t="s">
        <v>2182</v>
      </c>
      <c r="I8" s="1235"/>
      <c r="J8" s="1236"/>
      <c r="K8" s="1235"/>
      <c r="L8" s="1231" t="s">
        <v>9</v>
      </c>
      <c r="M8" s="758"/>
      <c r="N8" s="737" t="s">
        <v>148</v>
      </c>
      <c r="O8" s="823"/>
      <c r="P8" s="737"/>
      <c r="Q8" s="823"/>
      <c r="R8" s="1391"/>
      <c r="S8" s="1219"/>
      <c r="T8" s="765" t="s">
        <v>305</v>
      </c>
      <c r="U8" s="765"/>
      <c r="V8" s="1265" t="str">
        <f>IF(V6&gt;=1,V$10,"")</f>
        <v/>
      </c>
      <c r="W8" s="1265"/>
      <c r="X8" s="1265"/>
      <c r="Y8" s="1265" t="str">
        <f>IF(Y6&gt;=1,Y$10,"")</f>
        <v/>
      </c>
      <c r="Z8" s="1265"/>
      <c r="AA8" s="1265"/>
      <c r="AB8" s="1265" t="str">
        <f>IF(AB6&gt;=1,AB$10,"")</f>
        <v/>
      </c>
      <c r="AC8" s="1265"/>
      <c r="AE8" s="810"/>
      <c r="AF8" s="810"/>
      <c r="AG8" s="810"/>
      <c r="AH8" s="810"/>
      <c r="AI8" s="810" t="s">
        <v>139</v>
      </c>
      <c r="AJ8" s="810" t="s">
        <v>139</v>
      </c>
      <c r="AK8" s="1266"/>
    </row>
    <row r="9" spans="1:39" s="760" customFormat="1" ht="12.75" customHeight="1" x14ac:dyDescent="0.2">
      <c r="B9" s="1771"/>
      <c r="C9" s="258"/>
      <c r="D9" s="1840"/>
      <c r="E9" s="736" t="s">
        <v>484</v>
      </c>
      <c r="F9" s="721"/>
      <c r="G9" s="721"/>
      <c r="H9" s="1238" t="s">
        <v>2181</v>
      </c>
      <c r="I9" s="818"/>
      <c r="J9" s="1239"/>
      <c r="K9" s="818"/>
      <c r="L9" s="1240" t="s">
        <v>7</v>
      </c>
      <c r="M9" s="758"/>
      <c r="N9" s="737" t="s">
        <v>147</v>
      </c>
      <c r="O9" s="823"/>
      <c r="P9" s="737" t="s">
        <v>2622</v>
      </c>
      <c r="Q9" s="823"/>
      <c r="R9" s="1391"/>
      <c r="S9" s="1219"/>
      <c r="T9" s="765" t="s">
        <v>306</v>
      </c>
      <c r="U9" s="765"/>
      <c r="V9" s="1265"/>
      <c r="W9" s="1265" t="str">
        <f>IF(W7&gt;=1,W$10,"")</f>
        <v/>
      </c>
      <c r="X9" s="1265"/>
      <c r="Y9" s="1265"/>
      <c r="Z9" s="1265"/>
      <c r="AA9" s="1265" t="str">
        <f>IF(AA7&gt;=1,AA$10,"")</f>
        <v/>
      </c>
      <c r="AB9" s="1265"/>
      <c r="AC9" s="1265" t="str">
        <f>IF(AC7&gt;=1,AC$10,"")</f>
        <v/>
      </c>
      <c r="AE9" s="810" t="s">
        <v>95</v>
      </c>
      <c r="AF9" s="810" t="s">
        <v>142</v>
      </c>
      <c r="AG9" s="810" t="s">
        <v>142</v>
      </c>
      <c r="AH9" s="810" t="s">
        <v>139</v>
      </c>
      <c r="AI9" s="810" t="s">
        <v>104</v>
      </c>
      <c r="AJ9" s="810" t="s">
        <v>104</v>
      </c>
      <c r="AK9" s="1219"/>
    </row>
    <row r="10" spans="1:39" s="760" customFormat="1" ht="12.75" customHeight="1" x14ac:dyDescent="0.2">
      <c r="A10" s="736" t="s">
        <v>196</v>
      </c>
      <c r="B10" s="1772"/>
      <c r="C10" s="736" t="s">
        <v>2318</v>
      </c>
      <c r="D10" s="1839"/>
      <c r="E10" s="736" t="s">
        <v>485</v>
      </c>
      <c r="F10" s="1228"/>
      <c r="G10" s="1228"/>
      <c r="H10" s="1238" t="s">
        <v>2180</v>
      </c>
      <c r="I10" s="818"/>
      <c r="J10" s="1241" t="s">
        <v>114</v>
      </c>
      <c r="K10" s="820"/>
      <c r="L10" s="1231" t="s">
        <v>6</v>
      </c>
      <c r="M10" s="758"/>
      <c r="N10" s="737" t="s">
        <v>146</v>
      </c>
      <c r="O10" s="823"/>
      <c r="P10" s="737" t="s">
        <v>2619</v>
      </c>
      <c r="Q10" s="823"/>
      <c r="R10" s="1244" t="s">
        <v>140</v>
      </c>
      <c r="S10" s="1219"/>
      <c r="T10" s="758"/>
      <c r="U10" s="758"/>
      <c r="V10" s="1267" t="str">
        <f>H2</f>
        <v>h</v>
      </c>
      <c r="W10" s="1267" t="str">
        <f>+V10</f>
        <v>h</v>
      </c>
      <c r="X10" s="1267"/>
      <c r="Y10" s="1267" t="str">
        <f>L2</f>
        <v>l</v>
      </c>
      <c r="Z10" s="1267" t="s">
        <v>189</v>
      </c>
      <c r="AA10" s="1267" t="str">
        <f>+Y10</f>
        <v>l</v>
      </c>
      <c r="AB10" s="1267" t="str">
        <f>N2</f>
        <v>n</v>
      </c>
      <c r="AC10" s="1267" t="str">
        <f>+AB10</f>
        <v>n</v>
      </c>
      <c r="AE10" s="810" t="s">
        <v>39</v>
      </c>
      <c r="AF10" s="810" t="s">
        <v>60</v>
      </c>
      <c r="AG10" s="810" t="s">
        <v>61</v>
      </c>
      <c r="AH10" s="810" t="s">
        <v>104</v>
      </c>
      <c r="AI10" s="810" t="s">
        <v>60</v>
      </c>
      <c r="AJ10" s="810" t="s">
        <v>61</v>
      </c>
      <c r="AK10" s="1219"/>
    </row>
    <row r="11" spans="1:39" s="760" customFormat="1" ht="9.75" customHeight="1" x14ac:dyDescent="0.2">
      <c r="A11" s="721"/>
      <c r="B11" s="1771"/>
      <c r="C11" s="817"/>
      <c r="D11" s="1839"/>
      <c r="F11" s="258"/>
      <c r="G11" s="258"/>
      <c r="H11" s="818"/>
      <c r="I11" s="818"/>
      <c r="J11" s="819"/>
      <c r="K11" s="820"/>
      <c r="L11" s="820"/>
      <c r="M11" s="758"/>
      <c r="N11" s="822"/>
      <c r="O11" s="823"/>
      <c r="P11" s="822"/>
      <c r="Q11" s="823"/>
      <c r="R11" s="1391"/>
      <c r="S11" s="1219"/>
      <c r="V11" s="826"/>
      <c r="W11" s="826"/>
      <c r="X11" s="826"/>
      <c r="Y11" s="826"/>
      <c r="Z11" s="826"/>
      <c r="AA11" s="826"/>
      <c r="AB11" s="826"/>
      <c r="AC11" s="826"/>
      <c r="AE11" s="825"/>
      <c r="AF11" s="825"/>
      <c r="AG11" s="825"/>
      <c r="AH11" s="825"/>
      <c r="AI11" s="825"/>
      <c r="AJ11" s="825"/>
      <c r="AK11" s="1219"/>
    </row>
    <row r="12" spans="1:39" s="760" customFormat="1" ht="6.75" customHeight="1" x14ac:dyDescent="0.2">
      <c r="A12" s="721"/>
      <c r="B12" s="1773">
        <v>1</v>
      </c>
      <c r="C12" s="817"/>
      <c r="D12" s="1839"/>
      <c r="F12" s="1237"/>
      <c r="G12" s="851"/>
      <c r="H12" s="818"/>
      <c r="I12" s="818"/>
      <c r="J12" s="819"/>
      <c r="K12" s="820"/>
      <c r="L12" s="820"/>
      <c r="M12" s="758"/>
      <c r="N12" s="822"/>
      <c r="O12" s="823"/>
      <c r="P12" s="822"/>
      <c r="Q12" s="823"/>
      <c r="R12" s="1391"/>
      <c r="S12" s="1219"/>
      <c r="V12" s="759"/>
      <c r="W12" s="759"/>
      <c r="X12" s="759"/>
      <c r="Y12" s="759"/>
      <c r="Z12" s="759"/>
      <c r="AA12" s="759"/>
      <c r="AB12" s="759"/>
      <c r="AC12" s="759"/>
      <c r="AE12" s="827"/>
      <c r="AF12" s="827"/>
      <c r="AG12" s="827"/>
      <c r="AH12" s="827"/>
      <c r="AI12" s="827"/>
      <c r="AJ12" s="827"/>
      <c r="AK12" s="1219"/>
    </row>
    <row r="13" spans="1:39" s="760" customFormat="1" ht="12.75" customHeight="1" x14ac:dyDescent="0.2">
      <c r="A13" s="1712" t="s">
        <v>2621</v>
      </c>
      <c r="B13" s="1773">
        <v>3</v>
      </c>
      <c r="C13" s="1416"/>
      <c r="D13" s="1248" t="str">
        <f>IF($C13="","Select Mode from Pull-Down List                                                                       ","")</f>
        <v xml:space="preserve">Select Mode from Pull-Down List                                                                       </v>
      </c>
      <c r="E13" s="1277" t="str">
        <f>IF(AND(C13="",OR(H19&lt;&gt;"",H21&lt;&gt;"",L19&lt;&gt;"",N19&lt;&gt;"",L21&lt;&gt;"",N21&lt;&gt;"",R19&lt;&gt;"",R21&lt;&gt;"",C15&lt;&gt;"",H27&lt;&gt;"",H29&lt;&gt;"",H31&lt;&gt;"",H33&lt;&gt;"",H35&lt;&gt;"",L27&lt;&gt;"",L29&lt;&gt;"",L31&lt;&gt;"",L33&lt;&gt;"",L35&lt;&gt;"",N27&lt;&gt;"",N29&lt;&gt;"",N31&lt;&gt;"",N33&lt;&gt;"",N35&lt;&gt;"",R27&lt;&gt;"",R29&lt;&gt;"",R31&lt;&gt;"",R33&lt;&gt;"",R35&lt;&gt;"")),"&lt;&lt; Insert Rail Mode","")</f>
        <v/>
      </c>
      <c r="F13" s="736"/>
      <c r="G13" s="851"/>
      <c r="H13" s="1253"/>
      <c r="I13" s="1254"/>
      <c r="J13" s="1255"/>
      <c r="K13" s="1256"/>
      <c r="L13" s="1257"/>
      <c r="M13" s="1254"/>
      <c r="N13" s="1254"/>
      <c r="O13" s="1254"/>
      <c r="P13" s="1254"/>
      <c r="Q13" s="1254"/>
      <c r="R13" s="1223"/>
      <c r="S13" s="1221"/>
      <c r="T13" s="758"/>
      <c r="U13" s="758" t="b">
        <f>IF(OR(E13&lt;&gt;"",E44="&lt;&lt;Complete Previous Section First"),TRUE,FALSE)</f>
        <v>0</v>
      </c>
      <c r="V13" s="763"/>
      <c r="W13" s="763"/>
      <c r="X13" s="763"/>
      <c r="Y13" s="763"/>
      <c r="Z13" s="763"/>
      <c r="AA13" s="763"/>
      <c r="AB13" s="763"/>
      <c r="AC13" s="763"/>
      <c r="AE13" s="833"/>
      <c r="AF13" s="833"/>
      <c r="AG13" s="833"/>
      <c r="AH13" s="833"/>
      <c r="AI13" s="833"/>
      <c r="AJ13" s="833"/>
      <c r="AK13" s="1221"/>
    </row>
    <row r="14" spans="1:39" s="760" customFormat="1" ht="6" customHeight="1" x14ac:dyDescent="0.2">
      <c r="A14" s="721"/>
      <c r="B14" s="1773">
        <v>4</v>
      </c>
      <c r="C14" s="1434"/>
      <c r="D14" s="1248"/>
      <c r="E14" s="1277"/>
      <c r="F14" s="736"/>
      <c r="G14" s="851"/>
      <c r="H14" s="1253"/>
      <c r="I14" s="1254"/>
      <c r="J14" s="1255"/>
      <c r="K14" s="1256"/>
      <c r="L14" s="1257"/>
      <c r="M14" s="1254"/>
      <c r="N14" s="1254"/>
      <c r="O14" s="1254"/>
      <c r="P14" s="1254"/>
      <c r="Q14" s="1254"/>
      <c r="R14" s="1223"/>
      <c r="S14" s="1221"/>
      <c r="T14" s="758"/>
      <c r="U14" s="758"/>
      <c r="V14" s="763"/>
      <c r="W14" s="763"/>
      <c r="X14" s="763"/>
      <c r="Y14" s="763"/>
      <c r="Z14" s="763"/>
      <c r="AA14" s="763"/>
      <c r="AB14" s="763"/>
      <c r="AC14" s="763"/>
      <c r="AE14" s="833"/>
      <c r="AF14" s="833"/>
      <c r="AG14" s="833"/>
      <c r="AH14" s="833"/>
      <c r="AI14" s="833"/>
      <c r="AJ14" s="833"/>
      <c r="AK14" s="1221"/>
    </row>
    <row r="15" spans="1:39" s="760" customFormat="1" ht="12.75" customHeight="1" x14ac:dyDescent="0.2">
      <c r="A15" s="1712" t="s">
        <v>2621</v>
      </c>
      <c r="B15" s="1773">
        <v>5</v>
      </c>
      <c r="C15" s="1417"/>
      <c r="D15" s="1248" t="str">
        <f>IF(AND(C13&lt;&gt;"",C15=""),"Agency-Specific "&amp;VLOOKUP(C13,Codes!$C$156:$D$174,2,FALSE)&amp;" Curvature Threshold (ft. radius or degrees)           ","")</f>
        <v/>
      </c>
      <c r="E15" s="1277"/>
      <c r="F15" s="736"/>
      <c r="G15" s="851"/>
      <c r="H15" s="1253"/>
      <c r="I15" s="1254"/>
      <c r="J15" s="1255"/>
      <c r="K15" s="1256"/>
      <c r="L15" s="1257"/>
      <c r="M15" s="1254"/>
      <c r="N15" s="1254"/>
      <c r="O15" s="1254"/>
      <c r="P15" s="1254"/>
      <c r="Q15" s="1254"/>
      <c r="R15" s="1223"/>
      <c r="S15" s="1221"/>
      <c r="T15" s="758"/>
      <c r="U15" s="758" t="b">
        <f>IF(AND(C13&lt;&gt;"",C15=""),TRUE,FALSE)</f>
        <v>0</v>
      </c>
      <c r="V15" s="763"/>
      <c r="W15" s="763"/>
      <c r="X15" s="763"/>
      <c r="Y15" s="763"/>
      <c r="Z15" s="763"/>
      <c r="AA15" s="763"/>
      <c r="AB15" s="763"/>
      <c r="AC15" s="763"/>
      <c r="AE15" s="833"/>
      <c r="AF15" s="833"/>
      <c r="AG15" s="833"/>
      <c r="AH15" s="833"/>
      <c r="AI15" s="833"/>
      <c r="AJ15" s="833"/>
      <c r="AK15" s="1221"/>
    </row>
    <row r="16" spans="1:39" s="760" customFormat="1" ht="6" customHeight="1" x14ac:dyDescent="0.2">
      <c r="A16" s="721"/>
      <c r="B16" s="1773">
        <v>6</v>
      </c>
      <c r="C16" s="828"/>
      <c r="D16" s="1845"/>
      <c r="E16" s="281"/>
      <c r="F16" s="281"/>
      <c r="G16" s="281"/>
      <c r="H16" s="829"/>
      <c r="I16" s="829"/>
      <c r="J16" s="830"/>
      <c r="K16" s="829"/>
      <c r="L16" s="758"/>
      <c r="M16" s="758"/>
      <c r="N16" s="724"/>
      <c r="O16" s="724"/>
      <c r="P16" s="724"/>
      <c r="Q16" s="724"/>
      <c r="R16" s="1223"/>
      <c r="S16" s="1221"/>
      <c r="T16" s="1219"/>
      <c r="U16" s="1219"/>
      <c r="V16" s="759"/>
      <c r="W16" s="759"/>
      <c r="X16" s="759"/>
      <c r="Y16" s="759"/>
      <c r="Z16" s="759"/>
      <c r="AA16" s="759"/>
      <c r="AB16" s="759"/>
      <c r="AC16" s="759"/>
      <c r="AE16" s="833"/>
      <c r="AF16" s="833"/>
      <c r="AG16" s="833"/>
      <c r="AH16" s="833"/>
      <c r="AI16" s="833"/>
      <c r="AJ16" s="833"/>
      <c r="AK16" s="1221"/>
    </row>
    <row r="17" spans="1:37" s="760" customFormat="1" x14ac:dyDescent="0.2">
      <c r="A17" s="1712" t="s">
        <v>2621</v>
      </c>
      <c r="B17" s="1773">
        <v>7</v>
      </c>
      <c r="C17" s="205" t="str">
        <f>IF(C13="","Linear Track",VLOOKUP(C13,Codes!$C$156:$D$174,2)&amp;" Linear Track")</f>
        <v>Linear Track</v>
      </c>
      <c r="D17" s="1845"/>
      <c r="E17" s="281"/>
      <c r="F17" s="281"/>
      <c r="G17" s="281"/>
      <c r="H17" s="829"/>
      <c r="I17" s="829"/>
      <c r="J17" s="830"/>
      <c r="K17" s="829"/>
      <c r="L17" s="758"/>
      <c r="M17" s="758"/>
      <c r="N17" s="724"/>
      <c r="O17" s="724"/>
      <c r="P17" s="724"/>
      <c r="Q17" s="724"/>
      <c r="R17" s="1223"/>
      <c r="S17" s="1221"/>
      <c r="T17" s="1821">
        <f>N21*100</f>
        <v>0</v>
      </c>
      <c r="U17" s="1219"/>
      <c r="V17" s="759"/>
      <c r="W17" s="759"/>
      <c r="X17" s="759"/>
      <c r="Y17" s="759"/>
      <c r="Z17" s="759"/>
      <c r="AA17" s="759"/>
      <c r="AB17" s="759"/>
      <c r="AC17" s="759"/>
      <c r="AE17" s="833"/>
      <c r="AF17" s="833"/>
      <c r="AG17" s="833"/>
      <c r="AH17" s="833"/>
      <c r="AI17" s="833"/>
      <c r="AJ17" s="833"/>
      <c r="AK17" s="1221"/>
    </row>
    <row r="18" spans="1:37" s="760" customFormat="1" ht="6" customHeight="1" x14ac:dyDescent="0.2">
      <c r="A18" s="721"/>
      <c r="B18" s="1773">
        <v>8</v>
      </c>
      <c r="C18" s="828"/>
      <c r="D18" s="1845"/>
      <c r="E18" s="281"/>
      <c r="F18" s="281"/>
      <c r="G18" s="281"/>
      <c r="H18" s="829"/>
      <c r="I18" s="829"/>
      <c r="J18" s="830"/>
      <c r="K18" s="829"/>
      <c r="L18" s="758"/>
      <c r="M18" s="758"/>
      <c r="N18" s="724"/>
      <c r="O18" s="724"/>
      <c r="P18" s="724"/>
      <c r="Q18" s="724"/>
      <c r="R18" s="1223"/>
      <c r="S18" s="1221"/>
      <c r="T18" s="1219"/>
      <c r="U18" s="1219"/>
      <c r="V18" s="759"/>
      <c r="W18" s="759"/>
      <c r="X18" s="759"/>
      <c r="Y18" s="759"/>
      <c r="Z18" s="759"/>
      <c r="AA18" s="759"/>
      <c r="AB18" s="759"/>
      <c r="AC18" s="759"/>
      <c r="AE18" s="833"/>
      <c r="AF18" s="833"/>
      <c r="AG18" s="833"/>
      <c r="AH18" s="833"/>
      <c r="AI18" s="833"/>
      <c r="AJ18" s="833"/>
      <c r="AK18" s="1221"/>
    </row>
    <row r="19" spans="1:37" s="760" customFormat="1" x14ac:dyDescent="0.2">
      <c r="A19" s="852">
        <v>1</v>
      </c>
      <c r="B19" s="1773">
        <v>9</v>
      </c>
      <c r="C19" s="851" t="str">
        <f>Valid!$B$80</f>
        <v>Tangent</v>
      </c>
      <c r="D19" s="1845"/>
      <c r="E19" s="1245" t="str">
        <f>IF(U19="N/A","",U19)</f>
        <v/>
      </c>
      <c r="F19" s="685"/>
      <c r="G19" s="685"/>
      <c r="H19" s="1247"/>
      <c r="I19" s="1246" t="str">
        <f>IF($C$13="","",IF(H19="","Qty? Enter Zero if N/A  ",""))</f>
        <v/>
      </c>
      <c r="J19" s="1249" t="str">
        <f>VLOOKUP(C19,Valid!$B$80:$C$86,2,FALSE)</f>
        <v>Track Feet</v>
      </c>
      <c r="K19" s="764"/>
      <c r="L19" s="1247"/>
      <c r="M19" s="1248" t="str">
        <f>IF($H19=0,"",IF($L19="",TEXT(AH19,0)&amp;" Years?    ",""))</f>
        <v/>
      </c>
      <c r="N19" s="1276"/>
      <c r="O19" s="1275" t="str">
        <f>IF($H19=0,"","% Cap Resp.    ")</f>
        <v/>
      </c>
      <c r="P19" s="1808"/>
      <c r="Q19" s="1275" t="str">
        <f>IF($H19=0,"","% Cap Resp.    ")</f>
        <v/>
      </c>
      <c r="R19" s="1392"/>
      <c r="S19" s="1223"/>
      <c r="T19" s="1223"/>
      <c r="U19" s="758" t="str">
        <f>IF(AND(R19="",N19="",L19="",H19="",L19=""),"N/A",IF(AND($H19=0,OR(L19&lt;&gt;"",N19&lt;&gt;"",R19&lt;&gt;"",L19&lt;&gt;"")),"No",IF(AND($H19&lt;&gt;0,OR($N19="",L19="")),"No","Yes")))</f>
        <v>N/A</v>
      </c>
      <c r="V19" s="761" t="b">
        <f>IF(AND(H19="",OR(L19&lt;&gt;"",N19&lt;&gt;"")),TRUE,FALSE)</f>
        <v>0</v>
      </c>
      <c r="W19" s="761" t="b">
        <f>IF(AND($C$13&lt;&gt;"",$H19=""),TRUE,FALSE)</f>
        <v>0</v>
      </c>
      <c r="X19" s="761" t="b">
        <f>IF(AND(H19&lt;&gt;"",H19&lt;&gt;0,H19&gt;AG19),TRUE,FALSE)</f>
        <v>0</v>
      </c>
      <c r="Y19" s="761" t="b">
        <f>IF($L19="",FALSE,IF($L19&lt;$AI19,TRUE,FALSE))</f>
        <v>0</v>
      </c>
      <c r="Z19" s="761" t="b">
        <f>IF($L19="",FALSE,IF($L19&gt;$AJ19,TRUE,FALSE))</f>
        <v>0</v>
      </c>
      <c r="AA19" s="761" t="b">
        <f>IF(AND(E19="No",$L19=""),TRUE,FALSE)</f>
        <v>0</v>
      </c>
      <c r="AB19" s="761" t="b">
        <f>IF($AC19=TRUE,FALSE,IF(OR($N19&lt;0,$N19&gt;1),TRUE,FALSE))</f>
        <v>0</v>
      </c>
      <c r="AC19" s="761" t="b">
        <f>IF(OR($H19=0, $H19=""), FALSE, IF(AND(H19&gt;0, L19&lt;&gt;"", N19&lt;&gt;""), IF(AND((N19*100)&lt;100,P19=""), TRUE,FALSE), TRUE))</f>
        <v>0</v>
      </c>
      <c r="AD19" s="762"/>
      <c r="AE19" s="783">
        <f t="shared" ref="AE19:AJ19" si="0">IF($C19="","",VLOOKUP($C19,val_fg_assets,AE$5,FALSE))</f>
        <v>1</v>
      </c>
      <c r="AF19" s="835">
        <f t="shared" si="0"/>
        <v>0</v>
      </c>
      <c r="AG19" s="835">
        <f t="shared" si="0"/>
        <v>3000000</v>
      </c>
      <c r="AH19" s="783">
        <f t="shared" si="0"/>
        <v>35</v>
      </c>
      <c r="AI19" s="783">
        <f t="shared" si="0"/>
        <v>26</v>
      </c>
      <c r="AJ19" s="783">
        <f t="shared" si="0"/>
        <v>44</v>
      </c>
      <c r="AK19" s="834"/>
    </row>
    <row r="20" spans="1:37" s="760" customFormat="1" ht="6" customHeight="1" x14ac:dyDescent="0.2">
      <c r="A20" s="852"/>
      <c r="B20" s="1774">
        <v>10</v>
      </c>
      <c r="C20" s="1222"/>
      <c r="D20" s="1845"/>
      <c r="E20" s="1059"/>
      <c r="F20" s="685"/>
      <c r="G20" s="685"/>
      <c r="H20" s="1176"/>
      <c r="I20" s="764"/>
      <c r="J20" s="840"/>
      <c r="K20" s="764"/>
      <c r="L20" s="1031"/>
      <c r="M20" s="758"/>
      <c r="N20" s="1258"/>
      <c r="O20" s="724"/>
      <c r="P20" s="1258"/>
      <c r="Q20" s="724"/>
      <c r="R20" s="1223"/>
      <c r="S20" s="1223"/>
      <c r="T20" s="1223"/>
      <c r="U20" s="1223"/>
      <c r="V20" s="759"/>
      <c r="W20" s="759"/>
      <c r="X20" s="759"/>
      <c r="Y20" s="759"/>
      <c r="Z20" s="759"/>
      <c r="AA20" s="759"/>
      <c r="AB20" s="759"/>
      <c r="AC20" s="759"/>
      <c r="AE20" s="833"/>
      <c r="AF20" s="845"/>
      <c r="AG20" s="845"/>
      <c r="AH20" s="833"/>
      <c r="AI20" s="833"/>
      <c r="AJ20" s="833"/>
      <c r="AK20" s="1223"/>
    </row>
    <row r="21" spans="1:37" s="760" customFormat="1" x14ac:dyDescent="0.2">
      <c r="A21" s="852">
        <v>2</v>
      </c>
      <c r="B21" s="1773">
        <v>11</v>
      </c>
      <c r="C21" s="851" t="str">
        <f>Valid!$B$81</f>
        <v>Curve</v>
      </c>
      <c r="D21" s="1845"/>
      <c r="E21" s="1245" t="str">
        <f>IF(U21="N/A","",U21)</f>
        <v/>
      </c>
      <c r="F21" s="764"/>
      <c r="G21" s="764"/>
      <c r="H21" s="1247"/>
      <c r="I21" s="1246" t="str">
        <f>IF($C$13="","",IF(H21="","Qty? Enter Zero if N/A  ",""))</f>
        <v/>
      </c>
      <c r="J21" s="1249" t="str">
        <f>VLOOKUP(C21,Valid!$B$80:$C$86,2,FALSE)</f>
        <v>Track Feet</v>
      </c>
      <c r="K21" s="764"/>
      <c r="L21" s="1247"/>
      <c r="M21" s="1248" t="str">
        <f>IF($H21=0,"",IF($L21="",TEXT(AH21,0)&amp;" Years?    ",""))</f>
        <v/>
      </c>
      <c r="N21" s="1276"/>
      <c r="O21" s="1275" t="str">
        <f>IF($H21=0,"","% Cap Resp.    ")</f>
        <v/>
      </c>
      <c r="P21" s="1808"/>
      <c r="Q21" s="1275" t="str">
        <f>IF($N21=0,"",IF(N21&lt;1,"Agency Sharing Cap Resp.    "))</f>
        <v/>
      </c>
      <c r="R21" s="1392"/>
      <c r="S21" s="1223"/>
      <c r="T21" s="1223"/>
      <c r="U21" s="758" t="str">
        <f>IF(AND(R21="",N21="",L21="",H21="",L21=""),"N/A",IF(AND($H21=0,OR(L21&lt;&gt;"",N21&lt;&gt;"",R21&lt;&gt;"",L21&lt;&gt;"")),"No",IF(AND($H21&lt;&gt;0,OR($N21="",L21="")),"No","Yes")))</f>
        <v>N/A</v>
      </c>
      <c r="V21" s="761" t="b">
        <f>IF(AND(H21="",OR(L21&lt;&gt;"",N21&lt;&gt;"")),TRUE,FALSE)</f>
        <v>0</v>
      </c>
      <c r="W21" s="761" t="b">
        <f>IF(AND($C$13&lt;&gt;"",$H21=""),TRUE,FALSE)</f>
        <v>0</v>
      </c>
      <c r="X21" s="761" t="b">
        <f>IF(AND(H21&lt;&gt;"",H21&lt;&gt;0,H21&gt;AG21),TRUE,FALSE)</f>
        <v>0</v>
      </c>
      <c r="Y21" s="761" t="b">
        <f>IF($L21="",FALSE,IF($L21&lt;$AI21,TRUE,FALSE))</f>
        <v>0</v>
      </c>
      <c r="Z21" s="761" t="b">
        <f>IF($L21="",FALSE,IF($L21&gt;$AJ21,TRUE,FALSE))</f>
        <v>0</v>
      </c>
      <c r="AA21" s="761" t="b">
        <f>IF(AND(E21="No",$L21=""),TRUE,FALSE)</f>
        <v>0</v>
      </c>
      <c r="AB21" s="761" t="b">
        <f>IF($AC21=TRUE,FALSE,IF(OR($N21&lt;0,$N21&gt;1),TRUE,FALSE))</f>
        <v>0</v>
      </c>
      <c r="AC21" s="761" t="b">
        <f>IF(OR($H21=0, $H21=""), FALSE, IF(AND(H21&gt;0, L21&lt;&gt;"", N21&lt;&gt;""), IF(AND((N21*100)&lt;100,P21=""), TRUE,FALSE), TRUE))</f>
        <v>0</v>
      </c>
      <c r="AD21" s="762"/>
      <c r="AE21" s="783">
        <f t="shared" ref="AE21:AJ21" si="1">IF($C21="","",VLOOKUP($C21,val_fg_assets,AE$5,FALSE))</f>
        <v>1</v>
      </c>
      <c r="AF21" s="835">
        <f t="shared" si="1"/>
        <v>0</v>
      </c>
      <c r="AG21" s="835">
        <f t="shared" si="1"/>
        <v>3000000</v>
      </c>
      <c r="AH21" s="783">
        <f t="shared" si="1"/>
        <v>15</v>
      </c>
      <c r="AI21" s="783">
        <f t="shared" si="1"/>
        <v>11</v>
      </c>
      <c r="AJ21" s="783">
        <f t="shared" si="1"/>
        <v>19</v>
      </c>
      <c r="AK21" s="834"/>
    </row>
    <row r="22" spans="1:37" ht="6" customHeight="1" thickBot="1" x14ac:dyDescent="0.25">
      <c r="A22" s="1225"/>
      <c r="B22" s="1773">
        <v>12</v>
      </c>
      <c r="C22" s="1249"/>
      <c r="E22" s="1058"/>
      <c r="F22" s="764"/>
      <c r="G22" s="764"/>
      <c r="H22" s="1251"/>
      <c r="L22" s="1251"/>
      <c r="R22" s="1223"/>
      <c r="V22" s="848"/>
      <c r="W22" s="848"/>
      <c r="X22" s="848"/>
      <c r="Y22" s="848"/>
      <c r="Z22" s="848"/>
      <c r="AA22" s="848"/>
      <c r="AB22" s="848"/>
      <c r="AC22" s="848"/>
      <c r="AE22" s="848"/>
      <c r="AF22" s="848"/>
      <c r="AG22" s="848"/>
      <c r="AH22" s="848"/>
      <c r="AI22" s="848"/>
      <c r="AJ22" s="848"/>
    </row>
    <row r="23" spans="1:37" x14ac:dyDescent="0.2">
      <c r="A23" s="1712" t="s">
        <v>2621</v>
      </c>
      <c r="B23" s="1773">
        <v>13</v>
      </c>
      <c r="C23" s="1249"/>
      <c r="E23" s="1057"/>
      <c r="F23" s="1278" t="str">
        <f>IF(C13="","Linear Track Totals &gt;&gt;",VLOOKUP(C13,Codes!$C$156:$D$174,2)&amp;" Linear Track Totals &gt;&gt;")</f>
        <v>Linear Track Totals &gt;&gt;</v>
      </c>
      <c r="H23" s="1032">
        <f>SUM(H19:H21)</f>
        <v>0</v>
      </c>
      <c r="I23" s="842"/>
      <c r="L23" s="1031"/>
      <c r="M23" s="714"/>
      <c r="N23" s="838"/>
      <c r="O23" s="734"/>
      <c r="P23" s="838"/>
      <c r="Q23" s="734"/>
      <c r="R23" s="1223"/>
      <c r="V23" s="848"/>
      <c r="W23" s="848"/>
      <c r="X23" s="848"/>
      <c r="Y23" s="848"/>
      <c r="Z23" s="848"/>
      <c r="AA23" s="848"/>
      <c r="AB23" s="848"/>
      <c r="AC23" s="848"/>
      <c r="AE23" s="848"/>
      <c r="AF23" s="848"/>
      <c r="AG23" s="848"/>
      <c r="AH23" s="848"/>
      <c r="AI23" s="848"/>
      <c r="AJ23" s="848"/>
    </row>
    <row r="24" spans="1:37" ht="6" customHeight="1" x14ac:dyDescent="0.2">
      <c r="A24" s="1225"/>
      <c r="B24" s="1773">
        <v>14</v>
      </c>
      <c r="C24" s="1249"/>
      <c r="E24" s="1249"/>
      <c r="F24" s="1249"/>
      <c r="G24" s="1249"/>
      <c r="H24" s="1249"/>
      <c r="I24" s="1249"/>
      <c r="J24" s="1249"/>
      <c r="K24" s="1249"/>
      <c r="L24" s="1249"/>
      <c r="M24" s="1249"/>
      <c r="N24" s="1249"/>
      <c r="O24" s="1249"/>
      <c r="P24" s="1820"/>
      <c r="Q24" s="1249"/>
      <c r="R24" s="1393"/>
      <c r="V24" s="848"/>
      <c r="W24" s="848"/>
      <c r="X24" s="848"/>
      <c r="Y24" s="848"/>
      <c r="Z24" s="848"/>
      <c r="AA24" s="848"/>
      <c r="AB24" s="848"/>
      <c r="AC24" s="848"/>
      <c r="AE24" s="848"/>
      <c r="AF24" s="848"/>
      <c r="AG24" s="848"/>
      <c r="AH24" s="848"/>
      <c r="AI24" s="848"/>
      <c r="AJ24" s="848"/>
    </row>
    <row r="25" spans="1:37" x14ac:dyDescent="0.2">
      <c r="A25" s="1712" t="s">
        <v>2621</v>
      </c>
      <c r="B25" s="1773">
        <v>15</v>
      </c>
      <c r="C25" s="205" t="str">
        <f>IF(C13="","Track Special Work (excluding linear assets)",VLOOKUP(C13,Codes!$C$156:$D$174,2)&amp;" Track Special Work (excluding linear assets)")</f>
        <v>Track Special Work (excluding linear assets)</v>
      </c>
      <c r="E25" s="1249"/>
      <c r="F25" s="1249"/>
      <c r="G25" s="1249"/>
      <c r="H25" s="1249"/>
      <c r="I25" s="1249"/>
      <c r="J25" s="1249"/>
      <c r="K25" s="1249"/>
      <c r="L25" s="1249"/>
      <c r="M25" s="1249"/>
      <c r="N25" s="1249"/>
      <c r="O25" s="1249"/>
      <c r="P25" s="1249"/>
      <c r="Q25" s="1249"/>
      <c r="R25" s="1393"/>
      <c r="V25" s="848"/>
      <c r="W25" s="848"/>
      <c r="X25" s="848"/>
      <c r="Y25" s="848"/>
      <c r="Z25" s="848"/>
      <c r="AA25" s="848"/>
      <c r="AB25" s="848"/>
      <c r="AC25" s="848"/>
      <c r="AE25" s="848"/>
      <c r="AF25" s="848"/>
      <c r="AG25" s="848"/>
      <c r="AH25" s="848"/>
      <c r="AI25" s="848"/>
      <c r="AJ25" s="848"/>
    </row>
    <row r="26" spans="1:37" ht="6" customHeight="1" x14ac:dyDescent="0.2">
      <c r="A26" s="1225"/>
      <c r="B26" s="1773">
        <v>16</v>
      </c>
      <c r="C26" s="1249"/>
      <c r="E26" s="1249"/>
      <c r="F26" s="1249"/>
      <c r="G26" s="1249"/>
      <c r="H26" s="1249"/>
      <c r="I26" s="1249"/>
      <c r="J26" s="1249"/>
      <c r="K26" s="1249"/>
      <c r="L26" s="1249"/>
      <c r="M26" s="1249"/>
      <c r="N26" s="1249"/>
      <c r="O26" s="1249"/>
      <c r="P26" s="1249"/>
      <c r="Q26" s="1249"/>
      <c r="R26" s="1393"/>
      <c r="V26" s="761"/>
      <c r="W26" s="848"/>
      <c r="X26" s="848"/>
      <c r="Y26" s="848"/>
      <c r="Z26" s="848"/>
      <c r="AA26" s="761"/>
      <c r="AB26" s="848"/>
      <c r="AC26" s="848"/>
      <c r="AE26" s="848"/>
      <c r="AF26" s="848"/>
      <c r="AG26" s="848"/>
      <c r="AH26" s="848"/>
      <c r="AI26" s="848"/>
      <c r="AJ26" s="848"/>
    </row>
    <row r="27" spans="1:37" x14ac:dyDescent="0.2">
      <c r="A27" s="852">
        <v>3</v>
      </c>
      <c r="B27" s="1773">
        <v>17</v>
      </c>
      <c r="C27" s="1249" t="str">
        <f>Valid!$B$82</f>
        <v>Double Diamond Crossover</v>
      </c>
      <c r="E27" s="1245" t="str">
        <f>IF(U27="N/A","",U27)</f>
        <v/>
      </c>
      <c r="F27" s="1249"/>
      <c r="G27" s="1249"/>
      <c r="H27" s="1247"/>
      <c r="I27" s="1246" t="str">
        <f>IF($C$13="","",IF(H27="","Qty? Enter Zero if N/A  ",""))</f>
        <v/>
      </c>
      <c r="J27" s="1249" t="str">
        <f>VLOOKUP(C27,Valid!$B$80:$C$86,2,FALSE)</f>
        <v>Each</v>
      </c>
      <c r="K27" s="1249"/>
      <c r="L27" s="1247"/>
      <c r="M27" s="1248" t="str">
        <f>IF($H27=0,"",IF($L27="",TEXT(AH27,0)&amp;" Years?    ",""))</f>
        <v/>
      </c>
      <c r="N27" s="1276"/>
      <c r="O27" s="1275" t="str">
        <f>IF($H27=0,"","% Cap Resp.    ")</f>
        <v/>
      </c>
      <c r="P27" s="1808"/>
      <c r="Q27" s="1275" t="str">
        <f>IF($N27=0,"",IF(N27&lt;1,"Agency Sharing Cap Resp.                   "))</f>
        <v/>
      </c>
      <c r="R27" s="1392"/>
      <c r="U27" s="758" t="str">
        <f>IF(AND(R27="",N27="",L27="",H27="",L27=""),"N/A",IF(AND($H27=0,OR(L27&lt;&gt;"",N27&lt;&gt;"",R27&lt;&gt;"",L27&lt;&gt;"")),"No",IF(AND($H27&lt;&gt;0,OR($N27="",L27="")),"No","Yes")))</f>
        <v>N/A</v>
      </c>
      <c r="V27" s="761" t="b">
        <f>IF(AND(H27="",OR(L27&lt;&gt;"",N27&lt;&gt;"")),TRUE,FALSE)</f>
        <v>0</v>
      </c>
      <c r="W27" s="761" t="b">
        <f>IF(AND($C$13&lt;&gt;"",$H27=""),TRUE,FALSE)</f>
        <v>0</v>
      </c>
      <c r="X27" s="761" t="b">
        <f>IF(AND(H27&lt;&gt;"",H27&lt;&gt;0,H27&gt;AG27),TRUE,FALSE)</f>
        <v>0</v>
      </c>
      <c r="Y27" s="761" t="b">
        <f>IF($L27="",FALSE,IF($L27&lt;$AI27,TRUE,FALSE))</f>
        <v>0</v>
      </c>
      <c r="Z27" s="761" t="b">
        <f>IF($L27="",FALSE,IF($L27&gt;$AJ27,TRUE,FALSE))</f>
        <v>0</v>
      </c>
      <c r="AA27" s="761" t="b">
        <f>IF(AND(E27="No",$L27=""),TRUE,FALSE)</f>
        <v>0</v>
      </c>
      <c r="AB27" s="761" t="b">
        <f>IF($AC27=TRUE,FALSE,IF(OR($N27&lt;0,$N27&gt;1),TRUE,FALSE))</f>
        <v>0</v>
      </c>
      <c r="AC27" s="761" t="b">
        <f>IF(OR($H27=0, $H27=""), FALSE, IF(AND(H27&gt;0, L27&lt;&gt;"", N27&lt;&gt;""), IF(AND((N27*100)&lt;100,P27=""), TRUE,FALSE), TRUE))</f>
        <v>0</v>
      </c>
      <c r="AE27" s="783">
        <f t="shared" ref="AE27:AJ27" si="2">IF($C27="","",VLOOKUP($C27,val_fg_assets,AE$5,FALSE))</f>
        <v>1</v>
      </c>
      <c r="AF27" s="835">
        <f t="shared" si="2"/>
        <v>0</v>
      </c>
      <c r="AG27" s="835">
        <f t="shared" si="2"/>
        <v>500</v>
      </c>
      <c r="AH27" s="783">
        <f t="shared" si="2"/>
        <v>15</v>
      </c>
      <c r="AI27" s="783">
        <f t="shared" si="2"/>
        <v>11</v>
      </c>
      <c r="AJ27" s="783">
        <f t="shared" si="2"/>
        <v>19</v>
      </c>
    </row>
    <row r="28" spans="1:37" ht="6" customHeight="1" x14ac:dyDescent="0.2">
      <c r="A28" s="1225"/>
      <c r="B28" s="1774">
        <v>18</v>
      </c>
      <c r="C28" s="1249"/>
      <c r="E28" s="1249"/>
      <c r="F28" s="1249"/>
      <c r="G28" s="1249"/>
      <c r="H28" s="1249"/>
      <c r="I28" s="1249"/>
      <c r="J28" s="1249"/>
      <c r="K28" s="1249"/>
      <c r="L28" s="1249"/>
      <c r="M28" s="1249"/>
      <c r="N28" s="1249"/>
      <c r="O28" s="1249"/>
      <c r="P28" s="1249"/>
      <c r="Q28" s="1249"/>
      <c r="R28" s="1393"/>
      <c r="V28" s="848"/>
      <c r="W28" s="848"/>
      <c r="X28" s="848"/>
      <c r="Y28" s="848"/>
      <c r="Z28" s="848"/>
      <c r="AA28" s="848"/>
      <c r="AB28" s="848"/>
      <c r="AC28" s="848"/>
      <c r="AE28" s="848"/>
      <c r="AF28" s="848"/>
      <c r="AG28" s="848"/>
      <c r="AH28" s="848"/>
      <c r="AI28" s="848"/>
      <c r="AJ28" s="848"/>
    </row>
    <row r="29" spans="1:37" x14ac:dyDescent="0.2">
      <c r="A29" s="852">
        <v>4</v>
      </c>
      <c r="B29" s="1773">
        <v>19</v>
      </c>
      <c r="C29" s="1249" t="str">
        <f>Valid!$B$83</f>
        <v>Single Crossover</v>
      </c>
      <c r="E29" s="1245" t="str">
        <f>IF(U29="N/A","",U29)</f>
        <v/>
      </c>
      <c r="F29" s="1249"/>
      <c r="G29" s="1249"/>
      <c r="H29" s="1247"/>
      <c r="I29" s="1246" t="str">
        <f>IF($C$13="","",IF(H29="","Qty? Enter Zero if N/A  ",""))</f>
        <v/>
      </c>
      <c r="J29" s="1249" t="str">
        <f>VLOOKUP(C29,Valid!$B$80:$C$86,2,FALSE)</f>
        <v>Each</v>
      </c>
      <c r="K29" s="1249"/>
      <c r="L29" s="1247"/>
      <c r="M29" s="1248" t="str">
        <f>IF($H29=0,"",IF($L29="",TEXT(AH29,0)&amp;" Years?    ",""))</f>
        <v/>
      </c>
      <c r="N29" s="1276"/>
      <c r="O29" s="1275" t="str">
        <f>IF($H29=0,"","% Cap Resp.    ")</f>
        <v/>
      </c>
      <c r="P29" s="1808"/>
      <c r="Q29" s="1275" t="str">
        <f>IF($H29=0,"","% Cap Resp.    ")</f>
        <v/>
      </c>
      <c r="R29" s="1392"/>
      <c r="U29" s="758" t="str">
        <f>IF(AND(R29="",N29="",L29="",H29="",L29=""),"N/A",IF(AND($H29=0,OR(L29&lt;&gt;"",N29&lt;&gt;"",R29&lt;&gt;"",L29&lt;&gt;"")),"No",IF(AND($H29&lt;&gt;0,OR($N29="",L29="")),"No","Yes")))</f>
        <v>N/A</v>
      </c>
      <c r="V29" s="761" t="b">
        <f>IF(AND(H29="",OR(L29&lt;&gt;"",N29&lt;&gt;"")),TRUE,FALSE)</f>
        <v>0</v>
      </c>
      <c r="W29" s="761" t="b">
        <f>IF(AND($C$13&lt;&gt;"",$H29=""),TRUE,FALSE)</f>
        <v>0</v>
      </c>
      <c r="X29" s="761" t="b">
        <f>IF(AND(H29&lt;&gt;"",H29&lt;&gt;0,H29&gt;AG29),TRUE,FALSE)</f>
        <v>0</v>
      </c>
      <c r="Y29" s="761" t="b">
        <f>IF($L29="",FALSE,IF($L29&lt;$AI29,TRUE,FALSE))</f>
        <v>0</v>
      </c>
      <c r="Z29" s="761" t="b">
        <f>IF($L29="",FALSE,IF($L29&gt;$AJ29,TRUE,FALSE))</f>
        <v>0</v>
      </c>
      <c r="AA29" s="761" t="b">
        <f>IF(AND(E29="No",$L29=""),TRUE,FALSE)</f>
        <v>0</v>
      </c>
      <c r="AB29" s="761" t="b">
        <f>IF($AC29=TRUE,FALSE,IF(OR($N29&lt;0,$N29&gt;1),TRUE,FALSE))</f>
        <v>0</v>
      </c>
      <c r="AC29" s="761" t="b">
        <f>IF(OR($H29=0, $H29=""), FALSE, IF(AND(H29&gt;0, L29&lt;&gt;"", N29&lt;&gt;""), IF(AND((N29*100)&lt;100,P29=""), TRUE,FALSE), TRUE))</f>
        <v>0</v>
      </c>
      <c r="AE29" s="783">
        <f t="shared" ref="AE29:AJ29" si="3">IF($C29="","",VLOOKUP($C29,val_fg_assets,AE$5,FALSE))</f>
        <v>1</v>
      </c>
      <c r="AF29" s="835">
        <f t="shared" si="3"/>
        <v>0</v>
      </c>
      <c r="AG29" s="835">
        <f t="shared" si="3"/>
        <v>500</v>
      </c>
      <c r="AH29" s="783">
        <f t="shared" si="3"/>
        <v>15</v>
      </c>
      <c r="AI29" s="783">
        <f t="shared" si="3"/>
        <v>11</v>
      </c>
      <c r="AJ29" s="783">
        <f t="shared" si="3"/>
        <v>19</v>
      </c>
    </row>
    <row r="30" spans="1:37" ht="6" customHeight="1" x14ac:dyDescent="0.2">
      <c r="A30" s="1225"/>
      <c r="B30" s="1773">
        <v>20</v>
      </c>
      <c r="C30" s="1249"/>
      <c r="E30" s="1249"/>
      <c r="F30" s="1249"/>
      <c r="G30" s="1249"/>
      <c r="H30" s="1249"/>
      <c r="I30" s="1249"/>
      <c r="J30" s="1249"/>
      <c r="K30" s="1249"/>
      <c r="L30" s="1249"/>
      <c r="M30" s="1249"/>
      <c r="N30" s="1249"/>
      <c r="O30" s="1249"/>
      <c r="P30" s="1249"/>
      <c r="Q30" s="1249"/>
      <c r="R30" s="1393"/>
      <c r="V30" s="848"/>
      <c r="W30" s="848"/>
      <c r="X30" s="848"/>
      <c r="Y30" s="848"/>
      <c r="Z30" s="848"/>
      <c r="AA30" s="848"/>
      <c r="AB30" s="848"/>
      <c r="AC30" s="848"/>
      <c r="AE30" s="848"/>
      <c r="AF30" s="848"/>
      <c r="AG30" s="848"/>
      <c r="AH30" s="848"/>
      <c r="AI30" s="848"/>
      <c r="AJ30" s="848"/>
    </row>
    <row r="31" spans="1:37" x14ac:dyDescent="0.2">
      <c r="A31" s="852">
        <v>5</v>
      </c>
      <c r="B31" s="1773">
        <v>21</v>
      </c>
      <c r="C31" s="1249" t="str">
        <f>Valid!$B$84</f>
        <v>Half Grand Union</v>
      </c>
      <c r="E31" s="1245" t="str">
        <f>IF(U31="N/A","",U31)</f>
        <v/>
      </c>
      <c r="F31" s="1249"/>
      <c r="G31" s="1249"/>
      <c r="H31" s="1247"/>
      <c r="I31" s="1246" t="str">
        <f>IF($C$13="","",IF(H31="","Qty? Enter Zero if N/A  ",""))</f>
        <v/>
      </c>
      <c r="J31" s="1249" t="str">
        <f>VLOOKUP(C31,Valid!$B$80:$C$86,2,FALSE)</f>
        <v>Each</v>
      </c>
      <c r="K31" s="1249"/>
      <c r="L31" s="1247"/>
      <c r="M31" s="1248" t="str">
        <f>IF($H31=0,"",IF($L31="",TEXT(AH31,0)&amp;" Years?    ",""))</f>
        <v/>
      </c>
      <c r="N31" s="1276"/>
      <c r="O31" s="1275" t="str">
        <f>IF($H31=0,"","% Cap Resp.    ")</f>
        <v/>
      </c>
      <c r="P31" s="1808"/>
      <c r="Q31" s="1275" t="str">
        <f>IF($H31=0,"","% Cap Resp.    ")</f>
        <v/>
      </c>
      <c r="R31" s="1392"/>
      <c r="U31" s="758" t="str">
        <f>IF(AND(R31="",N31="",L31="",H31="",L31=""),"N/A",IF(AND($H31=0,OR(L31&lt;&gt;"",N31&lt;&gt;"",R31&lt;&gt;"",L31&lt;&gt;"")),"No",IF(AND($H31&lt;&gt;0,OR($N31="",L31="")),"No","Yes")))</f>
        <v>N/A</v>
      </c>
      <c r="V31" s="761" t="b">
        <f>IF(AND(H31="",OR(L31&lt;&gt;"",N31&lt;&gt;"")),TRUE,FALSE)</f>
        <v>0</v>
      </c>
      <c r="W31" s="761" t="b">
        <f>IF(AND($C$13&lt;&gt;"",$H31=""),TRUE,FALSE)</f>
        <v>0</v>
      </c>
      <c r="X31" s="761" t="b">
        <f>IF(AND(H31&lt;&gt;"",H31&lt;&gt;0,H31&gt;AG31),TRUE,FALSE)</f>
        <v>0</v>
      </c>
      <c r="Y31" s="761" t="b">
        <f>IF($L31="",FALSE,IF($L31&lt;$AI31,TRUE,FALSE))</f>
        <v>0</v>
      </c>
      <c r="Z31" s="761" t="b">
        <f>IF($L31="",FALSE,IF($L31&gt;$AJ31,TRUE,FALSE))</f>
        <v>0</v>
      </c>
      <c r="AA31" s="761" t="b">
        <f>IF(AND(E31="No",$L31=""),TRUE,FALSE)</f>
        <v>0</v>
      </c>
      <c r="AB31" s="761" t="b">
        <f>IF($AC31=TRUE,FALSE,IF(OR($N31&lt;0,$N31&gt;1),TRUE,FALSE))</f>
        <v>0</v>
      </c>
      <c r="AC31" s="761" t="b">
        <f>IF(OR($H31=0, $H31=""), FALSE, IF(AND(H31&gt;0, L31&lt;&gt;"", N31&lt;&gt;""), IF(AND((N31*100)&lt;100,P31=""), TRUE,FALSE), TRUE))</f>
        <v>0</v>
      </c>
      <c r="AE31" s="783">
        <f t="shared" ref="AE31:AJ31" si="4">IF($C31="","",VLOOKUP($C31,val_fg_assets,AE$5,FALSE))</f>
        <v>1</v>
      </c>
      <c r="AF31" s="835">
        <f t="shared" si="4"/>
        <v>0</v>
      </c>
      <c r="AG31" s="835">
        <f t="shared" si="4"/>
        <v>500</v>
      </c>
      <c r="AH31" s="783">
        <f t="shared" si="4"/>
        <v>15</v>
      </c>
      <c r="AI31" s="783">
        <f t="shared" si="4"/>
        <v>11</v>
      </c>
      <c r="AJ31" s="783">
        <f t="shared" si="4"/>
        <v>19</v>
      </c>
    </row>
    <row r="32" spans="1:37" ht="6" customHeight="1" x14ac:dyDescent="0.2">
      <c r="A32" s="1225"/>
      <c r="B32" s="1773">
        <v>22</v>
      </c>
      <c r="C32" s="1249"/>
      <c r="E32" s="1249"/>
      <c r="F32" s="1249"/>
      <c r="G32" s="1249"/>
      <c r="H32" s="1249"/>
      <c r="I32" s="1249"/>
      <c r="J32" s="1249"/>
      <c r="K32" s="1249"/>
      <c r="L32" s="1249"/>
      <c r="M32" s="1249"/>
      <c r="N32" s="1249"/>
      <c r="O32" s="1249"/>
      <c r="P32" s="1249"/>
      <c r="Q32" s="1249"/>
      <c r="R32" s="1393"/>
      <c r="V32" s="848"/>
      <c r="W32" s="848"/>
      <c r="X32" s="848"/>
      <c r="Y32" s="848"/>
      <c r="Z32" s="848"/>
      <c r="AA32" s="848"/>
      <c r="AB32" s="848"/>
      <c r="AC32" s="848"/>
      <c r="AE32" s="848"/>
      <c r="AF32" s="848"/>
      <c r="AG32" s="848"/>
      <c r="AH32" s="848"/>
      <c r="AI32" s="848"/>
      <c r="AJ32" s="848"/>
    </row>
    <row r="33" spans="1:37" x14ac:dyDescent="0.2">
      <c r="A33" s="852">
        <v>6</v>
      </c>
      <c r="B33" s="1773">
        <v>23</v>
      </c>
      <c r="C33" s="1249" t="str">
        <f>Valid!$B$85</f>
        <v>Single Turnout</v>
      </c>
      <c r="E33" s="1245" t="str">
        <f>IF(U33="N/A","",U33)</f>
        <v/>
      </c>
      <c r="F33" s="1249"/>
      <c r="G33" s="1249"/>
      <c r="H33" s="1247"/>
      <c r="I33" s="1246" t="str">
        <f>IF($C$13="","",IF(H33="","Qty? Enter Zero if N/A  ",""))</f>
        <v/>
      </c>
      <c r="J33" s="1249" t="str">
        <f>VLOOKUP(C33,Valid!$B$80:$C$86,2,FALSE)</f>
        <v>Each</v>
      </c>
      <c r="K33" s="1249"/>
      <c r="L33" s="1247"/>
      <c r="M33" s="1248" t="str">
        <f>IF($H33=0,"",IF($L33="",TEXT(AH33,0)&amp;" Years?    ",""))</f>
        <v/>
      </c>
      <c r="N33" s="1276"/>
      <c r="O33" s="1275" t="str">
        <f>IF($H33=0,"","% Cap Resp.    ")</f>
        <v/>
      </c>
      <c r="P33" s="1808"/>
      <c r="Q33" s="1275" t="str">
        <f>IF($H33=0,"","% Cap Resp.    ")</f>
        <v/>
      </c>
      <c r="R33" s="1392"/>
      <c r="U33" s="758" t="str">
        <f>IF(AND(R33="",N33="",L33="",H33="",L33=""),"N/A",IF(AND($H33=0,OR(L33&lt;&gt;"",N33&lt;&gt;"",R33&lt;&gt;"",L33&lt;&gt;"")),"No",IF(AND($H33&lt;&gt;0,OR($N33="",L33="")),"No","Yes")))</f>
        <v>N/A</v>
      </c>
      <c r="V33" s="761" t="b">
        <f>IF(AND(H33="",OR(L33&lt;&gt;"",N33&lt;&gt;"")),TRUE,FALSE)</f>
        <v>0</v>
      </c>
      <c r="W33" s="761" t="b">
        <f>IF(AND($C$13&lt;&gt;"",$H33=""),TRUE,FALSE)</f>
        <v>0</v>
      </c>
      <c r="X33" s="761" t="b">
        <f>IF(AND(H33&lt;&gt;"",H33&lt;&gt;0,H33&gt;AG33),TRUE,FALSE)</f>
        <v>0</v>
      </c>
      <c r="Y33" s="761" t="b">
        <f>IF($L33="",FALSE,IF($L33&lt;$AI33,TRUE,FALSE))</f>
        <v>0</v>
      </c>
      <c r="Z33" s="761" t="b">
        <f>IF($L33="",FALSE,IF($L33&gt;$AJ33,TRUE,FALSE))</f>
        <v>0</v>
      </c>
      <c r="AA33" s="761" t="b">
        <f>IF(AND(E33="No",$L33=""),TRUE,FALSE)</f>
        <v>0</v>
      </c>
      <c r="AB33" s="761" t="b">
        <f>IF($AC33=TRUE,FALSE,IF(OR($N33&lt;0,$N33&gt;1),TRUE,FALSE))</f>
        <v>0</v>
      </c>
      <c r="AC33" s="761" t="b">
        <f>IF(OR($H33=0, $H33=""), FALSE, IF(AND(H33&gt;0, L33&lt;&gt;"", N33&lt;&gt;""), IF(AND((N33*100)&lt;100,P33=""), TRUE,FALSE), TRUE))</f>
        <v>0</v>
      </c>
      <c r="AE33" s="783">
        <f t="shared" ref="AE33:AJ33" si="5">IF($C33="","",VLOOKUP($C33,val_fg_assets,AE$5,FALSE))</f>
        <v>1</v>
      </c>
      <c r="AF33" s="835">
        <f t="shared" si="5"/>
        <v>0</v>
      </c>
      <c r="AG33" s="835">
        <f t="shared" si="5"/>
        <v>500</v>
      </c>
      <c r="AH33" s="783">
        <f t="shared" si="5"/>
        <v>15</v>
      </c>
      <c r="AI33" s="783">
        <f t="shared" si="5"/>
        <v>11</v>
      </c>
      <c r="AJ33" s="783">
        <f t="shared" si="5"/>
        <v>19</v>
      </c>
    </row>
    <row r="34" spans="1:37" ht="6" customHeight="1" x14ac:dyDescent="0.2">
      <c r="A34" s="1225"/>
      <c r="B34" s="1773">
        <v>24</v>
      </c>
      <c r="C34" s="1249"/>
      <c r="E34" s="1249"/>
      <c r="F34" s="1249"/>
      <c r="G34" s="1249"/>
      <c r="H34" s="1249"/>
      <c r="I34" s="1249"/>
      <c r="J34" s="1249"/>
      <c r="K34" s="1249"/>
      <c r="L34" s="1249"/>
      <c r="M34" s="1249"/>
      <c r="N34" s="1249"/>
      <c r="O34" s="1249"/>
      <c r="P34" s="1249"/>
      <c r="Q34" s="1249"/>
      <c r="R34" s="1393"/>
      <c r="V34" s="848"/>
      <c r="W34" s="848"/>
      <c r="X34" s="848"/>
      <c r="Y34" s="848"/>
      <c r="Z34" s="848"/>
      <c r="AA34" s="848"/>
      <c r="AB34" s="848"/>
      <c r="AC34" s="848"/>
      <c r="AE34" s="848"/>
      <c r="AF34" s="848"/>
      <c r="AG34" s="848"/>
      <c r="AH34" s="848"/>
      <c r="AI34" s="848"/>
      <c r="AJ34" s="848"/>
    </row>
    <row r="35" spans="1:37" x14ac:dyDescent="0.2">
      <c r="A35" s="852">
        <v>7</v>
      </c>
      <c r="B35" s="1773">
        <v>25</v>
      </c>
      <c r="C35" s="1249" t="str">
        <f>Valid!$B$86</f>
        <v>Grade Crossings</v>
      </c>
      <c r="E35" s="1245" t="str">
        <f>IF(U35="N/A","",U35)</f>
        <v/>
      </c>
      <c r="F35" s="1249"/>
      <c r="G35" s="1249"/>
      <c r="H35" s="1247"/>
      <c r="I35" s="1246" t="str">
        <f>IF($C$13="","",IF(H35="","Qty? Enter Zero if N/A  ",""))</f>
        <v/>
      </c>
      <c r="J35" s="1249" t="str">
        <f>VLOOKUP(C35,Valid!$B$80:$C$86,2,FALSE)</f>
        <v>Each</v>
      </c>
      <c r="K35" s="1249"/>
      <c r="L35" s="1247"/>
      <c r="M35" s="1248" t="str">
        <f>IF($H35=0,"",IF($L35="",TEXT(AH35,0)&amp;" Years?    ",""))</f>
        <v/>
      </c>
      <c r="N35" s="1276"/>
      <c r="O35" s="1275" t="str">
        <f>IF($H35=0,"","% Cap Resp.    ")</f>
        <v/>
      </c>
      <c r="P35" s="1808"/>
      <c r="Q35" s="1275" t="str">
        <f>IF($H35=0,"","% Cap Resp.    ")</f>
        <v/>
      </c>
      <c r="R35" s="1392"/>
      <c r="U35" s="758" t="str">
        <f>IF(AND(R35="",N35="",L35="",H35="",L35=""),"N/A",IF(AND($H35=0,OR(L35&lt;&gt;"",N35&lt;&gt;"",R35&lt;&gt;"",L35&lt;&gt;"")),"No",IF(AND($H35&lt;&gt;0,OR($N35="",L35="")),"No","Yes")))</f>
        <v>N/A</v>
      </c>
      <c r="V35" s="761" t="b">
        <f>IF(AND(H35="",OR(L35&lt;&gt;"",N35&lt;&gt;"")),TRUE,FALSE)</f>
        <v>0</v>
      </c>
      <c r="W35" s="761" t="b">
        <f>IF(AND($C$13&lt;&gt;"",$H35=""),TRUE,FALSE)</f>
        <v>0</v>
      </c>
      <c r="X35" s="761" t="b">
        <f>IF(AND(H35&lt;&gt;"",H35&lt;&gt;0,H35&gt;AG35),TRUE,FALSE)</f>
        <v>0</v>
      </c>
      <c r="Y35" s="761" t="b">
        <f>IF($L35="",FALSE,IF($L35&lt;$AI35,TRUE,FALSE))</f>
        <v>0</v>
      </c>
      <c r="Z35" s="761" t="b">
        <f>IF($L35="",FALSE,IF($L35&gt;$AJ35,TRUE,FALSE))</f>
        <v>0</v>
      </c>
      <c r="AA35" s="761" t="b">
        <f>IF(AND(E35="No",$L35=""),TRUE,FALSE)</f>
        <v>0</v>
      </c>
      <c r="AB35" s="761" t="b">
        <f>IF($AC35=TRUE,FALSE,IF(OR($N35&lt;0,$N35&gt;1),TRUE,FALSE))</f>
        <v>0</v>
      </c>
      <c r="AC35" s="761" t="b">
        <f>IF(OR($H35=0, $H35=""), FALSE, IF(AND(H35&gt;0, L35&lt;&gt;"", N35&lt;&gt;""), IF(AND((N35*100)&lt;100,P35=""), TRUE,FALSE), TRUE))</f>
        <v>0</v>
      </c>
      <c r="AE35" s="783">
        <f t="shared" ref="AE35:AJ35" si="6">IF($C35="","",VLOOKUP($C35,val_fg_assets,AE$5,FALSE))</f>
        <v>1</v>
      </c>
      <c r="AF35" s="835">
        <f t="shared" si="6"/>
        <v>0</v>
      </c>
      <c r="AG35" s="835">
        <f t="shared" si="6"/>
        <v>500</v>
      </c>
      <c r="AH35" s="783">
        <f t="shared" si="6"/>
        <v>15</v>
      </c>
      <c r="AI35" s="783">
        <f t="shared" si="6"/>
        <v>11</v>
      </c>
      <c r="AJ35" s="783">
        <f t="shared" si="6"/>
        <v>19</v>
      </c>
    </row>
    <row r="36" spans="1:37" ht="6" customHeight="1" thickBot="1" x14ac:dyDescent="0.25">
      <c r="A36" s="1225"/>
      <c r="B36" s="1774">
        <v>26</v>
      </c>
      <c r="C36" s="1249"/>
      <c r="E36" s="1249"/>
      <c r="F36" s="1249"/>
      <c r="G36" s="1249"/>
      <c r="H36" s="1249"/>
      <c r="I36" s="1249"/>
      <c r="J36" s="1249"/>
      <c r="K36" s="1249"/>
      <c r="L36" s="1249"/>
      <c r="M36" s="1249"/>
      <c r="N36" s="1249"/>
      <c r="O36" s="1249"/>
      <c r="P36" s="1249"/>
      <c r="Q36" s="1249"/>
      <c r="R36" s="1393"/>
      <c r="V36" s="848"/>
      <c r="W36" s="848"/>
      <c r="X36" s="848"/>
      <c r="Y36" s="848"/>
      <c r="Z36" s="848"/>
      <c r="AA36" s="848"/>
      <c r="AB36" s="848"/>
      <c r="AC36" s="848"/>
      <c r="AE36" s="848"/>
      <c r="AF36" s="848"/>
      <c r="AG36" s="848"/>
      <c r="AH36" s="848"/>
      <c r="AI36" s="848"/>
      <c r="AJ36" s="848"/>
    </row>
    <row r="37" spans="1:37" x14ac:dyDescent="0.2">
      <c r="A37" s="1712" t="s">
        <v>2621</v>
      </c>
      <c r="B37" s="1773">
        <v>27</v>
      </c>
      <c r="C37" s="1249"/>
      <c r="E37" s="1249"/>
      <c r="F37" s="1278" t="str">
        <f>IF(C13="","Track Special Work Totals (excluding linear assets)&gt;&gt;",VLOOKUP(C13,Codes!$C$156:$D$174,2)&amp;" Track Special Work Totals (excluding linear assets)&gt;&gt;")</f>
        <v>Track Special Work Totals (excluding linear assets)&gt;&gt;</v>
      </c>
      <c r="G37" s="1249"/>
      <c r="H37" s="1032">
        <f>SUM(H27:H35)</f>
        <v>0</v>
      </c>
      <c r="I37" s="1249"/>
      <c r="J37" s="1249"/>
      <c r="K37" s="1249"/>
      <c r="L37" s="1249"/>
      <c r="M37" s="1249"/>
      <c r="N37" s="1249"/>
      <c r="O37" s="1249"/>
      <c r="P37" s="1249"/>
      <c r="Q37" s="1249"/>
      <c r="R37" s="1393"/>
      <c r="V37" s="848"/>
      <c r="W37" s="848"/>
      <c r="X37" s="848"/>
      <c r="Y37" s="848"/>
      <c r="Z37" s="848"/>
      <c r="AA37" s="848"/>
      <c r="AB37" s="848"/>
      <c r="AC37" s="848"/>
      <c r="AE37" s="848"/>
      <c r="AF37" s="848"/>
      <c r="AG37" s="848"/>
      <c r="AH37" s="848"/>
      <c r="AI37" s="848"/>
      <c r="AJ37" s="848"/>
    </row>
    <row r="38" spans="1:37" ht="6" customHeight="1" x14ac:dyDescent="0.2">
      <c r="B38" s="1773">
        <v>28</v>
      </c>
      <c r="C38" s="1268"/>
      <c r="E38" s="1249"/>
      <c r="F38" s="1249"/>
      <c r="G38" s="1249"/>
      <c r="H38" s="1249"/>
      <c r="I38" s="1249"/>
      <c r="J38" s="1249"/>
      <c r="K38" s="1249"/>
      <c r="L38" s="1249"/>
      <c r="M38" s="1249"/>
      <c r="N38" s="1249"/>
      <c r="O38" s="1249"/>
      <c r="P38" s="1249"/>
      <c r="Q38" s="1249"/>
      <c r="R38" s="1393"/>
      <c r="V38" s="848"/>
      <c r="W38" s="848"/>
      <c r="X38" s="848"/>
      <c r="Y38" s="759"/>
      <c r="Z38" s="759"/>
      <c r="AA38" s="848"/>
      <c r="AB38" s="848"/>
      <c r="AC38" s="848"/>
      <c r="AE38" s="848"/>
      <c r="AF38" s="848"/>
      <c r="AG38" s="848"/>
      <c r="AH38" s="848"/>
      <c r="AI38" s="848"/>
      <c r="AJ38" s="848"/>
    </row>
    <row r="39" spans="1:37" ht="6" customHeight="1" x14ac:dyDescent="0.2">
      <c r="B39" s="1773">
        <v>29</v>
      </c>
      <c r="E39" s="1249"/>
      <c r="F39" s="1249"/>
      <c r="G39" s="1249"/>
      <c r="H39" s="1249"/>
      <c r="I39" s="1249"/>
      <c r="J39" s="1249"/>
      <c r="K39" s="1249"/>
      <c r="L39" s="1249"/>
      <c r="M39" s="1249"/>
      <c r="N39" s="1249"/>
      <c r="O39" s="1249"/>
      <c r="P39" s="1249"/>
      <c r="Q39" s="1249"/>
      <c r="R39" s="1393"/>
      <c r="V39" s="848"/>
      <c r="W39" s="848"/>
      <c r="X39" s="848"/>
      <c r="Y39" s="848"/>
      <c r="Z39" s="848"/>
      <c r="AA39" s="848"/>
      <c r="AB39" s="848"/>
      <c r="AC39" s="848"/>
      <c r="AE39" s="848"/>
      <c r="AF39" s="848"/>
      <c r="AG39" s="848"/>
      <c r="AH39" s="848"/>
      <c r="AI39" s="848"/>
      <c r="AJ39" s="848"/>
    </row>
    <row r="40" spans="1:37" ht="6" customHeight="1" x14ac:dyDescent="0.2">
      <c r="A40" s="1815"/>
      <c r="B40" s="1819">
        <v>30</v>
      </c>
      <c r="C40" s="1816"/>
      <c r="D40" s="1847"/>
      <c r="E40" s="1817"/>
      <c r="F40" s="1817"/>
      <c r="G40" s="1817"/>
      <c r="H40" s="1817"/>
      <c r="I40" s="1817"/>
      <c r="J40" s="1817"/>
      <c r="K40" s="1817"/>
      <c r="L40" s="1817"/>
      <c r="M40" s="1817"/>
      <c r="N40" s="1817"/>
      <c r="O40" s="1817"/>
      <c r="P40" s="1817"/>
      <c r="Q40" s="1817"/>
      <c r="R40" s="1818"/>
      <c r="S40" s="1815"/>
      <c r="T40" s="1815"/>
      <c r="U40" s="1815"/>
      <c r="V40" s="1814"/>
      <c r="W40" s="1814"/>
      <c r="X40" s="1814"/>
      <c r="Y40" s="1814"/>
      <c r="Z40" s="1814"/>
      <c r="AA40" s="1814"/>
      <c r="AB40" s="1814"/>
      <c r="AC40" s="1814"/>
      <c r="AD40" s="1815"/>
      <c r="AE40" s="1814"/>
      <c r="AF40" s="1814"/>
      <c r="AG40" s="1814"/>
      <c r="AH40" s="1814"/>
      <c r="AI40" s="1814"/>
      <c r="AJ40" s="1814"/>
    </row>
    <row r="41" spans="1:37" ht="6" customHeight="1" x14ac:dyDescent="0.2">
      <c r="B41" s="1773">
        <v>31</v>
      </c>
      <c r="E41" s="1057"/>
      <c r="H41" s="1250"/>
      <c r="L41" s="1270"/>
      <c r="V41" s="848"/>
      <c r="W41" s="848"/>
      <c r="X41" s="848"/>
      <c r="Y41" s="848"/>
      <c r="Z41" s="848"/>
      <c r="AA41" s="848"/>
      <c r="AB41" s="848"/>
      <c r="AC41" s="848"/>
      <c r="AE41" s="848"/>
      <c r="AF41" s="848"/>
      <c r="AG41" s="848"/>
      <c r="AH41" s="848"/>
      <c r="AI41" s="848"/>
      <c r="AJ41" s="848"/>
    </row>
    <row r="42" spans="1:37" ht="6" customHeight="1" x14ac:dyDescent="0.2">
      <c r="B42" s="1773">
        <v>32</v>
      </c>
      <c r="E42" s="1057"/>
      <c r="H42" s="1250"/>
      <c r="L42" s="1251"/>
      <c r="V42" s="848"/>
      <c r="W42" s="848"/>
      <c r="X42" s="848"/>
      <c r="Y42" s="848"/>
      <c r="Z42" s="848"/>
      <c r="AA42" s="848"/>
      <c r="AB42" s="848"/>
      <c r="AC42" s="848"/>
      <c r="AE42" s="848"/>
      <c r="AF42" s="848"/>
      <c r="AG42" s="848"/>
      <c r="AH42" s="848"/>
      <c r="AI42" s="848"/>
      <c r="AJ42" s="848"/>
    </row>
    <row r="43" spans="1:37" s="760" customFormat="1" ht="6" customHeight="1" x14ac:dyDescent="0.2">
      <c r="A43" s="721"/>
      <c r="B43" s="1773">
        <v>33</v>
      </c>
      <c r="C43" s="1271"/>
      <c r="D43" s="1845"/>
      <c r="E43" s="721"/>
      <c r="F43" s="736"/>
      <c r="G43" s="736"/>
      <c r="H43" s="1272"/>
      <c r="I43" s="822"/>
      <c r="J43" s="817"/>
      <c r="K43" s="822"/>
      <c r="L43" s="1273"/>
      <c r="M43" s="758"/>
      <c r="N43" s="822"/>
      <c r="O43" s="823"/>
      <c r="P43" s="822"/>
      <c r="Q43" s="823"/>
      <c r="R43" s="1391"/>
      <c r="S43" s="1219"/>
      <c r="U43" s="1219"/>
      <c r="V43" s="759"/>
      <c r="W43" s="759"/>
      <c r="X43" s="759"/>
      <c r="Y43" s="759"/>
      <c r="Z43" s="759"/>
      <c r="AA43" s="759"/>
      <c r="AB43" s="759"/>
      <c r="AC43" s="759"/>
      <c r="AE43" s="1274"/>
      <c r="AF43" s="1274"/>
      <c r="AG43" s="1274"/>
      <c r="AH43" s="1274"/>
      <c r="AI43" s="1274"/>
      <c r="AJ43" s="1274"/>
      <c r="AK43" s="1219"/>
    </row>
    <row r="44" spans="1:37" s="760" customFormat="1" x14ac:dyDescent="0.2">
      <c r="A44" s="1712" t="s">
        <v>2621</v>
      </c>
      <c r="B44" s="1774">
        <v>34</v>
      </c>
      <c r="C44" s="1416"/>
      <c r="D44" s="1248" t="str">
        <f>IF(AND(C13&lt;&gt;"",$C44=""),"Select Mode from Pull-Down List                                                                       ","")</f>
        <v/>
      </c>
      <c r="E44" s="1277" t="str">
        <f>IF(AND(C44="",OR(H50&lt;&gt;"",H52&lt;&gt;"",L50&lt;&gt;"",N50&lt;&gt;"",L52&lt;&gt;"",N52&lt;&gt;"",R50&lt;&gt;"",R52&lt;&gt;"",C46&lt;&gt;"",H68&lt;&gt;0,L58&lt;&gt;"",L60&lt;&gt;"",L62&lt;&gt;"",L64&lt;&gt;"",L66&lt;&gt;"",N58&lt;&gt;"",N60&lt;&gt;"",N62&lt;&gt;"",N64&lt;&gt;"",N66&lt;&gt;"",R58&lt;&gt;"",R60&lt;&gt;"",R62&lt;&gt;"",R64&lt;&gt;"",R66&lt;&gt;"")),"&lt;&lt; Insert Rail Mode",IF(AND(C44&lt;&gt;"",C13=""),"&lt;&lt;Complete Previous Section First",""))</f>
        <v/>
      </c>
      <c r="F44" s="736"/>
      <c r="G44" s="736"/>
      <c r="H44" s="1253"/>
      <c r="I44" s="1254"/>
      <c r="J44" s="1255"/>
      <c r="K44" s="1256"/>
      <c r="L44" s="1257"/>
      <c r="M44" s="1254"/>
      <c r="N44" s="1254"/>
      <c r="O44" s="1254"/>
      <c r="P44" s="1254"/>
      <c r="Q44" s="1254"/>
      <c r="R44" s="1223"/>
      <c r="S44" s="1221"/>
      <c r="T44" s="758"/>
      <c r="U44" s="758" t="b">
        <f>IF(OR(E44&lt;&gt;"",E75="&lt;&lt;Complete Previous Section First"),TRUE,FALSE)</f>
        <v>0</v>
      </c>
      <c r="V44" s="763"/>
      <c r="W44" s="763"/>
      <c r="X44" s="763"/>
      <c r="Y44" s="763"/>
      <c r="Z44" s="763"/>
      <c r="AA44" s="763"/>
      <c r="AB44" s="763"/>
      <c r="AC44" s="763"/>
      <c r="AE44" s="833"/>
      <c r="AF44" s="833"/>
      <c r="AG44" s="833"/>
      <c r="AH44" s="833"/>
      <c r="AI44" s="833"/>
      <c r="AJ44" s="833"/>
      <c r="AK44" s="1221"/>
    </row>
    <row r="45" spans="1:37" s="760" customFormat="1" ht="6" customHeight="1" x14ac:dyDescent="0.2">
      <c r="A45" s="721"/>
      <c r="B45" s="1773">
        <v>35</v>
      </c>
      <c r="C45" s="1434"/>
      <c r="D45" s="1248"/>
      <c r="E45" s="1277"/>
      <c r="F45" s="736"/>
      <c r="G45" s="736"/>
      <c r="H45" s="1253"/>
      <c r="I45" s="1254"/>
      <c r="J45" s="1255"/>
      <c r="K45" s="1256"/>
      <c r="L45" s="1257"/>
      <c r="M45" s="1254"/>
      <c r="N45" s="1254"/>
      <c r="O45" s="1254"/>
      <c r="P45" s="1254"/>
      <c r="Q45" s="1254"/>
      <c r="R45" s="1223"/>
      <c r="S45" s="1221"/>
      <c r="T45" s="758"/>
      <c r="U45" s="758"/>
      <c r="V45" s="763"/>
      <c r="W45" s="763"/>
      <c r="X45" s="763"/>
      <c r="Y45" s="763"/>
      <c r="Z45" s="763"/>
      <c r="AA45" s="763"/>
      <c r="AB45" s="763"/>
      <c r="AC45" s="763"/>
      <c r="AE45" s="833"/>
      <c r="AF45" s="833"/>
      <c r="AG45" s="833"/>
      <c r="AH45" s="833"/>
      <c r="AI45" s="833"/>
      <c r="AJ45" s="833"/>
      <c r="AK45" s="1221"/>
    </row>
    <row r="46" spans="1:37" s="760" customFormat="1" x14ac:dyDescent="0.2">
      <c r="A46" s="1712" t="s">
        <v>2621</v>
      </c>
      <c r="B46" s="1773">
        <v>36</v>
      </c>
      <c r="C46" s="1417"/>
      <c r="D46" s="1248" t="str">
        <f>IF(AND(C44&lt;&gt;"",C46=""),"Agency-Specific "&amp;VLOOKUP(C44,Codes!$C$156:$D$174,2,FALSE)&amp;" Curvature Threshold (ft. radius or degrees)  ","")</f>
        <v/>
      </c>
      <c r="E46" s="1277"/>
      <c r="F46" s="736"/>
      <c r="G46" s="851"/>
      <c r="H46" s="1253"/>
      <c r="I46" s="1254"/>
      <c r="J46" s="1255"/>
      <c r="K46" s="1256"/>
      <c r="L46" s="1257"/>
      <c r="M46" s="1254"/>
      <c r="N46" s="1254"/>
      <c r="O46" s="1254"/>
      <c r="P46" s="1254"/>
      <c r="Q46" s="1254"/>
      <c r="R46" s="1223"/>
      <c r="S46" s="1221"/>
      <c r="T46" s="758"/>
      <c r="U46" s="758" t="b">
        <f>IF(AND(C44&lt;&gt;"",C46=""),TRUE,FALSE)</f>
        <v>0</v>
      </c>
      <c r="V46" s="763"/>
      <c r="W46" s="763"/>
      <c r="X46" s="763"/>
      <c r="Y46" s="763"/>
      <c r="Z46" s="763"/>
      <c r="AA46" s="763"/>
      <c r="AB46" s="763"/>
      <c r="AC46" s="763"/>
      <c r="AE46" s="833"/>
      <c r="AF46" s="833"/>
      <c r="AG46" s="833"/>
      <c r="AH46" s="833"/>
      <c r="AI46" s="833"/>
      <c r="AJ46" s="833"/>
      <c r="AK46" s="1221"/>
    </row>
    <row r="47" spans="1:37" s="760" customFormat="1" ht="6" customHeight="1" x14ac:dyDescent="0.2">
      <c r="A47" s="721"/>
      <c r="B47" s="1773">
        <v>37</v>
      </c>
      <c r="C47" s="828"/>
      <c r="D47" s="1845"/>
      <c r="E47" s="721"/>
      <c r="F47" s="281"/>
      <c r="G47" s="281"/>
      <c r="H47" s="1029"/>
      <c r="I47" s="829"/>
      <c r="J47" s="830"/>
      <c r="K47" s="829"/>
      <c r="L47" s="1031"/>
      <c r="M47" s="758"/>
      <c r="N47" s="724"/>
      <c r="O47" s="724"/>
      <c r="P47" s="724"/>
      <c r="Q47" s="724"/>
      <c r="R47" s="1223"/>
      <c r="S47" s="1221"/>
      <c r="T47" s="1219"/>
      <c r="U47" s="1221"/>
      <c r="V47" s="759"/>
      <c r="W47" s="759"/>
      <c r="X47" s="759"/>
      <c r="Y47" s="759"/>
      <c r="Z47" s="759"/>
      <c r="AA47" s="759"/>
      <c r="AB47" s="759"/>
      <c r="AC47" s="759"/>
      <c r="AE47" s="833"/>
      <c r="AF47" s="833"/>
      <c r="AG47" s="833"/>
      <c r="AH47" s="833"/>
      <c r="AI47" s="833"/>
      <c r="AJ47" s="833"/>
      <c r="AK47" s="1221"/>
    </row>
    <row r="48" spans="1:37" s="760" customFormat="1" x14ac:dyDescent="0.2">
      <c r="A48" s="1712" t="s">
        <v>2621</v>
      </c>
      <c r="B48" s="1773">
        <v>38</v>
      </c>
      <c r="C48" s="205" t="str">
        <f>IF(C44="","Linear Track",VLOOKUP(C44,Codes!$C$156:$D$174,2)&amp;" Linear Track")</f>
        <v>Linear Track</v>
      </c>
      <c r="D48" s="1845"/>
      <c r="E48" s="721"/>
      <c r="F48" s="281"/>
      <c r="G48" s="281"/>
      <c r="H48" s="1029"/>
      <c r="I48" s="829"/>
      <c r="J48" s="830"/>
      <c r="K48" s="829"/>
      <c r="L48" s="1031"/>
      <c r="M48" s="758"/>
      <c r="N48" s="724"/>
      <c r="O48" s="724"/>
      <c r="P48" s="724"/>
      <c r="Q48" s="724"/>
      <c r="R48" s="1223"/>
      <c r="S48" s="1221"/>
      <c r="T48" s="1219"/>
      <c r="U48" s="1221"/>
      <c r="V48" s="759"/>
      <c r="W48" s="759"/>
      <c r="X48" s="759"/>
      <c r="Y48" s="759"/>
      <c r="Z48" s="759"/>
      <c r="AA48" s="759"/>
      <c r="AB48" s="759"/>
      <c r="AC48" s="759"/>
      <c r="AE48" s="833"/>
      <c r="AF48" s="833"/>
      <c r="AG48" s="833"/>
      <c r="AH48" s="833"/>
      <c r="AI48" s="833"/>
      <c r="AJ48" s="833"/>
      <c r="AK48" s="1221"/>
    </row>
    <row r="49" spans="1:37" s="760" customFormat="1" ht="6" customHeight="1" x14ac:dyDescent="0.2">
      <c r="A49" s="721"/>
      <c r="B49" s="1773">
        <v>39</v>
      </c>
      <c r="C49" s="828"/>
      <c r="D49" s="1845"/>
      <c r="E49" s="721"/>
      <c r="F49" s="281"/>
      <c r="G49" s="281"/>
      <c r="H49" s="1029"/>
      <c r="I49" s="829"/>
      <c r="J49" s="830"/>
      <c r="K49" s="829"/>
      <c r="L49" s="1031"/>
      <c r="M49" s="758"/>
      <c r="N49" s="724"/>
      <c r="O49" s="724"/>
      <c r="P49" s="724"/>
      <c r="Q49" s="724"/>
      <c r="R49" s="1223"/>
      <c r="S49" s="1221"/>
      <c r="T49" s="1219"/>
      <c r="U49" s="1221"/>
      <c r="V49" s="759"/>
      <c r="W49" s="759"/>
      <c r="X49" s="759"/>
      <c r="Y49" s="759"/>
      <c r="Z49" s="759"/>
      <c r="AA49" s="759"/>
      <c r="AB49" s="759"/>
      <c r="AC49" s="759"/>
      <c r="AE49" s="833"/>
      <c r="AF49" s="833"/>
      <c r="AG49" s="833"/>
      <c r="AH49" s="833"/>
      <c r="AI49" s="833"/>
      <c r="AJ49" s="833"/>
      <c r="AK49" s="1221"/>
    </row>
    <row r="50" spans="1:37" s="760" customFormat="1" x14ac:dyDescent="0.2">
      <c r="A50" s="852">
        <v>8</v>
      </c>
      <c r="B50" s="1773">
        <v>40</v>
      </c>
      <c r="C50" s="851" t="str">
        <f>Valid!$B$80</f>
        <v>Tangent</v>
      </c>
      <c r="D50" s="1845"/>
      <c r="E50" s="1245" t="str">
        <f>IF(U50="N/A","",U50)</f>
        <v/>
      </c>
      <c r="F50" s="685"/>
      <c r="G50" s="685"/>
      <c r="H50" s="1247"/>
      <c r="I50" s="1246" t="str">
        <f>IF($C$44="","",IF(H50="","Qty? Enter Zero if N/A  ",""))</f>
        <v/>
      </c>
      <c r="J50" s="1249" t="str">
        <f>VLOOKUP(C50,Valid!$B$80:$C$86,2,FALSE)</f>
        <v>Track Feet</v>
      </c>
      <c r="K50" s="764"/>
      <c r="L50" s="1247"/>
      <c r="M50" s="1248" t="str">
        <f>IF($H50=0,"",IF($L50="",TEXT(AH50,0)&amp;" Years?    ",""))</f>
        <v/>
      </c>
      <c r="N50" s="1276"/>
      <c r="O50" s="1275" t="str">
        <f>IF($H50=0,"","% Cap Resp.    ")</f>
        <v/>
      </c>
      <c r="P50" s="1808"/>
      <c r="Q50" s="1275" t="str">
        <f>IF($H50=0,"","% Cap Resp.    ")</f>
        <v/>
      </c>
      <c r="R50" s="1392"/>
      <c r="S50" s="1223"/>
      <c r="T50" s="1223"/>
      <c r="U50" s="758" t="str">
        <f>IF(AND(R50="",N50="",L50="",H50="",L50=""),"N/A",IF(AND($H50=0,OR(L50&lt;&gt;"",N50&lt;&gt;"",R50&lt;&gt;"",L50&lt;&gt;"")),"No",IF(AND($H50&lt;&gt;0,OR($N50="",L50="")),"No","Yes")))</f>
        <v>N/A</v>
      </c>
      <c r="V50" s="761" t="b">
        <f>IF(AND(H50="",OR(L50&lt;&gt;"",N50&lt;&gt;"")),TRUE,FALSE)</f>
        <v>0</v>
      </c>
      <c r="W50" s="761" t="b">
        <f>IF(AND($C$44&lt;&gt;"",$H50=""),TRUE,FALSE)</f>
        <v>0</v>
      </c>
      <c r="X50" s="761" t="b">
        <f>IF(AND(H50&lt;&gt;"",H50&lt;&gt;0,H50&gt;AG50),TRUE,FALSE)</f>
        <v>0</v>
      </c>
      <c r="Y50" s="761" t="b">
        <f>IF($L50="",FALSE,IF($L50&lt;$AI50,TRUE,FALSE))</f>
        <v>0</v>
      </c>
      <c r="Z50" s="761" t="b">
        <f>IF($L50="",FALSE,IF($L50&gt;$AJ50,TRUE,FALSE))</f>
        <v>0</v>
      </c>
      <c r="AA50" s="761" t="b">
        <f>IF(AND(E50="No",$L50=""),TRUE,FALSE)</f>
        <v>0</v>
      </c>
      <c r="AB50" s="761" t="b">
        <f>IF($AC50=TRUE,FALSE,IF(OR($N50&lt;0,$N50&gt;1),TRUE,FALSE))</f>
        <v>0</v>
      </c>
      <c r="AC50" s="761" t="b">
        <f>IF(OR($H50=0, $H50=""), FALSE, IF(AND(H50&gt;0, L50&lt;&gt;"", N50&lt;&gt;""), IF(AND((N50*100)&lt;100,P50=""), TRUE,FALSE), TRUE))</f>
        <v>0</v>
      </c>
      <c r="AD50" s="762"/>
      <c r="AE50" s="783">
        <f t="shared" ref="AE50:AJ50" si="7">IF($C50="","",VLOOKUP($C50,val_fg_assets,AE$5,FALSE))</f>
        <v>1</v>
      </c>
      <c r="AF50" s="835">
        <f t="shared" si="7"/>
        <v>0</v>
      </c>
      <c r="AG50" s="835">
        <f t="shared" si="7"/>
        <v>3000000</v>
      </c>
      <c r="AH50" s="783">
        <f t="shared" si="7"/>
        <v>35</v>
      </c>
      <c r="AI50" s="783">
        <f t="shared" si="7"/>
        <v>26</v>
      </c>
      <c r="AJ50" s="783">
        <f t="shared" si="7"/>
        <v>44</v>
      </c>
      <c r="AK50" s="834"/>
    </row>
    <row r="51" spans="1:37" s="760" customFormat="1" ht="6" customHeight="1" x14ac:dyDescent="0.2">
      <c r="A51" s="852"/>
      <c r="B51" s="1773">
        <v>41</v>
      </c>
      <c r="C51" s="1222"/>
      <c r="D51" s="1845"/>
      <c r="E51" s="1059"/>
      <c r="F51" s="685"/>
      <c r="G51" s="685"/>
      <c r="H51" s="1176"/>
      <c r="I51" s="764"/>
      <c r="J51" s="840"/>
      <c r="K51" s="764"/>
      <c r="L51" s="1031"/>
      <c r="M51" s="758"/>
      <c r="N51" s="1258"/>
      <c r="O51" s="724"/>
      <c r="P51" s="1258"/>
      <c r="Q51" s="724"/>
      <c r="R51" s="1223"/>
      <c r="S51" s="1223"/>
      <c r="T51" s="1223"/>
      <c r="U51" s="1223"/>
      <c r="V51" s="759"/>
      <c r="W51" s="759"/>
      <c r="X51" s="759"/>
      <c r="Y51" s="759"/>
      <c r="Z51" s="759"/>
      <c r="AA51" s="759"/>
      <c r="AB51" s="759"/>
      <c r="AC51" s="759"/>
      <c r="AE51" s="833"/>
      <c r="AF51" s="845"/>
      <c r="AG51" s="845"/>
      <c r="AH51" s="833"/>
      <c r="AI51" s="833"/>
      <c r="AJ51" s="833"/>
      <c r="AK51" s="1223"/>
    </row>
    <row r="52" spans="1:37" s="760" customFormat="1" x14ac:dyDescent="0.2">
      <c r="A52" s="852">
        <v>9</v>
      </c>
      <c r="B52" s="1774">
        <v>42</v>
      </c>
      <c r="C52" s="851" t="str">
        <f>Valid!$B$81</f>
        <v>Curve</v>
      </c>
      <c r="D52" s="1845"/>
      <c r="E52" s="1245" t="str">
        <f>IF(U52="N/A","",U52)</f>
        <v/>
      </c>
      <c r="F52" s="764"/>
      <c r="G52" s="764"/>
      <c r="H52" s="1247"/>
      <c r="I52" s="1246" t="str">
        <f>IF($C$44="","",IF(H52="","Qty? Enter Zero if N/A  ",""))</f>
        <v/>
      </c>
      <c r="J52" s="1249" t="str">
        <f>VLOOKUP(C52,Valid!$B$80:$C$86,2,FALSE)</f>
        <v>Track Feet</v>
      </c>
      <c r="K52" s="764"/>
      <c r="L52" s="1247"/>
      <c r="M52" s="1248" t="str">
        <f>IF($H52=0,"",IF($L52="",TEXT(AH52,0)&amp;" Years?    ",""))</f>
        <v/>
      </c>
      <c r="N52" s="1276"/>
      <c r="O52" s="1275" t="str">
        <f>IF($H52=0,"","% Cap Resp.    ")</f>
        <v/>
      </c>
      <c r="P52" s="1808"/>
      <c r="Q52" s="1275" t="str">
        <f>IF($H52=0,"","% Cap Resp.    ")</f>
        <v/>
      </c>
      <c r="R52" s="1392"/>
      <c r="S52" s="1223"/>
      <c r="T52" s="1223"/>
      <c r="U52" s="758" t="str">
        <f>IF(AND(R52="",N52="",L52="",H52="",L52=""),"N/A",IF(AND($H52=0,OR(L52&lt;&gt;"",N52&lt;&gt;"",R52&lt;&gt;"",L52&lt;&gt;"")),"No",IF(AND($H52&lt;&gt;0,OR($N52="",L52="")),"No","Yes")))</f>
        <v>N/A</v>
      </c>
      <c r="V52" s="761" t="b">
        <f>IF(AND(H52="",OR(L52&lt;&gt;"",N52&lt;&gt;"")),TRUE,FALSE)</f>
        <v>0</v>
      </c>
      <c r="W52" s="761" t="b">
        <f>IF(AND($C$44&lt;&gt;"",$H52=""),TRUE,FALSE)</f>
        <v>0</v>
      </c>
      <c r="X52" s="761" t="b">
        <f>IF(AND(H52&lt;&gt;"",H52&lt;&gt;0,H52&gt;AG52),TRUE,FALSE)</f>
        <v>0</v>
      </c>
      <c r="Y52" s="761" t="b">
        <f>IF($L52="",FALSE,IF($L52&lt;$AI52,TRUE,FALSE))</f>
        <v>0</v>
      </c>
      <c r="Z52" s="761" t="b">
        <f>IF($L52="",FALSE,IF($L52&gt;$AJ52,TRUE,FALSE))</f>
        <v>0</v>
      </c>
      <c r="AA52" s="761" t="b">
        <f>IF(AND(E52="No",$L52=""),TRUE,FALSE)</f>
        <v>0</v>
      </c>
      <c r="AB52" s="761" t="b">
        <f>IF($AC52=TRUE,FALSE,IF(OR($N52&lt;0,$N52&gt;1),TRUE,FALSE))</f>
        <v>0</v>
      </c>
      <c r="AC52" s="761" t="b">
        <f>IF(OR($H52=0, $H52=""), FALSE, IF(AND(H52&gt;0, L52&lt;&gt;"", N52&lt;&gt;""), IF(AND((N52*100)&lt;100,P52=""), TRUE,FALSE), TRUE))</f>
        <v>0</v>
      </c>
      <c r="AD52" s="762"/>
      <c r="AE52" s="783">
        <f t="shared" ref="AE52:AJ52" si="8">IF($C52="","",VLOOKUP($C52,val_fg_assets,AE$5,FALSE))</f>
        <v>1</v>
      </c>
      <c r="AF52" s="835">
        <f t="shared" si="8"/>
        <v>0</v>
      </c>
      <c r="AG52" s="835">
        <f t="shared" si="8"/>
        <v>3000000</v>
      </c>
      <c r="AH52" s="783">
        <f t="shared" si="8"/>
        <v>15</v>
      </c>
      <c r="AI52" s="783">
        <f t="shared" si="8"/>
        <v>11</v>
      </c>
      <c r="AJ52" s="783">
        <f t="shared" si="8"/>
        <v>19</v>
      </c>
      <c r="AK52" s="834"/>
    </row>
    <row r="53" spans="1:37" ht="6" customHeight="1" thickBot="1" x14ac:dyDescent="0.25">
      <c r="A53" s="1225"/>
      <c r="B53" s="1773">
        <v>43</v>
      </c>
      <c r="C53" s="1249"/>
      <c r="E53" s="1058"/>
      <c r="F53" s="764"/>
      <c r="G53" s="764"/>
      <c r="H53" s="1251"/>
      <c r="L53" s="1251"/>
      <c r="R53" s="1223"/>
      <c r="V53" s="848"/>
      <c r="W53" s="848"/>
      <c r="X53" s="848"/>
      <c r="Y53" s="848"/>
      <c r="Z53" s="848"/>
      <c r="AA53" s="848"/>
      <c r="AB53" s="848"/>
      <c r="AC53" s="848"/>
      <c r="AE53" s="848"/>
      <c r="AF53" s="848"/>
      <c r="AG53" s="848"/>
      <c r="AH53" s="848"/>
      <c r="AI53" s="848"/>
      <c r="AJ53" s="848"/>
    </row>
    <row r="54" spans="1:37" x14ac:dyDescent="0.2">
      <c r="A54" s="1712" t="s">
        <v>2621</v>
      </c>
      <c r="B54" s="1773">
        <v>44</v>
      </c>
      <c r="C54" s="1249"/>
      <c r="E54" s="1057"/>
      <c r="F54" s="1278" t="str">
        <f>IF(C44="","Linear Track Totals &gt;&gt;",VLOOKUP(C44,Codes!$C$156:$D$174,2)&amp;" Linear Track Totals &gt;&gt;")</f>
        <v>Linear Track Totals &gt;&gt;</v>
      </c>
      <c r="H54" s="1032">
        <f>SUM(H50:H52)</f>
        <v>0</v>
      </c>
      <c r="I54" s="843"/>
      <c r="L54" s="1031"/>
      <c r="M54" s="714"/>
      <c r="N54" s="838"/>
      <c r="O54" s="734"/>
      <c r="P54" s="838"/>
      <c r="Q54" s="734"/>
      <c r="R54" s="1223"/>
      <c r="V54" s="718"/>
      <c r="W54" s="718"/>
      <c r="X54" s="718"/>
      <c r="Y54" s="718"/>
      <c r="Z54" s="718"/>
      <c r="AA54" s="848"/>
      <c r="AB54" s="718"/>
      <c r="AC54" s="848"/>
      <c r="AD54" s="716"/>
      <c r="AE54" s="718"/>
      <c r="AF54" s="718"/>
      <c r="AG54" s="718"/>
      <c r="AH54" s="718"/>
      <c r="AI54" s="718"/>
      <c r="AJ54" s="718"/>
      <c r="AK54" s="716"/>
    </row>
    <row r="55" spans="1:37" ht="6" customHeight="1" x14ac:dyDescent="0.2">
      <c r="A55" s="1225"/>
      <c r="B55" s="1773">
        <v>45</v>
      </c>
      <c r="C55" s="1249"/>
      <c r="E55" s="1057"/>
      <c r="F55" s="1379"/>
      <c r="H55" s="1028"/>
      <c r="I55" s="843"/>
      <c r="L55" s="1031"/>
      <c r="M55" s="714"/>
      <c r="N55" s="838"/>
      <c r="O55" s="734"/>
      <c r="P55" s="838"/>
      <c r="Q55" s="734"/>
      <c r="R55" s="1223"/>
      <c r="V55" s="848"/>
      <c r="W55" s="848"/>
      <c r="X55" s="848"/>
      <c r="Y55" s="848"/>
      <c r="Z55" s="848"/>
      <c r="AA55" s="848"/>
      <c r="AB55" s="848"/>
      <c r="AC55" s="848"/>
      <c r="AE55" s="848"/>
      <c r="AF55" s="848"/>
      <c r="AG55" s="848"/>
      <c r="AH55" s="848"/>
      <c r="AI55" s="848"/>
      <c r="AJ55" s="848"/>
    </row>
    <row r="56" spans="1:37" x14ac:dyDescent="0.2">
      <c r="A56" s="1712" t="s">
        <v>2621</v>
      </c>
      <c r="B56" s="1773">
        <v>46</v>
      </c>
      <c r="C56" s="205" t="str">
        <f>IF(C44="","Track Special Work (excluding linear assets)",VLOOKUP(C44,Codes!$C$156:$D$174,2)&amp;" Track Special Work (excluding linear assets)")</f>
        <v>Track Special Work (excluding linear assets)</v>
      </c>
      <c r="E56" s="1057"/>
      <c r="F56" s="1379"/>
      <c r="H56" s="1028"/>
      <c r="I56" s="843"/>
      <c r="L56" s="1031"/>
      <c r="M56" s="714"/>
      <c r="N56" s="838"/>
      <c r="O56" s="734"/>
      <c r="P56" s="838"/>
      <c r="Q56" s="734"/>
      <c r="R56" s="1223"/>
      <c r="V56" s="848"/>
      <c r="W56" s="848"/>
      <c r="X56" s="848"/>
      <c r="Y56" s="848"/>
      <c r="Z56" s="848"/>
      <c r="AA56" s="848"/>
      <c r="AB56" s="848"/>
      <c r="AC56" s="848"/>
      <c r="AE56" s="848"/>
      <c r="AF56" s="848"/>
      <c r="AG56" s="848"/>
      <c r="AH56" s="848"/>
      <c r="AI56" s="848"/>
      <c r="AJ56" s="848"/>
    </row>
    <row r="57" spans="1:37" ht="6" customHeight="1" x14ac:dyDescent="0.2">
      <c r="A57" s="1225"/>
      <c r="B57" s="1773">
        <v>47</v>
      </c>
      <c r="C57" s="1249"/>
      <c r="E57" s="1057"/>
      <c r="F57" s="1379"/>
      <c r="H57" s="1028"/>
      <c r="I57" s="843"/>
      <c r="L57" s="1031"/>
      <c r="M57" s="714"/>
      <c r="N57" s="838"/>
      <c r="O57" s="734"/>
      <c r="P57" s="838"/>
      <c r="Q57" s="734"/>
      <c r="R57" s="1223"/>
      <c r="V57" s="848"/>
      <c r="W57" s="848"/>
      <c r="X57" s="848"/>
      <c r="Y57" s="848"/>
      <c r="Z57" s="848"/>
      <c r="AA57" s="761"/>
      <c r="AB57" s="848"/>
      <c r="AC57" s="848"/>
      <c r="AE57" s="848"/>
      <c r="AF57" s="848"/>
      <c r="AG57" s="848"/>
      <c r="AH57" s="848"/>
      <c r="AI57" s="848"/>
      <c r="AJ57" s="848"/>
    </row>
    <row r="58" spans="1:37" x14ac:dyDescent="0.2">
      <c r="A58" s="852">
        <v>10</v>
      </c>
      <c r="B58" s="1773">
        <v>48</v>
      </c>
      <c r="C58" s="1249" t="str">
        <f>Valid!$B$82</f>
        <v>Double Diamond Crossover</v>
      </c>
      <c r="E58" s="1245" t="str">
        <f>IF(U58="N/A","",U58)</f>
        <v/>
      </c>
      <c r="F58" s="1249"/>
      <c r="H58" s="1247"/>
      <c r="I58" s="1246" t="str">
        <f>IF($C$44="","",IF(H58="","Qty? Enter Zero if N/A  ",""))</f>
        <v/>
      </c>
      <c r="J58" s="1249" t="str">
        <f>VLOOKUP(C58,Valid!$B$80:$C$86,2,FALSE)</f>
        <v>Each</v>
      </c>
      <c r="K58" s="1249"/>
      <c r="L58" s="1247"/>
      <c r="M58" s="1248" t="str">
        <f>IF($H58=0,"",IF($L58="",TEXT(AH58,0)&amp;" Years?    ",""))</f>
        <v/>
      </c>
      <c r="N58" s="1276"/>
      <c r="O58" s="1275" t="str">
        <f>IF($H58=0,"","% Cap Resp.    ")</f>
        <v/>
      </c>
      <c r="P58" s="1808"/>
      <c r="Q58" s="1275" t="str">
        <f>IF($H58=0,"","% Cap Resp.    ")</f>
        <v/>
      </c>
      <c r="R58" s="1392"/>
      <c r="U58" s="758" t="str">
        <f>IF(AND(R58="",N58="",L58="",H58="",L58=""),"N/A",IF(AND($H58=0,OR(L58&lt;&gt;"",N58&lt;&gt;"",R58&lt;&gt;"",L58&lt;&gt;"")),"No",IF(AND($H58&lt;&gt;0,OR($N58="",L58="")),"No","Yes")))</f>
        <v>N/A</v>
      </c>
      <c r="V58" s="761" t="b">
        <f>IF(AND(H58="",OR(L58&lt;&gt;"",N58&lt;&gt;"")),TRUE,FALSE)</f>
        <v>0</v>
      </c>
      <c r="W58" s="761" t="b">
        <f>IF(AND($C$44&lt;&gt;"",$H58=""),TRUE,FALSE)</f>
        <v>0</v>
      </c>
      <c r="X58" s="761" t="b">
        <f>IF(AND(H58&lt;&gt;"",H58&lt;&gt;0,H58&gt;AG58),TRUE,FALSE)</f>
        <v>0</v>
      </c>
      <c r="Y58" s="761" t="b">
        <f>IF($L58="",FALSE,IF($L58&lt;$AI58,TRUE,FALSE))</f>
        <v>0</v>
      </c>
      <c r="Z58" s="761" t="b">
        <f>IF($L58="",FALSE,IF($L58&gt;$AJ58,TRUE,FALSE))</f>
        <v>0</v>
      </c>
      <c r="AA58" s="761" t="b">
        <f>IF(AND(E58="No",$L58=""),TRUE,FALSE)</f>
        <v>0</v>
      </c>
      <c r="AB58" s="761" t="b">
        <f>IF($AC58=TRUE,FALSE,IF(OR($N58&lt;0,$N58&gt;1),TRUE,FALSE))</f>
        <v>0</v>
      </c>
      <c r="AC58" s="761" t="b">
        <f>IF(OR($H58=0, $H58=""), FALSE, IF(AND(H58&gt;0, L58&lt;&gt;"", N58&lt;&gt;""), IF(AND((N58*100)&lt;100,P58=""), TRUE,FALSE), TRUE))</f>
        <v>0</v>
      </c>
      <c r="AD58" s="762"/>
      <c r="AE58" s="783">
        <f t="shared" ref="AE58:AJ58" si="9">IF($C58="","",VLOOKUP($C58,val_fg_assets,AE$5,FALSE))</f>
        <v>1</v>
      </c>
      <c r="AF58" s="835">
        <f t="shared" si="9"/>
        <v>0</v>
      </c>
      <c r="AG58" s="835">
        <f t="shared" si="9"/>
        <v>500</v>
      </c>
      <c r="AH58" s="783">
        <f t="shared" si="9"/>
        <v>15</v>
      </c>
      <c r="AI58" s="783">
        <f t="shared" si="9"/>
        <v>11</v>
      </c>
      <c r="AJ58" s="783">
        <f t="shared" si="9"/>
        <v>19</v>
      </c>
    </row>
    <row r="59" spans="1:37" ht="6" customHeight="1" x14ac:dyDescent="0.2">
      <c r="A59" s="1225"/>
      <c r="B59" s="1773">
        <v>49</v>
      </c>
      <c r="C59" s="1249"/>
      <c r="E59" s="1249"/>
      <c r="F59" s="1249"/>
      <c r="H59" s="1249"/>
      <c r="I59" s="1249"/>
      <c r="J59" s="1249"/>
      <c r="K59" s="1249"/>
      <c r="L59" s="1249"/>
      <c r="M59" s="1249"/>
      <c r="N59" s="1249"/>
      <c r="O59" s="1249"/>
      <c r="P59" s="1249"/>
      <c r="Q59" s="1249"/>
      <c r="R59" s="1393"/>
      <c r="V59" s="848"/>
      <c r="W59" s="848"/>
      <c r="X59" s="848"/>
      <c r="Y59" s="848"/>
      <c r="Z59" s="848"/>
      <c r="AA59" s="848"/>
      <c r="AB59" s="848"/>
      <c r="AC59" s="848"/>
      <c r="AE59" s="848"/>
      <c r="AF59" s="848"/>
      <c r="AG59" s="848"/>
      <c r="AH59" s="848"/>
      <c r="AI59" s="848"/>
      <c r="AJ59" s="848"/>
    </row>
    <row r="60" spans="1:37" x14ac:dyDescent="0.2">
      <c r="A60" s="852">
        <v>11</v>
      </c>
      <c r="B60" s="1774">
        <v>50</v>
      </c>
      <c r="C60" s="1249" t="str">
        <f>Valid!$B$83</f>
        <v>Single Crossover</v>
      </c>
      <c r="E60" s="1245" t="str">
        <f>IF(U60="N/A","",U60)</f>
        <v/>
      </c>
      <c r="F60" s="1249"/>
      <c r="H60" s="1247"/>
      <c r="I60" s="1246" t="str">
        <f>IF($C$44="","",IF(H60="","Qty? Enter Zero if N/A  ",""))</f>
        <v/>
      </c>
      <c r="J60" s="1249" t="str">
        <f>VLOOKUP(C60,Valid!$B$80:$C$86,2,FALSE)</f>
        <v>Each</v>
      </c>
      <c r="K60" s="1249"/>
      <c r="L60" s="1247"/>
      <c r="M60" s="1248" t="str">
        <f>IF($H60=0,"",IF($L60="",TEXT(AH60,0)&amp;" Years?    ",""))</f>
        <v/>
      </c>
      <c r="N60" s="1276"/>
      <c r="O60" s="1275" t="str">
        <f>IF($H60=0,"","% Cap Resp.    ")</f>
        <v/>
      </c>
      <c r="P60" s="1808"/>
      <c r="Q60" s="1275" t="str">
        <f>IF($H60=0,"","% Cap Resp.    ")</f>
        <v/>
      </c>
      <c r="R60" s="1392"/>
      <c r="U60" s="758" t="str">
        <f>IF(AND(R60="",N60="",L60="",H60="",L60=""),"N/A",IF(AND($H60=0,OR(L60&lt;&gt;"",N60&lt;&gt;"",R60&lt;&gt;"",L60&lt;&gt;"")),"No",IF(AND($H60&lt;&gt;0,OR($N60="",L60="")),"No","Yes")))</f>
        <v>N/A</v>
      </c>
      <c r="V60" s="761" t="b">
        <f>IF(AND(H60="",OR(L60&lt;&gt;"",N60&lt;&gt;"")),TRUE,FALSE)</f>
        <v>0</v>
      </c>
      <c r="W60" s="761" t="b">
        <f>IF(AND($C$44&lt;&gt;"",$H60=""),TRUE,FALSE)</f>
        <v>0</v>
      </c>
      <c r="X60" s="761" t="b">
        <f>IF(AND(H60&lt;&gt;"",H60&lt;&gt;0,H60&gt;AG60),TRUE,FALSE)</f>
        <v>0</v>
      </c>
      <c r="Y60" s="761" t="b">
        <f>IF($L60="",FALSE,IF($L60&lt;$AI60,TRUE,FALSE))</f>
        <v>0</v>
      </c>
      <c r="Z60" s="761" t="b">
        <f>IF($L60="",FALSE,IF($L60&gt;$AJ60,TRUE,FALSE))</f>
        <v>0</v>
      </c>
      <c r="AA60" s="761" t="b">
        <f>IF(AND(E60="No",$L60=""),TRUE,FALSE)</f>
        <v>0</v>
      </c>
      <c r="AB60" s="761" t="b">
        <f>IF($AC60=TRUE,FALSE,IF(OR($N60&lt;0,$N60&gt;1),TRUE,FALSE))</f>
        <v>0</v>
      </c>
      <c r="AC60" s="761" t="b">
        <f>IF(OR($H60=0, $H60=""), FALSE, IF(AND(H60&gt;0, L60&lt;&gt;"", N60&lt;&gt;""), IF(AND((N60*100)&lt;100,P60=""), TRUE,FALSE), TRUE))</f>
        <v>0</v>
      </c>
      <c r="AD60" s="762"/>
      <c r="AE60" s="783">
        <f t="shared" ref="AE60:AJ60" si="10">IF($C60="","",VLOOKUP($C60,val_fg_assets,AE$5,FALSE))</f>
        <v>1</v>
      </c>
      <c r="AF60" s="835">
        <f t="shared" si="10"/>
        <v>0</v>
      </c>
      <c r="AG60" s="835">
        <f t="shared" si="10"/>
        <v>500</v>
      </c>
      <c r="AH60" s="783">
        <f t="shared" si="10"/>
        <v>15</v>
      </c>
      <c r="AI60" s="783">
        <f t="shared" si="10"/>
        <v>11</v>
      </c>
      <c r="AJ60" s="783">
        <f t="shared" si="10"/>
        <v>19</v>
      </c>
    </row>
    <row r="61" spans="1:37" ht="6" customHeight="1" x14ac:dyDescent="0.2">
      <c r="A61" s="1225"/>
      <c r="B61" s="1773">
        <v>51</v>
      </c>
      <c r="C61" s="1249"/>
      <c r="E61" s="1249"/>
      <c r="F61" s="1249"/>
      <c r="H61" s="1249"/>
      <c r="I61" s="1249"/>
      <c r="J61" s="1249"/>
      <c r="K61" s="1249"/>
      <c r="L61" s="1249"/>
      <c r="M61" s="1249"/>
      <c r="N61" s="1249"/>
      <c r="O61" s="1249"/>
      <c r="P61" s="1249"/>
      <c r="Q61" s="1249"/>
      <c r="R61" s="1393"/>
      <c r="V61" s="848"/>
      <c r="W61" s="848"/>
      <c r="X61" s="848"/>
      <c r="Y61" s="848"/>
      <c r="Z61" s="848"/>
      <c r="AA61" s="848"/>
      <c r="AB61" s="848"/>
      <c r="AC61" s="848"/>
      <c r="AE61" s="848"/>
      <c r="AF61" s="848"/>
      <c r="AG61" s="848"/>
      <c r="AH61" s="848"/>
      <c r="AI61" s="848"/>
      <c r="AJ61" s="848"/>
    </row>
    <row r="62" spans="1:37" x14ac:dyDescent="0.2">
      <c r="A62" s="852">
        <v>12</v>
      </c>
      <c r="B62" s="1773">
        <v>52</v>
      </c>
      <c r="C62" s="1249" t="str">
        <f>Valid!$B$84</f>
        <v>Half Grand Union</v>
      </c>
      <c r="E62" s="1245" t="str">
        <f>IF(U62="N/A","",U62)</f>
        <v/>
      </c>
      <c r="F62" s="1249"/>
      <c r="H62" s="1247"/>
      <c r="I62" s="1246" t="str">
        <f>IF($C$44="","",IF(H62="","Qty? Enter Zero if N/A  ",""))</f>
        <v/>
      </c>
      <c r="J62" s="1249" t="str">
        <f>VLOOKUP(C62,Valid!$B$80:$C$86,2,FALSE)</f>
        <v>Each</v>
      </c>
      <c r="K62" s="1249"/>
      <c r="L62" s="1247"/>
      <c r="M62" s="1248" t="str">
        <f>IF($H62=0,"",IF($L62="",TEXT(AH62,0)&amp;" Years?    ",""))</f>
        <v/>
      </c>
      <c r="N62" s="1276"/>
      <c r="O62" s="1275" t="str">
        <f>IF($H62=0,"","% Cap Resp.    ")</f>
        <v/>
      </c>
      <c r="P62" s="1808"/>
      <c r="Q62" s="1275" t="str">
        <f>IF($H62=0,"","% Cap Resp.    ")</f>
        <v/>
      </c>
      <c r="R62" s="1392"/>
      <c r="U62" s="758" t="str">
        <f>IF(AND(R62="",N62="",L62="",H62="",L62=""),"N/A",IF(AND($H62=0,OR(L62&lt;&gt;"",N62&lt;&gt;"",R62&lt;&gt;"",L62&lt;&gt;"")),"No",IF(AND($H62&lt;&gt;0,OR($N62="",L62="")),"No","Yes")))</f>
        <v>N/A</v>
      </c>
      <c r="V62" s="761" t="b">
        <f>IF(AND(H62="",OR(L62&lt;&gt;"",N62&lt;&gt;"")),TRUE,FALSE)</f>
        <v>0</v>
      </c>
      <c r="W62" s="761" t="b">
        <f>IF(AND($C$44&lt;&gt;"",$H62=""),TRUE,FALSE)</f>
        <v>0</v>
      </c>
      <c r="X62" s="761" t="b">
        <f>IF(AND(H62&lt;&gt;"",H62&lt;&gt;0,H62&gt;AG62),TRUE,FALSE)</f>
        <v>0</v>
      </c>
      <c r="Y62" s="761" t="b">
        <f>IF($L62="",FALSE,IF($L62&lt;$AI62,TRUE,FALSE))</f>
        <v>0</v>
      </c>
      <c r="Z62" s="761" t="b">
        <f>IF($L62="",FALSE,IF($L62&gt;$AJ62,TRUE,FALSE))</f>
        <v>0</v>
      </c>
      <c r="AA62" s="761" t="b">
        <f>IF(AND(E62="No",$L62=""),TRUE,FALSE)</f>
        <v>0</v>
      </c>
      <c r="AB62" s="761" t="b">
        <f>IF($AC62=TRUE,FALSE,IF(OR($N62&lt;0,$N62&gt;1),TRUE,FALSE))</f>
        <v>0</v>
      </c>
      <c r="AC62" s="761" t="b">
        <f>IF(OR($H62=0, $H62=""), FALSE, IF(AND(H62&gt;0, L62&lt;&gt;"", N62&lt;&gt;""), IF(AND((N62*100)&lt;100,P62=""), TRUE,FALSE), TRUE))</f>
        <v>0</v>
      </c>
      <c r="AD62" s="762"/>
      <c r="AE62" s="783">
        <f t="shared" ref="AE62:AJ62" si="11">IF($C62="","",VLOOKUP($C62,val_fg_assets,AE$5,FALSE))</f>
        <v>1</v>
      </c>
      <c r="AF62" s="835">
        <f t="shared" si="11"/>
        <v>0</v>
      </c>
      <c r="AG62" s="835">
        <f t="shared" si="11"/>
        <v>500</v>
      </c>
      <c r="AH62" s="783">
        <f t="shared" si="11"/>
        <v>15</v>
      </c>
      <c r="AI62" s="783">
        <f t="shared" si="11"/>
        <v>11</v>
      </c>
      <c r="AJ62" s="783">
        <f t="shared" si="11"/>
        <v>19</v>
      </c>
    </row>
    <row r="63" spans="1:37" ht="6" customHeight="1" x14ac:dyDescent="0.2">
      <c r="A63" s="1225"/>
      <c r="B63" s="1773">
        <v>53</v>
      </c>
      <c r="C63" s="1249"/>
      <c r="E63" s="1249"/>
      <c r="F63" s="1249"/>
      <c r="H63" s="1249"/>
      <c r="I63" s="1249"/>
      <c r="J63" s="1249"/>
      <c r="K63" s="1249"/>
      <c r="L63" s="1249"/>
      <c r="M63" s="1249"/>
      <c r="N63" s="1249"/>
      <c r="O63" s="1249"/>
      <c r="P63" s="1249"/>
      <c r="Q63" s="1249"/>
      <c r="R63" s="1393"/>
      <c r="V63" s="848"/>
      <c r="W63" s="848"/>
      <c r="X63" s="848"/>
      <c r="Y63" s="848"/>
      <c r="Z63" s="848"/>
      <c r="AA63" s="848"/>
      <c r="AB63" s="848"/>
      <c r="AC63" s="848"/>
      <c r="AE63" s="848"/>
      <c r="AF63" s="848"/>
      <c r="AG63" s="848"/>
      <c r="AH63" s="848"/>
      <c r="AI63" s="848"/>
      <c r="AJ63" s="848"/>
    </row>
    <row r="64" spans="1:37" x14ac:dyDescent="0.2">
      <c r="A64" s="852">
        <v>13</v>
      </c>
      <c r="B64" s="1773">
        <v>54</v>
      </c>
      <c r="C64" s="1249" t="str">
        <f>Valid!$B$85</f>
        <v>Single Turnout</v>
      </c>
      <c r="E64" s="1245" t="str">
        <f>IF(U64="N/A","",U64)</f>
        <v/>
      </c>
      <c r="F64" s="1249"/>
      <c r="H64" s="1247"/>
      <c r="I64" s="1246" t="str">
        <f>IF($C$44="","",IF(H64="","Qty? Enter Zero if N/A  ",""))</f>
        <v/>
      </c>
      <c r="J64" s="1249" t="str">
        <f>VLOOKUP(C64,Valid!$B$80:$C$86,2,FALSE)</f>
        <v>Each</v>
      </c>
      <c r="K64" s="1249"/>
      <c r="L64" s="1247"/>
      <c r="M64" s="1248" t="str">
        <f>IF($H64=0,"",IF($L64="",TEXT(AH64,0)&amp;" Years?    ",""))</f>
        <v/>
      </c>
      <c r="N64" s="1276"/>
      <c r="O64" s="1275" t="str">
        <f>IF($H64=0,"","% Cap Resp.    ")</f>
        <v/>
      </c>
      <c r="P64" s="1808"/>
      <c r="Q64" s="1275" t="str">
        <f>IF($H64=0,"","% Cap Resp.    ")</f>
        <v/>
      </c>
      <c r="R64" s="1392"/>
      <c r="U64" s="758" t="str">
        <f>IF(AND(R64="",N64="",L64="",H64="",L64=""),"N/A",IF(AND($H64=0,OR(L64&lt;&gt;"",N64&lt;&gt;"",R64&lt;&gt;"",L64&lt;&gt;"")),"No",IF(AND($H64&lt;&gt;0,OR($N64="",L64="")),"No","Yes")))</f>
        <v>N/A</v>
      </c>
      <c r="V64" s="761" t="b">
        <f>IF(AND(H64="",OR(L64&lt;&gt;"",N64&lt;&gt;"")),TRUE,FALSE)</f>
        <v>0</v>
      </c>
      <c r="W64" s="761" t="b">
        <f>IF(AND($C$44&lt;&gt;"",$H64=""),TRUE,FALSE)</f>
        <v>0</v>
      </c>
      <c r="X64" s="761" t="b">
        <f>IF(AND(H64&lt;&gt;"",H64&lt;&gt;0,H64&gt;AG64),TRUE,FALSE)</f>
        <v>0</v>
      </c>
      <c r="Y64" s="761" t="b">
        <f>IF($L64="",FALSE,IF($L64&lt;$AI64,TRUE,FALSE))</f>
        <v>0</v>
      </c>
      <c r="Z64" s="761" t="b">
        <f>IF($L64="",FALSE,IF($L64&gt;$AJ64,TRUE,FALSE))</f>
        <v>0</v>
      </c>
      <c r="AA64" s="761" t="b">
        <f>IF(AND(E64="No",$L64=""),TRUE,FALSE)</f>
        <v>0</v>
      </c>
      <c r="AB64" s="761" t="b">
        <f>IF($AC64=TRUE,FALSE,IF(OR($N64&lt;0,$N64&gt;1),TRUE,FALSE))</f>
        <v>0</v>
      </c>
      <c r="AC64" s="761" t="b">
        <f>IF(OR($H64=0, $H64=""), FALSE, IF(AND(H64&gt;0, L64&lt;&gt;"", N64&lt;&gt;""), IF(AND((N64*100)&lt;100,P64=""), TRUE,FALSE), TRUE))</f>
        <v>0</v>
      </c>
      <c r="AD64" s="762"/>
      <c r="AE64" s="783">
        <f t="shared" ref="AE64:AJ64" si="12">IF($C64="","",VLOOKUP($C64,val_fg_assets,AE$5,FALSE))</f>
        <v>1</v>
      </c>
      <c r="AF64" s="835">
        <f t="shared" si="12"/>
        <v>0</v>
      </c>
      <c r="AG64" s="835">
        <f t="shared" si="12"/>
        <v>500</v>
      </c>
      <c r="AH64" s="783">
        <f t="shared" si="12"/>
        <v>15</v>
      </c>
      <c r="AI64" s="783">
        <f t="shared" si="12"/>
        <v>11</v>
      </c>
      <c r="AJ64" s="783">
        <f t="shared" si="12"/>
        <v>19</v>
      </c>
    </row>
    <row r="65" spans="1:37" ht="6" customHeight="1" x14ac:dyDescent="0.2">
      <c r="A65" s="1225"/>
      <c r="B65" s="1773">
        <v>55</v>
      </c>
      <c r="C65" s="1249"/>
      <c r="E65" s="1249"/>
      <c r="F65" s="1249"/>
      <c r="H65" s="1249"/>
      <c r="I65" s="1249"/>
      <c r="J65" s="1249"/>
      <c r="K65" s="1249"/>
      <c r="L65" s="1249"/>
      <c r="M65" s="1249"/>
      <c r="N65" s="1249"/>
      <c r="O65" s="1249"/>
      <c r="P65" s="1249"/>
      <c r="Q65" s="1249"/>
      <c r="R65" s="1393"/>
      <c r="V65" s="848"/>
      <c r="W65" s="848"/>
      <c r="X65" s="848"/>
      <c r="Y65" s="848"/>
      <c r="Z65" s="848"/>
      <c r="AA65" s="848"/>
      <c r="AB65" s="848"/>
      <c r="AC65" s="848"/>
      <c r="AE65" s="848"/>
      <c r="AF65" s="848"/>
      <c r="AG65" s="848"/>
      <c r="AH65" s="848"/>
      <c r="AI65" s="848"/>
      <c r="AJ65" s="848"/>
    </row>
    <row r="66" spans="1:37" x14ac:dyDescent="0.2">
      <c r="A66" s="852">
        <v>14</v>
      </c>
      <c r="B66" s="1773">
        <v>56</v>
      </c>
      <c r="C66" s="1249" t="str">
        <f>Valid!$B$86</f>
        <v>Grade Crossings</v>
      </c>
      <c r="E66" s="1245" t="str">
        <f>IF(U66="N/A","",U66)</f>
        <v/>
      </c>
      <c r="F66" s="1249"/>
      <c r="H66" s="1247"/>
      <c r="I66" s="1246" t="str">
        <f>IF($C$44="","",IF(H66="","Qty? Enter Zero if N/A  ",""))</f>
        <v/>
      </c>
      <c r="J66" s="1249" t="str">
        <f>VLOOKUP(C66,Valid!$B$80:$C$86,2,FALSE)</f>
        <v>Each</v>
      </c>
      <c r="K66" s="1249"/>
      <c r="L66" s="1247"/>
      <c r="M66" s="1248" t="str">
        <f>IF($H66=0,"",IF($L66="",TEXT(AH66,0)&amp;" Years?    ",""))</f>
        <v/>
      </c>
      <c r="N66" s="1276"/>
      <c r="O66" s="1275" t="str">
        <f>IF($H66=0,"","% Cap Resp.    ")</f>
        <v/>
      </c>
      <c r="P66" s="1808"/>
      <c r="Q66" s="1275" t="str">
        <f>IF($H66=0,"","% Cap Resp.    ")</f>
        <v/>
      </c>
      <c r="R66" s="1392"/>
      <c r="U66" s="758" t="str">
        <f>IF(AND(R66="",N66="",L66="",H66="",L66=""),"N/A",IF(AND($H66=0,OR(L66&lt;&gt;"",N66&lt;&gt;"",R66&lt;&gt;"",L66&lt;&gt;"")),"No",IF(AND($H66&lt;&gt;0,OR($N66="",L66="")),"No","Yes")))</f>
        <v>N/A</v>
      </c>
      <c r="V66" s="761" t="b">
        <f>IF(AND(H66="",OR(L66&lt;&gt;"",N66&lt;&gt;"")),TRUE,FALSE)</f>
        <v>0</v>
      </c>
      <c r="W66" s="761" t="b">
        <f>IF(AND($C$44&lt;&gt;"",$H66=""),TRUE,FALSE)</f>
        <v>0</v>
      </c>
      <c r="X66" s="761" t="b">
        <f>IF(AND(H66&lt;&gt;"",H66&lt;&gt;0,H66&gt;AG66),TRUE,FALSE)</f>
        <v>0</v>
      </c>
      <c r="Y66" s="761" t="b">
        <f>IF($L66="",FALSE,IF($L66&lt;$AI66,TRUE,FALSE))</f>
        <v>0</v>
      </c>
      <c r="Z66" s="761" t="b">
        <f>IF($L66="",FALSE,IF($L66&gt;$AJ66,TRUE,FALSE))</f>
        <v>0</v>
      </c>
      <c r="AA66" s="761" t="b">
        <f>IF(AND(E66="No",$L66=""),TRUE,FALSE)</f>
        <v>0</v>
      </c>
      <c r="AB66" s="761" t="b">
        <f>IF($AC66=TRUE,FALSE,IF(OR($N66&lt;0,$N66&gt;1),TRUE,FALSE))</f>
        <v>0</v>
      </c>
      <c r="AC66" s="761" t="b">
        <f>IF(OR($H66=0, $H66=""), FALSE, IF(AND(H66&gt;0, L66&lt;&gt;"", N66&lt;&gt;""), IF(AND((N66*100)&lt;100,P66=""), TRUE,FALSE), TRUE))</f>
        <v>0</v>
      </c>
      <c r="AD66" s="762"/>
      <c r="AE66" s="783">
        <f t="shared" ref="AE66:AJ66" si="13">IF($C66="","",VLOOKUP($C66,val_fg_assets,AE$5,FALSE))</f>
        <v>1</v>
      </c>
      <c r="AF66" s="835">
        <f t="shared" si="13"/>
        <v>0</v>
      </c>
      <c r="AG66" s="835">
        <f t="shared" si="13"/>
        <v>500</v>
      </c>
      <c r="AH66" s="783">
        <f t="shared" si="13"/>
        <v>15</v>
      </c>
      <c r="AI66" s="783">
        <f t="shared" si="13"/>
        <v>11</v>
      </c>
      <c r="AJ66" s="783">
        <f t="shared" si="13"/>
        <v>19</v>
      </c>
    </row>
    <row r="67" spans="1:37" ht="6" customHeight="1" thickBot="1" x14ac:dyDescent="0.25">
      <c r="A67" s="1225"/>
      <c r="B67" s="1773">
        <v>57</v>
      </c>
      <c r="C67" s="1249"/>
      <c r="E67" s="1249"/>
      <c r="F67" s="1249"/>
      <c r="H67" s="1249"/>
      <c r="I67" s="1249"/>
      <c r="J67" s="1249"/>
      <c r="K67" s="1249"/>
      <c r="L67" s="1249"/>
      <c r="M67" s="1249"/>
      <c r="N67" s="1249"/>
      <c r="O67" s="1249"/>
      <c r="P67" s="1249"/>
      <c r="Q67" s="1249"/>
      <c r="R67" s="1393"/>
      <c r="V67" s="848"/>
      <c r="W67" s="848"/>
      <c r="X67" s="848"/>
      <c r="Y67" s="848"/>
      <c r="Z67" s="848"/>
      <c r="AA67" s="848"/>
      <c r="AB67" s="848"/>
      <c r="AC67" s="848"/>
      <c r="AE67" s="848"/>
      <c r="AF67" s="848"/>
      <c r="AG67" s="848"/>
      <c r="AH67" s="848"/>
      <c r="AI67" s="848"/>
      <c r="AJ67" s="848"/>
    </row>
    <row r="68" spans="1:37" x14ac:dyDescent="0.2">
      <c r="A68" s="1712" t="s">
        <v>2621</v>
      </c>
      <c r="B68" s="1774">
        <v>58</v>
      </c>
      <c r="C68" s="1249"/>
      <c r="E68" s="1249"/>
      <c r="F68" s="1278" t="str">
        <f>IF(C44="","Track Special Work Totals (excluding linear assets)&gt;&gt;",VLOOKUP(C44,Codes!$C$156:$D$174,2)&amp;" Track Special Work Totals (excluding linear assets)&gt;&gt;")</f>
        <v>Track Special Work Totals (excluding linear assets)&gt;&gt;</v>
      </c>
      <c r="H68" s="1032">
        <f>SUM(H58:H66)</f>
        <v>0</v>
      </c>
      <c r="I68" s="1249"/>
      <c r="J68" s="1249"/>
      <c r="K68" s="1249"/>
      <c r="L68" s="1249"/>
      <c r="M68" s="1249"/>
      <c r="N68" s="1249"/>
      <c r="O68" s="1249"/>
      <c r="P68" s="1249"/>
      <c r="Q68" s="1249"/>
      <c r="R68" s="1393"/>
      <c r="V68" s="848"/>
      <c r="W68" s="848"/>
      <c r="X68" s="848"/>
      <c r="Y68" s="848"/>
      <c r="Z68" s="848"/>
      <c r="AA68" s="848"/>
      <c r="AB68" s="848"/>
      <c r="AC68" s="848"/>
      <c r="AE68" s="848"/>
      <c r="AF68" s="848"/>
      <c r="AG68" s="848"/>
      <c r="AH68" s="848"/>
      <c r="AI68" s="848"/>
      <c r="AJ68" s="848"/>
    </row>
    <row r="69" spans="1:37" ht="6" customHeight="1" x14ac:dyDescent="0.2">
      <c r="B69" s="1773">
        <v>59</v>
      </c>
      <c r="C69" s="1268"/>
      <c r="E69" s="1057"/>
      <c r="H69" s="1250"/>
      <c r="L69" s="1251"/>
      <c r="R69" s="1223"/>
      <c r="V69" s="848"/>
      <c r="W69" s="848"/>
      <c r="X69" s="848"/>
      <c r="Y69" s="759"/>
      <c r="Z69" s="759"/>
      <c r="AA69" s="848"/>
      <c r="AB69" s="848"/>
      <c r="AC69" s="848"/>
      <c r="AE69" s="848"/>
      <c r="AF69" s="848"/>
      <c r="AG69" s="848"/>
      <c r="AH69" s="848"/>
      <c r="AI69" s="848"/>
      <c r="AJ69" s="848"/>
    </row>
    <row r="70" spans="1:37" ht="6" customHeight="1" x14ac:dyDescent="0.2">
      <c r="B70" s="1773">
        <v>60</v>
      </c>
      <c r="E70" s="1057"/>
      <c r="H70" s="1250"/>
      <c r="L70" s="1251"/>
      <c r="R70" s="1394"/>
      <c r="V70" s="848"/>
      <c r="W70" s="848"/>
      <c r="X70" s="848"/>
      <c r="Y70" s="848"/>
      <c r="Z70" s="848"/>
      <c r="AA70" s="848"/>
      <c r="AB70" s="848"/>
      <c r="AC70" s="848"/>
      <c r="AE70" s="848"/>
      <c r="AF70" s="848"/>
      <c r="AG70" s="848"/>
      <c r="AH70" s="848"/>
      <c r="AI70" s="848"/>
      <c r="AJ70" s="848"/>
    </row>
    <row r="71" spans="1:37" ht="6" customHeight="1" x14ac:dyDescent="0.2">
      <c r="A71" s="1815"/>
      <c r="B71" s="1819">
        <v>30</v>
      </c>
      <c r="C71" s="1816"/>
      <c r="D71" s="1847"/>
      <c r="E71" s="1817"/>
      <c r="F71" s="1817"/>
      <c r="G71" s="1817"/>
      <c r="H71" s="1817"/>
      <c r="I71" s="1817"/>
      <c r="J71" s="1817"/>
      <c r="K71" s="1817"/>
      <c r="L71" s="1817"/>
      <c r="M71" s="1817"/>
      <c r="N71" s="1817"/>
      <c r="O71" s="1817"/>
      <c r="P71" s="1817"/>
      <c r="Q71" s="1817"/>
      <c r="R71" s="1818"/>
      <c r="S71" s="1815"/>
      <c r="T71" s="1815"/>
      <c r="U71" s="1815"/>
      <c r="V71" s="1814"/>
      <c r="W71" s="1814"/>
      <c r="X71" s="1814"/>
      <c r="Y71" s="1814"/>
      <c r="Z71" s="1814"/>
      <c r="AA71" s="1814"/>
      <c r="AB71" s="1814"/>
      <c r="AC71" s="1814"/>
      <c r="AD71" s="1815"/>
      <c r="AE71" s="1814"/>
      <c r="AF71" s="1814"/>
      <c r="AG71" s="1814"/>
      <c r="AH71" s="1814"/>
      <c r="AI71" s="1814"/>
      <c r="AJ71" s="1814"/>
    </row>
    <row r="72" spans="1:37" ht="6" customHeight="1" x14ac:dyDescent="0.2">
      <c r="B72" s="1773">
        <v>62</v>
      </c>
      <c r="E72" s="1057"/>
      <c r="H72" s="1250"/>
      <c r="L72" s="1270"/>
      <c r="V72" s="848"/>
      <c r="W72" s="848"/>
      <c r="X72" s="848"/>
      <c r="Y72" s="848"/>
      <c r="Z72" s="848"/>
      <c r="AA72" s="848"/>
      <c r="AB72" s="848"/>
      <c r="AC72" s="848"/>
      <c r="AE72" s="848"/>
      <c r="AF72" s="848"/>
      <c r="AG72" s="848"/>
      <c r="AH72" s="848"/>
      <c r="AI72" s="848"/>
      <c r="AJ72" s="848"/>
    </row>
    <row r="73" spans="1:37" ht="6" customHeight="1" x14ac:dyDescent="0.2">
      <c r="B73" s="1773">
        <v>63</v>
      </c>
      <c r="E73" s="1057"/>
      <c r="H73" s="1250"/>
      <c r="L73" s="1251"/>
      <c r="V73" s="848"/>
      <c r="W73" s="848"/>
      <c r="X73" s="848"/>
      <c r="Y73" s="848"/>
      <c r="Z73" s="848"/>
      <c r="AA73" s="848"/>
      <c r="AB73" s="848"/>
      <c r="AC73" s="848"/>
      <c r="AE73" s="848"/>
      <c r="AF73" s="848"/>
      <c r="AG73" s="848"/>
      <c r="AH73" s="848"/>
      <c r="AI73" s="848"/>
      <c r="AJ73" s="848"/>
    </row>
    <row r="74" spans="1:37" s="760" customFormat="1" ht="6" customHeight="1" x14ac:dyDescent="0.2">
      <c r="A74" s="721"/>
      <c r="B74" s="1773">
        <v>64</v>
      </c>
      <c r="C74" s="1271"/>
      <c r="D74" s="1845"/>
      <c r="E74" s="721"/>
      <c r="F74" s="736"/>
      <c r="G74" s="736"/>
      <c r="H74" s="1272"/>
      <c r="I74" s="822"/>
      <c r="J74" s="817"/>
      <c r="K74" s="822"/>
      <c r="L74" s="1273"/>
      <c r="M74" s="758"/>
      <c r="N74" s="822"/>
      <c r="O74" s="823"/>
      <c r="P74" s="822"/>
      <c r="Q74" s="823"/>
      <c r="R74" s="1391"/>
      <c r="S74" s="1219"/>
      <c r="U74" s="1219"/>
      <c r="V74" s="759"/>
      <c r="W74" s="759"/>
      <c r="X74" s="759"/>
      <c r="Y74" s="759"/>
      <c r="Z74" s="759"/>
      <c r="AA74" s="759"/>
      <c r="AB74" s="759"/>
      <c r="AC74" s="759"/>
      <c r="AE74" s="1274"/>
      <c r="AF74" s="1274"/>
      <c r="AG74" s="1274"/>
      <c r="AH74" s="1274"/>
      <c r="AI74" s="1274"/>
      <c r="AJ74" s="1274"/>
      <c r="AK74" s="1219"/>
    </row>
    <row r="75" spans="1:37" s="760" customFormat="1" x14ac:dyDescent="0.2">
      <c r="A75" s="1712" t="s">
        <v>2621</v>
      </c>
      <c r="B75" s="1773">
        <v>65</v>
      </c>
      <c r="C75" s="1416"/>
      <c r="D75" s="1248" t="str">
        <f>IF(AND(C44&lt;&gt;"",$C75=""),"Select Mode from Pull-Down List                                                                       ","")</f>
        <v/>
      </c>
      <c r="E75" s="1277" t="str">
        <f>IF(AND(C75="",OR(H81&lt;&gt;"",H83&lt;&gt;"",L81&lt;&gt;"",N81&lt;&gt;"",L83&lt;&gt;"",N83&lt;&gt;"",R81&lt;&gt;"",R83&lt;&gt;"",C77&lt;&gt;"",H99&lt;&gt;0,L89&lt;&gt;"",L91&lt;&gt;"",L93&lt;&gt;"",L95&lt;&gt;"",L97&lt;&gt;"",N89&lt;&gt;"",N91&lt;&gt;"",N93&lt;&gt;"",N95&lt;&gt;"",N97&lt;&gt;"",R89&lt;&gt;"",R91&lt;&gt;"",R93&lt;&gt;"",R95&lt;&gt;"",R97&lt;&gt;"")),"&lt;&lt; Insert Rail Mode",IF(AND(C75&lt;&gt;"",C44=""),"&lt;&lt;Complete Previous Section First",""))</f>
        <v/>
      </c>
      <c r="F75" s="736"/>
      <c r="G75" s="736"/>
      <c r="H75" s="1253"/>
      <c r="I75" s="1254"/>
      <c r="J75" s="1255"/>
      <c r="K75" s="1256"/>
      <c r="L75" s="1257"/>
      <c r="M75" s="1254"/>
      <c r="N75" s="1254"/>
      <c r="O75" s="1254"/>
      <c r="P75" s="1254"/>
      <c r="Q75" s="1254"/>
      <c r="R75" s="1223"/>
      <c r="S75" s="1252"/>
      <c r="T75" s="758"/>
      <c r="U75" s="758" t="b">
        <f>IF(OR(E75&lt;&gt;"",E106="&lt;&lt;Complete Previous Section First"),TRUE,FALSE)</f>
        <v>0</v>
      </c>
      <c r="V75" s="763"/>
      <c r="W75" s="763"/>
      <c r="X75" s="763"/>
      <c r="Y75" s="763"/>
      <c r="Z75" s="763"/>
      <c r="AA75" s="763"/>
      <c r="AB75" s="763"/>
      <c r="AC75" s="763"/>
      <c r="AE75" s="783"/>
      <c r="AF75" s="783"/>
      <c r="AG75" s="783"/>
      <c r="AH75" s="783"/>
      <c r="AI75" s="783"/>
      <c r="AJ75" s="783"/>
      <c r="AK75" s="1220"/>
    </row>
    <row r="76" spans="1:37" s="760" customFormat="1" ht="6" customHeight="1" x14ac:dyDescent="0.2">
      <c r="A76" s="721"/>
      <c r="B76" s="1774">
        <v>66</v>
      </c>
      <c r="C76" s="1434"/>
      <c r="D76" s="1248"/>
      <c r="E76" s="1277"/>
      <c r="F76" s="736"/>
      <c r="G76" s="736"/>
      <c r="H76" s="1253"/>
      <c r="I76" s="1254"/>
      <c r="J76" s="1255"/>
      <c r="K76" s="1256"/>
      <c r="L76" s="1257"/>
      <c r="M76" s="1254"/>
      <c r="N76" s="1254"/>
      <c r="O76" s="1254"/>
      <c r="P76" s="1254"/>
      <c r="Q76" s="1254"/>
      <c r="R76" s="1223"/>
      <c r="S76" s="1252"/>
      <c r="T76" s="758"/>
      <c r="U76" s="758"/>
      <c r="V76" s="763"/>
      <c r="W76" s="763"/>
      <c r="X76" s="763"/>
      <c r="Y76" s="763"/>
      <c r="Z76" s="763"/>
      <c r="AA76" s="763"/>
      <c r="AB76" s="763"/>
      <c r="AC76" s="763"/>
      <c r="AE76" s="783"/>
      <c r="AF76" s="783"/>
      <c r="AG76" s="783"/>
      <c r="AH76" s="783"/>
      <c r="AI76" s="783"/>
      <c r="AJ76" s="783"/>
      <c r="AK76" s="1220"/>
    </row>
    <row r="77" spans="1:37" s="760" customFormat="1" x14ac:dyDescent="0.2">
      <c r="A77" s="1712" t="s">
        <v>2621</v>
      </c>
      <c r="B77" s="1773">
        <v>67</v>
      </c>
      <c r="C77" s="1417"/>
      <c r="D77" s="1248" t="str">
        <f>IF(AND(C75&lt;&gt;"",C77=""),"Agency-Specific "&amp;VLOOKUP(C75,Codes!$C$156:$D$174,2,FALSE)&amp;" Curvature Threshold (ft. radius or degrees)  ","")</f>
        <v/>
      </c>
      <c r="E77" s="1277"/>
      <c r="F77" s="736"/>
      <c r="G77" s="851"/>
      <c r="H77" s="1253"/>
      <c r="I77" s="1254"/>
      <c r="J77" s="1255"/>
      <c r="K77" s="1256"/>
      <c r="L77" s="1257"/>
      <c r="M77" s="1254"/>
      <c r="N77" s="1254"/>
      <c r="O77" s="1254"/>
      <c r="P77" s="1254"/>
      <c r="Q77" s="1254"/>
      <c r="R77" s="1223"/>
      <c r="S77" s="1221"/>
      <c r="T77" s="758"/>
      <c r="U77" s="758" t="b">
        <f>IF(AND(C75&lt;&gt;"",C77=""),TRUE,FALSE)</f>
        <v>0</v>
      </c>
      <c r="V77" s="763"/>
      <c r="W77" s="763"/>
      <c r="X77" s="763"/>
      <c r="Y77" s="763"/>
      <c r="Z77" s="763"/>
      <c r="AA77" s="763"/>
      <c r="AB77" s="763"/>
      <c r="AC77" s="763"/>
      <c r="AE77" s="783"/>
      <c r="AF77" s="783"/>
      <c r="AG77" s="783"/>
      <c r="AH77" s="783"/>
      <c r="AI77" s="783"/>
      <c r="AJ77" s="783"/>
      <c r="AK77" s="1220"/>
    </row>
    <row r="78" spans="1:37" s="760" customFormat="1" ht="6" customHeight="1" x14ac:dyDescent="0.2">
      <c r="A78" s="721"/>
      <c r="B78" s="1773">
        <v>68</v>
      </c>
      <c r="C78" s="828"/>
      <c r="D78" s="1845"/>
      <c r="E78" s="721"/>
      <c r="F78" s="281"/>
      <c r="G78" s="281"/>
      <c r="H78" s="1029"/>
      <c r="I78" s="829"/>
      <c r="J78" s="830"/>
      <c r="K78" s="829"/>
      <c r="L78" s="1031"/>
      <c r="M78" s="758"/>
      <c r="N78" s="724"/>
      <c r="O78" s="724"/>
      <c r="P78" s="724"/>
      <c r="Q78" s="724"/>
      <c r="R78" s="1395"/>
      <c r="S78" s="1252"/>
      <c r="T78" s="1219"/>
      <c r="U78" s="1221"/>
      <c r="V78" s="759"/>
      <c r="W78" s="759"/>
      <c r="X78" s="759"/>
      <c r="Y78" s="759"/>
      <c r="Z78" s="759"/>
      <c r="AA78" s="759"/>
      <c r="AB78" s="759"/>
      <c r="AC78" s="759"/>
      <c r="AE78" s="833"/>
      <c r="AF78" s="833"/>
      <c r="AG78" s="833"/>
      <c r="AH78" s="833"/>
      <c r="AI78" s="833"/>
      <c r="AJ78" s="833"/>
      <c r="AK78" s="1221"/>
    </row>
    <row r="79" spans="1:37" s="760" customFormat="1" x14ac:dyDescent="0.2">
      <c r="A79" s="1712" t="s">
        <v>2621</v>
      </c>
      <c r="B79" s="1773">
        <v>69</v>
      </c>
      <c r="C79" s="205" t="str">
        <f>IF(C75="","Linear Track",VLOOKUP(C75,Codes!$C$156:$D$174,2)&amp;" Linear Track")</f>
        <v>Linear Track</v>
      </c>
      <c r="D79" s="1845"/>
      <c r="E79" s="721"/>
      <c r="F79" s="281"/>
      <c r="G79" s="281"/>
      <c r="H79" s="1029"/>
      <c r="I79" s="829"/>
      <c r="J79" s="830"/>
      <c r="K79" s="829"/>
      <c r="L79" s="1031"/>
      <c r="M79" s="758"/>
      <c r="N79" s="724"/>
      <c r="O79" s="724"/>
      <c r="P79" s="724"/>
      <c r="Q79" s="724"/>
      <c r="R79" s="1395"/>
      <c r="S79" s="1252"/>
      <c r="T79" s="1219"/>
      <c r="U79" s="1221"/>
      <c r="V79" s="759"/>
      <c r="W79" s="759"/>
      <c r="X79" s="759"/>
      <c r="Y79" s="759"/>
      <c r="Z79" s="759"/>
      <c r="AA79" s="759"/>
      <c r="AB79" s="759"/>
      <c r="AC79" s="759"/>
      <c r="AE79" s="833"/>
      <c r="AF79" s="833"/>
      <c r="AG79" s="833"/>
      <c r="AH79" s="833"/>
      <c r="AI79" s="833"/>
      <c r="AJ79" s="833"/>
      <c r="AK79" s="1221"/>
    </row>
    <row r="80" spans="1:37" s="760" customFormat="1" ht="6" customHeight="1" x14ac:dyDescent="0.2">
      <c r="A80" s="721"/>
      <c r="B80" s="1773">
        <v>70</v>
      </c>
      <c r="C80" s="828"/>
      <c r="D80" s="1845"/>
      <c r="E80" s="721"/>
      <c r="F80" s="281"/>
      <c r="G80" s="281"/>
      <c r="H80" s="1029"/>
      <c r="I80" s="829"/>
      <c r="J80" s="830"/>
      <c r="K80" s="829"/>
      <c r="L80" s="1031"/>
      <c r="M80" s="758"/>
      <c r="N80" s="724"/>
      <c r="O80" s="724"/>
      <c r="P80" s="724"/>
      <c r="Q80" s="724"/>
      <c r="R80" s="1395"/>
      <c r="S80" s="1252"/>
      <c r="T80" s="1219"/>
      <c r="U80" s="1221"/>
      <c r="V80" s="759"/>
      <c r="W80" s="759"/>
      <c r="X80" s="759"/>
      <c r="Y80" s="759"/>
      <c r="Z80" s="759"/>
      <c r="AA80" s="759"/>
      <c r="AB80" s="759"/>
      <c r="AC80" s="759"/>
      <c r="AE80" s="833"/>
      <c r="AF80" s="833"/>
      <c r="AG80" s="833"/>
      <c r="AH80" s="833"/>
      <c r="AI80" s="833"/>
      <c r="AJ80" s="833"/>
      <c r="AK80" s="1221"/>
    </row>
    <row r="81" spans="1:37" s="760" customFormat="1" x14ac:dyDescent="0.2">
      <c r="A81" s="852">
        <v>15</v>
      </c>
      <c r="B81" s="1773">
        <v>71</v>
      </c>
      <c r="C81" s="851" t="str">
        <f>Valid!$B$80</f>
        <v>Tangent</v>
      </c>
      <c r="D81" s="1845"/>
      <c r="E81" s="1056" t="str">
        <f>IF(U81="N/A","",U81)</f>
        <v/>
      </c>
      <c r="F81" s="685"/>
      <c r="G81" s="685"/>
      <c r="H81" s="1025"/>
      <c r="I81" s="1246" t="str">
        <f>IF($C$75="","",IF(H81="","Qty? Enter Zero if N/A  ",""))</f>
        <v/>
      </c>
      <c r="J81" s="1249" t="str">
        <f>VLOOKUP(C81,Valid!$B$80:$C$86,2,FALSE)</f>
        <v>Track Feet</v>
      </c>
      <c r="K81" s="764"/>
      <c r="L81" s="1025"/>
      <c r="M81" s="1248" t="str">
        <f>IF($H81=0,"",IF($L81="",TEXT(AH81,0)&amp;" Years?    ",""))</f>
        <v/>
      </c>
      <c r="N81" s="1276"/>
      <c r="O81" s="1275" t="str">
        <f>IF($H81=0,"","% Cap Resp.    ")</f>
        <v/>
      </c>
      <c r="P81" s="1808"/>
      <c r="Q81" s="1275" t="str">
        <f>IF($H81=0,"","% Cap Resp.    ")</f>
        <v/>
      </c>
      <c r="R81" s="1392"/>
      <c r="S81" s="1223"/>
      <c r="T81" s="1223"/>
      <c r="U81" s="758" t="str">
        <f>IF(AND(R81="",N81="",L81="",H81="",L81=""),"N/A",IF(AND($H81=0,OR(L81&lt;&gt;"",N81&lt;&gt;"",R81&lt;&gt;"",L81&lt;&gt;"")),"No",IF(AND($H81&lt;&gt;0,OR($N81="",L81="")),"No","Yes")))</f>
        <v>N/A</v>
      </c>
      <c r="V81" s="761" t="b">
        <f>IF(AND(H81="",OR(L81&lt;&gt;"",N81&lt;&gt;"")),TRUE,FALSE)</f>
        <v>0</v>
      </c>
      <c r="W81" s="761" t="b">
        <f>IF(AND($C$75&lt;&gt;"",$H81=""),TRUE,FALSE)</f>
        <v>0</v>
      </c>
      <c r="X81" s="761" t="b">
        <f>IF(AND(H81&lt;&gt;"",H81&lt;&gt;0,H81&gt;AG81),TRUE,FALSE)</f>
        <v>0</v>
      </c>
      <c r="Y81" s="761" t="b">
        <f>IF($L81="",FALSE,IF($L81&lt;$AI81,TRUE,FALSE))</f>
        <v>0</v>
      </c>
      <c r="Z81" s="761" t="b">
        <f>IF($L81="",FALSE,IF($L81&gt;$AJ81,TRUE,FALSE))</f>
        <v>0</v>
      </c>
      <c r="AA81" s="761" t="b">
        <f>IF(AND(E81="No",$L81=""),TRUE,FALSE)</f>
        <v>0</v>
      </c>
      <c r="AB81" s="761" t="b">
        <f>IF($AC81=TRUE,FALSE,IF(OR($N81&lt;0,$N81&gt;1),TRUE,FALSE))</f>
        <v>0</v>
      </c>
      <c r="AC81" s="761" t="b">
        <f>IF(OR($H81=0, $H81=""), FALSE, IF(AND(H81&gt;0, L81&lt;&gt;"", N81&lt;&gt;""), IF(AND((N81*100)&lt;100,P81=""), TRUE,FALSE), TRUE))</f>
        <v>0</v>
      </c>
      <c r="AD81" s="762"/>
      <c r="AE81" s="783">
        <f t="shared" ref="AE81:AJ81" si="14">IF($C81="","",VLOOKUP($C81,val_fg_assets,AE$5,FALSE))</f>
        <v>1</v>
      </c>
      <c r="AF81" s="835">
        <f t="shared" si="14"/>
        <v>0</v>
      </c>
      <c r="AG81" s="835">
        <f t="shared" si="14"/>
        <v>3000000</v>
      </c>
      <c r="AH81" s="783">
        <f t="shared" si="14"/>
        <v>35</v>
      </c>
      <c r="AI81" s="783">
        <f t="shared" si="14"/>
        <v>26</v>
      </c>
      <c r="AJ81" s="783">
        <f t="shared" si="14"/>
        <v>44</v>
      </c>
      <c r="AK81" s="834"/>
    </row>
    <row r="82" spans="1:37" s="760" customFormat="1" ht="6" customHeight="1" x14ac:dyDescent="0.2">
      <c r="A82" s="852"/>
      <c r="B82" s="1773">
        <v>72</v>
      </c>
      <c r="C82" s="1222"/>
      <c r="D82" s="1845"/>
      <c r="E82" s="1059"/>
      <c r="F82" s="685"/>
      <c r="G82" s="685"/>
      <c r="H82" s="1176"/>
      <c r="I82" s="764"/>
      <c r="J82" s="840"/>
      <c r="K82" s="764"/>
      <c r="L82" s="1031"/>
      <c r="M82" s="758"/>
      <c r="N82" s="1258"/>
      <c r="O82" s="724"/>
      <c r="P82" s="1258"/>
      <c r="Q82" s="724"/>
      <c r="R82" s="1223"/>
      <c r="S82" s="1223"/>
      <c r="T82" s="1223"/>
      <c r="U82" s="1223"/>
      <c r="V82" s="759"/>
      <c r="W82" s="759"/>
      <c r="X82" s="759"/>
      <c r="Y82" s="759"/>
      <c r="Z82" s="759"/>
      <c r="AA82" s="759"/>
      <c r="AB82" s="759"/>
      <c r="AC82" s="759"/>
      <c r="AE82" s="833"/>
      <c r="AF82" s="845"/>
      <c r="AG82" s="845"/>
      <c r="AH82" s="833"/>
      <c r="AI82" s="833"/>
      <c r="AJ82" s="833"/>
      <c r="AK82" s="1223"/>
    </row>
    <row r="83" spans="1:37" s="760" customFormat="1" x14ac:dyDescent="0.2">
      <c r="A83" s="852">
        <v>16</v>
      </c>
      <c r="B83" s="1773">
        <v>73</v>
      </c>
      <c r="C83" s="851" t="str">
        <f>Valid!$B$81</f>
        <v>Curve</v>
      </c>
      <c r="D83" s="1845"/>
      <c r="E83" s="1056" t="str">
        <f>IF(U83="N/A","",U83)</f>
        <v/>
      </c>
      <c r="F83" s="764"/>
      <c r="G83" s="764"/>
      <c r="H83" s="1025"/>
      <c r="I83" s="1246" t="str">
        <f>IF($C$75="","",IF(H83="","Qty? Enter Zero if N/A  ",""))</f>
        <v/>
      </c>
      <c r="J83" s="1249" t="str">
        <f>VLOOKUP(C83,Valid!$B$80:$C$86,2,FALSE)</f>
        <v>Track Feet</v>
      </c>
      <c r="K83" s="764"/>
      <c r="L83" s="1025"/>
      <c r="M83" s="1248" t="str">
        <f>IF($H83=0,"",IF($L83="",TEXT(AH83,0)&amp;" Years?    ",""))</f>
        <v/>
      </c>
      <c r="N83" s="1276"/>
      <c r="O83" s="1275" t="str">
        <f>IF($H83=0,"","% Cap Resp.    ")</f>
        <v/>
      </c>
      <c r="P83" s="1808"/>
      <c r="Q83" s="1275" t="str">
        <f>IF($H83=0,"","% Cap Resp.    ")</f>
        <v/>
      </c>
      <c r="R83" s="1392"/>
      <c r="S83" s="1223"/>
      <c r="T83" s="1223"/>
      <c r="U83" s="758" t="str">
        <f>IF(AND(R83="",N83="",L83="",H83="",L83=""),"N/A",IF(AND($H83=0,OR(L83&lt;&gt;"",N83&lt;&gt;"",R83&lt;&gt;"",L83&lt;&gt;"")),"No",IF(AND($H83&lt;&gt;0,OR($N83="",L83="")),"No","Yes")))</f>
        <v>N/A</v>
      </c>
      <c r="V83" s="761" t="b">
        <f>IF(AND(H83="",OR(L83&lt;&gt;"",N83&lt;&gt;"")),TRUE,FALSE)</f>
        <v>0</v>
      </c>
      <c r="W83" s="761" t="b">
        <f>IF(AND($C$75&lt;&gt;"",$H83=""),TRUE,FALSE)</f>
        <v>0</v>
      </c>
      <c r="X83" s="761" t="b">
        <f>IF(AND(H83&lt;&gt;"",H83&lt;&gt;0,H83&gt;AG83),TRUE,FALSE)</f>
        <v>0</v>
      </c>
      <c r="Y83" s="761" t="b">
        <f>IF($L83="",FALSE,IF($L83&lt;$AI83,TRUE,FALSE))</f>
        <v>0</v>
      </c>
      <c r="Z83" s="761" t="b">
        <f>IF($L83="",FALSE,IF($L83&gt;$AJ83,TRUE,FALSE))</f>
        <v>0</v>
      </c>
      <c r="AA83" s="761" t="b">
        <f>IF(AND(E83="No",$L83=""),TRUE,FALSE)</f>
        <v>0</v>
      </c>
      <c r="AB83" s="761" t="b">
        <f>IF($AC83=TRUE,FALSE,IF(OR($N83&lt;0,$N83&gt;1),TRUE,FALSE))</f>
        <v>0</v>
      </c>
      <c r="AC83" s="761" t="b">
        <f>IF(OR($H83=0, $H83=""), FALSE, IF(AND(H83&gt;0, L83&lt;&gt;"", N83&lt;&gt;""), IF(AND((N83*100)&lt;100,P83=""), TRUE,FALSE), TRUE))</f>
        <v>0</v>
      </c>
      <c r="AD83" s="762"/>
      <c r="AE83" s="783">
        <f t="shared" ref="AE83:AJ83" si="15">IF($C83="","",VLOOKUP($C83,val_fg_assets,AE$5,FALSE))</f>
        <v>1</v>
      </c>
      <c r="AF83" s="835">
        <f t="shared" si="15"/>
        <v>0</v>
      </c>
      <c r="AG83" s="835">
        <f t="shared" si="15"/>
        <v>3000000</v>
      </c>
      <c r="AH83" s="783">
        <f t="shared" si="15"/>
        <v>15</v>
      </c>
      <c r="AI83" s="783">
        <f t="shared" si="15"/>
        <v>11</v>
      </c>
      <c r="AJ83" s="783">
        <f t="shared" si="15"/>
        <v>19</v>
      </c>
      <c r="AK83" s="834"/>
    </row>
    <row r="84" spans="1:37" ht="6" customHeight="1" thickBot="1" x14ac:dyDescent="0.25">
      <c r="A84" s="1225"/>
      <c r="B84" s="1774">
        <v>74</v>
      </c>
      <c r="C84" s="1249"/>
      <c r="E84" s="1058"/>
      <c r="F84" s="764"/>
      <c r="G84" s="764"/>
      <c r="H84" s="1251"/>
      <c r="L84" s="1251"/>
      <c r="R84" s="1223"/>
      <c r="V84" s="848"/>
      <c r="W84" s="848"/>
      <c r="X84" s="848"/>
      <c r="Y84" s="848"/>
      <c r="Z84" s="848"/>
      <c r="AA84" s="848"/>
      <c r="AB84" s="848"/>
      <c r="AC84" s="848"/>
      <c r="AE84" s="848"/>
      <c r="AF84" s="848"/>
      <c r="AG84" s="848"/>
      <c r="AH84" s="848"/>
      <c r="AI84" s="848"/>
      <c r="AJ84" s="848"/>
    </row>
    <row r="85" spans="1:37" x14ac:dyDescent="0.2">
      <c r="A85" s="1712" t="s">
        <v>2621</v>
      </c>
      <c r="B85" s="1773">
        <v>75</v>
      </c>
      <c r="C85" s="1224"/>
      <c r="E85" s="1057"/>
      <c r="F85" s="1278" t="str">
        <f>IF(C75="","Linear Track Totals &gt;&gt;",VLOOKUP(C75,Codes!$C$156:$D$174,2)&amp;" Linear Track Totals &gt;&gt;")</f>
        <v>Linear Track Totals &gt;&gt;</v>
      </c>
      <c r="H85" s="1032">
        <f>SUM(H81:H83)</f>
        <v>0</v>
      </c>
      <c r="I85" s="843"/>
      <c r="L85" s="1031"/>
      <c r="M85" s="714"/>
      <c r="N85" s="838"/>
      <c r="O85" s="734"/>
      <c r="P85" s="838"/>
      <c r="Q85" s="734"/>
      <c r="R85" s="834"/>
      <c r="V85" s="848"/>
      <c r="W85" s="718"/>
      <c r="X85" s="848"/>
      <c r="Y85" s="718"/>
      <c r="Z85" s="718"/>
      <c r="AA85" s="848"/>
      <c r="AB85" s="718"/>
      <c r="AC85" s="848"/>
      <c r="AD85" s="716"/>
      <c r="AE85" s="718"/>
      <c r="AF85" s="718"/>
      <c r="AG85" s="718"/>
      <c r="AH85" s="718"/>
      <c r="AI85" s="718"/>
      <c r="AJ85" s="718"/>
      <c r="AK85" s="716"/>
    </row>
    <row r="86" spans="1:37" ht="6" customHeight="1" x14ac:dyDescent="0.2">
      <c r="A86" s="1225"/>
      <c r="B86" s="1773">
        <v>76</v>
      </c>
      <c r="C86" s="1249"/>
      <c r="E86" s="1057"/>
      <c r="F86" s="1379"/>
      <c r="H86" s="1493"/>
      <c r="I86" s="843"/>
      <c r="L86" s="1031"/>
      <c r="M86" s="714"/>
      <c r="N86" s="838"/>
      <c r="O86" s="734"/>
      <c r="P86" s="838"/>
      <c r="Q86" s="734"/>
      <c r="R86" s="1223"/>
      <c r="V86" s="848"/>
      <c r="W86" s="848"/>
      <c r="X86" s="848"/>
      <c r="Y86" s="848"/>
      <c r="Z86" s="848"/>
      <c r="AA86" s="848"/>
      <c r="AB86" s="848"/>
      <c r="AC86" s="848"/>
      <c r="AE86" s="848"/>
      <c r="AF86" s="848"/>
      <c r="AG86" s="848"/>
      <c r="AH86" s="848"/>
      <c r="AI86" s="848"/>
      <c r="AJ86" s="848"/>
    </row>
    <row r="87" spans="1:37" x14ac:dyDescent="0.2">
      <c r="A87" s="1712" t="s">
        <v>2621</v>
      </c>
      <c r="B87" s="1773">
        <v>77</v>
      </c>
      <c r="C87" s="205" t="str">
        <f>IF(C75="","Track Special Work (excluding linear assets)",VLOOKUP(C75,Codes!$C$156:$D$174,2)&amp;" Track Special Work (excluding linear assets)")</f>
        <v>Track Special Work (excluding linear assets)</v>
      </c>
      <c r="E87" s="1057"/>
      <c r="F87" s="1379"/>
      <c r="H87" s="1028"/>
      <c r="I87" s="843"/>
      <c r="L87" s="1031"/>
      <c r="M87" s="714"/>
      <c r="N87" s="838"/>
      <c r="O87" s="734"/>
      <c r="P87" s="838"/>
      <c r="Q87" s="734"/>
      <c r="R87" s="1223"/>
      <c r="V87" s="848"/>
      <c r="W87" s="848"/>
      <c r="X87" s="848"/>
      <c r="Y87" s="848"/>
      <c r="Z87" s="848"/>
      <c r="AA87" s="848"/>
      <c r="AB87" s="848"/>
      <c r="AC87" s="848"/>
      <c r="AE87" s="848"/>
      <c r="AF87" s="848"/>
      <c r="AG87" s="848"/>
      <c r="AH87" s="848"/>
      <c r="AI87" s="848"/>
      <c r="AJ87" s="848"/>
    </row>
    <row r="88" spans="1:37" ht="6" customHeight="1" x14ac:dyDescent="0.2">
      <c r="A88" s="1225"/>
      <c r="B88" s="1773">
        <v>78</v>
      </c>
      <c r="C88" s="1249"/>
      <c r="E88" s="1057"/>
      <c r="F88" s="1379"/>
      <c r="H88" s="1028"/>
      <c r="I88" s="843"/>
      <c r="L88" s="1031"/>
      <c r="M88" s="714"/>
      <c r="N88" s="838"/>
      <c r="O88" s="734"/>
      <c r="P88" s="838"/>
      <c r="Q88" s="734"/>
      <c r="R88" s="1223"/>
      <c r="V88" s="761"/>
      <c r="W88" s="848"/>
      <c r="X88" s="848"/>
      <c r="Y88" s="848"/>
      <c r="Z88" s="848"/>
      <c r="AA88" s="761"/>
      <c r="AB88" s="848"/>
      <c r="AC88" s="848"/>
      <c r="AE88" s="848"/>
      <c r="AF88" s="848"/>
      <c r="AG88" s="848"/>
      <c r="AH88" s="848"/>
      <c r="AI88" s="848"/>
      <c r="AJ88" s="848"/>
    </row>
    <row r="89" spans="1:37" x14ac:dyDescent="0.2">
      <c r="A89" s="852">
        <v>17</v>
      </c>
      <c r="B89" s="1773">
        <v>79</v>
      </c>
      <c r="C89" s="1249" t="str">
        <f>Valid!$B$82</f>
        <v>Double Diamond Crossover</v>
      </c>
      <c r="E89" s="1245" t="str">
        <f>IF(U89="N/A","",U89)</f>
        <v/>
      </c>
      <c r="F89" s="1249"/>
      <c r="H89" s="1247"/>
      <c r="I89" s="1246" t="str">
        <f>IF($C$75="","",IF(H89="","Qty? Enter Zero if N/A  ",""))</f>
        <v/>
      </c>
      <c r="J89" s="1249" t="str">
        <f>VLOOKUP(C89,Valid!$B$80:$C$86,2,FALSE)</f>
        <v>Each</v>
      </c>
      <c r="K89" s="1249"/>
      <c r="L89" s="1247"/>
      <c r="M89" s="1248" t="str">
        <f>IF($H89=0,"",IF($L89="",TEXT(AH89,0)&amp;" Years?    ",""))</f>
        <v/>
      </c>
      <c r="N89" s="1276"/>
      <c r="O89" s="1275" t="str">
        <f>IF($H89=0,"","% Cap Resp.    ")</f>
        <v/>
      </c>
      <c r="P89" s="1808"/>
      <c r="Q89" s="1275" t="str">
        <f>IF($H89=0,"","% Cap Resp.    ")</f>
        <v/>
      </c>
      <c r="R89" s="1392"/>
      <c r="U89" s="758" t="str">
        <f>IF(AND(R89="",N89="",L89="",H89="",L89=""),"N/A",IF(AND($H89=0,OR(L89&lt;&gt;"",N89&lt;&gt;"",R89&lt;&gt;"",L89&lt;&gt;"")),"No",IF(AND($H89&lt;&gt;0,OR($N89="",L89="")),"No","Yes")))</f>
        <v>N/A</v>
      </c>
      <c r="V89" s="761" t="b">
        <f>IF(AND(H89="",OR(L89&lt;&gt;"",N89&lt;&gt;"")),TRUE,FALSE)</f>
        <v>0</v>
      </c>
      <c r="W89" s="761" t="b">
        <f>IF(AND($C$44&lt;&gt;"",$H89=""),TRUE,FALSE)</f>
        <v>0</v>
      </c>
      <c r="X89" s="761" t="b">
        <f>IF(AND(H89&lt;&gt;"",H89&lt;&gt;0,H89&gt;AG89),TRUE,FALSE)</f>
        <v>0</v>
      </c>
      <c r="Y89" s="761" t="b">
        <f>IF($L89="",FALSE,IF($L89&lt;$AI89,TRUE,FALSE))</f>
        <v>0</v>
      </c>
      <c r="Z89" s="761" t="b">
        <f>IF($L89="",FALSE,IF($L89&gt;$AJ89,TRUE,FALSE))</f>
        <v>0</v>
      </c>
      <c r="AA89" s="761" t="b">
        <f>IF(AND(E89="No",$L89=""),TRUE,FALSE)</f>
        <v>0</v>
      </c>
      <c r="AB89" s="761" t="b">
        <f>IF($AC89=TRUE,FALSE,IF(OR($N89&lt;0,$N89&gt;1),TRUE,FALSE))</f>
        <v>0</v>
      </c>
      <c r="AC89" s="761" t="b">
        <f>IF(OR($H89=0, $H89=""), FALSE, IF(AND(H89&gt;0, L89&lt;&gt;"", N89&lt;&gt;""), IF(AND((N89*100)&lt;100,P89=""), TRUE,FALSE), TRUE))</f>
        <v>0</v>
      </c>
      <c r="AD89" s="762"/>
      <c r="AE89" s="783">
        <f t="shared" ref="AE89:AJ89" si="16">IF($C89="","",VLOOKUP($C89,val_fg_assets,AE$5,FALSE))</f>
        <v>1</v>
      </c>
      <c r="AF89" s="835">
        <f t="shared" si="16"/>
        <v>0</v>
      </c>
      <c r="AG89" s="835">
        <f t="shared" si="16"/>
        <v>500</v>
      </c>
      <c r="AH89" s="783">
        <f t="shared" si="16"/>
        <v>15</v>
      </c>
      <c r="AI89" s="783">
        <f t="shared" si="16"/>
        <v>11</v>
      </c>
      <c r="AJ89" s="783">
        <f t="shared" si="16"/>
        <v>19</v>
      </c>
    </row>
    <row r="90" spans="1:37" ht="6" customHeight="1" x14ac:dyDescent="0.2">
      <c r="A90" s="1225"/>
      <c r="B90" s="1773">
        <v>80</v>
      </c>
      <c r="C90" s="1249"/>
      <c r="E90" s="1249"/>
      <c r="F90" s="1249"/>
      <c r="H90" s="1249"/>
      <c r="I90" s="1249"/>
      <c r="J90" s="1249"/>
      <c r="K90" s="1249"/>
      <c r="L90" s="1249"/>
      <c r="M90" s="1249"/>
      <c r="N90" s="1249"/>
      <c r="O90" s="1249"/>
      <c r="P90" s="1249"/>
      <c r="Q90" s="1249"/>
      <c r="R90" s="1393"/>
      <c r="V90" s="848"/>
      <c r="W90" s="848"/>
      <c r="X90" s="848"/>
      <c r="Y90" s="848"/>
      <c r="Z90" s="848"/>
      <c r="AA90" s="848"/>
      <c r="AB90" s="848"/>
      <c r="AC90" s="848"/>
      <c r="AE90" s="848"/>
      <c r="AF90" s="848"/>
      <c r="AG90" s="848"/>
      <c r="AH90" s="848"/>
      <c r="AI90" s="848"/>
      <c r="AJ90" s="848"/>
    </row>
    <row r="91" spans="1:37" x14ac:dyDescent="0.2">
      <c r="A91" s="852">
        <v>18</v>
      </c>
      <c r="B91" s="1773">
        <v>81</v>
      </c>
      <c r="C91" s="1249" t="str">
        <f>Valid!$B$83</f>
        <v>Single Crossover</v>
      </c>
      <c r="E91" s="1245" t="str">
        <f>IF(U91="N/A","",U91)</f>
        <v/>
      </c>
      <c r="F91" s="1249"/>
      <c r="H91" s="1247"/>
      <c r="I91" s="1246" t="str">
        <f>IF($C$75="","",IF(H91="","Qty? Enter Zero if N/A  ",""))</f>
        <v/>
      </c>
      <c r="J91" s="1249" t="str">
        <f>VLOOKUP(C91,Valid!$B$80:$C$86,2,FALSE)</f>
        <v>Each</v>
      </c>
      <c r="K91" s="1249"/>
      <c r="L91" s="1247"/>
      <c r="M91" s="1248" t="str">
        <f>IF($H91=0,"",IF($L91="",TEXT(AH91,0)&amp;" Years?    ",""))</f>
        <v/>
      </c>
      <c r="N91" s="1276"/>
      <c r="O91" s="1275" t="str">
        <f>IF($H91=0,"","% Cap Resp.    ")</f>
        <v/>
      </c>
      <c r="P91" s="1808"/>
      <c r="Q91" s="1275" t="str">
        <f>IF($H91=0,"","% Cap Resp.    ")</f>
        <v/>
      </c>
      <c r="R91" s="1392"/>
      <c r="U91" s="758" t="str">
        <f>IF(AND(R91="",N91="",L91="",H91="",L91=""),"N/A",IF(AND($H91=0,OR(L91&lt;&gt;"",N91&lt;&gt;"",R91&lt;&gt;"",L91&lt;&gt;"")),"No",IF(AND($H91&lt;&gt;0,OR($N91="",L91="")),"No","Yes")))</f>
        <v>N/A</v>
      </c>
      <c r="V91" s="761" t="b">
        <f>IF(AND(H91="",OR(L91&lt;&gt;"",N91&lt;&gt;"")),TRUE,FALSE)</f>
        <v>0</v>
      </c>
      <c r="W91" s="761" t="b">
        <f>IF(AND($C$44&lt;&gt;"",$H91=""),TRUE,FALSE)</f>
        <v>0</v>
      </c>
      <c r="X91" s="761" t="b">
        <f>IF(AND(H91&lt;&gt;"",H91&lt;&gt;0,H91&gt;AG91),TRUE,FALSE)</f>
        <v>0</v>
      </c>
      <c r="Y91" s="761" t="b">
        <f>IF($L91="",FALSE,IF($L91&lt;$AI91,TRUE,FALSE))</f>
        <v>0</v>
      </c>
      <c r="Z91" s="761" t="b">
        <f>IF($L91="",FALSE,IF($L91&gt;$AJ91,TRUE,FALSE))</f>
        <v>0</v>
      </c>
      <c r="AA91" s="761" t="b">
        <f>IF(AND(E91="No",$L91=""),TRUE,FALSE)</f>
        <v>0</v>
      </c>
      <c r="AB91" s="761" t="b">
        <f>IF($AC91=TRUE,FALSE,IF(OR($N91&lt;0,$N91&gt;1),TRUE,FALSE))</f>
        <v>0</v>
      </c>
      <c r="AC91" s="761" t="b">
        <f>IF(OR($H91=0, $H91=""), FALSE, IF(AND(H91&gt;0, L91&lt;&gt;"", N91&lt;&gt;""), IF(AND((N91*100)&lt;100,P91=""), TRUE,FALSE), TRUE))</f>
        <v>0</v>
      </c>
      <c r="AD91" s="762"/>
      <c r="AE91" s="783">
        <f t="shared" ref="AE91:AJ91" si="17">IF($C91="","",VLOOKUP($C91,val_fg_assets,AE$5,FALSE))</f>
        <v>1</v>
      </c>
      <c r="AF91" s="835">
        <f t="shared" si="17"/>
        <v>0</v>
      </c>
      <c r="AG91" s="835">
        <f t="shared" si="17"/>
        <v>500</v>
      </c>
      <c r="AH91" s="783">
        <f t="shared" si="17"/>
        <v>15</v>
      </c>
      <c r="AI91" s="783">
        <f t="shared" si="17"/>
        <v>11</v>
      </c>
      <c r="AJ91" s="783">
        <f t="shared" si="17"/>
        <v>19</v>
      </c>
    </row>
    <row r="92" spans="1:37" ht="6" customHeight="1" x14ac:dyDescent="0.2">
      <c r="A92" s="1225"/>
      <c r="B92" s="1774">
        <v>82</v>
      </c>
      <c r="C92" s="1249"/>
      <c r="E92" s="1249"/>
      <c r="F92" s="1249"/>
      <c r="H92" s="1249"/>
      <c r="I92" s="1249"/>
      <c r="J92" s="1249"/>
      <c r="K92" s="1249"/>
      <c r="L92" s="1249"/>
      <c r="M92" s="1249"/>
      <c r="N92" s="1249"/>
      <c r="O92" s="1249"/>
      <c r="P92" s="1249"/>
      <c r="Q92" s="1249"/>
      <c r="R92" s="1393"/>
      <c r="V92" s="848"/>
      <c r="W92" s="848"/>
      <c r="X92" s="848"/>
      <c r="Y92" s="848"/>
      <c r="Z92" s="848"/>
      <c r="AA92" s="848"/>
      <c r="AB92" s="848"/>
      <c r="AC92" s="848"/>
      <c r="AE92" s="848"/>
      <c r="AF92" s="848"/>
      <c r="AG92" s="848"/>
      <c r="AH92" s="848"/>
      <c r="AI92" s="848"/>
      <c r="AJ92" s="848"/>
    </row>
    <row r="93" spans="1:37" x14ac:dyDescent="0.2">
      <c r="A93" s="852">
        <v>19</v>
      </c>
      <c r="B93" s="1773">
        <v>83</v>
      </c>
      <c r="C93" s="1249" t="str">
        <f>Valid!$B$84</f>
        <v>Half Grand Union</v>
      </c>
      <c r="E93" s="1245" t="str">
        <f>IF(U93="N/A","",U93)</f>
        <v/>
      </c>
      <c r="F93" s="1249"/>
      <c r="H93" s="1247"/>
      <c r="I93" s="1246" t="str">
        <f>IF($C$75="","",IF(H93="","Qty? Enter Zero if N/A  ",""))</f>
        <v/>
      </c>
      <c r="J93" s="1249" t="str">
        <f>VLOOKUP(C93,Valid!$B$80:$C$86,2,FALSE)</f>
        <v>Each</v>
      </c>
      <c r="K93" s="1249"/>
      <c r="L93" s="1247"/>
      <c r="M93" s="1248" t="str">
        <f>IF($H93=0,"",IF($L93="",TEXT(AH93,0)&amp;" Years?    ",""))</f>
        <v/>
      </c>
      <c r="N93" s="1276"/>
      <c r="O93" s="1275" t="str">
        <f>IF($H93=0,"","% Cap Resp.    ")</f>
        <v/>
      </c>
      <c r="P93" s="1808"/>
      <c r="Q93" s="1275" t="str">
        <f>IF($H93=0,"","% Cap Resp.    ")</f>
        <v/>
      </c>
      <c r="R93" s="1392"/>
      <c r="U93" s="758" t="str">
        <f>IF(AND(R93="",N93="",L93="",H93="",L93=""),"N/A",IF(AND($H93=0,OR(L93&lt;&gt;"",N93&lt;&gt;"",R93&lt;&gt;"",L93&lt;&gt;"")),"No",IF(AND($H93&lt;&gt;0,OR($N93="",L93="")),"No","Yes")))</f>
        <v>N/A</v>
      </c>
      <c r="V93" s="761" t="b">
        <f>IF(AND(H93="",OR(L93&lt;&gt;"",N93&lt;&gt;"")),TRUE,FALSE)</f>
        <v>0</v>
      </c>
      <c r="W93" s="761" t="b">
        <f>IF(AND($C$44&lt;&gt;"",$H93=""),TRUE,FALSE)</f>
        <v>0</v>
      </c>
      <c r="X93" s="761" t="b">
        <f>IF(AND(H93&lt;&gt;"",H93&lt;&gt;0,H93&gt;AG93),TRUE,FALSE)</f>
        <v>0</v>
      </c>
      <c r="Y93" s="761" t="b">
        <f>IF($L93="",FALSE,IF($L93&lt;$AI93,TRUE,FALSE))</f>
        <v>0</v>
      </c>
      <c r="Z93" s="761" t="b">
        <f>IF($L93="",FALSE,IF($L93&gt;$AJ93,TRUE,FALSE))</f>
        <v>0</v>
      </c>
      <c r="AA93" s="761" t="b">
        <f>IF(AND(E93="No",$L93=""),TRUE,FALSE)</f>
        <v>0</v>
      </c>
      <c r="AB93" s="761" t="b">
        <f>IF($AC93=TRUE,FALSE,IF(OR($N93&lt;0,$N93&gt;1),TRUE,FALSE))</f>
        <v>0</v>
      </c>
      <c r="AC93" s="761" t="b">
        <f>IF(OR($H93=0, $H93=""), FALSE, IF(AND(H93&gt;0, L93&lt;&gt;"", N93&lt;&gt;""), IF(AND((N93*100)&lt;100,P93=""), TRUE,FALSE), TRUE))</f>
        <v>0</v>
      </c>
      <c r="AD93" s="762"/>
      <c r="AE93" s="783">
        <f t="shared" ref="AE93:AJ93" si="18">IF($C93="","",VLOOKUP($C93,val_fg_assets,AE$5,FALSE))</f>
        <v>1</v>
      </c>
      <c r="AF93" s="835">
        <f t="shared" si="18"/>
        <v>0</v>
      </c>
      <c r="AG93" s="835">
        <f t="shared" si="18"/>
        <v>500</v>
      </c>
      <c r="AH93" s="783">
        <f t="shared" si="18"/>
        <v>15</v>
      </c>
      <c r="AI93" s="783">
        <f t="shared" si="18"/>
        <v>11</v>
      </c>
      <c r="AJ93" s="783">
        <f t="shared" si="18"/>
        <v>19</v>
      </c>
    </row>
    <row r="94" spans="1:37" ht="6" customHeight="1" x14ac:dyDescent="0.2">
      <c r="A94" s="1225"/>
      <c r="B94" s="1773">
        <v>84</v>
      </c>
      <c r="C94" s="1249"/>
      <c r="E94" s="1249"/>
      <c r="F94" s="1249"/>
      <c r="H94" s="1249"/>
      <c r="I94" s="1249"/>
      <c r="J94" s="1249"/>
      <c r="K94" s="1249"/>
      <c r="L94" s="1249"/>
      <c r="M94" s="1249"/>
      <c r="N94" s="1249"/>
      <c r="O94" s="1249"/>
      <c r="P94" s="1249"/>
      <c r="Q94" s="1249"/>
      <c r="R94" s="1393"/>
      <c r="V94" s="848"/>
      <c r="W94" s="848"/>
      <c r="X94" s="848"/>
      <c r="Y94" s="848"/>
      <c r="Z94" s="848"/>
      <c r="AA94" s="848"/>
      <c r="AB94" s="848"/>
      <c r="AC94" s="848"/>
      <c r="AE94" s="848"/>
      <c r="AF94" s="848"/>
      <c r="AG94" s="848"/>
      <c r="AH94" s="848"/>
      <c r="AI94" s="848"/>
      <c r="AJ94" s="848"/>
    </row>
    <row r="95" spans="1:37" x14ac:dyDescent="0.2">
      <c r="A95" s="852">
        <v>20</v>
      </c>
      <c r="B95" s="1773">
        <v>85</v>
      </c>
      <c r="C95" s="1249" t="str">
        <f>Valid!$B$85</f>
        <v>Single Turnout</v>
      </c>
      <c r="E95" s="1245" t="str">
        <f>IF(U95="N/A","",U95)</f>
        <v/>
      </c>
      <c r="F95" s="1249"/>
      <c r="H95" s="1247"/>
      <c r="I95" s="1246" t="str">
        <f>IF($C$75="","",IF(H95="","Qty? Enter Zero if N/A  ",""))</f>
        <v/>
      </c>
      <c r="J95" s="1249" t="str">
        <f>VLOOKUP(C95,Valid!$B$80:$C$86,2,FALSE)</f>
        <v>Each</v>
      </c>
      <c r="K95" s="1249"/>
      <c r="L95" s="1247"/>
      <c r="M95" s="1248" t="str">
        <f>IF($H95=0,"",IF($L95="",TEXT(AH95,0)&amp;" Years?    ",""))</f>
        <v/>
      </c>
      <c r="N95" s="1276"/>
      <c r="O95" s="1275" t="str">
        <f>IF($H95=0,"","% Cap Resp.    ")</f>
        <v/>
      </c>
      <c r="P95" s="1808"/>
      <c r="Q95" s="1275" t="str">
        <f>IF($H95=0,"","% Cap Resp.    ")</f>
        <v/>
      </c>
      <c r="R95" s="1392"/>
      <c r="U95" s="758" t="str">
        <f>IF(AND(R95="",N95="",L95="",H95="",L95=""),"N/A",IF(AND($H95=0,OR(L95&lt;&gt;"",N95&lt;&gt;"",R95&lt;&gt;"",L95&lt;&gt;"")),"No",IF(AND($H95&lt;&gt;0,OR($N95="",L95="")),"No","Yes")))</f>
        <v>N/A</v>
      </c>
      <c r="V95" s="761" t="b">
        <f>IF(AND(H95="",OR(L95&lt;&gt;"",N95&lt;&gt;"")),TRUE,FALSE)</f>
        <v>0</v>
      </c>
      <c r="W95" s="761" t="b">
        <f>IF(AND($C$44&lt;&gt;"",$H95=""),TRUE,FALSE)</f>
        <v>0</v>
      </c>
      <c r="X95" s="761" t="b">
        <f>IF(AND(H95&lt;&gt;"",H95&lt;&gt;0,H95&gt;AG95),TRUE,FALSE)</f>
        <v>0</v>
      </c>
      <c r="Y95" s="761" t="b">
        <f>IF($L95="",FALSE,IF($L95&lt;$AI95,TRUE,FALSE))</f>
        <v>0</v>
      </c>
      <c r="Z95" s="761" t="b">
        <f>IF($L95="",FALSE,IF($L95&gt;$AJ95,TRUE,FALSE))</f>
        <v>0</v>
      </c>
      <c r="AA95" s="761" t="b">
        <f>IF(AND(E95="No",$L95=""),TRUE,FALSE)</f>
        <v>0</v>
      </c>
      <c r="AB95" s="761" t="b">
        <f>IF($AC95=TRUE,FALSE,IF(OR($N95&lt;0,$N95&gt;1),TRUE,FALSE))</f>
        <v>0</v>
      </c>
      <c r="AC95" s="761" t="b">
        <f>IF(OR($H95=0, $H95=""), FALSE, IF(AND(H95&gt;0, L95&lt;&gt;"", N95&lt;&gt;""), IF(AND((N95*100)&lt;100,P95=""), TRUE,FALSE), TRUE))</f>
        <v>0</v>
      </c>
      <c r="AD95" s="762"/>
      <c r="AE95" s="783">
        <f t="shared" ref="AE95:AJ95" si="19">IF($C95="","",VLOOKUP($C95,val_fg_assets,AE$5,FALSE))</f>
        <v>1</v>
      </c>
      <c r="AF95" s="835">
        <f t="shared" si="19"/>
        <v>0</v>
      </c>
      <c r="AG95" s="835">
        <f t="shared" si="19"/>
        <v>500</v>
      </c>
      <c r="AH95" s="783">
        <f t="shared" si="19"/>
        <v>15</v>
      </c>
      <c r="AI95" s="783">
        <f t="shared" si="19"/>
        <v>11</v>
      </c>
      <c r="AJ95" s="783">
        <f t="shared" si="19"/>
        <v>19</v>
      </c>
    </row>
    <row r="96" spans="1:37" ht="6" customHeight="1" x14ac:dyDescent="0.2">
      <c r="A96" s="1225"/>
      <c r="B96" s="1773">
        <v>86</v>
      </c>
      <c r="C96" s="1249"/>
      <c r="E96" s="1249"/>
      <c r="F96" s="1249"/>
      <c r="H96" s="1249"/>
      <c r="I96" s="1249"/>
      <c r="J96" s="1249"/>
      <c r="K96" s="1249"/>
      <c r="L96" s="1249"/>
      <c r="M96" s="1249"/>
      <c r="N96" s="1249"/>
      <c r="O96" s="1249"/>
      <c r="P96" s="1249"/>
      <c r="Q96" s="1249"/>
      <c r="R96" s="1393"/>
      <c r="V96" s="848"/>
      <c r="W96" s="848"/>
      <c r="X96" s="848"/>
      <c r="Y96" s="848"/>
      <c r="Z96" s="848"/>
      <c r="AA96" s="848"/>
      <c r="AB96" s="848"/>
      <c r="AC96" s="848"/>
      <c r="AE96" s="848"/>
      <c r="AF96" s="848"/>
      <c r="AG96" s="848"/>
      <c r="AH96" s="848"/>
      <c r="AI96" s="848"/>
      <c r="AJ96" s="848"/>
    </row>
    <row r="97" spans="1:37" x14ac:dyDescent="0.2">
      <c r="A97" s="852">
        <v>21</v>
      </c>
      <c r="B97" s="1773">
        <v>87</v>
      </c>
      <c r="C97" s="1249" t="str">
        <f>Valid!$B$86</f>
        <v>Grade Crossings</v>
      </c>
      <c r="E97" s="1245" t="str">
        <f>IF(U97="N/A","",U97)</f>
        <v/>
      </c>
      <c r="F97" s="1249"/>
      <c r="H97" s="1247"/>
      <c r="I97" s="1246" t="str">
        <f>IF($C$75="","",IF(H97="","Qty? Enter Zero if N/A  ",""))</f>
        <v/>
      </c>
      <c r="J97" s="1249" t="str">
        <f>VLOOKUP(C97,Valid!$B$80:$C$86,2,FALSE)</f>
        <v>Each</v>
      </c>
      <c r="K97" s="1249"/>
      <c r="L97" s="1247"/>
      <c r="M97" s="1248" t="str">
        <f>IF($H97=0,"",IF($L97="",TEXT(AH97,0)&amp;" Years?    ",""))</f>
        <v/>
      </c>
      <c r="N97" s="1276"/>
      <c r="O97" s="1275" t="str">
        <f>IF($H97=0,"","% Cap Resp.    ")</f>
        <v/>
      </c>
      <c r="P97" s="1808"/>
      <c r="Q97" s="1275" t="str">
        <f>IF($H97=0,"","% Cap Resp.    ")</f>
        <v/>
      </c>
      <c r="R97" s="1392"/>
      <c r="U97" s="758" t="str">
        <f>IF(AND(R97="",N97="",L97="",H97="",L97=""),"N/A",IF(AND($H97=0,OR(L97&lt;&gt;"",N97&lt;&gt;"",R97&lt;&gt;"",L97&lt;&gt;"")),"No",IF(AND($H97&lt;&gt;0,OR($N97="",L97="")),"No","Yes")))</f>
        <v>N/A</v>
      </c>
      <c r="V97" s="761" t="b">
        <f>IF(AND(H97="",OR(L97&lt;&gt;"",N97&lt;&gt;"")),TRUE,FALSE)</f>
        <v>0</v>
      </c>
      <c r="W97" s="761" t="b">
        <f>IF(AND($C$44&lt;&gt;"",$H97=""),TRUE,FALSE)</f>
        <v>0</v>
      </c>
      <c r="X97" s="761" t="b">
        <f>IF(AND(H97&lt;&gt;"",H97&lt;&gt;0,H97&gt;AG97),TRUE,FALSE)</f>
        <v>0</v>
      </c>
      <c r="Y97" s="761" t="b">
        <f>IF($L97="",FALSE,IF($L97&lt;$AI97,TRUE,FALSE))</f>
        <v>0</v>
      </c>
      <c r="Z97" s="761" t="b">
        <f>IF($L97="",FALSE,IF($L97&gt;$AJ97,TRUE,FALSE))</f>
        <v>0</v>
      </c>
      <c r="AA97" s="761" t="b">
        <f>IF(AND(E97="No",$L97=""),TRUE,FALSE)</f>
        <v>0</v>
      </c>
      <c r="AB97" s="761" t="b">
        <f>IF($AC97=TRUE,FALSE,IF(OR($N97&lt;0,$N97&gt;1),TRUE,FALSE))</f>
        <v>0</v>
      </c>
      <c r="AC97" s="761" t="b">
        <f>IF(OR($H97=0, $H97=""), FALSE, IF(AND(H97&gt;0, L97&lt;&gt;"", N97&lt;&gt;""), IF(AND((N97*100)&lt;100,P97=""), TRUE,FALSE), TRUE))</f>
        <v>0</v>
      </c>
      <c r="AD97" s="762"/>
      <c r="AE97" s="783">
        <f t="shared" ref="AE97:AJ97" si="20">IF($C97="","",VLOOKUP($C97,val_fg_assets,AE$5,FALSE))</f>
        <v>1</v>
      </c>
      <c r="AF97" s="835">
        <f t="shared" si="20"/>
        <v>0</v>
      </c>
      <c r="AG97" s="835">
        <f t="shared" si="20"/>
        <v>500</v>
      </c>
      <c r="AH97" s="783">
        <f t="shared" si="20"/>
        <v>15</v>
      </c>
      <c r="AI97" s="783">
        <f t="shared" si="20"/>
        <v>11</v>
      </c>
      <c r="AJ97" s="783">
        <f t="shared" si="20"/>
        <v>19</v>
      </c>
    </row>
    <row r="98" spans="1:37" ht="6" customHeight="1" thickBot="1" x14ac:dyDescent="0.25">
      <c r="A98" s="1225"/>
      <c r="B98" s="1773">
        <v>88</v>
      </c>
      <c r="C98" s="1249"/>
      <c r="E98" s="1249"/>
      <c r="F98" s="1249"/>
      <c r="H98" s="1249"/>
      <c r="I98" s="1249"/>
      <c r="J98" s="1249"/>
      <c r="K98" s="1249"/>
      <c r="L98" s="1249"/>
      <c r="M98" s="1249"/>
      <c r="N98" s="1249"/>
      <c r="O98" s="1249"/>
      <c r="P98" s="1249"/>
      <c r="Q98" s="1249"/>
      <c r="R98" s="1393"/>
      <c r="V98" s="848"/>
      <c r="W98" s="848"/>
      <c r="X98" s="848"/>
      <c r="Y98" s="848"/>
      <c r="Z98" s="848"/>
      <c r="AA98" s="848"/>
      <c r="AB98" s="848"/>
      <c r="AC98" s="848"/>
      <c r="AE98" s="848"/>
      <c r="AF98" s="848"/>
      <c r="AG98" s="848"/>
      <c r="AH98" s="848"/>
      <c r="AI98" s="848"/>
      <c r="AJ98" s="848"/>
    </row>
    <row r="99" spans="1:37" x14ac:dyDescent="0.2">
      <c r="A99" s="1712" t="s">
        <v>2621</v>
      </c>
      <c r="B99" s="1773">
        <v>89</v>
      </c>
      <c r="C99" s="1249"/>
      <c r="E99" s="1249"/>
      <c r="F99" s="1278" t="str">
        <f>IF(C75="","Track Special Work Totals (excluding linear assets)&gt;&gt;",VLOOKUP(C75,Codes!$C$156:$D$174,2)&amp;" Track Special Work Totals (excluding linear assets)&gt;&gt;")</f>
        <v>Track Special Work Totals (excluding linear assets)&gt;&gt;</v>
      </c>
      <c r="H99" s="1032">
        <f>SUM(H89:H97)</f>
        <v>0</v>
      </c>
      <c r="I99" s="1249"/>
      <c r="J99" s="1249"/>
      <c r="K99" s="1249"/>
      <c r="L99" s="1249"/>
      <c r="M99" s="1249"/>
      <c r="N99" s="1249"/>
      <c r="O99" s="1249"/>
      <c r="P99" s="1249"/>
      <c r="Q99" s="1249"/>
      <c r="R99" s="1393"/>
      <c r="V99" s="848"/>
      <c r="W99" s="848"/>
      <c r="X99" s="848"/>
      <c r="Y99" s="848"/>
      <c r="Z99" s="848"/>
      <c r="AA99" s="848"/>
      <c r="AB99" s="848"/>
      <c r="AC99" s="848"/>
      <c r="AE99" s="848"/>
      <c r="AF99" s="848"/>
      <c r="AG99" s="848"/>
      <c r="AH99" s="848"/>
      <c r="AI99" s="848"/>
      <c r="AJ99" s="848"/>
    </row>
    <row r="100" spans="1:37" ht="6" customHeight="1" x14ac:dyDescent="0.2">
      <c r="B100" s="1774">
        <v>90</v>
      </c>
      <c r="C100" s="1268"/>
      <c r="E100" s="1057"/>
      <c r="H100" s="1250"/>
      <c r="L100" s="1251"/>
      <c r="R100" s="1394"/>
      <c r="V100" s="848"/>
      <c r="W100" s="848"/>
      <c r="X100" s="848"/>
      <c r="Y100" s="759"/>
      <c r="Z100" s="759"/>
      <c r="AA100" s="848"/>
      <c r="AB100" s="848"/>
      <c r="AC100" s="848"/>
      <c r="AE100" s="848"/>
      <c r="AF100" s="848"/>
      <c r="AG100" s="848"/>
      <c r="AH100" s="848"/>
      <c r="AI100" s="848"/>
      <c r="AJ100" s="848"/>
    </row>
    <row r="101" spans="1:37" ht="6" customHeight="1" x14ac:dyDescent="0.2">
      <c r="B101" s="1773">
        <v>91</v>
      </c>
      <c r="E101" s="1057"/>
      <c r="H101" s="1250"/>
      <c r="L101" s="1251"/>
      <c r="R101" s="1223"/>
      <c r="V101" s="848"/>
      <c r="W101" s="848"/>
      <c r="X101" s="848"/>
      <c r="Y101" s="848"/>
      <c r="Z101" s="848"/>
      <c r="AA101" s="848"/>
      <c r="AB101" s="848"/>
      <c r="AC101" s="848"/>
      <c r="AE101" s="848"/>
      <c r="AF101" s="848"/>
      <c r="AG101" s="848"/>
      <c r="AH101" s="848"/>
      <c r="AI101" s="848"/>
      <c r="AJ101" s="848"/>
    </row>
    <row r="102" spans="1:37" ht="6" customHeight="1" x14ac:dyDescent="0.2">
      <c r="A102" s="1815"/>
      <c r="B102" s="1819">
        <v>30</v>
      </c>
      <c r="C102" s="1816"/>
      <c r="D102" s="1847"/>
      <c r="E102" s="1817"/>
      <c r="F102" s="1817"/>
      <c r="G102" s="1817"/>
      <c r="H102" s="1817"/>
      <c r="I102" s="1817"/>
      <c r="J102" s="1817"/>
      <c r="K102" s="1817"/>
      <c r="L102" s="1817"/>
      <c r="M102" s="1817"/>
      <c r="N102" s="1817"/>
      <c r="O102" s="1817"/>
      <c r="P102" s="1817"/>
      <c r="Q102" s="1817"/>
      <c r="R102" s="1818"/>
      <c r="S102" s="1815"/>
      <c r="T102" s="1815"/>
      <c r="U102" s="1815"/>
      <c r="V102" s="1814"/>
      <c r="W102" s="1814"/>
      <c r="X102" s="1814"/>
      <c r="Y102" s="1814"/>
      <c r="Z102" s="1814"/>
      <c r="AA102" s="1814"/>
      <c r="AB102" s="1814"/>
      <c r="AC102" s="1814"/>
      <c r="AD102" s="1815"/>
      <c r="AE102" s="1814"/>
      <c r="AF102" s="1814"/>
      <c r="AG102" s="1814"/>
      <c r="AH102" s="1814"/>
      <c r="AI102" s="1814"/>
      <c r="AJ102" s="1814"/>
    </row>
    <row r="103" spans="1:37" ht="6" customHeight="1" x14ac:dyDescent="0.2">
      <c r="B103" s="1773">
        <v>93</v>
      </c>
      <c r="E103" s="1057"/>
      <c r="H103" s="1250"/>
      <c r="L103" s="1270"/>
      <c r="V103" s="848"/>
      <c r="W103" s="848"/>
      <c r="X103" s="848"/>
      <c r="Y103" s="848"/>
      <c r="Z103" s="848"/>
      <c r="AA103" s="848"/>
      <c r="AB103" s="848"/>
      <c r="AC103" s="848"/>
      <c r="AE103" s="848"/>
      <c r="AF103" s="848"/>
      <c r="AG103" s="848"/>
      <c r="AH103" s="848"/>
      <c r="AI103" s="848"/>
      <c r="AJ103" s="848"/>
    </row>
    <row r="104" spans="1:37" ht="6" customHeight="1" x14ac:dyDescent="0.2">
      <c r="B104" s="1773">
        <v>94</v>
      </c>
      <c r="E104" s="1057"/>
      <c r="H104" s="1250"/>
      <c r="L104" s="1251"/>
      <c r="V104" s="848"/>
      <c r="W104" s="848"/>
      <c r="X104" s="848"/>
      <c r="Y104" s="848"/>
      <c r="Z104" s="848"/>
      <c r="AA104" s="848"/>
      <c r="AB104" s="848"/>
      <c r="AC104" s="848"/>
      <c r="AE104" s="848"/>
      <c r="AF104" s="848"/>
      <c r="AG104" s="848"/>
      <c r="AH104" s="848"/>
      <c r="AI104" s="848"/>
      <c r="AJ104" s="848"/>
    </row>
    <row r="105" spans="1:37" s="760" customFormat="1" ht="6" customHeight="1" x14ac:dyDescent="0.2">
      <c r="A105" s="721"/>
      <c r="B105" s="1773">
        <v>95</v>
      </c>
      <c r="C105" s="1271"/>
      <c r="D105" s="1845"/>
      <c r="E105" s="721"/>
      <c r="F105" s="736"/>
      <c r="G105" s="736"/>
      <c r="H105" s="1272"/>
      <c r="I105" s="822"/>
      <c r="J105" s="817"/>
      <c r="K105" s="822"/>
      <c r="L105" s="1273"/>
      <c r="M105" s="758"/>
      <c r="N105" s="822"/>
      <c r="O105" s="823"/>
      <c r="P105" s="822"/>
      <c r="Q105" s="823"/>
      <c r="R105" s="1391"/>
      <c r="S105" s="1219"/>
      <c r="U105" s="1219"/>
      <c r="V105" s="759"/>
      <c r="W105" s="759"/>
      <c r="X105" s="759"/>
      <c r="Y105" s="759"/>
      <c r="Z105" s="759"/>
      <c r="AA105" s="759"/>
      <c r="AB105" s="759"/>
      <c r="AC105" s="759"/>
      <c r="AE105" s="1274"/>
      <c r="AF105" s="1274"/>
      <c r="AG105" s="1274"/>
      <c r="AH105" s="1274"/>
      <c r="AI105" s="1274"/>
      <c r="AJ105" s="1274"/>
      <c r="AK105" s="1219"/>
    </row>
    <row r="106" spans="1:37" s="760" customFormat="1" x14ac:dyDescent="0.2">
      <c r="A106" s="1712" t="s">
        <v>2621</v>
      </c>
      <c r="B106" s="1773">
        <v>96</v>
      </c>
      <c r="C106" s="1416"/>
      <c r="D106" s="1248" t="str">
        <f>IF(AND(C75&lt;&gt;"",$C106=""),"Select Mode from Pull-Down List                                                                       ","")</f>
        <v/>
      </c>
      <c r="E106" s="1277" t="str">
        <f>IF(AND(C106="",OR(H112&lt;&gt;"",H114&lt;&gt;"",L112&lt;&gt;"",N112&lt;&gt;"",L114&lt;&gt;"",N114&lt;&gt;"",R112&lt;&gt;"",R114&lt;&gt;"",C108&lt;&gt;"",H130&lt;&gt;0,L120&lt;&gt;"",L122&lt;&gt;"",L124&lt;&gt;"",L126&lt;&gt;"",L128&lt;&gt;"",N120&lt;&gt;"",N122&lt;&gt;"",N124&lt;&gt;"",N126&lt;&gt;"",N128&lt;&gt;"",R120&lt;&gt;"",R122&lt;&gt;"",R124&lt;&gt;"",R126&lt;&gt;"",R128&lt;&gt;"")),"&lt;&lt; Insert Rail Mode",IF(AND(C106&lt;&gt;"",C75=""),"&lt;&lt;Complete Previous Section First",""))</f>
        <v/>
      </c>
      <c r="F106" s="736"/>
      <c r="G106" s="736"/>
      <c r="H106" s="1253"/>
      <c r="I106" s="1254"/>
      <c r="J106" s="1255"/>
      <c r="K106" s="1256"/>
      <c r="L106" s="1257"/>
      <c r="M106" s="1254"/>
      <c r="N106" s="1254"/>
      <c r="O106" s="1254"/>
      <c r="P106" s="1254"/>
      <c r="Q106" s="1254"/>
      <c r="R106" s="1223"/>
      <c r="S106" s="1221"/>
      <c r="T106" s="758"/>
      <c r="U106" s="758" t="b">
        <f>IF(OR(E106&lt;&gt;"",E137="&lt;&lt;Complete Previous Section First"),TRUE,FALSE)</f>
        <v>0</v>
      </c>
      <c r="V106" s="763"/>
      <c r="W106" s="763"/>
      <c r="X106" s="763"/>
      <c r="Y106" s="763"/>
      <c r="Z106" s="763"/>
      <c r="AA106" s="763"/>
      <c r="AB106" s="763"/>
      <c r="AC106" s="763"/>
      <c r="AE106" s="783"/>
      <c r="AF106" s="783"/>
      <c r="AG106" s="783"/>
      <c r="AH106" s="783"/>
      <c r="AI106" s="783"/>
      <c r="AJ106" s="783"/>
      <c r="AK106" s="1220"/>
    </row>
    <row r="107" spans="1:37" s="760" customFormat="1" ht="6" customHeight="1" x14ac:dyDescent="0.2">
      <c r="A107" s="721"/>
      <c r="B107" s="1773">
        <v>97</v>
      </c>
      <c r="C107" s="1434"/>
      <c r="D107" s="1248"/>
      <c r="E107" s="1277"/>
      <c r="F107" s="736"/>
      <c r="G107" s="736"/>
      <c r="H107" s="1253"/>
      <c r="I107" s="1254"/>
      <c r="J107" s="1255"/>
      <c r="K107" s="1256"/>
      <c r="L107" s="1257"/>
      <c r="M107" s="1254"/>
      <c r="N107" s="1254"/>
      <c r="O107" s="1254"/>
      <c r="P107" s="1254"/>
      <c r="Q107" s="1254"/>
      <c r="R107" s="1223"/>
      <c r="S107" s="1221"/>
      <c r="T107" s="758"/>
      <c r="U107" s="758"/>
      <c r="V107" s="763"/>
      <c r="W107" s="763"/>
      <c r="X107" s="763"/>
      <c r="Y107" s="763"/>
      <c r="Z107" s="763"/>
      <c r="AA107" s="763"/>
      <c r="AB107" s="763"/>
      <c r="AC107" s="763"/>
      <c r="AE107" s="783"/>
      <c r="AF107" s="783"/>
      <c r="AG107" s="783"/>
      <c r="AH107" s="783"/>
      <c r="AI107" s="783"/>
      <c r="AJ107" s="783"/>
      <c r="AK107" s="1220"/>
    </row>
    <row r="108" spans="1:37" s="760" customFormat="1" x14ac:dyDescent="0.2">
      <c r="A108" s="1712" t="s">
        <v>2621</v>
      </c>
      <c r="B108" s="1774">
        <v>98</v>
      </c>
      <c r="C108" s="1417"/>
      <c r="D108" s="1248" t="str">
        <f>IF(AND(C106&lt;&gt;"",C108=""),"Agency-Specific "&amp;VLOOKUP(C106,Codes!$C$156:$D$174,2,FALSE)&amp;" Curvature Threshold (ft. radius or degrees)  ","")</f>
        <v/>
      </c>
      <c r="E108" s="1277"/>
      <c r="F108" s="736"/>
      <c r="G108" s="851"/>
      <c r="H108" s="1253"/>
      <c r="I108" s="1254"/>
      <c r="J108" s="1255"/>
      <c r="K108" s="1256"/>
      <c r="L108" s="1257"/>
      <c r="M108" s="1254"/>
      <c r="N108" s="1254"/>
      <c r="O108" s="1254"/>
      <c r="P108" s="1254"/>
      <c r="Q108" s="1254"/>
      <c r="R108" s="1223"/>
      <c r="S108" s="1221"/>
      <c r="T108" s="758"/>
      <c r="U108" s="758" t="b">
        <f>IF(AND(C106&lt;&gt;"",C108=""),TRUE,FALSE)</f>
        <v>0</v>
      </c>
      <c r="V108" s="763"/>
      <c r="W108" s="763"/>
      <c r="X108" s="763"/>
      <c r="Y108" s="763"/>
      <c r="Z108" s="763"/>
      <c r="AA108" s="763"/>
      <c r="AB108" s="763"/>
      <c r="AC108" s="763"/>
      <c r="AE108" s="783"/>
      <c r="AF108" s="783"/>
      <c r="AG108" s="783"/>
      <c r="AH108" s="783"/>
      <c r="AI108" s="783"/>
      <c r="AJ108" s="783"/>
      <c r="AK108" s="1220"/>
    </row>
    <row r="109" spans="1:37" s="760" customFormat="1" ht="6" customHeight="1" x14ac:dyDescent="0.2">
      <c r="A109" s="721"/>
      <c r="B109" s="1773">
        <v>99</v>
      </c>
      <c r="C109" s="828"/>
      <c r="D109" s="1845"/>
      <c r="E109" s="721"/>
      <c r="F109" s="281"/>
      <c r="G109" s="281"/>
      <c r="H109" s="1029"/>
      <c r="I109" s="829"/>
      <c r="J109" s="830"/>
      <c r="K109" s="829"/>
      <c r="L109" s="1031"/>
      <c r="M109" s="758"/>
      <c r="N109" s="724"/>
      <c r="O109" s="724"/>
      <c r="P109" s="724"/>
      <c r="Q109" s="724"/>
      <c r="R109" s="1223"/>
      <c r="S109" s="1221"/>
      <c r="T109" s="1219"/>
      <c r="U109" s="1221"/>
      <c r="V109" s="759"/>
      <c r="W109" s="759"/>
      <c r="X109" s="759"/>
      <c r="Y109" s="759"/>
      <c r="Z109" s="759"/>
      <c r="AA109" s="759"/>
      <c r="AB109" s="759"/>
      <c r="AC109" s="759"/>
      <c r="AE109" s="833"/>
      <c r="AF109" s="833"/>
      <c r="AG109" s="833"/>
      <c r="AH109" s="833"/>
      <c r="AI109" s="833"/>
      <c r="AJ109" s="833"/>
      <c r="AK109" s="1221"/>
    </row>
    <row r="110" spans="1:37" s="760" customFormat="1" x14ac:dyDescent="0.2">
      <c r="A110" s="1712" t="s">
        <v>2621</v>
      </c>
      <c r="B110" s="1773">
        <v>100</v>
      </c>
      <c r="C110" s="205" t="str">
        <f>IF(C106="","Linear Track",VLOOKUP(C106,Codes!$C$156:$D$174,2)&amp;" Linear Track")</f>
        <v>Linear Track</v>
      </c>
      <c r="D110" s="1845"/>
      <c r="E110" s="721"/>
      <c r="F110" s="281"/>
      <c r="G110" s="281"/>
      <c r="H110" s="1029"/>
      <c r="I110" s="829"/>
      <c r="J110" s="830"/>
      <c r="K110" s="829"/>
      <c r="L110" s="1031"/>
      <c r="M110" s="758"/>
      <c r="N110" s="724"/>
      <c r="O110" s="724"/>
      <c r="P110" s="724"/>
      <c r="Q110" s="724"/>
      <c r="R110" s="1223"/>
      <c r="S110" s="1221"/>
      <c r="T110" s="1219"/>
      <c r="U110" s="1221"/>
      <c r="V110" s="759"/>
      <c r="W110" s="759"/>
      <c r="X110" s="759"/>
      <c r="Y110" s="759"/>
      <c r="Z110" s="759"/>
      <c r="AA110" s="759"/>
      <c r="AB110" s="759"/>
      <c r="AC110" s="759"/>
      <c r="AE110" s="833"/>
      <c r="AF110" s="833"/>
      <c r="AG110" s="833"/>
      <c r="AH110" s="833"/>
      <c r="AI110" s="833"/>
      <c r="AJ110" s="833"/>
      <c r="AK110" s="1221"/>
    </row>
    <row r="111" spans="1:37" s="760" customFormat="1" ht="6" customHeight="1" x14ac:dyDescent="0.2">
      <c r="A111" s="721"/>
      <c r="B111" s="1773">
        <v>101</v>
      </c>
      <c r="C111" s="828"/>
      <c r="D111" s="1845"/>
      <c r="E111" s="721"/>
      <c r="F111" s="281"/>
      <c r="G111" s="281"/>
      <c r="H111" s="1029"/>
      <c r="I111" s="829"/>
      <c r="J111" s="830"/>
      <c r="K111" s="829"/>
      <c r="L111" s="1031"/>
      <c r="M111" s="758"/>
      <c r="N111" s="724"/>
      <c r="O111" s="724"/>
      <c r="P111" s="724"/>
      <c r="Q111" s="724"/>
      <c r="R111" s="1223"/>
      <c r="S111" s="1221"/>
      <c r="T111" s="1219"/>
      <c r="U111" s="1221"/>
      <c r="V111" s="759"/>
      <c r="W111" s="759"/>
      <c r="X111" s="759"/>
      <c r="Y111" s="759"/>
      <c r="Z111" s="759"/>
      <c r="AA111" s="759"/>
      <c r="AB111" s="759"/>
      <c r="AC111" s="759"/>
      <c r="AE111" s="833"/>
      <c r="AF111" s="833"/>
      <c r="AG111" s="833"/>
      <c r="AH111" s="833"/>
      <c r="AI111" s="833"/>
      <c r="AJ111" s="833"/>
      <c r="AK111" s="1221"/>
    </row>
    <row r="112" spans="1:37" s="760" customFormat="1" x14ac:dyDescent="0.2">
      <c r="A112" s="852">
        <v>22</v>
      </c>
      <c r="B112" s="1773">
        <v>102</v>
      </c>
      <c r="C112" s="851" t="str">
        <f>Valid!$B$80</f>
        <v>Tangent</v>
      </c>
      <c r="D112" s="1845"/>
      <c r="E112" s="1056" t="str">
        <f>IF(U112="N/A","",U112)</f>
        <v/>
      </c>
      <c r="F112" s="685"/>
      <c r="G112" s="685"/>
      <c r="H112" s="1025"/>
      <c r="I112" s="1246" t="str">
        <f>IF($C$106="","",IF(H112="","Qty? Enter Zero if N/A  ",""))</f>
        <v/>
      </c>
      <c r="J112" s="1249" t="str">
        <f>VLOOKUP(C112,Valid!$B$80:$C$86,2,FALSE)</f>
        <v>Track Feet</v>
      </c>
      <c r="K112" s="764"/>
      <c r="L112" s="1025"/>
      <c r="M112" s="1248" t="str">
        <f>IF($H112=0,"",IF($L112="",TEXT(AH112,0)&amp;" Years?    ",""))</f>
        <v/>
      </c>
      <c r="N112" s="1276"/>
      <c r="O112" s="1275" t="str">
        <f>IF($H112=0,"","% Cap Resp.    ")</f>
        <v/>
      </c>
      <c r="P112" s="1808"/>
      <c r="Q112" s="1275" t="str">
        <f>IF($H112=0,"","% Cap Resp.    ")</f>
        <v/>
      </c>
      <c r="R112" s="1392"/>
      <c r="S112" s="1223"/>
      <c r="T112" s="1223"/>
      <c r="U112" s="758" t="str">
        <f>IF(AND(R112="",N112="",L112="",H112="",L112=""),"N/A",IF(AND($H112=0,OR(L112&lt;&gt;"",N112&lt;&gt;"",R112&lt;&gt;"",L112&lt;&gt;"")),"No",IF(AND($H112&lt;&gt;0,OR($N112="",L112="")),"No","Yes")))</f>
        <v>N/A</v>
      </c>
      <c r="V112" s="761" t="b">
        <f>IF(AND(H112="",OR(L112&lt;&gt;"",N112&lt;&gt;"")),TRUE,FALSE)</f>
        <v>0</v>
      </c>
      <c r="W112" s="761" t="b">
        <f>IF(AND($C$106&lt;&gt;"",$H112=""),TRUE,FALSE)</f>
        <v>0</v>
      </c>
      <c r="X112" s="761" t="b">
        <f>IF(AND(H112&lt;&gt;"",H112&lt;&gt;0,H112&gt;AG112),TRUE,FALSE)</f>
        <v>0</v>
      </c>
      <c r="Y112" s="761" t="b">
        <f>IF($L112="",FALSE,IF($L112&lt;$AI112,TRUE,FALSE))</f>
        <v>0</v>
      </c>
      <c r="Z112" s="761" t="b">
        <f>IF($L112="",FALSE,IF($L112&gt;$AJ112,TRUE,FALSE))</f>
        <v>0</v>
      </c>
      <c r="AA112" s="761" t="b">
        <f>IF(AND(E112="No",$L112=""),TRUE,FALSE)</f>
        <v>0</v>
      </c>
      <c r="AB112" s="761" t="b">
        <f>IF($AC112=TRUE,FALSE,IF(OR($N112&lt;0,$N112&gt;1),TRUE,FALSE))</f>
        <v>0</v>
      </c>
      <c r="AC112" s="761" t="b">
        <f>IF(OR($H112=0, $H112=""), FALSE, IF(AND(H112&gt;0, L112&lt;&gt;"", N112&lt;&gt;""), IF(AND((N112*100)&lt;100,P112=""), TRUE,FALSE), TRUE))</f>
        <v>0</v>
      </c>
      <c r="AD112" s="762"/>
      <c r="AE112" s="783">
        <f t="shared" ref="AE112:AJ112" si="21">IF($C112="","",VLOOKUP($C112,val_fg_assets,AE$5,FALSE))</f>
        <v>1</v>
      </c>
      <c r="AF112" s="835">
        <f t="shared" si="21"/>
        <v>0</v>
      </c>
      <c r="AG112" s="835">
        <f t="shared" si="21"/>
        <v>3000000</v>
      </c>
      <c r="AH112" s="783">
        <f t="shared" si="21"/>
        <v>35</v>
      </c>
      <c r="AI112" s="783">
        <f t="shared" si="21"/>
        <v>26</v>
      </c>
      <c r="AJ112" s="783">
        <f t="shared" si="21"/>
        <v>44</v>
      </c>
      <c r="AK112" s="834"/>
    </row>
    <row r="113" spans="1:37" s="760" customFormat="1" ht="6" customHeight="1" x14ac:dyDescent="0.2">
      <c r="A113" s="852"/>
      <c r="B113" s="1773">
        <v>103</v>
      </c>
      <c r="C113" s="1222"/>
      <c r="D113" s="1845"/>
      <c r="E113" s="1059"/>
      <c r="F113" s="685"/>
      <c r="G113" s="685"/>
      <c r="H113" s="1176"/>
      <c r="I113" s="764"/>
      <c r="J113" s="840"/>
      <c r="K113" s="764"/>
      <c r="L113" s="1031"/>
      <c r="M113" s="758"/>
      <c r="N113" s="1258"/>
      <c r="O113" s="724"/>
      <c r="P113" s="1258"/>
      <c r="Q113" s="724"/>
      <c r="R113" s="1223"/>
      <c r="S113" s="1223"/>
      <c r="T113" s="1223"/>
      <c r="U113" s="1223"/>
      <c r="V113" s="759"/>
      <c r="W113" s="759"/>
      <c r="X113" s="759"/>
      <c r="Y113" s="759"/>
      <c r="Z113" s="759"/>
      <c r="AA113" s="759"/>
      <c r="AB113" s="759"/>
      <c r="AC113" s="759"/>
      <c r="AE113" s="833"/>
      <c r="AF113" s="845"/>
      <c r="AG113" s="845"/>
      <c r="AH113" s="833"/>
      <c r="AI113" s="833"/>
      <c r="AJ113" s="833"/>
      <c r="AK113" s="1223"/>
    </row>
    <row r="114" spans="1:37" s="760" customFormat="1" x14ac:dyDescent="0.2">
      <c r="A114" s="852">
        <v>23</v>
      </c>
      <c r="B114" s="1773">
        <v>104</v>
      </c>
      <c r="C114" s="851" t="str">
        <f>Valid!$B$81</f>
        <v>Curve</v>
      </c>
      <c r="D114" s="1845"/>
      <c r="E114" s="1056" t="str">
        <f>IF(U114="N/A","",U114)</f>
        <v/>
      </c>
      <c r="F114" s="764"/>
      <c r="G114" s="764"/>
      <c r="H114" s="1025"/>
      <c r="I114" s="1246" t="str">
        <f>IF($C$106="","",IF(H114="","Qty? Enter Zero if N/A  ",""))</f>
        <v/>
      </c>
      <c r="J114" s="1249" t="str">
        <f>VLOOKUP(C114,Valid!$B$80:$C$86,2,FALSE)</f>
        <v>Track Feet</v>
      </c>
      <c r="K114" s="764"/>
      <c r="L114" s="1025"/>
      <c r="M114" s="1248" t="str">
        <f>IF($H114=0,"",IF($L114="",TEXT(AH114,0)&amp;" Years?    ",""))</f>
        <v/>
      </c>
      <c r="N114" s="1276"/>
      <c r="O114" s="1275" t="str">
        <f>IF($H114=0,"","% Cap Resp.    ")</f>
        <v/>
      </c>
      <c r="P114" s="1808"/>
      <c r="Q114" s="1275" t="str">
        <f>IF($H114=0,"","% Cap Resp.    ")</f>
        <v/>
      </c>
      <c r="R114" s="1392"/>
      <c r="S114" s="1223"/>
      <c r="T114" s="1223"/>
      <c r="U114" s="758" t="str">
        <f>IF(AND(R114="",N114="",L114="",H114="",L114=""),"N/A",IF(AND($H114=0,OR(L114&lt;&gt;"",N114&lt;&gt;"",R114&lt;&gt;"",L114&lt;&gt;"")),"No",IF(AND($H114&lt;&gt;0,OR($N114="",L114="")),"No","Yes")))</f>
        <v>N/A</v>
      </c>
      <c r="V114" s="761" t="b">
        <f>IF(AND(H114="",OR(L114&lt;&gt;"",N114&lt;&gt;"")),TRUE,FALSE)</f>
        <v>0</v>
      </c>
      <c r="W114" s="761" t="b">
        <f>IF(AND($C$106&lt;&gt;"",$H114=""),TRUE,FALSE)</f>
        <v>0</v>
      </c>
      <c r="X114" s="761" t="b">
        <f>IF(AND(H114&lt;&gt;"",H114&lt;&gt;0,H114&gt;AG114),TRUE,FALSE)</f>
        <v>0</v>
      </c>
      <c r="Y114" s="761" t="b">
        <f>IF($L114="",FALSE,IF($L114&lt;$AI114,TRUE,FALSE))</f>
        <v>0</v>
      </c>
      <c r="Z114" s="761" t="b">
        <f>IF($L114="",FALSE,IF($L114&gt;$AJ114,TRUE,FALSE))</f>
        <v>0</v>
      </c>
      <c r="AA114" s="761" t="b">
        <f>IF(AND(E114="No",$L114=""),TRUE,FALSE)</f>
        <v>0</v>
      </c>
      <c r="AB114" s="761" t="b">
        <f>IF($AC114=TRUE,FALSE,IF(OR($N114&lt;0,$N114&gt;1),TRUE,FALSE))</f>
        <v>0</v>
      </c>
      <c r="AC114" s="761" t="b">
        <f>IF(OR($H114=0, $H114=""), FALSE, IF(AND(H114&gt;0, L114&lt;&gt;"", N114&lt;&gt;""), IF(AND((N114*100)&lt;100,P114=""), TRUE,FALSE), TRUE))</f>
        <v>0</v>
      </c>
      <c r="AD114" s="762"/>
      <c r="AE114" s="783">
        <f t="shared" ref="AE114:AJ114" si="22">IF($C114="","",VLOOKUP($C114,val_fg_assets,AE$5,FALSE))</f>
        <v>1</v>
      </c>
      <c r="AF114" s="835">
        <f t="shared" si="22"/>
        <v>0</v>
      </c>
      <c r="AG114" s="835">
        <f t="shared" si="22"/>
        <v>3000000</v>
      </c>
      <c r="AH114" s="783">
        <f t="shared" si="22"/>
        <v>15</v>
      </c>
      <c r="AI114" s="783">
        <f t="shared" si="22"/>
        <v>11</v>
      </c>
      <c r="AJ114" s="783">
        <f t="shared" si="22"/>
        <v>19</v>
      </c>
      <c r="AK114" s="834"/>
    </row>
    <row r="115" spans="1:37" ht="6" customHeight="1" thickBot="1" x14ac:dyDescent="0.25">
      <c r="A115" s="1225"/>
      <c r="B115" s="1773">
        <v>105</v>
      </c>
      <c r="C115" s="1249"/>
      <c r="E115" s="1058"/>
      <c r="F115" s="764"/>
      <c r="G115" s="764"/>
      <c r="H115" s="1251"/>
      <c r="J115" s="1249"/>
      <c r="L115" s="1251"/>
      <c r="R115" s="1223"/>
      <c r="V115" s="848"/>
      <c r="W115" s="848"/>
      <c r="X115" s="848"/>
      <c r="Y115" s="848"/>
      <c r="Z115" s="848"/>
      <c r="AA115" s="848"/>
      <c r="AB115" s="848"/>
      <c r="AC115" s="848"/>
      <c r="AE115" s="848"/>
      <c r="AF115" s="848"/>
      <c r="AG115" s="848"/>
      <c r="AH115" s="848"/>
      <c r="AI115" s="848"/>
      <c r="AJ115" s="848"/>
    </row>
    <row r="116" spans="1:37" x14ac:dyDescent="0.2">
      <c r="A116" s="1712" t="s">
        <v>2621</v>
      </c>
      <c r="B116" s="1774">
        <v>106</v>
      </c>
      <c r="C116" s="1224"/>
      <c r="E116" s="1057"/>
      <c r="F116" s="1278" t="str">
        <f>IF(C106="","Linear Track Totals &gt;&gt;",VLOOKUP(C106,Codes!$C$156:$D$174,2)&amp;" Linear Track Totals &gt;&gt;")</f>
        <v>Linear Track Totals &gt;&gt;</v>
      </c>
      <c r="H116" s="1032">
        <f>SUM(H112:H114)</f>
        <v>0</v>
      </c>
      <c r="I116" s="843"/>
      <c r="L116" s="1031"/>
      <c r="M116" s="714"/>
      <c r="N116" s="838"/>
      <c r="O116" s="734"/>
      <c r="P116" s="838"/>
      <c r="Q116" s="734"/>
      <c r="R116" s="834"/>
      <c r="V116" s="848"/>
      <c r="W116" s="718"/>
      <c r="X116" s="718"/>
      <c r="Y116" s="718"/>
      <c r="Z116" s="718"/>
      <c r="AA116" s="848"/>
      <c r="AB116" s="718"/>
      <c r="AC116" s="848"/>
      <c r="AD116" s="716"/>
      <c r="AE116" s="718"/>
      <c r="AF116" s="718"/>
      <c r="AG116" s="718"/>
      <c r="AH116" s="718"/>
      <c r="AI116" s="718"/>
      <c r="AJ116" s="718"/>
      <c r="AK116" s="716"/>
    </row>
    <row r="117" spans="1:37" ht="6" customHeight="1" x14ac:dyDescent="0.2">
      <c r="A117" s="1225"/>
      <c r="B117" s="1773">
        <v>107</v>
      </c>
      <c r="C117" s="1249"/>
      <c r="E117" s="1057"/>
      <c r="F117" s="1379"/>
      <c r="H117" s="1028"/>
      <c r="I117" s="843"/>
      <c r="L117" s="1031"/>
      <c r="M117" s="714"/>
      <c r="N117" s="838"/>
      <c r="O117" s="734"/>
      <c r="P117" s="838"/>
      <c r="Q117" s="734"/>
      <c r="R117" s="1223"/>
      <c r="V117" s="848"/>
      <c r="W117" s="848"/>
      <c r="X117" s="848"/>
      <c r="Y117" s="848"/>
      <c r="Z117" s="848"/>
      <c r="AA117" s="848"/>
      <c r="AB117" s="848"/>
      <c r="AC117" s="848"/>
      <c r="AE117" s="848"/>
      <c r="AF117" s="848"/>
      <c r="AG117" s="848"/>
      <c r="AH117" s="848"/>
      <c r="AI117" s="848"/>
      <c r="AJ117" s="848"/>
    </row>
    <row r="118" spans="1:37" x14ac:dyDescent="0.2">
      <c r="A118" s="1712" t="s">
        <v>2621</v>
      </c>
      <c r="B118" s="1773">
        <v>108</v>
      </c>
      <c r="C118" s="205" t="str">
        <f>IF(C106="","Track Special Work (excluding linear assets)",VLOOKUP(C106,Codes!$C$156:$D$174,2)&amp;" Track Special Work (excluding linear assets)")</f>
        <v>Track Special Work (excluding linear assets)</v>
      </c>
      <c r="E118" s="1057"/>
      <c r="F118" s="1379"/>
      <c r="H118" s="1028"/>
      <c r="I118" s="843"/>
      <c r="L118" s="1031"/>
      <c r="M118" s="714"/>
      <c r="N118" s="838"/>
      <c r="O118" s="734"/>
      <c r="P118" s="838"/>
      <c r="Q118" s="734"/>
      <c r="R118" s="1223"/>
      <c r="V118" s="848"/>
      <c r="W118" s="848"/>
      <c r="X118" s="848"/>
      <c r="Y118" s="848"/>
      <c r="Z118" s="848"/>
      <c r="AA118" s="848"/>
      <c r="AB118" s="848"/>
      <c r="AC118" s="848"/>
      <c r="AE118" s="848"/>
      <c r="AF118" s="848"/>
      <c r="AG118" s="848"/>
      <c r="AH118" s="848"/>
      <c r="AI118" s="848"/>
      <c r="AJ118" s="848"/>
    </row>
    <row r="119" spans="1:37" ht="6" customHeight="1" x14ac:dyDescent="0.2">
      <c r="A119" s="1225"/>
      <c r="B119" s="1773">
        <v>109</v>
      </c>
      <c r="C119" s="1249"/>
      <c r="E119" s="1057"/>
      <c r="F119" s="1379"/>
      <c r="H119" s="1028"/>
      <c r="I119" s="843"/>
      <c r="L119" s="1031"/>
      <c r="M119" s="714"/>
      <c r="N119" s="838"/>
      <c r="O119" s="734"/>
      <c r="P119" s="838"/>
      <c r="Q119" s="734"/>
      <c r="R119" s="1223"/>
      <c r="V119" s="761"/>
      <c r="W119" s="848"/>
      <c r="X119" s="848"/>
      <c r="Y119" s="848"/>
      <c r="Z119" s="848"/>
      <c r="AA119" s="761"/>
      <c r="AB119" s="848"/>
      <c r="AC119" s="848"/>
      <c r="AE119" s="848"/>
      <c r="AF119" s="848"/>
      <c r="AG119" s="848"/>
      <c r="AH119" s="848"/>
      <c r="AI119" s="848"/>
      <c r="AJ119" s="848"/>
    </row>
    <row r="120" spans="1:37" x14ac:dyDescent="0.2">
      <c r="A120" s="852">
        <v>24</v>
      </c>
      <c r="B120" s="1773">
        <v>110</v>
      </c>
      <c r="C120" s="1249" t="str">
        <f>Valid!$B$82</f>
        <v>Double Diamond Crossover</v>
      </c>
      <c r="E120" s="1245" t="str">
        <f>IF(U120="N/A","",U120)</f>
        <v/>
      </c>
      <c r="F120" s="1249"/>
      <c r="H120" s="1247"/>
      <c r="I120" s="1246" t="str">
        <f>IF($C$106="","",IF(H120="","Qty? Enter Zero if N/A  ",""))</f>
        <v/>
      </c>
      <c r="J120" s="1249" t="str">
        <f>VLOOKUP(C120,Valid!$B$80:$C$86,2,FALSE)</f>
        <v>Each</v>
      </c>
      <c r="K120" s="1249"/>
      <c r="L120" s="1247"/>
      <c r="M120" s="1248" t="str">
        <f>IF($H120=0,"",IF($L120="",TEXT(AH120,0)&amp;" Years?    ",""))</f>
        <v/>
      </c>
      <c r="N120" s="1276"/>
      <c r="O120" s="1275" t="str">
        <f>IF($H120=0,"","% Cap Resp.    ")</f>
        <v/>
      </c>
      <c r="P120" s="1808"/>
      <c r="Q120" s="1275" t="str">
        <f>IF($H120=0,"","% Cap Resp.    ")</f>
        <v/>
      </c>
      <c r="R120" s="1392"/>
      <c r="U120" s="758" t="str">
        <f>IF(AND(R120="",N120="",L120="",H120="",L120=""),"N/A",IF(AND($H120=0,OR(L120&lt;&gt;"",N120&lt;&gt;"",R120&lt;&gt;"",L120&lt;&gt;"")),"No",IF(AND($H120&lt;&gt;0,OR($N120="",L120="")),"No","Yes")))</f>
        <v>N/A</v>
      </c>
      <c r="V120" s="761" t="b">
        <f>IF(AND(H120="",OR(L120&lt;&gt;"",N120&lt;&gt;"")),TRUE,FALSE)</f>
        <v>0</v>
      </c>
      <c r="W120" s="761" t="b">
        <f>IF(AND($C$44&lt;&gt;"",$H120=""),TRUE,FALSE)</f>
        <v>0</v>
      </c>
      <c r="X120" s="761" t="b">
        <f>IF(AND(H120&lt;&gt;"",H120&lt;&gt;0,H120&gt;AG120),TRUE,FALSE)</f>
        <v>0</v>
      </c>
      <c r="Y120" s="761" t="b">
        <f>IF($L120="",FALSE,IF($L120&lt;$AI120,TRUE,FALSE))</f>
        <v>0</v>
      </c>
      <c r="Z120" s="761" t="b">
        <f>IF($L120="",FALSE,IF($L120&gt;$AJ120,TRUE,FALSE))</f>
        <v>0</v>
      </c>
      <c r="AA120" s="761" t="b">
        <f>IF(AND(E120="No",$L120=""),TRUE,FALSE)</f>
        <v>0</v>
      </c>
      <c r="AB120" s="761" t="b">
        <f>IF($AC120=TRUE,FALSE,IF(OR($N120&lt;0,$N120&gt;1),TRUE,FALSE))</f>
        <v>0</v>
      </c>
      <c r="AC120" s="761" t="b">
        <f>IF(OR($H120=0, $H120=""), FALSE, IF(AND(H120&gt;0, L120&lt;&gt;"", N120&lt;&gt;""), IF(AND((N120*100)&lt;100,P120=""), TRUE,FALSE), TRUE))</f>
        <v>0</v>
      </c>
      <c r="AD120" s="762"/>
      <c r="AE120" s="783">
        <f t="shared" ref="AE120:AJ120" si="23">IF($C120="","",VLOOKUP($C120,val_fg_assets,AE$5,FALSE))</f>
        <v>1</v>
      </c>
      <c r="AF120" s="835">
        <f t="shared" si="23"/>
        <v>0</v>
      </c>
      <c r="AG120" s="835">
        <f t="shared" si="23"/>
        <v>500</v>
      </c>
      <c r="AH120" s="783">
        <f t="shared" si="23"/>
        <v>15</v>
      </c>
      <c r="AI120" s="783">
        <f t="shared" si="23"/>
        <v>11</v>
      </c>
      <c r="AJ120" s="783">
        <f t="shared" si="23"/>
        <v>19</v>
      </c>
    </row>
    <row r="121" spans="1:37" ht="6" customHeight="1" x14ac:dyDescent="0.2">
      <c r="A121" s="1225"/>
      <c r="B121" s="1773">
        <v>111</v>
      </c>
      <c r="C121" s="1249"/>
      <c r="E121" s="1249"/>
      <c r="F121" s="1249"/>
      <c r="H121" s="1249"/>
      <c r="I121" s="1249"/>
      <c r="J121" s="1249"/>
      <c r="K121" s="1249"/>
      <c r="L121" s="1249"/>
      <c r="M121" s="1249"/>
      <c r="N121" s="1249"/>
      <c r="O121" s="1249"/>
      <c r="P121" s="1249"/>
      <c r="Q121" s="1249"/>
      <c r="R121" s="1393"/>
      <c r="V121" s="848"/>
      <c r="W121" s="848"/>
      <c r="X121" s="848"/>
      <c r="Y121" s="848"/>
      <c r="Z121" s="848"/>
      <c r="AA121" s="848"/>
      <c r="AB121" s="848"/>
      <c r="AC121" s="848"/>
      <c r="AE121" s="848"/>
      <c r="AF121" s="848"/>
      <c r="AG121" s="848"/>
      <c r="AH121" s="848"/>
      <c r="AI121" s="848"/>
      <c r="AJ121" s="848"/>
    </row>
    <row r="122" spans="1:37" x14ac:dyDescent="0.2">
      <c r="A122" s="852">
        <v>25</v>
      </c>
      <c r="B122" s="1773">
        <v>112</v>
      </c>
      <c r="C122" s="1249" t="str">
        <f>Valid!$B$83</f>
        <v>Single Crossover</v>
      </c>
      <c r="E122" s="1245" t="str">
        <f>IF(U122="N/A","",U122)</f>
        <v/>
      </c>
      <c r="F122" s="1249"/>
      <c r="H122" s="1247"/>
      <c r="I122" s="1246" t="str">
        <f>IF($C$106="","",IF(H122="","Qty? Enter Zero if N/A  ",""))</f>
        <v/>
      </c>
      <c r="J122" s="1249" t="str">
        <f>VLOOKUP(C122,Valid!$B$80:$C$86,2,FALSE)</f>
        <v>Each</v>
      </c>
      <c r="K122" s="1249"/>
      <c r="L122" s="1247"/>
      <c r="M122" s="1248" t="str">
        <f>IF($H122=0,"",IF($L122="",TEXT(AH122,0)&amp;" Years?    ",""))</f>
        <v/>
      </c>
      <c r="N122" s="1276"/>
      <c r="O122" s="1275" t="str">
        <f>IF($H122=0,"","% Cap Resp.    ")</f>
        <v/>
      </c>
      <c r="P122" s="1808"/>
      <c r="Q122" s="1275" t="str">
        <f>IF($H122=0,"","% Cap Resp.    ")</f>
        <v/>
      </c>
      <c r="R122" s="1392"/>
      <c r="U122" s="758" t="str">
        <f>IF(AND(R122="",N122="",L122="",H122="",L122=""),"N/A",IF(AND($H122=0,OR(L122&lt;&gt;"",N122&lt;&gt;"",R122&lt;&gt;"",L122&lt;&gt;"")),"No",IF(AND($H122&lt;&gt;0,OR($N122="",L122="")),"No","Yes")))</f>
        <v>N/A</v>
      </c>
      <c r="V122" s="761" t="b">
        <f>IF(AND(H122="",OR(L122&lt;&gt;"",N122&lt;&gt;"")),TRUE,FALSE)</f>
        <v>0</v>
      </c>
      <c r="W122" s="761" t="b">
        <f>IF(AND($C$44&lt;&gt;"",$H122=""),TRUE,FALSE)</f>
        <v>0</v>
      </c>
      <c r="X122" s="761" t="b">
        <f>IF(AND(H122&lt;&gt;"",H122&lt;&gt;0,H122&gt;AG122),TRUE,FALSE)</f>
        <v>0</v>
      </c>
      <c r="Y122" s="761" t="b">
        <f>IF($L122="",FALSE,IF($L122&lt;$AI122,TRUE,FALSE))</f>
        <v>0</v>
      </c>
      <c r="Z122" s="761" t="b">
        <f>IF($L122="",FALSE,IF($L122&gt;$AJ122,TRUE,FALSE))</f>
        <v>0</v>
      </c>
      <c r="AA122" s="761" t="b">
        <f>IF(AND(E122="No",$L122=""),TRUE,FALSE)</f>
        <v>0</v>
      </c>
      <c r="AB122" s="761" t="b">
        <f>IF($AC122=TRUE,FALSE,IF(OR($N122&lt;0,$N122&gt;1),TRUE,FALSE))</f>
        <v>0</v>
      </c>
      <c r="AC122" s="761" t="b">
        <f>IF(OR($H122=0, $H122=""), FALSE, IF(AND(H122&gt;0, L122&lt;&gt;"", N122&lt;&gt;""), IF(AND((N122*100)&lt;100,P122=""), TRUE,FALSE), TRUE))</f>
        <v>0</v>
      </c>
      <c r="AD122" s="762"/>
      <c r="AE122" s="783">
        <f t="shared" ref="AE122:AJ122" si="24">IF($C122="","",VLOOKUP($C122,val_fg_assets,AE$5,FALSE))</f>
        <v>1</v>
      </c>
      <c r="AF122" s="835">
        <f t="shared" si="24"/>
        <v>0</v>
      </c>
      <c r="AG122" s="835">
        <f t="shared" si="24"/>
        <v>500</v>
      </c>
      <c r="AH122" s="783">
        <f t="shared" si="24"/>
        <v>15</v>
      </c>
      <c r="AI122" s="783">
        <f t="shared" si="24"/>
        <v>11</v>
      </c>
      <c r="AJ122" s="783">
        <f t="shared" si="24"/>
        <v>19</v>
      </c>
    </row>
    <row r="123" spans="1:37" ht="6" customHeight="1" x14ac:dyDescent="0.2">
      <c r="A123" s="1225"/>
      <c r="B123" s="1773">
        <v>113</v>
      </c>
      <c r="C123" s="1249"/>
      <c r="E123" s="1249"/>
      <c r="F123" s="1249"/>
      <c r="H123" s="1249"/>
      <c r="I123" s="1249"/>
      <c r="J123" s="1249"/>
      <c r="K123" s="1249"/>
      <c r="L123" s="1249"/>
      <c r="M123" s="1249"/>
      <c r="N123" s="1249"/>
      <c r="O123" s="1249"/>
      <c r="P123" s="1249"/>
      <c r="Q123" s="1249"/>
      <c r="R123" s="1393"/>
      <c r="V123" s="848"/>
      <c r="W123" s="848"/>
      <c r="X123" s="848"/>
      <c r="Y123" s="848"/>
      <c r="Z123" s="848"/>
      <c r="AA123" s="848"/>
      <c r="AB123" s="848"/>
      <c r="AC123" s="848"/>
      <c r="AE123" s="848"/>
      <c r="AF123" s="848"/>
      <c r="AG123" s="848"/>
      <c r="AH123" s="848"/>
      <c r="AI123" s="848"/>
      <c r="AJ123" s="848"/>
    </row>
    <row r="124" spans="1:37" x14ac:dyDescent="0.2">
      <c r="A124" s="852">
        <v>26</v>
      </c>
      <c r="B124" s="1774">
        <v>114</v>
      </c>
      <c r="C124" s="1249" t="str">
        <f>Valid!$B$84</f>
        <v>Half Grand Union</v>
      </c>
      <c r="E124" s="1245" t="str">
        <f>IF(U124="N/A","",U124)</f>
        <v/>
      </c>
      <c r="F124" s="1249"/>
      <c r="H124" s="1247"/>
      <c r="I124" s="1246" t="str">
        <f>IF($C$106="","",IF(H124="","Qty? Enter Zero if N/A  ",""))</f>
        <v/>
      </c>
      <c r="J124" s="1249" t="str">
        <f>VLOOKUP(C124,Valid!$B$80:$C$86,2,FALSE)</f>
        <v>Each</v>
      </c>
      <c r="K124" s="1249"/>
      <c r="L124" s="1247"/>
      <c r="M124" s="1248" t="str">
        <f>IF($H124=0,"",IF($L124="",TEXT(AH124,0)&amp;" Years?    ",""))</f>
        <v/>
      </c>
      <c r="N124" s="1276"/>
      <c r="O124" s="1275" t="str">
        <f>IF($H124=0,"","% Cap Resp.    ")</f>
        <v/>
      </c>
      <c r="P124" s="1808"/>
      <c r="Q124" s="1275" t="str">
        <f>IF($H124=0,"","% Cap Resp.    ")</f>
        <v/>
      </c>
      <c r="R124" s="1392"/>
      <c r="U124" s="758" t="str">
        <f>IF(AND(R124="",N124="",L124="",H124="",L124=""),"N/A",IF(AND($H124=0,OR(L124&lt;&gt;"",N124&lt;&gt;"",R124&lt;&gt;"",L124&lt;&gt;"")),"No",IF(AND($H124&lt;&gt;0,OR($N124="",L124="")),"No","Yes")))</f>
        <v>N/A</v>
      </c>
      <c r="V124" s="761" t="b">
        <f>IF(AND(H124="",OR(L124&lt;&gt;"",N124&lt;&gt;"")),TRUE,FALSE)</f>
        <v>0</v>
      </c>
      <c r="W124" s="761" t="b">
        <f>IF(AND($C$44&lt;&gt;"",$H124=""),TRUE,FALSE)</f>
        <v>0</v>
      </c>
      <c r="X124" s="761" t="b">
        <f>IF(AND(H124&lt;&gt;"",H124&lt;&gt;0,H124&gt;AG124),TRUE,FALSE)</f>
        <v>0</v>
      </c>
      <c r="Y124" s="761" t="b">
        <f>IF($L124="",FALSE,IF($L124&lt;$AI124,TRUE,FALSE))</f>
        <v>0</v>
      </c>
      <c r="Z124" s="761" t="b">
        <f>IF($L124="",FALSE,IF($L124&gt;$AJ124,TRUE,FALSE))</f>
        <v>0</v>
      </c>
      <c r="AA124" s="761" t="b">
        <f>IF(AND(E124="No",$L124=""),TRUE,FALSE)</f>
        <v>0</v>
      </c>
      <c r="AB124" s="761" t="b">
        <f>IF($AC124=TRUE,FALSE,IF(OR($N124&lt;0,$N124&gt;1),TRUE,FALSE))</f>
        <v>0</v>
      </c>
      <c r="AC124" s="761" t="b">
        <f>IF(OR($H124=0, $H124=""), FALSE, IF(AND(H124&gt;0, L124&lt;&gt;"", N124&lt;&gt;""), IF(AND((N124*100)&lt;100,P124=""), TRUE,FALSE), TRUE))</f>
        <v>0</v>
      </c>
      <c r="AD124" s="762"/>
      <c r="AE124" s="783">
        <f t="shared" ref="AE124:AJ124" si="25">IF($C124="","",VLOOKUP($C124,val_fg_assets,AE$5,FALSE))</f>
        <v>1</v>
      </c>
      <c r="AF124" s="835">
        <f t="shared" si="25"/>
        <v>0</v>
      </c>
      <c r="AG124" s="835">
        <f t="shared" si="25"/>
        <v>500</v>
      </c>
      <c r="AH124" s="783">
        <f t="shared" si="25"/>
        <v>15</v>
      </c>
      <c r="AI124" s="783">
        <f t="shared" si="25"/>
        <v>11</v>
      </c>
      <c r="AJ124" s="783">
        <f t="shared" si="25"/>
        <v>19</v>
      </c>
    </row>
    <row r="125" spans="1:37" ht="6" customHeight="1" x14ac:dyDescent="0.2">
      <c r="A125" s="1225"/>
      <c r="B125" s="1773">
        <v>115</v>
      </c>
      <c r="C125" s="1249"/>
      <c r="E125" s="1249"/>
      <c r="F125" s="1249"/>
      <c r="H125" s="1249"/>
      <c r="I125" s="1249"/>
      <c r="J125" s="1249"/>
      <c r="K125" s="1249"/>
      <c r="L125" s="1249"/>
      <c r="M125" s="1249"/>
      <c r="N125" s="1249"/>
      <c r="O125" s="1249"/>
      <c r="P125" s="1249"/>
      <c r="Q125" s="1249"/>
      <c r="R125" s="1393"/>
      <c r="V125" s="848"/>
      <c r="W125" s="848"/>
      <c r="X125" s="848"/>
      <c r="Y125" s="848"/>
      <c r="Z125" s="848"/>
      <c r="AA125" s="848"/>
      <c r="AB125" s="848"/>
      <c r="AC125" s="848"/>
      <c r="AE125" s="848"/>
      <c r="AF125" s="848"/>
      <c r="AG125" s="848"/>
      <c r="AH125" s="848"/>
      <c r="AI125" s="848"/>
      <c r="AJ125" s="848"/>
    </row>
    <row r="126" spans="1:37" x14ac:dyDescent="0.2">
      <c r="A126" s="852">
        <v>27</v>
      </c>
      <c r="B126" s="1773">
        <v>116</v>
      </c>
      <c r="C126" s="1249" t="str">
        <f>Valid!$B$85</f>
        <v>Single Turnout</v>
      </c>
      <c r="E126" s="1245" t="str">
        <f>IF(U126="N/A","",U126)</f>
        <v/>
      </c>
      <c r="F126" s="1249"/>
      <c r="H126" s="1247"/>
      <c r="I126" s="1246" t="str">
        <f>IF($C$106="","",IF(H126="","Qty? Enter Zero if N/A  ",""))</f>
        <v/>
      </c>
      <c r="J126" s="1249" t="str">
        <f>VLOOKUP(C126,Valid!$B$80:$C$86,2,FALSE)</f>
        <v>Each</v>
      </c>
      <c r="K126" s="1249"/>
      <c r="L126" s="1247"/>
      <c r="M126" s="1248" t="str">
        <f>IF($H126=0,"",IF($L126="",TEXT(AH126,0)&amp;" Years?    ",""))</f>
        <v/>
      </c>
      <c r="N126" s="1276"/>
      <c r="O126" s="1275" t="str">
        <f>IF($H126=0,"","% Cap Resp.    ")</f>
        <v/>
      </c>
      <c r="P126" s="1808"/>
      <c r="Q126" s="1275" t="str">
        <f>IF($H126=0,"","% Cap Resp.    ")</f>
        <v/>
      </c>
      <c r="R126" s="1392"/>
      <c r="U126" s="758" t="str">
        <f>IF(AND(R126="",N126="",L126="",H126="",L126=""),"N/A",IF(AND($H126=0,OR(L126&lt;&gt;"",N126&lt;&gt;"",R126&lt;&gt;"",L126&lt;&gt;"")),"No",IF(AND($H126&lt;&gt;0,OR($N126="",L126="")),"No","Yes")))</f>
        <v>N/A</v>
      </c>
      <c r="V126" s="761" t="b">
        <f>IF(AND(H126="",OR(L126&lt;&gt;"",N126&lt;&gt;"")),TRUE,FALSE)</f>
        <v>0</v>
      </c>
      <c r="W126" s="761" t="b">
        <f>IF(AND($C$44&lt;&gt;"",$H126=""),TRUE,FALSE)</f>
        <v>0</v>
      </c>
      <c r="X126" s="761" t="b">
        <f>IF(AND(H126&lt;&gt;"",H126&lt;&gt;0,H126&gt;AG126),TRUE,FALSE)</f>
        <v>0</v>
      </c>
      <c r="Y126" s="761" t="b">
        <f>IF($L126="",FALSE,IF($L126&lt;$AI126,TRUE,FALSE))</f>
        <v>0</v>
      </c>
      <c r="Z126" s="761" t="b">
        <f>IF($L126="",FALSE,IF($L126&gt;$AJ126,TRUE,FALSE))</f>
        <v>0</v>
      </c>
      <c r="AA126" s="761" t="b">
        <f>IF(AND(E126="No",$L126=""),TRUE,FALSE)</f>
        <v>0</v>
      </c>
      <c r="AB126" s="761" t="b">
        <f>IF($AC126=TRUE,FALSE,IF(OR($N126&lt;0,$N126&gt;1),TRUE,FALSE))</f>
        <v>0</v>
      </c>
      <c r="AC126" s="761" t="b">
        <f>IF(OR($H126=0, $H126=""), FALSE, IF(AND(H126&gt;0, L126&lt;&gt;"", N126&lt;&gt;""), IF(AND((N126*100)&lt;100,P126=""), TRUE,FALSE), TRUE))</f>
        <v>0</v>
      </c>
      <c r="AD126" s="762"/>
      <c r="AE126" s="783">
        <f t="shared" ref="AE126:AJ126" si="26">IF($C126="","",VLOOKUP($C126,val_fg_assets,AE$5,FALSE))</f>
        <v>1</v>
      </c>
      <c r="AF126" s="835">
        <f t="shared" si="26"/>
        <v>0</v>
      </c>
      <c r="AG126" s="835">
        <f t="shared" si="26"/>
        <v>500</v>
      </c>
      <c r="AH126" s="783">
        <f t="shared" si="26"/>
        <v>15</v>
      </c>
      <c r="AI126" s="783">
        <f t="shared" si="26"/>
        <v>11</v>
      </c>
      <c r="AJ126" s="783">
        <f t="shared" si="26"/>
        <v>19</v>
      </c>
    </row>
    <row r="127" spans="1:37" ht="6" customHeight="1" x14ac:dyDescent="0.2">
      <c r="A127" s="1225"/>
      <c r="B127" s="1773">
        <v>117</v>
      </c>
      <c r="C127" s="1249"/>
      <c r="E127" s="1249"/>
      <c r="F127" s="1249"/>
      <c r="H127" s="1249"/>
      <c r="I127" s="1249"/>
      <c r="J127" s="1249"/>
      <c r="K127" s="1249"/>
      <c r="L127" s="1249"/>
      <c r="M127" s="1249"/>
      <c r="N127" s="1249"/>
      <c r="O127" s="1249"/>
      <c r="P127" s="1249"/>
      <c r="Q127" s="1249"/>
      <c r="R127" s="1393"/>
      <c r="V127" s="848"/>
      <c r="W127" s="848"/>
      <c r="X127" s="848"/>
      <c r="Y127" s="848"/>
      <c r="Z127" s="848"/>
      <c r="AA127" s="848"/>
      <c r="AB127" s="848"/>
      <c r="AC127" s="848"/>
      <c r="AE127" s="848"/>
      <c r="AF127" s="848"/>
      <c r="AG127" s="848"/>
      <c r="AH127" s="848"/>
      <c r="AI127" s="848"/>
      <c r="AJ127" s="848"/>
    </row>
    <row r="128" spans="1:37" x14ac:dyDescent="0.2">
      <c r="A128" s="852">
        <v>28</v>
      </c>
      <c r="B128" s="1773">
        <v>118</v>
      </c>
      <c r="C128" s="1249" t="str">
        <f>Valid!$B$86</f>
        <v>Grade Crossings</v>
      </c>
      <c r="E128" s="1245" t="str">
        <f>IF(U128="N/A","",U128)</f>
        <v/>
      </c>
      <c r="F128" s="1249"/>
      <c r="H128" s="1247"/>
      <c r="I128" s="1246" t="str">
        <f>IF($C$106="","",IF(H128="","Qty? Enter Zero if N/A  ",""))</f>
        <v/>
      </c>
      <c r="J128" s="1249" t="str">
        <f>VLOOKUP(C128,Valid!$B$80:$C$86,2,FALSE)</f>
        <v>Each</v>
      </c>
      <c r="K128" s="1249"/>
      <c r="L128" s="1247"/>
      <c r="M128" s="1248" t="str">
        <f>IF($H128=0,"",IF($L128="",TEXT(AH128,0)&amp;" Years?    ",""))</f>
        <v/>
      </c>
      <c r="N128" s="1276"/>
      <c r="O128" s="1275" t="str">
        <f>IF($H128=0,"","% Cap Resp.    ")</f>
        <v/>
      </c>
      <c r="P128" s="1808"/>
      <c r="Q128" s="1275" t="str">
        <f>IF($H128=0,"","% Cap Resp.    ")</f>
        <v/>
      </c>
      <c r="R128" s="1392"/>
      <c r="U128" s="758" t="str">
        <f>IF(AND(R128="",N128="",L128="",H128="",L128=""),"N/A",IF(AND($H128=0,OR(L128&lt;&gt;"",N128&lt;&gt;"",R128&lt;&gt;"",L128&lt;&gt;"")),"No",IF(AND($H128&lt;&gt;0,OR($N128="",L128="")),"No","Yes")))</f>
        <v>N/A</v>
      </c>
      <c r="V128" s="761" t="b">
        <f>IF(AND(H128="",OR(L128&lt;&gt;"",N128&lt;&gt;"")),TRUE,FALSE)</f>
        <v>0</v>
      </c>
      <c r="W128" s="761" t="b">
        <f>IF(AND($C$44&lt;&gt;"",$H128=""),TRUE,FALSE)</f>
        <v>0</v>
      </c>
      <c r="X128" s="761" t="b">
        <f>IF(AND(H128&lt;&gt;"",H128&lt;&gt;0,H128&gt;AG128),TRUE,FALSE)</f>
        <v>0</v>
      </c>
      <c r="Y128" s="761" t="b">
        <f>IF($L128="",FALSE,IF($L128&lt;$AI128,TRUE,FALSE))</f>
        <v>0</v>
      </c>
      <c r="Z128" s="761" t="b">
        <f>IF($L128="",FALSE,IF($L128&gt;$AJ128,TRUE,FALSE))</f>
        <v>0</v>
      </c>
      <c r="AA128" s="761" t="b">
        <f>IF(AND(E128="No",$L128=""),TRUE,FALSE)</f>
        <v>0</v>
      </c>
      <c r="AB128" s="761" t="b">
        <f>IF($AC128=TRUE,FALSE,IF(OR($N128&lt;0,$N128&gt;1),TRUE,FALSE))</f>
        <v>0</v>
      </c>
      <c r="AC128" s="761" t="b">
        <f>IF(OR($H128=0, $H128=""), FALSE, IF(AND(H128&gt;0, L128&lt;&gt;"", N128&lt;&gt;""), IF(AND((N128*100)&lt;100,P128=""), TRUE,FALSE), TRUE))</f>
        <v>0</v>
      </c>
      <c r="AD128" s="762"/>
      <c r="AE128" s="783">
        <f t="shared" ref="AE128:AJ128" si="27">IF($C128="","",VLOOKUP($C128,val_fg_assets,AE$5,FALSE))</f>
        <v>1</v>
      </c>
      <c r="AF128" s="835">
        <f t="shared" si="27"/>
        <v>0</v>
      </c>
      <c r="AG128" s="835">
        <f t="shared" si="27"/>
        <v>500</v>
      </c>
      <c r="AH128" s="783">
        <f t="shared" si="27"/>
        <v>15</v>
      </c>
      <c r="AI128" s="783">
        <f t="shared" si="27"/>
        <v>11</v>
      </c>
      <c r="AJ128" s="783">
        <f t="shared" si="27"/>
        <v>19</v>
      </c>
    </row>
    <row r="129" spans="1:37" ht="6" customHeight="1" thickBot="1" x14ac:dyDescent="0.25">
      <c r="A129" s="1225"/>
      <c r="B129" s="1773">
        <v>119</v>
      </c>
      <c r="C129" s="1249"/>
      <c r="E129" s="1249"/>
      <c r="F129" s="1249"/>
      <c r="H129" s="1249"/>
      <c r="I129" s="1249"/>
      <c r="J129" s="1249"/>
      <c r="K129" s="1249"/>
      <c r="L129" s="1249"/>
      <c r="M129" s="1249"/>
      <c r="N129" s="1249"/>
      <c r="O129" s="1249"/>
      <c r="P129" s="1249"/>
      <c r="Q129" s="1249"/>
      <c r="R129" s="1393"/>
      <c r="V129" s="848"/>
      <c r="W129" s="848"/>
      <c r="X129" s="848"/>
      <c r="Y129" s="848"/>
      <c r="Z129" s="848"/>
      <c r="AA129" s="848"/>
      <c r="AB129" s="848"/>
      <c r="AC129" s="848"/>
      <c r="AE129" s="848"/>
      <c r="AF129" s="848"/>
      <c r="AG129" s="848"/>
      <c r="AH129" s="848"/>
      <c r="AI129" s="848"/>
      <c r="AJ129" s="848"/>
    </row>
    <row r="130" spans="1:37" x14ac:dyDescent="0.2">
      <c r="A130" s="1712" t="s">
        <v>2621</v>
      </c>
      <c r="B130" s="1773">
        <v>120</v>
      </c>
      <c r="C130" s="1249"/>
      <c r="E130" s="1249"/>
      <c r="F130" s="1278" t="str">
        <f>IF(C106="","Track Special Work Totals (excluding linear assets)&gt;&gt;",VLOOKUP(C106,Codes!$C$156:$D$174,2)&amp;" Track Special Work Totals (excluding linear assets)&gt;&gt;")</f>
        <v>Track Special Work Totals (excluding linear assets)&gt;&gt;</v>
      </c>
      <c r="H130" s="1032">
        <f>SUM(H120:H128)</f>
        <v>0</v>
      </c>
      <c r="I130" s="1249"/>
      <c r="J130" s="1249"/>
      <c r="K130" s="1249"/>
      <c r="L130" s="1249"/>
      <c r="M130" s="1249"/>
      <c r="N130" s="1249"/>
      <c r="O130" s="1249"/>
      <c r="P130" s="1249"/>
      <c r="Q130" s="1249"/>
      <c r="R130" s="1393"/>
      <c r="V130" s="848"/>
      <c r="W130" s="848"/>
      <c r="X130" s="848"/>
      <c r="Y130" s="848"/>
      <c r="Z130" s="848"/>
      <c r="AA130" s="848"/>
      <c r="AB130" s="848"/>
      <c r="AC130" s="848"/>
      <c r="AE130" s="848"/>
      <c r="AF130" s="848"/>
      <c r="AG130" s="848"/>
      <c r="AH130" s="848"/>
      <c r="AI130" s="848"/>
      <c r="AJ130" s="848"/>
    </row>
    <row r="131" spans="1:37" ht="6" customHeight="1" x14ac:dyDescent="0.2">
      <c r="B131" s="1773">
        <v>121</v>
      </c>
      <c r="C131" s="1268"/>
      <c r="E131" s="1057"/>
      <c r="H131" s="1250"/>
      <c r="L131" s="1251"/>
      <c r="R131" s="1394"/>
      <c r="V131" s="848"/>
      <c r="W131" s="848"/>
      <c r="X131" s="848"/>
      <c r="Y131" s="759"/>
      <c r="Z131" s="759"/>
      <c r="AA131" s="848"/>
      <c r="AB131" s="848"/>
      <c r="AC131" s="848"/>
      <c r="AE131" s="848"/>
      <c r="AF131" s="848"/>
      <c r="AG131" s="848"/>
      <c r="AH131" s="848"/>
      <c r="AI131" s="848"/>
      <c r="AJ131" s="848"/>
    </row>
    <row r="132" spans="1:37" ht="6" customHeight="1" x14ac:dyDescent="0.2">
      <c r="B132" s="1774">
        <v>122</v>
      </c>
      <c r="E132" s="1057"/>
      <c r="H132" s="1250"/>
      <c r="L132" s="1251"/>
      <c r="R132" s="1223"/>
      <c r="V132" s="848"/>
      <c r="W132" s="848"/>
      <c r="X132" s="848"/>
      <c r="Y132" s="848"/>
      <c r="Z132" s="848"/>
      <c r="AA132" s="848"/>
      <c r="AB132" s="848"/>
      <c r="AC132" s="848"/>
      <c r="AE132" s="848"/>
      <c r="AF132" s="848"/>
      <c r="AG132" s="848"/>
      <c r="AH132" s="848"/>
      <c r="AI132" s="848"/>
      <c r="AJ132" s="848"/>
    </row>
    <row r="133" spans="1:37" ht="6" customHeight="1" x14ac:dyDescent="0.2">
      <c r="A133" s="1815"/>
      <c r="B133" s="1819">
        <v>30</v>
      </c>
      <c r="C133" s="1816"/>
      <c r="D133" s="1847"/>
      <c r="E133" s="1817"/>
      <c r="F133" s="1817"/>
      <c r="G133" s="1817"/>
      <c r="H133" s="1817"/>
      <c r="I133" s="1817"/>
      <c r="J133" s="1817"/>
      <c r="K133" s="1817"/>
      <c r="L133" s="1817"/>
      <c r="M133" s="1817"/>
      <c r="N133" s="1817"/>
      <c r="O133" s="1817"/>
      <c r="P133" s="1817"/>
      <c r="Q133" s="1817"/>
      <c r="R133" s="1818"/>
      <c r="S133" s="1815"/>
      <c r="T133" s="1815"/>
      <c r="U133" s="1815"/>
      <c r="V133" s="1814"/>
      <c r="W133" s="1814"/>
      <c r="X133" s="1814"/>
      <c r="Y133" s="1814"/>
      <c r="Z133" s="1814"/>
      <c r="AA133" s="1814"/>
      <c r="AB133" s="1814"/>
      <c r="AC133" s="1814"/>
      <c r="AD133" s="1815"/>
      <c r="AE133" s="1814"/>
      <c r="AF133" s="1814"/>
      <c r="AG133" s="1814"/>
      <c r="AH133" s="1814"/>
      <c r="AI133" s="1814"/>
      <c r="AJ133" s="1814"/>
    </row>
    <row r="134" spans="1:37" ht="6" customHeight="1" x14ac:dyDescent="0.2">
      <c r="B134" s="1773">
        <v>124</v>
      </c>
      <c r="E134" s="1057"/>
      <c r="H134" s="1250"/>
      <c r="L134" s="1145"/>
      <c r="V134" s="848"/>
      <c r="W134" s="848"/>
      <c r="X134" s="848"/>
      <c r="Y134" s="848"/>
      <c r="Z134" s="848"/>
      <c r="AA134" s="848"/>
      <c r="AB134" s="848"/>
      <c r="AC134" s="848"/>
      <c r="AE134" s="848"/>
      <c r="AF134" s="848"/>
      <c r="AG134" s="848"/>
      <c r="AH134" s="848"/>
      <c r="AI134" s="848"/>
      <c r="AJ134" s="848"/>
    </row>
    <row r="135" spans="1:37" ht="6" customHeight="1" x14ac:dyDescent="0.2">
      <c r="B135" s="1773">
        <v>125</v>
      </c>
      <c r="E135" s="1057"/>
      <c r="H135" s="1250"/>
      <c r="L135" s="1270"/>
      <c r="V135" s="848"/>
      <c r="W135" s="848"/>
      <c r="X135" s="848"/>
      <c r="Y135" s="848"/>
      <c r="Z135" s="848"/>
      <c r="AA135" s="848"/>
      <c r="AB135" s="848"/>
      <c r="AC135" s="848"/>
      <c r="AE135" s="848"/>
      <c r="AF135" s="848"/>
      <c r="AG135" s="848"/>
      <c r="AH135" s="848"/>
      <c r="AI135" s="848"/>
      <c r="AJ135" s="848"/>
    </row>
    <row r="136" spans="1:37" s="760" customFormat="1" ht="6" customHeight="1" x14ac:dyDescent="0.2">
      <c r="A136" s="721"/>
      <c r="B136" s="1773">
        <v>126</v>
      </c>
      <c r="C136" s="1271"/>
      <c r="D136" s="1845"/>
      <c r="E136" s="721"/>
      <c r="F136" s="736"/>
      <c r="G136" s="736"/>
      <c r="H136" s="1272"/>
      <c r="I136" s="822"/>
      <c r="J136" s="817"/>
      <c r="K136" s="822"/>
      <c r="L136" s="1273"/>
      <c r="M136" s="758"/>
      <c r="N136" s="822"/>
      <c r="O136" s="823"/>
      <c r="P136" s="822"/>
      <c r="Q136" s="823"/>
      <c r="R136" s="1391"/>
      <c r="S136" s="1219"/>
      <c r="U136" s="1219"/>
      <c r="V136" s="759"/>
      <c r="W136" s="759"/>
      <c r="X136" s="759"/>
      <c r="Y136" s="759"/>
      <c r="Z136" s="759"/>
      <c r="AA136" s="759"/>
      <c r="AB136" s="759"/>
      <c r="AC136" s="759"/>
      <c r="AE136" s="1274"/>
      <c r="AF136" s="1274"/>
      <c r="AG136" s="1274"/>
      <c r="AH136" s="1274"/>
      <c r="AI136" s="1274"/>
      <c r="AJ136" s="1274"/>
      <c r="AK136" s="1219"/>
    </row>
    <row r="137" spans="1:37" s="760" customFormat="1" x14ac:dyDescent="0.2">
      <c r="A137" s="1712" t="s">
        <v>2621</v>
      </c>
      <c r="B137" s="1773">
        <v>127</v>
      </c>
      <c r="C137" s="1416"/>
      <c r="D137" s="1248" t="str">
        <f>IF(AND(C106&lt;&gt;"",$C137=""),"Select Mode from Pull-Down List                                                                       ","")</f>
        <v/>
      </c>
      <c r="E137" s="1277" t="str">
        <f>IF(AND(C137="",OR(H143&lt;&gt;"",H145&lt;&gt;"",L143&lt;&gt;"",N143&lt;&gt;"",L145&lt;&gt;"",N145&lt;&gt;"",R143&lt;&gt;"",R145&lt;&gt;"",C139&lt;&gt;"",H161&lt;&gt;0,L151&lt;&gt;"",L153&lt;&gt;"",L155&lt;&gt;"",L157&lt;&gt;"",L159&lt;&gt;"",N151&lt;&gt;"",N153&lt;&gt;"",N155&lt;&gt;"",N157&lt;&gt;"",N159&lt;&gt;"",R151&lt;&gt;"",R153&lt;&gt;"",R155&lt;&gt;"",R157&lt;&gt;"",R159&lt;&gt;"")),"&lt;&lt; Insert Rail Mode",IF(AND(C137&lt;&gt;"",C106=""),"&lt;&lt;Complete Previous Section First",""))</f>
        <v/>
      </c>
      <c r="F137" s="736"/>
      <c r="G137" s="736"/>
      <c r="H137" s="1253"/>
      <c r="I137" s="1254"/>
      <c r="J137" s="1255"/>
      <c r="K137" s="1256"/>
      <c r="L137" s="1257"/>
      <c r="M137" s="1254"/>
      <c r="N137" s="1254"/>
      <c r="O137" s="1254"/>
      <c r="P137" s="1254"/>
      <c r="Q137" s="1254"/>
      <c r="R137" s="1223"/>
      <c r="S137" s="1221"/>
      <c r="T137" s="758"/>
      <c r="U137" s="758" t="b">
        <f>IF(OR(E137&lt;&gt;"",E168="&lt;&lt;Complete Previous Section First"),TRUE,FALSE)</f>
        <v>0</v>
      </c>
      <c r="V137" s="763"/>
      <c r="W137" s="763"/>
      <c r="X137" s="763"/>
      <c r="Y137" s="763"/>
      <c r="Z137" s="763"/>
      <c r="AA137" s="763"/>
      <c r="AB137" s="763"/>
      <c r="AC137" s="763"/>
      <c r="AE137" s="783"/>
      <c r="AF137" s="783"/>
      <c r="AG137" s="783"/>
      <c r="AH137" s="783"/>
      <c r="AI137" s="783"/>
      <c r="AJ137" s="783"/>
      <c r="AK137" s="1220"/>
    </row>
    <row r="138" spans="1:37" s="760" customFormat="1" ht="6" customHeight="1" x14ac:dyDescent="0.2">
      <c r="A138" s="721"/>
      <c r="B138" s="1773">
        <v>128</v>
      </c>
      <c r="C138" s="1434"/>
      <c r="D138" s="1248"/>
      <c r="E138" s="1277"/>
      <c r="F138" s="736"/>
      <c r="G138" s="736"/>
      <c r="H138" s="1253"/>
      <c r="I138" s="1254"/>
      <c r="J138" s="1255"/>
      <c r="K138" s="1256"/>
      <c r="L138" s="1257"/>
      <c r="M138" s="1254"/>
      <c r="N138" s="1254"/>
      <c r="O138" s="1254"/>
      <c r="P138" s="1254"/>
      <c r="Q138" s="1254"/>
      <c r="R138" s="1223"/>
      <c r="S138" s="1221"/>
      <c r="T138" s="758"/>
      <c r="U138" s="758"/>
      <c r="V138" s="763"/>
      <c r="W138" s="763"/>
      <c r="X138" s="763"/>
      <c r="Y138" s="763"/>
      <c r="Z138" s="763"/>
      <c r="AA138" s="763"/>
      <c r="AB138" s="763"/>
      <c r="AC138" s="763"/>
      <c r="AE138" s="783"/>
      <c r="AF138" s="783"/>
      <c r="AG138" s="783"/>
      <c r="AH138" s="783"/>
      <c r="AI138" s="783"/>
      <c r="AJ138" s="783"/>
      <c r="AK138" s="1220"/>
    </row>
    <row r="139" spans="1:37" s="760" customFormat="1" x14ac:dyDescent="0.2">
      <c r="A139" s="1712" t="s">
        <v>2621</v>
      </c>
      <c r="B139" s="1773">
        <v>129</v>
      </c>
      <c r="C139" s="1417"/>
      <c r="D139" s="1248" t="str">
        <f>IF(AND(C137&lt;&gt;"",C139=""),"Agency-Specific "&amp;VLOOKUP(C137,Codes!$C$156:$D$174,2,FALSE)&amp;" Curvature Threshold (ft. radius or degrees)  ","")</f>
        <v/>
      </c>
      <c r="E139" s="1277"/>
      <c r="F139" s="736"/>
      <c r="G139" s="851"/>
      <c r="H139" s="1253"/>
      <c r="I139" s="1254"/>
      <c r="J139" s="1255"/>
      <c r="K139" s="1256"/>
      <c r="L139" s="1257"/>
      <c r="M139" s="1254"/>
      <c r="N139" s="1254"/>
      <c r="O139" s="1254"/>
      <c r="P139" s="1254"/>
      <c r="Q139" s="1254"/>
      <c r="R139" s="1223"/>
      <c r="S139" s="1221"/>
      <c r="T139" s="758"/>
      <c r="U139" s="758" t="b">
        <f>IF(AND(C137&lt;&gt;"",C139=""),TRUE,FALSE)</f>
        <v>0</v>
      </c>
      <c r="V139" s="763"/>
      <c r="W139" s="763"/>
      <c r="X139" s="763"/>
      <c r="Y139" s="763"/>
      <c r="Z139" s="763"/>
      <c r="AA139" s="763"/>
      <c r="AB139" s="763"/>
      <c r="AC139" s="763"/>
      <c r="AE139" s="783"/>
      <c r="AF139" s="783"/>
      <c r="AG139" s="783"/>
      <c r="AH139" s="783"/>
      <c r="AI139" s="783"/>
      <c r="AJ139" s="783"/>
      <c r="AK139" s="1220"/>
    </row>
    <row r="140" spans="1:37" s="760" customFormat="1" ht="6" customHeight="1" x14ac:dyDescent="0.2">
      <c r="A140" s="721"/>
      <c r="B140" s="1774">
        <v>130</v>
      </c>
      <c r="C140" s="828"/>
      <c r="D140" s="1845"/>
      <c r="E140" s="721"/>
      <c r="F140" s="281"/>
      <c r="G140" s="281"/>
      <c r="H140" s="1029"/>
      <c r="I140" s="829"/>
      <c r="J140" s="830"/>
      <c r="K140" s="829"/>
      <c r="L140" s="1031"/>
      <c r="M140" s="758"/>
      <c r="N140" s="724"/>
      <c r="O140" s="724"/>
      <c r="P140" s="724"/>
      <c r="Q140" s="724"/>
      <c r="R140" s="1223"/>
      <c r="S140" s="1221"/>
      <c r="T140" s="1219"/>
      <c r="U140" s="1221"/>
      <c r="V140" s="759"/>
      <c r="W140" s="759"/>
      <c r="X140" s="759"/>
      <c r="Y140" s="759"/>
      <c r="Z140" s="759"/>
      <c r="AA140" s="759"/>
      <c r="AB140" s="759"/>
      <c r="AC140" s="759"/>
      <c r="AE140" s="833"/>
      <c r="AF140" s="833"/>
      <c r="AG140" s="833"/>
      <c r="AH140" s="833"/>
      <c r="AI140" s="833"/>
      <c r="AJ140" s="833"/>
      <c r="AK140" s="1221"/>
    </row>
    <row r="141" spans="1:37" s="760" customFormat="1" x14ac:dyDescent="0.2">
      <c r="A141" s="1712" t="s">
        <v>2621</v>
      </c>
      <c r="B141" s="1773">
        <v>131</v>
      </c>
      <c r="C141" s="205" t="str">
        <f>IF(C137="","Linear Track",VLOOKUP(C137,Codes!$C$156:$D$174,2)&amp;" Linear Track")</f>
        <v>Linear Track</v>
      </c>
      <c r="D141" s="1845"/>
      <c r="E141" s="721"/>
      <c r="F141" s="281"/>
      <c r="G141" s="281"/>
      <c r="H141" s="1029"/>
      <c r="I141" s="829"/>
      <c r="J141" s="830"/>
      <c r="K141" s="829"/>
      <c r="L141" s="1031"/>
      <c r="M141" s="758"/>
      <c r="N141" s="724"/>
      <c r="O141" s="724"/>
      <c r="P141" s="724"/>
      <c r="Q141" s="724"/>
      <c r="R141" s="1223"/>
      <c r="S141" s="1221"/>
      <c r="T141" s="1219"/>
      <c r="U141" s="1221"/>
      <c r="V141" s="759"/>
      <c r="W141" s="759"/>
      <c r="X141" s="759"/>
      <c r="Y141" s="759"/>
      <c r="Z141" s="759"/>
      <c r="AA141" s="759"/>
      <c r="AB141" s="759"/>
      <c r="AC141" s="759"/>
      <c r="AE141" s="833"/>
      <c r="AF141" s="833"/>
      <c r="AG141" s="833"/>
      <c r="AH141" s="833"/>
      <c r="AI141" s="833"/>
      <c r="AJ141" s="833"/>
      <c r="AK141" s="1221"/>
    </row>
    <row r="142" spans="1:37" s="760" customFormat="1" ht="6" customHeight="1" x14ac:dyDescent="0.2">
      <c r="A142" s="721"/>
      <c r="B142" s="1773">
        <v>132</v>
      </c>
      <c r="C142" s="828"/>
      <c r="D142" s="1845"/>
      <c r="E142" s="721"/>
      <c r="F142" s="281"/>
      <c r="G142" s="281"/>
      <c r="H142" s="1029"/>
      <c r="I142" s="829"/>
      <c r="J142" s="830"/>
      <c r="K142" s="829"/>
      <c r="L142" s="1031"/>
      <c r="M142" s="758"/>
      <c r="N142" s="724"/>
      <c r="O142" s="724"/>
      <c r="P142" s="724"/>
      <c r="Q142" s="724"/>
      <c r="R142" s="1223"/>
      <c r="S142" s="1221"/>
      <c r="T142" s="1219"/>
      <c r="U142" s="1221"/>
      <c r="V142" s="759"/>
      <c r="W142" s="759"/>
      <c r="X142" s="759"/>
      <c r="Y142" s="759"/>
      <c r="Z142" s="759"/>
      <c r="AA142" s="759"/>
      <c r="AB142" s="759"/>
      <c r="AC142" s="759"/>
      <c r="AE142" s="833"/>
      <c r="AF142" s="833"/>
      <c r="AG142" s="833"/>
      <c r="AH142" s="833"/>
      <c r="AI142" s="833"/>
      <c r="AJ142" s="833"/>
      <c r="AK142" s="1221"/>
    </row>
    <row r="143" spans="1:37" s="760" customFormat="1" x14ac:dyDescent="0.2">
      <c r="A143" s="852">
        <v>29</v>
      </c>
      <c r="B143" s="1773">
        <v>133</v>
      </c>
      <c r="C143" s="851" t="str">
        <f>Valid!$B$80</f>
        <v>Tangent</v>
      </c>
      <c r="D143" s="1845"/>
      <c r="E143" s="1056" t="str">
        <f>IF(U143="N/A","",U143)</f>
        <v/>
      </c>
      <c r="F143" s="685"/>
      <c r="G143" s="685"/>
      <c r="H143" s="1025"/>
      <c r="I143" s="1246" t="str">
        <f>IF($C$137="","",IF(H143="","Qty? Enter Zero if N/A  ",""))</f>
        <v/>
      </c>
      <c r="J143" s="1249" t="str">
        <f>VLOOKUP(C143,Valid!$B$80:$C$86,2,FALSE)</f>
        <v>Track Feet</v>
      </c>
      <c r="K143" s="764"/>
      <c r="L143" s="1025"/>
      <c r="M143" s="1248" t="str">
        <f>IF($H143=0,"",IF($L143="",TEXT(AH143,0)&amp;" Years?    ",""))</f>
        <v/>
      </c>
      <c r="N143" s="1276"/>
      <c r="O143" s="1275" t="str">
        <f>IF($H143=0,"","% Cap Resp.    ")</f>
        <v/>
      </c>
      <c r="P143" s="1808"/>
      <c r="Q143" s="1275" t="str">
        <f>IF($H143=0,"","% Cap Resp.    ")</f>
        <v/>
      </c>
      <c r="R143" s="1392"/>
      <c r="S143" s="1223"/>
      <c r="T143" s="1223"/>
      <c r="U143" s="758" t="str">
        <f>IF(AND(R143="",N143="",L143="",H143="",L143=""),"N/A",IF(AND($H143=0,OR(L143&lt;&gt;"",N143&lt;&gt;"",R143&lt;&gt;"",L143&lt;&gt;"")),"No",IF(AND($H143&lt;&gt;0,OR($N143="",L143="")),"No","Yes")))</f>
        <v>N/A</v>
      </c>
      <c r="V143" s="761" t="b">
        <f>IF(AND(H143="",OR(L143&lt;&gt;"",N143&lt;&gt;"")),TRUE,FALSE)</f>
        <v>0</v>
      </c>
      <c r="W143" s="761" t="b">
        <f>IF(AND($C$137&lt;&gt;"",$H143=""),TRUE,FALSE)</f>
        <v>0</v>
      </c>
      <c r="X143" s="761" t="b">
        <f>IF(AND(H143&lt;&gt;"",H143&lt;&gt;0,H143&gt;AG143),TRUE,FALSE)</f>
        <v>0</v>
      </c>
      <c r="Y143" s="761" t="b">
        <f>IF($L143="",FALSE,IF($L143&lt;$AI143,TRUE,FALSE))</f>
        <v>0</v>
      </c>
      <c r="Z143" s="761" t="b">
        <f>IF($L143="",FALSE,IF($L143&gt;$AJ143,TRUE,FALSE))</f>
        <v>0</v>
      </c>
      <c r="AA143" s="761" t="b">
        <f>IF(AND(E143="No",$L143=""),TRUE,FALSE)</f>
        <v>0</v>
      </c>
      <c r="AB143" s="761" t="b">
        <f>IF($AC143=TRUE,FALSE,IF(OR($N143&lt;0,$N143&gt;1),TRUE,FALSE))</f>
        <v>0</v>
      </c>
      <c r="AC143" s="761" t="b">
        <f>IF(OR($H143=0, $H143=""), FALSE, IF(AND(H143&gt;0, L143&lt;&gt;"", N143&lt;&gt;""), IF(AND((N143*100)&lt;100,P143=""), TRUE,FALSE), TRUE))</f>
        <v>0</v>
      </c>
      <c r="AD143" s="762"/>
      <c r="AE143" s="783">
        <f t="shared" ref="AE143:AJ143" si="28">IF($C143="","",VLOOKUP($C143,val_fg_assets,AE$5,FALSE))</f>
        <v>1</v>
      </c>
      <c r="AF143" s="835">
        <f t="shared" si="28"/>
        <v>0</v>
      </c>
      <c r="AG143" s="835">
        <f t="shared" si="28"/>
        <v>3000000</v>
      </c>
      <c r="AH143" s="783">
        <f t="shared" si="28"/>
        <v>35</v>
      </c>
      <c r="AI143" s="783">
        <f t="shared" si="28"/>
        <v>26</v>
      </c>
      <c r="AJ143" s="783">
        <f t="shared" si="28"/>
        <v>44</v>
      </c>
      <c r="AK143" s="834"/>
    </row>
    <row r="144" spans="1:37" s="760" customFormat="1" ht="6" customHeight="1" x14ac:dyDescent="0.2">
      <c r="A144" s="852"/>
      <c r="B144" s="1773">
        <v>134</v>
      </c>
      <c r="C144" s="1222"/>
      <c r="D144" s="1845"/>
      <c r="E144" s="1059"/>
      <c r="F144" s="685"/>
      <c r="G144" s="685"/>
      <c r="H144" s="1176"/>
      <c r="I144" s="764"/>
      <c r="J144" s="840"/>
      <c r="K144" s="764"/>
      <c r="L144" s="1031"/>
      <c r="M144" s="758"/>
      <c r="N144" s="1258"/>
      <c r="O144" s="724"/>
      <c r="P144" s="1258"/>
      <c r="Q144" s="724"/>
      <c r="R144" s="1223"/>
      <c r="S144" s="1223"/>
      <c r="T144" s="1223"/>
      <c r="U144" s="1223"/>
      <c r="V144" s="759"/>
      <c r="W144" s="759"/>
      <c r="X144" s="759"/>
      <c r="Y144" s="759"/>
      <c r="Z144" s="759"/>
      <c r="AA144" s="759"/>
      <c r="AB144" s="759"/>
      <c r="AC144" s="759"/>
      <c r="AE144" s="833"/>
      <c r="AF144" s="845"/>
      <c r="AG144" s="845"/>
      <c r="AH144" s="833"/>
      <c r="AI144" s="833"/>
      <c r="AJ144" s="833"/>
      <c r="AK144" s="1223"/>
    </row>
    <row r="145" spans="1:37" s="760" customFormat="1" x14ac:dyDescent="0.2">
      <c r="A145" s="852">
        <v>30</v>
      </c>
      <c r="B145" s="1773">
        <v>135</v>
      </c>
      <c r="C145" s="851" t="str">
        <f>Valid!$B$81</f>
        <v>Curve</v>
      </c>
      <c r="D145" s="1845"/>
      <c r="E145" s="1056" t="str">
        <f>IF(U145="N/A","",U145)</f>
        <v/>
      </c>
      <c r="F145" s="764"/>
      <c r="G145" s="764"/>
      <c r="H145" s="1025"/>
      <c r="I145" s="1246" t="str">
        <f>IF($C$137="","",IF(H145="","Qty? Enter Zero if N/A  ",""))</f>
        <v/>
      </c>
      <c r="J145" s="1249" t="str">
        <f>VLOOKUP(C145,Valid!$B$80:$C$86,2,FALSE)</f>
        <v>Track Feet</v>
      </c>
      <c r="K145" s="764"/>
      <c r="L145" s="1025"/>
      <c r="M145" s="1248" t="str">
        <f>IF($H145=0,"",IF($L145="",TEXT(AH145,0)&amp;" Years?    ",""))</f>
        <v/>
      </c>
      <c r="N145" s="1276"/>
      <c r="O145" s="1275" t="str">
        <f>IF($H145=0,"","% Cap Resp.    ")</f>
        <v/>
      </c>
      <c r="P145" s="1808"/>
      <c r="Q145" s="1275" t="str">
        <f>IF($H145=0,"","% Cap Resp.    ")</f>
        <v/>
      </c>
      <c r="R145" s="1392"/>
      <c r="S145" s="1223"/>
      <c r="T145" s="1223"/>
      <c r="U145" s="758" t="str">
        <f>IF(AND(R145="",N145="",L145="",H145="",L145=""),"N/A",IF(AND($H145=0,OR(L145&lt;&gt;"",N145&lt;&gt;"",R145&lt;&gt;"",L145&lt;&gt;"")),"No",IF(AND($H145&lt;&gt;0,OR($N145="",L145="")),"No","Yes")))</f>
        <v>N/A</v>
      </c>
      <c r="V145" s="761" t="b">
        <f>IF(AND(H145="",OR(L145&lt;&gt;"",N145&lt;&gt;"")),TRUE,FALSE)</f>
        <v>0</v>
      </c>
      <c r="W145" s="761" t="b">
        <f>IF(AND($C$137&lt;&gt;"",$H145=""),TRUE,FALSE)</f>
        <v>0</v>
      </c>
      <c r="X145" s="761" t="b">
        <f>IF(AND(H145&lt;&gt;"",H145&lt;&gt;0,H145&gt;AG145),TRUE,FALSE)</f>
        <v>0</v>
      </c>
      <c r="Y145" s="761" t="b">
        <f>IF($L145="",FALSE,IF($L145&lt;$AI145,TRUE,FALSE))</f>
        <v>0</v>
      </c>
      <c r="Z145" s="761" t="b">
        <f>IF($L145="",FALSE,IF($L145&gt;$AJ145,TRUE,FALSE))</f>
        <v>0</v>
      </c>
      <c r="AA145" s="761" t="b">
        <f>IF(AND(E145="No",$L145=""),TRUE,FALSE)</f>
        <v>0</v>
      </c>
      <c r="AB145" s="761" t="b">
        <f>IF($AC145=TRUE,FALSE,IF(OR($N145&lt;0,$N145&gt;1),TRUE,FALSE))</f>
        <v>0</v>
      </c>
      <c r="AC145" s="761" t="b">
        <f>IF(OR($H145=0, $H145=""), FALSE, IF(AND(H145&gt;0, L145&lt;&gt;"", N145&lt;&gt;""), IF(AND((N145*100)&lt;100,P145=""), TRUE,FALSE), TRUE))</f>
        <v>0</v>
      </c>
      <c r="AD145" s="762"/>
      <c r="AE145" s="783">
        <f t="shared" ref="AE145:AJ145" si="29">IF($C145="","",VLOOKUP($C145,val_fg_assets,AE$5,FALSE))</f>
        <v>1</v>
      </c>
      <c r="AF145" s="835">
        <f t="shared" si="29"/>
        <v>0</v>
      </c>
      <c r="AG145" s="835">
        <f t="shared" si="29"/>
        <v>3000000</v>
      </c>
      <c r="AH145" s="783">
        <f t="shared" si="29"/>
        <v>15</v>
      </c>
      <c r="AI145" s="783">
        <f t="shared" si="29"/>
        <v>11</v>
      </c>
      <c r="AJ145" s="783">
        <f t="shared" si="29"/>
        <v>19</v>
      </c>
      <c r="AK145" s="834"/>
    </row>
    <row r="146" spans="1:37" ht="6" customHeight="1" thickBot="1" x14ac:dyDescent="0.25">
      <c r="A146" s="1225"/>
      <c r="B146" s="1773">
        <v>136</v>
      </c>
      <c r="C146" s="1249"/>
      <c r="E146" s="1058"/>
      <c r="F146" s="764"/>
      <c r="G146" s="764"/>
      <c r="H146" s="1251"/>
      <c r="L146" s="1251"/>
      <c r="R146" s="1223"/>
      <c r="V146" s="848"/>
      <c r="W146" s="848"/>
      <c r="X146" s="848"/>
      <c r="Y146" s="848"/>
      <c r="Z146" s="848"/>
      <c r="AA146" s="848"/>
      <c r="AB146" s="848"/>
      <c r="AC146" s="848"/>
      <c r="AE146" s="848"/>
      <c r="AF146" s="848"/>
      <c r="AG146" s="848"/>
      <c r="AH146" s="848"/>
      <c r="AI146" s="848"/>
      <c r="AJ146" s="848"/>
    </row>
    <row r="147" spans="1:37" x14ac:dyDescent="0.2">
      <c r="A147" s="1712" t="s">
        <v>2621</v>
      </c>
      <c r="B147" s="1773">
        <v>137</v>
      </c>
      <c r="C147" s="1224"/>
      <c r="E147" s="1057"/>
      <c r="F147" s="1278" t="str">
        <f>IF(C137="","Linear Track Totals &gt;&gt;",VLOOKUP(C137,Codes!$C$156:$D$174,2)&amp;" Linear Track Totals &gt;&gt;")</f>
        <v>Linear Track Totals &gt;&gt;</v>
      </c>
      <c r="H147" s="1032">
        <f>SUM(H143:H145)</f>
        <v>0</v>
      </c>
      <c r="I147" s="843"/>
      <c r="L147" s="1031"/>
      <c r="M147" s="714"/>
      <c r="N147" s="838"/>
      <c r="O147" s="734"/>
      <c r="P147" s="838"/>
      <c r="Q147" s="734"/>
      <c r="R147" s="834"/>
      <c r="V147" s="848"/>
      <c r="W147" s="718"/>
      <c r="X147" s="848"/>
      <c r="Y147" s="718"/>
      <c r="Z147" s="718"/>
      <c r="AA147" s="848"/>
      <c r="AB147" s="718"/>
      <c r="AC147" s="848"/>
      <c r="AD147" s="716"/>
      <c r="AE147" s="718"/>
      <c r="AF147" s="718"/>
      <c r="AG147" s="718"/>
      <c r="AH147" s="718"/>
      <c r="AI147" s="718"/>
      <c r="AJ147" s="718"/>
      <c r="AK147" s="716"/>
    </row>
    <row r="148" spans="1:37" ht="6" customHeight="1" x14ac:dyDescent="0.2">
      <c r="A148" s="1225"/>
      <c r="B148" s="1774">
        <v>138</v>
      </c>
      <c r="C148" s="1249"/>
      <c r="E148" s="1057"/>
      <c r="F148" s="1379"/>
      <c r="H148" s="1028"/>
      <c r="I148" s="843"/>
      <c r="L148" s="1031"/>
      <c r="M148" s="714"/>
      <c r="N148" s="838"/>
      <c r="O148" s="734"/>
      <c r="P148" s="838"/>
      <c r="Q148" s="734"/>
      <c r="R148" s="1223"/>
      <c r="V148" s="848"/>
      <c r="W148" s="848"/>
      <c r="X148" s="848"/>
      <c r="Y148" s="848"/>
      <c r="Z148" s="848"/>
      <c r="AA148" s="848"/>
      <c r="AB148" s="848"/>
      <c r="AC148" s="848"/>
      <c r="AE148" s="848"/>
      <c r="AF148" s="848"/>
      <c r="AG148" s="848"/>
      <c r="AH148" s="848"/>
      <c r="AI148" s="848"/>
      <c r="AJ148" s="848"/>
    </row>
    <row r="149" spans="1:37" x14ac:dyDescent="0.2">
      <c r="A149" s="1712" t="s">
        <v>2621</v>
      </c>
      <c r="B149" s="1773">
        <v>139</v>
      </c>
      <c r="C149" s="205" t="str">
        <f>IF(C137="","Track Special Work (excluding linear assets)",VLOOKUP(C137,Codes!$C$156:$D$174,2)&amp;" Track Special Work (excluding linear assets)")</f>
        <v>Track Special Work (excluding linear assets)</v>
      </c>
      <c r="E149" s="1057"/>
      <c r="F149" s="1379"/>
      <c r="H149" s="1028"/>
      <c r="I149" s="843"/>
      <c r="L149" s="1031"/>
      <c r="M149" s="714"/>
      <c r="N149" s="838"/>
      <c r="O149" s="734"/>
      <c r="P149" s="838"/>
      <c r="Q149" s="734"/>
      <c r="R149" s="1223"/>
      <c r="V149" s="848"/>
      <c r="W149" s="848"/>
      <c r="X149" s="848"/>
      <c r="Y149" s="848"/>
      <c r="Z149" s="848"/>
      <c r="AA149" s="848"/>
      <c r="AB149" s="848"/>
      <c r="AC149" s="848"/>
      <c r="AE149" s="848"/>
      <c r="AF149" s="848"/>
      <c r="AG149" s="848"/>
      <c r="AH149" s="848"/>
      <c r="AI149" s="848"/>
      <c r="AJ149" s="848"/>
    </row>
    <row r="150" spans="1:37" ht="6" customHeight="1" x14ac:dyDescent="0.2">
      <c r="A150" s="1225"/>
      <c r="B150" s="1773">
        <v>140</v>
      </c>
      <c r="C150" s="1249"/>
      <c r="E150" s="1057"/>
      <c r="F150" s="1379"/>
      <c r="H150" s="1028"/>
      <c r="I150" s="843"/>
      <c r="L150" s="1031"/>
      <c r="M150" s="714"/>
      <c r="N150" s="838"/>
      <c r="O150" s="734"/>
      <c r="P150" s="838"/>
      <c r="Q150" s="734"/>
      <c r="R150" s="1223"/>
      <c r="V150" s="761"/>
      <c r="W150" s="848"/>
      <c r="X150" s="848"/>
      <c r="Y150" s="848"/>
      <c r="Z150" s="848"/>
      <c r="AA150" s="761"/>
      <c r="AB150" s="848"/>
      <c r="AC150" s="848"/>
      <c r="AE150" s="848"/>
      <c r="AF150" s="848"/>
      <c r="AG150" s="848"/>
      <c r="AH150" s="848"/>
      <c r="AI150" s="848"/>
      <c r="AJ150" s="848"/>
    </row>
    <row r="151" spans="1:37" x14ac:dyDescent="0.2">
      <c r="A151" s="852">
        <v>31</v>
      </c>
      <c r="B151" s="1773">
        <v>141</v>
      </c>
      <c r="C151" s="1249" t="str">
        <f>Valid!$B$82</f>
        <v>Double Diamond Crossover</v>
      </c>
      <c r="E151" s="1245" t="str">
        <f>IF(U151="N/A","",U151)</f>
        <v/>
      </c>
      <c r="F151" s="1249"/>
      <c r="H151" s="1247"/>
      <c r="I151" s="1246" t="str">
        <f>IF($C$137="","",IF(H151="","Qty? Enter Zero if N/A  ",""))</f>
        <v/>
      </c>
      <c r="J151" s="1249" t="str">
        <f>VLOOKUP(C151,Valid!$B$80:$C$86,2,FALSE)</f>
        <v>Each</v>
      </c>
      <c r="K151" s="1249"/>
      <c r="L151" s="1247"/>
      <c r="M151" s="1248" t="str">
        <f>IF($H151=0,"",IF($L151="",TEXT(AH151,0)&amp;" Years?    ",""))</f>
        <v/>
      </c>
      <c r="N151" s="1276"/>
      <c r="O151" s="1275" t="str">
        <f>IF($H151=0,"","% Cap Resp.    ")</f>
        <v/>
      </c>
      <c r="P151" s="1808"/>
      <c r="Q151" s="1275" t="str">
        <f>IF($H151=0,"","% Cap Resp.    ")</f>
        <v/>
      </c>
      <c r="R151" s="1392"/>
      <c r="U151" s="758" t="str">
        <f>IF(AND(R151="",N151="",L151="",H151="",L151=""),"N/A",IF(AND($H151=0,OR(L151&lt;&gt;"",N151&lt;&gt;"",R151&lt;&gt;"",L151&lt;&gt;"")),"No",IF(AND($H151&lt;&gt;0,OR($N151="",L151="")),"No","Yes")))</f>
        <v>N/A</v>
      </c>
      <c r="V151" s="761" t="b">
        <f>IF(AND(H151="",OR(L151&lt;&gt;"",N151&lt;&gt;"")),TRUE,FALSE)</f>
        <v>0</v>
      </c>
      <c r="W151" s="761" t="b">
        <f>IF(AND($C$44&lt;&gt;"",$H151=""),TRUE,FALSE)</f>
        <v>0</v>
      </c>
      <c r="X151" s="761" t="b">
        <f>IF(AND(H151&lt;&gt;"",H151&lt;&gt;0,H151&gt;AG151),TRUE,FALSE)</f>
        <v>0</v>
      </c>
      <c r="Y151" s="761" t="b">
        <f>IF($L151="",FALSE,IF($L151&lt;$AI151,TRUE,FALSE))</f>
        <v>0</v>
      </c>
      <c r="Z151" s="761" t="b">
        <f>IF($L151="",FALSE,IF($L151&gt;$AJ151,TRUE,FALSE))</f>
        <v>0</v>
      </c>
      <c r="AA151" s="761" t="b">
        <f>IF(AND(E151="No",$L151=""),TRUE,FALSE)</f>
        <v>0</v>
      </c>
      <c r="AB151" s="761" t="b">
        <f>IF($AC151=TRUE,FALSE,IF(OR($N151&lt;0,$N151&gt;1),TRUE,FALSE))</f>
        <v>0</v>
      </c>
      <c r="AC151" s="761" t="b">
        <f>IF(OR($H151=0, $H151=""), FALSE, IF(AND(H151&gt;0, L151&lt;&gt;"", N151&lt;&gt;""), IF(AND((N151*100)&lt;100,P151=""), TRUE,FALSE), TRUE))</f>
        <v>0</v>
      </c>
      <c r="AD151" s="762"/>
      <c r="AE151" s="783">
        <f t="shared" ref="AE151:AJ151" si="30">IF($C151="","",VLOOKUP($C151,val_fg_assets,AE$5,FALSE))</f>
        <v>1</v>
      </c>
      <c r="AF151" s="835">
        <f t="shared" si="30"/>
        <v>0</v>
      </c>
      <c r="AG151" s="835">
        <f t="shared" si="30"/>
        <v>500</v>
      </c>
      <c r="AH151" s="783">
        <f t="shared" si="30"/>
        <v>15</v>
      </c>
      <c r="AI151" s="783">
        <f t="shared" si="30"/>
        <v>11</v>
      </c>
      <c r="AJ151" s="783">
        <f t="shared" si="30"/>
        <v>19</v>
      </c>
    </row>
    <row r="152" spans="1:37" ht="6" customHeight="1" x14ac:dyDescent="0.2">
      <c r="A152" s="1225"/>
      <c r="B152" s="1773">
        <v>142</v>
      </c>
      <c r="C152" s="1249"/>
      <c r="E152" s="1249"/>
      <c r="F152" s="1249"/>
      <c r="H152" s="1249"/>
      <c r="I152" s="1249"/>
      <c r="J152" s="1249"/>
      <c r="K152" s="1249"/>
      <c r="L152" s="1249"/>
      <c r="M152" s="1249"/>
      <c r="N152" s="1249"/>
      <c r="O152" s="1249"/>
      <c r="P152" s="1249"/>
      <c r="Q152" s="1249"/>
      <c r="R152" s="1393"/>
      <c r="V152" s="848"/>
      <c r="W152" s="848"/>
      <c r="X152" s="848"/>
      <c r="Y152" s="848"/>
      <c r="Z152" s="848"/>
      <c r="AA152" s="848"/>
      <c r="AB152" s="848"/>
      <c r="AC152" s="848"/>
      <c r="AE152" s="848"/>
      <c r="AF152" s="848"/>
      <c r="AG152" s="848"/>
      <c r="AH152" s="848"/>
      <c r="AI152" s="848"/>
      <c r="AJ152" s="848"/>
    </row>
    <row r="153" spans="1:37" x14ac:dyDescent="0.2">
      <c r="A153" s="852">
        <v>32</v>
      </c>
      <c r="B153" s="1773">
        <v>143</v>
      </c>
      <c r="C153" s="1249" t="str">
        <f>Valid!$B$83</f>
        <v>Single Crossover</v>
      </c>
      <c r="E153" s="1245" t="str">
        <f>IF(U153="N/A","",U153)</f>
        <v/>
      </c>
      <c r="F153" s="1249"/>
      <c r="H153" s="1247"/>
      <c r="I153" s="1246" t="str">
        <f>IF($C$137="","",IF(H153="","Qty? Enter Zero if N/A  ",""))</f>
        <v/>
      </c>
      <c r="J153" s="1249" t="str">
        <f>VLOOKUP(C153,Valid!$B$80:$C$86,2,FALSE)</f>
        <v>Each</v>
      </c>
      <c r="K153" s="1249"/>
      <c r="L153" s="1247"/>
      <c r="M153" s="1248" t="str">
        <f>IF($H153=0,"",IF($L153="",TEXT(AH153,0)&amp;" Years?    ",""))</f>
        <v/>
      </c>
      <c r="N153" s="1276"/>
      <c r="O153" s="1275" t="str">
        <f>IF($H153=0,"","% Cap Resp.    ")</f>
        <v/>
      </c>
      <c r="P153" s="1808"/>
      <c r="Q153" s="1275" t="str">
        <f>IF($H153=0,"","% Cap Resp.    ")</f>
        <v/>
      </c>
      <c r="R153" s="1392"/>
      <c r="U153" s="758" t="str">
        <f>IF(AND(R153="",N153="",L153="",H153="",L153=""),"N/A",IF(AND($H153=0,OR(L153&lt;&gt;"",N153&lt;&gt;"",R153&lt;&gt;"",L153&lt;&gt;"")),"No",IF(AND($H153&lt;&gt;0,OR($N153="",L153="")),"No","Yes")))</f>
        <v>N/A</v>
      </c>
      <c r="V153" s="761" t="b">
        <f>IF(AND(H153="",OR(L153&lt;&gt;"",N153&lt;&gt;"")),TRUE,FALSE)</f>
        <v>0</v>
      </c>
      <c r="W153" s="761" t="b">
        <f>IF(AND($C$44&lt;&gt;"",$H153=""),TRUE,FALSE)</f>
        <v>0</v>
      </c>
      <c r="X153" s="761" t="b">
        <f>IF(AND(H153&lt;&gt;"",H153&lt;&gt;0,H153&gt;AG153),TRUE,FALSE)</f>
        <v>0</v>
      </c>
      <c r="Y153" s="761" t="b">
        <f>IF($L153="",FALSE,IF($L153&lt;$AI153,TRUE,FALSE))</f>
        <v>0</v>
      </c>
      <c r="Z153" s="761" t="b">
        <f>IF($L153="",FALSE,IF($L153&gt;$AJ153,TRUE,FALSE))</f>
        <v>0</v>
      </c>
      <c r="AA153" s="761" t="b">
        <f>IF(AND(E153="No",$L153=""),TRUE,FALSE)</f>
        <v>0</v>
      </c>
      <c r="AB153" s="761" t="b">
        <f>IF($AC153=TRUE,FALSE,IF(OR($N153&lt;0,$N153&gt;1),TRUE,FALSE))</f>
        <v>0</v>
      </c>
      <c r="AC153" s="761" t="b">
        <f>IF(OR($H153=0, $H153=""), FALSE, IF(AND(H153&gt;0, L153&lt;&gt;"", N153&lt;&gt;""), IF(AND((N153*100)&lt;100,P153=""), TRUE,FALSE), TRUE))</f>
        <v>0</v>
      </c>
      <c r="AD153" s="762"/>
      <c r="AE153" s="783">
        <f t="shared" ref="AE153:AJ153" si="31">IF($C153="","",VLOOKUP($C153,val_fg_assets,AE$5,FALSE))</f>
        <v>1</v>
      </c>
      <c r="AF153" s="835">
        <f t="shared" si="31"/>
        <v>0</v>
      </c>
      <c r="AG153" s="835">
        <f t="shared" si="31"/>
        <v>500</v>
      </c>
      <c r="AH153" s="783">
        <f t="shared" si="31"/>
        <v>15</v>
      </c>
      <c r="AI153" s="783">
        <f t="shared" si="31"/>
        <v>11</v>
      </c>
      <c r="AJ153" s="783">
        <f t="shared" si="31"/>
        <v>19</v>
      </c>
    </row>
    <row r="154" spans="1:37" ht="6" customHeight="1" x14ac:dyDescent="0.2">
      <c r="A154" s="1225"/>
      <c r="B154" s="1773">
        <v>144</v>
      </c>
      <c r="C154" s="1249"/>
      <c r="E154" s="1249"/>
      <c r="F154" s="1249"/>
      <c r="H154" s="1249"/>
      <c r="I154" s="1249"/>
      <c r="J154" s="1249"/>
      <c r="K154" s="1249"/>
      <c r="L154" s="1249"/>
      <c r="M154" s="1249"/>
      <c r="N154" s="1249"/>
      <c r="O154" s="1249"/>
      <c r="P154" s="1249"/>
      <c r="Q154" s="1249"/>
      <c r="R154" s="1393"/>
      <c r="V154" s="848"/>
      <c r="W154" s="848"/>
      <c r="X154" s="848"/>
      <c r="Y154" s="848"/>
      <c r="Z154" s="848"/>
      <c r="AA154" s="848"/>
      <c r="AB154" s="848"/>
      <c r="AC154" s="848"/>
      <c r="AE154" s="848"/>
      <c r="AF154" s="848"/>
      <c r="AG154" s="848"/>
      <c r="AH154" s="848"/>
      <c r="AI154" s="848"/>
      <c r="AJ154" s="848"/>
    </row>
    <row r="155" spans="1:37" x14ac:dyDescent="0.2">
      <c r="A155" s="852">
        <v>33</v>
      </c>
      <c r="B155" s="1773">
        <v>145</v>
      </c>
      <c r="C155" s="1249" t="str">
        <f>Valid!$B$84</f>
        <v>Half Grand Union</v>
      </c>
      <c r="E155" s="1245" t="str">
        <f>IF(U155="N/A","",U155)</f>
        <v/>
      </c>
      <c r="F155" s="1249"/>
      <c r="H155" s="1247"/>
      <c r="I155" s="1246" t="str">
        <f>IF($C$137="","",IF(H155="","Qty? Enter Zero if N/A  ",""))</f>
        <v/>
      </c>
      <c r="J155" s="1249" t="str">
        <f>VLOOKUP(C155,Valid!$B$80:$C$86,2,FALSE)</f>
        <v>Each</v>
      </c>
      <c r="K155" s="1249"/>
      <c r="L155" s="1247"/>
      <c r="M155" s="1248" t="str">
        <f>IF($H155=0,"",IF($L155="",TEXT(AH155,0)&amp;" Years?    ",""))</f>
        <v/>
      </c>
      <c r="N155" s="1276"/>
      <c r="O155" s="1275" t="str">
        <f>IF($H155=0,"","% Cap Resp.    ")</f>
        <v/>
      </c>
      <c r="P155" s="1808"/>
      <c r="Q155" s="1275" t="str">
        <f>IF($H155=0,"","% Cap Resp.    ")</f>
        <v/>
      </c>
      <c r="R155" s="1392"/>
      <c r="U155" s="758" t="str">
        <f>IF(AND(R155="",N155="",L155="",H155="",L155=""),"N/A",IF(AND($H155=0,OR(L155&lt;&gt;"",N155&lt;&gt;"",R155&lt;&gt;"",L155&lt;&gt;"")),"No",IF(AND($H155&lt;&gt;0,OR($N155="",L155="")),"No","Yes")))</f>
        <v>N/A</v>
      </c>
      <c r="V155" s="761" t="b">
        <f>IF(AND(H155="",OR(L155&lt;&gt;"",N155&lt;&gt;"")),TRUE,FALSE)</f>
        <v>0</v>
      </c>
      <c r="W155" s="761" t="b">
        <f>IF(AND($C$44&lt;&gt;"",$H155=""),TRUE,FALSE)</f>
        <v>0</v>
      </c>
      <c r="X155" s="761" t="b">
        <f>IF(AND(H155&lt;&gt;"",H155&lt;&gt;0,H155&gt;AG155),TRUE,FALSE)</f>
        <v>0</v>
      </c>
      <c r="Y155" s="761" t="b">
        <f>IF($L155="",FALSE,IF($L155&lt;$AI155,TRUE,FALSE))</f>
        <v>0</v>
      </c>
      <c r="Z155" s="761" t="b">
        <f>IF($L155="",FALSE,IF($L155&gt;$AJ155,TRUE,FALSE))</f>
        <v>0</v>
      </c>
      <c r="AA155" s="761" t="b">
        <f>IF(AND(E155="No",$L155=""),TRUE,FALSE)</f>
        <v>0</v>
      </c>
      <c r="AB155" s="761" t="b">
        <f>IF($AC155=TRUE,FALSE,IF(OR($N155&lt;0,$N155&gt;1),TRUE,FALSE))</f>
        <v>0</v>
      </c>
      <c r="AC155" s="761" t="b">
        <f>IF(OR($H155=0, $H155=""), FALSE, IF(AND(H155&gt;0, L155&lt;&gt;"", N155&lt;&gt;""), IF(AND((N155*100)&lt;100,P155=""), TRUE,FALSE), TRUE))</f>
        <v>0</v>
      </c>
      <c r="AD155" s="762"/>
      <c r="AE155" s="783">
        <f t="shared" ref="AE155:AJ155" si="32">IF($C155="","",VLOOKUP($C155,val_fg_assets,AE$5,FALSE))</f>
        <v>1</v>
      </c>
      <c r="AF155" s="835">
        <f t="shared" si="32"/>
        <v>0</v>
      </c>
      <c r="AG155" s="835">
        <f t="shared" si="32"/>
        <v>500</v>
      </c>
      <c r="AH155" s="783">
        <f t="shared" si="32"/>
        <v>15</v>
      </c>
      <c r="AI155" s="783">
        <f t="shared" si="32"/>
        <v>11</v>
      </c>
      <c r="AJ155" s="783">
        <f t="shared" si="32"/>
        <v>19</v>
      </c>
    </row>
    <row r="156" spans="1:37" ht="6" customHeight="1" x14ac:dyDescent="0.2">
      <c r="A156" s="1225"/>
      <c r="B156" s="1774">
        <v>146</v>
      </c>
      <c r="C156" s="1249"/>
      <c r="E156" s="1249"/>
      <c r="F156" s="1249"/>
      <c r="H156" s="1249"/>
      <c r="I156" s="1249"/>
      <c r="J156" s="1249"/>
      <c r="K156" s="1249"/>
      <c r="L156" s="1249"/>
      <c r="M156" s="1249"/>
      <c r="N156" s="1249"/>
      <c r="O156" s="1249"/>
      <c r="P156" s="1249"/>
      <c r="Q156" s="1249"/>
      <c r="R156" s="1393"/>
      <c r="V156" s="848"/>
      <c r="W156" s="848"/>
      <c r="X156" s="848"/>
      <c r="Y156" s="848"/>
      <c r="Z156" s="848"/>
      <c r="AA156" s="848"/>
      <c r="AB156" s="848"/>
      <c r="AC156" s="848"/>
      <c r="AE156" s="848"/>
      <c r="AF156" s="848"/>
      <c r="AG156" s="848"/>
      <c r="AH156" s="848"/>
      <c r="AI156" s="848"/>
      <c r="AJ156" s="848"/>
    </row>
    <row r="157" spans="1:37" x14ac:dyDescent="0.2">
      <c r="A157" s="852">
        <v>34</v>
      </c>
      <c r="B157" s="1773">
        <v>147</v>
      </c>
      <c r="C157" s="1249" t="str">
        <f>Valid!$B$85</f>
        <v>Single Turnout</v>
      </c>
      <c r="E157" s="1245" t="str">
        <f>IF(U157="N/A","",U157)</f>
        <v/>
      </c>
      <c r="F157" s="1249"/>
      <c r="H157" s="1247"/>
      <c r="I157" s="1246" t="str">
        <f>IF($C$137="","",IF(H157="","Qty? Enter Zero if N/A  ",""))</f>
        <v/>
      </c>
      <c r="J157" s="1249" t="str">
        <f>VLOOKUP(C157,Valid!$B$80:$C$86,2,FALSE)</f>
        <v>Each</v>
      </c>
      <c r="K157" s="1249"/>
      <c r="L157" s="1247"/>
      <c r="M157" s="1248" t="str">
        <f>IF($H157=0,"",IF($L157="",TEXT(AH157,0)&amp;" Years?    ",""))</f>
        <v/>
      </c>
      <c r="N157" s="1276"/>
      <c r="O157" s="1275" t="str">
        <f>IF($H157=0,"","% Cap Resp.    ")</f>
        <v/>
      </c>
      <c r="P157" s="1808"/>
      <c r="Q157" s="1275" t="str">
        <f>IF($H157=0,"","% Cap Resp.    ")</f>
        <v/>
      </c>
      <c r="R157" s="1392"/>
      <c r="U157" s="758" t="str">
        <f>IF(AND(R157="",N157="",L157="",H157="",L157=""),"N/A",IF(AND($H157=0,OR(L157&lt;&gt;"",N157&lt;&gt;"",R157&lt;&gt;"",L157&lt;&gt;"")),"No",IF(AND($H157&lt;&gt;0,OR($N157="",L157="")),"No","Yes")))</f>
        <v>N/A</v>
      </c>
      <c r="V157" s="761" t="b">
        <f>IF(AND(H157="",OR(L157&lt;&gt;"",N157&lt;&gt;"")),TRUE,FALSE)</f>
        <v>0</v>
      </c>
      <c r="W157" s="761" t="b">
        <f>IF(AND($C$44&lt;&gt;"",$H157=""),TRUE,FALSE)</f>
        <v>0</v>
      </c>
      <c r="X157" s="761" t="b">
        <f>IF(AND(H157&lt;&gt;"",H157&lt;&gt;0,H157&gt;AG157),TRUE,FALSE)</f>
        <v>0</v>
      </c>
      <c r="Y157" s="761" t="b">
        <f>IF($L157="",FALSE,IF($L157&lt;$AI157,TRUE,FALSE))</f>
        <v>0</v>
      </c>
      <c r="Z157" s="761" t="b">
        <f>IF($L157="",FALSE,IF($L157&gt;$AJ157,TRUE,FALSE))</f>
        <v>0</v>
      </c>
      <c r="AA157" s="761" t="b">
        <f>IF(AND(E157="No",$L157=""),TRUE,FALSE)</f>
        <v>0</v>
      </c>
      <c r="AB157" s="761" t="b">
        <f>IF($AC157=TRUE,FALSE,IF(OR($N157&lt;0,$N157&gt;1),TRUE,FALSE))</f>
        <v>0</v>
      </c>
      <c r="AC157" s="761" t="b">
        <f>IF(OR($H157=0, $H157=""), FALSE, IF(AND(H157&gt;0, L157&lt;&gt;"", N157&lt;&gt;""), IF(AND((N157*100)&lt;100,P157=""), TRUE,FALSE), TRUE))</f>
        <v>0</v>
      </c>
      <c r="AD157" s="762"/>
      <c r="AE157" s="783">
        <f t="shared" ref="AE157:AJ157" si="33">IF($C157="","",VLOOKUP($C157,val_fg_assets,AE$5,FALSE))</f>
        <v>1</v>
      </c>
      <c r="AF157" s="835">
        <f t="shared" si="33"/>
        <v>0</v>
      </c>
      <c r="AG157" s="835">
        <f t="shared" si="33"/>
        <v>500</v>
      </c>
      <c r="AH157" s="783">
        <f t="shared" si="33"/>
        <v>15</v>
      </c>
      <c r="AI157" s="783">
        <f t="shared" si="33"/>
        <v>11</v>
      </c>
      <c r="AJ157" s="783">
        <f t="shared" si="33"/>
        <v>19</v>
      </c>
    </row>
    <row r="158" spans="1:37" ht="6" customHeight="1" x14ac:dyDescent="0.2">
      <c r="A158" s="1225"/>
      <c r="B158" s="1773">
        <v>148</v>
      </c>
      <c r="C158" s="1249"/>
      <c r="E158" s="1249"/>
      <c r="F158" s="1249"/>
      <c r="H158" s="1249"/>
      <c r="I158" s="1249"/>
      <c r="J158" s="1249"/>
      <c r="K158" s="1249"/>
      <c r="L158" s="1249"/>
      <c r="M158" s="1249"/>
      <c r="N158" s="1249"/>
      <c r="O158" s="1249"/>
      <c r="P158" s="1249"/>
      <c r="Q158" s="1249"/>
      <c r="R158" s="1393"/>
      <c r="V158" s="848"/>
      <c r="W158" s="848"/>
      <c r="X158" s="848"/>
      <c r="Y158" s="848"/>
      <c r="Z158" s="848"/>
      <c r="AA158" s="848"/>
      <c r="AB158" s="848"/>
      <c r="AC158" s="848"/>
      <c r="AE158" s="848"/>
      <c r="AF158" s="848"/>
      <c r="AG158" s="848"/>
      <c r="AH158" s="848"/>
      <c r="AI158" s="848"/>
      <c r="AJ158" s="848"/>
    </row>
    <row r="159" spans="1:37" x14ac:dyDescent="0.2">
      <c r="A159" s="852">
        <v>35</v>
      </c>
      <c r="B159" s="1773">
        <v>149</v>
      </c>
      <c r="C159" s="1249" t="str">
        <f>Valid!$B$86</f>
        <v>Grade Crossings</v>
      </c>
      <c r="E159" s="1245" t="str">
        <f>IF(U159="N/A","",U159)</f>
        <v/>
      </c>
      <c r="F159" s="1249"/>
      <c r="H159" s="1247"/>
      <c r="I159" s="1246" t="str">
        <f>IF($C$137="","",IF(H159="","Qty? Enter Zero if N/A  ",""))</f>
        <v/>
      </c>
      <c r="J159" s="1249" t="str">
        <f>VLOOKUP(C159,Valid!$B$80:$C$86,2,FALSE)</f>
        <v>Each</v>
      </c>
      <c r="K159" s="1249"/>
      <c r="L159" s="1247"/>
      <c r="M159" s="1248" t="str">
        <f>IF($H159=0,"",IF($L159="",TEXT(AH159,0)&amp;" Years?    ",""))</f>
        <v/>
      </c>
      <c r="N159" s="1276"/>
      <c r="O159" s="1275" t="str">
        <f>IF($H159=0,"","% Cap Resp.    ")</f>
        <v/>
      </c>
      <c r="P159" s="1808"/>
      <c r="Q159" s="1275" t="str">
        <f>IF($H159=0,"","% Cap Resp.    ")</f>
        <v/>
      </c>
      <c r="R159" s="1392"/>
      <c r="U159" s="758" t="str">
        <f>IF(AND(R159="",N159="",L159="",H159="",L159=""),"N/A",IF(AND($H159=0,OR(L159&lt;&gt;"",N159&lt;&gt;"",R159&lt;&gt;"",L159&lt;&gt;"")),"No",IF(AND($H159&lt;&gt;0,OR($N159="",L159="")),"No","Yes")))</f>
        <v>N/A</v>
      </c>
      <c r="V159" s="761" t="b">
        <f>IF(AND(H159="",OR(L159&lt;&gt;"",N159&lt;&gt;"")),TRUE,FALSE)</f>
        <v>0</v>
      </c>
      <c r="W159" s="761" t="b">
        <f>IF(AND($C$44&lt;&gt;"",$H159=""),TRUE,FALSE)</f>
        <v>0</v>
      </c>
      <c r="X159" s="761" t="b">
        <f>IF(AND(H159&lt;&gt;"",H159&lt;&gt;0,H159&gt;AG159),TRUE,FALSE)</f>
        <v>0</v>
      </c>
      <c r="Y159" s="761" t="b">
        <f>IF($L159="",FALSE,IF($L159&lt;$AI159,TRUE,FALSE))</f>
        <v>0</v>
      </c>
      <c r="Z159" s="761" t="b">
        <f>IF($L159="",FALSE,IF($L159&gt;$AJ159,TRUE,FALSE))</f>
        <v>0</v>
      </c>
      <c r="AA159" s="761" t="b">
        <f>IF(AND(E159="No",$L159=""),TRUE,FALSE)</f>
        <v>0</v>
      </c>
      <c r="AB159" s="761" t="b">
        <f>IF($AC159=TRUE,FALSE,IF(OR($N159&lt;0,$N159&gt;1),TRUE,FALSE))</f>
        <v>0</v>
      </c>
      <c r="AC159" s="761" t="b">
        <f>IF(OR($H159=0, $H159=""), FALSE, IF(AND(H159&gt;0, L159&lt;&gt;"", N159&lt;&gt;""), IF(AND((N159*100)&lt;100,P159=""), TRUE,FALSE), TRUE))</f>
        <v>0</v>
      </c>
      <c r="AD159" s="762"/>
      <c r="AE159" s="783">
        <f t="shared" ref="AE159:AJ159" si="34">IF($C159="","",VLOOKUP($C159,val_fg_assets,AE$5,FALSE))</f>
        <v>1</v>
      </c>
      <c r="AF159" s="835">
        <f t="shared" si="34"/>
        <v>0</v>
      </c>
      <c r="AG159" s="835">
        <f t="shared" si="34"/>
        <v>500</v>
      </c>
      <c r="AH159" s="783">
        <f t="shared" si="34"/>
        <v>15</v>
      </c>
      <c r="AI159" s="783">
        <f t="shared" si="34"/>
        <v>11</v>
      </c>
      <c r="AJ159" s="783">
        <f t="shared" si="34"/>
        <v>19</v>
      </c>
    </row>
    <row r="160" spans="1:37" ht="6" customHeight="1" thickBot="1" x14ac:dyDescent="0.25">
      <c r="A160" s="1225"/>
      <c r="B160" s="1773">
        <v>150</v>
      </c>
      <c r="C160" s="1249"/>
      <c r="E160" s="1249"/>
      <c r="F160" s="1249"/>
      <c r="H160" s="1249"/>
      <c r="I160" s="1249"/>
      <c r="J160" s="1249"/>
      <c r="K160" s="1249"/>
      <c r="L160" s="1249"/>
      <c r="M160" s="1249"/>
      <c r="N160" s="1249"/>
      <c r="O160" s="1249"/>
      <c r="P160" s="1249"/>
      <c r="Q160" s="1249"/>
      <c r="R160" s="1393"/>
      <c r="V160" s="848"/>
      <c r="W160" s="848"/>
      <c r="X160" s="848"/>
      <c r="Y160" s="848"/>
      <c r="Z160" s="848"/>
      <c r="AA160" s="848"/>
      <c r="AB160" s="848"/>
      <c r="AC160" s="848"/>
      <c r="AE160" s="848"/>
      <c r="AF160" s="848"/>
      <c r="AG160" s="848"/>
      <c r="AH160" s="848"/>
      <c r="AI160" s="848"/>
      <c r="AJ160" s="848"/>
    </row>
    <row r="161" spans="1:37" x14ac:dyDescent="0.2">
      <c r="A161" s="1712" t="s">
        <v>2621</v>
      </c>
      <c r="B161" s="1773">
        <v>151</v>
      </c>
      <c r="C161" s="1249"/>
      <c r="E161" s="1249"/>
      <c r="F161" s="1278" t="str">
        <f>IF(C137="","Track Special Work Totals (excluding linear assets)&gt;&gt;",VLOOKUP(C137,Codes!$C$156:$D$174,2)&amp;" Track Special Work Totals (excluding linear assets)&gt;&gt;")</f>
        <v>Track Special Work Totals (excluding linear assets)&gt;&gt;</v>
      </c>
      <c r="H161" s="1032">
        <f>SUM(H151:H159)</f>
        <v>0</v>
      </c>
      <c r="I161" s="1249"/>
      <c r="J161" s="1249"/>
      <c r="K161" s="1249"/>
      <c r="L161" s="1249"/>
      <c r="M161" s="1249"/>
      <c r="N161" s="1249"/>
      <c r="O161" s="1249"/>
      <c r="P161" s="1249"/>
      <c r="Q161" s="1249"/>
      <c r="R161" s="1393"/>
      <c r="V161" s="848"/>
      <c r="W161" s="848"/>
      <c r="X161" s="848"/>
      <c r="Y161" s="848"/>
      <c r="Z161" s="848"/>
      <c r="AA161" s="848"/>
      <c r="AB161" s="848"/>
      <c r="AC161" s="848"/>
      <c r="AE161" s="848"/>
      <c r="AF161" s="848"/>
      <c r="AG161" s="848"/>
      <c r="AH161" s="848"/>
      <c r="AI161" s="848"/>
      <c r="AJ161" s="848"/>
    </row>
    <row r="162" spans="1:37" ht="6" customHeight="1" x14ac:dyDescent="0.2">
      <c r="B162" s="1773">
        <v>152</v>
      </c>
      <c r="C162" s="1268"/>
      <c r="E162" s="1057"/>
      <c r="H162" s="1250"/>
      <c r="L162" s="1251"/>
      <c r="R162" s="1394"/>
      <c r="V162" s="848"/>
      <c r="W162" s="848"/>
      <c r="X162" s="848"/>
      <c r="Y162" s="759"/>
      <c r="Z162" s="759"/>
      <c r="AA162" s="848"/>
      <c r="AB162" s="848"/>
      <c r="AC162" s="848"/>
      <c r="AE162" s="848"/>
      <c r="AF162" s="848"/>
      <c r="AG162" s="848"/>
      <c r="AH162" s="848"/>
      <c r="AI162" s="848"/>
      <c r="AJ162" s="848"/>
    </row>
    <row r="163" spans="1:37" ht="6" customHeight="1" x14ac:dyDescent="0.2">
      <c r="B163" s="1773">
        <v>153</v>
      </c>
      <c r="E163" s="1057"/>
      <c r="H163" s="1250"/>
      <c r="L163" s="1251"/>
      <c r="R163" s="1223"/>
      <c r="V163" s="848"/>
      <c r="W163" s="848"/>
      <c r="X163" s="848"/>
      <c r="Y163" s="848"/>
      <c r="Z163" s="848"/>
      <c r="AA163" s="848"/>
      <c r="AB163" s="848"/>
      <c r="AC163" s="848"/>
      <c r="AE163" s="848"/>
      <c r="AF163" s="848"/>
      <c r="AG163" s="848"/>
      <c r="AH163" s="848"/>
      <c r="AI163" s="848"/>
      <c r="AJ163" s="848"/>
    </row>
    <row r="164" spans="1:37" ht="6" customHeight="1" x14ac:dyDescent="0.2">
      <c r="A164" s="1815"/>
      <c r="B164" s="1819">
        <v>30</v>
      </c>
      <c r="C164" s="1816"/>
      <c r="D164" s="1847"/>
      <c r="E164" s="1817"/>
      <c r="F164" s="1817"/>
      <c r="G164" s="1817"/>
      <c r="H164" s="1817"/>
      <c r="I164" s="1817"/>
      <c r="J164" s="1817"/>
      <c r="K164" s="1817"/>
      <c r="L164" s="1817"/>
      <c r="M164" s="1817"/>
      <c r="N164" s="1817"/>
      <c r="O164" s="1817"/>
      <c r="P164" s="1817"/>
      <c r="Q164" s="1817"/>
      <c r="R164" s="1818"/>
      <c r="S164" s="1815"/>
      <c r="T164" s="1815"/>
      <c r="U164" s="1815"/>
      <c r="V164" s="1814"/>
      <c r="W164" s="1814"/>
      <c r="X164" s="1814"/>
      <c r="Y164" s="1814"/>
      <c r="Z164" s="1814"/>
      <c r="AA164" s="1814"/>
      <c r="AB164" s="1814"/>
      <c r="AC164" s="1814"/>
      <c r="AD164" s="1815"/>
      <c r="AE164" s="1814"/>
      <c r="AF164" s="1814"/>
      <c r="AG164" s="1814"/>
      <c r="AH164" s="1814"/>
      <c r="AI164" s="1814"/>
      <c r="AJ164" s="1814"/>
    </row>
    <row r="165" spans="1:37" ht="6" customHeight="1" x14ac:dyDescent="0.2">
      <c r="B165" s="1773">
        <v>155</v>
      </c>
      <c r="E165" s="1057"/>
      <c r="H165" s="1250"/>
      <c r="L165" s="1145"/>
      <c r="V165" s="848"/>
      <c r="W165" s="848"/>
      <c r="X165" s="848"/>
      <c r="Y165" s="848"/>
      <c r="Z165" s="848"/>
      <c r="AA165" s="848"/>
      <c r="AB165" s="848"/>
      <c r="AC165" s="848"/>
      <c r="AE165" s="848"/>
      <c r="AF165" s="848"/>
      <c r="AG165" s="848"/>
      <c r="AH165" s="848"/>
      <c r="AI165" s="848"/>
      <c r="AJ165" s="848"/>
    </row>
    <row r="166" spans="1:37" ht="6" customHeight="1" x14ac:dyDescent="0.2">
      <c r="B166" s="1773">
        <v>156</v>
      </c>
      <c r="E166" s="1057"/>
      <c r="H166" s="1250"/>
      <c r="L166" s="1270"/>
      <c r="V166" s="848"/>
      <c r="W166" s="848"/>
      <c r="X166" s="848"/>
      <c r="Y166" s="848"/>
      <c r="Z166" s="848"/>
      <c r="AA166" s="848"/>
      <c r="AB166" s="848"/>
      <c r="AC166" s="848"/>
      <c r="AE166" s="848"/>
      <c r="AF166" s="848"/>
      <c r="AG166" s="848"/>
      <c r="AH166" s="848"/>
      <c r="AI166" s="848"/>
      <c r="AJ166" s="848"/>
    </row>
    <row r="167" spans="1:37" s="760" customFormat="1" ht="6" customHeight="1" x14ac:dyDescent="0.2">
      <c r="A167" s="721"/>
      <c r="B167" s="1773">
        <v>157</v>
      </c>
      <c r="C167" s="1271"/>
      <c r="D167" s="1845"/>
      <c r="E167" s="721"/>
      <c r="F167" s="736"/>
      <c r="G167" s="736"/>
      <c r="H167" s="1272"/>
      <c r="I167" s="822"/>
      <c r="J167" s="817"/>
      <c r="K167" s="822"/>
      <c r="L167" s="1273"/>
      <c r="M167" s="758"/>
      <c r="N167" s="822"/>
      <c r="O167" s="823"/>
      <c r="P167" s="822"/>
      <c r="Q167" s="823"/>
      <c r="R167" s="1391"/>
      <c r="S167" s="1219"/>
      <c r="U167" s="1219"/>
      <c r="V167" s="759"/>
      <c r="W167" s="759"/>
      <c r="X167" s="759"/>
      <c r="Y167" s="759"/>
      <c r="Z167" s="759"/>
      <c r="AA167" s="759"/>
      <c r="AB167" s="759"/>
      <c r="AC167" s="759"/>
      <c r="AE167" s="1274"/>
      <c r="AF167" s="1274"/>
      <c r="AG167" s="1274"/>
      <c r="AH167" s="1274"/>
      <c r="AI167" s="1274"/>
      <c r="AJ167" s="1274"/>
      <c r="AK167" s="1219"/>
    </row>
    <row r="168" spans="1:37" s="760" customFormat="1" x14ac:dyDescent="0.2">
      <c r="A168" s="1712" t="s">
        <v>2621</v>
      </c>
      <c r="B168" s="1773">
        <v>158</v>
      </c>
      <c r="C168" s="1416"/>
      <c r="D168" s="1248" t="str">
        <f>IF(AND(C137&lt;&gt;"",$C168=""),"Select Mode from Pull-Down List                                                                       ","")</f>
        <v/>
      </c>
      <c r="E168" s="1277" t="str">
        <f>IF(AND(C168="",OR(H174&lt;&gt;"",H176&lt;&gt;"",L174&lt;&gt;"",N174&lt;&gt;"",L176&lt;&gt;"",N176&lt;&gt;"",R174&lt;&gt;"",R176&lt;&gt;"",C170&lt;&gt;"",H192&lt;&gt;0,L182&lt;&gt;"",L184&lt;&gt;"",L186&lt;&gt;"",L188&lt;&gt;"",L190&lt;&gt;"",N182&lt;&gt;"",N184&lt;&gt;"",N186&lt;&gt;"",N188&lt;&gt;"",N190&lt;&gt;"",R182&lt;&gt;"",R184&lt;&gt;"",R186&lt;&gt;"",R188&lt;&gt;"",R190&lt;&gt;"")),"&lt;&lt; Insert Rail Mode",IF(AND(C168&lt;&gt;"",C137=""),"&lt;&lt;Complete Previous Section First",""))</f>
        <v/>
      </c>
      <c r="F168" s="736"/>
      <c r="G168" s="736"/>
      <c r="H168" s="1253"/>
      <c r="I168" s="1254"/>
      <c r="J168" s="1255"/>
      <c r="K168" s="1256"/>
      <c r="L168" s="1257"/>
      <c r="M168" s="1254"/>
      <c r="N168" s="1254"/>
      <c r="O168" s="1254"/>
      <c r="P168" s="1254"/>
      <c r="Q168" s="1254"/>
      <c r="R168" s="1223"/>
      <c r="S168" s="1221"/>
      <c r="T168" s="758"/>
      <c r="U168" s="758" t="b">
        <f>IF(OR(E168&lt;&gt;"",E199="&lt;&lt;Complete Previous Section First"),TRUE,FALSE)</f>
        <v>0</v>
      </c>
      <c r="V168" s="763"/>
      <c r="W168" s="763"/>
      <c r="X168" s="763"/>
      <c r="Y168" s="763"/>
      <c r="Z168" s="763"/>
      <c r="AA168" s="763"/>
      <c r="AB168" s="763"/>
      <c r="AC168" s="763"/>
      <c r="AE168" s="783"/>
      <c r="AF168" s="783"/>
      <c r="AG168" s="783"/>
      <c r="AH168" s="783"/>
      <c r="AI168" s="783"/>
      <c r="AJ168" s="783"/>
      <c r="AK168" s="1220"/>
    </row>
    <row r="169" spans="1:37" s="760" customFormat="1" ht="6" customHeight="1" x14ac:dyDescent="0.2">
      <c r="A169" s="721"/>
      <c r="B169" s="1773">
        <v>159</v>
      </c>
      <c r="C169" s="1434"/>
      <c r="D169" s="1248"/>
      <c r="E169" s="1277"/>
      <c r="F169" s="736"/>
      <c r="G169" s="736"/>
      <c r="H169" s="1253"/>
      <c r="I169" s="1254"/>
      <c r="J169" s="1255"/>
      <c r="K169" s="1256"/>
      <c r="L169" s="1257"/>
      <c r="M169" s="1254"/>
      <c r="N169" s="1254"/>
      <c r="O169" s="1254"/>
      <c r="P169" s="1254"/>
      <c r="Q169" s="1254"/>
      <c r="R169" s="1223"/>
      <c r="S169" s="1221"/>
      <c r="T169" s="758"/>
      <c r="U169" s="758"/>
      <c r="V169" s="763"/>
      <c r="W169" s="763"/>
      <c r="X169" s="763"/>
      <c r="Y169" s="763"/>
      <c r="Z169" s="763"/>
      <c r="AA169" s="763"/>
      <c r="AB169" s="763"/>
      <c r="AC169" s="763"/>
      <c r="AE169" s="783"/>
      <c r="AF169" s="783"/>
      <c r="AG169" s="783"/>
      <c r="AH169" s="783"/>
      <c r="AI169" s="783"/>
      <c r="AJ169" s="783"/>
      <c r="AK169" s="1220"/>
    </row>
    <row r="170" spans="1:37" s="760" customFormat="1" x14ac:dyDescent="0.2">
      <c r="A170" s="1712" t="s">
        <v>2621</v>
      </c>
      <c r="B170" s="1773">
        <v>160</v>
      </c>
      <c r="C170" s="1417"/>
      <c r="D170" s="1248" t="str">
        <f>IF(AND(C168&lt;&gt;"",C170=""),"Agency-Specific "&amp;VLOOKUP(C168,Codes!$C$156:$D$174,2,FALSE)&amp;" Curvature Threshold (ft. radius or degrees)  ","")</f>
        <v/>
      </c>
      <c r="E170" s="1277"/>
      <c r="F170" s="736"/>
      <c r="G170" s="851"/>
      <c r="H170" s="1253"/>
      <c r="I170" s="1254"/>
      <c r="J170" s="1255"/>
      <c r="K170" s="1256"/>
      <c r="L170" s="1257"/>
      <c r="M170" s="1254"/>
      <c r="N170" s="1254"/>
      <c r="O170" s="1254"/>
      <c r="P170" s="1254"/>
      <c r="Q170" s="1254"/>
      <c r="R170" s="1223"/>
      <c r="S170" s="1221"/>
      <c r="T170" s="758"/>
      <c r="U170" s="758" t="b">
        <f>IF(AND(C168&lt;&gt;"",C170=""),TRUE,FALSE)</f>
        <v>0</v>
      </c>
      <c r="V170" s="763"/>
      <c r="W170" s="763"/>
      <c r="X170" s="763"/>
      <c r="Y170" s="763"/>
      <c r="Z170" s="763"/>
      <c r="AA170" s="763"/>
      <c r="AB170" s="763"/>
      <c r="AC170" s="763"/>
      <c r="AE170" s="783"/>
      <c r="AF170" s="783"/>
      <c r="AG170" s="783"/>
      <c r="AH170" s="783"/>
      <c r="AI170" s="783"/>
      <c r="AJ170" s="783"/>
      <c r="AK170" s="1220"/>
    </row>
    <row r="171" spans="1:37" s="760" customFormat="1" ht="6" customHeight="1" x14ac:dyDescent="0.2">
      <c r="A171" s="721"/>
      <c r="B171" s="1773">
        <v>161</v>
      </c>
      <c r="C171" s="828"/>
      <c r="D171" s="1845"/>
      <c r="E171" s="721"/>
      <c r="F171" s="281"/>
      <c r="G171" s="281"/>
      <c r="H171" s="1029"/>
      <c r="I171" s="829"/>
      <c r="J171" s="830"/>
      <c r="K171" s="829"/>
      <c r="L171" s="1031"/>
      <c r="M171" s="758"/>
      <c r="N171" s="724"/>
      <c r="O171" s="724"/>
      <c r="P171" s="724"/>
      <c r="Q171" s="724"/>
      <c r="R171" s="1223"/>
      <c r="S171" s="1221"/>
      <c r="T171" s="1219"/>
      <c r="U171" s="1221"/>
      <c r="V171" s="759"/>
      <c r="W171" s="759"/>
      <c r="X171" s="759"/>
      <c r="Y171" s="759"/>
      <c r="Z171" s="759"/>
      <c r="AA171" s="759"/>
      <c r="AB171" s="759"/>
      <c r="AC171" s="759"/>
      <c r="AE171" s="833"/>
      <c r="AF171" s="833"/>
      <c r="AG171" s="833"/>
      <c r="AH171" s="833"/>
      <c r="AI171" s="833"/>
      <c r="AJ171" s="833"/>
      <c r="AK171" s="1221"/>
    </row>
    <row r="172" spans="1:37" s="760" customFormat="1" x14ac:dyDescent="0.2">
      <c r="A172" s="1712" t="s">
        <v>2621</v>
      </c>
      <c r="B172" s="1774">
        <v>162</v>
      </c>
      <c r="C172" s="205" t="str">
        <f>IF(C168="","Linear Track",VLOOKUP(C168,Codes!$C$156:$D$174,2)&amp;" Linear Track")</f>
        <v>Linear Track</v>
      </c>
      <c r="D172" s="1845"/>
      <c r="E172" s="721"/>
      <c r="F172" s="281"/>
      <c r="G172" s="281"/>
      <c r="H172" s="1029"/>
      <c r="I172" s="829"/>
      <c r="J172" s="830"/>
      <c r="K172" s="829"/>
      <c r="L172" s="1031"/>
      <c r="M172" s="758"/>
      <c r="N172" s="724"/>
      <c r="O172" s="724"/>
      <c r="P172" s="724"/>
      <c r="Q172" s="724"/>
      <c r="R172" s="1223"/>
      <c r="S172" s="1221"/>
      <c r="T172" s="1219"/>
      <c r="U172" s="1221"/>
      <c r="V172" s="759"/>
      <c r="W172" s="759"/>
      <c r="X172" s="759"/>
      <c r="Y172" s="759"/>
      <c r="Z172" s="759"/>
      <c r="AA172" s="759"/>
      <c r="AB172" s="759"/>
      <c r="AC172" s="759"/>
      <c r="AE172" s="833"/>
      <c r="AF172" s="833"/>
      <c r="AG172" s="833"/>
      <c r="AH172" s="833"/>
      <c r="AI172" s="833"/>
      <c r="AJ172" s="833"/>
      <c r="AK172" s="1221"/>
    </row>
    <row r="173" spans="1:37" s="760" customFormat="1" ht="6" customHeight="1" x14ac:dyDescent="0.2">
      <c r="A173" s="721"/>
      <c r="B173" s="1773">
        <v>163</v>
      </c>
      <c r="C173" s="828"/>
      <c r="D173" s="1845"/>
      <c r="E173" s="721"/>
      <c r="F173" s="281"/>
      <c r="G173" s="281"/>
      <c r="H173" s="1029"/>
      <c r="I173" s="829"/>
      <c r="J173" s="830"/>
      <c r="K173" s="829"/>
      <c r="L173" s="1031"/>
      <c r="M173" s="758"/>
      <c r="N173" s="724"/>
      <c r="O173" s="724"/>
      <c r="P173" s="724"/>
      <c r="Q173" s="724"/>
      <c r="R173" s="1223"/>
      <c r="S173" s="1221"/>
      <c r="T173" s="1219"/>
      <c r="U173" s="1221"/>
      <c r="V173" s="759"/>
      <c r="W173" s="759"/>
      <c r="X173" s="759"/>
      <c r="Y173" s="759"/>
      <c r="Z173" s="759"/>
      <c r="AA173" s="759"/>
      <c r="AB173" s="759"/>
      <c r="AC173" s="759"/>
      <c r="AE173" s="833"/>
      <c r="AF173" s="833"/>
      <c r="AG173" s="833"/>
      <c r="AH173" s="833"/>
      <c r="AI173" s="833"/>
      <c r="AJ173" s="833"/>
      <c r="AK173" s="1221"/>
    </row>
    <row r="174" spans="1:37" s="760" customFormat="1" x14ac:dyDescent="0.2">
      <c r="A174" s="852">
        <v>36</v>
      </c>
      <c r="B174" s="1773">
        <v>164</v>
      </c>
      <c r="C174" s="851" t="str">
        <f>Valid!$B$80</f>
        <v>Tangent</v>
      </c>
      <c r="D174" s="1845"/>
      <c r="E174" s="1056" t="str">
        <f>IF(U174="N/A","",U174)</f>
        <v/>
      </c>
      <c r="F174" s="685"/>
      <c r="G174" s="685"/>
      <c r="H174" s="1025"/>
      <c r="I174" s="1246" t="str">
        <f>IF($C$168="","",IF(H174="","Qty? Enter Zero if N/A  ",""))</f>
        <v/>
      </c>
      <c r="J174" s="1249" t="str">
        <f>VLOOKUP(C174,Valid!$B$80:$C$86,2,FALSE)</f>
        <v>Track Feet</v>
      </c>
      <c r="K174" s="764"/>
      <c r="L174" s="1025"/>
      <c r="M174" s="1248" t="str">
        <f>IF($H174=0,"",IF($L174="",TEXT(AH174,0)&amp;" Years?    ",""))</f>
        <v/>
      </c>
      <c r="N174" s="1276"/>
      <c r="O174" s="1275" t="str">
        <f>IF($H174=0,"","% Cap Resp.    ")</f>
        <v/>
      </c>
      <c r="P174" s="1808"/>
      <c r="Q174" s="1275" t="str">
        <f>IF($H174=0,"","% Cap Resp.    ")</f>
        <v/>
      </c>
      <c r="R174" s="1392"/>
      <c r="S174" s="1223"/>
      <c r="T174" s="1223"/>
      <c r="U174" s="758" t="str">
        <f>IF(AND(R174="",N174="",L174="",H174="",L174=""),"N/A",IF(AND($H174=0,OR(L174&lt;&gt;"",N174&lt;&gt;"",R174&lt;&gt;"",L174&lt;&gt;"")),"No",IF(AND($H174&lt;&gt;0,OR($N174="",L174="")),"No","Yes")))</f>
        <v>N/A</v>
      </c>
      <c r="V174" s="761" t="b">
        <f>IF(AND(H174="",OR(L174&lt;&gt;"",N174&lt;&gt;"")),TRUE,FALSE)</f>
        <v>0</v>
      </c>
      <c r="W174" s="761" t="b">
        <f>IF(AND($C$168&lt;&gt;"",$H174=""),TRUE,FALSE)</f>
        <v>0</v>
      </c>
      <c r="X174" s="761" t="b">
        <f>IF(AND(H174&lt;&gt;"",H174&lt;&gt;0,H174&gt;AG174),TRUE,FALSE)</f>
        <v>0</v>
      </c>
      <c r="Y174" s="761" t="b">
        <f>IF($L174="",FALSE,IF($L174&lt;$AI174,TRUE,FALSE))</f>
        <v>0</v>
      </c>
      <c r="Z174" s="761" t="b">
        <f>IF($L174="",FALSE,IF($L174&gt;$AJ174,TRUE,FALSE))</f>
        <v>0</v>
      </c>
      <c r="AA174" s="761" t="b">
        <f>IF(AND(E174="No",$L174=""),TRUE,FALSE)</f>
        <v>0</v>
      </c>
      <c r="AB174" s="761" t="b">
        <f>IF($AC174=TRUE,FALSE,IF(OR($N174&lt;0,$N174&gt;1),TRUE,FALSE))</f>
        <v>0</v>
      </c>
      <c r="AC174" s="761" t="b">
        <f>IF(OR($H174=0, $H174=""), FALSE, IF(AND(H174&gt;0, L174&lt;&gt;"", N174&lt;&gt;""), IF(AND((N174*100)&lt;100,P174=""), TRUE,FALSE), TRUE))</f>
        <v>0</v>
      </c>
      <c r="AD174" s="762"/>
      <c r="AE174" s="783">
        <f t="shared" ref="AE174:AJ174" si="35">IF($C174="","",VLOOKUP($C174,val_fg_assets,AE$5,FALSE))</f>
        <v>1</v>
      </c>
      <c r="AF174" s="835">
        <f t="shared" si="35"/>
        <v>0</v>
      </c>
      <c r="AG174" s="835">
        <f t="shared" si="35"/>
        <v>3000000</v>
      </c>
      <c r="AH174" s="783">
        <f t="shared" si="35"/>
        <v>35</v>
      </c>
      <c r="AI174" s="783">
        <f t="shared" si="35"/>
        <v>26</v>
      </c>
      <c r="AJ174" s="783">
        <f t="shared" si="35"/>
        <v>44</v>
      </c>
      <c r="AK174" s="834"/>
    </row>
    <row r="175" spans="1:37" s="760" customFormat="1" ht="6" customHeight="1" x14ac:dyDescent="0.2">
      <c r="A175" s="852"/>
      <c r="B175" s="1773">
        <v>165</v>
      </c>
      <c r="C175" s="1222"/>
      <c r="D175" s="1845"/>
      <c r="E175" s="1059"/>
      <c r="F175" s="685"/>
      <c r="G175" s="685"/>
      <c r="H175" s="1176"/>
      <c r="I175" s="764"/>
      <c r="J175" s="840"/>
      <c r="K175" s="764"/>
      <c r="L175" s="1031"/>
      <c r="M175" s="758"/>
      <c r="N175" s="1258"/>
      <c r="O175" s="724"/>
      <c r="P175" s="1258"/>
      <c r="Q175" s="724"/>
      <c r="R175" s="1223"/>
      <c r="S175" s="1223"/>
      <c r="T175" s="1223"/>
      <c r="U175" s="1223"/>
      <c r="V175" s="759"/>
      <c r="W175" s="759"/>
      <c r="X175" s="759"/>
      <c r="Y175" s="759"/>
      <c r="Z175" s="759"/>
      <c r="AA175" s="759"/>
      <c r="AB175" s="759"/>
      <c r="AC175" s="759"/>
      <c r="AE175" s="833"/>
      <c r="AF175" s="845"/>
      <c r="AG175" s="845"/>
      <c r="AH175" s="833"/>
      <c r="AI175" s="833"/>
      <c r="AJ175" s="833"/>
      <c r="AK175" s="1223"/>
    </row>
    <row r="176" spans="1:37" s="760" customFormat="1" x14ac:dyDescent="0.2">
      <c r="A176" s="852">
        <v>37</v>
      </c>
      <c r="B176" s="1773">
        <v>166</v>
      </c>
      <c r="C176" s="851" t="str">
        <f>Valid!$B$81</f>
        <v>Curve</v>
      </c>
      <c r="D176" s="1845"/>
      <c r="E176" s="1056" t="str">
        <f>IF(U176="N/A","",U176)</f>
        <v/>
      </c>
      <c r="F176" s="764"/>
      <c r="G176" s="764"/>
      <c r="H176" s="1025"/>
      <c r="I176" s="1246" t="str">
        <f>IF($C$168="","",IF(H176="","Qty? Enter Zero if N/A  ",""))</f>
        <v/>
      </c>
      <c r="J176" s="1249" t="str">
        <f>VLOOKUP(C176,Valid!$B$80:$C$86,2,FALSE)</f>
        <v>Track Feet</v>
      </c>
      <c r="K176" s="764"/>
      <c r="L176" s="1025"/>
      <c r="M176" s="1248" t="str">
        <f>IF($H176=0,"",IF($L176="",TEXT(AH176,0)&amp;" Years?    ",""))</f>
        <v/>
      </c>
      <c r="N176" s="1276"/>
      <c r="O176" s="1275" t="str">
        <f>IF($H176=0,"","% Cap Resp.    ")</f>
        <v/>
      </c>
      <c r="P176" s="1808"/>
      <c r="Q176" s="1275" t="str">
        <f>IF($H176=0,"","% Cap Resp.    ")</f>
        <v/>
      </c>
      <c r="R176" s="1392"/>
      <c r="S176" s="1223"/>
      <c r="T176" s="1223"/>
      <c r="U176" s="758" t="str">
        <f>IF(AND(R176="",N176="",L176="",H176="",L176=""),"N/A",IF(AND($H176=0,OR(L176&lt;&gt;"",N176&lt;&gt;"",R176&lt;&gt;"",L176&lt;&gt;"")),"No",IF(AND($H176&lt;&gt;0,OR($N176="",L176="")),"No","Yes")))</f>
        <v>N/A</v>
      </c>
      <c r="V176" s="761" t="b">
        <f>IF(AND(H176="",OR(L176&lt;&gt;"",N176&lt;&gt;"")),TRUE,FALSE)</f>
        <v>0</v>
      </c>
      <c r="W176" s="761" t="b">
        <f>IF(AND($C$168&lt;&gt;"",$H176=""),TRUE,FALSE)</f>
        <v>0</v>
      </c>
      <c r="X176" s="761" t="b">
        <f>IF(AND(H176&lt;&gt;"",H176&lt;&gt;0,H176&gt;AG176),TRUE,FALSE)</f>
        <v>0</v>
      </c>
      <c r="Y176" s="761" t="b">
        <f>IF($L176="",FALSE,IF($L176&lt;$AI176,TRUE,FALSE))</f>
        <v>0</v>
      </c>
      <c r="Z176" s="761" t="b">
        <f>IF($L176="",FALSE,IF($L176&gt;$AJ176,TRUE,FALSE))</f>
        <v>0</v>
      </c>
      <c r="AA176" s="761" t="b">
        <f>IF(AND(E176="No",$L176=""),TRUE,FALSE)</f>
        <v>0</v>
      </c>
      <c r="AB176" s="761" t="b">
        <f>IF($AC176=TRUE,FALSE,IF(OR($N176&lt;0,$N176&gt;1),TRUE,FALSE))</f>
        <v>0</v>
      </c>
      <c r="AC176" s="761" t="b">
        <f>IF(OR($H176=0, $H176=""), FALSE, IF(AND(H176&gt;0, L176&lt;&gt;"", N176&lt;&gt;""), IF(AND((N176*100)&lt;100,P176=""), TRUE,FALSE), TRUE))</f>
        <v>0</v>
      </c>
      <c r="AD176" s="762"/>
      <c r="AE176" s="783">
        <f t="shared" ref="AE176:AJ176" si="36">IF($C176="","",VLOOKUP($C176,val_fg_assets,AE$5,FALSE))</f>
        <v>1</v>
      </c>
      <c r="AF176" s="835">
        <f t="shared" si="36"/>
        <v>0</v>
      </c>
      <c r="AG176" s="835">
        <f t="shared" si="36"/>
        <v>3000000</v>
      </c>
      <c r="AH176" s="783">
        <f t="shared" si="36"/>
        <v>15</v>
      </c>
      <c r="AI176" s="783">
        <f t="shared" si="36"/>
        <v>11</v>
      </c>
      <c r="AJ176" s="783">
        <f t="shared" si="36"/>
        <v>19</v>
      </c>
      <c r="AK176" s="834"/>
    </row>
    <row r="177" spans="1:37" ht="6" customHeight="1" thickBot="1" x14ac:dyDescent="0.25">
      <c r="A177" s="1225"/>
      <c r="B177" s="1773">
        <v>167</v>
      </c>
      <c r="C177" s="1249"/>
      <c r="E177" s="1058"/>
      <c r="F177" s="764"/>
      <c r="G177" s="764"/>
      <c r="H177" s="1251"/>
      <c r="L177" s="1251"/>
      <c r="R177" s="1223"/>
      <c r="V177" s="848"/>
      <c r="W177" s="848"/>
      <c r="X177" s="848"/>
      <c r="Y177" s="848"/>
      <c r="Z177" s="848"/>
      <c r="AA177" s="848"/>
      <c r="AB177" s="848"/>
      <c r="AC177" s="848"/>
      <c r="AE177" s="848"/>
      <c r="AF177" s="848"/>
      <c r="AG177" s="848"/>
      <c r="AH177" s="848"/>
      <c r="AI177" s="848"/>
      <c r="AJ177" s="848"/>
    </row>
    <row r="178" spans="1:37" x14ac:dyDescent="0.2">
      <c r="A178" s="1712" t="s">
        <v>2621</v>
      </c>
      <c r="B178" s="1773">
        <v>168</v>
      </c>
      <c r="C178" s="1224"/>
      <c r="E178" s="1057"/>
      <c r="F178" s="1278" t="str">
        <f>IF(C168="","Linear Track Totals &gt;&gt;",VLOOKUP(C168,Codes!$C$156:$D$174,2)&amp;" Linear Track Totals &gt;&gt;")</f>
        <v>Linear Track Totals &gt;&gt;</v>
      </c>
      <c r="H178" s="1032">
        <f>SUM(H174:H176)</f>
        <v>0</v>
      </c>
      <c r="I178" s="843"/>
      <c r="L178" s="1031"/>
      <c r="M178" s="714"/>
      <c r="N178" s="838"/>
      <c r="O178" s="734"/>
      <c r="P178" s="838"/>
      <c r="Q178" s="734"/>
      <c r="R178" s="834"/>
      <c r="V178" s="848"/>
      <c r="W178" s="718"/>
      <c r="X178" s="718"/>
      <c r="Y178" s="718"/>
      <c r="Z178" s="718"/>
      <c r="AA178" s="848"/>
      <c r="AB178" s="718"/>
      <c r="AC178" s="848"/>
      <c r="AD178" s="716"/>
      <c r="AE178" s="718"/>
      <c r="AF178" s="718"/>
      <c r="AG178" s="718"/>
      <c r="AH178" s="718"/>
      <c r="AI178" s="718"/>
      <c r="AJ178" s="718"/>
      <c r="AK178" s="716"/>
    </row>
    <row r="179" spans="1:37" ht="6" customHeight="1" x14ac:dyDescent="0.2">
      <c r="A179" s="1225"/>
      <c r="B179" s="1773">
        <v>169</v>
      </c>
      <c r="C179" s="1249"/>
      <c r="E179" s="1057"/>
      <c r="F179" s="1379"/>
      <c r="H179" s="1028"/>
      <c r="I179" s="843"/>
      <c r="L179" s="1031"/>
      <c r="M179" s="714"/>
      <c r="N179" s="838"/>
      <c r="O179" s="734"/>
      <c r="P179" s="838"/>
      <c r="Q179" s="734"/>
      <c r="R179" s="1223"/>
      <c r="V179" s="848"/>
      <c r="W179" s="848"/>
      <c r="X179" s="848"/>
      <c r="Y179" s="848"/>
      <c r="Z179" s="848"/>
      <c r="AA179" s="848"/>
      <c r="AB179" s="848"/>
      <c r="AC179" s="848"/>
      <c r="AE179" s="848"/>
      <c r="AF179" s="848"/>
      <c r="AG179" s="848"/>
      <c r="AH179" s="848"/>
      <c r="AI179" s="848"/>
      <c r="AJ179" s="848"/>
    </row>
    <row r="180" spans="1:37" x14ac:dyDescent="0.2">
      <c r="A180" s="1712" t="s">
        <v>2621</v>
      </c>
      <c r="B180" s="1774">
        <v>170</v>
      </c>
      <c r="C180" s="205" t="str">
        <f>IF(C168="","Track Special Work (excluding linear assets)",VLOOKUP(C168,Codes!$C$156:$D$174,2)&amp;" Track Special Work (excluding linear assets)")</f>
        <v>Track Special Work (excluding linear assets)</v>
      </c>
      <c r="E180" s="1057"/>
      <c r="F180" s="1379"/>
      <c r="H180" s="1028"/>
      <c r="I180" s="843"/>
      <c r="L180" s="1031"/>
      <c r="M180" s="714"/>
      <c r="N180" s="838"/>
      <c r="O180" s="734"/>
      <c r="P180" s="838"/>
      <c r="Q180" s="734"/>
      <c r="R180" s="1223"/>
      <c r="V180" s="848"/>
      <c r="W180" s="848"/>
      <c r="X180" s="848"/>
      <c r="Y180" s="848"/>
      <c r="Z180" s="848"/>
      <c r="AA180" s="848"/>
      <c r="AB180" s="848"/>
      <c r="AC180" s="848"/>
      <c r="AE180" s="848"/>
      <c r="AF180" s="848"/>
      <c r="AG180" s="848"/>
      <c r="AH180" s="848"/>
      <c r="AI180" s="848"/>
      <c r="AJ180" s="848"/>
    </row>
    <row r="181" spans="1:37" ht="6" customHeight="1" x14ac:dyDescent="0.2">
      <c r="A181" s="1225"/>
      <c r="B181" s="1773">
        <v>171</v>
      </c>
      <c r="C181" s="1249"/>
      <c r="E181" s="1057"/>
      <c r="F181" s="1379"/>
      <c r="H181" s="1028"/>
      <c r="I181" s="843"/>
      <c r="L181" s="1031"/>
      <c r="M181" s="714"/>
      <c r="N181" s="838"/>
      <c r="O181" s="734"/>
      <c r="P181" s="838"/>
      <c r="Q181" s="734"/>
      <c r="R181" s="1223"/>
      <c r="V181" s="761"/>
      <c r="W181" s="848"/>
      <c r="X181" s="848"/>
      <c r="Y181" s="848"/>
      <c r="Z181" s="848"/>
      <c r="AA181" s="761"/>
      <c r="AB181" s="848"/>
      <c r="AC181" s="848"/>
      <c r="AE181" s="848"/>
      <c r="AF181" s="848"/>
      <c r="AG181" s="848"/>
      <c r="AH181" s="848"/>
      <c r="AI181" s="848"/>
      <c r="AJ181" s="848"/>
    </row>
    <row r="182" spans="1:37" x14ac:dyDescent="0.2">
      <c r="A182" s="852">
        <v>38</v>
      </c>
      <c r="B182" s="1773">
        <v>172</v>
      </c>
      <c r="C182" s="1249" t="str">
        <f>Valid!$B$82</f>
        <v>Double Diamond Crossover</v>
      </c>
      <c r="E182" s="1245" t="str">
        <f>IF(U182="N/A","",U182)</f>
        <v/>
      </c>
      <c r="F182" s="1249"/>
      <c r="H182" s="1247"/>
      <c r="I182" s="1246" t="str">
        <f>IF($C$168="","",IF(H182="","Qty? Enter Zero if N/A  ",""))</f>
        <v/>
      </c>
      <c r="J182" s="1249" t="str">
        <f>VLOOKUP(C182,Valid!$B$80:$C$86,2,FALSE)</f>
        <v>Each</v>
      </c>
      <c r="K182" s="1249"/>
      <c r="L182" s="1247"/>
      <c r="M182" s="1248" t="str">
        <f>IF($H182=0,"",IF($L182="",TEXT(AH182,0)&amp;" Years?    ",""))</f>
        <v/>
      </c>
      <c r="N182" s="1276"/>
      <c r="O182" s="1275" t="str">
        <f>IF($H182=0,"","% Cap Resp.    ")</f>
        <v/>
      </c>
      <c r="P182" s="1808"/>
      <c r="Q182" s="1275" t="str">
        <f>IF($H182=0,"","% Cap Resp.    ")</f>
        <v/>
      </c>
      <c r="R182" s="1392"/>
      <c r="U182" s="758" t="str">
        <f>IF(AND(R182="",N182="",L182="",H182="",L182=""),"N/A",IF(AND($H182=0,OR(L182&lt;&gt;"",N182&lt;&gt;"",R182&lt;&gt;"",L182&lt;&gt;"")),"No",IF(AND($H182&lt;&gt;0,OR($N182="",L182="")),"No","Yes")))</f>
        <v>N/A</v>
      </c>
      <c r="V182" s="761" t="b">
        <f>IF(AND(H182="",OR(L182&lt;&gt;"",N182&lt;&gt;"")),TRUE,FALSE)</f>
        <v>0</v>
      </c>
      <c r="W182" s="761" t="b">
        <f>IF(AND($C$44&lt;&gt;"",$H182=""),TRUE,FALSE)</f>
        <v>0</v>
      </c>
      <c r="X182" s="761" t="b">
        <f>IF(AND(H182&lt;&gt;"",H182&lt;&gt;0,H182&gt;AG182),TRUE,FALSE)</f>
        <v>0</v>
      </c>
      <c r="Y182" s="761" t="b">
        <f>IF($L182="",FALSE,IF($L182&lt;$AI182,TRUE,FALSE))</f>
        <v>0</v>
      </c>
      <c r="Z182" s="761" t="b">
        <f>IF($L182="",FALSE,IF($L182&gt;$AJ182,TRUE,FALSE))</f>
        <v>0</v>
      </c>
      <c r="AA182" s="761" t="b">
        <f>IF(AND(E182="No",$L182=""),TRUE,FALSE)</f>
        <v>0</v>
      </c>
      <c r="AB182" s="761" t="b">
        <f>IF($AC182=TRUE,FALSE,IF(OR($N182&lt;0,$N182&gt;1),TRUE,FALSE))</f>
        <v>0</v>
      </c>
      <c r="AC182" s="761" t="b">
        <f>IF(OR($H182=0, $H182=""), FALSE, IF(AND(H182&gt;0, L182&lt;&gt;"", N182&lt;&gt;""), IF(AND((N182*100)&lt;100,P182=""), TRUE,FALSE), TRUE))</f>
        <v>0</v>
      </c>
      <c r="AD182" s="762"/>
      <c r="AE182" s="783">
        <f t="shared" ref="AE182:AJ182" si="37">IF($C182="","",VLOOKUP($C182,val_fg_assets,AE$5,FALSE))</f>
        <v>1</v>
      </c>
      <c r="AF182" s="835">
        <f t="shared" si="37"/>
        <v>0</v>
      </c>
      <c r="AG182" s="835">
        <f t="shared" si="37"/>
        <v>500</v>
      </c>
      <c r="AH182" s="783">
        <f t="shared" si="37"/>
        <v>15</v>
      </c>
      <c r="AI182" s="783">
        <f t="shared" si="37"/>
        <v>11</v>
      </c>
      <c r="AJ182" s="783">
        <f t="shared" si="37"/>
        <v>19</v>
      </c>
    </row>
    <row r="183" spans="1:37" ht="6" customHeight="1" x14ac:dyDescent="0.2">
      <c r="A183" s="1225"/>
      <c r="B183" s="1773">
        <v>173</v>
      </c>
      <c r="C183" s="1249"/>
      <c r="E183" s="1249"/>
      <c r="F183" s="1249"/>
      <c r="H183" s="1249"/>
      <c r="I183" s="1249"/>
      <c r="J183" s="1249"/>
      <c r="K183" s="1249"/>
      <c r="L183" s="1249"/>
      <c r="M183" s="1249"/>
      <c r="N183" s="1249"/>
      <c r="O183" s="1249"/>
      <c r="P183" s="1249"/>
      <c r="Q183" s="1249"/>
      <c r="R183" s="1393"/>
      <c r="V183" s="848"/>
      <c r="W183" s="848"/>
      <c r="X183" s="848"/>
      <c r="Y183" s="848"/>
      <c r="Z183" s="848"/>
      <c r="AA183" s="848"/>
      <c r="AB183" s="848"/>
      <c r="AC183" s="848"/>
      <c r="AE183" s="848"/>
      <c r="AF183" s="848"/>
      <c r="AG183" s="848"/>
      <c r="AH183" s="848"/>
      <c r="AI183" s="848"/>
      <c r="AJ183" s="848"/>
    </row>
    <row r="184" spans="1:37" x14ac:dyDescent="0.2">
      <c r="A184" s="852">
        <v>39</v>
      </c>
      <c r="B184" s="1773">
        <v>174</v>
      </c>
      <c r="C184" s="1249" t="str">
        <f>Valid!$B$83</f>
        <v>Single Crossover</v>
      </c>
      <c r="E184" s="1245" t="str">
        <f>IF(U184="N/A","",U184)</f>
        <v/>
      </c>
      <c r="F184" s="1249"/>
      <c r="H184" s="1247"/>
      <c r="I184" s="1246" t="str">
        <f>IF($C$168="","",IF(H184="","Qty? Enter Zero if N/A  ",""))</f>
        <v/>
      </c>
      <c r="J184" s="1249" t="str">
        <f>VLOOKUP(C184,Valid!$B$80:$C$86,2,FALSE)</f>
        <v>Each</v>
      </c>
      <c r="K184" s="1249"/>
      <c r="L184" s="1247"/>
      <c r="M184" s="1248" t="str">
        <f>IF($H184=0,"",IF($L184="",TEXT(AH184,0)&amp;" Years?    ",""))</f>
        <v/>
      </c>
      <c r="N184" s="1276"/>
      <c r="O184" s="1275" t="str">
        <f>IF($H184=0,"","% Cap Resp.    ")</f>
        <v/>
      </c>
      <c r="P184" s="1808"/>
      <c r="Q184" s="1275" t="str">
        <f>IF($H184=0,"","% Cap Resp.    ")</f>
        <v/>
      </c>
      <c r="R184" s="1392"/>
      <c r="U184" s="758" t="str">
        <f>IF(AND(R184="",N184="",L184="",H184="",L184=""),"N/A",IF(AND($H184=0,OR(L184&lt;&gt;"",N184&lt;&gt;"",R184&lt;&gt;"",L184&lt;&gt;"")),"No",IF(AND($H184&lt;&gt;0,OR($N184="",L184="")),"No","Yes")))</f>
        <v>N/A</v>
      </c>
      <c r="V184" s="761" t="b">
        <f>IF(AND(H184="",OR(L184&lt;&gt;"",N184&lt;&gt;"")),TRUE,FALSE)</f>
        <v>0</v>
      </c>
      <c r="W184" s="761" t="b">
        <f>IF(AND($C$44&lt;&gt;"",$H184=""),TRUE,FALSE)</f>
        <v>0</v>
      </c>
      <c r="X184" s="761" t="b">
        <f>IF(AND(H184&lt;&gt;"",H184&lt;&gt;0,H184&gt;AG184),TRUE,FALSE)</f>
        <v>0</v>
      </c>
      <c r="Y184" s="761" t="b">
        <f>IF($L184="",FALSE,IF($L184&lt;$AI184,TRUE,FALSE))</f>
        <v>0</v>
      </c>
      <c r="Z184" s="761" t="b">
        <f>IF($L184="",FALSE,IF($L184&gt;$AJ184,TRUE,FALSE))</f>
        <v>0</v>
      </c>
      <c r="AA184" s="761" t="b">
        <f>IF(AND(E184="No",$L184=""),TRUE,FALSE)</f>
        <v>0</v>
      </c>
      <c r="AB184" s="761" t="b">
        <f>IF($AC184=TRUE,FALSE,IF(OR($N184&lt;0,$N184&gt;1),TRUE,FALSE))</f>
        <v>0</v>
      </c>
      <c r="AC184" s="761" t="b">
        <f>IF(OR($H184=0, $H184=""), FALSE, IF(AND(H184&gt;0, L184&lt;&gt;"", N184&lt;&gt;""), IF(AND((N184*100)&lt;100,P184=""), TRUE,FALSE), TRUE))</f>
        <v>0</v>
      </c>
      <c r="AD184" s="762"/>
      <c r="AE184" s="783">
        <f t="shared" ref="AE184:AJ184" si="38">IF($C184="","",VLOOKUP($C184,val_fg_assets,AE$5,FALSE))</f>
        <v>1</v>
      </c>
      <c r="AF184" s="835">
        <f t="shared" si="38"/>
        <v>0</v>
      </c>
      <c r="AG184" s="835">
        <f t="shared" si="38"/>
        <v>500</v>
      </c>
      <c r="AH184" s="783">
        <f t="shared" si="38"/>
        <v>15</v>
      </c>
      <c r="AI184" s="783">
        <f t="shared" si="38"/>
        <v>11</v>
      </c>
      <c r="AJ184" s="783">
        <f t="shared" si="38"/>
        <v>19</v>
      </c>
    </row>
    <row r="185" spans="1:37" ht="6" customHeight="1" x14ac:dyDescent="0.2">
      <c r="A185" s="1225"/>
      <c r="B185" s="1773">
        <v>175</v>
      </c>
      <c r="C185" s="1249"/>
      <c r="E185" s="1249"/>
      <c r="F185" s="1249"/>
      <c r="H185" s="1249"/>
      <c r="I185" s="1249"/>
      <c r="J185" s="1249"/>
      <c r="K185" s="1249"/>
      <c r="L185" s="1249"/>
      <c r="M185" s="1249"/>
      <c r="N185" s="1249"/>
      <c r="O185" s="1249"/>
      <c r="P185" s="1249"/>
      <c r="Q185" s="1249"/>
      <c r="R185" s="1393"/>
      <c r="V185" s="848"/>
      <c r="W185" s="848"/>
      <c r="X185" s="848"/>
      <c r="Y185" s="848"/>
      <c r="Z185" s="848"/>
      <c r="AA185" s="848"/>
      <c r="AB185" s="848"/>
      <c r="AC185" s="848"/>
      <c r="AE185" s="848"/>
      <c r="AF185" s="848"/>
      <c r="AG185" s="848"/>
      <c r="AH185" s="848"/>
      <c r="AI185" s="848"/>
      <c r="AJ185" s="848"/>
    </row>
    <row r="186" spans="1:37" x14ac:dyDescent="0.2">
      <c r="A186" s="852">
        <v>40</v>
      </c>
      <c r="B186" s="1773">
        <v>176</v>
      </c>
      <c r="C186" s="1249" t="str">
        <f>Valid!$B$84</f>
        <v>Half Grand Union</v>
      </c>
      <c r="E186" s="1245" t="str">
        <f>IF(U186="N/A","",U186)</f>
        <v/>
      </c>
      <c r="F186" s="1249"/>
      <c r="H186" s="1247"/>
      <c r="I186" s="1246" t="str">
        <f>IF($C$168="","",IF(H186="","Qty? Enter Zero if N/A  ",""))</f>
        <v/>
      </c>
      <c r="J186" s="1249" t="str">
        <f>VLOOKUP(C186,Valid!$B$80:$C$86,2,FALSE)</f>
        <v>Each</v>
      </c>
      <c r="K186" s="1249"/>
      <c r="L186" s="1247"/>
      <c r="M186" s="1248" t="str">
        <f>IF($H186=0,"",IF($L186="",TEXT(AH186,0)&amp;" Years?    ",""))</f>
        <v/>
      </c>
      <c r="N186" s="1276"/>
      <c r="O186" s="1275" t="str">
        <f>IF($H186=0,"","% Cap Resp.    ")</f>
        <v/>
      </c>
      <c r="P186" s="1808"/>
      <c r="Q186" s="1275" t="str">
        <f>IF($H186=0,"","% Cap Resp.    ")</f>
        <v/>
      </c>
      <c r="R186" s="1392"/>
      <c r="U186" s="758" t="str">
        <f>IF(AND(R186="",N186="",L186="",H186="",L186=""),"N/A",IF(AND($H186=0,OR(L186&lt;&gt;"",N186&lt;&gt;"",R186&lt;&gt;"",L186&lt;&gt;"")),"No",IF(AND($H186&lt;&gt;0,OR($N186="",L186="")),"No","Yes")))</f>
        <v>N/A</v>
      </c>
      <c r="V186" s="761" t="b">
        <f>IF(AND(H186="",OR(L186&lt;&gt;"",N186&lt;&gt;"")),TRUE,FALSE)</f>
        <v>0</v>
      </c>
      <c r="W186" s="761" t="b">
        <f>IF(AND($C$44&lt;&gt;"",$H186=""),TRUE,FALSE)</f>
        <v>0</v>
      </c>
      <c r="X186" s="761" t="b">
        <f>IF(AND(H186&lt;&gt;"",H186&lt;&gt;0,H186&gt;AG186),TRUE,FALSE)</f>
        <v>0</v>
      </c>
      <c r="Y186" s="761" t="b">
        <f>IF($L186="",FALSE,IF($L186&lt;$AI186,TRUE,FALSE))</f>
        <v>0</v>
      </c>
      <c r="Z186" s="761" t="b">
        <f>IF($L186="",FALSE,IF($L186&gt;$AJ186,TRUE,FALSE))</f>
        <v>0</v>
      </c>
      <c r="AA186" s="761" t="b">
        <f>IF(AND(E186="No",$L186=""),TRUE,FALSE)</f>
        <v>0</v>
      </c>
      <c r="AB186" s="761" t="b">
        <f>IF($AC186=TRUE,FALSE,IF(OR($N186&lt;0,$N186&gt;1),TRUE,FALSE))</f>
        <v>0</v>
      </c>
      <c r="AC186" s="761" t="b">
        <f>IF(OR($H186=0, $H186=""), FALSE, IF(AND(H186&gt;0, L186&lt;&gt;"", N186&lt;&gt;""), IF(AND((N186*100)&lt;100,P186=""), TRUE,FALSE), TRUE))</f>
        <v>0</v>
      </c>
      <c r="AD186" s="762"/>
      <c r="AE186" s="783">
        <f t="shared" ref="AE186:AJ186" si="39">IF($C186="","",VLOOKUP($C186,val_fg_assets,AE$5,FALSE))</f>
        <v>1</v>
      </c>
      <c r="AF186" s="835">
        <f t="shared" si="39"/>
        <v>0</v>
      </c>
      <c r="AG186" s="835">
        <f t="shared" si="39"/>
        <v>500</v>
      </c>
      <c r="AH186" s="783">
        <f t="shared" si="39"/>
        <v>15</v>
      </c>
      <c r="AI186" s="783">
        <f t="shared" si="39"/>
        <v>11</v>
      </c>
      <c r="AJ186" s="783">
        <f t="shared" si="39"/>
        <v>19</v>
      </c>
    </row>
    <row r="187" spans="1:37" ht="6" customHeight="1" x14ac:dyDescent="0.2">
      <c r="A187" s="1225"/>
      <c r="B187" s="1773">
        <v>177</v>
      </c>
      <c r="C187" s="1249"/>
      <c r="E187" s="1249"/>
      <c r="F187" s="1249"/>
      <c r="H187" s="1249"/>
      <c r="I187" s="1249"/>
      <c r="J187" s="1249"/>
      <c r="K187" s="1249"/>
      <c r="L187" s="1249"/>
      <c r="M187" s="1249"/>
      <c r="N187" s="1249"/>
      <c r="O187" s="1249"/>
      <c r="P187" s="1249"/>
      <c r="Q187" s="1249"/>
      <c r="R187" s="1393"/>
      <c r="V187" s="848"/>
      <c r="W187" s="848"/>
      <c r="X187" s="848"/>
      <c r="Y187" s="848"/>
      <c r="Z187" s="848"/>
      <c r="AA187" s="848"/>
      <c r="AB187" s="848"/>
      <c r="AC187" s="848"/>
      <c r="AE187" s="848"/>
      <c r="AF187" s="848"/>
      <c r="AG187" s="848"/>
      <c r="AH187" s="848"/>
      <c r="AI187" s="848"/>
      <c r="AJ187" s="848"/>
    </row>
    <row r="188" spans="1:37" x14ac:dyDescent="0.2">
      <c r="A188" s="852">
        <v>41</v>
      </c>
      <c r="B188" s="1774">
        <v>178</v>
      </c>
      <c r="C188" s="1249" t="str">
        <f>Valid!$B$85</f>
        <v>Single Turnout</v>
      </c>
      <c r="E188" s="1245" t="str">
        <f>IF(U188="N/A","",U188)</f>
        <v/>
      </c>
      <c r="F188" s="1249"/>
      <c r="H188" s="1247"/>
      <c r="I188" s="1246" t="str">
        <f>IF($C$168="","",IF(H188="","Qty? Enter Zero if N/A  ",""))</f>
        <v/>
      </c>
      <c r="J188" s="1249" t="str">
        <f>VLOOKUP(C188,Valid!$B$80:$C$86,2,FALSE)</f>
        <v>Each</v>
      </c>
      <c r="K188" s="1249"/>
      <c r="L188" s="1247"/>
      <c r="M188" s="1248" t="str">
        <f>IF($H188=0,"",IF($L188="",TEXT(AH188,0)&amp;" Years?    ",""))</f>
        <v/>
      </c>
      <c r="N188" s="1276"/>
      <c r="O188" s="1275" t="str">
        <f>IF($H188=0,"","% Cap Resp.    ")</f>
        <v/>
      </c>
      <c r="P188" s="1808"/>
      <c r="Q188" s="1275" t="str">
        <f>IF($H188=0,"","% Cap Resp.    ")</f>
        <v/>
      </c>
      <c r="R188" s="1392"/>
      <c r="U188" s="758" t="str">
        <f>IF(AND(R188="",N188="",L188="",H188="",L188=""),"N/A",IF(AND($H188=0,OR(L188&lt;&gt;"",N188&lt;&gt;"",R188&lt;&gt;"",L188&lt;&gt;"")),"No",IF(AND($H188&lt;&gt;0,OR($N188="",L188="")),"No","Yes")))</f>
        <v>N/A</v>
      </c>
      <c r="V188" s="761" t="b">
        <f>IF(AND(H188="",OR(L188&lt;&gt;"",N188&lt;&gt;"")),TRUE,FALSE)</f>
        <v>0</v>
      </c>
      <c r="W188" s="761" t="b">
        <f>IF(AND($C$44&lt;&gt;"",$H188=""),TRUE,FALSE)</f>
        <v>0</v>
      </c>
      <c r="X188" s="761" t="b">
        <f>IF(AND(H188&lt;&gt;"",H188&lt;&gt;0,H188&gt;AG188),TRUE,FALSE)</f>
        <v>0</v>
      </c>
      <c r="Y188" s="761" t="b">
        <f>IF($L188="",FALSE,IF($L188&lt;$AI188,TRUE,FALSE))</f>
        <v>0</v>
      </c>
      <c r="Z188" s="761" t="b">
        <f>IF($L188="",FALSE,IF($L188&gt;$AJ188,TRUE,FALSE))</f>
        <v>0</v>
      </c>
      <c r="AA188" s="761" t="b">
        <f>IF(AND(E188="No",$L188=""),TRUE,FALSE)</f>
        <v>0</v>
      </c>
      <c r="AB188" s="761" t="b">
        <f>IF($AC188=TRUE,FALSE,IF(OR($N188&lt;0,$N188&gt;1),TRUE,FALSE))</f>
        <v>0</v>
      </c>
      <c r="AC188" s="761" t="b">
        <f>IF(OR($H188=0, $H188=""), FALSE, IF(AND(H188&gt;0, L188&lt;&gt;"", N188&lt;&gt;""), IF(AND((N188*100)&lt;100,P188=""), TRUE,FALSE), TRUE))</f>
        <v>0</v>
      </c>
      <c r="AD188" s="762"/>
      <c r="AE188" s="783">
        <f t="shared" ref="AE188:AJ188" si="40">IF($C188="","",VLOOKUP($C188,val_fg_assets,AE$5,FALSE))</f>
        <v>1</v>
      </c>
      <c r="AF188" s="835">
        <f t="shared" si="40"/>
        <v>0</v>
      </c>
      <c r="AG188" s="835">
        <f t="shared" si="40"/>
        <v>500</v>
      </c>
      <c r="AH188" s="783">
        <f t="shared" si="40"/>
        <v>15</v>
      </c>
      <c r="AI188" s="783">
        <f t="shared" si="40"/>
        <v>11</v>
      </c>
      <c r="AJ188" s="783">
        <f t="shared" si="40"/>
        <v>19</v>
      </c>
    </row>
    <row r="189" spans="1:37" ht="6" customHeight="1" x14ac:dyDescent="0.2">
      <c r="A189" s="1225"/>
      <c r="B189" s="1773">
        <v>179</v>
      </c>
      <c r="C189" s="1249"/>
      <c r="E189" s="1249"/>
      <c r="F189" s="1249"/>
      <c r="H189" s="1249"/>
      <c r="I189" s="1249"/>
      <c r="J189" s="1249"/>
      <c r="K189" s="1249"/>
      <c r="L189" s="1249"/>
      <c r="M189" s="1249"/>
      <c r="N189" s="1249"/>
      <c r="O189" s="1249"/>
      <c r="P189" s="1249"/>
      <c r="Q189" s="1249"/>
      <c r="R189" s="1393"/>
      <c r="V189" s="848"/>
      <c r="W189" s="848"/>
      <c r="X189" s="848"/>
      <c r="Y189" s="848"/>
      <c r="Z189" s="848"/>
      <c r="AA189" s="848"/>
      <c r="AB189" s="848"/>
      <c r="AC189" s="848"/>
      <c r="AE189" s="848"/>
      <c r="AF189" s="848"/>
      <c r="AG189" s="848"/>
      <c r="AH189" s="848"/>
      <c r="AI189" s="848"/>
      <c r="AJ189" s="848"/>
    </row>
    <row r="190" spans="1:37" x14ac:dyDescent="0.2">
      <c r="A190" s="852">
        <v>42</v>
      </c>
      <c r="B190" s="1773">
        <v>180</v>
      </c>
      <c r="C190" s="1249" t="str">
        <f>Valid!$B$86</f>
        <v>Grade Crossings</v>
      </c>
      <c r="E190" s="1245" t="str">
        <f>IF(U190="N/A","",U190)</f>
        <v/>
      </c>
      <c r="F190" s="1249"/>
      <c r="H190" s="1247"/>
      <c r="I190" s="1246" t="str">
        <f>IF($C$168="","",IF(H190="","Qty? Enter Zero if N/A  ",""))</f>
        <v/>
      </c>
      <c r="J190" s="1249" t="str">
        <f>VLOOKUP(C190,Valid!$B$80:$C$86,2,FALSE)</f>
        <v>Each</v>
      </c>
      <c r="K190" s="1249"/>
      <c r="L190" s="1247"/>
      <c r="M190" s="1248" t="str">
        <f>IF($H190=0,"",IF($L190="",TEXT(AH190,0)&amp;" Years?    ",""))</f>
        <v/>
      </c>
      <c r="N190" s="1276"/>
      <c r="O190" s="1275" t="str">
        <f>IF($H190=0,"","% Cap Resp.    ")</f>
        <v/>
      </c>
      <c r="P190" s="1808"/>
      <c r="Q190" s="1275" t="str">
        <f>IF($H190=0,"","% Cap Resp.    ")</f>
        <v/>
      </c>
      <c r="R190" s="1392"/>
      <c r="U190" s="758" t="str">
        <f>IF(AND(R190="",N190="",L190="",H190="",L190=""),"N/A",IF(AND($H190=0,OR(L190&lt;&gt;"",N190&lt;&gt;"",R190&lt;&gt;"",L190&lt;&gt;"")),"No",IF(AND($H190&lt;&gt;0,OR($N190="",L190="")),"No","Yes")))</f>
        <v>N/A</v>
      </c>
      <c r="V190" s="761" t="b">
        <f>IF(AND(H190="",OR(L190&lt;&gt;"",N190&lt;&gt;"")),TRUE,FALSE)</f>
        <v>0</v>
      </c>
      <c r="W190" s="761" t="b">
        <f>IF(AND($C$44&lt;&gt;"",$H190=""),TRUE,FALSE)</f>
        <v>0</v>
      </c>
      <c r="X190" s="761" t="b">
        <f>IF(AND(H190&lt;&gt;"",H190&lt;&gt;0,H190&gt;AG190),TRUE,FALSE)</f>
        <v>0</v>
      </c>
      <c r="Y190" s="761" t="b">
        <f>IF($L190="",FALSE,IF($L190&lt;$AI190,TRUE,FALSE))</f>
        <v>0</v>
      </c>
      <c r="Z190" s="761" t="b">
        <f>IF($L190="",FALSE,IF($L190&gt;$AJ190,TRUE,FALSE))</f>
        <v>0</v>
      </c>
      <c r="AA190" s="761" t="b">
        <f>IF(AND(E190="No",$L190=""),TRUE,FALSE)</f>
        <v>0</v>
      </c>
      <c r="AB190" s="761" t="b">
        <f>IF($AC190=TRUE,FALSE,IF(OR($N190&lt;0,$N190&gt;1),TRUE,FALSE))</f>
        <v>0</v>
      </c>
      <c r="AC190" s="761" t="b">
        <f>IF(OR($H190=0, $H190=""), FALSE, IF(AND(H190&gt;0, L190&lt;&gt;"", N190&lt;&gt;""), IF(AND((N190*100)&lt;100,P190=""), TRUE,FALSE), TRUE))</f>
        <v>0</v>
      </c>
      <c r="AD190" s="762"/>
      <c r="AE190" s="783">
        <f t="shared" ref="AE190:AJ190" si="41">IF($C190="","",VLOOKUP($C190,val_fg_assets,AE$5,FALSE))</f>
        <v>1</v>
      </c>
      <c r="AF190" s="835">
        <f t="shared" si="41"/>
        <v>0</v>
      </c>
      <c r="AG190" s="835">
        <f t="shared" si="41"/>
        <v>500</v>
      </c>
      <c r="AH190" s="783">
        <f t="shared" si="41"/>
        <v>15</v>
      </c>
      <c r="AI190" s="783">
        <f t="shared" si="41"/>
        <v>11</v>
      </c>
      <c r="AJ190" s="783">
        <f t="shared" si="41"/>
        <v>19</v>
      </c>
    </row>
    <row r="191" spans="1:37" ht="6" customHeight="1" thickBot="1" x14ac:dyDescent="0.25">
      <c r="A191" s="1225"/>
      <c r="B191" s="1773">
        <v>181</v>
      </c>
      <c r="C191" s="1249"/>
      <c r="E191" s="1249"/>
      <c r="F191" s="1249"/>
      <c r="H191" s="1249"/>
      <c r="I191" s="1249"/>
      <c r="J191" s="1249"/>
      <c r="K191" s="1249"/>
      <c r="L191" s="1249"/>
      <c r="M191" s="1249"/>
      <c r="N191" s="1249"/>
      <c r="O191" s="1249"/>
      <c r="P191" s="1249"/>
      <c r="Q191" s="1249"/>
      <c r="R191" s="1393"/>
      <c r="V191" s="848"/>
      <c r="W191" s="848"/>
      <c r="X191" s="848"/>
      <c r="Y191" s="848"/>
      <c r="Z191" s="848"/>
      <c r="AA191" s="848"/>
      <c r="AB191" s="848"/>
      <c r="AC191" s="848"/>
      <c r="AE191" s="848"/>
      <c r="AF191" s="848"/>
      <c r="AG191" s="848"/>
      <c r="AH191" s="848"/>
      <c r="AI191" s="848"/>
      <c r="AJ191" s="848"/>
    </row>
    <row r="192" spans="1:37" x14ac:dyDescent="0.2">
      <c r="A192" s="1712" t="s">
        <v>2621</v>
      </c>
      <c r="B192" s="1773">
        <v>182</v>
      </c>
      <c r="C192" s="1249"/>
      <c r="E192" s="1249"/>
      <c r="F192" s="1278" t="str">
        <f>IF(C168="","Track Special Work Totals (excluding linear assets)&gt;&gt;",VLOOKUP(C168,Codes!$C$156:$D$174,2)&amp;" Track Special Work Totals (excluding linear assets)&gt;&gt;")</f>
        <v>Track Special Work Totals (excluding linear assets)&gt;&gt;</v>
      </c>
      <c r="H192" s="1032">
        <f>SUM(H182:H190)</f>
        <v>0</v>
      </c>
      <c r="I192" s="1249"/>
      <c r="J192" s="1249"/>
      <c r="K192" s="1249"/>
      <c r="L192" s="1249"/>
      <c r="M192" s="1249"/>
      <c r="N192" s="1249"/>
      <c r="O192" s="1249"/>
      <c r="P192" s="1249"/>
      <c r="Q192" s="1249"/>
      <c r="R192" s="1393"/>
      <c r="V192" s="848"/>
      <c r="W192" s="848"/>
      <c r="X192" s="848"/>
      <c r="Y192" s="848"/>
      <c r="Z192" s="848"/>
      <c r="AA192" s="848"/>
      <c r="AB192" s="848"/>
      <c r="AC192" s="848"/>
      <c r="AE192" s="848"/>
      <c r="AF192" s="848"/>
      <c r="AG192" s="848"/>
      <c r="AH192" s="848"/>
      <c r="AI192" s="848"/>
      <c r="AJ192" s="848"/>
    </row>
    <row r="193" spans="1:37" ht="6" customHeight="1" x14ac:dyDescent="0.2">
      <c r="B193" s="1773">
        <v>183</v>
      </c>
      <c r="C193" s="1268"/>
      <c r="E193" s="1057"/>
      <c r="H193" s="1250"/>
      <c r="L193" s="1251"/>
      <c r="R193" s="1394"/>
      <c r="V193" s="848"/>
      <c r="W193" s="848"/>
      <c r="X193" s="848"/>
      <c r="Y193" s="759"/>
      <c r="Z193" s="759"/>
      <c r="AA193" s="848"/>
      <c r="AB193" s="848"/>
      <c r="AC193" s="848"/>
      <c r="AE193" s="848"/>
      <c r="AF193" s="848"/>
      <c r="AG193" s="848"/>
      <c r="AH193" s="848"/>
      <c r="AI193" s="848"/>
      <c r="AJ193" s="848"/>
    </row>
    <row r="194" spans="1:37" ht="6" customHeight="1" x14ac:dyDescent="0.2">
      <c r="B194" s="1773">
        <v>184</v>
      </c>
      <c r="E194" s="1057"/>
      <c r="H194" s="1250"/>
      <c r="L194" s="1251"/>
      <c r="R194" s="1223"/>
      <c r="V194" s="848"/>
      <c r="W194" s="848"/>
      <c r="X194" s="848"/>
      <c r="Y194" s="848"/>
      <c r="Z194" s="848"/>
      <c r="AA194" s="848"/>
      <c r="AB194" s="848"/>
      <c r="AC194" s="848"/>
      <c r="AE194" s="848"/>
      <c r="AF194" s="848"/>
      <c r="AG194" s="848"/>
      <c r="AH194" s="848"/>
      <c r="AI194" s="848"/>
      <c r="AJ194" s="848"/>
    </row>
    <row r="195" spans="1:37" ht="6" customHeight="1" x14ac:dyDescent="0.2">
      <c r="A195" s="1815"/>
      <c r="B195" s="1819">
        <v>30</v>
      </c>
      <c r="C195" s="1816"/>
      <c r="D195" s="1847"/>
      <c r="E195" s="1817"/>
      <c r="F195" s="1817"/>
      <c r="G195" s="1817"/>
      <c r="H195" s="1817"/>
      <c r="I195" s="1817"/>
      <c r="J195" s="1817"/>
      <c r="K195" s="1817"/>
      <c r="L195" s="1817"/>
      <c r="M195" s="1817"/>
      <c r="N195" s="1817"/>
      <c r="O195" s="1817"/>
      <c r="P195" s="1817"/>
      <c r="Q195" s="1817"/>
      <c r="R195" s="1818"/>
      <c r="S195" s="1815"/>
      <c r="T195" s="1815"/>
      <c r="U195" s="1815"/>
      <c r="V195" s="1814"/>
      <c r="W195" s="1814"/>
      <c r="X195" s="1814"/>
      <c r="Y195" s="1814"/>
      <c r="Z195" s="1814"/>
      <c r="AA195" s="1814"/>
      <c r="AB195" s="1814"/>
      <c r="AC195" s="1814"/>
      <c r="AD195" s="1815"/>
      <c r="AE195" s="1814"/>
      <c r="AF195" s="1814"/>
      <c r="AG195" s="1814"/>
      <c r="AH195" s="1814"/>
      <c r="AI195" s="1814"/>
      <c r="AJ195" s="1814"/>
    </row>
    <row r="196" spans="1:37" ht="6" customHeight="1" x14ac:dyDescent="0.2">
      <c r="B196" s="1774">
        <v>186</v>
      </c>
      <c r="E196" s="1057"/>
      <c r="H196" s="1250"/>
      <c r="L196" s="1270"/>
      <c r="V196" s="848"/>
      <c r="W196" s="848"/>
      <c r="X196" s="848"/>
      <c r="Y196" s="848"/>
      <c r="Z196" s="848"/>
      <c r="AA196" s="848"/>
      <c r="AB196" s="848"/>
      <c r="AC196" s="848"/>
      <c r="AE196" s="848"/>
      <c r="AF196" s="848"/>
      <c r="AG196" s="848"/>
      <c r="AH196" s="848"/>
      <c r="AI196" s="848"/>
      <c r="AJ196" s="848"/>
    </row>
    <row r="197" spans="1:37" ht="6" customHeight="1" x14ac:dyDescent="0.2">
      <c r="B197" s="1773">
        <v>187</v>
      </c>
      <c r="E197" s="1057"/>
      <c r="H197" s="1250"/>
      <c r="L197" s="1251"/>
      <c r="V197" s="848"/>
      <c r="W197" s="848"/>
      <c r="X197" s="848"/>
      <c r="Y197" s="848"/>
      <c r="Z197" s="848"/>
      <c r="AA197" s="848"/>
      <c r="AB197" s="848"/>
      <c r="AC197" s="848"/>
      <c r="AE197" s="848"/>
      <c r="AF197" s="848"/>
      <c r="AG197" s="848"/>
      <c r="AH197" s="848"/>
      <c r="AI197" s="848"/>
      <c r="AJ197" s="848"/>
    </row>
    <row r="198" spans="1:37" s="760" customFormat="1" ht="6" customHeight="1" x14ac:dyDescent="0.2">
      <c r="A198" s="721"/>
      <c r="B198" s="1773">
        <v>188</v>
      </c>
      <c r="C198" s="1271"/>
      <c r="D198" s="1845"/>
      <c r="E198" s="721"/>
      <c r="F198" s="736"/>
      <c r="G198" s="736"/>
      <c r="H198" s="1272"/>
      <c r="I198" s="822"/>
      <c r="J198" s="817"/>
      <c r="K198" s="822"/>
      <c r="L198" s="1273"/>
      <c r="M198" s="758"/>
      <c r="N198" s="822"/>
      <c r="O198" s="823"/>
      <c r="P198" s="822"/>
      <c r="Q198" s="823"/>
      <c r="R198" s="1391"/>
      <c r="S198" s="1219"/>
      <c r="U198" s="1219"/>
      <c r="V198" s="759"/>
      <c r="W198" s="759"/>
      <c r="X198" s="759"/>
      <c r="Y198" s="759"/>
      <c r="Z198" s="759"/>
      <c r="AA198" s="759"/>
      <c r="AB198" s="759"/>
      <c r="AC198" s="759"/>
      <c r="AE198" s="1274"/>
      <c r="AF198" s="1274"/>
      <c r="AG198" s="1274"/>
      <c r="AH198" s="1274"/>
      <c r="AI198" s="1274"/>
      <c r="AJ198" s="1274"/>
      <c r="AK198" s="1219"/>
    </row>
    <row r="199" spans="1:37" s="760" customFormat="1" x14ac:dyDescent="0.2">
      <c r="A199" s="1712" t="s">
        <v>2621</v>
      </c>
      <c r="B199" s="1773">
        <v>189</v>
      </c>
      <c r="C199" s="1416"/>
      <c r="D199" s="1248" t="str">
        <f>IF(AND(C168&lt;&gt;"",$C199=""),"Select Mode from Pull-Down List                                                                       ","")</f>
        <v/>
      </c>
      <c r="E199" s="1277" t="str">
        <f>IF(AND(C199="",OR(H205&lt;&gt;"",H207&lt;&gt;"",L205&lt;&gt;"",N205&lt;&gt;"",L207&lt;&gt;"",N207&lt;&gt;"",R205&lt;&gt;"",R207&lt;&gt;"",C201&lt;&gt;"",H223&lt;&gt;0,L213&lt;&gt;"",L215&lt;&gt;"",L217&lt;&gt;"",L219&lt;&gt;"",L221&lt;&gt;"",N213&lt;&gt;"",N215&lt;&gt;"",N217&lt;&gt;"",N219&lt;&gt;"",N221&lt;&gt;"",R213&lt;&gt;"",R215&lt;&gt;"",R217&lt;&gt;"",R219&lt;&gt;"",R221&lt;&gt;"")),"&lt;&lt; Insert Rail Mode",IF(AND(C199&lt;&gt;"",C168=""),"&lt;&lt;Complete Previous Section First",""))</f>
        <v/>
      </c>
      <c r="F199" s="736"/>
      <c r="G199" s="736"/>
      <c r="H199" s="1253"/>
      <c r="I199" s="1254"/>
      <c r="J199" s="1255"/>
      <c r="K199" s="1256"/>
      <c r="L199" s="1257"/>
      <c r="M199" s="1254"/>
      <c r="N199" s="1254"/>
      <c r="O199" s="1254"/>
      <c r="P199" s="1254"/>
      <c r="Q199" s="1254"/>
      <c r="R199" s="1223"/>
      <c r="S199" s="1221"/>
      <c r="T199" s="758"/>
      <c r="U199" s="758" t="b">
        <f>IF(OR(E199&lt;&gt;"",E230="&lt;&lt;Complete Previous Section First"),TRUE,FALSE)</f>
        <v>0</v>
      </c>
      <c r="V199" s="763"/>
      <c r="W199" s="763"/>
      <c r="X199" s="763"/>
      <c r="Y199" s="763"/>
      <c r="Z199" s="763"/>
      <c r="AA199" s="763"/>
      <c r="AB199" s="763"/>
      <c r="AC199" s="763"/>
      <c r="AE199" s="783"/>
      <c r="AF199" s="783"/>
      <c r="AG199" s="783"/>
      <c r="AH199" s="783"/>
      <c r="AI199" s="783"/>
      <c r="AJ199" s="783"/>
      <c r="AK199" s="1220"/>
    </row>
    <row r="200" spans="1:37" s="760" customFormat="1" ht="6" customHeight="1" x14ac:dyDescent="0.2">
      <c r="A200" s="721"/>
      <c r="B200" s="1773">
        <v>190</v>
      </c>
      <c r="C200" s="1434"/>
      <c r="D200" s="1248"/>
      <c r="E200" s="1277"/>
      <c r="F200" s="736"/>
      <c r="G200" s="736"/>
      <c r="H200" s="1253"/>
      <c r="I200" s="1254"/>
      <c r="J200" s="1255"/>
      <c r="K200" s="1256"/>
      <c r="L200" s="1257"/>
      <c r="M200" s="1254"/>
      <c r="N200" s="1254"/>
      <c r="O200" s="1254"/>
      <c r="P200" s="1254"/>
      <c r="Q200" s="1254"/>
      <c r="R200" s="1223"/>
      <c r="S200" s="1221"/>
      <c r="T200" s="758"/>
      <c r="U200" s="758"/>
      <c r="V200" s="763"/>
      <c r="W200" s="763"/>
      <c r="X200" s="763"/>
      <c r="Y200" s="763"/>
      <c r="Z200" s="763"/>
      <c r="AA200" s="763"/>
      <c r="AB200" s="763"/>
      <c r="AC200" s="763"/>
      <c r="AE200" s="783"/>
      <c r="AF200" s="783"/>
      <c r="AG200" s="783"/>
      <c r="AH200" s="783"/>
      <c r="AI200" s="783"/>
      <c r="AJ200" s="783"/>
      <c r="AK200" s="1220"/>
    </row>
    <row r="201" spans="1:37" s="760" customFormat="1" x14ac:dyDescent="0.2">
      <c r="A201" s="1712" t="s">
        <v>2621</v>
      </c>
      <c r="B201" s="1773">
        <v>191</v>
      </c>
      <c r="C201" s="1417"/>
      <c r="D201" s="1248" t="str">
        <f>IF(AND(C199&lt;&gt;"",C201=""),"Agency-Specific "&amp;VLOOKUP(C199,Codes!$C$156:$D$174,2,FALSE)&amp;" Curvature Threshold (ft. radius or degrees)  ","")</f>
        <v/>
      </c>
      <c r="E201" s="1277"/>
      <c r="F201" s="736"/>
      <c r="G201" s="851"/>
      <c r="H201" s="1253"/>
      <c r="I201" s="1254"/>
      <c r="J201" s="1255"/>
      <c r="K201" s="1256"/>
      <c r="L201" s="1257"/>
      <c r="M201" s="1254"/>
      <c r="N201" s="1254"/>
      <c r="O201" s="1254"/>
      <c r="P201" s="1254"/>
      <c r="Q201" s="1254"/>
      <c r="R201" s="1223"/>
      <c r="S201" s="1221"/>
      <c r="T201" s="758"/>
      <c r="U201" s="758" t="b">
        <f>IF(AND(C199&lt;&gt;"",C201=""),TRUE,FALSE)</f>
        <v>0</v>
      </c>
      <c r="V201" s="763"/>
      <c r="W201" s="763"/>
      <c r="X201" s="763"/>
      <c r="Y201" s="763"/>
      <c r="Z201" s="763"/>
      <c r="AA201" s="763"/>
      <c r="AB201" s="763"/>
      <c r="AC201" s="763"/>
      <c r="AE201" s="783"/>
      <c r="AF201" s="783"/>
      <c r="AG201" s="783"/>
      <c r="AH201" s="783"/>
      <c r="AI201" s="783"/>
      <c r="AJ201" s="783"/>
      <c r="AK201" s="1220"/>
    </row>
    <row r="202" spans="1:37" s="760" customFormat="1" ht="6" customHeight="1" x14ac:dyDescent="0.2">
      <c r="A202" s="721"/>
      <c r="B202" s="1773">
        <v>192</v>
      </c>
      <c r="C202" s="828"/>
      <c r="D202" s="1845"/>
      <c r="E202" s="721"/>
      <c r="F202" s="281"/>
      <c r="G202" s="281"/>
      <c r="H202" s="1029"/>
      <c r="I202" s="829"/>
      <c r="J202" s="830"/>
      <c r="K202" s="829"/>
      <c r="L202" s="1031"/>
      <c r="M202" s="758"/>
      <c r="N202" s="724"/>
      <c r="O202" s="724"/>
      <c r="P202" s="724"/>
      <c r="Q202" s="724"/>
      <c r="R202" s="1223"/>
      <c r="S202" s="1221"/>
      <c r="T202" s="1219"/>
      <c r="U202" s="1221"/>
      <c r="V202" s="759"/>
      <c r="W202" s="759"/>
      <c r="X202" s="759"/>
      <c r="Y202" s="759"/>
      <c r="Z202" s="759"/>
      <c r="AA202" s="759"/>
      <c r="AB202" s="759"/>
      <c r="AC202" s="759"/>
      <c r="AE202" s="833"/>
      <c r="AF202" s="833"/>
      <c r="AG202" s="833"/>
      <c r="AH202" s="833"/>
      <c r="AI202" s="833"/>
      <c r="AJ202" s="833"/>
      <c r="AK202" s="1221"/>
    </row>
    <row r="203" spans="1:37" s="760" customFormat="1" x14ac:dyDescent="0.2">
      <c r="A203" s="1712" t="s">
        <v>2621</v>
      </c>
      <c r="B203" s="1773">
        <v>193</v>
      </c>
      <c r="C203" s="205" t="str">
        <f>IF(C199="","Linear Track",VLOOKUP(C199,Codes!$C$156:$D$174,2)&amp;" Linear Track")</f>
        <v>Linear Track</v>
      </c>
      <c r="D203" s="1845"/>
      <c r="E203" s="721"/>
      <c r="F203" s="281"/>
      <c r="G203" s="281"/>
      <c r="H203" s="1029"/>
      <c r="I203" s="829"/>
      <c r="J203" s="830"/>
      <c r="K203" s="829"/>
      <c r="L203" s="1031"/>
      <c r="M203" s="758"/>
      <c r="N203" s="724"/>
      <c r="O203" s="724"/>
      <c r="P203" s="724"/>
      <c r="Q203" s="724"/>
      <c r="R203" s="1223"/>
      <c r="S203" s="1221"/>
      <c r="T203" s="1219"/>
      <c r="U203" s="1221"/>
      <c r="V203" s="759"/>
      <c r="W203" s="759"/>
      <c r="X203" s="759"/>
      <c r="Y203" s="759"/>
      <c r="Z203" s="759"/>
      <c r="AA203" s="759"/>
      <c r="AB203" s="759"/>
      <c r="AC203" s="759"/>
      <c r="AE203" s="833"/>
      <c r="AF203" s="833"/>
      <c r="AG203" s="833"/>
      <c r="AH203" s="833"/>
      <c r="AI203" s="833"/>
      <c r="AJ203" s="833"/>
      <c r="AK203" s="1221"/>
    </row>
    <row r="204" spans="1:37" s="760" customFormat="1" ht="6" customHeight="1" x14ac:dyDescent="0.2">
      <c r="A204" s="721"/>
      <c r="B204" s="1774">
        <v>194</v>
      </c>
      <c r="C204" s="828"/>
      <c r="D204" s="1845"/>
      <c r="E204" s="721"/>
      <c r="F204" s="281"/>
      <c r="G204" s="281"/>
      <c r="H204" s="1029"/>
      <c r="I204" s="829"/>
      <c r="J204" s="830"/>
      <c r="K204" s="829"/>
      <c r="L204" s="1031"/>
      <c r="M204" s="758"/>
      <c r="N204" s="724"/>
      <c r="O204" s="724"/>
      <c r="P204" s="724"/>
      <c r="Q204" s="724"/>
      <c r="R204" s="1223"/>
      <c r="S204" s="1221"/>
      <c r="T204" s="1219"/>
      <c r="U204" s="1221"/>
      <c r="V204" s="759"/>
      <c r="W204" s="759"/>
      <c r="X204" s="759"/>
      <c r="Y204" s="759"/>
      <c r="Z204" s="759"/>
      <c r="AA204" s="759"/>
      <c r="AB204" s="759"/>
      <c r="AC204" s="759"/>
      <c r="AE204" s="833"/>
      <c r="AF204" s="833"/>
      <c r="AG204" s="833"/>
      <c r="AH204" s="833"/>
      <c r="AI204" s="833"/>
      <c r="AJ204" s="833"/>
      <c r="AK204" s="1221"/>
    </row>
    <row r="205" spans="1:37" s="760" customFormat="1" x14ac:dyDescent="0.2">
      <c r="A205" s="852">
        <v>43</v>
      </c>
      <c r="B205" s="1773">
        <v>195</v>
      </c>
      <c r="C205" s="851" t="str">
        <f>Valid!$B$80</f>
        <v>Tangent</v>
      </c>
      <c r="D205" s="1845"/>
      <c r="E205" s="1056" t="str">
        <f>IF(U205="N/A","",U205)</f>
        <v/>
      </c>
      <c r="F205" s="685"/>
      <c r="G205" s="685"/>
      <c r="H205" s="1025"/>
      <c r="I205" s="1246" t="str">
        <f>IF($C$199="","",IF(H205="","Qty? Enter Zero if N/A  ",""))</f>
        <v/>
      </c>
      <c r="J205" s="1249" t="str">
        <f>VLOOKUP(C205,Valid!$B$80:$C$86,2,FALSE)</f>
        <v>Track Feet</v>
      </c>
      <c r="K205" s="764"/>
      <c r="L205" s="1025"/>
      <c r="M205" s="1248" t="str">
        <f>IF($H205=0,"",IF($L205="",TEXT(AH205,0)&amp;" Years?    ",""))</f>
        <v/>
      </c>
      <c r="N205" s="1276"/>
      <c r="O205" s="1275" t="str">
        <f>IF($H205=0,"","% Cap Resp.    ")</f>
        <v/>
      </c>
      <c r="P205" s="1808"/>
      <c r="Q205" s="1275" t="str">
        <f>IF($H205=0,"","% Cap Resp.    ")</f>
        <v/>
      </c>
      <c r="R205" s="1392"/>
      <c r="S205" s="1223"/>
      <c r="T205" s="1223"/>
      <c r="U205" s="758" t="str">
        <f>IF(AND(R205="",N205="",L205="",H205="",L205=""),"N/A",IF(AND($H205=0,OR(L205&lt;&gt;"",N205&lt;&gt;"",R205&lt;&gt;"",L205&lt;&gt;"")),"No",IF(AND($H205&lt;&gt;0,OR($N205="",L205="")),"No","Yes")))</f>
        <v>N/A</v>
      </c>
      <c r="V205" s="761" t="b">
        <f>IF(AND(H205="",OR(L205&lt;&gt;"",N205&lt;&gt;"")),TRUE,FALSE)</f>
        <v>0</v>
      </c>
      <c r="W205" s="761" t="b">
        <f>IF(AND($C$199&lt;&gt;"",$H205=""),TRUE,FALSE)</f>
        <v>0</v>
      </c>
      <c r="X205" s="761" t="b">
        <f>IF(AND(H205&lt;&gt;"",H205&lt;&gt;0,H205&gt;AG205),TRUE,FALSE)</f>
        <v>0</v>
      </c>
      <c r="Y205" s="761" t="b">
        <f>IF($L205="",FALSE,IF($L205&lt;$AI205,TRUE,FALSE))</f>
        <v>0</v>
      </c>
      <c r="Z205" s="761" t="b">
        <f>IF($L205="",FALSE,IF($L205&gt;$AJ205,TRUE,FALSE))</f>
        <v>0</v>
      </c>
      <c r="AA205" s="761" t="b">
        <f>IF(AND(E205="No",$L205=""),TRUE,FALSE)</f>
        <v>0</v>
      </c>
      <c r="AB205" s="761" t="b">
        <f>IF($AC205=TRUE,FALSE,IF(OR($N205&lt;0,$N205&gt;1),TRUE,FALSE))</f>
        <v>0</v>
      </c>
      <c r="AC205" s="761" t="b">
        <f>IF(OR($H205=0, $H205=""), FALSE, IF(AND(H205&gt;0, L205&lt;&gt;"", N205&lt;&gt;""), IF(AND((N205*100)&lt;100,P205=""), TRUE,FALSE), TRUE))</f>
        <v>0</v>
      </c>
      <c r="AD205" s="762"/>
      <c r="AE205" s="783">
        <f t="shared" ref="AE205:AJ205" si="42">IF($C205="","",VLOOKUP($C205,val_fg_assets,AE$5,FALSE))</f>
        <v>1</v>
      </c>
      <c r="AF205" s="835">
        <f t="shared" si="42"/>
        <v>0</v>
      </c>
      <c r="AG205" s="835">
        <f t="shared" si="42"/>
        <v>3000000</v>
      </c>
      <c r="AH205" s="783">
        <f t="shared" si="42"/>
        <v>35</v>
      </c>
      <c r="AI205" s="783">
        <f t="shared" si="42"/>
        <v>26</v>
      </c>
      <c r="AJ205" s="783">
        <f t="shared" si="42"/>
        <v>44</v>
      </c>
      <c r="AK205" s="834"/>
    </row>
    <row r="206" spans="1:37" s="760" customFormat="1" ht="6" customHeight="1" x14ac:dyDescent="0.2">
      <c r="A206" s="852"/>
      <c r="B206" s="1773">
        <v>196</v>
      </c>
      <c r="C206" s="1222"/>
      <c r="D206" s="1845"/>
      <c r="E206" s="1059"/>
      <c r="F206" s="685"/>
      <c r="G206" s="685"/>
      <c r="H206" s="1176"/>
      <c r="I206" s="764"/>
      <c r="J206" s="840"/>
      <c r="K206" s="764"/>
      <c r="L206" s="1031"/>
      <c r="M206" s="758"/>
      <c r="N206" s="1258"/>
      <c r="O206" s="724"/>
      <c r="P206" s="1258"/>
      <c r="Q206" s="724"/>
      <c r="R206" s="1223"/>
      <c r="S206" s="1223"/>
      <c r="T206" s="1223"/>
      <c r="U206" s="1223"/>
      <c r="V206" s="759"/>
      <c r="W206" s="759"/>
      <c r="X206" s="759"/>
      <c r="Y206" s="759"/>
      <c r="Z206" s="759"/>
      <c r="AA206" s="759"/>
      <c r="AB206" s="759"/>
      <c r="AC206" s="759"/>
      <c r="AE206" s="833"/>
      <c r="AF206" s="845"/>
      <c r="AG206" s="845"/>
      <c r="AH206" s="833"/>
      <c r="AI206" s="833"/>
      <c r="AJ206" s="833"/>
      <c r="AK206" s="1223"/>
    </row>
    <row r="207" spans="1:37" s="760" customFormat="1" x14ac:dyDescent="0.2">
      <c r="A207" s="852">
        <v>44</v>
      </c>
      <c r="B207" s="1773">
        <v>197</v>
      </c>
      <c r="C207" s="851" t="str">
        <f>Valid!$B$81</f>
        <v>Curve</v>
      </c>
      <c r="D207" s="1845"/>
      <c r="E207" s="1056" t="str">
        <f>IF(U207="N/A","",U207)</f>
        <v/>
      </c>
      <c r="F207" s="764"/>
      <c r="G207" s="764"/>
      <c r="H207" s="1025"/>
      <c r="I207" s="1246" t="str">
        <f>IF($C$199="","",IF(H207="","Qty? Enter Zero if N/A  ",""))</f>
        <v/>
      </c>
      <c r="J207" s="1249" t="str">
        <f>VLOOKUP(C207,Valid!$B$80:$C$86,2,FALSE)</f>
        <v>Track Feet</v>
      </c>
      <c r="K207" s="764"/>
      <c r="L207" s="1025"/>
      <c r="M207" s="1248" t="str">
        <f>IF($H207=0,"",IF($L207="",TEXT(AH207,0)&amp;" Years?    ",""))</f>
        <v/>
      </c>
      <c r="N207" s="1276"/>
      <c r="O207" s="1275" t="str">
        <f>IF($H207=0,"","% Cap Resp.    ")</f>
        <v/>
      </c>
      <c r="P207" s="1808"/>
      <c r="Q207" s="1275" t="str">
        <f>IF($H207=0,"","% Cap Resp.    ")</f>
        <v/>
      </c>
      <c r="R207" s="1392"/>
      <c r="S207" s="1223"/>
      <c r="T207" s="1223"/>
      <c r="U207" s="758" t="str">
        <f>IF(AND(R207="",N207="",L207="",H207="",L207=""),"N/A",IF(AND($H207=0,OR(L207&lt;&gt;"",N207&lt;&gt;"",R207&lt;&gt;"",L207&lt;&gt;"")),"No",IF(AND($H207&lt;&gt;0,OR($N207="",L207="")),"No","Yes")))</f>
        <v>N/A</v>
      </c>
      <c r="V207" s="761" t="b">
        <f>IF(AND(H207="",OR(L207&lt;&gt;"",N207&lt;&gt;"")),TRUE,FALSE)</f>
        <v>0</v>
      </c>
      <c r="W207" s="761" t="b">
        <f>IF(AND($C$199&lt;&gt;"",$H207=""),TRUE,FALSE)</f>
        <v>0</v>
      </c>
      <c r="X207" s="761" t="b">
        <f>IF(AND(H207&lt;&gt;"",H207&lt;&gt;0,H207&gt;AG207),TRUE,FALSE)</f>
        <v>0</v>
      </c>
      <c r="Y207" s="761" t="b">
        <f>IF($L207="",FALSE,IF($L207&lt;$AI207,TRUE,FALSE))</f>
        <v>0</v>
      </c>
      <c r="Z207" s="761" t="b">
        <f>IF($L207="",FALSE,IF($L207&gt;$AJ207,TRUE,FALSE))</f>
        <v>0</v>
      </c>
      <c r="AA207" s="761" t="b">
        <f>IF(AND(E207="No",$L207=""),TRUE,FALSE)</f>
        <v>0</v>
      </c>
      <c r="AB207" s="761" t="b">
        <f>IF($AC207=TRUE,FALSE,IF(OR($N207&lt;0,$N207&gt;1),TRUE,FALSE))</f>
        <v>0</v>
      </c>
      <c r="AC207" s="761" t="b">
        <f>IF(OR($H207=0, $H207=""), FALSE, IF(AND(H207&gt;0, L207&lt;&gt;"", N207&lt;&gt;""), IF(AND((N207*100)&lt;100,P207=""), TRUE,FALSE), TRUE))</f>
        <v>0</v>
      </c>
      <c r="AD207" s="762"/>
      <c r="AE207" s="783">
        <f t="shared" ref="AE207:AJ207" si="43">IF($C207="","",VLOOKUP($C207,val_fg_assets,AE$5,FALSE))</f>
        <v>1</v>
      </c>
      <c r="AF207" s="835">
        <f t="shared" si="43"/>
        <v>0</v>
      </c>
      <c r="AG207" s="835">
        <f t="shared" si="43"/>
        <v>3000000</v>
      </c>
      <c r="AH207" s="783">
        <f t="shared" si="43"/>
        <v>15</v>
      </c>
      <c r="AI207" s="783">
        <f t="shared" si="43"/>
        <v>11</v>
      </c>
      <c r="AJ207" s="783">
        <f t="shared" si="43"/>
        <v>19</v>
      </c>
      <c r="AK207" s="834"/>
    </row>
    <row r="208" spans="1:37" ht="6" customHeight="1" thickBot="1" x14ac:dyDescent="0.25">
      <c r="A208" s="1225"/>
      <c r="B208" s="1773">
        <v>198</v>
      </c>
      <c r="C208" s="1249"/>
      <c r="E208" s="1058"/>
      <c r="F208" s="764"/>
      <c r="G208" s="764"/>
      <c r="H208" s="1251"/>
      <c r="L208" s="1251"/>
      <c r="R208" s="1223"/>
      <c r="V208" s="848"/>
      <c r="W208" s="848"/>
      <c r="X208" s="848"/>
      <c r="Y208" s="848"/>
      <c r="Z208" s="848"/>
      <c r="AA208" s="848"/>
      <c r="AB208" s="848"/>
      <c r="AC208" s="848"/>
      <c r="AE208" s="848"/>
      <c r="AF208" s="848"/>
      <c r="AG208" s="848"/>
      <c r="AH208" s="848"/>
      <c r="AI208" s="848"/>
      <c r="AJ208" s="848"/>
    </row>
    <row r="209" spans="1:37" x14ac:dyDescent="0.2">
      <c r="A209" s="1712" t="s">
        <v>2621</v>
      </c>
      <c r="B209" s="1773">
        <v>199</v>
      </c>
      <c r="C209" s="1224"/>
      <c r="E209" s="1057"/>
      <c r="F209" s="1278" t="str">
        <f>IF(C199="","Linear Track Totals &gt;&gt;",VLOOKUP(C199,Codes!$C$156:$D$174,2)&amp;" Linear Track Totals &gt;&gt;")</f>
        <v>Linear Track Totals &gt;&gt;</v>
      </c>
      <c r="H209" s="1032">
        <f>SUM(H205:H207)</f>
        <v>0</v>
      </c>
      <c r="I209" s="843"/>
      <c r="L209" s="1031"/>
      <c r="M209" s="714"/>
      <c r="N209" s="838"/>
      <c r="O209" s="734"/>
      <c r="P209" s="838"/>
      <c r="Q209" s="734"/>
      <c r="R209" s="834"/>
      <c r="V209" s="848"/>
      <c r="W209" s="718"/>
      <c r="X209" s="848"/>
      <c r="Y209" s="718"/>
      <c r="Z209" s="718"/>
      <c r="AA209" s="848"/>
      <c r="AB209" s="718"/>
      <c r="AC209" s="848"/>
      <c r="AD209" s="716"/>
      <c r="AE209" s="718"/>
      <c r="AF209" s="718"/>
      <c r="AG209" s="718"/>
      <c r="AH209" s="718"/>
      <c r="AI209" s="718"/>
      <c r="AJ209" s="718"/>
      <c r="AK209" s="716"/>
    </row>
    <row r="210" spans="1:37" ht="6" customHeight="1" x14ac:dyDescent="0.2">
      <c r="A210" s="1225"/>
      <c r="B210" s="1773">
        <v>200</v>
      </c>
      <c r="C210" s="1249"/>
      <c r="E210" s="1057"/>
      <c r="F210" s="1379"/>
      <c r="H210" s="1028"/>
      <c r="I210" s="843"/>
      <c r="L210" s="1031"/>
      <c r="M210" s="714"/>
      <c r="N210" s="838"/>
      <c r="O210" s="734"/>
      <c r="P210" s="838"/>
      <c r="Q210" s="734"/>
      <c r="R210" s="1223"/>
      <c r="V210" s="848"/>
      <c r="W210" s="848"/>
      <c r="X210" s="848"/>
      <c r="Y210" s="848"/>
      <c r="Z210" s="848"/>
      <c r="AA210" s="848"/>
      <c r="AB210" s="848"/>
      <c r="AC210" s="848"/>
      <c r="AE210" s="848"/>
      <c r="AF210" s="848"/>
      <c r="AG210" s="848"/>
      <c r="AH210" s="848"/>
      <c r="AI210" s="848"/>
      <c r="AJ210" s="848"/>
    </row>
    <row r="211" spans="1:37" x14ac:dyDescent="0.2">
      <c r="A211" s="1712" t="s">
        <v>2621</v>
      </c>
      <c r="B211" s="1773">
        <v>201</v>
      </c>
      <c r="C211" s="205" t="str">
        <f>IF(C199="","Track Special Work (excluding linear assets)",VLOOKUP(C199,Codes!$C$156:$D$174,2)&amp;" Track Special Work (excluding linear assets)")</f>
        <v>Track Special Work (excluding linear assets)</v>
      </c>
      <c r="E211" s="1057"/>
      <c r="F211" s="1379"/>
      <c r="H211" s="1028"/>
      <c r="I211" s="843"/>
      <c r="L211" s="1031"/>
      <c r="M211" s="714"/>
      <c r="N211" s="838"/>
      <c r="O211" s="734"/>
      <c r="P211" s="838"/>
      <c r="Q211" s="734"/>
      <c r="R211" s="1223"/>
      <c r="V211" s="848"/>
      <c r="W211" s="848"/>
      <c r="X211" s="848"/>
      <c r="Y211" s="848"/>
      <c r="Z211" s="848"/>
      <c r="AA211" s="848"/>
      <c r="AB211" s="848"/>
      <c r="AC211" s="848"/>
      <c r="AE211" s="848"/>
      <c r="AF211" s="848"/>
      <c r="AG211" s="848"/>
      <c r="AH211" s="848"/>
      <c r="AI211" s="848"/>
      <c r="AJ211" s="848"/>
    </row>
    <row r="212" spans="1:37" ht="6" customHeight="1" x14ac:dyDescent="0.2">
      <c r="A212" s="1225"/>
      <c r="B212" s="1774">
        <v>202</v>
      </c>
      <c r="C212" s="1249"/>
      <c r="E212" s="1057"/>
      <c r="F212" s="1379"/>
      <c r="H212" s="1028"/>
      <c r="I212" s="843"/>
      <c r="L212" s="1031"/>
      <c r="M212" s="714"/>
      <c r="N212" s="838"/>
      <c r="O212" s="734"/>
      <c r="P212" s="838"/>
      <c r="Q212" s="734"/>
      <c r="R212" s="1223"/>
      <c r="V212" s="761"/>
      <c r="W212" s="848"/>
      <c r="X212" s="848"/>
      <c r="Y212" s="848"/>
      <c r="Z212" s="848"/>
      <c r="AA212" s="761"/>
      <c r="AB212" s="848"/>
      <c r="AC212" s="848"/>
      <c r="AE212" s="848"/>
      <c r="AF212" s="848"/>
      <c r="AG212" s="848"/>
      <c r="AH212" s="848"/>
      <c r="AI212" s="848"/>
      <c r="AJ212" s="848"/>
    </row>
    <row r="213" spans="1:37" x14ac:dyDescent="0.2">
      <c r="A213" s="852">
        <v>45</v>
      </c>
      <c r="B213" s="1773">
        <v>203</v>
      </c>
      <c r="C213" s="1249" t="str">
        <f>Valid!$B$82</f>
        <v>Double Diamond Crossover</v>
      </c>
      <c r="E213" s="1245" t="str">
        <f>IF(U213="N/A","",U213)</f>
        <v/>
      </c>
      <c r="F213" s="1249"/>
      <c r="H213" s="1247"/>
      <c r="I213" s="1246" t="str">
        <f>IF($C$199="","",IF(H213="","Qty? Enter Zero if N/A  ",""))</f>
        <v/>
      </c>
      <c r="J213" s="1249" t="str">
        <f>VLOOKUP(C213,Valid!$B$80:$C$86,2,FALSE)</f>
        <v>Each</v>
      </c>
      <c r="K213" s="1249"/>
      <c r="L213" s="1247"/>
      <c r="M213" s="1248" t="str">
        <f>IF($H213=0,"",IF($L213="",TEXT(AH213,0)&amp;" Years?    ",""))</f>
        <v/>
      </c>
      <c r="N213" s="1276"/>
      <c r="O213" s="1275" t="str">
        <f>IF($H213=0,"","% Cap Resp.    ")</f>
        <v/>
      </c>
      <c r="P213" s="1808"/>
      <c r="Q213" s="1275" t="str">
        <f>IF($H213=0,"","% Cap Resp.    ")</f>
        <v/>
      </c>
      <c r="R213" s="1392"/>
      <c r="U213" s="758" t="str">
        <f>IF(AND(R213="",N213="",L213="",H213="",L213=""),"N/A",IF(AND($H213=0,OR(L213&lt;&gt;"",N213&lt;&gt;"",R213&lt;&gt;"",L213&lt;&gt;"")),"No",IF(AND($H213&lt;&gt;0,OR($N213="",L213="")),"No","Yes")))</f>
        <v>N/A</v>
      </c>
      <c r="V213" s="761" t="b">
        <f>IF(AND(H213="",OR(L213&lt;&gt;"",N213&lt;&gt;"")),TRUE,FALSE)</f>
        <v>0</v>
      </c>
      <c r="W213" s="761" t="b">
        <f>IF(AND($C$44&lt;&gt;"",$H213=""),TRUE,FALSE)</f>
        <v>0</v>
      </c>
      <c r="X213" s="761" t="b">
        <f>IF(AND(H213&lt;&gt;"",H213&lt;&gt;0,H213&gt;AG213),TRUE,FALSE)</f>
        <v>0</v>
      </c>
      <c r="Y213" s="761" t="b">
        <f>IF($L213="",FALSE,IF($L213&lt;$AI213,TRUE,FALSE))</f>
        <v>0</v>
      </c>
      <c r="Z213" s="761" t="b">
        <f>IF($L213="",FALSE,IF($L213&gt;$AJ213,TRUE,FALSE))</f>
        <v>0</v>
      </c>
      <c r="AA213" s="761" t="b">
        <f>IF(AND(E213="No",$L213=""),TRUE,FALSE)</f>
        <v>0</v>
      </c>
      <c r="AB213" s="761" t="b">
        <f>IF($AC213=TRUE,FALSE,IF(OR($N213&lt;0,$N213&gt;1),TRUE,FALSE))</f>
        <v>0</v>
      </c>
      <c r="AC213" s="761" t="b">
        <f>IF(OR($H213=0, $H213=""), FALSE, IF(AND(H213&gt;0, L213&lt;&gt;"", N213&lt;&gt;""), IF(AND((N213*100)&lt;100,P213=""), TRUE,FALSE), TRUE))</f>
        <v>0</v>
      </c>
      <c r="AD213" s="762"/>
      <c r="AE213" s="783">
        <f t="shared" ref="AE213:AJ213" si="44">IF($C213="","",VLOOKUP($C213,val_fg_assets,AE$5,FALSE))</f>
        <v>1</v>
      </c>
      <c r="AF213" s="835">
        <f t="shared" si="44"/>
        <v>0</v>
      </c>
      <c r="AG213" s="835">
        <f t="shared" si="44"/>
        <v>500</v>
      </c>
      <c r="AH213" s="783">
        <f t="shared" si="44"/>
        <v>15</v>
      </c>
      <c r="AI213" s="783">
        <f t="shared" si="44"/>
        <v>11</v>
      </c>
      <c r="AJ213" s="783">
        <f t="shared" si="44"/>
        <v>19</v>
      </c>
    </row>
    <row r="214" spans="1:37" ht="6" customHeight="1" x14ac:dyDescent="0.2">
      <c r="A214" s="1225"/>
      <c r="B214" s="1773">
        <v>204</v>
      </c>
      <c r="C214" s="1249"/>
      <c r="E214" s="1249"/>
      <c r="F214" s="1249"/>
      <c r="H214" s="1249"/>
      <c r="I214" s="1249"/>
      <c r="J214" s="1249"/>
      <c r="K214" s="1249"/>
      <c r="L214" s="1249"/>
      <c r="M214" s="1249"/>
      <c r="N214" s="1249"/>
      <c r="O214" s="1249"/>
      <c r="P214" s="1249"/>
      <c r="Q214" s="1249"/>
      <c r="R214" s="1393"/>
      <c r="V214" s="848"/>
      <c r="W214" s="848"/>
      <c r="X214" s="848"/>
      <c r="Y214" s="848"/>
      <c r="Z214" s="848"/>
      <c r="AA214" s="848"/>
      <c r="AB214" s="848"/>
      <c r="AC214" s="848"/>
      <c r="AE214" s="848"/>
      <c r="AF214" s="848"/>
      <c r="AG214" s="848"/>
      <c r="AH214" s="848"/>
      <c r="AI214" s="848"/>
      <c r="AJ214" s="848"/>
    </row>
    <row r="215" spans="1:37" x14ac:dyDescent="0.2">
      <c r="A215" s="852">
        <v>46</v>
      </c>
      <c r="B215" s="1773">
        <v>205</v>
      </c>
      <c r="C215" s="1249" t="str">
        <f>Valid!$B$83</f>
        <v>Single Crossover</v>
      </c>
      <c r="E215" s="1245" t="str">
        <f>IF(U215="N/A","",U215)</f>
        <v/>
      </c>
      <c r="F215" s="1249"/>
      <c r="H215" s="1247"/>
      <c r="I215" s="1246" t="str">
        <f>IF($C$199="","",IF(H215="","Qty? Enter Zero if N/A  ",""))</f>
        <v/>
      </c>
      <c r="J215" s="1249" t="str">
        <f>VLOOKUP(C215,Valid!$B$80:$C$86,2,FALSE)</f>
        <v>Each</v>
      </c>
      <c r="K215" s="1249"/>
      <c r="L215" s="1247"/>
      <c r="M215" s="1248" t="str">
        <f>IF($H215=0,"",IF($L215="",TEXT(AH215,0)&amp;" Years?    ",""))</f>
        <v/>
      </c>
      <c r="N215" s="1276"/>
      <c r="O215" s="1275" t="str">
        <f>IF($H215=0,"","% Cap Resp.    ")</f>
        <v/>
      </c>
      <c r="P215" s="1808"/>
      <c r="Q215" s="1275" t="str">
        <f>IF($H215=0,"","% Cap Resp.    ")</f>
        <v/>
      </c>
      <c r="R215" s="1392"/>
      <c r="U215" s="758" t="str">
        <f>IF(AND(R215="",N215="",L215="",H215="",L215=""),"N/A",IF(AND($H215=0,OR(L215&lt;&gt;"",N215&lt;&gt;"",R215&lt;&gt;"",L215&lt;&gt;"")),"No",IF(AND($H215&lt;&gt;0,OR($N215="",L215="")),"No","Yes")))</f>
        <v>N/A</v>
      </c>
      <c r="V215" s="761" t="b">
        <f>IF(AND(H215="",OR(L215&lt;&gt;"",N215&lt;&gt;"")),TRUE,FALSE)</f>
        <v>0</v>
      </c>
      <c r="W215" s="761" t="b">
        <f>IF(AND($C$44&lt;&gt;"",$H215=""),TRUE,FALSE)</f>
        <v>0</v>
      </c>
      <c r="X215" s="761" t="b">
        <f>IF(AND(H215&lt;&gt;"",H215&lt;&gt;0,H215&gt;AG215),TRUE,FALSE)</f>
        <v>0</v>
      </c>
      <c r="Y215" s="761" t="b">
        <f>IF($L215="",FALSE,IF($L215&lt;$AI215,TRUE,FALSE))</f>
        <v>0</v>
      </c>
      <c r="Z215" s="761" t="b">
        <f>IF($L215="",FALSE,IF($L215&gt;$AJ215,TRUE,FALSE))</f>
        <v>0</v>
      </c>
      <c r="AA215" s="761" t="b">
        <f>IF(AND(E215="No",$L215=""),TRUE,FALSE)</f>
        <v>0</v>
      </c>
      <c r="AB215" s="761" t="b">
        <f>IF($AC215=TRUE,FALSE,IF(OR($N215&lt;0,$N215&gt;1),TRUE,FALSE))</f>
        <v>0</v>
      </c>
      <c r="AC215" s="761" t="b">
        <f>IF(OR($H215=0, $H215=""), FALSE, IF(AND(H215&gt;0, L215&lt;&gt;"", N215&lt;&gt;""), IF(AND((N215*100)&lt;100,P215=""), TRUE,FALSE), TRUE))</f>
        <v>0</v>
      </c>
      <c r="AD215" s="762"/>
      <c r="AE215" s="783">
        <f t="shared" ref="AE215:AJ215" si="45">IF($C215="","",VLOOKUP($C215,val_fg_assets,AE$5,FALSE))</f>
        <v>1</v>
      </c>
      <c r="AF215" s="835">
        <f t="shared" si="45"/>
        <v>0</v>
      </c>
      <c r="AG215" s="835">
        <f t="shared" si="45"/>
        <v>500</v>
      </c>
      <c r="AH215" s="783">
        <f t="shared" si="45"/>
        <v>15</v>
      </c>
      <c r="AI215" s="783">
        <f t="shared" si="45"/>
        <v>11</v>
      </c>
      <c r="AJ215" s="783">
        <f t="shared" si="45"/>
        <v>19</v>
      </c>
    </row>
    <row r="216" spans="1:37" ht="6" customHeight="1" x14ac:dyDescent="0.2">
      <c r="A216" s="1225"/>
      <c r="B216" s="1773">
        <v>206</v>
      </c>
      <c r="C216" s="1249"/>
      <c r="E216" s="1249"/>
      <c r="F216" s="1249"/>
      <c r="H216" s="1249"/>
      <c r="I216" s="1249"/>
      <c r="J216" s="1249"/>
      <c r="K216" s="1249"/>
      <c r="L216" s="1249"/>
      <c r="M216" s="1249"/>
      <c r="N216" s="1249"/>
      <c r="O216" s="1249"/>
      <c r="P216" s="1249"/>
      <c r="Q216" s="1249"/>
      <c r="R216" s="1393"/>
      <c r="V216" s="848"/>
      <c r="W216" s="848"/>
      <c r="X216" s="848"/>
      <c r="Y216" s="848"/>
      <c r="Z216" s="848"/>
      <c r="AA216" s="848"/>
      <c r="AB216" s="848"/>
      <c r="AC216" s="848"/>
      <c r="AE216" s="848"/>
      <c r="AF216" s="848"/>
      <c r="AG216" s="848"/>
      <c r="AH216" s="848"/>
      <c r="AI216" s="848"/>
      <c r="AJ216" s="848"/>
    </row>
    <row r="217" spans="1:37" x14ac:dyDescent="0.2">
      <c r="A217" s="852">
        <v>47</v>
      </c>
      <c r="B217" s="1773">
        <v>207</v>
      </c>
      <c r="C217" s="1249" t="str">
        <f>Valid!$B$84</f>
        <v>Half Grand Union</v>
      </c>
      <c r="E217" s="1245" t="str">
        <f>IF(U217="N/A","",U217)</f>
        <v/>
      </c>
      <c r="F217" s="1249"/>
      <c r="H217" s="1247"/>
      <c r="I217" s="1246" t="str">
        <f>IF($C$199="","",IF(H217="","Qty? Enter Zero if N/A  ",""))</f>
        <v/>
      </c>
      <c r="J217" s="1249" t="str">
        <f>VLOOKUP(C217,Valid!$B$80:$C$86,2,FALSE)</f>
        <v>Each</v>
      </c>
      <c r="K217" s="1249"/>
      <c r="L217" s="1247"/>
      <c r="M217" s="1248" t="str">
        <f>IF($H217=0,"",IF($L217="",TEXT(AH217,0)&amp;" Years?    ",""))</f>
        <v/>
      </c>
      <c r="N217" s="1276"/>
      <c r="O217" s="1275" t="str">
        <f>IF($H217=0,"","% Cap Resp.    ")</f>
        <v/>
      </c>
      <c r="P217" s="1808"/>
      <c r="Q217" s="1275" t="str">
        <f>IF($H217=0,"","% Cap Resp.    ")</f>
        <v/>
      </c>
      <c r="R217" s="1392"/>
      <c r="U217" s="758" t="str">
        <f>IF(AND(R217="",N217="",L217="",H217="",L217=""),"N/A",IF(AND($H217=0,OR(L217&lt;&gt;"",N217&lt;&gt;"",R217&lt;&gt;"",L217&lt;&gt;"")),"No",IF(AND($H217&lt;&gt;0,OR($N217="",L217="")),"No","Yes")))</f>
        <v>N/A</v>
      </c>
      <c r="V217" s="761" t="b">
        <f>IF(AND(H217="",OR(L217&lt;&gt;"",N217&lt;&gt;"")),TRUE,FALSE)</f>
        <v>0</v>
      </c>
      <c r="W217" s="761" t="b">
        <f>IF(AND($C$44&lt;&gt;"",$H217=""),TRUE,FALSE)</f>
        <v>0</v>
      </c>
      <c r="X217" s="761" t="b">
        <f>IF(AND(H217&lt;&gt;"",H217&lt;&gt;0,H217&gt;AG217),TRUE,FALSE)</f>
        <v>0</v>
      </c>
      <c r="Y217" s="761" t="b">
        <f>IF($L217="",FALSE,IF($L217&lt;$AI217,TRUE,FALSE))</f>
        <v>0</v>
      </c>
      <c r="Z217" s="761" t="b">
        <f>IF($L217="",FALSE,IF($L217&gt;$AJ217,TRUE,FALSE))</f>
        <v>0</v>
      </c>
      <c r="AA217" s="761" t="b">
        <f>IF(AND(E217="No",$L217=""),TRUE,FALSE)</f>
        <v>0</v>
      </c>
      <c r="AB217" s="761" t="b">
        <f>IF($AC217=TRUE,FALSE,IF(OR($N217&lt;0,$N217&gt;1),TRUE,FALSE))</f>
        <v>0</v>
      </c>
      <c r="AC217" s="761" t="b">
        <f>IF(OR($H217=0, $H217=""), FALSE, IF(AND(H217&gt;0, L217&lt;&gt;"", N217&lt;&gt;""), IF(AND((N217*100)&lt;100,P217=""), TRUE,FALSE), TRUE))</f>
        <v>0</v>
      </c>
      <c r="AD217" s="762"/>
      <c r="AE217" s="783">
        <f t="shared" ref="AE217:AJ217" si="46">IF($C217="","",VLOOKUP($C217,val_fg_assets,AE$5,FALSE))</f>
        <v>1</v>
      </c>
      <c r="AF217" s="835">
        <f t="shared" si="46"/>
        <v>0</v>
      </c>
      <c r="AG217" s="835">
        <f t="shared" si="46"/>
        <v>500</v>
      </c>
      <c r="AH217" s="783">
        <f t="shared" si="46"/>
        <v>15</v>
      </c>
      <c r="AI217" s="783">
        <f t="shared" si="46"/>
        <v>11</v>
      </c>
      <c r="AJ217" s="783">
        <f t="shared" si="46"/>
        <v>19</v>
      </c>
    </row>
    <row r="218" spans="1:37" ht="6" customHeight="1" x14ac:dyDescent="0.2">
      <c r="A218" s="1225"/>
      <c r="B218" s="1773">
        <v>208</v>
      </c>
      <c r="C218" s="1249"/>
      <c r="E218" s="1249"/>
      <c r="F218" s="1249"/>
      <c r="H218" s="1249"/>
      <c r="I218" s="1249"/>
      <c r="J218" s="1249"/>
      <c r="K218" s="1249"/>
      <c r="L218" s="1249"/>
      <c r="M218" s="1249"/>
      <c r="N218" s="1249"/>
      <c r="O218" s="1249"/>
      <c r="P218" s="1249"/>
      <c r="Q218" s="1249"/>
      <c r="R218" s="1393"/>
      <c r="V218" s="848"/>
      <c r="W218" s="848"/>
      <c r="X218" s="848"/>
      <c r="Y218" s="848"/>
      <c r="Z218" s="848"/>
      <c r="AA218" s="848"/>
      <c r="AB218" s="848"/>
      <c r="AC218" s="848"/>
      <c r="AE218" s="848"/>
      <c r="AF218" s="848"/>
      <c r="AG218" s="848"/>
      <c r="AH218" s="848"/>
      <c r="AI218" s="848"/>
      <c r="AJ218" s="848"/>
    </row>
    <row r="219" spans="1:37" x14ac:dyDescent="0.2">
      <c r="A219" s="852">
        <v>48</v>
      </c>
      <c r="B219" s="1773">
        <v>209</v>
      </c>
      <c r="C219" s="1249" t="str">
        <f>Valid!$B$85</f>
        <v>Single Turnout</v>
      </c>
      <c r="E219" s="1245" t="str">
        <f>IF(U219="N/A","",U219)</f>
        <v/>
      </c>
      <c r="F219" s="1249"/>
      <c r="H219" s="1247"/>
      <c r="I219" s="1246" t="str">
        <f>IF($C$199="","",IF(H219="","Qty? Enter Zero if N/A  ",""))</f>
        <v/>
      </c>
      <c r="J219" s="1249" t="str">
        <f>VLOOKUP(C219,Valid!$B$80:$C$86,2,FALSE)</f>
        <v>Each</v>
      </c>
      <c r="K219" s="1249"/>
      <c r="L219" s="1247"/>
      <c r="M219" s="1248" t="str">
        <f>IF($H219=0,"",IF($L219="",TEXT(AH219,0)&amp;" Years?    ",""))</f>
        <v/>
      </c>
      <c r="N219" s="1276"/>
      <c r="O219" s="1275" t="str">
        <f>IF($H219=0,"","% Cap Resp.    ")</f>
        <v/>
      </c>
      <c r="P219" s="1808"/>
      <c r="Q219" s="1275" t="str">
        <f>IF($H219=0,"","% Cap Resp.    ")</f>
        <v/>
      </c>
      <c r="R219" s="1392"/>
      <c r="U219" s="758" t="str">
        <f>IF(AND(R219="",N219="",L219="",H219="",L219=""),"N/A",IF(AND($H219=0,OR(L219&lt;&gt;"",N219&lt;&gt;"",R219&lt;&gt;"",L219&lt;&gt;"")),"No",IF(AND($H219&lt;&gt;0,OR($N219="",L219="")),"No","Yes")))</f>
        <v>N/A</v>
      </c>
      <c r="V219" s="761" t="b">
        <f>IF(AND(H219="",OR(L219&lt;&gt;"",N219&lt;&gt;"")),TRUE,FALSE)</f>
        <v>0</v>
      </c>
      <c r="W219" s="761" t="b">
        <f>IF(AND($C$44&lt;&gt;"",$H219=""),TRUE,FALSE)</f>
        <v>0</v>
      </c>
      <c r="X219" s="761" t="b">
        <f>IF(AND(H219&lt;&gt;"",H219&lt;&gt;0,H219&gt;AG219),TRUE,FALSE)</f>
        <v>0</v>
      </c>
      <c r="Y219" s="761" t="b">
        <f>IF($L219="",FALSE,IF($L219&lt;$AI219,TRUE,FALSE))</f>
        <v>0</v>
      </c>
      <c r="Z219" s="761" t="b">
        <f>IF($L219="",FALSE,IF($L219&gt;$AJ219,TRUE,FALSE))</f>
        <v>0</v>
      </c>
      <c r="AA219" s="761" t="b">
        <f>IF(AND(E219="No",$L219=""),TRUE,FALSE)</f>
        <v>0</v>
      </c>
      <c r="AB219" s="761" t="b">
        <f>IF($AC219=TRUE,FALSE,IF(OR($N219&lt;0,$N219&gt;1),TRUE,FALSE))</f>
        <v>0</v>
      </c>
      <c r="AC219" s="761" t="b">
        <f>IF(OR($H219=0, $H219=""), FALSE, IF(AND(H219&gt;0, L219&lt;&gt;"", N219&lt;&gt;""), IF(AND((N219*100)&lt;100,P219=""), TRUE,FALSE), TRUE))</f>
        <v>0</v>
      </c>
      <c r="AD219" s="762"/>
      <c r="AE219" s="783">
        <f t="shared" ref="AE219:AJ219" si="47">IF($C219="","",VLOOKUP($C219,val_fg_assets,AE$5,FALSE))</f>
        <v>1</v>
      </c>
      <c r="AF219" s="835">
        <f t="shared" si="47"/>
        <v>0</v>
      </c>
      <c r="AG219" s="835">
        <f t="shared" si="47"/>
        <v>500</v>
      </c>
      <c r="AH219" s="783">
        <f t="shared" si="47"/>
        <v>15</v>
      </c>
      <c r="AI219" s="783">
        <f t="shared" si="47"/>
        <v>11</v>
      </c>
      <c r="AJ219" s="783">
        <f t="shared" si="47"/>
        <v>19</v>
      </c>
    </row>
    <row r="220" spans="1:37" ht="6" customHeight="1" x14ac:dyDescent="0.2">
      <c r="A220" s="1225"/>
      <c r="B220" s="1774">
        <v>210</v>
      </c>
      <c r="C220" s="1249"/>
      <c r="E220" s="1249"/>
      <c r="F220" s="1249"/>
      <c r="H220" s="1249"/>
      <c r="I220" s="1249"/>
      <c r="J220" s="1249"/>
      <c r="K220" s="1249"/>
      <c r="L220" s="1249"/>
      <c r="M220" s="1249"/>
      <c r="N220" s="1249"/>
      <c r="O220" s="1249"/>
      <c r="P220" s="1249"/>
      <c r="Q220" s="1249"/>
      <c r="R220" s="1393"/>
      <c r="V220" s="848"/>
      <c r="W220" s="848"/>
      <c r="X220" s="848"/>
      <c r="Y220" s="848"/>
      <c r="Z220" s="848"/>
      <c r="AA220" s="848"/>
      <c r="AB220" s="848"/>
      <c r="AC220" s="848"/>
      <c r="AE220" s="848"/>
      <c r="AF220" s="848"/>
      <c r="AG220" s="848"/>
      <c r="AH220" s="848"/>
      <c r="AI220" s="848"/>
      <c r="AJ220" s="848"/>
    </row>
    <row r="221" spans="1:37" x14ac:dyDescent="0.2">
      <c r="A221" s="852">
        <v>49</v>
      </c>
      <c r="B221" s="1773">
        <v>211</v>
      </c>
      <c r="C221" s="1249" t="str">
        <f>Valid!$B$86</f>
        <v>Grade Crossings</v>
      </c>
      <c r="E221" s="1245" t="str">
        <f>IF(U221="N/A","",U221)</f>
        <v/>
      </c>
      <c r="F221" s="1249"/>
      <c r="H221" s="1247"/>
      <c r="I221" s="1246" t="str">
        <f>IF($C$199="","",IF(H221="","Qty? Enter Zero if N/A  ",""))</f>
        <v/>
      </c>
      <c r="J221" s="1249" t="str">
        <f>VLOOKUP(C221,Valid!$B$80:$C$86,2,FALSE)</f>
        <v>Each</v>
      </c>
      <c r="K221" s="1249"/>
      <c r="L221" s="1247"/>
      <c r="M221" s="1248" t="str">
        <f>IF($H221=0,"",IF($L221="",TEXT(AH221,0)&amp;" Years?    ",""))</f>
        <v/>
      </c>
      <c r="N221" s="1276"/>
      <c r="O221" s="1275" t="str">
        <f>IF($H221=0,"","% Cap Resp.    ")</f>
        <v/>
      </c>
      <c r="P221" s="1808"/>
      <c r="Q221" s="1275" t="str">
        <f>IF($H221=0,"","% Cap Resp.    ")</f>
        <v/>
      </c>
      <c r="R221" s="1392"/>
      <c r="U221" s="758" t="str">
        <f>IF(AND(R221="",N221="",L221="",H221="",L221=""),"N/A",IF(AND($H221=0,OR(L221&lt;&gt;"",N221&lt;&gt;"",R221&lt;&gt;"",L221&lt;&gt;"")),"No",IF(AND($H221&lt;&gt;0,OR($N221="",L221="")),"No","Yes")))</f>
        <v>N/A</v>
      </c>
      <c r="V221" s="761" t="b">
        <f>IF(AND(H221="",OR(L221&lt;&gt;"",N221&lt;&gt;"")),TRUE,FALSE)</f>
        <v>0</v>
      </c>
      <c r="W221" s="761" t="b">
        <f>IF(AND($C$44&lt;&gt;"",$H221=""),TRUE,FALSE)</f>
        <v>0</v>
      </c>
      <c r="X221" s="761" t="b">
        <f>IF(AND(H221&lt;&gt;"",H221&lt;&gt;0,H221&gt;AG221),TRUE,FALSE)</f>
        <v>0</v>
      </c>
      <c r="Y221" s="761" t="b">
        <f>IF($L221="",FALSE,IF($L221&lt;$AI221,TRUE,FALSE))</f>
        <v>0</v>
      </c>
      <c r="Z221" s="761" t="b">
        <f>IF($L221="",FALSE,IF($L221&gt;$AJ221,TRUE,FALSE))</f>
        <v>0</v>
      </c>
      <c r="AA221" s="761" t="b">
        <f>IF(AND(E221="No",$L221=""),TRUE,FALSE)</f>
        <v>0</v>
      </c>
      <c r="AB221" s="761" t="b">
        <f>IF($AC221=TRUE,FALSE,IF(OR($N221&lt;0,$N221&gt;1),TRUE,FALSE))</f>
        <v>0</v>
      </c>
      <c r="AC221" s="761" t="b">
        <f>IF(OR($H221=0, $H221=""), FALSE, IF(AND(H221&gt;0, L221&lt;&gt;"", N221&lt;&gt;""), IF(AND((N221*100)&lt;100,P221=""), TRUE,FALSE), TRUE))</f>
        <v>0</v>
      </c>
      <c r="AD221" s="762"/>
      <c r="AE221" s="783">
        <f t="shared" ref="AE221:AJ221" si="48">IF($C221="","",VLOOKUP($C221,val_fg_assets,AE$5,FALSE))</f>
        <v>1</v>
      </c>
      <c r="AF221" s="835">
        <f t="shared" si="48"/>
        <v>0</v>
      </c>
      <c r="AG221" s="835">
        <f t="shared" si="48"/>
        <v>500</v>
      </c>
      <c r="AH221" s="783">
        <f t="shared" si="48"/>
        <v>15</v>
      </c>
      <c r="AI221" s="783">
        <f t="shared" si="48"/>
        <v>11</v>
      </c>
      <c r="AJ221" s="783">
        <f t="shared" si="48"/>
        <v>19</v>
      </c>
    </row>
    <row r="222" spans="1:37" ht="6" customHeight="1" thickBot="1" x14ac:dyDescent="0.25">
      <c r="A222" s="1225"/>
      <c r="B222" s="1773">
        <v>212</v>
      </c>
      <c r="C222" s="1249"/>
      <c r="E222" s="1249"/>
      <c r="F222" s="1249"/>
      <c r="H222" s="1249"/>
      <c r="I222" s="1249"/>
      <c r="J222" s="1249"/>
      <c r="K222" s="1249"/>
      <c r="L222" s="1249"/>
      <c r="M222" s="1249"/>
      <c r="N222" s="1249"/>
      <c r="O222" s="1249"/>
      <c r="P222" s="1249"/>
      <c r="Q222" s="1249"/>
      <c r="R222" s="1393"/>
      <c r="V222" s="848"/>
      <c r="W222" s="848"/>
      <c r="X222" s="848"/>
      <c r="Y222" s="848"/>
      <c r="Z222" s="848"/>
      <c r="AA222" s="848"/>
      <c r="AB222" s="848"/>
      <c r="AC222" s="848"/>
      <c r="AE222" s="848"/>
      <c r="AF222" s="848"/>
      <c r="AG222" s="848"/>
      <c r="AH222" s="848"/>
      <c r="AI222" s="848"/>
      <c r="AJ222" s="848"/>
    </row>
    <row r="223" spans="1:37" x14ac:dyDescent="0.2">
      <c r="A223" s="1712" t="s">
        <v>2621</v>
      </c>
      <c r="B223" s="1773">
        <v>213</v>
      </c>
      <c r="C223" s="1249"/>
      <c r="E223" s="1249"/>
      <c r="F223" s="1278" t="str">
        <f>IF(C199="","Track Special Work Totals (excluding linear assets)&gt;&gt;",VLOOKUP(C199,Codes!$C$156:$D$174,2)&amp;" Track Special Work Totals (excluding linear assets)&gt;&gt;")</f>
        <v>Track Special Work Totals (excluding linear assets)&gt;&gt;</v>
      </c>
      <c r="H223" s="1032">
        <f>SUM(H213:H221)</f>
        <v>0</v>
      </c>
      <c r="I223" s="1249"/>
      <c r="J223" s="1249"/>
      <c r="K223" s="1249"/>
      <c r="L223" s="1249"/>
      <c r="M223" s="1249"/>
      <c r="N223" s="1249"/>
      <c r="O223" s="1249"/>
      <c r="P223" s="1249"/>
      <c r="Q223" s="1249"/>
      <c r="R223" s="1393"/>
      <c r="V223" s="848"/>
      <c r="W223" s="848"/>
      <c r="X223" s="848"/>
      <c r="Y223" s="848"/>
      <c r="Z223" s="848"/>
      <c r="AA223" s="848"/>
      <c r="AB223" s="848"/>
      <c r="AC223" s="848"/>
      <c r="AE223" s="848"/>
      <c r="AF223" s="848"/>
      <c r="AG223" s="848"/>
      <c r="AH223" s="848"/>
      <c r="AI223" s="848"/>
      <c r="AJ223" s="848"/>
    </row>
    <row r="224" spans="1:37" ht="6" customHeight="1" x14ac:dyDescent="0.2">
      <c r="B224" s="1773">
        <v>214</v>
      </c>
      <c r="C224" s="1268"/>
      <c r="E224" s="1057"/>
      <c r="H224" s="1250"/>
      <c r="L224" s="1251"/>
      <c r="R224" s="1394"/>
      <c r="V224" s="848"/>
      <c r="W224" s="848"/>
      <c r="X224" s="848"/>
      <c r="Y224" s="759"/>
      <c r="Z224" s="759"/>
      <c r="AA224" s="848"/>
      <c r="AB224" s="848"/>
      <c r="AC224" s="848"/>
      <c r="AE224" s="848"/>
      <c r="AF224" s="848"/>
      <c r="AG224" s="848"/>
      <c r="AH224" s="848"/>
      <c r="AI224" s="848"/>
      <c r="AJ224" s="848"/>
    </row>
    <row r="225" spans="1:37" ht="6" customHeight="1" x14ac:dyDescent="0.2">
      <c r="B225" s="1773">
        <v>215</v>
      </c>
      <c r="E225" s="1057"/>
      <c r="H225" s="1250"/>
      <c r="L225" s="1251"/>
      <c r="R225" s="1223"/>
      <c r="V225" s="848"/>
      <c r="W225" s="848"/>
      <c r="X225" s="848"/>
      <c r="Y225" s="848"/>
      <c r="Z225" s="848"/>
      <c r="AA225" s="848"/>
      <c r="AB225" s="848"/>
      <c r="AC225" s="848"/>
      <c r="AE225" s="848"/>
      <c r="AF225" s="848"/>
      <c r="AG225" s="848"/>
      <c r="AH225" s="848"/>
      <c r="AI225" s="848"/>
      <c r="AJ225" s="848"/>
    </row>
    <row r="226" spans="1:37" ht="6" customHeight="1" x14ac:dyDescent="0.2">
      <c r="A226" s="1815"/>
      <c r="B226" s="1819">
        <v>30</v>
      </c>
      <c r="C226" s="1816"/>
      <c r="D226" s="1847"/>
      <c r="E226" s="1817"/>
      <c r="F226" s="1817"/>
      <c r="G226" s="1817"/>
      <c r="H226" s="1817"/>
      <c r="I226" s="1817"/>
      <c r="J226" s="1817"/>
      <c r="K226" s="1817"/>
      <c r="L226" s="1817"/>
      <c r="M226" s="1817"/>
      <c r="N226" s="1817"/>
      <c r="O226" s="1817"/>
      <c r="P226" s="1817"/>
      <c r="Q226" s="1817"/>
      <c r="R226" s="1818"/>
      <c r="S226" s="1815"/>
      <c r="T226" s="1815"/>
      <c r="U226" s="1815"/>
      <c r="V226" s="1814"/>
      <c r="W226" s="1814"/>
      <c r="X226" s="1814"/>
      <c r="Y226" s="1814"/>
      <c r="Z226" s="1814"/>
      <c r="AA226" s="1814"/>
      <c r="AB226" s="1814"/>
      <c r="AC226" s="1814"/>
      <c r="AD226" s="1815"/>
      <c r="AE226" s="1814"/>
      <c r="AF226" s="1814"/>
      <c r="AG226" s="1814"/>
      <c r="AH226" s="1814"/>
      <c r="AI226" s="1814"/>
      <c r="AJ226" s="1814"/>
    </row>
    <row r="227" spans="1:37" ht="6" customHeight="1" x14ac:dyDescent="0.2">
      <c r="B227" s="1773">
        <v>217</v>
      </c>
      <c r="E227" s="1057"/>
      <c r="H227" s="1250"/>
      <c r="L227" s="1251"/>
      <c r="R227" s="1394"/>
      <c r="V227" s="848"/>
      <c r="W227" s="848"/>
      <c r="X227" s="848"/>
      <c r="Y227" s="848"/>
      <c r="Z227" s="848"/>
      <c r="AA227" s="848"/>
      <c r="AB227" s="848"/>
      <c r="AC227" s="848"/>
      <c r="AE227" s="848"/>
      <c r="AF227" s="848"/>
      <c r="AG227" s="848"/>
      <c r="AH227" s="848"/>
      <c r="AI227" s="848"/>
      <c r="AJ227" s="848"/>
    </row>
    <row r="228" spans="1:37" ht="6" customHeight="1" x14ac:dyDescent="0.2">
      <c r="B228" s="1774">
        <v>218</v>
      </c>
      <c r="E228" s="1057"/>
      <c r="H228" s="1250"/>
      <c r="L228" s="1270"/>
      <c r="V228" s="848"/>
      <c r="W228" s="848"/>
      <c r="X228" s="848"/>
      <c r="Y228" s="848"/>
      <c r="Z228" s="848"/>
      <c r="AA228" s="848"/>
      <c r="AB228" s="848"/>
      <c r="AC228" s="848"/>
      <c r="AE228" s="848"/>
      <c r="AF228" s="848"/>
      <c r="AG228" s="848"/>
      <c r="AH228" s="848"/>
      <c r="AI228" s="848"/>
      <c r="AJ228" s="848"/>
    </row>
    <row r="229" spans="1:37" s="760" customFormat="1" ht="6" customHeight="1" x14ac:dyDescent="0.2">
      <c r="A229" s="721"/>
      <c r="B229" s="1773">
        <v>219</v>
      </c>
      <c r="C229" s="1271"/>
      <c r="D229" s="1845"/>
      <c r="E229" s="721"/>
      <c r="F229" s="736"/>
      <c r="G229" s="736"/>
      <c r="H229" s="1272"/>
      <c r="I229" s="822"/>
      <c r="J229" s="817"/>
      <c r="K229" s="822"/>
      <c r="L229" s="1273"/>
      <c r="M229" s="758"/>
      <c r="N229" s="822"/>
      <c r="O229" s="823"/>
      <c r="P229" s="822"/>
      <c r="Q229" s="823"/>
      <c r="R229" s="1391"/>
      <c r="S229" s="1219"/>
      <c r="U229" s="1219"/>
      <c r="V229" s="759"/>
      <c r="W229" s="759"/>
      <c r="X229" s="759"/>
      <c r="Y229" s="759"/>
      <c r="Z229" s="759"/>
      <c r="AA229" s="759"/>
      <c r="AB229" s="759"/>
      <c r="AC229" s="759"/>
      <c r="AE229" s="1274"/>
      <c r="AF229" s="1274"/>
      <c r="AG229" s="1274"/>
      <c r="AH229" s="1274"/>
      <c r="AI229" s="1274"/>
      <c r="AJ229" s="1274"/>
      <c r="AK229" s="1219"/>
    </row>
    <row r="230" spans="1:37" s="760" customFormat="1" x14ac:dyDescent="0.2">
      <c r="A230" s="1712" t="s">
        <v>2621</v>
      </c>
      <c r="B230" s="1773">
        <v>220</v>
      </c>
      <c r="C230" s="1416"/>
      <c r="D230" s="1248" t="str">
        <f>IF(AND(C199&lt;&gt;"",$C230=""),"Select Mode from Pull-Down List                                                                       ","")</f>
        <v/>
      </c>
      <c r="E230" s="1277" t="str">
        <f>IF(AND(C230="",OR(H236&lt;&gt;"",H238&lt;&gt;"",L236&lt;&gt;"",N236&lt;&gt;"",L238&lt;&gt;"",N238&lt;&gt;"",R236&lt;&gt;"",R238&lt;&gt;"",C232&lt;&gt;"",H254&lt;&gt;0,L244&lt;&gt;"",L246&lt;&gt;"",L248&lt;&gt;"",L250&lt;&gt;"",L252&lt;&gt;"",N244&lt;&gt;"",N246&lt;&gt;"",N248&lt;&gt;"",N250&lt;&gt;"",N252&lt;&gt;"",R244&lt;&gt;"",R246&lt;&gt;"",R248&lt;&gt;"",R250&lt;&gt;"",R252&lt;&gt;"")),"&lt;&lt; Insert Rail Mode",IF(AND(C230&lt;&gt;"",C199=""),"&lt;&lt;Complete Previous Section First",""))</f>
        <v/>
      </c>
      <c r="F230" s="736"/>
      <c r="G230" s="736"/>
      <c r="H230" s="1253"/>
      <c r="I230" s="1254"/>
      <c r="J230" s="1255"/>
      <c r="K230" s="1256"/>
      <c r="L230" s="1257"/>
      <c r="M230" s="1254"/>
      <c r="N230" s="1254"/>
      <c r="O230" s="1254"/>
      <c r="P230" s="1254"/>
      <c r="Q230" s="1254"/>
      <c r="R230" s="1223"/>
      <c r="S230" s="1221"/>
      <c r="T230" s="758"/>
      <c r="U230" s="758" t="b">
        <f>IF(OR(E230&lt;&gt;"",E261="&lt;&lt;Complete Previous Section First"),TRUE,FALSE)</f>
        <v>0</v>
      </c>
      <c r="V230" s="763"/>
      <c r="W230" s="763"/>
      <c r="X230" s="763"/>
      <c r="Y230" s="763"/>
      <c r="Z230" s="763"/>
      <c r="AA230" s="763"/>
      <c r="AB230" s="763"/>
      <c r="AC230" s="763"/>
      <c r="AE230" s="783"/>
      <c r="AF230" s="783"/>
      <c r="AG230" s="783"/>
      <c r="AH230" s="783"/>
      <c r="AI230" s="783"/>
      <c r="AJ230" s="783"/>
      <c r="AK230" s="1220"/>
    </row>
    <row r="231" spans="1:37" s="760" customFormat="1" ht="6" customHeight="1" x14ac:dyDescent="0.2">
      <c r="A231" s="721"/>
      <c r="B231" s="1773">
        <v>221</v>
      </c>
      <c r="C231" s="1434"/>
      <c r="D231" s="1248"/>
      <c r="E231" s="1277"/>
      <c r="F231" s="736"/>
      <c r="G231" s="736"/>
      <c r="H231" s="1253"/>
      <c r="I231" s="1254"/>
      <c r="J231" s="1255"/>
      <c r="K231" s="1256"/>
      <c r="L231" s="1257"/>
      <c r="M231" s="1254"/>
      <c r="N231" s="1254"/>
      <c r="O231" s="1254"/>
      <c r="P231" s="1254"/>
      <c r="Q231" s="1254"/>
      <c r="R231" s="1223"/>
      <c r="S231" s="1221"/>
      <c r="T231" s="758"/>
      <c r="U231" s="758"/>
      <c r="V231" s="763"/>
      <c r="W231" s="763"/>
      <c r="X231" s="763"/>
      <c r="Y231" s="763"/>
      <c r="Z231" s="763"/>
      <c r="AA231" s="763"/>
      <c r="AB231" s="763"/>
      <c r="AC231" s="763"/>
      <c r="AE231" s="783"/>
      <c r="AF231" s="783"/>
      <c r="AG231" s="783"/>
      <c r="AH231" s="783"/>
      <c r="AI231" s="783"/>
      <c r="AJ231" s="783"/>
      <c r="AK231" s="1220"/>
    </row>
    <row r="232" spans="1:37" s="760" customFormat="1" x14ac:dyDescent="0.2">
      <c r="A232" s="1712" t="s">
        <v>2621</v>
      </c>
      <c r="B232" s="1773">
        <v>222</v>
      </c>
      <c r="C232" s="1417"/>
      <c r="D232" s="1248" t="str">
        <f>IF(AND(C230&lt;&gt;"",C232=""),"Agency-Specific "&amp;VLOOKUP(C230,Codes!$C$156:$D$174,2,FALSE)&amp;" Curvature Threshold (ft. radius or degrees)  ","")</f>
        <v/>
      </c>
      <c r="E232" s="1277"/>
      <c r="F232" s="736"/>
      <c r="G232" s="851"/>
      <c r="H232" s="1253"/>
      <c r="I232" s="1254"/>
      <c r="J232" s="1255"/>
      <c r="K232" s="1256"/>
      <c r="L232" s="1257"/>
      <c r="M232" s="1254"/>
      <c r="N232" s="1254"/>
      <c r="O232" s="1254"/>
      <c r="P232" s="1254"/>
      <c r="Q232" s="1254"/>
      <c r="R232" s="1223"/>
      <c r="S232" s="1221"/>
      <c r="T232" s="758"/>
      <c r="U232" s="758" t="b">
        <f>IF(AND(C230&lt;&gt;"",C232=""),TRUE,FALSE)</f>
        <v>0</v>
      </c>
      <c r="V232" s="763"/>
      <c r="W232" s="763"/>
      <c r="X232" s="763"/>
      <c r="Y232" s="763"/>
      <c r="Z232" s="763"/>
      <c r="AA232" s="763"/>
      <c r="AB232" s="763"/>
      <c r="AC232" s="763"/>
      <c r="AE232" s="783"/>
      <c r="AF232" s="783"/>
      <c r="AG232" s="783"/>
      <c r="AH232" s="783"/>
      <c r="AI232" s="783"/>
      <c r="AJ232" s="783"/>
      <c r="AK232" s="1220"/>
    </row>
    <row r="233" spans="1:37" s="760" customFormat="1" ht="6" customHeight="1" x14ac:dyDescent="0.2">
      <c r="A233" s="721"/>
      <c r="B233" s="1773">
        <v>223</v>
      </c>
      <c r="C233" s="828"/>
      <c r="D233" s="1845"/>
      <c r="E233" s="721"/>
      <c r="F233" s="281"/>
      <c r="G233" s="281"/>
      <c r="H233" s="1029"/>
      <c r="I233" s="829"/>
      <c r="J233" s="830"/>
      <c r="K233" s="829"/>
      <c r="L233" s="1031"/>
      <c r="M233" s="758"/>
      <c r="N233" s="724"/>
      <c r="O233" s="724"/>
      <c r="P233" s="724"/>
      <c r="Q233" s="724"/>
      <c r="R233" s="1223"/>
      <c r="S233" s="1221"/>
      <c r="T233" s="1219"/>
      <c r="U233" s="1221"/>
      <c r="V233" s="759"/>
      <c r="W233" s="759"/>
      <c r="X233" s="759"/>
      <c r="Y233" s="759"/>
      <c r="Z233" s="759"/>
      <c r="AA233" s="759"/>
      <c r="AB233" s="759"/>
      <c r="AC233" s="759"/>
      <c r="AE233" s="833"/>
      <c r="AF233" s="833"/>
      <c r="AG233" s="833"/>
      <c r="AH233" s="833"/>
      <c r="AI233" s="833"/>
      <c r="AJ233" s="833"/>
      <c r="AK233" s="1221"/>
    </row>
    <row r="234" spans="1:37" s="760" customFormat="1" x14ac:dyDescent="0.2">
      <c r="A234" s="1712" t="s">
        <v>2621</v>
      </c>
      <c r="B234" s="1773">
        <v>224</v>
      </c>
      <c r="C234" s="205" t="str">
        <f>IF(C230="","Linear Track",VLOOKUP(C230,Codes!$C$156:$D$174,2)&amp;" Linear Track")</f>
        <v>Linear Track</v>
      </c>
      <c r="D234" s="1845"/>
      <c r="E234" s="721"/>
      <c r="F234" s="281"/>
      <c r="G234" s="281"/>
      <c r="H234" s="1029"/>
      <c r="I234" s="829"/>
      <c r="J234" s="830"/>
      <c r="K234" s="829"/>
      <c r="L234" s="1031"/>
      <c r="M234" s="758"/>
      <c r="N234" s="724"/>
      <c r="O234" s="724"/>
      <c r="P234" s="724"/>
      <c r="Q234" s="724"/>
      <c r="R234" s="1223"/>
      <c r="S234" s="1221"/>
      <c r="T234" s="1219"/>
      <c r="U234" s="1221"/>
      <c r="V234" s="759"/>
      <c r="W234" s="759"/>
      <c r="X234" s="759"/>
      <c r="Y234" s="759"/>
      <c r="Z234" s="759"/>
      <c r="AA234" s="759"/>
      <c r="AB234" s="759"/>
      <c r="AC234" s="759"/>
      <c r="AE234" s="833"/>
      <c r="AF234" s="833"/>
      <c r="AG234" s="833"/>
      <c r="AH234" s="833"/>
      <c r="AI234" s="833"/>
      <c r="AJ234" s="833"/>
      <c r="AK234" s="1221"/>
    </row>
    <row r="235" spans="1:37" s="760" customFormat="1" ht="6" customHeight="1" x14ac:dyDescent="0.2">
      <c r="A235" s="721"/>
      <c r="B235" s="1773">
        <v>225</v>
      </c>
      <c r="C235" s="828"/>
      <c r="D235" s="1845"/>
      <c r="E235" s="721"/>
      <c r="F235" s="281"/>
      <c r="G235" s="281"/>
      <c r="H235" s="1029"/>
      <c r="I235" s="829"/>
      <c r="J235" s="830"/>
      <c r="K235" s="829"/>
      <c r="L235" s="1031"/>
      <c r="M235" s="758"/>
      <c r="N235" s="724"/>
      <c r="O235" s="724"/>
      <c r="P235" s="724"/>
      <c r="Q235" s="724"/>
      <c r="R235" s="1223"/>
      <c r="S235" s="1221"/>
      <c r="T235" s="1219"/>
      <c r="U235" s="1221"/>
      <c r="V235" s="759"/>
      <c r="W235" s="759"/>
      <c r="X235" s="759"/>
      <c r="Y235" s="759"/>
      <c r="Z235" s="759"/>
      <c r="AA235" s="759"/>
      <c r="AB235" s="759"/>
      <c r="AC235" s="759"/>
      <c r="AE235" s="833"/>
      <c r="AF235" s="833"/>
      <c r="AG235" s="833"/>
      <c r="AH235" s="833"/>
      <c r="AI235" s="833"/>
      <c r="AJ235" s="833"/>
      <c r="AK235" s="1221"/>
    </row>
    <row r="236" spans="1:37" s="760" customFormat="1" x14ac:dyDescent="0.2">
      <c r="A236" s="852">
        <v>50</v>
      </c>
      <c r="B236" s="1774">
        <v>226</v>
      </c>
      <c r="C236" s="851" t="str">
        <f>Valid!$B$80</f>
        <v>Tangent</v>
      </c>
      <c r="D236" s="1845"/>
      <c r="E236" s="1056" t="str">
        <f>IF(U236="N/A","",U236)</f>
        <v/>
      </c>
      <c r="F236" s="685"/>
      <c r="G236" s="685"/>
      <c r="H236" s="1025"/>
      <c r="I236" s="1246" t="str">
        <f>IF($C$230="","",IF(H236="","Qty? Enter Zero if N/A  ",""))</f>
        <v/>
      </c>
      <c r="J236" s="1249" t="str">
        <f>VLOOKUP(C236,Valid!$B$80:$C$86,2,FALSE)</f>
        <v>Track Feet</v>
      </c>
      <c r="K236" s="764"/>
      <c r="L236" s="1025"/>
      <c r="M236" s="1248" t="str">
        <f>IF($H236=0,"",IF($L236="",TEXT(AH236,0)&amp;" Years?    ",""))</f>
        <v/>
      </c>
      <c r="N236" s="1276"/>
      <c r="O236" s="1275" t="str">
        <f>IF($H236=0,"","% Cap Resp.    ")</f>
        <v/>
      </c>
      <c r="P236" s="1808"/>
      <c r="Q236" s="1275" t="str">
        <f>IF($H236=0,"","% Cap Resp.    ")</f>
        <v/>
      </c>
      <c r="R236" s="1392"/>
      <c r="S236" s="1223"/>
      <c r="T236" s="1223"/>
      <c r="U236" s="758" t="str">
        <f>IF(AND(R236="",N236="",L236="",H236="",L236=""),"N/A",IF(AND($H236=0,OR(L236&lt;&gt;"",N236&lt;&gt;"",R236&lt;&gt;"",L236&lt;&gt;"")),"No",IF(AND($H236&lt;&gt;0,OR($N236="",L236="")),"No","Yes")))</f>
        <v>N/A</v>
      </c>
      <c r="V236" s="761" t="b">
        <f>IF(AND(H236="",OR(L236&lt;&gt;"",N236&lt;&gt;"")),TRUE,FALSE)</f>
        <v>0</v>
      </c>
      <c r="W236" s="761" t="b">
        <f>IF(AND($C$230&lt;&gt;"",$H236=""),TRUE,FALSE)</f>
        <v>0</v>
      </c>
      <c r="X236" s="761" t="b">
        <f>IF(AND(H236&lt;&gt;"",H236&lt;&gt;0,H236&gt;AG236),TRUE,FALSE)</f>
        <v>0</v>
      </c>
      <c r="Y236" s="761" t="b">
        <f>IF($L236="",FALSE,IF($L236&lt;$AI236,TRUE,FALSE))</f>
        <v>0</v>
      </c>
      <c r="Z236" s="761" t="b">
        <f>IF($L236="",FALSE,IF($L236&gt;$AJ236,TRUE,FALSE))</f>
        <v>0</v>
      </c>
      <c r="AA236" s="761" t="b">
        <f>IF(AND(E236="No",$L236=""),TRUE,FALSE)</f>
        <v>0</v>
      </c>
      <c r="AB236" s="761" t="b">
        <f>IF($AC236=TRUE,FALSE,IF(OR($N236&lt;0,$N236&gt;1),TRUE,FALSE))</f>
        <v>0</v>
      </c>
      <c r="AC236" s="761" t="b">
        <f>IF(OR($H236=0, $H236=""), FALSE, IF(AND(H236&gt;0, L236&lt;&gt;"", N236&lt;&gt;""), IF(AND((N236*100)&lt;100,P236=""), TRUE,FALSE), TRUE))</f>
        <v>0</v>
      </c>
      <c r="AD236" s="762"/>
      <c r="AE236" s="783">
        <f t="shared" ref="AE236:AJ236" si="49">IF($C236="","",VLOOKUP($C236,val_fg_assets,AE$5,FALSE))</f>
        <v>1</v>
      </c>
      <c r="AF236" s="835">
        <f t="shared" si="49"/>
        <v>0</v>
      </c>
      <c r="AG236" s="835">
        <f t="shared" si="49"/>
        <v>3000000</v>
      </c>
      <c r="AH236" s="783">
        <f t="shared" si="49"/>
        <v>35</v>
      </c>
      <c r="AI236" s="783">
        <f t="shared" si="49"/>
        <v>26</v>
      </c>
      <c r="AJ236" s="783">
        <f t="shared" si="49"/>
        <v>44</v>
      </c>
      <c r="AK236" s="834"/>
    </row>
    <row r="237" spans="1:37" s="760" customFormat="1" ht="6" customHeight="1" x14ac:dyDescent="0.2">
      <c r="A237" s="852"/>
      <c r="B237" s="1773">
        <v>227</v>
      </c>
      <c r="C237" s="1222"/>
      <c r="D237" s="1845"/>
      <c r="E237" s="1059"/>
      <c r="F237" s="685"/>
      <c r="G237" s="685"/>
      <c r="H237" s="1176"/>
      <c r="I237" s="764"/>
      <c r="J237" s="840"/>
      <c r="K237" s="764"/>
      <c r="L237" s="1031"/>
      <c r="M237" s="758"/>
      <c r="N237" s="1258"/>
      <c r="O237" s="724"/>
      <c r="P237" s="1258"/>
      <c r="Q237" s="724"/>
      <c r="R237" s="1223"/>
      <c r="S237" s="1223"/>
      <c r="T237" s="1223"/>
      <c r="U237" s="1223"/>
      <c r="V237" s="759"/>
      <c r="W237" s="759"/>
      <c r="X237" s="759"/>
      <c r="Y237" s="759"/>
      <c r="Z237" s="759"/>
      <c r="AA237" s="759"/>
      <c r="AB237" s="759"/>
      <c r="AC237" s="759"/>
      <c r="AE237" s="833"/>
      <c r="AF237" s="845"/>
      <c r="AG237" s="845"/>
      <c r="AH237" s="833"/>
      <c r="AI237" s="833"/>
      <c r="AJ237" s="833"/>
      <c r="AK237" s="1223"/>
    </row>
    <row r="238" spans="1:37" s="760" customFormat="1" x14ac:dyDescent="0.2">
      <c r="A238" s="852">
        <v>51</v>
      </c>
      <c r="B238" s="1773">
        <v>228</v>
      </c>
      <c r="C238" s="851" t="str">
        <f>Valid!$B$81</f>
        <v>Curve</v>
      </c>
      <c r="D238" s="1845"/>
      <c r="E238" s="1056" t="str">
        <f>IF(U238="N/A","",U238)</f>
        <v/>
      </c>
      <c r="F238" s="764"/>
      <c r="G238" s="764"/>
      <c r="H238" s="1025"/>
      <c r="I238" s="1246" t="str">
        <f>IF($C$230="","",IF(H238="","Qty? Enter Zero if N/A  ",""))</f>
        <v/>
      </c>
      <c r="J238" s="1249" t="str">
        <f>VLOOKUP(C238,Valid!$B$80:$C$86,2,FALSE)</f>
        <v>Track Feet</v>
      </c>
      <c r="K238" s="764"/>
      <c r="L238" s="1025"/>
      <c r="M238" s="1248" t="str">
        <f>IF($H238=0,"",IF($L238="",TEXT(AH238,0)&amp;" Years?    ",""))</f>
        <v/>
      </c>
      <c r="N238" s="1276"/>
      <c r="O238" s="1275" t="str">
        <f>IF($H238=0,"","% Cap Resp.    ")</f>
        <v/>
      </c>
      <c r="P238" s="1808"/>
      <c r="Q238" s="1275" t="str">
        <f>IF($H238=0,"","% Cap Resp.    ")</f>
        <v/>
      </c>
      <c r="R238" s="1392"/>
      <c r="S238" s="1223"/>
      <c r="T238" s="1223"/>
      <c r="U238" s="758" t="str">
        <f>IF(AND(R238="",N238="",L238="",H238="",L238=""),"N/A",IF(AND($H238=0,OR(L238&lt;&gt;"",N238&lt;&gt;"",R238&lt;&gt;"",L238&lt;&gt;"")),"No",IF(AND($H238&lt;&gt;0,OR($N238="",L238="")),"No","Yes")))</f>
        <v>N/A</v>
      </c>
      <c r="V238" s="761" t="b">
        <f>IF(AND(H238="",OR(L238&lt;&gt;"",N238&lt;&gt;"")),TRUE,FALSE)</f>
        <v>0</v>
      </c>
      <c r="W238" s="761" t="b">
        <f>IF(AND($C$230&lt;&gt;"",$H238=""),TRUE,FALSE)</f>
        <v>0</v>
      </c>
      <c r="X238" s="761" t="b">
        <f>IF(AND(H238&lt;&gt;"",H238&lt;&gt;0,H238&gt;AG238),TRUE,FALSE)</f>
        <v>0</v>
      </c>
      <c r="Y238" s="761" t="b">
        <f>IF($L238="",FALSE,IF($L238&lt;$AI238,TRUE,FALSE))</f>
        <v>0</v>
      </c>
      <c r="Z238" s="761" t="b">
        <f>IF($L238="",FALSE,IF($L238&gt;$AJ238,TRUE,FALSE))</f>
        <v>0</v>
      </c>
      <c r="AA238" s="761" t="b">
        <f>IF(AND(E238="No",$L238=""),TRUE,FALSE)</f>
        <v>0</v>
      </c>
      <c r="AB238" s="761" t="b">
        <f>IF($AC238=TRUE,FALSE,IF(OR($N238&lt;0,$N238&gt;1),TRUE,FALSE))</f>
        <v>0</v>
      </c>
      <c r="AC238" s="761" t="b">
        <f>IF(OR($H238=0, $H238=""), FALSE, IF(AND(H238&gt;0, L238&lt;&gt;"", N238&lt;&gt;""), IF(AND((N238*100)&lt;100,P238=""), TRUE,FALSE), TRUE))</f>
        <v>0</v>
      </c>
      <c r="AD238" s="762"/>
      <c r="AE238" s="783">
        <f t="shared" ref="AE238:AJ238" si="50">IF($C238="","",VLOOKUP($C238,val_fg_assets,AE$5,FALSE))</f>
        <v>1</v>
      </c>
      <c r="AF238" s="835">
        <f t="shared" si="50"/>
        <v>0</v>
      </c>
      <c r="AG238" s="835">
        <f t="shared" si="50"/>
        <v>3000000</v>
      </c>
      <c r="AH238" s="783">
        <f t="shared" si="50"/>
        <v>15</v>
      </c>
      <c r="AI238" s="783">
        <f t="shared" si="50"/>
        <v>11</v>
      </c>
      <c r="AJ238" s="783">
        <f t="shared" si="50"/>
        <v>19</v>
      </c>
      <c r="AK238" s="834"/>
    </row>
    <row r="239" spans="1:37" ht="6" customHeight="1" thickBot="1" x14ac:dyDescent="0.25">
      <c r="A239" s="1225"/>
      <c r="B239" s="1773">
        <v>229</v>
      </c>
      <c r="C239" s="1249"/>
      <c r="E239" s="1058"/>
      <c r="F239" s="764"/>
      <c r="G239" s="764"/>
      <c r="H239" s="1251"/>
      <c r="L239" s="1251"/>
      <c r="R239" s="1223"/>
      <c r="V239" s="848"/>
      <c r="W239" s="848"/>
      <c r="X239" s="848"/>
      <c r="Y239" s="848"/>
      <c r="Z239" s="848"/>
      <c r="AA239" s="848"/>
      <c r="AB239" s="848"/>
      <c r="AC239" s="848"/>
      <c r="AE239" s="848"/>
      <c r="AF239" s="848"/>
      <c r="AG239" s="848"/>
      <c r="AH239" s="848"/>
      <c r="AI239" s="848"/>
      <c r="AJ239" s="848"/>
    </row>
    <row r="240" spans="1:37" x14ac:dyDescent="0.2">
      <c r="A240" s="1712" t="s">
        <v>2621</v>
      </c>
      <c r="B240" s="1773">
        <v>230</v>
      </c>
      <c r="C240" s="1224"/>
      <c r="E240" s="1057"/>
      <c r="F240" s="1278" t="str">
        <f>IF(C230="","Linear Track Totals &gt;&gt;",VLOOKUP(C230,Codes!$C$156:$D$174,2)&amp;" Linear Track Totals &gt;&gt;")</f>
        <v>Linear Track Totals &gt;&gt;</v>
      </c>
      <c r="H240" s="1032">
        <f>SUM(H236:H238)</f>
        <v>0</v>
      </c>
      <c r="I240" s="843"/>
      <c r="L240" s="1031"/>
      <c r="M240" s="714"/>
      <c r="N240" s="838"/>
      <c r="O240" s="734"/>
      <c r="P240" s="838"/>
      <c r="Q240" s="734"/>
      <c r="R240" s="834"/>
      <c r="V240" s="848"/>
      <c r="W240" s="718"/>
      <c r="X240" s="718"/>
      <c r="Y240" s="718"/>
      <c r="Z240" s="718"/>
      <c r="AA240" s="848"/>
      <c r="AB240" s="718"/>
      <c r="AC240" s="848"/>
      <c r="AD240" s="716"/>
      <c r="AE240" s="718"/>
      <c r="AF240" s="718"/>
      <c r="AG240" s="718"/>
      <c r="AH240" s="718"/>
      <c r="AI240" s="718"/>
      <c r="AJ240" s="718"/>
      <c r="AK240" s="716"/>
    </row>
    <row r="241" spans="1:36" ht="6" customHeight="1" x14ac:dyDescent="0.2">
      <c r="A241" s="1225"/>
      <c r="B241" s="1773">
        <v>231</v>
      </c>
      <c r="C241" s="1249"/>
      <c r="E241" s="1057"/>
      <c r="F241" s="1379"/>
      <c r="H241" s="1028"/>
      <c r="I241" s="843"/>
      <c r="L241" s="1031"/>
      <c r="M241" s="714"/>
      <c r="N241" s="838"/>
      <c r="O241" s="734"/>
      <c r="P241" s="838"/>
      <c r="Q241" s="734"/>
      <c r="R241" s="1223"/>
      <c r="V241" s="848"/>
      <c r="W241" s="848"/>
      <c r="X241" s="848"/>
      <c r="Y241" s="848"/>
      <c r="Z241" s="848"/>
      <c r="AA241" s="848"/>
      <c r="AB241" s="848"/>
      <c r="AC241" s="848"/>
      <c r="AE241" s="848"/>
      <c r="AF241" s="848"/>
      <c r="AG241" s="848"/>
      <c r="AH241" s="848"/>
      <c r="AI241" s="848"/>
      <c r="AJ241" s="848"/>
    </row>
    <row r="242" spans="1:36" x14ac:dyDescent="0.2">
      <c r="A242" s="1712" t="s">
        <v>2621</v>
      </c>
      <c r="B242" s="1773">
        <v>232</v>
      </c>
      <c r="C242" s="205" t="str">
        <f>IF(C230="","Track Special Work (excluding linear assets)",VLOOKUP(C230,Codes!$C$156:$D$174,2)&amp;" Track Special Work (excluding linear assets)")</f>
        <v>Track Special Work (excluding linear assets)</v>
      </c>
      <c r="E242" s="1057"/>
      <c r="F242" s="1379"/>
      <c r="H242" s="1028"/>
      <c r="I242" s="843"/>
      <c r="L242" s="1031"/>
      <c r="M242" s="714"/>
      <c r="N242" s="838"/>
      <c r="O242" s="734"/>
      <c r="P242" s="838"/>
      <c r="Q242" s="734"/>
      <c r="R242" s="1223"/>
      <c r="V242" s="848"/>
      <c r="W242" s="848"/>
      <c r="X242" s="848"/>
      <c r="Y242" s="848"/>
      <c r="Z242" s="848"/>
      <c r="AA242" s="848"/>
      <c r="AB242" s="848"/>
      <c r="AC242" s="848"/>
      <c r="AE242" s="848"/>
      <c r="AF242" s="848"/>
      <c r="AG242" s="848"/>
      <c r="AH242" s="848"/>
      <c r="AI242" s="848"/>
      <c r="AJ242" s="848"/>
    </row>
    <row r="243" spans="1:36" ht="6" customHeight="1" x14ac:dyDescent="0.2">
      <c r="A243" s="1225"/>
      <c r="B243" s="1773">
        <v>233</v>
      </c>
      <c r="C243" s="1249"/>
      <c r="E243" s="1057"/>
      <c r="F243" s="1379"/>
      <c r="H243" s="1028"/>
      <c r="I243" s="843"/>
      <c r="L243" s="1031"/>
      <c r="M243" s="714"/>
      <c r="N243" s="838"/>
      <c r="O243" s="734"/>
      <c r="P243" s="838"/>
      <c r="Q243" s="734"/>
      <c r="R243" s="1223"/>
      <c r="V243" s="761"/>
      <c r="W243" s="848"/>
      <c r="X243" s="848"/>
      <c r="Y243" s="848"/>
      <c r="Z243" s="848"/>
      <c r="AA243" s="761"/>
      <c r="AB243" s="848"/>
      <c r="AC243" s="848"/>
      <c r="AE243" s="848"/>
      <c r="AF243" s="848"/>
      <c r="AG243" s="848"/>
      <c r="AH243" s="848"/>
      <c r="AI243" s="848"/>
      <c r="AJ243" s="848"/>
    </row>
    <row r="244" spans="1:36" x14ac:dyDescent="0.2">
      <c r="A244" s="852">
        <v>52</v>
      </c>
      <c r="B244" s="1774">
        <v>234</v>
      </c>
      <c r="C244" s="1249" t="str">
        <f>Valid!$B$82</f>
        <v>Double Diamond Crossover</v>
      </c>
      <c r="E244" s="1245" t="str">
        <f>IF(U244="N/A","",U244)</f>
        <v/>
      </c>
      <c r="F244" s="1249"/>
      <c r="H244" s="1247"/>
      <c r="I244" s="1246" t="str">
        <f>IF($C$230="","",IF(H244="","Qty? Enter Zero if N/A  ",""))</f>
        <v/>
      </c>
      <c r="J244" s="1249" t="str">
        <f>VLOOKUP(C244,Valid!$B$80:$C$86,2,FALSE)</f>
        <v>Each</v>
      </c>
      <c r="K244" s="1249"/>
      <c r="L244" s="1247"/>
      <c r="M244" s="1248" t="str">
        <f>IF($H244=0,"",IF($L244="",TEXT(AH244,0)&amp;" Years?    ",""))</f>
        <v/>
      </c>
      <c r="N244" s="1276"/>
      <c r="O244" s="1275" t="str">
        <f>IF($H244=0,"","% Cap Resp.    ")</f>
        <v/>
      </c>
      <c r="P244" s="1808"/>
      <c r="Q244" s="1275" t="str">
        <f>IF($H244=0,"","% Cap Resp.    ")</f>
        <v/>
      </c>
      <c r="R244" s="1392"/>
      <c r="U244" s="758" t="str">
        <f>IF(AND(R244="",N244="",L244="",H244="",L244=""),"N/A",IF(AND($H244=0,OR(L244&lt;&gt;"",N244&lt;&gt;"",R244&lt;&gt;"",L244&lt;&gt;"")),"No",IF(AND($H244&lt;&gt;0,OR($N244="",L244="")),"No","Yes")))</f>
        <v>N/A</v>
      </c>
      <c r="V244" s="761" t="b">
        <f>IF(AND(H244="",OR(L244&lt;&gt;"",N244&lt;&gt;"")),TRUE,FALSE)</f>
        <v>0</v>
      </c>
      <c r="W244" s="761" t="b">
        <f>IF(AND($C$44&lt;&gt;"",$H244=""),TRUE,FALSE)</f>
        <v>0</v>
      </c>
      <c r="X244" s="761" t="b">
        <f>IF(AND(H244&lt;&gt;"",H244&lt;&gt;0,H244&gt;AG244),TRUE,FALSE)</f>
        <v>0</v>
      </c>
      <c r="Y244" s="761" t="b">
        <f>IF($L244="",FALSE,IF($L244&lt;$AI244,TRUE,FALSE))</f>
        <v>0</v>
      </c>
      <c r="Z244" s="761" t="b">
        <f>IF($L244="",FALSE,IF($L244&gt;$AJ244,TRUE,FALSE))</f>
        <v>0</v>
      </c>
      <c r="AA244" s="761" t="b">
        <f>IF(AND(E244="No",$L244=""),TRUE,FALSE)</f>
        <v>0</v>
      </c>
      <c r="AB244" s="761" t="b">
        <f>IF($AC244=TRUE,FALSE,IF(OR($N244&lt;0,$N244&gt;1),TRUE,FALSE))</f>
        <v>0</v>
      </c>
      <c r="AC244" s="761" t="b">
        <f>IF(OR($H244=0, $H244=""), FALSE, IF(AND(H244&gt;0, L244&lt;&gt;"", N244&lt;&gt;""), IF(AND((N244*100)&lt;100,P244=""), TRUE,FALSE), TRUE))</f>
        <v>0</v>
      </c>
      <c r="AD244" s="762"/>
      <c r="AE244" s="783">
        <f t="shared" ref="AE244:AJ244" si="51">IF($C244="","",VLOOKUP($C244,val_fg_assets,AE$5,FALSE))</f>
        <v>1</v>
      </c>
      <c r="AF244" s="835">
        <f t="shared" si="51"/>
        <v>0</v>
      </c>
      <c r="AG244" s="835">
        <f t="shared" si="51"/>
        <v>500</v>
      </c>
      <c r="AH244" s="783">
        <f t="shared" si="51"/>
        <v>15</v>
      </c>
      <c r="AI244" s="783">
        <f t="shared" si="51"/>
        <v>11</v>
      </c>
      <c r="AJ244" s="783">
        <f t="shared" si="51"/>
        <v>19</v>
      </c>
    </row>
    <row r="245" spans="1:36" ht="6" customHeight="1" x14ac:dyDescent="0.2">
      <c r="A245" s="1225"/>
      <c r="B245" s="1773">
        <v>235</v>
      </c>
      <c r="C245" s="1249"/>
      <c r="E245" s="1249"/>
      <c r="F245" s="1249"/>
      <c r="H245" s="1249"/>
      <c r="I245" s="1249"/>
      <c r="J245" s="1249"/>
      <c r="K245" s="1249"/>
      <c r="L245" s="1249"/>
      <c r="M245" s="1249"/>
      <c r="N245" s="1249"/>
      <c r="O245" s="1249"/>
      <c r="P245" s="1249"/>
      <c r="Q245" s="1249"/>
      <c r="R245" s="1393"/>
      <c r="V245" s="848"/>
      <c r="W245" s="848"/>
      <c r="X245" s="848"/>
      <c r="Y245" s="848"/>
      <c r="Z245" s="848"/>
      <c r="AA245" s="848"/>
      <c r="AB245" s="848"/>
      <c r="AC245" s="848"/>
      <c r="AE245" s="848"/>
      <c r="AF245" s="848"/>
      <c r="AG245" s="848"/>
      <c r="AH245" s="848"/>
      <c r="AI245" s="848"/>
      <c r="AJ245" s="848"/>
    </row>
    <row r="246" spans="1:36" x14ac:dyDescent="0.2">
      <c r="A246" s="852">
        <v>53</v>
      </c>
      <c r="B246" s="1773">
        <v>236</v>
      </c>
      <c r="C246" s="1249" t="str">
        <f>Valid!$B$83</f>
        <v>Single Crossover</v>
      </c>
      <c r="E246" s="1245" t="str">
        <f>IF(U246="N/A","",U246)</f>
        <v/>
      </c>
      <c r="F246" s="1249"/>
      <c r="H246" s="1247"/>
      <c r="I246" s="1246" t="str">
        <f>IF($C$230="","",IF(H246="","Qty? Enter Zero if N/A  ",""))</f>
        <v/>
      </c>
      <c r="J246" s="1249" t="str">
        <f>VLOOKUP(C246,Valid!$B$80:$C$86,2,FALSE)</f>
        <v>Each</v>
      </c>
      <c r="K246" s="1249"/>
      <c r="L246" s="1247"/>
      <c r="M246" s="1248" t="str">
        <f>IF($H246=0,"",IF($L246="",TEXT(AH246,0)&amp;" Years?    ",""))</f>
        <v/>
      </c>
      <c r="N246" s="1276"/>
      <c r="O246" s="1275" t="str">
        <f>IF($H246=0,"","% Cap Resp.    ")</f>
        <v/>
      </c>
      <c r="P246" s="1808"/>
      <c r="Q246" s="1275" t="str">
        <f>IF($H246=0,"","% Cap Resp.    ")</f>
        <v/>
      </c>
      <c r="R246" s="1392"/>
      <c r="U246" s="758" t="str">
        <f>IF(AND(R246="",N246="",L246="",H246="",L246=""),"N/A",IF(AND($H246=0,OR(L246&lt;&gt;"",N246&lt;&gt;"",R246&lt;&gt;"",L246&lt;&gt;"")),"No",IF(AND($H246&lt;&gt;0,OR($N246="",L246="")),"No","Yes")))</f>
        <v>N/A</v>
      </c>
      <c r="V246" s="761" t="b">
        <f>IF(AND(H246="",OR(L246&lt;&gt;"",N246&lt;&gt;"")),TRUE,FALSE)</f>
        <v>0</v>
      </c>
      <c r="W246" s="761" t="b">
        <f>IF(AND($C$44&lt;&gt;"",$H246=""),TRUE,FALSE)</f>
        <v>0</v>
      </c>
      <c r="X246" s="761" t="b">
        <f>IF(AND(H246&lt;&gt;"",H246&lt;&gt;0,H246&gt;AG246),TRUE,FALSE)</f>
        <v>0</v>
      </c>
      <c r="Y246" s="761" t="b">
        <f>IF($L246="",FALSE,IF($L246&lt;$AI246,TRUE,FALSE))</f>
        <v>0</v>
      </c>
      <c r="Z246" s="761" t="b">
        <f>IF($L246="",FALSE,IF($L246&gt;$AJ246,TRUE,FALSE))</f>
        <v>0</v>
      </c>
      <c r="AA246" s="761" t="b">
        <f>IF(AND(E246="No",$L246=""),TRUE,FALSE)</f>
        <v>0</v>
      </c>
      <c r="AB246" s="761" t="b">
        <f>IF($AC246=TRUE,FALSE,IF(OR($N246&lt;0,$N246&gt;1),TRUE,FALSE))</f>
        <v>0</v>
      </c>
      <c r="AC246" s="761" t="b">
        <f>IF(OR($H246=0, $H246=""), FALSE, IF(AND(H246&gt;0, L246&lt;&gt;"", N246&lt;&gt;""), IF(AND((N246*100)&lt;100,P246=""), TRUE,FALSE), TRUE))</f>
        <v>0</v>
      </c>
      <c r="AD246" s="762"/>
      <c r="AE246" s="783">
        <f t="shared" ref="AE246:AJ246" si="52">IF($C246="","",VLOOKUP($C246,val_fg_assets,AE$5,FALSE))</f>
        <v>1</v>
      </c>
      <c r="AF246" s="835">
        <f t="shared" si="52"/>
        <v>0</v>
      </c>
      <c r="AG246" s="835">
        <f t="shared" si="52"/>
        <v>500</v>
      </c>
      <c r="AH246" s="783">
        <f t="shared" si="52"/>
        <v>15</v>
      </c>
      <c r="AI246" s="783">
        <f t="shared" si="52"/>
        <v>11</v>
      </c>
      <c r="AJ246" s="783">
        <f t="shared" si="52"/>
        <v>19</v>
      </c>
    </row>
    <row r="247" spans="1:36" ht="6" customHeight="1" x14ac:dyDescent="0.2">
      <c r="A247" s="1225"/>
      <c r="B247" s="1773">
        <v>237</v>
      </c>
      <c r="C247" s="1249"/>
      <c r="E247" s="1249"/>
      <c r="F247" s="1249"/>
      <c r="H247" s="1249"/>
      <c r="I247" s="1249"/>
      <c r="J247" s="1249"/>
      <c r="K247" s="1249"/>
      <c r="L247" s="1249"/>
      <c r="M247" s="1249"/>
      <c r="N247" s="1249"/>
      <c r="O247" s="1249"/>
      <c r="P247" s="1249"/>
      <c r="Q247" s="1249"/>
      <c r="R247" s="1393"/>
      <c r="V247" s="848"/>
      <c r="W247" s="848"/>
      <c r="X247" s="848"/>
      <c r="Y247" s="848"/>
      <c r="Z247" s="848"/>
      <c r="AA247" s="848"/>
      <c r="AB247" s="848"/>
      <c r="AC247" s="848"/>
      <c r="AE247" s="848"/>
      <c r="AF247" s="848"/>
      <c r="AG247" s="848"/>
      <c r="AH247" s="848"/>
      <c r="AI247" s="848"/>
      <c r="AJ247" s="848"/>
    </row>
    <row r="248" spans="1:36" x14ac:dyDescent="0.2">
      <c r="A248" s="852">
        <v>54</v>
      </c>
      <c r="B248" s="1773">
        <v>238</v>
      </c>
      <c r="C248" s="1249" t="str">
        <f>Valid!$B$84</f>
        <v>Half Grand Union</v>
      </c>
      <c r="E248" s="1245" t="str">
        <f>IF(U248="N/A","",U248)</f>
        <v/>
      </c>
      <c r="F248" s="1249"/>
      <c r="H248" s="1247"/>
      <c r="I248" s="1246" t="str">
        <f>IF($C$230="","",IF(H248="","Qty? Enter Zero if N/A  ",""))</f>
        <v/>
      </c>
      <c r="J248" s="1249" t="str">
        <f>VLOOKUP(C248,Valid!$B$80:$C$86,2,FALSE)</f>
        <v>Each</v>
      </c>
      <c r="K248" s="1249"/>
      <c r="L248" s="1247"/>
      <c r="M248" s="1248" t="str">
        <f>IF($H248=0,"",IF($L248="",TEXT(AH248,0)&amp;" Years?    ",""))</f>
        <v/>
      </c>
      <c r="N248" s="1276"/>
      <c r="O248" s="1275" t="str">
        <f>IF($H248=0,"","% Cap Resp.    ")</f>
        <v/>
      </c>
      <c r="P248" s="1808"/>
      <c r="Q248" s="1275" t="str">
        <f>IF($H248=0,"","% Cap Resp.    ")</f>
        <v/>
      </c>
      <c r="R248" s="1392"/>
      <c r="U248" s="758" t="str">
        <f>IF(AND(R248="",N248="",L248="",H248="",L248=""),"N/A",IF(AND($H248=0,OR(L248&lt;&gt;"",N248&lt;&gt;"",R248&lt;&gt;"",L248&lt;&gt;"")),"No",IF(AND($H248&lt;&gt;0,OR($N248="",L248="")),"No","Yes")))</f>
        <v>N/A</v>
      </c>
      <c r="V248" s="761" t="b">
        <f>IF(AND(H248="",OR(L248&lt;&gt;"",N248&lt;&gt;"")),TRUE,FALSE)</f>
        <v>0</v>
      </c>
      <c r="W248" s="761" t="b">
        <f>IF(AND($C$44&lt;&gt;"",$H248=""),TRUE,FALSE)</f>
        <v>0</v>
      </c>
      <c r="X248" s="761" t="b">
        <f>IF(AND(H248&lt;&gt;"",H248&lt;&gt;0,H248&gt;AG248),TRUE,FALSE)</f>
        <v>0</v>
      </c>
      <c r="Y248" s="761" t="b">
        <f>IF($L248="",FALSE,IF($L248&lt;$AI248,TRUE,FALSE))</f>
        <v>0</v>
      </c>
      <c r="Z248" s="761" t="b">
        <f>IF($L248="",FALSE,IF($L248&gt;$AJ248,TRUE,FALSE))</f>
        <v>0</v>
      </c>
      <c r="AA248" s="761" t="b">
        <f>IF(AND(E248="No",$L248=""),TRUE,FALSE)</f>
        <v>0</v>
      </c>
      <c r="AB248" s="761" t="b">
        <f>IF($AC248=TRUE,FALSE,IF(OR($N248&lt;0,$N248&gt;1),TRUE,FALSE))</f>
        <v>0</v>
      </c>
      <c r="AC248" s="761" t="b">
        <f>IF(OR($H248=0, $H248=""), FALSE, IF(AND(H248&gt;0, L248&lt;&gt;"", N248&lt;&gt;""), IF(AND((N248*100)&lt;100,P248=""), TRUE,FALSE), TRUE))</f>
        <v>0</v>
      </c>
      <c r="AD248" s="762"/>
      <c r="AE248" s="783">
        <f t="shared" ref="AE248:AJ248" si="53">IF($C248="","",VLOOKUP($C248,val_fg_assets,AE$5,FALSE))</f>
        <v>1</v>
      </c>
      <c r="AF248" s="835">
        <f t="shared" si="53"/>
        <v>0</v>
      </c>
      <c r="AG248" s="835">
        <f t="shared" si="53"/>
        <v>500</v>
      </c>
      <c r="AH248" s="783">
        <f t="shared" si="53"/>
        <v>15</v>
      </c>
      <c r="AI248" s="783">
        <f t="shared" si="53"/>
        <v>11</v>
      </c>
      <c r="AJ248" s="783">
        <f t="shared" si="53"/>
        <v>19</v>
      </c>
    </row>
    <row r="249" spans="1:36" ht="6" customHeight="1" x14ac:dyDescent="0.2">
      <c r="A249" s="1225"/>
      <c r="B249" s="1773">
        <v>239</v>
      </c>
      <c r="C249" s="1249"/>
      <c r="E249" s="1249"/>
      <c r="F249" s="1249"/>
      <c r="H249" s="1249"/>
      <c r="I249" s="1249"/>
      <c r="J249" s="1249"/>
      <c r="K249" s="1249"/>
      <c r="L249" s="1249"/>
      <c r="M249" s="1249"/>
      <c r="N249" s="1249"/>
      <c r="O249" s="1249"/>
      <c r="P249" s="1249"/>
      <c r="Q249" s="1249"/>
      <c r="R249" s="1393"/>
      <c r="V249" s="848"/>
      <c r="W249" s="848"/>
      <c r="X249" s="848"/>
      <c r="Y249" s="848"/>
      <c r="Z249" s="848"/>
      <c r="AA249" s="848"/>
      <c r="AB249" s="848"/>
      <c r="AC249" s="848"/>
      <c r="AE249" s="848"/>
      <c r="AF249" s="848"/>
      <c r="AG249" s="848"/>
      <c r="AH249" s="848"/>
      <c r="AI249" s="848"/>
      <c r="AJ249" s="848"/>
    </row>
    <row r="250" spans="1:36" x14ac:dyDescent="0.2">
      <c r="A250" s="852">
        <v>55</v>
      </c>
      <c r="B250" s="1773">
        <v>240</v>
      </c>
      <c r="C250" s="1249" t="str">
        <f>Valid!$B$85</f>
        <v>Single Turnout</v>
      </c>
      <c r="E250" s="1245" t="str">
        <f>IF(U250="N/A","",U250)</f>
        <v/>
      </c>
      <c r="F250" s="1249"/>
      <c r="H250" s="1247"/>
      <c r="I250" s="1246" t="str">
        <f>IF($C$230="","",IF(H250="","Qty? Enter Zero if N/A  ",""))</f>
        <v/>
      </c>
      <c r="J250" s="1249" t="str">
        <f>VLOOKUP(C250,Valid!$B$80:$C$86,2,FALSE)</f>
        <v>Each</v>
      </c>
      <c r="K250" s="1249"/>
      <c r="L250" s="1247"/>
      <c r="M250" s="1248" t="str">
        <f>IF($H250=0,"",IF($L250="",TEXT(AH250,0)&amp;" Years?    ",""))</f>
        <v/>
      </c>
      <c r="N250" s="1276"/>
      <c r="O250" s="1275" t="str">
        <f>IF($H250=0,"","% Cap Resp.    ")</f>
        <v/>
      </c>
      <c r="P250" s="1808"/>
      <c r="Q250" s="1275" t="str">
        <f>IF($H250=0,"","% Cap Resp.    ")</f>
        <v/>
      </c>
      <c r="R250" s="1392"/>
      <c r="U250" s="758" t="str">
        <f>IF(AND(R250="",N250="",L250="",H250="",L250=""),"N/A",IF(AND($H250=0,OR(L250&lt;&gt;"",N250&lt;&gt;"",R250&lt;&gt;"",L250&lt;&gt;"")),"No",IF(AND($H250&lt;&gt;0,OR($N250="",L250="")),"No","Yes")))</f>
        <v>N/A</v>
      </c>
      <c r="V250" s="761" t="b">
        <f>IF(AND(H250="",OR(L250&lt;&gt;"",N250&lt;&gt;"")),TRUE,FALSE)</f>
        <v>0</v>
      </c>
      <c r="W250" s="761" t="b">
        <f>IF(AND($C$44&lt;&gt;"",$H250=""),TRUE,FALSE)</f>
        <v>0</v>
      </c>
      <c r="X250" s="761" t="b">
        <f>IF(AND(H250&lt;&gt;"",H250&lt;&gt;0,H250&gt;AG250),TRUE,FALSE)</f>
        <v>0</v>
      </c>
      <c r="Y250" s="761" t="b">
        <f>IF($L250="",FALSE,IF($L250&lt;$AI250,TRUE,FALSE))</f>
        <v>0</v>
      </c>
      <c r="Z250" s="761" t="b">
        <f>IF($L250="",FALSE,IF($L250&gt;$AJ250,TRUE,FALSE))</f>
        <v>0</v>
      </c>
      <c r="AA250" s="761" t="b">
        <f>IF(AND(E250="No",$L250=""),TRUE,FALSE)</f>
        <v>0</v>
      </c>
      <c r="AB250" s="761" t="b">
        <f>IF($AC250=TRUE,FALSE,IF(OR($N250&lt;0,$N250&gt;1),TRUE,FALSE))</f>
        <v>0</v>
      </c>
      <c r="AC250" s="761" t="b">
        <f>IF(OR($H250=0, $H250=""), FALSE, IF(AND(H250&gt;0, L250&lt;&gt;"", N250&lt;&gt;""), IF(AND((N250*100)&lt;100,P250=""), TRUE,FALSE), TRUE))</f>
        <v>0</v>
      </c>
      <c r="AD250" s="762"/>
      <c r="AE250" s="783">
        <f t="shared" ref="AE250:AJ250" si="54">IF($C250="","",VLOOKUP($C250,val_fg_assets,AE$5,FALSE))</f>
        <v>1</v>
      </c>
      <c r="AF250" s="835">
        <f t="shared" si="54"/>
        <v>0</v>
      </c>
      <c r="AG250" s="835">
        <f t="shared" si="54"/>
        <v>500</v>
      </c>
      <c r="AH250" s="783">
        <f t="shared" si="54"/>
        <v>15</v>
      </c>
      <c r="AI250" s="783">
        <f t="shared" si="54"/>
        <v>11</v>
      </c>
      <c r="AJ250" s="783">
        <f t="shared" si="54"/>
        <v>19</v>
      </c>
    </row>
    <row r="251" spans="1:36" ht="6" customHeight="1" x14ac:dyDescent="0.2">
      <c r="A251" s="1225"/>
      <c r="B251" s="1773">
        <v>241</v>
      </c>
      <c r="C251" s="1249"/>
      <c r="E251" s="1249"/>
      <c r="F251" s="1249"/>
      <c r="H251" s="1249"/>
      <c r="I251" s="1249"/>
      <c r="J251" s="1249"/>
      <c r="K251" s="1249"/>
      <c r="L251" s="1249"/>
      <c r="M251" s="1249"/>
      <c r="N251" s="1249"/>
      <c r="O251" s="1249"/>
      <c r="P251" s="1249"/>
      <c r="Q251" s="1249"/>
      <c r="R251" s="1393"/>
      <c r="V251" s="848"/>
      <c r="W251" s="848"/>
      <c r="X251" s="848"/>
      <c r="Y251" s="848"/>
      <c r="Z251" s="848"/>
      <c r="AA251" s="848"/>
      <c r="AB251" s="848"/>
      <c r="AC251" s="848"/>
      <c r="AE251" s="848"/>
      <c r="AF251" s="848"/>
      <c r="AG251" s="848"/>
      <c r="AH251" s="848"/>
      <c r="AI251" s="848"/>
      <c r="AJ251" s="848"/>
    </row>
    <row r="252" spans="1:36" x14ac:dyDescent="0.2">
      <c r="A252" s="852">
        <v>56</v>
      </c>
      <c r="B252" s="1774">
        <v>242</v>
      </c>
      <c r="C252" s="1249" t="str">
        <f>Valid!$B$86</f>
        <v>Grade Crossings</v>
      </c>
      <c r="E252" s="1245" t="str">
        <f>IF(U252="N/A","",U252)</f>
        <v/>
      </c>
      <c r="F252" s="1249"/>
      <c r="H252" s="1247"/>
      <c r="I252" s="1246" t="str">
        <f>IF($C$230="","",IF(H252="","Qty? Enter Zero if N/A  ",""))</f>
        <v/>
      </c>
      <c r="J252" s="1249" t="str">
        <f>VLOOKUP(C252,Valid!$B$80:$C$86,2,FALSE)</f>
        <v>Each</v>
      </c>
      <c r="K252" s="1249"/>
      <c r="L252" s="1247"/>
      <c r="M252" s="1248" t="str">
        <f>IF($H252=0,"",IF($L252="",TEXT(AH252,0)&amp;" Years?    ",""))</f>
        <v/>
      </c>
      <c r="N252" s="1276"/>
      <c r="O252" s="1275" t="str">
        <f>IF($H252=0,"","% Cap Resp.    ")</f>
        <v/>
      </c>
      <c r="P252" s="1808"/>
      <c r="Q252" s="1275" t="str">
        <f>IF($H252=0,"","% Cap Resp.    ")</f>
        <v/>
      </c>
      <c r="R252" s="1392"/>
      <c r="U252" s="758" t="str">
        <f>IF(AND(R252="",N252="",L252="",H252="",L252=""),"N/A",IF(AND($H252=0,OR(L252&lt;&gt;"",N252&lt;&gt;"",R252&lt;&gt;"",L252&lt;&gt;"")),"No",IF(AND($H252&lt;&gt;0,OR($N252="",L252="")),"No","Yes")))</f>
        <v>N/A</v>
      </c>
      <c r="V252" s="761" t="b">
        <f>IF(AND(H252="",OR(L252&lt;&gt;"",N252&lt;&gt;"")),TRUE,FALSE)</f>
        <v>0</v>
      </c>
      <c r="W252" s="761" t="b">
        <f>IF(AND($C$44&lt;&gt;"",$H252=""),TRUE,FALSE)</f>
        <v>0</v>
      </c>
      <c r="X252" s="761" t="b">
        <f>IF(AND(H252&lt;&gt;"",H252&lt;&gt;0,H252&gt;AG252),TRUE,FALSE)</f>
        <v>0</v>
      </c>
      <c r="Y252" s="761" t="b">
        <f>IF($L252="",FALSE,IF($L252&lt;$AI252,TRUE,FALSE))</f>
        <v>0</v>
      </c>
      <c r="Z252" s="761" t="b">
        <f>IF($L252="",FALSE,IF($L252&gt;$AJ252,TRUE,FALSE))</f>
        <v>0</v>
      </c>
      <c r="AA252" s="761" t="b">
        <f>IF(AND(E252="No",$L252=""),TRUE,FALSE)</f>
        <v>0</v>
      </c>
      <c r="AB252" s="761" t="b">
        <f>IF($AC252=TRUE,FALSE,IF(OR($N252&lt;0,$N252&gt;1),TRUE,FALSE))</f>
        <v>0</v>
      </c>
      <c r="AC252" s="761" t="b">
        <f>IF(OR($H252=0, $H252=""), FALSE, IF(AND(H252&gt;0, L252&lt;&gt;"", N252&lt;&gt;""), IF(AND((N252*100)&lt;100,P252=""), TRUE,FALSE), TRUE))</f>
        <v>0</v>
      </c>
      <c r="AD252" s="762"/>
      <c r="AE252" s="783">
        <f t="shared" ref="AE252:AJ252" si="55">IF($C252="","",VLOOKUP($C252,val_fg_assets,AE$5,FALSE))</f>
        <v>1</v>
      </c>
      <c r="AF252" s="835">
        <f t="shared" si="55"/>
        <v>0</v>
      </c>
      <c r="AG252" s="835">
        <f t="shared" si="55"/>
        <v>500</v>
      </c>
      <c r="AH252" s="783">
        <f t="shared" si="55"/>
        <v>15</v>
      </c>
      <c r="AI252" s="783">
        <f t="shared" si="55"/>
        <v>11</v>
      </c>
      <c r="AJ252" s="783">
        <f t="shared" si="55"/>
        <v>19</v>
      </c>
    </row>
    <row r="253" spans="1:36" ht="6" customHeight="1" thickBot="1" x14ac:dyDescent="0.25">
      <c r="A253" s="1225"/>
      <c r="B253" s="1773">
        <v>243</v>
      </c>
      <c r="C253" s="1249"/>
      <c r="E253" s="1249"/>
      <c r="F253" s="1249"/>
      <c r="H253" s="1249"/>
      <c r="I253" s="1249"/>
      <c r="J253" s="1249"/>
      <c r="K253" s="1249"/>
      <c r="L253" s="1249"/>
      <c r="M253" s="1249"/>
      <c r="N253" s="1249"/>
      <c r="O253" s="1249"/>
      <c r="P253" s="1249"/>
      <c r="Q253" s="1249"/>
      <c r="R253" s="1393"/>
      <c r="V253" s="848"/>
      <c r="W253" s="848"/>
      <c r="X253" s="848"/>
      <c r="Y253" s="848"/>
      <c r="Z253" s="848"/>
      <c r="AA253" s="848"/>
      <c r="AB253" s="848"/>
      <c r="AC253" s="848"/>
      <c r="AE253" s="848"/>
      <c r="AF253" s="848"/>
      <c r="AG253" s="848"/>
      <c r="AH253" s="848"/>
      <c r="AI253" s="848"/>
      <c r="AJ253" s="848"/>
    </row>
    <row r="254" spans="1:36" x14ac:dyDescent="0.2">
      <c r="A254" s="1712" t="s">
        <v>2621</v>
      </c>
      <c r="B254" s="1773">
        <v>244</v>
      </c>
      <c r="C254" s="1249"/>
      <c r="E254" s="1249"/>
      <c r="F254" s="1278" t="str">
        <f>IF(C230="","Track Special Work Totals (excluding linear assets)&gt;&gt;",VLOOKUP(C230,Codes!$C$156:$D$174,2)&amp;" Track Special Work Totals (excluding linear assets)&gt;&gt;")</f>
        <v>Track Special Work Totals (excluding linear assets)&gt;&gt;</v>
      </c>
      <c r="H254" s="1032">
        <f>SUM(H244:H252)</f>
        <v>0</v>
      </c>
      <c r="I254" s="1249"/>
      <c r="J254" s="1249"/>
      <c r="K254" s="1249"/>
      <c r="L254" s="1249"/>
      <c r="M254" s="1249"/>
      <c r="N254" s="1249"/>
      <c r="O254" s="1249"/>
      <c r="P254" s="1249"/>
      <c r="Q254" s="1249"/>
      <c r="R254" s="1393"/>
      <c r="V254" s="848"/>
      <c r="W254" s="848"/>
      <c r="X254" s="848"/>
      <c r="Y254" s="848"/>
      <c r="Z254" s="848"/>
      <c r="AA254" s="848"/>
      <c r="AB254" s="848"/>
      <c r="AC254" s="848"/>
      <c r="AE254" s="848"/>
      <c r="AF254" s="848"/>
      <c r="AG254" s="848"/>
      <c r="AH254" s="848"/>
      <c r="AI254" s="848"/>
      <c r="AJ254" s="848"/>
    </row>
    <row r="255" spans="1:36" ht="6" customHeight="1" x14ac:dyDescent="0.2">
      <c r="B255" s="1773">
        <v>245</v>
      </c>
      <c r="C255" s="1268"/>
      <c r="E255" s="1057"/>
      <c r="H255" s="1250"/>
      <c r="L255" s="1251"/>
      <c r="R255" s="1394"/>
      <c r="V255" s="848"/>
      <c r="W255" s="848"/>
      <c r="X255" s="848"/>
      <c r="Y255" s="759"/>
      <c r="Z255" s="759"/>
      <c r="AA255" s="848"/>
      <c r="AB255" s="848"/>
      <c r="AC255" s="848"/>
      <c r="AE255" s="848"/>
      <c r="AF255" s="848"/>
      <c r="AG255" s="848"/>
      <c r="AH255" s="848"/>
      <c r="AI255" s="848"/>
      <c r="AJ255" s="848"/>
    </row>
    <row r="256" spans="1:36" ht="6" customHeight="1" x14ac:dyDescent="0.2">
      <c r="B256" s="1773">
        <v>246</v>
      </c>
      <c r="E256" s="1057"/>
      <c r="H256" s="1250"/>
      <c r="L256" s="1251"/>
      <c r="R256" s="1394"/>
      <c r="V256" s="848"/>
      <c r="W256" s="848"/>
      <c r="X256" s="848"/>
      <c r="Y256" s="848"/>
      <c r="Z256" s="848"/>
      <c r="AA256" s="848"/>
      <c r="AB256" s="848"/>
      <c r="AC256" s="848"/>
      <c r="AE256" s="848"/>
      <c r="AF256" s="848"/>
      <c r="AG256" s="848"/>
      <c r="AH256" s="848"/>
      <c r="AI256" s="848"/>
      <c r="AJ256" s="848"/>
    </row>
    <row r="257" spans="1:37" ht="6" customHeight="1" x14ac:dyDescent="0.2">
      <c r="A257" s="1815"/>
      <c r="B257" s="1819">
        <v>30</v>
      </c>
      <c r="C257" s="1816"/>
      <c r="D257" s="1847"/>
      <c r="E257" s="1817"/>
      <c r="F257" s="1817"/>
      <c r="G257" s="1817"/>
      <c r="H257" s="1817"/>
      <c r="I257" s="1817"/>
      <c r="J257" s="1817"/>
      <c r="K257" s="1817"/>
      <c r="L257" s="1817"/>
      <c r="M257" s="1817"/>
      <c r="N257" s="1817"/>
      <c r="O257" s="1817"/>
      <c r="P257" s="1817"/>
      <c r="Q257" s="1817"/>
      <c r="R257" s="1818"/>
      <c r="S257" s="1815"/>
      <c r="T257" s="1815"/>
      <c r="U257" s="1815"/>
      <c r="V257" s="1814"/>
      <c r="W257" s="1814"/>
      <c r="X257" s="1814"/>
      <c r="Y257" s="1814"/>
      <c r="Z257" s="1814"/>
      <c r="AA257" s="1814"/>
      <c r="AB257" s="1814"/>
      <c r="AC257" s="1814"/>
      <c r="AD257" s="1815"/>
      <c r="AE257" s="1814"/>
      <c r="AF257" s="1814"/>
      <c r="AG257" s="1814"/>
      <c r="AH257" s="1814"/>
      <c r="AI257" s="1814"/>
      <c r="AJ257" s="1814"/>
    </row>
    <row r="258" spans="1:37" ht="6" customHeight="1" x14ac:dyDescent="0.2">
      <c r="B258" s="1773">
        <v>248</v>
      </c>
      <c r="E258" s="1057"/>
      <c r="H258" s="1250"/>
      <c r="L258" s="1270"/>
      <c r="V258" s="848"/>
      <c r="W258" s="848"/>
      <c r="X258" s="848"/>
      <c r="Y258" s="848"/>
      <c r="Z258" s="848"/>
      <c r="AA258" s="848"/>
      <c r="AB258" s="848"/>
      <c r="AC258" s="848"/>
      <c r="AE258" s="848"/>
      <c r="AF258" s="848"/>
      <c r="AG258" s="848"/>
      <c r="AH258" s="848"/>
      <c r="AI258" s="848"/>
      <c r="AJ258" s="848"/>
    </row>
    <row r="259" spans="1:37" ht="6" customHeight="1" x14ac:dyDescent="0.2">
      <c r="B259" s="1773">
        <v>249</v>
      </c>
      <c r="E259" s="1057"/>
      <c r="H259" s="1250"/>
      <c r="L259" s="1251"/>
      <c r="V259" s="848"/>
      <c r="W259" s="848"/>
      <c r="X259" s="848"/>
      <c r="Y259" s="848"/>
      <c r="Z259" s="848"/>
      <c r="AA259" s="848"/>
      <c r="AB259" s="848"/>
      <c r="AC259" s="848"/>
      <c r="AE259" s="848"/>
      <c r="AF259" s="848"/>
      <c r="AG259" s="848"/>
      <c r="AH259" s="848"/>
      <c r="AI259" s="848"/>
      <c r="AJ259" s="848"/>
    </row>
    <row r="260" spans="1:37" s="760" customFormat="1" ht="6" customHeight="1" x14ac:dyDescent="0.2">
      <c r="A260" s="721"/>
      <c r="B260" s="1774">
        <v>250</v>
      </c>
      <c r="C260" s="1271"/>
      <c r="D260" s="1845"/>
      <c r="E260" s="721"/>
      <c r="F260" s="736"/>
      <c r="G260" s="736"/>
      <c r="H260" s="1272"/>
      <c r="I260" s="822"/>
      <c r="J260" s="817"/>
      <c r="K260" s="822"/>
      <c r="L260" s="1273"/>
      <c r="M260" s="758"/>
      <c r="N260" s="822"/>
      <c r="O260" s="823"/>
      <c r="P260" s="822"/>
      <c r="Q260" s="823"/>
      <c r="R260" s="1391"/>
      <c r="S260" s="1219"/>
      <c r="U260" s="1219"/>
      <c r="V260" s="759"/>
      <c r="W260" s="759"/>
      <c r="X260" s="759"/>
      <c r="Y260" s="759"/>
      <c r="Z260" s="759"/>
      <c r="AA260" s="759"/>
      <c r="AB260" s="759"/>
      <c r="AC260" s="759"/>
      <c r="AE260" s="1274"/>
      <c r="AF260" s="1274"/>
      <c r="AG260" s="1274"/>
      <c r="AH260" s="1274"/>
      <c r="AI260" s="1274"/>
      <c r="AJ260" s="1274"/>
      <c r="AK260" s="1219"/>
    </row>
    <row r="261" spans="1:37" s="760" customFormat="1" x14ac:dyDescent="0.2">
      <c r="A261" s="1712" t="s">
        <v>2621</v>
      </c>
      <c r="B261" s="1773">
        <v>251</v>
      </c>
      <c r="C261" s="1416"/>
      <c r="D261" s="1248" t="str">
        <f>IF(AND(C230&lt;&gt;"",$C261=""),"Select Mode from Pull-Down List                                                                       ","")</f>
        <v/>
      </c>
      <c r="E261" s="1277" t="str">
        <f>IF(AND(C261="",OR(H267&lt;&gt;"",H269&lt;&gt;"",L267&lt;&gt;"",N267&lt;&gt;"",L269&lt;&gt;"",N269&lt;&gt;"",R267&lt;&gt;"",R269&lt;&gt;"",C263&lt;&gt;"",H285&lt;&gt;0,L275&lt;&gt;"",L277&lt;&gt;"",L279&lt;&gt;"",L281&lt;&gt;"",L283&lt;&gt;"",N275&lt;&gt;"",N277&lt;&gt;"",N279&lt;&gt;"",N281&lt;&gt;"",N283&lt;&gt;"",R275&lt;&gt;"",R277&lt;&gt;"",R279&lt;&gt;"",R281&lt;&gt;"",R283&lt;&gt;"")),"&lt;&lt; Insert Rail Mode",IF(AND(C261&lt;&gt;"",C230=""),"&lt;&lt;Complete Previous Section First",""))</f>
        <v/>
      </c>
      <c r="F261" s="736"/>
      <c r="G261" s="736"/>
      <c r="H261" s="1253"/>
      <c r="I261" s="1254"/>
      <c r="J261" s="1255"/>
      <c r="K261" s="1256"/>
      <c r="L261" s="1257"/>
      <c r="M261" s="1254"/>
      <c r="N261" s="1254"/>
      <c r="O261" s="1254"/>
      <c r="P261" s="1254"/>
      <c r="Q261" s="1254"/>
      <c r="R261" s="1223"/>
      <c r="S261" s="1221"/>
      <c r="T261" s="758"/>
      <c r="U261" s="758" t="b">
        <f>IF(OR(E261&lt;&gt;"",E292="&lt;&lt;Complete Previous Section First"),TRUE,FALSE)</f>
        <v>0</v>
      </c>
      <c r="V261" s="763"/>
      <c r="W261" s="763"/>
      <c r="X261" s="763"/>
      <c r="Y261" s="763"/>
      <c r="Z261" s="763"/>
      <c r="AA261" s="763"/>
      <c r="AB261" s="763"/>
      <c r="AC261" s="763"/>
      <c r="AE261" s="783"/>
      <c r="AF261" s="783"/>
      <c r="AG261" s="783"/>
      <c r="AH261" s="783"/>
      <c r="AI261" s="783"/>
      <c r="AJ261" s="783"/>
      <c r="AK261" s="1220"/>
    </row>
    <row r="262" spans="1:37" s="760" customFormat="1" ht="6" customHeight="1" x14ac:dyDescent="0.2">
      <c r="A262" s="721"/>
      <c r="B262" s="1773">
        <v>252</v>
      </c>
      <c r="C262" s="1434"/>
      <c r="D262" s="1248"/>
      <c r="E262" s="1277"/>
      <c r="F262" s="736"/>
      <c r="G262" s="736"/>
      <c r="H262" s="1253"/>
      <c r="I262" s="1254"/>
      <c r="J262" s="1255"/>
      <c r="K262" s="1256"/>
      <c r="L262" s="1257"/>
      <c r="M262" s="1254"/>
      <c r="N262" s="1254"/>
      <c r="O262" s="1254"/>
      <c r="P262" s="1254"/>
      <c r="Q262" s="1254"/>
      <c r="R262" s="1223"/>
      <c r="S262" s="1221"/>
      <c r="T262" s="758"/>
      <c r="U262" s="758"/>
      <c r="V262" s="763"/>
      <c r="W262" s="763"/>
      <c r="X262" s="763"/>
      <c r="Y262" s="763"/>
      <c r="Z262" s="763"/>
      <c r="AA262" s="763"/>
      <c r="AB262" s="763"/>
      <c r="AC262" s="763"/>
      <c r="AE262" s="783"/>
      <c r="AF262" s="783"/>
      <c r="AG262" s="783"/>
      <c r="AH262" s="783"/>
      <c r="AI262" s="783"/>
      <c r="AJ262" s="783"/>
      <c r="AK262" s="1220"/>
    </row>
    <row r="263" spans="1:37" s="760" customFormat="1" x14ac:dyDescent="0.2">
      <c r="A263" s="1712" t="s">
        <v>2621</v>
      </c>
      <c r="B263" s="1773">
        <v>253</v>
      </c>
      <c r="C263" s="1417"/>
      <c r="D263" s="1248" t="str">
        <f>IF(AND(C261&lt;&gt;"",C263=""),"Agency-Specific "&amp;VLOOKUP(C261,Codes!$C$156:$D$174,2,FALSE)&amp;" Curvature Threshold (ft. radius or degrees)  ","")</f>
        <v/>
      </c>
      <c r="E263" s="1277"/>
      <c r="F263" s="736"/>
      <c r="G263" s="851"/>
      <c r="H263" s="1253"/>
      <c r="I263" s="1254"/>
      <c r="J263" s="1255"/>
      <c r="K263" s="1256"/>
      <c r="L263" s="1257"/>
      <c r="M263" s="1254"/>
      <c r="N263" s="1254"/>
      <c r="O263" s="1254"/>
      <c r="P263" s="1254"/>
      <c r="Q263" s="1254"/>
      <c r="R263" s="1223"/>
      <c r="S263" s="1221"/>
      <c r="T263" s="758"/>
      <c r="U263" s="758" t="b">
        <f>IF(AND(C261&lt;&gt;"",C263=""),TRUE,FALSE)</f>
        <v>0</v>
      </c>
      <c r="V263" s="763"/>
      <c r="W263" s="763"/>
      <c r="X263" s="763"/>
      <c r="Y263" s="763"/>
      <c r="Z263" s="763"/>
      <c r="AA263" s="763"/>
      <c r="AB263" s="763"/>
      <c r="AC263" s="763"/>
      <c r="AE263" s="783"/>
      <c r="AF263" s="783"/>
      <c r="AG263" s="783"/>
      <c r="AH263" s="783"/>
      <c r="AI263" s="783"/>
      <c r="AJ263" s="783"/>
      <c r="AK263" s="1220"/>
    </row>
    <row r="264" spans="1:37" s="760" customFormat="1" ht="6" customHeight="1" x14ac:dyDescent="0.2">
      <c r="A264" s="721"/>
      <c r="B264" s="1773">
        <v>254</v>
      </c>
      <c r="C264" s="828"/>
      <c r="D264" s="1845"/>
      <c r="E264" s="721"/>
      <c r="F264" s="281"/>
      <c r="G264" s="281"/>
      <c r="H264" s="1029"/>
      <c r="I264" s="829"/>
      <c r="J264" s="830"/>
      <c r="K264" s="829"/>
      <c r="L264" s="1031"/>
      <c r="M264" s="758"/>
      <c r="N264" s="724"/>
      <c r="O264" s="724"/>
      <c r="P264" s="724"/>
      <c r="Q264" s="724"/>
      <c r="R264" s="1223"/>
      <c r="S264" s="1221"/>
      <c r="T264" s="1219"/>
      <c r="U264" s="1221"/>
      <c r="V264" s="759"/>
      <c r="W264" s="759"/>
      <c r="X264" s="759"/>
      <c r="Y264" s="759"/>
      <c r="Z264" s="759"/>
      <c r="AA264" s="759"/>
      <c r="AB264" s="759"/>
      <c r="AC264" s="759"/>
      <c r="AE264" s="833"/>
      <c r="AF264" s="833"/>
      <c r="AG264" s="833"/>
      <c r="AH264" s="833"/>
      <c r="AI264" s="833"/>
      <c r="AJ264" s="833"/>
      <c r="AK264" s="1221"/>
    </row>
    <row r="265" spans="1:37" s="760" customFormat="1" x14ac:dyDescent="0.2">
      <c r="A265" s="1712" t="s">
        <v>2621</v>
      </c>
      <c r="B265" s="1773">
        <v>255</v>
      </c>
      <c r="C265" s="205" t="str">
        <f>IF(C261="","Linear Track",VLOOKUP(C261,Codes!$C$156:$D$174,2)&amp;" Linear Track")</f>
        <v>Linear Track</v>
      </c>
      <c r="D265" s="1845"/>
      <c r="E265" s="721"/>
      <c r="F265" s="281"/>
      <c r="G265" s="281"/>
      <c r="H265" s="1029"/>
      <c r="I265" s="829"/>
      <c r="J265" s="830"/>
      <c r="K265" s="829"/>
      <c r="L265" s="1031"/>
      <c r="M265" s="758"/>
      <c r="N265" s="724"/>
      <c r="O265" s="724"/>
      <c r="P265" s="724"/>
      <c r="Q265" s="724"/>
      <c r="R265" s="1223"/>
      <c r="S265" s="1221"/>
      <c r="T265" s="1219"/>
      <c r="U265" s="1221"/>
      <c r="V265" s="759"/>
      <c r="W265" s="759"/>
      <c r="X265" s="759"/>
      <c r="Y265" s="759"/>
      <c r="Z265" s="759"/>
      <c r="AA265" s="759"/>
      <c r="AB265" s="759"/>
      <c r="AC265" s="759"/>
      <c r="AE265" s="833"/>
      <c r="AF265" s="833"/>
      <c r="AG265" s="833"/>
      <c r="AH265" s="833"/>
      <c r="AI265" s="833"/>
      <c r="AJ265" s="833"/>
      <c r="AK265" s="1221"/>
    </row>
    <row r="266" spans="1:37" s="760" customFormat="1" ht="6" customHeight="1" x14ac:dyDescent="0.2">
      <c r="A266" s="721"/>
      <c r="B266" s="1773">
        <v>256</v>
      </c>
      <c r="C266" s="828"/>
      <c r="D266" s="1845"/>
      <c r="E266" s="721"/>
      <c r="F266" s="281"/>
      <c r="G266" s="281"/>
      <c r="H266" s="1029"/>
      <c r="I266" s="829"/>
      <c r="J266" s="830"/>
      <c r="K266" s="829"/>
      <c r="L266" s="1031"/>
      <c r="M266" s="758"/>
      <c r="N266" s="724"/>
      <c r="O266" s="724"/>
      <c r="P266" s="724"/>
      <c r="Q266" s="724"/>
      <c r="R266" s="1223"/>
      <c r="S266" s="1221"/>
      <c r="T266" s="1219"/>
      <c r="U266" s="1221"/>
      <c r="V266" s="759"/>
      <c r="W266" s="759"/>
      <c r="X266" s="759"/>
      <c r="Y266" s="759"/>
      <c r="Z266" s="759"/>
      <c r="AA266" s="759"/>
      <c r="AB266" s="759"/>
      <c r="AC266" s="759"/>
      <c r="AE266" s="833"/>
      <c r="AF266" s="833"/>
      <c r="AG266" s="833"/>
      <c r="AH266" s="833"/>
      <c r="AI266" s="833"/>
      <c r="AJ266" s="833"/>
      <c r="AK266" s="1221"/>
    </row>
    <row r="267" spans="1:37" s="760" customFormat="1" x14ac:dyDescent="0.2">
      <c r="A267" s="852">
        <v>57</v>
      </c>
      <c r="B267" s="1773">
        <v>257</v>
      </c>
      <c r="C267" s="851" t="str">
        <f>Valid!$B$80</f>
        <v>Tangent</v>
      </c>
      <c r="D267" s="1845"/>
      <c r="E267" s="1056" t="str">
        <f>IF(U267="N/A","",U267)</f>
        <v/>
      </c>
      <c r="F267" s="685"/>
      <c r="G267" s="685"/>
      <c r="H267" s="1025"/>
      <c r="I267" s="1246" t="str">
        <f>IF($C$261="","",IF(H267="","Qty? Enter Zero if N/A  ",""))</f>
        <v/>
      </c>
      <c r="J267" s="1249" t="str">
        <f>VLOOKUP(C267,Valid!$B$80:$C$86,2,FALSE)</f>
        <v>Track Feet</v>
      </c>
      <c r="K267" s="764"/>
      <c r="L267" s="1025"/>
      <c r="M267" s="1248" t="str">
        <f>IF($H267=0,"",IF($L267="",TEXT(AH267,0)&amp;" Years?    ",""))</f>
        <v/>
      </c>
      <c r="N267" s="1276"/>
      <c r="O267" s="1275" t="str">
        <f>IF($H267=0,"","% Cap Resp.    ")</f>
        <v/>
      </c>
      <c r="P267" s="1808"/>
      <c r="Q267" s="1275" t="str">
        <f>IF($H267=0,"","% Cap Resp.    ")</f>
        <v/>
      </c>
      <c r="R267" s="1392"/>
      <c r="S267" s="1223"/>
      <c r="T267" s="1223"/>
      <c r="U267" s="758" t="str">
        <f>IF(AND(R267="",N267="",L267="",H267="",L267=""),"N/A",IF(AND($H267=0,OR(L267&lt;&gt;"",N267&lt;&gt;"",R267&lt;&gt;"",L267&lt;&gt;"")),"No",IF(AND($H267&lt;&gt;0,OR($N267="",L267="")),"No","Yes")))</f>
        <v>N/A</v>
      </c>
      <c r="V267" s="761" t="b">
        <f>IF(AND(H267="",OR(L267&lt;&gt;"",N267&lt;&gt;"")),TRUE,FALSE)</f>
        <v>0</v>
      </c>
      <c r="W267" s="761" t="b">
        <f>IF(AND($C$261&lt;&gt;"",$H267=""),TRUE,FALSE)</f>
        <v>0</v>
      </c>
      <c r="X267" s="761" t="b">
        <f>IF(AND(H267&lt;&gt;"",H267&lt;&gt;0,H267&gt;AG267),TRUE,FALSE)</f>
        <v>0</v>
      </c>
      <c r="Y267" s="761" t="b">
        <f>IF($L267="",FALSE,IF($L267&lt;$AI267,TRUE,FALSE))</f>
        <v>0</v>
      </c>
      <c r="Z267" s="761" t="b">
        <f>IF($L267="",FALSE,IF($L267&gt;$AJ267,TRUE,FALSE))</f>
        <v>0</v>
      </c>
      <c r="AA267" s="761" t="b">
        <f>IF(AND(E267="No",$L267=""),TRUE,FALSE)</f>
        <v>0</v>
      </c>
      <c r="AB267" s="761" t="b">
        <f>IF($AC267=TRUE,FALSE,IF(OR($N267&lt;0,$N267&gt;1),TRUE,FALSE))</f>
        <v>0</v>
      </c>
      <c r="AC267" s="761" t="b">
        <f>IF(OR($H267=0, $H267=""), FALSE, IF(AND(H267&gt;0, L267&lt;&gt;"", N267&lt;&gt;""), IF(AND((N267*100)&lt;100,P267=""), TRUE,FALSE), TRUE))</f>
        <v>0</v>
      </c>
      <c r="AD267" s="762"/>
      <c r="AE267" s="783">
        <f t="shared" ref="AE267:AJ267" si="56">IF($C267="","",VLOOKUP($C267,val_fg_assets,AE$5,FALSE))</f>
        <v>1</v>
      </c>
      <c r="AF267" s="835">
        <f t="shared" si="56"/>
        <v>0</v>
      </c>
      <c r="AG267" s="835">
        <f t="shared" si="56"/>
        <v>3000000</v>
      </c>
      <c r="AH267" s="783">
        <f t="shared" si="56"/>
        <v>35</v>
      </c>
      <c r="AI267" s="783">
        <f t="shared" si="56"/>
        <v>26</v>
      </c>
      <c r="AJ267" s="783">
        <f t="shared" si="56"/>
        <v>44</v>
      </c>
      <c r="AK267" s="834"/>
    </row>
    <row r="268" spans="1:37" s="760" customFormat="1" ht="6" customHeight="1" x14ac:dyDescent="0.2">
      <c r="A268" s="852"/>
      <c r="B268" s="1774">
        <v>258</v>
      </c>
      <c r="C268" s="1222"/>
      <c r="D268" s="1845"/>
      <c r="E268" s="1059"/>
      <c r="F268" s="685"/>
      <c r="G268" s="685"/>
      <c r="H268" s="1176"/>
      <c r="I268" s="764"/>
      <c r="J268" s="840"/>
      <c r="K268" s="764"/>
      <c r="L268" s="1031"/>
      <c r="M268" s="758"/>
      <c r="N268" s="1258"/>
      <c r="O268" s="724"/>
      <c r="P268" s="1258"/>
      <c r="Q268" s="724"/>
      <c r="R268" s="1223"/>
      <c r="S268" s="1223"/>
      <c r="T268" s="1223"/>
      <c r="U268" s="1223"/>
      <c r="V268" s="759"/>
      <c r="W268" s="759"/>
      <c r="X268" s="759"/>
      <c r="Y268" s="759"/>
      <c r="Z268" s="759"/>
      <c r="AA268" s="759"/>
      <c r="AB268" s="759"/>
      <c r="AC268" s="759"/>
      <c r="AE268" s="833"/>
      <c r="AF268" s="845"/>
      <c r="AG268" s="845"/>
      <c r="AH268" s="833"/>
      <c r="AI268" s="833"/>
      <c r="AJ268" s="833"/>
      <c r="AK268" s="1223"/>
    </row>
    <row r="269" spans="1:37" s="760" customFormat="1" x14ac:dyDescent="0.2">
      <c r="A269" s="852">
        <v>58</v>
      </c>
      <c r="B269" s="1773">
        <v>259</v>
      </c>
      <c r="C269" s="851" t="str">
        <f>Valid!$B$81</f>
        <v>Curve</v>
      </c>
      <c r="D269" s="1845"/>
      <c r="E269" s="1056" t="str">
        <f>IF(U269="N/A","",U269)</f>
        <v/>
      </c>
      <c r="F269" s="764"/>
      <c r="G269" s="764"/>
      <c r="H269" s="1025"/>
      <c r="I269" s="1246" t="str">
        <f>IF($C$261="","",IF(H269="","Qty? Enter Zero if N/A  ",""))</f>
        <v/>
      </c>
      <c r="J269" s="1249" t="str">
        <f>VLOOKUP(C269,Valid!$B$80:$C$86,2,FALSE)</f>
        <v>Track Feet</v>
      </c>
      <c r="K269" s="764"/>
      <c r="L269" s="1025"/>
      <c r="M269" s="1248" t="str">
        <f>IF($H269=0,"",IF($L269="",TEXT(AH269,0)&amp;" Years?    ",""))</f>
        <v/>
      </c>
      <c r="N269" s="1276"/>
      <c r="O269" s="1275" t="str">
        <f>IF($H269=0,"","% Cap Resp.    ")</f>
        <v/>
      </c>
      <c r="P269" s="1808"/>
      <c r="Q269" s="1275" t="str">
        <f>IF($H269=0,"","% Cap Resp.    ")</f>
        <v/>
      </c>
      <c r="R269" s="1392"/>
      <c r="S269" s="1223"/>
      <c r="T269" s="1223"/>
      <c r="U269" s="758" t="str">
        <f>IF(AND(R269="",N269="",L269="",H269="",L269=""),"N/A",IF(AND($H269=0,OR(L269&lt;&gt;"",N269&lt;&gt;"",R269&lt;&gt;"",L269&lt;&gt;"")),"No",IF(AND($H269&lt;&gt;0,OR($N269="",L269="")),"No","Yes")))</f>
        <v>N/A</v>
      </c>
      <c r="V269" s="761" t="b">
        <f>IF(AND(H269="",OR(L269&lt;&gt;"",N269&lt;&gt;"")),TRUE,FALSE)</f>
        <v>0</v>
      </c>
      <c r="W269" s="761" t="b">
        <f>IF(AND($C$261&lt;&gt;"",$H269=""),TRUE,FALSE)</f>
        <v>0</v>
      </c>
      <c r="X269" s="761" t="b">
        <f>IF(AND(H269&lt;&gt;"",H269&lt;&gt;0,H269&gt;AG269),TRUE,FALSE)</f>
        <v>0</v>
      </c>
      <c r="Y269" s="761" t="b">
        <f>IF($L269="",FALSE,IF($L269&lt;$AI269,TRUE,FALSE))</f>
        <v>0</v>
      </c>
      <c r="Z269" s="761" t="b">
        <f>IF($L269="",FALSE,IF($L269&gt;$AJ269,TRUE,FALSE))</f>
        <v>0</v>
      </c>
      <c r="AA269" s="761" t="b">
        <f>IF(AND(E269="No",$L269=""),TRUE,FALSE)</f>
        <v>0</v>
      </c>
      <c r="AB269" s="761" t="b">
        <f>IF($AC269=TRUE,FALSE,IF(OR($N269&lt;0,$N269&gt;1),TRUE,FALSE))</f>
        <v>0</v>
      </c>
      <c r="AC269" s="761" t="b">
        <f>IF(OR($H269=0, $H269=""), FALSE, IF(AND(H269&gt;0, L269&lt;&gt;"", N269&lt;&gt;""), IF(AND((N269*100)&lt;100,P269=""), TRUE,FALSE), TRUE))</f>
        <v>0</v>
      </c>
      <c r="AD269" s="762"/>
      <c r="AE269" s="783">
        <f t="shared" ref="AE269:AJ269" si="57">IF($C269="","",VLOOKUP($C269,val_fg_assets,AE$5,FALSE))</f>
        <v>1</v>
      </c>
      <c r="AF269" s="835">
        <f t="shared" si="57"/>
        <v>0</v>
      </c>
      <c r="AG269" s="835">
        <f t="shared" si="57"/>
        <v>3000000</v>
      </c>
      <c r="AH269" s="783">
        <f t="shared" si="57"/>
        <v>15</v>
      </c>
      <c r="AI269" s="783">
        <f t="shared" si="57"/>
        <v>11</v>
      </c>
      <c r="AJ269" s="783">
        <f t="shared" si="57"/>
        <v>19</v>
      </c>
      <c r="AK269" s="834"/>
    </row>
    <row r="270" spans="1:37" ht="6" customHeight="1" thickBot="1" x14ac:dyDescent="0.25">
      <c r="A270" s="1225"/>
      <c r="B270" s="1773">
        <v>260</v>
      </c>
      <c r="C270" s="1249"/>
      <c r="E270" s="1058"/>
      <c r="F270" s="764"/>
      <c r="G270" s="764"/>
      <c r="H270" s="1251"/>
      <c r="L270" s="1251"/>
      <c r="R270" s="1223"/>
      <c r="V270" s="848"/>
      <c r="W270" s="759"/>
      <c r="X270" s="848"/>
      <c r="Y270" s="848"/>
      <c r="Z270" s="848"/>
      <c r="AA270" s="848"/>
      <c r="AB270" s="848"/>
      <c r="AC270" s="848"/>
      <c r="AE270" s="848"/>
      <c r="AF270" s="848"/>
      <c r="AG270" s="848"/>
      <c r="AH270" s="848"/>
      <c r="AI270" s="848"/>
      <c r="AJ270" s="848"/>
    </row>
    <row r="271" spans="1:37" x14ac:dyDescent="0.2">
      <c r="A271" s="1712" t="s">
        <v>2621</v>
      </c>
      <c r="B271" s="1773">
        <v>261</v>
      </c>
      <c r="C271" s="1224"/>
      <c r="E271" s="1057"/>
      <c r="F271" s="1278" t="str">
        <f>IF(C261="","Linear Track Totals &gt;&gt;",VLOOKUP(C261,Codes!$C$156:$D$174,2)&amp;" Linear Track Totals &gt;&gt;")</f>
        <v>Linear Track Totals &gt;&gt;</v>
      </c>
      <c r="H271" s="1032">
        <f>SUM(H267:H269)</f>
        <v>0</v>
      </c>
      <c r="I271" s="843"/>
      <c r="L271" s="1031"/>
      <c r="M271" s="714"/>
      <c r="N271" s="838"/>
      <c r="O271" s="734"/>
      <c r="P271" s="838"/>
      <c r="Q271" s="734"/>
      <c r="R271" s="834"/>
      <c r="V271" s="848"/>
      <c r="W271" s="718"/>
      <c r="X271" s="848"/>
      <c r="Y271" s="718"/>
      <c r="Z271" s="718"/>
      <c r="AA271" s="848"/>
      <c r="AB271" s="718"/>
      <c r="AC271" s="848"/>
      <c r="AD271" s="716"/>
      <c r="AE271" s="718"/>
      <c r="AF271" s="718"/>
      <c r="AG271" s="718"/>
      <c r="AH271" s="718"/>
      <c r="AI271" s="718"/>
      <c r="AJ271" s="718"/>
      <c r="AK271" s="716"/>
    </row>
    <row r="272" spans="1:37" ht="6" customHeight="1" x14ac:dyDescent="0.2">
      <c r="A272" s="1225"/>
      <c r="B272" s="1773">
        <v>262</v>
      </c>
      <c r="C272" s="1249"/>
      <c r="E272" s="1057"/>
      <c r="F272" s="1379"/>
      <c r="H272" s="1028"/>
      <c r="I272" s="843"/>
      <c r="L272" s="1031"/>
      <c r="M272" s="714"/>
      <c r="N272" s="838"/>
      <c r="O272" s="734"/>
      <c r="P272" s="838"/>
      <c r="Q272" s="734"/>
      <c r="R272" s="1223"/>
      <c r="V272" s="848"/>
      <c r="W272" s="848"/>
      <c r="X272" s="848"/>
      <c r="Y272" s="848"/>
      <c r="Z272" s="848"/>
      <c r="AA272" s="848"/>
      <c r="AB272" s="848"/>
      <c r="AC272" s="848"/>
      <c r="AE272" s="848"/>
      <c r="AF272" s="848"/>
      <c r="AG272" s="848"/>
      <c r="AH272" s="848"/>
      <c r="AI272" s="848"/>
      <c r="AJ272" s="848"/>
    </row>
    <row r="273" spans="1:36" x14ac:dyDescent="0.2">
      <c r="A273" s="1712" t="s">
        <v>2621</v>
      </c>
      <c r="B273" s="1773">
        <v>263</v>
      </c>
      <c r="C273" s="205" t="str">
        <f>IF(C261="","Track Special Work (excluding linear assets)",VLOOKUP(C261,Codes!$C$156:$D$174,2)&amp;" Track Special Work (excluding linear assets)")</f>
        <v>Track Special Work (excluding linear assets)</v>
      </c>
      <c r="E273" s="1057"/>
      <c r="F273" s="1379"/>
      <c r="H273" s="1028"/>
      <c r="I273" s="843"/>
      <c r="L273" s="1031"/>
      <c r="M273" s="714"/>
      <c r="N273" s="838"/>
      <c r="O273" s="734"/>
      <c r="P273" s="838"/>
      <c r="Q273" s="734"/>
      <c r="R273" s="1223"/>
      <c r="V273" s="848"/>
      <c r="W273" s="848"/>
      <c r="X273" s="848"/>
      <c r="Y273" s="848"/>
      <c r="Z273" s="848"/>
      <c r="AA273" s="848"/>
      <c r="AB273" s="848"/>
      <c r="AC273" s="848"/>
      <c r="AE273" s="848"/>
      <c r="AF273" s="848"/>
      <c r="AG273" s="848"/>
      <c r="AH273" s="848"/>
      <c r="AI273" s="848"/>
      <c r="AJ273" s="848"/>
    </row>
    <row r="274" spans="1:36" ht="6" customHeight="1" x14ac:dyDescent="0.2">
      <c r="A274" s="1225"/>
      <c r="B274" s="1773">
        <v>264</v>
      </c>
      <c r="C274" s="1249"/>
      <c r="E274" s="1057"/>
      <c r="F274" s="1379"/>
      <c r="H274" s="1028"/>
      <c r="I274" s="843"/>
      <c r="L274" s="1031"/>
      <c r="M274" s="714"/>
      <c r="N274" s="838"/>
      <c r="O274" s="734"/>
      <c r="P274" s="838"/>
      <c r="Q274" s="734"/>
      <c r="R274" s="1223"/>
      <c r="V274" s="761"/>
      <c r="W274" s="848"/>
      <c r="X274" s="848"/>
      <c r="Y274" s="848"/>
      <c r="Z274" s="848"/>
      <c r="AA274" s="761"/>
      <c r="AB274" s="848"/>
      <c r="AC274" s="848"/>
      <c r="AE274" s="848"/>
      <c r="AF274" s="848"/>
      <c r="AG274" s="848"/>
      <c r="AH274" s="848"/>
      <c r="AI274" s="848"/>
      <c r="AJ274" s="848"/>
    </row>
    <row r="275" spans="1:36" x14ac:dyDescent="0.2">
      <c r="A275" s="852">
        <v>59</v>
      </c>
      <c r="B275" s="1773">
        <v>265</v>
      </c>
      <c r="C275" s="1249" t="str">
        <f>Valid!$B$82</f>
        <v>Double Diamond Crossover</v>
      </c>
      <c r="E275" s="1245" t="str">
        <f>IF(U275="N/A","",U275)</f>
        <v/>
      </c>
      <c r="F275" s="1249"/>
      <c r="H275" s="1247"/>
      <c r="I275" s="1246" t="str">
        <f>IF($C$261="","",IF(H275="","Qty? Enter Zero if N/A  ",""))</f>
        <v/>
      </c>
      <c r="J275" s="1249" t="str">
        <f>VLOOKUP(C275,Valid!$B$80:$C$86,2,FALSE)</f>
        <v>Each</v>
      </c>
      <c r="K275" s="1249"/>
      <c r="L275" s="1247"/>
      <c r="M275" s="1248" t="str">
        <f>IF($H275=0,"",IF($L275="",TEXT(AH275,0)&amp;" Years?    ",""))</f>
        <v/>
      </c>
      <c r="N275" s="1276"/>
      <c r="O275" s="1275" t="str">
        <f>IF($H275=0,"","% Cap Resp.    ")</f>
        <v/>
      </c>
      <c r="P275" s="1808"/>
      <c r="Q275" s="1275" t="str">
        <f>IF($H275=0,"","% Cap Resp.    ")</f>
        <v/>
      </c>
      <c r="R275" s="1392"/>
      <c r="U275" s="758" t="str">
        <f>IF(AND(R275="",N275="",L275="",H275="",L275=""),"N/A",IF(AND($H275=0,OR(L275&lt;&gt;"",N275&lt;&gt;"",R275&lt;&gt;"",L275&lt;&gt;"")),"No",IF(AND($H275&lt;&gt;0,OR($N275="",L275="")),"No","Yes")))</f>
        <v>N/A</v>
      </c>
      <c r="V275" s="761" t="b">
        <f>IF(AND(H275="",OR(L275&lt;&gt;"",N275&lt;&gt;"")),TRUE,FALSE)</f>
        <v>0</v>
      </c>
      <c r="W275" s="761" t="b">
        <f>IF(AND($C$44&lt;&gt;"",$H275=""),TRUE,FALSE)</f>
        <v>0</v>
      </c>
      <c r="X275" s="761" t="b">
        <f>IF(AND(H275&lt;&gt;"",H275&lt;&gt;0,H275&gt;AG275),TRUE,FALSE)</f>
        <v>0</v>
      </c>
      <c r="Y275" s="761" t="b">
        <f>IF($L275="",FALSE,IF($L275&lt;$AI275,TRUE,FALSE))</f>
        <v>0</v>
      </c>
      <c r="Z275" s="761" t="b">
        <f>IF($L275="",FALSE,IF($L275&gt;$AJ275,TRUE,FALSE))</f>
        <v>0</v>
      </c>
      <c r="AA275" s="761" t="b">
        <f>IF(AND(E275="No",$L275=""),TRUE,FALSE)</f>
        <v>0</v>
      </c>
      <c r="AB275" s="761" t="b">
        <f>IF($AC275=TRUE,FALSE,IF(OR($N275&lt;0,$N275&gt;1),TRUE,FALSE))</f>
        <v>0</v>
      </c>
      <c r="AC275" s="761" t="b">
        <f>IF(OR($H275=0, $H275=""), FALSE, IF(AND(H275&gt;0, L275&lt;&gt;"", N275&lt;&gt;""), IF(AND((N275*100)&lt;100,P275=""), TRUE,FALSE), TRUE))</f>
        <v>0</v>
      </c>
      <c r="AD275" s="762"/>
      <c r="AE275" s="783">
        <f t="shared" ref="AE275:AJ275" si="58">IF($C275="","",VLOOKUP($C275,val_fg_assets,AE$5,FALSE))</f>
        <v>1</v>
      </c>
      <c r="AF275" s="835">
        <f t="shared" si="58"/>
        <v>0</v>
      </c>
      <c r="AG275" s="835">
        <f t="shared" si="58"/>
        <v>500</v>
      </c>
      <c r="AH275" s="783">
        <f t="shared" si="58"/>
        <v>15</v>
      </c>
      <c r="AI275" s="783">
        <f t="shared" si="58"/>
        <v>11</v>
      </c>
      <c r="AJ275" s="783">
        <f t="shared" si="58"/>
        <v>19</v>
      </c>
    </row>
    <row r="276" spans="1:36" ht="6" customHeight="1" x14ac:dyDescent="0.2">
      <c r="A276" s="1225"/>
      <c r="B276" s="1774">
        <v>266</v>
      </c>
      <c r="C276" s="1249"/>
      <c r="E276" s="1249"/>
      <c r="F276" s="1249"/>
      <c r="H276" s="1249"/>
      <c r="I276" s="1249"/>
      <c r="J276" s="1249"/>
      <c r="K276" s="1249"/>
      <c r="L276" s="1249"/>
      <c r="M276" s="1249"/>
      <c r="N276" s="1249"/>
      <c r="O276" s="1249"/>
      <c r="P276" s="1249"/>
      <c r="Q276" s="1249"/>
      <c r="R276" s="1393"/>
      <c r="V276" s="848"/>
      <c r="W276" s="848"/>
      <c r="X276" s="848"/>
      <c r="Y276" s="848"/>
      <c r="Z276" s="848"/>
      <c r="AA276" s="848"/>
      <c r="AB276" s="848"/>
      <c r="AC276" s="848"/>
      <c r="AE276" s="848"/>
      <c r="AF276" s="848"/>
      <c r="AG276" s="848"/>
      <c r="AH276" s="848"/>
      <c r="AI276" s="848"/>
      <c r="AJ276" s="848"/>
    </row>
    <row r="277" spans="1:36" x14ac:dyDescent="0.2">
      <c r="A277" s="852">
        <v>60</v>
      </c>
      <c r="B277" s="1773">
        <v>267</v>
      </c>
      <c r="C277" s="1249" t="str">
        <f>Valid!$B$83</f>
        <v>Single Crossover</v>
      </c>
      <c r="E277" s="1245" t="str">
        <f>IF(U277="N/A","",U277)</f>
        <v/>
      </c>
      <c r="F277" s="1249"/>
      <c r="H277" s="1247"/>
      <c r="I277" s="1246" t="str">
        <f>IF($C$261="","",IF(H277="","Qty? Enter Zero if N/A  ",""))</f>
        <v/>
      </c>
      <c r="J277" s="1249" t="str">
        <f>VLOOKUP(C277,Valid!$B$80:$C$86,2,FALSE)</f>
        <v>Each</v>
      </c>
      <c r="K277" s="1249"/>
      <c r="L277" s="1247"/>
      <c r="M277" s="1248" t="str">
        <f>IF($H277=0,"",IF($L277="",TEXT(AH277,0)&amp;" Years?    ",""))</f>
        <v/>
      </c>
      <c r="N277" s="1276"/>
      <c r="O277" s="1275" t="str">
        <f>IF($H277=0,"","% Cap Resp.    ")</f>
        <v/>
      </c>
      <c r="P277" s="1808"/>
      <c r="Q277" s="1275" t="str">
        <f>IF($H277=0,"","% Cap Resp.    ")</f>
        <v/>
      </c>
      <c r="R277" s="1392"/>
      <c r="U277" s="758" t="str">
        <f>IF(AND(R277="",N277="",L277="",H277="",L277=""),"N/A",IF(AND($H277=0,OR(L277&lt;&gt;"",N277&lt;&gt;"",R277&lt;&gt;"",L277&lt;&gt;"")),"No",IF(AND($H277&lt;&gt;0,OR($N277="",L277="")),"No","Yes")))</f>
        <v>N/A</v>
      </c>
      <c r="V277" s="761" t="b">
        <f>IF(AND(H277="",OR(L277&lt;&gt;"",N277&lt;&gt;"")),TRUE,FALSE)</f>
        <v>0</v>
      </c>
      <c r="W277" s="761" t="b">
        <f>IF(AND($C$44&lt;&gt;"",$H277=""),TRUE,FALSE)</f>
        <v>0</v>
      </c>
      <c r="X277" s="761" t="b">
        <f>IF(AND(H277&lt;&gt;"",H277&lt;&gt;0,H277&gt;AG277),TRUE,FALSE)</f>
        <v>0</v>
      </c>
      <c r="Y277" s="761" t="b">
        <f>IF($L277="",FALSE,IF($L277&lt;$AI277,TRUE,FALSE))</f>
        <v>0</v>
      </c>
      <c r="Z277" s="761" t="b">
        <f>IF($L277="",FALSE,IF($L277&gt;$AJ277,TRUE,FALSE))</f>
        <v>0</v>
      </c>
      <c r="AA277" s="761" t="b">
        <f>IF(AND(E277="No",$L277=""),TRUE,FALSE)</f>
        <v>0</v>
      </c>
      <c r="AB277" s="761" t="b">
        <f>IF($AC277=TRUE,FALSE,IF(OR($N277&lt;0,$N277&gt;1),TRUE,FALSE))</f>
        <v>0</v>
      </c>
      <c r="AC277" s="761" t="b">
        <f>IF(OR($H277=0, $H277=""), FALSE, IF(AND(H277&gt;0, L277&lt;&gt;"", N277&lt;&gt;""), IF(AND((N277*100)&lt;100,P277=""), TRUE,FALSE), TRUE))</f>
        <v>0</v>
      </c>
      <c r="AD277" s="762"/>
      <c r="AE277" s="783">
        <f t="shared" ref="AE277:AJ277" si="59">IF($C277="","",VLOOKUP($C277,val_fg_assets,AE$5,FALSE))</f>
        <v>1</v>
      </c>
      <c r="AF277" s="835">
        <f t="shared" si="59"/>
        <v>0</v>
      </c>
      <c r="AG277" s="835">
        <f t="shared" si="59"/>
        <v>500</v>
      </c>
      <c r="AH277" s="783">
        <f t="shared" si="59"/>
        <v>15</v>
      </c>
      <c r="AI277" s="783">
        <f t="shared" si="59"/>
        <v>11</v>
      </c>
      <c r="AJ277" s="783">
        <f t="shared" si="59"/>
        <v>19</v>
      </c>
    </row>
    <row r="278" spans="1:36" ht="6" customHeight="1" x14ac:dyDescent="0.2">
      <c r="A278" s="1225"/>
      <c r="B278" s="1773">
        <v>268</v>
      </c>
      <c r="C278" s="1249"/>
      <c r="E278" s="1249"/>
      <c r="F278" s="1249"/>
      <c r="H278" s="1249"/>
      <c r="I278" s="1249"/>
      <c r="J278" s="1249"/>
      <c r="K278" s="1249"/>
      <c r="L278" s="1249"/>
      <c r="M278" s="1249"/>
      <c r="N278" s="1249"/>
      <c r="O278" s="1249"/>
      <c r="P278" s="1249"/>
      <c r="Q278" s="1249"/>
      <c r="R278" s="1393"/>
      <c r="V278" s="848"/>
      <c r="W278" s="848"/>
      <c r="X278" s="848"/>
      <c r="Y278" s="848"/>
      <c r="Z278" s="848"/>
      <c r="AA278" s="848"/>
      <c r="AB278" s="848"/>
      <c r="AC278" s="848"/>
      <c r="AE278" s="848"/>
      <c r="AF278" s="848"/>
      <c r="AG278" s="848"/>
      <c r="AH278" s="848"/>
      <c r="AI278" s="848"/>
      <c r="AJ278" s="848"/>
    </row>
    <row r="279" spans="1:36" x14ac:dyDescent="0.2">
      <c r="A279" s="852">
        <v>61</v>
      </c>
      <c r="B279" s="1773">
        <v>269</v>
      </c>
      <c r="C279" s="1249" t="str">
        <f>Valid!$B$84</f>
        <v>Half Grand Union</v>
      </c>
      <c r="E279" s="1245" t="str">
        <f>IF(U279="N/A","",U279)</f>
        <v/>
      </c>
      <c r="F279" s="1249"/>
      <c r="H279" s="1247"/>
      <c r="I279" s="1246" t="str">
        <f>IF($C$261="","",IF(H279="","Qty? Enter Zero if N/A  ",""))</f>
        <v/>
      </c>
      <c r="J279" s="1249" t="str">
        <f>VLOOKUP(C279,Valid!$B$80:$C$86,2,FALSE)</f>
        <v>Each</v>
      </c>
      <c r="K279" s="1249"/>
      <c r="L279" s="1247"/>
      <c r="M279" s="1248" t="str">
        <f>IF($H279=0,"",IF($L279="",TEXT(AH279,0)&amp;" Years?    ",""))</f>
        <v/>
      </c>
      <c r="N279" s="1276"/>
      <c r="O279" s="1275" t="str">
        <f>IF($H279=0,"","% Cap Resp.    ")</f>
        <v/>
      </c>
      <c r="P279" s="1808"/>
      <c r="Q279" s="1275" t="str">
        <f>IF($H279=0,"","% Cap Resp.    ")</f>
        <v/>
      </c>
      <c r="R279" s="1392"/>
      <c r="U279" s="758" t="str">
        <f>IF(AND(R279="",N279="",L279="",H279="",L279=""),"N/A",IF(AND($H279=0,OR(L279&lt;&gt;"",N279&lt;&gt;"",R279&lt;&gt;"",L279&lt;&gt;"")),"No",IF(AND($H279&lt;&gt;0,OR($N279="",L279="")),"No","Yes")))</f>
        <v>N/A</v>
      </c>
      <c r="V279" s="761" t="b">
        <f>IF(AND(H279="",OR(L279&lt;&gt;"",N279&lt;&gt;"")),TRUE,FALSE)</f>
        <v>0</v>
      </c>
      <c r="W279" s="761" t="b">
        <f>IF(AND($C$44&lt;&gt;"",$H279=""),TRUE,FALSE)</f>
        <v>0</v>
      </c>
      <c r="X279" s="761" t="b">
        <f>IF(AND(H279&lt;&gt;"",H279&lt;&gt;0,H279&gt;AG279),TRUE,FALSE)</f>
        <v>0</v>
      </c>
      <c r="Y279" s="761" t="b">
        <f>IF($L279="",FALSE,IF($L279&lt;$AI279,TRUE,FALSE))</f>
        <v>0</v>
      </c>
      <c r="Z279" s="761" t="b">
        <f>IF($L279="",FALSE,IF($L279&gt;$AJ279,TRUE,FALSE))</f>
        <v>0</v>
      </c>
      <c r="AA279" s="761" t="b">
        <f>IF(AND(E279="No",$L279=""),TRUE,FALSE)</f>
        <v>0</v>
      </c>
      <c r="AB279" s="761" t="b">
        <f>IF($AC279=TRUE,FALSE,IF(OR($N279&lt;0,$N279&gt;1),TRUE,FALSE))</f>
        <v>0</v>
      </c>
      <c r="AC279" s="761" t="b">
        <f>IF(OR($H279=0, $H279=""), FALSE, IF(AND(H279&gt;0, L279&lt;&gt;"", N279&lt;&gt;""), IF(AND((N279*100)&lt;100,P279=""), TRUE,FALSE), TRUE))</f>
        <v>0</v>
      </c>
      <c r="AD279" s="762"/>
      <c r="AE279" s="783">
        <f t="shared" ref="AE279:AJ279" si="60">IF($C279="","",VLOOKUP($C279,val_fg_assets,AE$5,FALSE))</f>
        <v>1</v>
      </c>
      <c r="AF279" s="835">
        <f t="shared" si="60"/>
        <v>0</v>
      </c>
      <c r="AG279" s="835">
        <f t="shared" si="60"/>
        <v>500</v>
      </c>
      <c r="AH279" s="783">
        <f t="shared" si="60"/>
        <v>15</v>
      </c>
      <c r="AI279" s="783">
        <f t="shared" si="60"/>
        <v>11</v>
      </c>
      <c r="AJ279" s="783">
        <f t="shared" si="60"/>
        <v>19</v>
      </c>
    </row>
    <row r="280" spans="1:36" ht="6" customHeight="1" x14ac:dyDescent="0.2">
      <c r="A280" s="1225"/>
      <c r="B280" s="1773">
        <v>270</v>
      </c>
      <c r="C280" s="1249"/>
      <c r="E280" s="1249"/>
      <c r="F280" s="1249"/>
      <c r="H280" s="1249"/>
      <c r="I280" s="1249"/>
      <c r="J280" s="1249"/>
      <c r="K280" s="1249"/>
      <c r="L280" s="1249"/>
      <c r="M280" s="1249"/>
      <c r="N280" s="1249"/>
      <c r="O280" s="1249"/>
      <c r="P280" s="1249"/>
      <c r="Q280" s="1249"/>
      <c r="R280" s="1393"/>
      <c r="V280" s="848"/>
      <c r="W280" s="848"/>
      <c r="X280" s="848"/>
      <c r="Y280" s="848"/>
      <c r="Z280" s="848"/>
      <c r="AA280" s="848"/>
      <c r="AB280" s="848"/>
      <c r="AC280" s="848"/>
      <c r="AE280" s="848"/>
      <c r="AF280" s="848"/>
      <c r="AG280" s="848"/>
      <c r="AH280" s="848"/>
      <c r="AI280" s="848"/>
      <c r="AJ280" s="848"/>
    </row>
    <row r="281" spans="1:36" x14ac:dyDescent="0.2">
      <c r="A281" s="852">
        <v>62</v>
      </c>
      <c r="B281" s="1773">
        <v>271</v>
      </c>
      <c r="C281" s="1249" t="str">
        <f>Valid!$B$85</f>
        <v>Single Turnout</v>
      </c>
      <c r="E281" s="1245" t="str">
        <f>IF(U281="N/A","",U281)</f>
        <v/>
      </c>
      <c r="F281" s="1249"/>
      <c r="H281" s="1247"/>
      <c r="I281" s="1246" t="str">
        <f>IF($C$261="","",IF(H281="","Qty? Enter Zero if N/A  ",""))</f>
        <v/>
      </c>
      <c r="J281" s="1249" t="str">
        <f>VLOOKUP(C281,Valid!$B$80:$C$86,2,FALSE)</f>
        <v>Each</v>
      </c>
      <c r="K281" s="1249"/>
      <c r="L281" s="1247"/>
      <c r="M281" s="1248" t="str">
        <f>IF($H281=0,"",IF($L281="",TEXT(AH281,0)&amp;" Years?    ",""))</f>
        <v/>
      </c>
      <c r="N281" s="1276"/>
      <c r="O281" s="1275" t="str">
        <f>IF($H281=0,"","% Cap Resp.    ")</f>
        <v/>
      </c>
      <c r="P281" s="1808"/>
      <c r="Q281" s="1275" t="str">
        <f>IF($H281=0,"","% Cap Resp.    ")</f>
        <v/>
      </c>
      <c r="R281" s="1392"/>
      <c r="U281" s="758" t="str">
        <f>IF(AND(R281="",N281="",L281="",H281="",L281=""),"N/A",IF(AND($H281=0,OR(L281&lt;&gt;"",N281&lt;&gt;"",R281&lt;&gt;"",L281&lt;&gt;"")),"No",IF(AND($H281&lt;&gt;0,OR($N281="",L281="")),"No","Yes")))</f>
        <v>N/A</v>
      </c>
      <c r="V281" s="761" t="b">
        <f>IF(AND(H281="",OR(L281&lt;&gt;"",N281&lt;&gt;"")),TRUE,FALSE)</f>
        <v>0</v>
      </c>
      <c r="W281" s="761" t="b">
        <f>IF(AND($C$44&lt;&gt;"",$H281=""),TRUE,FALSE)</f>
        <v>0</v>
      </c>
      <c r="X281" s="761" t="b">
        <f>IF(AND(H281&lt;&gt;"",H281&lt;&gt;0,H281&gt;AG281),TRUE,FALSE)</f>
        <v>0</v>
      </c>
      <c r="Y281" s="761" t="b">
        <f>IF($L281="",FALSE,IF($L281&lt;$AI281,TRUE,FALSE))</f>
        <v>0</v>
      </c>
      <c r="Z281" s="761" t="b">
        <f>IF($L281="",FALSE,IF($L281&gt;$AJ281,TRUE,FALSE))</f>
        <v>0</v>
      </c>
      <c r="AA281" s="761" t="b">
        <f>IF(AND(E281="No",$L281=""),TRUE,FALSE)</f>
        <v>0</v>
      </c>
      <c r="AB281" s="761" t="b">
        <f>IF($AC281=TRUE,FALSE,IF(OR($N281&lt;0,$N281&gt;1),TRUE,FALSE))</f>
        <v>0</v>
      </c>
      <c r="AC281" s="761" t="b">
        <f>IF(OR($H281=0, $H281=""), FALSE, IF(AND(H281&gt;0, L281&lt;&gt;"", N281&lt;&gt;""), IF(AND((N281*100)&lt;100,P281=""), TRUE,FALSE), TRUE))</f>
        <v>0</v>
      </c>
      <c r="AD281" s="762"/>
      <c r="AE281" s="783">
        <f t="shared" ref="AE281:AJ281" si="61">IF($C281="","",VLOOKUP($C281,val_fg_assets,AE$5,FALSE))</f>
        <v>1</v>
      </c>
      <c r="AF281" s="835">
        <f t="shared" si="61"/>
        <v>0</v>
      </c>
      <c r="AG281" s="835">
        <f t="shared" si="61"/>
        <v>500</v>
      </c>
      <c r="AH281" s="783">
        <f t="shared" si="61"/>
        <v>15</v>
      </c>
      <c r="AI281" s="783">
        <f t="shared" si="61"/>
        <v>11</v>
      </c>
      <c r="AJ281" s="783">
        <f t="shared" si="61"/>
        <v>19</v>
      </c>
    </row>
    <row r="282" spans="1:36" ht="6" customHeight="1" x14ac:dyDescent="0.2">
      <c r="A282" s="1225"/>
      <c r="B282" s="1773">
        <v>272</v>
      </c>
      <c r="C282" s="1249"/>
      <c r="E282" s="1249"/>
      <c r="F282" s="1249"/>
      <c r="H282" s="1249"/>
      <c r="I282" s="1249"/>
      <c r="J282" s="1249"/>
      <c r="K282" s="1249"/>
      <c r="L282" s="1249"/>
      <c r="M282" s="1249"/>
      <c r="N282" s="1249"/>
      <c r="O282" s="1249"/>
      <c r="P282" s="1249"/>
      <c r="Q282" s="1249"/>
      <c r="R282" s="1393"/>
      <c r="V282" s="848"/>
      <c r="W282" s="848"/>
      <c r="X282" s="848"/>
      <c r="Y282" s="848"/>
      <c r="Z282" s="848"/>
      <c r="AA282" s="848"/>
      <c r="AB282" s="848"/>
      <c r="AC282" s="848"/>
      <c r="AE282" s="848"/>
      <c r="AF282" s="848"/>
      <c r="AG282" s="848"/>
      <c r="AH282" s="848"/>
      <c r="AI282" s="848"/>
      <c r="AJ282" s="848"/>
    </row>
    <row r="283" spans="1:36" x14ac:dyDescent="0.2">
      <c r="A283" s="852">
        <v>63</v>
      </c>
      <c r="B283" s="1773">
        <v>273</v>
      </c>
      <c r="C283" s="1249" t="str">
        <f>Valid!$B$86</f>
        <v>Grade Crossings</v>
      </c>
      <c r="E283" s="1245" t="str">
        <f>IF(U283="N/A","",U283)</f>
        <v/>
      </c>
      <c r="F283" s="1249"/>
      <c r="H283" s="1247"/>
      <c r="I283" s="1246" t="str">
        <f>IF($C$261="","",IF(H283="","Qty? Enter Zero if N/A  ",""))</f>
        <v/>
      </c>
      <c r="J283" s="1249" t="str">
        <f>VLOOKUP(C283,Valid!$B$80:$C$86,2,FALSE)</f>
        <v>Each</v>
      </c>
      <c r="K283" s="1249"/>
      <c r="L283" s="1247"/>
      <c r="M283" s="1248" t="str">
        <f>IF($H283=0,"",IF($L283="",TEXT(AH283,0)&amp;" Years?    ",""))</f>
        <v/>
      </c>
      <c r="N283" s="1276"/>
      <c r="O283" s="1275" t="str">
        <f>IF($H283=0,"","% Cap Resp.    ")</f>
        <v/>
      </c>
      <c r="P283" s="1808"/>
      <c r="Q283" s="1275" t="str">
        <f>IF($H283=0,"","% Cap Resp.    ")</f>
        <v/>
      </c>
      <c r="R283" s="1392"/>
      <c r="U283" s="758" t="str">
        <f>IF(AND(R283="",N283="",L283="",H283="",L283=""),"N/A",IF(AND($H283=0,OR(L283&lt;&gt;"",N283&lt;&gt;"",R283&lt;&gt;"",L283&lt;&gt;"")),"No",IF(AND($H283&lt;&gt;0,OR($N283="",L283="")),"No","Yes")))</f>
        <v>N/A</v>
      </c>
      <c r="V283" s="761" t="b">
        <f>IF(AND(H283="",OR(L283&lt;&gt;"",N283&lt;&gt;"")),TRUE,FALSE)</f>
        <v>0</v>
      </c>
      <c r="W283" s="761" t="b">
        <f>IF(AND($C$44&lt;&gt;"",$H283=""),TRUE,FALSE)</f>
        <v>0</v>
      </c>
      <c r="X283" s="761" t="b">
        <f>IF(AND(H283&lt;&gt;"",H283&lt;&gt;0,H283&gt;AG283),TRUE,FALSE)</f>
        <v>0</v>
      </c>
      <c r="Y283" s="761" t="b">
        <f>IF($L283="",FALSE,IF($L283&lt;$AI283,TRUE,FALSE))</f>
        <v>0</v>
      </c>
      <c r="Z283" s="761" t="b">
        <f>IF($L283="",FALSE,IF($L283&gt;$AJ283,TRUE,FALSE))</f>
        <v>0</v>
      </c>
      <c r="AA283" s="761" t="b">
        <f>IF(AND(E283="No",$L283=""),TRUE,FALSE)</f>
        <v>0</v>
      </c>
      <c r="AB283" s="761" t="b">
        <f>IF($AC283=TRUE,FALSE,IF(OR($N283&lt;0,$N283&gt;1),TRUE,FALSE))</f>
        <v>0</v>
      </c>
      <c r="AC283" s="761" t="b">
        <f>IF(OR($H283=0, $H283=""), FALSE, IF(AND(H283&gt;0, L283&lt;&gt;"", N283&lt;&gt;""), IF(AND((N283*100)&lt;100,P283=""), TRUE,FALSE), TRUE))</f>
        <v>0</v>
      </c>
      <c r="AD283" s="762"/>
      <c r="AE283" s="783">
        <f t="shared" ref="AE283:AJ283" si="62">IF($C283="","",VLOOKUP($C283,val_fg_assets,AE$5,FALSE))</f>
        <v>1</v>
      </c>
      <c r="AF283" s="835">
        <f t="shared" si="62"/>
        <v>0</v>
      </c>
      <c r="AG283" s="835">
        <f t="shared" si="62"/>
        <v>500</v>
      </c>
      <c r="AH283" s="783">
        <f t="shared" si="62"/>
        <v>15</v>
      </c>
      <c r="AI283" s="783">
        <f t="shared" si="62"/>
        <v>11</v>
      </c>
      <c r="AJ283" s="783">
        <f t="shared" si="62"/>
        <v>19</v>
      </c>
    </row>
    <row r="284" spans="1:36" ht="6" customHeight="1" thickBot="1" x14ac:dyDescent="0.25">
      <c r="A284" s="1225"/>
      <c r="B284" s="1774">
        <v>274</v>
      </c>
      <c r="C284" s="1249"/>
      <c r="E284" s="1249"/>
      <c r="F284" s="1249"/>
      <c r="H284" s="1249"/>
      <c r="I284" s="1249"/>
      <c r="J284" s="1249"/>
      <c r="K284" s="1249"/>
      <c r="L284" s="1249"/>
      <c r="M284" s="1249"/>
      <c r="N284" s="1249"/>
      <c r="O284" s="1249"/>
      <c r="P284" s="1249"/>
      <c r="Q284" s="1249"/>
      <c r="R284" s="1393"/>
      <c r="V284" s="848"/>
      <c r="W284" s="848"/>
      <c r="X284" s="848"/>
      <c r="Y284" s="848"/>
      <c r="Z284" s="848"/>
      <c r="AA284" s="848"/>
      <c r="AB284" s="848"/>
      <c r="AC284" s="848"/>
      <c r="AE284" s="848"/>
      <c r="AF284" s="848"/>
      <c r="AG284" s="848"/>
      <c r="AH284" s="848"/>
      <c r="AI284" s="848"/>
      <c r="AJ284" s="848"/>
    </row>
    <row r="285" spans="1:36" x14ac:dyDescent="0.2">
      <c r="A285" s="1712" t="s">
        <v>2621</v>
      </c>
      <c r="B285" s="1773">
        <v>275</v>
      </c>
      <c r="C285" s="1249"/>
      <c r="E285" s="1249"/>
      <c r="F285" s="1278" t="str">
        <f>IF(C261="","Track Special Work Totals (excluding linear assets)&gt;&gt;",VLOOKUP(C261,Codes!$C$156:$D$174,2)&amp;" Track Special Work Totals (excluding linear assets)&gt;&gt;")</f>
        <v>Track Special Work Totals (excluding linear assets)&gt;&gt;</v>
      </c>
      <c r="H285" s="1032">
        <f>SUM(H275:H283)</f>
        <v>0</v>
      </c>
      <c r="I285" s="1249"/>
      <c r="J285" s="1249"/>
      <c r="K285" s="1249"/>
      <c r="L285" s="1249"/>
      <c r="M285" s="1249"/>
      <c r="N285" s="1249"/>
      <c r="O285" s="1249"/>
      <c r="P285" s="1249"/>
      <c r="Q285" s="1249"/>
      <c r="R285" s="1393"/>
      <c r="V285" s="848"/>
      <c r="W285" s="848"/>
      <c r="X285" s="848"/>
      <c r="Y285" s="848"/>
      <c r="Z285" s="848"/>
      <c r="AA285" s="848"/>
      <c r="AB285" s="848"/>
      <c r="AC285" s="848"/>
      <c r="AE285" s="848"/>
      <c r="AF285" s="848"/>
      <c r="AG285" s="848"/>
      <c r="AH285" s="848"/>
      <c r="AI285" s="848"/>
      <c r="AJ285" s="848"/>
    </row>
    <row r="286" spans="1:36" ht="6" customHeight="1" x14ac:dyDescent="0.2">
      <c r="B286" s="1773">
        <v>276</v>
      </c>
      <c r="C286" s="1268"/>
      <c r="E286" s="1057"/>
      <c r="H286" s="1250"/>
      <c r="L286" s="1251"/>
      <c r="R286" s="1394"/>
      <c r="V286" s="848"/>
      <c r="W286" s="848"/>
      <c r="X286" s="848"/>
      <c r="Y286" s="759"/>
      <c r="Z286" s="759"/>
      <c r="AA286" s="848"/>
      <c r="AB286" s="848"/>
      <c r="AC286" s="848"/>
      <c r="AE286" s="848"/>
      <c r="AF286" s="848"/>
      <c r="AG286" s="848"/>
      <c r="AH286" s="848"/>
      <c r="AI286" s="848"/>
      <c r="AJ286" s="848"/>
    </row>
    <row r="287" spans="1:36" ht="6" customHeight="1" x14ac:dyDescent="0.2">
      <c r="B287" s="1773">
        <v>277</v>
      </c>
      <c r="E287" s="1057"/>
      <c r="H287" s="1250"/>
      <c r="L287" s="1251"/>
      <c r="R287" s="1223"/>
      <c r="V287" s="848"/>
      <c r="W287" s="848"/>
      <c r="X287" s="848"/>
      <c r="Y287" s="848"/>
      <c r="Z287" s="848"/>
      <c r="AA287" s="848"/>
      <c r="AB287" s="848"/>
      <c r="AC287" s="848"/>
      <c r="AE287" s="848"/>
      <c r="AF287" s="848"/>
      <c r="AG287" s="848"/>
      <c r="AH287" s="848"/>
      <c r="AI287" s="848"/>
      <c r="AJ287" s="848"/>
    </row>
    <row r="288" spans="1:36" ht="6" customHeight="1" x14ac:dyDescent="0.2">
      <c r="A288" s="1815"/>
      <c r="B288" s="1819">
        <v>30</v>
      </c>
      <c r="C288" s="1816"/>
      <c r="D288" s="1847"/>
      <c r="E288" s="1817"/>
      <c r="F288" s="1817"/>
      <c r="G288" s="1817"/>
      <c r="H288" s="1817"/>
      <c r="I288" s="1817"/>
      <c r="J288" s="1817"/>
      <c r="K288" s="1817"/>
      <c r="L288" s="1817"/>
      <c r="M288" s="1817"/>
      <c r="N288" s="1817"/>
      <c r="O288" s="1817"/>
      <c r="P288" s="1817"/>
      <c r="Q288" s="1817"/>
      <c r="R288" s="1818"/>
      <c r="S288" s="1815"/>
      <c r="T288" s="1815"/>
      <c r="U288" s="1815"/>
      <c r="V288" s="1814"/>
      <c r="W288" s="1814"/>
      <c r="X288" s="1814"/>
      <c r="Y288" s="1814"/>
      <c r="Z288" s="1814"/>
      <c r="AA288" s="1814"/>
      <c r="AB288" s="1814"/>
      <c r="AC288" s="1814"/>
      <c r="AD288" s="1815"/>
      <c r="AE288" s="1814"/>
      <c r="AF288" s="1814"/>
      <c r="AG288" s="1814"/>
      <c r="AH288" s="1814"/>
      <c r="AI288" s="1814"/>
      <c r="AJ288" s="1814"/>
    </row>
    <row r="289" spans="1:37" ht="6" customHeight="1" x14ac:dyDescent="0.2">
      <c r="B289" s="1773">
        <v>279</v>
      </c>
      <c r="E289" s="1057"/>
      <c r="H289" s="1250"/>
      <c r="L289" s="1145"/>
      <c r="V289" s="848"/>
      <c r="W289" s="848"/>
      <c r="X289" s="848"/>
      <c r="Y289" s="848"/>
      <c r="Z289" s="848"/>
      <c r="AA289" s="848"/>
      <c r="AB289" s="848"/>
      <c r="AC289" s="848"/>
      <c r="AE289" s="848"/>
      <c r="AF289" s="848"/>
      <c r="AG289" s="848"/>
      <c r="AH289" s="848"/>
      <c r="AI289" s="848"/>
      <c r="AJ289" s="848"/>
    </row>
    <row r="290" spans="1:37" ht="6" customHeight="1" x14ac:dyDescent="0.2">
      <c r="B290" s="1773">
        <v>280</v>
      </c>
      <c r="E290" s="1057"/>
      <c r="H290" s="1250"/>
      <c r="L290" s="1270"/>
      <c r="V290" s="848"/>
      <c r="W290" s="848"/>
      <c r="X290" s="848"/>
      <c r="Y290" s="848"/>
      <c r="Z290" s="848"/>
      <c r="AA290" s="848"/>
      <c r="AB290" s="848"/>
      <c r="AC290" s="848"/>
      <c r="AE290" s="848"/>
      <c r="AF290" s="848"/>
      <c r="AG290" s="848"/>
      <c r="AH290" s="848"/>
      <c r="AI290" s="848"/>
      <c r="AJ290" s="848"/>
    </row>
    <row r="291" spans="1:37" ht="6" customHeight="1" x14ac:dyDescent="0.2">
      <c r="B291" s="1773">
        <v>281</v>
      </c>
      <c r="E291" s="1057"/>
      <c r="H291" s="1250"/>
      <c r="L291" s="1251"/>
      <c r="U291" s="1219"/>
      <c r="V291" s="759"/>
      <c r="W291" s="848"/>
      <c r="X291" s="759"/>
      <c r="Y291" s="848"/>
      <c r="Z291" s="848"/>
      <c r="AA291" s="848"/>
      <c r="AB291" s="848"/>
      <c r="AC291" s="848"/>
      <c r="AE291" s="848"/>
      <c r="AF291" s="848"/>
      <c r="AG291" s="848"/>
      <c r="AH291" s="848"/>
      <c r="AI291" s="848"/>
      <c r="AJ291" s="848"/>
    </row>
    <row r="292" spans="1:37" s="760" customFormat="1" x14ac:dyDescent="0.2">
      <c r="A292" s="1712" t="s">
        <v>2621</v>
      </c>
      <c r="B292" s="1774">
        <v>282</v>
      </c>
      <c r="C292" s="1416"/>
      <c r="D292" s="1248" t="str">
        <f>IF(AND(C261&lt;&gt;"",$C292=""),"Select Mode from Pull-Down List                                                                       ","")</f>
        <v/>
      </c>
      <c r="E292" s="1277" t="str">
        <f>IF(AND(C292="",OR(H298&lt;&gt;"",H300&lt;&gt;"",L298&lt;&gt;"",N298&lt;&gt;"",L300&lt;&gt;"",N300&lt;&gt;"",R298&lt;&gt;"",R300&lt;&gt;"",C294&lt;&gt;"",H316&lt;&gt;0,L306&lt;&gt;"",L308&lt;&gt;"",L310&lt;&gt;"",L312&lt;&gt;"",L314&lt;&gt;"",N306&lt;&gt;"",N308&lt;&gt;"",N310&lt;&gt;"",N312&lt;&gt;"",N314&lt;&gt;"",R306&lt;&gt;"",R308&lt;&gt;"",R310&lt;&gt;"",R312&lt;&gt;"",R314&lt;&gt;"")),"&lt;&lt; Insert Rail Mode",IF(AND(C292&lt;&gt;"",C261=""),"&lt;&lt;Complete Previous Section First",""))</f>
        <v/>
      </c>
      <c r="F292" s="736"/>
      <c r="G292" s="736"/>
      <c r="H292" s="1253"/>
      <c r="I292" s="1254"/>
      <c r="J292" s="1255"/>
      <c r="K292" s="1256"/>
      <c r="L292" s="1257"/>
      <c r="M292" s="1254"/>
      <c r="N292" s="1254"/>
      <c r="O292" s="1254"/>
      <c r="P292" s="1254"/>
      <c r="Q292" s="1254"/>
      <c r="R292" s="1223"/>
      <c r="S292" s="1221"/>
      <c r="T292" s="758"/>
      <c r="U292" s="758" t="b">
        <f>IF(E292&lt;&gt;"",TRUE,FALSE)</f>
        <v>0</v>
      </c>
      <c r="V292" s="763"/>
      <c r="W292" s="763"/>
      <c r="X292" s="763"/>
      <c r="Y292" s="763"/>
      <c r="Z292" s="763"/>
      <c r="AA292" s="763"/>
      <c r="AB292" s="763"/>
      <c r="AC292" s="763"/>
      <c r="AE292" s="783"/>
      <c r="AF292" s="783"/>
      <c r="AG292" s="783"/>
      <c r="AH292" s="783"/>
      <c r="AI292" s="783"/>
      <c r="AJ292" s="783"/>
      <c r="AK292" s="1220"/>
    </row>
    <row r="293" spans="1:37" s="760" customFormat="1" ht="6" customHeight="1" x14ac:dyDescent="0.2">
      <c r="A293" s="721"/>
      <c r="B293" s="1773">
        <v>283</v>
      </c>
      <c r="C293" s="1434"/>
      <c r="D293" s="1248"/>
      <c r="E293" s="1277"/>
      <c r="F293" s="736"/>
      <c r="G293" s="736"/>
      <c r="H293" s="1253"/>
      <c r="I293" s="1254"/>
      <c r="J293" s="1255"/>
      <c r="K293" s="1256"/>
      <c r="L293" s="1257"/>
      <c r="M293" s="1254"/>
      <c r="N293" s="1254"/>
      <c r="O293" s="1254"/>
      <c r="P293" s="1254"/>
      <c r="Q293" s="1254"/>
      <c r="R293" s="1223"/>
      <c r="S293" s="1221"/>
      <c r="T293" s="758"/>
      <c r="U293" s="758"/>
      <c r="V293" s="763"/>
      <c r="W293" s="763"/>
      <c r="X293" s="763"/>
      <c r="Y293" s="763"/>
      <c r="Z293" s="763"/>
      <c r="AA293" s="763"/>
      <c r="AB293" s="763"/>
      <c r="AC293" s="763"/>
      <c r="AE293" s="783"/>
      <c r="AF293" s="783"/>
      <c r="AG293" s="783"/>
      <c r="AH293" s="783"/>
      <c r="AI293" s="783"/>
      <c r="AJ293" s="783"/>
      <c r="AK293" s="1220"/>
    </row>
    <row r="294" spans="1:37" s="760" customFormat="1" x14ac:dyDescent="0.2">
      <c r="A294" s="1712" t="s">
        <v>2621</v>
      </c>
      <c r="B294" s="1773">
        <v>284</v>
      </c>
      <c r="C294" s="1417"/>
      <c r="D294" s="1248" t="str">
        <f>IF(AND(C292&lt;&gt;"",C294=""),"Agency-Specific "&amp;VLOOKUP(C292,Codes!$C$156:$D$174,2,FALSE)&amp;" Curvature Threshold (ft. radius or degrees)  ","")</f>
        <v/>
      </c>
      <c r="E294" s="1277"/>
      <c r="F294" s="736"/>
      <c r="G294" s="851"/>
      <c r="H294" s="1253"/>
      <c r="I294" s="1254"/>
      <c r="J294" s="1255"/>
      <c r="K294" s="1256"/>
      <c r="L294" s="1257"/>
      <c r="M294" s="1254"/>
      <c r="N294" s="1254"/>
      <c r="O294" s="1254"/>
      <c r="P294" s="1254"/>
      <c r="Q294" s="1254"/>
      <c r="R294" s="1223"/>
      <c r="S294" s="1221"/>
      <c r="T294" s="758"/>
      <c r="U294" s="758" t="b">
        <f>IF(AND(C292&lt;&gt;"",C294=""),TRUE,FALSE)</f>
        <v>0</v>
      </c>
      <c r="V294" s="763"/>
      <c r="W294" s="763"/>
      <c r="X294" s="763"/>
      <c r="Y294" s="763"/>
      <c r="Z294" s="763"/>
      <c r="AA294" s="763"/>
      <c r="AB294" s="763"/>
      <c r="AC294" s="763"/>
      <c r="AE294" s="783"/>
      <c r="AF294" s="783"/>
      <c r="AG294" s="783"/>
      <c r="AH294" s="783"/>
      <c r="AI294" s="783"/>
      <c r="AJ294" s="783"/>
      <c r="AK294" s="1220"/>
    </row>
    <row r="295" spans="1:37" s="760" customFormat="1" ht="6" customHeight="1" x14ac:dyDescent="0.2">
      <c r="A295" s="721"/>
      <c r="B295" s="1773">
        <v>285</v>
      </c>
      <c r="C295" s="828"/>
      <c r="D295" s="1845"/>
      <c r="E295" s="721"/>
      <c r="F295" s="281"/>
      <c r="G295" s="281"/>
      <c r="H295" s="1029"/>
      <c r="I295" s="829"/>
      <c r="J295" s="830"/>
      <c r="K295" s="829"/>
      <c r="L295" s="1031"/>
      <c r="M295" s="758"/>
      <c r="N295" s="724"/>
      <c r="O295" s="724"/>
      <c r="P295" s="724"/>
      <c r="Q295" s="724"/>
      <c r="R295" s="1223"/>
      <c r="S295" s="1221"/>
      <c r="T295" s="1219"/>
      <c r="U295" s="1221"/>
      <c r="V295" s="759"/>
      <c r="W295" s="759"/>
      <c r="X295" s="759"/>
      <c r="Y295" s="759"/>
      <c r="Z295" s="759"/>
      <c r="AA295" s="759"/>
      <c r="AB295" s="759"/>
      <c r="AC295" s="759"/>
      <c r="AE295" s="833"/>
      <c r="AF295" s="833"/>
      <c r="AG295" s="833"/>
      <c r="AH295" s="833"/>
      <c r="AI295" s="833"/>
      <c r="AJ295" s="833"/>
      <c r="AK295" s="1221"/>
    </row>
    <row r="296" spans="1:37" s="760" customFormat="1" x14ac:dyDescent="0.2">
      <c r="A296" s="1712" t="s">
        <v>2621</v>
      </c>
      <c r="B296" s="1773">
        <v>286</v>
      </c>
      <c r="C296" s="205" t="str">
        <f>IF(C292="","Linear Track",VLOOKUP(C292,Codes!$C$156:$D$174,2)&amp;" Linear Track")</f>
        <v>Linear Track</v>
      </c>
      <c r="D296" s="1845"/>
      <c r="E296" s="721"/>
      <c r="F296" s="281"/>
      <c r="G296" s="281"/>
      <c r="H296" s="1029"/>
      <c r="I296" s="829"/>
      <c r="J296" s="830"/>
      <c r="K296" s="829"/>
      <c r="L296" s="1031"/>
      <c r="M296" s="758"/>
      <c r="N296" s="724"/>
      <c r="O296" s="724"/>
      <c r="P296" s="724"/>
      <c r="Q296" s="724"/>
      <c r="R296" s="1223"/>
      <c r="S296" s="1221"/>
      <c r="T296" s="1219"/>
      <c r="U296" s="1221"/>
      <c r="V296" s="759"/>
      <c r="W296" s="759"/>
      <c r="X296" s="759"/>
      <c r="Y296" s="759"/>
      <c r="Z296" s="759"/>
      <c r="AA296" s="759"/>
      <c r="AB296" s="759"/>
      <c r="AC296" s="759"/>
      <c r="AE296" s="833"/>
      <c r="AF296" s="833"/>
      <c r="AG296" s="833"/>
      <c r="AH296" s="833"/>
      <c r="AI296" s="833"/>
      <c r="AJ296" s="833"/>
      <c r="AK296" s="1221"/>
    </row>
    <row r="297" spans="1:37" s="760" customFormat="1" ht="6" customHeight="1" x14ac:dyDescent="0.2">
      <c r="A297" s="721"/>
      <c r="B297" s="1773">
        <v>287</v>
      </c>
      <c r="C297" s="828"/>
      <c r="D297" s="1845"/>
      <c r="E297" s="721"/>
      <c r="F297" s="281"/>
      <c r="G297" s="281"/>
      <c r="H297" s="1029"/>
      <c r="I297" s="829"/>
      <c r="J297" s="830"/>
      <c r="K297" s="829"/>
      <c r="L297" s="1031"/>
      <c r="M297" s="758"/>
      <c r="N297" s="724"/>
      <c r="O297" s="724"/>
      <c r="P297" s="724"/>
      <c r="Q297" s="724"/>
      <c r="R297" s="1223"/>
      <c r="S297" s="1221"/>
      <c r="T297" s="1219"/>
      <c r="U297" s="1221"/>
      <c r="V297" s="759"/>
      <c r="W297" s="759"/>
      <c r="X297" s="759"/>
      <c r="Y297" s="759"/>
      <c r="Z297" s="759"/>
      <c r="AA297" s="759"/>
      <c r="AB297" s="759"/>
      <c r="AC297" s="759"/>
      <c r="AE297" s="833"/>
      <c r="AF297" s="833"/>
      <c r="AG297" s="833"/>
      <c r="AH297" s="833"/>
      <c r="AI297" s="833"/>
      <c r="AJ297" s="833"/>
      <c r="AK297" s="1221"/>
    </row>
    <row r="298" spans="1:37" s="760" customFormat="1" x14ac:dyDescent="0.2">
      <c r="A298" s="852">
        <v>64</v>
      </c>
      <c r="B298" s="1773">
        <v>288</v>
      </c>
      <c r="C298" s="851" t="str">
        <f>Valid!$B$80</f>
        <v>Tangent</v>
      </c>
      <c r="D298" s="1845"/>
      <c r="E298" s="1056" t="str">
        <f>IF(U298="N/A","",U298)</f>
        <v/>
      </c>
      <c r="F298" s="685"/>
      <c r="G298" s="685"/>
      <c r="H298" s="1025"/>
      <c r="I298" s="1246" t="str">
        <f>IF($C$292="","",IF(H298="","Qty? Enter Zero if N/A  ",""))</f>
        <v/>
      </c>
      <c r="J298" s="1249" t="str">
        <f>VLOOKUP(C298,Valid!$B$80:$C$86,2,FALSE)</f>
        <v>Track Feet</v>
      </c>
      <c r="K298" s="764"/>
      <c r="L298" s="1025"/>
      <c r="M298" s="1248" t="str">
        <f>IF($H298=0,"",IF($L298="",TEXT(AH298,0)&amp;" Years?    ",""))</f>
        <v/>
      </c>
      <c r="N298" s="1276"/>
      <c r="O298" s="1275" t="str">
        <f>IF($H298=0,"","% Cap Resp.    ")</f>
        <v/>
      </c>
      <c r="P298" s="1808"/>
      <c r="Q298" s="1275" t="str">
        <f>IF($H298=0,"","% Cap Resp.    ")</f>
        <v/>
      </c>
      <c r="R298" s="1392"/>
      <c r="S298" s="1223"/>
      <c r="T298" s="1223"/>
      <c r="U298" s="758" t="str">
        <f>IF(AND(R298="",N298="",L298="",H298="",L298=""),"N/A",IF(AND($H298=0,OR(L298&lt;&gt;"",N298&lt;&gt;"",R298&lt;&gt;"",L298&lt;&gt;"")),"No",IF(AND($H298&lt;&gt;0,OR($N298="",L298="")),"No","Yes")))</f>
        <v>N/A</v>
      </c>
      <c r="V298" s="761" t="b">
        <f>IF(AND(H298="",OR(L298&lt;&gt;"",N298&lt;&gt;"")),TRUE,FALSE)</f>
        <v>0</v>
      </c>
      <c r="W298" s="761" t="b">
        <f>IF(AND($C$292&lt;&gt;"",$H298=""),TRUE,FALSE)</f>
        <v>0</v>
      </c>
      <c r="X298" s="761" t="b">
        <f>IF(AND(H298&lt;&gt;"",H298&lt;&gt;0,H298&gt;AG298),TRUE,FALSE)</f>
        <v>0</v>
      </c>
      <c r="Y298" s="761" t="b">
        <f>IF($L298="",FALSE,IF($L298&lt;$AI298,TRUE,FALSE))</f>
        <v>0</v>
      </c>
      <c r="Z298" s="761" t="b">
        <f>IF($L298="",FALSE,IF($L298&gt;$AJ298,TRUE,FALSE))</f>
        <v>0</v>
      </c>
      <c r="AA298" s="761" t="b">
        <f>IF(AND(E298="No",$L298=""),TRUE,FALSE)</f>
        <v>0</v>
      </c>
      <c r="AB298" s="761" t="b">
        <f>IF($AC298=TRUE,FALSE,IF(OR($N298&lt;0,$N298&gt;1),TRUE,FALSE))</f>
        <v>0</v>
      </c>
      <c r="AC298" s="761" t="b">
        <f>IF(OR($H298=0, $H298=""), FALSE, IF(AND(H298&gt;0, L298&lt;&gt;"", N298&lt;&gt;""), IF(AND((N298*100)&lt;100,P298=""), TRUE,FALSE), TRUE))</f>
        <v>0</v>
      </c>
      <c r="AD298" s="762"/>
      <c r="AE298" s="783">
        <f t="shared" ref="AE298:AJ298" si="63">IF($C298="","",VLOOKUP($C298,val_fg_assets,AE$5,FALSE))</f>
        <v>1</v>
      </c>
      <c r="AF298" s="835">
        <f t="shared" si="63"/>
        <v>0</v>
      </c>
      <c r="AG298" s="835">
        <f t="shared" si="63"/>
        <v>3000000</v>
      </c>
      <c r="AH298" s="783">
        <f t="shared" si="63"/>
        <v>35</v>
      </c>
      <c r="AI298" s="783">
        <f t="shared" si="63"/>
        <v>26</v>
      </c>
      <c r="AJ298" s="783">
        <f t="shared" si="63"/>
        <v>44</v>
      </c>
      <c r="AK298" s="834"/>
    </row>
    <row r="299" spans="1:37" s="760" customFormat="1" ht="6" customHeight="1" x14ac:dyDescent="0.2">
      <c r="A299" s="852"/>
      <c r="B299" s="1773">
        <v>289</v>
      </c>
      <c r="C299" s="1222"/>
      <c r="D299" s="1845"/>
      <c r="E299" s="1059"/>
      <c r="F299" s="685"/>
      <c r="G299" s="685"/>
      <c r="H299" s="1176"/>
      <c r="I299" s="764"/>
      <c r="J299" s="840"/>
      <c r="K299" s="764"/>
      <c r="L299" s="1031"/>
      <c r="M299" s="758"/>
      <c r="N299" s="1258"/>
      <c r="O299" s="724"/>
      <c r="P299" s="1258"/>
      <c r="Q299" s="724"/>
      <c r="R299" s="1223"/>
      <c r="S299" s="1223"/>
      <c r="T299" s="1223"/>
      <c r="U299" s="1223"/>
      <c r="V299" s="759"/>
      <c r="W299" s="759"/>
      <c r="X299" s="759"/>
      <c r="Y299" s="759"/>
      <c r="Z299" s="759"/>
      <c r="AA299" s="759"/>
      <c r="AB299" s="759"/>
      <c r="AC299" s="759"/>
      <c r="AE299" s="833"/>
      <c r="AF299" s="845"/>
      <c r="AG299" s="845"/>
      <c r="AH299" s="833"/>
      <c r="AI299" s="833"/>
      <c r="AJ299" s="833"/>
      <c r="AK299" s="1223"/>
    </row>
    <row r="300" spans="1:37" s="760" customFormat="1" x14ac:dyDescent="0.2">
      <c r="A300" s="852">
        <v>65</v>
      </c>
      <c r="B300" s="1774">
        <v>290</v>
      </c>
      <c r="C300" s="851" t="str">
        <f>Valid!$B$81</f>
        <v>Curve</v>
      </c>
      <c r="D300" s="1845"/>
      <c r="E300" s="1056" t="str">
        <f>IF(U300="N/A","",U300)</f>
        <v/>
      </c>
      <c r="F300" s="764"/>
      <c r="G300" s="764"/>
      <c r="H300" s="1025"/>
      <c r="I300" s="1246" t="str">
        <f>IF($C$292="","",IF(H300="","Qty? Enter Zero if N/A  ",""))</f>
        <v/>
      </c>
      <c r="J300" s="1249" t="str">
        <f>VLOOKUP(C300,Valid!$B$80:$C$86,2,FALSE)</f>
        <v>Track Feet</v>
      </c>
      <c r="K300" s="764"/>
      <c r="L300" s="1025"/>
      <c r="M300" s="1248" t="str">
        <f>IF($H300=0,"",IF($L300="",TEXT(AH300,0)&amp;" Years?    ",""))</f>
        <v/>
      </c>
      <c r="N300" s="1276"/>
      <c r="O300" s="1275" t="str">
        <f>IF($H300=0,"","% Cap Resp.    ")</f>
        <v/>
      </c>
      <c r="P300" s="1808"/>
      <c r="Q300" s="1275" t="str">
        <f>IF($H300=0,"","% Cap Resp.    ")</f>
        <v/>
      </c>
      <c r="R300" s="1392"/>
      <c r="S300" s="1223"/>
      <c r="T300" s="1223"/>
      <c r="U300" s="758" t="str">
        <f>IF(AND(R300="",N300="",L300="",H300="",L300=""),"N/A",IF(AND($H300=0,OR(L300&lt;&gt;"",N300&lt;&gt;"",R300&lt;&gt;"",L300&lt;&gt;"")),"No",IF(AND($H300&lt;&gt;0,OR($N300="",L300="")),"No","Yes")))</f>
        <v>N/A</v>
      </c>
      <c r="V300" s="761" t="b">
        <f>IF(AND(H300="",OR(L300&lt;&gt;"",N300&lt;&gt;"")),TRUE,FALSE)</f>
        <v>0</v>
      </c>
      <c r="W300" s="761" t="b">
        <f>IF(AND($C$292&lt;&gt;"",$H300=""),TRUE,FALSE)</f>
        <v>0</v>
      </c>
      <c r="X300" s="761" t="b">
        <f>IF(AND(H300&lt;&gt;"",H300&lt;&gt;0,H300&gt;AG300),TRUE,FALSE)</f>
        <v>0</v>
      </c>
      <c r="Y300" s="761" t="b">
        <f>IF($L300="",FALSE,IF($L300&lt;$AI300,TRUE,FALSE))</f>
        <v>0</v>
      </c>
      <c r="Z300" s="761" t="b">
        <f>IF($L300="",FALSE,IF($L300&gt;$AJ300,TRUE,FALSE))</f>
        <v>0</v>
      </c>
      <c r="AA300" s="761" t="b">
        <f>IF(AND(E300="No",$L300=""),TRUE,FALSE)</f>
        <v>0</v>
      </c>
      <c r="AB300" s="761" t="b">
        <f>IF($AC300=TRUE,FALSE,IF(OR($N300&lt;0,$N300&gt;1),TRUE,FALSE))</f>
        <v>0</v>
      </c>
      <c r="AC300" s="761" t="b">
        <f>IF(OR($H300=0, $H300=""), FALSE, IF(AND(H300&gt;0, L300&lt;&gt;"", N300&lt;&gt;""), IF(AND((N300*100)&lt;100,P300=""), TRUE,FALSE), TRUE))</f>
        <v>0</v>
      </c>
      <c r="AD300" s="762"/>
      <c r="AE300" s="783">
        <f t="shared" ref="AE300:AJ300" si="64">IF($C300="","",VLOOKUP($C300,val_fg_assets,AE$5,FALSE))</f>
        <v>1</v>
      </c>
      <c r="AF300" s="835">
        <f t="shared" si="64"/>
        <v>0</v>
      </c>
      <c r="AG300" s="835">
        <f t="shared" si="64"/>
        <v>3000000</v>
      </c>
      <c r="AH300" s="783">
        <f t="shared" si="64"/>
        <v>15</v>
      </c>
      <c r="AI300" s="783">
        <f t="shared" si="64"/>
        <v>11</v>
      </c>
      <c r="AJ300" s="783">
        <f t="shared" si="64"/>
        <v>19</v>
      </c>
      <c r="AK300" s="834"/>
    </row>
    <row r="301" spans="1:37" ht="6" customHeight="1" thickBot="1" x14ac:dyDescent="0.25">
      <c r="A301" s="1225"/>
      <c r="B301" s="1773">
        <v>291</v>
      </c>
      <c r="C301" s="1249"/>
      <c r="E301" s="1058"/>
      <c r="F301" s="764"/>
      <c r="G301" s="764"/>
      <c r="H301" s="1251"/>
      <c r="L301" s="1251"/>
      <c r="R301" s="1223"/>
      <c r="V301" s="848"/>
      <c r="W301" s="848"/>
      <c r="X301" s="848"/>
      <c r="Y301" s="848"/>
      <c r="Z301" s="848"/>
      <c r="AA301" s="848"/>
      <c r="AB301" s="848"/>
      <c r="AC301" s="848"/>
      <c r="AE301" s="848"/>
      <c r="AF301" s="848"/>
      <c r="AG301" s="848"/>
      <c r="AH301" s="848"/>
      <c r="AI301" s="848"/>
      <c r="AJ301" s="848"/>
    </row>
    <row r="302" spans="1:37" x14ac:dyDescent="0.2">
      <c r="A302" s="1712" t="s">
        <v>2621</v>
      </c>
      <c r="B302" s="1773">
        <v>292</v>
      </c>
      <c r="C302" s="1224"/>
      <c r="E302" s="1057"/>
      <c r="F302" s="1278" t="str">
        <f>IF(C292="","Linear Track Totals &gt;&gt;",VLOOKUP(C292,Codes!$C$156:$D$174,2)&amp;" Linear Track Totals &gt;&gt;")</f>
        <v>Linear Track Totals &gt;&gt;</v>
      </c>
      <c r="H302" s="1032">
        <f>SUM(H298:H300)</f>
        <v>0</v>
      </c>
      <c r="I302" s="843"/>
      <c r="L302" s="1031"/>
      <c r="M302" s="714"/>
      <c r="N302" s="838"/>
      <c r="O302" s="734"/>
      <c r="P302" s="838"/>
      <c r="Q302" s="734"/>
      <c r="R302" s="834"/>
      <c r="V302" s="848"/>
      <c r="W302" s="718"/>
      <c r="X302" s="718"/>
      <c r="Y302" s="718"/>
      <c r="Z302" s="718"/>
      <c r="AA302" s="848"/>
      <c r="AB302" s="718"/>
      <c r="AC302" s="848"/>
      <c r="AD302" s="716"/>
      <c r="AE302" s="718"/>
      <c r="AF302" s="718"/>
      <c r="AG302" s="718"/>
      <c r="AH302" s="718"/>
      <c r="AI302" s="718"/>
      <c r="AJ302" s="718"/>
      <c r="AK302" s="716"/>
    </row>
    <row r="303" spans="1:37" ht="6" customHeight="1" x14ac:dyDescent="0.2">
      <c r="A303" s="1225"/>
      <c r="B303" s="1773">
        <v>293</v>
      </c>
      <c r="C303" s="1249"/>
      <c r="E303" s="1057"/>
      <c r="F303" s="1379"/>
      <c r="H303" s="1028"/>
      <c r="I303" s="843"/>
      <c r="L303" s="1031"/>
      <c r="M303" s="714"/>
      <c r="N303" s="838"/>
      <c r="O303" s="734"/>
      <c r="P303" s="838"/>
      <c r="Q303" s="734"/>
      <c r="R303" s="1223"/>
      <c r="V303" s="848"/>
      <c r="W303" s="848"/>
      <c r="X303" s="848"/>
      <c r="Y303" s="848"/>
      <c r="Z303" s="848"/>
      <c r="AA303" s="848"/>
      <c r="AB303" s="848"/>
      <c r="AC303" s="848"/>
      <c r="AE303" s="848"/>
      <c r="AF303" s="848"/>
      <c r="AG303" s="848"/>
      <c r="AH303" s="848"/>
      <c r="AI303" s="848"/>
      <c r="AJ303" s="848"/>
    </row>
    <row r="304" spans="1:37" x14ac:dyDescent="0.2">
      <c r="A304" s="1712" t="s">
        <v>2621</v>
      </c>
      <c r="B304" s="1773">
        <v>294</v>
      </c>
      <c r="C304" s="205" t="str">
        <f>IF(C292="","Track Special Work (excluding linear assets)",VLOOKUP(C292,Codes!$C$156:$D$174,2)&amp;" Track Special Work (excluding linear assets)")</f>
        <v>Track Special Work (excluding linear assets)</v>
      </c>
      <c r="E304" s="1057"/>
      <c r="F304" s="1379"/>
      <c r="H304" s="1028"/>
      <c r="I304" s="843"/>
      <c r="L304" s="1031"/>
      <c r="M304" s="714"/>
      <c r="N304" s="838"/>
      <c r="O304" s="734"/>
      <c r="P304" s="838"/>
      <c r="Q304" s="734"/>
      <c r="R304" s="1223"/>
      <c r="V304" s="848"/>
      <c r="W304" s="848"/>
      <c r="X304" s="848"/>
      <c r="Y304" s="848"/>
      <c r="Z304" s="848"/>
      <c r="AA304" s="848"/>
      <c r="AB304" s="848"/>
      <c r="AC304" s="848"/>
      <c r="AE304" s="848"/>
      <c r="AF304" s="848"/>
      <c r="AG304" s="848"/>
      <c r="AH304" s="848"/>
      <c r="AI304" s="848"/>
      <c r="AJ304" s="848"/>
    </row>
    <row r="305" spans="1:36" ht="6" customHeight="1" x14ac:dyDescent="0.2">
      <c r="A305" s="1225"/>
      <c r="B305" s="1773">
        <v>295</v>
      </c>
      <c r="C305" s="1249"/>
      <c r="E305" s="1057"/>
      <c r="F305" s="1379"/>
      <c r="H305" s="1028"/>
      <c r="I305" s="843"/>
      <c r="L305" s="1031"/>
      <c r="M305" s="714"/>
      <c r="N305" s="838"/>
      <c r="O305" s="734"/>
      <c r="P305" s="838"/>
      <c r="Q305" s="734"/>
      <c r="R305" s="1223"/>
      <c r="V305" s="761"/>
      <c r="W305" s="848"/>
      <c r="X305" s="848"/>
      <c r="Y305" s="848"/>
      <c r="Z305" s="848"/>
      <c r="AA305" s="761"/>
      <c r="AB305" s="848"/>
      <c r="AC305" s="848"/>
      <c r="AE305" s="848"/>
      <c r="AF305" s="848"/>
      <c r="AG305" s="848"/>
      <c r="AH305" s="848"/>
      <c r="AI305" s="848"/>
      <c r="AJ305" s="848"/>
    </row>
    <row r="306" spans="1:36" x14ac:dyDescent="0.2">
      <c r="A306" s="852">
        <v>66</v>
      </c>
      <c r="B306" s="1773">
        <v>296</v>
      </c>
      <c r="C306" s="1249" t="str">
        <f>Valid!$B$82</f>
        <v>Double Diamond Crossover</v>
      </c>
      <c r="E306" s="1245" t="str">
        <f>IF(U306="N/A","",U306)</f>
        <v/>
      </c>
      <c r="F306" s="1249"/>
      <c r="H306" s="1247"/>
      <c r="I306" s="1246" t="str">
        <f>IF($C$292="","",IF(H306="","Qty? Enter Zero if N/A  ",""))</f>
        <v/>
      </c>
      <c r="J306" s="1249" t="str">
        <f>VLOOKUP(C306,Valid!$B$80:$C$86,2,FALSE)</f>
        <v>Each</v>
      </c>
      <c r="K306" s="1249"/>
      <c r="L306" s="1247"/>
      <c r="M306" s="1248" t="str">
        <f>IF($H306=0,"",IF($L306="",TEXT(AH306,0)&amp;" Years?    ",""))</f>
        <v/>
      </c>
      <c r="N306" s="1276"/>
      <c r="O306" s="1275" t="str">
        <f>IF($H306=0,"","% Cap Resp.    ")</f>
        <v/>
      </c>
      <c r="P306" s="1808"/>
      <c r="Q306" s="1275" t="str">
        <f>IF($H306=0,"","% Cap Resp.    ")</f>
        <v/>
      </c>
      <c r="R306" s="1392"/>
      <c r="U306" s="758" t="str">
        <f>IF(AND(R306="",N306="",L306="",H306="",L306=""),"N/A",IF(AND($H306=0,OR(L306&lt;&gt;"",N306&lt;&gt;"",R306&lt;&gt;"",L306&lt;&gt;"")),"No",IF(AND($H306&lt;&gt;0,OR($N306="",L306="")),"No","Yes")))</f>
        <v>N/A</v>
      </c>
      <c r="V306" s="761" t="b">
        <f>IF(AND(H306="",OR(L306&lt;&gt;"",N306&lt;&gt;"")),TRUE,FALSE)</f>
        <v>0</v>
      </c>
      <c r="W306" s="761" t="b">
        <f>IF(AND($C$44&lt;&gt;"",$H306=""),TRUE,FALSE)</f>
        <v>0</v>
      </c>
      <c r="X306" s="761" t="b">
        <f>IF(AND(H306&lt;&gt;"",H306&lt;&gt;0,H306&gt;AG306),TRUE,FALSE)</f>
        <v>0</v>
      </c>
      <c r="Y306" s="761" t="b">
        <f>IF($L306="",FALSE,IF($L306&lt;$AI306,TRUE,FALSE))</f>
        <v>0</v>
      </c>
      <c r="Z306" s="761" t="b">
        <f>IF($L306="",FALSE,IF($L306&gt;$AJ306,TRUE,FALSE))</f>
        <v>0</v>
      </c>
      <c r="AA306" s="761" t="b">
        <f>IF(AND(E306="No",$L306=""),TRUE,FALSE)</f>
        <v>0</v>
      </c>
      <c r="AB306" s="761" t="b">
        <f>IF($AC306=TRUE,FALSE,IF(OR($N306&lt;0,$N306&gt;1),TRUE,FALSE))</f>
        <v>0</v>
      </c>
      <c r="AC306" s="761" t="b">
        <f>IF(OR($H306=0, $H306=""), FALSE, IF(AND(H306&gt;0, L306&lt;&gt;"", N306&lt;&gt;""), IF(AND((N306*100)&lt;100,P306=""), TRUE,FALSE), TRUE))</f>
        <v>0</v>
      </c>
      <c r="AD306" s="762"/>
      <c r="AE306" s="783">
        <f t="shared" ref="AE306:AJ306" si="65">IF($C306="","",VLOOKUP($C306,val_fg_assets,AE$5,FALSE))</f>
        <v>1</v>
      </c>
      <c r="AF306" s="835">
        <f t="shared" si="65"/>
        <v>0</v>
      </c>
      <c r="AG306" s="835">
        <f t="shared" si="65"/>
        <v>500</v>
      </c>
      <c r="AH306" s="783">
        <f t="shared" si="65"/>
        <v>15</v>
      </c>
      <c r="AI306" s="783">
        <f t="shared" si="65"/>
        <v>11</v>
      </c>
      <c r="AJ306" s="783">
        <f t="shared" si="65"/>
        <v>19</v>
      </c>
    </row>
    <row r="307" spans="1:36" ht="6" customHeight="1" x14ac:dyDescent="0.2">
      <c r="A307" s="1225"/>
      <c r="B307" s="1773">
        <v>297</v>
      </c>
      <c r="C307" s="1249"/>
      <c r="E307" s="1249"/>
      <c r="F307" s="1249"/>
      <c r="H307" s="1249"/>
      <c r="I307" s="1249"/>
      <c r="J307" s="1249"/>
      <c r="K307" s="1249"/>
      <c r="L307" s="1249"/>
      <c r="M307" s="1249"/>
      <c r="N307" s="1249"/>
      <c r="O307" s="1249"/>
      <c r="P307" s="1249"/>
      <c r="Q307" s="1249"/>
      <c r="R307" s="1393"/>
      <c r="V307" s="848"/>
      <c r="W307" s="848"/>
      <c r="X307" s="848"/>
      <c r="Y307" s="848"/>
      <c r="Z307" s="848"/>
      <c r="AA307" s="848"/>
      <c r="AB307" s="848"/>
      <c r="AC307" s="848"/>
      <c r="AE307" s="848"/>
      <c r="AF307" s="848"/>
      <c r="AG307" s="848"/>
      <c r="AH307" s="848"/>
      <c r="AI307" s="848"/>
      <c r="AJ307" s="848"/>
    </row>
    <row r="308" spans="1:36" x14ac:dyDescent="0.2">
      <c r="A308" s="852">
        <v>67</v>
      </c>
      <c r="B308" s="1774">
        <v>298</v>
      </c>
      <c r="C308" s="1249" t="str">
        <f>Valid!$B$83</f>
        <v>Single Crossover</v>
      </c>
      <c r="E308" s="1245" t="str">
        <f>IF(U308="N/A","",U308)</f>
        <v/>
      </c>
      <c r="F308" s="1249"/>
      <c r="H308" s="1247"/>
      <c r="I308" s="1246" t="str">
        <f>IF($C$292="","",IF(H308="","Qty? Enter Zero if N/A  ",""))</f>
        <v/>
      </c>
      <c r="J308" s="1249" t="str">
        <f>VLOOKUP(C308,Valid!$B$80:$C$86,2,FALSE)</f>
        <v>Each</v>
      </c>
      <c r="K308" s="1249"/>
      <c r="L308" s="1247"/>
      <c r="M308" s="1248" t="str">
        <f>IF($H308=0,"",IF($L308="",TEXT(AH308,0)&amp;" Years?    ",""))</f>
        <v/>
      </c>
      <c r="N308" s="1276"/>
      <c r="O308" s="1275" t="str">
        <f>IF($H308=0,"","% Cap Resp.    ")</f>
        <v/>
      </c>
      <c r="P308" s="1808"/>
      <c r="Q308" s="1275" t="str">
        <f>IF($H308=0,"","% Cap Resp.    ")</f>
        <v/>
      </c>
      <c r="R308" s="1392"/>
      <c r="U308" s="758" t="str">
        <f>IF(AND(R308="",N308="",L308="",H308="",L308=""),"N/A",IF(AND($H308=0,OR(L308&lt;&gt;"",N308&lt;&gt;"",R308&lt;&gt;"",L308&lt;&gt;"")),"No",IF(AND($H308&lt;&gt;0,OR($N308="",L308="")),"No","Yes")))</f>
        <v>N/A</v>
      </c>
      <c r="V308" s="761" t="b">
        <f>IF(AND(H308="",OR(L308&lt;&gt;"",N308&lt;&gt;"")),TRUE,FALSE)</f>
        <v>0</v>
      </c>
      <c r="W308" s="761" t="b">
        <f>IF(AND($C$44&lt;&gt;"",$H308=""),TRUE,FALSE)</f>
        <v>0</v>
      </c>
      <c r="X308" s="761" t="b">
        <f>IF(AND(H308&lt;&gt;"",H308&lt;&gt;0,H308&gt;AG308),TRUE,FALSE)</f>
        <v>0</v>
      </c>
      <c r="Y308" s="761" t="b">
        <f>IF($L308="",FALSE,IF($L308&lt;$AI308,TRUE,FALSE))</f>
        <v>0</v>
      </c>
      <c r="Z308" s="761" t="b">
        <f>IF($L308="",FALSE,IF($L308&gt;$AJ308,TRUE,FALSE))</f>
        <v>0</v>
      </c>
      <c r="AA308" s="761" t="b">
        <f>IF(AND(E308="No",$L308=""),TRUE,FALSE)</f>
        <v>0</v>
      </c>
      <c r="AB308" s="761" t="b">
        <f>IF($AC308=TRUE,FALSE,IF(OR($N308&lt;0,$N308&gt;1),TRUE,FALSE))</f>
        <v>0</v>
      </c>
      <c r="AC308" s="761" t="b">
        <f>IF(OR($H308=0, $H308=""), FALSE, IF(AND(H308&gt;0, L308&lt;&gt;"", N308&lt;&gt;""), IF(AND((N308*100)&lt;100,P308=""), TRUE,FALSE), TRUE))</f>
        <v>0</v>
      </c>
      <c r="AD308" s="762"/>
      <c r="AE308" s="783">
        <f t="shared" ref="AE308:AJ308" si="66">IF($C308="","",VLOOKUP($C308,val_fg_assets,AE$5,FALSE))</f>
        <v>1</v>
      </c>
      <c r="AF308" s="835">
        <f t="shared" si="66"/>
        <v>0</v>
      </c>
      <c r="AG308" s="835">
        <f t="shared" si="66"/>
        <v>500</v>
      </c>
      <c r="AH308" s="783">
        <f t="shared" si="66"/>
        <v>15</v>
      </c>
      <c r="AI308" s="783">
        <f t="shared" si="66"/>
        <v>11</v>
      </c>
      <c r="AJ308" s="783">
        <f t="shared" si="66"/>
        <v>19</v>
      </c>
    </row>
    <row r="309" spans="1:36" ht="6" customHeight="1" x14ac:dyDescent="0.2">
      <c r="A309" s="1225"/>
      <c r="B309" s="1773">
        <v>299</v>
      </c>
      <c r="C309" s="1249"/>
      <c r="E309" s="1249"/>
      <c r="F309" s="1249"/>
      <c r="H309" s="1249"/>
      <c r="I309" s="1249"/>
      <c r="J309" s="1249"/>
      <c r="K309" s="1249"/>
      <c r="L309" s="1249"/>
      <c r="M309" s="1249"/>
      <c r="N309" s="1249"/>
      <c r="O309" s="1249"/>
      <c r="P309" s="1249"/>
      <c r="Q309" s="1249"/>
      <c r="R309" s="1393"/>
      <c r="V309" s="848"/>
      <c r="W309" s="848"/>
      <c r="X309" s="848"/>
      <c r="Y309" s="848"/>
      <c r="Z309" s="848"/>
      <c r="AA309" s="848"/>
      <c r="AB309" s="848"/>
      <c r="AC309" s="848"/>
      <c r="AE309" s="848"/>
      <c r="AF309" s="848"/>
      <c r="AG309" s="848"/>
      <c r="AH309" s="848"/>
      <c r="AI309" s="848"/>
      <c r="AJ309" s="848"/>
    </row>
    <row r="310" spans="1:36" x14ac:dyDescent="0.2">
      <c r="A310" s="852">
        <v>68</v>
      </c>
      <c r="B310" s="1773">
        <v>300</v>
      </c>
      <c r="C310" s="1249" t="str">
        <f>Valid!$B$84</f>
        <v>Half Grand Union</v>
      </c>
      <c r="E310" s="1245" t="str">
        <f>IF(U310="N/A","",U310)</f>
        <v/>
      </c>
      <c r="F310" s="1249"/>
      <c r="H310" s="1247"/>
      <c r="I310" s="1246" t="str">
        <f>IF($C$292="","",IF(H310="","Qty? Enter Zero if N/A  ",""))</f>
        <v/>
      </c>
      <c r="J310" s="1249" t="str">
        <f>VLOOKUP(C310,Valid!$B$80:$C$86,2,FALSE)</f>
        <v>Each</v>
      </c>
      <c r="K310" s="1249"/>
      <c r="L310" s="1247"/>
      <c r="M310" s="1248" t="str">
        <f>IF($H310=0,"",IF($L310="",TEXT(AH310,0)&amp;" Years?    ",""))</f>
        <v/>
      </c>
      <c r="N310" s="1276"/>
      <c r="O310" s="1275" t="str">
        <f>IF($H310=0,"","% Cap Resp.    ")</f>
        <v/>
      </c>
      <c r="P310" s="1808"/>
      <c r="Q310" s="1275" t="str">
        <f>IF($H310=0,"","% Cap Resp.    ")</f>
        <v/>
      </c>
      <c r="R310" s="1392"/>
      <c r="U310" s="758" t="str">
        <f>IF(AND(R310="",N310="",L310="",H310="",L310=""),"N/A",IF(AND($H310=0,OR(L310&lt;&gt;"",N310&lt;&gt;"",R310&lt;&gt;"",L310&lt;&gt;"")),"No",IF(AND($H310&lt;&gt;0,OR($N310="",L310="")),"No","Yes")))</f>
        <v>N/A</v>
      </c>
      <c r="V310" s="761" t="b">
        <f>IF(AND(H310="",OR(L310&lt;&gt;"",N310&lt;&gt;"")),TRUE,FALSE)</f>
        <v>0</v>
      </c>
      <c r="W310" s="761" t="b">
        <f>IF(AND($C$44&lt;&gt;"",$H310=""),TRUE,FALSE)</f>
        <v>0</v>
      </c>
      <c r="X310" s="761" t="b">
        <f>IF(AND(H310&lt;&gt;"",H310&lt;&gt;0,H310&gt;AG310),TRUE,FALSE)</f>
        <v>0</v>
      </c>
      <c r="Y310" s="761" t="b">
        <f>IF($L310="",FALSE,IF($L310&lt;$AI310,TRUE,FALSE))</f>
        <v>0</v>
      </c>
      <c r="Z310" s="761" t="b">
        <f>IF($L310="",FALSE,IF($L310&gt;$AJ310,TRUE,FALSE))</f>
        <v>0</v>
      </c>
      <c r="AA310" s="761" t="b">
        <f>IF(AND(E310="No",$L310=""),TRUE,FALSE)</f>
        <v>0</v>
      </c>
      <c r="AB310" s="761" t="b">
        <f>IF($AC310=TRUE,FALSE,IF(OR($N310&lt;0,$N310&gt;1),TRUE,FALSE))</f>
        <v>0</v>
      </c>
      <c r="AC310" s="761" t="b">
        <f>IF(OR($H310=0, $H310=""), FALSE, IF(AND(H310&gt;0, L310&lt;&gt;"", N310&lt;&gt;""), IF(AND((N310*100)&lt;100,P310=""), TRUE,FALSE), TRUE))</f>
        <v>0</v>
      </c>
      <c r="AD310" s="762"/>
      <c r="AE310" s="783">
        <f t="shared" ref="AE310:AJ310" si="67">IF($C310="","",VLOOKUP($C310,val_fg_assets,AE$5,FALSE))</f>
        <v>1</v>
      </c>
      <c r="AF310" s="835">
        <f t="shared" si="67"/>
        <v>0</v>
      </c>
      <c r="AG310" s="835">
        <f t="shared" si="67"/>
        <v>500</v>
      </c>
      <c r="AH310" s="783">
        <f t="shared" si="67"/>
        <v>15</v>
      </c>
      <c r="AI310" s="783">
        <f t="shared" si="67"/>
        <v>11</v>
      </c>
      <c r="AJ310" s="783">
        <f t="shared" si="67"/>
        <v>19</v>
      </c>
    </row>
    <row r="311" spans="1:36" ht="6" customHeight="1" x14ac:dyDescent="0.2">
      <c r="A311" s="1225"/>
      <c r="B311" s="1773">
        <v>301</v>
      </c>
      <c r="C311" s="1249"/>
      <c r="E311" s="1249"/>
      <c r="F311" s="1249"/>
      <c r="H311" s="1249"/>
      <c r="I311" s="1249"/>
      <c r="J311" s="1249"/>
      <c r="K311" s="1249"/>
      <c r="L311" s="1249"/>
      <c r="M311" s="1249"/>
      <c r="N311" s="1249"/>
      <c r="O311" s="1249"/>
      <c r="P311" s="1249"/>
      <c r="Q311" s="1249"/>
      <c r="R311" s="1393"/>
      <c r="V311" s="848"/>
      <c r="W311" s="848"/>
      <c r="X311" s="848"/>
      <c r="Y311" s="848"/>
      <c r="Z311" s="848"/>
      <c r="AA311" s="848"/>
      <c r="AB311" s="848"/>
      <c r="AC311" s="848"/>
      <c r="AE311" s="848"/>
      <c r="AF311" s="848"/>
      <c r="AG311" s="848"/>
      <c r="AH311" s="848"/>
      <c r="AI311" s="848"/>
      <c r="AJ311" s="848"/>
    </row>
    <row r="312" spans="1:36" x14ac:dyDescent="0.2">
      <c r="A312" s="852">
        <v>69</v>
      </c>
      <c r="B312" s="1773">
        <v>302</v>
      </c>
      <c r="C312" s="1249" t="str">
        <f>Valid!$B$85</f>
        <v>Single Turnout</v>
      </c>
      <c r="E312" s="1245" t="str">
        <f>IF(U312="N/A","",U312)</f>
        <v/>
      </c>
      <c r="F312" s="1249"/>
      <c r="H312" s="1247"/>
      <c r="I312" s="1246" t="str">
        <f>IF($C$292="","",IF(H312="","Qty? Enter Zero if N/A  ",""))</f>
        <v/>
      </c>
      <c r="J312" s="1249" t="str">
        <f>VLOOKUP(C312,Valid!$B$80:$C$86,2,FALSE)</f>
        <v>Each</v>
      </c>
      <c r="K312" s="1249"/>
      <c r="L312" s="1247"/>
      <c r="M312" s="1248" t="str">
        <f>IF($H312=0,"",IF($L312="",TEXT(AH312,0)&amp;" Years?    ",""))</f>
        <v/>
      </c>
      <c r="N312" s="1276"/>
      <c r="O312" s="1275" t="str">
        <f>IF($H312=0,"","% Cap Resp.    ")</f>
        <v/>
      </c>
      <c r="P312" s="1808"/>
      <c r="Q312" s="1275" t="str">
        <f>IF($H312=0,"","% Cap Resp.    ")</f>
        <v/>
      </c>
      <c r="R312" s="1392"/>
      <c r="U312" s="758" t="str">
        <f>IF(AND(R312="",N312="",L312="",H312="",L312=""),"N/A",IF(AND($H312=0,OR(L312&lt;&gt;"",N312&lt;&gt;"",R312&lt;&gt;"",L312&lt;&gt;"")),"No",IF(AND($H312&lt;&gt;0,OR($N312="",L312="")),"No","Yes")))</f>
        <v>N/A</v>
      </c>
      <c r="V312" s="761" t="b">
        <f>IF(AND(H312="",OR(L312&lt;&gt;"",N312&lt;&gt;"")),TRUE,FALSE)</f>
        <v>0</v>
      </c>
      <c r="W312" s="761" t="b">
        <f>IF(AND($C$44&lt;&gt;"",$H312=""),TRUE,FALSE)</f>
        <v>0</v>
      </c>
      <c r="X312" s="761" t="b">
        <f>IF(AND(H312&lt;&gt;"",H312&lt;&gt;0,H312&gt;AG312),TRUE,FALSE)</f>
        <v>0</v>
      </c>
      <c r="Y312" s="761" t="b">
        <f>IF($L312="",FALSE,IF($L312&lt;$AI312,TRUE,FALSE))</f>
        <v>0</v>
      </c>
      <c r="Z312" s="761" t="b">
        <f>IF($L312="",FALSE,IF($L312&gt;$AJ312,TRUE,FALSE))</f>
        <v>0</v>
      </c>
      <c r="AA312" s="761" t="b">
        <f>IF(AND(E312="No",$L312=""),TRUE,FALSE)</f>
        <v>0</v>
      </c>
      <c r="AB312" s="761" t="b">
        <f>IF($AC312=TRUE,FALSE,IF(OR($N312&lt;0,$N312&gt;1),TRUE,FALSE))</f>
        <v>0</v>
      </c>
      <c r="AC312" s="761" t="b">
        <f>IF(OR($H312=0, $H312=""), FALSE, IF(AND(H312&gt;0, L312&lt;&gt;"", N312&lt;&gt;""), IF(AND((N312*100)&lt;100,P312=""), TRUE,FALSE), TRUE))</f>
        <v>0</v>
      </c>
      <c r="AD312" s="762"/>
      <c r="AE312" s="783">
        <f t="shared" ref="AE312:AJ312" si="68">IF($C312="","",VLOOKUP($C312,val_fg_assets,AE$5,FALSE))</f>
        <v>1</v>
      </c>
      <c r="AF312" s="835">
        <f t="shared" si="68"/>
        <v>0</v>
      </c>
      <c r="AG312" s="835">
        <f t="shared" si="68"/>
        <v>500</v>
      </c>
      <c r="AH312" s="783">
        <f t="shared" si="68"/>
        <v>15</v>
      </c>
      <c r="AI312" s="783">
        <f t="shared" si="68"/>
        <v>11</v>
      </c>
      <c r="AJ312" s="783">
        <f t="shared" si="68"/>
        <v>19</v>
      </c>
    </row>
    <row r="313" spans="1:36" ht="6" customHeight="1" x14ac:dyDescent="0.2">
      <c r="A313" s="1225"/>
      <c r="B313" s="1773">
        <v>303</v>
      </c>
      <c r="C313" s="1249"/>
      <c r="E313" s="1249"/>
      <c r="F313" s="1249"/>
      <c r="H313" s="1249"/>
      <c r="I313" s="1249"/>
      <c r="J313" s="1249"/>
      <c r="K313" s="1249"/>
      <c r="L313" s="1249"/>
      <c r="M313" s="1249"/>
      <c r="N313" s="1249"/>
      <c r="O313" s="1249"/>
      <c r="P313" s="1249"/>
      <c r="Q313" s="1249"/>
      <c r="R313" s="1393"/>
      <c r="V313" s="848"/>
      <c r="W313" s="848"/>
      <c r="X313" s="848"/>
      <c r="Y313" s="848"/>
      <c r="Z313" s="848"/>
      <c r="AA313" s="848"/>
      <c r="AB313" s="848"/>
      <c r="AC313" s="848"/>
      <c r="AE313" s="848"/>
      <c r="AF313" s="848"/>
      <c r="AG313" s="848"/>
      <c r="AH313" s="848"/>
      <c r="AI313" s="848"/>
      <c r="AJ313" s="848"/>
    </row>
    <row r="314" spans="1:36" x14ac:dyDescent="0.2">
      <c r="A314" s="852">
        <v>70</v>
      </c>
      <c r="B314" s="1773">
        <v>304</v>
      </c>
      <c r="C314" s="1249" t="str">
        <f>Valid!$B$86</f>
        <v>Grade Crossings</v>
      </c>
      <c r="E314" s="1245" t="str">
        <f>IF(U314="N/A","",U314)</f>
        <v/>
      </c>
      <c r="F314" s="1249"/>
      <c r="H314" s="1247"/>
      <c r="I314" s="1246" t="str">
        <f>IF($C$292="","",IF(H314="","Qty? Enter Zero if N/A  ",""))</f>
        <v/>
      </c>
      <c r="J314" s="1249" t="str">
        <f>VLOOKUP(C314,Valid!$B$80:$C$86,2,FALSE)</f>
        <v>Each</v>
      </c>
      <c r="K314" s="1249"/>
      <c r="L314" s="1247"/>
      <c r="M314" s="1248" t="str">
        <f>IF($H314=0,"",IF($L314="",TEXT(AH314,0)&amp;" Years?    ",""))</f>
        <v/>
      </c>
      <c r="N314" s="1276"/>
      <c r="O314" s="1275" t="str">
        <f>IF($H314=0,"","% Cap Resp.    ")</f>
        <v/>
      </c>
      <c r="P314" s="1808"/>
      <c r="Q314" s="1275" t="str">
        <f>IF($H314=0,"","% Cap Resp.    ")</f>
        <v/>
      </c>
      <c r="R314" s="1392"/>
      <c r="U314" s="758" t="str">
        <f>IF(AND(R314="",N314="",L314="",H314="",L314=""),"N/A",IF(AND($H314=0,OR(L314&lt;&gt;"",N314&lt;&gt;"",R314&lt;&gt;"",L314&lt;&gt;"")),"No",IF(AND($H314&lt;&gt;0,OR($N314="",L314="")),"No","Yes")))</f>
        <v>N/A</v>
      </c>
      <c r="V314" s="761" t="b">
        <f>IF(AND(H314="",OR(L314&lt;&gt;"",N314&lt;&gt;"")),TRUE,FALSE)</f>
        <v>0</v>
      </c>
      <c r="W314" s="761" t="b">
        <f>IF(AND($C$44&lt;&gt;"",$H314=""),TRUE,FALSE)</f>
        <v>0</v>
      </c>
      <c r="X314" s="761" t="b">
        <f>IF(AND(H314&lt;&gt;"",H314&lt;&gt;0,H314&gt;AG314),TRUE,FALSE)</f>
        <v>0</v>
      </c>
      <c r="Y314" s="761" t="b">
        <f>IF($L314="",FALSE,IF($L314&lt;$AI314,TRUE,FALSE))</f>
        <v>0</v>
      </c>
      <c r="Z314" s="761" t="b">
        <f>IF($L314="",FALSE,IF($L314&gt;$AJ314,TRUE,FALSE))</f>
        <v>0</v>
      </c>
      <c r="AA314" s="761" t="b">
        <f>IF(AND(E314="No",$L314=""),TRUE,FALSE)</f>
        <v>0</v>
      </c>
      <c r="AB314" s="761" t="b">
        <f>IF($AC314=TRUE,FALSE,IF(OR($N314&lt;0,$N314&gt;1),TRUE,FALSE))</f>
        <v>0</v>
      </c>
      <c r="AC314" s="761" t="b">
        <f>IF(OR($H314=0, $H314=""), FALSE, IF(AND(H314&gt;0, L314&lt;&gt;"", N314&lt;&gt;""), IF(AND((N314*100)&lt;100,P314=""), TRUE,FALSE), TRUE))</f>
        <v>0</v>
      </c>
      <c r="AD314" s="762"/>
      <c r="AE314" s="783">
        <f t="shared" ref="AE314:AJ314" si="69">IF($C314="","",VLOOKUP($C314,val_fg_assets,AE$5,FALSE))</f>
        <v>1</v>
      </c>
      <c r="AF314" s="835">
        <f t="shared" si="69"/>
        <v>0</v>
      </c>
      <c r="AG314" s="835">
        <f t="shared" si="69"/>
        <v>500</v>
      </c>
      <c r="AH314" s="783">
        <f t="shared" si="69"/>
        <v>15</v>
      </c>
      <c r="AI314" s="783">
        <f t="shared" si="69"/>
        <v>11</v>
      </c>
      <c r="AJ314" s="783">
        <f t="shared" si="69"/>
        <v>19</v>
      </c>
    </row>
    <row r="315" spans="1:36" ht="6" customHeight="1" thickBot="1" x14ac:dyDescent="0.25">
      <c r="A315" s="1225"/>
      <c r="B315" s="1773">
        <v>305</v>
      </c>
      <c r="C315" s="1249"/>
      <c r="E315" s="1249"/>
      <c r="F315" s="1249"/>
      <c r="H315" s="1249"/>
      <c r="I315" s="1249"/>
      <c r="J315" s="1249"/>
      <c r="K315" s="1249"/>
      <c r="L315" s="1249"/>
      <c r="M315" s="1249"/>
      <c r="N315" s="1249"/>
      <c r="O315" s="1249"/>
      <c r="P315" s="1249"/>
      <c r="Q315" s="1249"/>
      <c r="R315" s="1393"/>
      <c r="V315" s="848"/>
      <c r="W315" s="848"/>
      <c r="X315" s="848"/>
      <c r="Y315" s="848"/>
      <c r="Z315" s="848"/>
      <c r="AA315" s="848"/>
      <c r="AB315" s="848"/>
      <c r="AC315" s="848"/>
      <c r="AE315" s="848"/>
      <c r="AF315" s="848"/>
      <c r="AG315" s="848"/>
      <c r="AH315" s="848"/>
      <c r="AI315" s="848"/>
      <c r="AJ315" s="848"/>
    </row>
    <row r="316" spans="1:36" x14ac:dyDescent="0.2">
      <c r="A316" s="1712" t="s">
        <v>2621</v>
      </c>
      <c r="B316" s="1774">
        <v>306</v>
      </c>
      <c r="C316" s="1249"/>
      <c r="E316" s="1249"/>
      <c r="F316" s="1278" t="str">
        <f>IF(C292="","Track Special Work Totals (excluding linear assets)&gt;&gt;",VLOOKUP(C292,Codes!$C$156:$D$174,2)&amp;" Track Special Work Totals (excluding linear assets)&gt;&gt;")</f>
        <v>Track Special Work Totals (excluding linear assets)&gt;&gt;</v>
      </c>
      <c r="H316" s="1032">
        <f>SUM(H306:H314)</f>
        <v>0</v>
      </c>
      <c r="I316" s="1249"/>
      <c r="J316" s="1249"/>
      <c r="K316" s="1249"/>
      <c r="L316" s="1249"/>
      <c r="M316" s="1249"/>
      <c r="N316" s="1249"/>
      <c r="O316" s="1249"/>
      <c r="P316" s="1249"/>
      <c r="Q316" s="1249"/>
      <c r="R316" s="1393"/>
      <c r="V316" s="848"/>
      <c r="W316" s="848"/>
      <c r="X316" s="848"/>
      <c r="Y316" s="848"/>
      <c r="Z316" s="848"/>
      <c r="AA316" s="848"/>
      <c r="AB316" s="848"/>
      <c r="AC316" s="848"/>
      <c r="AE316" s="848"/>
      <c r="AF316" s="848"/>
      <c r="AG316" s="848"/>
      <c r="AH316" s="848"/>
      <c r="AI316" s="848"/>
      <c r="AJ316" s="848"/>
    </row>
    <row r="317" spans="1:36" x14ac:dyDescent="0.2">
      <c r="B317" s="1773">
        <v>307</v>
      </c>
    </row>
    <row r="320" spans="1:36" x14ac:dyDescent="0.2">
      <c r="H320" s="1253"/>
      <c r="I320" s="1254"/>
      <c r="J320" s="1255"/>
      <c r="K320" s="1256"/>
      <c r="L320" s="1257"/>
      <c r="M320" s="1254"/>
      <c r="N320" s="1254"/>
      <c r="O320" s="1254"/>
      <c r="P320" s="1254"/>
      <c r="Q320" s="1254"/>
      <c r="R320" s="1223"/>
    </row>
    <row r="321" spans="8:18" x14ac:dyDescent="0.2">
      <c r="H321" s="1253"/>
      <c r="I321" s="1254"/>
      <c r="J321" s="1255"/>
      <c r="K321" s="1256"/>
      <c r="L321" s="1257"/>
      <c r="M321" s="1254"/>
      <c r="N321" s="1254"/>
      <c r="O321" s="1254"/>
      <c r="P321" s="1254"/>
      <c r="Q321" s="1254"/>
      <c r="R321" s="1223"/>
    </row>
    <row r="322" spans="8:18" x14ac:dyDescent="0.2">
      <c r="H322" s="1253"/>
      <c r="I322" s="1254"/>
      <c r="J322" s="1255"/>
      <c r="K322" s="1256"/>
      <c r="L322" s="1257"/>
      <c r="M322" s="1254"/>
      <c r="N322" s="1254"/>
      <c r="O322" s="1254"/>
      <c r="P322" s="1254"/>
      <c r="Q322" s="1254"/>
      <c r="R322" s="1223"/>
    </row>
  </sheetData>
  <sheetProtection password="C82B" sheet="1" objects="1" scenarios="1" formatCells="0" formatColumns="0" formatRows="0" selectLockedCells="1" sort="0" autoFilter="0"/>
  <autoFilter ref="A11:AJ318">
    <sortState ref="A13:AJ320">
      <sortCondition ref="B12:B320"/>
    </sortState>
  </autoFilter>
  <mergeCells count="1">
    <mergeCell ref="N4:P4"/>
  </mergeCells>
  <conditionalFormatting sqref="L19:L43 L47:L70 L78:L101 L109:L132 L140:L163 L171:L194 L202:L225 L233:L256 L264:L287 L295:L319 L72:L74 L103:L105 L134:L136 L165:L167 L196:L198 L227:L229 L258:L260 L289:L291 L323:L1048576">
    <cfRule type="expression" dxfId="135" priority="1861">
      <formula>Y19</formula>
    </cfRule>
  </conditionalFormatting>
  <conditionalFormatting sqref="L19:L43 L47:L70 L78:L101 L109:L132 L140:L163 L171:L194 L202:L225 L233:L256 L264:L287 L295:L319 L323:L99221 L72:L74 L103:L105 L134:L136 L165:L167 L196:L198 L227:L229 L258:L260 L289:L291">
    <cfRule type="expression" dxfId="134" priority="1478">
      <formula>$Z19</formula>
    </cfRule>
  </conditionalFormatting>
  <conditionalFormatting sqref="N19:N43 N47:N70 N78:N101 N109:N132 N140:N163 N171:N194 N202:N225 N233:N256 N264:N287 N295:N319 N323:N100164 P323:P100164 P319 N72:N74 N103:N105 N134:N136 N165:N167 N196:N198 N227:N229 N258:N260 N289:N291">
    <cfRule type="expression" dxfId="133" priority="612">
      <formula>$AB19</formula>
    </cfRule>
  </conditionalFormatting>
  <conditionalFormatting sqref="C4">
    <cfRule type="expression" dxfId="132" priority="1971">
      <formula>$U$7&gt;0</formula>
    </cfRule>
  </conditionalFormatting>
  <conditionalFormatting sqref="E72:E101 E103:E132 E134:E163 E165:E194 E196:E225 E227:E256 E258:E287 E289:E1048576 E1:E70">
    <cfRule type="cellIs" dxfId="131" priority="12976" operator="equal">
      <formula>"Yes"</formula>
    </cfRule>
    <cfRule type="cellIs" dxfId="130" priority="12977" operator="equal">
      <formula>"No"</formula>
    </cfRule>
  </conditionalFormatting>
  <conditionalFormatting sqref="P19:P43 P47:P70 P78:P101 P109:P132 P140:P163 P171:P194 P202:P225 P233:P256 P264:P287 P295:P318 P72:P74 P103:P105 P134:P136 P165:P167 P196:P198 P227:P229 P258:P260 P289:P291">
    <cfRule type="expression" dxfId="129" priority="81">
      <formula>$AB19</formula>
    </cfRule>
  </conditionalFormatting>
  <conditionalFormatting sqref="L71">
    <cfRule type="expression" dxfId="128" priority="78">
      <formula>Y71</formula>
    </cfRule>
  </conditionalFormatting>
  <conditionalFormatting sqref="L71">
    <cfRule type="expression" dxfId="127" priority="77">
      <formula>$Z71</formula>
    </cfRule>
  </conditionalFormatting>
  <conditionalFormatting sqref="N71">
    <cfRule type="expression" dxfId="126" priority="76">
      <formula>$AB71</formula>
    </cfRule>
  </conditionalFormatting>
  <conditionalFormatting sqref="E71">
    <cfRule type="cellIs" dxfId="125" priority="79" operator="equal">
      <formula>"Yes"</formula>
    </cfRule>
    <cfRule type="cellIs" dxfId="124" priority="80" operator="equal">
      <formula>"No"</formula>
    </cfRule>
  </conditionalFormatting>
  <conditionalFormatting sqref="P71">
    <cfRule type="expression" dxfId="123" priority="71">
      <formula>$AB71</formula>
    </cfRule>
  </conditionalFormatting>
  <conditionalFormatting sqref="L102">
    <cfRule type="expression" dxfId="122" priority="68">
      <formula>Y102</formula>
    </cfRule>
  </conditionalFormatting>
  <conditionalFormatting sqref="L102">
    <cfRule type="expression" dxfId="121" priority="67">
      <formula>$Z102</formula>
    </cfRule>
  </conditionalFormatting>
  <conditionalFormatting sqref="N102">
    <cfRule type="expression" dxfId="120" priority="66">
      <formula>$AB102</formula>
    </cfRule>
  </conditionalFormatting>
  <conditionalFormatting sqref="E102">
    <cfRule type="cellIs" dxfId="119" priority="69" operator="equal">
      <formula>"Yes"</formula>
    </cfRule>
    <cfRule type="cellIs" dxfId="118" priority="70" operator="equal">
      <formula>"No"</formula>
    </cfRule>
  </conditionalFormatting>
  <conditionalFormatting sqref="P102">
    <cfRule type="expression" dxfId="117" priority="61">
      <formula>$AB102</formula>
    </cfRule>
  </conditionalFormatting>
  <conditionalFormatting sqref="L133">
    <cfRule type="expression" dxfId="116" priority="58">
      <formula>Y133</formula>
    </cfRule>
  </conditionalFormatting>
  <conditionalFormatting sqref="L133">
    <cfRule type="expression" dxfId="115" priority="57">
      <formula>$Z133</formula>
    </cfRule>
  </conditionalFormatting>
  <conditionalFormatting sqref="N133">
    <cfRule type="expression" dxfId="114" priority="56">
      <formula>$AB133</formula>
    </cfRule>
  </conditionalFormatting>
  <conditionalFormatting sqref="E133">
    <cfRule type="cellIs" dxfId="113" priority="59" operator="equal">
      <formula>"Yes"</formula>
    </cfRule>
    <cfRule type="cellIs" dxfId="112" priority="60" operator="equal">
      <formula>"No"</formula>
    </cfRule>
  </conditionalFormatting>
  <conditionalFormatting sqref="P133">
    <cfRule type="expression" dxfId="111" priority="51">
      <formula>$AB133</formula>
    </cfRule>
  </conditionalFormatting>
  <conditionalFormatting sqref="L164">
    <cfRule type="expression" dxfId="110" priority="48">
      <formula>Y164</formula>
    </cfRule>
  </conditionalFormatting>
  <conditionalFormatting sqref="L164">
    <cfRule type="expression" dxfId="109" priority="47">
      <formula>$Z164</formula>
    </cfRule>
  </conditionalFormatting>
  <conditionalFormatting sqref="N164">
    <cfRule type="expression" dxfId="108" priority="46">
      <formula>$AB164</formula>
    </cfRule>
  </conditionalFormatting>
  <conditionalFormatting sqref="E164">
    <cfRule type="cellIs" dxfId="107" priority="49" operator="equal">
      <formula>"Yes"</formula>
    </cfRule>
    <cfRule type="cellIs" dxfId="106" priority="50" operator="equal">
      <formula>"No"</formula>
    </cfRule>
  </conditionalFormatting>
  <conditionalFormatting sqref="P164">
    <cfRule type="expression" dxfId="105" priority="41">
      <formula>$AB164</formula>
    </cfRule>
  </conditionalFormatting>
  <conditionalFormatting sqref="L195">
    <cfRule type="expression" dxfId="104" priority="38">
      <formula>Y195</formula>
    </cfRule>
  </conditionalFormatting>
  <conditionalFormatting sqref="L195">
    <cfRule type="expression" dxfId="103" priority="37">
      <formula>$Z195</formula>
    </cfRule>
  </conditionalFormatting>
  <conditionalFormatting sqref="N195">
    <cfRule type="expression" dxfId="102" priority="36">
      <formula>$AB195</formula>
    </cfRule>
  </conditionalFormatting>
  <conditionalFormatting sqref="E195">
    <cfRule type="cellIs" dxfId="101" priority="39" operator="equal">
      <formula>"Yes"</formula>
    </cfRule>
    <cfRule type="cellIs" dxfId="100" priority="40" operator="equal">
      <formula>"No"</formula>
    </cfRule>
  </conditionalFormatting>
  <conditionalFormatting sqref="P195">
    <cfRule type="expression" dxfId="99" priority="31">
      <formula>$AB195</formula>
    </cfRule>
  </conditionalFormatting>
  <conditionalFormatting sqref="L226">
    <cfRule type="expression" dxfId="98" priority="28">
      <formula>Y226</formula>
    </cfRule>
  </conditionalFormatting>
  <conditionalFormatting sqref="L226">
    <cfRule type="expression" dxfId="97" priority="27">
      <formula>$Z226</formula>
    </cfRule>
  </conditionalFormatting>
  <conditionalFormatting sqref="N226">
    <cfRule type="expression" dxfId="96" priority="26">
      <formula>$AB226</formula>
    </cfRule>
  </conditionalFormatting>
  <conditionalFormatting sqref="E226">
    <cfRule type="cellIs" dxfId="95" priority="29" operator="equal">
      <formula>"Yes"</formula>
    </cfRule>
    <cfRule type="cellIs" dxfId="94" priority="30" operator="equal">
      <formula>"No"</formula>
    </cfRule>
  </conditionalFormatting>
  <conditionalFormatting sqref="P226">
    <cfRule type="expression" dxfId="93" priority="21">
      <formula>$AB226</formula>
    </cfRule>
  </conditionalFormatting>
  <conditionalFormatting sqref="L257">
    <cfRule type="expression" dxfId="92" priority="18">
      <formula>Y257</formula>
    </cfRule>
  </conditionalFormatting>
  <conditionalFormatting sqref="L257">
    <cfRule type="expression" dxfId="91" priority="17">
      <formula>$Z257</formula>
    </cfRule>
  </conditionalFormatting>
  <conditionalFormatting sqref="N257">
    <cfRule type="expression" dxfId="90" priority="16">
      <formula>$AB257</formula>
    </cfRule>
  </conditionalFormatting>
  <conditionalFormatting sqref="E257">
    <cfRule type="cellIs" dxfId="89" priority="19" operator="equal">
      <formula>"Yes"</formula>
    </cfRule>
    <cfRule type="cellIs" dxfId="88" priority="20" operator="equal">
      <formula>"No"</formula>
    </cfRule>
  </conditionalFormatting>
  <conditionalFormatting sqref="P257">
    <cfRule type="expression" dxfId="87" priority="11">
      <formula>$AB257</formula>
    </cfRule>
  </conditionalFormatting>
  <conditionalFormatting sqref="L288">
    <cfRule type="expression" dxfId="86" priority="8">
      <formula>Y288</formula>
    </cfRule>
  </conditionalFormatting>
  <conditionalFormatting sqref="L288">
    <cfRule type="expression" dxfId="85" priority="7">
      <formula>$Z288</formula>
    </cfRule>
  </conditionalFormatting>
  <conditionalFormatting sqref="N288">
    <cfRule type="expression" dxfId="84" priority="6">
      <formula>$AB288</formula>
    </cfRule>
  </conditionalFormatting>
  <conditionalFormatting sqref="E288">
    <cfRule type="cellIs" dxfId="83" priority="9" operator="equal">
      <formula>"Yes"</formula>
    </cfRule>
    <cfRule type="cellIs" dxfId="82" priority="10" operator="equal">
      <formula>"No"</formula>
    </cfRule>
  </conditionalFormatting>
  <conditionalFormatting sqref="P288">
    <cfRule type="expression" dxfId="81" priority="1">
      <formula>$AB288</formula>
    </cfRule>
  </conditionalFormatting>
  <conditionalFormatting sqref="C3">
    <cfRule type="expression" dxfId="80" priority="13017">
      <formula>$U$6&gt;0</formula>
    </cfRule>
  </conditionalFormatting>
  <dataValidations count="2">
    <dataValidation type="list" allowBlank="1" showInputMessage="1" showErrorMessage="1" sqref="C292 C13 C44 C75 C106 C137 C168 C199 C230 C261">
      <formula1>Railmodes1</formula1>
    </dataValidation>
    <dataValidation type="list" allowBlank="1" showInputMessage="1" showErrorMessage="1" sqref="P19 P21 P27 P29 P31 P33 P35 P50 P52 P58 P60 P62 P64 P66 P81 P83 P89 P91 P93 P95 P97 P112 P114 P120 P122 P124 P126 P128 P143 P145 P151 P153 P155 P157 P159 P174 P176 P182 P184 P186 P188 P190 P205 P207 P213 P215 P217 P219 P221 P236 P238 P244 P246 P248 P250 P252 P267 P269 P275 P277 P279 P281 P283 P298 P300 P306 P308 P310 P312 P314">
      <formula1>RailAg</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BQ216"/>
  <sheetViews>
    <sheetView showGridLines="0" zoomScaleNormal="100" workbookViewId="0">
      <pane xSplit="6" ySplit="11" topLeftCell="N12" activePane="bottomRight" state="frozen"/>
      <selection activeCell="C25" sqref="C25"/>
      <selection pane="topRight" activeCell="C25" sqref="C25"/>
      <selection pane="bottomLeft" activeCell="C25" sqref="C25"/>
      <selection pane="bottomRight" activeCell="N35" sqref="N35"/>
    </sheetView>
  </sheetViews>
  <sheetFormatPr defaultColWidth="9.140625" defaultRowHeight="12.75" x14ac:dyDescent="0.2"/>
  <cols>
    <col min="1" max="1" width="5.140625" style="883" customWidth="1"/>
    <col min="2" max="2" width="2" style="1518" customWidth="1"/>
    <col min="3" max="3" width="49" style="883" customWidth="1"/>
    <col min="4" max="4" width="1.42578125" style="884" customWidth="1"/>
    <col min="5" max="5" width="9.7109375" style="883" bestFit="1" customWidth="1"/>
    <col min="6" max="7" width="1.42578125" style="883" customWidth="1"/>
    <col min="8" max="8" width="35.140625" style="883" customWidth="1"/>
    <col min="9" max="9" width="1.42578125" style="883" customWidth="1"/>
    <col min="10" max="10" width="11" style="883" bestFit="1" customWidth="1"/>
    <col min="11" max="11" width="1.42578125" style="883" customWidth="1"/>
    <col min="12" max="12" width="12.42578125" style="887" customWidth="1"/>
    <col min="13" max="13" width="1.42578125" style="883" customWidth="1"/>
    <col min="14" max="14" width="12.42578125" style="883" customWidth="1"/>
    <col min="15" max="15" width="1.42578125" style="884" customWidth="1"/>
    <col min="16" max="16" width="12.28515625" style="883" bestFit="1" customWidth="1"/>
    <col min="17" max="17" width="1.42578125" style="884" customWidth="1"/>
    <col min="18" max="18" width="10.85546875" style="1953" bestFit="1" customWidth="1"/>
    <col min="19" max="19" width="1.42578125" style="884" hidden="1" customWidth="1"/>
    <col min="20" max="20" width="11.42578125" style="1964" hidden="1" customWidth="1"/>
    <col min="21" max="21" width="1.42578125" style="884" customWidth="1"/>
    <col min="22" max="22" width="14.85546875" style="1807" bestFit="1" customWidth="1"/>
    <col min="23" max="23" width="1.42578125" style="884" customWidth="1"/>
    <col min="24" max="24" width="17.7109375" style="883" customWidth="1"/>
    <col min="25" max="25" width="1.42578125" style="884" customWidth="1"/>
    <col min="26" max="26" width="12.5703125" style="883" bestFit="1" customWidth="1"/>
    <col min="27" max="27" width="1.42578125" style="884" customWidth="1"/>
    <col min="28" max="28" width="17.5703125" style="883" customWidth="1"/>
    <col min="29" max="29" width="1.42578125" style="883" customWidth="1"/>
    <col min="30" max="30" width="16" style="883" customWidth="1"/>
    <col min="31" max="31" width="1.42578125" style="883" customWidth="1"/>
    <col min="32" max="32" width="57.140625" style="883" customWidth="1"/>
    <col min="33" max="33" width="9.140625" style="883" hidden="1" customWidth="1"/>
    <col min="34" max="34" width="2.5703125" style="883" hidden="1" customWidth="1"/>
    <col min="35" max="35" width="11.42578125" style="883" hidden="1" customWidth="1"/>
    <col min="36" max="36" width="14.85546875" style="883" hidden="1" customWidth="1"/>
    <col min="37" max="37" width="15.42578125" style="883" hidden="1" customWidth="1"/>
    <col min="38" max="38" width="10.42578125" style="883" hidden="1" customWidth="1"/>
    <col min="39" max="39" width="12.7109375" style="883" hidden="1" customWidth="1"/>
    <col min="40" max="41" width="8.5703125" style="883" hidden="1" customWidth="1"/>
    <col min="42" max="42" width="7" style="883" hidden="1" customWidth="1"/>
    <col min="43" max="43" width="11.7109375" style="883" hidden="1" customWidth="1"/>
    <col min="44" max="44" width="12.140625" style="883" hidden="1" customWidth="1"/>
    <col min="45" max="46" width="7" style="883" hidden="1" customWidth="1"/>
    <col min="47" max="47" width="9.140625" style="883" hidden="1" customWidth="1"/>
    <col min="48" max="48" width="9" style="883" hidden="1" customWidth="1"/>
    <col min="49" max="49" width="7.7109375" style="887" hidden="1" customWidth="1"/>
    <col min="50" max="50" width="7" style="887" hidden="1" customWidth="1"/>
    <col min="51" max="51" width="7.140625" style="887" hidden="1" customWidth="1"/>
    <col min="52" max="53" width="11.42578125" style="887" hidden="1" customWidth="1"/>
    <col min="54" max="54" width="9.85546875" style="887" hidden="1" customWidth="1"/>
    <col min="55" max="55" width="9.140625" style="883" hidden="1" customWidth="1"/>
    <col min="56" max="57" width="8.28515625" style="883" hidden="1" customWidth="1"/>
    <col min="58" max="58" width="7.42578125" style="883" hidden="1" customWidth="1"/>
    <col min="59" max="59" width="5.5703125" style="883" hidden="1" customWidth="1"/>
    <col min="60" max="60" width="6.5703125" style="1862" hidden="1" customWidth="1"/>
    <col min="61" max="61" width="7.85546875" style="883" hidden="1" customWidth="1"/>
    <col min="62" max="62" width="6.42578125" style="883" hidden="1" customWidth="1"/>
    <col min="63" max="64" width="6.5703125" style="883" hidden="1" customWidth="1"/>
    <col min="65" max="65" width="5.5703125" style="883" hidden="1" customWidth="1"/>
    <col min="66" max="67" width="12.42578125" style="883" hidden="1" customWidth="1"/>
    <col min="68" max="69" width="9.140625" style="883" hidden="1" customWidth="1"/>
    <col min="70" max="16384" width="9.140625" style="883"/>
  </cols>
  <sheetData>
    <row r="1" spans="1:69" s="858" customFormat="1" ht="20.25" x14ac:dyDescent="0.3">
      <c r="A1" s="854" t="s">
        <v>2258</v>
      </c>
      <c r="B1" s="1519"/>
      <c r="C1" s="855"/>
      <c r="D1" s="855"/>
      <c r="E1" s="855"/>
      <c r="F1" s="855"/>
      <c r="G1" s="855"/>
      <c r="H1" s="855"/>
      <c r="I1" s="855"/>
      <c r="J1" s="855"/>
      <c r="K1" s="855"/>
      <c r="L1" s="1780"/>
      <c r="M1" s="855"/>
      <c r="N1" s="855"/>
      <c r="O1" s="855"/>
      <c r="P1" s="855"/>
      <c r="Q1" s="855"/>
      <c r="R1" s="1948"/>
      <c r="S1" s="855"/>
      <c r="T1" s="1954"/>
      <c r="U1" s="855"/>
      <c r="V1" s="1802"/>
      <c r="W1" s="855"/>
      <c r="X1" s="856"/>
      <c r="Y1" s="855"/>
      <c r="Z1" s="856"/>
      <c r="AA1" s="855"/>
      <c r="AB1" s="856"/>
      <c r="AC1" s="856"/>
      <c r="AD1" s="856"/>
      <c r="AE1" s="856"/>
      <c r="AF1" s="856"/>
      <c r="AG1" s="856"/>
      <c r="AH1" s="857"/>
      <c r="AI1" s="857"/>
      <c r="AJ1" s="866"/>
      <c r="AK1" s="866"/>
      <c r="AL1" s="772" t="s">
        <v>199</v>
      </c>
      <c r="AM1" s="772"/>
      <c r="AN1" s="772"/>
      <c r="AO1" s="772"/>
      <c r="AP1" s="772"/>
      <c r="AQ1" s="772"/>
      <c r="AR1" s="772"/>
      <c r="AS1" s="772"/>
      <c r="AT1" s="772"/>
      <c r="AU1" s="772"/>
      <c r="AV1" s="772"/>
      <c r="AW1" s="772"/>
      <c r="AX1" s="771"/>
      <c r="AY1" s="771"/>
      <c r="AZ1" s="771"/>
      <c r="BA1" s="771"/>
      <c r="BB1" s="772"/>
      <c r="BC1" s="864"/>
      <c r="BD1" s="864"/>
      <c r="BE1" s="864"/>
      <c r="BF1" s="1711" t="s">
        <v>2400</v>
      </c>
      <c r="BG1" s="924">
        <f>SUM(J:J)</f>
        <v>0</v>
      </c>
      <c r="BH1" s="1852"/>
      <c r="BI1" s="924"/>
      <c r="BJ1" s="924"/>
      <c r="BK1" s="924"/>
      <c r="BL1" s="924"/>
      <c r="BM1" s="924"/>
      <c r="BN1" s="866"/>
      <c r="BO1" s="864"/>
    </row>
    <row r="2" spans="1:69" s="766" customFormat="1" ht="12.75" customHeight="1" x14ac:dyDescent="0.2">
      <c r="B2" s="1520"/>
      <c r="C2" s="766" t="str">
        <f>VLOOKUP(COLUMN(),Columns,2,FALSE)</f>
        <v>c</v>
      </c>
      <c r="D2" s="859"/>
      <c r="H2" s="766" t="str">
        <f>VLOOKUP(COLUMN(),Columns,2,FALSE)</f>
        <v>h</v>
      </c>
      <c r="J2" s="766" t="str">
        <f>VLOOKUP(COLUMN(),Columns,2,FALSE)</f>
        <v>j</v>
      </c>
      <c r="L2" s="1216" t="str">
        <f>VLOOKUP(COLUMN(),Columns,2,FALSE)</f>
        <v>l</v>
      </c>
      <c r="N2" s="766" t="str">
        <f>VLOOKUP(COLUMN(),Columns,2,FALSE)</f>
        <v>n</v>
      </c>
      <c r="O2" s="859"/>
      <c r="P2" s="766" t="str">
        <f>VLOOKUP(COLUMN(),Columns,2,FALSE)</f>
        <v>p</v>
      </c>
      <c r="Q2" s="859"/>
      <c r="R2" s="1949" t="str">
        <f>VLOOKUP(COLUMN(),Columns,2,FALSE)</f>
        <v>r</v>
      </c>
      <c r="S2" s="859"/>
      <c r="T2" s="1955" t="str">
        <f>VLOOKUP(COLUMN(),Columns,2,FALSE)</f>
        <v>t</v>
      </c>
      <c r="U2" s="859"/>
      <c r="V2" s="1803" t="str">
        <f>VLOOKUP(COLUMN(),Columns,2,FALSE)</f>
        <v>v</v>
      </c>
      <c r="W2" s="859"/>
      <c r="X2" s="766" t="str">
        <f>VLOOKUP(COLUMN(),Columns,2,FALSE)</f>
        <v>x</v>
      </c>
      <c r="Y2" s="859"/>
      <c r="Z2" s="766" t="str">
        <f>VLOOKUP(COLUMN(),Columns,2,FALSE)</f>
        <v>z</v>
      </c>
      <c r="AA2" s="859"/>
      <c r="AB2" s="766" t="str">
        <f>VLOOKUP(COLUMN(),Columns,2,FALSE)</f>
        <v>ab</v>
      </c>
      <c r="AD2" s="766" t="str">
        <f>VLOOKUP(COLUMN(),Columns,2,FALSE)</f>
        <v>ad</v>
      </c>
      <c r="AF2" s="766" t="str">
        <f>VLOOKUP(COLUMN(),Columns,2,FALSE)</f>
        <v>af</v>
      </c>
      <c r="AJ2" s="866"/>
      <c r="AK2" s="866"/>
      <c r="AL2" s="866" t="s">
        <v>26</v>
      </c>
      <c r="AM2" s="866" t="s">
        <v>2351</v>
      </c>
      <c r="AN2" s="1682" t="s">
        <v>142</v>
      </c>
      <c r="AO2" s="1682" t="s">
        <v>142</v>
      </c>
      <c r="AP2" s="1683"/>
      <c r="AQ2" s="1682" t="s">
        <v>283</v>
      </c>
      <c r="AR2" s="1682" t="s">
        <v>2346</v>
      </c>
      <c r="AS2" s="1682"/>
      <c r="AT2" s="1682"/>
      <c r="AU2" s="1682" t="s">
        <v>2347</v>
      </c>
      <c r="AV2" s="1682"/>
      <c r="AW2" s="1682" t="s">
        <v>283</v>
      </c>
      <c r="AX2" s="1683"/>
      <c r="AY2" s="1683" t="s">
        <v>2350</v>
      </c>
      <c r="AZ2" s="1684" t="s">
        <v>2166</v>
      </c>
      <c r="BA2" s="1684" t="s">
        <v>2166</v>
      </c>
      <c r="BB2" s="864" t="s">
        <v>2344</v>
      </c>
      <c r="BC2" s="864" t="s">
        <v>2344</v>
      </c>
      <c r="BD2" s="864"/>
      <c r="BE2" s="864"/>
      <c r="BF2" s="1711" t="s">
        <v>2401</v>
      </c>
      <c r="BG2" s="924">
        <f ca="1">SUMIFS(J:J,BJ:BJ,1)</f>
        <v>0</v>
      </c>
      <c r="BH2" s="1852"/>
      <c r="BI2" s="924"/>
      <c r="BJ2" s="924"/>
      <c r="BK2" s="924"/>
      <c r="BL2" s="924"/>
      <c r="BM2" s="924"/>
      <c r="BN2" s="866"/>
      <c r="BO2" s="864"/>
    </row>
    <row r="3" spans="1:69" s="864" customFormat="1" ht="12.75" customHeight="1" x14ac:dyDescent="0.2">
      <c r="A3" s="860"/>
      <c r="B3" s="1521"/>
      <c r="C3" s="585" t="str">
        <f>IF($AK$5&gt;0,"Check Data Values in Cols. "&amp;#REF!&amp;" to "&amp;$Z$2,"NO BAD DATA")</f>
        <v>NO BAD DATA</v>
      </c>
      <c r="D3" s="1848"/>
      <c r="E3" s="585"/>
      <c r="F3" s="585"/>
      <c r="G3" s="1200"/>
      <c r="H3" s="1447"/>
      <c r="I3" s="1447"/>
      <c r="J3" s="1200"/>
      <c r="K3" s="1724"/>
      <c r="L3" s="148" t="str">
        <f>IF(AND($AW$5&gt;=1,$AX$5&gt;=1),"Bad Data",IF($AW$5&gt;=1,"Too Low?",IF($AX$5&gt;=1,"Too High?","")))</f>
        <v/>
      </c>
      <c r="M3" s="1200"/>
      <c r="N3" s="148" t="str">
        <f>IF(AND($AW$5&gt;=1,$AX$5&gt;=1),"Bad Data",IF($AW$5&gt;=1,"Too Low?",IF($AX$5&gt;=1,"Too High?","")))</f>
        <v/>
      </c>
      <c r="O3" s="861"/>
      <c r="P3" s="149" t="str">
        <f>IF(OR(AS5&gt;=1,AT5&gt;=1),"Chg. Date?","")</f>
        <v/>
      </c>
      <c r="Q3" s="149"/>
      <c r="R3" s="1804"/>
      <c r="S3" s="1871"/>
      <c r="T3" s="1956"/>
      <c r="U3" s="1871"/>
      <c r="V3" s="1804" t="str">
        <f>IF(AV5&gt;=1,"Bad Data","")</f>
        <v/>
      </c>
      <c r="W3" s="861"/>
      <c r="X3" s="148"/>
      <c r="Y3" s="861"/>
      <c r="Z3" s="149" t="str">
        <f>IF(BC5&gt;=1,"Bad Data","")</f>
        <v/>
      </c>
      <c r="AA3" s="862"/>
      <c r="AB3" s="863"/>
      <c r="AC3" s="863"/>
      <c r="AD3" s="1207" t="str">
        <f>IF(AND(AZ5&gt;=1,BA5&gt;=1),"Too Low or Too High?",IF(AZ5&gt;=1,"Too Low?",IF(BA5&gt;=1,"Too High?","")))</f>
        <v/>
      </c>
      <c r="AE3" s="860"/>
      <c r="AF3" s="863"/>
      <c r="AG3" s="863"/>
      <c r="AJ3" s="924"/>
      <c r="AK3" s="924"/>
      <c r="AL3" s="924"/>
      <c r="AM3" s="924" t="s">
        <v>2306</v>
      </c>
      <c r="AN3" s="924" t="s">
        <v>2306</v>
      </c>
      <c r="AO3" s="1260" t="s">
        <v>12</v>
      </c>
      <c r="AP3" s="1240" t="s">
        <v>12</v>
      </c>
      <c r="AQ3" s="1240" t="s">
        <v>2306</v>
      </c>
      <c r="AR3" s="1240" t="s">
        <v>2306</v>
      </c>
      <c r="AS3" s="1240" t="s">
        <v>2307</v>
      </c>
      <c r="AT3" s="1240" t="s">
        <v>2307</v>
      </c>
      <c r="AU3" s="1240" t="s">
        <v>2348</v>
      </c>
      <c r="AV3" s="1240" t="s">
        <v>2349</v>
      </c>
      <c r="AW3" s="1260" t="s">
        <v>12</v>
      </c>
      <c r="AX3" s="1240" t="s">
        <v>12</v>
      </c>
      <c r="AY3" s="1240" t="s">
        <v>2306</v>
      </c>
      <c r="AZ3" s="1240" t="s">
        <v>2307</v>
      </c>
      <c r="BA3" s="1260" t="s">
        <v>2307</v>
      </c>
      <c r="BB3" s="1260" t="s">
        <v>2306</v>
      </c>
      <c r="BC3" s="1260" t="s">
        <v>55</v>
      </c>
      <c r="BF3" s="924"/>
      <c r="BG3" s="924"/>
      <c r="BH3" s="1852"/>
      <c r="BI3" s="924"/>
      <c r="BJ3" s="924"/>
      <c r="BK3" s="924"/>
      <c r="BL3" s="924"/>
      <c r="BM3" s="924"/>
      <c r="BN3" s="924"/>
    </row>
    <row r="4" spans="1:69" s="864" customFormat="1" ht="12.75" customHeight="1" x14ac:dyDescent="0.2">
      <c r="A4" s="860"/>
      <c r="B4" s="1521"/>
      <c r="C4" s="585" t="str">
        <f>IF($AK$7&gt;0,"Check for Missing Data in Cols. "&amp;$H$2&amp;" to "&amp;$Z$2,"NO MISSING DATA")</f>
        <v>NO MISSING DATA</v>
      </c>
      <c r="D4" s="1848"/>
      <c r="E4" s="585"/>
      <c r="F4" s="585"/>
      <c r="G4" s="1200"/>
      <c r="H4" s="148" t="str">
        <f>IF(AM7&gt;=1,"Select Type of Vehicle","")</f>
        <v/>
      </c>
      <c r="I4" s="1447"/>
      <c r="J4" s="148" t="str">
        <f>IF(AN5&gt;=1,"# Vehicles in Fleet","")</f>
        <v/>
      </c>
      <c r="K4" s="1724"/>
      <c r="L4" s="148" t="str">
        <f>IF(AO7&gt;=1,"Srv. Yrs.?","")</f>
        <v/>
      </c>
      <c r="M4" s="1200"/>
      <c r="N4" s="148" t="str">
        <f>IF(AQ7&gt;=1,"Srv. Yrs.?","")</f>
        <v/>
      </c>
      <c r="O4" s="861"/>
      <c r="P4" s="149" t="str">
        <f>IF(AR7&gt;=1,"Year?","")</f>
        <v/>
      </c>
      <c r="Q4" s="767"/>
      <c r="R4" s="1804"/>
      <c r="S4" s="767"/>
      <c r="T4" s="1956"/>
      <c r="U4" s="767"/>
      <c r="V4" s="1804" t="str">
        <f>IF(AU7&gt;=1,"% Capital?","")</f>
        <v/>
      </c>
      <c r="W4" s="861"/>
      <c r="X4" s="767" t="str">
        <f>IF(AY7&gt;=1,"Estimated $?","")</f>
        <v/>
      </c>
      <c r="Y4" s="861"/>
      <c r="Z4" s="767" t="str">
        <f>IF(BB7&gt;=1,"Year $ ?","")</f>
        <v/>
      </c>
      <c r="AA4" s="862"/>
      <c r="AB4" s="863"/>
      <c r="AC4" s="863"/>
      <c r="AD4" s="863"/>
      <c r="AE4" s="860"/>
      <c r="AF4" s="863"/>
      <c r="AG4" s="863"/>
      <c r="AJ4" s="891"/>
      <c r="AK4" s="891"/>
      <c r="AL4" s="891"/>
      <c r="AM4" s="891"/>
      <c r="AN4" s="891"/>
      <c r="AO4" s="1260" t="s">
        <v>60</v>
      </c>
      <c r="AP4" s="1240" t="s">
        <v>61</v>
      </c>
      <c r="AQ4" s="1240" t="s">
        <v>2345</v>
      </c>
      <c r="AR4" s="1240" t="s">
        <v>2345</v>
      </c>
      <c r="AS4" s="1240" t="s">
        <v>2243</v>
      </c>
      <c r="AT4" s="1240" t="s">
        <v>2308</v>
      </c>
      <c r="AU4" s="1240" t="s">
        <v>2345</v>
      </c>
      <c r="AV4" s="1240"/>
      <c r="AW4" s="1260" t="s">
        <v>60</v>
      </c>
      <c r="AX4" s="1240" t="s">
        <v>61</v>
      </c>
      <c r="AY4" s="1240"/>
      <c r="AZ4" s="1240" t="s">
        <v>2243</v>
      </c>
      <c r="BA4" s="1260" t="s">
        <v>2308</v>
      </c>
      <c r="BB4" s="1260"/>
      <c r="BC4" s="1260" t="s">
        <v>57</v>
      </c>
      <c r="BD4" s="1685"/>
      <c r="BE4" s="1685"/>
      <c r="BF4" s="891">
        <f>Valid!$J$1</f>
        <v>9</v>
      </c>
      <c r="BG4" s="891"/>
      <c r="BH4" s="1853">
        <f>Valid!$F$1</f>
        <v>5</v>
      </c>
      <c r="BI4" s="891"/>
      <c r="BJ4" s="891"/>
      <c r="BK4" s="891">
        <f>Valid!$G$1</f>
        <v>6</v>
      </c>
      <c r="BL4" s="891">
        <f>Valid!$H$1</f>
        <v>7</v>
      </c>
      <c r="BM4" s="681">
        <f>Valid!K$1</f>
        <v>10</v>
      </c>
      <c r="BN4" s="681"/>
      <c r="BO4" s="1685"/>
    </row>
    <row r="5" spans="1:69" s="869" customFormat="1" ht="12.75" customHeight="1" x14ac:dyDescent="0.2">
      <c r="A5" s="891"/>
      <c r="B5" s="1517"/>
      <c r="C5" s="206"/>
      <c r="D5" s="1541"/>
      <c r="E5" s="206"/>
      <c r="F5" s="206"/>
      <c r="G5" s="206"/>
      <c r="H5" s="1685"/>
      <c r="I5" s="1685"/>
      <c r="J5" s="1685"/>
      <c r="K5" s="1685"/>
      <c r="L5" s="847"/>
      <c r="M5" s="1685"/>
      <c r="N5" s="847"/>
      <c r="O5" s="1693"/>
      <c r="P5" s="847"/>
      <c r="Q5" s="847"/>
      <c r="R5" s="1666"/>
      <c r="S5" s="847"/>
      <c r="T5" s="1957"/>
      <c r="U5" s="847"/>
      <c r="V5" s="1666"/>
      <c r="W5" s="872"/>
      <c r="X5" s="870"/>
      <c r="Y5" s="871"/>
      <c r="Z5" s="870"/>
      <c r="AA5" s="872"/>
      <c r="AB5" s="847"/>
      <c r="AC5" s="847"/>
      <c r="AD5" s="847"/>
      <c r="AE5" s="1685"/>
      <c r="AF5" s="873"/>
      <c r="AG5" s="870"/>
      <c r="AH5" s="1685"/>
      <c r="AI5" s="1685"/>
      <c r="AJ5" s="765" t="s">
        <v>301</v>
      </c>
      <c r="AK5" s="765">
        <f>SUM(AW5:BA5)</f>
        <v>0</v>
      </c>
      <c r="AL5" s="765"/>
      <c r="AM5" s="765"/>
      <c r="AN5" s="1686">
        <f>COUNTIF(AN$12:AN$1048576,"TRUE")</f>
        <v>0</v>
      </c>
      <c r="AO5" s="874">
        <f>COUNTIF(AO$12:AO$1048576,"TRUE")</f>
        <v>0</v>
      </c>
      <c r="AP5" s="874">
        <f>COUNTIF(AP$12:AP$1048576,"TRUE")</f>
        <v>0</v>
      </c>
      <c r="AQ5" s="874"/>
      <c r="AR5" s="875"/>
      <c r="AS5" s="874">
        <f>COUNTIF(AS$12:AS$1048576,"TRUE")</f>
        <v>0</v>
      </c>
      <c r="AT5" s="874">
        <f>COUNTIF(AT$12:AT$1048576,"TRUE")</f>
        <v>0</v>
      </c>
      <c r="AU5" s="874"/>
      <c r="AV5" s="874">
        <f>COUNTIF(AV$12:AV$1048576,"TRUE")</f>
        <v>0</v>
      </c>
      <c r="AW5" s="874">
        <f>COUNTIF(AW$12:AW$1048576,"TRUE")</f>
        <v>0</v>
      </c>
      <c r="AX5" s="874">
        <f>COUNTIF(AX$12:AX$1048576,"TRUE")</f>
        <v>0</v>
      </c>
      <c r="AY5" s="874"/>
      <c r="AZ5" s="874">
        <f>COUNTIF(AZ$12:AZ$1048576,"TRUE")</f>
        <v>0</v>
      </c>
      <c r="BA5" s="874">
        <f>COUNTIF(BA$12:BA$1048576,"TRUE")</f>
        <v>0</v>
      </c>
      <c r="BB5" s="701"/>
      <c r="BC5" s="1685">
        <f>COUNTIF($BC$13:$BC$211,TRUE)</f>
        <v>0</v>
      </c>
      <c r="BD5" s="1685"/>
      <c r="BE5" s="1685"/>
      <c r="BF5" s="1685"/>
      <c r="BG5" s="1685"/>
      <c r="BH5" s="1854"/>
      <c r="BI5" s="1685"/>
      <c r="BJ5" s="1685"/>
      <c r="BK5" s="1685"/>
      <c r="BL5" s="1685"/>
      <c r="BM5" s="1685"/>
      <c r="BN5" s="1624"/>
      <c r="BO5" s="1685"/>
      <c r="BP5" s="1685"/>
      <c r="BQ5" s="1685"/>
    </row>
    <row r="6" spans="1:69" s="869" customFormat="1" ht="12.75" customHeight="1" x14ac:dyDescent="0.2">
      <c r="A6" s="891"/>
      <c r="B6" s="1517"/>
      <c r="C6" s="206"/>
      <c r="D6" s="1541"/>
      <c r="E6" s="206"/>
      <c r="F6" s="206"/>
      <c r="G6" s="206"/>
      <c r="H6" s="1685"/>
      <c r="I6" s="1685"/>
      <c r="J6" s="1685"/>
      <c r="K6" s="1685"/>
      <c r="L6" s="847"/>
      <c r="M6" s="1685"/>
      <c r="N6" s="847"/>
      <c r="O6" s="1693"/>
      <c r="P6" s="847"/>
      <c r="Q6" s="847"/>
      <c r="R6" s="1666"/>
      <c r="S6" s="847"/>
      <c r="T6" s="1957"/>
      <c r="U6" s="847"/>
      <c r="V6" s="1666"/>
      <c r="W6" s="872"/>
      <c r="X6" s="1822"/>
      <c r="Y6" s="871"/>
      <c r="Z6" s="1822"/>
      <c r="AA6" s="872"/>
      <c r="AB6" s="847"/>
      <c r="AC6" s="847"/>
      <c r="AD6" s="847"/>
      <c r="AE6" s="1685"/>
      <c r="AF6" s="873"/>
      <c r="AG6" s="1822"/>
      <c r="AH6" s="1685"/>
      <c r="AI6" s="1685"/>
      <c r="AJ6" s="765"/>
      <c r="AK6" s="765"/>
      <c r="AL6" s="765"/>
      <c r="AM6" s="765"/>
      <c r="AN6" s="1686"/>
      <c r="AO6" s="874"/>
      <c r="AP6" s="874"/>
      <c r="AQ6" s="874"/>
      <c r="AR6" s="875"/>
      <c r="AS6" s="874"/>
      <c r="AT6" s="874"/>
      <c r="AU6" s="874"/>
      <c r="AV6" s="874"/>
      <c r="AW6" s="874"/>
      <c r="AX6" s="874"/>
      <c r="AY6" s="874"/>
      <c r="AZ6" s="874"/>
      <c r="BA6" s="874"/>
      <c r="BB6" s="701"/>
      <c r="BC6" s="1685"/>
      <c r="BD6" s="1685"/>
      <c r="BE6" s="1685"/>
      <c r="BF6" s="1685"/>
      <c r="BG6" s="1685"/>
      <c r="BH6" s="1854"/>
      <c r="BI6" s="1685"/>
      <c r="BJ6" s="1685"/>
      <c r="BK6" s="1685"/>
      <c r="BL6" s="1685"/>
      <c r="BM6" s="1685"/>
      <c r="BN6" s="1624"/>
      <c r="BO6" s="1685"/>
      <c r="BP6" s="1685"/>
      <c r="BQ6" s="1685"/>
    </row>
    <row r="7" spans="1:69" s="869" customFormat="1" ht="12.75" customHeight="1" x14ac:dyDescent="0.2">
      <c r="A7" s="891"/>
      <c r="B7" s="1517"/>
      <c r="C7" s="844"/>
      <c r="D7" s="1697"/>
      <c r="E7" s="1685"/>
      <c r="F7" s="844"/>
      <c r="G7" s="844"/>
      <c r="H7" s="1231"/>
      <c r="I7" s="1231"/>
      <c r="J7" s="1231"/>
      <c r="K7" s="1231"/>
      <c r="L7" s="1781"/>
      <c r="M7" s="1231"/>
      <c r="N7" s="847"/>
      <c r="O7" s="1691"/>
      <c r="P7" s="847"/>
      <c r="Q7" s="847"/>
      <c r="R7" s="1950"/>
      <c r="S7" s="847"/>
      <c r="T7" s="1958"/>
      <c r="U7" s="847"/>
      <c r="V7" s="1666"/>
      <c r="W7" s="1692"/>
      <c r="X7" s="844"/>
      <c r="Y7" s="1692"/>
      <c r="Z7" s="737"/>
      <c r="AA7" s="1692"/>
      <c r="AB7" s="844"/>
      <c r="AC7" s="844"/>
      <c r="AD7" s="844"/>
      <c r="AE7" s="1685"/>
      <c r="AF7" s="847"/>
      <c r="AG7" s="847"/>
      <c r="AH7" s="1685"/>
      <c r="AI7" s="1685"/>
      <c r="AJ7" s="765" t="s">
        <v>302</v>
      </c>
      <c r="AK7" s="765">
        <f>SUM(AW7:BA7)</f>
        <v>0</v>
      </c>
      <c r="AL7" s="765"/>
      <c r="AM7" s="1686">
        <f>COUNTIF($AM$13:$AM$211,TRUE)</f>
        <v>0</v>
      </c>
      <c r="AN7" s="1686"/>
      <c r="AO7" s="875"/>
      <c r="AP7" s="875"/>
      <c r="AQ7" s="874">
        <f>COUNTIF($AQ$13:$AQ$211,TRUE)</f>
        <v>0</v>
      </c>
      <c r="AR7" s="874">
        <f>COUNTIF($AR$13:$AR$211,TRUE)</f>
        <v>0</v>
      </c>
      <c r="AS7" s="874"/>
      <c r="AT7" s="874"/>
      <c r="AU7" s="874">
        <f>COUNTIF($AU$13:$AU$211,TRUE)</f>
        <v>0</v>
      </c>
      <c r="AV7" s="874"/>
      <c r="AW7" s="875"/>
      <c r="AX7" s="875"/>
      <c r="AY7" s="874">
        <f>COUNTIF($AY$13:$AY$211,TRUE)</f>
        <v>0</v>
      </c>
      <c r="AZ7" s="875"/>
      <c r="BA7" s="875"/>
      <c r="BB7" s="874">
        <f>COUNTIF($BB$13:$BB$211,TRUE)</f>
        <v>0</v>
      </c>
      <c r="BC7" s="1685"/>
      <c r="BD7" s="2078" t="s">
        <v>300</v>
      </c>
      <c r="BE7" s="2078"/>
      <c r="BF7" s="2078"/>
      <c r="BG7" s="1510"/>
      <c r="BH7" s="1855"/>
      <c r="BI7" s="788"/>
      <c r="BJ7" s="788"/>
      <c r="BK7" s="788"/>
      <c r="BL7" s="788"/>
      <c r="BM7" s="802"/>
      <c r="BN7" s="802"/>
      <c r="BO7" s="802"/>
      <c r="BP7" s="1685"/>
      <c r="BQ7" s="1685"/>
    </row>
    <row r="8" spans="1:69" s="869" customFormat="1" ht="12.75" customHeight="1" x14ac:dyDescent="0.2">
      <c r="A8" s="891"/>
      <c r="B8" s="1517"/>
      <c r="C8" s="844"/>
      <c r="D8" s="1697"/>
      <c r="E8" s="736" t="s">
        <v>197</v>
      </c>
      <c r="F8" s="844"/>
      <c r="G8" s="844"/>
      <c r="H8" s="1234"/>
      <c r="I8" s="1234"/>
      <c r="J8" s="1231" t="s">
        <v>308</v>
      </c>
      <c r="K8" s="1234"/>
      <c r="L8" s="847" t="s">
        <v>2417</v>
      </c>
      <c r="M8" s="1234"/>
      <c r="N8" s="847" t="s">
        <v>2382</v>
      </c>
      <c r="O8" s="1691"/>
      <c r="P8" s="1666"/>
      <c r="Q8" s="1666"/>
      <c r="R8" s="1951" t="s">
        <v>139</v>
      </c>
      <c r="S8" s="1666"/>
      <c r="T8" s="1959" t="s">
        <v>2163</v>
      </c>
      <c r="U8" s="1666"/>
      <c r="V8" s="1666" t="s">
        <v>2187</v>
      </c>
      <c r="W8" s="1692"/>
      <c r="X8" s="847"/>
      <c r="Y8" s="1693"/>
      <c r="Z8" s="737" t="s">
        <v>268</v>
      </c>
      <c r="AA8" s="1692"/>
      <c r="AB8" s="782"/>
      <c r="AC8" s="1694" t="str">
        <f ca="1">REPLACE("Estimated Cost in ",99,0,REPLACE(TEXT(BaseYear,0),99,0," Dollars"))</f>
        <v>Estimated Cost in 2015 Dollars</v>
      </c>
      <c r="AD8" s="867"/>
      <c r="AE8" s="1694"/>
      <c r="AF8" s="873"/>
      <c r="AG8" s="868"/>
      <c r="AH8" s="1685"/>
      <c r="AI8" s="1685"/>
      <c r="AJ8" s="891"/>
      <c r="AK8" s="765" t="s">
        <v>305</v>
      </c>
      <c r="AL8" s="765"/>
      <c r="AM8" s="765"/>
      <c r="AN8" s="765"/>
      <c r="AO8" s="874" t="str">
        <f>IF(AO5&gt;=1,AO$10,"")</f>
        <v/>
      </c>
      <c r="AP8" s="874" t="str">
        <f>IF(AP5&gt;=1,AP$10,"")</f>
        <v/>
      </c>
      <c r="AQ8" s="874"/>
      <c r="AR8" s="874"/>
      <c r="AS8" s="874"/>
      <c r="AT8" s="874"/>
      <c r="AU8" s="874"/>
      <c r="AV8" s="874"/>
      <c r="AW8" s="874" t="str">
        <f>IF(AW5&gt;=1,AW$10,"")</f>
        <v/>
      </c>
      <c r="AX8" s="874" t="str">
        <f>IF(AX5&gt;=1,AX$10,"")</f>
        <v/>
      </c>
      <c r="AY8" s="874"/>
      <c r="AZ8" s="874"/>
      <c r="BA8" s="874" t="str">
        <f>IF(BA5&gt;=1,BA$10,"")</f>
        <v/>
      </c>
      <c r="BB8" s="701"/>
      <c r="BC8" s="1685"/>
      <c r="BD8" s="810" t="s">
        <v>2309</v>
      </c>
      <c r="BE8" s="810" t="s">
        <v>2309</v>
      </c>
      <c r="BF8" s="804"/>
      <c r="BG8" s="876"/>
      <c r="BH8" s="1856"/>
      <c r="BI8" s="804" t="s">
        <v>139</v>
      </c>
      <c r="BJ8" s="804"/>
      <c r="BK8" s="804" t="s">
        <v>139</v>
      </c>
      <c r="BL8" s="804" t="s">
        <v>139</v>
      </c>
      <c r="BM8" s="804"/>
      <c r="BN8" s="804" t="s">
        <v>2242</v>
      </c>
      <c r="BO8" s="804" t="s">
        <v>2242</v>
      </c>
      <c r="BP8" s="1685"/>
      <c r="BQ8" s="1685"/>
    </row>
    <row r="9" spans="1:69" s="869" customFormat="1" ht="12.75" customHeight="1" x14ac:dyDescent="0.2">
      <c r="A9" s="891"/>
      <c r="B9" s="1517"/>
      <c r="C9" s="844"/>
      <c r="D9" s="1697"/>
      <c r="E9" s="736" t="s">
        <v>484</v>
      </c>
      <c r="F9" s="844"/>
      <c r="G9" s="844"/>
      <c r="H9" s="1667"/>
      <c r="I9" s="1238"/>
      <c r="J9" s="1240" t="s">
        <v>309</v>
      </c>
      <c r="K9" s="1238"/>
      <c r="L9" s="847" t="s">
        <v>2381</v>
      </c>
      <c r="M9" s="1238"/>
      <c r="N9" s="847" t="s">
        <v>2381</v>
      </c>
      <c r="O9" s="1691"/>
      <c r="P9" s="847" t="s">
        <v>316</v>
      </c>
      <c r="Q9" s="1695"/>
      <c r="R9" s="1951" t="s">
        <v>104</v>
      </c>
      <c r="S9" s="1695"/>
      <c r="T9" s="1959" t="s">
        <v>2402</v>
      </c>
      <c r="U9" s="1695"/>
      <c r="V9" s="1666" t="s">
        <v>2384</v>
      </c>
      <c r="W9" s="1692"/>
      <c r="X9" s="928" t="s">
        <v>2163</v>
      </c>
      <c r="Y9" s="1692"/>
      <c r="Z9" s="737" t="s">
        <v>2163</v>
      </c>
      <c r="AA9" s="1692"/>
      <c r="AB9" s="1694"/>
      <c r="AC9" s="1694"/>
      <c r="AD9" s="1694" t="s">
        <v>169</v>
      </c>
      <c r="AE9" s="878"/>
      <c r="AF9" s="847"/>
      <c r="AG9" s="847"/>
      <c r="AH9" s="1685"/>
      <c r="AI9" s="1685"/>
      <c r="AJ9" s="891"/>
      <c r="AK9" s="765" t="s">
        <v>306</v>
      </c>
      <c r="AL9" s="765"/>
      <c r="AM9" s="765"/>
      <c r="AN9" s="765"/>
      <c r="AO9" s="875"/>
      <c r="AP9" s="875"/>
      <c r="AQ9" s="875"/>
      <c r="AR9" s="875"/>
      <c r="AS9" s="875"/>
      <c r="AT9" s="875"/>
      <c r="AU9" s="875"/>
      <c r="AV9" s="875"/>
      <c r="AW9" s="875"/>
      <c r="AX9" s="875"/>
      <c r="AY9" s="875"/>
      <c r="AZ9" s="875"/>
      <c r="BA9" s="875"/>
      <c r="BB9" s="1449"/>
      <c r="BC9" s="1685"/>
      <c r="BD9" s="810" t="s">
        <v>2243</v>
      </c>
      <c r="BE9" s="877" t="s">
        <v>2308</v>
      </c>
      <c r="BF9" s="810" t="s">
        <v>95</v>
      </c>
      <c r="BG9" s="877" t="s">
        <v>312</v>
      </c>
      <c r="BH9" s="1857" t="s">
        <v>139</v>
      </c>
      <c r="BI9" s="810" t="s">
        <v>104</v>
      </c>
      <c r="BJ9" s="810" t="s">
        <v>104</v>
      </c>
      <c r="BK9" s="810" t="s">
        <v>104</v>
      </c>
      <c r="BL9" s="810" t="s">
        <v>104</v>
      </c>
      <c r="BM9" s="613" t="s">
        <v>499</v>
      </c>
      <c r="BN9" s="810" t="s">
        <v>2243</v>
      </c>
      <c r="BO9" s="613" t="s">
        <v>2243</v>
      </c>
      <c r="BP9" s="1685"/>
      <c r="BQ9" s="1685"/>
    </row>
    <row r="10" spans="1:69" s="869" customFormat="1" ht="12.75" customHeight="1" x14ac:dyDescent="0.2">
      <c r="A10" s="1696" t="s">
        <v>196</v>
      </c>
      <c r="B10" s="1517"/>
      <c r="C10" s="844" t="s">
        <v>2342</v>
      </c>
      <c r="D10" s="1697"/>
      <c r="E10" s="736" t="s">
        <v>485</v>
      </c>
      <c r="F10" s="844"/>
      <c r="G10" s="844"/>
      <c r="H10" s="1667" t="s">
        <v>2343</v>
      </c>
      <c r="I10" s="1238"/>
      <c r="J10" s="1240" t="s">
        <v>310</v>
      </c>
      <c r="K10" s="1238"/>
      <c r="L10" s="847" t="s">
        <v>2378</v>
      </c>
      <c r="M10" s="1238"/>
      <c r="N10" s="847" t="s">
        <v>2378</v>
      </c>
      <c r="O10" s="1697"/>
      <c r="P10" s="847" t="s">
        <v>317</v>
      </c>
      <c r="Q10" s="1695"/>
      <c r="R10" s="1951" t="s">
        <v>2639</v>
      </c>
      <c r="S10" s="1695"/>
      <c r="T10" s="1959" t="s">
        <v>2403</v>
      </c>
      <c r="U10" s="1695"/>
      <c r="V10" s="1666" t="s">
        <v>2383</v>
      </c>
      <c r="W10" s="1692"/>
      <c r="X10" s="928" t="s">
        <v>198</v>
      </c>
      <c r="Y10" s="1692"/>
      <c r="Z10" s="737" t="s">
        <v>198</v>
      </c>
      <c r="AA10" s="1692"/>
      <c r="AB10" s="1694" t="s">
        <v>106</v>
      </c>
      <c r="AC10" s="1694"/>
      <c r="AD10" s="1694" t="s">
        <v>198</v>
      </c>
      <c r="AE10" s="878"/>
      <c r="AF10" s="844" t="s">
        <v>140</v>
      </c>
      <c r="AG10" s="847"/>
      <c r="AH10" s="1685"/>
      <c r="AI10" s="1687" t="s">
        <v>2389</v>
      </c>
      <c r="AJ10" s="1688" t="s">
        <v>2391</v>
      </c>
      <c r="AK10" s="1688" t="s">
        <v>2390</v>
      </c>
      <c r="AL10" s="1688"/>
      <c r="AM10" s="758"/>
      <c r="AN10" s="758"/>
      <c r="AO10" s="882">
        <f>M2</f>
        <v>0</v>
      </c>
      <c r="AP10" s="1151">
        <f>M2</f>
        <v>0</v>
      </c>
      <c r="AQ10" s="1151"/>
      <c r="AR10" s="1151"/>
      <c r="AS10" s="1151"/>
      <c r="AT10" s="1151"/>
      <c r="AU10" s="1151"/>
      <c r="AV10" s="1151"/>
      <c r="AW10" s="882" t="str">
        <f>N2</f>
        <v>n</v>
      </c>
      <c r="AX10" s="1151" t="str">
        <f>N2</f>
        <v>n</v>
      </c>
      <c r="AY10" s="1151"/>
      <c r="AZ10" s="1151"/>
      <c r="BA10" s="882"/>
      <c r="BB10" s="1450"/>
      <c r="BC10" s="1685"/>
      <c r="BD10" s="879"/>
      <c r="BE10" s="880"/>
      <c r="BF10" s="879" t="s">
        <v>39</v>
      </c>
      <c r="BG10" s="880" t="s">
        <v>2392</v>
      </c>
      <c r="BH10" s="1858" t="s">
        <v>104</v>
      </c>
      <c r="BI10" s="879" t="s">
        <v>2399</v>
      </c>
      <c r="BJ10" s="810" t="s">
        <v>2393</v>
      </c>
      <c r="BK10" s="879" t="s">
        <v>60</v>
      </c>
      <c r="BL10" s="879" t="s">
        <v>61</v>
      </c>
      <c r="BM10" s="879"/>
      <c r="BN10" s="879"/>
      <c r="BO10" s="879"/>
      <c r="BP10" s="1685"/>
      <c r="BQ10" s="1685"/>
    </row>
    <row r="11" spans="1:69" ht="9.75" customHeight="1" x14ac:dyDescent="0.2">
      <c r="A11" s="930"/>
      <c r="B11" s="1524"/>
      <c r="C11" s="930"/>
      <c r="D11" s="931"/>
      <c r="E11" s="930"/>
      <c r="F11" s="930"/>
      <c r="G11" s="930"/>
      <c r="H11" s="930"/>
      <c r="I11" s="930"/>
      <c r="J11" s="930"/>
      <c r="K11" s="930"/>
      <c r="L11" s="586"/>
      <c r="M11" s="930"/>
      <c r="N11" s="930"/>
      <c r="O11" s="931"/>
      <c r="P11" s="930"/>
      <c r="Q11" s="931"/>
      <c r="R11" s="1792"/>
      <c r="S11" s="931"/>
      <c r="T11" s="1960"/>
      <c r="U11" s="931"/>
      <c r="V11" s="1676"/>
      <c r="W11" s="931"/>
      <c r="X11" s="930"/>
      <c r="Y11" s="931"/>
      <c r="Z11" s="930"/>
      <c r="AA11" s="931"/>
      <c r="AB11" s="930"/>
      <c r="AC11" s="930"/>
      <c r="AD11" s="930"/>
      <c r="AE11" s="930"/>
      <c r="AF11" s="930"/>
      <c r="AG11" s="930"/>
      <c r="AH11" s="930"/>
      <c r="AI11" s="930"/>
      <c r="AJ11" s="930"/>
      <c r="AK11" s="930"/>
      <c r="AL11" s="930"/>
      <c r="AM11" s="930"/>
      <c r="AN11" s="930"/>
      <c r="AO11" s="885"/>
      <c r="AP11" s="885"/>
      <c r="AQ11" s="885"/>
      <c r="AR11" s="885"/>
      <c r="AS11" s="885"/>
      <c r="AT11" s="885"/>
      <c r="AU11" s="885"/>
      <c r="AV11" s="885"/>
      <c r="AW11" s="885"/>
      <c r="AX11" s="885"/>
      <c r="AY11" s="886"/>
      <c r="AZ11" s="886"/>
      <c r="BA11" s="886"/>
      <c r="BC11" s="930"/>
      <c r="BD11" s="1689"/>
      <c r="BE11" s="1690"/>
      <c r="BF11" s="1689"/>
      <c r="BG11" s="1689"/>
      <c r="BH11" s="1859"/>
      <c r="BI11" s="1690"/>
      <c r="BJ11" s="1690"/>
      <c r="BK11" s="1690"/>
      <c r="BL11" s="1690"/>
      <c r="BM11" s="804"/>
      <c r="BN11" s="624"/>
      <c r="BO11" s="624"/>
      <c r="BP11" s="930"/>
      <c r="BQ11" s="930"/>
    </row>
    <row r="12" spans="1:69" s="901" customFormat="1" ht="6.75" customHeight="1" thickBot="1" x14ac:dyDescent="0.25">
      <c r="A12" s="1516"/>
      <c r="B12" s="1530">
        <v>0.5</v>
      </c>
      <c r="C12" s="844"/>
      <c r="D12" s="1541"/>
      <c r="E12" s="170"/>
      <c r="F12" s="170"/>
      <c r="G12" s="170"/>
      <c r="H12" s="170"/>
      <c r="I12" s="170"/>
      <c r="J12" s="170"/>
      <c r="K12" s="170"/>
      <c r="L12" s="1698"/>
      <c r="M12" s="170"/>
      <c r="N12" s="1698"/>
      <c r="O12" s="1541"/>
      <c r="P12" s="1699"/>
      <c r="Q12" s="1700"/>
      <c r="R12" s="1805"/>
      <c r="S12" s="1700"/>
      <c r="T12" s="1961"/>
      <c r="U12" s="1700"/>
      <c r="V12" s="1805"/>
      <c r="W12" s="1541"/>
      <c r="X12" s="1701"/>
      <c r="Y12" s="1541"/>
      <c r="Z12" s="170"/>
      <c r="AA12" s="1541"/>
      <c r="AB12" s="1622"/>
      <c r="AC12" s="1622"/>
      <c r="AD12" s="1622"/>
      <c r="AE12" s="894"/>
      <c r="AF12" s="1702"/>
      <c r="AG12" s="170"/>
      <c r="AH12" s="894"/>
      <c r="AI12" s="894"/>
      <c r="AJ12" s="900"/>
      <c r="AK12" s="894"/>
      <c r="AL12" s="894"/>
      <c r="AM12" s="894"/>
      <c r="AN12" s="894"/>
      <c r="AO12" s="903"/>
      <c r="AP12" s="903"/>
      <c r="AQ12" s="903"/>
      <c r="AR12" s="903"/>
      <c r="AS12" s="903"/>
      <c r="AT12" s="903"/>
      <c r="AU12" s="903"/>
      <c r="AV12" s="903"/>
      <c r="AW12" s="903"/>
      <c r="AX12" s="903"/>
      <c r="AY12" s="889"/>
      <c r="AZ12" s="889"/>
      <c r="BA12" s="890"/>
      <c r="BB12" s="890"/>
      <c r="BC12" s="894"/>
      <c r="BD12" s="897"/>
      <c r="BE12" s="898"/>
      <c r="BF12" s="897"/>
      <c r="BG12" s="897"/>
      <c r="BH12" s="1860"/>
      <c r="BI12" s="898"/>
      <c r="BJ12" s="898"/>
      <c r="BK12" s="898"/>
      <c r="BL12" s="898"/>
      <c r="BM12" s="898"/>
      <c r="BN12" s="1152"/>
      <c r="BO12" s="898"/>
      <c r="BP12" s="894"/>
      <c r="BQ12" s="894"/>
    </row>
    <row r="13" spans="1:69" s="901" customFormat="1" x14ac:dyDescent="0.2">
      <c r="A13" s="206">
        <v>1</v>
      </c>
      <c r="B13" s="1530">
        <v>1</v>
      </c>
      <c r="C13" s="1703"/>
      <c r="D13" s="1248" t="str">
        <f>IF(C13="","Enter Service Fleet Description then Fill in columns "&amp;TEXT($H$2,0)&amp;" - "&amp;TEXT($Z$2,0)&amp;"              ","")</f>
        <v xml:space="preserve">Enter Service Fleet Description then Fill in columns h - z              </v>
      </c>
      <c r="E13" s="1245" t="str">
        <f>IF(AK13="N/A","",AK13)</f>
        <v/>
      </c>
      <c r="F13" s="170"/>
      <c r="G13" s="170"/>
      <c r="H13" s="1704"/>
      <c r="I13" s="1246" t="str">
        <f>IF(AND(E13="No",H13=""),"Select Type of Vehicle                        ","")</f>
        <v/>
      </c>
      <c r="J13" s="1247"/>
      <c r="K13" s="1246" t="str">
        <f>IF(AND(C13="No",H13=""),"Number of Vehicles?  ","")</f>
        <v/>
      </c>
      <c r="L13" s="1779" t="str">
        <f>IFERROR(VLOOKUP($H13,val_equip_assets,BH$4,FALSE), "")</f>
        <v/>
      </c>
      <c r="M13" s="1246"/>
      <c r="N13" s="1247"/>
      <c r="O13" s="892" t="str">
        <f>IF(H13="","",IF(AND(E13="No",N13=""),TEXT(BH13,0)&amp;" Years?   ",""))</f>
        <v/>
      </c>
      <c r="P13" s="1705"/>
      <c r="Q13" s="1706" t="str">
        <f>IF(AND(E13="No",P13=""),"Enter Manufact. Yr.     ","")</f>
        <v/>
      </c>
      <c r="R13" s="1946" t="str">
        <f ca="1">BI13</f>
        <v/>
      </c>
      <c r="S13" s="1706"/>
      <c r="T13" s="1947" t="str">
        <f ca="1">BJ13</f>
        <v/>
      </c>
      <c r="U13" s="1706"/>
      <c r="V13" s="1675"/>
      <c r="W13" s="892" t="str">
        <f>IF(AND(E13="No",V13=""),"% of Cap. Resp.    ","")</f>
        <v/>
      </c>
      <c r="X13" s="1655"/>
      <c r="Y13" s="892" t="str">
        <f>IF(AND(E13="No",X13=""),"Estimated $?   ","")</f>
        <v/>
      </c>
      <c r="Z13" s="1707"/>
      <c r="AA13" s="892" t="str">
        <f>IF(AND(E13="No",Z13=""),"Yr.$?      ","")</f>
        <v/>
      </c>
      <c r="AB13" s="1026" t="str">
        <f>IF(E13="","",IF(OR($X13="",$Z13=""),"missing info.",$X13*VLOOKUP($Z13,Inflate,$BF13+1,FALSE)))</f>
        <v/>
      </c>
      <c r="AC13" s="1622"/>
      <c r="AD13" s="1026" t="str">
        <f>IF(E13="","",IF(J13="","missing info.",IF(AB13="missing info.","missing info.",AB13/J13)))</f>
        <v/>
      </c>
      <c r="AE13" s="839"/>
      <c r="AF13" s="1708"/>
      <c r="AG13" s="896"/>
      <c r="AH13" s="894"/>
      <c r="AI13" s="894" t="b">
        <f>IF(AND(C15&lt;&gt;"",C13=""),TRUE,FALSE)</f>
        <v>0</v>
      </c>
      <c r="AJ13" s="902" t="b">
        <f>IF(AND(N13="",P13&lt;&gt;""),TRUE,FALSE)</f>
        <v>0</v>
      </c>
      <c r="AK13" s="720" t="str">
        <f>IF(AND(J13="",AF13="",Z13="",X13="",V13="",N13="",H13="",P13="",C13=""),"N/A",IF(AND(C13&lt;&gt;"",J13&lt;&gt;"",N13&lt;&gt;"",H13&lt;&gt;"",P13&lt;&gt;"",V13&lt;&gt;"",X13&lt;&gt;"",Z13&lt;&gt;""),"Yes","No"))</f>
        <v>N/A</v>
      </c>
      <c r="AL13" s="720" t="b">
        <f>IF(AND(C13="",E13="no"),TRUE,FALSE)</f>
        <v>0</v>
      </c>
      <c r="AM13" s="720" t="b">
        <f>IF(AND(E13="no",H13=""),TRUE,FALSE)</f>
        <v>0</v>
      </c>
      <c r="AN13" s="720" t="b">
        <f>IF(AND(E13="no",H13=""),TRUE,FALSE)</f>
        <v>0</v>
      </c>
      <c r="AO13" s="903" t="b">
        <f>IF($J13="",FALSE,IF($J13&lt;$BD13,TRUE,FALSE))</f>
        <v>0</v>
      </c>
      <c r="AP13" s="903" t="b">
        <f>IF($J13="",FALSE,IF($J13&gt;$BE13,TRUE,FALSE))</f>
        <v>0</v>
      </c>
      <c r="AQ13" s="903" t="b">
        <f>IF(AND(E13="no",N13=""),TRUE,FALSE)</f>
        <v>0</v>
      </c>
      <c r="AR13" s="903" t="b">
        <f>IF(AND(E13="no",P13=""),TRUE,FALSE)</f>
        <v>0</v>
      </c>
      <c r="AS13" s="903" t="b">
        <f>IF(P13="",FALSE,IF(P13&lt;BM13,TRUE,FALSE))</f>
        <v>0</v>
      </c>
      <c r="AT13" s="903" t="b">
        <f>IF(P13="",FALSE,IF(P13&gt;BaseYear,TRUE,FALSE))</f>
        <v>0</v>
      </c>
      <c r="AU13" s="903" t="b">
        <f>IF(AND(E13="no",V13=""),TRUE,FALSE)</f>
        <v>0</v>
      </c>
      <c r="AV13" s="903" t="b">
        <f>IF(V13="",FALSE,IF(OR(V13&gt;1,V13&lt;0),TRUE,FALSE))</f>
        <v>0</v>
      </c>
      <c r="AW13" s="903" t="b">
        <f>IF($N13="",FALSE,IF($N13&lt;$BK13,TRUE,FALSE))</f>
        <v>0</v>
      </c>
      <c r="AX13" s="903" t="b">
        <f>IF($N13="",FALSE,IF($N13&gt;$BL13,TRUE,FALSE))</f>
        <v>0</v>
      </c>
      <c r="AY13" s="889" t="b">
        <f>IF(AND(E13="no",X13=""),TRUE,FALSE)</f>
        <v>0</v>
      </c>
      <c r="AZ13" s="889" t="b">
        <f>IF(OR(AD13="missing info.",AD13=""),FALSE,IF(AD13&lt;BN13,TRUE,FALSE))</f>
        <v>0</v>
      </c>
      <c r="BA13" s="890" t="b">
        <f>IF(OR(AD13="missing info.",AD13=""),FALSE,IF(AD13&gt;BO13,TRUE,FALSE))</f>
        <v>0</v>
      </c>
      <c r="BB13" s="890" t="b">
        <f>IF(AND(E13="no",Z13=""),TRUE,FALSE)</f>
        <v>0</v>
      </c>
      <c r="BC13" s="894" t="b">
        <f>IF(Z13="",FALSE,IF(OR(Z13&gt;BaseYear,Z13&lt;BM13),TRUE,FALSE))</f>
        <v>0</v>
      </c>
      <c r="BD13" s="897" t="str">
        <f>IFERROR(VLOOKUP(H13,Valid!$B$94:$N$96,3,FALSE), "")</f>
        <v/>
      </c>
      <c r="BE13" s="898" t="str">
        <f>IFERROR(VLOOKUP(H13,Valid!$B$94:$N$96,4,FALSE), "")</f>
        <v/>
      </c>
      <c r="BF13" s="897" t="str">
        <f t="shared" ref="BF13:BF44" si="0">IFERROR(VLOOKUP($H13,val_equip_assets,BF$4,FALSE), "")</f>
        <v/>
      </c>
      <c r="BG13" s="897" t="str">
        <f t="shared" ref="BG13:BG44" ca="1" si="1">IF(P13="", "", YEAR(TODAY())-P13)</f>
        <v/>
      </c>
      <c r="BH13" s="1860">
        <f>N13</f>
        <v>0</v>
      </c>
      <c r="BI13" s="1547" t="str">
        <f t="shared" ref="BI13:BI44" ca="1" si="2">IF(OR(BG13="", BH13="",BH13=0), "", 1+ (-1*(BG13/BH13)))</f>
        <v/>
      </c>
      <c r="BJ13" s="898" t="str">
        <f ca="1">IF(BI13="", "", IF(1+(BI13*4)&lt;1, 1, 1+(BI13*4)))</f>
        <v/>
      </c>
      <c r="BK13" s="898" t="str">
        <f t="shared" ref="BK13:BM32" si="3">IFERROR(VLOOKUP($H13,val_equip_assets,BK$4,FALSE), "")</f>
        <v/>
      </c>
      <c r="BL13" s="898" t="str">
        <f t="shared" si="3"/>
        <v/>
      </c>
      <c r="BM13" s="1710" t="str">
        <f t="shared" si="3"/>
        <v/>
      </c>
      <c r="BN13" s="1205" t="str">
        <f>IFERROR(VLOOKUP(H13,Valid!$B$94:$N$96,12,FALSE), "")</f>
        <v/>
      </c>
      <c r="BO13" s="1205" t="str">
        <f>IFERROR(VLOOKUP(H13,Valid!$B$94:$N$96,13,FALSE), "")</f>
        <v/>
      </c>
      <c r="BP13" s="894"/>
      <c r="BQ13" s="894"/>
    </row>
    <row r="14" spans="1:69" s="894" customFormat="1" ht="6.75" customHeight="1" thickBot="1" x14ac:dyDescent="0.25">
      <c r="A14" s="1516"/>
      <c r="B14" s="1530">
        <v>1.5</v>
      </c>
      <c r="C14" s="1471"/>
      <c r="D14" s="1541"/>
      <c r="E14" s="1057"/>
      <c r="F14" s="170"/>
      <c r="G14" s="170"/>
      <c r="H14" s="170"/>
      <c r="I14" s="170"/>
      <c r="J14" s="170"/>
      <c r="K14" s="170"/>
      <c r="L14" s="1031"/>
      <c r="M14" s="170"/>
      <c r="N14" s="1031"/>
      <c r="O14" s="892"/>
      <c r="P14" s="836"/>
      <c r="Q14" s="1709"/>
      <c r="R14" s="1806"/>
      <c r="S14" s="1709"/>
      <c r="T14" s="1962"/>
      <c r="U14" s="1709"/>
      <c r="V14" s="1806"/>
      <c r="W14" s="1709"/>
      <c r="X14" s="1027"/>
      <c r="Y14" s="892"/>
      <c r="Z14" s="893"/>
      <c r="AA14" s="892"/>
      <c r="AB14" s="1030"/>
      <c r="AC14" s="1622"/>
      <c r="AD14" s="1030"/>
      <c r="AF14" s="895"/>
      <c r="AG14" s="896"/>
      <c r="AJ14" s="900"/>
      <c r="AK14" s="1624"/>
      <c r="AO14" s="1152"/>
      <c r="AP14" s="1152"/>
      <c r="AQ14" s="1152"/>
      <c r="AR14" s="1152"/>
      <c r="AS14" s="1152"/>
      <c r="AT14" s="1152"/>
      <c r="AU14" s="1152"/>
      <c r="AV14" s="1152"/>
      <c r="AW14" s="1152"/>
      <c r="AX14" s="1152"/>
      <c r="AY14" s="1448"/>
      <c r="AZ14" s="1448"/>
      <c r="BA14" s="846"/>
      <c r="BB14" s="846"/>
      <c r="BD14" s="897" t="str">
        <f>IFERROR(VLOOKUP(H14,Valid!$B$94:$N$96,3,FALSE), "")</f>
        <v/>
      </c>
      <c r="BE14" s="898" t="str">
        <f>IFERROR(VLOOKUP(H14,Valid!$B$94:$N$96,4,FALSE), "")</f>
        <v/>
      </c>
      <c r="BF14" s="897" t="str">
        <f t="shared" si="0"/>
        <v/>
      </c>
      <c r="BG14" s="897" t="str">
        <f t="shared" ca="1" si="1"/>
        <v/>
      </c>
      <c r="BH14" s="1860" t="str">
        <f>IFERROR(VLOOKUP($H14,val_equip_assets,BH$4,FALSE), "")</f>
        <v/>
      </c>
      <c r="BI14" s="1547" t="str">
        <f t="shared" ca="1" si="2"/>
        <v/>
      </c>
      <c r="BJ14" s="898" t="str">
        <f ca="1">IF(BI14="", "", IF(BI14&lt;0.1, 5, IF(BI14&lt;0.25, 4, IF(BI14&lt;0.5, 3, IF(BI14&lt;0.75, 2, 1)))))</f>
        <v/>
      </c>
      <c r="BK14" s="898" t="str">
        <f t="shared" si="3"/>
        <v/>
      </c>
      <c r="BL14" s="898" t="str">
        <f t="shared" si="3"/>
        <v/>
      </c>
      <c r="BM14" s="1710" t="str">
        <f t="shared" si="3"/>
        <v/>
      </c>
      <c r="BN14" s="1205" t="str">
        <f>IFERROR(VLOOKUP(H14,Valid!$B$94:$N$96,12,FALSE), "")</f>
        <v/>
      </c>
      <c r="BO14" s="1205" t="str">
        <f>IFERROR(VLOOKUP(H14,Valid!$B$94:$N$96,13,FALSE), "")</f>
        <v/>
      </c>
    </row>
    <row r="15" spans="1:69" s="901" customFormat="1" x14ac:dyDescent="0.2">
      <c r="A15" s="206">
        <v>2</v>
      </c>
      <c r="B15" s="1530">
        <v>2</v>
      </c>
      <c r="C15" s="1703"/>
      <c r="D15" s="1248" t="str">
        <f>IF(C13="","",IF(C15="","Enter Service Fleet Description then Fill in columns "&amp;TEXT($H$2,0)&amp;" - "&amp;TEXT($Z$2,0)&amp;"      ",""))</f>
        <v/>
      </c>
      <c r="E15" s="1245" t="str">
        <f>IF(AK15="N/A","",AK15)</f>
        <v/>
      </c>
      <c r="F15" s="170"/>
      <c r="G15" s="170"/>
      <c r="H15" s="1704"/>
      <c r="I15" s="1246" t="str">
        <f>IF(AND(E15="No",H15=""),"Select Type of Vehicle                        ","")</f>
        <v/>
      </c>
      <c r="J15" s="1247"/>
      <c r="K15" s="1246" t="str">
        <f>IF(AND(C15="No",H15=""),"Number of Vehicles?  ","")</f>
        <v/>
      </c>
      <c r="L15" s="1782" t="str">
        <f>IFERROR(VLOOKUP($H15,val_equip_assets,BH$4,FALSE), "")</f>
        <v/>
      </c>
      <c r="M15" s="1246"/>
      <c r="N15" s="1247"/>
      <c r="O15" s="892" t="str">
        <f>IF(H15="","",IF(AND(E15="No",N15=""),TEXT(BH15,0)&amp;" Years?   ",""))</f>
        <v/>
      </c>
      <c r="P15" s="1705"/>
      <c r="Q15" s="1706" t="str">
        <f>IF(AND(E15="No",P15=""),"Enter Manufact. Yr.     ","")</f>
        <v/>
      </c>
      <c r="R15" s="1952" t="str">
        <f ca="1">BI15</f>
        <v/>
      </c>
      <c r="S15" s="1706"/>
      <c r="T15" s="1963" t="str">
        <f ca="1">BJ15</f>
        <v/>
      </c>
      <c r="U15" s="1706"/>
      <c r="V15" s="1675"/>
      <c r="W15" s="892" t="str">
        <f>IF(AND(E15="No",V15=""),"% of Cap. Resp.    ","")</f>
        <v/>
      </c>
      <c r="X15" s="1655"/>
      <c r="Y15" s="892" t="str">
        <f>IF(AND(E15="No",X15=""),"Estimated $?   ","")</f>
        <v/>
      </c>
      <c r="Z15" s="1707"/>
      <c r="AA15" s="892" t="str">
        <f>IF(AND(E15="No",Z15=""),"Yr.$?      ","")</f>
        <v/>
      </c>
      <c r="AB15" s="1026" t="str">
        <f>IF(E15="","",IF(OR($X15="",$Z15=""),"missing info.",$X15*VLOOKUP($Z15,Inflate,$BF15+1,FALSE)))</f>
        <v/>
      </c>
      <c r="AC15" s="1622"/>
      <c r="AD15" s="1026" t="str">
        <f>IF(E15="","",IF(J15="","missing info.",IF(AB15="missing info.","missing info.",AB15/J15)))</f>
        <v/>
      </c>
      <c r="AE15" s="839"/>
      <c r="AF15" s="1708"/>
      <c r="AG15" s="896"/>
      <c r="AH15" s="894"/>
      <c r="AI15" s="894" t="b">
        <f>IF(AND(C17&lt;&gt;"",C15=""),TRUE,FALSE)</f>
        <v>0</v>
      </c>
      <c r="AJ15" s="902" t="b">
        <f>IF(AND(N15="",P15&lt;&gt;""),TRUE,FALSE)</f>
        <v>0</v>
      </c>
      <c r="AK15" s="720" t="str">
        <f>IF(AND(J15="",AF15="",Z15="",X15="",V15="",N15="",H15="",P15="",C15=""),"N/A",IF(AND(C15&lt;&gt;"",J15&lt;&gt;"",N15&lt;&gt;"",H15&lt;&gt;"",P15&lt;&gt;"",V15&lt;&gt;"",X15&lt;&gt;"",Z15&lt;&gt;""),"Yes","No"))</f>
        <v>N/A</v>
      </c>
      <c r="AL15" s="720" t="b">
        <f>IF(AND(C15="",E15="no"),TRUE,FALSE)</f>
        <v>0</v>
      </c>
      <c r="AM15" s="720" t="b">
        <f>IF(AND(E15="no",H15=""),TRUE,FALSE)</f>
        <v>0</v>
      </c>
      <c r="AN15" s="720" t="b">
        <f>IF(AND(E15="no",H15=""),TRUE,FALSE)</f>
        <v>0</v>
      </c>
      <c r="AO15" s="903" t="b">
        <f>IF($J15="",FALSE,IF($J15&lt;$BD15,TRUE,FALSE))</f>
        <v>0</v>
      </c>
      <c r="AP15" s="903" t="b">
        <f>IF($J15="",FALSE,IF($J15&gt;$BE15,TRUE,FALSE))</f>
        <v>0</v>
      </c>
      <c r="AQ15" s="903" t="b">
        <f>IF(AND(E15="no",N15=""),TRUE,FALSE)</f>
        <v>0</v>
      </c>
      <c r="AR15" s="903" t="b">
        <f>IF(AND(E15="no",P15=""),TRUE,FALSE)</f>
        <v>0</v>
      </c>
      <c r="AS15" s="903" t="b">
        <f>IF(P15="",FALSE,IF(P15&lt;BM15,TRUE,FALSE))</f>
        <v>0</v>
      </c>
      <c r="AT15" s="903" t="b">
        <f>IF(P15="",FALSE,IF(P15&gt;BaseYear,TRUE,FALSE))</f>
        <v>0</v>
      </c>
      <c r="AU15" s="903" t="b">
        <f>IF(AND(E15="no",V15=""),TRUE,FALSE)</f>
        <v>0</v>
      </c>
      <c r="AV15" s="903" t="b">
        <f>IF(V15="",FALSE,IF(OR(V15&gt;1,V15&lt;0),TRUE,FALSE))</f>
        <v>0</v>
      </c>
      <c r="AW15" s="903" t="b">
        <f>IF($N15="",FALSE,IF($N15&lt;$BK15,TRUE,FALSE))</f>
        <v>0</v>
      </c>
      <c r="AX15" s="903" t="b">
        <f>IF($N15="",FALSE,IF($N15&gt;$BL15,TRUE,FALSE))</f>
        <v>0</v>
      </c>
      <c r="AY15" s="889" t="b">
        <f>IF(AND(E15="no",X15=""),TRUE,FALSE)</f>
        <v>0</v>
      </c>
      <c r="AZ15" s="889" t="b">
        <f>IF(OR(AD15="missing info.",AD15=""),FALSE,IF(AD15&lt;BN15,TRUE,FALSE))</f>
        <v>0</v>
      </c>
      <c r="BA15" s="890" t="b">
        <f>IF(OR(AD15="missing info.",AD15=""),FALSE,IF(AD15&gt;BO15,TRUE,FALSE))</f>
        <v>0</v>
      </c>
      <c r="BB15" s="890" t="b">
        <f>IF(AND(E15="no",Z15=""),TRUE,FALSE)</f>
        <v>0</v>
      </c>
      <c r="BC15" s="894" t="b">
        <f>IF(Z15="",FALSE,IF(OR(Z15&gt;BaseYear,Z15&lt;BM15),TRUE,FALSE))</f>
        <v>0</v>
      </c>
      <c r="BD15" s="897" t="str">
        <f>IFERROR(VLOOKUP(H15,Valid!$B$94:$N$96,3,FALSE), "")</f>
        <v/>
      </c>
      <c r="BE15" s="898" t="str">
        <f>IFERROR(VLOOKUP(H15,Valid!$B$94:$N$96,4,FALSE), "")</f>
        <v/>
      </c>
      <c r="BF15" s="897" t="str">
        <f t="shared" si="0"/>
        <v/>
      </c>
      <c r="BG15" s="897" t="str">
        <f t="shared" ca="1" si="1"/>
        <v/>
      </c>
      <c r="BH15" s="1860">
        <f>N15</f>
        <v>0</v>
      </c>
      <c r="BI15" s="1547" t="str">
        <f t="shared" ca="1" si="2"/>
        <v/>
      </c>
      <c r="BJ15" s="898" t="str">
        <f ca="1">IF(BI15="", "", IF(1+(BI15*4)&lt;1, 1, 1+(BI15*4)))</f>
        <v/>
      </c>
      <c r="BK15" s="898" t="str">
        <f t="shared" si="3"/>
        <v/>
      </c>
      <c r="BL15" s="898" t="str">
        <f t="shared" si="3"/>
        <v/>
      </c>
      <c r="BM15" s="1710" t="str">
        <f t="shared" si="3"/>
        <v/>
      </c>
      <c r="BN15" s="1205" t="str">
        <f>IFERROR(VLOOKUP(H15,Valid!$B$94:$N$96,12,FALSE), "")</f>
        <v/>
      </c>
      <c r="BO15" s="1205" t="str">
        <f>IFERROR(VLOOKUP(H15,Valid!$B$94:$N$96,13,FALSE), "")</f>
        <v/>
      </c>
      <c r="BP15" s="894"/>
      <c r="BQ15" s="894"/>
    </row>
    <row r="16" spans="1:69" s="894" customFormat="1" ht="6.75" customHeight="1" thickBot="1" x14ac:dyDescent="0.25">
      <c r="A16" s="1516"/>
      <c r="B16" s="1530">
        <v>2.5</v>
      </c>
      <c r="C16" s="1471"/>
      <c r="D16" s="1541"/>
      <c r="E16" s="1057"/>
      <c r="F16" s="170"/>
      <c r="G16" s="170"/>
      <c r="H16" s="170"/>
      <c r="I16" s="170"/>
      <c r="J16" s="170"/>
      <c r="K16" s="170"/>
      <c r="L16" s="1031"/>
      <c r="M16" s="170"/>
      <c r="N16" s="1031"/>
      <c r="O16" s="892"/>
      <c r="P16" s="836"/>
      <c r="Q16" s="1709"/>
      <c r="R16" s="1806"/>
      <c r="S16" s="1709"/>
      <c r="T16" s="1962"/>
      <c r="U16" s="1709"/>
      <c r="V16" s="1806"/>
      <c r="W16" s="1709"/>
      <c r="X16" s="1027"/>
      <c r="Y16" s="892"/>
      <c r="Z16" s="893"/>
      <c r="AA16" s="892"/>
      <c r="AB16" s="1030"/>
      <c r="AC16" s="1622"/>
      <c r="AD16" s="1030"/>
      <c r="AF16" s="895"/>
      <c r="AG16" s="896"/>
      <c r="AJ16" s="900"/>
      <c r="AK16" s="1624"/>
      <c r="AO16" s="1152"/>
      <c r="AP16" s="1152"/>
      <c r="AQ16" s="1152"/>
      <c r="AR16" s="1152"/>
      <c r="AS16" s="1152"/>
      <c r="AT16" s="1152"/>
      <c r="AU16" s="1152"/>
      <c r="AV16" s="1152"/>
      <c r="AW16" s="1152"/>
      <c r="AX16" s="1152"/>
      <c r="AY16" s="1448"/>
      <c r="AZ16" s="1448"/>
      <c r="BA16" s="846"/>
      <c r="BB16" s="846"/>
      <c r="BD16" s="897" t="str">
        <f>IFERROR(VLOOKUP(H16,Valid!$B$94:$N$96,3,FALSE), "")</f>
        <v/>
      </c>
      <c r="BE16" s="898" t="str">
        <f>IFERROR(VLOOKUP(H16,Valid!$B$94:$N$96,4,FALSE), "")</f>
        <v/>
      </c>
      <c r="BF16" s="897" t="str">
        <f t="shared" si="0"/>
        <v/>
      </c>
      <c r="BG16" s="897" t="str">
        <f t="shared" ca="1" si="1"/>
        <v/>
      </c>
      <c r="BH16" s="1860" t="str">
        <f>IFERROR(VLOOKUP($H16,val_equip_assets,BH$4,FALSE), "")</f>
        <v/>
      </c>
      <c r="BI16" s="1547" t="str">
        <f t="shared" ca="1" si="2"/>
        <v/>
      </c>
      <c r="BJ16" s="898" t="str">
        <f ca="1">IF(BI16="", "", IF(BI16&lt;0.1, 5, IF(BI16&lt;0.25, 4, IF(BI16&lt;0.5, 3, IF(BI16&lt;0.75, 2, 1)))))</f>
        <v/>
      </c>
      <c r="BK16" s="898" t="str">
        <f t="shared" si="3"/>
        <v/>
      </c>
      <c r="BL16" s="898" t="str">
        <f t="shared" si="3"/>
        <v/>
      </c>
      <c r="BM16" s="1710" t="str">
        <f t="shared" si="3"/>
        <v/>
      </c>
      <c r="BN16" s="1205" t="str">
        <f>IFERROR(VLOOKUP(H16,Valid!$B$94:$N$96,12,FALSE), "")</f>
        <v/>
      </c>
      <c r="BO16" s="1205" t="str">
        <f>IFERROR(VLOOKUP(H16,Valid!$B$94:$N$96,13,FALSE), "")</f>
        <v/>
      </c>
    </row>
    <row r="17" spans="1:69" s="901" customFormat="1" x14ac:dyDescent="0.2">
      <c r="A17" s="206">
        <v>3</v>
      </c>
      <c r="B17" s="1530">
        <v>3</v>
      </c>
      <c r="C17" s="1703"/>
      <c r="D17" s="1248" t="str">
        <f>IF(C15="","",IF(C17="","Enter Service Fleet Description then Fill in columns "&amp;TEXT($H$2,0)&amp;" - "&amp;TEXT($Z$2,0)&amp;"                 ",""))</f>
        <v/>
      </c>
      <c r="E17" s="1245" t="str">
        <f>IF(AK17="N/A","",AK17)</f>
        <v/>
      </c>
      <c r="F17" s="170"/>
      <c r="G17" s="170"/>
      <c r="H17" s="1704"/>
      <c r="I17" s="1246" t="str">
        <f>IF(AND(E17="No",H17=""),"Select Type of Vehicle                        ","")</f>
        <v/>
      </c>
      <c r="J17" s="1247"/>
      <c r="K17" s="1246" t="str">
        <f>IF(AND(C17="No",H17=""),"Number of Vehicles?  ","")</f>
        <v/>
      </c>
      <c r="L17" s="1782" t="str">
        <f>IFERROR(VLOOKUP($H17,val_equip_assets,BH$4,FALSE), "")</f>
        <v/>
      </c>
      <c r="M17" s="1246"/>
      <c r="N17" s="1247"/>
      <c r="O17" s="892" t="str">
        <f>IF(H17="","",IF(AND(E17="No",N17=""),TEXT(BH17,0)&amp;" Years?   ",""))</f>
        <v/>
      </c>
      <c r="P17" s="1705"/>
      <c r="Q17" s="1706" t="str">
        <f>IF(AND(E17="No",P17=""),"Enter Manufact. Yr.     ","")</f>
        <v/>
      </c>
      <c r="R17" s="1952" t="str">
        <f ca="1">BI17</f>
        <v/>
      </c>
      <c r="S17" s="1706"/>
      <c r="T17" s="1963" t="str">
        <f ca="1">BJ17</f>
        <v/>
      </c>
      <c r="U17" s="1706"/>
      <c r="V17" s="1675"/>
      <c r="W17" s="892" t="str">
        <f>IF(AND(E17="No",V17=""),"% of Cap. Resp.    ","")</f>
        <v/>
      </c>
      <c r="X17" s="1655"/>
      <c r="Y17" s="892" t="str">
        <f>IF(AND(E17="No",X17=""),"Estimated $?   ","")</f>
        <v/>
      </c>
      <c r="Z17" s="1707"/>
      <c r="AA17" s="892" t="str">
        <f>IF(AND(E17="No",Z17=""),"Yr.$?      ","")</f>
        <v/>
      </c>
      <c r="AB17" s="1026" t="str">
        <f>IF(E17="","",IF(OR($X17="",$Z17=""),"missing info.",$X17*VLOOKUP($Z17,Inflate,$BF17+1,FALSE)))</f>
        <v/>
      </c>
      <c r="AC17" s="1622"/>
      <c r="AD17" s="1026" t="str">
        <f>IF(E17="","",IF(J17="","missing info.",IF(AB17="missing info.","missing info.",AB17/J17)))</f>
        <v/>
      </c>
      <c r="AE17" s="839"/>
      <c r="AF17" s="1708"/>
      <c r="AG17" s="896"/>
      <c r="AH17" s="894"/>
      <c r="AI17" s="894" t="b">
        <f>IF(AND(C19&lt;&gt;"",C17=""),TRUE,FALSE)</f>
        <v>0</v>
      </c>
      <c r="AJ17" s="902" t="b">
        <f>IF(AND(N17="",P17&lt;&gt;""),TRUE,FALSE)</f>
        <v>0</v>
      </c>
      <c r="AK17" s="720" t="str">
        <f>IF(AND(J17="",AF17="",Z17="",X17="",V17="",N17="",H17="",P17="",C17=""),"N/A",IF(AND(C17&lt;&gt;"",J17&lt;&gt;"",N17&lt;&gt;"",H17&lt;&gt;"",P17&lt;&gt;"",V17&lt;&gt;"",X17&lt;&gt;"",Z17&lt;&gt;""),"Yes","No"))</f>
        <v>N/A</v>
      </c>
      <c r="AL17" s="720" t="b">
        <f>IF(AND(C17="",E17="no"),TRUE,FALSE)</f>
        <v>0</v>
      </c>
      <c r="AM17" s="720" t="b">
        <f>IF(AND(E17="no",H17=""),TRUE,FALSE)</f>
        <v>0</v>
      </c>
      <c r="AN17" s="720" t="b">
        <f>IF(AND(E17="no",H17=""),TRUE,FALSE)</f>
        <v>0</v>
      </c>
      <c r="AO17" s="903" t="b">
        <f>IF($J17="",FALSE,IF($J17&lt;$BD17,TRUE,FALSE))</f>
        <v>0</v>
      </c>
      <c r="AP17" s="903" t="b">
        <f>IF($J17="",FALSE,IF($J17&gt;$BE17,TRUE,FALSE))</f>
        <v>0</v>
      </c>
      <c r="AQ17" s="903" t="b">
        <f>IF(AND(E17="no",N17=""),TRUE,FALSE)</f>
        <v>0</v>
      </c>
      <c r="AR17" s="903" t="b">
        <f>IF(AND(E17="no",P17=""),TRUE,FALSE)</f>
        <v>0</v>
      </c>
      <c r="AS17" s="903" t="b">
        <f>IF(P17="",FALSE,IF(P17&lt;BM17,TRUE,FALSE))</f>
        <v>0</v>
      </c>
      <c r="AT17" s="903" t="b">
        <f>IF(P17="",FALSE,IF(P17&gt;BaseYear,TRUE,FALSE))</f>
        <v>0</v>
      </c>
      <c r="AU17" s="903" t="b">
        <f>IF(AND(E17="no",V17=""),TRUE,FALSE)</f>
        <v>0</v>
      </c>
      <c r="AV17" s="903" t="b">
        <f>IF(V17="",FALSE,IF(OR(V17&gt;1,V17&lt;0),TRUE,FALSE))</f>
        <v>0</v>
      </c>
      <c r="AW17" s="903" t="b">
        <f>IF($N17="",FALSE,IF($N17&lt;$BK17,TRUE,FALSE))</f>
        <v>0</v>
      </c>
      <c r="AX17" s="903" t="b">
        <f>IF($N17="",FALSE,IF($N17&gt;$BL17,TRUE,FALSE))</f>
        <v>0</v>
      </c>
      <c r="AY17" s="889" t="b">
        <f>IF(AND(E17="no",X17=""),TRUE,FALSE)</f>
        <v>0</v>
      </c>
      <c r="AZ17" s="889" t="b">
        <f>IF(OR(AD17="missing info.",AD17=""),FALSE,IF(AD17&lt;BN17,TRUE,FALSE))</f>
        <v>0</v>
      </c>
      <c r="BA17" s="890" t="b">
        <f>IF(OR(AD17="missing info.",AD17=""),FALSE,IF(AD17&gt;BO17,TRUE,FALSE))</f>
        <v>0</v>
      </c>
      <c r="BB17" s="890" t="b">
        <f>IF(AND(E17="no",Z17=""),TRUE,FALSE)</f>
        <v>0</v>
      </c>
      <c r="BC17" s="894" t="b">
        <f>IF(Z17="",FALSE,IF(OR(Z17&gt;BaseYear,Z17&lt;BM17),TRUE,FALSE))</f>
        <v>0</v>
      </c>
      <c r="BD17" s="897" t="str">
        <f>IFERROR(VLOOKUP(H17,Valid!$B$94:$N$96,3,FALSE), "")</f>
        <v/>
      </c>
      <c r="BE17" s="898" t="str">
        <f>IFERROR(VLOOKUP(H17,Valid!$B$94:$N$96,4,FALSE), "")</f>
        <v/>
      </c>
      <c r="BF17" s="897" t="str">
        <f t="shared" si="0"/>
        <v/>
      </c>
      <c r="BG17" s="897" t="str">
        <f t="shared" ca="1" si="1"/>
        <v/>
      </c>
      <c r="BH17" s="1860">
        <f>N17</f>
        <v>0</v>
      </c>
      <c r="BI17" s="1547" t="str">
        <f t="shared" ca="1" si="2"/>
        <v/>
      </c>
      <c r="BJ17" s="898" t="str">
        <f ca="1">IF(BI17="", "", IF(1+(BI17*4)&lt;1, 1, 1+(BI17*4)))</f>
        <v/>
      </c>
      <c r="BK17" s="898" t="str">
        <f t="shared" si="3"/>
        <v/>
      </c>
      <c r="BL17" s="898" t="str">
        <f t="shared" si="3"/>
        <v/>
      </c>
      <c r="BM17" s="1710" t="str">
        <f t="shared" si="3"/>
        <v/>
      </c>
      <c r="BN17" s="1205" t="str">
        <f>IFERROR(VLOOKUP(H17,Valid!$B$94:$N$96,12,FALSE), "")</f>
        <v/>
      </c>
      <c r="BO17" s="1205" t="str">
        <f>IFERROR(VLOOKUP(H17,Valid!$B$94:$N$96,13,FALSE), "")</f>
        <v/>
      </c>
      <c r="BP17" s="894"/>
      <c r="BQ17" s="894"/>
    </row>
    <row r="18" spans="1:69" s="894" customFormat="1" ht="6.75" customHeight="1" thickBot="1" x14ac:dyDescent="0.25">
      <c r="A18" s="1516"/>
      <c r="B18" s="1530">
        <v>3.5</v>
      </c>
      <c r="C18" s="1471"/>
      <c r="D18" s="1541"/>
      <c r="E18" s="1057"/>
      <c r="F18" s="170"/>
      <c r="G18" s="170"/>
      <c r="H18" s="170"/>
      <c r="I18" s="170"/>
      <c r="J18" s="170"/>
      <c r="K18" s="170"/>
      <c r="L18" s="1031"/>
      <c r="M18" s="170"/>
      <c r="N18" s="1031"/>
      <c r="O18" s="892"/>
      <c r="P18" s="836"/>
      <c r="Q18" s="1709"/>
      <c r="R18" s="1806"/>
      <c r="S18" s="1709"/>
      <c r="T18" s="1962"/>
      <c r="U18" s="1709"/>
      <c r="V18" s="1806"/>
      <c r="W18" s="1709"/>
      <c r="X18" s="1027"/>
      <c r="Y18" s="892"/>
      <c r="Z18" s="893"/>
      <c r="AA18" s="892"/>
      <c r="AB18" s="1030"/>
      <c r="AC18" s="1622"/>
      <c r="AD18" s="1030"/>
      <c r="AF18" s="895"/>
      <c r="AG18" s="896"/>
      <c r="AJ18" s="900"/>
      <c r="AK18" s="1624"/>
      <c r="AO18" s="1152"/>
      <c r="AP18" s="1152"/>
      <c r="AQ18" s="1152"/>
      <c r="AR18" s="1152"/>
      <c r="AS18" s="1152"/>
      <c r="AT18" s="1152"/>
      <c r="AU18" s="1152"/>
      <c r="AV18" s="1152"/>
      <c r="AW18" s="1152"/>
      <c r="AX18" s="1152"/>
      <c r="AY18" s="1448"/>
      <c r="AZ18" s="1448"/>
      <c r="BA18" s="846"/>
      <c r="BB18" s="846"/>
      <c r="BD18" s="897" t="str">
        <f>IFERROR(VLOOKUP(H18,Valid!$B$94:$N$96,3,FALSE), "")</f>
        <v/>
      </c>
      <c r="BE18" s="898" t="str">
        <f>IFERROR(VLOOKUP(H18,Valid!$B$94:$N$96,4,FALSE), "")</f>
        <v/>
      </c>
      <c r="BF18" s="897" t="str">
        <f t="shared" si="0"/>
        <v/>
      </c>
      <c r="BG18" s="897" t="str">
        <f t="shared" ca="1" si="1"/>
        <v/>
      </c>
      <c r="BH18" s="1860" t="str">
        <f>IFERROR(VLOOKUP($H18,val_equip_assets,BH$4,FALSE), "")</f>
        <v/>
      </c>
      <c r="BI18" s="1547" t="str">
        <f t="shared" ca="1" si="2"/>
        <v/>
      </c>
      <c r="BJ18" s="898" t="str">
        <f ca="1">IF(BI18="", "", IF(BI18&lt;0.1, 5, IF(BI18&lt;0.25, 4, IF(BI18&lt;0.5, 3, IF(BI18&lt;0.75, 2, 1)))))</f>
        <v/>
      </c>
      <c r="BK18" s="898" t="str">
        <f t="shared" si="3"/>
        <v/>
      </c>
      <c r="BL18" s="898" t="str">
        <f t="shared" si="3"/>
        <v/>
      </c>
      <c r="BM18" s="1710" t="str">
        <f t="shared" si="3"/>
        <v/>
      </c>
      <c r="BN18" s="1205" t="str">
        <f>IFERROR(VLOOKUP(H18,Valid!$B$94:$N$96,12,FALSE), "")</f>
        <v/>
      </c>
      <c r="BO18" s="1205" t="str">
        <f>IFERROR(VLOOKUP(H18,Valid!$B$94:$N$96,13,FALSE), "")</f>
        <v/>
      </c>
    </row>
    <row r="19" spans="1:69" s="901" customFormat="1" x14ac:dyDescent="0.2">
      <c r="A19" s="206">
        <v>4</v>
      </c>
      <c r="B19" s="1530">
        <v>4</v>
      </c>
      <c r="C19" s="1703"/>
      <c r="D19" s="1248" t="str">
        <f>IF(C17="","",IF(C19="","Enter Service Fleet Description then Fill in columns "&amp;TEXT($H$2,0)&amp;" - "&amp;TEXT($Z$2,0)&amp;"                 ",""))</f>
        <v/>
      </c>
      <c r="E19" s="1245" t="str">
        <f>IF(AK19="N/A","",AK19)</f>
        <v/>
      </c>
      <c r="F19" s="170"/>
      <c r="G19" s="170"/>
      <c r="H19" s="1704"/>
      <c r="I19" s="1246" t="str">
        <f>IF(AND(E19="No",H19=""),"Select Type of Vehicle                        ","")</f>
        <v/>
      </c>
      <c r="J19" s="1247"/>
      <c r="K19" s="1246" t="str">
        <f>IF(AND(C19="No",H19=""),"Number of Vehicles?  ","")</f>
        <v/>
      </c>
      <c r="L19" s="1782" t="str">
        <f>IFERROR(VLOOKUP($H19,val_equip_assets,BH$4,FALSE), "")</f>
        <v/>
      </c>
      <c r="M19" s="1246"/>
      <c r="N19" s="1247"/>
      <c r="O19" s="892" t="str">
        <f>IF(H19="","",IF(AND(E19="No",N19=""),TEXT(BH19,0)&amp;" Years?   ",""))</f>
        <v/>
      </c>
      <c r="P19" s="1705"/>
      <c r="Q19" s="1706" t="str">
        <f>IF(AND(E19="No",P19=""),"Enter Manufact. Yr.     ","")</f>
        <v/>
      </c>
      <c r="R19" s="1952" t="str">
        <f ca="1">BI19</f>
        <v/>
      </c>
      <c r="S19" s="1706"/>
      <c r="T19" s="1963" t="str">
        <f ca="1">BJ19</f>
        <v/>
      </c>
      <c r="U19" s="1706"/>
      <c r="V19" s="1675"/>
      <c r="W19" s="892" t="str">
        <f>IF(AND(E19="No",V19=""),"% of Cap. Resp.    ","")</f>
        <v/>
      </c>
      <c r="X19" s="1655"/>
      <c r="Y19" s="892" t="str">
        <f>IF(AND(E19="No",X19=""),"Estimated $?   ","")</f>
        <v/>
      </c>
      <c r="Z19" s="1707"/>
      <c r="AA19" s="892" t="str">
        <f t="shared" ref="AA19:AA50" si="4">IF(AND(E19="No",Z19=""),"Yr.$?      ","")</f>
        <v/>
      </c>
      <c r="AB19" s="1026" t="str">
        <f>IF(E19="","",IF(OR($X19="",$Z19=""),"missing info.",$X19*VLOOKUP($Z19,Inflate,$BF19+1,FALSE)))</f>
        <v/>
      </c>
      <c r="AC19" s="1622"/>
      <c r="AD19" s="1026" t="str">
        <f>IF(E19="","",IF(J19="","missing info.",IF(AB19="missing info.","missing info.",AB19/J19)))</f>
        <v/>
      </c>
      <c r="AE19" s="839"/>
      <c r="AF19" s="1708"/>
      <c r="AG19" s="896"/>
      <c r="AH19" s="894"/>
      <c r="AI19" s="894" t="b">
        <f>IF(AND(C21&lt;&gt;"",C19=""),TRUE,FALSE)</f>
        <v>0</v>
      </c>
      <c r="AJ19" s="902" t="b">
        <f>IF(AND(N19="",P19&lt;&gt;""),TRUE,FALSE)</f>
        <v>0</v>
      </c>
      <c r="AK19" s="720" t="str">
        <f>IF(AND(J19="",AF19="",Z19="",X19="",V19="",N19="",H19="",P19="",C19=""),"N/A",IF(AND(C19&lt;&gt;"",J19&lt;&gt;"",N19&lt;&gt;"",H19&lt;&gt;"",P19&lt;&gt;"",V19&lt;&gt;"",X19&lt;&gt;"",Z19&lt;&gt;""),"Yes","No"))</f>
        <v>N/A</v>
      </c>
      <c r="AL19" s="720" t="b">
        <f>IF(AND(C19="",E19="no"),TRUE,FALSE)</f>
        <v>0</v>
      </c>
      <c r="AM19" s="720" t="b">
        <f>IF(AND(E19="no",H19=""),TRUE,FALSE)</f>
        <v>0</v>
      </c>
      <c r="AN19" s="720" t="b">
        <f>IF(AND(E19="no",H19=""),TRUE,FALSE)</f>
        <v>0</v>
      </c>
      <c r="AO19" s="903" t="b">
        <f>IF($J19="",FALSE,IF($J19&lt;$BD19,TRUE,FALSE))</f>
        <v>0</v>
      </c>
      <c r="AP19" s="903" t="b">
        <f>IF($J19="",FALSE,IF($J19&gt;$BE19,TRUE,FALSE))</f>
        <v>0</v>
      </c>
      <c r="AQ19" s="903" t="b">
        <f>IF(AND(E19="no",N19=""),TRUE,FALSE)</f>
        <v>0</v>
      </c>
      <c r="AR19" s="903" t="b">
        <f>IF(AND(E19="no",P19=""),TRUE,FALSE)</f>
        <v>0</v>
      </c>
      <c r="AS19" s="903" t="b">
        <f>IF(P19="",FALSE,IF(P19&lt;BM19,TRUE,FALSE))</f>
        <v>0</v>
      </c>
      <c r="AT19" s="903" t="b">
        <f>IF(P19="",FALSE,IF(P19&gt;BaseYear,TRUE,FALSE))</f>
        <v>0</v>
      </c>
      <c r="AU19" s="903" t="b">
        <f>IF(AND(E19="no",V19=""),TRUE,FALSE)</f>
        <v>0</v>
      </c>
      <c r="AV19" s="903" t="b">
        <f>IF(V19="",FALSE,IF(OR(V19&gt;1,V19&lt;0),TRUE,FALSE))</f>
        <v>0</v>
      </c>
      <c r="AW19" s="903" t="b">
        <f>IF($N19="",FALSE,IF($N19&lt;$BK19,TRUE,FALSE))</f>
        <v>0</v>
      </c>
      <c r="AX19" s="903" t="b">
        <f>IF($N19="",FALSE,IF($N19&gt;$BL19,TRUE,FALSE))</f>
        <v>0</v>
      </c>
      <c r="AY19" s="889" t="b">
        <f>IF(AND(E19="no",X19=""),TRUE,FALSE)</f>
        <v>0</v>
      </c>
      <c r="AZ19" s="889" t="b">
        <f>IF(OR(AD19="missing info.",AD19=""),FALSE,IF(AD19&lt;BN19,TRUE,FALSE))</f>
        <v>0</v>
      </c>
      <c r="BA19" s="890" t="b">
        <f>IF(OR(AD19="missing info.",AD19=""),FALSE,IF(AD19&gt;BO19,TRUE,FALSE))</f>
        <v>0</v>
      </c>
      <c r="BB19" s="890" t="b">
        <f>IF(AND(E19="no",Z19=""),TRUE,FALSE)</f>
        <v>0</v>
      </c>
      <c r="BC19" s="894" t="b">
        <f>IF(Z19="",FALSE,IF(OR(Z19&gt;BaseYear,Z19&lt;BM19),TRUE,FALSE))</f>
        <v>0</v>
      </c>
      <c r="BD19" s="897" t="str">
        <f>IFERROR(VLOOKUP(H19,Valid!$B$94:$N$96,3,FALSE), "")</f>
        <v/>
      </c>
      <c r="BE19" s="898" t="str">
        <f>IFERROR(VLOOKUP(H19,Valid!$B$94:$N$96,4,FALSE), "")</f>
        <v/>
      </c>
      <c r="BF19" s="897" t="str">
        <f t="shared" si="0"/>
        <v/>
      </c>
      <c r="BG19" s="897" t="str">
        <f t="shared" ca="1" si="1"/>
        <v/>
      </c>
      <c r="BH19" s="1860">
        <f>N19</f>
        <v>0</v>
      </c>
      <c r="BI19" s="1547" t="str">
        <f t="shared" ca="1" si="2"/>
        <v/>
      </c>
      <c r="BJ19" s="898" t="str">
        <f ca="1">IF(BI19="", "", IF(1+(BI19*4)&lt;1, 1, 1+(BI19*4)))</f>
        <v/>
      </c>
      <c r="BK19" s="898" t="str">
        <f t="shared" si="3"/>
        <v/>
      </c>
      <c r="BL19" s="898" t="str">
        <f t="shared" si="3"/>
        <v/>
      </c>
      <c r="BM19" s="1710" t="str">
        <f t="shared" si="3"/>
        <v/>
      </c>
      <c r="BN19" s="1205" t="str">
        <f>IFERROR(VLOOKUP(H19,Valid!$B$94:$N$96,12,FALSE), "")</f>
        <v/>
      </c>
      <c r="BO19" s="1205" t="str">
        <f>IFERROR(VLOOKUP(H19,Valid!$B$94:$N$96,13,FALSE), "")</f>
        <v/>
      </c>
      <c r="BP19" s="894"/>
      <c r="BQ19" s="894"/>
    </row>
    <row r="20" spans="1:69" s="894" customFormat="1" ht="6.75" customHeight="1" thickBot="1" x14ac:dyDescent="0.25">
      <c r="A20" s="1516"/>
      <c r="B20" s="1530">
        <v>4.5</v>
      </c>
      <c r="C20" s="1471"/>
      <c r="D20" s="1541"/>
      <c r="E20" s="1057"/>
      <c r="F20" s="170"/>
      <c r="G20" s="170"/>
      <c r="H20" s="170"/>
      <c r="I20" s="170"/>
      <c r="J20" s="170"/>
      <c r="K20" s="170"/>
      <c r="L20" s="1031"/>
      <c r="M20" s="170"/>
      <c r="N20" s="1031"/>
      <c r="O20" s="892"/>
      <c r="P20" s="836"/>
      <c r="Q20" s="1709"/>
      <c r="R20" s="1806"/>
      <c r="S20" s="1709"/>
      <c r="T20" s="1962"/>
      <c r="U20" s="1709"/>
      <c r="V20" s="1806"/>
      <c r="W20" s="1709"/>
      <c r="X20" s="1027"/>
      <c r="Y20" s="892"/>
      <c r="Z20" s="893"/>
      <c r="AA20" s="892" t="str">
        <f t="shared" si="4"/>
        <v/>
      </c>
      <c r="AB20" s="1030"/>
      <c r="AC20" s="1622"/>
      <c r="AD20" s="1030"/>
      <c r="AF20" s="895"/>
      <c r="AG20" s="896"/>
      <c r="AJ20" s="900"/>
      <c r="AK20" s="1624"/>
      <c r="AO20" s="1152"/>
      <c r="AP20" s="1152"/>
      <c r="AQ20" s="1152"/>
      <c r="AR20" s="1152"/>
      <c r="AS20" s="1152"/>
      <c r="AT20" s="1152"/>
      <c r="AU20" s="1152"/>
      <c r="AV20" s="1152"/>
      <c r="AW20" s="1152"/>
      <c r="AX20" s="1152"/>
      <c r="AY20" s="1448"/>
      <c r="AZ20" s="1448"/>
      <c r="BA20" s="846"/>
      <c r="BB20" s="846"/>
      <c r="BD20" s="897" t="str">
        <f>IFERROR(VLOOKUP(H20,Valid!$B$94:$N$96,3,FALSE), "")</f>
        <v/>
      </c>
      <c r="BE20" s="898" t="str">
        <f>IFERROR(VLOOKUP(H20,Valid!$B$94:$N$96,4,FALSE), "")</f>
        <v/>
      </c>
      <c r="BF20" s="897" t="str">
        <f t="shared" si="0"/>
        <v/>
      </c>
      <c r="BG20" s="897" t="str">
        <f t="shared" ca="1" si="1"/>
        <v/>
      </c>
      <c r="BH20" s="1860" t="str">
        <f>IFERROR(VLOOKUP($H20,val_equip_assets,BH$4,FALSE), "")</f>
        <v/>
      </c>
      <c r="BI20" s="1547" t="str">
        <f t="shared" ca="1" si="2"/>
        <v/>
      </c>
      <c r="BJ20" s="898" t="str">
        <f ca="1">IF(BI20="", "", IF(BI20&lt;0.1, 5, IF(BI20&lt;0.25, 4, IF(BI20&lt;0.5, 3, IF(BI20&lt;0.75, 2, 1)))))</f>
        <v/>
      </c>
      <c r="BK20" s="898" t="str">
        <f t="shared" si="3"/>
        <v/>
      </c>
      <c r="BL20" s="898" t="str">
        <f t="shared" si="3"/>
        <v/>
      </c>
      <c r="BM20" s="1710" t="str">
        <f t="shared" si="3"/>
        <v/>
      </c>
      <c r="BN20" s="1205" t="str">
        <f>IFERROR(VLOOKUP(H20,Valid!$B$94:$N$96,12,FALSE), "")</f>
        <v/>
      </c>
      <c r="BO20" s="1205" t="str">
        <f>IFERROR(VLOOKUP(H20,Valid!$B$94:$N$96,13,FALSE), "")</f>
        <v/>
      </c>
    </row>
    <row r="21" spans="1:69" s="901" customFormat="1" x14ac:dyDescent="0.2">
      <c r="A21" s="206">
        <v>5</v>
      </c>
      <c r="B21" s="1530">
        <v>5</v>
      </c>
      <c r="C21" s="1703"/>
      <c r="D21" s="1248" t="str">
        <f>IF(C19="","",IF(C21="","Enter Service Fleet Description then Fill in columns "&amp;TEXT($H$2,0)&amp;" - "&amp;TEXT($Z$2,0)&amp;"                 ",""))</f>
        <v/>
      </c>
      <c r="E21" s="1245" t="str">
        <f>IF(AK21="N/A","",AK21)</f>
        <v/>
      </c>
      <c r="F21" s="170"/>
      <c r="G21" s="170"/>
      <c r="H21" s="1704"/>
      <c r="I21" s="1246" t="str">
        <f>IF(AND(E21="No",H21=""),"Select Type of Vehicle                        ","")</f>
        <v/>
      </c>
      <c r="J21" s="1247"/>
      <c r="K21" s="1246" t="str">
        <f>IF(AND(C21="No",H21=""),"Number of Vehicles?  ","")</f>
        <v/>
      </c>
      <c r="L21" s="1782" t="str">
        <f>IFERROR(VLOOKUP($H21,val_equip_assets,BH$4,FALSE), "")</f>
        <v/>
      </c>
      <c r="M21" s="1246"/>
      <c r="N21" s="1247"/>
      <c r="O21" s="892" t="str">
        <f>IF(H21="","",IF(AND(E21="No",N21=""),TEXT(BH21,0)&amp;" Years?   ",""))</f>
        <v/>
      </c>
      <c r="P21" s="1705"/>
      <c r="Q21" s="1706" t="str">
        <f>IF(AND(E21="No",P21=""),"Enter Manufact. Yr.     ","")</f>
        <v/>
      </c>
      <c r="R21" s="1952" t="str">
        <f ca="1">BI21</f>
        <v/>
      </c>
      <c r="S21" s="1706"/>
      <c r="T21" s="1963" t="str">
        <f ca="1">BJ21</f>
        <v/>
      </c>
      <c r="U21" s="1706"/>
      <c r="V21" s="1675"/>
      <c r="W21" s="892" t="str">
        <f>IF(AND(E21="No",V21=""),"% of Cap. Resp.    ","")</f>
        <v/>
      </c>
      <c r="X21" s="1655"/>
      <c r="Y21" s="892" t="str">
        <f>IF(AND(E21="No",X21=""),"Estimated $?   ","")</f>
        <v/>
      </c>
      <c r="Z21" s="1707"/>
      <c r="AA21" s="892" t="str">
        <f t="shared" si="4"/>
        <v/>
      </c>
      <c r="AB21" s="1026" t="str">
        <f>IF(E21="","",IF(OR($X21="",$Z21=""),"missing info.",$X21*VLOOKUP($Z21,Inflate,$BF21+1,FALSE)))</f>
        <v/>
      </c>
      <c r="AC21" s="1622"/>
      <c r="AD21" s="1026" t="str">
        <f>IF(E21="","",IF(J21="","missing info.",IF(AB21="missing info.","missing info.",AB21/J21)))</f>
        <v/>
      </c>
      <c r="AE21" s="839"/>
      <c r="AF21" s="1708"/>
      <c r="AG21" s="896"/>
      <c r="AH21" s="894"/>
      <c r="AI21" s="894" t="b">
        <f>IF(AND(C23&lt;&gt;"",C21=""),TRUE,FALSE)</f>
        <v>0</v>
      </c>
      <c r="AJ21" s="902" t="b">
        <f>IF(AND(N21="",P21&lt;&gt;""),TRUE,FALSE)</f>
        <v>0</v>
      </c>
      <c r="AK21" s="720" t="str">
        <f>IF(AND(J21="",AF21="",Z21="",X21="",V21="",N21="",H21="",P21="",C21=""),"N/A",IF(AND(C21&lt;&gt;"",J21&lt;&gt;"",N21&lt;&gt;"",H21&lt;&gt;"",P21&lt;&gt;"",V21&lt;&gt;"",X21&lt;&gt;"",Z21&lt;&gt;""),"Yes","No"))</f>
        <v>N/A</v>
      </c>
      <c r="AL21" s="720" t="b">
        <f>IF(AND(C21="",E21="no"),TRUE,FALSE)</f>
        <v>0</v>
      </c>
      <c r="AM21" s="720" t="b">
        <f>IF(AND(E21="no",H21=""),TRUE,FALSE)</f>
        <v>0</v>
      </c>
      <c r="AN21" s="720" t="b">
        <f>IF(AND(E21="no",H21=""),TRUE,FALSE)</f>
        <v>0</v>
      </c>
      <c r="AO21" s="903" t="b">
        <f>IF($J21="",FALSE,IF($J21&lt;$BD21,TRUE,FALSE))</f>
        <v>0</v>
      </c>
      <c r="AP21" s="903" t="b">
        <f>IF($J21="",FALSE,IF($J21&gt;$BE21,TRUE,FALSE))</f>
        <v>0</v>
      </c>
      <c r="AQ21" s="903" t="b">
        <f>IF(AND(E21="no",N21=""),TRUE,FALSE)</f>
        <v>0</v>
      </c>
      <c r="AR21" s="903" t="b">
        <f>IF(AND(E21="no",P21=""),TRUE,FALSE)</f>
        <v>0</v>
      </c>
      <c r="AS21" s="903" t="b">
        <f>IF(P21="",FALSE,IF(P21&lt;BM21,TRUE,FALSE))</f>
        <v>0</v>
      </c>
      <c r="AT21" s="903" t="b">
        <f>IF(P21="",FALSE,IF(P21&gt;BaseYear,TRUE,FALSE))</f>
        <v>0</v>
      </c>
      <c r="AU21" s="903" t="b">
        <f>IF(AND(E21="no",V21=""),TRUE,FALSE)</f>
        <v>0</v>
      </c>
      <c r="AV21" s="903" t="b">
        <f>IF(V21="",FALSE,IF(OR(V21&gt;1,V21&lt;0),TRUE,FALSE))</f>
        <v>0</v>
      </c>
      <c r="AW21" s="903" t="b">
        <f>IF($N21="",FALSE,IF($N21&lt;$BK21,TRUE,FALSE))</f>
        <v>0</v>
      </c>
      <c r="AX21" s="903" t="b">
        <f>IF($N21="",FALSE,IF($N21&gt;$BL21,TRUE,FALSE))</f>
        <v>0</v>
      </c>
      <c r="AY21" s="889" t="b">
        <f>IF(AND(E21="no",X21=""),TRUE,FALSE)</f>
        <v>0</v>
      </c>
      <c r="AZ21" s="889" t="b">
        <f>IF(OR(AD21="missing info.",AD21=""),FALSE,IF(AD21&lt;BN21,TRUE,FALSE))</f>
        <v>0</v>
      </c>
      <c r="BA21" s="890" t="b">
        <f>IF(OR(AD21="missing info.",AD21=""),FALSE,IF(AD21&gt;BO21,TRUE,FALSE))</f>
        <v>0</v>
      </c>
      <c r="BB21" s="890" t="b">
        <f>IF(AND(E21="no",Z21=""),TRUE,FALSE)</f>
        <v>0</v>
      </c>
      <c r="BC21" s="894" t="b">
        <f>IF(Z21="",FALSE,IF(OR(Z21&gt;BaseYear,Z21&lt;BM21),TRUE,FALSE))</f>
        <v>0</v>
      </c>
      <c r="BD21" s="897" t="str">
        <f>IFERROR(VLOOKUP(H21,Valid!$B$94:$N$96,3,FALSE), "")</f>
        <v/>
      </c>
      <c r="BE21" s="898" t="str">
        <f>IFERROR(VLOOKUP(H21,Valid!$B$94:$N$96,4,FALSE), "")</f>
        <v/>
      </c>
      <c r="BF21" s="897" t="str">
        <f t="shared" si="0"/>
        <v/>
      </c>
      <c r="BG21" s="897" t="str">
        <f t="shared" ca="1" si="1"/>
        <v/>
      </c>
      <c r="BH21" s="1860">
        <f>N21</f>
        <v>0</v>
      </c>
      <c r="BI21" s="1547" t="str">
        <f t="shared" ca="1" si="2"/>
        <v/>
      </c>
      <c r="BJ21" s="898" t="str">
        <f ca="1">IF(BI21="", "", IF(1+(BI21*4)&lt;1, 1, 1+(BI21*4)))</f>
        <v/>
      </c>
      <c r="BK21" s="898" t="str">
        <f t="shared" si="3"/>
        <v/>
      </c>
      <c r="BL21" s="898" t="str">
        <f t="shared" si="3"/>
        <v/>
      </c>
      <c r="BM21" s="1710" t="str">
        <f t="shared" si="3"/>
        <v/>
      </c>
      <c r="BN21" s="1205" t="str">
        <f>IFERROR(VLOOKUP(H21,Valid!$B$94:$N$96,12,FALSE), "")</f>
        <v/>
      </c>
      <c r="BO21" s="1205" t="str">
        <f>IFERROR(VLOOKUP(H21,Valid!$B$94:$N$96,13,FALSE), "")</f>
        <v/>
      </c>
      <c r="BP21" s="894"/>
      <c r="BQ21" s="894"/>
    </row>
    <row r="22" spans="1:69" s="894" customFormat="1" ht="6.75" customHeight="1" thickBot="1" x14ac:dyDescent="0.25">
      <c r="A22" s="1516"/>
      <c r="B22" s="1530">
        <v>5.5</v>
      </c>
      <c r="C22" s="1471"/>
      <c r="D22" s="1541"/>
      <c r="E22" s="1057"/>
      <c r="F22" s="170"/>
      <c r="G22" s="170"/>
      <c r="H22" s="170"/>
      <c r="I22" s="170"/>
      <c r="J22" s="170"/>
      <c r="K22" s="170"/>
      <c r="L22" s="1031"/>
      <c r="M22" s="170"/>
      <c r="N22" s="1031"/>
      <c r="O22" s="892"/>
      <c r="P22" s="836"/>
      <c r="Q22" s="1709"/>
      <c r="R22" s="1806"/>
      <c r="S22" s="1709"/>
      <c r="T22" s="1962"/>
      <c r="U22" s="1709"/>
      <c r="V22" s="1806"/>
      <c r="W22" s="1709"/>
      <c r="X22" s="1027"/>
      <c r="Y22" s="892"/>
      <c r="Z22" s="893"/>
      <c r="AA22" s="892" t="str">
        <f t="shared" si="4"/>
        <v/>
      </c>
      <c r="AB22" s="1030"/>
      <c r="AC22" s="1622"/>
      <c r="AD22" s="1030"/>
      <c r="AF22" s="895"/>
      <c r="AG22" s="896"/>
      <c r="AJ22" s="900"/>
      <c r="AK22" s="1624"/>
      <c r="AO22" s="1152"/>
      <c r="AP22" s="1152"/>
      <c r="AQ22" s="1152"/>
      <c r="AR22" s="1152"/>
      <c r="AS22" s="1152"/>
      <c r="AT22" s="1152"/>
      <c r="AU22" s="1152"/>
      <c r="AV22" s="1152"/>
      <c r="AW22" s="1152"/>
      <c r="AX22" s="1152"/>
      <c r="AY22" s="1448"/>
      <c r="AZ22" s="1448"/>
      <c r="BA22" s="846"/>
      <c r="BB22" s="846"/>
      <c r="BD22" s="897" t="str">
        <f>IFERROR(VLOOKUP(H22,Valid!$B$94:$N$96,3,FALSE), "")</f>
        <v/>
      </c>
      <c r="BE22" s="898" t="str">
        <f>IFERROR(VLOOKUP(H22,Valid!$B$94:$N$96,4,FALSE), "")</f>
        <v/>
      </c>
      <c r="BF22" s="897" t="str">
        <f t="shared" si="0"/>
        <v/>
      </c>
      <c r="BG22" s="897" t="str">
        <f t="shared" ca="1" si="1"/>
        <v/>
      </c>
      <c r="BH22" s="1860" t="str">
        <f>IFERROR(VLOOKUP($H22,val_equip_assets,BH$4,FALSE), "")</f>
        <v/>
      </c>
      <c r="BI22" s="1547" t="str">
        <f t="shared" ca="1" si="2"/>
        <v/>
      </c>
      <c r="BJ22" s="898" t="str">
        <f ca="1">IF(BI22="", "", IF(BI22&lt;0.1, 5, IF(BI22&lt;0.25, 4, IF(BI22&lt;0.5, 3, IF(BI22&lt;0.75, 2, 1)))))</f>
        <v/>
      </c>
      <c r="BK22" s="898" t="str">
        <f t="shared" si="3"/>
        <v/>
      </c>
      <c r="BL22" s="898" t="str">
        <f t="shared" si="3"/>
        <v/>
      </c>
      <c r="BM22" s="1710" t="str">
        <f t="shared" si="3"/>
        <v/>
      </c>
      <c r="BN22" s="1205" t="str">
        <f>IFERROR(VLOOKUP(H22,Valid!$B$94:$N$96,12,FALSE), "")</f>
        <v/>
      </c>
      <c r="BO22" s="1205" t="str">
        <f>IFERROR(VLOOKUP(H22,Valid!$B$94:$N$96,13,FALSE), "")</f>
        <v/>
      </c>
    </row>
    <row r="23" spans="1:69" s="901" customFormat="1" x14ac:dyDescent="0.2">
      <c r="A23" s="206">
        <v>6</v>
      </c>
      <c r="B23" s="1530">
        <v>6</v>
      </c>
      <c r="C23" s="1703"/>
      <c r="D23" s="1248" t="str">
        <f>IF(C21="","",IF(C23="","Enter Service Fleet Description then Fill in columns "&amp;TEXT($H$2,0)&amp;" - "&amp;TEXT($Z$2,0)&amp;"                 ",""))</f>
        <v/>
      </c>
      <c r="E23" s="1245" t="str">
        <f>IF(AK23="N/A","",AK23)</f>
        <v/>
      </c>
      <c r="F23" s="170"/>
      <c r="G23" s="170"/>
      <c r="H23" s="1704"/>
      <c r="I23" s="1246" t="str">
        <f>IF(AND(E23="No",H23=""),"Select Type of Vehicle                        ","")</f>
        <v/>
      </c>
      <c r="J23" s="1247"/>
      <c r="K23" s="1246" t="str">
        <f>IF(AND(C23="No",H23=""),"Number of Vehicles?  ","")</f>
        <v/>
      </c>
      <c r="L23" s="1782" t="str">
        <f>IFERROR(VLOOKUP($H23,val_equip_assets,BH$4,FALSE), "")</f>
        <v/>
      </c>
      <c r="M23" s="1246"/>
      <c r="N23" s="1247"/>
      <c r="O23" s="892" t="str">
        <f>IF(H23="","",IF(AND(E23="No",N23=""),TEXT(BH23,0)&amp;" Years?   ",""))</f>
        <v/>
      </c>
      <c r="P23" s="1705"/>
      <c r="Q23" s="1706" t="str">
        <f>IF(AND(E23="No",P23=""),"Enter Manufact. Yr.     ","")</f>
        <v/>
      </c>
      <c r="R23" s="1952" t="str">
        <f ca="1">BI23</f>
        <v/>
      </c>
      <c r="S23" s="1706"/>
      <c r="T23" s="1963" t="str">
        <f ca="1">BJ23</f>
        <v/>
      </c>
      <c r="U23" s="1706"/>
      <c r="V23" s="1675"/>
      <c r="W23" s="892" t="str">
        <f>IF(AND(E23="No",V23=""),"% of Cap. Resp.    ","")</f>
        <v/>
      </c>
      <c r="X23" s="1655"/>
      <c r="Y23" s="892" t="str">
        <f>IF(AND(E23="No",X23=""),"Estimated $?   ","")</f>
        <v/>
      </c>
      <c r="Z23" s="1707"/>
      <c r="AA23" s="892" t="str">
        <f t="shared" si="4"/>
        <v/>
      </c>
      <c r="AB23" s="1026" t="str">
        <f>IF(E23="","",IF(OR($X23="",$Z23=""),"missing info.",$X23*VLOOKUP($Z23,Inflate,$BF23+1,FALSE)))</f>
        <v/>
      </c>
      <c r="AC23" s="1622"/>
      <c r="AD23" s="1026" t="str">
        <f>IF(E23="","",IF(J23="","missing info.",IF(AB23="missing info.","missing info.",AB23/J23)))</f>
        <v/>
      </c>
      <c r="AE23" s="839"/>
      <c r="AF23" s="1708"/>
      <c r="AG23" s="896"/>
      <c r="AH23" s="894"/>
      <c r="AI23" s="894" t="b">
        <f>IF(AND(C25&lt;&gt;"",C23=""),TRUE,FALSE)</f>
        <v>0</v>
      </c>
      <c r="AJ23" s="902" t="b">
        <f>IF(AND(N23="",P23&lt;&gt;""),TRUE,FALSE)</f>
        <v>0</v>
      </c>
      <c r="AK23" s="720" t="str">
        <f>IF(AND(J23="",AF23="",Z23="",X23="",V23="",N23="",H23="",P23="",C23=""),"N/A",IF(AND(C23&lt;&gt;"",J23&lt;&gt;"",N23&lt;&gt;"",H23&lt;&gt;"",P23&lt;&gt;"",V23&lt;&gt;"",X23&lt;&gt;"",Z23&lt;&gt;""),"Yes","No"))</f>
        <v>N/A</v>
      </c>
      <c r="AL23" s="720" t="b">
        <f>IF(AND(C23="",E23="no"),TRUE,FALSE)</f>
        <v>0</v>
      </c>
      <c r="AM23" s="720" t="b">
        <f>IF(AND(E23="no",H23=""),TRUE,FALSE)</f>
        <v>0</v>
      </c>
      <c r="AN23" s="720" t="b">
        <f>IF(AND(E23="no",H23=""),TRUE,FALSE)</f>
        <v>0</v>
      </c>
      <c r="AO23" s="903" t="b">
        <f>IF($J23="",FALSE,IF($J23&lt;$BD23,TRUE,FALSE))</f>
        <v>0</v>
      </c>
      <c r="AP23" s="903" t="b">
        <f>IF($J23="",FALSE,IF($J23&gt;$BE23,TRUE,FALSE))</f>
        <v>0</v>
      </c>
      <c r="AQ23" s="903" t="b">
        <f>IF(AND(E23="no",N23=""),TRUE,FALSE)</f>
        <v>0</v>
      </c>
      <c r="AR23" s="903" t="b">
        <f>IF(AND(E23="no",P23=""),TRUE,FALSE)</f>
        <v>0</v>
      </c>
      <c r="AS23" s="903" t="b">
        <f>IF(P23="",FALSE,IF(P23&lt;BM23,TRUE,FALSE))</f>
        <v>0</v>
      </c>
      <c r="AT23" s="903" t="b">
        <f>IF(P23="",FALSE,IF(P23&gt;BaseYear,TRUE,FALSE))</f>
        <v>0</v>
      </c>
      <c r="AU23" s="903" t="b">
        <f>IF(AND(E23="no",V23=""),TRUE,FALSE)</f>
        <v>0</v>
      </c>
      <c r="AV23" s="903" t="b">
        <f>IF(V23="",FALSE,IF(OR(V23&gt;1,V23&lt;0),TRUE,FALSE))</f>
        <v>0</v>
      </c>
      <c r="AW23" s="903" t="b">
        <f>IF($N23="",FALSE,IF($N23&lt;$BK23,TRUE,FALSE))</f>
        <v>0</v>
      </c>
      <c r="AX23" s="903" t="b">
        <f>IF($N23="",FALSE,IF($N23&gt;$BL23,TRUE,FALSE))</f>
        <v>0</v>
      </c>
      <c r="AY23" s="889" t="b">
        <f>IF(AND(E23="no",X23=""),TRUE,FALSE)</f>
        <v>0</v>
      </c>
      <c r="AZ23" s="889" t="b">
        <f>IF(OR(AD23="missing info.",AD23=""),FALSE,IF(AD23&lt;BN23,TRUE,FALSE))</f>
        <v>0</v>
      </c>
      <c r="BA23" s="890" t="b">
        <f>IF(OR(AD23="missing info.",AD23=""),FALSE,IF(AD23&gt;BO23,TRUE,FALSE))</f>
        <v>0</v>
      </c>
      <c r="BB23" s="890" t="b">
        <f>IF(AND(E23="no",Z23=""),TRUE,FALSE)</f>
        <v>0</v>
      </c>
      <c r="BC23" s="894" t="b">
        <f>IF(Z23="",FALSE,IF(OR(Z23&gt;BaseYear,Z23&lt;BM23),TRUE,FALSE))</f>
        <v>0</v>
      </c>
      <c r="BD23" s="897" t="str">
        <f>IFERROR(VLOOKUP(H23,Valid!$B$94:$N$96,3,FALSE), "")</f>
        <v/>
      </c>
      <c r="BE23" s="898" t="str">
        <f>IFERROR(VLOOKUP(H23,Valid!$B$94:$N$96,4,FALSE), "")</f>
        <v/>
      </c>
      <c r="BF23" s="897" t="str">
        <f t="shared" si="0"/>
        <v/>
      </c>
      <c r="BG23" s="897" t="str">
        <f t="shared" ca="1" si="1"/>
        <v/>
      </c>
      <c r="BH23" s="1860">
        <f>N23</f>
        <v>0</v>
      </c>
      <c r="BI23" s="1547" t="str">
        <f t="shared" ca="1" si="2"/>
        <v/>
      </c>
      <c r="BJ23" s="898" t="str">
        <f ca="1">IF(BI23="", "", IF(1+(BI23*4)&lt;1, 1, 1+(BI23*4)))</f>
        <v/>
      </c>
      <c r="BK23" s="898" t="str">
        <f t="shared" si="3"/>
        <v/>
      </c>
      <c r="BL23" s="898" t="str">
        <f t="shared" si="3"/>
        <v/>
      </c>
      <c r="BM23" s="1710" t="str">
        <f t="shared" si="3"/>
        <v/>
      </c>
      <c r="BN23" s="1205" t="str">
        <f>IFERROR(VLOOKUP(H23,Valid!$B$94:$N$96,12,FALSE), "")</f>
        <v/>
      </c>
      <c r="BO23" s="1205" t="str">
        <f>IFERROR(VLOOKUP(H23,Valid!$B$94:$N$96,13,FALSE), "")</f>
        <v/>
      </c>
      <c r="BP23" s="894"/>
      <c r="BQ23" s="894"/>
    </row>
    <row r="24" spans="1:69" s="894" customFormat="1" ht="6.75" customHeight="1" thickBot="1" x14ac:dyDescent="0.25">
      <c r="A24" s="1516"/>
      <c r="B24" s="1530">
        <v>6.5</v>
      </c>
      <c r="C24" s="1471"/>
      <c r="D24" s="1541"/>
      <c r="E24" s="1057"/>
      <c r="F24" s="170"/>
      <c r="G24" s="170"/>
      <c r="H24" s="170"/>
      <c r="I24" s="170"/>
      <c r="J24" s="170"/>
      <c r="K24" s="170"/>
      <c r="L24" s="1031"/>
      <c r="M24" s="170"/>
      <c r="N24" s="1031"/>
      <c r="O24" s="892"/>
      <c r="P24" s="836"/>
      <c r="Q24" s="1709"/>
      <c r="R24" s="1806"/>
      <c r="S24" s="1709"/>
      <c r="T24" s="1962"/>
      <c r="U24" s="1709"/>
      <c r="V24" s="1806"/>
      <c r="W24" s="1709"/>
      <c r="X24" s="1027"/>
      <c r="Y24" s="892"/>
      <c r="Z24" s="893"/>
      <c r="AA24" s="892" t="str">
        <f t="shared" si="4"/>
        <v/>
      </c>
      <c r="AB24" s="1030"/>
      <c r="AC24" s="1622"/>
      <c r="AD24" s="1030"/>
      <c r="AF24" s="895"/>
      <c r="AG24" s="896"/>
      <c r="AJ24" s="900"/>
      <c r="AK24" s="1624"/>
      <c r="AO24" s="1152"/>
      <c r="AP24" s="1152"/>
      <c r="AQ24" s="1152"/>
      <c r="AR24" s="1152"/>
      <c r="AS24" s="1152"/>
      <c r="AT24" s="1152"/>
      <c r="AU24" s="1152"/>
      <c r="AV24" s="1152"/>
      <c r="AW24" s="1152"/>
      <c r="AX24" s="1152"/>
      <c r="AY24" s="1448"/>
      <c r="AZ24" s="1448"/>
      <c r="BA24" s="846"/>
      <c r="BB24" s="846"/>
      <c r="BD24" s="897" t="str">
        <f>IFERROR(VLOOKUP(H24,Valid!$B$94:$N$96,3,FALSE), "")</f>
        <v/>
      </c>
      <c r="BE24" s="898" t="str">
        <f>IFERROR(VLOOKUP(H24,Valid!$B$94:$N$96,4,FALSE), "")</f>
        <v/>
      </c>
      <c r="BF24" s="897" t="str">
        <f t="shared" si="0"/>
        <v/>
      </c>
      <c r="BG24" s="897" t="str">
        <f t="shared" ca="1" si="1"/>
        <v/>
      </c>
      <c r="BH24" s="1860" t="str">
        <f>IFERROR(VLOOKUP($H24,val_equip_assets,BH$4,FALSE), "")</f>
        <v/>
      </c>
      <c r="BI24" s="1547" t="str">
        <f t="shared" ca="1" si="2"/>
        <v/>
      </c>
      <c r="BJ24" s="898" t="str">
        <f ca="1">IF(BI24="", "", IF(BI24&lt;0.1, 5, IF(BI24&lt;0.25, 4, IF(BI24&lt;0.5, 3, IF(BI24&lt;0.75, 2, 1)))))</f>
        <v/>
      </c>
      <c r="BK24" s="898" t="str">
        <f t="shared" si="3"/>
        <v/>
      </c>
      <c r="BL24" s="898" t="str">
        <f t="shared" si="3"/>
        <v/>
      </c>
      <c r="BM24" s="1710" t="str">
        <f t="shared" si="3"/>
        <v/>
      </c>
      <c r="BN24" s="1205" t="str">
        <f>IFERROR(VLOOKUP(H24,Valid!$B$94:$N$96,12,FALSE), "")</f>
        <v/>
      </c>
      <c r="BO24" s="1205" t="str">
        <f>IFERROR(VLOOKUP(H24,Valid!$B$94:$N$96,13,FALSE), "")</f>
        <v/>
      </c>
    </row>
    <row r="25" spans="1:69" s="901" customFormat="1" x14ac:dyDescent="0.2">
      <c r="A25" s="206">
        <v>7</v>
      </c>
      <c r="B25" s="1530">
        <v>7</v>
      </c>
      <c r="C25" s="1703"/>
      <c r="D25" s="1248" t="str">
        <f>IF(C23="","",IF(C25="","Enter Service Fleet Description then Fill in columns "&amp;TEXT($H$2,0)&amp;" - "&amp;TEXT($Z$2,0)&amp;"                 ",""))</f>
        <v/>
      </c>
      <c r="E25" s="1245" t="str">
        <f>IF(AK25="N/A","",AK25)</f>
        <v/>
      </c>
      <c r="F25" s="170"/>
      <c r="G25" s="170"/>
      <c r="H25" s="1704"/>
      <c r="I25" s="1246" t="str">
        <f>IF(AND(E25="No",H25=""),"Select Type of Vehicle                        ","")</f>
        <v/>
      </c>
      <c r="J25" s="1247"/>
      <c r="K25" s="1246" t="str">
        <f>IF(AND(C25="No",H25=""),"Number of Vehicles?  ","")</f>
        <v/>
      </c>
      <c r="L25" s="1782" t="str">
        <f>IFERROR(VLOOKUP($H25,val_equip_assets,BH$4,FALSE), "")</f>
        <v/>
      </c>
      <c r="M25" s="1246"/>
      <c r="N25" s="1247"/>
      <c r="O25" s="892" t="str">
        <f>IF(H25="","",IF(AND(E25="No",N25=""),TEXT(BH25,0)&amp;" Years?   ",""))</f>
        <v/>
      </c>
      <c r="P25" s="1705"/>
      <c r="Q25" s="1706" t="str">
        <f>IF(AND(E25="No",P25=""),"Enter Manufact. Yr.     ","")</f>
        <v/>
      </c>
      <c r="R25" s="1952" t="str">
        <f ca="1">BI25</f>
        <v/>
      </c>
      <c r="S25" s="1706"/>
      <c r="T25" s="1963" t="str">
        <f ca="1">BJ25</f>
        <v/>
      </c>
      <c r="U25" s="1706"/>
      <c r="V25" s="1675"/>
      <c r="W25" s="892" t="str">
        <f>IF(AND(E25="No",V25=""),"% of Cap. Resp.    ","")</f>
        <v/>
      </c>
      <c r="X25" s="1655"/>
      <c r="Y25" s="892" t="str">
        <f>IF(AND(E25="No",X25=""),"Estimated $?   ","")</f>
        <v/>
      </c>
      <c r="Z25" s="1707"/>
      <c r="AA25" s="892" t="str">
        <f t="shared" si="4"/>
        <v/>
      </c>
      <c r="AB25" s="1026" t="str">
        <f>IF(E25="","",IF(OR($X25="",$Z25=""),"missing info.",$X25*VLOOKUP($Z25,Inflate,$BF25+1,FALSE)))</f>
        <v/>
      </c>
      <c r="AC25" s="1622"/>
      <c r="AD25" s="1026" t="str">
        <f>IF(E25="","",IF(J25="","missing info.",IF(AB25="missing info.","missing info.",AB25/J25)))</f>
        <v/>
      </c>
      <c r="AE25" s="839"/>
      <c r="AF25" s="1708"/>
      <c r="AG25" s="896"/>
      <c r="AH25" s="894"/>
      <c r="AI25" s="894" t="b">
        <f>IF(AND(C27&lt;&gt;"",C25=""),TRUE,FALSE)</f>
        <v>0</v>
      </c>
      <c r="AJ25" s="902" t="b">
        <f>IF(AND(N25="",P25&lt;&gt;""),TRUE,FALSE)</f>
        <v>0</v>
      </c>
      <c r="AK25" s="720" t="str">
        <f>IF(AND(J25="",AF25="",Z25="",X25="",V25="",N25="",H25="",P25="",C25=""),"N/A",IF(AND(C25&lt;&gt;"",J25&lt;&gt;"",N25&lt;&gt;"",H25&lt;&gt;"",P25&lt;&gt;"",V25&lt;&gt;"",X25&lt;&gt;"",Z25&lt;&gt;""),"Yes","No"))</f>
        <v>N/A</v>
      </c>
      <c r="AL25" s="720" t="b">
        <f>IF(AND(C25="",E25="no"),TRUE,FALSE)</f>
        <v>0</v>
      </c>
      <c r="AM25" s="720" t="b">
        <f>IF(AND(E25="no",H25=""),TRUE,FALSE)</f>
        <v>0</v>
      </c>
      <c r="AN25" s="720" t="b">
        <f>IF(AND(E25="no",H25=""),TRUE,FALSE)</f>
        <v>0</v>
      </c>
      <c r="AO25" s="903" t="b">
        <f>IF($J25="",FALSE,IF($J25&lt;$BD25,TRUE,FALSE))</f>
        <v>0</v>
      </c>
      <c r="AP25" s="903" t="b">
        <f>IF($J25="",FALSE,IF($J25&gt;$BE25,TRUE,FALSE))</f>
        <v>0</v>
      </c>
      <c r="AQ25" s="903" t="b">
        <f>IF(AND(E25="no",N25=""),TRUE,FALSE)</f>
        <v>0</v>
      </c>
      <c r="AR25" s="903" t="b">
        <f>IF(AND(E25="no",P25=""),TRUE,FALSE)</f>
        <v>0</v>
      </c>
      <c r="AS25" s="903" t="b">
        <f>IF(P25="",FALSE,IF(P25&lt;BM25,TRUE,FALSE))</f>
        <v>0</v>
      </c>
      <c r="AT25" s="903" t="b">
        <f>IF(P25="",FALSE,IF(P25&gt;BaseYear,TRUE,FALSE))</f>
        <v>0</v>
      </c>
      <c r="AU25" s="903" t="b">
        <f>IF(AND(E25="no",V25=""),TRUE,FALSE)</f>
        <v>0</v>
      </c>
      <c r="AV25" s="903" t="b">
        <f>IF(V25="",FALSE,IF(OR(V25&gt;1,V25&lt;0),TRUE,FALSE))</f>
        <v>0</v>
      </c>
      <c r="AW25" s="903" t="b">
        <f>IF($N25="",FALSE,IF($N25&lt;$BK25,TRUE,FALSE))</f>
        <v>0</v>
      </c>
      <c r="AX25" s="903" t="b">
        <f>IF($N25="",FALSE,IF($N25&gt;$BL25,TRUE,FALSE))</f>
        <v>0</v>
      </c>
      <c r="AY25" s="889" t="b">
        <f>IF(AND(E25="no",X25=""),TRUE,FALSE)</f>
        <v>0</v>
      </c>
      <c r="AZ25" s="889" t="b">
        <f>IF(OR(AD25="missing info.",AD25=""),FALSE,IF(AD25&lt;BN25,TRUE,FALSE))</f>
        <v>0</v>
      </c>
      <c r="BA25" s="890" t="b">
        <f>IF(OR(AD25="missing info.",AD25=""),FALSE,IF(AD25&gt;BO25,TRUE,FALSE))</f>
        <v>0</v>
      </c>
      <c r="BB25" s="890" t="b">
        <f>IF(AND(E25="no",Z25=""),TRUE,FALSE)</f>
        <v>0</v>
      </c>
      <c r="BC25" s="894" t="b">
        <f>IF(Z25="",FALSE,IF(OR(Z25&gt;BaseYear,Z25&lt;BM25),TRUE,FALSE))</f>
        <v>0</v>
      </c>
      <c r="BD25" s="897" t="str">
        <f>IFERROR(VLOOKUP(H25,Valid!$B$94:$N$96,3,FALSE), "")</f>
        <v/>
      </c>
      <c r="BE25" s="898" t="str">
        <f>IFERROR(VLOOKUP(H25,Valid!$B$94:$N$96,4,FALSE), "")</f>
        <v/>
      </c>
      <c r="BF25" s="897" t="str">
        <f t="shared" si="0"/>
        <v/>
      </c>
      <c r="BG25" s="897" t="str">
        <f t="shared" ca="1" si="1"/>
        <v/>
      </c>
      <c r="BH25" s="1860">
        <f>N25</f>
        <v>0</v>
      </c>
      <c r="BI25" s="1547" t="str">
        <f t="shared" ca="1" si="2"/>
        <v/>
      </c>
      <c r="BJ25" s="898" t="str">
        <f ca="1">IF(BI25="", "", IF(1+(BI25*4)&lt;1, 1, 1+(BI25*4)))</f>
        <v/>
      </c>
      <c r="BK25" s="898" t="str">
        <f t="shared" si="3"/>
        <v/>
      </c>
      <c r="BL25" s="898" t="str">
        <f t="shared" si="3"/>
        <v/>
      </c>
      <c r="BM25" s="1710" t="str">
        <f t="shared" si="3"/>
        <v/>
      </c>
      <c r="BN25" s="1205" t="str">
        <f>IFERROR(VLOOKUP(H25,Valid!$B$94:$N$96,12,FALSE), "")</f>
        <v/>
      </c>
      <c r="BO25" s="1205" t="str">
        <f>IFERROR(VLOOKUP(H25,Valid!$B$94:$N$96,13,FALSE), "")</f>
        <v/>
      </c>
      <c r="BP25" s="894"/>
      <c r="BQ25" s="894"/>
    </row>
    <row r="26" spans="1:69" s="894" customFormat="1" ht="6.75" customHeight="1" thickBot="1" x14ac:dyDescent="0.25">
      <c r="A26" s="1516"/>
      <c r="B26" s="1530">
        <v>7.5</v>
      </c>
      <c r="C26" s="1471"/>
      <c r="D26" s="1541"/>
      <c r="E26" s="1057"/>
      <c r="F26" s="170"/>
      <c r="G26" s="170"/>
      <c r="H26" s="170"/>
      <c r="I26" s="170"/>
      <c r="J26" s="170"/>
      <c r="K26" s="170"/>
      <c r="L26" s="1031"/>
      <c r="M26" s="170"/>
      <c r="N26" s="1031"/>
      <c r="O26" s="892"/>
      <c r="P26" s="836"/>
      <c r="Q26" s="1709"/>
      <c r="R26" s="1806"/>
      <c r="S26" s="1709"/>
      <c r="T26" s="1962"/>
      <c r="U26" s="1709"/>
      <c r="V26" s="1806"/>
      <c r="W26" s="1709"/>
      <c r="X26" s="1027"/>
      <c r="Y26" s="892"/>
      <c r="Z26" s="893"/>
      <c r="AA26" s="892" t="str">
        <f t="shared" si="4"/>
        <v/>
      </c>
      <c r="AB26" s="1030"/>
      <c r="AC26" s="1622"/>
      <c r="AD26" s="1030"/>
      <c r="AF26" s="895"/>
      <c r="AG26" s="896"/>
      <c r="AJ26" s="900"/>
      <c r="AK26" s="1624"/>
      <c r="AO26" s="1152"/>
      <c r="AP26" s="1152"/>
      <c r="AQ26" s="1152"/>
      <c r="AR26" s="1152"/>
      <c r="AS26" s="1152"/>
      <c r="AT26" s="1152"/>
      <c r="AU26" s="1152"/>
      <c r="AV26" s="1152"/>
      <c r="AW26" s="1152"/>
      <c r="AX26" s="1152"/>
      <c r="AY26" s="1448"/>
      <c r="AZ26" s="1448"/>
      <c r="BA26" s="846"/>
      <c r="BB26" s="846"/>
      <c r="BD26" s="897" t="str">
        <f>IFERROR(VLOOKUP(H26,Valid!$B$94:$N$96,3,FALSE), "")</f>
        <v/>
      </c>
      <c r="BE26" s="898" t="str">
        <f>IFERROR(VLOOKUP(H26,Valid!$B$94:$N$96,4,FALSE), "")</f>
        <v/>
      </c>
      <c r="BF26" s="897" t="str">
        <f t="shared" si="0"/>
        <v/>
      </c>
      <c r="BG26" s="897" t="str">
        <f t="shared" ca="1" si="1"/>
        <v/>
      </c>
      <c r="BH26" s="1860" t="str">
        <f>IFERROR(VLOOKUP($H26,val_equip_assets,BH$4,FALSE), "")</f>
        <v/>
      </c>
      <c r="BI26" s="1547" t="str">
        <f t="shared" ca="1" si="2"/>
        <v/>
      </c>
      <c r="BJ26" s="898" t="str">
        <f ca="1">IF(BI26="", "", IF(BI26&lt;0.1, 5, IF(BI26&lt;0.25, 4, IF(BI26&lt;0.5, 3, IF(BI26&lt;0.75, 2, 1)))))</f>
        <v/>
      </c>
      <c r="BK26" s="898" t="str">
        <f t="shared" si="3"/>
        <v/>
      </c>
      <c r="BL26" s="898" t="str">
        <f t="shared" si="3"/>
        <v/>
      </c>
      <c r="BM26" s="1710" t="str">
        <f t="shared" si="3"/>
        <v/>
      </c>
      <c r="BN26" s="1205" t="str">
        <f>IFERROR(VLOOKUP(H26,Valid!$B$94:$N$96,12,FALSE), "")</f>
        <v/>
      </c>
      <c r="BO26" s="1205" t="str">
        <f>IFERROR(VLOOKUP(H26,Valid!$B$94:$N$96,13,FALSE), "")</f>
        <v/>
      </c>
    </row>
    <row r="27" spans="1:69" s="901" customFormat="1" x14ac:dyDescent="0.2">
      <c r="A27" s="206">
        <v>8</v>
      </c>
      <c r="B27" s="1530">
        <v>8</v>
      </c>
      <c r="C27" s="1703"/>
      <c r="D27" s="1248" t="str">
        <f>IF(C25="","",IF(C27="","Enter Service Fleet Description then Fill in columns "&amp;TEXT($H$2,0)&amp;" - "&amp;TEXT($Z$2,0)&amp;"                 ",""))</f>
        <v/>
      </c>
      <c r="E27" s="1245" t="str">
        <f>IF(AK27="N/A","",AK27)</f>
        <v/>
      </c>
      <c r="F27" s="170"/>
      <c r="G27" s="170"/>
      <c r="H27" s="1704"/>
      <c r="I27" s="1246" t="str">
        <f>IF(AND(E27="No",H27=""),"Select Type of Vehicle                        ","")</f>
        <v/>
      </c>
      <c r="J27" s="1247"/>
      <c r="K27" s="1246" t="str">
        <f>IF(AND(C27="No",H27=""),"Number of Vehicles?  ","")</f>
        <v/>
      </c>
      <c r="L27" s="1782" t="str">
        <f>IFERROR(VLOOKUP($H27,val_equip_assets,BH$4,FALSE), "")</f>
        <v/>
      </c>
      <c r="M27" s="1246"/>
      <c r="N27" s="1247"/>
      <c r="O27" s="892" t="str">
        <f>IF(H27="","",IF(AND(E27="No",N27=""),TEXT(BH27,0)&amp;" Years?   ",""))</f>
        <v/>
      </c>
      <c r="P27" s="1705"/>
      <c r="Q27" s="1706" t="str">
        <f>IF(AND(E27="No",P27=""),"Enter Manufact. Yr.     ","")</f>
        <v/>
      </c>
      <c r="R27" s="1952" t="str">
        <f ca="1">BI27</f>
        <v/>
      </c>
      <c r="S27" s="1706"/>
      <c r="T27" s="1963" t="str">
        <f ca="1">BJ27</f>
        <v/>
      </c>
      <c r="U27" s="1706"/>
      <c r="V27" s="1675"/>
      <c r="W27" s="892" t="str">
        <f>IF(AND(E27="No",V27=""),"% of Cap. Resp.    ","")</f>
        <v/>
      </c>
      <c r="X27" s="1655"/>
      <c r="Y27" s="892" t="str">
        <f>IF(AND(E27="No",X27=""),"Estimated $?   ","")</f>
        <v/>
      </c>
      <c r="Z27" s="1707"/>
      <c r="AA27" s="892" t="str">
        <f t="shared" si="4"/>
        <v/>
      </c>
      <c r="AB27" s="1026" t="str">
        <f>IF(E27="","",IF(OR($X27="",$Z27=""),"missing info.",$X27*VLOOKUP($Z27,Inflate,$BF27+1,FALSE)))</f>
        <v/>
      </c>
      <c r="AC27" s="1622"/>
      <c r="AD27" s="1026" t="str">
        <f>IF(E27="","",IF(J27="","missing info.",IF(AB27="missing info.","missing info.",AB27/J27)))</f>
        <v/>
      </c>
      <c r="AE27" s="839"/>
      <c r="AF27" s="1708"/>
      <c r="AG27" s="896"/>
      <c r="AH27" s="894"/>
      <c r="AI27" s="894" t="b">
        <f>IF(AND(C29&lt;&gt;"",C27=""),TRUE,FALSE)</f>
        <v>0</v>
      </c>
      <c r="AJ27" s="902" t="b">
        <f>IF(AND(N27="",P27&lt;&gt;""),TRUE,FALSE)</f>
        <v>0</v>
      </c>
      <c r="AK27" s="720" t="str">
        <f>IF(AND(J27="",AF27="",Z27="",X27="",V27="",N27="",H27="",P27="",C27=""),"N/A",IF(AND(C27&lt;&gt;"",J27&lt;&gt;"",N27&lt;&gt;"",H27&lt;&gt;"",P27&lt;&gt;"",V27&lt;&gt;"",X27&lt;&gt;"",Z27&lt;&gt;""),"Yes","No"))</f>
        <v>N/A</v>
      </c>
      <c r="AL27" s="720" t="b">
        <f>IF(AND(C27="",E27="no"),TRUE,FALSE)</f>
        <v>0</v>
      </c>
      <c r="AM27" s="720" t="b">
        <f>IF(AND(E27="no",H27=""),TRUE,FALSE)</f>
        <v>0</v>
      </c>
      <c r="AN27" s="720" t="b">
        <f>IF(AND(E27="no",H27=""),TRUE,FALSE)</f>
        <v>0</v>
      </c>
      <c r="AO27" s="903" t="b">
        <f>IF($J27="",FALSE,IF($J27&lt;$BD27,TRUE,FALSE))</f>
        <v>0</v>
      </c>
      <c r="AP27" s="903" t="b">
        <f>IF($J27="",FALSE,IF($J27&gt;$BE27,TRUE,FALSE))</f>
        <v>0</v>
      </c>
      <c r="AQ27" s="903" t="b">
        <f>IF(AND(E27="no",N27=""),TRUE,FALSE)</f>
        <v>0</v>
      </c>
      <c r="AR27" s="903" t="b">
        <f>IF(AND(E27="no",P27=""),TRUE,FALSE)</f>
        <v>0</v>
      </c>
      <c r="AS27" s="903" t="b">
        <f>IF(P27="",FALSE,IF(P27&lt;BM27,TRUE,FALSE))</f>
        <v>0</v>
      </c>
      <c r="AT27" s="903" t="b">
        <f>IF(P27="",FALSE,IF(P27&gt;BaseYear,TRUE,FALSE))</f>
        <v>0</v>
      </c>
      <c r="AU27" s="903" t="b">
        <f>IF(AND(E27="no",V27=""),TRUE,FALSE)</f>
        <v>0</v>
      </c>
      <c r="AV27" s="903" t="b">
        <f>IF(V27="",FALSE,IF(OR(V27&gt;1,V27&lt;0),TRUE,FALSE))</f>
        <v>0</v>
      </c>
      <c r="AW27" s="903" t="b">
        <f>IF($N27="",FALSE,IF($N27&lt;$BK27,TRUE,FALSE))</f>
        <v>0</v>
      </c>
      <c r="AX27" s="903" t="b">
        <f>IF($N27="",FALSE,IF($N27&gt;$BL27,TRUE,FALSE))</f>
        <v>0</v>
      </c>
      <c r="AY27" s="889" t="b">
        <f>IF(AND(E27="no",X27=""),TRUE,FALSE)</f>
        <v>0</v>
      </c>
      <c r="AZ27" s="889" t="b">
        <f>IF(OR(AD27="missing info.",AD27=""),FALSE,IF(AD27&lt;BN27,TRUE,FALSE))</f>
        <v>0</v>
      </c>
      <c r="BA27" s="890" t="b">
        <f>IF(OR(AD27="missing info.",AD27=""),FALSE,IF(AD27&gt;BO27,TRUE,FALSE))</f>
        <v>0</v>
      </c>
      <c r="BB27" s="890" t="b">
        <f>IF(AND(E27="no",Z27=""),TRUE,FALSE)</f>
        <v>0</v>
      </c>
      <c r="BC27" s="894" t="b">
        <f>IF(Z27="",FALSE,IF(OR(Z27&gt;BaseYear,Z27&lt;BM27),TRUE,FALSE))</f>
        <v>0</v>
      </c>
      <c r="BD27" s="897" t="str">
        <f>IFERROR(VLOOKUP(H27,Valid!$B$94:$N$96,3,FALSE), "")</f>
        <v/>
      </c>
      <c r="BE27" s="898" t="str">
        <f>IFERROR(VLOOKUP(H27,Valid!$B$94:$N$96,4,FALSE), "")</f>
        <v/>
      </c>
      <c r="BF27" s="897" t="str">
        <f t="shared" si="0"/>
        <v/>
      </c>
      <c r="BG27" s="897" t="str">
        <f t="shared" ca="1" si="1"/>
        <v/>
      </c>
      <c r="BH27" s="1860">
        <f>N27</f>
        <v>0</v>
      </c>
      <c r="BI27" s="1547" t="str">
        <f t="shared" ca="1" si="2"/>
        <v/>
      </c>
      <c r="BJ27" s="898" t="str">
        <f ca="1">IF(BI27="", "", IF(1+(BI27*4)&lt;1, 1, 1+(BI27*4)))</f>
        <v/>
      </c>
      <c r="BK27" s="898" t="str">
        <f t="shared" si="3"/>
        <v/>
      </c>
      <c r="BL27" s="898" t="str">
        <f t="shared" si="3"/>
        <v/>
      </c>
      <c r="BM27" s="1710" t="str">
        <f t="shared" si="3"/>
        <v/>
      </c>
      <c r="BN27" s="1205" t="str">
        <f>IFERROR(VLOOKUP(H27,Valid!$B$94:$N$96,12,FALSE), "")</f>
        <v/>
      </c>
      <c r="BO27" s="1205" t="str">
        <f>IFERROR(VLOOKUP(H27,Valid!$B$94:$N$96,13,FALSE), "")</f>
        <v/>
      </c>
      <c r="BP27" s="894"/>
      <c r="BQ27" s="894"/>
    </row>
    <row r="28" spans="1:69" s="894" customFormat="1" ht="6.75" customHeight="1" thickBot="1" x14ac:dyDescent="0.25">
      <c r="A28" s="1516"/>
      <c r="B28" s="1530">
        <v>8.5</v>
      </c>
      <c r="C28" s="1471"/>
      <c r="D28" s="1541"/>
      <c r="E28" s="1057"/>
      <c r="F28" s="170"/>
      <c r="G28" s="170"/>
      <c r="H28" s="170"/>
      <c r="I28" s="170"/>
      <c r="J28" s="170"/>
      <c r="K28" s="170"/>
      <c r="L28" s="1031"/>
      <c r="M28" s="170"/>
      <c r="N28" s="1031"/>
      <c r="O28" s="892"/>
      <c r="P28" s="836"/>
      <c r="Q28" s="1709"/>
      <c r="R28" s="1806"/>
      <c r="S28" s="1709"/>
      <c r="T28" s="1962"/>
      <c r="U28" s="1709"/>
      <c r="V28" s="1806"/>
      <c r="W28" s="1709"/>
      <c r="X28" s="1027"/>
      <c r="Y28" s="892"/>
      <c r="Z28" s="893"/>
      <c r="AA28" s="892" t="str">
        <f t="shared" si="4"/>
        <v/>
      </c>
      <c r="AB28" s="1030"/>
      <c r="AC28" s="1622"/>
      <c r="AD28" s="1030"/>
      <c r="AF28" s="895"/>
      <c r="AG28" s="896"/>
      <c r="AJ28" s="900"/>
      <c r="AK28" s="1624"/>
      <c r="AO28" s="1152"/>
      <c r="AP28" s="1152"/>
      <c r="AQ28" s="1152"/>
      <c r="AR28" s="1152"/>
      <c r="AS28" s="1152"/>
      <c r="AT28" s="1152"/>
      <c r="AU28" s="1152"/>
      <c r="AV28" s="1152"/>
      <c r="AW28" s="1152"/>
      <c r="AX28" s="1152"/>
      <c r="AY28" s="1448"/>
      <c r="AZ28" s="1448"/>
      <c r="BA28" s="846"/>
      <c r="BB28" s="846"/>
      <c r="BD28" s="897" t="str">
        <f>IFERROR(VLOOKUP(H28,Valid!$B$94:$N$96,3,FALSE), "")</f>
        <v/>
      </c>
      <c r="BE28" s="898" t="str">
        <f>IFERROR(VLOOKUP(H28,Valid!$B$94:$N$96,4,FALSE), "")</f>
        <v/>
      </c>
      <c r="BF28" s="897" t="str">
        <f t="shared" si="0"/>
        <v/>
      </c>
      <c r="BG28" s="897" t="str">
        <f t="shared" ca="1" si="1"/>
        <v/>
      </c>
      <c r="BH28" s="1860" t="str">
        <f>IFERROR(VLOOKUP($H28,val_equip_assets,BH$4,FALSE), "")</f>
        <v/>
      </c>
      <c r="BI28" s="1547" t="str">
        <f t="shared" ca="1" si="2"/>
        <v/>
      </c>
      <c r="BJ28" s="898" t="str">
        <f ca="1">IF(BI28="", "", IF(BI28&lt;0.1, 5, IF(BI28&lt;0.25, 4, IF(BI28&lt;0.5, 3, IF(BI28&lt;0.75, 2, 1)))))</f>
        <v/>
      </c>
      <c r="BK28" s="898" t="str">
        <f t="shared" si="3"/>
        <v/>
      </c>
      <c r="BL28" s="898" t="str">
        <f t="shared" si="3"/>
        <v/>
      </c>
      <c r="BM28" s="1710" t="str">
        <f t="shared" si="3"/>
        <v/>
      </c>
      <c r="BN28" s="1205" t="str">
        <f>IFERROR(VLOOKUP(H28,Valid!$B$94:$N$96,12,FALSE), "")</f>
        <v/>
      </c>
      <c r="BO28" s="1205" t="str">
        <f>IFERROR(VLOOKUP(H28,Valid!$B$94:$N$96,13,FALSE), "")</f>
        <v/>
      </c>
    </row>
    <row r="29" spans="1:69" s="901" customFormat="1" x14ac:dyDescent="0.2">
      <c r="A29" s="206">
        <v>9</v>
      </c>
      <c r="B29" s="1530">
        <v>9</v>
      </c>
      <c r="C29" s="1703"/>
      <c r="D29" s="1248" t="str">
        <f>IF(C27="","",IF(C29="","Enter Service Fleet Description then Fill in columns "&amp;TEXT($H$2,0)&amp;" - "&amp;TEXT($Z$2,0)&amp;"                 ",""))</f>
        <v/>
      </c>
      <c r="E29" s="1245" t="str">
        <f>IF(AK29="N/A","",AK29)</f>
        <v/>
      </c>
      <c r="F29" s="170"/>
      <c r="G29" s="170"/>
      <c r="H29" s="1704"/>
      <c r="I29" s="1246" t="str">
        <f>IF(AND(E29="No",H29=""),"Select Type of Vehicle                        ","")</f>
        <v/>
      </c>
      <c r="J29" s="1247"/>
      <c r="K29" s="1246" t="str">
        <f>IF(AND(C29="No",H29=""),"Number of Vehicles?  ","")</f>
        <v/>
      </c>
      <c r="L29" s="1782" t="str">
        <f>IFERROR(VLOOKUP($H29,val_equip_assets,BH$4,FALSE), "")</f>
        <v/>
      </c>
      <c r="M29" s="1246"/>
      <c r="N29" s="1247"/>
      <c r="O29" s="892" t="str">
        <f>IF(H29="","",IF(AND(E29="No",N29=""),TEXT(BH29,0)&amp;" Years?   ",""))</f>
        <v/>
      </c>
      <c r="P29" s="1705"/>
      <c r="Q29" s="1706" t="str">
        <f>IF(AND(E29="No",P29=""),"Enter Manufact. Yr.     ","")</f>
        <v/>
      </c>
      <c r="R29" s="1952" t="str">
        <f ca="1">BI29</f>
        <v/>
      </c>
      <c r="S29" s="1706"/>
      <c r="T29" s="1963" t="str">
        <f ca="1">BJ29</f>
        <v/>
      </c>
      <c r="U29" s="1706"/>
      <c r="V29" s="1675"/>
      <c r="W29" s="892" t="str">
        <f>IF(AND(E29="No",V29=""),"% of Cap. Resp.    ","")</f>
        <v/>
      </c>
      <c r="X29" s="1655"/>
      <c r="Y29" s="892" t="str">
        <f>IF(AND(E29="No",X29=""),"Estimated $?   ","")</f>
        <v/>
      </c>
      <c r="Z29" s="1707"/>
      <c r="AA29" s="892" t="str">
        <f t="shared" si="4"/>
        <v/>
      </c>
      <c r="AB29" s="1026" t="str">
        <f>IF(E29="","",IF(OR($X29="",$Z29=""),"missing info.",$X29*VLOOKUP($Z29,Inflate,$BF29+1,FALSE)))</f>
        <v/>
      </c>
      <c r="AC29" s="1622"/>
      <c r="AD29" s="1026" t="str">
        <f>IF(E29="","",IF(J29="","missing info.",IF(AB29="missing info.","missing info.",AB29/J29)))</f>
        <v/>
      </c>
      <c r="AE29" s="839"/>
      <c r="AF29" s="1708"/>
      <c r="AG29" s="896"/>
      <c r="AH29" s="894"/>
      <c r="AI29" s="894" t="b">
        <f>IF(AND(C31&lt;&gt;"",C29=""),TRUE,FALSE)</f>
        <v>0</v>
      </c>
      <c r="AJ29" s="902" t="b">
        <f>IF(AND(N29="",P29&lt;&gt;""),TRUE,FALSE)</f>
        <v>0</v>
      </c>
      <c r="AK29" s="720" t="str">
        <f>IF(AND(J29="",AF29="",Z29="",X29="",V29="",N29="",H29="",P29="",C29=""),"N/A",IF(AND(C29&lt;&gt;"",J29&lt;&gt;"",N29&lt;&gt;"",H29&lt;&gt;"",P29&lt;&gt;"",V29&lt;&gt;"",X29&lt;&gt;"",Z29&lt;&gt;""),"Yes","No"))</f>
        <v>N/A</v>
      </c>
      <c r="AL29" s="720" t="b">
        <f>IF(AND(C29="",E29="no"),TRUE,FALSE)</f>
        <v>0</v>
      </c>
      <c r="AM29" s="720" t="b">
        <f>IF(AND(E29="no",H29=""),TRUE,FALSE)</f>
        <v>0</v>
      </c>
      <c r="AN29" s="720" t="b">
        <f>IF(AND(E29="no",H29=""),TRUE,FALSE)</f>
        <v>0</v>
      </c>
      <c r="AO29" s="903" t="b">
        <f>IF($J29="",FALSE,IF($J29&lt;$BD29,TRUE,FALSE))</f>
        <v>0</v>
      </c>
      <c r="AP29" s="903" t="b">
        <f>IF($J29="",FALSE,IF($J29&gt;$BE29,TRUE,FALSE))</f>
        <v>0</v>
      </c>
      <c r="AQ29" s="903" t="b">
        <f>IF(AND(E29="no",N29=""),TRUE,FALSE)</f>
        <v>0</v>
      </c>
      <c r="AR29" s="903" t="b">
        <f>IF(AND(E29="no",P29=""),TRUE,FALSE)</f>
        <v>0</v>
      </c>
      <c r="AS29" s="903" t="b">
        <f>IF(P29="",FALSE,IF(P29&lt;BM29,TRUE,FALSE))</f>
        <v>0</v>
      </c>
      <c r="AT29" s="903" t="b">
        <f>IF(P29="",FALSE,IF(P29&gt;BaseYear,TRUE,FALSE))</f>
        <v>0</v>
      </c>
      <c r="AU29" s="903" t="b">
        <f>IF(AND(E29="no",V29=""),TRUE,FALSE)</f>
        <v>0</v>
      </c>
      <c r="AV29" s="903" t="b">
        <f>IF(V29="",FALSE,IF(OR(V29&gt;1,V29&lt;0),TRUE,FALSE))</f>
        <v>0</v>
      </c>
      <c r="AW29" s="903" t="b">
        <f>IF($N29="",FALSE,IF($N29&lt;$BK29,TRUE,FALSE))</f>
        <v>0</v>
      </c>
      <c r="AX29" s="903" t="b">
        <f>IF($N29="",FALSE,IF($N29&gt;$BL29,TRUE,FALSE))</f>
        <v>0</v>
      </c>
      <c r="AY29" s="889" t="b">
        <f>IF(AND(E29="no",X29=""),TRUE,FALSE)</f>
        <v>0</v>
      </c>
      <c r="AZ29" s="889" t="b">
        <f>IF(OR(AD29="missing info.",AD29=""),FALSE,IF(AD29&lt;BN29,TRUE,FALSE))</f>
        <v>0</v>
      </c>
      <c r="BA29" s="890" t="b">
        <f>IF(OR(AD29="missing info.",AD29=""),FALSE,IF(AD29&gt;BO29,TRUE,FALSE))</f>
        <v>0</v>
      </c>
      <c r="BB29" s="890" t="b">
        <f>IF(AND(E29="no",Z29=""),TRUE,FALSE)</f>
        <v>0</v>
      </c>
      <c r="BC29" s="894" t="b">
        <f>IF(Z29="",FALSE,IF(OR(Z29&gt;BaseYear,Z29&lt;BM29),TRUE,FALSE))</f>
        <v>0</v>
      </c>
      <c r="BD29" s="897" t="str">
        <f>IFERROR(VLOOKUP(H29,Valid!$B$94:$N$96,3,FALSE), "")</f>
        <v/>
      </c>
      <c r="BE29" s="898" t="str">
        <f>IFERROR(VLOOKUP(H29,Valid!$B$94:$N$96,4,FALSE), "")</f>
        <v/>
      </c>
      <c r="BF29" s="897" t="str">
        <f t="shared" si="0"/>
        <v/>
      </c>
      <c r="BG29" s="897" t="str">
        <f t="shared" ca="1" si="1"/>
        <v/>
      </c>
      <c r="BH29" s="1860">
        <f>N29</f>
        <v>0</v>
      </c>
      <c r="BI29" s="1547" t="str">
        <f t="shared" ca="1" si="2"/>
        <v/>
      </c>
      <c r="BJ29" s="898" t="str">
        <f ca="1">IF(BI29="", "", IF(1+(BI29*4)&lt;1, 1, 1+(BI29*4)))</f>
        <v/>
      </c>
      <c r="BK29" s="898" t="str">
        <f t="shared" si="3"/>
        <v/>
      </c>
      <c r="BL29" s="898" t="str">
        <f t="shared" si="3"/>
        <v/>
      </c>
      <c r="BM29" s="1710" t="str">
        <f t="shared" si="3"/>
        <v/>
      </c>
      <c r="BN29" s="1205" t="str">
        <f>IFERROR(VLOOKUP(H29,Valid!$B$94:$N$96,12,FALSE), "")</f>
        <v/>
      </c>
      <c r="BO29" s="1205" t="str">
        <f>IFERROR(VLOOKUP(H29,Valid!$B$94:$N$96,13,FALSE), "")</f>
        <v/>
      </c>
      <c r="BP29" s="894"/>
      <c r="BQ29" s="894"/>
    </row>
    <row r="30" spans="1:69" s="894" customFormat="1" ht="6.75" customHeight="1" thickBot="1" x14ac:dyDescent="0.25">
      <c r="A30" s="1516"/>
      <c r="B30" s="1530">
        <v>9.5</v>
      </c>
      <c r="C30" s="1471"/>
      <c r="D30" s="1541"/>
      <c r="E30" s="1057"/>
      <c r="F30" s="170"/>
      <c r="G30" s="170"/>
      <c r="H30" s="170"/>
      <c r="I30" s="170"/>
      <c r="J30" s="170"/>
      <c r="K30" s="170"/>
      <c r="L30" s="1031"/>
      <c r="M30" s="170"/>
      <c r="N30" s="1031"/>
      <c r="O30" s="892"/>
      <c r="P30" s="836"/>
      <c r="Q30" s="1709"/>
      <c r="R30" s="1806"/>
      <c r="S30" s="1709"/>
      <c r="T30" s="1962"/>
      <c r="U30" s="1709"/>
      <c r="V30" s="1806"/>
      <c r="W30" s="1709"/>
      <c r="X30" s="1027"/>
      <c r="Y30" s="892"/>
      <c r="Z30" s="893"/>
      <c r="AA30" s="892" t="str">
        <f t="shared" si="4"/>
        <v/>
      </c>
      <c r="AB30" s="1030"/>
      <c r="AC30" s="1622"/>
      <c r="AD30" s="1030"/>
      <c r="AF30" s="895"/>
      <c r="AG30" s="896"/>
      <c r="AJ30" s="900"/>
      <c r="AK30" s="1624"/>
      <c r="AO30" s="1152"/>
      <c r="AP30" s="1152"/>
      <c r="AQ30" s="1152"/>
      <c r="AR30" s="1152"/>
      <c r="AS30" s="1152"/>
      <c r="AT30" s="1152"/>
      <c r="AU30" s="1152"/>
      <c r="AV30" s="1152"/>
      <c r="AW30" s="1152"/>
      <c r="AX30" s="1152"/>
      <c r="AY30" s="1448"/>
      <c r="AZ30" s="1448"/>
      <c r="BA30" s="846"/>
      <c r="BB30" s="846"/>
      <c r="BD30" s="897" t="str">
        <f>IFERROR(VLOOKUP(H30,Valid!$B$94:$N$96,3,FALSE), "")</f>
        <v/>
      </c>
      <c r="BE30" s="898" t="str">
        <f>IFERROR(VLOOKUP(H30,Valid!$B$94:$N$96,4,FALSE), "")</f>
        <v/>
      </c>
      <c r="BF30" s="897" t="str">
        <f t="shared" si="0"/>
        <v/>
      </c>
      <c r="BG30" s="897" t="str">
        <f t="shared" ca="1" si="1"/>
        <v/>
      </c>
      <c r="BH30" s="1860" t="str">
        <f>IFERROR(VLOOKUP($H30,val_equip_assets,BH$4,FALSE), "")</f>
        <v/>
      </c>
      <c r="BI30" s="1547" t="str">
        <f t="shared" ca="1" si="2"/>
        <v/>
      </c>
      <c r="BJ30" s="898" t="str">
        <f ca="1">IF(BI30="", "", IF(BI30&lt;0.1, 5, IF(BI30&lt;0.25, 4, IF(BI30&lt;0.5, 3, IF(BI30&lt;0.75, 2, 1)))))</f>
        <v/>
      </c>
      <c r="BK30" s="898" t="str">
        <f t="shared" si="3"/>
        <v/>
      </c>
      <c r="BL30" s="898" t="str">
        <f t="shared" si="3"/>
        <v/>
      </c>
      <c r="BM30" s="1710" t="str">
        <f t="shared" si="3"/>
        <v/>
      </c>
      <c r="BN30" s="1205" t="str">
        <f>IFERROR(VLOOKUP(H30,Valid!$B$94:$N$96,12,FALSE), "")</f>
        <v/>
      </c>
      <c r="BO30" s="1205" t="str">
        <f>IFERROR(VLOOKUP(H30,Valid!$B$94:$N$96,13,FALSE), "")</f>
        <v/>
      </c>
    </row>
    <row r="31" spans="1:69" s="901" customFormat="1" x14ac:dyDescent="0.2">
      <c r="A31" s="206">
        <v>10</v>
      </c>
      <c r="B31" s="1530">
        <v>10</v>
      </c>
      <c r="C31" s="1703"/>
      <c r="D31" s="1248" t="str">
        <f>IF(C29="","",IF(C31="","Enter Service Fleet Description then Fill in columns "&amp;TEXT($H$2,0)&amp;" - "&amp;TEXT($Z$2,0)&amp;"                 ",""))</f>
        <v/>
      </c>
      <c r="E31" s="1245" t="str">
        <f>IF(AK31="N/A","",AK31)</f>
        <v/>
      </c>
      <c r="F31" s="170"/>
      <c r="G31" s="170"/>
      <c r="H31" s="1704"/>
      <c r="I31" s="1246" t="str">
        <f>IF(AND(E31="No",H31=""),"Select Type of Vehicle                        ","")</f>
        <v/>
      </c>
      <c r="J31" s="1247"/>
      <c r="K31" s="1246" t="str">
        <f>IF(AND(C31="No",H31=""),"Number of Vehicles?  ","")</f>
        <v/>
      </c>
      <c r="L31" s="1782" t="str">
        <f>IFERROR(VLOOKUP($H31,val_equip_assets,BH$4,FALSE), "")</f>
        <v/>
      </c>
      <c r="M31" s="1246"/>
      <c r="N31" s="1247"/>
      <c r="O31" s="892" t="str">
        <f>IF(H31="","",IF(AND(E31="No",N31=""),TEXT(BH31,0)&amp;" Years?   ",""))</f>
        <v/>
      </c>
      <c r="P31" s="1705"/>
      <c r="Q31" s="1706" t="str">
        <f>IF(AND(E31="No",P31=""),"Enter Manufact. Yr.     ","")</f>
        <v/>
      </c>
      <c r="R31" s="1952" t="str">
        <f ca="1">BI31</f>
        <v/>
      </c>
      <c r="S31" s="1706"/>
      <c r="T31" s="1963" t="str">
        <f ca="1">BJ31</f>
        <v/>
      </c>
      <c r="U31" s="1706"/>
      <c r="V31" s="1675"/>
      <c r="W31" s="892" t="str">
        <f>IF(AND(E31="No",V31=""),"% of Cap. Resp.    ","")</f>
        <v/>
      </c>
      <c r="X31" s="1655"/>
      <c r="Y31" s="892" t="str">
        <f>IF(AND(E31="No",X31=""),"Estimated $?   ","")</f>
        <v/>
      </c>
      <c r="Z31" s="1707"/>
      <c r="AA31" s="892" t="str">
        <f t="shared" si="4"/>
        <v/>
      </c>
      <c r="AB31" s="1026" t="str">
        <f>IF(E31="","",IF(OR($X31="",$Z31=""),"missing info.",$X31*VLOOKUP($Z31,Inflate,$BF31+1,FALSE)))</f>
        <v/>
      </c>
      <c r="AC31" s="1622"/>
      <c r="AD31" s="1026" t="str">
        <f>IF(E31="","",IF(J31="","missing info.",IF(AB31="missing info.","missing info.",AB31/J31)))</f>
        <v/>
      </c>
      <c r="AE31" s="839"/>
      <c r="AF31" s="1708"/>
      <c r="AG31" s="896"/>
      <c r="AH31" s="894"/>
      <c r="AI31" s="894" t="b">
        <f>IF(AND(C33&lt;&gt;"",C31=""),TRUE,FALSE)</f>
        <v>0</v>
      </c>
      <c r="AJ31" s="902" t="b">
        <f>IF(AND(N31="",P31&lt;&gt;""),TRUE,FALSE)</f>
        <v>0</v>
      </c>
      <c r="AK31" s="720" t="str">
        <f>IF(AND(J31="",AF31="",Z31="",X31="",V31="",N31="",H31="",P31="",C31=""),"N/A",IF(AND(C31&lt;&gt;"",J31&lt;&gt;"",N31&lt;&gt;"",H31&lt;&gt;"",P31&lt;&gt;"",V31&lt;&gt;"",X31&lt;&gt;"",Z31&lt;&gt;""),"Yes","No"))</f>
        <v>N/A</v>
      </c>
      <c r="AL31" s="720" t="b">
        <f>IF(AND(C31="",E31="no"),TRUE,FALSE)</f>
        <v>0</v>
      </c>
      <c r="AM31" s="720" t="b">
        <f>IF(AND(E31="no",H31=""),TRUE,FALSE)</f>
        <v>0</v>
      </c>
      <c r="AN31" s="720" t="b">
        <f>IF(AND(E31="no",H31=""),TRUE,FALSE)</f>
        <v>0</v>
      </c>
      <c r="AO31" s="903" t="b">
        <f>IF($J31="",FALSE,IF($J31&lt;$BD31,TRUE,FALSE))</f>
        <v>0</v>
      </c>
      <c r="AP31" s="903" t="b">
        <f>IF($J31="",FALSE,IF($J31&gt;$BE31,TRUE,FALSE))</f>
        <v>0</v>
      </c>
      <c r="AQ31" s="903" t="b">
        <f>IF(AND(E31="no",N31=""),TRUE,FALSE)</f>
        <v>0</v>
      </c>
      <c r="AR31" s="903" t="b">
        <f>IF(AND(E31="no",P31=""),TRUE,FALSE)</f>
        <v>0</v>
      </c>
      <c r="AS31" s="903" t="b">
        <f>IF(P31="",FALSE,IF(P31&lt;BM31,TRUE,FALSE))</f>
        <v>0</v>
      </c>
      <c r="AT31" s="903" t="b">
        <f>IF(P31="",FALSE,IF(P31&gt;BaseYear,TRUE,FALSE))</f>
        <v>0</v>
      </c>
      <c r="AU31" s="903" t="b">
        <f>IF(AND(E31="no",V31=""),TRUE,FALSE)</f>
        <v>0</v>
      </c>
      <c r="AV31" s="903" t="b">
        <f>IF(V31="",FALSE,IF(OR(V31&gt;1,V31&lt;0),TRUE,FALSE))</f>
        <v>0</v>
      </c>
      <c r="AW31" s="903" t="b">
        <f>IF($N31="",FALSE,IF($N31&lt;$BK31,TRUE,FALSE))</f>
        <v>0</v>
      </c>
      <c r="AX31" s="903" t="b">
        <f>IF($N31="",FALSE,IF($N31&gt;$BL31,TRUE,FALSE))</f>
        <v>0</v>
      </c>
      <c r="AY31" s="889" t="b">
        <f>IF(AND(E31="no",X31=""),TRUE,FALSE)</f>
        <v>0</v>
      </c>
      <c r="AZ31" s="889" t="b">
        <f>IF(OR(AD31="missing info.",AD31=""),FALSE,IF(AD31&lt;BN31,TRUE,FALSE))</f>
        <v>0</v>
      </c>
      <c r="BA31" s="890" t="b">
        <f>IF(OR(AD31="missing info.",AD31=""),FALSE,IF(AD31&gt;BO31,TRUE,FALSE))</f>
        <v>0</v>
      </c>
      <c r="BB31" s="890" t="b">
        <f>IF(AND(E31="no",Z31=""),TRUE,FALSE)</f>
        <v>0</v>
      </c>
      <c r="BC31" s="894" t="b">
        <f>IF(Z31="",FALSE,IF(OR(Z31&gt;BaseYear,Z31&lt;BM31),TRUE,FALSE))</f>
        <v>0</v>
      </c>
      <c r="BD31" s="897" t="str">
        <f>IFERROR(VLOOKUP(H31,Valid!$B$94:$N$96,3,FALSE), "")</f>
        <v/>
      </c>
      <c r="BE31" s="898" t="str">
        <f>IFERROR(VLOOKUP(H31,Valid!$B$94:$N$96,4,FALSE), "")</f>
        <v/>
      </c>
      <c r="BF31" s="897" t="str">
        <f t="shared" si="0"/>
        <v/>
      </c>
      <c r="BG31" s="897" t="str">
        <f t="shared" ca="1" si="1"/>
        <v/>
      </c>
      <c r="BH31" s="1860">
        <f>N31</f>
        <v>0</v>
      </c>
      <c r="BI31" s="1547" t="str">
        <f t="shared" ca="1" si="2"/>
        <v/>
      </c>
      <c r="BJ31" s="898" t="str">
        <f ca="1">IF(BI31="", "", IF(1+(BI31*4)&lt;1, 1, 1+(BI31*4)))</f>
        <v/>
      </c>
      <c r="BK31" s="898" t="str">
        <f t="shared" si="3"/>
        <v/>
      </c>
      <c r="BL31" s="898" t="str">
        <f t="shared" si="3"/>
        <v/>
      </c>
      <c r="BM31" s="1710" t="str">
        <f t="shared" si="3"/>
        <v/>
      </c>
      <c r="BN31" s="1205" t="str">
        <f>IFERROR(VLOOKUP(H31,Valid!$B$94:$N$96,12,FALSE), "")</f>
        <v/>
      </c>
      <c r="BO31" s="1205" t="str">
        <f>IFERROR(VLOOKUP(H31,Valid!$B$94:$N$96,13,FALSE), "")</f>
        <v/>
      </c>
      <c r="BP31" s="894"/>
      <c r="BQ31" s="894"/>
    </row>
    <row r="32" spans="1:69" s="894" customFormat="1" ht="6.75" customHeight="1" thickBot="1" x14ac:dyDescent="0.25">
      <c r="A32" s="1516"/>
      <c r="B32" s="1530">
        <v>10.5</v>
      </c>
      <c r="C32" s="1471"/>
      <c r="D32" s="1541"/>
      <c r="E32" s="1057"/>
      <c r="F32" s="170"/>
      <c r="G32" s="170"/>
      <c r="H32" s="170"/>
      <c r="I32" s="170"/>
      <c r="J32" s="170"/>
      <c r="K32" s="170"/>
      <c r="L32" s="1031"/>
      <c r="M32" s="170"/>
      <c r="N32" s="1031"/>
      <c r="O32" s="892"/>
      <c r="P32" s="836"/>
      <c r="Q32" s="1709"/>
      <c r="R32" s="1806"/>
      <c r="S32" s="1709"/>
      <c r="T32" s="1962"/>
      <c r="U32" s="1709"/>
      <c r="V32" s="1806"/>
      <c r="W32" s="1709"/>
      <c r="X32" s="1027"/>
      <c r="Y32" s="892"/>
      <c r="Z32" s="893"/>
      <c r="AA32" s="892" t="str">
        <f t="shared" si="4"/>
        <v/>
      </c>
      <c r="AB32" s="1030"/>
      <c r="AC32" s="1622"/>
      <c r="AD32" s="1030"/>
      <c r="AF32" s="895"/>
      <c r="AG32" s="896"/>
      <c r="AJ32" s="900"/>
      <c r="AK32" s="1624"/>
      <c r="AO32" s="1152"/>
      <c r="AP32" s="1152"/>
      <c r="AQ32" s="1152"/>
      <c r="AR32" s="1152"/>
      <c r="AS32" s="1152"/>
      <c r="AT32" s="1152"/>
      <c r="AU32" s="1152"/>
      <c r="AV32" s="1152"/>
      <c r="AW32" s="1152"/>
      <c r="AX32" s="1152"/>
      <c r="AY32" s="1448"/>
      <c r="AZ32" s="1448"/>
      <c r="BA32" s="846"/>
      <c r="BB32" s="846"/>
      <c r="BD32" s="897" t="str">
        <f>IFERROR(VLOOKUP(H32,Valid!$B$94:$N$96,3,FALSE), "")</f>
        <v/>
      </c>
      <c r="BE32" s="898" t="str">
        <f>IFERROR(VLOOKUP(H32,Valid!$B$94:$N$96,4,FALSE), "")</f>
        <v/>
      </c>
      <c r="BF32" s="897" t="str">
        <f t="shared" si="0"/>
        <v/>
      </c>
      <c r="BG32" s="897" t="str">
        <f t="shared" ca="1" si="1"/>
        <v/>
      </c>
      <c r="BH32" s="1860" t="str">
        <f>IFERROR(VLOOKUP($H32,val_equip_assets,BH$4,FALSE), "")</f>
        <v/>
      </c>
      <c r="BI32" s="1547" t="str">
        <f t="shared" ca="1" si="2"/>
        <v/>
      </c>
      <c r="BJ32" s="898" t="str">
        <f ca="1">IF(BI32="", "", IF(BI32&lt;0.1, 5, IF(BI32&lt;0.25, 4, IF(BI32&lt;0.5, 3, IF(BI32&lt;0.75, 2, 1)))))</f>
        <v/>
      </c>
      <c r="BK32" s="898" t="str">
        <f t="shared" si="3"/>
        <v/>
      </c>
      <c r="BL32" s="898" t="str">
        <f t="shared" si="3"/>
        <v/>
      </c>
      <c r="BM32" s="1710" t="str">
        <f t="shared" si="3"/>
        <v/>
      </c>
      <c r="BN32" s="1205" t="str">
        <f>IFERROR(VLOOKUP(H32,Valid!$B$94:$N$96,12,FALSE), "")</f>
        <v/>
      </c>
      <c r="BO32" s="1205" t="str">
        <f>IFERROR(VLOOKUP(H32,Valid!$B$94:$N$96,13,FALSE), "")</f>
        <v/>
      </c>
    </row>
    <row r="33" spans="1:69" s="901" customFormat="1" x14ac:dyDescent="0.2">
      <c r="A33" s="206">
        <v>11</v>
      </c>
      <c r="B33" s="1530">
        <v>11</v>
      </c>
      <c r="C33" s="1703"/>
      <c r="D33" s="1248" t="str">
        <f>IF(C31="","",IF(C33="","Enter Service Fleet Description then Fill in columns "&amp;TEXT($H$2,0)&amp;" - "&amp;TEXT($Z$2,0)&amp;"                 ",""))</f>
        <v/>
      </c>
      <c r="E33" s="1245" t="str">
        <f>IF(AK33="N/A","",AK33)</f>
        <v/>
      </c>
      <c r="F33" s="170"/>
      <c r="G33" s="170"/>
      <c r="H33" s="1704"/>
      <c r="I33" s="1246" t="str">
        <f>IF(AND(E33="No",H33=""),"Select Type of Vehicle                        ","")</f>
        <v/>
      </c>
      <c r="J33" s="1247"/>
      <c r="K33" s="1246" t="str">
        <f>IF(AND(C33="No",H33=""),"Number of Vehicles?  ","")</f>
        <v/>
      </c>
      <c r="L33" s="1782" t="str">
        <f>IFERROR(VLOOKUP($H33,val_equip_assets,BH$4,FALSE), "")</f>
        <v/>
      </c>
      <c r="M33" s="1246"/>
      <c r="N33" s="1247"/>
      <c r="O33" s="892" t="str">
        <f>IF(H33="","",IF(AND(E33="No",N33=""),TEXT(BH33,0)&amp;" Years?   ",""))</f>
        <v/>
      </c>
      <c r="P33" s="1705"/>
      <c r="Q33" s="1706" t="str">
        <f>IF(AND(E33="No",P33=""),"Enter Manufact. Yr.     ","")</f>
        <v/>
      </c>
      <c r="R33" s="1952" t="str">
        <f ca="1">BI33</f>
        <v/>
      </c>
      <c r="S33" s="1706"/>
      <c r="T33" s="1963" t="str">
        <f ca="1">BJ33</f>
        <v/>
      </c>
      <c r="U33" s="1706"/>
      <c r="V33" s="1675"/>
      <c r="W33" s="892" t="str">
        <f>IF(AND(E33="No",V33=""),"% of Cap. Resp.    ","")</f>
        <v/>
      </c>
      <c r="X33" s="1655"/>
      <c r="Y33" s="892" t="str">
        <f>IF(AND(E33="No",X33=""),"Estimated $?   ","")</f>
        <v/>
      </c>
      <c r="Z33" s="1707"/>
      <c r="AA33" s="892" t="str">
        <f t="shared" si="4"/>
        <v/>
      </c>
      <c r="AB33" s="1026" t="str">
        <f>IF(E33="","",IF(OR($X33="",$Z33=""),"missing info.",$X33*VLOOKUP($Z33,Inflate,$BF33+1,FALSE)))</f>
        <v/>
      </c>
      <c r="AC33" s="1622"/>
      <c r="AD33" s="1026" t="str">
        <f>IF(E33="","",IF(J33="","missing info.",IF(AB33="missing info.","missing info.",AB33/J33)))</f>
        <v/>
      </c>
      <c r="AE33" s="839"/>
      <c r="AF33" s="1708"/>
      <c r="AG33" s="896"/>
      <c r="AH33" s="894"/>
      <c r="AI33" s="894" t="b">
        <f>IF(AND(C35&lt;&gt;"",C33=""),TRUE,FALSE)</f>
        <v>0</v>
      </c>
      <c r="AJ33" s="902" t="b">
        <f>IF(AND(N33="",P33&lt;&gt;""),TRUE,FALSE)</f>
        <v>0</v>
      </c>
      <c r="AK33" s="720" t="str">
        <f>IF(AND(J33="",AF33="",Z33="",X33="",V33="",N33="",H33="",P33="",C33=""),"N/A",IF(AND(C33&lt;&gt;"",J33&lt;&gt;"",N33&lt;&gt;"",H33&lt;&gt;"",P33&lt;&gt;"",V33&lt;&gt;"",X33&lt;&gt;"",Z33&lt;&gt;""),"Yes","No"))</f>
        <v>N/A</v>
      </c>
      <c r="AL33" s="720" t="b">
        <f>IF(AND(C33="",E33="no"),TRUE,FALSE)</f>
        <v>0</v>
      </c>
      <c r="AM33" s="720" t="b">
        <f>IF(AND(E33="no",H33=""),TRUE,FALSE)</f>
        <v>0</v>
      </c>
      <c r="AN33" s="720" t="b">
        <f>IF(AND(E33="no",H33=""),TRUE,FALSE)</f>
        <v>0</v>
      </c>
      <c r="AO33" s="903" t="b">
        <f>IF($J33="",FALSE,IF($J33&lt;$BD33,TRUE,FALSE))</f>
        <v>0</v>
      </c>
      <c r="AP33" s="903" t="b">
        <f>IF($J33="",FALSE,IF($J33&gt;$BE33,TRUE,FALSE))</f>
        <v>0</v>
      </c>
      <c r="AQ33" s="903" t="b">
        <f>IF(AND(E33="no",N33=""),TRUE,FALSE)</f>
        <v>0</v>
      </c>
      <c r="AR33" s="903" t="b">
        <f>IF(AND(E33="no",P33=""),TRUE,FALSE)</f>
        <v>0</v>
      </c>
      <c r="AS33" s="903" t="b">
        <f>IF(P33="",FALSE,IF(P33&lt;BM33,TRUE,FALSE))</f>
        <v>0</v>
      </c>
      <c r="AT33" s="903" t="b">
        <f>IF(P33="",FALSE,IF(P33&gt;BaseYear,TRUE,FALSE))</f>
        <v>0</v>
      </c>
      <c r="AU33" s="903" t="b">
        <f>IF(AND(E33="no",V33=""),TRUE,FALSE)</f>
        <v>0</v>
      </c>
      <c r="AV33" s="903" t="b">
        <f>IF(V33="",FALSE,IF(OR(V33&gt;1,V33&lt;0),TRUE,FALSE))</f>
        <v>0</v>
      </c>
      <c r="AW33" s="903" t="b">
        <f>IF($N33="",FALSE,IF($N33&lt;$BK33,TRUE,FALSE))</f>
        <v>0</v>
      </c>
      <c r="AX33" s="903" t="b">
        <f>IF($N33="",FALSE,IF($N33&gt;$BL33,TRUE,FALSE))</f>
        <v>0</v>
      </c>
      <c r="AY33" s="889" t="b">
        <f>IF(AND(E33="no",X33=""),TRUE,FALSE)</f>
        <v>0</v>
      </c>
      <c r="AZ33" s="889" t="b">
        <f>IF(OR(AD33="missing info.",AD33=""),FALSE,IF(AD33&lt;BN33,TRUE,FALSE))</f>
        <v>0</v>
      </c>
      <c r="BA33" s="890" t="b">
        <f>IF(OR(AD33="missing info.",AD33=""),FALSE,IF(AD33&gt;BO33,TRUE,FALSE))</f>
        <v>0</v>
      </c>
      <c r="BB33" s="890" t="b">
        <f>IF(AND(E33="no",Z33=""),TRUE,FALSE)</f>
        <v>0</v>
      </c>
      <c r="BC33" s="894" t="b">
        <f>IF(Z33="",FALSE,IF(OR(Z33&gt;BaseYear,Z33&lt;BM33),TRUE,FALSE))</f>
        <v>0</v>
      </c>
      <c r="BD33" s="897" t="str">
        <f>IFERROR(VLOOKUP(H33,Valid!$B$94:$N$96,3,FALSE), "")</f>
        <v/>
      </c>
      <c r="BE33" s="898" t="str">
        <f>IFERROR(VLOOKUP(H33,Valid!$B$94:$N$96,4,FALSE), "")</f>
        <v/>
      </c>
      <c r="BF33" s="897" t="str">
        <f t="shared" si="0"/>
        <v/>
      </c>
      <c r="BG33" s="897" t="str">
        <f t="shared" ca="1" si="1"/>
        <v/>
      </c>
      <c r="BH33" s="1860">
        <f>N33</f>
        <v>0</v>
      </c>
      <c r="BI33" s="1547" t="str">
        <f t="shared" ca="1" si="2"/>
        <v/>
      </c>
      <c r="BJ33" s="898" t="str">
        <f ca="1">IF(BI33="", "", IF(1+(BI33*4)&lt;1, 1, 1+(BI33*4)))</f>
        <v/>
      </c>
      <c r="BK33" s="898" t="str">
        <f t="shared" ref="BK33:BM52" si="5">IFERROR(VLOOKUP($H33,val_equip_assets,BK$4,FALSE), "")</f>
        <v/>
      </c>
      <c r="BL33" s="898" t="str">
        <f t="shared" si="5"/>
        <v/>
      </c>
      <c r="BM33" s="1710" t="str">
        <f t="shared" si="5"/>
        <v/>
      </c>
      <c r="BN33" s="1205" t="str">
        <f>IFERROR(VLOOKUP(H33,Valid!$B$94:$N$96,12,FALSE), "")</f>
        <v/>
      </c>
      <c r="BO33" s="1205" t="str">
        <f>IFERROR(VLOOKUP(H33,Valid!$B$94:$N$96,13,FALSE), "")</f>
        <v/>
      </c>
      <c r="BP33" s="894"/>
      <c r="BQ33" s="894"/>
    </row>
    <row r="34" spans="1:69" s="894" customFormat="1" ht="6.75" customHeight="1" thickBot="1" x14ac:dyDescent="0.25">
      <c r="A34" s="1516"/>
      <c r="B34" s="1530">
        <v>11.5</v>
      </c>
      <c r="C34" s="1471"/>
      <c r="D34" s="1541"/>
      <c r="E34" s="1057"/>
      <c r="F34" s="170"/>
      <c r="G34" s="170"/>
      <c r="H34" s="170"/>
      <c r="I34" s="170"/>
      <c r="J34" s="170"/>
      <c r="K34" s="170"/>
      <c r="L34" s="1031"/>
      <c r="M34" s="170"/>
      <c r="N34" s="1031"/>
      <c r="O34" s="892"/>
      <c r="P34" s="836"/>
      <c r="Q34" s="1709"/>
      <c r="R34" s="1806"/>
      <c r="S34" s="1709"/>
      <c r="T34" s="1962"/>
      <c r="U34" s="1709"/>
      <c r="V34" s="1806"/>
      <c r="W34" s="1709"/>
      <c r="X34" s="1027"/>
      <c r="Y34" s="892"/>
      <c r="Z34" s="893"/>
      <c r="AA34" s="892" t="str">
        <f t="shared" si="4"/>
        <v/>
      </c>
      <c r="AB34" s="1030"/>
      <c r="AC34" s="1622"/>
      <c r="AD34" s="1030"/>
      <c r="AF34" s="895"/>
      <c r="AG34" s="896"/>
      <c r="AJ34" s="900"/>
      <c r="AK34" s="1624"/>
      <c r="AO34" s="1152"/>
      <c r="AP34" s="1152"/>
      <c r="AQ34" s="1152"/>
      <c r="AR34" s="1152"/>
      <c r="AS34" s="1152"/>
      <c r="AT34" s="1152"/>
      <c r="AU34" s="1152"/>
      <c r="AV34" s="1152"/>
      <c r="AW34" s="1152"/>
      <c r="AX34" s="1152"/>
      <c r="AY34" s="1448"/>
      <c r="AZ34" s="1448"/>
      <c r="BA34" s="846"/>
      <c r="BB34" s="846"/>
      <c r="BD34" s="897" t="str">
        <f>IFERROR(VLOOKUP(H34,Valid!$B$94:$N$96,3,FALSE), "")</f>
        <v/>
      </c>
      <c r="BE34" s="898" t="str">
        <f>IFERROR(VLOOKUP(H34,Valid!$B$94:$N$96,4,FALSE), "")</f>
        <v/>
      </c>
      <c r="BF34" s="897" t="str">
        <f t="shared" si="0"/>
        <v/>
      </c>
      <c r="BG34" s="897" t="str">
        <f t="shared" ca="1" si="1"/>
        <v/>
      </c>
      <c r="BH34" s="1860" t="str">
        <f>IFERROR(VLOOKUP($H34,val_equip_assets,BH$4,FALSE), "")</f>
        <v/>
      </c>
      <c r="BI34" s="1547" t="str">
        <f t="shared" ca="1" si="2"/>
        <v/>
      </c>
      <c r="BJ34" s="898" t="str">
        <f ca="1">IF(BI34="", "", IF(BI34&lt;0.1, 5, IF(BI34&lt;0.25, 4, IF(BI34&lt;0.5, 3, IF(BI34&lt;0.75, 2, 1)))))</f>
        <v/>
      </c>
      <c r="BK34" s="898" t="str">
        <f t="shared" si="5"/>
        <v/>
      </c>
      <c r="BL34" s="898" t="str">
        <f t="shared" si="5"/>
        <v/>
      </c>
      <c r="BM34" s="1710" t="str">
        <f t="shared" si="5"/>
        <v/>
      </c>
      <c r="BN34" s="1205" t="str">
        <f>IFERROR(VLOOKUP(H34,Valid!$B$94:$N$96,12,FALSE), "")</f>
        <v/>
      </c>
      <c r="BO34" s="1205" t="str">
        <f>IFERROR(VLOOKUP(H34,Valid!$B$94:$N$96,13,FALSE), "")</f>
        <v/>
      </c>
    </row>
    <row r="35" spans="1:69" s="901" customFormat="1" x14ac:dyDescent="0.2">
      <c r="A35" s="206">
        <v>12</v>
      </c>
      <c r="B35" s="1530">
        <v>12</v>
      </c>
      <c r="C35" s="1703"/>
      <c r="D35" s="1248" t="str">
        <f>IF(C33="","",IF(C35="","Enter Service Fleet Description then Fill in columns "&amp;TEXT($H$2,0)&amp;" - "&amp;TEXT($Z$2,0)&amp;"                 ",""))</f>
        <v/>
      </c>
      <c r="E35" s="1245" t="str">
        <f>IF(AK35="N/A","",AK35)</f>
        <v/>
      </c>
      <c r="F35" s="170"/>
      <c r="G35" s="170"/>
      <c r="H35" s="1704"/>
      <c r="I35" s="1246" t="str">
        <f>IF(AND(E35="No",H35=""),"Select Type of Vehicle                        ","")</f>
        <v/>
      </c>
      <c r="J35" s="1247"/>
      <c r="K35" s="1246" t="str">
        <f>IF(AND(C35="No",H35=""),"Number of Vehicles?  ","")</f>
        <v/>
      </c>
      <c r="L35" s="1782" t="str">
        <f>IFERROR(VLOOKUP($H35,val_equip_assets,BH$4,FALSE), "")</f>
        <v/>
      </c>
      <c r="M35" s="1246"/>
      <c r="N35" s="1247"/>
      <c r="O35" s="892" t="str">
        <f>IF(H35="","",IF(AND(E35="No",N35=""),TEXT(BH35,0)&amp;" Years?   ",""))</f>
        <v/>
      </c>
      <c r="P35" s="1705"/>
      <c r="Q35" s="1706" t="str">
        <f>IF(AND(E35="No",P35=""),"Enter Manufact. Yr.     ","")</f>
        <v/>
      </c>
      <c r="R35" s="1952" t="str">
        <f ca="1">BI35</f>
        <v/>
      </c>
      <c r="S35" s="1706"/>
      <c r="T35" s="1963" t="str">
        <f ca="1">BJ35</f>
        <v/>
      </c>
      <c r="U35" s="1706"/>
      <c r="V35" s="1675"/>
      <c r="W35" s="892" t="str">
        <f>IF(AND(E35="No",V35=""),"% of Cap. Resp.    ","")</f>
        <v/>
      </c>
      <c r="X35" s="1655"/>
      <c r="Y35" s="892" t="str">
        <f>IF(AND(E35="No",X35=""),"Estimated $?   ","")</f>
        <v/>
      </c>
      <c r="Z35" s="1707"/>
      <c r="AA35" s="892" t="str">
        <f t="shared" si="4"/>
        <v/>
      </c>
      <c r="AB35" s="1026" t="str">
        <f>IF(E35="","",IF(OR($X35="",$Z35=""),"missing info.",$X35*VLOOKUP($Z35,Inflate,$BF35+1,FALSE)))</f>
        <v/>
      </c>
      <c r="AC35" s="1622"/>
      <c r="AD35" s="1026" t="str">
        <f>IF(E35="","",IF(J35="","missing info.",IF(AB35="missing info.","missing info.",AB35/J35)))</f>
        <v/>
      </c>
      <c r="AE35" s="839"/>
      <c r="AF35" s="1708"/>
      <c r="AG35" s="896"/>
      <c r="AH35" s="894"/>
      <c r="AI35" s="894" t="b">
        <f>IF(AND(C37&lt;&gt;"",C35=""),TRUE,FALSE)</f>
        <v>0</v>
      </c>
      <c r="AJ35" s="902" t="b">
        <f>IF(AND(N35="",P35&lt;&gt;""),TRUE,FALSE)</f>
        <v>0</v>
      </c>
      <c r="AK35" s="720" t="str">
        <f>IF(AND(J35="",AF35="",Z35="",X35="",V35="",N35="",H35="",P35="",C35=""),"N/A",IF(AND(C35&lt;&gt;"",J35&lt;&gt;"",N35&lt;&gt;"",H35&lt;&gt;"",P35&lt;&gt;"",V35&lt;&gt;"",X35&lt;&gt;"",Z35&lt;&gt;""),"Yes","No"))</f>
        <v>N/A</v>
      </c>
      <c r="AL35" s="720" t="b">
        <f>IF(AND(C35="",E35="no"),TRUE,FALSE)</f>
        <v>0</v>
      </c>
      <c r="AM35" s="720" t="b">
        <f>IF(AND(E35="no",H35=""),TRUE,FALSE)</f>
        <v>0</v>
      </c>
      <c r="AN35" s="720" t="b">
        <f>IF(AND(E35="no",H35=""),TRUE,FALSE)</f>
        <v>0</v>
      </c>
      <c r="AO35" s="903" t="b">
        <f>IF($J35="",FALSE,IF($J35&lt;$BD35,TRUE,FALSE))</f>
        <v>0</v>
      </c>
      <c r="AP35" s="903" t="b">
        <f>IF($J35="",FALSE,IF($J35&gt;$BE35,TRUE,FALSE))</f>
        <v>0</v>
      </c>
      <c r="AQ35" s="903" t="b">
        <f>IF(AND(E35="no",N35=""),TRUE,FALSE)</f>
        <v>0</v>
      </c>
      <c r="AR35" s="903" t="b">
        <f>IF(AND(E35="no",P35=""),TRUE,FALSE)</f>
        <v>0</v>
      </c>
      <c r="AS35" s="903" t="b">
        <f>IF(P35="",FALSE,IF(P35&lt;BM35,TRUE,FALSE))</f>
        <v>0</v>
      </c>
      <c r="AT35" s="903" t="b">
        <f>IF(P35="",FALSE,IF(P35&gt;BaseYear,TRUE,FALSE))</f>
        <v>0</v>
      </c>
      <c r="AU35" s="903" t="b">
        <f>IF(AND(E35="no",V35=""),TRUE,FALSE)</f>
        <v>0</v>
      </c>
      <c r="AV35" s="903" t="b">
        <f>IF(V35="",FALSE,IF(OR(V35&gt;1,V35&lt;0),TRUE,FALSE))</f>
        <v>0</v>
      </c>
      <c r="AW35" s="903" t="b">
        <f>IF($N35="",FALSE,IF($N35&lt;$BK35,TRUE,FALSE))</f>
        <v>0</v>
      </c>
      <c r="AX35" s="903" t="b">
        <f>IF($N35="",FALSE,IF($N35&gt;$BL35,TRUE,FALSE))</f>
        <v>0</v>
      </c>
      <c r="AY35" s="889" t="b">
        <f>IF(AND(E35="no",X35=""),TRUE,FALSE)</f>
        <v>0</v>
      </c>
      <c r="AZ35" s="889" t="b">
        <f>IF(OR(AD35="missing info.",AD35=""),FALSE,IF(AD35&lt;BN35,TRUE,FALSE))</f>
        <v>0</v>
      </c>
      <c r="BA35" s="890" t="b">
        <f>IF(OR(AD35="missing info.",AD35=""),FALSE,IF(AD35&gt;BO35,TRUE,FALSE))</f>
        <v>0</v>
      </c>
      <c r="BB35" s="890" t="b">
        <f>IF(AND(E35="no",Z35=""),TRUE,FALSE)</f>
        <v>0</v>
      </c>
      <c r="BC35" s="894" t="b">
        <f>IF(Z35="",FALSE,IF(OR(Z35&gt;BaseYear,Z35&lt;BM35),TRUE,FALSE))</f>
        <v>0</v>
      </c>
      <c r="BD35" s="897" t="str">
        <f>IFERROR(VLOOKUP(H35,Valid!$B$94:$N$96,3,FALSE), "")</f>
        <v/>
      </c>
      <c r="BE35" s="898" t="str">
        <f>IFERROR(VLOOKUP(H35,Valid!$B$94:$N$96,4,FALSE), "")</f>
        <v/>
      </c>
      <c r="BF35" s="897" t="str">
        <f t="shared" si="0"/>
        <v/>
      </c>
      <c r="BG35" s="897" t="str">
        <f t="shared" ca="1" si="1"/>
        <v/>
      </c>
      <c r="BH35" s="1860">
        <f>N35</f>
        <v>0</v>
      </c>
      <c r="BI35" s="1547" t="str">
        <f t="shared" ca="1" si="2"/>
        <v/>
      </c>
      <c r="BJ35" s="898" t="str">
        <f ca="1">IF(BI35="", "", IF(1+(BI35*4)&lt;1, 1, 1+(BI35*4)))</f>
        <v/>
      </c>
      <c r="BK35" s="898" t="str">
        <f t="shared" si="5"/>
        <v/>
      </c>
      <c r="BL35" s="898" t="str">
        <f t="shared" si="5"/>
        <v/>
      </c>
      <c r="BM35" s="1710" t="str">
        <f t="shared" si="5"/>
        <v/>
      </c>
      <c r="BN35" s="1205" t="str">
        <f>IFERROR(VLOOKUP(H35,Valid!$B$94:$N$96,12,FALSE), "")</f>
        <v/>
      </c>
      <c r="BO35" s="1205" t="str">
        <f>IFERROR(VLOOKUP(H35,Valid!$B$94:$N$96,13,FALSE), "")</f>
        <v/>
      </c>
      <c r="BP35" s="894"/>
      <c r="BQ35" s="894"/>
    </row>
    <row r="36" spans="1:69" s="894" customFormat="1" ht="6.75" customHeight="1" thickBot="1" x14ac:dyDescent="0.25">
      <c r="A36" s="1516"/>
      <c r="B36" s="1530">
        <v>12.5</v>
      </c>
      <c r="C36" s="1471"/>
      <c r="D36" s="1541"/>
      <c r="E36" s="1057"/>
      <c r="F36" s="170"/>
      <c r="G36" s="170"/>
      <c r="H36" s="170"/>
      <c r="I36" s="170"/>
      <c r="J36" s="170"/>
      <c r="K36" s="170"/>
      <c r="L36" s="1031"/>
      <c r="M36" s="170"/>
      <c r="N36" s="1031"/>
      <c r="O36" s="892"/>
      <c r="P36" s="836"/>
      <c r="Q36" s="1709"/>
      <c r="R36" s="1806"/>
      <c r="S36" s="1709"/>
      <c r="T36" s="1962"/>
      <c r="U36" s="1709"/>
      <c r="V36" s="1806"/>
      <c r="W36" s="1709"/>
      <c r="X36" s="1027"/>
      <c r="Y36" s="892"/>
      <c r="Z36" s="893"/>
      <c r="AA36" s="892" t="str">
        <f t="shared" si="4"/>
        <v/>
      </c>
      <c r="AB36" s="1030"/>
      <c r="AC36" s="1622"/>
      <c r="AD36" s="1030"/>
      <c r="AF36" s="895"/>
      <c r="AG36" s="896"/>
      <c r="AJ36" s="900"/>
      <c r="AK36" s="1624"/>
      <c r="AO36" s="1152"/>
      <c r="AP36" s="1152"/>
      <c r="AQ36" s="1152"/>
      <c r="AR36" s="1152"/>
      <c r="AS36" s="1152"/>
      <c r="AT36" s="1152"/>
      <c r="AU36" s="1152"/>
      <c r="AV36" s="1152"/>
      <c r="AW36" s="1152"/>
      <c r="AX36" s="1152"/>
      <c r="AY36" s="1448"/>
      <c r="AZ36" s="1448"/>
      <c r="BA36" s="846"/>
      <c r="BB36" s="846"/>
      <c r="BD36" s="897" t="str">
        <f>IFERROR(VLOOKUP(H36,Valid!$B$94:$N$96,3,FALSE), "")</f>
        <v/>
      </c>
      <c r="BE36" s="898" t="str">
        <f>IFERROR(VLOOKUP(H36,Valid!$B$94:$N$96,4,FALSE), "")</f>
        <v/>
      </c>
      <c r="BF36" s="897" t="str">
        <f t="shared" si="0"/>
        <v/>
      </c>
      <c r="BG36" s="897" t="str">
        <f t="shared" ca="1" si="1"/>
        <v/>
      </c>
      <c r="BH36" s="1860" t="str">
        <f>IFERROR(VLOOKUP($H36,val_equip_assets,BH$4,FALSE), "")</f>
        <v/>
      </c>
      <c r="BI36" s="1547" t="str">
        <f t="shared" ca="1" si="2"/>
        <v/>
      </c>
      <c r="BJ36" s="898" t="str">
        <f ca="1">IF(BI36="", "", IF(BI36&lt;0.1, 5, IF(BI36&lt;0.25, 4, IF(BI36&lt;0.5, 3, IF(BI36&lt;0.75, 2, 1)))))</f>
        <v/>
      </c>
      <c r="BK36" s="898" t="str">
        <f t="shared" si="5"/>
        <v/>
      </c>
      <c r="BL36" s="898" t="str">
        <f t="shared" si="5"/>
        <v/>
      </c>
      <c r="BM36" s="1710" t="str">
        <f t="shared" si="5"/>
        <v/>
      </c>
      <c r="BN36" s="1205" t="str">
        <f>IFERROR(VLOOKUP(H36,Valid!$B$94:$N$96,12,FALSE), "")</f>
        <v/>
      </c>
      <c r="BO36" s="1205" t="str">
        <f>IFERROR(VLOOKUP(H36,Valid!$B$94:$N$96,13,FALSE), "")</f>
        <v/>
      </c>
    </row>
    <row r="37" spans="1:69" s="901" customFormat="1" x14ac:dyDescent="0.2">
      <c r="A37" s="206">
        <v>13</v>
      </c>
      <c r="B37" s="1530">
        <v>13</v>
      </c>
      <c r="C37" s="1703"/>
      <c r="D37" s="1248" t="str">
        <f>IF(C35="","",IF(C37="","Enter Service Fleet Description then Fill in columns "&amp;TEXT($H$2,0)&amp;" - "&amp;TEXT($Z$2,0)&amp;"                 ",""))</f>
        <v/>
      </c>
      <c r="E37" s="1245" t="str">
        <f>IF(AK37="N/A","",AK37)</f>
        <v/>
      </c>
      <c r="F37" s="170"/>
      <c r="G37" s="170"/>
      <c r="H37" s="1704"/>
      <c r="I37" s="1246" t="str">
        <f>IF(AND(E37="No",H37=""),"Select Type of Vehicle                        ","")</f>
        <v/>
      </c>
      <c r="J37" s="1247"/>
      <c r="K37" s="1246" t="str">
        <f>IF(AND(C37="No",H37=""),"Number of Vehicles?  ","")</f>
        <v/>
      </c>
      <c r="L37" s="1782" t="str">
        <f>IFERROR(VLOOKUP($H37,val_equip_assets,BH$4,FALSE), "")</f>
        <v/>
      </c>
      <c r="M37" s="1246"/>
      <c r="N37" s="1247"/>
      <c r="O37" s="892" t="str">
        <f>IF(H37="","",IF(AND(E37="No",N37=""),TEXT(BH37,0)&amp;" Years?   ",""))</f>
        <v/>
      </c>
      <c r="P37" s="1705"/>
      <c r="Q37" s="1706" t="str">
        <f>IF(AND(E37="No",P37=""),"Enter Manufact. Yr.     ","")</f>
        <v/>
      </c>
      <c r="R37" s="1952" t="str">
        <f ca="1">BI37</f>
        <v/>
      </c>
      <c r="S37" s="1706"/>
      <c r="T37" s="1963" t="str">
        <f ca="1">BJ37</f>
        <v/>
      </c>
      <c r="U37" s="1706"/>
      <c r="V37" s="1675"/>
      <c r="W37" s="892" t="str">
        <f>IF(AND(E37="No",V37=""),"% of Cap. Resp.    ","")</f>
        <v/>
      </c>
      <c r="X37" s="1655"/>
      <c r="Y37" s="892" t="str">
        <f>IF(AND(E37="No",X37=""),"Estimated $?   ","")</f>
        <v/>
      </c>
      <c r="Z37" s="1707"/>
      <c r="AA37" s="892" t="str">
        <f t="shared" si="4"/>
        <v/>
      </c>
      <c r="AB37" s="1026" t="str">
        <f>IF(E37="","",IF(OR($X37="",$Z37=""),"missing info.",$X37*VLOOKUP($Z37,Inflate,$BF37+1,FALSE)))</f>
        <v/>
      </c>
      <c r="AC37" s="1622"/>
      <c r="AD37" s="1026" t="str">
        <f>IF(E37="","",IF(J37="","missing info.",IF(AB37="missing info.","missing info.",AB37/J37)))</f>
        <v/>
      </c>
      <c r="AE37" s="839"/>
      <c r="AF37" s="1708"/>
      <c r="AG37" s="896"/>
      <c r="AH37" s="894"/>
      <c r="AI37" s="894" t="b">
        <f>IF(AND(C39&lt;&gt;"",C37=""),TRUE,FALSE)</f>
        <v>0</v>
      </c>
      <c r="AJ37" s="902" t="b">
        <f>IF(AND(N37="",P37&lt;&gt;""),TRUE,FALSE)</f>
        <v>0</v>
      </c>
      <c r="AK37" s="720" t="str">
        <f>IF(AND(J37="",AF37="",Z37="",X37="",V37="",N37="",H37="",P37="",C37=""),"N/A",IF(AND(C37&lt;&gt;"",J37&lt;&gt;"",N37&lt;&gt;"",H37&lt;&gt;"",P37&lt;&gt;"",V37&lt;&gt;"",X37&lt;&gt;"",Z37&lt;&gt;""),"Yes","No"))</f>
        <v>N/A</v>
      </c>
      <c r="AL37" s="720" t="b">
        <f>IF(AND(C37="",E37="no"),TRUE,FALSE)</f>
        <v>0</v>
      </c>
      <c r="AM37" s="720" t="b">
        <f>IF(AND(E37="no",H37=""),TRUE,FALSE)</f>
        <v>0</v>
      </c>
      <c r="AN37" s="720" t="b">
        <f>IF(AND(E37="no",H37=""),TRUE,FALSE)</f>
        <v>0</v>
      </c>
      <c r="AO37" s="903" t="b">
        <f>IF($J37="",FALSE,IF($J37&lt;$BD37,TRUE,FALSE))</f>
        <v>0</v>
      </c>
      <c r="AP37" s="903" t="b">
        <f>IF($J37="",FALSE,IF($J37&gt;$BE37,TRUE,FALSE))</f>
        <v>0</v>
      </c>
      <c r="AQ37" s="903" t="b">
        <f>IF(AND(E37="no",N37=""),TRUE,FALSE)</f>
        <v>0</v>
      </c>
      <c r="AR37" s="903" t="b">
        <f>IF(AND(E37="no",P37=""),TRUE,FALSE)</f>
        <v>0</v>
      </c>
      <c r="AS37" s="903" t="b">
        <f>IF(P37="",FALSE,IF(P37&lt;BM37,TRUE,FALSE))</f>
        <v>0</v>
      </c>
      <c r="AT37" s="903" t="b">
        <f>IF(P37="",FALSE,IF(P37&gt;BaseYear,TRUE,FALSE))</f>
        <v>0</v>
      </c>
      <c r="AU37" s="903" t="b">
        <f>IF(AND(E37="no",V37=""),TRUE,FALSE)</f>
        <v>0</v>
      </c>
      <c r="AV37" s="903" t="b">
        <f>IF(V37="",FALSE,IF(OR(V37&gt;1,V37&lt;0),TRUE,FALSE))</f>
        <v>0</v>
      </c>
      <c r="AW37" s="903" t="b">
        <f>IF($N37="",FALSE,IF($N37&lt;$BK37,TRUE,FALSE))</f>
        <v>0</v>
      </c>
      <c r="AX37" s="903" t="b">
        <f>IF($N37="",FALSE,IF($N37&gt;$BL37,TRUE,FALSE))</f>
        <v>0</v>
      </c>
      <c r="AY37" s="889" t="b">
        <f>IF(AND(E37="no",X37=""),TRUE,FALSE)</f>
        <v>0</v>
      </c>
      <c r="AZ37" s="889" t="b">
        <f>IF(OR(AD37="missing info.",AD37=""),FALSE,IF(AD37&lt;BN37,TRUE,FALSE))</f>
        <v>0</v>
      </c>
      <c r="BA37" s="890" t="b">
        <f>IF(OR(AD37="missing info.",AD37=""),FALSE,IF(AD37&gt;BO37,TRUE,FALSE))</f>
        <v>0</v>
      </c>
      <c r="BB37" s="890" t="b">
        <f>IF(AND(E37="no",Z37=""),TRUE,FALSE)</f>
        <v>0</v>
      </c>
      <c r="BC37" s="894" t="b">
        <f>IF(Z37="",FALSE,IF(OR(Z37&gt;BaseYear,Z37&lt;BM37),TRUE,FALSE))</f>
        <v>0</v>
      </c>
      <c r="BD37" s="897" t="str">
        <f>IFERROR(VLOOKUP(H37,Valid!$B$94:$N$96,3,FALSE), "")</f>
        <v/>
      </c>
      <c r="BE37" s="898" t="str">
        <f>IFERROR(VLOOKUP(H37,Valid!$B$94:$N$96,4,FALSE), "")</f>
        <v/>
      </c>
      <c r="BF37" s="897" t="str">
        <f t="shared" si="0"/>
        <v/>
      </c>
      <c r="BG37" s="897" t="str">
        <f t="shared" ca="1" si="1"/>
        <v/>
      </c>
      <c r="BH37" s="1860">
        <f>N37</f>
        <v>0</v>
      </c>
      <c r="BI37" s="1547" t="str">
        <f t="shared" ca="1" si="2"/>
        <v/>
      </c>
      <c r="BJ37" s="898" t="str">
        <f ca="1">IF(BI37="", "", IF(1+(BI37*4)&lt;1, 1, 1+(BI37*4)))</f>
        <v/>
      </c>
      <c r="BK37" s="898" t="str">
        <f t="shared" si="5"/>
        <v/>
      </c>
      <c r="BL37" s="898" t="str">
        <f t="shared" si="5"/>
        <v/>
      </c>
      <c r="BM37" s="1710" t="str">
        <f t="shared" si="5"/>
        <v/>
      </c>
      <c r="BN37" s="1205" t="str">
        <f>IFERROR(VLOOKUP(H37,Valid!$B$94:$N$96,12,FALSE), "")</f>
        <v/>
      </c>
      <c r="BO37" s="1205" t="str">
        <f>IFERROR(VLOOKUP(H37,Valid!$B$94:$N$96,13,FALSE), "")</f>
        <v/>
      </c>
      <c r="BP37" s="894"/>
      <c r="BQ37" s="894"/>
    </row>
    <row r="38" spans="1:69" s="894" customFormat="1" ht="6.75" customHeight="1" thickBot="1" x14ac:dyDescent="0.25">
      <c r="A38" s="1516"/>
      <c r="B38" s="1530">
        <v>13.5</v>
      </c>
      <c r="C38" s="1471"/>
      <c r="D38" s="1541"/>
      <c r="E38" s="1057"/>
      <c r="F38" s="170"/>
      <c r="G38" s="170"/>
      <c r="H38" s="170"/>
      <c r="I38" s="170"/>
      <c r="J38" s="170"/>
      <c r="K38" s="170"/>
      <c r="L38" s="1031"/>
      <c r="M38" s="170"/>
      <c r="N38" s="1031"/>
      <c r="O38" s="892"/>
      <c r="P38" s="836"/>
      <c r="Q38" s="1709"/>
      <c r="R38" s="1806"/>
      <c r="S38" s="1709"/>
      <c r="T38" s="1962"/>
      <c r="U38" s="1709"/>
      <c r="V38" s="1806"/>
      <c r="W38" s="1709"/>
      <c r="X38" s="1027"/>
      <c r="Y38" s="892"/>
      <c r="Z38" s="893"/>
      <c r="AA38" s="892" t="str">
        <f t="shared" si="4"/>
        <v/>
      </c>
      <c r="AB38" s="1030"/>
      <c r="AC38" s="1622"/>
      <c r="AD38" s="1030"/>
      <c r="AF38" s="895"/>
      <c r="AG38" s="896"/>
      <c r="AJ38" s="900"/>
      <c r="AK38" s="1624"/>
      <c r="AO38" s="1152"/>
      <c r="AP38" s="1152"/>
      <c r="AQ38" s="1152"/>
      <c r="AR38" s="1152"/>
      <c r="AS38" s="1152"/>
      <c r="AT38" s="1152"/>
      <c r="AU38" s="1152"/>
      <c r="AV38" s="1152"/>
      <c r="AW38" s="1152"/>
      <c r="AX38" s="1152"/>
      <c r="AY38" s="1448"/>
      <c r="AZ38" s="1448"/>
      <c r="BA38" s="846"/>
      <c r="BB38" s="846"/>
      <c r="BD38" s="897" t="str">
        <f>IFERROR(VLOOKUP(H38,Valid!$B$94:$N$96,3,FALSE), "")</f>
        <v/>
      </c>
      <c r="BE38" s="898" t="str">
        <f>IFERROR(VLOOKUP(H38,Valid!$B$94:$N$96,4,FALSE), "")</f>
        <v/>
      </c>
      <c r="BF38" s="897" t="str">
        <f t="shared" si="0"/>
        <v/>
      </c>
      <c r="BG38" s="897" t="str">
        <f t="shared" ca="1" si="1"/>
        <v/>
      </c>
      <c r="BH38" s="1860" t="str">
        <f>IFERROR(VLOOKUP($H38,val_equip_assets,BH$4,FALSE), "")</f>
        <v/>
      </c>
      <c r="BI38" s="1547" t="str">
        <f t="shared" ca="1" si="2"/>
        <v/>
      </c>
      <c r="BJ38" s="898" t="str">
        <f ca="1">IF(BI38="", "", IF(BI38&lt;0.1, 5, IF(BI38&lt;0.25, 4, IF(BI38&lt;0.5, 3, IF(BI38&lt;0.75, 2, 1)))))</f>
        <v/>
      </c>
      <c r="BK38" s="898" t="str">
        <f t="shared" si="5"/>
        <v/>
      </c>
      <c r="BL38" s="898" t="str">
        <f t="shared" si="5"/>
        <v/>
      </c>
      <c r="BM38" s="1710" t="str">
        <f t="shared" si="5"/>
        <v/>
      </c>
      <c r="BN38" s="1205" t="str">
        <f>IFERROR(VLOOKUP(H38,Valid!$B$94:$N$96,12,FALSE), "")</f>
        <v/>
      </c>
      <c r="BO38" s="1205" t="str">
        <f>IFERROR(VLOOKUP(H38,Valid!$B$94:$N$96,13,FALSE), "")</f>
        <v/>
      </c>
    </row>
    <row r="39" spans="1:69" s="901" customFormat="1" x14ac:dyDescent="0.2">
      <c r="A39" s="206">
        <v>14</v>
      </c>
      <c r="B39" s="1530">
        <v>14</v>
      </c>
      <c r="C39" s="1703"/>
      <c r="D39" s="1248" t="str">
        <f>IF(C37="","",IF(C39="","Enter Service Fleet Description then Fill in columns "&amp;TEXT($H$2,0)&amp;" - "&amp;TEXT($Z$2,0)&amp;"                 ",""))</f>
        <v/>
      </c>
      <c r="E39" s="1245" t="str">
        <f>IF(AK39="N/A","",AK39)</f>
        <v/>
      </c>
      <c r="F39" s="170"/>
      <c r="G39" s="170"/>
      <c r="H39" s="1704"/>
      <c r="I39" s="1246" t="str">
        <f>IF(AND(E39="No",H39=""),"Select Type of Vehicle                        ","")</f>
        <v/>
      </c>
      <c r="J39" s="1247"/>
      <c r="K39" s="1246" t="str">
        <f>IF(AND(C39="No",H39=""),"Number of Vehicles?  ","")</f>
        <v/>
      </c>
      <c r="L39" s="1782" t="str">
        <f>IFERROR(VLOOKUP($H39,val_equip_assets,BH$4,FALSE), "")</f>
        <v/>
      </c>
      <c r="M39" s="1246"/>
      <c r="N39" s="1247"/>
      <c r="O39" s="892" t="str">
        <f>IF(H39="","",IF(AND(E39="No",N39=""),TEXT(BH39,0)&amp;" Years?   ",""))</f>
        <v/>
      </c>
      <c r="P39" s="1705"/>
      <c r="Q39" s="1706" t="str">
        <f>IF(AND(E39="No",P39=""),"Enter Manufact. Yr.     ","")</f>
        <v/>
      </c>
      <c r="R39" s="1952" t="str">
        <f ca="1">BI39</f>
        <v/>
      </c>
      <c r="S39" s="1706"/>
      <c r="T39" s="1963" t="str">
        <f ca="1">BJ39</f>
        <v/>
      </c>
      <c r="U39" s="1706"/>
      <c r="V39" s="1675"/>
      <c r="W39" s="892" t="str">
        <f>IF(AND(E39="No",V39=""),"% of Cap. Resp.    ","")</f>
        <v/>
      </c>
      <c r="X39" s="1655"/>
      <c r="Y39" s="892" t="str">
        <f>IF(AND(E39="No",X39=""),"Estimated $?   ","")</f>
        <v/>
      </c>
      <c r="Z39" s="1707"/>
      <c r="AA39" s="892" t="str">
        <f t="shared" si="4"/>
        <v/>
      </c>
      <c r="AB39" s="1026" t="str">
        <f>IF(E39="","",IF(OR($X39="",$Z39=""),"missing info.",$X39*VLOOKUP($Z39,Inflate,$BF39+1,FALSE)))</f>
        <v/>
      </c>
      <c r="AC39" s="1622"/>
      <c r="AD39" s="1026" t="str">
        <f>IF(E39="","",IF(J39="","missing info.",IF(AB39="missing info.","missing info.",AB39/J39)))</f>
        <v/>
      </c>
      <c r="AE39" s="839"/>
      <c r="AF39" s="1708"/>
      <c r="AG39" s="896"/>
      <c r="AH39" s="894"/>
      <c r="AI39" s="894" t="b">
        <f>IF(AND(C41&lt;&gt;"",C39=""),TRUE,FALSE)</f>
        <v>0</v>
      </c>
      <c r="AJ39" s="902" t="b">
        <f>IF(AND(N39="",P39&lt;&gt;""),TRUE,FALSE)</f>
        <v>0</v>
      </c>
      <c r="AK39" s="720" t="str">
        <f>IF(AND(J39="",AF39="",Z39="",X39="",V39="",N39="",H39="",P39="",C39=""),"N/A",IF(AND(C39&lt;&gt;"",J39&lt;&gt;"",N39&lt;&gt;"",H39&lt;&gt;"",P39&lt;&gt;"",V39&lt;&gt;"",X39&lt;&gt;"",Z39&lt;&gt;""),"Yes","No"))</f>
        <v>N/A</v>
      </c>
      <c r="AL39" s="720" t="b">
        <f>IF(AND(C39="",E39="no"),TRUE,FALSE)</f>
        <v>0</v>
      </c>
      <c r="AM39" s="720" t="b">
        <f>IF(AND(E39="no",H39=""),TRUE,FALSE)</f>
        <v>0</v>
      </c>
      <c r="AN39" s="720" t="b">
        <f>IF(AND(E39="no",H39=""),TRUE,FALSE)</f>
        <v>0</v>
      </c>
      <c r="AO39" s="903" t="b">
        <f>IF($J39="",FALSE,IF($J39&lt;$BD39,TRUE,FALSE))</f>
        <v>0</v>
      </c>
      <c r="AP39" s="903" t="b">
        <f>IF($J39="",FALSE,IF($J39&gt;$BE39,TRUE,FALSE))</f>
        <v>0</v>
      </c>
      <c r="AQ39" s="903" t="b">
        <f>IF(AND(E39="no",N39=""),TRUE,FALSE)</f>
        <v>0</v>
      </c>
      <c r="AR39" s="903" t="b">
        <f>IF(AND(E39="no",P39=""),TRUE,FALSE)</f>
        <v>0</v>
      </c>
      <c r="AS39" s="903" t="b">
        <f>IF(P39="",FALSE,IF(P39&lt;BM39,TRUE,FALSE))</f>
        <v>0</v>
      </c>
      <c r="AT39" s="903" t="b">
        <f>IF(P39="",FALSE,IF(P39&gt;BaseYear,TRUE,FALSE))</f>
        <v>0</v>
      </c>
      <c r="AU39" s="903" t="b">
        <f>IF(AND(E39="no",V39=""),TRUE,FALSE)</f>
        <v>0</v>
      </c>
      <c r="AV39" s="903" t="b">
        <f>IF(V39="",FALSE,IF(OR(V39&gt;1,V39&lt;0),TRUE,FALSE))</f>
        <v>0</v>
      </c>
      <c r="AW39" s="903" t="b">
        <f>IF($N39="",FALSE,IF($N39&lt;$BK39,TRUE,FALSE))</f>
        <v>0</v>
      </c>
      <c r="AX39" s="903" t="b">
        <f>IF($N39="",FALSE,IF($N39&gt;$BL39,TRUE,FALSE))</f>
        <v>0</v>
      </c>
      <c r="AY39" s="889" t="b">
        <f>IF(AND(E39="no",X39=""),TRUE,FALSE)</f>
        <v>0</v>
      </c>
      <c r="AZ39" s="889" t="b">
        <f>IF(OR(AD39="missing info.",AD39=""),FALSE,IF(AD39&lt;BN39,TRUE,FALSE))</f>
        <v>0</v>
      </c>
      <c r="BA39" s="890" t="b">
        <f>IF(OR(AD39="missing info.",AD39=""),FALSE,IF(AD39&gt;BO39,TRUE,FALSE))</f>
        <v>0</v>
      </c>
      <c r="BB39" s="890" t="b">
        <f>IF(AND(E39="no",Z39=""),TRUE,FALSE)</f>
        <v>0</v>
      </c>
      <c r="BC39" s="894" t="b">
        <f>IF(Z39="",FALSE,IF(OR(Z39&gt;BaseYear,Z39&lt;BM39),TRUE,FALSE))</f>
        <v>0</v>
      </c>
      <c r="BD39" s="897" t="str">
        <f>IFERROR(VLOOKUP(H39,Valid!$B$94:$N$96,3,FALSE), "")</f>
        <v/>
      </c>
      <c r="BE39" s="898" t="str">
        <f>IFERROR(VLOOKUP(H39,Valid!$B$94:$N$96,4,FALSE), "")</f>
        <v/>
      </c>
      <c r="BF39" s="897" t="str">
        <f t="shared" si="0"/>
        <v/>
      </c>
      <c r="BG39" s="897" t="str">
        <f t="shared" ca="1" si="1"/>
        <v/>
      </c>
      <c r="BH39" s="1860">
        <f>N39</f>
        <v>0</v>
      </c>
      <c r="BI39" s="1547" t="str">
        <f t="shared" ca="1" si="2"/>
        <v/>
      </c>
      <c r="BJ39" s="898" t="str">
        <f ca="1">IF(BI39="", "", IF(1+(BI39*4)&lt;1, 1, 1+(BI39*4)))</f>
        <v/>
      </c>
      <c r="BK39" s="898" t="str">
        <f t="shared" si="5"/>
        <v/>
      </c>
      <c r="BL39" s="898" t="str">
        <f t="shared" si="5"/>
        <v/>
      </c>
      <c r="BM39" s="1710" t="str">
        <f t="shared" si="5"/>
        <v/>
      </c>
      <c r="BN39" s="1205" t="str">
        <f>IFERROR(VLOOKUP(H39,Valid!$B$94:$N$96,12,FALSE), "")</f>
        <v/>
      </c>
      <c r="BO39" s="1205" t="str">
        <f>IFERROR(VLOOKUP(H39,Valid!$B$94:$N$96,13,FALSE), "")</f>
        <v/>
      </c>
      <c r="BP39" s="894"/>
      <c r="BQ39" s="894"/>
    </row>
    <row r="40" spans="1:69" s="894" customFormat="1" ht="6.75" customHeight="1" thickBot="1" x14ac:dyDescent="0.25">
      <c r="A40" s="1516"/>
      <c r="B40" s="1530">
        <v>14.5</v>
      </c>
      <c r="C40" s="1471"/>
      <c r="D40" s="1541"/>
      <c r="E40" s="1057"/>
      <c r="F40" s="170"/>
      <c r="G40" s="170"/>
      <c r="H40" s="170"/>
      <c r="I40" s="170"/>
      <c r="J40" s="170"/>
      <c r="K40" s="170"/>
      <c r="L40" s="1031"/>
      <c r="M40" s="170"/>
      <c r="N40" s="1031"/>
      <c r="O40" s="892"/>
      <c r="P40" s="836"/>
      <c r="Q40" s="1709"/>
      <c r="R40" s="1806"/>
      <c r="S40" s="1709"/>
      <c r="T40" s="1962"/>
      <c r="U40" s="1709"/>
      <c r="V40" s="1806"/>
      <c r="W40" s="1709"/>
      <c r="X40" s="1027"/>
      <c r="Y40" s="892"/>
      <c r="Z40" s="893"/>
      <c r="AA40" s="892" t="str">
        <f t="shared" si="4"/>
        <v/>
      </c>
      <c r="AB40" s="1030"/>
      <c r="AC40" s="1622"/>
      <c r="AD40" s="1030"/>
      <c r="AF40" s="895"/>
      <c r="AG40" s="896"/>
      <c r="AJ40" s="900"/>
      <c r="AK40" s="1624"/>
      <c r="AO40" s="1152"/>
      <c r="AP40" s="1152"/>
      <c r="AQ40" s="1152"/>
      <c r="AR40" s="1152"/>
      <c r="AS40" s="1152"/>
      <c r="AT40" s="1152"/>
      <c r="AU40" s="1152"/>
      <c r="AV40" s="1152"/>
      <c r="AW40" s="1152"/>
      <c r="AX40" s="1152"/>
      <c r="AY40" s="1448"/>
      <c r="AZ40" s="1448"/>
      <c r="BA40" s="846"/>
      <c r="BB40" s="846"/>
      <c r="BD40" s="897" t="str">
        <f>IFERROR(VLOOKUP(H40,Valid!$B$94:$N$96,3,FALSE), "")</f>
        <v/>
      </c>
      <c r="BE40" s="898" t="str">
        <f>IFERROR(VLOOKUP(H40,Valid!$B$94:$N$96,4,FALSE), "")</f>
        <v/>
      </c>
      <c r="BF40" s="897" t="str">
        <f t="shared" si="0"/>
        <v/>
      </c>
      <c r="BG40" s="897" t="str">
        <f t="shared" ca="1" si="1"/>
        <v/>
      </c>
      <c r="BH40" s="1860" t="str">
        <f>IFERROR(VLOOKUP($H40,val_equip_assets,BH$4,FALSE), "")</f>
        <v/>
      </c>
      <c r="BI40" s="1547" t="str">
        <f t="shared" ca="1" si="2"/>
        <v/>
      </c>
      <c r="BJ40" s="898" t="str">
        <f ca="1">IF(BI40="", "", IF(BI40&lt;0.1, 5, IF(BI40&lt;0.25, 4, IF(BI40&lt;0.5, 3, IF(BI40&lt;0.75, 2, 1)))))</f>
        <v/>
      </c>
      <c r="BK40" s="898" t="str">
        <f t="shared" si="5"/>
        <v/>
      </c>
      <c r="BL40" s="898" t="str">
        <f t="shared" si="5"/>
        <v/>
      </c>
      <c r="BM40" s="1710" t="str">
        <f t="shared" si="5"/>
        <v/>
      </c>
      <c r="BN40" s="1205" t="str">
        <f>IFERROR(VLOOKUP(H40,Valid!$B$94:$N$96,12,FALSE), "")</f>
        <v/>
      </c>
      <c r="BO40" s="1205" t="str">
        <f>IFERROR(VLOOKUP(H40,Valid!$B$94:$N$96,13,FALSE), "")</f>
        <v/>
      </c>
    </row>
    <row r="41" spans="1:69" s="901" customFormat="1" x14ac:dyDescent="0.2">
      <c r="A41" s="206">
        <v>15</v>
      </c>
      <c r="B41" s="1530">
        <v>15</v>
      </c>
      <c r="C41" s="1703"/>
      <c r="D41" s="1248" t="str">
        <f>IF(C39="","",IF(C41="","Enter Service Fleet Description then Fill in columns "&amp;TEXT($H$2,0)&amp;" - "&amp;TEXT($Z$2,0)&amp;"                 ",""))</f>
        <v/>
      </c>
      <c r="E41" s="1245" t="str">
        <f>IF(AK41="N/A","",AK41)</f>
        <v/>
      </c>
      <c r="F41" s="170"/>
      <c r="G41" s="170"/>
      <c r="H41" s="1704"/>
      <c r="I41" s="1246" t="str">
        <f>IF(AND(E41="No",H41=""),"Select Type of Vehicle                        ","")</f>
        <v/>
      </c>
      <c r="J41" s="1247"/>
      <c r="K41" s="1246" t="str">
        <f>IF(AND(C41="No",H41=""),"Number of Vehicles?  ","")</f>
        <v/>
      </c>
      <c r="L41" s="1782" t="str">
        <f>IFERROR(VLOOKUP($H41,val_equip_assets,BH$4,FALSE), "")</f>
        <v/>
      </c>
      <c r="M41" s="1246"/>
      <c r="N41" s="1247"/>
      <c r="O41" s="892" t="str">
        <f>IF(H41="","",IF(AND(E41="No",N41=""),TEXT(BH41,0)&amp;" Years?   ",""))</f>
        <v/>
      </c>
      <c r="P41" s="1705"/>
      <c r="Q41" s="1706" t="str">
        <f>IF(AND(E41="No",P41=""),"Enter Manufact. Yr.     ","")</f>
        <v/>
      </c>
      <c r="R41" s="1952" t="str">
        <f ca="1">BI41</f>
        <v/>
      </c>
      <c r="S41" s="1706"/>
      <c r="T41" s="1963" t="str">
        <f ca="1">BJ41</f>
        <v/>
      </c>
      <c r="U41" s="1706"/>
      <c r="V41" s="1675"/>
      <c r="W41" s="892" t="str">
        <f>IF(AND(E41="No",V41=""),"% of Cap. Resp.    ","")</f>
        <v/>
      </c>
      <c r="X41" s="1655"/>
      <c r="Y41" s="892" t="str">
        <f>IF(AND(E41="No",X41=""),"Estimated $?   ","")</f>
        <v/>
      </c>
      <c r="Z41" s="1707"/>
      <c r="AA41" s="892" t="str">
        <f t="shared" si="4"/>
        <v/>
      </c>
      <c r="AB41" s="1026" t="str">
        <f>IF(E41="","",IF(OR($X41="",$Z41=""),"missing info.",$X41*VLOOKUP($Z41,Inflate,$BF41+1,FALSE)))</f>
        <v/>
      </c>
      <c r="AC41" s="1622"/>
      <c r="AD41" s="1026" t="str">
        <f>IF(E41="","",IF(J41="","missing info.",IF(AB41="missing info.","missing info.",AB41/J41)))</f>
        <v/>
      </c>
      <c r="AE41" s="839"/>
      <c r="AF41" s="1708"/>
      <c r="AG41" s="896"/>
      <c r="AH41" s="894"/>
      <c r="AI41" s="894" t="b">
        <f>IF(AND(C43&lt;&gt;"",C41=""),TRUE,FALSE)</f>
        <v>0</v>
      </c>
      <c r="AJ41" s="902" t="b">
        <f>IF(AND(N41="",P41&lt;&gt;""),TRUE,FALSE)</f>
        <v>0</v>
      </c>
      <c r="AK41" s="720" t="str">
        <f>IF(AND(J41="",AF41="",Z41="",X41="",V41="",N41="",H41="",P41="",C41=""),"N/A",IF(AND(C41&lt;&gt;"",J41&lt;&gt;"",N41&lt;&gt;"",H41&lt;&gt;"",P41&lt;&gt;"",V41&lt;&gt;"",X41&lt;&gt;"",Z41&lt;&gt;""),"Yes","No"))</f>
        <v>N/A</v>
      </c>
      <c r="AL41" s="720" t="b">
        <f>IF(AND(C41="",E41="no"),TRUE,FALSE)</f>
        <v>0</v>
      </c>
      <c r="AM41" s="720" t="b">
        <f>IF(AND(E41="no",H41=""),TRUE,FALSE)</f>
        <v>0</v>
      </c>
      <c r="AN41" s="720" t="b">
        <f>IF(AND(E41="no",H41=""),TRUE,FALSE)</f>
        <v>0</v>
      </c>
      <c r="AO41" s="903" t="b">
        <f>IF($J41="",FALSE,IF($J41&lt;$BD41,TRUE,FALSE))</f>
        <v>0</v>
      </c>
      <c r="AP41" s="903" t="b">
        <f>IF($J41="",FALSE,IF($J41&gt;$BE41,TRUE,FALSE))</f>
        <v>0</v>
      </c>
      <c r="AQ41" s="903" t="b">
        <f>IF(AND(E41="no",N41=""),TRUE,FALSE)</f>
        <v>0</v>
      </c>
      <c r="AR41" s="903" t="b">
        <f>IF(AND(E41="no",P41=""),TRUE,FALSE)</f>
        <v>0</v>
      </c>
      <c r="AS41" s="903" t="b">
        <f>IF(P41="",FALSE,IF(P41&lt;BM41,TRUE,FALSE))</f>
        <v>0</v>
      </c>
      <c r="AT41" s="903" t="b">
        <f>IF(P41="",FALSE,IF(P41&gt;BaseYear,TRUE,FALSE))</f>
        <v>0</v>
      </c>
      <c r="AU41" s="903" t="b">
        <f>IF(AND(E41="no",V41=""),TRUE,FALSE)</f>
        <v>0</v>
      </c>
      <c r="AV41" s="903" t="b">
        <f>IF(V41="",FALSE,IF(OR(V41&gt;1,V41&lt;0),TRUE,FALSE))</f>
        <v>0</v>
      </c>
      <c r="AW41" s="903" t="b">
        <f>IF($N41="",FALSE,IF($N41&lt;$BK41,TRUE,FALSE))</f>
        <v>0</v>
      </c>
      <c r="AX41" s="903" t="b">
        <f>IF($N41="",FALSE,IF($N41&gt;$BL41,TRUE,FALSE))</f>
        <v>0</v>
      </c>
      <c r="AY41" s="889" t="b">
        <f>IF(AND(E41="no",X41=""),TRUE,FALSE)</f>
        <v>0</v>
      </c>
      <c r="AZ41" s="889" t="b">
        <f>IF(OR(AD41="missing info.",AD41=""),FALSE,IF(AD41&lt;BN41,TRUE,FALSE))</f>
        <v>0</v>
      </c>
      <c r="BA41" s="890" t="b">
        <f>IF(OR(AD41="missing info.",AD41=""),FALSE,IF(AD41&gt;BO41,TRUE,FALSE))</f>
        <v>0</v>
      </c>
      <c r="BB41" s="890" t="b">
        <f>IF(AND(E41="no",Z41=""),TRUE,FALSE)</f>
        <v>0</v>
      </c>
      <c r="BC41" s="894" t="b">
        <f>IF(Z41="",FALSE,IF(OR(Z41&gt;BaseYear,Z41&lt;BM41),TRUE,FALSE))</f>
        <v>0</v>
      </c>
      <c r="BD41" s="897" t="str">
        <f>IFERROR(VLOOKUP(H41,Valid!$B$94:$N$96,3,FALSE), "")</f>
        <v/>
      </c>
      <c r="BE41" s="898" t="str">
        <f>IFERROR(VLOOKUP(H41,Valid!$B$94:$N$96,4,FALSE), "")</f>
        <v/>
      </c>
      <c r="BF41" s="897" t="str">
        <f t="shared" si="0"/>
        <v/>
      </c>
      <c r="BG41" s="897" t="str">
        <f t="shared" ca="1" si="1"/>
        <v/>
      </c>
      <c r="BH41" s="1860">
        <f>N41</f>
        <v>0</v>
      </c>
      <c r="BI41" s="1547" t="str">
        <f t="shared" ca="1" si="2"/>
        <v/>
      </c>
      <c r="BJ41" s="898" t="str">
        <f ca="1">IF(BI41="", "", IF(1+(BI41*4)&lt;1, 1, 1+(BI41*4)))</f>
        <v/>
      </c>
      <c r="BK41" s="898" t="str">
        <f t="shared" si="5"/>
        <v/>
      </c>
      <c r="BL41" s="898" t="str">
        <f t="shared" si="5"/>
        <v/>
      </c>
      <c r="BM41" s="1710" t="str">
        <f t="shared" si="5"/>
        <v/>
      </c>
      <c r="BN41" s="1205" t="str">
        <f>IFERROR(VLOOKUP(H41,Valid!$B$94:$N$96,12,FALSE), "")</f>
        <v/>
      </c>
      <c r="BO41" s="1205" t="str">
        <f>IFERROR(VLOOKUP(H41,Valid!$B$94:$N$96,13,FALSE), "")</f>
        <v/>
      </c>
      <c r="BP41" s="894"/>
      <c r="BQ41" s="894"/>
    </row>
    <row r="42" spans="1:69" s="894" customFormat="1" ht="6.75" customHeight="1" thickBot="1" x14ac:dyDescent="0.25">
      <c r="A42" s="1516"/>
      <c r="B42" s="1530">
        <v>15.5</v>
      </c>
      <c r="C42" s="1471"/>
      <c r="D42" s="1541"/>
      <c r="E42" s="1057"/>
      <c r="F42" s="170"/>
      <c r="G42" s="170"/>
      <c r="H42" s="170"/>
      <c r="I42" s="170"/>
      <c r="J42" s="170"/>
      <c r="K42" s="170"/>
      <c r="L42" s="1031"/>
      <c r="M42" s="170"/>
      <c r="N42" s="1031"/>
      <c r="O42" s="892"/>
      <c r="P42" s="836"/>
      <c r="Q42" s="1709"/>
      <c r="R42" s="1806"/>
      <c r="S42" s="1709"/>
      <c r="T42" s="1962"/>
      <c r="U42" s="1709"/>
      <c r="V42" s="1806"/>
      <c r="W42" s="1709"/>
      <c r="X42" s="1027"/>
      <c r="Y42" s="892"/>
      <c r="Z42" s="893"/>
      <c r="AA42" s="892" t="str">
        <f t="shared" si="4"/>
        <v/>
      </c>
      <c r="AB42" s="1030"/>
      <c r="AC42" s="1622"/>
      <c r="AD42" s="1030"/>
      <c r="AF42" s="895"/>
      <c r="AG42" s="896"/>
      <c r="AJ42" s="900"/>
      <c r="AK42" s="1624"/>
      <c r="AO42" s="1152"/>
      <c r="AP42" s="1152"/>
      <c r="AQ42" s="1152"/>
      <c r="AR42" s="1152"/>
      <c r="AS42" s="1152"/>
      <c r="AT42" s="1152"/>
      <c r="AU42" s="1152"/>
      <c r="AV42" s="1152"/>
      <c r="AW42" s="1152"/>
      <c r="AX42" s="1152"/>
      <c r="AY42" s="1448"/>
      <c r="AZ42" s="1448"/>
      <c r="BA42" s="846"/>
      <c r="BB42" s="846"/>
      <c r="BD42" s="897" t="str">
        <f>IFERROR(VLOOKUP(H42,Valid!$B$94:$N$96,3,FALSE), "")</f>
        <v/>
      </c>
      <c r="BE42" s="898" t="str">
        <f>IFERROR(VLOOKUP(H42,Valid!$B$94:$N$96,4,FALSE), "")</f>
        <v/>
      </c>
      <c r="BF42" s="897" t="str">
        <f t="shared" si="0"/>
        <v/>
      </c>
      <c r="BG42" s="897" t="str">
        <f t="shared" ca="1" si="1"/>
        <v/>
      </c>
      <c r="BH42" s="1860" t="str">
        <f>IFERROR(VLOOKUP($H42,val_equip_assets,BH$4,FALSE), "")</f>
        <v/>
      </c>
      <c r="BI42" s="1547" t="str">
        <f t="shared" ca="1" si="2"/>
        <v/>
      </c>
      <c r="BJ42" s="898" t="str">
        <f ca="1">IF(BI42="", "", IF(BI42&lt;0.1, 5, IF(BI42&lt;0.25, 4, IF(BI42&lt;0.5, 3, IF(BI42&lt;0.75, 2, 1)))))</f>
        <v/>
      </c>
      <c r="BK42" s="898" t="str">
        <f t="shared" si="5"/>
        <v/>
      </c>
      <c r="BL42" s="898" t="str">
        <f t="shared" si="5"/>
        <v/>
      </c>
      <c r="BM42" s="1710" t="str">
        <f t="shared" si="5"/>
        <v/>
      </c>
      <c r="BN42" s="1205" t="str">
        <f>IFERROR(VLOOKUP(H42,Valid!$B$94:$N$96,12,FALSE), "")</f>
        <v/>
      </c>
      <c r="BO42" s="1205" t="str">
        <f>IFERROR(VLOOKUP(H42,Valid!$B$94:$N$96,13,FALSE), "")</f>
        <v/>
      </c>
    </row>
    <row r="43" spans="1:69" s="901" customFormat="1" x14ac:dyDescent="0.2">
      <c r="A43" s="206">
        <v>16</v>
      </c>
      <c r="B43" s="1530">
        <v>16</v>
      </c>
      <c r="C43" s="1703"/>
      <c r="D43" s="1248" t="str">
        <f>IF(C41="","",IF(C43="","Enter Service Fleet Description then Fill in columns "&amp;TEXT($H$2,0)&amp;" - "&amp;TEXT($Z$2,0)&amp;"                 ",""))</f>
        <v/>
      </c>
      <c r="E43" s="1245" t="str">
        <f>IF(AK43="N/A","",AK43)</f>
        <v/>
      </c>
      <c r="F43" s="170"/>
      <c r="G43" s="170"/>
      <c r="H43" s="1704"/>
      <c r="I43" s="1246" t="str">
        <f>IF(AND(E43="No",H43=""),"Select Type of Vehicle                        ","")</f>
        <v/>
      </c>
      <c r="J43" s="1247"/>
      <c r="K43" s="1246" t="str">
        <f>IF(AND(C43="No",H43=""),"Number of Vehicles?  ","")</f>
        <v/>
      </c>
      <c r="L43" s="1782" t="str">
        <f>IFERROR(VLOOKUP($H43,val_equip_assets,BH$4,FALSE), "")</f>
        <v/>
      </c>
      <c r="M43" s="1246"/>
      <c r="N43" s="1247"/>
      <c r="O43" s="892" t="str">
        <f>IF(H43="","",IF(AND(E43="No",N43=""),TEXT(BH43,0)&amp;" Years?   ",""))</f>
        <v/>
      </c>
      <c r="P43" s="1705"/>
      <c r="Q43" s="1706" t="str">
        <f>IF(AND(E43="No",P43=""),"Enter Manufact. Yr.     ","")</f>
        <v/>
      </c>
      <c r="R43" s="1952" t="str">
        <f ca="1">BI43</f>
        <v/>
      </c>
      <c r="S43" s="1706"/>
      <c r="T43" s="1963" t="str">
        <f ca="1">BJ43</f>
        <v/>
      </c>
      <c r="U43" s="1706"/>
      <c r="V43" s="1675"/>
      <c r="W43" s="892" t="str">
        <f>IF(AND(E43="No",V43=""),"% of Cap. Resp.    ","")</f>
        <v/>
      </c>
      <c r="X43" s="1655"/>
      <c r="Y43" s="892" t="str">
        <f>IF(AND(E43="No",X43=""),"Estimated $?   ","")</f>
        <v/>
      </c>
      <c r="Z43" s="1707"/>
      <c r="AA43" s="892" t="str">
        <f t="shared" si="4"/>
        <v/>
      </c>
      <c r="AB43" s="1026" t="str">
        <f>IF(E43="","",IF(OR($X43="",$Z43=""),"missing info.",$X43*VLOOKUP($Z43,Inflate,$BF43+1,FALSE)))</f>
        <v/>
      </c>
      <c r="AC43" s="1622"/>
      <c r="AD43" s="1026" t="str">
        <f>IF(E43="","",IF(J43="","missing info.",IF(AB43="missing info.","missing info.",AB43/J43)))</f>
        <v/>
      </c>
      <c r="AE43" s="839"/>
      <c r="AF43" s="1708"/>
      <c r="AG43" s="896"/>
      <c r="AH43" s="894"/>
      <c r="AI43" s="894" t="b">
        <f>IF(AND(C45&lt;&gt;"",C43=""),TRUE,FALSE)</f>
        <v>0</v>
      </c>
      <c r="AJ43" s="902" t="b">
        <f>IF(AND(N43="",P43&lt;&gt;""),TRUE,FALSE)</f>
        <v>0</v>
      </c>
      <c r="AK43" s="720" t="str">
        <f>IF(AND(J43="",AF43="",Z43="",X43="",V43="",N43="",H43="",P43="",C43=""),"N/A",IF(AND(C43&lt;&gt;"",J43&lt;&gt;"",N43&lt;&gt;"",H43&lt;&gt;"",P43&lt;&gt;"",V43&lt;&gt;"",X43&lt;&gt;"",Z43&lt;&gt;""),"Yes","No"))</f>
        <v>N/A</v>
      </c>
      <c r="AL43" s="720" t="b">
        <f>IF(AND(C43="",E43="no"),TRUE,FALSE)</f>
        <v>0</v>
      </c>
      <c r="AM43" s="720" t="b">
        <f>IF(AND(E43="no",H43=""),TRUE,FALSE)</f>
        <v>0</v>
      </c>
      <c r="AN43" s="720" t="b">
        <f>IF(AND(E43="no",H43=""),TRUE,FALSE)</f>
        <v>0</v>
      </c>
      <c r="AO43" s="903" t="b">
        <f>IF($J43="",FALSE,IF($J43&lt;$BD43,TRUE,FALSE))</f>
        <v>0</v>
      </c>
      <c r="AP43" s="903" t="b">
        <f>IF($J43="",FALSE,IF($J43&gt;$BE43,TRUE,FALSE))</f>
        <v>0</v>
      </c>
      <c r="AQ43" s="903" t="b">
        <f>IF(AND(E43="no",N43=""),TRUE,FALSE)</f>
        <v>0</v>
      </c>
      <c r="AR43" s="903" t="b">
        <f>IF(AND(E43="no",P43=""),TRUE,FALSE)</f>
        <v>0</v>
      </c>
      <c r="AS43" s="903" t="b">
        <f>IF(P43="",FALSE,IF(P43&lt;BM43,TRUE,FALSE))</f>
        <v>0</v>
      </c>
      <c r="AT43" s="903" t="b">
        <f>IF(P43="",FALSE,IF(P43&gt;BaseYear,TRUE,FALSE))</f>
        <v>0</v>
      </c>
      <c r="AU43" s="903" t="b">
        <f>IF(AND(E43="no",V43=""),TRUE,FALSE)</f>
        <v>0</v>
      </c>
      <c r="AV43" s="903" t="b">
        <f>IF(V43="",FALSE,IF(OR(V43&gt;1,V43&lt;0),TRUE,FALSE))</f>
        <v>0</v>
      </c>
      <c r="AW43" s="903" t="b">
        <f>IF($N43="",FALSE,IF($N43&lt;$BK43,TRUE,FALSE))</f>
        <v>0</v>
      </c>
      <c r="AX43" s="903" t="b">
        <f>IF($N43="",FALSE,IF($N43&gt;$BL43,TRUE,FALSE))</f>
        <v>0</v>
      </c>
      <c r="AY43" s="889" t="b">
        <f>IF(AND(E43="no",X43=""),TRUE,FALSE)</f>
        <v>0</v>
      </c>
      <c r="AZ43" s="889" t="b">
        <f>IF(OR(AD43="missing info.",AD43=""),FALSE,IF(AD43&lt;BN43,TRUE,FALSE))</f>
        <v>0</v>
      </c>
      <c r="BA43" s="890" t="b">
        <f>IF(OR(AD43="missing info.",AD43=""),FALSE,IF(AD43&gt;BO43,TRUE,FALSE))</f>
        <v>0</v>
      </c>
      <c r="BB43" s="890" t="b">
        <f>IF(AND(E43="no",Z43=""),TRUE,FALSE)</f>
        <v>0</v>
      </c>
      <c r="BC43" s="894" t="b">
        <f>IF(Z43="",FALSE,IF(OR(Z43&gt;BaseYear,Z43&lt;BM43),TRUE,FALSE))</f>
        <v>0</v>
      </c>
      <c r="BD43" s="897" t="str">
        <f>IFERROR(VLOOKUP(H43,Valid!$B$94:$N$96,3,FALSE), "")</f>
        <v/>
      </c>
      <c r="BE43" s="898" t="str">
        <f>IFERROR(VLOOKUP(H43,Valid!$B$94:$N$96,4,FALSE), "")</f>
        <v/>
      </c>
      <c r="BF43" s="897" t="str">
        <f t="shared" si="0"/>
        <v/>
      </c>
      <c r="BG43" s="897" t="str">
        <f t="shared" ca="1" si="1"/>
        <v/>
      </c>
      <c r="BH43" s="1860">
        <f>N43</f>
        <v>0</v>
      </c>
      <c r="BI43" s="1547" t="str">
        <f t="shared" ca="1" si="2"/>
        <v/>
      </c>
      <c r="BJ43" s="898" t="str">
        <f ca="1">IF(BI43="", "", IF(1+(BI43*4)&lt;1, 1, 1+(BI43*4)))</f>
        <v/>
      </c>
      <c r="BK43" s="898" t="str">
        <f t="shared" si="5"/>
        <v/>
      </c>
      <c r="BL43" s="898" t="str">
        <f t="shared" si="5"/>
        <v/>
      </c>
      <c r="BM43" s="1710" t="str">
        <f t="shared" si="5"/>
        <v/>
      </c>
      <c r="BN43" s="1205" t="str">
        <f>IFERROR(VLOOKUP(H43,Valid!$B$94:$N$96,12,FALSE), "")</f>
        <v/>
      </c>
      <c r="BO43" s="1205" t="str">
        <f>IFERROR(VLOOKUP(H43,Valid!$B$94:$N$96,13,FALSE), "")</f>
        <v/>
      </c>
      <c r="BP43" s="894"/>
      <c r="BQ43" s="894"/>
    </row>
    <row r="44" spans="1:69" s="894" customFormat="1" ht="6.75" customHeight="1" thickBot="1" x14ac:dyDescent="0.25">
      <c r="A44" s="1516"/>
      <c r="B44" s="1530">
        <v>16.5</v>
      </c>
      <c r="C44" s="1471"/>
      <c r="D44" s="1541"/>
      <c r="E44" s="1057"/>
      <c r="F44" s="170"/>
      <c r="G44" s="170"/>
      <c r="H44" s="170"/>
      <c r="I44" s="170"/>
      <c r="J44" s="170"/>
      <c r="K44" s="170"/>
      <c r="L44" s="1031"/>
      <c r="M44" s="170"/>
      <c r="N44" s="1031"/>
      <c r="O44" s="892"/>
      <c r="P44" s="836"/>
      <c r="Q44" s="1709"/>
      <c r="R44" s="1806"/>
      <c r="S44" s="1709"/>
      <c r="T44" s="1962"/>
      <c r="U44" s="1709"/>
      <c r="V44" s="1806"/>
      <c r="W44" s="1709"/>
      <c r="X44" s="1027"/>
      <c r="Y44" s="892"/>
      <c r="Z44" s="893"/>
      <c r="AA44" s="892" t="str">
        <f t="shared" si="4"/>
        <v/>
      </c>
      <c r="AB44" s="1030"/>
      <c r="AC44" s="1622"/>
      <c r="AD44" s="1030"/>
      <c r="AF44" s="895"/>
      <c r="AG44" s="896"/>
      <c r="AJ44" s="900"/>
      <c r="AK44" s="1624"/>
      <c r="AO44" s="1152"/>
      <c r="AP44" s="1152"/>
      <c r="AQ44" s="1152"/>
      <c r="AR44" s="1152"/>
      <c r="AS44" s="1152"/>
      <c r="AT44" s="1152"/>
      <c r="AU44" s="1152"/>
      <c r="AV44" s="1152"/>
      <c r="AW44" s="1152"/>
      <c r="AX44" s="1152"/>
      <c r="AY44" s="1448"/>
      <c r="AZ44" s="1448"/>
      <c r="BA44" s="846"/>
      <c r="BB44" s="846"/>
      <c r="BD44" s="897" t="str">
        <f>IFERROR(VLOOKUP(H44,Valid!$B$94:$N$96,3,FALSE), "")</f>
        <v/>
      </c>
      <c r="BE44" s="898" t="str">
        <f>IFERROR(VLOOKUP(H44,Valid!$B$94:$N$96,4,FALSE), "")</f>
        <v/>
      </c>
      <c r="BF44" s="897" t="str">
        <f t="shared" si="0"/>
        <v/>
      </c>
      <c r="BG44" s="897" t="str">
        <f t="shared" ca="1" si="1"/>
        <v/>
      </c>
      <c r="BH44" s="1860" t="str">
        <f>IFERROR(VLOOKUP($H44,val_equip_assets,BH$4,FALSE), "")</f>
        <v/>
      </c>
      <c r="BI44" s="1547" t="str">
        <f t="shared" ca="1" si="2"/>
        <v/>
      </c>
      <c r="BJ44" s="898" t="str">
        <f ca="1">IF(BI44="", "", IF(BI44&lt;0.1, 5, IF(BI44&lt;0.25, 4, IF(BI44&lt;0.5, 3, IF(BI44&lt;0.75, 2, 1)))))</f>
        <v/>
      </c>
      <c r="BK44" s="898" t="str">
        <f t="shared" si="5"/>
        <v/>
      </c>
      <c r="BL44" s="898" t="str">
        <f t="shared" si="5"/>
        <v/>
      </c>
      <c r="BM44" s="1710" t="str">
        <f t="shared" si="5"/>
        <v/>
      </c>
      <c r="BN44" s="1205" t="str">
        <f>IFERROR(VLOOKUP(H44,Valid!$B$94:$N$96,12,FALSE), "")</f>
        <v/>
      </c>
      <c r="BO44" s="1205" t="str">
        <f>IFERROR(VLOOKUP(H44,Valid!$B$94:$N$96,13,FALSE), "")</f>
        <v/>
      </c>
    </row>
    <row r="45" spans="1:69" s="901" customFormat="1" x14ac:dyDescent="0.2">
      <c r="A45" s="206">
        <v>17</v>
      </c>
      <c r="B45" s="1530">
        <v>17</v>
      </c>
      <c r="C45" s="1703"/>
      <c r="D45" s="1248" t="str">
        <f>IF(C43="","",IF(C45="","Enter Service Fleet Description then Fill in columns "&amp;TEXT($H$2,0)&amp;" - "&amp;TEXT($Z$2,0)&amp;"                 ",""))</f>
        <v/>
      </c>
      <c r="E45" s="1245" t="str">
        <f>IF(AK45="N/A","",AK45)</f>
        <v/>
      </c>
      <c r="F45" s="170"/>
      <c r="G45" s="170"/>
      <c r="H45" s="1704"/>
      <c r="I45" s="1246" t="str">
        <f>IF(AND(E45="No",H45=""),"Select Type of Vehicle                        ","")</f>
        <v/>
      </c>
      <c r="J45" s="1247"/>
      <c r="K45" s="1246" t="str">
        <f>IF(AND(C45="No",H45=""),"Number of Vehicles?  ","")</f>
        <v/>
      </c>
      <c r="L45" s="1782" t="str">
        <f>IFERROR(VLOOKUP($H45,val_equip_assets,BH$4,FALSE), "")</f>
        <v/>
      </c>
      <c r="M45" s="1246"/>
      <c r="N45" s="1247"/>
      <c r="O45" s="892" t="str">
        <f>IF(H45="","",IF(AND(E45="No",N45=""),TEXT(BH45,0)&amp;" Years?   ",""))</f>
        <v/>
      </c>
      <c r="P45" s="1705"/>
      <c r="Q45" s="1706" t="str">
        <f>IF(AND(E45="No",P45=""),"Enter Manufact. Yr.     ","")</f>
        <v/>
      </c>
      <c r="R45" s="1952" t="str">
        <f ca="1">BI45</f>
        <v/>
      </c>
      <c r="S45" s="1706"/>
      <c r="T45" s="1963" t="str">
        <f ca="1">BJ45</f>
        <v/>
      </c>
      <c r="U45" s="1706"/>
      <c r="V45" s="1675"/>
      <c r="W45" s="892" t="str">
        <f>IF(AND(E45="No",V45=""),"% of Cap. Resp.    ","")</f>
        <v/>
      </c>
      <c r="X45" s="1655"/>
      <c r="Y45" s="892" t="str">
        <f>IF(AND(E45="No",X45=""),"Estimated $?   ","")</f>
        <v/>
      </c>
      <c r="Z45" s="1707"/>
      <c r="AA45" s="892" t="str">
        <f t="shared" si="4"/>
        <v/>
      </c>
      <c r="AB45" s="1026" t="str">
        <f>IF(E45="","",IF(OR($X45="",$Z45=""),"missing info.",$X45*VLOOKUP($Z45,Inflate,$BF45+1,FALSE)))</f>
        <v/>
      </c>
      <c r="AC45" s="1622"/>
      <c r="AD45" s="1026" t="str">
        <f>IF(E45="","",IF(J45="","missing info.",IF(AB45="missing info.","missing info.",AB45/J45)))</f>
        <v/>
      </c>
      <c r="AE45" s="839"/>
      <c r="AF45" s="1708"/>
      <c r="AG45" s="896"/>
      <c r="AH45" s="894"/>
      <c r="AI45" s="894" t="b">
        <f>IF(AND(C47&lt;&gt;"",C45=""),TRUE,FALSE)</f>
        <v>0</v>
      </c>
      <c r="AJ45" s="902" t="b">
        <f>IF(AND(N45="",P45&lt;&gt;""),TRUE,FALSE)</f>
        <v>0</v>
      </c>
      <c r="AK45" s="720" t="str">
        <f>IF(AND(J45="",AF45="",Z45="",X45="",V45="",N45="",H45="",P45="",C45=""),"N/A",IF(AND(C45&lt;&gt;"",J45&lt;&gt;"",N45&lt;&gt;"",H45&lt;&gt;"",P45&lt;&gt;"",V45&lt;&gt;"",X45&lt;&gt;"",Z45&lt;&gt;""),"Yes","No"))</f>
        <v>N/A</v>
      </c>
      <c r="AL45" s="720" t="b">
        <f>IF(AND(C45="",E45="no"),TRUE,FALSE)</f>
        <v>0</v>
      </c>
      <c r="AM45" s="720" t="b">
        <f>IF(AND(E45="no",H45=""),TRUE,FALSE)</f>
        <v>0</v>
      </c>
      <c r="AN45" s="720" t="b">
        <f>IF(AND(E45="no",H45=""),TRUE,FALSE)</f>
        <v>0</v>
      </c>
      <c r="AO45" s="903" t="b">
        <f>IF($J45="",FALSE,IF($J45&lt;$BD45,TRUE,FALSE))</f>
        <v>0</v>
      </c>
      <c r="AP45" s="903" t="b">
        <f>IF($J45="",FALSE,IF($J45&gt;$BE45,TRUE,FALSE))</f>
        <v>0</v>
      </c>
      <c r="AQ45" s="903" t="b">
        <f>IF(AND(E45="no",N45=""),TRUE,FALSE)</f>
        <v>0</v>
      </c>
      <c r="AR45" s="903" t="b">
        <f>IF(AND(E45="no",P45=""),TRUE,FALSE)</f>
        <v>0</v>
      </c>
      <c r="AS45" s="903" t="b">
        <f>IF(P45="",FALSE,IF(P45&lt;BM45,TRUE,FALSE))</f>
        <v>0</v>
      </c>
      <c r="AT45" s="903" t="b">
        <f>IF(P45="",FALSE,IF(P45&gt;BaseYear,TRUE,FALSE))</f>
        <v>0</v>
      </c>
      <c r="AU45" s="903" t="b">
        <f>IF(AND(E45="no",V45=""),TRUE,FALSE)</f>
        <v>0</v>
      </c>
      <c r="AV45" s="903" t="b">
        <f>IF(V45="",FALSE,IF(OR(V45&gt;1,V45&lt;0),TRUE,FALSE))</f>
        <v>0</v>
      </c>
      <c r="AW45" s="903" t="b">
        <f>IF($N45="",FALSE,IF($N45&lt;$BK45,TRUE,FALSE))</f>
        <v>0</v>
      </c>
      <c r="AX45" s="903" t="b">
        <f>IF($N45="",FALSE,IF($N45&gt;$BL45,TRUE,FALSE))</f>
        <v>0</v>
      </c>
      <c r="AY45" s="889" t="b">
        <f>IF(AND(E45="no",X45=""),TRUE,FALSE)</f>
        <v>0</v>
      </c>
      <c r="AZ45" s="889" t="b">
        <f>IF(OR(AD45="missing info.",AD45=""),FALSE,IF(AD45&lt;BN45,TRUE,FALSE))</f>
        <v>0</v>
      </c>
      <c r="BA45" s="890" t="b">
        <f>IF(OR(AD45="missing info.",AD45=""),FALSE,IF(AD45&gt;BO45,TRUE,FALSE))</f>
        <v>0</v>
      </c>
      <c r="BB45" s="890" t="b">
        <f>IF(AND(E45="no",Z45=""),TRUE,FALSE)</f>
        <v>0</v>
      </c>
      <c r="BC45" s="894" t="b">
        <f>IF(Z45="",FALSE,IF(OR(Z45&gt;BaseYear,Z45&lt;BM45),TRUE,FALSE))</f>
        <v>0</v>
      </c>
      <c r="BD45" s="897" t="str">
        <f>IFERROR(VLOOKUP(H45,Valid!$B$94:$N$96,3,FALSE), "")</f>
        <v/>
      </c>
      <c r="BE45" s="898" t="str">
        <f>IFERROR(VLOOKUP(H45,Valid!$B$94:$N$96,4,FALSE), "")</f>
        <v/>
      </c>
      <c r="BF45" s="897" t="str">
        <f t="shared" ref="BF45:BF76" si="6">IFERROR(VLOOKUP($H45,val_equip_assets,BF$4,FALSE), "")</f>
        <v/>
      </c>
      <c r="BG45" s="897" t="str">
        <f t="shared" ref="BG45:BG76" ca="1" si="7">IF(P45="", "", YEAR(TODAY())-P45)</f>
        <v/>
      </c>
      <c r="BH45" s="1860">
        <f>N45</f>
        <v>0</v>
      </c>
      <c r="BI45" s="1547" t="str">
        <f t="shared" ref="BI45:BI76" ca="1" si="8">IF(OR(BG45="", BH45="",BH45=0), "", 1+ (-1*(BG45/BH45)))</f>
        <v/>
      </c>
      <c r="BJ45" s="898" t="str">
        <f ca="1">IF(BI45="", "", IF(1+(BI45*4)&lt;1, 1, 1+(BI45*4)))</f>
        <v/>
      </c>
      <c r="BK45" s="898" t="str">
        <f t="shared" si="5"/>
        <v/>
      </c>
      <c r="BL45" s="898" t="str">
        <f t="shared" si="5"/>
        <v/>
      </c>
      <c r="BM45" s="1710" t="str">
        <f t="shared" si="5"/>
        <v/>
      </c>
      <c r="BN45" s="1205" t="str">
        <f>IFERROR(VLOOKUP(H45,Valid!$B$94:$N$96,12,FALSE), "")</f>
        <v/>
      </c>
      <c r="BO45" s="1205" t="str">
        <f>IFERROR(VLOOKUP(H45,Valid!$B$94:$N$96,13,FALSE), "")</f>
        <v/>
      </c>
      <c r="BP45" s="894"/>
      <c r="BQ45" s="894"/>
    </row>
    <row r="46" spans="1:69" s="894" customFormat="1" ht="6.75" customHeight="1" thickBot="1" x14ac:dyDescent="0.25">
      <c r="A46" s="1516"/>
      <c r="B46" s="1530">
        <v>17.5</v>
      </c>
      <c r="C46" s="1471"/>
      <c r="D46" s="1541"/>
      <c r="E46" s="1057"/>
      <c r="F46" s="170"/>
      <c r="G46" s="170"/>
      <c r="H46" s="170"/>
      <c r="I46" s="170"/>
      <c r="J46" s="170"/>
      <c r="K46" s="170"/>
      <c r="L46" s="1031"/>
      <c r="M46" s="170"/>
      <c r="N46" s="1031"/>
      <c r="O46" s="892"/>
      <c r="P46" s="836"/>
      <c r="Q46" s="1709"/>
      <c r="R46" s="1806"/>
      <c r="S46" s="1709"/>
      <c r="T46" s="1962"/>
      <c r="U46" s="1709"/>
      <c r="V46" s="1806"/>
      <c r="W46" s="1709"/>
      <c r="X46" s="1027"/>
      <c r="Y46" s="892"/>
      <c r="Z46" s="893"/>
      <c r="AA46" s="892" t="str">
        <f t="shared" si="4"/>
        <v/>
      </c>
      <c r="AB46" s="1030"/>
      <c r="AC46" s="1622"/>
      <c r="AD46" s="1030"/>
      <c r="AF46" s="895"/>
      <c r="AG46" s="896"/>
      <c r="AJ46" s="900"/>
      <c r="AK46" s="1624"/>
      <c r="AO46" s="1152"/>
      <c r="AP46" s="1152"/>
      <c r="AQ46" s="1152"/>
      <c r="AR46" s="1152"/>
      <c r="AS46" s="1152"/>
      <c r="AT46" s="1152"/>
      <c r="AU46" s="1152"/>
      <c r="AV46" s="1152"/>
      <c r="AW46" s="1152"/>
      <c r="AX46" s="1152"/>
      <c r="AY46" s="1448"/>
      <c r="AZ46" s="1448"/>
      <c r="BA46" s="846"/>
      <c r="BB46" s="846"/>
      <c r="BD46" s="897" t="str">
        <f>IFERROR(VLOOKUP(H46,Valid!$B$94:$N$96,3,FALSE), "")</f>
        <v/>
      </c>
      <c r="BE46" s="898" t="str">
        <f>IFERROR(VLOOKUP(H46,Valid!$B$94:$N$96,4,FALSE), "")</f>
        <v/>
      </c>
      <c r="BF46" s="897" t="str">
        <f t="shared" si="6"/>
        <v/>
      </c>
      <c r="BG46" s="897" t="str">
        <f t="shared" ca="1" si="7"/>
        <v/>
      </c>
      <c r="BH46" s="1860" t="str">
        <f>IFERROR(VLOOKUP($H46,val_equip_assets,BH$4,FALSE), "")</f>
        <v/>
      </c>
      <c r="BI46" s="1547" t="str">
        <f t="shared" ca="1" si="8"/>
        <v/>
      </c>
      <c r="BJ46" s="898" t="str">
        <f ca="1">IF(BI46="", "", IF(BI46&lt;0.1, 5, IF(BI46&lt;0.25, 4, IF(BI46&lt;0.5, 3, IF(BI46&lt;0.75, 2, 1)))))</f>
        <v/>
      </c>
      <c r="BK46" s="898" t="str">
        <f t="shared" si="5"/>
        <v/>
      </c>
      <c r="BL46" s="898" t="str">
        <f t="shared" si="5"/>
        <v/>
      </c>
      <c r="BM46" s="1710" t="str">
        <f t="shared" si="5"/>
        <v/>
      </c>
      <c r="BN46" s="1205" t="str">
        <f>IFERROR(VLOOKUP(H46,Valid!$B$94:$N$96,12,FALSE), "")</f>
        <v/>
      </c>
      <c r="BO46" s="1205" t="str">
        <f>IFERROR(VLOOKUP(H46,Valid!$B$94:$N$96,13,FALSE), "")</f>
        <v/>
      </c>
    </row>
    <row r="47" spans="1:69" s="901" customFormat="1" x14ac:dyDescent="0.2">
      <c r="A47" s="206">
        <v>18</v>
      </c>
      <c r="B47" s="1530">
        <v>18</v>
      </c>
      <c r="C47" s="1703"/>
      <c r="D47" s="1248" t="str">
        <f>IF(C45="","",IF(C47="","Enter Service Fleet Description then Fill in columns "&amp;TEXT($H$2,0)&amp;" - "&amp;TEXT($Z$2,0)&amp;"                 ",""))</f>
        <v/>
      </c>
      <c r="E47" s="1245" t="str">
        <f>IF(AK47="N/A","",AK47)</f>
        <v/>
      </c>
      <c r="F47" s="170"/>
      <c r="G47" s="170"/>
      <c r="H47" s="1704"/>
      <c r="I47" s="1246" t="str">
        <f>IF(AND(E47="No",H47=""),"Select Type of Vehicle                        ","")</f>
        <v/>
      </c>
      <c r="J47" s="1247"/>
      <c r="K47" s="1246" t="str">
        <f>IF(AND(C47="No",H47=""),"Number of Vehicles?  ","")</f>
        <v/>
      </c>
      <c r="L47" s="1782" t="str">
        <f>IFERROR(VLOOKUP($H47,val_equip_assets,BH$4,FALSE), "")</f>
        <v/>
      </c>
      <c r="M47" s="1246"/>
      <c r="N47" s="1247"/>
      <c r="O47" s="892" t="str">
        <f>IF(H47="","",IF(AND(E47="No",N47=""),TEXT(BH47,0)&amp;" Years?   ",""))</f>
        <v/>
      </c>
      <c r="P47" s="1705"/>
      <c r="Q47" s="1706" t="str">
        <f>IF(AND(E47="No",P47=""),"Enter Manufact. Yr.     ","")</f>
        <v/>
      </c>
      <c r="R47" s="1952" t="str">
        <f ca="1">BI47</f>
        <v/>
      </c>
      <c r="S47" s="1706"/>
      <c r="T47" s="1963" t="str">
        <f ca="1">BJ47</f>
        <v/>
      </c>
      <c r="U47" s="1706"/>
      <c r="V47" s="1675"/>
      <c r="W47" s="892" t="str">
        <f>IF(AND(E47="No",V47=""),"% of Cap. Resp.    ","")</f>
        <v/>
      </c>
      <c r="X47" s="1655"/>
      <c r="Y47" s="892" t="str">
        <f>IF(AND(E47="No",X47=""),"Estimated $?   ","")</f>
        <v/>
      </c>
      <c r="Z47" s="1707"/>
      <c r="AA47" s="892" t="str">
        <f t="shared" si="4"/>
        <v/>
      </c>
      <c r="AB47" s="1026" t="str">
        <f>IF(E47="","",IF(OR($X47="",$Z47=""),"missing info.",$X47*VLOOKUP($Z47,Inflate,$BF47+1,FALSE)))</f>
        <v/>
      </c>
      <c r="AC47" s="1622"/>
      <c r="AD47" s="1026" t="str">
        <f>IF(E47="","",IF(J47="","missing info.",IF(AB47="missing info.","missing info.",AB47/J47)))</f>
        <v/>
      </c>
      <c r="AE47" s="839"/>
      <c r="AF47" s="1708"/>
      <c r="AG47" s="896"/>
      <c r="AH47" s="894"/>
      <c r="AI47" s="894" t="b">
        <f>IF(AND(C49&lt;&gt;"",C47=""),TRUE,FALSE)</f>
        <v>0</v>
      </c>
      <c r="AJ47" s="902" t="b">
        <f>IF(AND(N47="",P47&lt;&gt;""),TRUE,FALSE)</f>
        <v>0</v>
      </c>
      <c r="AK47" s="720" t="str">
        <f>IF(AND(J47="",AF47="",Z47="",X47="",V47="",N47="",H47="",P47="",C47=""),"N/A",IF(AND(C47&lt;&gt;"",J47&lt;&gt;"",N47&lt;&gt;"",H47&lt;&gt;"",P47&lt;&gt;"",V47&lt;&gt;"",X47&lt;&gt;"",Z47&lt;&gt;""),"Yes","No"))</f>
        <v>N/A</v>
      </c>
      <c r="AL47" s="720" t="b">
        <f>IF(AND(C47="",E47="no"),TRUE,FALSE)</f>
        <v>0</v>
      </c>
      <c r="AM47" s="720" t="b">
        <f>IF(AND(E47="no",H47=""),TRUE,FALSE)</f>
        <v>0</v>
      </c>
      <c r="AN47" s="720" t="b">
        <f>IF(AND(E47="no",H47=""),TRUE,FALSE)</f>
        <v>0</v>
      </c>
      <c r="AO47" s="903" t="b">
        <f>IF($J47="",FALSE,IF($J47&lt;$BD47,TRUE,FALSE))</f>
        <v>0</v>
      </c>
      <c r="AP47" s="903" t="b">
        <f>IF($J47="",FALSE,IF($J47&gt;$BE47,TRUE,FALSE))</f>
        <v>0</v>
      </c>
      <c r="AQ47" s="903" t="b">
        <f>IF(AND(E47="no",N47=""),TRUE,FALSE)</f>
        <v>0</v>
      </c>
      <c r="AR47" s="903" t="b">
        <f>IF(AND(E47="no",P47=""),TRUE,FALSE)</f>
        <v>0</v>
      </c>
      <c r="AS47" s="903" t="b">
        <f>IF(P47="",FALSE,IF(P47&lt;BM47,TRUE,FALSE))</f>
        <v>0</v>
      </c>
      <c r="AT47" s="903" t="b">
        <f>IF(P47="",FALSE,IF(P47&gt;BaseYear,TRUE,FALSE))</f>
        <v>0</v>
      </c>
      <c r="AU47" s="903" t="b">
        <f>IF(AND(E47="no",V47=""),TRUE,FALSE)</f>
        <v>0</v>
      </c>
      <c r="AV47" s="903" t="b">
        <f>IF(V47="",FALSE,IF(OR(V47&gt;1,V47&lt;0),TRUE,FALSE))</f>
        <v>0</v>
      </c>
      <c r="AW47" s="903" t="b">
        <f>IF($N47="",FALSE,IF($N47&lt;$BK47,TRUE,FALSE))</f>
        <v>0</v>
      </c>
      <c r="AX47" s="903" t="b">
        <f>IF($N47="",FALSE,IF($N47&gt;$BL47,TRUE,FALSE))</f>
        <v>0</v>
      </c>
      <c r="AY47" s="889" t="b">
        <f>IF(AND(E47="no",X47=""),TRUE,FALSE)</f>
        <v>0</v>
      </c>
      <c r="AZ47" s="889" t="b">
        <f>IF(OR(AD47="missing info.",AD47=""),FALSE,IF(AD47&lt;BN47,TRUE,FALSE))</f>
        <v>0</v>
      </c>
      <c r="BA47" s="890" t="b">
        <f>IF(OR(AD47="missing info.",AD47=""),FALSE,IF(AD47&gt;BO47,TRUE,FALSE))</f>
        <v>0</v>
      </c>
      <c r="BB47" s="890" t="b">
        <f>IF(AND(E47="no",Z47=""),TRUE,FALSE)</f>
        <v>0</v>
      </c>
      <c r="BC47" s="894" t="b">
        <f>IF(Z47="",FALSE,IF(OR(Z47&gt;BaseYear,Z47&lt;BM47),TRUE,FALSE))</f>
        <v>0</v>
      </c>
      <c r="BD47" s="897" t="str">
        <f>IFERROR(VLOOKUP(H47,Valid!$B$94:$N$96,3,FALSE), "")</f>
        <v/>
      </c>
      <c r="BE47" s="898" t="str">
        <f>IFERROR(VLOOKUP(H47,Valid!$B$94:$N$96,4,FALSE), "")</f>
        <v/>
      </c>
      <c r="BF47" s="897" t="str">
        <f t="shared" si="6"/>
        <v/>
      </c>
      <c r="BG47" s="897" t="str">
        <f t="shared" ca="1" si="7"/>
        <v/>
      </c>
      <c r="BH47" s="1860">
        <f>N47</f>
        <v>0</v>
      </c>
      <c r="BI47" s="1547" t="str">
        <f t="shared" ca="1" si="8"/>
        <v/>
      </c>
      <c r="BJ47" s="898" t="str">
        <f ca="1">IF(BI47="", "", IF(1+(BI47*4)&lt;1, 1, 1+(BI47*4)))</f>
        <v/>
      </c>
      <c r="BK47" s="898" t="str">
        <f t="shared" si="5"/>
        <v/>
      </c>
      <c r="BL47" s="898" t="str">
        <f t="shared" si="5"/>
        <v/>
      </c>
      <c r="BM47" s="1710" t="str">
        <f t="shared" si="5"/>
        <v/>
      </c>
      <c r="BN47" s="1205" t="str">
        <f>IFERROR(VLOOKUP(H47,Valid!$B$94:$N$96,12,FALSE), "")</f>
        <v/>
      </c>
      <c r="BO47" s="1205" t="str">
        <f>IFERROR(VLOOKUP(H47,Valid!$B$94:$N$96,13,FALSE), "")</f>
        <v/>
      </c>
      <c r="BP47" s="894"/>
      <c r="BQ47" s="894"/>
    </row>
    <row r="48" spans="1:69" s="894" customFormat="1" ht="6.75" customHeight="1" thickBot="1" x14ac:dyDescent="0.25">
      <c r="A48" s="1516"/>
      <c r="B48" s="1530">
        <v>18.5</v>
      </c>
      <c r="C48" s="1471"/>
      <c r="D48" s="1541"/>
      <c r="E48" s="1057"/>
      <c r="F48" s="170"/>
      <c r="G48" s="170"/>
      <c r="H48" s="170"/>
      <c r="I48" s="170"/>
      <c r="J48" s="170"/>
      <c r="K48" s="170"/>
      <c r="L48" s="1031"/>
      <c r="M48" s="170"/>
      <c r="N48" s="1031"/>
      <c r="O48" s="892"/>
      <c r="P48" s="836"/>
      <c r="Q48" s="1709"/>
      <c r="R48" s="1806"/>
      <c r="S48" s="1709"/>
      <c r="T48" s="1962"/>
      <c r="U48" s="1709"/>
      <c r="V48" s="1806"/>
      <c r="W48" s="1709"/>
      <c r="X48" s="1027"/>
      <c r="Y48" s="892"/>
      <c r="Z48" s="893"/>
      <c r="AA48" s="892" t="str">
        <f t="shared" si="4"/>
        <v/>
      </c>
      <c r="AB48" s="1030"/>
      <c r="AC48" s="1622"/>
      <c r="AD48" s="1030"/>
      <c r="AF48" s="895"/>
      <c r="AG48" s="896"/>
      <c r="AJ48" s="900"/>
      <c r="AK48" s="1624"/>
      <c r="AO48" s="1152"/>
      <c r="AP48" s="1152"/>
      <c r="AQ48" s="1152"/>
      <c r="AR48" s="1152"/>
      <c r="AS48" s="1152"/>
      <c r="AT48" s="1152"/>
      <c r="AU48" s="1152"/>
      <c r="AV48" s="1152"/>
      <c r="AW48" s="1152"/>
      <c r="AX48" s="1152"/>
      <c r="AY48" s="1448"/>
      <c r="AZ48" s="1448"/>
      <c r="BA48" s="846"/>
      <c r="BB48" s="846"/>
      <c r="BD48" s="897" t="str">
        <f>IFERROR(VLOOKUP(H48,Valid!$B$94:$N$96,3,FALSE), "")</f>
        <v/>
      </c>
      <c r="BE48" s="898" t="str">
        <f>IFERROR(VLOOKUP(H48,Valid!$B$94:$N$96,4,FALSE), "")</f>
        <v/>
      </c>
      <c r="BF48" s="897" t="str">
        <f t="shared" si="6"/>
        <v/>
      </c>
      <c r="BG48" s="897" t="str">
        <f t="shared" ca="1" si="7"/>
        <v/>
      </c>
      <c r="BH48" s="1860" t="str">
        <f>IFERROR(VLOOKUP($H48,val_equip_assets,BH$4,FALSE), "")</f>
        <v/>
      </c>
      <c r="BI48" s="1547" t="str">
        <f t="shared" ca="1" si="8"/>
        <v/>
      </c>
      <c r="BJ48" s="898" t="str">
        <f ca="1">IF(BI48="", "", IF(BI48&lt;0.1, 5, IF(BI48&lt;0.25, 4, IF(BI48&lt;0.5, 3, IF(BI48&lt;0.75, 2, 1)))))</f>
        <v/>
      </c>
      <c r="BK48" s="898" t="str">
        <f t="shared" si="5"/>
        <v/>
      </c>
      <c r="BL48" s="898" t="str">
        <f t="shared" si="5"/>
        <v/>
      </c>
      <c r="BM48" s="1710" t="str">
        <f t="shared" si="5"/>
        <v/>
      </c>
      <c r="BN48" s="1205" t="str">
        <f>IFERROR(VLOOKUP(H48,Valid!$B$94:$N$96,12,FALSE), "")</f>
        <v/>
      </c>
      <c r="BO48" s="1205" t="str">
        <f>IFERROR(VLOOKUP(H48,Valid!$B$94:$N$96,13,FALSE), "")</f>
        <v/>
      </c>
    </row>
    <row r="49" spans="1:69" s="901" customFormat="1" x14ac:dyDescent="0.2">
      <c r="A49" s="206">
        <v>19</v>
      </c>
      <c r="B49" s="1530">
        <v>19</v>
      </c>
      <c r="C49" s="1703"/>
      <c r="D49" s="1248" t="str">
        <f>IF(C47="","",IF(C49="","Enter Service Fleet Description then Fill in columns "&amp;TEXT($H$2,0)&amp;" - "&amp;TEXT($Z$2,0)&amp;"                 ",""))</f>
        <v/>
      </c>
      <c r="E49" s="1245" t="str">
        <f>IF(AK49="N/A","",AK49)</f>
        <v/>
      </c>
      <c r="F49" s="170"/>
      <c r="G49" s="170"/>
      <c r="H49" s="1704"/>
      <c r="I49" s="1246" t="str">
        <f>IF(AND(E49="No",H49=""),"Select Type of Vehicle                        ","")</f>
        <v/>
      </c>
      <c r="J49" s="1247"/>
      <c r="K49" s="1246" t="str">
        <f>IF(AND(C49="No",H49=""),"Number of Vehicles?  ","")</f>
        <v/>
      </c>
      <c r="L49" s="1782" t="str">
        <f>IFERROR(VLOOKUP($H49,val_equip_assets,BH$4,FALSE), "")</f>
        <v/>
      </c>
      <c r="M49" s="1246"/>
      <c r="N49" s="1247"/>
      <c r="O49" s="892" t="str">
        <f>IF(H49="","",IF(AND(E49="No",N49=""),TEXT(BH49,0)&amp;" Years?   ",""))</f>
        <v/>
      </c>
      <c r="P49" s="1705"/>
      <c r="Q49" s="1706" t="str">
        <f>IF(AND(E49="No",P49=""),"Enter Manufact. Yr.     ","")</f>
        <v/>
      </c>
      <c r="R49" s="1952" t="str">
        <f ca="1">BI49</f>
        <v/>
      </c>
      <c r="S49" s="1706"/>
      <c r="T49" s="1963" t="str">
        <f ca="1">BJ49</f>
        <v/>
      </c>
      <c r="U49" s="1706"/>
      <c r="V49" s="1675"/>
      <c r="W49" s="892" t="str">
        <f>IF(AND(E49="No",V49=""),"% of Cap. Resp.    ","")</f>
        <v/>
      </c>
      <c r="X49" s="1655"/>
      <c r="Y49" s="892" t="str">
        <f>IF(AND(E49="No",X49=""),"Estimated $?   ","")</f>
        <v/>
      </c>
      <c r="Z49" s="1707"/>
      <c r="AA49" s="892" t="str">
        <f t="shared" si="4"/>
        <v/>
      </c>
      <c r="AB49" s="1026" t="str">
        <f>IF(E49="","",IF(OR($X49="",$Z49=""),"missing info.",$X49*VLOOKUP($Z49,Inflate,$BF49+1,FALSE)))</f>
        <v/>
      </c>
      <c r="AC49" s="1622"/>
      <c r="AD49" s="1026" t="str">
        <f>IF(E49="","",IF(J49="","missing info.",IF(AB49="missing info.","missing info.",AB49/J49)))</f>
        <v/>
      </c>
      <c r="AE49" s="839"/>
      <c r="AF49" s="1708"/>
      <c r="AG49" s="896"/>
      <c r="AH49" s="894"/>
      <c r="AI49" s="894" t="b">
        <f>IF(AND(C51&lt;&gt;"",C49=""),TRUE,FALSE)</f>
        <v>0</v>
      </c>
      <c r="AJ49" s="902" t="b">
        <f>IF(AND(N49="",P49&lt;&gt;""),TRUE,FALSE)</f>
        <v>0</v>
      </c>
      <c r="AK49" s="720" t="str">
        <f>IF(AND(J49="",AF49="",Z49="",X49="",V49="",N49="",H49="",P49="",C49=""),"N/A",IF(AND(C49&lt;&gt;"",J49&lt;&gt;"",N49&lt;&gt;"",H49&lt;&gt;"",P49&lt;&gt;"",V49&lt;&gt;"",X49&lt;&gt;"",Z49&lt;&gt;""),"Yes","No"))</f>
        <v>N/A</v>
      </c>
      <c r="AL49" s="720" t="b">
        <f>IF(AND(C49="",E49="no"),TRUE,FALSE)</f>
        <v>0</v>
      </c>
      <c r="AM49" s="720" t="b">
        <f>IF(AND(E49="no",H49=""),TRUE,FALSE)</f>
        <v>0</v>
      </c>
      <c r="AN49" s="720" t="b">
        <f>IF(AND(E49="no",H49=""),TRUE,FALSE)</f>
        <v>0</v>
      </c>
      <c r="AO49" s="903" t="b">
        <f>IF($J49="",FALSE,IF($J49&lt;$BD49,TRUE,FALSE))</f>
        <v>0</v>
      </c>
      <c r="AP49" s="903" t="b">
        <f>IF($J49="",FALSE,IF($J49&gt;$BE49,TRUE,FALSE))</f>
        <v>0</v>
      </c>
      <c r="AQ49" s="903" t="b">
        <f>IF(AND(E49="no",N49=""),TRUE,FALSE)</f>
        <v>0</v>
      </c>
      <c r="AR49" s="903" t="b">
        <f>IF(AND(E49="no",P49=""),TRUE,FALSE)</f>
        <v>0</v>
      </c>
      <c r="AS49" s="903" t="b">
        <f>IF(P49="",FALSE,IF(P49&lt;BM49,TRUE,FALSE))</f>
        <v>0</v>
      </c>
      <c r="AT49" s="903" t="b">
        <f>IF(P49="",FALSE,IF(P49&gt;BaseYear,TRUE,FALSE))</f>
        <v>0</v>
      </c>
      <c r="AU49" s="903" t="b">
        <f>IF(AND(E49="no",V49=""),TRUE,FALSE)</f>
        <v>0</v>
      </c>
      <c r="AV49" s="903" t="b">
        <f>IF(V49="",FALSE,IF(OR(V49&gt;1,V49&lt;0),TRUE,FALSE))</f>
        <v>0</v>
      </c>
      <c r="AW49" s="903" t="b">
        <f>IF($N49="",FALSE,IF($N49&lt;$BK49,TRUE,FALSE))</f>
        <v>0</v>
      </c>
      <c r="AX49" s="903" t="b">
        <f>IF($N49="",FALSE,IF($N49&gt;$BL49,TRUE,FALSE))</f>
        <v>0</v>
      </c>
      <c r="AY49" s="889" t="b">
        <f>IF(AND(E49="no",X49=""),TRUE,FALSE)</f>
        <v>0</v>
      </c>
      <c r="AZ49" s="889" t="b">
        <f>IF(OR(AD49="missing info.",AD49=""),FALSE,IF(AD49&lt;BN49,TRUE,FALSE))</f>
        <v>0</v>
      </c>
      <c r="BA49" s="890" t="b">
        <f>IF(OR(AD49="missing info.",AD49=""),FALSE,IF(AD49&gt;BO49,TRUE,FALSE))</f>
        <v>0</v>
      </c>
      <c r="BB49" s="890" t="b">
        <f>IF(AND(E49="no",Z49=""),TRUE,FALSE)</f>
        <v>0</v>
      </c>
      <c r="BC49" s="894" t="b">
        <f>IF(Z49="",FALSE,IF(OR(Z49&gt;BaseYear,Z49&lt;BM49),TRUE,FALSE))</f>
        <v>0</v>
      </c>
      <c r="BD49" s="897" t="str">
        <f>IFERROR(VLOOKUP(H49,Valid!$B$94:$N$96,3,FALSE), "")</f>
        <v/>
      </c>
      <c r="BE49" s="898" t="str">
        <f>IFERROR(VLOOKUP(H49,Valid!$B$94:$N$96,4,FALSE), "")</f>
        <v/>
      </c>
      <c r="BF49" s="897" t="str">
        <f t="shared" si="6"/>
        <v/>
      </c>
      <c r="BG49" s="897" t="str">
        <f t="shared" ca="1" si="7"/>
        <v/>
      </c>
      <c r="BH49" s="1860">
        <f>N49</f>
        <v>0</v>
      </c>
      <c r="BI49" s="1547" t="str">
        <f t="shared" ca="1" si="8"/>
        <v/>
      </c>
      <c r="BJ49" s="898" t="str">
        <f ca="1">IF(BI49="", "", IF(1+(BI49*4)&lt;1, 1, 1+(BI49*4)))</f>
        <v/>
      </c>
      <c r="BK49" s="898" t="str">
        <f t="shared" si="5"/>
        <v/>
      </c>
      <c r="BL49" s="898" t="str">
        <f t="shared" si="5"/>
        <v/>
      </c>
      <c r="BM49" s="1710" t="str">
        <f t="shared" si="5"/>
        <v/>
      </c>
      <c r="BN49" s="1205" t="str">
        <f>IFERROR(VLOOKUP(H49,Valid!$B$94:$N$96,12,FALSE), "")</f>
        <v/>
      </c>
      <c r="BO49" s="1205" t="str">
        <f>IFERROR(VLOOKUP(H49,Valid!$B$94:$N$96,13,FALSE), "")</f>
        <v/>
      </c>
      <c r="BP49" s="894"/>
      <c r="BQ49" s="894"/>
    </row>
    <row r="50" spans="1:69" s="894" customFormat="1" ht="6.75" customHeight="1" thickBot="1" x14ac:dyDescent="0.25">
      <c r="A50" s="1516"/>
      <c r="B50" s="1530">
        <v>19.5</v>
      </c>
      <c r="C50" s="1471"/>
      <c r="D50" s="1541"/>
      <c r="E50" s="1057"/>
      <c r="F50" s="170"/>
      <c r="G50" s="170"/>
      <c r="H50" s="170"/>
      <c r="I50" s="170"/>
      <c r="J50" s="170"/>
      <c r="K50" s="170"/>
      <c r="L50" s="1031"/>
      <c r="M50" s="170"/>
      <c r="N50" s="1031"/>
      <c r="O50" s="892"/>
      <c r="P50" s="836"/>
      <c r="Q50" s="1709"/>
      <c r="R50" s="1806"/>
      <c r="S50" s="1709"/>
      <c r="T50" s="1962"/>
      <c r="U50" s="1709"/>
      <c r="V50" s="1806"/>
      <c r="W50" s="1709"/>
      <c r="X50" s="1027"/>
      <c r="Y50" s="892"/>
      <c r="Z50" s="893"/>
      <c r="AA50" s="892" t="str">
        <f t="shared" si="4"/>
        <v/>
      </c>
      <c r="AB50" s="1030"/>
      <c r="AC50" s="1622"/>
      <c r="AD50" s="1030"/>
      <c r="AF50" s="895"/>
      <c r="AG50" s="896"/>
      <c r="AJ50" s="900"/>
      <c r="AK50" s="1624"/>
      <c r="AO50" s="1152"/>
      <c r="AP50" s="1152"/>
      <c r="AQ50" s="1152"/>
      <c r="AR50" s="1152"/>
      <c r="AS50" s="1152"/>
      <c r="AT50" s="1152"/>
      <c r="AU50" s="1152"/>
      <c r="AV50" s="1152"/>
      <c r="AW50" s="1152"/>
      <c r="AX50" s="1152"/>
      <c r="AY50" s="1448"/>
      <c r="AZ50" s="1448"/>
      <c r="BA50" s="846"/>
      <c r="BB50" s="846"/>
      <c r="BD50" s="897" t="str">
        <f>IFERROR(VLOOKUP(H50,Valid!$B$94:$N$96,3,FALSE), "")</f>
        <v/>
      </c>
      <c r="BE50" s="898" t="str">
        <f>IFERROR(VLOOKUP(H50,Valid!$B$94:$N$96,4,FALSE), "")</f>
        <v/>
      </c>
      <c r="BF50" s="897" t="str">
        <f t="shared" si="6"/>
        <v/>
      </c>
      <c r="BG50" s="897" t="str">
        <f t="shared" ca="1" si="7"/>
        <v/>
      </c>
      <c r="BH50" s="1860" t="str">
        <f>IFERROR(VLOOKUP($H50,val_equip_assets,BH$4,FALSE), "")</f>
        <v/>
      </c>
      <c r="BI50" s="1547" t="str">
        <f t="shared" ca="1" si="8"/>
        <v/>
      </c>
      <c r="BJ50" s="898" t="str">
        <f ca="1">IF(BI50="", "", IF(BI50&lt;0.1, 5, IF(BI50&lt;0.25, 4, IF(BI50&lt;0.5, 3, IF(BI50&lt;0.75, 2, 1)))))</f>
        <v/>
      </c>
      <c r="BK50" s="898" t="str">
        <f t="shared" si="5"/>
        <v/>
      </c>
      <c r="BL50" s="898" t="str">
        <f t="shared" si="5"/>
        <v/>
      </c>
      <c r="BM50" s="1710" t="str">
        <f t="shared" si="5"/>
        <v/>
      </c>
      <c r="BN50" s="1205" t="str">
        <f>IFERROR(VLOOKUP(H50,Valid!$B$94:$N$96,12,FALSE), "")</f>
        <v/>
      </c>
      <c r="BO50" s="1205" t="str">
        <f>IFERROR(VLOOKUP(H50,Valid!$B$94:$N$96,13,FALSE), "")</f>
        <v/>
      </c>
    </row>
    <row r="51" spans="1:69" s="901" customFormat="1" x14ac:dyDescent="0.2">
      <c r="A51" s="206">
        <v>20</v>
      </c>
      <c r="B51" s="1530">
        <v>20</v>
      </c>
      <c r="C51" s="1703"/>
      <c r="D51" s="1248" t="str">
        <f>IF(C49="","",IF(C51="","Enter Service Fleet Description then Fill in columns "&amp;TEXT($H$2,0)&amp;" - "&amp;TEXT($Z$2,0)&amp;"                 ",""))</f>
        <v/>
      </c>
      <c r="E51" s="1245" t="str">
        <f>IF(AK51="N/A","",AK51)</f>
        <v/>
      </c>
      <c r="F51" s="170"/>
      <c r="G51" s="170"/>
      <c r="H51" s="1704"/>
      <c r="I51" s="1246" t="str">
        <f>IF(AND(E51="No",H51=""),"Select Type of Vehicle                        ","")</f>
        <v/>
      </c>
      <c r="J51" s="1247"/>
      <c r="K51" s="1246" t="str">
        <f>IF(AND(C51="No",H51=""),"Number of Vehicles?  ","")</f>
        <v/>
      </c>
      <c r="L51" s="1782" t="str">
        <f>IFERROR(VLOOKUP($H51,val_equip_assets,BH$4,FALSE), "")</f>
        <v/>
      </c>
      <c r="M51" s="1246"/>
      <c r="N51" s="1247"/>
      <c r="O51" s="892" t="str">
        <f>IF(H51="","",IF(AND(E51="No",N51=""),TEXT(BH51,0)&amp;" Years?   ",""))</f>
        <v/>
      </c>
      <c r="P51" s="1705"/>
      <c r="Q51" s="1706" t="str">
        <f>IF(AND(E51="No",P51=""),"Enter Manufact. Yr.     ","")</f>
        <v/>
      </c>
      <c r="R51" s="1952" t="str">
        <f ca="1">BI51</f>
        <v/>
      </c>
      <c r="S51" s="1706"/>
      <c r="T51" s="1963" t="str">
        <f ca="1">BJ51</f>
        <v/>
      </c>
      <c r="U51" s="1706"/>
      <c r="V51" s="1675"/>
      <c r="W51" s="892" t="str">
        <f>IF(AND(E51="No",V51=""),"% of Cap. Resp.    ","")</f>
        <v/>
      </c>
      <c r="X51" s="1655"/>
      <c r="Y51" s="892" t="str">
        <f>IF(AND(E51="No",X51=""),"Estimated $?   ","")</f>
        <v/>
      </c>
      <c r="Z51" s="1707"/>
      <c r="AA51" s="892" t="str">
        <f t="shared" ref="AA51:AA82" si="9">IF(AND(E51="No",Z51=""),"Yr.$?      ","")</f>
        <v/>
      </c>
      <c r="AB51" s="1026" t="str">
        <f>IF(E51="","",IF(OR($X51="",$Z51=""),"missing info.",$X51*VLOOKUP($Z51,Inflate,$BF51+1,FALSE)))</f>
        <v/>
      </c>
      <c r="AC51" s="1622"/>
      <c r="AD51" s="1026" t="str">
        <f>IF(E51="","",IF(J51="","missing info.",IF(AB51="missing info.","missing info.",AB51/J51)))</f>
        <v/>
      </c>
      <c r="AE51" s="839"/>
      <c r="AF51" s="1708"/>
      <c r="AG51" s="896"/>
      <c r="AH51" s="894"/>
      <c r="AI51" s="894" t="b">
        <f>IF(AND(C53&lt;&gt;"",C51=""),TRUE,FALSE)</f>
        <v>0</v>
      </c>
      <c r="AJ51" s="902" t="b">
        <f>IF(AND(N51="",P51&lt;&gt;""),TRUE,FALSE)</f>
        <v>0</v>
      </c>
      <c r="AK51" s="720" t="str">
        <f>IF(AND(J51="",AF51="",Z51="",X51="",V51="",N51="",H51="",P51="",C51=""),"N/A",IF(AND(C51&lt;&gt;"",J51&lt;&gt;"",N51&lt;&gt;"",H51&lt;&gt;"",P51&lt;&gt;"",V51&lt;&gt;"",X51&lt;&gt;"",Z51&lt;&gt;""),"Yes","No"))</f>
        <v>N/A</v>
      </c>
      <c r="AL51" s="720" t="b">
        <f>IF(AND(C51="",E51="no"),TRUE,FALSE)</f>
        <v>0</v>
      </c>
      <c r="AM51" s="720" t="b">
        <f>IF(AND(E51="no",H51=""),TRUE,FALSE)</f>
        <v>0</v>
      </c>
      <c r="AN51" s="720" t="b">
        <f>IF(AND(E51="no",H51=""),TRUE,FALSE)</f>
        <v>0</v>
      </c>
      <c r="AO51" s="903" t="b">
        <f>IF($J51="",FALSE,IF($J51&lt;$BD51,TRUE,FALSE))</f>
        <v>0</v>
      </c>
      <c r="AP51" s="903" t="b">
        <f>IF($J51="",FALSE,IF($J51&gt;$BE51,TRUE,FALSE))</f>
        <v>0</v>
      </c>
      <c r="AQ51" s="903" t="b">
        <f>IF(AND(E51="no",N51=""),TRUE,FALSE)</f>
        <v>0</v>
      </c>
      <c r="AR51" s="903" t="b">
        <f>IF(AND(E51="no",P51=""),TRUE,FALSE)</f>
        <v>0</v>
      </c>
      <c r="AS51" s="903" t="b">
        <f>IF(P51="",FALSE,IF(P51&lt;BM51,TRUE,FALSE))</f>
        <v>0</v>
      </c>
      <c r="AT51" s="903" t="b">
        <f>IF(P51="",FALSE,IF(P51&gt;BaseYear,TRUE,FALSE))</f>
        <v>0</v>
      </c>
      <c r="AU51" s="903" t="b">
        <f>IF(AND(E51="no",V51=""),TRUE,FALSE)</f>
        <v>0</v>
      </c>
      <c r="AV51" s="903" t="b">
        <f>IF(V51="",FALSE,IF(OR(V51&gt;1,V51&lt;0),TRUE,FALSE))</f>
        <v>0</v>
      </c>
      <c r="AW51" s="903" t="b">
        <f>IF($N51="",FALSE,IF($N51&lt;$BK51,TRUE,FALSE))</f>
        <v>0</v>
      </c>
      <c r="AX51" s="903" t="b">
        <f>IF($N51="",FALSE,IF($N51&gt;$BL51,TRUE,FALSE))</f>
        <v>0</v>
      </c>
      <c r="AY51" s="889" t="b">
        <f>IF(AND(E51="no",X51=""),TRUE,FALSE)</f>
        <v>0</v>
      </c>
      <c r="AZ51" s="889" t="b">
        <f>IF(OR(AD51="missing info.",AD51=""),FALSE,IF(AD51&lt;BN51,TRUE,FALSE))</f>
        <v>0</v>
      </c>
      <c r="BA51" s="890" t="b">
        <f>IF(OR(AD51="missing info.",AD51=""),FALSE,IF(AD51&gt;BO51,TRUE,FALSE))</f>
        <v>0</v>
      </c>
      <c r="BB51" s="890" t="b">
        <f>IF(AND(E51="no",Z51=""),TRUE,FALSE)</f>
        <v>0</v>
      </c>
      <c r="BC51" s="894" t="b">
        <f>IF(Z51="",FALSE,IF(OR(Z51&gt;BaseYear,Z51&lt;BM51),TRUE,FALSE))</f>
        <v>0</v>
      </c>
      <c r="BD51" s="897" t="str">
        <f>IFERROR(VLOOKUP(H51,Valid!$B$94:$N$96,3,FALSE), "")</f>
        <v/>
      </c>
      <c r="BE51" s="898" t="str">
        <f>IFERROR(VLOOKUP(H51,Valid!$B$94:$N$96,4,FALSE), "")</f>
        <v/>
      </c>
      <c r="BF51" s="897" t="str">
        <f t="shared" si="6"/>
        <v/>
      </c>
      <c r="BG51" s="897" t="str">
        <f t="shared" ca="1" si="7"/>
        <v/>
      </c>
      <c r="BH51" s="1860">
        <f>N51</f>
        <v>0</v>
      </c>
      <c r="BI51" s="1547" t="str">
        <f t="shared" ca="1" si="8"/>
        <v/>
      </c>
      <c r="BJ51" s="898" t="str">
        <f ca="1">IF(BI51="", "", IF(1+(BI51*4)&lt;1, 1, 1+(BI51*4)))</f>
        <v/>
      </c>
      <c r="BK51" s="898" t="str">
        <f t="shared" si="5"/>
        <v/>
      </c>
      <c r="BL51" s="898" t="str">
        <f t="shared" si="5"/>
        <v/>
      </c>
      <c r="BM51" s="1710" t="str">
        <f t="shared" si="5"/>
        <v/>
      </c>
      <c r="BN51" s="1205" t="str">
        <f>IFERROR(VLOOKUP(H51,Valid!$B$94:$N$96,12,FALSE), "")</f>
        <v/>
      </c>
      <c r="BO51" s="1205" t="str">
        <f>IFERROR(VLOOKUP(H51,Valid!$B$94:$N$96,13,FALSE), "")</f>
        <v/>
      </c>
      <c r="BP51" s="894"/>
      <c r="BQ51" s="894"/>
    </row>
    <row r="52" spans="1:69" s="894" customFormat="1" ht="6.75" customHeight="1" thickBot="1" x14ac:dyDescent="0.25">
      <c r="A52" s="1516"/>
      <c r="B52" s="1530">
        <v>20.5</v>
      </c>
      <c r="C52" s="1471"/>
      <c r="D52" s="1541"/>
      <c r="E52" s="1057"/>
      <c r="F52" s="170"/>
      <c r="G52" s="170"/>
      <c r="H52" s="170"/>
      <c r="I52" s="170"/>
      <c r="J52" s="170"/>
      <c r="K52" s="170"/>
      <c r="L52" s="1031"/>
      <c r="M52" s="170"/>
      <c r="N52" s="1031"/>
      <c r="O52" s="892"/>
      <c r="P52" s="836"/>
      <c r="Q52" s="1709"/>
      <c r="R52" s="1806"/>
      <c r="S52" s="1709"/>
      <c r="T52" s="1962"/>
      <c r="U52" s="1709"/>
      <c r="V52" s="1806"/>
      <c r="W52" s="1709"/>
      <c r="X52" s="1027"/>
      <c r="Y52" s="892"/>
      <c r="Z52" s="893"/>
      <c r="AA52" s="892" t="str">
        <f t="shared" si="9"/>
        <v/>
      </c>
      <c r="AB52" s="1030"/>
      <c r="AC52" s="1622"/>
      <c r="AD52" s="1030"/>
      <c r="AF52" s="895"/>
      <c r="AG52" s="896"/>
      <c r="AJ52" s="900"/>
      <c r="AK52" s="1624"/>
      <c r="AO52" s="1152"/>
      <c r="AP52" s="1152"/>
      <c r="AQ52" s="1152"/>
      <c r="AR52" s="1152"/>
      <c r="AS52" s="1152"/>
      <c r="AT52" s="1152"/>
      <c r="AU52" s="1152"/>
      <c r="AV52" s="1152"/>
      <c r="AW52" s="1152"/>
      <c r="AX52" s="1152"/>
      <c r="AY52" s="1448"/>
      <c r="AZ52" s="1448"/>
      <c r="BA52" s="846"/>
      <c r="BB52" s="846"/>
      <c r="BD52" s="897" t="str">
        <f>IFERROR(VLOOKUP(H52,Valid!$B$94:$N$96,3,FALSE), "")</f>
        <v/>
      </c>
      <c r="BE52" s="898" t="str">
        <f>IFERROR(VLOOKUP(H52,Valid!$B$94:$N$96,4,FALSE), "")</f>
        <v/>
      </c>
      <c r="BF52" s="897" t="str">
        <f t="shared" si="6"/>
        <v/>
      </c>
      <c r="BG52" s="897" t="str">
        <f t="shared" ca="1" si="7"/>
        <v/>
      </c>
      <c r="BH52" s="1860" t="str">
        <f>IFERROR(VLOOKUP($H52,val_equip_assets,BH$4,FALSE), "")</f>
        <v/>
      </c>
      <c r="BI52" s="1547" t="str">
        <f t="shared" ca="1" si="8"/>
        <v/>
      </c>
      <c r="BJ52" s="898" t="str">
        <f ca="1">IF(BI52="", "", IF(BI52&lt;0.1, 5, IF(BI52&lt;0.25, 4, IF(BI52&lt;0.5, 3, IF(BI52&lt;0.75, 2, 1)))))</f>
        <v/>
      </c>
      <c r="BK52" s="898" t="str">
        <f t="shared" si="5"/>
        <v/>
      </c>
      <c r="BL52" s="898" t="str">
        <f t="shared" si="5"/>
        <v/>
      </c>
      <c r="BM52" s="1710" t="str">
        <f t="shared" si="5"/>
        <v/>
      </c>
      <c r="BN52" s="1205" t="str">
        <f>IFERROR(VLOOKUP(H52,Valid!$B$94:$N$96,12,FALSE), "")</f>
        <v/>
      </c>
      <c r="BO52" s="1205" t="str">
        <f>IFERROR(VLOOKUP(H52,Valid!$B$94:$N$96,13,FALSE), "")</f>
        <v/>
      </c>
    </row>
    <row r="53" spans="1:69" s="901" customFormat="1" x14ac:dyDescent="0.2">
      <c r="A53" s="206">
        <v>21</v>
      </c>
      <c r="B53" s="1530">
        <v>21</v>
      </c>
      <c r="C53" s="1703"/>
      <c r="D53" s="1248" t="str">
        <f>IF(C51="","",IF(C53="","Enter Service Fleet Description then Fill in columns "&amp;TEXT($H$2,0)&amp;" - "&amp;TEXT($Z$2,0)&amp;"                 ",""))</f>
        <v/>
      </c>
      <c r="E53" s="1245" t="str">
        <f>IF(AK53="N/A","",AK53)</f>
        <v/>
      </c>
      <c r="F53" s="170"/>
      <c r="G53" s="170"/>
      <c r="H53" s="1704"/>
      <c r="I53" s="1246" t="str">
        <f>IF(AND(E53="No",H53=""),"Select Type of Vehicle                        ","")</f>
        <v/>
      </c>
      <c r="J53" s="1247"/>
      <c r="K53" s="1246" t="str">
        <f>IF(AND(C53="No",H53=""),"Number of Vehicles?  ","")</f>
        <v/>
      </c>
      <c r="L53" s="1782" t="str">
        <f>IFERROR(VLOOKUP($H53,val_equip_assets,BH$4,FALSE), "")</f>
        <v/>
      </c>
      <c r="M53" s="1246"/>
      <c r="N53" s="1247"/>
      <c r="O53" s="892" t="str">
        <f>IF(H53="","",IF(AND(E53="No",N53=""),TEXT(BH53,0)&amp;" Years?   ",""))</f>
        <v/>
      </c>
      <c r="P53" s="1705"/>
      <c r="Q53" s="1706" t="str">
        <f>IF(AND(E53="No",P53=""),"Enter Manufact. Yr.     ","")</f>
        <v/>
      </c>
      <c r="R53" s="1952" t="str">
        <f ca="1">BI53</f>
        <v/>
      </c>
      <c r="S53" s="1706"/>
      <c r="T53" s="1963" t="str">
        <f ca="1">BJ53</f>
        <v/>
      </c>
      <c r="U53" s="1706"/>
      <c r="V53" s="1675"/>
      <c r="W53" s="892" t="str">
        <f>IF(AND(E53="No",V53=""),"% of Cap. Resp.    ","")</f>
        <v/>
      </c>
      <c r="X53" s="1655"/>
      <c r="Y53" s="892" t="str">
        <f>IF(AND(E53="No",X53=""),"Estimated $?   ","")</f>
        <v/>
      </c>
      <c r="Z53" s="1707"/>
      <c r="AA53" s="892" t="str">
        <f t="shared" si="9"/>
        <v/>
      </c>
      <c r="AB53" s="1026" t="str">
        <f>IF(E53="","",IF(OR($X53="",$Z53=""),"missing info.",$X53*VLOOKUP($Z53,Inflate,$BF53+1,FALSE)))</f>
        <v/>
      </c>
      <c r="AC53" s="1622"/>
      <c r="AD53" s="1026" t="str">
        <f>IF(E53="","",IF(J53="","missing info.",IF(AB53="missing info.","missing info.",AB53/J53)))</f>
        <v/>
      </c>
      <c r="AE53" s="839"/>
      <c r="AF53" s="1708"/>
      <c r="AG53" s="896"/>
      <c r="AH53" s="894"/>
      <c r="AI53" s="894" t="b">
        <f>IF(AND(C55&lt;&gt;"",C53=""),TRUE,FALSE)</f>
        <v>0</v>
      </c>
      <c r="AJ53" s="902" t="b">
        <f>IF(AND(N53="",P53&lt;&gt;""),TRUE,FALSE)</f>
        <v>0</v>
      </c>
      <c r="AK53" s="720" t="str">
        <f>IF(AND(J53="",AF53="",Z53="",X53="",V53="",N53="",H53="",P53="",C53=""),"N/A",IF(AND(C53&lt;&gt;"",J53&lt;&gt;"",N53&lt;&gt;"",H53&lt;&gt;"",P53&lt;&gt;"",V53&lt;&gt;"",X53&lt;&gt;"",Z53&lt;&gt;""),"Yes","No"))</f>
        <v>N/A</v>
      </c>
      <c r="AL53" s="720" t="b">
        <f>IF(AND(C53="",E53="no"),TRUE,FALSE)</f>
        <v>0</v>
      </c>
      <c r="AM53" s="720" t="b">
        <f>IF(AND(E53="no",H53=""),TRUE,FALSE)</f>
        <v>0</v>
      </c>
      <c r="AN53" s="720" t="b">
        <f>IF(AND(E53="no",H53=""),TRUE,FALSE)</f>
        <v>0</v>
      </c>
      <c r="AO53" s="903" t="b">
        <f>IF($J53="",FALSE,IF($J53&lt;$BD53,TRUE,FALSE))</f>
        <v>0</v>
      </c>
      <c r="AP53" s="903" t="b">
        <f>IF($J53="",FALSE,IF($J53&gt;$BE53,TRUE,FALSE))</f>
        <v>0</v>
      </c>
      <c r="AQ53" s="903" t="b">
        <f>IF(AND(E53="no",N53=""),TRUE,FALSE)</f>
        <v>0</v>
      </c>
      <c r="AR53" s="903" t="b">
        <f>IF(AND(E53="no",P53=""),TRUE,FALSE)</f>
        <v>0</v>
      </c>
      <c r="AS53" s="903" t="b">
        <f>IF(P53="",FALSE,IF(P53&lt;BM53,TRUE,FALSE))</f>
        <v>0</v>
      </c>
      <c r="AT53" s="903" t="b">
        <f>IF(P53="",FALSE,IF(P53&gt;BaseYear,TRUE,FALSE))</f>
        <v>0</v>
      </c>
      <c r="AU53" s="903" t="b">
        <f>IF(AND(E53="no",V53=""),TRUE,FALSE)</f>
        <v>0</v>
      </c>
      <c r="AV53" s="903" t="b">
        <f>IF(V53="",FALSE,IF(OR(V53&gt;1,V53&lt;0),TRUE,FALSE))</f>
        <v>0</v>
      </c>
      <c r="AW53" s="903" t="b">
        <f>IF($N53="",FALSE,IF($N53&lt;$BK53,TRUE,FALSE))</f>
        <v>0</v>
      </c>
      <c r="AX53" s="903" t="b">
        <f>IF($N53="",FALSE,IF($N53&gt;$BL53,TRUE,FALSE))</f>
        <v>0</v>
      </c>
      <c r="AY53" s="889" t="b">
        <f>IF(AND(E53="no",X53=""),TRUE,FALSE)</f>
        <v>0</v>
      </c>
      <c r="AZ53" s="889" t="b">
        <f>IF(OR(AD53="missing info.",AD53=""),FALSE,IF(AD53&lt;BN53,TRUE,FALSE))</f>
        <v>0</v>
      </c>
      <c r="BA53" s="890" t="b">
        <f>IF(OR(AD53="missing info.",AD53=""),FALSE,IF(AD53&gt;BO53,TRUE,FALSE))</f>
        <v>0</v>
      </c>
      <c r="BB53" s="890" t="b">
        <f>IF(AND(E53="no",Z53=""),TRUE,FALSE)</f>
        <v>0</v>
      </c>
      <c r="BC53" s="894" t="b">
        <f>IF(Z53="",FALSE,IF(OR(Z53&gt;BaseYear,Z53&lt;BM53),TRUE,FALSE))</f>
        <v>0</v>
      </c>
      <c r="BD53" s="897" t="str">
        <f>IFERROR(VLOOKUP(H53,Valid!$B$94:$N$96,3,FALSE), "")</f>
        <v/>
      </c>
      <c r="BE53" s="898" t="str">
        <f>IFERROR(VLOOKUP(H53,Valid!$B$94:$N$96,4,FALSE), "")</f>
        <v/>
      </c>
      <c r="BF53" s="897" t="str">
        <f t="shared" si="6"/>
        <v/>
      </c>
      <c r="BG53" s="897" t="str">
        <f t="shared" ca="1" si="7"/>
        <v/>
      </c>
      <c r="BH53" s="1860">
        <f>N53</f>
        <v>0</v>
      </c>
      <c r="BI53" s="1547" t="str">
        <f t="shared" ca="1" si="8"/>
        <v/>
      </c>
      <c r="BJ53" s="898" t="str">
        <f ca="1">IF(BI53="", "", IF(1+(BI53*4)&lt;1, 1, 1+(BI53*4)))</f>
        <v/>
      </c>
      <c r="BK53" s="898" t="str">
        <f t="shared" ref="BK53:BM72" si="10">IFERROR(VLOOKUP($H53,val_equip_assets,BK$4,FALSE), "")</f>
        <v/>
      </c>
      <c r="BL53" s="898" t="str">
        <f t="shared" si="10"/>
        <v/>
      </c>
      <c r="BM53" s="1710" t="str">
        <f t="shared" si="10"/>
        <v/>
      </c>
      <c r="BN53" s="1205" t="str">
        <f>IFERROR(VLOOKUP(H53,Valid!$B$94:$N$96,12,FALSE), "")</f>
        <v/>
      </c>
      <c r="BO53" s="1205" t="str">
        <f>IFERROR(VLOOKUP(H53,Valid!$B$94:$N$96,13,FALSE), "")</f>
        <v/>
      </c>
      <c r="BP53" s="894"/>
      <c r="BQ53" s="894"/>
    </row>
    <row r="54" spans="1:69" s="894" customFormat="1" ht="6.75" customHeight="1" thickBot="1" x14ac:dyDescent="0.25">
      <c r="A54" s="1516"/>
      <c r="B54" s="1530">
        <v>21.5</v>
      </c>
      <c r="C54" s="1471"/>
      <c r="D54" s="1541"/>
      <c r="E54" s="1057"/>
      <c r="F54" s="170"/>
      <c r="G54" s="170"/>
      <c r="H54" s="170"/>
      <c r="I54" s="170"/>
      <c r="J54" s="170"/>
      <c r="K54" s="170"/>
      <c r="L54" s="1031"/>
      <c r="M54" s="170"/>
      <c r="N54" s="1031"/>
      <c r="O54" s="892"/>
      <c r="P54" s="836"/>
      <c r="Q54" s="1709"/>
      <c r="R54" s="1806"/>
      <c r="S54" s="1709"/>
      <c r="T54" s="1962"/>
      <c r="U54" s="1709"/>
      <c r="V54" s="1806"/>
      <c r="W54" s="1709"/>
      <c r="X54" s="1027"/>
      <c r="Y54" s="892"/>
      <c r="Z54" s="893"/>
      <c r="AA54" s="892" t="str">
        <f t="shared" si="9"/>
        <v/>
      </c>
      <c r="AB54" s="1030"/>
      <c r="AC54" s="1622"/>
      <c r="AD54" s="1030"/>
      <c r="AF54" s="895"/>
      <c r="AG54" s="896"/>
      <c r="AJ54" s="900"/>
      <c r="AK54" s="1624"/>
      <c r="AO54" s="1152"/>
      <c r="AP54" s="1152"/>
      <c r="AQ54" s="1152"/>
      <c r="AR54" s="1152"/>
      <c r="AS54" s="1152"/>
      <c r="AT54" s="1152"/>
      <c r="AU54" s="1152"/>
      <c r="AV54" s="1152"/>
      <c r="AW54" s="1152"/>
      <c r="AX54" s="1152"/>
      <c r="AY54" s="1448"/>
      <c r="AZ54" s="1448"/>
      <c r="BA54" s="846"/>
      <c r="BB54" s="846"/>
      <c r="BD54" s="897" t="str">
        <f>IFERROR(VLOOKUP(H54,Valid!$B$94:$N$96,3,FALSE), "")</f>
        <v/>
      </c>
      <c r="BE54" s="898" t="str">
        <f>IFERROR(VLOOKUP(H54,Valid!$B$94:$N$96,4,FALSE), "")</f>
        <v/>
      </c>
      <c r="BF54" s="897" t="str">
        <f t="shared" si="6"/>
        <v/>
      </c>
      <c r="BG54" s="897" t="str">
        <f t="shared" ca="1" si="7"/>
        <v/>
      </c>
      <c r="BH54" s="1860" t="str">
        <f>IFERROR(VLOOKUP($H54,val_equip_assets,BH$4,FALSE), "")</f>
        <v/>
      </c>
      <c r="BI54" s="1547" t="str">
        <f t="shared" ca="1" si="8"/>
        <v/>
      </c>
      <c r="BJ54" s="898" t="str">
        <f ca="1">IF(BI54="", "", IF(BI54&lt;0.1, 5, IF(BI54&lt;0.25, 4, IF(BI54&lt;0.5, 3, IF(BI54&lt;0.75, 2, 1)))))</f>
        <v/>
      </c>
      <c r="BK54" s="898" t="str">
        <f t="shared" si="10"/>
        <v/>
      </c>
      <c r="BL54" s="898" t="str">
        <f t="shared" si="10"/>
        <v/>
      </c>
      <c r="BM54" s="1710" t="str">
        <f t="shared" si="10"/>
        <v/>
      </c>
      <c r="BN54" s="1205" t="str">
        <f>IFERROR(VLOOKUP(H54,Valid!$B$94:$N$96,12,FALSE), "")</f>
        <v/>
      </c>
      <c r="BO54" s="1205" t="str">
        <f>IFERROR(VLOOKUP(H54,Valid!$B$94:$N$96,13,FALSE), "")</f>
        <v/>
      </c>
    </row>
    <row r="55" spans="1:69" s="901" customFormat="1" x14ac:dyDescent="0.2">
      <c r="A55" s="206">
        <v>22</v>
      </c>
      <c r="B55" s="1530">
        <v>22</v>
      </c>
      <c r="C55" s="1703"/>
      <c r="D55" s="1248" t="str">
        <f>IF(C53="","",IF(C55="","Enter Service Fleet Description then Fill in columns "&amp;TEXT($H$2,0)&amp;" - "&amp;TEXT($Z$2,0)&amp;"                 ",""))</f>
        <v/>
      </c>
      <c r="E55" s="1245" t="str">
        <f>IF(AK55="N/A","",AK55)</f>
        <v/>
      </c>
      <c r="F55" s="170"/>
      <c r="G55" s="170"/>
      <c r="H55" s="1704"/>
      <c r="I55" s="1246" t="str">
        <f>IF(AND(E55="No",H55=""),"Select Type of Vehicle                        ","")</f>
        <v/>
      </c>
      <c r="J55" s="1247"/>
      <c r="K55" s="1246" t="str">
        <f>IF(AND(C55="No",H55=""),"Number of Vehicles?  ","")</f>
        <v/>
      </c>
      <c r="L55" s="1782" t="str">
        <f>IFERROR(VLOOKUP($H55,val_equip_assets,BH$4,FALSE), "")</f>
        <v/>
      </c>
      <c r="M55" s="1246"/>
      <c r="N55" s="1247"/>
      <c r="O55" s="892" t="str">
        <f>IF(H55="","",IF(AND(E55="No",N55=""),TEXT(BH55,0)&amp;" Years?   ",""))</f>
        <v/>
      </c>
      <c r="P55" s="1705"/>
      <c r="Q55" s="1706" t="str">
        <f>IF(AND(E55="No",P55=""),"Enter Manufact. Yr.     ","")</f>
        <v/>
      </c>
      <c r="R55" s="1952" t="str">
        <f ca="1">BI55</f>
        <v/>
      </c>
      <c r="S55" s="1706"/>
      <c r="T55" s="1963" t="str">
        <f ca="1">BJ55</f>
        <v/>
      </c>
      <c r="U55" s="1706"/>
      <c r="V55" s="1675"/>
      <c r="W55" s="892" t="str">
        <f>IF(AND(E55="No",V55=""),"% of Cap. Resp.    ","")</f>
        <v/>
      </c>
      <c r="X55" s="1655"/>
      <c r="Y55" s="892" t="str">
        <f>IF(AND(E55="No",X55=""),"Estimated $?   ","")</f>
        <v/>
      </c>
      <c r="Z55" s="1707"/>
      <c r="AA55" s="892" t="str">
        <f t="shared" si="9"/>
        <v/>
      </c>
      <c r="AB55" s="1026" t="str">
        <f>IF(E55="","",IF(OR($X55="",$Z55=""),"missing info.",$X55*VLOOKUP($Z55,Inflate,$BF55+1,FALSE)))</f>
        <v/>
      </c>
      <c r="AC55" s="1622"/>
      <c r="AD55" s="1026" t="str">
        <f>IF(E55="","",IF(J55="","missing info.",IF(AB55="missing info.","missing info.",AB55/J55)))</f>
        <v/>
      </c>
      <c r="AE55" s="839"/>
      <c r="AF55" s="1708"/>
      <c r="AG55" s="896"/>
      <c r="AH55" s="894"/>
      <c r="AI55" s="894" t="b">
        <f>IF(AND(C57&lt;&gt;"",C55=""),TRUE,FALSE)</f>
        <v>0</v>
      </c>
      <c r="AJ55" s="902" t="b">
        <f>IF(AND(N55="",P55&lt;&gt;""),TRUE,FALSE)</f>
        <v>0</v>
      </c>
      <c r="AK55" s="720" t="str">
        <f>IF(AND(J55="",AF55="",Z55="",X55="",V55="",N55="",H55="",P55="",C55=""),"N/A",IF(AND(C55&lt;&gt;"",J55&lt;&gt;"",N55&lt;&gt;"",H55&lt;&gt;"",P55&lt;&gt;"",V55&lt;&gt;"",X55&lt;&gt;"",Z55&lt;&gt;""),"Yes","No"))</f>
        <v>N/A</v>
      </c>
      <c r="AL55" s="720" t="b">
        <f>IF(AND(C55="",E55="no"),TRUE,FALSE)</f>
        <v>0</v>
      </c>
      <c r="AM55" s="720" t="b">
        <f>IF(AND(E55="no",H55=""),TRUE,FALSE)</f>
        <v>0</v>
      </c>
      <c r="AN55" s="720" t="b">
        <f>IF(AND(E55="no",H55=""),TRUE,FALSE)</f>
        <v>0</v>
      </c>
      <c r="AO55" s="903" t="b">
        <f>IF($J55="",FALSE,IF($J55&lt;$BD55,TRUE,FALSE))</f>
        <v>0</v>
      </c>
      <c r="AP55" s="903" t="b">
        <f>IF($J55="",FALSE,IF($J55&gt;$BE55,TRUE,FALSE))</f>
        <v>0</v>
      </c>
      <c r="AQ55" s="903" t="b">
        <f>IF(AND(E55="no",N55=""),TRUE,FALSE)</f>
        <v>0</v>
      </c>
      <c r="AR55" s="903" t="b">
        <f>IF(AND(E55="no",P55=""),TRUE,FALSE)</f>
        <v>0</v>
      </c>
      <c r="AS55" s="903" t="b">
        <f>IF(P55="",FALSE,IF(P55&lt;BM55,TRUE,FALSE))</f>
        <v>0</v>
      </c>
      <c r="AT55" s="903" t="b">
        <f>IF(P55="",FALSE,IF(P55&gt;BaseYear,TRUE,FALSE))</f>
        <v>0</v>
      </c>
      <c r="AU55" s="903" t="b">
        <f>IF(AND(E55="no",V55=""),TRUE,FALSE)</f>
        <v>0</v>
      </c>
      <c r="AV55" s="903" t="b">
        <f>IF(V55="",FALSE,IF(OR(V55&gt;1,V55&lt;0),TRUE,FALSE))</f>
        <v>0</v>
      </c>
      <c r="AW55" s="903" t="b">
        <f>IF($N55="",FALSE,IF($N55&lt;$BK55,TRUE,FALSE))</f>
        <v>0</v>
      </c>
      <c r="AX55" s="903" t="b">
        <f>IF($N55="",FALSE,IF($N55&gt;$BL55,TRUE,FALSE))</f>
        <v>0</v>
      </c>
      <c r="AY55" s="889" t="b">
        <f>IF(AND(E55="no",X55=""),TRUE,FALSE)</f>
        <v>0</v>
      </c>
      <c r="AZ55" s="889" t="b">
        <f>IF(OR(AD55="missing info.",AD55=""),FALSE,IF(AD55&lt;BN55,TRUE,FALSE))</f>
        <v>0</v>
      </c>
      <c r="BA55" s="890" t="b">
        <f>IF(OR(AD55="missing info.",AD55=""),FALSE,IF(AD55&gt;BO55,TRUE,FALSE))</f>
        <v>0</v>
      </c>
      <c r="BB55" s="890" t="b">
        <f>IF(AND(E55="no",Z55=""),TRUE,FALSE)</f>
        <v>0</v>
      </c>
      <c r="BC55" s="894" t="b">
        <f>IF(Z55="",FALSE,IF(OR(Z55&gt;BaseYear,Z55&lt;BM55),TRUE,FALSE))</f>
        <v>0</v>
      </c>
      <c r="BD55" s="897" t="str">
        <f>IFERROR(VLOOKUP(H55,Valid!$B$94:$N$96,3,FALSE), "")</f>
        <v/>
      </c>
      <c r="BE55" s="898" t="str">
        <f>IFERROR(VLOOKUP(H55,Valid!$B$94:$N$96,4,FALSE), "")</f>
        <v/>
      </c>
      <c r="BF55" s="897" t="str">
        <f t="shared" si="6"/>
        <v/>
      </c>
      <c r="BG55" s="897" t="str">
        <f t="shared" ca="1" si="7"/>
        <v/>
      </c>
      <c r="BH55" s="1860">
        <f>N55</f>
        <v>0</v>
      </c>
      <c r="BI55" s="1547" t="str">
        <f t="shared" ca="1" si="8"/>
        <v/>
      </c>
      <c r="BJ55" s="898" t="str">
        <f ca="1">IF(BI55="", "", IF(1+(BI55*4)&lt;1, 1, 1+(BI55*4)))</f>
        <v/>
      </c>
      <c r="BK55" s="898" t="str">
        <f t="shared" si="10"/>
        <v/>
      </c>
      <c r="BL55" s="898" t="str">
        <f t="shared" si="10"/>
        <v/>
      </c>
      <c r="BM55" s="1710" t="str">
        <f t="shared" si="10"/>
        <v/>
      </c>
      <c r="BN55" s="1205" t="str">
        <f>IFERROR(VLOOKUP(H55,Valid!$B$94:$N$96,12,FALSE), "")</f>
        <v/>
      </c>
      <c r="BO55" s="1205" t="str">
        <f>IFERROR(VLOOKUP(H55,Valid!$B$94:$N$96,13,FALSE), "")</f>
        <v/>
      </c>
      <c r="BP55" s="894"/>
      <c r="BQ55" s="894"/>
    </row>
    <row r="56" spans="1:69" s="894" customFormat="1" ht="6.75" customHeight="1" thickBot="1" x14ac:dyDescent="0.25">
      <c r="A56" s="1516"/>
      <c r="B56" s="1530">
        <v>22.5</v>
      </c>
      <c r="C56" s="1471"/>
      <c r="D56" s="1541"/>
      <c r="E56" s="1057"/>
      <c r="F56" s="170"/>
      <c r="G56" s="170"/>
      <c r="H56" s="170"/>
      <c r="I56" s="170"/>
      <c r="J56" s="170"/>
      <c r="K56" s="170"/>
      <c r="L56" s="1031"/>
      <c r="M56" s="170"/>
      <c r="N56" s="1031"/>
      <c r="O56" s="892"/>
      <c r="P56" s="836"/>
      <c r="Q56" s="1709"/>
      <c r="R56" s="1806"/>
      <c r="S56" s="1709"/>
      <c r="T56" s="1962"/>
      <c r="U56" s="1709"/>
      <c r="V56" s="1806"/>
      <c r="W56" s="1709"/>
      <c r="X56" s="1027"/>
      <c r="Y56" s="892"/>
      <c r="Z56" s="893"/>
      <c r="AA56" s="892" t="str">
        <f t="shared" si="9"/>
        <v/>
      </c>
      <c r="AB56" s="1030"/>
      <c r="AC56" s="1622"/>
      <c r="AD56" s="1030"/>
      <c r="AF56" s="895"/>
      <c r="AG56" s="896"/>
      <c r="AJ56" s="900"/>
      <c r="AK56" s="1624"/>
      <c r="AO56" s="1152"/>
      <c r="AP56" s="1152"/>
      <c r="AQ56" s="1152"/>
      <c r="AR56" s="1152"/>
      <c r="AS56" s="1152"/>
      <c r="AT56" s="1152"/>
      <c r="AU56" s="1152"/>
      <c r="AV56" s="1152"/>
      <c r="AW56" s="1152"/>
      <c r="AX56" s="1152"/>
      <c r="AY56" s="1448"/>
      <c r="AZ56" s="1448"/>
      <c r="BA56" s="846"/>
      <c r="BB56" s="846"/>
      <c r="BD56" s="897" t="str">
        <f>IFERROR(VLOOKUP(H56,Valid!$B$94:$N$96,3,FALSE), "")</f>
        <v/>
      </c>
      <c r="BE56" s="898" t="str">
        <f>IFERROR(VLOOKUP(H56,Valid!$B$94:$N$96,4,FALSE), "")</f>
        <v/>
      </c>
      <c r="BF56" s="897" t="str">
        <f t="shared" si="6"/>
        <v/>
      </c>
      <c r="BG56" s="897" t="str">
        <f t="shared" ca="1" si="7"/>
        <v/>
      </c>
      <c r="BH56" s="1860" t="str">
        <f>IFERROR(VLOOKUP($H56,val_equip_assets,BH$4,FALSE), "")</f>
        <v/>
      </c>
      <c r="BI56" s="1547" t="str">
        <f t="shared" ca="1" si="8"/>
        <v/>
      </c>
      <c r="BJ56" s="898" t="str">
        <f ca="1">IF(BI56="", "", IF(BI56&lt;0.1, 5, IF(BI56&lt;0.25, 4, IF(BI56&lt;0.5, 3, IF(BI56&lt;0.75, 2, 1)))))</f>
        <v/>
      </c>
      <c r="BK56" s="898" t="str">
        <f t="shared" si="10"/>
        <v/>
      </c>
      <c r="BL56" s="898" t="str">
        <f t="shared" si="10"/>
        <v/>
      </c>
      <c r="BM56" s="1710" t="str">
        <f t="shared" si="10"/>
        <v/>
      </c>
      <c r="BN56" s="1205" t="str">
        <f>IFERROR(VLOOKUP(H56,Valid!$B$94:$N$96,12,FALSE), "")</f>
        <v/>
      </c>
      <c r="BO56" s="1205" t="str">
        <f>IFERROR(VLOOKUP(H56,Valid!$B$94:$N$96,13,FALSE), "")</f>
        <v/>
      </c>
    </row>
    <row r="57" spans="1:69" s="901" customFormat="1" x14ac:dyDescent="0.2">
      <c r="A57" s="206">
        <v>23</v>
      </c>
      <c r="B57" s="1530">
        <v>23</v>
      </c>
      <c r="C57" s="1703"/>
      <c r="D57" s="1248" t="str">
        <f>IF(C55="","",IF(C57="","Enter Service Fleet Description then Fill in columns "&amp;TEXT($H$2,0)&amp;" - "&amp;TEXT($Z$2,0)&amp;"                 ",""))</f>
        <v/>
      </c>
      <c r="E57" s="1245" t="str">
        <f>IF(AK57="N/A","",AK57)</f>
        <v/>
      </c>
      <c r="F57" s="170"/>
      <c r="G57" s="170"/>
      <c r="H57" s="1704"/>
      <c r="I57" s="1246" t="str">
        <f>IF(AND(E57="No",H57=""),"Select Type of Vehicle                        ","")</f>
        <v/>
      </c>
      <c r="J57" s="1247"/>
      <c r="K57" s="1246" t="str">
        <f>IF(AND(C57="No",H57=""),"Number of Vehicles?  ","")</f>
        <v/>
      </c>
      <c r="L57" s="1782" t="str">
        <f>IFERROR(VLOOKUP($H57,val_equip_assets,BH$4,FALSE), "")</f>
        <v/>
      </c>
      <c r="M57" s="1246"/>
      <c r="N57" s="1247"/>
      <c r="O57" s="892" t="str">
        <f>IF(H57="","",IF(AND(E57="No",N57=""),TEXT(BH57,0)&amp;" Years?   ",""))</f>
        <v/>
      </c>
      <c r="P57" s="1705"/>
      <c r="Q57" s="1706" t="str">
        <f>IF(AND(E57="No",P57=""),"Enter Manufact. Yr.     ","")</f>
        <v/>
      </c>
      <c r="R57" s="1952" t="str">
        <f ca="1">BI57</f>
        <v/>
      </c>
      <c r="S57" s="1706"/>
      <c r="T57" s="1963" t="str">
        <f ca="1">BJ57</f>
        <v/>
      </c>
      <c r="U57" s="1706"/>
      <c r="V57" s="1675"/>
      <c r="W57" s="892" t="str">
        <f>IF(AND(E57="No",V57=""),"% of Cap. Resp.    ","")</f>
        <v/>
      </c>
      <c r="X57" s="1655"/>
      <c r="Y57" s="892" t="str">
        <f>IF(AND(E57="No",X57=""),"Estimated $?   ","")</f>
        <v/>
      </c>
      <c r="Z57" s="1707"/>
      <c r="AA57" s="892" t="str">
        <f t="shared" si="9"/>
        <v/>
      </c>
      <c r="AB57" s="1026" t="str">
        <f>IF(E57="","",IF(OR($X57="",$Z57=""),"missing info.",$X57*VLOOKUP($Z57,Inflate,$BF57+1,FALSE)))</f>
        <v/>
      </c>
      <c r="AC57" s="1622"/>
      <c r="AD57" s="1026" t="str">
        <f>IF(E57="","",IF(J57="","missing info.",IF(AB57="missing info.","missing info.",AB57/J57)))</f>
        <v/>
      </c>
      <c r="AE57" s="839"/>
      <c r="AF57" s="1708"/>
      <c r="AG57" s="896"/>
      <c r="AH57" s="894"/>
      <c r="AI57" s="894" t="b">
        <f>IF(AND(C59&lt;&gt;"",C57=""),TRUE,FALSE)</f>
        <v>0</v>
      </c>
      <c r="AJ57" s="902" t="b">
        <f>IF(AND(N57="",P57&lt;&gt;""),TRUE,FALSE)</f>
        <v>0</v>
      </c>
      <c r="AK57" s="720" t="str">
        <f>IF(AND(J57="",AF57="",Z57="",X57="",V57="",N57="",H57="",P57="",C57=""),"N/A",IF(AND(C57&lt;&gt;"",J57&lt;&gt;"",N57&lt;&gt;"",H57&lt;&gt;"",P57&lt;&gt;"",V57&lt;&gt;"",X57&lt;&gt;"",Z57&lt;&gt;""),"Yes","No"))</f>
        <v>N/A</v>
      </c>
      <c r="AL57" s="720" t="b">
        <f>IF(AND(C57="",E57="no"),TRUE,FALSE)</f>
        <v>0</v>
      </c>
      <c r="AM57" s="720" t="b">
        <f>IF(AND(E57="no",H57=""),TRUE,FALSE)</f>
        <v>0</v>
      </c>
      <c r="AN57" s="720" t="b">
        <f>IF(AND(E57="no",H57=""),TRUE,FALSE)</f>
        <v>0</v>
      </c>
      <c r="AO57" s="903" t="b">
        <f>IF($J57="",FALSE,IF($J57&lt;$BD57,TRUE,FALSE))</f>
        <v>0</v>
      </c>
      <c r="AP57" s="903" t="b">
        <f>IF($J57="",FALSE,IF($J57&gt;$BE57,TRUE,FALSE))</f>
        <v>0</v>
      </c>
      <c r="AQ57" s="903" t="b">
        <f>IF(AND(E57="no",N57=""),TRUE,FALSE)</f>
        <v>0</v>
      </c>
      <c r="AR57" s="903" t="b">
        <f>IF(AND(E57="no",P57=""),TRUE,FALSE)</f>
        <v>0</v>
      </c>
      <c r="AS57" s="903" t="b">
        <f>IF(P57="",FALSE,IF(P57&lt;BM57,TRUE,FALSE))</f>
        <v>0</v>
      </c>
      <c r="AT57" s="903" t="b">
        <f>IF(P57="",FALSE,IF(P57&gt;BaseYear,TRUE,FALSE))</f>
        <v>0</v>
      </c>
      <c r="AU57" s="903" t="b">
        <f>IF(AND(E57="no",V57=""),TRUE,FALSE)</f>
        <v>0</v>
      </c>
      <c r="AV57" s="903" t="b">
        <f>IF(V57="",FALSE,IF(OR(V57&gt;1,V57&lt;0),TRUE,FALSE))</f>
        <v>0</v>
      </c>
      <c r="AW57" s="903" t="b">
        <f>IF($N57="",FALSE,IF($N57&lt;$BK57,TRUE,FALSE))</f>
        <v>0</v>
      </c>
      <c r="AX57" s="903" t="b">
        <f>IF($N57="",FALSE,IF($N57&gt;$BL57,TRUE,FALSE))</f>
        <v>0</v>
      </c>
      <c r="AY57" s="889" t="b">
        <f>IF(AND(E57="no",X57=""),TRUE,FALSE)</f>
        <v>0</v>
      </c>
      <c r="AZ57" s="889" t="b">
        <f>IF(OR(AD57="missing info.",AD57=""),FALSE,IF(AD57&lt;BN57,TRUE,FALSE))</f>
        <v>0</v>
      </c>
      <c r="BA57" s="890" t="b">
        <f>IF(OR(AD57="missing info.",AD57=""),FALSE,IF(AD57&gt;BO57,TRUE,FALSE))</f>
        <v>0</v>
      </c>
      <c r="BB57" s="890" t="b">
        <f>IF(AND(E57="no",Z57=""),TRUE,FALSE)</f>
        <v>0</v>
      </c>
      <c r="BC57" s="894" t="b">
        <f>IF(Z57="",FALSE,IF(OR(Z57&gt;BaseYear,Z57&lt;BM57),TRUE,FALSE))</f>
        <v>0</v>
      </c>
      <c r="BD57" s="897" t="str">
        <f>IFERROR(VLOOKUP(H57,Valid!$B$94:$N$96,3,FALSE), "")</f>
        <v/>
      </c>
      <c r="BE57" s="898" t="str">
        <f>IFERROR(VLOOKUP(H57,Valid!$B$94:$N$96,4,FALSE), "")</f>
        <v/>
      </c>
      <c r="BF57" s="897" t="str">
        <f t="shared" si="6"/>
        <v/>
      </c>
      <c r="BG57" s="897" t="str">
        <f t="shared" ca="1" si="7"/>
        <v/>
      </c>
      <c r="BH57" s="1860">
        <f>N57</f>
        <v>0</v>
      </c>
      <c r="BI57" s="1547" t="str">
        <f t="shared" ca="1" si="8"/>
        <v/>
      </c>
      <c r="BJ57" s="898" t="str">
        <f ca="1">IF(BI57="", "", IF(1+(BI57*4)&lt;1, 1, 1+(BI57*4)))</f>
        <v/>
      </c>
      <c r="BK57" s="898" t="str">
        <f t="shared" si="10"/>
        <v/>
      </c>
      <c r="BL57" s="898" t="str">
        <f t="shared" si="10"/>
        <v/>
      </c>
      <c r="BM57" s="1710" t="str">
        <f t="shared" si="10"/>
        <v/>
      </c>
      <c r="BN57" s="1205" t="str">
        <f>IFERROR(VLOOKUP(H57,Valid!$B$94:$N$96,12,FALSE), "")</f>
        <v/>
      </c>
      <c r="BO57" s="1205" t="str">
        <f>IFERROR(VLOOKUP(H57,Valid!$B$94:$N$96,13,FALSE), "")</f>
        <v/>
      </c>
      <c r="BP57" s="894"/>
      <c r="BQ57" s="894"/>
    </row>
    <row r="58" spans="1:69" s="894" customFormat="1" ht="6.75" customHeight="1" thickBot="1" x14ac:dyDescent="0.25">
      <c r="A58" s="1516"/>
      <c r="B58" s="1530">
        <v>23.5</v>
      </c>
      <c r="C58" s="1471"/>
      <c r="D58" s="1541"/>
      <c r="E58" s="1057"/>
      <c r="F58" s="170"/>
      <c r="G58" s="170"/>
      <c r="H58" s="170"/>
      <c r="I58" s="170"/>
      <c r="J58" s="170"/>
      <c r="K58" s="170"/>
      <c r="L58" s="1031"/>
      <c r="M58" s="170"/>
      <c r="N58" s="1031"/>
      <c r="O58" s="892"/>
      <c r="P58" s="836"/>
      <c r="Q58" s="1709"/>
      <c r="R58" s="1806"/>
      <c r="S58" s="1709"/>
      <c r="T58" s="1962"/>
      <c r="U58" s="1709"/>
      <c r="V58" s="1806"/>
      <c r="W58" s="1709"/>
      <c r="X58" s="1027"/>
      <c r="Y58" s="892"/>
      <c r="Z58" s="893"/>
      <c r="AA58" s="892" t="str">
        <f t="shared" si="9"/>
        <v/>
      </c>
      <c r="AB58" s="1030"/>
      <c r="AC58" s="1622"/>
      <c r="AD58" s="1030"/>
      <c r="AF58" s="895"/>
      <c r="AG58" s="896"/>
      <c r="AJ58" s="900"/>
      <c r="AK58" s="1624"/>
      <c r="AO58" s="1152"/>
      <c r="AP58" s="1152"/>
      <c r="AQ58" s="1152"/>
      <c r="AR58" s="1152"/>
      <c r="AS58" s="1152"/>
      <c r="AT58" s="1152"/>
      <c r="AU58" s="1152"/>
      <c r="AV58" s="1152"/>
      <c r="AW58" s="1152"/>
      <c r="AX58" s="1152"/>
      <c r="AY58" s="1448"/>
      <c r="AZ58" s="1448"/>
      <c r="BA58" s="846"/>
      <c r="BB58" s="846"/>
      <c r="BD58" s="897" t="str">
        <f>IFERROR(VLOOKUP(H58,Valid!$B$94:$N$96,3,FALSE), "")</f>
        <v/>
      </c>
      <c r="BE58" s="898" t="str">
        <f>IFERROR(VLOOKUP(H58,Valid!$B$94:$N$96,4,FALSE), "")</f>
        <v/>
      </c>
      <c r="BF58" s="897" t="str">
        <f t="shared" si="6"/>
        <v/>
      </c>
      <c r="BG58" s="897" t="str">
        <f t="shared" ca="1" si="7"/>
        <v/>
      </c>
      <c r="BH58" s="1860" t="str">
        <f>IFERROR(VLOOKUP($H58,val_equip_assets,BH$4,FALSE), "")</f>
        <v/>
      </c>
      <c r="BI58" s="1547" t="str">
        <f t="shared" ca="1" si="8"/>
        <v/>
      </c>
      <c r="BJ58" s="898" t="str">
        <f ca="1">IF(BI58="", "", IF(BI58&lt;0.1, 5, IF(BI58&lt;0.25, 4, IF(BI58&lt;0.5, 3, IF(BI58&lt;0.75, 2, 1)))))</f>
        <v/>
      </c>
      <c r="BK58" s="898" t="str">
        <f t="shared" si="10"/>
        <v/>
      </c>
      <c r="BL58" s="898" t="str">
        <f t="shared" si="10"/>
        <v/>
      </c>
      <c r="BM58" s="1710" t="str">
        <f t="shared" si="10"/>
        <v/>
      </c>
      <c r="BN58" s="1205" t="str">
        <f>IFERROR(VLOOKUP(H58,Valid!$B$94:$N$96,12,FALSE), "")</f>
        <v/>
      </c>
      <c r="BO58" s="1205" t="str">
        <f>IFERROR(VLOOKUP(H58,Valid!$B$94:$N$96,13,FALSE), "")</f>
        <v/>
      </c>
    </row>
    <row r="59" spans="1:69" s="901" customFormat="1" x14ac:dyDescent="0.2">
      <c r="A59" s="206">
        <v>24</v>
      </c>
      <c r="B59" s="1530">
        <v>24</v>
      </c>
      <c r="C59" s="1703"/>
      <c r="D59" s="1248" t="str">
        <f>IF(C57="","",IF(C59="","Enter Service Fleet Description then Fill in columns "&amp;TEXT($H$2,0)&amp;" - "&amp;TEXT($Z$2,0)&amp;"                 ",""))</f>
        <v/>
      </c>
      <c r="E59" s="1245" t="str">
        <f>IF(AK59="N/A","",AK59)</f>
        <v/>
      </c>
      <c r="F59" s="170"/>
      <c r="G59" s="170"/>
      <c r="H59" s="1704"/>
      <c r="I59" s="1246" t="str">
        <f>IF(AND(E59="No",H59=""),"Select Type of Vehicle                        ","")</f>
        <v/>
      </c>
      <c r="J59" s="1247"/>
      <c r="K59" s="1246" t="str">
        <f>IF(AND(C59="No",H59=""),"Number of Vehicles?  ","")</f>
        <v/>
      </c>
      <c r="L59" s="1782" t="str">
        <f>IFERROR(VLOOKUP($H59,val_equip_assets,BH$4,FALSE), "")</f>
        <v/>
      </c>
      <c r="M59" s="1246"/>
      <c r="N59" s="1247"/>
      <c r="O59" s="892" t="str">
        <f>IF(H59="","",IF(AND(E59="No",N59=""),TEXT(BH59,0)&amp;" Years?   ",""))</f>
        <v/>
      </c>
      <c r="P59" s="1705"/>
      <c r="Q59" s="1706" t="str">
        <f>IF(AND(E59="No",P59=""),"Enter Manufact. Yr.     ","")</f>
        <v/>
      </c>
      <c r="R59" s="1952" t="str">
        <f ca="1">BI59</f>
        <v/>
      </c>
      <c r="S59" s="1706"/>
      <c r="T59" s="1963" t="str">
        <f ca="1">BJ59</f>
        <v/>
      </c>
      <c r="U59" s="1706"/>
      <c r="V59" s="1675"/>
      <c r="W59" s="892" t="str">
        <f>IF(AND(E59="No",V59=""),"% of Cap. Resp.    ","")</f>
        <v/>
      </c>
      <c r="X59" s="1655"/>
      <c r="Y59" s="892" t="str">
        <f>IF(AND(E59="No",X59=""),"Estimated $?   ","")</f>
        <v/>
      </c>
      <c r="Z59" s="1707"/>
      <c r="AA59" s="892" t="str">
        <f t="shared" si="9"/>
        <v/>
      </c>
      <c r="AB59" s="1026" t="str">
        <f>IF(E59="","",IF(OR($X59="",$Z59=""),"missing info.",$X59*VLOOKUP($Z59,Inflate,$BF59+1,FALSE)))</f>
        <v/>
      </c>
      <c r="AC59" s="1622"/>
      <c r="AD59" s="1026" t="str">
        <f>IF(E59="","",IF(J59="","missing info.",IF(AB59="missing info.","missing info.",AB59/J59)))</f>
        <v/>
      </c>
      <c r="AE59" s="839"/>
      <c r="AF59" s="1708"/>
      <c r="AG59" s="896"/>
      <c r="AH59" s="894"/>
      <c r="AI59" s="894" t="b">
        <f>IF(AND(C61&lt;&gt;"",C59=""),TRUE,FALSE)</f>
        <v>0</v>
      </c>
      <c r="AJ59" s="902" t="b">
        <f>IF(AND(N59="",P59&lt;&gt;""),TRUE,FALSE)</f>
        <v>0</v>
      </c>
      <c r="AK59" s="720" t="str">
        <f>IF(AND(J59="",AF59="",Z59="",X59="",V59="",N59="",H59="",P59="",C59=""),"N/A",IF(AND(C59&lt;&gt;"",J59&lt;&gt;"",N59&lt;&gt;"",H59&lt;&gt;"",P59&lt;&gt;"",V59&lt;&gt;"",X59&lt;&gt;"",Z59&lt;&gt;""),"Yes","No"))</f>
        <v>N/A</v>
      </c>
      <c r="AL59" s="720" t="b">
        <f>IF(AND(C59="",E59="no"),TRUE,FALSE)</f>
        <v>0</v>
      </c>
      <c r="AM59" s="720" t="b">
        <f>IF(AND(E59="no",H59=""),TRUE,FALSE)</f>
        <v>0</v>
      </c>
      <c r="AN59" s="720" t="b">
        <f>IF(AND(E59="no",H59=""),TRUE,FALSE)</f>
        <v>0</v>
      </c>
      <c r="AO59" s="903" t="b">
        <f>IF($J59="",FALSE,IF($J59&lt;$BD59,TRUE,FALSE))</f>
        <v>0</v>
      </c>
      <c r="AP59" s="903" t="b">
        <f>IF($J59="",FALSE,IF($J59&gt;$BE59,TRUE,FALSE))</f>
        <v>0</v>
      </c>
      <c r="AQ59" s="903" t="b">
        <f>IF(AND(E59="no",N59=""),TRUE,FALSE)</f>
        <v>0</v>
      </c>
      <c r="AR59" s="903" t="b">
        <f>IF(AND(E59="no",P59=""),TRUE,FALSE)</f>
        <v>0</v>
      </c>
      <c r="AS59" s="903" t="b">
        <f>IF(P59="",FALSE,IF(P59&lt;BM59,TRUE,FALSE))</f>
        <v>0</v>
      </c>
      <c r="AT59" s="903" t="b">
        <f>IF(P59="",FALSE,IF(P59&gt;BaseYear,TRUE,FALSE))</f>
        <v>0</v>
      </c>
      <c r="AU59" s="903" t="b">
        <f>IF(AND(E59="no",V59=""),TRUE,FALSE)</f>
        <v>0</v>
      </c>
      <c r="AV59" s="903" t="b">
        <f>IF(V59="",FALSE,IF(OR(V59&gt;1,V59&lt;0),TRUE,FALSE))</f>
        <v>0</v>
      </c>
      <c r="AW59" s="903" t="b">
        <f>IF($N59="",FALSE,IF($N59&lt;$BK59,TRUE,FALSE))</f>
        <v>0</v>
      </c>
      <c r="AX59" s="903" t="b">
        <f>IF($N59="",FALSE,IF($N59&gt;$BL59,TRUE,FALSE))</f>
        <v>0</v>
      </c>
      <c r="AY59" s="889" t="b">
        <f>IF(AND(E59="no",X59=""),TRUE,FALSE)</f>
        <v>0</v>
      </c>
      <c r="AZ59" s="889" t="b">
        <f>IF(OR(AD59="missing info.",AD59=""),FALSE,IF(AD59&lt;BN59,TRUE,FALSE))</f>
        <v>0</v>
      </c>
      <c r="BA59" s="890" t="b">
        <f>IF(OR(AD59="missing info.",AD59=""),FALSE,IF(AD59&gt;BO59,TRUE,FALSE))</f>
        <v>0</v>
      </c>
      <c r="BB59" s="890" t="b">
        <f>IF(AND(E59="no",Z59=""),TRUE,FALSE)</f>
        <v>0</v>
      </c>
      <c r="BC59" s="894" t="b">
        <f>IF(Z59="",FALSE,IF(OR(Z59&gt;BaseYear,Z59&lt;BM59),TRUE,FALSE))</f>
        <v>0</v>
      </c>
      <c r="BD59" s="897" t="str">
        <f>IFERROR(VLOOKUP(H59,Valid!$B$94:$N$96,3,FALSE), "")</f>
        <v/>
      </c>
      <c r="BE59" s="898" t="str">
        <f>IFERROR(VLOOKUP(H59,Valid!$B$94:$N$96,4,FALSE), "")</f>
        <v/>
      </c>
      <c r="BF59" s="897" t="str">
        <f t="shared" si="6"/>
        <v/>
      </c>
      <c r="BG59" s="897" t="str">
        <f t="shared" ca="1" si="7"/>
        <v/>
      </c>
      <c r="BH59" s="1860">
        <f>N59</f>
        <v>0</v>
      </c>
      <c r="BI59" s="1547" t="str">
        <f t="shared" ca="1" si="8"/>
        <v/>
      </c>
      <c r="BJ59" s="898" t="str">
        <f ca="1">IF(BI59="", "", IF(1+(BI59*4)&lt;1, 1, 1+(BI59*4)))</f>
        <v/>
      </c>
      <c r="BK59" s="898" t="str">
        <f t="shared" si="10"/>
        <v/>
      </c>
      <c r="BL59" s="898" t="str">
        <f t="shared" si="10"/>
        <v/>
      </c>
      <c r="BM59" s="1710" t="str">
        <f t="shared" si="10"/>
        <v/>
      </c>
      <c r="BN59" s="1205" t="str">
        <f>IFERROR(VLOOKUP(H59,Valid!$B$94:$N$96,12,FALSE), "")</f>
        <v/>
      </c>
      <c r="BO59" s="1205" t="str">
        <f>IFERROR(VLOOKUP(H59,Valid!$B$94:$N$96,13,FALSE), "")</f>
        <v/>
      </c>
      <c r="BP59" s="894"/>
      <c r="BQ59" s="894"/>
    </row>
    <row r="60" spans="1:69" s="894" customFormat="1" ht="6.75" customHeight="1" thickBot="1" x14ac:dyDescent="0.25">
      <c r="A60" s="1516"/>
      <c r="B60" s="1530">
        <v>24.5</v>
      </c>
      <c r="C60" s="1471"/>
      <c r="D60" s="1541"/>
      <c r="E60" s="1057"/>
      <c r="F60" s="170"/>
      <c r="G60" s="170"/>
      <c r="H60" s="170"/>
      <c r="I60" s="170"/>
      <c r="J60" s="170"/>
      <c r="K60" s="170"/>
      <c r="L60" s="1031"/>
      <c r="M60" s="170"/>
      <c r="N60" s="1031"/>
      <c r="O60" s="892"/>
      <c r="P60" s="836"/>
      <c r="Q60" s="1709"/>
      <c r="R60" s="1806"/>
      <c r="S60" s="1709"/>
      <c r="T60" s="1962"/>
      <c r="U60" s="1709"/>
      <c r="V60" s="1806"/>
      <c r="W60" s="1709"/>
      <c r="X60" s="1027"/>
      <c r="Y60" s="892"/>
      <c r="Z60" s="893"/>
      <c r="AA60" s="892" t="str">
        <f t="shared" si="9"/>
        <v/>
      </c>
      <c r="AB60" s="1030"/>
      <c r="AC60" s="1622"/>
      <c r="AD60" s="1030"/>
      <c r="AF60" s="895"/>
      <c r="AG60" s="896"/>
      <c r="AJ60" s="900"/>
      <c r="AK60" s="1624"/>
      <c r="AO60" s="1152"/>
      <c r="AP60" s="1152"/>
      <c r="AQ60" s="1152"/>
      <c r="AR60" s="1152"/>
      <c r="AS60" s="1152"/>
      <c r="AT60" s="1152"/>
      <c r="AU60" s="1152"/>
      <c r="AV60" s="1152"/>
      <c r="AW60" s="1152"/>
      <c r="AX60" s="1152"/>
      <c r="AY60" s="1448"/>
      <c r="AZ60" s="1448"/>
      <c r="BA60" s="846"/>
      <c r="BB60" s="846"/>
      <c r="BD60" s="897" t="str">
        <f>IFERROR(VLOOKUP(H60,Valid!$B$94:$N$96,3,FALSE), "")</f>
        <v/>
      </c>
      <c r="BE60" s="898" t="str">
        <f>IFERROR(VLOOKUP(H60,Valid!$B$94:$N$96,4,FALSE), "")</f>
        <v/>
      </c>
      <c r="BF60" s="897" t="str">
        <f t="shared" si="6"/>
        <v/>
      </c>
      <c r="BG60" s="897" t="str">
        <f t="shared" ca="1" si="7"/>
        <v/>
      </c>
      <c r="BH60" s="1860" t="str">
        <f>IFERROR(VLOOKUP($H60,val_equip_assets,BH$4,FALSE), "")</f>
        <v/>
      </c>
      <c r="BI60" s="1547" t="str">
        <f t="shared" ca="1" si="8"/>
        <v/>
      </c>
      <c r="BJ60" s="898" t="str">
        <f ca="1">IF(BI60="", "", IF(BI60&lt;0.1, 5, IF(BI60&lt;0.25, 4, IF(BI60&lt;0.5, 3, IF(BI60&lt;0.75, 2, 1)))))</f>
        <v/>
      </c>
      <c r="BK60" s="898" t="str">
        <f t="shared" si="10"/>
        <v/>
      </c>
      <c r="BL60" s="898" t="str">
        <f t="shared" si="10"/>
        <v/>
      </c>
      <c r="BM60" s="1710" t="str">
        <f t="shared" si="10"/>
        <v/>
      </c>
      <c r="BN60" s="1205" t="str">
        <f>IFERROR(VLOOKUP(H60,Valid!$B$94:$N$96,12,FALSE), "")</f>
        <v/>
      </c>
      <c r="BO60" s="1205" t="str">
        <f>IFERROR(VLOOKUP(H60,Valid!$B$94:$N$96,13,FALSE), "")</f>
        <v/>
      </c>
    </row>
    <row r="61" spans="1:69" s="901" customFormat="1" x14ac:dyDescent="0.2">
      <c r="A61" s="206">
        <v>25</v>
      </c>
      <c r="B61" s="1530">
        <v>25</v>
      </c>
      <c r="C61" s="1703"/>
      <c r="D61" s="1248" t="str">
        <f>IF(C59="","",IF(C61="","Enter Service Fleet Description then Fill in columns "&amp;TEXT($H$2,0)&amp;" - "&amp;TEXT($Z$2,0)&amp;"                 ",""))</f>
        <v/>
      </c>
      <c r="E61" s="1245" t="str">
        <f>IF(AK61="N/A","",AK61)</f>
        <v/>
      </c>
      <c r="F61" s="170"/>
      <c r="G61" s="170"/>
      <c r="H61" s="1704"/>
      <c r="I61" s="1246" t="str">
        <f>IF(AND(E61="No",H61=""),"Select Type of Vehicle                        ","")</f>
        <v/>
      </c>
      <c r="J61" s="1247"/>
      <c r="K61" s="1246" t="str">
        <f>IF(AND(C61="No",H61=""),"Number of Vehicles?  ","")</f>
        <v/>
      </c>
      <c r="L61" s="1782" t="str">
        <f>IFERROR(VLOOKUP($H61,val_equip_assets,BH$4,FALSE), "")</f>
        <v/>
      </c>
      <c r="M61" s="1246"/>
      <c r="N61" s="1247"/>
      <c r="O61" s="892" t="str">
        <f>IF(H61="","",IF(AND(E61="No",N61=""),TEXT(BH61,0)&amp;" Years?   ",""))</f>
        <v/>
      </c>
      <c r="P61" s="1705"/>
      <c r="Q61" s="1706" t="str">
        <f>IF(AND(E61="No",P61=""),"Enter Manufact. Yr.     ","")</f>
        <v/>
      </c>
      <c r="R61" s="1952" t="str">
        <f ca="1">BI61</f>
        <v/>
      </c>
      <c r="S61" s="1706"/>
      <c r="T61" s="1963" t="str">
        <f ca="1">BJ61</f>
        <v/>
      </c>
      <c r="U61" s="1706"/>
      <c r="V61" s="1675"/>
      <c r="W61" s="892" t="str">
        <f>IF(AND(E61="No",V61=""),"% of Cap. Resp.    ","")</f>
        <v/>
      </c>
      <c r="X61" s="1655"/>
      <c r="Y61" s="892" t="str">
        <f>IF(AND(E61="No",X61=""),"Estimated $?   ","")</f>
        <v/>
      </c>
      <c r="Z61" s="1707"/>
      <c r="AA61" s="892" t="str">
        <f t="shared" si="9"/>
        <v/>
      </c>
      <c r="AB61" s="1026" t="str">
        <f>IF(E61="","",IF(OR($X61="",$Z61=""),"missing info.",$X61*VLOOKUP($Z61,Inflate,$BF61+1,FALSE)))</f>
        <v/>
      </c>
      <c r="AC61" s="1622"/>
      <c r="AD61" s="1026" t="str">
        <f>IF(E61="","",IF(J61="","missing info.",IF(AB61="missing info.","missing info.",AB61/J61)))</f>
        <v/>
      </c>
      <c r="AE61" s="839"/>
      <c r="AF61" s="1708"/>
      <c r="AG61" s="896"/>
      <c r="AH61" s="894"/>
      <c r="AI61" s="894" t="b">
        <f>IF(AND(C63&lt;&gt;"",C61=""),TRUE,FALSE)</f>
        <v>0</v>
      </c>
      <c r="AJ61" s="902" t="b">
        <f>IF(AND(N61="",P61&lt;&gt;""),TRUE,FALSE)</f>
        <v>0</v>
      </c>
      <c r="AK61" s="720" t="str">
        <f>IF(AND(J61="",AF61="",Z61="",X61="",V61="",N61="",H61="",P61="",C61=""),"N/A",IF(AND(C61&lt;&gt;"",J61&lt;&gt;"",N61&lt;&gt;"",H61&lt;&gt;"",P61&lt;&gt;"",V61&lt;&gt;"",X61&lt;&gt;"",Z61&lt;&gt;""),"Yes","No"))</f>
        <v>N/A</v>
      </c>
      <c r="AL61" s="720" t="b">
        <f>IF(AND(C61="",E61="no"),TRUE,FALSE)</f>
        <v>0</v>
      </c>
      <c r="AM61" s="720" t="b">
        <f>IF(AND(E61="no",H61=""),TRUE,FALSE)</f>
        <v>0</v>
      </c>
      <c r="AN61" s="720" t="b">
        <f>IF(AND(E61="no",H61=""),TRUE,FALSE)</f>
        <v>0</v>
      </c>
      <c r="AO61" s="903" t="b">
        <f>IF($J61="",FALSE,IF($J61&lt;$BD61,TRUE,FALSE))</f>
        <v>0</v>
      </c>
      <c r="AP61" s="903" t="b">
        <f>IF($J61="",FALSE,IF($J61&gt;$BE61,TRUE,FALSE))</f>
        <v>0</v>
      </c>
      <c r="AQ61" s="903" t="b">
        <f>IF(AND(E61="no",N61=""),TRUE,FALSE)</f>
        <v>0</v>
      </c>
      <c r="AR61" s="903" t="b">
        <f>IF(AND(E61="no",P61=""),TRUE,FALSE)</f>
        <v>0</v>
      </c>
      <c r="AS61" s="903" t="b">
        <f>IF(P61="",FALSE,IF(P61&lt;BM61,TRUE,FALSE))</f>
        <v>0</v>
      </c>
      <c r="AT61" s="903" t="b">
        <f>IF(P61="",FALSE,IF(P61&gt;BaseYear,TRUE,FALSE))</f>
        <v>0</v>
      </c>
      <c r="AU61" s="903" t="b">
        <f>IF(AND(E61="no",V61=""),TRUE,FALSE)</f>
        <v>0</v>
      </c>
      <c r="AV61" s="903" t="b">
        <f>IF(V61="",FALSE,IF(OR(V61&gt;1,V61&lt;0),TRUE,FALSE))</f>
        <v>0</v>
      </c>
      <c r="AW61" s="903" t="b">
        <f>IF($N61="",FALSE,IF($N61&lt;$BK61,TRUE,FALSE))</f>
        <v>0</v>
      </c>
      <c r="AX61" s="903" t="b">
        <f>IF($N61="",FALSE,IF($N61&gt;$BL61,TRUE,FALSE))</f>
        <v>0</v>
      </c>
      <c r="AY61" s="889" t="b">
        <f>IF(AND(E61="no",X61=""),TRUE,FALSE)</f>
        <v>0</v>
      </c>
      <c r="AZ61" s="889" t="b">
        <f>IF(OR(AD61="missing info.",AD61=""),FALSE,IF(AD61&lt;BN61,TRUE,FALSE))</f>
        <v>0</v>
      </c>
      <c r="BA61" s="890" t="b">
        <f>IF(OR(AD61="missing info.",AD61=""),FALSE,IF(AD61&gt;BO61,TRUE,FALSE))</f>
        <v>0</v>
      </c>
      <c r="BB61" s="890" t="b">
        <f>IF(AND(E61="no",Z61=""),TRUE,FALSE)</f>
        <v>0</v>
      </c>
      <c r="BC61" s="894" t="b">
        <f>IF(Z61="",FALSE,IF(OR(Z61&gt;BaseYear,Z61&lt;BM61),TRUE,FALSE))</f>
        <v>0</v>
      </c>
      <c r="BD61" s="897" t="str">
        <f>IFERROR(VLOOKUP(H61,Valid!$B$94:$N$96,3,FALSE), "")</f>
        <v/>
      </c>
      <c r="BE61" s="898" t="str">
        <f>IFERROR(VLOOKUP(H61,Valid!$B$94:$N$96,4,FALSE), "")</f>
        <v/>
      </c>
      <c r="BF61" s="897" t="str">
        <f t="shared" si="6"/>
        <v/>
      </c>
      <c r="BG61" s="897" t="str">
        <f t="shared" ca="1" si="7"/>
        <v/>
      </c>
      <c r="BH61" s="1860">
        <f>N61</f>
        <v>0</v>
      </c>
      <c r="BI61" s="1547" t="str">
        <f t="shared" ca="1" si="8"/>
        <v/>
      </c>
      <c r="BJ61" s="898" t="str">
        <f ca="1">IF(BI61="", "", IF(1+(BI61*4)&lt;1, 1, 1+(BI61*4)))</f>
        <v/>
      </c>
      <c r="BK61" s="898" t="str">
        <f t="shared" si="10"/>
        <v/>
      </c>
      <c r="BL61" s="898" t="str">
        <f t="shared" si="10"/>
        <v/>
      </c>
      <c r="BM61" s="1710" t="str">
        <f t="shared" si="10"/>
        <v/>
      </c>
      <c r="BN61" s="1205" t="str">
        <f>IFERROR(VLOOKUP(H61,Valid!$B$94:$N$96,12,FALSE), "")</f>
        <v/>
      </c>
      <c r="BO61" s="1205" t="str">
        <f>IFERROR(VLOOKUP(H61,Valid!$B$94:$N$96,13,FALSE), "")</f>
        <v/>
      </c>
      <c r="BP61" s="894"/>
      <c r="BQ61" s="894"/>
    </row>
    <row r="62" spans="1:69" s="894" customFormat="1" ht="6.75" customHeight="1" thickBot="1" x14ac:dyDescent="0.25">
      <c r="A62" s="1516"/>
      <c r="B62" s="1530">
        <v>25.5</v>
      </c>
      <c r="C62" s="1471"/>
      <c r="D62" s="1541"/>
      <c r="E62" s="1057"/>
      <c r="F62" s="170"/>
      <c r="G62" s="170"/>
      <c r="H62" s="170"/>
      <c r="I62" s="170"/>
      <c r="J62" s="170"/>
      <c r="K62" s="170"/>
      <c r="L62" s="1031"/>
      <c r="M62" s="170"/>
      <c r="N62" s="1031"/>
      <c r="O62" s="892"/>
      <c r="P62" s="836"/>
      <c r="Q62" s="1709"/>
      <c r="R62" s="1806"/>
      <c r="S62" s="1709"/>
      <c r="T62" s="1962"/>
      <c r="U62" s="1709"/>
      <c r="V62" s="1806"/>
      <c r="W62" s="1709"/>
      <c r="X62" s="1027"/>
      <c r="Y62" s="892"/>
      <c r="Z62" s="893"/>
      <c r="AA62" s="892" t="str">
        <f t="shared" si="9"/>
        <v/>
      </c>
      <c r="AB62" s="1030"/>
      <c r="AC62" s="1622"/>
      <c r="AD62" s="1030"/>
      <c r="AF62" s="895"/>
      <c r="AG62" s="896"/>
      <c r="AJ62" s="900"/>
      <c r="AK62" s="1624"/>
      <c r="AO62" s="1152"/>
      <c r="AP62" s="1152"/>
      <c r="AQ62" s="1152"/>
      <c r="AR62" s="1152"/>
      <c r="AS62" s="1152"/>
      <c r="AT62" s="1152"/>
      <c r="AU62" s="1152"/>
      <c r="AV62" s="1152"/>
      <c r="AW62" s="1152"/>
      <c r="AX62" s="1152"/>
      <c r="AY62" s="1448"/>
      <c r="AZ62" s="1448"/>
      <c r="BA62" s="846"/>
      <c r="BB62" s="846"/>
      <c r="BD62" s="897" t="str">
        <f>IFERROR(VLOOKUP(H62,Valid!$B$94:$N$96,3,FALSE), "")</f>
        <v/>
      </c>
      <c r="BE62" s="898" t="str">
        <f>IFERROR(VLOOKUP(H62,Valid!$B$94:$N$96,4,FALSE), "")</f>
        <v/>
      </c>
      <c r="BF62" s="897" t="str">
        <f t="shared" si="6"/>
        <v/>
      </c>
      <c r="BG62" s="897" t="str">
        <f t="shared" ca="1" si="7"/>
        <v/>
      </c>
      <c r="BH62" s="1860" t="str">
        <f>IFERROR(VLOOKUP($H62,val_equip_assets,BH$4,FALSE), "")</f>
        <v/>
      </c>
      <c r="BI62" s="1547" t="str">
        <f t="shared" ca="1" si="8"/>
        <v/>
      </c>
      <c r="BJ62" s="898" t="str">
        <f ca="1">IF(BI62="", "", IF(BI62&lt;0.1, 5, IF(BI62&lt;0.25, 4, IF(BI62&lt;0.5, 3, IF(BI62&lt;0.75, 2, 1)))))</f>
        <v/>
      </c>
      <c r="BK62" s="898" t="str">
        <f t="shared" si="10"/>
        <v/>
      </c>
      <c r="BL62" s="898" t="str">
        <f t="shared" si="10"/>
        <v/>
      </c>
      <c r="BM62" s="1710" t="str">
        <f t="shared" si="10"/>
        <v/>
      </c>
      <c r="BN62" s="1205" t="str">
        <f>IFERROR(VLOOKUP(H62,Valid!$B$94:$N$96,12,FALSE), "")</f>
        <v/>
      </c>
      <c r="BO62" s="1205" t="str">
        <f>IFERROR(VLOOKUP(H62,Valid!$B$94:$N$96,13,FALSE), "")</f>
        <v/>
      </c>
    </row>
    <row r="63" spans="1:69" s="901" customFormat="1" x14ac:dyDescent="0.2">
      <c r="A63" s="206">
        <v>26</v>
      </c>
      <c r="B63" s="1530">
        <v>26</v>
      </c>
      <c r="C63" s="1703"/>
      <c r="D63" s="1248" t="str">
        <f>IF(C61="","",IF(C63="","Enter Service Fleet Description then Fill in columns "&amp;TEXT($H$2,0)&amp;" - "&amp;TEXT($Z$2,0)&amp;"                 ",""))</f>
        <v/>
      </c>
      <c r="E63" s="1245" t="str">
        <f>IF(AK63="N/A","",AK63)</f>
        <v/>
      </c>
      <c r="F63" s="170"/>
      <c r="G63" s="170"/>
      <c r="H63" s="1704"/>
      <c r="I63" s="1246" t="str">
        <f>IF(AND(E63="No",H63=""),"Select Type of Vehicle                        ","")</f>
        <v/>
      </c>
      <c r="J63" s="1247"/>
      <c r="K63" s="1246" t="str">
        <f>IF(AND(C63="No",H63=""),"Number of Vehicles?  ","")</f>
        <v/>
      </c>
      <c r="L63" s="1782" t="str">
        <f>IFERROR(VLOOKUP($H63,val_equip_assets,BH$4,FALSE), "")</f>
        <v/>
      </c>
      <c r="M63" s="1246"/>
      <c r="N63" s="1247"/>
      <c r="O63" s="892" t="str">
        <f>IF(H63="","",IF(AND(E63="No",N63=""),TEXT(BH63,0)&amp;" Years?   ",""))</f>
        <v/>
      </c>
      <c r="P63" s="1705"/>
      <c r="Q63" s="1706" t="str">
        <f>IF(AND(E63="No",P63=""),"Enter Manufact. Yr.     ","")</f>
        <v/>
      </c>
      <c r="R63" s="1952" t="str">
        <f ca="1">BI63</f>
        <v/>
      </c>
      <c r="S63" s="1706"/>
      <c r="T63" s="1963" t="str">
        <f ca="1">BJ63</f>
        <v/>
      </c>
      <c r="U63" s="1706"/>
      <c r="V63" s="1675"/>
      <c r="W63" s="892" t="str">
        <f>IF(AND(E63="No",V63=""),"% of Cap. Resp.    ","")</f>
        <v/>
      </c>
      <c r="X63" s="1655"/>
      <c r="Y63" s="892" t="str">
        <f>IF(AND(E63="No",X63=""),"Estimated $?   ","")</f>
        <v/>
      </c>
      <c r="Z63" s="1707"/>
      <c r="AA63" s="892" t="str">
        <f t="shared" si="9"/>
        <v/>
      </c>
      <c r="AB63" s="1026" t="str">
        <f>IF(E63="","",IF(OR($X63="",$Z63=""),"missing info.",$X63*VLOOKUP($Z63,Inflate,$BF63+1,FALSE)))</f>
        <v/>
      </c>
      <c r="AC63" s="1622"/>
      <c r="AD63" s="1026" t="str">
        <f>IF(E63="","",IF(J63="","missing info.",IF(AB63="missing info.","missing info.",AB63/J63)))</f>
        <v/>
      </c>
      <c r="AE63" s="839"/>
      <c r="AF63" s="1708"/>
      <c r="AG63" s="896"/>
      <c r="AH63" s="894"/>
      <c r="AI63" s="894" t="b">
        <f>IF(AND(C65&lt;&gt;"",C63=""),TRUE,FALSE)</f>
        <v>0</v>
      </c>
      <c r="AJ63" s="902" t="b">
        <f>IF(AND(N63="",P63&lt;&gt;""),TRUE,FALSE)</f>
        <v>0</v>
      </c>
      <c r="AK63" s="720" t="str">
        <f>IF(AND(J63="",AF63="",Z63="",X63="",V63="",N63="",H63="",P63="",C63=""),"N/A",IF(AND(C63&lt;&gt;"",J63&lt;&gt;"",N63&lt;&gt;"",H63&lt;&gt;"",P63&lt;&gt;"",V63&lt;&gt;"",X63&lt;&gt;"",Z63&lt;&gt;""),"Yes","No"))</f>
        <v>N/A</v>
      </c>
      <c r="AL63" s="720" t="b">
        <f>IF(AND(C63="",E63="no"),TRUE,FALSE)</f>
        <v>0</v>
      </c>
      <c r="AM63" s="720" t="b">
        <f>IF(AND(E63="no",H63=""),TRUE,FALSE)</f>
        <v>0</v>
      </c>
      <c r="AN63" s="720" t="b">
        <f>IF(AND(E63="no",H63=""),TRUE,FALSE)</f>
        <v>0</v>
      </c>
      <c r="AO63" s="903" t="b">
        <f>IF($J63="",FALSE,IF($J63&lt;$BD63,TRUE,FALSE))</f>
        <v>0</v>
      </c>
      <c r="AP63" s="903" t="b">
        <f>IF($J63="",FALSE,IF($J63&gt;$BE63,TRUE,FALSE))</f>
        <v>0</v>
      </c>
      <c r="AQ63" s="903" t="b">
        <f>IF(AND(E63="no",N63=""),TRUE,FALSE)</f>
        <v>0</v>
      </c>
      <c r="AR63" s="903" t="b">
        <f>IF(AND(E63="no",P63=""),TRUE,FALSE)</f>
        <v>0</v>
      </c>
      <c r="AS63" s="903" t="b">
        <f>IF(P63="",FALSE,IF(P63&lt;BM63,TRUE,FALSE))</f>
        <v>0</v>
      </c>
      <c r="AT63" s="903" t="b">
        <f>IF(P63="",FALSE,IF(P63&gt;BaseYear,TRUE,FALSE))</f>
        <v>0</v>
      </c>
      <c r="AU63" s="903" t="b">
        <f>IF(AND(E63="no",V63=""),TRUE,FALSE)</f>
        <v>0</v>
      </c>
      <c r="AV63" s="903" t="b">
        <f>IF(V63="",FALSE,IF(OR(V63&gt;1,V63&lt;0),TRUE,FALSE))</f>
        <v>0</v>
      </c>
      <c r="AW63" s="903" t="b">
        <f>IF($N63="",FALSE,IF($N63&lt;$BK63,TRUE,FALSE))</f>
        <v>0</v>
      </c>
      <c r="AX63" s="903" t="b">
        <f>IF($N63="",FALSE,IF($N63&gt;$BL63,TRUE,FALSE))</f>
        <v>0</v>
      </c>
      <c r="AY63" s="889" t="b">
        <f>IF(AND(E63="no",X63=""),TRUE,FALSE)</f>
        <v>0</v>
      </c>
      <c r="AZ63" s="889" t="b">
        <f>IF(OR(AD63="missing info.",AD63=""),FALSE,IF(AD63&lt;BN63,TRUE,FALSE))</f>
        <v>0</v>
      </c>
      <c r="BA63" s="890" t="b">
        <f>IF(OR(AD63="missing info.",AD63=""),FALSE,IF(AD63&gt;BO63,TRUE,FALSE))</f>
        <v>0</v>
      </c>
      <c r="BB63" s="890" t="b">
        <f>IF(AND(E63="no",Z63=""),TRUE,FALSE)</f>
        <v>0</v>
      </c>
      <c r="BC63" s="894" t="b">
        <f>IF(Z63="",FALSE,IF(OR(Z63&gt;BaseYear,Z63&lt;BM63),TRUE,FALSE))</f>
        <v>0</v>
      </c>
      <c r="BD63" s="897" t="str">
        <f>IFERROR(VLOOKUP(H63,Valid!$B$94:$N$96,3,FALSE), "")</f>
        <v/>
      </c>
      <c r="BE63" s="898" t="str">
        <f>IFERROR(VLOOKUP(H63,Valid!$B$94:$N$96,4,FALSE), "")</f>
        <v/>
      </c>
      <c r="BF63" s="897" t="str">
        <f t="shared" si="6"/>
        <v/>
      </c>
      <c r="BG63" s="897" t="str">
        <f t="shared" ca="1" si="7"/>
        <v/>
      </c>
      <c r="BH63" s="1860">
        <f>N63</f>
        <v>0</v>
      </c>
      <c r="BI63" s="1547" t="str">
        <f t="shared" ca="1" si="8"/>
        <v/>
      </c>
      <c r="BJ63" s="898" t="str">
        <f ca="1">IF(BI63="", "", IF(1+(BI63*4)&lt;1, 1, 1+(BI63*4)))</f>
        <v/>
      </c>
      <c r="BK63" s="898" t="str">
        <f t="shared" si="10"/>
        <v/>
      </c>
      <c r="BL63" s="898" t="str">
        <f t="shared" si="10"/>
        <v/>
      </c>
      <c r="BM63" s="1710" t="str">
        <f t="shared" si="10"/>
        <v/>
      </c>
      <c r="BN63" s="1205" t="str">
        <f>IFERROR(VLOOKUP(H63,Valid!$B$94:$N$96,12,FALSE), "")</f>
        <v/>
      </c>
      <c r="BO63" s="1205" t="str">
        <f>IFERROR(VLOOKUP(H63,Valid!$B$94:$N$96,13,FALSE), "")</f>
        <v/>
      </c>
      <c r="BP63" s="894"/>
      <c r="BQ63" s="894"/>
    </row>
    <row r="64" spans="1:69" s="894" customFormat="1" ht="6.75" customHeight="1" thickBot="1" x14ac:dyDescent="0.25">
      <c r="A64" s="1516"/>
      <c r="B64" s="1530">
        <v>26.5</v>
      </c>
      <c r="C64" s="1471"/>
      <c r="D64" s="1541"/>
      <c r="E64" s="1057"/>
      <c r="F64" s="170"/>
      <c r="G64" s="170"/>
      <c r="H64" s="170"/>
      <c r="I64" s="170"/>
      <c r="J64" s="170"/>
      <c r="K64" s="170"/>
      <c r="L64" s="1031"/>
      <c r="M64" s="170"/>
      <c r="N64" s="1031"/>
      <c r="O64" s="892"/>
      <c r="P64" s="836"/>
      <c r="Q64" s="1709"/>
      <c r="R64" s="1806"/>
      <c r="S64" s="1709"/>
      <c r="T64" s="1962"/>
      <c r="U64" s="1709"/>
      <c r="V64" s="1806"/>
      <c r="W64" s="1709"/>
      <c r="X64" s="1027"/>
      <c r="Y64" s="892"/>
      <c r="Z64" s="893"/>
      <c r="AA64" s="892" t="str">
        <f t="shared" si="9"/>
        <v/>
      </c>
      <c r="AB64" s="1030"/>
      <c r="AC64" s="1622"/>
      <c r="AD64" s="1030"/>
      <c r="AF64" s="895"/>
      <c r="AG64" s="896"/>
      <c r="AJ64" s="900"/>
      <c r="AK64" s="1624"/>
      <c r="AO64" s="1152"/>
      <c r="AP64" s="1152"/>
      <c r="AQ64" s="1152"/>
      <c r="AR64" s="1152"/>
      <c r="AS64" s="1152"/>
      <c r="AT64" s="1152"/>
      <c r="AU64" s="1152"/>
      <c r="AV64" s="1152"/>
      <c r="AW64" s="1152"/>
      <c r="AX64" s="1152"/>
      <c r="AY64" s="1448"/>
      <c r="AZ64" s="1448"/>
      <c r="BA64" s="846"/>
      <c r="BB64" s="846"/>
      <c r="BD64" s="897" t="str">
        <f>IFERROR(VLOOKUP(H64,Valid!$B$94:$N$96,3,FALSE), "")</f>
        <v/>
      </c>
      <c r="BE64" s="898" t="str">
        <f>IFERROR(VLOOKUP(H64,Valid!$B$94:$N$96,4,FALSE), "")</f>
        <v/>
      </c>
      <c r="BF64" s="897" t="str">
        <f t="shared" si="6"/>
        <v/>
      </c>
      <c r="BG64" s="897" t="str">
        <f t="shared" ca="1" si="7"/>
        <v/>
      </c>
      <c r="BH64" s="1860" t="str">
        <f>IFERROR(VLOOKUP($H64,val_equip_assets,BH$4,FALSE), "")</f>
        <v/>
      </c>
      <c r="BI64" s="1547" t="str">
        <f t="shared" ca="1" si="8"/>
        <v/>
      </c>
      <c r="BJ64" s="898" t="str">
        <f ca="1">IF(BI64="", "", IF(BI64&lt;0.1, 5, IF(BI64&lt;0.25, 4, IF(BI64&lt;0.5, 3, IF(BI64&lt;0.75, 2, 1)))))</f>
        <v/>
      </c>
      <c r="BK64" s="898" t="str">
        <f t="shared" si="10"/>
        <v/>
      </c>
      <c r="BL64" s="898" t="str">
        <f t="shared" si="10"/>
        <v/>
      </c>
      <c r="BM64" s="1710" t="str">
        <f t="shared" si="10"/>
        <v/>
      </c>
      <c r="BN64" s="1205" t="str">
        <f>IFERROR(VLOOKUP(H64,Valid!$B$94:$N$96,12,FALSE), "")</f>
        <v/>
      </c>
      <c r="BO64" s="1205" t="str">
        <f>IFERROR(VLOOKUP(H64,Valid!$B$94:$N$96,13,FALSE), "")</f>
        <v/>
      </c>
    </row>
    <row r="65" spans="1:69" s="901" customFormat="1" x14ac:dyDescent="0.2">
      <c r="A65" s="206">
        <v>27</v>
      </c>
      <c r="B65" s="1530">
        <v>27</v>
      </c>
      <c r="C65" s="1703"/>
      <c r="D65" s="1248" t="str">
        <f>IF(C63="","",IF(C65="","Enter Service Fleet Description then Fill in columns "&amp;TEXT($H$2,0)&amp;" - "&amp;TEXT($Z$2,0)&amp;"                 ",""))</f>
        <v/>
      </c>
      <c r="E65" s="1245" t="str">
        <f>IF(AK65="N/A","",AK65)</f>
        <v/>
      </c>
      <c r="F65" s="170"/>
      <c r="G65" s="170"/>
      <c r="H65" s="1704"/>
      <c r="I65" s="1246" t="str">
        <f>IF(AND(E65="No",H65=""),"Select Type of Vehicle                        ","")</f>
        <v/>
      </c>
      <c r="J65" s="1247"/>
      <c r="K65" s="1246" t="str">
        <f>IF(AND(C65="No",H65=""),"Number of Vehicles?  ","")</f>
        <v/>
      </c>
      <c r="L65" s="1782" t="str">
        <f>IFERROR(VLOOKUP($H65,val_equip_assets,BH$4,FALSE), "")</f>
        <v/>
      </c>
      <c r="M65" s="1246"/>
      <c r="N65" s="1247"/>
      <c r="O65" s="892" t="str">
        <f>IF(H65="","",IF(AND(E65="No",N65=""),TEXT(BH65,0)&amp;" Years?   ",""))</f>
        <v/>
      </c>
      <c r="P65" s="1705"/>
      <c r="Q65" s="1706" t="str">
        <f>IF(AND(E65="No",P65=""),"Enter Manufact. Yr.     ","")</f>
        <v/>
      </c>
      <c r="R65" s="1952" t="str">
        <f ca="1">BI65</f>
        <v/>
      </c>
      <c r="S65" s="1706"/>
      <c r="T65" s="1963" t="str">
        <f ca="1">BJ65</f>
        <v/>
      </c>
      <c r="U65" s="1706"/>
      <c r="V65" s="1675"/>
      <c r="W65" s="892" t="str">
        <f>IF(AND(E65="No",V65=""),"% of Cap. Resp.    ","")</f>
        <v/>
      </c>
      <c r="X65" s="1655"/>
      <c r="Y65" s="892" t="str">
        <f>IF(AND(E65="No",X65=""),"Estimated $?   ","")</f>
        <v/>
      </c>
      <c r="Z65" s="1707"/>
      <c r="AA65" s="892" t="str">
        <f t="shared" si="9"/>
        <v/>
      </c>
      <c r="AB65" s="1026" t="str">
        <f>IF(E65="","",IF(OR($X65="",$Z65=""),"missing info.",$X65*VLOOKUP($Z65,Inflate,$BF65+1,FALSE)))</f>
        <v/>
      </c>
      <c r="AC65" s="1622"/>
      <c r="AD65" s="1026" t="str">
        <f>IF(E65="","",IF(J65="","missing info.",IF(AB65="missing info.","missing info.",AB65/J65)))</f>
        <v/>
      </c>
      <c r="AE65" s="839"/>
      <c r="AF65" s="1708"/>
      <c r="AG65" s="896"/>
      <c r="AH65" s="894"/>
      <c r="AI65" s="894" t="b">
        <f>IF(AND(C67&lt;&gt;"",C65=""),TRUE,FALSE)</f>
        <v>0</v>
      </c>
      <c r="AJ65" s="902" t="b">
        <f>IF(AND(N65="",P65&lt;&gt;""),TRUE,FALSE)</f>
        <v>0</v>
      </c>
      <c r="AK65" s="720" t="str">
        <f>IF(AND(J65="",AF65="",Z65="",X65="",V65="",N65="",H65="",P65="",C65=""),"N/A",IF(AND(C65&lt;&gt;"",J65&lt;&gt;"",N65&lt;&gt;"",H65&lt;&gt;"",P65&lt;&gt;"",V65&lt;&gt;"",X65&lt;&gt;"",Z65&lt;&gt;""),"Yes","No"))</f>
        <v>N/A</v>
      </c>
      <c r="AL65" s="720" t="b">
        <f>IF(AND(C65="",E65="no"),TRUE,FALSE)</f>
        <v>0</v>
      </c>
      <c r="AM65" s="720" t="b">
        <f>IF(AND(E65="no",H65=""),TRUE,FALSE)</f>
        <v>0</v>
      </c>
      <c r="AN65" s="720" t="b">
        <f>IF(AND(E65="no",H65=""),TRUE,FALSE)</f>
        <v>0</v>
      </c>
      <c r="AO65" s="903" t="b">
        <f>IF($J65="",FALSE,IF($J65&lt;$BD65,TRUE,FALSE))</f>
        <v>0</v>
      </c>
      <c r="AP65" s="903" t="b">
        <f>IF($J65="",FALSE,IF($J65&gt;$BE65,TRUE,FALSE))</f>
        <v>0</v>
      </c>
      <c r="AQ65" s="903" t="b">
        <f>IF(AND(E65="no",N65=""),TRUE,FALSE)</f>
        <v>0</v>
      </c>
      <c r="AR65" s="903" t="b">
        <f>IF(AND(E65="no",P65=""),TRUE,FALSE)</f>
        <v>0</v>
      </c>
      <c r="AS65" s="903" t="b">
        <f>IF(P65="",FALSE,IF(P65&lt;BM65,TRUE,FALSE))</f>
        <v>0</v>
      </c>
      <c r="AT65" s="903" t="b">
        <f>IF(P65="",FALSE,IF(P65&gt;BaseYear,TRUE,FALSE))</f>
        <v>0</v>
      </c>
      <c r="AU65" s="903" t="b">
        <f>IF(AND(E65="no",V65=""),TRUE,FALSE)</f>
        <v>0</v>
      </c>
      <c r="AV65" s="903" t="b">
        <f>IF(V65="",FALSE,IF(OR(V65&gt;1,V65&lt;0),TRUE,FALSE))</f>
        <v>0</v>
      </c>
      <c r="AW65" s="903" t="b">
        <f>IF($N65="",FALSE,IF($N65&lt;$BK65,TRUE,FALSE))</f>
        <v>0</v>
      </c>
      <c r="AX65" s="903" t="b">
        <f>IF($N65="",FALSE,IF($N65&gt;$BL65,TRUE,FALSE))</f>
        <v>0</v>
      </c>
      <c r="AY65" s="889" t="b">
        <f>IF(AND(E65="no",X65=""),TRUE,FALSE)</f>
        <v>0</v>
      </c>
      <c r="AZ65" s="889" t="b">
        <f>IF(OR(AD65="missing info.",AD65=""),FALSE,IF(AD65&lt;BN65,TRUE,FALSE))</f>
        <v>0</v>
      </c>
      <c r="BA65" s="890" t="b">
        <f>IF(OR(AD65="missing info.",AD65=""),FALSE,IF(AD65&gt;BO65,TRUE,FALSE))</f>
        <v>0</v>
      </c>
      <c r="BB65" s="890" t="b">
        <f>IF(AND(E65="no",Z65=""),TRUE,FALSE)</f>
        <v>0</v>
      </c>
      <c r="BC65" s="894" t="b">
        <f>IF(Z65="",FALSE,IF(OR(Z65&gt;BaseYear,Z65&lt;BM65),TRUE,FALSE))</f>
        <v>0</v>
      </c>
      <c r="BD65" s="897" t="str">
        <f>IFERROR(VLOOKUP(H65,Valid!$B$94:$N$96,3,FALSE), "")</f>
        <v/>
      </c>
      <c r="BE65" s="898" t="str">
        <f>IFERROR(VLOOKUP(H65,Valid!$B$94:$N$96,4,FALSE), "")</f>
        <v/>
      </c>
      <c r="BF65" s="897" t="str">
        <f t="shared" si="6"/>
        <v/>
      </c>
      <c r="BG65" s="897" t="str">
        <f t="shared" ca="1" si="7"/>
        <v/>
      </c>
      <c r="BH65" s="1860">
        <f>N65</f>
        <v>0</v>
      </c>
      <c r="BI65" s="1547" t="str">
        <f t="shared" ca="1" si="8"/>
        <v/>
      </c>
      <c r="BJ65" s="898" t="str">
        <f ca="1">IF(BI65="", "", IF(1+(BI65*4)&lt;1, 1, 1+(BI65*4)))</f>
        <v/>
      </c>
      <c r="BK65" s="898" t="str">
        <f t="shared" si="10"/>
        <v/>
      </c>
      <c r="BL65" s="898" t="str">
        <f t="shared" si="10"/>
        <v/>
      </c>
      <c r="BM65" s="1710" t="str">
        <f t="shared" si="10"/>
        <v/>
      </c>
      <c r="BN65" s="1205" t="str">
        <f>IFERROR(VLOOKUP(H65,Valid!$B$94:$N$96,12,FALSE), "")</f>
        <v/>
      </c>
      <c r="BO65" s="1205" t="str">
        <f>IFERROR(VLOOKUP(H65,Valid!$B$94:$N$96,13,FALSE), "")</f>
        <v/>
      </c>
      <c r="BP65" s="894"/>
      <c r="BQ65" s="894"/>
    </row>
    <row r="66" spans="1:69" s="894" customFormat="1" ht="6.75" customHeight="1" thickBot="1" x14ac:dyDescent="0.25">
      <c r="A66" s="1516"/>
      <c r="B66" s="1530">
        <v>27.5</v>
      </c>
      <c r="C66" s="1471"/>
      <c r="D66" s="1541"/>
      <c r="E66" s="1057"/>
      <c r="F66" s="170"/>
      <c r="G66" s="170"/>
      <c r="H66" s="170"/>
      <c r="I66" s="170"/>
      <c r="J66" s="170"/>
      <c r="K66" s="170"/>
      <c r="L66" s="1031"/>
      <c r="M66" s="170"/>
      <c r="N66" s="1031"/>
      <c r="O66" s="892"/>
      <c r="P66" s="836"/>
      <c r="Q66" s="1709"/>
      <c r="R66" s="1806"/>
      <c r="S66" s="1709"/>
      <c r="T66" s="1962"/>
      <c r="U66" s="1709"/>
      <c r="V66" s="1806"/>
      <c r="W66" s="1709"/>
      <c r="X66" s="1027"/>
      <c r="Y66" s="892"/>
      <c r="Z66" s="893"/>
      <c r="AA66" s="892" t="str">
        <f t="shared" si="9"/>
        <v/>
      </c>
      <c r="AB66" s="1030"/>
      <c r="AC66" s="1622"/>
      <c r="AD66" s="1030"/>
      <c r="AF66" s="895"/>
      <c r="AG66" s="896"/>
      <c r="AJ66" s="900"/>
      <c r="AK66" s="1624"/>
      <c r="AO66" s="1152"/>
      <c r="AP66" s="1152"/>
      <c r="AQ66" s="1152"/>
      <c r="AR66" s="1152"/>
      <c r="AS66" s="1152"/>
      <c r="AT66" s="1152"/>
      <c r="AU66" s="1152"/>
      <c r="AV66" s="1152"/>
      <c r="AW66" s="1152"/>
      <c r="AX66" s="1152"/>
      <c r="AY66" s="1448"/>
      <c r="AZ66" s="1448"/>
      <c r="BA66" s="846"/>
      <c r="BB66" s="846"/>
      <c r="BD66" s="897" t="str">
        <f>IFERROR(VLOOKUP(H66,Valid!$B$94:$N$96,3,FALSE), "")</f>
        <v/>
      </c>
      <c r="BE66" s="898" t="str">
        <f>IFERROR(VLOOKUP(H66,Valid!$B$94:$N$96,4,FALSE), "")</f>
        <v/>
      </c>
      <c r="BF66" s="897" t="str">
        <f t="shared" si="6"/>
        <v/>
      </c>
      <c r="BG66" s="897" t="str">
        <f t="shared" ca="1" si="7"/>
        <v/>
      </c>
      <c r="BH66" s="1860" t="str">
        <f>IFERROR(VLOOKUP($H66,val_equip_assets,BH$4,FALSE), "")</f>
        <v/>
      </c>
      <c r="BI66" s="1547" t="str">
        <f t="shared" ca="1" si="8"/>
        <v/>
      </c>
      <c r="BJ66" s="898" t="str">
        <f ca="1">IF(BI66="", "", IF(BI66&lt;0.1, 5, IF(BI66&lt;0.25, 4, IF(BI66&lt;0.5, 3, IF(BI66&lt;0.75, 2, 1)))))</f>
        <v/>
      </c>
      <c r="BK66" s="898" t="str">
        <f t="shared" si="10"/>
        <v/>
      </c>
      <c r="BL66" s="898" t="str">
        <f t="shared" si="10"/>
        <v/>
      </c>
      <c r="BM66" s="1710" t="str">
        <f t="shared" si="10"/>
        <v/>
      </c>
      <c r="BN66" s="1205" t="str">
        <f>IFERROR(VLOOKUP(H66,Valid!$B$94:$N$96,12,FALSE), "")</f>
        <v/>
      </c>
      <c r="BO66" s="1205" t="str">
        <f>IFERROR(VLOOKUP(H66,Valid!$B$94:$N$96,13,FALSE), "")</f>
        <v/>
      </c>
    </row>
    <row r="67" spans="1:69" s="901" customFormat="1" x14ac:dyDescent="0.2">
      <c r="A67" s="206">
        <v>28</v>
      </c>
      <c r="B67" s="1530">
        <v>28</v>
      </c>
      <c r="C67" s="1703"/>
      <c r="D67" s="1248" t="str">
        <f>IF(C65="","",IF(C67="","Enter Service Fleet Description then Fill in columns "&amp;TEXT($H$2,0)&amp;" - "&amp;TEXT($Z$2,0)&amp;"                 ",""))</f>
        <v/>
      </c>
      <c r="E67" s="1245" t="str">
        <f>IF(AK67="N/A","",AK67)</f>
        <v/>
      </c>
      <c r="F67" s="170"/>
      <c r="G67" s="170"/>
      <c r="H67" s="1704"/>
      <c r="I67" s="1246" t="str">
        <f>IF(AND(E67="No",H67=""),"Select Type of Vehicle                        ","")</f>
        <v/>
      </c>
      <c r="J67" s="1247"/>
      <c r="K67" s="1246" t="str">
        <f>IF(AND(C67="No",H67=""),"Number of Vehicles?  ","")</f>
        <v/>
      </c>
      <c r="L67" s="1782" t="str">
        <f>IFERROR(VLOOKUP($H67,val_equip_assets,BH$4,FALSE), "")</f>
        <v/>
      </c>
      <c r="M67" s="1246"/>
      <c r="N67" s="1247"/>
      <c r="O67" s="892" t="str">
        <f>IF(H67="","",IF(AND(E67="No",N67=""),TEXT(BH67,0)&amp;" Years?   ",""))</f>
        <v/>
      </c>
      <c r="P67" s="1705"/>
      <c r="Q67" s="1706" t="str">
        <f>IF(AND(E67="No",P67=""),"Enter Manufact. Yr.     ","")</f>
        <v/>
      </c>
      <c r="R67" s="1952" t="str">
        <f ca="1">BI67</f>
        <v/>
      </c>
      <c r="S67" s="1706"/>
      <c r="T67" s="1963" t="str">
        <f ca="1">BJ67</f>
        <v/>
      </c>
      <c r="U67" s="1706"/>
      <c r="V67" s="1675"/>
      <c r="W67" s="892" t="str">
        <f>IF(AND(E67="No",V67=""),"% of Cap. Resp.    ","")</f>
        <v/>
      </c>
      <c r="X67" s="1655"/>
      <c r="Y67" s="892" t="str">
        <f>IF(AND(E67="No",X67=""),"Estimated $?   ","")</f>
        <v/>
      </c>
      <c r="Z67" s="1707"/>
      <c r="AA67" s="892" t="str">
        <f t="shared" si="9"/>
        <v/>
      </c>
      <c r="AB67" s="1026" t="str">
        <f>IF(E67="","",IF(OR($X67="",$Z67=""),"missing info.",$X67*VLOOKUP($Z67,Inflate,$BF67+1,FALSE)))</f>
        <v/>
      </c>
      <c r="AC67" s="1622"/>
      <c r="AD67" s="1026" t="str">
        <f>IF(E67="","",IF(J67="","missing info.",IF(AB67="missing info.","missing info.",AB67/J67)))</f>
        <v/>
      </c>
      <c r="AE67" s="839"/>
      <c r="AF67" s="1708"/>
      <c r="AG67" s="896"/>
      <c r="AH67" s="894"/>
      <c r="AI67" s="894" t="b">
        <f>IF(AND(C69&lt;&gt;"",C67=""),TRUE,FALSE)</f>
        <v>0</v>
      </c>
      <c r="AJ67" s="902" t="b">
        <f>IF(AND(N67="",P67&lt;&gt;""),TRUE,FALSE)</f>
        <v>0</v>
      </c>
      <c r="AK67" s="720" t="str">
        <f>IF(AND(J67="",AF67="",Z67="",X67="",V67="",N67="",H67="",P67="",C67=""),"N/A",IF(AND(C67&lt;&gt;"",J67&lt;&gt;"",N67&lt;&gt;"",H67&lt;&gt;"",P67&lt;&gt;"",V67&lt;&gt;"",X67&lt;&gt;"",Z67&lt;&gt;""),"Yes","No"))</f>
        <v>N/A</v>
      </c>
      <c r="AL67" s="720" t="b">
        <f>IF(AND(C67="",E67="no"),TRUE,FALSE)</f>
        <v>0</v>
      </c>
      <c r="AM67" s="720" t="b">
        <f>IF(AND(E67="no",H67=""),TRUE,FALSE)</f>
        <v>0</v>
      </c>
      <c r="AN67" s="720" t="b">
        <f>IF(AND(E67="no",H67=""),TRUE,FALSE)</f>
        <v>0</v>
      </c>
      <c r="AO67" s="903" t="b">
        <f>IF($J67="",FALSE,IF($J67&lt;$BD67,TRUE,FALSE))</f>
        <v>0</v>
      </c>
      <c r="AP67" s="903" t="b">
        <f>IF($J67="",FALSE,IF($J67&gt;$BE67,TRUE,FALSE))</f>
        <v>0</v>
      </c>
      <c r="AQ67" s="903" t="b">
        <f>IF(AND(E67="no",N67=""),TRUE,FALSE)</f>
        <v>0</v>
      </c>
      <c r="AR67" s="903" t="b">
        <f>IF(AND(E67="no",P67=""),TRUE,FALSE)</f>
        <v>0</v>
      </c>
      <c r="AS67" s="903" t="b">
        <f>IF(P67="",FALSE,IF(P67&lt;BM67,TRUE,FALSE))</f>
        <v>0</v>
      </c>
      <c r="AT67" s="903" t="b">
        <f>IF(P67="",FALSE,IF(P67&gt;BaseYear,TRUE,FALSE))</f>
        <v>0</v>
      </c>
      <c r="AU67" s="903" t="b">
        <f>IF(AND(E67="no",V67=""),TRUE,FALSE)</f>
        <v>0</v>
      </c>
      <c r="AV67" s="903" t="b">
        <f>IF(V67="",FALSE,IF(OR(V67&gt;1,V67&lt;0),TRUE,FALSE))</f>
        <v>0</v>
      </c>
      <c r="AW67" s="903" t="b">
        <f>IF($N67="",FALSE,IF($N67&lt;$BK67,TRUE,FALSE))</f>
        <v>0</v>
      </c>
      <c r="AX67" s="903" t="b">
        <f>IF($N67="",FALSE,IF($N67&gt;$BL67,TRUE,FALSE))</f>
        <v>0</v>
      </c>
      <c r="AY67" s="889" t="b">
        <f>IF(AND(E67="no",X67=""),TRUE,FALSE)</f>
        <v>0</v>
      </c>
      <c r="AZ67" s="889" t="b">
        <f>IF(OR(AD67="missing info.",AD67=""),FALSE,IF(AD67&lt;BN67,TRUE,FALSE))</f>
        <v>0</v>
      </c>
      <c r="BA67" s="890" t="b">
        <f>IF(OR(AD67="missing info.",AD67=""),FALSE,IF(AD67&gt;BO67,TRUE,FALSE))</f>
        <v>0</v>
      </c>
      <c r="BB67" s="890" t="b">
        <f>IF(AND(E67="no",Z67=""),TRUE,FALSE)</f>
        <v>0</v>
      </c>
      <c r="BC67" s="894" t="b">
        <f>IF(Z67="",FALSE,IF(OR(Z67&gt;BaseYear,Z67&lt;BM67),TRUE,FALSE))</f>
        <v>0</v>
      </c>
      <c r="BD67" s="897" t="str">
        <f>IFERROR(VLOOKUP(H67,Valid!$B$94:$N$96,3,FALSE), "")</f>
        <v/>
      </c>
      <c r="BE67" s="898" t="str">
        <f>IFERROR(VLOOKUP(H67,Valid!$B$94:$N$96,4,FALSE), "")</f>
        <v/>
      </c>
      <c r="BF67" s="897" t="str">
        <f t="shared" si="6"/>
        <v/>
      </c>
      <c r="BG67" s="897" t="str">
        <f t="shared" ca="1" si="7"/>
        <v/>
      </c>
      <c r="BH67" s="1860">
        <f>N67</f>
        <v>0</v>
      </c>
      <c r="BI67" s="1547" t="str">
        <f t="shared" ca="1" si="8"/>
        <v/>
      </c>
      <c r="BJ67" s="898" t="str">
        <f ca="1">IF(BI67="", "", IF(1+(BI67*4)&lt;1, 1, 1+(BI67*4)))</f>
        <v/>
      </c>
      <c r="BK67" s="898" t="str">
        <f t="shared" si="10"/>
        <v/>
      </c>
      <c r="BL67" s="898" t="str">
        <f t="shared" si="10"/>
        <v/>
      </c>
      <c r="BM67" s="1710" t="str">
        <f t="shared" si="10"/>
        <v/>
      </c>
      <c r="BN67" s="1205" t="str">
        <f>IFERROR(VLOOKUP(H67,Valid!$B$94:$N$96,12,FALSE), "")</f>
        <v/>
      </c>
      <c r="BO67" s="1205" t="str">
        <f>IFERROR(VLOOKUP(H67,Valid!$B$94:$N$96,13,FALSE), "")</f>
        <v/>
      </c>
      <c r="BP67" s="894"/>
      <c r="BQ67" s="894"/>
    </row>
    <row r="68" spans="1:69" s="894" customFormat="1" ht="6.75" customHeight="1" thickBot="1" x14ac:dyDescent="0.25">
      <c r="A68" s="1516"/>
      <c r="B68" s="1530">
        <v>28.5</v>
      </c>
      <c r="C68" s="1471"/>
      <c r="D68" s="1541"/>
      <c r="E68" s="1057"/>
      <c r="F68" s="170"/>
      <c r="G68" s="170"/>
      <c r="H68" s="170"/>
      <c r="I68" s="170"/>
      <c r="J68" s="170"/>
      <c r="K68" s="170"/>
      <c r="L68" s="1031"/>
      <c r="M68" s="170"/>
      <c r="N68" s="1031"/>
      <c r="O68" s="892"/>
      <c r="P68" s="836"/>
      <c r="Q68" s="1709"/>
      <c r="R68" s="1806"/>
      <c r="S68" s="1709"/>
      <c r="T68" s="1962"/>
      <c r="U68" s="1709"/>
      <c r="V68" s="1806"/>
      <c r="W68" s="1709"/>
      <c r="X68" s="1027"/>
      <c r="Y68" s="892"/>
      <c r="Z68" s="893"/>
      <c r="AA68" s="892" t="str">
        <f t="shared" si="9"/>
        <v/>
      </c>
      <c r="AB68" s="1030"/>
      <c r="AC68" s="1622"/>
      <c r="AD68" s="1030"/>
      <c r="AF68" s="895"/>
      <c r="AG68" s="896"/>
      <c r="AJ68" s="900"/>
      <c r="AK68" s="1624"/>
      <c r="AO68" s="1152"/>
      <c r="AP68" s="1152"/>
      <c r="AQ68" s="1152"/>
      <c r="AR68" s="1152"/>
      <c r="AS68" s="1152"/>
      <c r="AT68" s="1152"/>
      <c r="AU68" s="1152"/>
      <c r="AV68" s="1152"/>
      <c r="AW68" s="1152"/>
      <c r="AX68" s="1152"/>
      <c r="AY68" s="1448"/>
      <c r="AZ68" s="1448"/>
      <c r="BA68" s="846"/>
      <c r="BB68" s="846"/>
      <c r="BD68" s="897" t="str">
        <f>IFERROR(VLOOKUP(H68,Valid!$B$94:$N$96,3,FALSE), "")</f>
        <v/>
      </c>
      <c r="BE68" s="898" t="str">
        <f>IFERROR(VLOOKUP(H68,Valid!$B$94:$N$96,4,FALSE), "")</f>
        <v/>
      </c>
      <c r="BF68" s="897" t="str">
        <f t="shared" si="6"/>
        <v/>
      </c>
      <c r="BG68" s="897" t="str">
        <f t="shared" ca="1" si="7"/>
        <v/>
      </c>
      <c r="BH68" s="1860" t="str">
        <f>IFERROR(VLOOKUP($H68,val_equip_assets,BH$4,FALSE), "")</f>
        <v/>
      </c>
      <c r="BI68" s="1547" t="str">
        <f t="shared" ca="1" si="8"/>
        <v/>
      </c>
      <c r="BJ68" s="898" t="str">
        <f ca="1">IF(BI68="", "", IF(BI68&lt;0.1, 5, IF(BI68&lt;0.25, 4, IF(BI68&lt;0.5, 3, IF(BI68&lt;0.75, 2, 1)))))</f>
        <v/>
      </c>
      <c r="BK68" s="898" t="str">
        <f t="shared" si="10"/>
        <v/>
      </c>
      <c r="BL68" s="898" t="str">
        <f t="shared" si="10"/>
        <v/>
      </c>
      <c r="BM68" s="1710" t="str">
        <f t="shared" si="10"/>
        <v/>
      </c>
      <c r="BN68" s="1205" t="str">
        <f>IFERROR(VLOOKUP(H68,Valid!$B$94:$N$96,12,FALSE), "")</f>
        <v/>
      </c>
      <c r="BO68" s="1205" t="str">
        <f>IFERROR(VLOOKUP(H68,Valid!$B$94:$N$96,13,FALSE), "")</f>
        <v/>
      </c>
    </row>
    <row r="69" spans="1:69" s="901" customFormat="1" x14ac:dyDescent="0.2">
      <c r="A69" s="206">
        <v>29</v>
      </c>
      <c r="B69" s="1530">
        <v>29</v>
      </c>
      <c r="C69" s="1703"/>
      <c r="D69" s="1248" t="str">
        <f>IF(C67="","",IF(C69="","Enter Service Fleet Description then Fill in columns "&amp;TEXT($H$2,0)&amp;" - "&amp;TEXT($Z$2,0)&amp;"                 ",""))</f>
        <v/>
      </c>
      <c r="E69" s="1245" t="str">
        <f>IF(AK69="N/A","",AK69)</f>
        <v/>
      </c>
      <c r="F69" s="170"/>
      <c r="G69" s="170"/>
      <c r="H69" s="1704"/>
      <c r="I69" s="1246" t="str">
        <f>IF(AND(E69="No",H69=""),"Select Type of Vehicle                        ","")</f>
        <v/>
      </c>
      <c r="J69" s="1247"/>
      <c r="K69" s="1246" t="str">
        <f>IF(AND(C69="No",H69=""),"Number of Vehicles?  ","")</f>
        <v/>
      </c>
      <c r="L69" s="1782" t="str">
        <f>IFERROR(VLOOKUP($H69,val_equip_assets,BH$4,FALSE), "")</f>
        <v/>
      </c>
      <c r="M69" s="1246"/>
      <c r="N69" s="1247"/>
      <c r="O69" s="892" t="str">
        <f>IF(H69="","",IF(AND(E69="No",N69=""),TEXT(BH69,0)&amp;" Years?   ",""))</f>
        <v/>
      </c>
      <c r="P69" s="1705"/>
      <c r="Q69" s="1706" t="str">
        <f>IF(AND(E69="No",P69=""),"Enter Manufact. Yr.     ","")</f>
        <v/>
      </c>
      <c r="R69" s="1952" t="str">
        <f ca="1">BI69</f>
        <v/>
      </c>
      <c r="S69" s="1706"/>
      <c r="T69" s="1963" t="str">
        <f ca="1">BJ69</f>
        <v/>
      </c>
      <c r="U69" s="1706"/>
      <c r="V69" s="1675"/>
      <c r="W69" s="892" t="str">
        <f>IF(AND(E69="No",V69=""),"% of Cap. Resp.    ","")</f>
        <v/>
      </c>
      <c r="X69" s="1655"/>
      <c r="Y69" s="892" t="str">
        <f>IF(AND(E69="No",X69=""),"Estimated $?   ","")</f>
        <v/>
      </c>
      <c r="Z69" s="1707"/>
      <c r="AA69" s="892" t="str">
        <f t="shared" si="9"/>
        <v/>
      </c>
      <c r="AB69" s="1026" t="str">
        <f>IF(E69="","",IF(OR($X69="",$Z69=""),"missing info.",$X69*VLOOKUP($Z69,Inflate,$BF69+1,FALSE)))</f>
        <v/>
      </c>
      <c r="AC69" s="1622"/>
      <c r="AD69" s="1026" t="str">
        <f>IF(E69="","",IF(J69="","missing info.",IF(AB69="missing info.","missing info.",AB69/J69)))</f>
        <v/>
      </c>
      <c r="AE69" s="839"/>
      <c r="AF69" s="1708"/>
      <c r="AG69" s="896"/>
      <c r="AH69" s="894"/>
      <c r="AI69" s="894" t="b">
        <f>IF(AND(C71&lt;&gt;"",C69=""),TRUE,FALSE)</f>
        <v>0</v>
      </c>
      <c r="AJ69" s="902" t="b">
        <f>IF(AND(N69="",P69&lt;&gt;""),TRUE,FALSE)</f>
        <v>0</v>
      </c>
      <c r="AK69" s="720" t="str">
        <f>IF(AND(J69="",AF69="",Z69="",X69="",V69="",N69="",H69="",P69="",C69=""),"N/A",IF(AND(C69&lt;&gt;"",J69&lt;&gt;"",N69&lt;&gt;"",H69&lt;&gt;"",P69&lt;&gt;"",V69&lt;&gt;"",X69&lt;&gt;"",Z69&lt;&gt;""),"Yes","No"))</f>
        <v>N/A</v>
      </c>
      <c r="AL69" s="720" t="b">
        <f>IF(AND(C69="",E69="no"),TRUE,FALSE)</f>
        <v>0</v>
      </c>
      <c r="AM69" s="720" t="b">
        <f>IF(AND(E69="no",H69=""),TRUE,FALSE)</f>
        <v>0</v>
      </c>
      <c r="AN69" s="720" t="b">
        <f>IF(AND(E69="no",H69=""),TRUE,FALSE)</f>
        <v>0</v>
      </c>
      <c r="AO69" s="903" t="b">
        <f>IF($J69="",FALSE,IF($J69&lt;$BD69,TRUE,FALSE))</f>
        <v>0</v>
      </c>
      <c r="AP69" s="903" t="b">
        <f>IF($J69="",FALSE,IF($J69&gt;$BE69,TRUE,FALSE))</f>
        <v>0</v>
      </c>
      <c r="AQ69" s="903" t="b">
        <f>IF(AND(E69="no",N69=""),TRUE,FALSE)</f>
        <v>0</v>
      </c>
      <c r="AR69" s="903" t="b">
        <f>IF(AND(E69="no",P69=""),TRUE,FALSE)</f>
        <v>0</v>
      </c>
      <c r="AS69" s="903" t="b">
        <f>IF(P69="",FALSE,IF(P69&lt;BM69,TRUE,FALSE))</f>
        <v>0</v>
      </c>
      <c r="AT69" s="903" t="b">
        <f>IF(P69="",FALSE,IF(P69&gt;BaseYear,TRUE,FALSE))</f>
        <v>0</v>
      </c>
      <c r="AU69" s="903" t="b">
        <f>IF(AND(E69="no",V69=""),TRUE,FALSE)</f>
        <v>0</v>
      </c>
      <c r="AV69" s="903" t="b">
        <f>IF(V69="",FALSE,IF(OR(V69&gt;1,V69&lt;0),TRUE,FALSE))</f>
        <v>0</v>
      </c>
      <c r="AW69" s="903" t="b">
        <f>IF($N69="",FALSE,IF($N69&lt;$BK69,TRUE,FALSE))</f>
        <v>0</v>
      </c>
      <c r="AX69" s="903" t="b">
        <f>IF($N69="",FALSE,IF($N69&gt;$BL69,TRUE,FALSE))</f>
        <v>0</v>
      </c>
      <c r="AY69" s="889" t="b">
        <f>IF(AND(E69="no",X69=""),TRUE,FALSE)</f>
        <v>0</v>
      </c>
      <c r="AZ69" s="889" t="b">
        <f>IF(OR(AD69="missing info.",AD69=""),FALSE,IF(AD69&lt;BN69,TRUE,FALSE))</f>
        <v>0</v>
      </c>
      <c r="BA69" s="890" t="b">
        <f>IF(OR(AD69="missing info.",AD69=""),FALSE,IF(AD69&gt;BO69,TRUE,FALSE))</f>
        <v>0</v>
      </c>
      <c r="BB69" s="890" t="b">
        <f>IF(AND(E69="no",Z69=""),TRUE,FALSE)</f>
        <v>0</v>
      </c>
      <c r="BC69" s="894" t="b">
        <f>IF(Z69="",FALSE,IF(OR(Z69&gt;BaseYear,Z69&lt;BM69),TRUE,FALSE))</f>
        <v>0</v>
      </c>
      <c r="BD69" s="897" t="str">
        <f>IFERROR(VLOOKUP(H69,Valid!$B$94:$N$96,3,FALSE), "")</f>
        <v/>
      </c>
      <c r="BE69" s="898" t="str">
        <f>IFERROR(VLOOKUP(H69,Valid!$B$94:$N$96,4,FALSE), "")</f>
        <v/>
      </c>
      <c r="BF69" s="897" t="str">
        <f t="shared" si="6"/>
        <v/>
      </c>
      <c r="BG69" s="897" t="str">
        <f t="shared" ca="1" si="7"/>
        <v/>
      </c>
      <c r="BH69" s="1860">
        <f>N69</f>
        <v>0</v>
      </c>
      <c r="BI69" s="1547" t="str">
        <f t="shared" ca="1" si="8"/>
        <v/>
      </c>
      <c r="BJ69" s="898" t="str">
        <f ca="1">IF(BI69="", "", IF(1+(BI69*4)&lt;1, 1, 1+(BI69*4)))</f>
        <v/>
      </c>
      <c r="BK69" s="898" t="str">
        <f t="shared" si="10"/>
        <v/>
      </c>
      <c r="BL69" s="898" t="str">
        <f t="shared" si="10"/>
        <v/>
      </c>
      <c r="BM69" s="1710" t="str">
        <f t="shared" si="10"/>
        <v/>
      </c>
      <c r="BN69" s="1205" t="str">
        <f>IFERROR(VLOOKUP(H69,Valid!$B$94:$N$96,12,FALSE), "")</f>
        <v/>
      </c>
      <c r="BO69" s="1205" t="str">
        <f>IFERROR(VLOOKUP(H69,Valid!$B$94:$N$96,13,FALSE), "")</f>
        <v/>
      </c>
      <c r="BP69" s="894"/>
      <c r="BQ69" s="894"/>
    </row>
    <row r="70" spans="1:69" s="894" customFormat="1" ht="6.75" customHeight="1" thickBot="1" x14ac:dyDescent="0.25">
      <c r="A70" s="1516"/>
      <c r="B70" s="1530">
        <v>29.5</v>
      </c>
      <c r="C70" s="1471"/>
      <c r="D70" s="1541"/>
      <c r="E70" s="1057"/>
      <c r="F70" s="170"/>
      <c r="G70" s="170"/>
      <c r="H70" s="170"/>
      <c r="I70" s="170"/>
      <c r="J70" s="170"/>
      <c r="K70" s="170"/>
      <c r="L70" s="1031"/>
      <c r="M70" s="170"/>
      <c r="N70" s="1031"/>
      <c r="O70" s="892"/>
      <c r="P70" s="836"/>
      <c r="Q70" s="1709"/>
      <c r="R70" s="1806"/>
      <c r="S70" s="1709"/>
      <c r="T70" s="1962"/>
      <c r="U70" s="1709"/>
      <c r="V70" s="1806"/>
      <c r="W70" s="1709"/>
      <c r="X70" s="1027"/>
      <c r="Y70" s="892"/>
      <c r="Z70" s="893"/>
      <c r="AA70" s="892" t="str">
        <f t="shared" si="9"/>
        <v/>
      </c>
      <c r="AB70" s="1030"/>
      <c r="AC70" s="1622"/>
      <c r="AD70" s="1030"/>
      <c r="AF70" s="895"/>
      <c r="AG70" s="896"/>
      <c r="AJ70" s="900"/>
      <c r="AK70" s="1624"/>
      <c r="AO70" s="1152"/>
      <c r="AP70" s="1152"/>
      <c r="AQ70" s="1152"/>
      <c r="AR70" s="1152"/>
      <c r="AS70" s="1152"/>
      <c r="AT70" s="1152"/>
      <c r="AU70" s="1152"/>
      <c r="AV70" s="1152"/>
      <c r="AW70" s="1152"/>
      <c r="AX70" s="1152"/>
      <c r="AY70" s="1448"/>
      <c r="AZ70" s="1448"/>
      <c r="BA70" s="846"/>
      <c r="BB70" s="846"/>
      <c r="BD70" s="897" t="str">
        <f>IFERROR(VLOOKUP(H70,Valid!$B$94:$N$96,3,FALSE), "")</f>
        <v/>
      </c>
      <c r="BE70" s="898" t="str">
        <f>IFERROR(VLOOKUP(H70,Valid!$B$94:$N$96,4,FALSE), "")</f>
        <v/>
      </c>
      <c r="BF70" s="897" t="str">
        <f t="shared" si="6"/>
        <v/>
      </c>
      <c r="BG70" s="897" t="str">
        <f t="shared" ca="1" si="7"/>
        <v/>
      </c>
      <c r="BH70" s="1860" t="str">
        <f>IFERROR(VLOOKUP($H70,val_equip_assets,BH$4,FALSE), "")</f>
        <v/>
      </c>
      <c r="BI70" s="1547" t="str">
        <f t="shared" ca="1" si="8"/>
        <v/>
      </c>
      <c r="BJ70" s="898" t="str">
        <f ca="1">IF(BI70="", "", IF(BI70&lt;0.1, 5, IF(BI70&lt;0.25, 4, IF(BI70&lt;0.5, 3, IF(BI70&lt;0.75, 2, 1)))))</f>
        <v/>
      </c>
      <c r="BK70" s="898" t="str">
        <f t="shared" si="10"/>
        <v/>
      </c>
      <c r="BL70" s="898" t="str">
        <f t="shared" si="10"/>
        <v/>
      </c>
      <c r="BM70" s="1710" t="str">
        <f t="shared" si="10"/>
        <v/>
      </c>
      <c r="BN70" s="1205" t="str">
        <f>IFERROR(VLOOKUP(H70,Valid!$B$94:$N$96,12,FALSE), "")</f>
        <v/>
      </c>
      <c r="BO70" s="1205" t="str">
        <f>IFERROR(VLOOKUP(H70,Valid!$B$94:$N$96,13,FALSE), "")</f>
        <v/>
      </c>
    </row>
    <row r="71" spans="1:69" s="901" customFormat="1" x14ac:dyDescent="0.2">
      <c r="A71" s="206">
        <v>30</v>
      </c>
      <c r="B71" s="1530">
        <v>30</v>
      </c>
      <c r="C71" s="1703"/>
      <c r="D71" s="1248" t="str">
        <f>IF(C69="","",IF(C71="","Enter Service Fleet Description then Fill in columns "&amp;TEXT($H$2,0)&amp;" - "&amp;TEXT($Z$2,0)&amp;"                 ",""))</f>
        <v/>
      </c>
      <c r="E71" s="1245" t="str">
        <f>IF(AK71="N/A","",AK71)</f>
        <v/>
      </c>
      <c r="F71" s="170"/>
      <c r="G71" s="170"/>
      <c r="H71" s="1704"/>
      <c r="I71" s="1246" t="str">
        <f>IF(AND(E71="No",H71=""),"Select Type of Vehicle                        ","")</f>
        <v/>
      </c>
      <c r="J71" s="1247"/>
      <c r="K71" s="1246" t="str">
        <f>IF(AND(C71="No",H71=""),"Number of Vehicles?  ","")</f>
        <v/>
      </c>
      <c r="L71" s="1782" t="str">
        <f>IFERROR(VLOOKUP($H71,val_equip_assets,BH$4,FALSE), "")</f>
        <v/>
      </c>
      <c r="M71" s="1246"/>
      <c r="N71" s="1247"/>
      <c r="O71" s="892" t="str">
        <f>IF(H71="","",IF(AND(E71="No",N71=""),TEXT(BH71,0)&amp;" Years?   ",""))</f>
        <v/>
      </c>
      <c r="P71" s="1705"/>
      <c r="Q71" s="1706" t="str">
        <f>IF(AND(E71="No",P71=""),"Enter Manufact. Yr.     ","")</f>
        <v/>
      </c>
      <c r="R71" s="1952" t="str">
        <f ca="1">BI71</f>
        <v/>
      </c>
      <c r="S71" s="1706"/>
      <c r="T71" s="1963" t="str">
        <f ca="1">BJ71</f>
        <v/>
      </c>
      <c r="U71" s="1706"/>
      <c r="V71" s="1675"/>
      <c r="W71" s="892" t="str">
        <f>IF(AND(E71="No",V71=""),"% of Cap. Resp.    ","")</f>
        <v/>
      </c>
      <c r="X71" s="1655"/>
      <c r="Y71" s="892" t="str">
        <f>IF(AND(E71="No",X71=""),"Estimated $?   ","")</f>
        <v/>
      </c>
      <c r="Z71" s="1707"/>
      <c r="AA71" s="892" t="str">
        <f t="shared" si="9"/>
        <v/>
      </c>
      <c r="AB71" s="1026" t="str">
        <f>IF(E71="","",IF(OR($X71="",$Z71=""),"missing info.",$X71*VLOOKUP($Z71,Inflate,$BF71+1,FALSE)))</f>
        <v/>
      </c>
      <c r="AC71" s="1622"/>
      <c r="AD71" s="1026" t="str">
        <f>IF(E71="","",IF(J71="","missing info.",IF(AB71="missing info.","missing info.",AB71/J71)))</f>
        <v/>
      </c>
      <c r="AE71" s="839"/>
      <c r="AF71" s="1708"/>
      <c r="AG71" s="896"/>
      <c r="AH71" s="894"/>
      <c r="AI71" s="894" t="b">
        <f>IF(AND(C73&lt;&gt;"",C71=""),TRUE,FALSE)</f>
        <v>0</v>
      </c>
      <c r="AJ71" s="902" t="b">
        <f>IF(AND(N71="",P71&lt;&gt;""),TRUE,FALSE)</f>
        <v>0</v>
      </c>
      <c r="AK71" s="720" t="str">
        <f>IF(AND(J71="",AF71="",Z71="",X71="",V71="",N71="",H71="",P71="",C71=""),"N/A",IF(AND(C71&lt;&gt;"",J71&lt;&gt;"",N71&lt;&gt;"",H71&lt;&gt;"",P71&lt;&gt;"",V71&lt;&gt;"",X71&lt;&gt;"",Z71&lt;&gt;""),"Yes","No"))</f>
        <v>N/A</v>
      </c>
      <c r="AL71" s="720" t="b">
        <f>IF(AND(C71="",E71="no"),TRUE,FALSE)</f>
        <v>0</v>
      </c>
      <c r="AM71" s="720" t="b">
        <f>IF(AND(E71="no",H71=""),TRUE,FALSE)</f>
        <v>0</v>
      </c>
      <c r="AN71" s="720" t="b">
        <f>IF(AND(E71="no",H71=""),TRUE,FALSE)</f>
        <v>0</v>
      </c>
      <c r="AO71" s="903" t="b">
        <f>IF($J71="",FALSE,IF($J71&lt;$BD71,TRUE,FALSE))</f>
        <v>0</v>
      </c>
      <c r="AP71" s="903" t="b">
        <f>IF($J71="",FALSE,IF($J71&gt;$BE71,TRUE,FALSE))</f>
        <v>0</v>
      </c>
      <c r="AQ71" s="903" t="b">
        <f>IF(AND(E71="no",N71=""),TRUE,FALSE)</f>
        <v>0</v>
      </c>
      <c r="AR71" s="903" t="b">
        <f>IF(AND(E71="no",P71=""),TRUE,FALSE)</f>
        <v>0</v>
      </c>
      <c r="AS71" s="903" t="b">
        <f>IF(P71="",FALSE,IF(P71&lt;BM71,TRUE,FALSE))</f>
        <v>0</v>
      </c>
      <c r="AT71" s="903" t="b">
        <f>IF(P71="",FALSE,IF(P71&gt;BaseYear,TRUE,FALSE))</f>
        <v>0</v>
      </c>
      <c r="AU71" s="903" t="b">
        <f>IF(AND(E71="no",V71=""),TRUE,FALSE)</f>
        <v>0</v>
      </c>
      <c r="AV71" s="903" t="b">
        <f>IF(V71="",FALSE,IF(OR(V71&gt;1,V71&lt;0),TRUE,FALSE))</f>
        <v>0</v>
      </c>
      <c r="AW71" s="903" t="b">
        <f>IF($N71="",FALSE,IF($N71&lt;$BK71,TRUE,FALSE))</f>
        <v>0</v>
      </c>
      <c r="AX71" s="903" t="b">
        <f>IF($N71="",FALSE,IF($N71&gt;$BL71,TRUE,FALSE))</f>
        <v>0</v>
      </c>
      <c r="AY71" s="889" t="b">
        <f>IF(AND(E71="no",X71=""),TRUE,FALSE)</f>
        <v>0</v>
      </c>
      <c r="AZ71" s="889" t="b">
        <f>IF(OR(AD71="missing info.",AD71=""),FALSE,IF(AD71&lt;BN71,TRUE,FALSE))</f>
        <v>0</v>
      </c>
      <c r="BA71" s="890" t="b">
        <f>IF(OR(AD71="missing info.",AD71=""),FALSE,IF(AD71&gt;BO71,TRUE,FALSE))</f>
        <v>0</v>
      </c>
      <c r="BB71" s="890" t="b">
        <f>IF(AND(E71="no",Z71=""),TRUE,FALSE)</f>
        <v>0</v>
      </c>
      <c r="BC71" s="894" t="b">
        <f>IF(Z71="",FALSE,IF(OR(Z71&gt;BaseYear,Z71&lt;BM71),TRUE,FALSE))</f>
        <v>0</v>
      </c>
      <c r="BD71" s="897" t="str">
        <f>IFERROR(VLOOKUP(H71,Valid!$B$94:$N$96,3,FALSE), "")</f>
        <v/>
      </c>
      <c r="BE71" s="898" t="str">
        <f>IFERROR(VLOOKUP(H71,Valid!$B$94:$N$96,4,FALSE), "")</f>
        <v/>
      </c>
      <c r="BF71" s="897" t="str">
        <f t="shared" si="6"/>
        <v/>
      </c>
      <c r="BG71" s="897" t="str">
        <f t="shared" ca="1" si="7"/>
        <v/>
      </c>
      <c r="BH71" s="1860">
        <f>N71</f>
        <v>0</v>
      </c>
      <c r="BI71" s="1547" t="str">
        <f t="shared" ca="1" si="8"/>
        <v/>
      </c>
      <c r="BJ71" s="898" t="str">
        <f ca="1">IF(BI71="", "", IF(1+(BI71*4)&lt;1, 1, 1+(BI71*4)))</f>
        <v/>
      </c>
      <c r="BK71" s="898" t="str">
        <f t="shared" si="10"/>
        <v/>
      </c>
      <c r="BL71" s="898" t="str">
        <f t="shared" si="10"/>
        <v/>
      </c>
      <c r="BM71" s="1710" t="str">
        <f t="shared" si="10"/>
        <v/>
      </c>
      <c r="BN71" s="1205" t="str">
        <f>IFERROR(VLOOKUP(H71,Valid!$B$94:$N$96,12,FALSE), "")</f>
        <v/>
      </c>
      <c r="BO71" s="1205" t="str">
        <f>IFERROR(VLOOKUP(H71,Valid!$B$94:$N$96,13,FALSE), "")</f>
        <v/>
      </c>
      <c r="BP71" s="894"/>
      <c r="BQ71" s="894"/>
    </row>
    <row r="72" spans="1:69" s="894" customFormat="1" ht="6.75" customHeight="1" thickBot="1" x14ac:dyDescent="0.25">
      <c r="A72" s="1516"/>
      <c r="B72" s="1530">
        <v>30.5</v>
      </c>
      <c r="C72" s="1471"/>
      <c r="D72" s="1541"/>
      <c r="E72" s="1057"/>
      <c r="F72" s="170"/>
      <c r="G72" s="170"/>
      <c r="H72" s="170"/>
      <c r="I72" s="170"/>
      <c r="J72" s="170"/>
      <c r="K72" s="170"/>
      <c r="L72" s="1031"/>
      <c r="M72" s="170"/>
      <c r="N72" s="1031"/>
      <c r="O72" s="892"/>
      <c r="P72" s="836"/>
      <c r="Q72" s="1709"/>
      <c r="R72" s="1806"/>
      <c r="S72" s="1709"/>
      <c r="T72" s="1962"/>
      <c r="U72" s="1709"/>
      <c r="V72" s="1806"/>
      <c r="W72" s="1709"/>
      <c r="X72" s="1027"/>
      <c r="Y72" s="892"/>
      <c r="Z72" s="893"/>
      <c r="AA72" s="892" t="str">
        <f t="shared" si="9"/>
        <v/>
      </c>
      <c r="AB72" s="1030"/>
      <c r="AC72" s="1622"/>
      <c r="AD72" s="1030"/>
      <c r="AF72" s="895"/>
      <c r="AG72" s="896"/>
      <c r="AJ72" s="900"/>
      <c r="AK72" s="1624"/>
      <c r="AO72" s="1152"/>
      <c r="AP72" s="1152"/>
      <c r="AQ72" s="1152"/>
      <c r="AR72" s="1152"/>
      <c r="AS72" s="1152"/>
      <c r="AT72" s="1152"/>
      <c r="AU72" s="1152"/>
      <c r="AV72" s="1152"/>
      <c r="AW72" s="1152"/>
      <c r="AX72" s="1152"/>
      <c r="AY72" s="1448"/>
      <c r="AZ72" s="1448"/>
      <c r="BA72" s="846"/>
      <c r="BB72" s="846"/>
      <c r="BD72" s="897" t="str">
        <f>IFERROR(VLOOKUP(H72,Valid!$B$94:$N$96,3,FALSE), "")</f>
        <v/>
      </c>
      <c r="BE72" s="898" t="str">
        <f>IFERROR(VLOOKUP(H72,Valid!$B$94:$N$96,4,FALSE), "")</f>
        <v/>
      </c>
      <c r="BF72" s="897" t="str">
        <f t="shared" si="6"/>
        <v/>
      </c>
      <c r="BG72" s="897" t="str">
        <f t="shared" ca="1" si="7"/>
        <v/>
      </c>
      <c r="BH72" s="1860" t="str">
        <f>IFERROR(VLOOKUP($H72,val_equip_assets,BH$4,FALSE), "")</f>
        <v/>
      </c>
      <c r="BI72" s="1547" t="str">
        <f t="shared" ca="1" si="8"/>
        <v/>
      </c>
      <c r="BJ72" s="898" t="str">
        <f ca="1">IF(BI72="", "", IF(BI72&lt;0.1, 5, IF(BI72&lt;0.25, 4, IF(BI72&lt;0.5, 3, IF(BI72&lt;0.75, 2, 1)))))</f>
        <v/>
      </c>
      <c r="BK72" s="898" t="str">
        <f t="shared" si="10"/>
        <v/>
      </c>
      <c r="BL72" s="898" t="str">
        <f t="shared" si="10"/>
        <v/>
      </c>
      <c r="BM72" s="1710" t="str">
        <f t="shared" si="10"/>
        <v/>
      </c>
      <c r="BN72" s="1205" t="str">
        <f>IFERROR(VLOOKUP(H72,Valid!$B$94:$N$96,12,FALSE), "")</f>
        <v/>
      </c>
      <c r="BO72" s="1205" t="str">
        <f>IFERROR(VLOOKUP(H72,Valid!$B$94:$N$96,13,FALSE), "")</f>
        <v/>
      </c>
    </row>
    <row r="73" spans="1:69" s="901" customFormat="1" x14ac:dyDescent="0.2">
      <c r="A73" s="206">
        <v>31</v>
      </c>
      <c r="B73" s="1530">
        <v>31</v>
      </c>
      <c r="C73" s="1703"/>
      <c r="D73" s="1248" t="str">
        <f>IF(C71="","",IF(C73="","Enter Service Fleet Description then Fill in columns "&amp;TEXT($H$2,0)&amp;" - "&amp;TEXT($Z$2,0)&amp;"                 ",""))</f>
        <v/>
      </c>
      <c r="E73" s="1245" t="str">
        <f>IF(AK73="N/A","",AK73)</f>
        <v/>
      </c>
      <c r="F73" s="170"/>
      <c r="G73" s="170"/>
      <c r="H73" s="1704"/>
      <c r="I73" s="1246" t="str">
        <f>IF(AND(E73="No",H73=""),"Select Type of Vehicle                        ","")</f>
        <v/>
      </c>
      <c r="J73" s="1247"/>
      <c r="K73" s="1246" t="str">
        <f>IF(AND(C73="No",H73=""),"Number of Vehicles?  ","")</f>
        <v/>
      </c>
      <c r="L73" s="1782" t="str">
        <f>IFERROR(VLOOKUP($H73,val_equip_assets,BH$4,FALSE), "")</f>
        <v/>
      </c>
      <c r="M73" s="1246"/>
      <c r="N73" s="1247"/>
      <c r="O73" s="892" t="str">
        <f>IF(H73="","",IF(AND(E73="No",N73=""),TEXT(BH73,0)&amp;" Years?   ",""))</f>
        <v/>
      </c>
      <c r="P73" s="1705"/>
      <c r="Q73" s="1706" t="str">
        <f>IF(AND(E73="No",P73=""),"Enter Manufact. Yr.     ","")</f>
        <v/>
      </c>
      <c r="R73" s="1952" t="str">
        <f ca="1">BI73</f>
        <v/>
      </c>
      <c r="S73" s="1706"/>
      <c r="T73" s="1963" t="str">
        <f ca="1">BJ73</f>
        <v/>
      </c>
      <c r="U73" s="1706"/>
      <c r="V73" s="1675"/>
      <c r="W73" s="892" t="str">
        <f>IF(AND(E73="No",V73=""),"% of Cap. Resp.    ","")</f>
        <v/>
      </c>
      <c r="X73" s="1655"/>
      <c r="Y73" s="892" t="str">
        <f>IF(AND(E73="No",X73=""),"Estimated $?   ","")</f>
        <v/>
      </c>
      <c r="Z73" s="1707"/>
      <c r="AA73" s="892" t="str">
        <f t="shared" si="9"/>
        <v/>
      </c>
      <c r="AB73" s="1026" t="str">
        <f>IF(E73="","",IF(OR($X73="",$Z73=""),"missing info.",$X73*VLOOKUP($Z73,Inflate,$BF73+1,FALSE)))</f>
        <v/>
      </c>
      <c r="AC73" s="1622"/>
      <c r="AD73" s="1026" t="str">
        <f>IF(E73="","",IF(J73="","missing info.",IF(AB73="missing info.","missing info.",AB73/J73)))</f>
        <v/>
      </c>
      <c r="AE73" s="839"/>
      <c r="AF73" s="1708"/>
      <c r="AG73" s="896"/>
      <c r="AH73" s="894"/>
      <c r="AI73" s="894" t="b">
        <f>IF(AND(C75&lt;&gt;"",C73=""),TRUE,FALSE)</f>
        <v>0</v>
      </c>
      <c r="AJ73" s="902" t="b">
        <f>IF(AND(N73="",P73&lt;&gt;""),TRUE,FALSE)</f>
        <v>0</v>
      </c>
      <c r="AK73" s="720" t="str">
        <f>IF(AND(J73="",AF73="",Z73="",X73="",V73="",N73="",H73="",P73="",C73=""),"N/A",IF(AND(C73&lt;&gt;"",J73&lt;&gt;"",N73&lt;&gt;"",H73&lt;&gt;"",P73&lt;&gt;"",V73&lt;&gt;"",X73&lt;&gt;"",Z73&lt;&gt;""),"Yes","No"))</f>
        <v>N/A</v>
      </c>
      <c r="AL73" s="720" t="b">
        <f>IF(AND(C73="",E73="no"),TRUE,FALSE)</f>
        <v>0</v>
      </c>
      <c r="AM73" s="720" t="b">
        <f>IF(AND(E73="no",H73=""),TRUE,FALSE)</f>
        <v>0</v>
      </c>
      <c r="AN73" s="720" t="b">
        <f>IF(AND(E73="no",H73=""),TRUE,FALSE)</f>
        <v>0</v>
      </c>
      <c r="AO73" s="903" t="b">
        <f>IF($J73="",FALSE,IF($J73&lt;$BD73,TRUE,FALSE))</f>
        <v>0</v>
      </c>
      <c r="AP73" s="903" t="b">
        <f>IF($J73="",FALSE,IF($J73&gt;$BE73,TRUE,FALSE))</f>
        <v>0</v>
      </c>
      <c r="AQ73" s="903" t="b">
        <f>IF(AND(E73="no",N73=""),TRUE,FALSE)</f>
        <v>0</v>
      </c>
      <c r="AR73" s="903" t="b">
        <f>IF(AND(E73="no",P73=""),TRUE,FALSE)</f>
        <v>0</v>
      </c>
      <c r="AS73" s="903" t="b">
        <f>IF(P73="",FALSE,IF(P73&lt;BM73,TRUE,FALSE))</f>
        <v>0</v>
      </c>
      <c r="AT73" s="903" t="b">
        <f>IF(P73="",FALSE,IF(P73&gt;BaseYear,TRUE,FALSE))</f>
        <v>0</v>
      </c>
      <c r="AU73" s="903" t="b">
        <f>IF(AND(E73="no",V73=""),TRUE,FALSE)</f>
        <v>0</v>
      </c>
      <c r="AV73" s="903" t="b">
        <f>IF(V73="",FALSE,IF(OR(V73&gt;1,V73&lt;0),TRUE,FALSE))</f>
        <v>0</v>
      </c>
      <c r="AW73" s="903" t="b">
        <f>IF($N73="",FALSE,IF($N73&lt;$BK73,TRUE,FALSE))</f>
        <v>0</v>
      </c>
      <c r="AX73" s="903" t="b">
        <f>IF($N73="",FALSE,IF($N73&gt;$BL73,TRUE,FALSE))</f>
        <v>0</v>
      </c>
      <c r="AY73" s="889" t="b">
        <f>IF(AND(E73="no",X73=""),TRUE,FALSE)</f>
        <v>0</v>
      </c>
      <c r="AZ73" s="889" t="b">
        <f>IF(OR(AD73="missing info.",AD73=""),FALSE,IF(AD73&lt;BN73,TRUE,FALSE))</f>
        <v>0</v>
      </c>
      <c r="BA73" s="890" t="b">
        <f>IF(OR(AD73="missing info.",AD73=""),FALSE,IF(AD73&gt;BO73,TRUE,FALSE))</f>
        <v>0</v>
      </c>
      <c r="BB73" s="890" t="b">
        <f>IF(AND(E73="no",Z73=""),TRUE,FALSE)</f>
        <v>0</v>
      </c>
      <c r="BC73" s="894" t="b">
        <f>IF(Z73="",FALSE,IF(OR(Z73&gt;BaseYear,Z73&lt;BM73),TRUE,FALSE))</f>
        <v>0</v>
      </c>
      <c r="BD73" s="897" t="str">
        <f>IFERROR(VLOOKUP(H73,Valid!$B$94:$N$96,3,FALSE), "")</f>
        <v/>
      </c>
      <c r="BE73" s="898" t="str">
        <f>IFERROR(VLOOKUP(H73,Valid!$B$94:$N$96,4,FALSE), "")</f>
        <v/>
      </c>
      <c r="BF73" s="897" t="str">
        <f t="shared" si="6"/>
        <v/>
      </c>
      <c r="BG73" s="897" t="str">
        <f t="shared" ca="1" si="7"/>
        <v/>
      </c>
      <c r="BH73" s="1860">
        <f>N73</f>
        <v>0</v>
      </c>
      <c r="BI73" s="1547" t="str">
        <f t="shared" ca="1" si="8"/>
        <v/>
      </c>
      <c r="BJ73" s="898" t="str">
        <f ca="1">IF(BI73="", "", IF(1+(BI73*4)&lt;1, 1, 1+(BI73*4)))</f>
        <v/>
      </c>
      <c r="BK73" s="898" t="str">
        <f t="shared" ref="BK73:BM92" si="11">IFERROR(VLOOKUP($H73,val_equip_assets,BK$4,FALSE), "")</f>
        <v/>
      </c>
      <c r="BL73" s="898" t="str">
        <f t="shared" si="11"/>
        <v/>
      </c>
      <c r="BM73" s="1710" t="str">
        <f t="shared" si="11"/>
        <v/>
      </c>
      <c r="BN73" s="1205" t="str">
        <f>IFERROR(VLOOKUP(H73,Valid!$B$94:$N$96,12,FALSE), "")</f>
        <v/>
      </c>
      <c r="BO73" s="1205" t="str">
        <f>IFERROR(VLOOKUP(H73,Valid!$B$94:$N$96,13,FALSE), "")</f>
        <v/>
      </c>
      <c r="BP73" s="894"/>
      <c r="BQ73" s="894"/>
    </row>
    <row r="74" spans="1:69" s="894" customFormat="1" ht="6.75" customHeight="1" thickBot="1" x14ac:dyDescent="0.25">
      <c r="A74" s="1516"/>
      <c r="B74" s="1530">
        <v>31.5</v>
      </c>
      <c r="C74" s="1471"/>
      <c r="D74" s="1541"/>
      <c r="E74" s="1057"/>
      <c r="F74" s="170"/>
      <c r="G74" s="170"/>
      <c r="H74" s="170"/>
      <c r="I74" s="170"/>
      <c r="J74" s="170"/>
      <c r="K74" s="170"/>
      <c r="L74" s="1031"/>
      <c r="M74" s="170"/>
      <c r="N74" s="1031"/>
      <c r="O74" s="892"/>
      <c r="P74" s="836"/>
      <c r="Q74" s="1709"/>
      <c r="R74" s="1806"/>
      <c r="S74" s="1709"/>
      <c r="T74" s="1962"/>
      <c r="U74" s="1709"/>
      <c r="V74" s="1806"/>
      <c r="W74" s="1709"/>
      <c r="X74" s="1027"/>
      <c r="Y74" s="892"/>
      <c r="Z74" s="893"/>
      <c r="AA74" s="892" t="str">
        <f t="shared" si="9"/>
        <v/>
      </c>
      <c r="AB74" s="1030"/>
      <c r="AC74" s="1622"/>
      <c r="AD74" s="1030"/>
      <c r="AF74" s="895"/>
      <c r="AG74" s="896"/>
      <c r="AJ74" s="900"/>
      <c r="AK74" s="1624"/>
      <c r="AO74" s="1152"/>
      <c r="AP74" s="1152"/>
      <c r="AQ74" s="1152"/>
      <c r="AR74" s="1152"/>
      <c r="AS74" s="1152"/>
      <c r="AT74" s="1152"/>
      <c r="AU74" s="1152"/>
      <c r="AV74" s="1152"/>
      <c r="AW74" s="1152"/>
      <c r="AX74" s="1152"/>
      <c r="AY74" s="1448"/>
      <c r="AZ74" s="1448"/>
      <c r="BA74" s="846"/>
      <c r="BB74" s="846"/>
      <c r="BD74" s="897" t="str">
        <f>IFERROR(VLOOKUP(H74,Valid!$B$94:$N$96,3,FALSE), "")</f>
        <v/>
      </c>
      <c r="BE74" s="898" t="str">
        <f>IFERROR(VLOOKUP(H74,Valid!$B$94:$N$96,4,FALSE), "")</f>
        <v/>
      </c>
      <c r="BF74" s="897" t="str">
        <f t="shared" si="6"/>
        <v/>
      </c>
      <c r="BG74" s="897" t="str">
        <f t="shared" ca="1" si="7"/>
        <v/>
      </c>
      <c r="BH74" s="1860" t="str">
        <f>IFERROR(VLOOKUP($H74,val_equip_assets,BH$4,FALSE), "")</f>
        <v/>
      </c>
      <c r="BI74" s="1547" t="str">
        <f t="shared" ca="1" si="8"/>
        <v/>
      </c>
      <c r="BJ74" s="898" t="str">
        <f ca="1">IF(BI74="", "", IF(BI74&lt;0.1, 5, IF(BI74&lt;0.25, 4, IF(BI74&lt;0.5, 3, IF(BI74&lt;0.75, 2, 1)))))</f>
        <v/>
      </c>
      <c r="BK74" s="898" t="str">
        <f t="shared" si="11"/>
        <v/>
      </c>
      <c r="BL74" s="898" t="str">
        <f t="shared" si="11"/>
        <v/>
      </c>
      <c r="BM74" s="1710" t="str">
        <f t="shared" si="11"/>
        <v/>
      </c>
      <c r="BN74" s="1205" t="str">
        <f>IFERROR(VLOOKUP(H74,Valid!$B$94:$N$96,12,FALSE), "")</f>
        <v/>
      </c>
      <c r="BO74" s="1205" t="str">
        <f>IFERROR(VLOOKUP(H74,Valid!$B$94:$N$96,13,FALSE), "")</f>
        <v/>
      </c>
    </row>
    <row r="75" spans="1:69" s="901" customFormat="1" x14ac:dyDescent="0.2">
      <c r="A75" s="206">
        <v>32</v>
      </c>
      <c r="B75" s="1530">
        <v>32</v>
      </c>
      <c r="C75" s="1703"/>
      <c r="D75" s="1248" t="str">
        <f>IF(C73="","",IF(C75="","Enter Service Fleet Description then Fill in columns "&amp;TEXT($H$2,0)&amp;" - "&amp;TEXT($Z$2,0)&amp;"                 ",""))</f>
        <v/>
      </c>
      <c r="E75" s="1245" t="str">
        <f>IF(AK75="N/A","",AK75)</f>
        <v/>
      </c>
      <c r="F75" s="170"/>
      <c r="G75" s="170"/>
      <c r="H75" s="1704"/>
      <c r="I75" s="1246" t="str">
        <f>IF(AND(E75="No",H75=""),"Select Type of Vehicle                        ","")</f>
        <v/>
      </c>
      <c r="J75" s="1247"/>
      <c r="K75" s="1246" t="str">
        <f>IF(AND(C75="No",H75=""),"Number of Vehicles?  ","")</f>
        <v/>
      </c>
      <c r="L75" s="1782" t="str">
        <f>IFERROR(VLOOKUP($H75,val_equip_assets,BH$4,FALSE), "")</f>
        <v/>
      </c>
      <c r="M75" s="1246"/>
      <c r="N75" s="1247"/>
      <c r="O75" s="892" t="str">
        <f>IF(H75="","",IF(AND(E75="No",N75=""),TEXT(BH75,0)&amp;" Years?   ",""))</f>
        <v/>
      </c>
      <c r="P75" s="1705"/>
      <c r="Q75" s="1706" t="str">
        <f>IF(AND(E75="No",P75=""),"Enter Manufact. Yr.     ","")</f>
        <v/>
      </c>
      <c r="R75" s="1952" t="str">
        <f ca="1">BI75</f>
        <v/>
      </c>
      <c r="S75" s="1706"/>
      <c r="T75" s="1963" t="str">
        <f ca="1">BJ75</f>
        <v/>
      </c>
      <c r="U75" s="1706"/>
      <c r="V75" s="1675"/>
      <c r="W75" s="892" t="str">
        <f>IF(AND(E75="No",V75=""),"% of Cap. Resp.    ","")</f>
        <v/>
      </c>
      <c r="X75" s="1655"/>
      <c r="Y75" s="892" t="str">
        <f>IF(AND(E75="No",X75=""),"Estimated $?   ","")</f>
        <v/>
      </c>
      <c r="Z75" s="1707"/>
      <c r="AA75" s="892" t="str">
        <f t="shared" si="9"/>
        <v/>
      </c>
      <c r="AB75" s="1026" t="str">
        <f>IF(E75="","",IF(OR($X75="",$Z75=""),"missing info.",$X75*VLOOKUP($Z75,Inflate,$BF75+1,FALSE)))</f>
        <v/>
      </c>
      <c r="AC75" s="1622"/>
      <c r="AD75" s="1026" t="str">
        <f>IF(E75="","",IF(J75="","missing info.",IF(AB75="missing info.","missing info.",AB75/J75)))</f>
        <v/>
      </c>
      <c r="AE75" s="839"/>
      <c r="AF75" s="1708"/>
      <c r="AG75" s="896"/>
      <c r="AH75" s="894"/>
      <c r="AI75" s="894" t="b">
        <f>IF(AND(C77&lt;&gt;"",C75=""),TRUE,FALSE)</f>
        <v>0</v>
      </c>
      <c r="AJ75" s="902" t="b">
        <f>IF(AND(N75="",P75&lt;&gt;""),TRUE,FALSE)</f>
        <v>0</v>
      </c>
      <c r="AK75" s="720" t="str">
        <f>IF(AND(J75="",AF75="",Z75="",X75="",V75="",N75="",H75="",P75="",C75=""),"N/A",IF(AND(C75&lt;&gt;"",J75&lt;&gt;"",N75&lt;&gt;"",H75&lt;&gt;"",P75&lt;&gt;"",V75&lt;&gt;"",X75&lt;&gt;"",Z75&lt;&gt;""),"Yes","No"))</f>
        <v>N/A</v>
      </c>
      <c r="AL75" s="720" t="b">
        <f>IF(AND(C75="",E75="no"),TRUE,FALSE)</f>
        <v>0</v>
      </c>
      <c r="AM75" s="720" t="b">
        <f>IF(AND(E75="no",H75=""),TRUE,FALSE)</f>
        <v>0</v>
      </c>
      <c r="AN75" s="720" t="b">
        <f>IF(AND(E75="no",H75=""),TRUE,FALSE)</f>
        <v>0</v>
      </c>
      <c r="AO75" s="903" t="b">
        <f>IF($J75="",FALSE,IF($J75&lt;$BD75,TRUE,FALSE))</f>
        <v>0</v>
      </c>
      <c r="AP75" s="903" t="b">
        <f>IF($J75="",FALSE,IF($J75&gt;$BE75,TRUE,FALSE))</f>
        <v>0</v>
      </c>
      <c r="AQ75" s="903" t="b">
        <f>IF(AND(E75="no",N75=""),TRUE,FALSE)</f>
        <v>0</v>
      </c>
      <c r="AR75" s="903" t="b">
        <f>IF(AND(E75="no",P75=""),TRUE,FALSE)</f>
        <v>0</v>
      </c>
      <c r="AS75" s="903" t="b">
        <f>IF(P75="",FALSE,IF(P75&lt;BM75,TRUE,FALSE))</f>
        <v>0</v>
      </c>
      <c r="AT75" s="903" t="b">
        <f>IF(P75="",FALSE,IF(P75&gt;BaseYear,TRUE,FALSE))</f>
        <v>0</v>
      </c>
      <c r="AU75" s="903" t="b">
        <f>IF(AND(E75="no",V75=""),TRUE,FALSE)</f>
        <v>0</v>
      </c>
      <c r="AV75" s="903" t="b">
        <f>IF(V75="",FALSE,IF(OR(V75&gt;1,V75&lt;0),TRUE,FALSE))</f>
        <v>0</v>
      </c>
      <c r="AW75" s="903" t="b">
        <f>IF($N75="",FALSE,IF($N75&lt;$BK75,TRUE,FALSE))</f>
        <v>0</v>
      </c>
      <c r="AX75" s="903" t="b">
        <f>IF($N75="",FALSE,IF($N75&gt;$BL75,TRUE,FALSE))</f>
        <v>0</v>
      </c>
      <c r="AY75" s="889" t="b">
        <f>IF(AND(E75="no",X75=""),TRUE,FALSE)</f>
        <v>0</v>
      </c>
      <c r="AZ75" s="889" t="b">
        <f>IF(OR(AD75="missing info.",AD75=""),FALSE,IF(AD75&lt;BN75,TRUE,FALSE))</f>
        <v>0</v>
      </c>
      <c r="BA75" s="890" t="b">
        <f>IF(OR(AD75="missing info.",AD75=""),FALSE,IF(AD75&gt;BO75,TRUE,FALSE))</f>
        <v>0</v>
      </c>
      <c r="BB75" s="890" t="b">
        <f>IF(AND(E75="no",Z75=""),TRUE,FALSE)</f>
        <v>0</v>
      </c>
      <c r="BC75" s="894" t="b">
        <f>IF(Z75="",FALSE,IF(OR(Z75&gt;BaseYear,Z75&lt;BM75),TRUE,FALSE))</f>
        <v>0</v>
      </c>
      <c r="BD75" s="897" t="str">
        <f>IFERROR(VLOOKUP(H75,Valid!$B$94:$N$96,3,FALSE), "")</f>
        <v/>
      </c>
      <c r="BE75" s="898" t="str">
        <f>IFERROR(VLOOKUP(H75,Valid!$B$94:$N$96,4,FALSE), "")</f>
        <v/>
      </c>
      <c r="BF75" s="897" t="str">
        <f t="shared" si="6"/>
        <v/>
      </c>
      <c r="BG75" s="897" t="str">
        <f t="shared" ca="1" si="7"/>
        <v/>
      </c>
      <c r="BH75" s="1860">
        <f>N75</f>
        <v>0</v>
      </c>
      <c r="BI75" s="1547" t="str">
        <f t="shared" ca="1" si="8"/>
        <v/>
      </c>
      <c r="BJ75" s="898" t="str">
        <f ca="1">IF(BI75="", "", IF(1+(BI75*4)&lt;1, 1, 1+(BI75*4)))</f>
        <v/>
      </c>
      <c r="BK75" s="898" t="str">
        <f t="shared" si="11"/>
        <v/>
      </c>
      <c r="BL75" s="898" t="str">
        <f t="shared" si="11"/>
        <v/>
      </c>
      <c r="BM75" s="1710" t="str">
        <f t="shared" si="11"/>
        <v/>
      </c>
      <c r="BN75" s="1205" t="str">
        <f>IFERROR(VLOOKUP(H75,Valid!$B$94:$N$96,12,FALSE), "")</f>
        <v/>
      </c>
      <c r="BO75" s="1205" t="str">
        <f>IFERROR(VLOOKUP(H75,Valid!$B$94:$N$96,13,FALSE), "")</f>
        <v/>
      </c>
      <c r="BP75" s="894"/>
      <c r="BQ75" s="894"/>
    </row>
    <row r="76" spans="1:69" s="894" customFormat="1" ht="6.75" customHeight="1" thickBot="1" x14ac:dyDescent="0.25">
      <c r="A76" s="1516"/>
      <c r="B76" s="1530">
        <v>32.5</v>
      </c>
      <c r="C76" s="1471"/>
      <c r="D76" s="1541"/>
      <c r="E76" s="1057"/>
      <c r="F76" s="170"/>
      <c r="G76" s="170"/>
      <c r="H76" s="170"/>
      <c r="I76" s="170"/>
      <c r="J76" s="170"/>
      <c r="K76" s="170"/>
      <c r="L76" s="1031"/>
      <c r="M76" s="170"/>
      <c r="N76" s="1031"/>
      <c r="O76" s="892"/>
      <c r="P76" s="836"/>
      <c r="Q76" s="1709"/>
      <c r="R76" s="1806"/>
      <c r="S76" s="1709"/>
      <c r="T76" s="1962"/>
      <c r="U76" s="1709"/>
      <c r="V76" s="1806"/>
      <c r="W76" s="1709"/>
      <c r="X76" s="1027"/>
      <c r="Y76" s="892"/>
      <c r="Z76" s="893"/>
      <c r="AA76" s="892" t="str">
        <f t="shared" si="9"/>
        <v/>
      </c>
      <c r="AB76" s="1030"/>
      <c r="AC76" s="1622"/>
      <c r="AD76" s="1030"/>
      <c r="AF76" s="895"/>
      <c r="AG76" s="896"/>
      <c r="AJ76" s="900"/>
      <c r="AK76" s="1624"/>
      <c r="AO76" s="1152"/>
      <c r="AP76" s="1152"/>
      <c r="AQ76" s="1152"/>
      <c r="AR76" s="1152"/>
      <c r="AS76" s="1152"/>
      <c r="AT76" s="1152"/>
      <c r="AU76" s="1152"/>
      <c r="AV76" s="1152"/>
      <c r="AW76" s="1152"/>
      <c r="AX76" s="1152"/>
      <c r="AY76" s="1448"/>
      <c r="AZ76" s="1448"/>
      <c r="BA76" s="846"/>
      <c r="BB76" s="846"/>
      <c r="BD76" s="897" t="str">
        <f>IFERROR(VLOOKUP(H76,Valid!$B$94:$N$96,3,FALSE), "")</f>
        <v/>
      </c>
      <c r="BE76" s="898" t="str">
        <f>IFERROR(VLOOKUP(H76,Valid!$B$94:$N$96,4,FALSE), "")</f>
        <v/>
      </c>
      <c r="BF76" s="897" t="str">
        <f t="shared" si="6"/>
        <v/>
      </c>
      <c r="BG76" s="897" t="str">
        <f t="shared" ca="1" si="7"/>
        <v/>
      </c>
      <c r="BH76" s="1860" t="str">
        <f>IFERROR(VLOOKUP($H76,val_equip_assets,BH$4,FALSE), "")</f>
        <v/>
      </c>
      <c r="BI76" s="1547" t="str">
        <f t="shared" ca="1" si="8"/>
        <v/>
      </c>
      <c r="BJ76" s="898" t="str">
        <f ca="1">IF(BI76="", "", IF(BI76&lt;0.1, 5, IF(BI76&lt;0.25, 4, IF(BI76&lt;0.5, 3, IF(BI76&lt;0.75, 2, 1)))))</f>
        <v/>
      </c>
      <c r="BK76" s="898" t="str">
        <f t="shared" si="11"/>
        <v/>
      </c>
      <c r="BL76" s="898" t="str">
        <f t="shared" si="11"/>
        <v/>
      </c>
      <c r="BM76" s="1710" t="str">
        <f t="shared" si="11"/>
        <v/>
      </c>
      <c r="BN76" s="1205" t="str">
        <f>IFERROR(VLOOKUP(H76,Valid!$B$94:$N$96,12,FALSE), "")</f>
        <v/>
      </c>
      <c r="BO76" s="1205" t="str">
        <f>IFERROR(VLOOKUP(H76,Valid!$B$94:$N$96,13,FALSE), "")</f>
        <v/>
      </c>
    </row>
    <row r="77" spans="1:69" s="901" customFormat="1" x14ac:dyDescent="0.2">
      <c r="A77" s="206">
        <v>33</v>
      </c>
      <c r="B77" s="1530">
        <v>33</v>
      </c>
      <c r="C77" s="1703"/>
      <c r="D77" s="1248" t="str">
        <f>IF(C75="","",IF(C77="","Enter Service Fleet Description then Fill in columns "&amp;TEXT($H$2,0)&amp;" - "&amp;TEXT($Z$2,0)&amp;"                 ",""))</f>
        <v/>
      </c>
      <c r="E77" s="1245" t="str">
        <f>IF(AK77="N/A","",AK77)</f>
        <v/>
      </c>
      <c r="F77" s="170"/>
      <c r="G77" s="170"/>
      <c r="H77" s="1704"/>
      <c r="I77" s="1246" t="str">
        <f>IF(AND(E77="No",H77=""),"Select Type of Vehicle                        ","")</f>
        <v/>
      </c>
      <c r="J77" s="1247"/>
      <c r="K77" s="1246" t="str">
        <f>IF(AND(C77="No",H77=""),"Number of Vehicles?  ","")</f>
        <v/>
      </c>
      <c r="L77" s="1782" t="str">
        <f>IFERROR(VLOOKUP($H77,val_equip_assets,BH$4,FALSE), "")</f>
        <v/>
      </c>
      <c r="M77" s="1246"/>
      <c r="N77" s="1247"/>
      <c r="O77" s="892" t="str">
        <f>IF(H77="","",IF(AND(E77="No",N77=""),TEXT(BH77,0)&amp;" Years?   ",""))</f>
        <v/>
      </c>
      <c r="P77" s="1705"/>
      <c r="Q77" s="1706" t="str">
        <f>IF(AND(E77="No",P77=""),"Enter Manufact. Yr.     ","")</f>
        <v/>
      </c>
      <c r="R77" s="1952" t="str">
        <f ca="1">BI77</f>
        <v/>
      </c>
      <c r="S77" s="1706"/>
      <c r="T77" s="1963" t="str">
        <f ca="1">BJ77</f>
        <v/>
      </c>
      <c r="U77" s="1706"/>
      <c r="V77" s="1675"/>
      <c r="W77" s="892" t="str">
        <f>IF(AND(E77="No",V77=""),"% of Cap. Resp.    ","")</f>
        <v/>
      </c>
      <c r="X77" s="1655"/>
      <c r="Y77" s="892" t="str">
        <f>IF(AND(E77="No",X77=""),"Estimated $?   ","")</f>
        <v/>
      </c>
      <c r="Z77" s="1707"/>
      <c r="AA77" s="892" t="str">
        <f t="shared" si="9"/>
        <v/>
      </c>
      <c r="AB77" s="1026" t="str">
        <f>IF(E77="","",IF(OR($X77="",$Z77=""),"missing info.",$X77*VLOOKUP($Z77,Inflate,$BF77+1,FALSE)))</f>
        <v/>
      </c>
      <c r="AC77" s="1622"/>
      <c r="AD77" s="1026" t="str">
        <f>IF(E77="","",IF(J77="","missing info.",IF(AB77="missing info.","missing info.",AB77/J77)))</f>
        <v/>
      </c>
      <c r="AE77" s="839"/>
      <c r="AF77" s="1708"/>
      <c r="AG77" s="896"/>
      <c r="AH77" s="894"/>
      <c r="AI77" s="894" t="b">
        <f>IF(AND(C79&lt;&gt;"",C77=""),TRUE,FALSE)</f>
        <v>0</v>
      </c>
      <c r="AJ77" s="902" t="b">
        <f>IF(AND(N77="",P77&lt;&gt;""),TRUE,FALSE)</f>
        <v>0</v>
      </c>
      <c r="AK77" s="720" t="str">
        <f>IF(AND(J77="",AF77="",Z77="",X77="",V77="",N77="",H77="",P77="",C77=""),"N/A",IF(AND(C77&lt;&gt;"",J77&lt;&gt;"",N77&lt;&gt;"",H77&lt;&gt;"",P77&lt;&gt;"",V77&lt;&gt;"",X77&lt;&gt;"",Z77&lt;&gt;""),"Yes","No"))</f>
        <v>N/A</v>
      </c>
      <c r="AL77" s="720" t="b">
        <f>IF(AND(C77="",E77="no"),TRUE,FALSE)</f>
        <v>0</v>
      </c>
      <c r="AM77" s="720" t="b">
        <f>IF(AND(E77="no",H77=""),TRUE,FALSE)</f>
        <v>0</v>
      </c>
      <c r="AN77" s="720" t="b">
        <f>IF(AND(E77="no",H77=""),TRUE,FALSE)</f>
        <v>0</v>
      </c>
      <c r="AO77" s="903" t="b">
        <f>IF($J77="",FALSE,IF($J77&lt;$BD77,TRUE,FALSE))</f>
        <v>0</v>
      </c>
      <c r="AP77" s="903" t="b">
        <f>IF($J77="",FALSE,IF($J77&gt;$BE77,TRUE,FALSE))</f>
        <v>0</v>
      </c>
      <c r="AQ77" s="903" t="b">
        <f>IF(AND(E77="no",N77=""),TRUE,FALSE)</f>
        <v>0</v>
      </c>
      <c r="AR77" s="903" t="b">
        <f>IF(AND(E77="no",P77=""),TRUE,FALSE)</f>
        <v>0</v>
      </c>
      <c r="AS77" s="903" t="b">
        <f>IF(P77="",FALSE,IF(P77&lt;BM77,TRUE,FALSE))</f>
        <v>0</v>
      </c>
      <c r="AT77" s="903" t="b">
        <f>IF(P77="",FALSE,IF(P77&gt;BaseYear,TRUE,FALSE))</f>
        <v>0</v>
      </c>
      <c r="AU77" s="903" t="b">
        <f>IF(AND(E77="no",V77=""),TRUE,FALSE)</f>
        <v>0</v>
      </c>
      <c r="AV77" s="903" t="b">
        <f>IF(V77="",FALSE,IF(OR(V77&gt;1,V77&lt;0),TRUE,FALSE))</f>
        <v>0</v>
      </c>
      <c r="AW77" s="903" t="b">
        <f>IF($N77="",FALSE,IF($N77&lt;$BK77,TRUE,FALSE))</f>
        <v>0</v>
      </c>
      <c r="AX77" s="903" t="b">
        <f>IF($N77="",FALSE,IF($N77&gt;$BL77,TRUE,FALSE))</f>
        <v>0</v>
      </c>
      <c r="AY77" s="889" t="b">
        <f>IF(AND(E77="no",X77=""),TRUE,FALSE)</f>
        <v>0</v>
      </c>
      <c r="AZ77" s="889" t="b">
        <f>IF(OR(AD77="missing info.",AD77=""),FALSE,IF(AD77&lt;BN77,TRUE,FALSE))</f>
        <v>0</v>
      </c>
      <c r="BA77" s="890" t="b">
        <f>IF(OR(AD77="missing info.",AD77=""),FALSE,IF(AD77&gt;BO77,TRUE,FALSE))</f>
        <v>0</v>
      </c>
      <c r="BB77" s="890" t="b">
        <f>IF(AND(E77="no",Z77=""),TRUE,FALSE)</f>
        <v>0</v>
      </c>
      <c r="BC77" s="894" t="b">
        <f>IF(Z77="",FALSE,IF(OR(Z77&gt;BaseYear,Z77&lt;BM77),TRUE,FALSE))</f>
        <v>0</v>
      </c>
      <c r="BD77" s="897" t="str">
        <f>IFERROR(VLOOKUP(H77,Valid!$B$94:$N$96,3,FALSE), "")</f>
        <v/>
      </c>
      <c r="BE77" s="898" t="str">
        <f>IFERROR(VLOOKUP(H77,Valid!$B$94:$N$96,4,FALSE), "")</f>
        <v/>
      </c>
      <c r="BF77" s="897" t="str">
        <f t="shared" ref="BF77:BF108" si="12">IFERROR(VLOOKUP($H77,val_equip_assets,BF$4,FALSE), "")</f>
        <v/>
      </c>
      <c r="BG77" s="897" t="str">
        <f t="shared" ref="BG77:BG108" ca="1" si="13">IF(P77="", "", YEAR(TODAY())-P77)</f>
        <v/>
      </c>
      <c r="BH77" s="1860">
        <f>N77</f>
        <v>0</v>
      </c>
      <c r="BI77" s="1547" t="str">
        <f t="shared" ref="BI77:BI108" ca="1" si="14">IF(OR(BG77="", BH77="",BH77=0), "", 1+ (-1*(BG77/BH77)))</f>
        <v/>
      </c>
      <c r="BJ77" s="898" t="str">
        <f ca="1">IF(BI77="", "", IF(1+(BI77*4)&lt;1, 1, 1+(BI77*4)))</f>
        <v/>
      </c>
      <c r="BK77" s="898" t="str">
        <f t="shared" si="11"/>
        <v/>
      </c>
      <c r="BL77" s="898" t="str">
        <f t="shared" si="11"/>
        <v/>
      </c>
      <c r="BM77" s="1710" t="str">
        <f t="shared" si="11"/>
        <v/>
      </c>
      <c r="BN77" s="1205" t="str">
        <f>IFERROR(VLOOKUP(H77,Valid!$B$94:$N$96,12,FALSE), "")</f>
        <v/>
      </c>
      <c r="BO77" s="1205" t="str">
        <f>IFERROR(VLOOKUP(H77,Valid!$B$94:$N$96,13,FALSE), "")</f>
        <v/>
      </c>
      <c r="BP77" s="894"/>
      <c r="BQ77" s="894"/>
    </row>
    <row r="78" spans="1:69" s="894" customFormat="1" ht="6.75" customHeight="1" thickBot="1" x14ac:dyDescent="0.25">
      <c r="A78" s="1516"/>
      <c r="B78" s="1530">
        <v>33.5</v>
      </c>
      <c r="C78" s="1471"/>
      <c r="D78" s="1541"/>
      <c r="E78" s="1057"/>
      <c r="F78" s="170"/>
      <c r="G78" s="170"/>
      <c r="H78" s="170"/>
      <c r="I78" s="170"/>
      <c r="J78" s="170"/>
      <c r="K78" s="170"/>
      <c r="L78" s="1031"/>
      <c r="M78" s="170"/>
      <c r="N78" s="1031"/>
      <c r="O78" s="892"/>
      <c r="P78" s="836"/>
      <c r="Q78" s="1709"/>
      <c r="R78" s="1806"/>
      <c r="S78" s="1709"/>
      <c r="T78" s="1962"/>
      <c r="U78" s="1709"/>
      <c r="V78" s="1806"/>
      <c r="W78" s="1709"/>
      <c r="X78" s="1027"/>
      <c r="Y78" s="892"/>
      <c r="Z78" s="893"/>
      <c r="AA78" s="892" t="str">
        <f t="shared" si="9"/>
        <v/>
      </c>
      <c r="AB78" s="1030"/>
      <c r="AC78" s="1622"/>
      <c r="AD78" s="1030"/>
      <c r="AF78" s="895"/>
      <c r="AG78" s="896"/>
      <c r="AJ78" s="900"/>
      <c r="AK78" s="1624"/>
      <c r="AO78" s="1152"/>
      <c r="AP78" s="1152"/>
      <c r="AQ78" s="1152"/>
      <c r="AR78" s="1152"/>
      <c r="AS78" s="1152"/>
      <c r="AT78" s="1152"/>
      <c r="AU78" s="1152"/>
      <c r="AV78" s="1152"/>
      <c r="AW78" s="1152"/>
      <c r="AX78" s="1152"/>
      <c r="AY78" s="1448"/>
      <c r="AZ78" s="1448"/>
      <c r="BA78" s="846"/>
      <c r="BB78" s="846"/>
      <c r="BD78" s="897" t="str">
        <f>IFERROR(VLOOKUP(H78,Valid!$B$94:$N$96,3,FALSE), "")</f>
        <v/>
      </c>
      <c r="BE78" s="898" t="str">
        <f>IFERROR(VLOOKUP(H78,Valid!$B$94:$N$96,4,FALSE), "")</f>
        <v/>
      </c>
      <c r="BF78" s="897" t="str">
        <f t="shared" si="12"/>
        <v/>
      </c>
      <c r="BG78" s="897" t="str">
        <f t="shared" ca="1" si="13"/>
        <v/>
      </c>
      <c r="BH78" s="1860" t="str">
        <f>IFERROR(VLOOKUP($H78,val_equip_assets,BH$4,FALSE), "")</f>
        <v/>
      </c>
      <c r="BI78" s="1547" t="str">
        <f t="shared" ca="1" si="14"/>
        <v/>
      </c>
      <c r="BJ78" s="898" t="str">
        <f ca="1">IF(BI78="", "", IF(BI78&lt;0.1, 5, IF(BI78&lt;0.25, 4, IF(BI78&lt;0.5, 3, IF(BI78&lt;0.75, 2, 1)))))</f>
        <v/>
      </c>
      <c r="BK78" s="898" t="str">
        <f t="shared" si="11"/>
        <v/>
      </c>
      <c r="BL78" s="898" t="str">
        <f t="shared" si="11"/>
        <v/>
      </c>
      <c r="BM78" s="1710" t="str">
        <f t="shared" si="11"/>
        <v/>
      </c>
      <c r="BN78" s="1205" t="str">
        <f>IFERROR(VLOOKUP(H78,Valid!$B$94:$N$96,12,FALSE), "")</f>
        <v/>
      </c>
      <c r="BO78" s="1205" t="str">
        <f>IFERROR(VLOOKUP(H78,Valid!$B$94:$N$96,13,FALSE), "")</f>
        <v/>
      </c>
    </row>
    <row r="79" spans="1:69" s="901" customFormat="1" x14ac:dyDescent="0.2">
      <c r="A79" s="206">
        <v>34</v>
      </c>
      <c r="B79" s="1530">
        <v>34</v>
      </c>
      <c r="C79" s="1703"/>
      <c r="D79" s="1248" t="str">
        <f>IF(C77="","",IF(C79="","Enter Service Fleet Description then Fill in columns "&amp;TEXT($H$2,0)&amp;" - "&amp;TEXT($Z$2,0)&amp;"                 ",""))</f>
        <v/>
      </c>
      <c r="E79" s="1245" t="str">
        <f>IF(AK79="N/A","",AK79)</f>
        <v/>
      </c>
      <c r="F79" s="170"/>
      <c r="G79" s="170"/>
      <c r="H79" s="1704"/>
      <c r="I79" s="1246" t="str">
        <f>IF(AND(E79="No",H79=""),"Select Type of Vehicle                        ","")</f>
        <v/>
      </c>
      <c r="J79" s="1247"/>
      <c r="K79" s="1246" t="str">
        <f>IF(AND(C79="No",H79=""),"Number of Vehicles?  ","")</f>
        <v/>
      </c>
      <c r="L79" s="1782" t="str">
        <f>IFERROR(VLOOKUP($H79,val_equip_assets,BH$4,FALSE), "")</f>
        <v/>
      </c>
      <c r="M79" s="1246"/>
      <c r="N79" s="1247"/>
      <c r="O79" s="892" t="str">
        <f>IF(H79="","",IF(AND(E79="No",N79=""),TEXT(BH79,0)&amp;" Years?   ",""))</f>
        <v/>
      </c>
      <c r="P79" s="1705"/>
      <c r="Q79" s="1706" t="str">
        <f>IF(AND(E79="No",P79=""),"Enter Manufact. Yr.     ","")</f>
        <v/>
      </c>
      <c r="R79" s="1952" t="str">
        <f ca="1">BI79</f>
        <v/>
      </c>
      <c r="S79" s="1706"/>
      <c r="T79" s="1963" t="str">
        <f ca="1">BJ79</f>
        <v/>
      </c>
      <c r="U79" s="1706"/>
      <c r="V79" s="1675"/>
      <c r="W79" s="892" t="str">
        <f>IF(AND(E79="No",V79=""),"% of Cap. Resp.    ","")</f>
        <v/>
      </c>
      <c r="X79" s="1655"/>
      <c r="Y79" s="892" t="str">
        <f>IF(AND(E79="No",X79=""),"Estimated $?   ","")</f>
        <v/>
      </c>
      <c r="Z79" s="1707"/>
      <c r="AA79" s="892" t="str">
        <f t="shared" si="9"/>
        <v/>
      </c>
      <c r="AB79" s="1026" t="str">
        <f>IF(E79="","",IF(OR($X79="",$Z79=""),"missing info.",$X79*VLOOKUP($Z79,Inflate,$BF79+1,FALSE)))</f>
        <v/>
      </c>
      <c r="AC79" s="1622"/>
      <c r="AD79" s="1026" t="str">
        <f>IF(E79="","",IF(J79="","missing info.",IF(AB79="missing info.","missing info.",AB79/J79)))</f>
        <v/>
      </c>
      <c r="AE79" s="839"/>
      <c r="AF79" s="1708"/>
      <c r="AG79" s="896"/>
      <c r="AH79" s="894"/>
      <c r="AI79" s="894" t="b">
        <f>IF(AND(C81&lt;&gt;"",C79=""),TRUE,FALSE)</f>
        <v>0</v>
      </c>
      <c r="AJ79" s="902" t="b">
        <f>IF(AND(N79="",P79&lt;&gt;""),TRUE,FALSE)</f>
        <v>0</v>
      </c>
      <c r="AK79" s="720" t="str">
        <f>IF(AND(J79="",AF79="",Z79="",X79="",V79="",N79="",H79="",P79="",C79=""),"N/A",IF(AND(C79&lt;&gt;"",J79&lt;&gt;"",N79&lt;&gt;"",H79&lt;&gt;"",P79&lt;&gt;"",V79&lt;&gt;"",X79&lt;&gt;"",Z79&lt;&gt;""),"Yes","No"))</f>
        <v>N/A</v>
      </c>
      <c r="AL79" s="720" t="b">
        <f>IF(AND(C79="",E79="no"),TRUE,FALSE)</f>
        <v>0</v>
      </c>
      <c r="AM79" s="720" t="b">
        <f>IF(AND(E79="no",H79=""),TRUE,FALSE)</f>
        <v>0</v>
      </c>
      <c r="AN79" s="720" t="b">
        <f>IF(AND(E79="no",H79=""),TRUE,FALSE)</f>
        <v>0</v>
      </c>
      <c r="AO79" s="903" t="b">
        <f>IF($J79="",FALSE,IF($J79&lt;$BD79,TRUE,FALSE))</f>
        <v>0</v>
      </c>
      <c r="AP79" s="903" t="b">
        <f>IF($J79="",FALSE,IF($J79&gt;$BE79,TRUE,FALSE))</f>
        <v>0</v>
      </c>
      <c r="AQ79" s="903" t="b">
        <f>IF(AND(E79="no",N79=""),TRUE,FALSE)</f>
        <v>0</v>
      </c>
      <c r="AR79" s="903" t="b">
        <f>IF(AND(E79="no",P79=""),TRUE,FALSE)</f>
        <v>0</v>
      </c>
      <c r="AS79" s="903" t="b">
        <f>IF(P79="",FALSE,IF(P79&lt;BM79,TRUE,FALSE))</f>
        <v>0</v>
      </c>
      <c r="AT79" s="903" t="b">
        <f>IF(P79="",FALSE,IF(P79&gt;BaseYear,TRUE,FALSE))</f>
        <v>0</v>
      </c>
      <c r="AU79" s="903" t="b">
        <f>IF(AND(E79="no",V79=""),TRUE,FALSE)</f>
        <v>0</v>
      </c>
      <c r="AV79" s="903" t="b">
        <f>IF(V79="",FALSE,IF(OR(V79&gt;1,V79&lt;0),TRUE,FALSE))</f>
        <v>0</v>
      </c>
      <c r="AW79" s="903" t="b">
        <f>IF($N79="",FALSE,IF($N79&lt;$BK79,TRUE,FALSE))</f>
        <v>0</v>
      </c>
      <c r="AX79" s="903" t="b">
        <f>IF($N79="",FALSE,IF($N79&gt;$BL79,TRUE,FALSE))</f>
        <v>0</v>
      </c>
      <c r="AY79" s="889" t="b">
        <f>IF(AND(E79="no",X79=""),TRUE,FALSE)</f>
        <v>0</v>
      </c>
      <c r="AZ79" s="889" t="b">
        <f>IF(OR(AD79="missing info.",AD79=""),FALSE,IF(AD79&lt;BN79,TRUE,FALSE))</f>
        <v>0</v>
      </c>
      <c r="BA79" s="890" t="b">
        <f>IF(OR(AD79="missing info.",AD79=""),FALSE,IF(AD79&gt;BO79,TRUE,FALSE))</f>
        <v>0</v>
      </c>
      <c r="BB79" s="890" t="b">
        <f>IF(AND(E79="no",Z79=""),TRUE,FALSE)</f>
        <v>0</v>
      </c>
      <c r="BC79" s="894" t="b">
        <f>IF(Z79="",FALSE,IF(OR(Z79&gt;BaseYear,Z79&lt;BM79),TRUE,FALSE))</f>
        <v>0</v>
      </c>
      <c r="BD79" s="897" t="str">
        <f>IFERROR(VLOOKUP(H79,Valid!$B$94:$N$96,3,FALSE), "")</f>
        <v/>
      </c>
      <c r="BE79" s="898" t="str">
        <f>IFERROR(VLOOKUP(H79,Valid!$B$94:$N$96,4,FALSE), "")</f>
        <v/>
      </c>
      <c r="BF79" s="897" t="str">
        <f t="shared" si="12"/>
        <v/>
      </c>
      <c r="BG79" s="897" t="str">
        <f t="shared" ca="1" si="13"/>
        <v/>
      </c>
      <c r="BH79" s="1860">
        <f>N79</f>
        <v>0</v>
      </c>
      <c r="BI79" s="1547" t="str">
        <f t="shared" ca="1" si="14"/>
        <v/>
      </c>
      <c r="BJ79" s="898" t="str">
        <f ca="1">IF(BI79="", "", IF(1+(BI79*4)&lt;1, 1, 1+(BI79*4)))</f>
        <v/>
      </c>
      <c r="BK79" s="898" t="str">
        <f t="shared" si="11"/>
        <v/>
      </c>
      <c r="BL79" s="898" t="str">
        <f t="shared" si="11"/>
        <v/>
      </c>
      <c r="BM79" s="1710" t="str">
        <f t="shared" si="11"/>
        <v/>
      </c>
      <c r="BN79" s="1205" t="str">
        <f>IFERROR(VLOOKUP(H79,Valid!$B$94:$N$96,12,FALSE), "")</f>
        <v/>
      </c>
      <c r="BO79" s="1205" t="str">
        <f>IFERROR(VLOOKUP(H79,Valid!$B$94:$N$96,13,FALSE), "")</f>
        <v/>
      </c>
      <c r="BP79" s="894"/>
      <c r="BQ79" s="894"/>
    </row>
    <row r="80" spans="1:69" s="894" customFormat="1" ht="6.75" customHeight="1" thickBot="1" x14ac:dyDescent="0.25">
      <c r="A80" s="1516"/>
      <c r="B80" s="1530">
        <v>34.5</v>
      </c>
      <c r="C80" s="1471"/>
      <c r="D80" s="1541"/>
      <c r="E80" s="1057"/>
      <c r="F80" s="170"/>
      <c r="G80" s="170"/>
      <c r="H80" s="170"/>
      <c r="I80" s="170"/>
      <c r="J80" s="170"/>
      <c r="K80" s="170"/>
      <c r="L80" s="1031"/>
      <c r="M80" s="170"/>
      <c r="N80" s="1031"/>
      <c r="O80" s="892"/>
      <c r="P80" s="836"/>
      <c r="Q80" s="1709"/>
      <c r="R80" s="1806"/>
      <c r="S80" s="1709"/>
      <c r="T80" s="1962"/>
      <c r="U80" s="1709"/>
      <c r="V80" s="1806"/>
      <c r="W80" s="1709"/>
      <c r="X80" s="1027"/>
      <c r="Y80" s="892"/>
      <c r="Z80" s="893"/>
      <c r="AA80" s="892" t="str">
        <f t="shared" si="9"/>
        <v/>
      </c>
      <c r="AB80" s="1030"/>
      <c r="AC80" s="1622"/>
      <c r="AD80" s="1030"/>
      <c r="AF80" s="895"/>
      <c r="AG80" s="896"/>
      <c r="AJ80" s="900"/>
      <c r="AK80" s="1624"/>
      <c r="AO80" s="1152"/>
      <c r="AP80" s="1152"/>
      <c r="AQ80" s="1152"/>
      <c r="AR80" s="1152"/>
      <c r="AS80" s="1152"/>
      <c r="AT80" s="1152"/>
      <c r="AU80" s="1152"/>
      <c r="AV80" s="1152"/>
      <c r="AW80" s="1152"/>
      <c r="AX80" s="1152"/>
      <c r="AY80" s="1448"/>
      <c r="AZ80" s="1448"/>
      <c r="BA80" s="846"/>
      <c r="BB80" s="846"/>
      <c r="BD80" s="897" t="str">
        <f>IFERROR(VLOOKUP(H80,Valid!$B$94:$N$96,3,FALSE), "")</f>
        <v/>
      </c>
      <c r="BE80" s="898" t="str">
        <f>IFERROR(VLOOKUP(H80,Valid!$B$94:$N$96,4,FALSE), "")</f>
        <v/>
      </c>
      <c r="BF80" s="897" t="str">
        <f t="shared" si="12"/>
        <v/>
      </c>
      <c r="BG80" s="897" t="str">
        <f t="shared" ca="1" si="13"/>
        <v/>
      </c>
      <c r="BH80" s="1860" t="str">
        <f>IFERROR(VLOOKUP($H80,val_equip_assets,BH$4,FALSE), "")</f>
        <v/>
      </c>
      <c r="BI80" s="1547" t="str">
        <f t="shared" ca="1" si="14"/>
        <v/>
      </c>
      <c r="BJ80" s="898" t="str">
        <f ca="1">IF(BI80="", "", IF(BI80&lt;0.1, 5, IF(BI80&lt;0.25, 4, IF(BI80&lt;0.5, 3, IF(BI80&lt;0.75, 2, 1)))))</f>
        <v/>
      </c>
      <c r="BK80" s="898" t="str">
        <f t="shared" si="11"/>
        <v/>
      </c>
      <c r="BL80" s="898" t="str">
        <f t="shared" si="11"/>
        <v/>
      </c>
      <c r="BM80" s="1710" t="str">
        <f t="shared" si="11"/>
        <v/>
      </c>
      <c r="BN80" s="1205" t="str">
        <f>IFERROR(VLOOKUP(H80,Valid!$B$94:$N$96,12,FALSE), "")</f>
        <v/>
      </c>
      <c r="BO80" s="1205" t="str">
        <f>IFERROR(VLOOKUP(H80,Valid!$B$94:$N$96,13,FALSE), "")</f>
        <v/>
      </c>
    </row>
    <row r="81" spans="1:69" s="901" customFormat="1" x14ac:dyDescent="0.2">
      <c r="A81" s="206">
        <v>35</v>
      </c>
      <c r="B81" s="1530">
        <v>35</v>
      </c>
      <c r="C81" s="1703"/>
      <c r="D81" s="1248" t="str">
        <f>IF(C79="","",IF(C81="","Enter Service Fleet Description then Fill in columns "&amp;TEXT($H$2,0)&amp;" - "&amp;TEXT($Z$2,0)&amp;"                 ",""))</f>
        <v/>
      </c>
      <c r="E81" s="1245" t="str">
        <f>IF(AK81="N/A","",AK81)</f>
        <v/>
      </c>
      <c r="F81" s="170"/>
      <c r="G81" s="170"/>
      <c r="H81" s="1704"/>
      <c r="I81" s="1246" t="str">
        <f>IF(AND(E81="No",H81=""),"Select Type of Vehicle                        ","")</f>
        <v/>
      </c>
      <c r="J81" s="1247"/>
      <c r="K81" s="1246" t="str">
        <f>IF(AND(C81="No",H81=""),"Number of Vehicles?  ","")</f>
        <v/>
      </c>
      <c r="L81" s="1782" t="str">
        <f>IFERROR(VLOOKUP($H81,val_equip_assets,BH$4,FALSE), "")</f>
        <v/>
      </c>
      <c r="M81" s="1246"/>
      <c r="N81" s="1247"/>
      <c r="O81" s="892" t="str">
        <f>IF(H81="","",IF(AND(E81="No",N81=""),TEXT(BH81,0)&amp;" Years?   ",""))</f>
        <v/>
      </c>
      <c r="P81" s="1705"/>
      <c r="Q81" s="1706" t="str">
        <f>IF(AND(E81="No",P81=""),"Enter Manufact. Yr.     ","")</f>
        <v/>
      </c>
      <c r="R81" s="1952" t="str">
        <f ca="1">BI81</f>
        <v/>
      </c>
      <c r="S81" s="1706"/>
      <c r="T81" s="1963" t="str">
        <f ca="1">BJ81</f>
        <v/>
      </c>
      <c r="U81" s="1706"/>
      <c r="V81" s="1675"/>
      <c r="W81" s="892" t="str">
        <f>IF(AND(E81="No",V81=""),"% of Cap. Resp.    ","")</f>
        <v/>
      </c>
      <c r="X81" s="1655"/>
      <c r="Y81" s="892" t="str">
        <f>IF(AND(E81="No",X81=""),"Estimated $?   ","")</f>
        <v/>
      </c>
      <c r="Z81" s="1707"/>
      <c r="AA81" s="892" t="str">
        <f t="shared" si="9"/>
        <v/>
      </c>
      <c r="AB81" s="1026" t="str">
        <f>IF(E81="","",IF(OR($X81="",$Z81=""),"missing info.",$X81*VLOOKUP($Z81,Inflate,$BF81+1,FALSE)))</f>
        <v/>
      </c>
      <c r="AC81" s="1622"/>
      <c r="AD81" s="1026" t="str">
        <f>IF(E81="","",IF(J81="","missing info.",IF(AB81="missing info.","missing info.",AB81/J81)))</f>
        <v/>
      </c>
      <c r="AE81" s="839"/>
      <c r="AF81" s="1708"/>
      <c r="AG81" s="896"/>
      <c r="AH81" s="894"/>
      <c r="AI81" s="894" t="b">
        <f>IF(AND(C83&lt;&gt;"",C81=""),TRUE,FALSE)</f>
        <v>0</v>
      </c>
      <c r="AJ81" s="902" t="b">
        <f>IF(AND(N81="",P81&lt;&gt;""),TRUE,FALSE)</f>
        <v>0</v>
      </c>
      <c r="AK81" s="720" t="str">
        <f>IF(AND(J81="",AF81="",Z81="",X81="",V81="",N81="",H81="",P81="",C81=""),"N/A",IF(AND(C81&lt;&gt;"",J81&lt;&gt;"",N81&lt;&gt;"",H81&lt;&gt;"",P81&lt;&gt;"",V81&lt;&gt;"",X81&lt;&gt;"",Z81&lt;&gt;""),"Yes","No"))</f>
        <v>N/A</v>
      </c>
      <c r="AL81" s="720" t="b">
        <f>IF(AND(C81="",E81="no"),TRUE,FALSE)</f>
        <v>0</v>
      </c>
      <c r="AM81" s="720" t="b">
        <f>IF(AND(E81="no",H81=""),TRUE,FALSE)</f>
        <v>0</v>
      </c>
      <c r="AN81" s="720" t="b">
        <f>IF(AND(E81="no",H81=""),TRUE,FALSE)</f>
        <v>0</v>
      </c>
      <c r="AO81" s="903" t="b">
        <f>IF($J81="",FALSE,IF($J81&lt;$BD81,TRUE,FALSE))</f>
        <v>0</v>
      </c>
      <c r="AP81" s="903" t="b">
        <f>IF($J81="",FALSE,IF($J81&gt;$BE81,TRUE,FALSE))</f>
        <v>0</v>
      </c>
      <c r="AQ81" s="903" t="b">
        <f>IF(AND(E81="no",N81=""),TRUE,FALSE)</f>
        <v>0</v>
      </c>
      <c r="AR81" s="903" t="b">
        <f>IF(AND(E81="no",P81=""),TRUE,FALSE)</f>
        <v>0</v>
      </c>
      <c r="AS81" s="903" t="b">
        <f>IF(P81="",FALSE,IF(P81&lt;BM81,TRUE,FALSE))</f>
        <v>0</v>
      </c>
      <c r="AT81" s="903" t="b">
        <f>IF(P81="",FALSE,IF(P81&gt;BaseYear,TRUE,FALSE))</f>
        <v>0</v>
      </c>
      <c r="AU81" s="903" t="b">
        <f>IF(AND(E81="no",V81=""),TRUE,FALSE)</f>
        <v>0</v>
      </c>
      <c r="AV81" s="903" t="b">
        <f>IF(V81="",FALSE,IF(OR(V81&gt;1,V81&lt;0),TRUE,FALSE))</f>
        <v>0</v>
      </c>
      <c r="AW81" s="903" t="b">
        <f>IF($N81="",FALSE,IF($N81&lt;$BK81,TRUE,FALSE))</f>
        <v>0</v>
      </c>
      <c r="AX81" s="903" t="b">
        <f>IF($N81="",FALSE,IF($N81&gt;$BL81,TRUE,FALSE))</f>
        <v>0</v>
      </c>
      <c r="AY81" s="889" t="b">
        <f>IF(AND(E81="no",X81=""),TRUE,FALSE)</f>
        <v>0</v>
      </c>
      <c r="AZ81" s="889" t="b">
        <f>IF(OR(AD81="missing info.",AD81=""),FALSE,IF(AD81&lt;BN81,TRUE,FALSE))</f>
        <v>0</v>
      </c>
      <c r="BA81" s="890" t="b">
        <f>IF(OR(AD81="missing info.",AD81=""),FALSE,IF(AD81&gt;BO81,TRUE,FALSE))</f>
        <v>0</v>
      </c>
      <c r="BB81" s="890" t="b">
        <f>IF(AND(E81="no",Z81=""),TRUE,FALSE)</f>
        <v>0</v>
      </c>
      <c r="BC81" s="894" t="b">
        <f>IF(Z81="",FALSE,IF(OR(Z81&gt;BaseYear,Z81&lt;BM81),TRUE,FALSE))</f>
        <v>0</v>
      </c>
      <c r="BD81" s="897" t="str">
        <f>IFERROR(VLOOKUP(H81,Valid!$B$94:$N$96,3,FALSE), "")</f>
        <v/>
      </c>
      <c r="BE81" s="898" t="str">
        <f>IFERROR(VLOOKUP(H81,Valid!$B$94:$N$96,4,FALSE), "")</f>
        <v/>
      </c>
      <c r="BF81" s="897" t="str">
        <f t="shared" si="12"/>
        <v/>
      </c>
      <c r="BG81" s="897" t="str">
        <f t="shared" ca="1" si="13"/>
        <v/>
      </c>
      <c r="BH81" s="1860">
        <f>N81</f>
        <v>0</v>
      </c>
      <c r="BI81" s="1547" t="str">
        <f t="shared" ca="1" si="14"/>
        <v/>
      </c>
      <c r="BJ81" s="898" t="str">
        <f ca="1">IF(BI81="", "", IF(1+(BI81*4)&lt;1, 1, 1+(BI81*4)))</f>
        <v/>
      </c>
      <c r="BK81" s="898" t="str">
        <f t="shared" si="11"/>
        <v/>
      </c>
      <c r="BL81" s="898" t="str">
        <f t="shared" si="11"/>
        <v/>
      </c>
      <c r="BM81" s="1710" t="str">
        <f t="shared" si="11"/>
        <v/>
      </c>
      <c r="BN81" s="1205" t="str">
        <f>IFERROR(VLOOKUP(H81,Valid!$B$94:$N$96,12,FALSE), "")</f>
        <v/>
      </c>
      <c r="BO81" s="1205" t="str">
        <f>IFERROR(VLOOKUP(H81,Valid!$B$94:$N$96,13,FALSE), "")</f>
        <v/>
      </c>
      <c r="BP81" s="894"/>
      <c r="BQ81" s="894"/>
    </row>
    <row r="82" spans="1:69" s="894" customFormat="1" ht="6.75" customHeight="1" thickBot="1" x14ac:dyDescent="0.25">
      <c r="A82" s="1516"/>
      <c r="B82" s="1530">
        <v>35.5</v>
      </c>
      <c r="C82" s="1471"/>
      <c r="D82" s="1541"/>
      <c r="E82" s="1057"/>
      <c r="F82" s="170"/>
      <c r="G82" s="170"/>
      <c r="H82" s="170"/>
      <c r="I82" s="170"/>
      <c r="J82" s="170"/>
      <c r="K82" s="170"/>
      <c r="L82" s="1031"/>
      <c r="M82" s="170"/>
      <c r="N82" s="1031"/>
      <c r="O82" s="892"/>
      <c r="P82" s="836"/>
      <c r="Q82" s="1709"/>
      <c r="R82" s="1806"/>
      <c r="S82" s="1709"/>
      <c r="T82" s="1962"/>
      <c r="U82" s="1709"/>
      <c r="V82" s="1806"/>
      <c r="W82" s="1709"/>
      <c r="X82" s="1027"/>
      <c r="Y82" s="892"/>
      <c r="Z82" s="893"/>
      <c r="AA82" s="892" t="str">
        <f t="shared" si="9"/>
        <v/>
      </c>
      <c r="AB82" s="1030"/>
      <c r="AC82" s="1622"/>
      <c r="AD82" s="1030"/>
      <c r="AF82" s="895"/>
      <c r="AG82" s="896"/>
      <c r="AJ82" s="900"/>
      <c r="AK82" s="1624"/>
      <c r="AO82" s="1152"/>
      <c r="AP82" s="1152"/>
      <c r="AQ82" s="1152"/>
      <c r="AR82" s="1152"/>
      <c r="AS82" s="1152"/>
      <c r="AT82" s="1152"/>
      <c r="AU82" s="1152"/>
      <c r="AV82" s="1152"/>
      <c r="AW82" s="1152"/>
      <c r="AX82" s="1152"/>
      <c r="AY82" s="1448"/>
      <c r="AZ82" s="1448"/>
      <c r="BA82" s="846"/>
      <c r="BB82" s="846"/>
      <c r="BD82" s="897" t="str">
        <f>IFERROR(VLOOKUP(H82,Valid!$B$94:$N$96,3,FALSE), "")</f>
        <v/>
      </c>
      <c r="BE82" s="898" t="str">
        <f>IFERROR(VLOOKUP(H82,Valid!$B$94:$N$96,4,FALSE), "")</f>
        <v/>
      </c>
      <c r="BF82" s="897" t="str">
        <f t="shared" si="12"/>
        <v/>
      </c>
      <c r="BG82" s="897" t="str">
        <f t="shared" ca="1" si="13"/>
        <v/>
      </c>
      <c r="BH82" s="1860" t="str">
        <f>IFERROR(VLOOKUP($H82,val_equip_assets,BH$4,FALSE), "")</f>
        <v/>
      </c>
      <c r="BI82" s="1547" t="str">
        <f t="shared" ca="1" si="14"/>
        <v/>
      </c>
      <c r="BJ82" s="898" t="str">
        <f ca="1">IF(BI82="", "", IF(BI82&lt;0.1, 5, IF(BI82&lt;0.25, 4, IF(BI82&lt;0.5, 3, IF(BI82&lt;0.75, 2, 1)))))</f>
        <v/>
      </c>
      <c r="BK82" s="898" t="str">
        <f t="shared" si="11"/>
        <v/>
      </c>
      <c r="BL82" s="898" t="str">
        <f t="shared" si="11"/>
        <v/>
      </c>
      <c r="BM82" s="1710" t="str">
        <f t="shared" si="11"/>
        <v/>
      </c>
      <c r="BN82" s="1205" t="str">
        <f>IFERROR(VLOOKUP(H82,Valid!$B$94:$N$96,12,FALSE), "")</f>
        <v/>
      </c>
      <c r="BO82" s="1205" t="str">
        <f>IFERROR(VLOOKUP(H82,Valid!$B$94:$N$96,13,FALSE), "")</f>
        <v/>
      </c>
    </row>
    <row r="83" spans="1:69" s="901" customFormat="1" x14ac:dyDescent="0.2">
      <c r="A83" s="206">
        <v>36</v>
      </c>
      <c r="B83" s="1530">
        <v>36</v>
      </c>
      <c r="C83" s="1703"/>
      <c r="D83" s="1248" t="str">
        <f>IF(C81="","",IF(C83="","Enter Service Fleet Description then Fill in columns "&amp;TEXT($H$2,0)&amp;" - "&amp;TEXT($Z$2,0)&amp;"                 ",""))</f>
        <v/>
      </c>
      <c r="E83" s="1245" t="str">
        <f>IF(AK83="N/A","",AK83)</f>
        <v/>
      </c>
      <c r="F83" s="170"/>
      <c r="G83" s="170"/>
      <c r="H83" s="1704"/>
      <c r="I83" s="1246" t="str">
        <f>IF(AND(E83="No",H83=""),"Select Type of Vehicle                        ","")</f>
        <v/>
      </c>
      <c r="J83" s="1247"/>
      <c r="K83" s="1246" t="str">
        <f>IF(AND(C83="No",H83=""),"Number of Vehicles?  ","")</f>
        <v/>
      </c>
      <c r="L83" s="1782" t="str">
        <f>IFERROR(VLOOKUP($H83,val_equip_assets,BH$4,FALSE), "")</f>
        <v/>
      </c>
      <c r="M83" s="1246"/>
      <c r="N83" s="1247"/>
      <c r="O83" s="892" t="str">
        <f>IF(H83="","",IF(AND(E83="No",N83=""),TEXT(BH83,0)&amp;" Years?   ",""))</f>
        <v/>
      </c>
      <c r="P83" s="1705"/>
      <c r="Q83" s="1706" t="str">
        <f>IF(AND(E83="No",P83=""),"Enter Manufact. Yr.     ","")</f>
        <v/>
      </c>
      <c r="R83" s="1952" t="str">
        <f ca="1">BI83</f>
        <v/>
      </c>
      <c r="S83" s="1706"/>
      <c r="T83" s="1963" t="str">
        <f ca="1">BJ83</f>
        <v/>
      </c>
      <c r="U83" s="1706"/>
      <c r="V83" s="1675"/>
      <c r="W83" s="892" t="str">
        <f>IF(AND(E83="No",V83=""),"% of Cap. Resp.    ","")</f>
        <v/>
      </c>
      <c r="X83" s="1655"/>
      <c r="Y83" s="892" t="str">
        <f>IF(AND(E83="No",X83=""),"Estimated $?   ","")</f>
        <v/>
      </c>
      <c r="Z83" s="1707"/>
      <c r="AA83" s="892" t="str">
        <f t="shared" ref="AA83:AA114" si="15">IF(AND(E83="No",Z83=""),"Yr.$?      ","")</f>
        <v/>
      </c>
      <c r="AB83" s="1026" t="str">
        <f>IF(E83="","",IF(OR($X83="",$Z83=""),"missing info.",$X83*VLOOKUP($Z83,Inflate,$BF83+1,FALSE)))</f>
        <v/>
      </c>
      <c r="AC83" s="1622"/>
      <c r="AD83" s="1026" t="str">
        <f>IF(E83="","",IF(J83="","missing info.",IF(AB83="missing info.","missing info.",AB83/J83)))</f>
        <v/>
      </c>
      <c r="AE83" s="839"/>
      <c r="AF83" s="1708"/>
      <c r="AG83" s="896"/>
      <c r="AH83" s="894"/>
      <c r="AI83" s="894" t="b">
        <f>IF(AND(C85&lt;&gt;"",C83=""),TRUE,FALSE)</f>
        <v>0</v>
      </c>
      <c r="AJ83" s="902" t="b">
        <f>IF(AND(N83="",P83&lt;&gt;""),TRUE,FALSE)</f>
        <v>0</v>
      </c>
      <c r="AK83" s="720" t="str">
        <f>IF(AND(J83="",AF83="",Z83="",X83="",V83="",N83="",H83="",P83="",C83=""),"N/A",IF(AND(C83&lt;&gt;"",J83&lt;&gt;"",N83&lt;&gt;"",H83&lt;&gt;"",P83&lt;&gt;"",V83&lt;&gt;"",X83&lt;&gt;"",Z83&lt;&gt;""),"Yes","No"))</f>
        <v>N/A</v>
      </c>
      <c r="AL83" s="720" t="b">
        <f>IF(AND(C83="",E83="no"),TRUE,FALSE)</f>
        <v>0</v>
      </c>
      <c r="AM83" s="720" t="b">
        <f>IF(AND(E83="no",H83=""),TRUE,FALSE)</f>
        <v>0</v>
      </c>
      <c r="AN83" s="720" t="b">
        <f>IF(AND(E83="no",H83=""),TRUE,FALSE)</f>
        <v>0</v>
      </c>
      <c r="AO83" s="903" t="b">
        <f>IF($J83="",FALSE,IF($J83&lt;$BD83,TRUE,FALSE))</f>
        <v>0</v>
      </c>
      <c r="AP83" s="903" t="b">
        <f>IF($J83="",FALSE,IF($J83&gt;$BE83,TRUE,FALSE))</f>
        <v>0</v>
      </c>
      <c r="AQ83" s="903" t="b">
        <f>IF(AND(E83="no",N83=""),TRUE,FALSE)</f>
        <v>0</v>
      </c>
      <c r="AR83" s="903" t="b">
        <f>IF(AND(E83="no",P83=""),TRUE,FALSE)</f>
        <v>0</v>
      </c>
      <c r="AS83" s="903" t="b">
        <f>IF(P83="",FALSE,IF(P83&lt;BM83,TRUE,FALSE))</f>
        <v>0</v>
      </c>
      <c r="AT83" s="903" t="b">
        <f>IF(P83="",FALSE,IF(P83&gt;BaseYear,TRUE,FALSE))</f>
        <v>0</v>
      </c>
      <c r="AU83" s="903" t="b">
        <f>IF(AND(E83="no",V83=""),TRUE,FALSE)</f>
        <v>0</v>
      </c>
      <c r="AV83" s="903" t="b">
        <f>IF(V83="",FALSE,IF(OR(V83&gt;1,V83&lt;0),TRUE,FALSE))</f>
        <v>0</v>
      </c>
      <c r="AW83" s="903" t="b">
        <f>IF($N83="",FALSE,IF($N83&lt;$BK83,TRUE,FALSE))</f>
        <v>0</v>
      </c>
      <c r="AX83" s="903" t="b">
        <f>IF($N83="",FALSE,IF($N83&gt;$BL83,TRUE,FALSE))</f>
        <v>0</v>
      </c>
      <c r="AY83" s="889" t="b">
        <f>IF(AND(E83="no",X83=""),TRUE,FALSE)</f>
        <v>0</v>
      </c>
      <c r="AZ83" s="889" t="b">
        <f>IF(OR(AD83="missing info.",AD83=""),FALSE,IF(AD83&lt;BN83,TRUE,FALSE))</f>
        <v>0</v>
      </c>
      <c r="BA83" s="890" t="b">
        <f>IF(OR(AD83="missing info.",AD83=""),FALSE,IF(AD83&gt;BO83,TRUE,FALSE))</f>
        <v>0</v>
      </c>
      <c r="BB83" s="890" t="b">
        <f>IF(AND(E83="no",Z83=""),TRUE,FALSE)</f>
        <v>0</v>
      </c>
      <c r="BC83" s="894" t="b">
        <f>IF(Z83="",FALSE,IF(OR(Z83&gt;BaseYear,Z83&lt;BM83),TRUE,FALSE))</f>
        <v>0</v>
      </c>
      <c r="BD83" s="897" t="str">
        <f>IFERROR(VLOOKUP(H83,Valid!$B$94:$N$96,3,FALSE), "")</f>
        <v/>
      </c>
      <c r="BE83" s="898" t="str">
        <f>IFERROR(VLOOKUP(H83,Valid!$B$94:$N$96,4,FALSE), "")</f>
        <v/>
      </c>
      <c r="BF83" s="897" t="str">
        <f t="shared" si="12"/>
        <v/>
      </c>
      <c r="BG83" s="897" t="str">
        <f t="shared" ca="1" si="13"/>
        <v/>
      </c>
      <c r="BH83" s="1860">
        <f>N83</f>
        <v>0</v>
      </c>
      <c r="BI83" s="1547" t="str">
        <f t="shared" ca="1" si="14"/>
        <v/>
      </c>
      <c r="BJ83" s="898" t="str">
        <f ca="1">IF(BI83="", "", IF(1+(BI83*4)&lt;1, 1, 1+(BI83*4)))</f>
        <v/>
      </c>
      <c r="BK83" s="898" t="str">
        <f t="shared" si="11"/>
        <v/>
      </c>
      <c r="BL83" s="898" t="str">
        <f t="shared" si="11"/>
        <v/>
      </c>
      <c r="BM83" s="1710" t="str">
        <f t="shared" si="11"/>
        <v/>
      </c>
      <c r="BN83" s="1205" t="str">
        <f>IFERROR(VLOOKUP(H83,Valid!$B$94:$N$96,12,FALSE), "")</f>
        <v/>
      </c>
      <c r="BO83" s="1205" t="str">
        <f>IFERROR(VLOOKUP(H83,Valid!$B$94:$N$96,13,FALSE), "")</f>
        <v/>
      </c>
      <c r="BP83" s="894"/>
      <c r="BQ83" s="894"/>
    </row>
    <row r="84" spans="1:69" s="894" customFormat="1" ht="6.75" customHeight="1" thickBot="1" x14ac:dyDescent="0.25">
      <c r="A84" s="1516"/>
      <c r="B84" s="1530">
        <v>36.5</v>
      </c>
      <c r="C84" s="1471"/>
      <c r="D84" s="1541"/>
      <c r="E84" s="1057"/>
      <c r="F84" s="170"/>
      <c r="G84" s="170"/>
      <c r="H84" s="170"/>
      <c r="I84" s="170"/>
      <c r="J84" s="170"/>
      <c r="K84" s="170"/>
      <c r="L84" s="1031"/>
      <c r="M84" s="170"/>
      <c r="N84" s="1031"/>
      <c r="O84" s="892"/>
      <c r="P84" s="836"/>
      <c r="Q84" s="1709"/>
      <c r="R84" s="1806"/>
      <c r="S84" s="1709"/>
      <c r="T84" s="1962"/>
      <c r="U84" s="1709"/>
      <c r="V84" s="1806"/>
      <c r="W84" s="1709"/>
      <c r="X84" s="1027"/>
      <c r="Y84" s="892"/>
      <c r="Z84" s="893"/>
      <c r="AA84" s="892" t="str">
        <f t="shared" si="15"/>
        <v/>
      </c>
      <c r="AB84" s="1030"/>
      <c r="AC84" s="1622"/>
      <c r="AD84" s="1030"/>
      <c r="AF84" s="895"/>
      <c r="AG84" s="896"/>
      <c r="AJ84" s="900"/>
      <c r="AK84" s="1624"/>
      <c r="AO84" s="1152"/>
      <c r="AP84" s="1152"/>
      <c r="AQ84" s="1152"/>
      <c r="AR84" s="1152"/>
      <c r="AS84" s="1152"/>
      <c r="AT84" s="1152"/>
      <c r="AU84" s="1152"/>
      <c r="AV84" s="1152"/>
      <c r="AW84" s="1152"/>
      <c r="AX84" s="1152"/>
      <c r="AY84" s="1448"/>
      <c r="AZ84" s="1448"/>
      <c r="BA84" s="846"/>
      <c r="BB84" s="846"/>
      <c r="BD84" s="897" t="str">
        <f>IFERROR(VLOOKUP(H84,Valid!$B$94:$N$96,3,FALSE), "")</f>
        <v/>
      </c>
      <c r="BE84" s="898" t="str">
        <f>IFERROR(VLOOKUP(H84,Valid!$B$94:$N$96,4,FALSE), "")</f>
        <v/>
      </c>
      <c r="BF84" s="897" t="str">
        <f t="shared" si="12"/>
        <v/>
      </c>
      <c r="BG84" s="897" t="str">
        <f t="shared" ca="1" si="13"/>
        <v/>
      </c>
      <c r="BH84" s="1860" t="str">
        <f>IFERROR(VLOOKUP($H84,val_equip_assets,BH$4,FALSE), "")</f>
        <v/>
      </c>
      <c r="BI84" s="1547" t="str">
        <f t="shared" ca="1" si="14"/>
        <v/>
      </c>
      <c r="BJ84" s="898" t="str">
        <f ca="1">IF(BI84="", "", IF(BI84&lt;0.1, 5, IF(BI84&lt;0.25, 4, IF(BI84&lt;0.5, 3, IF(BI84&lt;0.75, 2, 1)))))</f>
        <v/>
      </c>
      <c r="BK84" s="898" t="str">
        <f t="shared" si="11"/>
        <v/>
      </c>
      <c r="BL84" s="898" t="str">
        <f t="shared" si="11"/>
        <v/>
      </c>
      <c r="BM84" s="1710" t="str">
        <f t="shared" si="11"/>
        <v/>
      </c>
      <c r="BN84" s="1205" t="str">
        <f>IFERROR(VLOOKUP(H84,Valid!$B$94:$N$96,12,FALSE), "")</f>
        <v/>
      </c>
      <c r="BO84" s="1205" t="str">
        <f>IFERROR(VLOOKUP(H84,Valid!$B$94:$N$96,13,FALSE), "")</f>
        <v/>
      </c>
    </row>
    <row r="85" spans="1:69" s="901" customFormat="1" x14ac:dyDescent="0.2">
      <c r="A85" s="206">
        <v>37</v>
      </c>
      <c r="B85" s="1530">
        <v>37</v>
      </c>
      <c r="C85" s="1703"/>
      <c r="D85" s="1248" t="str">
        <f>IF(C83="","",IF(C85="","Enter Service Fleet Description then Fill in columns "&amp;TEXT($H$2,0)&amp;" - "&amp;TEXT($Z$2,0)&amp;"                 ",""))</f>
        <v/>
      </c>
      <c r="E85" s="1245" t="str">
        <f>IF(AK85="N/A","",AK85)</f>
        <v/>
      </c>
      <c r="F85" s="170"/>
      <c r="G85" s="170"/>
      <c r="H85" s="1704"/>
      <c r="I85" s="1246" t="str">
        <f>IF(AND(E85="No",H85=""),"Select Type of Vehicle                        ","")</f>
        <v/>
      </c>
      <c r="J85" s="1247"/>
      <c r="K85" s="1246" t="str">
        <f>IF(AND(C85="No",H85=""),"Number of Vehicles?  ","")</f>
        <v/>
      </c>
      <c r="L85" s="1782" t="str">
        <f>IFERROR(VLOOKUP($H85,val_equip_assets,BH$4,FALSE), "")</f>
        <v/>
      </c>
      <c r="M85" s="1246"/>
      <c r="N85" s="1247"/>
      <c r="O85" s="892" t="str">
        <f>IF(H85="","",IF(AND(E85="No",N85=""),TEXT(BH85,0)&amp;" Years?   ",""))</f>
        <v/>
      </c>
      <c r="P85" s="1705"/>
      <c r="Q85" s="1706" t="str">
        <f>IF(AND(E85="No",P85=""),"Enter Manufact. Yr.     ","")</f>
        <v/>
      </c>
      <c r="R85" s="1952" t="str">
        <f ca="1">BI85</f>
        <v/>
      </c>
      <c r="S85" s="1706"/>
      <c r="T85" s="1963" t="str">
        <f ca="1">BJ85</f>
        <v/>
      </c>
      <c r="U85" s="1706"/>
      <c r="V85" s="1675"/>
      <c r="W85" s="892" t="str">
        <f>IF(AND(E85="No",V85=""),"% of Cap. Resp.    ","")</f>
        <v/>
      </c>
      <c r="X85" s="1655"/>
      <c r="Y85" s="892" t="str">
        <f>IF(AND(E85="No",X85=""),"Estimated $?   ","")</f>
        <v/>
      </c>
      <c r="Z85" s="1707"/>
      <c r="AA85" s="892" t="str">
        <f t="shared" si="15"/>
        <v/>
      </c>
      <c r="AB85" s="1026" t="str">
        <f>IF(E85="","",IF(OR($X85="",$Z85=""),"missing info.",$X85*VLOOKUP($Z85,Inflate,$BF85+1,FALSE)))</f>
        <v/>
      </c>
      <c r="AC85" s="1622"/>
      <c r="AD85" s="1026" t="str">
        <f>IF(E85="","",IF(J85="","missing info.",IF(AB85="missing info.","missing info.",AB85/J85)))</f>
        <v/>
      </c>
      <c r="AE85" s="839"/>
      <c r="AF85" s="1708"/>
      <c r="AG85" s="896"/>
      <c r="AH85" s="894"/>
      <c r="AI85" s="894" t="b">
        <f>IF(AND(C87&lt;&gt;"",C85=""),TRUE,FALSE)</f>
        <v>0</v>
      </c>
      <c r="AJ85" s="902" t="b">
        <f>IF(AND(N85="",P85&lt;&gt;""),TRUE,FALSE)</f>
        <v>0</v>
      </c>
      <c r="AK85" s="720" t="str">
        <f>IF(AND(J85="",AF85="",Z85="",X85="",V85="",N85="",H85="",P85="",C85=""),"N/A",IF(AND(C85&lt;&gt;"",J85&lt;&gt;"",N85&lt;&gt;"",H85&lt;&gt;"",P85&lt;&gt;"",V85&lt;&gt;"",X85&lt;&gt;"",Z85&lt;&gt;""),"Yes","No"))</f>
        <v>N/A</v>
      </c>
      <c r="AL85" s="720" t="b">
        <f>IF(AND(C85="",E85="no"),TRUE,FALSE)</f>
        <v>0</v>
      </c>
      <c r="AM85" s="720" t="b">
        <f>IF(AND(E85="no",H85=""),TRUE,FALSE)</f>
        <v>0</v>
      </c>
      <c r="AN85" s="720" t="b">
        <f>IF(AND(E85="no",H85=""),TRUE,FALSE)</f>
        <v>0</v>
      </c>
      <c r="AO85" s="903" t="b">
        <f>IF($J85="",FALSE,IF($J85&lt;$BD85,TRUE,FALSE))</f>
        <v>0</v>
      </c>
      <c r="AP85" s="903" t="b">
        <f>IF($J85="",FALSE,IF($J85&gt;$BE85,TRUE,FALSE))</f>
        <v>0</v>
      </c>
      <c r="AQ85" s="903" t="b">
        <f>IF(AND(E85="no",N85=""),TRUE,FALSE)</f>
        <v>0</v>
      </c>
      <c r="AR85" s="903" t="b">
        <f>IF(AND(E85="no",P85=""),TRUE,FALSE)</f>
        <v>0</v>
      </c>
      <c r="AS85" s="903" t="b">
        <f>IF(P85="",FALSE,IF(P85&lt;BM85,TRUE,FALSE))</f>
        <v>0</v>
      </c>
      <c r="AT85" s="903" t="b">
        <f>IF(P85="",FALSE,IF(P85&gt;BaseYear,TRUE,FALSE))</f>
        <v>0</v>
      </c>
      <c r="AU85" s="903" t="b">
        <f>IF(AND(E85="no",V85=""),TRUE,FALSE)</f>
        <v>0</v>
      </c>
      <c r="AV85" s="903" t="b">
        <f>IF(V85="",FALSE,IF(OR(V85&gt;1,V85&lt;0),TRUE,FALSE))</f>
        <v>0</v>
      </c>
      <c r="AW85" s="903" t="b">
        <f>IF($N85="",FALSE,IF($N85&lt;$BK85,TRUE,FALSE))</f>
        <v>0</v>
      </c>
      <c r="AX85" s="903" t="b">
        <f>IF($N85="",FALSE,IF($N85&gt;$BL85,TRUE,FALSE))</f>
        <v>0</v>
      </c>
      <c r="AY85" s="889" t="b">
        <f>IF(AND(E85="no",X85=""),TRUE,FALSE)</f>
        <v>0</v>
      </c>
      <c r="AZ85" s="889" t="b">
        <f>IF(OR(AD85="missing info.",AD85=""),FALSE,IF(AD85&lt;BN85,TRUE,FALSE))</f>
        <v>0</v>
      </c>
      <c r="BA85" s="890" t="b">
        <f>IF(OR(AD85="missing info.",AD85=""),FALSE,IF(AD85&gt;BO85,TRUE,FALSE))</f>
        <v>0</v>
      </c>
      <c r="BB85" s="890" t="b">
        <f>IF(AND(E85="no",Z85=""),TRUE,FALSE)</f>
        <v>0</v>
      </c>
      <c r="BC85" s="894" t="b">
        <f>IF(Z85="",FALSE,IF(OR(Z85&gt;BaseYear,Z85&lt;BM85),TRUE,FALSE))</f>
        <v>0</v>
      </c>
      <c r="BD85" s="897" t="str">
        <f>IFERROR(VLOOKUP(H85,Valid!$B$94:$N$96,3,FALSE), "")</f>
        <v/>
      </c>
      <c r="BE85" s="898" t="str">
        <f>IFERROR(VLOOKUP(H85,Valid!$B$94:$N$96,4,FALSE), "")</f>
        <v/>
      </c>
      <c r="BF85" s="897" t="str">
        <f t="shared" si="12"/>
        <v/>
      </c>
      <c r="BG85" s="897" t="str">
        <f t="shared" ca="1" si="13"/>
        <v/>
      </c>
      <c r="BH85" s="1860">
        <f>N85</f>
        <v>0</v>
      </c>
      <c r="BI85" s="1547" t="str">
        <f t="shared" ca="1" si="14"/>
        <v/>
      </c>
      <c r="BJ85" s="898" t="str">
        <f ca="1">IF(BI85="", "", IF(1+(BI85*4)&lt;1, 1, 1+(BI85*4)))</f>
        <v/>
      </c>
      <c r="BK85" s="898" t="str">
        <f t="shared" si="11"/>
        <v/>
      </c>
      <c r="BL85" s="898" t="str">
        <f t="shared" si="11"/>
        <v/>
      </c>
      <c r="BM85" s="1710" t="str">
        <f t="shared" si="11"/>
        <v/>
      </c>
      <c r="BN85" s="1205" t="str">
        <f>IFERROR(VLOOKUP(H85,Valid!$B$94:$N$96,12,FALSE), "")</f>
        <v/>
      </c>
      <c r="BO85" s="1205" t="str">
        <f>IFERROR(VLOOKUP(H85,Valid!$B$94:$N$96,13,FALSE), "")</f>
        <v/>
      </c>
      <c r="BP85" s="894"/>
      <c r="BQ85" s="894"/>
    </row>
    <row r="86" spans="1:69" s="894" customFormat="1" ht="6.75" customHeight="1" thickBot="1" x14ac:dyDescent="0.25">
      <c r="A86" s="1516"/>
      <c r="B86" s="1530">
        <v>37.5</v>
      </c>
      <c r="C86" s="1471"/>
      <c r="D86" s="1541"/>
      <c r="E86" s="1057"/>
      <c r="F86" s="170"/>
      <c r="G86" s="170"/>
      <c r="H86" s="170"/>
      <c r="I86" s="170"/>
      <c r="J86" s="170"/>
      <c r="K86" s="170"/>
      <c r="L86" s="1031"/>
      <c r="M86" s="170"/>
      <c r="N86" s="1031"/>
      <c r="O86" s="892"/>
      <c r="P86" s="836"/>
      <c r="Q86" s="1709"/>
      <c r="R86" s="1806"/>
      <c r="S86" s="1709"/>
      <c r="T86" s="1962"/>
      <c r="U86" s="1709"/>
      <c r="V86" s="1806"/>
      <c r="W86" s="1709"/>
      <c r="X86" s="1027"/>
      <c r="Y86" s="892"/>
      <c r="Z86" s="893"/>
      <c r="AA86" s="892" t="str">
        <f t="shared" si="15"/>
        <v/>
      </c>
      <c r="AB86" s="1030"/>
      <c r="AC86" s="1622"/>
      <c r="AD86" s="1030"/>
      <c r="AF86" s="895"/>
      <c r="AG86" s="896"/>
      <c r="AJ86" s="900"/>
      <c r="AK86" s="1624"/>
      <c r="AO86" s="1152"/>
      <c r="AP86" s="1152"/>
      <c r="AQ86" s="1152"/>
      <c r="AR86" s="1152"/>
      <c r="AS86" s="1152"/>
      <c r="AT86" s="1152"/>
      <c r="AU86" s="1152"/>
      <c r="AV86" s="1152"/>
      <c r="AW86" s="1152"/>
      <c r="AX86" s="1152"/>
      <c r="AY86" s="1448"/>
      <c r="AZ86" s="1448"/>
      <c r="BA86" s="846"/>
      <c r="BB86" s="846"/>
      <c r="BD86" s="897" t="str">
        <f>IFERROR(VLOOKUP(H86,Valid!$B$94:$N$96,3,FALSE), "")</f>
        <v/>
      </c>
      <c r="BE86" s="898" t="str">
        <f>IFERROR(VLOOKUP(H86,Valid!$B$94:$N$96,4,FALSE), "")</f>
        <v/>
      </c>
      <c r="BF86" s="897" t="str">
        <f t="shared" si="12"/>
        <v/>
      </c>
      <c r="BG86" s="897" t="str">
        <f t="shared" ca="1" si="13"/>
        <v/>
      </c>
      <c r="BH86" s="1860" t="str">
        <f>IFERROR(VLOOKUP($H86,val_equip_assets,BH$4,FALSE), "")</f>
        <v/>
      </c>
      <c r="BI86" s="1547" t="str">
        <f t="shared" ca="1" si="14"/>
        <v/>
      </c>
      <c r="BJ86" s="898" t="str">
        <f ca="1">IF(BI86="", "", IF(BI86&lt;0.1, 5, IF(BI86&lt;0.25, 4, IF(BI86&lt;0.5, 3, IF(BI86&lt;0.75, 2, 1)))))</f>
        <v/>
      </c>
      <c r="BK86" s="898" t="str">
        <f t="shared" si="11"/>
        <v/>
      </c>
      <c r="BL86" s="898" t="str">
        <f t="shared" si="11"/>
        <v/>
      </c>
      <c r="BM86" s="1710" t="str">
        <f t="shared" si="11"/>
        <v/>
      </c>
      <c r="BN86" s="1205" t="str">
        <f>IFERROR(VLOOKUP(H86,Valid!$B$94:$N$96,12,FALSE), "")</f>
        <v/>
      </c>
      <c r="BO86" s="1205" t="str">
        <f>IFERROR(VLOOKUP(H86,Valid!$B$94:$N$96,13,FALSE), "")</f>
        <v/>
      </c>
    </row>
    <row r="87" spans="1:69" s="901" customFormat="1" x14ac:dyDescent="0.2">
      <c r="A87" s="206">
        <v>38</v>
      </c>
      <c r="B87" s="1530">
        <v>38</v>
      </c>
      <c r="C87" s="1703"/>
      <c r="D87" s="1248" t="str">
        <f>IF(C85="","",IF(C87="","Enter Service Fleet Description then Fill in columns "&amp;TEXT($H$2,0)&amp;" - "&amp;TEXT($Z$2,0)&amp;"                 ",""))</f>
        <v/>
      </c>
      <c r="E87" s="1245" t="str">
        <f>IF(AK87="N/A","",AK87)</f>
        <v/>
      </c>
      <c r="F87" s="170"/>
      <c r="G87" s="170"/>
      <c r="H87" s="1704"/>
      <c r="I87" s="1246" t="str">
        <f>IF(AND(E87="No",H87=""),"Select Type of Vehicle                        ","")</f>
        <v/>
      </c>
      <c r="J87" s="1247"/>
      <c r="K87" s="1246" t="str">
        <f>IF(AND(C87="No",H87=""),"Number of Vehicles?  ","")</f>
        <v/>
      </c>
      <c r="L87" s="1782" t="str">
        <f>IFERROR(VLOOKUP($H87,val_equip_assets,BH$4,FALSE), "")</f>
        <v/>
      </c>
      <c r="M87" s="1246"/>
      <c r="N87" s="1247"/>
      <c r="O87" s="892" t="str">
        <f>IF(H87="","",IF(AND(E87="No",N87=""),TEXT(BH87,0)&amp;" Years?   ",""))</f>
        <v/>
      </c>
      <c r="P87" s="1705"/>
      <c r="Q87" s="1706" t="str">
        <f>IF(AND(E87="No",P87=""),"Enter Manufact. Yr.     ","")</f>
        <v/>
      </c>
      <c r="R87" s="1952" t="str">
        <f ca="1">BI87</f>
        <v/>
      </c>
      <c r="S87" s="1706"/>
      <c r="T87" s="1963" t="str">
        <f ca="1">BJ87</f>
        <v/>
      </c>
      <c r="U87" s="1706"/>
      <c r="V87" s="1675"/>
      <c r="W87" s="892" t="str">
        <f>IF(AND(E87="No",V87=""),"% of Cap. Resp.    ","")</f>
        <v/>
      </c>
      <c r="X87" s="1655"/>
      <c r="Y87" s="892" t="str">
        <f>IF(AND(E87="No",X87=""),"Estimated $?   ","")</f>
        <v/>
      </c>
      <c r="Z87" s="1707"/>
      <c r="AA87" s="892" t="str">
        <f t="shared" si="15"/>
        <v/>
      </c>
      <c r="AB87" s="1026" t="str">
        <f>IF(E87="","",IF(OR($X87="",$Z87=""),"missing info.",$X87*VLOOKUP($Z87,Inflate,$BF87+1,FALSE)))</f>
        <v/>
      </c>
      <c r="AC87" s="1622"/>
      <c r="AD87" s="1026" t="str">
        <f>IF(E87="","",IF(J87="","missing info.",IF(AB87="missing info.","missing info.",AB87/J87)))</f>
        <v/>
      </c>
      <c r="AE87" s="839"/>
      <c r="AF87" s="1708"/>
      <c r="AG87" s="896"/>
      <c r="AH87" s="894"/>
      <c r="AI87" s="894" t="b">
        <f>IF(AND(C89&lt;&gt;"",C87=""),TRUE,FALSE)</f>
        <v>0</v>
      </c>
      <c r="AJ87" s="902" t="b">
        <f>IF(AND(N87="",P87&lt;&gt;""),TRUE,FALSE)</f>
        <v>0</v>
      </c>
      <c r="AK87" s="720" t="str">
        <f>IF(AND(J87="",AF87="",Z87="",X87="",V87="",N87="",H87="",P87="",C87=""),"N/A",IF(AND(C87&lt;&gt;"",J87&lt;&gt;"",N87&lt;&gt;"",H87&lt;&gt;"",P87&lt;&gt;"",V87&lt;&gt;"",X87&lt;&gt;"",Z87&lt;&gt;""),"Yes","No"))</f>
        <v>N/A</v>
      </c>
      <c r="AL87" s="720" t="b">
        <f>IF(AND(C87="",E87="no"),TRUE,FALSE)</f>
        <v>0</v>
      </c>
      <c r="AM87" s="720" t="b">
        <f>IF(AND(E87="no",H87=""),TRUE,FALSE)</f>
        <v>0</v>
      </c>
      <c r="AN87" s="720" t="b">
        <f>IF(AND(E87="no",H87=""),TRUE,FALSE)</f>
        <v>0</v>
      </c>
      <c r="AO87" s="903" t="b">
        <f>IF($J87="",FALSE,IF($J87&lt;$BD87,TRUE,FALSE))</f>
        <v>0</v>
      </c>
      <c r="AP87" s="903" t="b">
        <f>IF($J87="",FALSE,IF($J87&gt;$BE87,TRUE,FALSE))</f>
        <v>0</v>
      </c>
      <c r="AQ87" s="903" t="b">
        <f>IF(AND(E87="no",N87=""),TRUE,FALSE)</f>
        <v>0</v>
      </c>
      <c r="AR87" s="903" t="b">
        <f>IF(AND(E87="no",P87=""),TRUE,FALSE)</f>
        <v>0</v>
      </c>
      <c r="AS87" s="903" t="b">
        <f>IF(P87="",FALSE,IF(P87&lt;BM87,TRUE,FALSE))</f>
        <v>0</v>
      </c>
      <c r="AT87" s="903" t="b">
        <f>IF(P87="",FALSE,IF(P87&gt;BaseYear,TRUE,FALSE))</f>
        <v>0</v>
      </c>
      <c r="AU87" s="903" t="b">
        <f>IF(AND(E87="no",V87=""),TRUE,FALSE)</f>
        <v>0</v>
      </c>
      <c r="AV87" s="903" t="b">
        <f>IF(V87="",FALSE,IF(OR(V87&gt;1,V87&lt;0),TRUE,FALSE))</f>
        <v>0</v>
      </c>
      <c r="AW87" s="903" t="b">
        <f>IF($N87="",FALSE,IF($N87&lt;$BK87,TRUE,FALSE))</f>
        <v>0</v>
      </c>
      <c r="AX87" s="903" t="b">
        <f>IF($N87="",FALSE,IF($N87&gt;$BL87,TRUE,FALSE))</f>
        <v>0</v>
      </c>
      <c r="AY87" s="889" t="b">
        <f>IF(AND(E87="no",X87=""),TRUE,FALSE)</f>
        <v>0</v>
      </c>
      <c r="AZ87" s="889" t="b">
        <f>IF(OR(AD87="missing info.",AD87=""),FALSE,IF(AD87&lt;BN87,TRUE,FALSE))</f>
        <v>0</v>
      </c>
      <c r="BA87" s="890" t="b">
        <f>IF(OR(AD87="missing info.",AD87=""),FALSE,IF(AD87&gt;BO87,TRUE,FALSE))</f>
        <v>0</v>
      </c>
      <c r="BB87" s="890" t="b">
        <f>IF(AND(E87="no",Z87=""),TRUE,FALSE)</f>
        <v>0</v>
      </c>
      <c r="BC87" s="894" t="b">
        <f>IF(Z87="",FALSE,IF(OR(Z87&gt;BaseYear,Z87&lt;BM87),TRUE,FALSE))</f>
        <v>0</v>
      </c>
      <c r="BD87" s="897" t="str">
        <f>IFERROR(VLOOKUP(H87,Valid!$B$94:$N$96,3,FALSE), "")</f>
        <v/>
      </c>
      <c r="BE87" s="898" t="str">
        <f>IFERROR(VLOOKUP(H87,Valid!$B$94:$N$96,4,FALSE), "")</f>
        <v/>
      </c>
      <c r="BF87" s="897" t="str">
        <f t="shared" si="12"/>
        <v/>
      </c>
      <c r="BG87" s="897" t="str">
        <f t="shared" ca="1" si="13"/>
        <v/>
      </c>
      <c r="BH87" s="1860">
        <f>N87</f>
        <v>0</v>
      </c>
      <c r="BI87" s="1547" t="str">
        <f t="shared" ca="1" si="14"/>
        <v/>
      </c>
      <c r="BJ87" s="898" t="str">
        <f ca="1">IF(BI87="", "", IF(1+(BI87*4)&lt;1, 1, 1+(BI87*4)))</f>
        <v/>
      </c>
      <c r="BK87" s="898" t="str">
        <f t="shared" si="11"/>
        <v/>
      </c>
      <c r="BL87" s="898" t="str">
        <f t="shared" si="11"/>
        <v/>
      </c>
      <c r="BM87" s="1710" t="str">
        <f t="shared" si="11"/>
        <v/>
      </c>
      <c r="BN87" s="1205" t="str">
        <f>IFERROR(VLOOKUP(H87,Valid!$B$94:$N$96,12,FALSE), "")</f>
        <v/>
      </c>
      <c r="BO87" s="1205" t="str">
        <f>IFERROR(VLOOKUP(H87,Valid!$B$94:$N$96,13,FALSE), "")</f>
        <v/>
      </c>
      <c r="BP87" s="894"/>
      <c r="BQ87" s="894"/>
    </row>
    <row r="88" spans="1:69" s="894" customFormat="1" ht="6.75" customHeight="1" thickBot="1" x14ac:dyDescent="0.25">
      <c r="A88" s="1516"/>
      <c r="B88" s="1530">
        <v>38.5</v>
      </c>
      <c r="C88" s="1471"/>
      <c r="D88" s="1541"/>
      <c r="E88" s="1057"/>
      <c r="F88" s="170"/>
      <c r="G88" s="170"/>
      <c r="H88" s="170"/>
      <c r="I88" s="170"/>
      <c r="J88" s="170"/>
      <c r="K88" s="170"/>
      <c r="L88" s="1031"/>
      <c r="M88" s="170"/>
      <c r="N88" s="1031"/>
      <c r="O88" s="892"/>
      <c r="P88" s="836"/>
      <c r="Q88" s="1709"/>
      <c r="R88" s="1806"/>
      <c r="S88" s="1709"/>
      <c r="T88" s="1962"/>
      <c r="U88" s="1709"/>
      <c r="V88" s="1806"/>
      <c r="W88" s="1709"/>
      <c r="X88" s="1027"/>
      <c r="Y88" s="892"/>
      <c r="Z88" s="893"/>
      <c r="AA88" s="892" t="str">
        <f t="shared" si="15"/>
        <v/>
      </c>
      <c r="AB88" s="1030"/>
      <c r="AC88" s="1622"/>
      <c r="AD88" s="1030"/>
      <c r="AF88" s="895"/>
      <c r="AG88" s="896"/>
      <c r="AJ88" s="900"/>
      <c r="AK88" s="1624"/>
      <c r="AO88" s="1152"/>
      <c r="AP88" s="1152"/>
      <c r="AQ88" s="1152"/>
      <c r="AR88" s="1152"/>
      <c r="AS88" s="1152"/>
      <c r="AT88" s="1152"/>
      <c r="AU88" s="1152"/>
      <c r="AV88" s="1152"/>
      <c r="AW88" s="1152"/>
      <c r="AX88" s="1152"/>
      <c r="AY88" s="1448"/>
      <c r="AZ88" s="1448"/>
      <c r="BA88" s="846"/>
      <c r="BB88" s="846"/>
      <c r="BD88" s="897" t="str">
        <f>IFERROR(VLOOKUP(H88,Valid!$B$94:$N$96,3,FALSE), "")</f>
        <v/>
      </c>
      <c r="BE88" s="898" t="str">
        <f>IFERROR(VLOOKUP(H88,Valid!$B$94:$N$96,4,FALSE), "")</f>
        <v/>
      </c>
      <c r="BF88" s="897" t="str">
        <f t="shared" si="12"/>
        <v/>
      </c>
      <c r="BG88" s="897" t="str">
        <f t="shared" ca="1" si="13"/>
        <v/>
      </c>
      <c r="BH88" s="1860" t="str">
        <f>IFERROR(VLOOKUP($H88,val_equip_assets,BH$4,FALSE), "")</f>
        <v/>
      </c>
      <c r="BI88" s="1547" t="str">
        <f t="shared" ca="1" si="14"/>
        <v/>
      </c>
      <c r="BJ88" s="898" t="str">
        <f ca="1">IF(BI88="", "", IF(BI88&lt;0.1, 5, IF(BI88&lt;0.25, 4, IF(BI88&lt;0.5, 3, IF(BI88&lt;0.75, 2, 1)))))</f>
        <v/>
      </c>
      <c r="BK88" s="898" t="str">
        <f t="shared" si="11"/>
        <v/>
      </c>
      <c r="BL88" s="898" t="str">
        <f t="shared" si="11"/>
        <v/>
      </c>
      <c r="BM88" s="1710" t="str">
        <f t="shared" si="11"/>
        <v/>
      </c>
      <c r="BN88" s="1205" t="str">
        <f>IFERROR(VLOOKUP(H88,Valid!$B$94:$N$96,12,FALSE), "")</f>
        <v/>
      </c>
      <c r="BO88" s="1205" t="str">
        <f>IFERROR(VLOOKUP(H88,Valid!$B$94:$N$96,13,FALSE), "")</f>
        <v/>
      </c>
    </row>
    <row r="89" spans="1:69" s="901" customFormat="1" x14ac:dyDescent="0.2">
      <c r="A89" s="206">
        <v>39</v>
      </c>
      <c r="B89" s="1530">
        <v>39</v>
      </c>
      <c r="C89" s="1703"/>
      <c r="D89" s="1248" t="str">
        <f>IF(C87="","",IF(C89="","Enter Service Fleet Description then Fill in columns "&amp;TEXT($H$2,0)&amp;" - "&amp;TEXT($Z$2,0)&amp;"                 ",""))</f>
        <v/>
      </c>
      <c r="E89" s="1245" t="str">
        <f>IF(AK89="N/A","",AK89)</f>
        <v/>
      </c>
      <c r="F89" s="170"/>
      <c r="G89" s="170"/>
      <c r="H89" s="1704"/>
      <c r="I89" s="1246" t="str">
        <f>IF(AND(E89="No",H89=""),"Select Type of Vehicle                        ","")</f>
        <v/>
      </c>
      <c r="J89" s="1247"/>
      <c r="K89" s="1246" t="str">
        <f>IF(AND(C89="No",H89=""),"Number of Vehicles?  ","")</f>
        <v/>
      </c>
      <c r="L89" s="1782" t="str">
        <f>IFERROR(VLOOKUP($H89,val_equip_assets,BH$4,FALSE), "")</f>
        <v/>
      </c>
      <c r="M89" s="1246"/>
      <c r="N89" s="1247"/>
      <c r="O89" s="892" t="str">
        <f>IF(H89="","",IF(AND(E89="No",N89=""),TEXT(BH89,0)&amp;" Years?   ",""))</f>
        <v/>
      </c>
      <c r="P89" s="1705"/>
      <c r="Q89" s="1706" t="str">
        <f>IF(AND(E89="No",P89=""),"Enter Manufact. Yr.     ","")</f>
        <v/>
      </c>
      <c r="R89" s="1952" t="str">
        <f ca="1">BI89</f>
        <v/>
      </c>
      <c r="S89" s="1706"/>
      <c r="T89" s="1963" t="str">
        <f ca="1">BJ89</f>
        <v/>
      </c>
      <c r="U89" s="1706"/>
      <c r="V89" s="1675"/>
      <c r="W89" s="892" t="str">
        <f>IF(AND(E89="No",V89=""),"% of Cap. Resp.    ","")</f>
        <v/>
      </c>
      <c r="X89" s="1655"/>
      <c r="Y89" s="892" t="str">
        <f>IF(AND(E89="No",X89=""),"Estimated $?   ","")</f>
        <v/>
      </c>
      <c r="Z89" s="1707"/>
      <c r="AA89" s="892" t="str">
        <f t="shared" si="15"/>
        <v/>
      </c>
      <c r="AB89" s="1026" t="str">
        <f>IF(E89="","",IF(OR($X89="",$Z89=""),"missing info.",$X89*VLOOKUP($Z89,Inflate,$BF89+1,FALSE)))</f>
        <v/>
      </c>
      <c r="AC89" s="1622"/>
      <c r="AD89" s="1026" t="str">
        <f>IF(E89="","",IF(J89="","missing info.",IF(AB89="missing info.","missing info.",AB89/J89)))</f>
        <v/>
      </c>
      <c r="AE89" s="839"/>
      <c r="AF89" s="1708"/>
      <c r="AG89" s="896"/>
      <c r="AH89" s="894"/>
      <c r="AI89" s="894" t="b">
        <f>IF(AND(C91&lt;&gt;"",C89=""),TRUE,FALSE)</f>
        <v>0</v>
      </c>
      <c r="AJ89" s="902" t="b">
        <f>IF(AND(N89="",P89&lt;&gt;""),TRUE,FALSE)</f>
        <v>0</v>
      </c>
      <c r="AK89" s="720" t="str">
        <f>IF(AND(J89="",AF89="",Z89="",X89="",V89="",N89="",H89="",P89="",C89=""),"N/A",IF(AND(C89&lt;&gt;"",J89&lt;&gt;"",N89&lt;&gt;"",H89&lt;&gt;"",P89&lt;&gt;"",V89&lt;&gt;"",X89&lt;&gt;"",Z89&lt;&gt;""),"Yes","No"))</f>
        <v>N/A</v>
      </c>
      <c r="AL89" s="720" t="b">
        <f>IF(AND(C89="",E89="no"),TRUE,FALSE)</f>
        <v>0</v>
      </c>
      <c r="AM89" s="720" t="b">
        <f>IF(AND(E89="no",H89=""),TRUE,FALSE)</f>
        <v>0</v>
      </c>
      <c r="AN89" s="720" t="b">
        <f>IF(AND(E89="no",H89=""),TRUE,FALSE)</f>
        <v>0</v>
      </c>
      <c r="AO89" s="903" t="b">
        <f>IF($J89="",FALSE,IF($J89&lt;$BD89,TRUE,FALSE))</f>
        <v>0</v>
      </c>
      <c r="AP89" s="903" t="b">
        <f>IF($J89="",FALSE,IF($J89&gt;$BE89,TRUE,FALSE))</f>
        <v>0</v>
      </c>
      <c r="AQ89" s="903" t="b">
        <f>IF(AND(E89="no",N89=""),TRUE,FALSE)</f>
        <v>0</v>
      </c>
      <c r="AR89" s="903" t="b">
        <f>IF(AND(E89="no",P89=""),TRUE,FALSE)</f>
        <v>0</v>
      </c>
      <c r="AS89" s="903" t="b">
        <f>IF(P89="",FALSE,IF(P89&lt;BM89,TRUE,FALSE))</f>
        <v>0</v>
      </c>
      <c r="AT89" s="903" t="b">
        <f>IF(P89="",FALSE,IF(P89&gt;BaseYear,TRUE,FALSE))</f>
        <v>0</v>
      </c>
      <c r="AU89" s="903" t="b">
        <f>IF(AND(E89="no",V89=""),TRUE,FALSE)</f>
        <v>0</v>
      </c>
      <c r="AV89" s="903" t="b">
        <f>IF(V89="",FALSE,IF(OR(V89&gt;1,V89&lt;0),TRUE,FALSE))</f>
        <v>0</v>
      </c>
      <c r="AW89" s="903" t="b">
        <f>IF($N89="",FALSE,IF($N89&lt;$BK89,TRUE,FALSE))</f>
        <v>0</v>
      </c>
      <c r="AX89" s="903" t="b">
        <f>IF($N89="",FALSE,IF($N89&gt;$BL89,TRUE,FALSE))</f>
        <v>0</v>
      </c>
      <c r="AY89" s="889" t="b">
        <f>IF(AND(E89="no",X89=""),TRUE,FALSE)</f>
        <v>0</v>
      </c>
      <c r="AZ89" s="889" t="b">
        <f>IF(OR(AD89="missing info.",AD89=""),FALSE,IF(AD89&lt;BN89,TRUE,FALSE))</f>
        <v>0</v>
      </c>
      <c r="BA89" s="890" t="b">
        <f>IF(OR(AD89="missing info.",AD89=""),FALSE,IF(AD89&gt;BO89,TRUE,FALSE))</f>
        <v>0</v>
      </c>
      <c r="BB89" s="890" t="b">
        <f>IF(AND(E89="no",Z89=""),TRUE,FALSE)</f>
        <v>0</v>
      </c>
      <c r="BC89" s="894" t="b">
        <f>IF(Z89="",FALSE,IF(OR(Z89&gt;BaseYear,Z89&lt;BM89),TRUE,FALSE))</f>
        <v>0</v>
      </c>
      <c r="BD89" s="897" t="str">
        <f>IFERROR(VLOOKUP(H89,Valid!$B$94:$N$96,3,FALSE), "")</f>
        <v/>
      </c>
      <c r="BE89" s="898" t="str">
        <f>IFERROR(VLOOKUP(H89,Valid!$B$94:$N$96,4,FALSE), "")</f>
        <v/>
      </c>
      <c r="BF89" s="897" t="str">
        <f t="shared" si="12"/>
        <v/>
      </c>
      <c r="BG89" s="897" t="str">
        <f t="shared" ca="1" si="13"/>
        <v/>
      </c>
      <c r="BH89" s="1860">
        <f>N89</f>
        <v>0</v>
      </c>
      <c r="BI89" s="1547" t="str">
        <f t="shared" ca="1" si="14"/>
        <v/>
      </c>
      <c r="BJ89" s="898" t="str">
        <f ca="1">IF(BI89="", "", IF(1+(BI89*4)&lt;1, 1, 1+(BI89*4)))</f>
        <v/>
      </c>
      <c r="BK89" s="898" t="str">
        <f t="shared" si="11"/>
        <v/>
      </c>
      <c r="BL89" s="898" t="str">
        <f t="shared" si="11"/>
        <v/>
      </c>
      <c r="BM89" s="1710" t="str">
        <f t="shared" si="11"/>
        <v/>
      </c>
      <c r="BN89" s="1205" t="str">
        <f>IFERROR(VLOOKUP(H89,Valid!$B$94:$N$96,12,FALSE), "")</f>
        <v/>
      </c>
      <c r="BO89" s="1205" t="str">
        <f>IFERROR(VLOOKUP(H89,Valid!$B$94:$N$96,13,FALSE), "")</f>
        <v/>
      </c>
      <c r="BP89" s="894"/>
      <c r="BQ89" s="894"/>
    </row>
    <row r="90" spans="1:69" s="894" customFormat="1" ht="6.75" customHeight="1" thickBot="1" x14ac:dyDescent="0.25">
      <c r="A90" s="1516"/>
      <c r="B90" s="1530">
        <v>39.5</v>
      </c>
      <c r="C90" s="1471"/>
      <c r="D90" s="1541"/>
      <c r="E90" s="1057"/>
      <c r="F90" s="170"/>
      <c r="G90" s="170"/>
      <c r="H90" s="170"/>
      <c r="I90" s="170"/>
      <c r="J90" s="170"/>
      <c r="K90" s="170"/>
      <c r="L90" s="1031"/>
      <c r="M90" s="170"/>
      <c r="N90" s="1031"/>
      <c r="O90" s="892"/>
      <c r="P90" s="836"/>
      <c r="Q90" s="1709"/>
      <c r="R90" s="1806"/>
      <c r="S90" s="1709"/>
      <c r="T90" s="1962"/>
      <c r="U90" s="1709"/>
      <c r="V90" s="1806"/>
      <c r="W90" s="1709"/>
      <c r="X90" s="1027"/>
      <c r="Y90" s="892"/>
      <c r="Z90" s="893"/>
      <c r="AA90" s="892" t="str">
        <f t="shared" si="15"/>
        <v/>
      </c>
      <c r="AB90" s="1030"/>
      <c r="AC90" s="1622"/>
      <c r="AD90" s="1030"/>
      <c r="AF90" s="895"/>
      <c r="AG90" s="896"/>
      <c r="AJ90" s="900"/>
      <c r="AK90" s="1624"/>
      <c r="AO90" s="1152"/>
      <c r="AP90" s="1152"/>
      <c r="AQ90" s="1152"/>
      <c r="AR90" s="1152"/>
      <c r="AS90" s="1152"/>
      <c r="AT90" s="1152"/>
      <c r="AU90" s="1152"/>
      <c r="AV90" s="1152"/>
      <c r="AW90" s="1152"/>
      <c r="AX90" s="1152"/>
      <c r="AY90" s="1448"/>
      <c r="AZ90" s="1448"/>
      <c r="BA90" s="846"/>
      <c r="BB90" s="846"/>
      <c r="BD90" s="897" t="str">
        <f>IFERROR(VLOOKUP(H90,Valid!$B$94:$N$96,3,FALSE), "")</f>
        <v/>
      </c>
      <c r="BE90" s="898" t="str">
        <f>IFERROR(VLOOKUP(H90,Valid!$B$94:$N$96,4,FALSE), "")</f>
        <v/>
      </c>
      <c r="BF90" s="897" t="str">
        <f t="shared" si="12"/>
        <v/>
      </c>
      <c r="BG90" s="897" t="str">
        <f t="shared" ca="1" si="13"/>
        <v/>
      </c>
      <c r="BH90" s="1860" t="str">
        <f>IFERROR(VLOOKUP($H90,val_equip_assets,BH$4,FALSE), "")</f>
        <v/>
      </c>
      <c r="BI90" s="1547" t="str">
        <f t="shared" ca="1" si="14"/>
        <v/>
      </c>
      <c r="BJ90" s="898" t="str">
        <f ca="1">IF(BI90="", "", IF(BI90&lt;0.1, 5, IF(BI90&lt;0.25, 4, IF(BI90&lt;0.5, 3, IF(BI90&lt;0.75, 2, 1)))))</f>
        <v/>
      </c>
      <c r="BK90" s="898" t="str">
        <f t="shared" si="11"/>
        <v/>
      </c>
      <c r="BL90" s="898" t="str">
        <f t="shared" si="11"/>
        <v/>
      </c>
      <c r="BM90" s="1710" t="str">
        <f t="shared" si="11"/>
        <v/>
      </c>
      <c r="BN90" s="1205" t="str">
        <f>IFERROR(VLOOKUP(H90,Valid!$B$94:$N$96,12,FALSE), "")</f>
        <v/>
      </c>
      <c r="BO90" s="1205" t="str">
        <f>IFERROR(VLOOKUP(H90,Valid!$B$94:$N$96,13,FALSE), "")</f>
        <v/>
      </c>
    </row>
    <row r="91" spans="1:69" s="901" customFormat="1" x14ac:dyDescent="0.2">
      <c r="A91" s="206">
        <v>40</v>
      </c>
      <c r="B91" s="1530">
        <v>40</v>
      </c>
      <c r="C91" s="1703"/>
      <c r="D91" s="1248" t="str">
        <f>IF(C89="","",IF(C91="","Enter Service Fleet Description then Fill in columns "&amp;TEXT($H$2,0)&amp;" - "&amp;TEXT($Z$2,0)&amp;"                 ",""))</f>
        <v/>
      </c>
      <c r="E91" s="1245" t="str">
        <f>IF(AK91="N/A","",AK91)</f>
        <v/>
      </c>
      <c r="F91" s="170"/>
      <c r="G91" s="170"/>
      <c r="H91" s="1704"/>
      <c r="I91" s="1246" t="str">
        <f>IF(AND(E91="No",H91=""),"Select Type of Vehicle                        ","")</f>
        <v/>
      </c>
      <c r="J91" s="1247"/>
      <c r="K91" s="1246" t="str">
        <f>IF(AND(C91="No",H91=""),"Number of Vehicles?  ","")</f>
        <v/>
      </c>
      <c r="L91" s="1782" t="str">
        <f>IFERROR(VLOOKUP($H91,val_equip_assets,BH$4,FALSE), "")</f>
        <v/>
      </c>
      <c r="M91" s="1246"/>
      <c r="N91" s="1247"/>
      <c r="O91" s="892" t="str">
        <f>IF(H91="","",IF(AND(E91="No",N91=""),TEXT(BH91,0)&amp;" Years?   ",""))</f>
        <v/>
      </c>
      <c r="P91" s="1705"/>
      <c r="Q91" s="1706" t="str">
        <f>IF(AND(E91="No",P91=""),"Enter Manufact. Yr.     ","")</f>
        <v/>
      </c>
      <c r="R91" s="1952" t="str">
        <f ca="1">BI91</f>
        <v/>
      </c>
      <c r="S91" s="1706"/>
      <c r="T91" s="1963" t="str">
        <f ca="1">BJ91</f>
        <v/>
      </c>
      <c r="U91" s="1706"/>
      <c r="V91" s="1675"/>
      <c r="W91" s="892" t="str">
        <f>IF(AND(E91="No",V91=""),"% of Cap. Resp.    ","")</f>
        <v/>
      </c>
      <c r="X91" s="1655"/>
      <c r="Y91" s="892" t="str">
        <f>IF(AND(E91="No",X91=""),"Estimated $?   ","")</f>
        <v/>
      </c>
      <c r="Z91" s="1707"/>
      <c r="AA91" s="892" t="str">
        <f t="shared" si="15"/>
        <v/>
      </c>
      <c r="AB91" s="1026" t="str">
        <f>IF(E91="","",IF(OR($X91="",$Z91=""),"missing info.",$X91*VLOOKUP($Z91,Inflate,$BF91+1,FALSE)))</f>
        <v/>
      </c>
      <c r="AC91" s="1622"/>
      <c r="AD91" s="1026" t="str">
        <f>IF(E91="","",IF(J91="","missing info.",IF(AB91="missing info.","missing info.",AB91/J91)))</f>
        <v/>
      </c>
      <c r="AE91" s="839"/>
      <c r="AF91" s="1708"/>
      <c r="AG91" s="896"/>
      <c r="AH91" s="894"/>
      <c r="AI91" s="894" t="b">
        <f>IF(AND(C93&lt;&gt;"",C91=""),TRUE,FALSE)</f>
        <v>0</v>
      </c>
      <c r="AJ91" s="902" t="b">
        <f>IF(AND(N91="",P91&lt;&gt;""),TRUE,FALSE)</f>
        <v>0</v>
      </c>
      <c r="AK91" s="720" t="str">
        <f>IF(AND(J91="",AF91="",Z91="",X91="",V91="",N91="",H91="",P91="",C91=""),"N/A",IF(AND(C91&lt;&gt;"",J91&lt;&gt;"",N91&lt;&gt;"",H91&lt;&gt;"",P91&lt;&gt;"",V91&lt;&gt;"",X91&lt;&gt;"",Z91&lt;&gt;""),"Yes","No"))</f>
        <v>N/A</v>
      </c>
      <c r="AL91" s="720" t="b">
        <f>IF(AND(C91="",E91="no"),TRUE,FALSE)</f>
        <v>0</v>
      </c>
      <c r="AM91" s="720" t="b">
        <f>IF(AND(E91="no",H91=""),TRUE,FALSE)</f>
        <v>0</v>
      </c>
      <c r="AN91" s="720" t="b">
        <f>IF(AND(E91="no",H91=""),TRUE,FALSE)</f>
        <v>0</v>
      </c>
      <c r="AO91" s="903" t="b">
        <f>IF($J91="",FALSE,IF($J91&lt;$BD91,TRUE,FALSE))</f>
        <v>0</v>
      </c>
      <c r="AP91" s="903" t="b">
        <f>IF($J91="",FALSE,IF($J91&gt;$BE91,TRUE,FALSE))</f>
        <v>0</v>
      </c>
      <c r="AQ91" s="903" t="b">
        <f>IF(AND(E91="no",N91=""),TRUE,FALSE)</f>
        <v>0</v>
      </c>
      <c r="AR91" s="903" t="b">
        <f>IF(AND(E91="no",P91=""),TRUE,FALSE)</f>
        <v>0</v>
      </c>
      <c r="AS91" s="903" t="b">
        <f>IF(P91="",FALSE,IF(P91&lt;BM91,TRUE,FALSE))</f>
        <v>0</v>
      </c>
      <c r="AT91" s="903" t="b">
        <f>IF(P91="",FALSE,IF(P91&gt;BaseYear,TRUE,FALSE))</f>
        <v>0</v>
      </c>
      <c r="AU91" s="903" t="b">
        <f>IF(AND(E91="no",V91=""),TRUE,FALSE)</f>
        <v>0</v>
      </c>
      <c r="AV91" s="903" t="b">
        <f>IF(V91="",FALSE,IF(OR(V91&gt;1,V91&lt;0),TRUE,FALSE))</f>
        <v>0</v>
      </c>
      <c r="AW91" s="903" t="b">
        <f>IF($N91="",FALSE,IF($N91&lt;$BK91,TRUE,FALSE))</f>
        <v>0</v>
      </c>
      <c r="AX91" s="903" t="b">
        <f>IF($N91="",FALSE,IF($N91&gt;$BL91,TRUE,FALSE))</f>
        <v>0</v>
      </c>
      <c r="AY91" s="889" t="b">
        <f>IF(AND(E91="no",X91=""),TRUE,FALSE)</f>
        <v>0</v>
      </c>
      <c r="AZ91" s="889" t="b">
        <f>IF(OR(AD91="missing info.",AD91=""),FALSE,IF(AD91&lt;BN91,TRUE,FALSE))</f>
        <v>0</v>
      </c>
      <c r="BA91" s="890" t="b">
        <f>IF(OR(AD91="missing info.",AD91=""),FALSE,IF(AD91&gt;BO91,TRUE,FALSE))</f>
        <v>0</v>
      </c>
      <c r="BB91" s="890" t="b">
        <f>IF(AND(E91="no",Z91=""),TRUE,FALSE)</f>
        <v>0</v>
      </c>
      <c r="BC91" s="894" t="b">
        <f>IF(Z91="",FALSE,IF(OR(Z91&gt;BaseYear,Z91&lt;BM91),TRUE,FALSE))</f>
        <v>0</v>
      </c>
      <c r="BD91" s="897" t="str">
        <f>IFERROR(VLOOKUP(H91,Valid!$B$94:$N$96,3,FALSE), "")</f>
        <v/>
      </c>
      <c r="BE91" s="898" t="str">
        <f>IFERROR(VLOOKUP(H91,Valid!$B$94:$N$96,4,FALSE), "")</f>
        <v/>
      </c>
      <c r="BF91" s="897" t="str">
        <f t="shared" si="12"/>
        <v/>
      </c>
      <c r="BG91" s="897" t="str">
        <f t="shared" ca="1" si="13"/>
        <v/>
      </c>
      <c r="BH91" s="1860">
        <f>N91</f>
        <v>0</v>
      </c>
      <c r="BI91" s="1547" t="str">
        <f t="shared" ca="1" si="14"/>
        <v/>
      </c>
      <c r="BJ91" s="898" t="str">
        <f ca="1">IF(BI91="", "", IF(1+(BI91*4)&lt;1, 1, 1+(BI91*4)))</f>
        <v/>
      </c>
      <c r="BK91" s="898" t="str">
        <f t="shared" si="11"/>
        <v/>
      </c>
      <c r="BL91" s="898" t="str">
        <f t="shared" si="11"/>
        <v/>
      </c>
      <c r="BM91" s="1710" t="str">
        <f t="shared" si="11"/>
        <v/>
      </c>
      <c r="BN91" s="1205" t="str">
        <f>IFERROR(VLOOKUP(H91,Valid!$B$94:$N$96,12,FALSE), "")</f>
        <v/>
      </c>
      <c r="BO91" s="1205" t="str">
        <f>IFERROR(VLOOKUP(H91,Valid!$B$94:$N$96,13,FALSE), "")</f>
        <v/>
      </c>
      <c r="BP91" s="894"/>
      <c r="BQ91" s="894"/>
    </row>
    <row r="92" spans="1:69" s="894" customFormat="1" ht="6.75" customHeight="1" thickBot="1" x14ac:dyDescent="0.25">
      <c r="A92" s="1516"/>
      <c r="B92" s="1530">
        <v>40.5</v>
      </c>
      <c r="C92" s="1471"/>
      <c r="D92" s="1541"/>
      <c r="E92" s="1057"/>
      <c r="F92" s="170"/>
      <c r="G92" s="170"/>
      <c r="H92" s="170"/>
      <c r="I92" s="170"/>
      <c r="J92" s="170"/>
      <c r="K92" s="170"/>
      <c r="L92" s="1031"/>
      <c r="M92" s="170"/>
      <c r="N92" s="1031"/>
      <c r="O92" s="892"/>
      <c r="P92" s="836"/>
      <c r="Q92" s="1709"/>
      <c r="R92" s="1806"/>
      <c r="S92" s="1709"/>
      <c r="T92" s="1962"/>
      <c r="U92" s="1709"/>
      <c r="V92" s="1806"/>
      <c r="W92" s="1709"/>
      <c r="X92" s="1027"/>
      <c r="Y92" s="892"/>
      <c r="Z92" s="893"/>
      <c r="AA92" s="892" t="str">
        <f t="shared" si="15"/>
        <v/>
      </c>
      <c r="AB92" s="1030"/>
      <c r="AC92" s="1622"/>
      <c r="AD92" s="1030"/>
      <c r="AF92" s="895"/>
      <c r="AG92" s="896"/>
      <c r="AJ92" s="900"/>
      <c r="AK92" s="1624"/>
      <c r="AO92" s="1152"/>
      <c r="AP92" s="1152"/>
      <c r="AQ92" s="1152"/>
      <c r="AR92" s="1152"/>
      <c r="AS92" s="1152"/>
      <c r="AT92" s="1152"/>
      <c r="AU92" s="1152"/>
      <c r="AV92" s="1152"/>
      <c r="AW92" s="1152"/>
      <c r="AX92" s="1152"/>
      <c r="AY92" s="1448"/>
      <c r="AZ92" s="1448"/>
      <c r="BA92" s="846"/>
      <c r="BB92" s="846"/>
      <c r="BD92" s="897" t="str">
        <f>IFERROR(VLOOKUP(H92,Valid!$B$94:$N$96,3,FALSE), "")</f>
        <v/>
      </c>
      <c r="BE92" s="898" t="str">
        <f>IFERROR(VLOOKUP(H92,Valid!$B$94:$N$96,4,FALSE), "")</f>
        <v/>
      </c>
      <c r="BF92" s="897" t="str">
        <f t="shared" si="12"/>
        <v/>
      </c>
      <c r="BG92" s="897" t="str">
        <f t="shared" ca="1" si="13"/>
        <v/>
      </c>
      <c r="BH92" s="1860" t="str">
        <f>IFERROR(VLOOKUP($H92,val_equip_assets,BH$4,FALSE), "")</f>
        <v/>
      </c>
      <c r="BI92" s="1547" t="str">
        <f t="shared" ca="1" si="14"/>
        <v/>
      </c>
      <c r="BJ92" s="898" t="str">
        <f ca="1">IF(BI92="", "", IF(BI92&lt;0.1, 5, IF(BI92&lt;0.25, 4, IF(BI92&lt;0.5, 3, IF(BI92&lt;0.75, 2, 1)))))</f>
        <v/>
      </c>
      <c r="BK92" s="898" t="str">
        <f t="shared" si="11"/>
        <v/>
      </c>
      <c r="BL92" s="898" t="str">
        <f t="shared" si="11"/>
        <v/>
      </c>
      <c r="BM92" s="1710" t="str">
        <f t="shared" si="11"/>
        <v/>
      </c>
      <c r="BN92" s="1205" t="str">
        <f>IFERROR(VLOOKUP(H92,Valid!$B$94:$N$96,12,FALSE), "")</f>
        <v/>
      </c>
      <c r="BO92" s="1205" t="str">
        <f>IFERROR(VLOOKUP(H92,Valid!$B$94:$N$96,13,FALSE), "")</f>
        <v/>
      </c>
    </row>
    <row r="93" spans="1:69" s="901" customFormat="1" x14ac:dyDescent="0.2">
      <c r="A93" s="206">
        <v>41</v>
      </c>
      <c r="B93" s="1530">
        <v>41</v>
      </c>
      <c r="C93" s="1703"/>
      <c r="D93" s="1248" t="str">
        <f>IF(C91="","",IF(C93="","Enter Service Fleet Description then Fill in columns "&amp;TEXT($H$2,0)&amp;" - "&amp;TEXT($Z$2,0)&amp;"                 ",""))</f>
        <v/>
      </c>
      <c r="E93" s="1245" t="str">
        <f>IF(AK93="N/A","",AK93)</f>
        <v/>
      </c>
      <c r="F93" s="170"/>
      <c r="G93" s="170"/>
      <c r="H93" s="1704"/>
      <c r="I93" s="1246" t="str">
        <f>IF(AND(E93="No",H93=""),"Select Type of Vehicle                        ","")</f>
        <v/>
      </c>
      <c r="J93" s="1247"/>
      <c r="K93" s="1246" t="str">
        <f>IF(AND(C93="No",H93=""),"Number of Vehicles?  ","")</f>
        <v/>
      </c>
      <c r="L93" s="1782" t="str">
        <f>IFERROR(VLOOKUP($H93,val_equip_assets,BH$4,FALSE), "")</f>
        <v/>
      </c>
      <c r="M93" s="1246"/>
      <c r="N93" s="1247"/>
      <c r="O93" s="892" t="str">
        <f>IF(H93="","",IF(AND(E93="No",N93=""),TEXT(BH93,0)&amp;" Years?   ",""))</f>
        <v/>
      </c>
      <c r="P93" s="1705"/>
      <c r="Q93" s="1706" t="str">
        <f>IF(AND(E93="No",P93=""),"Enter Manufact. Yr.     ","")</f>
        <v/>
      </c>
      <c r="R93" s="1952" t="str">
        <f ca="1">BI93</f>
        <v/>
      </c>
      <c r="S93" s="1706"/>
      <c r="T93" s="1963" t="str">
        <f ca="1">BJ93</f>
        <v/>
      </c>
      <c r="U93" s="1706"/>
      <c r="V93" s="1675"/>
      <c r="W93" s="892" t="str">
        <f>IF(AND(E93="No",V93=""),"% of Cap. Resp.    ","")</f>
        <v/>
      </c>
      <c r="X93" s="1655"/>
      <c r="Y93" s="892" t="str">
        <f>IF(AND(E93="No",X93=""),"Estimated $?   ","")</f>
        <v/>
      </c>
      <c r="Z93" s="1707"/>
      <c r="AA93" s="892" t="str">
        <f t="shared" si="15"/>
        <v/>
      </c>
      <c r="AB93" s="1026" t="str">
        <f>IF(E93="","",IF(OR($X93="",$Z93=""),"missing info.",$X93*VLOOKUP($Z93,Inflate,$BF93+1,FALSE)))</f>
        <v/>
      </c>
      <c r="AC93" s="1622"/>
      <c r="AD93" s="1026" t="str">
        <f>IF(E93="","",IF(J93="","missing info.",IF(AB93="missing info.","missing info.",AB93/J93)))</f>
        <v/>
      </c>
      <c r="AE93" s="839"/>
      <c r="AF93" s="1708"/>
      <c r="AG93" s="896"/>
      <c r="AH93" s="894"/>
      <c r="AI93" s="894" t="b">
        <f>IF(AND(C95&lt;&gt;"",C93=""),TRUE,FALSE)</f>
        <v>0</v>
      </c>
      <c r="AJ93" s="902" t="b">
        <f>IF(AND(N93="",P93&lt;&gt;""),TRUE,FALSE)</f>
        <v>0</v>
      </c>
      <c r="AK93" s="720" t="str">
        <f>IF(AND(J93="",AF93="",Z93="",X93="",V93="",N93="",H93="",P93="",C93=""),"N/A",IF(AND(C93&lt;&gt;"",J93&lt;&gt;"",N93&lt;&gt;"",H93&lt;&gt;"",P93&lt;&gt;"",V93&lt;&gt;"",X93&lt;&gt;"",Z93&lt;&gt;""),"Yes","No"))</f>
        <v>N/A</v>
      </c>
      <c r="AL93" s="720" t="b">
        <f>IF(AND(C93="",E93="no"),TRUE,FALSE)</f>
        <v>0</v>
      </c>
      <c r="AM93" s="720" t="b">
        <f>IF(AND(E93="no",H93=""),TRUE,FALSE)</f>
        <v>0</v>
      </c>
      <c r="AN93" s="720" t="b">
        <f>IF(AND(E93="no",H93=""),TRUE,FALSE)</f>
        <v>0</v>
      </c>
      <c r="AO93" s="903" t="b">
        <f>IF($J93="",FALSE,IF($J93&lt;$BD93,TRUE,FALSE))</f>
        <v>0</v>
      </c>
      <c r="AP93" s="903" t="b">
        <f>IF($J93="",FALSE,IF($J93&gt;$BE93,TRUE,FALSE))</f>
        <v>0</v>
      </c>
      <c r="AQ93" s="903" t="b">
        <f>IF(AND(E93="no",N93=""),TRUE,FALSE)</f>
        <v>0</v>
      </c>
      <c r="AR93" s="903" t="b">
        <f>IF(AND(E93="no",P93=""),TRUE,FALSE)</f>
        <v>0</v>
      </c>
      <c r="AS93" s="903" t="b">
        <f>IF(P93="",FALSE,IF(P93&lt;BM93,TRUE,FALSE))</f>
        <v>0</v>
      </c>
      <c r="AT93" s="903" t="b">
        <f>IF(P93="",FALSE,IF(P93&gt;BaseYear,TRUE,FALSE))</f>
        <v>0</v>
      </c>
      <c r="AU93" s="903" t="b">
        <f>IF(AND(E93="no",V93=""),TRUE,FALSE)</f>
        <v>0</v>
      </c>
      <c r="AV93" s="903" t="b">
        <f>IF(V93="",FALSE,IF(OR(V93&gt;1,V93&lt;0),TRUE,FALSE))</f>
        <v>0</v>
      </c>
      <c r="AW93" s="903" t="b">
        <f>IF($N93="",FALSE,IF($N93&lt;$BK93,TRUE,FALSE))</f>
        <v>0</v>
      </c>
      <c r="AX93" s="903" t="b">
        <f>IF($N93="",FALSE,IF($N93&gt;$BL93,TRUE,FALSE))</f>
        <v>0</v>
      </c>
      <c r="AY93" s="889" t="b">
        <f>IF(AND(E93="no",X93=""),TRUE,FALSE)</f>
        <v>0</v>
      </c>
      <c r="AZ93" s="889" t="b">
        <f>IF(OR(AD93="missing info.",AD93=""),FALSE,IF(AD93&lt;BN93,TRUE,FALSE))</f>
        <v>0</v>
      </c>
      <c r="BA93" s="890" t="b">
        <f>IF(OR(AD93="missing info.",AD93=""),FALSE,IF(AD93&gt;BO93,TRUE,FALSE))</f>
        <v>0</v>
      </c>
      <c r="BB93" s="890" t="b">
        <f>IF(AND(E93="no",Z93=""),TRUE,FALSE)</f>
        <v>0</v>
      </c>
      <c r="BC93" s="894" t="b">
        <f>IF(Z93="",FALSE,IF(OR(Z93&gt;BaseYear,Z93&lt;BM93),TRUE,FALSE))</f>
        <v>0</v>
      </c>
      <c r="BD93" s="897" t="str">
        <f>IFERROR(VLOOKUP(H93,Valid!$B$94:$N$96,3,FALSE), "")</f>
        <v/>
      </c>
      <c r="BE93" s="898" t="str">
        <f>IFERROR(VLOOKUP(H93,Valid!$B$94:$N$96,4,FALSE), "")</f>
        <v/>
      </c>
      <c r="BF93" s="897" t="str">
        <f t="shared" si="12"/>
        <v/>
      </c>
      <c r="BG93" s="897" t="str">
        <f t="shared" ca="1" si="13"/>
        <v/>
      </c>
      <c r="BH93" s="1860">
        <f>N93</f>
        <v>0</v>
      </c>
      <c r="BI93" s="1547" t="str">
        <f t="shared" ca="1" si="14"/>
        <v/>
      </c>
      <c r="BJ93" s="898" t="str">
        <f ca="1">IF(BI93="", "", IF(1+(BI93*4)&lt;1, 1, 1+(BI93*4)))</f>
        <v/>
      </c>
      <c r="BK93" s="898" t="str">
        <f t="shared" ref="BK93:BM112" si="16">IFERROR(VLOOKUP($H93,val_equip_assets,BK$4,FALSE), "")</f>
        <v/>
      </c>
      <c r="BL93" s="898" t="str">
        <f t="shared" si="16"/>
        <v/>
      </c>
      <c r="BM93" s="1710" t="str">
        <f t="shared" si="16"/>
        <v/>
      </c>
      <c r="BN93" s="1205" t="str">
        <f>IFERROR(VLOOKUP(H93,Valid!$B$94:$N$96,12,FALSE), "")</f>
        <v/>
      </c>
      <c r="BO93" s="1205" t="str">
        <f>IFERROR(VLOOKUP(H93,Valid!$B$94:$N$96,13,FALSE), "")</f>
        <v/>
      </c>
      <c r="BP93" s="894"/>
      <c r="BQ93" s="894"/>
    </row>
    <row r="94" spans="1:69" s="894" customFormat="1" ht="6.75" customHeight="1" thickBot="1" x14ac:dyDescent="0.25">
      <c r="A94" s="1516"/>
      <c r="B94" s="1530">
        <v>41.5</v>
      </c>
      <c r="C94" s="1471"/>
      <c r="D94" s="1541"/>
      <c r="E94" s="1057"/>
      <c r="F94" s="170"/>
      <c r="G94" s="170"/>
      <c r="H94" s="170"/>
      <c r="I94" s="170"/>
      <c r="J94" s="170"/>
      <c r="K94" s="170"/>
      <c r="L94" s="1031"/>
      <c r="M94" s="170"/>
      <c r="N94" s="1031"/>
      <c r="O94" s="892"/>
      <c r="P94" s="836"/>
      <c r="Q94" s="1709"/>
      <c r="R94" s="1806"/>
      <c r="S94" s="1709"/>
      <c r="T94" s="1962"/>
      <c r="U94" s="1709"/>
      <c r="V94" s="1806"/>
      <c r="W94" s="1709"/>
      <c r="X94" s="1027"/>
      <c r="Y94" s="892"/>
      <c r="Z94" s="893"/>
      <c r="AA94" s="892" t="str">
        <f t="shared" si="15"/>
        <v/>
      </c>
      <c r="AB94" s="1030"/>
      <c r="AC94" s="1622"/>
      <c r="AD94" s="1030"/>
      <c r="AF94" s="895"/>
      <c r="AG94" s="896"/>
      <c r="AJ94" s="900"/>
      <c r="AK94" s="1624"/>
      <c r="AO94" s="1152"/>
      <c r="AP94" s="1152"/>
      <c r="AQ94" s="1152"/>
      <c r="AR94" s="1152"/>
      <c r="AS94" s="1152"/>
      <c r="AT94" s="1152"/>
      <c r="AU94" s="1152"/>
      <c r="AV94" s="1152"/>
      <c r="AW94" s="1152"/>
      <c r="AX94" s="1152"/>
      <c r="AY94" s="1448"/>
      <c r="AZ94" s="1448"/>
      <c r="BA94" s="846"/>
      <c r="BB94" s="846"/>
      <c r="BD94" s="897" t="str">
        <f>IFERROR(VLOOKUP(H94,Valid!$B$94:$N$96,3,FALSE), "")</f>
        <v/>
      </c>
      <c r="BE94" s="898" t="str">
        <f>IFERROR(VLOOKUP(H94,Valid!$B$94:$N$96,4,FALSE), "")</f>
        <v/>
      </c>
      <c r="BF94" s="897" t="str">
        <f t="shared" si="12"/>
        <v/>
      </c>
      <c r="BG94" s="897" t="str">
        <f t="shared" ca="1" si="13"/>
        <v/>
      </c>
      <c r="BH94" s="1860" t="str">
        <f>IFERROR(VLOOKUP($H94,val_equip_assets,BH$4,FALSE), "")</f>
        <v/>
      </c>
      <c r="BI94" s="1547" t="str">
        <f t="shared" ca="1" si="14"/>
        <v/>
      </c>
      <c r="BJ94" s="898" t="str">
        <f ca="1">IF(BI94="", "", IF(BI94&lt;0.1, 5, IF(BI94&lt;0.25, 4, IF(BI94&lt;0.5, 3, IF(BI94&lt;0.75, 2, 1)))))</f>
        <v/>
      </c>
      <c r="BK94" s="898" t="str">
        <f t="shared" si="16"/>
        <v/>
      </c>
      <c r="BL94" s="898" t="str">
        <f t="shared" si="16"/>
        <v/>
      </c>
      <c r="BM94" s="1710" t="str">
        <f t="shared" si="16"/>
        <v/>
      </c>
      <c r="BN94" s="1205" t="str">
        <f>IFERROR(VLOOKUP(H94,Valid!$B$94:$N$96,12,FALSE), "")</f>
        <v/>
      </c>
      <c r="BO94" s="1205" t="str">
        <f>IFERROR(VLOOKUP(H94,Valid!$B$94:$N$96,13,FALSE), "")</f>
        <v/>
      </c>
    </row>
    <row r="95" spans="1:69" s="901" customFormat="1" x14ac:dyDescent="0.2">
      <c r="A95" s="206">
        <v>42</v>
      </c>
      <c r="B95" s="1530">
        <v>42</v>
      </c>
      <c r="C95" s="1703"/>
      <c r="D95" s="1248" t="str">
        <f>IF(C93="","",IF(C95="","Enter Service Fleet Description then Fill in columns "&amp;TEXT($H$2,0)&amp;" - "&amp;TEXT($Z$2,0)&amp;"                 ",""))</f>
        <v/>
      </c>
      <c r="E95" s="1245" t="str">
        <f>IF(AK95="N/A","",AK95)</f>
        <v/>
      </c>
      <c r="F95" s="170"/>
      <c r="G95" s="170"/>
      <c r="H95" s="1704"/>
      <c r="I95" s="1246" t="str">
        <f>IF(AND(E95="No",H95=""),"Select Type of Vehicle                        ","")</f>
        <v/>
      </c>
      <c r="J95" s="1247"/>
      <c r="K95" s="1246" t="str">
        <f>IF(AND(C95="No",H95=""),"Number of Vehicles?  ","")</f>
        <v/>
      </c>
      <c r="L95" s="1782" t="str">
        <f>IFERROR(VLOOKUP($H95,val_equip_assets,BH$4,FALSE), "")</f>
        <v/>
      </c>
      <c r="M95" s="1246"/>
      <c r="N95" s="1247"/>
      <c r="O95" s="892" t="str">
        <f>IF(H95="","",IF(AND(E95="No",N95=""),TEXT(BH95,0)&amp;" Years?   ",""))</f>
        <v/>
      </c>
      <c r="P95" s="1705"/>
      <c r="Q95" s="1706" t="str">
        <f>IF(AND(E95="No",P95=""),"Enter Manufact. Yr.     ","")</f>
        <v/>
      </c>
      <c r="R95" s="1952" t="str">
        <f ca="1">BI95</f>
        <v/>
      </c>
      <c r="S95" s="1706"/>
      <c r="T95" s="1963" t="str">
        <f ca="1">BJ95</f>
        <v/>
      </c>
      <c r="U95" s="1706"/>
      <c r="V95" s="1675"/>
      <c r="W95" s="892" t="str">
        <f>IF(AND(E95="No",V95=""),"% of Cap. Resp.    ","")</f>
        <v/>
      </c>
      <c r="X95" s="1655"/>
      <c r="Y95" s="892" t="str">
        <f>IF(AND(E95="No",X95=""),"Estimated $?   ","")</f>
        <v/>
      </c>
      <c r="Z95" s="1707"/>
      <c r="AA95" s="892" t="str">
        <f t="shared" si="15"/>
        <v/>
      </c>
      <c r="AB95" s="1026" t="str">
        <f>IF(E95="","",IF(OR($X95="",$Z95=""),"missing info.",$X95*VLOOKUP($Z95,Inflate,$BF95+1,FALSE)))</f>
        <v/>
      </c>
      <c r="AC95" s="1622"/>
      <c r="AD95" s="1026" t="str">
        <f>IF(E95="","",IF(J95="","missing info.",IF(AB95="missing info.","missing info.",AB95/J95)))</f>
        <v/>
      </c>
      <c r="AE95" s="839"/>
      <c r="AF95" s="1708"/>
      <c r="AG95" s="896"/>
      <c r="AH95" s="894"/>
      <c r="AI95" s="894" t="b">
        <f>IF(AND(C97&lt;&gt;"",C95=""),TRUE,FALSE)</f>
        <v>0</v>
      </c>
      <c r="AJ95" s="902" t="b">
        <f>IF(AND(N95="",P95&lt;&gt;""),TRUE,FALSE)</f>
        <v>0</v>
      </c>
      <c r="AK95" s="720" t="str">
        <f>IF(AND(J95="",AF95="",Z95="",X95="",V95="",N95="",H95="",P95="",C95=""),"N/A",IF(AND(C95&lt;&gt;"",J95&lt;&gt;"",N95&lt;&gt;"",H95&lt;&gt;"",P95&lt;&gt;"",V95&lt;&gt;"",X95&lt;&gt;"",Z95&lt;&gt;""),"Yes","No"))</f>
        <v>N/A</v>
      </c>
      <c r="AL95" s="720" t="b">
        <f>IF(AND(C95="",E95="no"),TRUE,FALSE)</f>
        <v>0</v>
      </c>
      <c r="AM95" s="720" t="b">
        <f>IF(AND(E95="no",H95=""),TRUE,FALSE)</f>
        <v>0</v>
      </c>
      <c r="AN95" s="720" t="b">
        <f>IF(AND(E95="no",H95=""),TRUE,FALSE)</f>
        <v>0</v>
      </c>
      <c r="AO95" s="903" t="b">
        <f>IF($J95="",FALSE,IF($J95&lt;$BD95,TRUE,FALSE))</f>
        <v>0</v>
      </c>
      <c r="AP95" s="903" t="b">
        <f>IF($J95="",FALSE,IF($J95&gt;$BE95,TRUE,FALSE))</f>
        <v>0</v>
      </c>
      <c r="AQ95" s="903" t="b">
        <f>IF(AND(E95="no",N95=""),TRUE,FALSE)</f>
        <v>0</v>
      </c>
      <c r="AR95" s="903" t="b">
        <f>IF(AND(E95="no",P95=""),TRUE,FALSE)</f>
        <v>0</v>
      </c>
      <c r="AS95" s="903" t="b">
        <f>IF(P95="",FALSE,IF(P95&lt;BM95,TRUE,FALSE))</f>
        <v>0</v>
      </c>
      <c r="AT95" s="903" t="b">
        <f>IF(P95="",FALSE,IF(P95&gt;BaseYear,TRUE,FALSE))</f>
        <v>0</v>
      </c>
      <c r="AU95" s="903" t="b">
        <f>IF(AND(E95="no",V95=""),TRUE,FALSE)</f>
        <v>0</v>
      </c>
      <c r="AV95" s="903" t="b">
        <f>IF(V95="",FALSE,IF(OR(V95&gt;1,V95&lt;0),TRUE,FALSE))</f>
        <v>0</v>
      </c>
      <c r="AW95" s="903" t="b">
        <f>IF($N95="",FALSE,IF($N95&lt;$BK95,TRUE,FALSE))</f>
        <v>0</v>
      </c>
      <c r="AX95" s="903" t="b">
        <f>IF($N95="",FALSE,IF($N95&gt;$BL95,TRUE,FALSE))</f>
        <v>0</v>
      </c>
      <c r="AY95" s="889" t="b">
        <f>IF(AND(E95="no",X95=""),TRUE,FALSE)</f>
        <v>0</v>
      </c>
      <c r="AZ95" s="889" t="b">
        <f>IF(OR(AD95="missing info.",AD95=""),FALSE,IF(AD95&lt;BN95,TRUE,FALSE))</f>
        <v>0</v>
      </c>
      <c r="BA95" s="890" t="b">
        <f>IF(OR(AD95="missing info.",AD95=""),FALSE,IF(AD95&gt;BO95,TRUE,FALSE))</f>
        <v>0</v>
      </c>
      <c r="BB95" s="890" t="b">
        <f>IF(AND(E95="no",Z95=""),TRUE,FALSE)</f>
        <v>0</v>
      </c>
      <c r="BC95" s="894" t="b">
        <f>IF(Z95="",FALSE,IF(OR(Z95&gt;BaseYear,Z95&lt;BM95),TRUE,FALSE))</f>
        <v>0</v>
      </c>
      <c r="BD95" s="897" t="str">
        <f>IFERROR(VLOOKUP(H95,Valid!$B$94:$N$96,3,FALSE), "")</f>
        <v/>
      </c>
      <c r="BE95" s="898" t="str">
        <f>IFERROR(VLOOKUP(H95,Valid!$B$94:$N$96,4,FALSE), "")</f>
        <v/>
      </c>
      <c r="BF95" s="897" t="str">
        <f t="shared" si="12"/>
        <v/>
      </c>
      <c r="BG95" s="897" t="str">
        <f t="shared" ca="1" si="13"/>
        <v/>
      </c>
      <c r="BH95" s="1860">
        <f>N95</f>
        <v>0</v>
      </c>
      <c r="BI95" s="1547" t="str">
        <f t="shared" ca="1" si="14"/>
        <v/>
      </c>
      <c r="BJ95" s="898" t="str">
        <f ca="1">IF(BI95="", "", IF(1+(BI95*4)&lt;1, 1, 1+(BI95*4)))</f>
        <v/>
      </c>
      <c r="BK95" s="898" t="str">
        <f t="shared" si="16"/>
        <v/>
      </c>
      <c r="BL95" s="898" t="str">
        <f t="shared" si="16"/>
        <v/>
      </c>
      <c r="BM95" s="1710" t="str">
        <f t="shared" si="16"/>
        <v/>
      </c>
      <c r="BN95" s="1205" t="str">
        <f>IFERROR(VLOOKUP(H95,Valid!$B$94:$N$96,12,FALSE), "")</f>
        <v/>
      </c>
      <c r="BO95" s="1205" t="str">
        <f>IFERROR(VLOOKUP(H95,Valid!$B$94:$N$96,13,FALSE), "")</f>
        <v/>
      </c>
      <c r="BP95" s="894"/>
      <c r="BQ95" s="894"/>
    </row>
    <row r="96" spans="1:69" s="894" customFormat="1" ht="6.75" customHeight="1" thickBot="1" x14ac:dyDescent="0.25">
      <c r="A96" s="1516"/>
      <c r="B96" s="1530">
        <v>42.5</v>
      </c>
      <c r="C96" s="1471"/>
      <c r="D96" s="1541"/>
      <c r="E96" s="1057"/>
      <c r="F96" s="170"/>
      <c r="G96" s="170"/>
      <c r="H96" s="170"/>
      <c r="I96" s="170"/>
      <c r="J96" s="170"/>
      <c r="K96" s="170"/>
      <c r="L96" s="1031"/>
      <c r="M96" s="170"/>
      <c r="N96" s="1031"/>
      <c r="O96" s="892"/>
      <c r="P96" s="836"/>
      <c r="Q96" s="1709"/>
      <c r="R96" s="1806"/>
      <c r="S96" s="1709"/>
      <c r="T96" s="1962"/>
      <c r="U96" s="1709"/>
      <c r="V96" s="1806"/>
      <c r="W96" s="1709"/>
      <c r="X96" s="1027"/>
      <c r="Y96" s="892"/>
      <c r="Z96" s="893"/>
      <c r="AA96" s="892" t="str">
        <f t="shared" si="15"/>
        <v/>
      </c>
      <c r="AB96" s="1030"/>
      <c r="AC96" s="1622"/>
      <c r="AD96" s="1030"/>
      <c r="AF96" s="895"/>
      <c r="AG96" s="896"/>
      <c r="AJ96" s="900"/>
      <c r="AK96" s="1624"/>
      <c r="AO96" s="1152"/>
      <c r="AP96" s="1152"/>
      <c r="AQ96" s="1152"/>
      <c r="AR96" s="1152"/>
      <c r="AS96" s="1152"/>
      <c r="AT96" s="1152"/>
      <c r="AU96" s="1152"/>
      <c r="AV96" s="1152"/>
      <c r="AW96" s="1152"/>
      <c r="AX96" s="1152"/>
      <c r="AY96" s="1448"/>
      <c r="AZ96" s="1448"/>
      <c r="BA96" s="846"/>
      <c r="BB96" s="846"/>
      <c r="BD96" s="897" t="str">
        <f>IFERROR(VLOOKUP(H96,Valid!$B$94:$N$96,3,FALSE), "")</f>
        <v/>
      </c>
      <c r="BE96" s="898" t="str">
        <f>IFERROR(VLOOKUP(H96,Valid!$B$94:$N$96,4,FALSE), "")</f>
        <v/>
      </c>
      <c r="BF96" s="897" t="str">
        <f t="shared" si="12"/>
        <v/>
      </c>
      <c r="BG96" s="897" t="str">
        <f t="shared" ca="1" si="13"/>
        <v/>
      </c>
      <c r="BH96" s="1860" t="str">
        <f>IFERROR(VLOOKUP($H96,val_equip_assets,BH$4,FALSE), "")</f>
        <v/>
      </c>
      <c r="BI96" s="1547" t="str">
        <f t="shared" ca="1" si="14"/>
        <v/>
      </c>
      <c r="BJ96" s="898" t="str">
        <f ca="1">IF(BI96="", "", IF(BI96&lt;0.1, 5, IF(BI96&lt;0.25, 4, IF(BI96&lt;0.5, 3, IF(BI96&lt;0.75, 2, 1)))))</f>
        <v/>
      </c>
      <c r="BK96" s="898" t="str">
        <f t="shared" si="16"/>
        <v/>
      </c>
      <c r="BL96" s="898" t="str">
        <f t="shared" si="16"/>
        <v/>
      </c>
      <c r="BM96" s="1710" t="str">
        <f t="shared" si="16"/>
        <v/>
      </c>
      <c r="BN96" s="1205" t="str">
        <f>IFERROR(VLOOKUP(H96,Valid!$B$94:$N$96,12,FALSE), "")</f>
        <v/>
      </c>
      <c r="BO96" s="1205" t="str">
        <f>IFERROR(VLOOKUP(H96,Valid!$B$94:$N$96,13,FALSE), "")</f>
        <v/>
      </c>
    </row>
    <row r="97" spans="1:69" s="901" customFormat="1" x14ac:dyDescent="0.2">
      <c r="A97" s="206">
        <v>43</v>
      </c>
      <c r="B97" s="1530">
        <v>43</v>
      </c>
      <c r="C97" s="1703"/>
      <c r="D97" s="1248" t="str">
        <f>IF(C95="","",IF(C97="","Enter Service Fleet Description then Fill in columns "&amp;TEXT($H$2,0)&amp;" - "&amp;TEXT($Z$2,0)&amp;"                 ",""))</f>
        <v/>
      </c>
      <c r="E97" s="1245" t="str">
        <f>IF(AK97="N/A","",AK97)</f>
        <v/>
      </c>
      <c r="F97" s="170"/>
      <c r="G97" s="170"/>
      <c r="H97" s="1704"/>
      <c r="I97" s="1246" t="str">
        <f>IF(AND(E97="No",H97=""),"Select Type of Vehicle                        ","")</f>
        <v/>
      </c>
      <c r="J97" s="1247"/>
      <c r="K97" s="1246" t="str">
        <f>IF(AND(C97="No",H97=""),"Number of Vehicles?  ","")</f>
        <v/>
      </c>
      <c r="L97" s="1782" t="str">
        <f>IFERROR(VLOOKUP($H97,val_equip_assets,BH$4,FALSE), "")</f>
        <v/>
      </c>
      <c r="M97" s="1246"/>
      <c r="N97" s="1247"/>
      <c r="O97" s="892" t="str">
        <f>IF(H97="","",IF(AND(E97="No",N97=""),TEXT(BH97,0)&amp;" Years?   ",""))</f>
        <v/>
      </c>
      <c r="P97" s="1705"/>
      <c r="Q97" s="1706" t="str">
        <f>IF(AND(E97="No",P97=""),"Enter Manufact. Yr.     ","")</f>
        <v/>
      </c>
      <c r="R97" s="1952" t="str">
        <f ca="1">BI97</f>
        <v/>
      </c>
      <c r="S97" s="1706"/>
      <c r="T97" s="1963" t="str">
        <f ca="1">BJ97</f>
        <v/>
      </c>
      <c r="U97" s="1706"/>
      <c r="V97" s="1675"/>
      <c r="W97" s="892" t="str">
        <f>IF(AND(E97="No",V97=""),"% of Cap. Resp.    ","")</f>
        <v/>
      </c>
      <c r="X97" s="1655"/>
      <c r="Y97" s="892" t="str">
        <f>IF(AND(E97="No",X97=""),"Estimated $?   ","")</f>
        <v/>
      </c>
      <c r="Z97" s="1707"/>
      <c r="AA97" s="892" t="str">
        <f t="shared" si="15"/>
        <v/>
      </c>
      <c r="AB97" s="1026" t="str">
        <f>IF(E97="","",IF(OR($X97="",$Z97=""),"missing info.",$X97*VLOOKUP($Z97,Inflate,$BF97+1,FALSE)))</f>
        <v/>
      </c>
      <c r="AC97" s="1622"/>
      <c r="AD97" s="1026" t="str">
        <f>IF(E97="","",IF(J97="","missing info.",IF(AB97="missing info.","missing info.",AB97/J97)))</f>
        <v/>
      </c>
      <c r="AE97" s="839"/>
      <c r="AF97" s="1708"/>
      <c r="AG97" s="896"/>
      <c r="AH97" s="894"/>
      <c r="AI97" s="894" t="b">
        <f>IF(AND(C99&lt;&gt;"",C97=""),TRUE,FALSE)</f>
        <v>0</v>
      </c>
      <c r="AJ97" s="902" t="b">
        <f>IF(AND(N97="",P97&lt;&gt;""),TRUE,FALSE)</f>
        <v>0</v>
      </c>
      <c r="AK97" s="720" t="str">
        <f>IF(AND(J97="",AF97="",Z97="",X97="",V97="",N97="",H97="",P97="",C97=""),"N/A",IF(AND(C97&lt;&gt;"",J97&lt;&gt;"",N97&lt;&gt;"",H97&lt;&gt;"",P97&lt;&gt;"",V97&lt;&gt;"",X97&lt;&gt;"",Z97&lt;&gt;""),"Yes","No"))</f>
        <v>N/A</v>
      </c>
      <c r="AL97" s="720" t="b">
        <f>IF(AND(C97="",E97="no"),TRUE,FALSE)</f>
        <v>0</v>
      </c>
      <c r="AM97" s="720" t="b">
        <f>IF(AND(E97="no",H97=""),TRUE,FALSE)</f>
        <v>0</v>
      </c>
      <c r="AN97" s="720" t="b">
        <f>IF(AND(E97="no",H97=""),TRUE,FALSE)</f>
        <v>0</v>
      </c>
      <c r="AO97" s="903" t="b">
        <f>IF($J97="",FALSE,IF($J97&lt;$BD97,TRUE,FALSE))</f>
        <v>0</v>
      </c>
      <c r="AP97" s="903" t="b">
        <f>IF($J97="",FALSE,IF($J97&gt;$BE97,TRUE,FALSE))</f>
        <v>0</v>
      </c>
      <c r="AQ97" s="903" t="b">
        <f>IF(AND(E97="no",N97=""),TRUE,FALSE)</f>
        <v>0</v>
      </c>
      <c r="AR97" s="903" t="b">
        <f>IF(AND(E97="no",P97=""),TRUE,FALSE)</f>
        <v>0</v>
      </c>
      <c r="AS97" s="903" t="b">
        <f>IF(P97="",FALSE,IF(P97&lt;BM97,TRUE,FALSE))</f>
        <v>0</v>
      </c>
      <c r="AT97" s="903" t="b">
        <f>IF(P97="",FALSE,IF(P97&gt;BaseYear,TRUE,FALSE))</f>
        <v>0</v>
      </c>
      <c r="AU97" s="903" t="b">
        <f>IF(AND(E97="no",V97=""),TRUE,FALSE)</f>
        <v>0</v>
      </c>
      <c r="AV97" s="903" t="b">
        <f>IF(V97="",FALSE,IF(OR(V97&gt;1,V97&lt;0),TRUE,FALSE))</f>
        <v>0</v>
      </c>
      <c r="AW97" s="903" t="b">
        <f>IF($N97="",FALSE,IF($N97&lt;$BK97,TRUE,FALSE))</f>
        <v>0</v>
      </c>
      <c r="AX97" s="903" t="b">
        <f>IF($N97="",FALSE,IF($N97&gt;$BL97,TRUE,FALSE))</f>
        <v>0</v>
      </c>
      <c r="AY97" s="889" t="b">
        <f>IF(AND(E97="no",X97=""),TRUE,FALSE)</f>
        <v>0</v>
      </c>
      <c r="AZ97" s="889" t="b">
        <f>IF(OR(AD97="missing info.",AD97=""),FALSE,IF(AD97&lt;BN97,TRUE,FALSE))</f>
        <v>0</v>
      </c>
      <c r="BA97" s="890" t="b">
        <f>IF(OR(AD97="missing info.",AD97=""),FALSE,IF(AD97&gt;BO97,TRUE,FALSE))</f>
        <v>0</v>
      </c>
      <c r="BB97" s="890" t="b">
        <f>IF(AND(E97="no",Z97=""),TRUE,FALSE)</f>
        <v>0</v>
      </c>
      <c r="BC97" s="894" t="b">
        <f>IF(Z97="",FALSE,IF(OR(Z97&gt;BaseYear,Z97&lt;BM97),TRUE,FALSE))</f>
        <v>0</v>
      </c>
      <c r="BD97" s="897" t="str">
        <f>IFERROR(VLOOKUP(H97,Valid!$B$94:$N$96,3,FALSE), "")</f>
        <v/>
      </c>
      <c r="BE97" s="898" t="str">
        <f>IFERROR(VLOOKUP(H97,Valid!$B$94:$N$96,4,FALSE), "")</f>
        <v/>
      </c>
      <c r="BF97" s="897" t="str">
        <f t="shared" si="12"/>
        <v/>
      </c>
      <c r="BG97" s="897" t="str">
        <f t="shared" ca="1" si="13"/>
        <v/>
      </c>
      <c r="BH97" s="1860">
        <f>N97</f>
        <v>0</v>
      </c>
      <c r="BI97" s="1547" t="str">
        <f t="shared" ca="1" si="14"/>
        <v/>
      </c>
      <c r="BJ97" s="898" t="str">
        <f ca="1">IF(BI97="", "", IF(1+(BI97*4)&lt;1, 1, 1+(BI97*4)))</f>
        <v/>
      </c>
      <c r="BK97" s="898" t="str">
        <f t="shared" si="16"/>
        <v/>
      </c>
      <c r="BL97" s="898" t="str">
        <f t="shared" si="16"/>
        <v/>
      </c>
      <c r="BM97" s="1710" t="str">
        <f t="shared" si="16"/>
        <v/>
      </c>
      <c r="BN97" s="1205" t="str">
        <f>IFERROR(VLOOKUP(H97,Valid!$B$94:$N$96,12,FALSE), "")</f>
        <v/>
      </c>
      <c r="BO97" s="1205" t="str">
        <f>IFERROR(VLOOKUP(H97,Valid!$B$94:$N$96,13,FALSE), "")</f>
        <v/>
      </c>
      <c r="BP97" s="894"/>
      <c r="BQ97" s="894"/>
    </row>
    <row r="98" spans="1:69" s="894" customFormat="1" ht="6.75" customHeight="1" thickBot="1" x14ac:dyDescent="0.25">
      <c r="A98" s="1516"/>
      <c r="B98" s="1530">
        <v>43.5</v>
      </c>
      <c r="C98" s="1471"/>
      <c r="D98" s="1541"/>
      <c r="E98" s="1057"/>
      <c r="F98" s="170"/>
      <c r="G98" s="170"/>
      <c r="H98" s="170"/>
      <c r="I98" s="170"/>
      <c r="J98" s="170"/>
      <c r="K98" s="170"/>
      <c r="L98" s="1031"/>
      <c r="M98" s="170"/>
      <c r="N98" s="1031"/>
      <c r="O98" s="892"/>
      <c r="P98" s="836"/>
      <c r="Q98" s="1709"/>
      <c r="R98" s="1806"/>
      <c r="S98" s="1709"/>
      <c r="T98" s="1962"/>
      <c r="U98" s="1709"/>
      <c r="V98" s="1806"/>
      <c r="W98" s="1709"/>
      <c r="X98" s="1027"/>
      <c r="Y98" s="892"/>
      <c r="Z98" s="893"/>
      <c r="AA98" s="892" t="str">
        <f t="shared" si="15"/>
        <v/>
      </c>
      <c r="AB98" s="1030"/>
      <c r="AC98" s="1622"/>
      <c r="AD98" s="1030"/>
      <c r="AF98" s="895"/>
      <c r="AG98" s="896"/>
      <c r="AJ98" s="900"/>
      <c r="AK98" s="1624"/>
      <c r="AO98" s="1152"/>
      <c r="AP98" s="1152"/>
      <c r="AQ98" s="1152"/>
      <c r="AR98" s="1152"/>
      <c r="AS98" s="1152"/>
      <c r="AT98" s="1152"/>
      <c r="AU98" s="1152"/>
      <c r="AV98" s="1152"/>
      <c r="AW98" s="1152"/>
      <c r="AX98" s="1152"/>
      <c r="AY98" s="1448"/>
      <c r="AZ98" s="1448"/>
      <c r="BA98" s="846"/>
      <c r="BB98" s="846"/>
      <c r="BD98" s="897" t="str">
        <f>IFERROR(VLOOKUP(H98,Valid!$B$94:$N$96,3,FALSE), "")</f>
        <v/>
      </c>
      <c r="BE98" s="898" t="str">
        <f>IFERROR(VLOOKUP(H98,Valid!$B$94:$N$96,4,FALSE), "")</f>
        <v/>
      </c>
      <c r="BF98" s="897" t="str">
        <f t="shared" si="12"/>
        <v/>
      </c>
      <c r="BG98" s="897" t="str">
        <f t="shared" ca="1" si="13"/>
        <v/>
      </c>
      <c r="BH98" s="1860" t="str">
        <f>IFERROR(VLOOKUP($H98,val_equip_assets,BH$4,FALSE), "")</f>
        <v/>
      </c>
      <c r="BI98" s="1547" t="str">
        <f t="shared" ca="1" si="14"/>
        <v/>
      </c>
      <c r="BJ98" s="898" t="str">
        <f ca="1">IF(BI98="", "", IF(BI98&lt;0.1, 5, IF(BI98&lt;0.25, 4, IF(BI98&lt;0.5, 3, IF(BI98&lt;0.75, 2, 1)))))</f>
        <v/>
      </c>
      <c r="BK98" s="898" t="str">
        <f t="shared" si="16"/>
        <v/>
      </c>
      <c r="BL98" s="898" t="str">
        <f t="shared" si="16"/>
        <v/>
      </c>
      <c r="BM98" s="1710" t="str">
        <f t="shared" si="16"/>
        <v/>
      </c>
      <c r="BN98" s="1205" t="str">
        <f>IFERROR(VLOOKUP(H98,Valid!$B$94:$N$96,12,FALSE), "")</f>
        <v/>
      </c>
      <c r="BO98" s="1205" t="str">
        <f>IFERROR(VLOOKUP(H98,Valid!$B$94:$N$96,13,FALSE), "")</f>
        <v/>
      </c>
    </row>
    <row r="99" spans="1:69" s="901" customFormat="1" x14ac:dyDescent="0.2">
      <c r="A99" s="206">
        <v>44</v>
      </c>
      <c r="B99" s="1530">
        <v>44</v>
      </c>
      <c r="C99" s="1703"/>
      <c r="D99" s="1248" t="str">
        <f>IF(C97="","",IF(C99="","Enter Service Fleet Description then Fill in columns "&amp;TEXT($H$2,0)&amp;" - "&amp;TEXT($Z$2,0)&amp;"                 ",""))</f>
        <v/>
      </c>
      <c r="E99" s="1245" t="str">
        <f>IF(AK99="N/A","",AK99)</f>
        <v/>
      </c>
      <c r="F99" s="170"/>
      <c r="G99" s="170"/>
      <c r="H99" s="1704"/>
      <c r="I99" s="1246" t="str">
        <f>IF(AND(E99="No",H99=""),"Select Type of Vehicle                        ","")</f>
        <v/>
      </c>
      <c r="J99" s="1247"/>
      <c r="K99" s="1246" t="str">
        <f>IF(AND(C99="No",H99=""),"Number of Vehicles?  ","")</f>
        <v/>
      </c>
      <c r="L99" s="1782" t="str">
        <f>IFERROR(VLOOKUP($H99,val_equip_assets,BH$4,FALSE), "")</f>
        <v/>
      </c>
      <c r="M99" s="1246"/>
      <c r="N99" s="1247"/>
      <c r="O99" s="892" t="str">
        <f>IF(H99="","",IF(AND(E99="No",N99=""),TEXT(BH99,0)&amp;" Years?   ",""))</f>
        <v/>
      </c>
      <c r="P99" s="1705"/>
      <c r="Q99" s="1706" t="str">
        <f>IF(AND(E99="No",P99=""),"Enter Manufact. Yr.     ","")</f>
        <v/>
      </c>
      <c r="R99" s="1952" t="str">
        <f ca="1">BI99</f>
        <v/>
      </c>
      <c r="S99" s="1706"/>
      <c r="T99" s="1963" t="str">
        <f ca="1">BJ99</f>
        <v/>
      </c>
      <c r="U99" s="1706"/>
      <c r="V99" s="1675"/>
      <c r="W99" s="892" t="str">
        <f>IF(AND(E99="No",V99=""),"% of Cap. Resp.    ","")</f>
        <v/>
      </c>
      <c r="X99" s="1655"/>
      <c r="Y99" s="892" t="str">
        <f>IF(AND(E99="No",X99=""),"Estimated $?   ","")</f>
        <v/>
      </c>
      <c r="Z99" s="1707"/>
      <c r="AA99" s="892" t="str">
        <f t="shared" si="15"/>
        <v/>
      </c>
      <c r="AB99" s="1026" t="str">
        <f>IF(E99="","",IF(OR($X99="",$Z99=""),"missing info.",$X99*VLOOKUP($Z99,Inflate,$BF99+1,FALSE)))</f>
        <v/>
      </c>
      <c r="AC99" s="1622"/>
      <c r="AD99" s="1026" t="str">
        <f>IF(E99="","",IF(J99="","missing info.",IF(AB99="missing info.","missing info.",AB99/J99)))</f>
        <v/>
      </c>
      <c r="AE99" s="839"/>
      <c r="AF99" s="1708"/>
      <c r="AG99" s="896"/>
      <c r="AH99" s="894"/>
      <c r="AI99" s="894" t="b">
        <f>IF(AND(C101&lt;&gt;"",C99=""),TRUE,FALSE)</f>
        <v>0</v>
      </c>
      <c r="AJ99" s="902" t="b">
        <f>IF(AND(N99="",P99&lt;&gt;""),TRUE,FALSE)</f>
        <v>0</v>
      </c>
      <c r="AK99" s="720" t="str">
        <f>IF(AND(J99="",AF99="",Z99="",X99="",V99="",N99="",H99="",P99="",C99=""),"N/A",IF(AND(C99&lt;&gt;"",J99&lt;&gt;"",N99&lt;&gt;"",H99&lt;&gt;"",P99&lt;&gt;"",V99&lt;&gt;"",X99&lt;&gt;"",Z99&lt;&gt;""),"Yes","No"))</f>
        <v>N/A</v>
      </c>
      <c r="AL99" s="720" t="b">
        <f>IF(AND(C99="",E99="no"),TRUE,FALSE)</f>
        <v>0</v>
      </c>
      <c r="AM99" s="720" t="b">
        <f>IF(AND(E99="no",H99=""),TRUE,FALSE)</f>
        <v>0</v>
      </c>
      <c r="AN99" s="720" t="b">
        <f>IF(AND(E99="no",H99=""),TRUE,FALSE)</f>
        <v>0</v>
      </c>
      <c r="AO99" s="903" t="b">
        <f>IF($J99="",FALSE,IF($J99&lt;$BD99,TRUE,FALSE))</f>
        <v>0</v>
      </c>
      <c r="AP99" s="903" t="b">
        <f>IF($J99="",FALSE,IF($J99&gt;$BE99,TRUE,FALSE))</f>
        <v>0</v>
      </c>
      <c r="AQ99" s="903" t="b">
        <f>IF(AND(E99="no",N99=""),TRUE,FALSE)</f>
        <v>0</v>
      </c>
      <c r="AR99" s="903" t="b">
        <f>IF(AND(E99="no",P99=""),TRUE,FALSE)</f>
        <v>0</v>
      </c>
      <c r="AS99" s="903" t="b">
        <f>IF(P99="",FALSE,IF(P99&lt;BM99,TRUE,FALSE))</f>
        <v>0</v>
      </c>
      <c r="AT99" s="903" t="b">
        <f>IF(P99="",FALSE,IF(P99&gt;BaseYear,TRUE,FALSE))</f>
        <v>0</v>
      </c>
      <c r="AU99" s="903" t="b">
        <f>IF(AND(E99="no",V99=""),TRUE,FALSE)</f>
        <v>0</v>
      </c>
      <c r="AV99" s="903" t="b">
        <f>IF(V99="",FALSE,IF(OR(V99&gt;1,V99&lt;0),TRUE,FALSE))</f>
        <v>0</v>
      </c>
      <c r="AW99" s="903" t="b">
        <f>IF($N99="",FALSE,IF($N99&lt;$BK99,TRUE,FALSE))</f>
        <v>0</v>
      </c>
      <c r="AX99" s="903" t="b">
        <f>IF($N99="",FALSE,IF($N99&gt;$BL99,TRUE,FALSE))</f>
        <v>0</v>
      </c>
      <c r="AY99" s="889" t="b">
        <f>IF(AND(E99="no",X99=""),TRUE,FALSE)</f>
        <v>0</v>
      </c>
      <c r="AZ99" s="889" t="b">
        <f>IF(OR(AD99="missing info.",AD99=""),FALSE,IF(AD99&lt;BN99,TRUE,FALSE))</f>
        <v>0</v>
      </c>
      <c r="BA99" s="890" t="b">
        <f>IF(OR(AD99="missing info.",AD99=""),FALSE,IF(AD99&gt;BO99,TRUE,FALSE))</f>
        <v>0</v>
      </c>
      <c r="BB99" s="890" t="b">
        <f>IF(AND(E99="no",Z99=""),TRUE,FALSE)</f>
        <v>0</v>
      </c>
      <c r="BC99" s="894" t="b">
        <f>IF(Z99="",FALSE,IF(OR(Z99&gt;BaseYear,Z99&lt;BM99),TRUE,FALSE))</f>
        <v>0</v>
      </c>
      <c r="BD99" s="897" t="str">
        <f>IFERROR(VLOOKUP(H99,Valid!$B$94:$N$96,3,FALSE), "")</f>
        <v/>
      </c>
      <c r="BE99" s="898" t="str">
        <f>IFERROR(VLOOKUP(H99,Valid!$B$94:$N$96,4,FALSE), "")</f>
        <v/>
      </c>
      <c r="BF99" s="897" t="str">
        <f t="shared" si="12"/>
        <v/>
      </c>
      <c r="BG99" s="897" t="str">
        <f t="shared" ca="1" si="13"/>
        <v/>
      </c>
      <c r="BH99" s="1860">
        <f>N99</f>
        <v>0</v>
      </c>
      <c r="BI99" s="1547" t="str">
        <f t="shared" ca="1" si="14"/>
        <v/>
      </c>
      <c r="BJ99" s="898" t="str">
        <f ca="1">IF(BI99="", "", IF(1+(BI99*4)&lt;1, 1, 1+(BI99*4)))</f>
        <v/>
      </c>
      <c r="BK99" s="898" t="str">
        <f t="shared" si="16"/>
        <v/>
      </c>
      <c r="BL99" s="898" t="str">
        <f t="shared" si="16"/>
        <v/>
      </c>
      <c r="BM99" s="1710" t="str">
        <f t="shared" si="16"/>
        <v/>
      </c>
      <c r="BN99" s="1205" t="str">
        <f>IFERROR(VLOOKUP(H99,Valid!$B$94:$N$96,12,FALSE), "")</f>
        <v/>
      </c>
      <c r="BO99" s="1205" t="str">
        <f>IFERROR(VLOOKUP(H99,Valid!$B$94:$N$96,13,FALSE), "")</f>
        <v/>
      </c>
      <c r="BP99" s="894"/>
      <c r="BQ99" s="894"/>
    </row>
    <row r="100" spans="1:69" s="894" customFormat="1" ht="6.75" customHeight="1" thickBot="1" x14ac:dyDescent="0.25">
      <c r="A100" s="1516"/>
      <c r="B100" s="1530">
        <v>44.5</v>
      </c>
      <c r="C100" s="1471"/>
      <c r="D100" s="1541"/>
      <c r="E100" s="1057"/>
      <c r="F100" s="170"/>
      <c r="G100" s="170"/>
      <c r="H100" s="170"/>
      <c r="I100" s="170"/>
      <c r="J100" s="170"/>
      <c r="K100" s="170"/>
      <c r="L100" s="1031"/>
      <c r="M100" s="170"/>
      <c r="N100" s="1031"/>
      <c r="O100" s="892"/>
      <c r="P100" s="836"/>
      <c r="Q100" s="1709"/>
      <c r="R100" s="1806"/>
      <c r="S100" s="1709"/>
      <c r="T100" s="1962"/>
      <c r="U100" s="1709"/>
      <c r="V100" s="1806"/>
      <c r="W100" s="1709"/>
      <c r="X100" s="1027"/>
      <c r="Y100" s="892"/>
      <c r="Z100" s="893"/>
      <c r="AA100" s="892" t="str">
        <f t="shared" si="15"/>
        <v/>
      </c>
      <c r="AB100" s="1030"/>
      <c r="AC100" s="1622"/>
      <c r="AD100" s="1030"/>
      <c r="AF100" s="895"/>
      <c r="AG100" s="896"/>
      <c r="AJ100" s="900"/>
      <c r="AK100" s="1624"/>
      <c r="AO100" s="1152"/>
      <c r="AP100" s="1152"/>
      <c r="AQ100" s="1152"/>
      <c r="AR100" s="1152"/>
      <c r="AS100" s="1152"/>
      <c r="AT100" s="1152"/>
      <c r="AU100" s="1152"/>
      <c r="AV100" s="1152"/>
      <c r="AW100" s="1152"/>
      <c r="AX100" s="1152"/>
      <c r="AY100" s="1448"/>
      <c r="AZ100" s="1448"/>
      <c r="BA100" s="846"/>
      <c r="BB100" s="846"/>
      <c r="BD100" s="897" t="str">
        <f>IFERROR(VLOOKUP(H100,Valid!$B$94:$N$96,3,FALSE), "")</f>
        <v/>
      </c>
      <c r="BE100" s="898" t="str">
        <f>IFERROR(VLOOKUP(H100,Valid!$B$94:$N$96,4,FALSE), "")</f>
        <v/>
      </c>
      <c r="BF100" s="897" t="str">
        <f t="shared" si="12"/>
        <v/>
      </c>
      <c r="BG100" s="897" t="str">
        <f t="shared" ca="1" si="13"/>
        <v/>
      </c>
      <c r="BH100" s="1860" t="str">
        <f>IFERROR(VLOOKUP($H100,val_equip_assets,BH$4,FALSE), "")</f>
        <v/>
      </c>
      <c r="BI100" s="1547" t="str">
        <f t="shared" ca="1" si="14"/>
        <v/>
      </c>
      <c r="BJ100" s="898" t="str">
        <f ca="1">IF(BI100="", "", IF(BI100&lt;0.1, 5, IF(BI100&lt;0.25, 4, IF(BI100&lt;0.5, 3, IF(BI100&lt;0.75, 2, 1)))))</f>
        <v/>
      </c>
      <c r="BK100" s="898" t="str">
        <f t="shared" si="16"/>
        <v/>
      </c>
      <c r="BL100" s="898" t="str">
        <f t="shared" si="16"/>
        <v/>
      </c>
      <c r="BM100" s="1710" t="str">
        <f t="shared" si="16"/>
        <v/>
      </c>
      <c r="BN100" s="1205" t="str">
        <f>IFERROR(VLOOKUP(H100,Valid!$B$94:$N$96,12,FALSE), "")</f>
        <v/>
      </c>
      <c r="BO100" s="1205" t="str">
        <f>IFERROR(VLOOKUP(H100,Valid!$B$94:$N$96,13,FALSE), "")</f>
        <v/>
      </c>
    </row>
    <row r="101" spans="1:69" s="901" customFormat="1" x14ac:dyDescent="0.2">
      <c r="A101" s="206">
        <v>45</v>
      </c>
      <c r="B101" s="1530">
        <v>45</v>
      </c>
      <c r="C101" s="1703"/>
      <c r="D101" s="1248" t="str">
        <f>IF(C99="","",IF(C101="","Enter Service Fleet Description then Fill in columns "&amp;TEXT($H$2,0)&amp;" - "&amp;TEXT($Z$2,0)&amp;"                 ",""))</f>
        <v/>
      </c>
      <c r="E101" s="1245" t="str">
        <f>IF(AK101="N/A","",AK101)</f>
        <v/>
      </c>
      <c r="F101" s="170"/>
      <c r="G101" s="170"/>
      <c r="H101" s="1704"/>
      <c r="I101" s="1246" t="str">
        <f>IF(AND(E101="No",H101=""),"Select Type of Vehicle                        ","")</f>
        <v/>
      </c>
      <c r="J101" s="1247"/>
      <c r="K101" s="1246" t="str">
        <f>IF(AND(C101="No",H101=""),"Number of Vehicles?  ","")</f>
        <v/>
      </c>
      <c r="L101" s="1782" t="str">
        <f>IFERROR(VLOOKUP($H101,val_equip_assets,BH$4,FALSE), "")</f>
        <v/>
      </c>
      <c r="M101" s="1246"/>
      <c r="N101" s="1247"/>
      <c r="O101" s="892" t="str">
        <f>IF(H101="","",IF(AND(E101="No",N101=""),TEXT(BH101,0)&amp;" Years?   ",""))</f>
        <v/>
      </c>
      <c r="P101" s="1705"/>
      <c r="Q101" s="1706" t="str">
        <f>IF(AND(E101="No",P101=""),"Enter Manufact. Yr.     ","")</f>
        <v/>
      </c>
      <c r="R101" s="1952" t="str">
        <f ca="1">BI101</f>
        <v/>
      </c>
      <c r="S101" s="1706"/>
      <c r="T101" s="1963" t="str">
        <f ca="1">BJ101</f>
        <v/>
      </c>
      <c r="U101" s="1706"/>
      <c r="V101" s="1675"/>
      <c r="W101" s="892" t="str">
        <f>IF(AND(E101="No",V101=""),"% of Cap. Resp.    ","")</f>
        <v/>
      </c>
      <c r="X101" s="1655"/>
      <c r="Y101" s="892" t="str">
        <f>IF(AND(E101="No",X101=""),"Estimated $?   ","")</f>
        <v/>
      </c>
      <c r="Z101" s="1707"/>
      <c r="AA101" s="892" t="str">
        <f t="shared" si="15"/>
        <v/>
      </c>
      <c r="AB101" s="1026" t="str">
        <f>IF(E101="","",IF(OR($X101="",$Z101=""),"missing info.",$X101*VLOOKUP($Z101,Inflate,$BF101+1,FALSE)))</f>
        <v/>
      </c>
      <c r="AC101" s="1622"/>
      <c r="AD101" s="1026" t="str">
        <f>IF(E101="","",IF(J101="","missing info.",IF(AB101="missing info.","missing info.",AB101/J101)))</f>
        <v/>
      </c>
      <c r="AE101" s="839"/>
      <c r="AF101" s="1708"/>
      <c r="AG101" s="896"/>
      <c r="AH101" s="894"/>
      <c r="AI101" s="894" t="b">
        <f>IF(AND(C103&lt;&gt;"",C101=""),TRUE,FALSE)</f>
        <v>0</v>
      </c>
      <c r="AJ101" s="902" t="b">
        <f>IF(AND(N101="",P101&lt;&gt;""),TRUE,FALSE)</f>
        <v>0</v>
      </c>
      <c r="AK101" s="720" t="str">
        <f>IF(AND(J101="",AF101="",Z101="",X101="",V101="",N101="",H101="",P101="",C101=""),"N/A",IF(AND(C101&lt;&gt;"",J101&lt;&gt;"",N101&lt;&gt;"",H101&lt;&gt;"",P101&lt;&gt;"",V101&lt;&gt;"",X101&lt;&gt;"",Z101&lt;&gt;""),"Yes","No"))</f>
        <v>N/A</v>
      </c>
      <c r="AL101" s="720" t="b">
        <f>IF(AND(C101="",E101="no"),TRUE,FALSE)</f>
        <v>0</v>
      </c>
      <c r="AM101" s="720" t="b">
        <f>IF(AND(E101="no",H101=""),TRUE,FALSE)</f>
        <v>0</v>
      </c>
      <c r="AN101" s="720" t="b">
        <f>IF(AND(E101="no",H101=""),TRUE,FALSE)</f>
        <v>0</v>
      </c>
      <c r="AO101" s="903" t="b">
        <f>IF($J101="",FALSE,IF($J101&lt;$BD101,TRUE,FALSE))</f>
        <v>0</v>
      </c>
      <c r="AP101" s="903" t="b">
        <f>IF($J101="",FALSE,IF($J101&gt;$BE101,TRUE,FALSE))</f>
        <v>0</v>
      </c>
      <c r="AQ101" s="903" t="b">
        <f>IF(AND(E101="no",N101=""),TRUE,FALSE)</f>
        <v>0</v>
      </c>
      <c r="AR101" s="903" t="b">
        <f>IF(AND(E101="no",P101=""),TRUE,FALSE)</f>
        <v>0</v>
      </c>
      <c r="AS101" s="903" t="b">
        <f>IF(P101="",FALSE,IF(P101&lt;BM101,TRUE,FALSE))</f>
        <v>0</v>
      </c>
      <c r="AT101" s="903" t="b">
        <f>IF(P101="",FALSE,IF(P101&gt;BaseYear,TRUE,FALSE))</f>
        <v>0</v>
      </c>
      <c r="AU101" s="903" t="b">
        <f>IF(AND(E101="no",V101=""),TRUE,FALSE)</f>
        <v>0</v>
      </c>
      <c r="AV101" s="903" t="b">
        <f>IF(V101="",FALSE,IF(OR(V101&gt;1,V101&lt;0),TRUE,FALSE))</f>
        <v>0</v>
      </c>
      <c r="AW101" s="903" t="b">
        <f>IF($N101="",FALSE,IF($N101&lt;$BK101,TRUE,FALSE))</f>
        <v>0</v>
      </c>
      <c r="AX101" s="903" t="b">
        <f>IF($N101="",FALSE,IF($N101&gt;$BL101,TRUE,FALSE))</f>
        <v>0</v>
      </c>
      <c r="AY101" s="889" t="b">
        <f>IF(AND(E101="no",X101=""),TRUE,FALSE)</f>
        <v>0</v>
      </c>
      <c r="AZ101" s="889" t="b">
        <f>IF(OR(AD101="missing info.",AD101=""),FALSE,IF(AD101&lt;BN101,TRUE,FALSE))</f>
        <v>0</v>
      </c>
      <c r="BA101" s="890" t="b">
        <f>IF(OR(AD101="missing info.",AD101=""),FALSE,IF(AD101&gt;BO101,TRUE,FALSE))</f>
        <v>0</v>
      </c>
      <c r="BB101" s="890" t="b">
        <f>IF(AND(E101="no",Z101=""),TRUE,FALSE)</f>
        <v>0</v>
      </c>
      <c r="BC101" s="894" t="b">
        <f>IF(Z101="",FALSE,IF(OR(Z101&gt;BaseYear,Z101&lt;BM101),TRUE,FALSE))</f>
        <v>0</v>
      </c>
      <c r="BD101" s="897" t="str">
        <f>IFERROR(VLOOKUP(H101,Valid!$B$94:$N$96,3,FALSE), "")</f>
        <v/>
      </c>
      <c r="BE101" s="898" t="str">
        <f>IFERROR(VLOOKUP(H101,Valid!$B$94:$N$96,4,FALSE), "")</f>
        <v/>
      </c>
      <c r="BF101" s="897" t="str">
        <f t="shared" si="12"/>
        <v/>
      </c>
      <c r="BG101" s="897" t="str">
        <f t="shared" ca="1" si="13"/>
        <v/>
      </c>
      <c r="BH101" s="1860">
        <f>N101</f>
        <v>0</v>
      </c>
      <c r="BI101" s="1547" t="str">
        <f t="shared" ca="1" si="14"/>
        <v/>
      </c>
      <c r="BJ101" s="898" t="str">
        <f ca="1">IF(BI101="", "", IF(1+(BI101*4)&lt;1, 1, 1+(BI101*4)))</f>
        <v/>
      </c>
      <c r="BK101" s="898" t="str">
        <f t="shared" si="16"/>
        <v/>
      </c>
      <c r="BL101" s="898" t="str">
        <f t="shared" si="16"/>
        <v/>
      </c>
      <c r="BM101" s="1710" t="str">
        <f t="shared" si="16"/>
        <v/>
      </c>
      <c r="BN101" s="1205" t="str">
        <f>IFERROR(VLOOKUP(H101,Valid!$B$94:$N$96,12,FALSE), "")</f>
        <v/>
      </c>
      <c r="BO101" s="1205" t="str">
        <f>IFERROR(VLOOKUP(H101,Valid!$B$94:$N$96,13,FALSE), "")</f>
        <v/>
      </c>
      <c r="BP101" s="894"/>
      <c r="BQ101" s="894"/>
    </row>
    <row r="102" spans="1:69" s="894" customFormat="1" ht="6.75" customHeight="1" thickBot="1" x14ac:dyDescent="0.25">
      <c r="A102" s="1516"/>
      <c r="B102" s="1530">
        <v>45.5</v>
      </c>
      <c r="C102" s="1471"/>
      <c r="D102" s="1541"/>
      <c r="E102" s="1057"/>
      <c r="F102" s="170"/>
      <c r="G102" s="170"/>
      <c r="H102" s="170"/>
      <c r="I102" s="170"/>
      <c r="J102" s="170"/>
      <c r="K102" s="170"/>
      <c r="L102" s="1031"/>
      <c r="M102" s="170"/>
      <c r="N102" s="1031"/>
      <c r="O102" s="892"/>
      <c r="P102" s="836"/>
      <c r="Q102" s="1709"/>
      <c r="R102" s="1806"/>
      <c r="S102" s="1709"/>
      <c r="T102" s="1962"/>
      <c r="U102" s="1709"/>
      <c r="V102" s="1806"/>
      <c r="W102" s="1709"/>
      <c r="X102" s="1027"/>
      <c r="Y102" s="892"/>
      <c r="Z102" s="893"/>
      <c r="AA102" s="892" t="str">
        <f t="shared" si="15"/>
        <v/>
      </c>
      <c r="AB102" s="1030"/>
      <c r="AC102" s="1622"/>
      <c r="AD102" s="1030"/>
      <c r="AF102" s="895"/>
      <c r="AG102" s="896"/>
      <c r="AJ102" s="900"/>
      <c r="AK102" s="1624"/>
      <c r="AO102" s="1152"/>
      <c r="AP102" s="1152"/>
      <c r="AQ102" s="1152"/>
      <c r="AR102" s="1152"/>
      <c r="AS102" s="1152"/>
      <c r="AT102" s="1152"/>
      <c r="AU102" s="1152"/>
      <c r="AV102" s="1152"/>
      <c r="AW102" s="1152"/>
      <c r="AX102" s="1152"/>
      <c r="AY102" s="1448"/>
      <c r="AZ102" s="1448"/>
      <c r="BA102" s="846"/>
      <c r="BB102" s="846"/>
      <c r="BD102" s="897" t="str">
        <f>IFERROR(VLOOKUP(H102,Valid!$B$94:$N$96,3,FALSE), "")</f>
        <v/>
      </c>
      <c r="BE102" s="898" t="str">
        <f>IFERROR(VLOOKUP(H102,Valid!$B$94:$N$96,4,FALSE), "")</f>
        <v/>
      </c>
      <c r="BF102" s="897" t="str">
        <f t="shared" si="12"/>
        <v/>
      </c>
      <c r="BG102" s="897" t="str">
        <f t="shared" ca="1" si="13"/>
        <v/>
      </c>
      <c r="BH102" s="1860" t="str">
        <f>IFERROR(VLOOKUP($H102,val_equip_assets,BH$4,FALSE), "")</f>
        <v/>
      </c>
      <c r="BI102" s="1547" t="str">
        <f t="shared" ca="1" si="14"/>
        <v/>
      </c>
      <c r="BJ102" s="898" t="str">
        <f ca="1">IF(BI102="", "", IF(BI102&lt;0.1, 5, IF(BI102&lt;0.25, 4, IF(BI102&lt;0.5, 3, IF(BI102&lt;0.75, 2, 1)))))</f>
        <v/>
      </c>
      <c r="BK102" s="898" t="str">
        <f t="shared" si="16"/>
        <v/>
      </c>
      <c r="BL102" s="898" t="str">
        <f t="shared" si="16"/>
        <v/>
      </c>
      <c r="BM102" s="1710" t="str">
        <f t="shared" si="16"/>
        <v/>
      </c>
      <c r="BN102" s="1205" t="str">
        <f>IFERROR(VLOOKUP(H102,Valid!$B$94:$N$96,12,FALSE), "")</f>
        <v/>
      </c>
      <c r="BO102" s="1205" t="str">
        <f>IFERROR(VLOOKUP(H102,Valid!$B$94:$N$96,13,FALSE), "")</f>
        <v/>
      </c>
    </row>
    <row r="103" spans="1:69" s="901" customFormat="1" x14ac:dyDescent="0.2">
      <c r="A103" s="206">
        <v>46</v>
      </c>
      <c r="B103" s="1530">
        <v>46</v>
      </c>
      <c r="C103" s="1703"/>
      <c r="D103" s="1248" t="str">
        <f>IF(C101="","",IF(C103="","Enter Service Fleet Description then Fill in columns "&amp;TEXT($H$2,0)&amp;" - "&amp;TEXT($Z$2,0)&amp;"                 ",""))</f>
        <v/>
      </c>
      <c r="E103" s="1245" t="str">
        <f>IF(AK103="N/A","",AK103)</f>
        <v/>
      </c>
      <c r="F103" s="170"/>
      <c r="G103" s="170"/>
      <c r="H103" s="1704"/>
      <c r="I103" s="1246" t="str">
        <f>IF(AND(E103="No",H103=""),"Select Type of Vehicle                        ","")</f>
        <v/>
      </c>
      <c r="J103" s="1247"/>
      <c r="K103" s="1246" t="str">
        <f>IF(AND(C103="No",H103=""),"Number of Vehicles?  ","")</f>
        <v/>
      </c>
      <c r="L103" s="1782" t="str">
        <f>IFERROR(VLOOKUP($H103,val_equip_assets,BH$4,FALSE), "")</f>
        <v/>
      </c>
      <c r="M103" s="1246"/>
      <c r="N103" s="1247"/>
      <c r="O103" s="892" t="str">
        <f>IF(H103="","",IF(AND(E103="No",N103=""),TEXT(BH103,0)&amp;" Years?   ",""))</f>
        <v/>
      </c>
      <c r="P103" s="1705"/>
      <c r="Q103" s="1706" t="str">
        <f>IF(AND(E103="No",P103=""),"Enter Manufact. Yr.     ","")</f>
        <v/>
      </c>
      <c r="R103" s="1952" t="str">
        <f ca="1">BI103</f>
        <v/>
      </c>
      <c r="S103" s="1706"/>
      <c r="T103" s="1963" t="str">
        <f ca="1">BJ103</f>
        <v/>
      </c>
      <c r="U103" s="1706"/>
      <c r="V103" s="1675"/>
      <c r="W103" s="892" t="str">
        <f>IF(AND(E103="No",V103=""),"% of Cap. Resp.    ","")</f>
        <v/>
      </c>
      <c r="X103" s="1655"/>
      <c r="Y103" s="892" t="str">
        <f>IF(AND(E103="No",X103=""),"Estimated $?   ","")</f>
        <v/>
      </c>
      <c r="Z103" s="1707"/>
      <c r="AA103" s="892" t="str">
        <f t="shared" si="15"/>
        <v/>
      </c>
      <c r="AB103" s="1026" t="str">
        <f>IF(E103="","",IF(OR($X103="",$Z103=""),"missing info.",$X103*VLOOKUP($Z103,Inflate,$BF103+1,FALSE)))</f>
        <v/>
      </c>
      <c r="AC103" s="1622"/>
      <c r="AD103" s="1026" t="str">
        <f>IF(E103="","",IF(J103="","missing info.",IF(AB103="missing info.","missing info.",AB103/J103)))</f>
        <v/>
      </c>
      <c r="AE103" s="839"/>
      <c r="AF103" s="1708"/>
      <c r="AG103" s="896"/>
      <c r="AH103" s="894"/>
      <c r="AI103" s="894" t="b">
        <f>IF(AND(C105&lt;&gt;"",C103=""),TRUE,FALSE)</f>
        <v>0</v>
      </c>
      <c r="AJ103" s="902" t="b">
        <f>IF(AND(N103="",P103&lt;&gt;""),TRUE,FALSE)</f>
        <v>0</v>
      </c>
      <c r="AK103" s="720" t="str">
        <f>IF(AND(J103="",AF103="",Z103="",X103="",V103="",N103="",H103="",P103="",C103=""),"N/A",IF(AND(C103&lt;&gt;"",J103&lt;&gt;"",N103&lt;&gt;"",H103&lt;&gt;"",P103&lt;&gt;"",V103&lt;&gt;"",X103&lt;&gt;"",Z103&lt;&gt;""),"Yes","No"))</f>
        <v>N/A</v>
      </c>
      <c r="AL103" s="720" t="b">
        <f>IF(AND(C103="",E103="no"),TRUE,FALSE)</f>
        <v>0</v>
      </c>
      <c r="AM103" s="720" t="b">
        <f>IF(AND(E103="no",H103=""),TRUE,FALSE)</f>
        <v>0</v>
      </c>
      <c r="AN103" s="720" t="b">
        <f>IF(AND(E103="no",H103=""),TRUE,FALSE)</f>
        <v>0</v>
      </c>
      <c r="AO103" s="903" t="b">
        <f>IF($J103="",FALSE,IF($J103&lt;$BD103,TRUE,FALSE))</f>
        <v>0</v>
      </c>
      <c r="AP103" s="903" t="b">
        <f>IF($J103="",FALSE,IF($J103&gt;$BE103,TRUE,FALSE))</f>
        <v>0</v>
      </c>
      <c r="AQ103" s="903" t="b">
        <f>IF(AND(E103="no",N103=""),TRUE,FALSE)</f>
        <v>0</v>
      </c>
      <c r="AR103" s="903" t="b">
        <f>IF(AND(E103="no",P103=""),TRUE,FALSE)</f>
        <v>0</v>
      </c>
      <c r="AS103" s="903" t="b">
        <f>IF(P103="",FALSE,IF(P103&lt;BM103,TRUE,FALSE))</f>
        <v>0</v>
      </c>
      <c r="AT103" s="903" t="b">
        <f>IF(P103="",FALSE,IF(P103&gt;BaseYear,TRUE,FALSE))</f>
        <v>0</v>
      </c>
      <c r="AU103" s="903" t="b">
        <f>IF(AND(E103="no",V103=""),TRUE,FALSE)</f>
        <v>0</v>
      </c>
      <c r="AV103" s="903" t="b">
        <f>IF(V103="",FALSE,IF(OR(V103&gt;1,V103&lt;0),TRUE,FALSE))</f>
        <v>0</v>
      </c>
      <c r="AW103" s="903" t="b">
        <f>IF($N103="",FALSE,IF($N103&lt;$BK103,TRUE,FALSE))</f>
        <v>0</v>
      </c>
      <c r="AX103" s="903" t="b">
        <f>IF($N103="",FALSE,IF($N103&gt;$BL103,TRUE,FALSE))</f>
        <v>0</v>
      </c>
      <c r="AY103" s="889" t="b">
        <f>IF(AND(E103="no",X103=""),TRUE,FALSE)</f>
        <v>0</v>
      </c>
      <c r="AZ103" s="889" t="b">
        <f>IF(OR(AD103="missing info.",AD103=""),FALSE,IF(AD103&lt;BN103,TRUE,FALSE))</f>
        <v>0</v>
      </c>
      <c r="BA103" s="890" t="b">
        <f>IF(OR(AD103="missing info.",AD103=""),FALSE,IF(AD103&gt;BO103,TRUE,FALSE))</f>
        <v>0</v>
      </c>
      <c r="BB103" s="890" t="b">
        <f>IF(AND(E103="no",Z103=""),TRUE,FALSE)</f>
        <v>0</v>
      </c>
      <c r="BC103" s="894" t="b">
        <f>IF(Z103="",FALSE,IF(OR(Z103&gt;BaseYear,Z103&lt;BM103),TRUE,FALSE))</f>
        <v>0</v>
      </c>
      <c r="BD103" s="897" t="str">
        <f>IFERROR(VLOOKUP(H103,Valid!$B$94:$N$96,3,FALSE), "")</f>
        <v/>
      </c>
      <c r="BE103" s="898" t="str">
        <f>IFERROR(VLOOKUP(H103,Valid!$B$94:$N$96,4,FALSE), "")</f>
        <v/>
      </c>
      <c r="BF103" s="897" t="str">
        <f t="shared" si="12"/>
        <v/>
      </c>
      <c r="BG103" s="897" t="str">
        <f t="shared" ca="1" si="13"/>
        <v/>
      </c>
      <c r="BH103" s="1860">
        <f>N103</f>
        <v>0</v>
      </c>
      <c r="BI103" s="1547" t="str">
        <f t="shared" ca="1" si="14"/>
        <v/>
      </c>
      <c r="BJ103" s="898" t="str">
        <f ca="1">IF(BI103="", "", IF(1+(BI103*4)&lt;1, 1, 1+(BI103*4)))</f>
        <v/>
      </c>
      <c r="BK103" s="898" t="str">
        <f t="shared" si="16"/>
        <v/>
      </c>
      <c r="BL103" s="898" t="str">
        <f t="shared" si="16"/>
        <v/>
      </c>
      <c r="BM103" s="1710" t="str">
        <f t="shared" si="16"/>
        <v/>
      </c>
      <c r="BN103" s="1205" t="str">
        <f>IFERROR(VLOOKUP(H103,Valid!$B$94:$N$96,12,FALSE), "")</f>
        <v/>
      </c>
      <c r="BO103" s="1205" t="str">
        <f>IFERROR(VLOOKUP(H103,Valid!$B$94:$N$96,13,FALSE), "")</f>
        <v/>
      </c>
      <c r="BP103" s="894"/>
      <c r="BQ103" s="894"/>
    </row>
    <row r="104" spans="1:69" s="894" customFormat="1" ht="6.75" customHeight="1" thickBot="1" x14ac:dyDescent="0.25">
      <c r="A104" s="1516"/>
      <c r="B104" s="1530">
        <v>46.5</v>
      </c>
      <c r="C104" s="1471"/>
      <c r="D104" s="1541"/>
      <c r="E104" s="1057"/>
      <c r="F104" s="170"/>
      <c r="G104" s="170"/>
      <c r="H104" s="170"/>
      <c r="I104" s="170"/>
      <c r="J104" s="170"/>
      <c r="K104" s="170"/>
      <c r="L104" s="1031"/>
      <c r="M104" s="170"/>
      <c r="N104" s="1031"/>
      <c r="O104" s="892"/>
      <c r="P104" s="836"/>
      <c r="Q104" s="1709"/>
      <c r="R104" s="1806"/>
      <c r="S104" s="1709"/>
      <c r="T104" s="1962"/>
      <c r="U104" s="1709"/>
      <c r="V104" s="1806"/>
      <c r="W104" s="1709"/>
      <c r="X104" s="1027"/>
      <c r="Y104" s="892"/>
      <c r="Z104" s="893"/>
      <c r="AA104" s="892" t="str">
        <f t="shared" si="15"/>
        <v/>
      </c>
      <c r="AB104" s="1030"/>
      <c r="AC104" s="1622"/>
      <c r="AD104" s="1030"/>
      <c r="AF104" s="895"/>
      <c r="AG104" s="896"/>
      <c r="AJ104" s="900"/>
      <c r="AK104" s="1624"/>
      <c r="AO104" s="1152"/>
      <c r="AP104" s="1152"/>
      <c r="AQ104" s="1152"/>
      <c r="AR104" s="1152"/>
      <c r="AS104" s="1152"/>
      <c r="AT104" s="1152"/>
      <c r="AU104" s="1152"/>
      <c r="AV104" s="1152"/>
      <c r="AW104" s="1152"/>
      <c r="AX104" s="1152"/>
      <c r="AY104" s="1448"/>
      <c r="AZ104" s="1448"/>
      <c r="BA104" s="846"/>
      <c r="BB104" s="846"/>
      <c r="BD104" s="897" t="str">
        <f>IFERROR(VLOOKUP(H104,Valid!$B$94:$N$96,3,FALSE), "")</f>
        <v/>
      </c>
      <c r="BE104" s="898" t="str">
        <f>IFERROR(VLOOKUP(H104,Valid!$B$94:$N$96,4,FALSE), "")</f>
        <v/>
      </c>
      <c r="BF104" s="897" t="str">
        <f t="shared" si="12"/>
        <v/>
      </c>
      <c r="BG104" s="897" t="str">
        <f t="shared" ca="1" si="13"/>
        <v/>
      </c>
      <c r="BH104" s="1860" t="str">
        <f>IFERROR(VLOOKUP($H104,val_equip_assets,BH$4,FALSE), "")</f>
        <v/>
      </c>
      <c r="BI104" s="1547" t="str">
        <f t="shared" ca="1" si="14"/>
        <v/>
      </c>
      <c r="BJ104" s="898" t="str">
        <f ca="1">IF(BI104="", "", IF(BI104&lt;0.1, 5, IF(BI104&lt;0.25, 4, IF(BI104&lt;0.5, 3, IF(BI104&lt;0.75, 2, 1)))))</f>
        <v/>
      </c>
      <c r="BK104" s="898" t="str">
        <f t="shared" si="16"/>
        <v/>
      </c>
      <c r="BL104" s="898" t="str">
        <f t="shared" si="16"/>
        <v/>
      </c>
      <c r="BM104" s="1710" t="str">
        <f t="shared" si="16"/>
        <v/>
      </c>
      <c r="BN104" s="1205" t="str">
        <f>IFERROR(VLOOKUP(H104,Valid!$B$94:$N$96,12,FALSE), "")</f>
        <v/>
      </c>
      <c r="BO104" s="1205" t="str">
        <f>IFERROR(VLOOKUP(H104,Valid!$B$94:$N$96,13,FALSE), "")</f>
        <v/>
      </c>
    </row>
    <row r="105" spans="1:69" s="901" customFormat="1" x14ac:dyDescent="0.2">
      <c r="A105" s="206">
        <v>47</v>
      </c>
      <c r="B105" s="1530">
        <v>47</v>
      </c>
      <c r="C105" s="1703"/>
      <c r="D105" s="1248" t="str">
        <f>IF(C103="","",IF(C105="","Enter Service Fleet Description then Fill in columns "&amp;TEXT($H$2,0)&amp;" - "&amp;TEXT($Z$2,0)&amp;"                 ",""))</f>
        <v/>
      </c>
      <c r="E105" s="1245" t="str">
        <f>IF(AK105="N/A","",AK105)</f>
        <v/>
      </c>
      <c r="F105" s="170"/>
      <c r="G105" s="170"/>
      <c r="H105" s="1704"/>
      <c r="I105" s="1246" t="str">
        <f>IF(AND(E105="No",H105=""),"Select Type of Vehicle                        ","")</f>
        <v/>
      </c>
      <c r="J105" s="1247"/>
      <c r="K105" s="1246" t="str">
        <f>IF(AND(C105="No",H105=""),"Number of Vehicles?  ","")</f>
        <v/>
      </c>
      <c r="L105" s="1782" t="str">
        <f>IFERROR(VLOOKUP($H105,val_equip_assets,BH$4,FALSE), "")</f>
        <v/>
      </c>
      <c r="M105" s="1246"/>
      <c r="N105" s="1247"/>
      <c r="O105" s="892" t="str">
        <f>IF(H105="","",IF(AND(E105="No",N105=""),TEXT(BH105,0)&amp;" Years?   ",""))</f>
        <v/>
      </c>
      <c r="P105" s="1705"/>
      <c r="Q105" s="1706" t="str">
        <f>IF(AND(E105="No",P105=""),"Enter Manufact. Yr.     ","")</f>
        <v/>
      </c>
      <c r="R105" s="1952" t="str">
        <f ca="1">BI105</f>
        <v/>
      </c>
      <c r="S105" s="1706"/>
      <c r="T105" s="1963" t="str">
        <f ca="1">BJ105</f>
        <v/>
      </c>
      <c r="U105" s="1706"/>
      <c r="V105" s="1675"/>
      <c r="W105" s="892" t="str">
        <f>IF(AND(E105="No",V105=""),"% of Cap. Resp.    ","")</f>
        <v/>
      </c>
      <c r="X105" s="1655"/>
      <c r="Y105" s="892" t="str">
        <f>IF(AND(E105="No",X105=""),"Estimated $?   ","")</f>
        <v/>
      </c>
      <c r="Z105" s="1707"/>
      <c r="AA105" s="892" t="str">
        <f t="shared" si="15"/>
        <v/>
      </c>
      <c r="AB105" s="1026" t="str">
        <f>IF(E105="","",IF(OR($X105="",$Z105=""),"missing info.",$X105*VLOOKUP($Z105,Inflate,$BF105+1,FALSE)))</f>
        <v/>
      </c>
      <c r="AC105" s="1622"/>
      <c r="AD105" s="1026" t="str">
        <f>IF(E105="","",IF(J105="","missing info.",IF(AB105="missing info.","missing info.",AB105/J105)))</f>
        <v/>
      </c>
      <c r="AE105" s="839"/>
      <c r="AF105" s="1708"/>
      <c r="AG105" s="896"/>
      <c r="AH105" s="894"/>
      <c r="AI105" s="894" t="b">
        <f>IF(AND(C107&lt;&gt;"",C105=""),TRUE,FALSE)</f>
        <v>0</v>
      </c>
      <c r="AJ105" s="902" t="b">
        <f>IF(AND(N105="",P105&lt;&gt;""),TRUE,FALSE)</f>
        <v>0</v>
      </c>
      <c r="AK105" s="720" t="str">
        <f>IF(AND(J105="",AF105="",Z105="",X105="",V105="",N105="",H105="",P105="",C105=""),"N/A",IF(AND(C105&lt;&gt;"",J105&lt;&gt;"",N105&lt;&gt;"",H105&lt;&gt;"",P105&lt;&gt;"",V105&lt;&gt;"",X105&lt;&gt;"",Z105&lt;&gt;""),"Yes","No"))</f>
        <v>N/A</v>
      </c>
      <c r="AL105" s="720" t="b">
        <f>IF(AND(C105="",E105="no"),TRUE,FALSE)</f>
        <v>0</v>
      </c>
      <c r="AM105" s="720" t="b">
        <f>IF(AND(E105="no",H105=""),TRUE,FALSE)</f>
        <v>0</v>
      </c>
      <c r="AN105" s="720" t="b">
        <f>IF(AND(E105="no",H105=""),TRUE,FALSE)</f>
        <v>0</v>
      </c>
      <c r="AO105" s="903" t="b">
        <f>IF($J105="",FALSE,IF($J105&lt;$BD105,TRUE,FALSE))</f>
        <v>0</v>
      </c>
      <c r="AP105" s="903" t="b">
        <f>IF($J105="",FALSE,IF($J105&gt;$BE105,TRUE,FALSE))</f>
        <v>0</v>
      </c>
      <c r="AQ105" s="903" t="b">
        <f>IF(AND(E105="no",N105=""),TRUE,FALSE)</f>
        <v>0</v>
      </c>
      <c r="AR105" s="903" t="b">
        <f>IF(AND(E105="no",P105=""),TRUE,FALSE)</f>
        <v>0</v>
      </c>
      <c r="AS105" s="903" t="b">
        <f>IF(P105="",FALSE,IF(P105&lt;BM105,TRUE,FALSE))</f>
        <v>0</v>
      </c>
      <c r="AT105" s="903" t="b">
        <f>IF(P105="",FALSE,IF(P105&gt;BaseYear,TRUE,FALSE))</f>
        <v>0</v>
      </c>
      <c r="AU105" s="903" t="b">
        <f>IF(AND(E105="no",V105=""),TRUE,FALSE)</f>
        <v>0</v>
      </c>
      <c r="AV105" s="903" t="b">
        <f>IF(V105="",FALSE,IF(OR(V105&gt;1,V105&lt;0),TRUE,FALSE))</f>
        <v>0</v>
      </c>
      <c r="AW105" s="903" t="b">
        <f>IF($N105="",FALSE,IF($N105&lt;$BK105,TRUE,FALSE))</f>
        <v>0</v>
      </c>
      <c r="AX105" s="903" t="b">
        <f>IF($N105="",FALSE,IF($N105&gt;$BL105,TRUE,FALSE))</f>
        <v>0</v>
      </c>
      <c r="AY105" s="889" t="b">
        <f>IF(AND(E105="no",X105=""),TRUE,FALSE)</f>
        <v>0</v>
      </c>
      <c r="AZ105" s="889" t="b">
        <f>IF(OR(AD105="missing info.",AD105=""),FALSE,IF(AD105&lt;BN105,TRUE,FALSE))</f>
        <v>0</v>
      </c>
      <c r="BA105" s="890" t="b">
        <f>IF(OR(AD105="missing info.",AD105=""),FALSE,IF(AD105&gt;BO105,TRUE,FALSE))</f>
        <v>0</v>
      </c>
      <c r="BB105" s="890" t="b">
        <f>IF(AND(E105="no",Z105=""),TRUE,FALSE)</f>
        <v>0</v>
      </c>
      <c r="BC105" s="894" t="b">
        <f>IF(Z105="",FALSE,IF(OR(Z105&gt;BaseYear,Z105&lt;BM105),TRUE,FALSE))</f>
        <v>0</v>
      </c>
      <c r="BD105" s="897" t="str">
        <f>IFERROR(VLOOKUP(H105,Valid!$B$94:$N$96,3,FALSE), "")</f>
        <v/>
      </c>
      <c r="BE105" s="898" t="str">
        <f>IFERROR(VLOOKUP(H105,Valid!$B$94:$N$96,4,FALSE), "")</f>
        <v/>
      </c>
      <c r="BF105" s="897" t="str">
        <f t="shared" si="12"/>
        <v/>
      </c>
      <c r="BG105" s="897" t="str">
        <f t="shared" ca="1" si="13"/>
        <v/>
      </c>
      <c r="BH105" s="1860">
        <f>N105</f>
        <v>0</v>
      </c>
      <c r="BI105" s="1547" t="str">
        <f t="shared" ca="1" si="14"/>
        <v/>
      </c>
      <c r="BJ105" s="898" t="str">
        <f ca="1">IF(BI105="", "", IF(1+(BI105*4)&lt;1, 1, 1+(BI105*4)))</f>
        <v/>
      </c>
      <c r="BK105" s="898" t="str">
        <f t="shared" si="16"/>
        <v/>
      </c>
      <c r="BL105" s="898" t="str">
        <f t="shared" si="16"/>
        <v/>
      </c>
      <c r="BM105" s="1710" t="str">
        <f t="shared" si="16"/>
        <v/>
      </c>
      <c r="BN105" s="1205" t="str">
        <f>IFERROR(VLOOKUP(H105,Valid!$B$94:$N$96,12,FALSE), "")</f>
        <v/>
      </c>
      <c r="BO105" s="1205" t="str">
        <f>IFERROR(VLOOKUP(H105,Valid!$B$94:$N$96,13,FALSE), "")</f>
        <v/>
      </c>
      <c r="BP105" s="894"/>
      <c r="BQ105" s="894"/>
    </row>
    <row r="106" spans="1:69" s="894" customFormat="1" ht="6.75" customHeight="1" thickBot="1" x14ac:dyDescent="0.25">
      <c r="A106" s="1516"/>
      <c r="B106" s="1530">
        <v>47.5</v>
      </c>
      <c r="C106" s="1471"/>
      <c r="D106" s="1541"/>
      <c r="E106" s="1057"/>
      <c r="F106" s="170"/>
      <c r="G106" s="170"/>
      <c r="H106" s="170"/>
      <c r="I106" s="170"/>
      <c r="J106" s="170"/>
      <c r="K106" s="170"/>
      <c r="L106" s="1031"/>
      <c r="M106" s="170"/>
      <c r="N106" s="1031"/>
      <c r="O106" s="892"/>
      <c r="P106" s="836"/>
      <c r="Q106" s="1709"/>
      <c r="R106" s="1806"/>
      <c r="S106" s="1709"/>
      <c r="T106" s="1962"/>
      <c r="U106" s="1709"/>
      <c r="V106" s="1806"/>
      <c r="W106" s="1709"/>
      <c r="X106" s="1027"/>
      <c r="Y106" s="892"/>
      <c r="Z106" s="893"/>
      <c r="AA106" s="892" t="str">
        <f t="shared" si="15"/>
        <v/>
      </c>
      <c r="AB106" s="1030"/>
      <c r="AC106" s="1622"/>
      <c r="AD106" s="1030"/>
      <c r="AF106" s="895"/>
      <c r="AG106" s="896"/>
      <c r="AJ106" s="900"/>
      <c r="AK106" s="1624"/>
      <c r="AO106" s="1152"/>
      <c r="AP106" s="1152"/>
      <c r="AQ106" s="1152"/>
      <c r="AR106" s="1152"/>
      <c r="AS106" s="1152"/>
      <c r="AT106" s="1152"/>
      <c r="AU106" s="1152"/>
      <c r="AV106" s="1152"/>
      <c r="AW106" s="1152"/>
      <c r="AX106" s="1152"/>
      <c r="AY106" s="1448"/>
      <c r="AZ106" s="1448"/>
      <c r="BA106" s="846"/>
      <c r="BB106" s="846"/>
      <c r="BD106" s="897" t="str">
        <f>IFERROR(VLOOKUP(H106,Valid!$B$94:$N$96,3,FALSE), "")</f>
        <v/>
      </c>
      <c r="BE106" s="898" t="str">
        <f>IFERROR(VLOOKUP(H106,Valid!$B$94:$N$96,4,FALSE), "")</f>
        <v/>
      </c>
      <c r="BF106" s="897" t="str">
        <f t="shared" si="12"/>
        <v/>
      </c>
      <c r="BG106" s="897" t="str">
        <f t="shared" ca="1" si="13"/>
        <v/>
      </c>
      <c r="BH106" s="1860" t="str">
        <f>IFERROR(VLOOKUP($H106,val_equip_assets,BH$4,FALSE), "")</f>
        <v/>
      </c>
      <c r="BI106" s="1547" t="str">
        <f t="shared" ca="1" si="14"/>
        <v/>
      </c>
      <c r="BJ106" s="898" t="str">
        <f ca="1">IF(BI106="", "", IF(BI106&lt;0.1, 5, IF(BI106&lt;0.25, 4, IF(BI106&lt;0.5, 3, IF(BI106&lt;0.75, 2, 1)))))</f>
        <v/>
      </c>
      <c r="BK106" s="898" t="str">
        <f t="shared" si="16"/>
        <v/>
      </c>
      <c r="BL106" s="898" t="str">
        <f t="shared" si="16"/>
        <v/>
      </c>
      <c r="BM106" s="1710" t="str">
        <f t="shared" si="16"/>
        <v/>
      </c>
      <c r="BN106" s="1205" t="str">
        <f>IFERROR(VLOOKUP(H106,Valid!$B$94:$N$96,12,FALSE), "")</f>
        <v/>
      </c>
      <c r="BO106" s="1205" t="str">
        <f>IFERROR(VLOOKUP(H106,Valid!$B$94:$N$96,13,FALSE), "")</f>
        <v/>
      </c>
    </row>
    <row r="107" spans="1:69" s="901" customFormat="1" x14ac:dyDescent="0.2">
      <c r="A107" s="206">
        <v>48</v>
      </c>
      <c r="B107" s="1530">
        <v>48</v>
      </c>
      <c r="C107" s="1703"/>
      <c r="D107" s="1248" t="str">
        <f>IF(C105="","",IF(C107="","Enter Service Fleet Description then Fill in columns "&amp;TEXT($H$2,0)&amp;" - "&amp;TEXT($Z$2,0)&amp;"                 ",""))</f>
        <v/>
      </c>
      <c r="E107" s="1245" t="str">
        <f>IF(AK107="N/A","",AK107)</f>
        <v/>
      </c>
      <c r="F107" s="170"/>
      <c r="G107" s="170"/>
      <c r="H107" s="1704"/>
      <c r="I107" s="1246" t="str">
        <f>IF(AND(E107="No",H107=""),"Select Type of Vehicle                        ","")</f>
        <v/>
      </c>
      <c r="J107" s="1247"/>
      <c r="K107" s="1246" t="str">
        <f>IF(AND(C107="No",H107=""),"Number of Vehicles?  ","")</f>
        <v/>
      </c>
      <c r="L107" s="1782" t="str">
        <f>IFERROR(VLOOKUP($H107,val_equip_assets,BH$4,FALSE), "")</f>
        <v/>
      </c>
      <c r="M107" s="1246"/>
      <c r="N107" s="1247"/>
      <c r="O107" s="892" t="str">
        <f>IF(H107="","",IF(AND(E107="No",N107=""),TEXT(BH107,0)&amp;" Years?   ",""))</f>
        <v/>
      </c>
      <c r="P107" s="1705"/>
      <c r="Q107" s="1706" t="str">
        <f>IF(AND(E107="No",P107=""),"Enter Manufact. Yr.     ","")</f>
        <v/>
      </c>
      <c r="R107" s="1952" t="str">
        <f ca="1">BI107</f>
        <v/>
      </c>
      <c r="S107" s="1706"/>
      <c r="T107" s="1963" t="str">
        <f ca="1">BJ107</f>
        <v/>
      </c>
      <c r="U107" s="1706"/>
      <c r="V107" s="1675"/>
      <c r="W107" s="892" t="str">
        <f>IF(AND(E107="No",V107=""),"% of Cap. Resp.    ","")</f>
        <v/>
      </c>
      <c r="X107" s="1655"/>
      <c r="Y107" s="892" t="str">
        <f>IF(AND(E107="No",X107=""),"Estimated $?   ","")</f>
        <v/>
      </c>
      <c r="Z107" s="1707"/>
      <c r="AA107" s="892" t="str">
        <f t="shared" si="15"/>
        <v/>
      </c>
      <c r="AB107" s="1026" t="str">
        <f>IF(E107="","",IF(OR($X107="",$Z107=""),"missing info.",$X107*VLOOKUP($Z107,Inflate,$BF107+1,FALSE)))</f>
        <v/>
      </c>
      <c r="AC107" s="1622"/>
      <c r="AD107" s="1026" t="str">
        <f>IF(E107="","",IF(J107="","missing info.",IF(AB107="missing info.","missing info.",AB107/J107)))</f>
        <v/>
      </c>
      <c r="AE107" s="839"/>
      <c r="AF107" s="1708"/>
      <c r="AG107" s="896"/>
      <c r="AH107" s="894"/>
      <c r="AI107" s="894" t="b">
        <f>IF(AND(C109&lt;&gt;"",C107=""),TRUE,FALSE)</f>
        <v>0</v>
      </c>
      <c r="AJ107" s="902" t="b">
        <f>IF(AND(N107="",P107&lt;&gt;""),TRUE,FALSE)</f>
        <v>0</v>
      </c>
      <c r="AK107" s="720" t="str">
        <f>IF(AND(J107="",AF107="",Z107="",X107="",V107="",N107="",H107="",P107="",C107=""),"N/A",IF(AND(C107&lt;&gt;"",J107&lt;&gt;"",N107&lt;&gt;"",H107&lt;&gt;"",P107&lt;&gt;"",V107&lt;&gt;"",X107&lt;&gt;"",Z107&lt;&gt;""),"Yes","No"))</f>
        <v>N/A</v>
      </c>
      <c r="AL107" s="720" t="b">
        <f>IF(AND(C107="",E107="no"),TRUE,FALSE)</f>
        <v>0</v>
      </c>
      <c r="AM107" s="720" t="b">
        <f>IF(AND(E107="no",H107=""),TRUE,FALSE)</f>
        <v>0</v>
      </c>
      <c r="AN107" s="720" t="b">
        <f>IF(AND(E107="no",H107=""),TRUE,FALSE)</f>
        <v>0</v>
      </c>
      <c r="AO107" s="903" t="b">
        <f>IF($J107="",FALSE,IF($J107&lt;$BD107,TRUE,FALSE))</f>
        <v>0</v>
      </c>
      <c r="AP107" s="903" t="b">
        <f>IF($J107="",FALSE,IF($J107&gt;$BE107,TRUE,FALSE))</f>
        <v>0</v>
      </c>
      <c r="AQ107" s="903" t="b">
        <f>IF(AND(E107="no",N107=""),TRUE,FALSE)</f>
        <v>0</v>
      </c>
      <c r="AR107" s="903" t="b">
        <f>IF(AND(E107="no",P107=""),TRUE,FALSE)</f>
        <v>0</v>
      </c>
      <c r="AS107" s="903" t="b">
        <f>IF(P107="",FALSE,IF(P107&lt;BM107,TRUE,FALSE))</f>
        <v>0</v>
      </c>
      <c r="AT107" s="903" t="b">
        <f>IF(P107="",FALSE,IF(P107&gt;BaseYear,TRUE,FALSE))</f>
        <v>0</v>
      </c>
      <c r="AU107" s="903" t="b">
        <f>IF(AND(E107="no",V107=""),TRUE,FALSE)</f>
        <v>0</v>
      </c>
      <c r="AV107" s="903" t="b">
        <f>IF(V107="",FALSE,IF(OR(V107&gt;1,V107&lt;0),TRUE,FALSE))</f>
        <v>0</v>
      </c>
      <c r="AW107" s="903" t="b">
        <f>IF($N107="",FALSE,IF($N107&lt;$BK107,TRUE,FALSE))</f>
        <v>0</v>
      </c>
      <c r="AX107" s="903" t="b">
        <f>IF($N107="",FALSE,IF($N107&gt;$BL107,TRUE,FALSE))</f>
        <v>0</v>
      </c>
      <c r="AY107" s="889" t="b">
        <f>IF(AND(E107="no",X107=""),TRUE,FALSE)</f>
        <v>0</v>
      </c>
      <c r="AZ107" s="889" t="b">
        <f>IF(OR(AD107="missing info.",AD107=""),FALSE,IF(AD107&lt;BN107,TRUE,FALSE))</f>
        <v>0</v>
      </c>
      <c r="BA107" s="890" t="b">
        <f>IF(OR(AD107="missing info.",AD107=""),FALSE,IF(AD107&gt;BO107,TRUE,FALSE))</f>
        <v>0</v>
      </c>
      <c r="BB107" s="890" t="b">
        <f>IF(AND(E107="no",Z107=""),TRUE,FALSE)</f>
        <v>0</v>
      </c>
      <c r="BC107" s="894" t="b">
        <f>IF(Z107="",FALSE,IF(OR(Z107&gt;BaseYear,Z107&lt;BM107),TRUE,FALSE))</f>
        <v>0</v>
      </c>
      <c r="BD107" s="897" t="str">
        <f>IFERROR(VLOOKUP(H107,Valid!$B$94:$N$96,3,FALSE), "")</f>
        <v/>
      </c>
      <c r="BE107" s="898" t="str">
        <f>IFERROR(VLOOKUP(H107,Valid!$B$94:$N$96,4,FALSE), "")</f>
        <v/>
      </c>
      <c r="BF107" s="897" t="str">
        <f t="shared" si="12"/>
        <v/>
      </c>
      <c r="BG107" s="897" t="str">
        <f t="shared" ca="1" si="13"/>
        <v/>
      </c>
      <c r="BH107" s="1860">
        <f>N107</f>
        <v>0</v>
      </c>
      <c r="BI107" s="1547" t="str">
        <f t="shared" ca="1" si="14"/>
        <v/>
      </c>
      <c r="BJ107" s="898" t="str">
        <f ca="1">IF(BI107="", "", IF(1+(BI107*4)&lt;1, 1, 1+(BI107*4)))</f>
        <v/>
      </c>
      <c r="BK107" s="898" t="str">
        <f t="shared" si="16"/>
        <v/>
      </c>
      <c r="BL107" s="898" t="str">
        <f t="shared" si="16"/>
        <v/>
      </c>
      <c r="BM107" s="1710" t="str">
        <f t="shared" si="16"/>
        <v/>
      </c>
      <c r="BN107" s="1205" t="str">
        <f>IFERROR(VLOOKUP(H107,Valid!$B$94:$N$96,12,FALSE), "")</f>
        <v/>
      </c>
      <c r="BO107" s="1205" t="str">
        <f>IFERROR(VLOOKUP(H107,Valid!$B$94:$N$96,13,FALSE), "")</f>
        <v/>
      </c>
      <c r="BP107" s="894"/>
      <c r="BQ107" s="894"/>
    </row>
    <row r="108" spans="1:69" s="894" customFormat="1" ht="6.75" customHeight="1" thickBot="1" x14ac:dyDescent="0.25">
      <c r="A108" s="1516"/>
      <c r="B108" s="1530">
        <v>48.5</v>
      </c>
      <c r="C108" s="1471"/>
      <c r="D108" s="1541"/>
      <c r="E108" s="1057"/>
      <c r="F108" s="170"/>
      <c r="G108" s="170"/>
      <c r="H108" s="170"/>
      <c r="I108" s="170"/>
      <c r="J108" s="170"/>
      <c r="K108" s="170"/>
      <c r="L108" s="1031"/>
      <c r="M108" s="170"/>
      <c r="N108" s="1031"/>
      <c r="O108" s="892"/>
      <c r="P108" s="836"/>
      <c r="Q108" s="1709"/>
      <c r="R108" s="1806"/>
      <c r="S108" s="1709"/>
      <c r="T108" s="1962"/>
      <c r="U108" s="1709"/>
      <c r="V108" s="1806"/>
      <c r="W108" s="1709"/>
      <c r="X108" s="1027"/>
      <c r="Y108" s="892"/>
      <c r="Z108" s="893"/>
      <c r="AA108" s="892" t="str">
        <f t="shared" si="15"/>
        <v/>
      </c>
      <c r="AB108" s="1030"/>
      <c r="AC108" s="1622"/>
      <c r="AD108" s="1030"/>
      <c r="AF108" s="895"/>
      <c r="AG108" s="896"/>
      <c r="AJ108" s="900"/>
      <c r="AK108" s="1624"/>
      <c r="AO108" s="1152"/>
      <c r="AP108" s="1152"/>
      <c r="AQ108" s="1152"/>
      <c r="AR108" s="1152"/>
      <c r="AS108" s="1152"/>
      <c r="AT108" s="1152"/>
      <c r="AU108" s="1152"/>
      <c r="AV108" s="1152"/>
      <c r="AW108" s="1152"/>
      <c r="AX108" s="1152"/>
      <c r="AY108" s="1448"/>
      <c r="AZ108" s="1448"/>
      <c r="BA108" s="846"/>
      <c r="BB108" s="846"/>
      <c r="BD108" s="897" t="str">
        <f>IFERROR(VLOOKUP(H108,Valid!$B$94:$N$96,3,FALSE), "")</f>
        <v/>
      </c>
      <c r="BE108" s="898" t="str">
        <f>IFERROR(VLOOKUP(H108,Valid!$B$94:$N$96,4,FALSE), "")</f>
        <v/>
      </c>
      <c r="BF108" s="897" t="str">
        <f t="shared" si="12"/>
        <v/>
      </c>
      <c r="BG108" s="897" t="str">
        <f t="shared" ca="1" si="13"/>
        <v/>
      </c>
      <c r="BH108" s="1860" t="str">
        <f>IFERROR(VLOOKUP($H108,val_equip_assets,BH$4,FALSE), "")</f>
        <v/>
      </c>
      <c r="BI108" s="1547" t="str">
        <f t="shared" ca="1" si="14"/>
        <v/>
      </c>
      <c r="BJ108" s="898" t="str">
        <f ca="1">IF(BI108="", "", IF(BI108&lt;0.1, 5, IF(BI108&lt;0.25, 4, IF(BI108&lt;0.5, 3, IF(BI108&lt;0.75, 2, 1)))))</f>
        <v/>
      </c>
      <c r="BK108" s="898" t="str">
        <f t="shared" si="16"/>
        <v/>
      </c>
      <c r="BL108" s="898" t="str">
        <f t="shared" si="16"/>
        <v/>
      </c>
      <c r="BM108" s="1710" t="str">
        <f t="shared" si="16"/>
        <v/>
      </c>
      <c r="BN108" s="1205" t="str">
        <f>IFERROR(VLOOKUP(H108,Valid!$B$94:$N$96,12,FALSE), "")</f>
        <v/>
      </c>
      <c r="BO108" s="1205" t="str">
        <f>IFERROR(VLOOKUP(H108,Valid!$B$94:$N$96,13,FALSE), "")</f>
        <v/>
      </c>
    </row>
    <row r="109" spans="1:69" s="901" customFormat="1" x14ac:dyDescent="0.2">
      <c r="A109" s="206">
        <v>49</v>
      </c>
      <c r="B109" s="1530">
        <v>49</v>
      </c>
      <c r="C109" s="1703"/>
      <c r="D109" s="1248" t="str">
        <f>IF(C107="","",IF(C109="","Enter Service Fleet Description then Fill in columns "&amp;TEXT($H$2,0)&amp;" - "&amp;TEXT($Z$2,0)&amp;"                 ",""))</f>
        <v/>
      </c>
      <c r="E109" s="1245" t="str">
        <f>IF(AK109="N/A","",AK109)</f>
        <v/>
      </c>
      <c r="F109" s="170"/>
      <c r="G109" s="170"/>
      <c r="H109" s="1704"/>
      <c r="I109" s="1246" t="str">
        <f>IF(AND(E109="No",H109=""),"Select Type of Vehicle                        ","")</f>
        <v/>
      </c>
      <c r="J109" s="1247"/>
      <c r="K109" s="1246" t="str">
        <f>IF(AND(C109="No",H109=""),"Number of Vehicles?  ","")</f>
        <v/>
      </c>
      <c r="L109" s="1782" t="str">
        <f>IFERROR(VLOOKUP($H109,val_equip_assets,BH$4,FALSE), "")</f>
        <v/>
      </c>
      <c r="M109" s="1246"/>
      <c r="N109" s="1247"/>
      <c r="O109" s="892" t="str">
        <f>IF(H109="","",IF(AND(E109="No",N109=""),TEXT(BH109,0)&amp;" Years?   ",""))</f>
        <v/>
      </c>
      <c r="P109" s="1705"/>
      <c r="Q109" s="1706" t="str">
        <f>IF(AND(E109="No",P109=""),"Enter Manufact. Yr.     ","")</f>
        <v/>
      </c>
      <c r="R109" s="1952" t="str">
        <f ca="1">BI109</f>
        <v/>
      </c>
      <c r="S109" s="1706"/>
      <c r="T109" s="1963" t="str">
        <f ca="1">BJ109</f>
        <v/>
      </c>
      <c r="U109" s="1706"/>
      <c r="V109" s="1675"/>
      <c r="W109" s="892" t="str">
        <f>IF(AND(E109="No",V109=""),"% of Cap. Resp.    ","")</f>
        <v/>
      </c>
      <c r="X109" s="1655"/>
      <c r="Y109" s="892" t="str">
        <f>IF(AND(E109="No",X109=""),"Estimated $?   ","")</f>
        <v/>
      </c>
      <c r="Z109" s="1707"/>
      <c r="AA109" s="892" t="str">
        <f t="shared" si="15"/>
        <v/>
      </c>
      <c r="AB109" s="1026" t="str">
        <f>IF(E109="","",IF(OR($X109="",$Z109=""),"missing info.",$X109*VLOOKUP($Z109,Inflate,$BF109+1,FALSE)))</f>
        <v/>
      </c>
      <c r="AC109" s="1622"/>
      <c r="AD109" s="1026" t="str">
        <f>IF(E109="","",IF(J109="","missing info.",IF(AB109="missing info.","missing info.",AB109/J109)))</f>
        <v/>
      </c>
      <c r="AE109" s="839"/>
      <c r="AF109" s="1708"/>
      <c r="AG109" s="896"/>
      <c r="AH109" s="894"/>
      <c r="AI109" s="894" t="b">
        <f>IF(AND(C111&lt;&gt;"",C109=""),TRUE,FALSE)</f>
        <v>0</v>
      </c>
      <c r="AJ109" s="902" t="b">
        <f>IF(AND(N109="",P109&lt;&gt;""),TRUE,FALSE)</f>
        <v>0</v>
      </c>
      <c r="AK109" s="720" t="str">
        <f>IF(AND(J109="",AF109="",Z109="",X109="",V109="",N109="",H109="",P109="",C109=""),"N/A",IF(AND(C109&lt;&gt;"",J109&lt;&gt;"",N109&lt;&gt;"",H109&lt;&gt;"",P109&lt;&gt;"",V109&lt;&gt;"",X109&lt;&gt;"",Z109&lt;&gt;""),"Yes","No"))</f>
        <v>N/A</v>
      </c>
      <c r="AL109" s="720" t="b">
        <f>IF(AND(C109="",E109="no"),TRUE,FALSE)</f>
        <v>0</v>
      </c>
      <c r="AM109" s="720" t="b">
        <f>IF(AND(E109="no",H109=""),TRUE,FALSE)</f>
        <v>0</v>
      </c>
      <c r="AN109" s="720" t="b">
        <f>IF(AND(E109="no",H109=""),TRUE,FALSE)</f>
        <v>0</v>
      </c>
      <c r="AO109" s="903" t="b">
        <f>IF($J109="",FALSE,IF($J109&lt;$BD109,TRUE,FALSE))</f>
        <v>0</v>
      </c>
      <c r="AP109" s="903" t="b">
        <f>IF($J109="",FALSE,IF($J109&gt;$BE109,TRUE,FALSE))</f>
        <v>0</v>
      </c>
      <c r="AQ109" s="903" t="b">
        <f>IF(AND(E109="no",N109=""),TRUE,FALSE)</f>
        <v>0</v>
      </c>
      <c r="AR109" s="903" t="b">
        <f>IF(AND(E109="no",P109=""),TRUE,FALSE)</f>
        <v>0</v>
      </c>
      <c r="AS109" s="903" t="b">
        <f>IF(P109="",FALSE,IF(P109&lt;BM109,TRUE,FALSE))</f>
        <v>0</v>
      </c>
      <c r="AT109" s="903" t="b">
        <f>IF(P109="",FALSE,IF(P109&gt;BaseYear,TRUE,FALSE))</f>
        <v>0</v>
      </c>
      <c r="AU109" s="903" t="b">
        <f>IF(AND(E109="no",V109=""),TRUE,FALSE)</f>
        <v>0</v>
      </c>
      <c r="AV109" s="903" t="b">
        <f>IF(V109="",FALSE,IF(OR(V109&gt;1,V109&lt;0),TRUE,FALSE))</f>
        <v>0</v>
      </c>
      <c r="AW109" s="903" t="b">
        <f>IF($N109="",FALSE,IF($N109&lt;$BK109,TRUE,FALSE))</f>
        <v>0</v>
      </c>
      <c r="AX109" s="903" t="b">
        <f>IF($N109="",FALSE,IF($N109&gt;$BL109,TRUE,FALSE))</f>
        <v>0</v>
      </c>
      <c r="AY109" s="889" t="b">
        <f>IF(AND(E109="no",X109=""),TRUE,FALSE)</f>
        <v>0</v>
      </c>
      <c r="AZ109" s="889" t="b">
        <f>IF(OR(AD109="missing info.",AD109=""),FALSE,IF(AD109&lt;BN109,TRUE,FALSE))</f>
        <v>0</v>
      </c>
      <c r="BA109" s="890" t="b">
        <f>IF(OR(AD109="missing info.",AD109=""),FALSE,IF(AD109&gt;BO109,TRUE,FALSE))</f>
        <v>0</v>
      </c>
      <c r="BB109" s="890" t="b">
        <f>IF(AND(E109="no",Z109=""),TRUE,FALSE)</f>
        <v>0</v>
      </c>
      <c r="BC109" s="894" t="b">
        <f>IF(Z109="",FALSE,IF(OR(Z109&gt;BaseYear,Z109&lt;BM109),TRUE,FALSE))</f>
        <v>0</v>
      </c>
      <c r="BD109" s="897" t="str">
        <f>IFERROR(VLOOKUP(H109,Valid!$B$94:$N$96,3,FALSE), "")</f>
        <v/>
      </c>
      <c r="BE109" s="898" t="str">
        <f>IFERROR(VLOOKUP(H109,Valid!$B$94:$N$96,4,FALSE), "")</f>
        <v/>
      </c>
      <c r="BF109" s="897" t="str">
        <f t="shared" ref="BF109:BF140" si="17">IFERROR(VLOOKUP($H109,val_equip_assets,BF$4,FALSE), "")</f>
        <v/>
      </c>
      <c r="BG109" s="897" t="str">
        <f t="shared" ref="BG109:BG140" ca="1" si="18">IF(P109="", "", YEAR(TODAY())-P109)</f>
        <v/>
      </c>
      <c r="BH109" s="1860">
        <f>N109</f>
        <v>0</v>
      </c>
      <c r="BI109" s="1547" t="str">
        <f t="shared" ref="BI109:BI140" ca="1" si="19">IF(OR(BG109="", BH109="",BH109=0), "", 1+ (-1*(BG109/BH109)))</f>
        <v/>
      </c>
      <c r="BJ109" s="898" t="str">
        <f ca="1">IF(BI109="", "", IF(1+(BI109*4)&lt;1, 1, 1+(BI109*4)))</f>
        <v/>
      </c>
      <c r="BK109" s="898" t="str">
        <f t="shared" si="16"/>
        <v/>
      </c>
      <c r="BL109" s="898" t="str">
        <f t="shared" si="16"/>
        <v/>
      </c>
      <c r="BM109" s="1710" t="str">
        <f t="shared" si="16"/>
        <v/>
      </c>
      <c r="BN109" s="1205" t="str">
        <f>IFERROR(VLOOKUP(H109,Valid!$B$94:$N$96,12,FALSE), "")</f>
        <v/>
      </c>
      <c r="BO109" s="1205" t="str">
        <f>IFERROR(VLOOKUP(H109,Valid!$B$94:$N$96,13,FALSE), "")</f>
        <v/>
      </c>
      <c r="BP109" s="894"/>
      <c r="BQ109" s="894"/>
    </row>
    <row r="110" spans="1:69" s="894" customFormat="1" ht="6.75" customHeight="1" thickBot="1" x14ac:dyDescent="0.25">
      <c r="A110" s="1516"/>
      <c r="B110" s="1530">
        <v>49.5</v>
      </c>
      <c r="C110" s="1471"/>
      <c r="D110" s="1541"/>
      <c r="E110" s="1057"/>
      <c r="F110" s="170"/>
      <c r="G110" s="170"/>
      <c r="H110" s="170"/>
      <c r="I110" s="170"/>
      <c r="J110" s="170"/>
      <c r="K110" s="170"/>
      <c r="L110" s="1031"/>
      <c r="M110" s="170"/>
      <c r="N110" s="1031"/>
      <c r="O110" s="892"/>
      <c r="P110" s="836"/>
      <c r="Q110" s="1709"/>
      <c r="R110" s="1806"/>
      <c r="S110" s="1709"/>
      <c r="T110" s="1962"/>
      <c r="U110" s="1709"/>
      <c r="V110" s="1806"/>
      <c r="W110" s="1709"/>
      <c r="X110" s="1027"/>
      <c r="Y110" s="892"/>
      <c r="Z110" s="893"/>
      <c r="AA110" s="892" t="str">
        <f t="shared" si="15"/>
        <v/>
      </c>
      <c r="AB110" s="1030"/>
      <c r="AC110" s="1622"/>
      <c r="AD110" s="1030"/>
      <c r="AF110" s="895"/>
      <c r="AG110" s="896"/>
      <c r="AJ110" s="900"/>
      <c r="AK110" s="1624"/>
      <c r="AO110" s="1152"/>
      <c r="AP110" s="1152"/>
      <c r="AQ110" s="1152"/>
      <c r="AR110" s="1152"/>
      <c r="AS110" s="1152"/>
      <c r="AT110" s="1152"/>
      <c r="AU110" s="1152"/>
      <c r="AV110" s="1152"/>
      <c r="AW110" s="1152"/>
      <c r="AX110" s="1152"/>
      <c r="AY110" s="1448"/>
      <c r="AZ110" s="1448"/>
      <c r="BA110" s="846"/>
      <c r="BB110" s="846"/>
      <c r="BD110" s="897" t="str">
        <f>IFERROR(VLOOKUP(H110,Valid!$B$94:$N$96,3,FALSE), "")</f>
        <v/>
      </c>
      <c r="BE110" s="898" t="str">
        <f>IFERROR(VLOOKUP(H110,Valid!$B$94:$N$96,4,FALSE), "")</f>
        <v/>
      </c>
      <c r="BF110" s="897" t="str">
        <f t="shared" si="17"/>
        <v/>
      </c>
      <c r="BG110" s="897" t="str">
        <f t="shared" ca="1" si="18"/>
        <v/>
      </c>
      <c r="BH110" s="1860" t="str">
        <f>IFERROR(VLOOKUP($H110,val_equip_assets,BH$4,FALSE), "")</f>
        <v/>
      </c>
      <c r="BI110" s="1547" t="str">
        <f t="shared" ca="1" si="19"/>
        <v/>
      </c>
      <c r="BJ110" s="898" t="str">
        <f ca="1">IF(BI110="", "", IF(BI110&lt;0.1, 5, IF(BI110&lt;0.25, 4, IF(BI110&lt;0.5, 3, IF(BI110&lt;0.75, 2, 1)))))</f>
        <v/>
      </c>
      <c r="BK110" s="898" t="str">
        <f t="shared" si="16"/>
        <v/>
      </c>
      <c r="BL110" s="898" t="str">
        <f t="shared" si="16"/>
        <v/>
      </c>
      <c r="BM110" s="1710" t="str">
        <f t="shared" si="16"/>
        <v/>
      </c>
      <c r="BN110" s="1205" t="str">
        <f>IFERROR(VLOOKUP(H110,Valid!$B$94:$N$96,12,FALSE), "")</f>
        <v/>
      </c>
      <c r="BO110" s="1205" t="str">
        <f>IFERROR(VLOOKUP(H110,Valid!$B$94:$N$96,13,FALSE), "")</f>
        <v/>
      </c>
    </row>
    <row r="111" spans="1:69" s="901" customFormat="1" x14ac:dyDescent="0.2">
      <c r="A111" s="206">
        <v>50</v>
      </c>
      <c r="B111" s="1530">
        <v>50</v>
      </c>
      <c r="C111" s="1703"/>
      <c r="D111" s="1248" t="str">
        <f>IF(C109="","",IF(C111="","Enter Service Fleet Description then Fill in columns "&amp;TEXT($H$2,0)&amp;" - "&amp;TEXT($Z$2,0)&amp;"                 ",""))</f>
        <v/>
      </c>
      <c r="E111" s="1245" t="str">
        <f>IF(AK111="N/A","",AK111)</f>
        <v/>
      </c>
      <c r="F111" s="170"/>
      <c r="G111" s="170"/>
      <c r="H111" s="1704"/>
      <c r="I111" s="1246" t="str">
        <f>IF(AND(E111="No",H111=""),"Select Type of Vehicle                        ","")</f>
        <v/>
      </c>
      <c r="J111" s="1247"/>
      <c r="K111" s="1246" t="str">
        <f>IF(AND(C111="No",H111=""),"Number of Vehicles?  ","")</f>
        <v/>
      </c>
      <c r="L111" s="1782" t="str">
        <f>IFERROR(VLOOKUP($H111,val_equip_assets,BH$4,FALSE), "")</f>
        <v/>
      </c>
      <c r="M111" s="1246"/>
      <c r="N111" s="1247"/>
      <c r="O111" s="892" t="str">
        <f>IF(H111="","",IF(AND(E111="No",N111=""),TEXT(BH111,0)&amp;" Years?   ",""))</f>
        <v/>
      </c>
      <c r="P111" s="1705"/>
      <c r="Q111" s="1706" t="str">
        <f>IF(AND(E111="No",P111=""),"Enter Manufact. Yr.     ","")</f>
        <v/>
      </c>
      <c r="R111" s="1952" t="str">
        <f ca="1">BI111</f>
        <v/>
      </c>
      <c r="S111" s="1706"/>
      <c r="T111" s="1963" t="str">
        <f ca="1">BJ111</f>
        <v/>
      </c>
      <c r="U111" s="1706"/>
      <c r="V111" s="1675"/>
      <c r="W111" s="892" t="str">
        <f>IF(AND(E111="No",V111=""),"% of Cap. Resp.    ","")</f>
        <v/>
      </c>
      <c r="X111" s="1655"/>
      <c r="Y111" s="892" t="str">
        <f>IF(AND(E111="No",X111=""),"Estimated $?   ","")</f>
        <v/>
      </c>
      <c r="Z111" s="1707"/>
      <c r="AA111" s="892" t="str">
        <f t="shared" si="15"/>
        <v/>
      </c>
      <c r="AB111" s="1026" t="str">
        <f>IF(E111="","",IF(OR($X111="",$Z111=""),"missing info.",$X111*VLOOKUP($Z111,Inflate,$BF111+1,FALSE)))</f>
        <v/>
      </c>
      <c r="AC111" s="1622"/>
      <c r="AD111" s="1026" t="str">
        <f>IF(E111="","",IF(J111="","missing info.",IF(AB111="missing info.","missing info.",AB111/J111)))</f>
        <v/>
      </c>
      <c r="AE111" s="839"/>
      <c r="AF111" s="1708"/>
      <c r="AG111" s="896"/>
      <c r="AH111" s="894"/>
      <c r="AI111" s="894" t="b">
        <f>IF(AND(C113&lt;&gt;"",C111=""),TRUE,FALSE)</f>
        <v>0</v>
      </c>
      <c r="AJ111" s="902" t="b">
        <f>IF(AND(N111="",P111&lt;&gt;""),TRUE,FALSE)</f>
        <v>0</v>
      </c>
      <c r="AK111" s="720" t="str">
        <f>IF(AND(J111="",AF111="",Z111="",X111="",V111="",N111="",H111="",P111="",C111=""),"N/A",IF(AND(C111&lt;&gt;"",J111&lt;&gt;"",N111&lt;&gt;"",H111&lt;&gt;"",P111&lt;&gt;"",V111&lt;&gt;"",X111&lt;&gt;"",Z111&lt;&gt;""),"Yes","No"))</f>
        <v>N/A</v>
      </c>
      <c r="AL111" s="720" t="b">
        <f>IF(AND(C111="",E111="no"),TRUE,FALSE)</f>
        <v>0</v>
      </c>
      <c r="AM111" s="720" t="b">
        <f>IF(AND(E111="no",H111=""),TRUE,FALSE)</f>
        <v>0</v>
      </c>
      <c r="AN111" s="720" t="b">
        <f>IF(AND(E111="no",H111=""),TRUE,FALSE)</f>
        <v>0</v>
      </c>
      <c r="AO111" s="903" t="b">
        <f>IF($J111="",FALSE,IF($J111&lt;$BD111,TRUE,FALSE))</f>
        <v>0</v>
      </c>
      <c r="AP111" s="903" t="b">
        <f>IF($J111="",FALSE,IF($J111&gt;$BE111,TRUE,FALSE))</f>
        <v>0</v>
      </c>
      <c r="AQ111" s="903" t="b">
        <f>IF(AND(E111="no",N111=""),TRUE,FALSE)</f>
        <v>0</v>
      </c>
      <c r="AR111" s="903" t="b">
        <f>IF(AND(E111="no",P111=""),TRUE,FALSE)</f>
        <v>0</v>
      </c>
      <c r="AS111" s="903" t="b">
        <f>IF(P111="",FALSE,IF(P111&lt;BM111,TRUE,FALSE))</f>
        <v>0</v>
      </c>
      <c r="AT111" s="903" t="b">
        <f>IF(P111="",FALSE,IF(P111&gt;BaseYear,TRUE,FALSE))</f>
        <v>0</v>
      </c>
      <c r="AU111" s="903" t="b">
        <f>IF(AND(E111="no",V111=""),TRUE,FALSE)</f>
        <v>0</v>
      </c>
      <c r="AV111" s="903" t="b">
        <f>IF(V111="",FALSE,IF(OR(V111&gt;1,V111&lt;0),TRUE,FALSE))</f>
        <v>0</v>
      </c>
      <c r="AW111" s="903" t="b">
        <f>IF($N111="",FALSE,IF($N111&lt;$BK111,TRUE,FALSE))</f>
        <v>0</v>
      </c>
      <c r="AX111" s="903" t="b">
        <f>IF($N111="",FALSE,IF($N111&gt;$BL111,TRUE,FALSE))</f>
        <v>0</v>
      </c>
      <c r="AY111" s="889" t="b">
        <f>IF(AND(E111="no",X111=""),TRUE,FALSE)</f>
        <v>0</v>
      </c>
      <c r="AZ111" s="889" t="b">
        <f>IF(OR(AD111="missing info.",AD111=""),FALSE,IF(AD111&lt;BN111,TRUE,FALSE))</f>
        <v>0</v>
      </c>
      <c r="BA111" s="890" t="b">
        <f>IF(OR(AD111="missing info.",AD111=""),FALSE,IF(AD111&gt;BO111,TRUE,FALSE))</f>
        <v>0</v>
      </c>
      <c r="BB111" s="890" t="b">
        <f>IF(AND(E111="no",Z111=""),TRUE,FALSE)</f>
        <v>0</v>
      </c>
      <c r="BC111" s="894" t="b">
        <f>IF(Z111="",FALSE,IF(OR(Z111&gt;BaseYear,Z111&lt;BM111),TRUE,FALSE))</f>
        <v>0</v>
      </c>
      <c r="BD111" s="897" t="str">
        <f>IFERROR(VLOOKUP(H111,Valid!$B$94:$N$96,3,FALSE), "")</f>
        <v/>
      </c>
      <c r="BE111" s="898" t="str">
        <f>IFERROR(VLOOKUP(H111,Valid!$B$94:$N$96,4,FALSE), "")</f>
        <v/>
      </c>
      <c r="BF111" s="897" t="str">
        <f t="shared" si="17"/>
        <v/>
      </c>
      <c r="BG111" s="897" t="str">
        <f t="shared" ca="1" si="18"/>
        <v/>
      </c>
      <c r="BH111" s="1860">
        <f>N111</f>
        <v>0</v>
      </c>
      <c r="BI111" s="1547" t="str">
        <f t="shared" ca="1" si="19"/>
        <v/>
      </c>
      <c r="BJ111" s="898" t="str">
        <f ca="1">IF(BI111="", "", IF(1+(BI111*4)&lt;1, 1, 1+(BI111*4)))</f>
        <v/>
      </c>
      <c r="BK111" s="898" t="str">
        <f t="shared" si="16"/>
        <v/>
      </c>
      <c r="BL111" s="898" t="str">
        <f t="shared" si="16"/>
        <v/>
      </c>
      <c r="BM111" s="1710" t="str">
        <f t="shared" si="16"/>
        <v/>
      </c>
      <c r="BN111" s="1205" t="str">
        <f>IFERROR(VLOOKUP(H111,Valid!$B$94:$N$96,12,FALSE), "")</f>
        <v/>
      </c>
      <c r="BO111" s="1205" t="str">
        <f>IFERROR(VLOOKUP(H111,Valid!$B$94:$N$96,13,FALSE), "")</f>
        <v/>
      </c>
      <c r="BP111" s="894"/>
      <c r="BQ111" s="894"/>
    </row>
    <row r="112" spans="1:69" s="894" customFormat="1" ht="6.75" customHeight="1" thickBot="1" x14ac:dyDescent="0.25">
      <c r="A112" s="1516"/>
      <c r="B112" s="1530">
        <v>50.5</v>
      </c>
      <c r="C112" s="1471"/>
      <c r="D112" s="1541"/>
      <c r="E112" s="1057"/>
      <c r="F112" s="170"/>
      <c r="G112" s="170"/>
      <c r="H112" s="170"/>
      <c r="I112" s="170"/>
      <c r="J112" s="170"/>
      <c r="K112" s="170"/>
      <c r="L112" s="1031"/>
      <c r="M112" s="170"/>
      <c r="N112" s="1031"/>
      <c r="O112" s="892"/>
      <c r="P112" s="836"/>
      <c r="Q112" s="1709"/>
      <c r="R112" s="1806"/>
      <c r="S112" s="1709"/>
      <c r="T112" s="1962"/>
      <c r="U112" s="1709"/>
      <c r="V112" s="1806"/>
      <c r="W112" s="1709"/>
      <c r="X112" s="1027"/>
      <c r="Y112" s="892"/>
      <c r="Z112" s="893"/>
      <c r="AA112" s="892" t="str">
        <f t="shared" si="15"/>
        <v/>
      </c>
      <c r="AB112" s="1030"/>
      <c r="AC112" s="1622"/>
      <c r="AD112" s="1030"/>
      <c r="AF112" s="895"/>
      <c r="AG112" s="896"/>
      <c r="AJ112" s="900"/>
      <c r="AK112" s="1624"/>
      <c r="AO112" s="1152"/>
      <c r="AP112" s="1152"/>
      <c r="AQ112" s="1152"/>
      <c r="AR112" s="1152"/>
      <c r="AS112" s="1152"/>
      <c r="AT112" s="1152"/>
      <c r="AU112" s="1152"/>
      <c r="AV112" s="1152"/>
      <c r="AW112" s="1152"/>
      <c r="AX112" s="1152"/>
      <c r="AY112" s="1448"/>
      <c r="AZ112" s="1448"/>
      <c r="BA112" s="846"/>
      <c r="BB112" s="846"/>
      <c r="BD112" s="897" t="str">
        <f>IFERROR(VLOOKUP(H112,Valid!$B$94:$N$96,3,FALSE), "")</f>
        <v/>
      </c>
      <c r="BE112" s="898" t="str">
        <f>IFERROR(VLOOKUP(H112,Valid!$B$94:$N$96,4,FALSE), "")</f>
        <v/>
      </c>
      <c r="BF112" s="897" t="str">
        <f t="shared" si="17"/>
        <v/>
      </c>
      <c r="BG112" s="897" t="str">
        <f t="shared" ca="1" si="18"/>
        <v/>
      </c>
      <c r="BH112" s="1860" t="str">
        <f>IFERROR(VLOOKUP($H112,val_equip_assets,BH$4,FALSE), "")</f>
        <v/>
      </c>
      <c r="BI112" s="1547" t="str">
        <f t="shared" ca="1" si="19"/>
        <v/>
      </c>
      <c r="BJ112" s="898" t="str">
        <f ca="1">IF(BI112="", "", IF(BI112&lt;0.1, 5, IF(BI112&lt;0.25, 4, IF(BI112&lt;0.5, 3, IF(BI112&lt;0.75, 2, 1)))))</f>
        <v/>
      </c>
      <c r="BK112" s="898" t="str">
        <f t="shared" si="16"/>
        <v/>
      </c>
      <c r="BL112" s="898" t="str">
        <f t="shared" si="16"/>
        <v/>
      </c>
      <c r="BM112" s="1710" t="str">
        <f t="shared" si="16"/>
        <v/>
      </c>
      <c r="BN112" s="1205" t="str">
        <f>IFERROR(VLOOKUP(H112,Valid!$B$94:$N$96,12,FALSE), "")</f>
        <v/>
      </c>
      <c r="BO112" s="1205" t="str">
        <f>IFERROR(VLOOKUP(H112,Valid!$B$94:$N$96,13,FALSE), "")</f>
        <v/>
      </c>
    </row>
    <row r="113" spans="1:69" s="901" customFormat="1" x14ac:dyDescent="0.2">
      <c r="A113" s="206">
        <v>51</v>
      </c>
      <c r="B113" s="1530">
        <v>51</v>
      </c>
      <c r="C113" s="1703"/>
      <c r="D113" s="1248" t="str">
        <f>IF(C111="","",IF(C113="","Enter Service Fleet Description then Fill in columns "&amp;TEXT($H$2,0)&amp;" - "&amp;TEXT($Z$2,0)&amp;"                 ",""))</f>
        <v/>
      </c>
      <c r="E113" s="1245" t="str">
        <f>IF(AK113="N/A","",AK113)</f>
        <v/>
      </c>
      <c r="F113" s="170"/>
      <c r="G113" s="170"/>
      <c r="H113" s="1704"/>
      <c r="I113" s="1246" t="str">
        <f>IF(AND(E113="No",H113=""),"Select Type of Vehicle                        ","")</f>
        <v/>
      </c>
      <c r="J113" s="1247"/>
      <c r="K113" s="1246" t="str">
        <f>IF(AND(C113="No",H113=""),"Number of Vehicles?  ","")</f>
        <v/>
      </c>
      <c r="L113" s="1782" t="str">
        <f>IFERROR(VLOOKUP($H113,val_equip_assets,BH$4,FALSE), "")</f>
        <v/>
      </c>
      <c r="M113" s="1246"/>
      <c r="N113" s="1247"/>
      <c r="O113" s="892" t="str">
        <f>IF(H113="","",IF(AND(E113="No",N113=""),TEXT(BH113,0)&amp;" Years?   ",""))</f>
        <v/>
      </c>
      <c r="P113" s="1705"/>
      <c r="Q113" s="1706" t="str">
        <f>IF(AND(E113="No",P113=""),"Enter Manufact. Yr.     ","")</f>
        <v/>
      </c>
      <c r="R113" s="1952" t="str">
        <f ca="1">BI113</f>
        <v/>
      </c>
      <c r="S113" s="1706"/>
      <c r="T113" s="1963" t="str">
        <f ca="1">BJ113</f>
        <v/>
      </c>
      <c r="U113" s="1706"/>
      <c r="V113" s="1675"/>
      <c r="W113" s="892" t="str">
        <f>IF(AND(E113="No",V113=""),"% of Cap. Resp.    ","")</f>
        <v/>
      </c>
      <c r="X113" s="1655"/>
      <c r="Y113" s="892" t="str">
        <f>IF(AND(E113="No",X113=""),"Estimated $?   ","")</f>
        <v/>
      </c>
      <c r="Z113" s="1707"/>
      <c r="AA113" s="892" t="str">
        <f t="shared" si="15"/>
        <v/>
      </c>
      <c r="AB113" s="1026" t="str">
        <f>IF(E113="","",IF(OR($X113="",$Z113=""),"missing info.",$X113*VLOOKUP($Z113,Inflate,$BF113+1,FALSE)))</f>
        <v/>
      </c>
      <c r="AC113" s="1622"/>
      <c r="AD113" s="1026" t="str">
        <f>IF(E113="","",IF(J113="","missing info.",IF(AB113="missing info.","missing info.",AB113/J113)))</f>
        <v/>
      </c>
      <c r="AE113" s="839"/>
      <c r="AF113" s="1708"/>
      <c r="AG113" s="896"/>
      <c r="AH113" s="894"/>
      <c r="AI113" s="894" t="b">
        <f>IF(AND(C115&lt;&gt;"",C113=""),TRUE,FALSE)</f>
        <v>0</v>
      </c>
      <c r="AJ113" s="902" t="b">
        <f>IF(AND(N113="",P113&lt;&gt;""),TRUE,FALSE)</f>
        <v>0</v>
      </c>
      <c r="AK113" s="720" t="str">
        <f>IF(AND(J113="",AF113="",Z113="",X113="",V113="",N113="",H113="",P113="",C113=""),"N/A",IF(AND(C113&lt;&gt;"",J113&lt;&gt;"",N113&lt;&gt;"",H113&lt;&gt;"",P113&lt;&gt;"",V113&lt;&gt;"",X113&lt;&gt;"",Z113&lt;&gt;""),"Yes","No"))</f>
        <v>N/A</v>
      </c>
      <c r="AL113" s="720" t="b">
        <f>IF(AND(C113="",E113="no"),TRUE,FALSE)</f>
        <v>0</v>
      </c>
      <c r="AM113" s="720" t="b">
        <f>IF(AND(E113="no",H113=""),TRUE,FALSE)</f>
        <v>0</v>
      </c>
      <c r="AN113" s="720" t="b">
        <f>IF(AND(E113="no",H113=""),TRUE,FALSE)</f>
        <v>0</v>
      </c>
      <c r="AO113" s="903" t="b">
        <f>IF($J113="",FALSE,IF($J113&lt;$BD113,TRUE,FALSE))</f>
        <v>0</v>
      </c>
      <c r="AP113" s="903" t="b">
        <f>IF($J113="",FALSE,IF($J113&gt;$BE113,TRUE,FALSE))</f>
        <v>0</v>
      </c>
      <c r="AQ113" s="903" t="b">
        <f>IF(AND(E113="no",N113=""),TRUE,FALSE)</f>
        <v>0</v>
      </c>
      <c r="AR113" s="903" t="b">
        <f>IF(AND(E113="no",P113=""),TRUE,FALSE)</f>
        <v>0</v>
      </c>
      <c r="AS113" s="903" t="b">
        <f>IF(P113="",FALSE,IF(P113&lt;BM113,TRUE,FALSE))</f>
        <v>0</v>
      </c>
      <c r="AT113" s="903" t="b">
        <f>IF(P113="",FALSE,IF(P113&gt;BaseYear,TRUE,FALSE))</f>
        <v>0</v>
      </c>
      <c r="AU113" s="903" t="b">
        <f>IF(AND(E113="no",V113=""),TRUE,FALSE)</f>
        <v>0</v>
      </c>
      <c r="AV113" s="903" t="b">
        <f>IF(V113="",FALSE,IF(OR(V113&gt;1,V113&lt;0),TRUE,FALSE))</f>
        <v>0</v>
      </c>
      <c r="AW113" s="903" t="b">
        <f>IF($N113="",FALSE,IF($N113&lt;$BK113,TRUE,FALSE))</f>
        <v>0</v>
      </c>
      <c r="AX113" s="903" t="b">
        <f>IF($N113="",FALSE,IF($N113&gt;$BL113,TRUE,FALSE))</f>
        <v>0</v>
      </c>
      <c r="AY113" s="889" t="b">
        <f>IF(AND(E113="no",X113=""),TRUE,FALSE)</f>
        <v>0</v>
      </c>
      <c r="AZ113" s="889" t="b">
        <f>IF(OR(AD113="missing info.",AD113=""),FALSE,IF(AD113&lt;BN113,TRUE,FALSE))</f>
        <v>0</v>
      </c>
      <c r="BA113" s="890" t="b">
        <f>IF(OR(AD113="missing info.",AD113=""),FALSE,IF(AD113&gt;BO113,TRUE,FALSE))</f>
        <v>0</v>
      </c>
      <c r="BB113" s="890" t="b">
        <f>IF(AND(E113="no",Z113=""),TRUE,FALSE)</f>
        <v>0</v>
      </c>
      <c r="BC113" s="894" t="b">
        <f>IF(Z113="",FALSE,IF(OR(Z113&gt;BaseYear,Z113&lt;BM113),TRUE,FALSE))</f>
        <v>0</v>
      </c>
      <c r="BD113" s="897" t="str">
        <f>IFERROR(VLOOKUP(H113,Valid!$B$94:$N$96,3,FALSE), "")</f>
        <v/>
      </c>
      <c r="BE113" s="898" t="str">
        <f>IFERROR(VLOOKUP(H113,Valid!$B$94:$N$96,4,FALSE), "")</f>
        <v/>
      </c>
      <c r="BF113" s="897" t="str">
        <f t="shared" si="17"/>
        <v/>
      </c>
      <c r="BG113" s="897" t="str">
        <f t="shared" ca="1" si="18"/>
        <v/>
      </c>
      <c r="BH113" s="1860">
        <f>N113</f>
        <v>0</v>
      </c>
      <c r="BI113" s="1547" t="str">
        <f t="shared" ca="1" si="19"/>
        <v/>
      </c>
      <c r="BJ113" s="898" t="str">
        <f ca="1">IF(BI113="", "", IF(1+(BI113*4)&lt;1, 1, 1+(BI113*4)))</f>
        <v/>
      </c>
      <c r="BK113" s="898" t="str">
        <f t="shared" ref="BK113:BM132" si="20">IFERROR(VLOOKUP($H113,val_equip_assets,BK$4,FALSE), "")</f>
        <v/>
      </c>
      <c r="BL113" s="898" t="str">
        <f t="shared" si="20"/>
        <v/>
      </c>
      <c r="BM113" s="1710" t="str">
        <f t="shared" si="20"/>
        <v/>
      </c>
      <c r="BN113" s="1205" t="str">
        <f>IFERROR(VLOOKUP(H113,Valid!$B$94:$N$96,12,FALSE), "")</f>
        <v/>
      </c>
      <c r="BO113" s="1205" t="str">
        <f>IFERROR(VLOOKUP(H113,Valid!$B$94:$N$96,13,FALSE), "")</f>
        <v/>
      </c>
      <c r="BP113" s="894"/>
      <c r="BQ113" s="894"/>
    </row>
    <row r="114" spans="1:69" s="894" customFormat="1" ht="6.75" customHeight="1" thickBot="1" x14ac:dyDescent="0.25">
      <c r="A114" s="1516"/>
      <c r="B114" s="1530">
        <v>51.5</v>
      </c>
      <c r="C114" s="1471"/>
      <c r="D114" s="1541"/>
      <c r="E114" s="1057"/>
      <c r="F114" s="170"/>
      <c r="G114" s="170"/>
      <c r="H114" s="170"/>
      <c r="I114" s="170"/>
      <c r="J114" s="170"/>
      <c r="K114" s="170"/>
      <c r="L114" s="1031"/>
      <c r="M114" s="170"/>
      <c r="N114" s="1031"/>
      <c r="O114" s="892"/>
      <c r="P114" s="836"/>
      <c r="Q114" s="1709"/>
      <c r="R114" s="1806"/>
      <c r="S114" s="1709"/>
      <c r="T114" s="1962"/>
      <c r="U114" s="1709"/>
      <c r="V114" s="1806"/>
      <c r="W114" s="1709"/>
      <c r="X114" s="1027"/>
      <c r="Y114" s="892"/>
      <c r="Z114" s="893"/>
      <c r="AA114" s="892" t="str">
        <f t="shared" si="15"/>
        <v/>
      </c>
      <c r="AB114" s="1030"/>
      <c r="AC114" s="1622"/>
      <c r="AD114" s="1030"/>
      <c r="AF114" s="895"/>
      <c r="AG114" s="896"/>
      <c r="AJ114" s="900"/>
      <c r="AK114" s="1624"/>
      <c r="AO114" s="1152"/>
      <c r="AP114" s="1152"/>
      <c r="AQ114" s="1152"/>
      <c r="AR114" s="1152"/>
      <c r="AS114" s="1152"/>
      <c r="AT114" s="1152"/>
      <c r="AU114" s="1152"/>
      <c r="AV114" s="1152"/>
      <c r="AW114" s="1152"/>
      <c r="AX114" s="1152"/>
      <c r="AY114" s="1448"/>
      <c r="AZ114" s="1448"/>
      <c r="BA114" s="846"/>
      <c r="BB114" s="846"/>
      <c r="BD114" s="897" t="str">
        <f>IFERROR(VLOOKUP(H114,Valid!$B$94:$N$96,3,FALSE), "")</f>
        <v/>
      </c>
      <c r="BE114" s="898" t="str">
        <f>IFERROR(VLOOKUP(H114,Valid!$B$94:$N$96,4,FALSE), "")</f>
        <v/>
      </c>
      <c r="BF114" s="897" t="str">
        <f t="shared" si="17"/>
        <v/>
      </c>
      <c r="BG114" s="897" t="str">
        <f t="shared" ca="1" si="18"/>
        <v/>
      </c>
      <c r="BH114" s="1860" t="str">
        <f>IFERROR(VLOOKUP($H114,val_equip_assets,BH$4,FALSE), "")</f>
        <v/>
      </c>
      <c r="BI114" s="1547" t="str">
        <f t="shared" ca="1" si="19"/>
        <v/>
      </c>
      <c r="BJ114" s="898" t="str">
        <f ca="1">IF(BI114="", "", IF(BI114&lt;0.1, 5, IF(BI114&lt;0.25, 4, IF(BI114&lt;0.5, 3, IF(BI114&lt;0.75, 2, 1)))))</f>
        <v/>
      </c>
      <c r="BK114" s="898" t="str">
        <f t="shared" si="20"/>
        <v/>
      </c>
      <c r="BL114" s="898" t="str">
        <f t="shared" si="20"/>
        <v/>
      </c>
      <c r="BM114" s="1710" t="str">
        <f t="shared" si="20"/>
        <v/>
      </c>
      <c r="BN114" s="1205" t="str">
        <f>IFERROR(VLOOKUP(H114,Valid!$B$94:$N$96,12,FALSE), "")</f>
        <v/>
      </c>
      <c r="BO114" s="1205" t="str">
        <f>IFERROR(VLOOKUP(H114,Valid!$B$94:$N$96,13,FALSE), "")</f>
        <v/>
      </c>
    </row>
    <row r="115" spans="1:69" s="901" customFormat="1" x14ac:dyDescent="0.2">
      <c r="A115" s="206">
        <v>52</v>
      </c>
      <c r="B115" s="1530">
        <v>52</v>
      </c>
      <c r="C115" s="1703"/>
      <c r="D115" s="1248" t="str">
        <f>IF(C113="","",IF(C115="","Enter Service Fleet Description then Fill in columns "&amp;TEXT($H$2,0)&amp;" - "&amp;TEXT($Z$2,0)&amp;"                 ",""))</f>
        <v/>
      </c>
      <c r="E115" s="1245" t="str">
        <f>IF(AK115="N/A","",AK115)</f>
        <v/>
      </c>
      <c r="F115" s="170"/>
      <c r="G115" s="170"/>
      <c r="H115" s="1704"/>
      <c r="I115" s="1246" t="str">
        <f>IF(AND(E115="No",H115=""),"Select Type of Vehicle                        ","")</f>
        <v/>
      </c>
      <c r="J115" s="1247"/>
      <c r="K115" s="1246" t="str">
        <f>IF(AND(C115="No",H115=""),"Number of Vehicles?  ","")</f>
        <v/>
      </c>
      <c r="L115" s="1782" t="str">
        <f>IFERROR(VLOOKUP($H115,val_equip_assets,BH$4,FALSE), "")</f>
        <v/>
      </c>
      <c r="M115" s="1246"/>
      <c r="N115" s="1247"/>
      <c r="O115" s="892" t="str">
        <f>IF(H115="","",IF(AND(E115="No",N115=""),TEXT(BH115,0)&amp;" Years?   ",""))</f>
        <v/>
      </c>
      <c r="P115" s="1705"/>
      <c r="Q115" s="1706" t="str">
        <f>IF(AND(E115="No",P115=""),"Enter Manufact. Yr.     ","")</f>
        <v/>
      </c>
      <c r="R115" s="1952" t="str">
        <f ca="1">BI115</f>
        <v/>
      </c>
      <c r="S115" s="1706"/>
      <c r="T115" s="1963" t="str">
        <f ca="1">BJ115</f>
        <v/>
      </c>
      <c r="U115" s="1706"/>
      <c r="V115" s="1675"/>
      <c r="W115" s="892" t="str">
        <f>IF(AND(E115="No",V115=""),"% of Cap. Resp.    ","")</f>
        <v/>
      </c>
      <c r="X115" s="1655"/>
      <c r="Y115" s="892" t="str">
        <f>IF(AND(E115="No",X115=""),"Estimated $?   ","")</f>
        <v/>
      </c>
      <c r="Z115" s="1707"/>
      <c r="AA115" s="892" t="str">
        <f t="shared" ref="AA115:AA146" si="21">IF(AND(E115="No",Z115=""),"Yr.$?      ","")</f>
        <v/>
      </c>
      <c r="AB115" s="1026" t="str">
        <f>IF(E115="","",IF(OR($X115="",$Z115=""),"missing info.",$X115*VLOOKUP($Z115,Inflate,$BF115+1,FALSE)))</f>
        <v/>
      </c>
      <c r="AC115" s="1622"/>
      <c r="AD115" s="1026" t="str">
        <f>IF(E115="","",IF(J115="","missing info.",IF(AB115="missing info.","missing info.",AB115/J115)))</f>
        <v/>
      </c>
      <c r="AE115" s="839"/>
      <c r="AF115" s="1708"/>
      <c r="AG115" s="896"/>
      <c r="AH115" s="894"/>
      <c r="AI115" s="894" t="b">
        <f>IF(AND(C117&lt;&gt;"",C115=""),TRUE,FALSE)</f>
        <v>0</v>
      </c>
      <c r="AJ115" s="902" t="b">
        <f>IF(AND(N115="",P115&lt;&gt;""),TRUE,FALSE)</f>
        <v>0</v>
      </c>
      <c r="AK115" s="720" t="str">
        <f>IF(AND(J115="",AF115="",Z115="",X115="",V115="",N115="",H115="",P115="",C115=""),"N/A",IF(AND(C115&lt;&gt;"",J115&lt;&gt;"",N115&lt;&gt;"",H115&lt;&gt;"",P115&lt;&gt;"",V115&lt;&gt;"",X115&lt;&gt;"",Z115&lt;&gt;""),"Yes","No"))</f>
        <v>N/A</v>
      </c>
      <c r="AL115" s="720" t="b">
        <f>IF(AND(C115="",E115="no"),TRUE,FALSE)</f>
        <v>0</v>
      </c>
      <c r="AM115" s="720" t="b">
        <f>IF(AND(E115="no",H115=""),TRUE,FALSE)</f>
        <v>0</v>
      </c>
      <c r="AN115" s="720" t="b">
        <f>IF(AND(E115="no",H115=""),TRUE,FALSE)</f>
        <v>0</v>
      </c>
      <c r="AO115" s="903" t="b">
        <f>IF($J115="",FALSE,IF($J115&lt;$BD115,TRUE,FALSE))</f>
        <v>0</v>
      </c>
      <c r="AP115" s="903" t="b">
        <f>IF($J115="",FALSE,IF($J115&gt;$BE115,TRUE,FALSE))</f>
        <v>0</v>
      </c>
      <c r="AQ115" s="903" t="b">
        <f>IF(AND(E115="no",N115=""),TRUE,FALSE)</f>
        <v>0</v>
      </c>
      <c r="AR115" s="903" t="b">
        <f>IF(AND(E115="no",P115=""),TRUE,FALSE)</f>
        <v>0</v>
      </c>
      <c r="AS115" s="903" t="b">
        <f>IF(P115="",FALSE,IF(P115&lt;BM115,TRUE,FALSE))</f>
        <v>0</v>
      </c>
      <c r="AT115" s="903" t="b">
        <f>IF(P115="",FALSE,IF(P115&gt;BaseYear,TRUE,FALSE))</f>
        <v>0</v>
      </c>
      <c r="AU115" s="903" t="b">
        <f>IF(AND(E115="no",V115=""),TRUE,FALSE)</f>
        <v>0</v>
      </c>
      <c r="AV115" s="903" t="b">
        <f>IF(V115="",FALSE,IF(OR(V115&gt;1,V115&lt;0),TRUE,FALSE))</f>
        <v>0</v>
      </c>
      <c r="AW115" s="903" t="b">
        <f>IF($N115="",FALSE,IF($N115&lt;$BK115,TRUE,FALSE))</f>
        <v>0</v>
      </c>
      <c r="AX115" s="903" t="b">
        <f>IF($N115="",FALSE,IF($N115&gt;$BL115,TRUE,FALSE))</f>
        <v>0</v>
      </c>
      <c r="AY115" s="889" t="b">
        <f>IF(AND(E115="no",X115=""),TRUE,FALSE)</f>
        <v>0</v>
      </c>
      <c r="AZ115" s="889" t="b">
        <f>IF(OR(AD115="missing info.",AD115=""),FALSE,IF(AD115&lt;BN115,TRUE,FALSE))</f>
        <v>0</v>
      </c>
      <c r="BA115" s="890" t="b">
        <f>IF(OR(AD115="missing info.",AD115=""),FALSE,IF(AD115&gt;BO115,TRUE,FALSE))</f>
        <v>0</v>
      </c>
      <c r="BB115" s="890" t="b">
        <f>IF(AND(E115="no",Z115=""),TRUE,FALSE)</f>
        <v>0</v>
      </c>
      <c r="BC115" s="894" t="b">
        <f>IF(Z115="",FALSE,IF(OR(Z115&gt;BaseYear,Z115&lt;BM115),TRUE,FALSE))</f>
        <v>0</v>
      </c>
      <c r="BD115" s="897" t="str">
        <f>IFERROR(VLOOKUP(H115,Valid!$B$94:$N$96,3,FALSE), "")</f>
        <v/>
      </c>
      <c r="BE115" s="898" t="str">
        <f>IFERROR(VLOOKUP(H115,Valid!$B$94:$N$96,4,FALSE), "")</f>
        <v/>
      </c>
      <c r="BF115" s="897" t="str">
        <f t="shared" si="17"/>
        <v/>
      </c>
      <c r="BG115" s="897" t="str">
        <f t="shared" ca="1" si="18"/>
        <v/>
      </c>
      <c r="BH115" s="1860">
        <f>N115</f>
        <v>0</v>
      </c>
      <c r="BI115" s="1547" t="str">
        <f t="shared" ca="1" si="19"/>
        <v/>
      </c>
      <c r="BJ115" s="898" t="str">
        <f ca="1">IF(BI115="", "", IF(1+(BI115*4)&lt;1, 1, 1+(BI115*4)))</f>
        <v/>
      </c>
      <c r="BK115" s="898" t="str">
        <f t="shared" si="20"/>
        <v/>
      </c>
      <c r="BL115" s="898" t="str">
        <f t="shared" si="20"/>
        <v/>
      </c>
      <c r="BM115" s="1710" t="str">
        <f t="shared" si="20"/>
        <v/>
      </c>
      <c r="BN115" s="1205" t="str">
        <f>IFERROR(VLOOKUP(H115,Valid!$B$94:$N$96,12,FALSE), "")</f>
        <v/>
      </c>
      <c r="BO115" s="1205" t="str">
        <f>IFERROR(VLOOKUP(H115,Valid!$B$94:$N$96,13,FALSE), "")</f>
        <v/>
      </c>
      <c r="BP115" s="894"/>
      <c r="BQ115" s="894"/>
    </row>
    <row r="116" spans="1:69" s="894" customFormat="1" ht="6.75" customHeight="1" thickBot="1" x14ac:dyDescent="0.25">
      <c r="A116" s="1516"/>
      <c r="B116" s="1530">
        <v>52.5</v>
      </c>
      <c r="C116" s="1471"/>
      <c r="D116" s="1541"/>
      <c r="E116" s="1057"/>
      <c r="F116" s="170"/>
      <c r="G116" s="170"/>
      <c r="H116" s="170"/>
      <c r="I116" s="170"/>
      <c r="J116" s="170"/>
      <c r="K116" s="170"/>
      <c r="L116" s="1031"/>
      <c r="M116" s="170"/>
      <c r="N116" s="1031"/>
      <c r="O116" s="892"/>
      <c r="P116" s="836"/>
      <c r="Q116" s="1709"/>
      <c r="R116" s="1806"/>
      <c r="S116" s="1709"/>
      <c r="T116" s="1962"/>
      <c r="U116" s="1709"/>
      <c r="V116" s="1806"/>
      <c r="W116" s="1709"/>
      <c r="X116" s="1027"/>
      <c r="Y116" s="892"/>
      <c r="Z116" s="893"/>
      <c r="AA116" s="892" t="str">
        <f t="shared" si="21"/>
        <v/>
      </c>
      <c r="AB116" s="1030"/>
      <c r="AC116" s="1622"/>
      <c r="AD116" s="1030"/>
      <c r="AF116" s="895"/>
      <c r="AG116" s="896"/>
      <c r="AJ116" s="900"/>
      <c r="AK116" s="1624"/>
      <c r="AO116" s="1152"/>
      <c r="AP116" s="1152"/>
      <c r="AQ116" s="1152"/>
      <c r="AR116" s="1152"/>
      <c r="AS116" s="1152"/>
      <c r="AT116" s="1152"/>
      <c r="AU116" s="1152"/>
      <c r="AV116" s="1152"/>
      <c r="AW116" s="1152"/>
      <c r="AX116" s="1152"/>
      <c r="AY116" s="1448"/>
      <c r="AZ116" s="1448"/>
      <c r="BA116" s="846"/>
      <c r="BB116" s="846"/>
      <c r="BD116" s="897" t="str">
        <f>IFERROR(VLOOKUP(H116,Valid!$B$94:$N$96,3,FALSE), "")</f>
        <v/>
      </c>
      <c r="BE116" s="898" t="str">
        <f>IFERROR(VLOOKUP(H116,Valid!$B$94:$N$96,4,FALSE), "")</f>
        <v/>
      </c>
      <c r="BF116" s="897" t="str">
        <f t="shared" si="17"/>
        <v/>
      </c>
      <c r="BG116" s="897" t="str">
        <f t="shared" ca="1" si="18"/>
        <v/>
      </c>
      <c r="BH116" s="1860" t="str">
        <f>IFERROR(VLOOKUP($H116,val_equip_assets,BH$4,FALSE), "")</f>
        <v/>
      </c>
      <c r="BI116" s="1547" t="str">
        <f t="shared" ca="1" si="19"/>
        <v/>
      </c>
      <c r="BJ116" s="898" t="str">
        <f ca="1">IF(BI116="", "", IF(BI116&lt;0.1, 5, IF(BI116&lt;0.25, 4, IF(BI116&lt;0.5, 3, IF(BI116&lt;0.75, 2, 1)))))</f>
        <v/>
      </c>
      <c r="BK116" s="898" t="str">
        <f t="shared" si="20"/>
        <v/>
      </c>
      <c r="BL116" s="898" t="str">
        <f t="shared" si="20"/>
        <v/>
      </c>
      <c r="BM116" s="1710" t="str">
        <f t="shared" si="20"/>
        <v/>
      </c>
      <c r="BN116" s="1205" t="str">
        <f>IFERROR(VLOOKUP(H116,Valid!$B$94:$N$96,12,FALSE), "")</f>
        <v/>
      </c>
      <c r="BO116" s="1205" t="str">
        <f>IFERROR(VLOOKUP(H116,Valid!$B$94:$N$96,13,FALSE), "")</f>
        <v/>
      </c>
    </row>
    <row r="117" spans="1:69" s="901" customFormat="1" x14ac:dyDescent="0.2">
      <c r="A117" s="206">
        <v>53</v>
      </c>
      <c r="B117" s="1530">
        <v>53</v>
      </c>
      <c r="C117" s="1703"/>
      <c r="D117" s="1248" t="str">
        <f>IF(C115="","",IF(C117="","Enter Service Fleet Description then Fill in columns "&amp;TEXT($H$2,0)&amp;" - "&amp;TEXT($Z$2,0)&amp;"                 ",""))</f>
        <v/>
      </c>
      <c r="E117" s="1245" t="str">
        <f>IF(AK117="N/A","",AK117)</f>
        <v/>
      </c>
      <c r="F117" s="170"/>
      <c r="G117" s="170"/>
      <c r="H117" s="1704"/>
      <c r="I117" s="1246" t="str">
        <f>IF(AND(E117="No",H117=""),"Select Type of Vehicle                        ","")</f>
        <v/>
      </c>
      <c r="J117" s="1247"/>
      <c r="K117" s="1246" t="str">
        <f>IF(AND(C117="No",H117=""),"Number of Vehicles?  ","")</f>
        <v/>
      </c>
      <c r="L117" s="1782" t="str">
        <f>IFERROR(VLOOKUP($H117,val_equip_assets,BH$4,FALSE), "")</f>
        <v/>
      </c>
      <c r="M117" s="1246"/>
      <c r="N117" s="1247"/>
      <c r="O117" s="892" t="str">
        <f>IF(H117="","",IF(AND(E117="No",N117=""),TEXT(BH117,0)&amp;" Years?   ",""))</f>
        <v/>
      </c>
      <c r="P117" s="1705"/>
      <c r="Q117" s="1706" t="str">
        <f>IF(AND(E117="No",P117=""),"Enter Manufact. Yr.     ","")</f>
        <v/>
      </c>
      <c r="R117" s="1952" t="str">
        <f ca="1">BI117</f>
        <v/>
      </c>
      <c r="S117" s="1706"/>
      <c r="T117" s="1963" t="str">
        <f ca="1">BJ117</f>
        <v/>
      </c>
      <c r="U117" s="1706"/>
      <c r="V117" s="1675"/>
      <c r="W117" s="892" t="str">
        <f>IF(AND(E117="No",V117=""),"% of Cap. Resp.    ","")</f>
        <v/>
      </c>
      <c r="X117" s="1655"/>
      <c r="Y117" s="892" t="str">
        <f>IF(AND(E117="No",X117=""),"Estimated $?   ","")</f>
        <v/>
      </c>
      <c r="Z117" s="1707"/>
      <c r="AA117" s="892" t="str">
        <f t="shared" si="21"/>
        <v/>
      </c>
      <c r="AB117" s="1026" t="str">
        <f>IF(E117="","",IF(OR($X117="",$Z117=""),"missing info.",$X117*VLOOKUP($Z117,Inflate,$BF117+1,FALSE)))</f>
        <v/>
      </c>
      <c r="AC117" s="1622"/>
      <c r="AD117" s="1026" t="str">
        <f>IF(E117="","",IF(J117="","missing info.",IF(AB117="missing info.","missing info.",AB117/J117)))</f>
        <v/>
      </c>
      <c r="AE117" s="839"/>
      <c r="AF117" s="1708"/>
      <c r="AG117" s="896"/>
      <c r="AH117" s="894"/>
      <c r="AI117" s="894" t="b">
        <f>IF(AND(C119&lt;&gt;"",C117=""),TRUE,FALSE)</f>
        <v>0</v>
      </c>
      <c r="AJ117" s="902" t="b">
        <f>IF(AND(N117="",P117&lt;&gt;""),TRUE,FALSE)</f>
        <v>0</v>
      </c>
      <c r="AK117" s="720" t="str">
        <f>IF(AND(J117="",AF117="",Z117="",X117="",V117="",N117="",H117="",P117="",C117=""),"N/A",IF(AND(C117&lt;&gt;"",J117&lt;&gt;"",N117&lt;&gt;"",H117&lt;&gt;"",P117&lt;&gt;"",V117&lt;&gt;"",X117&lt;&gt;"",Z117&lt;&gt;""),"Yes","No"))</f>
        <v>N/A</v>
      </c>
      <c r="AL117" s="720" t="b">
        <f>IF(AND(C117="",E117="no"),TRUE,FALSE)</f>
        <v>0</v>
      </c>
      <c r="AM117" s="720" t="b">
        <f>IF(AND(E117="no",H117=""),TRUE,FALSE)</f>
        <v>0</v>
      </c>
      <c r="AN117" s="720" t="b">
        <f>IF(AND(E117="no",H117=""),TRUE,FALSE)</f>
        <v>0</v>
      </c>
      <c r="AO117" s="903" t="b">
        <f>IF($J117="",FALSE,IF($J117&lt;$BD117,TRUE,FALSE))</f>
        <v>0</v>
      </c>
      <c r="AP117" s="903" t="b">
        <f>IF($J117="",FALSE,IF($J117&gt;$BE117,TRUE,FALSE))</f>
        <v>0</v>
      </c>
      <c r="AQ117" s="903" t="b">
        <f>IF(AND(E117="no",N117=""),TRUE,FALSE)</f>
        <v>0</v>
      </c>
      <c r="AR117" s="903" t="b">
        <f>IF(AND(E117="no",P117=""),TRUE,FALSE)</f>
        <v>0</v>
      </c>
      <c r="AS117" s="903" t="b">
        <f>IF(P117="",FALSE,IF(P117&lt;BM117,TRUE,FALSE))</f>
        <v>0</v>
      </c>
      <c r="AT117" s="903" t="b">
        <f>IF(P117="",FALSE,IF(P117&gt;BaseYear,TRUE,FALSE))</f>
        <v>0</v>
      </c>
      <c r="AU117" s="903" t="b">
        <f>IF(AND(E117="no",V117=""),TRUE,FALSE)</f>
        <v>0</v>
      </c>
      <c r="AV117" s="903" t="b">
        <f>IF(V117="",FALSE,IF(OR(V117&gt;1,V117&lt;0),TRUE,FALSE))</f>
        <v>0</v>
      </c>
      <c r="AW117" s="903" t="b">
        <f>IF($N117="",FALSE,IF($N117&lt;$BK117,TRUE,FALSE))</f>
        <v>0</v>
      </c>
      <c r="AX117" s="903" t="b">
        <f>IF($N117="",FALSE,IF($N117&gt;$BL117,TRUE,FALSE))</f>
        <v>0</v>
      </c>
      <c r="AY117" s="889" t="b">
        <f>IF(AND(E117="no",X117=""),TRUE,FALSE)</f>
        <v>0</v>
      </c>
      <c r="AZ117" s="889" t="b">
        <f>IF(OR(AD117="missing info.",AD117=""),FALSE,IF(AD117&lt;BN117,TRUE,FALSE))</f>
        <v>0</v>
      </c>
      <c r="BA117" s="890" t="b">
        <f>IF(OR(AD117="missing info.",AD117=""),FALSE,IF(AD117&gt;BO117,TRUE,FALSE))</f>
        <v>0</v>
      </c>
      <c r="BB117" s="890" t="b">
        <f>IF(AND(E117="no",Z117=""),TRUE,FALSE)</f>
        <v>0</v>
      </c>
      <c r="BC117" s="894" t="b">
        <f>IF(Z117="",FALSE,IF(OR(Z117&gt;BaseYear,Z117&lt;BM117),TRUE,FALSE))</f>
        <v>0</v>
      </c>
      <c r="BD117" s="897" t="str">
        <f>IFERROR(VLOOKUP(H117,Valid!$B$94:$N$96,3,FALSE), "")</f>
        <v/>
      </c>
      <c r="BE117" s="898" t="str">
        <f>IFERROR(VLOOKUP(H117,Valid!$B$94:$N$96,4,FALSE), "")</f>
        <v/>
      </c>
      <c r="BF117" s="897" t="str">
        <f t="shared" si="17"/>
        <v/>
      </c>
      <c r="BG117" s="897" t="str">
        <f t="shared" ca="1" si="18"/>
        <v/>
      </c>
      <c r="BH117" s="1860">
        <f>N117</f>
        <v>0</v>
      </c>
      <c r="BI117" s="1547" t="str">
        <f t="shared" ca="1" si="19"/>
        <v/>
      </c>
      <c r="BJ117" s="898" t="str">
        <f ca="1">IF(BI117="", "", IF(1+(BI117*4)&lt;1, 1, 1+(BI117*4)))</f>
        <v/>
      </c>
      <c r="BK117" s="898" t="str">
        <f t="shared" si="20"/>
        <v/>
      </c>
      <c r="BL117" s="898" t="str">
        <f t="shared" si="20"/>
        <v/>
      </c>
      <c r="BM117" s="1710" t="str">
        <f t="shared" si="20"/>
        <v/>
      </c>
      <c r="BN117" s="1205" t="str">
        <f>IFERROR(VLOOKUP(H117,Valid!$B$94:$N$96,12,FALSE), "")</f>
        <v/>
      </c>
      <c r="BO117" s="1205" t="str">
        <f>IFERROR(VLOOKUP(H117,Valid!$B$94:$N$96,13,FALSE), "")</f>
        <v/>
      </c>
      <c r="BP117" s="894"/>
      <c r="BQ117" s="894"/>
    </row>
    <row r="118" spans="1:69" s="894" customFormat="1" ht="6.75" customHeight="1" thickBot="1" x14ac:dyDescent="0.25">
      <c r="A118" s="1516"/>
      <c r="B118" s="1530">
        <v>53.5</v>
      </c>
      <c r="C118" s="1471"/>
      <c r="D118" s="1541"/>
      <c r="E118" s="1057"/>
      <c r="F118" s="170"/>
      <c r="G118" s="170"/>
      <c r="H118" s="170"/>
      <c r="I118" s="170"/>
      <c r="J118" s="170"/>
      <c r="K118" s="170"/>
      <c r="L118" s="1031"/>
      <c r="M118" s="170"/>
      <c r="N118" s="1031"/>
      <c r="O118" s="892"/>
      <c r="P118" s="836"/>
      <c r="Q118" s="1709"/>
      <c r="R118" s="1806"/>
      <c r="S118" s="1709"/>
      <c r="T118" s="1962"/>
      <c r="U118" s="1709"/>
      <c r="V118" s="1806"/>
      <c r="W118" s="1709"/>
      <c r="X118" s="1027"/>
      <c r="Y118" s="892"/>
      <c r="Z118" s="893"/>
      <c r="AA118" s="892" t="str">
        <f t="shared" si="21"/>
        <v/>
      </c>
      <c r="AB118" s="1030"/>
      <c r="AC118" s="1622"/>
      <c r="AD118" s="1030"/>
      <c r="AF118" s="895"/>
      <c r="AG118" s="896"/>
      <c r="AJ118" s="900"/>
      <c r="AK118" s="1624"/>
      <c r="AO118" s="1152"/>
      <c r="AP118" s="1152"/>
      <c r="AQ118" s="1152"/>
      <c r="AR118" s="1152"/>
      <c r="AS118" s="1152"/>
      <c r="AT118" s="1152"/>
      <c r="AU118" s="1152"/>
      <c r="AV118" s="1152"/>
      <c r="AW118" s="1152"/>
      <c r="AX118" s="1152"/>
      <c r="AY118" s="1448"/>
      <c r="AZ118" s="1448"/>
      <c r="BA118" s="846"/>
      <c r="BB118" s="846"/>
      <c r="BD118" s="897" t="str">
        <f>IFERROR(VLOOKUP(H118,Valid!$B$94:$N$96,3,FALSE), "")</f>
        <v/>
      </c>
      <c r="BE118" s="898" t="str">
        <f>IFERROR(VLOOKUP(H118,Valid!$B$94:$N$96,4,FALSE), "")</f>
        <v/>
      </c>
      <c r="BF118" s="897" t="str">
        <f t="shared" si="17"/>
        <v/>
      </c>
      <c r="BG118" s="897" t="str">
        <f t="shared" ca="1" si="18"/>
        <v/>
      </c>
      <c r="BH118" s="1860" t="str">
        <f>IFERROR(VLOOKUP($H118,val_equip_assets,BH$4,FALSE), "")</f>
        <v/>
      </c>
      <c r="BI118" s="1547" t="str">
        <f t="shared" ca="1" si="19"/>
        <v/>
      </c>
      <c r="BJ118" s="898" t="str">
        <f ca="1">IF(BI118="", "", IF(BI118&lt;0.1, 5, IF(BI118&lt;0.25, 4, IF(BI118&lt;0.5, 3, IF(BI118&lt;0.75, 2, 1)))))</f>
        <v/>
      </c>
      <c r="BK118" s="898" t="str">
        <f t="shared" si="20"/>
        <v/>
      </c>
      <c r="BL118" s="898" t="str">
        <f t="shared" si="20"/>
        <v/>
      </c>
      <c r="BM118" s="1710" t="str">
        <f t="shared" si="20"/>
        <v/>
      </c>
      <c r="BN118" s="1205" t="str">
        <f>IFERROR(VLOOKUP(H118,Valid!$B$94:$N$96,12,FALSE), "")</f>
        <v/>
      </c>
      <c r="BO118" s="1205" t="str">
        <f>IFERROR(VLOOKUP(H118,Valid!$B$94:$N$96,13,FALSE), "")</f>
        <v/>
      </c>
    </row>
    <row r="119" spans="1:69" s="901" customFormat="1" x14ac:dyDescent="0.2">
      <c r="A119" s="206">
        <v>54</v>
      </c>
      <c r="B119" s="1530">
        <v>54</v>
      </c>
      <c r="C119" s="1703"/>
      <c r="D119" s="1248" t="str">
        <f>IF(C117="","",IF(C119="","Enter Service Fleet Description then Fill in columns "&amp;TEXT($H$2,0)&amp;" - "&amp;TEXT($Z$2,0)&amp;"                 ",""))</f>
        <v/>
      </c>
      <c r="E119" s="1245" t="str">
        <f>IF(AK119="N/A","",AK119)</f>
        <v/>
      </c>
      <c r="F119" s="170"/>
      <c r="G119" s="170"/>
      <c r="H119" s="1704"/>
      <c r="I119" s="1246" t="str">
        <f>IF(AND(E119="No",H119=""),"Select Type of Vehicle                        ","")</f>
        <v/>
      </c>
      <c r="J119" s="1247"/>
      <c r="K119" s="1246" t="str">
        <f>IF(AND(C119="No",H119=""),"Number of Vehicles?  ","")</f>
        <v/>
      </c>
      <c r="L119" s="1782" t="str">
        <f>IFERROR(VLOOKUP($H119,val_equip_assets,BH$4,FALSE), "")</f>
        <v/>
      </c>
      <c r="M119" s="1246"/>
      <c r="N119" s="1247"/>
      <c r="O119" s="892" t="str">
        <f>IF(H119="","",IF(AND(E119="No",N119=""),TEXT(BH119,0)&amp;" Years?   ",""))</f>
        <v/>
      </c>
      <c r="P119" s="1705"/>
      <c r="Q119" s="1706" t="str">
        <f>IF(AND(E119="No",P119=""),"Enter Manufact. Yr.     ","")</f>
        <v/>
      </c>
      <c r="R119" s="1952" t="str">
        <f ca="1">BI119</f>
        <v/>
      </c>
      <c r="S119" s="1706"/>
      <c r="T119" s="1963" t="str">
        <f ca="1">BJ119</f>
        <v/>
      </c>
      <c r="U119" s="1706"/>
      <c r="V119" s="1675"/>
      <c r="W119" s="892" t="str">
        <f>IF(AND(E119="No",V119=""),"% of Cap. Resp.    ","")</f>
        <v/>
      </c>
      <c r="X119" s="1655"/>
      <c r="Y119" s="892" t="str">
        <f>IF(AND(E119="No",X119=""),"Estimated $?   ","")</f>
        <v/>
      </c>
      <c r="Z119" s="1707"/>
      <c r="AA119" s="892" t="str">
        <f t="shared" si="21"/>
        <v/>
      </c>
      <c r="AB119" s="1026" t="str">
        <f>IF(E119="","",IF(OR($X119="",$Z119=""),"missing info.",$X119*VLOOKUP($Z119,Inflate,$BF119+1,FALSE)))</f>
        <v/>
      </c>
      <c r="AC119" s="1622"/>
      <c r="AD119" s="1026" t="str">
        <f>IF(E119="","",IF(J119="","missing info.",IF(AB119="missing info.","missing info.",AB119/J119)))</f>
        <v/>
      </c>
      <c r="AE119" s="839"/>
      <c r="AF119" s="1708"/>
      <c r="AG119" s="896"/>
      <c r="AH119" s="894"/>
      <c r="AI119" s="894" t="b">
        <f>IF(AND(C121&lt;&gt;"",C119=""),TRUE,FALSE)</f>
        <v>0</v>
      </c>
      <c r="AJ119" s="902" t="b">
        <f>IF(AND(N119="",P119&lt;&gt;""),TRUE,FALSE)</f>
        <v>0</v>
      </c>
      <c r="AK119" s="720" t="str">
        <f>IF(AND(J119="",AF119="",Z119="",X119="",V119="",N119="",H119="",P119="",C119=""),"N/A",IF(AND(C119&lt;&gt;"",J119&lt;&gt;"",N119&lt;&gt;"",H119&lt;&gt;"",P119&lt;&gt;"",V119&lt;&gt;"",X119&lt;&gt;"",Z119&lt;&gt;""),"Yes","No"))</f>
        <v>N/A</v>
      </c>
      <c r="AL119" s="720" t="b">
        <f>IF(AND(C119="",E119="no"),TRUE,FALSE)</f>
        <v>0</v>
      </c>
      <c r="AM119" s="720" t="b">
        <f>IF(AND(E119="no",H119=""),TRUE,FALSE)</f>
        <v>0</v>
      </c>
      <c r="AN119" s="720" t="b">
        <f>IF(AND(E119="no",H119=""),TRUE,FALSE)</f>
        <v>0</v>
      </c>
      <c r="AO119" s="903" t="b">
        <f>IF($J119="",FALSE,IF($J119&lt;$BD119,TRUE,FALSE))</f>
        <v>0</v>
      </c>
      <c r="AP119" s="903" t="b">
        <f>IF($J119="",FALSE,IF($J119&gt;$BE119,TRUE,FALSE))</f>
        <v>0</v>
      </c>
      <c r="AQ119" s="903" t="b">
        <f>IF(AND(E119="no",N119=""),TRUE,FALSE)</f>
        <v>0</v>
      </c>
      <c r="AR119" s="903" t="b">
        <f>IF(AND(E119="no",P119=""),TRUE,FALSE)</f>
        <v>0</v>
      </c>
      <c r="AS119" s="903" t="b">
        <f>IF(P119="",FALSE,IF(P119&lt;BM119,TRUE,FALSE))</f>
        <v>0</v>
      </c>
      <c r="AT119" s="903" t="b">
        <f>IF(P119="",FALSE,IF(P119&gt;BaseYear,TRUE,FALSE))</f>
        <v>0</v>
      </c>
      <c r="AU119" s="903" t="b">
        <f>IF(AND(E119="no",V119=""),TRUE,FALSE)</f>
        <v>0</v>
      </c>
      <c r="AV119" s="903" t="b">
        <f>IF(V119="",FALSE,IF(OR(V119&gt;1,V119&lt;0),TRUE,FALSE))</f>
        <v>0</v>
      </c>
      <c r="AW119" s="903" t="b">
        <f>IF($N119="",FALSE,IF($N119&lt;$BK119,TRUE,FALSE))</f>
        <v>0</v>
      </c>
      <c r="AX119" s="903" t="b">
        <f>IF($N119="",FALSE,IF($N119&gt;$BL119,TRUE,FALSE))</f>
        <v>0</v>
      </c>
      <c r="AY119" s="889" t="b">
        <f>IF(AND(E119="no",X119=""),TRUE,FALSE)</f>
        <v>0</v>
      </c>
      <c r="AZ119" s="889" t="b">
        <f>IF(OR(AD119="missing info.",AD119=""),FALSE,IF(AD119&lt;BN119,TRUE,FALSE))</f>
        <v>0</v>
      </c>
      <c r="BA119" s="890" t="b">
        <f>IF(OR(AD119="missing info.",AD119=""),FALSE,IF(AD119&gt;BO119,TRUE,FALSE))</f>
        <v>0</v>
      </c>
      <c r="BB119" s="890" t="b">
        <f>IF(AND(E119="no",Z119=""),TRUE,FALSE)</f>
        <v>0</v>
      </c>
      <c r="BC119" s="894" t="b">
        <f>IF(Z119="",FALSE,IF(OR(Z119&gt;BaseYear,Z119&lt;BM119),TRUE,FALSE))</f>
        <v>0</v>
      </c>
      <c r="BD119" s="897" t="str">
        <f>IFERROR(VLOOKUP(H119,Valid!$B$94:$N$96,3,FALSE), "")</f>
        <v/>
      </c>
      <c r="BE119" s="898" t="str">
        <f>IFERROR(VLOOKUP(H119,Valid!$B$94:$N$96,4,FALSE), "")</f>
        <v/>
      </c>
      <c r="BF119" s="897" t="str">
        <f t="shared" si="17"/>
        <v/>
      </c>
      <c r="BG119" s="897" t="str">
        <f t="shared" ca="1" si="18"/>
        <v/>
      </c>
      <c r="BH119" s="1860">
        <f>N119</f>
        <v>0</v>
      </c>
      <c r="BI119" s="1547" t="str">
        <f t="shared" ca="1" si="19"/>
        <v/>
      </c>
      <c r="BJ119" s="898" t="str">
        <f ca="1">IF(BI119="", "", IF(1+(BI119*4)&lt;1, 1, 1+(BI119*4)))</f>
        <v/>
      </c>
      <c r="BK119" s="898" t="str">
        <f t="shared" si="20"/>
        <v/>
      </c>
      <c r="BL119" s="898" t="str">
        <f t="shared" si="20"/>
        <v/>
      </c>
      <c r="BM119" s="1710" t="str">
        <f t="shared" si="20"/>
        <v/>
      </c>
      <c r="BN119" s="1205" t="str">
        <f>IFERROR(VLOOKUP(H119,Valid!$B$94:$N$96,12,FALSE), "")</f>
        <v/>
      </c>
      <c r="BO119" s="1205" t="str">
        <f>IFERROR(VLOOKUP(H119,Valid!$B$94:$N$96,13,FALSE), "")</f>
        <v/>
      </c>
      <c r="BP119" s="894"/>
      <c r="BQ119" s="894"/>
    </row>
    <row r="120" spans="1:69" s="894" customFormat="1" ht="6.75" customHeight="1" thickBot="1" x14ac:dyDescent="0.25">
      <c r="A120" s="1516"/>
      <c r="B120" s="1530">
        <v>54.5</v>
      </c>
      <c r="C120" s="1471"/>
      <c r="D120" s="1541"/>
      <c r="E120" s="1057"/>
      <c r="F120" s="170"/>
      <c r="G120" s="170"/>
      <c r="H120" s="170"/>
      <c r="I120" s="170"/>
      <c r="J120" s="170"/>
      <c r="K120" s="170"/>
      <c r="L120" s="1031"/>
      <c r="M120" s="170"/>
      <c r="N120" s="1031"/>
      <c r="O120" s="892"/>
      <c r="P120" s="836"/>
      <c r="Q120" s="1709"/>
      <c r="R120" s="1806"/>
      <c r="S120" s="1709"/>
      <c r="T120" s="1962"/>
      <c r="U120" s="1709"/>
      <c r="V120" s="1806"/>
      <c r="W120" s="1709"/>
      <c r="X120" s="1027"/>
      <c r="Y120" s="892"/>
      <c r="Z120" s="893"/>
      <c r="AA120" s="892" t="str">
        <f t="shared" si="21"/>
        <v/>
      </c>
      <c r="AB120" s="1030"/>
      <c r="AC120" s="1622"/>
      <c r="AD120" s="1030"/>
      <c r="AF120" s="895"/>
      <c r="AG120" s="896"/>
      <c r="AJ120" s="900"/>
      <c r="AK120" s="1624"/>
      <c r="AO120" s="1152"/>
      <c r="AP120" s="1152"/>
      <c r="AQ120" s="1152"/>
      <c r="AR120" s="1152"/>
      <c r="AS120" s="1152"/>
      <c r="AT120" s="1152"/>
      <c r="AU120" s="1152"/>
      <c r="AV120" s="1152"/>
      <c r="AW120" s="1152"/>
      <c r="AX120" s="1152"/>
      <c r="AY120" s="1448"/>
      <c r="AZ120" s="1448"/>
      <c r="BA120" s="846"/>
      <c r="BB120" s="846"/>
      <c r="BD120" s="897" t="str">
        <f>IFERROR(VLOOKUP(H120,Valid!$B$94:$N$96,3,FALSE), "")</f>
        <v/>
      </c>
      <c r="BE120" s="898" t="str">
        <f>IFERROR(VLOOKUP(H120,Valid!$B$94:$N$96,4,FALSE), "")</f>
        <v/>
      </c>
      <c r="BF120" s="897" t="str">
        <f t="shared" si="17"/>
        <v/>
      </c>
      <c r="BG120" s="897" t="str">
        <f t="shared" ca="1" si="18"/>
        <v/>
      </c>
      <c r="BH120" s="1860" t="str">
        <f>IFERROR(VLOOKUP($H120,val_equip_assets,BH$4,FALSE), "")</f>
        <v/>
      </c>
      <c r="BI120" s="1547" t="str">
        <f t="shared" ca="1" si="19"/>
        <v/>
      </c>
      <c r="BJ120" s="898" t="str">
        <f ca="1">IF(BI120="", "", IF(BI120&lt;0.1, 5, IF(BI120&lt;0.25, 4, IF(BI120&lt;0.5, 3, IF(BI120&lt;0.75, 2, 1)))))</f>
        <v/>
      </c>
      <c r="BK120" s="898" t="str">
        <f t="shared" si="20"/>
        <v/>
      </c>
      <c r="BL120" s="898" t="str">
        <f t="shared" si="20"/>
        <v/>
      </c>
      <c r="BM120" s="1710" t="str">
        <f t="shared" si="20"/>
        <v/>
      </c>
      <c r="BN120" s="1205" t="str">
        <f>IFERROR(VLOOKUP(H120,Valid!$B$94:$N$96,12,FALSE), "")</f>
        <v/>
      </c>
      <c r="BO120" s="1205" t="str">
        <f>IFERROR(VLOOKUP(H120,Valid!$B$94:$N$96,13,FALSE), "")</f>
        <v/>
      </c>
    </row>
    <row r="121" spans="1:69" s="901" customFormat="1" x14ac:dyDescent="0.2">
      <c r="A121" s="206">
        <v>55</v>
      </c>
      <c r="B121" s="1530">
        <v>55</v>
      </c>
      <c r="C121" s="1703"/>
      <c r="D121" s="1248" t="str">
        <f>IF(C119="","",IF(C121="","Enter Service Fleet Description then Fill in columns "&amp;TEXT($H$2,0)&amp;" - "&amp;TEXT($Z$2,0)&amp;"                 ",""))</f>
        <v/>
      </c>
      <c r="E121" s="1245" t="str">
        <f>IF(AK121="N/A","",AK121)</f>
        <v/>
      </c>
      <c r="F121" s="170"/>
      <c r="G121" s="170"/>
      <c r="H121" s="1704"/>
      <c r="I121" s="1246" t="str">
        <f>IF(AND(E121="No",H121=""),"Select Type of Vehicle                        ","")</f>
        <v/>
      </c>
      <c r="J121" s="1247"/>
      <c r="K121" s="1246" t="str">
        <f>IF(AND(C121="No",H121=""),"Number of Vehicles?  ","")</f>
        <v/>
      </c>
      <c r="L121" s="1782" t="str">
        <f>IFERROR(VLOOKUP($H121,val_equip_assets,BH$4,FALSE), "")</f>
        <v/>
      </c>
      <c r="M121" s="1246"/>
      <c r="N121" s="1247"/>
      <c r="O121" s="892" t="str">
        <f>IF(H121="","",IF(AND(E121="No",N121=""),TEXT(BH121,0)&amp;" Years?   ",""))</f>
        <v/>
      </c>
      <c r="P121" s="1705"/>
      <c r="Q121" s="1706" t="str">
        <f>IF(AND(E121="No",P121=""),"Enter Manufact. Yr.     ","")</f>
        <v/>
      </c>
      <c r="R121" s="1952" t="str">
        <f ca="1">BI121</f>
        <v/>
      </c>
      <c r="S121" s="1706"/>
      <c r="T121" s="1963" t="str">
        <f ca="1">BJ121</f>
        <v/>
      </c>
      <c r="U121" s="1706"/>
      <c r="V121" s="1675"/>
      <c r="W121" s="892" t="str">
        <f>IF(AND(E121="No",V121=""),"% of Cap. Resp.    ","")</f>
        <v/>
      </c>
      <c r="X121" s="1655"/>
      <c r="Y121" s="892" t="str">
        <f>IF(AND(E121="No",X121=""),"Estimated $?   ","")</f>
        <v/>
      </c>
      <c r="Z121" s="1707"/>
      <c r="AA121" s="892" t="str">
        <f t="shared" si="21"/>
        <v/>
      </c>
      <c r="AB121" s="1026" t="str">
        <f>IF(E121="","",IF(OR($X121="",$Z121=""),"missing info.",$X121*VLOOKUP($Z121,Inflate,$BF121+1,FALSE)))</f>
        <v/>
      </c>
      <c r="AC121" s="1622"/>
      <c r="AD121" s="1026" t="str">
        <f>IF(E121="","",IF(J121="","missing info.",IF(AB121="missing info.","missing info.",AB121/J121)))</f>
        <v/>
      </c>
      <c r="AE121" s="839"/>
      <c r="AF121" s="1708"/>
      <c r="AG121" s="896"/>
      <c r="AH121" s="894"/>
      <c r="AI121" s="894" t="b">
        <f>IF(AND(C123&lt;&gt;"",C121=""),TRUE,FALSE)</f>
        <v>0</v>
      </c>
      <c r="AJ121" s="902" t="b">
        <f>IF(AND(N121="",P121&lt;&gt;""),TRUE,FALSE)</f>
        <v>0</v>
      </c>
      <c r="AK121" s="720" t="str">
        <f>IF(AND(J121="",AF121="",Z121="",X121="",V121="",N121="",H121="",P121="",C121=""),"N/A",IF(AND(C121&lt;&gt;"",J121&lt;&gt;"",N121&lt;&gt;"",H121&lt;&gt;"",P121&lt;&gt;"",V121&lt;&gt;"",X121&lt;&gt;"",Z121&lt;&gt;""),"Yes","No"))</f>
        <v>N/A</v>
      </c>
      <c r="AL121" s="720" t="b">
        <f>IF(AND(C121="",E121="no"),TRUE,FALSE)</f>
        <v>0</v>
      </c>
      <c r="AM121" s="720" t="b">
        <f>IF(AND(E121="no",H121=""),TRUE,FALSE)</f>
        <v>0</v>
      </c>
      <c r="AN121" s="720" t="b">
        <f>IF(AND(E121="no",H121=""),TRUE,FALSE)</f>
        <v>0</v>
      </c>
      <c r="AO121" s="903" t="b">
        <f>IF($J121="",FALSE,IF($J121&lt;$BD121,TRUE,FALSE))</f>
        <v>0</v>
      </c>
      <c r="AP121" s="903" t="b">
        <f>IF($J121="",FALSE,IF($J121&gt;$BE121,TRUE,FALSE))</f>
        <v>0</v>
      </c>
      <c r="AQ121" s="903" t="b">
        <f>IF(AND(E121="no",N121=""),TRUE,FALSE)</f>
        <v>0</v>
      </c>
      <c r="AR121" s="903" t="b">
        <f>IF(AND(E121="no",P121=""),TRUE,FALSE)</f>
        <v>0</v>
      </c>
      <c r="AS121" s="903" t="b">
        <f>IF(P121="",FALSE,IF(P121&lt;BM121,TRUE,FALSE))</f>
        <v>0</v>
      </c>
      <c r="AT121" s="903" t="b">
        <f>IF(P121="",FALSE,IF(P121&gt;BaseYear,TRUE,FALSE))</f>
        <v>0</v>
      </c>
      <c r="AU121" s="903" t="b">
        <f>IF(AND(E121="no",V121=""),TRUE,FALSE)</f>
        <v>0</v>
      </c>
      <c r="AV121" s="903" t="b">
        <f>IF(V121="",FALSE,IF(OR(V121&gt;1,V121&lt;0),TRUE,FALSE))</f>
        <v>0</v>
      </c>
      <c r="AW121" s="903" t="b">
        <f>IF($N121="",FALSE,IF($N121&lt;$BK121,TRUE,FALSE))</f>
        <v>0</v>
      </c>
      <c r="AX121" s="903" t="b">
        <f>IF($N121="",FALSE,IF($N121&gt;$BL121,TRUE,FALSE))</f>
        <v>0</v>
      </c>
      <c r="AY121" s="889" t="b">
        <f>IF(AND(E121="no",X121=""),TRUE,FALSE)</f>
        <v>0</v>
      </c>
      <c r="AZ121" s="889" t="b">
        <f>IF(OR(AD121="missing info.",AD121=""),FALSE,IF(AD121&lt;BN121,TRUE,FALSE))</f>
        <v>0</v>
      </c>
      <c r="BA121" s="890" t="b">
        <f>IF(OR(AD121="missing info.",AD121=""),FALSE,IF(AD121&gt;BO121,TRUE,FALSE))</f>
        <v>0</v>
      </c>
      <c r="BB121" s="890" t="b">
        <f>IF(AND(E121="no",Z121=""),TRUE,FALSE)</f>
        <v>0</v>
      </c>
      <c r="BC121" s="894" t="b">
        <f>IF(Z121="",FALSE,IF(OR(Z121&gt;BaseYear,Z121&lt;BM121),TRUE,FALSE))</f>
        <v>0</v>
      </c>
      <c r="BD121" s="897" t="str">
        <f>IFERROR(VLOOKUP(H121,Valid!$B$94:$N$96,3,FALSE), "")</f>
        <v/>
      </c>
      <c r="BE121" s="898" t="str">
        <f>IFERROR(VLOOKUP(H121,Valid!$B$94:$N$96,4,FALSE), "")</f>
        <v/>
      </c>
      <c r="BF121" s="897" t="str">
        <f t="shared" si="17"/>
        <v/>
      </c>
      <c r="BG121" s="897" t="str">
        <f t="shared" ca="1" si="18"/>
        <v/>
      </c>
      <c r="BH121" s="1860">
        <f>N121</f>
        <v>0</v>
      </c>
      <c r="BI121" s="1547" t="str">
        <f t="shared" ca="1" si="19"/>
        <v/>
      </c>
      <c r="BJ121" s="898" t="str">
        <f ca="1">IF(BI121="", "", IF(1+(BI121*4)&lt;1, 1, 1+(BI121*4)))</f>
        <v/>
      </c>
      <c r="BK121" s="898" t="str">
        <f t="shared" si="20"/>
        <v/>
      </c>
      <c r="BL121" s="898" t="str">
        <f t="shared" si="20"/>
        <v/>
      </c>
      <c r="BM121" s="1710" t="str">
        <f t="shared" si="20"/>
        <v/>
      </c>
      <c r="BN121" s="1205" t="str">
        <f>IFERROR(VLOOKUP(H121,Valid!$B$94:$N$96,12,FALSE), "")</f>
        <v/>
      </c>
      <c r="BO121" s="1205" t="str">
        <f>IFERROR(VLOOKUP(H121,Valid!$B$94:$N$96,13,FALSE), "")</f>
        <v/>
      </c>
      <c r="BP121" s="894"/>
      <c r="BQ121" s="894"/>
    </row>
    <row r="122" spans="1:69" s="894" customFormat="1" ht="6.75" customHeight="1" thickBot="1" x14ac:dyDescent="0.25">
      <c r="A122" s="1516"/>
      <c r="B122" s="1530">
        <v>55.5</v>
      </c>
      <c r="C122" s="1471"/>
      <c r="D122" s="1541"/>
      <c r="E122" s="1057"/>
      <c r="F122" s="170"/>
      <c r="G122" s="170"/>
      <c r="H122" s="170"/>
      <c r="I122" s="170"/>
      <c r="J122" s="170"/>
      <c r="K122" s="170"/>
      <c r="L122" s="1031"/>
      <c r="M122" s="170"/>
      <c r="N122" s="1031"/>
      <c r="O122" s="892"/>
      <c r="P122" s="836"/>
      <c r="Q122" s="1709"/>
      <c r="R122" s="1806"/>
      <c r="S122" s="1709"/>
      <c r="T122" s="1962"/>
      <c r="U122" s="1709"/>
      <c r="V122" s="1806"/>
      <c r="W122" s="1709"/>
      <c r="X122" s="1027"/>
      <c r="Y122" s="892"/>
      <c r="Z122" s="893"/>
      <c r="AA122" s="892" t="str">
        <f t="shared" si="21"/>
        <v/>
      </c>
      <c r="AB122" s="1030"/>
      <c r="AC122" s="1622"/>
      <c r="AD122" s="1030"/>
      <c r="AF122" s="895"/>
      <c r="AG122" s="896"/>
      <c r="AJ122" s="900"/>
      <c r="AK122" s="1624"/>
      <c r="AO122" s="1152"/>
      <c r="AP122" s="1152"/>
      <c r="AQ122" s="1152"/>
      <c r="AR122" s="1152"/>
      <c r="AS122" s="1152"/>
      <c r="AT122" s="1152"/>
      <c r="AU122" s="1152"/>
      <c r="AV122" s="1152"/>
      <c r="AW122" s="1152"/>
      <c r="AX122" s="1152"/>
      <c r="AY122" s="1448"/>
      <c r="AZ122" s="1448"/>
      <c r="BA122" s="846"/>
      <c r="BB122" s="846"/>
      <c r="BD122" s="897" t="str">
        <f>IFERROR(VLOOKUP(H122,Valid!$B$94:$N$96,3,FALSE), "")</f>
        <v/>
      </c>
      <c r="BE122" s="898" t="str">
        <f>IFERROR(VLOOKUP(H122,Valid!$B$94:$N$96,4,FALSE), "")</f>
        <v/>
      </c>
      <c r="BF122" s="897" t="str">
        <f t="shared" si="17"/>
        <v/>
      </c>
      <c r="BG122" s="897" t="str">
        <f t="shared" ca="1" si="18"/>
        <v/>
      </c>
      <c r="BH122" s="1860" t="str">
        <f>IFERROR(VLOOKUP($H122,val_equip_assets,BH$4,FALSE), "")</f>
        <v/>
      </c>
      <c r="BI122" s="1547" t="str">
        <f t="shared" ca="1" si="19"/>
        <v/>
      </c>
      <c r="BJ122" s="898" t="str">
        <f ca="1">IF(BI122="", "", IF(BI122&lt;0.1, 5, IF(BI122&lt;0.25, 4, IF(BI122&lt;0.5, 3, IF(BI122&lt;0.75, 2, 1)))))</f>
        <v/>
      </c>
      <c r="BK122" s="898" t="str">
        <f t="shared" si="20"/>
        <v/>
      </c>
      <c r="BL122" s="898" t="str">
        <f t="shared" si="20"/>
        <v/>
      </c>
      <c r="BM122" s="1710" t="str">
        <f t="shared" si="20"/>
        <v/>
      </c>
      <c r="BN122" s="1205" t="str">
        <f>IFERROR(VLOOKUP(H122,Valid!$B$94:$N$96,12,FALSE), "")</f>
        <v/>
      </c>
      <c r="BO122" s="1205" t="str">
        <f>IFERROR(VLOOKUP(H122,Valid!$B$94:$N$96,13,FALSE), "")</f>
        <v/>
      </c>
    </row>
    <row r="123" spans="1:69" s="901" customFormat="1" x14ac:dyDescent="0.2">
      <c r="A123" s="206">
        <v>56</v>
      </c>
      <c r="B123" s="1530">
        <v>56</v>
      </c>
      <c r="C123" s="1703"/>
      <c r="D123" s="1248" t="str">
        <f>IF(C121="","",IF(C123="","Enter Service Fleet Description then Fill in columns "&amp;TEXT($H$2,0)&amp;" - "&amp;TEXT($Z$2,0)&amp;"                 ",""))</f>
        <v/>
      </c>
      <c r="E123" s="1245" t="str">
        <f>IF(AK123="N/A","",AK123)</f>
        <v/>
      </c>
      <c r="F123" s="170"/>
      <c r="G123" s="170"/>
      <c r="H123" s="1704"/>
      <c r="I123" s="1246" t="str">
        <f>IF(AND(E123="No",H123=""),"Select Type of Vehicle                        ","")</f>
        <v/>
      </c>
      <c r="J123" s="1247"/>
      <c r="K123" s="1246" t="str">
        <f>IF(AND(C123="No",H123=""),"Number of Vehicles?  ","")</f>
        <v/>
      </c>
      <c r="L123" s="1782" t="str">
        <f>IFERROR(VLOOKUP($H123,val_equip_assets,BH$4,FALSE), "")</f>
        <v/>
      </c>
      <c r="M123" s="1246"/>
      <c r="N123" s="1247"/>
      <c r="O123" s="892" t="str">
        <f>IF(H123="","",IF(AND(E123="No",N123=""),TEXT(BH123,0)&amp;" Years?   ",""))</f>
        <v/>
      </c>
      <c r="P123" s="1705"/>
      <c r="Q123" s="1706" t="str">
        <f>IF(AND(E123="No",P123=""),"Enter Manufact. Yr.     ","")</f>
        <v/>
      </c>
      <c r="R123" s="1952" t="str">
        <f ca="1">BI123</f>
        <v/>
      </c>
      <c r="S123" s="1706"/>
      <c r="T123" s="1963" t="str">
        <f ca="1">BJ123</f>
        <v/>
      </c>
      <c r="U123" s="1706"/>
      <c r="V123" s="1675"/>
      <c r="W123" s="892" t="str">
        <f>IF(AND(E123="No",V123=""),"% of Cap. Resp.    ","")</f>
        <v/>
      </c>
      <c r="X123" s="1655"/>
      <c r="Y123" s="892" t="str">
        <f>IF(AND(E123="No",X123=""),"Estimated $?   ","")</f>
        <v/>
      </c>
      <c r="Z123" s="1707"/>
      <c r="AA123" s="892" t="str">
        <f t="shared" si="21"/>
        <v/>
      </c>
      <c r="AB123" s="1026" t="str">
        <f>IF(E123="","",IF(OR($X123="",$Z123=""),"missing info.",$X123*VLOOKUP($Z123,Inflate,$BF123+1,FALSE)))</f>
        <v/>
      </c>
      <c r="AC123" s="1622"/>
      <c r="AD123" s="1026" t="str">
        <f>IF(E123="","",IF(J123="","missing info.",IF(AB123="missing info.","missing info.",AB123/J123)))</f>
        <v/>
      </c>
      <c r="AE123" s="839"/>
      <c r="AF123" s="1708"/>
      <c r="AG123" s="896"/>
      <c r="AH123" s="894"/>
      <c r="AI123" s="894" t="b">
        <f>IF(AND(C125&lt;&gt;"",C123=""),TRUE,FALSE)</f>
        <v>0</v>
      </c>
      <c r="AJ123" s="902" t="b">
        <f>IF(AND(N123="",P123&lt;&gt;""),TRUE,FALSE)</f>
        <v>0</v>
      </c>
      <c r="AK123" s="720" t="str">
        <f>IF(AND(J123="",AF123="",Z123="",X123="",V123="",N123="",H123="",P123="",C123=""),"N/A",IF(AND(C123&lt;&gt;"",J123&lt;&gt;"",N123&lt;&gt;"",H123&lt;&gt;"",P123&lt;&gt;"",V123&lt;&gt;"",X123&lt;&gt;"",Z123&lt;&gt;""),"Yes","No"))</f>
        <v>N/A</v>
      </c>
      <c r="AL123" s="720" t="b">
        <f>IF(AND(C123="",E123="no"),TRUE,FALSE)</f>
        <v>0</v>
      </c>
      <c r="AM123" s="720" t="b">
        <f>IF(AND(E123="no",H123=""),TRUE,FALSE)</f>
        <v>0</v>
      </c>
      <c r="AN123" s="720" t="b">
        <f>IF(AND(E123="no",H123=""),TRUE,FALSE)</f>
        <v>0</v>
      </c>
      <c r="AO123" s="903" t="b">
        <f>IF($J123="",FALSE,IF($J123&lt;$BD123,TRUE,FALSE))</f>
        <v>0</v>
      </c>
      <c r="AP123" s="903" t="b">
        <f>IF($J123="",FALSE,IF($J123&gt;$BE123,TRUE,FALSE))</f>
        <v>0</v>
      </c>
      <c r="AQ123" s="903" t="b">
        <f>IF(AND(E123="no",N123=""),TRUE,FALSE)</f>
        <v>0</v>
      </c>
      <c r="AR123" s="903" t="b">
        <f>IF(AND(E123="no",P123=""),TRUE,FALSE)</f>
        <v>0</v>
      </c>
      <c r="AS123" s="903" t="b">
        <f>IF(P123="",FALSE,IF(P123&lt;BM123,TRUE,FALSE))</f>
        <v>0</v>
      </c>
      <c r="AT123" s="903" t="b">
        <f>IF(P123="",FALSE,IF(P123&gt;BaseYear,TRUE,FALSE))</f>
        <v>0</v>
      </c>
      <c r="AU123" s="903" t="b">
        <f>IF(AND(E123="no",V123=""),TRUE,FALSE)</f>
        <v>0</v>
      </c>
      <c r="AV123" s="903" t="b">
        <f>IF(V123="",FALSE,IF(OR(V123&gt;1,V123&lt;0),TRUE,FALSE))</f>
        <v>0</v>
      </c>
      <c r="AW123" s="903" t="b">
        <f>IF($N123="",FALSE,IF($N123&lt;$BK123,TRUE,FALSE))</f>
        <v>0</v>
      </c>
      <c r="AX123" s="903" t="b">
        <f>IF($N123="",FALSE,IF($N123&gt;$BL123,TRUE,FALSE))</f>
        <v>0</v>
      </c>
      <c r="AY123" s="889" t="b">
        <f>IF(AND(E123="no",X123=""),TRUE,FALSE)</f>
        <v>0</v>
      </c>
      <c r="AZ123" s="889" t="b">
        <f>IF(OR(AD123="missing info.",AD123=""),FALSE,IF(AD123&lt;BN123,TRUE,FALSE))</f>
        <v>0</v>
      </c>
      <c r="BA123" s="890" t="b">
        <f>IF(OR(AD123="missing info.",AD123=""),FALSE,IF(AD123&gt;BO123,TRUE,FALSE))</f>
        <v>0</v>
      </c>
      <c r="BB123" s="890" t="b">
        <f>IF(AND(E123="no",Z123=""),TRUE,FALSE)</f>
        <v>0</v>
      </c>
      <c r="BC123" s="894" t="b">
        <f>IF(Z123="",FALSE,IF(OR(Z123&gt;BaseYear,Z123&lt;BM123),TRUE,FALSE))</f>
        <v>0</v>
      </c>
      <c r="BD123" s="897" t="str">
        <f>IFERROR(VLOOKUP(H123,Valid!$B$94:$N$96,3,FALSE), "")</f>
        <v/>
      </c>
      <c r="BE123" s="898" t="str">
        <f>IFERROR(VLOOKUP(H123,Valid!$B$94:$N$96,4,FALSE), "")</f>
        <v/>
      </c>
      <c r="BF123" s="897" t="str">
        <f t="shared" si="17"/>
        <v/>
      </c>
      <c r="BG123" s="897" t="str">
        <f t="shared" ca="1" si="18"/>
        <v/>
      </c>
      <c r="BH123" s="1860">
        <f>N123</f>
        <v>0</v>
      </c>
      <c r="BI123" s="1547" t="str">
        <f t="shared" ca="1" si="19"/>
        <v/>
      </c>
      <c r="BJ123" s="898" t="str">
        <f ca="1">IF(BI123="", "", IF(1+(BI123*4)&lt;1, 1, 1+(BI123*4)))</f>
        <v/>
      </c>
      <c r="BK123" s="898" t="str">
        <f t="shared" si="20"/>
        <v/>
      </c>
      <c r="BL123" s="898" t="str">
        <f t="shared" si="20"/>
        <v/>
      </c>
      <c r="BM123" s="1710" t="str">
        <f t="shared" si="20"/>
        <v/>
      </c>
      <c r="BN123" s="1205" t="str">
        <f>IFERROR(VLOOKUP(H123,Valid!$B$94:$N$96,12,FALSE), "")</f>
        <v/>
      </c>
      <c r="BO123" s="1205" t="str">
        <f>IFERROR(VLOOKUP(H123,Valid!$B$94:$N$96,13,FALSE), "")</f>
        <v/>
      </c>
      <c r="BP123" s="894"/>
      <c r="BQ123" s="894"/>
    </row>
    <row r="124" spans="1:69" s="894" customFormat="1" ht="6.75" customHeight="1" thickBot="1" x14ac:dyDescent="0.25">
      <c r="A124" s="1516"/>
      <c r="B124" s="1530">
        <v>56.5</v>
      </c>
      <c r="C124" s="1471"/>
      <c r="D124" s="1541"/>
      <c r="E124" s="1057"/>
      <c r="F124" s="170"/>
      <c r="G124" s="170"/>
      <c r="H124" s="170"/>
      <c r="I124" s="170"/>
      <c r="J124" s="170"/>
      <c r="K124" s="170"/>
      <c r="L124" s="1031"/>
      <c r="M124" s="170"/>
      <c r="N124" s="1031"/>
      <c r="O124" s="892"/>
      <c r="P124" s="836"/>
      <c r="Q124" s="1709"/>
      <c r="R124" s="1806"/>
      <c r="S124" s="1709"/>
      <c r="T124" s="1962"/>
      <c r="U124" s="1709"/>
      <c r="V124" s="1806"/>
      <c r="W124" s="1709"/>
      <c r="X124" s="1027"/>
      <c r="Y124" s="892"/>
      <c r="Z124" s="893"/>
      <c r="AA124" s="892" t="str">
        <f t="shared" si="21"/>
        <v/>
      </c>
      <c r="AB124" s="1030"/>
      <c r="AC124" s="1622"/>
      <c r="AD124" s="1030"/>
      <c r="AF124" s="895"/>
      <c r="AG124" s="896"/>
      <c r="AJ124" s="900"/>
      <c r="AK124" s="1624"/>
      <c r="AO124" s="1152"/>
      <c r="AP124" s="1152"/>
      <c r="AQ124" s="1152"/>
      <c r="AR124" s="1152"/>
      <c r="AS124" s="1152"/>
      <c r="AT124" s="1152"/>
      <c r="AU124" s="1152"/>
      <c r="AV124" s="1152"/>
      <c r="AW124" s="1152"/>
      <c r="AX124" s="1152"/>
      <c r="AY124" s="1448"/>
      <c r="AZ124" s="1448"/>
      <c r="BA124" s="846"/>
      <c r="BB124" s="846"/>
      <c r="BD124" s="897" t="str">
        <f>IFERROR(VLOOKUP(H124,Valid!$B$94:$N$96,3,FALSE), "")</f>
        <v/>
      </c>
      <c r="BE124" s="898" t="str">
        <f>IFERROR(VLOOKUP(H124,Valid!$B$94:$N$96,4,FALSE), "")</f>
        <v/>
      </c>
      <c r="BF124" s="897" t="str">
        <f t="shared" si="17"/>
        <v/>
      </c>
      <c r="BG124" s="897" t="str">
        <f t="shared" ca="1" si="18"/>
        <v/>
      </c>
      <c r="BH124" s="1860" t="str">
        <f>IFERROR(VLOOKUP($H124,val_equip_assets,BH$4,FALSE), "")</f>
        <v/>
      </c>
      <c r="BI124" s="1547" t="str">
        <f t="shared" ca="1" si="19"/>
        <v/>
      </c>
      <c r="BJ124" s="898" t="str">
        <f ca="1">IF(BI124="", "", IF(BI124&lt;0.1, 5, IF(BI124&lt;0.25, 4, IF(BI124&lt;0.5, 3, IF(BI124&lt;0.75, 2, 1)))))</f>
        <v/>
      </c>
      <c r="BK124" s="898" t="str">
        <f t="shared" si="20"/>
        <v/>
      </c>
      <c r="BL124" s="898" t="str">
        <f t="shared" si="20"/>
        <v/>
      </c>
      <c r="BM124" s="1710" t="str">
        <f t="shared" si="20"/>
        <v/>
      </c>
      <c r="BN124" s="1205" t="str">
        <f>IFERROR(VLOOKUP(H124,Valid!$B$94:$N$96,12,FALSE), "")</f>
        <v/>
      </c>
      <c r="BO124" s="1205" t="str">
        <f>IFERROR(VLOOKUP(H124,Valid!$B$94:$N$96,13,FALSE), "")</f>
        <v/>
      </c>
    </row>
    <row r="125" spans="1:69" s="901" customFormat="1" x14ac:dyDescent="0.2">
      <c r="A125" s="206">
        <v>57</v>
      </c>
      <c r="B125" s="1530">
        <v>57</v>
      </c>
      <c r="C125" s="1703"/>
      <c r="D125" s="1248" t="str">
        <f>IF(C123="","",IF(C125="","Enter Service Fleet Description then Fill in columns "&amp;TEXT($H$2,0)&amp;" - "&amp;TEXT($Z$2,0)&amp;"                 ",""))</f>
        <v/>
      </c>
      <c r="E125" s="1245" t="str">
        <f>IF(AK125="N/A","",AK125)</f>
        <v/>
      </c>
      <c r="F125" s="170"/>
      <c r="G125" s="170"/>
      <c r="H125" s="1704"/>
      <c r="I125" s="1246" t="str">
        <f>IF(AND(E125="No",H125=""),"Select Type of Vehicle                        ","")</f>
        <v/>
      </c>
      <c r="J125" s="1247"/>
      <c r="K125" s="1246" t="str">
        <f>IF(AND(C125="No",H125=""),"Number of Vehicles?  ","")</f>
        <v/>
      </c>
      <c r="L125" s="1782" t="str">
        <f>IFERROR(VLOOKUP($H125,val_equip_assets,BH$4,FALSE), "")</f>
        <v/>
      </c>
      <c r="M125" s="1246"/>
      <c r="N125" s="1247"/>
      <c r="O125" s="892" t="str">
        <f>IF(H125="","",IF(AND(E125="No",N125=""),TEXT(BH125,0)&amp;" Years?   ",""))</f>
        <v/>
      </c>
      <c r="P125" s="1705"/>
      <c r="Q125" s="1706" t="str">
        <f>IF(AND(E125="No",P125=""),"Enter Manufact. Yr.     ","")</f>
        <v/>
      </c>
      <c r="R125" s="1952" t="str">
        <f ca="1">BI125</f>
        <v/>
      </c>
      <c r="S125" s="1706"/>
      <c r="T125" s="1963" t="str">
        <f ca="1">BJ125</f>
        <v/>
      </c>
      <c r="U125" s="1706"/>
      <c r="V125" s="1675"/>
      <c r="W125" s="892" t="str">
        <f>IF(AND(E125="No",V125=""),"% of Cap. Resp.    ","")</f>
        <v/>
      </c>
      <c r="X125" s="1655"/>
      <c r="Y125" s="892" t="str">
        <f>IF(AND(E125="No",X125=""),"Estimated $?   ","")</f>
        <v/>
      </c>
      <c r="Z125" s="1707"/>
      <c r="AA125" s="892" t="str">
        <f t="shared" si="21"/>
        <v/>
      </c>
      <c r="AB125" s="1026" t="str">
        <f>IF(E125="","",IF(OR($X125="",$Z125=""),"missing info.",$X125*VLOOKUP($Z125,Inflate,$BF125+1,FALSE)))</f>
        <v/>
      </c>
      <c r="AC125" s="1622"/>
      <c r="AD125" s="1026" t="str">
        <f>IF(E125="","",IF(J125="","missing info.",IF(AB125="missing info.","missing info.",AB125/J125)))</f>
        <v/>
      </c>
      <c r="AE125" s="839"/>
      <c r="AF125" s="1708"/>
      <c r="AG125" s="896"/>
      <c r="AH125" s="894"/>
      <c r="AI125" s="894" t="b">
        <f>IF(AND(C127&lt;&gt;"",C125=""),TRUE,FALSE)</f>
        <v>0</v>
      </c>
      <c r="AJ125" s="902" t="b">
        <f>IF(AND(N125="",P125&lt;&gt;""),TRUE,FALSE)</f>
        <v>0</v>
      </c>
      <c r="AK125" s="720" t="str">
        <f>IF(AND(J125="",AF125="",Z125="",X125="",V125="",N125="",H125="",P125="",C125=""),"N/A",IF(AND(C125&lt;&gt;"",J125&lt;&gt;"",N125&lt;&gt;"",H125&lt;&gt;"",P125&lt;&gt;"",V125&lt;&gt;"",X125&lt;&gt;"",Z125&lt;&gt;""),"Yes","No"))</f>
        <v>N/A</v>
      </c>
      <c r="AL125" s="720" t="b">
        <f>IF(AND(C125="",E125="no"),TRUE,FALSE)</f>
        <v>0</v>
      </c>
      <c r="AM125" s="720" t="b">
        <f>IF(AND(E125="no",H125=""),TRUE,FALSE)</f>
        <v>0</v>
      </c>
      <c r="AN125" s="720" t="b">
        <f>IF(AND(E125="no",H125=""),TRUE,FALSE)</f>
        <v>0</v>
      </c>
      <c r="AO125" s="903" t="b">
        <f>IF($J125="",FALSE,IF($J125&lt;$BD125,TRUE,FALSE))</f>
        <v>0</v>
      </c>
      <c r="AP125" s="903" t="b">
        <f>IF($J125="",FALSE,IF($J125&gt;$BE125,TRUE,FALSE))</f>
        <v>0</v>
      </c>
      <c r="AQ125" s="903" t="b">
        <f>IF(AND(E125="no",N125=""),TRUE,FALSE)</f>
        <v>0</v>
      </c>
      <c r="AR125" s="903" t="b">
        <f>IF(AND(E125="no",P125=""),TRUE,FALSE)</f>
        <v>0</v>
      </c>
      <c r="AS125" s="903" t="b">
        <f>IF(P125="",FALSE,IF(P125&lt;BM125,TRUE,FALSE))</f>
        <v>0</v>
      </c>
      <c r="AT125" s="903" t="b">
        <f>IF(P125="",FALSE,IF(P125&gt;BaseYear,TRUE,FALSE))</f>
        <v>0</v>
      </c>
      <c r="AU125" s="903" t="b">
        <f>IF(AND(E125="no",V125=""),TRUE,FALSE)</f>
        <v>0</v>
      </c>
      <c r="AV125" s="903" t="b">
        <f>IF(V125="",FALSE,IF(OR(V125&gt;1,V125&lt;0),TRUE,FALSE))</f>
        <v>0</v>
      </c>
      <c r="AW125" s="903" t="b">
        <f>IF($N125="",FALSE,IF($N125&lt;$BK125,TRUE,FALSE))</f>
        <v>0</v>
      </c>
      <c r="AX125" s="903" t="b">
        <f>IF($N125="",FALSE,IF($N125&gt;$BL125,TRUE,FALSE))</f>
        <v>0</v>
      </c>
      <c r="AY125" s="889" t="b">
        <f>IF(AND(E125="no",X125=""),TRUE,FALSE)</f>
        <v>0</v>
      </c>
      <c r="AZ125" s="889" t="b">
        <f>IF(OR(AD125="missing info.",AD125=""),FALSE,IF(AD125&lt;BN125,TRUE,FALSE))</f>
        <v>0</v>
      </c>
      <c r="BA125" s="890" t="b">
        <f>IF(OR(AD125="missing info.",AD125=""),FALSE,IF(AD125&gt;BO125,TRUE,FALSE))</f>
        <v>0</v>
      </c>
      <c r="BB125" s="890" t="b">
        <f>IF(AND(E125="no",Z125=""),TRUE,FALSE)</f>
        <v>0</v>
      </c>
      <c r="BC125" s="894" t="b">
        <f>IF(Z125="",FALSE,IF(OR(Z125&gt;BaseYear,Z125&lt;BM125),TRUE,FALSE))</f>
        <v>0</v>
      </c>
      <c r="BD125" s="897" t="str">
        <f>IFERROR(VLOOKUP(H125,Valid!$B$94:$N$96,3,FALSE), "")</f>
        <v/>
      </c>
      <c r="BE125" s="898" t="str">
        <f>IFERROR(VLOOKUP(H125,Valid!$B$94:$N$96,4,FALSE), "")</f>
        <v/>
      </c>
      <c r="BF125" s="897" t="str">
        <f t="shared" si="17"/>
        <v/>
      </c>
      <c r="BG125" s="897" t="str">
        <f t="shared" ca="1" si="18"/>
        <v/>
      </c>
      <c r="BH125" s="1860">
        <f>N125</f>
        <v>0</v>
      </c>
      <c r="BI125" s="1547" t="str">
        <f t="shared" ca="1" si="19"/>
        <v/>
      </c>
      <c r="BJ125" s="898" t="str">
        <f ca="1">IF(BI125="", "", IF(1+(BI125*4)&lt;1, 1, 1+(BI125*4)))</f>
        <v/>
      </c>
      <c r="BK125" s="898" t="str">
        <f t="shared" si="20"/>
        <v/>
      </c>
      <c r="BL125" s="898" t="str">
        <f t="shared" si="20"/>
        <v/>
      </c>
      <c r="BM125" s="1710" t="str">
        <f t="shared" si="20"/>
        <v/>
      </c>
      <c r="BN125" s="1205" t="str">
        <f>IFERROR(VLOOKUP(H125,Valid!$B$94:$N$96,12,FALSE), "")</f>
        <v/>
      </c>
      <c r="BO125" s="1205" t="str">
        <f>IFERROR(VLOOKUP(H125,Valid!$B$94:$N$96,13,FALSE), "")</f>
        <v/>
      </c>
      <c r="BP125" s="894"/>
      <c r="BQ125" s="894"/>
    </row>
    <row r="126" spans="1:69" s="894" customFormat="1" ht="6.75" customHeight="1" thickBot="1" x14ac:dyDescent="0.25">
      <c r="A126" s="1516"/>
      <c r="B126" s="1530">
        <v>57.5</v>
      </c>
      <c r="C126" s="1471"/>
      <c r="D126" s="1541"/>
      <c r="E126" s="1057"/>
      <c r="F126" s="170"/>
      <c r="G126" s="170"/>
      <c r="H126" s="170"/>
      <c r="I126" s="170"/>
      <c r="J126" s="170"/>
      <c r="K126" s="170"/>
      <c r="L126" s="1031"/>
      <c r="M126" s="170"/>
      <c r="N126" s="1031"/>
      <c r="O126" s="892"/>
      <c r="P126" s="836"/>
      <c r="Q126" s="1709"/>
      <c r="R126" s="1806"/>
      <c r="S126" s="1709"/>
      <c r="T126" s="1962"/>
      <c r="U126" s="1709"/>
      <c r="V126" s="1806"/>
      <c r="W126" s="1709"/>
      <c r="X126" s="1027"/>
      <c r="Y126" s="892"/>
      <c r="Z126" s="893"/>
      <c r="AA126" s="892" t="str">
        <f t="shared" si="21"/>
        <v/>
      </c>
      <c r="AB126" s="1030"/>
      <c r="AC126" s="1622"/>
      <c r="AD126" s="1030"/>
      <c r="AF126" s="895"/>
      <c r="AG126" s="896"/>
      <c r="AJ126" s="900"/>
      <c r="AK126" s="1624"/>
      <c r="AO126" s="1152"/>
      <c r="AP126" s="1152"/>
      <c r="AQ126" s="1152"/>
      <c r="AR126" s="1152"/>
      <c r="AS126" s="1152"/>
      <c r="AT126" s="1152"/>
      <c r="AU126" s="1152"/>
      <c r="AV126" s="1152"/>
      <c r="AW126" s="1152"/>
      <c r="AX126" s="1152"/>
      <c r="AY126" s="1448"/>
      <c r="AZ126" s="1448"/>
      <c r="BA126" s="846"/>
      <c r="BB126" s="846"/>
      <c r="BD126" s="897" t="str">
        <f>IFERROR(VLOOKUP(H126,Valid!$B$94:$N$96,3,FALSE), "")</f>
        <v/>
      </c>
      <c r="BE126" s="898" t="str">
        <f>IFERROR(VLOOKUP(H126,Valid!$B$94:$N$96,4,FALSE), "")</f>
        <v/>
      </c>
      <c r="BF126" s="897" t="str">
        <f t="shared" si="17"/>
        <v/>
      </c>
      <c r="BG126" s="897" t="str">
        <f t="shared" ca="1" si="18"/>
        <v/>
      </c>
      <c r="BH126" s="1860" t="str">
        <f>IFERROR(VLOOKUP($H126,val_equip_assets,BH$4,FALSE), "")</f>
        <v/>
      </c>
      <c r="BI126" s="1547" t="str">
        <f t="shared" ca="1" si="19"/>
        <v/>
      </c>
      <c r="BJ126" s="898" t="str">
        <f ca="1">IF(BI126="", "", IF(BI126&lt;0.1, 5, IF(BI126&lt;0.25, 4, IF(BI126&lt;0.5, 3, IF(BI126&lt;0.75, 2, 1)))))</f>
        <v/>
      </c>
      <c r="BK126" s="898" t="str">
        <f t="shared" si="20"/>
        <v/>
      </c>
      <c r="BL126" s="898" t="str">
        <f t="shared" si="20"/>
        <v/>
      </c>
      <c r="BM126" s="1710" t="str">
        <f t="shared" si="20"/>
        <v/>
      </c>
      <c r="BN126" s="1205" t="str">
        <f>IFERROR(VLOOKUP(H126,Valid!$B$94:$N$96,12,FALSE), "")</f>
        <v/>
      </c>
      <c r="BO126" s="1205" t="str">
        <f>IFERROR(VLOOKUP(H126,Valid!$B$94:$N$96,13,FALSE), "")</f>
        <v/>
      </c>
    </row>
    <row r="127" spans="1:69" s="901" customFormat="1" x14ac:dyDescent="0.2">
      <c r="A127" s="206">
        <v>58</v>
      </c>
      <c r="B127" s="1530">
        <v>58</v>
      </c>
      <c r="C127" s="1703"/>
      <c r="D127" s="1248" t="str">
        <f>IF(C125="","",IF(C127="","Enter Service Fleet Description then Fill in columns "&amp;TEXT($H$2,0)&amp;" - "&amp;TEXT($Z$2,0)&amp;"                 ",""))</f>
        <v/>
      </c>
      <c r="E127" s="1245" t="str">
        <f>IF(AK127="N/A","",AK127)</f>
        <v/>
      </c>
      <c r="F127" s="170"/>
      <c r="G127" s="170"/>
      <c r="H127" s="1704"/>
      <c r="I127" s="1246" t="str">
        <f>IF(AND(E127="No",H127=""),"Select Type of Vehicle                        ","")</f>
        <v/>
      </c>
      <c r="J127" s="1247"/>
      <c r="K127" s="1246" t="str">
        <f>IF(AND(C127="No",H127=""),"Number of Vehicles?  ","")</f>
        <v/>
      </c>
      <c r="L127" s="1782" t="str">
        <f>IFERROR(VLOOKUP($H127,val_equip_assets,BH$4,FALSE), "")</f>
        <v/>
      </c>
      <c r="M127" s="1246"/>
      <c r="N127" s="1247"/>
      <c r="O127" s="892" t="str">
        <f>IF(H127="","",IF(AND(E127="No",N127=""),TEXT(BH127,0)&amp;" Years?   ",""))</f>
        <v/>
      </c>
      <c r="P127" s="1705"/>
      <c r="Q127" s="1706" t="str">
        <f>IF(AND(E127="No",P127=""),"Enter Manufact. Yr.     ","")</f>
        <v/>
      </c>
      <c r="R127" s="1952" t="str">
        <f ca="1">BI127</f>
        <v/>
      </c>
      <c r="S127" s="1706"/>
      <c r="T127" s="1963" t="str">
        <f ca="1">BJ127</f>
        <v/>
      </c>
      <c r="U127" s="1706"/>
      <c r="V127" s="1675"/>
      <c r="W127" s="892" t="str">
        <f>IF(AND(E127="No",V127=""),"% of Cap. Resp.    ","")</f>
        <v/>
      </c>
      <c r="X127" s="1655"/>
      <c r="Y127" s="892" t="str">
        <f>IF(AND(E127="No",X127=""),"Estimated $?   ","")</f>
        <v/>
      </c>
      <c r="Z127" s="1707"/>
      <c r="AA127" s="892" t="str">
        <f t="shared" si="21"/>
        <v/>
      </c>
      <c r="AB127" s="1026" t="str">
        <f>IF(E127="","",IF(OR($X127="",$Z127=""),"missing info.",$X127*VLOOKUP($Z127,Inflate,$BF127+1,FALSE)))</f>
        <v/>
      </c>
      <c r="AC127" s="1622"/>
      <c r="AD127" s="1026" t="str">
        <f>IF(E127="","",IF(J127="","missing info.",IF(AB127="missing info.","missing info.",AB127/J127)))</f>
        <v/>
      </c>
      <c r="AE127" s="839"/>
      <c r="AF127" s="1708"/>
      <c r="AG127" s="896"/>
      <c r="AH127" s="894"/>
      <c r="AI127" s="894" t="b">
        <f>IF(AND(C129&lt;&gt;"",C127=""),TRUE,FALSE)</f>
        <v>0</v>
      </c>
      <c r="AJ127" s="902" t="b">
        <f>IF(AND(N127="",P127&lt;&gt;""),TRUE,FALSE)</f>
        <v>0</v>
      </c>
      <c r="AK127" s="720" t="str">
        <f>IF(AND(J127="",AF127="",Z127="",X127="",V127="",N127="",H127="",P127="",C127=""),"N/A",IF(AND(C127&lt;&gt;"",J127&lt;&gt;"",N127&lt;&gt;"",H127&lt;&gt;"",P127&lt;&gt;"",V127&lt;&gt;"",X127&lt;&gt;"",Z127&lt;&gt;""),"Yes","No"))</f>
        <v>N/A</v>
      </c>
      <c r="AL127" s="720" t="b">
        <f>IF(AND(C127="",E127="no"),TRUE,FALSE)</f>
        <v>0</v>
      </c>
      <c r="AM127" s="720" t="b">
        <f>IF(AND(E127="no",H127=""),TRUE,FALSE)</f>
        <v>0</v>
      </c>
      <c r="AN127" s="720" t="b">
        <f>IF(AND(E127="no",H127=""),TRUE,FALSE)</f>
        <v>0</v>
      </c>
      <c r="AO127" s="903" t="b">
        <f>IF($J127="",FALSE,IF($J127&lt;$BD127,TRUE,FALSE))</f>
        <v>0</v>
      </c>
      <c r="AP127" s="903" t="b">
        <f>IF($J127="",FALSE,IF($J127&gt;$BE127,TRUE,FALSE))</f>
        <v>0</v>
      </c>
      <c r="AQ127" s="903" t="b">
        <f>IF(AND(E127="no",N127=""),TRUE,FALSE)</f>
        <v>0</v>
      </c>
      <c r="AR127" s="903" t="b">
        <f>IF(AND(E127="no",P127=""),TRUE,FALSE)</f>
        <v>0</v>
      </c>
      <c r="AS127" s="903" t="b">
        <f>IF(P127="",FALSE,IF(P127&lt;BM127,TRUE,FALSE))</f>
        <v>0</v>
      </c>
      <c r="AT127" s="903" t="b">
        <f>IF(P127="",FALSE,IF(P127&gt;BaseYear,TRUE,FALSE))</f>
        <v>0</v>
      </c>
      <c r="AU127" s="903" t="b">
        <f>IF(AND(E127="no",V127=""),TRUE,FALSE)</f>
        <v>0</v>
      </c>
      <c r="AV127" s="903" t="b">
        <f>IF(V127="",FALSE,IF(OR(V127&gt;1,V127&lt;0),TRUE,FALSE))</f>
        <v>0</v>
      </c>
      <c r="AW127" s="903" t="b">
        <f>IF($N127="",FALSE,IF($N127&lt;$BK127,TRUE,FALSE))</f>
        <v>0</v>
      </c>
      <c r="AX127" s="903" t="b">
        <f>IF($N127="",FALSE,IF($N127&gt;$BL127,TRUE,FALSE))</f>
        <v>0</v>
      </c>
      <c r="AY127" s="889" t="b">
        <f>IF(AND(E127="no",X127=""),TRUE,FALSE)</f>
        <v>0</v>
      </c>
      <c r="AZ127" s="889" t="b">
        <f>IF(OR(AD127="missing info.",AD127=""),FALSE,IF(AD127&lt;BN127,TRUE,FALSE))</f>
        <v>0</v>
      </c>
      <c r="BA127" s="890" t="b">
        <f>IF(OR(AD127="missing info.",AD127=""),FALSE,IF(AD127&gt;BO127,TRUE,FALSE))</f>
        <v>0</v>
      </c>
      <c r="BB127" s="890" t="b">
        <f>IF(AND(E127="no",Z127=""),TRUE,FALSE)</f>
        <v>0</v>
      </c>
      <c r="BC127" s="894" t="b">
        <f>IF(Z127="",FALSE,IF(OR(Z127&gt;BaseYear,Z127&lt;BM127),TRUE,FALSE))</f>
        <v>0</v>
      </c>
      <c r="BD127" s="897" t="str">
        <f>IFERROR(VLOOKUP(H127,Valid!$B$94:$N$96,3,FALSE), "")</f>
        <v/>
      </c>
      <c r="BE127" s="898" t="str">
        <f>IFERROR(VLOOKUP(H127,Valid!$B$94:$N$96,4,FALSE), "")</f>
        <v/>
      </c>
      <c r="BF127" s="897" t="str">
        <f t="shared" si="17"/>
        <v/>
      </c>
      <c r="BG127" s="897" t="str">
        <f t="shared" ca="1" si="18"/>
        <v/>
      </c>
      <c r="BH127" s="1860">
        <f>N127</f>
        <v>0</v>
      </c>
      <c r="BI127" s="1547" t="str">
        <f t="shared" ca="1" si="19"/>
        <v/>
      </c>
      <c r="BJ127" s="898" t="str">
        <f ca="1">IF(BI127="", "", IF(1+(BI127*4)&lt;1, 1, 1+(BI127*4)))</f>
        <v/>
      </c>
      <c r="BK127" s="898" t="str">
        <f t="shared" si="20"/>
        <v/>
      </c>
      <c r="BL127" s="898" t="str">
        <f t="shared" si="20"/>
        <v/>
      </c>
      <c r="BM127" s="1710" t="str">
        <f t="shared" si="20"/>
        <v/>
      </c>
      <c r="BN127" s="1205" t="str">
        <f>IFERROR(VLOOKUP(H127,Valid!$B$94:$N$96,12,FALSE), "")</f>
        <v/>
      </c>
      <c r="BO127" s="1205" t="str">
        <f>IFERROR(VLOOKUP(H127,Valid!$B$94:$N$96,13,FALSE), "")</f>
        <v/>
      </c>
      <c r="BP127" s="894"/>
      <c r="BQ127" s="894"/>
    </row>
    <row r="128" spans="1:69" s="894" customFormat="1" ht="6.75" customHeight="1" thickBot="1" x14ac:dyDescent="0.25">
      <c r="A128" s="1516"/>
      <c r="B128" s="1530">
        <v>58.5</v>
      </c>
      <c r="C128" s="1471"/>
      <c r="D128" s="1541"/>
      <c r="E128" s="1057"/>
      <c r="F128" s="170"/>
      <c r="G128" s="170"/>
      <c r="H128" s="170"/>
      <c r="I128" s="170"/>
      <c r="J128" s="170"/>
      <c r="K128" s="170"/>
      <c r="L128" s="1031"/>
      <c r="M128" s="170"/>
      <c r="N128" s="1031"/>
      <c r="O128" s="892"/>
      <c r="P128" s="836"/>
      <c r="Q128" s="1709"/>
      <c r="R128" s="1806"/>
      <c r="S128" s="1709"/>
      <c r="T128" s="1962"/>
      <c r="U128" s="1709"/>
      <c r="V128" s="1806"/>
      <c r="W128" s="1709"/>
      <c r="X128" s="1027"/>
      <c r="Y128" s="892"/>
      <c r="Z128" s="893"/>
      <c r="AA128" s="892" t="str">
        <f t="shared" si="21"/>
        <v/>
      </c>
      <c r="AB128" s="1030"/>
      <c r="AC128" s="1622"/>
      <c r="AD128" s="1030"/>
      <c r="AF128" s="895"/>
      <c r="AG128" s="896"/>
      <c r="AJ128" s="900"/>
      <c r="AK128" s="1624"/>
      <c r="AO128" s="1152"/>
      <c r="AP128" s="1152"/>
      <c r="AQ128" s="1152"/>
      <c r="AR128" s="1152"/>
      <c r="AS128" s="1152"/>
      <c r="AT128" s="1152"/>
      <c r="AU128" s="1152"/>
      <c r="AV128" s="1152"/>
      <c r="AW128" s="1152"/>
      <c r="AX128" s="1152"/>
      <c r="AY128" s="1448"/>
      <c r="AZ128" s="1448"/>
      <c r="BA128" s="846"/>
      <c r="BB128" s="846"/>
      <c r="BD128" s="897" t="str">
        <f>IFERROR(VLOOKUP(H128,Valid!$B$94:$N$96,3,FALSE), "")</f>
        <v/>
      </c>
      <c r="BE128" s="898" t="str">
        <f>IFERROR(VLOOKUP(H128,Valid!$B$94:$N$96,4,FALSE), "")</f>
        <v/>
      </c>
      <c r="BF128" s="897" t="str">
        <f t="shared" si="17"/>
        <v/>
      </c>
      <c r="BG128" s="897" t="str">
        <f t="shared" ca="1" si="18"/>
        <v/>
      </c>
      <c r="BH128" s="1860" t="str">
        <f>IFERROR(VLOOKUP($H128,val_equip_assets,BH$4,FALSE), "")</f>
        <v/>
      </c>
      <c r="BI128" s="1547" t="str">
        <f t="shared" ca="1" si="19"/>
        <v/>
      </c>
      <c r="BJ128" s="898" t="str">
        <f ca="1">IF(BI128="", "", IF(BI128&lt;0.1, 5, IF(BI128&lt;0.25, 4, IF(BI128&lt;0.5, 3, IF(BI128&lt;0.75, 2, 1)))))</f>
        <v/>
      </c>
      <c r="BK128" s="898" t="str">
        <f t="shared" si="20"/>
        <v/>
      </c>
      <c r="BL128" s="898" t="str">
        <f t="shared" si="20"/>
        <v/>
      </c>
      <c r="BM128" s="1710" t="str">
        <f t="shared" si="20"/>
        <v/>
      </c>
      <c r="BN128" s="1205" t="str">
        <f>IFERROR(VLOOKUP(H128,Valid!$B$94:$N$96,12,FALSE), "")</f>
        <v/>
      </c>
      <c r="BO128" s="1205" t="str">
        <f>IFERROR(VLOOKUP(H128,Valid!$B$94:$N$96,13,FALSE), "")</f>
        <v/>
      </c>
    </row>
    <row r="129" spans="1:69" s="901" customFormat="1" x14ac:dyDescent="0.2">
      <c r="A129" s="206">
        <v>59</v>
      </c>
      <c r="B129" s="1530">
        <v>59</v>
      </c>
      <c r="C129" s="1703"/>
      <c r="D129" s="1248" t="str">
        <f>IF(C127="","",IF(C129="","Enter Service Fleet Description then Fill in columns "&amp;TEXT($H$2,0)&amp;" - "&amp;TEXT($Z$2,0)&amp;"                 ",""))</f>
        <v/>
      </c>
      <c r="E129" s="1245" t="str">
        <f>IF(AK129="N/A","",AK129)</f>
        <v/>
      </c>
      <c r="F129" s="170"/>
      <c r="G129" s="170"/>
      <c r="H129" s="1704"/>
      <c r="I129" s="1246" t="str">
        <f>IF(AND(E129="No",H129=""),"Select Type of Vehicle                        ","")</f>
        <v/>
      </c>
      <c r="J129" s="1247"/>
      <c r="K129" s="1246" t="str">
        <f>IF(AND(C129="No",H129=""),"Number of Vehicles?  ","")</f>
        <v/>
      </c>
      <c r="L129" s="1782" t="str">
        <f>IFERROR(VLOOKUP($H129,val_equip_assets,BH$4,FALSE), "")</f>
        <v/>
      </c>
      <c r="M129" s="1246"/>
      <c r="N129" s="1247"/>
      <c r="O129" s="892" t="str">
        <f>IF(H129="","",IF(AND(E129="No",N129=""),TEXT(BH129,0)&amp;" Years?   ",""))</f>
        <v/>
      </c>
      <c r="P129" s="1705"/>
      <c r="Q129" s="1706" t="str">
        <f>IF(AND(E129="No",P129=""),"Enter Manufact. Yr.     ","")</f>
        <v/>
      </c>
      <c r="R129" s="1952" t="str">
        <f ca="1">BI129</f>
        <v/>
      </c>
      <c r="S129" s="1706"/>
      <c r="T129" s="1963" t="str">
        <f ca="1">BJ129</f>
        <v/>
      </c>
      <c r="U129" s="1706"/>
      <c r="V129" s="1675"/>
      <c r="W129" s="892" t="str">
        <f>IF(AND(E129="No",V129=""),"% of Cap. Resp.    ","")</f>
        <v/>
      </c>
      <c r="X129" s="1655"/>
      <c r="Y129" s="892" t="str">
        <f>IF(AND(E129="No",X129=""),"Estimated $?   ","")</f>
        <v/>
      </c>
      <c r="Z129" s="1707"/>
      <c r="AA129" s="892" t="str">
        <f t="shared" si="21"/>
        <v/>
      </c>
      <c r="AB129" s="1026" t="str">
        <f>IF(E129="","",IF(OR($X129="",$Z129=""),"missing info.",$X129*VLOOKUP($Z129,Inflate,$BF129+1,FALSE)))</f>
        <v/>
      </c>
      <c r="AC129" s="1622"/>
      <c r="AD129" s="1026" t="str">
        <f>IF(E129="","",IF(J129="","missing info.",IF(AB129="missing info.","missing info.",AB129/J129)))</f>
        <v/>
      </c>
      <c r="AE129" s="839"/>
      <c r="AF129" s="1708"/>
      <c r="AG129" s="896"/>
      <c r="AH129" s="894"/>
      <c r="AI129" s="894" t="b">
        <f>IF(AND(C131&lt;&gt;"",C129=""),TRUE,FALSE)</f>
        <v>0</v>
      </c>
      <c r="AJ129" s="902" t="b">
        <f>IF(AND(N129="",P129&lt;&gt;""),TRUE,FALSE)</f>
        <v>0</v>
      </c>
      <c r="AK129" s="720" t="str">
        <f>IF(AND(J129="",AF129="",Z129="",X129="",V129="",N129="",H129="",P129="",C129=""),"N/A",IF(AND(C129&lt;&gt;"",J129&lt;&gt;"",N129&lt;&gt;"",H129&lt;&gt;"",P129&lt;&gt;"",V129&lt;&gt;"",X129&lt;&gt;"",Z129&lt;&gt;""),"Yes","No"))</f>
        <v>N/A</v>
      </c>
      <c r="AL129" s="720" t="b">
        <f>IF(AND(C129="",E129="no"),TRUE,FALSE)</f>
        <v>0</v>
      </c>
      <c r="AM129" s="720" t="b">
        <f>IF(AND(E129="no",H129=""),TRUE,FALSE)</f>
        <v>0</v>
      </c>
      <c r="AN129" s="720" t="b">
        <f>IF(AND(E129="no",H129=""),TRUE,FALSE)</f>
        <v>0</v>
      </c>
      <c r="AO129" s="903" t="b">
        <f>IF($J129="",FALSE,IF($J129&lt;$BD129,TRUE,FALSE))</f>
        <v>0</v>
      </c>
      <c r="AP129" s="903" t="b">
        <f>IF($J129="",FALSE,IF($J129&gt;$BE129,TRUE,FALSE))</f>
        <v>0</v>
      </c>
      <c r="AQ129" s="903" t="b">
        <f>IF(AND(E129="no",N129=""),TRUE,FALSE)</f>
        <v>0</v>
      </c>
      <c r="AR129" s="903" t="b">
        <f>IF(AND(E129="no",P129=""),TRUE,FALSE)</f>
        <v>0</v>
      </c>
      <c r="AS129" s="903" t="b">
        <f>IF(P129="",FALSE,IF(P129&lt;BM129,TRUE,FALSE))</f>
        <v>0</v>
      </c>
      <c r="AT129" s="903" t="b">
        <f>IF(P129="",FALSE,IF(P129&gt;BaseYear,TRUE,FALSE))</f>
        <v>0</v>
      </c>
      <c r="AU129" s="903" t="b">
        <f>IF(AND(E129="no",V129=""),TRUE,FALSE)</f>
        <v>0</v>
      </c>
      <c r="AV129" s="903" t="b">
        <f>IF(V129="",FALSE,IF(OR(V129&gt;1,V129&lt;0),TRUE,FALSE))</f>
        <v>0</v>
      </c>
      <c r="AW129" s="903" t="b">
        <f>IF($N129="",FALSE,IF($N129&lt;$BK129,TRUE,FALSE))</f>
        <v>0</v>
      </c>
      <c r="AX129" s="903" t="b">
        <f>IF($N129="",FALSE,IF($N129&gt;$BL129,TRUE,FALSE))</f>
        <v>0</v>
      </c>
      <c r="AY129" s="889" t="b">
        <f>IF(AND(E129="no",X129=""),TRUE,FALSE)</f>
        <v>0</v>
      </c>
      <c r="AZ129" s="889" t="b">
        <f>IF(OR(AD129="missing info.",AD129=""),FALSE,IF(AD129&lt;BN129,TRUE,FALSE))</f>
        <v>0</v>
      </c>
      <c r="BA129" s="890" t="b">
        <f>IF(OR(AD129="missing info.",AD129=""),FALSE,IF(AD129&gt;BO129,TRUE,FALSE))</f>
        <v>0</v>
      </c>
      <c r="BB129" s="890" t="b">
        <f>IF(AND(E129="no",Z129=""),TRUE,FALSE)</f>
        <v>0</v>
      </c>
      <c r="BC129" s="894" t="b">
        <f>IF(Z129="",FALSE,IF(OR(Z129&gt;BaseYear,Z129&lt;BM129),TRUE,FALSE))</f>
        <v>0</v>
      </c>
      <c r="BD129" s="897" t="str">
        <f>IFERROR(VLOOKUP(H129,Valid!$B$94:$N$96,3,FALSE), "")</f>
        <v/>
      </c>
      <c r="BE129" s="898" t="str">
        <f>IFERROR(VLOOKUP(H129,Valid!$B$94:$N$96,4,FALSE), "")</f>
        <v/>
      </c>
      <c r="BF129" s="897" t="str">
        <f t="shared" si="17"/>
        <v/>
      </c>
      <c r="BG129" s="897" t="str">
        <f t="shared" ca="1" si="18"/>
        <v/>
      </c>
      <c r="BH129" s="1860">
        <f>N129</f>
        <v>0</v>
      </c>
      <c r="BI129" s="1547" t="str">
        <f t="shared" ca="1" si="19"/>
        <v/>
      </c>
      <c r="BJ129" s="898" t="str">
        <f ca="1">IF(BI129="", "", IF(1+(BI129*4)&lt;1, 1, 1+(BI129*4)))</f>
        <v/>
      </c>
      <c r="BK129" s="898" t="str">
        <f t="shared" si="20"/>
        <v/>
      </c>
      <c r="BL129" s="898" t="str">
        <f t="shared" si="20"/>
        <v/>
      </c>
      <c r="BM129" s="1710" t="str">
        <f t="shared" si="20"/>
        <v/>
      </c>
      <c r="BN129" s="1205" t="str">
        <f>IFERROR(VLOOKUP(H129,Valid!$B$94:$N$96,12,FALSE), "")</f>
        <v/>
      </c>
      <c r="BO129" s="1205" t="str">
        <f>IFERROR(VLOOKUP(H129,Valid!$B$94:$N$96,13,FALSE), "")</f>
        <v/>
      </c>
      <c r="BP129" s="894"/>
      <c r="BQ129" s="894"/>
    </row>
    <row r="130" spans="1:69" s="894" customFormat="1" ht="6.75" customHeight="1" thickBot="1" x14ac:dyDescent="0.25">
      <c r="A130" s="1516"/>
      <c r="B130" s="1530">
        <v>59.5</v>
      </c>
      <c r="C130" s="1471"/>
      <c r="D130" s="1541"/>
      <c r="E130" s="1057"/>
      <c r="F130" s="170"/>
      <c r="G130" s="170"/>
      <c r="H130" s="170"/>
      <c r="I130" s="170"/>
      <c r="J130" s="170"/>
      <c r="K130" s="170"/>
      <c r="L130" s="1031"/>
      <c r="M130" s="170"/>
      <c r="N130" s="1031"/>
      <c r="O130" s="892"/>
      <c r="P130" s="836"/>
      <c r="Q130" s="1709"/>
      <c r="R130" s="1806"/>
      <c r="S130" s="1709"/>
      <c r="T130" s="1962"/>
      <c r="U130" s="1709"/>
      <c r="V130" s="1806"/>
      <c r="W130" s="1709"/>
      <c r="X130" s="1027"/>
      <c r="Y130" s="892"/>
      <c r="Z130" s="893"/>
      <c r="AA130" s="892" t="str">
        <f t="shared" si="21"/>
        <v/>
      </c>
      <c r="AB130" s="1030"/>
      <c r="AC130" s="1622"/>
      <c r="AD130" s="1030"/>
      <c r="AF130" s="895"/>
      <c r="AG130" s="896"/>
      <c r="AJ130" s="900"/>
      <c r="AK130" s="1624"/>
      <c r="AO130" s="1152"/>
      <c r="AP130" s="1152"/>
      <c r="AQ130" s="1152"/>
      <c r="AR130" s="1152"/>
      <c r="AS130" s="1152"/>
      <c r="AT130" s="1152"/>
      <c r="AU130" s="1152"/>
      <c r="AV130" s="1152"/>
      <c r="AW130" s="1152"/>
      <c r="AX130" s="1152"/>
      <c r="AY130" s="1448"/>
      <c r="AZ130" s="1448"/>
      <c r="BA130" s="846"/>
      <c r="BB130" s="846"/>
      <c r="BD130" s="897" t="str">
        <f>IFERROR(VLOOKUP(H130,Valid!$B$94:$N$96,3,FALSE), "")</f>
        <v/>
      </c>
      <c r="BE130" s="898" t="str">
        <f>IFERROR(VLOOKUP(H130,Valid!$B$94:$N$96,4,FALSE), "")</f>
        <v/>
      </c>
      <c r="BF130" s="897" t="str">
        <f t="shared" si="17"/>
        <v/>
      </c>
      <c r="BG130" s="897" t="str">
        <f t="shared" ca="1" si="18"/>
        <v/>
      </c>
      <c r="BH130" s="1860" t="str">
        <f>IFERROR(VLOOKUP($H130,val_equip_assets,BH$4,FALSE), "")</f>
        <v/>
      </c>
      <c r="BI130" s="1547" t="str">
        <f t="shared" ca="1" si="19"/>
        <v/>
      </c>
      <c r="BJ130" s="898" t="str">
        <f ca="1">IF(BI130="", "", IF(BI130&lt;0.1, 5, IF(BI130&lt;0.25, 4, IF(BI130&lt;0.5, 3, IF(BI130&lt;0.75, 2, 1)))))</f>
        <v/>
      </c>
      <c r="BK130" s="898" t="str">
        <f t="shared" si="20"/>
        <v/>
      </c>
      <c r="BL130" s="898" t="str">
        <f t="shared" si="20"/>
        <v/>
      </c>
      <c r="BM130" s="1710" t="str">
        <f t="shared" si="20"/>
        <v/>
      </c>
      <c r="BN130" s="1205" t="str">
        <f>IFERROR(VLOOKUP(H130,Valid!$B$94:$N$96,12,FALSE), "")</f>
        <v/>
      </c>
      <c r="BO130" s="1205" t="str">
        <f>IFERROR(VLOOKUP(H130,Valid!$B$94:$N$96,13,FALSE), "")</f>
        <v/>
      </c>
    </row>
    <row r="131" spans="1:69" s="901" customFormat="1" x14ac:dyDescent="0.2">
      <c r="A131" s="206">
        <v>60</v>
      </c>
      <c r="B131" s="1530">
        <v>60</v>
      </c>
      <c r="C131" s="1703"/>
      <c r="D131" s="1248" t="str">
        <f>IF(C129="","",IF(C131="","Enter Service Fleet Description then Fill in columns "&amp;TEXT($H$2,0)&amp;" - "&amp;TEXT($Z$2,0)&amp;"                 ",""))</f>
        <v/>
      </c>
      <c r="E131" s="1245" t="str">
        <f>IF(AK131="N/A","",AK131)</f>
        <v/>
      </c>
      <c r="F131" s="170"/>
      <c r="G131" s="170"/>
      <c r="H131" s="1704"/>
      <c r="I131" s="1246" t="str">
        <f>IF(AND(E131="No",H131=""),"Select Type of Vehicle                        ","")</f>
        <v/>
      </c>
      <c r="J131" s="1247"/>
      <c r="K131" s="1246" t="str">
        <f>IF(AND(C131="No",H131=""),"Number of Vehicles?  ","")</f>
        <v/>
      </c>
      <c r="L131" s="1782" t="str">
        <f>IFERROR(VLOOKUP($H131,val_equip_assets,BH$4,FALSE), "")</f>
        <v/>
      </c>
      <c r="M131" s="1246"/>
      <c r="N131" s="1247"/>
      <c r="O131" s="892" t="str">
        <f>IF(H131="","",IF(AND(E131="No",N131=""),TEXT(BH131,0)&amp;" Years?   ",""))</f>
        <v/>
      </c>
      <c r="P131" s="1705"/>
      <c r="Q131" s="1706" t="str">
        <f>IF(AND(E131="No",P131=""),"Enter Manufact. Yr.     ","")</f>
        <v/>
      </c>
      <c r="R131" s="1952" t="str">
        <f ca="1">BI131</f>
        <v/>
      </c>
      <c r="S131" s="1706"/>
      <c r="T131" s="1963" t="str">
        <f ca="1">BJ131</f>
        <v/>
      </c>
      <c r="U131" s="1706"/>
      <c r="V131" s="1675"/>
      <c r="W131" s="892" t="str">
        <f>IF(AND(E131="No",V131=""),"% of Cap. Resp.    ","")</f>
        <v/>
      </c>
      <c r="X131" s="1655"/>
      <c r="Y131" s="892" t="str">
        <f>IF(AND(E131="No",X131=""),"Estimated $?   ","")</f>
        <v/>
      </c>
      <c r="Z131" s="1707"/>
      <c r="AA131" s="892" t="str">
        <f t="shared" si="21"/>
        <v/>
      </c>
      <c r="AB131" s="1026" t="str">
        <f>IF(E131="","",IF(OR($X131="",$Z131=""),"missing info.",$X131*VLOOKUP($Z131,Inflate,$BF131+1,FALSE)))</f>
        <v/>
      </c>
      <c r="AC131" s="1622"/>
      <c r="AD131" s="1026" t="str">
        <f>IF(E131="","",IF(J131="","missing info.",IF(AB131="missing info.","missing info.",AB131/J131)))</f>
        <v/>
      </c>
      <c r="AE131" s="839"/>
      <c r="AF131" s="1708"/>
      <c r="AG131" s="896"/>
      <c r="AH131" s="894"/>
      <c r="AI131" s="894" t="b">
        <f>IF(AND(C133&lt;&gt;"",C131=""),TRUE,FALSE)</f>
        <v>0</v>
      </c>
      <c r="AJ131" s="902" t="b">
        <f>IF(AND(N131="",P131&lt;&gt;""),TRUE,FALSE)</f>
        <v>0</v>
      </c>
      <c r="AK131" s="720" t="str">
        <f>IF(AND(J131="",AF131="",Z131="",X131="",V131="",N131="",H131="",P131="",C131=""),"N/A",IF(AND(C131&lt;&gt;"",J131&lt;&gt;"",N131&lt;&gt;"",H131&lt;&gt;"",P131&lt;&gt;"",V131&lt;&gt;"",X131&lt;&gt;"",Z131&lt;&gt;""),"Yes","No"))</f>
        <v>N/A</v>
      </c>
      <c r="AL131" s="720" t="b">
        <f>IF(AND(C131="",E131="no"),TRUE,FALSE)</f>
        <v>0</v>
      </c>
      <c r="AM131" s="720" t="b">
        <f>IF(AND(E131="no",H131=""),TRUE,FALSE)</f>
        <v>0</v>
      </c>
      <c r="AN131" s="720" t="b">
        <f>IF(AND(E131="no",H131=""),TRUE,FALSE)</f>
        <v>0</v>
      </c>
      <c r="AO131" s="903" t="b">
        <f>IF($J131="",FALSE,IF($J131&lt;$BD131,TRUE,FALSE))</f>
        <v>0</v>
      </c>
      <c r="AP131" s="903" t="b">
        <f>IF($J131="",FALSE,IF($J131&gt;$BE131,TRUE,FALSE))</f>
        <v>0</v>
      </c>
      <c r="AQ131" s="903" t="b">
        <f>IF(AND(E131="no",N131=""),TRUE,FALSE)</f>
        <v>0</v>
      </c>
      <c r="AR131" s="903" t="b">
        <f>IF(AND(E131="no",P131=""),TRUE,FALSE)</f>
        <v>0</v>
      </c>
      <c r="AS131" s="903" t="b">
        <f>IF(P131="",FALSE,IF(P131&lt;BM131,TRUE,FALSE))</f>
        <v>0</v>
      </c>
      <c r="AT131" s="903" t="b">
        <f>IF(P131="",FALSE,IF(P131&gt;BaseYear,TRUE,FALSE))</f>
        <v>0</v>
      </c>
      <c r="AU131" s="903" t="b">
        <f>IF(AND(E131="no",V131=""),TRUE,FALSE)</f>
        <v>0</v>
      </c>
      <c r="AV131" s="903" t="b">
        <f>IF(V131="",FALSE,IF(OR(V131&gt;1,V131&lt;0),TRUE,FALSE))</f>
        <v>0</v>
      </c>
      <c r="AW131" s="903" t="b">
        <f>IF($N131="",FALSE,IF($N131&lt;$BK131,TRUE,FALSE))</f>
        <v>0</v>
      </c>
      <c r="AX131" s="903" t="b">
        <f>IF($N131="",FALSE,IF($N131&gt;$BL131,TRUE,FALSE))</f>
        <v>0</v>
      </c>
      <c r="AY131" s="889" t="b">
        <f>IF(AND(E131="no",X131=""),TRUE,FALSE)</f>
        <v>0</v>
      </c>
      <c r="AZ131" s="889" t="b">
        <f>IF(OR(AD131="missing info.",AD131=""),FALSE,IF(AD131&lt;BN131,TRUE,FALSE))</f>
        <v>0</v>
      </c>
      <c r="BA131" s="890" t="b">
        <f>IF(OR(AD131="missing info.",AD131=""),FALSE,IF(AD131&gt;BO131,TRUE,FALSE))</f>
        <v>0</v>
      </c>
      <c r="BB131" s="890" t="b">
        <f>IF(AND(E131="no",Z131=""),TRUE,FALSE)</f>
        <v>0</v>
      </c>
      <c r="BC131" s="894" t="b">
        <f>IF(Z131="",FALSE,IF(OR(Z131&gt;BaseYear,Z131&lt;BM131),TRUE,FALSE))</f>
        <v>0</v>
      </c>
      <c r="BD131" s="897" t="str">
        <f>IFERROR(VLOOKUP(H131,Valid!$B$94:$N$96,3,FALSE), "")</f>
        <v/>
      </c>
      <c r="BE131" s="898" t="str">
        <f>IFERROR(VLOOKUP(H131,Valid!$B$94:$N$96,4,FALSE), "")</f>
        <v/>
      </c>
      <c r="BF131" s="897" t="str">
        <f t="shared" si="17"/>
        <v/>
      </c>
      <c r="BG131" s="897" t="str">
        <f t="shared" ca="1" si="18"/>
        <v/>
      </c>
      <c r="BH131" s="1860">
        <f>N131</f>
        <v>0</v>
      </c>
      <c r="BI131" s="1547" t="str">
        <f t="shared" ca="1" si="19"/>
        <v/>
      </c>
      <c r="BJ131" s="898" t="str">
        <f ca="1">IF(BI131="", "", IF(1+(BI131*4)&lt;1, 1, 1+(BI131*4)))</f>
        <v/>
      </c>
      <c r="BK131" s="898" t="str">
        <f t="shared" si="20"/>
        <v/>
      </c>
      <c r="BL131" s="898" t="str">
        <f t="shared" si="20"/>
        <v/>
      </c>
      <c r="BM131" s="1710" t="str">
        <f t="shared" si="20"/>
        <v/>
      </c>
      <c r="BN131" s="1205" t="str">
        <f>IFERROR(VLOOKUP(H131,Valid!$B$94:$N$96,12,FALSE), "")</f>
        <v/>
      </c>
      <c r="BO131" s="1205" t="str">
        <f>IFERROR(VLOOKUP(H131,Valid!$B$94:$N$96,13,FALSE), "")</f>
        <v/>
      </c>
      <c r="BP131" s="894"/>
      <c r="BQ131" s="894"/>
    </row>
    <row r="132" spans="1:69" s="894" customFormat="1" ht="6.75" customHeight="1" thickBot="1" x14ac:dyDescent="0.25">
      <c r="A132" s="1516"/>
      <c r="B132" s="1530">
        <v>60.5</v>
      </c>
      <c r="C132" s="1471"/>
      <c r="D132" s="1541"/>
      <c r="E132" s="1057"/>
      <c r="F132" s="170"/>
      <c r="G132" s="170"/>
      <c r="H132" s="170"/>
      <c r="I132" s="170"/>
      <c r="J132" s="170"/>
      <c r="K132" s="170"/>
      <c r="L132" s="1031"/>
      <c r="M132" s="170"/>
      <c r="N132" s="1031"/>
      <c r="O132" s="892"/>
      <c r="P132" s="836"/>
      <c r="Q132" s="1709"/>
      <c r="R132" s="1806"/>
      <c r="S132" s="1709"/>
      <c r="T132" s="1962"/>
      <c r="U132" s="1709"/>
      <c r="V132" s="1806"/>
      <c r="W132" s="1709"/>
      <c r="X132" s="1027"/>
      <c r="Y132" s="892"/>
      <c r="Z132" s="893"/>
      <c r="AA132" s="892" t="str">
        <f t="shared" si="21"/>
        <v/>
      </c>
      <c r="AB132" s="1030"/>
      <c r="AC132" s="1622"/>
      <c r="AD132" s="1030"/>
      <c r="AF132" s="895"/>
      <c r="AG132" s="896"/>
      <c r="AJ132" s="900"/>
      <c r="AK132" s="1624"/>
      <c r="AO132" s="1152"/>
      <c r="AP132" s="1152"/>
      <c r="AQ132" s="1152"/>
      <c r="AR132" s="1152"/>
      <c r="AS132" s="1152"/>
      <c r="AT132" s="1152"/>
      <c r="AU132" s="1152"/>
      <c r="AV132" s="1152"/>
      <c r="AW132" s="1152"/>
      <c r="AX132" s="1152"/>
      <c r="AY132" s="1448"/>
      <c r="AZ132" s="1448"/>
      <c r="BA132" s="846"/>
      <c r="BB132" s="846"/>
      <c r="BD132" s="897" t="str">
        <f>IFERROR(VLOOKUP(H132,Valid!$B$94:$N$96,3,FALSE), "")</f>
        <v/>
      </c>
      <c r="BE132" s="898" t="str">
        <f>IFERROR(VLOOKUP(H132,Valid!$B$94:$N$96,4,FALSE), "")</f>
        <v/>
      </c>
      <c r="BF132" s="897" t="str">
        <f t="shared" si="17"/>
        <v/>
      </c>
      <c r="BG132" s="897" t="str">
        <f t="shared" ca="1" si="18"/>
        <v/>
      </c>
      <c r="BH132" s="1860" t="str">
        <f>IFERROR(VLOOKUP($H132,val_equip_assets,BH$4,FALSE), "")</f>
        <v/>
      </c>
      <c r="BI132" s="1547" t="str">
        <f t="shared" ca="1" si="19"/>
        <v/>
      </c>
      <c r="BJ132" s="898" t="str">
        <f ca="1">IF(BI132="", "", IF(BI132&lt;0.1, 5, IF(BI132&lt;0.25, 4, IF(BI132&lt;0.5, 3, IF(BI132&lt;0.75, 2, 1)))))</f>
        <v/>
      </c>
      <c r="BK132" s="898" t="str">
        <f t="shared" si="20"/>
        <v/>
      </c>
      <c r="BL132" s="898" t="str">
        <f t="shared" si="20"/>
        <v/>
      </c>
      <c r="BM132" s="1710" t="str">
        <f t="shared" si="20"/>
        <v/>
      </c>
      <c r="BN132" s="1205" t="str">
        <f>IFERROR(VLOOKUP(H132,Valid!$B$94:$N$96,12,FALSE), "")</f>
        <v/>
      </c>
      <c r="BO132" s="1205" t="str">
        <f>IFERROR(VLOOKUP(H132,Valid!$B$94:$N$96,13,FALSE), "")</f>
        <v/>
      </c>
    </row>
    <row r="133" spans="1:69" s="901" customFormat="1" x14ac:dyDescent="0.2">
      <c r="A133" s="206">
        <v>61</v>
      </c>
      <c r="B133" s="1530">
        <v>61</v>
      </c>
      <c r="C133" s="1703"/>
      <c r="D133" s="1248" t="str">
        <f>IF(C131="","",IF(C133="","Enter Service Fleet Description then Fill in columns "&amp;TEXT($H$2,0)&amp;" - "&amp;TEXT($Z$2,0)&amp;"                 ",""))</f>
        <v/>
      </c>
      <c r="E133" s="1245" t="str">
        <f>IF(AK133="N/A","",AK133)</f>
        <v/>
      </c>
      <c r="F133" s="170"/>
      <c r="G133" s="170"/>
      <c r="H133" s="1704"/>
      <c r="I133" s="1246" t="str">
        <f>IF(AND(E133="No",H133=""),"Select Type of Vehicle                        ","")</f>
        <v/>
      </c>
      <c r="J133" s="1247"/>
      <c r="K133" s="1246" t="str">
        <f>IF(AND(C133="No",H133=""),"Number of Vehicles?  ","")</f>
        <v/>
      </c>
      <c r="L133" s="1782" t="str">
        <f>IFERROR(VLOOKUP($H133,val_equip_assets,BH$4,FALSE), "")</f>
        <v/>
      </c>
      <c r="M133" s="1246"/>
      <c r="N133" s="1247"/>
      <c r="O133" s="892" t="str">
        <f>IF(H133="","",IF(AND(E133="No",N133=""),TEXT(BH133,0)&amp;" Years?   ",""))</f>
        <v/>
      </c>
      <c r="P133" s="1705"/>
      <c r="Q133" s="1706" t="str">
        <f>IF(AND(E133="No",P133=""),"Enter Manufact. Yr.     ","")</f>
        <v/>
      </c>
      <c r="R133" s="1952" t="str">
        <f ca="1">BI133</f>
        <v/>
      </c>
      <c r="S133" s="1706"/>
      <c r="T133" s="1963" t="str">
        <f ca="1">BJ133</f>
        <v/>
      </c>
      <c r="U133" s="1706"/>
      <c r="V133" s="1675"/>
      <c r="W133" s="892" t="str">
        <f>IF(AND(E133="No",V133=""),"% of Cap. Resp.    ","")</f>
        <v/>
      </c>
      <c r="X133" s="1655"/>
      <c r="Y133" s="892" t="str">
        <f>IF(AND(E133="No",X133=""),"Estimated $?   ","")</f>
        <v/>
      </c>
      <c r="Z133" s="1707"/>
      <c r="AA133" s="892" t="str">
        <f t="shared" si="21"/>
        <v/>
      </c>
      <c r="AB133" s="1026" t="str">
        <f>IF(E133="","",IF(OR($X133="",$Z133=""),"missing info.",$X133*VLOOKUP($Z133,Inflate,$BF133+1,FALSE)))</f>
        <v/>
      </c>
      <c r="AC133" s="1622"/>
      <c r="AD133" s="1026" t="str">
        <f>IF(E133="","",IF(J133="","missing info.",IF(AB133="missing info.","missing info.",AB133/J133)))</f>
        <v/>
      </c>
      <c r="AE133" s="839"/>
      <c r="AF133" s="1708"/>
      <c r="AG133" s="896"/>
      <c r="AH133" s="894"/>
      <c r="AI133" s="894" t="b">
        <f>IF(AND(C135&lt;&gt;"",C133=""),TRUE,FALSE)</f>
        <v>0</v>
      </c>
      <c r="AJ133" s="902" t="b">
        <f>IF(AND(N133="",P133&lt;&gt;""),TRUE,FALSE)</f>
        <v>0</v>
      </c>
      <c r="AK133" s="720" t="str">
        <f>IF(AND(J133="",AF133="",Z133="",X133="",V133="",N133="",H133="",P133="",C133=""),"N/A",IF(AND(C133&lt;&gt;"",J133&lt;&gt;"",N133&lt;&gt;"",H133&lt;&gt;"",P133&lt;&gt;"",V133&lt;&gt;"",X133&lt;&gt;"",Z133&lt;&gt;""),"Yes","No"))</f>
        <v>N/A</v>
      </c>
      <c r="AL133" s="720" t="b">
        <f>IF(AND(C133="",E133="no"),TRUE,FALSE)</f>
        <v>0</v>
      </c>
      <c r="AM133" s="720" t="b">
        <f>IF(AND(E133="no",H133=""),TRUE,FALSE)</f>
        <v>0</v>
      </c>
      <c r="AN133" s="720" t="b">
        <f>IF(AND(E133="no",H133=""),TRUE,FALSE)</f>
        <v>0</v>
      </c>
      <c r="AO133" s="903" t="b">
        <f>IF($J133="",FALSE,IF($J133&lt;$BD133,TRUE,FALSE))</f>
        <v>0</v>
      </c>
      <c r="AP133" s="903" t="b">
        <f>IF($J133="",FALSE,IF($J133&gt;$BE133,TRUE,FALSE))</f>
        <v>0</v>
      </c>
      <c r="AQ133" s="903" t="b">
        <f>IF(AND(E133="no",N133=""),TRUE,FALSE)</f>
        <v>0</v>
      </c>
      <c r="AR133" s="903" t="b">
        <f>IF(AND(E133="no",P133=""),TRUE,FALSE)</f>
        <v>0</v>
      </c>
      <c r="AS133" s="903" t="b">
        <f>IF(P133="",FALSE,IF(P133&lt;BM133,TRUE,FALSE))</f>
        <v>0</v>
      </c>
      <c r="AT133" s="903" t="b">
        <f>IF(P133="",FALSE,IF(P133&gt;BaseYear,TRUE,FALSE))</f>
        <v>0</v>
      </c>
      <c r="AU133" s="903" t="b">
        <f>IF(AND(E133="no",V133=""),TRUE,FALSE)</f>
        <v>0</v>
      </c>
      <c r="AV133" s="903" t="b">
        <f>IF(V133="",FALSE,IF(OR(V133&gt;1,V133&lt;0),TRUE,FALSE))</f>
        <v>0</v>
      </c>
      <c r="AW133" s="903" t="b">
        <f>IF($N133="",FALSE,IF($N133&lt;$BK133,TRUE,FALSE))</f>
        <v>0</v>
      </c>
      <c r="AX133" s="903" t="b">
        <f>IF($N133="",FALSE,IF($N133&gt;$BL133,TRUE,FALSE))</f>
        <v>0</v>
      </c>
      <c r="AY133" s="889" t="b">
        <f>IF(AND(E133="no",X133=""),TRUE,FALSE)</f>
        <v>0</v>
      </c>
      <c r="AZ133" s="889" t="b">
        <f>IF(OR(AD133="missing info.",AD133=""),FALSE,IF(AD133&lt;BN133,TRUE,FALSE))</f>
        <v>0</v>
      </c>
      <c r="BA133" s="890" t="b">
        <f>IF(OR(AD133="missing info.",AD133=""),FALSE,IF(AD133&gt;BO133,TRUE,FALSE))</f>
        <v>0</v>
      </c>
      <c r="BB133" s="890" t="b">
        <f>IF(AND(E133="no",Z133=""),TRUE,FALSE)</f>
        <v>0</v>
      </c>
      <c r="BC133" s="894" t="b">
        <f>IF(Z133="",FALSE,IF(OR(Z133&gt;BaseYear,Z133&lt;BM133),TRUE,FALSE))</f>
        <v>0</v>
      </c>
      <c r="BD133" s="897" t="str">
        <f>IFERROR(VLOOKUP(H133,Valid!$B$94:$N$96,3,FALSE), "")</f>
        <v/>
      </c>
      <c r="BE133" s="898" t="str">
        <f>IFERROR(VLOOKUP(H133,Valid!$B$94:$N$96,4,FALSE), "")</f>
        <v/>
      </c>
      <c r="BF133" s="897" t="str">
        <f t="shared" si="17"/>
        <v/>
      </c>
      <c r="BG133" s="897" t="str">
        <f t="shared" ca="1" si="18"/>
        <v/>
      </c>
      <c r="BH133" s="1860">
        <f>N133</f>
        <v>0</v>
      </c>
      <c r="BI133" s="1547" t="str">
        <f t="shared" ca="1" si="19"/>
        <v/>
      </c>
      <c r="BJ133" s="898" t="str">
        <f ca="1">IF(BI133="", "", IF(1+(BI133*4)&lt;1, 1, 1+(BI133*4)))</f>
        <v/>
      </c>
      <c r="BK133" s="898" t="str">
        <f t="shared" ref="BK133:BM152" si="22">IFERROR(VLOOKUP($H133,val_equip_assets,BK$4,FALSE), "")</f>
        <v/>
      </c>
      <c r="BL133" s="898" t="str">
        <f t="shared" si="22"/>
        <v/>
      </c>
      <c r="BM133" s="1710" t="str">
        <f t="shared" si="22"/>
        <v/>
      </c>
      <c r="BN133" s="1205" t="str">
        <f>IFERROR(VLOOKUP(H133,Valid!$B$94:$N$96,12,FALSE), "")</f>
        <v/>
      </c>
      <c r="BO133" s="1205" t="str">
        <f>IFERROR(VLOOKUP(H133,Valid!$B$94:$N$96,13,FALSE), "")</f>
        <v/>
      </c>
      <c r="BP133" s="894"/>
      <c r="BQ133" s="894"/>
    </row>
    <row r="134" spans="1:69" s="894" customFormat="1" ht="6.75" customHeight="1" thickBot="1" x14ac:dyDescent="0.25">
      <c r="A134" s="1516"/>
      <c r="B134" s="1530">
        <v>61.5</v>
      </c>
      <c r="C134" s="1471"/>
      <c r="D134" s="1541"/>
      <c r="E134" s="1057"/>
      <c r="F134" s="170"/>
      <c r="G134" s="170"/>
      <c r="H134" s="170"/>
      <c r="I134" s="170"/>
      <c r="J134" s="170"/>
      <c r="K134" s="170"/>
      <c r="L134" s="1031"/>
      <c r="M134" s="170"/>
      <c r="N134" s="1031"/>
      <c r="O134" s="892"/>
      <c r="P134" s="836"/>
      <c r="Q134" s="1709"/>
      <c r="R134" s="1806"/>
      <c r="S134" s="1709"/>
      <c r="T134" s="1962"/>
      <c r="U134" s="1709"/>
      <c r="V134" s="1806"/>
      <c r="W134" s="1709"/>
      <c r="X134" s="1027"/>
      <c r="Y134" s="892"/>
      <c r="Z134" s="893"/>
      <c r="AA134" s="892" t="str">
        <f t="shared" si="21"/>
        <v/>
      </c>
      <c r="AB134" s="1030"/>
      <c r="AC134" s="1622"/>
      <c r="AD134" s="1030"/>
      <c r="AF134" s="895"/>
      <c r="AG134" s="896"/>
      <c r="AJ134" s="900"/>
      <c r="AK134" s="1624"/>
      <c r="AO134" s="1152"/>
      <c r="AP134" s="1152"/>
      <c r="AQ134" s="1152"/>
      <c r="AR134" s="1152"/>
      <c r="AS134" s="1152"/>
      <c r="AT134" s="1152"/>
      <c r="AU134" s="1152"/>
      <c r="AV134" s="1152"/>
      <c r="AW134" s="1152"/>
      <c r="AX134" s="1152"/>
      <c r="AY134" s="1448"/>
      <c r="AZ134" s="1448"/>
      <c r="BA134" s="846"/>
      <c r="BB134" s="846"/>
      <c r="BD134" s="897" t="str">
        <f>IFERROR(VLOOKUP(H134,Valid!$B$94:$N$96,3,FALSE), "")</f>
        <v/>
      </c>
      <c r="BE134" s="898" t="str">
        <f>IFERROR(VLOOKUP(H134,Valid!$B$94:$N$96,4,FALSE), "")</f>
        <v/>
      </c>
      <c r="BF134" s="897" t="str">
        <f t="shared" si="17"/>
        <v/>
      </c>
      <c r="BG134" s="897" t="str">
        <f t="shared" ca="1" si="18"/>
        <v/>
      </c>
      <c r="BH134" s="1860" t="str">
        <f>IFERROR(VLOOKUP($H134,val_equip_assets,BH$4,FALSE), "")</f>
        <v/>
      </c>
      <c r="BI134" s="1547" t="str">
        <f t="shared" ca="1" si="19"/>
        <v/>
      </c>
      <c r="BJ134" s="898" t="str">
        <f ca="1">IF(BI134="", "", IF(BI134&lt;0.1, 5, IF(BI134&lt;0.25, 4, IF(BI134&lt;0.5, 3, IF(BI134&lt;0.75, 2, 1)))))</f>
        <v/>
      </c>
      <c r="BK134" s="898" t="str">
        <f t="shared" si="22"/>
        <v/>
      </c>
      <c r="BL134" s="898" t="str">
        <f t="shared" si="22"/>
        <v/>
      </c>
      <c r="BM134" s="1710" t="str">
        <f t="shared" si="22"/>
        <v/>
      </c>
      <c r="BN134" s="1205" t="str">
        <f>IFERROR(VLOOKUP(H134,Valid!$B$94:$N$96,12,FALSE), "")</f>
        <v/>
      </c>
      <c r="BO134" s="1205" t="str">
        <f>IFERROR(VLOOKUP(H134,Valid!$B$94:$N$96,13,FALSE), "")</f>
        <v/>
      </c>
    </row>
    <row r="135" spans="1:69" s="901" customFormat="1" x14ac:dyDescent="0.2">
      <c r="A135" s="206">
        <v>62</v>
      </c>
      <c r="B135" s="1530">
        <v>62</v>
      </c>
      <c r="C135" s="1703"/>
      <c r="D135" s="1248" t="str">
        <f>IF(C133="","",IF(C135="","Enter Service Fleet Description then Fill in columns "&amp;TEXT($H$2,0)&amp;" - "&amp;TEXT($Z$2,0)&amp;"                 ",""))</f>
        <v/>
      </c>
      <c r="E135" s="1245" t="str">
        <f>IF(AK135="N/A","",AK135)</f>
        <v/>
      </c>
      <c r="F135" s="170"/>
      <c r="G135" s="170"/>
      <c r="H135" s="1704"/>
      <c r="I135" s="1246" t="str">
        <f>IF(AND(E135="No",H135=""),"Select Type of Vehicle                        ","")</f>
        <v/>
      </c>
      <c r="J135" s="1247"/>
      <c r="K135" s="1246" t="str">
        <f>IF(AND(C135="No",H135=""),"Number of Vehicles?  ","")</f>
        <v/>
      </c>
      <c r="L135" s="1782" t="str">
        <f>IFERROR(VLOOKUP($H135,val_equip_assets,BH$4,FALSE), "")</f>
        <v/>
      </c>
      <c r="M135" s="1246"/>
      <c r="N135" s="1247"/>
      <c r="O135" s="892" t="str">
        <f>IF(H135="","",IF(AND(E135="No",N135=""),TEXT(BH135,0)&amp;" Years?   ",""))</f>
        <v/>
      </c>
      <c r="P135" s="1705"/>
      <c r="Q135" s="1706" t="str">
        <f>IF(AND(E135="No",P135=""),"Enter Manufact. Yr.     ","")</f>
        <v/>
      </c>
      <c r="R135" s="1952" t="str">
        <f ca="1">BI135</f>
        <v/>
      </c>
      <c r="S135" s="1706"/>
      <c r="T135" s="1963" t="str">
        <f ca="1">BJ135</f>
        <v/>
      </c>
      <c r="U135" s="1706"/>
      <c r="V135" s="1675"/>
      <c r="W135" s="892" t="str">
        <f>IF(AND(E135="No",V135=""),"% of Cap. Resp.    ","")</f>
        <v/>
      </c>
      <c r="X135" s="1655"/>
      <c r="Y135" s="892" t="str">
        <f>IF(AND(E135="No",X135=""),"Estimated $?   ","")</f>
        <v/>
      </c>
      <c r="Z135" s="1707"/>
      <c r="AA135" s="892" t="str">
        <f t="shared" si="21"/>
        <v/>
      </c>
      <c r="AB135" s="1026" t="str">
        <f>IF(E135="","",IF(OR($X135="",$Z135=""),"missing info.",$X135*VLOOKUP($Z135,Inflate,$BF135+1,FALSE)))</f>
        <v/>
      </c>
      <c r="AC135" s="1622"/>
      <c r="AD135" s="1026" t="str">
        <f>IF(E135="","",IF(J135="","missing info.",IF(AB135="missing info.","missing info.",AB135/J135)))</f>
        <v/>
      </c>
      <c r="AE135" s="839"/>
      <c r="AF135" s="1708"/>
      <c r="AG135" s="896"/>
      <c r="AH135" s="894"/>
      <c r="AI135" s="894" t="b">
        <f>IF(AND(C137&lt;&gt;"",C135=""),TRUE,FALSE)</f>
        <v>0</v>
      </c>
      <c r="AJ135" s="902" t="b">
        <f>IF(AND(N135="",P135&lt;&gt;""),TRUE,FALSE)</f>
        <v>0</v>
      </c>
      <c r="AK135" s="720" t="str">
        <f>IF(AND(J135="",AF135="",Z135="",X135="",V135="",N135="",H135="",P135="",C135=""),"N/A",IF(AND(C135&lt;&gt;"",J135&lt;&gt;"",N135&lt;&gt;"",H135&lt;&gt;"",P135&lt;&gt;"",V135&lt;&gt;"",X135&lt;&gt;"",Z135&lt;&gt;""),"Yes","No"))</f>
        <v>N/A</v>
      </c>
      <c r="AL135" s="720" t="b">
        <f>IF(AND(C135="",E135="no"),TRUE,FALSE)</f>
        <v>0</v>
      </c>
      <c r="AM135" s="720" t="b">
        <f>IF(AND(E135="no",H135=""),TRUE,FALSE)</f>
        <v>0</v>
      </c>
      <c r="AN135" s="720" t="b">
        <f>IF(AND(E135="no",H135=""),TRUE,FALSE)</f>
        <v>0</v>
      </c>
      <c r="AO135" s="903" t="b">
        <f>IF($J135="",FALSE,IF($J135&lt;$BD135,TRUE,FALSE))</f>
        <v>0</v>
      </c>
      <c r="AP135" s="903" t="b">
        <f>IF($J135="",FALSE,IF($J135&gt;$BE135,TRUE,FALSE))</f>
        <v>0</v>
      </c>
      <c r="AQ135" s="903" t="b">
        <f>IF(AND(E135="no",N135=""),TRUE,FALSE)</f>
        <v>0</v>
      </c>
      <c r="AR135" s="903" t="b">
        <f>IF(AND(E135="no",P135=""),TRUE,FALSE)</f>
        <v>0</v>
      </c>
      <c r="AS135" s="903" t="b">
        <f>IF(P135="",FALSE,IF(P135&lt;BM135,TRUE,FALSE))</f>
        <v>0</v>
      </c>
      <c r="AT135" s="903" t="b">
        <f>IF(P135="",FALSE,IF(P135&gt;BaseYear,TRUE,FALSE))</f>
        <v>0</v>
      </c>
      <c r="AU135" s="903" t="b">
        <f>IF(AND(E135="no",V135=""),TRUE,FALSE)</f>
        <v>0</v>
      </c>
      <c r="AV135" s="903" t="b">
        <f>IF(V135="",FALSE,IF(OR(V135&gt;1,V135&lt;0),TRUE,FALSE))</f>
        <v>0</v>
      </c>
      <c r="AW135" s="903" t="b">
        <f>IF($N135="",FALSE,IF($N135&lt;$BK135,TRUE,FALSE))</f>
        <v>0</v>
      </c>
      <c r="AX135" s="903" t="b">
        <f>IF($N135="",FALSE,IF($N135&gt;$BL135,TRUE,FALSE))</f>
        <v>0</v>
      </c>
      <c r="AY135" s="889" t="b">
        <f>IF(AND(E135="no",X135=""),TRUE,FALSE)</f>
        <v>0</v>
      </c>
      <c r="AZ135" s="889" t="b">
        <f>IF(OR(AD135="missing info.",AD135=""),FALSE,IF(AD135&lt;BN135,TRUE,FALSE))</f>
        <v>0</v>
      </c>
      <c r="BA135" s="890" t="b">
        <f>IF(OR(AD135="missing info.",AD135=""),FALSE,IF(AD135&gt;BO135,TRUE,FALSE))</f>
        <v>0</v>
      </c>
      <c r="BB135" s="890" t="b">
        <f>IF(AND(E135="no",Z135=""),TRUE,FALSE)</f>
        <v>0</v>
      </c>
      <c r="BC135" s="894" t="b">
        <f>IF(Z135="",FALSE,IF(OR(Z135&gt;BaseYear,Z135&lt;BM135),TRUE,FALSE))</f>
        <v>0</v>
      </c>
      <c r="BD135" s="897" t="str">
        <f>IFERROR(VLOOKUP(H135,Valid!$B$94:$N$96,3,FALSE), "")</f>
        <v/>
      </c>
      <c r="BE135" s="898" t="str">
        <f>IFERROR(VLOOKUP(H135,Valid!$B$94:$N$96,4,FALSE), "")</f>
        <v/>
      </c>
      <c r="BF135" s="897" t="str">
        <f t="shared" si="17"/>
        <v/>
      </c>
      <c r="BG135" s="897" t="str">
        <f t="shared" ca="1" si="18"/>
        <v/>
      </c>
      <c r="BH135" s="1860">
        <f>N135</f>
        <v>0</v>
      </c>
      <c r="BI135" s="1547" t="str">
        <f t="shared" ca="1" si="19"/>
        <v/>
      </c>
      <c r="BJ135" s="898" t="str">
        <f ca="1">IF(BI135="", "", IF(1+(BI135*4)&lt;1, 1, 1+(BI135*4)))</f>
        <v/>
      </c>
      <c r="BK135" s="898" t="str">
        <f t="shared" si="22"/>
        <v/>
      </c>
      <c r="BL135" s="898" t="str">
        <f t="shared" si="22"/>
        <v/>
      </c>
      <c r="BM135" s="1710" t="str">
        <f t="shared" si="22"/>
        <v/>
      </c>
      <c r="BN135" s="1205" t="str">
        <f>IFERROR(VLOOKUP(H135,Valid!$B$94:$N$96,12,FALSE), "")</f>
        <v/>
      </c>
      <c r="BO135" s="1205" t="str">
        <f>IFERROR(VLOOKUP(H135,Valid!$B$94:$N$96,13,FALSE), "")</f>
        <v/>
      </c>
      <c r="BP135" s="894"/>
      <c r="BQ135" s="894"/>
    </row>
    <row r="136" spans="1:69" s="894" customFormat="1" ht="6.75" customHeight="1" thickBot="1" x14ac:dyDescent="0.25">
      <c r="A136" s="1516"/>
      <c r="B136" s="1530">
        <v>62.5</v>
      </c>
      <c r="C136" s="1471"/>
      <c r="D136" s="1541"/>
      <c r="E136" s="1057"/>
      <c r="F136" s="170"/>
      <c r="G136" s="170"/>
      <c r="H136" s="170"/>
      <c r="I136" s="170"/>
      <c r="J136" s="170"/>
      <c r="K136" s="170"/>
      <c r="L136" s="1031"/>
      <c r="M136" s="170"/>
      <c r="N136" s="1031"/>
      <c r="O136" s="892"/>
      <c r="P136" s="836"/>
      <c r="Q136" s="1709"/>
      <c r="R136" s="1806"/>
      <c r="S136" s="1709"/>
      <c r="T136" s="1962"/>
      <c r="U136" s="1709"/>
      <c r="V136" s="1806"/>
      <c r="W136" s="1709"/>
      <c r="X136" s="1027"/>
      <c r="Y136" s="892"/>
      <c r="Z136" s="893"/>
      <c r="AA136" s="892" t="str">
        <f t="shared" si="21"/>
        <v/>
      </c>
      <c r="AB136" s="1030"/>
      <c r="AC136" s="1622"/>
      <c r="AD136" s="1030"/>
      <c r="AF136" s="895"/>
      <c r="AG136" s="896"/>
      <c r="AJ136" s="900"/>
      <c r="AK136" s="1624"/>
      <c r="AO136" s="1152"/>
      <c r="AP136" s="1152"/>
      <c r="AQ136" s="1152"/>
      <c r="AR136" s="1152"/>
      <c r="AS136" s="1152"/>
      <c r="AT136" s="1152"/>
      <c r="AU136" s="1152"/>
      <c r="AV136" s="1152"/>
      <c r="AW136" s="1152"/>
      <c r="AX136" s="1152"/>
      <c r="AY136" s="1448"/>
      <c r="AZ136" s="1448"/>
      <c r="BA136" s="846"/>
      <c r="BB136" s="846"/>
      <c r="BD136" s="897" t="str">
        <f>IFERROR(VLOOKUP(H136,Valid!$B$94:$N$96,3,FALSE), "")</f>
        <v/>
      </c>
      <c r="BE136" s="898" t="str">
        <f>IFERROR(VLOOKUP(H136,Valid!$B$94:$N$96,4,FALSE), "")</f>
        <v/>
      </c>
      <c r="BF136" s="897" t="str">
        <f t="shared" si="17"/>
        <v/>
      </c>
      <c r="BG136" s="897" t="str">
        <f t="shared" ca="1" si="18"/>
        <v/>
      </c>
      <c r="BH136" s="1860" t="str">
        <f>IFERROR(VLOOKUP($H136,val_equip_assets,BH$4,FALSE), "")</f>
        <v/>
      </c>
      <c r="BI136" s="1547" t="str">
        <f t="shared" ca="1" si="19"/>
        <v/>
      </c>
      <c r="BJ136" s="898" t="str">
        <f ca="1">IF(BI136="", "", IF(BI136&lt;0.1, 5, IF(BI136&lt;0.25, 4, IF(BI136&lt;0.5, 3, IF(BI136&lt;0.75, 2, 1)))))</f>
        <v/>
      </c>
      <c r="BK136" s="898" t="str">
        <f t="shared" si="22"/>
        <v/>
      </c>
      <c r="BL136" s="898" t="str">
        <f t="shared" si="22"/>
        <v/>
      </c>
      <c r="BM136" s="1710" t="str">
        <f t="shared" si="22"/>
        <v/>
      </c>
      <c r="BN136" s="1205" t="str">
        <f>IFERROR(VLOOKUP(H136,Valid!$B$94:$N$96,12,FALSE), "")</f>
        <v/>
      </c>
      <c r="BO136" s="1205" t="str">
        <f>IFERROR(VLOOKUP(H136,Valid!$B$94:$N$96,13,FALSE), "")</f>
        <v/>
      </c>
    </row>
    <row r="137" spans="1:69" s="901" customFormat="1" x14ac:dyDescent="0.2">
      <c r="A137" s="206">
        <v>63</v>
      </c>
      <c r="B137" s="1530">
        <v>63</v>
      </c>
      <c r="C137" s="1703"/>
      <c r="D137" s="1248" t="str">
        <f>IF(C135="","",IF(C137="","Enter Service Fleet Description then Fill in columns "&amp;TEXT($H$2,0)&amp;" - "&amp;TEXT($Z$2,0)&amp;"                 ",""))</f>
        <v/>
      </c>
      <c r="E137" s="1245" t="str">
        <f>IF(AK137="N/A","",AK137)</f>
        <v/>
      </c>
      <c r="F137" s="170"/>
      <c r="G137" s="170"/>
      <c r="H137" s="1704"/>
      <c r="I137" s="1246" t="str">
        <f>IF(AND(E137="No",H137=""),"Select Type of Vehicle                        ","")</f>
        <v/>
      </c>
      <c r="J137" s="1247"/>
      <c r="K137" s="1246" t="str">
        <f>IF(AND(C137="No",H137=""),"Number of Vehicles?  ","")</f>
        <v/>
      </c>
      <c r="L137" s="1782" t="str">
        <f>IFERROR(VLOOKUP($H137,val_equip_assets,BH$4,FALSE), "")</f>
        <v/>
      </c>
      <c r="M137" s="1246"/>
      <c r="N137" s="1247"/>
      <c r="O137" s="892" t="str">
        <f>IF(H137="","",IF(AND(E137="No",N137=""),TEXT(BH137,0)&amp;" Years?   ",""))</f>
        <v/>
      </c>
      <c r="P137" s="1705"/>
      <c r="Q137" s="1706" t="str">
        <f>IF(AND(E137="No",P137=""),"Enter Manufact. Yr.     ","")</f>
        <v/>
      </c>
      <c r="R137" s="1952" t="str">
        <f ca="1">BI137</f>
        <v/>
      </c>
      <c r="S137" s="1706"/>
      <c r="T137" s="1963" t="str">
        <f ca="1">BJ137</f>
        <v/>
      </c>
      <c r="U137" s="1706"/>
      <c r="V137" s="1675"/>
      <c r="W137" s="892" t="str">
        <f>IF(AND(E137="No",V137=""),"% of Cap. Resp.    ","")</f>
        <v/>
      </c>
      <c r="X137" s="1655"/>
      <c r="Y137" s="892" t="str">
        <f>IF(AND(E137="No",X137=""),"Estimated $?   ","")</f>
        <v/>
      </c>
      <c r="Z137" s="1707"/>
      <c r="AA137" s="892" t="str">
        <f t="shared" si="21"/>
        <v/>
      </c>
      <c r="AB137" s="1026" t="str">
        <f>IF(E137="","",IF(OR($X137="",$Z137=""),"missing info.",$X137*VLOOKUP($Z137,Inflate,$BF137+1,FALSE)))</f>
        <v/>
      </c>
      <c r="AC137" s="1622"/>
      <c r="AD137" s="1026" t="str">
        <f>IF(E137="","",IF(J137="","missing info.",IF(AB137="missing info.","missing info.",AB137/J137)))</f>
        <v/>
      </c>
      <c r="AE137" s="839"/>
      <c r="AF137" s="1708"/>
      <c r="AG137" s="896"/>
      <c r="AH137" s="894"/>
      <c r="AI137" s="894" t="b">
        <f>IF(AND(C139&lt;&gt;"",C137=""),TRUE,FALSE)</f>
        <v>0</v>
      </c>
      <c r="AJ137" s="902" t="b">
        <f>IF(AND(N137="",P137&lt;&gt;""),TRUE,FALSE)</f>
        <v>0</v>
      </c>
      <c r="AK137" s="720" t="str">
        <f>IF(AND(J137="",AF137="",Z137="",X137="",V137="",N137="",H137="",P137="",C137=""),"N/A",IF(AND(C137&lt;&gt;"",J137&lt;&gt;"",N137&lt;&gt;"",H137&lt;&gt;"",P137&lt;&gt;"",V137&lt;&gt;"",X137&lt;&gt;"",Z137&lt;&gt;""),"Yes","No"))</f>
        <v>N/A</v>
      </c>
      <c r="AL137" s="720" t="b">
        <f>IF(AND(C137="",E137="no"),TRUE,FALSE)</f>
        <v>0</v>
      </c>
      <c r="AM137" s="720" t="b">
        <f>IF(AND(E137="no",H137=""),TRUE,FALSE)</f>
        <v>0</v>
      </c>
      <c r="AN137" s="720" t="b">
        <f>IF(AND(E137="no",H137=""),TRUE,FALSE)</f>
        <v>0</v>
      </c>
      <c r="AO137" s="903" t="b">
        <f>IF($J137="",FALSE,IF($J137&lt;$BD137,TRUE,FALSE))</f>
        <v>0</v>
      </c>
      <c r="AP137" s="903" t="b">
        <f>IF($J137="",FALSE,IF($J137&gt;$BE137,TRUE,FALSE))</f>
        <v>0</v>
      </c>
      <c r="AQ137" s="903" t="b">
        <f>IF(AND(E137="no",N137=""),TRUE,FALSE)</f>
        <v>0</v>
      </c>
      <c r="AR137" s="903" t="b">
        <f>IF(AND(E137="no",P137=""),TRUE,FALSE)</f>
        <v>0</v>
      </c>
      <c r="AS137" s="903" t="b">
        <f>IF(P137="",FALSE,IF(P137&lt;BM137,TRUE,FALSE))</f>
        <v>0</v>
      </c>
      <c r="AT137" s="903" t="b">
        <f>IF(P137="",FALSE,IF(P137&gt;BaseYear,TRUE,FALSE))</f>
        <v>0</v>
      </c>
      <c r="AU137" s="903" t="b">
        <f>IF(AND(E137="no",V137=""),TRUE,FALSE)</f>
        <v>0</v>
      </c>
      <c r="AV137" s="903" t="b">
        <f>IF(V137="",FALSE,IF(OR(V137&gt;1,V137&lt;0),TRUE,FALSE))</f>
        <v>0</v>
      </c>
      <c r="AW137" s="903" t="b">
        <f>IF($N137="",FALSE,IF($N137&lt;$BK137,TRUE,FALSE))</f>
        <v>0</v>
      </c>
      <c r="AX137" s="903" t="b">
        <f>IF($N137="",FALSE,IF($N137&gt;$BL137,TRUE,FALSE))</f>
        <v>0</v>
      </c>
      <c r="AY137" s="889" t="b">
        <f>IF(AND(E137="no",X137=""),TRUE,FALSE)</f>
        <v>0</v>
      </c>
      <c r="AZ137" s="889" t="b">
        <f>IF(OR(AD137="missing info.",AD137=""),FALSE,IF(AD137&lt;BN137,TRUE,FALSE))</f>
        <v>0</v>
      </c>
      <c r="BA137" s="890" t="b">
        <f>IF(OR(AD137="missing info.",AD137=""),FALSE,IF(AD137&gt;BO137,TRUE,FALSE))</f>
        <v>0</v>
      </c>
      <c r="BB137" s="890" t="b">
        <f>IF(AND(E137="no",Z137=""),TRUE,FALSE)</f>
        <v>0</v>
      </c>
      <c r="BC137" s="894" t="b">
        <f>IF(Z137="",FALSE,IF(OR(Z137&gt;BaseYear,Z137&lt;BM137),TRUE,FALSE))</f>
        <v>0</v>
      </c>
      <c r="BD137" s="897" t="str">
        <f>IFERROR(VLOOKUP(H137,Valid!$B$94:$N$96,3,FALSE), "")</f>
        <v/>
      </c>
      <c r="BE137" s="898" t="str">
        <f>IFERROR(VLOOKUP(H137,Valid!$B$94:$N$96,4,FALSE), "")</f>
        <v/>
      </c>
      <c r="BF137" s="897" t="str">
        <f t="shared" si="17"/>
        <v/>
      </c>
      <c r="BG137" s="897" t="str">
        <f t="shared" ca="1" si="18"/>
        <v/>
      </c>
      <c r="BH137" s="1860">
        <f>N137</f>
        <v>0</v>
      </c>
      <c r="BI137" s="1547" t="str">
        <f t="shared" ca="1" si="19"/>
        <v/>
      </c>
      <c r="BJ137" s="898" t="str">
        <f ca="1">IF(BI137="", "", IF(1+(BI137*4)&lt;1, 1, 1+(BI137*4)))</f>
        <v/>
      </c>
      <c r="BK137" s="898" t="str">
        <f t="shared" si="22"/>
        <v/>
      </c>
      <c r="BL137" s="898" t="str">
        <f t="shared" si="22"/>
        <v/>
      </c>
      <c r="BM137" s="1710" t="str">
        <f t="shared" si="22"/>
        <v/>
      </c>
      <c r="BN137" s="1205" t="str">
        <f>IFERROR(VLOOKUP(H137,Valid!$B$94:$N$96,12,FALSE), "")</f>
        <v/>
      </c>
      <c r="BO137" s="1205" t="str">
        <f>IFERROR(VLOOKUP(H137,Valid!$B$94:$N$96,13,FALSE), "")</f>
        <v/>
      </c>
      <c r="BP137" s="894"/>
      <c r="BQ137" s="894"/>
    </row>
    <row r="138" spans="1:69" s="894" customFormat="1" ht="6.75" customHeight="1" thickBot="1" x14ac:dyDescent="0.25">
      <c r="A138" s="1516"/>
      <c r="B138" s="1530">
        <v>63.5</v>
      </c>
      <c r="C138" s="1471"/>
      <c r="D138" s="1541"/>
      <c r="E138" s="1057"/>
      <c r="F138" s="170"/>
      <c r="G138" s="170"/>
      <c r="H138" s="170"/>
      <c r="I138" s="170"/>
      <c r="J138" s="170"/>
      <c r="K138" s="170"/>
      <c r="L138" s="1031"/>
      <c r="M138" s="170"/>
      <c r="N138" s="1031"/>
      <c r="O138" s="892"/>
      <c r="P138" s="836"/>
      <c r="Q138" s="1709"/>
      <c r="R138" s="1806"/>
      <c r="S138" s="1709"/>
      <c r="T138" s="1962"/>
      <c r="U138" s="1709"/>
      <c r="V138" s="1806"/>
      <c r="W138" s="1709"/>
      <c r="X138" s="1027"/>
      <c r="Y138" s="892"/>
      <c r="Z138" s="893"/>
      <c r="AA138" s="892" t="str">
        <f t="shared" si="21"/>
        <v/>
      </c>
      <c r="AB138" s="1030"/>
      <c r="AC138" s="1622"/>
      <c r="AD138" s="1030"/>
      <c r="AF138" s="895"/>
      <c r="AG138" s="896"/>
      <c r="AJ138" s="900"/>
      <c r="AK138" s="1624"/>
      <c r="AO138" s="1152"/>
      <c r="AP138" s="1152"/>
      <c r="AQ138" s="1152"/>
      <c r="AR138" s="1152"/>
      <c r="AS138" s="1152"/>
      <c r="AT138" s="1152"/>
      <c r="AU138" s="1152"/>
      <c r="AV138" s="1152"/>
      <c r="AW138" s="1152"/>
      <c r="AX138" s="1152"/>
      <c r="AY138" s="1448"/>
      <c r="AZ138" s="1448"/>
      <c r="BA138" s="846"/>
      <c r="BB138" s="846"/>
      <c r="BD138" s="897" t="str">
        <f>IFERROR(VLOOKUP(H138,Valid!$B$94:$N$96,3,FALSE), "")</f>
        <v/>
      </c>
      <c r="BE138" s="898" t="str">
        <f>IFERROR(VLOOKUP(H138,Valid!$B$94:$N$96,4,FALSE), "")</f>
        <v/>
      </c>
      <c r="BF138" s="897" t="str">
        <f t="shared" si="17"/>
        <v/>
      </c>
      <c r="BG138" s="897" t="str">
        <f t="shared" ca="1" si="18"/>
        <v/>
      </c>
      <c r="BH138" s="1860" t="str">
        <f>IFERROR(VLOOKUP($H138,val_equip_assets,BH$4,FALSE), "")</f>
        <v/>
      </c>
      <c r="BI138" s="1547" t="str">
        <f t="shared" ca="1" si="19"/>
        <v/>
      </c>
      <c r="BJ138" s="898" t="str">
        <f ca="1">IF(BI138="", "", IF(BI138&lt;0.1, 5, IF(BI138&lt;0.25, 4, IF(BI138&lt;0.5, 3, IF(BI138&lt;0.75, 2, 1)))))</f>
        <v/>
      </c>
      <c r="BK138" s="898" t="str">
        <f t="shared" si="22"/>
        <v/>
      </c>
      <c r="BL138" s="898" t="str">
        <f t="shared" si="22"/>
        <v/>
      </c>
      <c r="BM138" s="1710" t="str">
        <f t="shared" si="22"/>
        <v/>
      </c>
      <c r="BN138" s="1205" t="str">
        <f>IFERROR(VLOOKUP(H138,Valid!$B$94:$N$96,12,FALSE), "")</f>
        <v/>
      </c>
      <c r="BO138" s="1205" t="str">
        <f>IFERROR(VLOOKUP(H138,Valid!$B$94:$N$96,13,FALSE), "")</f>
        <v/>
      </c>
    </row>
    <row r="139" spans="1:69" s="901" customFormat="1" x14ac:dyDescent="0.2">
      <c r="A139" s="206">
        <v>64</v>
      </c>
      <c r="B139" s="1530">
        <v>64</v>
      </c>
      <c r="C139" s="1703"/>
      <c r="D139" s="1248" t="str">
        <f>IF(C137="","",IF(C139="","Enter Service Fleet Description then Fill in columns "&amp;TEXT($H$2,0)&amp;" - "&amp;TEXT($Z$2,0)&amp;"                 ",""))</f>
        <v/>
      </c>
      <c r="E139" s="1245" t="str">
        <f>IF(AK139="N/A","",AK139)</f>
        <v/>
      </c>
      <c r="F139" s="170"/>
      <c r="G139" s="170"/>
      <c r="H139" s="1704"/>
      <c r="I139" s="1246" t="str">
        <f>IF(AND(E139="No",H139=""),"Select Type of Vehicle                        ","")</f>
        <v/>
      </c>
      <c r="J139" s="1247"/>
      <c r="K139" s="1246" t="str">
        <f>IF(AND(C139="No",H139=""),"Number of Vehicles?  ","")</f>
        <v/>
      </c>
      <c r="L139" s="1782" t="str">
        <f>IFERROR(VLOOKUP($H139,val_equip_assets,BH$4,FALSE), "")</f>
        <v/>
      </c>
      <c r="M139" s="1246"/>
      <c r="N139" s="1247"/>
      <c r="O139" s="892" t="str">
        <f>IF(H139="","",IF(AND(E139="No",N139=""),TEXT(BH139,0)&amp;" Years?   ",""))</f>
        <v/>
      </c>
      <c r="P139" s="1705"/>
      <c r="Q139" s="1706" t="str">
        <f>IF(AND(E139="No",P139=""),"Enter Manufact. Yr.     ","")</f>
        <v/>
      </c>
      <c r="R139" s="1952" t="str">
        <f ca="1">BI139</f>
        <v/>
      </c>
      <c r="S139" s="1706"/>
      <c r="T139" s="1963" t="str">
        <f ca="1">BJ139</f>
        <v/>
      </c>
      <c r="U139" s="1706"/>
      <c r="V139" s="1675"/>
      <c r="W139" s="892" t="str">
        <f>IF(AND(E139="No",V139=""),"% of Cap. Resp.    ","")</f>
        <v/>
      </c>
      <c r="X139" s="1655"/>
      <c r="Y139" s="892" t="str">
        <f>IF(AND(E139="No",X139=""),"Estimated $?   ","")</f>
        <v/>
      </c>
      <c r="Z139" s="1707"/>
      <c r="AA139" s="892" t="str">
        <f t="shared" si="21"/>
        <v/>
      </c>
      <c r="AB139" s="1026" t="str">
        <f>IF(E139="","",IF(OR($X139="",$Z139=""),"missing info.",$X139*VLOOKUP($Z139,Inflate,$BF139+1,FALSE)))</f>
        <v/>
      </c>
      <c r="AC139" s="1622"/>
      <c r="AD139" s="1026" t="str">
        <f>IF(E139="","",IF(J139="","missing info.",IF(AB139="missing info.","missing info.",AB139/J139)))</f>
        <v/>
      </c>
      <c r="AE139" s="839"/>
      <c r="AF139" s="1708"/>
      <c r="AG139" s="896"/>
      <c r="AH139" s="894"/>
      <c r="AI139" s="894" t="b">
        <f>IF(AND(C141&lt;&gt;"",C139=""),TRUE,FALSE)</f>
        <v>0</v>
      </c>
      <c r="AJ139" s="902" t="b">
        <f>IF(AND(N139="",P139&lt;&gt;""),TRUE,FALSE)</f>
        <v>0</v>
      </c>
      <c r="AK139" s="720" t="str">
        <f>IF(AND(J139="",AF139="",Z139="",X139="",V139="",N139="",H139="",P139="",C139=""),"N/A",IF(AND(C139&lt;&gt;"",J139&lt;&gt;"",N139&lt;&gt;"",H139&lt;&gt;"",P139&lt;&gt;"",V139&lt;&gt;"",X139&lt;&gt;"",Z139&lt;&gt;""),"Yes","No"))</f>
        <v>N/A</v>
      </c>
      <c r="AL139" s="720" t="b">
        <f>IF(AND(C139="",E139="no"),TRUE,FALSE)</f>
        <v>0</v>
      </c>
      <c r="AM139" s="720" t="b">
        <f>IF(AND(E139="no",H139=""),TRUE,FALSE)</f>
        <v>0</v>
      </c>
      <c r="AN139" s="720" t="b">
        <f>IF(AND(E139="no",H139=""),TRUE,FALSE)</f>
        <v>0</v>
      </c>
      <c r="AO139" s="903" t="b">
        <f>IF($J139="",FALSE,IF($J139&lt;$BD139,TRUE,FALSE))</f>
        <v>0</v>
      </c>
      <c r="AP139" s="903" t="b">
        <f>IF($J139="",FALSE,IF($J139&gt;$BE139,TRUE,FALSE))</f>
        <v>0</v>
      </c>
      <c r="AQ139" s="903" t="b">
        <f>IF(AND(E139="no",N139=""),TRUE,FALSE)</f>
        <v>0</v>
      </c>
      <c r="AR139" s="903" t="b">
        <f>IF(AND(E139="no",P139=""),TRUE,FALSE)</f>
        <v>0</v>
      </c>
      <c r="AS139" s="903" t="b">
        <f>IF(P139="",FALSE,IF(P139&lt;BM139,TRUE,FALSE))</f>
        <v>0</v>
      </c>
      <c r="AT139" s="903" t="b">
        <f>IF(P139="",FALSE,IF(P139&gt;BaseYear,TRUE,FALSE))</f>
        <v>0</v>
      </c>
      <c r="AU139" s="903" t="b">
        <f>IF(AND(E139="no",V139=""),TRUE,FALSE)</f>
        <v>0</v>
      </c>
      <c r="AV139" s="903" t="b">
        <f>IF(V139="",FALSE,IF(OR(V139&gt;1,V139&lt;0),TRUE,FALSE))</f>
        <v>0</v>
      </c>
      <c r="AW139" s="903" t="b">
        <f>IF($N139="",FALSE,IF($N139&lt;$BK139,TRUE,FALSE))</f>
        <v>0</v>
      </c>
      <c r="AX139" s="903" t="b">
        <f>IF($N139="",FALSE,IF($N139&gt;$BL139,TRUE,FALSE))</f>
        <v>0</v>
      </c>
      <c r="AY139" s="889" t="b">
        <f>IF(AND(E139="no",X139=""),TRUE,FALSE)</f>
        <v>0</v>
      </c>
      <c r="AZ139" s="889" t="b">
        <f>IF(OR(AD139="missing info.",AD139=""),FALSE,IF(AD139&lt;BN139,TRUE,FALSE))</f>
        <v>0</v>
      </c>
      <c r="BA139" s="890" t="b">
        <f>IF(OR(AD139="missing info.",AD139=""),FALSE,IF(AD139&gt;BO139,TRUE,FALSE))</f>
        <v>0</v>
      </c>
      <c r="BB139" s="890" t="b">
        <f>IF(AND(E139="no",Z139=""),TRUE,FALSE)</f>
        <v>0</v>
      </c>
      <c r="BC139" s="894" t="b">
        <f>IF(Z139="",FALSE,IF(OR(Z139&gt;BaseYear,Z139&lt;BM139),TRUE,FALSE))</f>
        <v>0</v>
      </c>
      <c r="BD139" s="897" t="str">
        <f>IFERROR(VLOOKUP(H139,Valid!$B$94:$N$96,3,FALSE), "")</f>
        <v/>
      </c>
      <c r="BE139" s="898" t="str">
        <f>IFERROR(VLOOKUP(H139,Valid!$B$94:$N$96,4,FALSE), "")</f>
        <v/>
      </c>
      <c r="BF139" s="897" t="str">
        <f t="shared" si="17"/>
        <v/>
      </c>
      <c r="BG139" s="897" t="str">
        <f t="shared" ca="1" si="18"/>
        <v/>
      </c>
      <c r="BH139" s="1860">
        <f>N139</f>
        <v>0</v>
      </c>
      <c r="BI139" s="1547" t="str">
        <f t="shared" ca="1" si="19"/>
        <v/>
      </c>
      <c r="BJ139" s="898" t="str">
        <f ca="1">IF(BI139="", "", IF(1+(BI139*4)&lt;1, 1, 1+(BI139*4)))</f>
        <v/>
      </c>
      <c r="BK139" s="898" t="str">
        <f t="shared" si="22"/>
        <v/>
      </c>
      <c r="BL139" s="898" t="str">
        <f t="shared" si="22"/>
        <v/>
      </c>
      <c r="BM139" s="1710" t="str">
        <f t="shared" si="22"/>
        <v/>
      </c>
      <c r="BN139" s="1205" t="str">
        <f>IFERROR(VLOOKUP(H139,Valid!$B$94:$N$96,12,FALSE), "")</f>
        <v/>
      </c>
      <c r="BO139" s="1205" t="str">
        <f>IFERROR(VLOOKUP(H139,Valid!$B$94:$N$96,13,FALSE), "")</f>
        <v/>
      </c>
      <c r="BP139" s="894"/>
      <c r="BQ139" s="894"/>
    </row>
    <row r="140" spans="1:69" s="894" customFormat="1" ht="6.75" customHeight="1" thickBot="1" x14ac:dyDescent="0.25">
      <c r="A140" s="1516"/>
      <c r="B140" s="1530">
        <v>64.5</v>
      </c>
      <c r="C140" s="1471"/>
      <c r="D140" s="1541"/>
      <c r="E140" s="1057"/>
      <c r="F140" s="170"/>
      <c r="G140" s="170"/>
      <c r="H140" s="170"/>
      <c r="I140" s="170"/>
      <c r="J140" s="170"/>
      <c r="K140" s="170"/>
      <c r="L140" s="1031"/>
      <c r="M140" s="170"/>
      <c r="N140" s="1031"/>
      <c r="O140" s="892"/>
      <c r="P140" s="836"/>
      <c r="Q140" s="1709"/>
      <c r="R140" s="1806"/>
      <c r="S140" s="1709"/>
      <c r="T140" s="1962"/>
      <c r="U140" s="1709"/>
      <c r="V140" s="1806"/>
      <c r="W140" s="1709"/>
      <c r="X140" s="1027"/>
      <c r="Y140" s="892"/>
      <c r="Z140" s="893"/>
      <c r="AA140" s="892" t="str">
        <f t="shared" si="21"/>
        <v/>
      </c>
      <c r="AB140" s="1030"/>
      <c r="AC140" s="1622"/>
      <c r="AD140" s="1030"/>
      <c r="AF140" s="895"/>
      <c r="AG140" s="896"/>
      <c r="AJ140" s="900"/>
      <c r="AK140" s="1624"/>
      <c r="AO140" s="1152"/>
      <c r="AP140" s="1152"/>
      <c r="AQ140" s="1152"/>
      <c r="AR140" s="1152"/>
      <c r="AS140" s="1152"/>
      <c r="AT140" s="1152"/>
      <c r="AU140" s="1152"/>
      <c r="AV140" s="1152"/>
      <c r="AW140" s="1152"/>
      <c r="AX140" s="1152"/>
      <c r="AY140" s="1448"/>
      <c r="AZ140" s="1448"/>
      <c r="BA140" s="846"/>
      <c r="BB140" s="846"/>
      <c r="BD140" s="897" t="str">
        <f>IFERROR(VLOOKUP(H140,Valid!$B$94:$N$96,3,FALSE), "")</f>
        <v/>
      </c>
      <c r="BE140" s="898" t="str">
        <f>IFERROR(VLOOKUP(H140,Valid!$B$94:$N$96,4,FALSE), "")</f>
        <v/>
      </c>
      <c r="BF140" s="897" t="str">
        <f t="shared" si="17"/>
        <v/>
      </c>
      <c r="BG140" s="897" t="str">
        <f t="shared" ca="1" si="18"/>
        <v/>
      </c>
      <c r="BH140" s="1860" t="str">
        <f>IFERROR(VLOOKUP($H140,val_equip_assets,BH$4,FALSE), "")</f>
        <v/>
      </c>
      <c r="BI140" s="1547" t="str">
        <f t="shared" ca="1" si="19"/>
        <v/>
      </c>
      <c r="BJ140" s="898" t="str">
        <f ca="1">IF(BI140="", "", IF(BI140&lt;0.1, 5, IF(BI140&lt;0.25, 4, IF(BI140&lt;0.5, 3, IF(BI140&lt;0.75, 2, 1)))))</f>
        <v/>
      </c>
      <c r="BK140" s="898" t="str">
        <f t="shared" si="22"/>
        <v/>
      </c>
      <c r="BL140" s="898" t="str">
        <f t="shared" si="22"/>
        <v/>
      </c>
      <c r="BM140" s="1710" t="str">
        <f t="shared" si="22"/>
        <v/>
      </c>
      <c r="BN140" s="1205" t="str">
        <f>IFERROR(VLOOKUP(H140,Valid!$B$94:$N$96,12,FALSE), "")</f>
        <v/>
      </c>
      <c r="BO140" s="1205" t="str">
        <f>IFERROR(VLOOKUP(H140,Valid!$B$94:$N$96,13,FALSE), "")</f>
        <v/>
      </c>
    </row>
    <row r="141" spans="1:69" s="901" customFormat="1" x14ac:dyDescent="0.2">
      <c r="A141" s="206">
        <v>65</v>
      </c>
      <c r="B141" s="1530">
        <v>65</v>
      </c>
      <c r="C141" s="1703"/>
      <c r="D141" s="1248" t="str">
        <f>IF(C139="","",IF(C141="","Enter Service Fleet Description then Fill in columns "&amp;TEXT($H$2,0)&amp;" - "&amp;TEXT($Z$2,0)&amp;"                 ",""))</f>
        <v/>
      </c>
      <c r="E141" s="1245" t="str">
        <f>IF(AK141="N/A","",AK141)</f>
        <v/>
      </c>
      <c r="F141" s="170"/>
      <c r="G141" s="170"/>
      <c r="H141" s="1704"/>
      <c r="I141" s="1246" t="str">
        <f>IF(AND(E141="No",H141=""),"Select Type of Vehicle                        ","")</f>
        <v/>
      </c>
      <c r="J141" s="1247"/>
      <c r="K141" s="1246" t="str">
        <f>IF(AND(C141="No",H141=""),"Number of Vehicles?  ","")</f>
        <v/>
      </c>
      <c r="L141" s="1782" t="str">
        <f>IFERROR(VLOOKUP($H141,val_equip_assets,BH$4,FALSE), "")</f>
        <v/>
      </c>
      <c r="M141" s="1246"/>
      <c r="N141" s="1247"/>
      <c r="O141" s="892" t="str">
        <f>IF(H141="","",IF(AND(E141="No",N141=""),TEXT(BH141,0)&amp;" Years?   ",""))</f>
        <v/>
      </c>
      <c r="P141" s="1705"/>
      <c r="Q141" s="1706" t="str">
        <f>IF(AND(E141="No",P141=""),"Enter Manufact. Yr.     ","")</f>
        <v/>
      </c>
      <c r="R141" s="1952" t="str">
        <f ca="1">BI141</f>
        <v/>
      </c>
      <c r="S141" s="1706"/>
      <c r="T141" s="1963" t="str">
        <f ca="1">BJ141</f>
        <v/>
      </c>
      <c r="U141" s="1706"/>
      <c r="V141" s="1675"/>
      <c r="W141" s="892" t="str">
        <f>IF(AND(E141="No",V141=""),"% of Cap. Resp.    ","")</f>
        <v/>
      </c>
      <c r="X141" s="1655"/>
      <c r="Y141" s="892" t="str">
        <f>IF(AND(E141="No",X141=""),"Estimated $?   ","")</f>
        <v/>
      </c>
      <c r="Z141" s="1707"/>
      <c r="AA141" s="892" t="str">
        <f t="shared" si="21"/>
        <v/>
      </c>
      <c r="AB141" s="1026" t="str">
        <f>IF(E141="","",IF(OR($X141="",$Z141=""),"missing info.",$X141*VLOOKUP($Z141,Inflate,$BF141+1,FALSE)))</f>
        <v/>
      </c>
      <c r="AC141" s="1622"/>
      <c r="AD141" s="1026" t="str">
        <f>IF(E141="","",IF(J141="","missing info.",IF(AB141="missing info.","missing info.",AB141/J141)))</f>
        <v/>
      </c>
      <c r="AE141" s="839"/>
      <c r="AF141" s="1708"/>
      <c r="AG141" s="896"/>
      <c r="AH141" s="894"/>
      <c r="AI141" s="894" t="b">
        <f>IF(AND(C143&lt;&gt;"",C141=""),TRUE,FALSE)</f>
        <v>0</v>
      </c>
      <c r="AJ141" s="902" t="b">
        <f>IF(AND(N141="",P141&lt;&gt;""),TRUE,FALSE)</f>
        <v>0</v>
      </c>
      <c r="AK141" s="720" t="str">
        <f>IF(AND(J141="",AF141="",Z141="",X141="",V141="",N141="",H141="",P141="",C141=""),"N/A",IF(AND(C141&lt;&gt;"",J141&lt;&gt;"",N141&lt;&gt;"",H141&lt;&gt;"",P141&lt;&gt;"",V141&lt;&gt;"",X141&lt;&gt;"",Z141&lt;&gt;""),"Yes","No"))</f>
        <v>N/A</v>
      </c>
      <c r="AL141" s="720" t="b">
        <f>IF(AND(C141="",E141="no"),TRUE,FALSE)</f>
        <v>0</v>
      </c>
      <c r="AM141" s="720" t="b">
        <f>IF(AND(E141="no",H141=""),TRUE,FALSE)</f>
        <v>0</v>
      </c>
      <c r="AN141" s="720" t="b">
        <f>IF(AND(E141="no",H141=""),TRUE,FALSE)</f>
        <v>0</v>
      </c>
      <c r="AO141" s="903" t="b">
        <f>IF($J141="",FALSE,IF($J141&lt;$BD141,TRUE,FALSE))</f>
        <v>0</v>
      </c>
      <c r="AP141" s="903" t="b">
        <f>IF($J141="",FALSE,IF($J141&gt;$BE141,TRUE,FALSE))</f>
        <v>0</v>
      </c>
      <c r="AQ141" s="903" t="b">
        <f>IF(AND(E141="no",N141=""),TRUE,FALSE)</f>
        <v>0</v>
      </c>
      <c r="AR141" s="903" t="b">
        <f>IF(AND(E141="no",P141=""),TRUE,FALSE)</f>
        <v>0</v>
      </c>
      <c r="AS141" s="903" t="b">
        <f>IF(P141="",FALSE,IF(P141&lt;BM141,TRUE,FALSE))</f>
        <v>0</v>
      </c>
      <c r="AT141" s="903" t="b">
        <f>IF(P141="",FALSE,IF(P141&gt;BaseYear,TRUE,FALSE))</f>
        <v>0</v>
      </c>
      <c r="AU141" s="903" t="b">
        <f>IF(AND(E141="no",V141=""),TRUE,FALSE)</f>
        <v>0</v>
      </c>
      <c r="AV141" s="903" t="b">
        <f>IF(V141="",FALSE,IF(OR(V141&gt;1,V141&lt;0),TRUE,FALSE))</f>
        <v>0</v>
      </c>
      <c r="AW141" s="903" t="b">
        <f>IF($N141="",FALSE,IF($N141&lt;$BK141,TRUE,FALSE))</f>
        <v>0</v>
      </c>
      <c r="AX141" s="903" t="b">
        <f>IF($N141="",FALSE,IF($N141&gt;$BL141,TRUE,FALSE))</f>
        <v>0</v>
      </c>
      <c r="AY141" s="889" t="b">
        <f>IF(AND(E141="no",X141=""),TRUE,FALSE)</f>
        <v>0</v>
      </c>
      <c r="AZ141" s="889" t="b">
        <f>IF(OR(AD141="missing info.",AD141=""),FALSE,IF(AD141&lt;BN141,TRUE,FALSE))</f>
        <v>0</v>
      </c>
      <c r="BA141" s="890" t="b">
        <f>IF(OR(AD141="missing info.",AD141=""),FALSE,IF(AD141&gt;BO141,TRUE,FALSE))</f>
        <v>0</v>
      </c>
      <c r="BB141" s="890" t="b">
        <f>IF(AND(E141="no",Z141=""),TRUE,FALSE)</f>
        <v>0</v>
      </c>
      <c r="BC141" s="894" t="b">
        <f>IF(Z141="",FALSE,IF(OR(Z141&gt;BaseYear,Z141&lt;BM141),TRUE,FALSE))</f>
        <v>0</v>
      </c>
      <c r="BD141" s="897" t="str">
        <f>IFERROR(VLOOKUP(H141,Valid!$B$94:$N$96,3,FALSE), "")</f>
        <v/>
      </c>
      <c r="BE141" s="898" t="str">
        <f>IFERROR(VLOOKUP(H141,Valid!$B$94:$N$96,4,FALSE), "")</f>
        <v/>
      </c>
      <c r="BF141" s="897" t="str">
        <f t="shared" ref="BF141:BF172" si="23">IFERROR(VLOOKUP($H141,val_equip_assets,BF$4,FALSE), "")</f>
        <v/>
      </c>
      <c r="BG141" s="897" t="str">
        <f t="shared" ref="BG141:BG172" ca="1" si="24">IF(P141="", "", YEAR(TODAY())-P141)</f>
        <v/>
      </c>
      <c r="BH141" s="1860">
        <f>N141</f>
        <v>0</v>
      </c>
      <c r="BI141" s="1547" t="str">
        <f t="shared" ref="BI141:BI172" ca="1" si="25">IF(OR(BG141="", BH141="",BH141=0), "", 1+ (-1*(BG141/BH141)))</f>
        <v/>
      </c>
      <c r="BJ141" s="898" t="str">
        <f ca="1">IF(BI141="", "", IF(1+(BI141*4)&lt;1, 1, 1+(BI141*4)))</f>
        <v/>
      </c>
      <c r="BK141" s="898" t="str">
        <f t="shared" si="22"/>
        <v/>
      </c>
      <c r="BL141" s="898" t="str">
        <f t="shared" si="22"/>
        <v/>
      </c>
      <c r="BM141" s="1710" t="str">
        <f t="shared" si="22"/>
        <v/>
      </c>
      <c r="BN141" s="1205" t="str">
        <f>IFERROR(VLOOKUP(H141,Valid!$B$94:$N$96,12,FALSE), "")</f>
        <v/>
      </c>
      <c r="BO141" s="1205" t="str">
        <f>IFERROR(VLOOKUP(H141,Valid!$B$94:$N$96,13,FALSE), "")</f>
        <v/>
      </c>
      <c r="BP141" s="894"/>
      <c r="BQ141" s="894"/>
    </row>
    <row r="142" spans="1:69" s="894" customFormat="1" ht="6.75" customHeight="1" thickBot="1" x14ac:dyDescent="0.25">
      <c r="A142" s="1516"/>
      <c r="B142" s="1530">
        <v>65.5</v>
      </c>
      <c r="C142" s="1471"/>
      <c r="D142" s="1541"/>
      <c r="E142" s="1057"/>
      <c r="F142" s="170"/>
      <c r="G142" s="170"/>
      <c r="H142" s="170"/>
      <c r="I142" s="170"/>
      <c r="J142" s="170"/>
      <c r="K142" s="170"/>
      <c r="L142" s="1031"/>
      <c r="M142" s="170"/>
      <c r="N142" s="1031"/>
      <c r="O142" s="892"/>
      <c r="P142" s="836"/>
      <c r="Q142" s="1709"/>
      <c r="R142" s="1806"/>
      <c r="S142" s="1709"/>
      <c r="T142" s="1962"/>
      <c r="U142" s="1709"/>
      <c r="V142" s="1806"/>
      <c r="W142" s="1709"/>
      <c r="X142" s="1027"/>
      <c r="Y142" s="892"/>
      <c r="Z142" s="893"/>
      <c r="AA142" s="892" t="str">
        <f t="shared" si="21"/>
        <v/>
      </c>
      <c r="AB142" s="1030"/>
      <c r="AC142" s="1622"/>
      <c r="AD142" s="1030"/>
      <c r="AF142" s="895"/>
      <c r="AG142" s="896"/>
      <c r="AJ142" s="900"/>
      <c r="AK142" s="1624"/>
      <c r="AO142" s="1152"/>
      <c r="AP142" s="1152"/>
      <c r="AQ142" s="1152"/>
      <c r="AR142" s="1152"/>
      <c r="AS142" s="1152"/>
      <c r="AT142" s="1152"/>
      <c r="AU142" s="1152"/>
      <c r="AV142" s="1152"/>
      <c r="AW142" s="1152"/>
      <c r="AX142" s="1152"/>
      <c r="AY142" s="1448"/>
      <c r="AZ142" s="1448"/>
      <c r="BA142" s="846"/>
      <c r="BB142" s="846"/>
      <c r="BD142" s="897" t="str">
        <f>IFERROR(VLOOKUP(H142,Valid!$B$94:$N$96,3,FALSE), "")</f>
        <v/>
      </c>
      <c r="BE142" s="898" t="str">
        <f>IFERROR(VLOOKUP(H142,Valid!$B$94:$N$96,4,FALSE), "")</f>
        <v/>
      </c>
      <c r="BF142" s="897" t="str">
        <f t="shared" si="23"/>
        <v/>
      </c>
      <c r="BG142" s="897" t="str">
        <f t="shared" ca="1" si="24"/>
        <v/>
      </c>
      <c r="BH142" s="1860" t="str">
        <f>IFERROR(VLOOKUP($H142,val_equip_assets,BH$4,FALSE), "")</f>
        <v/>
      </c>
      <c r="BI142" s="1547" t="str">
        <f t="shared" ca="1" si="25"/>
        <v/>
      </c>
      <c r="BJ142" s="898" t="str">
        <f ca="1">IF(BI142="", "", IF(BI142&lt;0.1, 5, IF(BI142&lt;0.25, 4, IF(BI142&lt;0.5, 3, IF(BI142&lt;0.75, 2, 1)))))</f>
        <v/>
      </c>
      <c r="BK142" s="898" t="str">
        <f t="shared" si="22"/>
        <v/>
      </c>
      <c r="BL142" s="898" t="str">
        <f t="shared" si="22"/>
        <v/>
      </c>
      <c r="BM142" s="1710" t="str">
        <f t="shared" si="22"/>
        <v/>
      </c>
      <c r="BN142" s="1205" t="str">
        <f>IFERROR(VLOOKUP(H142,Valid!$B$94:$N$96,12,FALSE), "")</f>
        <v/>
      </c>
      <c r="BO142" s="1205" t="str">
        <f>IFERROR(VLOOKUP(H142,Valid!$B$94:$N$96,13,FALSE), "")</f>
        <v/>
      </c>
    </row>
    <row r="143" spans="1:69" s="901" customFormat="1" x14ac:dyDescent="0.2">
      <c r="A143" s="206">
        <v>66</v>
      </c>
      <c r="B143" s="1530">
        <v>66</v>
      </c>
      <c r="C143" s="1703"/>
      <c r="D143" s="1248" t="str">
        <f>IF(C141="","",IF(C143="","Enter Service Fleet Description then Fill in columns "&amp;TEXT($H$2,0)&amp;" - "&amp;TEXT($Z$2,0)&amp;"                 ",""))</f>
        <v/>
      </c>
      <c r="E143" s="1245" t="str">
        <f>IF(AK143="N/A","",AK143)</f>
        <v/>
      </c>
      <c r="F143" s="170"/>
      <c r="G143" s="170"/>
      <c r="H143" s="1704"/>
      <c r="I143" s="1246" t="str">
        <f>IF(AND(E143="No",H143=""),"Select Type of Vehicle                        ","")</f>
        <v/>
      </c>
      <c r="J143" s="1247"/>
      <c r="K143" s="1246" t="str">
        <f>IF(AND(C143="No",H143=""),"Number of Vehicles?  ","")</f>
        <v/>
      </c>
      <c r="L143" s="1782" t="str">
        <f>IFERROR(VLOOKUP($H143,val_equip_assets,BH$4,FALSE), "")</f>
        <v/>
      </c>
      <c r="M143" s="1246"/>
      <c r="N143" s="1247"/>
      <c r="O143" s="892" t="str">
        <f>IF(H143="","",IF(AND(E143="No",N143=""),TEXT(BH143,0)&amp;" Years?   ",""))</f>
        <v/>
      </c>
      <c r="P143" s="1705"/>
      <c r="Q143" s="1706" t="str">
        <f>IF(AND(E143="No",P143=""),"Enter Manufact. Yr.     ","")</f>
        <v/>
      </c>
      <c r="R143" s="1952" t="str">
        <f ca="1">BI143</f>
        <v/>
      </c>
      <c r="S143" s="1706"/>
      <c r="T143" s="1963" t="str">
        <f ca="1">BJ143</f>
        <v/>
      </c>
      <c r="U143" s="1706"/>
      <c r="V143" s="1675"/>
      <c r="W143" s="892" t="str">
        <f>IF(AND(E143="No",V143=""),"% of Cap. Resp.    ","")</f>
        <v/>
      </c>
      <c r="X143" s="1655"/>
      <c r="Y143" s="892" t="str">
        <f>IF(AND(E143="No",X143=""),"Estimated $?   ","")</f>
        <v/>
      </c>
      <c r="Z143" s="1707"/>
      <c r="AA143" s="892" t="str">
        <f t="shared" si="21"/>
        <v/>
      </c>
      <c r="AB143" s="1026" t="str">
        <f>IF(E143="","",IF(OR($X143="",$Z143=""),"missing info.",$X143*VLOOKUP($Z143,Inflate,$BF143+1,FALSE)))</f>
        <v/>
      </c>
      <c r="AC143" s="1622"/>
      <c r="AD143" s="1026" t="str">
        <f>IF(E143="","",IF(J143="","missing info.",IF(AB143="missing info.","missing info.",AB143/J143)))</f>
        <v/>
      </c>
      <c r="AE143" s="839"/>
      <c r="AF143" s="1708"/>
      <c r="AG143" s="896"/>
      <c r="AH143" s="894"/>
      <c r="AI143" s="894" t="b">
        <f>IF(AND(C145&lt;&gt;"",C143=""),TRUE,FALSE)</f>
        <v>0</v>
      </c>
      <c r="AJ143" s="902" t="b">
        <f>IF(AND(N143="",P143&lt;&gt;""),TRUE,FALSE)</f>
        <v>0</v>
      </c>
      <c r="AK143" s="720" t="str">
        <f>IF(AND(J143="",AF143="",Z143="",X143="",V143="",N143="",H143="",P143="",C143=""),"N/A",IF(AND(C143&lt;&gt;"",J143&lt;&gt;"",N143&lt;&gt;"",H143&lt;&gt;"",P143&lt;&gt;"",V143&lt;&gt;"",X143&lt;&gt;"",Z143&lt;&gt;""),"Yes","No"))</f>
        <v>N/A</v>
      </c>
      <c r="AL143" s="720" t="b">
        <f>IF(AND(C143="",E143="no"),TRUE,FALSE)</f>
        <v>0</v>
      </c>
      <c r="AM143" s="720" t="b">
        <f>IF(AND(E143="no",H143=""),TRUE,FALSE)</f>
        <v>0</v>
      </c>
      <c r="AN143" s="720" t="b">
        <f>IF(AND(E143="no",H143=""),TRUE,FALSE)</f>
        <v>0</v>
      </c>
      <c r="AO143" s="903" t="b">
        <f>IF($J143="",FALSE,IF($J143&lt;$BD143,TRUE,FALSE))</f>
        <v>0</v>
      </c>
      <c r="AP143" s="903" t="b">
        <f>IF($J143="",FALSE,IF($J143&gt;$BE143,TRUE,FALSE))</f>
        <v>0</v>
      </c>
      <c r="AQ143" s="903" t="b">
        <f>IF(AND(E143="no",N143=""),TRUE,FALSE)</f>
        <v>0</v>
      </c>
      <c r="AR143" s="903" t="b">
        <f>IF(AND(E143="no",P143=""),TRUE,FALSE)</f>
        <v>0</v>
      </c>
      <c r="AS143" s="903" t="b">
        <f>IF(P143="",FALSE,IF(P143&lt;BM143,TRUE,FALSE))</f>
        <v>0</v>
      </c>
      <c r="AT143" s="903" t="b">
        <f>IF(P143="",FALSE,IF(P143&gt;BaseYear,TRUE,FALSE))</f>
        <v>0</v>
      </c>
      <c r="AU143" s="903" t="b">
        <f>IF(AND(E143="no",V143=""),TRUE,FALSE)</f>
        <v>0</v>
      </c>
      <c r="AV143" s="903" t="b">
        <f>IF(V143="",FALSE,IF(OR(V143&gt;1,V143&lt;0),TRUE,FALSE))</f>
        <v>0</v>
      </c>
      <c r="AW143" s="903" t="b">
        <f>IF($N143="",FALSE,IF($N143&lt;$BK143,TRUE,FALSE))</f>
        <v>0</v>
      </c>
      <c r="AX143" s="903" t="b">
        <f>IF($N143="",FALSE,IF($N143&gt;$BL143,TRUE,FALSE))</f>
        <v>0</v>
      </c>
      <c r="AY143" s="889" t="b">
        <f>IF(AND(E143="no",X143=""),TRUE,FALSE)</f>
        <v>0</v>
      </c>
      <c r="AZ143" s="889" t="b">
        <f>IF(OR(AD143="missing info.",AD143=""),FALSE,IF(AD143&lt;BN143,TRUE,FALSE))</f>
        <v>0</v>
      </c>
      <c r="BA143" s="890" t="b">
        <f>IF(OR(AD143="missing info.",AD143=""),FALSE,IF(AD143&gt;BO143,TRUE,FALSE))</f>
        <v>0</v>
      </c>
      <c r="BB143" s="890" t="b">
        <f>IF(AND(E143="no",Z143=""),TRUE,FALSE)</f>
        <v>0</v>
      </c>
      <c r="BC143" s="894" t="b">
        <f>IF(Z143="",FALSE,IF(OR(Z143&gt;BaseYear,Z143&lt;BM143),TRUE,FALSE))</f>
        <v>0</v>
      </c>
      <c r="BD143" s="897" t="str">
        <f>IFERROR(VLOOKUP(H143,Valid!$B$94:$N$96,3,FALSE), "")</f>
        <v/>
      </c>
      <c r="BE143" s="898" t="str">
        <f>IFERROR(VLOOKUP(H143,Valid!$B$94:$N$96,4,FALSE), "")</f>
        <v/>
      </c>
      <c r="BF143" s="897" t="str">
        <f t="shared" si="23"/>
        <v/>
      </c>
      <c r="BG143" s="897" t="str">
        <f t="shared" ca="1" si="24"/>
        <v/>
      </c>
      <c r="BH143" s="1860">
        <f>N143</f>
        <v>0</v>
      </c>
      <c r="BI143" s="1547" t="str">
        <f t="shared" ca="1" si="25"/>
        <v/>
      </c>
      <c r="BJ143" s="898" t="str">
        <f ca="1">IF(BI143="", "", IF(1+(BI143*4)&lt;1, 1, 1+(BI143*4)))</f>
        <v/>
      </c>
      <c r="BK143" s="898" t="str">
        <f t="shared" si="22"/>
        <v/>
      </c>
      <c r="BL143" s="898" t="str">
        <f t="shared" si="22"/>
        <v/>
      </c>
      <c r="BM143" s="1710" t="str">
        <f t="shared" si="22"/>
        <v/>
      </c>
      <c r="BN143" s="1205" t="str">
        <f>IFERROR(VLOOKUP(H143,Valid!$B$94:$N$96,12,FALSE), "")</f>
        <v/>
      </c>
      <c r="BO143" s="1205" t="str">
        <f>IFERROR(VLOOKUP(H143,Valid!$B$94:$N$96,13,FALSE), "")</f>
        <v/>
      </c>
      <c r="BP143" s="894"/>
      <c r="BQ143" s="894"/>
    </row>
    <row r="144" spans="1:69" s="894" customFormat="1" ht="6.75" customHeight="1" thickBot="1" x14ac:dyDescent="0.25">
      <c r="A144" s="1516"/>
      <c r="B144" s="1530">
        <v>66.5</v>
      </c>
      <c r="C144" s="1471"/>
      <c r="D144" s="1541"/>
      <c r="E144" s="1057"/>
      <c r="F144" s="170"/>
      <c r="G144" s="170"/>
      <c r="H144" s="170"/>
      <c r="I144" s="170"/>
      <c r="J144" s="170"/>
      <c r="K144" s="170"/>
      <c r="L144" s="1031"/>
      <c r="M144" s="170"/>
      <c r="N144" s="1031"/>
      <c r="O144" s="892"/>
      <c r="P144" s="836"/>
      <c r="Q144" s="1709"/>
      <c r="R144" s="1806"/>
      <c r="S144" s="1709"/>
      <c r="T144" s="1962"/>
      <c r="U144" s="1709"/>
      <c r="V144" s="1806"/>
      <c r="W144" s="1709"/>
      <c r="X144" s="1027"/>
      <c r="Y144" s="892"/>
      <c r="Z144" s="893"/>
      <c r="AA144" s="892" t="str">
        <f t="shared" si="21"/>
        <v/>
      </c>
      <c r="AB144" s="1030"/>
      <c r="AC144" s="1622"/>
      <c r="AD144" s="1030"/>
      <c r="AF144" s="895"/>
      <c r="AG144" s="896"/>
      <c r="AJ144" s="900"/>
      <c r="AK144" s="1624"/>
      <c r="AO144" s="1152"/>
      <c r="AP144" s="1152"/>
      <c r="AQ144" s="1152"/>
      <c r="AR144" s="1152"/>
      <c r="AS144" s="1152"/>
      <c r="AT144" s="1152"/>
      <c r="AU144" s="1152"/>
      <c r="AV144" s="1152"/>
      <c r="AW144" s="1152"/>
      <c r="AX144" s="1152"/>
      <c r="AY144" s="1448"/>
      <c r="AZ144" s="1448"/>
      <c r="BA144" s="846"/>
      <c r="BB144" s="846"/>
      <c r="BD144" s="897" t="str">
        <f>IFERROR(VLOOKUP(H144,Valid!$B$94:$N$96,3,FALSE), "")</f>
        <v/>
      </c>
      <c r="BE144" s="898" t="str">
        <f>IFERROR(VLOOKUP(H144,Valid!$B$94:$N$96,4,FALSE), "")</f>
        <v/>
      </c>
      <c r="BF144" s="897" t="str">
        <f t="shared" si="23"/>
        <v/>
      </c>
      <c r="BG144" s="897" t="str">
        <f t="shared" ca="1" si="24"/>
        <v/>
      </c>
      <c r="BH144" s="1860" t="str">
        <f>IFERROR(VLOOKUP($H144,val_equip_assets,BH$4,FALSE), "")</f>
        <v/>
      </c>
      <c r="BI144" s="1547" t="str">
        <f t="shared" ca="1" si="25"/>
        <v/>
      </c>
      <c r="BJ144" s="898" t="str">
        <f ca="1">IF(BI144="", "", IF(BI144&lt;0.1, 5, IF(BI144&lt;0.25, 4, IF(BI144&lt;0.5, 3, IF(BI144&lt;0.75, 2, 1)))))</f>
        <v/>
      </c>
      <c r="BK144" s="898" t="str">
        <f t="shared" si="22"/>
        <v/>
      </c>
      <c r="BL144" s="898" t="str">
        <f t="shared" si="22"/>
        <v/>
      </c>
      <c r="BM144" s="1710" t="str">
        <f t="shared" si="22"/>
        <v/>
      </c>
      <c r="BN144" s="1205" t="str">
        <f>IFERROR(VLOOKUP(H144,Valid!$B$94:$N$96,12,FALSE), "")</f>
        <v/>
      </c>
      <c r="BO144" s="1205" t="str">
        <f>IFERROR(VLOOKUP(H144,Valid!$B$94:$N$96,13,FALSE), "")</f>
        <v/>
      </c>
    </row>
    <row r="145" spans="1:69" s="901" customFormat="1" x14ac:dyDescent="0.2">
      <c r="A145" s="206">
        <v>67</v>
      </c>
      <c r="B145" s="1530">
        <v>67</v>
      </c>
      <c r="C145" s="1703"/>
      <c r="D145" s="1248" t="str">
        <f>IF(C143="","",IF(C145="","Enter Service Fleet Description then Fill in columns "&amp;TEXT($H$2,0)&amp;" - "&amp;TEXT($Z$2,0)&amp;"                 ",""))</f>
        <v/>
      </c>
      <c r="E145" s="1245" t="str">
        <f>IF(AK145="N/A","",AK145)</f>
        <v/>
      </c>
      <c r="F145" s="170"/>
      <c r="G145" s="170"/>
      <c r="H145" s="1704"/>
      <c r="I145" s="1246" t="str">
        <f>IF(AND(E145="No",H145=""),"Select Type of Vehicle                        ","")</f>
        <v/>
      </c>
      <c r="J145" s="1247"/>
      <c r="K145" s="1246" t="str">
        <f>IF(AND(C145="No",H145=""),"Number of Vehicles?  ","")</f>
        <v/>
      </c>
      <c r="L145" s="1782" t="str">
        <f>IFERROR(VLOOKUP($H145,val_equip_assets,BH$4,FALSE), "")</f>
        <v/>
      </c>
      <c r="M145" s="1246"/>
      <c r="N145" s="1247"/>
      <c r="O145" s="892" t="str">
        <f>IF(H145="","",IF(AND(E145="No",N145=""),TEXT(BH145,0)&amp;" Years?   ",""))</f>
        <v/>
      </c>
      <c r="P145" s="1705"/>
      <c r="Q145" s="1706" t="str">
        <f>IF(AND(E145="No",P145=""),"Enter Manufact. Yr.     ","")</f>
        <v/>
      </c>
      <c r="R145" s="1952" t="str">
        <f ca="1">BI145</f>
        <v/>
      </c>
      <c r="S145" s="1706"/>
      <c r="T145" s="1963" t="str">
        <f ca="1">BJ145</f>
        <v/>
      </c>
      <c r="U145" s="1706"/>
      <c r="V145" s="1675"/>
      <c r="W145" s="892" t="str">
        <f>IF(AND(E145="No",V145=""),"% of Cap. Resp.    ","")</f>
        <v/>
      </c>
      <c r="X145" s="1655"/>
      <c r="Y145" s="892" t="str">
        <f>IF(AND(E145="No",X145=""),"Estimated $?   ","")</f>
        <v/>
      </c>
      <c r="Z145" s="1707"/>
      <c r="AA145" s="892" t="str">
        <f t="shared" si="21"/>
        <v/>
      </c>
      <c r="AB145" s="1026" t="str">
        <f>IF(E145="","",IF(OR($X145="",$Z145=""),"missing info.",$X145*VLOOKUP($Z145,Inflate,$BF145+1,FALSE)))</f>
        <v/>
      </c>
      <c r="AC145" s="1622"/>
      <c r="AD145" s="1026" t="str">
        <f>IF(E145="","",IF(J145="","missing info.",IF(AB145="missing info.","missing info.",AB145/J145)))</f>
        <v/>
      </c>
      <c r="AE145" s="839"/>
      <c r="AF145" s="1708"/>
      <c r="AG145" s="896"/>
      <c r="AH145" s="894"/>
      <c r="AI145" s="894" t="b">
        <f>IF(AND(C147&lt;&gt;"",C145=""),TRUE,FALSE)</f>
        <v>0</v>
      </c>
      <c r="AJ145" s="902" t="b">
        <f>IF(AND(N145="",P145&lt;&gt;""),TRUE,FALSE)</f>
        <v>0</v>
      </c>
      <c r="AK145" s="720" t="str">
        <f>IF(AND(J145="",AF145="",Z145="",X145="",V145="",N145="",H145="",P145="",C145=""),"N/A",IF(AND(C145&lt;&gt;"",J145&lt;&gt;"",N145&lt;&gt;"",H145&lt;&gt;"",P145&lt;&gt;"",V145&lt;&gt;"",X145&lt;&gt;"",Z145&lt;&gt;""),"Yes","No"))</f>
        <v>N/A</v>
      </c>
      <c r="AL145" s="720" t="b">
        <f>IF(AND(C145="",E145="no"),TRUE,FALSE)</f>
        <v>0</v>
      </c>
      <c r="AM145" s="720" t="b">
        <f>IF(AND(E145="no",H145=""),TRUE,FALSE)</f>
        <v>0</v>
      </c>
      <c r="AN145" s="720" t="b">
        <f>IF(AND(E145="no",H145=""),TRUE,FALSE)</f>
        <v>0</v>
      </c>
      <c r="AO145" s="903" t="b">
        <f>IF($J145="",FALSE,IF($J145&lt;$BD145,TRUE,FALSE))</f>
        <v>0</v>
      </c>
      <c r="AP145" s="903" t="b">
        <f>IF($J145="",FALSE,IF($J145&gt;$BE145,TRUE,FALSE))</f>
        <v>0</v>
      </c>
      <c r="AQ145" s="903" t="b">
        <f>IF(AND(E145="no",N145=""),TRUE,FALSE)</f>
        <v>0</v>
      </c>
      <c r="AR145" s="903" t="b">
        <f>IF(AND(E145="no",P145=""),TRUE,FALSE)</f>
        <v>0</v>
      </c>
      <c r="AS145" s="903" t="b">
        <f>IF(P145="",FALSE,IF(P145&lt;BM145,TRUE,FALSE))</f>
        <v>0</v>
      </c>
      <c r="AT145" s="903" t="b">
        <f>IF(P145="",FALSE,IF(P145&gt;BaseYear,TRUE,FALSE))</f>
        <v>0</v>
      </c>
      <c r="AU145" s="903" t="b">
        <f>IF(AND(E145="no",V145=""),TRUE,FALSE)</f>
        <v>0</v>
      </c>
      <c r="AV145" s="903" t="b">
        <f>IF(V145="",FALSE,IF(OR(V145&gt;1,V145&lt;0),TRUE,FALSE))</f>
        <v>0</v>
      </c>
      <c r="AW145" s="903" t="b">
        <f>IF($N145="",FALSE,IF($N145&lt;$BK145,TRUE,FALSE))</f>
        <v>0</v>
      </c>
      <c r="AX145" s="903" t="b">
        <f>IF($N145="",FALSE,IF($N145&gt;$BL145,TRUE,FALSE))</f>
        <v>0</v>
      </c>
      <c r="AY145" s="889" t="b">
        <f>IF(AND(E145="no",X145=""),TRUE,FALSE)</f>
        <v>0</v>
      </c>
      <c r="AZ145" s="889" t="b">
        <f>IF(OR(AD145="missing info.",AD145=""),FALSE,IF(AD145&lt;BN145,TRUE,FALSE))</f>
        <v>0</v>
      </c>
      <c r="BA145" s="890" t="b">
        <f>IF(OR(AD145="missing info.",AD145=""),FALSE,IF(AD145&gt;BO145,TRUE,FALSE))</f>
        <v>0</v>
      </c>
      <c r="BB145" s="890" t="b">
        <f>IF(AND(E145="no",Z145=""),TRUE,FALSE)</f>
        <v>0</v>
      </c>
      <c r="BC145" s="894" t="b">
        <f>IF(Z145="",FALSE,IF(OR(Z145&gt;BaseYear,Z145&lt;BM145),TRUE,FALSE))</f>
        <v>0</v>
      </c>
      <c r="BD145" s="897" t="str">
        <f>IFERROR(VLOOKUP(H145,Valid!$B$94:$N$96,3,FALSE), "")</f>
        <v/>
      </c>
      <c r="BE145" s="898" t="str">
        <f>IFERROR(VLOOKUP(H145,Valid!$B$94:$N$96,4,FALSE), "")</f>
        <v/>
      </c>
      <c r="BF145" s="897" t="str">
        <f t="shared" si="23"/>
        <v/>
      </c>
      <c r="BG145" s="897" t="str">
        <f t="shared" ca="1" si="24"/>
        <v/>
      </c>
      <c r="BH145" s="1860">
        <f>N145</f>
        <v>0</v>
      </c>
      <c r="BI145" s="1547" t="str">
        <f t="shared" ca="1" si="25"/>
        <v/>
      </c>
      <c r="BJ145" s="898" t="str">
        <f ca="1">IF(BI145="", "", IF(1+(BI145*4)&lt;1, 1, 1+(BI145*4)))</f>
        <v/>
      </c>
      <c r="BK145" s="898" t="str">
        <f t="shared" si="22"/>
        <v/>
      </c>
      <c r="BL145" s="898" t="str">
        <f t="shared" si="22"/>
        <v/>
      </c>
      <c r="BM145" s="1710" t="str">
        <f t="shared" si="22"/>
        <v/>
      </c>
      <c r="BN145" s="1205" t="str">
        <f>IFERROR(VLOOKUP(H145,Valid!$B$94:$N$96,12,FALSE), "")</f>
        <v/>
      </c>
      <c r="BO145" s="1205" t="str">
        <f>IFERROR(VLOOKUP(H145,Valid!$B$94:$N$96,13,FALSE), "")</f>
        <v/>
      </c>
      <c r="BP145" s="894"/>
      <c r="BQ145" s="894"/>
    </row>
    <row r="146" spans="1:69" s="894" customFormat="1" ht="6.75" customHeight="1" thickBot="1" x14ac:dyDescent="0.25">
      <c r="A146" s="1516"/>
      <c r="B146" s="1530">
        <v>67.5</v>
      </c>
      <c r="C146" s="1471"/>
      <c r="D146" s="1541"/>
      <c r="E146" s="1057"/>
      <c r="F146" s="170"/>
      <c r="G146" s="170"/>
      <c r="H146" s="170"/>
      <c r="I146" s="170"/>
      <c r="J146" s="170"/>
      <c r="K146" s="170"/>
      <c r="L146" s="1031"/>
      <c r="M146" s="170"/>
      <c r="N146" s="1031"/>
      <c r="O146" s="892"/>
      <c r="P146" s="836"/>
      <c r="Q146" s="1709"/>
      <c r="R146" s="1806"/>
      <c r="S146" s="1709"/>
      <c r="T146" s="1962"/>
      <c r="U146" s="1709"/>
      <c r="V146" s="1806"/>
      <c r="W146" s="1709"/>
      <c r="X146" s="1027"/>
      <c r="Y146" s="892"/>
      <c r="Z146" s="893"/>
      <c r="AA146" s="892" t="str">
        <f t="shared" si="21"/>
        <v/>
      </c>
      <c r="AB146" s="1030"/>
      <c r="AC146" s="1622"/>
      <c r="AD146" s="1030"/>
      <c r="AF146" s="895"/>
      <c r="AG146" s="896"/>
      <c r="AJ146" s="900"/>
      <c r="AK146" s="1624"/>
      <c r="AO146" s="1152"/>
      <c r="AP146" s="1152"/>
      <c r="AQ146" s="1152"/>
      <c r="AR146" s="1152"/>
      <c r="AS146" s="1152"/>
      <c r="AT146" s="1152"/>
      <c r="AU146" s="1152"/>
      <c r="AV146" s="1152"/>
      <c r="AW146" s="1152"/>
      <c r="AX146" s="1152"/>
      <c r="AY146" s="1448"/>
      <c r="AZ146" s="1448"/>
      <c r="BA146" s="846"/>
      <c r="BB146" s="846"/>
      <c r="BD146" s="897" t="str">
        <f>IFERROR(VLOOKUP(H146,Valid!$B$94:$N$96,3,FALSE), "")</f>
        <v/>
      </c>
      <c r="BE146" s="898" t="str">
        <f>IFERROR(VLOOKUP(H146,Valid!$B$94:$N$96,4,FALSE), "")</f>
        <v/>
      </c>
      <c r="BF146" s="897" t="str">
        <f t="shared" si="23"/>
        <v/>
      </c>
      <c r="BG146" s="897" t="str">
        <f t="shared" ca="1" si="24"/>
        <v/>
      </c>
      <c r="BH146" s="1860" t="str">
        <f>IFERROR(VLOOKUP($H146,val_equip_assets,BH$4,FALSE), "")</f>
        <v/>
      </c>
      <c r="BI146" s="1547" t="str">
        <f t="shared" ca="1" si="25"/>
        <v/>
      </c>
      <c r="BJ146" s="898" t="str">
        <f ca="1">IF(BI146="", "", IF(BI146&lt;0.1, 5, IF(BI146&lt;0.25, 4, IF(BI146&lt;0.5, 3, IF(BI146&lt;0.75, 2, 1)))))</f>
        <v/>
      </c>
      <c r="BK146" s="898" t="str">
        <f t="shared" si="22"/>
        <v/>
      </c>
      <c r="BL146" s="898" t="str">
        <f t="shared" si="22"/>
        <v/>
      </c>
      <c r="BM146" s="1710" t="str">
        <f t="shared" si="22"/>
        <v/>
      </c>
      <c r="BN146" s="1205" t="str">
        <f>IFERROR(VLOOKUP(H146,Valid!$B$94:$N$96,12,FALSE), "")</f>
        <v/>
      </c>
      <c r="BO146" s="1205" t="str">
        <f>IFERROR(VLOOKUP(H146,Valid!$B$94:$N$96,13,FALSE), "")</f>
        <v/>
      </c>
    </row>
    <row r="147" spans="1:69" s="901" customFormat="1" x14ac:dyDescent="0.2">
      <c r="A147" s="206">
        <v>68</v>
      </c>
      <c r="B147" s="1530">
        <v>68</v>
      </c>
      <c r="C147" s="1703"/>
      <c r="D147" s="1248" t="str">
        <f>IF(C145="","",IF(C147="","Enter Service Fleet Description then Fill in columns "&amp;TEXT($H$2,0)&amp;" - "&amp;TEXT($Z$2,0)&amp;"                 ",""))</f>
        <v/>
      </c>
      <c r="E147" s="1245" t="str">
        <f>IF(AK147="N/A","",AK147)</f>
        <v/>
      </c>
      <c r="F147" s="170"/>
      <c r="G147" s="170"/>
      <c r="H147" s="1704"/>
      <c r="I147" s="1246" t="str">
        <f>IF(AND(E147="No",H147=""),"Select Type of Vehicle                        ","")</f>
        <v/>
      </c>
      <c r="J147" s="1247"/>
      <c r="K147" s="1246" t="str">
        <f>IF(AND(C147="No",H147=""),"Number of Vehicles?  ","")</f>
        <v/>
      </c>
      <c r="L147" s="1782" t="str">
        <f>IFERROR(VLOOKUP($H147,val_equip_assets,BH$4,FALSE), "")</f>
        <v/>
      </c>
      <c r="M147" s="1246"/>
      <c r="N147" s="1247"/>
      <c r="O147" s="892" t="str">
        <f>IF(H147="","",IF(AND(E147="No",N147=""),TEXT(BH147,0)&amp;" Years?   ",""))</f>
        <v/>
      </c>
      <c r="P147" s="1705"/>
      <c r="Q147" s="1706" t="str">
        <f>IF(AND(E147="No",P147=""),"Enter Manufact. Yr.     ","")</f>
        <v/>
      </c>
      <c r="R147" s="1952" t="str">
        <f ca="1">BI147</f>
        <v/>
      </c>
      <c r="S147" s="1706"/>
      <c r="T147" s="1963" t="str">
        <f ca="1">BJ147</f>
        <v/>
      </c>
      <c r="U147" s="1706"/>
      <c r="V147" s="1675"/>
      <c r="W147" s="892" t="str">
        <f>IF(AND(E147="No",V147=""),"% of Cap. Resp.    ","")</f>
        <v/>
      </c>
      <c r="X147" s="1655"/>
      <c r="Y147" s="892" t="str">
        <f>IF(AND(E147="No",X147=""),"Estimated $?   ","")</f>
        <v/>
      </c>
      <c r="Z147" s="1707"/>
      <c r="AA147" s="892" t="str">
        <f t="shared" ref="AA147:AA178" si="26">IF(AND(E147="No",Z147=""),"Yr.$?      ","")</f>
        <v/>
      </c>
      <c r="AB147" s="1026" t="str">
        <f>IF(E147="","",IF(OR($X147="",$Z147=""),"missing info.",$X147*VLOOKUP($Z147,Inflate,$BF147+1,FALSE)))</f>
        <v/>
      </c>
      <c r="AC147" s="1622"/>
      <c r="AD147" s="1026" t="str">
        <f>IF(E147="","",IF(J147="","missing info.",IF(AB147="missing info.","missing info.",AB147/J147)))</f>
        <v/>
      </c>
      <c r="AE147" s="839"/>
      <c r="AF147" s="1708"/>
      <c r="AG147" s="896"/>
      <c r="AH147" s="894"/>
      <c r="AI147" s="894" t="b">
        <f>IF(AND(C149&lt;&gt;"",C147=""),TRUE,FALSE)</f>
        <v>0</v>
      </c>
      <c r="AJ147" s="902" t="b">
        <f>IF(AND(N147="",P147&lt;&gt;""),TRUE,FALSE)</f>
        <v>0</v>
      </c>
      <c r="AK147" s="720" t="str">
        <f>IF(AND(J147="",AF147="",Z147="",X147="",V147="",N147="",H147="",P147="",C147=""),"N/A",IF(AND(C147&lt;&gt;"",J147&lt;&gt;"",N147&lt;&gt;"",H147&lt;&gt;"",P147&lt;&gt;"",V147&lt;&gt;"",X147&lt;&gt;"",Z147&lt;&gt;""),"Yes","No"))</f>
        <v>N/A</v>
      </c>
      <c r="AL147" s="720" t="b">
        <f>IF(AND(C147="",E147="no"),TRUE,FALSE)</f>
        <v>0</v>
      </c>
      <c r="AM147" s="720" t="b">
        <f>IF(AND(E147="no",H147=""),TRUE,FALSE)</f>
        <v>0</v>
      </c>
      <c r="AN147" s="720" t="b">
        <f>IF(AND(E147="no",H147=""),TRUE,FALSE)</f>
        <v>0</v>
      </c>
      <c r="AO147" s="903" t="b">
        <f>IF($J147="",FALSE,IF($J147&lt;$BD147,TRUE,FALSE))</f>
        <v>0</v>
      </c>
      <c r="AP147" s="903" t="b">
        <f>IF($J147="",FALSE,IF($J147&gt;$BE147,TRUE,FALSE))</f>
        <v>0</v>
      </c>
      <c r="AQ147" s="903" t="b">
        <f>IF(AND(E147="no",N147=""),TRUE,FALSE)</f>
        <v>0</v>
      </c>
      <c r="AR147" s="903" t="b">
        <f>IF(AND(E147="no",P147=""),TRUE,FALSE)</f>
        <v>0</v>
      </c>
      <c r="AS147" s="903" t="b">
        <f>IF(P147="",FALSE,IF(P147&lt;BM147,TRUE,FALSE))</f>
        <v>0</v>
      </c>
      <c r="AT147" s="903" t="b">
        <f>IF(P147="",FALSE,IF(P147&gt;BaseYear,TRUE,FALSE))</f>
        <v>0</v>
      </c>
      <c r="AU147" s="903" t="b">
        <f>IF(AND(E147="no",V147=""),TRUE,FALSE)</f>
        <v>0</v>
      </c>
      <c r="AV147" s="903" t="b">
        <f>IF(V147="",FALSE,IF(OR(V147&gt;1,V147&lt;0),TRUE,FALSE))</f>
        <v>0</v>
      </c>
      <c r="AW147" s="903" t="b">
        <f>IF($N147="",FALSE,IF($N147&lt;$BK147,TRUE,FALSE))</f>
        <v>0</v>
      </c>
      <c r="AX147" s="903" t="b">
        <f>IF($N147="",FALSE,IF($N147&gt;$BL147,TRUE,FALSE))</f>
        <v>0</v>
      </c>
      <c r="AY147" s="889" t="b">
        <f>IF(AND(E147="no",X147=""),TRUE,FALSE)</f>
        <v>0</v>
      </c>
      <c r="AZ147" s="889" t="b">
        <f>IF(OR(AD147="missing info.",AD147=""),FALSE,IF(AD147&lt;BN147,TRUE,FALSE))</f>
        <v>0</v>
      </c>
      <c r="BA147" s="890" t="b">
        <f>IF(OR(AD147="missing info.",AD147=""),FALSE,IF(AD147&gt;BO147,TRUE,FALSE))</f>
        <v>0</v>
      </c>
      <c r="BB147" s="890" t="b">
        <f>IF(AND(E147="no",Z147=""),TRUE,FALSE)</f>
        <v>0</v>
      </c>
      <c r="BC147" s="894" t="b">
        <f>IF(Z147="",FALSE,IF(OR(Z147&gt;BaseYear,Z147&lt;BM147),TRUE,FALSE))</f>
        <v>0</v>
      </c>
      <c r="BD147" s="897" t="str">
        <f>IFERROR(VLOOKUP(H147,Valid!$B$94:$N$96,3,FALSE), "")</f>
        <v/>
      </c>
      <c r="BE147" s="898" t="str">
        <f>IFERROR(VLOOKUP(H147,Valid!$B$94:$N$96,4,FALSE), "")</f>
        <v/>
      </c>
      <c r="BF147" s="897" t="str">
        <f t="shared" si="23"/>
        <v/>
      </c>
      <c r="BG147" s="897" t="str">
        <f t="shared" ca="1" si="24"/>
        <v/>
      </c>
      <c r="BH147" s="1860">
        <f>N147</f>
        <v>0</v>
      </c>
      <c r="BI147" s="1547" t="str">
        <f t="shared" ca="1" si="25"/>
        <v/>
      </c>
      <c r="BJ147" s="898" t="str">
        <f ca="1">IF(BI147="", "", IF(1+(BI147*4)&lt;1, 1, 1+(BI147*4)))</f>
        <v/>
      </c>
      <c r="BK147" s="898" t="str">
        <f t="shared" si="22"/>
        <v/>
      </c>
      <c r="BL147" s="898" t="str">
        <f t="shared" si="22"/>
        <v/>
      </c>
      <c r="BM147" s="1710" t="str">
        <f t="shared" si="22"/>
        <v/>
      </c>
      <c r="BN147" s="1205" t="str">
        <f>IFERROR(VLOOKUP(H147,Valid!$B$94:$N$96,12,FALSE), "")</f>
        <v/>
      </c>
      <c r="BO147" s="1205" t="str">
        <f>IFERROR(VLOOKUP(H147,Valid!$B$94:$N$96,13,FALSE), "")</f>
        <v/>
      </c>
      <c r="BP147" s="894"/>
      <c r="BQ147" s="894"/>
    </row>
    <row r="148" spans="1:69" s="894" customFormat="1" ht="6.75" customHeight="1" thickBot="1" x14ac:dyDescent="0.25">
      <c r="A148" s="1516"/>
      <c r="B148" s="1530">
        <v>68.5</v>
      </c>
      <c r="C148" s="1471"/>
      <c r="D148" s="1541"/>
      <c r="E148" s="1057"/>
      <c r="F148" s="170"/>
      <c r="G148" s="170"/>
      <c r="H148" s="170"/>
      <c r="I148" s="170"/>
      <c r="J148" s="170"/>
      <c r="K148" s="170"/>
      <c r="L148" s="1031"/>
      <c r="M148" s="170"/>
      <c r="N148" s="1031"/>
      <c r="O148" s="892"/>
      <c r="P148" s="836"/>
      <c r="Q148" s="1709"/>
      <c r="R148" s="1806"/>
      <c r="S148" s="1709"/>
      <c r="T148" s="1962"/>
      <c r="U148" s="1709"/>
      <c r="V148" s="1806"/>
      <c r="W148" s="1709"/>
      <c r="X148" s="1027"/>
      <c r="Y148" s="892"/>
      <c r="Z148" s="893"/>
      <c r="AA148" s="892" t="str">
        <f t="shared" si="26"/>
        <v/>
      </c>
      <c r="AB148" s="1030"/>
      <c r="AC148" s="1622"/>
      <c r="AD148" s="1030"/>
      <c r="AF148" s="895"/>
      <c r="AG148" s="896"/>
      <c r="AJ148" s="900"/>
      <c r="AK148" s="1624"/>
      <c r="AO148" s="1152"/>
      <c r="AP148" s="1152"/>
      <c r="AQ148" s="1152"/>
      <c r="AR148" s="1152"/>
      <c r="AS148" s="1152"/>
      <c r="AT148" s="1152"/>
      <c r="AU148" s="1152"/>
      <c r="AV148" s="1152"/>
      <c r="AW148" s="1152"/>
      <c r="AX148" s="1152"/>
      <c r="AY148" s="1448"/>
      <c r="AZ148" s="1448"/>
      <c r="BA148" s="846"/>
      <c r="BB148" s="846"/>
      <c r="BD148" s="897" t="str">
        <f>IFERROR(VLOOKUP(H148,Valid!$B$94:$N$96,3,FALSE), "")</f>
        <v/>
      </c>
      <c r="BE148" s="898" t="str">
        <f>IFERROR(VLOOKUP(H148,Valid!$B$94:$N$96,4,FALSE), "")</f>
        <v/>
      </c>
      <c r="BF148" s="897" t="str">
        <f t="shared" si="23"/>
        <v/>
      </c>
      <c r="BG148" s="897" t="str">
        <f t="shared" ca="1" si="24"/>
        <v/>
      </c>
      <c r="BH148" s="1860" t="str">
        <f>IFERROR(VLOOKUP($H148,val_equip_assets,BH$4,FALSE), "")</f>
        <v/>
      </c>
      <c r="BI148" s="1547" t="str">
        <f t="shared" ca="1" si="25"/>
        <v/>
      </c>
      <c r="BJ148" s="898" t="str">
        <f ca="1">IF(BI148="", "", IF(BI148&lt;0.1, 5, IF(BI148&lt;0.25, 4, IF(BI148&lt;0.5, 3, IF(BI148&lt;0.75, 2, 1)))))</f>
        <v/>
      </c>
      <c r="BK148" s="898" t="str">
        <f t="shared" si="22"/>
        <v/>
      </c>
      <c r="BL148" s="898" t="str">
        <f t="shared" si="22"/>
        <v/>
      </c>
      <c r="BM148" s="1710" t="str">
        <f t="shared" si="22"/>
        <v/>
      </c>
      <c r="BN148" s="1205" t="str">
        <f>IFERROR(VLOOKUP(H148,Valid!$B$94:$N$96,12,FALSE), "")</f>
        <v/>
      </c>
      <c r="BO148" s="1205" t="str">
        <f>IFERROR(VLOOKUP(H148,Valid!$B$94:$N$96,13,FALSE), "")</f>
        <v/>
      </c>
    </row>
    <row r="149" spans="1:69" s="901" customFormat="1" x14ac:dyDescent="0.2">
      <c r="A149" s="206">
        <v>69</v>
      </c>
      <c r="B149" s="1530">
        <v>69</v>
      </c>
      <c r="C149" s="1703"/>
      <c r="D149" s="1248" t="str">
        <f>IF(C147="","",IF(C149="","Enter Service Fleet Description then Fill in columns "&amp;TEXT($H$2,0)&amp;" - "&amp;TEXT($Z$2,0)&amp;"                 ",""))</f>
        <v/>
      </c>
      <c r="E149" s="1245" t="str">
        <f>IF(AK149="N/A","",AK149)</f>
        <v/>
      </c>
      <c r="F149" s="170"/>
      <c r="G149" s="170"/>
      <c r="H149" s="1704"/>
      <c r="I149" s="1246" t="str">
        <f>IF(AND(E149="No",H149=""),"Select Type of Vehicle                        ","")</f>
        <v/>
      </c>
      <c r="J149" s="1247"/>
      <c r="K149" s="1246" t="str">
        <f>IF(AND(C149="No",H149=""),"Number of Vehicles?  ","")</f>
        <v/>
      </c>
      <c r="L149" s="1782" t="str">
        <f>IFERROR(VLOOKUP($H149,val_equip_assets,BH$4,FALSE), "")</f>
        <v/>
      </c>
      <c r="M149" s="1246"/>
      <c r="N149" s="1247"/>
      <c r="O149" s="892" t="str">
        <f>IF(H149="","",IF(AND(E149="No",N149=""),TEXT(BH149,0)&amp;" Years?   ",""))</f>
        <v/>
      </c>
      <c r="P149" s="1705"/>
      <c r="Q149" s="1706" t="str">
        <f>IF(AND(E149="No",P149=""),"Enter Manufact. Yr.     ","")</f>
        <v/>
      </c>
      <c r="R149" s="1952" t="str">
        <f ca="1">BI149</f>
        <v/>
      </c>
      <c r="S149" s="1706"/>
      <c r="T149" s="1963" t="str">
        <f ca="1">BJ149</f>
        <v/>
      </c>
      <c r="U149" s="1706"/>
      <c r="V149" s="1675"/>
      <c r="W149" s="892" t="str">
        <f>IF(AND(E149="No",V149=""),"% of Cap. Resp.    ","")</f>
        <v/>
      </c>
      <c r="X149" s="1655"/>
      <c r="Y149" s="892" t="str">
        <f>IF(AND(E149="No",X149=""),"Estimated $?   ","")</f>
        <v/>
      </c>
      <c r="Z149" s="1707"/>
      <c r="AA149" s="892" t="str">
        <f t="shared" si="26"/>
        <v/>
      </c>
      <c r="AB149" s="1026" t="str">
        <f>IF(E149="","",IF(OR($X149="",$Z149=""),"missing info.",$X149*VLOOKUP($Z149,Inflate,$BF149+1,FALSE)))</f>
        <v/>
      </c>
      <c r="AC149" s="1622"/>
      <c r="AD149" s="1026" t="str">
        <f>IF(E149="","",IF(J149="","missing info.",IF(AB149="missing info.","missing info.",AB149/J149)))</f>
        <v/>
      </c>
      <c r="AE149" s="839"/>
      <c r="AF149" s="1708"/>
      <c r="AG149" s="896"/>
      <c r="AH149" s="894"/>
      <c r="AI149" s="894" t="b">
        <f>IF(AND(C151&lt;&gt;"",C149=""),TRUE,FALSE)</f>
        <v>0</v>
      </c>
      <c r="AJ149" s="902" t="b">
        <f>IF(AND(N149="",P149&lt;&gt;""),TRUE,FALSE)</f>
        <v>0</v>
      </c>
      <c r="AK149" s="720" t="str">
        <f>IF(AND(J149="",AF149="",Z149="",X149="",V149="",N149="",H149="",P149="",C149=""),"N/A",IF(AND(C149&lt;&gt;"",J149&lt;&gt;"",N149&lt;&gt;"",H149&lt;&gt;"",P149&lt;&gt;"",V149&lt;&gt;"",X149&lt;&gt;"",Z149&lt;&gt;""),"Yes","No"))</f>
        <v>N/A</v>
      </c>
      <c r="AL149" s="720" t="b">
        <f>IF(AND(C149="",E149="no"),TRUE,FALSE)</f>
        <v>0</v>
      </c>
      <c r="AM149" s="720" t="b">
        <f>IF(AND(E149="no",H149=""),TRUE,FALSE)</f>
        <v>0</v>
      </c>
      <c r="AN149" s="720" t="b">
        <f>IF(AND(E149="no",H149=""),TRUE,FALSE)</f>
        <v>0</v>
      </c>
      <c r="AO149" s="903" t="b">
        <f>IF($J149="",FALSE,IF($J149&lt;$BD149,TRUE,FALSE))</f>
        <v>0</v>
      </c>
      <c r="AP149" s="903" t="b">
        <f>IF($J149="",FALSE,IF($J149&gt;$BE149,TRUE,FALSE))</f>
        <v>0</v>
      </c>
      <c r="AQ149" s="903" t="b">
        <f>IF(AND(E149="no",N149=""),TRUE,FALSE)</f>
        <v>0</v>
      </c>
      <c r="AR149" s="903" t="b">
        <f>IF(AND(E149="no",P149=""),TRUE,FALSE)</f>
        <v>0</v>
      </c>
      <c r="AS149" s="903" t="b">
        <f>IF(P149="",FALSE,IF(P149&lt;BM149,TRUE,FALSE))</f>
        <v>0</v>
      </c>
      <c r="AT149" s="903" t="b">
        <f>IF(P149="",FALSE,IF(P149&gt;BaseYear,TRUE,FALSE))</f>
        <v>0</v>
      </c>
      <c r="AU149" s="903" t="b">
        <f>IF(AND(E149="no",V149=""),TRUE,FALSE)</f>
        <v>0</v>
      </c>
      <c r="AV149" s="903" t="b">
        <f>IF(V149="",FALSE,IF(OR(V149&gt;1,V149&lt;0),TRUE,FALSE))</f>
        <v>0</v>
      </c>
      <c r="AW149" s="903" t="b">
        <f>IF($N149="",FALSE,IF($N149&lt;$BK149,TRUE,FALSE))</f>
        <v>0</v>
      </c>
      <c r="AX149" s="903" t="b">
        <f>IF($N149="",FALSE,IF($N149&gt;$BL149,TRUE,FALSE))</f>
        <v>0</v>
      </c>
      <c r="AY149" s="889" t="b">
        <f>IF(AND(E149="no",X149=""),TRUE,FALSE)</f>
        <v>0</v>
      </c>
      <c r="AZ149" s="889" t="b">
        <f>IF(OR(AD149="missing info.",AD149=""),FALSE,IF(AD149&lt;BN149,TRUE,FALSE))</f>
        <v>0</v>
      </c>
      <c r="BA149" s="890" t="b">
        <f>IF(OR(AD149="missing info.",AD149=""),FALSE,IF(AD149&gt;BO149,TRUE,FALSE))</f>
        <v>0</v>
      </c>
      <c r="BB149" s="890" t="b">
        <f>IF(AND(E149="no",Z149=""),TRUE,FALSE)</f>
        <v>0</v>
      </c>
      <c r="BC149" s="894" t="b">
        <f>IF(Z149="",FALSE,IF(OR(Z149&gt;BaseYear,Z149&lt;BM149),TRUE,FALSE))</f>
        <v>0</v>
      </c>
      <c r="BD149" s="897" t="str">
        <f>IFERROR(VLOOKUP(H149,Valid!$B$94:$N$96,3,FALSE), "")</f>
        <v/>
      </c>
      <c r="BE149" s="898" t="str">
        <f>IFERROR(VLOOKUP(H149,Valid!$B$94:$N$96,4,FALSE), "")</f>
        <v/>
      </c>
      <c r="BF149" s="897" t="str">
        <f t="shared" si="23"/>
        <v/>
      </c>
      <c r="BG149" s="897" t="str">
        <f t="shared" ca="1" si="24"/>
        <v/>
      </c>
      <c r="BH149" s="1860">
        <f>N149</f>
        <v>0</v>
      </c>
      <c r="BI149" s="1547" t="str">
        <f t="shared" ca="1" si="25"/>
        <v/>
      </c>
      <c r="BJ149" s="898" t="str">
        <f ca="1">IF(BI149="", "", IF(1+(BI149*4)&lt;1, 1, 1+(BI149*4)))</f>
        <v/>
      </c>
      <c r="BK149" s="898" t="str">
        <f t="shared" si="22"/>
        <v/>
      </c>
      <c r="BL149" s="898" t="str">
        <f t="shared" si="22"/>
        <v/>
      </c>
      <c r="BM149" s="1710" t="str">
        <f t="shared" si="22"/>
        <v/>
      </c>
      <c r="BN149" s="1205" t="str">
        <f>IFERROR(VLOOKUP(H149,Valid!$B$94:$N$96,12,FALSE), "")</f>
        <v/>
      </c>
      <c r="BO149" s="1205" t="str">
        <f>IFERROR(VLOOKUP(H149,Valid!$B$94:$N$96,13,FALSE), "")</f>
        <v/>
      </c>
      <c r="BP149" s="894"/>
      <c r="BQ149" s="894"/>
    </row>
    <row r="150" spans="1:69" s="894" customFormat="1" ht="6.75" customHeight="1" thickBot="1" x14ac:dyDescent="0.25">
      <c r="A150" s="1516"/>
      <c r="B150" s="1530">
        <v>69.5</v>
      </c>
      <c r="C150" s="1471"/>
      <c r="D150" s="1541"/>
      <c r="E150" s="1057"/>
      <c r="F150" s="170"/>
      <c r="G150" s="170"/>
      <c r="H150" s="170"/>
      <c r="I150" s="170"/>
      <c r="J150" s="170"/>
      <c r="K150" s="170"/>
      <c r="L150" s="1031"/>
      <c r="M150" s="170"/>
      <c r="N150" s="1031"/>
      <c r="O150" s="892"/>
      <c r="P150" s="836"/>
      <c r="Q150" s="1709"/>
      <c r="R150" s="1806"/>
      <c r="S150" s="1709"/>
      <c r="T150" s="1962"/>
      <c r="U150" s="1709"/>
      <c r="V150" s="1806"/>
      <c r="W150" s="1709"/>
      <c r="X150" s="1027"/>
      <c r="Y150" s="892"/>
      <c r="Z150" s="893"/>
      <c r="AA150" s="892" t="str">
        <f t="shared" si="26"/>
        <v/>
      </c>
      <c r="AB150" s="1030"/>
      <c r="AC150" s="1622"/>
      <c r="AD150" s="1030"/>
      <c r="AF150" s="895"/>
      <c r="AG150" s="896"/>
      <c r="AJ150" s="900"/>
      <c r="AK150" s="1624"/>
      <c r="AO150" s="1152"/>
      <c r="AP150" s="1152"/>
      <c r="AQ150" s="1152"/>
      <c r="AR150" s="1152"/>
      <c r="AS150" s="1152"/>
      <c r="AT150" s="1152"/>
      <c r="AU150" s="1152"/>
      <c r="AV150" s="1152"/>
      <c r="AW150" s="1152"/>
      <c r="AX150" s="1152"/>
      <c r="AY150" s="1448"/>
      <c r="AZ150" s="1448"/>
      <c r="BA150" s="846"/>
      <c r="BB150" s="846"/>
      <c r="BD150" s="897" t="str">
        <f>IFERROR(VLOOKUP(H150,Valid!$B$94:$N$96,3,FALSE), "")</f>
        <v/>
      </c>
      <c r="BE150" s="898" t="str">
        <f>IFERROR(VLOOKUP(H150,Valid!$B$94:$N$96,4,FALSE), "")</f>
        <v/>
      </c>
      <c r="BF150" s="897" t="str">
        <f t="shared" si="23"/>
        <v/>
      </c>
      <c r="BG150" s="897" t="str">
        <f t="shared" ca="1" si="24"/>
        <v/>
      </c>
      <c r="BH150" s="1860" t="str">
        <f>IFERROR(VLOOKUP($H150,val_equip_assets,BH$4,FALSE), "")</f>
        <v/>
      </c>
      <c r="BI150" s="1547" t="str">
        <f t="shared" ca="1" si="25"/>
        <v/>
      </c>
      <c r="BJ150" s="898" t="str">
        <f ca="1">IF(BI150="", "", IF(BI150&lt;0.1, 5, IF(BI150&lt;0.25, 4, IF(BI150&lt;0.5, 3, IF(BI150&lt;0.75, 2, 1)))))</f>
        <v/>
      </c>
      <c r="BK150" s="898" t="str">
        <f t="shared" si="22"/>
        <v/>
      </c>
      <c r="BL150" s="898" t="str">
        <f t="shared" si="22"/>
        <v/>
      </c>
      <c r="BM150" s="1710" t="str">
        <f t="shared" si="22"/>
        <v/>
      </c>
      <c r="BN150" s="1205" t="str">
        <f>IFERROR(VLOOKUP(H150,Valid!$B$94:$N$96,12,FALSE), "")</f>
        <v/>
      </c>
      <c r="BO150" s="1205" t="str">
        <f>IFERROR(VLOOKUP(H150,Valid!$B$94:$N$96,13,FALSE), "")</f>
        <v/>
      </c>
    </row>
    <row r="151" spans="1:69" s="901" customFormat="1" x14ac:dyDescent="0.2">
      <c r="A151" s="206">
        <v>70</v>
      </c>
      <c r="B151" s="1530">
        <v>70</v>
      </c>
      <c r="C151" s="1703"/>
      <c r="D151" s="1248" t="str">
        <f>IF(C149="","",IF(C151="","Enter Service Fleet Description then Fill in columns "&amp;TEXT($H$2,0)&amp;" - "&amp;TEXT($Z$2,0)&amp;"                 ",""))</f>
        <v/>
      </c>
      <c r="E151" s="1245" t="str">
        <f>IF(AK151="N/A","",AK151)</f>
        <v/>
      </c>
      <c r="F151" s="170"/>
      <c r="G151" s="170"/>
      <c r="H151" s="1704"/>
      <c r="I151" s="1246" t="str">
        <f>IF(AND(E151="No",H151=""),"Select Type of Vehicle                        ","")</f>
        <v/>
      </c>
      <c r="J151" s="1247"/>
      <c r="K151" s="1246" t="str">
        <f>IF(AND(C151="No",H151=""),"Number of Vehicles?  ","")</f>
        <v/>
      </c>
      <c r="L151" s="1782" t="str">
        <f>IFERROR(VLOOKUP($H151,val_equip_assets,BH$4,FALSE), "")</f>
        <v/>
      </c>
      <c r="M151" s="1246"/>
      <c r="N151" s="1247"/>
      <c r="O151" s="892" t="str">
        <f>IF(H151="","",IF(AND(E151="No",N151=""),TEXT(BH151,0)&amp;" Years?   ",""))</f>
        <v/>
      </c>
      <c r="P151" s="1705"/>
      <c r="Q151" s="1706" t="str">
        <f>IF(AND(E151="No",P151=""),"Enter Manufact. Yr.     ","")</f>
        <v/>
      </c>
      <c r="R151" s="1952" t="str">
        <f ca="1">BI151</f>
        <v/>
      </c>
      <c r="S151" s="1706"/>
      <c r="T151" s="1963" t="str">
        <f ca="1">BJ151</f>
        <v/>
      </c>
      <c r="U151" s="1706"/>
      <c r="V151" s="1675"/>
      <c r="W151" s="892" t="str">
        <f>IF(AND(E151="No",V151=""),"% of Cap. Resp.    ","")</f>
        <v/>
      </c>
      <c r="X151" s="1655"/>
      <c r="Y151" s="892" t="str">
        <f>IF(AND(E151="No",X151=""),"Estimated $?   ","")</f>
        <v/>
      </c>
      <c r="Z151" s="1707"/>
      <c r="AA151" s="892" t="str">
        <f t="shared" si="26"/>
        <v/>
      </c>
      <c r="AB151" s="1026" t="str">
        <f>IF(E151="","",IF(OR($X151="",$Z151=""),"missing info.",$X151*VLOOKUP($Z151,Inflate,$BF151+1,FALSE)))</f>
        <v/>
      </c>
      <c r="AC151" s="1622"/>
      <c r="AD151" s="1026" t="str">
        <f>IF(E151="","",IF(J151="","missing info.",IF(AB151="missing info.","missing info.",AB151/J151)))</f>
        <v/>
      </c>
      <c r="AE151" s="839"/>
      <c r="AF151" s="1708"/>
      <c r="AG151" s="896"/>
      <c r="AH151" s="894"/>
      <c r="AI151" s="894" t="b">
        <f>IF(AND(C153&lt;&gt;"",C151=""),TRUE,FALSE)</f>
        <v>0</v>
      </c>
      <c r="AJ151" s="902" t="b">
        <f>IF(AND(N151="",P151&lt;&gt;""),TRUE,FALSE)</f>
        <v>0</v>
      </c>
      <c r="AK151" s="720" t="str">
        <f>IF(AND(J151="",AF151="",Z151="",X151="",V151="",N151="",H151="",P151="",C151=""),"N/A",IF(AND(C151&lt;&gt;"",J151&lt;&gt;"",N151&lt;&gt;"",H151&lt;&gt;"",P151&lt;&gt;"",V151&lt;&gt;"",X151&lt;&gt;"",Z151&lt;&gt;""),"Yes","No"))</f>
        <v>N/A</v>
      </c>
      <c r="AL151" s="720" t="b">
        <f>IF(AND(C151="",E151="no"),TRUE,FALSE)</f>
        <v>0</v>
      </c>
      <c r="AM151" s="720" t="b">
        <f>IF(AND(E151="no",H151=""),TRUE,FALSE)</f>
        <v>0</v>
      </c>
      <c r="AN151" s="720" t="b">
        <f>IF(AND(E151="no",H151=""),TRUE,FALSE)</f>
        <v>0</v>
      </c>
      <c r="AO151" s="903" t="b">
        <f>IF($J151="",FALSE,IF($J151&lt;$BD151,TRUE,FALSE))</f>
        <v>0</v>
      </c>
      <c r="AP151" s="903" t="b">
        <f>IF($J151="",FALSE,IF($J151&gt;$BE151,TRUE,FALSE))</f>
        <v>0</v>
      </c>
      <c r="AQ151" s="903" t="b">
        <f>IF(AND(E151="no",N151=""),TRUE,FALSE)</f>
        <v>0</v>
      </c>
      <c r="AR151" s="903" t="b">
        <f>IF(AND(E151="no",P151=""),TRUE,FALSE)</f>
        <v>0</v>
      </c>
      <c r="AS151" s="903" t="b">
        <f>IF(P151="",FALSE,IF(P151&lt;BM151,TRUE,FALSE))</f>
        <v>0</v>
      </c>
      <c r="AT151" s="903" t="b">
        <f>IF(P151="",FALSE,IF(P151&gt;BaseYear,TRUE,FALSE))</f>
        <v>0</v>
      </c>
      <c r="AU151" s="903" t="b">
        <f>IF(AND(E151="no",V151=""),TRUE,FALSE)</f>
        <v>0</v>
      </c>
      <c r="AV151" s="903" t="b">
        <f>IF(V151="",FALSE,IF(OR(V151&gt;1,V151&lt;0),TRUE,FALSE))</f>
        <v>0</v>
      </c>
      <c r="AW151" s="903" t="b">
        <f>IF($N151="",FALSE,IF($N151&lt;$BK151,TRUE,FALSE))</f>
        <v>0</v>
      </c>
      <c r="AX151" s="903" t="b">
        <f>IF($N151="",FALSE,IF($N151&gt;$BL151,TRUE,FALSE))</f>
        <v>0</v>
      </c>
      <c r="AY151" s="889" t="b">
        <f>IF(AND(E151="no",X151=""),TRUE,FALSE)</f>
        <v>0</v>
      </c>
      <c r="AZ151" s="889" t="b">
        <f>IF(OR(AD151="missing info.",AD151=""),FALSE,IF(AD151&lt;BN151,TRUE,FALSE))</f>
        <v>0</v>
      </c>
      <c r="BA151" s="890" t="b">
        <f>IF(OR(AD151="missing info.",AD151=""),FALSE,IF(AD151&gt;BO151,TRUE,FALSE))</f>
        <v>0</v>
      </c>
      <c r="BB151" s="890" t="b">
        <f>IF(AND(E151="no",Z151=""),TRUE,FALSE)</f>
        <v>0</v>
      </c>
      <c r="BC151" s="894" t="b">
        <f>IF(Z151="",FALSE,IF(OR(Z151&gt;BaseYear,Z151&lt;BM151),TRUE,FALSE))</f>
        <v>0</v>
      </c>
      <c r="BD151" s="897" t="str">
        <f>IFERROR(VLOOKUP(H151,Valid!$B$94:$N$96,3,FALSE), "")</f>
        <v/>
      </c>
      <c r="BE151" s="898" t="str">
        <f>IFERROR(VLOOKUP(H151,Valid!$B$94:$N$96,4,FALSE), "")</f>
        <v/>
      </c>
      <c r="BF151" s="897" t="str">
        <f t="shared" si="23"/>
        <v/>
      </c>
      <c r="BG151" s="897" t="str">
        <f t="shared" ca="1" si="24"/>
        <v/>
      </c>
      <c r="BH151" s="1860">
        <f>N151</f>
        <v>0</v>
      </c>
      <c r="BI151" s="1547" t="str">
        <f t="shared" ca="1" si="25"/>
        <v/>
      </c>
      <c r="BJ151" s="898" t="str">
        <f ca="1">IF(BI151="", "", IF(1+(BI151*4)&lt;1, 1, 1+(BI151*4)))</f>
        <v/>
      </c>
      <c r="BK151" s="898" t="str">
        <f t="shared" si="22"/>
        <v/>
      </c>
      <c r="BL151" s="898" t="str">
        <f t="shared" si="22"/>
        <v/>
      </c>
      <c r="BM151" s="1710" t="str">
        <f t="shared" si="22"/>
        <v/>
      </c>
      <c r="BN151" s="1205" t="str">
        <f>IFERROR(VLOOKUP(H151,Valid!$B$94:$N$96,12,FALSE), "")</f>
        <v/>
      </c>
      <c r="BO151" s="1205" t="str">
        <f>IFERROR(VLOOKUP(H151,Valid!$B$94:$N$96,13,FALSE), "")</f>
        <v/>
      </c>
      <c r="BP151" s="894"/>
      <c r="BQ151" s="894"/>
    </row>
    <row r="152" spans="1:69" s="894" customFormat="1" ht="6.75" customHeight="1" thickBot="1" x14ac:dyDescent="0.25">
      <c r="A152" s="1516"/>
      <c r="B152" s="1530">
        <v>70.5</v>
      </c>
      <c r="C152" s="1471"/>
      <c r="D152" s="1541"/>
      <c r="E152" s="1057"/>
      <c r="F152" s="170"/>
      <c r="G152" s="170"/>
      <c r="H152" s="170"/>
      <c r="I152" s="170"/>
      <c r="J152" s="170"/>
      <c r="K152" s="170"/>
      <c r="L152" s="1031"/>
      <c r="M152" s="170"/>
      <c r="N152" s="1031"/>
      <c r="O152" s="892"/>
      <c r="P152" s="836"/>
      <c r="Q152" s="1709"/>
      <c r="R152" s="1806"/>
      <c r="S152" s="1709"/>
      <c r="T152" s="1962"/>
      <c r="U152" s="1709"/>
      <c r="V152" s="1806"/>
      <c r="W152" s="1709"/>
      <c r="X152" s="1027"/>
      <c r="Y152" s="892"/>
      <c r="Z152" s="893"/>
      <c r="AA152" s="892" t="str">
        <f t="shared" si="26"/>
        <v/>
      </c>
      <c r="AB152" s="1030"/>
      <c r="AC152" s="1622"/>
      <c r="AD152" s="1030"/>
      <c r="AF152" s="895"/>
      <c r="AG152" s="896"/>
      <c r="AJ152" s="900"/>
      <c r="AK152" s="1624"/>
      <c r="AO152" s="1152"/>
      <c r="AP152" s="1152"/>
      <c r="AQ152" s="1152"/>
      <c r="AR152" s="1152"/>
      <c r="AS152" s="1152"/>
      <c r="AT152" s="1152"/>
      <c r="AU152" s="1152"/>
      <c r="AV152" s="1152"/>
      <c r="AW152" s="1152"/>
      <c r="AX152" s="1152"/>
      <c r="AY152" s="1448"/>
      <c r="AZ152" s="1448"/>
      <c r="BA152" s="846"/>
      <c r="BB152" s="846"/>
      <c r="BD152" s="897" t="str">
        <f>IFERROR(VLOOKUP(H152,Valid!$B$94:$N$96,3,FALSE), "")</f>
        <v/>
      </c>
      <c r="BE152" s="898" t="str">
        <f>IFERROR(VLOOKUP(H152,Valid!$B$94:$N$96,4,FALSE), "")</f>
        <v/>
      </c>
      <c r="BF152" s="897" t="str">
        <f t="shared" si="23"/>
        <v/>
      </c>
      <c r="BG152" s="897" t="str">
        <f t="shared" ca="1" si="24"/>
        <v/>
      </c>
      <c r="BH152" s="1860" t="str">
        <f>IFERROR(VLOOKUP($H152,val_equip_assets,BH$4,FALSE), "")</f>
        <v/>
      </c>
      <c r="BI152" s="1547" t="str">
        <f t="shared" ca="1" si="25"/>
        <v/>
      </c>
      <c r="BJ152" s="898" t="str">
        <f ca="1">IF(BI152="", "", IF(BI152&lt;0.1, 5, IF(BI152&lt;0.25, 4, IF(BI152&lt;0.5, 3, IF(BI152&lt;0.75, 2, 1)))))</f>
        <v/>
      </c>
      <c r="BK152" s="898" t="str">
        <f t="shared" si="22"/>
        <v/>
      </c>
      <c r="BL152" s="898" t="str">
        <f t="shared" si="22"/>
        <v/>
      </c>
      <c r="BM152" s="1710" t="str">
        <f t="shared" si="22"/>
        <v/>
      </c>
      <c r="BN152" s="1205" t="str">
        <f>IFERROR(VLOOKUP(H152,Valid!$B$94:$N$96,12,FALSE), "")</f>
        <v/>
      </c>
      <c r="BO152" s="1205" t="str">
        <f>IFERROR(VLOOKUP(H152,Valid!$B$94:$N$96,13,FALSE), "")</f>
        <v/>
      </c>
    </row>
    <row r="153" spans="1:69" s="901" customFormat="1" x14ac:dyDescent="0.2">
      <c r="A153" s="206">
        <v>71</v>
      </c>
      <c r="B153" s="1530">
        <v>71</v>
      </c>
      <c r="C153" s="1703"/>
      <c r="D153" s="1248" t="str">
        <f>IF(C151="","",IF(C153="","Enter Service Fleet Description then Fill in columns "&amp;TEXT($H$2,0)&amp;" - "&amp;TEXT($Z$2,0)&amp;"                 ",""))</f>
        <v/>
      </c>
      <c r="E153" s="1245" t="str">
        <f>IF(AK153="N/A","",AK153)</f>
        <v/>
      </c>
      <c r="F153" s="170"/>
      <c r="G153" s="170"/>
      <c r="H153" s="1704"/>
      <c r="I153" s="1246" t="str">
        <f>IF(AND(E153="No",H153=""),"Select Type of Vehicle                        ","")</f>
        <v/>
      </c>
      <c r="J153" s="1247"/>
      <c r="K153" s="1246" t="str">
        <f>IF(AND(C153="No",H153=""),"Number of Vehicles?  ","")</f>
        <v/>
      </c>
      <c r="L153" s="1782" t="str">
        <f>IFERROR(VLOOKUP($H153,val_equip_assets,BH$4,FALSE), "")</f>
        <v/>
      </c>
      <c r="M153" s="1246"/>
      <c r="N153" s="1247"/>
      <c r="O153" s="892" t="str">
        <f>IF(H153="","",IF(AND(E153="No",N153=""),TEXT(BH153,0)&amp;" Years?   ",""))</f>
        <v/>
      </c>
      <c r="P153" s="1705"/>
      <c r="Q153" s="1706" t="str">
        <f>IF(AND(E153="No",P153=""),"Enter Manufact. Yr.     ","")</f>
        <v/>
      </c>
      <c r="R153" s="1952" t="str">
        <f ca="1">BI153</f>
        <v/>
      </c>
      <c r="S153" s="1706"/>
      <c r="T153" s="1963" t="str">
        <f ca="1">BJ153</f>
        <v/>
      </c>
      <c r="U153" s="1706"/>
      <c r="V153" s="1675"/>
      <c r="W153" s="892" t="str">
        <f>IF(AND(E153="No",V153=""),"% of Cap. Resp.    ","")</f>
        <v/>
      </c>
      <c r="X153" s="1655"/>
      <c r="Y153" s="892" t="str">
        <f>IF(AND(E153="No",X153=""),"Estimated $?   ","")</f>
        <v/>
      </c>
      <c r="Z153" s="1707"/>
      <c r="AA153" s="892" t="str">
        <f t="shared" si="26"/>
        <v/>
      </c>
      <c r="AB153" s="1026" t="str">
        <f>IF(E153="","",IF(OR($X153="",$Z153=""),"missing info.",$X153*VLOOKUP($Z153,Inflate,$BF153+1,FALSE)))</f>
        <v/>
      </c>
      <c r="AC153" s="1622"/>
      <c r="AD153" s="1026" t="str">
        <f>IF(E153="","",IF(J153="","missing info.",IF(AB153="missing info.","missing info.",AB153/J153)))</f>
        <v/>
      </c>
      <c r="AE153" s="839"/>
      <c r="AF153" s="1708"/>
      <c r="AG153" s="896"/>
      <c r="AH153" s="894"/>
      <c r="AI153" s="894" t="b">
        <f>IF(AND(C155&lt;&gt;"",C153=""),TRUE,FALSE)</f>
        <v>0</v>
      </c>
      <c r="AJ153" s="902" t="b">
        <f>IF(AND(N153="",P153&lt;&gt;""),TRUE,FALSE)</f>
        <v>0</v>
      </c>
      <c r="AK153" s="720" t="str">
        <f>IF(AND(J153="",AF153="",Z153="",X153="",V153="",N153="",H153="",P153="",C153=""),"N/A",IF(AND(C153&lt;&gt;"",J153&lt;&gt;"",N153&lt;&gt;"",H153&lt;&gt;"",P153&lt;&gt;"",V153&lt;&gt;"",X153&lt;&gt;"",Z153&lt;&gt;""),"Yes","No"))</f>
        <v>N/A</v>
      </c>
      <c r="AL153" s="720" t="b">
        <f>IF(AND(C153="",E153="no"),TRUE,FALSE)</f>
        <v>0</v>
      </c>
      <c r="AM153" s="720" t="b">
        <f>IF(AND(E153="no",H153=""),TRUE,FALSE)</f>
        <v>0</v>
      </c>
      <c r="AN153" s="720" t="b">
        <f>IF(AND(E153="no",H153=""),TRUE,FALSE)</f>
        <v>0</v>
      </c>
      <c r="AO153" s="903" t="b">
        <f>IF($J153="",FALSE,IF($J153&lt;$BD153,TRUE,FALSE))</f>
        <v>0</v>
      </c>
      <c r="AP153" s="903" t="b">
        <f>IF($J153="",FALSE,IF($J153&gt;$BE153,TRUE,FALSE))</f>
        <v>0</v>
      </c>
      <c r="AQ153" s="903" t="b">
        <f>IF(AND(E153="no",N153=""),TRUE,FALSE)</f>
        <v>0</v>
      </c>
      <c r="AR153" s="903" t="b">
        <f>IF(AND(E153="no",P153=""),TRUE,FALSE)</f>
        <v>0</v>
      </c>
      <c r="AS153" s="903" t="b">
        <f>IF(P153="",FALSE,IF(P153&lt;BM153,TRUE,FALSE))</f>
        <v>0</v>
      </c>
      <c r="AT153" s="903" t="b">
        <f>IF(P153="",FALSE,IF(P153&gt;BaseYear,TRUE,FALSE))</f>
        <v>0</v>
      </c>
      <c r="AU153" s="903" t="b">
        <f>IF(AND(E153="no",V153=""),TRUE,FALSE)</f>
        <v>0</v>
      </c>
      <c r="AV153" s="903" t="b">
        <f>IF(V153="",FALSE,IF(OR(V153&gt;1,V153&lt;0),TRUE,FALSE))</f>
        <v>0</v>
      </c>
      <c r="AW153" s="903" t="b">
        <f>IF($N153="",FALSE,IF($N153&lt;$BK153,TRUE,FALSE))</f>
        <v>0</v>
      </c>
      <c r="AX153" s="903" t="b">
        <f>IF($N153="",FALSE,IF($N153&gt;$BL153,TRUE,FALSE))</f>
        <v>0</v>
      </c>
      <c r="AY153" s="889" t="b">
        <f>IF(AND(E153="no",X153=""),TRUE,FALSE)</f>
        <v>0</v>
      </c>
      <c r="AZ153" s="889" t="b">
        <f>IF(OR(AD153="missing info.",AD153=""),FALSE,IF(AD153&lt;BN153,TRUE,FALSE))</f>
        <v>0</v>
      </c>
      <c r="BA153" s="890" t="b">
        <f>IF(OR(AD153="missing info.",AD153=""),FALSE,IF(AD153&gt;BO153,TRUE,FALSE))</f>
        <v>0</v>
      </c>
      <c r="BB153" s="890" t="b">
        <f>IF(AND(E153="no",Z153=""),TRUE,FALSE)</f>
        <v>0</v>
      </c>
      <c r="BC153" s="894" t="b">
        <f>IF(Z153="",FALSE,IF(OR(Z153&gt;BaseYear,Z153&lt;BM153),TRUE,FALSE))</f>
        <v>0</v>
      </c>
      <c r="BD153" s="897" t="str">
        <f>IFERROR(VLOOKUP(H153,Valid!$B$94:$N$96,3,FALSE), "")</f>
        <v/>
      </c>
      <c r="BE153" s="898" t="str">
        <f>IFERROR(VLOOKUP(H153,Valid!$B$94:$N$96,4,FALSE), "")</f>
        <v/>
      </c>
      <c r="BF153" s="897" t="str">
        <f t="shared" si="23"/>
        <v/>
      </c>
      <c r="BG153" s="897" t="str">
        <f t="shared" ca="1" si="24"/>
        <v/>
      </c>
      <c r="BH153" s="1860">
        <f>N153</f>
        <v>0</v>
      </c>
      <c r="BI153" s="1547" t="str">
        <f t="shared" ca="1" si="25"/>
        <v/>
      </c>
      <c r="BJ153" s="898" t="str">
        <f ca="1">IF(BI153="", "", IF(1+(BI153*4)&lt;1, 1, 1+(BI153*4)))</f>
        <v/>
      </c>
      <c r="BK153" s="898" t="str">
        <f t="shared" ref="BK153:BM172" si="27">IFERROR(VLOOKUP($H153,val_equip_assets,BK$4,FALSE), "")</f>
        <v/>
      </c>
      <c r="BL153" s="898" t="str">
        <f t="shared" si="27"/>
        <v/>
      </c>
      <c r="BM153" s="1710" t="str">
        <f t="shared" si="27"/>
        <v/>
      </c>
      <c r="BN153" s="1205" t="str">
        <f>IFERROR(VLOOKUP(H153,Valid!$B$94:$N$96,12,FALSE), "")</f>
        <v/>
      </c>
      <c r="BO153" s="1205" t="str">
        <f>IFERROR(VLOOKUP(H153,Valid!$B$94:$N$96,13,FALSE), "")</f>
        <v/>
      </c>
      <c r="BP153" s="894"/>
      <c r="BQ153" s="894"/>
    </row>
    <row r="154" spans="1:69" s="894" customFormat="1" ht="6.75" customHeight="1" thickBot="1" x14ac:dyDescent="0.25">
      <c r="A154" s="1516"/>
      <c r="B154" s="1530">
        <v>71.5</v>
      </c>
      <c r="C154" s="1471"/>
      <c r="D154" s="1541"/>
      <c r="E154" s="1057"/>
      <c r="F154" s="170"/>
      <c r="G154" s="170"/>
      <c r="H154" s="170"/>
      <c r="I154" s="170"/>
      <c r="J154" s="170"/>
      <c r="K154" s="170"/>
      <c r="L154" s="1031"/>
      <c r="M154" s="170"/>
      <c r="N154" s="1031"/>
      <c r="O154" s="892"/>
      <c r="P154" s="836"/>
      <c r="Q154" s="1709"/>
      <c r="R154" s="1806"/>
      <c r="S154" s="1709"/>
      <c r="T154" s="1962"/>
      <c r="U154" s="1709"/>
      <c r="V154" s="1806"/>
      <c r="W154" s="1709"/>
      <c r="X154" s="1027"/>
      <c r="Y154" s="892"/>
      <c r="Z154" s="893"/>
      <c r="AA154" s="892" t="str">
        <f t="shared" si="26"/>
        <v/>
      </c>
      <c r="AB154" s="1030"/>
      <c r="AC154" s="1622"/>
      <c r="AD154" s="1030"/>
      <c r="AF154" s="895"/>
      <c r="AG154" s="896"/>
      <c r="AJ154" s="900"/>
      <c r="AK154" s="1624"/>
      <c r="AO154" s="1152"/>
      <c r="AP154" s="1152"/>
      <c r="AQ154" s="1152"/>
      <c r="AR154" s="1152"/>
      <c r="AS154" s="1152"/>
      <c r="AT154" s="1152"/>
      <c r="AU154" s="1152"/>
      <c r="AV154" s="1152"/>
      <c r="AW154" s="1152"/>
      <c r="AX154" s="1152"/>
      <c r="AY154" s="1448"/>
      <c r="AZ154" s="1448"/>
      <c r="BA154" s="846"/>
      <c r="BB154" s="846"/>
      <c r="BD154" s="897" t="str">
        <f>IFERROR(VLOOKUP(H154,Valid!$B$94:$N$96,3,FALSE), "")</f>
        <v/>
      </c>
      <c r="BE154" s="898" t="str">
        <f>IFERROR(VLOOKUP(H154,Valid!$B$94:$N$96,4,FALSE), "")</f>
        <v/>
      </c>
      <c r="BF154" s="897" t="str">
        <f t="shared" si="23"/>
        <v/>
      </c>
      <c r="BG154" s="897" t="str">
        <f t="shared" ca="1" si="24"/>
        <v/>
      </c>
      <c r="BH154" s="1860" t="str">
        <f>IFERROR(VLOOKUP($H154,val_equip_assets,BH$4,FALSE), "")</f>
        <v/>
      </c>
      <c r="BI154" s="1547" t="str">
        <f t="shared" ca="1" si="25"/>
        <v/>
      </c>
      <c r="BJ154" s="898" t="str">
        <f ca="1">IF(BI154="", "", IF(BI154&lt;0.1, 5, IF(BI154&lt;0.25, 4, IF(BI154&lt;0.5, 3, IF(BI154&lt;0.75, 2, 1)))))</f>
        <v/>
      </c>
      <c r="BK154" s="898" t="str">
        <f t="shared" si="27"/>
        <v/>
      </c>
      <c r="BL154" s="898" t="str">
        <f t="shared" si="27"/>
        <v/>
      </c>
      <c r="BM154" s="1710" t="str">
        <f t="shared" si="27"/>
        <v/>
      </c>
      <c r="BN154" s="1205" t="str">
        <f>IFERROR(VLOOKUP(H154,Valid!$B$94:$N$96,12,FALSE), "")</f>
        <v/>
      </c>
      <c r="BO154" s="1205" t="str">
        <f>IFERROR(VLOOKUP(H154,Valid!$B$94:$N$96,13,FALSE), "")</f>
        <v/>
      </c>
    </row>
    <row r="155" spans="1:69" s="901" customFormat="1" x14ac:dyDescent="0.2">
      <c r="A155" s="206">
        <v>72</v>
      </c>
      <c r="B155" s="1530">
        <v>72</v>
      </c>
      <c r="C155" s="1703"/>
      <c r="D155" s="1248" t="str">
        <f>IF(C153="","",IF(C155="","Enter Service Fleet Description then Fill in columns "&amp;TEXT($H$2,0)&amp;" - "&amp;TEXT($Z$2,0)&amp;"                 ",""))</f>
        <v/>
      </c>
      <c r="E155" s="1245" t="str">
        <f>IF(AK155="N/A","",AK155)</f>
        <v/>
      </c>
      <c r="F155" s="170"/>
      <c r="G155" s="170"/>
      <c r="H155" s="1704"/>
      <c r="I155" s="1246" t="str">
        <f>IF(AND(E155="No",H155=""),"Select Type of Vehicle                        ","")</f>
        <v/>
      </c>
      <c r="J155" s="1247"/>
      <c r="K155" s="1246" t="str">
        <f>IF(AND(C155="No",H155=""),"Number of Vehicles?  ","")</f>
        <v/>
      </c>
      <c r="L155" s="1782" t="str">
        <f>IFERROR(VLOOKUP($H155,val_equip_assets,BH$4,FALSE), "")</f>
        <v/>
      </c>
      <c r="M155" s="1246"/>
      <c r="N155" s="1247"/>
      <c r="O155" s="892" t="str">
        <f>IF(H155="","",IF(AND(E155="No",N155=""),TEXT(BH155,0)&amp;" Years?   ",""))</f>
        <v/>
      </c>
      <c r="P155" s="1705"/>
      <c r="Q155" s="1706" t="str">
        <f>IF(AND(E155="No",P155=""),"Enter Manufact. Yr.     ","")</f>
        <v/>
      </c>
      <c r="R155" s="1952" t="str">
        <f ca="1">BI155</f>
        <v/>
      </c>
      <c r="S155" s="1706"/>
      <c r="T155" s="1963" t="str">
        <f ca="1">BJ155</f>
        <v/>
      </c>
      <c r="U155" s="1706"/>
      <c r="V155" s="1675"/>
      <c r="W155" s="892" t="str">
        <f>IF(AND(E155="No",V155=""),"% of Cap. Resp.    ","")</f>
        <v/>
      </c>
      <c r="X155" s="1655"/>
      <c r="Y155" s="892" t="str">
        <f>IF(AND(E155="No",X155=""),"Estimated $?   ","")</f>
        <v/>
      </c>
      <c r="Z155" s="1707"/>
      <c r="AA155" s="892" t="str">
        <f t="shared" si="26"/>
        <v/>
      </c>
      <c r="AB155" s="1026" t="str">
        <f>IF(E155="","",IF(OR($X155="",$Z155=""),"missing info.",$X155*VLOOKUP($Z155,Inflate,$BF155+1,FALSE)))</f>
        <v/>
      </c>
      <c r="AC155" s="1622"/>
      <c r="AD155" s="1026" t="str">
        <f>IF(E155="","",IF(J155="","missing info.",IF(AB155="missing info.","missing info.",AB155/J155)))</f>
        <v/>
      </c>
      <c r="AE155" s="839"/>
      <c r="AF155" s="1708"/>
      <c r="AG155" s="896"/>
      <c r="AH155" s="894"/>
      <c r="AI155" s="894" t="b">
        <f>IF(AND(C157&lt;&gt;"",C155=""),TRUE,FALSE)</f>
        <v>0</v>
      </c>
      <c r="AJ155" s="902" t="b">
        <f>IF(AND(N155="",P155&lt;&gt;""),TRUE,FALSE)</f>
        <v>0</v>
      </c>
      <c r="AK155" s="720" t="str">
        <f>IF(AND(J155="",AF155="",Z155="",X155="",V155="",N155="",H155="",P155="",C155=""),"N/A",IF(AND(C155&lt;&gt;"",J155&lt;&gt;"",N155&lt;&gt;"",H155&lt;&gt;"",P155&lt;&gt;"",V155&lt;&gt;"",X155&lt;&gt;"",Z155&lt;&gt;""),"Yes","No"))</f>
        <v>N/A</v>
      </c>
      <c r="AL155" s="720" t="b">
        <f>IF(AND(C155="",E155="no"),TRUE,FALSE)</f>
        <v>0</v>
      </c>
      <c r="AM155" s="720" t="b">
        <f>IF(AND(E155="no",H155=""),TRUE,FALSE)</f>
        <v>0</v>
      </c>
      <c r="AN155" s="720" t="b">
        <f>IF(AND(E155="no",H155=""),TRUE,FALSE)</f>
        <v>0</v>
      </c>
      <c r="AO155" s="903" t="b">
        <f>IF($J155="",FALSE,IF($J155&lt;$BD155,TRUE,FALSE))</f>
        <v>0</v>
      </c>
      <c r="AP155" s="903" t="b">
        <f>IF($J155="",FALSE,IF($J155&gt;$BE155,TRUE,FALSE))</f>
        <v>0</v>
      </c>
      <c r="AQ155" s="903" t="b">
        <f>IF(AND(E155="no",N155=""),TRUE,FALSE)</f>
        <v>0</v>
      </c>
      <c r="AR155" s="903" t="b">
        <f>IF(AND(E155="no",P155=""),TRUE,FALSE)</f>
        <v>0</v>
      </c>
      <c r="AS155" s="903" t="b">
        <f>IF(P155="",FALSE,IF(P155&lt;BM155,TRUE,FALSE))</f>
        <v>0</v>
      </c>
      <c r="AT155" s="903" t="b">
        <f>IF(P155="",FALSE,IF(P155&gt;BaseYear,TRUE,FALSE))</f>
        <v>0</v>
      </c>
      <c r="AU155" s="903" t="b">
        <f>IF(AND(E155="no",V155=""),TRUE,FALSE)</f>
        <v>0</v>
      </c>
      <c r="AV155" s="903" t="b">
        <f>IF(V155="",FALSE,IF(OR(V155&gt;1,V155&lt;0),TRUE,FALSE))</f>
        <v>0</v>
      </c>
      <c r="AW155" s="903" t="b">
        <f>IF($N155="",FALSE,IF($N155&lt;$BK155,TRUE,FALSE))</f>
        <v>0</v>
      </c>
      <c r="AX155" s="903" t="b">
        <f>IF($N155="",FALSE,IF($N155&gt;$BL155,TRUE,FALSE))</f>
        <v>0</v>
      </c>
      <c r="AY155" s="889" t="b">
        <f>IF(AND(E155="no",X155=""),TRUE,FALSE)</f>
        <v>0</v>
      </c>
      <c r="AZ155" s="889" t="b">
        <f>IF(OR(AD155="missing info.",AD155=""),FALSE,IF(AD155&lt;BN155,TRUE,FALSE))</f>
        <v>0</v>
      </c>
      <c r="BA155" s="890" t="b">
        <f>IF(OR(AD155="missing info.",AD155=""),FALSE,IF(AD155&gt;BO155,TRUE,FALSE))</f>
        <v>0</v>
      </c>
      <c r="BB155" s="890" t="b">
        <f>IF(AND(E155="no",Z155=""),TRUE,FALSE)</f>
        <v>0</v>
      </c>
      <c r="BC155" s="894" t="b">
        <f>IF(Z155="",FALSE,IF(OR(Z155&gt;BaseYear,Z155&lt;BM155),TRUE,FALSE))</f>
        <v>0</v>
      </c>
      <c r="BD155" s="897" t="str">
        <f>IFERROR(VLOOKUP(H155,Valid!$B$94:$N$96,3,FALSE), "")</f>
        <v/>
      </c>
      <c r="BE155" s="898" t="str">
        <f>IFERROR(VLOOKUP(H155,Valid!$B$94:$N$96,4,FALSE), "")</f>
        <v/>
      </c>
      <c r="BF155" s="897" t="str">
        <f t="shared" si="23"/>
        <v/>
      </c>
      <c r="BG155" s="897" t="str">
        <f t="shared" ca="1" si="24"/>
        <v/>
      </c>
      <c r="BH155" s="1860">
        <f>N155</f>
        <v>0</v>
      </c>
      <c r="BI155" s="1547" t="str">
        <f t="shared" ca="1" si="25"/>
        <v/>
      </c>
      <c r="BJ155" s="898" t="str">
        <f ca="1">IF(BI155="", "", IF(1+(BI155*4)&lt;1, 1, 1+(BI155*4)))</f>
        <v/>
      </c>
      <c r="BK155" s="898" t="str">
        <f t="shared" si="27"/>
        <v/>
      </c>
      <c r="BL155" s="898" t="str">
        <f t="shared" si="27"/>
        <v/>
      </c>
      <c r="BM155" s="1710" t="str">
        <f t="shared" si="27"/>
        <v/>
      </c>
      <c r="BN155" s="1205" t="str">
        <f>IFERROR(VLOOKUP(H155,Valid!$B$94:$N$96,12,FALSE), "")</f>
        <v/>
      </c>
      <c r="BO155" s="1205" t="str">
        <f>IFERROR(VLOOKUP(H155,Valid!$B$94:$N$96,13,FALSE), "")</f>
        <v/>
      </c>
      <c r="BP155" s="894"/>
      <c r="BQ155" s="894"/>
    </row>
    <row r="156" spans="1:69" s="894" customFormat="1" ht="6.75" customHeight="1" thickBot="1" x14ac:dyDescent="0.25">
      <c r="A156" s="1516"/>
      <c r="B156" s="1530">
        <v>72.5</v>
      </c>
      <c r="C156" s="1471"/>
      <c r="D156" s="1541"/>
      <c r="E156" s="1057"/>
      <c r="F156" s="170"/>
      <c r="G156" s="170"/>
      <c r="H156" s="170"/>
      <c r="I156" s="170"/>
      <c r="J156" s="170"/>
      <c r="K156" s="170"/>
      <c r="L156" s="1031"/>
      <c r="M156" s="170"/>
      <c r="N156" s="1031"/>
      <c r="O156" s="892"/>
      <c r="P156" s="836"/>
      <c r="Q156" s="1709"/>
      <c r="R156" s="1806"/>
      <c r="S156" s="1709"/>
      <c r="T156" s="1962"/>
      <c r="U156" s="1709"/>
      <c r="V156" s="1806"/>
      <c r="W156" s="1709"/>
      <c r="X156" s="1027"/>
      <c r="Y156" s="892"/>
      <c r="Z156" s="893"/>
      <c r="AA156" s="892" t="str">
        <f t="shared" si="26"/>
        <v/>
      </c>
      <c r="AB156" s="1030"/>
      <c r="AC156" s="1622"/>
      <c r="AD156" s="1030"/>
      <c r="AF156" s="895"/>
      <c r="AG156" s="896"/>
      <c r="AJ156" s="900"/>
      <c r="AK156" s="1624"/>
      <c r="AO156" s="1152"/>
      <c r="AP156" s="1152"/>
      <c r="AQ156" s="1152"/>
      <c r="AR156" s="1152"/>
      <c r="AS156" s="1152"/>
      <c r="AT156" s="1152"/>
      <c r="AU156" s="1152"/>
      <c r="AV156" s="1152"/>
      <c r="AW156" s="1152"/>
      <c r="AX156" s="1152"/>
      <c r="AY156" s="1448"/>
      <c r="AZ156" s="1448"/>
      <c r="BA156" s="846"/>
      <c r="BB156" s="846"/>
      <c r="BD156" s="897" t="str">
        <f>IFERROR(VLOOKUP(H156,Valid!$B$94:$N$96,3,FALSE), "")</f>
        <v/>
      </c>
      <c r="BE156" s="898" t="str">
        <f>IFERROR(VLOOKUP(H156,Valid!$B$94:$N$96,4,FALSE), "")</f>
        <v/>
      </c>
      <c r="BF156" s="897" t="str">
        <f t="shared" si="23"/>
        <v/>
      </c>
      <c r="BG156" s="897" t="str">
        <f t="shared" ca="1" si="24"/>
        <v/>
      </c>
      <c r="BH156" s="1860" t="str">
        <f>IFERROR(VLOOKUP($H156,val_equip_assets,BH$4,FALSE), "")</f>
        <v/>
      </c>
      <c r="BI156" s="1547" t="str">
        <f t="shared" ca="1" si="25"/>
        <v/>
      </c>
      <c r="BJ156" s="898" t="str">
        <f ca="1">IF(BI156="", "", IF(BI156&lt;0.1, 5, IF(BI156&lt;0.25, 4, IF(BI156&lt;0.5, 3, IF(BI156&lt;0.75, 2, 1)))))</f>
        <v/>
      </c>
      <c r="BK156" s="898" t="str">
        <f t="shared" si="27"/>
        <v/>
      </c>
      <c r="BL156" s="898" t="str">
        <f t="shared" si="27"/>
        <v/>
      </c>
      <c r="BM156" s="1710" t="str">
        <f t="shared" si="27"/>
        <v/>
      </c>
      <c r="BN156" s="1205" t="str">
        <f>IFERROR(VLOOKUP(H156,Valid!$B$94:$N$96,12,FALSE), "")</f>
        <v/>
      </c>
      <c r="BO156" s="1205" t="str">
        <f>IFERROR(VLOOKUP(H156,Valid!$B$94:$N$96,13,FALSE), "")</f>
        <v/>
      </c>
    </row>
    <row r="157" spans="1:69" s="901" customFormat="1" x14ac:dyDescent="0.2">
      <c r="A157" s="206">
        <v>73</v>
      </c>
      <c r="B157" s="1530">
        <v>73</v>
      </c>
      <c r="C157" s="1703"/>
      <c r="D157" s="1248" t="str">
        <f>IF(C155="","",IF(C157="","Enter Service Fleet Description then Fill in columns "&amp;TEXT($H$2,0)&amp;" - "&amp;TEXT($Z$2,0)&amp;"                 ",""))</f>
        <v/>
      </c>
      <c r="E157" s="1245" t="str">
        <f>IF(AK157="N/A","",AK157)</f>
        <v/>
      </c>
      <c r="F157" s="170"/>
      <c r="G157" s="170"/>
      <c r="H157" s="1704"/>
      <c r="I157" s="1246" t="str">
        <f>IF(AND(E157="No",H157=""),"Select Type of Vehicle                        ","")</f>
        <v/>
      </c>
      <c r="J157" s="1247"/>
      <c r="K157" s="1246" t="str">
        <f>IF(AND(C157="No",H157=""),"Number of Vehicles?  ","")</f>
        <v/>
      </c>
      <c r="L157" s="1782" t="str">
        <f>IFERROR(VLOOKUP($H157,val_equip_assets,BH$4,FALSE), "")</f>
        <v/>
      </c>
      <c r="M157" s="1246"/>
      <c r="N157" s="1247"/>
      <c r="O157" s="892" t="str">
        <f>IF(H157="","",IF(AND(E157="No",N157=""),TEXT(BH157,0)&amp;" Years?   ",""))</f>
        <v/>
      </c>
      <c r="P157" s="1705"/>
      <c r="Q157" s="1706" t="str">
        <f>IF(AND(E157="No",P157=""),"Enter Manufact. Yr.     ","")</f>
        <v/>
      </c>
      <c r="R157" s="1952" t="str">
        <f ca="1">BI157</f>
        <v/>
      </c>
      <c r="S157" s="1706"/>
      <c r="T157" s="1963" t="str">
        <f ca="1">BJ157</f>
        <v/>
      </c>
      <c r="U157" s="1706"/>
      <c r="V157" s="1675"/>
      <c r="W157" s="892" t="str">
        <f>IF(AND(E157="No",V157=""),"% of Cap. Resp.    ","")</f>
        <v/>
      </c>
      <c r="X157" s="1655"/>
      <c r="Y157" s="892" t="str">
        <f>IF(AND(E157="No",X157=""),"Estimated $?   ","")</f>
        <v/>
      </c>
      <c r="Z157" s="1707"/>
      <c r="AA157" s="892" t="str">
        <f t="shared" si="26"/>
        <v/>
      </c>
      <c r="AB157" s="1026" t="str">
        <f>IF(E157="","",IF(OR($X157="",$Z157=""),"missing info.",$X157*VLOOKUP($Z157,Inflate,$BF157+1,FALSE)))</f>
        <v/>
      </c>
      <c r="AC157" s="1622"/>
      <c r="AD157" s="1026" t="str">
        <f>IF(E157="","",IF(J157="","missing info.",IF(AB157="missing info.","missing info.",AB157/J157)))</f>
        <v/>
      </c>
      <c r="AE157" s="839"/>
      <c r="AF157" s="1708"/>
      <c r="AG157" s="896"/>
      <c r="AH157" s="894"/>
      <c r="AI157" s="894" t="b">
        <f>IF(AND(C159&lt;&gt;"",C157=""),TRUE,FALSE)</f>
        <v>0</v>
      </c>
      <c r="AJ157" s="902" t="b">
        <f>IF(AND(N157="",P157&lt;&gt;""),TRUE,FALSE)</f>
        <v>0</v>
      </c>
      <c r="AK157" s="720" t="str">
        <f>IF(AND(J157="",AF157="",Z157="",X157="",V157="",N157="",H157="",P157="",C157=""),"N/A",IF(AND(C157&lt;&gt;"",J157&lt;&gt;"",N157&lt;&gt;"",H157&lt;&gt;"",P157&lt;&gt;"",V157&lt;&gt;"",X157&lt;&gt;"",Z157&lt;&gt;""),"Yes","No"))</f>
        <v>N/A</v>
      </c>
      <c r="AL157" s="720" t="b">
        <f>IF(AND(C157="",E157="no"),TRUE,FALSE)</f>
        <v>0</v>
      </c>
      <c r="AM157" s="720" t="b">
        <f>IF(AND(E157="no",H157=""),TRUE,FALSE)</f>
        <v>0</v>
      </c>
      <c r="AN157" s="720" t="b">
        <f>IF(AND(E157="no",H157=""),TRUE,FALSE)</f>
        <v>0</v>
      </c>
      <c r="AO157" s="903" t="b">
        <f>IF($J157="",FALSE,IF($J157&lt;$BD157,TRUE,FALSE))</f>
        <v>0</v>
      </c>
      <c r="AP157" s="903" t="b">
        <f>IF($J157="",FALSE,IF($J157&gt;$BE157,TRUE,FALSE))</f>
        <v>0</v>
      </c>
      <c r="AQ157" s="903" t="b">
        <f>IF(AND(E157="no",N157=""),TRUE,FALSE)</f>
        <v>0</v>
      </c>
      <c r="AR157" s="903" t="b">
        <f>IF(AND(E157="no",P157=""),TRUE,FALSE)</f>
        <v>0</v>
      </c>
      <c r="AS157" s="903" t="b">
        <f>IF(P157="",FALSE,IF(P157&lt;BM157,TRUE,FALSE))</f>
        <v>0</v>
      </c>
      <c r="AT157" s="903" t="b">
        <f>IF(P157="",FALSE,IF(P157&gt;BaseYear,TRUE,FALSE))</f>
        <v>0</v>
      </c>
      <c r="AU157" s="903" t="b">
        <f>IF(AND(E157="no",V157=""),TRUE,FALSE)</f>
        <v>0</v>
      </c>
      <c r="AV157" s="903" t="b">
        <f>IF(V157="",FALSE,IF(OR(V157&gt;1,V157&lt;0),TRUE,FALSE))</f>
        <v>0</v>
      </c>
      <c r="AW157" s="903" t="b">
        <f>IF($N157="",FALSE,IF($N157&lt;$BK157,TRUE,FALSE))</f>
        <v>0</v>
      </c>
      <c r="AX157" s="903" t="b">
        <f>IF($N157="",FALSE,IF($N157&gt;$BL157,TRUE,FALSE))</f>
        <v>0</v>
      </c>
      <c r="AY157" s="889" t="b">
        <f>IF(AND(E157="no",X157=""),TRUE,FALSE)</f>
        <v>0</v>
      </c>
      <c r="AZ157" s="889" t="b">
        <f>IF(OR(AD157="missing info.",AD157=""),FALSE,IF(AD157&lt;BN157,TRUE,FALSE))</f>
        <v>0</v>
      </c>
      <c r="BA157" s="890" t="b">
        <f>IF(OR(AD157="missing info.",AD157=""),FALSE,IF(AD157&gt;BO157,TRUE,FALSE))</f>
        <v>0</v>
      </c>
      <c r="BB157" s="890" t="b">
        <f>IF(AND(E157="no",Z157=""),TRUE,FALSE)</f>
        <v>0</v>
      </c>
      <c r="BC157" s="894" t="b">
        <f>IF(Z157="",FALSE,IF(OR(Z157&gt;BaseYear,Z157&lt;BM157),TRUE,FALSE))</f>
        <v>0</v>
      </c>
      <c r="BD157" s="897" t="str">
        <f>IFERROR(VLOOKUP(H157,Valid!$B$94:$N$96,3,FALSE), "")</f>
        <v/>
      </c>
      <c r="BE157" s="898" t="str">
        <f>IFERROR(VLOOKUP(H157,Valid!$B$94:$N$96,4,FALSE), "")</f>
        <v/>
      </c>
      <c r="BF157" s="897" t="str">
        <f t="shared" si="23"/>
        <v/>
      </c>
      <c r="BG157" s="897" t="str">
        <f t="shared" ca="1" si="24"/>
        <v/>
      </c>
      <c r="BH157" s="1860">
        <f>N157</f>
        <v>0</v>
      </c>
      <c r="BI157" s="1547" t="str">
        <f t="shared" ca="1" si="25"/>
        <v/>
      </c>
      <c r="BJ157" s="898" t="str">
        <f ca="1">IF(BI157="", "", IF(1+(BI157*4)&lt;1, 1, 1+(BI157*4)))</f>
        <v/>
      </c>
      <c r="BK157" s="898" t="str">
        <f t="shared" si="27"/>
        <v/>
      </c>
      <c r="BL157" s="898" t="str">
        <f t="shared" si="27"/>
        <v/>
      </c>
      <c r="BM157" s="1710" t="str">
        <f t="shared" si="27"/>
        <v/>
      </c>
      <c r="BN157" s="1205" t="str">
        <f>IFERROR(VLOOKUP(H157,Valid!$B$94:$N$96,12,FALSE), "")</f>
        <v/>
      </c>
      <c r="BO157" s="1205" t="str">
        <f>IFERROR(VLOOKUP(H157,Valid!$B$94:$N$96,13,FALSE), "")</f>
        <v/>
      </c>
      <c r="BP157" s="894"/>
      <c r="BQ157" s="894"/>
    </row>
    <row r="158" spans="1:69" s="894" customFormat="1" ht="6.75" customHeight="1" thickBot="1" x14ac:dyDescent="0.25">
      <c r="A158" s="1516"/>
      <c r="B158" s="1530">
        <v>73.5</v>
      </c>
      <c r="C158" s="1471"/>
      <c r="D158" s="1541"/>
      <c r="E158" s="1057"/>
      <c r="F158" s="170"/>
      <c r="G158" s="170"/>
      <c r="H158" s="170"/>
      <c r="I158" s="170"/>
      <c r="J158" s="170"/>
      <c r="K158" s="170"/>
      <c r="L158" s="1031"/>
      <c r="M158" s="170"/>
      <c r="N158" s="1031"/>
      <c r="O158" s="892"/>
      <c r="P158" s="836"/>
      <c r="Q158" s="1709"/>
      <c r="R158" s="1806"/>
      <c r="S158" s="1709"/>
      <c r="T158" s="1962"/>
      <c r="U158" s="1709"/>
      <c r="V158" s="1806"/>
      <c r="W158" s="1709"/>
      <c r="X158" s="1027"/>
      <c r="Y158" s="892"/>
      <c r="Z158" s="893"/>
      <c r="AA158" s="892" t="str">
        <f t="shared" si="26"/>
        <v/>
      </c>
      <c r="AB158" s="1030"/>
      <c r="AC158" s="1622"/>
      <c r="AD158" s="1030"/>
      <c r="AF158" s="895"/>
      <c r="AG158" s="896"/>
      <c r="AJ158" s="900"/>
      <c r="AK158" s="1624"/>
      <c r="AO158" s="1152"/>
      <c r="AP158" s="1152"/>
      <c r="AQ158" s="1152"/>
      <c r="AR158" s="1152"/>
      <c r="AS158" s="1152"/>
      <c r="AT158" s="1152"/>
      <c r="AU158" s="1152"/>
      <c r="AV158" s="1152"/>
      <c r="AW158" s="1152"/>
      <c r="AX158" s="1152"/>
      <c r="AY158" s="1448"/>
      <c r="AZ158" s="1448"/>
      <c r="BA158" s="846"/>
      <c r="BB158" s="846"/>
      <c r="BD158" s="897" t="str">
        <f>IFERROR(VLOOKUP(H158,Valid!$B$94:$N$96,3,FALSE), "")</f>
        <v/>
      </c>
      <c r="BE158" s="898" t="str">
        <f>IFERROR(VLOOKUP(H158,Valid!$B$94:$N$96,4,FALSE), "")</f>
        <v/>
      </c>
      <c r="BF158" s="897" t="str">
        <f t="shared" si="23"/>
        <v/>
      </c>
      <c r="BG158" s="897" t="str">
        <f t="shared" ca="1" si="24"/>
        <v/>
      </c>
      <c r="BH158" s="1860" t="str">
        <f>IFERROR(VLOOKUP($H158,val_equip_assets,BH$4,FALSE), "")</f>
        <v/>
      </c>
      <c r="BI158" s="1547" t="str">
        <f t="shared" ca="1" si="25"/>
        <v/>
      </c>
      <c r="BJ158" s="898" t="str">
        <f ca="1">IF(BI158="", "", IF(BI158&lt;0.1, 5, IF(BI158&lt;0.25, 4, IF(BI158&lt;0.5, 3, IF(BI158&lt;0.75, 2, 1)))))</f>
        <v/>
      </c>
      <c r="BK158" s="898" t="str">
        <f t="shared" si="27"/>
        <v/>
      </c>
      <c r="BL158" s="898" t="str">
        <f t="shared" si="27"/>
        <v/>
      </c>
      <c r="BM158" s="1710" t="str">
        <f t="shared" si="27"/>
        <v/>
      </c>
      <c r="BN158" s="1205" t="str">
        <f>IFERROR(VLOOKUP(H158,Valid!$B$94:$N$96,12,FALSE), "")</f>
        <v/>
      </c>
      <c r="BO158" s="1205" t="str">
        <f>IFERROR(VLOOKUP(H158,Valid!$B$94:$N$96,13,FALSE), "")</f>
        <v/>
      </c>
    </row>
    <row r="159" spans="1:69" s="901" customFormat="1" x14ac:dyDescent="0.2">
      <c r="A159" s="206">
        <v>74</v>
      </c>
      <c r="B159" s="1530">
        <v>74</v>
      </c>
      <c r="C159" s="1703"/>
      <c r="D159" s="1248" t="str">
        <f>IF(C157="","",IF(C159="","Enter Service Fleet Description then Fill in columns "&amp;TEXT($H$2,0)&amp;" - "&amp;TEXT($Z$2,0)&amp;"                 ",""))</f>
        <v/>
      </c>
      <c r="E159" s="1245" t="str">
        <f>IF(AK159="N/A","",AK159)</f>
        <v/>
      </c>
      <c r="F159" s="170"/>
      <c r="G159" s="170"/>
      <c r="H159" s="1704"/>
      <c r="I159" s="1246" t="str">
        <f>IF(AND(E159="No",H159=""),"Select Type of Vehicle                        ","")</f>
        <v/>
      </c>
      <c r="J159" s="1247"/>
      <c r="K159" s="1246" t="str">
        <f>IF(AND(C159="No",H159=""),"Number of Vehicles?  ","")</f>
        <v/>
      </c>
      <c r="L159" s="1782" t="str">
        <f>IFERROR(VLOOKUP($H159,val_equip_assets,BH$4,FALSE), "")</f>
        <v/>
      </c>
      <c r="M159" s="1246"/>
      <c r="N159" s="1247"/>
      <c r="O159" s="892" t="str">
        <f>IF(H159="","",IF(AND(E159="No",N159=""),TEXT(BH159,0)&amp;" Years?   ",""))</f>
        <v/>
      </c>
      <c r="P159" s="1705"/>
      <c r="Q159" s="1706" t="str">
        <f>IF(AND(E159="No",P159=""),"Enter Manufact. Yr.     ","")</f>
        <v/>
      </c>
      <c r="R159" s="1952" t="str">
        <f ca="1">BI159</f>
        <v/>
      </c>
      <c r="S159" s="1706"/>
      <c r="T159" s="1963" t="str">
        <f ca="1">BJ159</f>
        <v/>
      </c>
      <c r="U159" s="1706"/>
      <c r="V159" s="1675"/>
      <c r="W159" s="892" t="str">
        <f>IF(AND(E159="No",V159=""),"% of Cap. Resp.    ","")</f>
        <v/>
      </c>
      <c r="X159" s="1655"/>
      <c r="Y159" s="892" t="str">
        <f>IF(AND(E159="No",X159=""),"Estimated $?   ","")</f>
        <v/>
      </c>
      <c r="Z159" s="1707"/>
      <c r="AA159" s="892" t="str">
        <f t="shared" si="26"/>
        <v/>
      </c>
      <c r="AB159" s="1026" t="str">
        <f>IF(E159="","",IF(OR($X159="",$Z159=""),"missing info.",$X159*VLOOKUP($Z159,Inflate,$BF159+1,FALSE)))</f>
        <v/>
      </c>
      <c r="AC159" s="1622"/>
      <c r="AD159" s="1026" t="str">
        <f>IF(E159="","",IF(J159="","missing info.",IF(AB159="missing info.","missing info.",AB159/J159)))</f>
        <v/>
      </c>
      <c r="AE159" s="839"/>
      <c r="AF159" s="1708"/>
      <c r="AG159" s="896"/>
      <c r="AH159" s="894"/>
      <c r="AI159" s="894" t="b">
        <f>IF(AND(C161&lt;&gt;"",C159=""),TRUE,FALSE)</f>
        <v>0</v>
      </c>
      <c r="AJ159" s="902" t="b">
        <f>IF(AND(N159="",P159&lt;&gt;""),TRUE,FALSE)</f>
        <v>0</v>
      </c>
      <c r="AK159" s="720" t="str">
        <f>IF(AND(J159="",AF159="",Z159="",X159="",V159="",N159="",H159="",P159="",C159=""),"N/A",IF(AND(C159&lt;&gt;"",J159&lt;&gt;"",N159&lt;&gt;"",H159&lt;&gt;"",P159&lt;&gt;"",V159&lt;&gt;"",X159&lt;&gt;"",Z159&lt;&gt;""),"Yes","No"))</f>
        <v>N/A</v>
      </c>
      <c r="AL159" s="720" t="b">
        <f>IF(AND(C159="",E159="no"),TRUE,FALSE)</f>
        <v>0</v>
      </c>
      <c r="AM159" s="720" t="b">
        <f>IF(AND(E159="no",H159=""),TRUE,FALSE)</f>
        <v>0</v>
      </c>
      <c r="AN159" s="720" t="b">
        <f>IF(AND(E159="no",H159=""),TRUE,FALSE)</f>
        <v>0</v>
      </c>
      <c r="AO159" s="903" t="b">
        <f>IF($J159="",FALSE,IF($J159&lt;$BD159,TRUE,FALSE))</f>
        <v>0</v>
      </c>
      <c r="AP159" s="903" t="b">
        <f>IF($J159="",FALSE,IF($J159&gt;$BE159,TRUE,FALSE))</f>
        <v>0</v>
      </c>
      <c r="AQ159" s="903" t="b">
        <f>IF(AND(E159="no",N159=""),TRUE,FALSE)</f>
        <v>0</v>
      </c>
      <c r="AR159" s="903" t="b">
        <f>IF(AND(E159="no",P159=""),TRUE,FALSE)</f>
        <v>0</v>
      </c>
      <c r="AS159" s="903" t="b">
        <f>IF(P159="",FALSE,IF(P159&lt;BM159,TRUE,FALSE))</f>
        <v>0</v>
      </c>
      <c r="AT159" s="903" t="b">
        <f>IF(P159="",FALSE,IF(P159&gt;BaseYear,TRUE,FALSE))</f>
        <v>0</v>
      </c>
      <c r="AU159" s="903" t="b">
        <f>IF(AND(E159="no",V159=""),TRUE,FALSE)</f>
        <v>0</v>
      </c>
      <c r="AV159" s="903" t="b">
        <f>IF(V159="",FALSE,IF(OR(V159&gt;1,V159&lt;0),TRUE,FALSE))</f>
        <v>0</v>
      </c>
      <c r="AW159" s="903" t="b">
        <f>IF($N159="",FALSE,IF($N159&lt;$BK159,TRUE,FALSE))</f>
        <v>0</v>
      </c>
      <c r="AX159" s="903" t="b">
        <f>IF($N159="",FALSE,IF($N159&gt;$BL159,TRUE,FALSE))</f>
        <v>0</v>
      </c>
      <c r="AY159" s="889" t="b">
        <f>IF(AND(E159="no",X159=""),TRUE,FALSE)</f>
        <v>0</v>
      </c>
      <c r="AZ159" s="889" t="b">
        <f>IF(OR(AD159="missing info.",AD159=""),FALSE,IF(AD159&lt;BN159,TRUE,FALSE))</f>
        <v>0</v>
      </c>
      <c r="BA159" s="890" t="b">
        <f>IF(OR(AD159="missing info.",AD159=""),FALSE,IF(AD159&gt;BO159,TRUE,FALSE))</f>
        <v>0</v>
      </c>
      <c r="BB159" s="890" t="b">
        <f>IF(AND(E159="no",Z159=""),TRUE,FALSE)</f>
        <v>0</v>
      </c>
      <c r="BC159" s="894" t="b">
        <f>IF(Z159="",FALSE,IF(OR(Z159&gt;BaseYear,Z159&lt;BM159),TRUE,FALSE))</f>
        <v>0</v>
      </c>
      <c r="BD159" s="897" t="str">
        <f>IFERROR(VLOOKUP(H159,Valid!$B$94:$N$96,3,FALSE), "")</f>
        <v/>
      </c>
      <c r="BE159" s="898" t="str">
        <f>IFERROR(VLOOKUP(H159,Valid!$B$94:$N$96,4,FALSE), "")</f>
        <v/>
      </c>
      <c r="BF159" s="897" t="str">
        <f t="shared" si="23"/>
        <v/>
      </c>
      <c r="BG159" s="897" t="str">
        <f t="shared" ca="1" si="24"/>
        <v/>
      </c>
      <c r="BH159" s="1860">
        <f>N159</f>
        <v>0</v>
      </c>
      <c r="BI159" s="1547" t="str">
        <f t="shared" ca="1" si="25"/>
        <v/>
      </c>
      <c r="BJ159" s="898" t="str">
        <f ca="1">IF(BI159="", "", IF(1+(BI159*4)&lt;1, 1, 1+(BI159*4)))</f>
        <v/>
      </c>
      <c r="BK159" s="898" t="str">
        <f t="shared" si="27"/>
        <v/>
      </c>
      <c r="BL159" s="898" t="str">
        <f t="shared" si="27"/>
        <v/>
      </c>
      <c r="BM159" s="1710" t="str">
        <f t="shared" si="27"/>
        <v/>
      </c>
      <c r="BN159" s="1205" t="str">
        <f>IFERROR(VLOOKUP(H159,Valid!$B$94:$N$96,12,FALSE), "")</f>
        <v/>
      </c>
      <c r="BO159" s="1205" t="str">
        <f>IFERROR(VLOOKUP(H159,Valid!$B$94:$N$96,13,FALSE), "")</f>
        <v/>
      </c>
      <c r="BP159" s="894"/>
      <c r="BQ159" s="894"/>
    </row>
    <row r="160" spans="1:69" s="894" customFormat="1" ht="6.75" customHeight="1" thickBot="1" x14ac:dyDescent="0.25">
      <c r="A160" s="1516"/>
      <c r="B160" s="1530">
        <v>74.5</v>
      </c>
      <c r="C160" s="1471"/>
      <c r="D160" s="1541"/>
      <c r="E160" s="1057"/>
      <c r="F160" s="170"/>
      <c r="G160" s="170"/>
      <c r="H160" s="170"/>
      <c r="I160" s="170"/>
      <c r="J160" s="170"/>
      <c r="K160" s="170"/>
      <c r="L160" s="1031"/>
      <c r="M160" s="170"/>
      <c r="N160" s="1031"/>
      <c r="O160" s="892"/>
      <c r="P160" s="836"/>
      <c r="Q160" s="1709"/>
      <c r="R160" s="1806"/>
      <c r="S160" s="1709"/>
      <c r="T160" s="1962"/>
      <c r="U160" s="1709"/>
      <c r="V160" s="1806"/>
      <c r="W160" s="1709"/>
      <c r="X160" s="1027"/>
      <c r="Y160" s="892"/>
      <c r="Z160" s="893"/>
      <c r="AA160" s="892" t="str">
        <f t="shared" si="26"/>
        <v/>
      </c>
      <c r="AB160" s="1030"/>
      <c r="AC160" s="1622"/>
      <c r="AD160" s="1030"/>
      <c r="AF160" s="895"/>
      <c r="AG160" s="896"/>
      <c r="AJ160" s="900"/>
      <c r="AK160" s="1624"/>
      <c r="AO160" s="1152"/>
      <c r="AP160" s="1152"/>
      <c r="AQ160" s="1152"/>
      <c r="AR160" s="1152"/>
      <c r="AS160" s="1152"/>
      <c r="AT160" s="1152"/>
      <c r="AU160" s="1152"/>
      <c r="AV160" s="1152"/>
      <c r="AW160" s="1152"/>
      <c r="AX160" s="1152"/>
      <c r="AY160" s="1448"/>
      <c r="AZ160" s="1448"/>
      <c r="BA160" s="846"/>
      <c r="BB160" s="846"/>
      <c r="BD160" s="897" t="str">
        <f>IFERROR(VLOOKUP(H160,Valid!$B$94:$N$96,3,FALSE), "")</f>
        <v/>
      </c>
      <c r="BE160" s="898" t="str">
        <f>IFERROR(VLOOKUP(H160,Valid!$B$94:$N$96,4,FALSE), "")</f>
        <v/>
      </c>
      <c r="BF160" s="897" t="str">
        <f t="shared" si="23"/>
        <v/>
      </c>
      <c r="BG160" s="897" t="str">
        <f t="shared" ca="1" si="24"/>
        <v/>
      </c>
      <c r="BH160" s="1860" t="str">
        <f>IFERROR(VLOOKUP($H160,val_equip_assets,BH$4,FALSE), "")</f>
        <v/>
      </c>
      <c r="BI160" s="1547" t="str">
        <f t="shared" ca="1" si="25"/>
        <v/>
      </c>
      <c r="BJ160" s="898" t="str">
        <f ca="1">IF(BI160="", "", IF(BI160&lt;0.1, 5, IF(BI160&lt;0.25, 4, IF(BI160&lt;0.5, 3, IF(BI160&lt;0.75, 2, 1)))))</f>
        <v/>
      </c>
      <c r="BK160" s="898" t="str">
        <f t="shared" si="27"/>
        <v/>
      </c>
      <c r="BL160" s="898" t="str">
        <f t="shared" si="27"/>
        <v/>
      </c>
      <c r="BM160" s="1710" t="str">
        <f t="shared" si="27"/>
        <v/>
      </c>
      <c r="BN160" s="1205" t="str">
        <f>IFERROR(VLOOKUP(H160,Valid!$B$94:$N$96,12,FALSE), "")</f>
        <v/>
      </c>
      <c r="BO160" s="1205" t="str">
        <f>IFERROR(VLOOKUP(H160,Valid!$B$94:$N$96,13,FALSE), "")</f>
        <v/>
      </c>
    </row>
    <row r="161" spans="1:69" s="901" customFormat="1" x14ac:dyDescent="0.2">
      <c r="A161" s="206">
        <v>75</v>
      </c>
      <c r="B161" s="1530">
        <v>75</v>
      </c>
      <c r="C161" s="1703"/>
      <c r="D161" s="1248" t="str">
        <f>IF(C159="","",IF(C161="","Enter Service Fleet Description then Fill in columns "&amp;TEXT($H$2,0)&amp;" - "&amp;TEXT($Z$2,0)&amp;"                 ",""))</f>
        <v/>
      </c>
      <c r="E161" s="1245" t="str">
        <f>IF(AK161="N/A","",AK161)</f>
        <v/>
      </c>
      <c r="F161" s="170"/>
      <c r="G161" s="170"/>
      <c r="H161" s="1704"/>
      <c r="I161" s="1246" t="str">
        <f>IF(AND(E161="No",H161=""),"Select Type of Vehicle                        ","")</f>
        <v/>
      </c>
      <c r="J161" s="1247"/>
      <c r="K161" s="1246" t="str">
        <f>IF(AND(C161="No",H161=""),"Number of Vehicles?  ","")</f>
        <v/>
      </c>
      <c r="L161" s="1782" t="str">
        <f>IFERROR(VLOOKUP($H161,val_equip_assets,BH$4,FALSE), "")</f>
        <v/>
      </c>
      <c r="M161" s="1246"/>
      <c r="N161" s="1247"/>
      <c r="O161" s="892" t="str">
        <f>IF(H161="","",IF(AND(E161="No",N161=""),TEXT(BH161,0)&amp;" Years?   ",""))</f>
        <v/>
      </c>
      <c r="P161" s="1705"/>
      <c r="Q161" s="1706" t="str">
        <f>IF(AND(E161="No",P161=""),"Enter Manufact. Yr.     ","")</f>
        <v/>
      </c>
      <c r="R161" s="1952" t="str">
        <f ca="1">BI161</f>
        <v/>
      </c>
      <c r="S161" s="1706"/>
      <c r="T161" s="1963" t="str">
        <f ca="1">BJ161</f>
        <v/>
      </c>
      <c r="U161" s="1706"/>
      <c r="V161" s="1675"/>
      <c r="W161" s="892" t="str">
        <f>IF(AND(E161="No",V161=""),"% of Cap. Resp.    ","")</f>
        <v/>
      </c>
      <c r="X161" s="1655"/>
      <c r="Y161" s="892" t="str">
        <f>IF(AND(E161="No",X161=""),"Estimated $?   ","")</f>
        <v/>
      </c>
      <c r="Z161" s="1707"/>
      <c r="AA161" s="892" t="str">
        <f t="shared" si="26"/>
        <v/>
      </c>
      <c r="AB161" s="1026" t="str">
        <f>IF(E161="","",IF(OR($X161="",$Z161=""),"missing info.",$X161*VLOOKUP($Z161,Inflate,$BF161+1,FALSE)))</f>
        <v/>
      </c>
      <c r="AC161" s="1622"/>
      <c r="AD161" s="1026" t="str">
        <f>IF(E161="","",IF(J161="","missing info.",IF(AB161="missing info.","missing info.",AB161/J161)))</f>
        <v/>
      </c>
      <c r="AE161" s="839"/>
      <c r="AF161" s="1708"/>
      <c r="AG161" s="896"/>
      <c r="AH161" s="894"/>
      <c r="AI161" s="894" t="b">
        <f>IF(AND(C163&lt;&gt;"",C161=""),TRUE,FALSE)</f>
        <v>0</v>
      </c>
      <c r="AJ161" s="902" t="b">
        <f>IF(AND(N161="",P161&lt;&gt;""),TRUE,FALSE)</f>
        <v>0</v>
      </c>
      <c r="AK161" s="720" t="str">
        <f>IF(AND(J161="",AF161="",Z161="",X161="",V161="",N161="",H161="",P161="",C161=""),"N/A",IF(AND(C161&lt;&gt;"",J161&lt;&gt;"",N161&lt;&gt;"",H161&lt;&gt;"",P161&lt;&gt;"",V161&lt;&gt;"",X161&lt;&gt;"",Z161&lt;&gt;""),"Yes","No"))</f>
        <v>N/A</v>
      </c>
      <c r="AL161" s="720" t="b">
        <f>IF(AND(C161="",E161="no"),TRUE,FALSE)</f>
        <v>0</v>
      </c>
      <c r="AM161" s="720" t="b">
        <f>IF(AND(E161="no",H161=""),TRUE,FALSE)</f>
        <v>0</v>
      </c>
      <c r="AN161" s="720" t="b">
        <f>IF(AND(E161="no",H161=""),TRUE,FALSE)</f>
        <v>0</v>
      </c>
      <c r="AO161" s="903" t="b">
        <f>IF($J161="",FALSE,IF($J161&lt;$BD161,TRUE,FALSE))</f>
        <v>0</v>
      </c>
      <c r="AP161" s="903" t="b">
        <f>IF($J161="",FALSE,IF($J161&gt;$BE161,TRUE,FALSE))</f>
        <v>0</v>
      </c>
      <c r="AQ161" s="903" t="b">
        <f>IF(AND(E161="no",N161=""),TRUE,FALSE)</f>
        <v>0</v>
      </c>
      <c r="AR161" s="903" t="b">
        <f>IF(AND(E161="no",P161=""),TRUE,FALSE)</f>
        <v>0</v>
      </c>
      <c r="AS161" s="903" t="b">
        <f>IF(P161="",FALSE,IF(P161&lt;BM161,TRUE,FALSE))</f>
        <v>0</v>
      </c>
      <c r="AT161" s="903" t="b">
        <f>IF(P161="",FALSE,IF(P161&gt;BaseYear,TRUE,FALSE))</f>
        <v>0</v>
      </c>
      <c r="AU161" s="903" t="b">
        <f>IF(AND(E161="no",V161=""),TRUE,FALSE)</f>
        <v>0</v>
      </c>
      <c r="AV161" s="903" t="b">
        <f>IF(V161="",FALSE,IF(OR(V161&gt;1,V161&lt;0),TRUE,FALSE))</f>
        <v>0</v>
      </c>
      <c r="AW161" s="903" t="b">
        <f>IF($N161="",FALSE,IF($N161&lt;$BK161,TRUE,FALSE))</f>
        <v>0</v>
      </c>
      <c r="AX161" s="903" t="b">
        <f>IF($N161="",FALSE,IF($N161&gt;$BL161,TRUE,FALSE))</f>
        <v>0</v>
      </c>
      <c r="AY161" s="889" t="b">
        <f>IF(AND(E161="no",X161=""),TRUE,FALSE)</f>
        <v>0</v>
      </c>
      <c r="AZ161" s="889" t="b">
        <f>IF(OR(AD161="missing info.",AD161=""),FALSE,IF(AD161&lt;BN161,TRUE,FALSE))</f>
        <v>0</v>
      </c>
      <c r="BA161" s="890" t="b">
        <f>IF(OR(AD161="missing info.",AD161=""),FALSE,IF(AD161&gt;BO161,TRUE,FALSE))</f>
        <v>0</v>
      </c>
      <c r="BB161" s="890" t="b">
        <f>IF(AND(E161="no",Z161=""),TRUE,FALSE)</f>
        <v>0</v>
      </c>
      <c r="BC161" s="894" t="b">
        <f>IF(Z161="",FALSE,IF(OR(Z161&gt;BaseYear,Z161&lt;BM161),TRUE,FALSE))</f>
        <v>0</v>
      </c>
      <c r="BD161" s="897" t="str">
        <f>IFERROR(VLOOKUP(H161,Valid!$B$94:$N$96,3,FALSE), "")</f>
        <v/>
      </c>
      <c r="BE161" s="898" t="str">
        <f>IFERROR(VLOOKUP(H161,Valid!$B$94:$N$96,4,FALSE), "")</f>
        <v/>
      </c>
      <c r="BF161" s="897" t="str">
        <f t="shared" si="23"/>
        <v/>
      </c>
      <c r="BG161" s="897" t="str">
        <f t="shared" ca="1" si="24"/>
        <v/>
      </c>
      <c r="BH161" s="1860">
        <f>N161</f>
        <v>0</v>
      </c>
      <c r="BI161" s="1547" t="str">
        <f t="shared" ca="1" si="25"/>
        <v/>
      </c>
      <c r="BJ161" s="898" t="str">
        <f ca="1">IF(BI161="", "", IF(1+(BI161*4)&lt;1, 1, 1+(BI161*4)))</f>
        <v/>
      </c>
      <c r="BK161" s="898" t="str">
        <f t="shared" si="27"/>
        <v/>
      </c>
      <c r="BL161" s="898" t="str">
        <f t="shared" si="27"/>
        <v/>
      </c>
      <c r="BM161" s="1710" t="str">
        <f t="shared" si="27"/>
        <v/>
      </c>
      <c r="BN161" s="1205" t="str">
        <f>IFERROR(VLOOKUP(H161,Valid!$B$94:$N$96,12,FALSE), "")</f>
        <v/>
      </c>
      <c r="BO161" s="1205" t="str">
        <f>IFERROR(VLOOKUP(H161,Valid!$B$94:$N$96,13,FALSE), "")</f>
        <v/>
      </c>
      <c r="BP161" s="894"/>
      <c r="BQ161" s="894"/>
    </row>
    <row r="162" spans="1:69" s="894" customFormat="1" ht="6.75" customHeight="1" thickBot="1" x14ac:dyDescent="0.25">
      <c r="A162" s="1516"/>
      <c r="B162" s="1530">
        <v>75.5</v>
      </c>
      <c r="C162" s="1471"/>
      <c r="D162" s="1541"/>
      <c r="E162" s="1057"/>
      <c r="F162" s="170"/>
      <c r="G162" s="170"/>
      <c r="H162" s="170"/>
      <c r="I162" s="170"/>
      <c r="J162" s="170"/>
      <c r="K162" s="170"/>
      <c r="L162" s="1031"/>
      <c r="M162" s="170"/>
      <c r="N162" s="1031"/>
      <c r="O162" s="892"/>
      <c r="P162" s="836"/>
      <c r="Q162" s="1709"/>
      <c r="R162" s="1806"/>
      <c r="S162" s="1709"/>
      <c r="T162" s="1962"/>
      <c r="U162" s="1709"/>
      <c r="V162" s="1806"/>
      <c r="W162" s="1709"/>
      <c r="X162" s="1027"/>
      <c r="Y162" s="892"/>
      <c r="Z162" s="893"/>
      <c r="AA162" s="892" t="str">
        <f t="shared" si="26"/>
        <v/>
      </c>
      <c r="AB162" s="1030"/>
      <c r="AC162" s="1622"/>
      <c r="AD162" s="1030"/>
      <c r="AF162" s="895"/>
      <c r="AG162" s="896"/>
      <c r="AJ162" s="900"/>
      <c r="AK162" s="1624"/>
      <c r="AO162" s="1152"/>
      <c r="AP162" s="1152"/>
      <c r="AQ162" s="1152"/>
      <c r="AR162" s="1152"/>
      <c r="AS162" s="1152"/>
      <c r="AT162" s="1152"/>
      <c r="AU162" s="1152"/>
      <c r="AV162" s="1152"/>
      <c r="AW162" s="1152"/>
      <c r="AX162" s="1152"/>
      <c r="AY162" s="1448"/>
      <c r="AZ162" s="1448"/>
      <c r="BA162" s="846"/>
      <c r="BB162" s="846"/>
      <c r="BD162" s="897" t="str">
        <f>IFERROR(VLOOKUP(H162,Valid!$B$94:$N$96,3,FALSE), "")</f>
        <v/>
      </c>
      <c r="BE162" s="898" t="str">
        <f>IFERROR(VLOOKUP(H162,Valid!$B$94:$N$96,4,FALSE), "")</f>
        <v/>
      </c>
      <c r="BF162" s="897" t="str">
        <f t="shared" si="23"/>
        <v/>
      </c>
      <c r="BG162" s="897" t="str">
        <f t="shared" ca="1" si="24"/>
        <v/>
      </c>
      <c r="BH162" s="1860" t="str">
        <f>IFERROR(VLOOKUP($H162,val_equip_assets,BH$4,FALSE), "")</f>
        <v/>
      </c>
      <c r="BI162" s="1547" t="str">
        <f t="shared" ca="1" si="25"/>
        <v/>
      </c>
      <c r="BJ162" s="898" t="str">
        <f ca="1">IF(BI162="", "", IF(BI162&lt;0.1, 5, IF(BI162&lt;0.25, 4, IF(BI162&lt;0.5, 3, IF(BI162&lt;0.75, 2, 1)))))</f>
        <v/>
      </c>
      <c r="BK162" s="898" t="str">
        <f t="shared" si="27"/>
        <v/>
      </c>
      <c r="BL162" s="898" t="str">
        <f t="shared" si="27"/>
        <v/>
      </c>
      <c r="BM162" s="1710" t="str">
        <f t="shared" si="27"/>
        <v/>
      </c>
      <c r="BN162" s="1205" t="str">
        <f>IFERROR(VLOOKUP(H162,Valid!$B$94:$N$96,12,FALSE), "")</f>
        <v/>
      </c>
      <c r="BO162" s="1205" t="str">
        <f>IFERROR(VLOOKUP(H162,Valid!$B$94:$N$96,13,FALSE), "")</f>
        <v/>
      </c>
    </row>
    <row r="163" spans="1:69" s="901" customFormat="1" x14ac:dyDescent="0.2">
      <c r="A163" s="206">
        <v>76</v>
      </c>
      <c r="B163" s="1530">
        <v>76</v>
      </c>
      <c r="C163" s="1703"/>
      <c r="D163" s="1248" t="str">
        <f>IF(C161="","",IF(C163="","Enter Service Fleet Description then Fill in columns "&amp;TEXT($H$2,0)&amp;" - "&amp;TEXT($Z$2,0)&amp;"                 ",""))</f>
        <v/>
      </c>
      <c r="E163" s="1245" t="str">
        <f>IF(AK163="N/A","",AK163)</f>
        <v/>
      </c>
      <c r="F163" s="170"/>
      <c r="G163" s="170"/>
      <c r="H163" s="1704"/>
      <c r="I163" s="1246" t="str">
        <f>IF(AND(E163="No",H163=""),"Select Type of Vehicle                        ","")</f>
        <v/>
      </c>
      <c r="J163" s="1247"/>
      <c r="K163" s="1246" t="str">
        <f>IF(AND(C163="No",H163=""),"Number of Vehicles?  ","")</f>
        <v/>
      </c>
      <c r="L163" s="1782" t="str">
        <f>IFERROR(VLOOKUP($H163,val_equip_assets,BH$4,FALSE), "")</f>
        <v/>
      </c>
      <c r="M163" s="1246"/>
      <c r="N163" s="1247"/>
      <c r="O163" s="892" t="str">
        <f>IF(H163="","",IF(AND(E163="No",N163=""),TEXT(BH163,0)&amp;" Years?   ",""))</f>
        <v/>
      </c>
      <c r="P163" s="1705"/>
      <c r="Q163" s="1706" t="str">
        <f>IF(AND(E163="No",P163=""),"Enter Manufact. Yr.     ","")</f>
        <v/>
      </c>
      <c r="R163" s="1952" t="str">
        <f ca="1">BI163</f>
        <v/>
      </c>
      <c r="S163" s="1706"/>
      <c r="T163" s="1963" t="str">
        <f ca="1">BJ163</f>
        <v/>
      </c>
      <c r="U163" s="1706"/>
      <c r="V163" s="1675"/>
      <c r="W163" s="892" t="str">
        <f>IF(AND(E163="No",V163=""),"% of Cap. Resp.    ","")</f>
        <v/>
      </c>
      <c r="X163" s="1655"/>
      <c r="Y163" s="892" t="str">
        <f>IF(AND(E163="No",X163=""),"Estimated $?   ","")</f>
        <v/>
      </c>
      <c r="Z163" s="1707"/>
      <c r="AA163" s="892" t="str">
        <f t="shared" si="26"/>
        <v/>
      </c>
      <c r="AB163" s="1026" t="str">
        <f>IF(E163="","",IF(OR($X163="",$Z163=""),"missing info.",$X163*VLOOKUP($Z163,Inflate,$BF163+1,FALSE)))</f>
        <v/>
      </c>
      <c r="AC163" s="1622"/>
      <c r="AD163" s="1026" t="str">
        <f>IF(E163="","",IF(J163="","missing info.",IF(AB163="missing info.","missing info.",AB163/J163)))</f>
        <v/>
      </c>
      <c r="AE163" s="839"/>
      <c r="AF163" s="1708"/>
      <c r="AG163" s="896"/>
      <c r="AH163" s="894"/>
      <c r="AI163" s="894" t="b">
        <f>IF(AND(C165&lt;&gt;"",C163=""),TRUE,FALSE)</f>
        <v>0</v>
      </c>
      <c r="AJ163" s="902" t="b">
        <f>IF(AND(N163="",P163&lt;&gt;""),TRUE,FALSE)</f>
        <v>0</v>
      </c>
      <c r="AK163" s="720" t="str">
        <f>IF(AND(J163="",AF163="",Z163="",X163="",V163="",N163="",H163="",P163="",C163=""),"N/A",IF(AND(C163&lt;&gt;"",J163&lt;&gt;"",N163&lt;&gt;"",H163&lt;&gt;"",P163&lt;&gt;"",V163&lt;&gt;"",X163&lt;&gt;"",Z163&lt;&gt;""),"Yes","No"))</f>
        <v>N/A</v>
      </c>
      <c r="AL163" s="720" t="b">
        <f>IF(AND(C163="",E163="no"),TRUE,FALSE)</f>
        <v>0</v>
      </c>
      <c r="AM163" s="720" t="b">
        <f>IF(AND(E163="no",H163=""),TRUE,FALSE)</f>
        <v>0</v>
      </c>
      <c r="AN163" s="720" t="b">
        <f>IF(AND(E163="no",H163=""),TRUE,FALSE)</f>
        <v>0</v>
      </c>
      <c r="AO163" s="903" t="b">
        <f>IF($J163="",FALSE,IF($J163&lt;$BD163,TRUE,FALSE))</f>
        <v>0</v>
      </c>
      <c r="AP163" s="903" t="b">
        <f>IF($J163="",FALSE,IF($J163&gt;$BE163,TRUE,FALSE))</f>
        <v>0</v>
      </c>
      <c r="AQ163" s="903" t="b">
        <f>IF(AND(E163="no",N163=""),TRUE,FALSE)</f>
        <v>0</v>
      </c>
      <c r="AR163" s="903" t="b">
        <f>IF(AND(E163="no",P163=""),TRUE,FALSE)</f>
        <v>0</v>
      </c>
      <c r="AS163" s="903" t="b">
        <f>IF(P163="",FALSE,IF(P163&lt;BM163,TRUE,FALSE))</f>
        <v>0</v>
      </c>
      <c r="AT163" s="903" t="b">
        <f>IF(P163="",FALSE,IF(P163&gt;BaseYear,TRUE,FALSE))</f>
        <v>0</v>
      </c>
      <c r="AU163" s="903" t="b">
        <f>IF(AND(E163="no",V163=""),TRUE,FALSE)</f>
        <v>0</v>
      </c>
      <c r="AV163" s="903" t="b">
        <f>IF(V163="",FALSE,IF(OR(V163&gt;1,V163&lt;0),TRUE,FALSE))</f>
        <v>0</v>
      </c>
      <c r="AW163" s="903" t="b">
        <f>IF($N163="",FALSE,IF($N163&lt;$BK163,TRUE,FALSE))</f>
        <v>0</v>
      </c>
      <c r="AX163" s="903" t="b">
        <f>IF($N163="",FALSE,IF($N163&gt;$BL163,TRUE,FALSE))</f>
        <v>0</v>
      </c>
      <c r="AY163" s="889" t="b">
        <f>IF(AND(E163="no",X163=""),TRUE,FALSE)</f>
        <v>0</v>
      </c>
      <c r="AZ163" s="889" t="b">
        <f>IF(OR(AD163="missing info.",AD163=""),FALSE,IF(AD163&lt;BN163,TRUE,FALSE))</f>
        <v>0</v>
      </c>
      <c r="BA163" s="890" t="b">
        <f>IF(OR(AD163="missing info.",AD163=""),FALSE,IF(AD163&gt;BO163,TRUE,FALSE))</f>
        <v>0</v>
      </c>
      <c r="BB163" s="890" t="b">
        <f>IF(AND(E163="no",Z163=""),TRUE,FALSE)</f>
        <v>0</v>
      </c>
      <c r="BC163" s="894" t="b">
        <f>IF(Z163="",FALSE,IF(OR(Z163&gt;BaseYear,Z163&lt;BM163),TRUE,FALSE))</f>
        <v>0</v>
      </c>
      <c r="BD163" s="897" t="str">
        <f>IFERROR(VLOOKUP(H163,Valid!$B$94:$N$96,3,FALSE), "")</f>
        <v/>
      </c>
      <c r="BE163" s="898" t="str">
        <f>IFERROR(VLOOKUP(H163,Valid!$B$94:$N$96,4,FALSE), "")</f>
        <v/>
      </c>
      <c r="BF163" s="897" t="str">
        <f t="shared" si="23"/>
        <v/>
      </c>
      <c r="BG163" s="897" t="str">
        <f t="shared" ca="1" si="24"/>
        <v/>
      </c>
      <c r="BH163" s="1860">
        <f>N163</f>
        <v>0</v>
      </c>
      <c r="BI163" s="1547" t="str">
        <f t="shared" ca="1" si="25"/>
        <v/>
      </c>
      <c r="BJ163" s="898" t="str">
        <f ca="1">IF(BI163="", "", IF(1+(BI163*4)&lt;1, 1, 1+(BI163*4)))</f>
        <v/>
      </c>
      <c r="BK163" s="898" t="str">
        <f t="shared" si="27"/>
        <v/>
      </c>
      <c r="BL163" s="898" t="str">
        <f t="shared" si="27"/>
        <v/>
      </c>
      <c r="BM163" s="1710" t="str">
        <f t="shared" si="27"/>
        <v/>
      </c>
      <c r="BN163" s="1205" t="str">
        <f>IFERROR(VLOOKUP(H163,Valid!$B$94:$N$96,12,FALSE), "")</f>
        <v/>
      </c>
      <c r="BO163" s="1205" t="str">
        <f>IFERROR(VLOOKUP(H163,Valid!$B$94:$N$96,13,FALSE), "")</f>
        <v/>
      </c>
      <c r="BP163" s="894"/>
      <c r="BQ163" s="894"/>
    </row>
    <row r="164" spans="1:69" s="894" customFormat="1" ht="6.75" customHeight="1" thickBot="1" x14ac:dyDescent="0.25">
      <c r="A164" s="1516"/>
      <c r="B164" s="1530">
        <v>76.5</v>
      </c>
      <c r="C164" s="1471"/>
      <c r="D164" s="1541"/>
      <c r="E164" s="1057"/>
      <c r="F164" s="170"/>
      <c r="G164" s="170"/>
      <c r="H164" s="170"/>
      <c r="I164" s="170"/>
      <c r="J164" s="170"/>
      <c r="K164" s="170"/>
      <c r="L164" s="1031"/>
      <c r="M164" s="170"/>
      <c r="N164" s="1031"/>
      <c r="O164" s="892"/>
      <c r="P164" s="836"/>
      <c r="Q164" s="1709"/>
      <c r="R164" s="1806"/>
      <c r="S164" s="1709"/>
      <c r="T164" s="1962"/>
      <c r="U164" s="1709"/>
      <c r="V164" s="1806"/>
      <c r="W164" s="1709"/>
      <c r="X164" s="1027"/>
      <c r="Y164" s="892"/>
      <c r="Z164" s="893"/>
      <c r="AA164" s="892" t="str">
        <f t="shared" si="26"/>
        <v/>
      </c>
      <c r="AB164" s="1030"/>
      <c r="AC164" s="1622"/>
      <c r="AD164" s="1030"/>
      <c r="AF164" s="895"/>
      <c r="AG164" s="896"/>
      <c r="AJ164" s="900"/>
      <c r="AK164" s="1624"/>
      <c r="AO164" s="1152"/>
      <c r="AP164" s="1152"/>
      <c r="AQ164" s="1152"/>
      <c r="AR164" s="1152"/>
      <c r="AS164" s="1152"/>
      <c r="AT164" s="1152"/>
      <c r="AU164" s="1152"/>
      <c r="AV164" s="1152"/>
      <c r="AW164" s="1152"/>
      <c r="AX164" s="1152"/>
      <c r="AY164" s="1448"/>
      <c r="AZ164" s="1448"/>
      <c r="BA164" s="846"/>
      <c r="BB164" s="846"/>
      <c r="BD164" s="897" t="str">
        <f>IFERROR(VLOOKUP(H164,Valid!$B$94:$N$96,3,FALSE), "")</f>
        <v/>
      </c>
      <c r="BE164" s="898" t="str">
        <f>IFERROR(VLOOKUP(H164,Valid!$B$94:$N$96,4,FALSE), "")</f>
        <v/>
      </c>
      <c r="BF164" s="897" t="str">
        <f t="shared" si="23"/>
        <v/>
      </c>
      <c r="BG164" s="897" t="str">
        <f t="shared" ca="1" si="24"/>
        <v/>
      </c>
      <c r="BH164" s="1860" t="str">
        <f>IFERROR(VLOOKUP($H164,val_equip_assets,BH$4,FALSE), "")</f>
        <v/>
      </c>
      <c r="BI164" s="1547" t="str">
        <f t="shared" ca="1" si="25"/>
        <v/>
      </c>
      <c r="BJ164" s="898" t="str">
        <f ca="1">IF(BI164="", "", IF(BI164&lt;0.1, 5, IF(BI164&lt;0.25, 4, IF(BI164&lt;0.5, 3, IF(BI164&lt;0.75, 2, 1)))))</f>
        <v/>
      </c>
      <c r="BK164" s="898" t="str">
        <f t="shared" si="27"/>
        <v/>
      </c>
      <c r="BL164" s="898" t="str">
        <f t="shared" si="27"/>
        <v/>
      </c>
      <c r="BM164" s="1710" t="str">
        <f t="shared" si="27"/>
        <v/>
      </c>
      <c r="BN164" s="1205" t="str">
        <f>IFERROR(VLOOKUP(H164,Valid!$B$94:$N$96,12,FALSE), "")</f>
        <v/>
      </c>
      <c r="BO164" s="1205" t="str">
        <f>IFERROR(VLOOKUP(H164,Valid!$B$94:$N$96,13,FALSE), "")</f>
        <v/>
      </c>
    </row>
    <row r="165" spans="1:69" s="901" customFormat="1" x14ac:dyDescent="0.2">
      <c r="A165" s="206">
        <v>77</v>
      </c>
      <c r="B165" s="1530">
        <v>77</v>
      </c>
      <c r="C165" s="1703"/>
      <c r="D165" s="1248" t="str">
        <f>IF(C163="","",IF(C165="","Enter Service Fleet Description then Fill in columns "&amp;TEXT($H$2,0)&amp;" - "&amp;TEXT($Z$2,0)&amp;"                 ",""))</f>
        <v/>
      </c>
      <c r="E165" s="1245" t="str">
        <f>IF(AK165="N/A","",AK165)</f>
        <v/>
      </c>
      <c r="F165" s="170"/>
      <c r="G165" s="170"/>
      <c r="H165" s="1704"/>
      <c r="I165" s="1246" t="str">
        <f>IF(AND(E165="No",H165=""),"Select Type of Vehicle                        ","")</f>
        <v/>
      </c>
      <c r="J165" s="1247"/>
      <c r="K165" s="1246" t="str">
        <f>IF(AND(C165="No",H165=""),"Number of Vehicles?  ","")</f>
        <v/>
      </c>
      <c r="L165" s="1782" t="str">
        <f>IFERROR(VLOOKUP($H165,val_equip_assets,BH$4,FALSE), "")</f>
        <v/>
      </c>
      <c r="M165" s="1246"/>
      <c r="N165" s="1247"/>
      <c r="O165" s="892" t="str">
        <f>IF(H165="","",IF(AND(E165="No",N165=""),TEXT(BH165,0)&amp;" Years?   ",""))</f>
        <v/>
      </c>
      <c r="P165" s="1705"/>
      <c r="Q165" s="1706" t="str">
        <f>IF(AND(E165="No",P165=""),"Enter Manufact. Yr.     ","")</f>
        <v/>
      </c>
      <c r="R165" s="1952" t="str">
        <f ca="1">BI165</f>
        <v/>
      </c>
      <c r="S165" s="1706"/>
      <c r="T165" s="1963" t="str">
        <f ca="1">BJ165</f>
        <v/>
      </c>
      <c r="U165" s="1706"/>
      <c r="V165" s="1675"/>
      <c r="W165" s="892" t="str">
        <f>IF(AND(E165="No",V165=""),"% of Cap. Resp.    ","")</f>
        <v/>
      </c>
      <c r="X165" s="1655"/>
      <c r="Y165" s="892" t="str">
        <f>IF(AND(E165="No",X165=""),"Estimated $?   ","")</f>
        <v/>
      </c>
      <c r="Z165" s="1707"/>
      <c r="AA165" s="892" t="str">
        <f t="shared" si="26"/>
        <v/>
      </c>
      <c r="AB165" s="1026" t="str">
        <f>IF(E165="","",IF(OR($X165="",$Z165=""),"missing info.",$X165*VLOOKUP($Z165,Inflate,$BF165+1,FALSE)))</f>
        <v/>
      </c>
      <c r="AC165" s="1622"/>
      <c r="AD165" s="1026" t="str">
        <f>IF(E165="","",IF(J165="","missing info.",IF(AB165="missing info.","missing info.",AB165/J165)))</f>
        <v/>
      </c>
      <c r="AE165" s="839"/>
      <c r="AF165" s="1708"/>
      <c r="AG165" s="896"/>
      <c r="AH165" s="894"/>
      <c r="AI165" s="894" t="b">
        <f>IF(AND(C167&lt;&gt;"",C165=""),TRUE,FALSE)</f>
        <v>0</v>
      </c>
      <c r="AJ165" s="902" t="b">
        <f>IF(AND(N165="",P165&lt;&gt;""),TRUE,FALSE)</f>
        <v>0</v>
      </c>
      <c r="AK165" s="720" t="str">
        <f>IF(AND(J165="",AF165="",Z165="",X165="",V165="",N165="",H165="",P165="",C165=""),"N/A",IF(AND(C165&lt;&gt;"",J165&lt;&gt;"",N165&lt;&gt;"",H165&lt;&gt;"",P165&lt;&gt;"",V165&lt;&gt;"",X165&lt;&gt;"",Z165&lt;&gt;""),"Yes","No"))</f>
        <v>N/A</v>
      </c>
      <c r="AL165" s="720" t="b">
        <f>IF(AND(C165="",E165="no"),TRUE,FALSE)</f>
        <v>0</v>
      </c>
      <c r="AM165" s="720" t="b">
        <f>IF(AND(E165="no",H165=""),TRUE,FALSE)</f>
        <v>0</v>
      </c>
      <c r="AN165" s="720" t="b">
        <f>IF(AND(E165="no",H165=""),TRUE,FALSE)</f>
        <v>0</v>
      </c>
      <c r="AO165" s="903" t="b">
        <f>IF($J165="",FALSE,IF($J165&lt;$BD165,TRUE,FALSE))</f>
        <v>0</v>
      </c>
      <c r="AP165" s="903" t="b">
        <f>IF($J165="",FALSE,IF($J165&gt;$BE165,TRUE,FALSE))</f>
        <v>0</v>
      </c>
      <c r="AQ165" s="903" t="b">
        <f>IF(AND(E165="no",N165=""),TRUE,FALSE)</f>
        <v>0</v>
      </c>
      <c r="AR165" s="903" t="b">
        <f>IF(AND(E165="no",P165=""),TRUE,FALSE)</f>
        <v>0</v>
      </c>
      <c r="AS165" s="903" t="b">
        <f>IF(P165="",FALSE,IF(P165&lt;BM165,TRUE,FALSE))</f>
        <v>0</v>
      </c>
      <c r="AT165" s="903" t="b">
        <f>IF(P165="",FALSE,IF(P165&gt;BaseYear,TRUE,FALSE))</f>
        <v>0</v>
      </c>
      <c r="AU165" s="903" t="b">
        <f>IF(AND(E165="no",V165=""),TRUE,FALSE)</f>
        <v>0</v>
      </c>
      <c r="AV165" s="903" t="b">
        <f>IF(V165="",FALSE,IF(OR(V165&gt;1,V165&lt;0),TRUE,FALSE))</f>
        <v>0</v>
      </c>
      <c r="AW165" s="903" t="b">
        <f>IF($N165="",FALSE,IF($N165&lt;$BK165,TRUE,FALSE))</f>
        <v>0</v>
      </c>
      <c r="AX165" s="903" t="b">
        <f>IF($N165="",FALSE,IF($N165&gt;$BL165,TRUE,FALSE))</f>
        <v>0</v>
      </c>
      <c r="AY165" s="889" t="b">
        <f>IF(AND(E165="no",X165=""),TRUE,FALSE)</f>
        <v>0</v>
      </c>
      <c r="AZ165" s="889" t="b">
        <f>IF(OR(AD165="missing info.",AD165=""),FALSE,IF(AD165&lt;BN165,TRUE,FALSE))</f>
        <v>0</v>
      </c>
      <c r="BA165" s="890" t="b">
        <f>IF(OR(AD165="missing info.",AD165=""),FALSE,IF(AD165&gt;BO165,TRUE,FALSE))</f>
        <v>0</v>
      </c>
      <c r="BB165" s="890" t="b">
        <f>IF(AND(E165="no",Z165=""),TRUE,FALSE)</f>
        <v>0</v>
      </c>
      <c r="BC165" s="894" t="b">
        <f>IF(Z165="",FALSE,IF(OR(Z165&gt;BaseYear,Z165&lt;BM165),TRUE,FALSE))</f>
        <v>0</v>
      </c>
      <c r="BD165" s="897" t="str">
        <f>IFERROR(VLOOKUP(H165,Valid!$B$94:$N$96,3,FALSE), "")</f>
        <v/>
      </c>
      <c r="BE165" s="898" t="str">
        <f>IFERROR(VLOOKUP(H165,Valid!$B$94:$N$96,4,FALSE), "")</f>
        <v/>
      </c>
      <c r="BF165" s="897" t="str">
        <f t="shared" si="23"/>
        <v/>
      </c>
      <c r="BG165" s="897" t="str">
        <f t="shared" ca="1" si="24"/>
        <v/>
      </c>
      <c r="BH165" s="1860">
        <f>N165</f>
        <v>0</v>
      </c>
      <c r="BI165" s="1547" t="str">
        <f t="shared" ca="1" si="25"/>
        <v/>
      </c>
      <c r="BJ165" s="898" t="str">
        <f ca="1">IF(BI165="", "", IF(1+(BI165*4)&lt;1, 1, 1+(BI165*4)))</f>
        <v/>
      </c>
      <c r="BK165" s="898" t="str">
        <f t="shared" si="27"/>
        <v/>
      </c>
      <c r="BL165" s="898" t="str">
        <f t="shared" si="27"/>
        <v/>
      </c>
      <c r="BM165" s="1710" t="str">
        <f t="shared" si="27"/>
        <v/>
      </c>
      <c r="BN165" s="1205" t="str">
        <f>IFERROR(VLOOKUP(H165,Valid!$B$94:$N$96,12,FALSE), "")</f>
        <v/>
      </c>
      <c r="BO165" s="1205" t="str">
        <f>IFERROR(VLOOKUP(H165,Valid!$B$94:$N$96,13,FALSE), "")</f>
        <v/>
      </c>
      <c r="BP165" s="894"/>
      <c r="BQ165" s="894"/>
    </row>
    <row r="166" spans="1:69" s="894" customFormat="1" ht="6.75" customHeight="1" thickBot="1" x14ac:dyDescent="0.25">
      <c r="A166" s="1516"/>
      <c r="B166" s="1530">
        <v>77.5</v>
      </c>
      <c r="C166" s="1471"/>
      <c r="D166" s="1541"/>
      <c r="E166" s="1057"/>
      <c r="F166" s="170"/>
      <c r="G166" s="170"/>
      <c r="H166" s="170"/>
      <c r="I166" s="170"/>
      <c r="J166" s="170"/>
      <c r="K166" s="170"/>
      <c r="L166" s="1031"/>
      <c r="M166" s="170"/>
      <c r="N166" s="1031"/>
      <c r="O166" s="892"/>
      <c r="P166" s="836"/>
      <c r="Q166" s="1709"/>
      <c r="R166" s="1806"/>
      <c r="S166" s="1709"/>
      <c r="T166" s="1962"/>
      <c r="U166" s="1709"/>
      <c r="V166" s="1806"/>
      <c r="W166" s="1709"/>
      <c r="X166" s="1027"/>
      <c r="Y166" s="892"/>
      <c r="Z166" s="893"/>
      <c r="AA166" s="892" t="str">
        <f t="shared" si="26"/>
        <v/>
      </c>
      <c r="AB166" s="1030"/>
      <c r="AC166" s="1622"/>
      <c r="AD166" s="1030"/>
      <c r="AF166" s="895"/>
      <c r="AG166" s="896"/>
      <c r="AJ166" s="900"/>
      <c r="AK166" s="1624"/>
      <c r="AO166" s="1152"/>
      <c r="AP166" s="1152"/>
      <c r="AQ166" s="1152"/>
      <c r="AR166" s="1152"/>
      <c r="AS166" s="1152"/>
      <c r="AT166" s="1152"/>
      <c r="AU166" s="1152"/>
      <c r="AV166" s="1152"/>
      <c r="AW166" s="1152"/>
      <c r="AX166" s="1152"/>
      <c r="AY166" s="1448"/>
      <c r="AZ166" s="1448"/>
      <c r="BA166" s="846"/>
      <c r="BB166" s="846"/>
      <c r="BD166" s="897" t="str">
        <f>IFERROR(VLOOKUP(H166,Valid!$B$94:$N$96,3,FALSE), "")</f>
        <v/>
      </c>
      <c r="BE166" s="898" t="str">
        <f>IFERROR(VLOOKUP(H166,Valid!$B$94:$N$96,4,FALSE), "")</f>
        <v/>
      </c>
      <c r="BF166" s="897" t="str">
        <f t="shared" si="23"/>
        <v/>
      </c>
      <c r="BG166" s="897" t="str">
        <f t="shared" ca="1" si="24"/>
        <v/>
      </c>
      <c r="BH166" s="1860" t="str">
        <f>IFERROR(VLOOKUP($H166,val_equip_assets,BH$4,FALSE), "")</f>
        <v/>
      </c>
      <c r="BI166" s="1547" t="str">
        <f t="shared" ca="1" si="25"/>
        <v/>
      </c>
      <c r="BJ166" s="898" t="str">
        <f ca="1">IF(BI166="", "", IF(BI166&lt;0.1, 5, IF(BI166&lt;0.25, 4, IF(BI166&lt;0.5, 3, IF(BI166&lt;0.75, 2, 1)))))</f>
        <v/>
      </c>
      <c r="BK166" s="898" t="str">
        <f t="shared" si="27"/>
        <v/>
      </c>
      <c r="BL166" s="898" t="str">
        <f t="shared" si="27"/>
        <v/>
      </c>
      <c r="BM166" s="1710" t="str">
        <f t="shared" si="27"/>
        <v/>
      </c>
      <c r="BN166" s="1205" t="str">
        <f>IFERROR(VLOOKUP(H166,Valid!$B$94:$N$96,12,FALSE), "")</f>
        <v/>
      </c>
      <c r="BO166" s="1205" t="str">
        <f>IFERROR(VLOOKUP(H166,Valid!$B$94:$N$96,13,FALSE), "")</f>
        <v/>
      </c>
    </row>
    <row r="167" spans="1:69" s="901" customFormat="1" x14ac:dyDescent="0.2">
      <c r="A167" s="206">
        <v>78</v>
      </c>
      <c r="B167" s="1530">
        <v>78</v>
      </c>
      <c r="C167" s="1703"/>
      <c r="D167" s="1248" t="str">
        <f>IF(C165="","",IF(C167="","Enter Service Fleet Description then Fill in columns "&amp;TEXT($H$2,0)&amp;" - "&amp;TEXT($Z$2,0)&amp;"                 ",""))</f>
        <v/>
      </c>
      <c r="E167" s="1245" t="str">
        <f>IF(AK167="N/A","",AK167)</f>
        <v/>
      </c>
      <c r="F167" s="170"/>
      <c r="G167" s="170"/>
      <c r="H167" s="1704"/>
      <c r="I167" s="1246" t="str">
        <f>IF(AND(E167="No",H167=""),"Select Type of Vehicle                        ","")</f>
        <v/>
      </c>
      <c r="J167" s="1247"/>
      <c r="K167" s="1246" t="str">
        <f>IF(AND(C167="No",H167=""),"Number of Vehicles?  ","")</f>
        <v/>
      </c>
      <c r="L167" s="1782" t="str">
        <f>IFERROR(VLOOKUP($H167,val_equip_assets,BH$4,FALSE), "")</f>
        <v/>
      </c>
      <c r="M167" s="1246"/>
      <c r="N167" s="1247"/>
      <c r="O167" s="892" t="str">
        <f>IF(H167="","",IF(AND(E167="No",N167=""),TEXT(BH167,0)&amp;" Years?   ",""))</f>
        <v/>
      </c>
      <c r="P167" s="1705"/>
      <c r="Q167" s="1706" t="str">
        <f>IF(AND(E167="No",P167=""),"Enter Manufact. Yr.     ","")</f>
        <v/>
      </c>
      <c r="R167" s="1952" t="str">
        <f ca="1">BI167</f>
        <v/>
      </c>
      <c r="S167" s="1706"/>
      <c r="T167" s="1963" t="str">
        <f ca="1">BJ167</f>
        <v/>
      </c>
      <c r="U167" s="1706"/>
      <c r="V167" s="1675"/>
      <c r="W167" s="892" t="str">
        <f>IF(AND(E167="No",V167=""),"% of Cap. Resp.    ","")</f>
        <v/>
      </c>
      <c r="X167" s="1655"/>
      <c r="Y167" s="892" t="str">
        <f>IF(AND(E167="No",X167=""),"Estimated $?   ","")</f>
        <v/>
      </c>
      <c r="Z167" s="1707"/>
      <c r="AA167" s="892" t="str">
        <f t="shared" si="26"/>
        <v/>
      </c>
      <c r="AB167" s="1026" t="str">
        <f>IF(E167="","",IF(OR($X167="",$Z167=""),"missing info.",$X167*VLOOKUP($Z167,Inflate,$BF167+1,FALSE)))</f>
        <v/>
      </c>
      <c r="AC167" s="1622"/>
      <c r="AD167" s="1026" t="str">
        <f>IF(E167="","",IF(J167="","missing info.",IF(AB167="missing info.","missing info.",AB167/J167)))</f>
        <v/>
      </c>
      <c r="AE167" s="839"/>
      <c r="AF167" s="1708"/>
      <c r="AG167" s="896"/>
      <c r="AH167" s="894"/>
      <c r="AI167" s="894" t="b">
        <f>IF(AND(C169&lt;&gt;"",C167=""),TRUE,FALSE)</f>
        <v>0</v>
      </c>
      <c r="AJ167" s="902" t="b">
        <f>IF(AND(N167="",P167&lt;&gt;""),TRUE,FALSE)</f>
        <v>0</v>
      </c>
      <c r="AK167" s="720" t="str">
        <f>IF(AND(J167="",AF167="",Z167="",X167="",V167="",N167="",H167="",P167="",C167=""),"N/A",IF(AND(C167&lt;&gt;"",J167&lt;&gt;"",N167&lt;&gt;"",H167&lt;&gt;"",P167&lt;&gt;"",V167&lt;&gt;"",X167&lt;&gt;"",Z167&lt;&gt;""),"Yes","No"))</f>
        <v>N/A</v>
      </c>
      <c r="AL167" s="720" t="b">
        <f>IF(AND(C167="",E167="no"),TRUE,FALSE)</f>
        <v>0</v>
      </c>
      <c r="AM167" s="720" t="b">
        <f>IF(AND(E167="no",H167=""),TRUE,FALSE)</f>
        <v>0</v>
      </c>
      <c r="AN167" s="720" t="b">
        <f>IF(AND(E167="no",H167=""),TRUE,FALSE)</f>
        <v>0</v>
      </c>
      <c r="AO167" s="903" t="b">
        <f>IF($J167="",FALSE,IF($J167&lt;$BD167,TRUE,FALSE))</f>
        <v>0</v>
      </c>
      <c r="AP167" s="903" t="b">
        <f>IF($J167="",FALSE,IF($J167&gt;$BE167,TRUE,FALSE))</f>
        <v>0</v>
      </c>
      <c r="AQ167" s="903" t="b">
        <f>IF(AND(E167="no",N167=""),TRUE,FALSE)</f>
        <v>0</v>
      </c>
      <c r="AR167" s="903" t="b">
        <f>IF(AND(E167="no",P167=""),TRUE,FALSE)</f>
        <v>0</v>
      </c>
      <c r="AS167" s="903" t="b">
        <f>IF(P167="",FALSE,IF(P167&lt;BM167,TRUE,FALSE))</f>
        <v>0</v>
      </c>
      <c r="AT167" s="903" t="b">
        <f>IF(P167="",FALSE,IF(P167&gt;BaseYear,TRUE,FALSE))</f>
        <v>0</v>
      </c>
      <c r="AU167" s="903" t="b">
        <f>IF(AND(E167="no",V167=""),TRUE,FALSE)</f>
        <v>0</v>
      </c>
      <c r="AV167" s="903" t="b">
        <f>IF(V167="",FALSE,IF(OR(V167&gt;1,V167&lt;0),TRUE,FALSE))</f>
        <v>0</v>
      </c>
      <c r="AW167" s="903" t="b">
        <f>IF($N167="",FALSE,IF($N167&lt;$BK167,TRUE,FALSE))</f>
        <v>0</v>
      </c>
      <c r="AX167" s="903" t="b">
        <f>IF($N167="",FALSE,IF($N167&gt;$BL167,TRUE,FALSE))</f>
        <v>0</v>
      </c>
      <c r="AY167" s="889" t="b">
        <f>IF(AND(E167="no",X167=""),TRUE,FALSE)</f>
        <v>0</v>
      </c>
      <c r="AZ167" s="889" t="b">
        <f>IF(OR(AD167="missing info.",AD167=""),FALSE,IF(AD167&lt;BN167,TRUE,FALSE))</f>
        <v>0</v>
      </c>
      <c r="BA167" s="890" t="b">
        <f>IF(OR(AD167="missing info.",AD167=""),FALSE,IF(AD167&gt;BO167,TRUE,FALSE))</f>
        <v>0</v>
      </c>
      <c r="BB167" s="890" t="b">
        <f>IF(AND(E167="no",Z167=""),TRUE,FALSE)</f>
        <v>0</v>
      </c>
      <c r="BC167" s="894" t="b">
        <f>IF(Z167="",FALSE,IF(OR(Z167&gt;BaseYear,Z167&lt;BM167),TRUE,FALSE))</f>
        <v>0</v>
      </c>
      <c r="BD167" s="897" t="str">
        <f>IFERROR(VLOOKUP(H167,Valid!$B$94:$N$96,3,FALSE), "")</f>
        <v/>
      </c>
      <c r="BE167" s="898" t="str">
        <f>IFERROR(VLOOKUP(H167,Valid!$B$94:$N$96,4,FALSE), "")</f>
        <v/>
      </c>
      <c r="BF167" s="897" t="str">
        <f t="shared" si="23"/>
        <v/>
      </c>
      <c r="BG167" s="897" t="str">
        <f t="shared" ca="1" si="24"/>
        <v/>
      </c>
      <c r="BH167" s="1860">
        <f>N167</f>
        <v>0</v>
      </c>
      <c r="BI167" s="1547" t="str">
        <f t="shared" ca="1" si="25"/>
        <v/>
      </c>
      <c r="BJ167" s="898" t="str">
        <f ca="1">IF(BI167="", "", IF(1+(BI167*4)&lt;1, 1, 1+(BI167*4)))</f>
        <v/>
      </c>
      <c r="BK167" s="898" t="str">
        <f t="shared" si="27"/>
        <v/>
      </c>
      <c r="BL167" s="898" t="str">
        <f t="shared" si="27"/>
        <v/>
      </c>
      <c r="BM167" s="1710" t="str">
        <f t="shared" si="27"/>
        <v/>
      </c>
      <c r="BN167" s="1205" t="str">
        <f>IFERROR(VLOOKUP(H167,Valid!$B$94:$N$96,12,FALSE), "")</f>
        <v/>
      </c>
      <c r="BO167" s="1205" t="str">
        <f>IFERROR(VLOOKUP(H167,Valid!$B$94:$N$96,13,FALSE), "")</f>
        <v/>
      </c>
      <c r="BP167" s="894"/>
      <c r="BQ167" s="894"/>
    </row>
    <row r="168" spans="1:69" s="894" customFormat="1" ht="6.75" customHeight="1" thickBot="1" x14ac:dyDescent="0.25">
      <c r="A168" s="1516"/>
      <c r="B168" s="1530">
        <v>78.5</v>
      </c>
      <c r="C168" s="1471"/>
      <c r="D168" s="1541"/>
      <c r="E168" s="1057"/>
      <c r="F168" s="170"/>
      <c r="G168" s="170"/>
      <c r="H168" s="170"/>
      <c r="I168" s="170"/>
      <c r="J168" s="170"/>
      <c r="K168" s="170"/>
      <c r="L168" s="1031"/>
      <c r="M168" s="170"/>
      <c r="N168" s="1031"/>
      <c r="O168" s="892"/>
      <c r="P168" s="836"/>
      <c r="Q168" s="1709"/>
      <c r="R168" s="1806"/>
      <c r="S168" s="1709"/>
      <c r="T168" s="1962"/>
      <c r="U168" s="1709"/>
      <c r="V168" s="1806"/>
      <c r="W168" s="1709"/>
      <c r="X168" s="1027"/>
      <c r="Y168" s="892"/>
      <c r="Z168" s="893"/>
      <c r="AA168" s="892" t="str">
        <f t="shared" si="26"/>
        <v/>
      </c>
      <c r="AB168" s="1030"/>
      <c r="AC168" s="1622"/>
      <c r="AD168" s="1030"/>
      <c r="AF168" s="895"/>
      <c r="AG168" s="896"/>
      <c r="AJ168" s="900"/>
      <c r="AK168" s="1624"/>
      <c r="AO168" s="1152"/>
      <c r="AP168" s="1152"/>
      <c r="AQ168" s="1152"/>
      <c r="AR168" s="1152"/>
      <c r="AS168" s="1152"/>
      <c r="AT168" s="1152"/>
      <c r="AU168" s="1152"/>
      <c r="AV168" s="1152"/>
      <c r="AW168" s="1152"/>
      <c r="AX168" s="1152"/>
      <c r="AY168" s="1448"/>
      <c r="AZ168" s="1448"/>
      <c r="BA168" s="846"/>
      <c r="BB168" s="846"/>
      <c r="BD168" s="897" t="str">
        <f>IFERROR(VLOOKUP(H168,Valid!$B$94:$N$96,3,FALSE), "")</f>
        <v/>
      </c>
      <c r="BE168" s="898" t="str">
        <f>IFERROR(VLOOKUP(H168,Valid!$B$94:$N$96,4,FALSE), "")</f>
        <v/>
      </c>
      <c r="BF168" s="897" t="str">
        <f t="shared" si="23"/>
        <v/>
      </c>
      <c r="BG168" s="897" t="str">
        <f t="shared" ca="1" si="24"/>
        <v/>
      </c>
      <c r="BH168" s="1860" t="str">
        <f>IFERROR(VLOOKUP($H168,val_equip_assets,BH$4,FALSE), "")</f>
        <v/>
      </c>
      <c r="BI168" s="1547" t="str">
        <f t="shared" ca="1" si="25"/>
        <v/>
      </c>
      <c r="BJ168" s="898" t="str">
        <f ca="1">IF(BI168="", "", IF(BI168&lt;0.1, 5, IF(BI168&lt;0.25, 4, IF(BI168&lt;0.5, 3, IF(BI168&lt;0.75, 2, 1)))))</f>
        <v/>
      </c>
      <c r="BK168" s="898" t="str">
        <f t="shared" si="27"/>
        <v/>
      </c>
      <c r="BL168" s="898" t="str">
        <f t="shared" si="27"/>
        <v/>
      </c>
      <c r="BM168" s="1710" t="str">
        <f t="shared" si="27"/>
        <v/>
      </c>
      <c r="BN168" s="1205" t="str">
        <f>IFERROR(VLOOKUP(H168,Valid!$B$94:$N$96,12,FALSE), "")</f>
        <v/>
      </c>
      <c r="BO168" s="1205" t="str">
        <f>IFERROR(VLOOKUP(H168,Valid!$B$94:$N$96,13,FALSE), "")</f>
        <v/>
      </c>
    </row>
    <row r="169" spans="1:69" s="901" customFormat="1" x14ac:dyDescent="0.2">
      <c r="A169" s="206">
        <v>79</v>
      </c>
      <c r="B169" s="1530">
        <v>79</v>
      </c>
      <c r="C169" s="1703"/>
      <c r="D169" s="1248" t="str">
        <f>IF(C167="","",IF(C169="","Enter Service Fleet Description then Fill in columns "&amp;TEXT($H$2,0)&amp;" - "&amp;TEXT($Z$2,0)&amp;"                 ",""))</f>
        <v/>
      </c>
      <c r="E169" s="1245" t="str">
        <f>IF(AK169="N/A","",AK169)</f>
        <v/>
      </c>
      <c r="F169" s="170"/>
      <c r="G169" s="170"/>
      <c r="H169" s="1704"/>
      <c r="I169" s="1246" t="str">
        <f>IF(AND(E169="No",H169=""),"Select Type of Vehicle                        ","")</f>
        <v/>
      </c>
      <c r="J169" s="1247"/>
      <c r="K169" s="1246" t="str">
        <f>IF(AND(C169="No",H169=""),"Number of Vehicles?  ","")</f>
        <v/>
      </c>
      <c r="L169" s="1782" t="str">
        <f>IFERROR(VLOOKUP($H169,val_equip_assets,BH$4,FALSE), "")</f>
        <v/>
      </c>
      <c r="M169" s="1246"/>
      <c r="N169" s="1247"/>
      <c r="O169" s="892" t="str">
        <f>IF(H169="","",IF(AND(E169="No",N169=""),TEXT(BH169,0)&amp;" Years?   ",""))</f>
        <v/>
      </c>
      <c r="P169" s="1705"/>
      <c r="Q169" s="1706" t="str">
        <f>IF(AND(E169="No",P169=""),"Enter Manufact. Yr.     ","")</f>
        <v/>
      </c>
      <c r="R169" s="1952" t="str">
        <f ca="1">BI169</f>
        <v/>
      </c>
      <c r="S169" s="1706"/>
      <c r="T169" s="1963" t="str">
        <f ca="1">BJ169</f>
        <v/>
      </c>
      <c r="U169" s="1706"/>
      <c r="V169" s="1675"/>
      <c r="W169" s="892" t="str">
        <f>IF(AND(E169="No",V169=""),"% of Cap. Resp.    ","")</f>
        <v/>
      </c>
      <c r="X169" s="1655"/>
      <c r="Y169" s="892" t="str">
        <f>IF(AND(E169="No",X169=""),"Estimated $?   ","")</f>
        <v/>
      </c>
      <c r="Z169" s="1707"/>
      <c r="AA169" s="892" t="str">
        <f t="shared" si="26"/>
        <v/>
      </c>
      <c r="AB169" s="1026" t="str">
        <f>IF(E169="","",IF(OR($X169="",$Z169=""),"missing info.",$X169*VLOOKUP($Z169,Inflate,$BF169+1,FALSE)))</f>
        <v/>
      </c>
      <c r="AC169" s="1622"/>
      <c r="AD169" s="1026" t="str">
        <f>IF(E169="","",IF(J169="","missing info.",IF(AB169="missing info.","missing info.",AB169/J169)))</f>
        <v/>
      </c>
      <c r="AE169" s="839"/>
      <c r="AF169" s="1708"/>
      <c r="AG169" s="896"/>
      <c r="AH169" s="894"/>
      <c r="AI169" s="894" t="b">
        <f>IF(AND(C171&lt;&gt;"",C169=""),TRUE,FALSE)</f>
        <v>0</v>
      </c>
      <c r="AJ169" s="902" t="b">
        <f>IF(AND(N169="",P169&lt;&gt;""),TRUE,FALSE)</f>
        <v>0</v>
      </c>
      <c r="AK169" s="720" t="str">
        <f>IF(AND(J169="",AF169="",Z169="",X169="",V169="",N169="",H169="",P169="",C169=""),"N/A",IF(AND(C169&lt;&gt;"",J169&lt;&gt;"",N169&lt;&gt;"",H169&lt;&gt;"",P169&lt;&gt;"",V169&lt;&gt;"",X169&lt;&gt;"",Z169&lt;&gt;""),"Yes","No"))</f>
        <v>N/A</v>
      </c>
      <c r="AL169" s="720" t="b">
        <f>IF(AND(C169="",E169="no"),TRUE,FALSE)</f>
        <v>0</v>
      </c>
      <c r="AM169" s="720" t="b">
        <f>IF(AND(E169="no",H169=""),TRUE,FALSE)</f>
        <v>0</v>
      </c>
      <c r="AN169" s="720" t="b">
        <f>IF(AND(E169="no",H169=""),TRUE,FALSE)</f>
        <v>0</v>
      </c>
      <c r="AO169" s="903" t="b">
        <f>IF($J169="",FALSE,IF($J169&lt;$BD169,TRUE,FALSE))</f>
        <v>0</v>
      </c>
      <c r="AP169" s="903" t="b">
        <f>IF($J169="",FALSE,IF($J169&gt;$BE169,TRUE,FALSE))</f>
        <v>0</v>
      </c>
      <c r="AQ169" s="903" t="b">
        <f>IF(AND(E169="no",N169=""),TRUE,FALSE)</f>
        <v>0</v>
      </c>
      <c r="AR169" s="903" t="b">
        <f>IF(AND(E169="no",P169=""),TRUE,FALSE)</f>
        <v>0</v>
      </c>
      <c r="AS169" s="903" t="b">
        <f>IF(P169="",FALSE,IF(P169&lt;BM169,TRUE,FALSE))</f>
        <v>0</v>
      </c>
      <c r="AT169" s="903" t="b">
        <f>IF(P169="",FALSE,IF(P169&gt;BaseYear,TRUE,FALSE))</f>
        <v>0</v>
      </c>
      <c r="AU169" s="903" t="b">
        <f>IF(AND(E169="no",V169=""),TRUE,FALSE)</f>
        <v>0</v>
      </c>
      <c r="AV169" s="903" t="b">
        <f>IF(V169="",FALSE,IF(OR(V169&gt;1,V169&lt;0),TRUE,FALSE))</f>
        <v>0</v>
      </c>
      <c r="AW169" s="903" t="b">
        <f>IF($N169="",FALSE,IF($N169&lt;$BK169,TRUE,FALSE))</f>
        <v>0</v>
      </c>
      <c r="AX169" s="903" t="b">
        <f>IF($N169="",FALSE,IF($N169&gt;$BL169,TRUE,FALSE))</f>
        <v>0</v>
      </c>
      <c r="AY169" s="889" t="b">
        <f>IF(AND(E169="no",X169=""),TRUE,FALSE)</f>
        <v>0</v>
      </c>
      <c r="AZ169" s="889" t="b">
        <f>IF(OR(AD169="missing info.",AD169=""),FALSE,IF(AD169&lt;BN169,TRUE,FALSE))</f>
        <v>0</v>
      </c>
      <c r="BA169" s="890" t="b">
        <f>IF(OR(AD169="missing info.",AD169=""),FALSE,IF(AD169&gt;BO169,TRUE,FALSE))</f>
        <v>0</v>
      </c>
      <c r="BB169" s="890" t="b">
        <f>IF(AND(E169="no",Z169=""),TRUE,FALSE)</f>
        <v>0</v>
      </c>
      <c r="BC169" s="894" t="b">
        <f>IF(Z169="",FALSE,IF(OR(Z169&gt;BaseYear,Z169&lt;BM169),TRUE,FALSE))</f>
        <v>0</v>
      </c>
      <c r="BD169" s="897" t="str">
        <f>IFERROR(VLOOKUP(H169,Valid!$B$94:$N$96,3,FALSE), "")</f>
        <v/>
      </c>
      <c r="BE169" s="898" t="str">
        <f>IFERROR(VLOOKUP(H169,Valid!$B$94:$N$96,4,FALSE), "")</f>
        <v/>
      </c>
      <c r="BF169" s="897" t="str">
        <f t="shared" si="23"/>
        <v/>
      </c>
      <c r="BG169" s="897" t="str">
        <f t="shared" ca="1" si="24"/>
        <v/>
      </c>
      <c r="BH169" s="1860">
        <f>N169</f>
        <v>0</v>
      </c>
      <c r="BI169" s="1547" t="str">
        <f t="shared" ca="1" si="25"/>
        <v/>
      </c>
      <c r="BJ169" s="898" t="str">
        <f ca="1">IF(BI169="", "", IF(1+(BI169*4)&lt;1, 1, 1+(BI169*4)))</f>
        <v/>
      </c>
      <c r="BK169" s="898" t="str">
        <f t="shared" si="27"/>
        <v/>
      </c>
      <c r="BL169" s="898" t="str">
        <f t="shared" si="27"/>
        <v/>
      </c>
      <c r="BM169" s="1710" t="str">
        <f t="shared" si="27"/>
        <v/>
      </c>
      <c r="BN169" s="1205" t="str">
        <f>IFERROR(VLOOKUP(H169,Valid!$B$94:$N$96,12,FALSE), "")</f>
        <v/>
      </c>
      <c r="BO169" s="1205" t="str">
        <f>IFERROR(VLOOKUP(H169,Valid!$B$94:$N$96,13,FALSE), "")</f>
        <v/>
      </c>
      <c r="BP169" s="894"/>
      <c r="BQ169" s="894"/>
    </row>
    <row r="170" spans="1:69" s="894" customFormat="1" ht="6.75" customHeight="1" thickBot="1" x14ac:dyDescent="0.25">
      <c r="A170" s="1516"/>
      <c r="B170" s="1530">
        <v>79.5</v>
      </c>
      <c r="C170" s="1471"/>
      <c r="D170" s="1541"/>
      <c r="E170" s="1057"/>
      <c r="F170" s="170"/>
      <c r="G170" s="170"/>
      <c r="H170" s="170"/>
      <c r="I170" s="170"/>
      <c r="J170" s="170"/>
      <c r="K170" s="170"/>
      <c r="L170" s="1031"/>
      <c r="M170" s="170"/>
      <c r="N170" s="1031"/>
      <c r="O170" s="892"/>
      <c r="P170" s="836"/>
      <c r="Q170" s="1709"/>
      <c r="R170" s="1806"/>
      <c r="S170" s="1709"/>
      <c r="T170" s="1962"/>
      <c r="U170" s="1709"/>
      <c r="V170" s="1806"/>
      <c r="W170" s="1709"/>
      <c r="X170" s="1027"/>
      <c r="Y170" s="892"/>
      <c r="Z170" s="893"/>
      <c r="AA170" s="892" t="str">
        <f t="shared" si="26"/>
        <v/>
      </c>
      <c r="AB170" s="1030"/>
      <c r="AC170" s="1622"/>
      <c r="AD170" s="1030"/>
      <c r="AF170" s="895"/>
      <c r="AG170" s="896"/>
      <c r="AJ170" s="900"/>
      <c r="AK170" s="1624"/>
      <c r="AO170" s="1152"/>
      <c r="AP170" s="1152"/>
      <c r="AQ170" s="1152"/>
      <c r="AR170" s="1152"/>
      <c r="AS170" s="1152"/>
      <c r="AT170" s="1152"/>
      <c r="AU170" s="1152"/>
      <c r="AV170" s="1152"/>
      <c r="AW170" s="1152"/>
      <c r="AX170" s="1152"/>
      <c r="AY170" s="1448"/>
      <c r="AZ170" s="1448"/>
      <c r="BA170" s="846"/>
      <c r="BB170" s="846"/>
      <c r="BD170" s="897" t="str">
        <f>IFERROR(VLOOKUP(H170,Valid!$B$94:$N$96,3,FALSE), "")</f>
        <v/>
      </c>
      <c r="BE170" s="898" t="str">
        <f>IFERROR(VLOOKUP(H170,Valid!$B$94:$N$96,4,FALSE), "")</f>
        <v/>
      </c>
      <c r="BF170" s="897" t="str">
        <f t="shared" si="23"/>
        <v/>
      </c>
      <c r="BG170" s="897" t="str">
        <f t="shared" ca="1" si="24"/>
        <v/>
      </c>
      <c r="BH170" s="1860" t="str">
        <f>IFERROR(VLOOKUP($H170,val_equip_assets,BH$4,FALSE), "")</f>
        <v/>
      </c>
      <c r="BI170" s="1547" t="str">
        <f t="shared" ca="1" si="25"/>
        <v/>
      </c>
      <c r="BJ170" s="898" t="str">
        <f ca="1">IF(BI170="", "", IF(BI170&lt;0.1, 5, IF(BI170&lt;0.25, 4, IF(BI170&lt;0.5, 3, IF(BI170&lt;0.75, 2, 1)))))</f>
        <v/>
      </c>
      <c r="BK170" s="898" t="str">
        <f t="shared" si="27"/>
        <v/>
      </c>
      <c r="BL170" s="898" t="str">
        <f t="shared" si="27"/>
        <v/>
      </c>
      <c r="BM170" s="1710" t="str">
        <f t="shared" si="27"/>
        <v/>
      </c>
      <c r="BN170" s="1205" t="str">
        <f>IFERROR(VLOOKUP(H170,Valid!$B$94:$N$96,12,FALSE), "")</f>
        <v/>
      </c>
      <c r="BO170" s="1205" t="str">
        <f>IFERROR(VLOOKUP(H170,Valid!$B$94:$N$96,13,FALSE), "")</f>
        <v/>
      </c>
    </row>
    <row r="171" spans="1:69" s="901" customFormat="1" x14ac:dyDescent="0.2">
      <c r="A171" s="206">
        <v>80</v>
      </c>
      <c r="B171" s="1530">
        <v>80</v>
      </c>
      <c r="C171" s="1703"/>
      <c r="D171" s="1248" t="str">
        <f>IF(C169="","",IF(C171="","Enter Service Fleet Description then Fill in columns "&amp;TEXT($H$2,0)&amp;" - "&amp;TEXT($Z$2,0)&amp;"                 ",""))</f>
        <v/>
      </c>
      <c r="E171" s="1245" t="str">
        <f>IF(AK171="N/A","",AK171)</f>
        <v/>
      </c>
      <c r="F171" s="170"/>
      <c r="G171" s="170"/>
      <c r="H171" s="1704"/>
      <c r="I171" s="1246" t="str">
        <f>IF(AND(E171="No",H171=""),"Select Type of Vehicle                        ","")</f>
        <v/>
      </c>
      <c r="J171" s="1247"/>
      <c r="K171" s="1246" t="str">
        <f>IF(AND(C171="No",H171=""),"Number of Vehicles?  ","")</f>
        <v/>
      </c>
      <c r="L171" s="1782" t="str">
        <f>IFERROR(VLOOKUP($H171,val_equip_assets,BH$4,FALSE), "")</f>
        <v/>
      </c>
      <c r="M171" s="1246"/>
      <c r="N171" s="1247"/>
      <c r="O171" s="892" t="str">
        <f>IF(H171="","",IF(AND(E171="No",N171=""),TEXT(BH171,0)&amp;" Years?   ",""))</f>
        <v/>
      </c>
      <c r="P171" s="1705"/>
      <c r="Q171" s="1706" t="str">
        <f>IF(AND(E171="No",P171=""),"Enter Manufact. Yr.     ","")</f>
        <v/>
      </c>
      <c r="R171" s="1952" t="str">
        <f ca="1">BI171</f>
        <v/>
      </c>
      <c r="S171" s="1706"/>
      <c r="T171" s="1963" t="str">
        <f ca="1">BJ171</f>
        <v/>
      </c>
      <c r="U171" s="1706"/>
      <c r="V171" s="1675"/>
      <c r="W171" s="892" t="str">
        <f>IF(AND(E171="No",V171=""),"% of Cap. Resp.    ","")</f>
        <v/>
      </c>
      <c r="X171" s="1655"/>
      <c r="Y171" s="892" t="str">
        <f>IF(AND(E171="No",X171=""),"Estimated $?   ","")</f>
        <v/>
      </c>
      <c r="Z171" s="1707"/>
      <c r="AA171" s="892" t="str">
        <f t="shared" si="26"/>
        <v/>
      </c>
      <c r="AB171" s="1026" t="str">
        <f>IF(E171="","",IF(OR($X171="",$Z171=""),"missing info.",$X171*VLOOKUP($Z171,Inflate,$BF171+1,FALSE)))</f>
        <v/>
      </c>
      <c r="AC171" s="1622"/>
      <c r="AD171" s="1026" t="str">
        <f>IF(E171="","",IF(J171="","missing info.",IF(AB171="missing info.","missing info.",AB171/J171)))</f>
        <v/>
      </c>
      <c r="AE171" s="839"/>
      <c r="AF171" s="1708"/>
      <c r="AG171" s="896"/>
      <c r="AH171" s="894"/>
      <c r="AI171" s="894" t="b">
        <f>IF(AND(C173&lt;&gt;"",C171=""),TRUE,FALSE)</f>
        <v>0</v>
      </c>
      <c r="AJ171" s="902" t="b">
        <f>IF(AND(N171="",P171&lt;&gt;""),TRUE,FALSE)</f>
        <v>0</v>
      </c>
      <c r="AK171" s="720" t="str">
        <f>IF(AND(J171="",AF171="",Z171="",X171="",V171="",N171="",H171="",P171="",C171=""),"N/A",IF(AND(C171&lt;&gt;"",J171&lt;&gt;"",N171&lt;&gt;"",H171&lt;&gt;"",P171&lt;&gt;"",V171&lt;&gt;"",X171&lt;&gt;"",Z171&lt;&gt;""),"Yes","No"))</f>
        <v>N/A</v>
      </c>
      <c r="AL171" s="720" t="b">
        <f>IF(AND(C171="",E171="no"),TRUE,FALSE)</f>
        <v>0</v>
      </c>
      <c r="AM171" s="720" t="b">
        <f>IF(AND(E171="no",H171=""),TRUE,FALSE)</f>
        <v>0</v>
      </c>
      <c r="AN171" s="720" t="b">
        <f>IF(AND(E171="no",H171=""),TRUE,FALSE)</f>
        <v>0</v>
      </c>
      <c r="AO171" s="903" t="b">
        <f>IF($J171="",FALSE,IF($J171&lt;$BD171,TRUE,FALSE))</f>
        <v>0</v>
      </c>
      <c r="AP171" s="903" t="b">
        <f>IF($J171="",FALSE,IF($J171&gt;$BE171,TRUE,FALSE))</f>
        <v>0</v>
      </c>
      <c r="AQ171" s="903" t="b">
        <f>IF(AND(E171="no",N171=""),TRUE,FALSE)</f>
        <v>0</v>
      </c>
      <c r="AR171" s="903" t="b">
        <f>IF(AND(E171="no",P171=""),TRUE,FALSE)</f>
        <v>0</v>
      </c>
      <c r="AS171" s="903" t="b">
        <f>IF(P171="",FALSE,IF(P171&lt;BM171,TRUE,FALSE))</f>
        <v>0</v>
      </c>
      <c r="AT171" s="903" t="b">
        <f>IF(P171="",FALSE,IF(P171&gt;BaseYear,TRUE,FALSE))</f>
        <v>0</v>
      </c>
      <c r="AU171" s="903" t="b">
        <f>IF(AND(E171="no",V171=""),TRUE,FALSE)</f>
        <v>0</v>
      </c>
      <c r="AV171" s="903" t="b">
        <f>IF(V171="",FALSE,IF(OR(V171&gt;1,V171&lt;0),TRUE,FALSE))</f>
        <v>0</v>
      </c>
      <c r="AW171" s="903" t="b">
        <f>IF($N171="",FALSE,IF($N171&lt;$BK171,TRUE,FALSE))</f>
        <v>0</v>
      </c>
      <c r="AX171" s="903" t="b">
        <f>IF($N171="",FALSE,IF($N171&gt;$BL171,TRUE,FALSE))</f>
        <v>0</v>
      </c>
      <c r="AY171" s="889" t="b">
        <f>IF(AND(E171="no",X171=""),TRUE,FALSE)</f>
        <v>0</v>
      </c>
      <c r="AZ171" s="889" t="b">
        <f>IF(OR(AD171="missing info.",AD171=""),FALSE,IF(AD171&lt;BN171,TRUE,FALSE))</f>
        <v>0</v>
      </c>
      <c r="BA171" s="890" t="b">
        <f>IF(OR(AD171="missing info.",AD171=""),FALSE,IF(AD171&gt;BO171,TRUE,FALSE))</f>
        <v>0</v>
      </c>
      <c r="BB171" s="890" t="b">
        <f>IF(AND(E171="no",Z171=""),TRUE,FALSE)</f>
        <v>0</v>
      </c>
      <c r="BC171" s="894" t="b">
        <f>IF(Z171="",FALSE,IF(OR(Z171&gt;BaseYear,Z171&lt;BM171),TRUE,FALSE))</f>
        <v>0</v>
      </c>
      <c r="BD171" s="897" t="str">
        <f>IFERROR(VLOOKUP(H171,Valid!$B$94:$N$96,3,FALSE), "")</f>
        <v/>
      </c>
      <c r="BE171" s="898" t="str">
        <f>IFERROR(VLOOKUP(H171,Valid!$B$94:$N$96,4,FALSE), "")</f>
        <v/>
      </c>
      <c r="BF171" s="897" t="str">
        <f t="shared" si="23"/>
        <v/>
      </c>
      <c r="BG171" s="897" t="str">
        <f t="shared" ca="1" si="24"/>
        <v/>
      </c>
      <c r="BH171" s="1860">
        <f>N171</f>
        <v>0</v>
      </c>
      <c r="BI171" s="1547" t="str">
        <f t="shared" ca="1" si="25"/>
        <v/>
      </c>
      <c r="BJ171" s="898" t="str">
        <f ca="1">IF(BI171="", "", IF(1+(BI171*4)&lt;1, 1, 1+(BI171*4)))</f>
        <v/>
      </c>
      <c r="BK171" s="898" t="str">
        <f t="shared" si="27"/>
        <v/>
      </c>
      <c r="BL171" s="898" t="str">
        <f t="shared" si="27"/>
        <v/>
      </c>
      <c r="BM171" s="1710" t="str">
        <f t="shared" si="27"/>
        <v/>
      </c>
      <c r="BN171" s="1205" t="str">
        <f>IFERROR(VLOOKUP(H171,Valid!$B$94:$N$96,12,FALSE), "")</f>
        <v/>
      </c>
      <c r="BO171" s="1205" t="str">
        <f>IFERROR(VLOOKUP(H171,Valid!$B$94:$N$96,13,FALSE), "")</f>
        <v/>
      </c>
      <c r="BP171" s="894"/>
      <c r="BQ171" s="894"/>
    </row>
    <row r="172" spans="1:69" s="894" customFormat="1" ht="6.75" customHeight="1" thickBot="1" x14ac:dyDescent="0.25">
      <c r="A172" s="1516"/>
      <c r="B172" s="1530">
        <v>80.5</v>
      </c>
      <c r="C172" s="1471"/>
      <c r="D172" s="1541"/>
      <c r="E172" s="1057"/>
      <c r="F172" s="170"/>
      <c r="G172" s="170"/>
      <c r="H172" s="170"/>
      <c r="I172" s="170"/>
      <c r="J172" s="170"/>
      <c r="K172" s="170"/>
      <c r="L172" s="1031"/>
      <c r="M172" s="170"/>
      <c r="N172" s="1031"/>
      <c r="O172" s="892"/>
      <c r="P172" s="836"/>
      <c r="Q172" s="1709"/>
      <c r="R172" s="1806"/>
      <c r="S172" s="1709"/>
      <c r="T172" s="1962"/>
      <c r="U172" s="1709"/>
      <c r="V172" s="1806"/>
      <c r="W172" s="1709"/>
      <c r="X172" s="1027"/>
      <c r="Y172" s="892"/>
      <c r="Z172" s="893"/>
      <c r="AA172" s="892" t="str">
        <f t="shared" si="26"/>
        <v/>
      </c>
      <c r="AB172" s="1030"/>
      <c r="AC172" s="1622"/>
      <c r="AD172" s="1030"/>
      <c r="AF172" s="895"/>
      <c r="AG172" s="896"/>
      <c r="AJ172" s="900"/>
      <c r="AK172" s="1624"/>
      <c r="AO172" s="1152"/>
      <c r="AP172" s="1152"/>
      <c r="AQ172" s="1152"/>
      <c r="AR172" s="1152"/>
      <c r="AS172" s="1152"/>
      <c r="AT172" s="1152"/>
      <c r="AU172" s="1152"/>
      <c r="AV172" s="1152"/>
      <c r="AW172" s="1152"/>
      <c r="AX172" s="1152"/>
      <c r="AY172" s="1448"/>
      <c r="AZ172" s="1448"/>
      <c r="BA172" s="846"/>
      <c r="BB172" s="846"/>
      <c r="BD172" s="897" t="str">
        <f>IFERROR(VLOOKUP(H172,Valid!$B$94:$N$96,3,FALSE), "")</f>
        <v/>
      </c>
      <c r="BE172" s="898" t="str">
        <f>IFERROR(VLOOKUP(H172,Valid!$B$94:$N$96,4,FALSE), "")</f>
        <v/>
      </c>
      <c r="BF172" s="897" t="str">
        <f t="shared" si="23"/>
        <v/>
      </c>
      <c r="BG172" s="897" t="str">
        <f t="shared" ca="1" si="24"/>
        <v/>
      </c>
      <c r="BH172" s="1860" t="str">
        <f>IFERROR(VLOOKUP($H172,val_equip_assets,BH$4,FALSE), "")</f>
        <v/>
      </c>
      <c r="BI172" s="1547" t="str">
        <f t="shared" ca="1" si="25"/>
        <v/>
      </c>
      <c r="BJ172" s="898" t="str">
        <f ca="1">IF(BI172="", "", IF(BI172&lt;0.1, 5, IF(BI172&lt;0.25, 4, IF(BI172&lt;0.5, 3, IF(BI172&lt;0.75, 2, 1)))))</f>
        <v/>
      </c>
      <c r="BK172" s="898" t="str">
        <f t="shared" si="27"/>
        <v/>
      </c>
      <c r="BL172" s="898" t="str">
        <f t="shared" si="27"/>
        <v/>
      </c>
      <c r="BM172" s="1710" t="str">
        <f t="shared" si="27"/>
        <v/>
      </c>
      <c r="BN172" s="1205" t="str">
        <f>IFERROR(VLOOKUP(H172,Valid!$B$94:$N$96,12,FALSE), "")</f>
        <v/>
      </c>
      <c r="BO172" s="1205" t="str">
        <f>IFERROR(VLOOKUP(H172,Valid!$B$94:$N$96,13,FALSE), "")</f>
        <v/>
      </c>
    </row>
    <row r="173" spans="1:69" s="901" customFormat="1" x14ac:dyDescent="0.2">
      <c r="A173" s="206">
        <v>81</v>
      </c>
      <c r="B173" s="1530">
        <v>81</v>
      </c>
      <c r="C173" s="1703"/>
      <c r="D173" s="1248" t="str">
        <f>IF(C171="","",IF(C173="","Enter Service Fleet Description then Fill in columns "&amp;TEXT($H$2,0)&amp;" - "&amp;TEXT($Z$2,0)&amp;"                 ",""))</f>
        <v/>
      </c>
      <c r="E173" s="1245" t="str">
        <f>IF(AK173="N/A","",AK173)</f>
        <v/>
      </c>
      <c r="F173" s="170"/>
      <c r="G173" s="170"/>
      <c r="H173" s="1704"/>
      <c r="I173" s="1246" t="str">
        <f>IF(AND(E173="No",H173=""),"Select Type of Vehicle                        ","")</f>
        <v/>
      </c>
      <c r="J173" s="1247"/>
      <c r="K173" s="1246" t="str">
        <f>IF(AND(C173="No",H173=""),"Number of Vehicles?  ","")</f>
        <v/>
      </c>
      <c r="L173" s="1782" t="str">
        <f>IFERROR(VLOOKUP($H173,val_equip_assets,BH$4,FALSE), "")</f>
        <v/>
      </c>
      <c r="M173" s="1246"/>
      <c r="N173" s="1247"/>
      <c r="O173" s="892" t="str">
        <f>IF(H173="","",IF(AND(E173="No",N173=""),TEXT(BH173,0)&amp;" Years?   ",""))</f>
        <v/>
      </c>
      <c r="P173" s="1705"/>
      <c r="Q173" s="1706" t="str">
        <f>IF(AND(E173="No",P173=""),"Enter Manufact. Yr.     ","")</f>
        <v/>
      </c>
      <c r="R173" s="1952" t="str">
        <f ca="1">BI173</f>
        <v/>
      </c>
      <c r="S173" s="1706"/>
      <c r="T173" s="1963" t="str">
        <f ca="1">BJ173</f>
        <v/>
      </c>
      <c r="U173" s="1706"/>
      <c r="V173" s="1675"/>
      <c r="W173" s="892" t="str">
        <f>IF(AND(E173="No",V173=""),"% of Cap. Resp.    ","")</f>
        <v/>
      </c>
      <c r="X173" s="1655"/>
      <c r="Y173" s="892" t="str">
        <f>IF(AND(E173="No",X173=""),"Estimated $?   ","")</f>
        <v/>
      </c>
      <c r="Z173" s="1707"/>
      <c r="AA173" s="892" t="str">
        <f t="shared" si="26"/>
        <v/>
      </c>
      <c r="AB173" s="1026" t="str">
        <f>IF(E173="","",IF(OR($X173="",$Z173=""),"missing info.",$X173*VLOOKUP($Z173,Inflate,$BF173+1,FALSE)))</f>
        <v/>
      </c>
      <c r="AC173" s="1622"/>
      <c r="AD173" s="1026" t="str">
        <f>IF(E173="","",IF(J173="","missing info.",IF(AB173="missing info.","missing info.",AB173/J173)))</f>
        <v/>
      </c>
      <c r="AE173" s="839"/>
      <c r="AF173" s="1708"/>
      <c r="AG173" s="896"/>
      <c r="AH173" s="894"/>
      <c r="AI173" s="894" t="b">
        <f>IF(AND(C175&lt;&gt;"",C173=""),TRUE,FALSE)</f>
        <v>0</v>
      </c>
      <c r="AJ173" s="902" t="b">
        <f>IF(AND(N173="",P173&lt;&gt;""),TRUE,FALSE)</f>
        <v>0</v>
      </c>
      <c r="AK173" s="720" t="str">
        <f>IF(AND(J173="",AF173="",Z173="",X173="",V173="",N173="",H173="",P173="",C173=""),"N/A",IF(AND(C173&lt;&gt;"",J173&lt;&gt;"",N173&lt;&gt;"",H173&lt;&gt;"",P173&lt;&gt;"",V173&lt;&gt;"",X173&lt;&gt;"",Z173&lt;&gt;""),"Yes","No"))</f>
        <v>N/A</v>
      </c>
      <c r="AL173" s="720" t="b">
        <f>IF(AND(C173="",E173="no"),TRUE,FALSE)</f>
        <v>0</v>
      </c>
      <c r="AM173" s="720" t="b">
        <f>IF(AND(E173="no",H173=""),TRUE,FALSE)</f>
        <v>0</v>
      </c>
      <c r="AN173" s="720" t="b">
        <f>IF(AND(E173="no",H173=""),TRUE,FALSE)</f>
        <v>0</v>
      </c>
      <c r="AO173" s="903" t="b">
        <f>IF($J173="",FALSE,IF($J173&lt;$BD173,TRUE,FALSE))</f>
        <v>0</v>
      </c>
      <c r="AP173" s="903" t="b">
        <f>IF($J173="",FALSE,IF($J173&gt;$BE173,TRUE,FALSE))</f>
        <v>0</v>
      </c>
      <c r="AQ173" s="903" t="b">
        <f>IF(AND(E173="no",N173=""),TRUE,FALSE)</f>
        <v>0</v>
      </c>
      <c r="AR173" s="903" t="b">
        <f>IF(AND(E173="no",P173=""),TRUE,FALSE)</f>
        <v>0</v>
      </c>
      <c r="AS173" s="903" t="b">
        <f>IF(P173="",FALSE,IF(P173&lt;BM173,TRUE,FALSE))</f>
        <v>0</v>
      </c>
      <c r="AT173" s="903" t="b">
        <f>IF(P173="",FALSE,IF(P173&gt;BaseYear,TRUE,FALSE))</f>
        <v>0</v>
      </c>
      <c r="AU173" s="903" t="b">
        <f>IF(AND(E173="no",V173=""),TRUE,FALSE)</f>
        <v>0</v>
      </c>
      <c r="AV173" s="903" t="b">
        <f>IF(V173="",FALSE,IF(OR(V173&gt;1,V173&lt;0),TRUE,FALSE))</f>
        <v>0</v>
      </c>
      <c r="AW173" s="903" t="b">
        <f>IF($N173="",FALSE,IF($N173&lt;$BK173,TRUE,FALSE))</f>
        <v>0</v>
      </c>
      <c r="AX173" s="903" t="b">
        <f>IF($N173="",FALSE,IF($N173&gt;$BL173,TRUE,FALSE))</f>
        <v>0</v>
      </c>
      <c r="AY173" s="889" t="b">
        <f>IF(AND(E173="no",X173=""),TRUE,FALSE)</f>
        <v>0</v>
      </c>
      <c r="AZ173" s="889" t="b">
        <f>IF(OR(AD173="missing info.",AD173=""),FALSE,IF(AD173&lt;BN173,TRUE,FALSE))</f>
        <v>0</v>
      </c>
      <c r="BA173" s="890" t="b">
        <f>IF(OR(AD173="missing info.",AD173=""),FALSE,IF(AD173&gt;BO173,TRUE,FALSE))</f>
        <v>0</v>
      </c>
      <c r="BB173" s="890" t="b">
        <f>IF(AND(E173="no",Z173=""),TRUE,FALSE)</f>
        <v>0</v>
      </c>
      <c r="BC173" s="894" t="b">
        <f>IF(Z173="",FALSE,IF(OR(Z173&gt;BaseYear,Z173&lt;BM173),TRUE,FALSE))</f>
        <v>0</v>
      </c>
      <c r="BD173" s="897" t="str">
        <f>IFERROR(VLOOKUP(H173,Valid!$B$94:$N$96,3,FALSE), "")</f>
        <v/>
      </c>
      <c r="BE173" s="898" t="str">
        <f>IFERROR(VLOOKUP(H173,Valid!$B$94:$N$96,4,FALSE), "")</f>
        <v/>
      </c>
      <c r="BF173" s="897" t="str">
        <f t="shared" ref="BF173:BF204" si="28">IFERROR(VLOOKUP($H173,val_equip_assets,BF$4,FALSE), "")</f>
        <v/>
      </c>
      <c r="BG173" s="897" t="str">
        <f t="shared" ref="BG173:BG204" ca="1" si="29">IF(P173="", "", YEAR(TODAY())-P173)</f>
        <v/>
      </c>
      <c r="BH173" s="1860">
        <f>N173</f>
        <v>0</v>
      </c>
      <c r="BI173" s="1547" t="str">
        <f t="shared" ref="BI173:BI204" ca="1" si="30">IF(OR(BG173="", BH173="",BH173=0), "", 1+ (-1*(BG173/BH173)))</f>
        <v/>
      </c>
      <c r="BJ173" s="898" t="str">
        <f ca="1">IF(BI173="", "", IF(1+(BI173*4)&lt;1, 1, 1+(BI173*4)))</f>
        <v/>
      </c>
      <c r="BK173" s="898" t="str">
        <f t="shared" ref="BK173:BM192" si="31">IFERROR(VLOOKUP($H173,val_equip_assets,BK$4,FALSE), "")</f>
        <v/>
      </c>
      <c r="BL173" s="898" t="str">
        <f t="shared" si="31"/>
        <v/>
      </c>
      <c r="BM173" s="1710" t="str">
        <f t="shared" si="31"/>
        <v/>
      </c>
      <c r="BN173" s="1205" t="str">
        <f>IFERROR(VLOOKUP(H173,Valid!$B$94:$N$96,12,FALSE), "")</f>
        <v/>
      </c>
      <c r="BO173" s="1205" t="str">
        <f>IFERROR(VLOOKUP(H173,Valid!$B$94:$N$96,13,FALSE), "")</f>
        <v/>
      </c>
      <c r="BP173" s="894"/>
      <c r="BQ173" s="894"/>
    </row>
    <row r="174" spans="1:69" s="894" customFormat="1" ht="6.75" customHeight="1" thickBot="1" x14ac:dyDescent="0.25">
      <c r="A174" s="1516"/>
      <c r="B174" s="1530">
        <v>81.5</v>
      </c>
      <c r="C174" s="1471"/>
      <c r="D174" s="1541"/>
      <c r="E174" s="1057"/>
      <c r="F174" s="170"/>
      <c r="G174" s="170"/>
      <c r="H174" s="170"/>
      <c r="I174" s="170"/>
      <c r="J174" s="170"/>
      <c r="K174" s="170"/>
      <c r="L174" s="1031"/>
      <c r="M174" s="170"/>
      <c r="N174" s="1031"/>
      <c r="O174" s="892"/>
      <c r="P174" s="836"/>
      <c r="Q174" s="1709"/>
      <c r="R174" s="1806"/>
      <c r="S174" s="1709"/>
      <c r="T174" s="1962"/>
      <c r="U174" s="1709"/>
      <c r="V174" s="1806"/>
      <c r="W174" s="1709"/>
      <c r="X174" s="1027"/>
      <c r="Y174" s="892"/>
      <c r="Z174" s="893"/>
      <c r="AA174" s="892" t="str">
        <f t="shared" si="26"/>
        <v/>
      </c>
      <c r="AB174" s="1030"/>
      <c r="AC174" s="1622"/>
      <c r="AD174" s="1030"/>
      <c r="AF174" s="895"/>
      <c r="AG174" s="896"/>
      <c r="AJ174" s="900"/>
      <c r="AK174" s="1624"/>
      <c r="AO174" s="1152"/>
      <c r="AP174" s="1152"/>
      <c r="AQ174" s="1152"/>
      <c r="AR174" s="1152"/>
      <c r="AS174" s="1152"/>
      <c r="AT174" s="1152"/>
      <c r="AU174" s="1152"/>
      <c r="AV174" s="1152"/>
      <c r="AW174" s="1152"/>
      <c r="AX174" s="1152"/>
      <c r="AY174" s="1448"/>
      <c r="AZ174" s="1448"/>
      <c r="BA174" s="846"/>
      <c r="BB174" s="846"/>
      <c r="BD174" s="897" t="str">
        <f>IFERROR(VLOOKUP(H174,Valid!$B$94:$N$96,3,FALSE), "")</f>
        <v/>
      </c>
      <c r="BE174" s="898" t="str">
        <f>IFERROR(VLOOKUP(H174,Valid!$B$94:$N$96,4,FALSE), "")</f>
        <v/>
      </c>
      <c r="BF174" s="897" t="str">
        <f t="shared" si="28"/>
        <v/>
      </c>
      <c r="BG174" s="897" t="str">
        <f t="shared" ca="1" si="29"/>
        <v/>
      </c>
      <c r="BH174" s="1860" t="str">
        <f>IFERROR(VLOOKUP($H174,val_equip_assets,BH$4,FALSE), "")</f>
        <v/>
      </c>
      <c r="BI174" s="1547" t="str">
        <f t="shared" ca="1" si="30"/>
        <v/>
      </c>
      <c r="BJ174" s="898" t="str">
        <f ca="1">IF(BI174="", "", IF(BI174&lt;0.1, 5, IF(BI174&lt;0.25, 4, IF(BI174&lt;0.5, 3, IF(BI174&lt;0.75, 2, 1)))))</f>
        <v/>
      </c>
      <c r="BK174" s="898" t="str">
        <f t="shared" si="31"/>
        <v/>
      </c>
      <c r="BL174" s="898" t="str">
        <f t="shared" si="31"/>
        <v/>
      </c>
      <c r="BM174" s="1710" t="str">
        <f t="shared" si="31"/>
        <v/>
      </c>
      <c r="BN174" s="1205" t="str">
        <f>IFERROR(VLOOKUP(H174,Valid!$B$94:$N$96,12,FALSE), "")</f>
        <v/>
      </c>
      <c r="BO174" s="1205" t="str">
        <f>IFERROR(VLOOKUP(H174,Valid!$B$94:$N$96,13,FALSE), "")</f>
        <v/>
      </c>
    </row>
    <row r="175" spans="1:69" s="901" customFormat="1" x14ac:dyDescent="0.2">
      <c r="A175" s="206">
        <v>82</v>
      </c>
      <c r="B175" s="1530">
        <v>82</v>
      </c>
      <c r="C175" s="1703"/>
      <c r="D175" s="1248" t="str">
        <f>IF(C173="","",IF(C175="","Enter Service Fleet Description then Fill in columns "&amp;TEXT($H$2,0)&amp;" - "&amp;TEXT($Z$2,0)&amp;"                 ",""))</f>
        <v/>
      </c>
      <c r="E175" s="1245" t="str">
        <f>IF(AK175="N/A","",AK175)</f>
        <v/>
      </c>
      <c r="F175" s="170"/>
      <c r="G175" s="170"/>
      <c r="H175" s="1704"/>
      <c r="I175" s="1246" t="str">
        <f>IF(AND(E175="No",H175=""),"Select Type of Vehicle                        ","")</f>
        <v/>
      </c>
      <c r="J175" s="1247"/>
      <c r="K175" s="1246" t="str">
        <f>IF(AND(C175="No",H175=""),"Number of Vehicles?  ","")</f>
        <v/>
      </c>
      <c r="L175" s="1782" t="str">
        <f>IFERROR(VLOOKUP($H175,val_equip_assets,BH$4,FALSE), "")</f>
        <v/>
      </c>
      <c r="M175" s="1246"/>
      <c r="N175" s="1247"/>
      <c r="O175" s="892" t="str">
        <f>IF(H175="","",IF(AND(E175="No",N175=""),TEXT(BH175,0)&amp;" Years?   ",""))</f>
        <v/>
      </c>
      <c r="P175" s="1705"/>
      <c r="Q175" s="1706" t="str">
        <f>IF(AND(E175="No",P175=""),"Enter Manufact. Yr.     ","")</f>
        <v/>
      </c>
      <c r="R175" s="1952" t="str">
        <f ca="1">BI175</f>
        <v/>
      </c>
      <c r="S175" s="1706"/>
      <c r="T175" s="1963" t="str">
        <f ca="1">BJ175</f>
        <v/>
      </c>
      <c r="U175" s="1706"/>
      <c r="V175" s="1675"/>
      <c r="W175" s="892" t="str">
        <f>IF(AND(E175="No",V175=""),"% of Cap. Resp.    ","")</f>
        <v/>
      </c>
      <c r="X175" s="1655"/>
      <c r="Y175" s="892" t="str">
        <f>IF(AND(E175="No",X175=""),"Estimated $?   ","")</f>
        <v/>
      </c>
      <c r="Z175" s="1707"/>
      <c r="AA175" s="892" t="str">
        <f t="shared" si="26"/>
        <v/>
      </c>
      <c r="AB175" s="1026" t="str">
        <f>IF(E175="","",IF(OR($X175="",$Z175=""),"missing info.",$X175*VLOOKUP($Z175,Inflate,$BF175+1,FALSE)))</f>
        <v/>
      </c>
      <c r="AC175" s="1622"/>
      <c r="AD175" s="1026" t="str">
        <f>IF(E175="","",IF(J175="","missing info.",IF(AB175="missing info.","missing info.",AB175/J175)))</f>
        <v/>
      </c>
      <c r="AE175" s="839"/>
      <c r="AF175" s="1708"/>
      <c r="AG175" s="896"/>
      <c r="AH175" s="894"/>
      <c r="AI175" s="894" t="b">
        <f>IF(AND(C177&lt;&gt;"",C175=""),TRUE,FALSE)</f>
        <v>0</v>
      </c>
      <c r="AJ175" s="902" t="b">
        <f>IF(AND(N175="",P175&lt;&gt;""),TRUE,FALSE)</f>
        <v>0</v>
      </c>
      <c r="AK175" s="720" t="str">
        <f>IF(AND(J175="",AF175="",Z175="",X175="",V175="",N175="",H175="",P175="",C175=""),"N/A",IF(AND(C175&lt;&gt;"",J175&lt;&gt;"",N175&lt;&gt;"",H175&lt;&gt;"",P175&lt;&gt;"",V175&lt;&gt;"",X175&lt;&gt;"",Z175&lt;&gt;""),"Yes","No"))</f>
        <v>N/A</v>
      </c>
      <c r="AL175" s="720" t="b">
        <f>IF(AND(C175="",E175="no"),TRUE,FALSE)</f>
        <v>0</v>
      </c>
      <c r="AM175" s="720" t="b">
        <f>IF(AND(E175="no",H175=""),TRUE,FALSE)</f>
        <v>0</v>
      </c>
      <c r="AN175" s="720" t="b">
        <f>IF(AND(E175="no",H175=""),TRUE,FALSE)</f>
        <v>0</v>
      </c>
      <c r="AO175" s="903" t="b">
        <f>IF($J175="",FALSE,IF($J175&lt;$BD175,TRUE,FALSE))</f>
        <v>0</v>
      </c>
      <c r="AP175" s="903" t="b">
        <f>IF($J175="",FALSE,IF($J175&gt;$BE175,TRUE,FALSE))</f>
        <v>0</v>
      </c>
      <c r="AQ175" s="903" t="b">
        <f>IF(AND(E175="no",N175=""),TRUE,FALSE)</f>
        <v>0</v>
      </c>
      <c r="AR175" s="903" t="b">
        <f>IF(AND(E175="no",P175=""),TRUE,FALSE)</f>
        <v>0</v>
      </c>
      <c r="AS175" s="903" t="b">
        <f>IF(P175="",FALSE,IF(P175&lt;BM175,TRUE,FALSE))</f>
        <v>0</v>
      </c>
      <c r="AT175" s="903" t="b">
        <f>IF(P175="",FALSE,IF(P175&gt;BaseYear,TRUE,FALSE))</f>
        <v>0</v>
      </c>
      <c r="AU175" s="903" t="b">
        <f>IF(AND(E175="no",V175=""),TRUE,FALSE)</f>
        <v>0</v>
      </c>
      <c r="AV175" s="903" t="b">
        <f>IF(V175="",FALSE,IF(OR(V175&gt;1,V175&lt;0),TRUE,FALSE))</f>
        <v>0</v>
      </c>
      <c r="AW175" s="903" t="b">
        <f>IF($N175="",FALSE,IF($N175&lt;$BK175,TRUE,FALSE))</f>
        <v>0</v>
      </c>
      <c r="AX175" s="903" t="b">
        <f>IF($N175="",FALSE,IF($N175&gt;$BL175,TRUE,FALSE))</f>
        <v>0</v>
      </c>
      <c r="AY175" s="889" t="b">
        <f>IF(AND(E175="no",X175=""),TRUE,FALSE)</f>
        <v>0</v>
      </c>
      <c r="AZ175" s="889" t="b">
        <f>IF(OR(AD175="missing info.",AD175=""),FALSE,IF(AD175&lt;BN175,TRUE,FALSE))</f>
        <v>0</v>
      </c>
      <c r="BA175" s="890" t="b">
        <f>IF(OR(AD175="missing info.",AD175=""),FALSE,IF(AD175&gt;BO175,TRUE,FALSE))</f>
        <v>0</v>
      </c>
      <c r="BB175" s="890" t="b">
        <f>IF(AND(E175="no",Z175=""),TRUE,FALSE)</f>
        <v>0</v>
      </c>
      <c r="BC175" s="894" t="b">
        <f>IF(Z175="",FALSE,IF(OR(Z175&gt;BaseYear,Z175&lt;BM175),TRUE,FALSE))</f>
        <v>0</v>
      </c>
      <c r="BD175" s="897" t="str">
        <f>IFERROR(VLOOKUP(H175,Valid!$B$94:$N$96,3,FALSE), "")</f>
        <v/>
      </c>
      <c r="BE175" s="898" t="str">
        <f>IFERROR(VLOOKUP(H175,Valid!$B$94:$N$96,4,FALSE), "")</f>
        <v/>
      </c>
      <c r="BF175" s="897" t="str">
        <f t="shared" si="28"/>
        <v/>
      </c>
      <c r="BG175" s="897" t="str">
        <f t="shared" ca="1" si="29"/>
        <v/>
      </c>
      <c r="BH175" s="1860">
        <f>N175</f>
        <v>0</v>
      </c>
      <c r="BI175" s="1547" t="str">
        <f t="shared" ca="1" si="30"/>
        <v/>
      </c>
      <c r="BJ175" s="898" t="str">
        <f ca="1">IF(BI175="", "", IF(1+(BI175*4)&lt;1, 1, 1+(BI175*4)))</f>
        <v/>
      </c>
      <c r="BK175" s="898" t="str">
        <f t="shared" si="31"/>
        <v/>
      </c>
      <c r="BL175" s="898" t="str">
        <f t="shared" si="31"/>
        <v/>
      </c>
      <c r="BM175" s="1710" t="str">
        <f t="shared" si="31"/>
        <v/>
      </c>
      <c r="BN175" s="1205" t="str">
        <f>IFERROR(VLOOKUP(H175,Valid!$B$94:$N$96,12,FALSE), "")</f>
        <v/>
      </c>
      <c r="BO175" s="1205" t="str">
        <f>IFERROR(VLOOKUP(H175,Valid!$B$94:$N$96,13,FALSE), "")</f>
        <v/>
      </c>
      <c r="BP175" s="894"/>
      <c r="BQ175" s="894"/>
    </row>
    <row r="176" spans="1:69" s="894" customFormat="1" ht="6.75" customHeight="1" thickBot="1" x14ac:dyDescent="0.25">
      <c r="A176" s="1516"/>
      <c r="B176" s="1530">
        <v>82.5</v>
      </c>
      <c r="C176" s="1471"/>
      <c r="D176" s="1541"/>
      <c r="E176" s="1057"/>
      <c r="F176" s="170"/>
      <c r="G176" s="170"/>
      <c r="H176" s="170"/>
      <c r="I176" s="170"/>
      <c r="J176" s="170"/>
      <c r="K176" s="170"/>
      <c r="L176" s="1031"/>
      <c r="M176" s="170"/>
      <c r="N176" s="1031"/>
      <c r="O176" s="892"/>
      <c r="P176" s="836"/>
      <c r="Q176" s="1709"/>
      <c r="R176" s="1806"/>
      <c r="S176" s="1709"/>
      <c r="T176" s="1962"/>
      <c r="U176" s="1709"/>
      <c r="V176" s="1806"/>
      <c r="W176" s="1709"/>
      <c r="X176" s="1027"/>
      <c r="Y176" s="892"/>
      <c r="Z176" s="893"/>
      <c r="AA176" s="892" t="str">
        <f t="shared" si="26"/>
        <v/>
      </c>
      <c r="AB176" s="1030"/>
      <c r="AC176" s="1622"/>
      <c r="AD176" s="1030"/>
      <c r="AF176" s="895"/>
      <c r="AG176" s="896"/>
      <c r="AJ176" s="900"/>
      <c r="AK176" s="1624"/>
      <c r="AO176" s="1152"/>
      <c r="AP176" s="1152"/>
      <c r="AQ176" s="1152"/>
      <c r="AR176" s="1152"/>
      <c r="AS176" s="1152"/>
      <c r="AT176" s="1152"/>
      <c r="AU176" s="1152"/>
      <c r="AV176" s="1152"/>
      <c r="AW176" s="1152"/>
      <c r="AX176" s="1152"/>
      <c r="AY176" s="1448"/>
      <c r="AZ176" s="1448"/>
      <c r="BA176" s="846"/>
      <c r="BB176" s="846"/>
      <c r="BD176" s="897" t="str">
        <f>IFERROR(VLOOKUP(H176,Valid!$B$94:$N$96,3,FALSE), "")</f>
        <v/>
      </c>
      <c r="BE176" s="898" t="str">
        <f>IFERROR(VLOOKUP(H176,Valid!$B$94:$N$96,4,FALSE), "")</f>
        <v/>
      </c>
      <c r="BF176" s="897" t="str">
        <f t="shared" si="28"/>
        <v/>
      </c>
      <c r="BG176" s="897" t="str">
        <f t="shared" ca="1" si="29"/>
        <v/>
      </c>
      <c r="BH176" s="1860" t="str">
        <f>IFERROR(VLOOKUP($H176,val_equip_assets,BH$4,FALSE), "")</f>
        <v/>
      </c>
      <c r="BI176" s="1547" t="str">
        <f t="shared" ca="1" si="30"/>
        <v/>
      </c>
      <c r="BJ176" s="898" t="str">
        <f ca="1">IF(BI176="", "", IF(BI176&lt;0.1, 5, IF(BI176&lt;0.25, 4, IF(BI176&lt;0.5, 3, IF(BI176&lt;0.75, 2, 1)))))</f>
        <v/>
      </c>
      <c r="BK176" s="898" t="str">
        <f t="shared" si="31"/>
        <v/>
      </c>
      <c r="BL176" s="898" t="str">
        <f t="shared" si="31"/>
        <v/>
      </c>
      <c r="BM176" s="1710" t="str">
        <f t="shared" si="31"/>
        <v/>
      </c>
      <c r="BN176" s="1205" t="str">
        <f>IFERROR(VLOOKUP(H176,Valid!$B$94:$N$96,12,FALSE), "")</f>
        <v/>
      </c>
      <c r="BO176" s="1205" t="str">
        <f>IFERROR(VLOOKUP(H176,Valid!$B$94:$N$96,13,FALSE), "")</f>
        <v/>
      </c>
    </row>
    <row r="177" spans="1:69" s="901" customFormat="1" x14ac:dyDescent="0.2">
      <c r="A177" s="206">
        <v>83</v>
      </c>
      <c r="B177" s="1530">
        <v>83</v>
      </c>
      <c r="C177" s="1703"/>
      <c r="D177" s="1248" t="str">
        <f>IF(C175="","",IF(C177="","Enter Service Fleet Description then Fill in columns "&amp;TEXT($H$2,0)&amp;" - "&amp;TEXT($Z$2,0)&amp;"                 ",""))</f>
        <v/>
      </c>
      <c r="E177" s="1245" t="str">
        <f>IF(AK177="N/A","",AK177)</f>
        <v/>
      </c>
      <c r="F177" s="170"/>
      <c r="G177" s="170"/>
      <c r="H177" s="1704"/>
      <c r="I177" s="1246" t="str">
        <f>IF(AND(E177="No",H177=""),"Select Type of Vehicle                        ","")</f>
        <v/>
      </c>
      <c r="J177" s="1247"/>
      <c r="K177" s="1246" t="str">
        <f>IF(AND(C177="No",H177=""),"Number of Vehicles?  ","")</f>
        <v/>
      </c>
      <c r="L177" s="1782" t="str">
        <f>IFERROR(VLOOKUP($H177,val_equip_assets,BH$4,FALSE), "")</f>
        <v/>
      </c>
      <c r="M177" s="1246"/>
      <c r="N177" s="1247"/>
      <c r="O177" s="892" t="str">
        <f>IF(H177="","",IF(AND(E177="No",N177=""),TEXT(BH177,0)&amp;" Years?   ",""))</f>
        <v/>
      </c>
      <c r="P177" s="1705"/>
      <c r="Q177" s="1706" t="str">
        <f>IF(AND(E177="No",P177=""),"Enter Manufact. Yr.     ","")</f>
        <v/>
      </c>
      <c r="R177" s="1952" t="str">
        <f ca="1">BI177</f>
        <v/>
      </c>
      <c r="S177" s="1706"/>
      <c r="T177" s="1963" t="str">
        <f ca="1">BJ177</f>
        <v/>
      </c>
      <c r="U177" s="1706"/>
      <c r="V177" s="1675"/>
      <c r="W177" s="892" t="str">
        <f>IF(AND(E177="No",V177=""),"% of Cap. Resp.    ","")</f>
        <v/>
      </c>
      <c r="X177" s="1655"/>
      <c r="Y177" s="892" t="str">
        <f>IF(AND(E177="No",X177=""),"Estimated $?   ","")</f>
        <v/>
      </c>
      <c r="Z177" s="1707"/>
      <c r="AA177" s="892" t="str">
        <f t="shared" si="26"/>
        <v/>
      </c>
      <c r="AB177" s="1026" t="str">
        <f>IF(E177="","",IF(OR($X177="",$Z177=""),"missing info.",$X177*VLOOKUP($Z177,Inflate,$BF177+1,FALSE)))</f>
        <v/>
      </c>
      <c r="AC177" s="1622"/>
      <c r="AD177" s="1026" t="str">
        <f>IF(E177="","",IF(J177="","missing info.",IF(AB177="missing info.","missing info.",AB177/J177)))</f>
        <v/>
      </c>
      <c r="AE177" s="839"/>
      <c r="AF177" s="1708"/>
      <c r="AG177" s="896"/>
      <c r="AH177" s="894"/>
      <c r="AI177" s="894" t="b">
        <f>IF(AND(C179&lt;&gt;"",C177=""),TRUE,FALSE)</f>
        <v>0</v>
      </c>
      <c r="AJ177" s="902" t="b">
        <f>IF(AND(N177="",P177&lt;&gt;""),TRUE,FALSE)</f>
        <v>0</v>
      </c>
      <c r="AK177" s="720" t="str">
        <f>IF(AND(J177="",AF177="",Z177="",X177="",V177="",N177="",H177="",P177="",C177=""),"N/A",IF(AND(C177&lt;&gt;"",J177&lt;&gt;"",N177&lt;&gt;"",H177&lt;&gt;"",P177&lt;&gt;"",V177&lt;&gt;"",X177&lt;&gt;"",Z177&lt;&gt;""),"Yes","No"))</f>
        <v>N/A</v>
      </c>
      <c r="AL177" s="720" t="b">
        <f>IF(AND(C177="",E177="no"),TRUE,FALSE)</f>
        <v>0</v>
      </c>
      <c r="AM177" s="720" t="b">
        <f>IF(AND(E177="no",H177=""),TRUE,FALSE)</f>
        <v>0</v>
      </c>
      <c r="AN177" s="720" t="b">
        <f>IF(AND(E177="no",H177=""),TRUE,FALSE)</f>
        <v>0</v>
      </c>
      <c r="AO177" s="903" t="b">
        <f>IF($J177="",FALSE,IF($J177&lt;$BD177,TRUE,FALSE))</f>
        <v>0</v>
      </c>
      <c r="AP177" s="903" t="b">
        <f>IF($J177="",FALSE,IF($J177&gt;$BE177,TRUE,FALSE))</f>
        <v>0</v>
      </c>
      <c r="AQ177" s="903" t="b">
        <f>IF(AND(E177="no",N177=""),TRUE,FALSE)</f>
        <v>0</v>
      </c>
      <c r="AR177" s="903" t="b">
        <f>IF(AND(E177="no",P177=""),TRUE,FALSE)</f>
        <v>0</v>
      </c>
      <c r="AS177" s="903" t="b">
        <f>IF(P177="",FALSE,IF(P177&lt;BM177,TRUE,FALSE))</f>
        <v>0</v>
      </c>
      <c r="AT177" s="903" t="b">
        <f>IF(P177="",FALSE,IF(P177&gt;BaseYear,TRUE,FALSE))</f>
        <v>0</v>
      </c>
      <c r="AU177" s="903" t="b">
        <f>IF(AND(E177="no",V177=""),TRUE,FALSE)</f>
        <v>0</v>
      </c>
      <c r="AV177" s="903" t="b">
        <f>IF(V177="",FALSE,IF(OR(V177&gt;1,V177&lt;0),TRUE,FALSE))</f>
        <v>0</v>
      </c>
      <c r="AW177" s="903" t="b">
        <f>IF($N177="",FALSE,IF($N177&lt;$BK177,TRUE,FALSE))</f>
        <v>0</v>
      </c>
      <c r="AX177" s="903" t="b">
        <f>IF($N177="",FALSE,IF($N177&gt;$BL177,TRUE,FALSE))</f>
        <v>0</v>
      </c>
      <c r="AY177" s="889" t="b">
        <f>IF(AND(E177="no",X177=""),TRUE,FALSE)</f>
        <v>0</v>
      </c>
      <c r="AZ177" s="889" t="b">
        <f>IF(OR(AD177="missing info.",AD177=""),FALSE,IF(AD177&lt;BN177,TRUE,FALSE))</f>
        <v>0</v>
      </c>
      <c r="BA177" s="890" t="b">
        <f>IF(OR(AD177="missing info.",AD177=""),FALSE,IF(AD177&gt;BO177,TRUE,FALSE))</f>
        <v>0</v>
      </c>
      <c r="BB177" s="890" t="b">
        <f>IF(AND(E177="no",Z177=""),TRUE,FALSE)</f>
        <v>0</v>
      </c>
      <c r="BC177" s="894" t="b">
        <f>IF(Z177="",FALSE,IF(OR(Z177&gt;BaseYear,Z177&lt;BM177),TRUE,FALSE))</f>
        <v>0</v>
      </c>
      <c r="BD177" s="897" t="str">
        <f>IFERROR(VLOOKUP(H177,Valid!$B$94:$N$96,3,FALSE), "")</f>
        <v/>
      </c>
      <c r="BE177" s="898" t="str">
        <f>IFERROR(VLOOKUP(H177,Valid!$B$94:$N$96,4,FALSE), "")</f>
        <v/>
      </c>
      <c r="BF177" s="897" t="str">
        <f t="shared" si="28"/>
        <v/>
      </c>
      <c r="BG177" s="897" t="str">
        <f t="shared" ca="1" si="29"/>
        <v/>
      </c>
      <c r="BH177" s="1860">
        <f>N177</f>
        <v>0</v>
      </c>
      <c r="BI177" s="1547" t="str">
        <f t="shared" ca="1" si="30"/>
        <v/>
      </c>
      <c r="BJ177" s="898" t="str">
        <f ca="1">IF(BI177="", "", IF(1+(BI177*4)&lt;1, 1, 1+(BI177*4)))</f>
        <v/>
      </c>
      <c r="BK177" s="898" t="str">
        <f t="shared" si="31"/>
        <v/>
      </c>
      <c r="BL177" s="898" t="str">
        <f t="shared" si="31"/>
        <v/>
      </c>
      <c r="BM177" s="1710" t="str">
        <f t="shared" si="31"/>
        <v/>
      </c>
      <c r="BN177" s="1205" t="str">
        <f>IFERROR(VLOOKUP(H177,Valid!$B$94:$N$96,12,FALSE), "")</f>
        <v/>
      </c>
      <c r="BO177" s="1205" t="str">
        <f>IFERROR(VLOOKUP(H177,Valid!$B$94:$N$96,13,FALSE), "")</f>
        <v/>
      </c>
      <c r="BP177" s="894"/>
      <c r="BQ177" s="894"/>
    </row>
    <row r="178" spans="1:69" s="894" customFormat="1" ht="6.75" customHeight="1" thickBot="1" x14ac:dyDescent="0.25">
      <c r="A178" s="1516"/>
      <c r="B178" s="1530">
        <v>83.5</v>
      </c>
      <c r="C178" s="1471"/>
      <c r="D178" s="1541"/>
      <c r="E178" s="1057"/>
      <c r="F178" s="170"/>
      <c r="G178" s="170"/>
      <c r="H178" s="170"/>
      <c r="I178" s="170"/>
      <c r="J178" s="170"/>
      <c r="K178" s="170"/>
      <c r="L178" s="1031"/>
      <c r="M178" s="170"/>
      <c r="N178" s="1031"/>
      <c r="O178" s="892"/>
      <c r="P178" s="836"/>
      <c r="Q178" s="1709"/>
      <c r="R178" s="1806"/>
      <c r="S178" s="1709"/>
      <c r="T178" s="1962"/>
      <c r="U178" s="1709"/>
      <c r="V178" s="1806"/>
      <c r="W178" s="1709"/>
      <c r="X178" s="1027"/>
      <c r="Y178" s="892"/>
      <c r="Z178" s="893"/>
      <c r="AA178" s="892" t="str">
        <f t="shared" si="26"/>
        <v/>
      </c>
      <c r="AB178" s="1030"/>
      <c r="AC178" s="1622"/>
      <c r="AD178" s="1030"/>
      <c r="AF178" s="895"/>
      <c r="AG178" s="896"/>
      <c r="AJ178" s="900"/>
      <c r="AK178" s="1624"/>
      <c r="AO178" s="1152"/>
      <c r="AP178" s="1152"/>
      <c r="AQ178" s="1152"/>
      <c r="AR178" s="1152"/>
      <c r="AS178" s="1152"/>
      <c r="AT178" s="1152"/>
      <c r="AU178" s="1152"/>
      <c r="AV178" s="1152"/>
      <c r="AW178" s="1152"/>
      <c r="AX178" s="1152"/>
      <c r="AY178" s="1448"/>
      <c r="AZ178" s="1448"/>
      <c r="BA178" s="846"/>
      <c r="BB178" s="846"/>
      <c r="BD178" s="897" t="str">
        <f>IFERROR(VLOOKUP(H178,Valid!$B$94:$N$96,3,FALSE), "")</f>
        <v/>
      </c>
      <c r="BE178" s="898" t="str">
        <f>IFERROR(VLOOKUP(H178,Valid!$B$94:$N$96,4,FALSE), "")</f>
        <v/>
      </c>
      <c r="BF178" s="897" t="str">
        <f t="shared" si="28"/>
        <v/>
      </c>
      <c r="BG178" s="897" t="str">
        <f t="shared" ca="1" si="29"/>
        <v/>
      </c>
      <c r="BH178" s="1860" t="str">
        <f>IFERROR(VLOOKUP($H178,val_equip_assets,BH$4,FALSE), "")</f>
        <v/>
      </c>
      <c r="BI178" s="1547" t="str">
        <f t="shared" ca="1" si="30"/>
        <v/>
      </c>
      <c r="BJ178" s="898" t="str">
        <f ca="1">IF(BI178="", "", IF(BI178&lt;0.1, 5, IF(BI178&lt;0.25, 4, IF(BI178&lt;0.5, 3, IF(BI178&lt;0.75, 2, 1)))))</f>
        <v/>
      </c>
      <c r="BK178" s="898" t="str">
        <f t="shared" si="31"/>
        <v/>
      </c>
      <c r="BL178" s="898" t="str">
        <f t="shared" si="31"/>
        <v/>
      </c>
      <c r="BM178" s="1710" t="str">
        <f t="shared" si="31"/>
        <v/>
      </c>
      <c r="BN178" s="1205" t="str">
        <f>IFERROR(VLOOKUP(H178,Valid!$B$94:$N$96,12,FALSE), "")</f>
        <v/>
      </c>
      <c r="BO178" s="1205" t="str">
        <f>IFERROR(VLOOKUP(H178,Valid!$B$94:$N$96,13,FALSE), "")</f>
        <v/>
      </c>
    </row>
    <row r="179" spans="1:69" s="901" customFormat="1" x14ac:dyDescent="0.2">
      <c r="A179" s="206">
        <v>84</v>
      </c>
      <c r="B179" s="1530">
        <v>84</v>
      </c>
      <c r="C179" s="1703"/>
      <c r="D179" s="1248" t="str">
        <f>IF(C177="","",IF(C179="","Enter Service Fleet Description then Fill in columns "&amp;TEXT($H$2,0)&amp;" - "&amp;TEXT($Z$2,0)&amp;"                 ",""))</f>
        <v/>
      </c>
      <c r="E179" s="1245" t="str">
        <f>IF(AK179="N/A","",AK179)</f>
        <v/>
      </c>
      <c r="F179" s="170"/>
      <c r="G179" s="170"/>
      <c r="H179" s="1704"/>
      <c r="I179" s="1246" t="str">
        <f>IF(AND(E179="No",H179=""),"Select Type of Vehicle                        ","")</f>
        <v/>
      </c>
      <c r="J179" s="1247"/>
      <c r="K179" s="1246" t="str">
        <f>IF(AND(C179="No",H179=""),"Number of Vehicles?  ","")</f>
        <v/>
      </c>
      <c r="L179" s="1782" t="str">
        <f>IFERROR(VLOOKUP($H179,val_equip_assets,BH$4,FALSE), "")</f>
        <v/>
      </c>
      <c r="M179" s="1246"/>
      <c r="N179" s="1247"/>
      <c r="O179" s="892" t="str">
        <f>IF(H179="","",IF(AND(E179="No",N179=""),TEXT(BH179,0)&amp;" Years?   ",""))</f>
        <v/>
      </c>
      <c r="P179" s="1705"/>
      <c r="Q179" s="1706" t="str">
        <f>IF(AND(E179="No",P179=""),"Enter Manufact. Yr.     ","")</f>
        <v/>
      </c>
      <c r="R179" s="1952" t="str">
        <f ca="1">BI179</f>
        <v/>
      </c>
      <c r="S179" s="1706"/>
      <c r="T179" s="1963" t="str">
        <f ca="1">BJ179</f>
        <v/>
      </c>
      <c r="U179" s="1706"/>
      <c r="V179" s="1675"/>
      <c r="W179" s="892" t="str">
        <f>IF(AND(E179="No",V179=""),"% of Cap. Resp.    ","")</f>
        <v/>
      </c>
      <c r="X179" s="1655"/>
      <c r="Y179" s="892" t="str">
        <f>IF(AND(E179="No",X179=""),"Estimated $?   ","")</f>
        <v/>
      </c>
      <c r="Z179" s="1707"/>
      <c r="AA179" s="892" t="str">
        <f t="shared" ref="AA179:AA210" si="32">IF(AND(E179="No",Z179=""),"Yr.$?      ","")</f>
        <v/>
      </c>
      <c r="AB179" s="1026" t="str">
        <f>IF(E179="","",IF(OR($X179="",$Z179=""),"missing info.",$X179*VLOOKUP($Z179,Inflate,$BF179+1,FALSE)))</f>
        <v/>
      </c>
      <c r="AC179" s="1622"/>
      <c r="AD179" s="1026" t="str">
        <f>IF(E179="","",IF(J179="","missing info.",IF(AB179="missing info.","missing info.",AB179/J179)))</f>
        <v/>
      </c>
      <c r="AE179" s="839"/>
      <c r="AF179" s="1708"/>
      <c r="AG179" s="896"/>
      <c r="AH179" s="894"/>
      <c r="AI179" s="894" t="b">
        <f>IF(AND(C181&lt;&gt;"",C179=""),TRUE,FALSE)</f>
        <v>0</v>
      </c>
      <c r="AJ179" s="902" t="b">
        <f>IF(AND(N179="",P179&lt;&gt;""),TRUE,FALSE)</f>
        <v>0</v>
      </c>
      <c r="AK179" s="720" t="str">
        <f>IF(AND(J179="",AF179="",Z179="",X179="",V179="",N179="",H179="",P179="",C179=""),"N/A",IF(AND(C179&lt;&gt;"",J179&lt;&gt;"",N179&lt;&gt;"",H179&lt;&gt;"",P179&lt;&gt;"",V179&lt;&gt;"",X179&lt;&gt;"",Z179&lt;&gt;""),"Yes","No"))</f>
        <v>N/A</v>
      </c>
      <c r="AL179" s="720" t="b">
        <f>IF(AND(C179="",E179="no"),TRUE,FALSE)</f>
        <v>0</v>
      </c>
      <c r="AM179" s="720" t="b">
        <f>IF(AND(E179="no",H179=""),TRUE,FALSE)</f>
        <v>0</v>
      </c>
      <c r="AN179" s="720" t="b">
        <f>IF(AND(E179="no",H179=""),TRUE,FALSE)</f>
        <v>0</v>
      </c>
      <c r="AO179" s="903" t="b">
        <f>IF($J179="",FALSE,IF($J179&lt;$BD179,TRUE,FALSE))</f>
        <v>0</v>
      </c>
      <c r="AP179" s="903" t="b">
        <f>IF($J179="",FALSE,IF($J179&gt;$BE179,TRUE,FALSE))</f>
        <v>0</v>
      </c>
      <c r="AQ179" s="903" t="b">
        <f>IF(AND(E179="no",N179=""),TRUE,FALSE)</f>
        <v>0</v>
      </c>
      <c r="AR179" s="903" t="b">
        <f>IF(AND(E179="no",P179=""),TRUE,FALSE)</f>
        <v>0</v>
      </c>
      <c r="AS179" s="903" t="b">
        <f>IF(P179="",FALSE,IF(P179&lt;BM179,TRUE,FALSE))</f>
        <v>0</v>
      </c>
      <c r="AT179" s="903" t="b">
        <f>IF(P179="",FALSE,IF(P179&gt;BaseYear,TRUE,FALSE))</f>
        <v>0</v>
      </c>
      <c r="AU179" s="903" t="b">
        <f>IF(AND(E179="no",V179=""),TRUE,FALSE)</f>
        <v>0</v>
      </c>
      <c r="AV179" s="903" t="b">
        <f>IF(V179="",FALSE,IF(OR(V179&gt;1,V179&lt;0),TRUE,FALSE))</f>
        <v>0</v>
      </c>
      <c r="AW179" s="903" t="b">
        <f>IF($N179="",FALSE,IF($N179&lt;$BK179,TRUE,FALSE))</f>
        <v>0</v>
      </c>
      <c r="AX179" s="903" t="b">
        <f>IF($N179="",FALSE,IF($N179&gt;$BL179,TRUE,FALSE))</f>
        <v>0</v>
      </c>
      <c r="AY179" s="889" t="b">
        <f>IF(AND(E179="no",X179=""),TRUE,FALSE)</f>
        <v>0</v>
      </c>
      <c r="AZ179" s="889" t="b">
        <f>IF(OR(AD179="missing info.",AD179=""),FALSE,IF(AD179&lt;BN179,TRUE,FALSE))</f>
        <v>0</v>
      </c>
      <c r="BA179" s="890" t="b">
        <f>IF(OR(AD179="missing info.",AD179=""),FALSE,IF(AD179&gt;BO179,TRUE,FALSE))</f>
        <v>0</v>
      </c>
      <c r="BB179" s="890" t="b">
        <f>IF(AND(E179="no",Z179=""),TRUE,FALSE)</f>
        <v>0</v>
      </c>
      <c r="BC179" s="894" t="b">
        <f>IF(Z179="",FALSE,IF(OR(Z179&gt;BaseYear,Z179&lt;BM179),TRUE,FALSE))</f>
        <v>0</v>
      </c>
      <c r="BD179" s="897" t="str">
        <f>IFERROR(VLOOKUP(H179,Valid!$B$94:$N$96,3,FALSE), "")</f>
        <v/>
      </c>
      <c r="BE179" s="898" t="str">
        <f>IFERROR(VLOOKUP(H179,Valid!$B$94:$N$96,4,FALSE), "")</f>
        <v/>
      </c>
      <c r="BF179" s="897" t="str">
        <f t="shared" si="28"/>
        <v/>
      </c>
      <c r="BG179" s="897" t="str">
        <f t="shared" ca="1" si="29"/>
        <v/>
      </c>
      <c r="BH179" s="1860">
        <f>N179</f>
        <v>0</v>
      </c>
      <c r="BI179" s="1547" t="str">
        <f t="shared" ca="1" si="30"/>
        <v/>
      </c>
      <c r="BJ179" s="898" t="str">
        <f ca="1">IF(BI179="", "", IF(1+(BI179*4)&lt;1, 1, 1+(BI179*4)))</f>
        <v/>
      </c>
      <c r="BK179" s="898" t="str">
        <f t="shared" si="31"/>
        <v/>
      </c>
      <c r="BL179" s="898" t="str">
        <f t="shared" si="31"/>
        <v/>
      </c>
      <c r="BM179" s="1710" t="str">
        <f t="shared" si="31"/>
        <v/>
      </c>
      <c r="BN179" s="1205" t="str">
        <f>IFERROR(VLOOKUP(H179,Valid!$B$94:$N$96,12,FALSE), "")</f>
        <v/>
      </c>
      <c r="BO179" s="1205" t="str">
        <f>IFERROR(VLOOKUP(H179,Valid!$B$94:$N$96,13,FALSE), "")</f>
        <v/>
      </c>
      <c r="BP179" s="894"/>
      <c r="BQ179" s="894"/>
    </row>
    <row r="180" spans="1:69" s="894" customFormat="1" ht="6.75" customHeight="1" thickBot="1" x14ac:dyDescent="0.25">
      <c r="A180" s="1516"/>
      <c r="B180" s="1530">
        <v>84.5</v>
      </c>
      <c r="C180" s="1471"/>
      <c r="D180" s="1541"/>
      <c r="E180" s="1057"/>
      <c r="F180" s="170"/>
      <c r="G180" s="170"/>
      <c r="H180" s="170"/>
      <c r="I180" s="170"/>
      <c r="J180" s="170"/>
      <c r="K180" s="170"/>
      <c r="L180" s="1031"/>
      <c r="M180" s="170"/>
      <c r="N180" s="1031"/>
      <c r="O180" s="892"/>
      <c r="P180" s="836"/>
      <c r="Q180" s="1709"/>
      <c r="R180" s="1806"/>
      <c r="S180" s="1709"/>
      <c r="T180" s="1962"/>
      <c r="U180" s="1709"/>
      <c r="V180" s="1806"/>
      <c r="W180" s="1709"/>
      <c r="X180" s="1027"/>
      <c r="Y180" s="892"/>
      <c r="Z180" s="893"/>
      <c r="AA180" s="892" t="str">
        <f t="shared" si="32"/>
        <v/>
      </c>
      <c r="AB180" s="1030"/>
      <c r="AC180" s="1622"/>
      <c r="AD180" s="1030"/>
      <c r="AF180" s="895"/>
      <c r="AG180" s="896"/>
      <c r="AJ180" s="900"/>
      <c r="AK180" s="1624"/>
      <c r="AO180" s="1152"/>
      <c r="AP180" s="1152"/>
      <c r="AQ180" s="1152"/>
      <c r="AR180" s="1152"/>
      <c r="AS180" s="1152"/>
      <c r="AT180" s="1152"/>
      <c r="AU180" s="1152"/>
      <c r="AV180" s="1152"/>
      <c r="AW180" s="1152"/>
      <c r="AX180" s="1152"/>
      <c r="AY180" s="1448"/>
      <c r="AZ180" s="1448"/>
      <c r="BA180" s="846"/>
      <c r="BB180" s="846"/>
      <c r="BD180" s="897" t="str">
        <f>IFERROR(VLOOKUP(H180,Valid!$B$94:$N$96,3,FALSE), "")</f>
        <v/>
      </c>
      <c r="BE180" s="898" t="str">
        <f>IFERROR(VLOOKUP(H180,Valid!$B$94:$N$96,4,FALSE), "")</f>
        <v/>
      </c>
      <c r="BF180" s="897" t="str">
        <f t="shared" si="28"/>
        <v/>
      </c>
      <c r="BG180" s="897" t="str">
        <f t="shared" ca="1" si="29"/>
        <v/>
      </c>
      <c r="BH180" s="1860" t="str">
        <f>IFERROR(VLOOKUP($H180,val_equip_assets,BH$4,FALSE), "")</f>
        <v/>
      </c>
      <c r="BI180" s="1547" t="str">
        <f t="shared" ca="1" si="30"/>
        <v/>
      </c>
      <c r="BJ180" s="898" t="str">
        <f ca="1">IF(BI180="", "", IF(BI180&lt;0.1, 5, IF(BI180&lt;0.25, 4, IF(BI180&lt;0.5, 3, IF(BI180&lt;0.75, 2, 1)))))</f>
        <v/>
      </c>
      <c r="BK180" s="898" t="str">
        <f t="shared" si="31"/>
        <v/>
      </c>
      <c r="BL180" s="898" t="str">
        <f t="shared" si="31"/>
        <v/>
      </c>
      <c r="BM180" s="1710" t="str">
        <f t="shared" si="31"/>
        <v/>
      </c>
      <c r="BN180" s="1205" t="str">
        <f>IFERROR(VLOOKUP(H180,Valid!$B$94:$N$96,12,FALSE), "")</f>
        <v/>
      </c>
      <c r="BO180" s="1205" t="str">
        <f>IFERROR(VLOOKUP(H180,Valid!$B$94:$N$96,13,FALSE), "")</f>
        <v/>
      </c>
    </row>
    <row r="181" spans="1:69" s="901" customFormat="1" x14ac:dyDescent="0.2">
      <c r="A181" s="206">
        <v>85</v>
      </c>
      <c r="B181" s="1530">
        <v>85</v>
      </c>
      <c r="C181" s="1703"/>
      <c r="D181" s="1248" t="str">
        <f>IF(C179="","",IF(C181="","Enter Service Fleet Description then Fill in columns "&amp;TEXT($H$2,0)&amp;" - "&amp;TEXT($Z$2,0)&amp;"                 ",""))</f>
        <v/>
      </c>
      <c r="E181" s="1245" t="str">
        <f>IF(AK181="N/A","",AK181)</f>
        <v/>
      </c>
      <c r="F181" s="170"/>
      <c r="G181" s="170"/>
      <c r="H181" s="1704"/>
      <c r="I181" s="1246" t="str">
        <f>IF(AND(E181="No",H181=""),"Select Type of Vehicle                        ","")</f>
        <v/>
      </c>
      <c r="J181" s="1247"/>
      <c r="K181" s="1246" t="str">
        <f>IF(AND(C181="No",H181=""),"Number of Vehicles?  ","")</f>
        <v/>
      </c>
      <c r="L181" s="1782" t="str">
        <f>IFERROR(VLOOKUP($H181,val_equip_assets,BH$4,FALSE), "")</f>
        <v/>
      </c>
      <c r="M181" s="1246"/>
      <c r="N181" s="1247"/>
      <c r="O181" s="892" t="str">
        <f>IF(H181="","",IF(AND(E181="No",N181=""),TEXT(BH181,0)&amp;" Years?   ",""))</f>
        <v/>
      </c>
      <c r="P181" s="1705"/>
      <c r="Q181" s="1706" t="str">
        <f>IF(AND(E181="No",P181=""),"Enter Manufact. Yr.     ","")</f>
        <v/>
      </c>
      <c r="R181" s="1952" t="str">
        <f ca="1">BI181</f>
        <v/>
      </c>
      <c r="S181" s="1706"/>
      <c r="T181" s="1963" t="str">
        <f ca="1">BJ181</f>
        <v/>
      </c>
      <c r="U181" s="1706"/>
      <c r="V181" s="1675"/>
      <c r="W181" s="892" t="str">
        <f>IF(AND(E181="No",V181=""),"% of Cap. Resp.    ","")</f>
        <v/>
      </c>
      <c r="X181" s="1655"/>
      <c r="Y181" s="892" t="str">
        <f>IF(AND(E181="No",X181=""),"Estimated $?   ","")</f>
        <v/>
      </c>
      <c r="Z181" s="1707"/>
      <c r="AA181" s="892" t="str">
        <f t="shared" si="32"/>
        <v/>
      </c>
      <c r="AB181" s="1026" t="str">
        <f>IF(E181="","",IF(OR($X181="",$Z181=""),"missing info.",$X181*VLOOKUP($Z181,Inflate,$BF181+1,FALSE)))</f>
        <v/>
      </c>
      <c r="AC181" s="1622"/>
      <c r="AD181" s="1026" t="str">
        <f>IF(E181="","",IF(J181="","missing info.",IF(AB181="missing info.","missing info.",AB181/J181)))</f>
        <v/>
      </c>
      <c r="AE181" s="839"/>
      <c r="AF181" s="1708"/>
      <c r="AG181" s="896"/>
      <c r="AH181" s="894"/>
      <c r="AI181" s="894" t="b">
        <f>IF(AND(C183&lt;&gt;"",C181=""),TRUE,FALSE)</f>
        <v>0</v>
      </c>
      <c r="AJ181" s="902" t="b">
        <f>IF(AND(N181="",P181&lt;&gt;""),TRUE,FALSE)</f>
        <v>0</v>
      </c>
      <c r="AK181" s="720" t="str">
        <f>IF(AND(J181="",AF181="",Z181="",X181="",V181="",N181="",H181="",P181="",C181=""),"N/A",IF(AND(C181&lt;&gt;"",J181&lt;&gt;"",N181&lt;&gt;"",H181&lt;&gt;"",P181&lt;&gt;"",V181&lt;&gt;"",X181&lt;&gt;"",Z181&lt;&gt;""),"Yes","No"))</f>
        <v>N/A</v>
      </c>
      <c r="AL181" s="720" t="b">
        <f>IF(AND(C181="",E181="no"),TRUE,FALSE)</f>
        <v>0</v>
      </c>
      <c r="AM181" s="720" t="b">
        <f>IF(AND(E181="no",H181=""),TRUE,FALSE)</f>
        <v>0</v>
      </c>
      <c r="AN181" s="720" t="b">
        <f>IF(AND(E181="no",H181=""),TRUE,FALSE)</f>
        <v>0</v>
      </c>
      <c r="AO181" s="903" t="b">
        <f>IF($J181="",FALSE,IF($J181&lt;$BD181,TRUE,FALSE))</f>
        <v>0</v>
      </c>
      <c r="AP181" s="903" t="b">
        <f>IF($J181="",FALSE,IF($J181&gt;$BE181,TRUE,FALSE))</f>
        <v>0</v>
      </c>
      <c r="AQ181" s="903" t="b">
        <f>IF(AND(E181="no",N181=""),TRUE,FALSE)</f>
        <v>0</v>
      </c>
      <c r="AR181" s="903" t="b">
        <f>IF(AND(E181="no",P181=""),TRUE,FALSE)</f>
        <v>0</v>
      </c>
      <c r="AS181" s="903" t="b">
        <f>IF(P181="",FALSE,IF(P181&lt;BM181,TRUE,FALSE))</f>
        <v>0</v>
      </c>
      <c r="AT181" s="903" t="b">
        <f>IF(P181="",FALSE,IF(P181&gt;BaseYear,TRUE,FALSE))</f>
        <v>0</v>
      </c>
      <c r="AU181" s="903" t="b">
        <f>IF(AND(E181="no",V181=""),TRUE,FALSE)</f>
        <v>0</v>
      </c>
      <c r="AV181" s="903" t="b">
        <f>IF(V181="",FALSE,IF(OR(V181&gt;1,V181&lt;0),TRUE,FALSE))</f>
        <v>0</v>
      </c>
      <c r="AW181" s="903" t="b">
        <f>IF($N181="",FALSE,IF($N181&lt;$BK181,TRUE,FALSE))</f>
        <v>0</v>
      </c>
      <c r="AX181" s="903" t="b">
        <f>IF($N181="",FALSE,IF($N181&gt;$BL181,TRUE,FALSE))</f>
        <v>0</v>
      </c>
      <c r="AY181" s="889" t="b">
        <f>IF(AND(E181="no",X181=""),TRUE,FALSE)</f>
        <v>0</v>
      </c>
      <c r="AZ181" s="889" t="b">
        <f>IF(OR(AD181="missing info.",AD181=""),FALSE,IF(AD181&lt;BN181,TRUE,FALSE))</f>
        <v>0</v>
      </c>
      <c r="BA181" s="890" t="b">
        <f>IF(OR(AD181="missing info.",AD181=""),FALSE,IF(AD181&gt;BO181,TRUE,FALSE))</f>
        <v>0</v>
      </c>
      <c r="BB181" s="890" t="b">
        <f>IF(AND(E181="no",Z181=""),TRUE,FALSE)</f>
        <v>0</v>
      </c>
      <c r="BC181" s="894" t="b">
        <f>IF(Z181="",FALSE,IF(OR(Z181&gt;BaseYear,Z181&lt;BM181),TRUE,FALSE))</f>
        <v>0</v>
      </c>
      <c r="BD181" s="897" t="str">
        <f>IFERROR(VLOOKUP(H181,Valid!$B$94:$N$96,3,FALSE), "")</f>
        <v/>
      </c>
      <c r="BE181" s="898" t="str">
        <f>IFERROR(VLOOKUP(H181,Valid!$B$94:$N$96,4,FALSE), "")</f>
        <v/>
      </c>
      <c r="BF181" s="897" t="str">
        <f t="shared" si="28"/>
        <v/>
      </c>
      <c r="BG181" s="897" t="str">
        <f t="shared" ca="1" si="29"/>
        <v/>
      </c>
      <c r="BH181" s="1860">
        <f>N181</f>
        <v>0</v>
      </c>
      <c r="BI181" s="1547" t="str">
        <f t="shared" ca="1" si="30"/>
        <v/>
      </c>
      <c r="BJ181" s="898" t="str">
        <f ca="1">IF(BI181="", "", IF(1+(BI181*4)&lt;1, 1, 1+(BI181*4)))</f>
        <v/>
      </c>
      <c r="BK181" s="898" t="str">
        <f t="shared" si="31"/>
        <v/>
      </c>
      <c r="BL181" s="898" t="str">
        <f t="shared" si="31"/>
        <v/>
      </c>
      <c r="BM181" s="1710" t="str">
        <f t="shared" si="31"/>
        <v/>
      </c>
      <c r="BN181" s="1205" t="str">
        <f>IFERROR(VLOOKUP(H181,Valid!$B$94:$N$96,12,FALSE), "")</f>
        <v/>
      </c>
      <c r="BO181" s="1205" t="str">
        <f>IFERROR(VLOOKUP(H181,Valid!$B$94:$N$96,13,FALSE), "")</f>
        <v/>
      </c>
      <c r="BP181" s="894"/>
      <c r="BQ181" s="894"/>
    </row>
    <row r="182" spans="1:69" s="894" customFormat="1" ht="6.75" customHeight="1" thickBot="1" x14ac:dyDescent="0.25">
      <c r="A182" s="1516"/>
      <c r="B182" s="1530">
        <v>85.5</v>
      </c>
      <c r="C182" s="1471"/>
      <c r="D182" s="1541"/>
      <c r="E182" s="1057"/>
      <c r="F182" s="170"/>
      <c r="G182" s="170"/>
      <c r="H182" s="170"/>
      <c r="I182" s="170"/>
      <c r="J182" s="170"/>
      <c r="K182" s="170"/>
      <c r="L182" s="1031"/>
      <c r="M182" s="170"/>
      <c r="N182" s="1031"/>
      <c r="O182" s="892"/>
      <c r="P182" s="836"/>
      <c r="Q182" s="1709"/>
      <c r="R182" s="1806"/>
      <c r="S182" s="1709"/>
      <c r="T182" s="1962"/>
      <c r="U182" s="1709"/>
      <c r="V182" s="1806"/>
      <c r="W182" s="1709"/>
      <c r="X182" s="1027"/>
      <c r="Y182" s="892"/>
      <c r="Z182" s="893"/>
      <c r="AA182" s="892" t="str">
        <f t="shared" si="32"/>
        <v/>
      </c>
      <c r="AB182" s="1030"/>
      <c r="AC182" s="1622"/>
      <c r="AD182" s="1030"/>
      <c r="AF182" s="895"/>
      <c r="AG182" s="896"/>
      <c r="AJ182" s="900"/>
      <c r="AK182" s="1624"/>
      <c r="AO182" s="1152"/>
      <c r="AP182" s="1152"/>
      <c r="AQ182" s="1152"/>
      <c r="AR182" s="1152"/>
      <c r="AS182" s="1152"/>
      <c r="AT182" s="1152"/>
      <c r="AU182" s="1152"/>
      <c r="AV182" s="1152"/>
      <c r="AW182" s="1152"/>
      <c r="AX182" s="1152"/>
      <c r="AY182" s="1448"/>
      <c r="AZ182" s="1448"/>
      <c r="BA182" s="846"/>
      <c r="BB182" s="846"/>
      <c r="BD182" s="897" t="str">
        <f>IFERROR(VLOOKUP(H182,Valid!$B$94:$N$96,3,FALSE), "")</f>
        <v/>
      </c>
      <c r="BE182" s="898" t="str">
        <f>IFERROR(VLOOKUP(H182,Valid!$B$94:$N$96,4,FALSE), "")</f>
        <v/>
      </c>
      <c r="BF182" s="897" t="str">
        <f t="shared" si="28"/>
        <v/>
      </c>
      <c r="BG182" s="897" t="str">
        <f t="shared" ca="1" si="29"/>
        <v/>
      </c>
      <c r="BH182" s="1860" t="str">
        <f>IFERROR(VLOOKUP($H182,val_equip_assets,BH$4,FALSE), "")</f>
        <v/>
      </c>
      <c r="BI182" s="1547" t="str">
        <f t="shared" ca="1" si="30"/>
        <v/>
      </c>
      <c r="BJ182" s="898" t="str">
        <f ca="1">IF(BI182="", "", IF(BI182&lt;0.1, 5, IF(BI182&lt;0.25, 4, IF(BI182&lt;0.5, 3, IF(BI182&lt;0.75, 2, 1)))))</f>
        <v/>
      </c>
      <c r="BK182" s="898" t="str">
        <f t="shared" si="31"/>
        <v/>
      </c>
      <c r="BL182" s="898" t="str">
        <f t="shared" si="31"/>
        <v/>
      </c>
      <c r="BM182" s="1710" t="str">
        <f t="shared" si="31"/>
        <v/>
      </c>
      <c r="BN182" s="1205" t="str">
        <f>IFERROR(VLOOKUP(H182,Valid!$B$94:$N$96,12,FALSE), "")</f>
        <v/>
      </c>
      <c r="BO182" s="1205" t="str">
        <f>IFERROR(VLOOKUP(H182,Valid!$B$94:$N$96,13,FALSE), "")</f>
        <v/>
      </c>
    </row>
    <row r="183" spans="1:69" s="901" customFormat="1" x14ac:dyDescent="0.2">
      <c r="A183" s="206">
        <v>86</v>
      </c>
      <c r="B183" s="1530">
        <v>86</v>
      </c>
      <c r="C183" s="1703"/>
      <c r="D183" s="1248" t="str">
        <f>IF(C181="","",IF(C183="","Enter Service Fleet Description then Fill in columns "&amp;TEXT($H$2,0)&amp;" - "&amp;TEXT($Z$2,0)&amp;"                 ",""))</f>
        <v/>
      </c>
      <c r="E183" s="1245" t="str">
        <f>IF(AK183="N/A","",AK183)</f>
        <v/>
      </c>
      <c r="F183" s="170"/>
      <c r="G183" s="170"/>
      <c r="H183" s="1704"/>
      <c r="I183" s="1246" t="str">
        <f>IF(AND(E183="No",H183=""),"Select Type of Vehicle                        ","")</f>
        <v/>
      </c>
      <c r="J183" s="1247"/>
      <c r="K183" s="1246" t="str">
        <f>IF(AND(C183="No",H183=""),"Number of Vehicles?  ","")</f>
        <v/>
      </c>
      <c r="L183" s="1782" t="str">
        <f>IFERROR(VLOOKUP($H183,val_equip_assets,BH$4,FALSE), "")</f>
        <v/>
      </c>
      <c r="M183" s="1246"/>
      <c r="N183" s="1247"/>
      <c r="O183" s="892" t="str">
        <f>IF(H183="","",IF(AND(E183="No",N183=""),TEXT(BH183,0)&amp;" Years?   ",""))</f>
        <v/>
      </c>
      <c r="P183" s="1705"/>
      <c r="Q183" s="1706" t="str">
        <f>IF(AND(E183="No",P183=""),"Enter Manufact. Yr.     ","")</f>
        <v/>
      </c>
      <c r="R183" s="1952" t="str">
        <f ca="1">BI183</f>
        <v/>
      </c>
      <c r="S183" s="1706"/>
      <c r="T183" s="1963" t="str">
        <f ca="1">BJ183</f>
        <v/>
      </c>
      <c r="U183" s="1706"/>
      <c r="V183" s="1675"/>
      <c r="W183" s="892" t="str">
        <f>IF(AND(E183="No",V183=""),"% of Cap. Resp.    ","")</f>
        <v/>
      </c>
      <c r="X183" s="1655"/>
      <c r="Y183" s="892" t="str">
        <f>IF(AND(E183="No",X183=""),"Estimated $?   ","")</f>
        <v/>
      </c>
      <c r="Z183" s="1707"/>
      <c r="AA183" s="892" t="str">
        <f t="shared" si="32"/>
        <v/>
      </c>
      <c r="AB183" s="1026" t="str">
        <f>IF(E183="","",IF(OR($X183="",$Z183=""),"missing info.",$X183*VLOOKUP($Z183,Inflate,$BF183+1,FALSE)))</f>
        <v/>
      </c>
      <c r="AC183" s="1622"/>
      <c r="AD183" s="1026" t="str">
        <f>IF(E183="","",IF(J183="","missing info.",IF(AB183="missing info.","missing info.",AB183/J183)))</f>
        <v/>
      </c>
      <c r="AE183" s="839"/>
      <c r="AF183" s="1708"/>
      <c r="AG183" s="896"/>
      <c r="AH183" s="894"/>
      <c r="AI183" s="894" t="b">
        <f>IF(AND(C185&lt;&gt;"",C183=""),TRUE,FALSE)</f>
        <v>0</v>
      </c>
      <c r="AJ183" s="902" t="b">
        <f>IF(AND(N183="",P183&lt;&gt;""),TRUE,FALSE)</f>
        <v>0</v>
      </c>
      <c r="AK183" s="720" t="str">
        <f>IF(AND(J183="",AF183="",Z183="",X183="",V183="",N183="",H183="",P183="",C183=""),"N/A",IF(AND(C183&lt;&gt;"",J183&lt;&gt;"",N183&lt;&gt;"",H183&lt;&gt;"",P183&lt;&gt;"",V183&lt;&gt;"",X183&lt;&gt;"",Z183&lt;&gt;""),"Yes","No"))</f>
        <v>N/A</v>
      </c>
      <c r="AL183" s="720" t="b">
        <f>IF(AND(C183="",E183="no"),TRUE,FALSE)</f>
        <v>0</v>
      </c>
      <c r="AM183" s="720" t="b">
        <f>IF(AND(E183="no",H183=""),TRUE,FALSE)</f>
        <v>0</v>
      </c>
      <c r="AN183" s="720" t="b">
        <f>IF(AND(E183="no",H183=""),TRUE,FALSE)</f>
        <v>0</v>
      </c>
      <c r="AO183" s="903" t="b">
        <f>IF($J183="",FALSE,IF($J183&lt;$BD183,TRUE,FALSE))</f>
        <v>0</v>
      </c>
      <c r="AP183" s="903" t="b">
        <f>IF($J183="",FALSE,IF($J183&gt;$BE183,TRUE,FALSE))</f>
        <v>0</v>
      </c>
      <c r="AQ183" s="903" t="b">
        <f>IF(AND(E183="no",N183=""),TRUE,FALSE)</f>
        <v>0</v>
      </c>
      <c r="AR183" s="903" t="b">
        <f>IF(AND(E183="no",P183=""),TRUE,FALSE)</f>
        <v>0</v>
      </c>
      <c r="AS183" s="903" t="b">
        <f>IF(P183="",FALSE,IF(P183&lt;BM183,TRUE,FALSE))</f>
        <v>0</v>
      </c>
      <c r="AT183" s="903" t="b">
        <f>IF(P183="",FALSE,IF(P183&gt;BaseYear,TRUE,FALSE))</f>
        <v>0</v>
      </c>
      <c r="AU183" s="903" t="b">
        <f>IF(AND(E183="no",V183=""),TRUE,FALSE)</f>
        <v>0</v>
      </c>
      <c r="AV183" s="903" t="b">
        <f>IF(V183="",FALSE,IF(OR(V183&gt;1,V183&lt;0),TRUE,FALSE))</f>
        <v>0</v>
      </c>
      <c r="AW183" s="903" t="b">
        <f>IF($N183="",FALSE,IF($N183&lt;$BK183,TRUE,FALSE))</f>
        <v>0</v>
      </c>
      <c r="AX183" s="903" t="b">
        <f>IF($N183="",FALSE,IF($N183&gt;$BL183,TRUE,FALSE))</f>
        <v>0</v>
      </c>
      <c r="AY183" s="889" t="b">
        <f>IF(AND(E183="no",X183=""),TRUE,FALSE)</f>
        <v>0</v>
      </c>
      <c r="AZ183" s="889" t="b">
        <f>IF(OR(AD183="missing info.",AD183=""),FALSE,IF(AD183&lt;BN183,TRUE,FALSE))</f>
        <v>0</v>
      </c>
      <c r="BA183" s="890" t="b">
        <f>IF(OR(AD183="missing info.",AD183=""),FALSE,IF(AD183&gt;BO183,TRUE,FALSE))</f>
        <v>0</v>
      </c>
      <c r="BB183" s="890" t="b">
        <f>IF(AND(E183="no",Z183=""),TRUE,FALSE)</f>
        <v>0</v>
      </c>
      <c r="BC183" s="894" t="b">
        <f>IF(Z183="",FALSE,IF(OR(Z183&gt;BaseYear,Z183&lt;BM183),TRUE,FALSE))</f>
        <v>0</v>
      </c>
      <c r="BD183" s="897" t="str">
        <f>IFERROR(VLOOKUP(H183,Valid!$B$94:$N$96,3,FALSE), "")</f>
        <v/>
      </c>
      <c r="BE183" s="898" t="str">
        <f>IFERROR(VLOOKUP(H183,Valid!$B$94:$N$96,4,FALSE), "")</f>
        <v/>
      </c>
      <c r="BF183" s="897" t="str">
        <f t="shared" si="28"/>
        <v/>
      </c>
      <c r="BG183" s="897" t="str">
        <f t="shared" ca="1" si="29"/>
        <v/>
      </c>
      <c r="BH183" s="1860">
        <f>N183</f>
        <v>0</v>
      </c>
      <c r="BI183" s="1547" t="str">
        <f t="shared" ca="1" si="30"/>
        <v/>
      </c>
      <c r="BJ183" s="898" t="str">
        <f ca="1">IF(BI183="", "", IF(1+(BI183*4)&lt;1, 1, 1+(BI183*4)))</f>
        <v/>
      </c>
      <c r="BK183" s="898" t="str">
        <f t="shared" si="31"/>
        <v/>
      </c>
      <c r="BL183" s="898" t="str">
        <f t="shared" si="31"/>
        <v/>
      </c>
      <c r="BM183" s="1710" t="str">
        <f t="shared" si="31"/>
        <v/>
      </c>
      <c r="BN183" s="1205" t="str">
        <f>IFERROR(VLOOKUP(H183,Valid!$B$94:$N$96,12,FALSE), "")</f>
        <v/>
      </c>
      <c r="BO183" s="1205" t="str">
        <f>IFERROR(VLOOKUP(H183,Valid!$B$94:$N$96,13,FALSE), "")</f>
        <v/>
      </c>
      <c r="BP183" s="894"/>
      <c r="BQ183" s="894"/>
    </row>
    <row r="184" spans="1:69" s="894" customFormat="1" ht="6.75" customHeight="1" thickBot="1" x14ac:dyDescent="0.25">
      <c r="A184" s="1516"/>
      <c r="B184" s="1530">
        <v>86.5</v>
      </c>
      <c r="C184" s="1471"/>
      <c r="D184" s="1541"/>
      <c r="E184" s="1057"/>
      <c r="F184" s="170"/>
      <c r="G184" s="170"/>
      <c r="H184" s="170"/>
      <c r="I184" s="170"/>
      <c r="J184" s="170"/>
      <c r="K184" s="170"/>
      <c r="L184" s="1031"/>
      <c r="M184" s="170"/>
      <c r="N184" s="1031"/>
      <c r="O184" s="892"/>
      <c r="P184" s="836"/>
      <c r="Q184" s="1709"/>
      <c r="R184" s="1806"/>
      <c r="S184" s="1709"/>
      <c r="T184" s="1962"/>
      <c r="U184" s="1709"/>
      <c r="V184" s="1806"/>
      <c r="W184" s="1709"/>
      <c r="X184" s="1027"/>
      <c r="Y184" s="892"/>
      <c r="Z184" s="893"/>
      <c r="AA184" s="892" t="str">
        <f t="shared" si="32"/>
        <v/>
      </c>
      <c r="AB184" s="1030"/>
      <c r="AC184" s="1622"/>
      <c r="AD184" s="1030"/>
      <c r="AF184" s="895"/>
      <c r="AG184" s="896"/>
      <c r="AJ184" s="900"/>
      <c r="AK184" s="1624"/>
      <c r="AO184" s="1152"/>
      <c r="AP184" s="1152"/>
      <c r="AQ184" s="1152"/>
      <c r="AR184" s="1152"/>
      <c r="AS184" s="1152"/>
      <c r="AT184" s="1152"/>
      <c r="AU184" s="1152"/>
      <c r="AV184" s="1152"/>
      <c r="AW184" s="1152"/>
      <c r="AX184" s="1152"/>
      <c r="AY184" s="1448"/>
      <c r="AZ184" s="1448"/>
      <c r="BA184" s="846"/>
      <c r="BB184" s="846"/>
      <c r="BD184" s="897" t="str">
        <f>IFERROR(VLOOKUP(H184,Valid!$B$94:$N$96,3,FALSE), "")</f>
        <v/>
      </c>
      <c r="BE184" s="898" t="str">
        <f>IFERROR(VLOOKUP(H184,Valid!$B$94:$N$96,4,FALSE), "")</f>
        <v/>
      </c>
      <c r="BF184" s="897" t="str">
        <f t="shared" si="28"/>
        <v/>
      </c>
      <c r="BG184" s="897" t="str">
        <f t="shared" ca="1" si="29"/>
        <v/>
      </c>
      <c r="BH184" s="1860" t="str">
        <f>IFERROR(VLOOKUP($H184,val_equip_assets,BH$4,FALSE), "")</f>
        <v/>
      </c>
      <c r="BI184" s="1547" t="str">
        <f t="shared" ca="1" si="30"/>
        <v/>
      </c>
      <c r="BJ184" s="898" t="str">
        <f ca="1">IF(BI184="", "", IF(BI184&lt;0.1, 5, IF(BI184&lt;0.25, 4, IF(BI184&lt;0.5, 3, IF(BI184&lt;0.75, 2, 1)))))</f>
        <v/>
      </c>
      <c r="BK184" s="898" t="str">
        <f t="shared" si="31"/>
        <v/>
      </c>
      <c r="BL184" s="898" t="str">
        <f t="shared" si="31"/>
        <v/>
      </c>
      <c r="BM184" s="1710" t="str">
        <f t="shared" si="31"/>
        <v/>
      </c>
      <c r="BN184" s="1205" t="str">
        <f>IFERROR(VLOOKUP(H184,Valid!$B$94:$N$96,12,FALSE), "")</f>
        <v/>
      </c>
      <c r="BO184" s="1205" t="str">
        <f>IFERROR(VLOOKUP(H184,Valid!$B$94:$N$96,13,FALSE), "")</f>
        <v/>
      </c>
    </row>
    <row r="185" spans="1:69" s="901" customFormat="1" x14ac:dyDescent="0.2">
      <c r="A185" s="206">
        <v>87</v>
      </c>
      <c r="B185" s="1530">
        <v>87</v>
      </c>
      <c r="C185" s="1703"/>
      <c r="D185" s="1248" t="str">
        <f>IF(C183="","",IF(C185="","Enter Service Fleet Description then Fill in columns "&amp;TEXT($H$2,0)&amp;" - "&amp;TEXT($Z$2,0)&amp;"                 ",""))</f>
        <v/>
      </c>
      <c r="E185" s="1245" t="str">
        <f>IF(AK185="N/A","",AK185)</f>
        <v/>
      </c>
      <c r="F185" s="170"/>
      <c r="G185" s="170"/>
      <c r="H185" s="1704"/>
      <c r="I185" s="1246" t="str">
        <f>IF(AND(E185="No",H185=""),"Select Type of Vehicle                        ","")</f>
        <v/>
      </c>
      <c r="J185" s="1247"/>
      <c r="K185" s="1246" t="str">
        <f>IF(AND(C185="No",H185=""),"Number of Vehicles?  ","")</f>
        <v/>
      </c>
      <c r="L185" s="1782" t="str">
        <f>IFERROR(VLOOKUP($H185,val_equip_assets,BH$4,FALSE), "")</f>
        <v/>
      </c>
      <c r="M185" s="1246"/>
      <c r="N185" s="1247"/>
      <c r="O185" s="892" t="str">
        <f>IF(H185="","",IF(AND(E185="No",N185=""),TEXT(BH185,0)&amp;" Years?   ",""))</f>
        <v/>
      </c>
      <c r="P185" s="1705"/>
      <c r="Q185" s="1706" t="str">
        <f>IF(AND(E185="No",P185=""),"Enter Manufact. Yr.     ","")</f>
        <v/>
      </c>
      <c r="R185" s="1952" t="str">
        <f ca="1">BI185</f>
        <v/>
      </c>
      <c r="S185" s="1706"/>
      <c r="T185" s="1963" t="str">
        <f ca="1">BJ185</f>
        <v/>
      </c>
      <c r="U185" s="1706"/>
      <c r="V185" s="1675"/>
      <c r="W185" s="892" t="str">
        <f>IF(AND(E185="No",V185=""),"% of Cap. Resp.    ","")</f>
        <v/>
      </c>
      <c r="X185" s="1655"/>
      <c r="Y185" s="892" t="str">
        <f>IF(AND(E185="No",X185=""),"Estimated $?   ","")</f>
        <v/>
      </c>
      <c r="Z185" s="1707"/>
      <c r="AA185" s="892" t="str">
        <f t="shared" si="32"/>
        <v/>
      </c>
      <c r="AB185" s="1026" t="str">
        <f>IF(E185="","",IF(OR($X185="",$Z185=""),"missing info.",$X185*VLOOKUP($Z185,Inflate,$BF185+1,FALSE)))</f>
        <v/>
      </c>
      <c r="AC185" s="1622"/>
      <c r="AD185" s="1026" t="str">
        <f>IF(E185="","",IF(J185="","missing info.",IF(AB185="missing info.","missing info.",AB185/J185)))</f>
        <v/>
      </c>
      <c r="AE185" s="839"/>
      <c r="AF185" s="1708"/>
      <c r="AG185" s="896"/>
      <c r="AH185" s="894"/>
      <c r="AI185" s="894" t="b">
        <f>IF(AND(C187&lt;&gt;"",C185=""),TRUE,FALSE)</f>
        <v>0</v>
      </c>
      <c r="AJ185" s="902" t="b">
        <f>IF(AND(N185="",P185&lt;&gt;""),TRUE,FALSE)</f>
        <v>0</v>
      </c>
      <c r="AK185" s="720" t="str">
        <f>IF(AND(J185="",AF185="",Z185="",X185="",V185="",N185="",H185="",P185="",C185=""),"N/A",IF(AND(C185&lt;&gt;"",J185&lt;&gt;"",N185&lt;&gt;"",H185&lt;&gt;"",P185&lt;&gt;"",V185&lt;&gt;"",X185&lt;&gt;"",Z185&lt;&gt;""),"Yes","No"))</f>
        <v>N/A</v>
      </c>
      <c r="AL185" s="720" t="b">
        <f>IF(AND(C185="",E185="no"),TRUE,FALSE)</f>
        <v>0</v>
      </c>
      <c r="AM185" s="720" t="b">
        <f>IF(AND(E185="no",H185=""),TRUE,FALSE)</f>
        <v>0</v>
      </c>
      <c r="AN185" s="720" t="b">
        <f>IF(AND(E185="no",H185=""),TRUE,FALSE)</f>
        <v>0</v>
      </c>
      <c r="AO185" s="903" t="b">
        <f>IF($J185="",FALSE,IF($J185&lt;$BD185,TRUE,FALSE))</f>
        <v>0</v>
      </c>
      <c r="AP185" s="903" t="b">
        <f>IF($J185="",FALSE,IF($J185&gt;$BE185,TRUE,FALSE))</f>
        <v>0</v>
      </c>
      <c r="AQ185" s="903" t="b">
        <f>IF(AND(E185="no",N185=""),TRUE,FALSE)</f>
        <v>0</v>
      </c>
      <c r="AR185" s="903" t="b">
        <f>IF(AND(E185="no",P185=""),TRUE,FALSE)</f>
        <v>0</v>
      </c>
      <c r="AS185" s="903" t="b">
        <f>IF(P185="",FALSE,IF(P185&lt;BM185,TRUE,FALSE))</f>
        <v>0</v>
      </c>
      <c r="AT185" s="903" t="b">
        <f>IF(P185="",FALSE,IF(P185&gt;BaseYear,TRUE,FALSE))</f>
        <v>0</v>
      </c>
      <c r="AU185" s="903" t="b">
        <f>IF(AND(E185="no",V185=""),TRUE,FALSE)</f>
        <v>0</v>
      </c>
      <c r="AV185" s="903" t="b">
        <f>IF(V185="",FALSE,IF(OR(V185&gt;1,V185&lt;0),TRUE,FALSE))</f>
        <v>0</v>
      </c>
      <c r="AW185" s="903" t="b">
        <f>IF($N185="",FALSE,IF($N185&lt;$BK185,TRUE,FALSE))</f>
        <v>0</v>
      </c>
      <c r="AX185" s="903" t="b">
        <f>IF($N185="",FALSE,IF($N185&gt;$BL185,TRUE,FALSE))</f>
        <v>0</v>
      </c>
      <c r="AY185" s="889" t="b">
        <f>IF(AND(E185="no",X185=""),TRUE,FALSE)</f>
        <v>0</v>
      </c>
      <c r="AZ185" s="889" t="b">
        <f>IF(OR(AD185="missing info.",AD185=""),FALSE,IF(AD185&lt;BN185,TRUE,FALSE))</f>
        <v>0</v>
      </c>
      <c r="BA185" s="890" t="b">
        <f>IF(OR(AD185="missing info.",AD185=""),FALSE,IF(AD185&gt;BO185,TRUE,FALSE))</f>
        <v>0</v>
      </c>
      <c r="BB185" s="890" t="b">
        <f>IF(AND(E185="no",Z185=""),TRUE,FALSE)</f>
        <v>0</v>
      </c>
      <c r="BC185" s="894" t="b">
        <f>IF(Z185="",FALSE,IF(OR(Z185&gt;BaseYear,Z185&lt;BM185),TRUE,FALSE))</f>
        <v>0</v>
      </c>
      <c r="BD185" s="897" t="str">
        <f>IFERROR(VLOOKUP(H185,Valid!$B$94:$N$96,3,FALSE), "")</f>
        <v/>
      </c>
      <c r="BE185" s="898" t="str">
        <f>IFERROR(VLOOKUP(H185,Valid!$B$94:$N$96,4,FALSE), "")</f>
        <v/>
      </c>
      <c r="BF185" s="897" t="str">
        <f t="shared" si="28"/>
        <v/>
      </c>
      <c r="BG185" s="897" t="str">
        <f t="shared" ca="1" si="29"/>
        <v/>
      </c>
      <c r="BH185" s="1860">
        <f>N185</f>
        <v>0</v>
      </c>
      <c r="BI185" s="1547" t="str">
        <f t="shared" ca="1" si="30"/>
        <v/>
      </c>
      <c r="BJ185" s="898" t="str">
        <f ca="1">IF(BI185="", "", IF(1+(BI185*4)&lt;1, 1, 1+(BI185*4)))</f>
        <v/>
      </c>
      <c r="BK185" s="898" t="str">
        <f t="shared" si="31"/>
        <v/>
      </c>
      <c r="BL185" s="898" t="str">
        <f t="shared" si="31"/>
        <v/>
      </c>
      <c r="BM185" s="1710" t="str">
        <f t="shared" si="31"/>
        <v/>
      </c>
      <c r="BN185" s="1205" t="str">
        <f>IFERROR(VLOOKUP(H185,Valid!$B$94:$N$96,12,FALSE), "")</f>
        <v/>
      </c>
      <c r="BO185" s="1205" t="str">
        <f>IFERROR(VLOOKUP(H185,Valid!$B$94:$N$96,13,FALSE), "")</f>
        <v/>
      </c>
      <c r="BP185" s="894"/>
      <c r="BQ185" s="894"/>
    </row>
    <row r="186" spans="1:69" s="894" customFormat="1" ht="6.75" customHeight="1" thickBot="1" x14ac:dyDescent="0.25">
      <c r="A186" s="1516"/>
      <c r="B186" s="1530">
        <v>87.5</v>
      </c>
      <c r="C186" s="1471"/>
      <c r="D186" s="1541"/>
      <c r="E186" s="1057"/>
      <c r="F186" s="170"/>
      <c r="G186" s="170"/>
      <c r="H186" s="170"/>
      <c r="I186" s="170"/>
      <c r="J186" s="170"/>
      <c r="K186" s="170"/>
      <c r="L186" s="1031"/>
      <c r="M186" s="170"/>
      <c r="N186" s="1031"/>
      <c r="O186" s="892"/>
      <c r="P186" s="836"/>
      <c r="Q186" s="1709"/>
      <c r="R186" s="1806"/>
      <c r="S186" s="1709"/>
      <c r="T186" s="1962"/>
      <c r="U186" s="1709"/>
      <c r="V186" s="1806"/>
      <c r="W186" s="1709"/>
      <c r="X186" s="1027"/>
      <c r="Y186" s="892"/>
      <c r="Z186" s="893"/>
      <c r="AA186" s="892" t="str">
        <f t="shared" si="32"/>
        <v/>
      </c>
      <c r="AB186" s="1030"/>
      <c r="AC186" s="1622"/>
      <c r="AD186" s="1030"/>
      <c r="AF186" s="895"/>
      <c r="AG186" s="896"/>
      <c r="AJ186" s="900"/>
      <c r="AK186" s="1624"/>
      <c r="AO186" s="1152"/>
      <c r="AP186" s="1152"/>
      <c r="AQ186" s="1152"/>
      <c r="AR186" s="1152"/>
      <c r="AS186" s="1152"/>
      <c r="AT186" s="1152"/>
      <c r="AU186" s="1152"/>
      <c r="AV186" s="1152"/>
      <c r="AW186" s="1152"/>
      <c r="AX186" s="1152"/>
      <c r="AY186" s="1448"/>
      <c r="AZ186" s="1448"/>
      <c r="BA186" s="846"/>
      <c r="BB186" s="846"/>
      <c r="BD186" s="897" t="str">
        <f>IFERROR(VLOOKUP(H186,Valid!$B$94:$N$96,3,FALSE), "")</f>
        <v/>
      </c>
      <c r="BE186" s="898" t="str">
        <f>IFERROR(VLOOKUP(H186,Valid!$B$94:$N$96,4,FALSE), "")</f>
        <v/>
      </c>
      <c r="BF186" s="897" t="str">
        <f t="shared" si="28"/>
        <v/>
      </c>
      <c r="BG186" s="897" t="str">
        <f t="shared" ca="1" si="29"/>
        <v/>
      </c>
      <c r="BH186" s="1860" t="str">
        <f>IFERROR(VLOOKUP($H186,val_equip_assets,BH$4,FALSE), "")</f>
        <v/>
      </c>
      <c r="BI186" s="1547" t="str">
        <f t="shared" ca="1" si="30"/>
        <v/>
      </c>
      <c r="BJ186" s="898" t="str">
        <f ca="1">IF(BI186="", "", IF(BI186&lt;0.1, 5, IF(BI186&lt;0.25, 4, IF(BI186&lt;0.5, 3, IF(BI186&lt;0.75, 2, 1)))))</f>
        <v/>
      </c>
      <c r="BK186" s="898" t="str">
        <f t="shared" si="31"/>
        <v/>
      </c>
      <c r="BL186" s="898" t="str">
        <f t="shared" si="31"/>
        <v/>
      </c>
      <c r="BM186" s="1710" t="str">
        <f t="shared" si="31"/>
        <v/>
      </c>
      <c r="BN186" s="1205" t="str">
        <f>IFERROR(VLOOKUP(H186,Valid!$B$94:$N$96,12,FALSE), "")</f>
        <v/>
      </c>
      <c r="BO186" s="1205" t="str">
        <f>IFERROR(VLOOKUP(H186,Valid!$B$94:$N$96,13,FALSE), "")</f>
        <v/>
      </c>
    </row>
    <row r="187" spans="1:69" s="901" customFormat="1" x14ac:dyDescent="0.2">
      <c r="A187" s="206">
        <v>88</v>
      </c>
      <c r="B187" s="1530">
        <v>88</v>
      </c>
      <c r="C187" s="1703"/>
      <c r="D187" s="1248" t="str">
        <f>IF(C185="","",IF(C187="","Enter Service Fleet Description then Fill in columns "&amp;TEXT($H$2,0)&amp;" - "&amp;TEXT($Z$2,0)&amp;"                 ",""))</f>
        <v/>
      </c>
      <c r="E187" s="1245" t="str">
        <f>IF(AK187="N/A","",AK187)</f>
        <v/>
      </c>
      <c r="F187" s="170"/>
      <c r="G187" s="170"/>
      <c r="H187" s="1704"/>
      <c r="I187" s="1246" t="str">
        <f>IF(AND(E187="No",H187=""),"Select Type of Vehicle                        ","")</f>
        <v/>
      </c>
      <c r="J187" s="1247"/>
      <c r="K187" s="1246" t="str">
        <f>IF(AND(C187="No",H187=""),"Number of Vehicles?  ","")</f>
        <v/>
      </c>
      <c r="L187" s="1782" t="str">
        <f>IFERROR(VLOOKUP($H187,val_equip_assets,BH$4,FALSE), "")</f>
        <v/>
      </c>
      <c r="M187" s="1246"/>
      <c r="N187" s="1247"/>
      <c r="O187" s="892" t="str">
        <f>IF(H187="","",IF(AND(E187="No",N187=""),TEXT(BH187,0)&amp;" Years?   ",""))</f>
        <v/>
      </c>
      <c r="P187" s="1705"/>
      <c r="Q187" s="1706" t="str">
        <f>IF(AND(E187="No",P187=""),"Enter Manufact. Yr.     ","")</f>
        <v/>
      </c>
      <c r="R187" s="1952" t="str">
        <f ca="1">BI187</f>
        <v/>
      </c>
      <c r="S187" s="1706"/>
      <c r="T187" s="1963" t="str">
        <f ca="1">BJ187</f>
        <v/>
      </c>
      <c r="U187" s="1706"/>
      <c r="V187" s="1675"/>
      <c r="W187" s="892" t="str">
        <f>IF(AND(E187="No",V187=""),"% of Cap. Resp.    ","")</f>
        <v/>
      </c>
      <c r="X187" s="1655"/>
      <c r="Y187" s="892" t="str">
        <f>IF(AND(E187="No",X187=""),"Estimated $?   ","")</f>
        <v/>
      </c>
      <c r="Z187" s="1707"/>
      <c r="AA187" s="892" t="str">
        <f t="shared" si="32"/>
        <v/>
      </c>
      <c r="AB187" s="1026" t="str">
        <f>IF(E187="","",IF(OR($X187="",$Z187=""),"missing info.",$X187*VLOOKUP($Z187,Inflate,$BF187+1,FALSE)))</f>
        <v/>
      </c>
      <c r="AC187" s="1622"/>
      <c r="AD187" s="1026" t="str">
        <f>IF(E187="","",IF(J187="","missing info.",IF(AB187="missing info.","missing info.",AB187/J187)))</f>
        <v/>
      </c>
      <c r="AE187" s="839"/>
      <c r="AF187" s="1708"/>
      <c r="AG187" s="896"/>
      <c r="AH187" s="894"/>
      <c r="AI187" s="894" t="b">
        <f>IF(AND(C189&lt;&gt;"",C187=""),TRUE,FALSE)</f>
        <v>0</v>
      </c>
      <c r="AJ187" s="902" t="b">
        <f>IF(AND(N187="",P187&lt;&gt;""),TRUE,FALSE)</f>
        <v>0</v>
      </c>
      <c r="AK187" s="720" t="str">
        <f>IF(AND(J187="",AF187="",Z187="",X187="",V187="",N187="",H187="",P187="",C187=""),"N/A",IF(AND(C187&lt;&gt;"",J187&lt;&gt;"",N187&lt;&gt;"",H187&lt;&gt;"",P187&lt;&gt;"",V187&lt;&gt;"",X187&lt;&gt;"",Z187&lt;&gt;""),"Yes","No"))</f>
        <v>N/A</v>
      </c>
      <c r="AL187" s="720" t="b">
        <f>IF(AND(C187="",E187="no"),TRUE,FALSE)</f>
        <v>0</v>
      </c>
      <c r="AM187" s="720" t="b">
        <f>IF(AND(E187="no",H187=""),TRUE,FALSE)</f>
        <v>0</v>
      </c>
      <c r="AN187" s="720" t="b">
        <f>IF(AND(E187="no",H187=""),TRUE,FALSE)</f>
        <v>0</v>
      </c>
      <c r="AO187" s="903" t="b">
        <f>IF($J187="",FALSE,IF($J187&lt;$BD187,TRUE,FALSE))</f>
        <v>0</v>
      </c>
      <c r="AP187" s="903" t="b">
        <f>IF($J187="",FALSE,IF($J187&gt;$BE187,TRUE,FALSE))</f>
        <v>0</v>
      </c>
      <c r="AQ187" s="903" t="b">
        <f>IF(AND(E187="no",N187=""),TRUE,FALSE)</f>
        <v>0</v>
      </c>
      <c r="AR187" s="903" t="b">
        <f>IF(AND(E187="no",P187=""),TRUE,FALSE)</f>
        <v>0</v>
      </c>
      <c r="AS187" s="903" t="b">
        <f>IF(P187="",FALSE,IF(P187&lt;BM187,TRUE,FALSE))</f>
        <v>0</v>
      </c>
      <c r="AT187" s="903" t="b">
        <f>IF(P187="",FALSE,IF(P187&gt;BaseYear,TRUE,FALSE))</f>
        <v>0</v>
      </c>
      <c r="AU187" s="903" t="b">
        <f>IF(AND(E187="no",V187=""),TRUE,FALSE)</f>
        <v>0</v>
      </c>
      <c r="AV187" s="903" t="b">
        <f>IF(V187="",FALSE,IF(OR(V187&gt;1,V187&lt;0),TRUE,FALSE))</f>
        <v>0</v>
      </c>
      <c r="AW187" s="903" t="b">
        <f>IF($N187="",FALSE,IF($N187&lt;$BK187,TRUE,FALSE))</f>
        <v>0</v>
      </c>
      <c r="AX187" s="903" t="b">
        <f>IF($N187="",FALSE,IF($N187&gt;$BL187,TRUE,FALSE))</f>
        <v>0</v>
      </c>
      <c r="AY187" s="889" t="b">
        <f>IF(AND(E187="no",X187=""),TRUE,FALSE)</f>
        <v>0</v>
      </c>
      <c r="AZ187" s="889" t="b">
        <f>IF(OR(AD187="missing info.",AD187=""),FALSE,IF(AD187&lt;BN187,TRUE,FALSE))</f>
        <v>0</v>
      </c>
      <c r="BA187" s="890" t="b">
        <f>IF(OR(AD187="missing info.",AD187=""),FALSE,IF(AD187&gt;BO187,TRUE,FALSE))</f>
        <v>0</v>
      </c>
      <c r="BB187" s="890" t="b">
        <f>IF(AND(E187="no",Z187=""),TRUE,FALSE)</f>
        <v>0</v>
      </c>
      <c r="BC187" s="894" t="b">
        <f>IF(Z187="",FALSE,IF(OR(Z187&gt;BaseYear,Z187&lt;BM187),TRUE,FALSE))</f>
        <v>0</v>
      </c>
      <c r="BD187" s="897" t="str">
        <f>IFERROR(VLOOKUP(H187,Valid!$B$94:$N$96,3,FALSE), "")</f>
        <v/>
      </c>
      <c r="BE187" s="898" t="str">
        <f>IFERROR(VLOOKUP(H187,Valid!$B$94:$N$96,4,FALSE), "")</f>
        <v/>
      </c>
      <c r="BF187" s="897" t="str">
        <f t="shared" si="28"/>
        <v/>
      </c>
      <c r="BG187" s="897" t="str">
        <f t="shared" ca="1" si="29"/>
        <v/>
      </c>
      <c r="BH187" s="1860">
        <f>N187</f>
        <v>0</v>
      </c>
      <c r="BI187" s="1547" t="str">
        <f t="shared" ca="1" si="30"/>
        <v/>
      </c>
      <c r="BJ187" s="898" t="str">
        <f ca="1">IF(BI187="", "", IF(1+(BI187*4)&lt;1, 1, 1+(BI187*4)))</f>
        <v/>
      </c>
      <c r="BK187" s="898" t="str">
        <f t="shared" si="31"/>
        <v/>
      </c>
      <c r="BL187" s="898" t="str">
        <f t="shared" si="31"/>
        <v/>
      </c>
      <c r="BM187" s="1710" t="str">
        <f t="shared" si="31"/>
        <v/>
      </c>
      <c r="BN187" s="1205" t="str">
        <f>IFERROR(VLOOKUP(H187,Valid!$B$94:$N$96,12,FALSE), "")</f>
        <v/>
      </c>
      <c r="BO187" s="1205" t="str">
        <f>IFERROR(VLOOKUP(H187,Valid!$B$94:$N$96,13,FALSE), "")</f>
        <v/>
      </c>
      <c r="BP187" s="894"/>
      <c r="BQ187" s="894"/>
    </row>
    <row r="188" spans="1:69" s="894" customFormat="1" ht="6.75" customHeight="1" thickBot="1" x14ac:dyDescent="0.25">
      <c r="A188" s="1516"/>
      <c r="B188" s="1530">
        <v>88.5</v>
      </c>
      <c r="C188" s="1471"/>
      <c r="D188" s="1541"/>
      <c r="E188" s="1057"/>
      <c r="F188" s="170"/>
      <c r="G188" s="170"/>
      <c r="H188" s="170"/>
      <c r="I188" s="170"/>
      <c r="J188" s="170"/>
      <c r="K188" s="170"/>
      <c r="L188" s="1031"/>
      <c r="M188" s="170"/>
      <c r="N188" s="1031"/>
      <c r="O188" s="892"/>
      <c r="P188" s="836"/>
      <c r="Q188" s="1709"/>
      <c r="R188" s="1806"/>
      <c r="S188" s="1709"/>
      <c r="T188" s="1962"/>
      <c r="U188" s="1709"/>
      <c r="V188" s="1806"/>
      <c r="W188" s="1709"/>
      <c r="X188" s="1027"/>
      <c r="Y188" s="892"/>
      <c r="Z188" s="893"/>
      <c r="AA188" s="892" t="str">
        <f t="shared" si="32"/>
        <v/>
      </c>
      <c r="AB188" s="1030"/>
      <c r="AC188" s="1622"/>
      <c r="AD188" s="1030"/>
      <c r="AF188" s="895"/>
      <c r="AG188" s="896"/>
      <c r="AJ188" s="900"/>
      <c r="AK188" s="1624"/>
      <c r="AO188" s="1152"/>
      <c r="AP188" s="1152"/>
      <c r="AQ188" s="1152"/>
      <c r="AR188" s="1152"/>
      <c r="AS188" s="1152"/>
      <c r="AT188" s="1152"/>
      <c r="AU188" s="1152"/>
      <c r="AV188" s="1152"/>
      <c r="AW188" s="1152"/>
      <c r="AX188" s="1152"/>
      <c r="AY188" s="1448"/>
      <c r="AZ188" s="1448"/>
      <c r="BA188" s="846"/>
      <c r="BB188" s="846"/>
      <c r="BD188" s="897" t="str">
        <f>IFERROR(VLOOKUP(H188,Valid!$B$94:$N$96,3,FALSE), "")</f>
        <v/>
      </c>
      <c r="BE188" s="898" t="str">
        <f>IFERROR(VLOOKUP(H188,Valid!$B$94:$N$96,4,FALSE), "")</f>
        <v/>
      </c>
      <c r="BF188" s="897" t="str">
        <f t="shared" si="28"/>
        <v/>
      </c>
      <c r="BG188" s="897" t="str">
        <f t="shared" ca="1" si="29"/>
        <v/>
      </c>
      <c r="BH188" s="1860" t="str">
        <f>IFERROR(VLOOKUP($H188,val_equip_assets,BH$4,FALSE), "")</f>
        <v/>
      </c>
      <c r="BI188" s="1547" t="str">
        <f t="shared" ca="1" si="30"/>
        <v/>
      </c>
      <c r="BJ188" s="898" t="str">
        <f ca="1">IF(BI188="", "", IF(BI188&lt;0.1, 5, IF(BI188&lt;0.25, 4, IF(BI188&lt;0.5, 3, IF(BI188&lt;0.75, 2, 1)))))</f>
        <v/>
      </c>
      <c r="BK188" s="898" t="str">
        <f t="shared" si="31"/>
        <v/>
      </c>
      <c r="BL188" s="898" t="str">
        <f t="shared" si="31"/>
        <v/>
      </c>
      <c r="BM188" s="1710" t="str">
        <f t="shared" si="31"/>
        <v/>
      </c>
      <c r="BN188" s="1205" t="str">
        <f>IFERROR(VLOOKUP(H188,Valid!$B$94:$N$96,12,FALSE), "")</f>
        <v/>
      </c>
      <c r="BO188" s="1205" t="str">
        <f>IFERROR(VLOOKUP(H188,Valid!$B$94:$N$96,13,FALSE), "")</f>
        <v/>
      </c>
    </row>
    <row r="189" spans="1:69" s="901" customFormat="1" x14ac:dyDescent="0.2">
      <c r="A189" s="206">
        <v>89</v>
      </c>
      <c r="B189" s="1530">
        <v>89</v>
      </c>
      <c r="C189" s="1703"/>
      <c r="D189" s="1248" t="str">
        <f>IF(C187="","",IF(C189="","Enter Service Fleet Description then Fill in columns "&amp;TEXT($H$2,0)&amp;" - "&amp;TEXT($Z$2,0)&amp;"                 ",""))</f>
        <v/>
      </c>
      <c r="E189" s="1245" t="str">
        <f>IF(AK189="N/A","",AK189)</f>
        <v/>
      </c>
      <c r="F189" s="170"/>
      <c r="G189" s="170"/>
      <c r="H189" s="1704"/>
      <c r="I189" s="1246" t="str">
        <f>IF(AND(E189="No",H189=""),"Select Type of Vehicle                        ","")</f>
        <v/>
      </c>
      <c r="J189" s="1247"/>
      <c r="K189" s="1246" t="str">
        <f>IF(AND(C189="No",H189=""),"Number of Vehicles?  ","")</f>
        <v/>
      </c>
      <c r="L189" s="1782" t="str">
        <f>IFERROR(VLOOKUP($H189,val_equip_assets,BH$4,FALSE), "")</f>
        <v/>
      </c>
      <c r="M189" s="1246"/>
      <c r="N189" s="1247"/>
      <c r="O189" s="892" t="str">
        <f>IF(H189="","",IF(AND(E189="No",N189=""),TEXT(BH189,0)&amp;" Years?   ",""))</f>
        <v/>
      </c>
      <c r="P189" s="1705"/>
      <c r="Q189" s="1706" t="str">
        <f>IF(AND(E189="No",P189=""),"Enter Manufact. Yr.     ","")</f>
        <v/>
      </c>
      <c r="R189" s="1952" t="str">
        <f ca="1">BI189</f>
        <v/>
      </c>
      <c r="S189" s="1706"/>
      <c r="T189" s="1963" t="str">
        <f ca="1">BJ189</f>
        <v/>
      </c>
      <c r="U189" s="1706"/>
      <c r="V189" s="1675"/>
      <c r="W189" s="892" t="str">
        <f>IF(AND(E189="No",V189=""),"% of Cap. Resp.    ","")</f>
        <v/>
      </c>
      <c r="X189" s="1655"/>
      <c r="Y189" s="892" t="str">
        <f>IF(AND(E189="No",X189=""),"Estimated $?   ","")</f>
        <v/>
      </c>
      <c r="Z189" s="1707"/>
      <c r="AA189" s="892" t="str">
        <f t="shared" si="32"/>
        <v/>
      </c>
      <c r="AB189" s="1026" t="str">
        <f>IF(E189="","",IF(OR($X189="",$Z189=""),"missing info.",$X189*VLOOKUP($Z189,Inflate,$BF189+1,FALSE)))</f>
        <v/>
      </c>
      <c r="AC189" s="1622"/>
      <c r="AD189" s="1026" t="str">
        <f>IF(E189="","",IF(J189="","missing info.",IF(AB189="missing info.","missing info.",AB189/J189)))</f>
        <v/>
      </c>
      <c r="AE189" s="839"/>
      <c r="AF189" s="1708"/>
      <c r="AG189" s="896"/>
      <c r="AH189" s="894"/>
      <c r="AI189" s="894" t="b">
        <f>IF(AND(C191&lt;&gt;"",C189=""),TRUE,FALSE)</f>
        <v>0</v>
      </c>
      <c r="AJ189" s="902" t="b">
        <f>IF(AND(N189="",P189&lt;&gt;""),TRUE,FALSE)</f>
        <v>0</v>
      </c>
      <c r="AK189" s="720" t="str">
        <f>IF(AND(J189="",AF189="",Z189="",X189="",V189="",N189="",H189="",P189="",C189=""),"N/A",IF(AND(C189&lt;&gt;"",J189&lt;&gt;"",N189&lt;&gt;"",H189&lt;&gt;"",P189&lt;&gt;"",V189&lt;&gt;"",X189&lt;&gt;"",Z189&lt;&gt;""),"Yes","No"))</f>
        <v>N/A</v>
      </c>
      <c r="AL189" s="720" t="b">
        <f>IF(AND(C189="",E189="no"),TRUE,FALSE)</f>
        <v>0</v>
      </c>
      <c r="AM189" s="720" t="b">
        <f>IF(AND(E189="no",H189=""),TRUE,FALSE)</f>
        <v>0</v>
      </c>
      <c r="AN189" s="720" t="b">
        <f>IF(AND(E189="no",H189=""),TRUE,FALSE)</f>
        <v>0</v>
      </c>
      <c r="AO189" s="903" t="b">
        <f>IF($J189="",FALSE,IF($J189&lt;$BD189,TRUE,FALSE))</f>
        <v>0</v>
      </c>
      <c r="AP189" s="903" t="b">
        <f>IF($J189="",FALSE,IF($J189&gt;$BE189,TRUE,FALSE))</f>
        <v>0</v>
      </c>
      <c r="AQ189" s="903" t="b">
        <f>IF(AND(E189="no",N189=""),TRUE,FALSE)</f>
        <v>0</v>
      </c>
      <c r="AR189" s="903" t="b">
        <f>IF(AND(E189="no",P189=""),TRUE,FALSE)</f>
        <v>0</v>
      </c>
      <c r="AS189" s="903" t="b">
        <f>IF(P189="",FALSE,IF(P189&lt;BM189,TRUE,FALSE))</f>
        <v>0</v>
      </c>
      <c r="AT189" s="903" t="b">
        <f>IF(P189="",FALSE,IF(P189&gt;BaseYear,TRUE,FALSE))</f>
        <v>0</v>
      </c>
      <c r="AU189" s="903" t="b">
        <f>IF(AND(E189="no",V189=""),TRUE,FALSE)</f>
        <v>0</v>
      </c>
      <c r="AV189" s="903" t="b">
        <f>IF(V189="",FALSE,IF(OR(V189&gt;1,V189&lt;0),TRUE,FALSE))</f>
        <v>0</v>
      </c>
      <c r="AW189" s="903" t="b">
        <f>IF($N189="",FALSE,IF($N189&lt;$BK189,TRUE,FALSE))</f>
        <v>0</v>
      </c>
      <c r="AX189" s="903" t="b">
        <f>IF($N189="",FALSE,IF($N189&gt;$BL189,TRUE,FALSE))</f>
        <v>0</v>
      </c>
      <c r="AY189" s="889" t="b">
        <f>IF(AND(E189="no",X189=""),TRUE,FALSE)</f>
        <v>0</v>
      </c>
      <c r="AZ189" s="889" t="b">
        <f>IF(OR(AD189="missing info.",AD189=""),FALSE,IF(AD189&lt;BN189,TRUE,FALSE))</f>
        <v>0</v>
      </c>
      <c r="BA189" s="890" t="b">
        <f>IF(OR(AD189="missing info.",AD189=""),FALSE,IF(AD189&gt;BO189,TRUE,FALSE))</f>
        <v>0</v>
      </c>
      <c r="BB189" s="890" t="b">
        <f>IF(AND(E189="no",Z189=""),TRUE,FALSE)</f>
        <v>0</v>
      </c>
      <c r="BC189" s="894" t="b">
        <f>IF(Z189="",FALSE,IF(OR(Z189&gt;BaseYear,Z189&lt;BM189),TRUE,FALSE))</f>
        <v>0</v>
      </c>
      <c r="BD189" s="897" t="str">
        <f>IFERROR(VLOOKUP(H189,Valid!$B$94:$N$96,3,FALSE), "")</f>
        <v/>
      </c>
      <c r="BE189" s="898" t="str">
        <f>IFERROR(VLOOKUP(H189,Valid!$B$94:$N$96,4,FALSE), "")</f>
        <v/>
      </c>
      <c r="BF189" s="897" t="str">
        <f t="shared" si="28"/>
        <v/>
      </c>
      <c r="BG189" s="897" t="str">
        <f t="shared" ca="1" si="29"/>
        <v/>
      </c>
      <c r="BH189" s="1860">
        <f>N189</f>
        <v>0</v>
      </c>
      <c r="BI189" s="1547" t="str">
        <f t="shared" ca="1" si="30"/>
        <v/>
      </c>
      <c r="BJ189" s="898" t="str">
        <f ca="1">IF(BI189="", "", IF(1+(BI189*4)&lt;1, 1, 1+(BI189*4)))</f>
        <v/>
      </c>
      <c r="BK189" s="898" t="str">
        <f t="shared" si="31"/>
        <v/>
      </c>
      <c r="BL189" s="898" t="str">
        <f t="shared" si="31"/>
        <v/>
      </c>
      <c r="BM189" s="1710" t="str">
        <f t="shared" si="31"/>
        <v/>
      </c>
      <c r="BN189" s="1205" t="str">
        <f>IFERROR(VLOOKUP(H189,Valid!$B$94:$N$96,12,FALSE), "")</f>
        <v/>
      </c>
      <c r="BO189" s="1205" t="str">
        <f>IFERROR(VLOOKUP(H189,Valid!$B$94:$N$96,13,FALSE), "")</f>
        <v/>
      </c>
      <c r="BP189" s="894"/>
      <c r="BQ189" s="894"/>
    </row>
    <row r="190" spans="1:69" s="894" customFormat="1" ht="6.75" customHeight="1" thickBot="1" x14ac:dyDescent="0.25">
      <c r="A190" s="1516"/>
      <c r="B190" s="1530">
        <v>89.5</v>
      </c>
      <c r="C190" s="1471"/>
      <c r="D190" s="1541"/>
      <c r="E190" s="1057"/>
      <c r="F190" s="170"/>
      <c r="G190" s="170"/>
      <c r="H190" s="170"/>
      <c r="I190" s="170"/>
      <c r="J190" s="170"/>
      <c r="K190" s="170"/>
      <c r="L190" s="1031"/>
      <c r="M190" s="170"/>
      <c r="N190" s="1031"/>
      <c r="O190" s="892"/>
      <c r="P190" s="836"/>
      <c r="Q190" s="1709"/>
      <c r="R190" s="1806"/>
      <c r="S190" s="1709"/>
      <c r="T190" s="1962"/>
      <c r="U190" s="1709"/>
      <c r="V190" s="1806"/>
      <c r="W190" s="1709"/>
      <c r="X190" s="1027"/>
      <c r="Y190" s="892"/>
      <c r="Z190" s="893"/>
      <c r="AA190" s="892" t="str">
        <f t="shared" si="32"/>
        <v/>
      </c>
      <c r="AB190" s="1030"/>
      <c r="AC190" s="1622"/>
      <c r="AD190" s="1030"/>
      <c r="AF190" s="895"/>
      <c r="AG190" s="896"/>
      <c r="AJ190" s="900"/>
      <c r="AK190" s="1624"/>
      <c r="AO190" s="1152"/>
      <c r="AP190" s="1152"/>
      <c r="AQ190" s="1152"/>
      <c r="AR190" s="1152"/>
      <c r="AS190" s="1152"/>
      <c r="AT190" s="1152"/>
      <c r="AU190" s="1152"/>
      <c r="AV190" s="1152"/>
      <c r="AW190" s="1152"/>
      <c r="AX190" s="1152"/>
      <c r="AY190" s="1448"/>
      <c r="AZ190" s="1448"/>
      <c r="BA190" s="846"/>
      <c r="BB190" s="846"/>
      <c r="BD190" s="897" t="str">
        <f>IFERROR(VLOOKUP(H190,Valid!$B$94:$N$96,3,FALSE), "")</f>
        <v/>
      </c>
      <c r="BE190" s="898" t="str">
        <f>IFERROR(VLOOKUP(H190,Valid!$B$94:$N$96,4,FALSE), "")</f>
        <v/>
      </c>
      <c r="BF190" s="897" t="str">
        <f t="shared" si="28"/>
        <v/>
      </c>
      <c r="BG190" s="897" t="str">
        <f t="shared" ca="1" si="29"/>
        <v/>
      </c>
      <c r="BH190" s="1860" t="str">
        <f>IFERROR(VLOOKUP($H190,val_equip_assets,BH$4,FALSE), "")</f>
        <v/>
      </c>
      <c r="BI190" s="1547" t="str">
        <f t="shared" ca="1" si="30"/>
        <v/>
      </c>
      <c r="BJ190" s="898" t="str">
        <f ca="1">IF(BI190="", "", IF(BI190&lt;0.1, 5, IF(BI190&lt;0.25, 4, IF(BI190&lt;0.5, 3, IF(BI190&lt;0.75, 2, 1)))))</f>
        <v/>
      </c>
      <c r="BK190" s="898" t="str">
        <f t="shared" si="31"/>
        <v/>
      </c>
      <c r="BL190" s="898" t="str">
        <f t="shared" si="31"/>
        <v/>
      </c>
      <c r="BM190" s="1710" t="str">
        <f t="shared" si="31"/>
        <v/>
      </c>
      <c r="BN190" s="1205" t="str">
        <f>IFERROR(VLOOKUP(H190,Valid!$B$94:$N$96,12,FALSE), "")</f>
        <v/>
      </c>
      <c r="BO190" s="1205" t="str">
        <f>IFERROR(VLOOKUP(H190,Valid!$B$94:$N$96,13,FALSE), "")</f>
        <v/>
      </c>
    </row>
    <row r="191" spans="1:69" s="901" customFormat="1" x14ac:dyDescent="0.2">
      <c r="A191" s="206">
        <v>90</v>
      </c>
      <c r="B191" s="1530">
        <v>90</v>
      </c>
      <c r="C191" s="1703"/>
      <c r="D191" s="1248" t="str">
        <f>IF(C189="","",IF(C191="","Enter Service Fleet Description then Fill in columns "&amp;TEXT($H$2,0)&amp;" - "&amp;TEXT($Z$2,0)&amp;"                 ",""))</f>
        <v/>
      </c>
      <c r="E191" s="1245" t="str">
        <f>IF(AK191="N/A","",AK191)</f>
        <v/>
      </c>
      <c r="F191" s="170"/>
      <c r="G191" s="170"/>
      <c r="H191" s="1704"/>
      <c r="I191" s="1246" t="str">
        <f>IF(AND(E191="No",H191=""),"Select Type of Vehicle                        ","")</f>
        <v/>
      </c>
      <c r="J191" s="1247"/>
      <c r="K191" s="1246" t="str">
        <f>IF(AND(C191="No",H191=""),"Number of Vehicles?  ","")</f>
        <v/>
      </c>
      <c r="L191" s="1782" t="str">
        <f>IFERROR(VLOOKUP($H191,val_equip_assets,BH$4,FALSE), "")</f>
        <v/>
      </c>
      <c r="M191" s="1246"/>
      <c r="N191" s="1247"/>
      <c r="O191" s="892" t="str">
        <f>IF(H191="","",IF(AND(E191="No",N191=""),TEXT(BH191,0)&amp;" Years?   ",""))</f>
        <v/>
      </c>
      <c r="P191" s="1705"/>
      <c r="Q191" s="1706" t="str">
        <f>IF(AND(E191="No",P191=""),"Enter Manufact. Yr.     ","")</f>
        <v/>
      </c>
      <c r="R191" s="1952" t="str">
        <f ca="1">BI191</f>
        <v/>
      </c>
      <c r="S191" s="1706"/>
      <c r="T191" s="1963" t="str">
        <f ca="1">BJ191</f>
        <v/>
      </c>
      <c r="U191" s="1706"/>
      <c r="V191" s="1675"/>
      <c r="W191" s="892" t="str">
        <f>IF(AND(E191="No",V191=""),"% of Cap. Resp.    ","")</f>
        <v/>
      </c>
      <c r="X191" s="1655"/>
      <c r="Y191" s="892" t="str">
        <f>IF(AND(E191="No",X191=""),"Estimated $?   ","")</f>
        <v/>
      </c>
      <c r="Z191" s="1707"/>
      <c r="AA191" s="892" t="str">
        <f t="shared" si="32"/>
        <v/>
      </c>
      <c r="AB191" s="1026" t="str">
        <f>IF(E191="","",IF(OR($X191="",$Z191=""),"missing info.",$X191*VLOOKUP($Z191,Inflate,$BF191+1,FALSE)))</f>
        <v/>
      </c>
      <c r="AC191" s="1622"/>
      <c r="AD191" s="1026" t="str">
        <f>IF(E191="","",IF(J191="","missing info.",IF(AB191="missing info.","missing info.",AB191/J191)))</f>
        <v/>
      </c>
      <c r="AE191" s="839"/>
      <c r="AF191" s="1708"/>
      <c r="AG191" s="896"/>
      <c r="AH191" s="894"/>
      <c r="AI191" s="894" t="b">
        <f>IF(AND(C193&lt;&gt;"",C191=""),TRUE,FALSE)</f>
        <v>0</v>
      </c>
      <c r="AJ191" s="902" t="b">
        <f>IF(AND(N191="",P191&lt;&gt;""),TRUE,FALSE)</f>
        <v>0</v>
      </c>
      <c r="AK191" s="720" t="str">
        <f>IF(AND(J191="",AF191="",Z191="",X191="",V191="",N191="",H191="",P191="",C191=""),"N/A",IF(AND(C191&lt;&gt;"",J191&lt;&gt;"",N191&lt;&gt;"",H191&lt;&gt;"",P191&lt;&gt;"",V191&lt;&gt;"",X191&lt;&gt;"",Z191&lt;&gt;""),"Yes","No"))</f>
        <v>N/A</v>
      </c>
      <c r="AL191" s="720" t="b">
        <f>IF(AND(C191="",E191="no"),TRUE,FALSE)</f>
        <v>0</v>
      </c>
      <c r="AM191" s="720" t="b">
        <f>IF(AND(E191="no",H191=""),TRUE,FALSE)</f>
        <v>0</v>
      </c>
      <c r="AN191" s="720" t="b">
        <f>IF(AND(E191="no",H191=""),TRUE,FALSE)</f>
        <v>0</v>
      </c>
      <c r="AO191" s="903" t="b">
        <f>IF($J191="",FALSE,IF($J191&lt;$BD191,TRUE,FALSE))</f>
        <v>0</v>
      </c>
      <c r="AP191" s="903" t="b">
        <f>IF($J191="",FALSE,IF($J191&gt;$BE191,TRUE,FALSE))</f>
        <v>0</v>
      </c>
      <c r="AQ191" s="903" t="b">
        <f>IF(AND(E191="no",N191=""),TRUE,FALSE)</f>
        <v>0</v>
      </c>
      <c r="AR191" s="903" t="b">
        <f>IF(AND(E191="no",P191=""),TRUE,FALSE)</f>
        <v>0</v>
      </c>
      <c r="AS191" s="903" t="b">
        <f>IF(P191="",FALSE,IF(P191&lt;BM191,TRUE,FALSE))</f>
        <v>0</v>
      </c>
      <c r="AT191" s="903" t="b">
        <f>IF(P191="",FALSE,IF(P191&gt;BaseYear,TRUE,FALSE))</f>
        <v>0</v>
      </c>
      <c r="AU191" s="903" t="b">
        <f>IF(AND(E191="no",V191=""),TRUE,FALSE)</f>
        <v>0</v>
      </c>
      <c r="AV191" s="903" t="b">
        <f>IF(V191="",FALSE,IF(OR(V191&gt;1,V191&lt;0),TRUE,FALSE))</f>
        <v>0</v>
      </c>
      <c r="AW191" s="903" t="b">
        <f>IF($N191="",FALSE,IF($N191&lt;$BK191,TRUE,FALSE))</f>
        <v>0</v>
      </c>
      <c r="AX191" s="903" t="b">
        <f>IF($N191="",FALSE,IF($N191&gt;$BL191,TRUE,FALSE))</f>
        <v>0</v>
      </c>
      <c r="AY191" s="889" t="b">
        <f>IF(AND(E191="no",X191=""),TRUE,FALSE)</f>
        <v>0</v>
      </c>
      <c r="AZ191" s="889" t="b">
        <f>IF(OR(AD191="missing info.",AD191=""),FALSE,IF(AD191&lt;BN191,TRUE,FALSE))</f>
        <v>0</v>
      </c>
      <c r="BA191" s="890" t="b">
        <f>IF(OR(AD191="missing info.",AD191=""),FALSE,IF(AD191&gt;BO191,TRUE,FALSE))</f>
        <v>0</v>
      </c>
      <c r="BB191" s="890" t="b">
        <f>IF(AND(E191="no",Z191=""),TRUE,FALSE)</f>
        <v>0</v>
      </c>
      <c r="BC191" s="894" t="b">
        <f>IF(Z191="",FALSE,IF(OR(Z191&gt;BaseYear,Z191&lt;BM191),TRUE,FALSE))</f>
        <v>0</v>
      </c>
      <c r="BD191" s="897" t="str">
        <f>IFERROR(VLOOKUP(H191,Valid!$B$94:$N$96,3,FALSE), "")</f>
        <v/>
      </c>
      <c r="BE191" s="898" t="str">
        <f>IFERROR(VLOOKUP(H191,Valid!$B$94:$N$96,4,FALSE), "")</f>
        <v/>
      </c>
      <c r="BF191" s="897" t="str">
        <f t="shared" si="28"/>
        <v/>
      </c>
      <c r="BG191" s="897" t="str">
        <f t="shared" ca="1" si="29"/>
        <v/>
      </c>
      <c r="BH191" s="1860">
        <f>N191</f>
        <v>0</v>
      </c>
      <c r="BI191" s="1547" t="str">
        <f t="shared" ca="1" si="30"/>
        <v/>
      </c>
      <c r="BJ191" s="898" t="str">
        <f ca="1">IF(BI191="", "", IF(1+(BI191*4)&lt;1, 1, 1+(BI191*4)))</f>
        <v/>
      </c>
      <c r="BK191" s="898" t="str">
        <f t="shared" si="31"/>
        <v/>
      </c>
      <c r="BL191" s="898" t="str">
        <f t="shared" si="31"/>
        <v/>
      </c>
      <c r="BM191" s="1710" t="str">
        <f t="shared" si="31"/>
        <v/>
      </c>
      <c r="BN191" s="1205" t="str">
        <f>IFERROR(VLOOKUP(H191,Valid!$B$94:$N$96,12,FALSE), "")</f>
        <v/>
      </c>
      <c r="BO191" s="1205" t="str">
        <f>IFERROR(VLOOKUP(H191,Valid!$B$94:$N$96,13,FALSE), "")</f>
        <v/>
      </c>
      <c r="BP191" s="894"/>
      <c r="BQ191" s="894"/>
    </row>
    <row r="192" spans="1:69" s="894" customFormat="1" ht="6.75" customHeight="1" thickBot="1" x14ac:dyDescent="0.25">
      <c r="A192" s="1516"/>
      <c r="B192" s="1530">
        <v>90.5</v>
      </c>
      <c r="C192" s="1471"/>
      <c r="D192" s="1541"/>
      <c r="E192" s="1057"/>
      <c r="F192" s="170"/>
      <c r="G192" s="170"/>
      <c r="H192" s="170"/>
      <c r="I192" s="170"/>
      <c r="J192" s="170"/>
      <c r="K192" s="170"/>
      <c r="L192" s="1031"/>
      <c r="M192" s="170"/>
      <c r="N192" s="1031"/>
      <c r="O192" s="892"/>
      <c r="P192" s="836"/>
      <c r="Q192" s="1709"/>
      <c r="R192" s="1806"/>
      <c r="S192" s="1709"/>
      <c r="T192" s="1962"/>
      <c r="U192" s="1709"/>
      <c r="V192" s="1806"/>
      <c r="W192" s="1709"/>
      <c r="X192" s="1027"/>
      <c r="Y192" s="892"/>
      <c r="Z192" s="893"/>
      <c r="AA192" s="892" t="str">
        <f t="shared" si="32"/>
        <v/>
      </c>
      <c r="AB192" s="1030"/>
      <c r="AC192" s="1622"/>
      <c r="AD192" s="1030"/>
      <c r="AF192" s="895"/>
      <c r="AG192" s="896"/>
      <c r="AJ192" s="900"/>
      <c r="AK192" s="1624"/>
      <c r="AO192" s="1152"/>
      <c r="AP192" s="1152"/>
      <c r="AQ192" s="1152"/>
      <c r="AR192" s="1152"/>
      <c r="AS192" s="1152"/>
      <c r="AT192" s="1152"/>
      <c r="AU192" s="1152"/>
      <c r="AV192" s="1152"/>
      <c r="AW192" s="1152"/>
      <c r="AX192" s="1152"/>
      <c r="AY192" s="1448"/>
      <c r="AZ192" s="1448"/>
      <c r="BA192" s="846"/>
      <c r="BB192" s="846"/>
      <c r="BD192" s="897" t="str">
        <f>IFERROR(VLOOKUP(H192,Valid!$B$94:$N$96,3,FALSE), "")</f>
        <v/>
      </c>
      <c r="BE192" s="898" t="str">
        <f>IFERROR(VLOOKUP(H192,Valid!$B$94:$N$96,4,FALSE), "")</f>
        <v/>
      </c>
      <c r="BF192" s="897" t="str">
        <f t="shared" si="28"/>
        <v/>
      </c>
      <c r="BG192" s="897" t="str">
        <f t="shared" ca="1" si="29"/>
        <v/>
      </c>
      <c r="BH192" s="1860" t="str">
        <f>IFERROR(VLOOKUP($H192,val_equip_assets,BH$4,FALSE), "")</f>
        <v/>
      </c>
      <c r="BI192" s="1547" t="str">
        <f t="shared" ca="1" si="30"/>
        <v/>
      </c>
      <c r="BJ192" s="898" t="str">
        <f ca="1">IF(BI192="", "", IF(BI192&lt;0.1, 5, IF(BI192&lt;0.25, 4, IF(BI192&lt;0.5, 3, IF(BI192&lt;0.75, 2, 1)))))</f>
        <v/>
      </c>
      <c r="BK192" s="898" t="str">
        <f t="shared" si="31"/>
        <v/>
      </c>
      <c r="BL192" s="898" t="str">
        <f t="shared" si="31"/>
        <v/>
      </c>
      <c r="BM192" s="1710" t="str">
        <f t="shared" si="31"/>
        <v/>
      </c>
      <c r="BN192" s="1205" t="str">
        <f>IFERROR(VLOOKUP(H192,Valid!$B$94:$N$96,12,FALSE), "")</f>
        <v/>
      </c>
      <c r="BO192" s="1205" t="str">
        <f>IFERROR(VLOOKUP(H192,Valid!$B$94:$N$96,13,FALSE), "")</f>
        <v/>
      </c>
    </row>
    <row r="193" spans="1:69" s="901" customFormat="1" x14ac:dyDescent="0.2">
      <c r="A193" s="206">
        <v>91</v>
      </c>
      <c r="B193" s="1530">
        <v>91</v>
      </c>
      <c r="C193" s="1703"/>
      <c r="D193" s="1248" t="str">
        <f>IF(C191="","",IF(C193="","Enter Service Fleet Description then Fill in columns "&amp;TEXT($H$2,0)&amp;" - "&amp;TEXT($Z$2,0)&amp;"                 ",""))</f>
        <v/>
      </c>
      <c r="E193" s="1245" t="str">
        <f>IF(AK193="N/A","",AK193)</f>
        <v/>
      </c>
      <c r="F193" s="170"/>
      <c r="G193" s="170"/>
      <c r="H193" s="1704"/>
      <c r="I193" s="1246" t="str">
        <f>IF(AND(E193="No",H193=""),"Select Type of Vehicle                        ","")</f>
        <v/>
      </c>
      <c r="J193" s="1247"/>
      <c r="K193" s="1246" t="str">
        <f>IF(AND(C193="No",H193=""),"Number of Vehicles?  ","")</f>
        <v/>
      </c>
      <c r="L193" s="1782" t="str">
        <f>IFERROR(VLOOKUP($H193,val_equip_assets,BH$4,FALSE), "")</f>
        <v/>
      </c>
      <c r="M193" s="1246"/>
      <c r="N193" s="1247"/>
      <c r="O193" s="892" t="str">
        <f>IF(H193="","",IF(AND(E193="No",N193=""),TEXT(BH193,0)&amp;" Years?   ",""))</f>
        <v/>
      </c>
      <c r="P193" s="1705"/>
      <c r="Q193" s="1706" t="str">
        <f>IF(AND(E193="No",P193=""),"Enter Manufact. Yr.     ","")</f>
        <v/>
      </c>
      <c r="R193" s="1952" t="str">
        <f ca="1">BI193</f>
        <v/>
      </c>
      <c r="S193" s="1706"/>
      <c r="T193" s="1963" t="str">
        <f ca="1">BJ193</f>
        <v/>
      </c>
      <c r="U193" s="1706"/>
      <c r="V193" s="1675"/>
      <c r="W193" s="892" t="str">
        <f>IF(AND(E193="No",V193=""),"% of Cap. Resp.    ","")</f>
        <v/>
      </c>
      <c r="X193" s="1655"/>
      <c r="Y193" s="892" t="str">
        <f>IF(AND(E193="No",X193=""),"Estimated $?   ","")</f>
        <v/>
      </c>
      <c r="Z193" s="1707"/>
      <c r="AA193" s="892" t="str">
        <f t="shared" si="32"/>
        <v/>
      </c>
      <c r="AB193" s="1026" t="str">
        <f>IF(E193="","",IF(OR($X193="",$Z193=""),"missing info.",$X193*VLOOKUP($Z193,Inflate,$BF193+1,FALSE)))</f>
        <v/>
      </c>
      <c r="AC193" s="1622"/>
      <c r="AD193" s="1026" t="str">
        <f>IF(E193="","",IF(J193="","missing info.",IF(AB193="missing info.","missing info.",AB193/J193)))</f>
        <v/>
      </c>
      <c r="AE193" s="839"/>
      <c r="AF193" s="1708"/>
      <c r="AG193" s="896"/>
      <c r="AH193" s="894"/>
      <c r="AI193" s="894" t="b">
        <f>IF(AND(C195&lt;&gt;"",C193=""),TRUE,FALSE)</f>
        <v>0</v>
      </c>
      <c r="AJ193" s="902" t="b">
        <f>IF(AND(N193="",P193&lt;&gt;""),TRUE,FALSE)</f>
        <v>0</v>
      </c>
      <c r="AK193" s="720" t="str">
        <f>IF(AND(J193="",AF193="",Z193="",X193="",V193="",N193="",H193="",P193="",C193=""),"N/A",IF(AND(C193&lt;&gt;"",J193&lt;&gt;"",N193&lt;&gt;"",H193&lt;&gt;"",P193&lt;&gt;"",V193&lt;&gt;"",X193&lt;&gt;"",Z193&lt;&gt;""),"Yes","No"))</f>
        <v>N/A</v>
      </c>
      <c r="AL193" s="720" t="b">
        <f>IF(AND(C193="",E193="no"),TRUE,FALSE)</f>
        <v>0</v>
      </c>
      <c r="AM193" s="720" t="b">
        <f>IF(AND(E193="no",H193=""),TRUE,FALSE)</f>
        <v>0</v>
      </c>
      <c r="AN193" s="720" t="b">
        <f>IF(AND(E193="no",H193=""),TRUE,FALSE)</f>
        <v>0</v>
      </c>
      <c r="AO193" s="903" t="b">
        <f>IF($J193="",FALSE,IF($J193&lt;$BD193,TRUE,FALSE))</f>
        <v>0</v>
      </c>
      <c r="AP193" s="903" t="b">
        <f>IF($J193="",FALSE,IF($J193&gt;$BE193,TRUE,FALSE))</f>
        <v>0</v>
      </c>
      <c r="AQ193" s="903" t="b">
        <f>IF(AND(E193="no",N193=""),TRUE,FALSE)</f>
        <v>0</v>
      </c>
      <c r="AR193" s="903" t="b">
        <f>IF(AND(E193="no",P193=""),TRUE,FALSE)</f>
        <v>0</v>
      </c>
      <c r="AS193" s="903" t="b">
        <f>IF(P193="",FALSE,IF(P193&lt;BM193,TRUE,FALSE))</f>
        <v>0</v>
      </c>
      <c r="AT193" s="903" t="b">
        <f>IF(P193="",FALSE,IF(P193&gt;BaseYear,TRUE,FALSE))</f>
        <v>0</v>
      </c>
      <c r="AU193" s="903" t="b">
        <f>IF(AND(E193="no",V193=""),TRUE,FALSE)</f>
        <v>0</v>
      </c>
      <c r="AV193" s="903" t="b">
        <f>IF(V193="",FALSE,IF(OR(V193&gt;1,V193&lt;0),TRUE,FALSE))</f>
        <v>0</v>
      </c>
      <c r="AW193" s="903" t="b">
        <f>IF($N193="",FALSE,IF($N193&lt;$BK193,TRUE,FALSE))</f>
        <v>0</v>
      </c>
      <c r="AX193" s="903" t="b">
        <f>IF($N193="",FALSE,IF($N193&gt;$BL193,TRUE,FALSE))</f>
        <v>0</v>
      </c>
      <c r="AY193" s="889" t="b">
        <f>IF(AND(E193="no",X193=""),TRUE,FALSE)</f>
        <v>0</v>
      </c>
      <c r="AZ193" s="889" t="b">
        <f>IF(OR(AD193="missing info.",AD193=""),FALSE,IF(AD193&lt;BN193,TRUE,FALSE))</f>
        <v>0</v>
      </c>
      <c r="BA193" s="890" t="b">
        <f>IF(OR(AD193="missing info.",AD193=""),FALSE,IF(AD193&gt;BO193,TRUE,FALSE))</f>
        <v>0</v>
      </c>
      <c r="BB193" s="890" t="b">
        <f>IF(AND(E193="no",Z193=""),TRUE,FALSE)</f>
        <v>0</v>
      </c>
      <c r="BC193" s="894" t="b">
        <f>IF(Z193="",FALSE,IF(OR(Z193&gt;BaseYear,Z193&lt;BM193),TRUE,FALSE))</f>
        <v>0</v>
      </c>
      <c r="BD193" s="897" t="str">
        <f>IFERROR(VLOOKUP(H193,Valid!$B$94:$N$96,3,FALSE), "")</f>
        <v/>
      </c>
      <c r="BE193" s="898" t="str">
        <f>IFERROR(VLOOKUP(H193,Valid!$B$94:$N$96,4,FALSE), "")</f>
        <v/>
      </c>
      <c r="BF193" s="897" t="str">
        <f t="shared" si="28"/>
        <v/>
      </c>
      <c r="BG193" s="897" t="str">
        <f t="shared" ca="1" si="29"/>
        <v/>
      </c>
      <c r="BH193" s="1860">
        <f>N193</f>
        <v>0</v>
      </c>
      <c r="BI193" s="1547" t="str">
        <f t="shared" ca="1" si="30"/>
        <v/>
      </c>
      <c r="BJ193" s="898" t="str">
        <f ca="1">IF(BI193="", "", IF(1+(BI193*4)&lt;1, 1, 1+(BI193*4)))</f>
        <v/>
      </c>
      <c r="BK193" s="898" t="str">
        <f t="shared" ref="BK193:BM211" si="33">IFERROR(VLOOKUP($H193,val_equip_assets,BK$4,FALSE), "")</f>
        <v/>
      </c>
      <c r="BL193" s="898" t="str">
        <f t="shared" si="33"/>
        <v/>
      </c>
      <c r="BM193" s="1710" t="str">
        <f t="shared" si="33"/>
        <v/>
      </c>
      <c r="BN193" s="1205" t="str">
        <f>IFERROR(VLOOKUP(H193,Valid!$B$94:$N$96,12,FALSE), "")</f>
        <v/>
      </c>
      <c r="BO193" s="1205" t="str">
        <f>IFERROR(VLOOKUP(H193,Valid!$B$94:$N$96,13,FALSE), "")</f>
        <v/>
      </c>
      <c r="BP193" s="894"/>
      <c r="BQ193" s="894"/>
    </row>
    <row r="194" spans="1:69" s="894" customFormat="1" ht="6.75" customHeight="1" thickBot="1" x14ac:dyDescent="0.25">
      <c r="A194" s="1516"/>
      <c r="B194" s="1530">
        <v>91.5</v>
      </c>
      <c r="C194" s="1471"/>
      <c r="D194" s="1541"/>
      <c r="E194" s="1057"/>
      <c r="F194" s="170"/>
      <c r="G194" s="170"/>
      <c r="H194" s="170"/>
      <c r="I194" s="170"/>
      <c r="J194" s="170"/>
      <c r="K194" s="170"/>
      <c r="L194" s="1031"/>
      <c r="M194" s="170"/>
      <c r="N194" s="1031"/>
      <c r="O194" s="892"/>
      <c r="P194" s="836"/>
      <c r="Q194" s="1709"/>
      <c r="R194" s="1806"/>
      <c r="S194" s="1709"/>
      <c r="T194" s="1962"/>
      <c r="U194" s="1709"/>
      <c r="V194" s="1806"/>
      <c r="W194" s="1709"/>
      <c r="X194" s="1027"/>
      <c r="Y194" s="892"/>
      <c r="Z194" s="893"/>
      <c r="AA194" s="892" t="str">
        <f t="shared" si="32"/>
        <v/>
      </c>
      <c r="AB194" s="1030"/>
      <c r="AC194" s="1622"/>
      <c r="AD194" s="1030"/>
      <c r="AF194" s="895"/>
      <c r="AG194" s="896"/>
      <c r="AJ194" s="900"/>
      <c r="AK194" s="1624"/>
      <c r="AO194" s="1152"/>
      <c r="AP194" s="1152"/>
      <c r="AQ194" s="1152"/>
      <c r="AR194" s="1152"/>
      <c r="AS194" s="1152"/>
      <c r="AT194" s="1152"/>
      <c r="AU194" s="1152"/>
      <c r="AV194" s="1152"/>
      <c r="AW194" s="1152"/>
      <c r="AX194" s="1152"/>
      <c r="AY194" s="1448"/>
      <c r="AZ194" s="1448"/>
      <c r="BA194" s="846"/>
      <c r="BB194" s="846"/>
      <c r="BD194" s="897" t="str">
        <f>IFERROR(VLOOKUP(H194,Valid!$B$94:$N$96,3,FALSE), "")</f>
        <v/>
      </c>
      <c r="BE194" s="898" t="str">
        <f>IFERROR(VLOOKUP(H194,Valid!$B$94:$N$96,4,FALSE), "")</f>
        <v/>
      </c>
      <c r="BF194" s="897" t="str">
        <f t="shared" si="28"/>
        <v/>
      </c>
      <c r="BG194" s="897" t="str">
        <f t="shared" ca="1" si="29"/>
        <v/>
      </c>
      <c r="BH194" s="1860" t="str">
        <f>IFERROR(VLOOKUP($H194,val_equip_assets,BH$4,FALSE), "")</f>
        <v/>
      </c>
      <c r="BI194" s="1547" t="str">
        <f t="shared" ca="1" si="30"/>
        <v/>
      </c>
      <c r="BJ194" s="898" t="str">
        <f ca="1">IF(BI194="", "", IF(BI194&lt;0.1, 5, IF(BI194&lt;0.25, 4, IF(BI194&lt;0.5, 3, IF(BI194&lt;0.75, 2, 1)))))</f>
        <v/>
      </c>
      <c r="BK194" s="898" t="str">
        <f t="shared" si="33"/>
        <v/>
      </c>
      <c r="BL194" s="898" t="str">
        <f t="shared" si="33"/>
        <v/>
      </c>
      <c r="BM194" s="1710" t="str">
        <f t="shared" si="33"/>
        <v/>
      </c>
      <c r="BN194" s="1205" t="str">
        <f>IFERROR(VLOOKUP(H194,Valid!$B$94:$N$96,12,FALSE), "")</f>
        <v/>
      </c>
      <c r="BO194" s="1205" t="str">
        <f>IFERROR(VLOOKUP(H194,Valid!$B$94:$N$96,13,FALSE), "")</f>
        <v/>
      </c>
    </row>
    <row r="195" spans="1:69" s="901" customFormat="1" x14ac:dyDescent="0.2">
      <c r="A195" s="206">
        <v>92</v>
      </c>
      <c r="B195" s="1530">
        <v>92</v>
      </c>
      <c r="C195" s="1703"/>
      <c r="D195" s="1248" t="str">
        <f>IF(C193="","",IF(C195="","Enter Service Fleet Description then Fill in columns "&amp;TEXT($H$2,0)&amp;" - "&amp;TEXT($Z$2,0)&amp;"                 ",""))</f>
        <v/>
      </c>
      <c r="E195" s="1245" t="str">
        <f>IF(AK195="N/A","",AK195)</f>
        <v/>
      </c>
      <c r="F195" s="170"/>
      <c r="G195" s="170"/>
      <c r="H195" s="1704"/>
      <c r="I195" s="1246" t="str">
        <f>IF(AND(E195="No",H195=""),"Select Type of Vehicle                        ","")</f>
        <v/>
      </c>
      <c r="J195" s="1247"/>
      <c r="K195" s="1246" t="str">
        <f>IF(AND(C195="No",H195=""),"Number of Vehicles?  ","")</f>
        <v/>
      </c>
      <c r="L195" s="1782" t="str">
        <f>IFERROR(VLOOKUP($H195,val_equip_assets,BH$4,FALSE), "")</f>
        <v/>
      </c>
      <c r="M195" s="1246"/>
      <c r="N195" s="1247"/>
      <c r="O195" s="892" t="str">
        <f>IF(H195="","",IF(AND(E195="No",N195=""),TEXT(BH195,0)&amp;" Years?   ",""))</f>
        <v/>
      </c>
      <c r="P195" s="1705"/>
      <c r="Q195" s="1706" t="str">
        <f>IF(AND(E195="No",P195=""),"Enter Manufact. Yr.     ","")</f>
        <v/>
      </c>
      <c r="R195" s="1952" t="str">
        <f ca="1">BI195</f>
        <v/>
      </c>
      <c r="S195" s="1706"/>
      <c r="T195" s="1963" t="str">
        <f ca="1">BJ195</f>
        <v/>
      </c>
      <c r="U195" s="1706"/>
      <c r="V195" s="1675"/>
      <c r="W195" s="892" t="str">
        <f>IF(AND(E195="No",V195=""),"% of Cap. Resp.    ","")</f>
        <v/>
      </c>
      <c r="X195" s="1655"/>
      <c r="Y195" s="892" t="str">
        <f>IF(AND(E195="No",X195=""),"Estimated $?   ","")</f>
        <v/>
      </c>
      <c r="Z195" s="1707"/>
      <c r="AA195" s="892" t="str">
        <f t="shared" si="32"/>
        <v/>
      </c>
      <c r="AB195" s="1026" t="str">
        <f>IF(E195="","",IF(OR($X195="",$Z195=""),"missing info.",$X195*VLOOKUP($Z195,Inflate,$BF195+1,FALSE)))</f>
        <v/>
      </c>
      <c r="AC195" s="1622"/>
      <c r="AD195" s="1026" t="str">
        <f>IF(E195="","",IF(J195="","missing info.",IF(AB195="missing info.","missing info.",AB195/J195)))</f>
        <v/>
      </c>
      <c r="AE195" s="839"/>
      <c r="AF195" s="1708"/>
      <c r="AG195" s="896"/>
      <c r="AH195" s="894"/>
      <c r="AI195" s="894" t="b">
        <f>IF(AND(C197&lt;&gt;"",C195=""),TRUE,FALSE)</f>
        <v>0</v>
      </c>
      <c r="AJ195" s="902" t="b">
        <f>IF(AND(N195="",P195&lt;&gt;""),TRUE,FALSE)</f>
        <v>0</v>
      </c>
      <c r="AK195" s="720" t="str">
        <f>IF(AND(J195="",AF195="",Z195="",X195="",V195="",N195="",H195="",P195="",C195=""),"N/A",IF(AND(C195&lt;&gt;"",J195&lt;&gt;"",N195&lt;&gt;"",H195&lt;&gt;"",P195&lt;&gt;"",V195&lt;&gt;"",X195&lt;&gt;"",Z195&lt;&gt;""),"Yes","No"))</f>
        <v>N/A</v>
      </c>
      <c r="AL195" s="720" t="b">
        <f>IF(AND(C195="",E195="no"),TRUE,FALSE)</f>
        <v>0</v>
      </c>
      <c r="AM195" s="720" t="b">
        <f>IF(AND(E195="no",H195=""),TRUE,FALSE)</f>
        <v>0</v>
      </c>
      <c r="AN195" s="720" t="b">
        <f>IF(AND(E195="no",H195=""),TRUE,FALSE)</f>
        <v>0</v>
      </c>
      <c r="AO195" s="903" t="b">
        <f>IF($J195="",FALSE,IF($J195&lt;$BD195,TRUE,FALSE))</f>
        <v>0</v>
      </c>
      <c r="AP195" s="903" t="b">
        <f>IF($J195="",FALSE,IF($J195&gt;$BE195,TRUE,FALSE))</f>
        <v>0</v>
      </c>
      <c r="AQ195" s="903" t="b">
        <f>IF(AND(E195="no",N195=""),TRUE,FALSE)</f>
        <v>0</v>
      </c>
      <c r="AR195" s="903" t="b">
        <f>IF(AND(E195="no",P195=""),TRUE,FALSE)</f>
        <v>0</v>
      </c>
      <c r="AS195" s="903" t="b">
        <f>IF(P195="",FALSE,IF(P195&lt;BM195,TRUE,FALSE))</f>
        <v>0</v>
      </c>
      <c r="AT195" s="903" t="b">
        <f>IF(P195="",FALSE,IF(P195&gt;BaseYear,TRUE,FALSE))</f>
        <v>0</v>
      </c>
      <c r="AU195" s="903" t="b">
        <f>IF(AND(E195="no",V195=""),TRUE,FALSE)</f>
        <v>0</v>
      </c>
      <c r="AV195" s="903" t="b">
        <f>IF(V195="",FALSE,IF(OR(V195&gt;1,V195&lt;0),TRUE,FALSE))</f>
        <v>0</v>
      </c>
      <c r="AW195" s="903" t="b">
        <f>IF($N195="",FALSE,IF($N195&lt;$BK195,TRUE,FALSE))</f>
        <v>0</v>
      </c>
      <c r="AX195" s="903" t="b">
        <f>IF($N195="",FALSE,IF($N195&gt;$BL195,TRUE,FALSE))</f>
        <v>0</v>
      </c>
      <c r="AY195" s="889" t="b">
        <f>IF(AND(E195="no",X195=""),TRUE,FALSE)</f>
        <v>0</v>
      </c>
      <c r="AZ195" s="889" t="b">
        <f>IF(OR(AD195="missing info.",AD195=""),FALSE,IF(AD195&lt;BN195,TRUE,FALSE))</f>
        <v>0</v>
      </c>
      <c r="BA195" s="890" t="b">
        <f>IF(OR(AD195="missing info.",AD195=""),FALSE,IF(AD195&gt;BO195,TRUE,FALSE))</f>
        <v>0</v>
      </c>
      <c r="BB195" s="890" t="b">
        <f>IF(AND(E195="no",Z195=""),TRUE,FALSE)</f>
        <v>0</v>
      </c>
      <c r="BC195" s="894" t="b">
        <f>IF(Z195="",FALSE,IF(OR(Z195&gt;BaseYear,Z195&lt;BM195),TRUE,FALSE))</f>
        <v>0</v>
      </c>
      <c r="BD195" s="897" t="str">
        <f>IFERROR(VLOOKUP(H195,Valid!$B$94:$N$96,3,FALSE), "")</f>
        <v/>
      </c>
      <c r="BE195" s="898" t="str">
        <f>IFERROR(VLOOKUP(H195,Valid!$B$94:$N$96,4,FALSE), "")</f>
        <v/>
      </c>
      <c r="BF195" s="897" t="str">
        <f t="shared" si="28"/>
        <v/>
      </c>
      <c r="BG195" s="897" t="str">
        <f t="shared" ca="1" si="29"/>
        <v/>
      </c>
      <c r="BH195" s="1860">
        <f>N195</f>
        <v>0</v>
      </c>
      <c r="BI195" s="1547" t="str">
        <f t="shared" ca="1" si="30"/>
        <v/>
      </c>
      <c r="BJ195" s="898" t="str">
        <f ca="1">IF(BI195="", "", IF(1+(BI195*4)&lt;1, 1, 1+(BI195*4)))</f>
        <v/>
      </c>
      <c r="BK195" s="898" t="str">
        <f t="shared" si="33"/>
        <v/>
      </c>
      <c r="BL195" s="898" t="str">
        <f t="shared" si="33"/>
        <v/>
      </c>
      <c r="BM195" s="1710" t="str">
        <f t="shared" si="33"/>
        <v/>
      </c>
      <c r="BN195" s="1205" t="str">
        <f>IFERROR(VLOOKUP(H195,Valid!$B$94:$N$96,12,FALSE), "")</f>
        <v/>
      </c>
      <c r="BO195" s="1205" t="str">
        <f>IFERROR(VLOOKUP(H195,Valid!$B$94:$N$96,13,FALSE), "")</f>
        <v/>
      </c>
      <c r="BP195" s="894"/>
      <c r="BQ195" s="894"/>
    </row>
    <row r="196" spans="1:69" s="894" customFormat="1" ht="6.75" customHeight="1" thickBot="1" x14ac:dyDescent="0.25">
      <c r="A196" s="1516"/>
      <c r="B196" s="1530">
        <v>92.5</v>
      </c>
      <c r="C196" s="1471"/>
      <c r="D196" s="1541"/>
      <c r="E196" s="1057"/>
      <c r="F196" s="170"/>
      <c r="G196" s="170"/>
      <c r="H196" s="170"/>
      <c r="I196" s="170"/>
      <c r="J196" s="170"/>
      <c r="K196" s="170"/>
      <c r="L196" s="1031"/>
      <c r="M196" s="170"/>
      <c r="N196" s="1031"/>
      <c r="O196" s="892"/>
      <c r="P196" s="836"/>
      <c r="Q196" s="1709"/>
      <c r="R196" s="1806"/>
      <c r="S196" s="1709"/>
      <c r="T196" s="1962"/>
      <c r="U196" s="1709"/>
      <c r="V196" s="1806"/>
      <c r="W196" s="1709"/>
      <c r="X196" s="1027"/>
      <c r="Y196" s="892"/>
      <c r="Z196" s="893"/>
      <c r="AA196" s="892" t="str">
        <f t="shared" si="32"/>
        <v/>
      </c>
      <c r="AB196" s="1030"/>
      <c r="AC196" s="1622"/>
      <c r="AD196" s="1030"/>
      <c r="AF196" s="895"/>
      <c r="AG196" s="896"/>
      <c r="AJ196" s="900"/>
      <c r="AK196" s="1624"/>
      <c r="AO196" s="1152"/>
      <c r="AP196" s="1152"/>
      <c r="AQ196" s="1152"/>
      <c r="AR196" s="1152"/>
      <c r="AS196" s="1152"/>
      <c r="AT196" s="1152"/>
      <c r="AU196" s="1152"/>
      <c r="AV196" s="1152"/>
      <c r="AW196" s="1152"/>
      <c r="AX196" s="1152"/>
      <c r="AY196" s="1448"/>
      <c r="AZ196" s="1448"/>
      <c r="BA196" s="846"/>
      <c r="BB196" s="846"/>
      <c r="BD196" s="897" t="str">
        <f>IFERROR(VLOOKUP(H196,Valid!$B$94:$N$96,3,FALSE), "")</f>
        <v/>
      </c>
      <c r="BE196" s="898" t="str">
        <f>IFERROR(VLOOKUP(H196,Valid!$B$94:$N$96,4,FALSE), "")</f>
        <v/>
      </c>
      <c r="BF196" s="897" t="str">
        <f t="shared" si="28"/>
        <v/>
      </c>
      <c r="BG196" s="897" t="str">
        <f t="shared" ca="1" si="29"/>
        <v/>
      </c>
      <c r="BH196" s="1860" t="str">
        <f>IFERROR(VLOOKUP($H196,val_equip_assets,BH$4,FALSE), "")</f>
        <v/>
      </c>
      <c r="BI196" s="1547" t="str">
        <f t="shared" ca="1" si="30"/>
        <v/>
      </c>
      <c r="BJ196" s="898" t="str">
        <f ca="1">IF(BI196="", "", IF(BI196&lt;0.1, 5, IF(BI196&lt;0.25, 4, IF(BI196&lt;0.5, 3, IF(BI196&lt;0.75, 2, 1)))))</f>
        <v/>
      </c>
      <c r="BK196" s="898" t="str">
        <f t="shared" si="33"/>
        <v/>
      </c>
      <c r="BL196" s="898" t="str">
        <f t="shared" si="33"/>
        <v/>
      </c>
      <c r="BM196" s="1710" t="str">
        <f t="shared" si="33"/>
        <v/>
      </c>
      <c r="BN196" s="1205" t="str">
        <f>IFERROR(VLOOKUP(H196,Valid!$B$94:$N$96,12,FALSE), "")</f>
        <v/>
      </c>
      <c r="BO196" s="1205" t="str">
        <f>IFERROR(VLOOKUP(H196,Valid!$B$94:$N$96,13,FALSE), "")</f>
        <v/>
      </c>
    </row>
    <row r="197" spans="1:69" s="901" customFormat="1" x14ac:dyDescent="0.2">
      <c r="A197" s="206">
        <v>93</v>
      </c>
      <c r="B197" s="1530">
        <v>93</v>
      </c>
      <c r="C197" s="1703"/>
      <c r="D197" s="1248" t="str">
        <f>IF(C195="","",IF(C197="","Enter Service Fleet Description then Fill in columns "&amp;TEXT($H$2,0)&amp;" - "&amp;TEXT($Z$2,0)&amp;"                 ",""))</f>
        <v/>
      </c>
      <c r="E197" s="1245" t="str">
        <f>IF(AK197="N/A","",AK197)</f>
        <v/>
      </c>
      <c r="F197" s="170"/>
      <c r="G197" s="170"/>
      <c r="H197" s="1704"/>
      <c r="I197" s="1246" t="str">
        <f>IF(AND(E197="No",H197=""),"Select Type of Vehicle                        ","")</f>
        <v/>
      </c>
      <c r="J197" s="1247"/>
      <c r="K197" s="1246" t="str">
        <f>IF(AND(C197="No",H197=""),"Number of Vehicles?  ","")</f>
        <v/>
      </c>
      <c r="L197" s="1782" t="str">
        <f>IFERROR(VLOOKUP($H197,val_equip_assets,BH$4,FALSE), "")</f>
        <v/>
      </c>
      <c r="M197" s="1246"/>
      <c r="N197" s="1247"/>
      <c r="O197" s="892" t="str">
        <f>IF(H197="","",IF(AND(E197="No",N197=""),TEXT(BH197,0)&amp;" Years?   ",""))</f>
        <v/>
      </c>
      <c r="P197" s="1705"/>
      <c r="Q197" s="1706" t="str">
        <f>IF(AND(E197="No",P197=""),"Enter Manufact. Yr.     ","")</f>
        <v/>
      </c>
      <c r="R197" s="1952" t="str">
        <f ca="1">BI197</f>
        <v/>
      </c>
      <c r="S197" s="1706"/>
      <c r="T197" s="1963" t="str">
        <f ca="1">BJ197</f>
        <v/>
      </c>
      <c r="U197" s="1706"/>
      <c r="V197" s="1675"/>
      <c r="W197" s="892" t="str">
        <f>IF(AND(E197="No",V197=""),"% of Cap. Resp.    ","")</f>
        <v/>
      </c>
      <c r="X197" s="1655"/>
      <c r="Y197" s="892" t="str">
        <f>IF(AND(E197="No",X197=""),"Estimated $?   ","")</f>
        <v/>
      </c>
      <c r="Z197" s="1707"/>
      <c r="AA197" s="892" t="str">
        <f t="shared" si="32"/>
        <v/>
      </c>
      <c r="AB197" s="1026" t="str">
        <f>IF(E197="","",IF(OR($X197="",$Z197=""),"missing info.",$X197*VLOOKUP($Z197,Inflate,$BF197+1,FALSE)))</f>
        <v/>
      </c>
      <c r="AC197" s="1622"/>
      <c r="AD197" s="1026" t="str">
        <f>IF(E197="","",IF(J197="","missing info.",IF(AB197="missing info.","missing info.",AB197/J197)))</f>
        <v/>
      </c>
      <c r="AE197" s="839"/>
      <c r="AF197" s="1708"/>
      <c r="AG197" s="896"/>
      <c r="AH197" s="894"/>
      <c r="AI197" s="894" t="b">
        <f>IF(AND(C199&lt;&gt;"",C197=""),TRUE,FALSE)</f>
        <v>0</v>
      </c>
      <c r="AJ197" s="902" t="b">
        <f>IF(AND(N197="",P197&lt;&gt;""),TRUE,FALSE)</f>
        <v>0</v>
      </c>
      <c r="AK197" s="720" t="str">
        <f>IF(AND(J197="",AF197="",Z197="",X197="",V197="",N197="",H197="",P197="",C197=""),"N/A",IF(AND(C197&lt;&gt;"",J197&lt;&gt;"",N197&lt;&gt;"",H197&lt;&gt;"",P197&lt;&gt;"",V197&lt;&gt;"",X197&lt;&gt;"",Z197&lt;&gt;""),"Yes","No"))</f>
        <v>N/A</v>
      </c>
      <c r="AL197" s="720" t="b">
        <f>IF(AND(C197="",E197="no"),TRUE,FALSE)</f>
        <v>0</v>
      </c>
      <c r="AM197" s="720" t="b">
        <f>IF(AND(E197="no",H197=""),TRUE,FALSE)</f>
        <v>0</v>
      </c>
      <c r="AN197" s="720" t="b">
        <f>IF(AND(E197="no",H197=""),TRUE,FALSE)</f>
        <v>0</v>
      </c>
      <c r="AO197" s="903" t="b">
        <f>IF($J197="",FALSE,IF($J197&lt;$BD197,TRUE,FALSE))</f>
        <v>0</v>
      </c>
      <c r="AP197" s="903" t="b">
        <f>IF($J197="",FALSE,IF($J197&gt;$BE197,TRUE,FALSE))</f>
        <v>0</v>
      </c>
      <c r="AQ197" s="903" t="b">
        <f>IF(AND(E197="no",N197=""),TRUE,FALSE)</f>
        <v>0</v>
      </c>
      <c r="AR197" s="903" t="b">
        <f>IF(AND(E197="no",P197=""),TRUE,FALSE)</f>
        <v>0</v>
      </c>
      <c r="AS197" s="903" t="b">
        <f>IF(P197="",FALSE,IF(P197&lt;BM197,TRUE,FALSE))</f>
        <v>0</v>
      </c>
      <c r="AT197" s="903" t="b">
        <f>IF(P197="",FALSE,IF(P197&gt;BaseYear,TRUE,FALSE))</f>
        <v>0</v>
      </c>
      <c r="AU197" s="903" t="b">
        <f>IF(AND(E197="no",V197=""),TRUE,FALSE)</f>
        <v>0</v>
      </c>
      <c r="AV197" s="903" t="b">
        <f>IF(V197="",FALSE,IF(OR(V197&gt;1,V197&lt;0),TRUE,FALSE))</f>
        <v>0</v>
      </c>
      <c r="AW197" s="903" t="b">
        <f>IF($N197="",FALSE,IF($N197&lt;$BK197,TRUE,FALSE))</f>
        <v>0</v>
      </c>
      <c r="AX197" s="903" t="b">
        <f>IF($N197="",FALSE,IF($N197&gt;$BL197,TRUE,FALSE))</f>
        <v>0</v>
      </c>
      <c r="AY197" s="889" t="b">
        <f>IF(AND(E197="no",X197=""),TRUE,FALSE)</f>
        <v>0</v>
      </c>
      <c r="AZ197" s="889" t="b">
        <f>IF(OR(AD197="missing info.",AD197=""),FALSE,IF(AD197&lt;BN197,TRUE,FALSE))</f>
        <v>0</v>
      </c>
      <c r="BA197" s="890" t="b">
        <f>IF(OR(AD197="missing info.",AD197=""),FALSE,IF(AD197&gt;BO197,TRUE,FALSE))</f>
        <v>0</v>
      </c>
      <c r="BB197" s="890" t="b">
        <f>IF(AND(E197="no",Z197=""),TRUE,FALSE)</f>
        <v>0</v>
      </c>
      <c r="BC197" s="894" t="b">
        <f>IF(Z197="",FALSE,IF(OR(Z197&gt;BaseYear,Z197&lt;BM197),TRUE,FALSE))</f>
        <v>0</v>
      </c>
      <c r="BD197" s="897" t="str">
        <f>IFERROR(VLOOKUP(H197,Valid!$B$94:$N$96,3,FALSE), "")</f>
        <v/>
      </c>
      <c r="BE197" s="898" t="str">
        <f>IFERROR(VLOOKUP(H197,Valid!$B$94:$N$96,4,FALSE), "")</f>
        <v/>
      </c>
      <c r="BF197" s="897" t="str">
        <f t="shared" si="28"/>
        <v/>
      </c>
      <c r="BG197" s="897" t="str">
        <f t="shared" ca="1" si="29"/>
        <v/>
      </c>
      <c r="BH197" s="1860">
        <f>N197</f>
        <v>0</v>
      </c>
      <c r="BI197" s="1547" t="str">
        <f t="shared" ca="1" si="30"/>
        <v/>
      </c>
      <c r="BJ197" s="898" t="str">
        <f ca="1">IF(BI197="", "", IF(1+(BI197*4)&lt;1, 1, 1+(BI197*4)))</f>
        <v/>
      </c>
      <c r="BK197" s="898" t="str">
        <f t="shared" si="33"/>
        <v/>
      </c>
      <c r="BL197" s="898" t="str">
        <f t="shared" si="33"/>
        <v/>
      </c>
      <c r="BM197" s="1710" t="str">
        <f t="shared" si="33"/>
        <v/>
      </c>
      <c r="BN197" s="1205" t="str">
        <f>IFERROR(VLOOKUP(H197,Valid!$B$94:$N$96,12,FALSE), "")</f>
        <v/>
      </c>
      <c r="BO197" s="1205" t="str">
        <f>IFERROR(VLOOKUP(H197,Valid!$B$94:$N$96,13,FALSE), "")</f>
        <v/>
      </c>
      <c r="BP197" s="894"/>
      <c r="BQ197" s="894"/>
    </row>
    <row r="198" spans="1:69" s="894" customFormat="1" ht="6.75" customHeight="1" thickBot="1" x14ac:dyDescent="0.25">
      <c r="A198" s="1516"/>
      <c r="B198" s="1530">
        <v>93.5</v>
      </c>
      <c r="C198" s="1471"/>
      <c r="D198" s="1541"/>
      <c r="E198" s="1057"/>
      <c r="F198" s="170"/>
      <c r="G198" s="170"/>
      <c r="H198" s="170"/>
      <c r="I198" s="170"/>
      <c r="J198" s="170"/>
      <c r="K198" s="170"/>
      <c r="L198" s="1031"/>
      <c r="M198" s="170"/>
      <c r="N198" s="1031"/>
      <c r="O198" s="892"/>
      <c r="P198" s="836"/>
      <c r="Q198" s="1709"/>
      <c r="R198" s="1806"/>
      <c r="S198" s="1709"/>
      <c r="T198" s="1962"/>
      <c r="U198" s="1709"/>
      <c r="V198" s="1806"/>
      <c r="W198" s="1709"/>
      <c r="X198" s="1027"/>
      <c r="Y198" s="892"/>
      <c r="Z198" s="893"/>
      <c r="AA198" s="892" t="str">
        <f t="shared" si="32"/>
        <v/>
      </c>
      <c r="AB198" s="1030"/>
      <c r="AC198" s="1622"/>
      <c r="AD198" s="1030"/>
      <c r="AF198" s="895"/>
      <c r="AG198" s="896"/>
      <c r="AJ198" s="900"/>
      <c r="AK198" s="1624"/>
      <c r="AO198" s="1152"/>
      <c r="AP198" s="1152"/>
      <c r="AQ198" s="1152"/>
      <c r="AR198" s="1152"/>
      <c r="AS198" s="1152"/>
      <c r="AT198" s="1152"/>
      <c r="AU198" s="1152"/>
      <c r="AV198" s="1152"/>
      <c r="AW198" s="1152"/>
      <c r="AX198" s="1152"/>
      <c r="AY198" s="1448"/>
      <c r="AZ198" s="1448"/>
      <c r="BA198" s="846"/>
      <c r="BB198" s="846"/>
      <c r="BD198" s="897" t="str">
        <f>IFERROR(VLOOKUP(H198,Valid!$B$94:$N$96,3,FALSE), "")</f>
        <v/>
      </c>
      <c r="BE198" s="898" t="str">
        <f>IFERROR(VLOOKUP(H198,Valid!$B$94:$N$96,4,FALSE), "")</f>
        <v/>
      </c>
      <c r="BF198" s="897" t="str">
        <f t="shared" si="28"/>
        <v/>
      </c>
      <c r="BG198" s="897" t="str">
        <f t="shared" ca="1" si="29"/>
        <v/>
      </c>
      <c r="BH198" s="1860" t="str">
        <f>IFERROR(VLOOKUP($H198,val_equip_assets,BH$4,FALSE), "")</f>
        <v/>
      </c>
      <c r="BI198" s="1547" t="str">
        <f t="shared" ca="1" si="30"/>
        <v/>
      </c>
      <c r="BJ198" s="898" t="str">
        <f ca="1">IF(BI198="", "", IF(BI198&lt;0.1, 5, IF(BI198&lt;0.25, 4, IF(BI198&lt;0.5, 3, IF(BI198&lt;0.75, 2, 1)))))</f>
        <v/>
      </c>
      <c r="BK198" s="898" t="str">
        <f t="shared" si="33"/>
        <v/>
      </c>
      <c r="BL198" s="898" t="str">
        <f t="shared" si="33"/>
        <v/>
      </c>
      <c r="BM198" s="1710" t="str">
        <f t="shared" si="33"/>
        <v/>
      </c>
      <c r="BN198" s="1205" t="str">
        <f>IFERROR(VLOOKUP(H198,Valid!$B$94:$N$96,12,FALSE), "")</f>
        <v/>
      </c>
      <c r="BO198" s="1205" t="str">
        <f>IFERROR(VLOOKUP(H198,Valid!$B$94:$N$96,13,FALSE), "")</f>
        <v/>
      </c>
    </row>
    <row r="199" spans="1:69" s="901" customFormat="1" x14ac:dyDescent="0.2">
      <c r="A199" s="206">
        <v>94</v>
      </c>
      <c r="B199" s="1530">
        <v>94</v>
      </c>
      <c r="C199" s="1703"/>
      <c r="D199" s="1248" t="str">
        <f>IF(C197="","",IF(C199="","Enter Service Fleet Description then Fill in columns "&amp;TEXT($H$2,0)&amp;" - "&amp;TEXT($Z$2,0)&amp;"                 ",""))</f>
        <v/>
      </c>
      <c r="E199" s="1245" t="str">
        <f>IF(AK199="N/A","",AK199)</f>
        <v/>
      </c>
      <c r="F199" s="170"/>
      <c r="G199" s="170"/>
      <c r="H199" s="1704"/>
      <c r="I199" s="1246" t="str">
        <f>IF(AND(E199="No",H199=""),"Select Type of Vehicle                        ","")</f>
        <v/>
      </c>
      <c r="J199" s="1247"/>
      <c r="K199" s="1246" t="str">
        <f>IF(AND(C199="No",H199=""),"Number of Vehicles?  ","")</f>
        <v/>
      </c>
      <c r="L199" s="1782" t="str">
        <f>IFERROR(VLOOKUP($H199,val_equip_assets,BH$4,FALSE), "")</f>
        <v/>
      </c>
      <c r="M199" s="1246"/>
      <c r="N199" s="1247"/>
      <c r="O199" s="892" t="str">
        <f>IF(H199="","",IF(AND(E199="No",N199=""),TEXT(BH199,0)&amp;" Years?   ",""))</f>
        <v/>
      </c>
      <c r="P199" s="1705"/>
      <c r="Q199" s="1706" t="str">
        <f>IF(AND(E199="No",P199=""),"Enter Manufact. Yr.     ","")</f>
        <v/>
      </c>
      <c r="R199" s="1952" t="str">
        <f ca="1">BI199</f>
        <v/>
      </c>
      <c r="S199" s="1706"/>
      <c r="T199" s="1963" t="str">
        <f ca="1">BJ199</f>
        <v/>
      </c>
      <c r="U199" s="1706"/>
      <c r="V199" s="1675"/>
      <c r="W199" s="892" t="str">
        <f>IF(AND(E199="No",V199=""),"% of Cap. Resp.    ","")</f>
        <v/>
      </c>
      <c r="X199" s="1655"/>
      <c r="Y199" s="892" t="str">
        <f>IF(AND(E199="No",X199=""),"Estimated $?   ","")</f>
        <v/>
      </c>
      <c r="Z199" s="1707"/>
      <c r="AA199" s="892" t="str">
        <f t="shared" si="32"/>
        <v/>
      </c>
      <c r="AB199" s="1026" t="str">
        <f>IF(E199="","",IF(OR($X199="",$Z199=""),"missing info.",$X199*VLOOKUP($Z199,Inflate,$BF199+1,FALSE)))</f>
        <v/>
      </c>
      <c r="AC199" s="1622"/>
      <c r="AD199" s="1026" t="str">
        <f>IF(E199="","",IF(J199="","missing info.",IF(AB199="missing info.","missing info.",AB199/J199)))</f>
        <v/>
      </c>
      <c r="AE199" s="839"/>
      <c r="AF199" s="1708"/>
      <c r="AG199" s="896"/>
      <c r="AH199" s="894"/>
      <c r="AI199" s="894" t="b">
        <f>IF(AND(C201&lt;&gt;"",C199=""),TRUE,FALSE)</f>
        <v>0</v>
      </c>
      <c r="AJ199" s="902" t="b">
        <f>IF(AND(N199="",P199&lt;&gt;""),TRUE,FALSE)</f>
        <v>0</v>
      </c>
      <c r="AK199" s="720" t="str">
        <f>IF(AND(J199="",AF199="",Z199="",X199="",V199="",N199="",H199="",P199="",C199=""),"N/A",IF(AND(C199&lt;&gt;"",J199&lt;&gt;"",N199&lt;&gt;"",H199&lt;&gt;"",P199&lt;&gt;"",V199&lt;&gt;"",X199&lt;&gt;"",Z199&lt;&gt;""),"Yes","No"))</f>
        <v>N/A</v>
      </c>
      <c r="AL199" s="720" t="b">
        <f>IF(AND(C199="",E199="no"),TRUE,FALSE)</f>
        <v>0</v>
      </c>
      <c r="AM199" s="720" t="b">
        <f>IF(AND(E199="no",H199=""),TRUE,FALSE)</f>
        <v>0</v>
      </c>
      <c r="AN199" s="720" t="b">
        <f>IF(AND(E199="no",H199=""),TRUE,FALSE)</f>
        <v>0</v>
      </c>
      <c r="AO199" s="903" t="b">
        <f>IF($J199="",FALSE,IF($J199&lt;$BD199,TRUE,FALSE))</f>
        <v>0</v>
      </c>
      <c r="AP199" s="903" t="b">
        <f>IF($J199="",FALSE,IF($J199&gt;$BE199,TRUE,FALSE))</f>
        <v>0</v>
      </c>
      <c r="AQ199" s="903" t="b">
        <f>IF(AND(E199="no",N199=""),TRUE,FALSE)</f>
        <v>0</v>
      </c>
      <c r="AR199" s="903" t="b">
        <f>IF(AND(E199="no",P199=""),TRUE,FALSE)</f>
        <v>0</v>
      </c>
      <c r="AS199" s="903" t="b">
        <f>IF(P199="",FALSE,IF(P199&lt;BM199,TRUE,FALSE))</f>
        <v>0</v>
      </c>
      <c r="AT199" s="903" t="b">
        <f>IF(P199="",FALSE,IF(P199&gt;BaseYear,TRUE,FALSE))</f>
        <v>0</v>
      </c>
      <c r="AU199" s="903" t="b">
        <f>IF(AND(E199="no",V199=""),TRUE,FALSE)</f>
        <v>0</v>
      </c>
      <c r="AV199" s="903" t="b">
        <f>IF(V199="",FALSE,IF(OR(V199&gt;1,V199&lt;0),TRUE,FALSE))</f>
        <v>0</v>
      </c>
      <c r="AW199" s="903" t="b">
        <f>IF($N199="",FALSE,IF($N199&lt;$BK199,TRUE,FALSE))</f>
        <v>0</v>
      </c>
      <c r="AX199" s="903" t="b">
        <f>IF($N199="",FALSE,IF($N199&gt;$BL199,TRUE,FALSE))</f>
        <v>0</v>
      </c>
      <c r="AY199" s="889" t="b">
        <f>IF(AND(E199="no",X199=""),TRUE,FALSE)</f>
        <v>0</v>
      </c>
      <c r="AZ199" s="889" t="b">
        <f>IF(OR(AD199="missing info.",AD199=""),FALSE,IF(AD199&lt;BN199,TRUE,FALSE))</f>
        <v>0</v>
      </c>
      <c r="BA199" s="890" t="b">
        <f>IF(OR(AD199="missing info.",AD199=""),FALSE,IF(AD199&gt;BO199,TRUE,FALSE))</f>
        <v>0</v>
      </c>
      <c r="BB199" s="890" t="b">
        <f>IF(AND(E199="no",Z199=""),TRUE,FALSE)</f>
        <v>0</v>
      </c>
      <c r="BC199" s="894" t="b">
        <f>IF(Z199="",FALSE,IF(OR(Z199&gt;BaseYear,Z199&lt;BM199),TRUE,FALSE))</f>
        <v>0</v>
      </c>
      <c r="BD199" s="897" t="str">
        <f>IFERROR(VLOOKUP(H199,Valid!$B$94:$N$96,3,FALSE), "")</f>
        <v/>
      </c>
      <c r="BE199" s="898" t="str">
        <f>IFERROR(VLOOKUP(H199,Valid!$B$94:$N$96,4,FALSE), "")</f>
        <v/>
      </c>
      <c r="BF199" s="897" t="str">
        <f t="shared" si="28"/>
        <v/>
      </c>
      <c r="BG199" s="897" t="str">
        <f t="shared" ca="1" si="29"/>
        <v/>
      </c>
      <c r="BH199" s="1860">
        <f>N199</f>
        <v>0</v>
      </c>
      <c r="BI199" s="1547" t="str">
        <f t="shared" ca="1" si="30"/>
        <v/>
      </c>
      <c r="BJ199" s="898" t="str">
        <f ca="1">IF(BI199="", "", IF(1+(BI199*4)&lt;1, 1, 1+(BI199*4)))</f>
        <v/>
      </c>
      <c r="BK199" s="898" t="str">
        <f t="shared" si="33"/>
        <v/>
      </c>
      <c r="BL199" s="898" t="str">
        <f t="shared" si="33"/>
        <v/>
      </c>
      <c r="BM199" s="1710" t="str">
        <f t="shared" si="33"/>
        <v/>
      </c>
      <c r="BN199" s="1205" t="str">
        <f>IFERROR(VLOOKUP(H199,Valid!$B$94:$N$96,12,FALSE), "")</f>
        <v/>
      </c>
      <c r="BO199" s="1205" t="str">
        <f>IFERROR(VLOOKUP(H199,Valid!$B$94:$N$96,13,FALSE), "")</f>
        <v/>
      </c>
      <c r="BP199" s="894"/>
      <c r="BQ199" s="894"/>
    </row>
    <row r="200" spans="1:69" s="894" customFormat="1" ht="6.75" customHeight="1" thickBot="1" x14ac:dyDescent="0.25">
      <c r="A200" s="1516"/>
      <c r="B200" s="1530">
        <v>94.5</v>
      </c>
      <c r="C200" s="1471"/>
      <c r="D200" s="1541"/>
      <c r="E200" s="1057"/>
      <c r="F200" s="170"/>
      <c r="G200" s="170"/>
      <c r="H200" s="170"/>
      <c r="I200" s="170"/>
      <c r="J200" s="170"/>
      <c r="K200" s="170"/>
      <c r="L200" s="1031"/>
      <c r="M200" s="170"/>
      <c r="N200" s="1031"/>
      <c r="O200" s="892"/>
      <c r="P200" s="836"/>
      <c r="Q200" s="1709"/>
      <c r="R200" s="1806"/>
      <c r="S200" s="1709"/>
      <c r="T200" s="1962"/>
      <c r="U200" s="1709"/>
      <c r="V200" s="1806"/>
      <c r="W200" s="1709"/>
      <c r="X200" s="1027"/>
      <c r="Y200" s="892"/>
      <c r="Z200" s="893"/>
      <c r="AA200" s="892" t="str">
        <f t="shared" si="32"/>
        <v/>
      </c>
      <c r="AB200" s="1030"/>
      <c r="AC200" s="1622"/>
      <c r="AD200" s="1030"/>
      <c r="AF200" s="895"/>
      <c r="AG200" s="896"/>
      <c r="AJ200" s="900"/>
      <c r="AK200" s="1624"/>
      <c r="AO200" s="1152"/>
      <c r="AP200" s="1152"/>
      <c r="AQ200" s="1152"/>
      <c r="AR200" s="1152"/>
      <c r="AS200" s="1152"/>
      <c r="AT200" s="1152"/>
      <c r="AU200" s="1152"/>
      <c r="AV200" s="1152"/>
      <c r="AW200" s="1152"/>
      <c r="AX200" s="1152"/>
      <c r="AY200" s="1448"/>
      <c r="AZ200" s="1448"/>
      <c r="BA200" s="846"/>
      <c r="BB200" s="846"/>
      <c r="BD200" s="897" t="str">
        <f>IFERROR(VLOOKUP(H200,Valid!$B$94:$N$96,3,FALSE), "")</f>
        <v/>
      </c>
      <c r="BE200" s="898" t="str">
        <f>IFERROR(VLOOKUP(H200,Valid!$B$94:$N$96,4,FALSE), "")</f>
        <v/>
      </c>
      <c r="BF200" s="897" t="str">
        <f t="shared" si="28"/>
        <v/>
      </c>
      <c r="BG200" s="897" t="str">
        <f t="shared" ca="1" si="29"/>
        <v/>
      </c>
      <c r="BH200" s="1860" t="str">
        <f>IFERROR(VLOOKUP($H200,val_equip_assets,BH$4,FALSE), "")</f>
        <v/>
      </c>
      <c r="BI200" s="1547" t="str">
        <f t="shared" ca="1" si="30"/>
        <v/>
      </c>
      <c r="BJ200" s="898" t="str">
        <f ca="1">IF(BI200="", "", IF(BI200&lt;0.1, 5, IF(BI200&lt;0.25, 4, IF(BI200&lt;0.5, 3, IF(BI200&lt;0.75, 2, 1)))))</f>
        <v/>
      </c>
      <c r="BK200" s="898" t="str">
        <f t="shared" si="33"/>
        <v/>
      </c>
      <c r="BL200" s="898" t="str">
        <f t="shared" si="33"/>
        <v/>
      </c>
      <c r="BM200" s="1710" t="str">
        <f t="shared" si="33"/>
        <v/>
      </c>
      <c r="BN200" s="1205" t="str">
        <f>IFERROR(VLOOKUP(H200,Valid!$B$94:$N$96,12,FALSE), "")</f>
        <v/>
      </c>
      <c r="BO200" s="1205" t="str">
        <f>IFERROR(VLOOKUP(H200,Valid!$B$94:$N$96,13,FALSE), "")</f>
        <v/>
      </c>
    </row>
    <row r="201" spans="1:69" s="901" customFormat="1" x14ac:dyDescent="0.2">
      <c r="A201" s="206">
        <v>95</v>
      </c>
      <c r="B201" s="1530">
        <v>95</v>
      </c>
      <c r="C201" s="1703"/>
      <c r="D201" s="1248" t="str">
        <f>IF(C199="","",IF(C201="","Enter Service Fleet Description then Fill in columns "&amp;TEXT($H$2,0)&amp;" - "&amp;TEXT($Z$2,0)&amp;"                 ",""))</f>
        <v/>
      </c>
      <c r="E201" s="1245" t="str">
        <f>IF(AK201="N/A","",AK201)</f>
        <v/>
      </c>
      <c r="F201" s="170"/>
      <c r="G201" s="170"/>
      <c r="H201" s="1704"/>
      <c r="I201" s="1246" t="str">
        <f>IF(AND(E201="No",H201=""),"Select Type of Vehicle                        ","")</f>
        <v/>
      </c>
      <c r="J201" s="1247"/>
      <c r="K201" s="1246" t="str">
        <f>IF(AND(C201="No",H201=""),"Number of Vehicles?  ","")</f>
        <v/>
      </c>
      <c r="L201" s="1782" t="str">
        <f>IFERROR(VLOOKUP($H201,val_equip_assets,BH$4,FALSE), "")</f>
        <v/>
      </c>
      <c r="M201" s="1246"/>
      <c r="N201" s="1247"/>
      <c r="O201" s="892" t="str">
        <f>IF(H201="","",IF(AND(E201="No",N201=""),TEXT(BH201,0)&amp;" Years?   ",""))</f>
        <v/>
      </c>
      <c r="P201" s="1705"/>
      <c r="Q201" s="1706" t="str">
        <f>IF(AND(E201="No",P201=""),"Enter Manufact. Yr.     ","")</f>
        <v/>
      </c>
      <c r="R201" s="1952" t="str">
        <f ca="1">BI201</f>
        <v/>
      </c>
      <c r="S201" s="1706"/>
      <c r="T201" s="1963" t="str">
        <f ca="1">BJ201</f>
        <v/>
      </c>
      <c r="U201" s="1706"/>
      <c r="V201" s="1675"/>
      <c r="W201" s="892" t="str">
        <f>IF(AND(E201="No",V201=""),"% of Cap. Resp.    ","")</f>
        <v/>
      </c>
      <c r="X201" s="1655"/>
      <c r="Y201" s="892" t="str">
        <f>IF(AND(E201="No",X201=""),"Estimated $?   ","")</f>
        <v/>
      </c>
      <c r="Z201" s="1707"/>
      <c r="AA201" s="892" t="str">
        <f t="shared" si="32"/>
        <v/>
      </c>
      <c r="AB201" s="1026" t="str">
        <f>IF(E201="","",IF(OR($X201="",$Z201=""),"missing info.",$X201*VLOOKUP($Z201,Inflate,$BF201+1,FALSE)))</f>
        <v/>
      </c>
      <c r="AC201" s="1622"/>
      <c r="AD201" s="1026" t="str">
        <f>IF(E201="","",IF(J201="","missing info.",IF(AB201="missing info.","missing info.",AB201/J201)))</f>
        <v/>
      </c>
      <c r="AE201" s="839"/>
      <c r="AF201" s="1708"/>
      <c r="AG201" s="896"/>
      <c r="AH201" s="894"/>
      <c r="AI201" s="894" t="b">
        <f>IF(AND(C203&lt;&gt;"",C201=""),TRUE,FALSE)</f>
        <v>0</v>
      </c>
      <c r="AJ201" s="902" t="b">
        <f>IF(AND(N201="",P201&lt;&gt;""),TRUE,FALSE)</f>
        <v>0</v>
      </c>
      <c r="AK201" s="720" t="str">
        <f>IF(AND(J201="",AF201="",Z201="",X201="",V201="",N201="",H201="",P201="",C201=""),"N/A",IF(AND(C201&lt;&gt;"",J201&lt;&gt;"",N201&lt;&gt;"",H201&lt;&gt;"",P201&lt;&gt;"",V201&lt;&gt;"",X201&lt;&gt;"",Z201&lt;&gt;""),"Yes","No"))</f>
        <v>N/A</v>
      </c>
      <c r="AL201" s="720" t="b">
        <f>IF(AND(C201="",E201="no"),TRUE,FALSE)</f>
        <v>0</v>
      </c>
      <c r="AM201" s="720" t="b">
        <f>IF(AND(E201="no",H201=""),TRUE,FALSE)</f>
        <v>0</v>
      </c>
      <c r="AN201" s="720" t="b">
        <f>IF(AND(E201="no",H201=""),TRUE,FALSE)</f>
        <v>0</v>
      </c>
      <c r="AO201" s="903" t="b">
        <f>IF($J201="",FALSE,IF($J201&lt;$BD201,TRUE,FALSE))</f>
        <v>0</v>
      </c>
      <c r="AP201" s="903" t="b">
        <f>IF($J201="",FALSE,IF($J201&gt;$BE201,TRUE,FALSE))</f>
        <v>0</v>
      </c>
      <c r="AQ201" s="903" t="b">
        <f>IF(AND(E201="no",N201=""),TRUE,FALSE)</f>
        <v>0</v>
      </c>
      <c r="AR201" s="903" t="b">
        <f>IF(AND(E201="no",P201=""),TRUE,FALSE)</f>
        <v>0</v>
      </c>
      <c r="AS201" s="903" t="b">
        <f>IF(P201="",FALSE,IF(P201&lt;BM201,TRUE,FALSE))</f>
        <v>0</v>
      </c>
      <c r="AT201" s="903" t="b">
        <f>IF(P201="",FALSE,IF(P201&gt;BaseYear,TRUE,FALSE))</f>
        <v>0</v>
      </c>
      <c r="AU201" s="903" t="b">
        <f>IF(AND(E201="no",V201=""),TRUE,FALSE)</f>
        <v>0</v>
      </c>
      <c r="AV201" s="903" t="b">
        <f>IF(V201="",FALSE,IF(OR(V201&gt;1,V201&lt;0),TRUE,FALSE))</f>
        <v>0</v>
      </c>
      <c r="AW201" s="903" t="b">
        <f>IF($N201="",FALSE,IF($N201&lt;$BK201,TRUE,FALSE))</f>
        <v>0</v>
      </c>
      <c r="AX201" s="903" t="b">
        <f>IF($N201="",FALSE,IF($N201&gt;$BL201,TRUE,FALSE))</f>
        <v>0</v>
      </c>
      <c r="AY201" s="889" t="b">
        <f>IF(AND(E201="no",X201=""),TRUE,FALSE)</f>
        <v>0</v>
      </c>
      <c r="AZ201" s="889" t="b">
        <f>IF(OR(AD201="missing info.",AD201=""),FALSE,IF(AD201&lt;BN201,TRUE,FALSE))</f>
        <v>0</v>
      </c>
      <c r="BA201" s="890" t="b">
        <f>IF(OR(AD201="missing info.",AD201=""),FALSE,IF(AD201&gt;BO201,TRUE,FALSE))</f>
        <v>0</v>
      </c>
      <c r="BB201" s="890" t="b">
        <f>IF(AND(E201="no",Z201=""),TRUE,FALSE)</f>
        <v>0</v>
      </c>
      <c r="BC201" s="894" t="b">
        <f>IF(Z201="",FALSE,IF(OR(Z201&gt;BaseYear,Z201&lt;BM201),TRUE,FALSE))</f>
        <v>0</v>
      </c>
      <c r="BD201" s="897" t="str">
        <f>IFERROR(VLOOKUP(H201,Valid!$B$94:$N$96,3,FALSE), "")</f>
        <v/>
      </c>
      <c r="BE201" s="898" t="str">
        <f>IFERROR(VLOOKUP(H201,Valid!$B$94:$N$96,4,FALSE), "")</f>
        <v/>
      </c>
      <c r="BF201" s="897" t="str">
        <f t="shared" si="28"/>
        <v/>
      </c>
      <c r="BG201" s="897" t="str">
        <f t="shared" ca="1" si="29"/>
        <v/>
      </c>
      <c r="BH201" s="1860">
        <f>N201</f>
        <v>0</v>
      </c>
      <c r="BI201" s="1547" t="str">
        <f t="shared" ca="1" si="30"/>
        <v/>
      </c>
      <c r="BJ201" s="898" t="str">
        <f ca="1">IF(BI201="", "", IF(1+(BI201*4)&lt;1, 1, 1+(BI201*4)))</f>
        <v/>
      </c>
      <c r="BK201" s="898" t="str">
        <f t="shared" si="33"/>
        <v/>
      </c>
      <c r="BL201" s="898" t="str">
        <f t="shared" si="33"/>
        <v/>
      </c>
      <c r="BM201" s="1710" t="str">
        <f t="shared" si="33"/>
        <v/>
      </c>
      <c r="BN201" s="1205" t="str">
        <f>IFERROR(VLOOKUP(H201,Valid!$B$94:$N$96,12,FALSE), "")</f>
        <v/>
      </c>
      <c r="BO201" s="1205" t="str">
        <f>IFERROR(VLOOKUP(H201,Valid!$B$94:$N$96,13,FALSE), "")</f>
        <v/>
      </c>
      <c r="BP201" s="894"/>
      <c r="BQ201" s="894"/>
    </row>
    <row r="202" spans="1:69" s="894" customFormat="1" ht="6.75" customHeight="1" thickBot="1" x14ac:dyDescent="0.25">
      <c r="A202" s="1516"/>
      <c r="B202" s="1530">
        <v>95.5</v>
      </c>
      <c r="C202" s="1471"/>
      <c r="D202" s="1541"/>
      <c r="E202" s="1057"/>
      <c r="F202" s="170"/>
      <c r="G202" s="170"/>
      <c r="H202" s="170"/>
      <c r="I202" s="170"/>
      <c r="J202" s="170"/>
      <c r="K202" s="170"/>
      <c r="L202" s="1031"/>
      <c r="M202" s="170"/>
      <c r="N202" s="1031"/>
      <c r="O202" s="892"/>
      <c r="P202" s="836"/>
      <c r="Q202" s="1709"/>
      <c r="R202" s="1806"/>
      <c r="S202" s="1709"/>
      <c r="T202" s="1962"/>
      <c r="U202" s="1709"/>
      <c r="V202" s="1806"/>
      <c r="W202" s="1709"/>
      <c r="X202" s="1027"/>
      <c r="Y202" s="892"/>
      <c r="Z202" s="893"/>
      <c r="AA202" s="892" t="str">
        <f t="shared" si="32"/>
        <v/>
      </c>
      <c r="AB202" s="1030"/>
      <c r="AC202" s="1622"/>
      <c r="AD202" s="1030"/>
      <c r="AF202" s="895"/>
      <c r="AG202" s="896"/>
      <c r="AJ202" s="900"/>
      <c r="AK202" s="1624"/>
      <c r="AO202" s="1152"/>
      <c r="AP202" s="1152"/>
      <c r="AQ202" s="1152"/>
      <c r="AR202" s="1152"/>
      <c r="AS202" s="1152"/>
      <c r="AT202" s="1152"/>
      <c r="AU202" s="1152"/>
      <c r="AV202" s="1152"/>
      <c r="AW202" s="1152"/>
      <c r="AX202" s="1152"/>
      <c r="AY202" s="1448"/>
      <c r="AZ202" s="1448"/>
      <c r="BA202" s="846"/>
      <c r="BB202" s="846"/>
      <c r="BD202" s="897" t="str">
        <f>IFERROR(VLOOKUP(H202,Valid!$B$94:$N$96,3,FALSE), "")</f>
        <v/>
      </c>
      <c r="BE202" s="898" t="str">
        <f>IFERROR(VLOOKUP(H202,Valid!$B$94:$N$96,4,FALSE), "")</f>
        <v/>
      </c>
      <c r="BF202" s="897" t="str">
        <f t="shared" si="28"/>
        <v/>
      </c>
      <c r="BG202" s="897" t="str">
        <f t="shared" ca="1" si="29"/>
        <v/>
      </c>
      <c r="BH202" s="1860" t="str">
        <f>IFERROR(VLOOKUP($H202,val_equip_assets,BH$4,FALSE), "")</f>
        <v/>
      </c>
      <c r="BI202" s="1547" t="str">
        <f t="shared" ca="1" si="30"/>
        <v/>
      </c>
      <c r="BJ202" s="898" t="str">
        <f ca="1">IF(BI202="", "", IF(BI202&lt;0.1, 5, IF(BI202&lt;0.25, 4, IF(BI202&lt;0.5, 3, IF(BI202&lt;0.75, 2, 1)))))</f>
        <v/>
      </c>
      <c r="BK202" s="898" t="str">
        <f t="shared" si="33"/>
        <v/>
      </c>
      <c r="BL202" s="898" t="str">
        <f t="shared" si="33"/>
        <v/>
      </c>
      <c r="BM202" s="1710" t="str">
        <f t="shared" si="33"/>
        <v/>
      </c>
      <c r="BN202" s="1205" t="str">
        <f>IFERROR(VLOOKUP(H202,Valid!$B$94:$N$96,12,FALSE), "")</f>
        <v/>
      </c>
      <c r="BO202" s="1205" t="str">
        <f>IFERROR(VLOOKUP(H202,Valid!$B$94:$N$96,13,FALSE), "")</f>
        <v/>
      </c>
    </row>
    <row r="203" spans="1:69" s="901" customFormat="1" x14ac:dyDescent="0.2">
      <c r="A203" s="206">
        <v>96</v>
      </c>
      <c r="B203" s="1530">
        <v>96</v>
      </c>
      <c r="C203" s="1703"/>
      <c r="D203" s="1248" t="str">
        <f>IF(C201="","",IF(C203="","Enter Service Fleet Description then Fill in columns "&amp;TEXT($H$2,0)&amp;" - "&amp;TEXT($Z$2,0)&amp;"                 ",""))</f>
        <v/>
      </c>
      <c r="E203" s="1245" t="str">
        <f>IF(AK203="N/A","",AK203)</f>
        <v/>
      </c>
      <c r="F203" s="170"/>
      <c r="G203" s="170"/>
      <c r="H203" s="1704"/>
      <c r="I203" s="1246" t="str">
        <f>IF(AND(E203="No",H203=""),"Select Type of Vehicle                        ","")</f>
        <v/>
      </c>
      <c r="J203" s="1247"/>
      <c r="K203" s="1246" t="str">
        <f>IF(AND(C203="No",H203=""),"Number of Vehicles?  ","")</f>
        <v/>
      </c>
      <c r="L203" s="1782" t="str">
        <f>IFERROR(VLOOKUP($H203,val_equip_assets,BH$4,FALSE), "")</f>
        <v/>
      </c>
      <c r="M203" s="1246"/>
      <c r="N203" s="1247"/>
      <c r="O203" s="892" t="str">
        <f>IF(H203="","",IF(AND(E203="No",N203=""),TEXT(BH203,0)&amp;" Years?   ",""))</f>
        <v/>
      </c>
      <c r="P203" s="1705"/>
      <c r="Q203" s="1706" t="str">
        <f>IF(AND(E203="No",P203=""),"Enter Manufact. Yr.     ","")</f>
        <v/>
      </c>
      <c r="R203" s="1952" t="str">
        <f ca="1">BI203</f>
        <v/>
      </c>
      <c r="S203" s="1706"/>
      <c r="T203" s="1963" t="str">
        <f ca="1">BJ203</f>
        <v/>
      </c>
      <c r="U203" s="1706"/>
      <c r="V203" s="1675"/>
      <c r="W203" s="892" t="str">
        <f>IF(AND(E203="No",V203=""),"% of Cap. Resp.    ","")</f>
        <v/>
      </c>
      <c r="X203" s="1655"/>
      <c r="Y203" s="892" t="str">
        <f>IF(AND(E203="No",X203=""),"Estimated $?   ","")</f>
        <v/>
      </c>
      <c r="Z203" s="1707"/>
      <c r="AA203" s="892" t="str">
        <f t="shared" si="32"/>
        <v/>
      </c>
      <c r="AB203" s="1026" t="str">
        <f>IF(E203="","",IF(OR($X203="",$Z203=""),"missing info.",$X203*VLOOKUP($Z203,Inflate,$BF203+1,FALSE)))</f>
        <v/>
      </c>
      <c r="AC203" s="1622"/>
      <c r="AD203" s="1026" t="str">
        <f>IF(E203="","",IF(J203="","missing info.",IF(AB203="missing info.","missing info.",AB203/J203)))</f>
        <v/>
      </c>
      <c r="AE203" s="839"/>
      <c r="AF203" s="1708"/>
      <c r="AG203" s="896"/>
      <c r="AH203" s="894"/>
      <c r="AI203" s="894" t="b">
        <f>IF(AND(C205&lt;&gt;"",C203=""),TRUE,FALSE)</f>
        <v>0</v>
      </c>
      <c r="AJ203" s="902" t="b">
        <f>IF(AND(N203="",P203&lt;&gt;""),TRUE,FALSE)</f>
        <v>0</v>
      </c>
      <c r="AK203" s="720" t="str">
        <f>IF(AND(J203="",AF203="",Z203="",X203="",V203="",N203="",H203="",P203="",C203=""),"N/A",IF(AND(C203&lt;&gt;"",J203&lt;&gt;"",N203&lt;&gt;"",H203&lt;&gt;"",P203&lt;&gt;"",V203&lt;&gt;"",X203&lt;&gt;"",Z203&lt;&gt;""),"Yes","No"))</f>
        <v>N/A</v>
      </c>
      <c r="AL203" s="720" t="b">
        <f>IF(AND(C203="",E203="no"),TRUE,FALSE)</f>
        <v>0</v>
      </c>
      <c r="AM203" s="720" t="b">
        <f>IF(AND(E203="no",H203=""),TRUE,FALSE)</f>
        <v>0</v>
      </c>
      <c r="AN203" s="720" t="b">
        <f>IF(AND(E203="no",H203=""),TRUE,FALSE)</f>
        <v>0</v>
      </c>
      <c r="AO203" s="903" t="b">
        <f>IF($J203="",FALSE,IF($J203&lt;$BD203,TRUE,FALSE))</f>
        <v>0</v>
      </c>
      <c r="AP203" s="903" t="b">
        <f>IF($J203="",FALSE,IF($J203&gt;$BE203,TRUE,FALSE))</f>
        <v>0</v>
      </c>
      <c r="AQ203" s="903" t="b">
        <f>IF(AND(E203="no",N203=""),TRUE,FALSE)</f>
        <v>0</v>
      </c>
      <c r="AR203" s="903" t="b">
        <f>IF(AND(E203="no",P203=""),TRUE,FALSE)</f>
        <v>0</v>
      </c>
      <c r="AS203" s="903" t="b">
        <f>IF(P203="",FALSE,IF(P203&lt;BM203,TRUE,FALSE))</f>
        <v>0</v>
      </c>
      <c r="AT203" s="903" t="b">
        <f>IF(P203="",FALSE,IF(P203&gt;BaseYear,TRUE,FALSE))</f>
        <v>0</v>
      </c>
      <c r="AU203" s="903" t="b">
        <f>IF(AND(E203="no",V203=""),TRUE,FALSE)</f>
        <v>0</v>
      </c>
      <c r="AV203" s="903" t="b">
        <f>IF(V203="",FALSE,IF(OR(V203&gt;1,V203&lt;0),TRUE,FALSE))</f>
        <v>0</v>
      </c>
      <c r="AW203" s="903" t="b">
        <f>IF($N203="",FALSE,IF($N203&lt;$BK203,TRUE,FALSE))</f>
        <v>0</v>
      </c>
      <c r="AX203" s="903" t="b">
        <f>IF($N203="",FALSE,IF($N203&gt;$BL203,TRUE,FALSE))</f>
        <v>0</v>
      </c>
      <c r="AY203" s="889" t="b">
        <f>IF(AND(E203="no",X203=""),TRUE,FALSE)</f>
        <v>0</v>
      </c>
      <c r="AZ203" s="889" t="b">
        <f>IF(OR(AD203="missing info.",AD203=""),FALSE,IF(AD203&lt;BN203,TRUE,FALSE))</f>
        <v>0</v>
      </c>
      <c r="BA203" s="890" t="b">
        <f>IF(OR(AD203="missing info.",AD203=""),FALSE,IF(AD203&gt;BO203,TRUE,FALSE))</f>
        <v>0</v>
      </c>
      <c r="BB203" s="890" t="b">
        <f>IF(AND(E203="no",Z203=""),TRUE,FALSE)</f>
        <v>0</v>
      </c>
      <c r="BC203" s="894" t="b">
        <f>IF(Z203="",FALSE,IF(OR(Z203&gt;BaseYear,Z203&lt;BM203),TRUE,FALSE))</f>
        <v>0</v>
      </c>
      <c r="BD203" s="897" t="str">
        <f>IFERROR(VLOOKUP(H203,Valid!$B$94:$N$96,3,FALSE), "")</f>
        <v/>
      </c>
      <c r="BE203" s="898" t="str">
        <f>IFERROR(VLOOKUP(H203,Valid!$B$94:$N$96,4,FALSE), "")</f>
        <v/>
      </c>
      <c r="BF203" s="897" t="str">
        <f t="shared" si="28"/>
        <v/>
      </c>
      <c r="BG203" s="897" t="str">
        <f t="shared" ca="1" si="29"/>
        <v/>
      </c>
      <c r="BH203" s="1860">
        <f>N203</f>
        <v>0</v>
      </c>
      <c r="BI203" s="1547" t="str">
        <f t="shared" ca="1" si="30"/>
        <v/>
      </c>
      <c r="BJ203" s="898" t="str">
        <f ca="1">IF(BI203="", "", IF(1+(BI203*4)&lt;1, 1, 1+(BI203*4)))</f>
        <v/>
      </c>
      <c r="BK203" s="898" t="str">
        <f t="shared" si="33"/>
        <v/>
      </c>
      <c r="BL203" s="898" t="str">
        <f t="shared" si="33"/>
        <v/>
      </c>
      <c r="BM203" s="1710" t="str">
        <f t="shared" si="33"/>
        <v/>
      </c>
      <c r="BN203" s="1205" t="str">
        <f>IFERROR(VLOOKUP(H203,Valid!$B$94:$N$96,12,FALSE), "")</f>
        <v/>
      </c>
      <c r="BO203" s="1205" t="str">
        <f>IFERROR(VLOOKUP(H203,Valid!$B$94:$N$96,13,FALSE), "")</f>
        <v/>
      </c>
      <c r="BP203" s="894"/>
      <c r="BQ203" s="894"/>
    </row>
    <row r="204" spans="1:69" s="894" customFormat="1" ht="6.75" customHeight="1" thickBot="1" x14ac:dyDescent="0.25">
      <c r="A204" s="1516"/>
      <c r="B204" s="1530">
        <v>96.5</v>
      </c>
      <c r="C204" s="1471"/>
      <c r="D204" s="1541"/>
      <c r="E204" s="1057"/>
      <c r="F204" s="170"/>
      <c r="G204" s="170"/>
      <c r="H204" s="170"/>
      <c r="I204" s="170"/>
      <c r="J204" s="170"/>
      <c r="K204" s="170"/>
      <c r="L204" s="1031"/>
      <c r="M204" s="170"/>
      <c r="N204" s="1031"/>
      <c r="O204" s="892"/>
      <c r="P204" s="836"/>
      <c r="Q204" s="1709"/>
      <c r="R204" s="1806"/>
      <c r="S204" s="1709"/>
      <c r="T204" s="1962"/>
      <c r="U204" s="1709"/>
      <c r="V204" s="1806"/>
      <c r="W204" s="1709"/>
      <c r="X204" s="1027"/>
      <c r="Y204" s="892"/>
      <c r="Z204" s="893"/>
      <c r="AA204" s="892" t="str">
        <f t="shared" si="32"/>
        <v/>
      </c>
      <c r="AB204" s="1030"/>
      <c r="AC204" s="1622"/>
      <c r="AD204" s="1030"/>
      <c r="AF204" s="895"/>
      <c r="AG204" s="896"/>
      <c r="AJ204" s="900"/>
      <c r="AK204" s="1624"/>
      <c r="AO204" s="1152"/>
      <c r="AP204" s="1152"/>
      <c r="AQ204" s="1152"/>
      <c r="AR204" s="1152"/>
      <c r="AS204" s="1152"/>
      <c r="AT204" s="1152"/>
      <c r="AU204" s="1152"/>
      <c r="AV204" s="1152"/>
      <c r="AW204" s="1152"/>
      <c r="AX204" s="1152"/>
      <c r="AY204" s="1448"/>
      <c r="AZ204" s="1448"/>
      <c r="BA204" s="846"/>
      <c r="BB204" s="846"/>
      <c r="BD204" s="897" t="str">
        <f>IFERROR(VLOOKUP(H204,Valid!$B$94:$N$96,3,FALSE), "")</f>
        <v/>
      </c>
      <c r="BE204" s="898" t="str">
        <f>IFERROR(VLOOKUP(H204,Valid!$B$94:$N$96,4,FALSE), "")</f>
        <v/>
      </c>
      <c r="BF204" s="897" t="str">
        <f t="shared" si="28"/>
        <v/>
      </c>
      <c r="BG204" s="897" t="str">
        <f t="shared" ca="1" si="29"/>
        <v/>
      </c>
      <c r="BH204" s="1860" t="str">
        <f>IFERROR(VLOOKUP($H204,val_equip_assets,BH$4,FALSE), "")</f>
        <v/>
      </c>
      <c r="BI204" s="1547" t="str">
        <f t="shared" ca="1" si="30"/>
        <v/>
      </c>
      <c r="BJ204" s="898" t="str">
        <f ca="1">IF(BI204="", "", IF(BI204&lt;0.1, 5, IF(BI204&lt;0.25, 4, IF(BI204&lt;0.5, 3, IF(BI204&lt;0.75, 2, 1)))))</f>
        <v/>
      </c>
      <c r="BK204" s="898" t="str">
        <f t="shared" si="33"/>
        <v/>
      </c>
      <c r="BL204" s="898" t="str">
        <f t="shared" si="33"/>
        <v/>
      </c>
      <c r="BM204" s="1710" t="str">
        <f t="shared" si="33"/>
        <v/>
      </c>
      <c r="BN204" s="1205" t="str">
        <f>IFERROR(VLOOKUP(H204,Valid!$B$94:$N$96,12,FALSE), "")</f>
        <v/>
      </c>
      <c r="BO204" s="1205" t="str">
        <f>IFERROR(VLOOKUP(H204,Valid!$B$94:$N$96,13,FALSE), "")</f>
        <v/>
      </c>
    </row>
    <row r="205" spans="1:69" s="901" customFormat="1" x14ac:dyDescent="0.2">
      <c r="A205" s="206">
        <v>97</v>
      </c>
      <c r="B205" s="1530">
        <v>97</v>
      </c>
      <c r="C205" s="1703"/>
      <c r="D205" s="1248" t="str">
        <f>IF(C203="","",IF(C205="","Enter Service Fleet Description then Fill in columns "&amp;TEXT($H$2,0)&amp;" - "&amp;TEXT($Z$2,0)&amp;"                 ",""))</f>
        <v/>
      </c>
      <c r="E205" s="1245" t="str">
        <f>IF(AK205="N/A","",AK205)</f>
        <v/>
      </c>
      <c r="F205" s="170"/>
      <c r="G205" s="170"/>
      <c r="H205" s="1704"/>
      <c r="I205" s="1246" t="str">
        <f>IF(AND(E205="No",H205=""),"Select Type of Vehicle                        ","")</f>
        <v/>
      </c>
      <c r="J205" s="1247"/>
      <c r="K205" s="1246" t="str">
        <f>IF(AND(C205="No",H205=""),"Number of Vehicles?  ","")</f>
        <v/>
      </c>
      <c r="L205" s="1782" t="str">
        <f>IFERROR(VLOOKUP($H205,val_equip_assets,BH$4,FALSE), "")</f>
        <v/>
      </c>
      <c r="M205" s="1246"/>
      <c r="N205" s="1247"/>
      <c r="O205" s="892" t="str">
        <f>IF(H205="","",IF(AND(E205="No",N205=""),TEXT(BH205,0)&amp;" Years?   ",""))</f>
        <v/>
      </c>
      <c r="P205" s="1705"/>
      <c r="Q205" s="1706" t="str">
        <f>IF(AND(E205="No",P205=""),"Enter Manufact. Yr.     ","")</f>
        <v/>
      </c>
      <c r="R205" s="1952" t="str">
        <f ca="1">BI205</f>
        <v/>
      </c>
      <c r="S205" s="1706"/>
      <c r="T205" s="1963" t="str">
        <f ca="1">BJ205</f>
        <v/>
      </c>
      <c r="U205" s="1706"/>
      <c r="V205" s="1675"/>
      <c r="W205" s="892" t="str">
        <f>IF(AND(E205="No",V205=""),"% of Cap. Resp.    ","")</f>
        <v/>
      </c>
      <c r="X205" s="1655"/>
      <c r="Y205" s="892" t="str">
        <f>IF(AND(E205="No",X205=""),"Estimated $?   ","")</f>
        <v/>
      </c>
      <c r="Z205" s="1707"/>
      <c r="AA205" s="892" t="str">
        <f t="shared" si="32"/>
        <v/>
      </c>
      <c r="AB205" s="1026" t="str">
        <f>IF(E205="","",IF(OR($X205="",$Z205=""),"missing info.",$X205*VLOOKUP($Z205,Inflate,$BF205+1,FALSE)))</f>
        <v/>
      </c>
      <c r="AC205" s="1622"/>
      <c r="AD205" s="1026" t="str">
        <f>IF(E205="","",IF(J205="","missing info.",IF(AB205="missing info.","missing info.",AB205/J205)))</f>
        <v/>
      </c>
      <c r="AE205" s="839"/>
      <c r="AF205" s="1708"/>
      <c r="AG205" s="896"/>
      <c r="AH205" s="894"/>
      <c r="AI205" s="894" t="b">
        <f>IF(AND(C207&lt;&gt;"",C205=""),TRUE,FALSE)</f>
        <v>0</v>
      </c>
      <c r="AJ205" s="902" t="b">
        <f>IF(AND(N205="",P205&lt;&gt;""),TRUE,FALSE)</f>
        <v>0</v>
      </c>
      <c r="AK205" s="720" t="str">
        <f>IF(AND(J205="",AF205="",Z205="",X205="",V205="",N205="",H205="",P205="",C205=""),"N/A",IF(AND(C205&lt;&gt;"",J205&lt;&gt;"",N205&lt;&gt;"",H205&lt;&gt;"",P205&lt;&gt;"",V205&lt;&gt;"",X205&lt;&gt;"",Z205&lt;&gt;""),"Yes","No"))</f>
        <v>N/A</v>
      </c>
      <c r="AL205" s="720" t="b">
        <f>IF(AND(C205="",E205="no"),TRUE,FALSE)</f>
        <v>0</v>
      </c>
      <c r="AM205" s="720" t="b">
        <f>IF(AND(E205="no",H205=""),TRUE,FALSE)</f>
        <v>0</v>
      </c>
      <c r="AN205" s="720" t="b">
        <f>IF(AND(E205="no",H205=""),TRUE,FALSE)</f>
        <v>0</v>
      </c>
      <c r="AO205" s="903" t="b">
        <f>IF($J205="",FALSE,IF($J205&lt;$BD205,TRUE,FALSE))</f>
        <v>0</v>
      </c>
      <c r="AP205" s="903" t="b">
        <f>IF($J205="",FALSE,IF($J205&gt;$BE205,TRUE,FALSE))</f>
        <v>0</v>
      </c>
      <c r="AQ205" s="903" t="b">
        <f>IF(AND(E205="no",N205=""),TRUE,FALSE)</f>
        <v>0</v>
      </c>
      <c r="AR205" s="903" t="b">
        <f>IF(AND(E205="no",P205=""),TRUE,FALSE)</f>
        <v>0</v>
      </c>
      <c r="AS205" s="903" t="b">
        <f>IF(P205="",FALSE,IF(P205&lt;BM205,TRUE,FALSE))</f>
        <v>0</v>
      </c>
      <c r="AT205" s="903" t="b">
        <f>IF(P205="",FALSE,IF(P205&gt;BaseYear,TRUE,FALSE))</f>
        <v>0</v>
      </c>
      <c r="AU205" s="903" t="b">
        <f>IF(AND(E205="no",V205=""),TRUE,FALSE)</f>
        <v>0</v>
      </c>
      <c r="AV205" s="903" t="b">
        <f>IF(V205="",FALSE,IF(OR(V205&gt;1,V205&lt;0),TRUE,FALSE))</f>
        <v>0</v>
      </c>
      <c r="AW205" s="903" t="b">
        <f>IF($N205="",FALSE,IF($N205&lt;$BK205,TRUE,FALSE))</f>
        <v>0</v>
      </c>
      <c r="AX205" s="903" t="b">
        <f>IF($N205="",FALSE,IF($N205&gt;$BL205,TRUE,FALSE))</f>
        <v>0</v>
      </c>
      <c r="AY205" s="889" t="b">
        <f>IF(AND(E205="no",X205=""),TRUE,FALSE)</f>
        <v>0</v>
      </c>
      <c r="AZ205" s="889" t="b">
        <f>IF(OR(AD205="missing info.",AD205=""),FALSE,IF(AD205&lt;BN205,TRUE,FALSE))</f>
        <v>0</v>
      </c>
      <c r="BA205" s="890" t="b">
        <f>IF(OR(AD205="missing info.",AD205=""),FALSE,IF(AD205&gt;BO205,TRUE,FALSE))</f>
        <v>0</v>
      </c>
      <c r="BB205" s="890" t="b">
        <f>IF(AND(E205="no",Z205=""),TRUE,FALSE)</f>
        <v>0</v>
      </c>
      <c r="BC205" s="894" t="b">
        <f>IF(Z205="",FALSE,IF(OR(Z205&gt;BaseYear,Z205&lt;BM205),TRUE,FALSE))</f>
        <v>0</v>
      </c>
      <c r="BD205" s="897" t="str">
        <f>IFERROR(VLOOKUP(H205,Valid!$B$94:$N$96,3,FALSE), "")</f>
        <v/>
      </c>
      <c r="BE205" s="898" t="str">
        <f>IFERROR(VLOOKUP(H205,Valid!$B$94:$N$96,4,FALSE), "")</f>
        <v/>
      </c>
      <c r="BF205" s="897" t="str">
        <f t="shared" ref="BF205:BF211" si="34">IFERROR(VLOOKUP($H205,val_equip_assets,BF$4,FALSE), "")</f>
        <v/>
      </c>
      <c r="BG205" s="897" t="str">
        <f t="shared" ref="BG205:BG211" ca="1" si="35">IF(P205="", "", YEAR(TODAY())-P205)</f>
        <v/>
      </c>
      <c r="BH205" s="1860">
        <f>N205</f>
        <v>0</v>
      </c>
      <c r="BI205" s="1547" t="str">
        <f t="shared" ref="BI205:BI211" ca="1" si="36">IF(OR(BG205="", BH205="",BH205=0), "", 1+ (-1*(BG205/BH205)))</f>
        <v/>
      </c>
      <c r="BJ205" s="898" t="str">
        <f ca="1">IF(BI205="", "", IF(1+(BI205*4)&lt;1, 1, 1+(BI205*4)))</f>
        <v/>
      </c>
      <c r="BK205" s="898" t="str">
        <f t="shared" si="33"/>
        <v/>
      </c>
      <c r="BL205" s="898" t="str">
        <f t="shared" si="33"/>
        <v/>
      </c>
      <c r="BM205" s="1710" t="str">
        <f t="shared" si="33"/>
        <v/>
      </c>
      <c r="BN205" s="1205" t="str">
        <f>IFERROR(VLOOKUP(H205,Valid!$B$94:$N$96,12,FALSE), "")</f>
        <v/>
      </c>
      <c r="BO205" s="1205" t="str">
        <f>IFERROR(VLOOKUP(H205,Valid!$B$94:$N$96,13,FALSE), "")</f>
        <v/>
      </c>
      <c r="BP205" s="894"/>
      <c r="BQ205" s="894"/>
    </row>
    <row r="206" spans="1:69" s="894" customFormat="1" ht="6.75" customHeight="1" thickBot="1" x14ac:dyDescent="0.25">
      <c r="A206" s="1516"/>
      <c r="B206" s="1530">
        <v>97.5</v>
      </c>
      <c r="C206" s="1471"/>
      <c r="D206" s="1541"/>
      <c r="E206" s="1057"/>
      <c r="F206" s="170"/>
      <c r="G206" s="170"/>
      <c r="H206" s="170"/>
      <c r="I206" s="170"/>
      <c r="J206" s="170"/>
      <c r="K206" s="170"/>
      <c r="L206" s="1031"/>
      <c r="M206" s="170"/>
      <c r="N206" s="1031"/>
      <c r="O206" s="892"/>
      <c r="P206" s="836"/>
      <c r="Q206" s="1709"/>
      <c r="R206" s="1806"/>
      <c r="S206" s="1709"/>
      <c r="T206" s="1962"/>
      <c r="U206" s="1709"/>
      <c r="V206" s="1806"/>
      <c r="W206" s="1709"/>
      <c r="X206" s="1027"/>
      <c r="Y206" s="892"/>
      <c r="Z206" s="893"/>
      <c r="AA206" s="892" t="str">
        <f t="shared" si="32"/>
        <v/>
      </c>
      <c r="AB206" s="1030"/>
      <c r="AC206" s="1622"/>
      <c r="AD206" s="1030"/>
      <c r="AF206" s="895"/>
      <c r="AG206" s="896"/>
      <c r="AJ206" s="900"/>
      <c r="AK206" s="1624"/>
      <c r="AO206" s="1152"/>
      <c r="AP206" s="1152"/>
      <c r="AQ206" s="1152"/>
      <c r="AR206" s="1152"/>
      <c r="AS206" s="1152"/>
      <c r="AT206" s="1152"/>
      <c r="AU206" s="1152"/>
      <c r="AV206" s="1152"/>
      <c r="AW206" s="1152"/>
      <c r="AX206" s="1152"/>
      <c r="AY206" s="1448"/>
      <c r="AZ206" s="1448"/>
      <c r="BA206" s="846"/>
      <c r="BB206" s="846"/>
      <c r="BD206" s="897" t="str">
        <f>IFERROR(VLOOKUP(H206,Valid!$B$94:$N$96,3,FALSE), "")</f>
        <v/>
      </c>
      <c r="BE206" s="898" t="str">
        <f>IFERROR(VLOOKUP(H206,Valid!$B$94:$N$96,4,FALSE), "")</f>
        <v/>
      </c>
      <c r="BF206" s="897" t="str">
        <f t="shared" si="34"/>
        <v/>
      </c>
      <c r="BG206" s="897" t="str">
        <f t="shared" ca="1" si="35"/>
        <v/>
      </c>
      <c r="BH206" s="1860" t="str">
        <f>IFERROR(VLOOKUP($H206,val_equip_assets,BH$4,FALSE), "")</f>
        <v/>
      </c>
      <c r="BI206" s="1547" t="str">
        <f t="shared" ca="1" si="36"/>
        <v/>
      </c>
      <c r="BJ206" s="898" t="str">
        <f ca="1">IF(BI206="", "", IF(BI206&lt;0.1, 5, IF(BI206&lt;0.25, 4, IF(BI206&lt;0.5, 3, IF(BI206&lt;0.75, 2, 1)))))</f>
        <v/>
      </c>
      <c r="BK206" s="898" t="str">
        <f t="shared" si="33"/>
        <v/>
      </c>
      <c r="BL206" s="898" t="str">
        <f t="shared" si="33"/>
        <v/>
      </c>
      <c r="BM206" s="1710" t="str">
        <f t="shared" si="33"/>
        <v/>
      </c>
      <c r="BN206" s="1205" t="str">
        <f>IFERROR(VLOOKUP(H206,Valid!$B$94:$N$96,12,FALSE), "")</f>
        <v/>
      </c>
      <c r="BO206" s="1205" t="str">
        <f>IFERROR(VLOOKUP(H206,Valid!$B$94:$N$96,13,FALSE), "")</f>
        <v/>
      </c>
    </row>
    <row r="207" spans="1:69" s="901" customFormat="1" x14ac:dyDescent="0.2">
      <c r="A207" s="206">
        <v>98</v>
      </c>
      <c r="B207" s="1530">
        <v>98</v>
      </c>
      <c r="C207" s="1703"/>
      <c r="D207" s="1248" t="str">
        <f>IF(C205="","",IF(C207="","Enter Service Fleet Description then Fill in columns "&amp;TEXT($H$2,0)&amp;" - "&amp;TEXT($Z$2,0)&amp;"                 ",""))</f>
        <v/>
      </c>
      <c r="E207" s="1245" t="str">
        <f>IF(AK207="N/A","",AK207)</f>
        <v/>
      </c>
      <c r="F207" s="170"/>
      <c r="G207" s="170"/>
      <c r="H207" s="1704"/>
      <c r="I207" s="1246" t="str">
        <f>IF(AND(E207="No",H207=""),"Select Type of Vehicle                        ","")</f>
        <v/>
      </c>
      <c r="J207" s="1247"/>
      <c r="K207" s="1246" t="str">
        <f>IF(AND(C207="No",H207=""),"Number of Vehicles?  ","")</f>
        <v/>
      </c>
      <c r="L207" s="1782" t="str">
        <f>IFERROR(VLOOKUP($H207,val_equip_assets,BH$4,FALSE), "")</f>
        <v/>
      </c>
      <c r="M207" s="1246"/>
      <c r="N207" s="1247"/>
      <c r="O207" s="892" t="str">
        <f>IF(H207="","",IF(AND(E207="No",N207=""),TEXT(BH207,0)&amp;" Years?   ",""))</f>
        <v/>
      </c>
      <c r="P207" s="1705"/>
      <c r="Q207" s="1706" t="str">
        <f>IF(AND(E207="No",P207=""),"Enter Manufact. Yr.     ","")</f>
        <v/>
      </c>
      <c r="R207" s="1952" t="str">
        <f ca="1">BI207</f>
        <v/>
      </c>
      <c r="S207" s="1706"/>
      <c r="T207" s="1963" t="str">
        <f ca="1">BJ207</f>
        <v/>
      </c>
      <c r="U207" s="1706"/>
      <c r="V207" s="1675"/>
      <c r="W207" s="892" t="str">
        <f>IF(AND(E207="No",V207=""),"% of Cap. Resp.    ","")</f>
        <v/>
      </c>
      <c r="X207" s="1655"/>
      <c r="Y207" s="892" t="str">
        <f>IF(AND(E207="No",X207=""),"Estimated $?   ","")</f>
        <v/>
      </c>
      <c r="Z207" s="1707"/>
      <c r="AA207" s="892" t="str">
        <f t="shared" si="32"/>
        <v/>
      </c>
      <c r="AB207" s="1026" t="str">
        <f>IF(E207="","",IF(OR($X207="",$Z207=""),"missing info.",$X207*VLOOKUP($Z207,Inflate,$BF207+1,FALSE)))</f>
        <v/>
      </c>
      <c r="AC207" s="1622"/>
      <c r="AD207" s="1026" t="str">
        <f>IF(E207="","",IF(J207="","missing info.",IF(AB207="missing info.","missing info.",AB207/J207)))</f>
        <v/>
      </c>
      <c r="AE207" s="839"/>
      <c r="AF207" s="1708"/>
      <c r="AG207" s="896"/>
      <c r="AH207" s="894"/>
      <c r="AI207" s="894" t="b">
        <f>IF(AND(C209&lt;&gt;"",C207=""),TRUE,FALSE)</f>
        <v>0</v>
      </c>
      <c r="AJ207" s="902" t="b">
        <f>IF(AND(N207="",P207&lt;&gt;""),TRUE,FALSE)</f>
        <v>0</v>
      </c>
      <c r="AK207" s="720" t="str">
        <f>IF(AND(J207="",AF207="",Z207="",X207="",V207="",N207="",H207="",P207="",C207=""),"N/A",IF(AND(C207&lt;&gt;"",J207&lt;&gt;"",N207&lt;&gt;"",H207&lt;&gt;"",P207&lt;&gt;"",V207&lt;&gt;"",X207&lt;&gt;"",Z207&lt;&gt;""),"Yes","No"))</f>
        <v>N/A</v>
      </c>
      <c r="AL207" s="720" t="b">
        <f>IF(AND(C207="",E207="no"),TRUE,FALSE)</f>
        <v>0</v>
      </c>
      <c r="AM207" s="720" t="b">
        <f>IF(AND(E207="no",H207=""),TRUE,FALSE)</f>
        <v>0</v>
      </c>
      <c r="AN207" s="720" t="b">
        <f>IF(AND(E207="no",H207=""),TRUE,FALSE)</f>
        <v>0</v>
      </c>
      <c r="AO207" s="903" t="b">
        <f>IF($J207="",FALSE,IF($J207&lt;$BD207,TRUE,FALSE))</f>
        <v>0</v>
      </c>
      <c r="AP207" s="903" t="b">
        <f>IF($J207="",FALSE,IF($J207&gt;$BE207,TRUE,FALSE))</f>
        <v>0</v>
      </c>
      <c r="AQ207" s="903" t="b">
        <f>IF(AND(E207="no",N207=""),TRUE,FALSE)</f>
        <v>0</v>
      </c>
      <c r="AR207" s="903" t="b">
        <f>IF(AND(E207="no",P207=""),TRUE,FALSE)</f>
        <v>0</v>
      </c>
      <c r="AS207" s="903" t="b">
        <f>IF(P207="",FALSE,IF(P207&lt;BM207,TRUE,FALSE))</f>
        <v>0</v>
      </c>
      <c r="AT207" s="903" t="b">
        <f>IF(P207="",FALSE,IF(P207&gt;BaseYear,TRUE,FALSE))</f>
        <v>0</v>
      </c>
      <c r="AU207" s="903" t="b">
        <f>IF(AND(E207="no",V207=""),TRUE,FALSE)</f>
        <v>0</v>
      </c>
      <c r="AV207" s="903" t="b">
        <f>IF(V207="",FALSE,IF(OR(V207&gt;1,V207&lt;0),TRUE,FALSE))</f>
        <v>0</v>
      </c>
      <c r="AW207" s="903" t="b">
        <f>IF($N207="",FALSE,IF($N207&lt;$BK207,TRUE,FALSE))</f>
        <v>0</v>
      </c>
      <c r="AX207" s="903" t="b">
        <f>IF($N207="",FALSE,IF($N207&gt;$BL207,TRUE,FALSE))</f>
        <v>0</v>
      </c>
      <c r="AY207" s="889" t="b">
        <f>IF(AND(E207="no",X207=""),TRUE,FALSE)</f>
        <v>0</v>
      </c>
      <c r="AZ207" s="889" t="b">
        <f>IF(OR(AD207="missing info.",AD207=""),FALSE,IF(AD207&lt;BN207,TRUE,FALSE))</f>
        <v>0</v>
      </c>
      <c r="BA207" s="890" t="b">
        <f>IF(OR(AD207="missing info.",AD207=""),FALSE,IF(AD207&gt;BO207,TRUE,FALSE))</f>
        <v>0</v>
      </c>
      <c r="BB207" s="890" t="b">
        <f>IF(AND(E207="no",Z207=""),TRUE,FALSE)</f>
        <v>0</v>
      </c>
      <c r="BC207" s="894" t="b">
        <f>IF(Z207="",FALSE,IF(OR(Z207&gt;BaseYear,Z207&lt;BM207),TRUE,FALSE))</f>
        <v>0</v>
      </c>
      <c r="BD207" s="897" t="str">
        <f>IFERROR(VLOOKUP(H207,Valid!$B$94:$N$96,3,FALSE), "")</f>
        <v/>
      </c>
      <c r="BE207" s="898" t="str">
        <f>IFERROR(VLOOKUP(H207,Valid!$B$94:$N$96,4,FALSE), "")</f>
        <v/>
      </c>
      <c r="BF207" s="897" t="str">
        <f t="shared" si="34"/>
        <v/>
      </c>
      <c r="BG207" s="897" t="str">
        <f t="shared" ca="1" si="35"/>
        <v/>
      </c>
      <c r="BH207" s="1860">
        <f>N207</f>
        <v>0</v>
      </c>
      <c r="BI207" s="1547" t="str">
        <f t="shared" ca="1" si="36"/>
        <v/>
      </c>
      <c r="BJ207" s="898" t="str">
        <f ca="1">IF(BI207="", "", IF(1+(BI207*4)&lt;1, 1, 1+(BI207*4)))</f>
        <v/>
      </c>
      <c r="BK207" s="898" t="str">
        <f t="shared" si="33"/>
        <v/>
      </c>
      <c r="BL207" s="898" t="str">
        <f t="shared" si="33"/>
        <v/>
      </c>
      <c r="BM207" s="1710" t="str">
        <f t="shared" si="33"/>
        <v/>
      </c>
      <c r="BN207" s="1205" t="str">
        <f>IFERROR(VLOOKUP(H207,Valid!$B$94:$N$96,12,FALSE), "")</f>
        <v/>
      </c>
      <c r="BO207" s="1205" t="str">
        <f>IFERROR(VLOOKUP(H207,Valid!$B$94:$N$96,13,FALSE), "")</f>
        <v/>
      </c>
      <c r="BP207" s="894"/>
      <c r="BQ207" s="894"/>
    </row>
    <row r="208" spans="1:69" s="894" customFormat="1" ht="6.75" customHeight="1" thickBot="1" x14ac:dyDescent="0.25">
      <c r="A208" s="1516"/>
      <c r="B208" s="1530">
        <v>98.5</v>
      </c>
      <c r="C208" s="1471"/>
      <c r="D208" s="1541"/>
      <c r="E208" s="1057"/>
      <c r="F208" s="170"/>
      <c r="G208" s="170"/>
      <c r="H208" s="170"/>
      <c r="I208" s="170"/>
      <c r="J208" s="170"/>
      <c r="K208" s="170"/>
      <c r="L208" s="1031"/>
      <c r="M208" s="170"/>
      <c r="N208" s="1031"/>
      <c r="O208" s="892"/>
      <c r="P208" s="836"/>
      <c r="Q208" s="1709"/>
      <c r="R208" s="1806"/>
      <c r="S208" s="1709"/>
      <c r="T208" s="1962"/>
      <c r="U208" s="1709"/>
      <c r="V208" s="1806"/>
      <c r="W208" s="1709"/>
      <c r="X208" s="1027"/>
      <c r="Y208" s="892"/>
      <c r="Z208" s="893"/>
      <c r="AA208" s="892" t="str">
        <f t="shared" si="32"/>
        <v/>
      </c>
      <c r="AB208" s="1030"/>
      <c r="AC208" s="1622"/>
      <c r="AD208" s="1030"/>
      <c r="AF208" s="895"/>
      <c r="AG208" s="896"/>
      <c r="AJ208" s="900"/>
      <c r="AK208" s="1624"/>
      <c r="AO208" s="1152"/>
      <c r="AP208" s="1152"/>
      <c r="AQ208" s="1152"/>
      <c r="AR208" s="1152"/>
      <c r="AS208" s="1152"/>
      <c r="AT208" s="1152"/>
      <c r="AU208" s="1152"/>
      <c r="AV208" s="1152"/>
      <c r="AW208" s="1152"/>
      <c r="AX208" s="1152"/>
      <c r="AY208" s="1448"/>
      <c r="AZ208" s="1448"/>
      <c r="BA208" s="846"/>
      <c r="BB208" s="846"/>
      <c r="BD208" s="897" t="str">
        <f>IFERROR(VLOOKUP(H208,Valid!$B$94:$N$96,3,FALSE), "")</f>
        <v/>
      </c>
      <c r="BE208" s="898" t="str">
        <f>IFERROR(VLOOKUP(H208,Valid!$B$94:$N$96,4,FALSE), "")</f>
        <v/>
      </c>
      <c r="BF208" s="897" t="str">
        <f t="shared" si="34"/>
        <v/>
      </c>
      <c r="BG208" s="897" t="str">
        <f t="shared" ca="1" si="35"/>
        <v/>
      </c>
      <c r="BH208" s="1860" t="str">
        <f>IFERROR(VLOOKUP($H208,val_equip_assets,BH$4,FALSE), "")</f>
        <v/>
      </c>
      <c r="BI208" s="1547" t="str">
        <f t="shared" ca="1" si="36"/>
        <v/>
      </c>
      <c r="BJ208" s="898" t="str">
        <f ca="1">IF(BI208="", "", IF(BI208&lt;0.1, 5, IF(BI208&lt;0.25, 4, IF(BI208&lt;0.5, 3, IF(BI208&lt;0.75, 2, 1)))))</f>
        <v/>
      </c>
      <c r="BK208" s="898" t="str">
        <f t="shared" si="33"/>
        <v/>
      </c>
      <c r="BL208" s="898" t="str">
        <f t="shared" si="33"/>
        <v/>
      </c>
      <c r="BM208" s="1710" t="str">
        <f t="shared" si="33"/>
        <v/>
      </c>
      <c r="BN208" s="1205" t="str">
        <f>IFERROR(VLOOKUP(H208,Valid!$B$94:$N$96,12,FALSE), "")</f>
        <v/>
      </c>
      <c r="BO208" s="1205" t="str">
        <f>IFERROR(VLOOKUP(H208,Valid!$B$94:$N$96,13,FALSE), "")</f>
        <v/>
      </c>
    </row>
    <row r="209" spans="1:69" s="901" customFormat="1" x14ac:dyDescent="0.2">
      <c r="A209" s="206">
        <v>99</v>
      </c>
      <c r="B209" s="1530">
        <v>99</v>
      </c>
      <c r="C209" s="1703"/>
      <c r="D209" s="1248" t="str">
        <f>IF(C207="","",IF(C209="","Enter Service Fleet Description then Fill in columns "&amp;TEXT($H$2,0)&amp;" - "&amp;TEXT($Z$2,0)&amp;"                 ",""))</f>
        <v/>
      </c>
      <c r="E209" s="1245" t="str">
        <f>IF(AK209="N/A","",AK209)</f>
        <v/>
      </c>
      <c r="F209" s="170"/>
      <c r="G209" s="170"/>
      <c r="H209" s="1704"/>
      <c r="I209" s="1246" t="str">
        <f>IF(AND(E209="No",H209=""),"Select Type of Vehicle                        ","")</f>
        <v/>
      </c>
      <c r="J209" s="1247"/>
      <c r="K209" s="1246" t="str">
        <f>IF(AND(C209="No",H209=""),"Number of Vehicles?  ","")</f>
        <v/>
      </c>
      <c r="L209" s="1782" t="str">
        <f>IFERROR(VLOOKUP($H209,val_equip_assets,BH$4,FALSE), "")</f>
        <v/>
      </c>
      <c r="M209" s="1246"/>
      <c r="N209" s="1247"/>
      <c r="O209" s="892" t="str">
        <f>IF(H209="","",IF(AND(E209="No",N209=""),TEXT(BH209,0)&amp;" Years?   ",""))</f>
        <v/>
      </c>
      <c r="P209" s="1705"/>
      <c r="Q209" s="1706" t="str">
        <f>IF(AND(E209="No",P209=""),"Enter Manufact. Yr.     ","")</f>
        <v/>
      </c>
      <c r="R209" s="1952" t="str">
        <f ca="1">BI209</f>
        <v/>
      </c>
      <c r="S209" s="1706"/>
      <c r="T209" s="1963" t="str">
        <f ca="1">BJ209</f>
        <v/>
      </c>
      <c r="U209" s="1706"/>
      <c r="V209" s="1675"/>
      <c r="W209" s="892" t="str">
        <f>IF(AND(E209="No",V209=""),"% of Cap. Resp.    ","")</f>
        <v/>
      </c>
      <c r="X209" s="1655"/>
      <c r="Y209" s="892" t="str">
        <f>IF(AND(E209="No",X209=""),"Estimated $?   ","")</f>
        <v/>
      </c>
      <c r="Z209" s="1707"/>
      <c r="AA209" s="892" t="str">
        <f t="shared" si="32"/>
        <v/>
      </c>
      <c r="AB209" s="1026" t="str">
        <f>IF(E209="","",IF(OR($X209="",$Z209=""),"missing info.",$X209*VLOOKUP($Z209,Inflate,$BF209+1,FALSE)))</f>
        <v/>
      </c>
      <c r="AC209" s="1622"/>
      <c r="AD209" s="1026" t="str">
        <f>IF(E209="","",IF(J209="","missing info.",IF(AB209="missing info.","missing info.",AB209/J209)))</f>
        <v/>
      </c>
      <c r="AE209" s="839"/>
      <c r="AF209" s="1708"/>
      <c r="AG209" s="896"/>
      <c r="AH209" s="894"/>
      <c r="AI209" s="894" t="b">
        <f>IF(AND(C211&lt;&gt;"",C209=""),TRUE,FALSE)</f>
        <v>0</v>
      </c>
      <c r="AJ209" s="902" t="b">
        <f>IF(AND(N209="",P209&lt;&gt;""),TRUE,FALSE)</f>
        <v>0</v>
      </c>
      <c r="AK209" s="720" t="str">
        <f>IF(AND(J209="",AF209="",Z209="",X209="",V209="",N209="",H209="",P209="",C209=""),"N/A",IF(AND(C209&lt;&gt;"",J209&lt;&gt;"",N209&lt;&gt;"",H209&lt;&gt;"",P209&lt;&gt;"",V209&lt;&gt;"",X209&lt;&gt;"",Z209&lt;&gt;""),"Yes","No"))</f>
        <v>N/A</v>
      </c>
      <c r="AL209" s="720" t="b">
        <f>IF(AND(C209="",E209="no"),TRUE,FALSE)</f>
        <v>0</v>
      </c>
      <c r="AM209" s="720" t="b">
        <f>IF(AND(E209="no",H209=""),TRUE,FALSE)</f>
        <v>0</v>
      </c>
      <c r="AN209" s="720" t="b">
        <f>IF(AND(E209="no",H209=""),TRUE,FALSE)</f>
        <v>0</v>
      </c>
      <c r="AO209" s="903" t="b">
        <f>IF($J209="",FALSE,IF($J209&lt;$BD209,TRUE,FALSE))</f>
        <v>0</v>
      </c>
      <c r="AP209" s="903" t="b">
        <f>IF($J209="",FALSE,IF($J209&gt;$BE209,TRUE,FALSE))</f>
        <v>0</v>
      </c>
      <c r="AQ209" s="903" t="b">
        <f>IF(AND(E209="no",N209=""),TRUE,FALSE)</f>
        <v>0</v>
      </c>
      <c r="AR209" s="903" t="b">
        <f>IF(AND(E209="no",P209=""),TRUE,FALSE)</f>
        <v>0</v>
      </c>
      <c r="AS209" s="903" t="b">
        <f>IF(P209="",FALSE,IF(P209&lt;BM209,TRUE,FALSE))</f>
        <v>0</v>
      </c>
      <c r="AT209" s="903" t="b">
        <f>IF(P209="",FALSE,IF(P209&gt;BaseYear,TRUE,FALSE))</f>
        <v>0</v>
      </c>
      <c r="AU209" s="903" t="b">
        <f>IF(AND(E209="no",V209=""),TRUE,FALSE)</f>
        <v>0</v>
      </c>
      <c r="AV209" s="903" t="b">
        <f>IF(V209="",FALSE,IF(OR(V209&gt;1,V209&lt;0),TRUE,FALSE))</f>
        <v>0</v>
      </c>
      <c r="AW209" s="903" t="b">
        <f>IF($N209="",FALSE,IF($N209&lt;$BK209,TRUE,FALSE))</f>
        <v>0</v>
      </c>
      <c r="AX209" s="903" t="b">
        <f>IF($N209="",FALSE,IF($N209&gt;$BL209,TRUE,FALSE))</f>
        <v>0</v>
      </c>
      <c r="AY209" s="889" t="b">
        <f>IF(AND(E209="no",X209=""),TRUE,FALSE)</f>
        <v>0</v>
      </c>
      <c r="AZ209" s="889" t="b">
        <f>IF(OR(AD209="missing info.",AD209=""),FALSE,IF(AD209&lt;BN209,TRUE,FALSE))</f>
        <v>0</v>
      </c>
      <c r="BA209" s="890" t="b">
        <f>IF(OR(AD209="missing info.",AD209=""),FALSE,IF(AD209&gt;BO209,TRUE,FALSE))</f>
        <v>0</v>
      </c>
      <c r="BB209" s="890" t="b">
        <f>IF(AND(E209="no",Z209=""),TRUE,FALSE)</f>
        <v>0</v>
      </c>
      <c r="BC209" s="894" t="b">
        <f>IF(Z209="",FALSE,IF(OR(Z209&gt;BaseYear,Z209&lt;BM209),TRUE,FALSE))</f>
        <v>0</v>
      </c>
      <c r="BD209" s="897" t="str">
        <f>IFERROR(VLOOKUP(H209,Valid!$B$94:$N$96,3,FALSE), "")</f>
        <v/>
      </c>
      <c r="BE209" s="898" t="str">
        <f>IFERROR(VLOOKUP(H209,Valid!$B$94:$N$96,4,FALSE), "")</f>
        <v/>
      </c>
      <c r="BF209" s="897" t="str">
        <f t="shared" si="34"/>
        <v/>
      </c>
      <c r="BG209" s="897" t="str">
        <f t="shared" ca="1" si="35"/>
        <v/>
      </c>
      <c r="BH209" s="1860">
        <f>N209</f>
        <v>0</v>
      </c>
      <c r="BI209" s="1547" t="str">
        <f t="shared" ca="1" si="36"/>
        <v/>
      </c>
      <c r="BJ209" s="898" t="str">
        <f ca="1">IF(BI209="", "", IF(1+(BI209*4)&lt;1, 1, 1+(BI209*4)))</f>
        <v/>
      </c>
      <c r="BK209" s="898" t="str">
        <f t="shared" si="33"/>
        <v/>
      </c>
      <c r="BL209" s="898" t="str">
        <f t="shared" si="33"/>
        <v/>
      </c>
      <c r="BM209" s="1710" t="str">
        <f t="shared" si="33"/>
        <v/>
      </c>
      <c r="BN209" s="1205" t="str">
        <f>IFERROR(VLOOKUP(H209,Valid!$B$94:$N$96,12,FALSE), "")</f>
        <v/>
      </c>
      <c r="BO209" s="1205" t="str">
        <f>IFERROR(VLOOKUP(H209,Valid!$B$94:$N$96,13,FALSE), "")</f>
        <v/>
      </c>
      <c r="BP209" s="894"/>
      <c r="BQ209" s="894"/>
    </row>
    <row r="210" spans="1:69" s="894" customFormat="1" ht="6.75" customHeight="1" thickBot="1" x14ac:dyDescent="0.25">
      <c r="A210" s="1516"/>
      <c r="B210" s="1530">
        <v>99.5</v>
      </c>
      <c r="C210" s="1471"/>
      <c r="D210" s="1541"/>
      <c r="E210" s="1057"/>
      <c r="F210" s="170"/>
      <c r="G210" s="170"/>
      <c r="H210" s="170"/>
      <c r="I210" s="170"/>
      <c r="J210" s="170"/>
      <c r="K210" s="170"/>
      <c r="L210" s="1031"/>
      <c r="M210" s="170"/>
      <c r="N210" s="1031"/>
      <c r="O210" s="892"/>
      <c r="P210" s="836"/>
      <c r="Q210" s="1709"/>
      <c r="R210" s="1806"/>
      <c r="S210" s="1709"/>
      <c r="T210" s="1962"/>
      <c r="U210" s="1709"/>
      <c r="V210" s="1806"/>
      <c r="W210" s="1709"/>
      <c r="X210" s="1027"/>
      <c r="Y210" s="892"/>
      <c r="Z210" s="893"/>
      <c r="AA210" s="892" t="str">
        <f t="shared" si="32"/>
        <v/>
      </c>
      <c r="AB210" s="1030"/>
      <c r="AC210" s="1622"/>
      <c r="AD210" s="1030"/>
      <c r="AF210" s="895"/>
      <c r="AG210" s="896"/>
      <c r="AJ210" s="900"/>
      <c r="AK210" s="1624"/>
      <c r="AO210" s="1152"/>
      <c r="AP210" s="1152"/>
      <c r="AQ210" s="1152"/>
      <c r="AR210" s="1152"/>
      <c r="AS210" s="1152"/>
      <c r="AT210" s="1152"/>
      <c r="AU210" s="1152"/>
      <c r="AV210" s="1152"/>
      <c r="AW210" s="1152"/>
      <c r="AX210" s="1152"/>
      <c r="AY210" s="1448"/>
      <c r="AZ210" s="1448"/>
      <c r="BA210" s="846"/>
      <c r="BB210" s="846"/>
      <c r="BD210" s="897" t="str">
        <f>IFERROR(VLOOKUP(H210,Valid!$B$94:$N$96,3,FALSE), "")</f>
        <v/>
      </c>
      <c r="BE210" s="898" t="str">
        <f>IFERROR(VLOOKUP(H210,Valid!$B$94:$N$96,4,FALSE), "")</f>
        <v/>
      </c>
      <c r="BF210" s="897" t="str">
        <f t="shared" si="34"/>
        <v/>
      </c>
      <c r="BG210" s="897" t="str">
        <f t="shared" ca="1" si="35"/>
        <v/>
      </c>
      <c r="BH210" s="1860" t="str">
        <f>IFERROR(VLOOKUP($H210,val_equip_assets,BH$4,FALSE), "")</f>
        <v/>
      </c>
      <c r="BI210" s="1547" t="str">
        <f t="shared" ca="1" si="36"/>
        <v/>
      </c>
      <c r="BJ210" s="898" t="str">
        <f ca="1">IF(BI210="", "", IF(BI210&lt;0.1, 5, IF(BI210&lt;0.25, 4, IF(BI210&lt;0.5, 3, IF(BI210&lt;0.75, 2, 1)))))</f>
        <v/>
      </c>
      <c r="BK210" s="898" t="str">
        <f t="shared" si="33"/>
        <v/>
      </c>
      <c r="BL210" s="898" t="str">
        <f t="shared" si="33"/>
        <v/>
      </c>
      <c r="BM210" s="1710" t="str">
        <f t="shared" si="33"/>
        <v/>
      </c>
      <c r="BN210" s="1205" t="str">
        <f>IFERROR(VLOOKUP(H210,Valid!$B$94:$N$96,12,FALSE), "")</f>
        <v/>
      </c>
      <c r="BO210" s="1205" t="str">
        <f>IFERROR(VLOOKUP(H210,Valid!$B$94:$N$96,13,FALSE), "")</f>
        <v/>
      </c>
    </row>
    <row r="211" spans="1:69" s="901" customFormat="1" x14ac:dyDescent="0.2">
      <c r="A211" s="206">
        <v>100</v>
      </c>
      <c r="B211" s="1530">
        <v>100</v>
      </c>
      <c r="C211" s="1703"/>
      <c r="D211" s="1248" t="str">
        <f>IF(C209="","",IF(C211="","Enter Service Fleet Description then Fill in columns "&amp;TEXT($H$2,0)&amp;" - "&amp;TEXT($Z$2,0)&amp;"                 ",""))</f>
        <v/>
      </c>
      <c r="E211" s="1245" t="str">
        <f>IF(AK211="N/A","",AK211)</f>
        <v/>
      </c>
      <c r="F211" s="170"/>
      <c r="G211" s="170"/>
      <c r="H211" s="1704"/>
      <c r="I211" s="1246" t="str">
        <f>IF(AND(E211="No",H211=""),"Select Type of Vehicle                        ","")</f>
        <v/>
      </c>
      <c r="J211" s="1247"/>
      <c r="K211" s="1246" t="str">
        <f>IF(AND(C211="No",H211=""),"Number of Vehicles?  ","")</f>
        <v/>
      </c>
      <c r="L211" s="1782" t="str">
        <f>IFERROR(VLOOKUP($H211,val_equip_assets,BH$4,FALSE), "")</f>
        <v/>
      </c>
      <c r="M211" s="1246"/>
      <c r="N211" s="1247"/>
      <c r="O211" s="892" t="str">
        <f>IF(H211="","",IF(AND(E211="No",N211=""),TEXT(BH211,0)&amp;" Years?   ",""))</f>
        <v/>
      </c>
      <c r="P211" s="1705"/>
      <c r="Q211" s="1706" t="str">
        <f>IF(AND(E211="No",P211=""),"Enter Manufact. Yr.     ","")</f>
        <v/>
      </c>
      <c r="R211" s="1952" t="str">
        <f ca="1">BI211</f>
        <v/>
      </c>
      <c r="S211" s="1706"/>
      <c r="T211" s="1963" t="str">
        <f ca="1">BJ211</f>
        <v/>
      </c>
      <c r="U211" s="1706"/>
      <c r="V211" s="1675"/>
      <c r="W211" s="892" t="str">
        <f>IF(AND(E211="No",V211=""),"% of Cap. Resp.    ","")</f>
        <v/>
      </c>
      <c r="X211" s="1655"/>
      <c r="Y211" s="892" t="str">
        <f>IF(AND(E211="No",X211=""),"Estimated $?   ","")</f>
        <v/>
      </c>
      <c r="Z211" s="1707"/>
      <c r="AA211" s="892" t="str">
        <f t="shared" ref="AA211" si="37">IF(AND(E211="No",Z211=""),"Yr.$?      ","")</f>
        <v/>
      </c>
      <c r="AB211" s="1026" t="str">
        <f>IF(E211="","",IF(OR($X211="",$Z211=""),"missing info.",$X211*VLOOKUP($Z211,Inflate,$BF211+1,FALSE)))</f>
        <v/>
      </c>
      <c r="AC211" s="1622"/>
      <c r="AD211" s="1026" t="str">
        <f>IF(E211="","",IF(J211="","missing info.",IF(AB211="missing info.","missing info.",AB211/J211)))</f>
        <v/>
      </c>
      <c r="AE211" s="839"/>
      <c r="AF211" s="1708"/>
      <c r="AG211" s="896"/>
      <c r="AH211" s="894"/>
      <c r="AI211" s="894" t="b">
        <f>IF(AND(C213&lt;&gt;"",C211=""),TRUE,FALSE)</f>
        <v>0</v>
      </c>
      <c r="AJ211" s="902" t="b">
        <f>IF(AND(N211="",P211&lt;&gt;""),TRUE,FALSE)</f>
        <v>0</v>
      </c>
      <c r="AK211" s="720" t="str">
        <f>IF(AND(J211="",AF211="",Z211="",X211="",V211="",N211="",H211="",P211="",C211=""),"N/A",IF(AND(C211&lt;&gt;"",J211&lt;&gt;"",N211&lt;&gt;"",H211&lt;&gt;"",P211&lt;&gt;"",V211&lt;&gt;"",X211&lt;&gt;"",Z211&lt;&gt;""),"Yes","No"))</f>
        <v>N/A</v>
      </c>
      <c r="AL211" s="720" t="b">
        <f>IF(AND(C211="",E211="no"),TRUE,FALSE)</f>
        <v>0</v>
      </c>
      <c r="AM211" s="720" t="b">
        <f>IF(AND(E211="no",H211=""),TRUE,FALSE)</f>
        <v>0</v>
      </c>
      <c r="AN211" s="720" t="b">
        <f>IF(AND(E211="no",H211=""),TRUE,FALSE)</f>
        <v>0</v>
      </c>
      <c r="AO211" s="903" t="b">
        <f>IF($J211="",FALSE,IF($J211&lt;$BD211,TRUE,FALSE))</f>
        <v>0</v>
      </c>
      <c r="AP211" s="903" t="b">
        <f>IF($J211="",FALSE,IF($J211&gt;$BE211,TRUE,FALSE))</f>
        <v>0</v>
      </c>
      <c r="AQ211" s="903" t="b">
        <f>IF(AND(E211="no",N211=""),TRUE,FALSE)</f>
        <v>0</v>
      </c>
      <c r="AR211" s="903" t="b">
        <f>IF(AND(E211="no",P211=""),TRUE,FALSE)</f>
        <v>0</v>
      </c>
      <c r="AS211" s="903" t="b">
        <f>IF(P211="",FALSE,IF(P211&lt;BM211,TRUE,FALSE))</f>
        <v>0</v>
      </c>
      <c r="AT211" s="903" t="b">
        <f>IF(P211="",FALSE,IF(P211&gt;BaseYear,TRUE,FALSE))</f>
        <v>0</v>
      </c>
      <c r="AU211" s="903" t="b">
        <f>IF(AND(E211="no",V211=""),TRUE,FALSE)</f>
        <v>0</v>
      </c>
      <c r="AV211" s="903" t="b">
        <f>IF(V211="",FALSE,IF(OR(V211&gt;1,V211&lt;0),TRUE,FALSE))</f>
        <v>0</v>
      </c>
      <c r="AW211" s="903" t="b">
        <f>IF($N211="",FALSE,IF($N211&lt;$BK211,TRUE,FALSE))</f>
        <v>0</v>
      </c>
      <c r="AX211" s="903" t="b">
        <f>IF($N211="",FALSE,IF($N211&gt;$BL211,TRUE,FALSE))</f>
        <v>0</v>
      </c>
      <c r="AY211" s="889" t="b">
        <f>IF(AND(E211="no",X211=""),TRUE,FALSE)</f>
        <v>0</v>
      </c>
      <c r="AZ211" s="889" t="b">
        <f>IF(OR(AD211="missing info.",AD211=""),FALSE,IF(AD211&lt;BN211,TRUE,FALSE))</f>
        <v>0</v>
      </c>
      <c r="BA211" s="890" t="b">
        <f>IF(OR(AD211="missing info.",AD211=""),FALSE,IF(AD211&gt;BO211,TRUE,FALSE))</f>
        <v>0</v>
      </c>
      <c r="BB211" s="890" t="b">
        <f>IF(AND(E211="no",Z211=""),TRUE,FALSE)</f>
        <v>0</v>
      </c>
      <c r="BC211" s="894" t="b">
        <f>IF(Z211="",FALSE,IF(OR(Z211&gt;BaseYear,Z211&lt;BM211),TRUE,FALSE))</f>
        <v>0</v>
      </c>
      <c r="BD211" s="897" t="str">
        <f>IFERROR(VLOOKUP(H211,Valid!$B$94:$N$96,3,FALSE), "")</f>
        <v/>
      </c>
      <c r="BE211" s="898" t="str">
        <f>IFERROR(VLOOKUP(H211,Valid!$B$94:$N$96,4,FALSE), "")</f>
        <v/>
      </c>
      <c r="BF211" s="897" t="str">
        <f t="shared" si="34"/>
        <v/>
      </c>
      <c r="BG211" s="897" t="str">
        <f t="shared" ca="1" si="35"/>
        <v/>
      </c>
      <c r="BH211" s="1860">
        <f>N211</f>
        <v>0</v>
      </c>
      <c r="BI211" s="1547" t="str">
        <f t="shared" ca="1" si="36"/>
        <v/>
      </c>
      <c r="BJ211" s="898" t="str">
        <f ca="1">IF(BI211="", "", IF(1+(BI211*4)&lt;1, 1, 1+(BI211*4)))</f>
        <v/>
      </c>
      <c r="BK211" s="898" t="str">
        <f t="shared" si="33"/>
        <v/>
      </c>
      <c r="BL211" s="898" t="str">
        <f t="shared" si="33"/>
        <v/>
      </c>
      <c r="BM211" s="1710" t="str">
        <f t="shared" si="33"/>
        <v/>
      </c>
      <c r="BN211" s="1205" t="str">
        <f>IFERROR(VLOOKUP(H211,Valid!$B$94:$N$96,12,FALSE), "")</f>
        <v/>
      </c>
      <c r="BO211" s="1205" t="str">
        <f>IFERROR(VLOOKUP(H211,Valid!$B$94:$N$96,13,FALSE), "")</f>
        <v/>
      </c>
      <c r="BP211" s="894"/>
      <c r="BQ211" s="894"/>
    </row>
    <row r="212" spans="1:69" s="894" customFormat="1" ht="6.75" customHeight="1" x14ac:dyDescent="0.2">
      <c r="A212" s="1516"/>
      <c r="B212" s="1530"/>
      <c r="C212" s="1471"/>
      <c r="D212" s="1541"/>
      <c r="E212" s="1057"/>
      <c r="F212" s="170"/>
      <c r="G212" s="170"/>
      <c r="H212" s="170"/>
      <c r="I212" s="170"/>
      <c r="J212" s="170"/>
      <c r="K212" s="170"/>
      <c r="L212" s="1031"/>
      <c r="M212" s="170"/>
      <c r="N212" s="1031"/>
      <c r="O212" s="892"/>
      <c r="P212" s="836"/>
      <c r="Q212" s="1709"/>
      <c r="R212" s="1806"/>
      <c r="S212" s="1709"/>
      <c r="T212" s="1962"/>
      <c r="U212" s="1709"/>
      <c r="V212" s="1806"/>
      <c r="W212" s="1709"/>
      <c r="X212" s="1027"/>
      <c r="Y212" s="892"/>
      <c r="Z212" s="893"/>
      <c r="AA212" s="892"/>
      <c r="AB212" s="1030"/>
      <c r="AC212" s="1622"/>
      <c r="AD212" s="1030"/>
      <c r="AF212" s="895"/>
      <c r="AG212" s="896"/>
      <c r="AJ212" s="900"/>
      <c r="AK212" s="1624"/>
      <c r="AO212" s="1152"/>
      <c r="AP212" s="1152"/>
      <c r="AQ212" s="1152"/>
      <c r="AR212" s="1152"/>
      <c r="AS212" s="1152"/>
      <c r="AT212" s="1152"/>
      <c r="AU212" s="1152"/>
      <c r="AV212" s="1152"/>
      <c r="AW212" s="1152"/>
      <c r="AX212" s="1152"/>
      <c r="AY212" s="1448"/>
      <c r="AZ212" s="1448"/>
      <c r="BA212" s="846"/>
      <c r="BB212" s="846"/>
      <c r="BD212" s="897"/>
      <c r="BE212" s="898"/>
      <c r="BF212" s="897"/>
      <c r="BG212" s="897"/>
      <c r="BH212" s="1860"/>
      <c r="BI212" s="898"/>
      <c r="BJ212" s="898"/>
      <c r="BK212" s="898"/>
      <c r="BL212" s="898"/>
      <c r="BM212" s="848"/>
      <c r="BN212" s="1205"/>
      <c r="BO212" s="1206"/>
    </row>
    <row r="213" spans="1:69" s="930" customFormat="1" x14ac:dyDescent="0.2">
      <c r="B213" s="1524"/>
      <c r="D213" s="931"/>
      <c r="L213" s="586"/>
      <c r="O213" s="931"/>
      <c r="Q213" s="931"/>
      <c r="R213" s="1792"/>
      <c r="S213" s="931"/>
      <c r="T213" s="1960"/>
      <c r="U213" s="931"/>
      <c r="V213" s="1676"/>
      <c r="W213" s="931"/>
      <c r="Y213" s="931"/>
      <c r="AA213" s="931"/>
      <c r="AW213" s="586"/>
      <c r="AX213" s="586"/>
      <c r="AY213" s="586"/>
      <c r="AZ213" s="586"/>
      <c r="BA213" s="586"/>
      <c r="BB213" s="586"/>
      <c r="BH213" s="1861"/>
    </row>
    <row r="214" spans="1:69" s="930" customFormat="1" x14ac:dyDescent="0.2">
      <c r="B214" s="1524"/>
      <c r="D214" s="931"/>
      <c r="L214" s="586"/>
      <c r="O214" s="931"/>
      <c r="Q214" s="931"/>
      <c r="R214" s="1792"/>
      <c r="S214" s="931"/>
      <c r="T214" s="1960"/>
      <c r="U214" s="931"/>
      <c r="V214" s="1676"/>
      <c r="W214" s="931"/>
      <c r="Y214" s="931"/>
      <c r="AA214" s="931"/>
      <c r="AW214" s="586"/>
      <c r="AX214" s="586"/>
      <c r="AY214" s="586"/>
      <c r="AZ214" s="586"/>
      <c r="BA214" s="586"/>
      <c r="BB214" s="586"/>
      <c r="BH214" s="1861"/>
    </row>
    <row r="215" spans="1:69" s="930" customFormat="1" x14ac:dyDescent="0.2">
      <c r="B215" s="1524"/>
      <c r="D215" s="931"/>
      <c r="L215" s="586"/>
      <c r="O215" s="931"/>
      <c r="Q215" s="931"/>
      <c r="R215" s="1792"/>
      <c r="S215" s="931"/>
      <c r="T215" s="1960"/>
      <c r="U215" s="931"/>
      <c r="V215" s="1676"/>
      <c r="W215" s="931"/>
      <c r="Y215" s="931"/>
      <c r="AA215" s="931"/>
      <c r="AW215" s="586"/>
      <c r="AX215" s="586"/>
      <c r="AY215" s="586"/>
      <c r="AZ215" s="586"/>
      <c r="BA215" s="586"/>
      <c r="BB215" s="586"/>
      <c r="BH215" s="1861"/>
    </row>
    <row r="216" spans="1:69" s="930" customFormat="1" x14ac:dyDescent="0.2">
      <c r="B216" s="1524"/>
      <c r="D216" s="931"/>
      <c r="L216" s="586"/>
      <c r="O216" s="931"/>
      <c r="Q216" s="931"/>
      <c r="R216" s="1792"/>
      <c r="S216" s="931"/>
      <c r="T216" s="1960"/>
      <c r="U216" s="931"/>
      <c r="V216" s="1676"/>
      <c r="W216" s="931"/>
      <c r="Y216" s="931"/>
      <c r="AA216" s="931"/>
      <c r="AW216" s="586"/>
      <c r="AX216" s="586"/>
      <c r="AY216" s="586"/>
      <c r="AZ216" s="586"/>
      <c r="BA216" s="586"/>
      <c r="BB216" s="586"/>
      <c r="BH216" s="1861"/>
    </row>
  </sheetData>
  <sheetProtection password="C82B" sheet="1" objects="1" scenarios="1" formatCells="0" formatColumns="0" formatRows="0" selectLockedCells="1" sort="0" autoFilter="0"/>
  <autoFilter ref="A11:BO211">
    <sortState ref="A12:BO211">
      <sortCondition ref="B11:B211"/>
    </sortState>
  </autoFilter>
  <dataConsolidate/>
  <mergeCells count="1">
    <mergeCell ref="BD7:BF7"/>
  </mergeCells>
  <conditionalFormatting sqref="N13:N14 N213:N99989">
    <cfRule type="expression" dxfId="79" priority="1081">
      <formula>$AX13</formula>
    </cfRule>
    <cfRule type="expression" dxfId="78" priority="1082">
      <formula>$AW13</formula>
    </cfRule>
  </conditionalFormatting>
  <conditionalFormatting sqref="V13:V14 V213:V99989">
    <cfRule type="expression" dxfId="77" priority="1707">
      <formula>$AV13</formula>
    </cfRule>
  </conditionalFormatting>
  <conditionalFormatting sqref="AD14 AD18 AD20 AD22 AD24 AD26 AD28 AD30 AD32 AD34 AD36 AD38 AD40 AD42 AD44 AD46 AD48 AD50 AD52 AD54 AD56 AD58 AD60 AD62 AD64 AD66 AD68 AD70 AD72 AD74 AD76 AD78 AD80 AD82 AD84 AD86 AD88 AD90 AD92 AD94 AD96 AD98 AD100 AD102 AD104 AD106 AD108 AD110 AD112 AD114 AD116 AD118 AD120 AD122 AD124 AD126 AD128 AD130 AD132 AD134 AD136 AD138 AD140 AD142 AD144 AD146 AD148 AD150 AD152 AD154 AD156 AD158 AD160 AD162 AD164 AD166 AD168 AD170 AD172 AD174 AD176 AD178 AD180 AD182 AD184 AD186 AD188 AD190 AD192 AD194 AD196 AD198 AD200 AD202 AD204 AD206 AD208 AD210 AD212:AD1048576">
    <cfRule type="expression" dxfId="76" priority="1718">
      <formula>$BA14</formula>
    </cfRule>
    <cfRule type="expression" dxfId="75" priority="1719">
      <formula>$AZ14</formula>
    </cfRule>
  </conditionalFormatting>
  <conditionalFormatting sqref="Z13:Z14 Z213:Z999989">
    <cfRule type="expression" dxfId="74" priority="1720">
      <formula>$BC13</formula>
    </cfRule>
  </conditionalFormatting>
  <conditionalFormatting sqref="C3">
    <cfRule type="expression" dxfId="73" priority="1721">
      <formula>$AK$5&gt;0</formula>
    </cfRule>
  </conditionalFormatting>
  <conditionalFormatting sqref="C4">
    <cfRule type="expression" dxfId="72" priority="1722">
      <formula>$AK$7&gt;1</formula>
    </cfRule>
  </conditionalFormatting>
  <conditionalFormatting sqref="J13:J14 J213:J999993">
    <cfRule type="expression" dxfId="71" priority="38">
      <formula>$AP13</formula>
    </cfRule>
    <cfRule type="expression" dxfId="70" priority="39">
      <formula>$AO13</formula>
    </cfRule>
  </conditionalFormatting>
  <conditionalFormatting sqref="P13:P14 P213:P999993">
    <cfRule type="expression" dxfId="69" priority="36">
      <formula>$AT13</formula>
    </cfRule>
    <cfRule type="expression" dxfId="68" priority="37">
      <formula>$AS13</formula>
    </cfRule>
  </conditionalFormatting>
  <conditionalFormatting sqref="N15:N212">
    <cfRule type="expression" dxfId="67" priority="26">
      <formula>$AX15</formula>
    </cfRule>
    <cfRule type="expression" dxfId="66" priority="27">
      <formula>$AW15</formula>
    </cfRule>
  </conditionalFormatting>
  <conditionalFormatting sqref="V15:V212">
    <cfRule type="expression" dxfId="65" priority="30">
      <formula>$AV15</formula>
    </cfRule>
  </conditionalFormatting>
  <conditionalFormatting sqref="AD16">
    <cfRule type="expression" dxfId="64" priority="31">
      <formula>$BA16</formula>
    </cfRule>
    <cfRule type="expression" dxfId="63" priority="32">
      <formula>$AZ16</formula>
    </cfRule>
  </conditionalFormatting>
  <conditionalFormatting sqref="Z15:Z212">
    <cfRule type="expression" dxfId="62" priority="33">
      <formula>$BC15</formula>
    </cfRule>
  </conditionalFormatting>
  <conditionalFormatting sqref="J15:J212">
    <cfRule type="expression" dxfId="61" priority="24">
      <formula>$AP15</formula>
    </cfRule>
    <cfRule type="expression" dxfId="60" priority="25">
      <formula>$AO15</formula>
    </cfRule>
  </conditionalFormatting>
  <conditionalFormatting sqref="P15:P212">
    <cfRule type="expression" dxfId="59" priority="22">
      <formula>$AT15</formula>
    </cfRule>
    <cfRule type="expression" dxfId="58" priority="23">
      <formula>$AS15</formula>
    </cfRule>
  </conditionalFormatting>
  <conditionalFormatting sqref="E1:E1048576">
    <cfRule type="cellIs" dxfId="57" priority="1647" operator="equal">
      <formula>"Yes"</formula>
    </cfRule>
    <cfRule type="cellIs" dxfId="56" priority="1648" operator="equal">
      <formula>"No"</formula>
    </cfRule>
  </conditionalFormatting>
  <conditionalFormatting sqref="L14 L213:L99989">
    <cfRule type="expression" dxfId="55" priority="17">
      <formula>$AX14</formula>
    </cfRule>
    <cfRule type="expression" dxfId="54" priority="18">
      <formula>$AW14</formula>
    </cfRule>
  </conditionalFormatting>
  <conditionalFormatting sqref="L14">
    <cfRule type="expression" dxfId="53" priority="1723">
      <formula>$AX14</formula>
    </cfRule>
    <cfRule type="expression" dxfId="52" priority="1723">
      <formula>$AW14</formula>
    </cfRule>
  </conditionalFormatting>
  <conditionalFormatting sqref="L15:L212">
    <cfRule type="expression" dxfId="51" priority="15">
      <formula>$AX15</formula>
    </cfRule>
    <cfRule type="expression" dxfId="50" priority="16">
      <formula>$AW15</formula>
    </cfRule>
  </conditionalFormatting>
  <conditionalFormatting sqref="R14 R213:R99989">
    <cfRule type="expression" dxfId="49" priority="9">
      <formula>$AX14</formula>
    </cfRule>
    <cfRule type="expression" dxfId="48" priority="10">
      <formula>$AW14</formula>
    </cfRule>
  </conditionalFormatting>
  <conditionalFormatting sqref="R14">
    <cfRule type="expression" dxfId="47" priority="11">
      <formula>$AX14</formula>
    </cfRule>
  </conditionalFormatting>
  <conditionalFormatting sqref="R15:R212">
    <cfRule type="expression" dxfId="46" priority="7">
      <formula>$AX15</formula>
    </cfRule>
    <cfRule type="expression" dxfId="45" priority="8">
      <formula>$AW15</formula>
    </cfRule>
  </conditionalFormatting>
  <conditionalFormatting sqref="T14 T213:T99989">
    <cfRule type="expression" dxfId="44" priority="3">
      <formula>$AX14</formula>
    </cfRule>
    <cfRule type="expression" dxfId="43" priority="4">
      <formula>$AW14</formula>
    </cfRule>
  </conditionalFormatting>
  <conditionalFormatting sqref="T14">
    <cfRule type="expression" dxfId="42" priority="5">
      <formula>$AX14</formula>
    </cfRule>
  </conditionalFormatting>
  <conditionalFormatting sqref="T15:T212">
    <cfRule type="expression" dxfId="41" priority="1">
      <formula>$AX15</formula>
    </cfRule>
    <cfRule type="expression" dxfId="40" priority="2">
      <formula>$AW15</formula>
    </cfRule>
  </conditionalFormatting>
  <dataValidations count="1">
    <dataValidation type="list" allowBlank="1" showInputMessage="1" showErrorMessage="1" sqref="H17 H15 H13 H19 H21 H23 H25 H27 H29 H31 H37 H35 H33 H39 H41 H43 H45 H47 H49 H51 H57 H55 H53 H59 H61 H63 H65 H67 H69 H71 H77 H75 H73 H79 H81 H83 H85 H87 H89 H91 H97 H95 H93 H99 H101 H103 H105 H107 H109 H111 H117 H115 H113 H119 H121 H123 H125 H127 H129 H131 H137 H135 H133 H139 H141 H143 H145 H147 H149 H151 H157 H155 H153 H159 H161 H163 H165 H167 H169 H171 H177 H175 H173 H179 H181 H183 H185 H187 H189 H191 H197 H195 H193 H199 H201 H203 H205 H207 H209 H211">
      <formula1>ServiceVehicleTypes</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EM211"/>
  <sheetViews>
    <sheetView zoomScaleNormal="100" workbookViewId="0">
      <pane xSplit="6" ySplit="11" topLeftCell="V12" activePane="bottomRight" state="frozen"/>
      <selection activeCell="C25" sqref="C25"/>
      <selection pane="topRight" activeCell="C25" sqref="C25"/>
      <selection pane="bottomLeft" activeCell="C25" sqref="C25"/>
      <selection pane="bottomRight" activeCell="AG13" sqref="AG13"/>
    </sheetView>
  </sheetViews>
  <sheetFormatPr defaultColWidth="9.140625" defaultRowHeight="12.75" x14ac:dyDescent="0.2"/>
  <cols>
    <col min="1" max="1" width="5.140625" style="908" customWidth="1"/>
    <col min="2" max="2" width="2" style="908" customWidth="1"/>
    <col min="3" max="3" width="42.5703125" style="908" customWidth="1"/>
    <col min="4" max="4" width="1.42578125" style="931" customWidth="1"/>
    <col min="5" max="5" width="9.7109375" style="908" customWidth="1"/>
    <col min="6" max="6" width="1.42578125" style="908" customWidth="1"/>
    <col min="7" max="7" width="1.42578125" style="908" hidden="1" customWidth="1"/>
    <col min="8" max="8" width="1.5703125" style="908" customWidth="1"/>
    <col min="9" max="9" width="11" style="908" bestFit="1" customWidth="1"/>
    <col min="10" max="10" width="1.42578125" style="908" customWidth="1"/>
    <col min="11" max="11" width="11" style="908" bestFit="1" customWidth="1"/>
    <col min="12" max="12" width="1.42578125" style="908" customWidth="1"/>
    <col min="13" max="13" width="19.140625" style="908" customWidth="1"/>
    <col min="14" max="14" width="1.42578125" style="908" customWidth="1"/>
    <col min="15" max="15" width="12.28515625" style="908" bestFit="1" customWidth="1"/>
    <col min="16" max="16" width="1.42578125" style="908" customWidth="1"/>
    <col min="17" max="17" width="10.140625" style="908" bestFit="1" customWidth="1"/>
    <col min="18" max="18" width="1.42578125" style="908" customWidth="1"/>
    <col min="19" max="19" width="31.7109375" style="941" customWidth="1"/>
    <col min="20" max="20" width="1.42578125" style="908" customWidth="1"/>
    <col min="21" max="21" width="34.42578125" style="941" customWidth="1"/>
    <col min="22" max="22" width="1.42578125" style="908" customWidth="1"/>
    <col min="23" max="23" width="12.42578125" style="908" customWidth="1"/>
    <col min="24" max="24" width="1.42578125" style="908" customWidth="1"/>
    <col min="25" max="25" width="12.42578125" style="908" customWidth="1"/>
    <col min="26" max="26" width="1.42578125" style="908" customWidth="1"/>
    <col min="27" max="27" width="12.28515625" style="908" bestFit="1" customWidth="1"/>
    <col min="28" max="28" width="1.42578125" style="908" customWidth="1"/>
    <col min="29" max="29" width="12.42578125" style="1975" customWidth="1"/>
    <col min="30" max="30" width="1.42578125" style="908" hidden="1" customWidth="1"/>
    <col min="31" max="31" width="12.42578125" style="1987" hidden="1" customWidth="1"/>
    <col min="32" max="32" width="1.42578125" style="908" customWidth="1"/>
    <col min="33" max="33" width="31.7109375" style="941" customWidth="1"/>
    <col min="34" max="34" width="1.42578125" style="908" customWidth="1"/>
    <col min="35" max="35" width="10.85546875" style="908" customWidth="1"/>
    <col min="36" max="36" width="1.42578125" style="908" customWidth="1"/>
    <col min="37" max="37" width="19.85546875" style="908" customWidth="1"/>
    <col min="38" max="38" width="1.42578125" style="908" customWidth="1"/>
    <col min="39" max="39" width="19.7109375" style="941" customWidth="1"/>
    <col min="40" max="40" width="1.42578125" style="908" customWidth="1"/>
    <col min="41" max="41" width="31.7109375" style="941" customWidth="1"/>
    <col min="42" max="42" width="1.42578125" style="908" customWidth="1"/>
    <col min="43" max="43" width="8.42578125" style="908" customWidth="1"/>
    <col min="44" max="44" width="1.42578125" style="908" customWidth="1"/>
    <col min="45" max="45" width="8.85546875" style="908" bestFit="1" customWidth="1"/>
    <col min="46" max="46" width="1.42578125" style="908" customWidth="1"/>
    <col min="47" max="47" width="9.5703125" style="908" customWidth="1"/>
    <col min="48" max="48" width="1.42578125" style="908" customWidth="1"/>
    <col min="49" max="49" width="17.5703125" style="908" customWidth="1"/>
    <col min="50" max="50" width="1.42578125" style="908" customWidth="1"/>
    <col min="51" max="51" width="15.28515625" style="908" customWidth="1"/>
    <col min="52" max="52" width="1.42578125" style="908" customWidth="1"/>
    <col min="53" max="53" width="31.7109375" style="941" customWidth="1"/>
    <col min="54" max="54" width="1.42578125" style="908" customWidth="1"/>
    <col min="55" max="55" width="57.140625" style="908" customWidth="1"/>
    <col min="56" max="58" width="9.140625" style="908" hidden="1" customWidth="1"/>
    <col min="59" max="59" width="19.140625" style="908" hidden="1" customWidth="1"/>
    <col min="60" max="60" width="3.42578125" style="908" hidden="1" customWidth="1"/>
    <col min="61" max="61" width="6.5703125" style="908" hidden="1" customWidth="1"/>
    <col min="62" max="62" width="7.7109375" style="908" hidden="1" customWidth="1"/>
    <col min="63" max="63" width="8.28515625" style="908" hidden="1" customWidth="1"/>
    <col min="64" max="64" width="7.7109375" style="908" hidden="1" customWidth="1"/>
    <col min="65" max="76" width="9.140625" style="908" hidden="1" customWidth="1"/>
    <col min="77" max="77" width="6.28515625" style="908" hidden="1" customWidth="1"/>
    <col min="78" max="78" width="7.7109375" style="908" hidden="1" customWidth="1"/>
    <col min="79" max="79" width="7.28515625" style="908" hidden="1" customWidth="1"/>
    <col min="80" max="80" width="8.7109375" style="908" hidden="1" customWidth="1"/>
    <col min="81" max="81" width="8" style="908" hidden="1" customWidth="1"/>
    <col min="82" max="82" width="8.85546875" style="908" hidden="1" customWidth="1"/>
    <col min="83" max="83" width="8.7109375" style="908" hidden="1" customWidth="1"/>
    <col min="84" max="84" width="9.140625" style="908" hidden="1" customWidth="1"/>
    <col min="85" max="85" width="8.7109375" style="908" hidden="1" customWidth="1"/>
    <col min="86" max="87" width="8.28515625" style="908" hidden="1" customWidth="1"/>
    <col min="88" max="88" width="7.85546875" style="908" hidden="1" customWidth="1"/>
    <col min="89" max="89" width="8" style="908" hidden="1" customWidth="1"/>
    <col min="90" max="90" width="7.5703125" style="908" hidden="1" customWidth="1"/>
    <col min="91" max="93" width="9.140625" style="908" hidden="1" customWidth="1"/>
    <col min="94" max="94" width="11.85546875" style="908" hidden="1" customWidth="1"/>
    <col min="95" max="95" width="13.85546875" style="908" hidden="1" customWidth="1"/>
    <col min="96" max="96" width="9.140625" style="908" hidden="1" customWidth="1"/>
    <col min="97" max="97" width="11.5703125" style="908" hidden="1" customWidth="1"/>
    <col min="98" max="98" width="14.42578125" style="908" hidden="1" customWidth="1"/>
    <col min="99" max="99" width="10" style="908" hidden="1" customWidth="1"/>
    <col min="100" max="100" width="9.140625" style="908" hidden="1" customWidth="1"/>
    <col min="101" max="101" width="7.5703125" style="908" hidden="1" customWidth="1"/>
    <col min="102" max="103" width="6.42578125" style="908" hidden="1" customWidth="1"/>
    <col min="104" max="104" width="7.85546875" style="908" hidden="1" customWidth="1"/>
    <col min="105" max="105" width="6.42578125" style="908" hidden="1" customWidth="1"/>
    <col min="106" max="107" width="7.5703125" style="908" hidden="1" customWidth="1"/>
    <col min="108" max="109" width="9" style="908" hidden="1" customWidth="1"/>
    <col min="110" max="110" width="8.5703125" style="908" hidden="1" customWidth="1"/>
    <col min="111" max="111" width="10.140625" style="908" hidden="1" customWidth="1"/>
    <col min="112" max="112" width="3.42578125" style="908" hidden="1" customWidth="1"/>
    <col min="113" max="143" width="9.140625" style="908" hidden="1" customWidth="1"/>
    <col min="144" max="144" width="0" style="908" hidden="1" customWidth="1"/>
    <col min="145" max="16384" width="9.140625" style="908"/>
  </cols>
  <sheetData>
    <row r="1" spans="1:112" s="907" customFormat="1" ht="20.25" x14ac:dyDescent="0.3">
      <c r="A1" s="932" t="s">
        <v>2257</v>
      </c>
      <c r="B1" s="932"/>
      <c r="C1" s="932"/>
      <c r="D1" s="1849"/>
      <c r="E1" s="932"/>
      <c r="F1" s="906"/>
      <c r="G1" s="906"/>
      <c r="H1" s="906"/>
      <c r="I1" s="906"/>
      <c r="J1" s="906"/>
      <c r="K1" s="906"/>
      <c r="L1" s="906"/>
      <c r="M1" s="906"/>
      <c r="N1" s="906"/>
      <c r="O1" s="906"/>
      <c r="P1" s="906"/>
      <c r="Q1" s="906"/>
      <c r="R1" s="906"/>
      <c r="S1" s="934"/>
      <c r="T1" s="906"/>
      <c r="U1" s="934"/>
      <c r="V1" s="906"/>
      <c r="W1" s="906"/>
      <c r="X1" s="906"/>
      <c r="Y1" s="906"/>
      <c r="Z1" s="906"/>
      <c r="AA1" s="906"/>
      <c r="AB1" s="906"/>
      <c r="AC1" s="1965"/>
      <c r="AD1" s="906"/>
      <c r="AE1" s="1976"/>
      <c r="AF1" s="906"/>
      <c r="AG1" s="934"/>
      <c r="AH1" s="906"/>
      <c r="AI1" s="906"/>
      <c r="AJ1" s="906"/>
      <c r="AK1" s="906"/>
      <c r="AL1" s="906"/>
      <c r="AM1" s="934"/>
      <c r="AN1" s="906"/>
      <c r="AO1" s="934"/>
      <c r="AP1" s="906"/>
      <c r="AQ1" s="906"/>
      <c r="AR1" s="906"/>
      <c r="AS1" s="906"/>
      <c r="AT1" s="906"/>
      <c r="AU1" s="906"/>
      <c r="AV1" s="906"/>
      <c r="AW1" s="906"/>
      <c r="AX1" s="906"/>
      <c r="AY1" s="906"/>
      <c r="AZ1" s="906"/>
      <c r="BA1" s="934"/>
      <c r="BB1" s="906"/>
      <c r="BC1" s="906"/>
      <c r="BD1" s="906"/>
      <c r="BE1" s="858"/>
      <c r="BF1" s="858"/>
      <c r="BG1" s="858"/>
      <c r="BH1" s="908"/>
      <c r="BI1" s="787" t="s">
        <v>199</v>
      </c>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9"/>
      <c r="CV1" s="916"/>
      <c r="CW1" s="916"/>
      <c r="CX1" s="916"/>
      <c r="CZ1" s="916"/>
      <c r="DA1" s="916"/>
      <c r="DB1" s="1711" t="s">
        <v>2400</v>
      </c>
      <c r="DC1" s="924">
        <f>SUM(I:I)</f>
        <v>0</v>
      </c>
      <c r="DD1" s="916"/>
      <c r="DE1" s="916"/>
      <c r="DF1" s="916"/>
      <c r="DG1" s="916"/>
      <c r="DH1" s="858"/>
    </row>
    <row r="2" spans="1:112" ht="12.75" customHeight="1" x14ac:dyDescent="0.2">
      <c r="A2" s="766"/>
      <c r="B2" s="766"/>
      <c r="C2" s="766" t="str">
        <f>VLOOKUP(COLUMN(),Columns,2,FALSE)</f>
        <v>c</v>
      </c>
      <c r="D2" s="859"/>
      <c r="E2" s="766"/>
      <c r="F2" s="766"/>
      <c r="G2" s="766"/>
      <c r="H2" s="766"/>
      <c r="I2" s="766" t="str">
        <f>VLOOKUP(COLUMN(),Columns,2,FALSE)</f>
        <v>i</v>
      </c>
      <c r="J2" s="766"/>
      <c r="K2" s="766" t="str">
        <f>VLOOKUP(COLUMN(),Columns,2,FALSE)</f>
        <v>k</v>
      </c>
      <c r="L2" s="766"/>
      <c r="M2" s="766" t="str">
        <f>VLOOKUP(COLUMN(),Columns,2,FALSE)</f>
        <v>m</v>
      </c>
      <c r="N2" s="766"/>
      <c r="O2" s="766" t="str">
        <f>VLOOKUP(COLUMN(),Columns,2,FALSE)</f>
        <v>o</v>
      </c>
      <c r="P2" s="766"/>
      <c r="Q2" s="766" t="str">
        <f>VLOOKUP(COLUMN(),Columns,2,FALSE)</f>
        <v>q</v>
      </c>
      <c r="R2" s="766"/>
      <c r="S2" s="935" t="str">
        <f>VLOOKUP(COLUMN(),Columns,2,FALSE)</f>
        <v>s</v>
      </c>
      <c r="T2" s="766"/>
      <c r="U2" s="935" t="str">
        <f>VLOOKUP(COLUMN(),Columns,2,FALSE)</f>
        <v>u</v>
      </c>
      <c r="V2" s="766"/>
      <c r="W2" s="935" t="str">
        <f>VLOOKUP(COLUMN(),Columns,2,FALSE)</f>
        <v>w</v>
      </c>
      <c r="X2" s="766"/>
      <c r="Y2" s="935" t="str">
        <f>VLOOKUP(COLUMN(),Columns,2,FALSE)</f>
        <v>y</v>
      </c>
      <c r="Z2" s="766"/>
      <c r="AA2" s="766" t="str">
        <f>VLOOKUP(COLUMN(),Columns,2,FALSE)</f>
        <v>aa</v>
      </c>
      <c r="AB2" s="766"/>
      <c r="AC2" s="1966" t="str">
        <f>VLOOKUP(COLUMN(),Columns,2,FALSE)</f>
        <v>ac</v>
      </c>
      <c r="AD2" s="766"/>
      <c r="AE2" s="1977" t="str">
        <f>VLOOKUP(COLUMN(),Columns,2,FALSE)</f>
        <v>ae</v>
      </c>
      <c r="AF2" s="766"/>
      <c r="AG2" s="935" t="str">
        <f>VLOOKUP(COLUMN(),Columns,2,FALSE)</f>
        <v>ag</v>
      </c>
      <c r="AH2" s="766"/>
      <c r="AI2" s="766" t="str">
        <f>VLOOKUP(COLUMN(),Columns,2,FALSE)</f>
        <v>ai</v>
      </c>
      <c r="AJ2" s="766"/>
      <c r="AK2" s="766" t="str">
        <f>VLOOKUP(COLUMN(),Columns,2,FALSE)</f>
        <v>ak</v>
      </c>
      <c r="AL2" s="766"/>
      <c r="AM2" s="935" t="str">
        <f>VLOOKUP(COLUMN(),Columns,2,FALSE)</f>
        <v>am</v>
      </c>
      <c r="AN2" s="766"/>
      <c r="AO2" s="935" t="str">
        <f>VLOOKUP(COLUMN(),Columns,2,FALSE)</f>
        <v>ao</v>
      </c>
      <c r="AP2" s="766"/>
      <c r="AQ2" s="766" t="str">
        <f>VLOOKUP(COLUMN(),Columns,2,FALSE)</f>
        <v>aq</v>
      </c>
      <c r="AR2" s="766"/>
      <c r="AS2" s="766" t="str">
        <f>VLOOKUP(COLUMN(),Columns,2,FALSE)</f>
        <v>as</v>
      </c>
      <c r="AT2" s="766"/>
      <c r="AU2" s="766" t="str">
        <f>VLOOKUP(COLUMN(),Columns,2,FALSE)</f>
        <v>au</v>
      </c>
      <c r="AV2" s="766"/>
      <c r="AW2" s="766" t="str">
        <f>VLOOKUP(COLUMN(),Columns,2,FALSE)</f>
        <v>aw</v>
      </c>
      <c r="AX2" s="766"/>
      <c r="AY2" s="766" t="str">
        <f>VLOOKUP(COLUMN(),Columns,2,FALSE)</f>
        <v>ay</v>
      </c>
      <c r="AZ2" s="766"/>
      <c r="BA2" s="935" t="str">
        <f>VLOOKUP(COLUMN(),Columns,2,FALSE)</f>
        <v>ba</v>
      </c>
      <c r="BC2" s="766" t="str">
        <f>VLOOKUP(COLUMN(),Columns,2,FALSE)</f>
        <v>bc</v>
      </c>
      <c r="BF2" s="865"/>
      <c r="BI2" s="2062" t="s">
        <v>307</v>
      </c>
      <c r="BJ2" s="2063"/>
      <c r="BK2" s="919" t="s">
        <v>322</v>
      </c>
      <c r="BL2" s="918"/>
      <c r="BM2" s="919" t="s">
        <v>349</v>
      </c>
      <c r="BN2" s="918"/>
      <c r="BO2" s="919" t="s">
        <v>350</v>
      </c>
      <c r="BP2" s="918"/>
      <c r="BQ2" s="919" t="s">
        <v>351</v>
      </c>
      <c r="BR2" s="918"/>
      <c r="BS2" s="919" t="s">
        <v>352</v>
      </c>
      <c r="BT2" s="918"/>
      <c r="BU2" s="919" t="s">
        <v>353</v>
      </c>
      <c r="BV2" s="918"/>
      <c r="BW2" s="919" t="s">
        <v>354</v>
      </c>
      <c r="BX2" s="918"/>
      <c r="BY2" s="919" t="s">
        <v>355</v>
      </c>
      <c r="BZ2" s="918"/>
      <c r="CA2" s="919" t="s">
        <v>356</v>
      </c>
      <c r="CB2" s="918"/>
      <c r="CC2" s="919" t="s">
        <v>357</v>
      </c>
      <c r="CD2" s="1179"/>
      <c r="CE2" s="918"/>
      <c r="CF2" s="919" t="s">
        <v>358</v>
      </c>
      <c r="CG2" s="918"/>
      <c r="CH2" s="919" t="s">
        <v>359</v>
      </c>
      <c r="CI2" s="918"/>
      <c r="CJ2" s="919" t="s">
        <v>360</v>
      </c>
      <c r="CK2" s="918"/>
      <c r="CL2" s="919" t="s">
        <v>361</v>
      </c>
      <c r="CM2" s="918"/>
      <c r="CN2" s="1179" t="s">
        <v>2194</v>
      </c>
      <c r="CO2" s="1178"/>
      <c r="CP2" s="919" t="s">
        <v>362</v>
      </c>
      <c r="CQ2" s="918"/>
      <c r="CR2" s="919" t="s">
        <v>363</v>
      </c>
      <c r="CS2" s="918"/>
      <c r="CT2" s="919" t="s">
        <v>364</v>
      </c>
      <c r="CU2" s="918"/>
      <c r="CV2" s="891"/>
      <c r="CW2" s="917"/>
      <c r="CX2" s="917"/>
      <c r="CZ2" s="917"/>
      <c r="DA2" s="917"/>
      <c r="DB2" s="1711" t="s">
        <v>2401</v>
      </c>
      <c r="DC2" s="924">
        <f ca="1">SUMIFS(I:I,DA:DA, 1)</f>
        <v>0</v>
      </c>
      <c r="DD2" s="917"/>
      <c r="DE2" s="917"/>
      <c r="DF2" s="917"/>
      <c r="DG2" s="917"/>
      <c r="DH2" s="865"/>
    </row>
    <row r="3" spans="1:112" ht="12.75" customHeight="1" x14ac:dyDescent="0.2">
      <c r="A3" s="1797"/>
      <c r="B3" s="1797"/>
      <c r="C3" s="1797" t="str">
        <f>IF($BH$7&gt;0,"Check Data Values in Cols. "&amp;$C$2&amp;" to "&amp;$BA$2,"NO BAD DATA")</f>
        <v>NO BAD DATA</v>
      </c>
      <c r="D3" s="1848"/>
      <c r="E3" s="1797"/>
      <c r="F3" s="1797"/>
      <c r="G3" s="585"/>
      <c r="H3" s="585"/>
      <c r="I3" s="936" t="str">
        <f>IF($BK$7&gt;=1,"Too low","")</f>
        <v/>
      </c>
      <c r="J3" s="910"/>
      <c r="K3" s="936" t="str">
        <f>IF($BM$7&gt;=1,"Too low","")</f>
        <v/>
      </c>
      <c r="L3" s="910"/>
      <c r="M3" s="909" t="str">
        <f>IF($BO$7&gt;=1,"Bad Data","")</f>
        <v/>
      </c>
      <c r="N3" s="910"/>
      <c r="O3" s="909" t="str">
        <f>IF($BQ$7&gt;=1,"Bad Data","")</f>
        <v/>
      </c>
      <c r="P3" s="911"/>
      <c r="Q3" s="911"/>
      <c r="R3" s="911"/>
      <c r="S3" s="936"/>
      <c r="T3" s="911"/>
      <c r="U3" s="936" t="str">
        <f>IF($BU$7&gt;=1,"Bad Data","")</f>
        <v/>
      </c>
      <c r="V3" s="911"/>
      <c r="W3" s="1765">
        <f>Valid!$D$1</f>
        <v>3</v>
      </c>
      <c r="X3" s="911"/>
      <c r="Y3" s="1765">
        <f>Valid!$D$1</f>
        <v>3</v>
      </c>
      <c r="Z3" s="911"/>
      <c r="AA3" s="909" t="str">
        <f>IF($BW$7&gt;=1,"Bad Data","")</f>
        <v/>
      </c>
      <c r="AB3" s="911"/>
      <c r="AC3" s="1967"/>
      <c r="AD3" s="911"/>
      <c r="AE3" s="1978"/>
      <c r="AF3" s="911"/>
      <c r="AG3" s="936" t="str">
        <f>IF($BY$7&gt;=1,"Bad Data","")</f>
        <v/>
      </c>
      <c r="AH3" s="911"/>
      <c r="AI3" s="909" t="str">
        <f>IF($CA$7&gt;=1,"Bad Data","")</f>
        <v/>
      </c>
      <c r="AJ3" s="911"/>
      <c r="AK3" s="909" t="str">
        <f>IF($CC$7&gt;=1,"Bad Data","")</f>
        <v/>
      </c>
      <c r="AL3" s="911"/>
      <c r="AM3" s="936" t="str">
        <f>IF($CF$7&gt;=1,"Bad Data","")</f>
        <v/>
      </c>
      <c r="AN3" s="911"/>
      <c r="AO3" s="936" t="str">
        <f>IF($CH$7&gt;=1,"Bad Data","")</f>
        <v/>
      </c>
      <c r="AP3" s="911"/>
      <c r="AQ3" s="909" t="str">
        <f>IF($CJ$7&gt;=1,"Bad Data","")</f>
        <v/>
      </c>
      <c r="AR3" s="911"/>
      <c r="AS3" s="909" t="str">
        <f>IF($CL$7&gt;=1,"Bad Data","")</f>
        <v/>
      </c>
      <c r="AT3" s="911"/>
      <c r="AU3" s="911"/>
      <c r="AV3" s="911"/>
      <c r="AW3" s="909" t="str">
        <f>IF($CP$7&gt;=1,"Bad Data","")</f>
        <v/>
      </c>
      <c r="AX3" s="911"/>
      <c r="AY3" s="909" t="str">
        <f>IF($CR$7&gt;=1,"Bad Data","")</f>
        <v/>
      </c>
      <c r="AZ3" s="911"/>
      <c r="BA3" s="936"/>
      <c r="BB3" s="911"/>
      <c r="BC3" s="911"/>
      <c r="BD3" s="911"/>
      <c r="BH3" s="916"/>
      <c r="BI3" s="925" t="s">
        <v>55</v>
      </c>
      <c r="BJ3" s="925" t="s">
        <v>56</v>
      </c>
      <c r="BK3" s="925" t="s">
        <v>55</v>
      </c>
      <c r="BL3" s="925" t="s">
        <v>56</v>
      </c>
      <c r="BM3" s="925" t="s">
        <v>55</v>
      </c>
      <c r="BN3" s="925" t="s">
        <v>56</v>
      </c>
      <c r="BO3" s="925" t="s">
        <v>55</v>
      </c>
      <c r="BP3" s="925" t="s">
        <v>56</v>
      </c>
      <c r="BQ3" s="925" t="s">
        <v>55</v>
      </c>
      <c r="BR3" s="925" t="s">
        <v>56</v>
      </c>
      <c r="BS3" s="925" t="s">
        <v>55</v>
      </c>
      <c r="BT3" s="925" t="s">
        <v>56</v>
      </c>
      <c r="BU3" s="925" t="s">
        <v>55</v>
      </c>
      <c r="BV3" s="925" t="s">
        <v>56</v>
      </c>
      <c r="BW3" s="925" t="s">
        <v>55</v>
      </c>
      <c r="BX3" s="925" t="s">
        <v>56</v>
      </c>
      <c r="BY3" s="925" t="s">
        <v>55</v>
      </c>
      <c r="BZ3" s="925" t="s">
        <v>56</v>
      </c>
      <c r="CA3" s="925" t="s">
        <v>55</v>
      </c>
      <c r="CB3" s="925" t="s">
        <v>56</v>
      </c>
      <c r="CC3" s="925" t="s">
        <v>55</v>
      </c>
      <c r="CD3" s="925" t="s">
        <v>2366</v>
      </c>
      <c r="CE3" s="925" t="s">
        <v>56</v>
      </c>
      <c r="CF3" s="925" t="s">
        <v>55</v>
      </c>
      <c r="CG3" s="925" t="s">
        <v>56</v>
      </c>
      <c r="CH3" s="925" t="s">
        <v>55</v>
      </c>
      <c r="CI3" s="925" t="s">
        <v>56</v>
      </c>
      <c r="CJ3" s="925" t="s">
        <v>55</v>
      </c>
      <c r="CK3" s="925" t="s">
        <v>56</v>
      </c>
      <c r="CL3" s="925" t="s">
        <v>55</v>
      </c>
      <c r="CM3" s="925" t="s">
        <v>56</v>
      </c>
      <c r="CN3" s="925" t="s">
        <v>55</v>
      </c>
      <c r="CO3" s="925" t="s">
        <v>56</v>
      </c>
      <c r="CP3" s="925" t="s">
        <v>55</v>
      </c>
      <c r="CQ3" s="925" t="s">
        <v>56</v>
      </c>
      <c r="CR3" s="925" t="s">
        <v>55</v>
      </c>
      <c r="CS3" s="925" t="s">
        <v>56</v>
      </c>
      <c r="CT3" s="925" t="s">
        <v>55</v>
      </c>
      <c r="CU3" s="925" t="s">
        <v>56</v>
      </c>
      <c r="CV3" s="891"/>
      <c r="CW3" s="924">
        <f>Valid!$K$1</f>
        <v>10</v>
      </c>
      <c r="CX3" s="924"/>
      <c r="CY3" s="924"/>
      <c r="CZ3" s="924"/>
      <c r="DA3" s="924"/>
      <c r="DB3" s="924">
        <f>Valid!$E$1</f>
        <v>4</v>
      </c>
      <c r="DC3" s="924">
        <f>Valid!$F$1</f>
        <v>5</v>
      </c>
      <c r="DD3" s="924">
        <f>Valid!$E$1</f>
        <v>4</v>
      </c>
      <c r="DE3" s="924">
        <f>Valid!$F$1</f>
        <v>5</v>
      </c>
      <c r="DF3" s="924">
        <f>Valid!$H$1</f>
        <v>7</v>
      </c>
      <c r="DG3" s="924">
        <f>Valid!$I$1</f>
        <v>8</v>
      </c>
    </row>
    <row r="4" spans="1:112" ht="12.75" customHeight="1" x14ac:dyDescent="0.2">
      <c r="A4" s="1797"/>
      <c r="B4" s="1797"/>
      <c r="C4" s="1797" t="str">
        <f>IF($BH$8&gt;0,"Check for Missing Data in Cols. "&amp;$C$2&amp;" to "&amp;$BA$2,"NO MISSING DATA")</f>
        <v>NO MISSING DATA</v>
      </c>
      <c r="D4" s="1848"/>
      <c r="E4" s="1797"/>
      <c r="F4" s="1797"/>
      <c r="G4" s="585"/>
      <c r="H4" s="585"/>
      <c r="I4" s="912" t="str">
        <f>IF($BL$8&gt;=1,"Vehicles in Fleet?","")</f>
        <v/>
      </c>
      <c r="J4" s="913"/>
      <c r="K4" s="912" t="str">
        <f>IF($BN$8&gt;=1,"Active Vehs. in Fleet?","")</f>
        <v/>
      </c>
      <c r="L4" s="913"/>
      <c r="M4" s="912" t="str">
        <f>IF($BP$8&gt;=1,"ADA Vehs. in Fleet?","")</f>
        <v/>
      </c>
      <c r="N4" s="913"/>
      <c r="O4" s="912" t="str">
        <f>IF($BR$8&gt;=1,"ADA Vehs. in Fleet?","")</f>
        <v/>
      </c>
      <c r="P4" s="914"/>
      <c r="Q4" s="914"/>
      <c r="R4" s="914"/>
      <c r="S4" s="937" t="str">
        <f>IF($BT$8&gt;=1,"Vehicle Type Code?","")</f>
        <v/>
      </c>
      <c r="T4" s="914"/>
      <c r="U4" s="937" t="str">
        <f>IF($BV$8&gt;=1,"Funding Source?","")</f>
        <v/>
      </c>
      <c r="V4" s="914"/>
      <c r="W4" s="912"/>
      <c r="X4" s="914"/>
      <c r="Y4" s="912"/>
      <c r="Z4" s="914"/>
      <c r="AA4" s="912" t="str">
        <f>IF($BX$8&gt;=1,"Yr. of Mfg.?","")</f>
        <v/>
      </c>
      <c r="AB4" s="914"/>
      <c r="AC4" s="1968"/>
      <c r="AD4" s="914"/>
      <c r="AE4" s="1979"/>
      <c r="AF4" s="914"/>
      <c r="AG4" s="937" t="str">
        <f>IF($BZ$8&gt;=1,"Mfr. Code?","")</f>
        <v/>
      </c>
      <c r="AH4" s="914"/>
      <c r="AI4" s="912" t="str">
        <f>IF($CB$8&gt;=1,"Model Number?","")</f>
        <v/>
      </c>
      <c r="AJ4" s="914"/>
      <c r="AK4" s="912" t="str">
        <f>IF($CE$8&gt;=1,"Last Renewal Yr.?","")</f>
        <v/>
      </c>
      <c r="AL4" s="914"/>
      <c r="AM4" s="937" t="str">
        <f>IF($CG$8&gt;=1,"Renewal Type?","")</f>
        <v/>
      </c>
      <c r="AN4" s="914"/>
      <c r="AO4" s="937" t="str">
        <f>IF($CI$8&gt;=1,"Fuel Code?","")</f>
        <v/>
      </c>
      <c r="AP4" s="914"/>
      <c r="AQ4" s="912" t="str">
        <f>IF($CK$8&gt;=1,"Length?","")</f>
        <v/>
      </c>
      <c r="AR4" s="914"/>
      <c r="AS4" s="912" t="str">
        <f>IF($CM$8&gt;=1,"No. Seats?","")</f>
        <v/>
      </c>
      <c r="AT4" s="914"/>
      <c r="AU4" s="912" t="str">
        <f>IF($CO$8&gt;=1,"No. Standing?","")</f>
        <v/>
      </c>
      <c r="AV4" s="914"/>
      <c r="AW4" s="912" t="str">
        <f>IF($CQ$8&gt;=1,"Total Miles Active Vehs.?","")</f>
        <v/>
      </c>
      <c r="AX4" s="914"/>
      <c r="AY4" s="912" t="str">
        <f>IF($CS$8&gt;=1,"Avg. Lifetime Mileage per Veh.?","")</f>
        <v/>
      </c>
      <c r="AZ4" s="914"/>
      <c r="BA4" s="937"/>
      <c r="BB4" s="915"/>
      <c r="BC4" s="915"/>
      <c r="BD4" s="915"/>
      <c r="BE4" s="916"/>
      <c r="BF4" s="916"/>
      <c r="BH4" s="891"/>
      <c r="BI4" s="926" t="s">
        <v>57</v>
      </c>
      <c r="BJ4" s="926" t="s">
        <v>57</v>
      </c>
      <c r="BK4" s="926" t="s">
        <v>57</v>
      </c>
      <c r="BL4" s="926" t="s">
        <v>57</v>
      </c>
      <c r="BM4" s="926" t="s">
        <v>57</v>
      </c>
      <c r="BN4" s="926" t="s">
        <v>57</v>
      </c>
      <c r="BO4" s="926" t="s">
        <v>57</v>
      </c>
      <c r="BP4" s="926" t="s">
        <v>57</v>
      </c>
      <c r="BQ4" s="926" t="s">
        <v>57</v>
      </c>
      <c r="BR4" s="926" t="s">
        <v>57</v>
      </c>
      <c r="BS4" s="926" t="s">
        <v>57</v>
      </c>
      <c r="BT4" s="926" t="s">
        <v>57</v>
      </c>
      <c r="BU4" s="926" t="s">
        <v>57</v>
      </c>
      <c r="BV4" s="926" t="s">
        <v>57</v>
      </c>
      <c r="BW4" s="926" t="s">
        <v>57</v>
      </c>
      <c r="BX4" s="926" t="s">
        <v>57</v>
      </c>
      <c r="BY4" s="926" t="s">
        <v>57</v>
      </c>
      <c r="BZ4" s="926" t="s">
        <v>57</v>
      </c>
      <c r="CA4" s="926" t="s">
        <v>57</v>
      </c>
      <c r="CB4" s="926" t="s">
        <v>57</v>
      </c>
      <c r="CC4" s="926" t="s">
        <v>57</v>
      </c>
      <c r="CD4" s="926"/>
      <c r="CE4" s="926" t="s">
        <v>57</v>
      </c>
      <c r="CF4" s="926" t="s">
        <v>57</v>
      </c>
      <c r="CG4" s="926" t="s">
        <v>57</v>
      </c>
      <c r="CH4" s="926" t="s">
        <v>57</v>
      </c>
      <c r="CI4" s="926" t="s">
        <v>57</v>
      </c>
      <c r="CJ4" s="926" t="s">
        <v>57</v>
      </c>
      <c r="CK4" s="926" t="s">
        <v>57</v>
      </c>
      <c r="CL4" s="926" t="s">
        <v>57</v>
      </c>
      <c r="CM4" s="926" t="s">
        <v>57</v>
      </c>
      <c r="CN4" s="926" t="s">
        <v>57</v>
      </c>
      <c r="CO4" s="926" t="s">
        <v>57</v>
      </c>
      <c r="CP4" s="926" t="s">
        <v>57</v>
      </c>
      <c r="CQ4" s="926" t="s">
        <v>57</v>
      </c>
      <c r="CR4" s="926" t="s">
        <v>57</v>
      </c>
      <c r="CS4" s="926" t="s">
        <v>57</v>
      </c>
      <c r="CT4" s="926" t="s">
        <v>57</v>
      </c>
      <c r="CU4" s="926" t="s">
        <v>57</v>
      </c>
      <c r="CV4" s="891"/>
      <c r="CW4" s="924"/>
      <c r="CX4" s="924"/>
      <c r="CY4" s="924"/>
      <c r="CZ4" s="924"/>
      <c r="DA4" s="924"/>
      <c r="DB4" s="924"/>
      <c r="DC4" s="924"/>
      <c r="DD4" s="924"/>
      <c r="DE4" s="924"/>
      <c r="DF4" s="924"/>
      <c r="DG4" s="924"/>
      <c r="DH4" s="916"/>
    </row>
    <row r="5" spans="1:112" ht="12.75" customHeight="1" x14ac:dyDescent="0.2">
      <c r="C5" s="921"/>
      <c r="D5" s="1850"/>
      <c r="E5" s="922"/>
      <c r="F5" s="922"/>
      <c r="G5" s="922"/>
      <c r="H5" s="922"/>
      <c r="I5" s="922"/>
      <c r="J5" s="923"/>
      <c r="K5" s="923"/>
      <c r="L5" s="923"/>
      <c r="M5" s="737"/>
      <c r="N5" s="923"/>
      <c r="O5" s="923"/>
      <c r="P5" s="923"/>
      <c r="Q5" s="922"/>
      <c r="R5" s="922"/>
      <c r="S5" s="939"/>
      <c r="T5" s="923"/>
      <c r="U5" s="939"/>
      <c r="V5" s="923"/>
      <c r="W5" s="923"/>
      <c r="X5" s="923"/>
      <c r="Y5" s="923"/>
      <c r="Z5" s="923"/>
      <c r="AA5" s="923"/>
      <c r="AB5" s="923"/>
      <c r="AC5" s="1969"/>
      <c r="AD5" s="923"/>
      <c r="AE5" s="1980"/>
      <c r="AF5" s="923"/>
      <c r="AG5" s="939"/>
      <c r="AH5" s="923"/>
      <c r="AI5" s="923"/>
      <c r="AJ5" s="923"/>
      <c r="AK5" s="923"/>
      <c r="AL5" s="923"/>
      <c r="AM5" s="939"/>
      <c r="AN5" s="923"/>
      <c r="AO5" s="939"/>
      <c r="AP5" s="923"/>
      <c r="AQ5" s="923"/>
      <c r="AR5" s="923"/>
      <c r="AS5" s="923"/>
      <c r="AT5" s="923"/>
      <c r="AU5" s="923"/>
      <c r="AV5" s="923"/>
      <c r="AW5" s="923"/>
      <c r="AX5" s="923"/>
      <c r="AY5" s="923"/>
      <c r="AZ5" s="923"/>
      <c r="BA5" s="939"/>
      <c r="BC5" s="866"/>
      <c r="BD5" s="866"/>
      <c r="BE5" s="866"/>
      <c r="BF5" s="924"/>
      <c r="BG5" s="916"/>
      <c r="DH5" s="924"/>
    </row>
    <row r="6" spans="1:112" ht="12.75" customHeight="1" x14ac:dyDescent="0.2">
      <c r="C6" s="921"/>
      <c r="D6" s="1850"/>
      <c r="E6" s="922"/>
      <c r="F6" s="922"/>
      <c r="G6" s="922"/>
      <c r="H6" s="922"/>
      <c r="I6" s="922"/>
      <c r="J6" s="923"/>
      <c r="K6" s="923"/>
      <c r="L6" s="923"/>
      <c r="M6" s="737"/>
      <c r="N6" s="923"/>
      <c r="O6" s="923"/>
      <c r="P6" s="923"/>
      <c r="Q6" s="922"/>
      <c r="R6" s="922"/>
      <c r="S6" s="939"/>
      <c r="T6" s="923"/>
      <c r="U6" s="939"/>
      <c r="V6" s="923"/>
      <c r="W6" s="923"/>
      <c r="X6" s="923"/>
      <c r="Y6" s="923"/>
      <c r="Z6" s="923"/>
      <c r="AA6" s="923"/>
      <c r="AB6" s="923"/>
      <c r="AC6" s="1969"/>
      <c r="AD6" s="923"/>
      <c r="AE6" s="1980"/>
      <c r="AF6" s="923"/>
      <c r="AG6" s="939"/>
      <c r="AH6" s="923"/>
      <c r="AI6" s="923"/>
      <c r="AJ6" s="923"/>
      <c r="AK6" s="923"/>
      <c r="AL6" s="923"/>
      <c r="AM6" s="939"/>
      <c r="AN6" s="923"/>
      <c r="AO6" s="939"/>
      <c r="AP6" s="923"/>
      <c r="AQ6" s="923"/>
      <c r="AR6" s="923"/>
      <c r="AS6" s="923"/>
      <c r="AT6" s="923"/>
      <c r="AU6" s="923"/>
      <c r="AV6" s="923"/>
      <c r="AW6" s="923"/>
      <c r="AX6" s="923"/>
      <c r="AY6" s="923"/>
      <c r="AZ6" s="923"/>
      <c r="BA6" s="939"/>
      <c r="BC6" s="866"/>
      <c r="BD6" s="866"/>
      <c r="BE6" s="866"/>
      <c r="BF6" s="924"/>
      <c r="BG6" s="916"/>
      <c r="DH6" s="924"/>
    </row>
    <row r="7" spans="1:112" ht="12.75" customHeight="1" x14ac:dyDescent="0.2">
      <c r="A7" s="924"/>
      <c r="B7" s="924"/>
      <c r="C7" s="924"/>
      <c r="E7" s="924"/>
      <c r="F7" s="924"/>
      <c r="G7" s="924"/>
      <c r="H7" s="924"/>
      <c r="I7" s="924"/>
      <c r="J7" s="924"/>
      <c r="K7" s="924"/>
      <c r="L7" s="924"/>
      <c r="M7" s="737" t="s">
        <v>2379</v>
      </c>
      <c r="N7" s="924"/>
      <c r="O7" s="737" t="s">
        <v>308</v>
      </c>
      <c r="P7" s="924"/>
      <c r="Q7" s="924"/>
      <c r="R7" s="924"/>
      <c r="S7" s="940"/>
      <c r="T7" s="924"/>
      <c r="U7" s="940"/>
      <c r="V7" s="924"/>
      <c r="W7" s="737"/>
      <c r="X7" s="924"/>
      <c r="Y7" s="737"/>
      <c r="Z7" s="924"/>
      <c r="AA7" s="924"/>
      <c r="AB7" s="924"/>
      <c r="AC7" s="1666"/>
      <c r="AD7" s="924"/>
      <c r="AE7" s="1981"/>
      <c r="AF7" s="924"/>
      <c r="AG7" s="940"/>
      <c r="AH7" s="924"/>
      <c r="AI7" s="924"/>
      <c r="AJ7" s="924"/>
      <c r="AK7" s="927"/>
      <c r="AL7" s="927"/>
      <c r="AM7" s="942"/>
      <c r="AN7" s="927"/>
      <c r="AO7" s="940"/>
      <c r="AP7" s="924"/>
      <c r="AQ7" s="924"/>
      <c r="AR7" s="924"/>
      <c r="AS7" s="924"/>
      <c r="AT7" s="924"/>
      <c r="AU7" s="924"/>
      <c r="AV7" s="924"/>
      <c r="AW7" s="924"/>
      <c r="AX7" s="924"/>
      <c r="AY7" s="924"/>
      <c r="AZ7" s="924"/>
      <c r="BA7" s="940"/>
      <c r="BC7" s="866"/>
      <c r="BD7" s="866"/>
      <c r="BE7" s="866"/>
      <c r="BF7" s="924"/>
      <c r="BG7" s="891"/>
      <c r="BH7" s="765">
        <f>SUM(BI7:CS7)</f>
        <v>0</v>
      </c>
      <c r="BI7" s="707"/>
      <c r="BJ7" s="707"/>
      <c r="BK7" s="708">
        <f>COUNTIF(BK$13:BK$1048576,"TRUE")</f>
        <v>0</v>
      </c>
      <c r="BL7" s="707"/>
      <c r="BM7" s="708">
        <f>COUNTIF(BM$13:BM$1048576,"TRUE")</f>
        <v>0</v>
      </c>
      <c r="BN7" s="707"/>
      <c r="BO7" s="707"/>
      <c r="BP7" s="707"/>
      <c r="BQ7" s="707"/>
      <c r="BR7" s="707"/>
      <c r="BS7" s="708">
        <f>COUNTIF(BS$13:BS$1048576,"TRUE")</f>
        <v>0</v>
      </c>
      <c r="BT7" s="707"/>
      <c r="BU7" s="707"/>
      <c r="BV7" s="707"/>
      <c r="BW7" s="708">
        <f>COUNTIF(BW$13:BW$1048576,"TRUE")</f>
        <v>0</v>
      </c>
      <c r="BX7" s="707"/>
      <c r="BY7" s="707"/>
      <c r="BZ7" s="707"/>
      <c r="CA7" s="707"/>
      <c r="CB7" s="707"/>
      <c r="CC7" s="708">
        <f>COUNTIF(CC$13:CC$1048576,"TRUE")</f>
        <v>0</v>
      </c>
      <c r="CD7" s="708"/>
      <c r="CE7" s="707"/>
      <c r="CF7" s="707"/>
      <c r="CG7" s="707"/>
      <c r="CH7" s="707"/>
      <c r="CI7" s="707"/>
      <c r="CJ7" s="707"/>
      <c r="CK7" s="707"/>
      <c r="CL7" s="707"/>
      <c r="CM7" s="707"/>
      <c r="CN7" s="707"/>
      <c r="CO7" s="707"/>
      <c r="CP7" s="707"/>
      <c r="CQ7" s="707"/>
      <c r="CR7" s="707"/>
      <c r="CS7" s="707"/>
      <c r="CT7" s="707"/>
      <c r="CU7" s="707"/>
      <c r="CV7" s="891"/>
      <c r="CW7" s="801" t="s">
        <v>300</v>
      </c>
      <c r="CX7" s="802"/>
      <c r="CY7" s="802"/>
      <c r="CZ7" s="802"/>
      <c r="DA7" s="802"/>
      <c r="DB7" s="802"/>
      <c r="DC7" s="802"/>
      <c r="DD7" s="802"/>
      <c r="DE7" s="802"/>
      <c r="DF7" s="802"/>
      <c r="DG7" s="802"/>
      <c r="DH7" s="924"/>
    </row>
    <row r="8" spans="1:112" ht="12.75" customHeight="1" x14ac:dyDescent="0.2">
      <c r="A8" s="924"/>
      <c r="B8" s="924"/>
      <c r="C8" s="924"/>
      <c r="E8" s="736" t="s">
        <v>197</v>
      </c>
      <c r="F8" s="924"/>
      <c r="G8" s="924"/>
      <c r="H8" s="924"/>
      <c r="I8" s="737" t="s">
        <v>308</v>
      </c>
      <c r="J8" s="924"/>
      <c r="K8" s="737" t="s">
        <v>2380</v>
      </c>
      <c r="L8" s="924"/>
      <c r="M8" s="737" t="s">
        <v>536</v>
      </c>
      <c r="N8" s="924"/>
      <c r="O8" s="737" t="s">
        <v>325</v>
      </c>
      <c r="P8" s="924"/>
      <c r="Q8" s="924"/>
      <c r="R8" s="924"/>
      <c r="S8" s="628" t="s">
        <v>313</v>
      </c>
      <c r="T8" s="924"/>
      <c r="U8" s="940"/>
      <c r="V8" s="924"/>
      <c r="W8" s="847" t="s">
        <v>2417</v>
      </c>
      <c r="X8" s="1234"/>
      <c r="Y8" s="847" t="s">
        <v>2382</v>
      </c>
      <c r="Z8" s="924"/>
      <c r="AA8" s="924"/>
      <c r="AB8" s="924"/>
      <c r="AC8" s="1951" t="s">
        <v>139</v>
      </c>
      <c r="AD8" s="1666"/>
      <c r="AE8" s="1959" t="s">
        <v>2163</v>
      </c>
      <c r="AF8" s="1234"/>
      <c r="AG8" s="940"/>
      <c r="AH8" s="924"/>
      <c r="AI8" s="924"/>
      <c r="AJ8" s="924"/>
      <c r="AK8" s="737" t="s">
        <v>316</v>
      </c>
      <c r="AL8" s="924"/>
      <c r="AM8" s="628" t="s">
        <v>343</v>
      </c>
      <c r="AN8" s="924"/>
      <c r="AO8" s="628" t="s">
        <v>328</v>
      </c>
      <c r="AP8" s="924"/>
      <c r="AQ8" s="737" t="s">
        <v>313</v>
      </c>
      <c r="AR8" s="924"/>
      <c r="AS8" s="924"/>
      <c r="AT8" s="924"/>
      <c r="AU8" s="924"/>
      <c r="AV8" s="924"/>
      <c r="AW8" s="737" t="s">
        <v>333</v>
      </c>
      <c r="AX8" s="924"/>
      <c r="AY8" s="737" t="s">
        <v>2185</v>
      </c>
      <c r="AZ8" s="924"/>
      <c r="BA8" s="628" t="s">
        <v>338</v>
      </c>
      <c r="BC8" s="866"/>
      <c r="BD8" s="866"/>
      <c r="BE8" s="866"/>
      <c r="BF8" s="924"/>
      <c r="BG8" s="765" t="s">
        <v>301</v>
      </c>
      <c r="BH8" s="765">
        <f>SUM(BI8:CS8)</f>
        <v>0</v>
      </c>
      <c r="BI8" s="707"/>
      <c r="BJ8" s="708">
        <f>COUNTIF(BJ$13:BJ$1048576,"TRUE")</f>
        <v>0</v>
      </c>
      <c r="BK8" s="707"/>
      <c r="BL8" s="708">
        <f>COUNTIF(BL$13:BL$1048576,"TRUE")</f>
        <v>0</v>
      </c>
      <c r="BM8" s="707"/>
      <c r="BN8" s="708">
        <f>COUNTIF(BN$13:BN$1048576,"TRUE")</f>
        <v>0</v>
      </c>
      <c r="BO8" s="707"/>
      <c r="BP8" s="708">
        <f>COUNTIF(BP$13:BP$1048576,"TRUE")</f>
        <v>0</v>
      </c>
      <c r="BQ8" s="707"/>
      <c r="BR8" s="708">
        <f>COUNTIF(BR$13:BR$1048576,"TRUE")</f>
        <v>0</v>
      </c>
      <c r="BS8" s="707"/>
      <c r="BT8" s="708">
        <f>COUNTIF(BT$13:BT$1048576,"TRUE")</f>
        <v>0</v>
      </c>
      <c r="BU8" s="707"/>
      <c r="BV8" s="708">
        <f>COUNTIF(BV$13:BV$1048576,"TRUE")</f>
        <v>0</v>
      </c>
      <c r="BW8" s="707"/>
      <c r="BX8" s="708">
        <f>COUNTIF(BX$13:BX$1048576,"TRUE")</f>
        <v>0</v>
      </c>
      <c r="BY8" s="707"/>
      <c r="BZ8" s="708">
        <f>COUNTIF(BZ$13:BZ$1048576,"TRUE")</f>
        <v>0</v>
      </c>
      <c r="CA8" s="707"/>
      <c r="CB8" s="708">
        <f>COUNTIF(CB$13:CB$1048576,"TRUE")</f>
        <v>0</v>
      </c>
      <c r="CC8" s="707"/>
      <c r="CD8" s="707"/>
      <c r="CE8" s="708">
        <f>COUNTIF(CE$13:CE$1048576,"TRUE")</f>
        <v>0</v>
      </c>
      <c r="CF8" s="707"/>
      <c r="CG8" s="708">
        <f>COUNTIF(CG$13:CG$1048576,"TRUE")</f>
        <v>0</v>
      </c>
      <c r="CH8" s="707"/>
      <c r="CI8" s="708">
        <f>COUNTIF(CI$13:CI$1048576,"TRUE")</f>
        <v>0</v>
      </c>
      <c r="CJ8" s="707"/>
      <c r="CK8" s="708">
        <f>COUNTIF(CK$13:CK$1048576,"TRUE")</f>
        <v>0</v>
      </c>
      <c r="CL8" s="707"/>
      <c r="CM8" s="708">
        <f>COUNTIF(CM$13:CM$1048576,"TRUE")</f>
        <v>0</v>
      </c>
      <c r="CN8" s="707"/>
      <c r="CO8" s="708">
        <f>COUNTIF(CO$13:CO$1048576,"TRUE")</f>
        <v>0</v>
      </c>
      <c r="CP8" s="707"/>
      <c r="CQ8" s="708">
        <f>COUNTIF(CQ$13:CQ$1048576,"TRUE")</f>
        <v>0</v>
      </c>
      <c r="CR8" s="707"/>
      <c r="CS8" s="708">
        <f>COUNTIF(CS$13:CS$1048576,"TRUE")</f>
        <v>0</v>
      </c>
      <c r="CT8" s="707"/>
      <c r="CU8" s="708">
        <f>COUNTIF(CU$13:CU$1048576,"TRUE")</f>
        <v>0</v>
      </c>
      <c r="CV8" s="891"/>
      <c r="CW8" s="810"/>
      <c r="CX8" s="877"/>
      <c r="CY8" s="877"/>
      <c r="CZ8" s="877" t="s">
        <v>139</v>
      </c>
      <c r="DA8" s="877"/>
      <c r="DB8" s="810" t="s">
        <v>139</v>
      </c>
      <c r="DC8" s="878" t="s">
        <v>139</v>
      </c>
      <c r="DD8" s="810" t="s">
        <v>344</v>
      </c>
      <c r="DE8" s="810" t="s">
        <v>344</v>
      </c>
      <c r="DF8" s="810" t="s">
        <v>265</v>
      </c>
      <c r="DG8" s="878" t="s">
        <v>265</v>
      </c>
      <c r="DH8" s="924"/>
    </row>
    <row r="9" spans="1:112" ht="12.75" customHeight="1" x14ac:dyDescent="0.2">
      <c r="A9" s="924"/>
      <c r="B9" s="924"/>
      <c r="C9" s="924"/>
      <c r="E9" s="736" t="s">
        <v>484</v>
      </c>
      <c r="F9" s="924"/>
      <c r="G9" s="924"/>
      <c r="H9" s="924"/>
      <c r="I9" s="737" t="s">
        <v>309</v>
      </c>
      <c r="J9" s="924"/>
      <c r="K9" s="737" t="s">
        <v>309</v>
      </c>
      <c r="L9" s="924"/>
      <c r="M9" s="737" t="s">
        <v>323</v>
      </c>
      <c r="N9" s="924"/>
      <c r="O9" s="737" t="s">
        <v>326</v>
      </c>
      <c r="P9" s="924"/>
      <c r="Q9" s="737" t="s">
        <v>311</v>
      </c>
      <c r="R9" s="924"/>
      <c r="S9" s="628" t="s">
        <v>101</v>
      </c>
      <c r="T9" s="924"/>
      <c r="U9" s="628" t="s">
        <v>314</v>
      </c>
      <c r="V9" s="924"/>
      <c r="W9" s="847" t="s">
        <v>2381</v>
      </c>
      <c r="X9" s="1238"/>
      <c r="Y9" s="847" t="s">
        <v>2381</v>
      </c>
      <c r="Z9" s="924"/>
      <c r="AA9" s="737" t="s">
        <v>316</v>
      </c>
      <c r="AB9" s="737"/>
      <c r="AC9" s="1951" t="s">
        <v>104</v>
      </c>
      <c r="AD9" s="1695"/>
      <c r="AE9" s="1959" t="s">
        <v>2402</v>
      </c>
      <c r="AF9" s="1238"/>
      <c r="AG9" s="620" t="s">
        <v>318</v>
      </c>
      <c r="AH9" s="924"/>
      <c r="AI9" s="736" t="s">
        <v>2173</v>
      </c>
      <c r="AJ9" s="924"/>
      <c r="AK9" s="737" t="s">
        <v>342</v>
      </c>
      <c r="AL9" s="924"/>
      <c r="AM9" s="628" t="s">
        <v>342</v>
      </c>
      <c r="AN9" s="924"/>
      <c r="AO9" s="628" t="s">
        <v>329</v>
      </c>
      <c r="AP9" s="924"/>
      <c r="AQ9" s="737" t="s">
        <v>92</v>
      </c>
      <c r="AR9" s="924"/>
      <c r="AS9" s="737" t="s">
        <v>2174</v>
      </c>
      <c r="AT9" s="924"/>
      <c r="AU9" s="737" t="s">
        <v>2193</v>
      </c>
      <c r="AV9" s="924"/>
      <c r="AW9" s="737" t="s">
        <v>334</v>
      </c>
      <c r="AX9" s="924"/>
      <c r="AY9" s="737" t="s">
        <v>2189</v>
      </c>
      <c r="AZ9" s="924"/>
      <c r="BA9" s="628" t="s">
        <v>339</v>
      </c>
      <c r="BC9" s="866"/>
      <c r="BD9" s="866"/>
      <c r="BE9" s="866"/>
      <c r="BF9" s="924"/>
      <c r="BG9" s="765" t="s">
        <v>302</v>
      </c>
      <c r="BH9" s="765" t="s">
        <v>305</v>
      </c>
      <c r="BI9" s="707"/>
      <c r="BJ9" s="707"/>
      <c r="BK9" s="707"/>
      <c r="BL9" s="707"/>
      <c r="BM9" s="707"/>
      <c r="BN9" s="707"/>
      <c r="BO9" s="707"/>
      <c r="BP9" s="707"/>
      <c r="BQ9" s="707"/>
      <c r="BR9" s="707"/>
      <c r="BS9" s="708" t="str">
        <f>IF(BS7&gt;=1,BS$11,"")</f>
        <v/>
      </c>
      <c r="BT9" s="707"/>
      <c r="BU9" s="708" t="str">
        <f>IF(BU7&gt;=1,BU$11,"")</f>
        <v/>
      </c>
      <c r="BV9" s="707"/>
      <c r="BW9" s="708" t="str">
        <f>IF(BW7&gt;=1,BW$11,"")</f>
        <v/>
      </c>
      <c r="BX9" s="707"/>
      <c r="BY9" s="708" t="str">
        <f>IF(BY7&gt;=1,BY$11,"")</f>
        <v/>
      </c>
      <c r="BZ9" s="707"/>
      <c r="CA9" s="707"/>
      <c r="CB9" s="707"/>
      <c r="CC9" s="708" t="str">
        <f>IF(CC7&gt;=1,CC$11,"")</f>
        <v/>
      </c>
      <c r="CD9" s="708"/>
      <c r="CE9" s="707"/>
      <c r="CF9" s="708" t="str">
        <f>IF(CF7&gt;=1,CF$11,"")</f>
        <v/>
      </c>
      <c r="CG9" s="707"/>
      <c r="CH9" s="708" t="str">
        <f>IF(CH7&gt;=1,CH$11,"")</f>
        <v/>
      </c>
      <c r="CI9" s="707"/>
      <c r="CJ9" s="707"/>
      <c r="CK9" s="707"/>
      <c r="CL9" s="707"/>
      <c r="CM9" s="707"/>
      <c r="CN9" s="707"/>
      <c r="CO9" s="707"/>
      <c r="CP9" s="707"/>
      <c r="CQ9" s="707"/>
      <c r="CR9" s="707"/>
      <c r="CS9" s="707"/>
      <c r="CT9" s="707"/>
      <c r="CU9" s="707"/>
      <c r="CV9" s="929"/>
      <c r="CW9" s="810" t="s">
        <v>95</v>
      </c>
      <c r="CX9" s="877" t="s">
        <v>2167</v>
      </c>
      <c r="CY9" s="877" t="s">
        <v>312</v>
      </c>
      <c r="CZ9" s="877" t="s">
        <v>104</v>
      </c>
      <c r="DA9" s="877" t="s">
        <v>104</v>
      </c>
      <c r="DB9" s="810" t="s">
        <v>104</v>
      </c>
      <c r="DC9" s="878" t="s">
        <v>104</v>
      </c>
      <c r="DD9" s="810" t="s">
        <v>198</v>
      </c>
      <c r="DE9" s="878" t="s">
        <v>198</v>
      </c>
      <c r="DF9" s="810" t="s">
        <v>198</v>
      </c>
      <c r="DG9" s="878" t="s">
        <v>198</v>
      </c>
      <c r="DH9" s="924"/>
    </row>
    <row r="10" spans="1:112" ht="12.75" customHeight="1" x14ac:dyDescent="0.2">
      <c r="A10" s="736" t="s">
        <v>196</v>
      </c>
      <c r="B10" s="924"/>
      <c r="C10" s="736" t="s">
        <v>2625</v>
      </c>
      <c r="E10" s="736" t="s">
        <v>485</v>
      </c>
      <c r="F10" s="924"/>
      <c r="G10" s="924"/>
      <c r="H10" s="924"/>
      <c r="I10" s="737" t="s">
        <v>310</v>
      </c>
      <c r="J10" s="924"/>
      <c r="K10" s="737" t="s">
        <v>312</v>
      </c>
      <c r="L10" s="924"/>
      <c r="M10" s="737" t="s">
        <v>324</v>
      </c>
      <c r="N10" s="924"/>
      <c r="O10" s="737" t="s">
        <v>327</v>
      </c>
      <c r="P10" s="924"/>
      <c r="Q10" s="737" t="s">
        <v>312</v>
      </c>
      <c r="R10" s="924"/>
      <c r="S10" s="628" t="s">
        <v>201</v>
      </c>
      <c r="T10" s="924"/>
      <c r="U10" s="628" t="s">
        <v>315</v>
      </c>
      <c r="V10" s="924"/>
      <c r="W10" s="847" t="s">
        <v>2378</v>
      </c>
      <c r="X10" s="1238"/>
      <c r="Y10" s="847" t="s">
        <v>2378</v>
      </c>
      <c r="Z10" s="924"/>
      <c r="AA10" s="737" t="s">
        <v>317</v>
      </c>
      <c r="AB10" s="737"/>
      <c r="AC10" s="1951" t="s">
        <v>2639</v>
      </c>
      <c r="AD10" s="1695"/>
      <c r="AE10" s="1959" t="s">
        <v>2403</v>
      </c>
      <c r="AF10" s="1238"/>
      <c r="AG10" s="620" t="s">
        <v>201</v>
      </c>
      <c r="AH10" s="924"/>
      <c r="AI10" s="736" t="s">
        <v>320</v>
      </c>
      <c r="AJ10" s="924"/>
      <c r="AK10" s="737" t="s">
        <v>2367</v>
      </c>
      <c r="AL10" s="924"/>
      <c r="AM10" s="628" t="s">
        <v>2367</v>
      </c>
      <c r="AN10" s="924"/>
      <c r="AO10" s="628" t="s">
        <v>201</v>
      </c>
      <c r="AP10" s="924"/>
      <c r="AQ10" s="737" t="s">
        <v>330</v>
      </c>
      <c r="AR10" s="924"/>
      <c r="AS10" s="737" t="s">
        <v>332</v>
      </c>
      <c r="AT10" s="924"/>
      <c r="AU10" s="737" t="s">
        <v>332</v>
      </c>
      <c r="AV10" s="924"/>
      <c r="AW10" s="737" t="s">
        <v>335</v>
      </c>
      <c r="AX10" s="924"/>
      <c r="AY10" s="737" t="s">
        <v>2188</v>
      </c>
      <c r="AZ10" s="924"/>
      <c r="BA10" s="628" t="s">
        <v>2367</v>
      </c>
      <c r="BC10" s="844" t="s">
        <v>140</v>
      </c>
      <c r="BD10" s="844"/>
      <c r="BE10" s="844"/>
      <c r="BG10" s="924"/>
      <c r="BH10" s="765" t="s">
        <v>306</v>
      </c>
      <c r="BI10" s="707"/>
      <c r="BJ10" s="708" t="str">
        <f>IF(BJ8&gt;=1,BJ$11,"")</f>
        <v/>
      </c>
      <c r="BK10" s="707"/>
      <c r="BL10" s="708" t="str">
        <f>IF(BL8&gt;=1,BL$11,"")</f>
        <v/>
      </c>
      <c r="BM10" s="707"/>
      <c r="BN10" s="708" t="str">
        <f>IF(BN8&gt;=1,BN$11,"")</f>
        <v/>
      </c>
      <c r="BO10" s="707"/>
      <c r="BP10" s="708" t="str">
        <f>IF(BP8&gt;=1,BP$11,"")</f>
        <v/>
      </c>
      <c r="BQ10" s="707"/>
      <c r="BR10" s="708" t="str">
        <f>IF(BR8&gt;=1,BR$11,"")</f>
        <v/>
      </c>
      <c r="BS10" s="707"/>
      <c r="BT10" s="708" t="str">
        <f>IF(BT8&gt;=1,BT$11,"")</f>
        <v/>
      </c>
      <c r="BU10" s="707"/>
      <c r="BV10" s="708" t="str">
        <f>IF(BV8&gt;=1,BV$11,"")</f>
        <v/>
      </c>
      <c r="BW10" s="707"/>
      <c r="BX10" s="708" t="str">
        <f>IF(BX8&gt;=1,BX$11,"")</f>
        <v/>
      </c>
      <c r="BY10" s="707"/>
      <c r="BZ10" s="708" t="str">
        <f>IF(BZ8&gt;=1,BZ$11,"")</f>
        <v/>
      </c>
      <c r="CA10" s="707"/>
      <c r="CB10" s="708" t="str">
        <f>IF(CB8&gt;=1,CB$11,"")</f>
        <v/>
      </c>
      <c r="CC10" s="707"/>
      <c r="CD10" s="707"/>
      <c r="CE10" s="708" t="str">
        <f>IF(CE8&gt;=1,CE$11,"")</f>
        <v/>
      </c>
      <c r="CF10" s="707"/>
      <c r="CG10" s="708" t="str">
        <f>IF(CG8&gt;=1,CG$11,"")</f>
        <v/>
      </c>
      <c r="CH10" s="707"/>
      <c r="CI10" s="708" t="str">
        <f>IF(CI8&gt;=1,CI$11,"")</f>
        <v/>
      </c>
      <c r="CJ10" s="707"/>
      <c r="CK10" s="708" t="str">
        <f>IF(CK8&gt;=1,CK$11,"")</f>
        <v/>
      </c>
      <c r="CL10" s="707"/>
      <c r="CM10" s="708" t="str">
        <f>IF(CM8&gt;=1,CM$11,"")</f>
        <v/>
      </c>
      <c r="CN10" s="707"/>
      <c r="CO10" s="708" t="str">
        <f>IF(CO8&gt;=1,CO$11,"")</f>
        <v/>
      </c>
      <c r="CP10" s="707"/>
      <c r="CQ10" s="708" t="str">
        <f>IF(CQ8&gt;=1,CQ$11,"")</f>
        <v/>
      </c>
      <c r="CR10" s="707"/>
      <c r="CS10" s="708" t="str">
        <f>IF(CS8&gt;=1,CS$11,"")</f>
        <v/>
      </c>
      <c r="CT10" s="707"/>
      <c r="CU10" s="708" t="str">
        <f>IF(CU8&gt;=1,CU$11,"")</f>
        <v/>
      </c>
      <c r="CW10" s="879" t="s">
        <v>39</v>
      </c>
      <c r="CX10" s="880" t="s">
        <v>98</v>
      </c>
      <c r="CY10" s="880" t="s">
        <v>2392</v>
      </c>
      <c r="CZ10" s="880" t="s">
        <v>2399</v>
      </c>
      <c r="DA10" s="877" t="s">
        <v>2393</v>
      </c>
      <c r="DB10" s="810" t="s">
        <v>60</v>
      </c>
      <c r="DC10" s="881" t="s">
        <v>61</v>
      </c>
      <c r="DD10" s="810" t="s">
        <v>60</v>
      </c>
      <c r="DE10" s="881" t="s">
        <v>61</v>
      </c>
      <c r="DF10" s="810" t="s">
        <v>60</v>
      </c>
      <c r="DG10" s="881" t="s">
        <v>61</v>
      </c>
    </row>
    <row r="11" spans="1:112" s="916" customFormat="1" ht="9.75" customHeight="1" x14ac:dyDescent="0.2">
      <c r="D11" s="1851"/>
      <c r="S11" s="938"/>
      <c r="U11" s="938"/>
      <c r="AC11" s="1970"/>
      <c r="AE11" s="1982"/>
      <c r="AG11" s="938"/>
      <c r="AM11" s="938"/>
      <c r="AO11" s="938"/>
      <c r="BA11" s="938"/>
      <c r="BG11" s="917"/>
      <c r="BH11" s="1525"/>
      <c r="BI11" s="1526" t="str">
        <f>C2</f>
        <v>c</v>
      </c>
      <c r="BJ11" s="1527" t="str">
        <f>+BI11</f>
        <v>c</v>
      </c>
      <c r="BK11" s="1526" t="str">
        <f>I2</f>
        <v>i</v>
      </c>
      <c r="BL11" s="1527" t="str">
        <f>+BK11</f>
        <v>i</v>
      </c>
      <c r="BM11" s="1526" t="str">
        <f>K2</f>
        <v>k</v>
      </c>
      <c r="BN11" s="1527" t="str">
        <f>+BM11</f>
        <v>k</v>
      </c>
      <c r="BO11" s="1526" t="str">
        <f>M2</f>
        <v>m</v>
      </c>
      <c r="BP11" s="1527" t="str">
        <f>+BO11</f>
        <v>m</v>
      </c>
      <c r="BQ11" s="1526" t="str">
        <f>O2</f>
        <v>o</v>
      </c>
      <c r="BR11" s="1527" t="str">
        <f>+BQ11</f>
        <v>o</v>
      </c>
      <c r="BS11" s="1526" t="str">
        <f>S2</f>
        <v>s</v>
      </c>
      <c r="BT11" s="1527" t="str">
        <f>+BS11</f>
        <v>s</v>
      </c>
      <c r="BU11" s="1526" t="str">
        <f>U2</f>
        <v>u</v>
      </c>
      <c r="BV11" s="1527" t="str">
        <f>+BU11</f>
        <v>u</v>
      </c>
      <c r="BW11" s="1526" t="str">
        <f>AA2</f>
        <v>aa</v>
      </c>
      <c r="BX11" s="1527" t="str">
        <f>+BW11</f>
        <v>aa</v>
      </c>
      <c r="BY11" s="1526" t="str">
        <f>AG2</f>
        <v>ag</v>
      </c>
      <c r="BZ11" s="1527" t="str">
        <f>+BY11</f>
        <v>ag</v>
      </c>
      <c r="CA11" s="1526" t="str">
        <f>AI2</f>
        <v>ai</v>
      </c>
      <c r="CB11" s="1527" t="str">
        <f>+CA11</f>
        <v>ai</v>
      </c>
      <c r="CC11" s="1526" t="str">
        <f>AK2</f>
        <v>ak</v>
      </c>
      <c r="CD11" s="1527"/>
      <c r="CE11" s="1527" t="str">
        <f>+CC11</f>
        <v>ak</v>
      </c>
      <c r="CF11" s="1526" t="str">
        <f>AM2</f>
        <v>am</v>
      </c>
      <c r="CG11" s="1527" t="str">
        <f>+CF11</f>
        <v>am</v>
      </c>
      <c r="CH11" s="1526" t="str">
        <f>AO2</f>
        <v>ao</v>
      </c>
      <c r="CI11" s="1527" t="str">
        <f>+CH11</f>
        <v>ao</v>
      </c>
      <c r="CJ11" s="1526" t="str">
        <f>AQ2</f>
        <v>aq</v>
      </c>
      <c r="CK11" s="1527" t="str">
        <f>+CJ11</f>
        <v>aq</v>
      </c>
      <c r="CL11" s="1526" t="str">
        <f>AS2</f>
        <v>as</v>
      </c>
      <c r="CM11" s="1527" t="str">
        <f>+CL11</f>
        <v>as</v>
      </c>
      <c r="CN11" s="1527" t="s">
        <v>2195</v>
      </c>
      <c r="CO11" s="1527" t="str">
        <f>+CN11</f>
        <v>bh</v>
      </c>
      <c r="CP11" s="1526" t="str">
        <f>AW2</f>
        <v>aw</v>
      </c>
      <c r="CQ11" s="1527" t="str">
        <f>+CP11</f>
        <v>aw</v>
      </c>
      <c r="CR11" s="1526" t="str">
        <f>AY2</f>
        <v>ay</v>
      </c>
      <c r="CS11" s="1527" t="str">
        <f>+CR11</f>
        <v>ay</v>
      </c>
      <c r="CT11" s="1526" t="str">
        <f>BA2</f>
        <v>ba</v>
      </c>
      <c r="CU11" s="1528" t="str">
        <f>+CT11</f>
        <v>ba</v>
      </c>
      <c r="CW11" s="1529"/>
      <c r="CX11" s="1529"/>
      <c r="CY11" s="1529"/>
      <c r="CZ11" s="1529"/>
      <c r="DA11" s="1529"/>
      <c r="DB11" s="1529"/>
      <c r="DC11" s="1529"/>
      <c r="DD11" s="1529"/>
      <c r="DE11" s="1529"/>
      <c r="DF11" s="1529"/>
      <c r="DG11" s="1529"/>
    </row>
    <row r="12" spans="1:112" ht="6.75" customHeight="1" x14ac:dyDescent="0.2">
      <c r="A12" s="1516"/>
      <c r="B12" s="1530">
        <v>0.5</v>
      </c>
      <c r="C12" s="1531"/>
      <c r="D12" s="905"/>
      <c r="E12" s="1531"/>
      <c r="F12" s="1531"/>
      <c r="G12" s="1531"/>
      <c r="H12" s="1531"/>
      <c r="I12" s="1531"/>
      <c r="J12" s="1531"/>
      <c r="K12" s="1531"/>
      <c r="L12" s="1531"/>
      <c r="M12" s="1531"/>
      <c r="N12" s="1531"/>
      <c r="O12" s="1531"/>
      <c r="P12" s="1531"/>
      <c r="Q12" s="1531"/>
      <c r="R12" s="1531"/>
      <c r="S12" s="1532"/>
      <c r="T12" s="1531"/>
      <c r="U12" s="1533"/>
      <c r="V12" s="1531"/>
      <c r="W12" s="1531"/>
      <c r="X12" s="1531"/>
      <c r="Y12" s="1531"/>
      <c r="Z12" s="1531"/>
      <c r="AA12" s="1531"/>
      <c r="AB12" s="1531"/>
      <c r="AC12" s="1971"/>
      <c r="AD12" s="1531"/>
      <c r="AE12" s="1983"/>
      <c r="AF12" s="1531"/>
      <c r="AG12" s="1533"/>
      <c r="AH12" s="1531"/>
      <c r="AI12" s="1531"/>
      <c r="AJ12" s="1531"/>
      <c r="AK12" s="1531"/>
      <c r="AL12" s="1531"/>
      <c r="AM12" s="1533"/>
      <c r="AN12" s="1531"/>
      <c r="AO12" s="1533"/>
      <c r="AP12" s="1531"/>
      <c r="AQ12" s="1531"/>
      <c r="AR12" s="1531"/>
      <c r="AS12" s="1531"/>
      <c r="AT12" s="1531"/>
      <c r="AU12" s="1531"/>
      <c r="AV12" s="1531"/>
      <c r="AW12" s="1531"/>
      <c r="AX12" s="1531"/>
      <c r="AY12" s="1531"/>
      <c r="AZ12" s="1531"/>
      <c r="BA12" s="1533"/>
      <c r="BB12" s="1531"/>
      <c r="BC12" s="1531"/>
      <c r="BD12" s="1531"/>
      <c r="BE12" s="1531"/>
      <c r="BF12" s="1531"/>
      <c r="BG12" s="891"/>
      <c r="BH12" s="711"/>
      <c r="BI12" s="1522"/>
      <c r="BJ12" s="725"/>
      <c r="BK12" s="1522"/>
      <c r="BL12" s="725"/>
      <c r="BM12" s="1522"/>
      <c r="BN12" s="725"/>
      <c r="BO12" s="1522"/>
      <c r="BP12" s="725"/>
      <c r="BQ12" s="1522"/>
      <c r="BR12" s="725"/>
      <c r="BS12" s="1522"/>
      <c r="BT12" s="725"/>
      <c r="BU12" s="1522"/>
      <c r="BV12" s="725"/>
      <c r="BW12" s="1522"/>
      <c r="BX12" s="725"/>
      <c r="BY12" s="1522"/>
      <c r="BZ12" s="725"/>
      <c r="CA12" s="1522"/>
      <c r="CB12" s="725"/>
      <c r="CC12" s="1522"/>
      <c r="CD12" s="725"/>
      <c r="CE12" s="725"/>
      <c r="CF12" s="1522"/>
      <c r="CG12" s="725"/>
      <c r="CH12" s="1522"/>
      <c r="CI12" s="725"/>
      <c r="CJ12" s="1522"/>
      <c r="CK12" s="725"/>
      <c r="CL12" s="1522"/>
      <c r="CM12" s="725"/>
      <c r="CN12" s="725"/>
      <c r="CO12" s="725"/>
      <c r="CP12" s="1522"/>
      <c r="CQ12" s="725"/>
      <c r="CR12" s="1522"/>
      <c r="CS12" s="725"/>
      <c r="CT12" s="1522"/>
      <c r="CU12" s="1523"/>
      <c r="CV12" s="1531"/>
      <c r="CW12" s="1535"/>
      <c r="CX12" s="1535"/>
      <c r="CY12" s="1535"/>
      <c r="CZ12" s="1535"/>
      <c r="DA12" s="1535"/>
      <c r="DB12" s="1535"/>
      <c r="DC12" s="1535"/>
      <c r="DD12" s="1535"/>
      <c r="DE12" s="1535"/>
      <c r="DF12" s="1535"/>
      <c r="DG12" s="1535"/>
      <c r="DH12" s="1531"/>
    </row>
    <row r="13" spans="1:112" s="930" customFormat="1" x14ac:dyDescent="0.2">
      <c r="A13" s="206">
        <v>1</v>
      </c>
      <c r="B13" s="1530">
        <v>1</v>
      </c>
      <c r="C13" s="933"/>
      <c r="D13" s="719" t="str">
        <f>IF((C13=""),"Enter RVI ID. then Fill in Columns "&amp;TEXT($I$2,0)&amp;" - "&amp;TEXT($BA$2,0)&amp;"       ","")</f>
        <v xml:space="preserve">Enter RVI ID. then Fill in Columns i - ba       </v>
      </c>
      <c r="E13" s="1056" t="str">
        <f>IF(BH13="N/A","",BH13)</f>
        <v/>
      </c>
      <c r="F13" s="1536"/>
      <c r="G13" s="1536"/>
      <c r="H13" s="1536"/>
      <c r="I13" s="1023"/>
      <c r="J13" s="1536" t="str">
        <f>IF(E13&lt;&gt;"","Vehicles?    ","")</f>
        <v/>
      </c>
      <c r="K13" s="1023"/>
      <c r="L13" s="1536" t="str">
        <f>IF(E13&lt;&gt;"","Active Vehicles?     ","")</f>
        <v/>
      </c>
      <c r="M13" s="1023"/>
      <c r="N13" s="1536" t="str">
        <f>IF(E13&lt;&gt;"","ADA Vehicles?       ","")</f>
        <v/>
      </c>
      <c r="O13" s="1023"/>
      <c r="P13" s="1536" t="str">
        <f>IF(E13&lt;&gt;"","Cont. Vehicles?     ","")</f>
        <v/>
      </c>
      <c r="Q13" s="1024"/>
      <c r="R13" s="894"/>
      <c r="S13" s="1153"/>
      <c r="T13" s="252" t="str">
        <f>IF(E13&lt;&gt;"","Select from Pull-Down List    ","")</f>
        <v/>
      </c>
      <c r="U13" s="933"/>
      <c r="V13" s="252" t="str">
        <f>IF(E13&lt;&gt;"","Select from Pull-Down List    ","")</f>
        <v/>
      </c>
      <c r="W13" s="1024" t="str">
        <f t="shared" ref="W13:W44" si="0">IFERROR(VLOOKUP($S13,val_rev_vehicles,W$3,FALSE), "")</f>
        <v/>
      </c>
      <c r="X13" s="252"/>
      <c r="Y13" s="1988"/>
      <c r="Z13" s="252" t="str">
        <f t="shared" ref="Z13:Z44" si="1">IF(E13&lt;&gt;"","Service Yrs?    ","")</f>
        <v/>
      </c>
      <c r="AA13" s="139"/>
      <c r="AB13" s="252" t="str">
        <f>IF(E13&lt;&gt;"","Mfg. Yr?    ","")</f>
        <v/>
      </c>
      <c r="AC13" s="1972" t="str">
        <f ca="1">CZ13</f>
        <v/>
      </c>
      <c r="AD13" s="252"/>
      <c r="AE13" s="1984" t="str">
        <f ca="1">DA13</f>
        <v/>
      </c>
      <c r="AF13" s="252"/>
      <c r="AG13" s="933"/>
      <c r="AH13" s="252" t="str">
        <f>IF(E13&lt;&gt;"","Select from Pull-Down List    ","")</f>
        <v/>
      </c>
      <c r="AI13" s="933"/>
      <c r="AJ13" s="252" t="str">
        <f>IF(E13&lt;&gt;"","Number?   ","")</f>
        <v/>
      </c>
      <c r="AK13" s="139"/>
      <c r="AL13" s="252" t="str">
        <f>IF(E13&lt;&gt;"","Last Rnwl. Yr?   ","")</f>
        <v/>
      </c>
      <c r="AM13" s="933"/>
      <c r="AN13" s="252" t="str">
        <f>IF(E13&lt;&gt;"","Select from Pull-Down List    ","")</f>
        <v/>
      </c>
      <c r="AO13" s="933"/>
      <c r="AP13" s="252" t="str">
        <f>IF(E13&lt;&gt;"","Select from Pull-Down List    ","")</f>
        <v/>
      </c>
      <c r="AQ13" s="1023"/>
      <c r="AR13" s="252" t="str">
        <f>IF(E13&lt;&gt;"","Feet?    ","")</f>
        <v/>
      </c>
      <c r="AS13" s="1023"/>
      <c r="AT13" s="252" t="str">
        <f>IF(E13&lt;&gt;"","Seats?    ","")</f>
        <v/>
      </c>
      <c r="AU13" s="1023"/>
      <c r="AV13" s="252" t="str">
        <f>IF(E13&lt;&gt;"","Standing?    ","")</f>
        <v/>
      </c>
      <c r="AW13" s="1023"/>
      <c r="AX13" s="252" t="str">
        <f>IF(E13&lt;&gt;"","Mileage?       ","")</f>
        <v/>
      </c>
      <c r="AY13" s="1023"/>
      <c r="AZ13" s="252" t="str">
        <f>IF(E13&lt;&gt;"","Avg. Lifetime Mileage? ","")</f>
        <v/>
      </c>
      <c r="BA13" s="933"/>
      <c r="BB13" s="252" t="str">
        <f>IF(E13&lt;&gt;"","Select from Pull-Down List    ","")</f>
        <v/>
      </c>
      <c r="BC13" s="171"/>
      <c r="BD13" s="252" t="str">
        <f>IF(OR(AO13="OR - Other fuel (describe in Notes)",AG13="ZZZ - Other (describe in Notes)"),"Describe                                                                                                     ","")</f>
        <v/>
      </c>
      <c r="BE13" s="894"/>
      <c r="BF13" s="894"/>
      <c r="BG13" s="894" t="b">
        <f>IF(AND(C13="",C15&lt;&gt;""),TRUE,FALSE)</f>
        <v>0</v>
      </c>
      <c r="BH13" s="888" t="str">
        <f>IF(AND(C13&lt;&gt;"",OR(I13="",K13="",M13="",O13="",S13="",U13="",AA13="",AG13="",AI13="",AO13="",AQ13="",AS13="",AU13="",AW13="",AY13="")),"No",IF(AND(C13="",OR(I13&lt;&gt;"",K13&lt;&gt;"",M13&lt;&gt;"",O13&lt;&gt;"",S13&lt;&gt;"",U13&lt;&gt;"",AA13&lt;&gt;"",AG13&lt;&gt;"",AI13&lt;&gt;"",AK13&lt;&gt;"",AM13&lt;&gt;"",AO13&lt;&gt;"",AQ13&lt;&gt;"",AS13&lt;&gt;"",AU13&lt;&gt;"",AW13&lt;&gt;"",AY13&lt;&gt;"",BA13&lt;&gt;"",BC13&lt;&gt;"")),"No",IF(AND(C13="",I13="",K13="",M13="",O13="",S13="",U13="",AA13="",AG13="",AI13="",AK13="",AM13="",AO13="",AQ13="",AS13="",AU13="",AW13="",AY13="",BA13=""),"N/A","Yes")))</f>
        <v>N/A</v>
      </c>
      <c r="BI13" s="898"/>
      <c r="BJ13" s="899" t="b">
        <f>IF(AND(OR(I13&lt;&gt;"",K13&lt;&gt;"",M13&lt;&gt;"",O13&lt;&gt;"",S13&lt;&gt;"",U13&lt;&gt;"",AA13&lt;&gt;"",AG13&lt;&gt;"",AI13&lt;&gt;"",AK13&lt;&gt;"",AM13&lt;&gt;"",AO13&lt;&gt;"",AQ13&lt;&gt;"",AS13&lt;&gt;"",AW13&lt;&gt;"",AY13&lt;&gt;"",BA13&lt;&gt;"",BC13&lt;&gt;""),C13=""),TRUE,FALSE)</f>
        <v>0</v>
      </c>
      <c r="BK13" s="898" t="b">
        <f>IF(BL13=TRUE,FALSE,IF(SUM(K13,O13)&gt;I13,TRUE,FALSE))</f>
        <v>0</v>
      </c>
      <c r="BL13" s="899" t="b">
        <f>IF(AND(C13&lt;&gt;"",I13=""),TRUE,FALSE)</f>
        <v>0</v>
      </c>
      <c r="BM13" s="898" t="b">
        <f>IF(BN13=TRUE,FALSE,IF(M13&gt;K13,TRUE,FALSE))</f>
        <v>0</v>
      </c>
      <c r="BN13" s="899" t="b">
        <f>IF(AND($C13&lt;&gt;"",K13=""),TRUE,FALSE)</f>
        <v>0</v>
      </c>
      <c r="BO13" s="898"/>
      <c r="BP13" s="899" t="b">
        <f>IF(AND($C13&lt;&gt;"",M13=""),TRUE,FALSE)</f>
        <v>0</v>
      </c>
      <c r="BQ13" s="898"/>
      <c r="BR13" s="899" t="b">
        <f>IF(AND($C13&lt;&gt;"",O13=""),TRUE,FALSE)</f>
        <v>0</v>
      </c>
      <c r="BS13" s="898" t="b">
        <f>IF(AND(S13="",OR(U13&lt;&gt;"",AA13&lt;&gt;"",AG13&lt;&gt;"",AI13&lt;&gt;"",AK13&lt;&gt;"",AM13&lt;&gt;"",AO13&lt;&gt;"",AQ13&lt;&gt;"",AS13&lt;&gt;"",AU13&lt;&gt;"",AW13&lt;&gt;"",AY13&lt;&gt;"",BA13&lt;&gt;"")),TRUE,FALSE)</f>
        <v>0</v>
      </c>
      <c r="BT13" s="899" t="b">
        <f>IF(AND($C13&lt;&gt;"",S13=""),TRUE,FALSE)</f>
        <v>0</v>
      </c>
      <c r="BU13" s="898"/>
      <c r="BV13" s="899" t="b">
        <f>IF(AND($C13&lt;&gt;"",U13=""),TRUE,FALSE)</f>
        <v>0</v>
      </c>
      <c r="BW13" s="1537" t="b">
        <f>IF(BX13=TRUE,FALSE,IF(AA13="",FALSE,IF(OR(AA13&lt;CX13,AA13&gt;BaseYear),TRUE,FALSE)))</f>
        <v>0</v>
      </c>
      <c r="BX13" s="899" t="b">
        <f>IF(AND($C13&lt;&gt;"",AA13=""),TRUE,FALSE)</f>
        <v>0</v>
      </c>
      <c r="BY13" s="898"/>
      <c r="BZ13" s="899" t="b">
        <f>IF(AND($C13&lt;&gt;"",AG13=""),TRUE,FALSE)</f>
        <v>0</v>
      </c>
      <c r="CA13" s="898"/>
      <c r="CB13" s="899" t="b">
        <f>IF(AND($C13&lt;&gt;"",AI13=""),TRUE,FALSE)</f>
        <v>0</v>
      </c>
      <c r="CC13" s="1537" t="b">
        <f>IF(AK13="",FALSE,IF(OR(AK13&lt;CX13,AK13&gt;BaseYear),TRUE,FALSE))</f>
        <v>0</v>
      </c>
      <c r="CD13" s="1538" t="b">
        <f>IF(AK13="",FALSE,IF(AK13&lt;AA13,TRUE,FALSE))</f>
        <v>0</v>
      </c>
      <c r="CE13" s="899" t="b">
        <f>IF(AND($AM13&lt;&gt;"",AK13=""),TRUE,FALSE)</f>
        <v>0</v>
      </c>
      <c r="CF13" s="898"/>
      <c r="CG13" s="899" t="b">
        <f>IF(AND($AK13&lt;&gt;"",AM13=""),TRUE,FALSE)</f>
        <v>0</v>
      </c>
      <c r="CH13" s="898"/>
      <c r="CI13" s="899" t="b">
        <f>IF(AND($C13&lt;&gt;"",AO13=""),TRUE,FALSE)</f>
        <v>0</v>
      </c>
      <c r="CJ13" s="1537"/>
      <c r="CK13" s="899" t="b">
        <f>IF(AND($C13&lt;&gt;"",AQ13=""),TRUE,FALSE)</f>
        <v>0</v>
      </c>
      <c r="CL13" s="898"/>
      <c r="CM13" s="899" t="b">
        <f>IF(AND($C13&lt;&gt;"",AS13=""),TRUE,FALSE)</f>
        <v>0</v>
      </c>
      <c r="CN13" s="898"/>
      <c r="CO13" s="899" t="b">
        <f>IF(AND($C13&lt;&gt;"",AU13=""),TRUE,FALSE)</f>
        <v>0</v>
      </c>
      <c r="CP13" s="898"/>
      <c r="CQ13" s="899" t="b">
        <f>IF(AND($C13&lt;&gt;"",AW13=""),TRUE,FALSE)</f>
        <v>0</v>
      </c>
      <c r="CR13" s="898"/>
      <c r="CS13" s="899" t="b">
        <f>IF(AND($C13&lt;&gt;"",AY13=""),TRUE,FALSE)</f>
        <v>0</v>
      </c>
      <c r="CT13" s="898"/>
      <c r="CU13" s="898" t="b">
        <f>IF(AND($C13&lt;&gt;"",BA13=""),TRUE,FALSE)</f>
        <v>0</v>
      </c>
      <c r="CV13" s="894"/>
      <c r="CW13" s="898" t="str">
        <f t="shared" ref="CW13:CW44" si="2">IFERROR(VLOOKUP($S13,val_rev_vehicles,CW$3,FALSE),"")</f>
        <v/>
      </c>
      <c r="CX13" s="898" t="str">
        <f>IFERROR(IF(AND(S13="",S13&lt;&gt;""),1913,VLOOKUP(S13,Valid!$B$99:$J$120,9)),"")</f>
        <v/>
      </c>
      <c r="CY13" s="898" t="str">
        <f t="shared" ref="CY13:CY44" ca="1" si="3">IF(AA13="", "", YEAR(TODAY())-AA13)</f>
        <v/>
      </c>
      <c r="CZ13" s="1547" t="str">
        <f ca="1">IF(OR(CY13="", Y13="",Y13=0), "", 1+ (-1*(CY13/Y13)))</f>
        <v/>
      </c>
      <c r="DA13" s="898" t="str">
        <f ca="1">IF(CZ13="", "", IF(1+(CZ13*4)&lt;1, 1, 1+(CZ13*4)))</f>
        <v/>
      </c>
      <c r="DB13" s="898" t="str">
        <f t="shared" ref="DB13:DB44" si="4">IFERROR(VLOOKUP($S13,val_rev_vehicles,DB$3,FALSE), "")</f>
        <v/>
      </c>
      <c r="DC13" s="898" t="str">
        <f t="shared" ref="DC13:DC44" si="5">IFERROR(VLOOKUP($S13,val_rev_vehicles,DC$3,FALSE),"")</f>
        <v/>
      </c>
      <c r="DD13" s="1539" t="str">
        <f>IFERROR(IF(AND(AM13="",C13&lt;&gt;""),Valid!$E$123,VLOOKUP(AM13,Valid!$B$123:$F$125,4,FALSE)),"")</f>
        <v/>
      </c>
      <c r="DE13" s="1539" t="str">
        <f>IFERROR(IF(AND(AM13="",C13&lt;&gt;""),Valid!$F$123,VLOOKUP(AM13,Valid!$B$123:$F$125,5,FALSE)),"")</f>
        <v/>
      </c>
      <c r="DF13" s="1539" t="str">
        <f>IFERROR(VLOOKUP('A-70 RevVehInv'!S13,Valid!$B$99:$I$120,7), "")</f>
        <v/>
      </c>
      <c r="DG13" s="1539" t="str">
        <f>IFERROR(VLOOKUP(S13,Valid!$B$99:$I$120,8), "")</f>
        <v/>
      </c>
      <c r="DH13" s="894"/>
    </row>
    <row r="14" spans="1:112" ht="6.75" customHeight="1" x14ac:dyDescent="0.2">
      <c r="A14" s="1516"/>
      <c r="B14" s="1530">
        <v>1.5</v>
      </c>
      <c r="C14" s="1540"/>
      <c r="D14" s="905"/>
      <c r="E14" s="1541"/>
      <c r="F14" s="905"/>
      <c r="G14" s="905"/>
      <c r="H14" s="905"/>
      <c r="I14" s="1534"/>
      <c r="J14" s="905"/>
      <c r="K14" s="1534"/>
      <c r="L14" s="905"/>
      <c r="M14" s="1534"/>
      <c r="N14" s="905"/>
      <c r="O14" s="1534"/>
      <c r="P14" s="905"/>
      <c r="Q14" s="1534"/>
      <c r="R14" s="1531"/>
      <c r="S14" s="1542"/>
      <c r="T14" s="905"/>
      <c r="U14" s="1542"/>
      <c r="V14" s="905"/>
      <c r="W14" s="1534" t="str">
        <f t="shared" si="0"/>
        <v/>
      </c>
      <c r="X14" s="905"/>
      <c r="Y14" s="1534"/>
      <c r="Z14" s="252" t="str">
        <f t="shared" si="1"/>
        <v/>
      </c>
      <c r="AA14" s="1534"/>
      <c r="AB14" s="905"/>
      <c r="AC14" s="1973" t="str">
        <f t="shared" ref="AC14:AC45" si="6">IFERROR(VLOOKUP($S14,val_rev_vehicles,AC$3,FALSE), "")</f>
        <v/>
      </c>
      <c r="AD14" s="905"/>
      <c r="AE14" s="1985" t="str">
        <f t="shared" ref="AE14:AE45" si="7">IFERROR(VLOOKUP($S14,val_rev_vehicles,AE$3,FALSE), "")</f>
        <v/>
      </c>
      <c r="AF14" s="905"/>
      <c r="AG14" s="1543"/>
      <c r="AH14" s="1531"/>
      <c r="AI14" s="1534"/>
      <c r="AJ14" s="1531"/>
      <c r="AK14" s="1534"/>
      <c r="AL14" s="1531"/>
      <c r="AM14" s="1543"/>
      <c r="AN14" s="1531"/>
      <c r="AO14" s="1543"/>
      <c r="AP14" s="1531"/>
      <c r="AQ14" s="1534"/>
      <c r="AR14" s="1531"/>
      <c r="AS14" s="1534"/>
      <c r="AT14" s="1531"/>
      <c r="AU14" s="1534"/>
      <c r="AV14" s="1531"/>
      <c r="AW14" s="1534"/>
      <c r="AX14" s="1531"/>
      <c r="AY14" s="1534"/>
      <c r="AZ14" s="1531"/>
      <c r="BA14" s="1543"/>
      <c r="BB14" s="1531"/>
      <c r="BC14" s="1534"/>
      <c r="BD14" s="1531"/>
      <c r="BE14" s="1531"/>
      <c r="BF14" s="1531"/>
      <c r="BG14" s="1531"/>
      <c r="BH14" s="1531"/>
      <c r="BI14" s="1535"/>
      <c r="BJ14" s="1534"/>
      <c r="BK14" s="1535"/>
      <c r="BL14" s="1534"/>
      <c r="BM14" s="1535"/>
      <c r="BN14" s="1534"/>
      <c r="BO14" s="1535"/>
      <c r="BP14" s="1534"/>
      <c r="BQ14" s="1535"/>
      <c r="BR14" s="1534"/>
      <c r="BS14" s="1535"/>
      <c r="BT14" s="1534"/>
      <c r="BU14" s="1535"/>
      <c r="BV14" s="1534"/>
      <c r="BW14" s="1535"/>
      <c r="BX14" s="1534"/>
      <c r="BY14" s="1535"/>
      <c r="BZ14" s="1534"/>
      <c r="CA14" s="1535"/>
      <c r="CB14" s="1534"/>
      <c r="CC14" s="1535"/>
      <c r="CD14" s="1534"/>
      <c r="CE14" s="1534"/>
      <c r="CF14" s="1535"/>
      <c r="CG14" s="1534"/>
      <c r="CH14" s="1535"/>
      <c r="CI14" s="1534"/>
      <c r="CJ14" s="1535"/>
      <c r="CK14" s="1534"/>
      <c r="CL14" s="1535"/>
      <c r="CM14" s="1534"/>
      <c r="CN14" s="1535"/>
      <c r="CO14" s="1534"/>
      <c r="CP14" s="1535"/>
      <c r="CQ14" s="1534"/>
      <c r="CR14" s="1535"/>
      <c r="CS14" s="1534"/>
      <c r="CT14" s="1535"/>
      <c r="CU14" s="1535"/>
      <c r="CV14" s="1531"/>
      <c r="CW14" s="898" t="str">
        <f t="shared" si="2"/>
        <v/>
      </c>
      <c r="CX14" s="898" t="str">
        <f>IFERROR(IF(AND(S14="",S14&lt;&gt;""),1913,VLOOKUP(S14,Valid!$B$99:$J$120,9)),"")</f>
        <v/>
      </c>
      <c r="CY14" s="898" t="str">
        <f t="shared" ca="1" si="3"/>
        <v/>
      </c>
      <c r="CZ14" s="1547" t="str">
        <f t="shared" ref="CZ14:CZ45" ca="1" si="8">IF(OR(CY14="", W14="",W14=0), "", 1+ (-1*(CY14/W14)))</f>
        <v/>
      </c>
      <c r="DA14" s="898"/>
      <c r="DB14" s="898" t="str">
        <f t="shared" si="4"/>
        <v/>
      </c>
      <c r="DC14" s="898" t="str">
        <f t="shared" si="5"/>
        <v/>
      </c>
      <c r="DD14" s="1539" t="str">
        <f>IFERROR(IF(AND(AM14="",C14&lt;&gt;""),Valid!$E$123,VLOOKUP(AM14,Valid!$B$123:$F$125,4,FALSE)),"")</f>
        <v/>
      </c>
      <c r="DE14" s="1539" t="str">
        <f>IFERROR(IF(AND(AM14="",C14&lt;&gt;""),Valid!$F$123,VLOOKUP(AM14,Valid!$B$123:$F$125,5,FALSE)),"")</f>
        <v/>
      </c>
      <c r="DF14" s="1539" t="str">
        <f>IFERROR(VLOOKUP('A-70 RevVehInv'!S14,Valid!$B$99:$I$120,7), "")</f>
        <v/>
      </c>
      <c r="DG14" s="1539" t="str">
        <f>IFERROR(VLOOKUP(S14,Valid!$B$99:$I$120,8), "")</f>
        <v/>
      </c>
      <c r="DH14" s="1531"/>
    </row>
    <row r="15" spans="1:112" s="930" customFormat="1" x14ac:dyDescent="0.2">
      <c r="A15" s="206">
        <v>2</v>
      </c>
      <c r="B15" s="1530">
        <v>2</v>
      </c>
      <c r="C15" s="933"/>
      <c r="D15" s="719" t="str">
        <f>IF(C13="","",IF((C15=""),"Enter RVI ID. then Fill in Columns "&amp;TEXT($I$2,0)&amp;" - "&amp;TEXT($BA$2,0)&amp;"       ",""))</f>
        <v/>
      </c>
      <c r="E15" s="1056" t="str">
        <f>IF(BH15="N/A","",BH15)</f>
        <v/>
      </c>
      <c r="F15" s="1536"/>
      <c r="G15" s="1536"/>
      <c r="H15" s="1536"/>
      <c r="I15" s="1023"/>
      <c r="J15" s="1536" t="str">
        <f>IF(E15&lt;&gt;"","Vehicles?    ","")</f>
        <v/>
      </c>
      <c r="K15" s="1023"/>
      <c r="L15" s="1536" t="str">
        <f>IF(E15&lt;&gt;"","Active Vehicles?     ","")</f>
        <v/>
      </c>
      <c r="M15" s="1023"/>
      <c r="N15" s="1536" t="str">
        <f>IF(E15&lt;&gt;"","ADA Vehicles?       ","")</f>
        <v/>
      </c>
      <c r="O15" s="1023"/>
      <c r="P15" s="1536" t="str">
        <f>IF(E15&lt;&gt;"","Cont. Vehicles?     ","")</f>
        <v/>
      </c>
      <c r="Q15" s="1024"/>
      <c r="R15" s="894"/>
      <c r="S15" s="1153"/>
      <c r="T15" s="252" t="str">
        <f>IF(E15&lt;&gt;"","Select from Pull-Down List    ","")</f>
        <v/>
      </c>
      <c r="U15" s="933"/>
      <c r="V15" s="252" t="str">
        <f>IF(E15&lt;&gt;"","Select from Pull-Down List    ","")</f>
        <v/>
      </c>
      <c r="W15" s="1024" t="str">
        <f t="shared" si="0"/>
        <v/>
      </c>
      <c r="X15" s="252"/>
      <c r="Y15" s="1988"/>
      <c r="Z15" s="252" t="str">
        <f t="shared" si="1"/>
        <v/>
      </c>
      <c r="AA15" s="139"/>
      <c r="AB15" s="252" t="str">
        <f>IF(E15&lt;&gt;"","Mfg. Yr?    ","")</f>
        <v/>
      </c>
      <c r="AC15" s="1972" t="str">
        <f t="shared" si="6"/>
        <v/>
      </c>
      <c r="AD15" s="252"/>
      <c r="AE15" s="1984" t="str">
        <f t="shared" si="7"/>
        <v/>
      </c>
      <c r="AF15" s="252"/>
      <c r="AG15" s="933"/>
      <c r="AH15" s="252" t="str">
        <f>IF(E15&lt;&gt;"","Select from Pull-Down List    ","")</f>
        <v/>
      </c>
      <c r="AI15" s="933"/>
      <c r="AJ15" s="252" t="str">
        <f>IF(E15&lt;&gt;"","Number?   ","")</f>
        <v/>
      </c>
      <c r="AK15" s="139"/>
      <c r="AL15" s="252" t="str">
        <f>IF(E15&lt;&gt;"","Last Rnwl. Yr?   ","")</f>
        <v/>
      </c>
      <c r="AM15" s="933"/>
      <c r="AN15" s="252" t="str">
        <f>IF(E15&lt;&gt;"","Select from Pull-Down List    ","")</f>
        <v/>
      </c>
      <c r="AO15" s="933"/>
      <c r="AP15" s="252" t="str">
        <f>IF(E15&lt;&gt;"","Select from Pull-Down List    ","")</f>
        <v/>
      </c>
      <c r="AQ15" s="1023"/>
      <c r="AR15" s="252" t="str">
        <f>IF(E15&lt;&gt;"","Feet?    ","")</f>
        <v/>
      </c>
      <c r="AS15" s="1023"/>
      <c r="AT15" s="252" t="str">
        <f>IF(E15&lt;&gt;"","Seats?    ","")</f>
        <v/>
      </c>
      <c r="AU15" s="1023"/>
      <c r="AV15" s="252" t="str">
        <f>IF(E15&lt;&gt;"","Standing?    ","")</f>
        <v/>
      </c>
      <c r="AW15" s="1023"/>
      <c r="AX15" s="252" t="str">
        <f>IF(E15&lt;&gt;"","Mileage?       ","")</f>
        <v/>
      </c>
      <c r="AY15" s="1023"/>
      <c r="AZ15" s="252" t="str">
        <f>IF(E15&lt;&gt;"","Avg. Lifetime Mileage? ","")</f>
        <v/>
      </c>
      <c r="BA15" s="933"/>
      <c r="BB15" s="252" t="str">
        <f>IF(E15&lt;&gt;"","Select from Pull-Down List    ","")</f>
        <v/>
      </c>
      <c r="BC15" s="171"/>
      <c r="BD15" s="252" t="str">
        <f>IF(OR(AO15="OR - Other fuel (describe in Notes)",AG15="ZZZ - Other (describe in Notes)"),"Describe                                                                                                     ","")</f>
        <v/>
      </c>
      <c r="BE15" s="894"/>
      <c r="BF15" s="894"/>
      <c r="BG15" s="894" t="b">
        <f>IF(AND(C15="",C17&lt;&gt;""),TRUE,FALSE)</f>
        <v>0</v>
      </c>
      <c r="BH15" s="888" t="str">
        <f>IF(AND(C15&lt;&gt;"",OR(I15="",K15="",M15="",O15="",S15="",U15="",AA15="",AG15="",AI15="",AO15="",AQ15="",AS15="",AU15="",AW15="",AY15="")),"No",IF(AND(C15="",OR(I15&lt;&gt;"",K15&lt;&gt;"",M15&lt;&gt;"",O15&lt;&gt;"",S15&lt;&gt;"",U15&lt;&gt;"",AA15&lt;&gt;"",AG15&lt;&gt;"",AI15&lt;&gt;"",AK15&lt;&gt;"",AM15&lt;&gt;"",AO15&lt;&gt;"",AQ15&lt;&gt;"",AS15&lt;&gt;"",AU15&lt;&gt;"",AW15&lt;&gt;"",AY15&lt;&gt;"",BA15&lt;&gt;"",BC15&lt;&gt;"")),"No",IF(AND(C15="",I15="",K15="",M15="",O15="",S15="",U15="",AA15="",AG15="",AI15="",AK15="",AM15="",AO15="",AQ15="",AS15="",AU15="",AW15="",AY15="",BA15=""),"N/A","Yes")))</f>
        <v>N/A</v>
      </c>
      <c r="BI15" s="898"/>
      <c r="BJ15" s="899" t="b">
        <f>IF(AND(OR(I15&lt;&gt;"",K15&lt;&gt;"",M15&lt;&gt;"",O15&lt;&gt;"",S15&lt;&gt;"",U15&lt;&gt;"",AA15&lt;&gt;"",AG15&lt;&gt;"",AI15&lt;&gt;"",AK15&lt;&gt;"",AM15&lt;&gt;"",AO15&lt;&gt;"",AQ15&lt;&gt;"",AS15&lt;&gt;"",AW15&lt;&gt;"",AY15&lt;&gt;"",BA15&lt;&gt;"",BC15&lt;&gt;""),C15=""),TRUE,FALSE)</f>
        <v>0</v>
      </c>
      <c r="BK15" s="898" t="b">
        <f>IF(BL15=TRUE,FALSE,IF(SUM(K15,O15)&gt;I15,TRUE,FALSE))</f>
        <v>0</v>
      </c>
      <c r="BL15" s="899" t="b">
        <f>IF(AND(C15&lt;&gt;"",I15=""),TRUE,FALSE)</f>
        <v>0</v>
      </c>
      <c r="BM15" s="898" t="b">
        <f>IF(BN15=TRUE,FALSE,IF(M15&gt;K15,TRUE,FALSE))</f>
        <v>0</v>
      </c>
      <c r="BN15" s="899" t="b">
        <f>IF(AND($C15&lt;&gt;"",K15=""),TRUE,FALSE)</f>
        <v>0</v>
      </c>
      <c r="BO15" s="898"/>
      <c r="BP15" s="899" t="b">
        <f>IF(AND($C15&lt;&gt;"",M15=""),TRUE,FALSE)</f>
        <v>0</v>
      </c>
      <c r="BQ15" s="898"/>
      <c r="BR15" s="899" t="b">
        <f>IF(AND($C15&lt;&gt;"",O15=""),TRUE,FALSE)</f>
        <v>0</v>
      </c>
      <c r="BS15" s="898" t="b">
        <f>IF(AND(S15="",OR(U15&lt;&gt;"",AA15&lt;&gt;"",AG15&lt;&gt;"",AI15&lt;&gt;"",AK15&lt;&gt;"",AM15&lt;&gt;"",AO15&lt;&gt;"",AQ15&lt;&gt;"",AS15&lt;&gt;"",AU15&lt;&gt;"",AW15&lt;&gt;"",AY15&lt;&gt;"",BA15&lt;&gt;"")),TRUE,FALSE)</f>
        <v>0</v>
      </c>
      <c r="BT15" s="899" t="b">
        <f>IF(AND($C15&lt;&gt;"",S15=""),TRUE,FALSE)</f>
        <v>0</v>
      </c>
      <c r="BU15" s="898"/>
      <c r="BV15" s="899" t="b">
        <f>IF(AND($C15&lt;&gt;"",U15=""),TRUE,FALSE)</f>
        <v>0</v>
      </c>
      <c r="BW15" s="1537" t="b">
        <f>IF(BX15=TRUE,FALSE,IF(AA15="",FALSE,IF(OR(AA15&lt;CX15,AA15&gt;BaseYear),TRUE,FALSE)))</f>
        <v>0</v>
      </c>
      <c r="BX15" s="899" t="b">
        <f>IF(AND($C15&lt;&gt;"",AA15=""),TRUE,FALSE)</f>
        <v>0</v>
      </c>
      <c r="BY15" s="898"/>
      <c r="BZ15" s="899" t="b">
        <f>IF(AND($C15&lt;&gt;"",AG15=""),TRUE,FALSE)</f>
        <v>0</v>
      </c>
      <c r="CA15" s="898"/>
      <c r="CB15" s="899" t="b">
        <f>IF(AND($C15&lt;&gt;"",AI15=""),TRUE,FALSE)</f>
        <v>0</v>
      </c>
      <c r="CC15" s="1537" t="b">
        <f>IF(AK15="",FALSE,IF(OR(AK15&lt;CX15,AK15&gt;BaseYear),TRUE,FALSE))</f>
        <v>0</v>
      </c>
      <c r="CD15" s="1538" t="b">
        <f>IF(AK15="",FALSE,IF(AK15&lt;AA15,TRUE,FALSE))</f>
        <v>0</v>
      </c>
      <c r="CE15" s="899" t="b">
        <f>IF(AND($AM15&lt;&gt;"",AK15=""),TRUE,FALSE)</f>
        <v>0</v>
      </c>
      <c r="CF15" s="898"/>
      <c r="CG15" s="899" t="b">
        <f>IF(AND($AK15&lt;&gt;"",AM15=""),TRUE,FALSE)</f>
        <v>0</v>
      </c>
      <c r="CH15" s="898"/>
      <c r="CI15" s="899" t="b">
        <f>IF(AND($C15&lt;&gt;"",AO15=""),TRUE,FALSE)</f>
        <v>0</v>
      </c>
      <c r="CJ15" s="1537"/>
      <c r="CK15" s="899" t="b">
        <f>IF(AND($C15&lt;&gt;"",AQ15=""),TRUE,FALSE)</f>
        <v>0</v>
      </c>
      <c r="CL15" s="898"/>
      <c r="CM15" s="899" t="b">
        <f>IF(AND($C15&lt;&gt;"",AS15=""),TRUE,FALSE)</f>
        <v>0</v>
      </c>
      <c r="CN15" s="898"/>
      <c r="CO15" s="899" t="b">
        <f>IF(AND($C15&lt;&gt;"",AU15=""),TRUE,FALSE)</f>
        <v>0</v>
      </c>
      <c r="CP15" s="898"/>
      <c r="CQ15" s="899" t="b">
        <f>IF(AND($C15&lt;&gt;"",AW15=""),TRUE,FALSE)</f>
        <v>0</v>
      </c>
      <c r="CR15" s="898"/>
      <c r="CS15" s="899" t="b">
        <f>IF(AND($C15&lt;&gt;"",AY15=""),TRUE,FALSE)</f>
        <v>0</v>
      </c>
      <c r="CT15" s="898"/>
      <c r="CU15" s="898" t="b">
        <f>IF(AND($C15&lt;&gt;"",BA15=""),TRUE,FALSE)</f>
        <v>0</v>
      </c>
      <c r="CV15" s="894"/>
      <c r="CW15" s="898" t="str">
        <f t="shared" si="2"/>
        <v/>
      </c>
      <c r="CX15" s="898" t="str">
        <f>IFERROR(IF(AND(S15="",S15&lt;&gt;""),1913,VLOOKUP(S15,Valid!$B$99:$J$120,9)),"")</f>
        <v/>
      </c>
      <c r="CY15" s="898" t="str">
        <f t="shared" ca="1" si="3"/>
        <v/>
      </c>
      <c r="CZ15" s="1547" t="str">
        <f t="shared" ca="1" si="8"/>
        <v/>
      </c>
      <c r="DA15" s="898" t="str">
        <f ca="1">IF(CZ15="", "", IF(1+(CZ15*4)&lt;1, 1, 1+(CZ15*4)))</f>
        <v/>
      </c>
      <c r="DB15" s="898" t="str">
        <f t="shared" si="4"/>
        <v/>
      </c>
      <c r="DC15" s="898" t="str">
        <f t="shared" si="5"/>
        <v/>
      </c>
      <c r="DD15" s="1539" t="str">
        <f>IFERROR(IF(AND(AM15="",C15&lt;&gt;""),Valid!$E$123,VLOOKUP(AM15,Valid!$B$123:$F$125,4,FALSE)),"")</f>
        <v/>
      </c>
      <c r="DE15" s="1539" t="str">
        <f>IFERROR(IF(AND(AM15="",C15&lt;&gt;""),Valid!$F$123,VLOOKUP(AM15,Valid!$B$123:$F$125,5,FALSE)),"")</f>
        <v/>
      </c>
      <c r="DF15" s="1539" t="str">
        <f>IFERROR(VLOOKUP('A-70 RevVehInv'!S15,Valid!$B$99:$I$120,7), "")</f>
        <v/>
      </c>
      <c r="DG15" s="1539" t="str">
        <f>IFERROR(VLOOKUP(S15,Valid!$B$99:$I$120,8), "")</f>
        <v/>
      </c>
      <c r="DH15" s="894"/>
    </row>
    <row r="16" spans="1:112" ht="6.75" customHeight="1" x14ac:dyDescent="0.2">
      <c r="A16" s="1516"/>
      <c r="B16" s="1530">
        <v>2.5</v>
      </c>
      <c r="C16" s="1544"/>
      <c r="D16" s="905"/>
      <c r="E16" s="1545"/>
      <c r="F16" s="905"/>
      <c r="G16" s="905"/>
      <c r="H16" s="905"/>
      <c r="I16" s="1531"/>
      <c r="J16" s="905"/>
      <c r="K16" s="1531"/>
      <c r="L16" s="905"/>
      <c r="M16" s="1531"/>
      <c r="N16" s="905"/>
      <c r="O16" s="1531"/>
      <c r="P16" s="905"/>
      <c r="Q16" s="1531"/>
      <c r="R16" s="1531"/>
      <c r="S16" s="1533"/>
      <c r="T16" s="905"/>
      <c r="U16" s="1533"/>
      <c r="V16" s="905"/>
      <c r="W16" s="1531" t="str">
        <f t="shared" si="0"/>
        <v/>
      </c>
      <c r="X16" s="905"/>
      <c r="Y16" s="1531"/>
      <c r="Z16" s="252" t="str">
        <f t="shared" si="1"/>
        <v/>
      </c>
      <c r="AA16" s="1531"/>
      <c r="AB16" s="905"/>
      <c r="AC16" s="1971" t="str">
        <f t="shared" si="6"/>
        <v/>
      </c>
      <c r="AD16" s="905"/>
      <c r="AE16" s="1983" t="str">
        <f t="shared" si="7"/>
        <v/>
      </c>
      <c r="AF16" s="905"/>
      <c r="AG16" s="1546"/>
      <c r="AH16" s="1531"/>
      <c r="AI16" s="1531"/>
      <c r="AJ16" s="1531"/>
      <c r="AK16" s="1531"/>
      <c r="AL16" s="1531"/>
      <c r="AM16" s="1546"/>
      <c r="AN16" s="1531"/>
      <c r="AO16" s="1546"/>
      <c r="AP16" s="1531"/>
      <c r="AQ16" s="1531"/>
      <c r="AR16" s="1531"/>
      <c r="AS16" s="1531"/>
      <c r="AT16" s="1531"/>
      <c r="AU16" s="1531"/>
      <c r="AV16" s="1531"/>
      <c r="AW16" s="1531"/>
      <c r="AX16" s="1531"/>
      <c r="AY16" s="1531"/>
      <c r="AZ16" s="1531"/>
      <c r="BA16" s="1546"/>
      <c r="BB16" s="1531"/>
      <c r="BC16" s="1531"/>
      <c r="BD16" s="1531"/>
      <c r="BE16" s="1531"/>
      <c r="BF16" s="1531"/>
      <c r="BG16" s="1531"/>
      <c r="BH16" s="1531"/>
      <c r="BI16" s="1535"/>
      <c r="BJ16" s="1534"/>
      <c r="BK16" s="1535"/>
      <c r="BL16" s="1534"/>
      <c r="BM16" s="1535"/>
      <c r="BN16" s="1534"/>
      <c r="BO16" s="1535"/>
      <c r="BP16" s="1534"/>
      <c r="BQ16" s="1535"/>
      <c r="BR16" s="1534"/>
      <c r="BS16" s="1535"/>
      <c r="BT16" s="1534"/>
      <c r="BU16" s="1535"/>
      <c r="BV16" s="1534"/>
      <c r="BW16" s="1535"/>
      <c r="BX16" s="1534"/>
      <c r="BY16" s="1535"/>
      <c r="BZ16" s="1534"/>
      <c r="CA16" s="1535"/>
      <c r="CB16" s="1534"/>
      <c r="CC16" s="1535"/>
      <c r="CD16" s="1534"/>
      <c r="CE16" s="1534"/>
      <c r="CF16" s="1535"/>
      <c r="CG16" s="1534"/>
      <c r="CH16" s="1535"/>
      <c r="CI16" s="1534"/>
      <c r="CJ16" s="1535"/>
      <c r="CK16" s="1534"/>
      <c r="CL16" s="1535"/>
      <c r="CM16" s="1534"/>
      <c r="CN16" s="1535"/>
      <c r="CO16" s="1534"/>
      <c r="CP16" s="1535"/>
      <c r="CQ16" s="1534"/>
      <c r="CR16" s="1535"/>
      <c r="CS16" s="1534"/>
      <c r="CT16" s="1535"/>
      <c r="CU16" s="1535"/>
      <c r="CV16" s="1531"/>
      <c r="CW16" s="898" t="str">
        <f t="shared" si="2"/>
        <v/>
      </c>
      <c r="CX16" s="898" t="str">
        <f>IFERROR(IF(AND(S16="",S16&lt;&gt;""),1913,VLOOKUP(S16,Valid!$B$99:$J$120,9)),"")</f>
        <v/>
      </c>
      <c r="CY16" s="898" t="str">
        <f t="shared" ca="1" si="3"/>
        <v/>
      </c>
      <c r="CZ16" s="1547" t="str">
        <f t="shared" ca="1" si="8"/>
        <v/>
      </c>
      <c r="DA16" s="898"/>
      <c r="DB16" s="898" t="str">
        <f t="shared" si="4"/>
        <v/>
      </c>
      <c r="DC16" s="898" t="str">
        <f t="shared" si="5"/>
        <v/>
      </c>
      <c r="DD16" s="1539" t="str">
        <f>IFERROR(IF(AND(AM16="",C16&lt;&gt;""),Valid!$E$123,VLOOKUP(AM16,Valid!$B$123:$F$125,4,FALSE)),"")</f>
        <v/>
      </c>
      <c r="DE16" s="1539" t="str">
        <f>IFERROR(IF(AND(AM16="",C16&lt;&gt;""),Valid!$F$123,VLOOKUP(AM16,Valid!$B$123:$F$125,5,FALSE)),"")</f>
        <v/>
      </c>
      <c r="DF16" s="1539" t="str">
        <f>IFERROR(VLOOKUP('A-70 RevVehInv'!S16,Valid!$B$99:$I$120,7), "")</f>
        <v/>
      </c>
      <c r="DG16" s="1539" t="str">
        <f>IFERROR(VLOOKUP(S16,Valid!$B$99:$I$120,8), "")</f>
        <v/>
      </c>
      <c r="DH16" s="1531"/>
    </row>
    <row r="17" spans="1:112" s="930" customFormat="1" x14ac:dyDescent="0.2">
      <c r="A17" s="206">
        <v>3</v>
      </c>
      <c r="B17" s="1530">
        <v>3</v>
      </c>
      <c r="C17" s="933"/>
      <c r="D17" s="719" t="str">
        <f>IF(C15="","",IF((C17=""),"Enter RVI ID. then Fill in Columns "&amp;TEXT($I$2,0)&amp;" - "&amp;TEXT($BA$2,0)&amp;"       ",""))</f>
        <v/>
      </c>
      <c r="E17" s="1056" t="str">
        <f>IF(BH17="N/A","",BH17)</f>
        <v/>
      </c>
      <c r="F17" s="1536"/>
      <c r="G17" s="1536"/>
      <c r="H17" s="1536"/>
      <c r="I17" s="1023"/>
      <c r="J17" s="1536" t="str">
        <f>IF(E17&lt;&gt;"","Vehicles?    ","")</f>
        <v/>
      </c>
      <c r="K17" s="1023"/>
      <c r="L17" s="1536" t="str">
        <f>IF(E17&lt;&gt;"","Active Vehicles?     ","")</f>
        <v/>
      </c>
      <c r="M17" s="1023"/>
      <c r="N17" s="1536" t="str">
        <f>IF(E17&lt;&gt;"","ADA Vehicles?       ","")</f>
        <v/>
      </c>
      <c r="O17" s="1023"/>
      <c r="P17" s="1536" t="str">
        <f>IF(E17&lt;&gt;"","Cont. Vehicles?     ","")</f>
        <v/>
      </c>
      <c r="Q17" s="1024"/>
      <c r="R17" s="894"/>
      <c r="S17" s="1153"/>
      <c r="T17" s="252" t="str">
        <f>IF(E17&lt;&gt;"","Select from Pull-Down List    ","")</f>
        <v/>
      </c>
      <c r="U17" s="933"/>
      <c r="V17" s="252" t="str">
        <f>IF(E17&lt;&gt;"","Select from Pull-Down List    ","")</f>
        <v/>
      </c>
      <c r="W17" s="1024" t="str">
        <f t="shared" si="0"/>
        <v/>
      </c>
      <c r="X17" s="252"/>
      <c r="Y17" s="1988"/>
      <c r="Z17" s="252" t="str">
        <f t="shared" si="1"/>
        <v/>
      </c>
      <c r="AA17" s="139"/>
      <c r="AB17" s="252" t="str">
        <f>IF(E17&lt;&gt;"","Mfg. Yr?    ","")</f>
        <v/>
      </c>
      <c r="AC17" s="1972" t="str">
        <f t="shared" si="6"/>
        <v/>
      </c>
      <c r="AD17" s="252"/>
      <c r="AE17" s="1984" t="str">
        <f t="shared" si="7"/>
        <v/>
      </c>
      <c r="AF17" s="252"/>
      <c r="AG17" s="933"/>
      <c r="AH17" s="252" t="str">
        <f>IF(E17&lt;&gt;"","Select from Pull-Down List    ","")</f>
        <v/>
      </c>
      <c r="AI17" s="933"/>
      <c r="AJ17" s="252" t="str">
        <f>IF(E17&lt;&gt;"","Number?   ","")</f>
        <v/>
      </c>
      <c r="AK17" s="139"/>
      <c r="AL17" s="252" t="str">
        <f>IF(E17&lt;&gt;"","Last Rnwl. Yr?   ","")</f>
        <v/>
      </c>
      <c r="AM17" s="933"/>
      <c r="AN17" s="252" t="str">
        <f>IF(E17&lt;&gt;"","Select from Pull-Down List    ","")</f>
        <v/>
      </c>
      <c r="AO17" s="933"/>
      <c r="AP17" s="252" t="str">
        <f>IF(E17&lt;&gt;"","Select from Pull-Down List    ","")</f>
        <v/>
      </c>
      <c r="AQ17" s="1023"/>
      <c r="AR17" s="252" t="str">
        <f>IF(E17&lt;&gt;"","Feet?    ","")</f>
        <v/>
      </c>
      <c r="AS17" s="1023"/>
      <c r="AT17" s="252" t="str">
        <f>IF(E17&lt;&gt;"","Seats?    ","")</f>
        <v/>
      </c>
      <c r="AU17" s="1023"/>
      <c r="AV17" s="252" t="str">
        <f>IF(E17&lt;&gt;"","Standing?    ","")</f>
        <v/>
      </c>
      <c r="AW17" s="1023"/>
      <c r="AX17" s="252" t="str">
        <f>IF(E17&lt;&gt;"","Mileage?       ","")</f>
        <v/>
      </c>
      <c r="AY17" s="1023"/>
      <c r="AZ17" s="252" t="str">
        <f>IF(E17&lt;&gt;"","Avg. Lifetime Mileage? ","")</f>
        <v/>
      </c>
      <c r="BA17" s="933"/>
      <c r="BB17" s="252" t="str">
        <f>IF(E17&lt;&gt;"","Select from Pull-Down List    ","")</f>
        <v/>
      </c>
      <c r="BC17" s="171"/>
      <c r="BD17" s="252" t="str">
        <f>IF(OR(AO17="OR - Other fuel (describe in Notes)",AG17="ZZZ - Other (describe in Notes)"),"Describe                                                                                                     ","")</f>
        <v/>
      </c>
      <c r="BE17" s="894"/>
      <c r="BF17" s="894"/>
      <c r="BG17" s="894" t="b">
        <f>IF(AND(C17="",C19&lt;&gt;""),TRUE,FALSE)</f>
        <v>0</v>
      </c>
      <c r="BH17" s="888" t="str">
        <f>IF(AND(C17&lt;&gt;"",OR(I17="",K17="",M17="",O17="",S17="",U17="",AA17="",AG17="",AI17="",AO17="",AQ17="",AS17="",AU17="",AW17="",AY17="")),"No",IF(AND(C17="",OR(I17&lt;&gt;"",K17&lt;&gt;"",M17&lt;&gt;"",O17&lt;&gt;"",S17&lt;&gt;"",U17&lt;&gt;"",AA17&lt;&gt;"",AG17&lt;&gt;"",AI17&lt;&gt;"",AK17&lt;&gt;"",AM17&lt;&gt;"",AO17&lt;&gt;"",AQ17&lt;&gt;"",AS17&lt;&gt;"",AU17&lt;&gt;"",AW17&lt;&gt;"",AY17&lt;&gt;"",BA17&lt;&gt;"",BC17&lt;&gt;"")),"No",IF(AND(C17="",I17="",K17="",M17="",O17="",S17="",U17="",AA17="",AG17="",AI17="",AK17="",AM17="",AO17="",AQ17="",AS17="",AU17="",AW17="",AY17="",BA17=""),"N/A","Yes")))</f>
        <v>N/A</v>
      </c>
      <c r="BI17" s="898"/>
      <c r="BJ17" s="899" t="b">
        <f>IF(AND(OR(I17&lt;&gt;"",K17&lt;&gt;"",M17&lt;&gt;"",O17&lt;&gt;"",S17&lt;&gt;"",U17&lt;&gt;"",AA17&lt;&gt;"",AG17&lt;&gt;"",AI17&lt;&gt;"",AK17&lt;&gt;"",AM17&lt;&gt;"",AO17&lt;&gt;"",AQ17&lt;&gt;"",AS17&lt;&gt;"",AW17&lt;&gt;"",AY17&lt;&gt;"",BA17&lt;&gt;"",BC17&lt;&gt;""),C17=""),TRUE,FALSE)</f>
        <v>0</v>
      </c>
      <c r="BK17" s="898" t="b">
        <f>IF(BL17=TRUE,FALSE,IF(SUM(K17,O17)&gt;I17,TRUE,FALSE))</f>
        <v>0</v>
      </c>
      <c r="BL17" s="899" t="b">
        <f>IF(AND(C17&lt;&gt;"",I17=""),TRUE,FALSE)</f>
        <v>0</v>
      </c>
      <c r="BM17" s="898" t="b">
        <f>IF(BN17=TRUE,FALSE,IF(M17&gt;K17,TRUE,FALSE))</f>
        <v>0</v>
      </c>
      <c r="BN17" s="899" t="b">
        <f>IF(AND($C17&lt;&gt;"",K17=""),TRUE,FALSE)</f>
        <v>0</v>
      </c>
      <c r="BO17" s="898"/>
      <c r="BP17" s="899" t="b">
        <f>IF(AND($C17&lt;&gt;"",M17=""),TRUE,FALSE)</f>
        <v>0</v>
      </c>
      <c r="BQ17" s="898"/>
      <c r="BR17" s="899" t="b">
        <f>IF(AND($C17&lt;&gt;"",O17=""),TRUE,FALSE)</f>
        <v>0</v>
      </c>
      <c r="BS17" s="898" t="b">
        <f>IF(AND(S17="",OR(U17&lt;&gt;"",AA17&lt;&gt;"",AG17&lt;&gt;"",AI17&lt;&gt;"",AK17&lt;&gt;"",AM17&lt;&gt;"",AO17&lt;&gt;"",AQ17&lt;&gt;"",AS17&lt;&gt;"",AU17&lt;&gt;"",AW17&lt;&gt;"",AY17&lt;&gt;"",BA17&lt;&gt;"")),TRUE,FALSE)</f>
        <v>0</v>
      </c>
      <c r="BT17" s="899" t="b">
        <f>IF(AND($C17&lt;&gt;"",S17=""),TRUE,FALSE)</f>
        <v>0</v>
      </c>
      <c r="BU17" s="898"/>
      <c r="BV17" s="899" t="b">
        <f>IF(AND($C17&lt;&gt;"",U17=""),TRUE,FALSE)</f>
        <v>0</v>
      </c>
      <c r="BW17" s="1537" t="b">
        <f>IF(BX17=TRUE,FALSE,IF(AA17="",FALSE,IF(OR(AA17&lt;CX17,AA17&gt;BaseYear),TRUE,FALSE)))</f>
        <v>0</v>
      </c>
      <c r="BX17" s="899" t="b">
        <f>IF(AND($C17&lt;&gt;"",AA17=""),TRUE,FALSE)</f>
        <v>0</v>
      </c>
      <c r="BY17" s="898"/>
      <c r="BZ17" s="899" t="b">
        <f>IF(AND($C17&lt;&gt;"",AG17=""),TRUE,FALSE)</f>
        <v>0</v>
      </c>
      <c r="CA17" s="898"/>
      <c r="CB17" s="899" t="b">
        <f>IF(AND($C17&lt;&gt;"",AI17=""),TRUE,FALSE)</f>
        <v>0</v>
      </c>
      <c r="CC17" s="1537" t="b">
        <f>IF(AK17="",FALSE,IF(OR(AK17&lt;CX17,AK17&gt;BaseYear),TRUE,FALSE))</f>
        <v>0</v>
      </c>
      <c r="CD17" s="1538" t="b">
        <f>IF(AK17="",FALSE,IF(AK17&lt;AA17,TRUE,FALSE))</f>
        <v>0</v>
      </c>
      <c r="CE17" s="899" t="b">
        <f>IF(AND($AM17&lt;&gt;"",AK17=""),TRUE,FALSE)</f>
        <v>0</v>
      </c>
      <c r="CF17" s="898"/>
      <c r="CG17" s="899" t="b">
        <f>IF(AND($AK17&lt;&gt;"",AM17=""),TRUE,FALSE)</f>
        <v>0</v>
      </c>
      <c r="CH17" s="898"/>
      <c r="CI17" s="899" t="b">
        <f>IF(AND($C17&lt;&gt;"",AO17=""),TRUE,FALSE)</f>
        <v>0</v>
      </c>
      <c r="CJ17" s="1537"/>
      <c r="CK17" s="899" t="b">
        <f>IF(AND($C17&lt;&gt;"",AQ17=""),TRUE,FALSE)</f>
        <v>0</v>
      </c>
      <c r="CL17" s="898"/>
      <c r="CM17" s="899" t="b">
        <f>IF(AND($C17&lt;&gt;"",AS17=""),TRUE,FALSE)</f>
        <v>0</v>
      </c>
      <c r="CN17" s="898"/>
      <c r="CO17" s="899" t="b">
        <f>IF(AND($C17&lt;&gt;"",AU17=""),TRUE,FALSE)</f>
        <v>0</v>
      </c>
      <c r="CP17" s="898"/>
      <c r="CQ17" s="899" t="b">
        <f>IF(AND($C17&lt;&gt;"",AW17=""),TRUE,FALSE)</f>
        <v>0</v>
      </c>
      <c r="CR17" s="898"/>
      <c r="CS17" s="899" t="b">
        <f>IF(AND($C17&lt;&gt;"",AY17=""),TRUE,FALSE)</f>
        <v>0</v>
      </c>
      <c r="CT17" s="898"/>
      <c r="CU17" s="898" t="b">
        <f>IF(AND($C17&lt;&gt;"",BA17=""),TRUE,FALSE)</f>
        <v>0</v>
      </c>
      <c r="CV17" s="894"/>
      <c r="CW17" s="898" t="str">
        <f t="shared" si="2"/>
        <v/>
      </c>
      <c r="CX17" s="898" t="str">
        <f>IFERROR(IF(AND(S17="",S17&lt;&gt;""),1913,VLOOKUP(S17,Valid!$B$99:$J$120,9)),"")</f>
        <v/>
      </c>
      <c r="CY17" s="898" t="str">
        <f t="shared" ca="1" si="3"/>
        <v/>
      </c>
      <c r="CZ17" s="1547" t="str">
        <f t="shared" ca="1" si="8"/>
        <v/>
      </c>
      <c r="DA17" s="898" t="str">
        <f ca="1">IF(CZ17="", "", IF(1+(CZ17*4)&lt;1, 1, 1+(CZ17*4)))</f>
        <v/>
      </c>
      <c r="DB17" s="898" t="str">
        <f t="shared" si="4"/>
        <v/>
      </c>
      <c r="DC17" s="898" t="str">
        <f t="shared" si="5"/>
        <v/>
      </c>
      <c r="DD17" s="1539" t="str">
        <f>IFERROR(IF(AND(AM17="",C17&lt;&gt;""),Valid!$E$123,VLOOKUP(AM17,Valid!$B$123:$F$125,4,FALSE)),"")</f>
        <v/>
      </c>
      <c r="DE17" s="1539" t="str">
        <f>IFERROR(IF(AND(AM17="",C17&lt;&gt;""),Valid!$F$123,VLOOKUP(AM17,Valid!$B$123:$F$125,5,FALSE)),"")</f>
        <v/>
      </c>
      <c r="DF17" s="1539" t="str">
        <f>IFERROR(VLOOKUP('A-70 RevVehInv'!S17,Valid!$B$99:$I$120,7), "")</f>
        <v/>
      </c>
      <c r="DG17" s="1539" t="str">
        <f>IFERROR(VLOOKUP(S17,Valid!$B$99:$I$120,8), "")</f>
        <v/>
      </c>
      <c r="DH17" s="894"/>
    </row>
    <row r="18" spans="1:112" ht="6.75" customHeight="1" x14ac:dyDescent="0.2">
      <c r="A18" s="1517"/>
      <c r="B18" s="1530">
        <v>3.5</v>
      </c>
      <c r="C18" s="1540"/>
      <c r="D18" s="905"/>
      <c r="E18" s="1541"/>
      <c r="F18" s="905"/>
      <c r="G18" s="905"/>
      <c r="H18" s="905"/>
      <c r="I18" s="1534"/>
      <c r="J18" s="905"/>
      <c r="K18" s="1534"/>
      <c r="L18" s="905"/>
      <c r="M18" s="1534"/>
      <c r="N18" s="905"/>
      <c r="O18" s="1534"/>
      <c r="P18" s="905"/>
      <c r="Q18" s="1534"/>
      <c r="R18" s="1531"/>
      <c r="S18" s="1542"/>
      <c r="T18" s="905"/>
      <c r="U18" s="1542"/>
      <c r="V18" s="905"/>
      <c r="W18" s="1534" t="str">
        <f t="shared" si="0"/>
        <v/>
      </c>
      <c r="X18" s="905"/>
      <c r="Y18" s="1534"/>
      <c r="Z18" s="252" t="str">
        <f t="shared" si="1"/>
        <v/>
      </c>
      <c r="AA18" s="1534"/>
      <c r="AB18" s="905"/>
      <c r="AC18" s="1973" t="str">
        <f t="shared" si="6"/>
        <v/>
      </c>
      <c r="AD18" s="905"/>
      <c r="AE18" s="1985" t="str">
        <f t="shared" si="7"/>
        <v/>
      </c>
      <c r="AF18" s="905"/>
      <c r="AG18" s="1543"/>
      <c r="AH18" s="1531"/>
      <c r="AI18" s="1534"/>
      <c r="AJ18" s="1531"/>
      <c r="AK18" s="1534"/>
      <c r="AL18" s="1531"/>
      <c r="AM18" s="1543"/>
      <c r="AN18" s="1531"/>
      <c r="AO18" s="1543"/>
      <c r="AP18" s="1531"/>
      <c r="AQ18" s="1534"/>
      <c r="AR18" s="1531"/>
      <c r="AS18" s="1534"/>
      <c r="AT18" s="1531"/>
      <c r="AU18" s="1534"/>
      <c r="AV18" s="1531"/>
      <c r="AW18" s="1534"/>
      <c r="AX18" s="1531"/>
      <c r="AY18" s="1534"/>
      <c r="AZ18" s="1531"/>
      <c r="BA18" s="1543"/>
      <c r="BB18" s="1531"/>
      <c r="BC18" s="1534"/>
      <c r="BD18" s="1531"/>
      <c r="BE18" s="1531"/>
      <c r="BF18" s="1531"/>
      <c r="BG18" s="1531"/>
      <c r="BH18" s="1531"/>
      <c r="BI18" s="1535"/>
      <c r="BJ18" s="1534"/>
      <c r="BK18" s="898"/>
      <c r="BL18" s="1534"/>
      <c r="BM18" s="1535"/>
      <c r="BN18" s="1534"/>
      <c r="BO18" s="1535"/>
      <c r="BP18" s="1534"/>
      <c r="BQ18" s="1535"/>
      <c r="BR18" s="1534"/>
      <c r="BS18" s="1535"/>
      <c r="BT18" s="1534"/>
      <c r="BU18" s="1535"/>
      <c r="BV18" s="1534"/>
      <c r="BW18" s="1535"/>
      <c r="BX18" s="1534"/>
      <c r="BY18" s="1535"/>
      <c r="BZ18" s="1534"/>
      <c r="CA18" s="1535"/>
      <c r="CB18" s="1534"/>
      <c r="CC18" s="1535"/>
      <c r="CD18" s="1534"/>
      <c r="CE18" s="1534"/>
      <c r="CF18" s="1535"/>
      <c r="CG18" s="1534"/>
      <c r="CH18" s="1535"/>
      <c r="CI18" s="1534"/>
      <c r="CJ18" s="1535"/>
      <c r="CK18" s="1534"/>
      <c r="CL18" s="1535"/>
      <c r="CM18" s="1534"/>
      <c r="CN18" s="1535"/>
      <c r="CO18" s="1534"/>
      <c r="CP18" s="1535"/>
      <c r="CQ18" s="1534"/>
      <c r="CR18" s="1535"/>
      <c r="CS18" s="1534"/>
      <c r="CT18" s="1535"/>
      <c r="CU18" s="1535"/>
      <c r="CV18" s="1531"/>
      <c r="CW18" s="898" t="str">
        <f t="shared" si="2"/>
        <v/>
      </c>
      <c r="CX18" s="898" t="str">
        <f>IFERROR(IF(AND(S18="",S18&lt;&gt;""),1913,VLOOKUP(S18,Valid!$B$99:$J$120,9)),"")</f>
        <v/>
      </c>
      <c r="CY18" s="898" t="str">
        <f t="shared" ca="1" si="3"/>
        <v/>
      </c>
      <c r="CZ18" s="1547" t="str">
        <f t="shared" ca="1" si="8"/>
        <v/>
      </c>
      <c r="DA18" s="898"/>
      <c r="DB18" s="898" t="str">
        <f t="shared" si="4"/>
        <v/>
      </c>
      <c r="DC18" s="898" t="str">
        <f t="shared" si="5"/>
        <v/>
      </c>
      <c r="DD18" s="1539" t="str">
        <f>IFERROR(IF(AND(AM18="",C18&lt;&gt;""),Valid!$E$123,VLOOKUP(AM18,Valid!$B$123:$F$125,4,FALSE)),"")</f>
        <v/>
      </c>
      <c r="DE18" s="1539" t="str">
        <f>IFERROR(IF(AND(AM18="",C18&lt;&gt;""),Valid!$F$123,VLOOKUP(AM18,Valid!$B$123:$F$125,5,FALSE)),"")</f>
        <v/>
      </c>
      <c r="DF18" s="1539" t="str">
        <f>IFERROR(VLOOKUP('A-70 RevVehInv'!S18,Valid!$B$99:$I$120,7), "")</f>
        <v/>
      </c>
      <c r="DG18" s="1539" t="str">
        <f>IFERROR(VLOOKUP(S18,Valid!$B$99:$I$120,8), "")</f>
        <v/>
      </c>
      <c r="DH18" s="1531"/>
    </row>
    <row r="19" spans="1:112" s="930" customFormat="1" x14ac:dyDescent="0.2">
      <c r="A19" s="206">
        <v>4</v>
      </c>
      <c r="B19" s="1530">
        <v>4</v>
      </c>
      <c r="C19" s="933"/>
      <c r="D19" s="719" t="str">
        <f>IF(C17="","",IF((C19=""),"Enter RVI ID. then Fill in Columns "&amp;TEXT($I$2,0)&amp;" - "&amp;TEXT($BA$2,0)&amp;"       ",""))</f>
        <v/>
      </c>
      <c r="E19" s="1056" t="str">
        <f>IF(BH19="N/A","",BH19)</f>
        <v/>
      </c>
      <c r="F19" s="1536"/>
      <c r="G19" s="1536"/>
      <c r="H19" s="1536"/>
      <c r="I19" s="1023"/>
      <c r="J19" s="1536" t="str">
        <f>IF(E19&lt;&gt;"","Vehicles?    ","")</f>
        <v/>
      </c>
      <c r="K19" s="1023"/>
      <c r="L19" s="1536" t="str">
        <f>IF(E19&lt;&gt;"","Active Vehicles?     ","")</f>
        <v/>
      </c>
      <c r="M19" s="1023"/>
      <c r="N19" s="1536" t="str">
        <f>IF(E19&lt;&gt;"","ADA Vehicles?       ","")</f>
        <v/>
      </c>
      <c r="O19" s="1023"/>
      <c r="P19" s="1536" t="str">
        <f>IF(E19&lt;&gt;"","Cont. Vehicles?     ","")</f>
        <v/>
      </c>
      <c r="Q19" s="1024"/>
      <c r="R19" s="894"/>
      <c r="S19" s="1153"/>
      <c r="T19" s="252" t="str">
        <f>IF(E19&lt;&gt;"","Select from Pull-Down List    ","")</f>
        <v/>
      </c>
      <c r="U19" s="933"/>
      <c r="V19" s="252" t="str">
        <f>IF(E19&lt;&gt;"","Select from Pull-Down List    ","")</f>
        <v/>
      </c>
      <c r="W19" s="1024" t="str">
        <f t="shared" si="0"/>
        <v/>
      </c>
      <c r="X19" s="252"/>
      <c r="Y19" s="1988"/>
      <c r="Z19" s="252" t="str">
        <f t="shared" si="1"/>
        <v/>
      </c>
      <c r="AA19" s="139"/>
      <c r="AB19" s="252" t="str">
        <f>IF(E19&lt;&gt;"","Mfg. Yr?    ","")</f>
        <v/>
      </c>
      <c r="AC19" s="1972" t="str">
        <f t="shared" si="6"/>
        <v/>
      </c>
      <c r="AD19" s="252"/>
      <c r="AE19" s="1984" t="str">
        <f t="shared" si="7"/>
        <v/>
      </c>
      <c r="AF19" s="252"/>
      <c r="AG19" s="933"/>
      <c r="AH19" s="252" t="str">
        <f>IF(E19&lt;&gt;"","Select from Pull-Down List    ","")</f>
        <v/>
      </c>
      <c r="AI19" s="933"/>
      <c r="AJ19" s="252" t="str">
        <f>IF(E19&lt;&gt;"","Number?   ","")</f>
        <v/>
      </c>
      <c r="AK19" s="139"/>
      <c r="AL19" s="252" t="str">
        <f>IF(E19&lt;&gt;"","Last Rnwl. Yr?   ","")</f>
        <v/>
      </c>
      <c r="AM19" s="933"/>
      <c r="AN19" s="252" t="str">
        <f>IF(E19&lt;&gt;"","Select from Pull-Down List    ","")</f>
        <v/>
      </c>
      <c r="AO19" s="933"/>
      <c r="AP19" s="252" t="str">
        <f>IF(E19&lt;&gt;"","Select from Pull-Down List    ","")</f>
        <v/>
      </c>
      <c r="AQ19" s="1023"/>
      <c r="AR19" s="252" t="str">
        <f>IF(E19&lt;&gt;"","Feet?    ","")</f>
        <v/>
      </c>
      <c r="AS19" s="1023"/>
      <c r="AT19" s="252" t="str">
        <f>IF(E19&lt;&gt;"","Seats?    ","")</f>
        <v/>
      </c>
      <c r="AU19" s="1023"/>
      <c r="AV19" s="252" t="str">
        <f>IF(E19&lt;&gt;"","Standing?    ","")</f>
        <v/>
      </c>
      <c r="AW19" s="1023"/>
      <c r="AX19" s="252" t="str">
        <f>IF(E19&lt;&gt;"","Mileage?       ","")</f>
        <v/>
      </c>
      <c r="AY19" s="1023"/>
      <c r="AZ19" s="252" t="str">
        <f>IF(E19&lt;&gt;"","Avg. Lifetime Mileage? ","")</f>
        <v/>
      </c>
      <c r="BA19" s="933"/>
      <c r="BB19" s="252" t="str">
        <f>IF(E19&lt;&gt;"","Select from Pull-Down List    ","")</f>
        <v/>
      </c>
      <c r="BC19" s="171"/>
      <c r="BD19" s="252" t="str">
        <f>IF(OR(AO19="OR - Other fuel (describe in Notes)",AG19="ZZZ - Other (describe in Notes)"),"Describe                                                                                                     ","")</f>
        <v/>
      </c>
      <c r="BE19" s="894"/>
      <c r="BF19" s="894"/>
      <c r="BG19" s="894" t="b">
        <f>IF(AND(C19="",C21&lt;&gt;""),TRUE,FALSE)</f>
        <v>0</v>
      </c>
      <c r="BH19" s="888" t="str">
        <f>IF(AND(C19&lt;&gt;"",OR(I19="",K19="",M19="",O19="",S19="",U19="",AA19="",AG19="",AI19="",AO19="",AQ19="",AS19="",AU19="",AW19="",AY19="")),"No",IF(AND(C19="",OR(I19&lt;&gt;"",K19&lt;&gt;"",M19&lt;&gt;"",O19&lt;&gt;"",S19&lt;&gt;"",U19&lt;&gt;"",AA19&lt;&gt;"",AG19&lt;&gt;"",AI19&lt;&gt;"",AK19&lt;&gt;"",AM19&lt;&gt;"",AO19&lt;&gt;"",AQ19&lt;&gt;"",AS19&lt;&gt;"",AU19&lt;&gt;"",AW19&lt;&gt;"",AY19&lt;&gt;"",BA19&lt;&gt;"",BC19&lt;&gt;"")),"No",IF(AND(C19="",I19="",K19="",M19="",O19="",S19="",U19="",AA19="",AG19="",AI19="",AK19="",AM19="",AO19="",AQ19="",AS19="",AU19="",AW19="",AY19="",BA19=""),"N/A","Yes")))</f>
        <v>N/A</v>
      </c>
      <c r="BI19" s="898"/>
      <c r="BJ19" s="899" t="b">
        <f>IF(AND(OR(I19&lt;&gt;"",K19&lt;&gt;"",M19&lt;&gt;"",O19&lt;&gt;"",S19&lt;&gt;"",U19&lt;&gt;"",AA19&lt;&gt;"",AG19&lt;&gt;"",AI19&lt;&gt;"",AK19&lt;&gt;"",AM19&lt;&gt;"",AO19&lt;&gt;"",AQ19&lt;&gt;"",AS19&lt;&gt;"",AW19&lt;&gt;"",AY19&lt;&gt;"",BA19&lt;&gt;"",BC19&lt;&gt;""),C19=""),TRUE,FALSE)</f>
        <v>0</v>
      </c>
      <c r="BK19" s="898" t="b">
        <f>IF(BL19=TRUE,FALSE,IF(SUM(K19,O19)&gt;I19,TRUE,FALSE))</f>
        <v>0</v>
      </c>
      <c r="BL19" s="899" t="b">
        <f>IF(AND(C19&lt;&gt;"",I19=""),TRUE,FALSE)</f>
        <v>0</v>
      </c>
      <c r="BM19" s="898" t="b">
        <f>IF(BN19=TRUE,FALSE,IF(M19&gt;K19,TRUE,FALSE))</f>
        <v>0</v>
      </c>
      <c r="BN19" s="899" t="b">
        <f>IF(AND($C19&lt;&gt;"",K19=""),TRUE,FALSE)</f>
        <v>0</v>
      </c>
      <c r="BO19" s="898"/>
      <c r="BP19" s="899" t="b">
        <f>IF(AND($C19&lt;&gt;"",M19=""),TRUE,FALSE)</f>
        <v>0</v>
      </c>
      <c r="BQ19" s="898"/>
      <c r="BR19" s="899" t="b">
        <f>IF(AND($C19&lt;&gt;"",O19=""),TRUE,FALSE)</f>
        <v>0</v>
      </c>
      <c r="BS19" s="898" t="b">
        <f>IF(AND(S19="",OR(U19&lt;&gt;"",AA19&lt;&gt;"",AG19&lt;&gt;"",AI19&lt;&gt;"",AK19&lt;&gt;"",AM19&lt;&gt;"",AO19&lt;&gt;"",AQ19&lt;&gt;"",AS19&lt;&gt;"",AU19&lt;&gt;"",AW19&lt;&gt;"",AY19&lt;&gt;"",BA19&lt;&gt;"")),TRUE,FALSE)</f>
        <v>0</v>
      </c>
      <c r="BT19" s="899" t="b">
        <f>IF(AND($C19&lt;&gt;"",S19=""),TRUE,FALSE)</f>
        <v>0</v>
      </c>
      <c r="BU19" s="898"/>
      <c r="BV19" s="899" t="b">
        <f>IF(AND($C19&lt;&gt;"",U19=""),TRUE,FALSE)</f>
        <v>0</v>
      </c>
      <c r="BW19" s="1537" t="b">
        <f>IF(BX19=TRUE,FALSE,IF(AA19="",FALSE,IF(OR(AA19&lt;CX19,AA19&gt;BaseYear),TRUE,FALSE)))</f>
        <v>0</v>
      </c>
      <c r="BX19" s="899" t="b">
        <f>IF(AND($C19&lt;&gt;"",AA19=""),TRUE,FALSE)</f>
        <v>0</v>
      </c>
      <c r="BY19" s="898"/>
      <c r="BZ19" s="899" t="b">
        <f>IF(AND($C19&lt;&gt;"",AG19=""),TRUE,FALSE)</f>
        <v>0</v>
      </c>
      <c r="CA19" s="898"/>
      <c r="CB19" s="899" t="b">
        <f>IF(AND($C19&lt;&gt;"",AI19=""),TRUE,FALSE)</f>
        <v>0</v>
      </c>
      <c r="CC19" s="1537" t="b">
        <f>IF(AK19="",FALSE,IF(OR(AK19&lt;CX19,AK19&gt;BaseYear),TRUE,FALSE))</f>
        <v>0</v>
      </c>
      <c r="CD19" s="1538" t="b">
        <f>IF(AK19="",FALSE,IF(AK19&lt;AA19,TRUE,FALSE))</f>
        <v>0</v>
      </c>
      <c r="CE19" s="899" t="b">
        <f>IF(AND($AM19&lt;&gt;"",AK19=""),TRUE,FALSE)</f>
        <v>0</v>
      </c>
      <c r="CF19" s="898"/>
      <c r="CG19" s="899" t="b">
        <f>IF(AND($AK19&lt;&gt;"",AM19=""),TRUE,FALSE)</f>
        <v>0</v>
      </c>
      <c r="CH19" s="898"/>
      <c r="CI19" s="899" t="b">
        <f>IF(AND($C19&lt;&gt;"",AO19=""),TRUE,FALSE)</f>
        <v>0</v>
      </c>
      <c r="CJ19" s="1537"/>
      <c r="CK19" s="899" t="b">
        <f>IF(AND($C19&lt;&gt;"",AQ19=""),TRUE,FALSE)</f>
        <v>0</v>
      </c>
      <c r="CL19" s="898"/>
      <c r="CM19" s="899" t="b">
        <f>IF(AND($C19&lt;&gt;"",AS19=""),TRUE,FALSE)</f>
        <v>0</v>
      </c>
      <c r="CN19" s="898"/>
      <c r="CO19" s="899" t="b">
        <f>IF(AND($C19&lt;&gt;"",AU19=""),TRUE,FALSE)</f>
        <v>0</v>
      </c>
      <c r="CP19" s="898"/>
      <c r="CQ19" s="899" t="b">
        <f>IF(AND($C19&lt;&gt;"",AW19=""),TRUE,FALSE)</f>
        <v>0</v>
      </c>
      <c r="CR19" s="898"/>
      <c r="CS19" s="899" t="b">
        <f>IF(AND($C19&lt;&gt;"",AY19=""),TRUE,FALSE)</f>
        <v>0</v>
      </c>
      <c r="CT19" s="898"/>
      <c r="CU19" s="898" t="b">
        <f>IF(AND($C19&lt;&gt;"",BA19=""),TRUE,FALSE)</f>
        <v>0</v>
      </c>
      <c r="CV19" s="894"/>
      <c r="CW19" s="898" t="str">
        <f t="shared" si="2"/>
        <v/>
      </c>
      <c r="CX19" s="898" t="str">
        <f>IFERROR(IF(AND(S19="",S19&lt;&gt;""),1913,VLOOKUP(S19,Valid!$B$99:$J$120,9)),"")</f>
        <v/>
      </c>
      <c r="CY19" s="898" t="str">
        <f t="shared" ca="1" si="3"/>
        <v/>
      </c>
      <c r="CZ19" s="1547" t="str">
        <f t="shared" ca="1" si="8"/>
        <v/>
      </c>
      <c r="DA19" s="898" t="str">
        <f ca="1">IF(CZ19="", "", IF(1+(CZ19*4)&lt;1, 1, 1+(CZ19*4)))</f>
        <v/>
      </c>
      <c r="DB19" s="898" t="str">
        <f t="shared" si="4"/>
        <v/>
      </c>
      <c r="DC19" s="898" t="str">
        <f t="shared" si="5"/>
        <v/>
      </c>
      <c r="DD19" s="1539" t="str">
        <f>IFERROR(IF(AND(AM19="",C19&lt;&gt;""),Valid!$E$123,VLOOKUP(AM19,Valid!$B$123:$F$125,4,FALSE)),"")</f>
        <v/>
      </c>
      <c r="DE19" s="1539" t="str">
        <f>IFERROR(IF(AND(AM19="",C19&lt;&gt;""),Valid!$F$123,VLOOKUP(AM19,Valid!$B$123:$F$125,5,FALSE)),"")</f>
        <v/>
      </c>
      <c r="DF19" s="1539" t="str">
        <f>IFERROR(VLOOKUP('A-70 RevVehInv'!S19,Valid!$B$99:$I$120,7), "")</f>
        <v/>
      </c>
      <c r="DG19" s="1539" t="str">
        <f>IFERROR(VLOOKUP(S19,Valid!$B$99:$I$120,8), "")</f>
        <v/>
      </c>
      <c r="DH19" s="894"/>
    </row>
    <row r="20" spans="1:112" ht="6.75" customHeight="1" x14ac:dyDescent="0.2">
      <c r="A20" s="1517"/>
      <c r="B20" s="1530">
        <v>4.5</v>
      </c>
      <c r="C20" s="1544"/>
      <c r="D20" s="905"/>
      <c r="E20" s="1545"/>
      <c r="F20" s="905"/>
      <c r="G20" s="905"/>
      <c r="H20" s="905"/>
      <c r="I20" s="1531"/>
      <c r="J20" s="905"/>
      <c r="K20" s="1531"/>
      <c r="L20" s="905"/>
      <c r="M20" s="1531"/>
      <c r="N20" s="905"/>
      <c r="O20" s="1531"/>
      <c r="P20" s="905"/>
      <c r="Q20" s="1531"/>
      <c r="R20" s="1531"/>
      <c r="S20" s="1533"/>
      <c r="T20" s="905"/>
      <c r="U20" s="1533"/>
      <c r="V20" s="905"/>
      <c r="W20" s="1531" t="str">
        <f t="shared" si="0"/>
        <v/>
      </c>
      <c r="X20" s="905"/>
      <c r="Y20" s="1531"/>
      <c r="Z20" s="252" t="str">
        <f t="shared" si="1"/>
        <v/>
      </c>
      <c r="AA20" s="1531"/>
      <c r="AB20" s="905"/>
      <c r="AC20" s="1971" t="str">
        <f t="shared" si="6"/>
        <v/>
      </c>
      <c r="AD20" s="905"/>
      <c r="AE20" s="1983" t="str">
        <f t="shared" si="7"/>
        <v/>
      </c>
      <c r="AF20" s="905"/>
      <c r="AG20" s="1546"/>
      <c r="AH20" s="1531"/>
      <c r="AI20" s="1531"/>
      <c r="AJ20" s="1531"/>
      <c r="AK20" s="1531"/>
      <c r="AL20" s="1531"/>
      <c r="AM20" s="1546"/>
      <c r="AN20" s="1531"/>
      <c r="AO20" s="1546"/>
      <c r="AP20" s="1531"/>
      <c r="AQ20" s="1531"/>
      <c r="AR20" s="1531"/>
      <c r="AS20" s="1531"/>
      <c r="AT20" s="1531"/>
      <c r="AU20" s="1531"/>
      <c r="AV20" s="1531"/>
      <c r="AW20" s="1531"/>
      <c r="AX20" s="1531"/>
      <c r="AY20" s="1531"/>
      <c r="AZ20" s="1531"/>
      <c r="BA20" s="1546"/>
      <c r="BB20" s="1531"/>
      <c r="BC20" s="1531"/>
      <c r="BD20" s="1531"/>
      <c r="BE20" s="1531"/>
      <c r="BF20" s="1531"/>
      <c r="BG20" s="1531"/>
      <c r="BH20" s="1531"/>
      <c r="BI20" s="1535"/>
      <c r="BJ20" s="1534"/>
      <c r="BK20" s="1535"/>
      <c r="BL20" s="1534"/>
      <c r="BM20" s="1535"/>
      <c r="BN20" s="1534"/>
      <c r="BO20" s="1535"/>
      <c r="BP20" s="1534"/>
      <c r="BQ20" s="1535"/>
      <c r="BR20" s="1534"/>
      <c r="BS20" s="1535"/>
      <c r="BT20" s="1534"/>
      <c r="BU20" s="1535"/>
      <c r="BV20" s="1534"/>
      <c r="BW20" s="1535"/>
      <c r="BX20" s="1534"/>
      <c r="BY20" s="1535"/>
      <c r="BZ20" s="1534"/>
      <c r="CA20" s="1535"/>
      <c r="CB20" s="1534"/>
      <c r="CC20" s="1535"/>
      <c r="CD20" s="1534"/>
      <c r="CE20" s="1534"/>
      <c r="CF20" s="1535"/>
      <c r="CG20" s="1534"/>
      <c r="CH20" s="1535"/>
      <c r="CI20" s="1534"/>
      <c r="CJ20" s="1535"/>
      <c r="CK20" s="1534"/>
      <c r="CL20" s="1535"/>
      <c r="CM20" s="1534"/>
      <c r="CN20" s="1535"/>
      <c r="CO20" s="1534"/>
      <c r="CP20" s="1535"/>
      <c r="CQ20" s="1534"/>
      <c r="CR20" s="1535"/>
      <c r="CS20" s="1534"/>
      <c r="CT20" s="1535"/>
      <c r="CU20" s="1535"/>
      <c r="CV20" s="1531"/>
      <c r="CW20" s="898" t="str">
        <f t="shared" si="2"/>
        <v/>
      </c>
      <c r="CX20" s="898" t="str">
        <f>IFERROR(IF(AND(S20="",S20&lt;&gt;""),1913,VLOOKUP(S20,Valid!$B$99:$J$120,9)),"")</f>
        <v/>
      </c>
      <c r="CY20" s="898" t="str">
        <f t="shared" ca="1" si="3"/>
        <v/>
      </c>
      <c r="CZ20" s="1547" t="str">
        <f t="shared" ca="1" si="8"/>
        <v/>
      </c>
      <c r="DA20" s="898"/>
      <c r="DB20" s="898" t="str">
        <f t="shared" si="4"/>
        <v/>
      </c>
      <c r="DC20" s="898" t="str">
        <f t="shared" si="5"/>
        <v/>
      </c>
      <c r="DD20" s="1539" t="str">
        <f>IFERROR(IF(AND(AM20="",C20&lt;&gt;""),Valid!$E$123,VLOOKUP(AM20,Valid!$B$123:$F$125,4,FALSE)),"")</f>
        <v/>
      </c>
      <c r="DE20" s="1539" t="str">
        <f>IFERROR(IF(AND(AM20="",C20&lt;&gt;""),Valid!$F$123,VLOOKUP(AM20,Valid!$B$123:$F$125,5,FALSE)),"")</f>
        <v/>
      </c>
      <c r="DF20" s="1539" t="str">
        <f>IFERROR(VLOOKUP('A-70 RevVehInv'!S20,Valid!$B$99:$I$120,7), "")</f>
        <v/>
      </c>
      <c r="DG20" s="1539" t="str">
        <f>IFERROR(VLOOKUP(S20,Valid!$B$99:$I$120,8), "")</f>
        <v/>
      </c>
      <c r="DH20" s="1531"/>
    </row>
    <row r="21" spans="1:112" s="930" customFormat="1" x14ac:dyDescent="0.2">
      <c r="A21" s="206">
        <v>5</v>
      </c>
      <c r="B21" s="1530">
        <v>5</v>
      </c>
      <c r="C21" s="933"/>
      <c r="D21" s="719" t="str">
        <f>IF(C19="","",IF((C21=""),"Enter RVI ID. then Fill in Columns "&amp;TEXT($I$2,0)&amp;" - "&amp;TEXT($BA$2,0)&amp;"       ",""))</f>
        <v/>
      </c>
      <c r="E21" s="1056" t="str">
        <f>IF(BH21="N/A","",BH21)</f>
        <v/>
      </c>
      <c r="F21" s="1536"/>
      <c r="G21" s="1536"/>
      <c r="H21" s="1536"/>
      <c r="I21" s="1023"/>
      <c r="J21" s="1536" t="str">
        <f>IF(E21&lt;&gt;"","Vehicles?    ","")</f>
        <v/>
      </c>
      <c r="K21" s="1023"/>
      <c r="L21" s="1536" t="str">
        <f>IF(E21&lt;&gt;"","Active Vehicles?     ","")</f>
        <v/>
      </c>
      <c r="M21" s="1023"/>
      <c r="N21" s="1536" t="str">
        <f>IF(E21&lt;&gt;"","ADA Vehicles?       ","")</f>
        <v/>
      </c>
      <c r="O21" s="1023"/>
      <c r="P21" s="1536" t="str">
        <f>IF(E21&lt;&gt;"","Cont. Vehicles?     ","")</f>
        <v/>
      </c>
      <c r="Q21" s="1024"/>
      <c r="R21" s="894"/>
      <c r="S21" s="1153"/>
      <c r="T21" s="252" t="str">
        <f>IF(E21&lt;&gt;"","Select from Pull-Down List    ","")</f>
        <v/>
      </c>
      <c r="U21" s="933"/>
      <c r="V21" s="252" t="str">
        <f>IF(E21&lt;&gt;"","Select from Pull-Down List    ","")</f>
        <v/>
      </c>
      <c r="W21" s="1024" t="str">
        <f t="shared" si="0"/>
        <v/>
      </c>
      <c r="X21" s="252"/>
      <c r="Y21" s="1988"/>
      <c r="Z21" s="252" t="str">
        <f t="shared" si="1"/>
        <v/>
      </c>
      <c r="AA21" s="139"/>
      <c r="AB21" s="252" t="str">
        <f>IF(E21&lt;&gt;"","Mfg. Yr?    ","")</f>
        <v/>
      </c>
      <c r="AC21" s="1972" t="str">
        <f t="shared" si="6"/>
        <v/>
      </c>
      <c r="AD21" s="252"/>
      <c r="AE21" s="1984" t="str">
        <f t="shared" si="7"/>
        <v/>
      </c>
      <c r="AF21" s="252"/>
      <c r="AG21" s="933"/>
      <c r="AH21" s="252" t="str">
        <f>IF(E21&lt;&gt;"","Select from Pull-Down List    ","")</f>
        <v/>
      </c>
      <c r="AI21" s="933"/>
      <c r="AJ21" s="252" t="str">
        <f>IF(E21&lt;&gt;"","Number?   ","")</f>
        <v/>
      </c>
      <c r="AK21" s="139"/>
      <c r="AL21" s="252" t="str">
        <f>IF(E21&lt;&gt;"","Last Rnwl. Yr?   ","")</f>
        <v/>
      </c>
      <c r="AM21" s="933"/>
      <c r="AN21" s="252" t="str">
        <f>IF(E21&lt;&gt;"","Select from Pull-Down List    ","")</f>
        <v/>
      </c>
      <c r="AO21" s="933"/>
      <c r="AP21" s="252" t="str">
        <f>IF(E21&lt;&gt;"","Select from Pull-Down List    ","")</f>
        <v/>
      </c>
      <c r="AQ21" s="1023"/>
      <c r="AR21" s="252" t="str">
        <f>IF(E21&lt;&gt;"","Feet?    ","")</f>
        <v/>
      </c>
      <c r="AS21" s="1023"/>
      <c r="AT21" s="252" t="str">
        <f>IF(E21&lt;&gt;"","Seats?    ","")</f>
        <v/>
      </c>
      <c r="AU21" s="1023"/>
      <c r="AV21" s="252" t="str">
        <f>IF(E21&lt;&gt;"","Standing?    ","")</f>
        <v/>
      </c>
      <c r="AW21" s="1023"/>
      <c r="AX21" s="252" t="str">
        <f>IF(E21&lt;&gt;"","Mileage?       ","")</f>
        <v/>
      </c>
      <c r="AY21" s="1023"/>
      <c r="AZ21" s="252" t="str">
        <f>IF(E21&lt;&gt;"","Avg. Lifetime Mileage? ","")</f>
        <v/>
      </c>
      <c r="BA21" s="933"/>
      <c r="BB21" s="252" t="str">
        <f>IF(E21&lt;&gt;"","Select from Pull-Down List    ","")</f>
        <v/>
      </c>
      <c r="BC21" s="171"/>
      <c r="BD21" s="252" t="str">
        <f>IF(OR(AO21="OR - Other fuel (describe in Notes)",AG21="ZZZ - Other (describe in Notes)"),"Describe                                                                                                     ","")</f>
        <v/>
      </c>
      <c r="BE21" s="894"/>
      <c r="BF21" s="894"/>
      <c r="BG21" s="894" t="b">
        <f>IF(AND(C21="",C23&lt;&gt;""),TRUE,FALSE)</f>
        <v>0</v>
      </c>
      <c r="BH21" s="888" t="str">
        <f>IF(AND(C21&lt;&gt;"",OR(I21="",K21="",M21="",O21="",S21="",U21="",AA21="",AG21="",AI21="",AO21="",AQ21="",AS21="",AU21="",AW21="",AY21="")),"No",IF(AND(C21="",OR(I21&lt;&gt;"",K21&lt;&gt;"",M21&lt;&gt;"",O21&lt;&gt;"",S21&lt;&gt;"",U21&lt;&gt;"",AA21&lt;&gt;"",AG21&lt;&gt;"",AI21&lt;&gt;"",AK21&lt;&gt;"",AM21&lt;&gt;"",AO21&lt;&gt;"",AQ21&lt;&gt;"",AS21&lt;&gt;"",AU21&lt;&gt;"",AW21&lt;&gt;"",AY21&lt;&gt;"",BA21&lt;&gt;"",BC21&lt;&gt;"")),"No",IF(AND(C21="",I21="",K21="",M21="",O21="",S21="",U21="",AA21="",AG21="",AI21="",AK21="",AM21="",AO21="",AQ21="",AS21="",AU21="",AW21="",AY21="",BA21=""),"N/A","Yes")))</f>
        <v>N/A</v>
      </c>
      <c r="BI21" s="898"/>
      <c r="BJ21" s="899" t="b">
        <f>IF(AND(OR(I21&lt;&gt;"",K21&lt;&gt;"",M21&lt;&gt;"",O21&lt;&gt;"",S21&lt;&gt;"",U21&lt;&gt;"",AA21&lt;&gt;"",AG21&lt;&gt;"",AI21&lt;&gt;"",AK21&lt;&gt;"",AM21&lt;&gt;"",AO21&lt;&gt;"",AQ21&lt;&gt;"",AS21&lt;&gt;"",AW21&lt;&gt;"",AY21&lt;&gt;"",BA21&lt;&gt;"",BC21&lt;&gt;""),C21=""),TRUE,FALSE)</f>
        <v>0</v>
      </c>
      <c r="BK21" s="898" t="b">
        <f>IF(BL21=TRUE,FALSE,IF(SUM(K21,O21)&gt;I21,TRUE,FALSE))</f>
        <v>0</v>
      </c>
      <c r="BL21" s="899" t="b">
        <f>IF(AND(C21&lt;&gt;"",I21=""),TRUE,FALSE)</f>
        <v>0</v>
      </c>
      <c r="BM21" s="898" t="b">
        <f>IF(BN21=TRUE,FALSE,IF(M21&gt;K21,TRUE,FALSE))</f>
        <v>0</v>
      </c>
      <c r="BN21" s="899" t="b">
        <f>IF(AND($C21&lt;&gt;"",K21=""),TRUE,FALSE)</f>
        <v>0</v>
      </c>
      <c r="BO21" s="898"/>
      <c r="BP21" s="899" t="b">
        <f>IF(AND($C21&lt;&gt;"",M21=""),TRUE,FALSE)</f>
        <v>0</v>
      </c>
      <c r="BQ21" s="898"/>
      <c r="BR21" s="899" t="b">
        <f>IF(AND($C21&lt;&gt;"",O21=""),TRUE,FALSE)</f>
        <v>0</v>
      </c>
      <c r="BS21" s="898" t="b">
        <f>IF(AND(S21="",OR(U21&lt;&gt;"",AA21&lt;&gt;"",AG21&lt;&gt;"",AI21&lt;&gt;"",AK21&lt;&gt;"",AM21&lt;&gt;"",AO21&lt;&gt;"",AQ21&lt;&gt;"",AS21&lt;&gt;"",AU21&lt;&gt;"",AW21&lt;&gt;"",AY21&lt;&gt;"",BA21&lt;&gt;"")),TRUE,FALSE)</f>
        <v>0</v>
      </c>
      <c r="BT21" s="899" t="b">
        <f>IF(AND($C21&lt;&gt;"",S21=""),TRUE,FALSE)</f>
        <v>0</v>
      </c>
      <c r="BU21" s="898"/>
      <c r="BV21" s="899" t="b">
        <f>IF(AND($C21&lt;&gt;"",U21=""),TRUE,FALSE)</f>
        <v>0</v>
      </c>
      <c r="BW21" s="1537" t="b">
        <f>IF(BX21=TRUE,FALSE,IF(AA21="",FALSE,IF(OR(AA21&lt;CX21,AA21&gt;BaseYear),TRUE,FALSE)))</f>
        <v>0</v>
      </c>
      <c r="BX21" s="899" t="b">
        <f>IF(AND($C21&lt;&gt;"",AA21=""),TRUE,FALSE)</f>
        <v>0</v>
      </c>
      <c r="BY21" s="898"/>
      <c r="BZ21" s="899" t="b">
        <f>IF(AND($C21&lt;&gt;"",AG21=""),TRUE,FALSE)</f>
        <v>0</v>
      </c>
      <c r="CA21" s="898"/>
      <c r="CB21" s="899" t="b">
        <f>IF(AND($C21&lt;&gt;"",AI21=""),TRUE,FALSE)</f>
        <v>0</v>
      </c>
      <c r="CC21" s="1537" t="b">
        <f>IF(AK21="",FALSE,IF(OR(AK21&lt;CX21,AK21&gt;BaseYear),TRUE,FALSE))</f>
        <v>0</v>
      </c>
      <c r="CD21" s="1538" t="b">
        <f>IF(AK21="",FALSE,IF(AK21&lt;AA21,TRUE,FALSE))</f>
        <v>0</v>
      </c>
      <c r="CE21" s="899" t="b">
        <f>IF(AND($AM21&lt;&gt;"",AK21=""),TRUE,FALSE)</f>
        <v>0</v>
      </c>
      <c r="CF21" s="898"/>
      <c r="CG21" s="899" t="b">
        <f>IF(AND($AK21&lt;&gt;"",AM21=""),TRUE,FALSE)</f>
        <v>0</v>
      </c>
      <c r="CH21" s="898"/>
      <c r="CI21" s="899" t="b">
        <f>IF(AND($C21&lt;&gt;"",AO21=""),TRUE,FALSE)</f>
        <v>0</v>
      </c>
      <c r="CJ21" s="1537"/>
      <c r="CK21" s="899" t="b">
        <f>IF(AND($C21&lt;&gt;"",AQ21=""),TRUE,FALSE)</f>
        <v>0</v>
      </c>
      <c r="CL21" s="898"/>
      <c r="CM21" s="899" t="b">
        <f>IF(AND($C21&lt;&gt;"",AS21=""),TRUE,FALSE)</f>
        <v>0</v>
      </c>
      <c r="CN21" s="898"/>
      <c r="CO21" s="899" t="b">
        <f>IF(AND($C21&lt;&gt;"",AU21=""),TRUE,FALSE)</f>
        <v>0</v>
      </c>
      <c r="CP21" s="898"/>
      <c r="CQ21" s="899" t="b">
        <f>IF(AND($C21&lt;&gt;"",AW21=""),TRUE,FALSE)</f>
        <v>0</v>
      </c>
      <c r="CR21" s="898"/>
      <c r="CS21" s="899" t="b">
        <f>IF(AND($C21&lt;&gt;"",AY21=""),TRUE,FALSE)</f>
        <v>0</v>
      </c>
      <c r="CT21" s="898"/>
      <c r="CU21" s="898" t="b">
        <f>IF(AND($C21&lt;&gt;"",BA21=""),TRUE,FALSE)</f>
        <v>0</v>
      </c>
      <c r="CV21" s="894"/>
      <c r="CW21" s="898" t="str">
        <f t="shared" si="2"/>
        <v/>
      </c>
      <c r="CX21" s="898" t="str">
        <f>IFERROR(IF(AND(S21="",S21&lt;&gt;""),1913,VLOOKUP(S21,Valid!$B$99:$J$120,9)),"")</f>
        <v/>
      </c>
      <c r="CY21" s="898" t="str">
        <f t="shared" ca="1" si="3"/>
        <v/>
      </c>
      <c r="CZ21" s="1547" t="str">
        <f t="shared" ca="1" si="8"/>
        <v/>
      </c>
      <c r="DA21" s="898" t="str">
        <f ca="1">IF(CZ21="", "", IF(1+(CZ21*4)&lt;1, 1, 1+(CZ21*4)))</f>
        <v/>
      </c>
      <c r="DB21" s="898" t="str">
        <f t="shared" si="4"/>
        <v/>
      </c>
      <c r="DC21" s="898" t="str">
        <f t="shared" si="5"/>
        <v/>
      </c>
      <c r="DD21" s="1539" t="str">
        <f>IFERROR(IF(AND(AM21="",C21&lt;&gt;""),Valid!$E$123,VLOOKUP(AM21,Valid!$B$123:$F$125,4,FALSE)),"")</f>
        <v/>
      </c>
      <c r="DE21" s="1539" t="str">
        <f>IFERROR(IF(AND(AM21="",C21&lt;&gt;""),Valid!$F$123,VLOOKUP(AM21,Valid!$B$123:$F$125,5,FALSE)),"")</f>
        <v/>
      </c>
      <c r="DF21" s="1539" t="str">
        <f>IFERROR(VLOOKUP('A-70 RevVehInv'!S21,Valid!$B$99:$I$120,7), "")</f>
        <v/>
      </c>
      <c r="DG21" s="1539" t="str">
        <f>IFERROR(VLOOKUP(S21,Valid!$B$99:$I$120,8), "")</f>
        <v/>
      </c>
      <c r="DH21" s="894"/>
    </row>
    <row r="22" spans="1:112" ht="6.75" customHeight="1" x14ac:dyDescent="0.2">
      <c r="A22" s="1517"/>
      <c r="B22" s="1530">
        <v>5.5</v>
      </c>
      <c r="C22" s="1540"/>
      <c r="D22" s="905"/>
      <c r="E22" s="1541"/>
      <c r="F22" s="905"/>
      <c r="G22" s="905"/>
      <c r="H22" s="905"/>
      <c r="I22" s="1534"/>
      <c r="J22" s="905"/>
      <c r="K22" s="1534"/>
      <c r="L22" s="905"/>
      <c r="M22" s="1534"/>
      <c r="N22" s="905"/>
      <c r="O22" s="1534"/>
      <c r="P22" s="905"/>
      <c r="Q22" s="1534"/>
      <c r="R22" s="1531"/>
      <c r="S22" s="1542"/>
      <c r="T22" s="905"/>
      <c r="U22" s="1542"/>
      <c r="V22" s="905"/>
      <c r="W22" s="1534" t="str">
        <f t="shared" si="0"/>
        <v/>
      </c>
      <c r="X22" s="905"/>
      <c r="Y22" s="1534"/>
      <c r="Z22" s="252" t="str">
        <f t="shared" si="1"/>
        <v/>
      </c>
      <c r="AA22" s="1534"/>
      <c r="AB22" s="905"/>
      <c r="AC22" s="1973" t="str">
        <f t="shared" si="6"/>
        <v/>
      </c>
      <c r="AD22" s="905"/>
      <c r="AE22" s="1985" t="str">
        <f t="shared" si="7"/>
        <v/>
      </c>
      <c r="AF22" s="905"/>
      <c r="AG22" s="1543"/>
      <c r="AH22" s="1531"/>
      <c r="AI22" s="1534"/>
      <c r="AJ22" s="1531"/>
      <c r="AK22" s="1534"/>
      <c r="AL22" s="1531"/>
      <c r="AM22" s="1543"/>
      <c r="AN22" s="1531"/>
      <c r="AO22" s="1543"/>
      <c r="AP22" s="1531"/>
      <c r="AQ22" s="1534"/>
      <c r="AR22" s="1531"/>
      <c r="AS22" s="1534"/>
      <c r="AT22" s="1531"/>
      <c r="AU22" s="1534"/>
      <c r="AV22" s="1531"/>
      <c r="AW22" s="1534"/>
      <c r="AX22" s="1531"/>
      <c r="AY22" s="1534"/>
      <c r="AZ22" s="1531"/>
      <c r="BA22" s="1543"/>
      <c r="BB22" s="1531"/>
      <c r="BC22" s="1534"/>
      <c r="BD22" s="1531"/>
      <c r="BE22" s="1531"/>
      <c r="BF22" s="1531"/>
      <c r="BG22" s="1531"/>
      <c r="BH22" s="1531"/>
      <c r="BI22" s="1535"/>
      <c r="BJ22" s="1534"/>
      <c r="BK22" s="1535"/>
      <c r="BL22" s="1534"/>
      <c r="BM22" s="1535"/>
      <c r="BN22" s="1534"/>
      <c r="BO22" s="1535"/>
      <c r="BP22" s="1534"/>
      <c r="BQ22" s="1535"/>
      <c r="BR22" s="1534"/>
      <c r="BS22" s="1535"/>
      <c r="BT22" s="1534"/>
      <c r="BU22" s="1535"/>
      <c r="BV22" s="1534"/>
      <c r="BW22" s="1535"/>
      <c r="BX22" s="1534"/>
      <c r="BY22" s="1535"/>
      <c r="BZ22" s="1534"/>
      <c r="CA22" s="1535"/>
      <c r="CB22" s="1534"/>
      <c r="CC22" s="1535"/>
      <c r="CD22" s="1534"/>
      <c r="CE22" s="1534"/>
      <c r="CF22" s="1535"/>
      <c r="CG22" s="1534"/>
      <c r="CH22" s="1535"/>
      <c r="CI22" s="1534"/>
      <c r="CJ22" s="1535"/>
      <c r="CK22" s="1534"/>
      <c r="CL22" s="1535"/>
      <c r="CM22" s="1534"/>
      <c r="CN22" s="1535"/>
      <c r="CO22" s="1534"/>
      <c r="CP22" s="1535"/>
      <c r="CQ22" s="1534"/>
      <c r="CR22" s="1535"/>
      <c r="CS22" s="1534"/>
      <c r="CT22" s="1535"/>
      <c r="CU22" s="1535"/>
      <c r="CV22" s="1531"/>
      <c r="CW22" s="898" t="str">
        <f t="shared" si="2"/>
        <v/>
      </c>
      <c r="CX22" s="898" t="str">
        <f>IFERROR(IF(AND(S22="",S22&lt;&gt;""),1913,VLOOKUP(S22,Valid!$B$99:$J$120,9)),"")</f>
        <v/>
      </c>
      <c r="CY22" s="898" t="str">
        <f t="shared" ca="1" si="3"/>
        <v/>
      </c>
      <c r="CZ22" s="1547" t="str">
        <f t="shared" ca="1" si="8"/>
        <v/>
      </c>
      <c r="DA22" s="898"/>
      <c r="DB22" s="898" t="str">
        <f t="shared" si="4"/>
        <v/>
      </c>
      <c r="DC22" s="898" t="str">
        <f t="shared" si="5"/>
        <v/>
      </c>
      <c r="DD22" s="1539" t="str">
        <f>IFERROR(IF(AND(AM22="",C22&lt;&gt;""),Valid!$E$123,VLOOKUP(AM22,Valid!$B$123:$F$125,4,FALSE)),"")</f>
        <v/>
      </c>
      <c r="DE22" s="1539" t="str">
        <f>IFERROR(IF(AND(AM22="",C22&lt;&gt;""),Valid!$F$123,VLOOKUP(AM22,Valid!$B$123:$F$125,5,FALSE)),"")</f>
        <v/>
      </c>
      <c r="DF22" s="1539" t="str">
        <f>IFERROR(VLOOKUP('A-70 RevVehInv'!S22,Valid!$B$99:$I$120,7), "")</f>
        <v/>
      </c>
      <c r="DG22" s="1539" t="str">
        <f>IFERROR(VLOOKUP(S22,Valid!$B$99:$I$120,8), "")</f>
        <v/>
      </c>
      <c r="DH22" s="1531"/>
    </row>
    <row r="23" spans="1:112" s="930" customFormat="1" x14ac:dyDescent="0.2">
      <c r="A23" s="206">
        <v>6</v>
      </c>
      <c r="B23" s="1530">
        <v>6</v>
      </c>
      <c r="C23" s="933"/>
      <c r="D23" s="719" t="str">
        <f>IF(C21="","",IF((C23=""),"Enter RVI ID. then Fill in Columns "&amp;TEXT($I$2,0)&amp;" - "&amp;TEXT($BA$2,0)&amp;"       ",""))</f>
        <v/>
      </c>
      <c r="E23" s="1056" t="str">
        <f>IF(BH23="N/A","",BH23)</f>
        <v/>
      </c>
      <c r="F23" s="1536"/>
      <c r="G23" s="1536"/>
      <c r="H23" s="1536"/>
      <c r="I23" s="1023"/>
      <c r="J23" s="1536" t="str">
        <f>IF(E23&lt;&gt;"","Vehicles?    ","")</f>
        <v/>
      </c>
      <c r="K23" s="1023"/>
      <c r="L23" s="1536" t="str">
        <f>IF(E23&lt;&gt;"","Active Vehicles?     ","")</f>
        <v/>
      </c>
      <c r="M23" s="1023"/>
      <c r="N23" s="1536" t="str">
        <f>IF(E23&lt;&gt;"","ADA Vehicles?       ","")</f>
        <v/>
      </c>
      <c r="O23" s="1023"/>
      <c r="P23" s="1536" t="str">
        <f>IF(E23&lt;&gt;"","Cont. Vehicles?     ","")</f>
        <v/>
      </c>
      <c r="Q23" s="1024"/>
      <c r="R23" s="894"/>
      <c r="S23" s="1153"/>
      <c r="T23" s="252" t="str">
        <f>IF(E23&lt;&gt;"","Select from Pull-Down List    ","")</f>
        <v/>
      </c>
      <c r="U23" s="933"/>
      <c r="V23" s="252" t="str">
        <f>IF(E23&lt;&gt;"","Select from Pull-Down List    ","")</f>
        <v/>
      </c>
      <c r="W23" s="1024" t="str">
        <f t="shared" si="0"/>
        <v/>
      </c>
      <c r="X23" s="252"/>
      <c r="Y23" s="1988"/>
      <c r="Z23" s="252" t="str">
        <f t="shared" si="1"/>
        <v/>
      </c>
      <c r="AA23" s="139"/>
      <c r="AB23" s="252" t="str">
        <f>IF(E23&lt;&gt;"","Mfg. Yr?    ","")</f>
        <v/>
      </c>
      <c r="AC23" s="1972" t="str">
        <f t="shared" si="6"/>
        <v/>
      </c>
      <c r="AD23" s="252"/>
      <c r="AE23" s="1984" t="str">
        <f t="shared" si="7"/>
        <v/>
      </c>
      <c r="AF23" s="252"/>
      <c r="AG23" s="933"/>
      <c r="AH23" s="252" t="str">
        <f>IF(E23&lt;&gt;"","Select from Pull-Down List    ","")</f>
        <v/>
      </c>
      <c r="AI23" s="933"/>
      <c r="AJ23" s="252" t="str">
        <f>IF(E23&lt;&gt;"","Number?   ","")</f>
        <v/>
      </c>
      <c r="AK23" s="139"/>
      <c r="AL23" s="252" t="str">
        <f>IF(E23&lt;&gt;"","Last Rnwl. Yr?   ","")</f>
        <v/>
      </c>
      <c r="AM23" s="933"/>
      <c r="AN23" s="252" t="str">
        <f>IF(E23&lt;&gt;"","Select from Pull-Down List    ","")</f>
        <v/>
      </c>
      <c r="AO23" s="933"/>
      <c r="AP23" s="252" t="str">
        <f>IF(E23&lt;&gt;"","Select from Pull-Down List    ","")</f>
        <v/>
      </c>
      <c r="AQ23" s="1023"/>
      <c r="AR23" s="252" t="str">
        <f>IF(E23&lt;&gt;"","Feet?    ","")</f>
        <v/>
      </c>
      <c r="AS23" s="1023"/>
      <c r="AT23" s="252" t="str">
        <f>IF(E23&lt;&gt;"","Seats?    ","")</f>
        <v/>
      </c>
      <c r="AU23" s="1023"/>
      <c r="AV23" s="252" t="str">
        <f>IF(E23&lt;&gt;"","Standing?    ","")</f>
        <v/>
      </c>
      <c r="AW23" s="1023"/>
      <c r="AX23" s="252" t="str">
        <f>IF(E23&lt;&gt;"","Mileage?       ","")</f>
        <v/>
      </c>
      <c r="AY23" s="1023"/>
      <c r="AZ23" s="252" t="str">
        <f>IF(E23&lt;&gt;"","Avg. Lifetime Mileage? ","")</f>
        <v/>
      </c>
      <c r="BA23" s="933"/>
      <c r="BB23" s="252" t="str">
        <f>IF(E23&lt;&gt;"","Select from Pull-Down List    ","")</f>
        <v/>
      </c>
      <c r="BC23" s="171"/>
      <c r="BD23" s="252" t="str">
        <f>IF(OR(AO23="OR - Other fuel (describe in Notes)",AG23="ZZZ - Other (describe in Notes)"),"Describe                                                                                                     ","")</f>
        <v/>
      </c>
      <c r="BE23" s="894"/>
      <c r="BF23" s="894"/>
      <c r="BG23" s="894" t="b">
        <f>IF(AND(C23="",C25&lt;&gt;""),TRUE,FALSE)</f>
        <v>0</v>
      </c>
      <c r="BH23" s="888" t="str">
        <f>IF(AND(C23&lt;&gt;"",OR(I23="",K23="",M23="",O23="",S23="",U23="",AA23="",AG23="",AI23="",AO23="",AQ23="",AS23="",AU23="",AW23="",AY23="")),"No",IF(AND(C23="",OR(I23&lt;&gt;"",K23&lt;&gt;"",M23&lt;&gt;"",O23&lt;&gt;"",S23&lt;&gt;"",U23&lt;&gt;"",AA23&lt;&gt;"",AG23&lt;&gt;"",AI23&lt;&gt;"",AK23&lt;&gt;"",AM23&lt;&gt;"",AO23&lt;&gt;"",AQ23&lt;&gt;"",AS23&lt;&gt;"",AU23&lt;&gt;"",AW23&lt;&gt;"",AY23&lt;&gt;"",BA23&lt;&gt;"",BC23&lt;&gt;"")),"No",IF(AND(C23="",I23="",K23="",M23="",O23="",S23="",U23="",AA23="",AG23="",AI23="",AK23="",AM23="",AO23="",AQ23="",AS23="",AU23="",AW23="",AY23="",BA23=""),"N/A","Yes")))</f>
        <v>N/A</v>
      </c>
      <c r="BI23" s="898"/>
      <c r="BJ23" s="899" t="b">
        <f>IF(AND(OR(I23&lt;&gt;"",K23&lt;&gt;"",M23&lt;&gt;"",O23&lt;&gt;"",S23&lt;&gt;"",U23&lt;&gt;"",AA23&lt;&gt;"",AG23&lt;&gt;"",AI23&lt;&gt;"",AK23&lt;&gt;"",AM23&lt;&gt;"",AO23&lt;&gt;"",AQ23&lt;&gt;"",AS23&lt;&gt;"",AW23&lt;&gt;"",AY23&lt;&gt;"",BA23&lt;&gt;"",BC23&lt;&gt;""),C23=""),TRUE,FALSE)</f>
        <v>0</v>
      </c>
      <c r="BK23" s="898" t="b">
        <f>IF(BL23=TRUE,FALSE,IF(SUM(K23,O23)&gt;I23,TRUE,FALSE))</f>
        <v>0</v>
      </c>
      <c r="BL23" s="899" t="b">
        <f>IF(AND(C23&lt;&gt;"",I23=""),TRUE,FALSE)</f>
        <v>0</v>
      </c>
      <c r="BM23" s="898" t="b">
        <f>IF(BN23=TRUE,FALSE,IF(M23&gt;K23,TRUE,FALSE))</f>
        <v>0</v>
      </c>
      <c r="BN23" s="899" t="b">
        <f>IF(AND($C23&lt;&gt;"",K23=""),TRUE,FALSE)</f>
        <v>0</v>
      </c>
      <c r="BO23" s="898"/>
      <c r="BP23" s="899" t="b">
        <f>IF(AND($C23&lt;&gt;"",M23=""),TRUE,FALSE)</f>
        <v>0</v>
      </c>
      <c r="BQ23" s="898"/>
      <c r="BR23" s="899" t="b">
        <f>IF(AND($C23&lt;&gt;"",O23=""),TRUE,FALSE)</f>
        <v>0</v>
      </c>
      <c r="BS23" s="898" t="b">
        <f>IF(AND(S23="",OR(U23&lt;&gt;"",AA23&lt;&gt;"",AG23&lt;&gt;"",AI23&lt;&gt;"",AK23&lt;&gt;"",AM23&lt;&gt;"",AO23&lt;&gt;"",AQ23&lt;&gt;"",AS23&lt;&gt;"",AU23&lt;&gt;"",AW23&lt;&gt;"",AY23&lt;&gt;"",BA23&lt;&gt;"")),TRUE,FALSE)</f>
        <v>0</v>
      </c>
      <c r="BT23" s="899" t="b">
        <f>IF(AND($C23&lt;&gt;"",S23=""),TRUE,FALSE)</f>
        <v>0</v>
      </c>
      <c r="BU23" s="898"/>
      <c r="BV23" s="899" t="b">
        <f>IF(AND($C23&lt;&gt;"",U23=""),TRUE,FALSE)</f>
        <v>0</v>
      </c>
      <c r="BW23" s="1537" t="b">
        <f>IF(BX23=TRUE,FALSE,IF(AA23="",FALSE,IF(OR(AA23&lt;CX23,AA23&gt;BaseYear),TRUE,FALSE)))</f>
        <v>0</v>
      </c>
      <c r="BX23" s="899" t="b">
        <f>IF(AND($C23&lt;&gt;"",AA23=""),TRUE,FALSE)</f>
        <v>0</v>
      </c>
      <c r="BY23" s="898"/>
      <c r="BZ23" s="899" t="b">
        <f>IF(AND($C23&lt;&gt;"",AG23=""),TRUE,FALSE)</f>
        <v>0</v>
      </c>
      <c r="CA23" s="898"/>
      <c r="CB23" s="899" t="b">
        <f>IF(AND($C23&lt;&gt;"",AI23=""),TRUE,FALSE)</f>
        <v>0</v>
      </c>
      <c r="CC23" s="1537" t="b">
        <f>IF(AK23="",FALSE,IF(OR(AK23&lt;CX23,AK23&gt;BaseYear),TRUE,FALSE))</f>
        <v>0</v>
      </c>
      <c r="CD23" s="1538" t="b">
        <f>IF(AK23="",FALSE,IF(AK23&lt;AA23,TRUE,FALSE))</f>
        <v>0</v>
      </c>
      <c r="CE23" s="899" t="b">
        <f>IF(AND($AM23&lt;&gt;"",AK23=""),TRUE,FALSE)</f>
        <v>0</v>
      </c>
      <c r="CF23" s="898"/>
      <c r="CG23" s="899" t="b">
        <f>IF(AND($AK23&lt;&gt;"",AM23=""),TRUE,FALSE)</f>
        <v>0</v>
      </c>
      <c r="CH23" s="898"/>
      <c r="CI23" s="899" t="b">
        <f>IF(AND($C23&lt;&gt;"",AO23=""),TRUE,FALSE)</f>
        <v>0</v>
      </c>
      <c r="CJ23" s="1537"/>
      <c r="CK23" s="899" t="b">
        <f>IF(AND($C23&lt;&gt;"",AQ23=""),TRUE,FALSE)</f>
        <v>0</v>
      </c>
      <c r="CL23" s="898"/>
      <c r="CM23" s="899" t="b">
        <f>IF(AND($C23&lt;&gt;"",AS23=""),TRUE,FALSE)</f>
        <v>0</v>
      </c>
      <c r="CN23" s="898"/>
      <c r="CO23" s="899" t="b">
        <f>IF(AND($C23&lt;&gt;"",AU23=""),TRUE,FALSE)</f>
        <v>0</v>
      </c>
      <c r="CP23" s="898"/>
      <c r="CQ23" s="899" t="b">
        <f>IF(AND($C23&lt;&gt;"",AW23=""),TRUE,FALSE)</f>
        <v>0</v>
      </c>
      <c r="CR23" s="898"/>
      <c r="CS23" s="899" t="b">
        <f>IF(AND($C23&lt;&gt;"",AY23=""),TRUE,FALSE)</f>
        <v>0</v>
      </c>
      <c r="CT23" s="898"/>
      <c r="CU23" s="898" t="b">
        <f>IF(AND($C23&lt;&gt;"",BA23=""),TRUE,FALSE)</f>
        <v>0</v>
      </c>
      <c r="CV23" s="894"/>
      <c r="CW23" s="898" t="str">
        <f t="shared" si="2"/>
        <v/>
      </c>
      <c r="CX23" s="898" t="str">
        <f>IFERROR(IF(AND(S23="",S23&lt;&gt;""),1913,VLOOKUP(S23,Valid!$B$99:$J$120,9)),"")</f>
        <v/>
      </c>
      <c r="CY23" s="898" t="str">
        <f t="shared" ca="1" si="3"/>
        <v/>
      </c>
      <c r="CZ23" s="1547" t="str">
        <f t="shared" ca="1" si="8"/>
        <v/>
      </c>
      <c r="DA23" s="898" t="str">
        <f ca="1">IF(CZ23="", "", IF(1+(CZ23*4)&lt;1, 1, 1+(CZ23*4)))</f>
        <v/>
      </c>
      <c r="DB23" s="898" t="str">
        <f t="shared" si="4"/>
        <v/>
      </c>
      <c r="DC23" s="898" t="str">
        <f t="shared" si="5"/>
        <v/>
      </c>
      <c r="DD23" s="1539" t="str">
        <f>IFERROR(IF(AND(AM23="",C23&lt;&gt;""),Valid!$E$123,VLOOKUP(AM23,Valid!$B$123:$F$125,4,FALSE)),"")</f>
        <v/>
      </c>
      <c r="DE23" s="1539" t="str">
        <f>IFERROR(IF(AND(AM23="",C23&lt;&gt;""),Valid!$F$123,VLOOKUP(AM23,Valid!$B$123:$F$125,5,FALSE)),"")</f>
        <v/>
      </c>
      <c r="DF23" s="1539" t="str">
        <f>IFERROR(VLOOKUP('A-70 RevVehInv'!S23,Valid!$B$99:$I$120,7), "")</f>
        <v/>
      </c>
      <c r="DG23" s="1539" t="str">
        <f>IFERROR(VLOOKUP(S23,Valid!$B$99:$I$120,8), "")</f>
        <v/>
      </c>
      <c r="DH23" s="894"/>
    </row>
    <row r="24" spans="1:112" ht="6.75" customHeight="1" x14ac:dyDescent="0.2">
      <c r="A24" s="1517"/>
      <c r="B24" s="1530">
        <v>6.5</v>
      </c>
      <c r="C24" s="1544"/>
      <c r="D24" s="905"/>
      <c r="E24" s="1545"/>
      <c r="F24" s="905"/>
      <c r="G24" s="905"/>
      <c r="H24" s="905"/>
      <c r="I24" s="1531"/>
      <c r="J24" s="905"/>
      <c r="K24" s="1531"/>
      <c r="L24" s="905"/>
      <c r="M24" s="1531"/>
      <c r="N24" s="905"/>
      <c r="O24" s="1531"/>
      <c r="P24" s="905"/>
      <c r="Q24" s="1531"/>
      <c r="R24" s="1531"/>
      <c r="S24" s="1533"/>
      <c r="T24" s="905"/>
      <c r="U24" s="1533"/>
      <c r="V24" s="905"/>
      <c r="W24" s="1531" t="str">
        <f t="shared" si="0"/>
        <v/>
      </c>
      <c r="X24" s="905"/>
      <c r="Y24" s="1531"/>
      <c r="Z24" s="252" t="str">
        <f t="shared" si="1"/>
        <v/>
      </c>
      <c r="AA24" s="1531"/>
      <c r="AB24" s="905"/>
      <c r="AC24" s="1971" t="str">
        <f t="shared" si="6"/>
        <v/>
      </c>
      <c r="AD24" s="905"/>
      <c r="AE24" s="1983" t="str">
        <f t="shared" si="7"/>
        <v/>
      </c>
      <c r="AF24" s="905"/>
      <c r="AG24" s="1546"/>
      <c r="AH24" s="1531"/>
      <c r="AI24" s="1531"/>
      <c r="AJ24" s="1531"/>
      <c r="AK24" s="1531"/>
      <c r="AL24" s="1531"/>
      <c r="AM24" s="1546"/>
      <c r="AN24" s="1531"/>
      <c r="AO24" s="1546"/>
      <c r="AP24" s="1531"/>
      <c r="AQ24" s="1531"/>
      <c r="AR24" s="1531"/>
      <c r="AS24" s="1531"/>
      <c r="AT24" s="1531"/>
      <c r="AU24" s="1531"/>
      <c r="AV24" s="1531"/>
      <c r="AW24" s="1531"/>
      <c r="AX24" s="1531"/>
      <c r="AY24" s="1531"/>
      <c r="AZ24" s="1531"/>
      <c r="BA24" s="1546"/>
      <c r="BB24" s="1531"/>
      <c r="BC24" s="1531"/>
      <c r="BD24" s="1531"/>
      <c r="BE24" s="1531"/>
      <c r="BF24" s="1531"/>
      <c r="BG24" s="1531"/>
      <c r="BH24" s="1531"/>
      <c r="BI24" s="1535"/>
      <c r="BJ24" s="1534"/>
      <c r="BK24" s="1535"/>
      <c r="BL24" s="1534"/>
      <c r="BM24" s="1535"/>
      <c r="BN24" s="1534"/>
      <c r="BO24" s="1535"/>
      <c r="BP24" s="1534"/>
      <c r="BQ24" s="1535"/>
      <c r="BR24" s="1534"/>
      <c r="BS24" s="1535"/>
      <c r="BT24" s="1534"/>
      <c r="BU24" s="1535"/>
      <c r="BV24" s="1534"/>
      <c r="BW24" s="1535"/>
      <c r="BX24" s="1534"/>
      <c r="BY24" s="1535"/>
      <c r="BZ24" s="1534"/>
      <c r="CA24" s="1535"/>
      <c r="CB24" s="1534"/>
      <c r="CC24" s="1535"/>
      <c r="CD24" s="1534"/>
      <c r="CE24" s="1534"/>
      <c r="CF24" s="1535"/>
      <c r="CG24" s="1534"/>
      <c r="CH24" s="1535"/>
      <c r="CI24" s="1534"/>
      <c r="CJ24" s="1535"/>
      <c r="CK24" s="1534"/>
      <c r="CL24" s="1535"/>
      <c r="CM24" s="1534"/>
      <c r="CN24" s="1535"/>
      <c r="CO24" s="1534"/>
      <c r="CP24" s="1535"/>
      <c r="CQ24" s="1534"/>
      <c r="CR24" s="1535"/>
      <c r="CS24" s="1534"/>
      <c r="CT24" s="1535"/>
      <c r="CU24" s="1535"/>
      <c r="CV24" s="1531"/>
      <c r="CW24" s="898" t="str">
        <f t="shared" si="2"/>
        <v/>
      </c>
      <c r="CX24" s="898" t="str">
        <f>IFERROR(IF(AND(S24="",S24&lt;&gt;""),1913,VLOOKUP(S24,Valid!$B$99:$J$120,9)),"")</f>
        <v/>
      </c>
      <c r="CY24" s="898" t="str">
        <f t="shared" ca="1" si="3"/>
        <v/>
      </c>
      <c r="CZ24" s="1547" t="str">
        <f t="shared" ca="1" si="8"/>
        <v/>
      </c>
      <c r="DA24" s="898"/>
      <c r="DB24" s="898" t="str">
        <f t="shared" si="4"/>
        <v/>
      </c>
      <c r="DC24" s="898" t="str">
        <f t="shared" si="5"/>
        <v/>
      </c>
      <c r="DD24" s="1539" t="str">
        <f>IFERROR(IF(AND(AM24="",C24&lt;&gt;""),Valid!$E$123,VLOOKUP(AM24,Valid!$B$123:$F$125,4,FALSE)),"")</f>
        <v/>
      </c>
      <c r="DE24" s="1539" t="str">
        <f>IFERROR(IF(AND(AM24="",C24&lt;&gt;""),Valid!$F$123,VLOOKUP(AM24,Valid!$B$123:$F$125,5,FALSE)),"")</f>
        <v/>
      </c>
      <c r="DF24" s="1539" t="str">
        <f>IFERROR(VLOOKUP('A-70 RevVehInv'!S24,Valid!$B$99:$I$120,7), "")</f>
        <v/>
      </c>
      <c r="DG24" s="1539" t="str">
        <f>IFERROR(VLOOKUP(S24,Valid!$B$99:$I$120,8), "")</f>
        <v/>
      </c>
      <c r="DH24" s="1531"/>
    </row>
    <row r="25" spans="1:112" s="930" customFormat="1" x14ac:dyDescent="0.2">
      <c r="A25" s="206">
        <v>7</v>
      </c>
      <c r="B25" s="1530">
        <v>7</v>
      </c>
      <c r="C25" s="933"/>
      <c r="D25" s="719" t="str">
        <f>IF(C23="","",IF((C25=""),"Enter RVI ID. then Fill in Columns "&amp;TEXT($I$2,0)&amp;" - "&amp;TEXT($BA$2,0)&amp;"       ",""))</f>
        <v/>
      </c>
      <c r="E25" s="1056" t="str">
        <f>IF(BH25="N/A","",BH25)</f>
        <v/>
      </c>
      <c r="F25" s="1536"/>
      <c r="G25" s="1536"/>
      <c r="H25" s="1536"/>
      <c r="I25" s="1023"/>
      <c r="J25" s="1536" t="str">
        <f>IF(E25&lt;&gt;"","Vehicles?    ","")</f>
        <v/>
      </c>
      <c r="K25" s="1023"/>
      <c r="L25" s="1536" t="str">
        <f>IF(E25&lt;&gt;"","Active Vehicles?     ","")</f>
        <v/>
      </c>
      <c r="M25" s="1023"/>
      <c r="N25" s="1536" t="str">
        <f>IF(E25&lt;&gt;"","ADA Vehicles?       ","")</f>
        <v/>
      </c>
      <c r="O25" s="1023"/>
      <c r="P25" s="1536" t="str">
        <f>IF(E25&lt;&gt;"","Cont. Vehicles?     ","")</f>
        <v/>
      </c>
      <c r="Q25" s="1024"/>
      <c r="R25" s="894"/>
      <c r="S25" s="1153"/>
      <c r="T25" s="252" t="str">
        <f>IF(E25&lt;&gt;"","Select from Pull-Down List    ","")</f>
        <v/>
      </c>
      <c r="U25" s="933"/>
      <c r="V25" s="252" t="str">
        <f>IF(E25&lt;&gt;"","Select from Pull-Down List    ","")</f>
        <v/>
      </c>
      <c r="W25" s="1024" t="str">
        <f t="shared" si="0"/>
        <v/>
      </c>
      <c r="X25" s="252"/>
      <c r="Y25" s="1988"/>
      <c r="Z25" s="252" t="str">
        <f t="shared" si="1"/>
        <v/>
      </c>
      <c r="AA25" s="139"/>
      <c r="AB25" s="252" t="str">
        <f>IF(E25&lt;&gt;"","Mfg. Yr?    ","")</f>
        <v/>
      </c>
      <c r="AC25" s="1972" t="str">
        <f t="shared" si="6"/>
        <v/>
      </c>
      <c r="AD25" s="252"/>
      <c r="AE25" s="1984" t="str">
        <f t="shared" si="7"/>
        <v/>
      </c>
      <c r="AF25" s="252"/>
      <c r="AG25" s="933"/>
      <c r="AH25" s="252" t="str">
        <f>IF(E25&lt;&gt;"","Select from Pull-Down List    ","")</f>
        <v/>
      </c>
      <c r="AI25" s="933"/>
      <c r="AJ25" s="252" t="str">
        <f>IF(E25&lt;&gt;"","Number?   ","")</f>
        <v/>
      </c>
      <c r="AK25" s="139"/>
      <c r="AL25" s="252" t="str">
        <f>IF(E25&lt;&gt;"","Last Rnwl. Yr?   ","")</f>
        <v/>
      </c>
      <c r="AM25" s="933"/>
      <c r="AN25" s="252" t="str">
        <f>IF(E25&lt;&gt;"","Select from Pull-Down List    ","")</f>
        <v/>
      </c>
      <c r="AO25" s="933"/>
      <c r="AP25" s="252" t="str">
        <f>IF(E25&lt;&gt;"","Select from Pull-Down List    ","")</f>
        <v/>
      </c>
      <c r="AQ25" s="1023"/>
      <c r="AR25" s="252" t="str">
        <f>IF(E25&lt;&gt;"","Feet?    ","")</f>
        <v/>
      </c>
      <c r="AS25" s="1023"/>
      <c r="AT25" s="252" t="str">
        <f>IF(E25&lt;&gt;"","Seats?    ","")</f>
        <v/>
      </c>
      <c r="AU25" s="1023"/>
      <c r="AV25" s="252" t="str">
        <f>IF(E25&lt;&gt;"","Standing?    ","")</f>
        <v/>
      </c>
      <c r="AW25" s="1023"/>
      <c r="AX25" s="252" t="str">
        <f>IF(E25&lt;&gt;"","Mileage?       ","")</f>
        <v/>
      </c>
      <c r="AY25" s="1023"/>
      <c r="AZ25" s="252" t="str">
        <f>IF(E25&lt;&gt;"","Avg. Lifetime Mileage? ","")</f>
        <v/>
      </c>
      <c r="BA25" s="933"/>
      <c r="BB25" s="252" t="str">
        <f>IF(E25&lt;&gt;"","Select from Pull-Down List    ","")</f>
        <v/>
      </c>
      <c r="BC25" s="171"/>
      <c r="BD25" s="252" t="str">
        <f>IF(OR(AO25="OR - Other fuel (describe in Notes)",AG25="ZZZ - Other (describe in Notes)"),"Describe                                                                                                     ","")</f>
        <v/>
      </c>
      <c r="BE25" s="894"/>
      <c r="BF25" s="894"/>
      <c r="BG25" s="894" t="b">
        <f>IF(AND(C25="",C27&lt;&gt;""),TRUE,FALSE)</f>
        <v>0</v>
      </c>
      <c r="BH25" s="888" t="str">
        <f>IF(AND(C25&lt;&gt;"",OR(I25="",K25="",M25="",O25="",S25="",U25="",AA25="",AG25="",AI25="",AO25="",AQ25="",AS25="",AU25="",AW25="",AY25="")),"No",IF(AND(C25="",OR(I25&lt;&gt;"",K25&lt;&gt;"",M25&lt;&gt;"",O25&lt;&gt;"",S25&lt;&gt;"",U25&lt;&gt;"",AA25&lt;&gt;"",AG25&lt;&gt;"",AI25&lt;&gt;"",AK25&lt;&gt;"",AM25&lt;&gt;"",AO25&lt;&gt;"",AQ25&lt;&gt;"",AS25&lt;&gt;"",AU25&lt;&gt;"",AW25&lt;&gt;"",AY25&lt;&gt;"",BA25&lt;&gt;"",BC25&lt;&gt;"")),"No",IF(AND(C25="",I25="",K25="",M25="",O25="",S25="",U25="",AA25="",AG25="",AI25="",AK25="",AM25="",AO25="",AQ25="",AS25="",AU25="",AW25="",AY25="",BA25=""),"N/A","Yes")))</f>
        <v>N/A</v>
      </c>
      <c r="BI25" s="898"/>
      <c r="BJ25" s="899" t="b">
        <f>IF(AND(OR(I25&lt;&gt;"",K25&lt;&gt;"",M25&lt;&gt;"",O25&lt;&gt;"",S25&lt;&gt;"",U25&lt;&gt;"",AA25&lt;&gt;"",AG25&lt;&gt;"",AI25&lt;&gt;"",AK25&lt;&gt;"",AM25&lt;&gt;"",AO25&lt;&gt;"",AQ25&lt;&gt;"",AS25&lt;&gt;"",AW25&lt;&gt;"",AY25&lt;&gt;"",BA25&lt;&gt;"",BC25&lt;&gt;""),C25=""),TRUE,FALSE)</f>
        <v>0</v>
      </c>
      <c r="BK25" s="898" t="b">
        <f>IF(BL25=TRUE,FALSE,IF(SUM(K25,O25)&gt;I25,TRUE,FALSE))</f>
        <v>0</v>
      </c>
      <c r="BL25" s="899" t="b">
        <f>IF(AND(C25&lt;&gt;"",I25=""),TRUE,FALSE)</f>
        <v>0</v>
      </c>
      <c r="BM25" s="898" t="b">
        <f>IF(BN25=TRUE,FALSE,IF(M25&gt;K25,TRUE,FALSE))</f>
        <v>0</v>
      </c>
      <c r="BN25" s="899" t="b">
        <f>IF(AND($C25&lt;&gt;"",K25=""),TRUE,FALSE)</f>
        <v>0</v>
      </c>
      <c r="BO25" s="898"/>
      <c r="BP25" s="899" t="b">
        <f>IF(AND($C25&lt;&gt;"",M25=""),TRUE,FALSE)</f>
        <v>0</v>
      </c>
      <c r="BQ25" s="898"/>
      <c r="BR25" s="899" t="b">
        <f>IF(AND($C25&lt;&gt;"",O25=""),TRUE,FALSE)</f>
        <v>0</v>
      </c>
      <c r="BS25" s="898" t="b">
        <f>IF(AND(S25="",OR(U25&lt;&gt;"",AA25&lt;&gt;"",AG25&lt;&gt;"",AI25&lt;&gt;"",AK25&lt;&gt;"",AM25&lt;&gt;"",AO25&lt;&gt;"",AQ25&lt;&gt;"",AS25&lt;&gt;"",AU25&lt;&gt;"",AW25&lt;&gt;"",AY25&lt;&gt;"",BA25&lt;&gt;"")),TRUE,FALSE)</f>
        <v>0</v>
      </c>
      <c r="BT25" s="899" t="b">
        <f>IF(AND($C25&lt;&gt;"",S25=""),TRUE,FALSE)</f>
        <v>0</v>
      </c>
      <c r="BU25" s="898"/>
      <c r="BV25" s="899" t="b">
        <f>IF(AND($C25&lt;&gt;"",U25=""),TRUE,FALSE)</f>
        <v>0</v>
      </c>
      <c r="BW25" s="1537" t="b">
        <f>IF(BX25=TRUE,FALSE,IF(AA25="",FALSE,IF(OR(AA25&lt;CX25,AA25&gt;BaseYear),TRUE,FALSE)))</f>
        <v>0</v>
      </c>
      <c r="BX25" s="899" t="b">
        <f>IF(AND($C25&lt;&gt;"",AA25=""),TRUE,FALSE)</f>
        <v>0</v>
      </c>
      <c r="BY25" s="898"/>
      <c r="BZ25" s="899" t="b">
        <f>IF(AND($C25&lt;&gt;"",AG25=""),TRUE,FALSE)</f>
        <v>0</v>
      </c>
      <c r="CA25" s="898"/>
      <c r="CB25" s="899" t="b">
        <f>IF(AND($C25&lt;&gt;"",AI25=""),TRUE,FALSE)</f>
        <v>0</v>
      </c>
      <c r="CC25" s="1537" t="b">
        <f>IF(AK25="",FALSE,IF(OR(AK25&lt;CX25,AK25&gt;BaseYear),TRUE,FALSE))</f>
        <v>0</v>
      </c>
      <c r="CD25" s="1538" t="b">
        <f>IF(AK25="",FALSE,IF(AK25&lt;AA25,TRUE,FALSE))</f>
        <v>0</v>
      </c>
      <c r="CE25" s="899" t="b">
        <f>IF(AND($AM25&lt;&gt;"",AK25=""),TRUE,FALSE)</f>
        <v>0</v>
      </c>
      <c r="CF25" s="898"/>
      <c r="CG25" s="899" t="b">
        <f>IF(AND($AK25&lt;&gt;"",AM25=""),TRUE,FALSE)</f>
        <v>0</v>
      </c>
      <c r="CH25" s="898"/>
      <c r="CI25" s="899" t="b">
        <f>IF(AND($C25&lt;&gt;"",AO25=""),TRUE,FALSE)</f>
        <v>0</v>
      </c>
      <c r="CJ25" s="1537"/>
      <c r="CK25" s="899" t="b">
        <f>IF(AND($C25&lt;&gt;"",AQ25=""),TRUE,FALSE)</f>
        <v>0</v>
      </c>
      <c r="CL25" s="898"/>
      <c r="CM25" s="899" t="b">
        <f>IF(AND($C25&lt;&gt;"",AS25=""),TRUE,FALSE)</f>
        <v>0</v>
      </c>
      <c r="CN25" s="898"/>
      <c r="CO25" s="899" t="b">
        <f>IF(AND($C25&lt;&gt;"",AU25=""),TRUE,FALSE)</f>
        <v>0</v>
      </c>
      <c r="CP25" s="898"/>
      <c r="CQ25" s="899" t="b">
        <f>IF(AND($C25&lt;&gt;"",AW25=""),TRUE,FALSE)</f>
        <v>0</v>
      </c>
      <c r="CR25" s="898"/>
      <c r="CS25" s="899" t="b">
        <f>IF(AND($C25&lt;&gt;"",AY25=""),TRUE,FALSE)</f>
        <v>0</v>
      </c>
      <c r="CT25" s="898"/>
      <c r="CU25" s="898" t="b">
        <f>IF(AND($C25&lt;&gt;"",BA25=""),TRUE,FALSE)</f>
        <v>0</v>
      </c>
      <c r="CV25" s="894"/>
      <c r="CW25" s="898" t="str">
        <f t="shared" si="2"/>
        <v/>
      </c>
      <c r="CX25" s="898" t="str">
        <f>IFERROR(IF(AND(S25="",S25&lt;&gt;""),1913,VLOOKUP(S25,Valid!$B$99:$J$120,9)),"")</f>
        <v/>
      </c>
      <c r="CY25" s="898" t="str">
        <f t="shared" ca="1" si="3"/>
        <v/>
      </c>
      <c r="CZ25" s="1547" t="str">
        <f t="shared" ca="1" si="8"/>
        <v/>
      </c>
      <c r="DA25" s="898" t="str">
        <f ca="1">IF(CZ25="", "", IF(1+(CZ25*4)&lt;1, 1, 1+(CZ25*4)))</f>
        <v/>
      </c>
      <c r="DB25" s="898" t="str">
        <f t="shared" si="4"/>
        <v/>
      </c>
      <c r="DC25" s="898" t="str">
        <f t="shared" si="5"/>
        <v/>
      </c>
      <c r="DD25" s="1539" t="str">
        <f>IFERROR(IF(AND(AM25="",C25&lt;&gt;""),Valid!$E$123,VLOOKUP(AM25,Valid!$B$123:$F$125,4,FALSE)),"")</f>
        <v/>
      </c>
      <c r="DE25" s="1539" t="str">
        <f>IFERROR(IF(AND(AM25="",C25&lt;&gt;""),Valid!$F$123,VLOOKUP(AM25,Valid!$B$123:$F$125,5,FALSE)),"")</f>
        <v/>
      </c>
      <c r="DF25" s="1539" t="str">
        <f>IFERROR(VLOOKUP('A-70 RevVehInv'!S25,Valid!$B$99:$I$120,7), "")</f>
        <v/>
      </c>
      <c r="DG25" s="1539" t="str">
        <f>IFERROR(VLOOKUP(S25,Valid!$B$99:$I$120,8), "")</f>
        <v/>
      </c>
      <c r="DH25" s="894"/>
    </row>
    <row r="26" spans="1:112" ht="6.75" customHeight="1" x14ac:dyDescent="0.2">
      <c r="A26" s="1517"/>
      <c r="B26" s="1530">
        <v>7.5</v>
      </c>
      <c r="C26" s="1540"/>
      <c r="D26" s="905"/>
      <c r="E26" s="1541"/>
      <c r="F26" s="905"/>
      <c r="G26" s="905"/>
      <c r="H26" s="905"/>
      <c r="I26" s="1534"/>
      <c r="J26" s="905"/>
      <c r="K26" s="1534"/>
      <c r="L26" s="905"/>
      <c r="M26" s="1534"/>
      <c r="N26" s="905"/>
      <c r="O26" s="1534"/>
      <c r="P26" s="905"/>
      <c r="Q26" s="1534"/>
      <c r="R26" s="1531"/>
      <c r="S26" s="1542"/>
      <c r="T26" s="905"/>
      <c r="U26" s="1542"/>
      <c r="V26" s="905"/>
      <c r="W26" s="1534" t="str">
        <f t="shared" si="0"/>
        <v/>
      </c>
      <c r="X26" s="905"/>
      <c r="Y26" s="1534"/>
      <c r="Z26" s="252" t="str">
        <f t="shared" si="1"/>
        <v/>
      </c>
      <c r="AA26" s="1534"/>
      <c r="AB26" s="905"/>
      <c r="AC26" s="1973" t="str">
        <f t="shared" si="6"/>
        <v/>
      </c>
      <c r="AD26" s="905"/>
      <c r="AE26" s="1985" t="str">
        <f t="shared" si="7"/>
        <v/>
      </c>
      <c r="AF26" s="905"/>
      <c r="AG26" s="1543"/>
      <c r="AH26" s="1531"/>
      <c r="AI26" s="1534"/>
      <c r="AJ26" s="1531"/>
      <c r="AK26" s="1534"/>
      <c r="AL26" s="1531"/>
      <c r="AM26" s="1543"/>
      <c r="AN26" s="1531"/>
      <c r="AO26" s="1543"/>
      <c r="AP26" s="1531"/>
      <c r="AQ26" s="1534"/>
      <c r="AR26" s="1531"/>
      <c r="AS26" s="1534"/>
      <c r="AT26" s="1531"/>
      <c r="AU26" s="1534"/>
      <c r="AV26" s="1531"/>
      <c r="AW26" s="1534"/>
      <c r="AX26" s="1531"/>
      <c r="AY26" s="1534"/>
      <c r="AZ26" s="1531"/>
      <c r="BA26" s="1543"/>
      <c r="BB26" s="1531"/>
      <c r="BC26" s="1534"/>
      <c r="BD26" s="1531"/>
      <c r="BE26" s="1531"/>
      <c r="BF26" s="1531"/>
      <c r="BG26" s="1531"/>
      <c r="BH26" s="1531"/>
      <c r="BI26" s="1535"/>
      <c r="BJ26" s="1534"/>
      <c r="BK26" s="1535"/>
      <c r="BL26" s="1534"/>
      <c r="BM26" s="1535"/>
      <c r="BN26" s="1534"/>
      <c r="BO26" s="1535"/>
      <c r="BP26" s="1534"/>
      <c r="BQ26" s="1535"/>
      <c r="BR26" s="1534"/>
      <c r="BS26" s="1535"/>
      <c r="BT26" s="1534"/>
      <c r="BU26" s="1535"/>
      <c r="BV26" s="1534"/>
      <c r="BW26" s="1535"/>
      <c r="BX26" s="1534"/>
      <c r="BY26" s="1535"/>
      <c r="BZ26" s="1534"/>
      <c r="CA26" s="1535"/>
      <c r="CB26" s="1534"/>
      <c r="CC26" s="1535"/>
      <c r="CD26" s="1534"/>
      <c r="CE26" s="1534"/>
      <c r="CF26" s="1535"/>
      <c r="CG26" s="1534"/>
      <c r="CH26" s="1535"/>
      <c r="CI26" s="1534"/>
      <c r="CJ26" s="1535"/>
      <c r="CK26" s="1534"/>
      <c r="CL26" s="1535"/>
      <c r="CM26" s="1534"/>
      <c r="CN26" s="1535"/>
      <c r="CO26" s="1534"/>
      <c r="CP26" s="1535"/>
      <c r="CQ26" s="1534"/>
      <c r="CR26" s="1535"/>
      <c r="CS26" s="1534"/>
      <c r="CT26" s="1535"/>
      <c r="CU26" s="1535"/>
      <c r="CV26" s="1531"/>
      <c r="CW26" s="898" t="str">
        <f t="shared" si="2"/>
        <v/>
      </c>
      <c r="CX26" s="898" t="str">
        <f>IFERROR(IF(AND(S26="",S26&lt;&gt;""),1913,VLOOKUP(S26,Valid!$B$99:$J$120,9)),"")</f>
        <v/>
      </c>
      <c r="CY26" s="898" t="str">
        <f t="shared" ca="1" si="3"/>
        <v/>
      </c>
      <c r="CZ26" s="1547" t="str">
        <f t="shared" ca="1" si="8"/>
        <v/>
      </c>
      <c r="DA26" s="898"/>
      <c r="DB26" s="898" t="str">
        <f t="shared" si="4"/>
        <v/>
      </c>
      <c r="DC26" s="898" t="str">
        <f t="shared" si="5"/>
        <v/>
      </c>
      <c r="DD26" s="1539" t="str">
        <f>IFERROR(IF(AND(AM26="",C26&lt;&gt;""),Valid!$E$123,VLOOKUP(AM26,Valid!$B$123:$F$125,4,FALSE)),"")</f>
        <v/>
      </c>
      <c r="DE26" s="1539" t="str">
        <f>IFERROR(IF(AND(AM26="",C26&lt;&gt;""),Valid!$F$123,VLOOKUP(AM26,Valid!$B$123:$F$125,5,FALSE)),"")</f>
        <v/>
      </c>
      <c r="DF26" s="1539" t="str">
        <f>IFERROR(VLOOKUP('A-70 RevVehInv'!S26,Valid!$B$99:$I$120,7), "")</f>
        <v/>
      </c>
      <c r="DG26" s="1539" t="str">
        <f>IFERROR(VLOOKUP(S26,Valid!$B$99:$I$120,8), "")</f>
        <v/>
      </c>
      <c r="DH26" s="1531"/>
    </row>
    <row r="27" spans="1:112" s="930" customFormat="1" x14ac:dyDescent="0.2">
      <c r="A27" s="206">
        <v>8</v>
      </c>
      <c r="B27" s="1530">
        <v>8</v>
      </c>
      <c r="C27" s="933"/>
      <c r="D27" s="719" t="str">
        <f>IF(C25="","",IF((C27=""),"Enter RVI ID. then Fill in Columns "&amp;TEXT($I$2,0)&amp;" - "&amp;TEXT($BA$2,0)&amp;"       ",""))</f>
        <v/>
      </c>
      <c r="E27" s="1056" t="str">
        <f>IF(BH27="N/A","",BH27)</f>
        <v/>
      </c>
      <c r="F27" s="1536"/>
      <c r="G27" s="1536"/>
      <c r="H27" s="1536"/>
      <c r="I27" s="1023"/>
      <c r="J27" s="1536" t="str">
        <f>IF(E27&lt;&gt;"","Vehicles?    ","")</f>
        <v/>
      </c>
      <c r="K27" s="1023"/>
      <c r="L27" s="1536" t="str">
        <f>IF(E27&lt;&gt;"","Active Vehicles?     ","")</f>
        <v/>
      </c>
      <c r="M27" s="1023"/>
      <c r="N27" s="1536" t="str">
        <f>IF(E27&lt;&gt;"","ADA Vehicles?       ","")</f>
        <v/>
      </c>
      <c r="O27" s="1023"/>
      <c r="P27" s="1536" t="str">
        <f>IF(E27&lt;&gt;"","Cont. Vehicles?     ","")</f>
        <v/>
      </c>
      <c r="Q27" s="1024"/>
      <c r="R27" s="894"/>
      <c r="S27" s="1153"/>
      <c r="T27" s="252" t="str">
        <f>IF(E27&lt;&gt;"","Select from Pull-Down List    ","")</f>
        <v/>
      </c>
      <c r="U27" s="933"/>
      <c r="V27" s="252" t="str">
        <f>IF(E27&lt;&gt;"","Select from Pull-Down List    ","")</f>
        <v/>
      </c>
      <c r="W27" s="1024" t="str">
        <f t="shared" si="0"/>
        <v/>
      </c>
      <c r="X27" s="252"/>
      <c r="Y27" s="1988"/>
      <c r="Z27" s="252" t="str">
        <f t="shared" si="1"/>
        <v/>
      </c>
      <c r="AA27" s="139"/>
      <c r="AB27" s="252" t="str">
        <f>IF(E27&lt;&gt;"","Mfg. Yr?    ","")</f>
        <v/>
      </c>
      <c r="AC27" s="1972" t="str">
        <f t="shared" si="6"/>
        <v/>
      </c>
      <c r="AD27" s="252"/>
      <c r="AE27" s="1984" t="str">
        <f t="shared" si="7"/>
        <v/>
      </c>
      <c r="AF27" s="252"/>
      <c r="AG27" s="933"/>
      <c r="AH27" s="252" t="str">
        <f>IF(E27&lt;&gt;"","Select from Pull-Down List    ","")</f>
        <v/>
      </c>
      <c r="AI27" s="933"/>
      <c r="AJ27" s="252" t="str">
        <f>IF(E27&lt;&gt;"","Number?   ","")</f>
        <v/>
      </c>
      <c r="AK27" s="139"/>
      <c r="AL27" s="252" t="str">
        <f>IF(E27&lt;&gt;"","Last Rnwl. Yr?   ","")</f>
        <v/>
      </c>
      <c r="AM27" s="933"/>
      <c r="AN27" s="252" t="str">
        <f>IF(E27&lt;&gt;"","Select from Pull-Down List    ","")</f>
        <v/>
      </c>
      <c r="AO27" s="933"/>
      <c r="AP27" s="252" t="str">
        <f>IF(E27&lt;&gt;"","Select from Pull-Down List    ","")</f>
        <v/>
      </c>
      <c r="AQ27" s="1023"/>
      <c r="AR27" s="252" t="str">
        <f>IF(E27&lt;&gt;"","Feet?    ","")</f>
        <v/>
      </c>
      <c r="AS27" s="1023"/>
      <c r="AT27" s="252" t="str">
        <f>IF(E27&lt;&gt;"","Seats?    ","")</f>
        <v/>
      </c>
      <c r="AU27" s="1023"/>
      <c r="AV27" s="252" t="str">
        <f>IF(E27&lt;&gt;"","Standing?    ","")</f>
        <v/>
      </c>
      <c r="AW27" s="1023"/>
      <c r="AX27" s="252" t="str">
        <f>IF(E27&lt;&gt;"","Mileage?       ","")</f>
        <v/>
      </c>
      <c r="AY27" s="1023"/>
      <c r="AZ27" s="252" t="str">
        <f>IF(E27&lt;&gt;"","Avg. Lifetime Mileage? ","")</f>
        <v/>
      </c>
      <c r="BA27" s="933"/>
      <c r="BB27" s="252" t="str">
        <f>IF(E27&lt;&gt;"","Select from Pull-Down List    ","")</f>
        <v/>
      </c>
      <c r="BC27" s="171"/>
      <c r="BD27" s="252" t="str">
        <f>IF(OR(AO27="OR - Other fuel (describe in Notes)",AG27="ZZZ - Other (describe in Notes)"),"Describe                                                                                                     ","")</f>
        <v/>
      </c>
      <c r="BE27" s="894"/>
      <c r="BF27" s="894"/>
      <c r="BG27" s="894" t="b">
        <f>IF(AND(C27="",C29&lt;&gt;""),TRUE,FALSE)</f>
        <v>0</v>
      </c>
      <c r="BH27" s="888" t="str">
        <f>IF(AND(C27&lt;&gt;"",OR(I27="",K27="",M27="",O27="",S27="",U27="",AA27="",AG27="",AI27="",AO27="",AQ27="",AS27="",AU27="",AW27="",AY27="")),"No",IF(AND(C27="",OR(I27&lt;&gt;"",K27&lt;&gt;"",M27&lt;&gt;"",O27&lt;&gt;"",S27&lt;&gt;"",U27&lt;&gt;"",AA27&lt;&gt;"",AG27&lt;&gt;"",AI27&lt;&gt;"",AK27&lt;&gt;"",AM27&lt;&gt;"",AO27&lt;&gt;"",AQ27&lt;&gt;"",AS27&lt;&gt;"",AU27&lt;&gt;"",AW27&lt;&gt;"",AY27&lt;&gt;"",BA27&lt;&gt;"",BC27&lt;&gt;"")),"No",IF(AND(C27="",I27="",K27="",M27="",O27="",S27="",U27="",AA27="",AG27="",AI27="",AK27="",AM27="",AO27="",AQ27="",AS27="",AU27="",AW27="",AY27="",BA27=""),"N/A","Yes")))</f>
        <v>N/A</v>
      </c>
      <c r="BI27" s="898"/>
      <c r="BJ27" s="899" t="b">
        <f>IF(AND(OR(I27&lt;&gt;"",K27&lt;&gt;"",M27&lt;&gt;"",O27&lt;&gt;"",S27&lt;&gt;"",U27&lt;&gt;"",AA27&lt;&gt;"",AG27&lt;&gt;"",AI27&lt;&gt;"",AK27&lt;&gt;"",AM27&lt;&gt;"",AO27&lt;&gt;"",AQ27&lt;&gt;"",AS27&lt;&gt;"",AW27&lt;&gt;"",AY27&lt;&gt;"",BA27&lt;&gt;"",BC27&lt;&gt;""),C27=""),TRUE,FALSE)</f>
        <v>0</v>
      </c>
      <c r="BK27" s="898" t="b">
        <f>IF(BL27=TRUE,FALSE,IF(SUM(K27,O27)&gt;I27,TRUE,FALSE))</f>
        <v>0</v>
      </c>
      <c r="BL27" s="899" t="b">
        <f>IF(AND(C27&lt;&gt;"",I27=""),TRUE,FALSE)</f>
        <v>0</v>
      </c>
      <c r="BM27" s="898" t="b">
        <f>IF(BN27=TRUE,FALSE,IF(M27&gt;K27,TRUE,FALSE))</f>
        <v>0</v>
      </c>
      <c r="BN27" s="899" t="b">
        <f>IF(AND($C27&lt;&gt;"",K27=""),TRUE,FALSE)</f>
        <v>0</v>
      </c>
      <c r="BO27" s="898"/>
      <c r="BP27" s="899" t="b">
        <f>IF(AND($C27&lt;&gt;"",M27=""),TRUE,FALSE)</f>
        <v>0</v>
      </c>
      <c r="BQ27" s="898"/>
      <c r="BR27" s="899" t="b">
        <f>IF(AND($C27&lt;&gt;"",O27=""),TRUE,FALSE)</f>
        <v>0</v>
      </c>
      <c r="BS27" s="898" t="b">
        <f>IF(AND(S27="",OR(U27&lt;&gt;"",AA27&lt;&gt;"",AG27&lt;&gt;"",AI27&lt;&gt;"",AK27&lt;&gt;"",AM27&lt;&gt;"",AO27&lt;&gt;"",AQ27&lt;&gt;"",AS27&lt;&gt;"",AU27&lt;&gt;"",AW27&lt;&gt;"",AY27&lt;&gt;"",BA27&lt;&gt;"")),TRUE,FALSE)</f>
        <v>0</v>
      </c>
      <c r="BT27" s="899" t="b">
        <f>IF(AND($C27&lt;&gt;"",S27=""),TRUE,FALSE)</f>
        <v>0</v>
      </c>
      <c r="BU27" s="898"/>
      <c r="BV27" s="899" t="b">
        <f>IF(AND($C27&lt;&gt;"",U27=""),TRUE,FALSE)</f>
        <v>0</v>
      </c>
      <c r="BW27" s="1537" t="b">
        <f>IF(BX27=TRUE,FALSE,IF(AA27="",FALSE,IF(OR(AA27&lt;CX27,AA27&gt;BaseYear),TRUE,FALSE)))</f>
        <v>0</v>
      </c>
      <c r="BX27" s="899" t="b">
        <f>IF(AND($C27&lt;&gt;"",AA27=""),TRUE,FALSE)</f>
        <v>0</v>
      </c>
      <c r="BY27" s="898"/>
      <c r="BZ27" s="899" t="b">
        <f>IF(AND($C27&lt;&gt;"",AG27=""),TRUE,FALSE)</f>
        <v>0</v>
      </c>
      <c r="CA27" s="898"/>
      <c r="CB27" s="899" t="b">
        <f>IF(AND($C27&lt;&gt;"",AI27=""),TRUE,FALSE)</f>
        <v>0</v>
      </c>
      <c r="CC27" s="1537" t="b">
        <f>IF(AK27="",FALSE,IF(OR(AK27&lt;CX27,AK27&gt;BaseYear),TRUE,FALSE))</f>
        <v>0</v>
      </c>
      <c r="CD27" s="1538" t="b">
        <f>IF(AK27="",FALSE,IF(AK27&lt;AA27,TRUE,FALSE))</f>
        <v>0</v>
      </c>
      <c r="CE27" s="899" t="b">
        <f>IF(AND($AM27&lt;&gt;"",AK27=""),TRUE,FALSE)</f>
        <v>0</v>
      </c>
      <c r="CF27" s="898"/>
      <c r="CG27" s="899" t="b">
        <f>IF(AND($AK27&lt;&gt;"",AM27=""),TRUE,FALSE)</f>
        <v>0</v>
      </c>
      <c r="CH27" s="898"/>
      <c r="CI27" s="899" t="b">
        <f>IF(AND($C27&lt;&gt;"",AO27=""),TRUE,FALSE)</f>
        <v>0</v>
      </c>
      <c r="CJ27" s="1537"/>
      <c r="CK27" s="899" t="b">
        <f>IF(AND($C27&lt;&gt;"",AQ27=""),TRUE,FALSE)</f>
        <v>0</v>
      </c>
      <c r="CL27" s="898"/>
      <c r="CM27" s="899" t="b">
        <f>IF(AND($C27&lt;&gt;"",AS27=""),TRUE,FALSE)</f>
        <v>0</v>
      </c>
      <c r="CN27" s="898"/>
      <c r="CO27" s="899" t="b">
        <f>IF(AND($C27&lt;&gt;"",AU27=""),TRUE,FALSE)</f>
        <v>0</v>
      </c>
      <c r="CP27" s="898"/>
      <c r="CQ27" s="899" t="b">
        <f>IF(AND($C27&lt;&gt;"",AW27=""),TRUE,FALSE)</f>
        <v>0</v>
      </c>
      <c r="CR27" s="898"/>
      <c r="CS27" s="899" t="b">
        <f>IF(AND($C27&lt;&gt;"",AY27=""),TRUE,FALSE)</f>
        <v>0</v>
      </c>
      <c r="CT27" s="898"/>
      <c r="CU27" s="898" t="b">
        <f>IF(AND($C27&lt;&gt;"",BA27=""),TRUE,FALSE)</f>
        <v>0</v>
      </c>
      <c r="CV27" s="894"/>
      <c r="CW27" s="898" t="str">
        <f t="shared" si="2"/>
        <v/>
      </c>
      <c r="CX27" s="898" t="str">
        <f>IFERROR(IF(AND(S27="",S27&lt;&gt;""),1913,VLOOKUP(S27,Valid!$B$99:$J$120,9)),"")</f>
        <v/>
      </c>
      <c r="CY27" s="898" t="str">
        <f t="shared" ca="1" si="3"/>
        <v/>
      </c>
      <c r="CZ27" s="1547" t="str">
        <f t="shared" ca="1" si="8"/>
        <v/>
      </c>
      <c r="DA27" s="898" t="str">
        <f ca="1">IF(CZ27="", "", IF(1+(CZ27*4)&lt;1, 1, 1+(CZ27*4)))</f>
        <v/>
      </c>
      <c r="DB27" s="898" t="str">
        <f t="shared" si="4"/>
        <v/>
      </c>
      <c r="DC27" s="898" t="str">
        <f t="shared" si="5"/>
        <v/>
      </c>
      <c r="DD27" s="1539" t="str">
        <f>IFERROR(IF(AND(AM27="",C27&lt;&gt;""),Valid!$E$123,VLOOKUP(AM27,Valid!$B$123:$F$125,4,FALSE)),"")</f>
        <v/>
      </c>
      <c r="DE27" s="1539" t="str">
        <f>IFERROR(IF(AND(AM27="",C27&lt;&gt;""),Valid!$F$123,VLOOKUP(AM27,Valid!$B$123:$F$125,5,FALSE)),"")</f>
        <v/>
      </c>
      <c r="DF27" s="1539" t="str">
        <f>IFERROR(VLOOKUP('A-70 RevVehInv'!S27,Valid!$B$99:$I$120,7), "")</f>
        <v/>
      </c>
      <c r="DG27" s="1539" t="str">
        <f>IFERROR(VLOOKUP(S27,Valid!$B$99:$I$120,8), "")</f>
        <v/>
      </c>
      <c r="DH27" s="894"/>
    </row>
    <row r="28" spans="1:112" ht="6.75" customHeight="1" x14ac:dyDescent="0.2">
      <c r="A28" s="1517"/>
      <c r="B28" s="1530">
        <v>8.5</v>
      </c>
      <c r="C28" s="1544"/>
      <c r="D28" s="905"/>
      <c r="E28" s="1545"/>
      <c r="F28" s="905"/>
      <c r="G28" s="905"/>
      <c r="H28" s="905"/>
      <c r="I28" s="1531"/>
      <c r="J28" s="905"/>
      <c r="K28" s="1531"/>
      <c r="L28" s="905"/>
      <c r="M28" s="1531"/>
      <c r="N28" s="905"/>
      <c r="O28" s="1531"/>
      <c r="P28" s="905"/>
      <c r="Q28" s="1531"/>
      <c r="R28" s="1531"/>
      <c r="S28" s="1533"/>
      <c r="T28" s="905"/>
      <c r="U28" s="1533"/>
      <c r="V28" s="905"/>
      <c r="W28" s="1531" t="str">
        <f t="shared" si="0"/>
        <v/>
      </c>
      <c r="X28" s="905"/>
      <c r="Y28" s="1531"/>
      <c r="Z28" s="252" t="str">
        <f t="shared" si="1"/>
        <v/>
      </c>
      <c r="AA28" s="1531"/>
      <c r="AB28" s="905"/>
      <c r="AC28" s="1971" t="str">
        <f t="shared" si="6"/>
        <v/>
      </c>
      <c r="AD28" s="905"/>
      <c r="AE28" s="1983" t="str">
        <f t="shared" si="7"/>
        <v/>
      </c>
      <c r="AF28" s="905"/>
      <c r="AG28" s="1546"/>
      <c r="AH28" s="1531"/>
      <c r="AI28" s="1531"/>
      <c r="AJ28" s="1531"/>
      <c r="AK28" s="1531"/>
      <c r="AL28" s="1531"/>
      <c r="AM28" s="1546"/>
      <c r="AN28" s="1531"/>
      <c r="AO28" s="1546"/>
      <c r="AP28" s="1531"/>
      <c r="AQ28" s="1531"/>
      <c r="AR28" s="1531"/>
      <c r="AS28" s="1531"/>
      <c r="AT28" s="1531"/>
      <c r="AU28" s="1531"/>
      <c r="AV28" s="1531"/>
      <c r="AW28" s="1531"/>
      <c r="AX28" s="1531"/>
      <c r="AY28" s="1531"/>
      <c r="AZ28" s="1531"/>
      <c r="BA28" s="1546"/>
      <c r="BB28" s="1531"/>
      <c r="BC28" s="1531"/>
      <c r="BD28" s="1531"/>
      <c r="BE28" s="1531"/>
      <c r="BF28" s="1531"/>
      <c r="BG28" s="1531"/>
      <c r="BH28" s="1531"/>
      <c r="BI28" s="1535"/>
      <c r="BJ28" s="1534"/>
      <c r="BK28" s="1535"/>
      <c r="BL28" s="1534"/>
      <c r="BM28" s="1535"/>
      <c r="BN28" s="1534"/>
      <c r="BO28" s="1535"/>
      <c r="BP28" s="1534"/>
      <c r="BQ28" s="1535"/>
      <c r="BR28" s="1534"/>
      <c r="BS28" s="1535"/>
      <c r="BT28" s="1534"/>
      <c r="BU28" s="1535"/>
      <c r="BV28" s="1534"/>
      <c r="BW28" s="1535"/>
      <c r="BX28" s="1534"/>
      <c r="BY28" s="1535"/>
      <c r="BZ28" s="1534"/>
      <c r="CA28" s="1535"/>
      <c r="CB28" s="1534"/>
      <c r="CC28" s="1535"/>
      <c r="CD28" s="1534"/>
      <c r="CE28" s="1534"/>
      <c r="CF28" s="1535"/>
      <c r="CG28" s="1534"/>
      <c r="CH28" s="1535"/>
      <c r="CI28" s="1534"/>
      <c r="CJ28" s="1535"/>
      <c r="CK28" s="1534"/>
      <c r="CL28" s="1535"/>
      <c r="CM28" s="1534"/>
      <c r="CN28" s="1535"/>
      <c r="CO28" s="1534"/>
      <c r="CP28" s="1535"/>
      <c r="CQ28" s="1534"/>
      <c r="CR28" s="1535"/>
      <c r="CS28" s="1534"/>
      <c r="CT28" s="1535"/>
      <c r="CU28" s="1535"/>
      <c r="CV28" s="1531"/>
      <c r="CW28" s="898" t="str">
        <f t="shared" si="2"/>
        <v/>
      </c>
      <c r="CX28" s="898" t="str">
        <f>IFERROR(IF(AND(S28="",S28&lt;&gt;""),1913,VLOOKUP(S28,Valid!$B$99:$J$120,9)),"")</f>
        <v/>
      </c>
      <c r="CY28" s="898" t="str">
        <f t="shared" ca="1" si="3"/>
        <v/>
      </c>
      <c r="CZ28" s="1547" t="str">
        <f t="shared" ca="1" si="8"/>
        <v/>
      </c>
      <c r="DA28" s="898"/>
      <c r="DB28" s="898" t="str">
        <f t="shared" si="4"/>
        <v/>
      </c>
      <c r="DC28" s="898" t="str">
        <f t="shared" si="5"/>
        <v/>
      </c>
      <c r="DD28" s="1539" t="str">
        <f>IFERROR(IF(AND(AM28="",C28&lt;&gt;""),Valid!$E$123,VLOOKUP(AM28,Valid!$B$123:$F$125,4,FALSE)),"")</f>
        <v/>
      </c>
      <c r="DE28" s="1539" t="str">
        <f>IFERROR(IF(AND(AM28="",C28&lt;&gt;""),Valid!$F$123,VLOOKUP(AM28,Valid!$B$123:$F$125,5,FALSE)),"")</f>
        <v/>
      </c>
      <c r="DF28" s="1539" t="str">
        <f>IFERROR(VLOOKUP('A-70 RevVehInv'!S28,Valid!$B$99:$I$120,7), "")</f>
        <v/>
      </c>
      <c r="DG28" s="1539" t="str">
        <f>IFERROR(VLOOKUP(S28,Valid!$B$99:$I$120,8), "")</f>
        <v/>
      </c>
      <c r="DH28" s="1531"/>
    </row>
    <row r="29" spans="1:112" s="930" customFormat="1" x14ac:dyDescent="0.2">
      <c r="A29" s="206">
        <v>9</v>
      </c>
      <c r="B29" s="1530">
        <v>9</v>
      </c>
      <c r="C29" s="933"/>
      <c r="D29" s="719" t="str">
        <f>IF(C27="","",IF((C29=""),"Enter RVI ID. then Fill in Columns "&amp;TEXT($I$2,0)&amp;" - "&amp;TEXT($BA$2,0)&amp;"       ",""))</f>
        <v/>
      </c>
      <c r="E29" s="1056" t="str">
        <f>IF(BH29="N/A","",BH29)</f>
        <v/>
      </c>
      <c r="F29" s="1536"/>
      <c r="G29" s="1536"/>
      <c r="H29" s="1536"/>
      <c r="I29" s="1023"/>
      <c r="J29" s="1536" t="str">
        <f>IF(E29&lt;&gt;"","Vehicles?    ","")</f>
        <v/>
      </c>
      <c r="K29" s="1023"/>
      <c r="L29" s="1536" t="str">
        <f>IF(E29&lt;&gt;"","Active Vehicles?     ","")</f>
        <v/>
      </c>
      <c r="M29" s="1023"/>
      <c r="N29" s="1536" t="str">
        <f>IF(E29&lt;&gt;"","ADA Vehicles?       ","")</f>
        <v/>
      </c>
      <c r="O29" s="1023"/>
      <c r="P29" s="1536" t="str">
        <f>IF(E29&lt;&gt;"","Cont. Vehicles?     ","")</f>
        <v/>
      </c>
      <c r="Q29" s="1024"/>
      <c r="R29" s="894"/>
      <c r="S29" s="1153"/>
      <c r="T29" s="252" t="str">
        <f>IF(E29&lt;&gt;"","Select from Pull-Down List    ","")</f>
        <v/>
      </c>
      <c r="U29" s="933"/>
      <c r="V29" s="252" t="str">
        <f>IF(E29&lt;&gt;"","Select from Pull-Down List    ","")</f>
        <v/>
      </c>
      <c r="W29" s="1024" t="str">
        <f t="shared" si="0"/>
        <v/>
      </c>
      <c r="X29" s="252"/>
      <c r="Y29" s="1988"/>
      <c r="Z29" s="252" t="str">
        <f t="shared" si="1"/>
        <v/>
      </c>
      <c r="AA29" s="139"/>
      <c r="AB29" s="252" t="str">
        <f>IF(E29&lt;&gt;"","Mfg. Yr?    ","")</f>
        <v/>
      </c>
      <c r="AC29" s="1972" t="str">
        <f t="shared" si="6"/>
        <v/>
      </c>
      <c r="AD29" s="252"/>
      <c r="AE29" s="1984" t="str">
        <f t="shared" si="7"/>
        <v/>
      </c>
      <c r="AF29" s="252"/>
      <c r="AG29" s="933"/>
      <c r="AH29" s="252" t="str">
        <f>IF(E29&lt;&gt;"","Select from Pull-Down List    ","")</f>
        <v/>
      </c>
      <c r="AI29" s="933"/>
      <c r="AJ29" s="252" t="str">
        <f>IF(E29&lt;&gt;"","Number?   ","")</f>
        <v/>
      </c>
      <c r="AK29" s="139"/>
      <c r="AL29" s="252" t="str">
        <f>IF(E29&lt;&gt;"","Last Rnwl. Yr?   ","")</f>
        <v/>
      </c>
      <c r="AM29" s="933"/>
      <c r="AN29" s="252" t="str">
        <f>IF(E29&lt;&gt;"","Select from Pull-Down List    ","")</f>
        <v/>
      </c>
      <c r="AO29" s="933"/>
      <c r="AP29" s="252" t="str">
        <f>IF(E29&lt;&gt;"","Select from Pull-Down List    ","")</f>
        <v/>
      </c>
      <c r="AQ29" s="1023"/>
      <c r="AR29" s="252" t="str">
        <f>IF(E29&lt;&gt;"","Feet?    ","")</f>
        <v/>
      </c>
      <c r="AS29" s="1023"/>
      <c r="AT29" s="252" t="str">
        <f>IF(E29&lt;&gt;"","Seats?    ","")</f>
        <v/>
      </c>
      <c r="AU29" s="1023"/>
      <c r="AV29" s="252" t="str">
        <f>IF(E29&lt;&gt;"","Standing?    ","")</f>
        <v/>
      </c>
      <c r="AW29" s="1023"/>
      <c r="AX29" s="252" t="str">
        <f>IF(E29&lt;&gt;"","Mileage?       ","")</f>
        <v/>
      </c>
      <c r="AY29" s="1023"/>
      <c r="AZ29" s="252" t="str">
        <f>IF(E29&lt;&gt;"","Avg. Lifetime Mileage? ","")</f>
        <v/>
      </c>
      <c r="BA29" s="933"/>
      <c r="BB29" s="252" t="str">
        <f>IF(E29&lt;&gt;"","Select from Pull-Down List    ","")</f>
        <v/>
      </c>
      <c r="BC29" s="171"/>
      <c r="BD29" s="252" t="str">
        <f>IF(OR(AO29="OR - Other fuel (describe in Notes)",AG29="ZZZ - Other (describe in Notes)"),"Describe                                                                                                     ","")</f>
        <v/>
      </c>
      <c r="BE29" s="894"/>
      <c r="BF29" s="894"/>
      <c r="BG29" s="894" t="b">
        <f>IF(AND(C29="",C31&lt;&gt;""),TRUE,FALSE)</f>
        <v>0</v>
      </c>
      <c r="BH29" s="888" t="str">
        <f>IF(AND(C29&lt;&gt;"",OR(I29="",K29="",M29="",O29="",S29="",U29="",AA29="",AG29="",AI29="",AO29="",AQ29="",AS29="",AU29="",AW29="",AY29="")),"No",IF(AND(C29="",OR(I29&lt;&gt;"",K29&lt;&gt;"",M29&lt;&gt;"",O29&lt;&gt;"",S29&lt;&gt;"",U29&lt;&gt;"",AA29&lt;&gt;"",AG29&lt;&gt;"",AI29&lt;&gt;"",AK29&lt;&gt;"",AM29&lt;&gt;"",AO29&lt;&gt;"",AQ29&lt;&gt;"",AS29&lt;&gt;"",AU29&lt;&gt;"",AW29&lt;&gt;"",AY29&lt;&gt;"",BA29&lt;&gt;"",BC29&lt;&gt;"")),"No",IF(AND(C29="",I29="",K29="",M29="",O29="",S29="",U29="",AA29="",AG29="",AI29="",AK29="",AM29="",AO29="",AQ29="",AS29="",AU29="",AW29="",AY29="",BA29=""),"N/A","Yes")))</f>
        <v>N/A</v>
      </c>
      <c r="BI29" s="898"/>
      <c r="BJ29" s="899" t="b">
        <f>IF(AND(OR(I29&lt;&gt;"",K29&lt;&gt;"",M29&lt;&gt;"",O29&lt;&gt;"",S29&lt;&gt;"",U29&lt;&gt;"",AA29&lt;&gt;"",AG29&lt;&gt;"",AI29&lt;&gt;"",AK29&lt;&gt;"",AM29&lt;&gt;"",AO29&lt;&gt;"",AQ29&lt;&gt;"",AS29&lt;&gt;"",AW29&lt;&gt;"",AY29&lt;&gt;"",BA29&lt;&gt;"",BC29&lt;&gt;""),C29=""),TRUE,FALSE)</f>
        <v>0</v>
      </c>
      <c r="BK29" s="898" t="b">
        <f>IF(BL29=TRUE,FALSE,IF(SUM(K29,O29)&gt;I29,TRUE,FALSE))</f>
        <v>0</v>
      </c>
      <c r="BL29" s="899" t="b">
        <f>IF(AND(C29&lt;&gt;"",I29=""),TRUE,FALSE)</f>
        <v>0</v>
      </c>
      <c r="BM29" s="898" t="b">
        <f>IF(BN29=TRUE,FALSE,IF(M29&gt;K29,TRUE,FALSE))</f>
        <v>0</v>
      </c>
      <c r="BN29" s="899" t="b">
        <f>IF(AND($C29&lt;&gt;"",K29=""),TRUE,FALSE)</f>
        <v>0</v>
      </c>
      <c r="BO29" s="898"/>
      <c r="BP29" s="899" t="b">
        <f>IF(AND($C29&lt;&gt;"",M29=""),TRUE,FALSE)</f>
        <v>0</v>
      </c>
      <c r="BQ29" s="898"/>
      <c r="BR29" s="899" t="b">
        <f>IF(AND($C29&lt;&gt;"",O29=""),TRUE,FALSE)</f>
        <v>0</v>
      </c>
      <c r="BS29" s="898" t="b">
        <f>IF(AND(S29="",OR(U29&lt;&gt;"",AA29&lt;&gt;"",AG29&lt;&gt;"",AI29&lt;&gt;"",AK29&lt;&gt;"",AM29&lt;&gt;"",AO29&lt;&gt;"",AQ29&lt;&gt;"",AS29&lt;&gt;"",AU29&lt;&gt;"",AW29&lt;&gt;"",AY29&lt;&gt;"",BA29&lt;&gt;"")),TRUE,FALSE)</f>
        <v>0</v>
      </c>
      <c r="BT29" s="899" t="b">
        <f>IF(AND($C29&lt;&gt;"",S29=""),TRUE,FALSE)</f>
        <v>0</v>
      </c>
      <c r="BU29" s="898"/>
      <c r="BV29" s="899" t="b">
        <f>IF(AND($C29&lt;&gt;"",U29=""),TRUE,FALSE)</f>
        <v>0</v>
      </c>
      <c r="BW29" s="1537" t="b">
        <f>IF(BX29=TRUE,FALSE,IF(AA29="",FALSE,IF(OR(AA29&lt;CX29,AA29&gt;BaseYear),TRUE,FALSE)))</f>
        <v>0</v>
      </c>
      <c r="BX29" s="899" t="b">
        <f>IF(AND($C29&lt;&gt;"",AA29=""),TRUE,FALSE)</f>
        <v>0</v>
      </c>
      <c r="BY29" s="898"/>
      <c r="BZ29" s="899" t="b">
        <f>IF(AND($C29&lt;&gt;"",AG29=""),TRUE,FALSE)</f>
        <v>0</v>
      </c>
      <c r="CA29" s="898"/>
      <c r="CB29" s="899" t="b">
        <f>IF(AND($C29&lt;&gt;"",AI29=""),TRUE,FALSE)</f>
        <v>0</v>
      </c>
      <c r="CC29" s="1537" t="b">
        <f>IF(AK29="",FALSE,IF(OR(AK29&lt;CX29,AK29&gt;BaseYear),TRUE,FALSE))</f>
        <v>0</v>
      </c>
      <c r="CD29" s="1538" t="b">
        <f>IF(AK29="",FALSE,IF(AK29&lt;AA29,TRUE,FALSE))</f>
        <v>0</v>
      </c>
      <c r="CE29" s="899" t="b">
        <f>IF(AND($AM29&lt;&gt;"",AK29=""),TRUE,FALSE)</f>
        <v>0</v>
      </c>
      <c r="CF29" s="898"/>
      <c r="CG29" s="899" t="b">
        <f>IF(AND($AK29&lt;&gt;"",AM29=""),TRUE,FALSE)</f>
        <v>0</v>
      </c>
      <c r="CH29" s="898"/>
      <c r="CI29" s="899" t="b">
        <f>IF(AND($C29&lt;&gt;"",AO29=""),TRUE,FALSE)</f>
        <v>0</v>
      </c>
      <c r="CJ29" s="1537"/>
      <c r="CK29" s="899" t="b">
        <f>IF(AND($C29&lt;&gt;"",AQ29=""),TRUE,FALSE)</f>
        <v>0</v>
      </c>
      <c r="CL29" s="898"/>
      <c r="CM29" s="899" t="b">
        <f>IF(AND($C29&lt;&gt;"",AS29=""),TRUE,FALSE)</f>
        <v>0</v>
      </c>
      <c r="CN29" s="898"/>
      <c r="CO29" s="899" t="b">
        <f>IF(AND($C29&lt;&gt;"",AU29=""),TRUE,FALSE)</f>
        <v>0</v>
      </c>
      <c r="CP29" s="898"/>
      <c r="CQ29" s="899" t="b">
        <f>IF(AND($C29&lt;&gt;"",AW29=""),TRUE,FALSE)</f>
        <v>0</v>
      </c>
      <c r="CR29" s="898"/>
      <c r="CS29" s="899" t="b">
        <f>IF(AND($C29&lt;&gt;"",AY29=""),TRUE,FALSE)</f>
        <v>0</v>
      </c>
      <c r="CT29" s="898"/>
      <c r="CU29" s="898" t="b">
        <f>IF(AND($C29&lt;&gt;"",BA29=""),TRUE,FALSE)</f>
        <v>0</v>
      </c>
      <c r="CV29" s="894"/>
      <c r="CW29" s="898" t="str">
        <f t="shared" si="2"/>
        <v/>
      </c>
      <c r="CX29" s="898" t="str">
        <f>IFERROR(IF(AND(S29="",S29&lt;&gt;""),1913,VLOOKUP(S29,Valid!$B$99:$J$120,9)),"")</f>
        <v/>
      </c>
      <c r="CY29" s="898" t="str">
        <f t="shared" ca="1" si="3"/>
        <v/>
      </c>
      <c r="CZ29" s="1547" t="str">
        <f t="shared" ca="1" si="8"/>
        <v/>
      </c>
      <c r="DA29" s="898" t="str">
        <f ca="1">IF(CZ29="", "", IF(1+(CZ29*4)&lt;1, 1, 1+(CZ29*4)))</f>
        <v/>
      </c>
      <c r="DB29" s="898" t="str">
        <f t="shared" si="4"/>
        <v/>
      </c>
      <c r="DC29" s="898" t="str">
        <f t="shared" si="5"/>
        <v/>
      </c>
      <c r="DD29" s="1539" t="str">
        <f>IFERROR(IF(AND(AM29="",C29&lt;&gt;""),Valid!$E$123,VLOOKUP(AM29,Valid!$B$123:$F$125,4,FALSE)),"")</f>
        <v/>
      </c>
      <c r="DE29" s="1539" t="str">
        <f>IFERROR(IF(AND(AM29="",C29&lt;&gt;""),Valid!$F$123,VLOOKUP(AM29,Valid!$B$123:$F$125,5,FALSE)),"")</f>
        <v/>
      </c>
      <c r="DF29" s="1539" t="str">
        <f>IFERROR(VLOOKUP('A-70 RevVehInv'!S29,Valid!$B$99:$I$120,7), "")</f>
        <v/>
      </c>
      <c r="DG29" s="1539" t="str">
        <f>IFERROR(VLOOKUP(S29,Valid!$B$99:$I$120,8), "")</f>
        <v/>
      </c>
      <c r="DH29" s="894"/>
    </row>
    <row r="30" spans="1:112" ht="6.75" customHeight="1" x14ac:dyDescent="0.2">
      <c r="A30" s="1517"/>
      <c r="B30" s="1530">
        <v>9.5</v>
      </c>
      <c r="C30" s="1540"/>
      <c r="D30" s="905"/>
      <c r="E30" s="1541"/>
      <c r="F30" s="905"/>
      <c r="G30" s="905"/>
      <c r="H30" s="905"/>
      <c r="I30" s="1534"/>
      <c r="J30" s="905"/>
      <c r="K30" s="1534"/>
      <c r="L30" s="905"/>
      <c r="M30" s="1534"/>
      <c r="N30" s="905"/>
      <c r="O30" s="1534"/>
      <c r="P30" s="905"/>
      <c r="Q30" s="1534"/>
      <c r="R30" s="1531"/>
      <c r="S30" s="1542"/>
      <c r="T30" s="905"/>
      <c r="U30" s="1542"/>
      <c r="V30" s="905"/>
      <c r="W30" s="1534" t="str">
        <f t="shared" si="0"/>
        <v/>
      </c>
      <c r="X30" s="905"/>
      <c r="Y30" s="1534"/>
      <c r="Z30" s="252" t="str">
        <f t="shared" si="1"/>
        <v/>
      </c>
      <c r="AA30" s="1534"/>
      <c r="AB30" s="905"/>
      <c r="AC30" s="1973" t="str">
        <f t="shared" si="6"/>
        <v/>
      </c>
      <c r="AD30" s="905"/>
      <c r="AE30" s="1985" t="str">
        <f t="shared" si="7"/>
        <v/>
      </c>
      <c r="AF30" s="905"/>
      <c r="AG30" s="1543"/>
      <c r="AH30" s="1531"/>
      <c r="AI30" s="1534"/>
      <c r="AJ30" s="1531"/>
      <c r="AK30" s="1534"/>
      <c r="AL30" s="1531"/>
      <c r="AM30" s="1543"/>
      <c r="AN30" s="1531"/>
      <c r="AO30" s="1543"/>
      <c r="AP30" s="1531"/>
      <c r="AQ30" s="1534"/>
      <c r="AR30" s="1531"/>
      <c r="AS30" s="1534"/>
      <c r="AT30" s="1531"/>
      <c r="AU30" s="1534"/>
      <c r="AV30" s="1531"/>
      <c r="AW30" s="1534"/>
      <c r="AX30" s="1531"/>
      <c r="AY30" s="1534"/>
      <c r="AZ30" s="1531"/>
      <c r="BA30" s="1543"/>
      <c r="BB30" s="1531"/>
      <c r="BC30" s="1534"/>
      <c r="BD30" s="1531"/>
      <c r="BE30" s="1531"/>
      <c r="BF30" s="1531"/>
      <c r="BG30" s="1531"/>
      <c r="BH30" s="1531"/>
      <c r="BI30" s="1535"/>
      <c r="BJ30" s="1534"/>
      <c r="BK30" s="1535"/>
      <c r="BL30" s="1534"/>
      <c r="BM30" s="1535"/>
      <c r="BN30" s="1534"/>
      <c r="BO30" s="1535"/>
      <c r="BP30" s="1534"/>
      <c r="BQ30" s="1535"/>
      <c r="BR30" s="1534"/>
      <c r="BS30" s="1535"/>
      <c r="BT30" s="1534"/>
      <c r="BU30" s="1535"/>
      <c r="BV30" s="1534"/>
      <c r="BW30" s="1535"/>
      <c r="BX30" s="1534"/>
      <c r="BY30" s="1535"/>
      <c r="BZ30" s="1534"/>
      <c r="CA30" s="1535"/>
      <c r="CB30" s="1534"/>
      <c r="CC30" s="1535"/>
      <c r="CD30" s="1534"/>
      <c r="CE30" s="1534"/>
      <c r="CF30" s="1535"/>
      <c r="CG30" s="1534"/>
      <c r="CH30" s="1535"/>
      <c r="CI30" s="1534"/>
      <c r="CJ30" s="1535"/>
      <c r="CK30" s="1534"/>
      <c r="CL30" s="1535"/>
      <c r="CM30" s="1534"/>
      <c r="CN30" s="1535"/>
      <c r="CO30" s="1534"/>
      <c r="CP30" s="1535"/>
      <c r="CQ30" s="1534"/>
      <c r="CR30" s="1535"/>
      <c r="CS30" s="1534"/>
      <c r="CT30" s="1535"/>
      <c r="CU30" s="1535"/>
      <c r="CV30" s="1531"/>
      <c r="CW30" s="898" t="str">
        <f t="shared" si="2"/>
        <v/>
      </c>
      <c r="CX30" s="898" t="str">
        <f>IFERROR(IF(AND(S30="",S30&lt;&gt;""),1913,VLOOKUP(S30,Valid!$B$99:$J$120,9)),"")</f>
        <v/>
      </c>
      <c r="CY30" s="898" t="str">
        <f t="shared" ca="1" si="3"/>
        <v/>
      </c>
      <c r="CZ30" s="1547" t="str">
        <f t="shared" ca="1" si="8"/>
        <v/>
      </c>
      <c r="DA30" s="898"/>
      <c r="DB30" s="898" t="str">
        <f t="shared" si="4"/>
        <v/>
      </c>
      <c r="DC30" s="898" t="str">
        <f t="shared" si="5"/>
        <v/>
      </c>
      <c r="DD30" s="1539" t="str">
        <f>IFERROR(IF(AND(AM30="",C30&lt;&gt;""),Valid!$E$123,VLOOKUP(AM30,Valid!$B$123:$F$125,4,FALSE)),"")</f>
        <v/>
      </c>
      <c r="DE30" s="1539" t="str">
        <f>IFERROR(IF(AND(AM30="",C30&lt;&gt;""),Valid!$F$123,VLOOKUP(AM30,Valid!$B$123:$F$125,5,FALSE)),"")</f>
        <v/>
      </c>
      <c r="DF30" s="1539" t="str">
        <f>IFERROR(VLOOKUP('A-70 RevVehInv'!S30,Valid!$B$99:$I$120,7), "")</f>
        <v/>
      </c>
      <c r="DG30" s="1539" t="str">
        <f>IFERROR(VLOOKUP(S30,Valid!$B$99:$I$120,8), "")</f>
        <v/>
      </c>
      <c r="DH30" s="1531"/>
    </row>
    <row r="31" spans="1:112" s="930" customFormat="1" x14ac:dyDescent="0.2">
      <c r="A31" s="206">
        <v>10</v>
      </c>
      <c r="B31" s="1530">
        <v>10</v>
      </c>
      <c r="C31" s="933"/>
      <c r="D31" s="719" t="str">
        <f>IF(C29="","",IF((C31=""),"Enter RVI ID. then Fill in Columns "&amp;TEXT($I$2,0)&amp;" - "&amp;TEXT($BA$2,0)&amp;"       ",""))</f>
        <v/>
      </c>
      <c r="E31" s="1056" t="str">
        <f>IF(BH31="N/A","",BH31)</f>
        <v/>
      </c>
      <c r="F31" s="1536"/>
      <c r="G31" s="1536"/>
      <c r="H31" s="1536"/>
      <c r="I31" s="1023"/>
      <c r="J31" s="1536" t="str">
        <f>IF(E31&lt;&gt;"","Vehicles?    ","")</f>
        <v/>
      </c>
      <c r="K31" s="1023"/>
      <c r="L31" s="1536" t="str">
        <f>IF(E31&lt;&gt;"","Active Vehicles?     ","")</f>
        <v/>
      </c>
      <c r="M31" s="1023"/>
      <c r="N31" s="1536" t="str">
        <f>IF(E31&lt;&gt;"","ADA Vehicles?       ","")</f>
        <v/>
      </c>
      <c r="O31" s="1023"/>
      <c r="P31" s="1536" t="str">
        <f>IF(E31&lt;&gt;"","Cont. Vehicles?     ","")</f>
        <v/>
      </c>
      <c r="Q31" s="1024"/>
      <c r="R31" s="894"/>
      <c r="S31" s="1153"/>
      <c r="T31" s="252" t="str">
        <f>IF(E31&lt;&gt;"","Select from Pull-Down List    ","")</f>
        <v/>
      </c>
      <c r="U31" s="933"/>
      <c r="V31" s="252" t="str">
        <f>IF(E31&lt;&gt;"","Select from Pull-Down List    ","")</f>
        <v/>
      </c>
      <c r="W31" s="1766" t="str">
        <f t="shared" si="0"/>
        <v/>
      </c>
      <c r="X31" s="252"/>
      <c r="Y31" s="1988"/>
      <c r="Z31" s="252" t="str">
        <f t="shared" si="1"/>
        <v/>
      </c>
      <c r="AA31" s="139"/>
      <c r="AB31" s="252" t="str">
        <f>IF(E31&lt;&gt;"","Mfg. Yr?    ","")</f>
        <v/>
      </c>
      <c r="AC31" s="1974" t="str">
        <f t="shared" si="6"/>
        <v/>
      </c>
      <c r="AD31" s="252"/>
      <c r="AE31" s="1986" t="str">
        <f t="shared" si="7"/>
        <v/>
      </c>
      <c r="AF31" s="252"/>
      <c r="AG31" s="933"/>
      <c r="AH31" s="252" t="str">
        <f>IF(E31&lt;&gt;"","Select from Pull-Down List    ","")</f>
        <v/>
      </c>
      <c r="AI31" s="933"/>
      <c r="AJ31" s="252" t="str">
        <f>IF(E31&lt;&gt;"","Number?   ","")</f>
        <v/>
      </c>
      <c r="AK31" s="139"/>
      <c r="AL31" s="252" t="str">
        <f>IF(E31&lt;&gt;"","Last Rnwl. Yr?   ","")</f>
        <v/>
      </c>
      <c r="AM31" s="933"/>
      <c r="AN31" s="252" t="str">
        <f>IF(E31&lt;&gt;"","Select from Pull-Down List    ","")</f>
        <v/>
      </c>
      <c r="AO31" s="933"/>
      <c r="AP31" s="252" t="str">
        <f>IF(E31&lt;&gt;"","Select from Pull-Down List    ","")</f>
        <v/>
      </c>
      <c r="AQ31" s="1023"/>
      <c r="AR31" s="252" t="str">
        <f>IF(E31&lt;&gt;"","Feet?    ","")</f>
        <v/>
      </c>
      <c r="AS31" s="1023"/>
      <c r="AT31" s="252" t="str">
        <f>IF(E31&lt;&gt;"","Seats?    ","")</f>
        <v/>
      </c>
      <c r="AU31" s="1023"/>
      <c r="AV31" s="252" t="str">
        <f>IF(E31&lt;&gt;"","Standing?    ","")</f>
        <v/>
      </c>
      <c r="AW31" s="1023"/>
      <c r="AX31" s="252" t="str">
        <f>IF(E31&lt;&gt;"","Mileage?       ","")</f>
        <v/>
      </c>
      <c r="AY31" s="1023"/>
      <c r="AZ31" s="252" t="str">
        <f>IF(E31&lt;&gt;"","Avg. Lifetime Mileage? ","")</f>
        <v/>
      </c>
      <c r="BA31" s="933"/>
      <c r="BB31" s="252" t="str">
        <f>IF(E31&lt;&gt;"","Select from Pull-Down List    ","")</f>
        <v/>
      </c>
      <c r="BC31" s="171"/>
      <c r="BD31" s="252" t="str">
        <f>IF(OR(AO31="OR - Other fuel (describe in Notes)",AG31="ZZZ - Other (describe in Notes)"),"Describe                                                                                                     ","")</f>
        <v/>
      </c>
      <c r="BE31" s="894"/>
      <c r="BF31" s="894"/>
      <c r="BG31" s="894" t="b">
        <f>IF(AND(C31="",C33&lt;&gt;""),TRUE,FALSE)</f>
        <v>0</v>
      </c>
      <c r="BH31" s="888" t="str">
        <f>IF(AND(C31&lt;&gt;"",OR(I31="",K31="",M31="",O31="",S31="",U31="",AA31="",AG31="",AI31="",AO31="",AQ31="",AS31="",AU31="",AW31="",AY31="")),"No",IF(AND(C31="",OR(I31&lt;&gt;"",K31&lt;&gt;"",M31&lt;&gt;"",O31&lt;&gt;"",S31&lt;&gt;"",U31&lt;&gt;"",AA31&lt;&gt;"",AG31&lt;&gt;"",AI31&lt;&gt;"",AK31&lt;&gt;"",AM31&lt;&gt;"",AO31&lt;&gt;"",AQ31&lt;&gt;"",AS31&lt;&gt;"",AU31&lt;&gt;"",AW31&lt;&gt;"",AY31&lt;&gt;"",BA31&lt;&gt;"",BC31&lt;&gt;"")),"No",IF(AND(C31="",I31="",K31="",M31="",O31="",S31="",U31="",AA31="",AG31="",AI31="",AK31="",AM31="",AO31="",AQ31="",AS31="",AU31="",AW31="",AY31="",BA31=""),"N/A","Yes")))</f>
        <v>N/A</v>
      </c>
      <c r="BI31" s="898"/>
      <c r="BJ31" s="899" t="b">
        <f>IF(AND(OR(I31&lt;&gt;"",K31&lt;&gt;"",M31&lt;&gt;"",O31&lt;&gt;"",S31&lt;&gt;"",U31&lt;&gt;"",AA31&lt;&gt;"",AG31&lt;&gt;"",AI31&lt;&gt;"",AK31&lt;&gt;"",AM31&lt;&gt;"",AO31&lt;&gt;"",AQ31&lt;&gt;"",AS31&lt;&gt;"",AW31&lt;&gt;"",AY31&lt;&gt;"",BA31&lt;&gt;"",BC31&lt;&gt;""),C31=""),TRUE,FALSE)</f>
        <v>0</v>
      </c>
      <c r="BK31" s="898" t="b">
        <f>IF(BL31=TRUE,FALSE,IF(SUM(K31,O31)&gt;I31,TRUE,FALSE))</f>
        <v>0</v>
      </c>
      <c r="BL31" s="899" t="b">
        <f>IF(AND(C31&lt;&gt;"",I31=""),TRUE,FALSE)</f>
        <v>0</v>
      </c>
      <c r="BM31" s="898" t="b">
        <f>IF(BN31=TRUE,FALSE,IF(M31&gt;K31,TRUE,FALSE))</f>
        <v>0</v>
      </c>
      <c r="BN31" s="899" t="b">
        <f>IF(AND($C31&lt;&gt;"",K31=""),TRUE,FALSE)</f>
        <v>0</v>
      </c>
      <c r="BO31" s="898"/>
      <c r="BP31" s="899" t="b">
        <f>IF(AND($C31&lt;&gt;"",M31=""),TRUE,FALSE)</f>
        <v>0</v>
      </c>
      <c r="BQ31" s="898"/>
      <c r="BR31" s="899" t="b">
        <f>IF(AND($C31&lt;&gt;"",O31=""),TRUE,FALSE)</f>
        <v>0</v>
      </c>
      <c r="BS31" s="898" t="b">
        <f>IF(AND(S31="",OR(U31&lt;&gt;"",AA31&lt;&gt;"",AG31&lt;&gt;"",AI31&lt;&gt;"",AK31&lt;&gt;"",AM31&lt;&gt;"",AO31&lt;&gt;"",AQ31&lt;&gt;"",AS31&lt;&gt;"",AU31&lt;&gt;"",AW31&lt;&gt;"",AY31&lt;&gt;"",BA31&lt;&gt;"")),TRUE,FALSE)</f>
        <v>0</v>
      </c>
      <c r="BT31" s="899" t="b">
        <f>IF(AND($C31&lt;&gt;"",S31=""),TRUE,FALSE)</f>
        <v>0</v>
      </c>
      <c r="BU31" s="898"/>
      <c r="BV31" s="899" t="b">
        <f>IF(AND($C31&lt;&gt;"",U31=""),TRUE,FALSE)</f>
        <v>0</v>
      </c>
      <c r="BW31" s="1537" t="b">
        <f>IF(BX31=TRUE,FALSE,IF(AA31="",FALSE,IF(OR(AA31&lt;CX31,AA31&gt;BaseYear),TRUE,FALSE)))</f>
        <v>0</v>
      </c>
      <c r="BX31" s="899" t="b">
        <f>IF(AND($C31&lt;&gt;"",AA31=""),TRUE,FALSE)</f>
        <v>0</v>
      </c>
      <c r="BY31" s="898"/>
      <c r="BZ31" s="899" t="b">
        <f>IF(AND($C31&lt;&gt;"",AG31=""),TRUE,FALSE)</f>
        <v>0</v>
      </c>
      <c r="CA31" s="898"/>
      <c r="CB31" s="899" t="b">
        <f>IF(AND($C31&lt;&gt;"",AI31=""),TRUE,FALSE)</f>
        <v>0</v>
      </c>
      <c r="CC31" s="1537" t="b">
        <f>IF(AK31="",FALSE,IF(OR(AK31&lt;CX31,AK31&gt;BaseYear),TRUE,FALSE))</f>
        <v>0</v>
      </c>
      <c r="CD31" s="1538" t="b">
        <f>IF(AK31="",FALSE,IF(AK31&lt;AA31,TRUE,FALSE))</f>
        <v>0</v>
      </c>
      <c r="CE31" s="899" t="b">
        <f>IF(AND($AM31&lt;&gt;"",AK31=""),TRUE,FALSE)</f>
        <v>0</v>
      </c>
      <c r="CF31" s="898"/>
      <c r="CG31" s="899" t="b">
        <f>IF(AND($AK31&lt;&gt;"",AM31=""),TRUE,FALSE)</f>
        <v>0</v>
      </c>
      <c r="CH31" s="898"/>
      <c r="CI31" s="899" t="b">
        <f>IF(AND($C31&lt;&gt;"",AO31=""),TRUE,FALSE)</f>
        <v>0</v>
      </c>
      <c r="CJ31" s="1537"/>
      <c r="CK31" s="899" t="b">
        <f>IF(AND($C31&lt;&gt;"",AQ31=""),TRUE,FALSE)</f>
        <v>0</v>
      </c>
      <c r="CL31" s="898"/>
      <c r="CM31" s="899" t="b">
        <f>IF(AND($C31&lt;&gt;"",AS31=""),TRUE,FALSE)</f>
        <v>0</v>
      </c>
      <c r="CN31" s="898"/>
      <c r="CO31" s="899" t="b">
        <f>IF(AND($C31&lt;&gt;"",AU31=""),TRUE,FALSE)</f>
        <v>0</v>
      </c>
      <c r="CP31" s="898"/>
      <c r="CQ31" s="899" t="b">
        <f>IF(AND($C31&lt;&gt;"",AW31=""),TRUE,FALSE)</f>
        <v>0</v>
      </c>
      <c r="CR31" s="898"/>
      <c r="CS31" s="899" t="b">
        <f>IF(AND($C31&lt;&gt;"",AY31=""),TRUE,FALSE)</f>
        <v>0</v>
      </c>
      <c r="CT31" s="898"/>
      <c r="CU31" s="898" t="b">
        <f>IF(AND($C31&lt;&gt;"",BA31=""),TRUE,FALSE)</f>
        <v>0</v>
      </c>
      <c r="CV31" s="894"/>
      <c r="CW31" s="898" t="str">
        <f t="shared" si="2"/>
        <v/>
      </c>
      <c r="CX31" s="898" t="str">
        <f>IFERROR(IF(AND(S31="",S31&lt;&gt;""),1913,VLOOKUP(S31,Valid!$B$99:$J$120,9)),"")</f>
        <v/>
      </c>
      <c r="CY31" s="898" t="str">
        <f t="shared" ca="1" si="3"/>
        <v/>
      </c>
      <c r="CZ31" s="1547" t="str">
        <f t="shared" ca="1" si="8"/>
        <v/>
      </c>
      <c r="DA31" s="898" t="str">
        <f ca="1">IF(CZ31="", "", IF(1+(CZ31*4)&lt;1, 1, 1+(CZ31*4)))</f>
        <v/>
      </c>
      <c r="DB31" s="898" t="str">
        <f t="shared" si="4"/>
        <v/>
      </c>
      <c r="DC31" s="898" t="str">
        <f t="shared" si="5"/>
        <v/>
      </c>
      <c r="DD31" s="1539" t="str">
        <f>IFERROR(IF(AND(AM31="",C31&lt;&gt;""),Valid!$E$123,VLOOKUP(AM31,Valid!$B$123:$F$125,4,FALSE)),"")</f>
        <v/>
      </c>
      <c r="DE31" s="1539" t="str">
        <f>IFERROR(IF(AND(AM31="",C31&lt;&gt;""),Valid!$F$123,VLOOKUP(AM31,Valid!$B$123:$F$125,5,FALSE)),"")</f>
        <v/>
      </c>
      <c r="DF31" s="1539" t="str">
        <f>IFERROR(VLOOKUP('A-70 RevVehInv'!S31,Valid!$B$99:$I$120,7), "")</f>
        <v/>
      </c>
      <c r="DG31" s="1539" t="str">
        <f>IFERROR(VLOOKUP(S31,Valid!$B$99:$I$120,8), "")</f>
        <v/>
      </c>
      <c r="DH31" s="894"/>
    </row>
    <row r="32" spans="1:112" ht="6.75" customHeight="1" x14ac:dyDescent="0.2">
      <c r="A32" s="1517"/>
      <c r="B32" s="1530">
        <v>10.5</v>
      </c>
      <c r="C32" s="1544"/>
      <c r="D32" s="905"/>
      <c r="E32" s="1545"/>
      <c r="F32" s="905"/>
      <c r="G32" s="905"/>
      <c r="H32" s="905"/>
      <c r="I32" s="1531"/>
      <c r="J32" s="905"/>
      <c r="K32" s="1531"/>
      <c r="L32" s="905"/>
      <c r="M32" s="1531"/>
      <c r="N32" s="905"/>
      <c r="O32" s="1531"/>
      <c r="P32" s="905"/>
      <c r="Q32" s="1531"/>
      <c r="R32" s="1531"/>
      <c r="S32" s="1533"/>
      <c r="T32" s="905"/>
      <c r="U32" s="1533"/>
      <c r="V32" s="905"/>
      <c r="W32" s="1531" t="str">
        <f t="shared" si="0"/>
        <v/>
      </c>
      <c r="X32" s="905"/>
      <c r="Y32" s="1531"/>
      <c r="Z32" s="252" t="str">
        <f t="shared" si="1"/>
        <v/>
      </c>
      <c r="AA32" s="1531"/>
      <c r="AB32" s="905"/>
      <c r="AC32" s="1971" t="str">
        <f t="shared" si="6"/>
        <v/>
      </c>
      <c r="AD32" s="905"/>
      <c r="AE32" s="1983" t="str">
        <f t="shared" si="7"/>
        <v/>
      </c>
      <c r="AF32" s="905"/>
      <c r="AG32" s="1546"/>
      <c r="AH32" s="1531"/>
      <c r="AI32" s="1531"/>
      <c r="AJ32" s="1531"/>
      <c r="AK32" s="1531"/>
      <c r="AL32" s="1531"/>
      <c r="AM32" s="1546"/>
      <c r="AN32" s="1531"/>
      <c r="AO32" s="1546"/>
      <c r="AP32" s="1531"/>
      <c r="AQ32" s="1531"/>
      <c r="AR32" s="1531"/>
      <c r="AS32" s="1531"/>
      <c r="AT32" s="1531"/>
      <c r="AU32" s="1531"/>
      <c r="AV32" s="1531"/>
      <c r="AW32" s="1531"/>
      <c r="AX32" s="1531"/>
      <c r="AY32" s="1531"/>
      <c r="AZ32" s="1531"/>
      <c r="BA32" s="1546"/>
      <c r="BB32" s="1531"/>
      <c r="BC32" s="1531"/>
      <c r="BD32" s="1531"/>
      <c r="BE32" s="1531"/>
      <c r="BF32" s="1531"/>
      <c r="BG32" s="1531"/>
      <c r="BH32" s="1531"/>
      <c r="BI32" s="1535"/>
      <c r="BJ32" s="1534"/>
      <c r="BK32" s="1535"/>
      <c r="BL32" s="1534"/>
      <c r="BM32" s="1535"/>
      <c r="BN32" s="1534"/>
      <c r="BO32" s="1535"/>
      <c r="BP32" s="1534"/>
      <c r="BQ32" s="1535"/>
      <c r="BR32" s="1534"/>
      <c r="BS32" s="1535"/>
      <c r="BT32" s="1534"/>
      <c r="BU32" s="1535"/>
      <c r="BV32" s="1534"/>
      <c r="BW32" s="1535"/>
      <c r="BX32" s="1534"/>
      <c r="BY32" s="1535"/>
      <c r="BZ32" s="1534"/>
      <c r="CA32" s="1535"/>
      <c r="CB32" s="1534"/>
      <c r="CC32" s="1535"/>
      <c r="CD32" s="1534"/>
      <c r="CE32" s="1534"/>
      <c r="CF32" s="1535"/>
      <c r="CG32" s="1534"/>
      <c r="CH32" s="1535"/>
      <c r="CI32" s="1534"/>
      <c r="CJ32" s="1535"/>
      <c r="CK32" s="1534"/>
      <c r="CL32" s="1535"/>
      <c r="CM32" s="1534"/>
      <c r="CN32" s="1535"/>
      <c r="CO32" s="1534"/>
      <c r="CP32" s="1535"/>
      <c r="CQ32" s="1534"/>
      <c r="CR32" s="1535"/>
      <c r="CS32" s="1534"/>
      <c r="CT32" s="1535"/>
      <c r="CU32" s="1535"/>
      <c r="CV32" s="1531"/>
      <c r="CW32" s="898" t="str">
        <f t="shared" si="2"/>
        <v/>
      </c>
      <c r="CX32" s="898" t="str">
        <f>IFERROR(IF(AND(S32="",S32&lt;&gt;""),1913,VLOOKUP(S32,Valid!$B$99:$J$120,9)),"")</f>
        <v/>
      </c>
      <c r="CY32" s="898" t="str">
        <f t="shared" ca="1" si="3"/>
        <v/>
      </c>
      <c r="CZ32" s="1547" t="str">
        <f t="shared" ca="1" si="8"/>
        <v/>
      </c>
      <c r="DA32" s="898"/>
      <c r="DB32" s="898" t="str">
        <f t="shared" si="4"/>
        <v/>
      </c>
      <c r="DC32" s="898" t="str">
        <f t="shared" si="5"/>
        <v/>
      </c>
      <c r="DD32" s="1539" t="str">
        <f>IFERROR(IF(AND(AM32="",C32&lt;&gt;""),Valid!$E$123,VLOOKUP(AM32,Valid!$B$123:$F$125,4,FALSE)),"")</f>
        <v/>
      </c>
      <c r="DE32" s="1539" t="str">
        <f>IFERROR(IF(AND(AM32="",C32&lt;&gt;""),Valid!$F$123,VLOOKUP(AM32,Valid!$B$123:$F$125,5,FALSE)),"")</f>
        <v/>
      </c>
      <c r="DF32" s="1539" t="str">
        <f>IFERROR(VLOOKUP('A-70 RevVehInv'!S32,Valid!$B$99:$I$120,7), "")</f>
        <v/>
      </c>
      <c r="DG32" s="1539" t="str">
        <f>IFERROR(VLOOKUP(S32,Valid!$B$99:$I$120,8), "")</f>
        <v/>
      </c>
      <c r="DH32" s="1531"/>
    </row>
    <row r="33" spans="1:112" s="930" customFormat="1" x14ac:dyDescent="0.2">
      <c r="A33" s="206">
        <v>11</v>
      </c>
      <c r="B33" s="1530">
        <v>11</v>
      </c>
      <c r="C33" s="933"/>
      <c r="D33" s="719" t="str">
        <f>IF(C31="","",IF((C33=""),"Enter RVI ID. then Fill in Columns "&amp;TEXT($I$2,0)&amp;" - "&amp;TEXT($BA$2,0)&amp;"       ",""))</f>
        <v/>
      </c>
      <c r="E33" s="1056" t="str">
        <f>IF(BH33="N/A","",BH33)</f>
        <v/>
      </c>
      <c r="F33" s="1536"/>
      <c r="G33" s="1536"/>
      <c r="H33" s="1536"/>
      <c r="I33" s="1023"/>
      <c r="J33" s="1536" t="str">
        <f>IF(E33&lt;&gt;"","Vehicles?    ","")</f>
        <v/>
      </c>
      <c r="K33" s="1023"/>
      <c r="L33" s="1536" t="str">
        <f>IF(E33&lt;&gt;"","Active Vehicles?     ","")</f>
        <v/>
      </c>
      <c r="M33" s="1023"/>
      <c r="N33" s="1536" t="str">
        <f>IF(E33&lt;&gt;"","ADA Vehicles?       ","")</f>
        <v/>
      </c>
      <c r="O33" s="1023"/>
      <c r="P33" s="1536" t="str">
        <f>IF(E33&lt;&gt;"","Cont. Vehicles?     ","")</f>
        <v/>
      </c>
      <c r="Q33" s="1024"/>
      <c r="R33" s="894"/>
      <c r="S33" s="1153"/>
      <c r="T33" s="252" t="str">
        <f>IF(E33&lt;&gt;"","Select from Pull-Down List    ","")</f>
        <v/>
      </c>
      <c r="U33" s="933"/>
      <c r="V33" s="252" t="str">
        <f>IF(E33&lt;&gt;"","Select from Pull-Down List    ","")</f>
        <v/>
      </c>
      <c r="W33" s="1766" t="str">
        <f t="shared" si="0"/>
        <v/>
      </c>
      <c r="X33" s="252"/>
      <c r="Y33" s="1988"/>
      <c r="Z33" s="252" t="str">
        <f t="shared" si="1"/>
        <v/>
      </c>
      <c r="AA33" s="139"/>
      <c r="AB33" s="252" t="str">
        <f>IF(E33&lt;&gt;"","Mfg. Yr?    ","")</f>
        <v/>
      </c>
      <c r="AC33" s="1974" t="str">
        <f t="shared" si="6"/>
        <v/>
      </c>
      <c r="AD33" s="252"/>
      <c r="AE33" s="1986" t="str">
        <f t="shared" si="7"/>
        <v/>
      </c>
      <c r="AF33" s="252"/>
      <c r="AG33" s="933"/>
      <c r="AH33" s="252" t="str">
        <f>IF(E33&lt;&gt;"","Select from Pull-Down List    ","")</f>
        <v/>
      </c>
      <c r="AI33" s="933"/>
      <c r="AJ33" s="252" t="str">
        <f>IF(E33&lt;&gt;"","Number?   ","")</f>
        <v/>
      </c>
      <c r="AK33" s="139"/>
      <c r="AL33" s="252" t="str">
        <f>IF(E33&lt;&gt;"","Last Rnwl. Yr?   ","")</f>
        <v/>
      </c>
      <c r="AM33" s="933"/>
      <c r="AN33" s="252" t="str">
        <f>IF(E33&lt;&gt;"","Select from Pull-Down List    ","")</f>
        <v/>
      </c>
      <c r="AO33" s="933"/>
      <c r="AP33" s="252" t="str">
        <f>IF(E33&lt;&gt;"","Select from Pull-Down List    ","")</f>
        <v/>
      </c>
      <c r="AQ33" s="1023"/>
      <c r="AR33" s="252" t="str">
        <f>IF(E33&lt;&gt;"","Feet?    ","")</f>
        <v/>
      </c>
      <c r="AS33" s="1023"/>
      <c r="AT33" s="252" t="str">
        <f>IF(E33&lt;&gt;"","Seats?    ","")</f>
        <v/>
      </c>
      <c r="AU33" s="1023"/>
      <c r="AV33" s="252" t="str">
        <f>IF(E33&lt;&gt;"","Standing?    ","")</f>
        <v/>
      </c>
      <c r="AW33" s="1023"/>
      <c r="AX33" s="252" t="str">
        <f>IF(E33&lt;&gt;"","Mileage?       ","")</f>
        <v/>
      </c>
      <c r="AY33" s="1023"/>
      <c r="AZ33" s="252" t="str">
        <f>IF(E33&lt;&gt;"","Avg. Lifetime Mileage? ","")</f>
        <v/>
      </c>
      <c r="BA33" s="933"/>
      <c r="BB33" s="252" t="str">
        <f>IF(E33&lt;&gt;"","Select from Pull-Down List    ","")</f>
        <v/>
      </c>
      <c r="BC33" s="171"/>
      <c r="BD33" s="252" t="str">
        <f>IF(OR(AO33="OR - Other fuel (describe in Notes)",AG33="ZZZ - Other (describe in Notes)"),"Describe                                                                                                     ","")</f>
        <v/>
      </c>
      <c r="BE33" s="894"/>
      <c r="BF33" s="894"/>
      <c r="BG33" s="894" t="b">
        <f>IF(AND(C33="",C35&lt;&gt;""),TRUE,FALSE)</f>
        <v>0</v>
      </c>
      <c r="BH33" s="888" t="str">
        <f>IF(AND(C33&lt;&gt;"",OR(I33="",K33="",M33="",O33="",S33="",U33="",AA33="",AG33="",AI33="",AO33="",AQ33="",AS33="",AU33="",AW33="",AY33="")),"No",IF(AND(C33="",OR(I33&lt;&gt;"",K33&lt;&gt;"",M33&lt;&gt;"",O33&lt;&gt;"",S33&lt;&gt;"",U33&lt;&gt;"",AA33&lt;&gt;"",AG33&lt;&gt;"",AI33&lt;&gt;"",AK33&lt;&gt;"",AM33&lt;&gt;"",AO33&lt;&gt;"",AQ33&lt;&gt;"",AS33&lt;&gt;"",AU33&lt;&gt;"",AW33&lt;&gt;"",AY33&lt;&gt;"",BA33&lt;&gt;"",BC33&lt;&gt;"")),"No",IF(AND(C33="",I33="",K33="",M33="",O33="",S33="",U33="",AA33="",AG33="",AI33="",AK33="",AM33="",AO33="",AQ33="",AS33="",AU33="",AW33="",AY33="",BA33=""),"N/A","Yes")))</f>
        <v>N/A</v>
      </c>
      <c r="BI33" s="898"/>
      <c r="BJ33" s="899" t="b">
        <f>IF(AND(OR(I33&lt;&gt;"",K33&lt;&gt;"",M33&lt;&gt;"",O33&lt;&gt;"",S33&lt;&gt;"",U33&lt;&gt;"",AA33&lt;&gt;"",AG33&lt;&gt;"",AI33&lt;&gt;"",AK33&lt;&gt;"",AM33&lt;&gt;"",AO33&lt;&gt;"",AQ33&lt;&gt;"",AS33&lt;&gt;"",AW33&lt;&gt;"",AY33&lt;&gt;"",BA33&lt;&gt;"",BC33&lt;&gt;""),C33=""),TRUE,FALSE)</f>
        <v>0</v>
      </c>
      <c r="BK33" s="898" t="b">
        <f>IF(BL33=TRUE,FALSE,IF(SUM(K33,O33)&gt;I33,TRUE,FALSE))</f>
        <v>0</v>
      </c>
      <c r="BL33" s="899" t="b">
        <f>IF(AND(C33&lt;&gt;"",I33=""),TRUE,FALSE)</f>
        <v>0</v>
      </c>
      <c r="BM33" s="898" t="b">
        <f>IF(BN33=TRUE,FALSE,IF(M33&gt;K33,TRUE,FALSE))</f>
        <v>0</v>
      </c>
      <c r="BN33" s="899" t="b">
        <f>IF(AND($C33&lt;&gt;"",K33=""),TRUE,FALSE)</f>
        <v>0</v>
      </c>
      <c r="BO33" s="898"/>
      <c r="BP33" s="899" t="b">
        <f>IF(AND($C33&lt;&gt;"",M33=""),TRUE,FALSE)</f>
        <v>0</v>
      </c>
      <c r="BQ33" s="898"/>
      <c r="BR33" s="899" t="b">
        <f>IF(AND($C33&lt;&gt;"",O33=""),TRUE,FALSE)</f>
        <v>0</v>
      </c>
      <c r="BS33" s="898" t="b">
        <f>IF(AND(S33="",OR(U33&lt;&gt;"",AA33&lt;&gt;"",AG33&lt;&gt;"",AI33&lt;&gt;"",AK33&lt;&gt;"",AM33&lt;&gt;"",AO33&lt;&gt;"",AQ33&lt;&gt;"",AS33&lt;&gt;"",AU33&lt;&gt;"",AW33&lt;&gt;"",AY33&lt;&gt;"",BA33&lt;&gt;"")),TRUE,FALSE)</f>
        <v>0</v>
      </c>
      <c r="BT33" s="899" t="b">
        <f>IF(AND($C33&lt;&gt;"",S33=""),TRUE,FALSE)</f>
        <v>0</v>
      </c>
      <c r="BU33" s="898"/>
      <c r="BV33" s="899" t="b">
        <f>IF(AND($C33&lt;&gt;"",U33=""),TRUE,FALSE)</f>
        <v>0</v>
      </c>
      <c r="BW33" s="1537" t="b">
        <f>IF(BX33=TRUE,FALSE,IF(AA33="",FALSE,IF(OR(AA33&lt;CX33,AA33&gt;BaseYear),TRUE,FALSE)))</f>
        <v>0</v>
      </c>
      <c r="BX33" s="899" t="b">
        <f>IF(AND($C33&lt;&gt;"",AA33=""),TRUE,FALSE)</f>
        <v>0</v>
      </c>
      <c r="BY33" s="898"/>
      <c r="BZ33" s="899" t="b">
        <f>IF(AND($C33&lt;&gt;"",AG33=""),TRUE,FALSE)</f>
        <v>0</v>
      </c>
      <c r="CA33" s="898"/>
      <c r="CB33" s="899" t="b">
        <f>IF(AND($C33&lt;&gt;"",AI33=""),TRUE,FALSE)</f>
        <v>0</v>
      </c>
      <c r="CC33" s="1537" t="b">
        <f>IF(AK33="",FALSE,IF(OR(AK33&lt;CX33,AK33&gt;BaseYear),TRUE,FALSE))</f>
        <v>0</v>
      </c>
      <c r="CD33" s="1538" t="b">
        <f>IF(AK33="",FALSE,IF(AK33&lt;AA33,TRUE,FALSE))</f>
        <v>0</v>
      </c>
      <c r="CE33" s="899" t="b">
        <f>IF(AND($AM33&lt;&gt;"",AK33=""),TRUE,FALSE)</f>
        <v>0</v>
      </c>
      <c r="CF33" s="898"/>
      <c r="CG33" s="899" t="b">
        <f>IF(AND($AK33&lt;&gt;"",AM33=""),TRUE,FALSE)</f>
        <v>0</v>
      </c>
      <c r="CH33" s="898"/>
      <c r="CI33" s="899" t="b">
        <f>IF(AND($C33&lt;&gt;"",AO33=""),TRUE,FALSE)</f>
        <v>0</v>
      </c>
      <c r="CJ33" s="1537"/>
      <c r="CK33" s="899" t="b">
        <f>IF(AND($C33&lt;&gt;"",AQ33=""),TRUE,FALSE)</f>
        <v>0</v>
      </c>
      <c r="CL33" s="898"/>
      <c r="CM33" s="899" t="b">
        <f>IF(AND($C33&lt;&gt;"",AS33=""),TRUE,FALSE)</f>
        <v>0</v>
      </c>
      <c r="CN33" s="898"/>
      <c r="CO33" s="899" t="b">
        <f>IF(AND($C33&lt;&gt;"",AU33=""),TRUE,FALSE)</f>
        <v>0</v>
      </c>
      <c r="CP33" s="898"/>
      <c r="CQ33" s="899" t="b">
        <f>IF(AND($C33&lt;&gt;"",AW33=""),TRUE,FALSE)</f>
        <v>0</v>
      </c>
      <c r="CR33" s="898"/>
      <c r="CS33" s="899" t="b">
        <f>IF(AND($C33&lt;&gt;"",AY33=""),TRUE,FALSE)</f>
        <v>0</v>
      </c>
      <c r="CT33" s="898"/>
      <c r="CU33" s="898" t="b">
        <f>IF(AND($C33&lt;&gt;"",BA33=""),TRUE,FALSE)</f>
        <v>0</v>
      </c>
      <c r="CV33" s="894"/>
      <c r="CW33" s="898" t="str">
        <f t="shared" si="2"/>
        <v/>
      </c>
      <c r="CX33" s="898" t="str">
        <f>IFERROR(IF(AND(S33="",S33&lt;&gt;""),1913,VLOOKUP(S33,Valid!$B$99:$J$120,9)),"")</f>
        <v/>
      </c>
      <c r="CY33" s="898" t="str">
        <f t="shared" ca="1" si="3"/>
        <v/>
      </c>
      <c r="CZ33" s="1547" t="str">
        <f t="shared" ca="1" si="8"/>
        <v/>
      </c>
      <c r="DA33" s="898" t="str">
        <f ca="1">IF(CZ33="", "", IF(1+(CZ33*4)&lt;1, 1, 1+(CZ33*4)))</f>
        <v/>
      </c>
      <c r="DB33" s="898" t="str">
        <f t="shared" si="4"/>
        <v/>
      </c>
      <c r="DC33" s="898" t="str">
        <f t="shared" si="5"/>
        <v/>
      </c>
      <c r="DD33" s="1539" t="str">
        <f>IFERROR(IF(AND(AM33="",C33&lt;&gt;""),Valid!$E$123,VLOOKUP(AM33,Valid!$B$123:$F$125,4,FALSE)),"")</f>
        <v/>
      </c>
      <c r="DE33" s="1539" t="str">
        <f>IFERROR(IF(AND(AM33="",C33&lt;&gt;""),Valid!$F$123,VLOOKUP(AM33,Valid!$B$123:$F$125,5,FALSE)),"")</f>
        <v/>
      </c>
      <c r="DF33" s="1539" t="str">
        <f>IFERROR(VLOOKUP('A-70 RevVehInv'!S33,Valid!$B$99:$I$120,7), "")</f>
        <v/>
      </c>
      <c r="DG33" s="1539" t="str">
        <f>IFERROR(VLOOKUP(S33,Valid!$B$99:$I$120,8), "")</f>
        <v/>
      </c>
      <c r="DH33" s="894"/>
    </row>
    <row r="34" spans="1:112" ht="6.75" customHeight="1" x14ac:dyDescent="0.2">
      <c r="A34" s="1516"/>
      <c r="B34" s="1530">
        <v>11.5</v>
      </c>
      <c r="C34" s="1540"/>
      <c r="D34" s="905"/>
      <c r="E34" s="1541"/>
      <c r="F34" s="905"/>
      <c r="G34" s="905"/>
      <c r="H34" s="905"/>
      <c r="I34" s="1534"/>
      <c r="J34" s="905"/>
      <c r="K34" s="1534"/>
      <c r="L34" s="905"/>
      <c r="M34" s="1534"/>
      <c r="N34" s="905"/>
      <c r="O34" s="1534"/>
      <c r="P34" s="905"/>
      <c r="Q34" s="1534"/>
      <c r="R34" s="1531"/>
      <c r="S34" s="1542"/>
      <c r="T34" s="905"/>
      <c r="U34" s="1542"/>
      <c r="V34" s="905"/>
      <c r="W34" s="1534" t="str">
        <f t="shared" si="0"/>
        <v/>
      </c>
      <c r="X34" s="905"/>
      <c r="Y34" s="1534"/>
      <c r="Z34" s="252" t="str">
        <f t="shared" si="1"/>
        <v/>
      </c>
      <c r="AA34" s="1534"/>
      <c r="AB34" s="905"/>
      <c r="AC34" s="1973" t="str">
        <f t="shared" si="6"/>
        <v/>
      </c>
      <c r="AD34" s="905"/>
      <c r="AE34" s="1985" t="str">
        <f t="shared" si="7"/>
        <v/>
      </c>
      <c r="AF34" s="905"/>
      <c r="AG34" s="1543"/>
      <c r="AH34" s="1531"/>
      <c r="AI34" s="1534"/>
      <c r="AJ34" s="1531"/>
      <c r="AK34" s="1534"/>
      <c r="AL34" s="1531"/>
      <c r="AM34" s="1543"/>
      <c r="AN34" s="1531"/>
      <c r="AO34" s="1543"/>
      <c r="AP34" s="1531"/>
      <c r="AQ34" s="1534"/>
      <c r="AR34" s="1531"/>
      <c r="AS34" s="1534"/>
      <c r="AT34" s="1531"/>
      <c r="AU34" s="1534"/>
      <c r="AV34" s="1531"/>
      <c r="AW34" s="1534"/>
      <c r="AX34" s="1531"/>
      <c r="AY34" s="1534"/>
      <c r="AZ34" s="1531"/>
      <c r="BA34" s="1543"/>
      <c r="BB34" s="1531"/>
      <c r="BC34" s="1534"/>
      <c r="BD34" s="1531"/>
      <c r="BE34" s="1531"/>
      <c r="BF34" s="1531"/>
      <c r="BG34" s="1531"/>
      <c r="BH34" s="1531"/>
      <c r="BI34" s="1535"/>
      <c r="BJ34" s="1534"/>
      <c r="BK34" s="1535"/>
      <c r="BL34" s="1534"/>
      <c r="BM34" s="1535"/>
      <c r="BN34" s="1534"/>
      <c r="BO34" s="1535"/>
      <c r="BP34" s="1534"/>
      <c r="BQ34" s="1535"/>
      <c r="BR34" s="1534"/>
      <c r="BS34" s="1535"/>
      <c r="BT34" s="1534"/>
      <c r="BU34" s="1535"/>
      <c r="BV34" s="1534"/>
      <c r="BW34" s="1535"/>
      <c r="BX34" s="1534"/>
      <c r="BY34" s="1535"/>
      <c r="BZ34" s="1534"/>
      <c r="CA34" s="1535"/>
      <c r="CB34" s="1534"/>
      <c r="CC34" s="1535"/>
      <c r="CD34" s="1534"/>
      <c r="CE34" s="1534"/>
      <c r="CF34" s="1535"/>
      <c r="CG34" s="1534"/>
      <c r="CH34" s="1535"/>
      <c r="CI34" s="1534"/>
      <c r="CJ34" s="1535"/>
      <c r="CK34" s="1534"/>
      <c r="CL34" s="1535"/>
      <c r="CM34" s="1534"/>
      <c r="CN34" s="1535"/>
      <c r="CO34" s="1534"/>
      <c r="CP34" s="1535"/>
      <c r="CQ34" s="1534"/>
      <c r="CR34" s="1535"/>
      <c r="CS34" s="1534"/>
      <c r="CT34" s="1535"/>
      <c r="CU34" s="1535"/>
      <c r="CV34" s="1531"/>
      <c r="CW34" s="898" t="str">
        <f t="shared" si="2"/>
        <v/>
      </c>
      <c r="CX34" s="898" t="str">
        <f>IFERROR(IF(AND(S34="",S34&lt;&gt;""),1913,VLOOKUP(S34,Valid!$B$99:$J$120,9)),"")</f>
        <v/>
      </c>
      <c r="CY34" s="898" t="str">
        <f t="shared" ca="1" si="3"/>
        <v/>
      </c>
      <c r="CZ34" s="1547" t="str">
        <f t="shared" ca="1" si="8"/>
        <v/>
      </c>
      <c r="DA34" s="898"/>
      <c r="DB34" s="898" t="str">
        <f t="shared" si="4"/>
        <v/>
      </c>
      <c r="DC34" s="898" t="str">
        <f t="shared" si="5"/>
        <v/>
      </c>
      <c r="DD34" s="1539" t="str">
        <f>IFERROR(IF(AND(AM34="",C34&lt;&gt;""),Valid!$E$123,VLOOKUP(AM34,Valid!$B$123:$F$125,4,FALSE)),"")</f>
        <v/>
      </c>
      <c r="DE34" s="1539" t="str">
        <f>IFERROR(IF(AND(AM34="",C34&lt;&gt;""),Valid!$F$123,VLOOKUP(AM34,Valid!$B$123:$F$125,5,FALSE)),"")</f>
        <v/>
      </c>
      <c r="DF34" s="1539" t="str">
        <f>IFERROR(VLOOKUP('A-70 RevVehInv'!S34,Valid!$B$99:$I$120,7), "")</f>
        <v/>
      </c>
      <c r="DG34" s="1539" t="str">
        <f>IFERROR(VLOOKUP(S34,Valid!$B$99:$I$120,8), "")</f>
        <v/>
      </c>
      <c r="DH34" s="1531"/>
    </row>
    <row r="35" spans="1:112" s="930" customFormat="1" x14ac:dyDescent="0.2">
      <c r="A35" s="206">
        <v>12</v>
      </c>
      <c r="B35" s="1530">
        <v>12</v>
      </c>
      <c r="C35" s="933"/>
      <c r="D35" s="719" t="str">
        <f>IF(C33="","",IF((C35=""),"Enter RVI ID. then Fill in Columns "&amp;TEXT($I$2,0)&amp;" - "&amp;TEXT($BA$2,0)&amp;"       ",""))</f>
        <v/>
      </c>
      <c r="E35" s="1056" t="str">
        <f>IF(BH35="N/A","",BH35)</f>
        <v/>
      </c>
      <c r="F35" s="1536"/>
      <c r="G35" s="1536"/>
      <c r="H35" s="1536"/>
      <c r="I35" s="1023"/>
      <c r="J35" s="1536" t="str">
        <f>IF(E35&lt;&gt;"","Vehicles?    ","")</f>
        <v/>
      </c>
      <c r="K35" s="1023"/>
      <c r="L35" s="1536" t="str">
        <f>IF(E35&lt;&gt;"","Active Vehicles?     ","")</f>
        <v/>
      </c>
      <c r="M35" s="1023"/>
      <c r="N35" s="1536" t="str">
        <f>IF(E35&lt;&gt;"","ADA Vehicles?       ","")</f>
        <v/>
      </c>
      <c r="O35" s="1023"/>
      <c r="P35" s="1536" t="str">
        <f>IF(E35&lt;&gt;"","Cont. Vehicles?     ","")</f>
        <v/>
      </c>
      <c r="Q35" s="1024"/>
      <c r="R35" s="894"/>
      <c r="S35" s="1153"/>
      <c r="T35" s="252" t="str">
        <f>IF(E35&lt;&gt;"","Select from Pull-Down List    ","")</f>
        <v/>
      </c>
      <c r="U35" s="933"/>
      <c r="V35" s="252" t="str">
        <f>IF(E35&lt;&gt;"","Select from Pull-Down List    ","")</f>
        <v/>
      </c>
      <c r="W35" s="1766" t="str">
        <f t="shared" si="0"/>
        <v/>
      </c>
      <c r="X35" s="252"/>
      <c r="Y35" s="1988"/>
      <c r="Z35" s="252" t="str">
        <f t="shared" si="1"/>
        <v/>
      </c>
      <c r="AA35" s="139"/>
      <c r="AB35" s="252" t="str">
        <f>IF(E35&lt;&gt;"","Mfg. Yr?    ","")</f>
        <v/>
      </c>
      <c r="AC35" s="1974" t="str">
        <f t="shared" si="6"/>
        <v/>
      </c>
      <c r="AD35" s="252"/>
      <c r="AE35" s="1986" t="str">
        <f t="shared" si="7"/>
        <v/>
      </c>
      <c r="AF35" s="252"/>
      <c r="AG35" s="933"/>
      <c r="AH35" s="252" t="str">
        <f>IF(E35&lt;&gt;"","Select from Pull-Down List    ","")</f>
        <v/>
      </c>
      <c r="AI35" s="933"/>
      <c r="AJ35" s="252" t="str">
        <f>IF(E35&lt;&gt;"","Number?   ","")</f>
        <v/>
      </c>
      <c r="AK35" s="139"/>
      <c r="AL35" s="252" t="str">
        <f>IF(E35&lt;&gt;"","Last Rnwl. Yr?   ","")</f>
        <v/>
      </c>
      <c r="AM35" s="933"/>
      <c r="AN35" s="252" t="str">
        <f>IF(E35&lt;&gt;"","Select from Pull-Down List    ","")</f>
        <v/>
      </c>
      <c r="AO35" s="933"/>
      <c r="AP35" s="252" t="str">
        <f>IF(E35&lt;&gt;"","Select from Pull-Down List    ","")</f>
        <v/>
      </c>
      <c r="AQ35" s="1023"/>
      <c r="AR35" s="252" t="str">
        <f>IF(E35&lt;&gt;"","Feet?    ","")</f>
        <v/>
      </c>
      <c r="AS35" s="1023"/>
      <c r="AT35" s="252" t="str">
        <f>IF(E35&lt;&gt;"","Seats?    ","")</f>
        <v/>
      </c>
      <c r="AU35" s="1023"/>
      <c r="AV35" s="252" t="str">
        <f>IF(E35&lt;&gt;"","Standing?    ","")</f>
        <v/>
      </c>
      <c r="AW35" s="1023"/>
      <c r="AX35" s="252" t="str">
        <f>IF(E35&lt;&gt;"","Mileage?       ","")</f>
        <v/>
      </c>
      <c r="AY35" s="1023"/>
      <c r="AZ35" s="252" t="str">
        <f>IF(E35&lt;&gt;"","Avg. Lifetime Mileage? ","")</f>
        <v/>
      </c>
      <c r="BA35" s="933"/>
      <c r="BB35" s="252" t="str">
        <f>IF(E35&lt;&gt;"","Select from Pull-Down List    ","")</f>
        <v/>
      </c>
      <c r="BC35" s="171"/>
      <c r="BD35" s="252" t="str">
        <f>IF(OR(AO35="OR - Other fuel (describe in Notes)",AG35="ZZZ - Other (describe in Notes)"),"Describe                                                                                                     ","")</f>
        <v/>
      </c>
      <c r="BE35" s="894"/>
      <c r="BF35" s="894"/>
      <c r="BG35" s="894" t="b">
        <f>IF(AND(C35="",C37&lt;&gt;""),TRUE,FALSE)</f>
        <v>0</v>
      </c>
      <c r="BH35" s="888" t="str">
        <f>IF(AND(C35&lt;&gt;"",OR(I35="",K35="",M35="",O35="",S35="",U35="",AA35="",AG35="",AI35="",AO35="",AQ35="",AS35="",AU35="",AW35="",AY35="")),"No",IF(AND(C35="",OR(I35&lt;&gt;"",K35&lt;&gt;"",M35&lt;&gt;"",O35&lt;&gt;"",S35&lt;&gt;"",U35&lt;&gt;"",AA35&lt;&gt;"",AG35&lt;&gt;"",AI35&lt;&gt;"",AK35&lt;&gt;"",AM35&lt;&gt;"",AO35&lt;&gt;"",AQ35&lt;&gt;"",AS35&lt;&gt;"",AU35&lt;&gt;"",AW35&lt;&gt;"",AY35&lt;&gt;"",BA35&lt;&gt;"",BC35&lt;&gt;"")),"No",IF(AND(C35="",I35="",K35="",M35="",O35="",S35="",U35="",AA35="",AG35="",AI35="",AK35="",AM35="",AO35="",AQ35="",AS35="",AU35="",AW35="",AY35="",BA35=""),"N/A","Yes")))</f>
        <v>N/A</v>
      </c>
      <c r="BI35" s="898"/>
      <c r="BJ35" s="899" t="b">
        <f>IF(AND(OR(I35&lt;&gt;"",K35&lt;&gt;"",M35&lt;&gt;"",O35&lt;&gt;"",S35&lt;&gt;"",U35&lt;&gt;"",AA35&lt;&gt;"",AG35&lt;&gt;"",AI35&lt;&gt;"",AK35&lt;&gt;"",AM35&lt;&gt;"",AO35&lt;&gt;"",AQ35&lt;&gt;"",AS35&lt;&gt;"",AW35&lt;&gt;"",AY35&lt;&gt;"",BA35&lt;&gt;"",BC35&lt;&gt;""),C35=""),TRUE,FALSE)</f>
        <v>0</v>
      </c>
      <c r="BK35" s="898" t="b">
        <f>IF(BL35=TRUE,FALSE,IF(SUM(K35,O35)&gt;I35,TRUE,FALSE))</f>
        <v>0</v>
      </c>
      <c r="BL35" s="899" t="b">
        <f>IF(AND(C35&lt;&gt;"",I35=""),TRUE,FALSE)</f>
        <v>0</v>
      </c>
      <c r="BM35" s="898" t="b">
        <f>IF(BN35=TRUE,FALSE,IF(M35&gt;K35,TRUE,FALSE))</f>
        <v>0</v>
      </c>
      <c r="BN35" s="899" t="b">
        <f>IF(AND($C35&lt;&gt;"",K35=""),TRUE,FALSE)</f>
        <v>0</v>
      </c>
      <c r="BO35" s="898"/>
      <c r="BP35" s="899" t="b">
        <f>IF(AND($C35&lt;&gt;"",M35=""),TRUE,FALSE)</f>
        <v>0</v>
      </c>
      <c r="BQ35" s="898"/>
      <c r="BR35" s="899" t="b">
        <f>IF(AND($C35&lt;&gt;"",O35=""),TRUE,FALSE)</f>
        <v>0</v>
      </c>
      <c r="BS35" s="898" t="b">
        <f>IF(AND(S35="",OR(U35&lt;&gt;"",AA35&lt;&gt;"",AG35&lt;&gt;"",AI35&lt;&gt;"",AK35&lt;&gt;"",AM35&lt;&gt;"",AO35&lt;&gt;"",AQ35&lt;&gt;"",AS35&lt;&gt;"",AU35&lt;&gt;"",AW35&lt;&gt;"",AY35&lt;&gt;"",BA35&lt;&gt;"")),TRUE,FALSE)</f>
        <v>0</v>
      </c>
      <c r="BT35" s="899" t="b">
        <f>IF(AND($C35&lt;&gt;"",S35=""),TRUE,FALSE)</f>
        <v>0</v>
      </c>
      <c r="BU35" s="898"/>
      <c r="BV35" s="899" t="b">
        <f>IF(AND($C35&lt;&gt;"",U35=""),TRUE,FALSE)</f>
        <v>0</v>
      </c>
      <c r="BW35" s="1537" t="b">
        <f>IF(BX35=TRUE,FALSE,IF(AA35="",FALSE,IF(OR(AA35&lt;CX35,AA35&gt;BaseYear),TRUE,FALSE)))</f>
        <v>0</v>
      </c>
      <c r="BX35" s="899" t="b">
        <f>IF(AND($C35&lt;&gt;"",AA35=""),TRUE,FALSE)</f>
        <v>0</v>
      </c>
      <c r="BY35" s="898"/>
      <c r="BZ35" s="899" t="b">
        <f>IF(AND($C35&lt;&gt;"",AG35=""),TRUE,FALSE)</f>
        <v>0</v>
      </c>
      <c r="CA35" s="898"/>
      <c r="CB35" s="899" t="b">
        <f>IF(AND($C35&lt;&gt;"",AI35=""),TRUE,FALSE)</f>
        <v>0</v>
      </c>
      <c r="CC35" s="1537" t="b">
        <f>IF(AK35="",FALSE,IF(OR(AK35&lt;CX35,AK35&gt;BaseYear),TRUE,FALSE))</f>
        <v>0</v>
      </c>
      <c r="CD35" s="1538" t="b">
        <f>IF(AK35="",FALSE,IF(AK35&lt;AA35,TRUE,FALSE))</f>
        <v>0</v>
      </c>
      <c r="CE35" s="899" t="b">
        <f>IF(AND($AM35&lt;&gt;"",AK35=""),TRUE,FALSE)</f>
        <v>0</v>
      </c>
      <c r="CF35" s="898"/>
      <c r="CG35" s="899" t="b">
        <f>IF(AND($AK35&lt;&gt;"",AM35=""),TRUE,FALSE)</f>
        <v>0</v>
      </c>
      <c r="CH35" s="898"/>
      <c r="CI35" s="899" t="b">
        <f>IF(AND($C35&lt;&gt;"",AO35=""),TRUE,FALSE)</f>
        <v>0</v>
      </c>
      <c r="CJ35" s="1537"/>
      <c r="CK35" s="899" t="b">
        <f>IF(AND($C35&lt;&gt;"",AQ35=""),TRUE,FALSE)</f>
        <v>0</v>
      </c>
      <c r="CL35" s="898"/>
      <c r="CM35" s="899" t="b">
        <f>IF(AND($C35&lt;&gt;"",AS35=""),TRUE,FALSE)</f>
        <v>0</v>
      </c>
      <c r="CN35" s="898"/>
      <c r="CO35" s="899" t="b">
        <f>IF(AND($C35&lt;&gt;"",AU35=""),TRUE,FALSE)</f>
        <v>0</v>
      </c>
      <c r="CP35" s="898"/>
      <c r="CQ35" s="899" t="b">
        <f>IF(AND($C35&lt;&gt;"",AW35=""),TRUE,FALSE)</f>
        <v>0</v>
      </c>
      <c r="CR35" s="898"/>
      <c r="CS35" s="899" t="b">
        <f>IF(AND($C35&lt;&gt;"",AY35=""),TRUE,FALSE)</f>
        <v>0</v>
      </c>
      <c r="CT35" s="898"/>
      <c r="CU35" s="898" t="b">
        <f>IF(AND($C35&lt;&gt;"",BA35=""),TRUE,FALSE)</f>
        <v>0</v>
      </c>
      <c r="CV35" s="894"/>
      <c r="CW35" s="898" t="str">
        <f t="shared" si="2"/>
        <v/>
      </c>
      <c r="CX35" s="898" t="str">
        <f>IFERROR(IF(AND(S35="",S35&lt;&gt;""),1913,VLOOKUP(S35,Valid!$B$99:$J$120,9)),"")</f>
        <v/>
      </c>
      <c r="CY35" s="898" t="str">
        <f t="shared" ca="1" si="3"/>
        <v/>
      </c>
      <c r="CZ35" s="1547" t="str">
        <f t="shared" ca="1" si="8"/>
        <v/>
      </c>
      <c r="DA35" s="898" t="str">
        <f ca="1">IF(CZ35="", "", IF(1+(CZ35*4)&lt;1, 1, 1+(CZ35*4)))</f>
        <v/>
      </c>
      <c r="DB35" s="898" t="str">
        <f t="shared" si="4"/>
        <v/>
      </c>
      <c r="DC35" s="898" t="str">
        <f t="shared" si="5"/>
        <v/>
      </c>
      <c r="DD35" s="1539" t="str">
        <f>IFERROR(IF(AND(AM35="",C35&lt;&gt;""),Valid!$E$123,VLOOKUP(AM35,Valid!$B$123:$F$125,4,FALSE)),"")</f>
        <v/>
      </c>
      <c r="DE35" s="1539" t="str">
        <f>IFERROR(IF(AND(AM35="",C35&lt;&gt;""),Valid!$F$123,VLOOKUP(AM35,Valid!$B$123:$F$125,5,FALSE)),"")</f>
        <v/>
      </c>
      <c r="DF35" s="1539" t="str">
        <f>IFERROR(VLOOKUP('A-70 RevVehInv'!S35,Valid!$B$99:$I$120,7), "")</f>
        <v/>
      </c>
      <c r="DG35" s="1539" t="str">
        <f>IFERROR(VLOOKUP(S35,Valid!$B$99:$I$120,8), "")</f>
        <v/>
      </c>
      <c r="DH35" s="894"/>
    </row>
    <row r="36" spans="1:112" ht="6.75" customHeight="1" x14ac:dyDescent="0.2">
      <c r="A36" s="1516"/>
      <c r="B36" s="1530">
        <v>12.5</v>
      </c>
      <c r="C36" s="1544"/>
      <c r="D36" s="905"/>
      <c r="E36" s="1545"/>
      <c r="F36" s="905"/>
      <c r="G36" s="905"/>
      <c r="H36" s="905"/>
      <c r="I36" s="1531"/>
      <c r="J36" s="905"/>
      <c r="K36" s="1531"/>
      <c r="L36" s="905"/>
      <c r="M36" s="1531"/>
      <c r="N36" s="905"/>
      <c r="O36" s="1531"/>
      <c r="P36" s="905"/>
      <c r="Q36" s="1531"/>
      <c r="R36" s="1531"/>
      <c r="S36" s="1533"/>
      <c r="T36" s="905"/>
      <c r="U36" s="1533"/>
      <c r="V36" s="905"/>
      <c r="W36" s="1531" t="str">
        <f t="shared" si="0"/>
        <v/>
      </c>
      <c r="X36" s="905"/>
      <c r="Y36" s="1531"/>
      <c r="Z36" s="252" t="str">
        <f t="shared" si="1"/>
        <v/>
      </c>
      <c r="AA36" s="1531"/>
      <c r="AB36" s="905"/>
      <c r="AC36" s="1971" t="str">
        <f t="shared" si="6"/>
        <v/>
      </c>
      <c r="AD36" s="905"/>
      <c r="AE36" s="1983" t="str">
        <f t="shared" si="7"/>
        <v/>
      </c>
      <c r="AF36" s="905"/>
      <c r="AG36" s="1546"/>
      <c r="AH36" s="1531"/>
      <c r="AI36" s="1531"/>
      <c r="AJ36" s="1531"/>
      <c r="AK36" s="1531"/>
      <c r="AL36" s="1531"/>
      <c r="AM36" s="1546"/>
      <c r="AN36" s="1531"/>
      <c r="AO36" s="1546"/>
      <c r="AP36" s="1531"/>
      <c r="AQ36" s="1531"/>
      <c r="AR36" s="1531"/>
      <c r="AS36" s="1531"/>
      <c r="AT36" s="1531"/>
      <c r="AU36" s="1531"/>
      <c r="AV36" s="1531"/>
      <c r="AW36" s="1531"/>
      <c r="AX36" s="1531"/>
      <c r="AY36" s="1531"/>
      <c r="AZ36" s="1531"/>
      <c r="BA36" s="1546"/>
      <c r="BB36" s="1531"/>
      <c r="BC36" s="1531"/>
      <c r="BD36" s="1531"/>
      <c r="BE36" s="1531"/>
      <c r="BF36" s="1531"/>
      <c r="BG36" s="1531"/>
      <c r="BH36" s="1531"/>
      <c r="BI36" s="1535"/>
      <c r="BJ36" s="1534"/>
      <c r="BK36" s="1535"/>
      <c r="BL36" s="1534"/>
      <c r="BM36" s="1535"/>
      <c r="BN36" s="1534"/>
      <c r="BO36" s="1535"/>
      <c r="BP36" s="1534"/>
      <c r="BQ36" s="1535"/>
      <c r="BR36" s="1534"/>
      <c r="BS36" s="1535"/>
      <c r="BT36" s="1534"/>
      <c r="BU36" s="1535"/>
      <c r="BV36" s="1534"/>
      <c r="BW36" s="1535"/>
      <c r="BX36" s="1534"/>
      <c r="BY36" s="1535"/>
      <c r="BZ36" s="1534"/>
      <c r="CA36" s="1535"/>
      <c r="CB36" s="1534"/>
      <c r="CC36" s="1535"/>
      <c r="CD36" s="1534"/>
      <c r="CE36" s="1534"/>
      <c r="CF36" s="1535"/>
      <c r="CG36" s="1534"/>
      <c r="CH36" s="1535"/>
      <c r="CI36" s="1534"/>
      <c r="CJ36" s="1535"/>
      <c r="CK36" s="1534"/>
      <c r="CL36" s="1535"/>
      <c r="CM36" s="1534"/>
      <c r="CN36" s="1535"/>
      <c r="CO36" s="1534"/>
      <c r="CP36" s="1535"/>
      <c r="CQ36" s="1534"/>
      <c r="CR36" s="1535"/>
      <c r="CS36" s="1534"/>
      <c r="CT36" s="1535"/>
      <c r="CU36" s="1535"/>
      <c r="CV36" s="1531"/>
      <c r="CW36" s="898" t="str">
        <f t="shared" si="2"/>
        <v/>
      </c>
      <c r="CX36" s="898" t="str">
        <f>IFERROR(IF(AND(S36="",S36&lt;&gt;""),1913,VLOOKUP(S36,Valid!$B$99:$J$120,9)),"")</f>
        <v/>
      </c>
      <c r="CY36" s="898" t="str">
        <f t="shared" ca="1" si="3"/>
        <v/>
      </c>
      <c r="CZ36" s="1547" t="str">
        <f t="shared" ca="1" si="8"/>
        <v/>
      </c>
      <c r="DA36" s="898"/>
      <c r="DB36" s="898" t="str">
        <f t="shared" si="4"/>
        <v/>
      </c>
      <c r="DC36" s="898" t="str">
        <f t="shared" si="5"/>
        <v/>
      </c>
      <c r="DD36" s="1539" t="str">
        <f>IFERROR(IF(AND(AM36="",C36&lt;&gt;""),Valid!$E$123,VLOOKUP(AM36,Valid!$B$123:$F$125,4,FALSE)),"")</f>
        <v/>
      </c>
      <c r="DE36" s="1539" t="str">
        <f>IFERROR(IF(AND(AM36="",C36&lt;&gt;""),Valid!$F$123,VLOOKUP(AM36,Valid!$B$123:$F$125,5,FALSE)),"")</f>
        <v/>
      </c>
      <c r="DF36" s="1539" t="str">
        <f>IFERROR(VLOOKUP('A-70 RevVehInv'!S36,Valid!$B$99:$I$120,7), "")</f>
        <v/>
      </c>
      <c r="DG36" s="1539" t="str">
        <f>IFERROR(VLOOKUP(S36,Valid!$B$99:$I$120,8), "")</f>
        <v/>
      </c>
      <c r="DH36" s="1531"/>
    </row>
    <row r="37" spans="1:112" s="930" customFormat="1" x14ac:dyDescent="0.2">
      <c r="A37" s="206">
        <v>13</v>
      </c>
      <c r="B37" s="1530">
        <v>13</v>
      </c>
      <c r="C37" s="933"/>
      <c r="D37" s="719" t="str">
        <f>IF(C35="","",IF((C37=""),"Enter RVI ID. then Fill in Columns "&amp;TEXT($I$2,0)&amp;" - "&amp;TEXT($BA$2,0)&amp;"       ",""))</f>
        <v/>
      </c>
      <c r="E37" s="1056" t="str">
        <f>IF(BH37="N/A","",BH37)</f>
        <v/>
      </c>
      <c r="F37" s="1536"/>
      <c r="G37" s="1536"/>
      <c r="H37" s="1536"/>
      <c r="I37" s="1023"/>
      <c r="J37" s="1536" t="str">
        <f>IF(E37&lt;&gt;"","Vehicles?    ","")</f>
        <v/>
      </c>
      <c r="K37" s="1023"/>
      <c r="L37" s="1536" t="str">
        <f>IF(E37&lt;&gt;"","Active Vehicles?     ","")</f>
        <v/>
      </c>
      <c r="M37" s="1023"/>
      <c r="N37" s="1536" t="str">
        <f>IF(E37&lt;&gt;"","ADA Vehicles?       ","")</f>
        <v/>
      </c>
      <c r="O37" s="1023"/>
      <c r="P37" s="1536" t="str">
        <f>IF(E37&lt;&gt;"","Cont. Vehicles?     ","")</f>
        <v/>
      </c>
      <c r="Q37" s="1024"/>
      <c r="R37" s="894"/>
      <c r="S37" s="1153"/>
      <c r="T37" s="252" t="str">
        <f>IF(E37&lt;&gt;"","Select from Pull-Down List    ","")</f>
        <v/>
      </c>
      <c r="U37" s="933"/>
      <c r="V37" s="252" t="str">
        <f>IF(E37&lt;&gt;"","Select from Pull-Down List    ","")</f>
        <v/>
      </c>
      <c r="W37" s="1766" t="str">
        <f t="shared" si="0"/>
        <v/>
      </c>
      <c r="X37" s="252"/>
      <c r="Y37" s="1988"/>
      <c r="Z37" s="252" t="str">
        <f t="shared" si="1"/>
        <v/>
      </c>
      <c r="AA37" s="139"/>
      <c r="AB37" s="252" t="str">
        <f>IF(E37&lt;&gt;"","Mfg. Yr?    ","")</f>
        <v/>
      </c>
      <c r="AC37" s="1974" t="str">
        <f t="shared" si="6"/>
        <v/>
      </c>
      <c r="AD37" s="252"/>
      <c r="AE37" s="1986" t="str">
        <f t="shared" si="7"/>
        <v/>
      </c>
      <c r="AF37" s="252"/>
      <c r="AG37" s="933"/>
      <c r="AH37" s="252" t="str">
        <f>IF(E37&lt;&gt;"","Select from Pull-Down List    ","")</f>
        <v/>
      </c>
      <c r="AI37" s="933"/>
      <c r="AJ37" s="252" t="str">
        <f>IF(E37&lt;&gt;"","Number?   ","")</f>
        <v/>
      </c>
      <c r="AK37" s="139"/>
      <c r="AL37" s="252" t="str">
        <f>IF(E37&lt;&gt;"","Last Rnwl. Yr?   ","")</f>
        <v/>
      </c>
      <c r="AM37" s="933"/>
      <c r="AN37" s="252" t="str">
        <f>IF(E37&lt;&gt;"","Select from Pull-Down List    ","")</f>
        <v/>
      </c>
      <c r="AO37" s="933"/>
      <c r="AP37" s="252" t="str">
        <f>IF(E37&lt;&gt;"","Select from Pull-Down List    ","")</f>
        <v/>
      </c>
      <c r="AQ37" s="1023"/>
      <c r="AR37" s="252" t="str">
        <f>IF(E37&lt;&gt;"","Feet?    ","")</f>
        <v/>
      </c>
      <c r="AS37" s="1023"/>
      <c r="AT37" s="252" t="str">
        <f>IF(E37&lt;&gt;"","Seats?    ","")</f>
        <v/>
      </c>
      <c r="AU37" s="1023"/>
      <c r="AV37" s="252" t="str">
        <f>IF(E37&lt;&gt;"","Standing?    ","")</f>
        <v/>
      </c>
      <c r="AW37" s="1023"/>
      <c r="AX37" s="252" t="str">
        <f>IF(E37&lt;&gt;"","Mileage?       ","")</f>
        <v/>
      </c>
      <c r="AY37" s="1023"/>
      <c r="AZ37" s="252" t="str">
        <f>IF(E37&lt;&gt;"","Avg. Lifetime Mileage? ","")</f>
        <v/>
      </c>
      <c r="BA37" s="933"/>
      <c r="BB37" s="252" t="str">
        <f>IF(E37&lt;&gt;"","Select from Pull-Down List    ","")</f>
        <v/>
      </c>
      <c r="BC37" s="171"/>
      <c r="BD37" s="252" t="str">
        <f>IF(OR(AO37="OR - Other fuel (describe in Notes)",AG37="ZZZ - Other (describe in Notes)"),"Describe                                                                                                     ","")</f>
        <v/>
      </c>
      <c r="BE37" s="894"/>
      <c r="BF37" s="894"/>
      <c r="BG37" s="894" t="b">
        <f>IF(AND(C37="",C39&lt;&gt;""),TRUE,FALSE)</f>
        <v>0</v>
      </c>
      <c r="BH37" s="888" t="str">
        <f>IF(AND(C37&lt;&gt;"",OR(I37="",K37="",M37="",O37="",S37="",U37="",AA37="",AG37="",AI37="",AO37="",AQ37="",AS37="",AU37="",AW37="",AY37="")),"No",IF(AND(C37="",OR(I37&lt;&gt;"",K37&lt;&gt;"",M37&lt;&gt;"",O37&lt;&gt;"",S37&lt;&gt;"",U37&lt;&gt;"",AA37&lt;&gt;"",AG37&lt;&gt;"",AI37&lt;&gt;"",AK37&lt;&gt;"",AM37&lt;&gt;"",AO37&lt;&gt;"",AQ37&lt;&gt;"",AS37&lt;&gt;"",AU37&lt;&gt;"",AW37&lt;&gt;"",AY37&lt;&gt;"",BA37&lt;&gt;"",BC37&lt;&gt;"")),"No",IF(AND(C37="",I37="",K37="",M37="",O37="",S37="",U37="",AA37="",AG37="",AI37="",AK37="",AM37="",AO37="",AQ37="",AS37="",AU37="",AW37="",AY37="",BA37=""),"N/A","Yes")))</f>
        <v>N/A</v>
      </c>
      <c r="BI37" s="898"/>
      <c r="BJ37" s="899" t="b">
        <f>IF(AND(OR(I37&lt;&gt;"",K37&lt;&gt;"",M37&lt;&gt;"",O37&lt;&gt;"",S37&lt;&gt;"",U37&lt;&gt;"",AA37&lt;&gt;"",AG37&lt;&gt;"",AI37&lt;&gt;"",AK37&lt;&gt;"",AM37&lt;&gt;"",AO37&lt;&gt;"",AQ37&lt;&gt;"",AS37&lt;&gt;"",AW37&lt;&gt;"",AY37&lt;&gt;"",BA37&lt;&gt;"",BC37&lt;&gt;""),C37=""),TRUE,FALSE)</f>
        <v>0</v>
      </c>
      <c r="BK37" s="898" t="b">
        <f>IF(BL37=TRUE,FALSE,IF(SUM(K37,O37)&gt;I37,TRUE,FALSE))</f>
        <v>0</v>
      </c>
      <c r="BL37" s="899" t="b">
        <f>IF(AND(C37&lt;&gt;"",I37=""),TRUE,FALSE)</f>
        <v>0</v>
      </c>
      <c r="BM37" s="898" t="b">
        <f>IF(BN37=TRUE,FALSE,IF(M37&gt;K37,TRUE,FALSE))</f>
        <v>0</v>
      </c>
      <c r="BN37" s="899" t="b">
        <f>IF(AND($C37&lt;&gt;"",K37=""),TRUE,FALSE)</f>
        <v>0</v>
      </c>
      <c r="BO37" s="898"/>
      <c r="BP37" s="899" t="b">
        <f>IF(AND($C37&lt;&gt;"",M37=""),TRUE,FALSE)</f>
        <v>0</v>
      </c>
      <c r="BQ37" s="898"/>
      <c r="BR37" s="899" t="b">
        <f>IF(AND($C37&lt;&gt;"",O37=""),TRUE,FALSE)</f>
        <v>0</v>
      </c>
      <c r="BS37" s="898" t="b">
        <f>IF(AND(S37="",OR(U37&lt;&gt;"",AA37&lt;&gt;"",AG37&lt;&gt;"",AI37&lt;&gt;"",AK37&lt;&gt;"",AM37&lt;&gt;"",AO37&lt;&gt;"",AQ37&lt;&gt;"",AS37&lt;&gt;"",AU37&lt;&gt;"",AW37&lt;&gt;"",AY37&lt;&gt;"",BA37&lt;&gt;"")),TRUE,FALSE)</f>
        <v>0</v>
      </c>
      <c r="BT37" s="899" t="b">
        <f>IF(AND($C37&lt;&gt;"",S37=""),TRUE,FALSE)</f>
        <v>0</v>
      </c>
      <c r="BU37" s="898"/>
      <c r="BV37" s="899" t="b">
        <f>IF(AND($C37&lt;&gt;"",U37=""),TRUE,FALSE)</f>
        <v>0</v>
      </c>
      <c r="BW37" s="1537" t="b">
        <f>IF(BX37=TRUE,FALSE,IF(AA37="",FALSE,IF(OR(AA37&lt;CX37,AA37&gt;BaseYear),TRUE,FALSE)))</f>
        <v>0</v>
      </c>
      <c r="BX37" s="899" t="b">
        <f>IF(AND($C37&lt;&gt;"",AA37=""),TRUE,FALSE)</f>
        <v>0</v>
      </c>
      <c r="BY37" s="898"/>
      <c r="BZ37" s="899" t="b">
        <f>IF(AND($C37&lt;&gt;"",AG37=""),TRUE,FALSE)</f>
        <v>0</v>
      </c>
      <c r="CA37" s="898"/>
      <c r="CB37" s="899" t="b">
        <f>IF(AND($C37&lt;&gt;"",AI37=""),TRUE,FALSE)</f>
        <v>0</v>
      </c>
      <c r="CC37" s="1537" t="b">
        <f>IF(AK37="",FALSE,IF(OR(AK37&lt;CX37,AK37&gt;BaseYear),TRUE,FALSE))</f>
        <v>0</v>
      </c>
      <c r="CD37" s="1538" t="b">
        <f>IF(AK37="",FALSE,IF(AK37&lt;AA37,TRUE,FALSE))</f>
        <v>0</v>
      </c>
      <c r="CE37" s="899" t="b">
        <f>IF(AND($AM37&lt;&gt;"",AK37=""),TRUE,FALSE)</f>
        <v>0</v>
      </c>
      <c r="CF37" s="898"/>
      <c r="CG37" s="899" t="b">
        <f>IF(AND($AK37&lt;&gt;"",AM37=""),TRUE,FALSE)</f>
        <v>0</v>
      </c>
      <c r="CH37" s="898"/>
      <c r="CI37" s="899" t="b">
        <f>IF(AND($C37&lt;&gt;"",AO37=""),TRUE,FALSE)</f>
        <v>0</v>
      </c>
      <c r="CJ37" s="1537"/>
      <c r="CK37" s="899" t="b">
        <f>IF(AND($C37&lt;&gt;"",AQ37=""),TRUE,FALSE)</f>
        <v>0</v>
      </c>
      <c r="CL37" s="898"/>
      <c r="CM37" s="899" t="b">
        <f>IF(AND($C37&lt;&gt;"",AS37=""),TRUE,FALSE)</f>
        <v>0</v>
      </c>
      <c r="CN37" s="898"/>
      <c r="CO37" s="899" t="b">
        <f>IF(AND($C37&lt;&gt;"",AU37=""),TRUE,FALSE)</f>
        <v>0</v>
      </c>
      <c r="CP37" s="898"/>
      <c r="CQ37" s="899" t="b">
        <f>IF(AND($C37&lt;&gt;"",AW37=""),TRUE,FALSE)</f>
        <v>0</v>
      </c>
      <c r="CR37" s="898"/>
      <c r="CS37" s="899" t="b">
        <f>IF(AND($C37&lt;&gt;"",AY37=""),TRUE,FALSE)</f>
        <v>0</v>
      </c>
      <c r="CT37" s="898"/>
      <c r="CU37" s="898" t="b">
        <f>IF(AND($C37&lt;&gt;"",BA37=""),TRUE,FALSE)</f>
        <v>0</v>
      </c>
      <c r="CV37" s="894"/>
      <c r="CW37" s="898" t="str">
        <f t="shared" si="2"/>
        <v/>
      </c>
      <c r="CX37" s="898" t="str">
        <f>IFERROR(IF(AND(S37="",S37&lt;&gt;""),1913,VLOOKUP(S37,Valid!$B$99:$J$120,9)),"")</f>
        <v/>
      </c>
      <c r="CY37" s="898" t="str">
        <f t="shared" ca="1" si="3"/>
        <v/>
      </c>
      <c r="CZ37" s="1547" t="str">
        <f t="shared" ca="1" si="8"/>
        <v/>
      </c>
      <c r="DA37" s="898" t="str">
        <f ca="1">IF(CZ37="", "", IF(1+(CZ37*4)&lt;1, 1, 1+(CZ37*4)))</f>
        <v/>
      </c>
      <c r="DB37" s="898" t="str">
        <f t="shared" si="4"/>
        <v/>
      </c>
      <c r="DC37" s="898" t="str">
        <f t="shared" si="5"/>
        <v/>
      </c>
      <c r="DD37" s="1539" t="str">
        <f>IFERROR(IF(AND(AM37="",C37&lt;&gt;""),Valid!$E$123,VLOOKUP(AM37,Valid!$B$123:$F$125,4,FALSE)),"")</f>
        <v/>
      </c>
      <c r="DE37" s="1539" t="str">
        <f>IFERROR(IF(AND(AM37="",C37&lt;&gt;""),Valid!$F$123,VLOOKUP(AM37,Valid!$B$123:$F$125,5,FALSE)),"")</f>
        <v/>
      </c>
      <c r="DF37" s="1539" t="str">
        <f>IFERROR(VLOOKUP('A-70 RevVehInv'!S37,Valid!$B$99:$I$120,7), "")</f>
        <v/>
      </c>
      <c r="DG37" s="1539" t="str">
        <f>IFERROR(VLOOKUP(S37,Valid!$B$99:$I$120,8), "")</f>
        <v/>
      </c>
      <c r="DH37" s="894"/>
    </row>
    <row r="38" spans="1:112" ht="6.75" customHeight="1" x14ac:dyDescent="0.2">
      <c r="A38" s="1517"/>
      <c r="B38" s="1530">
        <v>13.5</v>
      </c>
      <c r="C38" s="1540"/>
      <c r="D38" s="905"/>
      <c r="E38" s="1541"/>
      <c r="F38" s="905"/>
      <c r="G38" s="905"/>
      <c r="H38" s="905"/>
      <c r="I38" s="1534"/>
      <c r="J38" s="905"/>
      <c r="K38" s="1534"/>
      <c r="L38" s="905"/>
      <c r="M38" s="1534"/>
      <c r="N38" s="905"/>
      <c r="O38" s="1534"/>
      <c r="P38" s="905"/>
      <c r="Q38" s="1534"/>
      <c r="R38" s="1531"/>
      <c r="S38" s="1542"/>
      <c r="T38" s="905"/>
      <c r="U38" s="1542"/>
      <c r="V38" s="905"/>
      <c r="W38" s="1534" t="str">
        <f t="shared" si="0"/>
        <v/>
      </c>
      <c r="X38" s="905"/>
      <c r="Y38" s="1534"/>
      <c r="Z38" s="252" t="str">
        <f t="shared" si="1"/>
        <v/>
      </c>
      <c r="AA38" s="1534"/>
      <c r="AB38" s="905"/>
      <c r="AC38" s="1973" t="str">
        <f t="shared" si="6"/>
        <v/>
      </c>
      <c r="AD38" s="905"/>
      <c r="AE38" s="1985" t="str">
        <f t="shared" si="7"/>
        <v/>
      </c>
      <c r="AF38" s="905"/>
      <c r="AG38" s="1543"/>
      <c r="AH38" s="1531"/>
      <c r="AI38" s="1534"/>
      <c r="AJ38" s="1531"/>
      <c r="AK38" s="1534"/>
      <c r="AL38" s="1531"/>
      <c r="AM38" s="1543"/>
      <c r="AN38" s="1531"/>
      <c r="AO38" s="1543"/>
      <c r="AP38" s="1531"/>
      <c r="AQ38" s="1534"/>
      <c r="AR38" s="1531"/>
      <c r="AS38" s="1534"/>
      <c r="AT38" s="1531"/>
      <c r="AU38" s="1534"/>
      <c r="AV38" s="1531"/>
      <c r="AW38" s="1534"/>
      <c r="AX38" s="1531"/>
      <c r="AY38" s="1534"/>
      <c r="AZ38" s="1531"/>
      <c r="BA38" s="1543"/>
      <c r="BB38" s="1531"/>
      <c r="BC38" s="1534"/>
      <c r="BD38" s="1531"/>
      <c r="BE38" s="1531"/>
      <c r="BF38" s="1531"/>
      <c r="BG38" s="1531"/>
      <c r="BH38" s="1531"/>
      <c r="BI38" s="1535"/>
      <c r="BJ38" s="1534"/>
      <c r="BK38" s="898"/>
      <c r="BL38" s="1534"/>
      <c r="BM38" s="1535"/>
      <c r="BN38" s="1534"/>
      <c r="BO38" s="1535"/>
      <c r="BP38" s="1534"/>
      <c r="BQ38" s="1535"/>
      <c r="BR38" s="1534"/>
      <c r="BS38" s="1535"/>
      <c r="BT38" s="1534"/>
      <c r="BU38" s="1535"/>
      <c r="BV38" s="1534"/>
      <c r="BW38" s="1535"/>
      <c r="BX38" s="1534"/>
      <c r="BY38" s="1535"/>
      <c r="BZ38" s="1534"/>
      <c r="CA38" s="1535"/>
      <c r="CB38" s="1534"/>
      <c r="CC38" s="1535"/>
      <c r="CD38" s="1534"/>
      <c r="CE38" s="1534"/>
      <c r="CF38" s="1535"/>
      <c r="CG38" s="1534"/>
      <c r="CH38" s="1535"/>
      <c r="CI38" s="1534"/>
      <c r="CJ38" s="1535"/>
      <c r="CK38" s="1534"/>
      <c r="CL38" s="1535"/>
      <c r="CM38" s="1534"/>
      <c r="CN38" s="1535"/>
      <c r="CO38" s="1534"/>
      <c r="CP38" s="1535"/>
      <c r="CQ38" s="1534"/>
      <c r="CR38" s="1535"/>
      <c r="CS38" s="1534"/>
      <c r="CT38" s="1535"/>
      <c r="CU38" s="1535"/>
      <c r="CV38" s="1531"/>
      <c r="CW38" s="898" t="str">
        <f t="shared" si="2"/>
        <v/>
      </c>
      <c r="CX38" s="898" t="str">
        <f>IFERROR(IF(AND(S38="",S38&lt;&gt;""),1913,VLOOKUP(S38,Valid!$B$99:$J$120,9)),"")</f>
        <v/>
      </c>
      <c r="CY38" s="898" t="str">
        <f t="shared" ca="1" si="3"/>
        <v/>
      </c>
      <c r="CZ38" s="1547" t="str">
        <f t="shared" ca="1" si="8"/>
        <v/>
      </c>
      <c r="DA38" s="898"/>
      <c r="DB38" s="898" t="str">
        <f t="shared" si="4"/>
        <v/>
      </c>
      <c r="DC38" s="898" t="str">
        <f t="shared" si="5"/>
        <v/>
      </c>
      <c r="DD38" s="1539" t="str">
        <f>IFERROR(IF(AND(AM38="",C38&lt;&gt;""),Valid!$E$123,VLOOKUP(AM38,Valid!$B$123:$F$125,4,FALSE)),"")</f>
        <v/>
      </c>
      <c r="DE38" s="1539" t="str">
        <f>IFERROR(IF(AND(AM38="",C38&lt;&gt;""),Valid!$F$123,VLOOKUP(AM38,Valid!$B$123:$F$125,5,FALSE)),"")</f>
        <v/>
      </c>
      <c r="DF38" s="1539" t="str">
        <f>IFERROR(VLOOKUP('A-70 RevVehInv'!S38,Valid!$B$99:$I$120,7), "")</f>
        <v/>
      </c>
      <c r="DG38" s="1539" t="str">
        <f>IFERROR(VLOOKUP(S38,Valid!$B$99:$I$120,8), "")</f>
        <v/>
      </c>
      <c r="DH38" s="1531"/>
    </row>
    <row r="39" spans="1:112" s="930" customFormat="1" x14ac:dyDescent="0.2">
      <c r="A39" s="206">
        <v>14</v>
      </c>
      <c r="B39" s="1530">
        <v>14</v>
      </c>
      <c r="C39" s="933"/>
      <c r="D39" s="719" t="str">
        <f>IF(C37="","",IF((C39=""),"Enter RVI ID. then Fill in Columns "&amp;TEXT($I$2,0)&amp;" - "&amp;TEXT($BA$2,0)&amp;"       ",""))</f>
        <v/>
      </c>
      <c r="E39" s="1056" t="str">
        <f>IF(BH39="N/A","",BH39)</f>
        <v/>
      </c>
      <c r="F39" s="1536"/>
      <c r="G39" s="1536"/>
      <c r="H39" s="1536"/>
      <c r="I39" s="1023"/>
      <c r="J39" s="1536" t="str">
        <f>IF(E39&lt;&gt;"","Vehicles?    ","")</f>
        <v/>
      </c>
      <c r="K39" s="1023"/>
      <c r="L39" s="1536" t="str">
        <f>IF(E39&lt;&gt;"","Active Vehicles?     ","")</f>
        <v/>
      </c>
      <c r="M39" s="1023"/>
      <c r="N39" s="1536" t="str">
        <f>IF(E39&lt;&gt;"","ADA Vehicles?       ","")</f>
        <v/>
      </c>
      <c r="O39" s="1023"/>
      <c r="P39" s="1536" t="str">
        <f>IF(E39&lt;&gt;"","Cont. Vehicles?     ","")</f>
        <v/>
      </c>
      <c r="Q39" s="1024"/>
      <c r="R39" s="894"/>
      <c r="S39" s="1153"/>
      <c r="T39" s="252" t="str">
        <f>IF(E39&lt;&gt;"","Select from Pull-Down List    ","")</f>
        <v/>
      </c>
      <c r="U39" s="933"/>
      <c r="V39" s="252" t="str">
        <f>IF(E39&lt;&gt;"","Select from Pull-Down List    ","")</f>
        <v/>
      </c>
      <c r="W39" s="1766" t="str">
        <f t="shared" si="0"/>
        <v/>
      </c>
      <c r="X39" s="252"/>
      <c r="Y39" s="1988"/>
      <c r="Z39" s="252" t="str">
        <f t="shared" si="1"/>
        <v/>
      </c>
      <c r="AA39" s="139"/>
      <c r="AB39" s="252" t="str">
        <f>IF(E39&lt;&gt;"","Mfg. Yr?    ","")</f>
        <v/>
      </c>
      <c r="AC39" s="1974" t="str">
        <f t="shared" si="6"/>
        <v/>
      </c>
      <c r="AD39" s="252"/>
      <c r="AE39" s="1986" t="str">
        <f t="shared" si="7"/>
        <v/>
      </c>
      <c r="AF39" s="252"/>
      <c r="AG39" s="933"/>
      <c r="AH39" s="252" t="str">
        <f>IF(E39&lt;&gt;"","Select from Pull-Down List    ","")</f>
        <v/>
      </c>
      <c r="AI39" s="933"/>
      <c r="AJ39" s="252" t="str">
        <f>IF(E39&lt;&gt;"","Number?   ","")</f>
        <v/>
      </c>
      <c r="AK39" s="139"/>
      <c r="AL39" s="252" t="str">
        <f>IF(E39&lt;&gt;"","Last Rnwl. Yr?   ","")</f>
        <v/>
      </c>
      <c r="AM39" s="933"/>
      <c r="AN39" s="252" t="str">
        <f>IF(E39&lt;&gt;"","Select from Pull-Down List    ","")</f>
        <v/>
      </c>
      <c r="AO39" s="933"/>
      <c r="AP39" s="252" t="str">
        <f>IF(E39&lt;&gt;"","Select from Pull-Down List    ","")</f>
        <v/>
      </c>
      <c r="AQ39" s="1023"/>
      <c r="AR39" s="252" t="str">
        <f>IF(E39&lt;&gt;"","Feet?    ","")</f>
        <v/>
      </c>
      <c r="AS39" s="1023"/>
      <c r="AT39" s="252" t="str">
        <f>IF(E39&lt;&gt;"","Seats?    ","")</f>
        <v/>
      </c>
      <c r="AU39" s="1023"/>
      <c r="AV39" s="252" t="str">
        <f>IF(E39&lt;&gt;"","Standing?    ","")</f>
        <v/>
      </c>
      <c r="AW39" s="1023"/>
      <c r="AX39" s="252" t="str">
        <f>IF(E39&lt;&gt;"","Mileage?       ","")</f>
        <v/>
      </c>
      <c r="AY39" s="1023"/>
      <c r="AZ39" s="252" t="str">
        <f>IF(E39&lt;&gt;"","Avg. Lifetime Mileage? ","")</f>
        <v/>
      </c>
      <c r="BA39" s="933"/>
      <c r="BB39" s="252" t="str">
        <f>IF(E39&lt;&gt;"","Select from Pull-Down List    ","")</f>
        <v/>
      </c>
      <c r="BC39" s="171"/>
      <c r="BD39" s="252" t="str">
        <f>IF(OR(AO39="OR - Other fuel (describe in Notes)",AG39="ZZZ - Other (describe in Notes)"),"Describe                                                                                                     ","")</f>
        <v/>
      </c>
      <c r="BE39" s="894"/>
      <c r="BF39" s="894"/>
      <c r="BG39" s="894" t="b">
        <f>IF(AND(C39="",C41&lt;&gt;""),TRUE,FALSE)</f>
        <v>0</v>
      </c>
      <c r="BH39" s="888" t="str">
        <f>IF(AND(C39&lt;&gt;"",OR(I39="",K39="",M39="",O39="",S39="",U39="",AA39="",AG39="",AI39="",AO39="",AQ39="",AS39="",AU39="",AW39="",AY39="")),"No",IF(AND(C39="",OR(I39&lt;&gt;"",K39&lt;&gt;"",M39&lt;&gt;"",O39&lt;&gt;"",S39&lt;&gt;"",U39&lt;&gt;"",AA39&lt;&gt;"",AG39&lt;&gt;"",AI39&lt;&gt;"",AK39&lt;&gt;"",AM39&lt;&gt;"",AO39&lt;&gt;"",AQ39&lt;&gt;"",AS39&lt;&gt;"",AU39&lt;&gt;"",AW39&lt;&gt;"",AY39&lt;&gt;"",BA39&lt;&gt;"",BC39&lt;&gt;"")),"No",IF(AND(C39="",I39="",K39="",M39="",O39="",S39="",U39="",AA39="",AG39="",AI39="",AK39="",AM39="",AO39="",AQ39="",AS39="",AU39="",AW39="",AY39="",BA39=""),"N/A","Yes")))</f>
        <v>N/A</v>
      </c>
      <c r="BI39" s="898"/>
      <c r="BJ39" s="899" t="b">
        <f>IF(AND(OR(I39&lt;&gt;"",K39&lt;&gt;"",M39&lt;&gt;"",O39&lt;&gt;"",S39&lt;&gt;"",U39&lt;&gt;"",AA39&lt;&gt;"",AG39&lt;&gt;"",AI39&lt;&gt;"",AK39&lt;&gt;"",AM39&lt;&gt;"",AO39&lt;&gt;"",AQ39&lt;&gt;"",AS39&lt;&gt;"",AW39&lt;&gt;"",AY39&lt;&gt;"",BA39&lt;&gt;"",BC39&lt;&gt;""),C39=""),TRUE,FALSE)</f>
        <v>0</v>
      </c>
      <c r="BK39" s="898" t="b">
        <f>IF(BL39=TRUE,FALSE,IF(SUM(K39,O39)&gt;I39,TRUE,FALSE))</f>
        <v>0</v>
      </c>
      <c r="BL39" s="899" t="b">
        <f>IF(AND(C39&lt;&gt;"",I39=""),TRUE,FALSE)</f>
        <v>0</v>
      </c>
      <c r="BM39" s="898" t="b">
        <f>IF(BN39=TRUE,FALSE,IF(M39&gt;K39,TRUE,FALSE))</f>
        <v>0</v>
      </c>
      <c r="BN39" s="899" t="b">
        <f>IF(AND($C39&lt;&gt;"",K39=""),TRUE,FALSE)</f>
        <v>0</v>
      </c>
      <c r="BO39" s="898"/>
      <c r="BP39" s="899" t="b">
        <f>IF(AND($C39&lt;&gt;"",M39=""),TRUE,FALSE)</f>
        <v>0</v>
      </c>
      <c r="BQ39" s="898"/>
      <c r="BR39" s="899" t="b">
        <f>IF(AND($C39&lt;&gt;"",O39=""),TRUE,FALSE)</f>
        <v>0</v>
      </c>
      <c r="BS39" s="898" t="b">
        <f>IF(AND(S39="",OR(U39&lt;&gt;"",AA39&lt;&gt;"",AG39&lt;&gt;"",AI39&lt;&gt;"",AK39&lt;&gt;"",AM39&lt;&gt;"",AO39&lt;&gt;"",AQ39&lt;&gt;"",AS39&lt;&gt;"",AU39&lt;&gt;"",AW39&lt;&gt;"",AY39&lt;&gt;"",BA39&lt;&gt;"")),TRUE,FALSE)</f>
        <v>0</v>
      </c>
      <c r="BT39" s="899" t="b">
        <f>IF(AND($C39&lt;&gt;"",S39=""),TRUE,FALSE)</f>
        <v>0</v>
      </c>
      <c r="BU39" s="898"/>
      <c r="BV39" s="899" t="b">
        <f>IF(AND($C39&lt;&gt;"",U39=""),TRUE,FALSE)</f>
        <v>0</v>
      </c>
      <c r="BW39" s="1537" t="b">
        <f>IF(BX39=TRUE,FALSE,IF(AA39="",FALSE,IF(OR(AA39&lt;CX39,AA39&gt;BaseYear),TRUE,FALSE)))</f>
        <v>0</v>
      </c>
      <c r="BX39" s="899" t="b">
        <f>IF(AND($C39&lt;&gt;"",AA39=""),TRUE,FALSE)</f>
        <v>0</v>
      </c>
      <c r="BY39" s="898"/>
      <c r="BZ39" s="899" t="b">
        <f>IF(AND($C39&lt;&gt;"",AG39=""),TRUE,FALSE)</f>
        <v>0</v>
      </c>
      <c r="CA39" s="898"/>
      <c r="CB39" s="899" t="b">
        <f>IF(AND($C39&lt;&gt;"",AI39=""),TRUE,FALSE)</f>
        <v>0</v>
      </c>
      <c r="CC39" s="1537" t="b">
        <f>IF(AK39="",FALSE,IF(OR(AK39&lt;CX39,AK39&gt;BaseYear),TRUE,FALSE))</f>
        <v>0</v>
      </c>
      <c r="CD39" s="1538" t="b">
        <f>IF(AK39="",FALSE,IF(AK39&lt;AA39,TRUE,FALSE))</f>
        <v>0</v>
      </c>
      <c r="CE39" s="899" t="b">
        <f>IF(AND($AM39&lt;&gt;"",AK39=""),TRUE,FALSE)</f>
        <v>0</v>
      </c>
      <c r="CF39" s="898"/>
      <c r="CG39" s="899" t="b">
        <f>IF(AND($AK39&lt;&gt;"",AM39=""),TRUE,FALSE)</f>
        <v>0</v>
      </c>
      <c r="CH39" s="898"/>
      <c r="CI39" s="899" t="b">
        <f>IF(AND($C39&lt;&gt;"",AO39=""),TRUE,FALSE)</f>
        <v>0</v>
      </c>
      <c r="CJ39" s="1537"/>
      <c r="CK39" s="899" t="b">
        <f>IF(AND($C39&lt;&gt;"",AQ39=""),TRUE,FALSE)</f>
        <v>0</v>
      </c>
      <c r="CL39" s="898"/>
      <c r="CM39" s="899" t="b">
        <f>IF(AND($C39&lt;&gt;"",AS39=""),TRUE,FALSE)</f>
        <v>0</v>
      </c>
      <c r="CN39" s="898"/>
      <c r="CO39" s="899" t="b">
        <f>IF(AND($C39&lt;&gt;"",AU39=""),TRUE,FALSE)</f>
        <v>0</v>
      </c>
      <c r="CP39" s="898"/>
      <c r="CQ39" s="899" t="b">
        <f>IF(AND($C39&lt;&gt;"",AW39=""),TRUE,FALSE)</f>
        <v>0</v>
      </c>
      <c r="CR39" s="898"/>
      <c r="CS39" s="899" t="b">
        <f>IF(AND($C39&lt;&gt;"",AY39=""),TRUE,FALSE)</f>
        <v>0</v>
      </c>
      <c r="CT39" s="898"/>
      <c r="CU39" s="898" t="b">
        <f>IF(AND($C39&lt;&gt;"",BA39=""),TRUE,FALSE)</f>
        <v>0</v>
      </c>
      <c r="CV39" s="894"/>
      <c r="CW39" s="898" t="str">
        <f t="shared" si="2"/>
        <v/>
      </c>
      <c r="CX39" s="898" t="str">
        <f>IFERROR(IF(AND(S39="",S39&lt;&gt;""),1913,VLOOKUP(S39,Valid!$B$99:$J$120,9)),"")</f>
        <v/>
      </c>
      <c r="CY39" s="898" t="str">
        <f t="shared" ca="1" si="3"/>
        <v/>
      </c>
      <c r="CZ39" s="1547" t="str">
        <f t="shared" ca="1" si="8"/>
        <v/>
      </c>
      <c r="DA39" s="898" t="str">
        <f ca="1">IF(CZ39="", "", IF(1+(CZ39*4)&lt;1, 1, 1+(CZ39*4)))</f>
        <v/>
      </c>
      <c r="DB39" s="898" t="str">
        <f t="shared" si="4"/>
        <v/>
      </c>
      <c r="DC39" s="898" t="str">
        <f t="shared" si="5"/>
        <v/>
      </c>
      <c r="DD39" s="1539" t="str">
        <f>IFERROR(IF(AND(AM39="",C39&lt;&gt;""),Valid!$E$123,VLOOKUP(AM39,Valid!$B$123:$F$125,4,FALSE)),"")</f>
        <v/>
      </c>
      <c r="DE39" s="1539" t="str">
        <f>IFERROR(IF(AND(AM39="",C39&lt;&gt;""),Valid!$F$123,VLOOKUP(AM39,Valid!$B$123:$F$125,5,FALSE)),"")</f>
        <v/>
      </c>
      <c r="DF39" s="1539" t="str">
        <f>IFERROR(VLOOKUP('A-70 RevVehInv'!S39,Valid!$B$99:$I$120,7), "")</f>
        <v/>
      </c>
      <c r="DG39" s="1539" t="str">
        <f>IFERROR(VLOOKUP(S39,Valid!$B$99:$I$120,8), "")</f>
        <v/>
      </c>
      <c r="DH39" s="894"/>
    </row>
    <row r="40" spans="1:112" ht="6.75" customHeight="1" x14ac:dyDescent="0.2">
      <c r="A40" s="1517"/>
      <c r="B40" s="1530">
        <v>14.5</v>
      </c>
      <c r="C40" s="1544"/>
      <c r="D40" s="905"/>
      <c r="E40" s="1545"/>
      <c r="F40" s="905"/>
      <c r="G40" s="905"/>
      <c r="H40" s="905"/>
      <c r="I40" s="1531"/>
      <c r="J40" s="905"/>
      <c r="K40" s="1531"/>
      <c r="L40" s="905"/>
      <c r="M40" s="1531"/>
      <c r="N40" s="905"/>
      <c r="O40" s="1531"/>
      <c r="P40" s="905"/>
      <c r="Q40" s="1531"/>
      <c r="R40" s="1531"/>
      <c r="S40" s="1533"/>
      <c r="T40" s="905"/>
      <c r="U40" s="1533"/>
      <c r="V40" s="905"/>
      <c r="W40" s="1531" t="str">
        <f t="shared" si="0"/>
        <v/>
      </c>
      <c r="X40" s="905"/>
      <c r="Y40" s="1531"/>
      <c r="Z40" s="252" t="str">
        <f t="shared" si="1"/>
        <v/>
      </c>
      <c r="AA40" s="1531"/>
      <c r="AB40" s="905"/>
      <c r="AC40" s="1971" t="str">
        <f t="shared" si="6"/>
        <v/>
      </c>
      <c r="AD40" s="905"/>
      <c r="AE40" s="1983" t="str">
        <f t="shared" si="7"/>
        <v/>
      </c>
      <c r="AF40" s="905"/>
      <c r="AG40" s="1546"/>
      <c r="AH40" s="1531"/>
      <c r="AI40" s="1531"/>
      <c r="AJ40" s="1531"/>
      <c r="AK40" s="1531"/>
      <c r="AL40" s="1531"/>
      <c r="AM40" s="1546"/>
      <c r="AN40" s="1531"/>
      <c r="AO40" s="1546"/>
      <c r="AP40" s="1531"/>
      <c r="AQ40" s="1531"/>
      <c r="AR40" s="1531"/>
      <c r="AS40" s="1531"/>
      <c r="AT40" s="1531"/>
      <c r="AU40" s="1531"/>
      <c r="AV40" s="1531"/>
      <c r="AW40" s="1531"/>
      <c r="AX40" s="1531"/>
      <c r="AY40" s="1531"/>
      <c r="AZ40" s="1531"/>
      <c r="BA40" s="1546"/>
      <c r="BB40" s="1531"/>
      <c r="BC40" s="1531"/>
      <c r="BD40" s="1531"/>
      <c r="BE40" s="1531"/>
      <c r="BF40" s="1531"/>
      <c r="BG40" s="1531"/>
      <c r="BH40" s="1531"/>
      <c r="BI40" s="1535"/>
      <c r="BJ40" s="1534"/>
      <c r="BK40" s="1535"/>
      <c r="BL40" s="1534"/>
      <c r="BM40" s="1535"/>
      <c r="BN40" s="1534"/>
      <c r="BO40" s="1535"/>
      <c r="BP40" s="1534"/>
      <c r="BQ40" s="1535"/>
      <c r="BR40" s="1534"/>
      <c r="BS40" s="1535"/>
      <c r="BT40" s="1534"/>
      <c r="BU40" s="1535"/>
      <c r="BV40" s="1534"/>
      <c r="BW40" s="1535"/>
      <c r="BX40" s="1534"/>
      <c r="BY40" s="1535"/>
      <c r="BZ40" s="1534"/>
      <c r="CA40" s="1535"/>
      <c r="CB40" s="1534"/>
      <c r="CC40" s="1535"/>
      <c r="CD40" s="1534"/>
      <c r="CE40" s="1534"/>
      <c r="CF40" s="1535"/>
      <c r="CG40" s="1534"/>
      <c r="CH40" s="1535"/>
      <c r="CI40" s="1534"/>
      <c r="CJ40" s="1535"/>
      <c r="CK40" s="1534"/>
      <c r="CL40" s="1535"/>
      <c r="CM40" s="1534"/>
      <c r="CN40" s="1535"/>
      <c r="CO40" s="1534"/>
      <c r="CP40" s="1535"/>
      <c r="CQ40" s="1534"/>
      <c r="CR40" s="1535"/>
      <c r="CS40" s="1534"/>
      <c r="CT40" s="1535"/>
      <c r="CU40" s="1535"/>
      <c r="CV40" s="1531"/>
      <c r="CW40" s="898" t="str">
        <f t="shared" si="2"/>
        <v/>
      </c>
      <c r="CX40" s="898" t="str">
        <f>IFERROR(IF(AND(S40="",S40&lt;&gt;""),1913,VLOOKUP(S40,Valid!$B$99:$J$120,9)),"")</f>
        <v/>
      </c>
      <c r="CY40" s="898" t="str">
        <f t="shared" ca="1" si="3"/>
        <v/>
      </c>
      <c r="CZ40" s="1547" t="str">
        <f t="shared" ca="1" si="8"/>
        <v/>
      </c>
      <c r="DA40" s="898"/>
      <c r="DB40" s="898" t="str">
        <f t="shared" si="4"/>
        <v/>
      </c>
      <c r="DC40" s="898" t="str">
        <f t="shared" si="5"/>
        <v/>
      </c>
      <c r="DD40" s="1539" t="str">
        <f>IFERROR(IF(AND(AM40="",C40&lt;&gt;""),Valid!$E$123,VLOOKUP(AM40,Valid!$B$123:$F$125,4,FALSE)),"")</f>
        <v/>
      </c>
      <c r="DE40" s="1539" t="str">
        <f>IFERROR(IF(AND(AM40="",C40&lt;&gt;""),Valid!$F$123,VLOOKUP(AM40,Valid!$B$123:$F$125,5,FALSE)),"")</f>
        <v/>
      </c>
      <c r="DF40" s="1539" t="str">
        <f>IFERROR(VLOOKUP('A-70 RevVehInv'!S40,Valid!$B$99:$I$120,7), "")</f>
        <v/>
      </c>
      <c r="DG40" s="1539" t="str">
        <f>IFERROR(VLOOKUP(S40,Valid!$B$99:$I$120,8), "")</f>
        <v/>
      </c>
      <c r="DH40" s="1531"/>
    </row>
    <row r="41" spans="1:112" s="930" customFormat="1" x14ac:dyDescent="0.2">
      <c r="A41" s="206">
        <v>15</v>
      </c>
      <c r="B41" s="1530">
        <v>15</v>
      </c>
      <c r="C41" s="933"/>
      <c r="D41" s="719" t="str">
        <f>IF(C39="","",IF((C41=""),"Enter RVI ID. then Fill in Columns "&amp;TEXT($I$2,0)&amp;" - "&amp;TEXT($BA$2,0)&amp;"       ",""))</f>
        <v/>
      </c>
      <c r="E41" s="1056" t="str">
        <f>IF(BH41="N/A","",BH41)</f>
        <v/>
      </c>
      <c r="F41" s="1536"/>
      <c r="G41" s="1536"/>
      <c r="H41" s="1536"/>
      <c r="I41" s="1023"/>
      <c r="J41" s="1536" t="str">
        <f>IF(E41&lt;&gt;"","Vehicles?    ","")</f>
        <v/>
      </c>
      <c r="K41" s="1023"/>
      <c r="L41" s="1536" t="str">
        <f>IF(E41&lt;&gt;"","Active Vehicles?     ","")</f>
        <v/>
      </c>
      <c r="M41" s="1023"/>
      <c r="N41" s="1536" t="str">
        <f>IF(E41&lt;&gt;"","ADA Vehicles?       ","")</f>
        <v/>
      </c>
      <c r="O41" s="1023"/>
      <c r="P41" s="1536" t="str">
        <f>IF(E41&lt;&gt;"","Cont. Vehicles?     ","")</f>
        <v/>
      </c>
      <c r="Q41" s="1024"/>
      <c r="R41" s="894"/>
      <c r="S41" s="1153"/>
      <c r="T41" s="252" t="str">
        <f>IF(E41&lt;&gt;"","Select from Pull-Down List    ","")</f>
        <v/>
      </c>
      <c r="U41" s="933"/>
      <c r="V41" s="252" t="str">
        <f>IF(E41&lt;&gt;"","Select from Pull-Down List    ","")</f>
        <v/>
      </c>
      <c r="W41" s="1766" t="str">
        <f t="shared" si="0"/>
        <v/>
      </c>
      <c r="X41" s="252"/>
      <c r="Y41" s="1988"/>
      <c r="Z41" s="252" t="str">
        <f t="shared" si="1"/>
        <v/>
      </c>
      <c r="AA41" s="139"/>
      <c r="AB41" s="252" t="str">
        <f>IF(E41&lt;&gt;"","Mfg. Yr?    ","")</f>
        <v/>
      </c>
      <c r="AC41" s="1974" t="str">
        <f t="shared" si="6"/>
        <v/>
      </c>
      <c r="AD41" s="252"/>
      <c r="AE41" s="1986" t="str">
        <f t="shared" si="7"/>
        <v/>
      </c>
      <c r="AF41" s="252"/>
      <c r="AG41" s="933"/>
      <c r="AH41" s="252" t="str">
        <f>IF(E41&lt;&gt;"","Select from Pull-Down List    ","")</f>
        <v/>
      </c>
      <c r="AI41" s="933"/>
      <c r="AJ41" s="252" t="str">
        <f>IF(E41&lt;&gt;"","Number?   ","")</f>
        <v/>
      </c>
      <c r="AK41" s="139"/>
      <c r="AL41" s="252" t="str">
        <f>IF(E41&lt;&gt;"","Last Rnwl. Yr?   ","")</f>
        <v/>
      </c>
      <c r="AM41" s="933"/>
      <c r="AN41" s="252" t="str">
        <f>IF(E41&lt;&gt;"","Select from Pull-Down List    ","")</f>
        <v/>
      </c>
      <c r="AO41" s="933"/>
      <c r="AP41" s="252" t="str">
        <f>IF(E41&lt;&gt;"","Select from Pull-Down List    ","")</f>
        <v/>
      </c>
      <c r="AQ41" s="1023"/>
      <c r="AR41" s="252" t="str">
        <f>IF(E41&lt;&gt;"","Feet?    ","")</f>
        <v/>
      </c>
      <c r="AS41" s="1023"/>
      <c r="AT41" s="252" t="str">
        <f>IF(E41&lt;&gt;"","Seats?    ","")</f>
        <v/>
      </c>
      <c r="AU41" s="1023"/>
      <c r="AV41" s="252" t="str">
        <f>IF(E41&lt;&gt;"","Standing?    ","")</f>
        <v/>
      </c>
      <c r="AW41" s="1023"/>
      <c r="AX41" s="252" t="str">
        <f>IF(E41&lt;&gt;"","Mileage?       ","")</f>
        <v/>
      </c>
      <c r="AY41" s="1023"/>
      <c r="AZ41" s="252" t="str">
        <f>IF(E41&lt;&gt;"","Avg. Lifetime Mileage? ","")</f>
        <v/>
      </c>
      <c r="BA41" s="933"/>
      <c r="BB41" s="252" t="str">
        <f>IF(E41&lt;&gt;"","Select from Pull-Down List    ","")</f>
        <v/>
      </c>
      <c r="BC41" s="171"/>
      <c r="BD41" s="252" t="str">
        <f>IF(OR(AO41="OR - Other fuel (describe in Notes)",AG41="ZZZ - Other (describe in Notes)"),"Describe                                                                                                     ","")</f>
        <v/>
      </c>
      <c r="BE41" s="894"/>
      <c r="BF41" s="894"/>
      <c r="BG41" s="894" t="b">
        <f>IF(AND(C41="",C43&lt;&gt;""),TRUE,FALSE)</f>
        <v>0</v>
      </c>
      <c r="BH41" s="888" t="str">
        <f>IF(AND(C41&lt;&gt;"",OR(I41="",K41="",M41="",O41="",S41="",U41="",AA41="",AG41="",AI41="",AO41="",AQ41="",AS41="",AU41="",AW41="",AY41="")),"No",IF(AND(C41="",OR(I41&lt;&gt;"",K41&lt;&gt;"",M41&lt;&gt;"",O41&lt;&gt;"",S41&lt;&gt;"",U41&lt;&gt;"",AA41&lt;&gt;"",AG41&lt;&gt;"",AI41&lt;&gt;"",AK41&lt;&gt;"",AM41&lt;&gt;"",AO41&lt;&gt;"",AQ41&lt;&gt;"",AS41&lt;&gt;"",AU41&lt;&gt;"",AW41&lt;&gt;"",AY41&lt;&gt;"",BA41&lt;&gt;"",BC41&lt;&gt;"")),"No",IF(AND(C41="",I41="",K41="",M41="",O41="",S41="",U41="",AA41="",AG41="",AI41="",AK41="",AM41="",AO41="",AQ41="",AS41="",AU41="",AW41="",AY41="",BA41=""),"N/A","Yes")))</f>
        <v>N/A</v>
      </c>
      <c r="BI41" s="898"/>
      <c r="BJ41" s="899" t="b">
        <f>IF(AND(OR(I41&lt;&gt;"",K41&lt;&gt;"",M41&lt;&gt;"",O41&lt;&gt;"",S41&lt;&gt;"",U41&lt;&gt;"",AA41&lt;&gt;"",AG41&lt;&gt;"",AI41&lt;&gt;"",AK41&lt;&gt;"",AM41&lt;&gt;"",AO41&lt;&gt;"",AQ41&lt;&gt;"",AS41&lt;&gt;"",AW41&lt;&gt;"",AY41&lt;&gt;"",BA41&lt;&gt;"",BC41&lt;&gt;""),C41=""),TRUE,FALSE)</f>
        <v>0</v>
      </c>
      <c r="BK41" s="898" t="b">
        <f>IF(BL41=TRUE,FALSE,IF(SUM(K41,O41)&gt;I41,TRUE,FALSE))</f>
        <v>0</v>
      </c>
      <c r="BL41" s="899" t="b">
        <f>IF(AND(C41&lt;&gt;"",I41=""),TRUE,FALSE)</f>
        <v>0</v>
      </c>
      <c r="BM41" s="898" t="b">
        <f>IF(BN41=TRUE,FALSE,IF(M41&gt;K41,TRUE,FALSE))</f>
        <v>0</v>
      </c>
      <c r="BN41" s="899" t="b">
        <f>IF(AND($C41&lt;&gt;"",K41=""),TRUE,FALSE)</f>
        <v>0</v>
      </c>
      <c r="BO41" s="898"/>
      <c r="BP41" s="899" t="b">
        <f>IF(AND($C41&lt;&gt;"",M41=""),TRUE,FALSE)</f>
        <v>0</v>
      </c>
      <c r="BQ41" s="898"/>
      <c r="BR41" s="899" t="b">
        <f>IF(AND($C41&lt;&gt;"",O41=""),TRUE,FALSE)</f>
        <v>0</v>
      </c>
      <c r="BS41" s="898" t="b">
        <f>IF(AND(S41="",OR(U41&lt;&gt;"",AA41&lt;&gt;"",AG41&lt;&gt;"",AI41&lt;&gt;"",AK41&lt;&gt;"",AM41&lt;&gt;"",AO41&lt;&gt;"",AQ41&lt;&gt;"",AS41&lt;&gt;"",AU41&lt;&gt;"",AW41&lt;&gt;"",AY41&lt;&gt;"",BA41&lt;&gt;"")),TRUE,FALSE)</f>
        <v>0</v>
      </c>
      <c r="BT41" s="899" t="b">
        <f>IF(AND($C41&lt;&gt;"",S41=""),TRUE,FALSE)</f>
        <v>0</v>
      </c>
      <c r="BU41" s="898"/>
      <c r="BV41" s="899" t="b">
        <f>IF(AND($C41&lt;&gt;"",U41=""),TRUE,FALSE)</f>
        <v>0</v>
      </c>
      <c r="BW41" s="1537" t="b">
        <f>IF(BX41=TRUE,FALSE,IF(AA41="",FALSE,IF(OR(AA41&lt;CX41,AA41&gt;BaseYear),TRUE,FALSE)))</f>
        <v>0</v>
      </c>
      <c r="BX41" s="899" t="b">
        <f>IF(AND($C41&lt;&gt;"",AA41=""),TRUE,FALSE)</f>
        <v>0</v>
      </c>
      <c r="BY41" s="898"/>
      <c r="BZ41" s="899" t="b">
        <f>IF(AND($C41&lt;&gt;"",AG41=""),TRUE,FALSE)</f>
        <v>0</v>
      </c>
      <c r="CA41" s="898"/>
      <c r="CB41" s="899" t="b">
        <f>IF(AND($C41&lt;&gt;"",AI41=""),TRUE,FALSE)</f>
        <v>0</v>
      </c>
      <c r="CC41" s="1537" t="b">
        <f>IF(AK41="",FALSE,IF(OR(AK41&lt;CX41,AK41&gt;BaseYear),TRUE,FALSE))</f>
        <v>0</v>
      </c>
      <c r="CD41" s="1538" t="b">
        <f>IF(AK41="",FALSE,IF(AK41&lt;AA41,TRUE,FALSE))</f>
        <v>0</v>
      </c>
      <c r="CE41" s="899" t="b">
        <f>IF(AND($AM41&lt;&gt;"",AK41=""),TRUE,FALSE)</f>
        <v>0</v>
      </c>
      <c r="CF41" s="898"/>
      <c r="CG41" s="899" t="b">
        <f>IF(AND($AK41&lt;&gt;"",AM41=""),TRUE,FALSE)</f>
        <v>0</v>
      </c>
      <c r="CH41" s="898"/>
      <c r="CI41" s="899" t="b">
        <f>IF(AND($C41&lt;&gt;"",AO41=""),TRUE,FALSE)</f>
        <v>0</v>
      </c>
      <c r="CJ41" s="1537"/>
      <c r="CK41" s="899" t="b">
        <f>IF(AND($C41&lt;&gt;"",AQ41=""),TRUE,FALSE)</f>
        <v>0</v>
      </c>
      <c r="CL41" s="898"/>
      <c r="CM41" s="899" t="b">
        <f>IF(AND($C41&lt;&gt;"",AS41=""),TRUE,FALSE)</f>
        <v>0</v>
      </c>
      <c r="CN41" s="898"/>
      <c r="CO41" s="899" t="b">
        <f>IF(AND($C41&lt;&gt;"",AU41=""),TRUE,FALSE)</f>
        <v>0</v>
      </c>
      <c r="CP41" s="898"/>
      <c r="CQ41" s="899" t="b">
        <f>IF(AND($C41&lt;&gt;"",AW41=""),TRUE,FALSE)</f>
        <v>0</v>
      </c>
      <c r="CR41" s="898"/>
      <c r="CS41" s="899" t="b">
        <f>IF(AND($C41&lt;&gt;"",AY41=""),TRUE,FALSE)</f>
        <v>0</v>
      </c>
      <c r="CT41" s="898"/>
      <c r="CU41" s="898" t="b">
        <f>IF(AND($C41&lt;&gt;"",BA41=""),TRUE,FALSE)</f>
        <v>0</v>
      </c>
      <c r="CV41" s="894"/>
      <c r="CW41" s="898" t="str">
        <f t="shared" si="2"/>
        <v/>
      </c>
      <c r="CX41" s="898" t="str">
        <f>IFERROR(IF(AND(S41="",S41&lt;&gt;""),1913,VLOOKUP(S41,Valid!$B$99:$J$120,9)),"")</f>
        <v/>
      </c>
      <c r="CY41" s="898" t="str">
        <f t="shared" ca="1" si="3"/>
        <v/>
      </c>
      <c r="CZ41" s="1547" t="str">
        <f t="shared" ca="1" si="8"/>
        <v/>
      </c>
      <c r="DA41" s="898" t="str">
        <f ca="1">IF(CZ41="", "", IF(1+(CZ41*4)&lt;1, 1, 1+(CZ41*4)))</f>
        <v/>
      </c>
      <c r="DB41" s="898" t="str">
        <f t="shared" si="4"/>
        <v/>
      </c>
      <c r="DC41" s="898" t="str">
        <f t="shared" si="5"/>
        <v/>
      </c>
      <c r="DD41" s="1539" t="str">
        <f>IFERROR(IF(AND(AM41="",C41&lt;&gt;""),Valid!$E$123,VLOOKUP(AM41,Valid!$B$123:$F$125,4,FALSE)),"")</f>
        <v/>
      </c>
      <c r="DE41" s="1539" t="str">
        <f>IFERROR(IF(AND(AM41="",C41&lt;&gt;""),Valid!$F$123,VLOOKUP(AM41,Valid!$B$123:$F$125,5,FALSE)),"")</f>
        <v/>
      </c>
      <c r="DF41" s="1539" t="str">
        <f>IFERROR(VLOOKUP('A-70 RevVehInv'!S41,Valid!$B$99:$I$120,7), "")</f>
        <v/>
      </c>
      <c r="DG41" s="1539" t="str">
        <f>IFERROR(VLOOKUP(S41,Valid!$B$99:$I$120,8), "")</f>
        <v/>
      </c>
      <c r="DH41" s="894"/>
    </row>
    <row r="42" spans="1:112" ht="6.75" customHeight="1" x14ac:dyDescent="0.2">
      <c r="A42" s="1517"/>
      <c r="B42" s="1530">
        <v>15.5</v>
      </c>
      <c r="C42" s="1540"/>
      <c r="D42" s="905"/>
      <c r="E42" s="1541"/>
      <c r="F42" s="905"/>
      <c r="G42" s="905"/>
      <c r="H42" s="905"/>
      <c r="I42" s="1534"/>
      <c r="J42" s="905"/>
      <c r="K42" s="1534"/>
      <c r="L42" s="905"/>
      <c r="M42" s="1534"/>
      <c r="N42" s="905"/>
      <c r="O42" s="1534"/>
      <c r="P42" s="905"/>
      <c r="Q42" s="1534"/>
      <c r="R42" s="1531"/>
      <c r="S42" s="1542"/>
      <c r="T42" s="905"/>
      <c r="U42" s="1542"/>
      <c r="V42" s="905"/>
      <c r="W42" s="1534" t="str">
        <f t="shared" si="0"/>
        <v/>
      </c>
      <c r="X42" s="905"/>
      <c r="Y42" s="1534"/>
      <c r="Z42" s="252" t="str">
        <f t="shared" si="1"/>
        <v/>
      </c>
      <c r="AA42" s="1534"/>
      <c r="AB42" s="905"/>
      <c r="AC42" s="1973" t="str">
        <f t="shared" si="6"/>
        <v/>
      </c>
      <c r="AD42" s="905"/>
      <c r="AE42" s="1985" t="str">
        <f t="shared" si="7"/>
        <v/>
      </c>
      <c r="AF42" s="905"/>
      <c r="AG42" s="1543"/>
      <c r="AH42" s="1531"/>
      <c r="AI42" s="1534"/>
      <c r="AJ42" s="1531"/>
      <c r="AK42" s="1534"/>
      <c r="AL42" s="1531"/>
      <c r="AM42" s="1543"/>
      <c r="AN42" s="1531"/>
      <c r="AO42" s="1543"/>
      <c r="AP42" s="1531"/>
      <c r="AQ42" s="1534"/>
      <c r="AR42" s="1531"/>
      <c r="AS42" s="1534"/>
      <c r="AT42" s="1531"/>
      <c r="AU42" s="1534"/>
      <c r="AV42" s="1531"/>
      <c r="AW42" s="1534"/>
      <c r="AX42" s="1531"/>
      <c r="AY42" s="1534"/>
      <c r="AZ42" s="1531"/>
      <c r="BA42" s="1543"/>
      <c r="BB42" s="1531"/>
      <c r="BC42" s="1534"/>
      <c r="BD42" s="1531"/>
      <c r="BE42" s="1531"/>
      <c r="BF42" s="1531"/>
      <c r="BG42" s="1531"/>
      <c r="BH42" s="1531"/>
      <c r="BI42" s="1535"/>
      <c r="BJ42" s="1534"/>
      <c r="BK42" s="1535"/>
      <c r="BL42" s="1534"/>
      <c r="BM42" s="1535"/>
      <c r="BN42" s="1534"/>
      <c r="BO42" s="1535"/>
      <c r="BP42" s="1534"/>
      <c r="BQ42" s="1535"/>
      <c r="BR42" s="1534"/>
      <c r="BS42" s="1535"/>
      <c r="BT42" s="1534"/>
      <c r="BU42" s="1535"/>
      <c r="BV42" s="1534"/>
      <c r="BW42" s="1535"/>
      <c r="BX42" s="1534"/>
      <c r="BY42" s="1535"/>
      <c r="BZ42" s="1534"/>
      <c r="CA42" s="1535"/>
      <c r="CB42" s="1534"/>
      <c r="CC42" s="1535"/>
      <c r="CD42" s="1534"/>
      <c r="CE42" s="1534"/>
      <c r="CF42" s="1535"/>
      <c r="CG42" s="1534"/>
      <c r="CH42" s="1535"/>
      <c r="CI42" s="1534"/>
      <c r="CJ42" s="1535"/>
      <c r="CK42" s="1534"/>
      <c r="CL42" s="1535"/>
      <c r="CM42" s="1534"/>
      <c r="CN42" s="1535"/>
      <c r="CO42" s="1534"/>
      <c r="CP42" s="1535"/>
      <c r="CQ42" s="1534"/>
      <c r="CR42" s="1535"/>
      <c r="CS42" s="1534"/>
      <c r="CT42" s="1535"/>
      <c r="CU42" s="1535"/>
      <c r="CV42" s="1531"/>
      <c r="CW42" s="898" t="str">
        <f t="shared" si="2"/>
        <v/>
      </c>
      <c r="CX42" s="898" t="str">
        <f>IFERROR(IF(AND(S42="",S42&lt;&gt;""),1913,VLOOKUP(S42,Valid!$B$99:$J$120,9)),"")</f>
        <v/>
      </c>
      <c r="CY42" s="898" t="str">
        <f t="shared" ca="1" si="3"/>
        <v/>
      </c>
      <c r="CZ42" s="1547" t="str">
        <f t="shared" ca="1" si="8"/>
        <v/>
      </c>
      <c r="DA42" s="898"/>
      <c r="DB42" s="898" t="str">
        <f t="shared" si="4"/>
        <v/>
      </c>
      <c r="DC42" s="898" t="str">
        <f t="shared" si="5"/>
        <v/>
      </c>
      <c r="DD42" s="1539" t="str">
        <f>IFERROR(IF(AND(AM42="",C42&lt;&gt;""),Valid!$E$123,VLOOKUP(AM42,Valid!$B$123:$F$125,4,FALSE)),"")</f>
        <v/>
      </c>
      <c r="DE42" s="1539" t="str">
        <f>IFERROR(IF(AND(AM42="",C42&lt;&gt;""),Valid!$F$123,VLOOKUP(AM42,Valid!$B$123:$F$125,5,FALSE)),"")</f>
        <v/>
      </c>
      <c r="DF42" s="1539" t="str">
        <f>IFERROR(VLOOKUP('A-70 RevVehInv'!S42,Valid!$B$99:$I$120,7), "")</f>
        <v/>
      </c>
      <c r="DG42" s="1539" t="str">
        <f>IFERROR(VLOOKUP(S42,Valid!$B$99:$I$120,8), "")</f>
        <v/>
      </c>
      <c r="DH42" s="1531"/>
    </row>
    <row r="43" spans="1:112" s="930" customFormat="1" x14ac:dyDescent="0.2">
      <c r="A43" s="206">
        <v>16</v>
      </c>
      <c r="B43" s="1530">
        <v>16</v>
      </c>
      <c r="C43" s="933"/>
      <c r="D43" s="719" t="str">
        <f>IF(C41="","",IF((C43=""),"Enter RVI ID. then Fill in Columns "&amp;TEXT($I$2,0)&amp;" - "&amp;TEXT($BA$2,0)&amp;"       ",""))</f>
        <v/>
      </c>
      <c r="E43" s="1056" t="str">
        <f>IF(BH43="N/A","",BH43)</f>
        <v/>
      </c>
      <c r="F43" s="1536"/>
      <c r="G43" s="1536"/>
      <c r="H43" s="1536"/>
      <c r="I43" s="1023"/>
      <c r="J43" s="1536" t="str">
        <f>IF(E43&lt;&gt;"","Vehicles?    ","")</f>
        <v/>
      </c>
      <c r="K43" s="1023"/>
      <c r="L43" s="1536" t="str">
        <f>IF(E43&lt;&gt;"","Active Vehicles?     ","")</f>
        <v/>
      </c>
      <c r="M43" s="1023"/>
      <c r="N43" s="1536" t="str">
        <f>IF(E43&lt;&gt;"","ADA Vehicles?       ","")</f>
        <v/>
      </c>
      <c r="O43" s="1023"/>
      <c r="P43" s="1536" t="str">
        <f>IF(E43&lt;&gt;"","Cont. Vehicles?     ","")</f>
        <v/>
      </c>
      <c r="Q43" s="1024"/>
      <c r="R43" s="894"/>
      <c r="S43" s="1153"/>
      <c r="T43" s="252" t="str">
        <f>IF(E43&lt;&gt;"","Select from Pull-Down List    ","")</f>
        <v/>
      </c>
      <c r="U43" s="933"/>
      <c r="V43" s="252" t="str">
        <f>IF(E43&lt;&gt;"","Select from Pull-Down List    ","")</f>
        <v/>
      </c>
      <c r="W43" s="1766" t="str">
        <f t="shared" si="0"/>
        <v/>
      </c>
      <c r="X43" s="252"/>
      <c r="Y43" s="1988"/>
      <c r="Z43" s="252" t="str">
        <f t="shared" si="1"/>
        <v/>
      </c>
      <c r="AA43" s="139"/>
      <c r="AB43" s="252" t="str">
        <f>IF(E43&lt;&gt;"","Mfg. Yr?    ","")</f>
        <v/>
      </c>
      <c r="AC43" s="1974" t="str">
        <f t="shared" si="6"/>
        <v/>
      </c>
      <c r="AD43" s="252"/>
      <c r="AE43" s="1986" t="str">
        <f t="shared" si="7"/>
        <v/>
      </c>
      <c r="AF43" s="252"/>
      <c r="AG43" s="933"/>
      <c r="AH43" s="252" t="str">
        <f>IF(E43&lt;&gt;"","Select from Pull-Down List    ","")</f>
        <v/>
      </c>
      <c r="AI43" s="933"/>
      <c r="AJ43" s="252" t="str">
        <f>IF(E43&lt;&gt;"","Number?   ","")</f>
        <v/>
      </c>
      <c r="AK43" s="139"/>
      <c r="AL43" s="252" t="str">
        <f>IF(E43&lt;&gt;"","Last Rnwl. Yr?   ","")</f>
        <v/>
      </c>
      <c r="AM43" s="933"/>
      <c r="AN43" s="252" t="str">
        <f>IF(E43&lt;&gt;"","Select from Pull-Down List    ","")</f>
        <v/>
      </c>
      <c r="AO43" s="933"/>
      <c r="AP43" s="252" t="str">
        <f>IF(E43&lt;&gt;"","Select from Pull-Down List    ","")</f>
        <v/>
      </c>
      <c r="AQ43" s="1023"/>
      <c r="AR43" s="252" t="str">
        <f>IF(E43&lt;&gt;"","Feet?    ","")</f>
        <v/>
      </c>
      <c r="AS43" s="1023"/>
      <c r="AT43" s="252" t="str">
        <f>IF(E43&lt;&gt;"","Seats?    ","")</f>
        <v/>
      </c>
      <c r="AU43" s="1023"/>
      <c r="AV43" s="252" t="str">
        <f>IF(E43&lt;&gt;"","Standing?    ","")</f>
        <v/>
      </c>
      <c r="AW43" s="1023"/>
      <c r="AX43" s="252" t="str">
        <f>IF(E43&lt;&gt;"","Mileage?       ","")</f>
        <v/>
      </c>
      <c r="AY43" s="1023"/>
      <c r="AZ43" s="252" t="str">
        <f>IF(E43&lt;&gt;"","Avg. Lifetime Mileage? ","")</f>
        <v/>
      </c>
      <c r="BA43" s="933"/>
      <c r="BB43" s="252" t="str">
        <f>IF(E43&lt;&gt;"","Select from Pull-Down List    ","")</f>
        <v/>
      </c>
      <c r="BC43" s="171"/>
      <c r="BD43" s="252" t="str">
        <f>IF(OR(AO43="OR - Other fuel (describe in Notes)",AG43="ZZZ - Other (describe in Notes)"),"Describe                                                                                                     ","")</f>
        <v/>
      </c>
      <c r="BE43" s="894"/>
      <c r="BF43" s="894"/>
      <c r="BG43" s="894" t="b">
        <f>IF(AND(C43="",C45&lt;&gt;""),TRUE,FALSE)</f>
        <v>0</v>
      </c>
      <c r="BH43" s="888" t="str">
        <f>IF(AND(C43&lt;&gt;"",OR(I43="",K43="",M43="",O43="",S43="",U43="",AA43="",AG43="",AI43="",AO43="",AQ43="",AS43="",AU43="",AW43="",AY43="")),"No",IF(AND(C43="",OR(I43&lt;&gt;"",K43&lt;&gt;"",M43&lt;&gt;"",O43&lt;&gt;"",S43&lt;&gt;"",U43&lt;&gt;"",AA43&lt;&gt;"",AG43&lt;&gt;"",AI43&lt;&gt;"",AK43&lt;&gt;"",AM43&lt;&gt;"",AO43&lt;&gt;"",AQ43&lt;&gt;"",AS43&lt;&gt;"",AU43&lt;&gt;"",AW43&lt;&gt;"",AY43&lt;&gt;"",BA43&lt;&gt;"",BC43&lt;&gt;"")),"No",IF(AND(C43="",I43="",K43="",M43="",O43="",S43="",U43="",AA43="",AG43="",AI43="",AK43="",AM43="",AO43="",AQ43="",AS43="",AU43="",AW43="",AY43="",BA43=""),"N/A","Yes")))</f>
        <v>N/A</v>
      </c>
      <c r="BI43" s="898"/>
      <c r="BJ43" s="899" t="b">
        <f>IF(AND(OR(I43&lt;&gt;"",K43&lt;&gt;"",M43&lt;&gt;"",O43&lt;&gt;"",S43&lt;&gt;"",U43&lt;&gt;"",AA43&lt;&gt;"",AG43&lt;&gt;"",AI43&lt;&gt;"",AK43&lt;&gt;"",AM43&lt;&gt;"",AO43&lt;&gt;"",AQ43&lt;&gt;"",AS43&lt;&gt;"",AW43&lt;&gt;"",AY43&lt;&gt;"",BA43&lt;&gt;"",BC43&lt;&gt;""),C43=""),TRUE,FALSE)</f>
        <v>0</v>
      </c>
      <c r="BK43" s="898" t="b">
        <f>IF(BL43=TRUE,FALSE,IF(SUM(K43,O43)&gt;I43,TRUE,FALSE))</f>
        <v>0</v>
      </c>
      <c r="BL43" s="899" t="b">
        <f>IF(AND(C43&lt;&gt;"",I43=""),TRUE,FALSE)</f>
        <v>0</v>
      </c>
      <c r="BM43" s="898" t="b">
        <f>IF(BN43=TRUE,FALSE,IF(M43&gt;K43,TRUE,FALSE))</f>
        <v>0</v>
      </c>
      <c r="BN43" s="899" t="b">
        <f>IF(AND($C43&lt;&gt;"",K43=""),TRUE,FALSE)</f>
        <v>0</v>
      </c>
      <c r="BO43" s="898"/>
      <c r="BP43" s="899" t="b">
        <f>IF(AND($C43&lt;&gt;"",M43=""),TRUE,FALSE)</f>
        <v>0</v>
      </c>
      <c r="BQ43" s="898"/>
      <c r="BR43" s="899" t="b">
        <f>IF(AND($C43&lt;&gt;"",O43=""),TRUE,FALSE)</f>
        <v>0</v>
      </c>
      <c r="BS43" s="898" t="b">
        <f>IF(AND(S43="",OR(U43&lt;&gt;"",AA43&lt;&gt;"",AG43&lt;&gt;"",AI43&lt;&gt;"",AK43&lt;&gt;"",AM43&lt;&gt;"",AO43&lt;&gt;"",AQ43&lt;&gt;"",AS43&lt;&gt;"",AU43&lt;&gt;"",AW43&lt;&gt;"",AY43&lt;&gt;"",BA43&lt;&gt;"")),TRUE,FALSE)</f>
        <v>0</v>
      </c>
      <c r="BT43" s="899" t="b">
        <f>IF(AND($C43&lt;&gt;"",S43=""),TRUE,FALSE)</f>
        <v>0</v>
      </c>
      <c r="BU43" s="898"/>
      <c r="BV43" s="899" t="b">
        <f>IF(AND($C43&lt;&gt;"",U43=""),TRUE,FALSE)</f>
        <v>0</v>
      </c>
      <c r="BW43" s="1537" t="b">
        <f>IF(BX43=TRUE,FALSE,IF(AA43="",FALSE,IF(OR(AA43&lt;CX43,AA43&gt;BaseYear),TRUE,FALSE)))</f>
        <v>0</v>
      </c>
      <c r="BX43" s="899" t="b">
        <f>IF(AND($C43&lt;&gt;"",AA43=""),TRUE,FALSE)</f>
        <v>0</v>
      </c>
      <c r="BY43" s="898"/>
      <c r="BZ43" s="899" t="b">
        <f>IF(AND($C43&lt;&gt;"",AG43=""),TRUE,FALSE)</f>
        <v>0</v>
      </c>
      <c r="CA43" s="898"/>
      <c r="CB43" s="899" t="b">
        <f>IF(AND($C43&lt;&gt;"",AI43=""),TRUE,FALSE)</f>
        <v>0</v>
      </c>
      <c r="CC43" s="1537" t="b">
        <f>IF(AK43="",FALSE,IF(OR(AK43&lt;CX43,AK43&gt;BaseYear),TRUE,FALSE))</f>
        <v>0</v>
      </c>
      <c r="CD43" s="1538" t="b">
        <f>IF(AK43="",FALSE,IF(AK43&lt;AA43,TRUE,FALSE))</f>
        <v>0</v>
      </c>
      <c r="CE43" s="899" t="b">
        <f>IF(AND($AM43&lt;&gt;"",AK43=""),TRUE,FALSE)</f>
        <v>0</v>
      </c>
      <c r="CF43" s="898"/>
      <c r="CG43" s="899" t="b">
        <f>IF(AND($AK43&lt;&gt;"",AM43=""),TRUE,FALSE)</f>
        <v>0</v>
      </c>
      <c r="CH43" s="898"/>
      <c r="CI43" s="899" t="b">
        <f>IF(AND($C43&lt;&gt;"",AO43=""),TRUE,FALSE)</f>
        <v>0</v>
      </c>
      <c r="CJ43" s="1537"/>
      <c r="CK43" s="899" t="b">
        <f>IF(AND($C43&lt;&gt;"",AQ43=""),TRUE,FALSE)</f>
        <v>0</v>
      </c>
      <c r="CL43" s="898"/>
      <c r="CM43" s="899" t="b">
        <f>IF(AND($C43&lt;&gt;"",AS43=""),TRUE,FALSE)</f>
        <v>0</v>
      </c>
      <c r="CN43" s="898"/>
      <c r="CO43" s="899" t="b">
        <f>IF(AND($C43&lt;&gt;"",AU43=""),TRUE,FALSE)</f>
        <v>0</v>
      </c>
      <c r="CP43" s="898"/>
      <c r="CQ43" s="899" t="b">
        <f>IF(AND($C43&lt;&gt;"",AW43=""),TRUE,FALSE)</f>
        <v>0</v>
      </c>
      <c r="CR43" s="898"/>
      <c r="CS43" s="899" t="b">
        <f>IF(AND($C43&lt;&gt;"",AY43=""),TRUE,FALSE)</f>
        <v>0</v>
      </c>
      <c r="CT43" s="898"/>
      <c r="CU43" s="898" t="b">
        <f>IF(AND($C43&lt;&gt;"",BA43=""),TRUE,FALSE)</f>
        <v>0</v>
      </c>
      <c r="CV43" s="894"/>
      <c r="CW43" s="898" t="str">
        <f t="shared" si="2"/>
        <v/>
      </c>
      <c r="CX43" s="898" t="str">
        <f>IFERROR(IF(AND(S43="",S43&lt;&gt;""),1913,VLOOKUP(S43,Valid!$B$99:$J$120,9)),"")</f>
        <v/>
      </c>
      <c r="CY43" s="898" t="str">
        <f t="shared" ca="1" si="3"/>
        <v/>
      </c>
      <c r="CZ43" s="1547" t="str">
        <f t="shared" ca="1" si="8"/>
        <v/>
      </c>
      <c r="DA43" s="898" t="str">
        <f ca="1">IF(CZ43="", "", IF(1+(CZ43*4)&lt;1, 1, 1+(CZ43*4)))</f>
        <v/>
      </c>
      <c r="DB43" s="898" t="str">
        <f t="shared" si="4"/>
        <v/>
      </c>
      <c r="DC43" s="898" t="str">
        <f t="shared" si="5"/>
        <v/>
      </c>
      <c r="DD43" s="1539" t="str">
        <f>IFERROR(IF(AND(AM43="",C43&lt;&gt;""),Valid!$E$123,VLOOKUP(AM43,Valid!$B$123:$F$125,4,FALSE)),"")</f>
        <v/>
      </c>
      <c r="DE43" s="1539" t="str">
        <f>IFERROR(IF(AND(AM43="",C43&lt;&gt;""),Valid!$F$123,VLOOKUP(AM43,Valid!$B$123:$F$125,5,FALSE)),"")</f>
        <v/>
      </c>
      <c r="DF43" s="1539" t="str">
        <f>IFERROR(VLOOKUP('A-70 RevVehInv'!S43,Valid!$B$99:$I$120,7), "")</f>
        <v/>
      </c>
      <c r="DG43" s="1539" t="str">
        <f>IFERROR(VLOOKUP(S43,Valid!$B$99:$I$120,8), "")</f>
        <v/>
      </c>
      <c r="DH43" s="894"/>
    </row>
    <row r="44" spans="1:112" ht="6.75" customHeight="1" x14ac:dyDescent="0.2">
      <c r="A44" s="1517"/>
      <c r="B44" s="1530">
        <v>16.5</v>
      </c>
      <c r="C44" s="1544"/>
      <c r="D44" s="905"/>
      <c r="E44" s="1545"/>
      <c r="F44" s="905"/>
      <c r="G44" s="905"/>
      <c r="H44" s="905"/>
      <c r="I44" s="1531"/>
      <c r="J44" s="905"/>
      <c r="K44" s="1531"/>
      <c r="L44" s="905"/>
      <c r="M44" s="1531"/>
      <c r="N44" s="905"/>
      <c r="O44" s="1531"/>
      <c r="P44" s="905"/>
      <c r="Q44" s="1531"/>
      <c r="R44" s="1531"/>
      <c r="S44" s="1533"/>
      <c r="T44" s="905"/>
      <c r="U44" s="1533"/>
      <c r="V44" s="905"/>
      <c r="W44" s="1531" t="str">
        <f t="shared" si="0"/>
        <v/>
      </c>
      <c r="X44" s="905"/>
      <c r="Y44" s="1531"/>
      <c r="Z44" s="252" t="str">
        <f t="shared" si="1"/>
        <v/>
      </c>
      <c r="AA44" s="1531"/>
      <c r="AB44" s="905"/>
      <c r="AC44" s="1971" t="str">
        <f t="shared" si="6"/>
        <v/>
      </c>
      <c r="AD44" s="905"/>
      <c r="AE44" s="1983" t="str">
        <f t="shared" si="7"/>
        <v/>
      </c>
      <c r="AF44" s="905"/>
      <c r="AG44" s="1546"/>
      <c r="AH44" s="1531"/>
      <c r="AI44" s="1531"/>
      <c r="AJ44" s="1531"/>
      <c r="AK44" s="1531"/>
      <c r="AL44" s="1531"/>
      <c r="AM44" s="1546"/>
      <c r="AN44" s="1531"/>
      <c r="AO44" s="1546"/>
      <c r="AP44" s="1531"/>
      <c r="AQ44" s="1531"/>
      <c r="AR44" s="1531"/>
      <c r="AS44" s="1531"/>
      <c r="AT44" s="1531"/>
      <c r="AU44" s="1531"/>
      <c r="AV44" s="1531"/>
      <c r="AW44" s="1531"/>
      <c r="AX44" s="1531"/>
      <c r="AY44" s="1531"/>
      <c r="AZ44" s="1531"/>
      <c r="BA44" s="1546"/>
      <c r="BB44" s="1531"/>
      <c r="BC44" s="1531"/>
      <c r="BD44" s="1531"/>
      <c r="BE44" s="1531"/>
      <c r="BF44" s="1531"/>
      <c r="BG44" s="1531"/>
      <c r="BH44" s="1531"/>
      <c r="BI44" s="1535"/>
      <c r="BJ44" s="1534"/>
      <c r="BK44" s="1535"/>
      <c r="BL44" s="1534"/>
      <c r="BM44" s="1535"/>
      <c r="BN44" s="1534"/>
      <c r="BO44" s="1535"/>
      <c r="BP44" s="1534"/>
      <c r="BQ44" s="1535"/>
      <c r="BR44" s="1534"/>
      <c r="BS44" s="1535"/>
      <c r="BT44" s="1534"/>
      <c r="BU44" s="1535"/>
      <c r="BV44" s="1534"/>
      <c r="BW44" s="1535"/>
      <c r="BX44" s="1534"/>
      <c r="BY44" s="1535"/>
      <c r="BZ44" s="1534"/>
      <c r="CA44" s="1535"/>
      <c r="CB44" s="1534"/>
      <c r="CC44" s="1535"/>
      <c r="CD44" s="1534"/>
      <c r="CE44" s="1534"/>
      <c r="CF44" s="1535"/>
      <c r="CG44" s="1534"/>
      <c r="CH44" s="1535"/>
      <c r="CI44" s="1534"/>
      <c r="CJ44" s="1535"/>
      <c r="CK44" s="1534"/>
      <c r="CL44" s="1535"/>
      <c r="CM44" s="1534"/>
      <c r="CN44" s="1535"/>
      <c r="CO44" s="1534"/>
      <c r="CP44" s="1535"/>
      <c r="CQ44" s="1534"/>
      <c r="CR44" s="1535"/>
      <c r="CS44" s="1534"/>
      <c r="CT44" s="1535"/>
      <c r="CU44" s="1535"/>
      <c r="CV44" s="1531"/>
      <c r="CW44" s="898" t="str">
        <f t="shared" si="2"/>
        <v/>
      </c>
      <c r="CX44" s="898" t="str">
        <f>IFERROR(IF(AND(S44="",S44&lt;&gt;""),1913,VLOOKUP(S44,Valid!$B$99:$J$120,9)),"")</f>
        <v/>
      </c>
      <c r="CY44" s="898" t="str">
        <f t="shared" ca="1" si="3"/>
        <v/>
      </c>
      <c r="CZ44" s="1547" t="str">
        <f t="shared" ca="1" si="8"/>
        <v/>
      </c>
      <c r="DA44" s="898"/>
      <c r="DB44" s="898" t="str">
        <f t="shared" si="4"/>
        <v/>
      </c>
      <c r="DC44" s="898" t="str">
        <f t="shared" si="5"/>
        <v/>
      </c>
      <c r="DD44" s="1539" t="str">
        <f>IFERROR(IF(AND(AM44="",C44&lt;&gt;""),Valid!$E$123,VLOOKUP(AM44,Valid!$B$123:$F$125,4,FALSE)),"")</f>
        <v/>
      </c>
      <c r="DE44" s="1539" t="str">
        <f>IFERROR(IF(AND(AM44="",C44&lt;&gt;""),Valid!$F$123,VLOOKUP(AM44,Valid!$B$123:$F$125,5,FALSE)),"")</f>
        <v/>
      </c>
      <c r="DF44" s="1539" t="str">
        <f>IFERROR(VLOOKUP('A-70 RevVehInv'!S44,Valid!$B$99:$I$120,7), "")</f>
        <v/>
      </c>
      <c r="DG44" s="1539" t="str">
        <f>IFERROR(VLOOKUP(S44,Valid!$B$99:$I$120,8), "")</f>
        <v/>
      </c>
      <c r="DH44" s="1531"/>
    </row>
    <row r="45" spans="1:112" s="930" customFormat="1" x14ac:dyDescent="0.2">
      <c r="A45" s="206">
        <v>17</v>
      </c>
      <c r="B45" s="1530">
        <v>17</v>
      </c>
      <c r="C45" s="933"/>
      <c r="D45" s="719" t="str">
        <f>IF(C43="","",IF((C45=""),"Enter RVI ID. then Fill in Columns "&amp;TEXT($I$2,0)&amp;" - "&amp;TEXT($BA$2,0)&amp;"       ",""))</f>
        <v/>
      </c>
      <c r="E45" s="1056" t="str">
        <f>IF(BH45="N/A","",BH45)</f>
        <v/>
      </c>
      <c r="F45" s="1536"/>
      <c r="G45" s="1536"/>
      <c r="H45" s="1536"/>
      <c r="I45" s="1023"/>
      <c r="J45" s="1536" t="str">
        <f>IF(E45&lt;&gt;"","Vehicles?    ","")</f>
        <v/>
      </c>
      <c r="K45" s="1023"/>
      <c r="L45" s="1536" t="str">
        <f>IF(E45&lt;&gt;"","Active Vehicles?     ","")</f>
        <v/>
      </c>
      <c r="M45" s="1023"/>
      <c r="N45" s="1536" t="str">
        <f>IF(E45&lt;&gt;"","ADA Vehicles?       ","")</f>
        <v/>
      </c>
      <c r="O45" s="1023"/>
      <c r="P45" s="1536" t="str">
        <f>IF(E45&lt;&gt;"","Cont. Vehicles?     ","")</f>
        <v/>
      </c>
      <c r="Q45" s="1024"/>
      <c r="R45" s="894"/>
      <c r="S45" s="1153"/>
      <c r="T45" s="252" t="str">
        <f>IF(E45&lt;&gt;"","Select from Pull-Down List    ","")</f>
        <v/>
      </c>
      <c r="U45" s="933"/>
      <c r="V45" s="252" t="str">
        <f>IF(E45&lt;&gt;"","Select from Pull-Down List    ","")</f>
        <v/>
      </c>
      <c r="W45" s="1766" t="str">
        <f t="shared" ref="W45:W76" si="9">IFERROR(VLOOKUP($S45,val_rev_vehicles,W$3,FALSE), "")</f>
        <v/>
      </c>
      <c r="X45" s="252"/>
      <c r="Y45" s="1988"/>
      <c r="Z45" s="252" t="str">
        <f t="shared" ref="Z45:Z76" si="10">IF(E45&lt;&gt;"","Service Yrs?    ","")</f>
        <v/>
      </c>
      <c r="AA45" s="139"/>
      <c r="AB45" s="252" t="str">
        <f>IF(E45&lt;&gt;"","Mfg. Yr?    ","")</f>
        <v/>
      </c>
      <c r="AC45" s="1974" t="str">
        <f t="shared" si="6"/>
        <v/>
      </c>
      <c r="AD45" s="252"/>
      <c r="AE45" s="1986" t="str">
        <f t="shared" si="7"/>
        <v/>
      </c>
      <c r="AF45" s="252"/>
      <c r="AG45" s="933"/>
      <c r="AH45" s="252" t="str">
        <f>IF(E45&lt;&gt;"","Select from Pull-Down List    ","")</f>
        <v/>
      </c>
      <c r="AI45" s="933"/>
      <c r="AJ45" s="252" t="str">
        <f>IF(E45&lt;&gt;"","Number?   ","")</f>
        <v/>
      </c>
      <c r="AK45" s="139"/>
      <c r="AL45" s="252" t="str">
        <f>IF(E45&lt;&gt;"","Last Rnwl. Yr?   ","")</f>
        <v/>
      </c>
      <c r="AM45" s="933"/>
      <c r="AN45" s="252" t="str">
        <f>IF(E45&lt;&gt;"","Select from Pull-Down List    ","")</f>
        <v/>
      </c>
      <c r="AO45" s="933"/>
      <c r="AP45" s="252" t="str">
        <f>IF(E45&lt;&gt;"","Select from Pull-Down List    ","")</f>
        <v/>
      </c>
      <c r="AQ45" s="1023"/>
      <c r="AR45" s="252" t="str">
        <f>IF(E45&lt;&gt;"","Feet?    ","")</f>
        <v/>
      </c>
      <c r="AS45" s="1023"/>
      <c r="AT45" s="252" t="str">
        <f>IF(E45&lt;&gt;"","Seats?    ","")</f>
        <v/>
      </c>
      <c r="AU45" s="1023"/>
      <c r="AV45" s="252" t="str">
        <f>IF(E45&lt;&gt;"","Standing?    ","")</f>
        <v/>
      </c>
      <c r="AW45" s="1023"/>
      <c r="AX45" s="252" t="str">
        <f>IF(E45&lt;&gt;"","Mileage?       ","")</f>
        <v/>
      </c>
      <c r="AY45" s="1023"/>
      <c r="AZ45" s="252" t="str">
        <f>IF(E45&lt;&gt;"","Avg. Lifetime Mileage? ","")</f>
        <v/>
      </c>
      <c r="BA45" s="933"/>
      <c r="BB45" s="252" t="str">
        <f>IF(E45&lt;&gt;"","Select from Pull-Down List    ","")</f>
        <v/>
      </c>
      <c r="BC45" s="171"/>
      <c r="BD45" s="252" t="str">
        <f>IF(OR(AO45="OR - Other fuel (describe in Notes)",AG45="ZZZ - Other (describe in Notes)"),"Describe                                                                                                     ","")</f>
        <v/>
      </c>
      <c r="BE45" s="894"/>
      <c r="BF45" s="894"/>
      <c r="BG45" s="894" t="b">
        <f>IF(AND(C45="",C47&lt;&gt;""),TRUE,FALSE)</f>
        <v>0</v>
      </c>
      <c r="BH45" s="888" t="str">
        <f>IF(AND(C45&lt;&gt;"",OR(I45="",K45="",M45="",O45="",S45="",U45="",AA45="",AG45="",AI45="",AO45="",AQ45="",AS45="",AU45="",AW45="",AY45="")),"No",IF(AND(C45="",OR(I45&lt;&gt;"",K45&lt;&gt;"",M45&lt;&gt;"",O45&lt;&gt;"",S45&lt;&gt;"",U45&lt;&gt;"",AA45&lt;&gt;"",AG45&lt;&gt;"",AI45&lt;&gt;"",AK45&lt;&gt;"",AM45&lt;&gt;"",AO45&lt;&gt;"",AQ45&lt;&gt;"",AS45&lt;&gt;"",AU45&lt;&gt;"",AW45&lt;&gt;"",AY45&lt;&gt;"",BA45&lt;&gt;"",BC45&lt;&gt;"")),"No",IF(AND(C45="",I45="",K45="",M45="",O45="",S45="",U45="",AA45="",AG45="",AI45="",AK45="",AM45="",AO45="",AQ45="",AS45="",AU45="",AW45="",AY45="",BA45=""),"N/A","Yes")))</f>
        <v>N/A</v>
      </c>
      <c r="BI45" s="898"/>
      <c r="BJ45" s="899" t="b">
        <f>IF(AND(OR(I45&lt;&gt;"",K45&lt;&gt;"",M45&lt;&gt;"",O45&lt;&gt;"",S45&lt;&gt;"",U45&lt;&gt;"",AA45&lt;&gt;"",AG45&lt;&gt;"",AI45&lt;&gt;"",AK45&lt;&gt;"",AM45&lt;&gt;"",AO45&lt;&gt;"",AQ45&lt;&gt;"",AS45&lt;&gt;"",AW45&lt;&gt;"",AY45&lt;&gt;"",BA45&lt;&gt;"",BC45&lt;&gt;""),C45=""),TRUE,FALSE)</f>
        <v>0</v>
      </c>
      <c r="BK45" s="898" t="b">
        <f>IF(BL45=TRUE,FALSE,IF(SUM(K45,O45)&gt;I45,TRUE,FALSE))</f>
        <v>0</v>
      </c>
      <c r="BL45" s="899" t="b">
        <f>IF(AND(C45&lt;&gt;"",I45=""),TRUE,FALSE)</f>
        <v>0</v>
      </c>
      <c r="BM45" s="898" t="b">
        <f>IF(BN45=TRUE,FALSE,IF(M45&gt;K45,TRUE,FALSE))</f>
        <v>0</v>
      </c>
      <c r="BN45" s="899" t="b">
        <f>IF(AND($C45&lt;&gt;"",K45=""),TRUE,FALSE)</f>
        <v>0</v>
      </c>
      <c r="BO45" s="898"/>
      <c r="BP45" s="899" t="b">
        <f>IF(AND($C45&lt;&gt;"",M45=""),TRUE,FALSE)</f>
        <v>0</v>
      </c>
      <c r="BQ45" s="898"/>
      <c r="BR45" s="899" t="b">
        <f>IF(AND($C45&lt;&gt;"",O45=""),TRUE,FALSE)</f>
        <v>0</v>
      </c>
      <c r="BS45" s="898" t="b">
        <f>IF(AND(S45="",OR(U45&lt;&gt;"",AA45&lt;&gt;"",AG45&lt;&gt;"",AI45&lt;&gt;"",AK45&lt;&gt;"",AM45&lt;&gt;"",AO45&lt;&gt;"",AQ45&lt;&gt;"",AS45&lt;&gt;"",AU45&lt;&gt;"",AW45&lt;&gt;"",AY45&lt;&gt;"",BA45&lt;&gt;"")),TRUE,FALSE)</f>
        <v>0</v>
      </c>
      <c r="BT45" s="899" t="b">
        <f>IF(AND($C45&lt;&gt;"",S45=""),TRUE,FALSE)</f>
        <v>0</v>
      </c>
      <c r="BU45" s="898"/>
      <c r="BV45" s="899" t="b">
        <f>IF(AND($C45&lt;&gt;"",U45=""),TRUE,FALSE)</f>
        <v>0</v>
      </c>
      <c r="BW45" s="1537" t="b">
        <f>IF(BX45=TRUE,FALSE,IF(AA45="",FALSE,IF(OR(AA45&lt;CX45,AA45&gt;BaseYear),TRUE,FALSE)))</f>
        <v>0</v>
      </c>
      <c r="BX45" s="899" t="b">
        <f>IF(AND($C45&lt;&gt;"",AA45=""),TRUE,FALSE)</f>
        <v>0</v>
      </c>
      <c r="BY45" s="898"/>
      <c r="BZ45" s="899" t="b">
        <f>IF(AND($C45&lt;&gt;"",AG45=""),TRUE,FALSE)</f>
        <v>0</v>
      </c>
      <c r="CA45" s="898"/>
      <c r="CB45" s="899" t="b">
        <f>IF(AND($C45&lt;&gt;"",AI45=""),TRUE,FALSE)</f>
        <v>0</v>
      </c>
      <c r="CC45" s="1537" t="b">
        <f>IF(AK45="",FALSE,IF(OR(AK45&lt;CX45,AK45&gt;BaseYear),TRUE,FALSE))</f>
        <v>0</v>
      </c>
      <c r="CD45" s="1538" t="b">
        <f>IF(AK45="",FALSE,IF(AK45&lt;AA45,TRUE,FALSE))</f>
        <v>0</v>
      </c>
      <c r="CE45" s="899" t="b">
        <f>IF(AND($AM45&lt;&gt;"",AK45=""),TRUE,FALSE)</f>
        <v>0</v>
      </c>
      <c r="CF45" s="898"/>
      <c r="CG45" s="899" t="b">
        <f>IF(AND($AK45&lt;&gt;"",AM45=""),TRUE,FALSE)</f>
        <v>0</v>
      </c>
      <c r="CH45" s="898"/>
      <c r="CI45" s="899" t="b">
        <f>IF(AND($C45&lt;&gt;"",AO45=""),TRUE,FALSE)</f>
        <v>0</v>
      </c>
      <c r="CJ45" s="1537"/>
      <c r="CK45" s="899" t="b">
        <f>IF(AND($C45&lt;&gt;"",AQ45=""),TRUE,FALSE)</f>
        <v>0</v>
      </c>
      <c r="CL45" s="898"/>
      <c r="CM45" s="899" t="b">
        <f>IF(AND($C45&lt;&gt;"",AS45=""),TRUE,FALSE)</f>
        <v>0</v>
      </c>
      <c r="CN45" s="898"/>
      <c r="CO45" s="899" t="b">
        <f>IF(AND($C45&lt;&gt;"",AU45=""),TRUE,FALSE)</f>
        <v>0</v>
      </c>
      <c r="CP45" s="898"/>
      <c r="CQ45" s="899" t="b">
        <f>IF(AND($C45&lt;&gt;"",AW45=""),TRUE,FALSE)</f>
        <v>0</v>
      </c>
      <c r="CR45" s="898"/>
      <c r="CS45" s="899" t="b">
        <f>IF(AND($C45&lt;&gt;"",AY45=""),TRUE,FALSE)</f>
        <v>0</v>
      </c>
      <c r="CT45" s="898"/>
      <c r="CU45" s="898" t="b">
        <f>IF(AND($C45&lt;&gt;"",BA45=""),TRUE,FALSE)</f>
        <v>0</v>
      </c>
      <c r="CV45" s="894"/>
      <c r="CW45" s="898" t="str">
        <f t="shared" ref="CW45:CW76" si="11">IFERROR(VLOOKUP($S45,val_rev_vehicles,CW$3,FALSE),"")</f>
        <v/>
      </c>
      <c r="CX45" s="898" t="str">
        <f>IFERROR(IF(AND(S45="",S45&lt;&gt;""),1913,VLOOKUP(S45,Valid!$B$99:$J$120,9)),"")</f>
        <v/>
      </c>
      <c r="CY45" s="898" t="str">
        <f t="shared" ref="CY45:CY76" ca="1" si="12">IF(AA45="", "", YEAR(TODAY())-AA45)</f>
        <v/>
      </c>
      <c r="CZ45" s="1547" t="str">
        <f t="shared" ca="1" si="8"/>
        <v/>
      </c>
      <c r="DA45" s="898" t="str">
        <f ca="1">IF(CZ45="", "", IF(1+(CZ45*4)&lt;1, 1, 1+(CZ45*4)))</f>
        <v/>
      </c>
      <c r="DB45" s="898" t="str">
        <f t="shared" ref="DB45:DB76" si="13">IFERROR(VLOOKUP($S45,val_rev_vehicles,DB$3,FALSE), "")</f>
        <v/>
      </c>
      <c r="DC45" s="898" t="str">
        <f t="shared" ref="DC45:DC76" si="14">IFERROR(VLOOKUP($S45,val_rev_vehicles,DC$3,FALSE),"")</f>
        <v/>
      </c>
      <c r="DD45" s="1539" t="str">
        <f>IFERROR(IF(AND(AM45="",C45&lt;&gt;""),Valid!$E$123,VLOOKUP(AM45,Valid!$B$123:$F$125,4,FALSE)),"")</f>
        <v/>
      </c>
      <c r="DE45" s="1539" t="str">
        <f>IFERROR(IF(AND(AM45="",C45&lt;&gt;""),Valid!$F$123,VLOOKUP(AM45,Valid!$B$123:$F$125,5,FALSE)),"")</f>
        <v/>
      </c>
      <c r="DF45" s="1539" t="str">
        <f>IFERROR(VLOOKUP('A-70 RevVehInv'!S45,Valid!$B$99:$I$120,7), "")</f>
        <v/>
      </c>
      <c r="DG45" s="1539" t="str">
        <f>IFERROR(VLOOKUP(S45,Valid!$B$99:$I$120,8), "")</f>
        <v/>
      </c>
      <c r="DH45" s="894"/>
    </row>
    <row r="46" spans="1:112" ht="6.75" customHeight="1" x14ac:dyDescent="0.2">
      <c r="A46" s="1517"/>
      <c r="B46" s="1530">
        <v>17.5</v>
      </c>
      <c r="C46" s="1540"/>
      <c r="D46" s="905"/>
      <c r="E46" s="1541"/>
      <c r="F46" s="905"/>
      <c r="G46" s="905"/>
      <c r="H46" s="905"/>
      <c r="I46" s="1534"/>
      <c r="J46" s="905"/>
      <c r="K46" s="1534"/>
      <c r="L46" s="905"/>
      <c r="M46" s="1534"/>
      <c r="N46" s="905"/>
      <c r="O46" s="1534"/>
      <c r="P46" s="905"/>
      <c r="Q46" s="1534"/>
      <c r="R46" s="1531"/>
      <c r="S46" s="1542"/>
      <c r="T46" s="905"/>
      <c r="U46" s="1542"/>
      <c r="V46" s="905"/>
      <c r="W46" s="1534" t="str">
        <f t="shared" si="9"/>
        <v/>
      </c>
      <c r="X46" s="905"/>
      <c r="Y46" s="1534"/>
      <c r="Z46" s="252" t="str">
        <f t="shared" si="10"/>
        <v/>
      </c>
      <c r="AA46" s="1534"/>
      <c r="AB46" s="905"/>
      <c r="AC46" s="1973" t="str">
        <f t="shared" ref="AC46:AC77" si="15">IFERROR(VLOOKUP($S46,val_rev_vehicles,AC$3,FALSE), "")</f>
        <v/>
      </c>
      <c r="AD46" s="905"/>
      <c r="AE46" s="1985" t="str">
        <f t="shared" ref="AE46:AE77" si="16">IFERROR(VLOOKUP($S46,val_rev_vehicles,AE$3,FALSE), "")</f>
        <v/>
      </c>
      <c r="AF46" s="905"/>
      <c r="AG46" s="1543"/>
      <c r="AH46" s="1531"/>
      <c r="AI46" s="1534"/>
      <c r="AJ46" s="1531"/>
      <c r="AK46" s="1534"/>
      <c r="AL46" s="1531"/>
      <c r="AM46" s="1543"/>
      <c r="AN46" s="1531"/>
      <c r="AO46" s="1543"/>
      <c r="AP46" s="1531"/>
      <c r="AQ46" s="1534"/>
      <c r="AR46" s="1531"/>
      <c r="AS46" s="1534"/>
      <c r="AT46" s="1531"/>
      <c r="AU46" s="1534"/>
      <c r="AV46" s="1531"/>
      <c r="AW46" s="1534"/>
      <c r="AX46" s="1531"/>
      <c r="AY46" s="1534"/>
      <c r="AZ46" s="1531"/>
      <c r="BA46" s="1543"/>
      <c r="BB46" s="1531"/>
      <c r="BC46" s="1534"/>
      <c r="BD46" s="1531"/>
      <c r="BE46" s="1531"/>
      <c r="BF46" s="1531"/>
      <c r="BG46" s="1531"/>
      <c r="BH46" s="1531"/>
      <c r="BI46" s="1535"/>
      <c r="BJ46" s="1534"/>
      <c r="BK46" s="1535"/>
      <c r="BL46" s="1534"/>
      <c r="BM46" s="1535"/>
      <c r="BN46" s="1534"/>
      <c r="BO46" s="1535"/>
      <c r="BP46" s="1534"/>
      <c r="BQ46" s="1535"/>
      <c r="BR46" s="1534"/>
      <c r="BS46" s="1535"/>
      <c r="BT46" s="1534"/>
      <c r="BU46" s="1535"/>
      <c r="BV46" s="1534"/>
      <c r="BW46" s="1535"/>
      <c r="BX46" s="1534"/>
      <c r="BY46" s="1535"/>
      <c r="BZ46" s="1534"/>
      <c r="CA46" s="1535"/>
      <c r="CB46" s="1534"/>
      <c r="CC46" s="1535"/>
      <c r="CD46" s="1534"/>
      <c r="CE46" s="1534"/>
      <c r="CF46" s="1535"/>
      <c r="CG46" s="1534"/>
      <c r="CH46" s="1535"/>
      <c r="CI46" s="1534"/>
      <c r="CJ46" s="1535"/>
      <c r="CK46" s="1534"/>
      <c r="CL46" s="1535"/>
      <c r="CM46" s="1534"/>
      <c r="CN46" s="1535"/>
      <c r="CO46" s="1534"/>
      <c r="CP46" s="1535"/>
      <c r="CQ46" s="1534"/>
      <c r="CR46" s="1535"/>
      <c r="CS46" s="1534"/>
      <c r="CT46" s="1535"/>
      <c r="CU46" s="1535"/>
      <c r="CV46" s="1531"/>
      <c r="CW46" s="898" t="str">
        <f t="shared" si="11"/>
        <v/>
      </c>
      <c r="CX46" s="898" t="str">
        <f>IFERROR(IF(AND(S46="",S46&lt;&gt;""),1913,VLOOKUP(S46,Valid!$B$99:$J$120,9)),"")</f>
        <v/>
      </c>
      <c r="CY46" s="898" t="str">
        <f t="shared" ca="1" si="12"/>
        <v/>
      </c>
      <c r="CZ46" s="1547" t="str">
        <f t="shared" ref="CZ46:CZ77" ca="1" si="17">IF(OR(CY46="", W46="",W46=0), "", 1+ (-1*(CY46/W46)))</f>
        <v/>
      </c>
      <c r="DA46" s="898"/>
      <c r="DB46" s="898" t="str">
        <f t="shared" si="13"/>
        <v/>
      </c>
      <c r="DC46" s="898" t="str">
        <f t="shared" si="14"/>
        <v/>
      </c>
      <c r="DD46" s="1539" t="str">
        <f>IFERROR(IF(AND(AM46="",C46&lt;&gt;""),Valid!$E$123,VLOOKUP(AM46,Valid!$B$123:$F$125,4,FALSE)),"")</f>
        <v/>
      </c>
      <c r="DE46" s="1539" t="str">
        <f>IFERROR(IF(AND(AM46="",C46&lt;&gt;""),Valid!$F$123,VLOOKUP(AM46,Valid!$B$123:$F$125,5,FALSE)),"")</f>
        <v/>
      </c>
      <c r="DF46" s="1539" t="str">
        <f>IFERROR(VLOOKUP('A-70 RevVehInv'!S46,Valid!$B$99:$I$120,7), "")</f>
        <v/>
      </c>
      <c r="DG46" s="1539" t="str">
        <f>IFERROR(VLOOKUP(S46,Valid!$B$99:$I$120,8), "")</f>
        <v/>
      </c>
      <c r="DH46" s="1531"/>
    </row>
    <row r="47" spans="1:112" s="930" customFormat="1" x14ac:dyDescent="0.2">
      <c r="A47" s="206">
        <v>18</v>
      </c>
      <c r="B47" s="1530">
        <v>18</v>
      </c>
      <c r="C47" s="933"/>
      <c r="D47" s="719" t="str">
        <f>IF(C45="","",IF((C47=""),"Enter RVI ID. then Fill in Columns "&amp;TEXT($I$2,0)&amp;" - "&amp;TEXT($BA$2,0)&amp;"       ",""))</f>
        <v/>
      </c>
      <c r="E47" s="1056" t="str">
        <f>IF(BH47="N/A","",BH47)</f>
        <v/>
      </c>
      <c r="F47" s="1536"/>
      <c r="G47" s="1536"/>
      <c r="H47" s="1536"/>
      <c r="I47" s="1023"/>
      <c r="J47" s="1536" t="str">
        <f>IF(E47&lt;&gt;"","Vehicles?    ","")</f>
        <v/>
      </c>
      <c r="K47" s="1023"/>
      <c r="L47" s="1536" t="str">
        <f>IF(E47&lt;&gt;"","Active Vehicles?     ","")</f>
        <v/>
      </c>
      <c r="M47" s="1023"/>
      <c r="N47" s="1536" t="str">
        <f>IF(E47&lt;&gt;"","ADA Vehicles?       ","")</f>
        <v/>
      </c>
      <c r="O47" s="1023"/>
      <c r="P47" s="1536" t="str">
        <f>IF(E47&lt;&gt;"","Cont. Vehicles?     ","")</f>
        <v/>
      </c>
      <c r="Q47" s="1024"/>
      <c r="R47" s="894"/>
      <c r="S47" s="1153"/>
      <c r="T47" s="252" t="str">
        <f>IF(E47&lt;&gt;"","Select from Pull-Down List    ","")</f>
        <v/>
      </c>
      <c r="U47" s="933"/>
      <c r="V47" s="252" t="str">
        <f>IF(E47&lt;&gt;"","Select from Pull-Down List    ","")</f>
        <v/>
      </c>
      <c r="W47" s="1766" t="str">
        <f t="shared" si="9"/>
        <v/>
      </c>
      <c r="X47" s="252"/>
      <c r="Y47" s="1988"/>
      <c r="Z47" s="252" t="str">
        <f t="shared" si="10"/>
        <v/>
      </c>
      <c r="AA47" s="139"/>
      <c r="AB47" s="252" t="str">
        <f>IF(E47&lt;&gt;"","Mfg. Yr?    ","")</f>
        <v/>
      </c>
      <c r="AC47" s="1974" t="str">
        <f t="shared" si="15"/>
        <v/>
      </c>
      <c r="AD47" s="252"/>
      <c r="AE47" s="1986" t="str">
        <f t="shared" si="16"/>
        <v/>
      </c>
      <c r="AF47" s="252"/>
      <c r="AG47" s="933"/>
      <c r="AH47" s="252" t="str">
        <f>IF(E47&lt;&gt;"","Select from Pull-Down List    ","")</f>
        <v/>
      </c>
      <c r="AI47" s="933"/>
      <c r="AJ47" s="252" t="str">
        <f>IF(E47&lt;&gt;"","Number?   ","")</f>
        <v/>
      </c>
      <c r="AK47" s="139"/>
      <c r="AL47" s="252" t="str">
        <f>IF(E47&lt;&gt;"","Last Rnwl. Yr?   ","")</f>
        <v/>
      </c>
      <c r="AM47" s="933"/>
      <c r="AN47" s="252" t="str">
        <f>IF(E47&lt;&gt;"","Select from Pull-Down List    ","")</f>
        <v/>
      </c>
      <c r="AO47" s="933"/>
      <c r="AP47" s="252" t="str">
        <f>IF(E47&lt;&gt;"","Select from Pull-Down List    ","")</f>
        <v/>
      </c>
      <c r="AQ47" s="1023"/>
      <c r="AR47" s="252" t="str">
        <f>IF(E47&lt;&gt;"","Feet?    ","")</f>
        <v/>
      </c>
      <c r="AS47" s="1023"/>
      <c r="AT47" s="252" t="str">
        <f>IF(E47&lt;&gt;"","Seats?    ","")</f>
        <v/>
      </c>
      <c r="AU47" s="1023"/>
      <c r="AV47" s="252" t="str">
        <f>IF(E47&lt;&gt;"","Standing?    ","")</f>
        <v/>
      </c>
      <c r="AW47" s="1023"/>
      <c r="AX47" s="252" t="str">
        <f>IF(E47&lt;&gt;"","Mileage?       ","")</f>
        <v/>
      </c>
      <c r="AY47" s="1023"/>
      <c r="AZ47" s="252" t="str">
        <f>IF(E47&lt;&gt;"","Avg. Lifetime Mileage? ","")</f>
        <v/>
      </c>
      <c r="BA47" s="933"/>
      <c r="BB47" s="252" t="str">
        <f>IF(E47&lt;&gt;"","Select from Pull-Down List    ","")</f>
        <v/>
      </c>
      <c r="BC47" s="171"/>
      <c r="BD47" s="252" t="str">
        <f>IF(OR(AO47="OR - Other fuel (describe in Notes)",AG47="ZZZ - Other (describe in Notes)"),"Describe                                                                                                     ","")</f>
        <v/>
      </c>
      <c r="BE47" s="894"/>
      <c r="BF47" s="894"/>
      <c r="BG47" s="894" t="b">
        <f>IF(AND(C47="",C49&lt;&gt;""),TRUE,FALSE)</f>
        <v>0</v>
      </c>
      <c r="BH47" s="888" t="str">
        <f>IF(AND(C47&lt;&gt;"",OR(I47="",K47="",M47="",O47="",S47="",U47="",AA47="",AG47="",AI47="",AO47="",AQ47="",AS47="",AU47="",AW47="",AY47="")),"No",IF(AND(C47="",OR(I47&lt;&gt;"",K47&lt;&gt;"",M47&lt;&gt;"",O47&lt;&gt;"",S47&lt;&gt;"",U47&lt;&gt;"",AA47&lt;&gt;"",AG47&lt;&gt;"",AI47&lt;&gt;"",AK47&lt;&gt;"",AM47&lt;&gt;"",AO47&lt;&gt;"",AQ47&lt;&gt;"",AS47&lt;&gt;"",AU47&lt;&gt;"",AW47&lt;&gt;"",AY47&lt;&gt;"",BA47&lt;&gt;"",BC47&lt;&gt;"")),"No",IF(AND(C47="",I47="",K47="",M47="",O47="",S47="",U47="",AA47="",AG47="",AI47="",AK47="",AM47="",AO47="",AQ47="",AS47="",AU47="",AW47="",AY47="",BA47=""),"N/A","Yes")))</f>
        <v>N/A</v>
      </c>
      <c r="BI47" s="898"/>
      <c r="BJ47" s="899" t="b">
        <f>IF(AND(OR(I47&lt;&gt;"",K47&lt;&gt;"",M47&lt;&gt;"",O47&lt;&gt;"",S47&lt;&gt;"",U47&lt;&gt;"",AA47&lt;&gt;"",AG47&lt;&gt;"",AI47&lt;&gt;"",AK47&lt;&gt;"",AM47&lt;&gt;"",AO47&lt;&gt;"",AQ47&lt;&gt;"",AS47&lt;&gt;"",AW47&lt;&gt;"",AY47&lt;&gt;"",BA47&lt;&gt;"",BC47&lt;&gt;""),C47=""),TRUE,FALSE)</f>
        <v>0</v>
      </c>
      <c r="BK47" s="898" t="b">
        <f>IF(BL47=TRUE,FALSE,IF(SUM(K47,O47)&gt;I47,TRUE,FALSE))</f>
        <v>0</v>
      </c>
      <c r="BL47" s="899" t="b">
        <f>IF(AND(C47&lt;&gt;"",I47=""),TRUE,FALSE)</f>
        <v>0</v>
      </c>
      <c r="BM47" s="898" t="b">
        <f>IF(BN47=TRUE,FALSE,IF(M47&gt;K47,TRUE,FALSE))</f>
        <v>0</v>
      </c>
      <c r="BN47" s="899" t="b">
        <f>IF(AND($C47&lt;&gt;"",K47=""),TRUE,FALSE)</f>
        <v>0</v>
      </c>
      <c r="BO47" s="898"/>
      <c r="BP47" s="899" t="b">
        <f>IF(AND($C47&lt;&gt;"",M47=""),TRUE,FALSE)</f>
        <v>0</v>
      </c>
      <c r="BQ47" s="898"/>
      <c r="BR47" s="899" t="b">
        <f>IF(AND($C47&lt;&gt;"",O47=""),TRUE,FALSE)</f>
        <v>0</v>
      </c>
      <c r="BS47" s="898" t="b">
        <f>IF(AND(S47="",OR(U47&lt;&gt;"",AA47&lt;&gt;"",AG47&lt;&gt;"",AI47&lt;&gt;"",AK47&lt;&gt;"",AM47&lt;&gt;"",AO47&lt;&gt;"",AQ47&lt;&gt;"",AS47&lt;&gt;"",AU47&lt;&gt;"",AW47&lt;&gt;"",AY47&lt;&gt;"",BA47&lt;&gt;"")),TRUE,FALSE)</f>
        <v>0</v>
      </c>
      <c r="BT47" s="899" t="b">
        <f>IF(AND($C47&lt;&gt;"",S47=""),TRUE,FALSE)</f>
        <v>0</v>
      </c>
      <c r="BU47" s="898"/>
      <c r="BV47" s="899" t="b">
        <f>IF(AND($C47&lt;&gt;"",U47=""),TRUE,FALSE)</f>
        <v>0</v>
      </c>
      <c r="BW47" s="1537" t="b">
        <f>IF(BX47=TRUE,FALSE,IF(AA47="",FALSE,IF(OR(AA47&lt;CX47,AA47&gt;BaseYear),TRUE,FALSE)))</f>
        <v>0</v>
      </c>
      <c r="BX47" s="899" t="b">
        <f>IF(AND($C47&lt;&gt;"",AA47=""),TRUE,FALSE)</f>
        <v>0</v>
      </c>
      <c r="BY47" s="898"/>
      <c r="BZ47" s="899" t="b">
        <f>IF(AND($C47&lt;&gt;"",AG47=""),TRUE,FALSE)</f>
        <v>0</v>
      </c>
      <c r="CA47" s="898"/>
      <c r="CB47" s="899" t="b">
        <f>IF(AND($C47&lt;&gt;"",AI47=""),TRUE,FALSE)</f>
        <v>0</v>
      </c>
      <c r="CC47" s="1537" t="b">
        <f>IF(AK47="",FALSE,IF(OR(AK47&lt;CX47,AK47&gt;BaseYear),TRUE,FALSE))</f>
        <v>0</v>
      </c>
      <c r="CD47" s="1538" t="b">
        <f>IF(AK47="",FALSE,IF(AK47&lt;AA47,TRUE,FALSE))</f>
        <v>0</v>
      </c>
      <c r="CE47" s="899" t="b">
        <f>IF(AND($AM47&lt;&gt;"",AK47=""),TRUE,FALSE)</f>
        <v>0</v>
      </c>
      <c r="CF47" s="898"/>
      <c r="CG47" s="899" t="b">
        <f>IF(AND($AK47&lt;&gt;"",AM47=""),TRUE,FALSE)</f>
        <v>0</v>
      </c>
      <c r="CH47" s="898"/>
      <c r="CI47" s="899" t="b">
        <f>IF(AND($C47&lt;&gt;"",AO47=""),TRUE,FALSE)</f>
        <v>0</v>
      </c>
      <c r="CJ47" s="1537"/>
      <c r="CK47" s="899" t="b">
        <f>IF(AND($C47&lt;&gt;"",AQ47=""),TRUE,FALSE)</f>
        <v>0</v>
      </c>
      <c r="CL47" s="898"/>
      <c r="CM47" s="899" t="b">
        <f>IF(AND($C47&lt;&gt;"",AS47=""),TRUE,FALSE)</f>
        <v>0</v>
      </c>
      <c r="CN47" s="898"/>
      <c r="CO47" s="899" t="b">
        <f>IF(AND($C47&lt;&gt;"",AU47=""),TRUE,FALSE)</f>
        <v>0</v>
      </c>
      <c r="CP47" s="898"/>
      <c r="CQ47" s="899" t="b">
        <f>IF(AND($C47&lt;&gt;"",AW47=""),TRUE,FALSE)</f>
        <v>0</v>
      </c>
      <c r="CR47" s="898"/>
      <c r="CS47" s="899" t="b">
        <f>IF(AND($C47&lt;&gt;"",AY47=""),TRUE,FALSE)</f>
        <v>0</v>
      </c>
      <c r="CT47" s="898"/>
      <c r="CU47" s="898" t="b">
        <f>IF(AND($C47&lt;&gt;"",BA47=""),TRUE,FALSE)</f>
        <v>0</v>
      </c>
      <c r="CV47" s="894"/>
      <c r="CW47" s="898" t="str">
        <f t="shared" si="11"/>
        <v/>
      </c>
      <c r="CX47" s="898" t="str">
        <f>IFERROR(IF(AND(S47="",S47&lt;&gt;""),1913,VLOOKUP(S47,Valid!$B$99:$J$120,9)),"")</f>
        <v/>
      </c>
      <c r="CY47" s="898" t="str">
        <f t="shared" ca="1" si="12"/>
        <v/>
      </c>
      <c r="CZ47" s="1547" t="str">
        <f t="shared" ca="1" si="17"/>
        <v/>
      </c>
      <c r="DA47" s="898" t="str">
        <f ca="1">IF(CZ47="", "", IF(1+(CZ47*4)&lt;1, 1, 1+(CZ47*4)))</f>
        <v/>
      </c>
      <c r="DB47" s="898" t="str">
        <f t="shared" si="13"/>
        <v/>
      </c>
      <c r="DC47" s="898" t="str">
        <f t="shared" si="14"/>
        <v/>
      </c>
      <c r="DD47" s="1539" t="str">
        <f>IFERROR(IF(AND(AM47="",C47&lt;&gt;""),Valid!$E$123,VLOOKUP(AM47,Valid!$B$123:$F$125,4,FALSE)),"")</f>
        <v/>
      </c>
      <c r="DE47" s="1539" t="str">
        <f>IFERROR(IF(AND(AM47="",C47&lt;&gt;""),Valid!$F$123,VLOOKUP(AM47,Valid!$B$123:$F$125,5,FALSE)),"")</f>
        <v/>
      </c>
      <c r="DF47" s="1539" t="str">
        <f>IFERROR(VLOOKUP('A-70 RevVehInv'!S47,Valid!$B$99:$I$120,7), "")</f>
        <v/>
      </c>
      <c r="DG47" s="1539" t="str">
        <f>IFERROR(VLOOKUP(S47,Valid!$B$99:$I$120,8), "")</f>
        <v/>
      </c>
      <c r="DH47" s="894"/>
    </row>
    <row r="48" spans="1:112" ht="6.75" customHeight="1" x14ac:dyDescent="0.2">
      <c r="A48" s="1517"/>
      <c r="B48" s="1530">
        <v>18.5</v>
      </c>
      <c r="C48" s="1544"/>
      <c r="D48" s="905"/>
      <c r="E48" s="1545"/>
      <c r="F48" s="905"/>
      <c r="G48" s="905"/>
      <c r="H48" s="905"/>
      <c r="I48" s="1531"/>
      <c r="J48" s="905"/>
      <c r="K48" s="1531"/>
      <c r="L48" s="905"/>
      <c r="M48" s="1531"/>
      <c r="N48" s="905"/>
      <c r="O48" s="1531"/>
      <c r="P48" s="905"/>
      <c r="Q48" s="1531"/>
      <c r="R48" s="1531"/>
      <c r="S48" s="1533"/>
      <c r="T48" s="905"/>
      <c r="U48" s="1533"/>
      <c r="V48" s="905"/>
      <c r="W48" s="1531" t="str">
        <f t="shared" si="9"/>
        <v/>
      </c>
      <c r="X48" s="905"/>
      <c r="Y48" s="1531"/>
      <c r="Z48" s="252" t="str">
        <f t="shared" si="10"/>
        <v/>
      </c>
      <c r="AA48" s="1531"/>
      <c r="AB48" s="905"/>
      <c r="AC48" s="1971" t="str">
        <f t="shared" si="15"/>
        <v/>
      </c>
      <c r="AD48" s="905"/>
      <c r="AE48" s="1983" t="str">
        <f t="shared" si="16"/>
        <v/>
      </c>
      <c r="AF48" s="905"/>
      <c r="AG48" s="1546"/>
      <c r="AH48" s="1531"/>
      <c r="AI48" s="1531"/>
      <c r="AJ48" s="1531"/>
      <c r="AK48" s="1531"/>
      <c r="AL48" s="1531"/>
      <c r="AM48" s="1546"/>
      <c r="AN48" s="1531"/>
      <c r="AO48" s="1546"/>
      <c r="AP48" s="1531"/>
      <c r="AQ48" s="1531"/>
      <c r="AR48" s="1531"/>
      <c r="AS48" s="1531"/>
      <c r="AT48" s="1531"/>
      <c r="AU48" s="1531"/>
      <c r="AV48" s="1531"/>
      <c r="AW48" s="1531"/>
      <c r="AX48" s="1531"/>
      <c r="AY48" s="1531"/>
      <c r="AZ48" s="1531"/>
      <c r="BA48" s="1546"/>
      <c r="BB48" s="1531"/>
      <c r="BC48" s="1531"/>
      <c r="BD48" s="1531"/>
      <c r="BE48" s="1531"/>
      <c r="BF48" s="1531"/>
      <c r="BG48" s="1531"/>
      <c r="BH48" s="1531"/>
      <c r="BI48" s="1535"/>
      <c r="BJ48" s="1534"/>
      <c r="BK48" s="1535"/>
      <c r="BL48" s="1534"/>
      <c r="BM48" s="1535"/>
      <c r="BN48" s="1534"/>
      <c r="BO48" s="1535"/>
      <c r="BP48" s="1534"/>
      <c r="BQ48" s="1535"/>
      <c r="BR48" s="1534"/>
      <c r="BS48" s="1535"/>
      <c r="BT48" s="1534"/>
      <c r="BU48" s="1535"/>
      <c r="BV48" s="1534"/>
      <c r="BW48" s="1535"/>
      <c r="BX48" s="1534"/>
      <c r="BY48" s="1535"/>
      <c r="BZ48" s="1534"/>
      <c r="CA48" s="1535"/>
      <c r="CB48" s="1534"/>
      <c r="CC48" s="1535"/>
      <c r="CD48" s="1534"/>
      <c r="CE48" s="1534"/>
      <c r="CF48" s="1535"/>
      <c r="CG48" s="1534"/>
      <c r="CH48" s="1535"/>
      <c r="CI48" s="1534"/>
      <c r="CJ48" s="1535"/>
      <c r="CK48" s="1534"/>
      <c r="CL48" s="1535"/>
      <c r="CM48" s="1534"/>
      <c r="CN48" s="1535"/>
      <c r="CO48" s="1534"/>
      <c r="CP48" s="1535"/>
      <c r="CQ48" s="1534"/>
      <c r="CR48" s="1535"/>
      <c r="CS48" s="1534"/>
      <c r="CT48" s="1535"/>
      <c r="CU48" s="1535"/>
      <c r="CV48" s="1531"/>
      <c r="CW48" s="898" t="str">
        <f t="shared" si="11"/>
        <v/>
      </c>
      <c r="CX48" s="898" t="str">
        <f>IFERROR(IF(AND(S48="",S48&lt;&gt;""),1913,VLOOKUP(S48,Valid!$B$99:$J$120,9)),"")</f>
        <v/>
      </c>
      <c r="CY48" s="898" t="str">
        <f t="shared" ca="1" si="12"/>
        <v/>
      </c>
      <c r="CZ48" s="1547" t="str">
        <f t="shared" ca="1" si="17"/>
        <v/>
      </c>
      <c r="DA48" s="898"/>
      <c r="DB48" s="898" t="str">
        <f t="shared" si="13"/>
        <v/>
      </c>
      <c r="DC48" s="898" t="str">
        <f t="shared" si="14"/>
        <v/>
      </c>
      <c r="DD48" s="1539" t="str">
        <f>IFERROR(IF(AND(AM48="",C48&lt;&gt;""),Valid!$E$123,VLOOKUP(AM48,Valid!$B$123:$F$125,4,FALSE)),"")</f>
        <v/>
      </c>
      <c r="DE48" s="1539" t="str">
        <f>IFERROR(IF(AND(AM48="",C48&lt;&gt;""),Valid!$F$123,VLOOKUP(AM48,Valid!$B$123:$F$125,5,FALSE)),"")</f>
        <v/>
      </c>
      <c r="DF48" s="1539" t="str">
        <f>IFERROR(VLOOKUP('A-70 RevVehInv'!S48,Valid!$B$99:$I$120,7), "")</f>
        <v/>
      </c>
      <c r="DG48" s="1539" t="str">
        <f>IFERROR(VLOOKUP(S48,Valid!$B$99:$I$120,8), "")</f>
        <v/>
      </c>
      <c r="DH48" s="1531"/>
    </row>
    <row r="49" spans="1:112" s="930" customFormat="1" x14ac:dyDescent="0.2">
      <c r="A49" s="206">
        <v>19</v>
      </c>
      <c r="B49" s="1530">
        <v>19</v>
      </c>
      <c r="C49" s="933"/>
      <c r="D49" s="719" t="str">
        <f>IF(C47="","",IF((C49=""),"Enter RVI ID. then Fill in Columns "&amp;TEXT($I$2,0)&amp;" - "&amp;TEXT($BA$2,0)&amp;"       ",""))</f>
        <v/>
      </c>
      <c r="E49" s="1056" t="str">
        <f>IF(BH49="N/A","",BH49)</f>
        <v/>
      </c>
      <c r="F49" s="1536"/>
      <c r="G49" s="1536"/>
      <c r="H49" s="1536"/>
      <c r="I49" s="1023"/>
      <c r="J49" s="1536" t="str">
        <f>IF(E49&lt;&gt;"","Vehicles?    ","")</f>
        <v/>
      </c>
      <c r="K49" s="1023"/>
      <c r="L49" s="1536" t="str">
        <f>IF(E49&lt;&gt;"","Active Vehicles?     ","")</f>
        <v/>
      </c>
      <c r="M49" s="1023"/>
      <c r="N49" s="1536" t="str">
        <f>IF(E49&lt;&gt;"","ADA Vehicles?       ","")</f>
        <v/>
      </c>
      <c r="O49" s="1023"/>
      <c r="P49" s="1536" t="str">
        <f>IF(E49&lt;&gt;"","Cont. Vehicles?     ","")</f>
        <v/>
      </c>
      <c r="Q49" s="1024"/>
      <c r="R49" s="894"/>
      <c r="S49" s="1153"/>
      <c r="T49" s="252" t="str">
        <f>IF(E49&lt;&gt;"","Select from Pull-Down List    ","")</f>
        <v/>
      </c>
      <c r="U49" s="933"/>
      <c r="V49" s="252" t="str">
        <f>IF(E49&lt;&gt;"","Select from Pull-Down List    ","")</f>
        <v/>
      </c>
      <c r="W49" s="1766" t="str">
        <f t="shared" si="9"/>
        <v/>
      </c>
      <c r="X49" s="252"/>
      <c r="Y49" s="1988"/>
      <c r="Z49" s="252" t="str">
        <f t="shared" si="10"/>
        <v/>
      </c>
      <c r="AA49" s="139"/>
      <c r="AB49" s="252" t="str">
        <f>IF(E49&lt;&gt;"","Mfg. Yr?    ","")</f>
        <v/>
      </c>
      <c r="AC49" s="1974" t="str">
        <f t="shared" si="15"/>
        <v/>
      </c>
      <c r="AD49" s="252"/>
      <c r="AE49" s="1986" t="str">
        <f t="shared" si="16"/>
        <v/>
      </c>
      <c r="AF49" s="252"/>
      <c r="AG49" s="933"/>
      <c r="AH49" s="252" t="str">
        <f>IF(E49&lt;&gt;"","Select from Pull-Down List    ","")</f>
        <v/>
      </c>
      <c r="AI49" s="933"/>
      <c r="AJ49" s="252" t="str">
        <f>IF(E49&lt;&gt;"","Number?   ","")</f>
        <v/>
      </c>
      <c r="AK49" s="139"/>
      <c r="AL49" s="252" t="str">
        <f>IF(E49&lt;&gt;"","Last Rnwl. Yr?   ","")</f>
        <v/>
      </c>
      <c r="AM49" s="933"/>
      <c r="AN49" s="252" t="str">
        <f>IF(E49&lt;&gt;"","Select from Pull-Down List    ","")</f>
        <v/>
      </c>
      <c r="AO49" s="933"/>
      <c r="AP49" s="252" t="str">
        <f>IF(E49&lt;&gt;"","Select from Pull-Down List    ","")</f>
        <v/>
      </c>
      <c r="AQ49" s="1023"/>
      <c r="AR49" s="252" t="str">
        <f>IF(E49&lt;&gt;"","Feet?    ","")</f>
        <v/>
      </c>
      <c r="AS49" s="1023"/>
      <c r="AT49" s="252" t="str">
        <f>IF(E49&lt;&gt;"","Seats?    ","")</f>
        <v/>
      </c>
      <c r="AU49" s="1023"/>
      <c r="AV49" s="252" t="str">
        <f>IF(E49&lt;&gt;"","Standing?    ","")</f>
        <v/>
      </c>
      <c r="AW49" s="1023"/>
      <c r="AX49" s="252" t="str">
        <f>IF(E49&lt;&gt;"","Mileage?       ","")</f>
        <v/>
      </c>
      <c r="AY49" s="1023"/>
      <c r="AZ49" s="252" t="str">
        <f>IF(E49&lt;&gt;"","Avg. Lifetime Mileage? ","")</f>
        <v/>
      </c>
      <c r="BA49" s="933"/>
      <c r="BB49" s="252" t="str">
        <f>IF(E49&lt;&gt;"","Select from Pull-Down List    ","")</f>
        <v/>
      </c>
      <c r="BC49" s="171"/>
      <c r="BD49" s="252" t="str">
        <f>IF(OR(AO49="OR - Other fuel (describe in Notes)",AG49="ZZZ - Other (describe in Notes)"),"Describe                                                                                                     ","")</f>
        <v/>
      </c>
      <c r="BE49" s="894"/>
      <c r="BF49" s="894"/>
      <c r="BG49" s="894" t="b">
        <f>IF(AND(C49="",C51&lt;&gt;""),TRUE,FALSE)</f>
        <v>0</v>
      </c>
      <c r="BH49" s="888" t="str">
        <f>IF(AND(C49&lt;&gt;"",OR(I49="",K49="",M49="",O49="",S49="",U49="",AA49="",AG49="",AI49="",AO49="",AQ49="",AS49="",AU49="",AW49="",AY49="")),"No",IF(AND(C49="",OR(I49&lt;&gt;"",K49&lt;&gt;"",M49&lt;&gt;"",O49&lt;&gt;"",S49&lt;&gt;"",U49&lt;&gt;"",AA49&lt;&gt;"",AG49&lt;&gt;"",AI49&lt;&gt;"",AK49&lt;&gt;"",AM49&lt;&gt;"",AO49&lt;&gt;"",AQ49&lt;&gt;"",AS49&lt;&gt;"",AU49&lt;&gt;"",AW49&lt;&gt;"",AY49&lt;&gt;"",BA49&lt;&gt;"",BC49&lt;&gt;"")),"No",IF(AND(C49="",I49="",K49="",M49="",O49="",S49="",U49="",AA49="",AG49="",AI49="",AK49="",AM49="",AO49="",AQ49="",AS49="",AU49="",AW49="",AY49="",BA49=""),"N/A","Yes")))</f>
        <v>N/A</v>
      </c>
      <c r="BI49" s="898"/>
      <c r="BJ49" s="899" t="b">
        <f>IF(AND(OR(I49&lt;&gt;"",K49&lt;&gt;"",M49&lt;&gt;"",O49&lt;&gt;"",S49&lt;&gt;"",U49&lt;&gt;"",AA49&lt;&gt;"",AG49&lt;&gt;"",AI49&lt;&gt;"",AK49&lt;&gt;"",AM49&lt;&gt;"",AO49&lt;&gt;"",AQ49&lt;&gt;"",AS49&lt;&gt;"",AW49&lt;&gt;"",AY49&lt;&gt;"",BA49&lt;&gt;"",BC49&lt;&gt;""),C49=""),TRUE,FALSE)</f>
        <v>0</v>
      </c>
      <c r="BK49" s="898" t="b">
        <f>IF(BL49=TRUE,FALSE,IF(SUM(K49,O49)&gt;I49,TRUE,FALSE))</f>
        <v>0</v>
      </c>
      <c r="BL49" s="899" t="b">
        <f>IF(AND(C49&lt;&gt;"",I49=""),TRUE,FALSE)</f>
        <v>0</v>
      </c>
      <c r="BM49" s="898" t="b">
        <f>IF(BN49=TRUE,FALSE,IF(M49&gt;K49,TRUE,FALSE))</f>
        <v>0</v>
      </c>
      <c r="BN49" s="899" t="b">
        <f>IF(AND($C49&lt;&gt;"",K49=""),TRUE,FALSE)</f>
        <v>0</v>
      </c>
      <c r="BO49" s="898"/>
      <c r="BP49" s="899" t="b">
        <f>IF(AND($C49&lt;&gt;"",M49=""),TRUE,FALSE)</f>
        <v>0</v>
      </c>
      <c r="BQ49" s="898"/>
      <c r="BR49" s="899" t="b">
        <f>IF(AND($C49&lt;&gt;"",O49=""),TRUE,FALSE)</f>
        <v>0</v>
      </c>
      <c r="BS49" s="898" t="b">
        <f>IF(AND(S49="",OR(U49&lt;&gt;"",AA49&lt;&gt;"",AG49&lt;&gt;"",AI49&lt;&gt;"",AK49&lt;&gt;"",AM49&lt;&gt;"",AO49&lt;&gt;"",AQ49&lt;&gt;"",AS49&lt;&gt;"",AU49&lt;&gt;"",AW49&lt;&gt;"",AY49&lt;&gt;"",BA49&lt;&gt;"")),TRUE,FALSE)</f>
        <v>0</v>
      </c>
      <c r="BT49" s="899" t="b">
        <f>IF(AND($C49&lt;&gt;"",S49=""),TRUE,FALSE)</f>
        <v>0</v>
      </c>
      <c r="BU49" s="898"/>
      <c r="BV49" s="899" t="b">
        <f>IF(AND($C49&lt;&gt;"",U49=""),TRUE,FALSE)</f>
        <v>0</v>
      </c>
      <c r="BW49" s="1537" t="b">
        <f>IF(BX49=TRUE,FALSE,IF(AA49="",FALSE,IF(OR(AA49&lt;CX49,AA49&gt;BaseYear),TRUE,FALSE)))</f>
        <v>0</v>
      </c>
      <c r="BX49" s="899" t="b">
        <f>IF(AND($C49&lt;&gt;"",AA49=""),TRUE,FALSE)</f>
        <v>0</v>
      </c>
      <c r="BY49" s="898"/>
      <c r="BZ49" s="899" t="b">
        <f>IF(AND($C49&lt;&gt;"",AG49=""),TRUE,FALSE)</f>
        <v>0</v>
      </c>
      <c r="CA49" s="898"/>
      <c r="CB49" s="899" t="b">
        <f>IF(AND($C49&lt;&gt;"",AI49=""),TRUE,FALSE)</f>
        <v>0</v>
      </c>
      <c r="CC49" s="1537" t="b">
        <f>IF(AK49="",FALSE,IF(OR(AK49&lt;CX49,AK49&gt;BaseYear),TRUE,FALSE))</f>
        <v>0</v>
      </c>
      <c r="CD49" s="1538" t="b">
        <f>IF(AK49="",FALSE,IF(AK49&lt;AA49,TRUE,FALSE))</f>
        <v>0</v>
      </c>
      <c r="CE49" s="899" t="b">
        <f>IF(AND($AM49&lt;&gt;"",AK49=""),TRUE,FALSE)</f>
        <v>0</v>
      </c>
      <c r="CF49" s="898"/>
      <c r="CG49" s="899" t="b">
        <f>IF(AND($AK49&lt;&gt;"",AM49=""),TRUE,FALSE)</f>
        <v>0</v>
      </c>
      <c r="CH49" s="898"/>
      <c r="CI49" s="899" t="b">
        <f>IF(AND($C49&lt;&gt;"",AO49=""),TRUE,FALSE)</f>
        <v>0</v>
      </c>
      <c r="CJ49" s="1537"/>
      <c r="CK49" s="899" t="b">
        <f>IF(AND($C49&lt;&gt;"",AQ49=""),TRUE,FALSE)</f>
        <v>0</v>
      </c>
      <c r="CL49" s="898"/>
      <c r="CM49" s="899" t="b">
        <f>IF(AND($C49&lt;&gt;"",AS49=""),TRUE,FALSE)</f>
        <v>0</v>
      </c>
      <c r="CN49" s="898"/>
      <c r="CO49" s="899" t="b">
        <f>IF(AND($C49&lt;&gt;"",AU49=""),TRUE,FALSE)</f>
        <v>0</v>
      </c>
      <c r="CP49" s="898"/>
      <c r="CQ49" s="899" t="b">
        <f>IF(AND($C49&lt;&gt;"",AW49=""),TRUE,FALSE)</f>
        <v>0</v>
      </c>
      <c r="CR49" s="898"/>
      <c r="CS49" s="899" t="b">
        <f>IF(AND($C49&lt;&gt;"",AY49=""),TRUE,FALSE)</f>
        <v>0</v>
      </c>
      <c r="CT49" s="898"/>
      <c r="CU49" s="898" t="b">
        <f>IF(AND($C49&lt;&gt;"",BA49=""),TRUE,FALSE)</f>
        <v>0</v>
      </c>
      <c r="CV49" s="894"/>
      <c r="CW49" s="898" t="str">
        <f t="shared" si="11"/>
        <v/>
      </c>
      <c r="CX49" s="898" t="str">
        <f>IFERROR(IF(AND(S49="",S49&lt;&gt;""),1913,VLOOKUP(S49,Valid!$B$99:$J$120,9)),"")</f>
        <v/>
      </c>
      <c r="CY49" s="898" t="str">
        <f t="shared" ca="1" si="12"/>
        <v/>
      </c>
      <c r="CZ49" s="1547" t="str">
        <f t="shared" ca="1" si="17"/>
        <v/>
      </c>
      <c r="DA49" s="898" t="str">
        <f ca="1">IF(CZ49="", "", IF(1+(CZ49*4)&lt;1, 1, 1+(CZ49*4)))</f>
        <v/>
      </c>
      <c r="DB49" s="898" t="str">
        <f t="shared" si="13"/>
        <v/>
      </c>
      <c r="DC49" s="898" t="str">
        <f t="shared" si="14"/>
        <v/>
      </c>
      <c r="DD49" s="1539" t="str">
        <f>IFERROR(IF(AND(AM49="",C49&lt;&gt;""),Valid!$E$123,VLOOKUP(AM49,Valid!$B$123:$F$125,4,FALSE)),"")</f>
        <v/>
      </c>
      <c r="DE49" s="1539" t="str">
        <f>IFERROR(IF(AND(AM49="",C49&lt;&gt;""),Valid!$F$123,VLOOKUP(AM49,Valid!$B$123:$F$125,5,FALSE)),"")</f>
        <v/>
      </c>
      <c r="DF49" s="1539" t="str">
        <f>IFERROR(VLOOKUP('A-70 RevVehInv'!S49,Valid!$B$99:$I$120,7), "")</f>
        <v/>
      </c>
      <c r="DG49" s="1539" t="str">
        <f>IFERROR(VLOOKUP(S49,Valid!$B$99:$I$120,8), "")</f>
        <v/>
      </c>
      <c r="DH49" s="894"/>
    </row>
    <row r="50" spans="1:112" ht="6.75" customHeight="1" x14ac:dyDescent="0.2">
      <c r="A50" s="1517"/>
      <c r="B50" s="1530">
        <v>19.5</v>
      </c>
      <c r="C50" s="1540"/>
      <c r="D50" s="905"/>
      <c r="E50" s="1541"/>
      <c r="F50" s="905"/>
      <c r="G50" s="905"/>
      <c r="H50" s="905"/>
      <c r="I50" s="1534"/>
      <c r="J50" s="905"/>
      <c r="K50" s="1534"/>
      <c r="L50" s="905"/>
      <c r="M50" s="1534"/>
      <c r="N50" s="905"/>
      <c r="O50" s="1534"/>
      <c r="P50" s="905"/>
      <c r="Q50" s="1534"/>
      <c r="R50" s="1531"/>
      <c r="S50" s="1542"/>
      <c r="T50" s="905"/>
      <c r="U50" s="1542"/>
      <c r="V50" s="905"/>
      <c r="W50" s="1534" t="str">
        <f t="shared" si="9"/>
        <v/>
      </c>
      <c r="X50" s="905"/>
      <c r="Y50" s="1534"/>
      <c r="Z50" s="252" t="str">
        <f t="shared" si="10"/>
        <v/>
      </c>
      <c r="AA50" s="1534"/>
      <c r="AB50" s="905"/>
      <c r="AC50" s="1973" t="str">
        <f t="shared" si="15"/>
        <v/>
      </c>
      <c r="AD50" s="905"/>
      <c r="AE50" s="1985" t="str">
        <f t="shared" si="16"/>
        <v/>
      </c>
      <c r="AF50" s="905"/>
      <c r="AG50" s="1543"/>
      <c r="AH50" s="1531"/>
      <c r="AI50" s="1534"/>
      <c r="AJ50" s="1531"/>
      <c r="AK50" s="1534"/>
      <c r="AL50" s="1531"/>
      <c r="AM50" s="1543"/>
      <c r="AN50" s="1531"/>
      <c r="AO50" s="1543"/>
      <c r="AP50" s="1531"/>
      <c r="AQ50" s="1534"/>
      <c r="AR50" s="1531"/>
      <c r="AS50" s="1534"/>
      <c r="AT50" s="1531"/>
      <c r="AU50" s="1534"/>
      <c r="AV50" s="1531"/>
      <c r="AW50" s="1534"/>
      <c r="AX50" s="1531"/>
      <c r="AY50" s="1534"/>
      <c r="AZ50" s="1531"/>
      <c r="BA50" s="1543"/>
      <c r="BB50" s="1531"/>
      <c r="BC50" s="1534"/>
      <c r="BD50" s="1531"/>
      <c r="BE50" s="1531"/>
      <c r="BF50" s="1531"/>
      <c r="BG50" s="1531"/>
      <c r="BH50" s="1531"/>
      <c r="BI50" s="1535"/>
      <c r="BJ50" s="1534"/>
      <c r="BK50" s="1535"/>
      <c r="BL50" s="1534"/>
      <c r="BM50" s="1535"/>
      <c r="BN50" s="1534"/>
      <c r="BO50" s="1535"/>
      <c r="BP50" s="1534"/>
      <c r="BQ50" s="1535"/>
      <c r="BR50" s="1534"/>
      <c r="BS50" s="1535"/>
      <c r="BT50" s="1534"/>
      <c r="BU50" s="1535"/>
      <c r="BV50" s="1534"/>
      <c r="BW50" s="1535"/>
      <c r="BX50" s="1534"/>
      <c r="BY50" s="1535"/>
      <c r="BZ50" s="1534"/>
      <c r="CA50" s="1535"/>
      <c r="CB50" s="1534"/>
      <c r="CC50" s="1535"/>
      <c r="CD50" s="1534"/>
      <c r="CE50" s="1534"/>
      <c r="CF50" s="1535"/>
      <c r="CG50" s="1534"/>
      <c r="CH50" s="1535"/>
      <c r="CI50" s="1534"/>
      <c r="CJ50" s="1535"/>
      <c r="CK50" s="1534"/>
      <c r="CL50" s="1535"/>
      <c r="CM50" s="1534"/>
      <c r="CN50" s="1535"/>
      <c r="CO50" s="1534"/>
      <c r="CP50" s="1535"/>
      <c r="CQ50" s="1534"/>
      <c r="CR50" s="1535"/>
      <c r="CS50" s="1534"/>
      <c r="CT50" s="1535"/>
      <c r="CU50" s="1535"/>
      <c r="CV50" s="1531"/>
      <c r="CW50" s="898" t="str">
        <f t="shared" si="11"/>
        <v/>
      </c>
      <c r="CX50" s="898" t="str">
        <f>IFERROR(IF(AND(S50="",S50&lt;&gt;""),1913,VLOOKUP(S50,Valid!$B$99:$J$120,9)),"")</f>
        <v/>
      </c>
      <c r="CY50" s="898" t="str">
        <f t="shared" ca="1" si="12"/>
        <v/>
      </c>
      <c r="CZ50" s="1547" t="str">
        <f t="shared" ca="1" si="17"/>
        <v/>
      </c>
      <c r="DA50" s="898"/>
      <c r="DB50" s="898" t="str">
        <f t="shared" si="13"/>
        <v/>
      </c>
      <c r="DC50" s="898" t="str">
        <f t="shared" si="14"/>
        <v/>
      </c>
      <c r="DD50" s="1539" t="str">
        <f>IFERROR(IF(AND(AM50="",C50&lt;&gt;""),Valid!$E$123,VLOOKUP(AM50,Valid!$B$123:$F$125,4,FALSE)),"")</f>
        <v/>
      </c>
      <c r="DE50" s="1539" t="str">
        <f>IFERROR(IF(AND(AM50="",C50&lt;&gt;""),Valid!$F$123,VLOOKUP(AM50,Valid!$B$123:$F$125,5,FALSE)),"")</f>
        <v/>
      </c>
      <c r="DF50" s="1539" t="str">
        <f>IFERROR(VLOOKUP('A-70 RevVehInv'!S50,Valid!$B$99:$I$120,7), "")</f>
        <v/>
      </c>
      <c r="DG50" s="1539" t="str">
        <f>IFERROR(VLOOKUP(S50,Valid!$B$99:$I$120,8), "")</f>
        <v/>
      </c>
      <c r="DH50" s="1531"/>
    </row>
    <row r="51" spans="1:112" s="930" customFormat="1" x14ac:dyDescent="0.2">
      <c r="A51" s="206">
        <v>20</v>
      </c>
      <c r="B51" s="1530">
        <v>20</v>
      </c>
      <c r="C51" s="933"/>
      <c r="D51" s="719" t="str">
        <f>IF(C49="","",IF((C51=""),"Enter RVI ID. then Fill in Columns "&amp;TEXT($I$2,0)&amp;" - "&amp;TEXT($BA$2,0)&amp;"       ",""))</f>
        <v/>
      </c>
      <c r="E51" s="1056" t="str">
        <f>IF(BH51="N/A","",BH51)</f>
        <v/>
      </c>
      <c r="F51" s="1536"/>
      <c r="G51" s="1536"/>
      <c r="H51" s="1536"/>
      <c r="I51" s="1023"/>
      <c r="J51" s="1536" t="str">
        <f>IF(E51&lt;&gt;"","Vehicles?    ","")</f>
        <v/>
      </c>
      <c r="K51" s="1023"/>
      <c r="L51" s="1536" t="str">
        <f>IF(E51&lt;&gt;"","Active Vehicles?     ","")</f>
        <v/>
      </c>
      <c r="M51" s="1023"/>
      <c r="N51" s="1536" t="str">
        <f>IF(E51&lt;&gt;"","ADA Vehicles?       ","")</f>
        <v/>
      </c>
      <c r="O51" s="1023"/>
      <c r="P51" s="1536" t="str">
        <f>IF(E51&lt;&gt;"","Cont. Vehicles?     ","")</f>
        <v/>
      </c>
      <c r="Q51" s="1024"/>
      <c r="R51" s="894"/>
      <c r="S51" s="1153"/>
      <c r="T51" s="252" t="str">
        <f>IF(E51&lt;&gt;"","Select from Pull-Down List    ","")</f>
        <v/>
      </c>
      <c r="U51" s="933"/>
      <c r="V51" s="252" t="str">
        <f>IF(E51&lt;&gt;"","Select from Pull-Down List    ","")</f>
        <v/>
      </c>
      <c r="W51" s="1766" t="str">
        <f t="shared" si="9"/>
        <v/>
      </c>
      <c r="X51" s="252"/>
      <c r="Y51" s="1988"/>
      <c r="Z51" s="252" t="str">
        <f t="shared" si="10"/>
        <v/>
      </c>
      <c r="AA51" s="139"/>
      <c r="AB51" s="252" t="str">
        <f>IF(E51&lt;&gt;"","Mfg. Yr?    ","")</f>
        <v/>
      </c>
      <c r="AC51" s="1974" t="str">
        <f t="shared" si="15"/>
        <v/>
      </c>
      <c r="AD51" s="252"/>
      <c r="AE51" s="1986" t="str">
        <f t="shared" si="16"/>
        <v/>
      </c>
      <c r="AF51" s="252"/>
      <c r="AG51" s="933"/>
      <c r="AH51" s="252" t="str">
        <f>IF(E51&lt;&gt;"","Select from Pull-Down List    ","")</f>
        <v/>
      </c>
      <c r="AI51" s="933"/>
      <c r="AJ51" s="252" t="str">
        <f>IF(E51&lt;&gt;"","Number?   ","")</f>
        <v/>
      </c>
      <c r="AK51" s="139"/>
      <c r="AL51" s="252" t="str">
        <f>IF(E51&lt;&gt;"","Last Rnwl. Yr?   ","")</f>
        <v/>
      </c>
      <c r="AM51" s="933"/>
      <c r="AN51" s="252" t="str">
        <f>IF(E51&lt;&gt;"","Select from Pull-Down List    ","")</f>
        <v/>
      </c>
      <c r="AO51" s="933"/>
      <c r="AP51" s="252" t="str">
        <f>IF(E51&lt;&gt;"","Select from Pull-Down List    ","")</f>
        <v/>
      </c>
      <c r="AQ51" s="1023"/>
      <c r="AR51" s="252" t="str">
        <f>IF(E51&lt;&gt;"","Feet?    ","")</f>
        <v/>
      </c>
      <c r="AS51" s="1023"/>
      <c r="AT51" s="252" t="str">
        <f>IF(E51&lt;&gt;"","Seats?    ","")</f>
        <v/>
      </c>
      <c r="AU51" s="1023"/>
      <c r="AV51" s="252" t="str">
        <f>IF(E51&lt;&gt;"","Standing?    ","")</f>
        <v/>
      </c>
      <c r="AW51" s="1023"/>
      <c r="AX51" s="252" t="str">
        <f>IF(E51&lt;&gt;"","Mileage?       ","")</f>
        <v/>
      </c>
      <c r="AY51" s="1023"/>
      <c r="AZ51" s="252" t="str">
        <f>IF(E51&lt;&gt;"","Avg. Lifetime Mileage? ","")</f>
        <v/>
      </c>
      <c r="BA51" s="933"/>
      <c r="BB51" s="252" t="str">
        <f>IF(E51&lt;&gt;"","Select from Pull-Down List    ","")</f>
        <v/>
      </c>
      <c r="BC51" s="171"/>
      <c r="BD51" s="252" t="str">
        <f>IF(OR(AO51="OR - Other fuel (describe in Notes)",AG51="ZZZ - Other (describe in Notes)"),"Describe                                                                                                     ","")</f>
        <v/>
      </c>
      <c r="BE51" s="894"/>
      <c r="BF51" s="894"/>
      <c r="BG51" s="894" t="b">
        <f>IF(AND(C51="",C53&lt;&gt;""),TRUE,FALSE)</f>
        <v>0</v>
      </c>
      <c r="BH51" s="888" t="str">
        <f>IF(AND(C51&lt;&gt;"",OR(I51="",K51="",M51="",O51="",S51="",U51="",AA51="",AG51="",AI51="",AO51="",AQ51="",AS51="",AU51="",AW51="",AY51="")),"No",IF(AND(C51="",OR(I51&lt;&gt;"",K51&lt;&gt;"",M51&lt;&gt;"",O51&lt;&gt;"",S51&lt;&gt;"",U51&lt;&gt;"",AA51&lt;&gt;"",AG51&lt;&gt;"",AI51&lt;&gt;"",AK51&lt;&gt;"",AM51&lt;&gt;"",AO51&lt;&gt;"",AQ51&lt;&gt;"",AS51&lt;&gt;"",AU51&lt;&gt;"",AW51&lt;&gt;"",AY51&lt;&gt;"",BA51&lt;&gt;"",BC51&lt;&gt;"")),"No",IF(AND(C51="",I51="",K51="",M51="",O51="",S51="",U51="",AA51="",AG51="",AI51="",AK51="",AM51="",AO51="",AQ51="",AS51="",AU51="",AW51="",AY51="",BA51=""),"N/A","Yes")))</f>
        <v>N/A</v>
      </c>
      <c r="BI51" s="898"/>
      <c r="BJ51" s="899" t="b">
        <f>IF(AND(OR(I51&lt;&gt;"",K51&lt;&gt;"",M51&lt;&gt;"",O51&lt;&gt;"",S51&lt;&gt;"",U51&lt;&gt;"",AA51&lt;&gt;"",AG51&lt;&gt;"",AI51&lt;&gt;"",AK51&lt;&gt;"",AM51&lt;&gt;"",AO51&lt;&gt;"",AQ51&lt;&gt;"",AS51&lt;&gt;"",AW51&lt;&gt;"",AY51&lt;&gt;"",BA51&lt;&gt;"",BC51&lt;&gt;""),C51=""),TRUE,FALSE)</f>
        <v>0</v>
      </c>
      <c r="BK51" s="898" t="b">
        <f>IF(BL51=TRUE,FALSE,IF(SUM(K51,O51)&gt;I51,TRUE,FALSE))</f>
        <v>0</v>
      </c>
      <c r="BL51" s="899" t="b">
        <f>IF(AND(C51&lt;&gt;"",I51=""),TRUE,FALSE)</f>
        <v>0</v>
      </c>
      <c r="BM51" s="898" t="b">
        <f>IF(BN51=TRUE,FALSE,IF(M51&gt;K51,TRUE,FALSE))</f>
        <v>0</v>
      </c>
      <c r="BN51" s="899" t="b">
        <f>IF(AND($C51&lt;&gt;"",K51=""),TRUE,FALSE)</f>
        <v>0</v>
      </c>
      <c r="BO51" s="898"/>
      <c r="BP51" s="899" t="b">
        <f>IF(AND($C51&lt;&gt;"",M51=""),TRUE,FALSE)</f>
        <v>0</v>
      </c>
      <c r="BQ51" s="898"/>
      <c r="BR51" s="899" t="b">
        <f>IF(AND($C51&lt;&gt;"",O51=""),TRUE,FALSE)</f>
        <v>0</v>
      </c>
      <c r="BS51" s="898" t="b">
        <f>IF(AND(S51="",OR(U51&lt;&gt;"",AA51&lt;&gt;"",AG51&lt;&gt;"",AI51&lt;&gt;"",AK51&lt;&gt;"",AM51&lt;&gt;"",AO51&lt;&gt;"",AQ51&lt;&gt;"",AS51&lt;&gt;"",AU51&lt;&gt;"",AW51&lt;&gt;"",AY51&lt;&gt;"",BA51&lt;&gt;"")),TRUE,FALSE)</f>
        <v>0</v>
      </c>
      <c r="BT51" s="899" t="b">
        <f>IF(AND($C51&lt;&gt;"",S51=""),TRUE,FALSE)</f>
        <v>0</v>
      </c>
      <c r="BU51" s="898"/>
      <c r="BV51" s="899" t="b">
        <f>IF(AND($C51&lt;&gt;"",U51=""),TRUE,FALSE)</f>
        <v>0</v>
      </c>
      <c r="BW51" s="1537" t="b">
        <f>IF(BX51=TRUE,FALSE,IF(AA51="",FALSE,IF(OR(AA51&lt;CX51,AA51&gt;BaseYear),TRUE,FALSE)))</f>
        <v>0</v>
      </c>
      <c r="BX51" s="899" t="b">
        <f>IF(AND($C51&lt;&gt;"",AA51=""),TRUE,FALSE)</f>
        <v>0</v>
      </c>
      <c r="BY51" s="898"/>
      <c r="BZ51" s="899" t="b">
        <f>IF(AND($C51&lt;&gt;"",AG51=""),TRUE,FALSE)</f>
        <v>0</v>
      </c>
      <c r="CA51" s="898"/>
      <c r="CB51" s="899" t="b">
        <f>IF(AND($C51&lt;&gt;"",AI51=""),TRUE,FALSE)</f>
        <v>0</v>
      </c>
      <c r="CC51" s="1537" t="b">
        <f>IF(AK51="",FALSE,IF(OR(AK51&lt;CX51,AK51&gt;BaseYear),TRUE,FALSE))</f>
        <v>0</v>
      </c>
      <c r="CD51" s="1538" t="b">
        <f>IF(AK51="",FALSE,IF(AK51&lt;AA51,TRUE,FALSE))</f>
        <v>0</v>
      </c>
      <c r="CE51" s="899" t="b">
        <f>IF(AND($AM51&lt;&gt;"",AK51=""),TRUE,FALSE)</f>
        <v>0</v>
      </c>
      <c r="CF51" s="898"/>
      <c r="CG51" s="899" t="b">
        <f>IF(AND($AK51&lt;&gt;"",AM51=""),TRUE,FALSE)</f>
        <v>0</v>
      </c>
      <c r="CH51" s="898"/>
      <c r="CI51" s="899" t="b">
        <f>IF(AND($C51&lt;&gt;"",AO51=""),TRUE,FALSE)</f>
        <v>0</v>
      </c>
      <c r="CJ51" s="1537"/>
      <c r="CK51" s="899" t="b">
        <f>IF(AND($C51&lt;&gt;"",AQ51=""),TRUE,FALSE)</f>
        <v>0</v>
      </c>
      <c r="CL51" s="898"/>
      <c r="CM51" s="899" t="b">
        <f>IF(AND($C51&lt;&gt;"",AS51=""),TRUE,FALSE)</f>
        <v>0</v>
      </c>
      <c r="CN51" s="898"/>
      <c r="CO51" s="899" t="b">
        <f>IF(AND($C51&lt;&gt;"",AU51=""),TRUE,FALSE)</f>
        <v>0</v>
      </c>
      <c r="CP51" s="898"/>
      <c r="CQ51" s="899" t="b">
        <f>IF(AND($C51&lt;&gt;"",AW51=""),TRUE,FALSE)</f>
        <v>0</v>
      </c>
      <c r="CR51" s="898"/>
      <c r="CS51" s="899" t="b">
        <f>IF(AND($C51&lt;&gt;"",AY51=""),TRUE,FALSE)</f>
        <v>0</v>
      </c>
      <c r="CT51" s="898"/>
      <c r="CU51" s="898" t="b">
        <f>IF(AND($C51&lt;&gt;"",BA51=""),TRUE,FALSE)</f>
        <v>0</v>
      </c>
      <c r="CV51" s="894"/>
      <c r="CW51" s="898" t="str">
        <f t="shared" si="11"/>
        <v/>
      </c>
      <c r="CX51" s="898" t="str">
        <f>IFERROR(IF(AND(S51="",S51&lt;&gt;""),1913,VLOOKUP(S51,Valid!$B$99:$J$120,9)),"")</f>
        <v/>
      </c>
      <c r="CY51" s="898" t="str">
        <f t="shared" ca="1" si="12"/>
        <v/>
      </c>
      <c r="CZ51" s="1547" t="str">
        <f t="shared" ca="1" si="17"/>
        <v/>
      </c>
      <c r="DA51" s="898" t="str">
        <f ca="1">IF(CZ51="", "", IF(1+(CZ51*4)&lt;1, 1, 1+(CZ51*4)))</f>
        <v/>
      </c>
      <c r="DB51" s="898" t="str">
        <f t="shared" si="13"/>
        <v/>
      </c>
      <c r="DC51" s="898" t="str">
        <f t="shared" si="14"/>
        <v/>
      </c>
      <c r="DD51" s="1539" t="str">
        <f>IFERROR(IF(AND(AM51="",C51&lt;&gt;""),Valid!$E$123,VLOOKUP(AM51,Valid!$B$123:$F$125,4,FALSE)),"")</f>
        <v/>
      </c>
      <c r="DE51" s="1539" t="str">
        <f>IFERROR(IF(AND(AM51="",C51&lt;&gt;""),Valid!$F$123,VLOOKUP(AM51,Valid!$B$123:$F$125,5,FALSE)),"")</f>
        <v/>
      </c>
      <c r="DF51" s="1539" t="str">
        <f>IFERROR(VLOOKUP('A-70 RevVehInv'!S51,Valid!$B$99:$I$120,7), "")</f>
        <v/>
      </c>
      <c r="DG51" s="1539" t="str">
        <f>IFERROR(VLOOKUP(S51,Valid!$B$99:$I$120,8), "")</f>
        <v/>
      </c>
      <c r="DH51" s="894"/>
    </row>
    <row r="52" spans="1:112" ht="6.75" customHeight="1" x14ac:dyDescent="0.2">
      <c r="A52" s="1517"/>
      <c r="B52" s="1530">
        <v>20.5</v>
      </c>
      <c r="C52" s="1544"/>
      <c r="D52" s="905"/>
      <c r="E52" s="1545"/>
      <c r="F52" s="905"/>
      <c r="G52" s="905"/>
      <c r="H52" s="905"/>
      <c r="I52" s="1531"/>
      <c r="J52" s="905"/>
      <c r="K52" s="1531"/>
      <c r="L52" s="905"/>
      <c r="M52" s="1531"/>
      <c r="N52" s="905"/>
      <c r="O52" s="1531"/>
      <c r="P52" s="905"/>
      <c r="Q52" s="1531"/>
      <c r="R52" s="1531"/>
      <c r="S52" s="1533"/>
      <c r="T52" s="905"/>
      <c r="U52" s="1533"/>
      <c r="V52" s="905"/>
      <c r="W52" s="1531" t="str">
        <f t="shared" si="9"/>
        <v/>
      </c>
      <c r="X52" s="905"/>
      <c r="Y52" s="1531"/>
      <c r="Z52" s="252" t="str">
        <f t="shared" si="10"/>
        <v/>
      </c>
      <c r="AA52" s="1531"/>
      <c r="AB52" s="905"/>
      <c r="AC52" s="1971" t="str">
        <f t="shared" si="15"/>
        <v/>
      </c>
      <c r="AD52" s="905"/>
      <c r="AE52" s="1983" t="str">
        <f t="shared" si="16"/>
        <v/>
      </c>
      <c r="AF52" s="905"/>
      <c r="AG52" s="1546"/>
      <c r="AH52" s="1531"/>
      <c r="AI52" s="1531"/>
      <c r="AJ52" s="1531"/>
      <c r="AK52" s="1531"/>
      <c r="AL52" s="1531"/>
      <c r="AM52" s="1546"/>
      <c r="AN52" s="1531"/>
      <c r="AO52" s="1546"/>
      <c r="AP52" s="1531"/>
      <c r="AQ52" s="1531"/>
      <c r="AR52" s="1531"/>
      <c r="AS52" s="1531"/>
      <c r="AT52" s="1531"/>
      <c r="AU52" s="1531"/>
      <c r="AV52" s="1531"/>
      <c r="AW52" s="1531"/>
      <c r="AX52" s="1531"/>
      <c r="AY52" s="1531"/>
      <c r="AZ52" s="1531"/>
      <c r="BA52" s="1546"/>
      <c r="BB52" s="1531"/>
      <c r="BC52" s="1531"/>
      <c r="BD52" s="1531"/>
      <c r="BE52" s="1531"/>
      <c r="BF52" s="1531"/>
      <c r="BG52" s="1531"/>
      <c r="BH52" s="1531"/>
      <c r="BI52" s="1535"/>
      <c r="BJ52" s="1534"/>
      <c r="BK52" s="1535"/>
      <c r="BL52" s="1534"/>
      <c r="BM52" s="1535"/>
      <c r="BN52" s="1534"/>
      <c r="BO52" s="1535"/>
      <c r="BP52" s="1534"/>
      <c r="BQ52" s="1535"/>
      <c r="BR52" s="1534"/>
      <c r="BS52" s="1535"/>
      <c r="BT52" s="1534"/>
      <c r="BU52" s="1535"/>
      <c r="BV52" s="1534"/>
      <c r="BW52" s="1535"/>
      <c r="BX52" s="1534"/>
      <c r="BY52" s="1535"/>
      <c r="BZ52" s="1534"/>
      <c r="CA52" s="1535"/>
      <c r="CB52" s="1534"/>
      <c r="CC52" s="1535"/>
      <c r="CD52" s="1534"/>
      <c r="CE52" s="1534"/>
      <c r="CF52" s="1535"/>
      <c r="CG52" s="1534"/>
      <c r="CH52" s="1535"/>
      <c r="CI52" s="1534"/>
      <c r="CJ52" s="1535"/>
      <c r="CK52" s="1534"/>
      <c r="CL52" s="1535"/>
      <c r="CM52" s="1534"/>
      <c r="CN52" s="1535"/>
      <c r="CO52" s="1534"/>
      <c r="CP52" s="1535"/>
      <c r="CQ52" s="1534"/>
      <c r="CR52" s="1535"/>
      <c r="CS52" s="1534"/>
      <c r="CT52" s="1535"/>
      <c r="CU52" s="1535"/>
      <c r="CV52" s="1531"/>
      <c r="CW52" s="898" t="str">
        <f t="shared" si="11"/>
        <v/>
      </c>
      <c r="CX52" s="898" t="str">
        <f>IFERROR(IF(AND(S52="",S52&lt;&gt;""),1913,VLOOKUP(S52,Valid!$B$99:$J$120,9)),"")</f>
        <v/>
      </c>
      <c r="CY52" s="898" t="str">
        <f t="shared" ca="1" si="12"/>
        <v/>
      </c>
      <c r="CZ52" s="1547" t="str">
        <f t="shared" ca="1" si="17"/>
        <v/>
      </c>
      <c r="DA52" s="898"/>
      <c r="DB52" s="898" t="str">
        <f t="shared" si="13"/>
        <v/>
      </c>
      <c r="DC52" s="898" t="str">
        <f t="shared" si="14"/>
        <v/>
      </c>
      <c r="DD52" s="1539" t="str">
        <f>IFERROR(IF(AND(AM52="",C52&lt;&gt;""),Valid!$E$123,VLOOKUP(AM52,Valid!$B$123:$F$125,4,FALSE)),"")</f>
        <v/>
      </c>
      <c r="DE52" s="1539" t="str">
        <f>IFERROR(IF(AND(AM52="",C52&lt;&gt;""),Valid!$F$123,VLOOKUP(AM52,Valid!$B$123:$F$125,5,FALSE)),"")</f>
        <v/>
      </c>
      <c r="DF52" s="1539" t="str">
        <f>IFERROR(VLOOKUP('A-70 RevVehInv'!S52,Valid!$B$99:$I$120,7), "")</f>
        <v/>
      </c>
      <c r="DG52" s="1539" t="str">
        <f>IFERROR(VLOOKUP(S52,Valid!$B$99:$I$120,8), "")</f>
        <v/>
      </c>
      <c r="DH52" s="1531"/>
    </row>
    <row r="53" spans="1:112" s="930" customFormat="1" x14ac:dyDescent="0.2">
      <c r="A53" s="206">
        <v>21</v>
      </c>
      <c r="B53" s="1530">
        <v>21</v>
      </c>
      <c r="C53" s="933"/>
      <c r="D53" s="719" t="str">
        <f>IF(C51="","",IF((C53=""),"Enter RVI ID. then Fill in Columns "&amp;TEXT($I$2,0)&amp;" - "&amp;TEXT($BA$2,0)&amp;"       ",""))</f>
        <v/>
      </c>
      <c r="E53" s="1056" t="str">
        <f>IF(BH53="N/A","",BH53)</f>
        <v/>
      </c>
      <c r="F53" s="1536"/>
      <c r="G53" s="1536"/>
      <c r="H53" s="1536"/>
      <c r="I53" s="1023"/>
      <c r="J53" s="1536" t="str">
        <f>IF(E53&lt;&gt;"","Vehicles?    ","")</f>
        <v/>
      </c>
      <c r="K53" s="1023"/>
      <c r="L53" s="1536" t="str">
        <f>IF(E53&lt;&gt;"","Active Vehicles?     ","")</f>
        <v/>
      </c>
      <c r="M53" s="1023"/>
      <c r="N53" s="1536" t="str">
        <f>IF(E53&lt;&gt;"","ADA Vehicles?       ","")</f>
        <v/>
      </c>
      <c r="O53" s="1023"/>
      <c r="P53" s="1536" t="str">
        <f>IF(E53&lt;&gt;"","Cont. Vehicles?     ","")</f>
        <v/>
      </c>
      <c r="Q53" s="1024"/>
      <c r="R53" s="894"/>
      <c r="S53" s="1153"/>
      <c r="T53" s="252" t="str">
        <f>IF(E53&lt;&gt;"","Select from Pull-Down List    ","")</f>
        <v/>
      </c>
      <c r="U53" s="933"/>
      <c r="V53" s="252" t="str">
        <f>IF(E53&lt;&gt;"","Select from Pull-Down List    ","")</f>
        <v/>
      </c>
      <c r="W53" s="1766" t="str">
        <f t="shared" si="9"/>
        <v/>
      </c>
      <c r="X53" s="252"/>
      <c r="Y53" s="1988"/>
      <c r="Z53" s="252" t="str">
        <f t="shared" si="10"/>
        <v/>
      </c>
      <c r="AA53" s="139"/>
      <c r="AB53" s="252" t="str">
        <f>IF(E53&lt;&gt;"","Mfg. Yr?    ","")</f>
        <v/>
      </c>
      <c r="AC53" s="1974" t="str">
        <f t="shared" si="15"/>
        <v/>
      </c>
      <c r="AD53" s="252"/>
      <c r="AE53" s="1986" t="str">
        <f t="shared" si="16"/>
        <v/>
      </c>
      <c r="AF53" s="252"/>
      <c r="AG53" s="933"/>
      <c r="AH53" s="252" t="str">
        <f>IF(E53&lt;&gt;"","Select from Pull-Down List    ","")</f>
        <v/>
      </c>
      <c r="AI53" s="933"/>
      <c r="AJ53" s="252" t="str">
        <f>IF(E53&lt;&gt;"","Number?   ","")</f>
        <v/>
      </c>
      <c r="AK53" s="139"/>
      <c r="AL53" s="252" t="str">
        <f>IF(E53&lt;&gt;"","Last Rnwl. Yr?   ","")</f>
        <v/>
      </c>
      <c r="AM53" s="933"/>
      <c r="AN53" s="252" t="str">
        <f>IF(E53&lt;&gt;"","Select from Pull-Down List    ","")</f>
        <v/>
      </c>
      <c r="AO53" s="933"/>
      <c r="AP53" s="252" t="str">
        <f>IF(E53&lt;&gt;"","Select from Pull-Down List    ","")</f>
        <v/>
      </c>
      <c r="AQ53" s="1023"/>
      <c r="AR53" s="252" t="str">
        <f>IF(E53&lt;&gt;"","Feet?    ","")</f>
        <v/>
      </c>
      <c r="AS53" s="1023"/>
      <c r="AT53" s="252" t="str">
        <f>IF(E53&lt;&gt;"","Seats?    ","")</f>
        <v/>
      </c>
      <c r="AU53" s="1023"/>
      <c r="AV53" s="252" t="str">
        <f>IF(E53&lt;&gt;"","Standing?    ","")</f>
        <v/>
      </c>
      <c r="AW53" s="1023"/>
      <c r="AX53" s="252" t="str">
        <f>IF(E53&lt;&gt;"","Mileage?       ","")</f>
        <v/>
      </c>
      <c r="AY53" s="1023"/>
      <c r="AZ53" s="252" t="str">
        <f>IF(E53&lt;&gt;"","Avg. Lifetime Mileage? ","")</f>
        <v/>
      </c>
      <c r="BA53" s="933"/>
      <c r="BB53" s="252" t="str">
        <f>IF(E53&lt;&gt;"","Select from Pull-Down List    ","")</f>
        <v/>
      </c>
      <c r="BC53" s="171"/>
      <c r="BD53" s="252" t="str">
        <f>IF(OR(AO53="OR - Other fuel (describe in Notes)",AG53="ZZZ - Other (describe in Notes)"),"Describe                                                                                                     ","")</f>
        <v/>
      </c>
      <c r="BE53" s="894"/>
      <c r="BF53" s="894"/>
      <c r="BG53" s="894" t="b">
        <f>IF(AND(C53="",C55&lt;&gt;""),TRUE,FALSE)</f>
        <v>0</v>
      </c>
      <c r="BH53" s="888" t="str">
        <f>IF(AND(C53&lt;&gt;"",OR(I53="",K53="",M53="",O53="",S53="",U53="",AA53="",AG53="",AI53="",AO53="",AQ53="",AS53="",AU53="",AW53="",AY53="")),"No",IF(AND(C53="",OR(I53&lt;&gt;"",K53&lt;&gt;"",M53&lt;&gt;"",O53&lt;&gt;"",S53&lt;&gt;"",U53&lt;&gt;"",AA53&lt;&gt;"",AG53&lt;&gt;"",AI53&lt;&gt;"",AK53&lt;&gt;"",AM53&lt;&gt;"",AO53&lt;&gt;"",AQ53&lt;&gt;"",AS53&lt;&gt;"",AU53&lt;&gt;"",AW53&lt;&gt;"",AY53&lt;&gt;"",BA53&lt;&gt;"",BC53&lt;&gt;"")),"No",IF(AND(C53="",I53="",K53="",M53="",O53="",S53="",U53="",AA53="",AG53="",AI53="",AK53="",AM53="",AO53="",AQ53="",AS53="",AU53="",AW53="",AY53="",BA53=""),"N/A","Yes")))</f>
        <v>N/A</v>
      </c>
      <c r="BI53" s="898"/>
      <c r="BJ53" s="899" t="b">
        <f>IF(AND(OR(I53&lt;&gt;"",K53&lt;&gt;"",M53&lt;&gt;"",O53&lt;&gt;"",S53&lt;&gt;"",U53&lt;&gt;"",AA53&lt;&gt;"",AG53&lt;&gt;"",AI53&lt;&gt;"",AK53&lt;&gt;"",AM53&lt;&gt;"",AO53&lt;&gt;"",AQ53&lt;&gt;"",AS53&lt;&gt;"",AW53&lt;&gt;"",AY53&lt;&gt;"",BA53&lt;&gt;"",BC53&lt;&gt;""),C53=""),TRUE,FALSE)</f>
        <v>0</v>
      </c>
      <c r="BK53" s="898" t="b">
        <f>IF(BL53=TRUE,FALSE,IF(SUM(K53,O53)&gt;I53,TRUE,FALSE))</f>
        <v>0</v>
      </c>
      <c r="BL53" s="899" t="b">
        <f>IF(AND(C53&lt;&gt;"",I53=""),TRUE,FALSE)</f>
        <v>0</v>
      </c>
      <c r="BM53" s="898" t="b">
        <f>IF(BN53=TRUE,FALSE,IF(M53&gt;K53,TRUE,FALSE))</f>
        <v>0</v>
      </c>
      <c r="BN53" s="899" t="b">
        <f>IF(AND($C53&lt;&gt;"",K53=""),TRUE,FALSE)</f>
        <v>0</v>
      </c>
      <c r="BO53" s="898"/>
      <c r="BP53" s="899" t="b">
        <f>IF(AND($C53&lt;&gt;"",M53=""),TRUE,FALSE)</f>
        <v>0</v>
      </c>
      <c r="BQ53" s="898"/>
      <c r="BR53" s="899" t="b">
        <f>IF(AND($C53&lt;&gt;"",O53=""),TRUE,FALSE)</f>
        <v>0</v>
      </c>
      <c r="BS53" s="898" t="b">
        <f>IF(AND(S53="",OR(U53&lt;&gt;"",AA53&lt;&gt;"",AG53&lt;&gt;"",AI53&lt;&gt;"",AK53&lt;&gt;"",AM53&lt;&gt;"",AO53&lt;&gt;"",AQ53&lt;&gt;"",AS53&lt;&gt;"",AU53&lt;&gt;"",AW53&lt;&gt;"",AY53&lt;&gt;"",BA53&lt;&gt;"")),TRUE,FALSE)</f>
        <v>0</v>
      </c>
      <c r="BT53" s="899" t="b">
        <f>IF(AND($C53&lt;&gt;"",S53=""),TRUE,FALSE)</f>
        <v>0</v>
      </c>
      <c r="BU53" s="898"/>
      <c r="BV53" s="899" t="b">
        <f>IF(AND($C53&lt;&gt;"",U53=""),TRUE,FALSE)</f>
        <v>0</v>
      </c>
      <c r="BW53" s="1537" t="b">
        <f>IF(BX53=TRUE,FALSE,IF(AA53="",FALSE,IF(OR(AA53&lt;CX53,AA53&gt;BaseYear),TRUE,FALSE)))</f>
        <v>0</v>
      </c>
      <c r="BX53" s="899" t="b">
        <f>IF(AND($C53&lt;&gt;"",AA53=""),TRUE,FALSE)</f>
        <v>0</v>
      </c>
      <c r="BY53" s="898"/>
      <c r="BZ53" s="899" t="b">
        <f>IF(AND($C53&lt;&gt;"",AG53=""),TRUE,FALSE)</f>
        <v>0</v>
      </c>
      <c r="CA53" s="898"/>
      <c r="CB53" s="899" t="b">
        <f>IF(AND($C53&lt;&gt;"",AI53=""),TRUE,FALSE)</f>
        <v>0</v>
      </c>
      <c r="CC53" s="1537" t="b">
        <f>IF(AK53="",FALSE,IF(OR(AK53&lt;CX53,AK53&gt;BaseYear),TRUE,FALSE))</f>
        <v>0</v>
      </c>
      <c r="CD53" s="1538" t="b">
        <f>IF(AK53="",FALSE,IF(AK53&lt;AA53,TRUE,FALSE))</f>
        <v>0</v>
      </c>
      <c r="CE53" s="899" t="b">
        <f>IF(AND($AM53&lt;&gt;"",AK53=""),TRUE,FALSE)</f>
        <v>0</v>
      </c>
      <c r="CF53" s="898"/>
      <c r="CG53" s="899" t="b">
        <f>IF(AND($AK53&lt;&gt;"",AM53=""),TRUE,FALSE)</f>
        <v>0</v>
      </c>
      <c r="CH53" s="898"/>
      <c r="CI53" s="899" t="b">
        <f>IF(AND($C53&lt;&gt;"",AO53=""),TRUE,FALSE)</f>
        <v>0</v>
      </c>
      <c r="CJ53" s="1537"/>
      <c r="CK53" s="899" t="b">
        <f>IF(AND($C53&lt;&gt;"",AQ53=""),TRUE,FALSE)</f>
        <v>0</v>
      </c>
      <c r="CL53" s="898"/>
      <c r="CM53" s="899" t="b">
        <f>IF(AND($C53&lt;&gt;"",AS53=""),TRUE,FALSE)</f>
        <v>0</v>
      </c>
      <c r="CN53" s="898"/>
      <c r="CO53" s="899" t="b">
        <f>IF(AND($C53&lt;&gt;"",AU53=""),TRUE,FALSE)</f>
        <v>0</v>
      </c>
      <c r="CP53" s="898"/>
      <c r="CQ53" s="899" t="b">
        <f>IF(AND($C53&lt;&gt;"",AW53=""),TRUE,FALSE)</f>
        <v>0</v>
      </c>
      <c r="CR53" s="898"/>
      <c r="CS53" s="899" t="b">
        <f>IF(AND($C53&lt;&gt;"",AY53=""),TRUE,FALSE)</f>
        <v>0</v>
      </c>
      <c r="CT53" s="898"/>
      <c r="CU53" s="898" t="b">
        <f>IF(AND($C53&lt;&gt;"",BA53=""),TRUE,FALSE)</f>
        <v>0</v>
      </c>
      <c r="CV53" s="894"/>
      <c r="CW53" s="898" t="str">
        <f t="shared" si="11"/>
        <v/>
      </c>
      <c r="CX53" s="898" t="str">
        <f>IFERROR(IF(AND(S53="",S53&lt;&gt;""),1913,VLOOKUP(S53,Valid!$B$99:$J$120,9)),"")</f>
        <v/>
      </c>
      <c r="CY53" s="898" t="str">
        <f t="shared" ca="1" si="12"/>
        <v/>
      </c>
      <c r="CZ53" s="1547" t="str">
        <f t="shared" ca="1" si="17"/>
        <v/>
      </c>
      <c r="DA53" s="898" t="str">
        <f ca="1">IF(CZ53="", "", IF(1+(CZ53*4)&lt;1, 1, 1+(CZ53*4)))</f>
        <v/>
      </c>
      <c r="DB53" s="898" t="str">
        <f t="shared" si="13"/>
        <v/>
      </c>
      <c r="DC53" s="898" t="str">
        <f t="shared" si="14"/>
        <v/>
      </c>
      <c r="DD53" s="1539" t="str">
        <f>IFERROR(IF(AND(AM53="",C53&lt;&gt;""),Valid!$E$123,VLOOKUP(AM53,Valid!$B$123:$F$125,4,FALSE)),"")</f>
        <v/>
      </c>
      <c r="DE53" s="1539" t="str">
        <f>IFERROR(IF(AND(AM53="",C53&lt;&gt;""),Valid!$F$123,VLOOKUP(AM53,Valid!$B$123:$F$125,5,FALSE)),"")</f>
        <v/>
      </c>
      <c r="DF53" s="1539" t="str">
        <f>IFERROR(VLOOKUP('A-70 RevVehInv'!S53,Valid!$B$99:$I$120,7), "")</f>
        <v/>
      </c>
      <c r="DG53" s="1539" t="str">
        <f>IFERROR(VLOOKUP(S53,Valid!$B$99:$I$120,8), "")</f>
        <v/>
      </c>
      <c r="DH53" s="894"/>
    </row>
    <row r="54" spans="1:112" ht="6.75" customHeight="1" x14ac:dyDescent="0.2">
      <c r="A54" s="1516"/>
      <c r="B54" s="1530">
        <v>21.5</v>
      </c>
      <c r="C54" s="1540"/>
      <c r="D54" s="905"/>
      <c r="E54" s="1541"/>
      <c r="F54" s="905"/>
      <c r="G54" s="905"/>
      <c r="H54" s="905"/>
      <c r="I54" s="1534"/>
      <c r="J54" s="905"/>
      <c r="K54" s="1534"/>
      <c r="L54" s="905"/>
      <c r="M54" s="1534"/>
      <c r="N54" s="905"/>
      <c r="O54" s="1534"/>
      <c r="P54" s="905"/>
      <c r="Q54" s="1534"/>
      <c r="R54" s="1531"/>
      <c r="S54" s="1542"/>
      <c r="T54" s="905"/>
      <c r="U54" s="1542"/>
      <c r="V54" s="905"/>
      <c r="W54" s="1534" t="str">
        <f t="shared" si="9"/>
        <v/>
      </c>
      <c r="X54" s="905"/>
      <c r="Y54" s="1534"/>
      <c r="Z54" s="252" t="str">
        <f t="shared" si="10"/>
        <v/>
      </c>
      <c r="AA54" s="1534"/>
      <c r="AB54" s="905"/>
      <c r="AC54" s="1973" t="str">
        <f t="shared" si="15"/>
        <v/>
      </c>
      <c r="AD54" s="905"/>
      <c r="AE54" s="1985" t="str">
        <f t="shared" si="16"/>
        <v/>
      </c>
      <c r="AF54" s="905"/>
      <c r="AG54" s="1543"/>
      <c r="AH54" s="1531"/>
      <c r="AI54" s="1534"/>
      <c r="AJ54" s="1531"/>
      <c r="AK54" s="1534"/>
      <c r="AL54" s="1531"/>
      <c r="AM54" s="1543"/>
      <c r="AN54" s="1531"/>
      <c r="AO54" s="1543"/>
      <c r="AP54" s="1531"/>
      <c r="AQ54" s="1534"/>
      <c r="AR54" s="1531"/>
      <c r="AS54" s="1534"/>
      <c r="AT54" s="1531"/>
      <c r="AU54" s="1534"/>
      <c r="AV54" s="1531"/>
      <c r="AW54" s="1534"/>
      <c r="AX54" s="1531"/>
      <c r="AY54" s="1534"/>
      <c r="AZ54" s="1531"/>
      <c r="BA54" s="1543"/>
      <c r="BB54" s="1531"/>
      <c r="BC54" s="1534"/>
      <c r="BD54" s="1531"/>
      <c r="BE54" s="1531"/>
      <c r="BF54" s="1531"/>
      <c r="BG54" s="1531"/>
      <c r="BH54" s="1531"/>
      <c r="BI54" s="1535"/>
      <c r="BJ54" s="1534"/>
      <c r="BK54" s="1535"/>
      <c r="BL54" s="1534"/>
      <c r="BM54" s="1535"/>
      <c r="BN54" s="1534"/>
      <c r="BO54" s="1535"/>
      <c r="BP54" s="1534"/>
      <c r="BQ54" s="1535"/>
      <c r="BR54" s="1534"/>
      <c r="BS54" s="1535"/>
      <c r="BT54" s="1534"/>
      <c r="BU54" s="1535"/>
      <c r="BV54" s="1534"/>
      <c r="BW54" s="1535"/>
      <c r="BX54" s="1534"/>
      <c r="BY54" s="1535"/>
      <c r="BZ54" s="1534"/>
      <c r="CA54" s="1535"/>
      <c r="CB54" s="1534"/>
      <c r="CC54" s="1535"/>
      <c r="CD54" s="1534"/>
      <c r="CE54" s="1534"/>
      <c r="CF54" s="1535"/>
      <c r="CG54" s="1534"/>
      <c r="CH54" s="1535"/>
      <c r="CI54" s="1534"/>
      <c r="CJ54" s="1535"/>
      <c r="CK54" s="1534"/>
      <c r="CL54" s="1535"/>
      <c r="CM54" s="1534"/>
      <c r="CN54" s="1535"/>
      <c r="CO54" s="1534"/>
      <c r="CP54" s="1535"/>
      <c r="CQ54" s="1534"/>
      <c r="CR54" s="1535"/>
      <c r="CS54" s="1534"/>
      <c r="CT54" s="1535"/>
      <c r="CU54" s="1535"/>
      <c r="CV54" s="1531"/>
      <c r="CW54" s="898" t="str">
        <f t="shared" si="11"/>
        <v/>
      </c>
      <c r="CX54" s="898" t="str">
        <f>IFERROR(IF(AND(S54="",S54&lt;&gt;""),1913,VLOOKUP(S54,Valid!$B$99:$J$120,9)),"")</f>
        <v/>
      </c>
      <c r="CY54" s="898" t="str">
        <f t="shared" ca="1" si="12"/>
        <v/>
      </c>
      <c r="CZ54" s="1547" t="str">
        <f t="shared" ca="1" si="17"/>
        <v/>
      </c>
      <c r="DA54" s="898"/>
      <c r="DB54" s="898" t="str">
        <f t="shared" si="13"/>
        <v/>
      </c>
      <c r="DC54" s="898" t="str">
        <f t="shared" si="14"/>
        <v/>
      </c>
      <c r="DD54" s="1539" t="str">
        <f>IFERROR(IF(AND(AM54="",C54&lt;&gt;""),Valid!$E$123,VLOOKUP(AM54,Valid!$B$123:$F$125,4,FALSE)),"")</f>
        <v/>
      </c>
      <c r="DE54" s="1539" t="str">
        <f>IFERROR(IF(AND(AM54="",C54&lt;&gt;""),Valid!$F$123,VLOOKUP(AM54,Valid!$B$123:$F$125,5,FALSE)),"")</f>
        <v/>
      </c>
      <c r="DF54" s="1539" t="str">
        <f>IFERROR(VLOOKUP('A-70 RevVehInv'!S54,Valid!$B$99:$I$120,7), "")</f>
        <v/>
      </c>
      <c r="DG54" s="1539" t="str">
        <f>IFERROR(VLOOKUP(S54,Valid!$B$99:$I$120,8), "")</f>
        <v/>
      </c>
      <c r="DH54" s="1531"/>
    </row>
    <row r="55" spans="1:112" s="930" customFormat="1" x14ac:dyDescent="0.2">
      <c r="A55" s="206">
        <v>22</v>
      </c>
      <c r="B55" s="1530">
        <v>22</v>
      </c>
      <c r="C55" s="933"/>
      <c r="D55" s="719" t="str">
        <f>IF(C53="","",IF((C55=""),"Enter RVI ID. then Fill in Columns "&amp;TEXT($I$2,0)&amp;" - "&amp;TEXT($BA$2,0)&amp;"       ",""))</f>
        <v/>
      </c>
      <c r="E55" s="1056" t="str">
        <f>IF(BH55="N/A","",BH55)</f>
        <v/>
      </c>
      <c r="F55" s="1536"/>
      <c r="G55" s="1536"/>
      <c r="H55" s="1536"/>
      <c r="I55" s="1023"/>
      <c r="J55" s="1536" t="str">
        <f>IF(E55&lt;&gt;"","Vehicles?    ","")</f>
        <v/>
      </c>
      <c r="K55" s="1023"/>
      <c r="L55" s="1536" t="str">
        <f>IF(E55&lt;&gt;"","Active Vehicles?     ","")</f>
        <v/>
      </c>
      <c r="M55" s="1023"/>
      <c r="N55" s="1536" t="str">
        <f>IF(E55&lt;&gt;"","ADA Vehicles?       ","")</f>
        <v/>
      </c>
      <c r="O55" s="1023"/>
      <c r="P55" s="1536" t="str">
        <f>IF(E55&lt;&gt;"","Cont. Vehicles?     ","")</f>
        <v/>
      </c>
      <c r="Q55" s="1024"/>
      <c r="R55" s="894"/>
      <c r="S55" s="1153"/>
      <c r="T55" s="252" t="str">
        <f>IF(E55&lt;&gt;"","Select from Pull-Down List    ","")</f>
        <v/>
      </c>
      <c r="U55" s="933"/>
      <c r="V55" s="252" t="str">
        <f>IF(E55&lt;&gt;"","Select from Pull-Down List    ","")</f>
        <v/>
      </c>
      <c r="W55" s="1766" t="str">
        <f t="shared" si="9"/>
        <v/>
      </c>
      <c r="X55" s="252"/>
      <c r="Y55" s="1988"/>
      <c r="Z55" s="252" t="str">
        <f t="shared" si="10"/>
        <v/>
      </c>
      <c r="AA55" s="139"/>
      <c r="AB55" s="252" t="str">
        <f>IF(E55&lt;&gt;"","Mfg. Yr?    ","")</f>
        <v/>
      </c>
      <c r="AC55" s="1974" t="str">
        <f t="shared" si="15"/>
        <v/>
      </c>
      <c r="AD55" s="252"/>
      <c r="AE55" s="1986" t="str">
        <f t="shared" si="16"/>
        <v/>
      </c>
      <c r="AF55" s="252"/>
      <c r="AG55" s="933"/>
      <c r="AH55" s="252" t="str">
        <f>IF(E55&lt;&gt;"","Select from Pull-Down List    ","")</f>
        <v/>
      </c>
      <c r="AI55" s="933"/>
      <c r="AJ55" s="252" t="str">
        <f>IF(E55&lt;&gt;"","Number?   ","")</f>
        <v/>
      </c>
      <c r="AK55" s="139"/>
      <c r="AL55" s="252" t="str">
        <f>IF(E55&lt;&gt;"","Last Rnwl. Yr?   ","")</f>
        <v/>
      </c>
      <c r="AM55" s="933"/>
      <c r="AN55" s="252" t="str">
        <f>IF(E55&lt;&gt;"","Select from Pull-Down List    ","")</f>
        <v/>
      </c>
      <c r="AO55" s="933"/>
      <c r="AP55" s="252" t="str">
        <f>IF(E55&lt;&gt;"","Select from Pull-Down List    ","")</f>
        <v/>
      </c>
      <c r="AQ55" s="1023"/>
      <c r="AR55" s="252" t="str">
        <f>IF(E55&lt;&gt;"","Feet?    ","")</f>
        <v/>
      </c>
      <c r="AS55" s="1023"/>
      <c r="AT55" s="252" t="str">
        <f>IF(E55&lt;&gt;"","Seats?    ","")</f>
        <v/>
      </c>
      <c r="AU55" s="1023"/>
      <c r="AV55" s="252" t="str">
        <f>IF(E55&lt;&gt;"","Standing?    ","")</f>
        <v/>
      </c>
      <c r="AW55" s="1023"/>
      <c r="AX55" s="252" t="str">
        <f>IF(E55&lt;&gt;"","Mileage?       ","")</f>
        <v/>
      </c>
      <c r="AY55" s="1023"/>
      <c r="AZ55" s="252" t="str">
        <f>IF(E55&lt;&gt;"","Avg. Lifetime Mileage? ","")</f>
        <v/>
      </c>
      <c r="BA55" s="933"/>
      <c r="BB55" s="252" t="str">
        <f>IF(E55&lt;&gt;"","Select from Pull-Down List    ","")</f>
        <v/>
      </c>
      <c r="BC55" s="171"/>
      <c r="BD55" s="252" t="str">
        <f>IF(OR(AO55="OR - Other fuel (describe in Notes)",AG55="ZZZ - Other (describe in Notes)"),"Describe                                                                                                     ","")</f>
        <v/>
      </c>
      <c r="BE55" s="894"/>
      <c r="BF55" s="894"/>
      <c r="BG55" s="894" t="b">
        <f>IF(AND(C55="",C57&lt;&gt;""),TRUE,FALSE)</f>
        <v>0</v>
      </c>
      <c r="BH55" s="888" t="str">
        <f>IF(AND(C55&lt;&gt;"",OR(I55="",K55="",M55="",O55="",S55="",U55="",AA55="",AG55="",AI55="",AO55="",AQ55="",AS55="",AU55="",AW55="",AY55="")),"No",IF(AND(C55="",OR(I55&lt;&gt;"",K55&lt;&gt;"",M55&lt;&gt;"",O55&lt;&gt;"",S55&lt;&gt;"",U55&lt;&gt;"",AA55&lt;&gt;"",AG55&lt;&gt;"",AI55&lt;&gt;"",AK55&lt;&gt;"",AM55&lt;&gt;"",AO55&lt;&gt;"",AQ55&lt;&gt;"",AS55&lt;&gt;"",AU55&lt;&gt;"",AW55&lt;&gt;"",AY55&lt;&gt;"",BA55&lt;&gt;"",BC55&lt;&gt;"")),"No",IF(AND(C55="",I55="",K55="",M55="",O55="",S55="",U55="",AA55="",AG55="",AI55="",AK55="",AM55="",AO55="",AQ55="",AS55="",AU55="",AW55="",AY55="",BA55=""),"N/A","Yes")))</f>
        <v>N/A</v>
      </c>
      <c r="BI55" s="898"/>
      <c r="BJ55" s="899" t="b">
        <f>IF(AND(OR(I55&lt;&gt;"",K55&lt;&gt;"",M55&lt;&gt;"",O55&lt;&gt;"",S55&lt;&gt;"",U55&lt;&gt;"",AA55&lt;&gt;"",AG55&lt;&gt;"",AI55&lt;&gt;"",AK55&lt;&gt;"",AM55&lt;&gt;"",AO55&lt;&gt;"",AQ55&lt;&gt;"",AS55&lt;&gt;"",AW55&lt;&gt;"",AY55&lt;&gt;"",BA55&lt;&gt;"",BC55&lt;&gt;""),C55=""),TRUE,FALSE)</f>
        <v>0</v>
      </c>
      <c r="BK55" s="898" t="b">
        <f>IF(BL55=TRUE,FALSE,IF(SUM(K55,O55)&gt;I55,TRUE,FALSE))</f>
        <v>0</v>
      </c>
      <c r="BL55" s="899" t="b">
        <f>IF(AND(C55&lt;&gt;"",I55=""),TRUE,FALSE)</f>
        <v>0</v>
      </c>
      <c r="BM55" s="898" t="b">
        <f>IF(BN55=TRUE,FALSE,IF(M55&gt;K55,TRUE,FALSE))</f>
        <v>0</v>
      </c>
      <c r="BN55" s="899" t="b">
        <f>IF(AND($C55&lt;&gt;"",K55=""),TRUE,FALSE)</f>
        <v>0</v>
      </c>
      <c r="BO55" s="898"/>
      <c r="BP55" s="899" t="b">
        <f>IF(AND($C55&lt;&gt;"",M55=""),TRUE,FALSE)</f>
        <v>0</v>
      </c>
      <c r="BQ55" s="898"/>
      <c r="BR55" s="899" t="b">
        <f>IF(AND($C55&lt;&gt;"",O55=""),TRUE,FALSE)</f>
        <v>0</v>
      </c>
      <c r="BS55" s="898" t="b">
        <f>IF(AND(S55="",OR(U55&lt;&gt;"",AA55&lt;&gt;"",AG55&lt;&gt;"",AI55&lt;&gt;"",AK55&lt;&gt;"",AM55&lt;&gt;"",AO55&lt;&gt;"",AQ55&lt;&gt;"",AS55&lt;&gt;"",AU55&lt;&gt;"",AW55&lt;&gt;"",AY55&lt;&gt;"",BA55&lt;&gt;"")),TRUE,FALSE)</f>
        <v>0</v>
      </c>
      <c r="BT55" s="899" t="b">
        <f>IF(AND($C55&lt;&gt;"",S55=""),TRUE,FALSE)</f>
        <v>0</v>
      </c>
      <c r="BU55" s="898"/>
      <c r="BV55" s="899" t="b">
        <f>IF(AND($C55&lt;&gt;"",U55=""),TRUE,FALSE)</f>
        <v>0</v>
      </c>
      <c r="BW55" s="1537" t="b">
        <f>IF(BX55=TRUE,FALSE,IF(AA55="",FALSE,IF(OR(AA55&lt;CX55,AA55&gt;BaseYear),TRUE,FALSE)))</f>
        <v>0</v>
      </c>
      <c r="BX55" s="899" t="b">
        <f>IF(AND($C55&lt;&gt;"",AA55=""),TRUE,FALSE)</f>
        <v>0</v>
      </c>
      <c r="BY55" s="898"/>
      <c r="BZ55" s="899" t="b">
        <f>IF(AND($C55&lt;&gt;"",AG55=""),TRUE,FALSE)</f>
        <v>0</v>
      </c>
      <c r="CA55" s="898"/>
      <c r="CB55" s="899" t="b">
        <f>IF(AND($C55&lt;&gt;"",AI55=""),TRUE,FALSE)</f>
        <v>0</v>
      </c>
      <c r="CC55" s="1537" t="b">
        <f>IF(AK55="",FALSE,IF(OR(AK55&lt;CX55,AK55&gt;BaseYear),TRUE,FALSE))</f>
        <v>0</v>
      </c>
      <c r="CD55" s="1538" t="b">
        <f>IF(AK55="",FALSE,IF(AK55&lt;AA55,TRUE,FALSE))</f>
        <v>0</v>
      </c>
      <c r="CE55" s="899" t="b">
        <f>IF(AND($AM55&lt;&gt;"",AK55=""),TRUE,FALSE)</f>
        <v>0</v>
      </c>
      <c r="CF55" s="898"/>
      <c r="CG55" s="899" t="b">
        <f>IF(AND($AK55&lt;&gt;"",AM55=""),TRUE,FALSE)</f>
        <v>0</v>
      </c>
      <c r="CH55" s="898"/>
      <c r="CI55" s="899" t="b">
        <f>IF(AND($C55&lt;&gt;"",AO55=""),TRUE,FALSE)</f>
        <v>0</v>
      </c>
      <c r="CJ55" s="1537"/>
      <c r="CK55" s="899" t="b">
        <f>IF(AND($C55&lt;&gt;"",AQ55=""),TRUE,FALSE)</f>
        <v>0</v>
      </c>
      <c r="CL55" s="898"/>
      <c r="CM55" s="899" t="b">
        <f>IF(AND($C55&lt;&gt;"",AS55=""),TRUE,FALSE)</f>
        <v>0</v>
      </c>
      <c r="CN55" s="898"/>
      <c r="CO55" s="899" t="b">
        <f>IF(AND($C55&lt;&gt;"",AU55=""),TRUE,FALSE)</f>
        <v>0</v>
      </c>
      <c r="CP55" s="898"/>
      <c r="CQ55" s="899" t="b">
        <f>IF(AND($C55&lt;&gt;"",AW55=""),TRUE,FALSE)</f>
        <v>0</v>
      </c>
      <c r="CR55" s="898"/>
      <c r="CS55" s="899" t="b">
        <f>IF(AND($C55&lt;&gt;"",AY55=""),TRUE,FALSE)</f>
        <v>0</v>
      </c>
      <c r="CT55" s="898"/>
      <c r="CU55" s="898" t="b">
        <f>IF(AND($C55&lt;&gt;"",BA55=""),TRUE,FALSE)</f>
        <v>0</v>
      </c>
      <c r="CV55" s="894"/>
      <c r="CW55" s="898" t="str">
        <f t="shared" si="11"/>
        <v/>
      </c>
      <c r="CX55" s="898" t="str">
        <f>IFERROR(IF(AND(S55="",S55&lt;&gt;""),1913,VLOOKUP(S55,Valid!$B$99:$J$120,9)),"")</f>
        <v/>
      </c>
      <c r="CY55" s="898" t="str">
        <f t="shared" ca="1" si="12"/>
        <v/>
      </c>
      <c r="CZ55" s="1547" t="str">
        <f t="shared" ca="1" si="17"/>
        <v/>
      </c>
      <c r="DA55" s="898" t="str">
        <f ca="1">IF(CZ55="", "", IF(1+(CZ55*4)&lt;1, 1, 1+(CZ55*4)))</f>
        <v/>
      </c>
      <c r="DB55" s="898" t="str">
        <f t="shared" si="13"/>
        <v/>
      </c>
      <c r="DC55" s="898" t="str">
        <f t="shared" si="14"/>
        <v/>
      </c>
      <c r="DD55" s="1539" t="str">
        <f>IFERROR(IF(AND(AM55="",C55&lt;&gt;""),Valid!$E$123,VLOOKUP(AM55,Valid!$B$123:$F$125,4,FALSE)),"")</f>
        <v/>
      </c>
      <c r="DE55" s="1539" t="str">
        <f>IFERROR(IF(AND(AM55="",C55&lt;&gt;""),Valid!$F$123,VLOOKUP(AM55,Valid!$B$123:$F$125,5,FALSE)),"")</f>
        <v/>
      </c>
      <c r="DF55" s="1539" t="str">
        <f>IFERROR(VLOOKUP('A-70 RevVehInv'!S55,Valid!$B$99:$I$120,7), "")</f>
        <v/>
      </c>
      <c r="DG55" s="1539" t="str">
        <f>IFERROR(VLOOKUP(S55,Valid!$B$99:$I$120,8), "")</f>
        <v/>
      </c>
      <c r="DH55" s="894"/>
    </row>
    <row r="56" spans="1:112" ht="6.75" customHeight="1" x14ac:dyDescent="0.2">
      <c r="A56" s="1516"/>
      <c r="B56" s="1530">
        <v>22.5</v>
      </c>
      <c r="C56" s="1544"/>
      <c r="D56" s="905"/>
      <c r="E56" s="1545"/>
      <c r="F56" s="905"/>
      <c r="G56" s="905"/>
      <c r="H56" s="905"/>
      <c r="I56" s="1531"/>
      <c r="J56" s="905"/>
      <c r="K56" s="1531"/>
      <c r="L56" s="905"/>
      <c r="M56" s="1531"/>
      <c r="N56" s="905"/>
      <c r="O56" s="1531"/>
      <c r="P56" s="905"/>
      <c r="Q56" s="1531"/>
      <c r="R56" s="1531"/>
      <c r="S56" s="1533"/>
      <c r="T56" s="905"/>
      <c r="U56" s="1533"/>
      <c r="V56" s="905"/>
      <c r="W56" s="1531" t="str">
        <f t="shared" si="9"/>
        <v/>
      </c>
      <c r="X56" s="905"/>
      <c r="Y56" s="1531"/>
      <c r="Z56" s="252" t="str">
        <f t="shared" si="10"/>
        <v/>
      </c>
      <c r="AA56" s="1531"/>
      <c r="AB56" s="905"/>
      <c r="AC56" s="1971" t="str">
        <f t="shared" si="15"/>
        <v/>
      </c>
      <c r="AD56" s="905"/>
      <c r="AE56" s="1983" t="str">
        <f t="shared" si="16"/>
        <v/>
      </c>
      <c r="AF56" s="905"/>
      <c r="AG56" s="1546"/>
      <c r="AH56" s="1531"/>
      <c r="AI56" s="1531"/>
      <c r="AJ56" s="1531"/>
      <c r="AK56" s="1531"/>
      <c r="AL56" s="1531"/>
      <c r="AM56" s="1546"/>
      <c r="AN56" s="1531"/>
      <c r="AO56" s="1546"/>
      <c r="AP56" s="1531"/>
      <c r="AQ56" s="1531"/>
      <c r="AR56" s="1531"/>
      <c r="AS56" s="1531"/>
      <c r="AT56" s="1531"/>
      <c r="AU56" s="1531"/>
      <c r="AV56" s="1531"/>
      <c r="AW56" s="1531"/>
      <c r="AX56" s="1531"/>
      <c r="AY56" s="1531"/>
      <c r="AZ56" s="1531"/>
      <c r="BA56" s="1546"/>
      <c r="BB56" s="1531"/>
      <c r="BC56" s="1531"/>
      <c r="BD56" s="1531"/>
      <c r="BE56" s="1531"/>
      <c r="BF56" s="1531"/>
      <c r="BG56" s="1531"/>
      <c r="BH56" s="1531"/>
      <c r="BI56" s="1535"/>
      <c r="BJ56" s="1534"/>
      <c r="BK56" s="1535"/>
      <c r="BL56" s="1534"/>
      <c r="BM56" s="1535"/>
      <c r="BN56" s="1534"/>
      <c r="BO56" s="1535"/>
      <c r="BP56" s="1534"/>
      <c r="BQ56" s="1535"/>
      <c r="BR56" s="1534"/>
      <c r="BS56" s="1535"/>
      <c r="BT56" s="1534"/>
      <c r="BU56" s="1535"/>
      <c r="BV56" s="1534"/>
      <c r="BW56" s="1535"/>
      <c r="BX56" s="1534"/>
      <c r="BY56" s="1535"/>
      <c r="BZ56" s="1534"/>
      <c r="CA56" s="1535"/>
      <c r="CB56" s="1534"/>
      <c r="CC56" s="1535"/>
      <c r="CD56" s="1534"/>
      <c r="CE56" s="1534"/>
      <c r="CF56" s="1535"/>
      <c r="CG56" s="1534"/>
      <c r="CH56" s="1535"/>
      <c r="CI56" s="1534"/>
      <c r="CJ56" s="1535"/>
      <c r="CK56" s="1534"/>
      <c r="CL56" s="1535"/>
      <c r="CM56" s="1534"/>
      <c r="CN56" s="1535"/>
      <c r="CO56" s="1534"/>
      <c r="CP56" s="1535"/>
      <c r="CQ56" s="1534"/>
      <c r="CR56" s="1535"/>
      <c r="CS56" s="1534"/>
      <c r="CT56" s="1535"/>
      <c r="CU56" s="1535"/>
      <c r="CV56" s="1531"/>
      <c r="CW56" s="898" t="str">
        <f t="shared" si="11"/>
        <v/>
      </c>
      <c r="CX56" s="898" t="str">
        <f>IFERROR(IF(AND(S56="",S56&lt;&gt;""),1913,VLOOKUP(S56,Valid!$B$99:$J$120,9)),"")</f>
        <v/>
      </c>
      <c r="CY56" s="898" t="str">
        <f t="shared" ca="1" si="12"/>
        <v/>
      </c>
      <c r="CZ56" s="1547" t="str">
        <f t="shared" ca="1" si="17"/>
        <v/>
      </c>
      <c r="DA56" s="898"/>
      <c r="DB56" s="898" t="str">
        <f t="shared" si="13"/>
        <v/>
      </c>
      <c r="DC56" s="898" t="str">
        <f t="shared" si="14"/>
        <v/>
      </c>
      <c r="DD56" s="1539" t="str">
        <f>IFERROR(IF(AND(AM56="",C56&lt;&gt;""),Valid!$E$123,VLOOKUP(AM56,Valid!$B$123:$F$125,4,FALSE)),"")</f>
        <v/>
      </c>
      <c r="DE56" s="1539" t="str">
        <f>IFERROR(IF(AND(AM56="",C56&lt;&gt;""),Valid!$F$123,VLOOKUP(AM56,Valid!$B$123:$F$125,5,FALSE)),"")</f>
        <v/>
      </c>
      <c r="DF56" s="1539" t="str">
        <f>IFERROR(VLOOKUP('A-70 RevVehInv'!S56,Valid!$B$99:$I$120,7), "")</f>
        <v/>
      </c>
      <c r="DG56" s="1539" t="str">
        <f>IFERROR(VLOOKUP(S56,Valid!$B$99:$I$120,8), "")</f>
        <v/>
      </c>
      <c r="DH56" s="1531"/>
    </row>
    <row r="57" spans="1:112" s="930" customFormat="1" x14ac:dyDescent="0.2">
      <c r="A57" s="206">
        <v>23</v>
      </c>
      <c r="B57" s="1530">
        <v>23</v>
      </c>
      <c r="C57" s="933"/>
      <c r="D57" s="719" t="str">
        <f>IF(C55="","",IF((C57=""),"Enter RVI ID. then Fill in Columns "&amp;TEXT($I$2,0)&amp;" - "&amp;TEXT($BA$2,0)&amp;"       ",""))</f>
        <v/>
      </c>
      <c r="E57" s="1056" t="str">
        <f>IF(BH57="N/A","",BH57)</f>
        <v/>
      </c>
      <c r="F57" s="1536"/>
      <c r="G57" s="1536"/>
      <c r="H57" s="1536"/>
      <c r="I57" s="1023"/>
      <c r="J57" s="1536" t="str">
        <f>IF(E57&lt;&gt;"","Vehicles?    ","")</f>
        <v/>
      </c>
      <c r="K57" s="1023"/>
      <c r="L57" s="1536" t="str">
        <f>IF(E57&lt;&gt;"","Active Vehicles?     ","")</f>
        <v/>
      </c>
      <c r="M57" s="1023"/>
      <c r="N57" s="1536" t="str">
        <f>IF(E57&lt;&gt;"","ADA Vehicles?       ","")</f>
        <v/>
      </c>
      <c r="O57" s="1023"/>
      <c r="P57" s="1536" t="str">
        <f>IF(E57&lt;&gt;"","Cont. Vehicles?     ","")</f>
        <v/>
      </c>
      <c r="Q57" s="1024"/>
      <c r="R57" s="894"/>
      <c r="S57" s="1153"/>
      <c r="T57" s="252" t="str">
        <f>IF(E57&lt;&gt;"","Select from Pull-Down List    ","")</f>
        <v/>
      </c>
      <c r="U57" s="933"/>
      <c r="V57" s="252" t="str">
        <f>IF(E57&lt;&gt;"","Select from Pull-Down List    ","")</f>
        <v/>
      </c>
      <c r="W57" s="1766" t="str">
        <f t="shared" si="9"/>
        <v/>
      </c>
      <c r="X57" s="252"/>
      <c r="Y57" s="1988"/>
      <c r="Z57" s="252" t="str">
        <f t="shared" si="10"/>
        <v/>
      </c>
      <c r="AA57" s="139"/>
      <c r="AB57" s="252" t="str">
        <f>IF(E57&lt;&gt;"","Mfg. Yr?    ","")</f>
        <v/>
      </c>
      <c r="AC57" s="1974" t="str">
        <f t="shared" si="15"/>
        <v/>
      </c>
      <c r="AD57" s="252"/>
      <c r="AE57" s="1986" t="str">
        <f t="shared" si="16"/>
        <v/>
      </c>
      <c r="AF57" s="252"/>
      <c r="AG57" s="933"/>
      <c r="AH57" s="252" t="str">
        <f>IF(E57&lt;&gt;"","Select from Pull-Down List    ","")</f>
        <v/>
      </c>
      <c r="AI57" s="933"/>
      <c r="AJ57" s="252" t="str">
        <f>IF(E57&lt;&gt;"","Number?   ","")</f>
        <v/>
      </c>
      <c r="AK57" s="139"/>
      <c r="AL57" s="252" t="str">
        <f>IF(E57&lt;&gt;"","Last Rnwl. Yr?   ","")</f>
        <v/>
      </c>
      <c r="AM57" s="933"/>
      <c r="AN57" s="252" t="str">
        <f>IF(E57&lt;&gt;"","Select from Pull-Down List    ","")</f>
        <v/>
      </c>
      <c r="AO57" s="933"/>
      <c r="AP57" s="252" t="str">
        <f>IF(E57&lt;&gt;"","Select from Pull-Down List    ","")</f>
        <v/>
      </c>
      <c r="AQ57" s="1023"/>
      <c r="AR57" s="252" t="str">
        <f>IF(E57&lt;&gt;"","Feet?    ","")</f>
        <v/>
      </c>
      <c r="AS57" s="1023"/>
      <c r="AT57" s="252" t="str">
        <f>IF(E57&lt;&gt;"","Seats?    ","")</f>
        <v/>
      </c>
      <c r="AU57" s="1023"/>
      <c r="AV57" s="252" t="str">
        <f>IF(E57&lt;&gt;"","Standing?    ","")</f>
        <v/>
      </c>
      <c r="AW57" s="1023"/>
      <c r="AX57" s="252" t="str">
        <f>IF(E57&lt;&gt;"","Mileage?       ","")</f>
        <v/>
      </c>
      <c r="AY57" s="1023"/>
      <c r="AZ57" s="252" t="str">
        <f>IF(E57&lt;&gt;"","Avg. Lifetime Mileage? ","")</f>
        <v/>
      </c>
      <c r="BA57" s="933"/>
      <c r="BB57" s="252" t="str">
        <f>IF(E57&lt;&gt;"","Select from Pull-Down List    ","")</f>
        <v/>
      </c>
      <c r="BC57" s="171"/>
      <c r="BD57" s="252" t="str">
        <f>IF(OR(AO57="OR - Other fuel (describe in Notes)",AG57="ZZZ - Other (describe in Notes)"),"Describe                                                                                                     ","")</f>
        <v/>
      </c>
      <c r="BE57" s="894"/>
      <c r="BF57" s="894"/>
      <c r="BG57" s="894" t="b">
        <f>IF(AND(C57="",C59&lt;&gt;""),TRUE,FALSE)</f>
        <v>0</v>
      </c>
      <c r="BH57" s="888" t="str">
        <f>IF(AND(C57&lt;&gt;"",OR(I57="",K57="",M57="",O57="",S57="",U57="",AA57="",AG57="",AI57="",AO57="",AQ57="",AS57="",AU57="",AW57="",AY57="")),"No",IF(AND(C57="",OR(I57&lt;&gt;"",K57&lt;&gt;"",M57&lt;&gt;"",O57&lt;&gt;"",S57&lt;&gt;"",U57&lt;&gt;"",AA57&lt;&gt;"",AG57&lt;&gt;"",AI57&lt;&gt;"",AK57&lt;&gt;"",AM57&lt;&gt;"",AO57&lt;&gt;"",AQ57&lt;&gt;"",AS57&lt;&gt;"",AU57&lt;&gt;"",AW57&lt;&gt;"",AY57&lt;&gt;"",BA57&lt;&gt;"",BC57&lt;&gt;"")),"No",IF(AND(C57="",I57="",K57="",M57="",O57="",S57="",U57="",AA57="",AG57="",AI57="",AK57="",AM57="",AO57="",AQ57="",AS57="",AU57="",AW57="",AY57="",BA57=""),"N/A","Yes")))</f>
        <v>N/A</v>
      </c>
      <c r="BI57" s="898"/>
      <c r="BJ57" s="899" t="b">
        <f>IF(AND(OR(I57&lt;&gt;"",K57&lt;&gt;"",M57&lt;&gt;"",O57&lt;&gt;"",S57&lt;&gt;"",U57&lt;&gt;"",AA57&lt;&gt;"",AG57&lt;&gt;"",AI57&lt;&gt;"",AK57&lt;&gt;"",AM57&lt;&gt;"",AO57&lt;&gt;"",AQ57&lt;&gt;"",AS57&lt;&gt;"",AW57&lt;&gt;"",AY57&lt;&gt;"",BA57&lt;&gt;"",BC57&lt;&gt;""),C57=""),TRUE,FALSE)</f>
        <v>0</v>
      </c>
      <c r="BK57" s="898" t="b">
        <f>IF(BL57=TRUE,FALSE,IF(SUM(K57,O57)&gt;I57,TRUE,FALSE))</f>
        <v>0</v>
      </c>
      <c r="BL57" s="899" t="b">
        <f>IF(AND(C57&lt;&gt;"",I57=""),TRUE,FALSE)</f>
        <v>0</v>
      </c>
      <c r="BM57" s="898" t="b">
        <f>IF(BN57=TRUE,FALSE,IF(M57&gt;K57,TRUE,FALSE))</f>
        <v>0</v>
      </c>
      <c r="BN57" s="899" t="b">
        <f>IF(AND($C57&lt;&gt;"",K57=""),TRUE,FALSE)</f>
        <v>0</v>
      </c>
      <c r="BO57" s="898"/>
      <c r="BP57" s="899" t="b">
        <f>IF(AND($C57&lt;&gt;"",M57=""),TRUE,FALSE)</f>
        <v>0</v>
      </c>
      <c r="BQ57" s="898"/>
      <c r="BR57" s="899" t="b">
        <f>IF(AND($C57&lt;&gt;"",O57=""),TRUE,FALSE)</f>
        <v>0</v>
      </c>
      <c r="BS57" s="898" t="b">
        <f>IF(AND(S57="",OR(U57&lt;&gt;"",AA57&lt;&gt;"",AG57&lt;&gt;"",AI57&lt;&gt;"",AK57&lt;&gt;"",AM57&lt;&gt;"",AO57&lt;&gt;"",AQ57&lt;&gt;"",AS57&lt;&gt;"",AU57&lt;&gt;"",AW57&lt;&gt;"",AY57&lt;&gt;"",BA57&lt;&gt;"")),TRUE,FALSE)</f>
        <v>0</v>
      </c>
      <c r="BT57" s="899" t="b">
        <f>IF(AND($C57&lt;&gt;"",S57=""),TRUE,FALSE)</f>
        <v>0</v>
      </c>
      <c r="BU57" s="898"/>
      <c r="BV57" s="899" t="b">
        <f>IF(AND($C57&lt;&gt;"",U57=""),TRUE,FALSE)</f>
        <v>0</v>
      </c>
      <c r="BW57" s="1537" t="b">
        <f>IF(BX57=TRUE,FALSE,IF(AA57="",FALSE,IF(OR(AA57&lt;CX57,AA57&gt;BaseYear),TRUE,FALSE)))</f>
        <v>0</v>
      </c>
      <c r="BX57" s="899" t="b">
        <f>IF(AND($C57&lt;&gt;"",AA57=""),TRUE,FALSE)</f>
        <v>0</v>
      </c>
      <c r="BY57" s="898"/>
      <c r="BZ57" s="899" t="b">
        <f>IF(AND($C57&lt;&gt;"",AG57=""),TRUE,FALSE)</f>
        <v>0</v>
      </c>
      <c r="CA57" s="898"/>
      <c r="CB57" s="899" t="b">
        <f>IF(AND($C57&lt;&gt;"",AI57=""),TRUE,FALSE)</f>
        <v>0</v>
      </c>
      <c r="CC57" s="1537" t="b">
        <f>IF(AK57="",FALSE,IF(OR(AK57&lt;CX57,AK57&gt;BaseYear),TRUE,FALSE))</f>
        <v>0</v>
      </c>
      <c r="CD57" s="1538" t="b">
        <f>IF(AK57="",FALSE,IF(AK57&lt;AA57,TRUE,FALSE))</f>
        <v>0</v>
      </c>
      <c r="CE57" s="899" t="b">
        <f>IF(AND($AM57&lt;&gt;"",AK57=""),TRUE,FALSE)</f>
        <v>0</v>
      </c>
      <c r="CF57" s="898"/>
      <c r="CG57" s="899" t="b">
        <f>IF(AND($AK57&lt;&gt;"",AM57=""),TRUE,FALSE)</f>
        <v>0</v>
      </c>
      <c r="CH57" s="898"/>
      <c r="CI57" s="899" t="b">
        <f>IF(AND($C57&lt;&gt;"",AO57=""),TRUE,FALSE)</f>
        <v>0</v>
      </c>
      <c r="CJ57" s="1537"/>
      <c r="CK57" s="899" t="b">
        <f>IF(AND($C57&lt;&gt;"",AQ57=""),TRUE,FALSE)</f>
        <v>0</v>
      </c>
      <c r="CL57" s="898"/>
      <c r="CM57" s="899" t="b">
        <f>IF(AND($C57&lt;&gt;"",AS57=""),TRUE,FALSE)</f>
        <v>0</v>
      </c>
      <c r="CN57" s="898"/>
      <c r="CO57" s="899" t="b">
        <f>IF(AND($C57&lt;&gt;"",AU57=""),TRUE,FALSE)</f>
        <v>0</v>
      </c>
      <c r="CP57" s="898"/>
      <c r="CQ57" s="899" t="b">
        <f>IF(AND($C57&lt;&gt;"",AW57=""),TRUE,FALSE)</f>
        <v>0</v>
      </c>
      <c r="CR57" s="898"/>
      <c r="CS57" s="899" t="b">
        <f>IF(AND($C57&lt;&gt;"",AY57=""),TRUE,FALSE)</f>
        <v>0</v>
      </c>
      <c r="CT57" s="898"/>
      <c r="CU57" s="898" t="b">
        <f>IF(AND($C57&lt;&gt;"",BA57=""),TRUE,FALSE)</f>
        <v>0</v>
      </c>
      <c r="CV57" s="894"/>
      <c r="CW57" s="898" t="str">
        <f t="shared" si="11"/>
        <v/>
      </c>
      <c r="CX57" s="898" t="str">
        <f>IFERROR(IF(AND(S57="",S57&lt;&gt;""),1913,VLOOKUP(S57,Valid!$B$99:$J$120,9)),"")</f>
        <v/>
      </c>
      <c r="CY57" s="898" t="str">
        <f t="shared" ca="1" si="12"/>
        <v/>
      </c>
      <c r="CZ57" s="1547" t="str">
        <f t="shared" ca="1" si="17"/>
        <v/>
      </c>
      <c r="DA57" s="898" t="str">
        <f ca="1">IF(CZ57="", "", IF(1+(CZ57*4)&lt;1, 1, 1+(CZ57*4)))</f>
        <v/>
      </c>
      <c r="DB57" s="898" t="str">
        <f t="shared" si="13"/>
        <v/>
      </c>
      <c r="DC57" s="898" t="str">
        <f t="shared" si="14"/>
        <v/>
      </c>
      <c r="DD57" s="1539" t="str">
        <f>IFERROR(IF(AND(AM57="",C57&lt;&gt;""),Valid!$E$123,VLOOKUP(AM57,Valid!$B$123:$F$125,4,FALSE)),"")</f>
        <v/>
      </c>
      <c r="DE57" s="1539" t="str">
        <f>IFERROR(IF(AND(AM57="",C57&lt;&gt;""),Valid!$F$123,VLOOKUP(AM57,Valid!$B$123:$F$125,5,FALSE)),"")</f>
        <v/>
      </c>
      <c r="DF57" s="1539" t="str">
        <f>IFERROR(VLOOKUP('A-70 RevVehInv'!S57,Valid!$B$99:$I$120,7), "")</f>
        <v/>
      </c>
      <c r="DG57" s="1539" t="str">
        <f>IFERROR(VLOOKUP(S57,Valid!$B$99:$I$120,8), "")</f>
        <v/>
      </c>
      <c r="DH57" s="894"/>
    </row>
    <row r="58" spans="1:112" ht="6.75" customHeight="1" x14ac:dyDescent="0.2">
      <c r="A58" s="1517"/>
      <c r="B58" s="1530">
        <v>23.5</v>
      </c>
      <c r="C58" s="1540"/>
      <c r="D58" s="905"/>
      <c r="E58" s="1541"/>
      <c r="F58" s="905"/>
      <c r="G58" s="905"/>
      <c r="H58" s="905"/>
      <c r="I58" s="1534"/>
      <c r="J58" s="905"/>
      <c r="K58" s="1534"/>
      <c r="L58" s="905"/>
      <c r="M58" s="1534"/>
      <c r="N58" s="905"/>
      <c r="O58" s="1534"/>
      <c r="P58" s="905"/>
      <c r="Q58" s="1534"/>
      <c r="R58" s="1531"/>
      <c r="S58" s="1542"/>
      <c r="T58" s="905"/>
      <c r="U58" s="1542"/>
      <c r="V58" s="905"/>
      <c r="W58" s="1534" t="str">
        <f t="shared" si="9"/>
        <v/>
      </c>
      <c r="X58" s="905"/>
      <c r="Y58" s="1534"/>
      <c r="Z58" s="252" t="str">
        <f t="shared" si="10"/>
        <v/>
      </c>
      <c r="AA58" s="1534"/>
      <c r="AB58" s="905"/>
      <c r="AC58" s="1973" t="str">
        <f t="shared" si="15"/>
        <v/>
      </c>
      <c r="AD58" s="905"/>
      <c r="AE58" s="1985" t="str">
        <f t="shared" si="16"/>
        <v/>
      </c>
      <c r="AF58" s="905"/>
      <c r="AG58" s="1543"/>
      <c r="AH58" s="1531"/>
      <c r="AI58" s="1534"/>
      <c r="AJ58" s="1531"/>
      <c r="AK58" s="1534"/>
      <c r="AL58" s="1531"/>
      <c r="AM58" s="1543"/>
      <c r="AN58" s="1531"/>
      <c r="AO58" s="1543"/>
      <c r="AP58" s="1531"/>
      <c r="AQ58" s="1534"/>
      <c r="AR58" s="1531"/>
      <c r="AS58" s="1534"/>
      <c r="AT58" s="1531"/>
      <c r="AU58" s="1534"/>
      <c r="AV58" s="1531"/>
      <c r="AW58" s="1534"/>
      <c r="AX58" s="1531"/>
      <c r="AY58" s="1534"/>
      <c r="AZ58" s="1531"/>
      <c r="BA58" s="1543"/>
      <c r="BB58" s="1531"/>
      <c r="BC58" s="1534"/>
      <c r="BD58" s="1531"/>
      <c r="BE58" s="1531"/>
      <c r="BF58" s="1531"/>
      <c r="BG58" s="1531"/>
      <c r="BH58" s="1531"/>
      <c r="BI58" s="1535"/>
      <c r="BJ58" s="1534"/>
      <c r="BK58" s="898"/>
      <c r="BL58" s="1534"/>
      <c r="BM58" s="1535"/>
      <c r="BN58" s="1534"/>
      <c r="BO58" s="1535"/>
      <c r="BP58" s="1534"/>
      <c r="BQ58" s="1535"/>
      <c r="BR58" s="1534"/>
      <c r="BS58" s="1535"/>
      <c r="BT58" s="1534"/>
      <c r="BU58" s="1535"/>
      <c r="BV58" s="1534"/>
      <c r="BW58" s="1535"/>
      <c r="BX58" s="1534"/>
      <c r="BY58" s="1535"/>
      <c r="BZ58" s="1534"/>
      <c r="CA58" s="1535"/>
      <c r="CB58" s="1534"/>
      <c r="CC58" s="1535"/>
      <c r="CD58" s="1534"/>
      <c r="CE58" s="1534"/>
      <c r="CF58" s="1535"/>
      <c r="CG58" s="1534"/>
      <c r="CH58" s="1535"/>
      <c r="CI58" s="1534"/>
      <c r="CJ58" s="1535"/>
      <c r="CK58" s="1534"/>
      <c r="CL58" s="1535"/>
      <c r="CM58" s="1534"/>
      <c r="CN58" s="1535"/>
      <c r="CO58" s="1534"/>
      <c r="CP58" s="1535"/>
      <c r="CQ58" s="1534"/>
      <c r="CR58" s="1535"/>
      <c r="CS58" s="1534"/>
      <c r="CT58" s="1535"/>
      <c r="CU58" s="1535"/>
      <c r="CV58" s="1531"/>
      <c r="CW58" s="898" t="str">
        <f t="shared" si="11"/>
        <v/>
      </c>
      <c r="CX58" s="898" t="str">
        <f>IFERROR(IF(AND(S58="",S58&lt;&gt;""),1913,VLOOKUP(S58,Valid!$B$99:$J$120,9)),"")</f>
        <v/>
      </c>
      <c r="CY58" s="898" t="str">
        <f t="shared" ca="1" si="12"/>
        <v/>
      </c>
      <c r="CZ58" s="1547" t="str">
        <f t="shared" ca="1" si="17"/>
        <v/>
      </c>
      <c r="DA58" s="898"/>
      <c r="DB58" s="898" t="str">
        <f t="shared" si="13"/>
        <v/>
      </c>
      <c r="DC58" s="898" t="str">
        <f t="shared" si="14"/>
        <v/>
      </c>
      <c r="DD58" s="1539" t="str">
        <f>IFERROR(IF(AND(AM58="",C58&lt;&gt;""),Valid!$E$123,VLOOKUP(AM58,Valid!$B$123:$F$125,4,FALSE)),"")</f>
        <v/>
      </c>
      <c r="DE58" s="1539" t="str">
        <f>IFERROR(IF(AND(AM58="",C58&lt;&gt;""),Valid!$F$123,VLOOKUP(AM58,Valid!$B$123:$F$125,5,FALSE)),"")</f>
        <v/>
      </c>
      <c r="DF58" s="1539" t="str">
        <f>IFERROR(VLOOKUP('A-70 RevVehInv'!S58,Valid!$B$99:$I$120,7), "")</f>
        <v/>
      </c>
      <c r="DG58" s="1539" t="str">
        <f>IFERROR(VLOOKUP(S58,Valid!$B$99:$I$120,8), "")</f>
        <v/>
      </c>
      <c r="DH58" s="1531"/>
    </row>
    <row r="59" spans="1:112" s="930" customFormat="1" x14ac:dyDescent="0.2">
      <c r="A59" s="206">
        <v>24</v>
      </c>
      <c r="B59" s="1530">
        <v>24</v>
      </c>
      <c r="C59" s="933"/>
      <c r="D59" s="719" t="str">
        <f>IF(C57="","",IF((C59=""),"Enter RVI ID. then Fill in Columns "&amp;TEXT($I$2,0)&amp;" - "&amp;TEXT($BA$2,0)&amp;"       ",""))</f>
        <v/>
      </c>
      <c r="E59" s="1056" t="str">
        <f>IF(BH59="N/A","",BH59)</f>
        <v/>
      </c>
      <c r="F59" s="1536"/>
      <c r="G59" s="1536"/>
      <c r="H59" s="1536"/>
      <c r="I59" s="1023"/>
      <c r="J59" s="1536" t="str">
        <f>IF(E59&lt;&gt;"","Vehicles?    ","")</f>
        <v/>
      </c>
      <c r="K59" s="1023"/>
      <c r="L59" s="1536" t="str">
        <f>IF(E59&lt;&gt;"","Active Vehicles?     ","")</f>
        <v/>
      </c>
      <c r="M59" s="1023"/>
      <c r="N59" s="1536" t="str">
        <f>IF(E59&lt;&gt;"","ADA Vehicles?       ","")</f>
        <v/>
      </c>
      <c r="O59" s="1023"/>
      <c r="P59" s="1536" t="str">
        <f>IF(E59&lt;&gt;"","Cont. Vehicles?     ","")</f>
        <v/>
      </c>
      <c r="Q59" s="1024"/>
      <c r="R59" s="894"/>
      <c r="S59" s="1153"/>
      <c r="T59" s="252" t="str">
        <f>IF(E59&lt;&gt;"","Select from Pull-Down List    ","")</f>
        <v/>
      </c>
      <c r="U59" s="933"/>
      <c r="V59" s="252" t="str">
        <f>IF(E59&lt;&gt;"","Select from Pull-Down List    ","")</f>
        <v/>
      </c>
      <c r="W59" s="1766" t="str">
        <f t="shared" si="9"/>
        <v/>
      </c>
      <c r="X59" s="252"/>
      <c r="Y59" s="1988"/>
      <c r="Z59" s="252" t="str">
        <f t="shared" si="10"/>
        <v/>
      </c>
      <c r="AA59" s="139"/>
      <c r="AB59" s="252" t="str">
        <f>IF(E59&lt;&gt;"","Mfg. Yr?    ","")</f>
        <v/>
      </c>
      <c r="AC59" s="1974" t="str">
        <f t="shared" si="15"/>
        <v/>
      </c>
      <c r="AD59" s="252"/>
      <c r="AE59" s="1986" t="str">
        <f t="shared" si="16"/>
        <v/>
      </c>
      <c r="AF59" s="252"/>
      <c r="AG59" s="933"/>
      <c r="AH59" s="252" t="str">
        <f>IF(E59&lt;&gt;"","Select from Pull-Down List    ","")</f>
        <v/>
      </c>
      <c r="AI59" s="933"/>
      <c r="AJ59" s="252" t="str">
        <f>IF(E59&lt;&gt;"","Number?   ","")</f>
        <v/>
      </c>
      <c r="AK59" s="139"/>
      <c r="AL59" s="252" t="str">
        <f>IF(E59&lt;&gt;"","Last Rnwl. Yr?   ","")</f>
        <v/>
      </c>
      <c r="AM59" s="933"/>
      <c r="AN59" s="252" t="str">
        <f>IF(E59&lt;&gt;"","Select from Pull-Down List    ","")</f>
        <v/>
      </c>
      <c r="AO59" s="933"/>
      <c r="AP59" s="252" t="str">
        <f>IF(E59&lt;&gt;"","Select from Pull-Down List    ","")</f>
        <v/>
      </c>
      <c r="AQ59" s="1023"/>
      <c r="AR59" s="252" t="str">
        <f>IF(E59&lt;&gt;"","Feet?    ","")</f>
        <v/>
      </c>
      <c r="AS59" s="1023"/>
      <c r="AT59" s="252" t="str">
        <f>IF(E59&lt;&gt;"","Seats?    ","")</f>
        <v/>
      </c>
      <c r="AU59" s="1023"/>
      <c r="AV59" s="252" t="str">
        <f>IF(E59&lt;&gt;"","Standing?    ","")</f>
        <v/>
      </c>
      <c r="AW59" s="1023"/>
      <c r="AX59" s="252" t="str">
        <f>IF(E59&lt;&gt;"","Mileage?       ","")</f>
        <v/>
      </c>
      <c r="AY59" s="1023"/>
      <c r="AZ59" s="252" t="str">
        <f>IF(E59&lt;&gt;"","Avg. Lifetime Mileage? ","")</f>
        <v/>
      </c>
      <c r="BA59" s="933"/>
      <c r="BB59" s="252" t="str">
        <f>IF(E59&lt;&gt;"","Select from Pull-Down List    ","")</f>
        <v/>
      </c>
      <c r="BC59" s="171"/>
      <c r="BD59" s="252" t="str">
        <f>IF(OR(AO59="OR - Other fuel (describe in Notes)",AG59="ZZZ - Other (describe in Notes)"),"Describe                                                                                                     ","")</f>
        <v/>
      </c>
      <c r="BE59" s="894"/>
      <c r="BF59" s="894"/>
      <c r="BG59" s="894" t="b">
        <f>IF(AND(C59="",C61&lt;&gt;""),TRUE,FALSE)</f>
        <v>0</v>
      </c>
      <c r="BH59" s="888" t="str">
        <f>IF(AND(C59&lt;&gt;"",OR(I59="",K59="",M59="",O59="",S59="",U59="",AA59="",AG59="",AI59="",AO59="",AQ59="",AS59="",AU59="",AW59="",AY59="")),"No",IF(AND(C59="",OR(I59&lt;&gt;"",K59&lt;&gt;"",M59&lt;&gt;"",O59&lt;&gt;"",S59&lt;&gt;"",U59&lt;&gt;"",AA59&lt;&gt;"",AG59&lt;&gt;"",AI59&lt;&gt;"",AK59&lt;&gt;"",AM59&lt;&gt;"",AO59&lt;&gt;"",AQ59&lt;&gt;"",AS59&lt;&gt;"",AU59&lt;&gt;"",AW59&lt;&gt;"",AY59&lt;&gt;"",BA59&lt;&gt;"",BC59&lt;&gt;"")),"No",IF(AND(C59="",I59="",K59="",M59="",O59="",S59="",U59="",AA59="",AG59="",AI59="",AK59="",AM59="",AO59="",AQ59="",AS59="",AU59="",AW59="",AY59="",BA59=""),"N/A","Yes")))</f>
        <v>N/A</v>
      </c>
      <c r="BI59" s="898"/>
      <c r="BJ59" s="899" t="b">
        <f>IF(AND(OR(I59&lt;&gt;"",K59&lt;&gt;"",M59&lt;&gt;"",O59&lt;&gt;"",S59&lt;&gt;"",U59&lt;&gt;"",AA59&lt;&gt;"",AG59&lt;&gt;"",AI59&lt;&gt;"",AK59&lt;&gt;"",AM59&lt;&gt;"",AO59&lt;&gt;"",AQ59&lt;&gt;"",AS59&lt;&gt;"",AW59&lt;&gt;"",AY59&lt;&gt;"",BA59&lt;&gt;"",BC59&lt;&gt;""),C59=""),TRUE,FALSE)</f>
        <v>0</v>
      </c>
      <c r="BK59" s="898" t="b">
        <f>IF(BL59=TRUE,FALSE,IF(SUM(K59,O59)&gt;I59,TRUE,FALSE))</f>
        <v>0</v>
      </c>
      <c r="BL59" s="899" t="b">
        <f>IF(AND(C59&lt;&gt;"",I59=""),TRUE,FALSE)</f>
        <v>0</v>
      </c>
      <c r="BM59" s="898" t="b">
        <f>IF(BN59=TRUE,FALSE,IF(M59&gt;K59,TRUE,FALSE))</f>
        <v>0</v>
      </c>
      <c r="BN59" s="899" t="b">
        <f>IF(AND($C59&lt;&gt;"",K59=""),TRUE,FALSE)</f>
        <v>0</v>
      </c>
      <c r="BO59" s="898"/>
      <c r="BP59" s="899" t="b">
        <f>IF(AND($C59&lt;&gt;"",M59=""),TRUE,FALSE)</f>
        <v>0</v>
      </c>
      <c r="BQ59" s="898"/>
      <c r="BR59" s="899" t="b">
        <f>IF(AND($C59&lt;&gt;"",O59=""),TRUE,FALSE)</f>
        <v>0</v>
      </c>
      <c r="BS59" s="898" t="b">
        <f>IF(AND(S59="",OR(U59&lt;&gt;"",AA59&lt;&gt;"",AG59&lt;&gt;"",AI59&lt;&gt;"",AK59&lt;&gt;"",AM59&lt;&gt;"",AO59&lt;&gt;"",AQ59&lt;&gt;"",AS59&lt;&gt;"",AU59&lt;&gt;"",AW59&lt;&gt;"",AY59&lt;&gt;"",BA59&lt;&gt;"")),TRUE,FALSE)</f>
        <v>0</v>
      </c>
      <c r="BT59" s="899" t="b">
        <f>IF(AND($C59&lt;&gt;"",S59=""),TRUE,FALSE)</f>
        <v>0</v>
      </c>
      <c r="BU59" s="898"/>
      <c r="BV59" s="899" t="b">
        <f>IF(AND($C59&lt;&gt;"",U59=""),TRUE,FALSE)</f>
        <v>0</v>
      </c>
      <c r="BW59" s="1537" t="b">
        <f>IF(BX59=TRUE,FALSE,IF(AA59="",FALSE,IF(OR(AA59&lt;CX59,AA59&gt;BaseYear),TRUE,FALSE)))</f>
        <v>0</v>
      </c>
      <c r="BX59" s="899" t="b">
        <f>IF(AND($C59&lt;&gt;"",AA59=""),TRUE,FALSE)</f>
        <v>0</v>
      </c>
      <c r="BY59" s="898"/>
      <c r="BZ59" s="899" t="b">
        <f>IF(AND($C59&lt;&gt;"",AG59=""),TRUE,FALSE)</f>
        <v>0</v>
      </c>
      <c r="CA59" s="898"/>
      <c r="CB59" s="899" t="b">
        <f>IF(AND($C59&lt;&gt;"",AI59=""),TRUE,FALSE)</f>
        <v>0</v>
      </c>
      <c r="CC59" s="1537" t="b">
        <f>IF(AK59="",FALSE,IF(OR(AK59&lt;CX59,AK59&gt;BaseYear),TRUE,FALSE))</f>
        <v>0</v>
      </c>
      <c r="CD59" s="1538" t="b">
        <f>IF(AK59="",FALSE,IF(AK59&lt;AA59,TRUE,FALSE))</f>
        <v>0</v>
      </c>
      <c r="CE59" s="899" t="b">
        <f>IF(AND($AM59&lt;&gt;"",AK59=""),TRUE,FALSE)</f>
        <v>0</v>
      </c>
      <c r="CF59" s="898"/>
      <c r="CG59" s="899" t="b">
        <f>IF(AND($AK59&lt;&gt;"",AM59=""),TRUE,FALSE)</f>
        <v>0</v>
      </c>
      <c r="CH59" s="898"/>
      <c r="CI59" s="899" t="b">
        <f>IF(AND($C59&lt;&gt;"",AO59=""),TRUE,FALSE)</f>
        <v>0</v>
      </c>
      <c r="CJ59" s="1537"/>
      <c r="CK59" s="899" t="b">
        <f>IF(AND($C59&lt;&gt;"",AQ59=""),TRUE,FALSE)</f>
        <v>0</v>
      </c>
      <c r="CL59" s="898"/>
      <c r="CM59" s="899" t="b">
        <f>IF(AND($C59&lt;&gt;"",AS59=""),TRUE,FALSE)</f>
        <v>0</v>
      </c>
      <c r="CN59" s="898"/>
      <c r="CO59" s="899" t="b">
        <f>IF(AND($C59&lt;&gt;"",AU59=""),TRUE,FALSE)</f>
        <v>0</v>
      </c>
      <c r="CP59" s="898"/>
      <c r="CQ59" s="899" t="b">
        <f>IF(AND($C59&lt;&gt;"",AW59=""),TRUE,FALSE)</f>
        <v>0</v>
      </c>
      <c r="CR59" s="898"/>
      <c r="CS59" s="899" t="b">
        <f>IF(AND($C59&lt;&gt;"",AY59=""),TRUE,FALSE)</f>
        <v>0</v>
      </c>
      <c r="CT59" s="898"/>
      <c r="CU59" s="898" t="b">
        <f>IF(AND($C59&lt;&gt;"",BA59=""),TRUE,FALSE)</f>
        <v>0</v>
      </c>
      <c r="CV59" s="894"/>
      <c r="CW59" s="898" t="str">
        <f t="shared" si="11"/>
        <v/>
      </c>
      <c r="CX59" s="898" t="str">
        <f>IFERROR(IF(AND(S59="",S59&lt;&gt;""),1913,VLOOKUP(S59,Valid!$B$99:$J$120,9)),"")</f>
        <v/>
      </c>
      <c r="CY59" s="898" t="str">
        <f t="shared" ca="1" si="12"/>
        <v/>
      </c>
      <c r="CZ59" s="1547" t="str">
        <f t="shared" ca="1" si="17"/>
        <v/>
      </c>
      <c r="DA59" s="898" t="str">
        <f ca="1">IF(CZ59="", "", IF(1+(CZ59*4)&lt;1, 1, 1+(CZ59*4)))</f>
        <v/>
      </c>
      <c r="DB59" s="898" t="str">
        <f t="shared" si="13"/>
        <v/>
      </c>
      <c r="DC59" s="898" t="str">
        <f t="shared" si="14"/>
        <v/>
      </c>
      <c r="DD59" s="1539" t="str">
        <f>IFERROR(IF(AND(AM59="",C59&lt;&gt;""),Valid!$E$123,VLOOKUP(AM59,Valid!$B$123:$F$125,4,FALSE)),"")</f>
        <v/>
      </c>
      <c r="DE59" s="1539" t="str">
        <f>IFERROR(IF(AND(AM59="",C59&lt;&gt;""),Valid!$F$123,VLOOKUP(AM59,Valid!$B$123:$F$125,5,FALSE)),"")</f>
        <v/>
      </c>
      <c r="DF59" s="1539" t="str">
        <f>IFERROR(VLOOKUP('A-70 RevVehInv'!S59,Valid!$B$99:$I$120,7), "")</f>
        <v/>
      </c>
      <c r="DG59" s="1539" t="str">
        <f>IFERROR(VLOOKUP(S59,Valid!$B$99:$I$120,8), "")</f>
        <v/>
      </c>
      <c r="DH59" s="894"/>
    </row>
    <row r="60" spans="1:112" ht="6.75" customHeight="1" x14ac:dyDescent="0.2">
      <c r="A60" s="1517"/>
      <c r="B60" s="1530">
        <v>24.5</v>
      </c>
      <c r="C60" s="1544"/>
      <c r="D60" s="905"/>
      <c r="E60" s="1545"/>
      <c r="F60" s="905"/>
      <c r="G60" s="905"/>
      <c r="H60" s="905"/>
      <c r="I60" s="1531"/>
      <c r="J60" s="905"/>
      <c r="K60" s="1531"/>
      <c r="L60" s="905"/>
      <c r="M60" s="1531"/>
      <c r="N60" s="905"/>
      <c r="O60" s="1531"/>
      <c r="P60" s="905"/>
      <c r="Q60" s="1531"/>
      <c r="R60" s="1531"/>
      <c r="S60" s="1533"/>
      <c r="T60" s="905"/>
      <c r="U60" s="1533"/>
      <c r="V60" s="905"/>
      <c r="W60" s="1531" t="str">
        <f t="shared" si="9"/>
        <v/>
      </c>
      <c r="X60" s="905"/>
      <c r="Y60" s="1531"/>
      <c r="Z60" s="252" t="str">
        <f t="shared" si="10"/>
        <v/>
      </c>
      <c r="AA60" s="1531"/>
      <c r="AB60" s="905"/>
      <c r="AC60" s="1971" t="str">
        <f t="shared" si="15"/>
        <v/>
      </c>
      <c r="AD60" s="905"/>
      <c r="AE60" s="1983" t="str">
        <f t="shared" si="16"/>
        <v/>
      </c>
      <c r="AF60" s="905"/>
      <c r="AG60" s="1546"/>
      <c r="AH60" s="1531"/>
      <c r="AI60" s="1531"/>
      <c r="AJ60" s="1531"/>
      <c r="AK60" s="1531"/>
      <c r="AL60" s="1531"/>
      <c r="AM60" s="1546"/>
      <c r="AN60" s="1531"/>
      <c r="AO60" s="1546"/>
      <c r="AP60" s="1531"/>
      <c r="AQ60" s="1531"/>
      <c r="AR60" s="1531"/>
      <c r="AS60" s="1531"/>
      <c r="AT60" s="1531"/>
      <c r="AU60" s="1531"/>
      <c r="AV60" s="1531"/>
      <c r="AW60" s="1531"/>
      <c r="AX60" s="1531"/>
      <c r="AY60" s="1531"/>
      <c r="AZ60" s="1531"/>
      <c r="BA60" s="1546"/>
      <c r="BB60" s="1531"/>
      <c r="BC60" s="1531"/>
      <c r="BD60" s="1531"/>
      <c r="BE60" s="1531"/>
      <c r="BF60" s="1531"/>
      <c r="BG60" s="1531"/>
      <c r="BH60" s="1531"/>
      <c r="BI60" s="1535"/>
      <c r="BJ60" s="1534"/>
      <c r="BK60" s="1535"/>
      <c r="BL60" s="1534"/>
      <c r="BM60" s="1535"/>
      <c r="BN60" s="1534"/>
      <c r="BO60" s="1535"/>
      <c r="BP60" s="1534"/>
      <c r="BQ60" s="1535"/>
      <c r="BR60" s="1534"/>
      <c r="BS60" s="1535"/>
      <c r="BT60" s="1534"/>
      <c r="BU60" s="1535"/>
      <c r="BV60" s="1534"/>
      <c r="BW60" s="1535"/>
      <c r="BX60" s="1534"/>
      <c r="BY60" s="1535"/>
      <c r="BZ60" s="1534"/>
      <c r="CA60" s="1535"/>
      <c r="CB60" s="1534"/>
      <c r="CC60" s="1535"/>
      <c r="CD60" s="1534"/>
      <c r="CE60" s="1534"/>
      <c r="CF60" s="1535"/>
      <c r="CG60" s="1534"/>
      <c r="CH60" s="1535"/>
      <c r="CI60" s="1534"/>
      <c r="CJ60" s="1535"/>
      <c r="CK60" s="1534"/>
      <c r="CL60" s="1535"/>
      <c r="CM60" s="1534"/>
      <c r="CN60" s="1535"/>
      <c r="CO60" s="1534"/>
      <c r="CP60" s="1535"/>
      <c r="CQ60" s="1534"/>
      <c r="CR60" s="1535"/>
      <c r="CS60" s="1534"/>
      <c r="CT60" s="1535"/>
      <c r="CU60" s="1535"/>
      <c r="CV60" s="1531"/>
      <c r="CW60" s="898" t="str">
        <f t="shared" si="11"/>
        <v/>
      </c>
      <c r="CX60" s="898" t="str">
        <f>IFERROR(IF(AND(S60="",S60&lt;&gt;""),1913,VLOOKUP(S60,Valid!$B$99:$J$120,9)),"")</f>
        <v/>
      </c>
      <c r="CY60" s="898" t="str">
        <f t="shared" ca="1" si="12"/>
        <v/>
      </c>
      <c r="CZ60" s="1547" t="str">
        <f t="shared" ca="1" si="17"/>
        <v/>
      </c>
      <c r="DA60" s="898"/>
      <c r="DB60" s="898" t="str">
        <f t="shared" si="13"/>
        <v/>
      </c>
      <c r="DC60" s="898" t="str">
        <f t="shared" si="14"/>
        <v/>
      </c>
      <c r="DD60" s="1539" t="str">
        <f>IFERROR(IF(AND(AM60="",C60&lt;&gt;""),Valid!$E$123,VLOOKUP(AM60,Valid!$B$123:$F$125,4,FALSE)),"")</f>
        <v/>
      </c>
      <c r="DE60" s="1539" t="str">
        <f>IFERROR(IF(AND(AM60="",C60&lt;&gt;""),Valid!$F$123,VLOOKUP(AM60,Valid!$B$123:$F$125,5,FALSE)),"")</f>
        <v/>
      </c>
      <c r="DF60" s="1539" t="str">
        <f>IFERROR(VLOOKUP('A-70 RevVehInv'!S60,Valid!$B$99:$I$120,7), "")</f>
        <v/>
      </c>
      <c r="DG60" s="1539" t="str">
        <f>IFERROR(VLOOKUP(S60,Valid!$B$99:$I$120,8), "")</f>
        <v/>
      </c>
      <c r="DH60" s="1531"/>
    </row>
    <row r="61" spans="1:112" s="930" customFormat="1" x14ac:dyDescent="0.2">
      <c r="A61" s="206">
        <v>25</v>
      </c>
      <c r="B61" s="1530">
        <v>25</v>
      </c>
      <c r="C61" s="933"/>
      <c r="D61" s="719" t="str">
        <f>IF(C59="","",IF((C61=""),"Enter RVI ID. then Fill in Columns "&amp;TEXT($I$2,0)&amp;" - "&amp;TEXT($BA$2,0)&amp;"       ",""))</f>
        <v/>
      </c>
      <c r="E61" s="1056" t="str">
        <f>IF(BH61="N/A","",BH61)</f>
        <v/>
      </c>
      <c r="F61" s="1536"/>
      <c r="G61" s="1536"/>
      <c r="H61" s="1536"/>
      <c r="I61" s="1023"/>
      <c r="J61" s="1536" t="str">
        <f>IF(E61&lt;&gt;"","Vehicles?    ","")</f>
        <v/>
      </c>
      <c r="K61" s="1023"/>
      <c r="L61" s="1536" t="str">
        <f>IF(E61&lt;&gt;"","Active Vehicles?     ","")</f>
        <v/>
      </c>
      <c r="M61" s="1023"/>
      <c r="N61" s="1536" t="str">
        <f>IF(E61&lt;&gt;"","ADA Vehicles?       ","")</f>
        <v/>
      </c>
      <c r="O61" s="1023"/>
      <c r="P61" s="1536" t="str">
        <f>IF(E61&lt;&gt;"","Cont. Vehicles?     ","")</f>
        <v/>
      </c>
      <c r="Q61" s="1024"/>
      <c r="R61" s="894"/>
      <c r="S61" s="1153"/>
      <c r="T61" s="252" t="str">
        <f>IF(E61&lt;&gt;"","Select from Pull-Down List    ","")</f>
        <v/>
      </c>
      <c r="U61" s="933"/>
      <c r="V61" s="252" t="str">
        <f>IF(E61&lt;&gt;"","Select from Pull-Down List    ","")</f>
        <v/>
      </c>
      <c r="W61" s="1766" t="str">
        <f t="shared" si="9"/>
        <v/>
      </c>
      <c r="X61" s="252"/>
      <c r="Y61" s="1988"/>
      <c r="Z61" s="252" t="str">
        <f t="shared" si="10"/>
        <v/>
      </c>
      <c r="AA61" s="139"/>
      <c r="AB61" s="252" t="str">
        <f>IF(E61&lt;&gt;"","Mfg. Yr?    ","")</f>
        <v/>
      </c>
      <c r="AC61" s="1974" t="str">
        <f t="shared" si="15"/>
        <v/>
      </c>
      <c r="AD61" s="252"/>
      <c r="AE61" s="1986" t="str">
        <f t="shared" si="16"/>
        <v/>
      </c>
      <c r="AF61" s="252"/>
      <c r="AG61" s="933"/>
      <c r="AH61" s="252" t="str">
        <f>IF(E61&lt;&gt;"","Select from Pull-Down List    ","")</f>
        <v/>
      </c>
      <c r="AI61" s="933"/>
      <c r="AJ61" s="252" t="str">
        <f>IF(E61&lt;&gt;"","Number?   ","")</f>
        <v/>
      </c>
      <c r="AK61" s="139"/>
      <c r="AL61" s="252" t="str">
        <f>IF(E61&lt;&gt;"","Last Rnwl. Yr?   ","")</f>
        <v/>
      </c>
      <c r="AM61" s="933"/>
      <c r="AN61" s="252" t="str">
        <f>IF(E61&lt;&gt;"","Select from Pull-Down List    ","")</f>
        <v/>
      </c>
      <c r="AO61" s="933"/>
      <c r="AP61" s="252" t="str">
        <f>IF(E61&lt;&gt;"","Select from Pull-Down List    ","")</f>
        <v/>
      </c>
      <c r="AQ61" s="1023"/>
      <c r="AR61" s="252" t="str">
        <f>IF(E61&lt;&gt;"","Feet?    ","")</f>
        <v/>
      </c>
      <c r="AS61" s="1023"/>
      <c r="AT61" s="252" t="str">
        <f>IF(E61&lt;&gt;"","Seats?    ","")</f>
        <v/>
      </c>
      <c r="AU61" s="1023"/>
      <c r="AV61" s="252" t="str">
        <f>IF(E61&lt;&gt;"","Standing?    ","")</f>
        <v/>
      </c>
      <c r="AW61" s="1023"/>
      <c r="AX61" s="252" t="str">
        <f>IF(E61&lt;&gt;"","Mileage?       ","")</f>
        <v/>
      </c>
      <c r="AY61" s="1023"/>
      <c r="AZ61" s="252" t="str">
        <f>IF(E61&lt;&gt;"","Avg. Lifetime Mileage? ","")</f>
        <v/>
      </c>
      <c r="BA61" s="933"/>
      <c r="BB61" s="252" t="str">
        <f>IF(E61&lt;&gt;"","Select from Pull-Down List    ","")</f>
        <v/>
      </c>
      <c r="BC61" s="171"/>
      <c r="BD61" s="252" t="str">
        <f>IF(OR(AO61="OR - Other fuel (describe in Notes)",AG61="ZZZ - Other (describe in Notes)"),"Describe                                                                                                     ","")</f>
        <v/>
      </c>
      <c r="BE61" s="894"/>
      <c r="BF61" s="894"/>
      <c r="BG61" s="894" t="b">
        <f>IF(AND(C61="",C63&lt;&gt;""),TRUE,FALSE)</f>
        <v>0</v>
      </c>
      <c r="BH61" s="888" t="str">
        <f>IF(AND(C61&lt;&gt;"",OR(I61="",K61="",M61="",O61="",S61="",U61="",AA61="",AG61="",AI61="",AO61="",AQ61="",AS61="",AU61="",AW61="",AY61="")),"No",IF(AND(C61="",OR(I61&lt;&gt;"",K61&lt;&gt;"",M61&lt;&gt;"",O61&lt;&gt;"",S61&lt;&gt;"",U61&lt;&gt;"",AA61&lt;&gt;"",AG61&lt;&gt;"",AI61&lt;&gt;"",AK61&lt;&gt;"",AM61&lt;&gt;"",AO61&lt;&gt;"",AQ61&lt;&gt;"",AS61&lt;&gt;"",AU61&lt;&gt;"",AW61&lt;&gt;"",AY61&lt;&gt;"",BA61&lt;&gt;"",BC61&lt;&gt;"")),"No",IF(AND(C61="",I61="",K61="",M61="",O61="",S61="",U61="",AA61="",AG61="",AI61="",AK61="",AM61="",AO61="",AQ61="",AS61="",AU61="",AW61="",AY61="",BA61=""),"N/A","Yes")))</f>
        <v>N/A</v>
      </c>
      <c r="BI61" s="898"/>
      <c r="BJ61" s="899" t="b">
        <f>IF(AND(OR(I61&lt;&gt;"",K61&lt;&gt;"",M61&lt;&gt;"",O61&lt;&gt;"",S61&lt;&gt;"",U61&lt;&gt;"",AA61&lt;&gt;"",AG61&lt;&gt;"",AI61&lt;&gt;"",AK61&lt;&gt;"",AM61&lt;&gt;"",AO61&lt;&gt;"",AQ61&lt;&gt;"",AS61&lt;&gt;"",AW61&lt;&gt;"",AY61&lt;&gt;"",BA61&lt;&gt;"",BC61&lt;&gt;""),C61=""),TRUE,FALSE)</f>
        <v>0</v>
      </c>
      <c r="BK61" s="898" t="b">
        <f>IF(BL61=TRUE,FALSE,IF(SUM(K61,O61)&gt;I61,TRUE,FALSE))</f>
        <v>0</v>
      </c>
      <c r="BL61" s="899" t="b">
        <f>IF(AND(C61&lt;&gt;"",I61=""),TRUE,FALSE)</f>
        <v>0</v>
      </c>
      <c r="BM61" s="898" t="b">
        <f>IF(BN61=TRUE,FALSE,IF(M61&gt;K61,TRUE,FALSE))</f>
        <v>0</v>
      </c>
      <c r="BN61" s="899" t="b">
        <f>IF(AND($C61&lt;&gt;"",K61=""),TRUE,FALSE)</f>
        <v>0</v>
      </c>
      <c r="BO61" s="898"/>
      <c r="BP61" s="899" t="b">
        <f>IF(AND($C61&lt;&gt;"",M61=""),TRUE,FALSE)</f>
        <v>0</v>
      </c>
      <c r="BQ61" s="898"/>
      <c r="BR61" s="899" t="b">
        <f>IF(AND($C61&lt;&gt;"",O61=""),TRUE,FALSE)</f>
        <v>0</v>
      </c>
      <c r="BS61" s="898" t="b">
        <f>IF(AND(S61="",OR(U61&lt;&gt;"",AA61&lt;&gt;"",AG61&lt;&gt;"",AI61&lt;&gt;"",AK61&lt;&gt;"",AM61&lt;&gt;"",AO61&lt;&gt;"",AQ61&lt;&gt;"",AS61&lt;&gt;"",AU61&lt;&gt;"",AW61&lt;&gt;"",AY61&lt;&gt;"",BA61&lt;&gt;"")),TRUE,FALSE)</f>
        <v>0</v>
      </c>
      <c r="BT61" s="899" t="b">
        <f>IF(AND($C61&lt;&gt;"",S61=""),TRUE,FALSE)</f>
        <v>0</v>
      </c>
      <c r="BU61" s="898"/>
      <c r="BV61" s="899" t="b">
        <f>IF(AND($C61&lt;&gt;"",U61=""),TRUE,FALSE)</f>
        <v>0</v>
      </c>
      <c r="BW61" s="1537" t="b">
        <f>IF(BX61=TRUE,FALSE,IF(AA61="",FALSE,IF(OR(AA61&lt;CX61,AA61&gt;BaseYear),TRUE,FALSE)))</f>
        <v>0</v>
      </c>
      <c r="BX61" s="899" t="b">
        <f>IF(AND($C61&lt;&gt;"",AA61=""),TRUE,FALSE)</f>
        <v>0</v>
      </c>
      <c r="BY61" s="898"/>
      <c r="BZ61" s="899" t="b">
        <f>IF(AND($C61&lt;&gt;"",AG61=""),TRUE,FALSE)</f>
        <v>0</v>
      </c>
      <c r="CA61" s="898"/>
      <c r="CB61" s="899" t="b">
        <f>IF(AND($C61&lt;&gt;"",AI61=""),TRUE,FALSE)</f>
        <v>0</v>
      </c>
      <c r="CC61" s="1537" t="b">
        <f>IF(AK61="",FALSE,IF(OR(AK61&lt;CX61,AK61&gt;BaseYear),TRUE,FALSE))</f>
        <v>0</v>
      </c>
      <c r="CD61" s="1538" t="b">
        <f>IF(AK61="",FALSE,IF(AK61&lt;AA61,TRUE,FALSE))</f>
        <v>0</v>
      </c>
      <c r="CE61" s="899" t="b">
        <f>IF(AND($AM61&lt;&gt;"",AK61=""),TRUE,FALSE)</f>
        <v>0</v>
      </c>
      <c r="CF61" s="898"/>
      <c r="CG61" s="899" t="b">
        <f>IF(AND($AK61&lt;&gt;"",AM61=""),TRUE,FALSE)</f>
        <v>0</v>
      </c>
      <c r="CH61" s="898"/>
      <c r="CI61" s="899" t="b">
        <f>IF(AND($C61&lt;&gt;"",AO61=""),TRUE,FALSE)</f>
        <v>0</v>
      </c>
      <c r="CJ61" s="1537"/>
      <c r="CK61" s="899" t="b">
        <f>IF(AND($C61&lt;&gt;"",AQ61=""),TRUE,FALSE)</f>
        <v>0</v>
      </c>
      <c r="CL61" s="898"/>
      <c r="CM61" s="899" t="b">
        <f>IF(AND($C61&lt;&gt;"",AS61=""),TRUE,FALSE)</f>
        <v>0</v>
      </c>
      <c r="CN61" s="898"/>
      <c r="CO61" s="899" t="b">
        <f>IF(AND($C61&lt;&gt;"",AU61=""),TRUE,FALSE)</f>
        <v>0</v>
      </c>
      <c r="CP61" s="898"/>
      <c r="CQ61" s="899" t="b">
        <f>IF(AND($C61&lt;&gt;"",AW61=""),TRUE,FALSE)</f>
        <v>0</v>
      </c>
      <c r="CR61" s="898"/>
      <c r="CS61" s="899" t="b">
        <f>IF(AND($C61&lt;&gt;"",AY61=""),TRUE,FALSE)</f>
        <v>0</v>
      </c>
      <c r="CT61" s="898"/>
      <c r="CU61" s="898" t="b">
        <f>IF(AND($C61&lt;&gt;"",BA61=""),TRUE,FALSE)</f>
        <v>0</v>
      </c>
      <c r="CV61" s="894"/>
      <c r="CW61" s="898" t="str">
        <f t="shared" si="11"/>
        <v/>
      </c>
      <c r="CX61" s="898" t="str">
        <f>IFERROR(IF(AND(S61="",S61&lt;&gt;""),1913,VLOOKUP(S61,Valid!$B$99:$J$120,9)),"")</f>
        <v/>
      </c>
      <c r="CY61" s="898" t="str">
        <f t="shared" ca="1" si="12"/>
        <v/>
      </c>
      <c r="CZ61" s="1547" t="str">
        <f t="shared" ca="1" si="17"/>
        <v/>
      </c>
      <c r="DA61" s="898" t="str">
        <f ca="1">IF(CZ61="", "", IF(1+(CZ61*4)&lt;1, 1, 1+(CZ61*4)))</f>
        <v/>
      </c>
      <c r="DB61" s="898" t="str">
        <f t="shared" si="13"/>
        <v/>
      </c>
      <c r="DC61" s="898" t="str">
        <f t="shared" si="14"/>
        <v/>
      </c>
      <c r="DD61" s="1539" t="str">
        <f>IFERROR(IF(AND(AM61="",C61&lt;&gt;""),Valid!$E$123,VLOOKUP(AM61,Valid!$B$123:$F$125,4,FALSE)),"")</f>
        <v/>
      </c>
      <c r="DE61" s="1539" t="str">
        <f>IFERROR(IF(AND(AM61="",C61&lt;&gt;""),Valid!$F$123,VLOOKUP(AM61,Valid!$B$123:$F$125,5,FALSE)),"")</f>
        <v/>
      </c>
      <c r="DF61" s="1539" t="str">
        <f>IFERROR(VLOOKUP('A-70 RevVehInv'!S61,Valid!$B$99:$I$120,7), "")</f>
        <v/>
      </c>
      <c r="DG61" s="1539" t="str">
        <f>IFERROR(VLOOKUP(S61,Valid!$B$99:$I$120,8), "")</f>
        <v/>
      </c>
      <c r="DH61" s="894"/>
    </row>
    <row r="62" spans="1:112" ht="6.75" customHeight="1" x14ac:dyDescent="0.2">
      <c r="A62" s="1517"/>
      <c r="B62" s="1530">
        <v>25.5</v>
      </c>
      <c r="C62" s="1540"/>
      <c r="D62" s="905"/>
      <c r="E62" s="1541"/>
      <c r="F62" s="905"/>
      <c r="G62" s="905"/>
      <c r="H62" s="905"/>
      <c r="I62" s="1534"/>
      <c r="J62" s="905"/>
      <c r="K62" s="1534"/>
      <c r="L62" s="905"/>
      <c r="M62" s="1534"/>
      <c r="N62" s="905"/>
      <c r="O62" s="1534"/>
      <c r="P62" s="905"/>
      <c r="Q62" s="1534"/>
      <c r="R62" s="1531"/>
      <c r="S62" s="1542"/>
      <c r="T62" s="905"/>
      <c r="U62" s="1542"/>
      <c r="V62" s="905"/>
      <c r="W62" s="1534" t="str">
        <f t="shared" si="9"/>
        <v/>
      </c>
      <c r="X62" s="905"/>
      <c r="Y62" s="1534"/>
      <c r="Z62" s="252" t="str">
        <f t="shared" si="10"/>
        <v/>
      </c>
      <c r="AA62" s="1534"/>
      <c r="AB62" s="905"/>
      <c r="AC62" s="1973" t="str">
        <f t="shared" si="15"/>
        <v/>
      </c>
      <c r="AD62" s="905"/>
      <c r="AE62" s="1985" t="str">
        <f t="shared" si="16"/>
        <v/>
      </c>
      <c r="AF62" s="905"/>
      <c r="AG62" s="1543"/>
      <c r="AH62" s="1531"/>
      <c r="AI62" s="1534"/>
      <c r="AJ62" s="1531"/>
      <c r="AK62" s="1534"/>
      <c r="AL62" s="1531"/>
      <c r="AM62" s="1543"/>
      <c r="AN62" s="1531"/>
      <c r="AO62" s="1543"/>
      <c r="AP62" s="1531"/>
      <c r="AQ62" s="1534"/>
      <c r="AR62" s="1531"/>
      <c r="AS62" s="1534"/>
      <c r="AT62" s="1531"/>
      <c r="AU62" s="1534"/>
      <c r="AV62" s="1531"/>
      <c r="AW62" s="1534"/>
      <c r="AX62" s="1531"/>
      <c r="AY62" s="1534"/>
      <c r="AZ62" s="1531"/>
      <c r="BA62" s="1543"/>
      <c r="BB62" s="1531"/>
      <c r="BC62" s="1534"/>
      <c r="BD62" s="1531"/>
      <c r="BE62" s="1531"/>
      <c r="BF62" s="1531"/>
      <c r="BG62" s="1531"/>
      <c r="BH62" s="1531"/>
      <c r="BI62" s="1535"/>
      <c r="BJ62" s="1534"/>
      <c r="BK62" s="1535"/>
      <c r="BL62" s="1534"/>
      <c r="BM62" s="1535"/>
      <c r="BN62" s="1534"/>
      <c r="BO62" s="1535"/>
      <c r="BP62" s="1534"/>
      <c r="BQ62" s="1535"/>
      <c r="BR62" s="1534"/>
      <c r="BS62" s="1535"/>
      <c r="BT62" s="1534"/>
      <c r="BU62" s="1535"/>
      <c r="BV62" s="1534"/>
      <c r="BW62" s="1535"/>
      <c r="BX62" s="1534"/>
      <c r="BY62" s="1535"/>
      <c r="BZ62" s="1534"/>
      <c r="CA62" s="1535"/>
      <c r="CB62" s="1534"/>
      <c r="CC62" s="1535"/>
      <c r="CD62" s="1534"/>
      <c r="CE62" s="1534"/>
      <c r="CF62" s="1535"/>
      <c r="CG62" s="1534"/>
      <c r="CH62" s="1535"/>
      <c r="CI62" s="1534"/>
      <c r="CJ62" s="1535"/>
      <c r="CK62" s="1534"/>
      <c r="CL62" s="1535"/>
      <c r="CM62" s="1534"/>
      <c r="CN62" s="1535"/>
      <c r="CO62" s="1534"/>
      <c r="CP62" s="1535"/>
      <c r="CQ62" s="1534"/>
      <c r="CR62" s="1535"/>
      <c r="CS62" s="1534"/>
      <c r="CT62" s="1535"/>
      <c r="CU62" s="1535"/>
      <c r="CV62" s="1531"/>
      <c r="CW62" s="898" t="str">
        <f t="shared" si="11"/>
        <v/>
      </c>
      <c r="CX62" s="898" t="str">
        <f>IFERROR(IF(AND(S62="",S62&lt;&gt;""),1913,VLOOKUP(S62,Valid!$B$99:$J$120,9)),"")</f>
        <v/>
      </c>
      <c r="CY62" s="898" t="str">
        <f t="shared" ca="1" si="12"/>
        <v/>
      </c>
      <c r="CZ62" s="1547" t="str">
        <f t="shared" ca="1" si="17"/>
        <v/>
      </c>
      <c r="DA62" s="898"/>
      <c r="DB62" s="898" t="str">
        <f t="shared" si="13"/>
        <v/>
      </c>
      <c r="DC62" s="898" t="str">
        <f t="shared" si="14"/>
        <v/>
      </c>
      <c r="DD62" s="1539" t="str">
        <f>IFERROR(IF(AND(AM62="",C62&lt;&gt;""),Valid!$E$123,VLOOKUP(AM62,Valid!$B$123:$F$125,4,FALSE)),"")</f>
        <v/>
      </c>
      <c r="DE62" s="1539" t="str">
        <f>IFERROR(IF(AND(AM62="",C62&lt;&gt;""),Valid!$F$123,VLOOKUP(AM62,Valid!$B$123:$F$125,5,FALSE)),"")</f>
        <v/>
      </c>
      <c r="DF62" s="1539" t="str">
        <f>IFERROR(VLOOKUP('A-70 RevVehInv'!S62,Valid!$B$99:$I$120,7), "")</f>
        <v/>
      </c>
      <c r="DG62" s="1539" t="str">
        <f>IFERROR(VLOOKUP(S62,Valid!$B$99:$I$120,8), "")</f>
        <v/>
      </c>
      <c r="DH62" s="1531"/>
    </row>
    <row r="63" spans="1:112" s="930" customFormat="1" x14ac:dyDescent="0.2">
      <c r="A63" s="206">
        <v>26</v>
      </c>
      <c r="B63" s="1530">
        <v>26</v>
      </c>
      <c r="C63" s="933"/>
      <c r="D63" s="719" t="str">
        <f>IF(C61="","",IF((C63=""),"Enter RVI ID. then Fill in Columns "&amp;TEXT($I$2,0)&amp;" - "&amp;TEXT($BA$2,0)&amp;"       ",""))</f>
        <v/>
      </c>
      <c r="E63" s="1056" t="str">
        <f>IF(BH63="N/A","",BH63)</f>
        <v/>
      </c>
      <c r="F63" s="1536"/>
      <c r="G63" s="1536"/>
      <c r="H63" s="1536"/>
      <c r="I63" s="1023"/>
      <c r="J63" s="1536" t="str">
        <f>IF(E63&lt;&gt;"","Vehicles?    ","")</f>
        <v/>
      </c>
      <c r="K63" s="1023"/>
      <c r="L63" s="1536" t="str">
        <f>IF(E63&lt;&gt;"","Active Vehicles?     ","")</f>
        <v/>
      </c>
      <c r="M63" s="1023"/>
      <c r="N63" s="1536" t="str">
        <f>IF(E63&lt;&gt;"","ADA Vehicles?       ","")</f>
        <v/>
      </c>
      <c r="O63" s="1023"/>
      <c r="P63" s="1536" t="str">
        <f>IF(E63&lt;&gt;"","Cont. Vehicles?     ","")</f>
        <v/>
      </c>
      <c r="Q63" s="1024"/>
      <c r="R63" s="894"/>
      <c r="S63" s="1153"/>
      <c r="T63" s="252" t="str">
        <f>IF(E63&lt;&gt;"","Select from Pull-Down List    ","")</f>
        <v/>
      </c>
      <c r="U63" s="933"/>
      <c r="V63" s="252" t="str">
        <f>IF(E63&lt;&gt;"","Select from Pull-Down List    ","")</f>
        <v/>
      </c>
      <c r="W63" s="1766" t="str">
        <f t="shared" si="9"/>
        <v/>
      </c>
      <c r="X63" s="252"/>
      <c r="Y63" s="1988"/>
      <c r="Z63" s="252" t="str">
        <f t="shared" si="10"/>
        <v/>
      </c>
      <c r="AA63" s="139"/>
      <c r="AB63" s="252" t="str">
        <f>IF(E63&lt;&gt;"","Mfg. Yr?    ","")</f>
        <v/>
      </c>
      <c r="AC63" s="1974" t="str">
        <f t="shared" si="15"/>
        <v/>
      </c>
      <c r="AD63" s="252"/>
      <c r="AE63" s="1986" t="str">
        <f t="shared" si="16"/>
        <v/>
      </c>
      <c r="AF63" s="252"/>
      <c r="AG63" s="933"/>
      <c r="AH63" s="252" t="str">
        <f>IF(E63&lt;&gt;"","Select from Pull-Down List    ","")</f>
        <v/>
      </c>
      <c r="AI63" s="933"/>
      <c r="AJ63" s="252" t="str">
        <f>IF(E63&lt;&gt;"","Number?   ","")</f>
        <v/>
      </c>
      <c r="AK63" s="139"/>
      <c r="AL63" s="252" t="str">
        <f>IF(E63&lt;&gt;"","Last Rnwl. Yr?   ","")</f>
        <v/>
      </c>
      <c r="AM63" s="933"/>
      <c r="AN63" s="252" t="str">
        <f>IF(E63&lt;&gt;"","Select from Pull-Down List    ","")</f>
        <v/>
      </c>
      <c r="AO63" s="933"/>
      <c r="AP63" s="252" t="str">
        <f>IF(E63&lt;&gt;"","Select from Pull-Down List    ","")</f>
        <v/>
      </c>
      <c r="AQ63" s="1023"/>
      <c r="AR63" s="252" t="str">
        <f>IF(E63&lt;&gt;"","Feet?    ","")</f>
        <v/>
      </c>
      <c r="AS63" s="1023"/>
      <c r="AT63" s="252" t="str">
        <f>IF(E63&lt;&gt;"","Seats?    ","")</f>
        <v/>
      </c>
      <c r="AU63" s="1023"/>
      <c r="AV63" s="252" t="str">
        <f>IF(E63&lt;&gt;"","Standing?    ","")</f>
        <v/>
      </c>
      <c r="AW63" s="1023"/>
      <c r="AX63" s="252" t="str">
        <f>IF(E63&lt;&gt;"","Mileage?       ","")</f>
        <v/>
      </c>
      <c r="AY63" s="1023"/>
      <c r="AZ63" s="252" t="str">
        <f>IF(E63&lt;&gt;"","Avg. Lifetime Mileage? ","")</f>
        <v/>
      </c>
      <c r="BA63" s="933"/>
      <c r="BB63" s="252" t="str">
        <f>IF(E63&lt;&gt;"","Select from Pull-Down List    ","")</f>
        <v/>
      </c>
      <c r="BC63" s="171"/>
      <c r="BD63" s="252" t="str">
        <f>IF(OR(AO63="OR - Other fuel (describe in Notes)",AG63="ZZZ - Other (describe in Notes)"),"Describe                                                                                                     ","")</f>
        <v/>
      </c>
      <c r="BE63" s="894"/>
      <c r="BF63" s="894"/>
      <c r="BG63" s="894" t="b">
        <f>IF(AND(C63="",C65&lt;&gt;""),TRUE,FALSE)</f>
        <v>0</v>
      </c>
      <c r="BH63" s="888" t="str">
        <f>IF(AND(C63&lt;&gt;"",OR(I63="",K63="",M63="",O63="",S63="",U63="",AA63="",AG63="",AI63="",AO63="",AQ63="",AS63="",AU63="",AW63="",AY63="")),"No",IF(AND(C63="",OR(I63&lt;&gt;"",K63&lt;&gt;"",M63&lt;&gt;"",O63&lt;&gt;"",S63&lt;&gt;"",U63&lt;&gt;"",AA63&lt;&gt;"",AG63&lt;&gt;"",AI63&lt;&gt;"",AK63&lt;&gt;"",AM63&lt;&gt;"",AO63&lt;&gt;"",AQ63&lt;&gt;"",AS63&lt;&gt;"",AU63&lt;&gt;"",AW63&lt;&gt;"",AY63&lt;&gt;"",BA63&lt;&gt;"",BC63&lt;&gt;"")),"No",IF(AND(C63="",I63="",K63="",M63="",O63="",S63="",U63="",AA63="",AG63="",AI63="",AK63="",AM63="",AO63="",AQ63="",AS63="",AU63="",AW63="",AY63="",BA63=""),"N/A","Yes")))</f>
        <v>N/A</v>
      </c>
      <c r="BI63" s="898"/>
      <c r="BJ63" s="899" t="b">
        <f>IF(AND(OR(I63&lt;&gt;"",K63&lt;&gt;"",M63&lt;&gt;"",O63&lt;&gt;"",S63&lt;&gt;"",U63&lt;&gt;"",AA63&lt;&gt;"",AG63&lt;&gt;"",AI63&lt;&gt;"",AK63&lt;&gt;"",AM63&lt;&gt;"",AO63&lt;&gt;"",AQ63&lt;&gt;"",AS63&lt;&gt;"",AW63&lt;&gt;"",AY63&lt;&gt;"",BA63&lt;&gt;"",BC63&lt;&gt;""),C63=""),TRUE,FALSE)</f>
        <v>0</v>
      </c>
      <c r="BK63" s="898" t="b">
        <f>IF(BL63=TRUE,FALSE,IF(SUM(K63,O63)&gt;I63,TRUE,FALSE))</f>
        <v>0</v>
      </c>
      <c r="BL63" s="899" t="b">
        <f>IF(AND(C63&lt;&gt;"",I63=""),TRUE,FALSE)</f>
        <v>0</v>
      </c>
      <c r="BM63" s="898" t="b">
        <f>IF(BN63=TRUE,FALSE,IF(M63&gt;K63,TRUE,FALSE))</f>
        <v>0</v>
      </c>
      <c r="BN63" s="899" t="b">
        <f>IF(AND($C63&lt;&gt;"",K63=""),TRUE,FALSE)</f>
        <v>0</v>
      </c>
      <c r="BO63" s="898"/>
      <c r="BP63" s="899" t="b">
        <f>IF(AND($C63&lt;&gt;"",M63=""),TRUE,FALSE)</f>
        <v>0</v>
      </c>
      <c r="BQ63" s="898"/>
      <c r="BR63" s="899" t="b">
        <f>IF(AND($C63&lt;&gt;"",O63=""),TRUE,FALSE)</f>
        <v>0</v>
      </c>
      <c r="BS63" s="898" t="b">
        <f>IF(AND(S63="",OR(U63&lt;&gt;"",AA63&lt;&gt;"",AG63&lt;&gt;"",AI63&lt;&gt;"",AK63&lt;&gt;"",AM63&lt;&gt;"",AO63&lt;&gt;"",AQ63&lt;&gt;"",AS63&lt;&gt;"",AU63&lt;&gt;"",AW63&lt;&gt;"",AY63&lt;&gt;"",BA63&lt;&gt;"")),TRUE,FALSE)</f>
        <v>0</v>
      </c>
      <c r="BT63" s="899" t="b">
        <f>IF(AND($C63&lt;&gt;"",S63=""),TRUE,FALSE)</f>
        <v>0</v>
      </c>
      <c r="BU63" s="898"/>
      <c r="BV63" s="899" t="b">
        <f>IF(AND($C63&lt;&gt;"",U63=""),TRUE,FALSE)</f>
        <v>0</v>
      </c>
      <c r="BW63" s="1537" t="b">
        <f>IF(BX63=TRUE,FALSE,IF(AA63="",FALSE,IF(OR(AA63&lt;CX63,AA63&gt;BaseYear),TRUE,FALSE)))</f>
        <v>0</v>
      </c>
      <c r="BX63" s="899" t="b">
        <f>IF(AND($C63&lt;&gt;"",AA63=""),TRUE,FALSE)</f>
        <v>0</v>
      </c>
      <c r="BY63" s="898"/>
      <c r="BZ63" s="899" t="b">
        <f>IF(AND($C63&lt;&gt;"",AG63=""),TRUE,FALSE)</f>
        <v>0</v>
      </c>
      <c r="CA63" s="898"/>
      <c r="CB63" s="899" t="b">
        <f>IF(AND($C63&lt;&gt;"",AI63=""),TRUE,FALSE)</f>
        <v>0</v>
      </c>
      <c r="CC63" s="1537" t="b">
        <f>IF(AK63="",FALSE,IF(OR(AK63&lt;CX63,AK63&gt;BaseYear),TRUE,FALSE))</f>
        <v>0</v>
      </c>
      <c r="CD63" s="1538" t="b">
        <f>IF(AK63="",FALSE,IF(AK63&lt;AA63,TRUE,FALSE))</f>
        <v>0</v>
      </c>
      <c r="CE63" s="899" t="b">
        <f>IF(AND($AM63&lt;&gt;"",AK63=""),TRUE,FALSE)</f>
        <v>0</v>
      </c>
      <c r="CF63" s="898"/>
      <c r="CG63" s="899" t="b">
        <f>IF(AND($AK63&lt;&gt;"",AM63=""),TRUE,FALSE)</f>
        <v>0</v>
      </c>
      <c r="CH63" s="898"/>
      <c r="CI63" s="899" t="b">
        <f>IF(AND($C63&lt;&gt;"",AO63=""),TRUE,FALSE)</f>
        <v>0</v>
      </c>
      <c r="CJ63" s="1537"/>
      <c r="CK63" s="899" t="b">
        <f>IF(AND($C63&lt;&gt;"",AQ63=""),TRUE,FALSE)</f>
        <v>0</v>
      </c>
      <c r="CL63" s="898"/>
      <c r="CM63" s="899" t="b">
        <f>IF(AND($C63&lt;&gt;"",AS63=""),TRUE,FALSE)</f>
        <v>0</v>
      </c>
      <c r="CN63" s="898"/>
      <c r="CO63" s="899" t="b">
        <f>IF(AND($C63&lt;&gt;"",AU63=""),TRUE,FALSE)</f>
        <v>0</v>
      </c>
      <c r="CP63" s="898"/>
      <c r="CQ63" s="899" t="b">
        <f>IF(AND($C63&lt;&gt;"",AW63=""),TRUE,FALSE)</f>
        <v>0</v>
      </c>
      <c r="CR63" s="898"/>
      <c r="CS63" s="899" t="b">
        <f>IF(AND($C63&lt;&gt;"",AY63=""),TRUE,FALSE)</f>
        <v>0</v>
      </c>
      <c r="CT63" s="898"/>
      <c r="CU63" s="898" t="b">
        <f>IF(AND($C63&lt;&gt;"",BA63=""),TRUE,FALSE)</f>
        <v>0</v>
      </c>
      <c r="CV63" s="894"/>
      <c r="CW63" s="898" t="str">
        <f t="shared" si="11"/>
        <v/>
      </c>
      <c r="CX63" s="898" t="str">
        <f>IFERROR(IF(AND(S63="",S63&lt;&gt;""),1913,VLOOKUP(S63,Valid!$B$99:$J$120,9)),"")</f>
        <v/>
      </c>
      <c r="CY63" s="898" t="str">
        <f t="shared" ca="1" si="12"/>
        <v/>
      </c>
      <c r="CZ63" s="1547" t="str">
        <f t="shared" ca="1" si="17"/>
        <v/>
      </c>
      <c r="DA63" s="898" t="str">
        <f ca="1">IF(CZ63="", "", IF(1+(CZ63*4)&lt;1, 1, 1+(CZ63*4)))</f>
        <v/>
      </c>
      <c r="DB63" s="898" t="str">
        <f t="shared" si="13"/>
        <v/>
      </c>
      <c r="DC63" s="898" t="str">
        <f t="shared" si="14"/>
        <v/>
      </c>
      <c r="DD63" s="1539" t="str">
        <f>IFERROR(IF(AND(AM63="",C63&lt;&gt;""),Valid!$E$123,VLOOKUP(AM63,Valid!$B$123:$F$125,4,FALSE)),"")</f>
        <v/>
      </c>
      <c r="DE63" s="1539" t="str">
        <f>IFERROR(IF(AND(AM63="",C63&lt;&gt;""),Valid!$F$123,VLOOKUP(AM63,Valid!$B$123:$F$125,5,FALSE)),"")</f>
        <v/>
      </c>
      <c r="DF63" s="1539" t="str">
        <f>IFERROR(VLOOKUP('A-70 RevVehInv'!S63,Valid!$B$99:$I$120,7), "")</f>
        <v/>
      </c>
      <c r="DG63" s="1539" t="str">
        <f>IFERROR(VLOOKUP(S63,Valid!$B$99:$I$120,8), "")</f>
        <v/>
      </c>
      <c r="DH63" s="894"/>
    </row>
    <row r="64" spans="1:112" ht="6.75" customHeight="1" x14ac:dyDescent="0.2">
      <c r="A64" s="1517"/>
      <c r="B64" s="1530">
        <v>26.5</v>
      </c>
      <c r="C64" s="1544"/>
      <c r="D64" s="905"/>
      <c r="E64" s="1545"/>
      <c r="F64" s="905"/>
      <c r="G64" s="905"/>
      <c r="H64" s="905"/>
      <c r="I64" s="1531"/>
      <c r="J64" s="905"/>
      <c r="K64" s="1531"/>
      <c r="L64" s="905"/>
      <c r="M64" s="1531"/>
      <c r="N64" s="905"/>
      <c r="O64" s="1531"/>
      <c r="P64" s="905"/>
      <c r="Q64" s="1531"/>
      <c r="R64" s="1531"/>
      <c r="S64" s="1533"/>
      <c r="T64" s="905"/>
      <c r="U64" s="1533"/>
      <c r="V64" s="905"/>
      <c r="W64" s="1531" t="str">
        <f t="shared" si="9"/>
        <v/>
      </c>
      <c r="X64" s="905"/>
      <c r="Y64" s="1531"/>
      <c r="Z64" s="252" t="str">
        <f t="shared" si="10"/>
        <v/>
      </c>
      <c r="AA64" s="1531"/>
      <c r="AB64" s="905"/>
      <c r="AC64" s="1971" t="str">
        <f t="shared" si="15"/>
        <v/>
      </c>
      <c r="AD64" s="905"/>
      <c r="AE64" s="1983" t="str">
        <f t="shared" si="16"/>
        <v/>
      </c>
      <c r="AF64" s="905"/>
      <c r="AG64" s="1546"/>
      <c r="AH64" s="1531"/>
      <c r="AI64" s="1531"/>
      <c r="AJ64" s="1531"/>
      <c r="AK64" s="1531"/>
      <c r="AL64" s="1531"/>
      <c r="AM64" s="1546"/>
      <c r="AN64" s="1531"/>
      <c r="AO64" s="1546"/>
      <c r="AP64" s="1531"/>
      <c r="AQ64" s="1531"/>
      <c r="AR64" s="1531"/>
      <c r="AS64" s="1531"/>
      <c r="AT64" s="1531"/>
      <c r="AU64" s="1531"/>
      <c r="AV64" s="1531"/>
      <c r="AW64" s="1531"/>
      <c r="AX64" s="1531"/>
      <c r="AY64" s="1531"/>
      <c r="AZ64" s="1531"/>
      <c r="BA64" s="1546"/>
      <c r="BB64" s="1531"/>
      <c r="BC64" s="1531"/>
      <c r="BD64" s="1531"/>
      <c r="BE64" s="1531"/>
      <c r="BF64" s="1531"/>
      <c r="BG64" s="1531"/>
      <c r="BH64" s="1531"/>
      <c r="BI64" s="1535"/>
      <c r="BJ64" s="1534"/>
      <c r="BK64" s="1535"/>
      <c r="BL64" s="1534"/>
      <c r="BM64" s="1535"/>
      <c r="BN64" s="1534"/>
      <c r="BO64" s="1535"/>
      <c r="BP64" s="1534"/>
      <c r="BQ64" s="1535"/>
      <c r="BR64" s="1534"/>
      <c r="BS64" s="1535"/>
      <c r="BT64" s="1534"/>
      <c r="BU64" s="1535"/>
      <c r="BV64" s="1534"/>
      <c r="BW64" s="1535"/>
      <c r="BX64" s="1534"/>
      <c r="BY64" s="1535"/>
      <c r="BZ64" s="1534"/>
      <c r="CA64" s="1535"/>
      <c r="CB64" s="1534"/>
      <c r="CC64" s="1535"/>
      <c r="CD64" s="1534"/>
      <c r="CE64" s="1534"/>
      <c r="CF64" s="1535"/>
      <c r="CG64" s="1534"/>
      <c r="CH64" s="1535"/>
      <c r="CI64" s="1534"/>
      <c r="CJ64" s="1535"/>
      <c r="CK64" s="1534"/>
      <c r="CL64" s="1535"/>
      <c r="CM64" s="1534"/>
      <c r="CN64" s="1535"/>
      <c r="CO64" s="1534"/>
      <c r="CP64" s="1535"/>
      <c r="CQ64" s="1534"/>
      <c r="CR64" s="1535"/>
      <c r="CS64" s="1534"/>
      <c r="CT64" s="1535"/>
      <c r="CU64" s="1535"/>
      <c r="CV64" s="1531"/>
      <c r="CW64" s="898" t="str">
        <f t="shared" si="11"/>
        <v/>
      </c>
      <c r="CX64" s="898" t="str">
        <f>IFERROR(IF(AND(S64="",S64&lt;&gt;""),1913,VLOOKUP(S64,Valid!$B$99:$J$120,9)),"")</f>
        <v/>
      </c>
      <c r="CY64" s="898" t="str">
        <f t="shared" ca="1" si="12"/>
        <v/>
      </c>
      <c r="CZ64" s="1547" t="str">
        <f t="shared" ca="1" si="17"/>
        <v/>
      </c>
      <c r="DA64" s="898"/>
      <c r="DB64" s="898" t="str">
        <f t="shared" si="13"/>
        <v/>
      </c>
      <c r="DC64" s="898" t="str">
        <f t="shared" si="14"/>
        <v/>
      </c>
      <c r="DD64" s="1539" t="str">
        <f>IFERROR(IF(AND(AM64="",C64&lt;&gt;""),Valid!$E$123,VLOOKUP(AM64,Valid!$B$123:$F$125,4,FALSE)),"")</f>
        <v/>
      </c>
      <c r="DE64" s="1539" t="str">
        <f>IFERROR(IF(AND(AM64="",C64&lt;&gt;""),Valid!$F$123,VLOOKUP(AM64,Valid!$B$123:$F$125,5,FALSE)),"")</f>
        <v/>
      </c>
      <c r="DF64" s="1539" t="str">
        <f>IFERROR(VLOOKUP('A-70 RevVehInv'!S64,Valid!$B$99:$I$120,7), "")</f>
        <v/>
      </c>
      <c r="DG64" s="1539" t="str">
        <f>IFERROR(VLOOKUP(S64,Valid!$B$99:$I$120,8), "")</f>
        <v/>
      </c>
      <c r="DH64" s="1531"/>
    </row>
    <row r="65" spans="1:112" s="930" customFormat="1" x14ac:dyDescent="0.2">
      <c r="A65" s="206">
        <v>27</v>
      </c>
      <c r="B65" s="1530">
        <v>27</v>
      </c>
      <c r="C65" s="933"/>
      <c r="D65" s="719" t="str">
        <f>IF(C63="","",IF((C65=""),"Enter RVI ID. then Fill in Columns "&amp;TEXT($I$2,0)&amp;" - "&amp;TEXT($BA$2,0)&amp;"       ",""))</f>
        <v/>
      </c>
      <c r="E65" s="1056" t="str">
        <f>IF(BH65="N/A","",BH65)</f>
        <v/>
      </c>
      <c r="F65" s="1536"/>
      <c r="G65" s="1536"/>
      <c r="H65" s="1536"/>
      <c r="I65" s="1023"/>
      <c r="J65" s="1536" t="str">
        <f>IF(E65&lt;&gt;"","Vehicles?    ","")</f>
        <v/>
      </c>
      <c r="K65" s="1023"/>
      <c r="L65" s="1536" t="str">
        <f>IF(E65&lt;&gt;"","Active Vehicles?     ","")</f>
        <v/>
      </c>
      <c r="M65" s="1023"/>
      <c r="N65" s="1536" t="str">
        <f>IF(E65&lt;&gt;"","ADA Vehicles?       ","")</f>
        <v/>
      </c>
      <c r="O65" s="1023"/>
      <c r="P65" s="1536" t="str">
        <f>IF(E65&lt;&gt;"","Cont. Vehicles?     ","")</f>
        <v/>
      </c>
      <c r="Q65" s="1024"/>
      <c r="R65" s="894"/>
      <c r="S65" s="1153"/>
      <c r="T65" s="252" t="str">
        <f>IF(E65&lt;&gt;"","Select from Pull-Down List    ","")</f>
        <v/>
      </c>
      <c r="U65" s="933"/>
      <c r="V65" s="252" t="str">
        <f>IF(E65&lt;&gt;"","Select from Pull-Down List    ","")</f>
        <v/>
      </c>
      <c r="W65" s="1766" t="str">
        <f t="shared" si="9"/>
        <v/>
      </c>
      <c r="X65" s="252"/>
      <c r="Y65" s="1988"/>
      <c r="Z65" s="252" t="str">
        <f t="shared" si="10"/>
        <v/>
      </c>
      <c r="AA65" s="139"/>
      <c r="AB65" s="252" t="str">
        <f>IF(E65&lt;&gt;"","Mfg. Yr?    ","")</f>
        <v/>
      </c>
      <c r="AC65" s="1974" t="str">
        <f t="shared" si="15"/>
        <v/>
      </c>
      <c r="AD65" s="252"/>
      <c r="AE65" s="1986" t="str">
        <f t="shared" si="16"/>
        <v/>
      </c>
      <c r="AF65" s="252"/>
      <c r="AG65" s="933"/>
      <c r="AH65" s="252" t="str">
        <f>IF(E65&lt;&gt;"","Select from Pull-Down List    ","")</f>
        <v/>
      </c>
      <c r="AI65" s="933"/>
      <c r="AJ65" s="252" t="str">
        <f>IF(E65&lt;&gt;"","Number?   ","")</f>
        <v/>
      </c>
      <c r="AK65" s="139"/>
      <c r="AL65" s="252" t="str">
        <f>IF(E65&lt;&gt;"","Last Rnwl. Yr?   ","")</f>
        <v/>
      </c>
      <c r="AM65" s="933"/>
      <c r="AN65" s="252" t="str">
        <f>IF(E65&lt;&gt;"","Select from Pull-Down List    ","")</f>
        <v/>
      </c>
      <c r="AO65" s="933"/>
      <c r="AP65" s="252" t="str">
        <f>IF(E65&lt;&gt;"","Select from Pull-Down List    ","")</f>
        <v/>
      </c>
      <c r="AQ65" s="1023"/>
      <c r="AR65" s="252" t="str">
        <f>IF(E65&lt;&gt;"","Feet?    ","")</f>
        <v/>
      </c>
      <c r="AS65" s="1023"/>
      <c r="AT65" s="252" t="str">
        <f>IF(E65&lt;&gt;"","Seats?    ","")</f>
        <v/>
      </c>
      <c r="AU65" s="1023"/>
      <c r="AV65" s="252" t="str">
        <f>IF(E65&lt;&gt;"","Standing?    ","")</f>
        <v/>
      </c>
      <c r="AW65" s="1023"/>
      <c r="AX65" s="252" t="str">
        <f>IF(E65&lt;&gt;"","Mileage?       ","")</f>
        <v/>
      </c>
      <c r="AY65" s="1023"/>
      <c r="AZ65" s="252" t="str">
        <f>IF(E65&lt;&gt;"","Avg. Lifetime Mileage? ","")</f>
        <v/>
      </c>
      <c r="BA65" s="933"/>
      <c r="BB65" s="252" t="str">
        <f>IF(E65&lt;&gt;"","Select from Pull-Down List    ","")</f>
        <v/>
      </c>
      <c r="BC65" s="171"/>
      <c r="BD65" s="252" t="str">
        <f>IF(OR(AO65="OR - Other fuel (describe in Notes)",AG65="ZZZ - Other (describe in Notes)"),"Describe                                                                                                     ","")</f>
        <v/>
      </c>
      <c r="BE65" s="894"/>
      <c r="BF65" s="894"/>
      <c r="BG65" s="894" t="b">
        <f>IF(AND(C65="",C67&lt;&gt;""),TRUE,FALSE)</f>
        <v>0</v>
      </c>
      <c r="BH65" s="888" t="str">
        <f>IF(AND(C65&lt;&gt;"",OR(I65="",K65="",M65="",O65="",S65="",U65="",AA65="",AG65="",AI65="",AO65="",AQ65="",AS65="",AU65="",AW65="",AY65="")),"No",IF(AND(C65="",OR(I65&lt;&gt;"",K65&lt;&gt;"",M65&lt;&gt;"",O65&lt;&gt;"",S65&lt;&gt;"",U65&lt;&gt;"",AA65&lt;&gt;"",AG65&lt;&gt;"",AI65&lt;&gt;"",AK65&lt;&gt;"",AM65&lt;&gt;"",AO65&lt;&gt;"",AQ65&lt;&gt;"",AS65&lt;&gt;"",AU65&lt;&gt;"",AW65&lt;&gt;"",AY65&lt;&gt;"",BA65&lt;&gt;"",BC65&lt;&gt;"")),"No",IF(AND(C65="",I65="",K65="",M65="",O65="",S65="",U65="",AA65="",AG65="",AI65="",AK65="",AM65="",AO65="",AQ65="",AS65="",AU65="",AW65="",AY65="",BA65=""),"N/A","Yes")))</f>
        <v>N/A</v>
      </c>
      <c r="BI65" s="898"/>
      <c r="BJ65" s="899" t="b">
        <f>IF(AND(OR(I65&lt;&gt;"",K65&lt;&gt;"",M65&lt;&gt;"",O65&lt;&gt;"",S65&lt;&gt;"",U65&lt;&gt;"",AA65&lt;&gt;"",AG65&lt;&gt;"",AI65&lt;&gt;"",AK65&lt;&gt;"",AM65&lt;&gt;"",AO65&lt;&gt;"",AQ65&lt;&gt;"",AS65&lt;&gt;"",AW65&lt;&gt;"",AY65&lt;&gt;"",BA65&lt;&gt;"",BC65&lt;&gt;""),C65=""),TRUE,FALSE)</f>
        <v>0</v>
      </c>
      <c r="BK65" s="898" t="b">
        <f>IF(BL65=TRUE,FALSE,IF(SUM(K65,O65)&gt;I65,TRUE,FALSE))</f>
        <v>0</v>
      </c>
      <c r="BL65" s="899" t="b">
        <f>IF(AND(C65&lt;&gt;"",I65=""),TRUE,FALSE)</f>
        <v>0</v>
      </c>
      <c r="BM65" s="898" t="b">
        <f>IF(BN65=TRUE,FALSE,IF(M65&gt;K65,TRUE,FALSE))</f>
        <v>0</v>
      </c>
      <c r="BN65" s="899" t="b">
        <f>IF(AND($C65&lt;&gt;"",K65=""),TRUE,FALSE)</f>
        <v>0</v>
      </c>
      <c r="BO65" s="898"/>
      <c r="BP65" s="899" t="b">
        <f>IF(AND($C65&lt;&gt;"",M65=""),TRUE,FALSE)</f>
        <v>0</v>
      </c>
      <c r="BQ65" s="898"/>
      <c r="BR65" s="899" t="b">
        <f>IF(AND($C65&lt;&gt;"",O65=""),TRUE,FALSE)</f>
        <v>0</v>
      </c>
      <c r="BS65" s="898" t="b">
        <f>IF(AND(S65="",OR(U65&lt;&gt;"",AA65&lt;&gt;"",AG65&lt;&gt;"",AI65&lt;&gt;"",AK65&lt;&gt;"",AM65&lt;&gt;"",AO65&lt;&gt;"",AQ65&lt;&gt;"",AS65&lt;&gt;"",AU65&lt;&gt;"",AW65&lt;&gt;"",AY65&lt;&gt;"",BA65&lt;&gt;"")),TRUE,FALSE)</f>
        <v>0</v>
      </c>
      <c r="BT65" s="899" t="b">
        <f>IF(AND($C65&lt;&gt;"",S65=""),TRUE,FALSE)</f>
        <v>0</v>
      </c>
      <c r="BU65" s="898"/>
      <c r="BV65" s="899" t="b">
        <f>IF(AND($C65&lt;&gt;"",U65=""),TRUE,FALSE)</f>
        <v>0</v>
      </c>
      <c r="BW65" s="1537" t="b">
        <f>IF(BX65=TRUE,FALSE,IF(AA65="",FALSE,IF(OR(AA65&lt;CX65,AA65&gt;BaseYear),TRUE,FALSE)))</f>
        <v>0</v>
      </c>
      <c r="BX65" s="899" t="b">
        <f>IF(AND($C65&lt;&gt;"",AA65=""),TRUE,FALSE)</f>
        <v>0</v>
      </c>
      <c r="BY65" s="898"/>
      <c r="BZ65" s="899" t="b">
        <f>IF(AND($C65&lt;&gt;"",AG65=""),TRUE,FALSE)</f>
        <v>0</v>
      </c>
      <c r="CA65" s="898"/>
      <c r="CB65" s="899" t="b">
        <f>IF(AND($C65&lt;&gt;"",AI65=""),TRUE,FALSE)</f>
        <v>0</v>
      </c>
      <c r="CC65" s="1537" t="b">
        <f>IF(AK65="",FALSE,IF(OR(AK65&lt;CX65,AK65&gt;BaseYear),TRUE,FALSE))</f>
        <v>0</v>
      </c>
      <c r="CD65" s="1538" t="b">
        <f>IF(AK65="",FALSE,IF(AK65&lt;AA65,TRUE,FALSE))</f>
        <v>0</v>
      </c>
      <c r="CE65" s="899" t="b">
        <f>IF(AND($AM65&lt;&gt;"",AK65=""),TRUE,FALSE)</f>
        <v>0</v>
      </c>
      <c r="CF65" s="898"/>
      <c r="CG65" s="899" t="b">
        <f>IF(AND($AK65&lt;&gt;"",AM65=""),TRUE,FALSE)</f>
        <v>0</v>
      </c>
      <c r="CH65" s="898"/>
      <c r="CI65" s="899" t="b">
        <f>IF(AND($C65&lt;&gt;"",AO65=""),TRUE,FALSE)</f>
        <v>0</v>
      </c>
      <c r="CJ65" s="1537"/>
      <c r="CK65" s="899" t="b">
        <f>IF(AND($C65&lt;&gt;"",AQ65=""),TRUE,FALSE)</f>
        <v>0</v>
      </c>
      <c r="CL65" s="898"/>
      <c r="CM65" s="899" t="b">
        <f>IF(AND($C65&lt;&gt;"",AS65=""),TRUE,FALSE)</f>
        <v>0</v>
      </c>
      <c r="CN65" s="898"/>
      <c r="CO65" s="899" t="b">
        <f>IF(AND($C65&lt;&gt;"",AU65=""),TRUE,FALSE)</f>
        <v>0</v>
      </c>
      <c r="CP65" s="898"/>
      <c r="CQ65" s="899" t="b">
        <f>IF(AND($C65&lt;&gt;"",AW65=""),TRUE,FALSE)</f>
        <v>0</v>
      </c>
      <c r="CR65" s="898"/>
      <c r="CS65" s="899" t="b">
        <f>IF(AND($C65&lt;&gt;"",AY65=""),TRUE,FALSE)</f>
        <v>0</v>
      </c>
      <c r="CT65" s="898"/>
      <c r="CU65" s="898" t="b">
        <f>IF(AND($C65&lt;&gt;"",BA65=""),TRUE,FALSE)</f>
        <v>0</v>
      </c>
      <c r="CV65" s="894"/>
      <c r="CW65" s="898" t="str">
        <f t="shared" si="11"/>
        <v/>
      </c>
      <c r="CX65" s="898" t="str">
        <f>IFERROR(IF(AND(S65="",S65&lt;&gt;""),1913,VLOOKUP(S65,Valid!$B$99:$J$120,9)),"")</f>
        <v/>
      </c>
      <c r="CY65" s="898" t="str">
        <f t="shared" ca="1" si="12"/>
        <v/>
      </c>
      <c r="CZ65" s="1547" t="str">
        <f t="shared" ca="1" si="17"/>
        <v/>
      </c>
      <c r="DA65" s="898" t="str">
        <f ca="1">IF(CZ65="", "", IF(1+(CZ65*4)&lt;1, 1, 1+(CZ65*4)))</f>
        <v/>
      </c>
      <c r="DB65" s="898" t="str">
        <f t="shared" si="13"/>
        <v/>
      </c>
      <c r="DC65" s="898" t="str">
        <f t="shared" si="14"/>
        <v/>
      </c>
      <c r="DD65" s="1539" t="str">
        <f>IFERROR(IF(AND(AM65="",C65&lt;&gt;""),Valid!$E$123,VLOOKUP(AM65,Valid!$B$123:$F$125,4,FALSE)),"")</f>
        <v/>
      </c>
      <c r="DE65" s="1539" t="str">
        <f>IFERROR(IF(AND(AM65="",C65&lt;&gt;""),Valid!$F$123,VLOOKUP(AM65,Valid!$B$123:$F$125,5,FALSE)),"")</f>
        <v/>
      </c>
      <c r="DF65" s="1539" t="str">
        <f>IFERROR(VLOOKUP('A-70 RevVehInv'!S65,Valid!$B$99:$I$120,7), "")</f>
        <v/>
      </c>
      <c r="DG65" s="1539" t="str">
        <f>IFERROR(VLOOKUP(S65,Valid!$B$99:$I$120,8), "")</f>
        <v/>
      </c>
      <c r="DH65" s="894"/>
    </row>
    <row r="66" spans="1:112" ht="6.75" customHeight="1" x14ac:dyDescent="0.2">
      <c r="A66" s="1517"/>
      <c r="B66" s="1530">
        <v>27.5</v>
      </c>
      <c r="C66" s="1540"/>
      <c r="D66" s="905"/>
      <c r="E66" s="1541"/>
      <c r="F66" s="905"/>
      <c r="G66" s="905"/>
      <c r="H66" s="905"/>
      <c r="I66" s="1534"/>
      <c r="J66" s="905"/>
      <c r="K66" s="1534"/>
      <c r="L66" s="905"/>
      <c r="M66" s="1534"/>
      <c r="N66" s="905"/>
      <c r="O66" s="1534"/>
      <c r="P66" s="905"/>
      <c r="Q66" s="1534"/>
      <c r="R66" s="1531"/>
      <c r="S66" s="1542"/>
      <c r="T66" s="905"/>
      <c r="U66" s="1542"/>
      <c r="V66" s="905"/>
      <c r="W66" s="1534" t="str">
        <f t="shared" si="9"/>
        <v/>
      </c>
      <c r="X66" s="905"/>
      <c r="Y66" s="1534"/>
      <c r="Z66" s="252" t="str">
        <f t="shared" si="10"/>
        <v/>
      </c>
      <c r="AA66" s="1534"/>
      <c r="AB66" s="905"/>
      <c r="AC66" s="1973" t="str">
        <f t="shared" si="15"/>
        <v/>
      </c>
      <c r="AD66" s="905"/>
      <c r="AE66" s="1985" t="str">
        <f t="shared" si="16"/>
        <v/>
      </c>
      <c r="AF66" s="905"/>
      <c r="AG66" s="1543"/>
      <c r="AH66" s="1531"/>
      <c r="AI66" s="1534"/>
      <c r="AJ66" s="1531"/>
      <c r="AK66" s="1534"/>
      <c r="AL66" s="1531"/>
      <c r="AM66" s="1543"/>
      <c r="AN66" s="1531"/>
      <c r="AO66" s="1543"/>
      <c r="AP66" s="1531"/>
      <c r="AQ66" s="1534"/>
      <c r="AR66" s="1531"/>
      <c r="AS66" s="1534"/>
      <c r="AT66" s="1531"/>
      <c r="AU66" s="1534"/>
      <c r="AV66" s="1531"/>
      <c r="AW66" s="1534"/>
      <c r="AX66" s="1531"/>
      <c r="AY66" s="1534"/>
      <c r="AZ66" s="1531"/>
      <c r="BA66" s="1543"/>
      <c r="BB66" s="1531"/>
      <c r="BC66" s="1534"/>
      <c r="BD66" s="1531"/>
      <c r="BE66" s="1531"/>
      <c r="BF66" s="1531"/>
      <c r="BG66" s="1531"/>
      <c r="BH66" s="1531"/>
      <c r="BI66" s="1535"/>
      <c r="BJ66" s="1534"/>
      <c r="BK66" s="1535"/>
      <c r="BL66" s="1534"/>
      <c r="BM66" s="1535"/>
      <c r="BN66" s="1534"/>
      <c r="BO66" s="1535"/>
      <c r="BP66" s="1534"/>
      <c r="BQ66" s="1535"/>
      <c r="BR66" s="1534"/>
      <c r="BS66" s="1535"/>
      <c r="BT66" s="1534"/>
      <c r="BU66" s="1535"/>
      <c r="BV66" s="1534"/>
      <c r="BW66" s="1535"/>
      <c r="BX66" s="1534"/>
      <c r="BY66" s="1535"/>
      <c r="BZ66" s="1534"/>
      <c r="CA66" s="1535"/>
      <c r="CB66" s="1534"/>
      <c r="CC66" s="1535"/>
      <c r="CD66" s="1534"/>
      <c r="CE66" s="1534"/>
      <c r="CF66" s="1535"/>
      <c r="CG66" s="1534"/>
      <c r="CH66" s="1535"/>
      <c r="CI66" s="1534"/>
      <c r="CJ66" s="1535"/>
      <c r="CK66" s="1534"/>
      <c r="CL66" s="1535"/>
      <c r="CM66" s="1534"/>
      <c r="CN66" s="1535"/>
      <c r="CO66" s="1534"/>
      <c r="CP66" s="1535"/>
      <c r="CQ66" s="1534"/>
      <c r="CR66" s="1535"/>
      <c r="CS66" s="1534"/>
      <c r="CT66" s="1535"/>
      <c r="CU66" s="1535"/>
      <c r="CV66" s="1531"/>
      <c r="CW66" s="898" t="str">
        <f t="shared" si="11"/>
        <v/>
      </c>
      <c r="CX66" s="898" t="str">
        <f>IFERROR(IF(AND(S66="",S66&lt;&gt;""),1913,VLOOKUP(S66,Valid!$B$99:$J$120,9)),"")</f>
        <v/>
      </c>
      <c r="CY66" s="898" t="str">
        <f t="shared" ca="1" si="12"/>
        <v/>
      </c>
      <c r="CZ66" s="1547" t="str">
        <f t="shared" ca="1" si="17"/>
        <v/>
      </c>
      <c r="DA66" s="898"/>
      <c r="DB66" s="898" t="str">
        <f t="shared" si="13"/>
        <v/>
      </c>
      <c r="DC66" s="898" t="str">
        <f t="shared" si="14"/>
        <v/>
      </c>
      <c r="DD66" s="1539" t="str">
        <f>IFERROR(IF(AND(AM66="",C66&lt;&gt;""),Valid!$E$123,VLOOKUP(AM66,Valid!$B$123:$F$125,4,FALSE)),"")</f>
        <v/>
      </c>
      <c r="DE66" s="1539" t="str">
        <f>IFERROR(IF(AND(AM66="",C66&lt;&gt;""),Valid!$F$123,VLOOKUP(AM66,Valid!$B$123:$F$125,5,FALSE)),"")</f>
        <v/>
      </c>
      <c r="DF66" s="1539" t="str">
        <f>IFERROR(VLOOKUP('A-70 RevVehInv'!S66,Valid!$B$99:$I$120,7), "")</f>
        <v/>
      </c>
      <c r="DG66" s="1539" t="str">
        <f>IFERROR(VLOOKUP(S66,Valid!$B$99:$I$120,8), "")</f>
        <v/>
      </c>
      <c r="DH66" s="1531"/>
    </row>
    <row r="67" spans="1:112" s="930" customFormat="1" x14ac:dyDescent="0.2">
      <c r="A67" s="206">
        <v>28</v>
      </c>
      <c r="B67" s="1530">
        <v>28</v>
      </c>
      <c r="C67" s="933"/>
      <c r="D67" s="719" t="str">
        <f>IF(C65="","",IF((C67=""),"Enter RVI ID. then Fill in Columns "&amp;TEXT($I$2,0)&amp;" - "&amp;TEXT($BA$2,0)&amp;"       ",""))</f>
        <v/>
      </c>
      <c r="E67" s="1056" t="str">
        <f>IF(BH67="N/A","",BH67)</f>
        <v/>
      </c>
      <c r="F67" s="1536"/>
      <c r="G67" s="1536"/>
      <c r="H67" s="1536"/>
      <c r="I67" s="1023"/>
      <c r="J67" s="1536" t="str">
        <f>IF(E67&lt;&gt;"","Vehicles?    ","")</f>
        <v/>
      </c>
      <c r="K67" s="1023"/>
      <c r="L67" s="1536" t="str">
        <f>IF(E67&lt;&gt;"","Active Vehicles?     ","")</f>
        <v/>
      </c>
      <c r="M67" s="1023"/>
      <c r="N67" s="1536" t="str">
        <f>IF(E67&lt;&gt;"","ADA Vehicles?       ","")</f>
        <v/>
      </c>
      <c r="O67" s="1023"/>
      <c r="P67" s="1536" t="str">
        <f>IF(E67&lt;&gt;"","Cont. Vehicles?     ","")</f>
        <v/>
      </c>
      <c r="Q67" s="1024"/>
      <c r="R67" s="894"/>
      <c r="S67" s="1153"/>
      <c r="T67" s="252" t="str">
        <f>IF(E67&lt;&gt;"","Select from Pull-Down List    ","")</f>
        <v/>
      </c>
      <c r="U67" s="933"/>
      <c r="V67" s="252" t="str">
        <f>IF(E67&lt;&gt;"","Select from Pull-Down List    ","")</f>
        <v/>
      </c>
      <c r="W67" s="1766" t="str">
        <f t="shared" si="9"/>
        <v/>
      </c>
      <c r="X67" s="252"/>
      <c r="Y67" s="1988"/>
      <c r="Z67" s="252" t="str">
        <f t="shared" si="10"/>
        <v/>
      </c>
      <c r="AA67" s="139"/>
      <c r="AB67" s="252" t="str">
        <f>IF(E67&lt;&gt;"","Mfg. Yr?    ","")</f>
        <v/>
      </c>
      <c r="AC67" s="1974" t="str">
        <f t="shared" si="15"/>
        <v/>
      </c>
      <c r="AD67" s="252"/>
      <c r="AE67" s="1986" t="str">
        <f t="shared" si="16"/>
        <v/>
      </c>
      <c r="AF67" s="252"/>
      <c r="AG67" s="933"/>
      <c r="AH67" s="252" t="str">
        <f>IF(E67&lt;&gt;"","Select from Pull-Down List    ","")</f>
        <v/>
      </c>
      <c r="AI67" s="933"/>
      <c r="AJ67" s="252" t="str">
        <f>IF(E67&lt;&gt;"","Number?   ","")</f>
        <v/>
      </c>
      <c r="AK67" s="139"/>
      <c r="AL67" s="252" t="str">
        <f>IF(E67&lt;&gt;"","Last Rnwl. Yr?   ","")</f>
        <v/>
      </c>
      <c r="AM67" s="933"/>
      <c r="AN67" s="252" t="str">
        <f>IF(E67&lt;&gt;"","Select from Pull-Down List    ","")</f>
        <v/>
      </c>
      <c r="AO67" s="933"/>
      <c r="AP67" s="252" t="str">
        <f>IF(E67&lt;&gt;"","Select from Pull-Down List    ","")</f>
        <v/>
      </c>
      <c r="AQ67" s="1023"/>
      <c r="AR67" s="252" t="str">
        <f>IF(E67&lt;&gt;"","Feet?    ","")</f>
        <v/>
      </c>
      <c r="AS67" s="1023"/>
      <c r="AT67" s="252" t="str">
        <f>IF(E67&lt;&gt;"","Seats?    ","")</f>
        <v/>
      </c>
      <c r="AU67" s="1023"/>
      <c r="AV67" s="252" t="str">
        <f>IF(E67&lt;&gt;"","Standing?    ","")</f>
        <v/>
      </c>
      <c r="AW67" s="1023"/>
      <c r="AX67" s="252" t="str">
        <f>IF(E67&lt;&gt;"","Mileage?       ","")</f>
        <v/>
      </c>
      <c r="AY67" s="1023"/>
      <c r="AZ67" s="252" t="str">
        <f>IF(E67&lt;&gt;"","Avg. Lifetime Mileage? ","")</f>
        <v/>
      </c>
      <c r="BA67" s="933"/>
      <c r="BB67" s="252" t="str">
        <f>IF(E67&lt;&gt;"","Select from Pull-Down List    ","")</f>
        <v/>
      </c>
      <c r="BC67" s="171"/>
      <c r="BD67" s="252" t="str">
        <f>IF(OR(AO67="OR - Other fuel (describe in Notes)",AG67="ZZZ - Other (describe in Notes)"),"Describe                                                                                                     ","")</f>
        <v/>
      </c>
      <c r="BE67" s="894"/>
      <c r="BF67" s="894"/>
      <c r="BG67" s="894" t="b">
        <f>IF(AND(C67="",C69&lt;&gt;""),TRUE,FALSE)</f>
        <v>0</v>
      </c>
      <c r="BH67" s="888" t="str">
        <f>IF(AND(C67&lt;&gt;"",OR(I67="",K67="",M67="",O67="",S67="",U67="",AA67="",AG67="",AI67="",AO67="",AQ67="",AS67="",AU67="",AW67="",AY67="")),"No",IF(AND(C67="",OR(I67&lt;&gt;"",K67&lt;&gt;"",M67&lt;&gt;"",O67&lt;&gt;"",S67&lt;&gt;"",U67&lt;&gt;"",AA67&lt;&gt;"",AG67&lt;&gt;"",AI67&lt;&gt;"",AK67&lt;&gt;"",AM67&lt;&gt;"",AO67&lt;&gt;"",AQ67&lt;&gt;"",AS67&lt;&gt;"",AU67&lt;&gt;"",AW67&lt;&gt;"",AY67&lt;&gt;"",BA67&lt;&gt;"",BC67&lt;&gt;"")),"No",IF(AND(C67="",I67="",K67="",M67="",O67="",S67="",U67="",AA67="",AG67="",AI67="",AK67="",AM67="",AO67="",AQ67="",AS67="",AU67="",AW67="",AY67="",BA67=""),"N/A","Yes")))</f>
        <v>N/A</v>
      </c>
      <c r="BI67" s="898"/>
      <c r="BJ67" s="899" t="b">
        <f>IF(AND(OR(I67&lt;&gt;"",K67&lt;&gt;"",M67&lt;&gt;"",O67&lt;&gt;"",S67&lt;&gt;"",U67&lt;&gt;"",AA67&lt;&gt;"",AG67&lt;&gt;"",AI67&lt;&gt;"",AK67&lt;&gt;"",AM67&lt;&gt;"",AO67&lt;&gt;"",AQ67&lt;&gt;"",AS67&lt;&gt;"",AW67&lt;&gt;"",AY67&lt;&gt;"",BA67&lt;&gt;"",BC67&lt;&gt;""),C67=""),TRUE,FALSE)</f>
        <v>0</v>
      </c>
      <c r="BK67" s="898" t="b">
        <f>IF(BL67=TRUE,FALSE,IF(SUM(K67,O67)&gt;I67,TRUE,FALSE))</f>
        <v>0</v>
      </c>
      <c r="BL67" s="899" t="b">
        <f>IF(AND(C67&lt;&gt;"",I67=""),TRUE,FALSE)</f>
        <v>0</v>
      </c>
      <c r="BM67" s="898" t="b">
        <f>IF(BN67=TRUE,FALSE,IF(M67&gt;K67,TRUE,FALSE))</f>
        <v>0</v>
      </c>
      <c r="BN67" s="899" t="b">
        <f>IF(AND($C67&lt;&gt;"",K67=""),TRUE,FALSE)</f>
        <v>0</v>
      </c>
      <c r="BO67" s="898"/>
      <c r="BP67" s="899" t="b">
        <f>IF(AND($C67&lt;&gt;"",M67=""),TRUE,FALSE)</f>
        <v>0</v>
      </c>
      <c r="BQ67" s="898"/>
      <c r="BR67" s="899" t="b">
        <f>IF(AND($C67&lt;&gt;"",O67=""),TRUE,FALSE)</f>
        <v>0</v>
      </c>
      <c r="BS67" s="898" t="b">
        <f>IF(AND(S67="",OR(U67&lt;&gt;"",AA67&lt;&gt;"",AG67&lt;&gt;"",AI67&lt;&gt;"",AK67&lt;&gt;"",AM67&lt;&gt;"",AO67&lt;&gt;"",AQ67&lt;&gt;"",AS67&lt;&gt;"",AU67&lt;&gt;"",AW67&lt;&gt;"",AY67&lt;&gt;"",BA67&lt;&gt;"")),TRUE,FALSE)</f>
        <v>0</v>
      </c>
      <c r="BT67" s="899" t="b">
        <f>IF(AND($C67&lt;&gt;"",S67=""),TRUE,FALSE)</f>
        <v>0</v>
      </c>
      <c r="BU67" s="898"/>
      <c r="BV67" s="899" t="b">
        <f>IF(AND($C67&lt;&gt;"",U67=""),TRUE,FALSE)</f>
        <v>0</v>
      </c>
      <c r="BW67" s="1537" t="b">
        <f>IF(BX67=TRUE,FALSE,IF(AA67="",FALSE,IF(OR(AA67&lt;CX67,AA67&gt;BaseYear),TRUE,FALSE)))</f>
        <v>0</v>
      </c>
      <c r="BX67" s="899" t="b">
        <f>IF(AND($C67&lt;&gt;"",AA67=""),TRUE,FALSE)</f>
        <v>0</v>
      </c>
      <c r="BY67" s="898"/>
      <c r="BZ67" s="899" t="b">
        <f>IF(AND($C67&lt;&gt;"",AG67=""),TRUE,FALSE)</f>
        <v>0</v>
      </c>
      <c r="CA67" s="898"/>
      <c r="CB67" s="899" t="b">
        <f>IF(AND($C67&lt;&gt;"",AI67=""),TRUE,FALSE)</f>
        <v>0</v>
      </c>
      <c r="CC67" s="1537" t="b">
        <f>IF(AK67="",FALSE,IF(OR(AK67&lt;CX67,AK67&gt;BaseYear),TRUE,FALSE))</f>
        <v>0</v>
      </c>
      <c r="CD67" s="1538" t="b">
        <f>IF(AK67="",FALSE,IF(AK67&lt;AA67,TRUE,FALSE))</f>
        <v>0</v>
      </c>
      <c r="CE67" s="899" t="b">
        <f>IF(AND($AM67&lt;&gt;"",AK67=""),TRUE,FALSE)</f>
        <v>0</v>
      </c>
      <c r="CF67" s="898"/>
      <c r="CG67" s="899" t="b">
        <f>IF(AND($AK67&lt;&gt;"",AM67=""),TRUE,FALSE)</f>
        <v>0</v>
      </c>
      <c r="CH67" s="898"/>
      <c r="CI67" s="899" t="b">
        <f>IF(AND($C67&lt;&gt;"",AO67=""),TRUE,FALSE)</f>
        <v>0</v>
      </c>
      <c r="CJ67" s="1537"/>
      <c r="CK67" s="899" t="b">
        <f>IF(AND($C67&lt;&gt;"",AQ67=""),TRUE,FALSE)</f>
        <v>0</v>
      </c>
      <c r="CL67" s="898"/>
      <c r="CM67" s="899" t="b">
        <f>IF(AND($C67&lt;&gt;"",AS67=""),TRUE,FALSE)</f>
        <v>0</v>
      </c>
      <c r="CN67" s="898"/>
      <c r="CO67" s="899" t="b">
        <f>IF(AND($C67&lt;&gt;"",AU67=""),TRUE,FALSE)</f>
        <v>0</v>
      </c>
      <c r="CP67" s="898"/>
      <c r="CQ67" s="899" t="b">
        <f>IF(AND($C67&lt;&gt;"",AW67=""),TRUE,FALSE)</f>
        <v>0</v>
      </c>
      <c r="CR67" s="898"/>
      <c r="CS67" s="899" t="b">
        <f>IF(AND($C67&lt;&gt;"",AY67=""),TRUE,FALSE)</f>
        <v>0</v>
      </c>
      <c r="CT67" s="898"/>
      <c r="CU67" s="898" t="b">
        <f>IF(AND($C67&lt;&gt;"",BA67=""),TRUE,FALSE)</f>
        <v>0</v>
      </c>
      <c r="CV67" s="894"/>
      <c r="CW67" s="898" t="str">
        <f t="shared" si="11"/>
        <v/>
      </c>
      <c r="CX67" s="898" t="str">
        <f>IFERROR(IF(AND(S67="",S67&lt;&gt;""),1913,VLOOKUP(S67,Valid!$B$99:$J$120,9)),"")</f>
        <v/>
      </c>
      <c r="CY67" s="898" t="str">
        <f t="shared" ca="1" si="12"/>
        <v/>
      </c>
      <c r="CZ67" s="1547" t="str">
        <f t="shared" ca="1" si="17"/>
        <v/>
      </c>
      <c r="DA67" s="898" t="str">
        <f ca="1">IF(CZ67="", "", IF(1+(CZ67*4)&lt;1, 1, 1+(CZ67*4)))</f>
        <v/>
      </c>
      <c r="DB67" s="898" t="str">
        <f t="shared" si="13"/>
        <v/>
      </c>
      <c r="DC67" s="898" t="str">
        <f t="shared" si="14"/>
        <v/>
      </c>
      <c r="DD67" s="1539" t="str">
        <f>IFERROR(IF(AND(AM67="",C67&lt;&gt;""),Valid!$E$123,VLOOKUP(AM67,Valid!$B$123:$F$125,4,FALSE)),"")</f>
        <v/>
      </c>
      <c r="DE67" s="1539" t="str">
        <f>IFERROR(IF(AND(AM67="",C67&lt;&gt;""),Valid!$F$123,VLOOKUP(AM67,Valid!$B$123:$F$125,5,FALSE)),"")</f>
        <v/>
      </c>
      <c r="DF67" s="1539" t="str">
        <f>IFERROR(VLOOKUP('A-70 RevVehInv'!S67,Valid!$B$99:$I$120,7), "")</f>
        <v/>
      </c>
      <c r="DG67" s="1539" t="str">
        <f>IFERROR(VLOOKUP(S67,Valid!$B$99:$I$120,8), "")</f>
        <v/>
      </c>
      <c r="DH67" s="894"/>
    </row>
    <row r="68" spans="1:112" ht="6.75" customHeight="1" x14ac:dyDescent="0.2">
      <c r="A68" s="1517"/>
      <c r="B68" s="1530">
        <v>28.5</v>
      </c>
      <c r="C68" s="1544"/>
      <c r="D68" s="905"/>
      <c r="E68" s="1545"/>
      <c r="F68" s="905"/>
      <c r="G68" s="905"/>
      <c r="H68" s="905"/>
      <c r="I68" s="1531"/>
      <c r="J68" s="905"/>
      <c r="K68" s="1531"/>
      <c r="L68" s="905"/>
      <c r="M68" s="1531"/>
      <c r="N68" s="905"/>
      <c r="O68" s="1531"/>
      <c r="P68" s="905"/>
      <c r="Q68" s="1531"/>
      <c r="R68" s="1531"/>
      <c r="S68" s="1533"/>
      <c r="T68" s="905"/>
      <c r="U68" s="1533"/>
      <c r="V68" s="905"/>
      <c r="W68" s="1531" t="str">
        <f t="shared" si="9"/>
        <v/>
      </c>
      <c r="X68" s="905"/>
      <c r="Y68" s="1531"/>
      <c r="Z68" s="252" t="str">
        <f t="shared" si="10"/>
        <v/>
      </c>
      <c r="AA68" s="1531"/>
      <c r="AB68" s="905"/>
      <c r="AC68" s="1971" t="str">
        <f t="shared" si="15"/>
        <v/>
      </c>
      <c r="AD68" s="905"/>
      <c r="AE68" s="1983" t="str">
        <f t="shared" si="16"/>
        <v/>
      </c>
      <c r="AF68" s="905"/>
      <c r="AG68" s="1546"/>
      <c r="AH68" s="1531"/>
      <c r="AI68" s="1531"/>
      <c r="AJ68" s="1531"/>
      <c r="AK68" s="1531"/>
      <c r="AL68" s="1531"/>
      <c r="AM68" s="1546"/>
      <c r="AN68" s="1531"/>
      <c r="AO68" s="1546"/>
      <c r="AP68" s="1531"/>
      <c r="AQ68" s="1531"/>
      <c r="AR68" s="1531"/>
      <c r="AS68" s="1531"/>
      <c r="AT68" s="1531"/>
      <c r="AU68" s="1531"/>
      <c r="AV68" s="1531"/>
      <c r="AW68" s="1531"/>
      <c r="AX68" s="1531"/>
      <c r="AY68" s="1531"/>
      <c r="AZ68" s="1531"/>
      <c r="BA68" s="1546"/>
      <c r="BB68" s="1531"/>
      <c r="BC68" s="1531"/>
      <c r="BD68" s="1531"/>
      <c r="BE68" s="1531"/>
      <c r="BF68" s="1531"/>
      <c r="BG68" s="1531"/>
      <c r="BH68" s="1531"/>
      <c r="BI68" s="1535"/>
      <c r="BJ68" s="1534"/>
      <c r="BK68" s="1535"/>
      <c r="BL68" s="1534"/>
      <c r="BM68" s="1535"/>
      <c r="BN68" s="1534"/>
      <c r="BO68" s="1535"/>
      <c r="BP68" s="1534"/>
      <c r="BQ68" s="1535"/>
      <c r="BR68" s="1534"/>
      <c r="BS68" s="1535"/>
      <c r="BT68" s="1534"/>
      <c r="BU68" s="1535"/>
      <c r="BV68" s="1534"/>
      <c r="BW68" s="1535"/>
      <c r="BX68" s="1534"/>
      <c r="BY68" s="1535"/>
      <c r="BZ68" s="1534"/>
      <c r="CA68" s="1535"/>
      <c r="CB68" s="1534"/>
      <c r="CC68" s="1535"/>
      <c r="CD68" s="1534"/>
      <c r="CE68" s="1534"/>
      <c r="CF68" s="1535"/>
      <c r="CG68" s="1534"/>
      <c r="CH68" s="1535"/>
      <c r="CI68" s="1534"/>
      <c r="CJ68" s="1535"/>
      <c r="CK68" s="1534"/>
      <c r="CL68" s="1535"/>
      <c r="CM68" s="1534"/>
      <c r="CN68" s="1535"/>
      <c r="CO68" s="1534"/>
      <c r="CP68" s="1535"/>
      <c r="CQ68" s="1534"/>
      <c r="CR68" s="1535"/>
      <c r="CS68" s="1534"/>
      <c r="CT68" s="1535"/>
      <c r="CU68" s="1535"/>
      <c r="CV68" s="1531"/>
      <c r="CW68" s="898" t="str">
        <f t="shared" si="11"/>
        <v/>
      </c>
      <c r="CX68" s="898" t="str">
        <f>IFERROR(IF(AND(S68="",S68&lt;&gt;""),1913,VLOOKUP(S68,Valid!$B$99:$J$120,9)),"")</f>
        <v/>
      </c>
      <c r="CY68" s="898" t="str">
        <f t="shared" ca="1" si="12"/>
        <v/>
      </c>
      <c r="CZ68" s="1547" t="str">
        <f t="shared" ca="1" si="17"/>
        <v/>
      </c>
      <c r="DA68" s="898"/>
      <c r="DB68" s="898" t="str">
        <f t="shared" si="13"/>
        <v/>
      </c>
      <c r="DC68" s="898" t="str">
        <f t="shared" si="14"/>
        <v/>
      </c>
      <c r="DD68" s="1539" t="str">
        <f>IFERROR(IF(AND(AM68="",C68&lt;&gt;""),Valid!$E$123,VLOOKUP(AM68,Valid!$B$123:$F$125,4,FALSE)),"")</f>
        <v/>
      </c>
      <c r="DE68" s="1539" t="str">
        <f>IFERROR(IF(AND(AM68="",C68&lt;&gt;""),Valid!$F$123,VLOOKUP(AM68,Valid!$B$123:$F$125,5,FALSE)),"")</f>
        <v/>
      </c>
      <c r="DF68" s="1539" t="str">
        <f>IFERROR(VLOOKUP('A-70 RevVehInv'!S68,Valid!$B$99:$I$120,7), "")</f>
        <v/>
      </c>
      <c r="DG68" s="1539" t="str">
        <f>IFERROR(VLOOKUP(S68,Valid!$B$99:$I$120,8), "")</f>
        <v/>
      </c>
      <c r="DH68" s="1531"/>
    </row>
    <row r="69" spans="1:112" s="930" customFormat="1" x14ac:dyDescent="0.2">
      <c r="A69" s="206">
        <v>29</v>
      </c>
      <c r="B69" s="1530">
        <v>29</v>
      </c>
      <c r="C69" s="933"/>
      <c r="D69" s="719" t="str">
        <f>IF(C67="","",IF((C69=""),"Enter RVI ID. then Fill in Columns "&amp;TEXT($I$2,0)&amp;" - "&amp;TEXT($BA$2,0)&amp;"       ",""))</f>
        <v/>
      </c>
      <c r="E69" s="1056" t="str">
        <f>IF(BH69="N/A","",BH69)</f>
        <v/>
      </c>
      <c r="F69" s="1536"/>
      <c r="G69" s="1536"/>
      <c r="H69" s="1536"/>
      <c r="I69" s="1023"/>
      <c r="J69" s="1536" t="str">
        <f>IF(E69&lt;&gt;"","Vehicles?    ","")</f>
        <v/>
      </c>
      <c r="K69" s="1023"/>
      <c r="L69" s="1536" t="str">
        <f>IF(E69&lt;&gt;"","Active Vehicles?     ","")</f>
        <v/>
      </c>
      <c r="M69" s="1023"/>
      <c r="N69" s="1536" t="str">
        <f>IF(E69&lt;&gt;"","ADA Vehicles?       ","")</f>
        <v/>
      </c>
      <c r="O69" s="1023"/>
      <c r="P69" s="1536" t="str">
        <f>IF(E69&lt;&gt;"","Cont. Vehicles?     ","")</f>
        <v/>
      </c>
      <c r="Q69" s="1024"/>
      <c r="R69" s="894"/>
      <c r="S69" s="1153"/>
      <c r="T69" s="252" t="str">
        <f>IF(E69&lt;&gt;"","Select from Pull-Down List    ","")</f>
        <v/>
      </c>
      <c r="U69" s="933"/>
      <c r="V69" s="252" t="str">
        <f>IF(E69&lt;&gt;"","Select from Pull-Down List    ","")</f>
        <v/>
      </c>
      <c r="W69" s="1766" t="str">
        <f t="shared" si="9"/>
        <v/>
      </c>
      <c r="X69" s="252"/>
      <c r="Y69" s="1988"/>
      <c r="Z69" s="252" t="str">
        <f t="shared" si="10"/>
        <v/>
      </c>
      <c r="AA69" s="139"/>
      <c r="AB69" s="252" t="str">
        <f>IF(E69&lt;&gt;"","Mfg. Yr?    ","")</f>
        <v/>
      </c>
      <c r="AC69" s="1974" t="str">
        <f t="shared" si="15"/>
        <v/>
      </c>
      <c r="AD69" s="252"/>
      <c r="AE69" s="1986" t="str">
        <f t="shared" si="16"/>
        <v/>
      </c>
      <c r="AF69" s="252"/>
      <c r="AG69" s="933"/>
      <c r="AH69" s="252" t="str">
        <f>IF(E69&lt;&gt;"","Select from Pull-Down List    ","")</f>
        <v/>
      </c>
      <c r="AI69" s="933"/>
      <c r="AJ69" s="252" t="str">
        <f>IF(E69&lt;&gt;"","Number?   ","")</f>
        <v/>
      </c>
      <c r="AK69" s="139"/>
      <c r="AL69" s="252" t="str">
        <f>IF(E69&lt;&gt;"","Last Rnwl. Yr?   ","")</f>
        <v/>
      </c>
      <c r="AM69" s="933"/>
      <c r="AN69" s="252" t="str">
        <f>IF(E69&lt;&gt;"","Select from Pull-Down List    ","")</f>
        <v/>
      </c>
      <c r="AO69" s="933"/>
      <c r="AP69" s="252" t="str">
        <f>IF(E69&lt;&gt;"","Select from Pull-Down List    ","")</f>
        <v/>
      </c>
      <c r="AQ69" s="1023"/>
      <c r="AR69" s="252" t="str">
        <f>IF(E69&lt;&gt;"","Feet?    ","")</f>
        <v/>
      </c>
      <c r="AS69" s="1023"/>
      <c r="AT69" s="252" t="str">
        <f>IF(E69&lt;&gt;"","Seats?    ","")</f>
        <v/>
      </c>
      <c r="AU69" s="1023"/>
      <c r="AV69" s="252" t="str">
        <f>IF(E69&lt;&gt;"","Standing?    ","")</f>
        <v/>
      </c>
      <c r="AW69" s="1023"/>
      <c r="AX69" s="252" t="str">
        <f>IF(E69&lt;&gt;"","Mileage?       ","")</f>
        <v/>
      </c>
      <c r="AY69" s="1023"/>
      <c r="AZ69" s="252" t="str">
        <f>IF(E69&lt;&gt;"","Avg. Lifetime Mileage? ","")</f>
        <v/>
      </c>
      <c r="BA69" s="933"/>
      <c r="BB69" s="252" t="str">
        <f>IF(E69&lt;&gt;"","Select from Pull-Down List    ","")</f>
        <v/>
      </c>
      <c r="BC69" s="171"/>
      <c r="BD69" s="252" t="str">
        <f>IF(OR(AO69="OR - Other fuel (describe in Notes)",AG69="ZZZ - Other (describe in Notes)"),"Describe                                                                                                     ","")</f>
        <v/>
      </c>
      <c r="BE69" s="894"/>
      <c r="BF69" s="894"/>
      <c r="BG69" s="894" t="b">
        <f>IF(AND(C69="",C71&lt;&gt;""),TRUE,FALSE)</f>
        <v>0</v>
      </c>
      <c r="BH69" s="888" t="str">
        <f>IF(AND(C69&lt;&gt;"",OR(I69="",K69="",M69="",O69="",S69="",U69="",AA69="",AG69="",AI69="",AO69="",AQ69="",AS69="",AU69="",AW69="",AY69="")),"No",IF(AND(C69="",OR(I69&lt;&gt;"",K69&lt;&gt;"",M69&lt;&gt;"",O69&lt;&gt;"",S69&lt;&gt;"",U69&lt;&gt;"",AA69&lt;&gt;"",AG69&lt;&gt;"",AI69&lt;&gt;"",AK69&lt;&gt;"",AM69&lt;&gt;"",AO69&lt;&gt;"",AQ69&lt;&gt;"",AS69&lt;&gt;"",AU69&lt;&gt;"",AW69&lt;&gt;"",AY69&lt;&gt;"",BA69&lt;&gt;"",BC69&lt;&gt;"")),"No",IF(AND(C69="",I69="",K69="",M69="",O69="",S69="",U69="",AA69="",AG69="",AI69="",AK69="",AM69="",AO69="",AQ69="",AS69="",AU69="",AW69="",AY69="",BA69=""),"N/A","Yes")))</f>
        <v>N/A</v>
      </c>
      <c r="BI69" s="898"/>
      <c r="BJ69" s="899" t="b">
        <f>IF(AND(OR(I69&lt;&gt;"",K69&lt;&gt;"",M69&lt;&gt;"",O69&lt;&gt;"",S69&lt;&gt;"",U69&lt;&gt;"",AA69&lt;&gt;"",AG69&lt;&gt;"",AI69&lt;&gt;"",AK69&lt;&gt;"",AM69&lt;&gt;"",AO69&lt;&gt;"",AQ69&lt;&gt;"",AS69&lt;&gt;"",AW69&lt;&gt;"",AY69&lt;&gt;"",BA69&lt;&gt;"",BC69&lt;&gt;""),C69=""),TRUE,FALSE)</f>
        <v>0</v>
      </c>
      <c r="BK69" s="898" t="b">
        <f>IF(BL69=TRUE,FALSE,IF(SUM(K69,O69)&gt;I69,TRUE,FALSE))</f>
        <v>0</v>
      </c>
      <c r="BL69" s="899" t="b">
        <f>IF(AND(C69&lt;&gt;"",I69=""),TRUE,FALSE)</f>
        <v>0</v>
      </c>
      <c r="BM69" s="898" t="b">
        <f>IF(BN69=TRUE,FALSE,IF(M69&gt;K69,TRUE,FALSE))</f>
        <v>0</v>
      </c>
      <c r="BN69" s="899" t="b">
        <f>IF(AND($C69&lt;&gt;"",K69=""),TRUE,FALSE)</f>
        <v>0</v>
      </c>
      <c r="BO69" s="898"/>
      <c r="BP69" s="899" t="b">
        <f>IF(AND($C69&lt;&gt;"",M69=""),TRUE,FALSE)</f>
        <v>0</v>
      </c>
      <c r="BQ69" s="898"/>
      <c r="BR69" s="899" t="b">
        <f>IF(AND($C69&lt;&gt;"",O69=""),TRUE,FALSE)</f>
        <v>0</v>
      </c>
      <c r="BS69" s="898" t="b">
        <f>IF(AND(S69="",OR(U69&lt;&gt;"",AA69&lt;&gt;"",AG69&lt;&gt;"",AI69&lt;&gt;"",AK69&lt;&gt;"",AM69&lt;&gt;"",AO69&lt;&gt;"",AQ69&lt;&gt;"",AS69&lt;&gt;"",AU69&lt;&gt;"",AW69&lt;&gt;"",AY69&lt;&gt;"",BA69&lt;&gt;"")),TRUE,FALSE)</f>
        <v>0</v>
      </c>
      <c r="BT69" s="899" t="b">
        <f>IF(AND($C69&lt;&gt;"",S69=""),TRUE,FALSE)</f>
        <v>0</v>
      </c>
      <c r="BU69" s="898"/>
      <c r="BV69" s="899" t="b">
        <f>IF(AND($C69&lt;&gt;"",U69=""),TRUE,FALSE)</f>
        <v>0</v>
      </c>
      <c r="BW69" s="1537" t="b">
        <f>IF(BX69=TRUE,FALSE,IF(AA69="",FALSE,IF(OR(AA69&lt;CX69,AA69&gt;BaseYear),TRUE,FALSE)))</f>
        <v>0</v>
      </c>
      <c r="BX69" s="899" t="b">
        <f>IF(AND($C69&lt;&gt;"",AA69=""),TRUE,FALSE)</f>
        <v>0</v>
      </c>
      <c r="BY69" s="898"/>
      <c r="BZ69" s="899" t="b">
        <f>IF(AND($C69&lt;&gt;"",AG69=""),TRUE,FALSE)</f>
        <v>0</v>
      </c>
      <c r="CA69" s="898"/>
      <c r="CB69" s="899" t="b">
        <f>IF(AND($C69&lt;&gt;"",AI69=""),TRUE,FALSE)</f>
        <v>0</v>
      </c>
      <c r="CC69" s="1537" t="b">
        <f>IF(AK69="",FALSE,IF(OR(AK69&lt;CX69,AK69&gt;BaseYear),TRUE,FALSE))</f>
        <v>0</v>
      </c>
      <c r="CD69" s="1538" t="b">
        <f>IF(AK69="",FALSE,IF(AK69&lt;AA69,TRUE,FALSE))</f>
        <v>0</v>
      </c>
      <c r="CE69" s="899" t="b">
        <f>IF(AND($AM69&lt;&gt;"",AK69=""),TRUE,FALSE)</f>
        <v>0</v>
      </c>
      <c r="CF69" s="898"/>
      <c r="CG69" s="899" t="b">
        <f>IF(AND($AK69&lt;&gt;"",AM69=""),TRUE,FALSE)</f>
        <v>0</v>
      </c>
      <c r="CH69" s="898"/>
      <c r="CI69" s="899" t="b">
        <f>IF(AND($C69&lt;&gt;"",AO69=""),TRUE,FALSE)</f>
        <v>0</v>
      </c>
      <c r="CJ69" s="1537"/>
      <c r="CK69" s="899" t="b">
        <f>IF(AND($C69&lt;&gt;"",AQ69=""),TRUE,FALSE)</f>
        <v>0</v>
      </c>
      <c r="CL69" s="898"/>
      <c r="CM69" s="899" t="b">
        <f>IF(AND($C69&lt;&gt;"",AS69=""),TRUE,FALSE)</f>
        <v>0</v>
      </c>
      <c r="CN69" s="898"/>
      <c r="CO69" s="899" t="b">
        <f>IF(AND($C69&lt;&gt;"",AU69=""),TRUE,FALSE)</f>
        <v>0</v>
      </c>
      <c r="CP69" s="898"/>
      <c r="CQ69" s="899" t="b">
        <f>IF(AND($C69&lt;&gt;"",AW69=""),TRUE,FALSE)</f>
        <v>0</v>
      </c>
      <c r="CR69" s="898"/>
      <c r="CS69" s="899" t="b">
        <f>IF(AND($C69&lt;&gt;"",AY69=""),TRUE,FALSE)</f>
        <v>0</v>
      </c>
      <c r="CT69" s="898"/>
      <c r="CU69" s="898" t="b">
        <f>IF(AND($C69&lt;&gt;"",BA69=""),TRUE,FALSE)</f>
        <v>0</v>
      </c>
      <c r="CV69" s="894"/>
      <c r="CW69" s="898" t="str">
        <f t="shared" si="11"/>
        <v/>
      </c>
      <c r="CX69" s="898" t="str">
        <f>IFERROR(IF(AND(S69="",S69&lt;&gt;""),1913,VLOOKUP(S69,Valid!$B$99:$J$120,9)),"")</f>
        <v/>
      </c>
      <c r="CY69" s="898" t="str">
        <f t="shared" ca="1" si="12"/>
        <v/>
      </c>
      <c r="CZ69" s="1547" t="str">
        <f t="shared" ca="1" si="17"/>
        <v/>
      </c>
      <c r="DA69" s="898" t="str">
        <f ca="1">IF(CZ69="", "", IF(1+(CZ69*4)&lt;1, 1, 1+(CZ69*4)))</f>
        <v/>
      </c>
      <c r="DB69" s="898" t="str">
        <f t="shared" si="13"/>
        <v/>
      </c>
      <c r="DC69" s="898" t="str">
        <f t="shared" si="14"/>
        <v/>
      </c>
      <c r="DD69" s="1539" t="str">
        <f>IFERROR(IF(AND(AM69="",C69&lt;&gt;""),Valid!$E$123,VLOOKUP(AM69,Valid!$B$123:$F$125,4,FALSE)),"")</f>
        <v/>
      </c>
      <c r="DE69" s="1539" t="str">
        <f>IFERROR(IF(AND(AM69="",C69&lt;&gt;""),Valid!$F$123,VLOOKUP(AM69,Valid!$B$123:$F$125,5,FALSE)),"")</f>
        <v/>
      </c>
      <c r="DF69" s="1539" t="str">
        <f>IFERROR(VLOOKUP('A-70 RevVehInv'!S69,Valid!$B$99:$I$120,7), "")</f>
        <v/>
      </c>
      <c r="DG69" s="1539" t="str">
        <f>IFERROR(VLOOKUP(S69,Valid!$B$99:$I$120,8), "")</f>
        <v/>
      </c>
      <c r="DH69" s="894"/>
    </row>
    <row r="70" spans="1:112" ht="6.75" customHeight="1" x14ac:dyDescent="0.2">
      <c r="A70" s="1517"/>
      <c r="B70" s="1530">
        <v>29.5</v>
      </c>
      <c r="C70" s="1540"/>
      <c r="D70" s="905"/>
      <c r="E70" s="1541"/>
      <c r="F70" s="905"/>
      <c r="G70" s="905"/>
      <c r="H70" s="905"/>
      <c r="I70" s="1534"/>
      <c r="J70" s="905"/>
      <c r="K70" s="1534"/>
      <c r="L70" s="905"/>
      <c r="M70" s="1534"/>
      <c r="N70" s="905"/>
      <c r="O70" s="1534"/>
      <c r="P70" s="905"/>
      <c r="Q70" s="1534"/>
      <c r="R70" s="1531"/>
      <c r="S70" s="1542"/>
      <c r="T70" s="905"/>
      <c r="U70" s="1542"/>
      <c r="V70" s="905"/>
      <c r="W70" s="1534" t="str">
        <f t="shared" si="9"/>
        <v/>
      </c>
      <c r="X70" s="905"/>
      <c r="Y70" s="1534"/>
      <c r="Z70" s="252" t="str">
        <f t="shared" si="10"/>
        <v/>
      </c>
      <c r="AA70" s="1534"/>
      <c r="AB70" s="905"/>
      <c r="AC70" s="1973" t="str">
        <f t="shared" si="15"/>
        <v/>
      </c>
      <c r="AD70" s="905"/>
      <c r="AE70" s="1985" t="str">
        <f t="shared" si="16"/>
        <v/>
      </c>
      <c r="AF70" s="905"/>
      <c r="AG70" s="1543"/>
      <c r="AH70" s="1531"/>
      <c r="AI70" s="1534"/>
      <c r="AJ70" s="1531"/>
      <c r="AK70" s="1534"/>
      <c r="AL70" s="1531"/>
      <c r="AM70" s="1543"/>
      <c r="AN70" s="1531"/>
      <c r="AO70" s="1543"/>
      <c r="AP70" s="1531"/>
      <c r="AQ70" s="1534"/>
      <c r="AR70" s="1531"/>
      <c r="AS70" s="1534"/>
      <c r="AT70" s="1531"/>
      <c r="AU70" s="1534"/>
      <c r="AV70" s="1531"/>
      <c r="AW70" s="1534"/>
      <c r="AX70" s="1531"/>
      <c r="AY70" s="1534"/>
      <c r="AZ70" s="1531"/>
      <c r="BA70" s="1543"/>
      <c r="BB70" s="1531"/>
      <c r="BC70" s="1534"/>
      <c r="BD70" s="1531"/>
      <c r="BE70" s="1531"/>
      <c r="BF70" s="1531"/>
      <c r="BG70" s="1531"/>
      <c r="BH70" s="1531"/>
      <c r="BI70" s="1535"/>
      <c r="BJ70" s="1534"/>
      <c r="BK70" s="1535"/>
      <c r="BL70" s="1534"/>
      <c r="BM70" s="1535"/>
      <c r="BN70" s="1534"/>
      <c r="BO70" s="1535"/>
      <c r="BP70" s="1534"/>
      <c r="BQ70" s="1535"/>
      <c r="BR70" s="1534"/>
      <c r="BS70" s="1535"/>
      <c r="BT70" s="1534"/>
      <c r="BU70" s="1535"/>
      <c r="BV70" s="1534"/>
      <c r="BW70" s="1535"/>
      <c r="BX70" s="1534"/>
      <c r="BY70" s="1535"/>
      <c r="BZ70" s="1534"/>
      <c r="CA70" s="1535"/>
      <c r="CB70" s="1534"/>
      <c r="CC70" s="1535"/>
      <c r="CD70" s="1534"/>
      <c r="CE70" s="1534"/>
      <c r="CF70" s="1535"/>
      <c r="CG70" s="1534"/>
      <c r="CH70" s="1535"/>
      <c r="CI70" s="1534"/>
      <c r="CJ70" s="1535"/>
      <c r="CK70" s="1534"/>
      <c r="CL70" s="1535"/>
      <c r="CM70" s="1534"/>
      <c r="CN70" s="1535"/>
      <c r="CO70" s="1534"/>
      <c r="CP70" s="1535"/>
      <c r="CQ70" s="1534"/>
      <c r="CR70" s="1535"/>
      <c r="CS70" s="1534"/>
      <c r="CT70" s="1535"/>
      <c r="CU70" s="1535"/>
      <c r="CV70" s="1531"/>
      <c r="CW70" s="898" t="str">
        <f t="shared" si="11"/>
        <v/>
      </c>
      <c r="CX70" s="898" t="str">
        <f>IFERROR(IF(AND(S70="",S70&lt;&gt;""),1913,VLOOKUP(S70,Valid!$B$99:$J$120,9)),"")</f>
        <v/>
      </c>
      <c r="CY70" s="898" t="str">
        <f t="shared" ca="1" si="12"/>
        <v/>
      </c>
      <c r="CZ70" s="1547" t="str">
        <f t="shared" ca="1" si="17"/>
        <v/>
      </c>
      <c r="DA70" s="898"/>
      <c r="DB70" s="898" t="str">
        <f t="shared" si="13"/>
        <v/>
      </c>
      <c r="DC70" s="898" t="str">
        <f t="shared" si="14"/>
        <v/>
      </c>
      <c r="DD70" s="1539" t="str">
        <f>IFERROR(IF(AND(AM70="",C70&lt;&gt;""),Valid!$E$123,VLOOKUP(AM70,Valid!$B$123:$F$125,4,FALSE)),"")</f>
        <v/>
      </c>
      <c r="DE70" s="1539" t="str">
        <f>IFERROR(IF(AND(AM70="",C70&lt;&gt;""),Valid!$F$123,VLOOKUP(AM70,Valid!$B$123:$F$125,5,FALSE)),"")</f>
        <v/>
      </c>
      <c r="DF70" s="1539" t="str">
        <f>IFERROR(VLOOKUP('A-70 RevVehInv'!S70,Valid!$B$99:$I$120,7), "")</f>
        <v/>
      </c>
      <c r="DG70" s="1539" t="str">
        <f>IFERROR(VLOOKUP(S70,Valid!$B$99:$I$120,8), "")</f>
        <v/>
      </c>
      <c r="DH70" s="1531"/>
    </row>
    <row r="71" spans="1:112" s="930" customFormat="1" x14ac:dyDescent="0.2">
      <c r="A71" s="206">
        <v>30</v>
      </c>
      <c r="B71" s="1530">
        <v>30</v>
      </c>
      <c r="C71" s="933"/>
      <c r="D71" s="719" t="str">
        <f>IF(C69="","",IF((C71=""),"Enter RVI ID. then Fill in Columns "&amp;TEXT($I$2,0)&amp;" - "&amp;TEXT($BA$2,0)&amp;"       ",""))</f>
        <v/>
      </c>
      <c r="E71" s="1056" t="str">
        <f>IF(BH71="N/A","",BH71)</f>
        <v/>
      </c>
      <c r="F71" s="1536"/>
      <c r="G71" s="1536"/>
      <c r="H71" s="1536"/>
      <c r="I71" s="1023"/>
      <c r="J71" s="1536" t="str">
        <f>IF(E71&lt;&gt;"","Vehicles?    ","")</f>
        <v/>
      </c>
      <c r="K71" s="1023"/>
      <c r="L71" s="1536" t="str">
        <f>IF(E71&lt;&gt;"","Active Vehicles?     ","")</f>
        <v/>
      </c>
      <c r="M71" s="1023"/>
      <c r="N71" s="1536" t="str">
        <f>IF(E71&lt;&gt;"","ADA Vehicles?       ","")</f>
        <v/>
      </c>
      <c r="O71" s="1023"/>
      <c r="P71" s="1536" t="str">
        <f>IF(E71&lt;&gt;"","Cont. Vehicles?     ","")</f>
        <v/>
      </c>
      <c r="Q71" s="1024"/>
      <c r="R71" s="894"/>
      <c r="S71" s="1153"/>
      <c r="T71" s="252" t="str">
        <f>IF(E71&lt;&gt;"","Select from Pull-Down List    ","")</f>
        <v/>
      </c>
      <c r="U71" s="933"/>
      <c r="V71" s="252" t="str">
        <f>IF(E71&lt;&gt;"","Select from Pull-Down List    ","")</f>
        <v/>
      </c>
      <c r="W71" s="1766" t="str">
        <f t="shared" si="9"/>
        <v/>
      </c>
      <c r="X71" s="252"/>
      <c r="Y71" s="1988"/>
      <c r="Z71" s="252" t="str">
        <f t="shared" si="10"/>
        <v/>
      </c>
      <c r="AA71" s="139"/>
      <c r="AB71" s="252" t="str">
        <f>IF(E71&lt;&gt;"","Mfg. Yr?    ","")</f>
        <v/>
      </c>
      <c r="AC71" s="1974" t="str">
        <f t="shared" si="15"/>
        <v/>
      </c>
      <c r="AD71" s="252"/>
      <c r="AE71" s="1986" t="str">
        <f t="shared" si="16"/>
        <v/>
      </c>
      <c r="AF71" s="252"/>
      <c r="AG71" s="933"/>
      <c r="AH71" s="252" t="str">
        <f>IF(E71&lt;&gt;"","Select from Pull-Down List    ","")</f>
        <v/>
      </c>
      <c r="AI71" s="933"/>
      <c r="AJ71" s="252" t="str">
        <f>IF(E71&lt;&gt;"","Number?   ","")</f>
        <v/>
      </c>
      <c r="AK71" s="139"/>
      <c r="AL71" s="252" t="str">
        <f>IF(E71&lt;&gt;"","Last Rnwl. Yr?   ","")</f>
        <v/>
      </c>
      <c r="AM71" s="933"/>
      <c r="AN71" s="252" t="str">
        <f>IF(E71&lt;&gt;"","Select from Pull-Down List    ","")</f>
        <v/>
      </c>
      <c r="AO71" s="933"/>
      <c r="AP71" s="252" t="str">
        <f>IF(E71&lt;&gt;"","Select from Pull-Down List    ","")</f>
        <v/>
      </c>
      <c r="AQ71" s="1023"/>
      <c r="AR71" s="252" t="str">
        <f>IF(E71&lt;&gt;"","Feet?    ","")</f>
        <v/>
      </c>
      <c r="AS71" s="1023"/>
      <c r="AT71" s="252" t="str">
        <f>IF(E71&lt;&gt;"","Seats?    ","")</f>
        <v/>
      </c>
      <c r="AU71" s="1023"/>
      <c r="AV71" s="252" t="str">
        <f>IF(E71&lt;&gt;"","Standing?    ","")</f>
        <v/>
      </c>
      <c r="AW71" s="1023"/>
      <c r="AX71" s="252" t="str">
        <f>IF(E71&lt;&gt;"","Mileage?       ","")</f>
        <v/>
      </c>
      <c r="AY71" s="1023"/>
      <c r="AZ71" s="252" t="str">
        <f>IF(E71&lt;&gt;"","Avg. Lifetime Mileage? ","")</f>
        <v/>
      </c>
      <c r="BA71" s="933"/>
      <c r="BB71" s="252" t="str">
        <f>IF(E71&lt;&gt;"","Select from Pull-Down List    ","")</f>
        <v/>
      </c>
      <c r="BC71" s="171"/>
      <c r="BD71" s="252" t="str">
        <f>IF(OR(AO71="OR - Other fuel (describe in Notes)",AG71="ZZZ - Other (describe in Notes)"),"Describe                                                                                                     ","")</f>
        <v/>
      </c>
      <c r="BE71" s="894"/>
      <c r="BF71" s="894"/>
      <c r="BG71" s="894" t="b">
        <f>IF(AND(C71="",C73&lt;&gt;""),TRUE,FALSE)</f>
        <v>0</v>
      </c>
      <c r="BH71" s="888" t="str">
        <f>IF(AND(C71&lt;&gt;"",OR(I71="",K71="",M71="",O71="",S71="",U71="",AA71="",AG71="",AI71="",AO71="",AQ71="",AS71="",AU71="",AW71="",AY71="")),"No",IF(AND(C71="",OR(I71&lt;&gt;"",K71&lt;&gt;"",M71&lt;&gt;"",O71&lt;&gt;"",S71&lt;&gt;"",U71&lt;&gt;"",AA71&lt;&gt;"",AG71&lt;&gt;"",AI71&lt;&gt;"",AK71&lt;&gt;"",AM71&lt;&gt;"",AO71&lt;&gt;"",AQ71&lt;&gt;"",AS71&lt;&gt;"",AU71&lt;&gt;"",AW71&lt;&gt;"",AY71&lt;&gt;"",BA71&lt;&gt;"",BC71&lt;&gt;"")),"No",IF(AND(C71="",I71="",K71="",M71="",O71="",S71="",U71="",AA71="",AG71="",AI71="",AK71="",AM71="",AO71="",AQ71="",AS71="",AU71="",AW71="",AY71="",BA71=""),"N/A","Yes")))</f>
        <v>N/A</v>
      </c>
      <c r="BI71" s="898"/>
      <c r="BJ71" s="899" t="b">
        <f>IF(AND(OR(I71&lt;&gt;"",K71&lt;&gt;"",M71&lt;&gt;"",O71&lt;&gt;"",S71&lt;&gt;"",U71&lt;&gt;"",AA71&lt;&gt;"",AG71&lt;&gt;"",AI71&lt;&gt;"",AK71&lt;&gt;"",AM71&lt;&gt;"",AO71&lt;&gt;"",AQ71&lt;&gt;"",AS71&lt;&gt;"",AW71&lt;&gt;"",AY71&lt;&gt;"",BA71&lt;&gt;"",BC71&lt;&gt;""),C71=""),TRUE,FALSE)</f>
        <v>0</v>
      </c>
      <c r="BK71" s="898" t="b">
        <f>IF(BL71=TRUE,FALSE,IF(SUM(K71,O71)&gt;I71,TRUE,FALSE))</f>
        <v>0</v>
      </c>
      <c r="BL71" s="899" t="b">
        <f>IF(AND(C71&lt;&gt;"",I71=""),TRUE,FALSE)</f>
        <v>0</v>
      </c>
      <c r="BM71" s="898" t="b">
        <f>IF(BN71=TRUE,FALSE,IF(M71&gt;K71,TRUE,FALSE))</f>
        <v>0</v>
      </c>
      <c r="BN71" s="899" t="b">
        <f>IF(AND($C71&lt;&gt;"",K71=""),TRUE,FALSE)</f>
        <v>0</v>
      </c>
      <c r="BO71" s="898"/>
      <c r="BP71" s="899" t="b">
        <f>IF(AND($C71&lt;&gt;"",M71=""),TRUE,FALSE)</f>
        <v>0</v>
      </c>
      <c r="BQ71" s="898"/>
      <c r="BR71" s="899" t="b">
        <f>IF(AND($C71&lt;&gt;"",O71=""),TRUE,FALSE)</f>
        <v>0</v>
      </c>
      <c r="BS71" s="898" t="b">
        <f>IF(AND(S71="",OR(U71&lt;&gt;"",AA71&lt;&gt;"",AG71&lt;&gt;"",AI71&lt;&gt;"",AK71&lt;&gt;"",AM71&lt;&gt;"",AO71&lt;&gt;"",AQ71&lt;&gt;"",AS71&lt;&gt;"",AU71&lt;&gt;"",AW71&lt;&gt;"",AY71&lt;&gt;"",BA71&lt;&gt;"")),TRUE,FALSE)</f>
        <v>0</v>
      </c>
      <c r="BT71" s="899" t="b">
        <f>IF(AND($C71&lt;&gt;"",S71=""),TRUE,FALSE)</f>
        <v>0</v>
      </c>
      <c r="BU71" s="898"/>
      <c r="BV71" s="899" t="b">
        <f>IF(AND($C71&lt;&gt;"",U71=""),TRUE,FALSE)</f>
        <v>0</v>
      </c>
      <c r="BW71" s="1537" t="b">
        <f>IF(BX71=TRUE,FALSE,IF(AA71="",FALSE,IF(OR(AA71&lt;CX71,AA71&gt;BaseYear),TRUE,FALSE)))</f>
        <v>0</v>
      </c>
      <c r="BX71" s="899" t="b">
        <f>IF(AND($C71&lt;&gt;"",AA71=""),TRUE,FALSE)</f>
        <v>0</v>
      </c>
      <c r="BY71" s="898"/>
      <c r="BZ71" s="899" t="b">
        <f>IF(AND($C71&lt;&gt;"",AG71=""),TRUE,FALSE)</f>
        <v>0</v>
      </c>
      <c r="CA71" s="898"/>
      <c r="CB71" s="899" t="b">
        <f>IF(AND($C71&lt;&gt;"",AI71=""),TRUE,FALSE)</f>
        <v>0</v>
      </c>
      <c r="CC71" s="1537" t="b">
        <f>IF(AK71="",FALSE,IF(OR(AK71&lt;CX71,AK71&gt;BaseYear),TRUE,FALSE))</f>
        <v>0</v>
      </c>
      <c r="CD71" s="1538" t="b">
        <f>IF(AK71="",FALSE,IF(AK71&lt;AA71,TRUE,FALSE))</f>
        <v>0</v>
      </c>
      <c r="CE71" s="899" t="b">
        <f>IF(AND($AM71&lt;&gt;"",AK71=""),TRUE,FALSE)</f>
        <v>0</v>
      </c>
      <c r="CF71" s="898"/>
      <c r="CG71" s="899" t="b">
        <f>IF(AND($AK71&lt;&gt;"",AM71=""),TRUE,FALSE)</f>
        <v>0</v>
      </c>
      <c r="CH71" s="898"/>
      <c r="CI71" s="899" t="b">
        <f>IF(AND($C71&lt;&gt;"",AO71=""),TRUE,FALSE)</f>
        <v>0</v>
      </c>
      <c r="CJ71" s="1537"/>
      <c r="CK71" s="899" t="b">
        <f>IF(AND($C71&lt;&gt;"",AQ71=""),TRUE,FALSE)</f>
        <v>0</v>
      </c>
      <c r="CL71" s="898"/>
      <c r="CM71" s="899" t="b">
        <f>IF(AND($C71&lt;&gt;"",AS71=""),TRUE,FALSE)</f>
        <v>0</v>
      </c>
      <c r="CN71" s="898"/>
      <c r="CO71" s="899" t="b">
        <f>IF(AND($C71&lt;&gt;"",AU71=""),TRUE,FALSE)</f>
        <v>0</v>
      </c>
      <c r="CP71" s="898"/>
      <c r="CQ71" s="899" t="b">
        <f>IF(AND($C71&lt;&gt;"",AW71=""),TRUE,FALSE)</f>
        <v>0</v>
      </c>
      <c r="CR71" s="898"/>
      <c r="CS71" s="899" t="b">
        <f>IF(AND($C71&lt;&gt;"",AY71=""),TRUE,FALSE)</f>
        <v>0</v>
      </c>
      <c r="CT71" s="898"/>
      <c r="CU71" s="898" t="b">
        <f>IF(AND($C71&lt;&gt;"",BA71=""),TRUE,FALSE)</f>
        <v>0</v>
      </c>
      <c r="CV71" s="894"/>
      <c r="CW71" s="898" t="str">
        <f t="shared" si="11"/>
        <v/>
      </c>
      <c r="CX71" s="898" t="str">
        <f>IFERROR(IF(AND(S71="",S71&lt;&gt;""),1913,VLOOKUP(S71,Valid!$B$99:$J$120,9)),"")</f>
        <v/>
      </c>
      <c r="CY71" s="898" t="str">
        <f t="shared" ca="1" si="12"/>
        <v/>
      </c>
      <c r="CZ71" s="1547" t="str">
        <f t="shared" ca="1" si="17"/>
        <v/>
      </c>
      <c r="DA71" s="898" t="str">
        <f ca="1">IF(CZ71="", "", IF(1+(CZ71*4)&lt;1, 1, 1+(CZ71*4)))</f>
        <v/>
      </c>
      <c r="DB71" s="898" t="str">
        <f t="shared" si="13"/>
        <v/>
      </c>
      <c r="DC71" s="898" t="str">
        <f t="shared" si="14"/>
        <v/>
      </c>
      <c r="DD71" s="1539" t="str">
        <f>IFERROR(IF(AND(AM71="",C71&lt;&gt;""),Valid!$E$123,VLOOKUP(AM71,Valid!$B$123:$F$125,4,FALSE)),"")</f>
        <v/>
      </c>
      <c r="DE71" s="1539" t="str">
        <f>IFERROR(IF(AND(AM71="",C71&lt;&gt;""),Valid!$F$123,VLOOKUP(AM71,Valid!$B$123:$F$125,5,FALSE)),"")</f>
        <v/>
      </c>
      <c r="DF71" s="1539" t="str">
        <f>IFERROR(VLOOKUP('A-70 RevVehInv'!S71,Valid!$B$99:$I$120,7), "")</f>
        <v/>
      </c>
      <c r="DG71" s="1539" t="str">
        <f>IFERROR(VLOOKUP(S71,Valid!$B$99:$I$120,8), "")</f>
        <v/>
      </c>
      <c r="DH71" s="894"/>
    </row>
    <row r="72" spans="1:112" ht="6.75" customHeight="1" x14ac:dyDescent="0.2">
      <c r="A72" s="1517"/>
      <c r="B72" s="1530">
        <v>30.5</v>
      </c>
      <c r="C72" s="1544"/>
      <c r="D72" s="905"/>
      <c r="E72" s="1545"/>
      <c r="F72" s="905"/>
      <c r="G72" s="905"/>
      <c r="H72" s="905"/>
      <c r="I72" s="1531"/>
      <c r="J72" s="905"/>
      <c r="K72" s="1531"/>
      <c r="L72" s="905"/>
      <c r="M72" s="1531"/>
      <c r="N72" s="905"/>
      <c r="O72" s="1531"/>
      <c r="P72" s="905"/>
      <c r="Q72" s="1531"/>
      <c r="R72" s="1531"/>
      <c r="S72" s="1533"/>
      <c r="T72" s="905"/>
      <c r="U72" s="1533"/>
      <c r="V72" s="905"/>
      <c r="W72" s="1531" t="str">
        <f t="shared" si="9"/>
        <v/>
      </c>
      <c r="X72" s="905"/>
      <c r="Y72" s="1531"/>
      <c r="Z72" s="252" t="str">
        <f t="shared" si="10"/>
        <v/>
      </c>
      <c r="AA72" s="1531"/>
      <c r="AB72" s="905"/>
      <c r="AC72" s="1971" t="str">
        <f t="shared" si="15"/>
        <v/>
      </c>
      <c r="AD72" s="905"/>
      <c r="AE72" s="1983" t="str">
        <f t="shared" si="16"/>
        <v/>
      </c>
      <c r="AF72" s="905"/>
      <c r="AG72" s="1546"/>
      <c r="AH72" s="1531"/>
      <c r="AI72" s="1531"/>
      <c r="AJ72" s="1531"/>
      <c r="AK72" s="1531"/>
      <c r="AL72" s="1531"/>
      <c r="AM72" s="1546"/>
      <c r="AN72" s="1531"/>
      <c r="AO72" s="1546"/>
      <c r="AP72" s="1531"/>
      <c r="AQ72" s="1531"/>
      <c r="AR72" s="1531"/>
      <c r="AS72" s="1531"/>
      <c r="AT72" s="1531"/>
      <c r="AU72" s="1531"/>
      <c r="AV72" s="1531"/>
      <c r="AW72" s="1531"/>
      <c r="AX72" s="1531"/>
      <c r="AY72" s="1531"/>
      <c r="AZ72" s="1531"/>
      <c r="BA72" s="1546"/>
      <c r="BB72" s="1531"/>
      <c r="BC72" s="1531"/>
      <c r="BD72" s="1531"/>
      <c r="BE72" s="1531"/>
      <c r="BF72" s="1531"/>
      <c r="BG72" s="1531"/>
      <c r="BH72" s="1531"/>
      <c r="BI72" s="1535"/>
      <c r="BJ72" s="1534"/>
      <c r="BK72" s="1535"/>
      <c r="BL72" s="1534"/>
      <c r="BM72" s="1535"/>
      <c r="BN72" s="1534"/>
      <c r="BO72" s="1535"/>
      <c r="BP72" s="1534"/>
      <c r="BQ72" s="1535"/>
      <c r="BR72" s="1534"/>
      <c r="BS72" s="1535"/>
      <c r="BT72" s="1534"/>
      <c r="BU72" s="1535"/>
      <c r="BV72" s="1534"/>
      <c r="BW72" s="1535"/>
      <c r="BX72" s="1534"/>
      <c r="BY72" s="1535"/>
      <c r="BZ72" s="1534"/>
      <c r="CA72" s="1535"/>
      <c r="CB72" s="1534"/>
      <c r="CC72" s="1535"/>
      <c r="CD72" s="1534"/>
      <c r="CE72" s="1534"/>
      <c r="CF72" s="1535"/>
      <c r="CG72" s="1534"/>
      <c r="CH72" s="1535"/>
      <c r="CI72" s="1534"/>
      <c r="CJ72" s="1535"/>
      <c r="CK72" s="1534"/>
      <c r="CL72" s="1535"/>
      <c r="CM72" s="1534"/>
      <c r="CN72" s="1535"/>
      <c r="CO72" s="1534"/>
      <c r="CP72" s="1535"/>
      <c r="CQ72" s="1534"/>
      <c r="CR72" s="1535"/>
      <c r="CS72" s="1534"/>
      <c r="CT72" s="1535"/>
      <c r="CU72" s="1535"/>
      <c r="CV72" s="1531"/>
      <c r="CW72" s="898" t="str">
        <f t="shared" si="11"/>
        <v/>
      </c>
      <c r="CX72" s="898" t="str">
        <f>IFERROR(IF(AND(S72="",S72&lt;&gt;""),1913,VLOOKUP(S72,Valid!$B$99:$J$120,9)),"")</f>
        <v/>
      </c>
      <c r="CY72" s="898" t="str">
        <f t="shared" ca="1" si="12"/>
        <v/>
      </c>
      <c r="CZ72" s="1547" t="str">
        <f t="shared" ca="1" si="17"/>
        <v/>
      </c>
      <c r="DA72" s="898"/>
      <c r="DB72" s="898" t="str">
        <f t="shared" si="13"/>
        <v/>
      </c>
      <c r="DC72" s="898" t="str">
        <f t="shared" si="14"/>
        <v/>
      </c>
      <c r="DD72" s="1539" t="str">
        <f>IFERROR(IF(AND(AM72="",C72&lt;&gt;""),Valid!$E$123,VLOOKUP(AM72,Valid!$B$123:$F$125,4,FALSE)),"")</f>
        <v/>
      </c>
      <c r="DE72" s="1539" t="str">
        <f>IFERROR(IF(AND(AM72="",C72&lt;&gt;""),Valid!$F$123,VLOOKUP(AM72,Valid!$B$123:$F$125,5,FALSE)),"")</f>
        <v/>
      </c>
      <c r="DF72" s="1539" t="str">
        <f>IFERROR(VLOOKUP('A-70 RevVehInv'!S72,Valid!$B$99:$I$120,7), "")</f>
        <v/>
      </c>
      <c r="DG72" s="1539" t="str">
        <f>IFERROR(VLOOKUP(S72,Valid!$B$99:$I$120,8), "")</f>
        <v/>
      </c>
      <c r="DH72" s="1531"/>
    </row>
    <row r="73" spans="1:112" s="930" customFormat="1" x14ac:dyDescent="0.2">
      <c r="A73" s="206">
        <v>31</v>
      </c>
      <c r="B73" s="1530">
        <v>31</v>
      </c>
      <c r="C73" s="933"/>
      <c r="D73" s="719" t="str">
        <f>IF(C71="","",IF((C73=""),"Enter RVI ID. then Fill in Columns "&amp;TEXT($I$2,0)&amp;" - "&amp;TEXT($BA$2,0)&amp;"       ",""))</f>
        <v/>
      </c>
      <c r="E73" s="1056" t="str">
        <f>IF(BH73="N/A","",BH73)</f>
        <v/>
      </c>
      <c r="F73" s="1536"/>
      <c r="G73" s="1536"/>
      <c r="H73" s="1536"/>
      <c r="I73" s="1023"/>
      <c r="J73" s="1536" t="str">
        <f>IF(E73&lt;&gt;"","Vehicles?    ","")</f>
        <v/>
      </c>
      <c r="K73" s="1023"/>
      <c r="L73" s="1536" t="str">
        <f>IF(E73&lt;&gt;"","Active Vehicles?     ","")</f>
        <v/>
      </c>
      <c r="M73" s="1023"/>
      <c r="N73" s="1536" t="str">
        <f>IF(E73&lt;&gt;"","ADA Vehicles?       ","")</f>
        <v/>
      </c>
      <c r="O73" s="1023"/>
      <c r="P73" s="1536" t="str">
        <f>IF(E73&lt;&gt;"","Cont. Vehicles?     ","")</f>
        <v/>
      </c>
      <c r="Q73" s="1024"/>
      <c r="R73" s="894"/>
      <c r="S73" s="1153"/>
      <c r="T73" s="252" t="str">
        <f>IF(E73&lt;&gt;"","Select from Pull-Down List    ","")</f>
        <v/>
      </c>
      <c r="U73" s="933"/>
      <c r="V73" s="252" t="str">
        <f>IF(E73&lt;&gt;"","Select from Pull-Down List    ","")</f>
        <v/>
      </c>
      <c r="W73" s="1766" t="str">
        <f t="shared" si="9"/>
        <v/>
      </c>
      <c r="X73" s="252"/>
      <c r="Y73" s="1988"/>
      <c r="Z73" s="252" t="str">
        <f t="shared" si="10"/>
        <v/>
      </c>
      <c r="AA73" s="139"/>
      <c r="AB73" s="252" t="str">
        <f>IF(E73&lt;&gt;"","Mfg. Yr?    ","")</f>
        <v/>
      </c>
      <c r="AC73" s="1974" t="str">
        <f t="shared" si="15"/>
        <v/>
      </c>
      <c r="AD73" s="252"/>
      <c r="AE73" s="1986" t="str">
        <f t="shared" si="16"/>
        <v/>
      </c>
      <c r="AF73" s="252"/>
      <c r="AG73" s="933"/>
      <c r="AH73" s="252" t="str">
        <f>IF(E73&lt;&gt;"","Select from Pull-Down List    ","")</f>
        <v/>
      </c>
      <c r="AI73" s="933"/>
      <c r="AJ73" s="252" t="str">
        <f>IF(E73&lt;&gt;"","Number?   ","")</f>
        <v/>
      </c>
      <c r="AK73" s="139"/>
      <c r="AL73" s="252" t="str">
        <f>IF(E73&lt;&gt;"","Last Rnwl. Yr?   ","")</f>
        <v/>
      </c>
      <c r="AM73" s="933"/>
      <c r="AN73" s="252" t="str">
        <f>IF(E73&lt;&gt;"","Select from Pull-Down List    ","")</f>
        <v/>
      </c>
      <c r="AO73" s="933"/>
      <c r="AP73" s="252" t="str">
        <f>IF(E73&lt;&gt;"","Select from Pull-Down List    ","")</f>
        <v/>
      </c>
      <c r="AQ73" s="1023"/>
      <c r="AR73" s="252" t="str">
        <f>IF(E73&lt;&gt;"","Feet?    ","")</f>
        <v/>
      </c>
      <c r="AS73" s="1023"/>
      <c r="AT73" s="252" t="str">
        <f>IF(E73&lt;&gt;"","Seats?    ","")</f>
        <v/>
      </c>
      <c r="AU73" s="1023"/>
      <c r="AV73" s="252" t="str">
        <f>IF(E73&lt;&gt;"","Standing?    ","")</f>
        <v/>
      </c>
      <c r="AW73" s="1023"/>
      <c r="AX73" s="252" t="str">
        <f>IF(E73&lt;&gt;"","Mileage?       ","")</f>
        <v/>
      </c>
      <c r="AY73" s="1023"/>
      <c r="AZ73" s="252" t="str">
        <f>IF(E73&lt;&gt;"","Avg. Lifetime Mileage? ","")</f>
        <v/>
      </c>
      <c r="BA73" s="933"/>
      <c r="BB73" s="252" t="str">
        <f>IF(E73&lt;&gt;"","Select from Pull-Down List    ","")</f>
        <v/>
      </c>
      <c r="BC73" s="171"/>
      <c r="BD73" s="252" t="str">
        <f>IF(OR(AO73="OR - Other fuel (describe in Notes)",AG73="ZZZ - Other (describe in Notes)"),"Describe                                                                                                     ","")</f>
        <v/>
      </c>
      <c r="BE73" s="894"/>
      <c r="BF73" s="894"/>
      <c r="BG73" s="894" t="b">
        <f>IF(AND(C73="",C75&lt;&gt;""),TRUE,FALSE)</f>
        <v>0</v>
      </c>
      <c r="BH73" s="888" t="str">
        <f>IF(AND(C73&lt;&gt;"",OR(I73="",K73="",M73="",O73="",S73="",U73="",AA73="",AG73="",AI73="",AO73="",AQ73="",AS73="",AU73="",AW73="",AY73="")),"No",IF(AND(C73="",OR(I73&lt;&gt;"",K73&lt;&gt;"",M73&lt;&gt;"",O73&lt;&gt;"",S73&lt;&gt;"",U73&lt;&gt;"",AA73&lt;&gt;"",AG73&lt;&gt;"",AI73&lt;&gt;"",AK73&lt;&gt;"",AM73&lt;&gt;"",AO73&lt;&gt;"",AQ73&lt;&gt;"",AS73&lt;&gt;"",AU73&lt;&gt;"",AW73&lt;&gt;"",AY73&lt;&gt;"",BA73&lt;&gt;"",BC73&lt;&gt;"")),"No",IF(AND(C73="",I73="",K73="",M73="",O73="",S73="",U73="",AA73="",AG73="",AI73="",AK73="",AM73="",AO73="",AQ73="",AS73="",AU73="",AW73="",AY73="",BA73=""),"N/A","Yes")))</f>
        <v>N/A</v>
      </c>
      <c r="BI73" s="898"/>
      <c r="BJ73" s="899" t="b">
        <f>IF(AND(OR(I73&lt;&gt;"",K73&lt;&gt;"",M73&lt;&gt;"",O73&lt;&gt;"",S73&lt;&gt;"",U73&lt;&gt;"",AA73&lt;&gt;"",AG73&lt;&gt;"",AI73&lt;&gt;"",AK73&lt;&gt;"",AM73&lt;&gt;"",AO73&lt;&gt;"",AQ73&lt;&gt;"",AS73&lt;&gt;"",AW73&lt;&gt;"",AY73&lt;&gt;"",BA73&lt;&gt;"",BC73&lt;&gt;""),C73=""),TRUE,FALSE)</f>
        <v>0</v>
      </c>
      <c r="BK73" s="898" t="b">
        <f>IF(BL73=TRUE,FALSE,IF(SUM(K73,O73)&gt;I73,TRUE,FALSE))</f>
        <v>0</v>
      </c>
      <c r="BL73" s="899" t="b">
        <f>IF(AND(C73&lt;&gt;"",I73=""),TRUE,FALSE)</f>
        <v>0</v>
      </c>
      <c r="BM73" s="898" t="b">
        <f>IF(BN73=TRUE,FALSE,IF(M73&gt;K73,TRUE,FALSE))</f>
        <v>0</v>
      </c>
      <c r="BN73" s="899" t="b">
        <f>IF(AND($C73&lt;&gt;"",K73=""),TRUE,FALSE)</f>
        <v>0</v>
      </c>
      <c r="BO73" s="898"/>
      <c r="BP73" s="899" t="b">
        <f>IF(AND($C73&lt;&gt;"",M73=""),TRUE,FALSE)</f>
        <v>0</v>
      </c>
      <c r="BQ73" s="898"/>
      <c r="BR73" s="899" t="b">
        <f>IF(AND($C73&lt;&gt;"",O73=""),TRUE,FALSE)</f>
        <v>0</v>
      </c>
      <c r="BS73" s="898" t="b">
        <f>IF(AND(S73="",OR(U73&lt;&gt;"",AA73&lt;&gt;"",AG73&lt;&gt;"",AI73&lt;&gt;"",AK73&lt;&gt;"",AM73&lt;&gt;"",AO73&lt;&gt;"",AQ73&lt;&gt;"",AS73&lt;&gt;"",AU73&lt;&gt;"",AW73&lt;&gt;"",AY73&lt;&gt;"",BA73&lt;&gt;"")),TRUE,FALSE)</f>
        <v>0</v>
      </c>
      <c r="BT73" s="899" t="b">
        <f>IF(AND($C73&lt;&gt;"",S73=""),TRUE,FALSE)</f>
        <v>0</v>
      </c>
      <c r="BU73" s="898"/>
      <c r="BV73" s="899" t="b">
        <f>IF(AND($C73&lt;&gt;"",U73=""),TRUE,FALSE)</f>
        <v>0</v>
      </c>
      <c r="BW73" s="1537" t="b">
        <f>IF(BX73=TRUE,FALSE,IF(AA73="",FALSE,IF(OR(AA73&lt;CX73,AA73&gt;BaseYear),TRUE,FALSE)))</f>
        <v>0</v>
      </c>
      <c r="BX73" s="899" t="b">
        <f>IF(AND($C73&lt;&gt;"",AA73=""),TRUE,FALSE)</f>
        <v>0</v>
      </c>
      <c r="BY73" s="898"/>
      <c r="BZ73" s="899" t="b">
        <f>IF(AND($C73&lt;&gt;"",AG73=""),TRUE,FALSE)</f>
        <v>0</v>
      </c>
      <c r="CA73" s="898"/>
      <c r="CB73" s="899" t="b">
        <f>IF(AND($C73&lt;&gt;"",AI73=""),TRUE,FALSE)</f>
        <v>0</v>
      </c>
      <c r="CC73" s="1537" t="b">
        <f>IF(AK73="",FALSE,IF(OR(AK73&lt;CX73,AK73&gt;BaseYear),TRUE,FALSE))</f>
        <v>0</v>
      </c>
      <c r="CD73" s="1538" t="b">
        <f>IF(AK73="",FALSE,IF(AK73&lt;AA73,TRUE,FALSE))</f>
        <v>0</v>
      </c>
      <c r="CE73" s="899" t="b">
        <f>IF(AND($AM73&lt;&gt;"",AK73=""),TRUE,FALSE)</f>
        <v>0</v>
      </c>
      <c r="CF73" s="898"/>
      <c r="CG73" s="899" t="b">
        <f>IF(AND($AK73&lt;&gt;"",AM73=""),TRUE,FALSE)</f>
        <v>0</v>
      </c>
      <c r="CH73" s="898"/>
      <c r="CI73" s="899" t="b">
        <f>IF(AND($C73&lt;&gt;"",AO73=""),TRUE,FALSE)</f>
        <v>0</v>
      </c>
      <c r="CJ73" s="1537"/>
      <c r="CK73" s="899" t="b">
        <f>IF(AND($C73&lt;&gt;"",AQ73=""),TRUE,FALSE)</f>
        <v>0</v>
      </c>
      <c r="CL73" s="898"/>
      <c r="CM73" s="899" t="b">
        <f>IF(AND($C73&lt;&gt;"",AS73=""),TRUE,FALSE)</f>
        <v>0</v>
      </c>
      <c r="CN73" s="898"/>
      <c r="CO73" s="899" t="b">
        <f>IF(AND($C73&lt;&gt;"",AU73=""),TRUE,FALSE)</f>
        <v>0</v>
      </c>
      <c r="CP73" s="898"/>
      <c r="CQ73" s="899" t="b">
        <f>IF(AND($C73&lt;&gt;"",AW73=""),TRUE,FALSE)</f>
        <v>0</v>
      </c>
      <c r="CR73" s="898"/>
      <c r="CS73" s="899" t="b">
        <f>IF(AND($C73&lt;&gt;"",AY73=""),TRUE,FALSE)</f>
        <v>0</v>
      </c>
      <c r="CT73" s="898"/>
      <c r="CU73" s="898" t="b">
        <f>IF(AND($C73&lt;&gt;"",BA73=""),TRUE,FALSE)</f>
        <v>0</v>
      </c>
      <c r="CV73" s="894"/>
      <c r="CW73" s="898" t="str">
        <f t="shared" si="11"/>
        <v/>
      </c>
      <c r="CX73" s="898" t="str">
        <f>IFERROR(IF(AND(S73="",S73&lt;&gt;""),1913,VLOOKUP(S73,Valid!$B$99:$J$120,9)),"")</f>
        <v/>
      </c>
      <c r="CY73" s="898" t="str">
        <f t="shared" ca="1" si="12"/>
        <v/>
      </c>
      <c r="CZ73" s="1547" t="str">
        <f t="shared" ca="1" si="17"/>
        <v/>
      </c>
      <c r="DA73" s="898" t="str">
        <f ca="1">IF(CZ73="", "", IF(1+(CZ73*4)&lt;1, 1, 1+(CZ73*4)))</f>
        <v/>
      </c>
      <c r="DB73" s="898" t="str">
        <f t="shared" si="13"/>
        <v/>
      </c>
      <c r="DC73" s="898" t="str">
        <f t="shared" si="14"/>
        <v/>
      </c>
      <c r="DD73" s="1539" t="str">
        <f>IFERROR(IF(AND(AM73="",C73&lt;&gt;""),Valid!$E$123,VLOOKUP(AM73,Valid!$B$123:$F$125,4,FALSE)),"")</f>
        <v/>
      </c>
      <c r="DE73" s="1539" t="str">
        <f>IFERROR(IF(AND(AM73="",C73&lt;&gt;""),Valid!$F$123,VLOOKUP(AM73,Valid!$B$123:$F$125,5,FALSE)),"")</f>
        <v/>
      </c>
      <c r="DF73" s="1539" t="str">
        <f>IFERROR(VLOOKUP('A-70 RevVehInv'!S73,Valid!$B$99:$I$120,7), "")</f>
        <v/>
      </c>
      <c r="DG73" s="1539" t="str">
        <f>IFERROR(VLOOKUP(S73,Valid!$B$99:$I$120,8), "")</f>
        <v/>
      </c>
      <c r="DH73" s="894"/>
    </row>
    <row r="74" spans="1:112" ht="6.75" customHeight="1" x14ac:dyDescent="0.2">
      <c r="A74" s="1516"/>
      <c r="B74" s="1530">
        <v>31.5</v>
      </c>
      <c r="C74" s="1540"/>
      <c r="D74" s="905"/>
      <c r="E74" s="1541"/>
      <c r="F74" s="905"/>
      <c r="G74" s="905"/>
      <c r="H74" s="905"/>
      <c r="I74" s="1534"/>
      <c r="J74" s="905"/>
      <c r="K74" s="1534"/>
      <c r="L74" s="905"/>
      <c r="M74" s="1534"/>
      <c r="N74" s="905"/>
      <c r="O74" s="1534"/>
      <c r="P74" s="905"/>
      <c r="Q74" s="1534"/>
      <c r="R74" s="1531"/>
      <c r="S74" s="1542"/>
      <c r="T74" s="905"/>
      <c r="U74" s="1542"/>
      <c r="V74" s="905"/>
      <c r="W74" s="1534" t="str">
        <f t="shared" si="9"/>
        <v/>
      </c>
      <c r="X74" s="905"/>
      <c r="Y74" s="1534"/>
      <c r="Z74" s="252" t="str">
        <f t="shared" si="10"/>
        <v/>
      </c>
      <c r="AA74" s="1534"/>
      <c r="AB74" s="905"/>
      <c r="AC74" s="1973" t="str">
        <f t="shared" si="15"/>
        <v/>
      </c>
      <c r="AD74" s="905"/>
      <c r="AE74" s="1985" t="str">
        <f t="shared" si="16"/>
        <v/>
      </c>
      <c r="AF74" s="905"/>
      <c r="AG74" s="1543"/>
      <c r="AH74" s="1531"/>
      <c r="AI74" s="1534"/>
      <c r="AJ74" s="1531"/>
      <c r="AK74" s="1534"/>
      <c r="AL74" s="1531"/>
      <c r="AM74" s="1543"/>
      <c r="AN74" s="1531"/>
      <c r="AO74" s="1543"/>
      <c r="AP74" s="1531"/>
      <c r="AQ74" s="1534"/>
      <c r="AR74" s="1531"/>
      <c r="AS74" s="1534"/>
      <c r="AT74" s="1531"/>
      <c r="AU74" s="1534"/>
      <c r="AV74" s="1531"/>
      <c r="AW74" s="1534"/>
      <c r="AX74" s="1531"/>
      <c r="AY74" s="1534"/>
      <c r="AZ74" s="1531"/>
      <c r="BA74" s="1543"/>
      <c r="BB74" s="1531"/>
      <c r="BC74" s="1534"/>
      <c r="BD74" s="1531"/>
      <c r="BE74" s="1531"/>
      <c r="BF74" s="1531"/>
      <c r="BG74" s="1531"/>
      <c r="BH74" s="1531"/>
      <c r="BI74" s="1535"/>
      <c r="BJ74" s="1534"/>
      <c r="BK74" s="1535"/>
      <c r="BL74" s="1534"/>
      <c r="BM74" s="1535"/>
      <c r="BN74" s="1534"/>
      <c r="BO74" s="1535"/>
      <c r="BP74" s="1534"/>
      <c r="BQ74" s="1535"/>
      <c r="BR74" s="1534"/>
      <c r="BS74" s="1535"/>
      <c r="BT74" s="1534"/>
      <c r="BU74" s="1535"/>
      <c r="BV74" s="1534"/>
      <c r="BW74" s="1535"/>
      <c r="BX74" s="1534"/>
      <c r="BY74" s="1535"/>
      <c r="BZ74" s="1534"/>
      <c r="CA74" s="1535"/>
      <c r="CB74" s="1534"/>
      <c r="CC74" s="1535"/>
      <c r="CD74" s="1534"/>
      <c r="CE74" s="1534"/>
      <c r="CF74" s="1535"/>
      <c r="CG74" s="1534"/>
      <c r="CH74" s="1535"/>
      <c r="CI74" s="1534"/>
      <c r="CJ74" s="1535"/>
      <c r="CK74" s="1534"/>
      <c r="CL74" s="1535"/>
      <c r="CM74" s="1534"/>
      <c r="CN74" s="1535"/>
      <c r="CO74" s="1534"/>
      <c r="CP74" s="1535"/>
      <c r="CQ74" s="1534"/>
      <c r="CR74" s="1535"/>
      <c r="CS74" s="1534"/>
      <c r="CT74" s="1535"/>
      <c r="CU74" s="1535"/>
      <c r="CV74" s="1531"/>
      <c r="CW74" s="898" t="str">
        <f t="shared" si="11"/>
        <v/>
      </c>
      <c r="CX74" s="898" t="str">
        <f>IFERROR(IF(AND(S74="",S74&lt;&gt;""),1913,VLOOKUP(S74,Valid!$B$99:$J$120,9)),"")</f>
        <v/>
      </c>
      <c r="CY74" s="898" t="str">
        <f t="shared" ca="1" si="12"/>
        <v/>
      </c>
      <c r="CZ74" s="1547" t="str">
        <f t="shared" ca="1" si="17"/>
        <v/>
      </c>
      <c r="DA74" s="898"/>
      <c r="DB74" s="898" t="str">
        <f t="shared" si="13"/>
        <v/>
      </c>
      <c r="DC74" s="898" t="str">
        <f t="shared" si="14"/>
        <v/>
      </c>
      <c r="DD74" s="1539" t="str">
        <f>IFERROR(IF(AND(AM74="",C74&lt;&gt;""),Valid!$E$123,VLOOKUP(AM74,Valid!$B$123:$F$125,4,FALSE)),"")</f>
        <v/>
      </c>
      <c r="DE74" s="1539" t="str">
        <f>IFERROR(IF(AND(AM74="",C74&lt;&gt;""),Valid!$F$123,VLOOKUP(AM74,Valid!$B$123:$F$125,5,FALSE)),"")</f>
        <v/>
      </c>
      <c r="DF74" s="1539" t="str">
        <f>IFERROR(VLOOKUP('A-70 RevVehInv'!S74,Valid!$B$99:$I$120,7), "")</f>
        <v/>
      </c>
      <c r="DG74" s="1539" t="str">
        <f>IFERROR(VLOOKUP(S74,Valid!$B$99:$I$120,8), "")</f>
        <v/>
      </c>
      <c r="DH74" s="1531"/>
    </row>
    <row r="75" spans="1:112" s="930" customFormat="1" x14ac:dyDescent="0.2">
      <c r="A75" s="206">
        <v>32</v>
      </c>
      <c r="B75" s="1530">
        <v>32</v>
      </c>
      <c r="C75" s="933"/>
      <c r="D75" s="719" t="str">
        <f>IF(C73="","",IF((C75=""),"Enter RVI ID. then Fill in Columns "&amp;TEXT($I$2,0)&amp;" - "&amp;TEXT($BA$2,0)&amp;"       ",""))</f>
        <v/>
      </c>
      <c r="E75" s="1056" t="str">
        <f>IF(BH75="N/A","",BH75)</f>
        <v/>
      </c>
      <c r="F75" s="1536"/>
      <c r="G75" s="1536"/>
      <c r="H75" s="1536"/>
      <c r="I75" s="1023"/>
      <c r="J75" s="1536" t="str">
        <f>IF(E75&lt;&gt;"","Vehicles?    ","")</f>
        <v/>
      </c>
      <c r="K75" s="1023"/>
      <c r="L75" s="1536" t="str">
        <f>IF(E75&lt;&gt;"","Active Vehicles?     ","")</f>
        <v/>
      </c>
      <c r="M75" s="1023"/>
      <c r="N75" s="1536" t="str">
        <f>IF(E75&lt;&gt;"","ADA Vehicles?       ","")</f>
        <v/>
      </c>
      <c r="O75" s="1023"/>
      <c r="P75" s="1536" t="str">
        <f>IF(E75&lt;&gt;"","Cont. Vehicles?     ","")</f>
        <v/>
      </c>
      <c r="Q75" s="1024"/>
      <c r="R75" s="894"/>
      <c r="S75" s="1153"/>
      <c r="T75" s="252" t="str">
        <f>IF(E75&lt;&gt;"","Select from Pull-Down List    ","")</f>
        <v/>
      </c>
      <c r="U75" s="933"/>
      <c r="V75" s="252" t="str">
        <f>IF(E75&lt;&gt;"","Select from Pull-Down List    ","")</f>
        <v/>
      </c>
      <c r="W75" s="1766" t="str">
        <f t="shared" si="9"/>
        <v/>
      </c>
      <c r="X75" s="252"/>
      <c r="Y75" s="1988"/>
      <c r="Z75" s="252" t="str">
        <f t="shared" si="10"/>
        <v/>
      </c>
      <c r="AA75" s="139"/>
      <c r="AB75" s="252" t="str">
        <f>IF(E75&lt;&gt;"","Mfg. Yr?    ","")</f>
        <v/>
      </c>
      <c r="AC75" s="1974" t="str">
        <f t="shared" si="15"/>
        <v/>
      </c>
      <c r="AD75" s="252"/>
      <c r="AE75" s="1986" t="str">
        <f t="shared" si="16"/>
        <v/>
      </c>
      <c r="AF75" s="252"/>
      <c r="AG75" s="933"/>
      <c r="AH75" s="252" t="str">
        <f>IF(E75&lt;&gt;"","Select from Pull-Down List    ","")</f>
        <v/>
      </c>
      <c r="AI75" s="933"/>
      <c r="AJ75" s="252" t="str">
        <f>IF(E75&lt;&gt;"","Number?   ","")</f>
        <v/>
      </c>
      <c r="AK75" s="139"/>
      <c r="AL75" s="252" t="str">
        <f>IF(E75&lt;&gt;"","Last Rnwl. Yr?   ","")</f>
        <v/>
      </c>
      <c r="AM75" s="933"/>
      <c r="AN75" s="252" t="str">
        <f>IF(E75&lt;&gt;"","Select from Pull-Down List    ","")</f>
        <v/>
      </c>
      <c r="AO75" s="933"/>
      <c r="AP75" s="252" t="str">
        <f>IF(E75&lt;&gt;"","Select from Pull-Down List    ","")</f>
        <v/>
      </c>
      <c r="AQ75" s="1023"/>
      <c r="AR75" s="252" t="str">
        <f>IF(E75&lt;&gt;"","Feet?    ","")</f>
        <v/>
      </c>
      <c r="AS75" s="1023"/>
      <c r="AT75" s="252" t="str">
        <f>IF(E75&lt;&gt;"","Seats?    ","")</f>
        <v/>
      </c>
      <c r="AU75" s="1023"/>
      <c r="AV75" s="252" t="str">
        <f>IF(E75&lt;&gt;"","Standing?    ","")</f>
        <v/>
      </c>
      <c r="AW75" s="1023"/>
      <c r="AX75" s="252" t="str">
        <f>IF(E75&lt;&gt;"","Mileage?       ","")</f>
        <v/>
      </c>
      <c r="AY75" s="1023"/>
      <c r="AZ75" s="252" t="str">
        <f>IF(E75&lt;&gt;"","Avg. Lifetime Mileage? ","")</f>
        <v/>
      </c>
      <c r="BA75" s="933"/>
      <c r="BB75" s="252" t="str">
        <f>IF(E75&lt;&gt;"","Select from Pull-Down List    ","")</f>
        <v/>
      </c>
      <c r="BC75" s="171"/>
      <c r="BD75" s="252" t="str">
        <f>IF(OR(AO75="OR - Other fuel (describe in Notes)",AG75="ZZZ - Other (describe in Notes)"),"Describe                                                                                                     ","")</f>
        <v/>
      </c>
      <c r="BE75" s="894"/>
      <c r="BF75" s="894"/>
      <c r="BG75" s="894" t="b">
        <f>IF(AND(C75="",C77&lt;&gt;""),TRUE,FALSE)</f>
        <v>0</v>
      </c>
      <c r="BH75" s="888" t="str">
        <f>IF(AND(C75&lt;&gt;"",OR(I75="",K75="",M75="",O75="",S75="",U75="",AA75="",AG75="",AI75="",AO75="",AQ75="",AS75="",AU75="",AW75="",AY75="")),"No",IF(AND(C75="",OR(I75&lt;&gt;"",K75&lt;&gt;"",M75&lt;&gt;"",O75&lt;&gt;"",S75&lt;&gt;"",U75&lt;&gt;"",AA75&lt;&gt;"",AG75&lt;&gt;"",AI75&lt;&gt;"",AK75&lt;&gt;"",AM75&lt;&gt;"",AO75&lt;&gt;"",AQ75&lt;&gt;"",AS75&lt;&gt;"",AU75&lt;&gt;"",AW75&lt;&gt;"",AY75&lt;&gt;"",BA75&lt;&gt;"",BC75&lt;&gt;"")),"No",IF(AND(C75="",I75="",K75="",M75="",O75="",S75="",U75="",AA75="",AG75="",AI75="",AK75="",AM75="",AO75="",AQ75="",AS75="",AU75="",AW75="",AY75="",BA75=""),"N/A","Yes")))</f>
        <v>N/A</v>
      </c>
      <c r="BI75" s="898"/>
      <c r="BJ75" s="899" t="b">
        <f>IF(AND(OR(I75&lt;&gt;"",K75&lt;&gt;"",M75&lt;&gt;"",O75&lt;&gt;"",S75&lt;&gt;"",U75&lt;&gt;"",AA75&lt;&gt;"",AG75&lt;&gt;"",AI75&lt;&gt;"",AK75&lt;&gt;"",AM75&lt;&gt;"",AO75&lt;&gt;"",AQ75&lt;&gt;"",AS75&lt;&gt;"",AW75&lt;&gt;"",AY75&lt;&gt;"",BA75&lt;&gt;"",BC75&lt;&gt;""),C75=""),TRUE,FALSE)</f>
        <v>0</v>
      </c>
      <c r="BK75" s="898" t="b">
        <f>IF(BL75=TRUE,FALSE,IF(SUM(K75,O75)&gt;I75,TRUE,FALSE))</f>
        <v>0</v>
      </c>
      <c r="BL75" s="899" t="b">
        <f>IF(AND(C75&lt;&gt;"",I75=""),TRUE,FALSE)</f>
        <v>0</v>
      </c>
      <c r="BM75" s="898" t="b">
        <f>IF(BN75=TRUE,FALSE,IF(M75&gt;K75,TRUE,FALSE))</f>
        <v>0</v>
      </c>
      <c r="BN75" s="899" t="b">
        <f>IF(AND($C75&lt;&gt;"",K75=""),TRUE,FALSE)</f>
        <v>0</v>
      </c>
      <c r="BO75" s="898"/>
      <c r="BP75" s="899" t="b">
        <f>IF(AND($C75&lt;&gt;"",M75=""),TRUE,FALSE)</f>
        <v>0</v>
      </c>
      <c r="BQ75" s="898"/>
      <c r="BR75" s="899" t="b">
        <f>IF(AND($C75&lt;&gt;"",O75=""),TRUE,FALSE)</f>
        <v>0</v>
      </c>
      <c r="BS75" s="898" t="b">
        <f>IF(AND(S75="",OR(U75&lt;&gt;"",AA75&lt;&gt;"",AG75&lt;&gt;"",AI75&lt;&gt;"",AK75&lt;&gt;"",AM75&lt;&gt;"",AO75&lt;&gt;"",AQ75&lt;&gt;"",AS75&lt;&gt;"",AU75&lt;&gt;"",AW75&lt;&gt;"",AY75&lt;&gt;"",BA75&lt;&gt;"")),TRUE,FALSE)</f>
        <v>0</v>
      </c>
      <c r="BT75" s="899" t="b">
        <f>IF(AND($C75&lt;&gt;"",S75=""),TRUE,FALSE)</f>
        <v>0</v>
      </c>
      <c r="BU75" s="898"/>
      <c r="BV75" s="899" t="b">
        <f>IF(AND($C75&lt;&gt;"",U75=""),TRUE,FALSE)</f>
        <v>0</v>
      </c>
      <c r="BW75" s="1537" t="b">
        <f>IF(BX75=TRUE,FALSE,IF(AA75="",FALSE,IF(OR(AA75&lt;CX75,AA75&gt;BaseYear),TRUE,FALSE)))</f>
        <v>0</v>
      </c>
      <c r="BX75" s="899" t="b">
        <f>IF(AND($C75&lt;&gt;"",AA75=""),TRUE,FALSE)</f>
        <v>0</v>
      </c>
      <c r="BY75" s="898"/>
      <c r="BZ75" s="899" t="b">
        <f>IF(AND($C75&lt;&gt;"",AG75=""),TRUE,FALSE)</f>
        <v>0</v>
      </c>
      <c r="CA75" s="898"/>
      <c r="CB75" s="899" t="b">
        <f>IF(AND($C75&lt;&gt;"",AI75=""),TRUE,FALSE)</f>
        <v>0</v>
      </c>
      <c r="CC75" s="1537" t="b">
        <f>IF(AK75="",FALSE,IF(OR(AK75&lt;CX75,AK75&gt;BaseYear),TRUE,FALSE))</f>
        <v>0</v>
      </c>
      <c r="CD75" s="1538" t="b">
        <f>IF(AK75="",FALSE,IF(AK75&lt;AA75,TRUE,FALSE))</f>
        <v>0</v>
      </c>
      <c r="CE75" s="899" t="b">
        <f>IF(AND($AM75&lt;&gt;"",AK75=""),TRUE,FALSE)</f>
        <v>0</v>
      </c>
      <c r="CF75" s="898"/>
      <c r="CG75" s="899" t="b">
        <f>IF(AND($AK75&lt;&gt;"",AM75=""),TRUE,FALSE)</f>
        <v>0</v>
      </c>
      <c r="CH75" s="898"/>
      <c r="CI75" s="899" t="b">
        <f>IF(AND($C75&lt;&gt;"",AO75=""),TRUE,FALSE)</f>
        <v>0</v>
      </c>
      <c r="CJ75" s="1537"/>
      <c r="CK75" s="899" t="b">
        <f>IF(AND($C75&lt;&gt;"",AQ75=""),TRUE,FALSE)</f>
        <v>0</v>
      </c>
      <c r="CL75" s="898"/>
      <c r="CM75" s="899" t="b">
        <f>IF(AND($C75&lt;&gt;"",AS75=""),TRUE,FALSE)</f>
        <v>0</v>
      </c>
      <c r="CN75" s="898"/>
      <c r="CO75" s="899" t="b">
        <f>IF(AND($C75&lt;&gt;"",AU75=""),TRUE,FALSE)</f>
        <v>0</v>
      </c>
      <c r="CP75" s="898"/>
      <c r="CQ75" s="899" t="b">
        <f>IF(AND($C75&lt;&gt;"",AW75=""),TRUE,FALSE)</f>
        <v>0</v>
      </c>
      <c r="CR75" s="898"/>
      <c r="CS75" s="899" t="b">
        <f>IF(AND($C75&lt;&gt;"",AY75=""),TRUE,FALSE)</f>
        <v>0</v>
      </c>
      <c r="CT75" s="898"/>
      <c r="CU75" s="898" t="b">
        <f>IF(AND($C75&lt;&gt;"",BA75=""),TRUE,FALSE)</f>
        <v>0</v>
      </c>
      <c r="CV75" s="894"/>
      <c r="CW75" s="898" t="str">
        <f t="shared" si="11"/>
        <v/>
      </c>
      <c r="CX75" s="898" t="str">
        <f>IFERROR(IF(AND(S75="",S75&lt;&gt;""),1913,VLOOKUP(S75,Valid!$B$99:$J$120,9)),"")</f>
        <v/>
      </c>
      <c r="CY75" s="898" t="str">
        <f t="shared" ca="1" si="12"/>
        <v/>
      </c>
      <c r="CZ75" s="1547" t="str">
        <f t="shared" ca="1" si="17"/>
        <v/>
      </c>
      <c r="DA75" s="898" t="str">
        <f ca="1">IF(CZ75="", "", IF(1+(CZ75*4)&lt;1, 1, 1+(CZ75*4)))</f>
        <v/>
      </c>
      <c r="DB75" s="898" t="str">
        <f t="shared" si="13"/>
        <v/>
      </c>
      <c r="DC75" s="898" t="str">
        <f t="shared" si="14"/>
        <v/>
      </c>
      <c r="DD75" s="1539" t="str">
        <f>IFERROR(IF(AND(AM75="",C75&lt;&gt;""),Valid!$E$123,VLOOKUP(AM75,Valid!$B$123:$F$125,4,FALSE)),"")</f>
        <v/>
      </c>
      <c r="DE75" s="1539" t="str">
        <f>IFERROR(IF(AND(AM75="",C75&lt;&gt;""),Valid!$F$123,VLOOKUP(AM75,Valid!$B$123:$F$125,5,FALSE)),"")</f>
        <v/>
      </c>
      <c r="DF75" s="1539" t="str">
        <f>IFERROR(VLOOKUP('A-70 RevVehInv'!S75,Valid!$B$99:$I$120,7), "")</f>
        <v/>
      </c>
      <c r="DG75" s="1539" t="str">
        <f>IFERROR(VLOOKUP(S75,Valid!$B$99:$I$120,8), "")</f>
        <v/>
      </c>
      <c r="DH75" s="894"/>
    </row>
    <row r="76" spans="1:112" ht="6.75" customHeight="1" x14ac:dyDescent="0.2">
      <c r="A76" s="1516"/>
      <c r="B76" s="1530">
        <v>32.5</v>
      </c>
      <c r="C76" s="1544"/>
      <c r="D76" s="905"/>
      <c r="E76" s="1545"/>
      <c r="F76" s="905"/>
      <c r="G76" s="905"/>
      <c r="H76" s="905"/>
      <c r="I76" s="1531"/>
      <c r="J76" s="905"/>
      <c r="K76" s="1531"/>
      <c r="L76" s="905"/>
      <c r="M76" s="1531"/>
      <c r="N76" s="905"/>
      <c r="O76" s="1531"/>
      <c r="P76" s="905"/>
      <c r="Q76" s="1531"/>
      <c r="R76" s="1531"/>
      <c r="S76" s="1533"/>
      <c r="T76" s="905"/>
      <c r="U76" s="1533"/>
      <c r="V76" s="905"/>
      <c r="W76" s="1531" t="str">
        <f t="shared" si="9"/>
        <v/>
      </c>
      <c r="X76" s="905"/>
      <c r="Y76" s="1531"/>
      <c r="Z76" s="252" t="str">
        <f t="shared" si="10"/>
        <v/>
      </c>
      <c r="AA76" s="1531"/>
      <c r="AB76" s="905"/>
      <c r="AC76" s="1971" t="str">
        <f t="shared" si="15"/>
        <v/>
      </c>
      <c r="AD76" s="905"/>
      <c r="AE76" s="1983" t="str">
        <f t="shared" si="16"/>
        <v/>
      </c>
      <c r="AF76" s="905"/>
      <c r="AG76" s="1546"/>
      <c r="AH76" s="1531"/>
      <c r="AI76" s="1531"/>
      <c r="AJ76" s="1531"/>
      <c r="AK76" s="1531"/>
      <c r="AL76" s="1531"/>
      <c r="AM76" s="1546"/>
      <c r="AN76" s="1531"/>
      <c r="AO76" s="1546"/>
      <c r="AP76" s="1531"/>
      <c r="AQ76" s="1531"/>
      <c r="AR76" s="1531"/>
      <c r="AS76" s="1531"/>
      <c r="AT76" s="1531"/>
      <c r="AU76" s="1531"/>
      <c r="AV76" s="1531"/>
      <c r="AW76" s="1531"/>
      <c r="AX76" s="1531"/>
      <c r="AY76" s="1531"/>
      <c r="AZ76" s="1531"/>
      <c r="BA76" s="1546"/>
      <c r="BB76" s="1531"/>
      <c r="BC76" s="1531"/>
      <c r="BD76" s="1531"/>
      <c r="BE76" s="1531"/>
      <c r="BF76" s="1531"/>
      <c r="BG76" s="1531"/>
      <c r="BH76" s="1531"/>
      <c r="BI76" s="1535"/>
      <c r="BJ76" s="1534"/>
      <c r="BK76" s="1535"/>
      <c r="BL76" s="1534"/>
      <c r="BM76" s="1535"/>
      <c r="BN76" s="1534"/>
      <c r="BO76" s="1535"/>
      <c r="BP76" s="1534"/>
      <c r="BQ76" s="1535"/>
      <c r="BR76" s="1534"/>
      <c r="BS76" s="1535"/>
      <c r="BT76" s="1534"/>
      <c r="BU76" s="1535"/>
      <c r="BV76" s="1534"/>
      <c r="BW76" s="1535"/>
      <c r="BX76" s="1534"/>
      <c r="BY76" s="1535"/>
      <c r="BZ76" s="1534"/>
      <c r="CA76" s="1535"/>
      <c r="CB76" s="1534"/>
      <c r="CC76" s="1535"/>
      <c r="CD76" s="1534"/>
      <c r="CE76" s="1534"/>
      <c r="CF76" s="1535"/>
      <c r="CG76" s="1534"/>
      <c r="CH76" s="1535"/>
      <c r="CI76" s="1534"/>
      <c r="CJ76" s="1535"/>
      <c r="CK76" s="1534"/>
      <c r="CL76" s="1535"/>
      <c r="CM76" s="1534"/>
      <c r="CN76" s="1535"/>
      <c r="CO76" s="1534"/>
      <c r="CP76" s="1535"/>
      <c r="CQ76" s="1534"/>
      <c r="CR76" s="1535"/>
      <c r="CS76" s="1534"/>
      <c r="CT76" s="1535"/>
      <c r="CU76" s="1535"/>
      <c r="CV76" s="1531"/>
      <c r="CW76" s="898" t="str">
        <f t="shared" si="11"/>
        <v/>
      </c>
      <c r="CX76" s="898" t="str">
        <f>IFERROR(IF(AND(S76="",S76&lt;&gt;""),1913,VLOOKUP(S76,Valid!$B$99:$J$120,9)),"")</f>
        <v/>
      </c>
      <c r="CY76" s="898" t="str">
        <f t="shared" ca="1" si="12"/>
        <v/>
      </c>
      <c r="CZ76" s="1547" t="str">
        <f t="shared" ca="1" si="17"/>
        <v/>
      </c>
      <c r="DA76" s="898"/>
      <c r="DB76" s="898" t="str">
        <f t="shared" si="13"/>
        <v/>
      </c>
      <c r="DC76" s="898" t="str">
        <f t="shared" si="14"/>
        <v/>
      </c>
      <c r="DD76" s="1539" t="str">
        <f>IFERROR(IF(AND(AM76="",C76&lt;&gt;""),Valid!$E$123,VLOOKUP(AM76,Valid!$B$123:$F$125,4,FALSE)),"")</f>
        <v/>
      </c>
      <c r="DE76" s="1539" t="str">
        <f>IFERROR(IF(AND(AM76="",C76&lt;&gt;""),Valid!$F$123,VLOOKUP(AM76,Valid!$B$123:$F$125,5,FALSE)),"")</f>
        <v/>
      </c>
      <c r="DF76" s="1539" t="str">
        <f>IFERROR(VLOOKUP('A-70 RevVehInv'!S76,Valid!$B$99:$I$120,7), "")</f>
        <v/>
      </c>
      <c r="DG76" s="1539" t="str">
        <f>IFERROR(VLOOKUP(S76,Valid!$B$99:$I$120,8), "")</f>
        <v/>
      </c>
      <c r="DH76" s="1531"/>
    </row>
    <row r="77" spans="1:112" s="930" customFormat="1" x14ac:dyDescent="0.2">
      <c r="A77" s="206">
        <v>33</v>
      </c>
      <c r="B77" s="1530">
        <v>33</v>
      </c>
      <c r="C77" s="933"/>
      <c r="D77" s="719" t="str">
        <f>IF(C75="","",IF((C77=""),"Enter RVI ID. then Fill in Columns "&amp;TEXT($I$2,0)&amp;" - "&amp;TEXT($BA$2,0)&amp;"       ",""))</f>
        <v/>
      </c>
      <c r="E77" s="1056" t="str">
        <f>IF(BH77="N/A","",BH77)</f>
        <v/>
      </c>
      <c r="F77" s="1536"/>
      <c r="G77" s="1536"/>
      <c r="H77" s="1536"/>
      <c r="I77" s="1023"/>
      <c r="J77" s="1536" t="str">
        <f>IF(E77&lt;&gt;"","Vehicles?    ","")</f>
        <v/>
      </c>
      <c r="K77" s="1023"/>
      <c r="L77" s="1536" t="str">
        <f>IF(E77&lt;&gt;"","Active Vehicles?     ","")</f>
        <v/>
      </c>
      <c r="M77" s="1023"/>
      <c r="N77" s="1536" t="str">
        <f>IF(E77&lt;&gt;"","ADA Vehicles?       ","")</f>
        <v/>
      </c>
      <c r="O77" s="1023"/>
      <c r="P77" s="1536" t="str">
        <f>IF(E77&lt;&gt;"","Cont. Vehicles?     ","")</f>
        <v/>
      </c>
      <c r="Q77" s="1024"/>
      <c r="R77" s="894"/>
      <c r="S77" s="1153"/>
      <c r="T77" s="252" t="str">
        <f>IF(E77&lt;&gt;"","Select from Pull-Down List    ","")</f>
        <v/>
      </c>
      <c r="U77" s="933"/>
      <c r="V77" s="252" t="str">
        <f>IF(E77&lt;&gt;"","Select from Pull-Down List    ","")</f>
        <v/>
      </c>
      <c r="W77" s="1766" t="str">
        <f t="shared" ref="W77:W108" si="18">IFERROR(VLOOKUP($S77,val_rev_vehicles,W$3,FALSE), "")</f>
        <v/>
      </c>
      <c r="X77" s="252"/>
      <c r="Y77" s="1988"/>
      <c r="Z77" s="252" t="str">
        <f t="shared" ref="Z77:Z108" si="19">IF(E77&lt;&gt;"","Service Yrs?    ","")</f>
        <v/>
      </c>
      <c r="AA77" s="139"/>
      <c r="AB77" s="252" t="str">
        <f>IF(E77&lt;&gt;"","Mfg. Yr?    ","")</f>
        <v/>
      </c>
      <c r="AC77" s="1974" t="str">
        <f t="shared" si="15"/>
        <v/>
      </c>
      <c r="AD77" s="252"/>
      <c r="AE77" s="1986" t="str">
        <f t="shared" si="16"/>
        <v/>
      </c>
      <c r="AF77" s="252"/>
      <c r="AG77" s="933"/>
      <c r="AH77" s="252" t="str">
        <f>IF(E77&lt;&gt;"","Select from Pull-Down List    ","")</f>
        <v/>
      </c>
      <c r="AI77" s="933"/>
      <c r="AJ77" s="252" t="str">
        <f>IF(E77&lt;&gt;"","Number?   ","")</f>
        <v/>
      </c>
      <c r="AK77" s="139"/>
      <c r="AL77" s="252" t="str">
        <f>IF(E77&lt;&gt;"","Last Rnwl. Yr?   ","")</f>
        <v/>
      </c>
      <c r="AM77" s="933"/>
      <c r="AN77" s="252" t="str">
        <f>IF(E77&lt;&gt;"","Select from Pull-Down List    ","")</f>
        <v/>
      </c>
      <c r="AO77" s="933"/>
      <c r="AP77" s="252" t="str">
        <f>IF(E77&lt;&gt;"","Select from Pull-Down List    ","")</f>
        <v/>
      </c>
      <c r="AQ77" s="1023"/>
      <c r="AR77" s="252" t="str">
        <f>IF(E77&lt;&gt;"","Feet?    ","")</f>
        <v/>
      </c>
      <c r="AS77" s="1023"/>
      <c r="AT77" s="252" t="str">
        <f>IF(E77&lt;&gt;"","Seats?    ","")</f>
        <v/>
      </c>
      <c r="AU77" s="1023"/>
      <c r="AV77" s="252" t="str">
        <f>IF(E77&lt;&gt;"","Standing?    ","")</f>
        <v/>
      </c>
      <c r="AW77" s="1023"/>
      <c r="AX77" s="252" t="str">
        <f>IF(E77&lt;&gt;"","Mileage?       ","")</f>
        <v/>
      </c>
      <c r="AY77" s="1023"/>
      <c r="AZ77" s="252" t="str">
        <f>IF(E77&lt;&gt;"","Avg. Lifetime Mileage? ","")</f>
        <v/>
      </c>
      <c r="BA77" s="933"/>
      <c r="BB77" s="252" t="str">
        <f>IF(E77&lt;&gt;"","Select from Pull-Down List    ","")</f>
        <v/>
      </c>
      <c r="BC77" s="171"/>
      <c r="BD77" s="252" t="str">
        <f>IF(OR(AO77="OR - Other fuel (describe in Notes)",AG77="ZZZ - Other (describe in Notes)"),"Describe                                                                                                     ","")</f>
        <v/>
      </c>
      <c r="BE77" s="894"/>
      <c r="BF77" s="894"/>
      <c r="BG77" s="894" t="b">
        <f>IF(AND(C77="",C79&lt;&gt;""),TRUE,FALSE)</f>
        <v>0</v>
      </c>
      <c r="BH77" s="888" t="str">
        <f>IF(AND(C77&lt;&gt;"",OR(I77="",K77="",M77="",O77="",S77="",U77="",AA77="",AG77="",AI77="",AO77="",AQ77="",AS77="",AU77="",AW77="",AY77="")),"No",IF(AND(C77="",OR(I77&lt;&gt;"",K77&lt;&gt;"",M77&lt;&gt;"",O77&lt;&gt;"",S77&lt;&gt;"",U77&lt;&gt;"",AA77&lt;&gt;"",AG77&lt;&gt;"",AI77&lt;&gt;"",AK77&lt;&gt;"",AM77&lt;&gt;"",AO77&lt;&gt;"",AQ77&lt;&gt;"",AS77&lt;&gt;"",AU77&lt;&gt;"",AW77&lt;&gt;"",AY77&lt;&gt;"",BA77&lt;&gt;"",BC77&lt;&gt;"")),"No",IF(AND(C77="",I77="",K77="",M77="",O77="",S77="",U77="",AA77="",AG77="",AI77="",AK77="",AM77="",AO77="",AQ77="",AS77="",AU77="",AW77="",AY77="",BA77=""),"N/A","Yes")))</f>
        <v>N/A</v>
      </c>
      <c r="BI77" s="898"/>
      <c r="BJ77" s="899" t="b">
        <f>IF(AND(OR(I77&lt;&gt;"",K77&lt;&gt;"",M77&lt;&gt;"",O77&lt;&gt;"",S77&lt;&gt;"",U77&lt;&gt;"",AA77&lt;&gt;"",AG77&lt;&gt;"",AI77&lt;&gt;"",AK77&lt;&gt;"",AM77&lt;&gt;"",AO77&lt;&gt;"",AQ77&lt;&gt;"",AS77&lt;&gt;"",AW77&lt;&gt;"",AY77&lt;&gt;"",BA77&lt;&gt;"",BC77&lt;&gt;""),C77=""),TRUE,FALSE)</f>
        <v>0</v>
      </c>
      <c r="BK77" s="898" t="b">
        <f>IF(BL77=TRUE,FALSE,IF(SUM(K77,O77)&gt;I77,TRUE,FALSE))</f>
        <v>0</v>
      </c>
      <c r="BL77" s="899" t="b">
        <f>IF(AND(C77&lt;&gt;"",I77=""),TRUE,FALSE)</f>
        <v>0</v>
      </c>
      <c r="BM77" s="898" t="b">
        <f>IF(BN77=TRUE,FALSE,IF(M77&gt;K77,TRUE,FALSE))</f>
        <v>0</v>
      </c>
      <c r="BN77" s="899" t="b">
        <f>IF(AND($C77&lt;&gt;"",K77=""),TRUE,FALSE)</f>
        <v>0</v>
      </c>
      <c r="BO77" s="898"/>
      <c r="BP77" s="899" t="b">
        <f>IF(AND($C77&lt;&gt;"",M77=""),TRUE,FALSE)</f>
        <v>0</v>
      </c>
      <c r="BQ77" s="898"/>
      <c r="BR77" s="899" t="b">
        <f>IF(AND($C77&lt;&gt;"",O77=""),TRUE,FALSE)</f>
        <v>0</v>
      </c>
      <c r="BS77" s="898" t="b">
        <f>IF(AND(S77="",OR(U77&lt;&gt;"",AA77&lt;&gt;"",AG77&lt;&gt;"",AI77&lt;&gt;"",AK77&lt;&gt;"",AM77&lt;&gt;"",AO77&lt;&gt;"",AQ77&lt;&gt;"",AS77&lt;&gt;"",AU77&lt;&gt;"",AW77&lt;&gt;"",AY77&lt;&gt;"",BA77&lt;&gt;"")),TRUE,FALSE)</f>
        <v>0</v>
      </c>
      <c r="BT77" s="899" t="b">
        <f>IF(AND($C77&lt;&gt;"",S77=""),TRUE,FALSE)</f>
        <v>0</v>
      </c>
      <c r="BU77" s="898"/>
      <c r="BV77" s="899" t="b">
        <f>IF(AND($C77&lt;&gt;"",U77=""),TRUE,FALSE)</f>
        <v>0</v>
      </c>
      <c r="BW77" s="1537" t="b">
        <f>IF(BX77=TRUE,FALSE,IF(AA77="",FALSE,IF(OR(AA77&lt;CX77,AA77&gt;BaseYear),TRUE,FALSE)))</f>
        <v>0</v>
      </c>
      <c r="BX77" s="899" t="b">
        <f>IF(AND($C77&lt;&gt;"",AA77=""),TRUE,FALSE)</f>
        <v>0</v>
      </c>
      <c r="BY77" s="898"/>
      <c r="BZ77" s="899" t="b">
        <f>IF(AND($C77&lt;&gt;"",AG77=""),TRUE,FALSE)</f>
        <v>0</v>
      </c>
      <c r="CA77" s="898"/>
      <c r="CB77" s="899" t="b">
        <f>IF(AND($C77&lt;&gt;"",AI77=""),TRUE,FALSE)</f>
        <v>0</v>
      </c>
      <c r="CC77" s="1537" t="b">
        <f>IF(AK77="",FALSE,IF(OR(AK77&lt;CX77,AK77&gt;BaseYear),TRUE,FALSE))</f>
        <v>0</v>
      </c>
      <c r="CD77" s="1538" t="b">
        <f>IF(AK77="",FALSE,IF(AK77&lt;AA77,TRUE,FALSE))</f>
        <v>0</v>
      </c>
      <c r="CE77" s="899" t="b">
        <f>IF(AND($AM77&lt;&gt;"",AK77=""),TRUE,FALSE)</f>
        <v>0</v>
      </c>
      <c r="CF77" s="898"/>
      <c r="CG77" s="899" t="b">
        <f>IF(AND($AK77&lt;&gt;"",AM77=""),TRUE,FALSE)</f>
        <v>0</v>
      </c>
      <c r="CH77" s="898"/>
      <c r="CI77" s="899" t="b">
        <f>IF(AND($C77&lt;&gt;"",AO77=""),TRUE,FALSE)</f>
        <v>0</v>
      </c>
      <c r="CJ77" s="1537"/>
      <c r="CK77" s="899" t="b">
        <f>IF(AND($C77&lt;&gt;"",AQ77=""),TRUE,FALSE)</f>
        <v>0</v>
      </c>
      <c r="CL77" s="898"/>
      <c r="CM77" s="899" t="b">
        <f>IF(AND($C77&lt;&gt;"",AS77=""),TRUE,FALSE)</f>
        <v>0</v>
      </c>
      <c r="CN77" s="898"/>
      <c r="CO77" s="899" t="b">
        <f>IF(AND($C77&lt;&gt;"",AU77=""),TRUE,FALSE)</f>
        <v>0</v>
      </c>
      <c r="CP77" s="898"/>
      <c r="CQ77" s="899" t="b">
        <f>IF(AND($C77&lt;&gt;"",AW77=""),TRUE,FALSE)</f>
        <v>0</v>
      </c>
      <c r="CR77" s="898"/>
      <c r="CS77" s="899" t="b">
        <f>IF(AND($C77&lt;&gt;"",AY77=""),TRUE,FALSE)</f>
        <v>0</v>
      </c>
      <c r="CT77" s="898"/>
      <c r="CU77" s="898" t="b">
        <f>IF(AND($C77&lt;&gt;"",BA77=""),TRUE,FALSE)</f>
        <v>0</v>
      </c>
      <c r="CV77" s="894"/>
      <c r="CW77" s="898" t="str">
        <f t="shared" ref="CW77:CW108" si="20">IFERROR(VLOOKUP($S77,val_rev_vehicles,CW$3,FALSE),"")</f>
        <v/>
      </c>
      <c r="CX77" s="898" t="str">
        <f>IFERROR(IF(AND(S77="",S77&lt;&gt;""),1913,VLOOKUP(S77,Valid!$B$99:$J$120,9)),"")</f>
        <v/>
      </c>
      <c r="CY77" s="898" t="str">
        <f t="shared" ref="CY77:CY108" ca="1" si="21">IF(AA77="", "", YEAR(TODAY())-AA77)</f>
        <v/>
      </c>
      <c r="CZ77" s="1547" t="str">
        <f t="shared" ca="1" si="17"/>
        <v/>
      </c>
      <c r="DA77" s="898" t="str">
        <f ca="1">IF(CZ77="", "", IF(1+(CZ77*4)&lt;1, 1, 1+(CZ77*4)))</f>
        <v/>
      </c>
      <c r="DB77" s="898" t="str">
        <f t="shared" ref="DB77:DB108" si="22">IFERROR(VLOOKUP($S77,val_rev_vehicles,DB$3,FALSE), "")</f>
        <v/>
      </c>
      <c r="DC77" s="898" t="str">
        <f t="shared" ref="DC77:DC108" si="23">IFERROR(VLOOKUP($S77,val_rev_vehicles,DC$3,FALSE),"")</f>
        <v/>
      </c>
      <c r="DD77" s="1539" t="str">
        <f>IFERROR(IF(AND(AM77="",C77&lt;&gt;""),Valid!$E$123,VLOOKUP(AM77,Valid!$B$123:$F$125,4,FALSE)),"")</f>
        <v/>
      </c>
      <c r="DE77" s="1539" t="str">
        <f>IFERROR(IF(AND(AM77="",C77&lt;&gt;""),Valid!$F$123,VLOOKUP(AM77,Valid!$B$123:$F$125,5,FALSE)),"")</f>
        <v/>
      </c>
      <c r="DF77" s="1539" t="str">
        <f>IFERROR(VLOOKUP('A-70 RevVehInv'!S77,Valid!$B$99:$I$120,7), "")</f>
        <v/>
      </c>
      <c r="DG77" s="1539" t="str">
        <f>IFERROR(VLOOKUP(S77,Valid!$B$99:$I$120,8), "")</f>
        <v/>
      </c>
      <c r="DH77" s="894"/>
    </row>
    <row r="78" spans="1:112" ht="6.75" customHeight="1" x14ac:dyDescent="0.2">
      <c r="A78" s="1517"/>
      <c r="B78" s="1530">
        <v>33.5</v>
      </c>
      <c r="C78" s="1540"/>
      <c r="D78" s="905"/>
      <c r="E78" s="1541"/>
      <c r="F78" s="905"/>
      <c r="G78" s="905"/>
      <c r="H78" s="905"/>
      <c r="I78" s="1534"/>
      <c r="J78" s="905"/>
      <c r="K78" s="1534"/>
      <c r="L78" s="905"/>
      <c r="M78" s="1534"/>
      <c r="N78" s="905"/>
      <c r="O78" s="1534"/>
      <c r="P78" s="905"/>
      <c r="Q78" s="1534"/>
      <c r="R78" s="1531"/>
      <c r="S78" s="1542"/>
      <c r="T78" s="905"/>
      <c r="U78" s="1542"/>
      <c r="V78" s="905"/>
      <c r="W78" s="1534" t="str">
        <f t="shared" si="18"/>
        <v/>
      </c>
      <c r="X78" s="905"/>
      <c r="Y78" s="1534"/>
      <c r="Z78" s="252" t="str">
        <f t="shared" si="19"/>
        <v/>
      </c>
      <c r="AA78" s="1534"/>
      <c r="AB78" s="905"/>
      <c r="AC78" s="1973" t="str">
        <f t="shared" ref="AC78:AC109" si="24">IFERROR(VLOOKUP($S78,val_rev_vehicles,AC$3,FALSE), "")</f>
        <v/>
      </c>
      <c r="AD78" s="905"/>
      <c r="AE78" s="1985" t="str">
        <f t="shared" ref="AE78:AE109" si="25">IFERROR(VLOOKUP($S78,val_rev_vehicles,AE$3,FALSE), "")</f>
        <v/>
      </c>
      <c r="AF78" s="905"/>
      <c r="AG78" s="1543"/>
      <c r="AH78" s="1531"/>
      <c r="AI78" s="1534"/>
      <c r="AJ78" s="1531"/>
      <c r="AK78" s="1534"/>
      <c r="AL78" s="1531"/>
      <c r="AM78" s="1543"/>
      <c r="AN78" s="1531"/>
      <c r="AO78" s="1543"/>
      <c r="AP78" s="1531"/>
      <c r="AQ78" s="1534"/>
      <c r="AR78" s="1531"/>
      <c r="AS78" s="1534"/>
      <c r="AT78" s="1531"/>
      <c r="AU78" s="1534"/>
      <c r="AV78" s="1531"/>
      <c r="AW78" s="1534"/>
      <c r="AX78" s="1531"/>
      <c r="AY78" s="1534"/>
      <c r="AZ78" s="1531"/>
      <c r="BA78" s="1543"/>
      <c r="BB78" s="1531"/>
      <c r="BC78" s="1534"/>
      <c r="BD78" s="1531"/>
      <c r="BE78" s="1531"/>
      <c r="BF78" s="1531"/>
      <c r="BG78" s="1531"/>
      <c r="BH78" s="1531"/>
      <c r="BI78" s="1535"/>
      <c r="BJ78" s="1534"/>
      <c r="BK78" s="898"/>
      <c r="BL78" s="1534"/>
      <c r="BM78" s="1535"/>
      <c r="BN78" s="1534"/>
      <c r="BO78" s="1535"/>
      <c r="BP78" s="1534"/>
      <c r="BQ78" s="1535"/>
      <c r="BR78" s="1534"/>
      <c r="BS78" s="1535"/>
      <c r="BT78" s="1534"/>
      <c r="BU78" s="1535"/>
      <c r="BV78" s="1534"/>
      <c r="BW78" s="1535"/>
      <c r="BX78" s="1534"/>
      <c r="BY78" s="1535"/>
      <c r="BZ78" s="1534"/>
      <c r="CA78" s="1535"/>
      <c r="CB78" s="1534"/>
      <c r="CC78" s="1535"/>
      <c r="CD78" s="1534"/>
      <c r="CE78" s="1534"/>
      <c r="CF78" s="1535"/>
      <c r="CG78" s="1534"/>
      <c r="CH78" s="1535"/>
      <c r="CI78" s="1534"/>
      <c r="CJ78" s="1535"/>
      <c r="CK78" s="1534"/>
      <c r="CL78" s="1535"/>
      <c r="CM78" s="1534"/>
      <c r="CN78" s="1535"/>
      <c r="CO78" s="1534"/>
      <c r="CP78" s="1535"/>
      <c r="CQ78" s="1534"/>
      <c r="CR78" s="1535"/>
      <c r="CS78" s="1534"/>
      <c r="CT78" s="1535"/>
      <c r="CU78" s="1535"/>
      <c r="CV78" s="1531"/>
      <c r="CW78" s="898" t="str">
        <f t="shared" si="20"/>
        <v/>
      </c>
      <c r="CX78" s="898" t="str">
        <f>IFERROR(IF(AND(S78="",S78&lt;&gt;""),1913,VLOOKUP(S78,Valid!$B$99:$J$120,9)),"")</f>
        <v/>
      </c>
      <c r="CY78" s="898" t="str">
        <f t="shared" ca="1" si="21"/>
        <v/>
      </c>
      <c r="CZ78" s="1547" t="str">
        <f t="shared" ref="CZ78:CZ109" ca="1" si="26">IF(OR(CY78="", W78="",W78=0), "", 1+ (-1*(CY78/W78)))</f>
        <v/>
      </c>
      <c r="DA78" s="898"/>
      <c r="DB78" s="898" t="str">
        <f t="shared" si="22"/>
        <v/>
      </c>
      <c r="DC78" s="898" t="str">
        <f t="shared" si="23"/>
        <v/>
      </c>
      <c r="DD78" s="1539" t="str">
        <f>IFERROR(IF(AND(AM78="",C78&lt;&gt;""),Valid!$E$123,VLOOKUP(AM78,Valid!$B$123:$F$125,4,FALSE)),"")</f>
        <v/>
      </c>
      <c r="DE78" s="1539" t="str">
        <f>IFERROR(IF(AND(AM78="",C78&lt;&gt;""),Valid!$F$123,VLOOKUP(AM78,Valid!$B$123:$F$125,5,FALSE)),"")</f>
        <v/>
      </c>
      <c r="DF78" s="1539" t="str">
        <f>IFERROR(VLOOKUP('A-70 RevVehInv'!S78,Valid!$B$99:$I$120,7), "")</f>
        <v/>
      </c>
      <c r="DG78" s="1539" t="str">
        <f>IFERROR(VLOOKUP(S78,Valid!$B$99:$I$120,8), "")</f>
        <v/>
      </c>
      <c r="DH78" s="1531"/>
    </row>
    <row r="79" spans="1:112" s="930" customFormat="1" x14ac:dyDescent="0.2">
      <c r="A79" s="206">
        <v>34</v>
      </c>
      <c r="B79" s="1530">
        <v>34</v>
      </c>
      <c r="C79" s="933"/>
      <c r="D79" s="719" t="str">
        <f>IF(C77="","",IF((C79=""),"Enter RVI ID. then Fill in Columns "&amp;TEXT($I$2,0)&amp;" - "&amp;TEXT($BA$2,0)&amp;"       ",""))</f>
        <v/>
      </c>
      <c r="E79" s="1056" t="str">
        <f>IF(BH79="N/A","",BH79)</f>
        <v/>
      </c>
      <c r="F79" s="1536"/>
      <c r="G79" s="1536"/>
      <c r="H79" s="1536"/>
      <c r="I79" s="1023"/>
      <c r="J79" s="1536" t="str">
        <f>IF(E79&lt;&gt;"","Vehicles?    ","")</f>
        <v/>
      </c>
      <c r="K79" s="1023"/>
      <c r="L79" s="1536" t="str">
        <f>IF(E79&lt;&gt;"","Active Vehicles?     ","")</f>
        <v/>
      </c>
      <c r="M79" s="1023"/>
      <c r="N79" s="1536" t="str">
        <f>IF(E79&lt;&gt;"","ADA Vehicles?       ","")</f>
        <v/>
      </c>
      <c r="O79" s="1023"/>
      <c r="P79" s="1536" t="str">
        <f>IF(E79&lt;&gt;"","Cont. Vehicles?     ","")</f>
        <v/>
      </c>
      <c r="Q79" s="1024"/>
      <c r="R79" s="894"/>
      <c r="S79" s="1153"/>
      <c r="T79" s="252" t="str">
        <f>IF(E79&lt;&gt;"","Select from Pull-Down List    ","")</f>
        <v/>
      </c>
      <c r="U79" s="933"/>
      <c r="V79" s="252" t="str">
        <f>IF(E79&lt;&gt;"","Select from Pull-Down List    ","")</f>
        <v/>
      </c>
      <c r="W79" s="1766" t="str">
        <f t="shared" si="18"/>
        <v/>
      </c>
      <c r="X79" s="252"/>
      <c r="Y79" s="1988"/>
      <c r="Z79" s="252" t="str">
        <f t="shared" si="19"/>
        <v/>
      </c>
      <c r="AA79" s="139"/>
      <c r="AB79" s="252" t="str">
        <f>IF(E79&lt;&gt;"","Mfg. Yr?    ","")</f>
        <v/>
      </c>
      <c r="AC79" s="1974" t="str">
        <f t="shared" si="24"/>
        <v/>
      </c>
      <c r="AD79" s="252"/>
      <c r="AE79" s="1986" t="str">
        <f t="shared" si="25"/>
        <v/>
      </c>
      <c r="AF79" s="252"/>
      <c r="AG79" s="933"/>
      <c r="AH79" s="252" t="str">
        <f>IF(E79&lt;&gt;"","Select from Pull-Down List    ","")</f>
        <v/>
      </c>
      <c r="AI79" s="933"/>
      <c r="AJ79" s="252" t="str">
        <f>IF(E79&lt;&gt;"","Number?   ","")</f>
        <v/>
      </c>
      <c r="AK79" s="139"/>
      <c r="AL79" s="252" t="str">
        <f>IF(E79&lt;&gt;"","Last Rnwl. Yr?   ","")</f>
        <v/>
      </c>
      <c r="AM79" s="933"/>
      <c r="AN79" s="252" t="str">
        <f>IF(E79&lt;&gt;"","Select from Pull-Down List    ","")</f>
        <v/>
      </c>
      <c r="AO79" s="933"/>
      <c r="AP79" s="252" t="str">
        <f>IF(E79&lt;&gt;"","Select from Pull-Down List    ","")</f>
        <v/>
      </c>
      <c r="AQ79" s="1023"/>
      <c r="AR79" s="252" t="str">
        <f>IF(E79&lt;&gt;"","Feet?    ","")</f>
        <v/>
      </c>
      <c r="AS79" s="1023"/>
      <c r="AT79" s="252" t="str">
        <f>IF(E79&lt;&gt;"","Seats?    ","")</f>
        <v/>
      </c>
      <c r="AU79" s="1023"/>
      <c r="AV79" s="252" t="str">
        <f>IF(E79&lt;&gt;"","Standing?    ","")</f>
        <v/>
      </c>
      <c r="AW79" s="1023"/>
      <c r="AX79" s="252" t="str">
        <f>IF(E79&lt;&gt;"","Mileage?       ","")</f>
        <v/>
      </c>
      <c r="AY79" s="1023"/>
      <c r="AZ79" s="252" t="str">
        <f>IF(E79&lt;&gt;"","Avg. Lifetime Mileage? ","")</f>
        <v/>
      </c>
      <c r="BA79" s="933"/>
      <c r="BB79" s="252" t="str">
        <f>IF(E79&lt;&gt;"","Select from Pull-Down List    ","")</f>
        <v/>
      </c>
      <c r="BC79" s="171"/>
      <c r="BD79" s="252" t="str">
        <f>IF(OR(AO79="OR - Other fuel (describe in Notes)",AG79="ZZZ - Other (describe in Notes)"),"Describe                                                                                                     ","")</f>
        <v/>
      </c>
      <c r="BE79" s="894"/>
      <c r="BF79" s="894"/>
      <c r="BG79" s="894" t="b">
        <f>IF(AND(C79="",C81&lt;&gt;""),TRUE,FALSE)</f>
        <v>0</v>
      </c>
      <c r="BH79" s="888" t="str">
        <f>IF(AND(C79&lt;&gt;"",OR(I79="",K79="",M79="",O79="",S79="",U79="",AA79="",AG79="",AI79="",AO79="",AQ79="",AS79="",AU79="",AW79="",AY79="")),"No",IF(AND(C79="",OR(I79&lt;&gt;"",K79&lt;&gt;"",M79&lt;&gt;"",O79&lt;&gt;"",S79&lt;&gt;"",U79&lt;&gt;"",AA79&lt;&gt;"",AG79&lt;&gt;"",AI79&lt;&gt;"",AK79&lt;&gt;"",AM79&lt;&gt;"",AO79&lt;&gt;"",AQ79&lt;&gt;"",AS79&lt;&gt;"",AU79&lt;&gt;"",AW79&lt;&gt;"",AY79&lt;&gt;"",BA79&lt;&gt;"",BC79&lt;&gt;"")),"No",IF(AND(C79="",I79="",K79="",M79="",O79="",S79="",U79="",AA79="",AG79="",AI79="",AK79="",AM79="",AO79="",AQ79="",AS79="",AU79="",AW79="",AY79="",BA79=""),"N/A","Yes")))</f>
        <v>N/A</v>
      </c>
      <c r="BI79" s="898"/>
      <c r="BJ79" s="899" t="b">
        <f>IF(AND(OR(I79&lt;&gt;"",K79&lt;&gt;"",M79&lt;&gt;"",O79&lt;&gt;"",S79&lt;&gt;"",U79&lt;&gt;"",AA79&lt;&gt;"",AG79&lt;&gt;"",AI79&lt;&gt;"",AK79&lt;&gt;"",AM79&lt;&gt;"",AO79&lt;&gt;"",AQ79&lt;&gt;"",AS79&lt;&gt;"",AW79&lt;&gt;"",AY79&lt;&gt;"",BA79&lt;&gt;"",BC79&lt;&gt;""),C79=""),TRUE,FALSE)</f>
        <v>0</v>
      </c>
      <c r="BK79" s="898" t="b">
        <f>IF(BL79=TRUE,FALSE,IF(SUM(K79,O79)&gt;I79,TRUE,FALSE))</f>
        <v>0</v>
      </c>
      <c r="BL79" s="899" t="b">
        <f>IF(AND(C79&lt;&gt;"",I79=""),TRUE,FALSE)</f>
        <v>0</v>
      </c>
      <c r="BM79" s="898" t="b">
        <f>IF(BN79=TRUE,FALSE,IF(M79&gt;K79,TRUE,FALSE))</f>
        <v>0</v>
      </c>
      <c r="BN79" s="899" t="b">
        <f>IF(AND($C79&lt;&gt;"",K79=""),TRUE,FALSE)</f>
        <v>0</v>
      </c>
      <c r="BO79" s="898"/>
      <c r="BP79" s="899" t="b">
        <f>IF(AND($C79&lt;&gt;"",M79=""),TRUE,FALSE)</f>
        <v>0</v>
      </c>
      <c r="BQ79" s="898"/>
      <c r="BR79" s="899" t="b">
        <f>IF(AND($C79&lt;&gt;"",O79=""),TRUE,FALSE)</f>
        <v>0</v>
      </c>
      <c r="BS79" s="898" t="b">
        <f>IF(AND(S79="",OR(U79&lt;&gt;"",AA79&lt;&gt;"",AG79&lt;&gt;"",AI79&lt;&gt;"",AK79&lt;&gt;"",AM79&lt;&gt;"",AO79&lt;&gt;"",AQ79&lt;&gt;"",AS79&lt;&gt;"",AU79&lt;&gt;"",AW79&lt;&gt;"",AY79&lt;&gt;"",BA79&lt;&gt;"")),TRUE,FALSE)</f>
        <v>0</v>
      </c>
      <c r="BT79" s="899" t="b">
        <f>IF(AND($C79&lt;&gt;"",S79=""),TRUE,FALSE)</f>
        <v>0</v>
      </c>
      <c r="BU79" s="898"/>
      <c r="BV79" s="899" t="b">
        <f>IF(AND($C79&lt;&gt;"",U79=""),TRUE,FALSE)</f>
        <v>0</v>
      </c>
      <c r="BW79" s="1537" t="b">
        <f>IF(BX79=TRUE,FALSE,IF(AA79="",FALSE,IF(OR(AA79&lt;CX79,AA79&gt;BaseYear),TRUE,FALSE)))</f>
        <v>0</v>
      </c>
      <c r="BX79" s="899" t="b">
        <f>IF(AND($C79&lt;&gt;"",AA79=""),TRUE,FALSE)</f>
        <v>0</v>
      </c>
      <c r="BY79" s="898"/>
      <c r="BZ79" s="899" t="b">
        <f>IF(AND($C79&lt;&gt;"",AG79=""),TRUE,FALSE)</f>
        <v>0</v>
      </c>
      <c r="CA79" s="898"/>
      <c r="CB79" s="899" t="b">
        <f>IF(AND($C79&lt;&gt;"",AI79=""),TRUE,FALSE)</f>
        <v>0</v>
      </c>
      <c r="CC79" s="1537" t="b">
        <f>IF(AK79="",FALSE,IF(OR(AK79&lt;CX79,AK79&gt;BaseYear),TRUE,FALSE))</f>
        <v>0</v>
      </c>
      <c r="CD79" s="1538" t="b">
        <f>IF(AK79="",FALSE,IF(AK79&lt;AA79,TRUE,FALSE))</f>
        <v>0</v>
      </c>
      <c r="CE79" s="899" t="b">
        <f>IF(AND($AM79&lt;&gt;"",AK79=""),TRUE,FALSE)</f>
        <v>0</v>
      </c>
      <c r="CF79" s="898"/>
      <c r="CG79" s="899" t="b">
        <f>IF(AND($AK79&lt;&gt;"",AM79=""),TRUE,FALSE)</f>
        <v>0</v>
      </c>
      <c r="CH79" s="898"/>
      <c r="CI79" s="899" t="b">
        <f>IF(AND($C79&lt;&gt;"",AO79=""),TRUE,FALSE)</f>
        <v>0</v>
      </c>
      <c r="CJ79" s="1537"/>
      <c r="CK79" s="899" t="b">
        <f>IF(AND($C79&lt;&gt;"",AQ79=""),TRUE,FALSE)</f>
        <v>0</v>
      </c>
      <c r="CL79" s="898"/>
      <c r="CM79" s="899" t="b">
        <f>IF(AND($C79&lt;&gt;"",AS79=""),TRUE,FALSE)</f>
        <v>0</v>
      </c>
      <c r="CN79" s="898"/>
      <c r="CO79" s="899" t="b">
        <f>IF(AND($C79&lt;&gt;"",AU79=""),TRUE,FALSE)</f>
        <v>0</v>
      </c>
      <c r="CP79" s="898"/>
      <c r="CQ79" s="899" t="b">
        <f>IF(AND($C79&lt;&gt;"",AW79=""),TRUE,FALSE)</f>
        <v>0</v>
      </c>
      <c r="CR79" s="898"/>
      <c r="CS79" s="899" t="b">
        <f>IF(AND($C79&lt;&gt;"",AY79=""),TRUE,FALSE)</f>
        <v>0</v>
      </c>
      <c r="CT79" s="898"/>
      <c r="CU79" s="898" t="b">
        <f>IF(AND($C79&lt;&gt;"",BA79=""),TRUE,FALSE)</f>
        <v>0</v>
      </c>
      <c r="CV79" s="894"/>
      <c r="CW79" s="898" t="str">
        <f t="shared" si="20"/>
        <v/>
      </c>
      <c r="CX79" s="898" t="str">
        <f>IFERROR(IF(AND(S79="",S79&lt;&gt;""),1913,VLOOKUP(S79,Valid!$B$99:$J$120,9)),"")</f>
        <v/>
      </c>
      <c r="CY79" s="898" t="str">
        <f t="shared" ca="1" si="21"/>
        <v/>
      </c>
      <c r="CZ79" s="1547" t="str">
        <f t="shared" ca="1" si="26"/>
        <v/>
      </c>
      <c r="DA79" s="898" t="str">
        <f ca="1">IF(CZ79="", "", IF(1+(CZ79*4)&lt;1, 1, 1+(CZ79*4)))</f>
        <v/>
      </c>
      <c r="DB79" s="898" t="str">
        <f t="shared" si="22"/>
        <v/>
      </c>
      <c r="DC79" s="898" t="str">
        <f t="shared" si="23"/>
        <v/>
      </c>
      <c r="DD79" s="1539" t="str">
        <f>IFERROR(IF(AND(AM79="",C79&lt;&gt;""),Valid!$E$123,VLOOKUP(AM79,Valid!$B$123:$F$125,4,FALSE)),"")</f>
        <v/>
      </c>
      <c r="DE79" s="1539" t="str">
        <f>IFERROR(IF(AND(AM79="",C79&lt;&gt;""),Valid!$F$123,VLOOKUP(AM79,Valid!$B$123:$F$125,5,FALSE)),"")</f>
        <v/>
      </c>
      <c r="DF79" s="1539" t="str">
        <f>IFERROR(VLOOKUP('A-70 RevVehInv'!S79,Valid!$B$99:$I$120,7), "")</f>
        <v/>
      </c>
      <c r="DG79" s="1539" t="str">
        <f>IFERROR(VLOOKUP(S79,Valid!$B$99:$I$120,8), "")</f>
        <v/>
      </c>
      <c r="DH79" s="894"/>
    </row>
    <row r="80" spans="1:112" ht="6.75" customHeight="1" x14ac:dyDescent="0.2">
      <c r="A80" s="1517"/>
      <c r="B80" s="1530">
        <v>34.5</v>
      </c>
      <c r="C80" s="1544"/>
      <c r="D80" s="905"/>
      <c r="E80" s="1545"/>
      <c r="F80" s="905"/>
      <c r="G80" s="905"/>
      <c r="H80" s="905"/>
      <c r="I80" s="1531"/>
      <c r="J80" s="905"/>
      <c r="K80" s="1531"/>
      <c r="L80" s="905"/>
      <c r="M80" s="1531"/>
      <c r="N80" s="905"/>
      <c r="O80" s="1531"/>
      <c r="P80" s="905"/>
      <c r="Q80" s="1531"/>
      <c r="R80" s="1531"/>
      <c r="S80" s="1533"/>
      <c r="T80" s="905"/>
      <c r="U80" s="1533"/>
      <c r="V80" s="905"/>
      <c r="W80" s="1531" t="str">
        <f t="shared" si="18"/>
        <v/>
      </c>
      <c r="X80" s="905"/>
      <c r="Y80" s="1531"/>
      <c r="Z80" s="252" t="str">
        <f t="shared" si="19"/>
        <v/>
      </c>
      <c r="AA80" s="1531"/>
      <c r="AB80" s="905"/>
      <c r="AC80" s="1971" t="str">
        <f t="shared" si="24"/>
        <v/>
      </c>
      <c r="AD80" s="905"/>
      <c r="AE80" s="1983" t="str">
        <f t="shared" si="25"/>
        <v/>
      </c>
      <c r="AF80" s="905"/>
      <c r="AG80" s="1546"/>
      <c r="AH80" s="1531"/>
      <c r="AI80" s="1531"/>
      <c r="AJ80" s="1531"/>
      <c r="AK80" s="1531"/>
      <c r="AL80" s="1531"/>
      <c r="AM80" s="1546"/>
      <c r="AN80" s="1531"/>
      <c r="AO80" s="1546"/>
      <c r="AP80" s="1531"/>
      <c r="AQ80" s="1531"/>
      <c r="AR80" s="1531"/>
      <c r="AS80" s="1531"/>
      <c r="AT80" s="1531"/>
      <c r="AU80" s="1531"/>
      <c r="AV80" s="1531"/>
      <c r="AW80" s="1531"/>
      <c r="AX80" s="1531"/>
      <c r="AY80" s="1531"/>
      <c r="AZ80" s="1531"/>
      <c r="BA80" s="1546"/>
      <c r="BB80" s="1531"/>
      <c r="BC80" s="1531"/>
      <c r="BD80" s="1531"/>
      <c r="BE80" s="1531"/>
      <c r="BF80" s="1531"/>
      <c r="BG80" s="1531"/>
      <c r="BH80" s="1531"/>
      <c r="BI80" s="1535"/>
      <c r="BJ80" s="1534"/>
      <c r="BK80" s="1535"/>
      <c r="BL80" s="1534"/>
      <c r="BM80" s="1535"/>
      <c r="BN80" s="1534"/>
      <c r="BO80" s="1535"/>
      <c r="BP80" s="1534"/>
      <c r="BQ80" s="1535"/>
      <c r="BR80" s="1534"/>
      <c r="BS80" s="1535"/>
      <c r="BT80" s="1534"/>
      <c r="BU80" s="1535"/>
      <c r="BV80" s="1534"/>
      <c r="BW80" s="1535"/>
      <c r="BX80" s="1534"/>
      <c r="BY80" s="1535"/>
      <c r="BZ80" s="1534"/>
      <c r="CA80" s="1535"/>
      <c r="CB80" s="1534"/>
      <c r="CC80" s="1535"/>
      <c r="CD80" s="1534"/>
      <c r="CE80" s="1534"/>
      <c r="CF80" s="1535"/>
      <c r="CG80" s="1534"/>
      <c r="CH80" s="1535"/>
      <c r="CI80" s="1534"/>
      <c r="CJ80" s="1535"/>
      <c r="CK80" s="1534"/>
      <c r="CL80" s="1535"/>
      <c r="CM80" s="1534"/>
      <c r="CN80" s="1535"/>
      <c r="CO80" s="1534"/>
      <c r="CP80" s="1535"/>
      <c r="CQ80" s="1534"/>
      <c r="CR80" s="1535"/>
      <c r="CS80" s="1534"/>
      <c r="CT80" s="1535"/>
      <c r="CU80" s="1535"/>
      <c r="CV80" s="1531"/>
      <c r="CW80" s="898" t="str">
        <f t="shared" si="20"/>
        <v/>
      </c>
      <c r="CX80" s="898" t="str">
        <f>IFERROR(IF(AND(S80="",S80&lt;&gt;""),1913,VLOOKUP(S80,Valid!$B$99:$J$120,9)),"")</f>
        <v/>
      </c>
      <c r="CY80" s="898" t="str">
        <f t="shared" ca="1" si="21"/>
        <v/>
      </c>
      <c r="CZ80" s="1547" t="str">
        <f t="shared" ca="1" si="26"/>
        <v/>
      </c>
      <c r="DA80" s="898"/>
      <c r="DB80" s="898" t="str">
        <f t="shared" si="22"/>
        <v/>
      </c>
      <c r="DC80" s="898" t="str">
        <f t="shared" si="23"/>
        <v/>
      </c>
      <c r="DD80" s="1539" t="str">
        <f>IFERROR(IF(AND(AM80="",C80&lt;&gt;""),Valid!$E$123,VLOOKUP(AM80,Valid!$B$123:$F$125,4,FALSE)),"")</f>
        <v/>
      </c>
      <c r="DE80" s="1539" t="str">
        <f>IFERROR(IF(AND(AM80="",C80&lt;&gt;""),Valid!$F$123,VLOOKUP(AM80,Valid!$B$123:$F$125,5,FALSE)),"")</f>
        <v/>
      </c>
      <c r="DF80" s="1539" t="str">
        <f>IFERROR(VLOOKUP('A-70 RevVehInv'!S80,Valid!$B$99:$I$120,7), "")</f>
        <v/>
      </c>
      <c r="DG80" s="1539" t="str">
        <f>IFERROR(VLOOKUP(S80,Valid!$B$99:$I$120,8), "")</f>
        <v/>
      </c>
      <c r="DH80" s="1531"/>
    </row>
    <row r="81" spans="1:112" s="930" customFormat="1" x14ac:dyDescent="0.2">
      <c r="A81" s="206">
        <v>35</v>
      </c>
      <c r="B81" s="1530">
        <v>35</v>
      </c>
      <c r="C81" s="933"/>
      <c r="D81" s="719" t="str">
        <f>IF(C79="","",IF((C81=""),"Enter RVI ID. then Fill in Columns "&amp;TEXT($I$2,0)&amp;" - "&amp;TEXT($BA$2,0)&amp;"       ",""))</f>
        <v/>
      </c>
      <c r="E81" s="1056" t="str">
        <f>IF(BH81="N/A","",BH81)</f>
        <v/>
      </c>
      <c r="F81" s="1536"/>
      <c r="G81" s="1536"/>
      <c r="H81" s="1536"/>
      <c r="I81" s="1023"/>
      <c r="J81" s="1536" t="str">
        <f>IF(E81&lt;&gt;"","Vehicles?    ","")</f>
        <v/>
      </c>
      <c r="K81" s="1023"/>
      <c r="L81" s="1536" t="str">
        <f>IF(E81&lt;&gt;"","Active Vehicles?     ","")</f>
        <v/>
      </c>
      <c r="M81" s="1023"/>
      <c r="N81" s="1536" t="str">
        <f>IF(E81&lt;&gt;"","ADA Vehicles?       ","")</f>
        <v/>
      </c>
      <c r="O81" s="1023"/>
      <c r="P81" s="1536" t="str">
        <f>IF(E81&lt;&gt;"","Cont. Vehicles?     ","")</f>
        <v/>
      </c>
      <c r="Q81" s="1024"/>
      <c r="R81" s="894"/>
      <c r="S81" s="1153"/>
      <c r="T81" s="252" t="str">
        <f>IF(E81&lt;&gt;"","Select from Pull-Down List    ","")</f>
        <v/>
      </c>
      <c r="U81" s="933"/>
      <c r="V81" s="252" t="str">
        <f>IF(E81&lt;&gt;"","Select from Pull-Down List    ","")</f>
        <v/>
      </c>
      <c r="W81" s="1766" t="str">
        <f t="shared" si="18"/>
        <v/>
      </c>
      <c r="X81" s="252"/>
      <c r="Y81" s="1988"/>
      <c r="Z81" s="252" t="str">
        <f t="shared" si="19"/>
        <v/>
      </c>
      <c r="AA81" s="139"/>
      <c r="AB81" s="252" t="str">
        <f>IF(E81&lt;&gt;"","Mfg. Yr?    ","")</f>
        <v/>
      </c>
      <c r="AC81" s="1974" t="str">
        <f t="shared" si="24"/>
        <v/>
      </c>
      <c r="AD81" s="252"/>
      <c r="AE81" s="1986" t="str">
        <f t="shared" si="25"/>
        <v/>
      </c>
      <c r="AF81" s="252"/>
      <c r="AG81" s="933"/>
      <c r="AH81" s="252" t="str">
        <f>IF(E81&lt;&gt;"","Select from Pull-Down List    ","")</f>
        <v/>
      </c>
      <c r="AI81" s="933"/>
      <c r="AJ81" s="252" t="str">
        <f>IF(E81&lt;&gt;"","Number?   ","")</f>
        <v/>
      </c>
      <c r="AK81" s="139"/>
      <c r="AL81" s="252" t="str">
        <f>IF(E81&lt;&gt;"","Last Rnwl. Yr?   ","")</f>
        <v/>
      </c>
      <c r="AM81" s="933"/>
      <c r="AN81" s="252" t="str">
        <f>IF(E81&lt;&gt;"","Select from Pull-Down List    ","")</f>
        <v/>
      </c>
      <c r="AO81" s="933"/>
      <c r="AP81" s="252" t="str">
        <f>IF(E81&lt;&gt;"","Select from Pull-Down List    ","")</f>
        <v/>
      </c>
      <c r="AQ81" s="1023"/>
      <c r="AR81" s="252" t="str">
        <f>IF(E81&lt;&gt;"","Feet?    ","")</f>
        <v/>
      </c>
      <c r="AS81" s="1023"/>
      <c r="AT81" s="252" t="str">
        <f>IF(E81&lt;&gt;"","Seats?    ","")</f>
        <v/>
      </c>
      <c r="AU81" s="1023"/>
      <c r="AV81" s="252" t="str">
        <f>IF(E81&lt;&gt;"","Standing?    ","")</f>
        <v/>
      </c>
      <c r="AW81" s="1023"/>
      <c r="AX81" s="252" t="str">
        <f>IF(E81&lt;&gt;"","Mileage?       ","")</f>
        <v/>
      </c>
      <c r="AY81" s="1023"/>
      <c r="AZ81" s="252" t="str">
        <f>IF(E81&lt;&gt;"","Avg. Lifetime Mileage? ","")</f>
        <v/>
      </c>
      <c r="BA81" s="933"/>
      <c r="BB81" s="252" t="str">
        <f>IF(E81&lt;&gt;"","Select from Pull-Down List    ","")</f>
        <v/>
      </c>
      <c r="BC81" s="171"/>
      <c r="BD81" s="252" t="str">
        <f>IF(OR(AO81="OR - Other fuel (describe in Notes)",AG81="ZZZ - Other (describe in Notes)"),"Describe                                                                                                     ","")</f>
        <v/>
      </c>
      <c r="BE81" s="894"/>
      <c r="BF81" s="894"/>
      <c r="BG81" s="894" t="b">
        <f>IF(AND(C81="",C83&lt;&gt;""),TRUE,FALSE)</f>
        <v>0</v>
      </c>
      <c r="BH81" s="888" t="str">
        <f>IF(AND(C81&lt;&gt;"",OR(I81="",K81="",M81="",O81="",S81="",U81="",AA81="",AG81="",AI81="",AO81="",AQ81="",AS81="",AU81="",AW81="",AY81="")),"No",IF(AND(C81="",OR(I81&lt;&gt;"",K81&lt;&gt;"",M81&lt;&gt;"",O81&lt;&gt;"",S81&lt;&gt;"",U81&lt;&gt;"",AA81&lt;&gt;"",AG81&lt;&gt;"",AI81&lt;&gt;"",AK81&lt;&gt;"",AM81&lt;&gt;"",AO81&lt;&gt;"",AQ81&lt;&gt;"",AS81&lt;&gt;"",AU81&lt;&gt;"",AW81&lt;&gt;"",AY81&lt;&gt;"",BA81&lt;&gt;"",BC81&lt;&gt;"")),"No",IF(AND(C81="",I81="",K81="",M81="",O81="",S81="",U81="",AA81="",AG81="",AI81="",AK81="",AM81="",AO81="",AQ81="",AS81="",AU81="",AW81="",AY81="",BA81=""),"N/A","Yes")))</f>
        <v>N/A</v>
      </c>
      <c r="BI81" s="898"/>
      <c r="BJ81" s="899" t="b">
        <f>IF(AND(OR(I81&lt;&gt;"",K81&lt;&gt;"",M81&lt;&gt;"",O81&lt;&gt;"",S81&lt;&gt;"",U81&lt;&gt;"",AA81&lt;&gt;"",AG81&lt;&gt;"",AI81&lt;&gt;"",AK81&lt;&gt;"",AM81&lt;&gt;"",AO81&lt;&gt;"",AQ81&lt;&gt;"",AS81&lt;&gt;"",AW81&lt;&gt;"",AY81&lt;&gt;"",BA81&lt;&gt;"",BC81&lt;&gt;""),C81=""),TRUE,FALSE)</f>
        <v>0</v>
      </c>
      <c r="BK81" s="898" t="b">
        <f>IF(BL81=TRUE,FALSE,IF(SUM(K81,O81)&gt;I81,TRUE,FALSE))</f>
        <v>0</v>
      </c>
      <c r="BL81" s="899" t="b">
        <f>IF(AND(C81&lt;&gt;"",I81=""),TRUE,FALSE)</f>
        <v>0</v>
      </c>
      <c r="BM81" s="898" t="b">
        <f>IF(BN81=TRUE,FALSE,IF(M81&gt;K81,TRUE,FALSE))</f>
        <v>0</v>
      </c>
      <c r="BN81" s="899" t="b">
        <f>IF(AND($C81&lt;&gt;"",K81=""),TRUE,FALSE)</f>
        <v>0</v>
      </c>
      <c r="BO81" s="898"/>
      <c r="BP81" s="899" t="b">
        <f>IF(AND($C81&lt;&gt;"",M81=""),TRUE,FALSE)</f>
        <v>0</v>
      </c>
      <c r="BQ81" s="898"/>
      <c r="BR81" s="899" t="b">
        <f>IF(AND($C81&lt;&gt;"",O81=""),TRUE,FALSE)</f>
        <v>0</v>
      </c>
      <c r="BS81" s="898" t="b">
        <f>IF(AND(S81="",OR(U81&lt;&gt;"",AA81&lt;&gt;"",AG81&lt;&gt;"",AI81&lt;&gt;"",AK81&lt;&gt;"",AM81&lt;&gt;"",AO81&lt;&gt;"",AQ81&lt;&gt;"",AS81&lt;&gt;"",AU81&lt;&gt;"",AW81&lt;&gt;"",AY81&lt;&gt;"",BA81&lt;&gt;"")),TRUE,FALSE)</f>
        <v>0</v>
      </c>
      <c r="BT81" s="899" t="b">
        <f>IF(AND($C81&lt;&gt;"",S81=""),TRUE,FALSE)</f>
        <v>0</v>
      </c>
      <c r="BU81" s="898"/>
      <c r="BV81" s="899" t="b">
        <f>IF(AND($C81&lt;&gt;"",U81=""),TRUE,FALSE)</f>
        <v>0</v>
      </c>
      <c r="BW81" s="1537" t="b">
        <f>IF(BX81=TRUE,FALSE,IF(AA81="",FALSE,IF(OR(AA81&lt;CX81,AA81&gt;BaseYear),TRUE,FALSE)))</f>
        <v>0</v>
      </c>
      <c r="BX81" s="899" t="b">
        <f>IF(AND($C81&lt;&gt;"",AA81=""),TRUE,FALSE)</f>
        <v>0</v>
      </c>
      <c r="BY81" s="898"/>
      <c r="BZ81" s="899" t="b">
        <f>IF(AND($C81&lt;&gt;"",AG81=""),TRUE,FALSE)</f>
        <v>0</v>
      </c>
      <c r="CA81" s="898"/>
      <c r="CB81" s="899" t="b">
        <f>IF(AND($C81&lt;&gt;"",AI81=""),TRUE,FALSE)</f>
        <v>0</v>
      </c>
      <c r="CC81" s="1537" t="b">
        <f>IF(AK81="",FALSE,IF(OR(AK81&lt;CX81,AK81&gt;BaseYear),TRUE,FALSE))</f>
        <v>0</v>
      </c>
      <c r="CD81" s="1538" t="b">
        <f>IF(AK81="",FALSE,IF(AK81&lt;AA81,TRUE,FALSE))</f>
        <v>0</v>
      </c>
      <c r="CE81" s="899" t="b">
        <f>IF(AND($AM81&lt;&gt;"",AK81=""),TRUE,FALSE)</f>
        <v>0</v>
      </c>
      <c r="CF81" s="898"/>
      <c r="CG81" s="899" t="b">
        <f>IF(AND($AK81&lt;&gt;"",AM81=""),TRUE,FALSE)</f>
        <v>0</v>
      </c>
      <c r="CH81" s="898"/>
      <c r="CI81" s="899" t="b">
        <f>IF(AND($C81&lt;&gt;"",AO81=""),TRUE,FALSE)</f>
        <v>0</v>
      </c>
      <c r="CJ81" s="1537"/>
      <c r="CK81" s="899" t="b">
        <f>IF(AND($C81&lt;&gt;"",AQ81=""),TRUE,FALSE)</f>
        <v>0</v>
      </c>
      <c r="CL81" s="898"/>
      <c r="CM81" s="899" t="b">
        <f>IF(AND($C81&lt;&gt;"",AS81=""),TRUE,FALSE)</f>
        <v>0</v>
      </c>
      <c r="CN81" s="898"/>
      <c r="CO81" s="899" t="b">
        <f>IF(AND($C81&lt;&gt;"",AU81=""),TRUE,FALSE)</f>
        <v>0</v>
      </c>
      <c r="CP81" s="898"/>
      <c r="CQ81" s="899" t="b">
        <f>IF(AND($C81&lt;&gt;"",AW81=""),TRUE,FALSE)</f>
        <v>0</v>
      </c>
      <c r="CR81" s="898"/>
      <c r="CS81" s="899" t="b">
        <f>IF(AND($C81&lt;&gt;"",AY81=""),TRUE,FALSE)</f>
        <v>0</v>
      </c>
      <c r="CT81" s="898"/>
      <c r="CU81" s="898" t="b">
        <f>IF(AND($C81&lt;&gt;"",BA81=""),TRUE,FALSE)</f>
        <v>0</v>
      </c>
      <c r="CV81" s="894"/>
      <c r="CW81" s="898" t="str">
        <f t="shared" si="20"/>
        <v/>
      </c>
      <c r="CX81" s="898" t="str">
        <f>IFERROR(IF(AND(S81="",S81&lt;&gt;""),1913,VLOOKUP(S81,Valid!$B$99:$J$120,9)),"")</f>
        <v/>
      </c>
      <c r="CY81" s="898" t="str">
        <f t="shared" ca="1" si="21"/>
        <v/>
      </c>
      <c r="CZ81" s="1547" t="str">
        <f t="shared" ca="1" si="26"/>
        <v/>
      </c>
      <c r="DA81" s="898" t="str">
        <f ca="1">IF(CZ81="", "", IF(1+(CZ81*4)&lt;1, 1, 1+(CZ81*4)))</f>
        <v/>
      </c>
      <c r="DB81" s="898" t="str">
        <f t="shared" si="22"/>
        <v/>
      </c>
      <c r="DC81" s="898" t="str">
        <f t="shared" si="23"/>
        <v/>
      </c>
      <c r="DD81" s="1539" t="str">
        <f>IFERROR(IF(AND(AM81="",C81&lt;&gt;""),Valid!$E$123,VLOOKUP(AM81,Valid!$B$123:$F$125,4,FALSE)),"")</f>
        <v/>
      </c>
      <c r="DE81" s="1539" t="str">
        <f>IFERROR(IF(AND(AM81="",C81&lt;&gt;""),Valid!$F$123,VLOOKUP(AM81,Valid!$B$123:$F$125,5,FALSE)),"")</f>
        <v/>
      </c>
      <c r="DF81" s="1539" t="str">
        <f>IFERROR(VLOOKUP('A-70 RevVehInv'!S81,Valid!$B$99:$I$120,7), "")</f>
        <v/>
      </c>
      <c r="DG81" s="1539" t="str">
        <f>IFERROR(VLOOKUP(S81,Valid!$B$99:$I$120,8), "")</f>
        <v/>
      </c>
      <c r="DH81" s="894"/>
    </row>
    <row r="82" spans="1:112" ht="6.75" customHeight="1" x14ac:dyDescent="0.2">
      <c r="A82" s="1517"/>
      <c r="B82" s="1530">
        <v>35.5</v>
      </c>
      <c r="C82" s="1540"/>
      <c r="D82" s="905"/>
      <c r="E82" s="1541"/>
      <c r="F82" s="905"/>
      <c r="G82" s="905"/>
      <c r="H82" s="905"/>
      <c r="I82" s="1534"/>
      <c r="J82" s="905"/>
      <c r="K82" s="1534"/>
      <c r="L82" s="905"/>
      <c r="M82" s="1534"/>
      <c r="N82" s="905"/>
      <c r="O82" s="1534"/>
      <c r="P82" s="905"/>
      <c r="Q82" s="1534"/>
      <c r="R82" s="1531"/>
      <c r="S82" s="1542"/>
      <c r="T82" s="905"/>
      <c r="U82" s="1542"/>
      <c r="V82" s="905"/>
      <c r="W82" s="1534" t="str">
        <f t="shared" si="18"/>
        <v/>
      </c>
      <c r="X82" s="905"/>
      <c r="Y82" s="1534"/>
      <c r="Z82" s="252" t="str">
        <f t="shared" si="19"/>
        <v/>
      </c>
      <c r="AA82" s="1534"/>
      <c r="AB82" s="905"/>
      <c r="AC82" s="1973" t="str">
        <f t="shared" si="24"/>
        <v/>
      </c>
      <c r="AD82" s="905"/>
      <c r="AE82" s="1985" t="str">
        <f t="shared" si="25"/>
        <v/>
      </c>
      <c r="AF82" s="905"/>
      <c r="AG82" s="1543"/>
      <c r="AH82" s="1531"/>
      <c r="AI82" s="1534"/>
      <c r="AJ82" s="1531"/>
      <c r="AK82" s="1534"/>
      <c r="AL82" s="1531"/>
      <c r="AM82" s="1543"/>
      <c r="AN82" s="1531"/>
      <c r="AO82" s="1543"/>
      <c r="AP82" s="1531"/>
      <c r="AQ82" s="1534"/>
      <c r="AR82" s="1531"/>
      <c r="AS82" s="1534"/>
      <c r="AT82" s="1531"/>
      <c r="AU82" s="1534"/>
      <c r="AV82" s="1531"/>
      <c r="AW82" s="1534"/>
      <c r="AX82" s="1531"/>
      <c r="AY82" s="1534"/>
      <c r="AZ82" s="1531"/>
      <c r="BA82" s="1543"/>
      <c r="BB82" s="1531"/>
      <c r="BC82" s="1534"/>
      <c r="BD82" s="1531"/>
      <c r="BE82" s="1531"/>
      <c r="BF82" s="1531"/>
      <c r="BG82" s="1531"/>
      <c r="BH82" s="1531"/>
      <c r="BI82" s="1535"/>
      <c r="BJ82" s="1534"/>
      <c r="BK82" s="1535"/>
      <c r="BL82" s="1534"/>
      <c r="BM82" s="1535"/>
      <c r="BN82" s="1534"/>
      <c r="BO82" s="1535"/>
      <c r="BP82" s="1534"/>
      <c r="BQ82" s="1535"/>
      <c r="BR82" s="1534"/>
      <c r="BS82" s="1535"/>
      <c r="BT82" s="1534"/>
      <c r="BU82" s="1535"/>
      <c r="BV82" s="1534"/>
      <c r="BW82" s="1535"/>
      <c r="BX82" s="1534"/>
      <c r="BY82" s="1535"/>
      <c r="BZ82" s="1534"/>
      <c r="CA82" s="1535"/>
      <c r="CB82" s="1534"/>
      <c r="CC82" s="1535"/>
      <c r="CD82" s="1534"/>
      <c r="CE82" s="1534"/>
      <c r="CF82" s="1535"/>
      <c r="CG82" s="1534"/>
      <c r="CH82" s="1535"/>
      <c r="CI82" s="1534"/>
      <c r="CJ82" s="1535"/>
      <c r="CK82" s="1534"/>
      <c r="CL82" s="1535"/>
      <c r="CM82" s="1534"/>
      <c r="CN82" s="1535"/>
      <c r="CO82" s="1534"/>
      <c r="CP82" s="1535"/>
      <c r="CQ82" s="1534"/>
      <c r="CR82" s="1535"/>
      <c r="CS82" s="1534"/>
      <c r="CT82" s="1535"/>
      <c r="CU82" s="1535"/>
      <c r="CV82" s="1531"/>
      <c r="CW82" s="898" t="str">
        <f t="shared" si="20"/>
        <v/>
      </c>
      <c r="CX82" s="898" t="str">
        <f>IFERROR(IF(AND(S82="",S82&lt;&gt;""),1913,VLOOKUP(S82,Valid!$B$99:$J$120,9)),"")</f>
        <v/>
      </c>
      <c r="CY82" s="898" t="str">
        <f t="shared" ca="1" si="21"/>
        <v/>
      </c>
      <c r="CZ82" s="1547" t="str">
        <f t="shared" ca="1" si="26"/>
        <v/>
      </c>
      <c r="DA82" s="898"/>
      <c r="DB82" s="898" t="str">
        <f t="shared" si="22"/>
        <v/>
      </c>
      <c r="DC82" s="898" t="str">
        <f t="shared" si="23"/>
        <v/>
      </c>
      <c r="DD82" s="1539" t="str">
        <f>IFERROR(IF(AND(AM82="",C82&lt;&gt;""),Valid!$E$123,VLOOKUP(AM82,Valid!$B$123:$F$125,4,FALSE)),"")</f>
        <v/>
      </c>
      <c r="DE82" s="1539" t="str">
        <f>IFERROR(IF(AND(AM82="",C82&lt;&gt;""),Valid!$F$123,VLOOKUP(AM82,Valid!$B$123:$F$125,5,FALSE)),"")</f>
        <v/>
      </c>
      <c r="DF82" s="1539" t="str">
        <f>IFERROR(VLOOKUP('A-70 RevVehInv'!S82,Valid!$B$99:$I$120,7), "")</f>
        <v/>
      </c>
      <c r="DG82" s="1539" t="str">
        <f>IFERROR(VLOOKUP(S82,Valid!$B$99:$I$120,8), "")</f>
        <v/>
      </c>
      <c r="DH82" s="1531"/>
    </row>
    <row r="83" spans="1:112" s="930" customFormat="1" x14ac:dyDescent="0.2">
      <c r="A83" s="206">
        <v>36</v>
      </c>
      <c r="B83" s="1530">
        <v>36</v>
      </c>
      <c r="C83" s="933"/>
      <c r="D83" s="719" t="str">
        <f>IF(C81="","",IF((C83=""),"Enter RVI ID. then Fill in Columns "&amp;TEXT($I$2,0)&amp;" - "&amp;TEXT($BA$2,0)&amp;"       ",""))</f>
        <v/>
      </c>
      <c r="E83" s="1056" t="str">
        <f>IF(BH83="N/A","",BH83)</f>
        <v/>
      </c>
      <c r="F83" s="1536"/>
      <c r="G83" s="1536"/>
      <c r="H83" s="1536"/>
      <c r="I83" s="1023"/>
      <c r="J83" s="1536" t="str">
        <f>IF(E83&lt;&gt;"","Vehicles?    ","")</f>
        <v/>
      </c>
      <c r="K83" s="1023"/>
      <c r="L83" s="1536" t="str">
        <f>IF(E83&lt;&gt;"","Active Vehicles?     ","")</f>
        <v/>
      </c>
      <c r="M83" s="1023"/>
      <c r="N83" s="1536" t="str">
        <f>IF(E83&lt;&gt;"","ADA Vehicles?       ","")</f>
        <v/>
      </c>
      <c r="O83" s="1023"/>
      <c r="P83" s="1536" t="str">
        <f>IF(E83&lt;&gt;"","Cont. Vehicles?     ","")</f>
        <v/>
      </c>
      <c r="Q83" s="1024"/>
      <c r="R83" s="894"/>
      <c r="S83" s="1153"/>
      <c r="T83" s="252" t="str">
        <f>IF(E83&lt;&gt;"","Select from Pull-Down List    ","")</f>
        <v/>
      </c>
      <c r="U83" s="933"/>
      <c r="V83" s="252" t="str">
        <f>IF(E83&lt;&gt;"","Select from Pull-Down List    ","")</f>
        <v/>
      </c>
      <c r="W83" s="1766" t="str">
        <f t="shared" si="18"/>
        <v/>
      </c>
      <c r="X83" s="252"/>
      <c r="Y83" s="1988"/>
      <c r="Z83" s="252" t="str">
        <f t="shared" si="19"/>
        <v/>
      </c>
      <c r="AA83" s="139"/>
      <c r="AB83" s="252" t="str">
        <f>IF(E83&lt;&gt;"","Mfg. Yr?    ","")</f>
        <v/>
      </c>
      <c r="AC83" s="1974" t="str">
        <f t="shared" si="24"/>
        <v/>
      </c>
      <c r="AD83" s="252"/>
      <c r="AE83" s="1986" t="str">
        <f t="shared" si="25"/>
        <v/>
      </c>
      <c r="AF83" s="252"/>
      <c r="AG83" s="933"/>
      <c r="AH83" s="252" t="str">
        <f>IF(E83&lt;&gt;"","Select from Pull-Down List    ","")</f>
        <v/>
      </c>
      <c r="AI83" s="933"/>
      <c r="AJ83" s="252" t="str">
        <f>IF(E83&lt;&gt;"","Number?   ","")</f>
        <v/>
      </c>
      <c r="AK83" s="139"/>
      <c r="AL83" s="252" t="str">
        <f>IF(E83&lt;&gt;"","Last Rnwl. Yr?   ","")</f>
        <v/>
      </c>
      <c r="AM83" s="933"/>
      <c r="AN83" s="252" t="str">
        <f>IF(E83&lt;&gt;"","Select from Pull-Down List    ","")</f>
        <v/>
      </c>
      <c r="AO83" s="933"/>
      <c r="AP83" s="252" t="str">
        <f>IF(E83&lt;&gt;"","Select from Pull-Down List    ","")</f>
        <v/>
      </c>
      <c r="AQ83" s="1023"/>
      <c r="AR83" s="252" t="str">
        <f>IF(E83&lt;&gt;"","Feet?    ","")</f>
        <v/>
      </c>
      <c r="AS83" s="1023"/>
      <c r="AT83" s="252" t="str">
        <f>IF(E83&lt;&gt;"","Seats?    ","")</f>
        <v/>
      </c>
      <c r="AU83" s="1023"/>
      <c r="AV83" s="252" t="str">
        <f>IF(E83&lt;&gt;"","Standing?    ","")</f>
        <v/>
      </c>
      <c r="AW83" s="1023"/>
      <c r="AX83" s="252" t="str">
        <f>IF(E83&lt;&gt;"","Mileage?       ","")</f>
        <v/>
      </c>
      <c r="AY83" s="1023"/>
      <c r="AZ83" s="252" t="str">
        <f>IF(E83&lt;&gt;"","Avg. Lifetime Mileage? ","")</f>
        <v/>
      </c>
      <c r="BA83" s="933"/>
      <c r="BB83" s="252" t="str">
        <f>IF(E83&lt;&gt;"","Select from Pull-Down List    ","")</f>
        <v/>
      </c>
      <c r="BC83" s="171"/>
      <c r="BD83" s="252" t="str">
        <f>IF(OR(AO83="OR - Other fuel (describe in Notes)",AG83="ZZZ - Other (describe in Notes)"),"Describe                                                                                                     ","")</f>
        <v/>
      </c>
      <c r="BE83" s="894"/>
      <c r="BF83" s="894"/>
      <c r="BG83" s="894" t="b">
        <f>IF(AND(C83="",C85&lt;&gt;""),TRUE,FALSE)</f>
        <v>0</v>
      </c>
      <c r="BH83" s="888" t="str">
        <f>IF(AND(C83&lt;&gt;"",OR(I83="",K83="",M83="",O83="",S83="",U83="",AA83="",AG83="",AI83="",AO83="",AQ83="",AS83="",AU83="",AW83="",AY83="")),"No",IF(AND(C83="",OR(I83&lt;&gt;"",K83&lt;&gt;"",M83&lt;&gt;"",O83&lt;&gt;"",S83&lt;&gt;"",U83&lt;&gt;"",AA83&lt;&gt;"",AG83&lt;&gt;"",AI83&lt;&gt;"",AK83&lt;&gt;"",AM83&lt;&gt;"",AO83&lt;&gt;"",AQ83&lt;&gt;"",AS83&lt;&gt;"",AU83&lt;&gt;"",AW83&lt;&gt;"",AY83&lt;&gt;"",BA83&lt;&gt;"",BC83&lt;&gt;"")),"No",IF(AND(C83="",I83="",K83="",M83="",O83="",S83="",U83="",AA83="",AG83="",AI83="",AK83="",AM83="",AO83="",AQ83="",AS83="",AU83="",AW83="",AY83="",BA83=""),"N/A","Yes")))</f>
        <v>N/A</v>
      </c>
      <c r="BI83" s="898"/>
      <c r="BJ83" s="899" t="b">
        <f>IF(AND(OR(I83&lt;&gt;"",K83&lt;&gt;"",M83&lt;&gt;"",O83&lt;&gt;"",S83&lt;&gt;"",U83&lt;&gt;"",AA83&lt;&gt;"",AG83&lt;&gt;"",AI83&lt;&gt;"",AK83&lt;&gt;"",AM83&lt;&gt;"",AO83&lt;&gt;"",AQ83&lt;&gt;"",AS83&lt;&gt;"",AW83&lt;&gt;"",AY83&lt;&gt;"",BA83&lt;&gt;"",BC83&lt;&gt;""),C83=""),TRUE,FALSE)</f>
        <v>0</v>
      </c>
      <c r="BK83" s="898" t="b">
        <f>IF(BL83=TRUE,FALSE,IF(SUM(K83,O83)&gt;I83,TRUE,FALSE))</f>
        <v>0</v>
      </c>
      <c r="BL83" s="899" t="b">
        <f>IF(AND(C83&lt;&gt;"",I83=""),TRUE,FALSE)</f>
        <v>0</v>
      </c>
      <c r="BM83" s="898" t="b">
        <f>IF(BN83=TRUE,FALSE,IF(M83&gt;K83,TRUE,FALSE))</f>
        <v>0</v>
      </c>
      <c r="BN83" s="899" t="b">
        <f>IF(AND($C83&lt;&gt;"",K83=""),TRUE,FALSE)</f>
        <v>0</v>
      </c>
      <c r="BO83" s="898"/>
      <c r="BP83" s="899" t="b">
        <f>IF(AND($C83&lt;&gt;"",M83=""),TRUE,FALSE)</f>
        <v>0</v>
      </c>
      <c r="BQ83" s="898"/>
      <c r="BR83" s="899" t="b">
        <f>IF(AND($C83&lt;&gt;"",O83=""),TRUE,FALSE)</f>
        <v>0</v>
      </c>
      <c r="BS83" s="898" t="b">
        <f>IF(AND(S83="",OR(U83&lt;&gt;"",AA83&lt;&gt;"",AG83&lt;&gt;"",AI83&lt;&gt;"",AK83&lt;&gt;"",AM83&lt;&gt;"",AO83&lt;&gt;"",AQ83&lt;&gt;"",AS83&lt;&gt;"",AU83&lt;&gt;"",AW83&lt;&gt;"",AY83&lt;&gt;"",BA83&lt;&gt;"")),TRUE,FALSE)</f>
        <v>0</v>
      </c>
      <c r="BT83" s="899" t="b">
        <f>IF(AND($C83&lt;&gt;"",S83=""),TRUE,FALSE)</f>
        <v>0</v>
      </c>
      <c r="BU83" s="898"/>
      <c r="BV83" s="899" t="b">
        <f>IF(AND($C83&lt;&gt;"",U83=""),TRUE,FALSE)</f>
        <v>0</v>
      </c>
      <c r="BW83" s="1537" t="b">
        <f>IF(BX83=TRUE,FALSE,IF(AA83="",FALSE,IF(OR(AA83&lt;CX83,AA83&gt;BaseYear),TRUE,FALSE)))</f>
        <v>0</v>
      </c>
      <c r="BX83" s="899" t="b">
        <f>IF(AND($C83&lt;&gt;"",AA83=""),TRUE,FALSE)</f>
        <v>0</v>
      </c>
      <c r="BY83" s="898"/>
      <c r="BZ83" s="899" t="b">
        <f>IF(AND($C83&lt;&gt;"",AG83=""),TRUE,FALSE)</f>
        <v>0</v>
      </c>
      <c r="CA83" s="898"/>
      <c r="CB83" s="899" t="b">
        <f>IF(AND($C83&lt;&gt;"",AI83=""),TRUE,FALSE)</f>
        <v>0</v>
      </c>
      <c r="CC83" s="1537" t="b">
        <f>IF(AK83="",FALSE,IF(OR(AK83&lt;CX83,AK83&gt;BaseYear),TRUE,FALSE))</f>
        <v>0</v>
      </c>
      <c r="CD83" s="1538" t="b">
        <f>IF(AK83="",FALSE,IF(AK83&lt;AA83,TRUE,FALSE))</f>
        <v>0</v>
      </c>
      <c r="CE83" s="899" t="b">
        <f>IF(AND($AM83&lt;&gt;"",AK83=""),TRUE,FALSE)</f>
        <v>0</v>
      </c>
      <c r="CF83" s="898"/>
      <c r="CG83" s="899" t="b">
        <f>IF(AND($AK83&lt;&gt;"",AM83=""),TRUE,FALSE)</f>
        <v>0</v>
      </c>
      <c r="CH83" s="898"/>
      <c r="CI83" s="899" t="b">
        <f>IF(AND($C83&lt;&gt;"",AO83=""),TRUE,FALSE)</f>
        <v>0</v>
      </c>
      <c r="CJ83" s="1537"/>
      <c r="CK83" s="899" t="b">
        <f>IF(AND($C83&lt;&gt;"",AQ83=""),TRUE,FALSE)</f>
        <v>0</v>
      </c>
      <c r="CL83" s="898"/>
      <c r="CM83" s="899" t="b">
        <f>IF(AND($C83&lt;&gt;"",AS83=""),TRUE,FALSE)</f>
        <v>0</v>
      </c>
      <c r="CN83" s="898"/>
      <c r="CO83" s="899" t="b">
        <f>IF(AND($C83&lt;&gt;"",AU83=""),TRUE,FALSE)</f>
        <v>0</v>
      </c>
      <c r="CP83" s="898"/>
      <c r="CQ83" s="899" t="b">
        <f>IF(AND($C83&lt;&gt;"",AW83=""),TRUE,FALSE)</f>
        <v>0</v>
      </c>
      <c r="CR83" s="898"/>
      <c r="CS83" s="899" t="b">
        <f>IF(AND($C83&lt;&gt;"",AY83=""),TRUE,FALSE)</f>
        <v>0</v>
      </c>
      <c r="CT83" s="898"/>
      <c r="CU83" s="898" t="b">
        <f>IF(AND($C83&lt;&gt;"",BA83=""),TRUE,FALSE)</f>
        <v>0</v>
      </c>
      <c r="CV83" s="894"/>
      <c r="CW83" s="898" t="str">
        <f t="shared" si="20"/>
        <v/>
      </c>
      <c r="CX83" s="898" t="str">
        <f>IFERROR(IF(AND(S83="",S83&lt;&gt;""),1913,VLOOKUP(S83,Valid!$B$99:$J$120,9)),"")</f>
        <v/>
      </c>
      <c r="CY83" s="898" t="str">
        <f t="shared" ca="1" si="21"/>
        <v/>
      </c>
      <c r="CZ83" s="1547" t="str">
        <f t="shared" ca="1" si="26"/>
        <v/>
      </c>
      <c r="DA83" s="898" t="str">
        <f ca="1">IF(CZ83="", "", IF(1+(CZ83*4)&lt;1, 1, 1+(CZ83*4)))</f>
        <v/>
      </c>
      <c r="DB83" s="898" t="str">
        <f t="shared" si="22"/>
        <v/>
      </c>
      <c r="DC83" s="898" t="str">
        <f t="shared" si="23"/>
        <v/>
      </c>
      <c r="DD83" s="1539" t="str">
        <f>IFERROR(IF(AND(AM83="",C83&lt;&gt;""),Valid!$E$123,VLOOKUP(AM83,Valid!$B$123:$F$125,4,FALSE)),"")</f>
        <v/>
      </c>
      <c r="DE83" s="1539" t="str">
        <f>IFERROR(IF(AND(AM83="",C83&lt;&gt;""),Valid!$F$123,VLOOKUP(AM83,Valid!$B$123:$F$125,5,FALSE)),"")</f>
        <v/>
      </c>
      <c r="DF83" s="1539" t="str">
        <f>IFERROR(VLOOKUP('A-70 RevVehInv'!S83,Valid!$B$99:$I$120,7), "")</f>
        <v/>
      </c>
      <c r="DG83" s="1539" t="str">
        <f>IFERROR(VLOOKUP(S83,Valid!$B$99:$I$120,8), "")</f>
        <v/>
      </c>
      <c r="DH83" s="894"/>
    </row>
    <row r="84" spans="1:112" ht="6.75" customHeight="1" x14ac:dyDescent="0.2">
      <c r="A84" s="1517"/>
      <c r="B84" s="1530">
        <v>36.5</v>
      </c>
      <c r="C84" s="1544"/>
      <c r="D84" s="905"/>
      <c r="E84" s="1545"/>
      <c r="F84" s="905"/>
      <c r="G84" s="905"/>
      <c r="H84" s="905"/>
      <c r="I84" s="1531"/>
      <c r="J84" s="905"/>
      <c r="K84" s="1531"/>
      <c r="L84" s="905"/>
      <c r="M84" s="1531"/>
      <c r="N84" s="905"/>
      <c r="O84" s="1531"/>
      <c r="P84" s="905"/>
      <c r="Q84" s="1531"/>
      <c r="R84" s="1531"/>
      <c r="S84" s="1533"/>
      <c r="T84" s="905"/>
      <c r="U84" s="1533"/>
      <c r="V84" s="905"/>
      <c r="W84" s="1531" t="str">
        <f t="shared" si="18"/>
        <v/>
      </c>
      <c r="X84" s="905"/>
      <c r="Y84" s="1531"/>
      <c r="Z84" s="252" t="str">
        <f t="shared" si="19"/>
        <v/>
      </c>
      <c r="AA84" s="1531"/>
      <c r="AB84" s="905"/>
      <c r="AC84" s="1971" t="str">
        <f t="shared" si="24"/>
        <v/>
      </c>
      <c r="AD84" s="905"/>
      <c r="AE84" s="1983" t="str">
        <f t="shared" si="25"/>
        <v/>
      </c>
      <c r="AF84" s="905"/>
      <c r="AG84" s="1546"/>
      <c r="AH84" s="1531"/>
      <c r="AI84" s="1531"/>
      <c r="AJ84" s="1531"/>
      <c r="AK84" s="1531"/>
      <c r="AL84" s="1531"/>
      <c r="AM84" s="1546"/>
      <c r="AN84" s="1531"/>
      <c r="AO84" s="1546"/>
      <c r="AP84" s="1531"/>
      <c r="AQ84" s="1531"/>
      <c r="AR84" s="1531"/>
      <c r="AS84" s="1531"/>
      <c r="AT84" s="1531"/>
      <c r="AU84" s="1531"/>
      <c r="AV84" s="1531"/>
      <c r="AW84" s="1531"/>
      <c r="AX84" s="1531"/>
      <c r="AY84" s="1531"/>
      <c r="AZ84" s="1531"/>
      <c r="BA84" s="1546"/>
      <c r="BB84" s="1531"/>
      <c r="BC84" s="1531"/>
      <c r="BD84" s="1531"/>
      <c r="BE84" s="1531"/>
      <c r="BF84" s="1531"/>
      <c r="BG84" s="1531"/>
      <c r="BH84" s="1531"/>
      <c r="BI84" s="1535"/>
      <c r="BJ84" s="1534"/>
      <c r="BK84" s="1535"/>
      <c r="BL84" s="1534"/>
      <c r="BM84" s="1535"/>
      <c r="BN84" s="1534"/>
      <c r="BO84" s="1535"/>
      <c r="BP84" s="1534"/>
      <c r="BQ84" s="1535"/>
      <c r="BR84" s="1534"/>
      <c r="BS84" s="1535"/>
      <c r="BT84" s="1534"/>
      <c r="BU84" s="1535"/>
      <c r="BV84" s="1534"/>
      <c r="BW84" s="1535"/>
      <c r="BX84" s="1534"/>
      <c r="BY84" s="1535"/>
      <c r="BZ84" s="1534"/>
      <c r="CA84" s="1535"/>
      <c r="CB84" s="1534"/>
      <c r="CC84" s="1535"/>
      <c r="CD84" s="1534"/>
      <c r="CE84" s="1534"/>
      <c r="CF84" s="1535"/>
      <c r="CG84" s="1534"/>
      <c r="CH84" s="1535"/>
      <c r="CI84" s="1534"/>
      <c r="CJ84" s="1535"/>
      <c r="CK84" s="1534"/>
      <c r="CL84" s="1535"/>
      <c r="CM84" s="1534"/>
      <c r="CN84" s="1535"/>
      <c r="CO84" s="1534"/>
      <c r="CP84" s="1535"/>
      <c r="CQ84" s="1534"/>
      <c r="CR84" s="1535"/>
      <c r="CS84" s="1534"/>
      <c r="CT84" s="1535"/>
      <c r="CU84" s="1535"/>
      <c r="CV84" s="1531"/>
      <c r="CW84" s="898" t="str">
        <f t="shared" si="20"/>
        <v/>
      </c>
      <c r="CX84" s="898" t="str">
        <f>IFERROR(IF(AND(S84="",S84&lt;&gt;""),1913,VLOOKUP(S84,Valid!$B$99:$J$120,9)),"")</f>
        <v/>
      </c>
      <c r="CY84" s="898" t="str">
        <f t="shared" ca="1" si="21"/>
        <v/>
      </c>
      <c r="CZ84" s="1547" t="str">
        <f t="shared" ca="1" si="26"/>
        <v/>
      </c>
      <c r="DA84" s="898"/>
      <c r="DB84" s="898" t="str">
        <f t="shared" si="22"/>
        <v/>
      </c>
      <c r="DC84" s="898" t="str">
        <f t="shared" si="23"/>
        <v/>
      </c>
      <c r="DD84" s="1539" t="str">
        <f>IFERROR(IF(AND(AM84="",C84&lt;&gt;""),Valid!$E$123,VLOOKUP(AM84,Valid!$B$123:$F$125,4,FALSE)),"")</f>
        <v/>
      </c>
      <c r="DE84" s="1539" t="str">
        <f>IFERROR(IF(AND(AM84="",C84&lt;&gt;""),Valid!$F$123,VLOOKUP(AM84,Valid!$B$123:$F$125,5,FALSE)),"")</f>
        <v/>
      </c>
      <c r="DF84" s="1539" t="str">
        <f>IFERROR(VLOOKUP('A-70 RevVehInv'!S84,Valid!$B$99:$I$120,7), "")</f>
        <v/>
      </c>
      <c r="DG84" s="1539" t="str">
        <f>IFERROR(VLOOKUP(S84,Valid!$B$99:$I$120,8), "")</f>
        <v/>
      </c>
      <c r="DH84" s="1531"/>
    </row>
    <row r="85" spans="1:112" s="930" customFormat="1" x14ac:dyDescent="0.2">
      <c r="A85" s="206">
        <v>37</v>
      </c>
      <c r="B85" s="1530">
        <v>37</v>
      </c>
      <c r="C85" s="933"/>
      <c r="D85" s="719" t="str">
        <f>IF(C83="","",IF((C85=""),"Enter RVI ID. then Fill in Columns "&amp;TEXT($I$2,0)&amp;" - "&amp;TEXT($BA$2,0)&amp;"       ",""))</f>
        <v/>
      </c>
      <c r="E85" s="1056" t="str">
        <f>IF(BH85="N/A","",BH85)</f>
        <v/>
      </c>
      <c r="F85" s="1536"/>
      <c r="G85" s="1536"/>
      <c r="H85" s="1536"/>
      <c r="I85" s="1023"/>
      <c r="J85" s="1536" t="str">
        <f>IF(E85&lt;&gt;"","Vehicles?    ","")</f>
        <v/>
      </c>
      <c r="K85" s="1023"/>
      <c r="L85" s="1536" t="str">
        <f>IF(E85&lt;&gt;"","Active Vehicles?     ","")</f>
        <v/>
      </c>
      <c r="M85" s="1023"/>
      <c r="N85" s="1536" t="str">
        <f>IF(E85&lt;&gt;"","ADA Vehicles?       ","")</f>
        <v/>
      </c>
      <c r="O85" s="1023"/>
      <c r="P85" s="1536" t="str">
        <f>IF(E85&lt;&gt;"","Cont. Vehicles?     ","")</f>
        <v/>
      </c>
      <c r="Q85" s="1024"/>
      <c r="R85" s="894"/>
      <c r="S85" s="1153"/>
      <c r="T85" s="252" t="str">
        <f>IF(E85&lt;&gt;"","Select from Pull-Down List    ","")</f>
        <v/>
      </c>
      <c r="U85" s="933"/>
      <c r="V85" s="252" t="str">
        <f>IF(E85&lt;&gt;"","Select from Pull-Down List    ","")</f>
        <v/>
      </c>
      <c r="W85" s="1766" t="str">
        <f t="shared" si="18"/>
        <v/>
      </c>
      <c r="X85" s="252"/>
      <c r="Y85" s="1988"/>
      <c r="Z85" s="252" t="str">
        <f t="shared" si="19"/>
        <v/>
      </c>
      <c r="AA85" s="139"/>
      <c r="AB85" s="252" t="str">
        <f>IF(E85&lt;&gt;"","Mfg. Yr?    ","")</f>
        <v/>
      </c>
      <c r="AC85" s="1974" t="str">
        <f t="shared" si="24"/>
        <v/>
      </c>
      <c r="AD85" s="252"/>
      <c r="AE85" s="1986" t="str">
        <f t="shared" si="25"/>
        <v/>
      </c>
      <c r="AF85" s="252"/>
      <c r="AG85" s="933"/>
      <c r="AH85" s="252" t="str">
        <f>IF(E85&lt;&gt;"","Select from Pull-Down List    ","")</f>
        <v/>
      </c>
      <c r="AI85" s="933"/>
      <c r="AJ85" s="252" t="str">
        <f>IF(E85&lt;&gt;"","Number?   ","")</f>
        <v/>
      </c>
      <c r="AK85" s="139"/>
      <c r="AL85" s="252" t="str">
        <f>IF(E85&lt;&gt;"","Last Rnwl. Yr?   ","")</f>
        <v/>
      </c>
      <c r="AM85" s="933"/>
      <c r="AN85" s="252" t="str">
        <f>IF(E85&lt;&gt;"","Select from Pull-Down List    ","")</f>
        <v/>
      </c>
      <c r="AO85" s="933"/>
      <c r="AP85" s="252" t="str">
        <f>IF(E85&lt;&gt;"","Select from Pull-Down List    ","")</f>
        <v/>
      </c>
      <c r="AQ85" s="1023"/>
      <c r="AR85" s="252" t="str">
        <f>IF(E85&lt;&gt;"","Feet?    ","")</f>
        <v/>
      </c>
      <c r="AS85" s="1023"/>
      <c r="AT85" s="252" t="str">
        <f>IF(E85&lt;&gt;"","Seats?    ","")</f>
        <v/>
      </c>
      <c r="AU85" s="1023"/>
      <c r="AV85" s="252" t="str">
        <f>IF(E85&lt;&gt;"","Standing?    ","")</f>
        <v/>
      </c>
      <c r="AW85" s="1023"/>
      <c r="AX85" s="252" t="str">
        <f>IF(E85&lt;&gt;"","Mileage?       ","")</f>
        <v/>
      </c>
      <c r="AY85" s="1023"/>
      <c r="AZ85" s="252" t="str">
        <f>IF(E85&lt;&gt;"","Avg. Lifetime Mileage? ","")</f>
        <v/>
      </c>
      <c r="BA85" s="933"/>
      <c r="BB85" s="252" t="str">
        <f>IF(E85&lt;&gt;"","Select from Pull-Down List    ","")</f>
        <v/>
      </c>
      <c r="BC85" s="171"/>
      <c r="BD85" s="252" t="str">
        <f>IF(OR(AO85="OR - Other fuel (describe in Notes)",AG85="ZZZ - Other (describe in Notes)"),"Describe                                                                                                     ","")</f>
        <v/>
      </c>
      <c r="BE85" s="894"/>
      <c r="BF85" s="894"/>
      <c r="BG85" s="894" t="b">
        <f>IF(AND(C85="",C87&lt;&gt;""),TRUE,FALSE)</f>
        <v>0</v>
      </c>
      <c r="BH85" s="888" t="str">
        <f>IF(AND(C85&lt;&gt;"",OR(I85="",K85="",M85="",O85="",S85="",U85="",AA85="",AG85="",AI85="",AO85="",AQ85="",AS85="",AU85="",AW85="",AY85="")),"No",IF(AND(C85="",OR(I85&lt;&gt;"",K85&lt;&gt;"",M85&lt;&gt;"",O85&lt;&gt;"",S85&lt;&gt;"",U85&lt;&gt;"",AA85&lt;&gt;"",AG85&lt;&gt;"",AI85&lt;&gt;"",AK85&lt;&gt;"",AM85&lt;&gt;"",AO85&lt;&gt;"",AQ85&lt;&gt;"",AS85&lt;&gt;"",AU85&lt;&gt;"",AW85&lt;&gt;"",AY85&lt;&gt;"",BA85&lt;&gt;"",BC85&lt;&gt;"")),"No",IF(AND(C85="",I85="",K85="",M85="",O85="",S85="",U85="",AA85="",AG85="",AI85="",AK85="",AM85="",AO85="",AQ85="",AS85="",AU85="",AW85="",AY85="",BA85=""),"N/A","Yes")))</f>
        <v>N/A</v>
      </c>
      <c r="BI85" s="898"/>
      <c r="BJ85" s="899" t="b">
        <f>IF(AND(OR(I85&lt;&gt;"",K85&lt;&gt;"",M85&lt;&gt;"",O85&lt;&gt;"",S85&lt;&gt;"",U85&lt;&gt;"",AA85&lt;&gt;"",AG85&lt;&gt;"",AI85&lt;&gt;"",AK85&lt;&gt;"",AM85&lt;&gt;"",AO85&lt;&gt;"",AQ85&lt;&gt;"",AS85&lt;&gt;"",AW85&lt;&gt;"",AY85&lt;&gt;"",BA85&lt;&gt;"",BC85&lt;&gt;""),C85=""),TRUE,FALSE)</f>
        <v>0</v>
      </c>
      <c r="BK85" s="898" t="b">
        <f>IF(BL85=TRUE,FALSE,IF(SUM(K85,O85)&gt;I85,TRUE,FALSE))</f>
        <v>0</v>
      </c>
      <c r="BL85" s="899" t="b">
        <f>IF(AND(C85&lt;&gt;"",I85=""),TRUE,FALSE)</f>
        <v>0</v>
      </c>
      <c r="BM85" s="898" t="b">
        <f>IF(BN85=TRUE,FALSE,IF(M85&gt;K85,TRUE,FALSE))</f>
        <v>0</v>
      </c>
      <c r="BN85" s="899" t="b">
        <f>IF(AND($C85&lt;&gt;"",K85=""),TRUE,FALSE)</f>
        <v>0</v>
      </c>
      <c r="BO85" s="898"/>
      <c r="BP85" s="899" t="b">
        <f>IF(AND($C85&lt;&gt;"",M85=""),TRUE,FALSE)</f>
        <v>0</v>
      </c>
      <c r="BQ85" s="898"/>
      <c r="BR85" s="899" t="b">
        <f>IF(AND($C85&lt;&gt;"",O85=""),TRUE,FALSE)</f>
        <v>0</v>
      </c>
      <c r="BS85" s="898" t="b">
        <f>IF(AND(S85="",OR(U85&lt;&gt;"",AA85&lt;&gt;"",AG85&lt;&gt;"",AI85&lt;&gt;"",AK85&lt;&gt;"",AM85&lt;&gt;"",AO85&lt;&gt;"",AQ85&lt;&gt;"",AS85&lt;&gt;"",AU85&lt;&gt;"",AW85&lt;&gt;"",AY85&lt;&gt;"",BA85&lt;&gt;"")),TRUE,FALSE)</f>
        <v>0</v>
      </c>
      <c r="BT85" s="899" t="b">
        <f>IF(AND($C85&lt;&gt;"",S85=""),TRUE,FALSE)</f>
        <v>0</v>
      </c>
      <c r="BU85" s="898"/>
      <c r="BV85" s="899" t="b">
        <f>IF(AND($C85&lt;&gt;"",U85=""),TRUE,FALSE)</f>
        <v>0</v>
      </c>
      <c r="BW85" s="1537" t="b">
        <f>IF(BX85=TRUE,FALSE,IF(AA85="",FALSE,IF(OR(AA85&lt;CX85,AA85&gt;BaseYear),TRUE,FALSE)))</f>
        <v>0</v>
      </c>
      <c r="BX85" s="899" t="b">
        <f>IF(AND($C85&lt;&gt;"",AA85=""),TRUE,FALSE)</f>
        <v>0</v>
      </c>
      <c r="BY85" s="898"/>
      <c r="BZ85" s="899" t="b">
        <f>IF(AND($C85&lt;&gt;"",AG85=""),TRUE,FALSE)</f>
        <v>0</v>
      </c>
      <c r="CA85" s="898"/>
      <c r="CB85" s="899" t="b">
        <f>IF(AND($C85&lt;&gt;"",AI85=""),TRUE,FALSE)</f>
        <v>0</v>
      </c>
      <c r="CC85" s="1537" t="b">
        <f>IF(AK85="",FALSE,IF(OR(AK85&lt;CX85,AK85&gt;BaseYear),TRUE,FALSE))</f>
        <v>0</v>
      </c>
      <c r="CD85" s="1538" t="b">
        <f>IF(AK85="",FALSE,IF(AK85&lt;AA85,TRUE,FALSE))</f>
        <v>0</v>
      </c>
      <c r="CE85" s="899" t="b">
        <f>IF(AND($AM85&lt;&gt;"",AK85=""),TRUE,FALSE)</f>
        <v>0</v>
      </c>
      <c r="CF85" s="898"/>
      <c r="CG85" s="899" t="b">
        <f>IF(AND($AK85&lt;&gt;"",AM85=""),TRUE,FALSE)</f>
        <v>0</v>
      </c>
      <c r="CH85" s="898"/>
      <c r="CI85" s="899" t="b">
        <f>IF(AND($C85&lt;&gt;"",AO85=""),TRUE,FALSE)</f>
        <v>0</v>
      </c>
      <c r="CJ85" s="1537"/>
      <c r="CK85" s="899" t="b">
        <f>IF(AND($C85&lt;&gt;"",AQ85=""),TRUE,FALSE)</f>
        <v>0</v>
      </c>
      <c r="CL85" s="898"/>
      <c r="CM85" s="899" t="b">
        <f>IF(AND($C85&lt;&gt;"",AS85=""),TRUE,FALSE)</f>
        <v>0</v>
      </c>
      <c r="CN85" s="898"/>
      <c r="CO85" s="899" t="b">
        <f>IF(AND($C85&lt;&gt;"",AU85=""),TRUE,FALSE)</f>
        <v>0</v>
      </c>
      <c r="CP85" s="898"/>
      <c r="CQ85" s="899" t="b">
        <f>IF(AND($C85&lt;&gt;"",AW85=""),TRUE,FALSE)</f>
        <v>0</v>
      </c>
      <c r="CR85" s="898"/>
      <c r="CS85" s="899" t="b">
        <f>IF(AND($C85&lt;&gt;"",AY85=""),TRUE,FALSE)</f>
        <v>0</v>
      </c>
      <c r="CT85" s="898"/>
      <c r="CU85" s="898" t="b">
        <f>IF(AND($C85&lt;&gt;"",BA85=""),TRUE,FALSE)</f>
        <v>0</v>
      </c>
      <c r="CV85" s="894"/>
      <c r="CW85" s="898" t="str">
        <f t="shared" si="20"/>
        <v/>
      </c>
      <c r="CX85" s="898" t="str">
        <f>IFERROR(IF(AND(S85="",S85&lt;&gt;""),1913,VLOOKUP(S85,Valid!$B$99:$J$120,9)),"")</f>
        <v/>
      </c>
      <c r="CY85" s="898" t="str">
        <f t="shared" ca="1" si="21"/>
        <v/>
      </c>
      <c r="CZ85" s="1547" t="str">
        <f t="shared" ca="1" si="26"/>
        <v/>
      </c>
      <c r="DA85" s="898" t="str">
        <f ca="1">IF(CZ85="", "", IF(1+(CZ85*4)&lt;1, 1, 1+(CZ85*4)))</f>
        <v/>
      </c>
      <c r="DB85" s="898" t="str">
        <f t="shared" si="22"/>
        <v/>
      </c>
      <c r="DC85" s="898" t="str">
        <f t="shared" si="23"/>
        <v/>
      </c>
      <c r="DD85" s="1539" t="str">
        <f>IFERROR(IF(AND(AM85="",C85&lt;&gt;""),Valid!$E$123,VLOOKUP(AM85,Valid!$B$123:$F$125,4,FALSE)),"")</f>
        <v/>
      </c>
      <c r="DE85" s="1539" t="str">
        <f>IFERROR(IF(AND(AM85="",C85&lt;&gt;""),Valid!$F$123,VLOOKUP(AM85,Valid!$B$123:$F$125,5,FALSE)),"")</f>
        <v/>
      </c>
      <c r="DF85" s="1539" t="str">
        <f>IFERROR(VLOOKUP('A-70 RevVehInv'!S85,Valid!$B$99:$I$120,7), "")</f>
        <v/>
      </c>
      <c r="DG85" s="1539" t="str">
        <f>IFERROR(VLOOKUP(S85,Valid!$B$99:$I$120,8), "")</f>
        <v/>
      </c>
      <c r="DH85" s="894"/>
    </row>
    <row r="86" spans="1:112" ht="6.75" customHeight="1" x14ac:dyDescent="0.2">
      <c r="A86" s="1517"/>
      <c r="B86" s="1530">
        <v>37.5</v>
      </c>
      <c r="C86" s="1540"/>
      <c r="D86" s="905"/>
      <c r="E86" s="1541"/>
      <c r="F86" s="905"/>
      <c r="G86" s="905"/>
      <c r="H86" s="905"/>
      <c r="I86" s="1534"/>
      <c r="J86" s="905"/>
      <c r="K86" s="1534"/>
      <c r="L86" s="905"/>
      <c r="M86" s="1534"/>
      <c r="N86" s="905"/>
      <c r="O86" s="1534"/>
      <c r="P86" s="905"/>
      <c r="Q86" s="1534"/>
      <c r="R86" s="1531"/>
      <c r="S86" s="1542"/>
      <c r="T86" s="905"/>
      <c r="U86" s="1542"/>
      <c r="V86" s="905"/>
      <c r="W86" s="1534" t="str">
        <f t="shared" si="18"/>
        <v/>
      </c>
      <c r="X86" s="905"/>
      <c r="Y86" s="1534"/>
      <c r="Z86" s="252" t="str">
        <f t="shared" si="19"/>
        <v/>
      </c>
      <c r="AA86" s="1534"/>
      <c r="AB86" s="905"/>
      <c r="AC86" s="1973" t="str">
        <f t="shared" si="24"/>
        <v/>
      </c>
      <c r="AD86" s="905"/>
      <c r="AE86" s="1985" t="str">
        <f t="shared" si="25"/>
        <v/>
      </c>
      <c r="AF86" s="905"/>
      <c r="AG86" s="1543"/>
      <c r="AH86" s="1531"/>
      <c r="AI86" s="1534"/>
      <c r="AJ86" s="1531"/>
      <c r="AK86" s="1534"/>
      <c r="AL86" s="1531"/>
      <c r="AM86" s="1543"/>
      <c r="AN86" s="1531"/>
      <c r="AO86" s="1543"/>
      <c r="AP86" s="1531"/>
      <c r="AQ86" s="1534"/>
      <c r="AR86" s="1531"/>
      <c r="AS86" s="1534"/>
      <c r="AT86" s="1531"/>
      <c r="AU86" s="1534"/>
      <c r="AV86" s="1531"/>
      <c r="AW86" s="1534"/>
      <c r="AX86" s="1531"/>
      <c r="AY86" s="1534"/>
      <c r="AZ86" s="1531"/>
      <c r="BA86" s="1543"/>
      <c r="BB86" s="1531"/>
      <c r="BC86" s="1534"/>
      <c r="BD86" s="1531"/>
      <c r="BE86" s="1531"/>
      <c r="BF86" s="1531"/>
      <c r="BG86" s="1531"/>
      <c r="BH86" s="1531"/>
      <c r="BI86" s="1535"/>
      <c r="BJ86" s="1534"/>
      <c r="BK86" s="1535"/>
      <c r="BL86" s="1534"/>
      <c r="BM86" s="1535"/>
      <c r="BN86" s="1534"/>
      <c r="BO86" s="1535"/>
      <c r="BP86" s="1534"/>
      <c r="BQ86" s="1535"/>
      <c r="BR86" s="1534"/>
      <c r="BS86" s="1535"/>
      <c r="BT86" s="1534"/>
      <c r="BU86" s="1535"/>
      <c r="BV86" s="1534"/>
      <c r="BW86" s="1535"/>
      <c r="BX86" s="1534"/>
      <c r="BY86" s="1535"/>
      <c r="BZ86" s="1534"/>
      <c r="CA86" s="1535"/>
      <c r="CB86" s="1534"/>
      <c r="CC86" s="1535"/>
      <c r="CD86" s="1534"/>
      <c r="CE86" s="1534"/>
      <c r="CF86" s="1535"/>
      <c r="CG86" s="1534"/>
      <c r="CH86" s="1535"/>
      <c r="CI86" s="1534"/>
      <c r="CJ86" s="1535"/>
      <c r="CK86" s="1534"/>
      <c r="CL86" s="1535"/>
      <c r="CM86" s="1534"/>
      <c r="CN86" s="1535"/>
      <c r="CO86" s="1534"/>
      <c r="CP86" s="1535"/>
      <c r="CQ86" s="1534"/>
      <c r="CR86" s="1535"/>
      <c r="CS86" s="1534"/>
      <c r="CT86" s="1535"/>
      <c r="CU86" s="1535"/>
      <c r="CV86" s="1531"/>
      <c r="CW86" s="898" t="str">
        <f t="shared" si="20"/>
        <v/>
      </c>
      <c r="CX86" s="898" t="str">
        <f>IFERROR(IF(AND(S86="",S86&lt;&gt;""),1913,VLOOKUP(S86,Valid!$B$99:$J$120,9)),"")</f>
        <v/>
      </c>
      <c r="CY86" s="898" t="str">
        <f t="shared" ca="1" si="21"/>
        <v/>
      </c>
      <c r="CZ86" s="1547" t="str">
        <f t="shared" ca="1" si="26"/>
        <v/>
      </c>
      <c r="DA86" s="898"/>
      <c r="DB86" s="898" t="str">
        <f t="shared" si="22"/>
        <v/>
      </c>
      <c r="DC86" s="898" t="str">
        <f t="shared" si="23"/>
        <v/>
      </c>
      <c r="DD86" s="1539" t="str">
        <f>IFERROR(IF(AND(AM86="",C86&lt;&gt;""),Valid!$E$123,VLOOKUP(AM86,Valid!$B$123:$F$125,4,FALSE)),"")</f>
        <v/>
      </c>
      <c r="DE86" s="1539" t="str">
        <f>IFERROR(IF(AND(AM86="",C86&lt;&gt;""),Valid!$F$123,VLOOKUP(AM86,Valid!$B$123:$F$125,5,FALSE)),"")</f>
        <v/>
      </c>
      <c r="DF86" s="1539" t="str">
        <f>IFERROR(VLOOKUP('A-70 RevVehInv'!S86,Valid!$B$99:$I$120,7), "")</f>
        <v/>
      </c>
      <c r="DG86" s="1539" t="str">
        <f>IFERROR(VLOOKUP(S86,Valid!$B$99:$I$120,8), "")</f>
        <v/>
      </c>
      <c r="DH86" s="1531"/>
    </row>
    <row r="87" spans="1:112" s="930" customFormat="1" x14ac:dyDescent="0.2">
      <c r="A87" s="206">
        <v>38</v>
      </c>
      <c r="B87" s="1530">
        <v>38</v>
      </c>
      <c r="C87" s="933"/>
      <c r="D87" s="719" t="str">
        <f>IF(C85="","",IF((C87=""),"Enter RVI ID. then Fill in Columns "&amp;TEXT($I$2,0)&amp;" - "&amp;TEXT($BA$2,0)&amp;"       ",""))</f>
        <v/>
      </c>
      <c r="E87" s="1056" t="str">
        <f>IF(BH87="N/A","",BH87)</f>
        <v/>
      </c>
      <c r="F87" s="1536"/>
      <c r="G87" s="1536"/>
      <c r="H87" s="1536"/>
      <c r="I87" s="1023"/>
      <c r="J87" s="1536" t="str">
        <f>IF(E87&lt;&gt;"","Vehicles?    ","")</f>
        <v/>
      </c>
      <c r="K87" s="1023"/>
      <c r="L87" s="1536" t="str">
        <f>IF(E87&lt;&gt;"","Active Vehicles?     ","")</f>
        <v/>
      </c>
      <c r="M87" s="1023"/>
      <c r="N87" s="1536" t="str">
        <f>IF(E87&lt;&gt;"","ADA Vehicles?       ","")</f>
        <v/>
      </c>
      <c r="O87" s="1023"/>
      <c r="P87" s="1536" t="str">
        <f>IF(E87&lt;&gt;"","Cont. Vehicles?     ","")</f>
        <v/>
      </c>
      <c r="Q87" s="1024"/>
      <c r="R87" s="894"/>
      <c r="S87" s="1153"/>
      <c r="T87" s="252" t="str">
        <f>IF(E87&lt;&gt;"","Select from Pull-Down List    ","")</f>
        <v/>
      </c>
      <c r="U87" s="933"/>
      <c r="V87" s="252" t="str">
        <f>IF(E87&lt;&gt;"","Select from Pull-Down List    ","")</f>
        <v/>
      </c>
      <c r="W87" s="1766" t="str">
        <f t="shared" si="18"/>
        <v/>
      </c>
      <c r="X87" s="252"/>
      <c r="Y87" s="1988"/>
      <c r="Z87" s="252" t="str">
        <f t="shared" si="19"/>
        <v/>
      </c>
      <c r="AA87" s="139"/>
      <c r="AB87" s="252" t="str">
        <f>IF(E87&lt;&gt;"","Mfg. Yr?    ","")</f>
        <v/>
      </c>
      <c r="AC87" s="1974" t="str">
        <f t="shared" si="24"/>
        <v/>
      </c>
      <c r="AD87" s="252"/>
      <c r="AE87" s="1986" t="str">
        <f t="shared" si="25"/>
        <v/>
      </c>
      <c r="AF87" s="252"/>
      <c r="AG87" s="933"/>
      <c r="AH87" s="252" t="str">
        <f>IF(E87&lt;&gt;"","Select from Pull-Down List    ","")</f>
        <v/>
      </c>
      <c r="AI87" s="933"/>
      <c r="AJ87" s="252" t="str">
        <f>IF(E87&lt;&gt;"","Number?   ","")</f>
        <v/>
      </c>
      <c r="AK87" s="139"/>
      <c r="AL87" s="252" t="str">
        <f>IF(E87&lt;&gt;"","Last Rnwl. Yr?   ","")</f>
        <v/>
      </c>
      <c r="AM87" s="933"/>
      <c r="AN87" s="252" t="str">
        <f>IF(E87&lt;&gt;"","Select from Pull-Down List    ","")</f>
        <v/>
      </c>
      <c r="AO87" s="933"/>
      <c r="AP87" s="252" t="str">
        <f>IF(E87&lt;&gt;"","Select from Pull-Down List    ","")</f>
        <v/>
      </c>
      <c r="AQ87" s="1023"/>
      <c r="AR87" s="252" t="str">
        <f>IF(E87&lt;&gt;"","Feet?    ","")</f>
        <v/>
      </c>
      <c r="AS87" s="1023"/>
      <c r="AT87" s="252" t="str">
        <f>IF(E87&lt;&gt;"","Seats?    ","")</f>
        <v/>
      </c>
      <c r="AU87" s="1023"/>
      <c r="AV87" s="252" t="str">
        <f>IF(E87&lt;&gt;"","Standing?    ","")</f>
        <v/>
      </c>
      <c r="AW87" s="1023"/>
      <c r="AX87" s="252" t="str">
        <f>IF(E87&lt;&gt;"","Mileage?       ","")</f>
        <v/>
      </c>
      <c r="AY87" s="1023"/>
      <c r="AZ87" s="252" t="str">
        <f>IF(E87&lt;&gt;"","Avg. Lifetime Mileage? ","")</f>
        <v/>
      </c>
      <c r="BA87" s="933"/>
      <c r="BB87" s="252" t="str">
        <f>IF(E87&lt;&gt;"","Select from Pull-Down List    ","")</f>
        <v/>
      </c>
      <c r="BC87" s="171"/>
      <c r="BD87" s="252" t="str">
        <f>IF(OR(AO87="OR - Other fuel (describe in Notes)",AG87="ZZZ - Other (describe in Notes)"),"Describe                                                                                                     ","")</f>
        <v/>
      </c>
      <c r="BE87" s="894"/>
      <c r="BF87" s="894"/>
      <c r="BG87" s="894" t="b">
        <f>IF(AND(C87="",C89&lt;&gt;""),TRUE,FALSE)</f>
        <v>0</v>
      </c>
      <c r="BH87" s="888" t="str">
        <f>IF(AND(C87&lt;&gt;"",OR(I87="",K87="",M87="",O87="",S87="",U87="",AA87="",AG87="",AI87="",AO87="",AQ87="",AS87="",AU87="",AW87="",AY87="")),"No",IF(AND(C87="",OR(I87&lt;&gt;"",K87&lt;&gt;"",M87&lt;&gt;"",O87&lt;&gt;"",S87&lt;&gt;"",U87&lt;&gt;"",AA87&lt;&gt;"",AG87&lt;&gt;"",AI87&lt;&gt;"",AK87&lt;&gt;"",AM87&lt;&gt;"",AO87&lt;&gt;"",AQ87&lt;&gt;"",AS87&lt;&gt;"",AU87&lt;&gt;"",AW87&lt;&gt;"",AY87&lt;&gt;"",BA87&lt;&gt;"",BC87&lt;&gt;"")),"No",IF(AND(C87="",I87="",K87="",M87="",O87="",S87="",U87="",AA87="",AG87="",AI87="",AK87="",AM87="",AO87="",AQ87="",AS87="",AU87="",AW87="",AY87="",BA87=""),"N/A","Yes")))</f>
        <v>N/A</v>
      </c>
      <c r="BI87" s="898"/>
      <c r="BJ87" s="899" t="b">
        <f>IF(AND(OR(I87&lt;&gt;"",K87&lt;&gt;"",M87&lt;&gt;"",O87&lt;&gt;"",S87&lt;&gt;"",U87&lt;&gt;"",AA87&lt;&gt;"",AG87&lt;&gt;"",AI87&lt;&gt;"",AK87&lt;&gt;"",AM87&lt;&gt;"",AO87&lt;&gt;"",AQ87&lt;&gt;"",AS87&lt;&gt;"",AW87&lt;&gt;"",AY87&lt;&gt;"",BA87&lt;&gt;"",BC87&lt;&gt;""),C87=""),TRUE,FALSE)</f>
        <v>0</v>
      </c>
      <c r="BK87" s="898" t="b">
        <f>IF(BL87=TRUE,FALSE,IF(SUM(K87,O87)&gt;I87,TRUE,FALSE))</f>
        <v>0</v>
      </c>
      <c r="BL87" s="899" t="b">
        <f>IF(AND(C87&lt;&gt;"",I87=""),TRUE,FALSE)</f>
        <v>0</v>
      </c>
      <c r="BM87" s="898" t="b">
        <f>IF(BN87=TRUE,FALSE,IF(M87&gt;K87,TRUE,FALSE))</f>
        <v>0</v>
      </c>
      <c r="BN87" s="899" t="b">
        <f>IF(AND($C87&lt;&gt;"",K87=""),TRUE,FALSE)</f>
        <v>0</v>
      </c>
      <c r="BO87" s="898"/>
      <c r="BP87" s="899" t="b">
        <f>IF(AND($C87&lt;&gt;"",M87=""),TRUE,FALSE)</f>
        <v>0</v>
      </c>
      <c r="BQ87" s="898"/>
      <c r="BR87" s="899" t="b">
        <f>IF(AND($C87&lt;&gt;"",O87=""),TRUE,FALSE)</f>
        <v>0</v>
      </c>
      <c r="BS87" s="898" t="b">
        <f>IF(AND(S87="",OR(U87&lt;&gt;"",AA87&lt;&gt;"",AG87&lt;&gt;"",AI87&lt;&gt;"",AK87&lt;&gt;"",AM87&lt;&gt;"",AO87&lt;&gt;"",AQ87&lt;&gt;"",AS87&lt;&gt;"",AU87&lt;&gt;"",AW87&lt;&gt;"",AY87&lt;&gt;"",BA87&lt;&gt;"")),TRUE,FALSE)</f>
        <v>0</v>
      </c>
      <c r="BT87" s="899" t="b">
        <f>IF(AND($C87&lt;&gt;"",S87=""),TRUE,FALSE)</f>
        <v>0</v>
      </c>
      <c r="BU87" s="898"/>
      <c r="BV87" s="899" t="b">
        <f>IF(AND($C87&lt;&gt;"",U87=""),TRUE,FALSE)</f>
        <v>0</v>
      </c>
      <c r="BW87" s="1537" t="b">
        <f>IF(BX87=TRUE,FALSE,IF(AA87="",FALSE,IF(OR(AA87&lt;CX87,AA87&gt;BaseYear),TRUE,FALSE)))</f>
        <v>0</v>
      </c>
      <c r="BX87" s="899" t="b">
        <f>IF(AND($C87&lt;&gt;"",AA87=""),TRUE,FALSE)</f>
        <v>0</v>
      </c>
      <c r="BY87" s="898"/>
      <c r="BZ87" s="899" t="b">
        <f>IF(AND($C87&lt;&gt;"",AG87=""),TRUE,FALSE)</f>
        <v>0</v>
      </c>
      <c r="CA87" s="898"/>
      <c r="CB87" s="899" t="b">
        <f>IF(AND($C87&lt;&gt;"",AI87=""),TRUE,FALSE)</f>
        <v>0</v>
      </c>
      <c r="CC87" s="1537" t="b">
        <f>IF(AK87="",FALSE,IF(OR(AK87&lt;CX87,AK87&gt;BaseYear),TRUE,FALSE))</f>
        <v>0</v>
      </c>
      <c r="CD87" s="1538" t="b">
        <f>IF(AK87="",FALSE,IF(AK87&lt;AA87,TRUE,FALSE))</f>
        <v>0</v>
      </c>
      <c r="CE87" s="899" t="b">
        <f>IF(AND($AM87&lt;&gt;"",AK87=""),TRUE,FALSE)</f>
        <v>0</v>
      </c>
      <c r="CF87" s="898"/>
      <c r="CG87" s="899" t="b">
        <f>IF(AND($AK87&lt;&gt;"",AM87=""),TRUE,FALSE)</f>
        <v>0</v>
      </c>
      <c r="CH87" s="898"/>
      <c r="CI87" s="899" t="b">
        <f>IF(AND($C87&lt;&gt;"",AO87=""),TRUE,FALSE)</f>
        <v>0</v>
      </c>
      <c r="CJ87" s="1537"/>
      <c r="CK87" s="899" t="b">
        <f>IF(AND($C87&lt;&gt;"",AQ87=""),TRUE,FALSE)</f>
        <v>0</v>
      </c>
      <c r="CL87" s="898"/>
      <c r="CM87" s="899" t="b">
        <f>IF(AND($C87&lt;&gt;"",AS87=""),TRUE,FALSE)</f>
        <v>0</v>
      </c>
      <c r="CN87" s="898"/>
      <c r="CO87" s="899" t="b">
        <f>IF(AND($C87&lt;&gt;"",AU87=""),TRUE,FALSE)</f>
        <v>0</v>
      </c>
      <c r="CP87" s="898"/>
      <c r="CQ87" s="899" t="b">
        <f>IF(AND($C87&lt;&gt;"",AW87=""),TRUE,FALSE)</f>
        <v>0</v>
      </c>
      <c r="CR87" s="898"/>
      <c r="CS87" s="899" t="b">
        <f>IF(AND($C87&lt;&gt;"",AY87=""),TRUE,FALSE)</f>
        <v>0</v>
      </c>
      <c r="CT87" s="898"/>
      <c r="CU87" s="898" t="b">
        <f>IF(AND($C87&lt;&gt;"",BA87=""),TRUE,FALSE)</f>
        <v>0</v>
      </c>
      <c r="CV87" s="894"/>
      <c r="CW87" s="898" t="str">
        <f t="shared" si="20"/>
        <v/>
      </c>
      <c r="CX87" s="898" t="str">
        <f>IFERROR(IF(AND(S87="",S87&lt;&gt;""),1913,VLOOKUP(S87,Valid!$B$99:$J$120,9)),"")</f>
        <v/>
      </c>
      <c r="CY87" s="898" t="str">
        <f t="shared" ca="1" si="21"/>
        <v/>
      </c>
      <c r="CZ87" s="1547" t="str">
        <f t="shared" ca="1" si="26"/>
        <v/>
      </c>
      <c r="DA87" s="898" t="str">
        <f ca="1">IF(CZ87="", "", IF(1+(CZ87*4)&lt;1, 1, 1+(CZ87*4)))</f>
        <v/>
      </c>
      <c r="DB87" s="898" t="str">
        <f t="shared" si="22"/>
        <v/>
      </c>
      <c r="DC87" s="898" t="str">
        <f t="shared" si="23"/>
        <v/>
      </c>
      <c r="DD87" s="1539" t="str">
        <f>IFERROR(IF(AND(AM87="",C87&lt;&gt;""),Valid!$E$123,VLOOKUP(AM87,Valid!$B$123:$F$125,4,FALSE)),"")</f>
        <v/>
      </c>
      <c r="DE87" s="1539" t="str">
        <f>IFERROR(IF(AND(AM87="",C87&lt;&gt;""),Valid!$F$123,VLOOKUP(AM87,Valid!$B$123:$F$125,5,FALSE)),"")</f>
        <v/>
      </c>
      <c r="DF87" s="1539" t="str">
        <f>IFERROR(VLOOKUP('A-70 RevVehInv'!S87,Valid!$B$99:$I$120,7), "")</f>
        <v/>
      </c>
      <c r="DG87" s="1539" t="str">
        <f>IFERROR(VLOOKUP(S87,Valid!$B$99:$I$120,8), "")</f>
        <v/>
      </c>
      <c r="DH87" s="894"/>
    </row>
    <row r="88" spans="1:112" ht="6.75" customHeight="1" x14ac:dyDescent="0.2">
      <c r="A88" s="1517"/>
      <c r="B88" s="1530">
        <v>38.5</v>
      </c>
      <c r="C88" s="1544"/>
      <c r="D88" s="905"/>
      <c r="E88" s="1545"/>
      <c r="F88" s="905"/>
      <c r="G88" s="905"/>
      <c r="H88" s="905"/>
      <c r="I88" s="1531"/>
      <c r="J88" s="905"/>
      <c r="K88" s="1531"/>
      <c r="L88" s="905"/>
      <c r="M88" s="1531"/>
      <c r="N88" s="905"/>
      <c r="O88" s="1531"/>
      <c r="P88" s="905"/>
      <c r="Q88" s="1531"/>
      <c r="R88" s="1531"/>
      <c r="S88" s="1533"/>
      <c r="T88" s="905"/>
      <c r="U88" s="1533"/>
      <c r="V88" s="905"/>
      <c r="W88" s="1531" t="str">
        <f t="shared" si="18"/>
        <v/>
      </c>
      <c r="X88" s="905"/>
      <c r="Y88" s="1531"/>
      <c r="Z88" s="252" t="str">
        <f t="shared" si="19"/>
        <v/>
      </c>
      <c r="AA88" s="1531"/>
      <c r="AB88" s="905"/>
      <c r="AC88" s="1971" t="str">
        <f t="shared" si="24"/>
        <v/>
      </c>
      <c r="AD88" s="905"/>
      <c r="AE88" s="1983" t="str">
        <f t="shared" si="25"/>
        <v/>
      </c>
      <c r="AF88" s="905"/>
      <c r="AG88" s="1546"/>
      <c r="AH88" s="1531"/>
      <c r="AI88" s="1531"/>
      <c r="AJ88" s="1531"/>
      <c r="AK88" s="1531"/>
      <c r="AL88" s="1531"/>
      <c r="AM88" s="1546"/>
      <c r="AN88" s="1531"/>
      <c r="AO88" s="1546"/>
      <c r="AP88" s="1531"/>
      <c r="AQ88" s="1531"/>
      <c r="AR88" s="1531"/>
      <c r="AS88" s="1531"/>
      <c r="AT88" s="1531"/>
      <c r="AU88" s="1531"/>
      <c r="AV88" s="1531"/>
      <c r="AW88" s="1531"/>
      <c r="AX88" s="1531"/>
      <c r="AY88" s="1531"/>
      <c r="AZ88" s="1531"/>
      <c r="BA88" s="1546"/>
      <c r="BB88" s="1531"/>
      <c r="BC88" s="1531"/>
      <c r="BD88" s="1531"/>
      <c r="BE88" s="1531"/>
      <c r="BF88" s="1531"/>
      <c r="BG88" s="1531"/>
      <c r="BH88" s="1531"/>
      <c r="BI88" s="1535"/>
      <c r="BJ88" s="1534"/>
      <c r="BK88" s="1535"/>
      <c r="BL88" s="1534"/>
      <c r="BM88" s="1535"/>
      <c r="BN88" s="1534"/>
      <c r="BO88" s="1535"/>
      <c r="BP88" s="1534"/>
      <c r="BQ88" s="1535"/>
      <c r="BR88" s="1534"/>
      <c r="BS88" s="1535"/>
      <c r="BT88" s="1534"/>
      <c r="BU88" s="1535"/>
      <c r="BV88" s="1534"/>
      <c r="BW88" s="1535"/>
      <c r="BX88" s="1534"/>
      <c r="BY88" s="1535"/>
      <c r="BZ88" s="1534"/>
      <c r="CA88" s="1535"/>
      <c r="CB88" s="1534"/>
      <c r="CC88" s="1535"/>
      <c r="CD88" s="1534"/>
      <c r="CE88" s="1534"/>
      <c r="CF88" s="1535"/>
      <c r="CG88" s="1534"/>
      <c r="CH88" s="1535"/>
      <c r="CI88" s="1534"/>
      <c r="CJ88" s="1535"/>
      <c r="CK88" s="1534"/>
      <c r="CL88" s="1535"/>
      <c r="CM88" s="1534"/>
      <c r="CN88" s="1535"/>
      <c r="CO88" s="1534"/>
      <c r="CP88" s="1535"/>
      <c r="CQ88" s="1534"/>
      <c r="CR88" s="1535"/>
      <c r="CS88" s="1534"/>
      <c r="CT88" s="1535"/>
      <c r="CU88" s="1535"/>
      <c r="CV88" s="1531"/>
      <c r="CW88" s="898" t="str">
        <f t="shared" si="20"/>
        <v/>
      </c>
      <c r="CX88" s="898" t="str">
        <f>IFERROR(IF(AND(S88="",S88&lt;&gt;""),1913,VLOOKUP(S88,Valid!$B$99:$J$120,9)),"")</f>
        <v/>
      </c>
      <c r="CY88" s="898" t="str">
        <f t="shared" ca="1" si="21"/>
        <v/>
      </c>
      <c r="CZ88" s="1547" t="str">
        <f t="shared" ca="1" si="26"/>
        <v/>
      </c>
      <c r="DA88" s="898"/>
      <c r="DB88" s="898" t="str">
        <f t="shared" si="22"/>
        <v/>
      </c>
      <c r="DC88" s="898" t="str">
        <f t="shared" si="23"/>
        <v/>
      </c>
      <c r="DD88" s="1539" t="str">
        <f>IFERROR(IF(AND(AM88="",C88&lt;&gt;""),Valid!$E$123,VLOOKUP(AM88,Valid!$B$123:$F$125,4,FALSE)),"")</f>
        <v/>
      </c>
      <c r="DE88" s="1539" t="str">
        <f>IFERROR(IF(AND(AM88="",C88&lt;&gt;""),Valid!$F$123,VLOOKUP(AM88,Valid!$B$123:$F$125,5,FALSE)),"")</f>
        <v/>
      </c>
      <c r="DF88" s="1539" t="str">
        <f>IFERROR(VLOOKUP('A-70 RevVehInv'!S88,Valid!$B$99:$I$120,7), "")</f>
        <v/>
      </c>
      <c r="DG88" s="1539" t="str">
        <f>IFERROR(VLOOKUP(S88,Valid!$B$99:$I$120,8), "")</f>
        <v/>
      </c>
      <c r="DH88" s="1531"/>
    </row>
    <row r="89" spans="1:112" s="930" customFormat="1" x14ac:dyDescent="0.2">
      <c r="A89" s="206">
        <v>39</v>
      </c>
      <c r="B89" s="1530">
        <v>39</v>
      </c>
      <c r="C89" s="933"/>
      <c r="D89" s="719" t="str">
        <f>IF(C87="","",IF((C89=""),"Enter RVI ID. then Fill in Columns "&amp;TEXT($I$2,0)&amp;" - "&amp;TEXT($BA$2,0)&amp;"       ",""))</f>
        <v/>
      </c>
      <c r="E89" s="1056" t="str">
        <f>IF(BH89="N/A","",BH89)</f>
        <v/>
      </c>
      <c r="F89" s="1536"/>
      <c r="G89" s="1536"/>
      <c r="H89" s="1536"/>
      <c r="I89" s="1023"/>
      <c r="J89" s="1536" t="str">
        <f>IF(E89&lt;&gt;"","Vehicles?    ","")</f>
        <v/>
      </c>
      <c r="K89" s="1023"/>
      <c r="L89" s="1536" t="str">
        <f>IF(E89&lt;&gt;"","Active Vehicles?     ","")</f>
        <v/>
      </c>
      <c r="M89" s="1023"/>
      <c r="N89" s="1536" t="str">
        <f>IF(E89&lt;&gt;"","ADA Vehicles?       ","")</f>
        <v/>
      </c>
      <c r="O89" s="1023"/>
      <c r="P89" s="1536" t="str">
        <f>IF(E89&lt;&gt;"","Cont. Vehicles?     ","")</f>
        <v/>
      </c>
      <c r="Q89" s="1024"/>
      <c r="R89" s="894"/>
      <c r="S89" s="1153"/>
      <c r="T89" s="252" t="str">
        <f>IF(E89&lt;&gt;"","Select from Pull-Down List    ","")</f>
        <v/>
      </c>
      <c r="U89" s="933"/>
      <c r="V89" s="252" t="str">
        <f>IF(E89&lt;&gt;"","Select from Pull-Down List    ","")</f>
        <v/>
      </c>
      <c r="W89" s="1766" t="str">
        <f t="shared" si="18"/>
        <v/>
      </c>
      <c r="X89" s="252"/>
      <c r="Y89" s="1988"/>
      <c r="Z89" s="252" t="str">
        <f t="shared" si="19"/>
        <v/>
      </c>
      <c r="AA89" s="139"/>
      <c r="AB89" s="252" t="str">
        <f>IF(E89&lt;&gt;"","Mfg. Yr?    ","")</f>
        <v/>
      </c>
      <c r="AC89" s="1974" t="str">
        <f t="shared" si="24"/>
        <v/>
      </c>
      <c r="AD89" s="252"/>
      <c r="AE89" s="1986" t="str">
        <f t="shared" si="25"/>
        <v/>
      </c>
      <c r="AF89" s="252"/>
      <c r="AG89" s="933"/>
      <c r="AH89" s="252" t="str">
        <f>IF(E89&lt;&gt;"","Select from Pull-Down List    ","")</f>
        <v/>
      </c>
      <c r="AI89" s="933"/>
      <c r="AJ89" s="252" t="str">
        <f>IF(E89&lt;&gt;"","Number?   ","")</f>
        <v/>
      </c>
      <c r="AK89" s="139"/>
      <c r="AL89" s="252" t="str">
        <f>IF(E89&lt;&gt;"","Last Rnwl. Yr?   ","")</f>
        <v/>
      </c>
      <c r="AM89" s="933"/>
      <c r="AN89" s="252" t="str">
        <f>IF(E89&lt;&gt;"","Select from Pull-Down List    ","")</f>
        <v/>
      </c>
      <c r="AO89" s="933"/>
      <c r="AP89" s="252" t="str">
        <f>IF(E89&lt;&gt;"","Select from Pull-Down List    ","")</f>
        <v/>
      </c>
      <c r="AQ89" s="1023"/>
      <c r="AR89" s="252" t="str">
        <f>IF(E89&lt;&gt;"","Feet?    ","")</f>
        <v/>
      </c>
      <c r="AS89" s="1023"/>
      <c r="AT89" s="252" t="str">
        <f>IF(E89&lt;&gt;"","Seats?    ","")</f>
        <v/>
      </c>
      <c r="AU89" s="1023"/>
      <c r="AV89" s="252" t="str">
        <f>IF(E89&lt;&gt;"","Standing?    ","")</f>
        <v/>
      </c>
      <c r="AW89" s="1023"/>
      <c r="AX89" s="252" t="str">
        <f>IF(E89&lt;&gt;"","Mileage?       ","")</f>
        <v/>
      </c>
      <c r="AY89" s="1023"/>
      <c r="AZ89" s="252" t="str">
        <f>IF(E89&lt;&gt;"","Avg. Lifetime Mileage? ","")</f>
        <v/>
      </c>
      <c r="BA89" s="933"/>
      <c r="BB89" s="252" t="str">
        <f>IF(E89&lt;&gt;"","Select from Pull-Down List    ","")</f>
        <v/>
      </c>
      <c r="BC89" s="171"/>
      <c r="BD89" s="252" t="str">
        <f>IF(OR(AO89="OR - Other fuel (describe in Notes)",AG89="ZZZ - Other (describe in Notes)"),"Describe                                                                                                     ","")</f>
        <v/>
      </c>
      <c r="BE89" s="894"/>
      <c r="BF89" s="894"/>
      <c r="BG89" s="894" t="b">
        <f>IF(AND(C89="",C91&lt;&gt;""),TRUE,FALSE)</f>
        <v>0</v>
      </c>
      <c r="BH89" s="888" t="str">
        <f>IF(AND(C89&lt;&gt;"",OR(I89="",K89="",M89="",O89="",S89="",U89="",AA89="",AG89="",AI89="",AO89="",AQ89="",AS89="",AU89="",AW89="",AY89="")),"No",IF(AND(C89="",OR(I89&lt;&gt;"",K89&lt;&gt;"",M89&lt;&gt;"",O89&lt;&gt;"",S89&lt;&gt;"",U89&lt;&gt;"",AA89&lt;&gt;"",AG89&lt;&gt;"",AI89&lt;&gt;"",AK89&lt;&gt;"",AM89&lt;&gt;"",AO89&lt;&gt;"",AQ89&lt;&gt;"",AS89&lt;&gt;"",AU89&lt;&gt;"",AW89&lt;&gt;"",AY89&lt;&gt;"",BA89&lt;&gt;"",BC89&lt;&gt;"")),"No",IF(AND(C89="",I89="",K89="",M89="",O89="",S89="",U89="",AA89="",AG89="",AI89="",AK89="",AM89="",AO89="",AQ89="",AS89="",AU89="",AW89="",AY89="",BA89=""),"N/A","Yes")))</f>
        <v>N/A</v>
      </c>
      <c r="BI89" s="898"/>
      <c r="BJ89" s="899" t="b">
        <f>IF(AND(OR(I89&lt;&gt;"",K89&lt;&gt;"",M89&lt;&gt;"",O89&lt;&gt;"",S89&lt;&gt;"",U89&lt;&gt;"",AA89&lt;&gt;"",AG89&lt;&gt;"",AI89&lt;&gt;"",AK89&lt;&gt;"",AM89&lt;&gt;"",AO89&lt;&gt;"",AQ89&lt;&gt;"",AS89&lt;&gt;"",AW89&lt;&gt;"",AY89&lt;&gt;"",BA89&lt;&gt;"",BC89&lt;&gt;""),C89=""),TRUE,FALSE)</f>
        <v>0</v>
      </c>
      <c r="BK89" s="898" t="b">
        <f>IF(BL89=TRUE,FALSE,IF(SUM(K89,O89)&gt;I89,TRUE,FALSE))</f>
        <v>0</v>
      </c>
      <c r="BL89" s="899" t="b">
        <f>IF(AND(C89&lt;&gt;"",I89=""),TRUE,FALSE)</f>
        <v>0</v>
      </c>
      <c r="BM89" s="898" t="b">
        <f>IF(BN89=TRUE,FALSE,IF(M89&gt;K89,TRUE,FALSE))</f>
        <v>0</v>
      </c>
      <c r="BN89" s="899" t="b">
        <f>IF(AND($C89&lt;&gt;"",K89=""),TRUE,FALSE)</f>
        <v>0</v>
      </c>
      <c r="BO89" s="898"/>
      <c r="BP89" s="899" t="b">
        <f>IF(AND($C89&lt;&gt;"",M89=""),TRUE,FALSE)</f>
        <v>0</v>
      </c>
      <c r="BQ89" s="898"/>
      <c r="BR89" s="899" t="b">
        <f>IF(AND($C89&lt;&gt;"",O89=""),TRUE,FALSE)</f>
        <v>0</v>
      </c>
      <c r="BS89" s="898" t="b">
        <f>IF(AND(S89="",OR(U89&lt;&gt;"",AA89&lt;&gt;"",AG89&lt;&gt;"",AI89&lt;&gt;"",AK89&lt;&gt;"",AM89&lt;&gt;"",AO89&lt;&gt;"",AQ89&lt;&gt;"",AS89&lt;&gt;"",AU89&lt;&gt;"",AW89&lt;&gt;"",AY89&lt;&gt;"",BA89&lt;&gt;"")),TRUE,FALSE)</f>
        <v>0</v>
      </c>
      <c r="BT89" s="899" t="b">
        <f>IF(AND($C89&lt;&gt;"",S89=""),TRUE,FALSE)</f>
        <v>0</v>
      </c>
      <c r="BU89" s="898"/>
      <c r="BV89" s="899" t="b">
        <f>IF(AND($C89&lt;&gt;"",U89=""),TRUE,FALSE)</f>
        <v>0</v>
      </c>
      <c r="BW89" s="1537" t="b">
        <f>IF(BX89=TRUE,FALSE,IF(AA89="",FALSE,IF(OR(AA89&lt;CX89,AA89&gt;BaseYear),TRUE,FALSE)))</f>
        <v>0</v>
      </c>
      <c r="BX89" s="899" t="b">
        <f>IF(AND($C89&lt;&gt;"",AA89=""),TRUE,FALSE)</f>
        <v>0</v>
      </c>
      <c r="BY89" s="898"/>
      <c r="BZ89" s="899" t="b">
        <f>IF(AND($C89&lt;&gt;"",AG89=""),TRUE,FALSE)</f>
        <v>0</v>
      </c>
      <c r="CA89" s="898"/>
      <c r="CB89" s="899" t="b">
        <f>IF(AND($C89&lt;&gt;"",AI89=""),TRUE,FALSE)</f>
        <v>0</v>
      </c>
      <c r="CC89" s="1537" t="b">
        <f>IF(AK89="",FALSE,IF(OR(AK89&lt;CX89,AK89&gt;BaseYear),TRUE,FALSE))</f>
        <v>0</v>
      </c>
      <c r="CD89" s="1538" t="b">
        <f>IF(AK89="",FALSE,IF(AK89&lt;AA89,TRUE,FALSE))</f>
        <v>0</v>
      </c>
      <c r="CE89" s="899" t="b">
        <f>IF(AND($AM89&lt;&gt;"",AK89=""),TRUE,FALSE)</f>
        <v>0</v>
      </c>
      <c r="CF89" s="898"/>
      <c r="CG89" s="899" t="b">
        <f>IF(AND($AK89&lt;&gt;"",AM89=""),TRUE,FALSE)</f>
        <v>0</v>
      </c>
      <c r="CH89" s="898"/>
      <c r="CI89" s="899" t="b">
        <f>IF(AND($C89&lt;&gt;"",AO89=""),TRUE,FALSE)</f>
        <v>0</v>
      </c>
      <c r="CJ89" s="1537"/>
      <c r="CK89" s="899" t="b">
        <f>IF(AND($C89&lt;&gt;"",AQ89=""),TRUE,FALSE)</f>
        <v>0</v>
      </c>
      <c r="CL89" s="898"/>
      <c r="CM89" s="899" t="b">
        <f>IF(AND($C89&lt;&gt;"",AS89=""),TRUE,FALSE)</f>
        <v>0</v>
      </c>
      <c r="CN89" s="898"/>
      <c r="CO89" s="899" t="b">
        <f>IF(AND($C89&lt;&gt;"",AU89=""),TRUE,FALSE)</f>
        <v>0</v>
      </c>
      <c r="CP89" s="898"/>
      <c r="CQ89" s="899" t="b">
        <f>IF(AND($C89&lt;&gt;"",AW89=""),TRUE,FALSE)</f>
        <v>0</v>
      </c>
      <c r="CR89" s="898"/>
      <c r="CS89" s="899" t="b">
        <f>IF(AND($C89&lt;&gt;"",AY89=""),TRUE,FALSE)</f>
        <v>0</v>
      </c>
      <c r="CT89" s="898"/>
      <c r="CU89" s="898" t="b">
        <f>IF(AND($C89&lt;&gt;"",BA89=""),TRUE,FALSE)</f>
        <v>0</v>
      </c>
      <c r="CV89" s="894"/>
      <c r="CW89" s="898" t="str">
        <f t="shared" si="20"/>
        <v/>
      </c>
      <c r="CX89" s="898" t="str">
        <f>IFERROR(IF(AND(S89="",S89&lt;&gt;""),1913,VLOOKUP(S89,Valid!$B$99:$J$120,9)),"")</f>
        <v/>
      </c>
      <c r="CY89" s="898" t="str">
        <f t="shared" ca="1" si="21"/>
        <v/>
      </c>
      <c r="CZ89" s="1547" t="str">
        <f t="shared" ca="1" si="26"/>
        <v/>
      </c>
      <c r="DA89" s="898" t="str">
        <f ca="1">IF(CZ89="", "", IF(1+(CZ89*4)&lt;1, 1, 1+(CZ89*4)))</f>
        <v/>
      </c>
      <c r="DB89" s="898" t="str">
        <f t="shared" si="22"/>
        <v/>
      </c>
      <c r="DC89" s="898" t="str">
        <f t="shared" si="23"/>
        <v/>
      </c>
      <c r="DD89" s="1539" t="str">
        <f>IFERROR(IF(AND(AM89="",C89&lt;&gt;""),Valid!$E$123,VLOOKUP(AM89,Valid!$B$123:$F$125,4,FALSE)),"")</f>
        <v/>
      </c>
      <c r="DE89" s="1539" t="str">
        <f>IFERROR(IF(AND(AM89="",C89&lt;&gt;""),Valid!$F$123,VLOOKUP(AM89,Valid!$B$123:$F$125,5,FALSE)),"")</f>
        <v/>
      </c>
      <c r="DF89" s="1539" t="str">
        <f>IFERROR(VLOOKUP('A-70 RevVehInv'!S89,Valid!$B$99:$I$120,7), "")</f>
        <v/>
      </c>
      <c r="DG89" s="1539" t="str">
        <f>IFERROR(VLOOKUP(S89,Valid!$B$99:$I$120,8), "")</f>
        <v/>
      </c>
      <c r="DH89" s="894"/>
    </row>
    <row r="90" spans="1:112" ht="6.75" customHeight="1" x14ac:dyDescent="0.2">
      <c r="A90" s="1517"/>
      <c r="B90" s="1530">
        <v>39.5</v>
      </c>
      <c r="C90" s="1540"/>
      <c r="D90" s="905"/>
      <c r="E90" s="1541"/>
      <c r="F90" s="905"/>
      <c r="G90" s="905"/>
      <c r="H90" s="905"/>
      <c r="I90" s="1534"/>
      <c r="J90" s="905"/>
      <c r="K90" s="1534"/>
      <c r="L90" s="905"/>
      <c r="M90" s="1534"/>
      <c r="N90" s="905"/>
      <c r="O90" s="1534"/>
      <c r="P90" s="905"/>
      <c r="Q90" s="1534"/>
      <c r="R90" s="1531"/>
      <c r="S90" s="1542"/>
      <c r="T90" s="905"/>
      <c r="U90" s="1542"/>
      <c r="V90" s="905"/>
      <c r="W90" s="1534" t="str">
        <f t="shared" si="18"/>
        <v/>
      </c>
      <c r="X90" s="905"/>
      <c r="Y90" s="1534"/>
      <c r="Z90" s="252" t="str">
        <f t="shared" si="19"/>
        <v/>
      </c>
      <c r="AA90" s="1534"/>
      <c r="AB90" s="905"/>
      <c r="AC90" s="1973" t="str">
        <f t="shared" si="24"/>
        <v/>
      </c>
      <c r="AD90" s="905"/>
      <c r="AE90" s="1985" t="str">
        <f t="shared" si="25"/>
        <v/>
      </c>
      <c r="AF90" s="905"/>
      <c r="AG90" s="1543"/>
      <c r="AH90" s="1531"/>
      <c r="AI90" s="1534"/>
      <c r="AJ90" s="1531"/>
      <c r="AK90" s="1534"/>
      <c r="AL90" s="1531"/>
      <c r="AM90" s="1543"/>
      <c r="AN90" s="1531"/>
      <c r="AO90" s="1543"/>
      <c r="AP90" s="1531"/>
      <c r="AQ90" s="1534"/>
      <c r="AR90" s="1531"/>
      <c r="AS90" s="1534"/>
      <c r="AT90" s="1531"/>
      <c r="AU90" s="1534"/>
      <c r="AV90" s="1531"/>
      <c r="AW90" s="1534"/>
      <c r="AX90" s="1531"/>
      <c r="AY90" s="1534"/>
      <c r="AZ90" s="1531"/>
      <c r="BA90" s="1543"/>
      <c r="BB90" s="1531"/>
      <c r="BC90" s="1534"/>
      <c r="BD90" s="1531"/>
      <c r="BE90" s="1531"/>
      <c r="BF90" s="1531"/>
      <c r="BG90" s="1531"/>
      <c r="BH90" s="1531"/>
      <c r="BI90" s="1535"/>
      <c r="BJ90" s="1534"/>
      <c r="BK90" s="1535"/>
      <c r="BL90" s="1534"/>
      <c r="BM90" s="1535"/>
      <c r="BN90" s="1534"/>
      <c r="BO90" s="1535"/>
      <c r="BP90" s="1534"/>
      <c r="BQ90" s="1535"/>
      <c r="BR90" s="1534"/>
      <c r="BS90" s="1535"/>
      <c r="BT90" s="1534"/>
      <c r="BU90" s="1535"/>
      <c r="BV90" s="1534"/>
      <c r="BW90" s="1535"/>
      <c r="BX90" s="1534"/>
      <c r="BY90" s="1535"/>
      <c r="BZ90" s="1534"/>
      <c r="CA90" s="1535"/>
      <c r="CB90" s="1534"/>
      <c r="CC90" s="1535"/>
      <c r="CD90" s="1534"/>
      <c r="CE90" s="1534"/>
      <c r="CF90" s="1535"/>
      <c r="CG90" s="1534"/>
      <c r="CH90" s="1535"/>
      <c r="CI90" s="1534"/>
      <c r="CJ90" s="1535"/>
      <c r="CK90" s="1534"/>
      <c r="CL90" s="1535"/>
      <c r="CM90" s="1534"/>
      <c r="CN90" s="1535"/>
      <c r="CO90" s="1534"/>
      <c r="CP90" s="1535"/>
      <c r="CQ90" s="1534"/>
      <c r="CR90" s="1535"/>
      <c r="CS90" s="1534"/>
      <c r="CT90" s="1535"/>
      <c r="CU90" s="1535"/>
      <c r="CV90" s="1531"/>
      <c r="CW90" s="898" t="str">
        <f t="shared" si="20"/>
        <v/>
      </c>
      <c r="CX90" s="898" t="str">
        <f>IFERROR(IF(AND(S90="",S90&lt;&gt;""),1913,VLOOKUP(S90,Valid!$B$99:$J$120,9)),"")</f>
        <v/>
      </c>
      <c r="CY90" s="898" t="str">
        <f t="shared" ca="1" si="21"/>
        <v/>
      </c>
      <c r="CZ90" s="1547" t="str">
        <f t="shared" ca="1" si="26"/>
        <v/>
      </c>
      <c r="DA90" s="898"/>
      <c r="DB90" s="898" t="str">
        <f t="shared" si="22"/>
        <v/>
      </c>
      <c r="DC90" s="898" t="str">
        <f t="shared" si="23"/>
        <v/>
      </c>
      <c r="DD90" s="1539" t="str">
        <f>IFERROR(IF(AND(AM90="",C90&lt;&gt;""),Valid!$E$123,VLOOKUP(AM90,Valid!$B$123:$F$125,4,FALSE)),"")</f>
        <v/>
      </c>
      <c r="DE90" s="1539" t="str">
        <f>IFERROR(IF(AND(AM90="",C90&lt;&gt;""),Valid!$F$123,VLOOKUP(AM90,Valid!$B$123:$F$125,5,FALSE)),"")</f>
        <v/>
      </c>
      <c r="DF90" s="1539" t="str">
        <f>IFERROR(VLOOKUP('A-70 RevVehInv'!S90,Valid!$B$99:$I$120,7), "")</f>
        <v/>
      </c>
      <c r="DG90" s="1539" t="str">
        <f>IFERROR(VLOOKUP(S90,Valid!$B$99:$I$120,8), "")</f>
        <v/>
      </c>
      <c r="DH90" s="1531"/>
    </row>
    <row r="91" spans="1:112" s="930" customFormat="1" x14ac:dyDescent="0.2">
      <c r="A91" s="206">
        <v>40</v>
      </c>
      <c r="B91" s="1530">
        <v>40</v>
      </c>
      <c r="C91" s="933"/>
      <c r="D91" s="719" t="str">
        <f>IF(C89="","",IF((C91=""),"Enter RVI ID. then Fill in Columns "&amp;TEXT($I$2,0)&amp;" - "&amp;TEXT($BA$2,0)&amp;"       ",""))</f>
        <v/>
      </c>
      <c r="E91" s="1056" t="str">
        <f>IF(BH91="N/A","",BH91)</f>
        <v/>
      </c>
      <c r="F91" s="1536"/>
      <c r="G91" s="1536"/>
      <c r="H91" s="1536"/>
      <c r="I91" s="1023"/>
      <c r="J91" s="1536" t="str">
        <f>IF(E91&lt;&gt;"","Vehicles?    ","")</f>
        <v/>
      </c>
      <c r="K91" s="1023"/>
      <c r="L91" s="1536" t="str">
        <f>IF(E91&lt;&gt;"","Active Vehicles?     ","")</f>
        <v/>
      </c>
      <c r="M91" s="1023"/>
      <c r="N91" s="1536" t="str">
        <f>IF(E91&lt;&gt;"","ADA Vehicles?       ","")</f>
        <v/>
      </c>
      <c r="O91" s="1023"/>
      <c r="P91" s="1536" t="str">
        <f>IF(E91&lt;&gt;"","Cont. Vehicles?     ","")</f>
        <v/>
      </c>
      <c r="Q91" s="1024"/>
      <c r="R91" s="894"/>
      <c r="S91" s="1153"/>
      <c r="T91" s="252" t="str">
        <f>IF(E91&lt;&gt;"","Select from Pull-Down List    ","")</f>
        <v/>
      </c>
      <c r="U91" s="933"/>
      <c r="V91" s="252" t="str">
        <f>IF(E91&lt;&gt;"","Select from Pull-Down List    ","")</f>
        <v/>
      </c>
      <c r="W91" s="1766" t="str">
        <f t="shared" si="18"/>
        <v/>
      </c>
      <c r="X91" s="252"/>
      <c r="Y91" s="1988"/>
      <c r="Z91" s="252" t="str">
        <f t="shared" si="19"/>
        <v/>
      </c>
      <c r="AA91" s="139"/>
      <c r="AB91" s="252" t="str">
        <f>IF(E91&lt;&gt;"","Mfg. Yr?    ","")</f>
        <v/>
      </c>
      <c r="AC91" s="1974" t="str">
        <f t="shared" si="24"/>
        <v/>
      </c>
      <c r="AD91" s="252"/>
      <c r="AE91" s="1986" t="str">
        <f t="shared" si="25"/>
        <v/>
      </c>
      <c r="AF91" s="252"/>
      <c r="AG91" s="933"/>
      <c r="AH91" s="252" t="str">
        <f>IF(E91&lt;&gt;"","Select from Pull-Down List    ","")</f>
        <v/>
      </c>
      <c r="AI91" s="933"/>
      <c r="AJ91" s="252" t="str">
        <f>IF(E91&lt;&gt;"","Number?   ","")</f>
        <v/>
      </c>
      <c r="AK91" s="139"/>
      <c r="AL91" s="252" t="str">
        <f>IF(E91&lt;&gt;"","Last Rnwl. Yr?   ","")</f>
        <v/>
      </c>
      <c r="AM91" s="933"/>
      <c r="AN91" s="252" t="str">
        <f>IF(E91&lt;&gt;"","Select from Pull-Down List    ","")</f>
        <v/>
      </c>
      <c r="AO91" s="933"/>
      <c r="AP91" s="252" t="str">
        <f>IF(E91&lt;&gt;"","Select from Pull-Down List    ","")</f>
        <v/>
      </c>
      <c r="AQ91" s="1023"/>
      <c r="AR91" s="252" t="str">
        <f>IF(E91&lt;&gt;"","Feet?    ","")</f>
        <v/>
      </c>
      <c r="AS91" s="1023"/>
      <c r="AT91" s="252" t="str">
        <f>IF(E91&lt;&gt;"","Seats?    ","")</f>
        <v/>
      </c>
      <c r="AU91" s="1023"/>
      <c r="AV91" s="252" t="str">
        <f>IF(E91&lt;&gt;"","Standing?    ","")</f>
        <v/>
      </c>
      <c r="AW91" s="1023"/>
      <c r="AX91" s="252" t="str">
        <f>IF(E91&lt;&gt;"","Mileage?       ","")</f>
        <v/>
      </c>
      <c r="AY91" s="1023"/>
      <c r="AZ91" s="252" t="str">
        <f>IF(E91&lt;&gt;"","Avg. Lifetime Mileage? ","")</f>
        <v/>
      </c>
      <c r="BA91" s="933"/>
      <c r="BB91" s="252" t="str">
        <f>IF(E91&lt;&gt;"","Select from Pull-Down List    ","")</f>
        <v/>
      </c>
      <c r="BC91" s="171"/>
      <c r="BD91" s="252" t="str">
        <f>IF(OR(AO91="OR - Other fuel (describe in Notes)",AG91="ZZZ - Other (describe in Notes)"),"Describe                                                                                                     ","")</f>
        <v/>
      </c>
      <c r="BE91" s="894"/>
      <c r="BF91" s="894"/>
      <c r="BG91" s="894" t="b">
        <f>IF(AND(C91="",C93&lt;&gt;""),TRUE,FALSE)</f>
        <v>0</v>
      </c>
      <c r="BH91" s="888" t="str">
        <f>IF(AND(C91&lt;&gt;"",OR(I91="",K91="",M91="",O91="",S91="",U91="",AA91="",AG91="",AI91="",AO91="",AQ91="",AS91="",AU91="",AW91="",AY91="")),"No",IF(AND(C91="",OR(I91&lt;&gt;"",K91&lt;&gt;"",M91&lt;&gt;"",O91&lt;&gt;"",S91&lt;&gt;"",U91&lt;&gt;"",AA91&lt;&gt;"",AG91&lt;&gt;"",AI91&lt;&gt;"",AK91&lt;&gt;"",AM91&lt;&gt;"",AO91&lt;&gt;"",AQ91&lt;&gt;"",AS91&lt;&gt;"",AU91&lt;&gt;"",AW91&lt;&gt;"",AY91&lt;&gt;"",BA91&lt;&gt;"",BC91&lt;&gt;"")),"No",IF(AND(C91="",I91="",K91="",M91="",O91="",S91="",U91="",AA91="",AG91="",AI91="",AK91="",AM91="",AO91="",AQ91="",AS91="",AU91="",AW91="",AY91="",BA91=""),"N/A","Yes")))</f>
        <v>N/A</v>
      </c>
      <c r="BI91" s="898"/>
      <c r="BJ91" s="899" t="b">
        <f>IF(AND(OR(I91&lt;&gt;"",K91&lt;&gt;"",M91&lt;&gt;"",O91&lt;&gt;"",S91&lt;&gt;"",U91&lt;&gt;"",AA91&lt;&gt;"",AG91&lt;&gt;"",AI91&lt;&gt;"",AK91&lt;&gt;"",AM91&lt;&gt;"",AO91&lt;&gt;"",AQ91&lt;&gt;"",AS91&lt;&gt;"",AW91&lt;&gt;"",AY91&lt;&gt;"",BA91&lt;&gt;"",BC91&lt;&gt;""),C91=""),TRUE,FALSE)</f>
        <v>0</v>
      </c>
      <c r="BK91" s="898" t="b">
        <f>IF(BL91=TRUE,FALSE,IF(SUM(K91,O91)&gt;I91,TRUE,FALSE))</f>
        <v>0</v>
      </c>
      <c r="BL91" s="899" t="b">
        <f>IF(AND(C91&lt;&gt;"",I91=""),TRUE,FALSE)</f>
        <v>0</v>
      </c>
      <c r="BM91" s="898" t="b">
        <f>IF(BN91=TRUE,FALSE,IF(M91&gt;K91,TRUE,FALSE))</f>
        <v>0</v>
      </c>
      <c r="BN91" s="899" t="b">
        <f>IF(AND($C91&lt;&gt;"",K91=""),TRUE,FALSE)</f>
        <v>0</v>
      </c>
      <c r="BO91" s="898"/>
      <c r="BP91" s="899" t="b">
        <f>IF(AND($C91&lt;&gt;"",M91=""),TRUE,FALSE)</f>
        <v>0</v>
      </c>
      <c r="BQ91" s="898"/>
      <c r="BR91" s="899" t="b">
        <f>IF(AND($C91&lt;&gt;"",O91=""),TRUE,FALSE)</f>
        <v>0</v>
      </c>
      <c r="BS91" s="898" t="b">
        <f>IF(AND(S91="",OR(U91&lt;&gt;"",AA91&lt;&gt;"",AG91&lt;&gt;"",AI91&lt;&gt;"",AK91&lt;&gt;"",AM91&lt;&gt;"",AO91&lt;&gt;"",AQ91&lt;&gt;"",AS91&lt;&gt;"",AU91&lt;&gt;"",AW91&lt;&gt;"",AY91&lt;&gt;"",BA91&lt;&gt;"")),TRUE,FALSE)</f>
        <v>0</v>
      </c>
      <c r="BT91" s="899" t="b">
        <f>IF(AND($C91&lt;&gt;"",S91=""),TRUE,FALSE)</f>
        <v>0</v>
      </c>
      <c r="BU91" s="898"/>
      <c r="BV91" s="899" t="b">
        <f>IF(AND($C91&lt;&gt;"",U91=""),TRUE,FALSE)</f>
        <v>0</v>
      </c>
      <c r="BW91" s="1537" t="b">
        <f>IF(BX91=TRUE,FALSE,IF(AA91="",FALSE,IF(OR(AA91&lt;CX91,AA91&gt;BaseYear),TRUE,FALSE)))</f>
        <v>0</v>
      </c>
      <c r="BX91" s="899" t="b">
        <f>IF(AND($C91&lt;&gt;"",AA91=""),TRUE,FALSE)</f>
        <v>0</v>
      </c>
      <c r="BY91" s="898"/>
      <c r="BZ91" s="899" t="b">
        <f>IF(AND($C91&lt;&gt;"",AG91=""),TRUE,FALSE)</f>
        <v>0</v>
      </c>
      <c r="CA91" s="898"/>
      <c r="CB91" s="899" t="b">
        <f>IF(AND($C91&lt;&gt;"",AI91=""),TRUE,FALSE)</f>
        <v>0</v>
      </c>
      <c r="CC91" s="1537" t="b">
        <f>IF(AK91="",FALSE,IF(OR(AK91&lt;CX91,AK91&gt;BaseYear),TRUE,FALSE))</f>
        <v>0</v>
      </c>
      <c r="CD91" s="1538" t="b">
        <f>IF(AK91="",FALSE,IF(AK91&lt;AA91,TRUE,FALSE))</f>
        <v>0</v>
      </c>
      <c r="CE91" s="899" t="b">
        <f>IF(AND($AM91&lt;&gt;"",AK91=""),TRUE,FALSE)</f>
        <v>0</v>
      </c>
      <c r="CF91" s="898"/>
      <c r="CG91" s="899" t="b">
        <f>IF(AND($AK91&lt;&gt;"",AM91=""),TRUE,FALSE)</f>
        <v>0</v>
      </c>
      <c r="CH91" s="898"/>
      <c r="CI91" s="899" t="b">
        <f>IF(AND($C91&lt;&gt;"",AO91=""),TRUE,FALSE)</f>
        <v>0</v>
      </c>
      <c r="CJ91" s="1537"/>
      <c r="CK91" s="899" t="b">
        <f>IF(AND($C91&lt;&gt;"",AQ91=""),TRUE,FALSE)</f>
        <v>0</v>
      </c>
      <c r="CL91" s="898"/>
      <c r="CM91" s="899" t="b">
        <f>IF(AND($C91&lt;&gt;"",AS91=""),TRUE,FALSE)</f>
        <v>0</v>
      </c>
      <c r="CN91" s="898"/>
      <c r="CO91" s="899" t="b">
        <f>IF(AND($C91&lt;&gt;"",AU91=""),TRUE,FALSE)</f>
        <v>0</v>
      </c>
      <c r="CP91" s="898"/>
      <c r="CQ91" s="899" t="b">
        <f>IF(AND($C91&lt;&gt;"",AW91=""),TRUE,FALSE)</f>
        <v>0</v>
      </c>
      <c r="CR91" s="898"/>
      <c r="CS91" s="899" t="b">
        <f>IF(AND($C91&lt;&gt;"",AY91=""),TRUE,FALSE)</f>
        <v>0</v>
      </c>
      <c r="CT91" s="898"/>
      <c r="CU91" s="898" t="b">
        <f>IF(AND($C91&lt;&gt;"",BA91=""),TRUE,FALSE)</f>
        <v>0</v>
      </c>
      <c r="CV91" s="894"/>
      <c r="CW91" s="898" t="str">
        <f t="shared" si="20"/>
        <v/>
      </c>
      <c r="CX91" s="898" t="str">
        <f>IFERROR(IF(AND(S91="",S91&lt;&gt;""),1913,VLOOKUP(S91,Valid!$B$99:$J$120,9)),"")</f>
        <v/>
      </c>
      <c r="CY91" s="898" t="str">
        <f t="shared" ca="1" si="21"/>
        <v/>
      </c>
      <c r="CZ91" s="1547" t="str">
        <f t="shared" ca="1" si="26"/>
        <v/>
      </c>
      <c r="DA91" s="898" t="str">
        <f ca="1">IF(CZ91="", "", IF(1+(CZ91*4)&lt;1, 1, 1+(CZ91*4)))</f>
        <v/>
      </c>
      <c r="DB91" s="898" t="str">
        <f t="shared" si="22"/>
        <v/>
      </c>
      <c r="DC91" s="898" t="str">
        <f t="shared" si="23"/>
        <v/>
      </c>
      <c r="DD91" s="1539" t="str">
        <f>IFERROR(IF(AND(AM91="",C91&lt;&gt;""),Valid!$E$123,VLOOKUP(AM91,Valid!$B$123:$F$125,4,FALSE)),"")</f>
        <v/>
      </c>
      <c r="DE91" s="1539" t="str">
        <f>IFERROR(IF(AND(AM91="",C91&lt;&gt;""),Valid!$F$123,VLOOKUP(AM91,Valid!$B$123:$F$125,5,FALSE)),"")</f>
        <v/>
      </c>
      <c r="DF91" s="1539" t="str">
        <f>IFERROR(VLOOKUP('A-70 RevVehInv'!S91,Valid!$B$99:$I$120,7), "")</f>
        <v/>
      </c>
      <c r="DG91" s="1539" t="str">
        <f>IFERROR(VLOOKUP(S91,Valid!$B$99:$I$120,8), "")</f>
        <v/>
      </c>
      <c r="DH91" s="894"/>
    </row>
    <row r="92" spans="1:112" ht="6.75" customHeight="1" x14ac:dyDescent="0.2">
      <c r="A92" s="1517"/>
      <c r="B92" s="1530">
        <v>40.5</v>
      </c>
      <c r="C92" s="1544"/>
      <c r="D92" s="905"/>
      <c r="E92" s="1545"/>
      <c r="F92" s="905"/>
      <c r="G92" s="905"/>
      <c r="H92" s="905"/>
      <c r="I92" s="1531"/>
      <c r="J92" s="905"/>
      <c r="K92" s="1531"/>
      <c r="L92" s="905"/>
      <c r="M92" s="1531"/>
      <c r="N92" s="905"/>
      <c r="O92" s="1531"/>
      <c r="P92" s="905"/>
      <c r="Q92" s="1531"/>
      <c r="R92" s="1531"/>
      <c r="S92" s="1533"/>
      <c r="T92" s="905"/>
      <c r="U92" s="1533"/>
      <c r="V92" s="905"/>
      <c r="W92" s="1531" t="str">
        <f t="shared" si="18"/>
        <v/>
      </c>
      <c r="X92" s="905"/>
      <c r="Y92" s="1531"/>
      <c r="Z92" s="252" t="str">
        <f t="shared" si="19"/>
        <v/>
      </c>
      <c r="AA92" s="1531"/>
      <c r="AB92" s="905"/>
      <c r="AC92" s="1971" t="str">
        <f t="shared" si="24"/>
        <v/>
      </c>
      <c r="AD92" s="905"/>
      <c r="AE92" s="1983" t="str">
        <f t="shared" si="25"/>
        <v/>
      </c>
      <c r="AF92" s="905"/>
      <c r="AG92" s="1546"/>
      <c r="AH92" s="1531"/>
      <c r="AI92" s="1531"/>
      <c r="AJ92" s="1531"/>
      <c r="AK92" s="1531"/>
      <c r="AL92" s="1531"/>
      <c r="AM92" s="1546"/>
      <c r="AN92" s="1531"/>
      <c r="AO92" s="1546"/>
      <c r="AP92" s="1531"/>
      <c r="AQ92" s="1531"/>
      <c r="AR92" s="1531"/>
      <c r="AS92" s="1531"/>
      <c r="AT92" s="1531"/>
      <c r="AU92" s="1531"/>
      <c r="AV92" s="1531"/>
      <c r="AW92" s="1531"/>
      <c r="AX92" s="1531"/>
      <c r="AY92" s="1531"/>
      <c r="AZ92" s="1531"/>
      <c r="BA92" s="1546"/>
      <c r="BB92" s="1531"/>
      <c r="BC92" s="1531"/>
      <c r="BD92" s="1531"/>
      <c r="BE92" s="1531"/>
      <c r="BF92" s="1531"/>
      <c r="BG92" s="1531"/>
      <c r="BH92" s="1531"/>
      <c r="BI92" s="1535"/>
      <c r="BJ92" s="1534"/>
      <c r="BK92" s="1535"/>
      <c r="BL92" s="1534"/>
      <c r="BM92" s="1535"/>
      <c r="BN92" s="1534"/>
      <c r="BO92" s="1535"/>
      <c r="BP92" s="1534"/>
      <c r="BQ92" s="1535"/>
      <c r="BR92" s="1534"/>
      <c r="BS92" s="1535"/>
      <c r="BT92" s="1534"/>
      <c r="BU92" s="1535"/>
      <c r="BV92" s="1534"/>
      <c r="BW92" s="1535"/>
      <c r="BX92" s="1534"/>
      <c r="BY92" s="1535"/>
      <c r="BZ92" s="1534"/>
      <c r="CA92" s="1535"/>
      <c r="CB92" s="1534"/>
      <c r="CC92" s="1535"/>
      <c r="CD92" s="1534"/>
      <c r="CE92" s="1534"/>
      <c r="CF92" s="1535"/>
      <c r="CG92" s="1534"/>
      <c r="CH92" s="1535"/>
      <c r="CI92" s="1534"/>
      <c r="CJ92" s="1535"/>
      <c r="CK92" s="1534"/>
      <c r="CL92" s="1535"/>
      <c r="CM92" s="1534"/>
      <c r="CN92" s="1535"/>
      <c r="CO92" s="1534"/>
      <c r="CP92" s="1535"/>
      <c r="CQ92" s="1534"/>
      <c r="CR92" s="1535"/>
      <c r="CS92" s="1534"/>
      <c r="CT92" s="1535"/>
      <c r="CU92" s="1535"/>
      <c r="CV92" s="1531"/>
      <c r="CW92" s="898" t="str">
        <f t="shared" si="20"/>
        <v/>
      </c>
      <c r="CX92" s="898" t="str">
        <f>IFERROR(IF(AND(S92="",S92&lt;&gt;""),1913,VLOOKUP(S92,Valid!$B$99:$J$120,9)),"")</f>
        <v/>
      </c>
      <c r="CY92" s="898" t="str">
        <f t="shared" ca="1" si="21"/>
        <v/>
      </c>
      <c r="CZ92" s="1547" t="str">
        <f t="shared" ca="1" si="26"/>
        <v/>
      </c>
      <c r="DA92" s="898"/>
      <c r="DB92" s="898" t="str">
        <f t="shared" si="22"/>
        <v/>
      </c>
      <c r="DC92" s="898" t="str">
        <f t="shared" si="23"/>
        <v/>
      </c>
      <c r="DD92" s="1539" t="str">
        <f>IFERROR(IF(AND(AM92="",C92&lt;&gt;""),Valid!$E$123,VLOOKUP(AM92,Valid!$B$123:$F$125,4,FALSE)),"")</f>
        <v/>
      </c>
      <c r="DE92" s="1539" t="str">
        <f>IFERROR(IF(AND(AM92="",C92&lt;&gt;""),Valid!$F$123,VLOOKUP(AM92,Valid!$B$123:$F$125,5,FALSE)),"")</f>
        <v/>
      </c>
      <c r="DF92" s="1539" t="str">
        <f>IFERROR(VLOOKUP('A-70 RevVehInv'!S92,Valid!$B$99:$I$120,7), "")</f>
        <v/>
      </c>
      <c r="DG92" s="1539" t="str">
        <f>IFERROR(VLOOKUP(S92,Valid!$B$99:$I$120,8), "")</f>
        <v/>
      </c>
      <c r="DH92" s="1531"/>
    </row>
    <row r="93" spans="1:112" s="930" customFormat="1" x14ac:dyDescent="0.2">
      <c r="A93" s="206">
        <v>41</v>
      </c>
      <c r="B93" s="1530">
        <v>41</v>
      </c>
      <c r="C93" s="933"/>
      <c r="D93" s="719" t="str">
        <f>IF(C91="","",IF((C93=""),"Enter RVI ID. then Fill in Columns "&amp;TEXT($I$2,0)&amp;" - "&amp;TEXT($BA$2,0)&amp;"       ",""))</f>
        <v/>
      </c>
      <c r="E93" s="1056" t="str">
        <f>IF(BH93="N/A","",BH93)</f>
        <v/>
      </c>
      <c r="F93" s="1536"/>
      <c r="G93" s="1536"/>
      <c r="H93" s="1536"/>
      <c r="I93" s="1023"/>
      <c r="J93" s="1536" t="str">
        <f>IF(E93&lt;&gt;"","Vehicles?    ","")</f>
        <v/>
      </c>
      <c r="K93" s="1023"/>
      <c r="L93" s="1536" t="str">
        <f>IF(E93&lt;&gt;"","Active Vehicles?     ","")</f>
        <v/>
      </c>
      <c r="M93" s="1023"/>
      <c r="N93" s="1536" t="str">
        <f>IF(E93&lt;&gt;"","ADA Vehicles?       ","")</f>
        <v/>
      </c>
      <c r="O93" s="1023"/>
      <c r="P93" s="1536" t="str">
        <f>IF(E93&lt;&gt;"","Cont. Vehicles?     ","")</f>
        <v/>
      </c>
      <c r="Q93" s="1024"/>
      <c r="R93" s="894"/>
      <c r="S93" s="1153"/>
      <c r="T93" s="252" t="str">
        <f>IF(E93&lt;&gt;"","Select from Pull-Down List    ","")</f>
        <v/>
      </c>
      <c r="U93" s="933"/>
      <c r="V93" s="252" t="str">
        <f>IF(E93&lt;&gt;"","Select from Pull-Down List    ","")</f>
        <v/>
      </c>
      <c r="W93" s="1766" t="str">
        <f t="shared" si="18"/>
        <v/>
      </c>
      <c r="X93" s="252"/>
      <c r="Y93" s="1988"/>
      <c r="Z93" s="252" t="str">
        <f t="shared" si="19"/>
        <v/>
      </c>
      <c r="AA93" s="139"/>
      <c r="AB93" s="252" t="str">
        <f>IF(E93&lt;&gt;"","Mfg. Yr?    ","")</f>
        <v/>
      </c>
      <c r="AC93" s="1974" t="str">
        <f t="shared" si="24"/>
        <v/>
      </c>
      <c r="AD93" s="252"/>
      <c r="AE93" s="1986" t="str">
        <f t="shared" si="25"/>
        <v/>
      </c>
      <c r="AF93" s="252"/>
      <c r="AG93" s="933"/>
      <c r="AH93" s="252" t="str">
        <f>IF(E93&lt;&gt;"","Select from Pull-Down List    ","")</f>
        <v/>
      </c>
      <c r="AI93" s="933"/>
      <c r="AJ93" s="252" t="str">
        <f>IF(E93&lt;&gt;"","Number?   ","")</f>
        <v/>
      </c>
      <c r="AK93" s="139"/>
      <c r="AL93" s="252" t="str">
        <f>IF(E93&lt;&gt;"","Last Rnwl. Yr?   ","")</f>
        <v/>
      </c>
      <c r="AM93" s="933"/>
      <c r="AN93" s="252" t="str">
        <f>IF(E93&lt;&gt;"","Select from Pull-Down List    ","")</f>
        <v/>
      </c>
      <c r="AO93" s="933"/>
      <c r="AP93" s="252" t="str">
        <f>IF(E93&lt;&gt;"","Select from Pull-Down List    ","")</f>
        <v/>
      </c>
      <c r="AQ93" s="1023"/>
      <c r="AR93" s="252" t="str">
        <f>IF(E93&lt;&gt;"","Feet?    ","")</f>
        <v/>
      </c>
      <c r="AS93" s="1023"/>
      <c r="AT93" s="252" t="str">
        <f>IF(E93&lt;&gt;"","Seats?    ","")</f>
        <v/>
      </c>
      <c r="AU93" s="1023"/>
      <c r="AV93" s="252" t="str">
        <f>IF(E93&lt;&gt;"","Standing?    ","")</f>
        <v/>
      </c>
      <c r="AW93" s="1023"/>
      <c r="AX93" s="252" t="str">
        <f>IF(E93&lt;&gt;"","Mileage?       ","")</f>
        <v/>
      </c>
      <c r="AY93" s="1023"/>
      <c r="AZ93" s="252" t="str">
        <f>IF(E93&lt;&gt;"","Avg. Lifetime Mileage? ","")</f>
        <v/>
      </c>
      <c r="BA93" s="933"/>
      <c r="BB93" s="252" t="str">
        <f>IF(E93&lt;&gt;"","Select from Pull-Down List    ","")</f>
        <v/>
      </c>
      <c r="BC93" s="171"/>
      <c r="BD93" s="252" t="str">
        <f>IF(OR(AO93="OR - Other fuel (describe in Notes)",AG93="ZZZ - Other (describe in Notes)"),"Describe                                                                                                     ","")</f>
        <v/>
      </c>
      <c r="BE93" s="894"/>
      <c r="BF93" s="894"/>
      <c r="BG93" s="894" t="b">
        <f>IF(AND(C93="",C95&lt;&gt;""),TRUE,FALSE)</f>
        <v>0</v>
      </c>
      <c r="BH93" s="888" t="str">
        <f>IF(AND(C93&lt;&gt;"",OR(I93="",K93="",M93="",O93="",S93="",U93="",AA93="",AG93="",AI93="",AO93="",AQ93="",AS93="",AU93="",AW93="",AY93="")),"No",IF(AND(C93="",OR(I93&lt;&gt;"",K93&lt;&gt;"",M93&lt;&gt;"",O93&lt;&gt;"",S93&lt;&gt;"",U93&lt;&gt;"",AA93&lt;&gt;"",AG93&lt;&gt;"",AI93&lt;&gt;"",AK93&lt;&gt;"",AM93&lt;&gt;"",AO93&lt;&gt;"",AQ93&lt;&gt;"",AS93&lt;&gt;"",AU93&lt;&gt;"",AW93&lt;&gt;"",AY93&lt;&gt;"",BA93&lt;&gt;"",BC93&lt;&gt;"")),"No",IF(AND(C93="",I93="",K93="",M93="",O93="",S93="",U93="",AA93="",AG93="",AI93="",AK93="",AM93="",AO93="",AQ93="",AS93="",AU93="",AW93="",AY93="",BA93=""),"N/A","Yes")))</f>
        <v>N/A</v>
      </c>
      <c r="BI93" s="898"/>
      <c r="BJ93" s="899" t="b">
        <f>IF(AND(OR(I93&lt;&gt;"",K93&lt;&gt;"",M93&lt;&gt;"",O93&lt;&gt;"",S93&lt;&gt;"",U93&lt;&gt;"",AA93&lt;&gt;"",AG93&lt;&gt;"",AI93&lt;&gt;"",AK93&lt;&gt;"",AM93&lt;&gt;"",AO93&lt;&gt;"",AQ93&lt;&gt;"",AS93&lt;&gt;"",AW93&lt;&gt;"",AY93&lt;&gt;"",BA93&lt;&gt;"",BC93&lt;&gt;""),C93=""),TRUE,FALSE)</f>
        <v>0</v>
      </c>
      <c r="BK93" s="898" t="b">
        <f>IF(BL93=TRUE,FALSE,IF(SUM(K93,O93)&gt;I93,TRUE,FALSE))</f>
        <v>0</v>
      </c>
      <c r="BL93" s="899" t="b">
        <f>IF(AND(C93&lt;&gt;"",I93=""),TRUE,FALSE)</f>
        <v>0</v>
      </c>
      <c r="BM93" s="898" t="b">
        <f>IF(BN93=TRUE,FALSE,IF(M93&gt;K93,TRUE,FALSE))</f>
        <v>0</v>
      </c>
      <c r="BN93" s="899" t="b">
        <f>IF(AND($C93&lt;&gt;"",K93=""),TRUE,FALSE)</f>
        <v>0</v>
      </c>
      <c r="BO93" s="898"/>
      <c r="BP93" s="899" t="b">
        <f>IF(AND($C93&lt;&gt;"",M93=""),TRUE,FALSE)</f>
        <v>0</v>
      </c>
      <c r="BQ93" s="898"/>
      <c r="BR93" s="899" t="b">
        <f>IF(AND($C93&lt;&gt;"",O93=""),TRUE,FALSE)</f>
        <v>0</v>
      </c>
      <c r="BS93" s="898" t="b">
        <f>IF(AND(S93="",OR(U93&lt;&gt;"",AA93&lt;&gt;"",AG93&lt;&gt;"",AI93&lt;&gt;"",AK93&lt;&gt;"",AM93&lt;&gt;"",AO93&lt;&gt;"",AQ93&lt;&gt;"",AS93&lt;&gt;"",AU93&lt;&gt;"",AW93&lt;&gt;"",AY93&lt;&gt;"",BA93&lt;&gt;"")),TRUE,FALSE)</f>
        <v>0</v>
      </c>
      <c r="BT93" s="899" t="b">
        <f>IF(AND($C93&lt;&gt;"",S93=""),TRUE,FALSE)</f>
        <v>0</v>
      </c>
      <c r="BU93" s="898"/>
      <c r="BV93" s="899" t="b">
        <f>IF(AND($C93&lt;&gt;"",U93=""),TRUE,FALSE)</f>
        <v>0</v>
      </c>
      <c r="BW93" s="1537" t="b">
        <f>IF(BX93=TRUE,FALSE,IF(AA93="",FALSE,IF(OR(AA93&lt;CX93,AA93&gt;BaseYear),TRUE,FALSE)))</f>
        <v>0</v>
      </c>
      <c r="BX93" s="899" t="b">
        <f>IF(AND($C93&lt;&gt;"",AA93=""),TRUE,FALSE)</f>
        <v>0</v>
      </c>
      <c r="BY93" s="898"/>
      <c r="BZ93" s="899" t="b">
        <f>IF(AND($C93&lt;&gt;"",AG93=""),TRUE,FALSE)</f>
        <v>0</v>
      </c>
      <c r="CA93" s="898"/>
      <c r="CB93" s="899" t="b">
        <f>IF(AND($C93&lt;&gt;"",AI93=""),TRUE,FALSE)</f>
        <v>0</v>
      </c>
      <c r="CC93" s="1537" t="b">
        <f>IF(AK93="",FALSE,IF(OR(AK93&lt;CX93,AK93&gt;BaseYear),TRUE,FALSE))</f>
        <v>0</v>
      </c>
      <c r="CD93" s="1538" t="b">
        <f>IF(AK93="",FALSE,IF(AK93&lt;AA93,TRUE,FALSE))</f>
        <v>0</v>
      </c>
      <c r="CE93" s="899" t="b">
        <f>IF(AND($AM93&lt;&gt;"",AK93=""),TRUE,FALSE)</f>
        <v>0</v>
      </c>
      <c r="CF93" s="898"/>
      <c r="CG93" s="899" t="b">
        <f>IF(AND($AK93&lt;&gt;"",AM93=""),TRUE,FALSE)</f>
        <v>0</v>
      </c>
      <c r="CH93" s="898"/>
      <c r="CI93" s="899" t="b">
        <f>IF(AND($C93&lt;&gt;"",AO93=""),TRUE,FALSE)</f>
        <v>0</v>
      </c>
      <c r="CJ93" s="1537"/>
      <c r="CK93" s="899" t="b">
        <f>IF(AND($C93&lt;&gt;"",AQ93=""),TRUE,FALSE)</f>
        <v>0</v>
      </c>
      <c r="CL93" s="898"/>
      <c r="CM93" s="899" t="b">
        <f>IF(AND($C93&lt;&gt;"",AS93=""),TRUE,FALSE)</f>
        <v>0</v>
      </c>
      <c r="CN93" s="898"/>
      <c r="CO93" s="899" t="b">
        <f>IF(AND($C93&lt;&gt;"",AU93=""),TRUE,FALSE)</f>
        <v>0</v>
      </c>
      <c r="CP93" s="898"/>
      <c r="CQ93" s="899" t="b">
        <f>IF(AND($C93&lt;&gt;"",AW93=""),TRUE,FALSE)</f>
        <v>0</v>
      </c>
      <c r="CR93" s="898"/>
      <c r="CS93" s="899" t="b">
        <f>IF(AND($C93&lt;&gt;"",AY93=""),TRUE,FALSE)</f>
        <v>0</v>
      </c>
      <c r="CT93" s="898"/>
      <c r="CU93" s="898" t="b">
        <f>IF(AND($C93&lt;&gt;"",BA93=""),TRUE,FALSE)</f>
        <v>0</v>
      </c>
      <c r="CV93" s="894"/>
      <c r="CW93" s="898" t="str">
        <f t="shared" si="20"/>
        <v/>
      </c>
      <c r="CX93" s="898" t="str">
        <f>IFERROR(IF(AND(S93="",S93&lt;&gt;""),1913,VLOOKUP(S93,Valid!$B$99:$J$120,9)),"")</f>
        <v/>
      </c>
      <c r="CY93" s="898" t="str">
        <f t="shared" ca="1" si="21"/>
        <v/>
      </c>
      <c r="CZ93" s="1547" t="str">
        <f t="shared" ca="1" si="26"/>
        <v/>
      </c>
      <c r="DA93" s="898" t="str">
        <f ca="1">IF(CZ93="", "", IF(1+(CZ93*4)&lt;1, 1, 1+(CZ93*4)))</f>
        <v/>
      </c>
      <c r="DB93" s="898" t="str">
        <f t="shared" si="22"/>
        <v/>
      </c>
      <c r="DC93" s="898" t="str">
        <f t="shared" si="23"/>
        <v/>
      </c>
      <c r="DD93" s="1539" t="str">
        <f>IFERROR(IF(AND(AM93="",C93&lt;&gt;""),Valid!$E$123,VLOOKUP(AM93,Valid!$B$123:$F$125,4,FALSE)),"")</f>
        <v/>
      </c>
      <c r="DE93" s="1539" t="str">
        <f>IFERROR(IF(AND(AM93="",C93&lt;&gt;""),Valid!$F$123,VLOOKUP(AM93,Valid!$B$123:$F$125,5,FALSE)),"")</f>
        <v/>
      </c>
      <c r="DF93" s="1539" t="str">
        <f>IFERROR(VLOOKUP('A-70 RevVehInv'!S93,Valid!$B$99:$I$120,7), "")</f>
        <v/>
      </c>
      <c r="DG93" s="1539" t="str">
        <f>IFERROR(VLOOKUP(S93,Valid!$B$99:$I$120,8), "")</f>
        <v/>
      </c>
      <c r="DH93" s="894"/>
    </row>
    <row r="94" spans="1:112" ht="6.75" customHeight="1" x14ac:dyDescent="0.2">
      <c r="A94" s="1516"/>
      <c r="B94" s="1530">
        <v>41.5</v>
      </c>
      <c r="C94" s="1540"/>
      <c r="D94" s="905"/>
      <c r="E94" s="1541"/>
      <c r="F94" s="905"/>
      <c r="G94" s="905"/>
      <c r="H94" s="905"/>
      <c r="I94" s="1534"/>
      <c r="J94" s="905"/>
      <c r="K94" s="1534"/>
      <c r="L94" s="905"/>
      <c r="M94" s="1534"/>
      <c r="N94" s="905"/>
      <c r="O94" s="1534"/>
      <c r="P94" s="905"/>
      <c r="Q94" s="1534"/>
      <c r="R94" s="1531"/>
      <c r="S94" s="1542"/>
      <c r="T94" s="905"/>
      <c r="U94" s="1542"/>
      <c r="V94" s="905"/>
      <c r="W94" s="1534" t="str">
        <f t="shared" si="18"/>
        <v/>
      </c>
      <c r="X94" s="905"/>
      <c r="Y94" s="1534"/>
      <c r="Z94" s="252" t="str">
        <f t="shared" si="19"/>
        <v/>
      </c>
      <c r="AA94" s="1534"/>
      <c r="AB94" s="905"/>
      <c r="AC94" s="1973" t="str">
        <f t="shared" si="24"/>
        <v/>
      </c>
      <c r="AD94" s="905"/>
      <c r="AE94" s="1985" t="str">
        <f t="shared" si="25"/>
        <v/>
      </c>
      <c r="AF94" s="905"/>
      <c r="AG94" s="1543"/>
      <c r="AH94" s="1531"/>
      <c r="AI94" s="1534"/>
      <c r="AJ94" s="1531"/>
      <c r="AK94" s="1534"/>
      <c r="AL94" s="1531"/>
      <c r="AM94" s="1543"/>
      <c r="AN94" s="1531"/>
      <c r="AO94" s="1543"/>
      <c r="AP94" s="1531"/>
      <c r="AQ94" s="1534"/>
      <c r="AR94" s="1531"/>
      <c r="AS94" s="1534"/>
      <c r="AT94" s="1531"/>
      <c r="AU94" s="1534"/>
      <c r="AV94" s="1531"/>
      <c r="AW94" s="1534"/>
      <c r="AX94" s="1531"/>
      <c r="AY94" s="1534"/>
      <c r="AZ94" s="1531"/>
      <c r="BA94" s="1543"/>
      <c r="BB94" s="1531"/>
      <c r="BC94" s="1534"/>
      <c r="BD94" s="1531"/>
      <c r="BE94" s="1531"/>
      <c r="BF94" s="1531"/>
      <c r="BG94" s="1531"/>
      <c r="BH94" s="1531"/>
      <c r="BI94" s="1535"/>
      <c r="BJ94" s="1534"/>
      <c r="BK94" s="1535"/>
      <c r="BL94" s="1534"/>
      <c r="BM94" s="1535"/>
      <c r="BN94" s="1534"/>
      <c r="BO94" s="1535"/>
      <c r="BP94" s="1534"/>
      <c r="BQ94" s="1535"/>
      <c r="BR94" s="1534"/>
      <c r="BS94" s="1535"/>
      <c r="BT94" s="1534"/>
      <c r="BU94" s="1535"/>
      <c r="BV94" s="1534"/>
      <c r="BW94" s="1535"/>
      <c r="BX94" s="1534"/>
      <c r="BY94" s="1535"/>
      <c r="BZ94" s="1534"/>
      <c r="CA94" s="1535"/>
      <c r="CB94" s="1534"/>
      <c r="CC94" s="1535"/>
      <c r="CD94" s="1534"/>
      <c r="CE94" s="1534"/>
      <c r="CF94" s="1535"/>
      <c r="CG94" s="1534"/>
      <c r="CH94" s="1535"/>
      <c r="CI94" s="1534"/>
      <c r="CJ94" s="1535"/>
      <c r="CK94" s="1534"/>
      <c r="CL94" s="1535"/>
      <c r="CM94" s="1534"/>
      <c r="CN94" s="1535"/>
      <c r="CO94" s="1534"/>
      <c r="CP94" s="1535"/>
      <c r="CQ94" s="1534"/>
      <c r="CR94" s="1535"/>
      <c r="CS94" s="1534"/>
      <c r="CT94" s="1535"/>
      <c r="CU94" s="1535"/>
      <c r="CV94" s="1531"/>
      <c r="CW94" s="898" t="str">
        <f t="shared" si="20"/>
        <v/>
      </c>
      <c r="CX94" s="898" t="str">
        <f>IFERROR(IF(AND(S94="",S94&lt;&gt;""),1913,VLOOKUP(S94,Valid!$B$99:$J$120,9)),"")</f>
        <v/>
      </c>
      <c r="CY94" s="898" t="str">
        <f t="shared" ca="1" si="21"/>
        <v/>
      </c>
      <c r="CZ94" s="1547" t="str">
        <f t="shared" ca="1" si="26"/>
        <v/>
      </c>
      <c r="DA94" s="898"/>
      <c r="DB94" s="898" t="str">
        <f t="shared" si="22"/>
        <v/>
      </c>
      <c r="DC94" s="898" t="str">
        <f t="shared" si="23"/>
        <v/>
      </c>
      <c r="DD94" s="1539" t="str">
        <f>IFERROR(IF(AND(AM94="",C94&lt;&gt;""),Valid!$E$123,VLOOKUP(AM94,Valid!$B$123:$F$125,4,FALSE)),"")</f>
        <v/>
      </c>
      <c r="DE94" s="1539" t="str">
        <f>IFERROR(IF(AND(AM94="",C94&lt;&gt;""),Valid!$F$123,VLOOKUP(AM94,Valid!$B$123:$F$125,5,FALSE)),"")</f>
        <v/>
      </c>
      <c r="DF94" s="1539" t="str">
        <f>IFERROR(VLOOKUP('A-70 RevVehInv'!S94,Valid!$B$99:$I$120,7), "")</f>
        <v/>
      </c>
      <c r="DG94" s="1539" t="str">
        <f>IFERROR(VLOOKUP(S94,Valid!$B$99:$I$120,8), "")</f>
        <v/>
      </c>
      <c r="DH94" s="1531"/>
    </row>
    <row r="95" spans="1:112" s="930" customFormat="1" x14ac:dyDescent="0.2">
      <c r="A95" s="206">
        <v>42</v>
      </c>
      <c r="B95" s="1530">
        <v>42</v>
      </c>
      <c r="C95" s="933"/>
      <c r="D95" s="719" t="str">
        <f>IF(C93="","",IF((C95=""),"Enter RVI ID. then Fill in Columns "&amp;TEXT($I$2,0)&amp;" - "&amp;TEXT($BA$2,0)&amp;"       ",""))</f>
        <v/>
      </c>
      <c r="E95" s="1056" t="str">
        <f>IF(BH95="N/A","",BH95)</f>
        <v/>
      </c>
      <c r="F95" s="1536"/>
      <c r="G95" s="1536"/>
      <c r="H95" s="1536"/>
      <c r="I95" s="1023"/>
      <c r="J95" s="1536" t="str">
        <f>IF(E95&lt;&gt;"","Vehicles?    ","")</f>
        <v/>
      </c>
      <c r="K95" s="1023"/>
      <c r="L95" s="1536" t="str">
        <f>IF(E95&lt;&gt;"","Active Vehicles?     ","")</f>
        <v/>
      </c>
      <c r="M95" s="1023"/>
      <c r="N95" s="1536" t="str">
        <f>IF(E95&lt;&gt;"","ADA Vehicles?       ","")</f>
        <v/>
      </c>
      <c r="O95" s="1023"/>
      <c r="P95" s="1536" t="str">
        <f>IF(E95&lt;&gt;"","Cont. Vehicles?     ","")</f>
        <v/>
      </c>
      <c r="Q95" s="1024"/>
      <c r="R95" s="894"/>
      <c r="S95" s="1153"/>
      <c r="T95" s="252" t="str">
        <f>IF(E95&lt;&gt;"","Select from Pull-Down List    ","")</f>
        <v/>
      </c>
      <c r="U95" s="933"/>
      <c r="V95" s="252" t="str">
        <f>IF(E95&lt;&gt;"","Select from Pull-Down List    ","")</f>
        <v/>
      </c>
      <c r="W95" s="1766" t="str">
        <f t="shared" si="18"/>
        <v/>
      </c>
      <c r="X95" s="252"/>
      <c r="Y95" s="1988"/>
      <c r="Z95" s="252" t="str">
        <f t="shared" si="19"/>
        <v/>
      </c>
      <c r="AA95" s="139"/>
      <c r="AB95" s="252" t="str">
        <f>IF(E95&lt;&gt;"","Mfg. Yr?    ","")</f>
        <v/>
      </c>
      <c r="AC95" s="1974" t="str">
        <f t="shared" si="24"/>
        <v/>
      </c>
      <c r="AD95" s="252"/>
      <c r="AE95" s="1986" t="str">
        <f t="shared" si="25"/>
        <v/>
      </c>
      <c r="AF95" s="252"/>
      <c r="AG95" s="933"/>
      <c r="AH95" s="252" t="str">
        <f>IF(E95&lt;&gt;"","Select from Pull-Down List    ","")</f>
        <v/>
      </c>
      <c r="AI95" s="933"/>
      <c r="AJ95" s="252" t="str">
        <f>IF(E95&lt;&gt;"","Number?   ","")</f>
        <v/>
      </c>
      <c r="AK95" s="139"/>
      <c r="AL95" s="252" t="str">
        <f>IF(E95&lt;&gt;"","Last Rnwl. Yr?   ","")</f>
        <v/>
      </c>
      <c r="AM95" s="933"/>
      <c r="AN95" s="252" t="str">
        <f>IF(E95&lt;&gt;"","Select from Pull-Down List    ","")</f>
        <v/>
      </c>
      <c r="AO95" s="933"/>
      <c r="AP95" s="252" t="str">
        <f>IF(E95&lt;&gt;"","Select from Pull-Down List    ","")</f>
        <v/>
      </c>
      <c r="AQ95" s="1023"/>
      <c r="AR95" s="252" t="str">
        <f>IF(E95&lt;&gt;"","Feet?    ","")</f>
        <v/>
      </c>
      <c r="AS95" s="1023"/>
      <c r="AT95" s="252" t="str">
        <f>IF(E95&lt;&gt;"","Seats?    ","")</f>
        <v/>
      </c>
      <c r="AU95" s="1023"/>
      <c r="AV95" s="252" t="str">
        <f>IF(E95&lt;&gt;"","Standing?    ","")</f>
        <v/>
      </c>
      <c r="AW95" s="1023"/>
      <c r="AX95" s="252" t="str">
        <f>IF(E95&lt;&gt;"","Mileage?       ","")</f>
        <v/>
      </c>
      <c r="AY95" s="1023"/>
      <c r="AZ95" s="252" t="str">
        <f>IF(E95&lt;&gt;"","Avg. Lifetime Mileage? ","")</f>
        <v/>
      </c>
      <c r="BA95" s="933"/>
      <c r="BB95" s="252" t="str">
        <f>IF(E95&lt;&gt;"","Select from Pull-Down List    ","")</f>
        <v/>
      </c>
      <c r="BC95" s="171"/>
      <c r="BD95" s="252" t="str">
        <f>IF(OR(AO95="OR - Other fuel (describe in Notes)",AG95="ZZZ - Other (describe in Notes)"),"Describe                                                                                                     ","")</f>
        <v/>
      </c>
      <c r="BE95" s="894"/>
      <c r="BF95" s="894"/>
      <c r="BG95" s="894" t="b">
        <f>IF(AND(C95="",C97&lt;&gt;""),TRUE,FALSE)</f>
        <v>0</v>
      </c>
      <c r="BH95" s="888" t="str">
        <f>IF(AND(C95&lt;&gt;"",OR(I95="",K95="",M95="",O95="",S95="",U95="",AA95="",AG95="",AI95="",AO95="",AQ95="",AS95="",AU95="",AW95="",AY95="")),"No",IF(AND(C95="",OR(I95&lt;&gt;"",K95&lt;&gt;"",M95&lt;&gt;"",O95&lt;&gt;"",S95&lt;&gt;"",U95&lt;&gt;"",AA95&lt;&gt;"",AG95&lt;&gt;"",AI95&lt;&gt;"",AK95&lt;&gt;"",AM95&lt;&gt;"",AO95&lt;&gt;"",AQ95&lt;&gt;"",AS95&lt;&gt;"",AU95&lt;&gt;"",AW95&lt;&gt;"",AY95&lt;&gt;"",BA95&lt;&gt;"",BC95&lt;&gt;"")),"No",IF(AND(C95="",I95="",K95="",M95="",O95="",S95="",U95="",AA95="",AG95="",AI95="",AK95="",AM95="",AO95="",AQ95="",AS95="",AU95="",AW95="",AY95="",BA95=""),"N/A","Yes")))</f>
        <v>N/A</v>
      </c>
      <c r="BI95" s="898"/>
      <c r="BJ95" s="899" t="b">
        <f>IF(AND(OR(I95&lt;&gt;"",K95&lt;&gt;"",M95&lt;&gt;"",O95&lt;&gt;"",S95&lt;&gt;"",U95&lt;&gt;"",AA95&lt;&gt;"",AG95&lt;&gt;"",AI95&lt;&gt;"",AK95&lt;&gt;"",AM95&lt;&gt;"",AO95&lt;&gt;"",AQ95&lt;&gt;"",AS95&lt;&gt;"",AW95&lt;&gt;"",AY95&lt;&gt;"",BA95&lt;&gt;"",BC95&lt;&gt;""),C95=""),TRUE,FALSE)</f>
        <v>0</v>
      </c>
      <c r="BK95" s="898" t="b">
        <f>IF(BL95=TRUE,FALSE,IF(SUM(K95,O95)&gt;I95,TRUE,FALSE))</f>
        <v>0</v>
      </c>
      <c r="BL95" s="899" t="b">
        <f>IF(AND(C95&lt;&gt;"",I95=""),TRUE,FALSE)</f>
        <v>0</v>
      </c>
      <c r="BM95" s="898" t="b">
        <f>IF(BN95=TRUE,FALSE,IF(M95&gt;K95,TRUE,FALSE))</f>
        <v>0</v>
      </c>
      <c r="BN95" s="899" t="b">
        <f>IF(AND($C95&lt;&gt;"",K95=""),TRUE,FALSE)</f>
        <v>0</v>
      </c>
      <c r="BO95" s="898"/>
      <c r="BP95" s="899" t="b">
        <f>IF(AND($C95&lt;&gt;"",M95=""),TRUE,FALSE)</f>
        <v>0</v>
      </c>
      <c r="BQ95" s="898"/>
      <c r="BR95" s="899" t="b">
        <f>IF(AND($C95&lt;&gt;"",O95=""),TRUE,FALSE)</f>
        <v>0</v>
      </c>
      <c r="BS95" s="898" t="b">
        <f>IF(AND(S95="",OR(U95&lt;&gt;"",AA95&lt;&gt;"",AG95&lt;&gt;"",AI95&lt;&gt;"",AK95&lt;&gt;"",AM95&lt;&gt;"",AO95&lt;&gt;"",AQ95&lt;&gt;"",AS95&lt;&gt;"",AU95&lt;&gt;"",AW95&lt;&gt;"",AY95&lt;&gt;"",BA95&lt;&gt;"")),TRUE,FALSE)</f>
        <v>0</v>
      </c>
      <c r="BT95" s="899" t="b">
        <f>IF(AND($C95&lt;&gt;"",S95=""),TRUE,FALSE)</f>
        <v>0</v>
      </c>
      <c r="BU95" s="898"/>
      <c r="BV95" s="899" t="b">
        <f>IF(AND($C95&lt;&gt;"",U95=""),TRUE,FALSE)</f>
        <v>0</v>
      </c>
      <c r="BW95" s="1537" t="b">
        <f>IF(BX95=TRUE,FALSE,IF(AA95="",FALSE,IF(OR(AA95&lt;CX95,AA95&gt;BaseYear),TRUE,FALSE)))</f>
        <v>0</v>
      </c>
      <c r="BX95" s="899" t="b">
        <f>IF(AND($C95&lt;&gt;"",AA95=""),TRUE,FALSE)</f>
        <v>0</v>
      </c>
      <c r="BY95" s="898"/>
      <c r="BZ95" s="899" t="b">
        <f>IF(AND($C95&lt;&gt;"",AG95=""),TRUE,FALSE)</f>
        <v>0</v>
      </c>
      <c r="CA95" s="898"/>
      <c r="CB95" s="899" t="b">
        <f>IF(AND($C95&lt;&gt;"",AI95=""),TRUE,FALSE)</f>
        <v>0</v>
      </c>
      <c r="CC95" s="1537" t="b">
        <f>IF(AK95="",FALSE,IF(OR(AK95&lt;CX95,AK95&gt;BaseYear),TRUE,FALSE))</f>
        <v>0</v>
      </c>
      <c r="CD95" s="1538" t="b">
        <f>IF(AK95="",FALSE,IF(AK95&lt;AA95,TRUE,FALSE))</f>
        <v>0</v>
      </c>
      <c r="CE95" s="899" t="b">
        <f>IF(AND($AM95&lt;&gt;"",AK95=""),TRUE,FALSE)</f>
        <v>0</v>
      </c>
      <c r="CF95" s="898"/>
      <c r="CG95" s="899" t="b">
        <f>IF(AND($AK95&lt;&gt;"",AM95=""),TRUE,FALSE)</f>
        <v>0</v>
      </c>
      <c r="CH95" s="898"/>
      <c r="CI95" s="899" t="b">
        <f>IF(AND($C95&lt;&gt;"",AO95=""),TRUE,FALSE)</f>
        <v>0</v>
      </c>
      <c r="CJ95" s="1537"/>
      <c r="CK95" s="899" t="b">
        <f>IF(AND($C95&lt;&gt;"",AQ95=""),TRUE,FALSE)</f>
        <v>0</v>
      </c>
      <c r="CL95" s="898"/>
      <c r="CM95" s="899" t="b">
        <f>IF(AND($C95&lt;&gt;"",AS95=""),TRUE,FALSE)</f>
        <v>0</v>
      </c>
      <c r="CN95" s="898"/>
      <c r="CO95" s="899" t="b">
        <f>IF(AND($C95&lt;&gt;"",AU95=""),TRUE,FALSE)</f>
        <v>0</v>
      </c>
      <c r="CP95" s="898"/>
      <c r="CQ95" s="899" t="b">
        <f>IF(AND($C95&lt;&gt;"",AW95=""),TRUE,FALSE)</f>
        <v>0</v>
      </c>
      <c r="CR95" s="898"/>
      <c r="CS95" s="899" t="b">
        <f>IF(AND($C95&lt;&gt;"",AY95=""),TRUE,FALSE)</f>
        <v>0</v>
      </c>
      <c r="CT95" s="898"/>
      <c r="CU95" s="898" t="b">
        <f>IF(AND($C95&lt;&gt;"",BA95=""),TRUE,FALSE)</f>
        <v>0</v>
      </c>
      <c r="CV95" s="894"/>
      <c r="CW95" s="898" t="str">
        <f t="shared" si="20"/>
        <v/>
      </c>
      <c r="CX95" s="898" t="str">
        <f>IFERROR(IF(AND(S95="",S95&lt;&gt;""),1913,VLOOKUP(S95,Valid!$B$99:$J$120,9)),"")</f>
        <v/>
      </c>
      <c r="CY95" s="898" t="str">
        <f t="shared" ca="1" si="21"/>
        <v/>
      </c>
      <c r="CZ95" s="1547" t="str">
        <f t="shared" ca="1" si="26"/>
        <v/>
      </c>
      <c r="DA95" s="898" t="str">
        <f ca="1">IF(CZ95="", "", IF(1+(CZ95*4)&lt;1, 1, 1+(CZ95*4)))</f>
        <v/>
      </c>
      <c r="DB95" s="898" t="str">
        <f t="shared" si="22"/>
        <v/>
      </c>
      <c r="DC95" s="898" t="str">
        <f t="shared" si="23"/>
        <v/>
      </c>
      <c r="DD95" s="1539" t="str">
        <f>IFERROR(IF(AND(AM95="",C95&lt;&gt;""),Valid!$E$123,VLOOKUP(AM95,Valid!$B$123:$F$125,4,FALSE)),"")</f>
        <v/>
      </c>
      <c r="DE95" s="1539" t="str">
        <f>IFERROR(IF(AND(AM95="",C95&lt;&gt;""),Valid!$F$123,VLOOKUP(AM95,Valid!$B$123:$F$125,5,FALSE)),"")</f>
        <v/>
      </c>
      <c r="DF95" s="1539" t="str">
        <f>IFERROR(VLOOKUP('A-70 RevVehInv'!S95,Valid!$B$99:$I$120,7), "")</f>
        <v/>
      </c>
      <c r="DG95" s="1539" t="str">
        <f>IFERROR(VLOOKUP(S95,Valid!$B$99:$I$120,8), "")</f>
        <v/>
      </c>
      <c r="DH95" s="894"/>
    </row>
    <row r="96" spans="1:112" ht="6.75" customHeight="1" x14ac:dyDescent="0.2">
      <c r="A96" s="1516"/>
      <c r="B96" s="1530">
        <v>42.5</v>
      </c>
      <c r="C96" s="1544"/>
      <c r="D96" s="905"/>
      <c r="E96" s="1545"/>
      <c r="F96" s="905"/>
      <c r="G96" s="905"/>
      <c r="H96" s="905"/>
      <c r="I96" s="1531"/>
      <c r="J96" s="905"/>
      <c r="K96" s="1531"/>
      <c r="L96" s="905"/>
      <c r="M96" s="1531"/>
      <c r="N96" s="905"/>
      <c r="O96" s="1531"/>
      <c r="P96" s="905"/>
      <c r="Q96" s="1531"/>
      <c r="R96" s="1531"/>
      <c r="S96" s="1533"/>
      <c r="T96" s="905"/>
      <c r="U96" s="1533"/>
      <c r="V96" s="905"/>
      <c r="W96" s="1531" t="str">
        <f t="shared" si="18"/>
        <v/>
      </c>
      <c r="X96" s="905"/>
      <c r="Y96" s="1531"/>
      <c r="Z96" s="252" t="str">
        <f t="shared" si="19"/>
        <v/>
      </c>
      <c r="AA96" s="1531"/>
      <c r="AB96" s="905"/>
      <c r="AC96" s="1971" t="str">
        <f t="shared" si="24"/>
        <v/>
      </c>
      <c r="AD96" s="905"/>
      <c r="AE96" s="1983" t="str">
        <f t="shared" si="25"/>
        <v/>
      </c>
      <c r="AF96" s="905"/>
      <c r="AG96" s="1546"/>
      <c r="AH96" s="1531"/>
      <c r="AI96" s="1531"/>
      <c r="AJ96" s="1531"/>
      <c r="AK96" s="1531"/>
      <c r="AL96" s="1531"/>
      <c r="AM96" s="1546"/>
      <c r="AN96" s="1531"/>
      <c r="AO96" s="1546"/>
      <c r="AP96" s="1531"/>
      <c r="AQ96" s="1531"/>
      <c r="AR96" s="1531"/>
      <c r="AS96" s="1531"/>
      <c r="AT96" s="1531"/>
      <c r="AU96" s="1531"/>
      <c r="AV96" s="1531"/>
      <c r="AW96" s="1531"/>
      <c r="AX96" s="1531"/>
      <c r="AY96" s="1531"/>
      <c r="AZ96" s="1531"/>
      <c r="BA96" s="1546"/>
      <c r="BB96" s="1531"/>
      <c r="BC96" s="1531"/>
      <c r="BD96" s="1531"/>
      <c r="BE96" s="1531"/>
      <c r="BF96" s="1531"/>
      <c r="BG96" s="1531"/>
      <c r="BH96" s="1531"/>
      <c r="BI96" s="1535"/>
      <c r="BJ96" s="1534"/>
      <c r="BK96" s="1535"/>
      <c r="BL96" s="1534"/>
      <c r="BM96" s="1535"/>
      <c r="BN96" s="1534"/>
      <c r="BO96" s="1535"/>
      <c r="BP96" s="1534"/>
      <c r="BQ96" s="1535"/>
      <c r="BR96" s="1534"/>
      <c r="BS96" s="1535"/>
      <c r="BT96" s="1534"/>
      <c r="BU96" s="1535"/>
      <c r="BV96" s="1534"/>
      <c r="BW96" s="1535"/>
      <c r="BX96" s="1534"/>
      <c r="BY96" s="1535"/>
      <c r="BZ96" s="1534"/>
      <c r="CA96" s="1535"/>
      <c r="CB96" s="1534"/>
      <c r="CC96" s="1535"/>
      <c r="CD96" s="1534"/>
      <c r="CE96" s="1534"/>
      <c r="CF96" s="1535"/>
      <c r="CG96" s="1534"/>
      <c r="CH96" s="1535"/>
      <c r="CI96" s="1534"/>
      <c r="CJ96" s="1535"/>
      <c r="CK96" s="1534"/>
      <c r="CL96" s="1535"/>
      <c r="CM96" s="1534"/>
      <c r="CN96" s="1535"/>
      <c r="CO96" s="1534"/>
      <c r="CP96" s="1535"/>
      <c r="CQ96" s="1534"/>
      <c r="CR96" s="1535"/>
      <c r="CS96" s="1534"/>
      <c r="CT96" s="1535"/>
      <c r="CU96" s="1535"/>
      <c r="CV96" s="1531"/>
      <c r="CW96" s="898" t="str">
        <f t="shared" si="20"/>
        <v/>
      </c>
      <c r="CX96" s="898" t="str">
        <f>IFERROR(IF(AND(S96="",S96&lt;&gt;""),1913,VLOOKUP(S96,Valid!$B$99:$J$120,9)),"")</f>
        <v/>
      </c>
      <c r="CY96" s="898" t="str">
        <f t="shared" ca="1" si="21"/>
        <v/>
      </c>
      <c r="CZ96" s="1547" t="str">
        <f t="shared" ca="1" si="26"/>
        <v/>
      </c>
      <c r="DA96" s="898"/>
      <c r="DB96" s="898" t="str">
        <f t="shared" si="22"/>
        <v/>
      </c>
      <c r="DC96" s="898" t="str">
        <f t="shared" si="23"/>
        <v/>
      </c>
      <c r="DD96" s="1539" t="str">
        <f>IFERROR(IF(AND(AM96="",C96&lt;&gt;""),Valid!$E$123,VLOOKUP(AM96,Valid!$B$123:$F$125,4,FALSE)),"")</f>
        <v/>
      </c>
      <c r="DE96" s="1539" t="str">
        <f>IFERROR(IF(AND(AM96="",C96&lt;&gt;""),Valid!$F$123,VLOOKUP(AM96,Valid!$B$123:$F$125,5,FALSE)),"")</f>
        <v/>
      </c>
      <c r="DF96" s="1539" t="str">
        <f>IFERROR(VLOOKUP('A-70 RevVehInv'!S96,Valid!$B$99:$I$120,7), "")</f>
        <v/>
      </c>
      <c r="DG96" s="1539" t="str">
        <f>IFERROR(VLOOKUP(S96,Valid!$B$99:$I$120,8), "")</f>
        <v/>
      </c>
      <c r="DH96" s="1531"/>
    </row>
    <row r="97" spans="1:112" s="930" customFormat="1" x14ac:dyDescent="0.2">
      <c r="A97" s="206">
        <v>43</v>
      </c>
      <c r="B97" s="1530">
        <v>43</v>
      </c>
      <c r="C97" s="933"/>
      <c r="D97" s="719" t="str">
        <f>IF(C95="","",IF((C97=""),"Enter RVI ID. then Fill in Columns "&amp;TEXT($I$2,0)&amp;" - "&amp;TEXT($BA$2,0)&amp;"       ",""))</f>
        <v/>
      </c>
      <c r="E97" s="1056" t="str">
        <f>IF(BH97="N/A","",BH97)</f>
        <v/>
      </c>
      <c r="F97" s="1536"/>
      <c r="G97" s="1536"/>
      <c r="H97" s="1536"/>
      <c r="I97" s="1023"/>
      <c r="J97" s="1536" t="str">
        <f>IF(E97&lt;&gt;"","Vehicles?    ","")</f>
        <v/>
      </c>
      <c r="K97" s="1023"/>
      <c r="L97" s="1536" t="str">
        <f>IF(E97&lt;&gt;"","Active Vehicles?     ","")</f>
        <v/>
      </c>
      <c r="M97" s="1023"/>
      <c r="N97" s="1536" t="str">
        <f>IF(E97&lt;&gt;"","ADA Vehicles?       ","")</f>
        <v/>
      </c>
      <c r="O97" s="1023"/>
      <c r="P97" s="1536" t="str">
        <f>IF(E97&lt;&gt;"","Cont. Vehicles?     ","")</f>
        <v/>
      </c>
      <c r="Q97" s="1024"/>
      <c r="R97" s="894"/>
      <c r="S97" s="1153"/>
      <c r="T97" s="252" t="str">
        <f>IF(E97&lt;&gt;"","Select from Pull-Down List    ","")</f>
        <v/>
      </c>
      <c r="U97" s="933"/>
      <c r="V97" s="252" t="str">
        <f>IF(E97&lt;&gt;"","Select from Pull-Down List    ","")</f>
        <v/>
      </c>
      <c r="W97" s="1766" t="str">
        <f t="shared" si="18"/>
        <v/>
      </c>
      <c r="X97" s="252"/>
      <c r="Y97" s="1988"/>
      <c r="Z97" s="252" t="str">
        <f t="shared" si="19"/>
        <v/>
      </c>
      <c r="AA97" s="139"/>
      <c r="AB97" s="252" t="str">
        <f>IF(E97&lt;&gt;"","Mfg. Yr?    ","")</f>
        <v/>
      </c>
      <c r="AC97" s="1974" t="str">
        <f t="shared" si="24"/>
        <v/>
      </c>
      <c r="AD97" s="252"/>
      <c r="AE97" s="1986" t="str">
        <f t="shared" si="25"/>
        <v/>
      </c>
      <c r="AF97" s="252"/>
      <c r="AG97" s="933"/>
      <c r="AH97" s="252" t="str">
        <f>IF(E97&lt;&gt;"","Select from Pull-Down List    ","")</f>
        <v/>
      </c>
      <c r="AI97" s="933"/>
      <c r="AJ97" s="252" t="str">
        <f>IF(E97&lt;&gt;"","Number?   ","")</f>
        <v/>
      </c>
      <c r="AK97" s="139"/>
      <c r="AL97" s="252" t="str">
        <f>IF(E97&lt;&gt;"","Last Rnwl. Yr?   ","")</f>
        <v/>
      </c>
      <c r="AM97" s="933"/>
      <c r="AN97" s="252" t="str">
        <f>IF(E97&lt;&gt;"","Select from Pull-Down List    ","")</f>
        <v/>
      </c>
      <c r="AO97" s="933"/>
      <c r="AP97" s="252" t="str">
        <f>IF(E97&lt;&gt;"","Select from Pull-Down List    ","")</f>
        <v/>
      </c>
      <c r="AQ97" s="1023"/>
      <c r="AR97" s="252" t="str">
        <f>IF(E97&lt;&gt;"","Feet?    ","")</f>
        <v/>
      </c>
      <c r="AS97" s="1023"/>
      <c r="AT97" s="252" t="str">
        <f>IF(E97&lt;&gt;"","Seats?    ","")</f>
        <v/>
      </c>
      <c r="AU97" s="1023"/>
      <c r="AV97" s="252" t="str">
        <f>IF(E97&lt;&gt;"","Standing?    ","")</f>
        <v/>
      </c>
      <c r="AW97" s="1023"/>
      <c r="AX97" s="252" t="str">
        <f>IF(E97&lt;&gt;"","Mileage?       ","")</f>
        <v/>
      </c>
      <c r="AY97" s="1023"/>
      <c r="AZ97" s="252" t="str">
        <f>IF(E97&lt;&gt;"","Avg. Lifetime Mileage? ","")</f>
        <v/>
      </c>
      <c r="BA97" s="933"/>
      <c r="BB97" s="252" t="str">
        <f>IF(E97&lt;&gt;"","Select from Pull-Down List    ","")</f>
        <v/>
      </c>
      <c r="BC97" s="171"/>
      <c r="BD97" s="252" t="str">
        <f>IF(OR(AO97="OR - Other fuel (describe in Notes)",AG97="ZZZ - Other (describe in Notes)"),"Describe                                                                                                     ","")</f>
        <v/>
      </c>
      <c r="BE97" s="894"/>
      <c r="BF97" s="894"/>
      <c r="BG97" s="894" t="b">
        <f>IF(AND(C97="",C99&lt;&gt;""),TRUE,FALSE)</f>
        <v>0</v>
      </c>
      <c r="BH97" s="888" t="str">
        <f>IF(AND(C97&lt;&gt;"",OR(I97="",K97="",M97="",O97="",S97="",U97="",AA97="",AG97="",AI97="",AO97="",AQ97="",AS97="",AU97="",AW97="",AY97="")),"No",IF(AND(C97="",OR(I97&lt;&gt;"",K97&lt;&gt;"",M97&lt;&gt;"",O97&lt;&gt;"",S97&lt;&gt;"",U97&lt;&gt;"",AA97&lt;&gt;"",AG97&lt;&gt;"",AI97&lt;&gt;"",AK97&lt;&gt;"",AM97&lt;&gt;"",AO97&lt;&gt;"",AQ97&lt;&gt;"",AS97&lt;&gt;"",AU97&lt;&gt;"",AW97&lt;&gt;"",AY97&lt;&gt;"",BA97&lt;&gt;"",BC97&lt;&gt;"")),"No",IF(AND(C97="",I97="",K97="",M97="",O97="",S97="",U97="",AA97="",AG97="",AI97="",AK97="",AM97="",AO97="",AQ97="",AS97="",AU97="",AW97="",AY97="",BA97=""),"N/A","Yes")))</f>
        <v>N/A</v>
      </c>
      <c r="BI97" s="898"/>
      <c r="BJ97" s="899" t="b">
        <f>IF(AND(OR(I97&lt;&gt;"",K97&lt;&gt;"",M97&lt;&gt;"",O97&lt;&gt;"",S97&lt;&gt;"",U97&lt;&gt;"",AA97&lt;&gt;"",AG97&lt;&gt;"",AI97&lt;&gt;"",AK97&lt;&gt;"",AM97&lt;&gt;"",AO97&lt;&gt;"",AQ97&lt;&gt;"",AS97&lt;&gt;"",AW97&lt;&gt;"",AY97&lt;&gt;"",BA97&lt;&gt;"",BC97&lt;&gt;""),C97=""),TRUE,FALSE)</f>
        <v>0</v>
      </c>
      <c r="BK97" s="898" t="b">
        <f>IF(BL97=TRUE,FALSE,IF(SUM(K97,O97)&gt;I97,TRUE,FALSE))</f>
        <v>0</v>
      </c>
      <c r="BL97" s="899" t="b">
        <f>IF(AND(C97&lt;&gt;"",I97=""),TRUE,FALSE)</f>
        <v>0</v>
      </c>
      <c r="BM97" s="898" t="b">
        <f>IF(BN97=TRUE,FALSE,IF(M97&gt;K97,TRUE,FALSE))</f>
        <v>0</v>
      </c>
      <c r="BN97" s="899" t="b">
        <f>IF(AND($C97&lt;&gt;"",K97=""),TRUE,FALSE)</f>
        <v>0</v>
      </c>
      <c r="BO97" s="898"/>
      <c r="BP97" s="899" t="b">
        <f>IF(AND($C97&lt;&gt;"",M97=""),TRUE,FALSE)</f>
        <v>0</v>
      </c>
      <c r="BQ97" s="898"/>
      <c r="BR97" s="899" t="b">
        <f>IF(AND($C97&lt;&gt;"",O97=""),TRUE,FALSE)</f>
        <v>0</v>
      </c>
      <c r="BS97" s="898" t="b">
        <f>IF(AND(S97="",OR(U97&lt;&gt;"",AA97&lt;&gt;"",AG97&lt;&gt;"",AI97&lt;&gt;"",AK97&lt;&gt;"",AM97&lt;&gt;"",AO97&lt;&gt;"",AQ97&lt;&gt;"",AS97&lt;&gt;"",AU97&lt;&gt;"",AW97&lt;&gt;"",AY97&lt;&gt;"",BA97&lt;&gt;"")),TRUE,FALSE)</f>
        <v>0</v>
      </c>
      <c r="BT97" s="899" t="b">
        <f>IF(AND($C97&lt;&gt;"",S97=""),TRUE,FALSE)</f>
        <v>0</v>
      </c>
      <c r="BU97" s="898"/>
      <c r="BV97" s="899" t="b">
        <f>IF(AND($C97&lt;&gt;"",U97=""),TRUE,FALSE)</f>
        <v>0</v>
      </c>
      <c r="BW97" s="1537" t="b">
        <f>IF(BX97=TRUE,FALSE,IF(AA97="",FALSE,IF(OR(AA97&lt;CX97,AA97&gt;BaseYear),TRUE,FALSE)))</f>
        <v>0</v>
      </c>
      <c r="BX97" s="899" t="b">
        <f>IF(AND($C97&lt;&gt;"",AA97=""),TRUE,FALSE)</f>
        <v>0</v>
      </c>
      <c r="BY97" s="898"/>
      <c r="BZ97" s="899" t="b">
        <f>IF(AND($C97&lt;&gt;"",AG97=""),TRUE,FALSE)</f>
        <v>0</v>
      </c>
      <c r="CA97" s="898"/>
      <c r="CB97" s="899" t="b">
        <f>IF(AND($C97&lt;&gt;"",AI97=""),TRUE,FALSE)</f>
        <v>0</v>
      </c>
      <c r="CC97" s="1537" t="b">
        <f>IF(AK97="",FALSE,IF(OR(AK97&lt;CX97,AK97&gt;BaseYear),TRUE,FALSE))</f>
        <v>0</v>
      </c>
      <c r="CD97" s="1538" t="b">
        <f>IF(AK97="",FALSE,IF(AK97&lt;AA97,TRUE,FALSE))</f>
        <v>0</v>
      </c>
      <c r="CE97" s="899" t="b">
        <f>IF(AND($AM97&lt;&gt;"",AK97=""),TRUE,FALSE)</f>
        <v>0</v>
      </c>
      <c r="CF97" s="898"/>
      <c r="CG97" s="899" t="b">
        <f>IF(AND($AK97&lt;&gt;"",AM97=""),TRUE,FALSE)</f>
        <v>0</v>
      </c>
      <c r="CH97" s="898"/>
      <c r="CI97" s="899" t="b">
        <f>IF(AND($C97&lt;&gt;"",AO97=""),TRUE,FALSE)</f>
        <v>0</v>
      </c>
      <c r="CJ97" s="1537"/>
      <c r="CK97" s="899" t="b">
        <f>IF(AND($C97&lt;&gt;"",AQ97=""),TRUE,FALSE)</f>
        <v>0</v>
      </c>
      <c r="CL97" s="898"/>
      <c r="CM97" s="899" t="b">
        <f>IF(AND($C97&lt;&gt;"",AS97=""),TRUE,FALSE)</f>
        <v>0</v>
      </c>
      <c r="CN97" s="898"/>
      <c r="CO97" s="899" t="b">
        <f>IF(AND($C97&lt;&gt;"",AU97=""),TRUE,FALSE)</f>
        <v>0</v>
      </c>
      <c r="CP97" s="898"/>
      <c r="CQ97" s="899" t="b">
        <f>IF(AND($C97&lt;&gt;"",AW97=""),TRUE,FALSE)</f>
        <v>0</v>
      </c>
      <c r="CR97" s="898"/>
      <c r="CS97" s="899" t="b">
        <f>IF(AND($C97&lt;&gt;"",AY97=""),TRUE,FALSE)</f>
        <v>0</v>
      </c>
      <c r="CT97" s="898"/>
      <c r="CU97" s="898" t="b">
        <f>IF(AND($C97&lt;&gt;"",BA97=""),TRUE,FALSE)</f>
        <v>0</v>
      </c>
      <c r="CV97" s="894"/>
      <c r="CW97" s="898" t="str">
        <f t="shared" si="20"/>
        <v/>
      </c>
      <c r="CX97" s="898" t="str">
        <f>IFERROR(IF(AND(S97="",S97&lt;&gt;""),1913,VLOOKUP(S97,Valid!$B$99:$J$120,9)),"")</f>
        <v/>
      </c>
      <c r="CY97" s="898" t="str">
        <f t="shared" ca="1" si="21"/>
        <v/>
      </c>
      <c r="CZ97" s="1547" t="str">
        <f t="shared" ca="1" si="26"/>
        <v/>
      </c>
      <c r="DA97" s="898" t="str">
        <f ca="1">IF(CZ97="", "", IF(1+(CZ97*4)&lt;1, 1, 1+(CZ97*4)))</f>
        <v/>
      </c>
      <c r="DB97" s="898" t="str">
        <f t="shared" si="22"/>
        <v/>
      </c>
      <c r="DC97" s="898" t="str">
        <f t="shared" si="23"/>
        <v/>
      </c>
      <c r="DD97" s="1539" t="str">
        <f>IFERROR(IF(AND(AM97="",C97&lt;&gt;""),Valid!$E$123,VLOOKUP(AM97,Valid!$B$123:$F$125,4,FALSE)),"")</f>
        <v/>
      </c>
      <c r="DE97" s="1539" t="str">
        <f>IFERROR(IF(AND(AM97="",C97&lt;&gt;""),Valid!$F$123,VLOOKUP(AM97,Valid!$B$123:$F$125,5,FALSE)),"")</f>
        <v/>
      </c>
      <c r="DF97" s="1539" t="str">
        <f>IFERROR(VLOOKUP('A-70 RevVehInv'!S97,Valid!$B$99:$I$120,7), "")</f>
        <v/>
      </c>
      <c r="DG97" s="1539" t="str">
        <f>IFERROR(VLOOKUP(S97,Valid!$B$99:$I$120,8), "")</f>
        <v/>
      </c>
      <c r="DH97" s="894"/>
    </row>
    <row r="98" spans="1:112" ht="6.75" customHeight="1" x14ac:dyDescent="0.2">
      <c r="A98" s="1517"/>
      <c r="B98" s="1530">
        <v>43.5</v>
      </c>
      <c r="C98" s="1540"/>
      <c r="D98" s="905"/>
      <c r="E98" s="1541"/>
      <c r="F98" s="905"/>
      <c r="G98" s="905"/>
      <c r="H98" s="905"/>
      <c r="I98" s="1534"/>
      <c r="J98" s="905"/>
      <c r="K98" s="1534"/>
      <c r="L98" s="905"/>
      <c r="M98" s="1534"/>
      <c r="N98" s="905"/>
      <c r="O98" s="1534"/>
      <c r="P98" s="905"/>
      <c r="Q98" s="1534"/>
      <c r="R98" s="1531"/>
      <c r="S98" s="1542"/>
      <c r="T98" s="905"/>
      <c r="U98" s="1542"/>
      <c r="V98" s="905"/>
      <c r="W98" s="1534" t="str">
        <f t="shared" si="18"/>
        <v/>
      </c>
      <c r="X98" s="905"/>
      <c r="Y98" s="1534"/>
      <c r="Z98" s="252" t="str">
        <f t="shared" si="19"/>
        <v/>
      </c>
      <c r="AA98" s="1534"/>
      <c r="AB98" s="905"/>
      <c r="AC98" s="1973" t="str">
        <f t="shared" si="24"/>
        <v/>
      </c>
      <c r="AD98" s="905"/>
      <c r="AE98" s="1985" t="str">
        <f t="shared" si="25"/>
        <v/>
      </c>
      <c r="AF98" s="905"/>
      <c r="AG98" s="1543"/>
      <c r="AH98" s="1531"/>
      <c r="AI98" s="1534"/>
      <c r="AJ98" s="1531"/>
      <c r="AK98" s="1534"/>
      <c r="AL98" s="1531"/>
      <c r="AM98" s="1543"/>
      <c r="AN98" s="1531"/>
      <c r="AO98" s="1543"/>
      <c r="AP98" s="1531"/>
      <c r="AQ98" s="1534"/>
      <c r="AR98" s="1531"/>
      <c r="AS98" s="1534"/>
      <c r="AT98" s="1531"/>
      <c r="AU98" s="1534"/>
      <c r="AV98" s="1531"/>
      <c r="AW98" s="1534"/>
      <c r="AX98" s="1531"/>
      <c r="AY98" s="1534"/>
      <c r="AZ98" s="1531"/>
      <c r="BA98" s="1543"/>
      <c r="BB98" s="1531"/>
      <c r="BC98" s="1534"/>
      <c r="BD98" s="1531"/>
      <c r="BE98" s="1531"/>
      <c r="BF98" s="1531"/>
      <c r="BG98" s="1531"/>
      <c r="BH98" s="1531"/>
      <c r="BI98" s="1535"/>
      <c r="BJ98" s="1534"/>
      <c r="BK98" s="898"/>
      <c r="BL98" s="1534"/>
      <c r="BM98" s="1535"/>
      <c r="BN98" s="1534"/>
      <c r="BO98" s="1535"/>
      <c r="BP98" s="1534"/>
      <c r="BQ98" s="1535"/>
      <c r="BR98" s="1534"/>
      <c r="BS98" s="1535"/>
      <c r="BT98" s="1534"/>
      <c r="BU98" s="1535"/>
      <c r="BV98" s="1534"/>
      <c r="BW98" s="1535"/>
      <c r="BX98" s="1534"/>
      <c r="BY98" s="1535"/>
      <c r="BZ98" s="1534"/>
      <c r="CA98" s="1535"/>
      <c r="CB98" s="1534"/>
      <c r="CC98" s="1535"/>
      <c r="CD98" s="1534"/>
      <c r="CE98" s="1534"/>
      <c r="CF98" s="1535"/>
      <c r="CG98" s="1534"/>
      <c r="CH98" s="1535"/>
      <c r="CI98" s="1534"/>
      <c r="CJ98" s="1535"/>
      <c r="CK98" s="1534"/>
      <c r="CL98" s="1535"/>
      <c r="CM98" s="1534"/>
      <c r="CN98" s="1535"/>
      <c r="CO98" s="1534"/>
      <c r="CP98" s="1535"/>
      <c r="CQ98" s="1534"/>
      <c r="CR98" s="1535"/>
      <c r="CS98" s="1534"/>
      <c r="CT98" s="1535"/>
      <c r="CU98" s="1535"/>
      <c r="CV98" s="1531"/>
      <c r="CW98" s="898" t="str">
        <f t="shared" si="20"/>
        <v/>
      </c>
      <c r="CX98" s="898" t="str">
        <f>IFERROR(IF(AND(S98="",S98&lt;&gt;""),1913,VLOOKUP(S98,Valid!$B$99:$J$120,9)),"")</f>
        <v/>
      </c>
      <c r="CY98" s="898" t="str">
        <f t="shared" ca="1" si="21"/>
        <v/>
      </c>
      <c r="CZ98" s="1547" t="str">
        <f t="shared" ca="1" si="26"/>
        <v/>
      </c>
      <c r="DA98" s="898"/>
      <c r="DB98" s="898" t="str">
        <f t="shared" si="22"/>
        <v/>
      </c>
      <c r="DC98" s="898" t="str">
        <f t="shared" si="23"/>
        <v/>
      </c>
      <c r="DD98" s="1539" t="str">
        <f>IFERROR(IF(AND(AM98="",C98&lt;&gt;""),Valid!$E$123,VLOOKUP(AM98,Valid!$B$123:$F$125,4,FALSE)),"")</f>
        <v/>
      </c>
      <c r="DE98" s="1539" t="str">
        <f>IFERROR(IF(AND(AM98="",C98&lt;&gt;""),Valid!$F$123,VLOOKUP(AM98,Valid!$B$123:$F$125,5,FALSE)),"")</f>
        <v/>
      </c>
      <c r="DF98" s="1539" t="str">
        <f>IFERROR(VLOOKUP('A-70 RevVehInv'!S98,Valid!$B$99:$I$120,7), "")</f>
        <v/>
      </c>
      <c r="DG98" s="1539" t="str">
        <f>IFERROR(VLOOKUP(S98,Valid!$B$99:$I$120,8), "")</f>
        <v/>
      </c>
      <c r="DH98" s="1531"/>
    </row>
    <row r="99" spans="1:112" s="930" customFormat="1" x14ac:dyDescent="0.2">
      <c r="A99" s="206">
        <v>44</v>
      </c>
      <c r="B99" s="1530">
        <v>44</v>
      </c>
      <c r="C99" s="933"/>
      <c r="D99" s="719" t="str">
        <f>IF(C97="","",IF((C99=""),"Enter RVI ID. then Fill in Columns "&amp;TEXT($I$2,0)&amp;" - "&amp;TEXT($BA$2,0)&amp;"       ",""))</f>
        <v/>
      </c>
      <c r="E99" s="1056" t="str">
        <f>IF(BH99="N/A","",BH99)</f>
        <v/>
      </c>
      <c r="F99" s="1536"/>
      <c r="G99" s="1536"/>
      <c r="H99" s="1536"/>
      <c r="I99" s="1023"/>
      <c r="J99" s="1536" t="str">
        <f>IF(E99&lt;&gt;"","Vehicles?    ","")</f>
        <v/>
      </c>
      <c r="K99" s="1023"/>
      <c r="L99" s="1536" t="str">
        <f>IF(E99&lt;&gt;"","Active Vehicles?     ","")</f>
        <v/>
      </c>
      <c r="M99" s="1023"/>
      <c r="N99" s="1536" t="str">
        <f>IF(E99&lt;&gt;"","ADA Vehicles?       ","")</f>
        <v/>
      </c>
      <c r="O99" s="1023"/>
      <c r="P99" s="1536" t="str">
        <f>IF(E99&lt;&gt;"","Cont. Vehicles?     ","")</f>
        <v/>
      </c>
      <c r="Q99" s="1024"/>
      <c r="R99" s="894"/>
      <c r="S99" s="1153"/>
      <c r="T99" s="252" t="str">
        <f>IF(E99&lt;&gt;"","Select from Pull-Down List    ","")</f>
        <v/>
      </c>
      <c r="U99" s="933"/>
      <c r="V99" s="252" t="str">
        <f>IF(E99&lt;&gt;"","Select from Pull-Down List    ","")</f>
        <v/>
      </c>
      <c r="W99" s="1766" t="str">
        <f t="shared" si="18"/>
        <v/>
      </c>
      <c r="X99" s="252"/>
      <c r="Y99" s="1988"/>
      <c r="Z99" s="252" t="str">
        <f t="shared" si="19"/>
        <v/>
      </c>
      <c r="AA99" s="139"/>
      <c r="AB99" s="252" t="str">
        <f>IF(E99&lt;&gt;"","Mfg. Yr?    ","")</f>
        <v/>
      </c>
      <c r="AC99" s="1974" t="str">
        <f t="shared" si="24"/>
        <v/>
      </c>
      <c r="AD99" s="252"/>
      <c r="AE99" s="1986" t="str">
        <f t="shared" si="25"/>
        <v/>
      </c>
      <c r="AF99" s="252"/>
      <c r="AG99" s="933"/>
      <c r="AH99" s="252" t="str">
        <f>IF(E99&lt;&gt;"","Select from Pull-Down List    ","")</f>
        <v/>
      </c>
      <c r="AI99" s="933"/>
      <c r="AJ99" s="252" t="str">
        <f>IF(E99&lt;&gt;"","Number?   ","")</f>
        <v/>
      </c>
      <c r="AK99" s="139"/>
      <c r="AL99" s="252" t="str">
        <f>IF(E99&lt;&gt;"","Last Rnwl. Yr?   ","")</f>
        <v/>
      </c>
      <c r="AM99" s="933"/>
      <c r="AN99" s="252" t="str">
        <f>IF(E99&lt;&gt;"","Select from Pull-Down List    ","")</f>
        <v/>
      </c>
      <c r="AO99" s="933"/>
      <c r="AP99" s="252" t="str">
        <f>IF(E99&lt;&gt;"","Select from Pull-Down List    ","")</f>
        <v/>
      </c>
      <c r="AQ99" s="1023"/>
      <c r="AR99" s="252" t="str">
        <f>IF(E99&lt;&gt;"","Feet?    ","")</f>
        <v/>
      </c>
      <c r="AS99" s="1023"/>
      <c r="AT99" s="252" t="str">
        <f>IF(E99&lt;&gt;"","Seats?    ","")</f>
        <v/>
      </c>
      <c r="AU99" s="1023"/>
      <c r="AV99" s="252" t="str">
        <f>IF(E99&lt;&gt;"","Standing?    ","")</f>
        <v/>
      </c>
      <c r="AW99" s="1023"/>
      <c r="AX99" s="252" t="str">
        <f>IF(E99&lt;&gt;"","Mileage?       ","")</f>
        <v/>
      </c>
      <c r="AY99" s="1023"/>
      <c r="AZ99" s="252" t="str">
        <f>IF(E99&lt;&gt;"","Avg. Lifetime Mileage? ","")</f>
        <v/>
      </c>
      <c r="BA99" s="933"/>
      <c r="BB99" s="252" t="str">
        <f>IF(E99&lt;&gt;"","Select from Pull-Down List    ","")</f>
        <v/>
      </c>
      <c r="BC99" s="171"/>
      <c r="BD99" s="252" t="str">
        <f>IF(OR(AO99="OR - Other fuel (describe in Notes)",AG99="ZZZ - Other (describe in Notes)"),"Describe                                                                                                     ","")</f>
        <v/>
      </c>
      <c r="BE99" s="894"/>
      <c r="BF99" s="894"/>
      <c r="BG99" s="894" t="b">
        <f>IF(AND(C99="",C101&lt;&gt;""),TRUE,FALSE)</f>
        <v>0</v>
      </c>
      <c r="BH99" s="888" t="str">
        <f>IF(AND(C99&lt;&gt;"",OR(I99="",K99="",M99="",O99="",S99="",U99="",AA99="",AG99="",AI99="",AO99="",AQ99="",AS99="",AU99="",AW99="",AY99="")),"No",IF(AND(C99="",OR(I99&lt;&gt;"",K99&lt;&gt;"",M99&lt;&gt;"",O99&lt;&gt;"",S99&lt;&gt;"",U99&lt;&gt;"",AA99&lt;&gt;"",AG99&lt;&gt;"",AI99&lt;&gt;"",AK99&lt;&gt;"",AM99&lt;&gt;"",AO99&lt;&gt;"",AQ99&lt;&gt;"",AS99&lt;&gt;"",AU99&lt;&gt;"",AW99&lt;&gt;"",AY99&lt;&gt;"",BA99&lt;&gt;"",BC99&lt;&gt;"")),"No",IF(AND(C99="",I99="",K99="",M99="",O99="",S99="",U99="",AA99="",AG99="",AI99="",AK99="",AM99="",AO99="",AQ99="",AS99="",AU99="",AW99="",AY99="",BA99=""),"N/A","Yes")))</f>
        <v>N/A</v>
      </c>
      <c r="BI99" s="898"/>
      <c r="BJ99" s="899" t="b">
        <f>IF(AND(OR(I99&lt;&gt;"",K99&lt;&gt;"",M99&lt;&gt;"",O99&lt;&gt;"",S99&lt;&gt;"",U99&lt;&gt;"",AA99&lt;&gt;"",AG99&lt;&gt;"",AI99&lt;&gt;"",AK99&lt;&gt;"",AM99&lt;&gt;"",AO99&lt;&gt;"",AQ99&lt;&gt;"",AS99&lt;&gt;"",AW99&lt;&gt;"",AY99&lt;&gt;"",BA99&lt;&gt;"",BC99&lt;&gt;""),C99=""),TRUE,FALSE)</f>
        <v>0</v>
      </c>
      <c r="BK99" s="898" t="b">
        <f>IF(BL99=TRUE,FALSE,IF(SUM(K99,O99)&gt;I99,TRUE,FALSE))</f>
        <v>0</v>
      </c>
      <c r="BL99" s="899" t="b">
        <f>IF(AND(C99&lt;&gt;"",I99=""),TRUE,FALSE)</f>
        <v>0</v>
      </c>
      <c r="BM99" s="898" t="b">
        <f>IF(BN99=TRUE,FALSE,IF(M99&gt;K99,TRUE,FALSE))</f>
        <v>0</v>
      </c>
      <c r="BN99" s="899" t="b">
        <f>IF(AND($C99&lt;&gt;"",K99=""),TRUE,FALSE)</f>
        <v>0</v>
      </c>
      <c r="BO99" s="898"/>
      <c r="BP99" s="899" t="b">
        <f>IF(AND($C99&lt;&gt;"",M99=""),TRUE,FALSE)</f>
        <v>0</v>
      </c>
      <c r="BQ99" s="898"/>
      <c r="BR99" s="899" t="b">
        <f>IF(AND($C99&lt;&gt;"",O99=""),TRUE,FALSE)</f>
        <v>0</v>
      </c>
      <c r="BS99" s="898" t="b">
        <f>IF(AND(S99="",OR(U99&lt;&gt;"",AA99&lt;&gt;"",AG99&lt;&gt;"",AI99&lt;&gt;"",AK99&lt;&gt;"",AM99&lt;&gt;"",AO99&lt;&gt;"",AQ99&lt;&gt;"",AS99&lt;&gt;"",AU99&lt;&gt;"",AW99&lt;&gt;"",AY99&lt;&gt;"",BA99&lt;&gt;"")),TRUE,FALSE)</f>
        <v>0</v>
      </c>
      <c r="BT99" s="899" t="b">
        <f>IF(AND($C99&lt;&gt;"",S99=""),TRUE,FALSE)</f>
        <v>0</v>
      </c>
      <c r="BU99" s="898"/>
      <c r="BV99" s="899" t="b">
        <f>IF(AND($C99&lt;&gt;"",U99=""),TRUE,FALSE)</f>
        <v>0</v>
      </c>
      <c r="BW99" s="1537" t="b">
        <f>IF(BX99=TRUE,FALSE,IF(AA99="",FALSE,IF(OR(AA99&lt;CX99,AA99&gt;BaseYear),TRUE,FALSE)))</f>
        <v>0</v>
      </c>
      <c r="BX99" s="899" t="b">
        <f>IF(AND($C99&lt;&gt;"",AA99=""),TRUE,FALSE)</f>
        <v>0</v>
      </c>
      <c r="BY99" s="898"/>
      <c r="BZ99" s="899" t="b">
        <f>IF(AND($C99&lt;&gt;"",AG99=""),TRUE,FALSE)</f>
        <v>0</v>
      </c>
      <c r="CA99" s="898"/>
      <c r="CB99" s="899" t="b">
        <f>IF(AND($C99&lt;&gt;"",AI99=""),TRUE,FALSE)</f>
        <v>0</v>
      </c>
      <c r="CC99" s="1537" t="b">
        <f>IF(AK99="",FALSE,IF(OR(AK99&lt;CX99,AK99&gt;BaseYear),TRUE,FALSE))</f>
        <v>0</v>
      </c>
      <c r="CD99" s="1538" t="b">
        <f>IF(AK99="",FALSE,IF(AK99&lt;AA99,TRUE,FALSE))</f>
        <v>0</v>
      </c>
      <c r="CE99" s="899" t="b">
        <f>IF(AND($AM99&lt;&gt;"",AK99=""),TRUE,FALSE)</f>
        <v>0</v>
      </c>
      <c r="CF99" s="898"/>
      <c r="CG99" s="899" t="b">
        <f>IF(AND($AK99&lt;&gt;"",AM99=""),TRUE,FALSE)</f>
        <v>0</v>
      </c>
      <c r="CH99" s="898"/>
      <c r="CI99" s="899" t="b">
        <f>IF(AND($C99&lt;&gt;"",AO99=""),TRUE,FALSE)</f>
        <v>0</v>
      </c>
      <c r="CJ99" s="1537"/>
      <c r="CK99" s="899" t="b">
        <f>IF(AND($C99&lt;&gt;"",AQ99=""),TRUE,FALSE)</f>
        <v>0</v>
      </c>
      <c r="CL99" s="898"/>
      <c r="CM99" s="899" t="b">
        <f>IF(AND($C99&lt;&gt;"",AS99=""),TRUE,FALSE)</f>
        <v>0</v>
      </c>
      <c r="CN99" s="898"/>
      <c r="CO99" s="899" t="b">
        <f>IF(AND($C99&lt;&gt;"",AU99=""),TRUE,FALSE)</f>
        <v>0</v>
      </c>
      <c r="CP99" s="898"/>
      <c r="CQ99" s="899" t="b">
        <f>IF(AND($C99&lt;&gt;"",AW99=""),TRUE,FALSE)</f>
        <v>0</v>
      </c>
      <c r="CR99" s="898"/>
      <c r="CS99" s="899" t="b">
        <f>IF(AND($C99&lt;&gt;"",AY99=""),TRUE,FALSE)</f>
        <v>0</v>
      </c>
      <c r="CT99" s="898"/>
      <c r="CU99" s="898" t="b">
        <f>IF(AND($C99&lt;&gt;"",BA99=""),TRUE,FALSE)</f>
        <v>0</v>
      </c>
      <c r="CV99" s="894"/>
      <c r="CW99" s="898" t="str">
        <f t="shared" si="20"/>
        <v/>
      </c>
      <c r="CX99" s="898" t="str">
        <f>IFERROR(IF(AND(S99="",S99&lt;&gt;""),1913,VLOOKUP(S99,Valid!$B$99:$J$120,9)),"")</f>
        <v/>
      </c>
      <c r="CY99" s="898" t="str">
        <f t="shared" ca="1" si="21"/>
        <v/>
      </c>
      <c r="CZ99" s="1547" t="str">
        <f t="shared" ca="1" si="26"/>
        <v/>
      </c>
      <c r="DA99" s="898" t="str">
        <f ca="1">IF(CZ99="", "", IF(1+(CZ99*4)&lt;1, 1, 1+(CZ99*4)))</f>
        <v/>
      </c>
      <c r="DB99" s="898" t="str">
        <f t="shared" si="22"/>
        <v/>
      </c>
      <c r="DC99" s="898" t="str">
        <f t="shared" si="23"/>
        <v/>
      </c>
      <c r="DD99" s="1539" t="str">
        <f>IFERROR(IF(AND(AM99="",C99&lt;&gt;""),Valid!$E$123,VLOOKUP(AM99,Valid!$B$123:$F$125,4,FALSE)),"")</f>
        <v/>
      </c>
      <c r="DE99" s="1539" t="str">
        <f>IFERROR(IF(AND(AM99="",C99&lt;&gt;""),Valid!$F$123,VLOOKUP(AM99,Valid!$B$123:$F$125,5,FALSE)),"")</f>
        <v/>
      </c>
      <c r="DF99" s="1539" t="str">
        <f>IFERROR(VLOOKUP('A-70 RevVehInv'!S99,Valid!$B$99:$I$120,7), "")</f>
        <v/>
      </c>
      <c r="DG99" s="1539" t="str">
        <f>IFERROR(VLOOKUP(S99,Valid!$B$99:$I$120,8), "")</f>
        <v/>
      </c>
      <c r="DH99" s="894"/>
    </row>
    <row r="100" spans="1:112" ht="6.75" customHeight="1" x14ac:dyDescent="0.2">
      <c r="A100" s="1517"/>
      <c r="B100" s="1530">
        <v>44.5</v>
      </c>
      <c r="C100" s="1544"/>
      <c r="D100" s="905"/>
      <c r="E100" s="1545"/>
      <c r="F100" s="905"/>
      <c r="G100" s="905"/>
      <c r="H100" s="905"/>
      <c r="I100" s="1531"/>
      <c r="J100" s="905"/>
      <c r="K100" s="1531"/>
      <c r="L100" s="905"/>
      <c r="M100" s="1531"/>
      <c r="N100" s="905"/>
      <c r="O100" s="1531"/>
      <c r="P100" s="905"/>
      <c r="Q100" s="1531"/>
      <c r="R100" s="1531"/>
      <c r="S100" s="1533"/>
      <c r="T100" s="905"/>
      <c r="U100" s="1533"/>
      <c r="V100" s="905"/>
      <c r="W100" s="1531" t="str">
        <f t="shared" si="18"/>
        <v/>
      </c>
      <c r="X100" s="905"/>
      <c r="Y100" s="1531"/>
      <c r="Z100" s="252" t="str">
        <f t="shared" si="19"/>
        <v/>
      </c>
      <c r="AA100" s="1531"/>
      <c r="AB100" s="905"/>
      <c r="AC100" s="1971" t="str">
        <f t="shared" si="24"/>
        <v/>
      </c>
      <c r="AD100" s="905"/>
      <c r="AE100" s="1983" t="str">
        <f t="shared" si="25"/>
        <v/>
      </c>
      <c r="AF100" s="905"/>
      <c r="AG100" s="1546"/>
      <c r="AH100" s="1531"/>
      <c r="AI100" s="1531"/>
      <c r="AJ100" s="1531"/>
      <c r="AK100" s="1531"/>
      <c r="AL100" s="1531"/>
      <c r="AM100" s="1546"/>
      <c r="AN100" s="1531"/>
      <c r="AO100" s="1546"/>
      <c r="AP100" s="1531"/>
      <c r="AQ100" s="1531"/>
      <c r="AR100" s="1531"/>
      <c r="AS100" s="1531"/>
      <c r="AT100" s="1531"/>
      <c r="AU100" s="1531"/>
      <c r="AV100" s="1531"/>
      <c r="AW100" s="1531"/>
      <c r="AX100" s="1531"/>
      <c r="AY100" s="1531"/>
      <c r="AZ100" s="1531"/>
      <c r="BA100" s="1546"/>
      <c r="BB100" s="1531"/>
      <c r="BC100" s="1531"/>
      <c r="BD100" s="1531"/>
      <c r="BE100" s="1531"/>
      <c r="BF100" s="1531"/>
      <c r="BG100" s="1531"/>
      <c r="BH100" s="1531"/>
      <c r="BI100" s="1535"/>
      <c r="BJ100" s="1534"/>
      <c r="BK100" s="1535"/>
      <c r="BL100" s="1534"/>
      <c r="BM100" s="1535"/>
      <c r="BN100" s="1534"/>
      <c r="BO100" s="1535"/>
      <c r="BP100" s="1534"/>
      <c r="BQ100" s="1535"/>
      <c r="BR100" s="1534"/>
      <c r="BS100" s="1535"/>
      <c r="BT100" s="1534"/>
      <c r="BU100" s="1535"/>
      <c r="BV100" s="1534"/>
      <c r="BW100" s="1535"/>
      <c r="BX100" s="1534"/>
      <c r="BY100" s="1535"/>
      <c r="BZ100" s="1534"/>
      <c r="CA100" s="1535"/>
      <c r="CB100" s="1534"/>
      <c r="CC100" s="1535"/>
      <c r="CD100" s="1534"/>
      <c r="CE100" s="1534"/>
      <c r="CF100" s="1535"/>
      <c r="CG100" s="1534"/>
      <c r="CH100" s="1535"/>
      <c r="CI100" s="1534"/>
      <c r="CJ100" s="1535"/>
      <c r="CK100" s="1534"/>
      <c r="CL100" s="1535"/>
      <c r="CM100" s="1534"/>
      <c r="CN100" s="1535"/>
      <c r="CO100" s="1534"/>
      <c r="CP100" s="1535"/>
      <c r="CQ100" s="1534"/>
      <c r="CR100" s="1535"/>
      <c r="CS100" s="1534"/>
      <c r="CT100" s="1535"/>
      <c r="CU100" s="1535"/>
      <c r="CV100" s="1531"/>
      <c r="CW100" s="898" t="str">
        <f t="shared" si="20"/>
        <v/>
      </c>
      <c r="CX100" s="898" t="str">
        <f>IFERROR(IF(AND(S100="",S100&lt;&gt;""),1913,VLOOKUP(S100,Valid!$B$99:$J$120,9)),"")</f>
        <v/>
      </c>
      <c r="CY100" s="898" t="str">
        <f t="shared" ca="1" si="21"/>
        <v/>
      </c>
      <c r="CZ100" s="1547" t="str">
        <f t="shared" ca="1" si="26"/>
        <v/>
      </c>
      <c r="DA100" s="898"/>
      <c r="DB100" s="898" t="str">
        <f t="shared" si="22"/>
        <v/>
      </c>
      <c r="DC100" s="898" t="str">
        <f t="shared" si="23"/>
        <v/>
      </c>
      <c r="DD100" s="1539" t="str">
        <f>IFERROR(IF(AND(AM100="",C100&lt;&gt;""),Valid!$E$123,VLOOKUP(AM100,Valid!$B$123:$F$125,4,FALSE)),"")</f>
        <v/>
      </c>
      <c r="DE100" s="1539" t="str">
        <f>IFERROR(IF(AND(AM100="",C100&lt;&gt;""),Valid!$F$123,VLOOKUP(AM100,Valid!$B$123:$F$125,5,FALSE)),"")</f>
        <v/>
      </c>
      <c r="DF100" s="1539" t="str">
        <f>IFERROR(VLOOKUP('A-70 RevVehInv'!S100,Valid!$B$99:$I$120,7), "")</f>
        <v/>
      </c>
      <c r="DG100" s="1539" t="str">
        <f>IFERROR(VLOOKUP(S100,Valid!$B$99:$I$120,8), "")</f>
        <v/>
      </c>
      <c r="DH100" s="1531"/>
    </row>
    <row r="101" spans="1:112" s="930" customFormat="1" x14ac:dyDescent="0.2">
      <c r="A101" s="206">
        <v>45</v>
      </c>
      <c r="B101" s="1530">
        <v>45</v>
      </c>
      <c r="C101" s="933"/>
      <c r="D101" s="719" t="str">
        <f>IF(C99="","",IF((C101=""),"Enter RVI ID. then Fill in Columns "&amp;TEXT($I$2,0)&amp;" - "&amp;TEXT($BA$2,0)&amp;"       ",""))</f>
        <v/>
      </c>
      <c r="E101" s="1056" t="str">
        <f>IF(BH101="N/A","",BH101)</f>
        <v/>
      </c>
      <c r="F101" s="1536"/>
      <c r="G101" s="1536"/>
      <c r="H101" s="1536"/>
      <c r="I101" s="1023"/>
      <c r="J101" s="1536" t="str">
        <f>IF(E101&lt;&gt;"","Vehicles?    ","")</f>
        <v/>
      </c>
      <c r="K101" s="1023"/>
      <c r="L101" s="1536" t="str">
        <f>IF(E101&lt;&gt;"","Active Vehicles?     ","")</f>
        <v/>
      </c>
      <c r="M101" s="1023"/>
      <c r="N101" s="1536" t="str">
        <f>IF(E101&lt;&gt;"","ADA Vehicles?       ","")</f>
        <v/>
      </c>
      <c r="O101" s="1023"/>
      <c r="P101" s="1536" t="str">
        <f>IF(E101&lt;&gt;"","Cont. Vehicles?     ","")</f>
        <v/>
      </c>
      <c r="Q101" s="1024"/>
      <c r="R101" s="894"/>
      <c r="S101" s="1153"/>
      <c r="T101" s="252" t="str">
        <f>IF(E101&lt;&gt;"","Select from Pull-Down List    ","")</f>
        <v/>
      </c>
      <c r="U101" s="933"/>
      <c r="V101" s="252" t="str">
        <f>IF(E101&lt;&gt;"","Select from Pull-Down List    ","")</f>
        <v/>
      </c>
      <c r="W101" s="1766" t="str">
        <f t="shared" si="18"/>
        <v/>
      </c>
      <c r="X101" s="252"/>
      <c r="Y101" s="1988"/>
      <c r="Z101" s="252" t="str">
        <f t="shared" si="19"/>
        <v/>
      </c>
      <c r="AA101" s="139"/>
      <c r="AB101" s="252" t="str">
        <f>IF(E101&lt;&gt;"","Mfg. Yr?    ","")</f>
        <v/>
      </c>
      <c r="AC101" s="1974" t="str">
        <f t="shared" si="24"/>
        <v/>
      </c>
      <c r="AD101" s="252"/>
      <c r="AE101" s="1986" t="str">
        <f t="shared" si="25"/>
        <v/>
      </c>
      <c r="AF101" s="252"/>
      <c r="AG101" s="933"/>
      <c r="AH101" s="252" t="str">
        <f>IF(E101&lt;&gt;"","Select from Pull-Down List    ","")</f>
        <v/>
      </c>
      <c r="AI101" s="933"/>
      <c r="AJ101" s="252" t="str">
        <f>IF(E101&lt;&gt;"","Number?   ","")</f>
        <v/>
      </c>
      <c r="AK101" s="139"/>
      <c r="AL101" s="252" t="str">
        <f>IF(E101&lt;&gt;"","Last Rnwl. Yr?   ","")</f>
        <v/>
      </c>
      <c r="AM101" s="933"/>
      <c r="AN101" s="252" t="str">
        <f>IF(E101&lt;&gt;"","Select from Pull-Down List    ","")</f>
        <v/>
      </c>
      <c r="AO101" s="933"/>
      <c r="AP101" s="252" t="str">
        <f>IF(E101&lt;&gt;"","Select from Pull-Down List    ","")</f>
        <v/>
      </c>
      <c r="AQ101" s="1023"/>
      <c r="AR101" s="252" t="str">
        <f>IF(E101&lt;&gt;"","Feet?    ","")</f>
        <v/>
      </c>
      <c r="AS101" s="1023"/>
      <c r="AT101" s="252" t="str">
        <f>IF(E101&lt;&gt;"","Seats?    ","")</f>
        <v/>
      </c>
      <c r="AU101" s="1023"/>
      <c r="AV101" s="252" t="str">
        <f>IF(E101&lt;&gt;"","Standing?    ","")</f>
        <v/>
      </c>
      <c r="AW101" s="1023"/>
      <c r="AX101" s="252" t="str">
        <f>IF(E101&lt;&gt;"","Mileage?       ","")</f>
        <v/>
      </c>
      <c r="AY101" s="1023"/>
      <c r="AZ101" s="252" t="str">
        <f>IF(E101&lt;&gt;"","Avg. Lifetime Mileage? ","")</f>
        <v/>
      </c>
      <c r="BA101" s="933"/>
      <c r="BB101" s="252" t="str">
        <f>IF(E101&lt;&gt;"","Select from Pull-Down List    ","")</f>
        <v/>
      </c>
      <c r="BC101" s="171"/>
      <c r="BD101" s="252" t="str">
        <f>IF(OR(AO101="OR - Other fuel (describe in Notes)",AG101="ZZZ - Other (describe in Notes)"),"Describe                                                                                                     ","")</f>
        <v/>
      </c>
      <c r="BE101" s="894"/>
      <c r="BF101" s="894"/>
      <c r="BG101" s="894" t="b">
        <f>IF(AND(C101="",C103&lt;&gt;""),TRUE,FALSE)</f>
        <v>0</v>
      </c>
      <c r="BH101" s="888" t="str">
        <f>IF(AND(C101&lt;&gt;"",OR(I101="",K101="",M101="",O101="",S101="",U101="",AA101="",AG101="",AI101="",AO101="",AQ101="",AS101="",AU101="",AW101="",AY101="")),"No",IF(AND(C101="",OR(I101&lt;&gt;"",K101&lt;&gt;"",M101&lt;&gt;"",O101&lt;&gt;"",S101&lt;&gt;"",U101&lt;&gt;"",AA101&lt;&gt;"",AG101&lt;&gt;"",AI101&lt;&gt;"",AK101&lt;&gt;"",AM101&lt;&gt;"",AO101&lt;&gt;"",AQ101&lt;&gt;"",AS101&lt;&gt;"",AU101&lt;&gt;"",AW101&lt;&gt;"",AY101&lt;&gt;"",BA101&lt;&gt;"",BC101&lt;&gt;"")),"No",IF(AND(C101="",I101="",K101="",M101="",O101="",S101="",U101="",AA101="",AG101="",AI101="",AK101="",AM101="",AO101="",AQ101="",AS101="",AU101="",AW101="",AY101="",BA101=""),"N/A","Yes")))</f>
        <v>N/A</v>
      </c>
      <c r="BI101" s="898"/>
      <c r="BJ101" s="899" t="b">
        <f>IF(AND(OR(I101&lt;&gt;"",K101&lt;&gt;"",M101&lt;&gt;"",O101&lt;&gt;"",S101&lt;&gt;"",U101&lt;&gt;"",AA101&lt;&gt;"",AG101&lt;&gt;"",AI101&lt;&gt;"",AK101&lt;&gt;"",AM101&lt;&gt;"",AO101&lt;&gt;"",AQ101&lt;&gt;"",AS101&lt;&gt;"",AW101&lt;&gt;"",AY101&lt;&gt;"",BA101&lt;&gt;"",BC101&lt;&gt;""),C101=""),TRUE,FALSE)</f>
        <v>0</v>
      </c>
      <c r="BK101" s="898" t="b">
        <f>IF(BL101=TRUE,FALSE,IF(SUM(K101,O101)&gt;I101,TRUE,FALSE))</f>
        <v>0</v>
      </c>
      <c r="BL101" s="899" t="b">
        <f>IF(AND(C101&lt;&gt;"",I101=""),TRUE,FALSE)</f>
        <v>0</v>
      </c>
      <c r="BM101" s="898" t="b">
        <f>IF(BN101=TRUE,FALSE,IF(M101&gt;K101,TRUE,FALSE))</f>
        <v>0</v>
      </c>
      <c r="BN101" s="899" t="b">
        <f>IF(AND($C101&lt;&gt;"",K101=""),TRUE,FALSE)</f>
        <v>0</v>
      </c>
      <c r="BO101" s="898"/>
      <c r="BP101" s="899" t="b">
        <f>IF(AND($C101&lt;&gt;"",M101=""),TRUE,FALSE)</f>
        <v>0</v>
      </c>
      <c r="BQ101" s="898"/>
      <c r="BR101" s="899" t="b">
        <f>IF(AND($C101&lt;&gt;"",O101=""),TRUE,FALSE)</f>
        <v>0</v>
      </c>
      <c r="BS101" s="898" t="b">
        <f>IF(AND(S101="",OR(U101&lt;&gt;"",AA101&lt;&gt;"",AG101&lt;&gt;"",AI101&lt;&gt;"",AK101&lt;&gt;"",AM101&lt;&gt;"",AO101&lt;&gt;"",AQ101&lt;&gt;"",AS101&lt;&gt;"",AU101&lt;&gt;"",AW101&lt;&gt;"",AY101&lt;&gt;"",BA101&lt;&gt;"")),TRUE,FALSE)</f>
        <v>0</v>
      </c>
      <c r="BT101" s="899" t="b">
        <f>IF(AND($C101&lt;&gt;"",S101=""),TRUE,FALSE)</f>
        <v>0</v>
      </c>
      <c r="BU101" s="898"/>
      <c r="BV101" s="899" t="b">
        <f>IF(AND($C101&lt;&gt;"",U101=""),TRUE,FALSE)</f>
        <v>0</v>
      </c>
      <c r="BW101" s="1537" t="b">
        <f>IF(BX101=TRUE,FALSE,IF(AA101="",FALSE,IF(OR(AA101&lt;CX101,AA101&gt;BaseYear),TRUE,FALSE)))</f>
        <v>0</v>
      </c>
      <c r="BX101" s="899" t="b">
        <f>IF(AND($C101&lt;&gt;"",AA101=""),TRUE,FALSE)</f>
        <v>0</v>
      </c>
      <c r="BY101" s="898"/>
      <c r="BZ101" s="899" t="b">
        <f>IF(AND($C101&lt;&gt;"",AG101=""),TRUE,FALSE)</f>
        <v>0</v>
      </c>
      <c r="CA101" s="898"/>
      <c r="CB101" s="899" t="b">
        <f>IF(AND($C101&lt;&gt;"",AI101=""),TRUE,FALSE)</f>
        <v>0</v>
      </c>
      <c r="CC101" s="1537" t="b">
        <f>IF(AK101="",FALSE,IF(OR(AK101&lt;CX101,AK101&gt;BaseYear),TRUE,FALSE))</f>
        <v>0</v>
      </c>
      <c r="CD101" s="1538" t="b">
        <f>IF(AK101="",FALSE,IF(AK101&lt;AA101,TRUE,FALSE))</f>
        <v>0</v>
      </c>
      <c r="CE101" s="899" t="b">
        <f>IF(AND($AM101&lt;&gt;"",AK101=""),TRUE,FALSE)</f>
        <v>0</v>
      </c>
      <c r="CF101" s="898"/>
      <c r="CG101" s="899" t="b">
        <f>IF(AND($AK101&lt;&gt;"",AM101=""),TRUE,FALSE)</f>
        <v>0</v>
      </c>
      <c r="CH101" s="898"/>
      <c r="CI101" s="899" t="b">
        <f>IF(AND($C101&lt;&gt;"",AO101=""),TRUE,FALSE)</f>
        <v>0</v>
      </c>
      <c r="CJ101" s="1537"/>
      <c r="CK101" s="899" t="b">
        <f>IF(AND($C101&lt;&gt;"",AQ101=""),TRUE,FALSE)</f>
        <v>0</v>
      </c>
      <c r="CL101" s="898"/>
      <c r="CM101" s="899" t="b">
        <f>IF(AND($C101&lt;&gt;"",AS101=""),TRUE,FALSE)</f>
        <v>0</v>
      </c>
      <c r="CN101" s="898"/>
      <c r="CO101" s="899" t="b">
        <f>IF(AND($C101&lt;&gt;"",AU101=""),TRUE,FALSE)</f>
        <v>0</v>
      </c>
      <c r="CP101" s="898"/>
      <c r="CQ101" s="899" t="b">
        <f>IF(AND($C101&lt;&gt;"",AW101=""),TRUE,FALSE)</f>
        <v>0</v>
      </c>
      <c r="CR101" s="898"/>
      <c r="CS101" s="899" t="b">
        <f>IF(AND($C101&lt;&gt;"",AY101=""),TRUE,FALSE)</f>
        <v>0</v>
      </c>
      <c r="CT101" s="898"/>
      <c r="CU101" s="898" t="b">
        <f>IF(AND($C101&lt;&gt;"",BA101=""),TRUE,FALSE)</f>
        <v>0</v>
      </c>
      <c r="CV101" s="894"/>
      <c r="CW101" s="898" t="str">
        <f t="shared" si="20"/>
        <v/>
      </c>
      <c r="CX101" s="898" t="str">
        <f>IFERROR(IF(AND(S101="",S101&lt;&gt;""),1913,VLOOKUP(S101,Valid!$B$99:$J$120,9)),"")</f>
        <v/>
      </c>
      <c r="CY101" s="898" t="str">
        <f t="shared" ca="1" si="21"/>
        <v/>
      </c>
      <c r="CZ101" s="1547" t="str">
        <f t="shared" ca="1" si="26"/>
        <v/>
      </c>
      <c r="DA101" s="898" t="str">
        <f ca="1">IF(CZ101="", "", IF(1+(CZ101*4)&lt;1, 1, 1+(CZ101*4)))</f>
        <v/>
      </c>
      <c r="DB101" s="898" t="str">
        <f t="shared" si="22"/>
        <v/>
      </c>
      <c r="DC101" s="898" t="str">
        <f t="shared" si="23"/>
        <v/>
      </c>
      <c r="DD101" s="1539" t="str">
        <f>IFERROR(IF(AND(AM101="",C101&lt;&gt;""),Valid!$E$123,VLOOKUP(AM101,Valid!$B$123:$F$125,4,FALSE)),"")</f>
        <v/>
      </c>
      <c r="DE101" s="1539" t="str">
        <f>IFERROR(IF(AND(AM101="",C101&lt;&gt;""),Valid!$F$123,VLOOKUP(AM101,Valid!$B$123:$F$125,5,FALSE)),"")</f>
        <v/>
      </c>
      <c r="DF101" s="1539" t="str">
        <f>IFERROR(VLOOKUP('A-70 RevVehInv'!S101,Valid!$B$99:$I$120,7), "")</f>
        <v/>
      </c>
      <c r="DG101" s="1539" t="str">
        <f>IFERROR(VLOOKUP(S101,Valid!$B$99:$I$120,8), "")</f>
        <v/>
      </c>
      <c r="DH101" s="894"/>
    </row>
    <row r="102" spans="1:112" ht="6.75" customHeight="1" x14ac:dyDescent="0.2">
      <c r="A102" s="1517"/>
      <c r="B102" s="1530">
        <v>45.5</v>
      </c>
      <c r="C102" s="1540"/>
      <c r="D102" s="905"/>
      <c r="E102" s="1541"/>
      <c r="F102" s="905"/>
      <c r="G102" s="905"/>
      <c r="H102" s="905"/>
      <c r="I102" s="1534"/>
      <c r="J102" s="905"/>
      <c r="K102" s="1534"/>
      <c r="L102" s="905"/>
      <c r="M102" s="1534"/>
      <c r="N102" s="905"/>
      <c r="O102" s="1534"/>
      <c r="P102" s="905"/>
      <c r="Q102" s="1534"/>
      <c r="R102" s="1531"/>
      <c r="S102" s="1542"/>
      <c r="T102" s="905"/>
      <c r="U102" s="1542"/>
      <c r="V102" s="905"/>
      <c r="W102" s="1534" t="str">
        <f t="shared" si="18"/>
        <v/>
      </c>
      <c r="X102" s="905"/>
      <c r="Y102" s="1534"/>
      <c r="Z102" s="252" t="str">
        <f t="shared" si="19"/>
        <v/>
      </c>
      <c r="AA102" s="1534"/>
      <c r="AB102" s="905"/>
      <c r="AC102" s="1973" t="str">
        <f t="shared" si="24"/>
        <v/>
      </c>
      <c r="AD102" s="905"/>
      <c r="AE102" s="1985" t="str">
        <f t="shared" si="25"/>
        <v/>
      </c>
      <c r="AF102" s="905"/>
      <c r="AG102" s="1543"/>
      <c r="AH102" s="1531"/>
      <c r="AI102" s="1534"/>
      <c r="AJ102" s="1531"/>
      <c r="AK102" s="1534"/>
      <c r="AL102" s="1531"/>
      <c r="AM102" s="1543"/>
      <c r="AN102" s="1531"/>
      <c r="AO102" s="1543"/>
      <c r="AP102" s="1531"/>
      <c r="AQ102" s="1534"/>
      <c r="AR102" s="1531"/>
      <c r="AS102" s="1534"/>
      <c r="AT102" s="1531"/>
      <c r="AU102" s="1534"/>
      <c r="AV102" s="1531"/>
      <c r="AW102" s="1534"/>
      <c r="AX102" s="1531"/>
      <c r="AY102" s="1534"/>
      <c r="AZ102" s="1531"/>
      <c r="BA102" s="1543"/>
      <c r="BB102" s="1531"/>
      <c r="BC102" s="1534"/>
      <c r="BD102" s="1531"/>
      <c r="BE102" s="1531"/>
      <c r="BF102" s="1531"/>
      <c r="BG102" s="1531"/>
      <c r="BH102" s="1531"/>
      <c r="BI102" s="1535"/>
      <c r="BJ102" s="1534"/>
      <c r="BK102" s="1535"/>
      <c r="BL102" s="1534"/>
      <c r="BM102" s="1535"/>
      <c r="BN102" s="1534"/>
      <c r="BO102" s="1535"/>
      <c r="BP102" s="1534"/>
      <c r="BQ102" s="1535"/>
      <c r="BR102" s="1534"/>
      <c r="BS102" s="1535"/>
      <c r="BT102" s="1534"/>
      <c r="BU102" s="1535"/>
      <c r="BV102" s="1534"/>
      <c r="BW102" s="1535"/>
      <c r="BX102" s="1534"/>
      <c r="BY102" s="1535"/>
      <c r="BZ102" s="1534"/>
      <c r="CA102" s="1535"/>
      <c r="CB102" s="1534"/>
      <c r="CC102" s="1535"/>
      <c r="CD102" s="1534"/>
      <c r="CE102" s="1534"/>
      <c r="CF102" s="1535"/>
      <c r="CG102" s="1534"/>
      <c r="CH102" s="1535"/>
      <c r="CI102" s="1534"/>
      <c r="CJ102" s="1535"/>
      <c r="CK102" s="1534"/>
      <c r="CL102" s="1535"/>
      <c r="CM102" s="1534"/>
      <c r="CN102" s="1535"/>
      <c r="CO102" s="1534"/>
      <c r="CP102" s="1535"/>
      <c r="CQ102" s="1534"/>
      <c r="CR102" s="1535"/>
      <c r="CS102" s="1534"/>
      <c r="CT102" s="1535"/>
      <c r="CU102" s="1535"/>
      <c r="CV102" s="1531"/>
      <c r="CW102" s="898" t="str">
        <f t="shared" si="20"/>
        <v/>
      </c>
      <c r="CX102" s="898" t="str">
        <f>IFERROR(IF(AND(S102="",S102&lt;&gt;""),1913,VLOOKUP(S102,Valid!$B$99:$J$120,9)),"")</f>
        <v/>
      </c>
      <c r="CY102" s="898" t="str">
        <f t="shared" ca="1" si="21"/>
        <v/>
      </c>
      <c r="CZ102" s="1547" t="str">
        <f t="shared" ca="1" si="26"/>
        <v/>
      </c>
      <c r="DA102" s="898"/>
      <c r="DB102" s="898" t="str">
        <f t="shared" si="22"/>
        <v/>
      </c>
      <c r="DC102" s="898" t="str">
        <f t="shared" si="23"/>
        <v/>
      </c>
      <c r="DD102" s="1539" t="str">
        <f>IFERROR(IF(AND(AM102="",C102&lt;&gt;""),Valid!$E$123,VLOOKUP(AM102,Valid!$B$123:$F$125,4,FALSE)),"")</f>
        <v/>
      </c>
      <c r="DE102" s="1539" t="str">
        <f>IFERROR(IF(AND(AM102="",C102&lt;&gt;""),Valid!$F$123,VLOOKUP(AM102,Valid!$B$123:$F$125,5,FALSE)),"")</f>
        <v/>
      </c>
      <c r="DF102" s="1539" t="str">
        <f>IFERROR(VLOOKUP('A-70 RevVehInv'!S102,Valid!$B$99:$I$120,7), "")</f>
        <v/>
      </c>
      <c r="DG102" s="1539" t="str">
        <f>IFERROR(VLOOKUP(S102,Valid!$B$99:$I$120,8), "")</f>
        <v/>
      </c>
      <c r="DH102" s="1531"/>
    </row>
    <row r="103" spans="1:112" s="930" customFormat="1" x14ac:dyDescent="0.2">
      <c r="A103" s="206">
        <v>46</v>
      </c>
      <c r="B103" s="1530">
        <v>46</v>
      </c>
      <c r="C103" s="933"/>
      <c r="D103" s="719" t="str">
        <f>IF(C101="","",IF((C103=""),"Enter RVI ID. then Fill in Columns "&amp;TEXT($I$2,0)&amp;" - "&amp;TEXT($BA$2,0)&amp;"       ",""))</f>
        <v/>
      </c>
      <c r="E103" s="1056" t="str">
        <f>IF(BH103="N/A","",BH103)</f>
        <v/>
      </c>
      <c r="F103" s="1536"/>
      <c r="G103" s="1536"/>
      <c r="H103" s="1536"/>
      <c r="I103" s="1023"/>
      <c r="J103" s="1536" t="str">
        <f>IF(E103&lt;&gt;"","Vehicles?    ","")</f>
        <v/>
      </c>
      <c r="K103" s="1023"/>
      <c r="L103" s="1536" t="str">
        <f>IF(E103&lt;&gt;"","Active Vehicles?     ","")</f>
        <v/>
      </c>
      <c r="M103" s="1023"/>
      <c r="N103" s="1536" t="str">
        <f>IF(E103&lt;&gt;"","ADA Vehicles?       ","")</f>
        <v/>
      </c>
      <c r="O103" s="1023"/>
      <c r="P103" s="1536" t="str">
        <f>IF(E103&lt;&gt;"","Cont. Vehicles?     ","")</f>
        <v/>
      </c>
      <c r="Q103" s="1024"/>
      <c r="R103" s="894"/>
      <c r="S103" s="1153"/>
      <c r="T103" s="252" t="str">
        <f>IF(E103&lt;&gt;"","Select from Pull-Down List    ","")</f>
        <v/>
      </c>
      <c r="U103" s="933"/>
      <c r="V103" s="252" t="str">
        <f>IF(E103&lt;&gt;"","Select from Pull-Down List    ","")</f>
        <v/>
      </c>
      <c r="W103" s="1766" t="str">
        <f t="shared" si="18"/>
        <v/>
      </c>
      <c r="X103" s="252"/>
      <c r="Y103" s="1988"/>
      <c r="Z103" s="252" t="str">
        <f t="shared" si="19"/>
        <v/>
      </c>
      <c r="AA103" s="139"/>
      <c r="AB103" s="252" t="str">
        <f>IF(E103&lt;&gt;"","Mfg. Yr?    ","")</f>
        <v/>
      </c>
      <c r="AC103" s="1974" t="str">
        <f t="shared" si="24"/>
        <v/>
      </c>
      <c r="AD103" s="252"/>
      <c r="AE103" s="1986" t="str">
        <f t="shared" si="25"/>
        <v/>
      </c>
      <c r="AF103" s="252"/>
      <c r="AG103" s="933"/>
      <c r="AH103" s="252" t="str">
        <f>IF(E103&lt;&gt;"","Select from Pull-Down List    ","")</f>
        <v/>
      </c>
      <c r="AI103" s="933"/>
      <c r="AJ103" s="252" t="str">
        <f>IF(E103&lt;&gt;"","Number?   ","")</f>
        <v/>
      </c>
      <c r="AK103" s="139"/>
      <c r="AL103" s="252" t="str">
        <f>IF(E103&lt;&gt;"","Last Rnwl. Yr?   ","")</f>
        <v/>
      </c>
      <c r="AM103" s="933"/>
      <c r="AN103" s="252" t="str">
        <f>IF(E103&lt;&gt;"","Select from Pull-Down List    ","")</f>
        <v/>
      </c>
      <c r="AO103" s="933"/>
      <c r="AP103" s="252" t="str">
        <f>IF(E103&lt;&gt;"","Select from Pull-Down List    ","")</f>
        <v/>
      </c>
      <c r="AQ103" s="1023"/>
      <c r="AR103" s="252" t="str">
        <f>IF(E103&lt;&gt;"","Feet?    ","")</f>
        <v/>
      </c>
      <c r="AS103" s="1023"/>
      <c r="AT103" s="252" t="str">
        <f>IF(E103&lt;&gt;"","Seats?    ","")</f>
        <v/>
      </c>
      <c r="AU103" s="1023"/>
      <c r="AV103" s="252" t="str">
        <f>IF(E103&lt;&gt;"","Standing?    ","")</f>
        <v/>
      </c>
      <c r="AW103" s="1023"/>
      <c r="AX103" s="252" t="str">
        <f>IF(E103&lt;&gt;"","Mileage?       ","")</f>
        <v/>
      </c>
      <c r="AY103" s="1023"/>
      <c r="AZ103" s="252" t="str">
        <f>IF(E103&lt;&gt;"","Avg. Lifetime Mileage? ","")</f>
        <v/>
      </c>
      <c r="BA103" s="933"/>
      <c r="BB103" s="252" t="str">
        <f>IF(E103&lt;&gt;"","Select from Pull-Down List    ","")</f>
        <v/>
      </c>
      <c r="BC103" s="171"/>
      <c r="BD103" s="252" t="str">
        <f>IF(OR(AO103="OR - Other fuel (describe in Notes)",AG103="ZZZ - Other (describe in Notes)"),"Describe                                                                                                     ","")</f>
        <v/>
      </c>
      <c r="BE103" s="894"/>
      <c r="BF103" s="894"/>
      <c r="BG103" s="894" t="b">
        <f>IF(AND(C103="",C105&lt;&gt;""),TRUE,FALSE)</f>
        <v>0</v>
      </c>
      <c r="BH103" s="888" t="str">
        <f>IF(AND(C103&lt;&gt;"",OR(I103="",K103="",M103="",O103="",S103="",U103="",AA103="",AG103="",AI103="",AO103="",AQ103="",AS103="",AU103="",AW103="",AY103="")),"No",IF(AND(C103="",OR(I103&lt;&gt;"",K103&lt;&gt;"",M103&lt;&gt;"",O103&lt;&gt;"",S103&lt;&gt;"",U103&lt;&gt;"",AA103&lt;&gt;"",AG103&lt;&gt;"",AI103&lt;&gt;"",AK103&lt;&gt;"",AM103&lt;&gt;"",AO103&lt;&gt;"",AQ103&lt;&gt;"",AS103&lt;&gt;"",AU103&lt;&gt;"",AW103&lt;&gt;"",AY103&lt;&gt;"",BA103&lt;&gt;"",BC103&lt;&gt;"")),"No",IF(AND(C103="",I103="",K103="",M103="",O103="",S103="",U103="",AA103="",AG103="",AI103="",AK103="",AM103="",AO103="",AQ103="",AS103="",AU103="",AW103="",AY103="",BA103=""),"N/A","Yes")))</f>
        <v>N/A</v>
      </c>
      <c r="BI103" s="898"/>
      <c r="BJ103" s="899" t="b">
        <f>IF(AND(OR(I103&lt;&gt;"",K103&lt;&gt;"",M103&lt;&gt;"",O103&lt;&gt;"",S103&lt;&gt;"",U103&lt;&gt;"",AA103&lt;&gt;"",AG103&lt;&gt;"",AI103&lt;&gt;"",AK103&lt;&gt;"",AM103&lt;&gt;"",AO103&lt;&gt;"",AQ103&lt;&gt;"",AS103&lt;&gt;"",AW103&lt;&gt;"",AY103&lt;&gt;"",BA103&lt;&gt;"",BC103&lt;&gt;""),C103=""),TRUE,FALSE)</f>
        <v>0</v>
      </c>
      <c r="BK103" s="898" t="b">
        <f>IF(BL103=TRUE,FALSE,IF(SUM(K103,O103)&gt;I103,TRUE,FALSE))</f>
        <v>0</v>
      </c>
      <c r="BL103" s="899" t="b">
        <f>IF(AND(C103&lt;&gt;"",I103=""),TRUE,FALSE)</f>
        <v>0</v>
      </c>
      <c r="BM103" s="898" t="b">
        <f>IF(BN103=TRUE,FALSE,IF(M103&gt;K103,TRUE,FALSE))</f>
        <v>0</v>
      </c>
      <c r="BN103" s="899" t="b">
        <f>IF(AND($C103&lt;&gt;"",K103=""),TRUE,FALSE)</f>
        <v>0</v>
      </c>
      <c r="BO103" s="898"/>
      <c r="BP103" s="899" t="b">
        <f>IF(AND($C103&lt;&gt;"",M103=""),TRUE,FALSE)</f>
        <v>0</v>
      </c>
      <c r="BQ103" s="898"/>
      <c r="BR103" s="899" t="b">
        <f>IF(AND($C103&lt;&gt;"",O103=""),TRUE,FALSE)</f>
        <v>0</v>
      </c>
      <c r="BS103" s="898" t="b">
        <f>IF(AND(S103="",OR(U103&lt;&gt;"",AA103&lt;&gt;"",AG103&lt;&gt;"",AI103&lt;&gt;"",AK103&lt;&gt;"",AM103&lt;&gt;"",AO103&lt;&gt;"",AQ103&lt;&gt;"",AS103&lt;&gt;"",AU103&lt;&gt;"",AW103&lt;&gt;"",AY103&lt;&gt;"",BA103&lt;&gt;"")),TRUE,FALSE)</f>
        <v>0</v>
      </c>
      <c r="BT103" s="899" t="b">
        <f>IF(AND($C103&lt;&gt;"",S103=""),TRUE,FALSE)</f>
        <v>0</v>
      </c>
      <c r="BU103" s="898"/>
      <c r="BV103" s="899" t="b">
        <f>IF(AND($C103&lt;&gt;"",U103=""),TRUE,FALSE)</f>
        <v>0</v>
      </c>
      <c r="BW103" s="1537" t="b">
        <f>IF(BX103=TRUE,FALSE,IF(AA103="",FALSE,IF(OR(AA103&lt;CX103,AA103&gt;BaseYear),TRUE,FALSE)))</f>
        <v>0</v>
      </c>
      <c r="BX103" s="899" t="b">
        <f>IF(AND($C103&lt;&gt;"",AA103=""),TRUE,FALSE)</f>
        <v>0</v>
      </c>
      <c r="BY103" s="898"/>
      <c r="BZ103" s="899" t="b">
        <f>IF(AND($C103&lt;&gt;"",AG103=""),TRUE,FALSE)</f>
        <v>0</v>
      </c>
      <c r="CA103" s="898"/>
      <c r="CB103" s="899" t="b">
        <f>IF(AND($C103&lt;&gt;"",AI103=""),TRUE,FALSE)</f>
        <v>0</v>
      </c>
      <c r="CC103" s="1537" t="b">
        <f>IF(AK103="",FALSE,IF(OR(AK103&lt;CX103,AK103&gt;BaseYear),TRUE,FALSE))</f>
        <v>0</v>
      </c>
      <c r="CD103" s="1538" t="b">
        <f>IF(AK103="",FALSE,IF(AK103&lt;AA103,TRUE,FALSE))</f>
        <v>0</v>
      </c>
      <c r="CE103" s="899" t="b">
        <f>IF(AND($AM103&lt;&gt;"",AK103=""),TRUE,FALSE)</f>
        <v>0</v>
      </c>
      <c r="CF103" s="898"/>
      <c r="CG103" s="899" t="b">
        <f>IF(AND($AK103&lt;&gt;"",AM103=""),TRUE,FALSE)</f>
        <v>0</v>
      </c>
      <c r="CH103" s="898"/>
      <c r="CI103" s="899" t="b">
        <f>IF(AND($C103&lt;&gt;"",AO103=""),TRUE,FALSE)</f>
        <v>0</v>
      </c>
      <c r="CJ103" s="1537"/>
      <c r="CK103" s="899" t="b">
        <f>IF(AND($C103&lt;&gt;"",AQ103=""),TRUE,FALSE)</f>
        <v>0</v>
      </c>
      <c r="CL103" s="898"/>
      <c r="CM103" s="899" t="b">
        <f>IF(AND($C103&lt;&gt;"",AS103=""),TRUE,FALSE)</f>
        <v>0</v>
      </c>
      <c r="CN103" s="898"/>
      <c r="CO103" s="899" t="b">
        <f>IF(AND($C103&lt;&gt;"",AU103=""),TRUE,FALSE)</f>
        <v>0</v>
      </c>
      <c r="CP103" s="898"/>
      <c r="CQ103" s="899" t="b">
        <f>IF(AND($C103&lt;&gt;"",AW103=""),TRUE,FALSE)</f>
        <v>0</v>
      </c>
      <c r="CR103" s="898"/>
      <c r="CS103" s="899" t="b">
        <f>IF(AND($C103&lt;&gt;"",AY103=""),TRUE,FALSE)</f>
        <v>0</v>
      </c>
      <c r="CT103" s="898"/>
      <c r="CU103" s="898" t="b">
        <f>IF(AND($C103&lt;&gt;"",BA103=""),TRUE,FALSE)</f>
        <v>0</v>
      </c>
      <c r="CV103" s="894"/>
      <c r="CW103" s="898" t="str">
        <f t="shared" si="20"/>
        <v/>
      </c>
      <c r="CX103" s="898" t="str">
        <f>IFERROR(IF(AND(S103="",S103&lt;&gt;""),1913,VLOOKUP(S103,Valid!$B$99:$J$120,9)),"")</f>
        <v/>
      </c>
      <c r="CY103" s="898" t="str">
        <f t="shared" ca="1" si="21"/>
        <v/>
      </c>
      <c r="CZ103" s="1547" t="str">
        <f t="shared" ca="1" si="26"/>
        <v/>
      </c>
      <c r="DA103" s="898" t="str">
        <f ca="1">IF(CZ103="", "", IF(1+(CZ103*4)&lt;1, 1, 1+(CZ103*4)))</f>
        <v/>
      </c>
      <c r="DB103" s="898" t="str">
        <f t="shared" si="22"/>
        <v/>
      </c>
      <c r="DC103" s="898" t="str">
        <f t="shared" si="23"/>
        <v/>
      </c>
      <c r="DD103" s="1539" t="str">
        <f>IFERROR(IF(AND(AM103="",C103&lt;&gt;""),Valid!$E$123,VLOOKUP(AM103,Valid!$B$123:$F$125,4,FALSE)),"")</f>
        <v/>
      </c>
      <c r="DE103" s="1539" t="str">
        <f>IFERROR(IF(AND(AM103="",C103&lt;&gt;""),Valid!$F$123,VLOOKUP(AM103,Valid!$B$123:$F$125,5,FALSE)),"")</f>
        <v/>
      </c>
      <c r="DF103" s="1539" t="str">
        <f>IFERROR(VLOOKUP('A-70 RevVehInv'!S103,Valid!$B$99:$I$120,7), "")</f>
        <v/>
      </c>
      <c r="DG103" s="1539" t="str">
        <f>IFERROR(VLOOKUP(S103,Valid!$B$99:$I$120,8), "")</f>
        <v/>
      </c>
      <c r="DH103" s="894"/>
    </row>
    <row r="104" spans="1:112" ht="6.75" customHeight="1" x14ac:dyDescent="0.2">
      <c r="A104" s="1517"/>
      <c r="B104" s="1530">
        <v>46.5</v>
      </c>
      <c r="C104" s="1544"/>
      <c r="D104" s="905"/>
      <c r="E104" s="1545"/>
      <c r="F104" s="905"/>
      <c r="G104" s="905"/>
      <c r="H104" s="905"/>
      <c r="I104" s="1531"/>
      <c r="J104" s="905"/>
      <c r="K104" s="1531"/>
      <c r="L104" s="905"/>
      <c r="M104" s="1531"/>
      <c r="N104" s="905"/>
      <c r="O104" s="1531"/>
      <c r="P104" s="905"/>
      <c r="Q104" s="1531"/>
      <c r="R104" s="1531"/>
      <c r="S104" s="1533"/>
      <c r="T104" s="905"/>
      <c r="U104" s="1533"/>
      <c r="V104" s="905"/>
      <c r="W104" s="1531" t="str">
        <f t="shared" si="18"/>
        <v/>
      </c>
      <c r="X104" s="905"/>
      <c r="Y104" s="1531"/>
      <c r="Z104" s="252" t="str">
        <f t="shared" si="19"/>
        <v/>
      </c>
      <c r="AA104" s="1531"/>
      <c r="AB104" s="905"/>
      <c r="AC104" s="1971" t="str">
        <f t="shared" si="24"/>
        <v/>
      </c>
      <c r="AD104" s="905"/>
      <c r="AE104" s="1983" t="str">
        <f t="shared" si="25"/>
        <v/>
      </c>
      <c r="AF104" s="905"/>
      <c r="AG104" s="1546"/>
      <c r="AH104" s="1531"/>
      <c r="AI104" s="1531"/>
      <c r="AJ104" s="1531"/>
      <c r="AK104" s="1531"/>
      <c r="AL104" s="1531"/>
      <c r="AM104" s="1546"/>
      <c r="AN104" s="1531"/>
      <c r="AO104" s="1546"/>
      <c r="AP104" s="1531"/>
      <c r="AQ104" s="1531"/>
      <c r="AR104" s="1531"/>
      <c r="AS104" s="1531"/>
      <c r="AT104" s="1531"/>
      <c r="AU104" s="1531"/>
      <c r="AV104" s="1531"/>
      <c r="AW104" s="1531"/>
      <c r="AX104" s="1531"/>
      <c r="AY104" s="1531"/>
      <c r="AZ104" s="1531"/>
      <c r="BA104" s="1546"/>
      <c r="BB104" s="1531"/>
      <c r="BC104" s="1531"/>
      <c r="BD104" s="1531"/>
      <c r="BE104" s="1531"/>
      <c r="BF104" s="1531"/>
      <c r="BG104" s="1531"/>
      <c r="BH104" s="1531"/>
      <c r="BI104" s="1535"/>
      <c r="BJ104" s="1534"/>
      <c r="BK104" s="1535"/>
      <c r="BL104" s="1534"/>
      <c r="BM104" s="1535"/>
      <c r="BN104" s="1534"/>
      <c r="BO104" s="1535"/>
      <c r="BP104" s="1534"/>
      <c r="BQ104" s="1535"/>
      <c r="BR104" s="1534"/>
      <c r="BS104" s="1535"/>
      <c r="BT104" s="1534"/>
      <c r="BU104" s="1535"/>
      <c r="BV104" s="1534"/>
      <c r="BW104" s="1535"/>
      <c r="BX104" s="1534"/>
      <c r="BY104" s="1535"/>
      <c r="BZ104" s="1534"/>
      <c r="CA104" s="1535"/>
      <c r="CB104" s="1534"/>
      <c r="CC104" s="1535"/>
      <c r="CD104" s="1534"/>
      <c r="CE104" s="1534"/>
      <c r="CF104" s="1535"/>
      <c r="CG104" s="1534"/>
      <c r="CH104" s="1535"/>
      <c r="CI104" s="1534"/>
      <c r="CJ104" s="1535"/>
      <c r="CK104" s="1534"/>
      <c r="CL104" s="1535"/>
      <c r="CM104" s="1534"/>
      <c r="CN104" s="1535"/>
      <c r="CO104" s="1534"/>
      <c r="CP104" s="1535"/>
      <c r="CQ104" s="1534"/>
      <c r="CR104" s="1535"/>
      <c r="CS104" s="1534"/>
      <c r="CT104" s="1535"/>
      <c r="CU104" s="1535"/>
      <c r="CV104" s="1531"/>
      <c r="CW104" s="898" t="str">
        <f t="shared" si="20"/>
        <v/>
      </c>
      <c r="CX104" s="898" t="str">
        <f>IFERROR(IF(AND(S104="",S104&lt;&gt;""),1913,VLOOKUP(S104,Valid!$B$99:$J$120,9)),"")</f>
        <v/>
      </c>
      <c r="CY104" s="898" t="str">
        <f t="shared" ca="1" si="21"/>
        <v/>
      </c>
      <c r="CZ104" s="1547" t="str">
        <f t="shared" ca="1" si="26"/>
        <v/>
      </c>
      <c r="DA104" s="898"/>
      <c r="DB104" s="898" t="str">
        <f t="shared" si="22"/>
        <v/>
      </c>
      <c r="DC104" s="898" t="str">
        <f t="shared" si="23"/>
        <v/>
      </c>
      <c r="DD104" s="1539" t="str">
        <f>IFERROR(IF(AND(AM104="",C104&lt;&gt;""),Valid!$E$123,VLOOKUP(AM104,Valid!$B$123:$F$125,4,FALSE)),"")</f>
        <v/>
      </c>
      <c r="DE104" s="1539" t="str">
        <f>IFERROR(IF(AND(AM104="",C104&lt;&gt;""),Valid!$F$123,VLOOKUP(AM104,Valid!$B$123:$F$125,5,FALSE)),"")</f>
        <v/>
      </c>
      <c r="DF104" s="1539" t="str">
        <f>IFERROR(VLOOKUP('A-70 RevVehInv'!S104,Valid!$B$99:$I$120,7), "")</f>
        <v/>
      </c>
      <c r="DG104" s="1539" t="str">
        <f>IFERROR(VLOOKUP(S104,Valid!$B$99:$I$120,8), "")</f>
        <v/>
      </c>
      <c r="DH104" s="1531"/>
    </row>
    <row r="105" spans="1:112" s="930" customFormat="1" x14ac:dyDescent="0.2">
      <c r="A105" s="206">
        <v>47</v>
      </c>
      <c r="B105" s="1530">
        <v>47</v>
      </c>
      <c r="C105" s="933"/>
      <c r="D105" s="719" t="str">
        <f>IF(C103="","",IF((C105=""),"Enter RVI ID. then Fill in Columns "&amp;TEXT($I$2,0)&amp;" - "&amp;TEXT($BA$2,0)&amp;"       ",""))</f>
        <v/>
      </c>
      <c r="E105" s="1056" t="str">
        <f>IF(BH105="N/A","",BH105)</f>
        <v/>
      </c>
      <c r="F105" s="1536"/>
      <c r="G105" s="1536"/>
      <c r="H105" s="1536"/>
      <c r="I105" s="1023"/>
      <c r="J105" s="1536" t="str">
        <f>IF(E105&lt;&gt;"","Vehicles?    ","")</f>
        <v/>
      </c>
      <c r="K105" s="1023"/>
      <c r="L105" s="1536" t="str">
        <f>IF(E105&lt;&gt;"","Active Vehicles?     ","")</f>
        <v/>
      </c>
      <c r="M105" s="1023"/>
      <c r="N105" s="1536" t="str">
        <f>IF(E105&lt;&gt;"","ADA Vehicles?       ","")</f>
        <v/>
      </c>
      <c r="O105" s="1023"/>
      <c r="P105" s="1536" t="str">
        <f>IF(E105&lt;&gt;"","Cont. Vehicles?     ","")</f>
        <v/>
      </c>
      <c r="Q105" s="1024"/>
      <c r="R105" s="894"/>
      <c r="S105" s="1153"/>
      <c r="T105" s="252" t="str">
        <f>IF(E105&lt;&gt;"","Select from Pull-Down List    ","")</f>
        <v/>
      </c>
      <c r="U105" s="933"/>
      <c r="V105" s="252" t="str">
        <f>IF(E105&lt;&gt;"","Select from Pull-Down List    ","")</f>
        <v/>
      </c>
      <c r="W105" s="1766" t="str">
        <f t="shared" si="18"/>
        <v/>
      </c>
      <c r="X105" s="252"/>
      <c r="Y105" s="1988"/>
      <c r="Z105" s="252" t="str">
        <f t="shared" si="19"/>
        <v/>
      </c>
      <c r="AA105" s="139"/>
      <c r="AB105" s="252" t="str">
        <f>IF(E105&lt;&gt;"","Mfg. Yr?    ","")</f>
        <v/>
      </c>
      <c r="AC105" s="1974" t="str">
        <f t="shared" si="24"/>
        <v/>
      </c>
      <c r="AD105" s="252"/>
      <c r="AE105" s="1986" t="str">
        <f t="shared" si="25"/>
        <v/>
      </c>
      <c r="AF105" s="252"/>
      <c r="AG105" s="933"/>
      <c r="AH105" s="252" t="str">
        <f>IF(E105&lt;&gt;"","Select from Pull-Down List    ","")</f>
        <v/>
      </c>
      <c r="AI105" s="933"/>
      <c r="AJ105" s="252" t="str">
        <f>IF(E105&lt;&gt;"","Number?   ","")</f>
        <v/>
      </c>
      <c r="AK105" s="139"/>
      <c r="AL105" s="252" t="str">
        <f>IF(E105&lt;&gt;"","Last Rnwl. Yr?   ","")</f>
        <v/>
      </c>
      <c r="AM105" s="933"/>
      <c r="AN105" s="252" t="str">
        <f>IF(E105&lt;&gt;"","Select from Pull-Down List    ","")</f>
        <v/>
      </c>
      <c r="AO105" s="933"/>
      <c r="AP105" s="252" t="str">
        <f>IF(E105&lt;&gt;"","Select from Pull-Down List    ","")</f>
        <v/>
      </c>
      <c r="AQ105" s="1023"/>
      <c r="AR105" s="252" t="str">
        <f>IF(E105&lt;&gt;"","Feet?    ","")</f>
        <v/>
      </c>
      <c r="AS105" s="1023"/>
      <c r="AT105" s="252" t="str">
        <f>IF(E105&lt;&gt;"","Seats?    ","")</f>
        <v/>
      </c>
      <c r="AU105" s="1023"/>
      <c r="AV105" s="252" t="str">
        <f>IF(E105&lt;&gt;"","Standing?    ","")</f>
        <v/>
      </c>
      <c r="AW105" s="1023"/>
      <c r="AX105" s="252" t="str">
        <f>IF(E105&lt;&gt;"","Mileage?       ","")</f>
        <v/>
      </c>
      <c r="AY105" s="1023"/>
      <c r="AZ105" s="252" t="str">
        <f>IF(E105&lt;&gt;"","Avg. Lifetime Mileage? ","")</f>
        <v/>
      </c>
      <c r="BA105" s="933"/>
      <c r="BB105" s="252" t="str">
        <f>IF(E105&lt;&gt;"","Select from Pull-Down List    ","")</f>
        <v/>
      </c>
      <c r="BC105" s="171"/>
      <c r="BD105" s="252" t="str">
        <f>IF(OR(AO105="OR - Other fuel (describe in Notes)",AG105="ZZZ - Other (describe in Notes)"),"Describe                                                                                                     ","")</f>
        <v/>
      </c>
      <c r="BE105" s="894"/>
      <c r="BF105" s="894"/>
      <c r="BG105" s="894" t="b">
        <f>IF(AND(C105="",C107&lt;&gt;""),TRUE,FALSE)</f>
        <v>0</v>
      </c>
      <c r="BH105" s="888" t="str">
        <f>IF(AND(C105&lt;&gt;"",OR(I105="",K105="",M105="",O105="",S105="",U105="",AA105="",AG105="",AI105="",AO105="",AQ105="",AS105="",AU105="",AW105="",AY105="")),"No",IF(AND(C105="",OR(I105&lt;&gt;"",K105&lt;&gt;"",M105&lt;&gt;"",O105&lt;&gt;"",S105&lt;&gt;"",U105&lt;&gt;"",AA105&lt;&gt;"",AG105&lt;&gt;"",AI105&lt;&gt;"",AK105&lt;&gt;"",AM105&lt;&gt;"",AO105&lt;&gt;"",AQ105&lt;&gt;"",AS105&lt;&gt;"",AU105&lt;&gt;"",AW105&lt;&gt;"",AY105&lt;&gt;"",BA105&lt;&gt;"",BC105&lt;&gt;"")),"No",IF(AND(C105="",I105="",K105="",M105="",O105="",S105="",U105="",AA105="",AG105="",AI105="",AK105="",AM105="",AO105="",AQ105="",AS105="",AU105="",AW105="",AY105="",BA105=""),"N/A","Yes")))</f>
        <v>N/A</v>
      </c>
      <c r="BI105" s="898"/>
      <c r="BJ105" s="899" t="b">
        <f>IF(AND(OR(I105&lt;&gt;"",K105&lt;&gt;"",M105&lt;&gt;"",O105&lt;&gt;"",S105&lt;&gt;"",U105&lt;&gt;"",AA105&lt;&gt;"",AG105&lt;&gt;"",AI105&lt;&gt;"",AK105&lt;&gt;"",AM105&lt;&gt;"",AO105&lt;&gt;"",AQ105&lt;&gt;"",AS105&lt;&gt;"",AW105&lt;&gt;"",AY105&lt;&gt;"",BA105&lt;&gt;"",BC105&lt;&gt;""),C105=""),TRUE,FALSE)</f>
        <v>0</v>
      </c>
      <c r="BK105" s="898" t="b">
        <f>IF(BL105=TRUE,FALSE,IF(SUM(K105,O105)&gt;I105,TRUE,FALSE))</f>
        <v>0</v>
      </c>
      <c r="BL105" s="899" t="b">
        <f>IF(AND(C105&lt;&gt;"",I105=""),TRUE,FALSE)</f>
        <v>0</v>
      </c>
      <c r="BM105" s="898" t="b">
        <f>IF(BN105=TRUE,FALSE,IF(M105&gt;K105,TRUE,FALSE))</f>
        <v>0</v>
      </c>
      <c r="BN105" s="899" t="b">
        <f>IF(AND($C105&lt;&gt;"",K105=""),TRUE,FALSE)</f>
        <v>0</v>
      </c>
      <c r="BO105" s="898"/>
      <c r="BP105" s="899" t="b">
        <f>IF(AND($C105&lt;&gt;"",M105=""),TRUE,FALSE)</f>
        <v>0</v>
      </c>
      <c r="BQ105" s="898"/>
      <c r="BR105" s="899" t="b">
        <f>IF(AND($C105&lt;&gt;"",O105=""),TRUE,FALSE)</f>
        <v>0</v>
      </c>
      <c r="BS105" s="898" t="b">
        <f>IF(AND(S105="",OR(U105&lt;&gt;"",AA105&lt;&gt;"",AG105&lt;&gt;"",AI105&lt;&gt;"",AK105&lt;&gt;"",AM105&lt;&gt;"",AO105&lt;&gt;"",AQ105&lt;&gt;"",AS105&lt;&gt;"",AU105&lt;&gt;"",AW105&lt;&gt;"",AY105&lt;&gt;"",BA105&lt;&gt;"")),TRUE,FALSE)</f>
        <v>0</v>
      </c>
      <c r="BT105" s="899" t="b">
        <f>IF(AND($C105&lt;&gt;"",S105=""),TRUE,FALSE)</f>
        <v>0</v>
      </c>
      <c r="BU105" s="898"/>
      <c r="BV105" s="899" t="b">
        <f>IF(AND($C105&lt;&gt;"",U105=""),TRUE,FALSE)</f>
        <v>0</v>
      </c>
      <c r="BW105" s="1537" t="b">
        <f>IF(BX105=TRUE,FALSE,IF(AA105="",FALSE,IF(OR(AA105&lt;CX105,AA105&gt;BaseYear),TRUE,FALSE)))</f>
        <v>0</v>
      </c>
      <c r="BX105" s="899" t="b">
        <f>IF(AND($C105&lt;&gt;"",AA105=""),TRUE,FALSE)</f>
        <v>0</v>
      </c>
      <c r="BY105" s="898"/>
      <c r="BZ105" s="899" t="b">
        <f>IF(AND($C105&lt;&gt;"",AG105=""),TRUE,FALSE)</f>
        <v>0</v>
      </c>
      <c r="CA105" s="898"/>
      <c r="CB105" s="899" t="b">
        <f>IF(AND($C105&lt;&gt;"",AI105=""),TRUE,FALSE)</f>
        <v>0</v>
      </c>
      <c r="CC105" s="1537" t="b">
        <f>IF(AK105="",FALSE,IF(OR(AK105&lt;CX105,AK105&gt;BaseYear),TRUE,FALSE))</f>
        <v>0</v>
      </c>
      <c r="CD105" s="1538" t="b">
        <f>IF(AK105="",FALSE,IF(AK105&lt;AA105,TRUE,FALSE))</f>
        <v>0</v>
      </c>
      <c r="CE105" s="899" t="b">
        <f>IF(AND($AM105&lt;&gt;"",AK105=""),TRUE,FALSE)</f>
        <v>0</v>
      </c>
      <c r="CF105" s="898"/>
      <c r="CG105" s="899" t="b">
        <f>IF(AND($AK105&lt;&gt;"",AM105=""),TRUE,FALSE)</f>
        <v>0</v>
      </c>
      <c r="CH105" s="898"/>
      <c r="CI105" s="899" t="b">
        <f>IF(AND($C105&lt;&gt;"",AO105=""),TRUE,FALSE)</f>
        <v>0</v>
      </c>
      <c r="CJ105" s="1537"/>
      <c r="CK105" s="899" t="b">
        <f>IF(AND($C105&lt;&gt;"",AQ105=""),TRUE,FALSE)</f>
        <v>0</v>
      </c>
      <c r="CL105" s="898"/>
      <c r="CM105" s="899" t="b">
        <f>IF(AND($C105&lt;&gt;"",AS105=""),TRUE,FALSE)</f>
        <v>0</v>
      </c>
      <c r="CN105" s="898"/>
      <c r="CO105" s="899" t="b">
        <f>IF(AND($C105&lt;&gt;"",AU105=""),TRUE,FALSE)</f>
        <v>0</v>
      </c>
      <c r="CP105" s="898"/>
      <c r="CQ105" s="899" t="b">
        <f>IF(AND($C105&lt;&gt;"",AW105=""),TRUE,FALSE)</f>
        <v>0</v>
      </c>
      <c r="CR105" s="898"/>
      <c r="CS105" s="899" t="b">
        <f>IF(AND($C105&lt;&gt;"",AY105=""),TRUE,FALSE)</f>
        <v>0</v>
      </c>
      <c r="CT105" s="898"/>
      <c r="CU105" s="898" t="b">
        <f>IF(AND($C105&lt;&gt;"",BA105=""),TRUE,FALSE)</f>
        <v>0</v>
      </c>
      <c r="CV105" s="894"/>
      <c r="CW105" s="898" t="str">
        <f t="shared" si="20"/>
        <v/>
      </c>
      <c r="CX105" s="898" t="str">
        <f>IFERROR(IF(AND(S105="",S105&lt;&gt;""),1913,VLOOKUP(S105,Valid!$B$99:$J$120,9)),"")</f>
        <v/>
      </c>
      <c r="CY105" s="898" t="str">
        <f t="shared" ca="1" si="21"/>
        <v/>
      </c>
      <c r="CZ105" s="1547" t="str">
        <f t="shared" ca="1" si="26"/>
        <v/>
      </c>
      <c r="DA105" s="898" t="str">
        <f ca="1">IF(CZ105="", "", IF(1+(CZ105*4)&lt;1, 1, 1+(CZ105*4)))</f>
        <v/>
      </c>
      <c r="DB105" s="898" t="str">
        <f t="shared" si="22"/>
        <v/>
      </c>
      <c r="DC105" s="898" t="str">
        <f t="shared" si="23"/>
        <v/>
      </c>
      <c r="DD105" s="1539" t="str">
        <f>IFERROR(IF(AND(AM105="",C105&lt;&gt;""),Valid!$E$123,VLOOKUP(AM105,Valid!$B$123:$F$125,4,FALSE)),"")</f>
        <v/>
      </c>
      <c r="DE105" s="1539" t="str">
        <f>IFERROR(IF(AND(AM105="",C105&lt;&gt;""),Valid!$F$123,VLOOKUP(AM105,Valid!$B$123:$F$125,5,FALSE)),"")</f>
        <v/>
      </c>
      <c r="DF105" s="1539" t="str">
        <f>IFERROR(VLOOKUP('A-70 RevVehInv'!S105,Valid!$B$99:$I$120,7), "")</f>
        <v/>
      </c>
      <c r="DG105" s="1539" t="str">
        <f>IFERROR(VLOOKUP(S105,Valid!$B$99:$I$120,8), "")</f>
        <v/>
      </c>
      <c r="DH105" s="894"/>
    </row>
    <row r="106" spans="1:112" ht="6.75" customHeight="1" x14ac:dyDescent="0.2">
      <c r="A106" s="1517"/>
      <c r="B106" s="1530">
        <v>47.5</v>
      </c>
      <c r="C106" s="1540"/>
      <c r="D106" s="905"/>
      <c r="E106" s="1541"/>
      <c r="F106" s="905"/>
      <c r="G106" s="905"/>
      <c r="H106" s="905"/>
      <c r="I106" s="1534"/>
      <c r="J106" s="905"/>
      <c r="K106" s="1534"/>
      <c r="L106" s="905"/>
      <c r="M106" s="1534"/>
      <c r="N106" s="905"/>
      <c r="O106" s="1534"/>
      <c r="P106" s="905"/>
      <c r="Q106" s="1534"/>
      <c r="R106" s="1531"/>
      <c r="S106" s="1542"/>
      <c r="T106" s="905"/>
      <c r="U106" s="1542"/>
      <c r="V106" s="905"/>
      <c r="W106" s="1534" t="str">
        <f t="shared" si="18"/>
        <v/>
      </c>
      <c r="X106" s="905"/>
      <c r="Y106" s="1534"/>
      <c r="Z106" s="252" t="str">
        <f t="shared" si="19"/>
        <v/>
      </c>
      <c r="AA106" s="1534"/>
      <c r="AB106" s="905"/>
      <c r="AC106" s="1973" t="str">
        <f t="shared" si="24"/>
        <v/>
      </c>
      <c r="AD106" s="905"/>
      <c r="AE106" s="1985" t="str">
        <f t="shared" si="25"/>
        <v/>
      </c>
      <c r="AF106" s="905"/>
      <c r="AG106" s="1543"/>
      <c r="AH106" s="1531"/>
      <c r="AI106" s="1534"/>
      <c r="AJ106" s="1531"/>
      <c r="AK106" s="1534"/>
      <c r="AL106" s="1531"/>
      <c r="AM106" s="1543"/>
      <c r="AN106" s="1531"/>
      <c r="AO106" s="1543"/>
      <c r="AP106" s="1531"/>
      <c r="AQ106" s="1534"/>
      <c r="AR106" s="1531"/>
      <c r="AS106" s="1534"/>
      <c r="AT106" s="1531"/>
      <c r="AU106" s="1534"/>
      <c r="AV106" s="1531"/>
      <c r="AW106" s="1534"/>
      <c r="AX106" s="1531"/>
      <c r="AY106" s="1534"/>
      <c r="AZ106" s="1531"/>
      <c r="BA106" s="1543"/>
      <c r="BB106" s="1531"/>
      <c r="BC106" s="1534"/>
      <c r="BD106" s="1531"/>
      <c r="BE106" s="1531"/>
      <c r="BF106" s="1531"/>
      <c r="BG106" s="1531"/>
      <c r="BH106" s="1531"/>
      <c r="BI106" s="1535"/>
      <c r="BJ106" s="1534"/>
      <c r="BK106" s="1535"/>
      <c r="BL106" s="1534"/>
      <c r="BM106" s="1535"/>
      <c r="BN106" s="1534"/>
      <c r="BO106" s="1535"/>
      <c r="BP106" s="1534"/>
      <c r="BQ106" s="1535"/>
      <c r="BR106" s="1534"/>
      <c r="BS106" s="1535"/>
      <c r="BT106" s="1534"/>
      <c r="BU106" s="1535"/>
      <c r="BV106" s="1534"/>
      <c r="BW106" s="1535"/>
      <c r="BX106" s="1534"/>
      <c r="BY106" s="1535"/>
      <c r="BZ106" s="1534"/>
      <c r="CA106" s="1535"/>
      <c r="CB106" s="1534"/>
      <c r="CC106" s="1535"/>
      <c r="CD106" s="1534"/>
      <c r="CE106" s="1534"/>
      <c r="CF106" s="1535"/>
      <c r="CG106" s="1534"/>
      <c r="CH106" s="1535"/>
      <c r="CI106" s="1534"/>
      <c r="CJ106" s="1535"/>
      <c r="CK106" s="1534"/>
      <c r="CL106" s="1535"/>
      <c r="CM106" s="1534"/>
      <c r="CN106" s="1535"/>
      <c r="CO106" s="1534"/>
      <c r="CP106" s="1535"/>
      <c r="CQ106" s="1534"/>
      <c r="CR106" s="1535"/>
      <c r="CS106" s="1534"/>
      <c r="CT106" s="1535"/>
      <c r="CU106" s="1535"/>
      <c r="CV106" s="1531"/>
      <c r="CW106" s="898" t="str">
        <f t="shared" si="20"/>
        <v/>
      </c>
      <c r="CX106" s="898" t="str">
        <f>IFERROR(IF(AND(S106="",S106&lt;&gt;""),1913,VLOOKUP(S106,Valid!$B$99:$J$120,9)),"")</f>
        <v/>
      </c>
      <c r="CY106" s="898" t="str">
        <f t="shared" ca="1" si="21"/>
        <v/>
      </c>
      <c r="CZ106" s="1547" t="str">
        <f t="shared" ca="1" si="26"/>
        <v/>
      </c>
      <c r="DA106" s="898"/>
      <c r="DB106" s="898" t="str">
        <f t="shared" si="22"/>
        <v/>
      </c>
      <c r="DC106" s="898" t="str">
        <f t="shared" si="23"/>
        <v/>
      </c>
      <c r="DD106" s="1539" t="str">
        <f>IFERROR(IF(AND(AM106="",C106&lt;&gt;""),Valid!$E$123,VLOOKUP(AM106,Valid!$B$123:$F$125,4,FALSE)),"")</f>
        <v/>
      </c>
      <c r="DE106" s="1539" t="str">
        <f>IFERROR(IF(AND(AM106="",C106&lt;&gt;""),Valid!$F$123,VLOOKUP(AM106,Valid!$B$123:$F$125,5,FALSE)),"")</f>
        <v/>
      </c>
      <c r="DF106" s="1539" t="str">
        <f>IFERROR(VLOOKUP('A-70 RevVehInv'!S106,Valid!$B$99:$I$120,7), "")</f>
        <v/>
      </c>
      <c r="DG106" s="1539" t="str">
        <f>IFERROR(VLOOKUP(S106,Valid!$B$99:$I$120,8), "")</f>
        <v/>
      </c>
      <c r="DH106" s="1531"/>
    </row>
    <row r="107" spans="1:112" s="930" customFormat="1" x14ac:dyDescent="0.2">
      <c r="A107" s="206">
        <v>48</v>
      </c>
      <c r="B107" s="1530">
        <v>48</v>
      </c>
      <c r="C107" s="933"/>
      <c r="D107" s="719" t="str">
        <f>IF(C105="","",IF((C107=""),"Enter RVI ID. then Fill in Columns "&amp;TEXT($I$2,0)&amp;" - "&amp;TEXT($BA$2,0)&amp;"       ",""))</f>
        <v/>
      </c>
      <c r="E107" s="1056" t="str">
        <f>IF(BH107="N/A","",BH107)</f>
        <v/>
      </c>
      <c r="F107" s="1536"/>
      <c r="G107" s="1536"/>
      <c r="H107" s="1536"/>
      <c r="I107" s="1023"/>
      <c r="J107" s="1536" t="str">
        <f>IF(E107&lt;&gt;"","Vehicles?    ","")</f>
        <v/>
      </c>
      <c r="K107" s="1023"/>
      <c r="L107" s="1536" t="str">
        <f>IF(E107&lt;&gt;"","Active Vehicles?     ","")</f>
        <v/>
      </c>
      <c r="M107" s="1023"/>
      <c r="N107" s="1536" t="str">
        <f>IF(E107&lt;&gt;"","ADA Vehicles?       ","")</f>
        <v/>
      </c>
      <c r="O107" s="1023"/>
      <c r="P107" s="1536" t="str">
        <f>IF(E107&lt;&gt;"","Cont. Vehicles?     ","")</f>
        <v/>
      </c>
      <c r="Q107" s="1024"/>
      <c r="R107" s="894"/>
      <c r="S107" s="1153"/>
      <c r="T107" s="252" t="str">
        <f>IF(E107&lt;&gt;"","Select from Pull-Down List    ","")</f>
        <v/>
      </c>
      <c r="U107" s="933"/>
      <c r="V107" s="252" t="str">
        <f>IF(E107&lt;&gt;"","Select from Pull-Down List    ","")</f>
        <v/>
      </c>
      <c r="W107" s="1766" t="str">
        <f t="shared" si="18"/>
        <v/>
      </c>
      <c r="X107" s="252"/>
      <c r="Y107" s="1988"/>
      <c r="Z107" s="252" t="str">
        <f t="shared" si="19"/>
        <v/>
      </c>
      <c r="AA107" s="139"/>
      <c r="AB107" s="252" t="str">
        <f>IF(E107&lt;&gt;"","Mfg. Yr?    ","")</f>
        <v/>
      </c>
      <c r="AC107" s="1974" t="str">
        <f t="shared" si="24"/>
        <v/>
      </c>
      <c r="AD107" s="252"/>
      <c r="AE107" s="1986" t="str">
        <f t="shared" si="25"/>
        <v/>
      </c>
      <c r="AF107" s="252"/>
      <c r="AG107" s="933"/>
      <c r="AH107" s="252" t="str">
        <f>IF(E107&lt;&gt;"","Select from Pull-Down List    ","")</f>
        <v/>
      </c>
      <c r="AI107" s="933"/>
      <c r="AJ107" s="252" t="str">
        <f>IF(E107&lt;&gt;"","Number?   ","")</f>
        <v/>
      </c>
      <c r="AK107" s="139"/>
      <c r="AL107" s="252" t="str">
        <f>IF(E107&lt;&gt;"","Last Rnwl. Yr?   ","")</f>
        <v/>
      </c>
      <c r="AM107" s="933"/>
      <c r="AN107" s="252" t="str">
        <f>IF(E107&lt;&gt;"","Select from Pull-Down List    ","")</f>
        <v/>
      </c>
      <c r="AO107" s="933"/>
      <c r="AP107" s="252" t="str">
        <f>IF(E107&lt;&gt;"","Select from Pull-Down List    ","")</f>
        <v/>
      </c>
      <c r="AQ107" s="1023"/>
      <c r="AR107" s="252" t="str">
        <f>IF(E107&lt;&gt;"","Feet?    ","")</f>
        <v/>
      </c>
      <c r="AS107" s="1023"/>
      <c r="AT107" s="252" t="str">
        <f>IF(E107&lt;&gt;"","Seats?    ","")</f>
        <v/>
      </c>
      <c r="AU107" s="1023"/>
      <c r="AV107" s="252" t="str">
        <f>IF(E107&lt;&gt;"","Standing?    ","")</f>
        <v/>
      </c>
      <c r="AW107" s="1023"/>
      <c r="AX107" s="252" t="str">
        <f>IF(E107&lt;&gt;"","Mileage?       ","")</f>
        <v/>
      </c>
      <c r="AY107" s="1023"/>
      <c r="AZ107" s="252" t="str">
        <f>IF(E107&lt;&gt;"","Avg. Lifetime Mileage? ","")</f>
        <v/>
      </c>
      <c r="BA107" s="933"/>
      <c r="BB107" s="252" t="str">
        <f>IF(E107&lt;&gt;"","Select from Pull-Down List    ","")</f>
        <v/>
      </c>
      <c r="BC107" s="171"/>
      <c r="BD107" s="252" t="str">
        <f>IF(OR(AO107="OR - Other fuel (describe in Notes)",AG107="ZZZ - Other (describe in Notes)"),"Describe                                                                                                     ","")</f>
        <v/>
      </c>
      <c r="BE107" s="894"/>
      <c r="BF107" s="894"/>
      <c r="BG107" s="894" t="b">
        <f>IF(AND(C107="",C109&lt;&gt;""),TRUE,FALSE)</f>
        <v>0</v>
      </c>
      <c r="BH107" s="888" t="str">
        <f>IF(AND(C107&lt;&gt;"",OR(I107="",K107="",M107="",O107="",S107="",U107="",AA107="",AG107="",AI107="",AO107="",AQ107="",AS107="",AU107="",AW107="",AY107="")),"No",IF(AND(C107="",OR(I107&lt;&gt;"",K107&lt;&gt;"",M107&lt;&gt;"",O107&lt;&gt;"",S107&lt;&gt;"",U107&lt;&gt;"",AA107&lt;&gt;"",AG107&lt;&gt;"",AI107&lt;&gt;"",AK107&lt;&gt;"",AM107&lt;&gt;"",AO107&lt;&gt;"",AQ107&lt;&gt;"",AS107&lt;&gt;"",AU107&lt;&gt;"",AW107&lt;&gt;"",AY107&lt;&gt;"",BA107&lt;&gt;"",BC107&lt;&gt;"")),"No",IF(AND(C107="",I107="",K107="",M107="",O107="",S107="",U107="",AA107="",AG107="",AI107="",AK107="",AM107="",AO107="",AQ107="",AS107="",AU107="",AW107="",AY107="",BA107=""),"N/A","Yes")))</f>
        <v>N/A</v>
      </c>
      <c r="BI107" s="898"/>
      <c r="BJ107" s="899" t="b">
        <f>IF(AND(OR(I107&lt;&gt;"",K107&lt;&gt;"",M107&lt;&gt;"",O107&lt;&gt;"",S107&lt;&gt;"",U107&lt;&gt;"",AA107&lt;&gt;"",AG107&lt;&gt;"",AI107&lt;&gt;"",AK107&lt;&gt;"",AM107&lt;&gt;"",AO107&lt;&gt;"",AQ107&lt;&gt;"",AS107&lt;&gt;"",AW107&lt;&gt;"",AY107&lt;&gt;"",BA107&lt;&gt;"",BC107&lt;&gt;""),C107=""),TRUE,FALSE)</f>
        <v>0</v>
      </c>
      <c r="BK107" s="898" t="b">
        <f>IF(BL107=TRUE,FALSE,IF(SUM(K107,O107)&gt;I107,TRUE,FALSE))</f>
        <v>0</v>
      </c>
      <c r="BL107" s="899" t="b">
        <f>IF(AND(C107&lt;&gt;"",I107=""),TRUE,FALSE)</f>
        <v>0</v>
      </c>
      <c r="BM107" s="898" t="b">
        <f>IF(BN107=TRUE,FALSE,IF(M107&gt;K107,TRUE,FALSE))</f>
        <v>0</v>
      </c>
      <c r="BN107" s="899" t="b">
        <f>IF(AND($C107&lt;&gt;"",K107=""),TRUE,FALSE)</f>
        <v>0</v>
      </c>
      <c r="BO107" s="898"/>
      <c r="BP107" s="899" t="b">
        <f>IF(AND($C107&lt;&gt;"",M107=""),TRUE,FALSE)</f>
        <v>0</v>
      </c>
      <c r="BQ107" s="898"/>
      <c r="BR107" s="899" t="b">
        <f>IF(AND($C107&lt;&gt;"",O107=""),TRUE,FALSE)</f>
        <v>0</v>
      </c>
      <c r="BS107" s="898" t="b">
        <f>IF(AND(S107="",OR(U107&lt;&gt;"",AA107&lt;&gt;"",AG107&lt;&gt;"",AI107&lt;&gt;"",AK107&lt;&gt;"",AM107&lt;&gt;"",AO107&lt;&gt;"",AQ107&lt;&gt;"",AS107&lt;&gt;"",AU107&lt;&gt;"",AW107&lt;&gt;"",AY107&lt;&gt;"",BA107&lt;&gt;"")),TRUE,FALSE)</f>
        <v>0</v>
      </c>
      <c r="BT107" s="899" t="b">
        <f>IF(AND($C107&lt;&gt;"",S107=""),TRUE,FALSE)</f>
        <v>0</v>
      </c>
      <c r="BU107" s="898"/>
      <c r="BV107" s="899" t="b">
        <f>IF(AND($C107&lt;&gt;"",U107=""),TRUE,FALSE)</f>
        <v>0</v>
      </c>
      <c r="BW107" s="1537" t="b">
        <f>IF(BX107=TRUE,FALSE,IF(AA107="",FALSE,IF(OR(AA107&lt;CX107,AA107&gt;BaseYear),TRUE,FALSE)))</f>
        <v>0</v>
      </c>
      <c r="BX107" s="899" t="b">
        <f>IF(AND($C107&lt;&gt;"",AA107=""),TRUE,FALSE)</f>
        <v>0</v>
      </c>
      <c r="BY107" s="898"/>
      <c r="BZ107" s="899" t="b">
        <f>IF(AND($C107&lt;&gt;"",AG107=""),TRUE,FALSE)</f>
        <v>0</v>
      </c>
      <c r="CA107" s="898"/>
      <c r="CB107" s="899" t="b">
        <f>IF(AND($C107&lt;&gt;"",AI107=""),TRUE,FALSE)</f>
        <v>0</v>
      </c>
      <c r="CC107" s="1537" t="b">
        <f>IF(AK107="",FALSE,IF(OR(AK107&lt;CX107,AK107&gt;BaseYear),TRUE,FALSE))</f>
        <v>0</v>
      </c>
      <c r="CD107" s="1538" t="b">
        <f>IF(AK107="",FALSE,IF(AK107&lt;AA107,TRUE,FALSE))</f>
        <v>0</v>
      </c>
      <c r="CE107" s="899" t="b">
        <f>IF(AND($AM107&lt;&gt;"",AK107=""),TRUE,FALSE)</f>
        <v>0</v>
      </c>
      <c r="CF107" s="898"/>
      <c r="CG107" s="899" t="b">
        <f>IF(AND($AK107&lt;&gt;"",AM107=""),TRUE,FALSE)</f>
        <v>0</v>
      </c>
      <c r="CH107" s="898"/>
      <c r="CI107" s="899" t="b">
        <f>IF(AND($C107&lt;&gt;"",AO107=""),TRUE,FALSE)</f>
        <v>0</v>
      </c>
      <c r="CJ107" s="1537"/>
      <c r="CK107" s="899" t="b">
        <f>IF(AND($C107&lt;&gt;"",AQ107=""),TRUE,FALSE)</f>
        <v>0</v>
      </c>
      <c r="CL107" s="898"/>
      <c r="CM107" s="899" t="b">
        <f>IF(AND($C107&lt;&gt;"",AS107=""),TRUE,FALSE)</f>
        <v>0</v>
      </c>
      <c r="CN107" s="898"/>
      <c r="CO107" s="899" t="b">
        <f>IF(AND($C107&lt;&gt;"",AU107=""),TRUE,FALSE)</f>
        <v>0</v>
      </c>
      <c r="CP107" s="898"/>
      <c r="CQ107" s="899" t="b">
        <f>IF(AND($C107&lt;&gt;"",AW107=""),TRUE,FALSE)</f>
        <v>0</v>
      </c>
      <c r="CR107" s="898"/>
      <c r="CS107" s="899" t="b">
        <f>IF(AND($C107&lt;&gt;"",AY107=""),TRUE,FALSE)</f>
        <v>0</v>
      </c>
      <c r="CT107" s="898"/>
      <c r="CU107" s="898" t="b">
        <f>IF(AND($C107&lt;&gt;"",BA107=""),TRUE,FALSE)</f>
        <v>0</v>
      </c>
      <c r="CV107" s="894"/>
      <c r="CW107" s="898" t="str">
        <f t="shared" si="20"/>
        <v/>
      </c>
      <c r="CX107" s="898" t="str">
        <f>IFERROR(IF(AND(S107="",S107&lt;&gt;""),1913,VLOOKUP(S107,Valid!$B$99:$J$120,9)),"")</f>
        <v/>
      </c>
      <c r="CY107" s="898" t="str">
        <f t="shared" ca="1" si="21"/>
        <v/>
      </c>
      <c r="CZ107" s="1547" t="str">
        <f t="shared" ca="1" si="26"/>
        <v/>
      </c>
      <c r="DA107" s="898" t="str">
        <f ca="1">IF(CZ107="", "", IF(1+(CZ107*4)&lt;1, 1, 1+(CZ107*4)))</f>
        <v/>
      </c>
      <c r="DB107" s="898" t="str">
        <f t="shared" si="22"/>
        <v/>
      </c>
      <c r="DC107" s="898" t="str">
        <f t="shared" si="23"/>
        <v/>
      </c>
      <c r="DD107" s="1539" t="str">
        <f>IFERROR(IF(AND(AM107="",C107&lt;&gt;""),Valid!$E$123,VLOOKUP(AM107,Valid!$B$123:$F$125,4,FALSE)),"")</f>
        <v/>
      </c>
      <c r="DE107" s="1539" t="str">
        <f>IFERROR(IF(AND(AM107="",C107&lt;&gt;""),Valid!$F$123,VLOOKUP(AM107,Valid!$B$123:$F$125,5,FALSE)),"")</f>
        <v/>
      </c>
      <c r="DF107" s="1539" t="str">
        <f>IFERROR(VLOOKUP('A-70 RevVehInv'!S107,Valid!$B$99:$I$120,7), "")</f>
        <v/>
      </c>
      <c r="DG107" s="1539" t="str">
        <f>IFERROR(VLOOKUP(S107,Valid!$B$99:$I$120,8), "")</f>
        <v/>
      </c>
      <c r="DH107" s="894"/>
    </row>
    <row r="108" spans="1:112" ht="6.75" customHeight="1" x14ac:dyDescent="0.2">
      <c r="A108" s="1517"/>
      <c r="B108" s="1530">
        <v>48.5</v>
      </c>
      <c r="C108" s="1544"/>
      <c r="D108" s="905"/>
      <c r="E108" s="1545"/>
      <c r="F108" s="905"/>
      <c r="G108" s="905"/>
      <c r="H108" s="905"/>
      <c r="I108" s="1531"/>
      <c r="J108" s="905"/>
      <c r="K108" s="1531"/>
      <c r="L108" s="905"/>
      <c r="M108" s="1531"/>
      <c r="N108" s="905"/>
      <c r="O108" s="1531"/>
      <c r="P108" s="905"/>
      <c r="Q108" s="1531"/>
      <c r="R108" s="1531"/>
      <c r="S108" s="1533"/>
      <c r="T108" s="905"/>
      <c r="U108" s="1533"/>
      <c r="V108" s="905"/>
      <c r="W108" s="1531" t="str">
        <f t="shared" si="18"/>
        <v/>
      </c>
      <c r="X108" s="905"/>
      <c r="Y108" s="1531"/>
      <c r="Z108" s="252" t="str">
        <f t="shared" si="19"/>
        <v/>
      </c>
      <c r="AA108" s="1531"/>
      <c r="AB108" s="905"/>
      <c r="AC108" s="1971" t="str">
        <f t="shared" si="24"/>
        <v/>
      </c>
      <c r="AD108" s="905"/>
      <c r="AE108" s="1983" t="str">
        <f t="shared" si="25"/>
        <v/>
      </c>
      <c r="AF108" s="905"/>
      <c r="AG108" s="1546"/>
      <c r="AH108" s="1531"/>
      <c r="AI108" s="1531"/>
      <c r="AJ108" s="1531"/>
      <c r="AK108" s="1531"/>
      <c r="AL108" s="1531"/>
      <c r="AM108" s="1546"/>
      <c r="AN108" s="1531"/>
      <c r="AO108" s="1546"/>
      <c r="AP108" s="1531"/>
      <c r="AQ108" s="1531"/>
      <c r="AR108" s="1531"/>
      <c r="AS108" s="1531"/>
      <c r="AT108" s="1531"/>
      <c r="AU108" s="1531"/>
      <c r="AV108" s="1531"/>
      <c r="AW108" s="1531"/>
      <c r="AX108" s="1531"/>
      <c r="AY108" s="1531"/>
      <c r="AZ108" s="1531"/>
      <c r="BA108" s="1546"/>
      <c r="BB108" s="1531"/>
      <c r="BC108" s="1531"/>
      <c r="BD108" s="1531"/>
      <c r="BE108" s="1531"/>
      <c r="BF108" s="1531"/>
      <c r="BG108" s="1531"/>
      <c r="BH108" s="1531"/>
      <c r="BI108" s="1535"/>
      <c r="BJ108" s="1534"/>
      <c r="BK108" s="1535"/>
      <c r="BL108" s="1534"/>
      <c r="BM108" s="1535"/>
      <c r="BN108" s="1534"/>
      <c r="BO108" s="1535"/>
      <c r="BP108" s="1534"/>
      <c r="BQ108" s="1535"/>
      <c r="BR108" s="1534"/>
      <c r="BS108" s="1535"/>
      <c r="BT108" s="1534"/>
      <c r="BU108" s="1535"/>
      <c r="BV108" s="1534"/>
      <c r="BW108" s="1535"/>
      <c r="BX108" s="1534"/>
      <c r="BY108" s="1535"/>
      <c r="BZ108" s="1534"/>
      <c r="CA108" s="1535"/>
      <c r="CB108" s="1534"/>
      <c r="CC108" s="1535"/>
      <c r="CD108" s="1534"/>
      <c r="CE108" s="1534"/>
      <c r="CF108" s="1535"/>
      <c r="CG108" s="1534"/>
      <c r="CH108" s="1535"/>
      <c r="CI108" s="1534"/>
      <c r="CJ108" s="1535"/>
      <c r="CK108" s="1534"/>
      <c r="CL108" s="1535"/>
      <c r="CM108" s="1534"/>
      <c r="CN108" s="1535"/>
      <c r="CO108" s="1534"/>
      <c r="CP108" s="1535"/>
      <c r="CQ108" s="1534"/>
      <c r="CR108" s="1535"/>
      <c r="CS108" s="1534"/>
      <c r="CT108" s="1535"/>
      <c r="CU108" s="1535"/>
      <c r="CV108" s="1531"/>
      <c r="CW108" s="898" t="str">
        <f t="shared" si="20"/>
        <v/>
      </c>
      <c r="CX108" s="898" t="str">
        <f>IFERROR(IF(AND(S108="",S108&lt;&gt;""),1913,VLOOKUP(S108,Valid!$B$99:$J$120,9)),"")</f>
        <v/>
      </c>
      <c r="CY108" s="898" t="str">
        <f t="shared" ca="1" si="21"/>
        <v/>
      </c>
      <c r="CZ108" s="1547" t="str">
        <f t="shared" ca="1" si="26"/>
        <v/>
      </c>
      <c r="DA108" s="898"/>
      <c r="DB108" s="898" t="str">
        <f t="shared" si="22"/>
        <v/>
      </c>
      <c r="DC108" s="898" t="str">
        <f t="shared" si="23"/>
        <v/>
      </c>
      <c r="DD108" s="1539" t="str">
        <f>IFERROR(IF(AND(AM108="",C108&lt;&gt;""),Valid!$E$123,VLOOKUP(AM108,Valid!$B$123:$F$125,4,FALSE)),"")</f>
        <v/>
      </c>
      <c r="DE108" s="1539" t="str">
        <f>IFERROR(IF(AND(AM108="",C108&lt;&gt;""),Valid!$F$123,VLOOKUP(AM108,Valid!$B$123:$F$125,5,FALSE)),"")</f>
        <v/>
      </c>
      <c r="DF108" s="1539" t="str">
        <f>IFERROR(VLOOKUP('A-70 RevVehInv'!S108,Valid!$B$99:$I$120,7), "")</f>
        <v/>
      </c>
      <c r="DG108" s="1539" t="str">
        <f>IFERROR(VLOOKUP(S108,Valid!$B$99:$I$120,8), "")</f>
        <v/>
      </c>
      <c r="DH108" s="1531"/>
    </row>
    <row r="109" spans="1:112" s="930" customFormat="1" x14ac:dyDescent="0.2">
      <c r="A109" s="206">
        <v>49</v>
      </c>
      <c r="B109" s="1530">
        <v>49</v>
      </c>
      <c r="C109" s="933"/>
      <c r="D109" s="719" t="str">
        <f>IF(C107="","",IF((C109=""),"Enter RVI ID. then Fill in Columns "&amp;TEXT($I$2,0)&amp;" - "&amp;TEXT($BA$2,0)&amp;"       ",""))</f>
        <v/>
      </c>
      <c r="E109" s="1056" t="str">
        <f>IF(BH109="N/A","",BH109)</f>
        <v/>
      </c>
      <c r="F109" s="1536"/>
      <c r="G109" s="1536"/>
      <c r="H109" s="1536"/>
      <c r="I109" s="1023"/>
      <c r="J109" s="1536" t="str">
        <f>IF(E109&lt;&gt;"","Vehicles?    ","")</f>
        <v/>
      </c>
      <c r="K109" s="1023"/>
      <c r="L109" s="1536" t="str">
        <f>IF(E109&lt;&gt;"","Active Vehicles?     ","")</f>
        <v/>
      </c>
      <c r="M109" s="1023"/>
      <c r="N109" s="1536" t="str">
        <f>IF(E109&lt;&gt;"","ADA Vehicles?       ","")</f>
        <v/>
      </c>
      <c r="O109" s="1023"/>
      <c r="P109" s="1536" t="str">
        <f>IF(E109&lt;&gt;"","Cont. Vehicles?     ","")</f>
        <v/>
      </c>
      <c r="Q109" s="1024"/>
      <c r="R109" s="894"/>
      <c r="S109" s="1153"/>
      <c r="T109" s="252" t="str">
        <f>IF(E109&lt;&gt;"","Select from Pull-Down List    ","")</f>
        <v/>
      </c>
      <c r="U109" s="933"/>
      <c r="V109" s="252" t="str">
        <f>IF(E109&lt;&gt;"","Select from Pull-Down List    ","")</f>
        <v/>
      </c>
      <c r="W109" s="1766" t="str">
        <f t="shared" ref="W109:W140" si="27">IFERROR(VLOOKUP($S109,val_rev_vehicles,W$3,FALSE), "")</f>
        <v/>
      </c>
      <c r="X109" s="252"/>
      <c r="Y109" s="1988"/>
      <c r="Z109" s="252" t="str">
        <f t="shared" ref="Z109:Z140" si="28">IF(E109&lt;&gt;"","Service Yrs?    ","")</f>
        <v/>
      </c>
      <c r="AA109" s="139"/>
      <c r="AB109" s="252" t="str">
        <f>IF(E109&lt;&gt;"","Mfg. Yr?    ","")</f>
        <v/>
      </c>
      <c r="AC109" s="1974" t="str">
        <f t="shared" si="24"/>
        <v/>
      </c>
      <c r="AD109" s="252"/>
      <c r="AE109" s="1986" t="str">
        <f t="shared" si="25"/>
        <v/>
      </c>
      <c r="AF109" s="252"/>
      <c r="AG109" s="933"/>
      <c r="AH109" s="252" t="str">
        <f>IF(E109&lt;&gt;"","Select from Pull-Down List    ","")</f>
        <v/>
      </c>
      <c r="AI109" s="933"/>
      <c r="AJ109" s="252" t="str">
        <f>IF(E109&lt;&gt;"","Number?   ","")</f>
        <v/>
      </c>
      <c r="AK109" s="139"/>
      <c r="AL109" s="252" t="str">
        <f>IF(E109&lt;&gt;"","Last Rnwl. Yr?   ","")</f>
        <v/>
      </c>
      <c r="AM109" s="933"/>
      <c r="AN109" s="252" t="str">
        <f>IF(E109&lt;&gt;"","Select from Pull-Down List    ","")</f>
        <v/>
      </c>
      <c r="AO109" s="933"/>
      <c r="AP109" s="252" t="str">
        <f>IF(E109&lt;&gt;"","Select from Pull-Down List    ","")</f>
        <v/>
      </c>
      <c r="AQ109" s="1023"/>
      <c r="AR109" s="252" t="str">
        <f>IF(E109&lt;&gt;"","Feet?    ","")</f>
        <v/>
      </c>
      <c r="AS109" s="1023"/>
      <c r="AT109" s="252" t="str">
        <f>IF(E109&lt;&gt;"","Seats?    ","")</f>
        <v/>
      </c>
      <c r="AU109" s="1023"/>
      <c r="AV109" s="252" t="str">
        <f>IF(E109&lt;&gt;"","Standing?    ","")</f>
        <v/>
      </c>
      <c r="AW109" s="1023"/>
      <c r="AX109" s="252" t="str">
        <f>IF(E109&lt;&gt;"","Mileage?       ","")</f>
        <v/>
      </c>
      <c r="AY109" s="1023"/>
      <c r="AZ109" s="252" t="str">
        <f>IF(E109&lt;&gt;"","Avg. Lifetime Mileage? ","")</f>
        <v/>
      </c>
      <c r="BA109" s="933"/>
      <c r="BB109" s="252" t="str">
        <f>IF(E109&lt;&gt;"","Select from Pull-Down List    ","")</f>
        <v/>
      </c>
      <c r="BC109" s="171"/>
      <c r="BD109" s="252" t="str">
        <f>IF(OR(AO109="OR - Other fuel (describe in Notes)",AG109="ZZZ - Other (describe in Notes)"),"Describe                                                                                                     ","")</f>
        <v/>
      </c>
      <c r="BE109" s="894"/>
      <c r="BF109" s="894"/>
      <c r="BG109" s="894" t="b">
        <f>IF(AND(C109="",C111&lt;&gt;""),TRUE,FALSE)</f>
        <v>0</v>
      </c>
      <c r="BH109" s="888" t="str">
        <f>IF(AND(C109&lt;&gt;"",OR(I109="",K109="",M109="",O109="",S109="",U109="",AA109="",AG109="",AI109="",AO109="",AQ109="",AS109="",AU109="",AW109="",AY109="")),"No",IF(AND(C109="",OR(I109&lt;&gt;"",K109&lt;&gt;"",M109&lt;&gt;"",O109&lt;&gt;"",S109&lt;&gt;"",U109&lt;&gt;"",AA109&lt;&gt;"",AG109&lt;&gt;"",AI109&lt;&gt;"",AK109&lt;&gt;"",AM109&lt;&gt;"",AO109&lt;&gt;"",AQ109&lt;&gt;"",AS109&lt;&gt;"",AU109&lt;&gt;"",AW109&lt;&gt;"",AY109&lt;&gt;"",BA109&lt;&gt;"",BC109&lt;&gt;"")),"No",IF(AND(C109="",I109="",K109="",M109="",O109="",S109="",U109="",AA109="",AG109="",AI109="",AK109="",AM109="",AO109="",AQ109="",AS109="",AU109="",AW109="",AY109="",BA109=""),"N/A","Yes")))</f>
        <v>N/A</v>
      </c>
      <c r="BI109" s="898"/>
      <c r="BJ109" s="899" t="b">
        <f>IF(AND(OR(I109&lt;&gt;"",K109&lt;&gt;"",M109&lt;&gt;"",O109&lt;&gt;"",S109&lt;&gt;"",U109&lt;&gt;"",AA109&lt;&gt;"",AG109&lt;&gt;"",AI109&lt;&gt;"",AK109&lt;&gt;"",AM109&lt;&gt;"",AO109&lt;&gt;"",AQ109&lt;&gt;"",AS109&lt;&gt;"",AW109&lt;&gt;"",AY109&lt;&gt;"",BA109&lt;&gt;"",BC109&lt;&gt;""),C109=""),TRUE,FALSE)</f>
        <v>0</v>
      </c>
      <c r="BK109" s="898" t="b">
        <f>IF(BL109=TRUE,FALSE,IF(SUM(K109,O109)&gt;I109,TRUE,FALSE))</f>
        <v>0</v>
      </c>
      <c r="BL109" s="899" t="b">
        <f>IF(AND(C109&lt;&gt;"",I109=""),TRUE,FALSE)</f>
        <v>0</v>
      </c>
      <c r="BM109" s="898" t="b">
        <f>IF(BN109=TRUE,FALSE,IF(M109&gt;K109,TRUE,FALSE))</f>
        <v>0</v>
      </c>
      <c r="BN109" s="899" t="b">
        <f>IF(AND($C109&lt;&gt;"",K109=""),TRUE,FALSE)</f>
        <v>0</v>
      </c>
      <c r="BO109" s="898"/>
      <c r="BP109" s="899" t="b">
        <f>IF(AND($C109&lt;&gt;"",M109=""),TRUE,FALSE)</f>
        <v>0</v>
      </c>
      <c r="BQ109" s="898"/>
      <c r="BR109" s="899" t="b">
        <f>IF(AND($C109&lt;&gt;"",O109=""),TRUE,FALSE)</f>
        <v>0</v>
      </c>
      <c r="BS109" s="898" t="b">
        <f>IF(AND(S109="",OR(U109&lt;&gt;"",AA109&lt;&gt;"",AG109&lt;&gt;"",AI109&lt;&gt;"",AK109&lt;&gt;"",AM109&lt;&gt;"",AO109&lt;&gt;"",AQ109&lt;&gt;"",AS109&lt;&gt;"",AU109&lt;&gt;"",AW109&lt;&gt;"",AY109&lt;&gt;"",BA109&lt;&gt;"")),TRUE,FALSE)</f>
        <v>0</v>
      </c>
      <c r="BT109" s="899" t="b">
        <f>IF(AND($C109&lt;&gt;"",S109=""),TRUE,FALSE)</f>
        <v>0</v>
      </c>
      <c r="BU109" s="898"/>
      <c r="BV109" s="899" t="b">
        <f>IF(AND($C109&lt;&gt;"",U109=""),TRUE,FALSE)</f>
        <v>0</v>
      </c>
      <c r="BW109" s="1537" t="b">
        <f>IF(BX109=TRUE,FALSE,IF(AA109="",FALSE,IF(OR(AA109&lt;CX109,AA109&gt;BaseYear),TRUE,FALSE)))</f>
        <v>0</v>
      </c>
      <c r="BX109" s="899" t="b">
        <f>IF(AND($C109&lt;&gt;"",AA109=""),TRUE,FALSE)</f>
        <v>0</v>
      </c>
      <c r="BY109" s="898"/>
      <c r="BZ109" s="899" t="b">
        <f>IF(AND($C109&lt;&gt;"",AG109=""),TRUE,FALSE)</f>
        <v>0</v>
      </c>
      <c r="CA109" s="898"/>
      <c r="CB109" s="899" t="b">
        <f>IF(AND($C109&lt;&gt;"",AI109=""),TRUE,FALSE)</f>
        <v>0</v>
      </c>
      <c r="CC109" s="1537" t="b">
        <f>IF(AK109="",FALSE,IF(OR(AK109&lt;CX109,AK109&gt;BaseYear),TRUE,FALSE))</f>
        <v>0</v>
      </c>
      <c r="CD109" s="1538" t="b">
        <f>IF(AK109="",FALSE,IF(AK109&lt;AA109,TRUE,FALSE))</f>
        <v>0</v>
      </c>
      <c r="CE109" s="899" t="b">
        <f>IF(AND($AM109&lt;&gt;"",AK109=""),TRUE,FALSE)</f>
        <v>0</v>
      </c>
      <c r="CF109" s="898"/>
      <c r="CG109" s="899" t="b">
        <f>IF(AND($AK109&lt;&gt;"",AM109=""),TRUE,FALSE)</f>
        <v>0</v>
      </c>
      <c r="CH109" s="898"/>
      <c r="CI109" s="899" t="b">
        <f>IF(AND($C109&lt;&gt;"",AO109=""),TRUE,FALSE)</f>
        <v>0</v>
      </c>
      <c r="CJ109" s="1537"/>
      <c r="CK109" s="899" t="b">
        <f>IF(AND($C109&lt;&gt;"",AQ109=""),TRUE,FALSE)</f>
        <v>0</v>
      </c>
      <c r="CL109" s="898"/>
      <c r="CM109" s="899" t="b">
        <f>IF(AND($C109&lt;&gt;"",AS109=""),TRUE,FALSE)</f>
        <v>0</v>
      </c>
      <c r="CN109" s="898"/>
      <c r="CO109" s="899" t="b">
        <f>IF(AND($C109&lt;&gt;"",AU109=""),TRUE,FALSE)</f>
        <v>0</v>
      </c>
      <c r="CP109" s="898"/>
      <c r="CQ109" s="899" t="b">
        <f>IF(AND($C109&lt;&gt;"",AW109=""),TRUE,FALSE)</f>
        <v>0</v>
      </c>
      <c r="CR109" s="898"/>
      <c r="CS109" s="899" t="b">
        <f>IF(AND($C109&lt;&gt;"",AY109=""),TRUE,FALSE)</f>
        <v>0</v>
      </c>
      <c r="CT109" s="898"/>
      <c r="CU109" s="898" t="b">
        <f>IF(AND($C109&lt;&gt;"",BA109=""),TRUE,FALSE)</f>
        <v>0</v>
      </c>
      <c r="CV109" s="894"/>
      <c r="CW109" s="898" t="str">
        <f t="shared" ref="CW109:CW140" si="29">IFERROR(VLOOKUP($S109,val_rev_vehicles,CW$3,FALSE),"")</f>
        <v/>
      </c>
      <c r="CX109" s="898" t="str">
        <f>IFERROR(IF(AND(S109="",S109&lt;&gt;""),1913,VLOOKUP(S109,Valid!$B$99:$J$120,9)),"")</f>
        <v/>
      </c>
      <c r="CY109" s="898" t="str">
        <f t="shared" ref="CY109:CY140" ca="1" si="30">IF(AA109="", "", YEAR(TODAY())-AA109)</f>
        <v/>
      </c>
      <c r="CZ109" s="1547" t="str">
        <f t="shared" ca="1" si="26"/>
        <v/>
      </c>
      <c r="DA109" s="898" t="str">
        <f ca="1">IF(CZ109="", "", IF(1+(CZ109*4)&lt;1, 1, 1+(CZ109*4)))</f>
        <v/>
      </c>
      <c r="DB109" s="898" t="str">
        <f t="shared" ref="DB109:DB140" si="31">IFERROR(VLOOKUP($S109,val_rev_vehicles,DB$3,FALSE), "")</f>
        <v/>
      </c>
      <c r="DC109" s="898" t="str">
        <f t="shared" ref="DC109:DC140" si="32">IFERROR(VLOOKUP($S109,val_rev_vehicles,DC$3,FALSE),"")</f>
        <v/>
      </c>
      <c r="DD109" s="1539" t="str">
        <f>IFERROR(IF(AND(AM109="",C109&lt;&gt;""),Valid!$E$123,VLOOKUP(AM109,Valid!$B$123:$F$125,4,FALSE)),"")</f>
        <v/>
      </c>
      <c r="DE109" s="1539" t="str">
        <f>IFERROR(IF(AND(AM109="",C109&lt;&gt;""),Valid!$F$123,VLOOKUP(AM109,Valid!$B$123:$F$125,5,FALSE)),"")</f>
        <v/>
      </c>
      <c r="DF109" s="1539" t="str">
        <f>IFERROR(VLOOKUP('A-70 RevVehInv'!S109,Valid!$B$99:$I$120,7), "")</f>
        <v/>
      </c>
      <c r="DG109" s="1539" t="str">
        <f>IFERROR(VLOOKUP(S109,Valid!$B$99:$I$120,8), "")</f>
        <v/>
      </c>
      <c r="DH109" s="894"/>
    </row>
    <row r="110" spans="1:112" ht="6.75" customHeight="1" x14ac:dyDescent="0.2">
      <c r="A110" s="1517"/>
      <c r="B110" s="1530">
        <v>49.5</v>
      </c>
      <c r="C110" s="1540"/>
      <c r="D110" s="905"/>
      <c r="E110" s="1541"/>
      <c r="F110" s="905"/>
      <c r="G110" s="905"/>
      <c r="H110" s="905"/>
      <c r="I110" s="1534"/>
      <c r="J110" s="905"/>
      <c r="K110" s="1534"/>
      <c r="L110" s="905"/>
      <c r="M110" s="1534"/>
      <c r="N110" s="905"/>
      <c r="O110" s="1534"/>
      <c r="P110" s="905"/>
      <c r="Q110" s="1534"/>
      <c r="R110" s="1531"/>
      <c r="S110" s="1542"/>
      <c r="T110" s="905"/>
      <c r="U110" s="1542"/>
      <c r="V110" s="905"/>
      <c r="W110" s="1534" t="str">
        <f t="shared" si="27"/>
        <v/>
      </c>
      <c r="X110" s="905"/>
      <c r="Y110" s="1534"/>
      <c r="Z110" s="252" t="str">
        <f t="shared" si="28"/>
        <v/>
      </c>
      <c r="AA110" s="1534"/>
      <c r="AB110" s="905"/>
      <c r="AC110" s="1973" t="str">
        <f t="shared" ref="AC110:AC141" si="33">IFERROR(VLOOKUP($S110,val_rev_vehicles,AC$3,FALSE), "")</f>
        <v/>
      </c>
      <c r="AD110" s="905"/>
      <c r="AE110" s="1985" t="str">
        <f t="shared" ref="AE110:AE141" si="34">IFERROR(VLOOKUP($S110,val_rev_vehicles,AE$3,FALSE), "")</f>
        <v/>
      </c>
      <c r="AF110" s="905"/>
      <c r="AG110" s="1543"/>
      <c r="AH110" s="1531"/>
      <c r="AI110" s="1534"/>
      <c r="AJ110" s="1531"/>
      <c r="AK110" s="1534"/>
      <c r="AL110" s="1531"/>
      <c r="AM110" s="1543"/>
      <c r="AN110" s="1531"/>
      <c r="AO110" s="1543"/>
      <c r="AP110" s="1531"/>
      <c r="AQ110" s="1534"/>
      <c r="AR110" s="1531"/>
      <c r="AS110" s="1534"/>
      <c r="AT110" s="1531"/>
      <c r="AU110" s="1534"/>
      <c r="AV110" s="1531"/>
      <c r="AW110" s="1534"/>
      <c r="AX110" s="1531"/>
      <c r="AY110" s="1534"/>
      <c r="AZ110" s="1531"/>
      <c r="BA110" s="1543"/>
      <c r="BB110" s="1531"/>
      <c r="BC110" s="1534"/>
      <c r="BD110" s="1531"/>
      <c r="BE110" s="1531"/>
      <c r="BF110" s="1531"/>
      <c r="BG110" s="1531"/>
      <c r="BH110" s="1531"/>
      <c r="BI110" s="1535"/>
      <c r="BJ110" s="1534"/>
      <c r="BK110" s="1535"/>
      <c r="BL110" s="1534"/>
      <c r="BM110" s="1535"/>
      <c r="BN110" s="1534"/>
      <c r="BO110" s="1535"/>
      <c r="BP110" s="1534"/>
      <c r="BQ110" s="1535"/>
      <c r="BR110" s="1534"/>
      <c r="BS110" s="1535"/>
      <c r="BT110" s="1534"/>
      <c r="BU110" s="1535"/>
      <c r="BV110" s="1534"/>
      <c r="BW110" s="1535"/>
      <c r="BX110" s="1534"/>
      <c r="BY110" s="1535"/>
      <c r="BZ110" s="1534"/>
      <c r="CA110" s="1535"/>
      <c r="CB110" s="1534"/>
      <c r="CC110" s="1535"/>
      <c r="CD110" s="1534"/>
      <c r="CE110" s="1534"/>
      <c r="CF110" s="1535"/>
      <c r="CG110" s="1534"/>
      <c r="CH110" s="1535"/>
      <c r="CI110" s="1534"/>
      <c r="CJ110" s="1535"/>
      <c r="CK110" s="1534"/>
      <c r="CL110" s="1535"/>
      <c r="CM110" s="1534"/>
      <c r="CN110" s="1535"/>
      <c r="CO110" s="1534"/>
      <c r="CP110" s="1535"/>
      <c r="CQ110" s="1534"/>
      <c r="CR110" s="1535"/>
      <c r="CS110" s="1534"/>
      <c r="CT110" s="1535"/>
      <c r="CU110" s="1535"/>
      <c r="CV110" s="1531"/>
      <c r="CW110" s="898" t="str">
        <f t="shared" si="29"/>
        <v/>
      </c>
      <c r="CX110" s="898" t="str">
        <f>IFERROR(IF(AND(S110="",S110&lt;&gt;""),1913,VLOOKUP(S110,Valid!$B$99:$J$120,9)),"")</f>
        <v/>
      </c>
      <c r="CY110" s="898" t="str">
        <f t="shared" ca="1" si="30"/>
        <v/>
      </c>
      <c r="CZ110" s="1547" t="str">
        <f t="shared" ref="CZ110:CZ141" ca="1" si="35">IF(OR(CY110="", W110="",W110=0), "", 1+ (-1*(CY110/W110)))</f>
        <v/>
      </c>
      <c r="DA110" s="898"/>
      <c r="DB110" s="898" t="str">
        <f t="shared" si="31"/>
        <v/>
      </c>
      <c r="DC110" s="898" t="str">
        <f t="shared" si="32"/>
        <v/>
      </c>
      <c r="DD110" s="1539" t="str">
        <f>IFERROR(IF(AND(AM110="",C110&lt;&gt;""),Valid!$E$123,VLOOKUP(AM110,Valid!$B$123:$F$125,4,FALSE)),"")</f>
        <v/>
      </c>
      <c r="DE110" s="1539" t="str">
        <f>IFERROR(IF(AND(AM110="",C110&lt;&gt;""),Valid!$F$123,VLOOKUP(AM110,Valid!$B$123:$F$125,5,FALSE)),"")</f>
        <v/>
      </c>
      <c r="DF110" s="1539" t="str">
        <f>IFERROR(VLOOKUP('A-70 RevVehInv'!S110,Valid!$B$99:$I$120,7), "")</f>
        <v/>
      </c>
      <c r="DG110" s="1539" t="str">
        <f>IFERROR(VLOOKUP(S110,Valid!$B$99:$I$120,8), "")</f>
        <v/>
      </c>
      <c r="DH110" s="1531"/>
    </row>
    <row r="111" spans="1:112" s="930" customFormat="1" x14ac:dyDescent="0.2">
      <c r="A111" s="206">
        <v>50</v>
      </c>
      <c r="B111" s="1530">
        <v>50</v>
      </c>
      <c r="C111" s="933"/>
      <c r="D111" s="719" t="str">
        <f>IF(C109="","",IF((C111=""),"Enter RVI ID. then Fill in Columns "&amp;TEXT($I$2,0)&amp;" - "&amp;TEXT($BA$2,0)&amp;"       ",""))</f>
        <v/>
      </c>
      <c r="E111" s="1056" t="str">
        <f>IF(BH111="N/A","",BH111)</f>
        <v/>
      </c>
      <c r="F111" s="1536"/>
      <c r="G111" s="1536"/>
      <c r="H111" s="1536"/>
      <c r="I111" s="1023"/>
      <c r="J111" s="1536" t="str">
        <f>IF(E111&lt;&gt;"","Vehicles?    ","")</f>
        <v/>
      </c>
      <c r="K111" s="1023"/>
      <c r="L111" s="1536" t="str">
        <f>IF(E111&lt;&gt;"","Active Vehicles?     ","")</f>
        <v/>
      </c>
      <c r="M111" s="1023"/>
      <c r="N111" s="1536" t="str">
        <f>IF(E111&lt;&gt;"","ADA Vehicles?       ","")</f>
        <v/>
      </c>
      <c r="O111" s="1023"/>
      <c r="P111" s="1536" t="str">
        <f>IF(E111&lt;&gt;"","Cont. Vehicles?     ","")</f>
        <v/>
      </c>
      <c r="Q111" s="1024"/>
      <c r="R111" s="894"/>
      <c r="S111" s="1153"/>
      <c r="T111" s="252" t="str">
        <f>IF(E111&lt;&gt;"","Select from Pull-Down List    ","")</f>
        <v/>
      </c>
      <c r="U111" s="933"/>
      <c r="V111" s="252" t="str">
        <f>IF(E111&lt;&gt;"","Select from Pull-Down List    ","")</f>
        <v/>
      </c>
      <c r="W111" s="1766" t="str">
        <f t="shared" si="27"/>
        <v/>
      </c>
      <c r="X111" s="252"/>
      <c r="Y111" s="1988"/>
      <c r="Z111" s="252" t="str">
        <f t="shared" si="28"/>
        <v/>
      </c>
      <c r="AA111" s="139"/>
      <c r="AB111" s="252" t="str">
        <f>IF(E111&lt;&gt;"","Mfg. Yr?    ","")</f>
        <v/>
      </c>
      <c r="AC111" s="1974" t="str">
        <f t="shared" si="33"/>
        <v/>
      </c>
      <c r="AD111" s="252"/>
      <c r="AE111" s="1986" t="str">
        <f t="shared" si="34"/>
        <v/>
      </c>
      <c r="AF111" s="252"/>
      <c r="AG111" s="933"/>
      <c r="AH111" s="252" t="str">
        <f>IF(E111&lt;&gt;"","Select from Pull-Down List    ","")</f>
        <v/>
      </c>
      <c r="AI111" s="933"/>
      <c r="AJ111" s="252" t="str">
        <f>IF(E111&lt;&gt;"","Number?   ","")</f>
        <v/>
      </c>
      <c r="AK111" s="139"/>
      <c r="AL111" s="252" t="str">
        <f>IF(E111&lt;&gt;"","Last Rnwl. Yr?   ","")</f>
        <v/>
      </c>
      <c r="AM111" s="933"/>
      <c r="AN111" s="252" t="str">
        <f>IF(E111&lt;&gt;"","Select from Pull-Down List    ","")</f>
        <v/>
      </c>
      <c r="AO111" s="933"/>
      <c r="AP111" s="252" t="str">
        <f>IF(E111&lt;&gt;"","Select from Pull-Down List    ","")</f>
        <v/>
      </c>
      <c r="AQ111" s="1023"/>
      <c r="AR111" s="252" t="str">
        <f>IF(E111&lt;&gt;"","Feet?    ","")</f>
        <v/>
      </c>
      <c r="AS111" s="1023"/>
      <c r="AT111" s="252" t="str">
        <f>IF(E111&lt;&gt;"","Seats?    ","")</f>
        <v/>
      </c>
      <c r="AU111" s="1023"/>
      <c r="AV111" s="252" t="str">
        <f>IF(E111&lt;&gt;"","Standing?    ","")</f>
        <v/>
      </c>
      <c r="AW111" s="1023"/>
      <c r="AX111" s="252" t="str">
        <f>IF(E111&lt;&gt;"","Mileage?       ","")</f>
        <v/>
      </c>
      <c r="AY111" s="1023"/>
      <c r="AZ111" s="252" t="str">
        <f>IF(E111&lt;&gt;"","Avg. Lifetime Mileage? ","")</f>
        <v/>
      </c>
      <c r="BA111" s="933"/>
      <c r="BB111" s="252" t="str">
        <f>IF(E111&lt;&gt;"","Select from Pull-Down List    ","")</f>
        <v/>
      </c>
      <c r="BC111" s="171"/>
      <c r="BD111" s="252" t="str">
        <f>IF(OR(AO111="OR - Other fuel (describe in Notes)",AG111="ZZZ - Other (describe in Notes)"),"Describe                                                                                                     ","")</f>
        <v/>
      </c>
      <c r="BE111" s="894"/>
      <c r="BF111" s="894"/>
      <c r="BG111" s="894" t="b">
        <f>IF(AND(C111="",C113&lt;&gt;""),TRUE,FALSE)</f>
        <v>0</v>
      </c>
      <c r="BH111" s="888" t="str">
        <f>IF(AND(C111&lt;&gt;"",OR(I111="",K111="",M111="",O111="",S111="",U111="",AA111="",AG111="",AI111="",AO111="",AQ111="",AS111="",AU111="",AW111="",AY111="")),"No",IF(AND(C111="",OR(I111&lt;&gt;"",K111&lt;&gt;"",M111&lt;&gt;"",O111&lt;&gt;"",S111&lt;&gt;"",U111&lt;&gt;"",AA111&lt;&gt;"",AG111&lt;&gt;"",AI111&lt;&gt;"",AK111&lt;&gt;"",AM111&lt;&gt;"",AO111&lt;&gt;"",AQ111&lt;&gt;"",AS111&lt;&gt;"",AU111&lt;&gt;"",AW111&lt;&gt;"",AY111&lt;&gt;"",BA111&lt;&gt;"",BC111&lt;&gt;"")),"No",IF(AND(C111="",I111="",K111="",M111="",O111="",S111="",U111="",AA111="",AG111="",AI111="",AK111="",AM111="",AO111="",AQ111="",AS111="",AU111="",AW111="",AY111="",BA111=""),"N/A","Yes")))</f>
        <v>N/A</v>
      </c>
      <c r="BI111" s="898"/>
      <c r="BJ111" s="899" t="b">
        <f>IF(AND(OR(I111&lt;&gt;"",K111&lt;&gt;"",M111&lt;&gt;"",O111&lt;&gt;"",S111&lt;&gt;"",U111&lt;&gt;"",AA111&lt;&gt;"",AG111&lt;&gt;"",AI111&lt;&gt;"",AK111&lt;&gt;"",AM111&lt;&gt;"",AO111&lt;&gt;"",AQ111&lt;&gt;"",AS111&lt;&gt;"",AW111&lt;&gt;"",AY111&lt;&gt;"",BA111&lt;&gt;"",BC111&lt;&gt;""),C111=""),TRUE,FALSE)</f>
        <v>0</v>
      </c>
      <c r="BK111" s="898" t="b">
        <f>IF(BL111=TRUE,FALSE,IF(SUM(K111,O111)&gt;I111,TRUE,FALSE))</f>
        <v>0</v>
      </c>
      <c r="BL111" s="899" t="b">
        <f>IF(AND(C111&lt;&gt;"",I111=""),TRUE,FALSE)</f>
        <v>0</v>
      </c>
      <c r="BM111" s="898" t="b">
        <f>IF(BN111=TRUE,FALSE,IF(M111&gt;K111,TRUE,FALSE))</f>
        <v>0</v>
      </c>
      <c r="BN111" s="899" t="b">
        <f>IF(AND($C111&lt;&gt;"",K111=""),TRUE,FALSE)</f>
        <v>0</v>
      </c>
      <c r="BO111" s="898"/>
      <c r="BP111" s="899" t="b">
        <f>IF(AND($C111&lt;&gt;"",M111=""),TRUE,FALSE)</f>
        <v>0</v>
      </c>
      <c r="BQ111" s="898"/>
      <c r="BR111" s="899" t="b">
        <f>IF(AND($C111&lt;&gt;"",O111=""),TRUE,FALSE)</f>
        <v>0</v>
      </c>
      <c r="BS111" s="898" t="b">
        <f>IF(AND(S111="",OR(U111&lt;&gt;"",AA111&lt;&gt;"",AG111&lt;&gt;"",AI111&lt;&gt;"",AK111&lt;&gt;"",AM111&lt;&gt;"",AO111&lt;&gt;"",AQ111&lt;&gt;"",AS111&lt;&gt;"",AU111&lt;&gt;"",AW111&lt;&gt;"",AY111&lt;&gt;"",BA111&lt;&gt;"")),TRUE,FALSE)</f>
        <v>0</v>
      </c>
      <c r="BT111" s="899" t="b">
        <f>IF(AND($C111&lt;&gt;"",S111=""),TRUE,FALSE)</f>
        <v>0</v>
      </c>
      <c r="BU111" s="898"/>
      <c r="BV111" s="899" t="b">
        <f>IF(AND($C111&lt;&gt;"",U111=""),TRUE,FALSE)</f>
        <v>0</v>
      </c>
      <c r="BW111" s="1537" t="b">
        <f>IF(BX111=TRUE,FALSE,IF(AA111="",FALSE,IF(OR(AA111&lt;CX111,AA111&gt;BaseYear),TRUE,FALSE)))</f>
        <v>0</v>
      </c>
      <c r="BX111" s="899" t="b">
        <f>IF(AND($C111&lt;&gt;"",AA111=""),TRUE,FALSE)</f>
        <v>0</v>
      </c>
      <c r="BY111" s="898"/>
      <c r="BZ111" s="899" t="b">
        <f>IF(AND($C111&lt;&gt;"",AG111=""),TRUE,FALSE)</f>
        <v>0</v>
      </c>
      <c r="CA111" s="898"/>
      <c r="CB111" s="899" t="b">
        <f>IF(AND($C111&lt;&gt;"",AI111=""),TRUE,FALSE)</f>
        <v>0</v>
      </c>
      <c r="CC111" s="1537" t="b">
        <f>IF(AK111="",FALSE,IF(OR(AK111&lt;CX111,AK111&gt;BaseYear),TRUE,FALSE))</f>
        <v>0</v>
      </c>
      <c r="CD111" s="1538" t="b">
        <f>IF(AK111="",FALSE,IF(AK111&lt;AA111,TRUE,FALSE))</f>
        <v>0</v>
      </c>
      <c r="CE111" s="899" t="b">
        <f>IF(AND($AM111&lt;&gt;"",AK111=""),TRUE,FALSE)</f>
        <v>0</v>
      </c>
      <c r="CF111" s="898"/>
      <c r="CG111" s="899" t="b">
        <f>IF(AND($AK111&lt;&gt;"",AM111=""),TRUE,FALSE)</f>
        <v>0</v>
      </c>
      <c r="CH111" s="898"/>
      <c r="CI111" s="899" t="b">
        <f>IF(AND($C111&lt;&gt;"",AO111=""),TRUE,FALSE)</f>
        <v>0</v>
      </c>
      <c r="CJ111" s="1537"/>
      <c r="CK111" s="899" t="b">
        <f>IF(AND($C111&lt;&gt;"",AQ111=""),TRUE,FALSE)</f>
        <v>0</v>
      </c>
      <c r="CL111" s="898"/>
      <c r="CM111" s="899" t="b">
        <f>IF(AND($C111&lt;&gt;"",AS111=""),TRUE,FALSE)</f>
        <v>0</v>
      </c>
      <c r="CN111" s="898"/>
      <c r="CO111" s="899" t="b">
        <f>IF(AND($C111&lt;&gt;"",AU111=""),TRUE,FALSE)</f>
        <v>0</v>
      </c>
      <c r="CP111" s="898"/>
      <c r="CQ111" s="899" t="b">
        <f>IF(AND($C111&lt;&gt;"",AW111=""),TRUE,FALSE)</f>
        <v>0</v>
      </c>
      <c r="CR111" s="898"/>
      <c r="CS111" s="899" t="b">
        <f>IF(AND($C111&lt;&gt;"",AY111=""),TRUE,FALSE)</f>
        <v>0</v>
      </c>
      <c r="CT111" s="898"/>
      <c r="CU111" s="898" t="b">
        <f>IF(AND($C111&lt;&gt;"",BA111=""),TRUE,FALSE)</f>
        <v>0</v>
      </c>
      <c r="CV111" s="894"/>
      <c r="CW111" s="898" t="str">
        <f t="shared" si="29"/>
        <v/>
      </c>
      <c r="CX111" s="898" t="str">
        <f>IFERROR(IF(AND(S111="",S111&lt;&gt;""),1913,VLOOKUP(S111,Valid!$B$99:$J$120,9)),"")</f>
        <v/>
      </c>
      <c r="CY111" s="898" t="str">
        <f t="shared" ca="1" si="30"/>
        <v/>
      </c>
      <c r="CZ111" s="1547" t="str">
        <f t="shared" ca="1" si="35"/>
        <v/>
      </c>
      <c r="DA111" s="898" t="str">
        <f ca="1">IF(CZ111="", "", IF(1+(CZ111*4)&lt;1, 1, 1+(CZ111*4)))</f>
        <v/>
      </c>
      <c r="DB111" s="898" t="str">
        <f t="shared" si="31"/>
        <v/>
      </c>
      <c r="DC111" s="898" t="str">
        <f t="shared" si="32"/>
        <v/>
      </c>
      <c r="DD111" s="1539" t="str">
        <f>IFERROR(IF(AND(AM111="",C111&lt;&gt;""),Valid!$E$123,VLOOKUP(AM111,Valid!$B$123:$F$125,4,FALSE)),"")</f>
        <v/>
      </c>
      <c r="DE111" s="1539" t="str">
        <f>IFERROR(IF(AND(AM111="",C111&lt;&gt;""),Valid!$F$123,VLOOKUP(AM111,Valid!$B$123:$F$125,5,FALSE)),"")</f>
        <v/>
      </c>
      <c r="DF111" s="1539" t="str">
        <f>IFERROR(VLOOKUP('A-70 RevVehInv'!S111,Valid!$B$99:$I$120,7), "")</f>
        <v/>
      </c>
      <c r="DG111" s="1539" t="str">
        <f>IFERROR(VLOOKUP(S111,Valid!$B$99:$I$120,8), "")</f>
        <v/>
      </c>
      <c r="DH111" s="894"/>
    </row>
    <row r="112" spans="1:112" ht="6.75" customHeight="1" x14ac:dyDescent="0.2">
      <c r="A112" s="1517"/>
      <c r="B112" s="1530">
        <v>50.5</v>
      </c>
      <c r="C112" s="1544"/>
      <c r="D112" s="905"/>
      <c r="E112" s="1545"/>
      <c r="F112" s="905"/>
      <c r="G112" s="905"/>
      <c r="H112" s="905"/>
      <c r="I112" s="1531"/>
      <c r="J112" s="905"/>
      <c r="K112" s="1531"/>
      <c r="L112" s="905"/>
      <c r="M112" s="1531"/>
      <c r="N112" s="905"/>
      <c r="O112" s="1531"/>
      <c r="P112" s="905"/>
      <c r="Q112" s="1531"/>
      <c r="R112" s="1531"/>
      <c r="S112" s="1533"/>
      <c r="T112" s="905"/>
      <c r="U112" s="1533"/>
      <c r="V112" s="905"/>
      <c r="W112" s="1531" t="str">
        <f t="shared" si="27"/>
        <v/>
      </c>
      <c r="X112" s="905"/>
      <c r="Y112" s="1531"/>
      <c r="Z112" s="252" t="str">
        <f t="shared" si="28"/>
        <v/>
      </c>
      <c r="AA112" s="1531"/>
      <c r="AB112" s="905"/>
      <c r="AC112" s="1971" t="str">
        <f t="shared" si="33"/>
        <v/>
      </c>
      <c r="AD112" s="905"/>
      <c r="AE112" s="1983" t="str">
        <f t="shared" si="34"/>
        <v/>
      </c>
      <c r="AF112" s="905"/>
      <c r="AG112" s="1546"/>
      <c r="AH112" s="1531"/>
      <c r="AI112" s="1531"/>
      <c r="AJ112" s="1531"/>
      <c r="AK112" s="1531"/>
      <c r="AL112" s="1531"/>
      <c r="AM112" s="1546"/>
      <c r="AN112" s="1531"/>
      <c r="AO112" s="1546"/>
      <c r="AP112" s="1531"/>
      <c r="AQ112" s="1531"/>
      <c r="AR112" s="1531"/>
      <c r="AS112" s="1531"/>
      <c r="AT112" s="1531"/>
      <c r="AU112" s="1531"/>
      <c r="AV112" s="1531"/>
      <c r="AW112" s="1531"/>
      <c r="AX112" s="1531"/>
      <c r="AY112" s="1531"/>
      <c r="AZ112" s="1531"/>
      <c r="BA112" s="1546"/>
      <c r="BB112" s="1531"/>
      <c r="BC112" s="1531"/>
      <c r="BD112" s="1531"/>
      <c r="BE112" s="1531"/>
      <c r="BF112" s="1531"/>
      <c r="BG112" s="1531"/>
      <c r="BH112" s="1531"/>
      <c r="BI112" s="1535"/>
      <c r="BJ112" s="1534"/>
      <c r="BK112" s="1535"/>
      <c r="BL112" s="1534"/>
      <c r="BM112" s="1535"/>
      <c r="BN112" s="1534"/>
      <c r="BO112" s="1535"/>
      <c r="BP112" s="1534"/>
      <c r="BQ112" s="1535"/>
      <c r="BR112" s="1534"/>
      <c r="BS112" s="1535"/>
      <c r="BT112" s="1534"/>
      <c r="BU112" s="1535"/>
      <c r="BV112" s="1534"/>
      <c r="BW112" s="1535"/>
      <c r="BX112" s="1534"/>
      <c r="BY112" s="1535"/>
      <c r="BZ112" s="1534"/>
      <c r="CA112" s="1535"/>
      <c r="CB112" s="1534"/>
      <c r="CC112" s="1535"/>
      <c r="CD112" s="1534"/>
      <c r="CE112" s="1534"/>
      <c r="CF112" s="1535"/>
      <c r="CG112" s="1534"/>
      <c r="CH112" s="1535"/>
      <c r="CI112" s="1534"/>
      <c r="CJ112" s="1535"/>
      <c r="CK112" s="1534"/>
      <c r="CL112" s="1535"/>
      <c r="CM112" s="1534"/>
      <c r="CN112" s="1535"/>
      <c r="CO112" s="1534"/>
      <c r="CP112" s="1535"/>
      <c r="CQ112" s="1534"/>
      <c r="CR112" s="1535"/>
      <c r="CS112" s="1534"/>
      <c r="CT112" s="1535"/>
      <c r="CU112" s="1535"/>
      <c r="CV112" s="1531"/>
      <c r="CW112" s="898" t="str">
        <f t="shared" si="29"/>
        <v/>
      </c>
      <c r="CX112" s="898" t="str">
        <f>IFERROR(IF(AND(S112="",S112&lt;&gt;""),1913,VLOOKUP(S112,Valid!$B$99:$J$120,9)),"")</f>
        <v/>
      </c>
      <c r="CY112" s="898" t="str">
        <f t="shared" ca="1" si="30"/>
        <v/>
      </c>
      <c r="CZ112" s="1547" t="str">
        <f t="shared" ca="1" si="35"/>
        <v/>
      </c>
      <c r="DA112" s="898"/>
      <c r="DB112" s="898" t="str">
        <f t="shared" si="31"/>
        <v/>
      </c>
      <c r="DC112" s="898" t="str">
        <f t="shared" si="32"/>
        <v/>
      </c>
      <c r="DD112" s="1539" t="str">
        <f>IFERROR(IF(AND(AM112="",C112&lt;&gt;""),Valid!$E$123,VLOOKUP(AM112,Valid!$B$123:$F$125,4,FALSE)),"")</f>
        <v/>
      </c>
      <c r="DE112" s="1539" t="str">
        <f>IFERROR(IF(AND(AM112="",C112&lt;&gt;""),Valid!$F$123,VLOOKUP(AM112,Valid!$B$123:$F$125,5,FALSE)),"")</f>
        <v/>
      </c>
      <c r="DF112" s="1539" t="str">
        <f>IFERROR(VLOOKUP('A-70 RevVehInv'!S112,Valid!$B$99:$I$120,7), "")</f>
        <v/>
      </c>
      <c r="DG112" s="1539" t="str">
        <f>IFERROR(VLOOKUP(S112,Valid!$B$99:$I$120,8), "")</f>
        <v/>
      </c>
      <c r="DH112" s="1531"/>
    </row>
    <row r="113" spans="1:112" s="930" customFormat="1" x14ac:dyDescent="0.2">
      <c r="A113" s="206">
        <v>51</v>
      </c>
      <c r="B113" s="1530">
        <v>51</v>
      </c>
      <c r="C113" s="933"/>
      <c r="D113" s="719" t="str">
        <f>IF(C111="","",IF((C113=""),"Enter RVI ID. then Fill in Columns "&amp;TEXT($I$2,0)&amp;" - "&amp;TEXT($BA$2,0)&amp;"       ",""))</f>
        <v/>
      </c>
      <c r="E113" s="1056" t="str">
        <f>IF(BH113="N/A","",BH113)</f>
        <v/>
      </c>
      <c r="F113" s="1536"/>
      <c r="G113" s="1536"/>
      <c r="H113" s="1536"/>
      <c r="I113" s="1023"/>
      <c r="J113" s="1536" t="str">
        <f>IF(E113&lt;&gt;"","Vehicles?    ","")</f>
        <v/>
      </c>
      <c r="K113" s="1023"/>
      <c r="L113" s="1536" t="str">
        <f>IF(E113&lt;&gt;"","Active Vehicles?     ","")</f>
        <v/>
      </c>
      <c r="M113" s="1023"/>
      <c r="N113" s="1536" t="str">
        <f>IF(E113&lt;&gt;"","ADA Vehicles?       ","")</f>
        <v/>
      </c>
      <c r="O113" s="1023"/>
      <c r="P113" s="1536" t="str">
        <f>IF(E113&lt;&gt;"","Cont. Vehicles?     ","")</f>
        <v/>
      </c>
      <c r="Q113" s="1024"/>
      <c r="R113" s="894"/>
      <c r="S113" s="1153"/>
      <c r="T113" s="252" t="str">
        <f>IF(E113&lt;&gt;"","Select from Pull-Down List    ","")</f>
        <v/>
      </c>
      <c r="U113" s="933"/>
      <c r="V113" s="252" t="str">
        <f>IF(E113&lt;&gt;"","Select from Pull-Down List    ","")</f>
        <v/>
      </c>
      <c r="W113" s="1766" t="str">
        <f t="shared" si="27"/>
        <v/>
      </c>
      <c r="X113" s="252"/>
      <c r="Y113" s="1988"/>
      <c r="Z113" s="252" t="str">
        <f t="shared" si="28"/>
        <v/>
      </c>
      <c r="AA113" s="139"/>
      <c r="AB113" s="252" t="str">
        <f>IF(E113&lt;&gt;"","Mfg. Yr?    ","")</f>
        <v/>
      </c>
      <c r="AC113" s="1974" t="str">
        <f t="shared" si="33"/>
        <v/>
      </c>
      <c r="AD113" s="252"/>
      <c r="AE113" s="1986" t="str">
        <f t="shared" si="34"/>
        <v/>
      </c>
      <c r="AF113" s="252"/>
      <c r="AG113" s="933"/>
      <c r="AH113" s="252" t="str">
        <f>IF(E113&lt;&gt;"","Select from Pull-Down List    ","")</f>
        <v/>
      </c>
      <c r="AI113" s="933"/>
      <c r="AJ113" s="252" t="str">
        <f>IF(E113&lt;&gt;"","Number?   ","")</f>
        <v/>
      </c>
      <c r="AK113" s="139"/>
      <c r="AL113" s="252" t="str">
        <f>IF(E113&lt;&gt;"","Last Rnwl. Yr?   ","")</f>
        <v/>
      </c>
      <c r="AM113" s="933"/>
      <c r="AN113" s="252" t="str">
        <f>IF(E113&lt;&gt;"","Select from Pull-Down List    ","")</f>
        <v/>
      </c>
      <c r="AO113" s="933"/>
      <c r="AP113" s="252" t="str">
        <f>IF(E113&lt;&gt;"","Select from Pull-Down List    ","")</f>
        <v/>
      </c>
      <c r="AQ113" s="1023"/>
      <c r="AR113" s="252" t="str">
        <f>IF(E113&lt;&gt;"","Feet?    ","")</f>
        <v/>
      </c>
      <c r="AS113" s="1023"/>
      <c r="AT113" s="252" t="str">
        <f>IF(E113&lt;&gt;"","Seats?    ","")</f>
        <v/>
      </c>
      <c r="AU113" s="1023"/>
      <c r="AV113" s="252" t="str">
        <f>IF(E113&lt;&gt;"","Standing?    ","")</f>
        <v/>
      </c>
      <c r="AW113" s="1023"/>
      <c r="AX113" s="252" t="str">
        <f>IF(E113&lt;&gt;"","Mileage?       ","")</f>
        <v/>
      </c>
      <c r="AY113" s="1023"/>
      <c r="AZ113" s="252" t="str">
        <f>IF(E113&lt;&gt;"","Avg. Lifetime Mileage? ","")</f>
        <v/>
      </c>
      <c r="BA113" s="933"/>
      <c r="BB113" s="252" t="str">
        <f>IF(E113&lt;&gt;"","Select from Pull-Down List    ","")</f>
        <v/>
      </c>
      <c r="BC113" s="171"/>
      <c r="BD113" s="252" t="str">
        <f>IF(OR(AO113="OR - Other fuel (describe in Notes)",AG113="ZZZ - Other (describe in Notes)"),"Describe                                                                                                     ","")</f>
        <v/>
      </c>
      <c r="BE113" s="894"/>
      <c r="BF113" s="894"/>
      <c r="BG113" s="894" t="b">
        <f>IF(AND(C113="",C115&lt;&gt;""),TRUE,FALSE)</f>
        <v>0</v>
      </c>
      <c r="BH113" s="888" t="str">
        <f>IF(AND(C113&lt;&gt;"",OR(I113="",K113="",M113="",O113="",S113="",U113="",AA113="",AG113="",AI113="",AO113="",AQ113="",AS113="",AU113="",AW113="",AY113="")),"No",IF(AND(C113="",OR(I113&lt;&gt;"",K113&lt;&gt;"",M113&lt;&gt;"",O113&lt;&gt;"",S113&lt;&gt;"",U113&lt;&gt;"",AA113&lt;&gt;"",AG113&lt;&gt;"",AI113&lt;&gt;"",AK113&lt;&gt;"",AM113&lt;&gt;"",AO113&lt;&gt;"",AQ113&lt;&gt;"",AS113&lt;&gt;"",AU113&lt;&gt;"",AW113&lt;&gt;"",AY113&lt;&gt;"",BA113&lt;&gt;"",BC113&lt;&gt;"")),"No",IF(AND(C113="",I113="",K113="",M113="",O113="",S113="",U113="",AA113="",AG113="",AI113="",AK113="",AM113="",AO113="",AQ113="",AS113="",AU113="",AW113="",AY113="",BA113=""),"N/A","Yes")))</f>
        <v>N/A</v>
      </c>
      <c r="BI113" s="898"/>
      <c r="BJ113" s="899" t="b">
        <f>IF(AND(OR(I113&lt;&gt;"",K113&lt;&gt;"",M113&lt;&gt;"",O113&lt;&gt;"",S113&lt;&gt;"",U113&lt;&gt;"",AA113&lt;&gt;"",AG113&lt;&gt;"",AI113&lt;&gt;"",AK113&lt;&gt;"",AM113&lt;&gt;"",AO113&lt;&gt;"",AQ113&lt;&gt;"",AS113&lt;&gt;"",AW113&lt;&gt;"",AY113&lt;&gt;"",BA113&lt;&gt;"",BC113&lt;&gt;""),C113=""),TRUE,FALSE)</f>
        <v>0</v>
      </c>
      <c r="BK113" s="898" t="b">
        <f>IF(BL113=TRUE,FALSE,IF(SUM(K113,O113)&gt;I113,TRUE,FALSE))</f>
        <v>0</v>
      </c>
      <c r="BL113" s="899" t="b">
        <f>IF(AND(C113&lt;&gt;"",I113=""),TRUE,FALSE)</f>
        <v>0</v>
      </c>
      <c r="BM113" s="898" t="b">
        <f>IF(BN113=TRUE,FALSE,IF(M113&gt;K113,TRUE,FALSE))</f>
        <v>0</v>
      </c>
      <c r="BN113" s="899" t="b">
        <f>IF(AND($C113&lt;&gt;"",K113=""),TRUE,FALSE)</f>
        <v>0</v>
      </c>
      <c r="BO113" s="898"/>
      <c r="BP113" s="899" t="b">
        <f>IF(AND($C113&lt;&gt;"",M113=""),TRUE,FALSE)</f>
        <v>0</v>
      </c>
      <c r="BQ113" s="898"/>
      <c r="BR113" s="899" t="b">
        <f>IF(AND($C113&lt;&gt;"",O113=""),TRUE,FALSE)</f>
        <v>0</v>
      </c>
      <c r="BS113" s="898" t="b">
        <f>IF(AND(S113="",OR(U113&lt;&gt;"",AA113&lt;&gt;"",AG113&lt;&gt;"",AI113&lt;&gt;"",AK113&lt;&gt;"",AM113&lt;&gt;"",AO113&lt;&gt;"",AQ113&lt;&gt;"",AS113&lt;&gt;"",AU113&lt;&gt;"",AW113&lt;&gt;"",AY113&lt;&gt;"",BA113&lt;&gt;"")),TRUE,FALSE)</f>
        <v>0</v>
      </c>
      <c r="BT113" s="899" t="b">
        <f>IF(AND($C113&lt;&gt;"",S113=""),TRUE,FALSE)</f>
        <v>0</v>
      </c>
      <c r="BU113" s="898"/>
      <c r="BV113" s="899" t="b">
        <f>IF(AND($C113&lt;&gt;"",U113=""),TRUE,FALSE)</f>
        <v>0</v>
      </c>
      <c r="BW113" s="1537" t="b">
        <f>IF(BX113=TRUE,FALSE,IF(AA113="",FALSE,IF(OR(AA113&lt;CX113,AA113&gt;BaseYear),TRUE,FALSE)))</f>
        <v>0</v>
      </c>
      <c r="BX113" s="899" t="b">
        <f>IF(AND($C113&lt;&gt;"",AA113=""),TRUE,FALSE)</f>
        <v>0</v>
      </c>
      <c r="BY113" s="898"/>
      <c r="BZ113" s="899" t="b">
        <f>IF(AND($C113&lt;&gt;"",AG113=""),TRUE,FALSE)</f>
        <v>0</v>
      </c>
      <c r="CA113" s="898"/>
      <c r="CB113" s="899" t="b">
        <f>IF(AND($C113&lt;&gt;"",AI113=""),TRUE,FALSE)</f>
        <v>0</v>
      </c>
      <c r="CC113" s="1537" t="b">
        <f>IF(AK113="",FALSE,IF(OR(AK113&lt;CX113,AK113&gt;BaseYear),TRUE,FALSE))</f>
        <v>0</v>
      </c>
      <c r="CD113" s="1538" t="b">
        <f>IF(AK113="",FALSE,IF(AK113&lt;AA113,TRUE,FALSE))</f>
        <v>0</v>
      </c>
      <c r="CE113" s="899" t="b">
        <f>IF(AND($AM113&lt;&gt;"",AK113=""),TRUE,FALSE)</f>
        <v>0</v>
      </c>
      <c r="CF113" s="898"/>
      <c r="CG113" s="898" t="b">
        <f>IF(AND($AK113&lt;&gt;"",AM113=""),TRUE,FALSE)</f>
        <v>0</v>
      </c>
      <c r="CH113" s="898"/>
      <c r="CI113" s="899" t="b">
        <f>IF(AND($C113&lt;&gt;"",AO113=""),TRUE,FALSE)</f>
        <v>0</v>
      </c>
      <c r="CJ113" s="1537"/>
      <c r="CK113" s="899" t="b">
        <f>IF(AND($C113&lt;&gt;"",AQ113=""),TRUE,FALSE)</f>
        <v>0</v>
      </c>
      <c r="CL113" s="898"/>
      <c r="CM113" s="899" t="b">
        <f>IF(AND($C113&lt;&gt;"",AS113=""),TRUE,FALSE)</f>
        <v>0</v>
      </c>
      <c r="CN113" s="898"/>
      <c r="CO113" s="899" t="b">
        <f>IF(AND($C113&lt;&gt;"",AU113=""),TRUE,FALSE)</f>
        <v>0</v>
      </c>
      <c r="CP113" s="898"/>
      <c r="CQ113" s="899" t="b">
        <f>IF(AND($C113&lt;&gt;"",AW113=""),TRUE,FALSE)</f>
        <v>0</v>
      </c>
      <c r="CR113" s="898"/>
      <c r="CS113" s="899" t="b">
        <f>IF(AND($C113&lt;&gt;"",AY113=""),TRUE,FALSE)</f>
        <v>0</v>
      </c>
      <c r="CT113" s="898"/>
      <c r="CU113" s="898" t="b">
        <f>IF(AND($C113&lt;&gt;"",BA113=""),TRUE,FALSE)</f>
        <v>0</v>
      </c>
      <c r="CV113" s="894"/>
      <c r="CW113" s="898" t="str">
        <f t="shared" si="29"/>
        <v/>
      </c>
      <c r="CX113" s="898" t="str">
        <f>IFERROR(IF(AND(S113="",S113&lt;&gt;""),1913,VLOOKUP(S113,Valid!$B$99:$J$120,9)),"")</f>
        <v/>
      </c>
      <c r="CY113" s="898" t="str">
        <f t="shared" ca="1" si="30"/>
        <v/>
      </c>
      <c r="CZ113" s="1547" t="str">
        <f t="shared" ca="1" si="35"/>
        <v/>
      </c>
      <c r="DA113" s="898" t="str">
        <f ca="1">IF(CZ113="", "", IF(1+(CZ113*4)&lt;1, 1, 1+(CZ113*4)))</f>
        <v/>
      </c>
      <c r="DB113" s="898" t="str">
        <f t="shared" si="31"/>
        <v/>
      </c>
      <c r="DC113" s="898" t="str">
        <f t="shared" si="32"/>
        <v/>
      </c>
      <c r="DD113" s="1539" t="str">
        <f>IFERROR(IF(AND(AM113="",C113&lt;&gt;""),Valid!$E$123,VLOOKUP(AM113,Valid!$B$123:$F$125,4,FALSE)),"")</f>
        <v/>
      </c>
      <c r="DE113" s="1539" t="str">
        <f>IFERROR(IF(AND(AM113="",C113&lt;&gt;""),Valid!$F$123,VLOOKUP(AM113,Valid!$B$123:$F$125,5,FALSE)),"")</f>
        <v/>
      </c>
      <c r="DF113" s="1539" t="str">
        <f>IFERROR(VLOOKUP('A-70 RevVehInv'!S113,Valid!$B$99:$I$120,7), "")</f>
        <v/>
      </c>
      <c r="DG113" s="1539" t="str">
        <f>IFERROR(VLOOKUP(S113,Valid!$B$99:$I$120,8), "")</f>
        <v/>
      </c>
      <c r="DH113" s="894"/>
    </row>
    <row r="114" spans="1:112" ht="6.75" customHeight="1" x14ac:dyDescent="0.2">
      <c r="A114" s="1516"/>
      <c r="B114" s="1530">
        <v>51.5</v>
      </c>
      <c r="C114" s="1540"/>
      <c r="D114" s="905"/>
      <c r="E114" s="1541"/>
      <c r="F114" s="905"/>
      <c r="G114" s="905"/>
      <c r="H114" s="905"/>
      <c r="I114" s="1534"/>
      <c r="J114" s="905"/>
      <c r="K114" s="1534"/>
      <c r="L114" s="905"/>
      <c r="M114" s="1534"/>
      <c r="N114" s="905"/>
      <c r="O114" s="1534"/>
      <c r="P114" s="905"/>
      <c r="Q114" s="1534"/>
      <c r="R114" s="1531"/>
      <c r="S114" s="1542"/>
      <c r="T114" s="905"/>
      <c r="U114" s="1542"/>
      <c r="V114" s="905"/>
      <c r="W114" s="1534" t="str">
        <f t="shared" si="27"/>
        <v/>
      </c>
      <c r="X114" s="905"/>
      <c r="Y114" s="1534"/>
      <c r="Z114" s="252" t="str">
        <f t="shared" si="28"/>
        <v/>
      </c>
      <c r="AA114" s="1534"/>
      <c r="AB114" s="905"/>
      <c r="AC114" s="1973" t="str">
        <f t="shared" si="33"/>
        <v/>
      </c>
      <c r="AD114" s="905"/>
      <c r="AE114" s="1985" t="str">
        <f t="shared" si="34"/>
        <v/>
      </c>
      <c r="AF114" s="905"/>
      <c r="AG114" s="1543"/>
      <c r="AH114" s="1531"/>
      <c r="AI114" s="1534"/>
      <c r="AJ114" s="1531"/>
      <c r="AK114" s="1534"/>
      <c r="AL114" s="1531"/>
      <c r="AM114" s="1543"/>
      <c r="AN114" s="1531"/>
      <c r="AO114" s="1543"/>
      <c r="AP114" s="1531"/>
      <c r="AQ114" s="1534"/>
      <c r="AR114" s="1531"/>
      <c r="AS114" s="1534"/>
      <c r="AT114" s="1531"/>
      <c r="AU114" s="1534"/>
      <c r="AV114" s="1531"/>
      <c r="AW114" s="1534"/>
      <c r="AX114" s="1531"/>
      <c r="AY114" s="1534"/>
      <c r="AZ114" s="1531"/>
      <c r="BA114" s="1543"/>
      <c r="BB114" s="1531"/>
      <c r="BC114" s="1534"/>
      <c r="BD114" s="1531"/>
      <c r="BE114" s="1531"/>
      <c r="BF114" s="1531"/>
      <c r="BG114" s="1531"/>
      <c r="BH114" s="1531"/>
      <c r="BI114" s="1535"/>
      <c r="BJ114" s="1534"/>
      <c r="BK114" s="1535"/>
      <c r="BL114" s="1534"/>
      <c r="BM114" s="1535"/>
      <c r="BN114" s="1534"/>
      <c r="BO114" s="1535"/>
      <c r="BP114" s="1534"/>
      <c r="BQ114" s="1535"/>
      <c r="BR114" s="1534"/>
      <c r="BS114" s="1535"/>
      <c r="BT114" s="1534"/>
      <c r="BU114" s="1535"/>
      <c r="BV114" s="1534"/>
      <c r="BW114" s="1535"/>
      <c r="BX114" s="1534"/>
      <c r="BY114" s="1535"/>
      <c r="BZ114" s="1534"/>
      <c r="CA114" s="1535"/>
      <c r="CB114" s="1534"/>
      <c r="CC114" s="1535"/>
      <c r="CD114" s="1534"/>
      <c r="CE114" s="1534"/>
      <c r="CF114" s="1535"/>
      <c r="CG114" s="1534"/>
      <c r="CH114" s="1535"/>
      <c r="CI114" s="1534"/>
      <c r="CJ114" s="1535"/>
      <c r="CK114" s="1534"/>
      <c r="CL114" s="1535"/>
      <c r="CM114" s="1534"/>
      <c r="CN114" s="1535"/>
      <c r="CO114" s="1534"/>
      <c r="CP114" s="1535"/>
      <c r="CQ114" s="1534"/>
      <c r="CR114" s="1535"/>
      <c r="CS114" s="1534"/>
      <c r="CT114" s="1535"/>
      <c r="CU114" s="1535"/>
      <c r="CV114" s="1531"/>
      <c r="CW114" s="898" t="str">
        <f t="shared" si="29"/>
        <v/>
      </c>
      <c r="CX114" s="898" t="str">
        <f>IFERROR(IF(AND(S114="",S114&lt;&gt;""),1913,VLOOKUP(S114,Valid!$B$99:$J$120,9)),"")</f>
        <v/>
      </c>
      <c r="CY114" s="898" t="str">
        <f t="shared" ca="1" si="30"/>
        <v/>
      </c>
      <c r="CZ114" s="1547" t="str">
        <f t="shared" ca="1" si="35"/>
        <v/>
      </c>
      <c r="DA114" s="898"/>
      <c r="DB114" s="898" t="str">
        <f t="shared" si="31"/>
        <v/>
      </c>
      <c r="DC114" s="898" t="str">
        <f t="shared" si="32"/>
        <v/>
      </c>
      <c r="DD114" s="1539" t="str">
        <f>IFERROR(IF(AND(AM114="",C114&lt;&gt;""),Valid!$E$123,VLOOKUP(AM114,Valid!$B$123:$F$125,4,FALSE)),"")</f>
        <v/>
      </c>
      <c r="DE114" s="1539" t="str">
        <f>IFERROR(IF(AND(AM114="",C114&lt;&gt;""),Valid!$F$123,VLOOKUP(AM114,Valid!$B$123:$F$125,5,FALSE)),"")</f>
        <v/>
      </c>
      <c r="DF114" s="1539" t="str">
        <f>IFERROR(VLOOKUP('A-70 RevVehInv'!S114,Valid!$B$99:$I$120,7), "")</f>
        <v/>
      </c>
      <c r="DG114" s="1539" t="str">
        <f>IFERROR(VLOOKUP(S114,Valid!$B$99:$I$120,8), "")</f>
        <v/>
      </c>
      <c r="DH114" s="1531"/>
    </row>
    <row r="115" spans="1:112" s="930" customFormat="1" x14ac:dyDescent="0.2">
      <c r="A115" s="206">
        <v>52</v>
      </c>
      <c r="B115" s="1530">
        <v>52</v>
      </c>
      <c r="C115" s="933"/>
      <c r="D115" s="719" t="str">
        <f>IF(C113="","",IF((C115=""),"Enter RVI ID. then Fill in Columns "&amp;TEXT($I$2,0)&amp;" - "&amp;TEXT($BA$2,0)&amp;"       ",""))</f>
        <v/>
      </c>
      <c r="E115" s="1056" t="str">
        <f>IF(BH115="N/A","",BH115)</f>
        <v/>
      </c>
      <c r="F115" s="1536"/>
      <c r="G115" s="1536"/>
      <c r="H115" s="1536"/>
      <c r="I115" s="1023"/>
      <c r="J115" s="1536" t="str">
        <f>IF(E115&lt;&gt;"","Vehicles?    ","")</f>
        <v/>
      </c>
      <c r="K115" s="1023"/>
      <c r="L115" s="1536" t="str">
        <f>IF(E115&lt;&gt;"","Active Vehicles?     ","")</f>
        <v/>
      </c>
      <c r="M115" s="1023"/>
      <c r="N115" s="1536" t="str">
        <f>IF(E115&lt;&gt;"","ADA Vehicles?       ","")</f>
        <v/>
      </c>
      <c r="O115" s="1023"/>
      <c r="P115" s="1536" t="str">
        <f>IF(E115&lt;&gt;"","Cont. Vehicles?     ","")</f>
        <v/>
      </c>
      <c r="Q115" s="1024"/>
      <c r="R115" s="894"/>
      <c r="S115" s="1153"/>
      <c r="T115" s="252" t="str">
        <f>IF(E115&lt;&gt;"","Select from Pull-Down List    ","")</f>
        <v/>
      </c>
      <c r="U115" s="933"/>
      <c r="V115" s="252" t="str">
        <f>IF(E115&lt;&gt;"","Select from Pull-Down List    ","")</f>
        <v/>
      </c>
      <c r="W115" s="1766" t="str">
        <f t="shared" si="27"/>
        <v/>
      </c>
      <c r="X115" s="252"/>
      <c r="Y115" s="1988"/>
      <c r="Z115" s="252" t="str">
        <f t="shared" si="28"/>
        <v/>
      </c>
      <c r="AA115" s="139"/>
      <c r="AB115" s="252" t="str">
        <f>IF(E115&lt;&gt;"","Mfg. Yr?    ","")</f>
        <v/>
      </c>
      <c r="AC115" s="1974" t="str">
        <f t="shared" si="33"/>
        <v/>
      </c>
      <c r="AD115" s="252"/>
      <c r="AE115" s="1986" t="str">
        <f t="shared" si="34"/>
        <v/>
      </c>
      <c r="AF115" s="252"/>
      <c r="AG115" s="933"/>
      <c r="AH115" s="252" t="str">
        <f>IF(E115&lt;&gt;"","Select from Pull-Down List    ","")</f>
        <v/>
      </c>
      <c r="AI115" s="933"/>
      <c r="AJ115" s="252" t="str">
        <f>IF(E115&lt;&gt;"","Number?   ","")</f>
        <v/>
      </c>
      <c r="AK115" s="139"/>
      <c r="AL115" s="252" t="str">
        <f>IF(E115&lt;&gt;"","Last Rnwl. Yr?   ","")</f>
        <v/>
      </c>
      <c r="AM115" s="933"/>
      <c r="AN115" s="252" t="str">
        <f>IF(E115&lt;&gt;"","Select from Pull-Down List    ","")</f>
        <v/>
      </c>
      <c r="AO115" s="933"/>
      <c r="AP115" s="252" t="str">
        <f>IF(E115&lt;&gt;"","Select from Pull-Down List    ","")</f>
        <v/>
      </c>
      <c r="AQ115" s="1023"/>
      <c r="AR115" s="252" t="str">
        <f>IF(E115&lt;&gt;"","Feet?    ","")</f>
        <v/>
      </c>
      <c r="AS115" s="1023"/>
      <c r="AT115" s="252" t="str">
        <f>IF(E115&lt;&gt;"","Seats?    ","")</f>
        <v/>
      </c>
      <c r="AU115" s="1023"/>
      <c r="AV115" s="252" t="str">
        <f>IF(E115&lt;&gt;"","Standing?    ","")</f>
        <v/>
      </c>
      <c r="AW115" s="1023"/>
      <c r="AX115" s="252" t="str">
        <f>IF(E115&lt;&gt;"","Mileage?       ","")</f>
        <v/>
      </c>
      <c r="AY115" s="1023"/>
      <c r="AZ115" s="252" t="str">
        <f>IF(E115&lt;&gt;"","Avg. Lifetime Mileage? ","")</f>
        <v/>
      </c>
      <c r="BA115" s="933"/>
      <c r="BB115" s="252" t="str">
        <f>IF(E115&lt;&gt;"","Select from Pull-Down List    ","")</f>
        <v/>
      </c>
      <c r="BC115" s="171"/>
      <c r="BD115" s="252" t="str">
        <f>IF(OR(AO115="OR - Other fuel (describe in Notes)",AG115="ZZZ - Other (describe in Notes)"),"Describe                                                                                                     ","")</f>
        <v/>
      </c>
      <c r="BE115" s="894"/>
      <c r="BF115" s="894"/>
      <c r="BG115" s="894" t="b">
        <f>IF(AND(C115="",C117&lt;&gt;""),TRUE,FALSE)</f>
        <v>0</v>
      </c>
      <c r="BH115" s="888" t="str">
        <f>IF(AND(C115&lt;&gt;"",OR(I115="",K115="",M115="",O115="",S115="",U115="",AA115="",AG115="",AI115="",AO115="",AQ115="",AS115="",AU115="",AW115="",AY115="")),"No",IF(AND(C115="",OR(I115&lt;&gt;"",K115&lt;&gt;"",M115&lt;&gt;"",O115&lt;&gt;"",S115&lt;&gt;"",U115&lt;&gt;"",AA115&lt;&gt;"",AG115&lt;&gt;"",AI115&lt;&gt;"",AK115&lt;&gt;"",AM115&lt;&gt;"",AO115&lt;&gt;"",AQ115&lt;&gt;"",AS115&lt;&gt;"",AU115&lt;&gt;"",AW115&lt;&gt;"",AY115&lt;&gt;"",BA115&lt;&gt;"",BC115&lt;&gt;"")),"No",IF(AND(C115="",I115="",K115="",M115="",O115="",S115="",U115="",AA115="",AG115="",AI115="",AK115="",AM115="",AO115="",AQ115="",AS115="",AU115="",AW115="",AY115="",BA115=""),"N/A","Yes")))</f>
        <v>N/A</v>
      </c>
      <c r="BI115" s="898"/>
      <c r="BJ115" s="899" t="b">
        <f>IF(AND(OR(I115&lt;&gt;"",K115&lt;&gt;"",M115&lt;&gt;"",O115&lt;&gt;"",S115&lt;&gt;"",U115&lt;&gt;"",AA115&lt;&gt;"",AG115&lt;&gt;"",AI115&lt;&gt;"",AK115&lt;&gt;"",AM115&lt;&gt;"",AO115&lt;&gt;"",AQ115&lt;&gt;"",AS115&lt;&gt;"",AW115&lt;&gt;"",AY115&lt;&gt;"",BA115&lt;&gt;"",BC115&lt;&gt;""),C115=""),TRUE,FALSE)</f>
        <v>0</v>
      </c>
      <c r="BK115" s="898" t="b">
        <f>IF(BL115=TRUE,FALSE,IF(SUM(K115,O115)&gt;I115,TRUE,FALSE))</f>
        <v>0</v>
      </c>
      <c r="BL115" s="899" t="b">
        <f>IF(AND(C115&lt;&gt;"",I115=""),TRUE,FALSE)</f>
        <v>0</v>
      </c>
      <c r="BM115" s="898" t="b">
        <f>IF(BN115=TRUE,FALSE,IF(M115&gt;K115,TRUE,FALSE))</f>
        <v>0</v>
      </c>
      <c r="BN115" s="899" t="b">
        <f>IF(AND($C115&lt;&gt;"",K115=""),TRUE,FALSE)</f>
        <v>0</v>
      </c>
      <c r="BO115" s="898"/>
      <c r="BP115" s="899" t="b">
        <f>IF(AND($C115&lt;&gt;"",M115=""),TRUE,FALSE)</f>
        <v>0</v>
      </c>
      <c r="BQ115" s="898"/>
      <c r="BR115" s="899" t="b">
        <f>IF(AND($C115&lt;&gt;"",O115=""),TRUE,FALSE)</f>
        <v>0</v>
      </c>
      <c r="BS115" s="898" t="b">
        <f>IF(AND(S115="",OR(U115&lt;&gt;"",AA115&lt;&gt;"",AG115&lt;&gt;"",AI115&lt;&gt;"",AK115&lt;&gt;"",AM115&lt;&gt;"",AO115&lt;&gt;"",AQ115&lt;&gt;"",AS115&lt;&gt;"",AU115&lt;&gt;"",AW115&lt;&gt;"",AY115&lt;&gt;"",BA115&lt;&gt;"")),TRUE,FALSE)</f>
        <v>0</v>
      </c>
      <c r="BT115" s="899" t="b">
        <f>IF(AND($C115&lt;&gt;"",S115=""),TRUE,FALSE)</f>
        <v>0</v>
      </c>
      <c r="BU115" s="898"/>
      <c r="BV115" s="899" t="b">
        <f>IF(AND($C115&lt;&gt;"",U115=""),TRUE,FALSE)</f>
        <v>0</v>
      </c>
      <c r="BW115" s="1537" t="b">
        <f>IF(BX115=TRUE,FALSE,IF(AA115="",FALSE,IF(OR(AA115&lt;CX115,AA115&gt;BaseYear),TRUE,FALSE)))</f>
        <v>0</v>
      </c>
      <c r="BX115" s="899" t="b">
        <f>IF(AND($C115&lt;&gt;"",AA115=""),TRUE,FALSE)</f>
        <v>0</v>
      </c>
      <c r="BY115" s="898"/>
      <c r="BZ115" s="899" t="b">
        <f>IF(AND($C115&lt;&gt;"",AG115=""),TRUE,FALSE)</f>
        <v>0</v>
      </c>
      <c r="CA115" s="898"/>
      <c r="CB115" s="899" t="b">
        <f>IF(AND($C115&lt;&gt;"",AI115=""),TRUE,FALSE)</f>
        <v>0</v>
      </c>
      <c r="CC115" s="1537" t="b">
        <f>IF(AK115="",FALSE,IF(OR(AK115&lt;CX115,AK115&gt;BaseYear),TRUE,FALSE))</f>
        <v>0</v>
      </c>
      <c r="CD115" s="1538" t="b">
        <f>IF(AK115="",FALSE,IF(AK115&lt;AA115,TRUE,FALSE))</f>
        <v>0</v>
      </c>
      <c r="CE115" s="899" t="b">
        <f>IF(AND($AM115&lt;&gt;"",AK115=""),TRUE,FALSE)</f>
        <v>0</v>
      </c>
      <c r="CF115" s="898"/>
      <c r="CG115" s="898" t="b">
        <f>IF(AND($AK115&lt;&gt;"",AM115=""),TRUE,FALSE)</f>
        <v>0</v>
      </c>
      <c r="CH115" s="898"/>
      <c r="CI115" s="899" t="b">
        <f>IF(AND($C115&lt;&gt;"",AO115=""),TRUE,FALSE)</f>
        <v>0</v>
      </c>
      <c r="CJ115" s="1537"/>
      <c r="CK115" s="899" t="b">
        <f>IF(AND($C115&lt;&gt;"",AQ115=""),TRUE,FALSE)</f>
        <v>0</v>
      </c>
      <c r="CL115" s="898"/>
      <c r="CM115" s="899" t="b">
        <f>IF(AND($C115&lt;&gt;"",AS115=""),TRUE,FALSE)</f>
        <v>0</v>
      </c>
      <c r="CN115" s="898"/>
      <c r="CO115" s="899" t="b">
        <f>IF(AND($C115&lt;&gt;"",AU115=""),TRUE,FALSE)</f>
        <v>0</v>
      </c>
      <c r="CP115" s="898"/>
      <c r="CQ115" s="899" t="b">
        <f>IF(AND($C115&lt;&gt;"",AW115=""),TRUE,FALSE)</f>
        <v>0</v>
      </c>
      <c r="CR115" s="898"/>
      <c r="CS115" s="899" t="b">
        <f>IF(AND($C115&lt;&gt;"",AY115=""),TRUE,FALSE)</f>
        <v>0</v>
      </c>
      <c r="CT115" s="898"/>
      <c r="CU115" s="898" t="b">
        <f>IF(AND($C115&lt;&gt;"",BA115=""),TRUE,FALSE)</f>
        <v>0</v>
      </c>
      <c r="CV115" s="894"/>
      <c r="CW115" s="898" t="str">
        <f t="shared" si="29"/>
        <v/>
      </c>
      <c r="CX115" s="898" t="str">
        <f>IFERROR(IF(AND(S115="",S115&lt;&gt;""),1913,VLOOKUP(S115,Valid!$B$99:$J$120,9)),"")</f>
        <v/>
      </c>
      <c r="CY115" s="898" t="str">
        <f t="shared" ca="1" si="30"/>
        <v/>
      </c>
      <c r="CZ115" s="1547" t="str">
        <f t="shared" ca="1" si="35"/>
        <v/>
      </c>
      <c r="DA115" s="898" t="str">
        <f ca="1">IF(CZ115="", "", IF(1+(CZ115*4)&lt;1, 1, 1+(CZ115*4)))</f>
        <v/>
      </c>
      <c r="DB115" s="898" t="str">
        <f t="shared" si="31"/>
        <v/>
      </c>
      <c r="DC115" s="898" t="str">
        <f t="shared" si="32"/>
        <v/>
      </c>
      <c r="DD115" s="1539" t="str">
        <f>IFERROR(IF(AND(AM115="",C115&lt;&gt;""),Valid!$E$123,VLOOKUP(AM115,Valid!$B$123:$F$125,4,FALSE)),"")</f>
        <v/>
      </c>
      <c r="DE115" s="1539" t="str">
        <f>IFERROR(IF(AND(AM115="",C115&lt;&gt;""),Valid!$F$123,VLOOKUP(AM115,Valid!$B$123:$F$125,5,FALSE)),"")</f>
        <v/>
      </c>
      <c r="DF115" s="1539" t="str">
        <f>IFERROR(VLOOKUP('A-70 RevVehInv'!S115,Valid!$B$99:$I$120,7), "")</f>
        <v/>
      </c>
      <c r="DG115" s="1539" t="str">
        <f>IFERROR(VLOOKUP(S115,Valid!$B$99:$I$120,8), "")</f>
        <v/>
      </c>
      <c r="DH115" s="894"/>
    </row>
    <row r="116" spans="1:112" ht="6.75" customHeight="1" x14ac:dyDescent="0.2">
      <c r="A116" s="1516"/>
      <c r="B116" s="1530">
        <v>52.5</v>
      </c>
      <c r="C116" s="1544"/>
      <c r="D116" s="905"/>
      <c r="E116" s="1545"/>
      <c r="F116" s="905"/>
      <c r="G116" s="905"/>
      <c r="H116" s="905"/>
      <c r="I116" s="1531"/>
      <c r="J116" s="905"/>
      <c r="K116" s="1531"/>
      <c r="L116" s="905"/>
      <c r="M116" s="1531"/>
      <c r="N116" s="905"/>
      <c r="O116" s="1531"/>
      <c r="P116" s="905"/>
      <c r="Q116" s="1531"/>
      <c r="R116" s="1531"/>
      <c r="S116" s="1533"/>
      <c r="T116" s="905"/>
      <c r="U116" s="1533"/>
      <c r="V116" s="905"/>
      <c r="W116" s="1531" t="str">
        <f t="shared" si="27"/>
        <v/>
      </c>
      <c r="X116" s="905"/>
      <c r="Y116" s="1531"/>
      <c r="Z116" s="252" t="str">
        <f t="shared" si="28"/>
        <v/>
      </c>
      <c r="AA116" s="1531"/>
      <c r="AB116" s="905"/>
      <c r="AC116" s="1971" t="str">
        <f t="shared" si="33"/>
        <v/>
      </c>
      <c r="AD116" s="905"/>
      <c r="AE116" s="1983" t="str">
        <f t="shared" si="34"/>
        <v/>
      </c>
      <c r="AF116" s="905"/>
      <c r="AG116" s="1546"/>
      <c r="AH116" s="1531"/>
      <c r="AI116" s="1531"/>
      <c r="AJ116" s="1531"/>
      <c r="AK116" s="1531"/>
      <c r="AL116" s="1531"/>
      <c r="AM116" s="1546"/>
      <c r="AN116" s="1531"/>
      <c r="AO116" s="1546"/>
      <c r="AP116" s="1531"/>
      <c r="AQ116" s="1531"/>
      <c r="AR116" s="1531"/>
      <c r="AS116" s="1531"/>
      <c r="AT116" s="1531"/>
      <c r="AU116" s="1531"/>
      <c r="AV116" s="1531"/>
      <c r="AW116" s="1531"/>
      <c r="AX116" s="1531"/>
      <c r="AY116" s="1531"/>
      <c r="AZ116" s="1531"/>
      <c r="BA116" s="1546"/>
      <c r="BB116" s="1531"/>
      <c r="BC116" s="1531"/>
      <c r="BD116" s="1531"/>
      <c r="BE116" s="1531"/>
      <c r="BF116" s="1531"/>
      <c r="BG116" s="1531"/>
      <c r="BH116" s="1531"/>
      <c r="BI116" s="1535"/>
      <c r="BJ116" s="1534"/>
      <c r="BK116" s="1535"/>
      <c r="BL116" s="1534"/>
      <c r="BM116" s="1535"/>
      <c r="BN116" s="1534"/>
      <c r="BO116" s="1535"/>
      <c r="BP116" s="1534"/>
      <c r="BQ116" s="1535"/>
      <c r="BR116" s="1534"/>
      <c r="BS116" s="1535"/>
      <c r="BT116" s="1534"/>
      <c r="BU116" s="1535"/>
      <c r="BV116" s="1534"/>
      <c r="BW116" s="1535"/>
      <c r="BX116" s="1534"/>
      <c r="BY116" s="1535"/>
      <c r="BZ116" s="1534"/>
      <c r="CA116" s="1535"/>
      <c r="CB116" s="1534"/>
      <c r="CC116" s="1535"/>
      <c r="CD116" s="1534"/>
      <c r="CE116" s="1534"/>
      <c r="CF116" s="1535"/>
      <c r="CG116" s="1534"/>
      <c r="CH116" s="1535"/>
      <c r="CI116" s="1534"/>
      <c r="CJ116" s="1535"/>
      <c r="CK116" s="1534"/>
      <c r="CL116" s="1535"/>
      <c r="CM116" s="1534"/>
      <c r="CN116" s="1535"/>
      <c r="CO116" s="1534"/>
      <c r="CP116" s="1535"/>
      <c r="CQ116" s="1534"/>
      <c r="CR116" s="1535"/>
      <c r="CS116" s="1534"/>
      <c r="CT116" s="1535"/>
      <c r="CU116" s="1535"/>
      <c r="CV116" s="1531"/>
      <c r="CW116" s="898" t="str">
        <f t="shared" si="29"/>
        <v/>
      </c>
      <c r="CX116" s="898" t="str">
        <f>IFERROR(IF(AND(S116="",S116&lt;&gt;""),1913,VLOOKUP(S116,Valid!$B$99:$J$120,9)),"")</f>
        <v/>
      </c>
      <c r="CY116" s="898" t="str">
        <f t="shared" ca="1" si="30"/>
        <v/>
      </c>
      <c r="CZ116" s="1547" t="str">
        <f t="shared" ca="1" si="35"/>
        <v/>
      </c>
      <c r="DA116" s="898"/>
      <c r="DB116" s="898" t="str">
        <f t="shared" si="31"/>
        <v/>
      </c>
      <c r="DC116" s="898" t="str">
        <f t="shared" si="32"/>
        <v/>
      </c>
      <c r="DD116" s="1539" t="str">
        <f>IFERROR(IF(AND(AM116="",C116&lt;&gt;""),Valid!$E$123,VLOOKUP(AM116,Valid!$B$123:$F$125,4,FALSE)),"")</f>
        <v/>
      </c>
      <c r="DE116" s="1539" t="str">
        <f>IFERROR(IF(AND(AM116="",C116&lt;&gt;""),Valid!$F$123,VLOOKUP(AM116,Valid!$B$123:$F$125,5,FALSE)),"")</f>
        <v/>
      </c>
      <c r="DF116" s="1539" t="str">
        <f>IFERROR(VLOOKUP('A-70 RevVehInv'!S116,Valid!$B$99:$I$120,7), "")</f>
        <v/>
      </c>
      <c r="DG116" s="1539" t="str">
        <f>IFERROR(VLOOKUP(S116,Valid!$B$99:$I$120,8), "")</f>
        <v/>
      </c>
      <c r="DH116" s="1531"/>
    </row>
    <row r="117" spans="1:112" s="930" customFormat="1" x14ac:dyDescent="0.2">
      <c r="A117" s="206">
        <v>53</v>
      </c>
      <c r="B117" s="1530">
        <v>53</v>
      </c>
      <c r="C117" s="933"/>
      <c r="D117" s="719" t="str">
        <f>IF(C115="","",IF((C117=""),"Enter RVI ID. then Fill in Columns "&amp;TEXT($I$2,0)&amp;" - "&amp;TEXT($BA$2,0)&amp;"       ",""))</f>
        <v/>
      </c>
      <c r="E117" s="1056" t="str">
        <f>IF(BH117="N/A","",BH117)</f>
        <v/>
      </c>
      <c r="F117" s="1536"/>
      <c r="G117" s="1536"/>
      <c r="H117" s="1536"/>
      <c r="I117" s="1023"/>
      <c r="J117" s="1536" t="str">
        <f>IF(E117&lt;&gt;"","Vehicles?    ","")</f>
        <v/>
      </c>
      <c r="K117" s="1023"/>
      <c r="L117" s="1536" t="str">
        <f>IF(E117&lt;&gt;"","Active Vehicles?     ","")</f>
        <v/>
      </c>
      <c r="M117" s="1023"/>
      <c r="N117" s="1536" t="str">
        <f>IF(E117&lt;&gt;"","ADA Vehicles?       ","")</f>
        <v/>
      </c>
      <c r="O117" s="1023"/>
      <c r="P117" s="1536" t="str">
        <f>IF(E117&lt;&gt;"","Cont. Vehicles?     ","")</f>
        <v/>
      </c>
      <c r="Q117" s="1024"/>
      <c r="R117" s="894"/>
      <c r="S117" s="1153"/>
      <c r="T117" s="252" t="str">
        <f>IF(E117&lt;&gt;"","Select from Pull-Down List    ","")</f>
        <v/>
      </c>
      <c r="U117" s="933"/>
      <c r="V117" s="252" t="str">
        <f>IF(E117&lt;&gt;"","Select from Pull-Down List    ","")</f>
        <v/>
      </c>
      <c r="W117" s="1766" t="str">
        <f t="shared" si="27"/>
        <v/>
      </c>
      <c r="X117" s="252"/>
      <c r="Y117" s="1988"/>
      <c r="Z117" s="252" t="str">
        <f t="shared" si="28"/>
        <v/>
      </c>
      <c r="AA117" s="139"/>
      <c r="AB117" s="252" t="str">
        <f>IF(E117&lt;&gt;"","Mfg. Yr?    ","")</f>
        <v/>
      </c>
      <c r="AC117" s="1974" t="str">
        <f t="shared" si="33"/>
        <v/>
      </c>
      <c r="AD117" s="252"/>
      <c r="AE117" s="1986" t="str">
        <f t="shared" si="34"/>
        <v/>
      </c>
      <c r="AF117" s="252"/>
      <c r="AG117" s="933"/>
      <c r="AH117" s="252" t="str">
        <f>IF(E117&lt;&gt;"","Select from Pull-Down List    ","")</f>
        <v/>
      </c>
      <c r="AI117" s="933"/>
      <c r="AJ117" s="252" t="str">
        <f>IF(E117&lt;&gt;"","Number?   ","")</f>
        <v/>
      </c>
      <c r="AK117" s="139"/>
      <c r="AL117" s="252" t="str">
        <f>IF(E117&lt;&gt;"","Last Rnwl. Yr?   ","")</f>
        <v/>
      </c>
      <c r="AM117" s="933"/>
      <c r="AN117" s="252" t="str">
        <f>IF(E117&lt;&gt;"","Select from Pull-Down List    ","")</f>
        <v/>
      </c>
      <c r="AO117" s="933"/>
      <c r="AP117" s="252" t="str">
        <f>IF(E117&lt;&gt;"","Select from Pull-Down List    ","")</f>
        <v/>
      </c>
      <c r="AQ117" s="1023"/>
      <c r="AR117" s="252" t="str">
        <f>IF(E117&lt;&gt;"","Feet?    ","")</f>
        <v/>
      </c>
      <c r="AS117" s="1023"/>
      <c r="AT117" s="252" t="str">
        <f>IF(E117&lt;&gt;"","Seats?    ","")</f>
        <v/>
      </c>
      <c r="AU117" s="1023"/>
      <c r="AV117" s="252" t="str">
        <f>IF(E117&lt;&gt;"","Standing?    ","")</f>
        <v/>
      </c>
      <c r="AW117" s="1023"/>
      <c r="AX117" s="252" t="str">
        <f>IF(E117&lt;&gt;"","Mileage?       ","")</f>
        <v/>
      </c>
      <c r="AY117" s="1023"/>
      <c r="AZ117" s="252" t="str">
        <f>IF(E117&lt;&gt;"","Avg. Lifetime Mileage? ","")</f>
        <v/>
      </c>
      <c r="BA117" s="933"/>
      <c r="BB117" s="252" t="str">
        <f>IF(E117&lt;&gt;"","Select from Pull-Down List    ","")</f>
        <v/>
      </c>
      <c r="BC117" s="171"/>
      <c r="BD117" s="252" t="str">
        <f>IF(OR(AO117="OR - Other fuel (describe in Notes)",AG117="ZZZ - Other (describe in Notes)"),"Describe                                                                                                     ","")</f>
        <v/>
      </c>
      <c r="BE117" s="894"/>
      <c r="BF117" s="894"/>
      <c r="BG117" s="894" t="b">
        <f>IF(AND(C117="",C119&lt;&gt;""),TRUE,FALSE)</f>
        <v>0</v>
      </c>
      <c r="BH117" s="888" t="str">
        <f>IF(AND(C117&lt;&gt;"",OR(I117="",K117="",M117="",O117="",S117="",U117="",AA117="",AG117="",AI117="",AO117="",AQ117="",AS117="",AU117="",AW117="",AY117="")),"No",IF(AND(C117="",OR(I117&lt;&gt;"",K117&lt;&gt;"",M117&lt;&gt;"",O117&lt;&gt;"",S117&lt;&gt;"",U117&lt;&gt;"",AA117&lt;&gt;"",AG117&lt;&gt;"",AI117&lt;&gt;"",AK117&lt;&gt;"",AM117&lt;&gt;"",AO117&lt;&gt;"",AQ117&lt;&gt;"",AS117&lt;&gt;"",AU117&lt;&gt;"",AW117&lt;&gt;"",AY117&lt;&gt;"",BA117&lt;&gt;"",BC117&lt;&gt;"")),"No",IF(AND(C117="",I117="",K117="",M117="",O117="",S117="",U117="",AA117="",AG117="",AI117="",AK117="",AM117="",AO117="",AQ117="",AS117="",AU117="",AW117="",AY117="",BA117=""),"N/A","Yes")))</f>
        <v>N/A</v>
      </c>
      <c r="BI117" s="898"/>
      <c r="BJ117" s="899" t="b">
        <f>IF(AND(OR(I117&lt;&gt;"",K117&lt;&gt;"",M117&lt;&gt;"",O117&lt;&gt;"",S117&lt;&gt;"",U117&lt;&gt;"",AA117&lt;&gt;"",AG117&lt;&gt;"",AI117&lt;&gt;"",AK117&lt;&gt;"",AM117&lt;&gt;"",AO117&lt;&gt;"",AQ117&lt;&gt;"",AS117&lt;&gt;"",AW117&lt;&gt;"",AY117&lt;&gt;"",BA117&lt;&gt;"",BC117&lt;&gt;""),C117=""),TRUE,FALSE)</f>
        <v>0</v>
      </c>
      <c r="BK117" s="898" t="b">
        <f>IF(BL117=TRUE,FALSE,IF(SUM(K117,O117)&gt;I117,TRUE,FALSE))</f>
        <v>0</v>
      </c>
      <c r="BL117" s="899" t="b">
        <f>IF(AND(C117&lt;&gt;"",I117=""),TRUE,FALSE)</f>
        <v>0</v>
      </c>
      <c r="BM117" s="898" t="b">
        <f>IF(BN117=TRUE,FALSE,IF(M117&gt;K117,TRUE,FALSE))</f>
        <v>0</v>
      </c>
      <c r="BN117" s="899" t="b">
        <f>IF(AND($C117&lt;&gt;"",K117=""),TRUE,FALSE)</f>
        <v>0</v>
      </c>
      <c r="BO117" s="898"/>
      <c r="BP117" s="899" t="b">
        <f>IF(AND($C117&lt;&gt;"",M117=""),TRUE,FALSE)</f>
        <v>0</v>
      </c>
      <c r="BQ117" s="898"/>
      <c r="BR117" s="899" t="b">
        <f>IF(AND($C117&lt;&gt;"",O117=""),TRUE,FALSE)</f>
        <v>0</v>
      </c>
      <c r="BS117" s="898" t="b">
        <f>IF(AND(S117="",OR(U117&lt;&gt;"",AA117&lt;&gt;"",AG117&lt;&gt;"",AI117&lt;&gt;"",AK117&lt;&gt;"",AM117&lt;&gt;"",AO117&lt;&gt;"",AQ117&lt;&gt;"",AS117&lt;&gt;"",AU117&lt;&gt;"",AW117&lt;&gt;"",AY117&lt;&gt;"",BA117&lt;&gt;"")),TRUE,FALSE)</f>
        <v>0</v>
      </c>
      <c r="BT117" s="899" t="b">
        <f>IF(AND($C117&lt;&gt;"",S117=""),TRUE,FALSE)</f>
        <v>0</v>
      </c>
      <c r="BU117" s="898"/>
      <c r="BV117" s="899" t="b">
        <f>IF(AND($C117&lt;&gt;"",U117=""),TRUE,FALSE)</f>
        <v>0</v>
      </c>
      <c r="BW117" s="1537" t="b">
        <f>IF(BX117=TRUE,FALSE,IF(AA117="",FALSE,IF(OR(AA117&lt;CX117,AA117&gt;BaseYear),TRUE,FALSE)))</f>
        <v>0</v>
      </c>
      <c r="BX117" s="899" t="b">
        <f>IF(AND($C117&lt;&gt;"",AA117=""),TRUE,FALSE)</f>
        <v>0</v>
      </c>
      <c r="BY117" s="898"/>
      <c r="BZ117" s="899" t="b">
        <f>IF(AND($C117&lt;&gt;"",AG117=""),TRUE,FALSE)</f>
        <v>0</v>
      </c>
      <c r="CA117" s="898"/>
      <c r="CB117" s="899" t="b">
        <f>IF(AND($C117&lt;&gt;"",AI117=""),TRUE,FALSE)</f>
        <v>0</v>
      </c>
      <c r="CC117" s="1537" t="b">
        <f>IF(AK117="",FALSE,IF(OR(AK117&lt;CX117,AK117&gt;BaseYear),TRUE,FALSE))</f>
        <v>0</v>
      </c>
      <c r="CD117" s="1538" t="b">
        <f>IF(AK117="",FALSE,IF(AK117&lt;AA117,TRUE,FALSE))</f>
        <v>0</v>
      </c>
      <c r="CE117" s="899" t="b">
        <f>IF(AND($AM117&lt;&gt;"",AK117=""),TRUE,FALSE)</f>
        <v>0</v>
      </c>
      <c r="CF117" s="898"/>
      <c r="CG117" s="898" t="b">
        <f>IF(AND($AK117&lt;&gt;"",AM117=""),TRUE,FALSE)</f>
        <v>0</v>
      </c>
      <c r="CH117" s="898"/>
      <c r="CI117" s="899" t="b">
        <f>IF(AND($C117&lt;&gt;"",AO117=""),TRUE,FALSE)</f>
        <v>0</v>
      </c>
      <c r="CJ117" s="1537"/>
      <c r="CK117" s="899" t="b">
        <f>IF(AND($C117&lt;&gt;"",AQ117=""),TRUE,FALSE)</f>
        <v>0</v>
      </c>
      <c r="CL117" s="898"/>
      <c r="CM117" s="899" t="b">
        <f>IF(AND($C117&lt;&gt;"",AS117=""),TRUE,FALSE)</f>
        <v>0</v>
      </c>
      <c r="CN117" s="898"/>
      <c r="CO117" s="899" t="b">
        <f>IF(AND($C117&lt;&gt;"",AU117=""),TRUE,FALSE)</f>
        <v>0</v>
      </c>
      <c r="CP117" s="898"/>
      <c r="CQ117" s="899" t="b">
        <f>IF(AND($C117&lt;&gt;"",AW117=""),TRUE,FALSE)</f>
        <v>0</v>
      </c>
      <c r="CR117" s="898"/>
      <c r="CS117" s="899" t="b">
        <f>IF(AND($C117&lt;&gt;"",AY117=""),TRUE,FALSE)</f>
        <v>0</v>
      </c>
      <c r="CT117" s="898"/>
      <c r="CU117" s="898" t="b">
        <f>IF(AND($C117&lt;&gt;"",BA117=""),TRUE,FALSE)</f>
        <v>0</v>
      </c>
      <c r="CV117" s="894"/>
      <c r="CW117" s="898" t="str">
        <f t="shared" si="29"/>
        <v/>
      </c>
      <c r="CX117" s="898" t="str">
        <f>IFERROR(IF(AND(S117="",S117&lt;&gt;""),1913,VLOOKUP(S117,Valid!$B$99:$J$120,9)),"")</f>
        <v/>
      </c>
      <c r="CY117" s="898" t="str">
        <f t="shared" ca="1" si="30"/>
        <v/>
      </c>
      <c r="CZ117" s="1547" t="str">
        <f t="shared" ca="1" si="35"/>
        <v/>
      </c>
      <c r="DA117" s="898" t="str">
        <f ca="1">IF(CZ117="", "", IF(1+(CZ117*4)&lt;1, 1, 1+(CZ117*4)))</f>
        <v/>
      </c>
      <c r="DB117" s="898" t="str">
        <f t="shared" si="31"/>
        <v/>
      </c>
      <c r="DC117" s="898" t="str">
        <f t="shared" si="32"/>
        <v/>
      </c>
      <c r="DD117" s="1539" t="str">
        <f>IFERROR(IF(AND(AM117="",C117&lt;&gt;""),Valid!$E$123,VLOOKUP(AM117,Valid!$B$123:$F$125,4,FALSE)),"")</f>
        <v/>
      </c>
      <c r="DE117" s="1539" t="str">
        <f>IFERROR(IF(AND(AM117="",C117&lt;&gt;""),Valid!$F$123,VLOOKUP(AM117,Valid!$B$123:$F$125,5,FALSE)),"")</f>
        <v/>
      </c>
      <c r="DF117" s="1539" t="str">
        <f>IFERROR(VLOOKUP('A-70 RevVehInv'!S117,Valid!$B$99:$I$120,7), "")</f>
        <v/>
      </c>
      <c r="DG117" s="1539" t="str">
        <f>IFERROR(VLOOKUP(S117,Valid!$B$99:$I$120,8), "")</f>
        <v/>
      </c>
      <c r="DH117" s="894"/>
    </row>
    <row r="118" spans="1:112" ht="6.75" customHeight="1" x14ac:dyDescent="0.2">
      <c r="A118" s="1517"/>
      <c r="B118" s="1530">
        <v>53.5</v>
      </c>
      <c r="C118" s="1540"/>
      <c r="D118" s="905"/>
      <c r="E118" s="1541"/>
      <c r="F118" s="905"/>
      <c r="G118" s="905"/>
      <c r="H118" s="905"/>
      <c r="I118" s="1534"/>
      <c r="J118" s="905"/>
      <c r="K118" s="1534"/>
      <c r="L118" s="905"/>
      <c r="M118" s="1534"/>
      <c r="N118" s="905"/>
      <c r="O118" s="1534"/>
      <c r="P118" s="905"/>
      <c r="Q118" s="1534"/>
      <c r="R118" s="1531"/>
      <c r="S118" s="1542"/>
      <c r="T118" s="905"/>
      <c r="U118" s="1542"/>
      <c r="V118" s="905"/>
      <c r="W118" s="1534" t="str">
        <f t="shared" si="27"/>
        <v/>
      </c>
      <c r="X118" s="905"/>
      <c r="Y118" s="1534"/>
      <c r="Z118" s="252" t="str">
        <f t="shared" si="28"/>
        <v/>
      </c>
      <c r="AA118" s="1534"/>
      <c r="AB118" s="905"/>
      <c r="AC118" s="1973" t="str">
        <f t="shared" si="33"/>
        <v/>
      </c>
      <c r="AD118" s="905"/>
      <c r="AE118" s="1985" t="str">
        <f t="shared" si="34"/>
        <v/>
      </c>
      <c r="AF118" s="905"/>
      <c r="AG118" s="1543"/>
      <c r="AH118" s="1531"/>
      <c r="AI118" s="1534"/>
      <c r="AJ118" s="1531"/>
      <c r="AK118" s="1534"/>
      <c r="AL118" s="1531"/>
      <c r="AM118" s="1543"/>
      <c r="AN118" s="1531"/>
      <c r="AO118" s="1543"/>
      <c r="AP118" s="1531"/>
      <c r="AQ118" s="1534"/>
      <c r="AR118" s="1531"/>
      <c r="AS118" s="1534"/>
      <c r="AT118" s="1531"/>
      <c r="AU118" s="1534"/>
      <c r="AV118" s="1531"/>
      <c r="AW118" s="1534"/>
      <c r="AX118" s="1531"/>
      <c r="AY118" s="1534"/>
      <c r="AZ118" s="1531"/>
      <c r="BA118" s="1543"/>
      <c r="BB118" s="1531"/>
      <c r="BC118" s="1534"/>
      <c r="BD118" s="1531"/>
      <c r="BE118" s="1531"/>
      <c r="BF118" s="1531"/>
      <c r="BG118" s="1531"/>
      <c r="BH118" s="1531"/>
      <c r="BI118" s="1535"/>
      <c r="BJ118" s="1534"/>
      <c r="BK118" s="898"/>
      <c r="BL118" s="1534"/>
      <c r="BM118" s="1535"/>
      <c r="BN118" s="1534"/>
      <c r="BO118" s="1535"/>
      <c r="BP118" s="1534"/>
      <c r="BQ118" s="1535"/>
      <c r="BR118" s="1534"/>
      <c r="BS118" s="1535"/>
      <c r="BT118" s="1534"/>
      <c r="BU118" s="1535"/>
      <c r="BV118" s="1534"/>
      <c r="BW118" s="1535"/>
      <c r="BX118" s="1534"/>
      <c r="BY118" s="1535"/>
      <c r="BZ118" s="1534"/>
      <c r="CA118" s="1535"/>
      <c r="CB118" s="1534"/>
      <c r="CC118" s="1535"/>
      <c r="CD118" s="1534"/>
      <c r="CE118" s="1534"/>
      <c r="CF118" s="1535"/>
      <c r="CG118" s="1534"/>
      <c r="CH118" s="1535"/>
      <c r="CI118" s="1534"/>
      <c r="CJ118" s="1535"/>
      <c r="CK118" s="1534"/>
      <c r="CL118" s="1535"/>
      <c r="CM118" s="1534"/>
      <c r="CN118" s="1535"/>
      <c r="CO118" s="1534"/>
      <c r="CP118" s="1535"/>
      <c r="CQ118" s="1534"/>
      <c r="CR118" s="1535"/>
      <c r="CS118" s="1534"/>
      <c r="CT118" s="1535"/>
      <c r="CU118" s="1535"/>
      <c r="CV118" s="1531"/>
      <c r="CW118" s="898" t="str">
        <f t="shared" si="29"/>
        <v/>
      </c>
      <c r="CX118" s="898" t="str">
        <f>IFERROR(IF(AND(S118="",S118&lt;&gt;""),1913,VLOOKUP(S118,Valid!$B$99:$J$120,9)),"")</f>
        <v/>
      </c>
      <c r="CY118" s="898" t="str">
        <f t="shared" ca="1" si="30"/>
        <v/>
      </c>
      <c r="CZ118" s="1547" t="str">
        <f t="shared" ca="1" si="35"/>
        <v/>
      </c>
      <c r="DA118" s="898"/>
      <c r="DB118" s="898" t="str">
        <f t="shared" si="31"/>
        <v/>
      </c>
      <c r="DC118" s="898" t="str">
        <f t="shared" si="32"/>
        <v/>
      </c>
      <c r="DD118" s="1539" t="str">
        <f>IFERROR(IF(AND(AM118="",C118&lt;&gt;""),Valid!$E$123,VLOOKUP(AM118,Valid!$B$123:$F$125,4,FALSE)),"")</f>
        <v/>
      </c>
      <c r="DE118" s="1539" t="str">
        <f>IFERROR(IF(AND(AM118="",C118&lt;&gt;""),Valid!$F$123,VLOOKUP(AM118,Valid!$B$123:$F$125,5,FALSE)),"")</f>
        <v/>
      </c>
      <c r="DF118" s="1539" t="str">
        <f>IFERROR(VLOOKUP('A-70 RevVehInv'!S118,Valid!$B$99:$I$120,7), "")</f>
        <v/>
      </c>
      <c r="DG118" s="1539" t="str">
        <f>IFERROR(VLOOKUP(S118,Valid!$B$99:$I$120,8), "")</f>
        <v/>
      </c>
      <c r="DH118" s="1531"/>
    </row>
    <row r="119" spans="1:112" s="930" customFormat="1" x14ac:dyDescent="0.2">
      <c r="A119" s="206">
        <v>54</v>
      </c>
      <c r="B119" s="1530">
        <v>54</v>
      </c>
      <c r="C119" s="933"/>
      <c r="D119" s="719" t="str">
        <f>IF(C117="","",IF((C119=""),"Enter RVI ID. then Fill in Columns "&amp;TEXT($I$2,0)&amp;" - "&amp;TEXT($BA$2,0)&amp;"       ",""))</f>
        <v/>
      </c>
      <c r="E119" s="1056" t="str">
        <f>IF(BH119="N/A","",BH119)</f>
        <v/>
      </c>
      <c r="F119" s="1536"/>
      <c r="G119" s="1536"/>
      <c r="H119" s="1536"/>
      <c r="I119" s="1023"/>
      <c r="J119" s="1536" t="str">
        <f>IF(E119&lt;&gt;"","Vehicles?    ","")</f>
        <v/>
      </c>
      <c r="K119" s="1023"/>
      <c r="L119" s="1536" t="str">
        <f>IF(E119&lt;&gt;"","Active Vehicles?     ","")</f>
        <v/>
      </c>
      <c r="M119" s="1023"/>
      <c r="N119" s="1536" t="str">
        <f>IF(E119&lt;&gt;"","ADA Vehicles?       ","")</f>
        <v/>
      </c>
      <c r="O119" s="1023"/>
      <c r="P119" s="1536" t="str">
        <f>IF(E119&lt;&gt;"","Cont. Vehicles?     ","")</f>
        <v/>
      </c>
      <c r="Q119" s="1024"/>
      <c r="R119" s="894"/>
      <c r="S119" s="1153"/>
      <c r="T119" s="252" t="str">
        <f>IF(E119&lt;&gt;"","Select from Pull-Down List    ","")</f>
        <v/>
      </c>
      <c r="U119" s="933"/>
      <c r="V119" s="252" t="str">
        <f>IF(E119&lt;&gt;"","Select from Pull-Down List    ","")</f>
        <v/>
      </c>
      <c r="W119" s="1766" t="str">
        <f t="shared" si="27"/>
        <v/>
      </c>
      <c r="X119" s="252"/>
      <c r="Y119" s="1988"/>
      <c r="Z119" s="252" t="str">
        <f t="shared" si="28"/>
        <v/>
      </c>
      <c r="AA119" s="139"/>
      <c r="AB119" s="252" t="str">
        <f>IF(E119&lt;&gt;"","Mfg. Yr?    ","")</f>
        <v/>
      </c>
      <c r="AC119" s="1974" t="str">
        <f t="shared" si="33"/>
        <v/>
      </c>
      <c r="AD119" s="252"/>
      <c r="AE119" s="1986" t="str">
        <f t="shared" si="34"/>
        <v/>
      </c>
      <c r="AF119" s="252"/>
      <c r="AG119" s="933"/>
      <c r="AH119" s="252" t="str">
        <f>IF(E119&lt;&gt;"","Select from Pull-Down List    ","")</f>
        <v/>
      </c>
      <c r="AI119" s="933"/>
      <c r="AJ119" s="252" t="str">
        <f>IF(E119&lt;&gt;"","Number?   ","")</f>
        <v/>
      </c>
      <c r="AK119" s="139"/>
      <c r="AL119" s="252" t="str">
        <f>IF(E119&lt;&gt;"","Last Rnwl. Yr?   ","")</f>
        <v/>
      </c>
      <c r="AM119" s="933"/>
      <c r="AN119" s="252" t="str">
        <f>IF(E119&lt;&gt;"","Select from Pull-Down List    ","")</f>
        <v/>
      </c>
      <c r="AO119" s="933"/>
      <c r="AP119" s="252" t="str">
        <f>IF(E119&lt;&gt;"","Select from Pull-Down List    ","")</f>
        <v/>
      </c>
      <c r="AQ119" s="1023"/>
      <c r="AR119" s="252" t="str">
        <f>IF(E119&lt;&gt;"","Feet?    ","")</f>
        <v/>
      </c>
      <c r="AS119" s="1023"/>
      <c r="AT119" s="252" t="str">
        <f>IF(E119&lt;&gt;"","Seats?    ","")</f>
        <v/>
      </c>
      <c r="AU119" s="1023"/>
      <c r="AV119" s="252" t="str">
        <f>IF(E119&lt;&gt;"","Standing?    ","")</f>
        <v/>
      </c>
      <c r="AW119" s="1023"/>
      <c r="AX119" s="252" t="str">
        <f>IF(E119&lt;&gt;"","Mileage?       ","")</f>
        <v/>
      </c>
      <c r="AY119" s="1023"/>
      <c r="AZ119" s="252" t="str">
        <f>IF(E119&lt;&gt;"","Avg. Lifetime Mileage? ","")</f>
        <v/>
      </c>
      <c r="BA119" s="933"/>
      <c r="BB119" s="252" t="str">
        <f>IF(E119&lt;&gt;"","Select from Pull-Down List    ","")</f>
        <v/>
      </c>
      <c r="BC119" s="171"/>
      <c r="BD119" s="252" t="str">
        <f>IF(OR(AO119="OR - Other fuel (describe in Notes)",AG119="ZZZ - Other (describe in Notes)"),"Describe                                                                                                     ","")</f>
        <v/>
      </c>
      <c r="BE119" s="894"/>
      <c r="BF119" s="894"/>
      <c r="BG119" s="894" t="b">
        <f>IF(AND(C119="",C121&lt;&gt;""),TRUE,FALSE)</f>
        <v>0</v>
      </c>
      <c r="BH119" s="888" t="str">
        <f>IF(AND(C119&lt;&gt;"",OR(I119="",K119="",M119="",O119="",S119="",U119="",AA119="",AG119="",AI119="",AO119="",AQ119="",AS119="",AU119="",AW119="",AY119="")),"No",IF(AND(C119="",OR(I119&lt;&gt;"",K119&lt;&gt;"",M119&lt;&gt;"",O119&lt;&gt;"",S119&lt;&gt;"",U119&lt;&gt;"",AA119&lt;&gt;"",AG119&lt;&gt;"",AI119&lt;&gt;"",AK119&lt;&gt;"",AM119&lt;&gt;"",AO119&lt;&gt;"",AQ119&lt;&gt;"",AS119&lt;&gt;"",AU119&lt;&gt;"",AW119&lt;&gt;"",AY119&lt;&gt;"",BA119&lt;&gt;"",BC119&lt;&gt;"")),"No",IF(AND(C119="",I119="",K119="",M119="",O119="",S119="",U119="",AA119="",AG119="",AI119="",AK119="",AM119="",AO119="",AQ119="",AS119="",AU119="",AW119="",AY119="",BA119=""),"N/A","Yes")))</f>
        <v>N/A</v>
      </c>
      <c r="BI119" s="898"/>
      <c r="BJ119" s="899" t="b">
        <f>IF(AND(OR(I119&lt;&gt;"",K119&lt;&gt;"",M119&lt;&gt;"",O119&lt;&gt;"",S119&lt;&gt;"",U119&lt;&gt;"",AA119&lt;&gt;"",AG119&lt;&gt;"",AI119&lt;&gt;"",AK119&lt;&gt;"",AM119&lt;&gt;"",AO119&lt;&gt;"",AQ119&lt;&gt;"",AS119&lt;&gt;"",AW119&lt;&gt;"",AY119&lt;&gt;"",BA119&lt;&gt;"",BC119&lt;&gt;""),C119=""),TRUE,FALSE)</f>
        <v>0</v>
      </c>
      <c r="BK119" s="898" t="b">
        <f>IF(BL119=TRUE,FALSE,IF(SUM(K119,O119)&gt;I119,TRUE,FALSE))</f>
        <v>0</v>
      </c>
      <c r="BL119" s="899" t="b">
        <f>IF(AND(C119&lt;&gt;"",I119=""),TRUE,FALSE)</f>
        <v>0</v>
      </c>
      <c r="BM119" s="898" t="b">
        <f>IF(BN119=TRUE,FALSE,IF(M119&gt;K119,TRUE,FALSE))</f>
        <v>0</v>
      </c>
      <c r="BN119" s="899" t="b">
        <f>IF(AND($C119&lt;&gt;"",K119=""),TRUE,FALSE)</f>
        <v>0</v>
      </c>
      <c r="BO119" s="898"/>
      <c r="BP119" s="899" t="b">
        <f>IF(AND($C119&lt;&gt;"",M119=""),TRUE,FALSE)</f>
        <v>0</v>
      </c>
      <c r="BQ119" s="898"/>
      <c r="BR119" s="899" t="b">
        <f>IF(AND($C119&lt;&gt;"",O119=""),TRUE,FALSE)</f>
        <v>0</v>
      </c>
      <c r="BS119" s="898" t="b">
        <f>IF(AND(S119="",OR(U119&lt;&gt;"",AA119&lt;&gt;"",AG119&lt;&gt;"",AI119&lt;&gt;"",AK119&lt;&gt;"",AM119&lt;&gt;"",AO119&lt;&gt;"",AQ119&lt;&gt;"",AS119&lt;&gt;"",AU119&lt;&gt;"",AW119&lt;&gt;"",AY119&lt;&gt;"",BA119&lt;&gt;"")),TRUE,FALSE)</f>
        <v>0</v>
      </c>
      <c r="BT119" s="899" t="b">
        <f>IF(AND($C119&lt;&gt;"",S119=""),TRUE,FALSE)</f>
        <v>0</v>
      </c>
      <c r="BU119" s="898"/>
      <c r="BV119" s="899" t="b">
        <f>IF(AND($C119&lt;&gt;"",U119=""),TRUE,FALSE)</f>
        <v>0</v>
      </c>
      <c r="BW119" s="1537" t="b">
        <f>IF(BX119=TRUE,FALSE,IF(AA119="",FALSE,IF(OR(AA119&lt;CX119,AA119&gt;BaseYear),TRUE,FALSE)))</f>
        <v>0</v>
      </c>
      <c r="BX119" s="899" t="b">
        <f>IF(AND($C119&lt;&gt;"",AA119=""),TRUE,FALSE)</f>
        <v>0</v>
      </c>
      <c r="BY119" s="898"/>
      <c r="BZ119" s="899" t="b">
        <f>IF(AND($C119&lt;&gt;"",AG119=""),TRUE,FALSE)</f>
        <v>0</v>
      </c>
      <c r="CA119" s="898"/>
      <c r="CB119" s="899" t="b">
        <f>IF(AND($C119&lt;&gt;"",AI119=""),TRUE,FALSE)</f>
        <v>0</v>
      </c>
      <c r="CC119" s="1537" t="b">
        <f>IF(AK119="",FALSE,IF(OR(AK119&lt;CX119,AK119&gt;BaseYear),TRUE,FALSE))</f>
        <v>0</v>
      </c>
      <c r="CD119" s="1538" t="b">
        <f>IF(AK119="",FALSE,IF(AK119&lt;AA119,TRUE,FALSE))</f>
        <v>0</v>
      </c>
      <c r="CE119" s="899" t="b">
        <f>IF(AND($AM119&lt;&gt;"",AK119=""),TRUE,FALSE)</f>
        <v>0</v>
      </c>
      <c r="CF119" s="898"/>
      <c r="CG119" s="898" t="b">
        <f>IF(AND($AK119&lt;&gt;"",AM119=""),TRUE,FALSE)</f>
        <v>0</v>
      </c>
      <c r="CH119" s="898"/>
      <c r="CI119" s="899" t="b">
        <f>IF(AND($C119&lt;&gt;"",AO119=""),TRUE,FALSE)</f>
        <v>0</v>
      </c>
      <c r="CJ119" s="1537"/>
      <c r="CK119" s="899" t="b">
        <f>IF(AND($C119&lt;&gt;"",AQ119=""),TRUE,FALSE)</f>
        <v>0</v>
      </c>
      <c r="CL119" s="898"/>
      <c r="CM119" s="899" t="b">
        <f>IF(AND($C119&lt;&gt;"",AS119=""),TRUE,FALSE)</f>
        <v>0</v>
      </c>
      <c r="CN119" s="898"/>
      <c r="CO119" s="899" t="b">
        <f>IF(AND($C119&lt;&gt;"",AU119=""),TRUE,FALSE)</f>
        <v>0</v>
      </c>
      <c r="CP119" s="898"/>
      <c r="CQ119" s="899" t="b">
        <f>IF(AND($C119&lt;&gt;"",AW119=""),TRUE,FALSE)</f>
        <v>0</v>
      </c>
      <c r="CR119" s="898"/>
      <c r="CS119" s="899" t="b">
        <f>IF(AND($C119&lt;&gt;"",AY119=""),TRUE,FALSE)</f>
        <v>0</v>
      </c>
      <c r="CT119" s="898"/>
      <c r="CU119" s="898" t="b">
        <f>IF(AND($C119&lt;&gt;"",BA119=""),TRUE,FALSE)</f>
        <v>0</v>
      </c>
      <c r="CV119" s="894"/>
      <c r="CW119" s="898" t="str">
        <f t="shared" si="29"/>
        <v/>
      </c>
      <c r="CX119" s="898" t="str">
        <f>IFERROR(IF(AND(S119="",S119&lt;&gt;""),1913,VLOOKUP(S119,Valid!$B$99:$J$120,9)),"")</f>
        <v/>
      </c>
      <c r="CY119" s="898" t="str">
        <f t="shared" ca="1" si="30"/>
        <v/>
      </c>
      <c r="CZ119" s="1547" t="str">
        <f t="shared" ca="1" si="35"/>
        <v/>
      </c>
      <c r="DA119" s="898" t="str">
        <f ca="1">IF(CZ119="", "", IF(1+(CZ119*4)&lt;1, 1, 1+(CZ119*4)))</f>
        <v/>
      </c>
      <c r="DB119" s="898" t="str">
        <f t="shared" si="31"/>
        <v/>
      </c>
      <c r="DC119" s="898" t="str">
        <f t="shared" si="32"/>
        <v/>
      </c>
      <c r="DD119" s="1539" t="str">
        <f>IFERROR(IF(AND(AM119="",C119&lt;&gt;""),Valid!$E$123,VLOOKUP(AM119,Valid!$B$123:$F$125,4,FALSE)),"")</f>
        <v/>
      </c>
      <c r="DE119" s="1539" t="str">
        <f>IFERROR(IF(AND(AM119="",C119&lt;&gt;""),Valid!$F$123,VLOOKUP(AM119,Valid!$B$123:$F$125,5,FALSE)),"")</f>
        <v/>
      </c>
      <c r="DF119" s="1539" t="str">
        <f>IFERROR(VLOOKUP('A-70 RevVehInv'!S119,Valid!$B$99:$I$120,7), "")</f>
        <v/>
      </c>
      <c r="DG119" s="1539" t="str">
        <f>IFERROR(VLOOKUP(S119,Valid!$B$99:$I$120,8), "")</f>
        <v/>
      </c>
      <c r="DH119" s="894"/>
    </row>
    <row r="120" spans="1:112" ht="6.75" customHeight="1" x14ac:dyDescent="0.2">
      <c r="A120" s="1517"/>
      <c r="B120" s="1530">
        <v>54.5</v>
      </c>
      <c r="C120" s="1544"/>
      <c r="D120" s="905"/>
      <c r="E120" s="1545"/>
      <c r="F120" s="905"/>
      <c r="G120" s="905"/>
      <c r="H120" s="905"/>
      <c r="I120" s="1531"/>
      <c r="J120" s="905"/>
      <c r="K120" s="1531"/>
      <c r="L120" s="905"/>
      <c r="M120" s="1531"/>
      <c r="N120" s="905"/>
      <c r="O120" s="1531"/>
      <c r="P120" s="905"/>
      <c r="Q120" s="1531"/>
      <c r="R120" s="1531"/>
      <c r="S120" s="1533"/>
      <c r="T120" s="905"/>
      <c r="U120" s="1533"/>
      <c r="V120" s="905"/>
      <c r="W120" s="1531" t="str">
        <f t="shared" si="27"/>
        <v/>
      </c>
      <c r="X120" s="905"/>
      <c r="Y120" s="1531"/>
      <c r="Z120" s="252" t="str">
        <f t="shared" si="28"/>
        <v/>
      </c>
      <c r="AA120" s="1531"/>
      <c r="AB120" s="905"/>
      <c r="AC120" s="1971" t="str">
        <f t="shared" si="33"/>
        <v/>
      </c>
      <c r="AD120" s="905"/>
      <c r="AE120" s="1983" t="str">
        <f t="shared" si="34"/>
        <v/>
      </c>
      <c r="AF120" s="905"/>
      <c r="AG120" s="1546"/>
      <c r="AH120" s="1531"/>
      <c r="AI120" s="1531"/>
      <c r="AJ120" s="1531"/>
      <c r="AK120" s="1531"/>
      <c r="AL120" s="1531"/>
      <c r="AM120" s="1546"/>
      <c r="AN120" s="1531"/>
      <c r="AO120" s="1546"/>
      <c r="AP120" s="1531"/>
      <c r="AQ120" s="1531"/>
      <c r="AR120" s="1531"/>
      <c r="AS120" s="1531"/>
      <c r="AT120" s="1531"/>
      <c r="AU120" s="1531"/>
      <c r="AV120" s="1531"/>
      <c r="AW120" s="1531"/>
      <c r="AX120" s="1531"/>
      <c r="AY120" s="1531"/>
      <c r="AZ120" s="1531"/>
      <c r="BA120" s="1546"/>
      <c r="BB120" s="1531"/>
      <c r="BC120" s="1531"/>
      <c r="BD120" s="1531"/>
      <c r="BE120" s="1531"/>
      <c r="BF120" s="1531"/>
      <c r="BG120" s="1531"/>
      <c r="BH120" s="1531"/>
      <c r="BI120" s="1535"/>
      <c r="BJ120" s="1534"/>
      <c r="BK120" s="1535"/>
      <c r="BL120" s="1534"/>
      <c r="BM120" s="1535"/>
      <c r="BN120" s="1534"/>
      <c r="BO120" s="1535"/>
      <c r="BP120" s="1534"/>
      <c r="BQ120" s="1535"/>
      <c r="BR120" s="1534"/>
      <c r="BS120" s="1535"/>
      <c r="BT120" s="1534"/>
      <c r="BU120" s="1535"/>
      <c r="BV120" s="1534"/>
      <c r="BW120" s="1535"/>
      <c r="BX120" s="1534"/>
      <c r="BY120" s="1535"/>
      <c r="BZ120" s="1534"/>
      <c r="CA120" s="1535"/>
      <c r="CB120" s="1534"/>
      <c r="CC120" s="1535"/>
      <c r="CD120" s="1534"/>
      <c r="CE120" s="1534"/>
      <c r="CF120" s="1535"/>
      <c r="CG120" s="1534"/>
      <c r="CH120" s="1535"/>
      <c r="CI120" s="1534"/>
      <c r="CJ120" s="1535"/>
      <c r="CK120" s="1534"/>
      <c r="CL120" s="1535"/>
      <c r="CM120" s="1534"/>
      <c r="CN120" s="1535"/>
      <c r="CO120" s="1534"/>
      <c r="CP120" s="1535"/>
      <c r="CQ120" s="1534"/>
      <c r="CR120" s="1535"/>
      <c r="CS120" s="1534"/>
      <c r="CT120" s="1535"/>
      <c r="CU120" s="1535"/>
      <c r="CV120" s="1531"/>
      <c r="CW120" s="898" t="str">
        <f t="shared" si="29"/>
        <v/>
      </c>
      <c r="CX120" s="898" t="str">
        <f>IFERROR(IF(AND(S120="",S120&lt;&gt;""),1913,VLOOKUP(S120,Valid!$B$99:$J$120,9)),"")</f>
        <v/>
      </c>
      <c r="CY120" s="898" t="str">
        <f t="shared" ca="1" si="30"/>
        <v/>
      </c>
      <c r="CZ120" s="1547" t="str">
        <f t="shared" ca="1" si="35"/>
        <v/>
      </c>
      <c r="DA120" s="898"/>
      <c r="DB120" s="898" t="str">
        <f t="shared" si="31"/>
        <v/>
      </c>
      <c r="DC120" s="898" t="str">
        <f t="shared" si="32"/>
        <v/>
      </c>
      <c r="DD120" s="1539" t="str">
        <f>IFERROR(IF(AND(AM120="",C120&lt;&gt;""),Valid!$E$123,VLOOKUP(AM120,Valid!$B$123:$F$125,4,FALSE)),"")</f>
        <v/>
      </c>
      <c r="DE120" s="1539" t="str">
        <f>IFERROR(IF(AND(AM120="",C120&lt;&gt;""),Valid!$F$123,VLOOKUP(AM120,Valid!$B$123:$F$125,5,FALSE)),"")</f>
        <v/>
      </c>
      <c r="DF120" s="1539" t="str">
        <f>IFERROR(VLOOKUP('A-70 RevVehInv'!S120,Valid!$B$99:$I$120,7), "")</f>
        <v/>
      </c>
      <c r="DG120" s="1539" t="str">
        <f>IFERROR(VLOOKUP(S120,Valid!$B$99:$I$120,8), "")</f>
        <v/>
      </c>
      <c r="DH120" s="1531"/>
    </row>
    <row r="121" spans="1:112" s="930" customFormat="1" x14ac:dyDescent="0.2">
      <c r="A121" s="206">
        <v>55</v>
      </c>
      <c r="B121" s="1530">
        <v>55</v>
      </c>
      <c r="C121" s="933"/>
      <c r="D121" s="719" t="str">
        <f>IF(C119="","",IF((C121=""),"Enter RVI ID. then Fill in Columns "&amp;TEXT($I$2,0)&amp;" - "&amp;TEXT($BA$2,0)&amp;"       ",""))</f>
        <v/>
      </c>
      <c r="E121" s="1056" t="str">
        <f>IF(BH121="N/A","",BH121)</f>
        <v/>
      </c>
      <c r="F121" s="1536"/>
      <c r="G121" s="1536"/>
      <c r="H121" s="1536"/>
      <c r="I121" s="1023"/>
      <c r="J121" s="1536" t="str">
        <f>IF(E121&lt;&gt;"","Vehicles?    ","")</f>
        <v/>
      </c>
      <c r="K121" s="1023"/>
      <c r="L121" s="1536" t="str">
        <f>IF(E121&lt;&gt;"","Active Vehicles?     ","")</f>
        <v/>
      </c>
      <c r="M121" s="1023"/>
      <c r="N121" s="1536" t="str">
        <f>IF(E121&lt;&gt;"","ADA Vehicles?       ","")</f>
        <v/>
      </c>
      <c r="O121" s="1023"/>
      <c r="P121" s="1536" t="str">
        <f>IF(E121&lt;&gt;"","Cont. Vehicles?     ","")</f>
        <v/>
      </c>
      <c r="Q121" s="1024"/>
      <c r="R121" s="894"/>
      <c r="S121" s="1153"/>
      <c r="T121" s="252" t="str">
        <f>IF(E121&lt;&gt;"","Select from Pull-Down List    ","")</f>
        <v/>
      </c>
      <c r="U121" s="933"/>
      <c r="V121" s="252" t="str">
        <f>IF(E121&lt;&gt;"","Select from Pull-Down List    ","")</f>
        <v/>
      </c>
      <c r="W121" s="1766" t="str">
        <f t="shared" si="27"/>
        <v/>
      </c>
      <c r="X121" s="252"/>
      <c r="Y121" s="1988"/>
      <c r="Z121" s="252" t="str">
        <f t="shared" si="28"/>
        <v/>
      </c>
      <c r="AA121" s="139"/>
      <c r="AB121" s="252" t="str">
        <f>IF(E121&lt;&gt;"","Mfg. Yr?    ","")</f>
        <v/>
      </c>
      <c r="AC121" s="1974" t="str">
        <f t="shared" si="33"/>
        <v/>
      </c>
      <c r="AD121" s="252"/>
      <c r="AE121" s="1986" t="str">
        <f t="shared" si="34"/>
        <v/>
      </c>
      <c r="AF121" s="252"/>
      <c r="AG121" s="933"/>
      <c r="AH121" s="252" t="str">
        <f>IF(E121&lt;&gt;"","Select from Pull-Down List    ","")</f>
        <v/>
      </c>
      <c r="AI121" s="933"/>
      <c r="AJ121" s="252" t="str">
        <f>IF(E121&lt;&gt;"","Number?   ","")</f>
        <v/>
      </c>
      <c r="AK121" s="139"/>
      <c r="AL121" s="252" t="str">
        <f>IF(E121&lt;&gt;"","Last Rnwl. Yr?   ","")</f>
        <v/>
      </c>
      <c r="AM121" s="933"/>
      <c r="AN121" s="252" t="str">
        <f>IF(E121&lt;&gt;"","Select from Pull-Down List    ","")</f>
        <v/>
      </c>
      <c r="AO121" s="933"/>
      <c r="AP121" s="252" t="str">
        <f>IF(E121&lt;&gt;"","Select from Pull-Down List    ","")</f>
        <v/>
      </c>
      <c r="AQ121" s="1023"/>
      <c r="AR121" s="252" t="str">
        <f>IF(E121&lt;&gt;"","Feet?    ","")</f>
        <v/>
      </c>
      <c r="AS121" s="1023"/>
      <c r="AT121" s="252" t="str">
        <f>IF(E121&lt;&gt;"","Seats?    ","")</f>
        <v/>
      </c>
      <c r="AU121" s="1023"/>
      <c r="AV121" s="252" t="str">
        <f>IF(E121&lt;&gt;"","Standing?    ","")</f>
        <v/>
      </c>
      <c r="AW121" s="1023"/>
      <c r="AX121" s="252" t="str">
        <f>IF(E121&lt;&gt;"","Mileage?       ","")</f>
        <v/>
      </c>
      <c r="AY121" s="1023"/>
      <c r="AZ121" s="252" t="str">
        <f>IF(E121&lt;&gt;"","Avg. Lifetime Mileage? ","")</f>
        <v/>
      </c>
      <c r="BA121" s="933"/>
      <c r="BB121" s="252" t="str">
        <f>IF(E121&lt;&gt;"","Select from Pull-Down List    ","")</f>
        <v/>
      </c>
      <c r="BC121" s="171"/>
      <c r="BD121" s="252" t="str">
        <f>IF(OR(AO121="OR - Other fuel (describe in Notes)",AG121="ZZZ - Other (describe in Notes)"),"Describe                                                                                                     ","")</f>
        <v/>
      </c>
      <c r="BE121" s="894"/>
      <c r="BF121" s="894"/>
      <c r="BG121" s="894" t="b">
        <f>IF(AND(C121="",C123&lt;&gt;""),TRUE,FALSE)</f>
        <v>0</v>
      </c>
      <c r="BH121" s="888" t="str">
        <f>IF(AND(C121&lt;&gt;"",OR(I121="",K121="",M121="",O121="",S121="",U121="",AA121="",AG121="",AI121="",AO121="",AQ121="",AS121="",AU121="",AW121="",AY121="")),"No",IF(AND(C121="",OR(I121&lt;&gt;"",K121&lt;&gt;"",M121&lt;&gt;"",O121&lt;&gt;"",S121&lt;&gt;"",U121&lt;&gt;"",AA121&lt;&gt;"",AG121&lt;&gt;"",AI121&lt;&gt;"",AK121&lt;&gt;"",AM121&lt;&gt;"",AO121&lt;&gt;"",AQ121&lt;&gt;"",AS121&lt;&gt;"",AU121&lt;&gt;"",AW121&lt;&gt;"",AY121&lt;&gt;"",BA121&lt;&gt;"",BC121&lt;&gt;"")),"No",IF(AND(C121="",I121="",K121="",M121="",O121="",S121="",U121="",AA121="",AG121="",AI121="",AK121="",AM121="",AO121="",AQ121="",AS121="",AU121="",AW121="",AY121="",BA121=""),"N/A","Yes")))</f>
        <v>N/A</v>
      </c>
      <c r="BI121" s="898"/>
      <c r="BJ121" s="899" t="b">
        <f>IF(AND(OR(I121&lt;&gt;"",K121&lt;&gt;"",M121&lt;&gt;"",O121&lt;&gt;"",S121&lt;&gt;"",U121&lt;&gt;"",AA121&lt;&gt;"",AG121&lt;&gt;"",AI121&lt;&gt;"",AK121&lt;&gt;"",AM121&lt;&gt;"",AO121&lt;&gt;"",AQ121&lt;&gt;"",AS121&lt;&gt;"",AW121&lt;&gt;"",AY121&lt;&gt;"",BA121&lt;&gt;"",BC121&lt;&gt;""),C121=""),TRUE,FALSE)</f>
        <v>0</v>
      </c>
      <c r="BK121" s="898" t="b">
        <f>IF(BL121=TRUE,FALSE,IF(SUM(K121,O121)&gt;I121,TRUE,FALSE))</f>
        <v>0</v>
      </c>
      <c r="BL121" s="899" t="b">
        <f>IF(AND(C121&lt;&gt;"",I121=""),TRUE,FALSE)</f>
        <v>0</v>
      </c>
      <c r="BM121" s="898" t="b">
        <f>IF(BN121=TRUE,FALSE,IF(M121&gt;K121,TRUE,FALSE))</f>
        <v>0</v>
      </c>
      <c r="BN121" s="899" t="b">
        <f>IF(AND($C121&lt;&gt;"",K121=""),TRUE,FALSE)</f>
        <v>0</v>
      </c>
      <c r="BO121" s="898"/>
      <c r="BP121" s="899" t="b">
        <f>IF(AND($C121&lt;&gt;"",M121=""),TRUE,FALSE)</f>
        <v>0</v>
      </c>
      <c r="BQ121" s="898"/>
      <c r="BR121" s="899" t="b">
        <f>IF(AND($C121&lt;&gt;"",O121=""),TRUE,FALSE)</f>
        <v>0</v>
      </c>
      <c r="BS121" s="898" t="b">
        <f>IF(AND(S121="",OR(U121&lt;&gt;"",AA121&lt;&gt;"",AG121&lt;&gt;"",AI121&lt;&gt;"",AK121&lt;&gt;"",AM121&lt;&gt;"",AO121&lt;&gt;"",AQ121&lt;&gt;"",AS121&lt;&gt;"",AU121&lt;&gt;"",AW121&lt;&gt;"",AY121&lt;&gt;"",BA121&lt;&gt;"")),TRUE,FALSE)</f>
        <v>0</v>
      </c>
      <c r="BT121" s="899" t="b">
        <f>IF(AND($C121&lt;&gt;"",S121=""),TRUE,FALSE)</f>
        <v>0</v>
      </c>
      <c r="BU121" s="898"/>
      <c r="BV121" s="899" t="b">
        <f>IF(AND($C121&lt;&gt;"",U121=""),TRUE,FALSE)</f>
        <v>0</v>
      </c>
      <c r="BW121" s="1537" t="b">
        <f>IF(BX121=TRUE,FALSE,IF(AA121="",FALSE,IF(OR(AA121&lt;CX121,AA121&gt;BaseYear),TRUE,FALSE)))</f>
        <v>0</v>
      </c>
      <c r="BX121" s="899" t="b">
        <f>IF(AND($C121&lt;&gt;"",AA121=""),TRUE,FALSE)</f>
        <v>0</v>
      </c>
      <c r="BY121" s="898"/>
      <c r="BZ121" s="899" t="b">
        <f>IF(AND($C121&lt;&gt;"",AG121=""),TRUE,FALSE)</f>
        <v>0</v>
      </c>
      <c r="CA121" s="898"/>
      <c r="CB121" s="899" t="b">
        <f>IF(AND($C121&lt;&gt;"",AI121=""),TRUE,FALSE)</f>
        <v>0</v>
      </c>
      <c r="CC121" s="1537" t="b">
        <f>IF(AK121="",FALSE,IF(OR(AK121&lt;CX121,AK121&gt;BaseYear),TRUE,FALSE))</f>
        <v>0</v>
      </c>
      <c r="CD121" s="1538" t="b">
        <f>IF(AK121="",FALSE,IF(AK121&lt;AA121,TRUE,FALSE))</f>
        <v>0</v>
      </c>
      <c r="CE121" s="899" t="b">
        <f>IF(AND($AM121&lt;&gt;"",AK121=""),TRUE,FALSE)</f>
        <v>0</v>
      </c>
      <c r="CF121" s="898"/>
      <c r="CG121" s="898" t="b">
        <f>IF(AND($AK121&lt;&gt;"",AM121=""),TRUE,FALSE)</f>
        <v>0</v>
      </c>
      <c r="CH121" s="898"/>
      <c r="CI121" s="899" t="b">
        <f>IF(AND($C121&lt;&gt;"",AO121=""),TRUE,FALSE)</f>
        <v>0</v>
      </c>
      <c r="CJ121" s="1537"/>
      <c r="CK121" s="899" t="b">
        <f>IF(AND($C121&lt;&gt;"",AQ121=""),TRUE,FALSE)</f>
        <v>0</v>
      </c>
      <c r="CL121" s="898"/>
      <c r="CM121" s="899" t="b">
        <f>IF(AND($C121&lt;&gt;"",AS121=""),TRUE,FALSE)</f>
        <v>0</v>
      </c>
      <c r="CN121" s="898"/>
      <c r="CO121" s="899" t="b">
        <f>IF(AND($C121&lt;&gt;"",AU121=""),TRUE,FALSE)</f>
        <v>0</v>
      </c>
      <c r="CP121" s="898"/>
      <c r="CQ121" s="899" t="b">
        <f>IF(AND($C121&lt;&gt;"",AW121=""),TRUE,FALSE)</f>
        <v>0</v>
      </c>
      <c r="CR121" s="898"/>
      <c r="CS121" s="899" t="b">
        <f>IF(AND($C121&lt;&gt;"",AY121=""),TRUE,FALSE)</f>
        <v>0</v>
      </c>
      <c r="CT121" s="898"/>
      <c r="CU121" s="898" t="b">
        <f>IF(AND($C121&lt;&gt;"",BA121=""),TRUE,FALSE)</f>
        <v>0</v>
      </c>
      <c r="CV121" s="894"/>
      <c r="CW121" s="898" t="str">
        <f t="shared" si="29"/>
        <v/>
      </c>
      <c r="CX121" s="898" t="str">
        <f>IFERROR(IF(AND(S121="",S121&lt;&gt;""),1913,VLOOKUP(S121,Valid!$B$99:$J$120,9)),"")</f>
        <v/>
      </c>
      <c r="CY121" s="898" t="str">
        <f t="shared" ca="1" si="30"/>
        <v/>
      </c>
      <c r="CZ121" s="1547" t="str">
        <f t="shared" ca="1" si="35"/>
        <v/>
      </c>
      <c r="DA121" s="898" t="str">
        <f ca="1">IF(CZ121="", "", IF(1+(CZ121*4)&lt;1, 1, 1+(CZ121*4)))</f>
        <v/>
      </c>
      <c r="DB121" s="898" t="str">
        <f t="shared" si="31"/>
        <v/>
      </c>
      <c r="DC121" s="898" t="str">
        <f t="shared" si="32"/>
        <v/>
      </c>
      <c r="DD121" s="1539" t="str">
        <f>IFERROR(IF(AND(AM121="",C121&lt;&gt;""),Valid!$E$123,VLOOKUP(AM121,Valid!$B$123:$F$125,4,FALSE)),"")</f>
        <v/>
      </c>
      <c r="DE121" s="1539" t="str">
        <f>IFERROR(IF(AND(AM121="",C121&lt;&gt;""),Valid!$F$123,VLOOKUP(AM121,Valid!$B$123:$F$125,5,FALSE)),"")</f>
        <v/>
      </c>
      <c r="DF121" s="1539" t="str">
        <f>IFERROR(VLOOKUP('A-70 RevVehInv'!S121,Valid!$B$99:$I$120,7), "")</f>
        <v/>
      </c>
      <c r="DG121" s="1539" t="str">
        <f>IFERROR(VLOOKUP(S121,Valid!$B$99:$I$120,8), "")</f>
        <v/>
      </c>
      <c r="DH121" s="894"/>
    </row>
    <row r="122" spans="1:112" ht="6.75" customHeight="1" x14ac:dyDescent="0.2">
      <c r="A122" s="1517"/>
      <c r="B122" s="1530">
        <v>55.5</v>
      </c>
      <c r="C122" s="1540"/>
      <c r="D122" s="905"/>
      <c r="E122" s="1541"/>
      <c r="F122" s="905"/>
      <c r="G122" s="905"/>
      <c r="H122" s="905"/>
      <c r="I122" s="1534"/>
      <c r="J122" s="905"/>
      <c r="K122" s="1534"/>
      <c r="L122" s="905"/>
      <c r="M122" s="1534"/>
      <c r="N122" s="905"/>
      <c r="O122" s="1534"/>
      <c r="P122" s="905"/>
      <c r="Q122" s="1534"/>
      <c r="R122" s="1531"/>
      <c r="S122" s="1542"/>
      <c r="T122" s="905"/>
      <c r="U122" s="1542"/>
      <c r="V122" s="905"/>
      <c r="W122" s="1534" t="str">
        <f t="shared" si="27"/>
        <v/>
      </c>
      <c r="X122" s="905"/>
      <c r="Y122" s="1534"/>
      <c r="Z122" s="252" t="str">
        <f t="shared" si="28"/>
        <v/>
      </c>
      <c r="AA122" s="1534"/>
      <c r="AB122" s="905"/>
      <c r="AC122" s="1973" t="str">
        <f t="shared" si="33"/>
        <v/>
      </c>
      <c r="AD122" s="905"/>
      <c r="AE122" s="1985" t="str">
        <f t="shared" si="34"/>
        <v/>
      </c>
      <c r="AF122" s="905"/>
      <c r="AG122" s="1543"/>
      <c r="AH122" s="1531"/>
      <c r="AI122" s="1534"/>
      <c r="AJ122" s="1531"/>
      <c r="AK122" s="1534"/>
      <c r="AL122" s="1531"/>
      <c r="AM122" s="1543"/>
      <c r="AN122" s="1531"/>
      <c r="AO122" s="1543"/>
      <c r="AP122" s="1531"/>
      <c r="AQ122" s="1534"/>
      <c r="AR122" s="1531"/>
      <c r="AS122" s="1534"/>
      <c r="AT122" s="1531"/>
      <c r="AU122" s="1534"/>
      <c r="AV122" s="1531"/>
      <c r="AW122" s="1534"/>
      <c r="AX122" s="1531"/>
      <c r="AY122" s="1534"/>
      <c r="AZ122" s="1531"/>
      <c r="BA122" s="1543"/>
      <c r="BB122" s="1531"/>
      <c r="BC122" s="1534"/>
      <c r="BD122" s="1531"/>
      <c r="BE122" s="1531"/>
      <c r="BF122" s="1531"/>
      <c r="BG122" s="1531"/>
      <c r="BH122" s="1531"/>
      <c r="BI122" s="1535"/>
      <c r="BJ122" s="1534"/>
      <c r="BK122" s="1535"/>
      <c r="BL122" s="1534"/>
      <c r="BM122" s="1535"/>
      <c r="BN122" s="1534"/>
      <c r="BO122" s="1535"/>
      <c r="BP122" s="1534"/>
      <c r="BQ122" s="1535"/>
      <c r="BR122" s="1534"/>
      <c r="BS122" s="1535"/>
      <c r="BT122" s="1534"/>
      <c r="BU122" s="1535"/>
      <c r="BV122" s="1534"/>
      <c r="BW122" s="1535"/>
      <c r="BX122" s="1534"/>
      <c r="BY122" s="1535"/>
      <c r="BZ122" s="1534"/>
      <c r="CA122" s="1535"/>
      <c r="CB122" s="1534"/>
      <c r="CC122" s="1535"/>
      <c r="CD122" s="1534"/>
      <c r="CE122" s="1534"/>
      <c r="CF122" s="1535"/>
      <c r="CG122" s="1534"/>
      <c r="CH122" s="1535"/>
      <c r="CI122" s="1534"/>
      <c r="CJ122" s="1535"/>
      <c r="CK122" s="1534"/>
      <c r="CL122" s="1535"/>
      <c r="CM122" s="1534"/>
      <c r="CN122" s="1535"/>
      <c r="CO122" s="1534"/>
      <c r="CP122" s="1535"/>
      <c r="CQ122" s="1534"/>
      <c r="CR122" s="1535"/>
      <c r="CS122" s="1534"/>
      <c r="CT122" s="1535"/>
      <c r="CU122" s="1535"/>
      <c r="CV122" s="1531"/>
      <c r="CW122" s="898" t="str">
        <f t="shared" si="29"/>
        <v/>
      </c>
      <c r="CX122" s="898" t="str">
        <f>IFERROR(IF(AND(S122="",S122&lt;&gt;""),1913,VLOOKUP(S122,Valid!$B$99:$J$120,9)),"")</f>
        <v/>
      </c>
      <c r="CY122" s="898" t="str">
        <f t="shared" ca="1" si="30"/>
        <v/>
      </c>
      <c r="CZ122" s="1547" t="str">
        <f t="shared" ca="1" si="35"/>
        <v/>
      </c>
      <c r="DA122" s="898"/>
      <c r="DB122" s="898" t="str">
        <f t="shared" si="31"/>
        <v/>
      </c>
      <c r="DC122" s="898" t="str">
        <f t="shared" si="32"/>
        <v/>
      </c>
      <c r="DD122" s="1539" t="str">
        <f>IFERROR(IF(AND(AM122="",C122&lt;&gt;""),Valid!$E$123,VLOOKUP(AM122,Valid!$B$123:$F$125,4,FALSE)),"")</f>
        <v/>
      </c>
      <c r="DE122" s="1539" t="str">
        <f>IFERROR(IF(AND(AM122="",C122&lt;&gt;""),Valid!$F$123,VLOOKUP(AM122,Valid!$B$123:$F$125,5,FALSE)),"")</f>
        <v/>
      </c>
      <c r="DF122" s="1539" t="str">
        <f>IFERROR(VLOOKUP('A-70 RevVehInv'!S122,Valid!$B$99:$I$120,7), "")</f>
        <v/>
      </c>
      <c r="DG122" s="1539" t="str">
        <f>IFERROR(VLOOKUP(S122,Valid!$B$99:$I$120,8), "")</f>
        <v/>
      </c>
      <c r="DH122" s="1531"/>
    </row>
    <row r="123" spans="1:112" s="930" customFormat="1" x14ac:dyDescent="0.2">
      <c r="A123" s="206">
        <v>56</v>
      </c>
      <c r="B123" s="1530">
        <v>56</v>
      </c>
      <c r="C123" s="933"/>
      <c r="D123" s="719" t="str">
        <f>IF(C121="","",IF((C123=""),"Enter RVI ID. then Fill in Columns "&amp;TEXT($I$2,0)&amp;" - "&amp;TEXT($BA$2,0)&amp;"       ",""))</f>
        <v/>
      </c>
      <c r="E123" s="1056" t="str">
        <f>IF(BH123="N/A","",BH123)</f>
        <v/>
      </c>
      <c r="F123" s="1536"/>
      <c r="G123" s="1536"/>
      <c r="H123" s="1536"/>
      <c r="I123" s="1023"/>
      <c r="J123" s="1536" t="str">
        <f>IF(E123&lt;&gt;"","Vehicles?    ","")</f>
        <v/>
      </c>
      <c r="K123" s="1023"/>
      <c r="L123" s="1536" t="str">
        <f>IF(E123&lt;&gt;"","Active Vehicles?     ","")</f>
        <v/>
      </c>
      <c r="M123" s="1023"/>
      <c r="N123" s="1536" t="str">
        <f>IF(E123&lt;&gt;"","ADA Vehicles?       ","")</f>
        <v/>
      </c>
      <c r="O123" s="1023"/>
      <c r="P123" s="1536" t="str">
        <f>IF(E123&lt;&gt;"","Cont. Vehicles?     ","")</f>
        <v/>
      </c>
      <c r="Q123" s="1024"/>
      <c r="R123" s="894"/>
      <c r="S123" s="1153"/>
      <c r="T123" s="252" t="str">
        <f>IF(E123&lt;&gt;"","Select from Pull-Down List    ","")</f>
        <v/>
      </c>
      <c r="U123" s="933"/>
      <c r="V123" s="252" t="str">
        <f>IF(E123&lt;&gt;"","Select from Pull-Down List    ","")</f>
        <v/>
      </c>
      <c r="W123" s="1766" t="str">
        <f t="shared" si="27"/>
        <v/>
      </c>
      <c r="X123" s="252"/>
      <c r="Y123" s="1988"/>
      <c r="Z123" s="252" t="str">
        <f t="shared" si="28"/>
        <v/>
      </c>
      <c r="AA123" s="139"/>
      <c r="AB123" s="252" t="str">
        <f>IF(E123&lt;&gt;"","Mfg. Yr?    ","")</f>
        <v/>
      </c>
      <c r="AC123" s="1974" t="str">
        <f t="shared" si="33"/>
        <v/>
      </c>
      <c r="AD123" s="252"/>
      <c r="AE123" s="1986" t="str">
        <f t="shared" si="34"/>
        <v/>
      </c>
      <c r="AF123" s="252"/>
      <c r="AG123" s="933"/>
      <c r="AH123" s="252" t="str">
        <f>IF(E123&lt;&gt;"","Select from Pull-Down List    ","")</f>
        <v/>
      </c>
      <c r="AI123" s="933"/>
      <c r="AJ123" s="252" t="str">
        <f>IF(E123&lt;&gt;"","Number?   ","")</f>
        <v/>
      </c>
      <c r="AK123" s="139"/>
      <c r="AL123" s="252" t="str">
        <f>IF(E123&lt;&gt;"","Last Rnwl. Yr?   ","")</f>
        <v/>
      </c>
      <c r="AM123" s="933"/>
      <c r="AN123" s="252" t="str">
        <f>IF(E123&lt;&gt;"","Select from Pull-Down List    ","")</f>
        <v/>
      </c>
      <c r="AO123" s="933"/>
      <c r="AP123" s="252" t="str">
        <f>IF(E123&lt;&gt;"","Select from Pull-Down List    ","")</f>
        <v/>
      </c>
      <c r="AQ123" s="1023"/>
      <c r="AR123" s="252" t="str">
        <f>IF(E123&lt;&gt;"","Feet?    ","")</f>
        <v/>
      </c>
      <c r="AS123" s="1023"/>
      <c r="AT123" s="252" t="str">
        <f>IF(E123&lt;&gt;"","Seats?    ","")</f>
        <v/>
      </c>
      <c r="AU123" s="1023"/>
      <c r="AV123" s="252" t="str">
        <f>IF(E123&lt;&gt;"","Standing?    ","")</f>
        <v/>
      </c>
      <c r="AW123" s="1023"/>
      <c r="AX123" s="252" t="str">
        <f>IF(E123&lt;&gt;"","Mileage?       ","")</f>
        <v/>
      </c>
      <c r="AY123" s="1023"/>
      <c r="AZ123" s="252" t="str">
        <f>IF(E123&lt;&gt;"","Avg. Lifetime Mileage? ","")</f>
        <v/>
      </c>
      <c r="BA123" s="933"/>
      <c r="BB123" s="252" t="str">
        <f>IF(E123&lt;&gt;"","Select from Pull-Down List    ","")</f>
        <v/>
      </c>
      <c r="BC123" s="171"/>
      <c r="BD123" s="252" t="str">
        <f>IF(OR(AO123="OR - Other fuel (describe in Notes)",AG123="ZZZ - Other (describe in Notes)"),"Describe                                                                                                     ","")</f>
        <v/>
      </c>
      <c r="BE123" s="894"/>
      <c r="BF123" s="894"/>
      <c r="BG123" s="894" t="b">
        <f>IF(AND(C123="",C125&lt;&gt;""),TRUE,FALSE)</f>
        <v>0</v>
      </c>
      <c r="BH123" s="888" t="str">
        <f>IF(AND(C123&lt;&gt;"",OR(I123="",K123="",M123="",O123="",S123="",U123="",AA123="",AG123="",AI123="",AO123="",AQ123="",AS123="",AU123="",AW123="",AY123="")),"No",IF(AND(C123="",OR(I123&lt;&gt;"",K123&lt;&gt;"",M123&lt;&gt;"",O123&lt;&gt;"",S123&lt;&gt;"",U123&lt;&gt;"",AA123&lt;&gt;"",AG123&lt;&gt;"",AI123&lt;&gt;"",AK123&lt;&gt;"",AM123&lt;&gt;"",AO123&lt;&gt;"",AQ123&lt;&gt;"",AS123&lt;&gt;"",AU123&lt;&gt;"",AW123&lt;&gt;"",AY123&lt;&gt;"",BA123&lt;&gt;"",BC123&lt;&gt;"")),"No",IF(AND(C123="",I123="",K123="",M123="",O123="",S123="",U123="",AA123="",AG123="",AI123="",AK123="",AM123="",AO123="",AQ123="",AS123="",AU123="",AW123="",AY123="",BA123=""),"N/A","Yes")))</f>
        <v>N/A</v>
      </c>
      <c r="BI123" s="898"/>
      <c r="BJ123" s="899" t="b">
        <f>IF(AND(OR(I123&lt;&gt;"",K123&lt;&gt;"",M123&lt;&gt;"",O123&lt;&gt;"",S123&lt;&gt;"",U123&lt;&gt;"",AA123&lt;&gt;"",AG123&lt;&gt;"",AI123&lt;&gt;"",AK123&lt;&gt;"",AM123&lt;&gt;"",AO123&lt;&gt;"",AQ123&lt;&gt;"",AS123&lt;&gt;"",AW123&lt;&gt;"",AY123&lt;&gt;"",BA123&lt;&gt;"",BC123&lt;&gt;""),C123=""),TRUE,FALSE)</f>
        <v>0</v>
      </c>
      <c r="BK123" s="898" t="b">
        <f>IF(BL123=TRUE,FALSE,IF(SUM(K123,O123)&gt;I123,TRUE,FALSE))</f>
        <v>0</v>
      </c>
      <c r="BL123" s="899" t="b">
        <f>IF(AND(C123&lt;&gt;"",I123=""),TRUE,FALSE)</f>
        <v>0</v>
      </c>
      <c r="BM123" s="898" t="b">
        <f>IF(BN123=TRUE,FALSE,IF(M123&gt;K123,TRUE,FALSE))</f>
        <v>0</v>
      </c>
      <c r="BN123" s="899" t="b">
        <f>IF(AND($C123&lt;&gt;"",K123=""),TRUE,FALSE)</f>
        <v>0</v>
      </c>
      <c r="BO123" s="898"/>
      <c r="BP123" s="899" t="b">
        <f>IF(AND($C123&lt;&gt;"",M123=""),TRUE,FALSE)</f>
        <v>0</v>
      </c>
      <c r="BQ123" s="898"/>
      <c r="BR123" s="899" t="b">
        <f>IF(AND($C123&lt;&gt;"",O123=""),TRUE,FALSE)</f>
        <v>0</v>
      </c>
      <c r="BS123" s="898" t="b">
        <f>IF(AND(S123="",OR(U123&lt;&gt;"",AA123&lt;&gt;"",AG123&lt;&gt;"",AI123&lt;&gt;"",AK123&lt;&gt;"",AM123&lt;&gt;"",AO123&lt;&gt;"",AQ123&lt;&gt;"",AS123&lt;&gt;"",AU123&lt;&gt;"",AW123&lt;&gt;"",AY123&lt;&gt;"",BA123&lt;&gt;"")),TRUE,FALSE)</f>
        <v>0</v>
      </c>
      <c r="BT123" s="899" t="b">
        <f>IF(AND($C123&lt;&gt;"",S123=""),TRUE,FALSE)</f>
        <v>0</v>
      </c>
      <c r="BU123" s="898"/>
      <c r="BV123" s="899" t="b">
        <f>IF(AND($C123&lt;&gt;"",U123=""),TRUE,FALSE)</f>
        <v>0</v>
      </c>
      <c r="BW123" s="1537" t="b">
        <f>IF(BX123=TRUE,FALSE,IF(AA123="",FALSE,IF(OR(AA123&lt;CX123,AA123&gt;BaseYear),TRUE,FALSE)))</f>
        <v>0</v>
      </c>
      <c r="BX123" s="899" t="b">
        <f>IF(AND($C123&lt;&gt;"",AA123=""),TRUE,FALSE)</f>
        <v>0</v>
      </c>
      <c r="BY123" s="898"/>
      <c r="BZ123" s="899" t="b">
        <f>IF(AND($C123&lt;&gt;"",AG123=""),TRUE,FALSE)</f>
        <v>0</v>
      </c>
      <c r="CA123" s="898"/>
      <c r="CB123" s="899" t="b">
        <f>IF(AND($C123&lt;&gt;"",AI123=""),TRUE,FALSE)</f>
        <v>0</v>
      </c>
      <c r="CC123" s="1537" t="b">
        <f>IF(AK123="",FALSE,IF(OR(AK123&lt;CX123,AK123&gt;BaseYear),TRUE,FALSE))</f>
        <v>0</v>
      </c>
      <c r="CD123" s="1538" t="b">
        <f>IF(AK123="",FALSE,IF(AK123&lt;AA123,TRUE,FALSE))</f>
        <v>0</v>
      </c>
      <c r="CE123" s="899" t="b">
        <f>IF(AND($AM123&lt;&gt;"",AK123=""),TRUE,FALSE)</f>
        <v>0</v>
      </c>
      <c r="CF123" s="898"/>
      <c r="CG123" s="898" t="b">
        <f>IF(AND($AK123&lt;&gt;"",AM123=""),TRUE,FALSE)</f>
        <v>0</v>
      </c>
      <c r="CH123" s="898"/>
      <c r="CI123" s="899" t="b">
        <f>IF(AND($C123&lt;&gt;"",AO123=""),TRUE,FALSE)</f>
        <v>0</v>
      </c>
      <c r="CJ123" s="1537"/>
      <c r="CK123" s="899" t="b">
        <f>IF(AND($C123&lt;&gt;"",AQ123=""),TRUE,FALSE)</f>
        <v>0</v>
      </c>
      <c r="CL123" s="898"/>
      <c r="CM123" s="899" t="b">
        <f>IF(AND($C123&lt;&gt;"",AS123=""),TRUE,FALSE)</f>
        <v>0</v>
      </c>
      <c r="CN123" s="898"/>
      <c r="CO123" s="899" t="b">
        <f>IF(AND($C123&lt;&gt;"",AU123=""),TRUE,FALSE)</f>
        <v>0</v>
      </c>
      <c r="CP123" s="898"/>
      <c r="CQ123" s="899" t="b">
        <f>IF(AND($C123&lt;&gt;"",AW123=""),TRUE,FALSE)</f>
        <v>0</v>
      </c>
      <c r="CR123" s="898"/>
      <c r="CS123" s="899" t="b">
        <f>IF(AND($C123&lt;&gt;"",AY123=""),TRUE,FALSE)</f>
        <v>0</v>
      </c>
      <c r="CT123" s="898"/>
      <c r="CU123" s="898" t="b">
        <f>IF(AND($C123&lt;&gt;"",BA123=""),TRUE,FALSE)</f>
        <v>0</v>
      </c>
      <c r="CV123" s="894"/>
      <c r="CW123" s="898" t="str">
        <f t="shared" si="29"/>
        <v/>
      </c>
      <c r="CX123" s="898" t="str">
        <f>IFERROR(IF(AND(S123="",S123&lt;&gt;""),1913,VLOOKUP(S123,Valid!$B$99:$J$120,9)),"")</f>
        <v/>
      </c>
      <c r="CY123" s="898" t="str">
        <f t="shared" ca="1" si="30"/>
        <v/>
      </c>
      <c r="CZ123" s="1547" t="str">
        <f t="shared" ca="1" si="35"/>
        <v/>
      </c>
      <c r="DA123" s="898" t="str">
        <f ca="1">IF(CZ123="", "", IF(1+(CZ123*4)&lt;1, 1, 1+(CZ123*4)))</f>
        <v/>
      </c>
      <c r="DB123" s="898" t="str">
        <f t="shared" si="31"/>
        <v/>
      </c>
      <c r="DC123" s="898" t="str">
        <f t="shared" si="32"/>
        <v/>
      </c>
      <c r="DD123" s="1539" t="str">
        <f>IFERROR(IF(AND(AM123="",C123&lt;&gt;""),Valid!$E$123,VLOOKUP(AM123,Valid!$B$123:$F$125,4,FALSE)),"")</f>
        <v/>
      </c>
      <c r="DE123" s="1539" t="str">
        <f>IFERROR(IF(AND(AM123="",C123&lt;&gt;""),Valid!$F$123,VLOOKUP(AM123,Valid!$B$123:$F$125,5,FALSE)),"")</f>
        <v/>
      </c>
      <c r="DF123" s="1539" t="str">
        <f>IFERROR(VLOOKUP('A-70 RevVehInv'!S123,Valid!$B$99:$I$120,7), "")</f>
        <v/>
      </c>
      <c r="DG123" s="1539" t="str">
        <f>IFERROR(VLOOKUP(S123,Valid!$B$99:$I$120,8), "")</f>
        <v/>
      </c>
      <c r="DH123" s="894"/>
    </row>
    <row r="124" spans="1:112" ht="6.75" customHeight="1" x14ac:dyDescent="0.2">
      <c r="A124" s="1517"/>
      <c r="B124" s="1530">
        <v>56.5</v>
      </c>
      <c r="C124" s="1544"/>
      <c r="D124" s="905"/>
      <c r="E124" s="1545"/>
      <c r="F124" s="905"/>
      <c r="G124" s="905"/>
      <c r="H124" s="905"/>
      <c r="I124" s="1531"/>
      <c r="J124" s="905"/>
      <c r="K124" s="1531"/>
      <c r="L124" s="905"/>
      <c r="M124" s="1531"/>
      <c r="N124" s="905"/>
      <c r="O124" s="1531"/>
      <c r="P124" s="905"/>
      <c r="Q124" s="1531"/>
      <c r="R124" s="1531"/>
      <c r="S124" s="1533"/>
      <c r="T124" s="905"/>
      <c r="U124" s="1533"/>
      <c r="V124" s="905"/>
      <c r="W124" s="1531" t="str">
        <f t="shared" si="27"/>
        <v/>
      </c>
      <c r="X124" s="905"/>
      <c r="Y124" s="1531"/>
      <c r="Z124" s="252" t="str">
        <f t="shared" si="28"/>
        <v/>
      </c>
      <c r="AA124" s="1531"/>
      <c r="AB124" s="905"/>
      <c r="AC124" s="1971" t="str">
        <f t="shared" si="33"/>
        <v/>
      </c>
      <c r="AD124" s="905"/>
      <c r="AE124" s="1983" t="str">
        <f t="shared" si="34"/>
        <v/>
      </c>
      <c r="AF124" s="905"/>
      <c r="AG124" s="1546"/>
      <c r="AH124" s="1531"/>
      <c r="AI124" s="1531"/>
      <c r="AJ124" s="1531"/>
      <c r="AK124" s="1531"/>
      <c r="AL124" s="1531"/>
      <c r="AM124" s="1546"/>
      <c r="AN124" s="1531"/>
      <c r="AO124" s="1546"/>
      <c r="AP124" s="1531"/>
      <c r="AQ124" s="1531"/>
      <c r="AR124" s="1531"/>
      <c r="AS124" s="1531"/>
      <c r="AT124" s="1531"/>
      <c r="AU124" s="1531"/>
      <c r="AV124" s="1531"/>
      <c r="AW124" s="1531"/>
      <c r="AX124" s="1531"/>
      <c r="AY124" s="1531"/>
      <c r="AZ124" s="1531"/>
      <c r="BA124" s="1546"/>
      <c r="BB124" s="1531"/>
      <c r="BC124" s="1531"/>
      <c r="BD124" s="1531"/>
      <c r="BE124" s="1531"/>
      <c r="BF124" s="1531"/>
      <c r="BG124" s="1531"/>
      <c r="BH124" s="1531"/>
      <c r="BI124" s="1535"/>
      <c r="BJ124" s="1534"/>
      <c r="BK124" s="1535"/>
      <c r="BL124" s="1534"/>
      <c r="BM124" s="1535"/>
      <c r="BN124" s="1534"/>
      <c r="BO124" s="1535"/>
      <c r="BP124" s="1534"/>
      <c r="BQ124" s="1535"/>
      <c r="BR124" s="1534"/>
      <c r="BS124" s="1535"/>
      <c r="BT124" s="1534"/>
      <c r="BU124" s="1535"/>
      <c r="BV124" s="1534"/>
      <c r="BW124" s="1535"/>
      <c r="BX124" s="1534"/>
      <c r="BY124" s="1535"/>
      <c r="BZ124" s="1534"/>
      <c r="CA124" s="1535"/>
      <c r="CB124" s="1534"/>
      <c r="CC124" s="1535"/>
      <c r="CD124" s="1534"/>
      <c r="CE124" s="1534"/>
      <c r="CF124" s="1535"/>
      <c r="CG124" s="1534"/>
      <c r="CH124" s="1535"/>
      <c r="CI124" s="1534"/>
      <c r="CJ124" s="1535"/>
      <c r="CK124" s="1534"/>
      <c r="CL124" s="1535"/>
      <c r="CM124" s="1534"/>
      <c r="CN124" s="1535"/>
      <c r="CO124" s="1534"/>
      <c r="CP124" s="1535"/>
      <c r="CQ124" s="1534"/>
      <c r="CR124" s="1535"/>
      <c r="CS124" s="1534"/>
      <c r="CT124" s="1535"/>
      <c r="CU124" s="1535"/>
      <c r="CV124" s="1531"/>
      <c r="CW124" s="898" t="str">
        <f t="shared" si="29"/>
        <v/>
      </c>
      <c r="CX124" s="898" t="str">
        <f>IFERROR(IF(AND(S124="",S124&lt;&gt;""),1913,VLOOKUP(S124,Valid!$B$99:$J$120,9)),"")</f>
        <v/>
      </c>
      <c r="CY124" s="898" t="str">
        <f t="shared" ca="1" si="30"/>
        <v/>
      </c>
      <c r="CZ124" s="1547" t="str">
        <f t="shared" ca="1" si="35"/>
        <v/>
      </c>
      <c r="DA124" s="898"/>
      <c r="DB124" s="898" t="str">
        <f t="shared" si="31"/>
        <v/>
      </c>
      <c r="DC124" s="898" t="str">
        <f t="shared" si="32"/>
        <v/>
      </c>
      <c r="DD124" s="1539" t="str">
        <f>IFERROR(IF(AND(AM124="",C124&lt;&gt;""),Valid!$E$123,VLOOKUP(AM124,Valid!$B$123:$F$125,4,FALSE)),"")</f>
        <v/>
      </c>
      <c r="DE124" s="1539" t="str">
        <f>IFERROR(IF(AND(AM124="",C124&lt;&gt;""),Valid!$F$123,VLOOKUP(AM124,Valid!$B$123:$F$125,5,FALSE)),"")</f>
        <v/>
      </c>
      <c r="DF124" s="1539" t="str">
        <f>IFERROR(VLOOKUP('A-70 RevVehInv'!S124,Valid!$B$99:$I$120,7), "")</f>
        <v/>
      </c>
      <c r="DG124" s="1539" t="str">
        <f>IFERROR(VLOOKUP(S124,Valid!$B$99:$I$120,8), "")</f>
        <v/>
      </c>
      <c r="DH124" s="1531"/>
    </row>
    <row r="125" spans="1:112" s="930" customFormat="1" x14ac:dyDescent="0.2">
      <c r="A125" s="206">
        <v>57</v>
      </c>
      <c r="B125" s="1530">
        <v>57</v>
      </c>
      <c r="C125" s="933"/>
      <c r="D125" s="719" t="str">
        <f>IF(C123="","",IF((C125=""),"Enter RVI ID. then Fill in Columns "&amp;TEXT($I$2,0)&amp;" - "&amp;TEXT($BA$2,0)&amp;"       ",""))</f>
        <v/>
      </c>
      <c r="E125" s="1056" t="str">
        <f>IF(BH125="N/A","",BH125)</f>
        <v/>
      </c>
      <c r="F125" s="1536"/>
      <c r="G125" s="1536"/>
      <c r="H125" s="1536"/>
      <c r="I125" s="1023"/>
      <c r="J125" s="1536" t="str">
        <f>IF(E125&lt;&gt;"","Vehicles?    ","")</f>
        <v/>
      </c>
      <c r="K125" s="1023"/>
      <c r="L125" s="1536" t="str">
        <f>IF(E125&lt;&gt;"","Active Vehicles?     ","")</f>
        <v/>
      </c>
      <c r="M125" s="1023"/>
      <c r="N125" s="1536" t="str">
        <f>IF(E125&lt;&gt;"","ADA Vehicles?       ","")</f>
        <v/>
      </c>
      <c r="O125" s="1023"/>
      <c r="P125" s="1536" t="str">
        <f>IF(E125&lt;&gt;"","Cont. Vehicles?     ","")</f>
        <v/>
      </c>
      <c r="Q125" s="1024"/>
      <c r="R125" s="894"/>
      <c r="S125" s="1153"/>
      <c r="T125" s="252" t="str">
        <f>IF(E125&lt;&gt;"","Select from Pull-Down List    ","")</f>
        <v/>
      </c>
      <c r="U125" s="933"/>
      <c r="V125" s="252" t="str">
        <f>IF(E125&lt;&gt;"","Select from Pull-Down List    ","")</f>
        <v/>
      </c>
      <c r="W125" s="1766" t="str">
        <f t="shared" si="27"/>
        <v/>
      </c>
      <c r="X125" s="252"/>
      <c r="Y125" s="1988"/>
      <c r="Z125" s="252" t="str">
        <f t="shared" si="28"/>
        <v/>
      </c>
      <c r="AA125" s="139"/>
      <c r="AB125" s="252" t="str">
        <f>IF(E125&lt;&gt;"","Mfg. Yr?    ","")</f>
        <v/>
      </c>
      <c r="AC125" s="1974" t="str">
        <f t="shared" si="33"/>
        <v/>
      </c>
      <c r="AD125" s="252"/>
      <c r="AE125" s="1986" t="str">
        <f t="shared" si="34"/>
        <v/>
      </c>
      <c r="AF125" s="252"/>
      <c r="AG125" s="933"/>
      <c r="AH125" s="252" t="str">
        <f>IF(E125&lt;&gt;"","Select from Pull-Down List    ","")</f>
        <v/>
      </c>
      <c r="AI125" s="933"/>
      <c r="AJ125" s="252" t="str">
        <f>IF(E125&lt;&gt;"","Number?   ","")</f>
        <v/>
      </c>
      <c r="AK125" s="139"/>
      <c r="AL125" s="252" t="str">
        <f>IF(E125&lt;&gt;"","Last Rnwl. Yr?   ","")</f>
        <v/>
      </c>
      <c r="AM125" s="933"/>
      <c r="AN125" s="252" t="str">
        <f>IF(E125&lt;&gt;"","Select from Pull-Down List    ","")</f>
        <v/>
      </c>
      <c r="AO125" s="933"/>
      <c r="AP125" s="252" t="str">
        <f>IF(E125&lt;&gt;"","Select from Pull-Down List    ","")</f>
        <v/>
      </c>
      <c r="AQ125" s="1023"/>
      <c r="AR125" s="252" t="str">
        <f>IF(E125&lt;&gt;"","Feet?    ","")</f>
        <v/>
      </c>
      <c r="AS125" s="1023"/>
      <c r="AT125" s="252" t="str">
        <f>IF(E125&lt;&gt;"","Seats?    ","")</f>
        <v/>
      </c>
      <c r="AU125" s="1023"/>
      <c r="AV125" s="252" t="str">
        <f>IF(E125&lt;&gt;"","Standing?    ","")</f>
        <v/>
      </c>
      <c r="AW125" s="1023"/>
      <c r="AX125" s="252" t="str">
        <f>IF(E125&lt;&gt;"","Mileage?       ","")</f>
        <v/>
      </c>
      <c r="AY125" s="1023"/>
      <c r="AZ125" s="252" t="str">
        <f>IF(E125&lt;&gt;"","Avg. Lifetime Mileage? ","")</f>
        <v/>
      </c>
      <c r="BA125" s="933"/>
      <c r="BB125" s="252" t="str">
        <f>IF(E125&lt;&gt;"","Select from Pull-Down List    ","")</f>
        <v/>
      </c>
      <c r="BC125" s="171"/>
      <c r="BD125" s="252" t="str">
        <f>IF(OR(AO125="OR - Other fuel (describe in Notes)",AG125="ZZZ - Other (describe in Notes)"),"Describe                                                                                                     ","")</f>
        <v/>
      </c>
      <c r="BE125" s="894"/>
      <c r="BF125" s="894"/>
      <c r="BG125" s="894" t="b">
        <f>IF(AND(C125="",C127&lt;&gt;""),TRUE,FALSE)</f>
        <v>0</v>
      </c>
      <c r="BH125" s="888" t="str">
        <f>IF(AND(C125&lt;&gt;"",OR(I125="",K125="",M125="",O125="",S125="",U125="",AA125="",AG125="",AI125="",AO125="",AQ125="",AS125="",AU125="",AW125="",AY125="")),"No",IF(AND(C125="",OR(I125&lt;&gt;"",K125&lt;&gt;"",M125&lt;&gt;"",O125&lt;&gt;"",S125&lt;&gt;"",U125&lt;&gt;"",AA125&lt;&gt;"",AG125&lt;&gt;"",AI125&lt;&gt;"",AK125&lt;&gt;"",AM125&lt;&gt;"",AO125&lt;&gt;"",AQ125&lt;&gt;"",AS125&lt;&gt;"",AU125&lt;&gt;"",AW125&lt;&gt;"",AY125&lt;&gt;"",BA125&lt;&gt;"",BC125&lt;&gt;"")),"No",IF(AND(C125="",I125="",K125="",M125="",O125="",S125="",U125="",AA125="",AG125="",AI125="",AK125="",AM125="",AO125="",AQ125="",AS125="",AU125="",AW125="",AY125="",BA125=""),"N/A","Yes")))</f>
        <v>N/A</v>
      </c>
      <c r="BI125" s="898"/>
      <c r="BJ125" s="899" t="b">
        <f>IF(AND(OR(I125&lt;&gt;"",K125&lt;&gt;"",M125&lt;&gt;"",O125&lt;&gt;"",S125&lt;&gt;"",U125&lt;&gt;"",AA125&lt;&gt;"",AG125&lt;&gt;"",AI125&lt;&gt;"",AK125&lt;&gt;"",AM125&lt;&gt;"",AO125&lt;&gt;"",AQ125&lt;&gt;"",AS125&lt;&gt;"",AW125&lt;&gt;"",AY125&lt;&gt;"",BA125&lt;&gt;"",BC125&lt;&gt;""),C125=""),TRUE,FALSE)</f>
        <v>0</v>
      </c>
      <c r="BK125" s="898" t="b">
        <f>IF(BL125=TRUE,FALSE,IF(SUM(K125,O125)&gt;I125,TRUE,FALSE))</f>
        <v>0</v>
      </c>
      <c r="BL125" s="899" t="b">
        <f>IF(AND(C125&lt;&gt;"",I125=""),TRUE,FALSE)</f>
        <v>0</v>
      </c>
      <c r="BM125" s="898" t="b">
        <f>IF(BN125=TRUE,FALSE,IF(M125&gt;K125,TRUE,FALSE))</f>
        <v>0</v>
      </c>
      <c r="BN125" s="899" t="b">
        <f>IF(AND($C125&lt;&gt;"",K125=""),TRUE,FALSE)</f>
        <v>0</v>
      </c>
      <c r="BO125" s="898"/>
      <c r="BP125" s="899" t="b">
        <f>IF(AND($C125&lt;&gt;"",M125=""),TRUE,FALSE)</f>
        <v>0</v>
      </c>
      <c r="BQ125" s="898"/>
      <c r="BR125" s="899" t="b">
        <f>IF(AND($C125&lt;&gt;"",O125=""),TRUE,FALSE)</f>
        <v>0</v>
      </c>
      <c r="BS125" s="898" t="b">
        <f>IF(AND(S125="",OR(U125&lt;&gt;"",AA125&lt;&gt;"",AG125&lt;&gt;"",AI125&lt;&gt;"",AK125&lt;&gt;"",AM125&lt;&gt;"",AO125&lt;&gt;"",AQ125&lt;&gt;"",AS125&lt;&gt;"",AU125&lt;&gt;"",AW125&lt;&gt;"",AY125&lt;&gt;"",BA125&lt;&gt;"")),TRUE,FALSE)</f>
        <v>0</v>
      </c>
      <c r="BT125" s="899" t="b">
        <f>IF(AND($C125&lt;&gt;"",S125=""),TRUE,FALSE)</f>
        <v>0</v>
      </c>
      <c r="BU125" s="898"/>
      <c r="BV125" s="899" t="b">
        <f>IF(AND($C125&lt;&gt;"",U125=""),TRUE,FALSE)</f>
        <v>0</v>
      </c>
      <c r="BW125" s="1537" t="b">
        <f>IF(BX125=TRUE,FALSE,IF(AA125="",FALSE,IF(OR(AA125&lt;CX125,AA125&gt;BaseYear),TRUE,FALSE)))</f>
        <v>0</v>
      </c>
      <c r="BX125" s="899" t="b">
        <f>IF(AND($C125&lt;&gt;"",AA125=""),TRUE,FALSE)</f>
        <v>0</v>
      </c>
      <c r="BY125" s="898"/>
      <c r="BZ125" s="899" t="b">
        <f>IF(AND($C125&lt;&gt;"",AG125=""),TRUE,FALSE)</f>
        <v>0</v>
      </c>
      <c r="CA125" s="898"/>
      <c r="CB125" s="899" t="b">
        <f>IF(AND($C125&lt;&gt;"",AI125=""),TRUE,FALSE)</f>
        <v>0</v>
      </c>
      <c r="CC125" s="1537" t="b">
        <f>IF(AK125="",FALSE,IF(OR(AK125&lt;CX125,AK125&gt;BaseYear),TRUE,FALSE))</f>
        <v>0</v>
      </c>
      <c r="CD125" s="1538" t="b">
        <f>IF(AK125="",FALSE,IF(AK125&lt;AA125,TRUE,FALSE))</f>
        <v>0</v>
      </c>
      <c r="CE125" s="899" t="b">
        <f>IF(AND($AM125&lt;&gt;"",AK125=""),TRUE,FALSE)</f>
        <v>0</v>
      </c>
      <c r="CF125" s="898"/>
      <c r="CG125" s="898" t="b">
        <f>IF(AND($AK125&lt;&gt;"",AM125=""),TRUE,FALSE)</f>
        <v>0</v>
      </c>
      <c r="CH125" s="898"/>
      <c r="CI125" s="899" t="b">
        <f>IF(AND($C125&lt;&gt;"",AO125=""),TRUE,FALSE)</f>
        <v>0</v>
      </c>
      <c r="CJ125" s="1537"/>
      <c r="CK125" s="899" t="b">
        <f>IF(AND($C125&lt;&gt;"",AQ125=""),TRUE,FALSE)</f>
        <v>0</v>
      </c>
      <c r="CL125" s="898"/>
      <c r="CM125" s="899" t="b">
        <f>IF(AND($C125&lt;&gt;"",AS125=""),TRUE,FALSE)</f>
        <v>0</v>
      </c>
      <c r="CN125" s="898"/>
      <c r="CO125" s="899" t="b">
        <f>IF(AND($C125&lt;&gt;"",AU125=""),TRUE,FALSE)</f>
        <v>0</v>
      </c>
      <c r="CP125" s="898"/>
      <c r="CQ125" s="899" t="b">
        <f>IF(AND($C125&lt;&gt;"",AW125=""),TRUE,FALSE)</f>
        <v>0</v>
      </c>
      <c r="CR125" s="898"/>
      <c r="CS125" s="899" t="b">
        <f>IF(AND($C125&lt;&gt;"",AY125=""),TRUE,FALSE)</f>
        <v>0</v>
      </c>
      <c r="CT125" s="898"/>
      <c r="CU125" s="898" t="b">
        <f>IF(AND($C125&lt;&gt;"",BA125=""),TRUE,FALSE)</f>
        <v>0</v>
      </c>
      <c r="CV125" s="894"/>
      <c r="CW125" s="898" t="str">
        <f t="shared" si="29"/>
        <v/>
      </c>
      <c r="CX125" s="898" t="str">
        <f>IFERROR(IF(AND(S125="",S125&lt;&gt;""),1913,VLOOKUP(S125,Valid!$B$99:$J$120,9)),"")</f>
        <v/>
      </c>
      <c r="CY125" s="898" t="str">
        <f t="shared" ca="1" si="30"/>
        <v/>
      </c>
      <c r="CZ125" s="1547" t="str">
        <f t="shared" ca="1" si="35"/>
        <v/>
      </c>
      <c r="DA125" s="898" t="str">
        <f ca="1">IF(CZ125="", "", IF(1+(CZ125*4)&lt;1, 1, 1+(CZ125*4)))</f>
        <v/>
      </c>
      <c r="DB125" s="898" t="str">
        <f t="shared" si="31"/>
        <v/>
      </c>
      <c r="DC125" s="898" t="str">
        <f t="shared" si="32"/>
        <v/>
      </c>
      <c r="DD125" s="1539" t="str">
        <f>IFERROR(IF(AND(AM125="",C125&lt;&gt;""),Valid!$E$123,VLOOKUP(AM125,Valid!$B$123:$F$125,4,FALSE)),"")</f>
        <v/>
      </c>
      <c r="DE125" s="1539" t="str">
        <f>IFERROR(IF(AND(AM125="",C125&lt;&gt;""),Valid!$F$123,VLOOKUP(AM125,Valid!$B$123:$F$125,5,FALSE)),"")</f>
        <v/>
      </c>
      <c r="DF125" s="1539" t="str">
        <f>IFERROR(VLOOKUP('A-70 RevVehInv'!S125,Valid!$B$99:$I$120,7), "")</f>
        <v/>
      </c>
      <c r="DG125" s="1539" t="str">
        <f>IFERROR(VLOOKUP(S125,Valid!$B$99:$I$120,8), "")</f>
        <v/>
      </c>
      <c r="DH125" s="894"/>
    </row>
    <row r="126" spans="1:112" ht="6.75" customHeight="1" x14ac:dyDescent="0.2">
      <c r="A126" s="1517"/>
      <c r="B126" s="1530">
        <v>57.5</v>
      </c>
      <c r="C126" s="1540"/>
      <c r="D126" s="905"/>
      <c r="E126" s="1541"/>
      <c r="F126" s="905"/>
      <c r="G126" s="905"/>
      <c r="H126" s="905"/>
      <c r="I126" s="1534"/>
      <c r="J126" s="905"/>
      <c r="K126" s="1534"/>
      <c r="L126" s="905"/>
      <c r="M126" s="1534"/>
      <c r="N126" s="905"/>
      <c r="O126" s="1534"/>
      <c r="P126" s="905"/>
      <c r="Q126" s="1534"/>
      <c r="R126" s="1531"/>
      <c r="S126" s="1542"/>
      <c r="T126" s="905"/>
      <c r="U126" s="1542"/>
      <c r="V126" s="905"/>
      <c r="W126" s="1534" t="str">
        <f t="shared" si="27"/>
        <v/>
      </c>
      <c r="X126" s="905"/>
      <c r="Y126" s="1534"/>
      <c r="Z126" s="252" t="str">
        <f t="shared" si="28"/>
        <v/>
      </c>
      <c r="AA126" s="1534"/>
      <c r="AB126" s="905"/>
      <c r="AC126" s="1973" t="str">
        <f t="shared" si="33"/>
        <v/>
      </c>
      <c r="AD126" s="905"/>
      <c r="AE126" s="1985" t="str">
        <f t="shared" si="34"/>
        <v/>
      </c>
      <c r="AF126" s="905"/>
      <c r="AG126" s="1543"/>
      <c r="AH126" s="1531"/>
      <c r="AI126" s="1534"/>
      <c r="AJ126" s="1531"/>
      <c r="AK126" s="1534"/>
      <c r="AL126" s="1531"/>
      <c r="AM126" s="1543"/>
      <c r="AN126" s="1531"/>
      <c r="AO126" s="1543"/>
      <c r="AP126" s="1531"/>
      <c r="AQ126" s="1534"/>
      <c r="AR126" s="1531"/>
      <c r="AS126" s="1534"/>
      <c r="AT126" s="1531"/>
      <c r="AU126" s="1534"/>
      <c r="AV126" s="1531"/>
      <c r="AW126" s="1534"/>
      <c r="AX126" s="1531"/>
      <c r="AY126" s="1534"/>
      <c r="AZ126" s="1531"/>
      <c r="BA126" s="1543"/>
      <c r="BB126" s="1531"/>
      <c r="BC126" s="1534"/>
      <c r="BD126" s="1531"/>
      <c r="BE126" s="1531"/>
      <c r="BF126" s="1531"/>
      <c r="BG126" s="1531"/>
      <c r="BH126" s="1531"/>
      <c r="BI126" s="1535"/>
      <c r="BJ126" s="1534"/>
      <c r="BK126" s="1535"/>
      <c r="BL126" s="1534"/>
      <c r="BM126" s="1535"/>
      <c r="BN126" s="1534"/>
      <c r="BO126" s="1535"/>
      <c r="BP126" s="1534"/>
      <c r="BQ126" s="1535"/>
      <c r="BR126" s="1534"/>
      <c r="BS126" s="1535"/>
      <c r="BT126" s="1534"/>
      <c r="BU126" s="1535"/>
      <c r="BV126" s="1534"/>
      <c r="BW126" s="1535"/>
      <c r="BX126" s="1534"/>
      <c r="BY126" s="1535"/>
      <c r="BZ126" s="1534"/>
      <c r="CA126" s="1535"/>
      <c r="CB126" s="1534"/>
      <c r="CC126" s="1535"/>
      <c r="CD126" s="1534"/>
      <c r="CE126" s="1534"/>
      <c r="CF126" s="1535"/>
      <c r="CG126" s="1534"/>
      <c r="CH126" s="1535"/>
      <c r="CI126" s="1534"/>
      <c r="CJ126" s="1535"/>
      <c r="CK126" s="1534"/>
      <c r="CL126" s="1535"/>
      <c r="CM126" s="1534"/>
      <c r="CN126" s="1535"/>
      <c r="CO126" s="1534"/>
      <c r="CP126" s="1535"/>
      <c r="CQ126" s="1534"/>
      <c r="CR126" s="1535"/>
      <c r="CS126" s="1534"/>
      <c r="CT126" s="1535"/>
      <c r="CU126" s="1535"/>
      <c r="CV126" s="1531"/>
      <c r="CW126" s="898" t="str">
        <f t="shared" si="29"/>
        <v/>
      </c>
      <c r="CX126" s="898" t="str">
        <f>IFERROR(IF(AND(S126="",S126&lt;&gt;""),1913,VLOOKUP(S126,Valid!$B$99:$J$120,9)),"")</f>
        <v/>
      </c>
      <c r="CY126" s="898" t="str">
        <f t="shared" ca="1" si="30"/>
        <v/>
      </c>
      <c r="CZ126" s="1547" t="str">
        <f t="shared" ca="1" si="35"/>
        <v/>
      </c>
      <c r="DA126" s="898"/>
      <c r="DB126" s="898" t="str">
        <f t="shared" si="31"/>
        <v/>
      </c>
      <c r="DC126" s="898" t="str">
        <f t="shared" si="32"/>
        <v/>
      </c>
      <c r="DD126" s="1539" t="str">
        <f>IFERROR(IF(AND(AM126="",C126&lt;&gt;""),Valid!$E$123,VLOOKUP(AM126,Valid!$B$123:$F$125,4,FALSE)),"")</f>
        <v/>
      </c>
      <c r="DE126" s="1539" t="str">
        <f>IFERROR(IF(AND(AM126="",C126&lt;&gt;""),Valid!$F$123,VLOOKUP(AM126,Valid!$B$123:$F$125,5,FALSE)),"")</f>
        <v/>
      </c>
      <c r="DF126" s="1539" t="str">
        <f>IFERROR(VLOOKUP('A-70 RevVehInv'!S126,Valid!$B$99:$I$120,7), "")</f>
        <v/>
      </c>
      <c r="DG126" s="1539" t="str">
        <f>IFERROR(VLOOKUP(S126,Valid!$B$99:$I$120,8), "")</f>
        <v/>
      </c>
      <c r="DH126" s="1531"/>
    </row>
    <row r="127" spans="1:112" s="930" customFormat="1" x14ac:dyDescent="0.2">
      <c r="A127" s="206">
        <v>58</v>
      </c>
      <c r="B127" s="1530">
        <v>58</v>
      </c>
      <c r="C127" s="933"/>
      <c r="D127" s="719" t="str">
        <f>IF(C125="","",IF((C127=""),"Enter RVI ID. then Fill in Columns "&amp;TEXT($I$2,0)&amp;" - "&amp;TEXT($BA$2,0)&amp;"       ",""))</f>
        <v/>
      </c>
      <c r="E127" s="1056" t="str">
        <f>IF(BH127="N/A","",BH127)</f>
        <v/>
      </c>
      <c r="F127" s="1536"/>
      <c r="G127" s="1536"/>
      <c r="H127" s="1536"/>
      <c r="I127" s="1023"/>
      <c r="J127" s="1536" t="str">
        <f>IF(E127&lt;&gt;"","Vehicles?    ","")</f>
        <v/>
      </c>
      <c r="K127" s="1023"/>
      <c r="L127" s="1536" t="str">
        <f>IF(E127&lt;&gt;"","Active Vehicles?     ","")</f>
        <v/>
      </c>
      <c r="M127" s="1023"/>
      <c r="N127" s="1536" t="str">
        <f>IF(E127&lt;&gt;"","ADA Vehicles?       ","")</f>
        <v/>
      </c>
      <c r="O127" s="1023"/>
      <c r="P127" s="1536" t="str">
        <f>IF(E127&lt;&gt;"","Cont. Vehicles?     ","")</f>
        <v/>
      </c>
      <c r="Q127" s="1024"/>
      <c r="R127" s="894"/>
      <c r="S127" s="1153"/>
      <c r="T127" s="252" t="str">
        <f>IF(E127&lt;&gt;"","Select from Pull-Down List    ","")</f>
        <v/>
      </c>
      <c r="U127" s="933"/>
      <c r="V127" s="252" t="str">
        <f>IF(E127&lt;&gt;"","Select from Pull-Down List    ","")</f>
        <v/>
      </c>
      <c r="W127" s="1766" t="str">
        <f t="shared" si="27"/>
        <v/>
      </c>
      <c r="X127" s="252"/>
      <c r="Y127" s="1988"/>
      <c r="Z127" s="252" t="str">
        <f t="shared" si="28"/>
        <v/>
      </c>
      <c r="AA127" s="139"/>
      <c r="AB127" s="252" t="str">
        <f>IF(E127&lt;&gt;"","Mfg. Yr?    ","")</f>
        <v/>
      </c>
      <c r="AC127" s="1974" t="str">
        <f t="shared" si="33"/>
        <v/>
      </c>
      <c r="AD127" s="252"/>
      <c r="AE127" s="1986" t="str">
        <f t="shared" si="34"/>
        <v/>
      </c>
      <c r="AF127" s="252"/>
      <c r="AG127" s="933"/>
      <c r="AH127" s="252" t="str">
        <f>IF(E127&lt;&gt;"","Select from Pull-Down List    ","")</f>
        <v/>
      </c>
      <c r="AI127" s="933"/>
      <c r="AJ127" s="252" t="str">
        <f>IF(E127&lt;&gt;"","Number?   ","")</f>
        <v/>
      </c>
      <c r="AK127" s="139"/>
      <c r="AL127" s="252" t="str">
        <f>IF(E127&lt;&gt;"","Last Rnwl. Yr?   ","")</f>
        <v/>
      </c>
      <c r="AM127" s="933"/>
      <c r="AN127" s="252" t="str">
        <f>IF(E127&lt;&gt;"","Select from Pull-Down List    ","")</f>
        <v/>
      </c>
      <c r="AO127" s="933"/>
      <c r="AP127" s="252" t="str">
        <f>IF(E127&lt;&gt;"","Select from Pull-Down List    ","")</f>
        <v/>
      </c>
      <c r="AQ127" s="1023"/>
      <c r="AR127" s="252" t="str">
        <f>IF(E127&lt;&gt;"","Feet?    ","")</f>
        <v/>
      </c>
      <c r="AS127" s="1023"/>
      <c r="AT127" s="252" t="str">
        <f>IF(E127&lt;&gt;"","Seats?    ","")</f>
        <v/>
      </c>
      <c r="AU127" s="1023"/>
      <c r="AV127" s="252" t="str">
        <f>IF(E127&lt;&gt;"","Standing?    ","")</f>
        <v/>
      </c>
      <c r="AW127" s="1023"/>
      <c r="AX127" s="252" t="str">
        <f>IF(E127&lt;&gt;"","Mileage?       ","")</f>
        <v/>
      </c>
      <c r="AY127" s="1023"/>
      <c r="AZ127" s="252" t="str">
        <f>IF(E127&lt;&gt;"","Avg. Lifetime Mileage? ","")</f>
        <v/>
      </c>
      <c r="BA127" s="933"/>
      <c r="BB127" s="252" t="str">
        <f>IF(E127&lt;&gt;"","Select from Pull-Down List    ","")</f>
        <v/>
      </c>
      <c r="BC127" s="171"/>
      <c r="BD127" s="252" t="str">
        <f>IF(OR(AO127="OR - Other fuel (describe in Notes)",AG127="ZZZ - Other (describe in Notes)"),"Describe                                                                                                     ","")</f>
        <v/>
      </c>
      <c r="BE127" s="894"/>
      <c r="BF127" s="894"/>
      <c r="BG127" s="894" t="b">
        <f>IF(AND(C127="",C129&lt;&gt;""),TRUE,FALSE)</f>
        <v>0</v>
      </c>
      <c r="BH127" s="888" t="str">
        <f>IF(AND(C127&lt;&gt;"",OR(I127="",K127="",M127="",O127="",S127="",U127="",AA127="",AG127="",AI127="",AO127="",AQ127="",AS127="",AU127="",AW127="",AY127="")),"No",IF(AND(C127="",OR(I127&lt;&gt;"",K127&lt;&gt;"",M127&lt;&gt;"",O127&lt;&gt;"",S127&lt;&gt;"",U127&lt;&gt;"",AA127&lt;&gt;"",AG127&lt;&gt;"",AI127&lt;&gt;"",AK127&lt;&gt;"",AM127&lt;&gt;"",AO127&lt;&gt;"",AQ127&lt;&gt;"",AS127&lt;&gt;"",AU127&lt;&gt;"",AW127&lt;&gt;"",AY127&lt;&gt;"",BA127&lt;&gt;"",BC127&lt;&gt;"")),"No",IF(AND(C127="",I127="",K127="",M127="",O127="",S127="",U127="",AA127="",AG127="",AI127="",AK127="",AM127="",AO127="",AQ127="",AS127="",AU127="",AW127="",AY127="",BA127=""),"N/A","Yes")))</f>
        <v>N/A</v>
      </c>
      <c r="BI127" s="898"/>
      <c r="BJ127" s="899" t="b">
        <f>IF(AND(OR(I127&lt;&gt;"",K127&lt;&gt;"",M127&lt;&gt;"",O127&lt;&gt;"",S127&lt;&gt;"",U127&lt;&gt;"",AA127&lt;&gt;"",AG127&lt;&gt;"",AI127&lt;&gt;"",AK127&lt;&gt;"",AM127&lt;&gt;"",AO127&lt;&gt;"",AQ127&lt;&gt;"",AS127&lt;&gt;"",AW127&lt;&gt;"",AY127&lt;&gt;"",BA127&lt;&gt;"",BC127&lt;&gt;""),C127=""),TRUE,FALSE)</f>
        <v>0</v>
      </c>
      <c r="BK127" s="898" t="b">
        <f>IF(BL127=TRUE,FALSE,IF(SUM(K127,O127)&gt;I127,TRUE,FALSE))</f>
        <v>0</v>
      </c>
      <c r="BL127" s="899" t="b">
        <f>IF(AND(C127&lt;&gt;"",I127=""),TRUE,FALSE)</f>
        <v>0</v>
      </c>
      <c r="BM127" s="898" t="b">
        <f>IF(BN127=TRUE,FALSE,IF(M127&gt;K127,TRUE,FALSE))</f>
        <v>0</v>
      </c>
      <c r="BN127" s="899" t="b">
        <f>IF(AND($C127&lt;&gt;"",K127=""),TRUE,FALSE)</f>
        <v>0</v>
      </c>
      <c r="BO127" s="898"/>
      <c r="BP127" s="899" t="b">
        <f>IF(AND($C127&lt;&gt;"",M127=""),TRUE,FALSE)</f>
        <v>0</v>
      </c>
      <c r="BQ127" s="898"/>
      <c r="BR127" s="899" t="b">
        <f>IF(AND($C127&lt;&gt;"",O127=""),TRUE,FALSE)</f>
        <v>0</v>
      </c>
      <c r="BS127" s="898" t="b">
        <f>IF(AND(S127="",OR(U127&lt;&gt;"",AA127&lt;&gt;"",AG127&lt;&gt;"",AI127&lt;&gt;"",AK127&lt;&gt;"",AM127&lt;&gt;"",AO127&lt;&gt;"",AQ127&lt;&gt;"",AS127&lt;&gt;"",AU127&lt;&gt;"",AW127&lt;&gt;"",AY127&lt;&gt;"",BA127&lt;&gt;"")),TRUE,FALSE)</f>
        <v>0</v>
      </c>
      <c r="BT127" s="899" t="b">
        <f>IF(AND($C127&lt;&gt;"",S127=""),TRUE,FALSE)</f>
        <v>0</v>
      </c>
      <c r="BU127" s="898"/>
      <c r="BV127" s="899" t="b">
        <f>IF(AND($C127&lt;&gt;"",U127=""),TRUE,FALSE)</f>
        <v>0</v>
      </c>
      <c r="BW127" s="1537" t="b">
        <f>IF(BX127=TRUE,FALSE,IF(AA127="",FALSE,IF(OR(AA127&lt;CX127,AA127&gt;BaseYear),TRUE,FALSE)))</f>
        <v>0</v>
      </c>
      <c r="BX127" s="899" t="b">
        <f>IF(AND($C127&lt;&gt;"",AA127=""),TRUE,FALSE)</f>
        <v>0</v>
      </c>
      <c r="BY127" s="898"/>
      <c r="BZ127" s="899" t="b">
        <f>IF(AND($C127&lt;&gt;"",AG127=""),TRUE,FALSE)</f>
        <v>0</v>
      </c>
      <c r="CA127" s="898"/>
      <c r="CB127" s="899" t="b">
        <f>IF(AND($C127&lt;&gt;"",AI127=""),TRUE,FALSE)</f>
        <v>0</v>
      </c>
      <c r="CC127" s="1537" t="b">
        <f>IF(AK127="",FALSE,IF(OR(AK127&lt;CX127,AK127&gt;BaseYear),TRUE,FALSE))</f>
        <v>0</v>
      </c>
      <c r="CD127" s="1538" t="b">
        <f>IF(AK127="",FALSE,IF(AK127&lt;AA127,TRUE,FALSE))</f>
        <v>0</v>
      </c>
      <c r="CE127" s="899" t="b">
        <f>IF(AND($AM127&lt;&gt;"",AK127=""),TRUE,FALSE)</f>
        <v>0</v>
      </c>
      <c r="CF127" s="898"/>
      <c r="CG127" s="898" t="b">
        <f>IF(AND($AK127&lt;&gt;"",AM127=""),TRUE,FALSE)</f>
        <v>0</v>
      </c>
      <c r="CH127" s="898"/>
      <c r="CI127" s="899" t="b">
        <f>IF(AND($C127&lt;&gt;"",AO127=""),TRUE,FALSE)</f>
        <v>0</v>
      </c>
      <c r="CJ127" s="1537"/>
      <c r="CK127" s="899" t="b">
        <f>IF(AND($C127&lt;&gt;"",AQ127=""),TRUE,FALSE)</f>
        <v>0</v>
      </c>
      <c r="CL127" s="898"/>
      <c r="CM127" s="899" t="b">
        <f>IF(AND($C127&lt;&gt;"",AS127=""),TRUE,FALSE)</f>
        <v>0</v>
      </c>
      <c r="CN127" s="898"/>
      <c r="CO127" s="899" t="b">
        <f>IF(AND($C127&lt;&gt;"",AU127=""),TRUE,FALSE)</f>
        <v>0</v>
      </c>
      <c r="CP127" s="898"/>
      <c r="CQ127" s="899" t="b">
        <f>IF(AND($C127&lt;&gt;"",AW127=""),TRUE,FALSE)</f>
        <v>0</v>
      </c>
      <c r="CR127" s="898"/>
      <c r="CS127" s="899" t="b">
        <f>IF(AND($C127&lt;&gt;"",AY127=""),TRUE,FALSE)</f>
        <v>0</v>
      </c>
      <c r="CT127" s="898"/>
      <c r="CU127" s="898" t="b">
        <f>IF(AND($C127&lt;&gt;"",BA127=""),TRUE,FALSE)</f>
        <v>0</v>
      </c>
      <c r="CV127" s="894"/>
      <c r="CW127" s="898" t="str">
        <f t="shared" si="29"/>
        <v/>
      </c>
      <c r="CX127" s="898" t="str">
        <f>IFERROR(IF(AND(S127="",S127&lt;&gt;""),1913,VLOOKUP(S127,Valid!$B$99:$J$120,9)),"")</f>
        <v/>
      </c>
      <c r="CY127" s="898" t="str">
        <f t="shared" ca="1" si="30"/>
        <v/>
      </c>
      <c r="CZ127" s="1547" t="str">
        <f t="shared" ca="1" si="35"/>
        <v/>
      </c>
      <c r="DA127" s="898" t="str">
        <f ca="1">IF(CZ127="", "", IF(1+(CZ127*4)&lt;1, 1, 1+(CZ127*4)))</f>
        <v/>
      </c>
      <c r="DB127" s="898" t="str">
        <f t="shared" si="31"/>
        <v/>
      </c>
      <c r="DC127" s="898" t="str">
        <f t="shared" si="32"/>
        <v/>
      </c>
      <c r="DD127" s="1539" t="str">
        <f>IFERROR(IF(AND(AM127="",C127&lt;&gt;""),Valid!$E$123,VLOOKUP(AM127,Valid!$B$123:$F$125,4,FALSE)),"")</f>
        <v/>
      </c>
      <c r="DE127" s="1539" t="str">
        <f>IFERROR(IF(AND(AM127="",C127&lt;&gt;""),Valid!$F$123,VLOOKUP(AM127,Valid!$B$123:$F$125,5,FALSE)),"")</f>
        <v/>
      </c>
      <c r="DF127" s="1539" t="str">
        <f>IFERROR(VLOOKUP('A-70 RevVehInv'!S127,Valid!$B$99:$I$120,7), "")</f>
        <v/>
      </c>
      <c r="DG127" s="1539" t="str">
        <f>IFERROR(VLOOKUP(S127,Valid!$B$99:$I$120,8), "")</f>
        <v/>
      </c>
      <c r="DH127" s="894"/>
    </row>
    <row r="128" spans="1:112" ht="6.75" customHeight="1" x14ac:dyDescent="0.2">
      <c r="A128" s="1517"/>
      <c r="B128" s="1530">
        <v>58.5</v>
      </c>
      <c r="C128" s="1544"/>
      <c r="D128" s="905"/>
      <c r="E128" s="1545"/>
      <c r="F128" s="905"/>
      <c r="G128" s="905"/>
      <c r="H128" s="905"/>
      <c r="I128" s="1531"/>
      <c r="J128" s="905"/>
      <c r="K128" s="1531"/>
      <c r="L128" s="905"/>
      <c r="M128" s="1531"/>
      <c r="N128" s="905"/>
      <c r="O128" s="1531"/>
      <c r="P128" s="905"/>
      <c r="Q128" s="1531"/>
      <c r="R128" s="1531"/>
      <c r="S128" s="1533"/>
      <c r="T128" s="905"/>
      <c r="U128" s="1533"/>
      <c r="V128" s="905"/>
      <c r="W128" s="1531" t="str">
        <f t="shared" si="27"/>
        <v/>
      </c>
      <c r="X128" s="905"/>
      <c r="Y128" s="1531"/>
      <c r="Z128" s="252" t="str">
        <f t="shared" si="28"/>
        <v/>
      </c>
      <c r="AA128" s="1531"/>
      <c r="AB128" s="905"/>
      <c r="AC128" s="1971" t="str">
        <f t="shared" si="33"/>
        <v/>
      </c>
      <c r="AD128" s="905"/>
      <c r="AE128" s="1983" t="str">
        <f t="shared" si="34"/>
        <v/>
      </c>
      <c r="AF128" s="905"/>
      <c r="AG128" s="1546"/>
      <c r="AH128" s="1531"/>
      <c r="AI128" s="1531"/>
      <c r="AJ128" s="1531"/>
      <c r="AK128" s="1531"/>
      <c r="AL128" s="1531"/>
      <c r="AM128" s="1546"/>
      <c r="AN128" s="1531"/>
      <c r="AO128" s="1546"/>
      <c r="AP128" s="1531"/>
      <c r="AQ128" s="1531"/>
      <c r="AR128" s="1531"/>
      <c r="AS128" s="1531"/>
      <c r="AT128" s="1531"/>
      <c r="AU128" s="1531"/>
      <c r="AV128" s="1531"/>
      <c r="AW128" s="1531"/>
      <c r="AX128" s="1531"/>
      <c r="AY128" s="1531"/>
      <c r="AZ128" s="1531"/>
      <c r="BA128" s="1546"/>
      <c r="BB128" s="1531"/>
      <c r="BC128" s="1531"/>
      <c r="BD128" s="1531"/>
      <c r="BE128" s="1531"/>
      <c r="BF128" s="1531"/>
      <c r="BG128" s="1531"/>
      <c r="BH128" s="1531"/>
      <c r="BI128" s="1535"/>
      <c r="BJ128" s="1534"/>
      <c r="BK128" s="1535"/>
      <c r="BL128" s="1534"/>
      <c r="BM128" s="1535"/>
      <c r="BN128" s="1534"/>
      <c r="BO128" s="1535"/>
      <c r="BP128" s="1534"/>
      <c r="BQ128" s="1535"/>
      <c r="BR128" s="1534"/>
      <c r="BS128" s="1535"/>
      <c r="BT128" s="1534"/>
      <c r="BU128" s="1535"/>
      <c r="BV128" s="1534"/>
      <c r="BW128" s="1535"/>
      <c r="BX128" s="1534"/>
      <c r="BY128" s="1535"/>
      <c r="BZ128" s="1534"/>
      <c r="CA128" s="1535"/>
      <c r="CB128" s="1534"/>
      <c r="CC128" s="1535"/>
      <c r="CD128" s="1534"/>
      <c r="CE128" s="1534"/>
      <c r="CF128" s="1535"/>
      <c r="CG128" s="1534"/>
      <c r="CH128" s="1535"/>
      <c r="CI128" s="1534"/>
      <c r="CJ128" s="1535"/>
      <c r="CK128" s="1534"/>
      <c r="CL128" s="1535"/>
      <c r="CM128" s="1534"/>
      <c r="CN128" s="1535"/>
      <c r="CO128" s="1534"/>
      <c r="CP128" s="1535"/>
      <c r="CQ128" s="1534"/>
      <c r="CR128" s="1535"/>
      <c r="CS128" s="1534"/>
      <c r="CT128" s="1535"/>
      <c r="CU128" s="1535"/>
      <c r="CV128" s="1531"/>
      <c r="CW128" s="898" t="str">
        <f t="shared" si="29"/>
        <v/>
      </c>
      <c r="CX128" s="898" t="str">
        <f>IFERROR(IF(AND(S128="",S128&lt;&gt;""),1913,VLOOKUP(S128,Valid!$B$99:$J$120,9)),"")</f>
        <v/>
      </c>
      <c r="CY128" s="898" t="str">
        <f t="shared" ca="1" si="30"/>
        <v/>
      </c>
      <c r="CZ128" s="1547" t="str">
        <f t="shared" ca="1" si="35"/>
        <v/>
      </c>
      <c r="DA128" s="898"/>
      <c r="DB128" s="898" t="str">
        <f t="shared" si="31"/>
        <v/>
      </c>
      <c r="DC128" s="898" t="str">
        <f t="shared" si="32"/>
        <v/>
      </c>
      <c r="DD128" s="1539" t="str">
        <f>IFERROR(IF(AND(AM128="",C128&lt;&gt;""),Valid!$E$123,VLOOKUP(AM128,Valid!$B$123:$F$125,4,FALSE)),"")</f>
        <v/>
      </c>
      <c r="DE128" s="1539" t="str">
        <f>IFERROR(IF(AND(AM128="",C128&lt;&gt;""),Valid!$F$123,VLOOKUP(AM128,Valid!$B$123:$F$125,5,FALSE)),"")</f>
        <v/>
      </c>
      <c r="DF128" s="1539" t="str">
        <f>IFERROR(VLOOKUP('A-70 RevVehInv'!S128,Valid!$B$99:$I$120,7), "")</f>
        <v/>
      </c>
      <c r="DG128" s="1539" t="str">
        <f>IFERROR(VLOOKUP(S128,Valid!$B$99:$I$120,8), "")</f>
        <v/>
      </c>
      <c r="DH128" s="1531"/>
    </row>
    <row r="129" spans="1:112" s="930" customFormat="1" x14ac:dyDescent="0.2">
      <c r="A129" s="206">
        <v>59</v>
      </c>
      <c r="B129" s="1530">
        <v>59</v>
      </c>
      <c r="C129" s="933"/>
      <c r="D129" s="719" t="str">
        <f>IF(C127="","",IF((C129=""),"Enter RVI ID. then Fill in Columns "&amp;TEXT($I$2,0)&amp;" - "&amp;TEXT($BA$2,0)&amp;"       ",""))</f>
        <v/>
      </c>
      <c r="E129" s="1056" t="str">
        <f>IF(BH129="N/A","",BH129)</f>
        <v/>
      </c>
      <c r="F129" s="1536"/>
      <c r="G129" s="1536"/>
      <c r="H129" s="1536"/>
      <c r="I129" s="1023"/>
      <c r="J129" s="1536" t="str">
        <f>IF(E129&lt;&gt;"","Vehicles?    ","")</f>
        <v/>
      </c>
      <c r="K129" s="1023"/>
      <c r="L129" s="1536" t="str">
        <f>IF(E129&lt;&gt;"","Active Vehicles?     ","")</f>
        <v/>
      </c>
      <c r="M129" s="1023"/>
      <c r="N129" s="1536" t="str">
        <f>IF(E129&lt;&gt;"","ADA Vehicles?       ","")</f>
        <v/>
      </c>
      <c r="O129" s="1023"/>
      <c r="P129" s="1536" t="str">
        <f>IF(E129&lt;&gt;"","Cont. Vehicles?     ","")</f>
        <v/>
      </c>
      <c r="Q129" s="1024"/>
      <c r="R129" s="894"/>
      <c r="S129" s="1153"/>
      <c r="T129" s="252" t="str">
        <f>IF(E129&lt;&gt;"","Select from Pull-Down List    ","")</f>
        <v/>
      </c>
      <c r="U129" s="933"/>
      <c r="V129" s="252" t="str">
        <f>IF(E129&lt;&gt;"","Select from Pull-Down List    ","")</f>
        <v/>
      </c>
      <c r="W129" s="1766" t="str">
        <f t="shared" si="27"/>
        <v/>
      </c>
      <c r="X129" s="252"/>
      <c r="Y129" s="1988"/>
      <c r="Z129" s="252" t="str">
        <f t="shared" si="28"/>
        <v/>
      </c>
      <c r="AA129" s="139"/>
      <c r="AB129" s="252" t="str">
        <f>IF(E129&lt;&gt;"","Mfg. Yr?    ","")</f>
        <v/>
      </c>
      <c r="AC129" s="1974" t="str">
        <f t="shared" si="33"/>
        <v/>
      </c>
      <c r="AD129" s="252"/>
      <c r="AE129" s="1986" t="str">
        <f t="shared" si="34"/>
        <v/>
      </c>
      <c r="AF129" s="252"/>
      <c r="AG129" s="933"/>
      <c r="AH129" s="252" t="str">
        <f>IF(E129&lt;&gt;"","Select from Pull-Down List    ","")</f>
        <v/>
      </c>
      <c r="AI129" s="933"/>
      <c r="AJ129" s="252" t="str">
        <f>IF(E129&lt;&gt;"","Number?   ","")</f>
        <v/>
      </c>
      <c r="AK129" s="139"/>
      <c r="AL129" s="252" t="str">
        <f>IF(E129&lt;&gt;"","Last Rnwl. Yr?   ","")</f>
        <v/>
      </c>
      <c r="AM129" s="933"/>
      <c r="AN129" s="252" t="str">
        <f>IF(E129&lt;&gt;"","Select from Pull-Down List    ","")</f>
        <v/>
      </c>
      <c r="AO129" s="933"/>
      <c r="AP129" s="252" t="str">
        <f>IF(E129&lt;&gt;"","Select from Pull-Down List    ","")</f>
        <v/>
      </c>
      <c r="AQ129" s="1023"/>
      <c r="AR129" s="252" t="str">
        <f>IF(E129&lt;&gt;"","Feet?    ","")</f>
        <v/>
      </c>
      <c r="AS129" s="1023"/>
      <c r="AT129" s="252" t="str">
        <f>IF(E129&lt;&gt;"","Seats?    ","")</f>
        <v/>
      </c>
      <c r="AU129" s="1023"/>
      <c r="AV129" s="252" t="str">
        <f>IF(E129&lt;&gt;"","Standing?    ","")</f>
        <v/>
      </c>
      <c r="AW129" s="1023"/>
      <c r="AX129" s="252" t="str">
        <f>IF(E129&lt;&gt;"","Mileage?       ","")</f>
        <v/>
      </c>
      <c r="AY129" s="1023"/>
      <c r="AZ129" s="252" t="str">
        <f>IF(E129&lt;&gt;"","Avg. Lifetime Mileage? ","")</f>
        <v/>
      </c>
      <c r="BA129" s="933"/>
      <c r="BB129" s="252" t="str">
        <f>IF(E129&lt;&gt;"","Select from Pull-Down List    ","")</f>
        <v/>
      </c>
      <c r="BC129" s="171"/>
      <c r="BD129" s="252" t="str">
        <f>IF(OR(AO129="OR - Other fuel (describe in Notes)",AG129="ZZZ - Other (describe in Notes)"),"Describe                                                                                                     ","")</f>
        <v/>
      </c>
      <c r="BE129" s="894"/>
      <c r="BF129" s="894"/>
      <c r="BG129" s="894" t="b">
        <f>IF(AND(C129="",C131&lt;&gt;""),TRUE,FALSE)</f>
        <v>0</v>
      </c>
      <c r="BH129" s="888" t="str">
        <f>IF(AND(C129&lt;&gt;"",OR(I129="",K129="",M129="",O129="",S129="",U129="",AA129="",AG129="",AI129="",AO129="",AQ129="",AS129="",AU129="",AW129="",AY129="")),"No",IF(AND(C129="",OR(I129&lt;&gt;"",K129&lt;&gt;"",M129&lt;&gt;"",O129&lt;&gt;"",S129&lt;&gt;"",U129&lt;&gt;"",AA129&lt;&gt;"",AG129&lt;&gt;"",AI129&lt;&gt;"",AK129&lt;&gt;"",AM129&lt;&gt;"",AO129&lt;&gt;"",AQ129&lt;&gt;"",AS129&lt;&gt;"",AU129&lt;&gt;"",AW129&lt;&gt;"",AY129&lt;&gt;"",BA129&lt;&gt;"",BC129&lt;&gt;"")),"No",IF(AND(C129="",I129="",K129="",M129="",O129="",S129="",U129="",AA129="",AG129="",AI129="",AK129="",AM129="",AO129="",AQ129="",AS129="",AU129="",AW129="",AY129="",BA129=""),"N/A","Yes")))</f>
        <v>N/A</v>
      </c>
      <c r="BI129" s="898"/>
      <c r="BJ129" s="899" t="b">
        <f>IF(AND(OR(I129&lt;&gt;"",K129&lt;&gt;"",M129&lt;&gt;"",O129&lt;&gt;"",S129&lt;&gt;"",U129&lt;&gt;"",AA129&lt;&gt;"",AG129&lt;&gt;"",AI129&lt;&gt;"",AK129&lt;&gt;"",AM129&lt;&gt;"",AO129&lt;&gt;"",AQ129&lt;&gt;"",AS129&lt;&gt;"",AW129&lt;&gt;"",AY129&lt;&gt;"",BA129&lt;&gt;"",BC129&lt;&gt;""),C129=""),TRUE,FALSE)</f>
        <v>0</v>
      </c>
      <c r="BK129" s="898" t="b">
        <f>IF(BL129=TRUE,FALSE,IF(SUM(K129,O129)&gt;I129,TRUE,FALSE))</f>
        <v>0</v>
      </c>
      <c r="BL129" s="899" t="b">
        <f>IF(AND(C129&lt;&gt;"",I129=""),TRUE,FALSE)</f>
        <v>0</v>
      </c>
      <c r="BM129" s="898" t="b">
        <f>IF(BN129=TRUE,FALSE,IF(M129&gt;K129,TRUE,FALSE))</f>
        <v>0</v>
      </c>
      <c r="BN129" s="899" t="b">
        <f>IF(AND($C129&lt;&gt;"",K129=""),TRUE,FALSE)</f>
        <v>0</v>
      </c>
      <c r="BO129" s="898"/>
      <c r="BP129" s="899" t="b">
        <f>IF(AND($C129&lt;&gt;"",M129=""),TRUE,FALSE)</f>
        <v>0</v>
      </c>
      <c r="BQ129" s="898"/>
      <c r="BR129" s="899" t="b">
        <f>IF(AND($C129&lt;&gt;"",O129=""),TRUE,FALSE)</f>
        <v>0</v>
      </c>
      <c r="BS129" s="898" t="b">
        <f>IF(AND(S129="",OR(U129&lt;&gt;"",AA129&lt;&gt;"",AG129&lt;&gt;"",AI129&lt;&gt;"",AK129&lt;&gt;"",AM129&lt;&gt;"",AO129&lt;&gt;"",AQ129&lt;&gt;"",AS129&lt;&gt;"",AU129&lt;&gt;"",AW129&lt;&gt;"",AY129&lt;&gt;"",BA129&lt;&gt;"")),TRUE,FALSE)</f>
        <v>0</v>
      </c>
      <c r="BT129" s="899" t="b">
        <f>IF(AND($C129&lt;&gt;"",S129=""),TRUE,FALSE)</f>
        <v>0</v>
      </c>
      <c r="BU129" s="898"/>
      <c r="BV129" s="899" t="b">
        <f>IF(AND($C129&lt;&gt;"",U129=""),TRUE,FALSE)</f>
        <v>0</v>
      </c>
      <c r="BW129" s="1537" t="b">
        <f>IF(BX129=TRUE,FALSE,IF(AA129="",FALSE,IF(OR(AA129&lt;CX129,AA129&gt;BaseYear),TRUE,FALSE)))</f>
        <v>0</v>
      </c>
      <c r="BX129" s="899" t="b">
        <f>IF(AND($C129&lt;&gt;"",AA129=""),TRUE,FALSE)</f>
        <v>0</v>
      </c>
      <c r="BY129" s="898"/>
      <c r="BZ129" s="899" t="b">
        <f>IF(AND($C129&lt;&gt;"",AG129=""),TRUE,FALSE)</f>
        <v>0</v>
      </c>
      <c r="CA129" s="898"/>
      <c r="CB129" s="899" t="b">
        <f>IF(AND($C129&lt;&gt;"",AI129=""),TRUE,FALSE)</f>
        <v>0</v>
      </c>
      <c r="CC129" s="1537" t="b">
        <f>IF(AK129="",FALSE,IF(OR(AK129&lt;CX129,AK129&gt;BaseYear),TRUE,FALSE))</f>
        <v>0</v>
      </c>
      <c r="CD129" s="1538" t="b">
        <f>IF(AK129="",FALSE,IF(AK129&lt;AA129,TRUE,FALSE))</f>
        <v>0</v>
      </c>
      <c r="CE129" s="899" t="b">
        <f>IF(AND($AM129&lt;&gt;"",AK129=""),TRUE,FALSE)</f>
        <v>0</v>
      </c>
      <c r="CF129" s="898"/>
      <c r="CG129" s="898" t="b">
        <f>IF(AND($AK129&lt;&gt;"",AM129=""),TRUE,FALSE)</f>
        <v>0</v>
      </c>
      <c r="CH129" s="898"/>
      <c r="CI129" s="899" t="b">
        <f>IF(AND($C129&lt;&gt;"",AO129=""),TRUE,FALSE)</f>
        <v>0</v>
      </c>
      <c r="CJ129" s="1537"/>
      <c r="CK129" s="899" t="b">
        <f>IF(AND($C129&lt;&gt;"",AQ129=""),TRUE,FALSE)</f>
        <v>0</v>
      </c>
      <c r="CL129" s="898"/>
      <c r="CM129" s="899" t="b">
        <f>IF(AND($C129&lt;&gt;"",AS129=""),TRUE,FALSE)</f>
        <v>0</v>
      </c>
      <c r="CN129" s="898"/>
      <c r="CO129" s="899" t="b">
        <f>IF(AND($C129&lt;&gt;"",AU129=""),TRUE,FALSE)</f>
        <v>0</v>
      </c>
      <c r="CP129" s="898"/>
      <c r="CQ129" s="899" t="b">
        <f>IF(AND($C129&lt;&gt;"",AW129=""),TRUE,FALSE)</f>
        <v>0</v>
      </c>
      <c r="CR129" s="898"/>
      <c r="CS129" s="899" t="b">
        <f>IF(AND($C129&lt;&gt;"",AY129=""),TRUE,FALSE)</f>
        <v>0</v>
      </c>
      <c r="CT129" s="898"/>
      <c r="CU129" s="898" t="b">
        <f>IF(AND($C129&lt;&gt;"",BA129=""),TRUE,FALSE)</f>
        <v>0</v>
      </c>
      <c r="CV129" s="894"/>
      <c r="CW129" s="898" t="str">
        <f t="shared" si="29"/>
        <v/>
      </c>
      <c r="CX129" s="898" t="str">
        <f>IFERROR(IF(AND(S129="",S129&lt;&gt;""),1913,VLOOKUP(S129,Valid!$B$99:$J$120,9)),"")</f>
        <v/>
      </c>
      <c r="CY129" s="898" t="str">
        <f t="shared" ca="1" si="30"/>
        <v/>
      </c>
      <c r="CZ129" s="1547" t="str">
        <f t="shared" ca="1" si="35"/>
        <v/>
      </c>
      <c r="DA129" s="898" t="str">
        <f ca="1">IF(CZ129="", "", IF(1+(CZ129*4)&lt;1, 1, 1+(CZ129*4)))</f>
        <v/>
      </c>
      <c r="DB129" s="898" t="str">
        <f t="shared" si="31"/>
        <v/>
      </c>
      <c r="DC129" s="898" t="str">
        <f t="shared" si="32"/>
        <v/>
      </c>
      <c r="DD129" s="1539" t="str">
        <f>IFERROR(IF(AND(AM129="",C129&lt;&gt;""),Valid!$E$123,VLOOKUP(AM129,Valid!$B$123:$F$125,4,FALSE)),"")</f>
        <v/>
      </c>
      <c r="DE129" s="1539" t="str">
        <f>IFERROR(IF(AND(AM129="",C129&lt;&gt;""),Valid!$F$123,VLOOKUP(AM129,Valid!$B$123:$F$125,5,FALSE)),"")</f>
        <v/>
      </c>
      <c r="DF129" s="1539" t="str">
        <f>IFERROR(VLOOKUP('A-70 RevVehInv'!S129,Valid!$B$99:$I$120,7), "")</f>
        <v/>
      </c>
      <c r="DG129" s="1539" t="str">
        <f>IFERROR(VLOOKUP(S129,Valid!$B$99:$I$120,8), "")</f>
        <v/>
      </c>
      <c r="DH129" s="894"/>
    </row>
    <row r="130" spans="1:112" ht="6.75" customHeight="1" x14ac:dyDescent="0.2">
      <c r="A130" s="1517"/>
      <c r="B130" s="1530">
        <v>59.5</v>
      </c>
      <c r="C130" s="1540"/>
      <c r="D130" s="905"/>
      <c r="E130" s="1541"/>
      <c r="F130" s="905"/>
      <c r="G130" s="905"/>
      <c r="H130" s="905"/>
      <c r="I130" s="1534"/>
      <c r="J130" s="905"/>
      <c r="K130" s="1534"/>
      <c r="L130" s="905"/>
      <c r="M130" s="1534"/>
      <c r="N130" s="905"/>
      <c r="O130" s="1534"/>
      <c r="P130" s="905"/>
      <c r="Q130" s="1534"/>
      <c r="R130" s="1531"/>
      <c r="S130" s="1542"/>
      <c r="T130" s="905"/>
      <c r="U130" s="1542"/>
      <c r="V130" s="905"/>
      <c r="W130" s="1534" t="str">
        <f t="shared" si="27"/>
        <v/>
      </c>
      <c r="X130" s="905"/>
      <c r="Y130" s="1534"/>
      <c r="Z130" s="252" t="str">
        <f t="shared" si="28"/>
        <v/>
      </c>
      <c r="AA130" s="1534"/>
      <c r="AB130" s="905"/>
      <c r="AC130" s="1973" t="str">
        <f t="shared" si="33"/>
        <v/>
      </c>
      <c r="AD130" s="905"/>
      <c r="AE130" s="1985" t="str">
        <f t="shared" si="34"/>
        <v/>
      </c>
      <c r="AF130" s="905"/>
      <c r="AG130" s="1543"/>
      <c r="AH130" s="1531"/>
      <c r="AI130" s="1534"/>
      <c r="AJ130" s="1531"/>
      <c r="AK130" s="1534"/>
      <c r="AL130" s="1531"/>
      <c r="AM130" s="1543"/>
      <c r="AN130" s="1531"/>
      <c r="AO130" s="1543"/>
      <c r="AP130" s="1531"/>
      <c r="AQ130" s="1534"/>
      <c r="AR130" s="1531"/>
      <c r="AS130" s="1534"/>
      <c r="AT130" s="1531"/>
      <c r="AU130" s="1534"/>
      <c r="AV130" s="1531"/>
      <c r="AW130" s="1534"/>
      <c r="AX130" s="1531"/>
      <c r="AY130" s="1534"/>
      <c r="AZ130" s="1531"/>
      <c r="BA130" s="1543"/>
      <c r="BB130" s="1531"/>
      <c r="BC130" s="1534"/>
      <c r="BD130" s="1531"/>
      <c r="BE130" s="1531"/>
      <c r="BF130" s="1531"/>
      <c r="BG130" s="1531"/>
      <c r="BH130" s="1531"/>
      <c r="BI130" s="1535"/>
      <c r="BJ130" s="1534"/>
      <c r="BK130" s="1535"/>
      <c r="BL130" s="1534"/>
      <c r="BM130" s="1535"/>
      <c r="BN130" s="1534"/>
      <c r="BO130" s="1535"/>
      <c r="BP130" s="1534"/>
      <c r="BQ130" s="1535"/>
      <c r="BR130" s="1534"/>
      <c r="BS130" s="1535"/>
      <c r="BT130" s="1534"/>
      <c r="BU130" s="1535"/>
      <c r="BV130" s="1534"/>
      <c r="BW130" s="1535"/>
      <c r="BX130" s="1534"/>
      <c r="BY130" s="1535"/>
      <c r="BZ130" s="1534"/>
      <c r="CA130" s="1535"/>
      <c r="CB130" s="1534"/>
      <c r="CC130" s="1535"/>
      <c r="CD130" s="1534"/>
      <c r="CE130" s="1534"/>
      <c r="CF130" s="1535"/>
      <c r="CG130" s="1534"/>
      <c r="CH130" s="1535"/>
      <c r="CI130" s="1534"/>
      <c r="CJ130" s="1535"/>
      <c r="CK130" s="1534"/>
      <c r="CL130" s="1535"/>
      <c r="CM130" s="1534"/>
      <c r="CN130" s="1535"/>
      <c r="CO130" s="1534"/>
      <c r="CP130" s="1535"/>
      <c r="CQ130" s="1534"/>
      <c r="CR130" s="1535"/>
      <c r="CS130" s="1534"/>
      <c r="CT130" s="1535"/>
      <c r="CU130" s="1535"/>
      <c r="CV130" s="1531"/>
      <c r="CW130" s="898" t="str">
        <f t="shared" si="29"/>
        <v/>
      </c>
      <c r="CX130" s="898" t="str">
        <f>IFERROR(IF(AND(S130="",S130&lt;&gt;""),1913,VLOOKUP(S130,Valid!$B$99:$J$120,9)),"")</f>
        <v/>
      </c>
      <c r="CY130" s="898" t="str">
        <f t="shared" ca="1" si="30"/>
        <v/>
      </c>
      <c r="CZ130" s="1547" t="str">
        <f t="shared" ca="1" si="35"/>
        <v/>
      </c>
      <c r="DA130" s="898"/>
      <c r="DB130" s="898" t="str">
        <f t="shared" si="31"/>
        <v/>
      </c>
      <c r="DC130" s="898" t="str">
        <f t="shared" si="32"/>
        <v/>
      </c>
      <c r="DD130" s="1539" t="str">
        <f>IFERROR(IF(AND(AM130="",C130&lt;&gt;""),Valid!$E$123,VLOOKUP(AM130,Valid!$B$123:$F$125,4,FALSE)),"")</f>
        <v/>
      </c>
      <c r="DE130" s="1539" t="str">
        <f>IFERROR(IF(AND(AM130="",C130&lt;&gt;""),Valid!$F$123,VLOOKUP(AM130,Valid!$B$123:$F$125,5,FALSE)),"")</f>
        <v/>
      </c>
      <c r="DF130" s="1539" t="str">
        <f>IFERROR(VLOOKUP('A-70 RevVehInv'!S130,Valid!$B$99:$I$120,7), "")</f>
        <v/>
      </c>
      <c r="DG130" s="1539" t="str">
        <f>IFERROR(VLOOKUP(S130,Valid!$B$99:$I$120,8), "")</f>
        <v/>
      </c>
      <c r="DH130" s="1531"/>
    </row>
    <row r="131" spans="1:112" s="930" customFormat="1" x14ac:dyDescent="0.2">
      <c r="A131" s="206">
        <v>60</v>
      </c>
      <c r="B131" s="1530">
        <v>60</v>
      </c>
      <c r="C131" s="933"/>
      <c r="D131" s="719" t="str">
        <f>IF(C129="","",IF((C131=""),"Enter RVI ID. then Fill in Columns "&amp;TEXT($I$2,0)&amp;" - "&amp;TEXT($BA$2,0)&amp;"       ",""))</f>
        <v/>
      </c>
      <c r="E131" s="1056" t="str">
        <f>IF(BH131="N/A","",BH131)</f>
        <v/>
      </c>
      <c r="F131" s="1536"/>
      <c r="G131" s="1536"/>
      <c r="H131" s="1536"/>
      <c r="I131" s="1023"/>
      <c r="J131" s="1536" t="str">
        <f>IF(E131&lt;&gt;"","Vehicles?    ","")</f>
        <v/>
      </c>
      <c r="K131" s="1023"/>
      <c r="L131" s="1536" t="str">
        <f>IF(E131&lt;&gt;"","Active Vehicles?     ","")</f>
        <v/>
      </c>
      <c r="M131" s="1023"/>
      <c r="N131" s="1536" t="str">
        <f>IF(E131&lt;&gt;"","ADA Vehicles?       ","")</f>
        <v/>
      </c>
      <c r="O131" s="1023"/>
      <c r="P131" s="1536" t="str">
        <f>IF(E131&lt;&gt;"","Cont. Vehicles?     ","")</f>
        <v/>
      </c>
      <c r="Q131" s="1024"/>
      <c r="R131" s="894"/>
      <c r="S131" s="1153"/>
      <c r="T131" s="252" t="str">
        <f>IF(E131&lt;&gt;"","Select from Pull-Down List    ","")</f>
        <v/>
      </c>
      <c r="U131" s="933"/>
      <c r="V131" s="252" t="str">
        <f>IF(E131&lt;&gt;"","Select from Pull-Down List    ","")</f>
        <v/>
      </c>
      <c r="W131" s="1766" t="str">
        <f t="shared" si="27"/>
        <v/>
      </c>
      <c r="X131" s="252"/>
      <c r="Y131" s="1988"/>
      <c r="Z131" s="252" t="str">
        <f t="shared" si="28"/>
        <v/>
      </c>
      <c r="AA131" s="139"/>
      <c r="AB131" s="252" t="str">
        <f>IF(E131&lt;&gt;"","Mfg. Yr?    ","")</f>
        <v/>
      </c>
      <c r="AC131" s="1974" t="str">
        <f t="shared" si="33"/>
        <v/>
      </c>
      <c r="AD131" s="252"/>
      <c r="AE131" s="1986" t="str">
        <f t="shared" si="34"/>
        <v/>
      </c>
      <c r="AF131" s="252"/>
      <c r="AG131" s="933"/>
      <c r="AH131" s="252" t="str">
        <f>IF(E131&lt;&gt;"","Select from Pull-Down List    ","")</f>
        <v/>
      </c>
      <c r="AI131" s="933"/>
      <c r="AJ131" s="252" t="str">
        <f>IF(E131&lt;&gt;"","Number?   ","")</f>
        <v/>
      </c>
      <c r="AK131" s="139"/>
      <c r="AL131" s="252" t="str">
        <f>IF(E131&lt;&gt;"","Last Rnwl. Yr?   ","")</f>
        <v/>
      </c>
      <c r="AM131" s="933"/>
      <c r="AN131" s="252" t="str">
        <f>IF(E131&lt;&gt;"","Select from Pull-Down List    ","")</f>
        <v/>
      </c>
      <c r="AO131" s="933"/>
      <c r="AP131" s="252" t="str">
        <f>IF(E131&lt;&gt;"","Select from Pull-Down List    ","")</f>
        <v/>
      </c>
      <c r="AQ131" s="1023"/>
      <c r="AR131" s="252" t="str">
        <f>IF(E131&lt;&gt;"","Feet?    ","")</f>
        <v/>
      </c>
      <c r="AS131" s="1023"/>
      <c r="AT131" s="252" t="str">
        <f>IF(E131&lt;&gt;"","Seats?    ","")</f>
        <v/>
      </c>
      <c r="AU131" s="1023"/>
      <c r="AV131" s="252" t="str">
        <f>IF(E131&lt;&gt;"","Standing?    ","")</f>
        <v/>
      </c>
      <c r="AW131" s="1023"/>
      <c r="AX131" s="252" t="str">
        <f>IF(E131&lt;&gt;"","Mileage?       ","")</f>
        <v/>
      </c>
      <c r="AY131" s="1023"/>
      <c r="AZ131" s="252" t="str">
        <f>IF(E131&lt;&gt;"","Avg. Lifetime Mileage? ","")</f>
        <v/>
      </c>
      <c r="BA131" s="933"/>
      <c r="BB131" s="252" t="str">
        <f>IF(E131&lt;&gt;"","Select from Pull-Down List    ","")</f>
        <v/>
      </c>
      <c r="BC131" s="171"/>
      <c r="BD131" s="252" t="str">
        <f>IF(OR(AO131="OR - Other fuel (describe in Notes)",AG131="ZZZ - Other (describe in Notes)"),"Describe                                                                                                     ","")</f>
        <v/>
      </c>
      <c r="BE131" s="894"/>
      <c r="BF131" s="894"/>
      <c r="BG131" s="894" t="b">
        <f>IF(AND(C131="",C133&lt;&gt;""),TRUE,FALSE)</f>
        <v>0</v>
      </c>
      <c r="BH131" s="888" t="str">
        <f>IF(AND(C131&lt;&gt;"",OR(I131="",K131="",M131="",O131="",S131="",U131="",AA131="",AG131="",AI131="",AO131="",AQ131="",AS131="",AU131="",AW131="",AY131="")),"No",IF(AND(C131="",OR(I131&lt;&gt;"",K131&lt;&gt;"",M131&lt;&gt;"",O131&lt;&gt;"",S131&lt;&gt;"",U131&lt;&gt;"",AA131&lt;&gt;"",AG131&lt;&gt;"",AI131&lt;&gt;"",AK131&lt;&gt;"",AM131&lt;&gt;"",AO131&lt;&gt;"",AQ131&lt;&gt;"",AS131&lt;&gt;"",AU131&lt;&gt;"",AW131&lt;&gt;"",AY131&lt;&gt;"",BA131&lt;&gt;"",BC131&lt;&gt;"")),"No",IF(AND(C131="",I131="",K131="",M131="",O131="",S131="",U131="",AA131="",AG131="",AI131="",AK131="",AM131="",AO131="",AQ131="",AS131="",AU131="",AW131="",AY131="",BA131=""),"N/A","Yes")))</f>
        <v>N/A</v>
      </c>
      <c r="BI131" s="898"/>
      <c r="BJ131" s="899" t="b">
        <f>IF(AND(OR(I131&lt;&gt;"",K131&lt;&gt;"",M131&lt;&gt;"",O131&lt;&gt;"",S131&lt;&gt;"",U131&lt;&gt;"",AA131&lt;&gt;"",AG131&lt;&gt;"",AI131&lt;&gt;"",AK131&lt;&gt;"",AM131&lt;&gt;"",AO131&lt;&gt;"",AQ131&lt;&gt;"",AS131&lt;&gt;"",AW131&lt;&gt;"",AY131&lt;&gt;"",BA131&lt;&gt;"",BC131&lt;&gt;""),C131=""),TRUE,FALSE)</f>
        <v>0</v>
      </c>
      <c r="BK131" s="898" t="b">
        <f>IF(BL131=TRUE,FALSE,IF(SUM(K131,O131)&gt;I131,TRUE,FALSE))</f>
        <v>0</v>
      </c>
      <c r="BL131" s="899" t="b">
        <f>IF(AND(C131&lt;&gt;"",I131=""),TRUE,FALSE)</f>
        <v>0</v>
      </c>
      <c r="BM131" s="898" t="b">
        <f>IF(BN131=TRUE,FALSE,IF(M131&gt;K131,TRUE,FALSE))</f>
        <v>0</v>
      </c>
      <c r="BN131" s="899" t="b">
        <f>IF(AND($C131&lt;&gt;"",K131=""),TRUE,FALSE)</f>
        <v>0</v>
      </c>
      <c r="BO131" s="898"/>
      <c r="BP131" s="899" t="b">
        <f>IF(AND($C131&lt;&gt;"",M131=""),TRUE,FALSE)</f>
        <v>0</v>
      </c>
      <c r="BQ131" s="898"/>
      <c r="BR131" s="899" t="b">
        <f>IF(AND($C131&lt;&gt;"",O131=""),TRUE,FALSE)</f>
        <v>0</v>
      </c>
      <c r="BS131" s="898" t="b">
        <f>IF(AND(S131="",OR(U131&lt;&gt;"",AA131&lt;&gt;"",AG131&lt;&gt;"",AI131&lt;&gt;"",AK131&lt;&gt;"",AM131&lt;&gt;"",AO131&lt;&gt;"",AQ131&lt;&gt;"",AS131&lt;&gt;"",AU131&lt;&gt;"",AW131&lt;&gt;"",AY131&lt;&gt;"",BA131&lt;&gt;"")),TRUE,FALSE)</f>
        <v>0</v>
      </c>
      <c r="BT131" s="899" t="b">
        <f>IF(AND($C131&lt;&gt;"",S131=""),TRUE,FALSE)</f>
        <v>0</v>
      </c>
      <c r="BU131" s="898"/>
      <c r="BV131" s="899" t="b">
        <f>IF(AND($C131&lt;&gt;"",U131=""),TRUE,FALSE)</f>
        <v>0</v>
      </c>
      <c r="BW131" s="1537" t="b">
        <f>IF(BX131=TRUE,FALSE,IF(AA131="",FALSE,IF(OR(AA131&lt;CX131,AA131&gt;BaseYear),TRUE,FALSE)))</f>
        <v>0</v>
      </c>
      <c r="BX131" s="899" t="b">
        <f>IF(AND($C131&lt;&gt;"",AA131=""),TRUE,FALSE)</f>
        <v>0</v>
      </c>
      <c r="BY131" s="898"/>
      <c r="BZ131" s="899" t="b">
        <f>IF(AND($C131&lt;&gt;"",AG131=""),TRUE,FALSE)</f>
        <v>0</v>
      </c>
      <c r="CA131" s="898"/>
      <c r="CB131" s="899" t="b">
        <f>IF(AND($C131&lt;&gt;"",AI131=""),TRUE,FALSE)</f>
        <v>0</v>
      </c>
      <c r="CC131" s="1537" t="b">
        <f>IF(AK131="",FALSE,IF(OR(AK131&lt;CX131,AK131&gt;BaseYear),TRUE,FALSE))</f>
        <v>0</v>
      </c>
      <c r="CD131" s="1538" t="b">
        <f>IF(AK131="",FALSE,IF(AK131&lt;AA131,TRUE,FALSE))</f>
        <v>0</v>
      </c>
      <c r="CE131" s="899" t="b">
        <f>IF(AND($AM131&lt;&gt;"",AK131=""),TRUE,FALSE)</f>
        <v>0</v>
      </c>
      <c r="CF131" s="898"/>
      <c r="CG131" s="898" t="b">
        <f>IF(AND($AK131&lt;&gt;"",AM131=""),TRUE,FALSE)</f>
        <v>0</v>
      </c>
      <c r="CH131" s="898"/>
      <c r="CI131" s="899" t="b">
        <f>IF(AND($C131&lt;&gt;"",AO131=""),TRUE,FALSE)</f>
        <v>0</v>
      </c>
      <c r="CJ131" s="1537"/>
      <c r="CK131" s="899" t="b">
        <f>IF(AND($C131&lt;&gt;"",AQ131=""),TRUE,FALSE)</f>
        <v>0</v>
      </c>
      <c r="CL131" s="898"/>
      <c r="CM131" s="899" t="b">
        <f>IF(AND($C131&lt;&gt;"",AS131=""),TRUE,FALSE)</f>
        <v>0</v>
      </c>
      <c r="CN131" s="898"/>
      <c r="CO131" s="899" t="b">
        <f>IF(AND($C131&lt;&gt;"",AU131=""),TRUE,FALSE)</f>
        <v>0</v>
      </c>
      <c r="CP131" s="898"/>
      <c r="CQ131" s="899" t="b">
        <f>IF(AND($C131&lt;&gt;"",AW131=""),TRUE,FALSE)</f>
        <v>0</v>
      </c>
      <c r="CR131" s="898"/>
      <c r="CS131" s="899" t="b">
        <f>IF(AND($C131&lt;&gt;"",AY131=""),TRUE,FALSE)</f>
        <v>0</v>
      </c>
      <c r="CT131" s="898"/>
      <c r="CU131" s="898" t="b">
        <f>IF(AND($C131&lt;&gt;"",BA131=""),TRUE,FALSE)</f>
        <v>0</v>
      </c>
      <c r="CV131" s="894"/>
      <c r="CW131" s="898" t="str">
        <f t="shared" si="29"/>
        <v/>
      </c>
      <c r="CX131" s="898" t="str">
        <f>IFERROR(IF(AND(S131="",S131&lt;&gt;""),1913,VLOOKUP(S131,Valid!$B$99:$J$120,9)),"")</f>
        <v/>
      </c>
      <c r="CY131" s="898" t="str">
        <f t="shared" ca="1" si="30"/>
        <v/>
      </c>
      <c r="CZ131" s="1547" t="str">
        <f t="shared" ca="1" si="35"/>
        <v/>
      </c>
      <c r="DA131" s="898" t="str">
        <f ca="1">IF(CZ131="", "", IF(1+(CZ131*4)&lt;1, 1, 1+(CZ131*4)))</f>
        <v/>
      </c>
      <c r="DB131" s="898" t="str">
        <f t="shared" si="31"/>
        <v/>
      </c>
      <c r="DC131" s="898" t="str">
        <f t="shared" si="32"/>
        <v/>
      </c>
      <c r="DD131" s="1539" t="str">
        <f>IFERROR(IF(AND(AM131="",C131&lt;&gt;""),Valid!$E$123,VLOOKUP(AM131,Valid!$B$123:$F$125,4,FALSE)),"")</f>
        <v/>
      </c>
      <c r="DE131" s="1539" t="str">
        <f>IFERROR(IF(AND(AM131="",C131&lt;&gt;""),Valid!$F$123,VLOOKUP(AM131,Valid!$B$123:$F$125,5,FALSE)),"")</f>
        <v/>
      </c>
      <c r="DF131" s="1539" t="str">
        <f>IFERROR(VLOOKUP('A-70 RevVehInv'!S131,Valid!$B$99:$I$120,7), "")</f>
        <v/>
      </c>
      <c r="DG131" s="1539" t="str">
        <f>IFERROR(VLOOKUP(S131,Valid!$B$99:$I$120,8), "")</f>
        <v/>
      </c>
      <c r="DH131" s="894"/>
    </row>
    <row r="132" spans="1:112" ht="6.75" customHeight="1" x14ac:dyDescent="0.2">
      <c r="A132" s="1517"/>
      <c r="B132" s="1530">
        <v>60.5</v>
      </c>
      <c r="C132" s="1544"/>
      <c r="D132" s="905"/>
      <c r="E132" s="1545"/>
      <c r="F132" s="905"/>
      <c r="G132" s="905"/>
      <c r="H132" s="905"/>
      <c r="I132" s="1531"/>
      <c r="J132" s="905"/>
      <c r="K132" s="1531"/>
      <c r="L132" s="905"/>
      <c r="M132" s="1531"/>
      <c r="N132" s="905"/>
      <c r="O132" s="1531"/>
      <c r="P132" s="905"/>
      <c r="Q132" s="1531"/>
      <c r="R132" s="1531"/>
      <c r="S132" s="1533"/>
      <c r="T132" s="905"/>
      <c r="U132" s="1533"/>
      <c r="V132" s="905"/>
      <c r="W132" s="1531" t="str">
        <f t="shared" si="27"/>
        <v/>
      </c>
      <c r="X132" s="905"/>
      <c r="Y132" s="1531"/>
      <c r="Z132" s="252" t="str">
        <f t="shared" si="28"/>
        <v/>
      </c>
      <c r="AA132" s="1531"/>
      <c r="AB132" s="905"/>
      <c r="AC132" s="1971" t="str">
        <f t="shared" si="33"/>
        <v/>
      </c>
      <c r="AD132" s="905"/>
      <c r="AE132" s="1983" t="str">
        <f t="shared" si="34"/>
        <v/>
      </c>
      <c r="AF132" s="905"/>
      <c r="AG132" s="1546"/>
      <c r="AH132" s="1531"/>
      <c r="AI132" s="1531"/>
      <c r="AJ132" s="1531"/>
      <c r="AK132" s="1531"/>
      <c r="AL132" s="1531"/>
      <c r="AM132" s="1546"/>
      <c r="AN132" s="1531"/>
      <c r="AO132" s="1546"/>
      <c r="AP132" s="1531"/>
      <c r="AQ132" s="1531"/>
      <c r="AR132" s="1531"/>
      <c r="AS132" s="1531"/>
      <c r="AT132" s="1531"/>
      <c r="AU132" s="1531"/>
      <c r="AV132" s="1531"/>
      <c r="AW132" s="1531"/>
      <c r="AX132" s="1531"/>
      <c r="AY132" s="1531"/>
      <c r="AZ132" s="1531"/>
      <c r="BA132" s="1546"/>
      <c r="BB132" s="1531"/>
      <c r="BC132" s="1531"/>
      <c r="BD132" s="1531"/>
      <c r="BE132" s="1531"/>
      <c r="BF132" s="1531"/>
      <c r="BG132" s="1531"/>
      <c r="BH132" s="1531"/>
      <c r="BI132" s="1535"/>
      <c r="BJ132" s="1534"/>
      <c r="BK132" s="1535"/>
      <c r="BL132" s="1534"/>
      <c r="BM132" s="1535"/>
      <c r="BN132" s="1534"/>
      <c r="BO132" s="1535"/>
      <c r="BP132" s="1534"/>
      <c r="BQ132" s="1535"/>
      <c r="BR132" s="1534"/>
      <c r="BS132" s="1535"/>
      <c r="BT132" s="1534"/>
      <c r="BU132" s="1535"/>
      <c r="BV132" s="1534"/>
      <c r="BW132" s="1535"/>
      <c r="BX132" s="1534"/>
      <c r="BY132" s="1535"/>
      <c r="BZ132" s="1534"/>
      <c r="CA132" s="1535"/>
      <c r="CB132" s="1534"/>
      <c r="CC132" s="1535"/>
      <c r="CD132" s="1534"/>
      <c r="CE132" s="1534"/>
      <c r="CF132" s="1535"/>
      <c r="CG132" s="1534"/>
      <c r="CH132" s="1535"/>
      <c r="CI132" s="1534"/>
      <c r="CJ132" s="1535"/>
      <c r="CK132" s="1534"/>
      <c r="CL132" s="1535"/>
      <c r="CM132" s="1534"/>
      <c r="CN132" s="1535"/>
      <c r="CO132" s="1534"/>
      <c r="CP132" s="1535"/>
      <c r="CQ132" s="1534"/>
      <c r="CR132" s="1535"/>
      <c r="CS132" s="1534"/>
      <c r="CT132" s="1535"/>
      <c r="CU132" s="1535"/>
      <c r="CV132" s="1531"/>
      <c r="CW132" s="898" t="str">
        <f t="shared" si="29"/>
        <v/>
      </c>
      <c r="CX132" s="898" t="str">
        <f>IFERROR(IF(AND(S132="",S132&lt;&gt;""),1913,VLOOKUP(S132,Valid!$B$99:$J$120,9)),"")</f>
        <v/>
      </c>
      <c r="CY132" s="898" t="str">
        <f t="shared" ca="1" si="30"/>
        <v/>
      </c>
      <c r="CZ132" s="1547" t="str">
        <f t="shared" ca="1" si="35"/>
        <v/>
      </c>
      <c r="DA132" s="898"/>
      <c r="DB132" s="898" t="str">
        <f t="shared" si="31"/>
        <v/>
      </c>
      <c r="DC132" s="898" t="str">
        <f t="shared" si="32"/>
        <v/>
      </c>
      <c r="DD132" s="1539" t="str">
        <f>IFERROR(IF(AND(AM132="",C132&lt;&gt;""),Valid!$E$123,VLOOKUP(AM132,Valid!$B$123:$F$125,4,FALSE)),"")</f>
        <v/>
      </c>
      <c r="DE132" s="1539" t="str">
        <f>IFERROR(IF(AND(AM132="",C132&lt;&gt;""),Valid!$F$123,VLOOKUP(AM132,Valid!$B$123:$F$125,5,FALSE)),"")</f>
        <v/>
      </c>
      <c r="DF132" s="1539" t="str">
        <f>IFERROR(VLOOKUP('A-70 RevVehInv'!S132,Valid!$B$99:$I$120,7), "")</f>
        <v/>
      </c>
      <c r="DG132" s="1539" t="str">
        <f>IFERROR(VLOOKUP(S132,Valid!$B$99:$I$120,8), "")</f>
        <v/>
      </c>
      <c r="DH132" s="1531"/>
    </row>
    <row r="133" spans="1:112" s="930" customFormat="1" x14ac:dyDescent="0.2">
      <c r="A133" s="206">
        <v>61</v>
      </c>
      <c r="B133" s="1530">
        <v>61</v>
      </c>
      <c r="C133" s="933"/>
      <c r="D133" s="719" t="str">
        <f>IF(C131="","",IF((C133=""),"Enter RVI ID. then Fill in Columns "&amp;TEXT($I$2,0)&amp;" - "&amp;TEXT($BA$2,0)&amp;"       ",""))</f>
        <v/>
      </c>
      <c r="E133" s="1056" t="str">
        <f>IF(BH133="N/A","",BH133)</f>
        <v/>
      </c>
      <c r="F133" s="1536"/>
      <c r="G133" s="1536"/>
      <c r="H133" s="1536"/>
      <c r="I133" s="1023"/>
      <c r="J133" s="1536" t="str">
        <f>IF(E133&lt;&gt;"","Vehicles?    ","")</f>
        <v/>
      </c>
      <c r="K133" s="1023"/>
      <c r="L133" s="1536" t="str">
        <f>IF(E133&lt;&gt;"","Active Vehicles?     ","")</f>
        <v/>
      </c>
      <c r="M133" s="1023"/>
      <c r="N133" s="1536" t="str">
        <f>IF(E133&lt;&gt;"","ADA Vehicles?       ","")</f>
        <v/>
      </c>
      <c r="O133" s="1023"/>
      <c r="P133" s="1536" t="str">
        <f>IF(E133&lt;&gt;"","Cont. Vehicles?     ","")</f>
        <v/>
      </c>
      <c r="Q133" s="1024"/>
      <c r="R133" s="894"/>
      <c r="S133" s="1153"/>
      <c r="T133" s="252" t="str">
        <f>IF(E133&lt;&gt;"","Select from Pull-Down List    ","")</f>
        <v/>
      </c>
      <c r="U133" s="933"/>
      <c r="V133" s="252" t="str">
        <f>IF(E133&lt;&gt;"","Select from Pull-Down List    ","")</f>
        <v/>
      </c>
      <c r="W133" s="1766" t="str">
        <f t="shared" si="27"/>
        <v/>
      </c>
      <c r="X133" s="252"/>
      <c r="Y133" s="1988"/>
      <c r="Z133" s="252" t="str">
        <f t="shared" si="28"/>
        <v/>
      </c>
      <c r="AA133" s="139"/>
      <c r="AB133" s="252" t="str">
        <f>IF(E133&lt;&gt;"","Mfg. Yr?    ","")</f>
        <v/>
      </c>
      <c r="AC133" s="1974" t="str">
        <f t="shared" si="33"/>
        <v/>
      </c>
      <c r="AD133" s="252"/>
      <c r="AE133" s="1986" t="str">
        <f t="shared" si="34"/>
        <v/>
      </c>
      <c r="AF133" s="252"/>
      <c r="AG133" s="933"/>
      <c r="AH133" s="252" t="str">
        <f>IF(E133&lt;&gt;"","Select from Pull-Down List    ","")</f>
        <v/>
      </c>
      <c r="AI133" s="933"/>
      <c r="AJ133" s="252" t="str">
        <f>IF(E133&lt;&gt;"","Number?   ","")</f>
        <v/>
      </c>
      <c r="AK133" s="139"/>
      <c r="AL133" s="252" t="str">
        <f>IF(E133&lt;&gt;"","Last Rnwl. Yr?   ","")</f>
        <v/>
      </c>
      <c r="AM133" s="933"/>
      <c r="AN133" s="252" t="str">
        <f>IF(E133&lt;&gt;"","Select from Pull-Down List    ","")</f>
        <v/>
      </c>
      <c r="AO133" s="933"/>
      <c r="AP133" s="252" t="str">
        <f>IF(E133&lt;&gt;"","Select from Pull-Down List    ","")</f>
        <v/>
      </c>
      <c r="AQ133" s="1023"/>
      <c r="AR133" s="252" t="str">
        <f>IF(E133&lt;&gt;"","Feet?    ","")</f>
        <v/>
      </c>
      <c r="AS133" s="1023"/>
      <c r="AT133" s="252" t="str">
        <f>IF(E133&lt;&gt;"","Seats?    ","")</f>
        <v/>
      </c>
      <c r="AU133" s="1023"/>
      <c r="AV133" s="252" t="str">
        <f>IF(E133&lt;&gt;"","Standing?    ","")</f>
        <v/>
      </c>
      <c r="AW133" s="1023"/>
      <c r="AX133" s="252" t="str">
        <f>IF(E133&lt;&gt;"","Mileage?       ","")</f>
        <v/>
      </c>
      <c r="AY133" s="1023"/>
      <c r="AZ133" s="252" t="str">
        <f>IF(E133&lt;&gt;"","Avg. Lifetime Mileage? ","")</f>
        <v/>
      </c>
      <c r="BA133" s="933"/>
      <c r="BB133" s="252" t="str">
        <f>IF(E133&lt;&gt;"","Select from Pull-Down List    ","")</f>
        <v/>
      </c>
      <c r="BC133" s="171"/>
      <c r="BD133" s="252" t="str">
        <f>IF(OR(AO133="OR - Other fuel (describe in Notes)",AG133="ZZZ - Other (describe in Notes)"),"Describe                                                                                                     ","")</f>
        <v/>
      </c>
      <c r="BE133" s="894"/>
      <c r="BF133" s="894"/>
      <c r="BG133" s="894" t="b">
        <f>IF(AND(C133="",C135&lt;&gt;""),TRUE,FALSE)</f>
        <v>0</v>
      </c>
      <c r="BH133" s="888" t="str">
        <f>IF(AND(C133&lt;&gt;"",OR(I133="",K133="",M133="",O133="",S133="",U133="",AA133="",AG133="",AI133="",AO133="",AQ133="",AS133="",AU133="",AW133="",AY133="")),"No",IF(AND(C133="",OR(I133&lt;&gt;"",K133&lt;&gt;"",M133&lt;&gt;"",O133&lt;&gt;"",S133&lt;&gt;"",U133&lt;&gt;"",AA133&lt;&gt;"",AG133&lt;&gt;"",AI133&lt;&gt;"",AK133&lt;&gt;"",AM133&lt;&gt;"",AO133&lt;&gt;"",AQ133&lt;&gt;"",AS133&lt;&gt;"",AU133&lt;&gt;"",AW133&lt;&gt;"",AY133&lt;&gt;"",BA133&lt;&gt;"",BC133&lt;&gt;"")),"No",IF(AND(C133="",I133="",K133="",M133="",O133="",S133="",U133="",AA133="",AG133="",AI133="",AK133="",AM133="",AO133="",AQ133="",AS133="",AU133="",AW133="",AY133="",BA133=""),"N/A","Yes")))</f>
        <v>N/A</v>
      </c>
      <c r="BI133" s="898"/>
      <c r="BJ133" s="899" t="b">
        <f>IF(AND(OR(I133&lt;&gt;"",K133&lt;&gt;"",M133&lt;&gt;"",O133&lt;&gt;"",S133&lt;&gt;"",U133&lt;&gt;"",AA133&lt;&gt;"",AG133&lt;&gt;"",AI133&lt;&gt;"",AK133&lt;&gt;"",AM133&lt;&gt;"",AO133&lt;&gt;"",AQ133&lt;&gt;"",AS133&lt;&gt;"",AW133&lt;&gt;"",AY133&lt;&gt;"",BA133&lt;&gt;"",BC133&lt;&gt;""),C133=""),TRUE,FALSE)</f>
        <v>0</v>
      </c>
      <c r="BK133" s="898" t="b">
        <f>IF(BL133=TRUE,FALSE,IF(SUM(K133,O133)&gt;I133,TRUE,FALSE))</f>
        <v>0</v>
      </c>
      <c r="BL133" s="899" t="b">
        <f>IF(AND(C133&lt;&gt;"",I133=""),TRUE,FALSE)</f>
        <v>0</v>
      </c>
      <c r="BM133" s="898" t="b">
        <f>IF(BN133=TRUE,FALSE,IF(M133&gt;K133,TRUE,FALSE))</f>
        <v>0</v>
      </c>
      <c r="BN133" s="899" t="b">
        <f>IF(AND($C133&lt;&gt;"",K133=""),TRUE,FALSE)</f>
        <v>0</v>
      </c>
      <c r="BO133" s="898"/>
      <c r="BP133" s="899" t="b">
        <f>IF(AND($C133&lt;&gt;"",M133=""),TRUE,FALSE)</f>
        <v>0</v>
      </c>
      <c r="BQ133" s="898"/>
      <c r="BR133" s="899" t="b">
        <f>IF(AND($C133&lt;&gt;"",O133=""),TRUE,FALSE)</f>
        <v>0</v>
      </c>
      <c r="BS133" s="898" t="b">
        <f>IF(AND(S133="",OR(U133&lt;&gt;"",AA133&lt;&gt;"",AG133&lt;&gt;"",AI133&lt;&gt;"",AK133&lt;&gt;"",AM133&lt;&gt;"",AO133&lt;&gt;"",AQ133&lt;&gt;"",AS133&lt;&gt;"",AU133&lt;&gt;"",AW133&lt;&gt;"",AY133&lt;&gt;"",BA133&lt;&gt;"")),TRUE,FALSE)</f>
        <v>0</v>
      </c>
      <c r="BT133" s="899" t="b">
        <f>IF(AND($C133&lt;&gt;"",S133=""),TRUE,FALSE)</f>
        <v>0</v>
      </c>
      <c r="BU133" s="898"/>
      <c r="BV133" s="899" t="b">
        <f>IF(AND($C133&lt;&gt;"",U133=""),TRUE,FALSE)</f>
        <v>0</v>
      </c>
      <c r="BW133" s="1537" t="b">
        <f>IF(BX133=TRUE,FALSE,IF(AA133="",FALSE,IF(OR(AA133&lt;CX133,AA133&gt;BaseYear),TRUE,FALSE)))</f>
        <v>0</v>
      </c>
      <c r="BX133" s="899" t="b">
        <f>IF(AND($C133&lt;&gt;"",AA133=""),TRUE,FALSE)</f>
        <v>0</v>
      </c>
      <c r="BY133" s="898"/>
      <c r="BZ133" s="899" t="b">
        <f>IF(AND($C133&lt;&gt;"",AG133=""),TRUE,FALSE)</f>
        <v>0</v>
      </c>
      <c r="CA133" s="898"/>
      <c r="CB133" s="899" t="b">
        <f>IF(AND($C133&lt;&gt;"",AI133=""),TRUE,FALSE)</f>
        <v>0</v>
      </c>
      <c r="CC133" s="1537" t="b">
        <f>IF(AK133="",FALSE,IF(OR(AK133&lt;CX133,AK133&gt;BaseYear),TRUE,FALSE))</f>
        <v>0</v>
      </c>
      <c r="CD133" s="1538" t="b">
        <f>IF(AK133="",FALSE,IF(AK133&lt;AA133,TRUE,FALSE))</f>
        <v>0</v>
      </c>
      <c r="CE133" s="899" t="b">
        <f>IF(AND($AM133&lt;&gt;"",AK133=""),TRUE,FALSE)</f>
        <v>0</v>
      </c>
      <c r="CF133" s="898"/>
      <c r="CG133" s="898" t="b">
        <f>IF(AND($AK133&lt;&gt;"",AM133=""),TRUE,FALSE)</f>
        <v>0</v>
      </c>
      <c r="CH133" s="898"/>
      <c r="CI133" s="899" t="b">
        <f>IF(AND($C133&lt;&gt;"",AO133=""),TRUE,FALSE)</f>
        <v>0</v>
      </c>
      <c r="CJ133" s="1537"/>
      <c r="CK133" s="899" t="b">
        <f>IF(AND($C133&lt;&gt;"",AQ133=""),TRUE,FALSE)</f>
        <v>0</v>
      </c>
      <c r="CL133" s="898"/>
      <c r="CM133" s="899" t="b">
        <f>IF(AND($C133&lt;&gt;"",AS133=""),TRUE,FALSE)</f>
        <v>0</v>
      </c>
      <c r="CN133" s="898"/>
      <c r="CO133" s="899" t="b">
        <f>IF(AND($C133&lt;&gt;"",AU133=""),TRUE,FALSE)</f>
        <v>0</v>
      </c>
      <c r="CP133" s="898"/>
      <c r="CQ133" s="899" t="b">
        <f>IF(AND($C133&lt;&gt;"",AW133=""),TRUE,FALSE)</f>
        <v>0</v>
      </c>
      <c r="CR133" s="898"/>
      <c r="CS133" s="899" t="b">
        <f>IF(AND($C133&lt;&gt;"",AY133=""),TRUE,FALSE)</f>
        <v>0</v>
      </c>
      <c r="CT133" s="898"/>
      <c r="CU133" s="898" t="b">
        <f>IF(AND($C133&lt;&gt;"",BA133=""),TRUE,FALSE)</f>
        <v>0</v>
      </c>
      <c r="CV133" s="894"/>
      <c r="CW133" s="898" t="str">
        <f t="shared" si="29"/>
        <v/>
      </c>
      <c r="CX133" s="898" t="str">
        <f>IFERROR(IF(AND(S133="",S133&lt;&gt;""),1913,VLOOKUP(S133,Valid!$B$99:$J$120,9)),"")</f>
        <v/>
      </c>
      <c r="CY133" s="898" t="str">
        <f t="shared" ca="1" si="30"/>
        <v/>
      </c>
      <c r="CZ133" s="1547" t="str">
        <f t="shared" ca="1" si="35"/>
        <v/>
      </c>
      <c r="DA133" s="898" t="str">
        <f ca="1">IF(CZ133="", "", IF(1+(CZ133*4)&lt;1, 1, 1+(CZ133*4)))</f>
        <v/>
      </c>
      <c r="DB133" s="898" t="str">
        <f t="shared" si="31"/>
        <v/>
      </c>
      <c r="DC133" s="898" t="str">
        <f t="shared" si="32"/>
        <v/>
      </c>
      <c r="DD133" s="1539" t="str">
        <f>IFERROR(IF(AND(AM133="",C133&lt;&gt;""),Valid!$E$123,VLOOKUP(AM133,Valid!$B$123:$F$125,4,FALSE)),"")</f>
        <v/>
      </c>
      <c r="DE133" s="1539" t="str">
        <f>IFERROR(IF(AND(AM133="",C133&lt;&gt;""),Valid!$F$123,VLOOKUP(AM133,Valid!$B$123:$F$125,5,FALSE)),"")</f>
        <v/>
      </c>
      <c r="DF133" s="1539" t="str">
        <f>IFERROR(VLOOKUP('A-70 RevVehInv'!S133,Valid!$B$99:$I$120,7), "")</f>
        <v/>
      </c>
      <c r="DG133" s="1539" t="str">
        <f>IFERROR(VLOOKUP(S133,Valid!$B$99:$I$120,8), "")</f>
        <v/>
      </c>
      <c r="DH133" s="894"/>
    </row>
    <row r="134" spans="1:112" ht="6.75" customHeight="1" x14ac:dyDescent="0.2">
      <c r="A134" s="1516"/>
      <c r="B134" s="1530">
        <v>61.5</v>
      </c>
      <c r="C134" s="1540"/>
      <c r="D134" s="905"/>
      <c r="E134" s="1541"/>
      <c r="F134" s="905"/>
      <c r="G134" s="905"/>
      <c r="H134" s="905"/>
      <c r="I134" s="1534"/>
      <c r="J134" s="905"/>
      <c r="K134" s="1534"/>
      <c r="L134" s="905"/>
      <c r="M134" s="1534"/>
      <c r="N134" s="905"/>
      <c r="O134" s="1534"/>
      <c r="P134" s="905"/>
      <c r="Q134" s="1534"/>
      <c r="R134" s="1531"/>
      <c r="S134" s="1542"/>
      <c r="T134" s="905"/>
      <c r="U134" s="1542"/>
      <c r="V134" s="905"/>
      <c r="W134" s="1534" t="str">
        <f t="shared" si="27"/>
        <v/>
      </c>
      <c r="X134" s="905"/>
      <c r="Y134" s="1534"/>
      <c r="Z134" s="252" t="str">
        <f t="shared" si="28"/>
        <v/>
      </c>
      <c r="AA134" s="1534"/>
      <c r="AB134" s="905"/>
      <c r="AC134" s="1973" t="str">
        <f t="shared" si="33"/>
        <v/>
      </c>
      <c r="AD134" s="905"/>
      <c r="AE134" s="1985" t="str">
        <f t="shared" si="34"/>
        <v/>
      </c>
      <c r="AF134" s="905"/>
      <c r="AG134" s="1543"/>
      <c r="AH134" s="1531"/>
      <c r="AI134" s="1534"/>
      <c r="AJ134" s="1531"/>
      <c r="AK134" s="1534"/>
      <c r="AL134" s="1531"/>
      <c r="AM134" s="1543"/>
      <c r="AN134" s="1531"/>
      <c r="AO134" s="1543"/>
      <c r="AP134" s="1531"/>
      <c r="AQ134" s="1534"/>
      <c r="AR134" s="1531"/>
      <c r="AS134" s="1534"/>
      <c r="AT134" s="1531"/>
      <c r="AU134" s="1534"/>
      <c r="AV134" s="1531"/>
      <c r="AW134" s="1534"/>
      <c r="AX134" s="1531"/>
      <c r="AY134" s="1534"/>
      <c r="AZ134" s="1531"/>
      <c r="BA134" s="1543"/>
      <c r="BB134" s="1531"/>
      <c r="BC134" s="1534"/>
      <c r="BD134" s="1531"/>
      <c r="BE134" s="1531"/>
      <c r="BF134" s="1531"/>
      <c r="BG134" s="1531"/>
      <c r="BH134" s="1531"/>
      <c r="BI134" s="1535"/>
      <c r="BJ134" s="1534"/>
      <c r="BK134" s="1535"/>
      <c r="BL134" s="1534"/>
      <c r="BM134" s="1535"/>
      <c r="BN134" s="1534"/>
      <c r="BO134" s="1535"/>
      <c r="BP134" s="1534"/>
      <c r="BQ134" s="1535"/>
      <c r="BR134" s="1534"/>
      <c r="BS134" s="1535"/>
      <c r="BT134" s="1534"/>
      <c r="BU134" s="1535"/>
      <c r="BV134" s="1534"/>
      <c r="BW134" s="1535"/>
      <c r="BX134" s="1534"/>
      <c r="BY134" s="1535"/>
      <c r="BZ134" s="1534"/>
      <c r="CA134" s="1535"/>
      <c r="CB134" s="1534"/>
      <c r="CC134" s="1535"/>
      <c r="CD134" s="1534"/>
      <c r="CE134" s="1534"/>
      <c r="CF134" s="1535"/>
      <c r="CG134" s="1534"/>
      <c r="CH134" s="1535"/>
      <c r="CI134" s="1534"/>
      <c r="CJ134" s="1535"/>
      <c r="CK134" s="1534"/>
      <c r="CL134" s="1535"/>
      <c r="CM134" s="1534"/>
      <c r="CN134" s="1535"/>
      <c r="CO134" s="1534"/>
      <c r="CP134" s="1535"/>
      <c r="CQ134" s="1534"/>
      <c r="CR134" s="1535"/>
      <c r="CS134" s="1534"/>
      <c r="CT134" s="1535"/>
      <c r="CU134" s="1535"/>
      <c r="CV134" s="1531"/>
      <c r="CW134" s="898" t="str">
        <f t="shared" si="29"/>
        <v/>
      </c>
      <c r="CX134" s="898" t="str">
        <f>IFERROR(IF(AND(S134="",S134&lt;&gt;""),1913,VLOOKUP(S134,Valid!$B$99:$J$120,9)),"")</f>
        <v/>
      </c>
      <c r="CY134" s="898" t="str">
        <f t="shared" ca="1" si="30"/>
        <v/>
      </c>
      <c r="CZ134" s="1547" t="str">
        <f t="shared" ca="1" si="35"/>
        <v/>
      </c>
      <c r="DA134" s="898"/>
      <c r="DB134" s="898" t="str">
        <f t="shared" si="31"/>
        <v/>
      </c>
      <c r="DC134" s="898" t="str">
        <f t="shared" si="32"/>
        <v/>
      </c>
      <c r="DD134" s="1539" t="str">
        <f>IFERROR(IF(AND(AM134="",C134&lt;&gt;""),Valid!$E$123,VLOOKUP(AM134,Valid!$B$123:$F$125,4,FALSE)),"")</f>
        <v/>
      </c>
      <c r="DE134" s="1539" t="str">
        <f>IFERROR(IF(AND(AM134="",C134&lt;&gt;""),Valid!$F$123,VLOOKUP(AM134,Valid!$B$123:$F$125,5,FALSE)),"")</f>
        <v/>
      </c>
      <c r="DF134" s="1539" t="str">
        <f>IFERROR(VLOOKUP('A-70 RevVehInv'!S134,Valid!$B$99:$I$120,7), "")</f>
        <v/>
      </c>
      <c r="DG134" s="1539" t="str">
        <f>IFERROR(VLOOKUP(S134,Valid!$B$99:$I$120,8), "")</f>
        <v/>
      </c>
      <c r="DH134" s="1531"/>
    </row>
    <row r="135" spans="1:112" s="930" customFormat="1" x14ac:dyDescent="0.2">
      <c r="A135" s="206">
        <v>62</v>
      </c>
      <c r="B135" s="1530">
        <v>62</v>
      </c>
      <c r="C135" s="933"/>
      <c r="D135" s="719" t="str">
        <f>IF(C133="","",IF((C135=""),"Enter RVI ID. then Fill in Columns "&amp;TEXT($I$2,0)&amp;" - "&amp;TEXT($BA$2,0)&amp;"       ",""))</f>
        <v/>
      </c>
      <c r="E135" s="1056" t="str">
        <f>IF(BH135="N/A","",BH135)</f>
        <v/>
      </c>
      <c r="F135" s="1536"/>
      <c r="G135" s="1536"/>
      <c r="H135" s="1536"/>
      <c r="I135" s="1023"/>
      <c r="J135" s="1536" t="str">
        <f>IF(E135&lt;&gt;"","Vehicles?    ","")</f>
        <v/>
      </c>
      <c r="K135" s="1023"/>
      <c r="L135" s="1536" t="str">
        <f>IF(E135&lt;&gt;"","Active Vehicles?     ","")</f>
        <v/>
      </c>
      <c r="M135" s="1023"/>
      <c r="N135" s="1536" t="str">
        <f>IF(E135&lt;&gt;"","ADA Vehicles?       ","")</f>
        <v/>
      </c>
      <c r="O135" s="1023"/>
      <c r="P135" s="1536" t="str">
        <f>IF(E135&lt;&gt;"","Cont. Vehicles?     ","")</f>
        <v/>
      </c>
      <c r="Q135" s="1024"/>
      <c r="R135" s="894"/>
      <c r="S135" s="1153"/>
      <c r="T135" s="252" t="str">
        <f>IF(E135&lt;&gt;"","Select from Pull-Down List    ","")</f>
        <v/>
      </c>
      <c r="U135" s="933"/>
      <c r="V135" s="252" t="str">
        <f>IF(E135&lt;&gt;"","Select from Pull-Down List    ","")</f>
        <v/>
      </c>
      <c r="W135" s="1766" t="str">
        <f t="shared" si="27"/>
        <v/>
      </c>
      <c r="X135" s="252"/>
      <c r="Y135" s="1988"/>
      <c r="Z135" s="252" t="str">
        <f t="shared" si="28"/>
        <v/>
      </c>
      <c r="AA135" s="139"/>
      <c r="AB135" s="252" t="str">
        <f>IF(E135&lt;&gt;"","Mfg. Yr?    ","")</f>
        <v/>
      </c>
      <c r="AC135" s="1974" t="str">
        <f t="shared" si="33"/>
        <v/>
      </c>
      <c r="AD135" s="252"/>
      <c r="AE135" s="1986" t="str">
        <f t="shared" si="34"/>
        <v/>
      </c>
      <c r="AF135" s="252"/>
      <c r="AG135" s="933"/>
      <c r="AH135" s="252" t="str">
        <f>IF(E135&lt;&gt;"","Select from Pull-Down List    ","")</f>
        <v/>
      </c>
      <c r="AI135" s="933"/>
      <c r="AJ135" s="252" t="str">
        <f>IF(E135&lt;&gt;"","Number?   ","")</f>
        <v/>
      </c>
      <c r="AK135" s="139"/>
      <c r="AL135" s="252" t="str">
        <f>IF(E135&lt;&gt;"","Last Rnwl. Yr?   ","")</f>
        <v/>
      </c>
      <c r="AM135" s="933"/>
      <c r="AN135" s="252" t="str">
        <f>IF(E135&lt;&gt;"","Select from Pull-Down List    ","")</f>
        <v/>
      </c>
      <c r="AO135" s="933"/>
      <c r="AP135" s="252" t="str">
        <f>IF(E135&lt;&gt;"","Select from Pull-Down List    ","")</f>
        <v/>
      </c>
      <c r="AQ135" s="1023"/>
      <c r="AR135" s="252" t="str">
        <f>IF(E135&lt;&gt;"","Feet?    ","")</f>
        <v/>
      </c>
      <c r="AS135" s="1023"/>
      <c r="AT135" s="252" t="str">
        <f>IF(E135&lt;&gt;"","Seats?    ","")</f>
        <v/>
      </c>
      <c r="AU135" s="1023"/>
      <c r="AV135" s="252" t="str">
        <f>IF(E135&lt;&gt;"","Standing?    ","")</f>
        <v/>
      </c>
      <c r="AW135" s="1023"/>
      <c r="AX135" s="252" t="str">
        <f>IF(E135&lt;&gt;"","Mileage?       ","")</f>
        <v/>
      </c>
      <c r="AY135" s="1023"/>
      <c r="AZ135" s="252" t="str">
        <f>IF(E135&lt;&gt;"","Avg. Lifetime Mileage? ","")</f>
        <v/>
      </c>
      <c r="BA135" s="933"/>
      <c r="BB135" s="252" t="str">
        <f>IF(E135&lt;&gt;"","Select from Pull-Down List    ","")</f>
        <v/>
      </c>
      <c r="BC135" s="171"/>
      <c r="BD135" s="252" t="str">
        <f>IF(OR(AO135="OR - Other fuel (describe in Notes)",AG135="ZZZ - Other (describe in Notes)"),"Describe                                                                                                     ","")</f>
        <v/>
      </c>
      <c r="BE135" s="894"/>
      <c r="BF135" s="894"/>
      <c r="BG135" s="894" t="b">
        <f>IF(AND(C135="",C137&lt;&gt;""),TRUE,FALSE)</f>
        <v>0</v>
      </c>
      <c r="BH135" s="888" t="str">
        <f>IF(AND(C135&lt;&gt;"",OR(I135="",K135="",M135="",O135="",S135="",U135="",AA135="",AG135="",AI135="",AO135="",AQ135="",AS135="",AU135="",AW135="",AY135="")),"No",IF(AND(C135="",OR(I135&lt;&gt;"",K135&lt;&gt;"",M135&lt;&gt;"",O135&lt;&gt;"",S135&lt;&gt;"",U135&lt;&gt;"",AA135&lt;&gt;"",AG135&lt;&gt;"",AI135&lt;&gt;"",AK135&lt;&gt;"",AM135&lt;&gt;"",AO135&lt;&gt;"",AQ135&lt;&gt;"",AS135&lt;&gt;"",AU135&lt;&gt;"",AW135&lt;&gt;"",AY135&lt;&gt;"",BA135&lt;&gt;"",BC135&lt;&gt;"")),"No",IF(AND(C135="",I135="",K135="",M135="",O135="",S135="",U135="",AA135="",AG135="",AI135="",AK135="",AM135="",AO135="",AQ135="",AS135="",AU135="",AW135="",AY135="",BA135=""),"N/A","Yes")))</f>
        <v>N/A</v>
      </c>
      <c r="BI135" s="898"/>
      <c r="BJ135" s="899" t="b">
        <f>IF(AND(OR(I135&lt;&gt;"",K135&lt;&gt;"",M135&lt;&gt;"",O135&lt;&gt;"",S135&lt;&gt;"",U135&lt;&gt;"",AA135&lt;&gt;"",AG135&lt;&gt;"",AI135&lt;&gt;"",AK135&lt;&gt;"",AM135&lt;&gt;"",AO135&lt;&gt;"",AQ135&lt;&gt;"",AS135&lt;&gt;"",AW135&lt;&gt;"",AY135&lt;&gt;"",BA135&lt;&gt;"",BC135&lt;&gt;""),C135=""),TRUE,FALSE)</f>
        <v>0</v>
      </c>
      <c r="BK135" s="898" t="b">
        <f>IF(BL135=TRUE,FALSE,IF(SUM(K135,O135)&gt;I135,TRUE,FALSE))</f>
        <v>0</v>
      </c>
      <c r="BL135" s="899" t="b">
        <f>IF(AND(C135&lt;&gt;"",I135=""),TRUE,FALSE)</f>
        <v>0</v>
      </c>
      <c r="BM135" s="898" t="b">
        <f>IF(BN135=TRUE,FALSE,IF(M135&gt;K135,TRUE,FALSE))</f>
        <v>0</v>
      </c>
      <c r="BN135" s="899" t="b">
        <f>IF(AND($C135&lt;&gt;"",K135=""),TRUE,FALSE)</f>
        <v>0</v>
      </c>
      <c r="BO135" s="898"/>
      <c r="BP135" s="899" t="b">
        <f>IF(AND($C135&lt;&gt;"",M135=""),TRUE,FALSE)</f>
        <v>0</v>
      </c>
      <c r="BQ135" s="898"/>
      <c r="BR135" s="899" t="b">
        <f>IF(AND($C135&lt;&gt;"",O135=""),TRUE,FALSE)</f>
        <v>0</v>
      </c>
      <c r="BS135" s="898" t="b">
        <f>IF(AND(S135="",OR(U135&lt;&gt;"",AA135&lt;&gt;"",AG135&lt;&gt;"",AI135&lt;&gt;"",AK135&lt;&gt;"",AM135&lt;&gt;"",AO135&lt;&gt;"",AQ135&lt;&gt;"",AS135&lt;&gt;"",AU135&lt;&gt;"",AW135&lt;&gt;"",AY135&lt;&gt;"",BA135&lt;&gt;"")),TRUE,FALSE)</f>
        <v>0</v>
      </c>
      <c r="BT135" s="899" t="b">
        <f>IF(AND($C135&lt;&gt;"",S135=""),TRUE,FALSE)</f>
        <v>0</v>
      </c>
      <c r="BU135" s="898"/>
      <c r="BV135" s="899" t="b">
        <f>IF(AND($C135&lt;&gt;"",U135=""),TRUE,FALSE)</f>
        <v>0</v>
      </c>
      <c r="BW135" s="1537" t="b">
        <f>IF(BX135=TRUE,FALSE,IF(AA135="",FALSE,IF(OR(AA135&lt;CX135,AA135&gt;BaseYear),TRUE,FALSE)))</f>
        <v>0</v>
      </c>
      <c r="BX135" s="899" t="b">
        <f>IF(AND($C135&lt;&gt;"",AA135=""),TRUE,FALSE)</f>
        <v>0</v>
      </c>
      <c r="BY135" s="898"/>
      <c r="BZ135" s="899" t="b">
        <f>IF(AND($C135&lt;&gt;"",AG135=""),TRUE,FALSE)</f>
        <v>0</v>
      </c>
      <c r="CA135" s="898"/>
      <c r="CB135" s="899" t="b">
        <f>IF(AND($C135&lt;&gt;"",AI135=""),TRUE,FALSE)</f>
        <v>0</v>
      </c>
      <c r="CC135" s="1537" t="b">
        <f>IF(AK135="",FALSE,IF(OR(AK135&lt;CX135,AK135&gt;BaseYear),TRUE,FALSE))</f>
        <v>0</v>
      </c>
      <c r="CD135" s="1538" t="b">
        <f>IF(AK135="",FALSE,IF(AK135&lt;AA135,TRUE,FALSE))</f>
        <v>0</v>
      </c>
      <c r="CE135" s="899" t="b">
        <f>IF(AND($AM135&lt;&gt;"",AK135=""),TRUE,FALSE)</f>
        <v>0</v>
      </c>
      <c r="CF135" s="898"/>
      <c r="CG135" s="898" t="b">
        <f>IF(AND($AK135&lt;&gt;"",AM135=""),TRUE,FALSE)</f>
        <v>0</v>
      </c>
      <c r="CH135" s="898"/>
      <c r="CI135" s="899" t="b">
        <f>IF(AND($C135&lt;&gt;"",AO135=""),TRUE,FALSE)</f>
        <v>0</v>
      </c>
      <c r="CJ135" s="1537"/>
      <c r="CK135" s="899" t="b">
        <f>IF(AND($C135&lt;&gt;"",AQ135=""),TRUE,FALSE)</f>
        <v>0</v>
      </c>
      <c r="CL135" s="898"/>
      <c r="CM135" s="899" t="b">
        <f>IF(AND($C135&lt;&gt;"",AS135=""),TRUE,FALSE)</f>
        <v>0</v>
      </c>
      <c r="CN135" s="898"/>
      <c r="CO135" s="899" t="b">
        <f>IF(AND($C135&lt;&gt;"",AU135=""),TRUE,FALSE)</f>
        <v>0</v>
      </c>
      <c r="CP135" s="898"/>
      <c r="CQ135" s="899" t="b">
        <f>IF(AND($C135&lt;&gt;"",AW135=""),TRUE,FALSE)</f>
        <v>0</v>
      </c>
      <c r="CR135" s="898"/>
      <c r="CS135" s="899" t="b">
        <f>IF(AND($C135&lt;&gt;"",AY135=""),TRUE,FALSE)</f>
        <v>0</v>
      </c>
      <c r="CT135" s="898"/>
      <c r="CU135" s="898" t="b">
        <f>IF(AND($C135&lt;&gt;"",BA135=""),TRUE,FALSE)</f>
        <v>0</v>
      </c>
      <c r="CV135" s="894"/>
      <c r="CW135" s="898" t="str">
        <f t="shared" si="29"/>
        <v/>
      </c>
      <c r="CX135" s="898" t="str">
        <f>IFERROR(IF(AND(S135="",S135&lt;&gt;""),1913,VLOOKUP(S135,Valid!$B$99:$J$120,9)),"")</f>
        <v/>
      </c>
      <c r="CY135" s="898" t="str">
        <f t="shared" ca="1" si="30"/>
        <v/>
      </c>
      <c r="CZ135" s="1547" t="str">
        <f t="shared" ca="1" si="35"/>
        <v/>
      </c>
      <c r="DA135" s="898" t="str">
        <f ca="1">IF(CZ135="", "", IF(1+(CZ135*4)&lt;1, 1, 1+(CZ135*4)))</f>
        <v/>
      </c>
      <c r="DB135" s="898" t="str">
        <f t="shared" si="31"/>
        <v/>
      </c>
      <c r="DC135" s="898" t="str">
        <f t="shared" si="32"/>
        <v/>
      </c>
      <c r="DD135" s="1539" t="str">
        <f>IFERROR(IF(AND(AM135="",C135&lt;&gt;""),Valid!$E$123,VLOOKUP(AM135,Valid!$B$123:$F$125,4,FALSE)),"")</f>
        <v/>
      </c>
      <c r="DE135" s="1539" t="str">
        <f>IFERROR(IF(AND(AM135="",C135&lt;&gt;""),Valid!$F$123,VLOOKUP(AM135,Valid!$B$123:$F$125,5,FALSE)),"")</f>
        <v/>
      </c>
      <c r="DF135" s="1539" t="str">
        <f>IFERROR(VLOOKUP('A-70 RevVehInv'!S135,Valid!$B$99:$I$120,7), "")</f>
        <v/>
      </c>
      <c r="DG135" s="1539" t="str">
        <f>IFERROR(VLOOKUP(S135,Valid!$B$99:$I$120,8), "")</f>
        <v/>
      </c>
      <c r="DH135" s="894"/>
    </row>
    <row r="136" spans="1:112" ht="6.75" customHeight="1" x14ac:dyDescent="0.2">
      <c r="A136" s="1516"/>
      <c r="B136" s="1530">
        <v>62.5</v>
      </c>
      <c r="C136" s="1544"/>
      <c r="D136" s="905"/>
      <c r="E136" s="1545"/>
      <c r="F136" s="905"/>
      <c r="G136" s="905"/>
      <c r="H136" s="905"/>
      <c r="I136" s="1531"/>
      <c r="J136" s="905"/>
      <c r="K136" s="1531"/>
      <c r="L136" s="905"/>
      <c r="M136" s="1531"/>
      <c r="N136" s="905"/>
      <c r="O136" s="1531"/>
      <c r="P136" s="905"/>
      <c r="Q136" s="1531"/>
      <c r="R136" s="1531"/>
      <c r="S136" s="1533"/>
      <c r="T136" s="905"/>
      <c r="U136" s="1533"/>
      <c r="V136" s="905"/>
      <c r="W136" s="1531" t="str">
        <f t="shared" si="27"/>
        <v/>
      </c>
      <c r="X136" s="905"/>
      <c r="Y136" s="1531"/>
      <c r="Z136" s="252" t="str">
        <f t="shared" si="28"/>
        <v/>
      </c>
      <c r="AA136" s="1531"/>
      <c r="AB136" s="905"/>
      <c r="AC136" s="1971" t="str">
        <f t="shared" si="33"/>
        <v/>
      </c>
      <c r="AD136" s="905"/>
      <c r="AE136" s="1983" t="str">
        <f t="shared" si="34"/>
        <v/>
      </c>
      <c r="AF136" s="905"/>
      <c r="AG136" s="1546"/>
      <c r="AH136" s="1531"/>
      <c r="AI136" s="1531"/>
      <c r="AJ136" s="1531"/>
      <c r="AK136" s="1531"/>
      <c r="AL136" s="1531"/>
      <c r="AM136" s="1546"/>
      <c r="AN136" s="1531"/>
      <c r="AO136" s="1546"/>
      <c r="AP136" s="1531"/>
      <c r="AQ136" s="1531"/>
      <c r="AR136" s="1531"/>
      <c r="AS136" s="1531"/>
      <c r="AT136" s="1531"/>
      <c r="AU136" s="1531"/>
      <c r="AV136" s="1531"/>
      <c r="AW136" s="1531"/>
      <c r="AX136" s="1531"/>
      <c r="AY136" s="1531"/>
      <c r="AZ136" s="1531"/>
      <c r="BA136" s="1546"/>
      <c r="BB136" s="1531"/>
      <c r="BC136" s="1531"/>
      <c r="BD136" s="1531"/>
      <c r="BE136" s="1531"/>
      <c r="BF136" s="1531"/>
      <c r="BG136" s="1531"/>
      <c r="BH136" s="1531"/>
      <c r="BI136" s="1535"/>
      <c r="BJ136" s="1534"/>
      <c r="BK136" s="1535"/>
      <c r="BL136" s="1534"/>
      <c r="BM136" s="1535"/>
      <c r="BN136" s="1534"/>
      <c r="BO136" s="1535"/>
      <c r="BP136" s="1534"/>
      <c r="BQ136" s="1535"/>
      <c r="BR136" s="1534"/>
      <c r="BS136" s="1535"/>
      <c r="BT136" s="1534"/>
      <c r="BU136" s="1535"/>
      <c r="BV136" s="1534"/>
      <c r="BW136" s="1535"/>
      <c r="BX136" s="1534"/>
      <c r="BY136" s="1535"/>
      <c r="BZ136" s="1534"/>
      <c r="CA136" s="1535"/>
      <c r="CB136" s="1534"/>
      <c r="CC136" s="1535"/>
      <c r="CD136" s="1534"/>
      <c r="CE136" s="1534"/>
      <c r="CF136" s="1535"/>
      <c r="CG136" s="1534"/>
      <c r="CH136" s="1535"/>
      <c r="CI136" s="1534"/>
      <c r="CJ136" s="1535"/>
      <c r="CK136" s="1534"/>
      <c r="CL136" s="1535"/>
      <c r="CM136" s="1534"/>
      <c r="CN136" s="1535"/>
      <c r="CO136" s="1534"/>
      <c r="CP136" s="1535"/>
      <c r="CQ136" s="1534"/>
      <c r="CR136" s="1535"/>
      <c r="CS136" s="1534"/>
      <c r="CT136" s="1535"/>
      <c r="CU136" s="1535"/>
      <c r="CV136" s="1531"/>
      <c r="CW136" s="898" t="str">
        <f t="shared" si="29"/>
        <v/>
      </c>
      <c r="CX136" s="898" t="str">
        <f>IFERROR(IF(AND(S136="",S136&lt;&gt;""),1913,VLOOKUP(S136,Valid!$B$99:$J$120,9)),"")</f>
        <v/>
      </c>
      <c r="CY136" s="898" t="str">
        <f t="shared" ca="1" si="30"/>
        <v/>
      </c>
      <c r="CZ136" s="1547" t="str">
        <f t="shared" ca="1" si="35"/>
        <v/>
      </c>
      <c r="DA136" s="898"/>
      <c r="DB136" s="898" t="str">
        <f t="shared" si="31"/>
        <v/>
      </c>
      <c r="DC136" s="898" t="str">
        <f t="shared" si="32"/>
        <v/>
      </c>
      <c r="DD136" s="1539" t="str">
        <f>IFERROR(IF(AND(AM136="",C136&lt;&gt;""),Valid!$E$123,VLOOKUP(AM136,Valid!$B$123:$F$125,4,FALSE)),"")</f>
        <v/>
      </c>
      <c r="DE136" s="1539" t="str">
        <f>IFERROR(IF(AND(AM136="",C136&lt;&gt;""),Valid!$F$123,VLOOKUP(AM136,Valid!$B$123:$F$125,5,FALSE)),"")</f>
        <v/>
      </c>
      <c r="DF136" s="1539" t="str">
        <f>IFERROR(VLOOKUP('A-70 RevVehInv'!S136,Valid!$B$99:$I$120,7), "")</f>
        <v/>
      </c>
      <c r="DG136" s="1539" t="str">
        <f>IFERROR(VLOOKUP(S136,Valid!$B$99:$I$120,8), "")</f>
        <v/>
      </c>
      <c r="DH136" s="1531"/>
    </row>
    <row r="137" spans="1:112" s="930" customFormat="1" x14ac:dyDescent="0.2">
      <c r="A137" s="206">
        <v>63</v>
      </c>
      <c r="B137" s="1530">
        <v>63</v>
      </c>
      <c r="C137" s="933"/>
      <c r="D137" s="719" t="str">
        <f>IF(C135="","",IF((C137=""),"Enter RVI ID. then Fill in Columns "&amp;TEXT($I$2,0)&amp;" - "&amp;TEXT($BA$2,0)&amp;"       ",""))</f>
        <v/>
      </c>
      <c r="E137" s="1056" t="str">
        <f>IF(BH137="N/A","",BH137)</f>
        <v/>
      </c>
      <c r="F137" s="1536"/>
      <c r="G137" s="1536"/>
      <c r="H137" s="1536"/>
      <c r="I137" s="1023"/>
      <c r="J137" s="1536" t="str">
        <f>IF(E137&lt;&gt;"","Vehicles?    ","")</f>
        <v/>
      </c>
      <c r="K137" s="1023"/>
      <c r="L137" s="1536" t="str">
        <f>IF(E137&lt;&gt;"","Active Vehicles?     ","")</f>
        <v/>
      </c>
      <c r="M137" s="1023"/>
      <c r="N137" s="1536" t="str">
        <f>IF(E137&lt;&gt;"","ADA Vehicles?       ","")</f>
        <v/>
      </c>
      <c r="O137" s="1023"/>
      <c r="P137" s="1536" t="str">
        <f>IF(E137&lt;&gt;"","Cont. Vehicles?     ","")</f>
        <v/>
      </c>
      <c r="Q137" s="1024"/>
      <c r="R137" s="894"/>
      <c r="S137" s="1153"/>
      <c r="T137" s="252" t="str">
        <f>IF(E137&lt;&gt;"","Select from Pull-Down List    ","")</f>
        <v/>
      </c>
      <c r="U137" s="933"/>
      <c r="V137" s="252" t="str">
        <f>IF(E137&lt;&gt;"","Select from Pull-Down List    ","")</f>
        <v/>
      </c>
      <c r="W137" s="1766" t="str">
        <f t="shared" si="27"/>
        <v/>
      </c>
      <c r="X137" s="252"/>
      <c r="Y137" s="1988"/>
      <c r="Z137" s="252" t="str">
        <f t="shared" si="28"/>
        <v/>
      </c>
      <c r="AA137" s="139"/>
      <c r="AB137" s="252" t="str">
        <f>IF(E137&lt;&gt;"","Mfg. Yr?    ","")</f>
        <v/>
      </c>
      <c r="AC137" s="1974" t="str">
        <f t="shared" si="33"/>
        <v/>
      </c>
      <c r="AD137" s="252"/>
      <c r="AE137" s="1986" t="str">
        <f t="shared" si="34"/>
        <v/>
      </c>
      <c r="AF137" s="252"/>
      <c r="AG137" s="933"/>
      <c r="AH137" s="252" t="str">
        <f>IF(E137&lt;&gt;"","Select from Pull-Down List    ","")</f>
        <v/>
      </c>
      <c r="AI137" s="933"/>
      <c r="AJ137" s="252" t="str">
        <f>IF(E137&lt;&gt;"","Number?   ","")</f>
        <v/>
      </c>
      <c r="AK137" s="139"/>
      <c r="AL137" s="252" t="str">
        <f>IF(E137&lt;&gt;"","Last Rnwl. Yr?   ","")</f>
        <v/>
      </c>
      <c r="AM137" s="933"/>
      <c r="AN137" s="252" t="str">
        <f>IF(E137&lt;&gt;"","Select from Pull-Down List    ","")</f>
        <v/>
      </c>
      <c r="AO137" s="933"/>
      <c r="AP137" s="252" t="str">
        <f>IF(E137&lt;&gt;"","Select from Pull-Down List    ","")</f>
        <v/>
      </c>
      <c r="AQ137" s="1023"/>
      <c r="AR137" s="252" t="str">
        <f>IF(E137&lt;&gt;"","Feet?    ","")</f>
        <v/>
      </c>
      <c r="AS137" s="1023"/>
      <c r="AT137" s="252" t="str">
        <f>IF(E137&lt;&gt;"","Seats?    ","")</f>
        <v/>
      </c>
      <c r="AU137" s="1023"/>
      <c r="AV137" s="252" t="str">
        <f>IF(E137&lt;&gt;"","Standing?    ","")</f>
        <v/>
      </c>
      <c r="AW137" s="1023"/>
      <c r="AX137" s="252" t="str">
        <f>IF(E137&lt;&gt;"","Mileage?       ","")</f>
        <v/>
      </c>
      <c r="AY137" s="1023"/>
      <c r="AZ137" s="252" t="str">
        <f>IF(E137&lt;&gt;"","Avg. Lifetime Mileage? ","")</f>
        <v/>
      </c>
      <c r="BA137" s="933"/>
      <c r="BB137" s="252" t="str">
        <f>IF(E137&lt;&gt;"","Select from Pull-Down List    ","")</f>
        <v/>
      </c>
      <c r="BC137" s="171"/>
      <c r="BD137" s="252" t="str">
        <f>IF(OR(AO137="OR - Other fuel (describe in Notes)",AG137="ZZZ - Other (describe in Notes)"),"Describe                                                                                                     ","")</f>
        <v/>
      </c>
      <c r="BE137" s="894"/>
      <c r="BF137" s="894"/>
      <c r="BG137" s="894" t="b">
        <f>IF(AND(C137="",C139&lt;&gt;""),TRUE,FALSE)</f>
        <v>0</v>
      </c>
      <c r="BH137" s="888" t="str">
        <f>IF(AND(C137&lt;&gt;"",OR(I137="",K137="",M137="",O137="",S137="",U137="",AA137="",AG137="",AI137="",AO137="",AQ137="",AS137="",AU137="",AW137="",AY137="")),"No",IF(AND(C137="",OR(I137&lt;&gt;"",K137&lt;&gt;"",M137&lt;&gt;"",O137&lt;&gt;"",S137&lt;&gt;"",U137&lt;&gt;"",AA137&lt;&gt;"",AG137&lt;&gt;"",AI137&lt;&gt;"",AK137&lt;&gt;"",AM137&lt;&gt;"",AO137&lt;&gt;"",AQ137&lt;&gt;"",AS137&lt;&gt;"",AU137&lt;&gt;"",AW137&lt;&gt;"",AY137&lt;&gt;"",BA137&lt;&gt;"",BC137&lt;&gt;"")),"No",IF(AND(C137="",I137="",K137="",M137="",O137="",S137="",U137="",AA137="",AG137="",AI137="",AK137="",AM137="",AO137="",AQ137="",AS137="",AU137="",AW137="",AY137="",BA137=""),"N/A","Yes")))</f>
        <v>N/A</v>
      </c>
      <c r="BI137" s="898"/>
      <c r="BJ137" s="899" t="b">
        <f>IF(AND(OR(I137&lt;&gt;"",K137&lt;&gt;"",M137&lt;&gt;"",O137&lt;&gt;"",S137&lt;&gt;"",U137&lt;&gt;"",AA137&lt;&gt;"",AG137&lt;&gt;"",AI137&lt;&gt;"",AK137&lt;&gt;"",AM137&lt;&gt;"",AO137&lt;&gt;"",AQ137&lt;&gt;"",AS137&lt;&gt;"",AW137&lt;&gt;"",AY137&lt;&gt;"",BA137&lt;&gt;"",BC137&lt;&gt;""),C137=""),TRUE,FALSE)</f>
        <v>0</v>
      </c>
      <c r="BK137" s="898" t="b">
        <f>IF(BL137=TRUE,FALSE,IF(SUM(K137,O137)&gt;I137,TRUE,FALSE))</f>
        <v>0</v>
      </c>
      <c r="BL137" s="899" t="b">
        <f>IF(AND(C137&lt;&gt;"",I137=""),TRUE,FALSE)</f>
        <v>0</v>
      </c>
      <c r="BM137" s="898" t="b">
        <f>IF(BN137=TRUE,FALSE,IF(M137&gt;K137,TRUE,FALSE))</f>
        <v>0</v>
      </c>
      <c r="BN137" s="899" t="b">
        <f>IF(AND($C137&lt;&gt;"",K137=""),TRUE,FALSE)</f>
        <v>0</v>
      </c>
      <c r="BO137" s="898"/>
      <c r="BP137" s="899" t="b">
        <f>IF(AND($C137&lt;&gt;"",M137=""),TRUE,FALSE)</f>
        <v>0</v>
      </c>
      <c r="BQ137" s="898"/>
      <c r="BR137" s="899" t="b">
        <f>IF(AND($C137&lt;&gt;"",O137=""),TRUE,FALSE)</f>
        <v>0</v>
      </c>
      <c r="BS137" s="898" t="b">
        <f>IF(AND(S137="",OR(U137&lt;&gt;"",AA137&lt;&gt;"",AG137&lt;&gt;"",AI137&lt;&gt;"",AK137&lt;&gt;"",AM137&lt;&gt;"",AO137&lt;&gt;"",AQ137&lt;&gt;"",AS137&lt;&gt;"",AU137&lt;&gt;"",AW137&lt;&gt;"",AY137&lt;&gt;"",BA137&lt;&gt;"")),TRUE,FALSE)</f>
        <v>0</v>
      </c>
      <c r="BT137" s="899" t="b">
        <f>IF(AND($C137&lt;&gt;"",S137=""),TRUE,FALSE)</f>
        <v>0</v>
      </c>
      <c r="BU137" s="898"/>
      <c r="BV137" s="899" t="b">
        <f>IF(AND($C137&lt;&gt;"",U137=""),TRUE,FALSE)</f>
        <v>0</v>
      </c>
      <c r="BW137" s="1537" t="b">
        <f>IF(BX137=TRUE,FALSE,IF(AA137="",FALSE,IF(OR(AA137&lt;CX137,AA137&gt;BaseYear),TRUE,FALSE)))</f>
        <v>0</v>
      </c>
      <c r="BX137" s="899" t="b">
        <f>IF(AND($C137&lt;&gt;"",AA137=""),TRUE,FALSE)</f>
        <v>0</v>
      </c>
      <c r="BY137" s="898"/>
      <c r="BZ137" s="899" t="b">
        <f>IF(AND($C137&lt;&gt;"",AG137=""),TRUE,FALSE)</f>
        <v>0</v>
      </c>
      <c r="CA137" s="898"/>
      <c r="CB137" s="899" t="b">
        <f>IF(AND($C137&lt;&gt;"",AI137=""),TRUE,FALSE)</f>
        <v>0</v>
      </c>
      <c r="CC137" s="1537" t="b">
        <f>IF(AK137="",FALSE,IF(OR(AK137&lt;CX137,AK137&gt;BaseYear),TRUE,FALSE))</f>
        <v>0</v>
      </c>
      <c r="CD137" s="1538" t="b">
        <f>IF(AK137="",FALSE,IF(AK137&lt;AA137,TRUE,FALSE))</f>
        <v>0</v>
      </c>
      <c r="CE137" s="899" t="b">
        <f>IF(AND($AM137&lt;&gt;"",AK137=""),TRUE,FALSE)</f>
        <v>0</v>
      </c>
      <c r="CF137" s="898"/>
      <c r="CG137" s="898" t="b">
        <f>IF(AND($AK137&lt;&gt;"",AM137=""),TRUE,FALSE)</f>
        <v>0</v>
      </c>
      <c r="CH137" s="898"/>
      <c r="CI137" s="899" t="b">
        <f>IF(AND($C137&lt;&gt;"",AO137=""),TRUE,FALSE)</f>
        <v>0</v>
      </c>
      <c r="CJ137" s="1537"/>
      <c r="CK137" s="899" t="b">
        <f>IF(AND($C137&lt;&gt;"",AQ137=""),TRUE,FALSE)</f>
        <v>0</v>
      </c>
      <c r="CL137" s="898"/>
      <c r="CM137" s="899" t="b">
        <f>IF(AND($C137&lt;&gt;"",AS137=""),TRUE,FALSE)</f>
        <v>0</v>
      </c>
      <c r="CN137" s="898"/>
      <c r="CO137" s="899" t="b">
        <f>IF(AND($C137&lt;&gt;"",AU137=""),TRUE,FALSE)</f>
        <v>0</v>
      </c>
      <c r="CP137" s="898"/>
      <c r="CQ137" s="899" t="b">
        <f>IF(AND($C137&lt;&gt;"",AW137=""),TRUE,FALSE)</f>
        <v>0</v>
      </c>
      <c r="CR137" s="898"/>
      <c r="CS137" s="899" t="b">
        <f>IF(AND($C137&lt;&gt;"",AY137=""),TRUE,FALSE)</f>
        <v>0</v>
      </c>
      <c r="CT137" s="898"/>
      <c r="CU137" s="898" t="b">
        <f>IF(AND($C137&lt;&gt;"",BA137=""),TRUE,FALSE)</f>
        <v>0</v>
      </c>
      <c r="CV137" s="894"/>
      <c r="CW137" s="898" t="str">
        <f t="shared" si="29"/>
        <v/>
      </c>
      <c r="CX137" s="898" t="str">
        <f>IFERROR(IF(AND(S137="",S137&lt;&gt;""),1913,VLOOKUP(S137,Valid!$B$99:$J$120,9)),"")</f>
        <v/>
      </c>
      <c r="CY137" s="898" t="str">
        <f t="shared" ca="1" si="30"/>
        <v/>
      </c>
      <c r="CZ137" s="1547" t="str">
        <f t="shared" ca="1" si="35"/>
        <v/>
      </c>
      <c r="DA137" s="898" t="str">
        <f ca="1">IF(CZ137="", "", IF(1+(CZ137*4)&lt;1, 1, 1+(CZ137*4)))</f>
        <v/>
      </c>
      <c r="DB137" s="898" t="str">
        <f t="shared" si="31"/>
        <v/>
      </c>
      <c r="DC137" s="898" t="str">
        <f t="shared" si="32"/>
        <v/>
      </c>
      <c r="DD137" s="1539" t="str">
        <f>IFERROR(IF(AND(AM137="",C137&lt;&gt;""),Valid!$E$123,VLOOKUP(AM137,Valid!$B$123:$F$125,4,FALSE)),"")</f>
        <v/>
      </c>
      <c r="DE137" s="1539" t="str">
        <f>IFERROR(IF(AND(AM137="",C137&lt;&gt;""),Valid!$F$123,VLOOKUP(AM137,Valid!$B$123:$F$125,5,FALSE)),"")</f>
        <v/>
      </c>
      <c r="DF137" s="1539" t="str">
        <f>IFERROR(VLOOKUP('A-70 RevVehInv'!S137,Valid!$B$99:$I$120,7), "")</f>
        <v/>
      </c>
      <c r="DG137" s="1539" t="str">
        <f>IFERROR(VLOOKUP(S137,Valid!$B$99:$I$120,8), "")</f>
        <v/>
      </c>
      <c r="DH137" s="894"/>
    </row>
    <row r="138" spans="1:112" ht="6.75" customHeight="1" x14ac:dyDescent="0.2">
      <c r="A138" s="1517"/>
      <c r="B138" s="1530">
        <v>63.5</v>
      </c>
      <c r="C138" s="1540"/>
      <c r="D138" s="905"/>
      <c r="E138" s="1541"/>
      <c r="F138" s="905"/>
      <c r="G138" s="905"/>
      <c r="H138" s="905"/>
      <c r="I138" s="1534"/>
      <c r="J138" s="905"/>
      <c r="K138" s="1534"/>
      <c r="L138" s="905"/>
      <c r="M138" s="1534"/>
      <c r="N138" s="905"/>
      <c r="O138" s="1534"/>
      <c r="P138" s="905"/>
      <c r="Q138" s="1534"/>
      <c r="R138" s="1531"/>
      <c r="S138" s="1542"/>
      <c r="T138" s="905"/>
      <c r="U138" s="1542"/>
      <c r="V138" s="905"/>
      <c r="W138" s="1534" t="str">
        <f t="shared" si="27"/>
        <v/>
      </c>
      <c r="X138" s="905"/>
      <c r="Y138" s="1534"/>
      <c r="Z138" s="252" t="str">
        <f t="shared" si="28"/>
        <v/>
      </c>
      <c r="AA138" s="1534"/>
      <c r="AB138" s="905"/>
      <c r="AC138" s="1973" t="str">
        <f t="shared" si="33"/>
        <v/>
      </c>
      <c r="AD138" s="905"/>
      <c r="AE138" s="1985" t="str">
        <f t="shared" si="34"/>
        <v/>
      </c>
      <c r="AF138" s="905"/>
      <c r="AG138" s="1543"/>
      <c r="AH138" s="1531"/>
      <c r="AI138" s="1534"/>
      <c r="AJ138" s="1531"/>
      <c r="AK138" s="1534"/>
      <c r="AL138" s="1531"/>
      <c r="AM138" s="1543"/>
      <c r="AN138" s="1531"/>
      <c r="AO138" s="1543"/>
      <c r="AP138" s="1531"/>
      <c r="AQ138" s="1534"/>
      <c r="AR138" s="1531"/>
      <c r="AS138" s="1534"/>
      <c r="AT138" s="1531"/>
      <c r="AU138" s="1534"/>
      <c r="AV138" s="1531"/>
      <c r="AW138" s="1534"/>
      <c r="AX138" s="1531"/>
      <c r="AY138" s="1534"/>
      <c r="AZ138" s="1531"/>
      <c r="BA138" s="1543"/>
      <c r="BB138" s="1531"/>
      <c r="BC138" s="1534"/>
      <c r="BD138" s="1531"/>
      <c r="BE138" s="1531"/>
      <c r="BF138" s="1531"/>
      <c r="BG138" s="1531"/>
      <c r="BH138" s="1531"/>
      <c r="BI138" s="1535"/>
      <c r="BJ138" s="1534"/>
      <c r="BK138" s="898"/>
      <c r="BL138" s="1534"/>
      <c r="BM138" s="1535"/>
      <c r="BN138" s="1534"/>
      <c r="BO138" s="1535"/>
      <c r="BP138" s="1534"/>
      <c r="BQ138" s="1535"/>
      <c r="BR138" s="1534"/>
      <c r="BS138" s="1535"/>
      <c r="BT138" s="1534"/>
      <c r="BU138" s="1535"/>
      <c r="BV138" s="1534"/>
      <c r="BW138" s="1535"/>
      <c r="BX138" s="1534"/>
      <c r="BY138" s="1535"/>
      <c r="BZ138" s="1534"/>
      <c r="CA138" s="1535"/>
      <c r="CB138" s="1534"/>
      <c r="CC138" s="1535"/>
      <c r="CD138" s="1534"/>
      <c r="CE138" s="1534"/>
      <c r="CF138" s="1535"/>
      <c r="CG138" s="1534"/>
      <c r="CH138" s="1535"/>
      <c r="CI138" s="1534"/>
      <c r="CJ138" s="1535"/>
      <c r="CK138" s="1534"/>
      <c r="CL138" s="1535"/>
      <c r="CM138" s="1534"/>
      <c r="CN138" s="1535"/>
      <c r="CO138" s="1534"/>
      <c r="CP138" s="1535"/>
      <c r="CQ138" s="1534"/>
      <c r="CR138" s="1535"/>
      <c r="CS138" s="1534"/>
      <c r="CT138" s="1535"/>
      <c r="CU138" s="1535"/>
      <c r="CV138" s="1531"/>
      <c r="CW138" s="898" t="str">
        <f t="shared" si="29"/>
        <v/>
      </c>
      <c r="CX138" s="898" t="str">
        <f>IFERROR(IF(AND(S138="",S138&lt;&gt;""),1913,VLOOKUP(S138,Valid!$B$99:$J$120,9)),"")</f>
        <v/>
      </c>
      <c r="CY138" s="898" t="str">
        <f t="shared" ca="1" si="30"/>
        <v/>
      </c>
      <c r="CZ138" s="1547" t="str">
        <f t="shared" ca="1" si="35"/>
        <v/>
      </c>
      <c r="DA138" s="898"/>
      <c r="DB138" s="898" t="str">
        <f t="shared" si="31"/>
        <v/>
      </c>
      <c r="DC138" s="898" t="str">
        <f t="shared" si="32"/>
        <v/>
      </c>
      <c r="DD138" s="1539" t="str">
        <f>IFERROR(IF(AND(AM138="",C138&lt;&gt;""),Valid!$E$123,VLOOKUP(AM138,Valid!$B$123:$F$125,4,FALSE)),"")</f>
        <v/>
      </c>
      <c r="DE138" s="1539" t="str">
        <f>IFERROR(IF(AND(AM138="",C138&lt;&gt;""),Valid!$F$123,VLOOKUP(AM138,Valid!$B$123:$F$125,5,FALSE)),"")</f>
        <v/>
      </c>
      <c r="DF138" s="1539" t="str">
        <f>IFERROR(VLOOKUP('A-70 RevVehInv'!S138,Valid!$B$99:$I$120,7), "")</f>
        <v/>
      </c>
      <c r="DG138" s="1539" t="str">
        <f>IFERROR(VLOOKUP(S138,Valid!$B$99:$I$120,8), "")</f>
        <v/>
      </c>
      <c r="DH138" s="1531"/>
    </row>
    <row r="139" spans="1:112" s="930" customFormat="1" x14ac:dyDescent="0.2">
      <c r="A139" s="206">
        <v>64</v>
      </c>
      <c r="B139" s="1530">
        <v>64</v>
      </c>
      <c r="C139" s="933"/>
      <c r="D139" s="719" t="str">
        <f>IF(C137="","",IF((C139=""),"Enter RVI ID. then Fill in Columns "&amp;TEXT($I$2,0)&amp;" - "&amp;TEXT($BA$2,0)&amp;"       ",""))</f>
        <v/>
      </c>
      <c r="E139" s="1056" t="str">
        <f>IF(BH139="N/A","",BH139)</f>
        <v/>
      </c>
      <c r="F139" s="1536"/>
      <c r="G139" s="1536"/>
      <c r="H139" s="1536"/>
      <c r="I139" s="1023"/>
      <c r="J139" s="1536" t="str">
        <f>IF(E139&lt;&gt;"","Vehicles?    ","")</f>
        <v/>
      </c>
      <c r="K139" s="1023"/>
      <c r="L139" s="1536" t="str">
        <f>IF(E139&lt;&gt;"","Active Vehicles?     ","")</f>
        <v/>
      </c>
      <c r="M139" s="1023"/>
      <c r="N139" s="1536" t="str">
        <f>IF(E139&lt;&gt;"","ADA Vehicles?       ","")</f>
        <v/>
      </c>
      <c r="O139" s="1023"/>
      <c r="P139" s="1536" t="str">
        <f>IF(E139&lt;&gt;"","Cont. Vehicles?     ","")</f>
        <v/>
      </c>
      <c r="Q139" s="1024"/>
      <c r="R139" s="894"/>
      <c r="S139" s="1153"/>
      <c r="T139" s="252" t="str">
        <f>IF(E139&lt;&gt;"","Select from Pull-Down List    ","")</f>
        <v/>
      </c>
      <c r="U139" s="933"/>
      <c r="V139" s="252" t="str">
        <f>IF(E139&lt;&gt;"","Select from Pull-Down List    ","")</f>
        <v/>
      </c>
      <c r="W139" s="1766" t="str">
        <f t="shared" si="27"/>
        <v/>
      </c>
      <c r="X139" s="252"/>
      <c r="Y139" s="1988"/>
      <c r="Z139" s="252" t="str">
        <f t="shared" si="28"/>
        <v/>
      </c>
      <c r="AA139" s="139"/>
      <c r="AB139" s="252" t="str">
        <f>IF(E139&lt;&gt;"","Mfg. Yr?    ","")</f>
        <v/>
      </c>
      <c r="AC139" s="1974" t="str">
        <f t="shared" si="33"/>
        <v/>
      </c>
      <c r="AD139" s="252"/>
      <c r="AE139" s="1986" t="str">
        <f t="shared" si="34"/>
        <v/>
      </c>
      <c r="AF139" s="252"/>
      <c r="AG139" s="933"/>
      <c r="AH139" s="252" t="str">
        <f>IF(E139&lt;&gt;"","Select from Pull-Down List    ","")</f>
        <v/>
      </c>
      <c r="AI139" s="933"/>
      <c r="AJ139" s="252" t="str">
        <f>IF(E139&lt;&gt;"","Number?   ","")</f>
        <v/>
      </c>
      <c r="AK139" s="139"/>
      <c r="AL139" s="252" t="str">
        <f>IF(E139&lt;&gt;"","Last Rnwl. Yr?   ","")</f>
        <v/>
      </c>
      <c r="AM139" s="933"/>
      <c r="AN139" s="252" t="str">
        <f>IF(E139&lt;&gt;"","Select from Pull-Down List    ","")</f>
        <v/>
      </c>
      <c r="AO139" s="933"/>
      <c r="AP139" s="252" t="str">
        <f>IF(E139&lt;&gt;"","Select from Pull-Down List    ","")</f>
        <v/>
      </c>
      <c r="AQ139" s="1023"/>
      <c r="AR139" s="252" t="str">
        <f>IF(E139&lt;&gt;"","Feet?    ","")</f>
        <v/>
      </c>
      <c r="AS139" s="1023"/>
      <c r="AT139" s="252" t="str">
        <f>IF(E139&lt;&gt;"","Seats?    ","")</f>
        <v/>
      </c>
      <c r="AU139" s="1023"/>
      <c r="AV139" s="252" t="str">
        <f>IF(E139&lt;&gt;"","Standing?    ","")</f>
        <v/>
      </c>
      <c r="AW139" s="1023"/>
      <c r="AX139" s="252" t="str">
        <f>IF(E139&lt;&gt;"","Mileage?       ","")</f>
        <v/>
      </c>
      <c r="AY139" s="1023"/>
      <c r="AZ139" s="252" t="str">
        <f>IF(E139&lt;&gt;"","Avg. Lifetime Mileage? ","")</f>
        <v/>
      </c>
      <c r="BA139" s="933"/>
      <c r="BB139" s="252" t="str">
        <f>IF(E139&lt;&gt;"","Select from Pull-Down List    ","")</f>
        <v/>
      </c>
      <c r="BC139" s="171"/>
      <c r="BD139" s="252" t="str">
        <f>IF(OR(AO139="OR - Other fuel (describe in Notes)",AG139="ZZZ - Other (describe in Notes)"),"Describe                                                                                                     ","")</f>
        <v/>
      </c>
      <c r="BE139" s="894"/>
      <c r="BF139" s="894"/>
      <c r="BG139" s="894" t="b">
        <f>IF(AND(C139="",C141&lt;&gt;""),TRUE,FALSE)</f>
        <v>0</v>
      </c>
      <c r="BH139" s="888" t="str">
        <f>IF(AND(C139&lt;&gt;"",OR(I139="",K139="",M139="",O139="",S139="",U139="",AA139="",AG139="",AI139="",AO139="",AQ139="",AS139="",AU139="",AW139="",AY139="")),"No",IF(AND(C139="",OR(I139&lt;&gt;"",K139&lt;&gt;"",M139&lt;&gt;"",O139&lt;&gt;"",S139&lt;&gt;"",U139&lt;&gt;"",AA139&lt;&gt;"",AG139&lt;&gt;"",AI139&lt;&gt;"",AK139&lt;&gt;"",AM139&lt;&gt;"",AO139&lt;&gt;"",AQ139&lt;&gt;"",AS139&lt;&gt;"",AU139&lt;&gt;"",AW139&lt;&gt;"",AY139&lt;&gt;"",BA139&lt;&gt;"",BC139&lt;&gt;"")),"No",IF(AND(C139="",I139="",K139="",M139="",O139="",S139="",U139="",AA139="",AG139="",AI139="",AK139="",AM139="",AO139="",AQ139="",AS139="",AU139="",AW139="",AY139="",BA139=""),"N/A","Yes")))</f>
        <v>N/A</v>
      </c>
      <c r="BI139" s="898"/>
      <c r="BJ139" s="899" t="b">
        <f>IF(AND(OR(I139&lt;&gt;"",K139&lt;&gt;"",M139&lt;&gt;"",O139&lt;&gt;"",S139&lt;&gt;"",U139&lt;&gt;"",AA139&lt;&gt;"",AG139&lt;&gt;"",AI139&lt;&gt;"",AK139&lt;&gt;"",AM139&lt;&gt;"",AO139&lt;&gt;"",AQ139&lt;&gt;"",AS139&lt;&gt;"",AW139&lt;&gt;"",AY139&lt;&gt;"",BA139&lt;&gt;"",BC139&lt;&gt;""),C139=""),TRUE,FALSE)</f>
        <v>0</v>
      </c>
      <c r="BK139" s="898" t="b">
        <f>IF(BL139=TRUE,FALSE,IF(SUM(K139,O139)&gt;I139,TRUE,FALSE))</f>
        <v>0</v>
      </c>
      <c r="BL139" s="899" t="b">
        <f>IF(AND(C139&lt;&gt;"",I139=""),TRUE,FALSE)</f>
        <v>0</v>
      </c>
      <c r="BM139" s="898" t="b">
        <f>IF(BN139=TRUE,FALSE,IF(M139&gt;K139,TRUE,FALSE))</f>
        <v>0</v>
      </c>
      <c r="BN139" s="899" t="b">
        <f>IF(AND($C139&lt;&gt;"",K139=""),TRUE,FALSE)</f>
        <v>0</v>
      </c>
      <c r="BO139" s="898"/>
      <c r="BP139" s="899" t="b">
        <f>IF(AND($C139&lt;&gt;"",M139=""),TRUE,FALSE)</f>
        <v>0</v>
      </c>
      <c r="BQ139" s="898"/>
      <c r="BR139" s="899" t="b">
        <f>IF(AND($C139&lt;&gt;"",O139=""),TRUE,FALSE)</f>
        <v>0</v>
      </c>
      <c r="BS139" s="898" t="b">
        <f>IF(AND(S139="",OR(U139&lt;&gt;"",AA139&lt;&gt;"",AG139&lt;&gt;"",AI139&lt;&gt;"",AK139&lt;&gt;"",AM139&lt;&gt;"",AO139&lt;&gt;"",AQ139&lt;&gt;"",AS139&lt;&gt;"",AU139&lt;&gt;"",AW139&lt;&gt;"",AY139&lt;&gt;"",BA139&lt;&gt;"")),TRUE,FALSE)</f>
        <v>0</v>
      </c>
      <c r="BT139" s="899" t="b">
        <f>IF(AND($C139&lt;&gt;"",S139=""),TRUE,FALSE)</f>
        <v>0</v>
      </c>
      <c r="BU139" s="898"/>
      <c r="BV139" s="899" t="b">
        <f>IF(AND($C139&lt;&gt;"",U139=""),TRUE,FALSE)</f>
        <v>0</v>
      </c>
      <c r="BW139" s="1537" t="b">
        <f>IF(BX139=TRUE,FALSE,IF(AA139="",FALSE,IF(OR(AA139&lt;CX139,AA139&gt;BaseYear),TRUE,FALSE)))</f>
        <v>0</v>
      </c>
      <c r="BX139" s="899" t="b">
        <f>IF(AND($C139&lt;&gt;"",AA139=""),TRUE,FALSE)</f>
        <v>0</v>
      </c>
      <c r="BY139" s="898"/>
      <c r="BZ139" s="899" t="b">
        <f>IF(AND($C139&lt;&gt;"",AG139=""),TRUE,FALSE)</f>
        <v>0</v>
      </c>
      <c r="CA139" s="898"/>
      <c r="CB139" s="899" t="b">
        <f>IF(AND($C139&lt;&gt;"",AI139=""),TRUE,FALSE)</f>
        <v>0</v>
      </c>
      <c r="CC139" s="1537" t="b">
        <f>IF(AK139="",FALSE,IF(OR(AK139&lt;CX139,AK139&gt;BaseYear),TRUE,FALSE))</f>
        <v>0</v>
      </c>
      <c r="CD139" s="1538" t="b">
        <f>IF(AK139="",FALSE,IF(AK139&lt;AA139,TRUE,FALSE))</f>
        <v>0</v>
      </c>
      <c r="CE139" s="899" t="b">
        <f>IF(AND($AM139&lt;&gt;"",AK139=""),TRUE,FALSE)</f>
        <v>0</v>
      </c>
      <c r="CF139" s="898"/>
      <c r="CG139" s="898" t="b">
        <f>IF(AND($AK139&lt;&gt;"",AM139=""),TRUE,FALSE)</f>
        <v>0</v>
      </c>
      <c r="CH139" s="898"/>
      <c r="CI139" s="899" t="b">
        <f>IF(AND($C139&lt;&gt;"",AO139=""),TRUE,FALSE)</f>
        <v>0</v>
      </c>
      <c r="CJ139" s="1537"/>
      <c r="CK139" s="899" t="b">
        <f>IF(AND($C139&lt;&gt;"",AQ139=""),TRUE,FALSE)</f>
        <v>0</v>
      </c>
      <c r="CL139" s="898"/>
      <c r="CM139" s="899" t="b">
        <f>IF(AND($C139&lt;&gt;"",AS139=""),TRUE,FALSE)</f>
        <v>0</v>
      </c>
      <c r="CN139" s="898"/>
      <c r="CO139" s="899" t="b">
        <f>IF(AND($C139&lt;&gt;"",AU139=""),TRUE,FALSE)</f>
        <v>0</v>
      </c>
      <c r="CP139" s="898"/>
      <c r="CQ139" s="899" t="b">
        <f>IF(AND($C139&lt;&gt;"",AW139=""),TRUE,FALSE)</f>
        <v>0</v>
      </c>
      <c r="CR139" s="898"/>
      <c r="CS139" s="899" t="b">
        <f>IF(AND($C139&lt;&gt;"",AY139=""),TRUE,FALSE)</f>
        <v>0</v>
      </c>
      <c r="CT139" s="898"/>
      <c r="CU139" s="898" t="b">
        <f>IF(AND($C139&lt;&gt;"",BA139=""),TRUE,FALSE)</f>
        <v>0</v>
      </c>
      <c r="CV139" s="894"/>
      <c r="CW139" s="898" t="str">
        <f t="shared" si="29"/>
        <v/>
      </c>
      <c r="CX139" s="898" t="str">
        <f>IFERROR(IF(AND(S139="",S139&lt;&gt;""),1913,VLOOKUP(S139,Valid!$B$99:$J$120,9)),"")</f>
        <v/>
      </c>
      <c r="CY139" s="898" t="str">
        <f t="shared" ca="1" si="30"/>
        <v/>
      </c>
      <c r="CZ139" s="1547" t="str">
        <f t="shared" ca="1" si="35"/>
        <v/>
      </c>
      <c r="DA139" s="898" t="str">
        <f ca="1">IF(CZ139="", "", IF(1+(CZ139*4)&lt;1, 1, 1+(CZ139*4)))</f>
        <v/>
      </c>
      <c r="DB139" s="898" t="str">
        <f t="shared" si="31"/>
        <v/>
      </c>
      <c r="DC139" s="898" t="str">
        <f t="shared" si="32"/>
        <v/>
      </c>
      <c r="DD139" s="1539" t="str">
        <f>IFERROR(IF(AND(AM139="",C139&lt;&gt;""),Valid!$E$123,VLOOKUP(AM139,Valid!$B$123:$F$125,4,FALSE)),"")</f>
        <v/>
      </c>
      <c r="DE139" s="1539" t="str">
        <f>IFERROR(IF(AND(AM139="",C139&lt;&gt;""),Valid!$F$123,VLOOKUP(AM139,Valid!$B$123:$F$125,5,FALSE)),"")</f>
        <v/>
      </c>
      <c r="DF139" s="1539" t="str">
        <f>IFERROR(VLOOKUP('A-70 RevVehInv'!S139,Valid!$B$99:$I$120,7), "")</f>
        <v/>
      </c>
      <c r="DG139" s="1539" t="str">
        <f>IFERROR(VLOOKUP(S139,Valid!$B$99:$I$120,8), "")</f>
        <v/>
      </c>
      <c r="DH139" s="894"/>
    </row>
    <row r="140" spans="1:112" ht="6.75" customHeight="1" x14ac:dyDescent="0.2">
      <c r="A140" s="1517"/>
      <c r="B140" s="1530">
        <v>64.5</v>
      </c>
      <c r="C140" s="1544"/>
      <c r="D140" s="905"/>
      <c r="E140" s="1545"/>
      <c r="F140" s="905"/>
      <c r="G140" s="905"/>
      <c r="H140" s="905"/>
      <c r="I140" s="1531"/>
      <c r="J140" s="905"/>
      <c r="K140" s="1531"/>
      <c r="L140" s="905"/>
      <c r="M140" s="1531"/>
      <c r="N140" s="905"/>
      <c r="O140" s="1531"/>
      <c r="P140" s="905"/>
      <c r="Q140" s="1531"/>
      <c r="R140" s="1531"/>
      <c r="S140" s="1533"/>
      <c r="T140" s="905"/>
      <c r="U140" s="1533"/>
      <c r="V140" s="905"/>
      <c r="W140" s="1531" t="str">
        <f t="shared" si="27"/>
        <v/>
      </c>
      <c r="X140" s="905"/>
      <c r="Y140" s="1531"/>
      <c r="Z140" s="252" t="str">
        <f t="shared" si="28"/>
        <v/>
      </c>
      <c r="AA140" s="1531"/>
      <c r="AB140" s="905"/>
      <c r="AC140" s="1971" t="str">
        <f t="shared" si="33"/>
        <v/>
      </c>
      <c r="AD140" s="905"/>
      <c r="AE140" s="1983" t="str">
        <f t="shared" si="34"/>
        <v/>
      </c>
      <c r="AF140" s="905"/>
      <c r="AG140" s="1546"/>
      <c r="AH140" s="1531"/>
      <c r="AI140" s="1531"/>
      <c r="AJ140" s="1531"/>
      <c r="AK140" s="1531"/>
      <c r="AL140" s="1531"/>
      <c r="AM140" s="1546"/>
      <c r="AN140" s="1531"/>
      <c r="AO140" s="1546"/>
      <c r="AP140" s="1531"/>
      <c r="AQ140" s="1531"/>
      <c r="AR140" s="1531"/>
      <c r="AS140" s="1531"/>
      <c r="AT140" s="1531"/>
      <c r="AU140" s="1531"/>
      <c r="AV140" s="1531"/>
      <c r="AW140" s="1531"/>
      <c r="AX140" s="1531"/>
      <c r="AY140" s="1531"/>
      <c r="AZ140" s="1531"/>
      <c r="BA140" s="1546"/>
      <c r="BB140" s="1531"/>
      <c r="BC140" s="1531"/>
      <c r="BD140" s="1531"/>
      <c r="BE140" s="1531"/>
      <c r="BF140" s="1531"/>
      <c r="BG140" s="1531"/>
      <c r="BH140" s="1531"/>
      <c r="BI140" s="1535"/>
      <c r="BJ140" s="1534"/>
      <c r="BK140" s="1535"/>
      <c r="BL140" s="1534"/>
      <c r="BM140" s="1535"/>
      <c r="BN140" s="1534"/>
      <c r="BO140" s="1535"/>
      <c r="BP140" s="1534"/>
      <c r="BQ140" s="1535"/>
      <c r="BR140" s="1534"/>
      <c r="BS140" s="1535"/>
      <c r="BT140" s="1534"/>
      <c r="BU140" s="1535"/>
      <c r="BV140" s="1534"/>
      <c r="BW140" s="1535"/>
      <c r="BX140" s="1534"/>
      <c r="BY140" s="1535"/>
      <c r="BZ140" s="1534"/>
      <c r="CA140" s="1535"/>
      <c r="CB140" s="1534"/>
      <c r="CC140" s="1535"/>
      <c r="CD140" s="1534"/>
      <c r="CE140" s="1534"/>
      <c r="CF140" s="1535"/>
      <c r="CG140" s="1534"/>
      <c r="CH140" s="1535"/>
      <c r="CI140" s="1534"/>
      <c r="CJ140" s="1535"/>
      <c r="CK140" s="1534"/>
      <c r="CL140" s="1535"/>
      <c r="CM140" s="1534"/>
      <c r="CN140" s="1535"/>
      <c r="CO140" s="1534"/>
      <c r="CP140" s="1535"/>
      <c r="CQ140" s="1534"/>
      <c r="CR140" s="1535"/>
      <c r="CS140" s="1534"/>
      <c r="CT140" s="1535"/>
      <c r="CU140" s="1535"/>
      <c r="CV140" s="1531"/>
      <c r="CW140" s="898" t="str">
        <f t="shared" si="29"/>
        <v/>
      </c>
      <c r="CX140" s="898" t="str">
        <f>IFERROR(IF(AND(S140="",S140&lt;&gt;""),1913,VLOOKUP(S140,Valid!$B$99:$J$120,9)),"")</f>
        <v/>
      </c>
      <c r="CY140" s="898" t="str">
        <f t="shared" ca="1" si="30"/>
        <v/>
      </c>
      <c r="CZ140" s="1547" t="str">
        <f t="shared" ca="1" si="35"/>
        <v/>
      </c>
      <c r="DA140" s="898"/>
      <c r="DB140" s="898" t="str">
        <f t="shared" si="31"/>
        <v/>
      </c>
      <c r="DC140" s="898" t="str">
        <f t="shared" si="32"/>
        <v/>
      </c>
      <c r="DD140" s="1539" t="str">
        <f>IFERROR(IF(AND(AM140="",C140&lt;&gt;""),Valid!$E$123,VLOOKUP(AM140,Valid!$B$123:$F$125,4,FALSE)),"")</f>
        <v/>
      </c>
      <c r="DE140" s="1539" t="str">
        <f>IFERROR(IF(AND(AM140="",C140&lt;&gt;""),Valid!$F$123,VLOOKUP(AM140,Valid!$B$123:$F$125,5,FALSE)),"")</f>
        <v/>
      </c>
      <c r="DF140" s="1539" t="str">
        <f>IFERROR(VLOOKUP('A-70 RevVehInv'!S140,Valid!$B$99:$I$120,7), "")</f>
        <v/>
      </c>
      <c r="DG140" s="1539" t="str">
        <f>IFERROR(VLOOKUP(S140,Valid!$B$99:$I$120,8), "")</f>
        <v/>
      </c>
      <c r="DH140" s="1531"/>
    </row>
    <row r="141" spans="1:112" s="930" customFormat="1" x14ac:dyDescent="0.2">
      <c r="A141" s="206">
        <v>65</v>
      </c>
      <c r="B141" s="1530">
        <v>65</v>
      </c>
      <c r="C141" s="933"/>
      <c r="D141" s="719" t="str">
        <f>IF(C139="","",IF((C141=""),"Enter RVI ID. then Fill in Columns "&amp;TEXT($I$2,0)&amp;" - "&amp;TEXT($BA$2,0)&amp;"       ",""))</f>
        <v/>
      </c>
      <c r="E141" s="1056" t="str">
        <f>IF(BH141="N/A","",BH141)</f>
        <v/>
      </c>
      <c r="F141" s="1536"/>
      <c r="G141" s="1536"/>
      <c r="H141" s="1536"/>
      <c r="I141" s="1023"/>
      <c r="J141" s="1536" t="str">
        <f>IF(E141&lt;&gt;"","Vehicles?    ","")</f>
        <v/>
      </c>
      <c r="K141" s="1023"/>
      <c r="L141" s="1536" t="str">
        <f>IF(E141&lt;&gt;"","Active Vehicles?     ","")</f>
        <v/>
      </c>
      <c r="M141" s="1023"/>
      <c r="N141" s="1536" t="str">
        <f>IF(E141&lt;&gt;"","ADA Vehicles?       ","")</f>
        <v/>
      </c>
      <c r="O141" s="1023"/>
      <c r="P141" s="1536" t="str">
        <f>IF(E141&lt;&gt;"","Cont. Vehicles?     ","")</f>
        <v/>
      </c>
      <c r="Q141" s="1024"/>
      <c r="R141" s="894"/>
      <c r="S141" s="1153"/>
      <c r="T141" s="252" t="str">
        <f>IF(E141&lt;&gt;"","Select from Pull-Down List    ","")</f>
        <v/>
      </c>
      <c r="U141" s="933"/>
      <c r="V141" s="252" t="str">
        <f>IF(E141&lt;&gt;"","Select from Pull-Down List    ","")</f>
        <v/>
      </c>
      <c r="W141" s="1766" t="str">
        <f t="shared" ref="W141:W172" si="36">IFERROR(VLOOKUP($S141,val_rev_vehicles,W$3,FALSE), "")</f>
        <v/>
      </c>
      <c r="X141" s="252"/>
      <c r="Y141" s="1988"/>
      <c r="Z141" s="252" t="str">
        <f t="shared" ref="Z141:Z172" si="37">IF(E141&lt;&gt;"","Service Yrs?    ","")</f>
        <v/>
      </c>
      <c r="AA141" s="139"/>
      <c r="AB141" s="252" t="str">
        <f>IF(E141&lt;&gt;"","Mfg. Yr?    ","")</f>
        <v/>
      </c>
      <c r="AC141" s="1974" t="str">
        <f t="shared" si="33"/>
        <v/>
      </c>
      <c r="AD141" s="252"/>
      <c r="AE141" s="1986" t="str">
        <f t="shared" si="34"/>
        <v/>
      </c>
      <c r="AF141" s="252"/>
      <c r="AG141" s="933"/>
      <c r="AH141" s="252" t="str">
        <f>IF(E141&lt;&gt;"","Select from Pull-Down List    ","")</f>
        <v/>
      </c>
      <c r="AI141" s="933"/>
      <c r="AJ141" s="252" t="str">
        <f>IF(E141&lt;&gt;"","Number?   ","")</f>
        <v/>
      </c>
      <c r="AK141" s="139"/>
      <c r="AL141" s="252" t="str">
        <f>IF(E141&lt;&gt;"","Last Rnwl. Yr?   ","")</f>
        <v/>
      </c>
      <c r="AM141" s="933"/>
      <c r="AN141" s="252" t="str">
        <f>IF(E141&lt;&gt;"","Select from Pull-Down List    ","")</f>
        <v/>
      </c>
      <c r="AO141" s="933"/>
      <c r="AP141" s="252" t="str">
        <f>IF(E141&lt;&gt;"","Select from Pull-Down List    ","")</f>
        <v/>
      </c>
      <c r="AQ141" s="1023"/>
      <c r="AR141" s="252" t="str">
        <f>IF(E141&lt;&gt;"","Feet?    ","")</f>
        <v/>
      </c>
      <c r="AS141" s="1023"/>
      <c r="AT141" s="252" t="str">
        <f>IF(E141&lt;&gt;"","Seats?    ","")</f>
        <v/>
      </c>
      <c r="AU141" s="1023"/>
      <c r="AV141" s="252" t="str">
        <f>IF(E141&lt;&gt;"","Standing?    ","")</f>
        <v/>
      </c>
      <c r="AW141" s="1023"/>
      <c r="AX141" s="252" t="str">
        <f>IF(E141&lt;&gt;"","Mileage?       ","")</f>
        <v/>
      </c>
      <c r="AY141" s="1023"/>
      <c r="AZ141" s="252" t="str">
        <f>IF(E141&lt;&gt;"","Avg. Lifetime Mileage? ","")</f>
        <v/>
      </c>
      <c r="BA141" s="933"/>
      <c r="BB141" s="252" t="str">
        <f>IF(E141&lt;&gt;"","Select from Pull-Down List    ","")</f>
        <v/>
      </c>
      <c r="BC141" s="171"/>
      <c r="BD141" s="252" t="str">
        <f>IF(OR(AO141="OR - Other fuel (describe in Notes)",AG141="ZZZ - Other (describe in Notes)"),"Describe                                                                                                     ","")</f>
        <v/>
      </c>
      <c r="BE141" s="894"/>
      <c r="BF141" s="894"/>
      <c r="BG141" s="894" t="b">
        <f>IF(AND(C141="",C143&lt;&gt;""),TRUE,FALSE)</f>
        <v>0</v>
      </c>
      <c r="BH141" s="888" t="str">
        <f>IF(AND(C141&lt;&gt;"",OR(I141="",K141="",M141="",O141="",S141="",U141="",AA141="",AG141="",AI141="",AO141="",AQ141="",AS141="",AU141="",AW141="",AY141="")),"No",IF(AND(C141="",OR(I141&lt;&gt;"",K141&lt;&gt;"",M141&lt;&gt;"",O141&lt;&gt;"",S141&lt;&gt;"",U141&lt;&gt;"",AA141&lt;&gt;"",AG141&lt;&gt;"",AI141&lt;&gt;"",AK141&lt;&gt;"",AM141&lt;&gt;"",AO141&lt;&gt;"",AQ141&lt;&gt;"",AS141&lt;&gt;"",AU141&lt;&gt;"",AW141&lt;&gt;"",AY141&lt;&gt;"",BA141&lt;&gt;"",BC141&lt;&gt;"")),"No",IF(AND(C141="",I141="",K141="",M141="",O141="",S141="",U141="",AA141="",AG141="",AI141="",AK141="",AM141="",AO141="",AQ141="",AS141="",AU141="",AW141="",AY141="",BA141=""),"N/A","Yes")))</f>
        <v>N/A</v>
      </c>
      <c r="BI141" s="898"/>
      <c r="BJ141" s="899" t="b">
        <f>IF(AND(OR(I141&lt;&gt;"",K141&lt;&gt;"",M141&lt;&gt;"",O141&lt;&gt;"",S141&lt;&gt;"",U141&lt;&gt;"",AA141&lt;&gt;"",AG141&lt;&gt;"",AI141&lt;&gt;"",AK141&lt;&gt;"",AM141&lt;&gt;"",AO141&lt;&gt;"",AQ141&lt;&gt;"",AS141&lt;&gt;"",AW141&lt;&gt;"",AY141&lt;&gt;"",BA141&lt;&gt;"",BC141&lt;&gt;""),C141=""),TRUE,FALSE)</f>
        <v>0</v>
      </c>
      <c r="BK141" s="898" t="b">
        <f>IF(BL141=TRUE,FALSE,IF(SUM(K141,O141)&gt;I141,TRUE,FALSE))</f>
        <v>0</v>
      </c>
      <c r="BL141" s="899" t="b">
        <f>IF(AND(C141&lt;&gt;"",I141=""),TRUE,FALSE)</f>
        <v>0</v>
      </c>
      <c r="BM141" s="898" t="b">
        <f>IF(BN141=TRUE,FALSE,IF(M141&gt;K141,TRUE,FALSE))</f>
        <v>0</v>
      </c>
      <c r="BN141" s="899" t="b">
        <f>IF(AND($C141&lt;&gt;"",K141=""),TRUE,FALSE)</f>
        <v>0</v>
      </c>
      <c r="BO141" s="898"/>
      <c r="BP141" s="899" t="b">
        <f>IF(AND($C141&lt;&gt;"",M141=""),TRUE,FALSE)</f>
        <v>0</v>
      </c>
      <c r="BQ141" s="898"/>
      <c r="BR141" s="899" t="b">
        <f>IF(AND($C141&lt;&gt;"",O141=""),TRUE,FALSE)</f>
        <v>0</v>
      </c>
      <c r="BS141" s="898" t="b">
        <f>IF(AND(S141="",OR(U141&lt;&gt;"",AA141&lt;&gt;"",AG141&lt;&gt;"",AI141&lt;&gt;"",AK141&lt;&gt;"",AM141&lt;&gt;"",AO141&lt;&gt;"",AQ141&lt;&gt;"",AS141&lt;&gt;"",AU141&lt;&gt;"",AW141&lt;&gt;"",AY141&lt;&gt;"",BA141&lt;&gt;"")),TRUE,FALSE)</f>
        <v>0</v>
      </c>
      <c r="BT141" s="899" t="b">
        <f>IF(AND($C141&lt;&gt;"",S141=""),TRUE,FALSE)</f>
        <v>0</v>
      </c>
      <c r="BU141" s="898"/>
      <c r="BV141" s="899" t="b">
        <f>IF(AND($C141&lt;&gt;"",U141=""),TRUE,FALSE)</f>
        <v>0</v>
      </c>
      <c r="BW141" s="1537" t="b">
        <f>IF(BX141=TRUE,FALSE,IF(AA141="",FALSE,IF(OR(AA141&lt;CX141,AA141&gt;BaseYear),TRUE,FALSE)))</f>
        <v>0</v>
      </c>
      <c r="BX141" s="899" t="b">
        <f>IF(AND($C141&lt;&gt;"",AA141=""),TRUE,FALSE)</f>
        <v>0</v>
      </c>
      <c r="BY141" s="898"/>
      <c r="BZ141" s="899" t="b">
        <f>IF(AND($C141&lt;&gt;"",AG141=""),TRUE,FALSE)</f>
        <v>0</v>
      </c>
      <c r="CA141" s="898"/>
      <c r="CB141" s="899" t="b">
        <f>IF(AND($C141&lt;&gt;"",AI141=""),TRUE,FALSE)</f>
        <v>0</v>
      </c>
      <c r="CC141" s="1537" t="b">
        <f>IF(AK141="",FALSE,IF(OR(AK141&lt;CX141,AK141&gt;BaseYear),TRUE,FALSE))</f>
        <v>0</v>
      </c>
      <c r="CD141" s="1538" t="b">
        <f>IF(AK141="",FALSE,IF(AK141&lt;AA141,TRUE,FALSE))</f>
        <v>0</v>
      </c>
      <c r="CE141" s="899" t="b">
        <f>IF(AND($AM141&lt;&gt;"",AK141=""),TRUE,FALSE)</f>
        <v>0</v>
      </c>
      <c r="CF141" s="898"/>
      <c r="CG141" s="898" t="b">
        <f>IF(AND($AK141&lt;&gt;"",AM141=""),TRUE,FALSE)</f>
        <v>0</v>
      </c>
      <c r="CH141" s="898"/>
      <c r="CI141" s="899" t="b">
        <f>IF(AND($C141&lt;&gt;"",AO141=""),TRUE,FALSE)</f>
        <v>0</v>
      </c>
      <c r="CJ141" s="1537"/>
      <c r="CK141" s="899" t="b">
        <f>IF(AND($C141&lt;&gt;"",AQ141=""),TRUE,FALSE)</f>
        <v>0</v>
      </c>
      <c r="CL141" s="898"/>
      <c r="CM141" s="899" t="b">
        <f>IF(AND($C141&lt;&gt;"",AS141=""),TRUE,FALSE)</f>
        <v>0</v>
      </c>
      <c r="CN141" s="898"/>
      <c r="CO141" s="899" t="b">
        <f>IF(AND($C141&lt;&gt;"",AU141=""),TRUE,FALSE)</f>
        <v>0</v>
      </c>
      <c r="CP141" s="898"/>
      <c r="CQ141" s="899" t="b">
        <f>IF(AND($C141&lt;&gt;"",AW141=""),TRUE,FALSE)</f>
        <v>0</v>
      </c>
      <c r="CR141" s="898"/>
      <c r="CS141" s="899" t="b">
        <f>IF(AND($C141&lt;&gt;"",AY141=""),TRUE,FALSE)</f>
        <v>0</v>
      </c>
      <c r="CT141" s="898"/>
      <c r="CU141" s="898" t="b">
        <f>IF(AND($C141&lt;&gt;"",BA141=""),TRUE,FALSE)</f>
        <v>0</v>
      </c>
      <c r="CV141" s="894"/>
      <c r="CW141" s="898" t="str">
        <f t="shared" ref="CW141:CW172" si="38">IFERROR(VLOOKUP($S141,val_rev_vehicles,CW$3,FALSE),"")</f>
        <v/>
      </c>
      <c r="CX141" s="898" t="str">
        <f>IFERROR(IF(AND(S141="",S141&lt;&gt;""),1913,VLOOKUP(S141,Valid!$B$99:$J$120,9)),"")</f>
        <v/>
      </c>
      <c r="CY141" s="898" t="str">
        <f t="shared" ref="CY141:CY172" ca="1" si="39">IF(AA141="", "", YEAR(TODAY())-AA141)</f>
        <v/>
      </c>
      <c r="CZ141" s="1547" t="str">
        <f t="shared" ca="1" si="35"/>
        <v/>
      </c>
      <c r="DA141" s="898" t="str">
        <f ca="1">IF(CZ141="", "", IF(1+(CZ141*4)&lt;1, 1, 1+(CZ141*4)))</f>
        <v/>
      </c>
      <c r="DB141" s="898" t="str">
        <f t="shared" ref="DB141:DB172" si="40">IFERROR(VLOOKUP($S141,val_rev_vehicles,DB$3,FALSE), "")</f>
        <v/>
      </c>
      <c r="DC141" s="898" t="str">
        <f t="shared" ref="DC141:DC172" si="41">IFERROR(VLOOKUP($S141,val_rev_vehicles,DC$3,FALSE),"")</f>
        <v/>
      </c>
      <c r="DD141" s="1539" t="str">
        <f>IFERROR(IF(AND(AM141="",C141&lt;&gt;""),Valid!$E$123,VLOOKUP(AM141,Valid!$B$123:$F$125,4,FALSE)),"")</f>
        <v/>
      </c>
      <c r="DE141" s="1539" t="str">
        <f>IFERROR(IF(AND(AM141="",C141&lt;&gt;""),Valid!$F$123,VLOOKUP(AM141,Valid!$B$123:$F$125,5,FALSE)),"")</f>
        <v/>
      </c>
      <c r="DF141" s="1539" t="str">
        <f>IFERROR(VLOOKUP('A-70 RevVehInv'!S141,Valid!$B$99:$I$120,7), "")</f>
        <v/>
      </c>
      <c r="DG141" s="1539" t="str">
        <f>IFERROR(VLOOKUP(S141,Valid!$B$99:$I$120,8), "")</f>
        <v/>
      </c>
      <c r="DH141" s="894"/>
    </row>
    <row r="142" spans="1:112" ht="6.75" customHeight="1" x14ac:dyDescent="0.2">
      <c r="A142" s="1517"/>
      <c r="B142" s="1530">
        <v>65.5</v>
      </c>
      <c r="C142" s="1540"/>
      <c r="D142" s="905"/>
      <c r="E142" s="1541"/>
      <c r="F142" s="905"/>
      <c r="G142" s="905"/>
      <c r="H142" s="905"/>
      <c r="I142" s="1534"/>
      <c r="J142" s="905"/>
      <c r="K142" s="1534"/>
      <c r="L142" s="905"/>
      <c r="M142" s="1534"/>
      <c r="N142" s="905"/>
      <c r="O142" s="1534"/>
      <c r="P142" s="905"/>
      <c r="Q142" s="1534"/>
      <c r="R142" s="1531"/>
      <c r="S142" s="1542"/>
      <c r="T142" s="905"/>
      <c r="U142" s="1542"/>
      <c r="V142" s="905"/>
      <c r="W142" s="1534" t="str">
        <f t="shared" si="36"/>
        <v/>
      </c>
      <c r="X142" s="905"/>
      <c r="Y142" s="1534"/>
      <c r="Z142" s="252" t="str">
        <f t="shared" si="37"/>
        <v/>
      </c>
      <c r="AA142" s="1534"/>
      <c r="AB142" s="905"/>
      <c r="AC142" s="1973" t="str">
        <f t="shared" ref="AC142:AC173" si="42">IFERROR(VLOOKUP($S142,val_rev_vehicles,AC$3,FALSE), "")</f>
        <v/>
      </c>
      <c r="AD142" s="905"/>
      <c r="AE142" s="1985" t="str">
        <f t="shared" ref="AE142:AE173" si="43">IFERROR(VLOOKUP($S142,val_rev_vehicles,AE$3,FALSE), "")</f>
        <v/>
      </c>
      <c r="AF142" s="905"/>
      <c r="AG142" s="1543"/>
      <c r="AH142" s="1531"/>
      <c r="AI142" s="1534"/>
      <c r="AJ142" s="1531"/>
      <c r="AK142" s="1534"/>
      <c r="AL142" s="1531"/>
      <c r="AM142" s="1543"/>
      <c r="AN142" s="1531"/>
      <c r="AO142" s="1543"/>
      <c r="AP142" s="1531"/>
      <c r="AQ142" s="1534"/>
      <c r="AR142" s="1531"/>
      <c r="AS142" s="1534"/>
      <c r="AT142" s="1531"/>
      <c r="AU142" s="1534"/>
      <c r="AV142" s="1531"/>
      <c r="AW142" s="1534"/>
      <c r="AX142" s="1531"/>
      <c r="AY142" s="1534"/>
      <c r="AZ142" s="1531"/>
      <c r="BA142" s="1543"/>
      <c r="BB142" s="1531"/>
      <c r="BC142" s="1534"/>
      <c r="BD142" s="1531"/>
      <c r="BE142" s="1531"/>
      <c r="BF142" s="1531"/>
      <c r="BG142" s="1531"/>
      <c r="BH142" s="1531"/>
      <c r="BI142" s="1535"/>
      <c r="BJ142" s="1534"/>
      <c r="BK142" s="1535"/>
      <c r="BL142" s="1534"/>
      <c r="BM142" s="1535"/>
      <c r="BN142" s="1534"/>
      <c r="BO142" s="1535"/>
      <c r="BP142" s="1534"/>
      <c r="BQ142" s="1535"/>
      <c r="BR142" s="1534"/>
      <c r="BS142" s="1535"/>
      <c r="BT142" s="1534"/>
      <c r="BU142" s="1535"/>
      <c r="BV142" s="1534"/>
      <c r="BW142" s="1535"/>
      <c r="BX142" s="1534"/>
      <c r="BY142" s="1535"/>
      <c r="BZ142" s="1534"/>
      <c r="CA142" s="1535"/>
      <c r="CB142" s="1534"/>
      <c r="CC142" s="1535"/>
      <c r="CD142" s="1534"/>
      <c r="CE142" s="1534"/>
      <c r="CF142" s="1535"/>
      <c r="CG142" s="1534"/>
      <c r="CH142" s="1535"/>
      <c r="CI142" s="1534"/>
      <c r="CJ142" s="1535"/>
      <c r="CK142" s="1534"/>
      <c r="CL142" s="1535"/>
      <c r="CM142" s="1534"/>
      <c r="CN142" s="1535"/>
      <c r="CO142" s="1534"/>
      <c r="CP142" s="1535"/>
      <c r="CQ142" s="1534"/>
      <c r="CR142" s="1535"/>
      <c r="CS142" s="1534"/>
      <c r="CT142" s="1535"/>
      <c r="CU142" s="1535"/>
      <c r="CV142" s="1531"/>
      <c r="CW142" s="898" t="str">
        <f t="shared" si="38"/>
        <v/>
      </c>
      <c r="CX142" s="898" t="str">
        <f>IFERROR(IF(AND(S142="",S142&lt;&gt;""),1913,VLOOKUP(S142,Valid!$B$99:$J$120,9)),"")</f>
        <v/>
      </c>
      <c r="CY142" s="898" t="str">
        <f t="shared" ca="1" si="39"/>
        <v/>
      </c>
      <c r="CZ142" s="1547" t="str">
        <f t="shared" ref="CZ142:CZ173" ca="1" si="44">IF(OR(CY142="", W142="",W142=0), "", 1+ (-1*(CY142/W142)))</f>
        <v/>
      </c>
      <c r="DA142" s="898"/>
      <c r="DB142" s="898" t="str">
        <f t="shared" si="40"/>
        <v/>
      </c>
      <c r="DC142" s="898" t="str">
        <f t="shared" si="41"/>
        <v/>
      </c>
      <c r="DD142" s="1539" t="str">
        <f>IFERROR(IF(AND(AM142="",C142&lt;&gt;""),Valid!$E$123,VLOOKUP(AM142,Valid!$B$123:$F$125,4,FALSE)),"")</f>
        <v/>
      </c>
      <c r="DE142" s="1539" t="str">
        <f>IFERROR(IF(AND(AM142="",C142&lt;&gt;""),Valid!$F$123,VLOOKUP(AM142,Valid!$B$123:$F$125,5,FALSE)),"")</f>
        <v/>
      </c>
      <c r="DF142" s="1539" t="str">
        <f>IFERROR(VLOOKUP('A-70 RevVehInv'!S142,Valid!$B$99:$I$120,7), "")</f>
        <v/>
      </c>
      <c r="DG142" s="1539" t="str">
        <f>IFERROR(VLOOKUP(S142,Valid!$B$99:$I$120,8), "")</f>
        <v/>
      </c>
      <c r="DH142" s="1531"/>
    </row>
    <row r="143" spans="1:112" s="930" customFormat="1" x14ac:dyDescent="0.2">
      <c r="A143" s="206">
        <v>66</v>
      </c>
      <c r="B143" s="1530">
        <v>66</v>
      </c>
      <c r="C143" s="933"/>
      <c r="D143" s="719" t="str">
        <f>IF(C141="","",IF((C143=""),"Enter RVI ID. then Fill in Columns "&amp;TEXT($I$2,0)&amp;" - "&amp;TEXT($BA$2,0)&amp;"       ",""))</f>
        <v/>
      </c>
      <c r="E143" s="1056" t="str">
        <f>IF(BH143="N/A","",BH143)</f>
        <v/>
      </c>
      <c r="F143" s="1536"/>
      <c r="G143" s="1536"/>
      <c r="H143" s="1536"/>
      <c r="I143" s="1023"/>
      <c r="J143" s="1536" t="str">
        <f>IF(E143&lt;&gt;"","Vehicles?    ","")</f>
        <v/>
      </c>
      <c r="K143" s="1023"/>
      <c r="L143" s="1536" t="str">
        <f>IF(E143&lt;&gt;"","Active Vehicles?     ","")</f>
        <v/>
      </c>
      <c r="M143" s="1023"/>
      <c r="N143" s="1536" t="str">
        <f>IF(E143&lt;&gt;"","ADA Vehicles?       ","")</f>
        <v/>
      </c>
      <c r="O143" s="1023"/>
      <c r="P143" s="1536" t="str">
        <f>IF(E143&lt;&gt;"","Cont. Vehicles?     ","")</f>
        <v/>
      </c>
      <c r="Q143" s="1024"/>
      <c r="R143" s="894"/>
      <c r="S143" s="1153"/>
      <c r="T143" s="252" t="str">
        <f>IF(E143&lt;&gt;"","Select from Pull-Down List    ","")</f>
        <v/>
      </c>
      <c r="U143" s="933"/>
      <c r="V143" s="252" t="str">
        <f>IF(E143&lt;&gt;"","Select from Pull-Down List    ","")</f>
        <v/>
      </c>
      <c r="W143" s="1766" t="str">
        <f t="shared" si="36"/>
        <v/>
      </c>
      <c r="X143" s="252"/>
      <c r="Y143" s="1988"/>
      <c r="Z143" s="252" t="str">
        <f t="shared" si="37"/>
        <v/>
      </c>
      <c r="AA143" s="139"/>
      <c r="AB143" s="252" t="str">
        <f>IF(E143&lt;&gt;"","Mfg. Yr?    ","")</f>
        <v/>
      </c>
      <c r="AC143" s="1974" t="str">
        <f t="shared" si="42"/>
        <v/>
      </c>
      <c r="AD143" s="252"/>
      <c r="AE143" s="1986" t="str">
        <f t="shared" si="43"/>
        <v/>
      </c>
      <c r="AF143" s="252"/>
      <c r="AG143" s="933"/>
      <c r="AH143" s="252" t="str">
        <f>IF(E143&lt;&gt;"","Select from Pull-Down List    ","")</f>
        <v/>
      </c>
      <c r="AI143" s="933"/>
      <c r="AJ143" s="252" t="str">
        <f>IF(E143&lt;&gt;"","Number?   ","")</f>
        <v/>
      </c>
      <c r="AK143" s="139"/>
      <c r="AL143" s="252" t="str">
        <f>IF(E143&lt;&gt;"","Last Rnwl. Yr?   ","")</f>
        <v/>
      </c>
      <c r="AM143" s="933"/>
      <c r="AN143" s="252" t="str">
        <f>IF(E143&lt;&gt;"","Select from Pull-Down List    ","")</f>
        <v/>
      </c>
      <c r="AO143" s="933"/>
      <c r="AP143" s="252" t="str">
        <f>IF(E143&lt;&gt;"","Select from Pull-Down List    ","")</f>
        <v/>
      </c>
      <c r="AQ143" s="1023"/>
      <c r="AR143" s="252" t="str">
        <f>IF(E143&lt;&gt;"","Feet?    ","")</f>
        <v/>
      </c>
      <c r="AS143" s="1023"/>
      <c r="AT143" s="252" t="str">
        <f>IF(E143&lt;&gt;"","Seats?    ","")</f>
        <v/>
      </c>
      <c r="AU143" s="1023"/>
      <c r="AV143" s="252" t="str">
        <f>IF(E143&lt;&gt;"","Standing?    ","")</f>
        <v/>
      </c>
      <c r="AW143" s="1023"/>
      <c r="AX143" s="252" t="str">
        <f>IF(E143&lt;&gt;"","Mileage?       ","")</f>
        <v/>
      </c>
      <c r="AY143" s="1023"/>
      <c r="AZ143" s="252" t="str">
        <f>IF(E143&lt;&gt;"","Avg. Lifetime Mileage? ","")</f>
        <v/>
      </c>
      <c r="BA143" s="933"/>
      <c r="BB143" s="252" t="str">
        <f>IF(E143&lt;&gt;"","Select from Pull-Down List    ","")</f>
        <v/>
      </c>
      <c r="BC143" s="171"/>
      <c r="BD143" s="252" t="str">
        <f>IF(OR(AO143="OR - Other fuel (describe in Notes)",AG143="ZZZ - Other (describe in Notes)"),"Describe                                                                                                     ","")</f>
        <v/>
      </c>
      <c r="BE143" s="894"/>
      <c r="BF143" s="894"/>
      <c r="BG143" s="894" t="b">
        <f>IF(AND(C143="",C145&lt;&gt;""),TRUE,FALSE)</f>
        <v>0</v>
      </c>
      <c r="BH143" s="888" t="str">
        <f>IF(AND(C143&lt;&gt;"",OR(I143="",K143="",M143="",O143="",S143="",U143="",AA143="",AG143="",AI143="",AO143="",AQ143="",AS143="",AU143="",AW143="",AY143="")),"No",IF(AND(C143="",OR(I143&lt;&gt;"",K143&lt;&gt;"",M143&lt;&gt;"",O143&lt;&gt;"",S143&lt;&gt;"",U143&lt;&gt;"",AA143&lt;&gt;"",AG143&lt;&gt;"",AI143&lt;&gt;"",AK143&lt;&gt;"",AM143&lt;&gt;"",AO143&lt;&gt;"",AQ143&lt;&gt;"",AS143&lt;&gt;"",AU143&lt;&gt;"",AW143&lt;&gt;"",AY143&lt;&gt;"",BA143&lt;&gt;"",BC143&lt;&gt;"")),"No",IF(AND(C143="",I143="",K143="",M143="",O143="",S143="",U143="",AA143="",AG143="",AI143="",AK143="",AM143="",AO143="",AQ143="",AS143="",AU143="",AW143="",AY143="",BA143=""),"N/A","Yes")))</f>
        <v>N/A</v>
      </c>
      <c r="BI143" s="898"/>
      <c r="BJ143" s="899" t="b">
        <f>IF(AND(OR(I143&lt;&gt;"",K143&lt;&gt;"",M143&lt;&gt;"",O143&lt;&gt;"",S143&lt;&gt;"",U143&lt;&gt;"",AA143&lt;&gt;"",AG143&lt;&gt;"",AI143&lt;&gt;"",AK143&lt;&gt;"",AM143&lt;&gt;"",AO143&lt;&gt;"",AQ143&lt;&gt;"",AS143&lt;&gt;"",AW143&lt;&gt;"",AY143&lt;&gt;"",BA143&lt;&gt;"",BC143&lt;&gt;""),C143=""),TRUE,FALSE)</f>
        <v>0</v>
      </c>
      <c r="BK143" s="898" t="b">
        <f>IF(BL143=TRUE,FALSE,IF(SUM(K143,O143)&gt;I143,TRUE,FALSE))</f>
        <v>0</v>
      </c>
      <c r="BL143" s="899" t="b">
        <f>IF(AND(C143&lt;&gt;"",I143=""),TRUE,FALSE)</f>
        <v>0</v>
      </c>
      <c r="BM143" s="898" t="b">
        <f>IF(BN143=TRUE,FALSE,IF(M143&gt;K143,TRUE,FALSE))</f>
        <v>0</v>
      </c>
      <c r="BN143" s="899" t="b">
        <f>IF(AND($C143&lt;&gt;"",K143=""),TRUE,FALSE)</f>
        <v>0</v>
      </c>
      <c r="BO143" s="898"/>
      <c r="BP143" s="899" t="b">
        <f>IF(AND($C143&lt;&gt;"",M143=""),TRUE,FALSE)</f>
        <v>0</v>
      </c>
      <c r="BQ143" s="898"/>
      <c r="BR143" s="899" t="b">
        <f>IF(AND($C143&lt;&gt;"",O143=""),TRUE,FALSE)</f>
        <v>0</v>
      </c>
      <c r="BS143" s="898" t="b">
        <f>IF(AND(S143="",OR(U143&lt;&gt;"",AA143&lt;&gt;"",AG143&lt;&gt;"",AI143&lt;&gt;"",AK143&lt;&gt;"",AM143&lt;&gt;"",AO143&lt;&gt;"",AQ143&lt;&gt;"",AS143&lt;&gt;"",AU143&lt;&gt;"",AW143&lt;&gt;"",AY143&lt;&gt;"",BA143&lt;&gt;"")),TRUE,FALSE)</f>
        <v>0</v>
      </c>
      <c r="BT143" s="899" t="b">
        <f>IF(AND($C143&lt;&gt;"",S143=""),TRUE,FALSE)</f>
        <v>0</v>
      </c>
      <c r="BU143" s="898"/>
      <c r="BV143" s="899" t="b">
        <f>IF(AND($C143&lt;&gt;"",U143=""),TRUE,FALSE)</f>
        <v>0</v>
      </c>
      <c r="BW143" s="1537" t="b">
        <f>IF(BX143=TRUE,FALSE,IF(AA143="",FALSE,IF(OR(AA143&lt;CX143,AA143&gt;BaseYear),TRUE,FALSE)))</f>
        <v>0</v>
      </c>
      <c r="BX143" s="899" t="b">
        <f>IF(AND($C143&lt;&gt;"",AA143=""),TRUE,FALSE)</f>
        <v>0</v>
      </c>
      <c r="BY143" s="898"/>
      <c r="BZ143" s="899" t="b">
        <f>IF(AND($C143&lt;&gt;"",AG143=""),TRUE,FALSE)</f>
        <v>0</v>
      </c>
      <c r="CA143" s="898"/>
      <c r="CB143" s="899" t="b">
        <f>IF(AND($C143&lt;&gt;"",AI143=""),TRUE,FALSE)</f>
        <v>0</v>
      </c>
      <c r="CC143" s="1537" t="b">
        <f>IF(AK143="",FALSE,IF(OR(AK143&lt;CX143,AK143&gt;BaseYear),TRUE,FALSE))</f>
        <v>0</v>
      </c>
      <c r="CD143" s="1538" t="b">
        <f>IF(AK143="",FALSE,IF(AK143&lt;AA143,TRUE,FALSE))</f>
        <v>0</v>
      </c>
      <c r="CE143" s="899" t="b">
        <f>IF(AND($AM143&lt;&gt;"",AK143=""),TRUE,FALSE)</f>
        <v>0</v>
      </c>
      <c r="CF143" s="898"/>
      <c r="CG143" s="898" t="b">
        <f>IF(AND($AK143&lt;&gt;"",AM143=""),TRUE,FALSE)</f>
        <v>0</v>
      </c>
      <c r="CH143" s="898"/>
      <c r="CI143" s="899" t="b">
        <f>IF(AND($C143&lt;&gt;"",AO143=""),TRUE,FALSE)</f>
        <v>0</v>
      </c>
      <c r="CJ143" s="1537"/>
      <c r="CK143" s="899" t="b">
        <f>IF(AND($C143&lt;&gt;"",AQ143=""),TRUE,FALSE)</f>
        <v>0</v>
      </c>
      <c r="CL143" s="898"/>
      <c r="CM143" s="899" t="b">
        <f>IF(AND($C143&lt;&gt;"",AS143=""),TRUE,FALSE)</f>
        <v>0</v>
      </c>
      <c r="CN143" s="898"/>
      <c r="CO143" s="899" t="b">
        <f>IF(AND($C143&lt;&gt;"",AU143=""),TRUE,FALSE)</f>
        <v>0</v>
      </c>
      <c r="CP143" s="898"/>
      <c r="CQ143" s="899" t="b">
        <f>IF(AND($C143&lt;&gt;"",AW143=""),TRUE,FALSE)</f>
        <v>0</v>
      </c>
      <c r="CR143" s="898"/>
      <c r="CS143" s="899" t="b">
        <f>IF(AND($C143&lt;&gt;"",AY143=""),TRUE,FALSE)</f>
        <v>0</v>
      </c>
      <c r="CT143" s="898"/>
      <c r="CU143" s="898" t="b">
        <f>IF(AND($C143&lt;&gt;"",BA143=""),TRUE,FALSE)</f>
        <v>0</v>
      </c>
      <c r="CV143" s="894"/>
      <c r="CW143" s="898" t="str">
        <f t="shared" si="38"/>
        <v/>
      </c>
      <c r="CX143" s="898" t="str">
        <f>IFERROR(IF(AND(S143="",S143&lt;&gt;""),1913,VLOOKUP(S143,Valid!$B$99:$J$120,9)),"")</f>
        <v/>
      </c>
      <c r="CY143" s="898" t="str">
        <f t="shared" ca="1" si="39"/>
        <v/>
      </c>
      <c r="CZ143" s="1547" t="str">
        <f t="shared" ca="1" si="44"/>
        <v/>
      </c>
      <c r="DA143" s="898" t="str">
        <f ca="1">IF(CZ143="", "", IF(1+(CZ143*4)&lt;1, 1, 1+(CZ143*4)))</f>
        <v/>
      </c>
      <c r="DB143" s="898" t="str">
        <f t="shared" si="40"/>
        <v/>
      </c>
      <c r="DC143" s="898" t="str">
        <f t="shared" si="41"/>
        <v/>
      </c>
      <c r="DD143" s="1539" t="str">
        <f>IFERROR(IF(AND(AM143="",C143&lt;&gt;""),Valid!$E$123,VLOOKUP(AM143,Valid!$B$123:$F$125,4,FALSE)),"")</f>
        <v/>
      </c>
      <c r="DE143" s="1539" t="str">
        <f>IFERROR(IF(AND(AM143="",C143&lt;&gt;""),Valid!$F$123,VLOOKUP(AM143,Valid!$B$123:$F$125,5,FALSE)),"")</f>
        <v/>
      </c>
      <c r="DF143" s="1539" t="str">
        <f>IFERROR(VLOOKUP('A-70 RevVehInv'!S143,Valid!$B$99:$I$120,7), "")</f>
        <v/>
      </c>
      <c r="DG143" s="1539" t="str">
        <f>IFERROR(VLOOKUP(S143,Valid!$B$99:$I$120,8), "")</f>
        <v/>
      </c>
      <c r="DH143" s="894"/>
    </row>
    <row r="144" spans="1:112" ht="6.75" customHeight="1" x14ac:dyDescent="0.2">
      <c r="A144" s="1517"/>
      <c r="B144" s="1530">
        <v>66.5</v>
      </c>
      <c r="C144" s="1544"/>
      <c r="D144" s="905"/>
      <c r="E144" s="1545"/>
      <c r="F144" s="905"/>
      <c r="G144" s="905"/>
      <c r="H144" s="905"/>
      <c r="I144" s="1531"/>
      <c r="J144" s="905"/>
      <c r="K144" s="1531"/>
      <c r="L144" s="905"/>
      <c r="M144" s="1531"/>
      <c r="N144" s="905"/>
      <c r="O144" s="1531"/>
      <c r="P144" s="905"/>
      <c r="Q144" s="1531"/>
      <c r="R144" s="1531"/>
      <c r="S144" s="1533"/>
      <c r="T144" s="905"/>
      <c r="U144" s="1533"/>
      <c r="V144" s="905"/>
      <c r="W144" s="1531" t="str">
        <f t="shared" si="36"/>
        <v/>
      </c>
      <c r="X144" s="905"/>
      <c r="Y144" s="1531"/>
      <c r="Z144" s="252" t="str">
        <f t="shared" si="37"/>
        <v/>
      </c>
      <c r="AA144" s="1531"/>
      <c r="AB144" s="905"/>
      <c r="AC144" s="1971" t="str">
        <f t="shared" si="42"/>
        <v/>
      </c>
      <c r="AD144" s="905"/>
      <c r="AE144" s="1983" t="str">
        <f t="shared" si="43"/>
        <v/>
      </c>
      <c r="AF144" s="905"/>
      <c r="AG144" s="1546"/>
      <c r="AH144" s="1531"/>
      <c r="AI144" s="1531"/>
      <c r="AJ144" s="1531"/>
      <c r="AK144" s="1531"/>
      <c r="AL144" s="1531"/>
      <c r="AM144" s="1546"/>
      <c r="AN144" s="1531"/>
      <c r="AO144" s="1546"/>
      <c r="AP144" s="1531"/>
      <c r="AQ144" s="1531"/>
      <c r="AR144" s="1531"/>
      <c r="AS144" s="1531"/>
      <c r="AT144" s="1531"/>
      <c r="AU144" s="1531"/>
      <c r="AV144" s="1531"/>
      <c r="AW144" s="1531"/>
      <c r="AX144" s="1531"/>
      <c r="AY144" s="1531"/>
      <c r="AZ144" s="1531"/>
      <c r="BA144" s="1546"/>
      <c r="BB144" s="1531"/>
      <c r="BC144" s="1531"/>
      <c r="BD144" s="1531"/>
      <c r="BE144" s="1531"/>
      <c r="BF144" s="1531"/>
      <c r="BG144" s="1531"/>
      <c r="BH144" s="1531"/>
      <c r="BI144" s="1535"/>
      <c r="BJ144" s="1534"/>
      <c r="BK144" s="1535"/>
      <c r="BL144" s="1534"/>
      <c r="BM144" s="1535"/>
      <c r="BN144" s="1534"/>
      <c r="BO144" s="1535"/>
      <c r="BP144" s="1534"/>
      <c r="BQ144" s="1535"/>
      <c r="BR144" s="1534"/>
      <c r="BS144" s="1535"/>
      <c r="BT144" s="1534"/>
      <c r="BU144" s="1535"/>
      <c r="BV144" s="1534"/>
      <c r="BW144" s="1535"/>
      <c r="BX144" s="1534"/>
      <c r="BY144" s="1535"/>
      <c r="BZ144" s="1534"/>
      <c r="CA144" s="1535"/>
      <c r="CB144" s="1534"/>
      <c r="CC144" s="1535"/>
      <c r="CD144" s="1534"/>
      <c r="CE144" s="1534"/>
      <c r="CF144" s="1535"/>
      <c r="CG144" s="1534"/>
      <c r="CH144" s="1535"/>
      <c r="CI144" s="1534"/>
      <c r="CJ144" s="1535"/>
      <c r="CK144" s="1534"/>
      <c r="CL144" s="1535"/>
      <c r="CM144" s="1534"/>
      <c r="CN144" s="1535"/>
      <c r="CO144" s="1534"/>
      <c r="CP144" s="1535"/>
      <c r="CQ144" s="1534"/>
      <c r="CR144" s="1535"/>
      <c r="CS144" s="1534"/>
      <c r="CT144" s="1535"/>
      <c r="CU144" s="1535"/>
      <c r="CV144" s="1531"/>
      <c r="CW144" s="898" t="str">
        <f t="shared" si="38"/>
        <v/>
      </c>
      <c r="CX144" s="898" t="str">
        <f>IFERROR(IF(AND(S144="",S144&lt;&gt;""),1913,VLOOKUP(S144,Valid!$B$99:$J$120,9)),"")</f>
        <v/>
      </c>
      <c r="CY144" s="898" t="str">
        <f t="shared" ca="1" si="39"/>
        <v/>
      </c>
      <c r="CZ144" s="1547" t="str">
        <f t="shared" ca="1" si="44"/>
        <v/>
      </c>
      <c r="DA144" s="898"/>
      <c r="DB144" s="898" t="str">
        <f t="shared" si="40"/>
        <v/>
      </c>
      <c r="DC144" s="898" t="str">
        <f t="shared" si="41"/>
        <v/>
      </c>
      <c r="DD144" s="1539" t="str">
        <f>IFERROR(IF(AND(AM144="",C144&lt;&gt;""),Valid!$E$123,VLOOKUP(AM144,Valid!$B$123:$F$125,4,FALSE)),"")</f>
        <v/>
      </c>
      <c r="DE144" s="1539" t="str">
        <f>IFERROR(IF(AND(AM144="",C144&lt;&gt;""),Valid!$F$123,VLOOKUP(AM144,Valid!$B$123:$F$125,5,FALSE)),"")</f>
        <v/>
      </c>
      <c r="DF144" s="1539" t="str">
        <f>IFERROR(VLOOKUP('A-70 RevVehInv'!S144,Valid!$B$99:$I$120,7), "")</f>
        <v/>
      </c>
      <c r="DG144" s="1539" t="str">
        <f>IFERROR(VLOOKUP(S144,Valid!$B$99:$I$120,8), "")</f>
        <v/>
      </c>
      <c r="DH144" s="1531"/>
    </row>
    <row r="145" spans="1:112" s="930" customFormat="1" x14ac:dyDescent="0.2">
      <c r="A145" s="206">
        <v>67</v>
      </c>
      <c r="B145" s="1530">
        <v>67</v>
      </c>
      <c r="C145" s="933"/>
      <c r="D145" s="719" t="str">
        <f>IF(C143="","",IF((C145=""),"Enter RVI ID. then Fill in Columns "&amp;TEXT($I$2,0)&amp;" - "&amp;TEXT($BA$2,0)&amp;"       ",""))</f>
        <v/>
      </c>
      <c r="E145" s="1056" t="str">
        <f>IF(BH145="N/A","",BH145)</f>
        <v/>
      </c>
      <c r="F145" s="1536"/>
      <c r="G145" s="1536"/>
      <c r="H145" s="1536"/>
      <c r="I145" s="1023"/>
      <c r="J145" s="1536" t="str">
        <f>IF(E145&lt;&gt;"","Vehicles?    ","")</f>
        <v/>
      </c>
      <c r="K145" s="1023"/>
      <c r="L145" s="1536" t="str">
        <f>IF(E145&lt;&gt;"","Active Vehicles?     ","")</f>
        <v/>
      </c>
      <c r="M145" s="1023"/>
      <c r="N145" s="1536" t="str">
        <f>IF(E145&lt;&gt;"","ADA Vehicles?       ","")</f>
        <v/>
      </c>
      <c r="O145" s="1023"/>
      <c r="P145" s="1536" t="str">
        <f>IF(E145&lt;&gt;"","Cont. Vehicles?     ","")</f>
        <v/>
      </c>
      <c r="Q145" s="1024"/>
      <c r="R145" s="894"/>
      <c r="S145" s="1153"/>
      <c r="T145" s="252" t="str">
        <f>IF(E145&lt;&gt;"","Select from Pull-Down List    ","")</f>
        <v/>
      </c>
      <c r="U145" s="933"/>
      <c r="V145" s="252" t="str">
        <f>IF(E145&lt;&gt;"","Select from Pull-Down List    ","")</f>
        <v/>
      </c>
      <c r="W145" s="1766" t="str">
        <f t="shared" si="36"/>
        <v/>
      </c>
      <c r="X145" s="252"/>
      <c r="Y145" s="1988"/>
      <c r="Z145" s="252" t="str">
        <f t="shared" si="37"/>
        <v/>
      </c>
      <c r="AA145" s="139"/>
      <c r="AB145" s="252" t="str">
        <f>IF(E145&lt;&gt;"","Mfg. Yr?    ","")</f>
        <v/>
      </c>
      <c r="AC145" s="1974" t="str">
        <f t="shared" si="42"/>
        <v/>
      </c>
      <c r="AD145" s="252"/>
      <c r="AE145" s="1986" t="str">
        <f t="shared" si="43"/>
        <v/>
      </c>
      <c r="AF145" s="252"/>
      <c r="AG145" s="933"/>
      <c r="AH145" s="252" t="str">
        <f>IF(E145&lt;&gt;"","Select from Pull-Down List    ","")</f>
        <v/>
      </c>
      <c r="AI145" s="933"/>
      <c r="AJ145" s="252" t="str">
        <f>IF(E145&lt;&gt;"","Number?   ","")</f>
        <v/>
      </c>
      <c r="AK145" s="139"/>
      <c r="AL145" s="252" t="str">
        <f>IF(E145&lt;&gt;"","Last Rnwl. Yr?   ","")</f>
        <v/>
      </c>
      <c r="AM145" s="933"/>
      <c r="AN145" s="252" t="str">
        <f>IF(E145&lt;&gt;"","Select from Pull-Down List    ","")</f>
        <v/>
      </c>
      <c r="AO145" s="933"/>
      <c r="AP145" s="252" t="str">
        <f>IF(E145&lt;&gt;"","Select from Pull-Down List    ","")</f>
        <v/>
      </c>
      <c r="AQ145" s="1023"/>
      <c r="AR145" s="252" t="str">
        <f>IF(E145&lt;&gt;"","Feet?    ","")</f>
        <v/>
      </c>
      <c r="AS145" s="1023"/>
      <c r="AT145" s="252" t="str">
        <f>IF(E145&lt;&gt;"","Seats?    ","")</f>
        <v/>
      </c>
      <c r="AU145" s="1023"/>
      <c r="AV145" s="252" t="str">
        <f>IF(E145&lt;&gt;"","Standing?    ","")</f>
        <v/>
      </c>
      <c r="AW145" s="1023"/>
      <c r="AX145" s="252" t="str">
        <f>IF(E145&lt;&gt;"","Mileage?       ","")</f>
        <v/>
      </c>
      <c r="AY145" s="1023"/>
      <c r="AZ145" s="252" t="str">
        <f>IF(E145&lt;&gt;"","Avg. Lifetime Mileage? ","")</f>
        <v/>
      </c>
      <c r="BA145" s="933"/>
      <c r="BB145" s="252" t="str">
        <f>IF(E145&lt;&gt;"","Select from Pull-Down List    ","")</f>
        <v/>
      </c>
      <c r="BC145" s="171"/>
      <c r="BD145" s="252" t="str">
        <f>IF(OR(AO145="OR - Other fuel (describe in Notes)",AG145="ZZZ - Other (describe in Notes)"),"Describe                                                                                                     ","")</f>
        <v/>
      </c>
      <c r="BE145" s="894"/>
      <c r="BF145" s="894"/>
      <c r="BG145" s="894" t="b">
        <f>IF(AND(C145="",C147&lt;&gt;""),TRUE,FALSE)</f>
        <v>0</v>
      </c>
      <c r="BH145" s="888" t="str">
        <f>IF(AND(C145&lt;&gt;"",OR(I145="",K145="",M145="",O145="",S145="",U145="",AA145="",AG145="",AI145="",AO145="",AQ145="",AS145="",AU145="",AW145="",AY145="")),"No",IF(AND(C145="",OR(I145&lt;&gt;"",K145&lt;&gt;"",M145&lt;&gt;"",O145&lt;&gt;"",S145&lt;&gt;"",U145&lt;&gt;"",AA145&lt;&gt;"",AG145&lt;&gt;"",AI145&lt;&gt;"",AK145&lt;&gt;"",AM145&lt;&gt;"",AO145&lt;&gt;"",AQ145&lt;&gt;"",AS145&lt;&gt;"",AU145&lt;&gt;"",AW145&lt;&gt;"",AY145&lt;&gt;"",BA145&lt;&gt;"",BC145&lt;&gt;"")),"No",IF(AND(C145="",I145="",K145="",M145="",O145="",S145="",U145="",AA145="",AG145="",AI145="",AK145="",AM145="",AO145="",AQ145="",AS145="",AU145="",AW145="",AY145="",BA145=""),"N/A","Yes")))</f>
        <v>N/A</v>
      </c>
      <c r="BI145" s="898"/>
      <c r="BJ145" s="899" t="b">
        <f>IF(AND(OR(I145&lt;&gt;"",K145&lt;&gt;"",M145&lt;&gt;"",O145&lt;&gt;"",S145&lt;&gt;"",U145&lt;&gt;"",AA145&lt;&gt;"",AG145&lt;&gt;"",AI145&lt;&gt;"",AK145&lt;&gt;"",AM145&lt;&gt;"",AO145&lt;&gt;"",AQ145&lt;&gt;"",AS145&lt;&gt;"",AW145&lt;&gt;"",AY145&lt;&gt;"",BA145&lt;&gt;"",BC145&lt;&gt;""),C145=""),TRUE,FALSE)</f>
        <v>0</v>
      </c>
      <c r="BK145" s="898" t="b">
        <f>IF(BL145=TRUE,FALSE,IF(SUM(K145,O145)&gt;I145,TRUE,FALSE))</f>
        <v>0</v>
      </c>
      <c r="BL145" s="899" t="b">
        <f>IF(AND(C145&lt;&gt;"",I145=""),TRUE,FALSE)</f>
        <v>0</v>
      </c>
      <c r="BM145" s="898" t="b">
        <f>IF(BN145=TRUE,FALSE,IF(M145&gt;K145,TRUE,FALSE))</f>
        <v>0</v>
      </c>
      <c r="BN145" s="899" t="b">
        <f>IF(AND($C145&lt;&gt;"",K145=""),TRUE,FALSE)</f>
        <v>0</v>
      </c>
      <c r="BO145" s="898"/>
      <c r="BP145" s="899" t="b">
        <f>IF(AND($C145&lt;&gt;"",M145=""),TRUE,FALSE)</f>
        <v>0</v>
      </c>
      <c r="BQ145" s="898"/>
      <c r="BR145" s="899" t="b">
        <f>IF(AND($C145&lt;&gt;"",O145=""),TRUE,FALSE)</f>
        <v>0</v>
      </c>
      <c r="BS145" s="898" t="b">
        <f>IF(AND(S145="",OR(U145&lt;&gt;"",AA145&lt;&gt;"",AG145&lt;&gt;"",AI145&lt;&gt;"",AK145&lt;&gt;"",AM145&lt;&gt;"",AO145&lt;&gt;"",AQ145&lt;&gt;"",AS145&lt;&gt;"",AU145&lt;&gt;"",AW145&lt;&gt;"",AY145&lt;&gt;"",BA145&lt;&gt;"")),TRUE,FALSE)</f>
        <v>0</v>
      </c>
      <c r="BT145" s="899" t="b">
        <f>IF(AND($C145&lt;&gt;"",S145=""),TRUE,FALSE)</f>
        <v>0</v>
      </c>
      <c r="BU145" s="898"/>
      <c r="BV145" s="899" t="b">
        <f>IF(AND($C145&lt;&gt;"",U145=""),TRUE,FALSE)</f>
        <v>0</v>
      </c>
      <c r="BW145" s="1537" t="b">
        <f>IF(BX145=TRUE,FALSE,IF(AA145="",FALSE,IF(OR(AA145&lt;CX145,AA145&gt;BaseYear),TRUE,FALSE)))</f>
        <v>0</v>
      </c>
      <c r="BX145" s="899" t="b">
        <f>IF(AND($C145&lt;&gt;"",AA145=""),TRUE,FALSE)</f>
        <v>0</v>
      </c>
      <c r="BY145" s="898"/>
      <c r="BZ145" s="899" t="b">
        <f>IF(AND($C145&lt;&gt;"",AG145=""),TRUE,FALSE)</f>
        <v>0</v>
      </c>
      <c r="CA145" s="898"/>
      <c r="CB145" s="899" t="b">
        <f>IF(AND($C145&lt;&gt;"",AI145=""),TRUE,FALSE)</f>
        <v>0</v>
      </c>
      <c r="CC145" s="1537" t="b">
        <f>IF(AK145="",FALSE,IF(OR(AK145&lt;CX145,AK145&gt;BaseYear),TRUE,FALSE))</f>
        <v>0</v>
      </c>
      <c r="CD145" s="1538" t="b">
        <f>IF(AK145="",FALSE,IF(AK145&lt;AA145,TRUE,FALSE))</f>
        <v>0</v>
      </c>
      <c r="CE145" s="899" t="b">
        <f>IF(AND($AM145&lt;&gt;"",AK145=""),TRUE,FALSE)</f>
        <v>0</v>
      </c>
      <c r="CF145" s="898"/>
      <c r="CG145" s="898" t="b">
        <f>IF(AND($AK145&lt;&gt;"",AM145=""),TRUE,FALSE)</f>
        <v>0</v>
      </c>
      <c r="CH145" s="898"/>
      <c r="CI145" s="899" t="b">
        <f>IF(AND($C145&lt;&gt;"",AO145=""),TRUE,FALSE)</f>
        <v>0</v>
      </c>
      <c r="CJ145" s="1537"/>
      <c r="CK145" s="899" t="b">
        <f>IF(AND($C145&lt;&gt;"",AQ145=""),TRUE,FALSE)</f>
        <v>0</v>
      </c>
      <c r="CL145" s="898"/>
      <c r="CM145" s="899" t="b">
        <f>IF(AND($C145&lt;&gt;"",AS145=""),TRUE,FALSE)</f>
        <v>0</v>
      </c>
      <c r="CN145" s="898"/>
      <c r="CO145" s="899" t="b">
        <f>IF(AND($C145&lt;&gt;"",AU145=""),TRUE,FALSE)</f>
        <v>0</v>
      </c>
      <c r="CP145" s="898"/>
      <c r="CQ145" s="899" t="b">
        <f>IF(AND($C145&lt;&gt;"",AW145=""),TRUE,FALSE)</f>
        <v>0</v>
      </c>
      <c r="CR145" s="898"/>
      <c r="CS145" s="899" t="b">
        <f>IF(AND($C145&lt;&gt;"",AY145=""),TRUE,FALSE)</f>
        <v>0</v>
      </c>
      <c r="CT145" s="898"/>
      <c r="CU145" s="898" t="b">
        <f>IF(AND($C145&lt;&gt;"",BA145=""),TRUE,FALSE)</f>
        <v>0</v>
      </c>
      <c r="CV145" s="894"/>
      <c r="CW145" s="898" t="str">
        <f t="shared" si="38"/>
        <v/>
      </c>
      <c r="CX145" s="898" t="str">
        <f>IFERROR(IF(AND(S145="",S145&lt;&gt;""),1913,VLOOKUP(S145,Valid!$B$99:$J$120,9)),"")</f>
        <v/>
      </c>
      <c r="CY145" s="898" t="str">
        <f t="shared" ca="1" si="39"/>
        <v/>
      </c>
      <c r="CZ145" s="1547" t="str">
        <f t="shared" ca="1" si="44"/>
        <v/>
      </c>
      <c r="DA145" s="898" t="str">
        <f ca="1">IF(CZ145="", "", IF(1+(CZ145*4)&lt;1, 1, 1+(CZ145*4)))</f>
        <v/>
      </c>
      <c r="DB145" s="898" t="str">
        <f t="shared" si="40"/>
        <v/>
      </c>
      <c r="DC145" s="898" t="str">
        <f t="shared" si="41"/>
        <v/>
      </c>
      <c r="DD145" s="1539" t="str">
        <f>IFERROR(IF(AND(AM145="",C145&lt;&gt;""),Valid!$E$123,VLOOKUP(AM145,Valid!$B$123:$F$125,4,FALSE)),"")</f>
        <v/>
      </c>
      <c r="DE145" s="1539" t="str">
        <f>IFERROR(IF(AND(AM145="",C145&lt;&gt;""),Valid!$F$123,VLOOKUP(AM145,Valid!$B$123:$F$125,5,FALSE)),"")</f>
        <v/>
      </c>
      <c r="DF145" s="1539" t="str">
        <f>IFERROR(VLOOKUP('A-70 RevVehInv'!S145,Valid!$B$99:$I$120,7), "")</f>
        <v/>
      </c>
      <c r="DG145" s="1539" t="str">
        <f>IFERROR(VLOOKUP(S145,Valid!$B$99:$I$120,8), "")</f>
        <v/>
      </c>
      <c r="DH145" s="894"/>
    </row>
    <row r="146" spans="1:112" ht="6.75" customHeight="1" x14ac:dyDescent="0.2">
      <c r="A146" s="1517"/>
      <c r="B146" s="1530">
        <v>67.5</v>
      </c>
      <c r="C146" s="1540"/>
      <c r="D146" s="905"/>
      <c r="E146" s="1541"/>
      <c r="F146" s="905"/>
      <c r="G146" s="905"/>
      <c r="H146" s="905"/>
      <c r="I146" s="1534"/>
      <c r="J146" s="905"/>
      <c r="K146" s="1534"/>
      <c r="L146" s="905"/>
      <c r="M146" s="1534"/>
      <c r="N146" s="905"/>
      <c r="O146" s="1534"/>
      <c r="P146" s="905"/>
      <c r="Q146" s="1534"/>
      <c r="R146" s="1531"/>
      <c r="S146" s="1542"/>
      <c r="T146" s="905"/>
      <c r="U146" s="1542"/>
      <c r="V146" s="905"/>
      <c r="W146" s="1534" t="str">
        <f t="shared" si="36"/>
        <v/>
      </c>
      <c r="X146" s="905"/>
      <c r="Y146" s="1534"/>
      <c r="Z146" s="252" t="str">
        <f t="shared" si="37"/>
        <v/>
      </c>
      <c r="AA146" s="1534"/>
      <c r="AB146" s="905"/>
      <c r="AC146" s="1973" t="str">
        <f t="shared" si="42"/>
        <v/>
      </c>
      <c r="AD146" s="905"/>
      <c r="AE146" s="1985" t="str">
        <f t="shared" si="43"/>
        <v/>
      </c>
      <c r="AF146" s="905"/>
      <c r="AG146" s="1543"/>
      <c r="AH146" s="1531"/>
      <c r="AI146" s="1534"/>
      <c r="AJ146" s="1531"/>
      <c r="AK146" s="1534"/>
      <c r="AL146" s="1531"/>
      <c r="AM146" s="1543"/>
      <c r="AN146" s="1531"/>
      <c r="AO146" s="1543"/>
      <c r="AP146" s="1531"/>
      <c r="AQ146" s="1534"/>
      <c r="AR146" s="1531"/>
      <c r="AS146" s="1534"/>
      <c r="AT146" s="1531"/>
      <c r="AU146" s="1534"/>
      <c r="AV146" s="1531"/>
      <c r="AW146" s="1534"/>
      <c r="AX146" s="1531"/>
      <c r="AY146" s="1534"/>
      <c r="AZ146" s="1531"/>
      <c r="BA146" s="1543"/>
      <c r="BB146" s="1531"/>
      <c r="BC146" s="1534"/>
      <c r="BD146" s="1531"/>
      <c r="BE146" s="1531"/>
      <c r="BF146" s="1531"/>
      <c r="BG146" s="1531"/>
      <c r="BH146" s="1531"/>
      <c r="BI146" s="1535"/>
      <c r="BJ146" s="1534"/>
      <c r="BK146" s="1535"/>
      <c r="BL146" s="1534"/>
      <c r="BM146" s="1535"/>
      <c r="BN146" s="1534"/>
      <c r="BO146" s="1535"/>
      <c r="BP146" s="1534"/>
      <c r="BQ146" s="1535"/>
      <c r="BR146" s="1534"/>
      <c r="BS146" s="1535"/>
      <c r="BT146" s="1534"/>
      <c r="BU146" s="1535"/>
      <c r="BV146" s="1534"/>
      <c r="BW146" s="1535"/>
      <c r="BX146" s="1534"/>
      <c r="BY146" s="1535"/>
      <c r="BZ146" s="1534"/>
      <c r="CA146" s="1535"/>
      <c r="CB146" s="1534"/>
      <c r="CC146" s="1535"/>
      <c r="CD146" s="1534"/>
      <c r="CE146" s="1534"/>
      <c r="CF146" s="1535"/>
      <c r="CG146" s="1534"/>
      <c r="CH146" s="1535"/>
      <c r="CI146" s="1534"/>
      <c r="CJ146" s="1535"/>
      <c r="CK146" s="1534"/>
      <c r="CL146" s="1535"/>
      <c r="CM146" s="1534"/>
      <c r="CN146" s="1535"/>
      <c r="CO146" s="1534"/>
      <c r="CP146" s="1535"/>
      <c r="CQ146" s="1534"/>
      <c r="CR146" s="1535"/>
      <c r="CS146" s="1534"/>
      <c r="CT146" s="1535"/>
      <c r="CU146" s="1535"/>
      <c r="CV146" s="1531"/>
      <c r="CW146" s="898" t="str">
        <f t="shared" si="38"/>
        <v/>
      </c>
      <c r="CX146" s="898" t="str">
        <f>IFERROR(IF(AND(S146="",S146&lt;&gt;""),1913,VLOOKUP(S146,Valid!$B$99:$J$120,9)),"")</f>
        <v/>
      </c>
      <c r="CY146" s="898" t="str">
        <f t="shared" ca="1" si="39"/>
        <v/>
      </c>
      <c r="CZ146" s="1547" t="str">
        <f t="shared" ca="1" si="44"/>
        <v/>
      </c>
      <c r="DA146" s="898"/>
      <c r="DB146" s="898" t="str">
        <f t="shared" si="40"/>
        <v/>
      </c>
      <c r="DC146" s="898" t="str">
        <f t="shared" si="41"/>
        <v/>
      </c>
      <c r="DD146" s="1539" t="str">
        <f>IFERROR(IF(AND(AM146="",C146&lt;&gt;""),Valid!$E$123,VLOOKUP(AM146,Valid!$B$123:$F$125,4,FALSE)),"")</f>
        <v/>
      </c>
      <c r="DE146" s="1539" t="str">
        <f>IFERROR(IF(AND(AM146="",C146&lt;&gt;""),Valid!$F$123,VLOOKUP(AM146,Valid!$B$123:$F$125,5,FALSE)),"")</f>
        <v/>
      </c>
      <c r="DF146" s="1539" t="str">
        <f>IFERROR(VLOOKUP('A-70 RevVehInv'!S146,Valid!$B$99:$I$120,7), "")</f>
        <v/>
      </c>
      <c r="DG146" s="1539" t="str">
        <f>IFERROR(VLOOKUP(S146,Valid!$B$99:$I$120,8), "")</f>
        <v/>
      </c>
      <c r="DH146" s="1531"/>
    </row>
    <row r="147" spans="1:112" s="930" customFormat="1" x14ac:dyDescent="0.2">
      <c r="A147" s="206">
        <v>68</v>
      </c>
      <c r="B147" s="1530">
        <v>68</v>
      </c>
      <c r="C147" s="933"/>
      <c r="D147" s="719" t="str">
        <f>IF(C145="","",IF((C147=""),"Enter RVI ID. then Fill in Columns "&amp;TEXT($I$2,0)&amp;" - "&amp;TEXT($BA$2,0)&amp;"       ",""))</f>
        <v/>
      </c>
      <c r="E147" s="1056" t="str">
        <f>IF(BH147="N/A","",BH147)</f>
        <v/>
      </c>
      <c r="F147" s="1536"/>
      <c r="G147" s="1536"/>
      <c r="H147" s="1536"/>
      <c r="I147" s="1023"/>
      <c r="J147" s="1536" t="str">
        <f>IF(E147&lt;&gt;"","Vehicles?    ","")</f>
        <v/>
      </c>
      <c r="K147" s="1023"/>
      <c r="L147" s="1536" t="str">
        <f>IF(E147&lt;&gt;"","Active Vehicles?     ","")</f>
        <v/>
      </c>
      <c r="M147" s="1023"/>
      <c r="N147" s="1536" t="str">
        <f>IF(E147&lt;&gt;"","ADA Vehicles?       ","")</f>
        <v/>
      </c>
      <c r="O147" s="1023"/>
      <c r="P147" s="1536" t="str">
        <f>IF(E147&lt;&gt;"","Cont. Vehicles?     ","")</f>
        <v/>
      </c>
      <c r="Q147" s="1024"/>
      <c r="R147" s="894"/>
      <c r="S147" s="1153"/>
      <c r="T147" s="252" t="str">
        <f>IF(E147&lt;&gt;"","Select from Pull-Down List    ","")</f>
        <v/>
      </c>
      <c r="U147" s="933"/>
      <c r="V147" s="252" t="str">
        <f>IF(E147&lt;&gt;"","Select from Pull-Down List    ","")</f>
        <v/>
      </c>
      <c r="W147" s="1766" t="str">
        <f t="shared" si="36"/>
        <v/>
      </c>
      <c r="X147" s="252"/>
      <c r="Y147" s="1988"/>
      <c r="Z147" s="252" t="str">
        <f t="shared" si="37"/>
        <v/>
      </c>
      <c r="AA147" s="139"/>
      <c r="AB147" s="252" t="str">
        <f>IF(E147&lt;&gt;"","Mfg. Yr?    ","")</f>
        <v/>
      </c>
      <c r="AC147" s="1974" t="str">
        <f t="shared" si="42"/>
        <v/>
      </c>
      <c r="AD147" s="252"/>
      <c r="AE147" s="1986" t="str">
        <f t="shared" si="43"/>
        <v/>
      </c>
      <c r="AF147" s="252"/>
      <c r="AG147" s="933"/>
      <c r="AH147" s="252" t="str">
        <f>IF(E147&lt;&gt;"","Select from Pull-Down List    ","")</f>
        <v/>
      </c>
      <c r="AI147" s="933"/>
      <c r="AJ147" s="252" t="str">
        <f>IF(E147&lt;&gt;"","Number?   ","")</f>
        <v/>
      </c>
      <c r="AK147" s="139"/>
      <c r="AL147" s="252" t="str">
        <f>IF(E147&lt;&gt;"","Last Rnwl. Yr?   ","")</f>
        <v/>
      </c>
      <c r="AM147" s="933"/>
      <c r="AN147" s="252" t="str">
        <f>IF(E147&lt;&gt;"","Select from Pull-Down List    ","")</f>
        <v/>
      </c>
      <c r="AO147" s="933"/>
      <c r="AP147" s="252" t="str">
        <f>IF(E147&lt;&gt;"","Select from Pull-Down List    ","")</f>
        <v/>
      </c>
      <c r="AQ147" s="1023"/>
      <c r="AR147" s="252" t="str">
        <f>IF(E147&lt;&gt;"","Feet?    ","")</f>
        <v/>
      </c>
      <c r="AS147" s="1023"/>
      <c r="AT147" s="252" t="str">
        <f>IF(E147&lt;&gt;"","Seats?    ","")</f>
        <v/>
      </c>
      <c r="AU147" s="1023"/>
      <c r="AV147" s="252" t="str">
        <f>IF(E147&lt;&gt;"","Standing?    ","")</f>
        <v/>
      </c>
      <c r="AW147" s="1023"/>
      <c r="AX147" s="252" t="str">
        <f>IF(E147&lt;&gt;"","Mileage?       ","")</f>
        <v/>
      </c>
      <c r="AY147" s="1023"/>
      <c r="AZ147" s="252" t="str">
        <f>IF(E147&lt;&gt;"","Avg. Lifetime Mileage? ","")</f>
        <v/>
      </c>
      <c r="BA147" s="933"/>
      <c r="BB147" s="252" t="str">
        <f>IF(E147&lt;&gt;"","Select from Pull-Down List    ","")</f>
        <v/>
      </c>
      <c r="BC147" s="171"/>
      <c r="BD147" s="252" t="str">
        <f>IF(OR(AO147="OR - Other fuel (describe in Notes)",AG147="ZZZ - Other (describe in Notes)"),"Describe                                                                                                     ","")</f>
        <v/>
      </c>
      <c r="BE147" s="894"/>
      <c r="BF147" s="894"/>
      <c r="BG147" s="894" t="b">
        <f>IF(AND(C147="",C149&lt;&gt;""),TRUE,FALSE)</f>
        <v>0</v>
      </c>
      <c r="BH147" s="888" t="str">
        <f>IF(AND(C147&lt;&gt;"",OR(I147="",K147="",M147="",O147="",S147="",U147="",AA147="",AG147="",AI147="",AO147="",AQ147="",AS147="",AU147="",AW147="",AY147="")),"No",IF(AND(C147="",OR(I147&lt;&gt;"",K147&lt;&gt;"",M147&lt;&gt;"",O147&lt;&gt;"",S147&lt;&gt;"",U147&lt;&gt;"",AA147&lt;&gt;"",AG147&lt;&gt;"",AI147&lt;&gt;"",AK147&lt;&gt;"",AM147&lt;&gt;"",AO147&lt;&gt;"",AQ147&lt;&gt;"",AS147&lt;&gt;"",AU147&lt;&gt;"",AW147&lt;&gt;"",AY147&lt;&gt;"",BA147&lt;&gt;"",BC147&lt;&gt;"")),"No",IF(AND(C147="",I147="",K147="",M147="",O147="",S147="",U147="",AA147="",AG147="",AI147="",AK147="",AM147="",AO147="",AQ147="",AS147="",AU147="",AW147="",AY147="",BA147=""),"N/A","Yes")))</f>
        <v>N/A</v>
      </c>
      <c r="BI147" s="898"/>
      <c r="BJ147" s="899" t="b">
        <f>IF(AND(OR(I147&lt;&gt;"",K147&lt;&gt;"",M147&lt;&gt;"",O147&lt;&gt;"",S147&lt;&gt;"",U147&lt;&gt;"",AA147&lt;&gt;"",AG147&lt;&gt;"",AI147&lt;&gt;"",AK147&lt;&gt;"",AM147&lt;&gt;"",AO147&lt;&gt;"",AQ147&lt;&gt;"",AS147&lt;&gt;"",AW147&lt;&gt;"",AY147&lt;&gt;"",BA147&lt;&gt;"",BC147&lt;&gt;""),C147=""),TRUE,FALSE)</f>
        <v>0</v>
      </c>
      <c r="BK147" s="898" t="b">
        <f>IF(BL147=TRUE,FALSE,IF(SUM(K147,O147)&gt;I147,TRUE,FALSE))</f>
        <v>0</v>
      </c>
      <c r="BL147" s="899" t="b">
        <f>IF(AND(C147&lt;&gt;"",I147=""),TRUE,FALSE)</f>
        <v>0</v>
      </c>
      <c r="BM147" s="898" t="b">
        <f>IF(BN147=TRUE,FALSE,IF(M147&gt;K147,TRUE,FALSE))</f>
        <v>0</v>
      </c>
      <c r="BN147" s="899" t="b">
        <f>IF(AND($C147&lt;&gt;"",K147=""),TRUE,FALSE)</f>
        <v>0</v>
      </c>
      <c r="BO147" s="898"/>
      <c r="BP147" s="899" t="b">
        <f>IF(AND($C147&lt;&gt;"",M147=""),TRUE,FALSE)</f>
        <v>0</v>
      </c>
      <c r="BQ147" s="898"/>
      <c r="BR147" s="899" t="b">
        <f>IF(AND($C147&lt;&gt;"",O147=""),TRUE,FALSE)</f>
        <v>0</v>
      </c>
      <c r="BS147" s="898" t="b">
        <f>IF(AND(S147="",OR(U147&lt;&gt;"",AA147&lt;&gt;"",AG147&lt;&gt;"",AI147&lt;&gt;"",AK147&lt;&gt;"",AM147&lt;&gt;"",AO147&lt;&gt;"",AQ147&lt;&gt;"",AS147&lt;&gt;"",AU147&lt;&gt;"",AW147&lt;&gt;"",AY147&lt;&gt;"",BA147&lt;&gt;"")),TRUE,FALSE)</f>
        <v>0</v>
      </c>
      <c r="BT147" s="899" t="b">
        <f>IF(AND($C147&lt;&gt;"",S147=""),TRUE,FALSE)</f>
        <v>0</v>
      </c>
      <c r="BU147" s="898"/>
      <c r="BV147" s="899" t="b">
        <f>IF(AND($C147&lt;&gt;"",U147=""),TRUE,FALSE)</f>
        <v>0</v>
      </c>
      <c r="BW147" s="1537" t="b">
        <f>IF(BX147=TRUE,FALSE,IF(AA147="",FALSE,IF(OR(AA147&lt;CX147,AA147&gt;BaseYear),TRUE,FALSE)))</f>
        <v>0</v>
      </c>
      <c r="BX147" s="899" t="b">
        <f>IF(AND($C147&lt;&gt;"",AA147=""),TRUE,FALSE)</f>
        <v>0</v>
      </c>
      <c r="BY147" s="898"/>
      <c r="BZ147" s="899" t="b">
        <f>IF(AND($C147&lt;&gt;"",AG147=""),TRUE,FALSE)</f>
        <v>0</v>
      </c>
      <c r="CA147" s="898"/>
      <c r="CB147" s="899" t="b">
        <f>IF(AND($C147&lt;&gt;"",AI147=""),TRUE,FALSE)</f>
        <v>0</v>
      </c>
      <c r="CC147" s="1537" t="b">
        <f>IF(AK147="",FALSE,IF(OR(AK147&lt;CX147,AK147&gt;BaseYear),TRUE,FALSE))</f>
        <v>0</v>
      </c>
      <c r="CD147" s="1538" t="b">
        <f>IF(AK147="",FALSE,IF(AK147&lt;AA147,TRUE,FALSE))</f>
        <v>0</v>
      </c>
      <c r="CE147" s="899" t="b">
        <f>IF(AND($AM147&lt;&gt;"",AK147=""),TRUE,FALSE)</f>
        <v>0</v>
      </c>
      <c r="CF147" s="898"/>
      <c r="CG147" s="898" t="b">
        <f>IF(AND($AK147&lt;&gt;"",AM147=""),TRUE,FALSE)</f>
        <v>0</v>
      </c>
      <c r="CH147" s="898"/>
      <c r="CI147" s="899" t="b">
        <f>IF(AND($C147&lt;&gt;"",AO147=""),TRUE,FALSE)</f>
        <v>0</v>
      </c>
      <c r="CJ147" s="1537"/>
      <c r="CK147" s="899" t="b">
        <f>IF(AND($C147&lt;&gt;"",AQ147=""),TRUE,FALSE)</f>
        <v>0</v>
      </c>
      <c r="CL147" s="898"/>
      <c r="CM147" s="899" t="b">
        <f>IF(AND($C147&lt;&gt;"",AS147=""),TRUE,FALSE)</f>
        <v>0</v>
      </c>
      <c r="CN147" s="898"/>
      <c r="CO147" s="899" t="b">
        <f>IF(AND($C147&lt;&gt;"",AU147=""),TRUE,FALSE)</f>
        <v>0</v>
      </c>
      <c r="CP147" s="898"/>
      <c r="CQ147" s="899" t="b">
        <f>IF(AND($C147&lt;&gt;"",AW147=""),TRUE,FALSE)</f>
        <v>0</v>
      </c>
      <c r="CR147" s="898"/>
      <c r="CS147" s="899" t="b">
        <f>IF(AND($C147&lt;&gt;"",AY147=""),TRUE,FALSE)</f>
        <v>0</v>
      </c>
      <c r="CT147" s="898"/>
      <c r="CU147" s="898" t="b">
        <f>IF(AND($C147&lt;&gt;"",BA147=""),TRUE,FALSE)</f>
        <v>0</v>
      </c>
      <c r="CV147" s="894"/>
      <c r="CW147" s="898" t="str">
        <f t="shared" si="38"/>
        <v/>
      </c>
      <c r="CX147" s="898" t="str">
        <f>IFERROR(IF(AND(S147="",S147&lt;&gt;""),1913,VLOOKUP(S147,Valid!$B$99:$J$120,9)),"")</f>
        <v/>
      </c>
      <c r="CY147" s="898" t="str">
        <f t="shared" ca="1" si="39"/>
        <v/>
      </c>
      <c r="CZ147" s="1547" t="str">
        <f t="shared" ca="1" si="44"/>
        <v/>
      </c>
      <c r="DA147" s="898" t="str">
        <f ca="1">IF(CZ147="", "", IF(1+(CZ147*4)&lt;1, 1, 1+(CZ147*4)))</f>
        <v/>
      </c>
      <c r="DB147" s="898" t="str">
        <f t="shared" si="40"/>
        <v/>
      </c>
      <c r="DC147" s="898" t="str">
        <f t="shared" si="41"/>
        <v/>
      </c>
      <c r="DD147" s="1539" t="str">
        <f>IFERROR(IF(AND(AM147="",C147&lt;&gt;""),Valid!$E$123,VLOOKUP(AM147,Valid!$B$123:$F$125,4,FALSE)),"")</f>
        <v/>
      </c>
      <c r="DE147" s="1539" t="str">
        <f>IFERROR(IF(AND(AM147="",C147&lt;&gt;""),Valid!$F$123,VLOOKUP(AM147,Valid!$B$123:$F$125,5,FALSE)),"")</f>
        <v/>
      </c>
      <c r="DF147" s="1539" t="str">
        <f>IFERROR(VLOOKUP('A-70 RevVehInv'!S147,Valid!$B$99:$I$120,7), "")</f>
        <v/>
      </c>
      <c r="DG147" s="1539" t="str">
        <f>IFERROR(VLOOKUP(S147,Valid!$B$99:$I$120,8), "")</f>
        <v/>
      </c>
      <c r="DH147" s="894"/>
    </row>
    <row r="148" spans="1:112" ht="6.75" customHeight="1" x14ac:dyDescent="0.2">
      <c r="A148" s="1517"/>
      <c r="B148" s="1530">
        <v>68.5</v>
      </c>
      <c r="C148" s="1544"/>
      <c r="D148" s="905"/>
      <c r="E148" s="1545"/>
      <c r="F148" s="905"/>
      <c r="G148" s="905"/>
      <c r="H148" s="905"/>
      <c r="I148" s="1531"/>
      <c r="J148" s="905"/>
      <c r="K148" s="1531"/>
      <c r="L148" s="905"/>
      <c r="M148" s="1531"/>
      <c r="N148" s="905"/>
      <c r="O148" s="1531"/>
      <c r="P148" s="905"/>
      <c r="Q148" s="1531"/>
      <c r="R148" s="1531"/>
      <c r="S148" s="1533"/>
      <c r="T148" s="905"/>
      <c r="U148" s="1533"/>
      <c r="V148" s="905"/>
      <c r="W148" s="1531" t="str">
        <f t="shared" si="36"/>
        <v/>
      </c>
      <c r="X148" s="905"/>
      <c r="Y148" s="1531"/>
      <c r="Z148" s="252" t="str">
        <f t="shared" si="37"/>
        <v/>
      </c>
      <c r="AA148" s="1531"/>
      <c r="AB148" s="905"/>
      <c r="AC148" s="1971" t="str">
        <f t="shared" si="42"/>
        <v/>
      </c>
      <c r="AD148" s="905"/>
      <c r="AE148" s="1983" t="str">
        <f t="shared" si="43"/>
        <v/>
      </c>
      <c r="AF148" s="905"/>
      <c r="AG148" s="1546"/>
      <c r="AH148" s="1531"/>
      <c r="AI148" s="1531"/>
      <c r="AJ148" s="1531"/>
      <c r="AK148" s="1531"/>
      <c r="AL148" s="1531"/>
      <c r="AM148" s="1546"/>
      <c r="AN148" s="1531"/>
      <c r="AO148" s="1546"/>
      <c r="AP148" s="1531"/>
      <c r="AQ148" s="1531"/>
      <c r="AR148" s="1531"/>
      <c r="AS148" s="1531"/>
      <c r="AT148" s="1531"/>
      <c r="AU148" s="1531"/>
      <c r="AV148" s="1531"/>
      <c r="AW148" s="1531"/>
      <c r="AX148" s="1531"/>
      <c r="AY148" s="1531"/>
      <c r="AZ148" s="1531"/>
      <c r="BA148" s="1546"/>
      <c r="BB148" s="1531"/>
      <c r="BC148" s="1531"/>
      <c r="BD148" s="1531"/>
      <c r="BE148" s="1531"/>
      <c r="BF148" s="1531"/>
      <c r="BG148" s="1531"/>
      <c r="BH148" s="1531"/>
      <c r="BI148" s="1535"/>
      <c r="BJ148" s="1534"/>
      <c r="BK148" s="1535"/>
      <c r="BL148" s="1534"/>
      <c r="BM148" s="1535"/>
      <c r="BN148" s="1534"/>
      <c r="BO148" s="1535"/>
      <c r="BP148" s="1534"/>
      <c r="BQ148" s="1535"/>
      <c r="BR148" s="1534"/>
      <c r="BS148" s="1535"/>
      <c r="BT148" s="1534"/>
      <c r="BU148" s="1535"/>
      <c r="BV148" s="1534"/>
      <c r="BW148" s="1535"/>
      <c r="BX148" s="1534"/>
      <c r="BY148" s="1535"/>
      <c r="BZ148" s="1534"/>
      <c r="CA148" s="1535"/>
      <c r="CB148" s="1534"/>
      <c r="CC148" s="1535"/>
      <c r="CD148" s="1534"/>
      <c r="CE148" s="1534"/>
      <c r="CF148" s="1535"/>
      <c r="CG148" s="1534"/>
      <c r="CH148" s="1535"/>
      <c r="CI148" s="1534"/>
      <c r="CJ148" s="1535"/>
      <c r="CK148" s="1534"/>
      <c r="CL148" s="1535"/>
      <c r="CM148" s="1534"/>
      <c r="CN148" s="1535"/>
      <c r="CO148" s="1534"/>
      <c r="CP148" s="1535"/>
      <c r="CQ148" s="1534"/>
      <c r="CR148" s="1535"/>
      <c r="CS148" s="1534"/>
      <c r="CT148" s="1535"/>
      <c r="CU148" s="1535"/>
      <c r="CV148" s="1531"/>
      <c r="CW148" s="898" t="str">
        <f t="shared" si="38"/>
        <v/>
      </c>
      <c r="CX148" s="898" t="str">
        <f>IFERROR(IF(AND(S148="",S148&lt;&gt;""),1913,VLOOKUP(S148,Valid!$B$99:$J$120,9)),"")</f>
        <v/>
      </c>
      <c r="CY148" s="898" t="str">
        <f t="shared" ca="1" si="39"/>
        <v/>
      </c>
      <c r="CZ148" s="1547" t="str">
        <f t="shared" ca="1" si="44"/>
        <v/>
      </c>
      <c r="DA148" s="898"/>
      <c r="DB148" s="898" t="str">
        <f t="shared" si="40"/>
        <v/>
      </c>
      <c r="DC148" s="898" t="str">
        <f t="shared" si="41"/>
        <v/>
      </c>
      <c r="DD148" s="1539" t="str">
        <f>IFERROR(IF(AND(AM148="",C148&lt;&gt;""),Valid!$E$123,VLOOKUP(AM148,Valid!$B$123:$F$125,4,FALSE)),"")</f>
        <v/>
      </c>
      <c r="DE148" s="1539" t="str">
        <f>IFERROR(IF(AND(AM148="",C148&lt;&gt;""),Valid!$F$123,VLOOKUP(AM148,Valid!$B$123:$F$125,5,FALSE)),"")</f>
        <v/>
      </c>
      <c r="DF148" s="1539" t="str">
        <f>IFERROR(VLOOKUP('A-70 RevVehInv'!S148,Valid!$B$99:$I$120,7), "")</f>
        <v/>
      </c>
      <c r="DG148" s="1539" t="str">
        <f>IFERROR(VLOOKUP(S148,Valid!$B$99:$I$120,8), "")</f>
        <v/>
      </c>
      <c r="DH148" s="1531"/>
    </row>
    <row r="149" spans="1:112" s="930" customFormat="1" x14ac:dyDescent="0.2">
      <c r="A149" s="206">
        <v>69</v>
      </c>
      <c r="B149" s="1530">
        <v>69</v>
      </c>
      <c r="C149" s="933"/>
      <c r="D149" s="719" t="str">
        <f>IF(C147="","",IF((C149=""),"Enter RVI ID. then Fill in Columns "&amp;TEXT($I$2,0)&amp;" - "&amp;TEXT($BA$2,0)&amp;"       ",""))</f>
        <v/>
      </c>
      <c r="E149" s="1056" t="str">
        <f>IF(BH149="N/A","",BH149)</f>
        <v/>
      </c>
      <c r="F149" s="1536"/>
      <c r="G149" s="1536"/>
      <c r="H149" s="1536"/>
      <c r="I149" s="1023"/>
      <c r="J149" s="1536" t="str">
        <f>IF(E149&lt;&gt;"","Vehicles?    ","")</f>
        <v/>
      </c>
      <c r="K149" s="1023"/>
      <c r="L149" s="1536" t="str">
        <f>IF(E149&lt;&gt;"","Active Vehicles?     ","")</f>
        <v/>
      </c>
      <c r="M149" s="1023"/>
      <c r="N149" s="1536" t="str">
        <f>IF(E149&lt;&gt;"","ADA Vehicles?       ","")</f>
        <v/>
      </c>
      <c r="O149" s="1023"/>
      <c r="P149" s="1536" t="str">
        <f>IF(E149&lt;&gt;"","Cont. Vehicles?     ","")</f>
        <v/>
      </c>
      <c r="Q149" s="1024"/>
      <c r="R149" s="894"/>
      <c r="S149" s="1153"/>
      <c r="T149" s="252" t="str">
        <f>IF(E149&lt;&gt;"","Select from Pull-Down List    ","")</f>
        <v/>
      </c>
      <c r="U149" s="933"/>
      <c r="V149" s="252" t="str">
        <f>IF(E149&lt;&gt;"","Select from Pull-Down List    ","")</f>
        <v/>
      </c>
      <c r="W149" s="1766" t="str">
        <f t="shared" si="36"/>
        <v/>
      </c>
      <c r="X149" s="252"/>
      <c r="Y149" s="1988"/>
      <c r="Z149" s="252" t="str">
        <f t="shared" si="37"/>
        <v/>
      </c>
      <c r="AA149" s="139"/>
      <c r="AB149" s="252" t="str">
        <f>IF(E149&lt;&gt;"","Mfg. Yr?    ","")</f>
        <v/>
      </c>
      <c r="AC149" s="1974" t="str">
        <f t="shared" si="42"/>
        <v/>
      </c>
      <c r="AD149" s="252"/>
      <c r="AE149" s="1986" t="str">
        <f t="shared" si="43"/>
        <v/>
      </c>
      <c r="AF149" s="252"/>
      <c r="AG149" s="933"/>
      <c r="AH149" s="252" t="str">
        <f>IF(E149&lt;&gt;"","Select from Pull-Down List    ","")</f>
        <v/>
      </c>
      <c r="AI149" s="933"/>
      <c r="AJ149" s="252" t="str">
        <f>IF(E149&lt;&gt;"","Number?   ","")</f>
        <v/>
      </c>
      <c r="AK149" s="139"/>
      <c r="AL149" s="252" t="str">
        <f>IF(E149&lt;&gt;"","Last Rnwl. Yr?   ","")</f>
        <v/>
      </c>
      <c r="AM149" s="933"/>
      <c r="AN149" s="252" t="str">
        <f>IF(E149&lt;&gt;"","Select from Pull-Down List    ","")</f>
        <v/>
      </c>
      <c r="AO149" s="933"/>
      <c r="AP149" s="252" t="str">
        <f>IF(E149&lt;&gt;"","Select from Pull-Down List    ","")</f>
        <v/>
      </c>
      <c r="AQ149" s="1023"/>
      <c r="AR149" s="252" t="str">
        <f>IF(E149&lt;&gt;"","Feet?    ","")</f>
        <v/>
      </c>
      <c r="AS149" s="1023"/>
      <c r="AT149" s="252" t="str">
        <f>IF(E149&lt;&gt;"","Seats?    ","")</f>
        <v/>
      </c>
      <c r="AU149" s="1023"/>
      <c r="AV149" s="252" t="str">
        <f>IF(E149&lt;&gt;"","Standing?    ","")</f>
        <v/>
      </c>
      <c r="AW149" s="1023"/>
      <c r="AX149" s="252" t="str">
        <f>IF(E149&lt;&gt;"","Mileage?       ","")</f>
        <v/>
      </c>
      <c r="AY149" s="1023"/>
      <c r="AZ149" s="252" t="str">
        <f>IF(E149&lt;&gt;"","Avg. Lifetime Mileage? ","")</f>
        <v/>
      </c>
      <c r="BA149" s="933"/>
      <c r="BB149" s="252" t="str">
        <f>IF(E149&lt;&gt;"","Select from Pull-Down List    ","")</f>
        <v/>
      </c>
      <c r="BC149" s="171"/>
      <c r="BD149" s="252" t="str">
        <f>IF(OR(AO149="OR - Other fuel (describe in Notes)",AG149="ZZZ - Other (describe in Notes)"),"Describe                                                                                                     ","")</f>
        <v/>
      </c>
      <c r="BE149" s="894"/>
      <c r="BF149" s="894"/>
      <c r="BG149" s="894" t="b">
        <f>IF(AND(C149="",C151&lt;&gt;""),TRUE,FALSE)</f>
        <v>0</v>
      </c>
      <c r="BH149" s="888" t="str">
        <f>IF(AND(C149&lt;&gt;"",OR(I149="",K149="",M149="",O149="",S149="",U149="",AA149="",AG149="",AI149="",AO149="",AQ149="",AS149="",AU149="",AW149="",AY149="")),"No",IF(AND(C149="",OR(I149&lt;&gt;"",K149&lt;&gt;"",M149&lt;&gt;"",O149&lt;&gt;"",S149&lt;&gt;"",U149&lt;&gt;"",AA149&lt;&gt;"",AG149&lt;&gt;"",AI149&lt;&gt;"",AK149&lt;&gt;"",AM149&lt;&gt;"",AO149&lt;&gt;"",AQ149&lt;&gt;"",AS149&lt;&gt;"",AU149&lt;&gt;"",AW149&lt;&gt;"",AY149&lt;&gt;"",BA149&lt;&gt;"",BC149&lt;&gt;"")),"No",IF(AND(C149="",I149="",K149="",M149="",O149="",S149="",U149="",AA149="",AG149="",AI149="",AK149="",AM149="",AO149="",AQ149="",AS149="",AU149="",AW149="",AY149="",BA149=""),"N/A","Yes")))</f>
        <v>N/A</v>
      </c>
      <c r="BI149" s="898"/>
      <c r="BJ149" s="899" t="b">
        <f>IF(AND(OR(I149&lt;&gt;"",K149&lt;&gt;"",M149&lt;&gt;"",O149&lt;&gt;"",S149&lt;&gt;"",U149&lt;&gt;"",AA149&lt;&gt;"",AG149&lt;&gt;"",AI149&lt;&gt;"",AK149&lt;&gt;"",AM149&lt;&gt;"",AO149&lt;&gt;"",AQ149&lt;&gt;"",AS149&lt;&gt;"",AW149&lt;&gt;"",AY149&lt;&gt;"",BA149&lt;&gt;"",BC149&lt;&gt;""),C149=""),TRUE,FALSE)</f>
        <v>0</v>
      </c>
      <c r="BK149" s="898" t="b">
        <f>IF(BL149=TRUE,FALSE,IF(SUM(K149,O149)&gt;I149,TRUE,FALSE))</f>
        <v>0</v>
      </c>
      <c r="BL149" s="899" t="b">
        <f>IF(AND(C149&lt;&gt;"",I149=""),TRUE,FALSE)</f>
        <v>0</v>
      </c>
      <c r="BM149" s="898" t="b">
        <f>IF(BN149=TRUE,FALSE,IF(M149&gt;K149,TRUE,FALSE))</f>
        <v>0</v>
      </c>
      <c r="BN149" s="899" t="b">
        <f>IF(AND($C149&lt;&gt;"",K149=""),TRUE,FALSE)</f>
        <v>0</v>
      </c>
      <c r="BO149" s="898"/>
      <c r="BP149" s="899" t="b">
        <f>IF(AND($C149&lt;&gt;"",M149=""),TRUE,FALSE)</f>
        <v>0</v>
      </c>
      <c r="BQ149" s="898"/>
      <c r="BR149" s="899" t="b">
        <f>IF(AND($C149&lt;&gt;"",O149=""),TRUE,FALSE)</f>
        <v>0</v>
      </c>
      <c r="BS149" s="898" t="b">
        <f>IF(AND(S149="",OR(U149&lt;&gt;"",AA149&lt;&gt;"",AG149&lt;&gt;"",AI149&lt;&gt;"",AK149&lt;&gt;"",AM149&lt;&gt;"",AO149&lt;&gt;"",AQ149&lt;&gt;"",AS149&lt;&gt;"",AU149&lt;&gt;"",AW149&lt;&gt;"",AY149&lt;&gt;"",BA149&lt;&gt;"")),TRUE,FALSE)</f>
        <v>0</v>
      </c>
      <c r="BT149" s="899" t="b">
        <f>IF(AND($C149&lt;&gt;"",S149=""),TRUE,FALSE)</f>
        <v>0</v>
      </c>
      <c r="BU149" s="898"/>
      <c r="BV149" s="899" t="b">
        <f>IF(AND($C149&lt;&gt;"",U149=""),TRUE,FALSE)</f>
        <v>0</v>
      </c>
      <c r="BW149" s="1537" t="b">
        <f>IF(BX149=TRUE,FALSE,IF(AA149="",FALSE,IF(OR(AA149&lt;CX149,AA149&gt;BaseYear),TRUE,FALSE)))</f>
        <v>0</v>
      </c>
      <c r="BX149" s="899" t="b">
        <f>IF(AND($C149&lt;&gt;"",AA149=""),TRUE,FALSE)</f>
        <v>0</v>
      </c>
      <c r="BY149" s="898"/>
      <c r="BZ149" s="899" t="b">
        <f>IF(AND($C149&lt;&gt;"",AG149=""),TRUE,FALSE)</f>
        <v>0</v>
      </c>
      <c r="CA149" s="898"/>
      <c r="CB149" s="899" t="b">
        <f>IF(AND($C149&lt;&gt;"",AI149=""),TRUE,FALSE)</f>
        <v>0</v>
      </c>
      <c r="CC149" s="1537" t="b">
        <f>IF(AK149="",FALSE,IF(OR(AK149&lt;CX149,AK149&gt;BaseYear),TRUE,FALSE))</f>
        <v>0</v>
      </c>
      <c r="CD149" s="1538" t="b">
        <f>IF(AK149="",FALSE,IF(AK149&lt;AA149,TRUE,FALSE))</f>
        <v>0</v>
      </c>
      <c r="CE149" s="899" t="b">
        <f>IF(AND($AM149&lt;&gt;"",AK149=""),TRUE,FALSE)</f>
        <v>0</v>
      </c>
      <c r="CF149" s="898"/>
      <c r="CG149" s="898" t="b">
        <f>IF(AND($AK149&lt;&gt;"",AM149=""),TRUE,FALSE)</f>
        <v>0</v>
      </c>
      <c r="CH149" s="898"/>
      <c r="CI149" s="899" t="b">
        <f>IF(AND($C149&lt;&gt;"",AO149=""),TRUE,FALSE)</f>
        <v>0</v>
      </c>
      <c r="CJ149" s="1537"/>
      <c r="CK149" s="899" t="b">
        <f>IF(AND($C149&lt;&gt;"",AQ149=""),TRUE,FALSE)</f>
        <v>0</v>
      </c>
      <c r="CL149" s="898"/>
      <c r="CM149" s="899" t="b">
        <f>IF(AND($C149&lt;&gt;"",AS149=""),TRUE,FALSE)</f>
        <v>0</v>
      </c>
      <c r="CN149" s="898"/>
      <c r="CO149" s="899" t="b">
        <f>IF(AND($C149&lt;&gt;"",AU149=""),TRUE,FALSE)</f>
        <v>0</v>
      </c>
      <c r="CP149" s="898"/>
      <c r="CQ149" s="899" t="b">
        <f>IF(AND($C149&lt;&gt;"",AW149=""),TRUE,FALSE)</f>
        <v>0</v>
      </c>
      <c r="CR149" s="898"/>
      <c r="CS149" s="899" t="b">
        <f>IF(AND($C149&lt;&gt;"",AY149=""),TRUE,FALSE)</f>
        <v>0</v>
      </c>
      <c r="CT149" s="898"/>
      <c r="CU149" s="898" t="b">
        <f>IF(AND($C149&lt;&gt;"",BA149=""),TRUE,FALSE)</f>
        <v>0</v>
      </c>
      <c r="CV149" s="894"/>
      <c r="CW149" s="898" t="str">
        <f t="shared" si="38"/>
        <v/>
      </c>
      <c r="CX149" s="898" t="str">
        <f>IFERROR(IF(AND(S149="",S149&lt;&gt;""),1913,VLOOKUP(S149,Valid!$B$99:$J$120,9)),"")</f>
        <v/>
      </c>
      <c r="CY149" s="898" t="str">
        <f t="shared" ca="1" si="39"/>
        <v/>
      </c>
      <c r="CZ149" s="1547" t="str">
        <f t="shared" ca="1" si="44"/>
        <v/>
      </c>
      <c r="DA149" s="898" t="str">
        <f ca="1">IF(CZ149="", "", IF(1+(CZ149*4)&lt;1, 1, 1+(CZ149*4)))</f>
        <v/>
      </c>
      <c r="DB149" s="898" t="str">
        <f t="shared" si="40"/>
        <v/>
      </c>
      <c r="DC149" s="898" t="str">
        <f t="shared" si="41"/>
        <v/>
      </c>
      <c r="DD149" s="1539" t="str">
        <f>IFERROR(IF(AND(AM149="",C149&lt;&gt;""),Valid!$E$123,VLOOKUP(AM149,Valid!$B$123:$F$125,4,FALSE)),"")</f>
        <v/>
      </c>
      <c r="DE149" s="1539" t="str">
        <f>IFERROR(IF(AND(AM149="",C149&lt;&gt;""),Valid!$F$123,VLOOKUP(AM149,Valid!$B$123:$F$125,5,FALSE)),"")</f>
        <v/>
      </c>
      <c r="DF149" s="1539" t="str">
        <f>IFERROR(VLOOKUP('A-70 RevVehInv'!S149,Valid!$B$99:$I$120,7), "")</f>
        <v/>
      </c>
      <c r="DG149" s="1539" t="str">
        <f>IFERROR(VLOOKUP(S149,Valid!$B$99:$I$120,8), "")</f>
        <v/>
      </c>
      <c r="DH149" s="894"/>
    </row>
    <row r="150" spans="1:112" ht="6.75" customHeight="1" x14ac:dyDescent="0.2">
      <c r="A150" s="1517"/>
      <c r="B150" s="1530">
        <v>69.5</v>
      </c>
      <c r="C150" s="1540"/>
      <c r="D150" s="905"/>
      <c r="E150" s="1541"/>
      <c r="F150" s="905"/>
      <c r="G150" s="905"/>
      <c r="H150" s="905"/>
      <c r="I150" s="1534"/>
      <c r="J150" s="905"/>
      <c r="K150" s="1534"/>
      <c r="L150" s="905"/>
      <c r="M150" s="1534"/>
      <c r="N150" s="905"/>
      <c r="O150" s="1534"/>
      <c r="P150" s="905"/>
      <c r="Q150" s="1534"/>
      <c r="R150" s="1531"/>
      <c r="S150" s="1542"/>
      <c r="T150" s="905"/>
      <c r="U150" s="1542"/>
      <c r="V150" s="905"/>
      <c r="W150" s="1534" t="str">
        <f t="shared" si="36"/>
        <v/>
      </c>
      <c r="X150" s="905"/>
      <c r="Y150" s="1534"/>
      <c r="Z150" s="252" t="str">
        <f t="shared" si="37"/>
        <v/>
      </c>
      <c r="AA150" s="1534"/>
      <c r="AB150" s="905"/>
      <c r="AC150" s="1973" t="str">
        <f t="shared" si="42"/>
        <v/>
      </c>
      <c r="AD150" s="905"/>
      <c r="AE150" s="1985" t="str">
        <f t="shared" si="43"/>
        <v/>
      </c>
      <c r="AF150" s="905"/>
      <c r="AG150" s="1543"/>
      <c r="AH150" s="1531"/>
      <c r="AI150" s="1534"/>
      <c r="AJ150" s="1531"/>
      <c r="AK150" s="1534"/>
      <c r="AL150" s="1531"/>
      <c r="AM150" s="1543"/>
      <c r="AN150" s="1531"/>
      <c r="AO150" s="1543"/>
      <c r="AP150" s="1531"/>
      <c r="AQ150" s="1534"/>
      <c r="AR150" s="1531"/>
      <c r="AS150" s="1534"/>
      <c r="AT150" s="1531"/>
      <c r="AU150" s="1534"/>
      <c r="AV150" s="1531"/>
      <c r="AW150" s="1534"/>
      <c r="AX150" s="1531"/>
      <c r="AY150" s="1534"/>
      <c r="AZ150" s="1531"/>
      <c r="BA150" s="1543"/>
      <c r="BB150" s="1531"/>
      <c r="BC150" s="1534"/>
      <c r="BD150" s="1531"/>
      <c r="BE150" s="1531"/>
      <c r="BF150" s="1531"/>
      <c r="BG150" s="1531"/>
      <c r="BH150" s="1531"/>
      <c r="BI150" s="1535"/>
      <c r="BJ150" s="1534"/>
      <c r="BK150" s="1535"/>
      <c r="BL150" s="1534"/>
      <c r="BM150" s="1535"/>
      <c r="BN150" s="1534"/>
      <c r="BO150" s="1535"/>
      <c r="BP150" s="1534"/>
      <c r="BQ150" s="1535"/>
      <c r="BR150" s="1534"/>
      <c r="BS150" s="1535"/>
      <c r="BT150" s="1534"/>
      <c r="BU150" s="1535"/>
      <c r="BV150" s="1534"/>
      <c r="BW150" s="1535"/>
      <c r="BX150" s="1534"/>
      <c r="BY150" s="1535"/>
      <c r="BZ150" s="1534"/>
      <c r="CA150" s="1535"/>
      <c r="CB150" s="1534"/>
      <c r="CC150" s="1535"/>
      <c r="CD150" s="1534"/>
      <c r="CE150" s="1534"/>
      <c r="CF150" s="1535"/>
      <c r="CG150" s="1534"/>
      <c r="CH150" s="1535"/>
      <c r="CI150" s="1534"/>
      <c r="CJ150" s="1535"/>
      <c r="CK150" s="1534"/>
      <c r="CL150" s="1535"/>
      <c r="CM150" s="1534"/>
      <c r="CN150" s="1535"/>
      <c r="CO150" s="1534"/>
      <c r="CP150" s="1535"/>
      <c r="CQ150" s="1534"/>
      <c r="CR150" s="1535"/>
      <c r="CS150" s="1534"/>
      <c r="CT150" s="1535"/>
      <c r="CU150" s="1535"/>
      <c r="CV150" s="1531"/>
      <c r="CW150" s="898" t="str">
        <f t="shared" si="38"/>
        <v/>
      </c>
      <c r="CX150" s="898" t="str">
        <f>IFERROR(IF(AND(S150="",S150&lt;&gt;""),1913,VLOOKUP(S150,Valid!$B$99:$J$120,9)),"")</f>
        <v/>
      </c>
      <c r="CY150" s="898" t="str">
        <f t="shared" ca="1" si="39"/>
        <v/>
      </c>
      <c r="CZ150" s="1547" t="str">
        <f t="shared" ca="1" si="44"/>
        <v/>
      </c>
      <c r="DA150" s="898"/>
      <c r="DB150" s="898" t="str">
        <f t="shared" si="40"/>
        <v/>
      </c>
      <c r="DC150" s="898" t="str">
        <f t="shared" si="41"/>
        <v/>
      </c>
      <c r="DD150" s="1539" t="str">
        <f>IFERROR(IF(AND(AM150="",C150&lt;&gt;""),Valid!$E$123,VLOOKUP(AM150,Valid!$B$123:$F$125,4,FALSE)),"")</f>
        <v/>
      </c>
      <c r="DE150" s="1539" t="str">
        <f>IFERROR(IF(AND(AM150="",C150&lt;&gt;""),Valid!$F$123,VLOOKUP(AM150,Valid!$B$123:$F$125,5,FALSE)),"")</f>
        <v/>
      </c>
      <c r="DF150" s="1539" t="str">
        <f>IFERROR(VLOOKUP('A-70 RevVehInv'!S150,Valid!$B$99:$I$120,7), "")</f>
        <v/>
      </c>
      <c r="DG150" s="1539" t="str">
        <f>IFERROR(VLOOKUP(S150,Valid!$B$99:$I$120,8), "")</f>
        <v/>
      </c>
      <c r="DH150" s="1531"/>
    </row>
    <row r="151" spans="1:112" s="930" customFormat="1" x14ac:dyDescent="0.2">
      <c r="A151" s="206">
        <v>70</v>
      </c>
      <c r="B151" s="1530">
        <v>70</v>
      </c>
      <c r="C151" s="933"/>
      <c r="D151" s="719" t="str">
        <f>IF(C149="","",IF((C151=""),"Enter RVI ID. then Fill in Columns "&amp;TEXT($I$2,0)&amp;" - "&amp;TEXT($BA$2,0)&amp;"       ",""))</f>
        <v/>
      </c>
      <c r="E151" s="1056" t="str">
        <f>IF(BH151="N/A","",BH151)</f>
        <v/>
      </c>
      <c r="F151" s="1536"/>
      <c r="G151" s="1536"/>
      <c r="H151" s="1536"/>
      <c r="I151" s="1023"/>
      <c r="J151" s="1536" t="str">
        <f>IF(E151&lt;&gt;"","Vehicles?    ","")</f>
        <v/>
      </c>
      <c r="K151" s="1023"/>
      <c r="L151" s="1536" t="str">
        <f>IF(E151&lt;&gt;"","Active Vehicles?     ","")</f>
        <v/>
      </c>
      <c r="M151" s="1023"/>
      <c r="N151" s="1536" t="str">
        <f>IF(E151&lt;&gt;"","ADA Vehicles?       ","")</f>
        <v/>
      </c>
      <c r="O151" s="1023"/>
      <c r="P151" s="1536" t="str">
        <f>IF(E151&lt;&gt;"","Cont. Vehicles?     ","")</f>
        <v/>
      </c>
      <c r="Q151" s="1024"/>
      <c r="R151" s="894"/>
      <c r="S151" s="1153"/>
      <c r="T151" s="252" t="str">
        <f>IF(E151&lt;&gt;"","Select from Pull-Down List    ","")</f>
        <v/>
      </c>
      <c r="U151" s="933"/>
      <c r="V151" s="252" t="str">
        <f>IF(E151&lt;&gt;"","Select from Pull-Down List    ","")</f>
        <v/>
      </c>
      <c r="W151" s="1766" t="str">
        <f t="shared" si="36"/>
        <v/>
      </c>
      <c r="X151" s="252"/>
      <c r="Y151" s="1988"/>
      <c r="Z151" s="252" t="str">
        <f t="shared" si="37"/>
        <v/>
      </c>
      <c r="AA151" s="139"/>
      <c r="AB151" s="252" t="str">
        <f>IF(E151&lt;&gt;"","Mfg. Yr?    ","")</f>
        <v/>
      </c>
      <c r="AC151" s="1974" t="str">
        <f t="shared" si="42"/>
        <v/>
      </c>
      <c r="AD151" s="252"/>
      <c r="AE151" s="1986" t="str">
        <f t="shared" si="43"/>
        <v/>
      </c>
      <c r="AF151" s="252"/>
      <c r="AG151" s="933"/>
      <c r="AH151" s="252" t="str">
        <f>IF(E151&lt;&gt;"","Select from Pull-Down List    ","")</f>
        <v/>
      </c>
      <c r="AI151" s="933"/>
      <c r="AJ151" s="252" t="str">
        <f>IF(E151&lt;&gt;"","Number?   ","")</f>
        <v/>
      </c>
      <c r="AK151" s="139"/>
      <c r="AL151" s="252" t="str">
        <f>IF(E151&lt;&gt;"","Last Rnwl. Yr?   ","")</f>
        <v/>
      </c>
      <c r="AM151" s="933"/>
      <c r="AN151" s="252" t="str">
        <f>IF(E151&lt;&gt;"","Select from Pull-Down List    ","")</f>
        <v/>
      </c>
      <c r="AO151" s="933"/>
      <c r="AP151" s="252" t="str">
        <f>IF(E151&lt;&gt;"","Select from Pull-Down List    ","")</f>
        <v/>
      </c>
      <c r="AQ151" s="1023"/>
      <c r="AR151" s="252" t="str">
        <f>IF(E151&lt;&gt;"","Feet?    ","")</f>
        <v/>
      </c>
      <c r="AS151" s="1023"/>
      <c r="AT151" s="252" t="str">
        <f>IF(E151&lt;&gt;"","Seats?    ","")</f>
        <v/>
      </c>
      <c r="AU151" s="1023"/>
      <c r="AV151" s="252" t="str">
        <f>IF(E151&lt;&gt;"","Standing?    ","")</f>
        <v/>
      </c>
      <c r="AW151" s="1023"/>
      <c r="AX151" s="252" t="str">
        <f>IF(E151&lt;&gt;"","Mileage?       ","")</f>
        <v/>
      </c>
      <c r="AY151" s="1023"/>
      <c r="AZ151" s="252" t="str">
        <f>IF(E151&lt;&gt;"","Avg. Lifetime Mileage? ","")</f>
        <v/>
      </c>
      <c r="BA151" s="933"/>
      <c r="BB151" s="252" t="str">
        <f>IF(E151&lt;&gt;"","Select from Pull-Down List    ","")</f>
        <v/>
      </c>
      <c r="BC151" s="171"/>
      <c r="BD151" s="252" t="str">
        <f>IF(OR(AO151="OR - Other fuel (describe in Notes)",AG151="ZZZ - Other (describe in Notes)"),"Describe                                                                                                     ","")</f>
        <v/>
      </c>
      <c r="BE151" s="894"/>
      <c r="BF151" s="894"/>
      <c r="BG151" s="894" t="b">
        <f>IF(AND(C151="",C153&lt;&gt;""),TRUE,FALSE)</f>
        <v>0</v>
      </c>
      <c r="BH151" s="888" t="str">
        <f>IF(AND(C151&lt;&gt;"",OR(I151="",K151="",M151="",O151="",S151="",U151="",AA151="",AG151="",AI151="",AO151="",AQ151="",AS151="",AU151="",AW151="",AY151="")),"No",IF(AND(C151="",OR(I151&lt;&gt;"",K151&lt;&gt;"",M151&lt;&gt;"",O151&lt;&gt;"",S151&lt;&gt;"",U151&lt;&gt;"",AA151&lt;&gt;"",AG151&lt;&gt;"",AI151&lt;&gt;"",AK151&lt;&gt;"",AM151&lt;&gt;"",AO151&lt;&gt;"",AQ151&lt;&gt;"",AS151&lt;&gt;"",AU151&lt;&gt;"",AW151&lt;&gt;"",AY151&lt;&gt;"",BA151&lt;&gt;"",BC151&lt;&gt;"")),"No",IF(AND(C151="",I151="",K151="",M151="",O151="",S151="",U151="",AA151="",AG151="",AI151="",AK151="",AM151="",AO151="",AQ151="",AS151="",AU151="",AW151="",AY151="",BA151=""),"N/A","Yes")))</f>
        <v>N/A</v>
      </c>
      <c r="BI151" s="898"/>
      <c r="BJ151" s="899" t="b">
        <f>IF(AND(OR(I151&lt;&gt;"",K151&lt;&gt;"",M151&lt;&gt;"",O151&lt;&gt;"",S151&lt;&gt;"",U151&lt;&gt;"",AA151&lt;&gt;"",AG151&lt;&gt;"",AI151&lt;&gt;"",AK151&lt;&gt;"",AM151&lt;&gt;"",AO151&lt;&gt;"",AQ151&lt;&gt;"",AS151&lt;&gt;"",AW151&lt;&gt;"",AY151&lt;&gt;"",BA151&lt;&gt;"",BC151&lt;&gt;""),C151=""),TRUE,FALSE)</f>
        <v>0</v>
      </c>
      <c r="BK151" s="898" t="b">
        <f>IF(BL151=TRUE,FALSE,IF(SUM(K151,O151)&gt;I151,TRUE,FALSE))</f>
        <v>0</v>
      </c>
      <c r="BL151" s="899" t="b">
        <f>IF(AND(C151&lt;&gt;"",I151=""),TRUE,FALSE)</f>
        <v>0</v>
      </c>
      <c r="BM151" s="898" t="b">
        <f>IF(BN151=TRUE,FALSE,IF(M151&gt;K151,TRUE,FALSE))</f>
        <v>0</v>
      </c>
      <c r="BN151" s="899" t="b">
        <f>IF(AND($C151&lt;&gt;"",K151=""),TRUE,FALSE)</f>
        <v>0</v>
      </c>
      <c r="BO151" s="898"/>
      <c r="BP151" s="899" t="b">
        <f>IF(AND($C151&lt;&gt;"",M151=""),TRUE,FALSE)</f>
        <v>0</v>
      </c>
      <c r="BQ151" s="898"/>
      <c r="BR151" s="899" t="b">
        <f>IF(AND($C151&lt;&gt;"",O151=""),TRUE,FALSE)</f>
        <v>0</v>
      </c>
      <c r="BS151" s="898" t="b">
        <f>IF(AND(S151="",OR(U151&lt;&gt;"",AA151&lt;&gt;"",AG151&lt;&gt;"",AI151&lt;&gt;"",AK151&lt;&gt;"",AM151&lt;&gt;"",AO151&lt;&gt;"",AQ151&lt;&gt;"",AS151&lt;&gt;"",AU151&lt;&gt;"",AW151&lt;&gt;"",AY151&lt;&gt;"",BA151&lt;&gt;"")),TRUE,FALSE)</f>
        <v>0</v>
      </c>
      <c r="BT151" s="899" t="b">
        <f>IF(AND($C151&lt;&gt;"",S151=""),TRUE,FALSE)</f>
        <v>0</v>
      </c>
      <c r="BU151" s="898"/>
      <c r="BV151" s="899" t="b">
        <f>IF(AND($C151&lt;&gt;"",U151=""),TRUE,FALSE)</f>
        <v>0</v>
      </c>
      <c r="BW151" s="1537" t="b">
        <f>IF(BX151=TRUE,FALSE,IF(AA151="",FALSE,IF(OR(AA151&lt;CX151,AA151&gt;BaseYear),TRUE,FALSE)))</f>
        <v>0</v>
      </c>
      <c r="BX151" s="899" t="b">
        <f>IF(AND($C151&lt;&gt;"",AA151=""),TRUE,FALSE)</f>
        <v>0</v>
      </c>
      <c r="BY151" s="898"/>
      <c r="BZ151" s="899" t="b">
        <f>IF(AND($C151&lt;&gt;"",AG151=""),TRUE,FALSE)</f>
        <v>0</v>
      </c>
      <c r="CA151" s="898"/>
      <c r="CB151" s="899" t="b">
        <f>IF(AND($C151&lt;&gt;"",AI151=""),TRUE,FALSE)</f>
        <v>0</v>
      </c>
      <c r="CC151" s="1537" t="b">
        <f>IF(AK151="",FALSE,IF(OR(AK151&lt;CX151,AK151&gt;BaseYear),TRUE,FALSE))</f>
        <v>0</v>
      </c>
      <c r="CD151" s="1538" t="b">
        <f>IF(AK151="",FALSE,IF(AK151&lt;AA151,TRUE,FALSE))</f>
        <v>0</v>
      </c>
      <c r="CE151" s="899" t="b">
        <f>IF(AND($AM151&lt;&gt;"",AK151=""),TRUE,FALSE)</f>
        <v>0</v>
      </c>
      <c r="CF151" s="898"/>
      <c r="CG151" s="898" t="b">
        <f>IF(AND($AK151&lt;&gt;"",AM151=""),TRUE,FALSE)</f>
        <v>0</v>
      </c>
      <c r="CH151" s="898"/>
      <c r="CI151" s="899" t="b">
        <f>IF(AND($C151&lt;&gt;"",AO151=""),TRUE,FALSE)</f>
        <v>0</v>
      </c>
      <c r="CJ151" s="1537"/>
      <c r="CK151" s="899" t="b">
        <f>IF(AND($C151&lt;&gt;"",AQ151=""),TRUE,FALSE)</f>
        <v>0</v>
      </c>
      <c r="CL151" s="898"/>
      <c r="CM151" s="899" t="b">
        <f>IF(AND($C151&lt;&gt;"",AS151=""),TRUE,FALSE)</f>
        <v>0</v>
      </c>
      <c r="CN151" s="898"/>
      <c r="CO151" s="899" t="b">
        <f>IF(AND($C151&lt;&gt;"",AU151=""),TRUE,FALSE)</f>
        <v>0</v>
      </c>
      <c r="CP151" s="898"/>
      <c r="CQ151" s="899" t="b">
        <f>IF(AND($C151&lt;&gt;"",AW151=""),TRUE,FALSE)</f>
        <v>0</v>
      </c>
      <c r="CR151" s="898"/>
      <c r="CS151" s="899" t="b">
        <f>IF(AND($C151&lt;&gt;"",AY151=""),TRUE,FALSE)</f>
        <v>0</v>
      </c>
      <c r="CT151" s="898"/>
      <c r="CU151" s="898" t="b">
        <f>IF(AND($C151&lt;&gt;"",BA151=""),TRUE,FALSE)</f>
        <v>0</v>
      </c>
      <c r="CV151" s="894"/>
      <c r="CW151" s="898" t="str">
        <f t="shared" si="38"/>
        <v/>
      </c>
      <c r="CX151" s="898" t="str">
        <f>IFERROR(IF(AND(S151="",S151&lt;&gt;""),1913,VLOOKUP(S151,Valid!$B$99:$J$120,9)),"")</f>
        <v/>
      </c>
      <c r="CY151" s="898" t="str">
        <f t="shared" ca="1" si="39"/>
        <v/>
      </c>
      <c r="CZ151" s="1547" t="str">
        <f t="shared" ca="1" si="44"/>
        <v/>
      </c>
      <c r="DA151" s="898" t="str">
        <f ca="1">IF(CZ151="", "", IF(1+(CZ151*4)&lt;1, 1, 1+(CZ151*4)))</f>
        <v/>
      </c>
      <c r="DB151" s="898" t="str">
        <f t="shared" si="40"/>
        <v/>
      </c>
      <c r="DC151" s="898" t="str">
        <f t="shared" si="41"/>
        <v/>
      </c>
      <c r="DD151" s="1539" t="str">
        <f>IFERROR(IF(AND(AM151="",C151&lt;&gt;""),Valid!$E$123,VLOOKUP(AM151,Valid!$B$123:$F$125,4,FALSE)),"")</f>
        <v/>
      </c>
      <c r="DE151" s="1539" t="str">
        <f>IFERROR(IF(AND(AM151="",C151&lt;&gt;""),Valid!$F$123,VLOOKUP(AM151,Valid!$B$123:$F$125,5,FALSE)),"")</f>
        <v/>
      </c>
      <c r="DF151" s="1539" t="str">
        <f>IFERROR(VLOOKUP('A-70 RevVehInv'!S151,Valid!$B$99:$I$120,7), "")</f>
        <v/>
      </c>
      <c r="DG151" s="1539" t="str">
        <f>IFERROR(VLOOKUP(S151,Valid!$B$99:$I$120,8), "")</f>
        <v/>
      </c>
      <c r="DH151" s="894"/>
    </row>
    <row r="152" spans="1:112" ht="6.75" customHeight="1" x14ac:dyDescent="0.2">
      <c r="A152" s="1517"/>
      <c r="B152" s="1530">
        <v>70.5</v>
      </c>
      <c r="C152" s="1544"/>
      <c r="D152" s="905"/>
      <c r="E152" s="1545"/>
      <c r="F152" s="905"/>
      <c r="G152" s="905"/>
      <c r="H152" s="905"/>
      <c r="I152" s="1531"/>
      <c r="J152" s="905"/>
      <c r="K152" s="1531"/>
      <c r="L152" s="905"/>
      <c r="M152" s="1531"/>
      <c r="N152" s="905"/>
      <c r="O152" s="1531"/>
      <c r="P152" s="905"/>
      <c r="Q152" s="1531"/>
      <c r="R152" s="1531"/>
      <c r="S152" s="1533"/>
      <c r="T152" s="905"/>
      <c r="U152" s="1533"/>
      <c r="V152" s="905"/>
      <c r="W152" s="1531" t="str">
        <f t="shared" si="36"/>
        <v/>
      </c>
      <c r="X152" s="905"/>
      <c r="Y152" s="1531"/>
      <c r="Z152" s="252" t="str">
        <f t="shared" si="37"/>
        <v/>
      </c>
      <c r="AA152" s="1531"/>
      <c r="AB152" s="905"/>
      <c r="AC152" s="1971" t="str">
        <f t="shared" si="42"/>
        <v/>
      </c>
      <c r="AD152" s="905"/>
      <c r="AE152" s="1983" t="str">
        <f t="shared" si="43"/>
        <v/>
      </c>
      <c r="AF152" s="905"/>
      <c r="AG152" s="1546"/>
      <c r="AH152" s="1531"/>
      <c r="AI152" s="1531"/>
      <c r="AJ152" s="1531"/>
      <c r="AK152" s="1531"/>
      <c r="AL152" s="1531"/>
      <c r="AM152" s="1546"/>
      <c r="AN152" s="1531"/>
      <c r="AO152" s="1546"/>
      <c r="AP152" s="1531"/>
      <c r="AQ152" s="1531"/>
      <c r="AR152" s="1531"/>
      <c r="AS152" s="1531"/>
      <c r="AT152" s="1531"/>
      <c r="AU152" s="1531"/>
      <c r="AV152" s="1531"/>
      <c r="AW152" s="1531"/>
      <c r="AX152" s="1531"/>
      <c r="AY152" s="1531"/>
      <c r="AZ152" s="1531"/>
      <c r="BA152" s="1546"/>
      <c r="BB152" s="1531"/>
      <c r="BC152" s="1531"/>
      <c r="BD152" s="1531"/>
      <c r="BE152" s="1531"/>
      <c r="BF152" s="1531"/>
      <c r="BG152" s="1531"/>
      <c r="BH152" s="1531"/>
      <c r="BI152" s="1535"/>
      <c r="BJ152" s="1534"/>
      <c r="BK152" s="1535"/>
      <c r="BL152" s="1534"/>
      <c r="BM152" s="1535"/>
      <c r="BN152" s="1534"/>
      <c r="BO152" s="1535"/>
      <c r="BP152" s="1534"/>
      <c r="BQ152" s="1535"/>
      <c r="BR152" s="1534"/>
      <c r="BS152" s="1535"/>
      <c r="BT152" s="1534"/>
      <c r="BU152" s="1535"/>
      <c r="BV152" s="1534"/>
      <c r="BW152" s="1535"/>
      <c r="BX152" s="1534"/>
      <c r="BY152" s="1535"/>
      <c r="BZ152" s="1534"/>
      <c r="CA152" s="1535"/>
      <c r="CB152" s="1534"/>
      <c r="CC152" s="1535"/>
      <c r="CD152" s="1534"/>
      <c r="CE152" s="1534"/>
      <c r="CF152" s="1535"/>
      <c r="CG152" s="1534"/>
      <c r="CH152" s="1535"/>
      <c r="CI152" s="1534"/>
      <c r="CJ152" s="1535"/>
      <c r="CK152" s="1534"/>
      <c r="CL152" s="1535"/>
      <c r="CM152" s="1534"/>
      <c r="CN152" s="1535"/>
      <c r="CO152" s="1534"/>
      <c r="CP152" s="1535"/>
      <c r="CQ152" s="1534"/>
      <c r="CR152" s="1535"/>
      <c r="CS152" s="1534"/>
      <c r="CT152" s="1535"/>
      <c r="CU152" s="1535"/>
      <c r="CV152" s="1531"/>
      <c r="CW152" s="898" t="str">
        <f t="shared" si="38"/>
        <v/>
      </c>
      <c r="CX152" s="898" t="str">
        <f>IFERROR(IF(AND(S152="",S152&lt;&gt;""),1913,VLOOKUP(S152,Valid!$B$99:$J$120,9)),"")</f>
        <v/>
      </c>
      <c r="CY152" s="898" t="str">
        <f t="shared" ca="1" si="39"/>
        <v/>
      </c>
      <c r="CZ152" s="1547" t="str">
        <f t="shared" ca="1" si="44"/>
        <v/>
      </c>
      <c r="DA152" s="898"/>
      <c r="DB152" s="898" t="str">
        <f t="shared" si="40"/>
        <v/>
      </c>
      <c r="DC152" s="898" t="str">
        <f t="shared" si="41"/>
        <v/>
      </c>
      <c r="DD152" s="1539" t="str">
        <f>IFERROR(IF(AND(AM152="",C152&lt;&gt;""),Valid!$E$123,VLOOKUP(AM152,Valid!$B$123:$F$125,4,FALSE)),"")</f>
        <v/>
      </c>
      <c r="DE152" s="1539" t="str">
        <f>IFERROR(IF(AND(AM152="",C152&lt;&gt;""),Valid!$F$123,VLOOKUP(AM152,Valid!$B$123:$F$125,5,FALSE)),"")</f>
        <v/>
      </c>
      <c r="DF152" s="1539" t="str">
        <f>IFERROR(VLOOKUP('A-70 RevVehInv'!S152,Valid!$B$99:$I$120,7), "")</f>
        <v/>
      </c>
      <c r="DG152" s="1539" t="str">
        <f>IFERROR(VLOOKUP(S152,Valid!$B$99:$I$120,8), "")</f>
        <v/>
      </c>
      <c r="DH152" s="1531"/>
    </row>
    <row r="153" spans="1:112" s="930" customFormat="1" x14ac:dyDescent="0.2">
      <c r="A153" s="206">
        <v>71</v>
      </c>
      <c r="B153" s="1530">
        <v>71</v>
      </c>
      <c r="C153" s="933"/>
      <c r="D153" s="719" t="str">
        <f>IF(C151="","",IF((C153=""),"Enter RVI ID. then Fill in Columns "&amp;TEXT($I$2,0)&amp;" - "&amp;TEXT($BA$2,0)&amp;"       ",""))</f>
        <v/>
      </c>
      <c r="E153" s="1056" t="str">
        <f>IF(BH153="N/A","",BH153)</f>
        <v/>
      </c>
      <c r="F153" s="1536"/>
      <c r="G153" s="1536"/>
      <c r="H153" s="1536"/>
      <c r="I153" s="1023"/>
      <c r="J153" s="1536" t="str">
        <f>IF(E153&lt;&gt;"","Vehicles?    ","")</f>
        <v/>
      </c>
      <c r="K153" s="1023"/>
      <c r="L153" s="1536" t="str">
        <f>IF(E153&lt;&gt;"","Active Vehicles?     ","")</f>
        <v/>
      </c>
      <c r="M153" s="1023"/>
      <c r="N153" s="1536" t="str">
        <f>IF(E153&lt;&gt;"","ADA Vehicles?       ","")</f>
        <v/>
      </c>
      <c r="O153" s="1023"/>
      <c r="P153" s="1536" t="str">
        <f>IF(E153&lt;&gt;"","Cont. Vehicles?     ","")</f>
        <v/>
      </c>
      <c r="Q153" s="1024"/>
      <c r="R153" s="894"/>
      <c r="S153" s="1153"/>
      <c r="T153" s="252" t="str">
        <f>IF(E153&lt;&gt;"","Select from Pull-Down List    ","")</f>
        <v/>
      </c>
      <c r="U153" s="933"/>
      <c r="V153" s="252" t="str">
        <f>IF(E153&lt;&gt;"","Select from Pull-Down List    ","")</f>
        <v/>
      </c>
      <c r="W153" s="1766" t="str">
        <f t="shared" si="36"/>
        <v/>
      </c>
      <c r="X153" s="252"/>
      <c r="Y153" s="1988"/>
      <c r="Z153" s="252" t="str">
        <f t="shared" si="37"/>
        <v/>
      </c>
      <c r="AA153" s="139"/>
      <c r="AB153" s="252" t="str">
        <f>IF(E153&lt;&gt;"","Mfg. Yr?    ","")</f>
        <v/>
      </c>
      <c r="AC153" s="1974" t="str">
        <f t="shared" si="42"/>
        <v/>
      </c>
      <c r="AD153" s="252"/>
      <c r="AE153" s="1986" t="str">
        <f t="shared" si="43"/>
        <v/>
      </c>
      <c r="AF153" s="252"/>
      <c r="AG153" s="933"/>
      <c r="AH153" s="252" t="str">
        <f>IF(E153&lt;&gt;"","Select from Pull-Down List    ","")</f>
        <v/>
      </c>
      <c r="AI153" s="933"/>
      <c r="AJ153" s="252" t="str">
        <f>IF(E153&lt;&gt;"","Number?   ","")</f>
        <v/>
      </c>
      <c r="AK153" s="139"/>
      <c r="AL153" s="252" t="str">
        <f>IF(E153&lt;&gt;"","Last Rnwl. Yr?   ","")</f>
        <v/>
      </c>
      <c r="AM153" s="933"/>
      <c r="AN153" s="252" t="str">
        <f>IF(E153&lt;&gt;"","Select from Pull-Down List    ","")</f>
        <v/>
      </c>
      <c r="AO153" s="933"/>
      <c r="AP153" s="252" t="str">
        <f>IF(E153&lt;&gt;"","Select from Pull-Down List    ","")</f>
        <v/>
      </c>
      <c r="AQ153" s="1023"/>
      <c r="AR153" s="252" t="str">
        <f>IF(E153&lt;&gt;"","Feet?    ","")</f>
        <v/>
      </c>
      <c r="AS153" s="1023"/>
      <c r="AT153" s="252" t="str">
        <f>IF(E153&lt;&gt;"","Seats?    ","")</f>
        <v/>
      </c>
      <c r="AU153" s="1023"/>
      <c r="AV153" s="252" t="str">
        <f>IF(E153&lt;&gt;"","Standing?    ","")</f>
        <v/>
      </c>
      <c r="AW153" s="1023"/>
      <c r="AX153" s="252" t="str">
        <f>IF(E153&lt;&gt;"","Mileage?       ","")</f>
        <v/>
      </c>
      <c r="AY153" s="1023"/>
      <c r="AZ153" s="252" t="str">
        <f>IF(E153&lt;&gt;"","Avg. Lifetime Mileage? ","")</f>
        <v/>
      </c>
      <c r="BA153" s="933"/>
      <c r="BB153" s="252" t="str">
        <f>IF(E153&lt;&gt;"","Select from Pull-Down List    ","")</f>
        <v/>
      </c>
      <c r="BC153" s="171"/>
      <c r="BD153" s="252" t="str">
        <f>IF(OR(AO153="OR - Other fuel (describe in Notes)",AG153="ZZZ - Other (describe in Notes)"),"Describe                                                                                                     ","")</f>
        <v/>
      </c>
      <c r="BE153" s="894"/>
      <c r="BF153" s="894"/>
      <c r="BG153" s="894" t="b">
        <f>IF(AND(C153="",C155&lt;&gt;""),TRUE,FALSE)</f>
        <v>0</v>
      </c>
      <c r="BH153" s="888" t="str">
        <f>IF(AND(C153&lt;&gt;"",OR(I153="",K153="",M153="",O153="",S153="",U153="",AA153="",AG153="",AI153="",AO153="",AQ153="",AS153="",AU153="",AW153="",AY153="")),"No",IF(AND(C153="",OR(I153&lt;&gt;"",K153&lt;&gt;"",M153&lt;&gt;"",O153&lt;&gt;"",S153&lt;&gt;"",U153&lt;&gt;"",AA153&lt;&gt;"",AG153&lt;&gt;"",AI153&lt;&gt;"",AK153&lt;&gt;"",AM153&lt;&gt;"",AO153&lt;&gt;"",AQ153&lt;&gt;"",AS153&lt;&gt;"",AU153&lt;&gt;"",AW153&lt;&gt;"",AY153&lt;&gt;"",BA153&lt;&gt;"",BC153&lt;&gt;"")),"No",IF(AND(C153="",I153="",K153="",M153="",O153="",S153="",U153="",AA153="",AG153="",AI153="",AK153="",AM153="",AO153="",AQ153="",AS153="",AU153="",AW153="",AY153="",BA153=""),"N/A","Yes")))</f>
        <v>N/A</v>
      </c>
      <c r="BI153" s="898"/>
      <c r="BJ153" s="899" t="b">
        <f>IF(AND(OR(I153&lt;&gt;"",K153&lt;&gt;"",M153&lt;&gt;"",O153&lt;&gt;"",S153&lt;&gt;"",U153&lt;&gt;"",AA153&lt;&gt;"",AG153&lt;&gt;"",AI153&lt;&gt;"",AK153&lt;&gt;"",AM153&lt;&gt;"",AO153&lt;&gt;"",AQ153&lt;&gt;"",AS153&lt;&gt;"",AW153&lt;&gt;"",AY153&lt;&gt;"",BA153&lt;&gt;"",BC153&lt;&gt;""),C153=""),TRUE,FALSE)</f>
        <v>0</v>
      </c>
      <c r="BK153" s="898" t="b">
        <f>IF(BL153=TRUE,FALSE,IF(SUM(K153,O153)&gt;I153,TRUE,FALSE))</f>
        <v>0</v>
      </c>
      <c r="BL153" s="899" t="b">
        <f>IF(AND(C153&lt;&gt;"",I153=""),TRUE,FALSE)</f>
        <v>0</v>
      </c>
      <c r="BM153" s="898" t="b">
        <f>IF(BN153=TRUE,FALSE,IF(M153&gt;K153,TRUE,FALSE))</f>
        <v>0</v>
      </c>
      <c r="BN153" s="899" t="b">
        <f>IF(AND($C153&lt;&gt;"",K153=""),TRUE,FALSE)</f>
        <v>0</v>
      </c>
      <c r="BO153" s="898"/>
      <c r="BP153" s="899" t="b">
        <f>IF(AND($C153&lt;&gt;"",M153=""),TRUE,FALSE)</f>
        <v>0</v>
      </c>
      <c r="BQ153" s="898"/>
      <c r="BR153" s="899" t="b">
        <f>IF(AND($C153&lt;&gt;"",O153=""),TRUE,FALSE)</f>
        <v>0</v>
      </c>
      <c r="BS153" s="898" t="b">
        <f>IF(AND(S153="",OR(U153&lt;&gt;"",AA153&lt;&gt;"",AG153&lt;&gt;"",AI153&lt;&gt;"",AK153&lt;&gt;"",AM153&lt;&gt;"",AO153&lt;&gt;"",AQ153&lt;&gt;"",AS153&lt;&gt;"",AU153&lt;&gt;"",AW153&lt;&gt;"",AY153&lt;&gt;"",BA153&lt;&gt;"")),TRUE,FALSE)</f>
        <v>0</v>
      </c>
      <c r="BT153" s="899" t="b">
        <f>IF(AND($C153&lt;&gt;"",S153=""),TRUE,FALSE)</f>
        <v>0</v>
      </c>
      <c r="BU153" s="898"/>
      <c r="BV153" s="899" t="b">
        <f>IF(AND($C153&lt;&gt;"",U153=""),TRUE,FALSE)</f>
        <v>0</v>
      </c>
      <c r="BW153" s="1537" t="b">
        <f>IF(BX153=TRUE,FALSE,IF(AA153="",FALSE,IF(OR(AA153&lt;CX153,AA153&gt;BaseYear),TRUE,FALSE)))</f>
        <v>0</v>
      </c>
      <c r="BX153" s="899" t="b">
        <f>IF(AND($C153&lt;&gt;"",AA153=""),TRUE,FALSE)</f>
        <v>0</v>
      </c>
      <c r="BY153" s="898"/>
      <c r="BZ153" s="899" t="b">
        <f>IF(AND($C153&lt;&gt;"",AG153=""),TRUE,FALSE)</f>
        <v>0</v>
      </c>
      <c r="CA153" s="898"/>
      <c r="CB153" s="899" t="b">
        <f>IF(AND($C153&lt;&gt;"",AI153=""),TRUE,FALSE)</f>
        <v>0</v>
      </c>
      <c r="CC153" s="1537" t="b">
        <f>IF(AK153="",FALSE,IF(OR(AK153&lt;CX153,AK153&gt;BaseYear),TRUE,FALSE))</f>
        <v>0</v>
      </c>
      <c r="CD153" s="1538" t="b">
        <f>IF(AK153="",FALSE,IF(AK153&lt;AA153,TRUE,FALSE))</f>
        <v>0</v>
      </c>
      <c r="CE153" s="899" t="b">
        <f>IF(AND($AM153&lt;&gt;"",AK153=""),TRUE,FALSE)</f>
        <v>0</v>
      </c>
      <c r="CF153" s="898"/>
      <c r="CG153" s="898" t="b">
        <f>IF(AND($AK153&lt;&gt;"",AM153=""),TRUE,FALSE)</f>
        <v>0</v>
      </c>
      <c r="CH153" s="898"/>
      <c r="CI153" s="899" t="b">
        <f>IF(AND($C153&lt;&gt;"",AO153=""),TRUE,FALSE)</f>
        <v>0</v>
      </c>
      <c r="CJ153" s="1537"/>
      <c r="CK153" s="899" t="b">
        <f>IF(AND($C153&lt;&gt;"",AQ153=""),TRUE,FALSE)</f>
        <v>0</v>
      </c>
      <c r="CL153" s="898"/>
      <c r="CM153" s="899" t="b">
        <f>IF(AND($C153&lt;&gt;"",AS153=""),TRUE,FALSE)</f>
        <v>0</v>
      </c>
      <c r="CN153" s="898"/>
      <c r="CO153" s="899" t="b">
        <f>IF(AND($C153&lt;&gt;"",AU153=""),TRUE,FALSE)</f>
        <v>0</v>
      </c>
      <c r="CP153" s="898"/>
      <c r="CQ153" s="899" t="b">
        <f>IF(AND($C153&lt;&gt;"",AW153=""),TRUE,FALSE)</f>
        <v>0</v>
      </c>
      <c r="CR153" s="898"/>
      <c r="CS153" s="899" t="b">
        <f>IF(AND($C153&lt;&gt;"",AY153=""),TRUE,FALSE)</f>
        <v>0</v>
      </c>
      <c r="CT153" s="898"/>
      <c r="CU153" s="898" t="b">
        <f>IF(AND($C153&lt;&gt;"",BA153=""),TRUE,FALSE)</f>
        <v>0</v>
      </c>
      <c r="CV153" s="894"/>
      <c r="CW153" s="898" t="str">
        <f t="shared" si="38"/>
        <v/>
      </c>
      <c r="CX153" s="898" t="str">
        <f>IFERROR(IF(AND(S153="",S153&lt;&gt;""),1913,VLOOKUP(S153,Valid!$B$99:$J$120,9)),"")</f>
        <v/>
      </c>
      <c r="CY153" s="898" t="str">
        <f t="shared" ca="1" si="39"/>
        <v/>
      </c>
      <c r="CZ153" s="1547" t="str">
        <f t="shared" ca="1" si="44"/>
        <v/>
      </c>
      <c r="DA153" s="898" t="str">
        <f ca="1">IF(CZ153="", "", IF(1+(CZ153*4)&lt;1, 1, 1+(CZ153*4)))</f>
        <v/>
      </c>
      <c r="DB153" s="898" t="str">
        <f t="shared" si="40"/>
        <v/>
      </c>
      <c r="DC153" s="898" t="str">
        <f t="shared" si="41"/>
        <v/>
      </c>
      <c r="DD153" s="1539" t="str">
        <f>IFERROR(IF(AND(AM153="",C153&lt;&gt;""),Valid!$E$123,VLOOKUP(AM153,Valid!$B$123:$F$125,4,FALSE)),"")</f>
        <v/>
      </c>
      <c r="DE153" s="1539" t="str">
        <f>IFERROR(IF(AND(AM153="",C153&lt;&gt;""),Valid!$F$123,VLOOKUP(AM153,Valid!$B$123:$F$125,5,FALSE)),"")</f>
        <v/>
      </c>
      <c r="DF153" s="1539" t="str">
        <f>IFERROR(VLOOKUP('A-70 RevVehInv'!S153,Valid!$B$99:$I$120,7), "")</f>
        <v/>
      </c>
      <c r="DG153" s="1539" t="str">
        <f>IFERROR(VLOOKUP(S153,Valid!$B$99:$I$120,8), "")</f>
        <v/>
      </c>
      <c r="DH153" s="894"/>
    </row>
    <row r="154" spans="1:112" ht="6.75" customHeight="1" x14ac:dyDescent="0.2">
      <c r="A154" s="1516"/>
      <c r="B154" s="1530">
        <v>71.5</v>
      </c>
      <c r="C154" s="1540"/>
      <c r="D154" s="905"/>
      <c r="E154" s="1541"/>
      <c r="F154" s="905"/>
      <c r="G154" s="905"/>
      <c r="H154" s="905"/>
      <c r="I154" s="1534"/>
      <c r="J154" s="905"/>
      <c r="K154" s="1534"/>
      <c r="L154" s="905"/>
      <c r="M154" s="1534"/>
      <c r="N154" s="905"/>
      <c r="O154" s="1534"/>
      <c r="P154" s="905"/>
      <c r="Q154" s="1534"/>
      <c r="R154" s="1531"/>
      <c r="S154" s="1542"/>
      <c r="T154" s="905"/>
      <c r="U154" s="1542"/>
      <c r="V154" s="905"/>
      <c r="W154" s="1534" t="str">
        <f t="shared" si="36"/>
        <v/>
      </c>
      <c r="X154" s="905"/>
      <c r="Y154" s="1534"/>
      <c r="Z154" s="252" t="str">
        <f t="shared" si="37"/>
        <v/>
      </c>
      <c r="AA154" s="1534"/>
      <c r="AB154" s="905"/>
      <c r="AC154" s="1973" t="str">
        <f t="shared" si="42"/>
        <v/>
      </c>
      <c r="AD154" s="905"/>
      <c r="AE154" s="1985" t="str">
        <f t="shared" si="43"/>
        <v/>
      </c>
      <c r="AF154" s="905"/>
      <c r="AG154" s="1543"/>
      <c r="AH154" s="1531"/>
      <c r="AI154" s="1534"/>
      <c r="AJ154" s="1531"/>
      <c r="AK154" s="1534"/>
      <c r="AL154" s="1531"/>
      <c r="AM154" s="1543"/>
      <c r="AN154" s="1531"/>
      <c r="AO154" s="1543"/>
      <c r="AP154" s="1531"/>
      <c r="AQ154" s="1534"/>
      <c r="AR154" s="1531"/>
      <c r="AS154" s="1534"/>
      <c r="AT154" s="1531"/>
      <c r="AU154" s="1534"/>
      <c r="AV154" s="1531"/>
      <c r="AW154" s="1534"/>
      <c r="AX154" s="1531"/>
      <c r="AY154" s="1534"/>
      <c r="AZ154" s="1531"/>
      <c r="BA154" s="1543"/>
      <c r="BB154" s="1531"/>
      <c r="BC154" s="1534"/>
      <c r="BD154" s="1531"/>
      <c r="BE154" s="1531"/>
      <c r="BF154" s="1531"/>
      <c r="BG154" s="1531"/>
      <c r="BH154" s="1531"/>
      <c r="BI154" s="1535"/>
      <c r="BJ154" s="1534"/>
      <c r="BK154" s="1535"/>
      <c r="BL154" s="1534"/>
      <c r="BM154" s="1535"/>
      <c r="BN154" s="1534"/>
      <c r="BO154" s="1535"/>
      <c r="BP154" s="1534"/>
      <c r="BQ154" s="1535"/>
      <c r="BR154" s="1534"/>
      <c r="BS154" s="1535"/>
      <c r="BT154" s="1534"/>
      <c r="BU154" s="1535"/>
      <c r="BV154" s="1534"/>
      <c r="BW154" s="1535"/>
      <c r="BX154" s="1534"/>
      <c r="BY154" s="1535"/>
      <c r="BZ154" s="1534"/>
      <c r="CA154" s="1535"/>
      <c r="CB154" s="1534"/>
      <c r="CC154" s="1535"/>
      <c r="CD154" s="1534"/>
      <c r="CE154" s="1534"/>
      <c r="CF154" s="1535"/>
      <c r="CG154" s="1534"/>
      <c r="CH154" s="1535"/>
      <c r="CI154" s="1534"/>
      <c r="CJ154" s="1535"/>
      <c r="CK154" s="1534"/>
      <c r="CL154" s="1535"/>
      <c r="CM154" s="1534"/>
      <c r="CN154" s="1535"/>
      <c r="CO154" s="1534"/>
      <c r="CP154" s="1535"/>
      <c r="CQ154" s="1534"/>
      <c r="CR154" s="1535"/>
      <c r="CS154" s="1534"/>
      <c r="CT154" s="1535"/>
      <c r="CU154" s="1535"/>
      <c r="CV154" s="1531"/>
      <c r="CW154" s="898" t="str">
        <f t="shared" si="38"/>
        <v/>
      </c>
      <c r="CX154" s="898" t="str">
        <f>IFERROR(IF(AND(S154="",S154&lt;&gt;""),1913,VLOOKUP(S154,Valid!$B$99:$J$120,9)),"")</f>
        <v/>
      </c>
      <c r="CY154" s="898" t="str">
        <f t="shared" ca="1" si="39"/>
        <v/>
      </c>
      <c r="CZ154" s="1547" t="str">
        <f t="shared" ca="1" si="44"/>
        <v/>
      </c>
      <c r="DA154" s="898"/>
      <c r="DB154" s="898" t="str">
        <f t="shared" si="40"/>
        <v/>
      </c>
      <c r="DC154" s="898" t="str">
        <f t="shared" si="41"/>
        <v/>
      </c>
      <c r="DD154" s="1539" t="str">
        <f>IFERROR(IF(AND(AM154="",C154&lt;&gt;""),Valid!$E$123,VLOOKUP(AM154,Valid!$B$123:$F$125,4,FALSE)),"")</f>
        <v/>
      </c>
      <c r="DE154" s="1539" t="str">
        <f>IFERROR(IF(AND(AM154="",C154&lt;&gt;""),Valid!$F$123,VLOOKUP(AM154,Valid!$B$123:$F$125,5,FALSE)),"")</f>
        <v/>
      </c>
      <c r="DF154" s="1539" t="str">
        <f>IFERROR(VLOOKUP('A-70 RevVehInv'!S154,Valid!$B$99:$I$120,7), "")</f>
        <v/>
      </c>
      <c r="DG154" s="1539" t="str">
        <f>IFERROR(VLOOKUP(S154,Valid!$B$99:$I$120,8), "")</f>
        <v/>
      </c>
      <c r="DH154" s="1531"/>
    </row>
    <row r="155" spans="1:112" s="930" customFormat="1" x14ac:dyDescent="0.2">
      <c r="A155" s="206">
        <v>72</v>
      </c>
      <c r="B155" s="1530">
        <v>72</v>
      </c>
      <c r="C155" s="933"/>
      <c r="D155" s="719" t="str">
        <f>IF(C153="","",IF((C155=""),"Enter RVI ID. then Fill in Columns "&amp;TEXT($I$2,0)&amp;" - "&amp;TEXT($BA$2,0)&amp;"       ",""))</f>
        <v/>
      </c>
      <c r="E155" s="1056" t="str">
        <f>IF(BH155="N/A","",BH155)</f>
        <v/>
      </c>
      <c r="F155" s="1536"/>
      <c r="G155" s="1536"/>
      <c r="H155" s="1536"/>
      <c r="I155" s="1023"/>
      <c r="J155" s="1536" t="str">
        <f>IF(E155&lt;&gt;"","Vehicles?    ","")</f>
        <v/>
      </c>
      <c r="K155" s="1023"/>
      <c r="L155" s="1536" t="str">
        <f>IF(E155&lt;&gt;"","Active Vehicles?     ","")</f>
        <v/>
      </c>
      <c r="M155" s="1023"/>
      <c r="N155" s="1536" t="str">
        <f>IF(E155&lt;&gt;"","ADA Vehicles?       ","")</f>
        <v/>
      </c>
      <c r="O155" s="1023"/>
      <c r="P155" s="1536" t="str">
        <f>IF(E155&lt;&gt;"","Cont. Vehicles?     ","")</f>
        <v/>
      </c>
      <c r="Q155" s="1024"/>
      <c r="R155" s="894"/>
      <c r="S155" s="1153"/>
      <c r="T155" s="252" t="str">
        <f>IF(E155&lt;&gt;"","Select from Pull-Down List    ","")</f>
        <v/>
      </c>
      <c r="U155" s="933"/>
      <c r="V155" s="252" t="str">
        <f>IF(E155&lt;&gt;"","Select from Pull-Down List    ","")</f>
        <v/>
      </c>
      <c r="W155" s="1766" t="str">
        <f t="shared" si="36"/>
        <v/>
      </c>
      <c r="X155" s="252"/>
      <c r="Y155" s="1988"/>
      <c r="Z155" s="252" t="str">
        <f t="shared" si="37"/>
        <v/>
      </c>
      <c r="AA155" s="139"/>
      <c r="AB155" s="252" t="str">
        <f>IF(E155&lt;&gt;"","Mfg. Yr?    ","")</f>
        <v/>
      </c>
      <c r="AC155" s="1974" t="str">
        <f t="shared" si="42"/>
        <v/>
      </c>
      <c r="AD155" s="252"/>
      <c r="AE155" s="1986" t="str">
        <f t="shared" si="43"/>
        <v/>
      </c>
      <c r="AF155" s="252"/>
      <c r="AG155" s="933"/>
      <c r="AH155" s="252" t="str">
        <f>IF(E155&lt;&gt;"","Select from Pull-Down List    ","")</f>
        <v/>
      </c>
      <c r="AI155" s="933"/>
      <c r="AJ155" s="252" t="str">
        <f>IF(E155&lt;&gt;"","Number?   ","")</f>
        <v/>
      </c>
      <c r="AK155" s="139"/>
      <c r="AL155" s="252" t="str">
        <f>IF(E155&lt;&gt;"","Last Rnwl. Yr?   ","")</f>
        <v/>
      </c>
      <c r="AM155" s="933"/>
      <c r="AN155" s="252" t="str">
        <f>IF(E155&lt;&gt;"","Select from Pull-Down List    ","")</f>
        <v/>
      </c>
      <c r="AO155" s="933"/>
      <c r="AP155" s="252" t="str">
        <f>IF(E155&lt;&gt;"","Select from Pull-Down List    ","")</f>
        <v/>
      </c>
      <c r="AQ155" s="1023"/>
      <c r="AR155" s="252" t="str">
        <f>IF(E155&lt;&gt;"","Feet?    ","")</f>
        <v/>
      </c>
      <c r="AS155" s="1023"/>
      <c r="AT155" s="252" t="str">
        <f>IF(E155&lt;&gt;"","Seats?    ","")</f>
        <v/>
      </c>
      <c r="AU155" s="1023"/>
      <c r="AV155" s="252" t="str">
        <f>IF(E155&lt;&gt;"","Standing?    ","")</f>
        <v/>
      </c>
      <c r="AW155" s="1023"/>
      <c r="AX155" s="252" t="str">
        <f>IF(E155&lt;&gt;"","Mileage?       ","")</f>
        <v/>
      </c>
      <c r="AY155" s="1023"/>
      <c r="AZ155" s="252" t="str">
        <f>IF(E155&lt;&gt;"","Avg. Lifetime Mileage? ","")</f>
        <v/>
      </c>
      <c r="BA155" s="933"/>
      <c r="BB155" s="252" t="str">
        <f>IF(E155&lt;&gt;"","Select from Pull-Down List    ","")</f>
        <v/>
      </c>
      <c r="BC155" s="171"/>
      <c r="BD155" s="252" t="str">
        <f>IF(OR(AO155="OR - Other fuel (describe in Notes)",AG155="ZZZ - Other (describe in Notes)"),"Describe                                                                                                     ","")</f>
        <v/>
      </c>
      <c r="BE155" s="894"/>
      <c r="BF155" s="894"/>
      <c r="BG155" s="894" t="b">
        <f>IF(AND(C155="",C157&lt;&gt;""),TRUE,FALSE)</f>
        <v>0</v>
      </c>
      <c r="BH155" s="888" t="str">
        <f>IF(AND(C155&lt;&gt;"",OR(I155="",K155="",M155="",O155="",S155="",U155="",AA155="",AG155="",AI155="",AO155="",AQ155="",AS155="",AU155="",AW155="",AY155="")),"No",IF(AND(C155="",OR(I155&lt;&gt;"",K155&lt;&gt;"",M155&lt;&gt;"",O155&lt;&gt;"",S155&lt;&gt;"",U155&lt;&gt;"",AA155&lt;&gt;"",AG155&lt;&gt;"",AI155&lt;&gt;"",AK155&lt;&gt;"",AM155&lt;&gt;"",AO155&lt;&gt;"",AQ155&lt;&gt;"",AS155&lt;&gt;"",AU155&lt;&gt;"",AW155&lt;&gt;"",AY155&lt;&gt;"",BA155&lt;&gt;"",BC155&lt;&gt;"")),"No",IF(AND(C155="",I155="",K155="",M155="",O155="",S155="",U155="",AA155="",AG155="",AI155="",AK155="",AM155="",AO155="",AQ155="",AS155="",AU155="",AW155="",AY155="",BA155=""),"N/A","Yes")))</f>
        <v>N/A</v>
      </c>
      <c r="BI155" s="898"/>
      <c r="BJ155" s="899" t="b">
        <f>IF(AND(OR(I155&lt;&gt;"",K155&lt;&gt;"",M155&lt;&gt;"",O155&lt;&gt;"",S155&lt;&gt;"",U155&lt;&gt;"",AA155&lt;&gt;"",AG155&lt;&gt;"",AI155&lt;&gt;"",AK155&lt;&gt;"",AM155&lt;&gt;"",AO155&lt;&gt;"",AQ155&lt;&gt;"",AS155&lt;&gt;"",AW155&lt;&gt;"",AY155&lt;&gt;"",BA155&lt;&gt;"",BC155&lt;&gt;""),C155=""),TRUE,FALSE)</f>
        <v>0</v>
      </c>
      <c r="BK155" s="898" t="b">
        <f>IF(BL155=TRUE,FALSE,IF(SUM(K155,O155)&gt;I155,TRUE,FALSE))</f>
        <v>0</v>
      </c>
      <c r="BL155" s="899" t="b">
        <f>IF(AND(C155&lt;&gt;"",I155=""),TRUE,FALSE)</f>
        <v>0</v>
      </c>
      <c r="BM155" s="898" t="b">
        <f>IF(BN155=TRUE,FALSE,IF(M155&gt;K155,TRUE,FALSE))</f>
        <v>0</v>
      </c>
      <c r="BN155" s="899" t="b">
        <f>IF(AND($C155&lt;&gt;"",K155=""),TRUE,FALSE)</f>
        <v>0</v>
      </c>
      <c r="BO155" s="898"/>
      <c r="BP155" s="899" t="b">
        <f>IF(AND($C155&lt;&gt;"",M155=""),TRUE,FALSE)</f>
        <v>0</v>
      </c>
      <c r="BQ155" s="898"/>
      <c r="BR155" s="899" t="b">
        <f>IF(AND($C155&lt;&gt;"",O155=""),TRUE,FALSE)</f>
        <v>0</v>
      </c>
      <c r="BS155" s="898" t="b">
        <f>IF(AND(S155="",OR(U155&lt;&gt;"",AA155&lt;&gt;"",AG155&lt;&gt;"",AI155&lt;&gt;"",AK155&lt;&gt;"",AM155&lt;&gt;"",AO155&lt;&gt;"",AQ155&lt;&gt;"",AS155&lt;&gt;"",AU155&lt;&gt;"",AW155&lt;&gt;"",AY155&lt;&gt;"",BA155&lt;&gt;"")),TRUE,FALSE)</f>
        <v>0</v>
      </c>
      <c r="BT155" s="899" t="b">
        <f>IF(AND($C155&lt;&gt;"",S155=""),TRUE,FALSE)</f>
        <v>0</v>
      </c>
      <c r="BU155" s="898"/>
      <c r="BV155" s="899" t="b">
        <f>IF(AND($C155&lt;&gt;"",U155=""),TRUE,FALSE)</f>
        <v>0</v>
      </c>
      <c r="BW155" s="1537" t="b">
        <f>IF(BX155=TRUE,FALSE,IF(AA155="",FALSE,IF(OR(AA155&lt;CX155,AA155&gt;BaseYear),TRUE,FALSE)))</f>
        <v>0</v>
      </c>
      <c r="BX155" s="899" t="b">
        <f>IF(AND($C155&lt;&gt;"",AA155=""),TRUE,FALSE)</f>
        <v>0</v>
      </c>
      <c r="BY155" s="898"/>
      <c r="BZ155" s="899" t="b">
        <f>IF(AND($C155&lt;&gt;"",AG155=""),TRUE,FALSE)</f>
        <v>0</v>
      </c>
      <c r="CA155" s="898"/>
      <c r="CB155" s="899" t="b">
        <f>IF(AND($C155&lt;&gt;"",AI155=""),TRUE,FALSE)</f>
        <v>0</v>
      </c>
      <c r="CC155" s="1537" t="b">
        <f>IF(AK155="",FALSE,IF(OR(AK155&lt;CX155,AK155&gt;BaseYear),TRUE,FALSE))</f>
        <v>0</v>
      </c>
      <c r="CD155" s="1538" t="b">
        <f>IF(AK155="",FALSE,IF(AK155&lt;AA155,TRUE,FALSE))</f>
        <v>0</v>
      </c>
      <c r="CE155" s="899" t="b">
        <f>IF(AND($AM155&lt;&gt;"",AK155=""),TRUE,FALSE)</f>
        <v>0</v>
      </c>
      <c r="CF155" s="898"/>
      <c r="CG155" s="898" t="b">
        <f>IF(AND($AK155&lt;&gt;"",AM155=""),TRUE,FALSE)</f>
        <v>0</v>
      </c>
      <c r="CH155" s="898"/>
      <c r="CI155" s="899" t="b">
        <f>IF(AND($C155&lt;&gt;"",AO155=""),TRUE,FALSE)</f>
        <v>0</v>
      </c>
      <c r="CJ155" s="1537"/>
      <c r="CK155" s="899" t="b">
        <f>IF(AND($C155&lt;&gt;"",AQ155=""),TRUE,FALSE)</f>
        <v>0</v>
      </c>
      <c r="CL155" s="898"/>
      <c r="CM155" s="899" t="b">
        <f>IF(AND($C155&lt;&gt;"",AS155=""),TRUE,FALSE)</f>
        <v>0</v>
      </c>
      <c r="CN155" s="898"/>
      <c r="CO155" s="899" t="b">
        <f>IF(AND($C155&lt;&gt;"",AU155=""),TRUE,FALSE)</f>
        <v>0</v>
      </c>
      <c r="CP155" s="898"/>
      <c r="CQ155" s="899" t="b">
        <f>IF(AND($C155&lt;&gt;"",AW155=""),TRUE,FALSE)</f>
        <v>0</v>
      </c>
      <c r="CR155" s="898"/>
      <c r="CS155" s="899" t="b">
        <f>IF(AND($C155&lt;&gt;"",AY155=""),TRUE,FALSE)</f>
        <v>0</v>
      </c>
      <c r="CT155" s="898"/>
      <c r="CU155" s="898" t="b">
        <f>IF(AND($C155&lt;&gt;"",BA155=""),TRUE,FALSE)</f>
        <v>0</v>
      </c>
      <c r="CV155" s="894"/>
      <c r="CW155" s="898" t="str">
        <f t="shared" si="38"/>
        <v/>
      </c>
      <c r="CX155" s="898" t="str">
        <f>IFERROR(IF(AND(S155="",S155&lt;&gt;""),1913,VLOOKUP(S155,Valid!$B$99:$J$120,9)),"")</f>
        <v/>
      </c>
      <c r="CY155" s="898" t="str">
        <f t="shared" ca="1" si="39"/>
        <v/>
      </c>
      <c r="CZ155" s="1547" t="str">
        <f t="shared" ca="1" si="44"/>
        <v/>
      </c>
      <c r="DA155" s="898" t="str">
        <f ca="1">IF(CZ155="", "", IF(1+(CZ155*4)&lt;1, 1, 1+(CZ155*4)))</f>
        <v/>
      </c>
      <c r="DB155" s="898" t="str">
        <f t="shared" si="40"/>
        <v/>
      </c>
      <c r="DC155" s="898" t="str">
        <f t="shared" si="41"/>
        <v/>
      </c>
      <c r="DD155" s="1539" t="str">
        <f>IFERROR(IF(AND(AM155="",C155&lt;&gt;""),Valid!$E$123,VLOOKUP(AM155,Valid!$B$123:$F$125,4,FALSE)),"")</f>
        <v/>
      </c>
      <c r="DE155" s="1539" t="str">
        <f>IFERROR(IF(AND(AM155="",C155&lt;&gt;""),Valid!$F$123,VLOOKUP(AM155,Valid!$B$123:$F$125,5,FALSE)),"")</f>
        <v/>
      </c>
      <c r="DF155" s="1539" t="str">
        <f>IFERROR(VLOOKUP('A-70 RevVehInv'!S155,Valid!$B$99:$I$120,7), "")</f>
        <v/>
      </c>
      <c r="DG155" s="1539" t="str">
        <f>IFERROR(VLOOKUP(S155,Valid!$B$99:$I$120,8), "")</f>
        <v/>
      </c>
      <c r="DH155" s="894"/>
    </row>
    <row r="156" spans="1:112" ht="6.75" customHeight="1" x14ac:dyDescent="0.2">
      <c r="A156" s="1516"/>
      <c r="B156" s="1530">
        <v>72.5</v>
      </c>
      <c r="C156" s="1544"/>
      <c r="D156" s="905"/>
      <c r="E156" s="1545"/>
      <c r="F156" s="905"/>
      <c r="G156" s="905"/>
      <c r="H156" s="905"/>
      <c r="I156" s="1531"/>
      <c r="J156" s="905"/>
      <c r="K156" s="1531"/>
      <c r="L156" s="905"/>
      <c r="M156" s="1531"/>
      <c r="N156" s="905"/>
      <c r="O156" s="1531"/>
      <c r="P156" s="905"/>
      <c r="Q156" s="1531"/>
      <c r="R156" s="1531"/>
      <c r="S156" s="1533"/>
      <c r="T156" s="905"/>
      <c r="U156" s="1533"/>
      <c r="V156" s="905"/>
      <c r="W156" s="1531" t="str">
        <f t="shared" si="36"/>
        <v/>
      </c>
      <c r="X156" s="905"/>
      <c r="Y156" s="1531"/>
      <c r="Z156" s="252" t="str">
        <f t="shared" si="37"/>
        <v/>
      </c>
      <c r="AA156" s="1531"/>
      <c r="AB156" s="905"/>
      <c r="AC156" s="1971" t="str">
        <f t="shared" si="42"/>
        <v/>
      </c>
      <c r="AD156" s="905"/>
      <c r="AE156" s="1983" t="str">
        <f t="shared" si="43"/>
        <v/>
      </c>
      <c r="AF156" s="905"/>
      <c r="AG156" s="1546"/>
      <c r="AH156" s="1531"/>
      <c r="AI156" s="1531"/>
      <c r="AJ156" s="1531"/>
      <c r="AK156" s="1531"/>
      <c r="AL156" s="1531"/>
      <c r="AM156" s="1546"/>
      <c r="AN156" s="1531"/>
      <c r="AO156" s="1546"/>
      <c r="AP156" s="1531"/>
      <c r="AQ156" s="1531"/>
      <c r="AR156" s="1531"/>
      <c r="AS156" s="1531"/>
      <c r="AT156" s="1531"/>
      <c r="AU156" s="1531"/>
      <c r="AV156" s="1531"/>
      <c r="AW156" s="1531"/>
      <c r="AX156" s="1531"/>
      <c r="AY156" s="1531"/>
      <c r="AZ156" s="1531"/>
      <c r="BA156" s="1546"/>
      <c r="BB156" s="1531"/>
      <c r="BC156" s="1531"/>
      <c r="BD156" s="1531"/>
      <c r="BE156" s="1531"/>
      <c r="BF156" s="1531"/>
      <c r="BG156" s="1531"/>
      <c r="BH156" s="1531"/>
      <c r="BI156" s="1535"/>
      <c r="BJ156" s="1534"/>
      <c r="BK156" s="1535"/>
      <c r="BL156" s="1534"/>
      <c r="BM156" s="1535"/>
      <c r="BN156" s="1534"/>
      <c r="BO156" s="1535"/>
      <c r="BP156" s="1534"/>
      <c r="BQ156" s="1535"/>
      <c r="BR156" s="1534"/>
      <c r="BS156" s="1535"/>
      <c r="BT156" s="1534"/>
      <c r="BU156" s="1535"/>
      <c r="BV156" s="1534"/>
      <c r="BW156" s="1535"/>
      <c r="BX156" s="1534"/>
      <c r="BY156" s="1535"/>
      <c r="BZ156" s="1534"/>
      <c r="CA156" s="1535"/>
      <c r="CB156" s="1534"/>
      <c r="CC156" s="1535"/>
      <c r="CD156" s="1534"/>
      <c r="CE156" s="1534"/>
      <c r="CF156" s="1535"/>
      <c r="CG156" s="1534"/>
      <c r="CH156" s="1535"/>
      <c r="CI156" s="1534"/>
      <c r="CJ156" s="1535"/>
      <c r="CK156" s="1534"/>
      <c r="CL156" s="1535"/>
      <c r="CM156" s="1534"/>
      <c r="CN156" s="1535"/>
      <c r="CO156" s="1534"/>
      <c r="CP156" s="1535"/>
      <c r="CQ156" s="1534"/>
      <c r="CR156" s="1535"/>
      <c r="CS156" s="1534"/>
      <c r="CT156" s="1535"/>
      <c r="CU156" s="1535"/>
      <c r="CV156" s="1531"/>
      <c r="CW156" s="898" t="str">
        <f t="shared" si="38"/>
        <v/>
      </c>
      <c r="CX156" s="898" t="str">
        <f>IFERROR(IF(AND(S156="",S156&lt;&gt;""),1913,VLOOKUP(S156,Valid!$B$99:$J$120,9)),"")</f>
        <v/>
      </c>
      <c r="CY156" s="898" t="str">
        <f t="shared" ca="1" si="39"/>
        <v/>
      </c>
      <c r="CZ156" s="1547" t="str">
        <f t="shared" ca="1" si="44"/>
        <v/>
      </c>
      <c r="DA156" s="898"/>
      <c r="DB156" s="898" t="str">
        <f t="shared" si="40"/>
        <v/>
      </c>
      <c r="DC156" s="898" t="str">
        <f t="shared" si="41"/>
        <v/>
      </c>
      <c r="DD156" s="1539" t="str">
        <f>IFERROR(IF(AND(AM156="",C156&lt;&gt;""),Valid!$E$123,VLOOKUP(AM156,Valid!$B$123:$F$125,4,FALSE)),"")</f>
        <v/>
      </c>
      <c r="DE156" s="1539" t="str">
        <f>IFERROR(IF(AND(AM156="",C156&lt;&gt;""),Valid!$F$123,VLOOKUP(AM156,Valid!$B$123:$F$125,5,FALSE)),"")</f>
        <v/>
      </c>
      <c r="DF156" s="1539" t="str">
        <f>IFERROR(VLOOKUP('A-70 RevVehInv'!S156,Valid!$B$99:$I$120,7), "")</f>
        <v/>
      </c>
      <c r="DG156" s="1539" t="str">
        <f>IFERROR(VLOOKUP(S156,Valid!$B$99:$I$120,8), "")</f>
        <v/>
      </c>
      <c r="DH156" s="1531"/>
    </row>
    <row r="157" spans="1:112" s="930" customFormat="1" x14ac:dyDescent="0.2">
      <c r="A157" s="206">
        <v>73</v>
      </c>
      <c r="B157" s="1530">
        <v>73</v>
      </c>
      <c r="C157" s="933"/>
      <c r="D157" s="719" t="str">
        <f>IF(C155="","",IF((C157=""),"Enter RVI ID. then Fill in Columns "&amp;TEXT($I$2,0)&amp;" - "&amp;TEXT($BA$2,0)&amp;"       ",""))</f>
        <v/>
      </c>
      <c r="E157" s="1056" t="str">
        <f>IF(BH157="N/A","",BH157)</f>
        <v/>
      </c>
      <c r="F157" s="1536"/>
      <c r="G157" s="1536"/>
      <c r="H157" s="1536"/>
      <c r="I157" s="1023"/>
      <c r="J157" s="1536" t="str">
        <f>IF(E157&lt;&gt;"","Vehicles?    ","")</f>
        <v/>
      </c>
      <c r="K157" s="1023"/>
      <c r="L157" s="1536" t="str">
        <f>IF(E157&lt;&gt;"","Active Vehicles?     ","")</f>
        <v/>
      </c>
      <c r="M157" s="1023"/>
      <c r="N157" s="1536" t="str">
        <f>IF(E157&lt;&gt;"","ADA Vehicles?       ","")</f>
        <v/>
      </c>
      <c r="O157" s="1023"/>
      <c r="P157" s="1536" t="str">
        <f>IF(E157&lt;&gt;"","Cont. Vehicles?     ","")</f>
        <v/>
      </c>
      <c r="Q157" s="1024"/>
      <c r="R157" s="894"/>
      <c r="S157" s="1153"/>
      <c r="T157" s="252" t="str">
        <f>IF(E157&lt;&gt;"","Select from Pull-Down List    ","")</f>
        <v/>
      </c>
      <c r="U157" s="933"/>
      <c r="V157" s="252" t="str">
        <f>IF(E157&lt;&gt;"","Select from Pull-Down List    ","")</f>
        <v/>
      </c>
      <c r="W157" s="1766" t="str">
        <f t="shared" si="36"/>
        <v/>
      </c>
      <c r="X157" s="252"/>
      <c r="Y157" s="1988"/>
      <c r="Z157" s="252" t="str">
        <f t="shared" si="37"/>
        <v/>
      </c>
      <c r="AA157" s="139"/>
      <c r="AB157" s="252" t="str">
        <f>IF(E157&lt;&gt;"","Mfg. Yr?    ","")</f>
        <v/>
      </c>
      <c r="AC157" s="1974" t="str">
        <f t="shared" si="42"/>
        <v/>
      </c>
      <c r="AD157" s="252"/>
      <c r="AE157" s="1986" t="str">
        <f t="shared" si="43"/>
        <v/>
      </c>
      <c r="AF157" s="252"/>
      <c r="AG157" s="933"/>
      <c r="AH157" s="252" t="str">
        <f>IF(E157&lt;&gt;"","Select from Pull-Down List    ","")</f>
        <v/>
      </c>
      <c r="AI157" s="933"/>
      <c r="AJ157" s="252" t="str">
        <f>IF(E157&lt;&gt;"","Number?   ","")</f>
        <v/>
      </c>
      <c r="AK157" s="139"/>
      <c r="AL157" s="252" t="str">
        <f>IF(E157&lt;&gt;"","Last Rnwl. Yr?   ","")</f>
        <v/>
      </c>
      <c r="AM157" s="933"/>
      <c r="AN157" s="252" t="str">
        <f>IF(E157&lt;&gt;"","Select from Pull-Down List    ","")</f>
        <v/>
      </c>
      <c r="AO157" s="933"/>
      <c r="AP157" s="252" t="str">
        <f>IF(E157&lt;&gt;"","Select from Pull-Down List    ","")</f>
        <v/>
      </c>
      <c r="AQ157" s="1023"/>
      <c r="AR157" s="252" t="str">
        <f>IF(E157&lt;&gt;"","Feet?    ","")</f>
        <v/>
      </c>
      <c r="AS157" s="1023"/>
      <c r="AT157" s="252" t="str">
        <f>IF(E157&lt;&gt;"","Seats?    ","")</f>
        <v/>
      </c>
      <c r="AU157" s="1023"/>
      <c r="AV157" s="252" t="str">
        <f>IF(E157&lt;&gt;"","Standing?    ","")</f>
        <v/>
      </c>
      <c r="AW157" s="1023"/>
      <c r="AX157" s="252" t="str">
        <f>IF(E157&lt;&gt;"","Mileage?       ","")</f>
        <v/>
      </c>
      <c r="AY157" s="1023"/>
      <c r="AZ157" s="252" t="str">
        <f>IF(E157&lt;&gt;"","Avg. Lifetime Mileage? ","")</f>
        <v/>
      </c>
      <c r="BA157" s="933"/>
      <c r="BB157" s="252" t="str">
        <f>IF(E157&lt;&gt;"","Select from Pull-Down List    ","")</f>
        <v/>
      </c>
      <c r="BC157" s="171"/>
      <c r="BD157" s="252" t="str">
        <f>IF(OR(AO157="OR - Other fuel (describe in Notes)",AG157="ZZZ - Other (describe in Notes)"),"Describe                                                                                                     ","")</f>
        <v/>
      </c>
      <c r="BE157" s="894"/>
      <c r="BF157" s="894"/>
      <c r="BG157" s="894" t="b">
        <f>IF(AND(C157="",C159&lt;&gt;""),TRUE,FALSE)</f>
        <v>0</v>
      </c>
      <c r="BH157" s="888" t="str">
        <f>IF(AND(C157&lt;&gt;"",OR(I157="",K157="",M157="",O157="",S157="",U157="",AA157="",AG157="",AI157="",AO157="",AQ157="",AS157="",AU157="",AW157="",AY157="")),"No",IF(AND(C157="",OR(I157&lt;&gt;"",K157&lt;&gt;"",M157&lt;&gt;"",O157&lt;&gt;"",S157&lt;&gt;"",U157&lt;&gt;"",AA157&lt;&gt;"",AG157&lt;&gt;"",AI157&lt;&gt;"",AK157&lt;&gt;"",AM157&lt;&gt;"",AO157&lt;&gt;"",AQ157&lt;&gt;"",AS157&lt;&gt;"",AU157&lt;&gt;"",AW157&lt;&gt;"",AY157&lt;&gt;"",BA157&lt;&gt;"",BC157&lt;&gt;"")),"No",IF(AND(C157="",I157="",K157="",M157="",O157="",S157="",U157="",AA157="",AG157="",AI157="",AK157="",AM157="",AO157="",AQ157="",AS157="",AU157="",AW157="",AY157="",BA157=""),"N/A","Yes")))</f>
        <v>N/A</v>
      </c>
      <c r="BI157" s="898"/>
      <c r="BJ157" s="899" t="b">
        <f>IF(AND(OR(I157&lt;&gt;"",K157&lt;&gt;"",M157&lt;&gt;"",O157&lt;&gt;"",S157&lt;&gt;"",U157&lt;&gt;"",AA157&lt;&gt;"",AG157&lt;&gt;"",AI157&lt;&gt;"",AK157&lt;&gt;"",AM157&lt;&gt;"",AO157&lt;&gt;"",AQ157&lt;&gt;"",AS157&lt;&gt;"",AW157&lt;&gt;"",AY157&lt;&gt;"",BA157&lt;&gt;"",BC157&lt;&gt;""),C157=""),TRUE,FALSE)</f>
        <v>0</v>
      </c>
      <c r="BK157" s="898" t="b">
        <f>IF(BL157=TRUE,FALSE,IF(SUM(K157,O157)&gt;I157,TRUE,FALSE))</f>
        <v>0</v>
      </c>
      <c r="BL157" s="899" t="b">
        <f>IF(AND(C157&lt;&gt;"",I157=""),TRUE,FALSE)</f>
        <v>0</v>
      </c>
      <c r="BM157" s="898" t="b">
        <f>IF(BN157=TRUE,FALSE,IF(M157&gt;K157,TRUE,FALSE))</f>
        <v>0</v>
      </c>
      <c r="BN157" s="899" t="b">
        <f>IF(AND($C157&lt;&gt;"",K157=""),TRUE,FALSE)</f>
        <v>0</v>
      </c>
      <c r="BO157" s="898"/>
      <c r="BP157" s="899" t="b">
        <f>IF(AND($C157&lt;&gt;"",M157=""),TRUE,FALSE)</f>
        <v>0</v>
      </c>
      <c r="BQ157" s="898"/>
      <c r="BR157" s="899" t="b">
        <f>IF(AND($C157&lt;&gt;"",O157=""),TRUE,FALSE)</f>
        <v>0</v>
      </c>
      <c r="BS157" s="898" t="b">
        <f>IF(AND(S157="",OR(U157&lt;&gt;"",AA157&lt;&gt;"",AG157&lt;&gt;"",AI157&lt;&gt;"",AK157&lt;&gt;"",AM157&lt;&gt;"",AO157&lt;&gt;"",AQ157&lt;&gt;"",AS157&lt;&gt;"",AU157&lt;&gt;"",AW157&lt;&gt;"",AY157&lt;&gt;"",BA157&lt;&gt;"")),TRUE,FALSE)</f>
        <v>0</v>
      </c>
      <c r="BT157" s="899" t="b">
        <f>IF(AND($C157&lt;&gt;"",S157=""),TRUE,FALSE)</f>
        <v>0</v>
      </c>
      <c r="BU157" s="898"/>
      <c r="BV157" s="899" t="b">
        <f>IF(AND($C157&lt;&gt;"",U157=""),TRUE,FALSE)</f>
        <v>0</v>
      </c>
      <c r="BW157" s="1537" t="b">
        <f>IF(BX157=TRUE,FALSE,IF(AA157="",FALSE,IF(OR(AA157&lt;CX157,AA157&gt;BaseYear),TRUE,FALSE)))</f>
        <v>0</v>
      </c>
      <c r="BX157" s="899" t="b">
        <f>IF(AND($C157&lt;&gt;"",AA157=""),TRUE,FALSE)</f>
        <v>0</v>
      </c>
      <c r="BY157" s="898"/>
      <c r="BZ157" s="899" t="b">
        <f>IF(AND($C157&lt;&gt;"",AG157=""),TRUE,FALSE)</f>
        <v>0</v>
      </c>
      <c r="CA157" s="898"/>
      <c r="CB157" s="899" t="b">
        <f>IF(AND($C157&lt;&gt;"",AI157=""),TRUE,FALSE)</f>
        <v>0</v>
      </c>
      <c r="CC157" s="1537" t="b">
        <f>IF(AK157="",FALSE,IF(OR(AK157&lt;CX157,AK157&gt;BaseYear),TRUE,FALSE))</f>
        <v>0</v>
      </c>
      <c r="CD157" s="1538" t="b">
        <f>IF(AK157="",FALSE,IF(AK157&lt;AA157,TRUE,FALSE))</f>
        <v>0</v>
      </c>
      <c r="CE157" s="899" t="b">
        <f>IF(AND($AM157&lt;&gt;"",AK157=""),TRUE,FALSE)</f>
        <v>0</v>
      </c>
      <c r="CF157" s="898"/>
      <c r="CG157" s="898" t="b">
        <f>IF(AND($AK157&lt;&gt;"",AM157=""),TRUE,FALSE)</f>
        <v>0</v>
      </c>
      <c r="CH157" s="898"/>
      <c r="CI157" s="899" t="b">
        <f>IF(AND($C157&lt;&gt;"",AO157=""),TRUE,FALSE)</f>
        <v>0</v>
      </c>
      <c r="CJ157" s="1537"/>
      <c r="CK157" s="899" t="b">
        <f>IF(AND($C157&lt;&gt;"",AQ157=""),TRUE,FALSE)</f>
        <v>0</v>
      </c>
      <c r="CL157" s="898"/>
      <c r="CM157" s="899" t="b">
        <f>IF(AND($C157&lt;&gt;"",AS157=""),TRUE,FALSE)</f>
        <v>0</v>
      </c>
      <c r="CN157" s="898"/>
      <c r="CO157" s="899" t="b">
        <f>IF(AND($C157&lt;&gt;"",AU157=""),TRUE,FALSE)</f>
        <v>0</v>
      </c>
      <c r="CP157" s="898"/>
      <c r="CQ157" s="899" t="b">
        <f>IF(AND($C157&lt;&gt;"",AW157=""),TRUE,FALSE)</f>
        <v>0</v>
      </c>
      <c r="CR157" s="898"/>
      <c r="CS157" s="899" t="b">
        <f>IF(AND($C157&lt;&gt;"",AY157=""),TRUE,FALSE)</f>
        <v>0</v>
      </c>
      <c r="CT157" s="898"/>
      <c r="CU157" s="898" t="b">
        <f>IF(AND($C157&lt;&gt;"",BA157=""),TRUE,FALSE)</f>
        <v>0</v>
      </c>
      <c r="CV157" s="894"/>
      <c r="CW157" s="898" t="str">
        <f t="shared" si="38"/>
        <v/>
      </c>
      <c r="CX157" s="898" t="str">
        <f>IFERROR(IF(AND(S157="",S157&lt;&gt;""),1913,VLOOKUP(S157,Valid!$B$99:$J$120,9)),"")</f>
        <v/>
      </c>
      <c r="CY157" s="898" t="str">
        <f t="shared" ca="1" si="39"/>
        <v/>
      </c>
      <c r="CZ157" s="1547" t="str">
        <f t="shared" ca="1" si="44"/>
        <v/>
      </c>
      <c r="DA157" s="898" t="str">
        <f ca="1">IF(CZ157="", "", IF(1+(CZ157*4)&lt;1, 1, 1+(CZ157*4)))</f>
        <v/>
      </c>
      <c r="DB157" s="898" t="str">
        <f t="shared" si="40"/>
        <v/>
      </c>
      <c r="DC157" s="898" t="str">
        <f t="shared" si="41"/>
        <v/>
      </c>
      <c r="DD157" s="1539" t="str">
        <f>IFERROR(IF(AND(AM157="",C157&lt;&gt;""),Valid!$E$123,VLOOKUP(AM157,Valid!$B$123:$F$125,4,FALSE)),"")</f>
        <v/>
      </c>
      <c r="DE157" s="1539" t="str">
        <f>IFERROR(IF(AND(AM157="",C157&lt;&gt;""),Valid!$F$123,VLOOKUP(AM157,Valid!$B$123:$F$125,5,FALSE)),"")</f>
        <v/>
      </c>
      <c r="DF157" s="1539" t="str">
        <f>IFERROR(VLOOKUP('A-70 RevVehInv'!S157,Valid!$B$99:$I$120,7), "")</f>
        <v/>
      </c>
      <c r="DG157" s="1539" t="str">
        <f>IFERROR(VLOOKUP(S157,Valid!$B$99:$I$120,8), "")</f>
        <v/>
      </c>
      <c r="DH157" s="894"/>
    </row>
    <row r="158" spans="1:112" ht="6.75" customHeight="1" x14ac:dyDescent="0.2">
      <c r="A158" s="1517"/>
      <c r="B158" s="1530">
        <v>73.5</v>
      </c>
      <c r="C158" s="1540"/>
      <c r="D158" s="905"/>
      <c r="E158" s="1541"/>
      <c r="F158" s="905"/>
      <c r="G158" s="905"/>
      <c r="H158" s="905"/>
      <c r="I158" s="1534"/>
      <c r="J158" s="905"/>
      <c r="K158" s="1534"/>
      <c r="L158" s="905"/>
      <c r="M158" s="1534"/>
      <c r="N158" s="905"/>
      <c r="O158" s="1534"/>
      <c r="P158" s="905"/>
      <c r="Q158" s="1534"/>
      <c r="R158" s="1531"/>
      <c r="S158" s="1542"/>
      <c r="T158" s="905"/>
      <c r="U158" s="1542"/>
      <c r="V158" s="905"/>
      <c r="W158" s="1534" t="str">
        <f t="shared" si="36"/>
        <v/>
      </c>
      <c r="X158" s="905"/>
      <c r="Y158" s="1534"/>
      <c r="Z158" s="252" t="str">
        <f t="shared" si="37"/>
        <v/>
      </c>
      <c r="AA158" s="1534"/>
      <c r="AB158" s="905"/>
      <c r="AC158" s="1973" t="str">
        <f t="shared" si="42"/>
        <v/>
      </c>
      <c r="AD158" s="905"/>
      <c r="AE158" s="1985" t="str">
        <f t="shared" si="43"/>
        <v/>
      </c>
      <c r="AF158" s="905"/>
      <c r="AG158" s="1543"/>
      <c r="AH158" s="1531"/>
      <c r="AI158" s="1534"/>
      <c r="AJ158" s="1531"/>
      <c r="AK158" s="1534"/>
      <c r="AL158" s="1531"/>
      <c r="AM158" s="1543"/>
      <c r="AN158" s="1531"/>
      <c r="AO158" s="1543"/>
      <c r="AP158" s="1531"/>
      <c r="AQ158" s="1534"/>
      <c r="AR158" s="1531"/>
      <c r="AS158" s="1534"/>
      <c r="AT158" s="1531"/>
      <c r="AU158" s="1534"/>
      <c r="AV158" s="1531"/>
      <c r="AW158" s="1534"/>
      <c r="AX158" s="1531"/>
      <c r="AY158" s="1534"/>
      <c r="AZ158" s="1531"/>
      <c r="BA158" s="1543"/>
      <c r="BB158" s="1531"/>
      <c r="BC158" s="1534"/>
      <c r="BD158" s="1531"/>
      <c r="BE158" s="1531"/>
      <c r="BF158" s="1531"/>
      <c r="BG158" s="1531"/>
      <c r="BH158" s="1531"/>
      <c r="BI158" s="1535"/>
      <c r="BJ158" s="1534"/>
      <c r="BK158" s="898"/>
      <c r="BL158" s="1534"/>
      <c r="BM158" s="1535"/>
      <c r="BN158" s="1534"/>
      <c r="BO158" s="1535"/>
      <c r="BP158" s="1534"/>
      <c r="BQ158" s="1535"/>
      <c r="BR158" s="1534"/>
      <c r="BS158" s="1535"/>
      <c r="BT158" s="1534"/>
      <c r="BU158" s="1535"/>
      <c r="BV158" s="1534"/>
      <c r="BW158" s="1535"/>
      <c r="BX158" s="1534"/>
      <c r="BY158" s="1535"/>
      <c r="BZ158" s="1534"/>
      <c r="CA158" s="1535"/>
      <c r="CB158" s="1534"/>
      <c r="CC158" s="1535"/>
      <c r="CD158" s="1534"/>
      <c r="CE158" s="1534"/>
      <c r="CF158" s="1535"/>
      <c r="CG158" s="1534"/>
      <c r="CH158" s="1535"/>
      <c r="CI158" s="1534"/>
      <c r="CJ158" s="1535"/>
      <c r="CK158" s="1534"/>
      <c r="CL158" s="1535"/>
      <c r="CM158" s="1534"/>
      <c r="CN158" s="1535"/>
      <c r="CO158" s="1534"/>
      <c r="CP158" s="1535"/>
      <c r="CQ158" s="1534"/>
      <c r="CR158" s="1535"/>
      <c r="CS158" s="1534"/>
      <c r="CT158" s="1535"/>
      <c r="CU158" s="1535"/>
      <c r="CV158" s="1531"/>
      <c r="CW158" s="898" t="str">
        <f t="shared" si="38"/>
        <v/>
      </c>
      <c r="CX158" s="898" t="str">
        <f>IFERROR(IF(AND(S158="",S158&lt;&gt;""),1913,VLOOKUP(S158,Valid!$B$99:$J$120,9)),"")</f>
        <v/>
      </c>
      <c r="CY158" s="898" t="str">
        <f t="shared" ca="1" si="39"/>
        <v/>
      </c>
      <c r="CZ158" s="1547" t="str">
        <f t="shared" ca="1" si="44"/>
        <v/>
      </c>
      <c r="DA158" s="898"/>
      <c r="DB158" s="898" t="str">
        <f t="shared" si="40"/>
        <v/>
      </c>
      <c r="DC158" s="898" t="str">
        <f t="shared" si="41"/>
        <v/>
      </c>
      <c r="DD158" s="1539" t="str">
        <f>IFERROR(IF(AND(AM158="",C158&lt;&gt;""),Valid!$E$123,VLOOKUP(AM158,Valid!$B$123:$F$125,4,FALSE)),"")</f>
        <v/>
      </c>
      <c r="DE158" s="1539" t="str">
        <f>IFERROR(IF(AND(AM158="",C158&lt;&gt;""),Valid!$F$123,VLOOKUP(AM158,Valid!$B$123:$F$125,5,FALSE)),"")</f>
        <v/>
      </c>
      <c r="DF158" s="1539" t="str">
        <f>IFERROR(VLOOKUP('A-70 RevVehInv'!S158,Valid!$B$99:$I$120,7), "")</f>
        <v/>
      </c>
      <c r="DG158" s="1539" t="str">
        <f>IFERROR(VLOOKUP(S158,Valid!$B$99:$I$120,8), "")</f>
        <v/>
      </c>
      <c r="DH158" s="1531"/>
    </row>
    <row r="159" spans="1:112" s="930" customFormat="1" x14ac:dyDescent="0.2">
      <c r="A159" s="206">
        <v>74</v>
      </c>
      <c r="B159" s="1530">
        <v>74</v>
      </c>
      <c r="C159" s="933"/>
      <c r="D159" s="719" t="str">
        <f>IF(C157="","",IF((C159=""),"Enter RVI ID. then Fill in Columns "&amp;TEXT($I$2,0)&amp;" - "&amp;TEXT($BA$2,0)&amp;"       ",""))</f>
        <v/>
      </c>
      <c r="E159" s="1056" t="str">
        <f>IF(BH159="N/A","",BH159)</f>
        <v/>
      </c>
      <c r="F159" s="1536"/>
      <c r="G159" s="1536"/>
      <c r="H159" s="1536"/>
      <c r="I159" s="1023"/>
      <c r="J159" s="1536" t="str">
        <f>IF(E159&lt;&gt;"","Vehicles?    ","")</f>
        <v/>
      </c>
      <c r="K159" s="1023"/>
      <c r="L159" s="1536" t="str">
        <f>IF(E159&lt;&gt;"","Active Vehicles?     ","")</f>
        <v/>
      </c>
      <c r="M159" s="1023"/>
      <c r="N159" s="1536" t="str">
        <f>IF(E159&lt;&gt;"","ADA Vehicles?       ","")</f>
        <v/>
      </c>
      <c r="O159" s="1023"/>
      <c r="P159" s="1536" t="str">
        <f>IF(E159&lt;&gt;"","Cont. Vehicles?     ","")</f>
        <v/>
      </c>
      <c r="Q159" s="1024"/>
      <c r="R159" s="894"/>
      <c r="S159" s="1153"/>
      <c r="T159" s="252" t="str">
        <f>IF(E159&lt;&gt;"","Select from Pull-Down List    ","")</f>
        <v/>
      </c>
      <c r="U159" s="933"/>
      <c r="V159" s="252" t="str">
        <f>IF(E159&lt;&gt;"","Select from Pull-Down List    ","")</f>
        <v/>
      </c>
      <c r="W159" s="1766" t="str">
        <f t="shared" si="36"/>
        <v/>
      </c>
      <c r="X159" s="252"/>
      <c r="Y159" s="1988"/>
      <c r="Z159" s="252" t="str">
        <f t="shared" si="37"/>
        <v/>
      </c>
      <c r="AA159" s="139"/>
      <c r="AB159" s="252" t="str">
        <f>IF(E159&lt;&gt;"","Mfg. Yr?    ","")</f>
        <v/>
      </c>
      <c r="AC159" s="1974" t="str">
        <f t="shared" si="42"/>
        <v/>
      </c>
      <c r="AD159" s="252"/>
      <c r="AE159" s="1986" t="str">
        <f t="shared" si="43"/>
        <v/>
      </c>
      <c r="AF159" s="252"/>
      <c r="AG159" s="933"/>
      <c r="AH159" s="252" t="str">
        <f>IF(E159&lt;&gt;"","Select from Pull-Down List    ","")</f>
        <v/>
      </c>
      <c r="AI159" s="933"/>
      <c r="AJ159" s="252" t="str">
        <f>IF(E159&lt;&gt;"","Number?   ","")</f>
        <v/>
      </c>
      <c r="AK159" s="139"/>
      <c r="AL159" s="252" t="str">
        <f>IF(E159&lt;&gt;"","Last Rnwl. Yr?   ","")</f>
        <v/>
      </c>
      <c r="AM159" s="933"/>
      <c r="AN159" s="252" t="str">
        <f>IF(E159&lt;&gt;"","Select from Pull-Down List    ","")</f>
        <v/>
      </c>
      <c r="AO159" s="933"/>
      <c r="AP159" s="252" t="str">
        <f>IF(E159&lt;&gt;"","Select from Pull-Down List    ","")</f>
        <v/>
      </c>
      <c r="AQ159" s="1023"/>
      <c r="AR159" s="252" t="str">
        <f>IF(E159&lt;&gt;"","Feet?    ","")</f>
        <v/>
      </c>
      <c r="AS159" s="1023"/>
      <c r="AT159" s="252" t="str">
        <f>IF(E159&lt;&gt;"","Seats?    ","")</f>
        <v/>
      </c>
      <c r="AU159" s="1023"/>
      <c r="AV159" s="252" t="str">
        <f>IF(E159&lt;&gt;"","Standing?    ","")</f>
        <v/>
      </c>
      <c r="AW159" s="1023"/>
      <c r="AX159" s="252" t="str">
        <f>IF(E159&lt;&gt;"","Mileage?       ","")</f>
        <v/>
      </c>
      <c r="AY159" s="1023"/>
      <c r="AZ159" s="252" t="str">
        <f>IF(E159&lt;&gt;"","Avg. Lifetime Mileage? ","")</f>
        <v/>
      </c>
      <c r="BA159" s="933"/>
      <c r="BB159" s="252" t="str">
        <f>IF(E159&lt;&gt;"","Select from Pull-Down List    ","")</f>
        <v/>
      </c>
      <c r="BC159" s="171"/>
      <c r="BD159" s="252" t="str">
        <f>IF(OR(AO159="OR - Other fuel (describe in Notes)",AG159="ZZZ - Other (describe in Notes)"),"Describe                                                                                                     ","")</f>
        <v/>
      </c>
      <c r="BE159" s="894"/>
      <c r="BF159" s="894"/>
      <c r="BG159" s="894" t="b">
        <f>IF(AND(C159="",C161&lt;&gt;""),TRUE,FALSE)</f>
        <v>0</v>
      </c>
      <c r="BH159" s="888" t="str">
        <f>IF(AND(C159&lt;&gt;"",OR(I159="",K159="",M159="",O159="",S159="",U159="",AA159="",AG159="",AI159="",AO159="",AQ159="",AS159="",AU159="",AW159="",AY159="")),"No",IF(AND(C159="",OR(I159&lt;&gt;"",K159&lt;&gt;"",M159&lt;&gt;"",O159&lt;&gt;"",S159&lt;&gt;"",U159&lt;&gt;"",AA159&lt;&gt;"",AG159&lt;&gt;"",AI159&lt;&gt;"",AK159&lt;&gt;"",AM159&lt;&gt;"",AO159&lt;&gt;"",AQ159&lt;&gt;"",AS159&lt;&gt;"",AU159&lt;&gt;"",AW159&lt;&gt;"",AY159&lt;&gt;"",BA159&lt;&gt;"",BC159&lt;&gt;"")),"No",IF(AND(C159="",I159="",K159="",M159="",O159="",S159="",U159="",AA159="",AG159="",AI159="",AK159="",AM159="",AO159="",AQ159="",AS159="",AU159="",AW159="",AY159="",BA159=""),"N/A","Yes")))</f>
        <v>N/A</v>
      </c>
      <c r="BI159" s="898"/>
      <c r="BJ159" s="899" t="b">
        <f>IF(AND(OR(I159&lt;&gt;"",K159&lt;&gt;"",M159&lt;&gt;"",O159&lt;&gt;"",S159&lt;&gt;"",U159&lt;&gt;"",AA159&lt;&gt;"",AG159&lt;&gt;"",AI159&lt;&gt;"",AK159&lt;&gt;"",AM159&lt;&gt;"",AO159&lt;&gt;"",AQ159&lt;&gt;"",AS159&lt;&gt;"",AW159&lt;&gt;"",AY159&lt;&gt;"",BA159&lt;&gt;"",BC159&lt;&gt;""),C159=""),TRUE,FALSE)</f>
        <v>0</v>
      </c>
      <c r="BK159" s="898" t="b">
        <f>IF(BL159=TRUE,FALSE,IF(SUM(K159,O159)&gt;I159,TRUE,FALSE))</f>
        <v>0</v>
      </c>
      <c r="BL159" s="899" t="b">
        <f>IF(AND(C159&lt;&gt;"",I159=""),TRUE,FALSE)</f>
        <v>0</v>
      </c>
      <c r="BM159" s="898" t="b">
        <f>IF(BN159=TRUE,FALSE,IF(M159&gt;K159,TRUE,FALSE))</f>
        <v>0</v>
      </c>
      <c r="BN159" s="899" t="b">
        <f>IF(AND($C159&lt;&gt;"",K159=""),TRUE,FALSE)</f>
        <v>0</v>
      </c>
      <c r="BO159" s="898"/>
      <c r="BP159" s="899" t="b">
        <f>IF(AND($C159&lt;&gt;"",M159=""),TRUE,FALSE)</f>
        <v>0</v>
      </c>
      <c r="BQ159" s="898"/>
      <c r="BR159" s="899" t="b">
        <f>IF(AND($C159&lt;&gt;"",O159=""),TRUE,FALSE)</f>
        <v>0</v>
      </c>
      <c r="BS159" s="898" t="b">
        <f>IF(AND(S159="",OR(U159&lt;&gt;"",AA159&lt;&gt;"",AG159&lt;&gt;"",AI159&lt;&gt;"",AK159&lt;&gt;"",AM159&lt;&gt;"",AO159&lt;&gt;"",AQ159&lt;&gt;"",AS159&lt;&gt;"",AU159&lt;&gt;"",AW159&lt;&gt;"",AY159&lt;&gt;"",BA159&lt;&gt;"")),TRUE,FALSE)</f>
        <v>0</v>
      </c>
      <c r="BT159" s="899" t="b">
        <f>IF(AND($C159&lt;&gt;"",S159=""),TRUE,FALSE)</f>
        <v>0</v>
      </c>
      <c r="BU159" s="898"/>
      <c r="BV159" s="899" t="b">
        <f>IF(AND($C159&lt;&gt;"",U159=""),TRUE,FALSE)</f>
        <v>0</v>
      </c>
      <c r="BW159" s="1537" t="b">
        <f>IF(BX159=TRUE,FALSE,IF(AA159="",FALSE,IF(OR(AA159&lt;CX159,AA159&gt;BaseYear),TRUE,FALSE)))</f>
        <v>0</v>
      </c>
      <c r="BX159" s="899" t="b">
        <f>IF(AND($C159&lt;&gt;"",AA159=""),TRUE,FALSE)</f>
        <v>0</v>
      </c>
      <c r="BY159" s="898"/>
      <c r="BZ159" s="899" t="b">
        <f>IF(AND($C159&lt;&gt;"",AG159=""),TRUE,FALSE)</f>
        <v>0</v>
      </c>
      <c r="CA159" s="898"/>
      <c r="CB159" s="899" t="b">
        <f>IF(AND($C159&lt;&gt;"",AI159=""),TRUE,FALSE)</f>
        <v>0</v>
      </c>
      <c r="CC159" s="1537" t="b">
        <f>IF(AK159="",FALSE,IF(OR(AK159&lt;CX159,AK159&gt;BaseYear),TRUE,FALSE))</f>
        <v>0</v>
      </c>
      <c r="CD159" s="1538" t="b">
        <f>IF(AK159="",FALSE,IF(AK159&lt;AA159,TRUE,FALSE))</f>
        <v>0</v>
      </c>
      <c r="CE159" s="899" t="b">
        <f>IF(AND($AM159&lt;&gt;"",AK159=""),TRUE,FALSE)</f>
        <v>0</v>
      </c>
      <c r="CF159" s="898"/>
      <c r="CG159" s="898" t="b">
        <f>IF(AND($AK159&lt;&gt;"",AM159=""),TRUE,FALSE)</f>
        <v>0</v>
      </c>
      <c r="CH159" s="898"/>
      <c r="CI159" s="899" t="b">
        <f>IF(AND($C159&lt;&gt;"",AO159=""),TRUE,FALSE)</f>
        <v>0</v>
      </c>
      <c r="CJ159" s="1537"/>
      <c r="CK159" s="899" t="b">
        <f>IF(AND($C159&lt;&gt;"",AQ159=""),TRUE,FALSE)</f>
        <v>0</v>
      </c>
      <c r="CL159" s="898"/>
      <c r="CM159" s="899" t="b">
        <f>IF(AND($C159&lt;&gt;"",AS159=""),TRUE,FALSE)</f>
        <v>0</v>
      </c>
      <c r="CN159" s="898"/>
      <c r="CO159" s="899" t="b">
        <f>IF(AND($C159&lt;&gt;"",AU159=""),TRUE,FALSE)</f>
        <v>0</v>
      </c>
      <c r="CP159" s="898"/>
      <c r="CQ159" s="899" t="b">
        <f>IF(AND($C159&lt;&gt;"",AW159=""),TRUE,FALSE)</f>
        <v>0</v>
      </c>
      <c r="CR159" s="898"/>
      <c r="CS159" s="899" t="b">
        <f>IF(AND($C159&lt;&gt;"",AY159=""),TRUE,FALSE)</f>
        <v>0</v>
      </c>
      <c r="CT159" s="898"/>
      <c r="CU159" s="898" t="b">
        <f>IF(AND($C159&lt;&gt;"",BA159=""),TRUE,FALSE)</f>
        <v>0</v>
      </c>
      <c r="CV159" s="894"/>
      <c r="CW159" s="898" t="str">
        <f t="shared" si="38"/>
        <v/>
      </c>
      <c r="CX159" s="898" t="str">
        <f>IFERROR(IF(AND(S159="",S159&lt;&gt;""),1913,VLOOKUP(S159,Valid!$B$99:$J$120,9)),"")</f>
        <v/>
      </c>
      <c r="CY159" s="898" t="str">
        <f t="shared" ca="1" si="39"/>
        <v/>
      </c>
      <c r="CZ159" s="1547" t="str">
        <f t="shared" ca="1" si="44"/>
        <v/>
      </c>
      <c r="DA159" s="898" t="str">
        <f ca="1">IF(CZ159="", "", IF(1+(CZ159*4)&lt;1, 1, 1+(CZ159*4)))</f>
        <v/>
      </c>
      <c r="DB159" s="898" t="str">
        <f t="shared" si="40"/>
        <v/>
      </c>
      <c r="DC159" s="898" t="str">
        <f t="shared" si="41"/>
        <v/>
      </c>
      <c r="DD159" s="1539" t="str">
        <f>IFERROR(IF(AND(AM159="",C159&lt;&gt;""),Valid!$E$123,VLOOKUP(AM159,Valid!$B$123:$F$125,4,FALSE)),"")</f>
        <v/>
      </c>
      <c r="DE159" s="1539" t="str">
        <f>IFERROR(IF(AND(AM159="",C159&lt;&gt;""),Valid!$F$123,VLOOKUP(AM159,Valid!$B$123:$F$125,5,FALSE)),"")</f>
        <v/>
      </c>
      <c r="DF159" s="1539" t="str">
        <f>IFERROR(VLOOKUP('A-70 RevVehInv'!S159,Valid!$B$99:$I$120,7), "")</f>
        <v/>
      </c>
      <c r="DG159" s="1539" t="str">
        <f>IFERROR(VLOOKUP(S159,Valid!$B$99:$I$120,8), "")</f>
        <v/>
      </c>
      <c r="DH159" s="894"/>
    </row>
    <row r="160" spans="1:112" ht="6.75" customHeight="1" x14ac:dyDescent="0.2">
      <c r="A160" s="1517"/>
      <c r="B160" s="1530">
        <v>74.5</v>
      </c>
      <c r="C160" s="1544"/>
      <c r="D160" s="905"/>
      <c r="E160" s="1545"/>
      <c r="F160" s="905"/>
      <c r="G160" s="905"/>
      <c r="H160" s="905"/>
      <c r="I160" s="1531"/>
      <c r="J160" s="905"/>
      <c r="K160" s="1531"/>
      <c r="L160" s="905"/>
      <c r="M160" s="1531"/>
      <c r="N160" s="905"/>
      <c r="O160" s="1531"/>
      <c r="P160" s="905"/>
      <c r="Q160" s="1531"/>
      <c r="R160" s="1531"/>
      <c r="S160" s="1533"/>
      <c r="T160" s="905"/>
      <c r="U160" s="1533"/>
      <c r="V160" s="905"/>
      <c r="W160" s="1531" t="str">
        <f t="shared" si="36"/>
        <v/>
      </c>
      <c r="X160" s="905"/>
      <c r="Y160" s="1531"/>
      <c r="Z160" s="252" t="str">
        <f t="shared" si="37"/>
        <v/>
      </c>
      <c r="AA160" s="1531"/>
      <c r="AB160" s="905"/>
      <c r="AC160" s="1971" t="str">
        <f t="shared" si="42"/>
        <v/>
      </c>
      <c r="AD160" s="905"/>
      <c r="AE160" s="1983" t="str">
        <f t="shared" si="43"/>
        <v/>
      </c>
      <c r="AF160" s="905"/>
      <c r="AG160" s="1546"/>
      <c r="AH160" s="1531"/>
      <c r="AI160" s="1531"/>
      <c r="AJ160" s="1531"/>
      <c r="AK160" s="1531"/>
      <c r="AL160" s="1531"/>
      <c r="AM160" s="1546"/>
      <c r="AN160" s="1531"/>
      <c r="AO160" s="1546"/>
      <c r="AP160" s="1531"/>
      <c r="AQ160" s="1531"/>
      <c r="AR160" s="1531"/>
      <c r="AS160" s="1531"/>
      <c r="AT160" s="1531"/>
      <c r="AU160" s="1531"/>
      <c r="AV160" s="1531"/>
      <c r="AW160" s="1531"/>
      <c r="AX160" s="1531"/>
      <c r="AY160" s="1531"/>
      <c r="AZ160" s="1531"/>
      <c r="BA160" s="1546"/>
      <c r="BB160" s="1531"/>
      <c r="BC160" s="1531"/>
      <c r="BD160" s="1531"/>
      <c r="BE160" s="1531"/>
      <c r="BF160" s="1531"/>
      <c r="BG160" s="1531"/>
      <c r="BH160" s="1531"/>
      <c r="BI160" s="1535"/>
      <c r="BJ160" s="1534"/>
      <c r="BK160" s="1535"/>
      <c r="BL160" s="1534"/>
      <c r="BM160" s="1535"/>
      <c r="BN160" s="1534"/>
      <c r="BO160" s="1535"/>
      <c r="BP160" s="1534"/>
      <c r="BQ160" s="1535"/>
      <c r="BR160" s="1534"/>
      <c r="BS160" s="1535"/>
      <c r="BT160" s="1534"/>
      <c r="BU160" s="1535"/>
      <c r="BV160" s="1534"/>
      <c r="BW160" s="1535"/>
      <c r="BX160" s="1534"/>
      <c r="BY160" s="1535"/>
      <c r="BZ160" s="1534"/>
      <c r="CA160" s="1535"/>
      <c r="CB160" s="1534"/>
      <c r="CC160" s="1535"/>
      <c r="CD160" s="1534"/>
      <c r="CE160" s="1534"/>
      <c r="CF160" s="1535"/>
      <c r="CG160" s="1534"/>
      <c r="CH160" s="1535"/>
      <c r="CI160" s="1534"/>
      <c r="CJ160" s="1535"/>
      <c r="CK160" s="1534"/>
      <c r="CL160" s="1535"/>
      <c r="CM160" s="1534"/>
      <c r="CN160" s="1535"/>
      <c r="CO160" s="1534"/>
      <c r="CP160" s="1535"/>
      <c r="CQ160" s="1534"/>
      <c r="CR160" s="1535"/>
      <c r="CS160" s="1534"/>
      <c r="CT160" s="1535"/>
      <c r="CU160" s="1535"/>
      <c r="CV160" s="1531"/>
      <c r="CW160" s="898" t="str">
        <f t="shared" si="38"/>
        <v/>
      </c>
      <c r="CX160" s="898" t="str">
        <f>IFERROR(IF(AND(S160="",S160&lt;&gt;""),1913,VLOOKUP(S160,Valid!$B$99:$J$120,9)),"")</f>
        <v/>
      </c>
      <c r="CY160" s="898" t="str">
        <f t="shared" ca="1" si="39"/>
        <v/>
      </c>
      <c r="CZ160" s="1547" t="str">
        <f t="shared" ca="1" si="44"/>
        <v/>
      </c>
      <c r="DA160" s="898"/>
      <c r="DB160" s="898" t="str">
        <f t="shared" si="40"/>
        <v/>
      </c>
      <c r="DC160" s="898" t="str">
        <f t="shared" si="41"/>
        <v/>
      </c>
      <c r="DD160" s="1539" t="str">
        <f>IFERROR(IF(AND(AM160="",C160&lt;&gt;""),Valid!$E$123,VLOOKUP(AM160,Valid!$B$123:$F$125,4,FALSE)),"")</f>
        <v/>
      </c>
      <c r="DE160" s="1539" t="str">
        <f>IFERROR(IF(AND(AM160="",C160&lt;&gt;""),Valid!$F$123,VLOOKUP(AM160,Valid!$B$123:$F$125,5,FALSE)),"")</f>
        <v/>
      </c>
      <c r="DF160" s="1539" t="str">
        <f>IFERROR(VLOOKUP('A-70 RevVehInv'!S160,Valid!$B$99:$I$120,7), "")</f>
        <v/>
      </c>
      <c r="DG160" s="1539" t="str">
        <f>IFERROR(VLOOKUP(S160,Valid!$B$99:$I$120,8), "")</f>
        <v/>
      </c>
      <c r="DH160" s="1531"/>
    </row>
    <row r="161" spans="1:112" s="930" customFormat="1" x14ac:dyDescent="0.2">
      <c r="A161" s="206">
        <v>75</v>
      </c>
      <c r="B161" s="1530">
        <v>75</v>
      </c>
      <c r="C161" s="933"/>
      <c r="D161" s="719" t="str">
        <f>IF(C159="","",IF((C161=""),"Enter RVI ID. then Fill in Columns "&amp;TEXT($I$2,0)&amp;" - "&amp;TEXT($BA$2,0)&amp;"       ",""))</f>
        <v/>
      </c>
      <c r="E161" s="1056" t="str">
        <f>IF(BH161="N/A","",BH161)</f>
        <v/>
      </c>
      <c r="F161" s="1536"/>
      <c r="G161" s="1536"/>
      <c r="H161" s="1536"/>
      <c r="I161" s="1023"/>
      <c r="J161" s="1536" t="str">
        <f>IF(E161&lt;&gt;"","Vehicles?    ","")</f>
        <v/>
      </c>
      <c r="K161" s="1023"/>
      <c r="L161" s="1536" t="str">
        <f>IF(E161&lt;&gt;"","Active Vehicles?     ","")</f>
        <v/>
      </c>
      <c r="M161" s="1023"/>
      <c r="N161" s="1536" t="str">
        <f>IF(E161&lt;&gt;"","ADA Vehicles?       ","")</f>
        <v/>
      </c>
      <c r="O161" s="1023"/>
      <c r="P161" s="1536" t="str">
        <f>IF(E161&lt;&gt;"","Cont. Vehicles?     ","")</f>
        <v/>
      </c>
      <c r="Q161" s="1024"/>
      <c r="R161" s="894"/>
      <c r="S161" s="1153"/>
      <c r="T161" s="252" t="str">
        <f>IF(E161&lt;&gt;"","Select from Pull-Down List    ","")</f>
        <v/>
      </c>
      <c r="U161" s="933"/>
      <c r="V161" s="252" t="str">
        <f>IF(E161&lt;&gt;"","Select from Pull-Down List    ","")</f>
        <v/>
      </c>
      <c r="W161" s="1766" t="str">
        <f t="shared" si="36"/>
        <v/>
      </c>
      <c r="X161" s="252"/>
      <c r="Y161" s="1988"/>
      <c r="Z161" s="252" t="str">
        <f t="shared" si="37"/>
        <v/>
      </c>
      <c r="AA161" s="139"/>
      <c r="AB161" s="252" t="str">
        <f>IF(E161&lt;&gt;"","Mfg. Yr?    ","")</f>
        <v/>
      </c>
      <c r="AC161" s="1974" t="str">
        <f t="shared" si="42"/>
        <v/>
      </c>
      <c r="AD161" s="252"/>
      <c r="AE161" s="1986" t="str">
        <f t="shared" si="43"/>
        <v/>
      </c>
      <c r="AF161" s="252"/>
      <c r="AG161" s="933"/>
      <c r="AH161" s="252" t="str">
        <f>IF(E161&lt;&gt;"","Select from Pull-Down List    ","")</f>
        <v/>
      </c>
      <c r="AI161" s="933"/>
      <c r="AJ161" s="252" t="str">
        <f>IF(E161&lt;&gt;"","Number?   ","")</f>
        <v/>
      </c>
      <c r="AK161" s="139"/>
      <c r="AL161" s="252" t="str">
        <f>IF(E161&lt;&gt;"","Last Rnwl. Yr?   ","")</f>
        <v/>
      </c>
      <c r="AM161" s="933"/>
      <c r="AN161" s="252" t="str">
        <f>IF(E161&lt;&gt;"","Select from Pull-Down List    ","")</f>
        <v/>
      </c>
      <c r="AO161" s="933"/>
      <c r="AP161" s="252" t="str">
        <f>IF(E161&lt;&gt;"","Select from Pull-Down List    ","")</f>
        <v/>
      </c>
      <c r="AQ161" s="1023"/>
      <c r="AR161" s="252" t="str">
        <f>IF(E161&lt;&gt;"","Feet?    ","")</f>
        <v/>
      </c>
      <c r="AS161" s="1023"/>
      <c r="AT161" s="252" t="str">
        <f>IF(E161&lt;&gt;"","Seats?    ","")</f>
        <v/>
      </c>
      <c r="AU161" s="1023"/>
      <c r="AV161" s="252" t="str">
        <f>IF(E161&lt;&gt;"","Standing?    ","")</f>
        <v/>
      </c>
      <c r="AW161" s="1023"/>
      <c r="AX161" s="252" t="str">
        <f>IF(E161&lt;&gt;"","Mileage?       ","")</f>
        <v/>
      </c>
      <c r="AY161" s="1023"/>
      <c r="AZ161" s="252" t="str">
        <f>IF(E161&lt;&gt;"","Avg. Lifetime Mileage? ","")</f>
        <v/>
      </c>
      <c r="BA161" s="933"/>
      <c r="BB161" s="252" t="str">
        <f>IF(E161&lt;&gt;"","Select from Pull-Down List    ","")</f>
        <v/>
      </c>
      <c r="BC161" s="171"/>
      <c r="BD161" s="252" t="str">
        <f>IF(OR(AO161="OR - Other fuel (describe in Notes)",AG161="ZZZ - Other (describe in Notes)"),"Describe                                                                                                     ","")</f>
        <v/>
      </c>
      <c r="BE161" s="894"/>
      <c r="BF161" s="894"/>
      <c r="BG161" s="894" t="b">
        <f>IF(AND(C161="",C163&lt;&gt;""),TRUE,FALSE)</f>
        <v>0</v>
      </c>
      <c r="BH161" s="888" t="str">
        <f>IF(AND(C161&lt;&gt;"",OR(I161="",K161="",M161="",O161="",S161="",U161="",AA161="",AG161="",AI161="",AO161="",AQ161="",AS161="",AU161="",AW161="",AY161="")),"No",IF(AND(C161="",OR(I161&lt;&gt;"",K161&lt;&gt;"",M161&lt;&gt;"",O161&lt;&gt;"",S161&lt;&gt;"",U161&lt;&gt;"",AA161&lt;&gt;"",AG161&lt;&gt;"",AI161&lt;&gt;"",AK161&lt;&gt;"",AM161&lt;&gt;"",AO161&lt;&gt;"",AQ161&lt;&gt;"",AS161&lt;&gt;"",AU161&lt;&gt;"",AW161&lt;&gt;"",AY161&lt;&gt;"",BA161&lt;&gt;"",BC161&lt;&gt;"")),"No",IF(AND(C161="",I161="",K161="",M161="",O161="",S161="",U161="",AA161="",AG161="",AI161="",AK161="",AM161="",AO161="",AQ161="",AS161="",AU161="",AW161="",AY161="",BA161=""),"N/A","Yes")))</f>
        <v>N/A</v>
      </c>
      <c r="BI161" s="898"/>
      <c r="BJ161" s="899" t="b">
        <f>IF(AND(OR(I161&lt;&gt;"",K161&lt;&gt;"",M161&lt;&gt;"",O161&lt;&gt;"",S161&lt;&gt;"",U161&lt;&gt;"",AA161&lt;&gt;"",AG161&lt;&gt;"",AI161&lt;&gt;"",AK161&lt;&gt;"",AM161&lt;&gt;"",AO161&lt;&gt;"",AQ161&lt;&gt;"",AS161&lt;&gt;"",AW161&lt;&gt;"",AY161&lt;&gt;"",BA161&lt;&gt;"",BC161&lt;&gt;""),C161=""),TRUE,FALSE)</f>
        <v>0</v>
      </c>
      <c r="BK161" s="898" t="b">
        <f>IF(BL161=TRUE,FALSE,IF(SUM(K161,O161)&gt;I161,TRUE,FALSE))</f>
        <v>0</v>
      </c>
      <c r="BL161" s="899" t="b">
        <f>IF(AND(C161&lt;&gt;"",I161=""),TRUE,FALSE)</f>
        <v>0</v>
      </c>
      <c r="BM161" s="898" t="b">
        <f>IF(BN161=TRUE,FALSE,IF(M161&gt;K161,TRUE,FALSE))</f>
        <v>0</v>
      </c>
      <c r="BN161" s="899" t="b">
        <f>IF(AND($C161&lt;&gt;"",K161=""),TRUE,FALSE)</f>
        <v>0</v>
      </c>
      <c r="BO161" s="898"/>
      <c r="BP161" s="899" t="b">
        <f>IF(AND($C161&lt;&gt;"",M161=""),TRUE,FALSE)</f>
        <v>0</v>
      </c>
      <c r="BQ161" s="898"/>
      <c r="BR161" s="899" t="b">
        <f>IF(AND($C161&lt;&gt;"",O161=""),TRUE,FALSE)</f>
        <v>0</v>
      </c>
      <c r="BS161" s="898" t="b">
        <f>IF(AND(S161="",OR(U161&lt;&gt;"",AA161&lt;&gt;"",AG161&lt;&gt;"",AI161&lt;&gt;"",AK161&lt;&gt;"",AM161&lt;&gt;"",AO161&lt;&gt;"",AQ161&lt;&gt;"",AS161&lt;&gt;"",AU161&lt;&gt;"",AW161&lt;&gt;"",AY161&lt;&gt;"",BA161&lt;&gt;"")),TRUE,FALSE)</f>
        <v>0</v>
      </c>
      <c r="BT161" s="899" t="b">
        <f>IF(AND($C161&lt;&gt;"",S161=""),TRUE,FALSE)</f>
        <v>0</v>
      </c>
      <c r="BU161" s="898"/>
      <c r="BV161" s="899" t="b">
        <f>IF(AND($C161&lt;&gt;"",U161=""),TRUE,FALSE)</f>
        <v>0</v>
      </c>
      <c r="BW161" s="1537" t="b">
        <f>IF(BX161=TRUE,FALSE,IF(AA161="",FALSE,IF(OR(AA161&lt;CX161,AA161&gt;BaseYear),TRUE,FALSE)))</f>
        <v>0</v>
      </c>
      <c r="BX161" s="899" t="b">
        <f>IF(AND($C161&lt;&gt;"",AA161=""),TRUE,FALSE)</f>
        <v>0</v>
      </c>
      <c r="BY161" s="898"/>
      <c r="BZ161" s="899" t="b">
        <f>IF(AND($C161&lt;&gt;"",AG161=""),TRUE,FALSE)</f>
        <v>0</v>
      </c>
      <c r="CA161" s="898"/>
      <c r="CB161" s="899" t="b">
        <f>IF(AND($C161&lt;&gt;"",AI161=""),TRUE,FALSE)</f>
        <v>0</v>
      </c>
      <c r="CC161" s="1537" t="b">
        <f>IF(AK161="",FALSE,IF(OR(AK161&lt;CX161,AK161&gt;BaseYear),TRUE,FALSE))</f>
        <v>0</v>
      </c>
      <c r="CD161" s="1538" t="b">
        <f>IF(AK161="",FALSE,IF(AK161&lt;AA161,TRUE,FALSE))</f>
        <v>0</v>
      </c>
      <c r="CE161" s="899" t="b">
        <f>IF(AND($AM161&lt;&gt;"",AK161=""),TRUE,FALSE)</f>
        <v>0</v>
      </c>
      <c r="CF161" s="898"/>
      <c r="CG161" s="898" t="b">
        <f>IF(AND($AK161&lt;&gt;"",AM161=""),TRUE,FALSE)</f>
        <v>0</v>
      </c>
      <c r="CH161" s="898"/>
      <c r="CI161" s="899" t="b">
        <f>IF(AND($C161&lt;&gt;"",AO161=""),TRUE,FALSE)</f>
        <v>0</v>
      </c>
      <c r="CJ161" s="1537"/>
      <c r="CK161" s="899" t="b">
        <f>IF(AND($C161&lt;&gt;"",AQ161=""),TRUE,FALSE)</f>
        <v>0</v>
      </c>
      <c r="CL161" s="898"/>
      <c r="CM161" s="899" t="b">
        <f>IF(AND($C161&lt;&gt;"",AS161=""),TRUE,FALSE)</f>
        <v>0</v>
      </c>
      <c r="CN161" s="898"/>
      <c r="CO161" s="899" t="b">
        <f>IF(AND($C161&lt;&gt;"",AU161=""),TRUE,FALSE)</f>
        <v>0</v>
      </c>
      <c r="CP161" s="898"/>
      <c r="CQ161" s="899" t="b">
        <f>IF(AND($C161&lt;&gt;"",AW161=""),TRUE,FALSE)</f>
        <v>0</v>
      </c>
      <c r="CR161" s="898"/>
      <c r="CS161" s="899" t="b">
        <f>IF(AND($C161&lt;&gt;"",AY161=""),TRUE,FALSE)</f>
        <v>0</v>
      </c>
      <c r="CT161" s="898"/>
      <c r="CU161" s="898" t="b">
        <f>IF(AND($C161&lt;&gt;"",BA161=""),TRUE,FALSE)</f>
        <v>0</v>
      </c>
      <c r="CV161" s="894"/>
      <c r="CW161" s="898" t="str">
        <f t="shared" si="38"/>
        <v/>
      </c>
      <c r="CX161" s="898" t="str">
        <f>IFERROR(IF(AND(S161="",S161&lt;&gt;""),1913,VLOOKUP(S161,Valid!$B$99:$J$120,9)),"")</f>
        <v/>
      </c>
      <c r="CY161" s="898" t="str">
        <f t="shared" ca="1" si="39"/>
        <v/>
      </c>
      <c r="CZ161" s="1547" t="str">
        <f t="shared" ca="1" si="44"/>
        <v/>
      </c>
      <c r="DA161" s="898" t="str">
        <f ca="1">IF(CZ161="", "", IF(1+(CZ161*4)&lt;1, 1, 1+(CZ161*4)))</f>
        <v/>
      </c>
      <c r="DB161" s="898" t="str">
        <f t="shared" si="40"/>
        <v/>
      </c>
      <c r="DC161" s="898" t="str">
        <f t="shared" si="41"/>
        <v/>
      </c>
      <c r="DD161" s="1539" t="str">
        <f>IFERROR(IF(AND(AM161="",C161&lt;&gt;""),Valid!$E$123,VLOOKUP(AM161,Valid!$B$123:$F$125,4,FALSE)),"")</f>
        <v/>
      </c>
      <c r="DE161" s="1539" t="str">
        <f>IFERROR(IF(AND(AM161="",C161&lt;&gt;""),Valid!$F$123,VLOOKUP(AM161,Valid!$B$123:$F$125,5,FALSE)),"")</f>
        <v/>
      </c>
      <c r="DF161" s="1539" t="str">
        <f>IFERROR(VLOOKUP('A-70 RevVehInv'!S161,Valid!$B$99:$I$120,7), "")</f>
        <v/>
      </c>
      <c r="DG161" s="1539" t="str">
        <f>IFERROR(VLOOKUP(S161,Valid!$B$99:$I$120,8), "")</f>
        <v/>
      </c>
      <c r="DH161" s="894"/>
    </row>
    <row r="162" spans="1:112" ht="6.75" customHeight="1" x14ac:dyDescent="0.2">
      <c r="A162" s="1517"/>
      <c r="B162" s="1530">
        <v>75.5</v>
      </c>
      <c r="C162" s="1540"/>
      <c r="D162" s="905"/>
      <c r="E162" s="1541"/>
      <c r="F162" s="905"/>
      <c r="G162" s="905"/>
      <c r="H162" s="905"/>
      <c r="I162" s="1534"/>
      <c r="J162" s="905"/>
      <c r="K162" s="1534"/>
      <c r="L162" s="905"/>
      <c r="M162" s="1534"/>
      <c r="N162" s="905"/>
      <c r="O162" s="1534"/>
      <c r="P162" s="905"/>
      <c r="Q162" s="1534"/>
      <c r="R162" s="1531"/>
      <c r="S162" s="1542"/>
      <c r="T162" s="905"/>
      <c r="U162" s="1542"/>
      <c r="V162" s="905"/>
      <c r="W162" s="1534" t="str">
        <f t="shared" si="36"/>
        <v/>
      </c>
      <c r="X162" s="905"/>
      <c r="Y162" s="1534"/>
      <c r="Z162" s="252" t="str">
        <f t="shared" si="37"/>
        <v/>
      </c>
      <c r="AA162" s="1534"/>
      <c r="AB162" s="905"/>
      <c r="AC162" s="1973" t="str">
        <f t="shared" si="42"/>
        <v/>
      </c>
      <c r="AD162" s="905"/>
      <c r="AE162" s="1985" t="str">
        <f t="shared" si="43"/>
        <v/>
      </c>
      <c r="AF162" s="905"/>
      <c r="AG162" s="1543"/>
      <c r="AH162" s="1531"/>
      <c r="AI162" s="1534"/>
      <c r="AJ162" s="1531"/>
      <c r="AK162" s="1534"/>
      <c r="AL162" s="1531"/>
      <c r="AM162" s="1543"/>
      <c r="AN162" s="1531"/>
      <c r="AO162" s="1543"/>
      <c r="AP162" s="1531"/>
      <c r="AQ162" s="1534"/>
      <c r="AR162" s="1531"/>
      <c r="AS162" s="1534"/>
      <c r="AT162" s="1531"/>
      <c r="AU162" s="1534"/>
      <c r="AV162" s="1531"/>
      <c r="AW162" s="1534"/>
      <c r="AX162" s="1531"/>
      <c r="AY162" s="1534"/>
      <c r="AZ162" s="1531"/>
      <c r="BA162" s="1543"/>
      <c r="BB162" s="1531"/>
      <c r="BC162" s="1534"/>
      <c r="BD162" s="1531"/>
      <c r="BE162" s="1531"/>
      <c r="BF162" s="1531"/>
      <c r="BG162" s="1531"/>
      <c r="BH162" s="1531"/>
      <c r="BI162" s="1535"/>
      <c r="BJ162" s="1534"/>
      <c r="BK162" s="1535"/>
      <c r="BL162" s="1534"/>
      <c r="BM162" s="1535"/>
      <c r="BN162" s="1534"/>
      <c r="BO162" s="1535"/>
      <c r="BP162" s="1534"/>
      <c r="BQ162" s="1535"/>
      <c r="BR162" s="1534"/>
      <c r="BS162" s="1535"/>
      <c r="BT162" s="1534"/>
      <c r="BU162" s="1535"/>
      <c r="BV162" s="1534"/>
      <c r="BW162" s="1535"/>
      <c r="BX162" s="1534"/>
      <c r="BY162" s="1535"/>
      <c r="BZ162" s="1534"/>
      <c r="CA162" s="1535"/>
      <c r="CB162" s="1534"/>
      <c r="CC162" s="1535"/>
      <c r="CD162" s="1534"/>
      <c r="CE162" s="1534"/>
      <c r="CF162" s="1535"/>
      <c r="CG162" s="1534"/>
      <c r="CH162" s="1535"/>
      <c r="CI162" s="1534"/>
      <c r="CJ162" s="1535"/>
      <c r="CK162" s="1534"/>
      <c r="CL162" s="1535"/>
      <c r="CM162" s="1534"/>
      <c r="CN162" s="1535"/>
      <c r="CO162" s="1534"/>
      <c r="CP162" s="1535"/>
      <c r="CQ162" s="1534"/>
      <c r="CR162" s="1535"/>
      <c r="CS162" s="1534"/>
      <c r="CT162" s="1535"/>
      <c r="CU162" s="1535"/>
      <c r="CV162" s="1531"/>
      <c r="CW162" s="898" t="str">
        <f t="shared" si="38"/>
        <v/>
      </c>
      <c r="CX162" s="898" t="str">
        <f>IFERROR(IF(AND(S162="",S162&lt;&gt;""),1913,VLOOKUP(S162,Valid!$B$99:$J$120,9)),"")</f>
        <v/>
      </c>
      <c r="CY162" s="898" t="str">
        <f t="shared" ca="1" si="39"/>
        <v/>
      </c>
      <c r="CZ162" s="1547" t="str">
        <f t="shared" ca="1" si="44"/>
        <v/>
      </c>
      <c r="DA162" s="898"/>
      <c r="DB162" s="898" t="str">
        <f t="shared" si="40"/>
        <v/>
      </c>
      <c r="DC162" s="898" t="str">
        <f t="shared" si="41"/>
        <v/>
      </c>
      <c r="DD162" s="1539" t="str">
        <f>IFERROR(IF(AND(AM162="",C162&lt;&gt;""),Valid!$E$123,VLOOKUP(AM162,Valid!$B$123:$F$125,4,FALSE)),"")</f>
        <v/>
      </c>
      <c r="DE162" s="1539" t="str">
        <f>IFERROR(IF(AND(AM162="",C162&lt;&gt;""),Valid!$F$123,VLOOKUP(AM162,Valid!$B$123:$F$125,5,FALSE)),"")</f>
        <v/>
      </c>
      <c r="DF162" s="1539" t="str">
        <f>IFERROR(VLOOKUP('A-70 RevVehInv'!S162,Valid!$B$99:$I$120,7), "")</f>
        <v/>
      </c>
      <c r="DG162" s="1539" t="str">
        <f>IFERROR(VLOOKUP(S162,Valid!$B$99:$I$120,8), "")</f>
        <v/>
      </c>
      <c r="DH162" s="1531"/>
    </row>
    <row r="163" spans="1:112" s="930" customFormat="1" x14ac:dyDescent="0.2">
      <c r="A163" s="206">
        <v>76</v>
      </c>
      <c r="B163" s="1530">
        <v>76</v>
      </c>
      <c r="C163" s="933"/>
      <c r="D163" s="719" t="str">
        <f>IF(C161="","",IF((C163=""),"Enter RVI ID. then Fill in Columns "&amp;TEXT($I$2,0)&amp;" - "&amp;TEXT($BA$2,0)&amp;"       ",""))</f>
        <v/>
      </c>
      <c r="E163" s="1056" t="str">
        <f>IF(BH163="N/A","",BH163)</f>
        <v/>
      </c>
      <c r="F163" s="1536"/>
      <c r="G163" s="1536"/>
      <c r="H163" s="1536"/>
      <c r="I163" s="1023"/>
      <c r="J163" s="1536" t="str">
        <f>IF(E163&lt;&gt;"","Vehicles?    ","")</f>
        <v/>
      </c>
      <c r="K163" s="1023"/>
      <c r="L163" s="1536" t="str">
        <f>IF(E163&lt;&gt;"","Active Vehicles?     ","")</f>
        <v/>
      </c>
      <c r="M163" s="1023"/>
      <c r="N163" s="1536" t="str">
        <f>IF(E163&lt;&gt;"","ADA Vehicles?       ","")</f>
        <v/>
      </c>
      <c r="O163" s="1023"/>
      <c r="P163" s="1536" t="str">
        <f>IF(E163&lt;&gt;"","Cont. Vehicles?     ","")</f>
        <v/>
      </c>
      <c r="Q163" s="1024"/>
      <c r="R163" s="894"/>
      <c r="S163" s="1153"/>
      <c r="T163" s="252" t="str">
        <f>IF(E163&lt;&gt;"","Select from Pull-Down List    ","")</f>
        <v/>
      </c>
      <c r="U163" s="933"/>
      <c r="V163" s="252" t="str">
        <f>IF(E163&lt;&gt;"","Select from Pull-Down List    ","")</f>
        <v/>
      </c>
      <c r="W163" s="1766" t="str">
        <f t="shared" si="36"/>
        <v/>
      </c>
      <c r="X163" s="252"/>
      <c r="Y163" s="1988"/>
      <c r="Z163" s="252" t="str">
        <f t="shared" si="37"/>
        <v/>
      </c>
      <c r="AA163" s="139"/>
      <c r="AB163" s="252" t="str">
        <f>IF(E163&lt;&gt;"","Mfg. Yr?    ","")</f>
        <v/>
      </c>
      <c r="AC163" s="1974" t="str">
        <f t="shared" si="42"/>
        <v/>
      </c>
      <c r="AD163" s="252"/>
      <c r="AE163" s="1986" t="str">
        <f t="shared" si="43"/>
        <v/>
      </c>
      <c r="AF163" s="252"/>
      <c r="AG163" s="933"/>
      <c r="AH163" s="252" t="str">
        <f>IF(E163&lt;&gt;"","Select from Pull-Down List    ","")</f>
        <v/>
      </c>
      <c r="AI163" s="933"/>
      <c r="AJ163" s="252" t="str">
        <f>IF(E163&lt;&gt;"","Number?   ","")</f>
        <v/>
      </c>
      <c r="AK163" s="139"/>
      <c r="AL163" s="252" t="str">
        <f>IF(E163&lt;&gt;"","Last Rnwl. Yr?   ","")</f>
        <v/>
      </c>
      <c r="AM163" s="933"/>
      <c r="AN163" s="252" t="str">
        <f>IF(E163&lt;&gt;"","Select from Pull-Down List    ","")</f>
        <v/>
      </c>
      <c r="AO163" s="933"/>
      <c r="AP163" s="252" t="str">
        <f>IF(E163&lt;&gt;"","Select from Pull-Down List    ","")</f>
        <v/>
      </c>
      <c r="AQ163" s="1023"/>
      <c r="AR163" s="252" t="str">
        <f>IF(E163&lt;&gt;"","Feet?    ","")</f>
        <v/>
      </c>
      <c r="AS163" s="1023"/>
      <c r="AT163" s="252" t="str">
        <f>IF(E163&lt;&gt;"","Seats?    ","")</f>
        <v/>
      </c>
      <c r="AU163" s="1023"/>
      <c r="AV163" s="252" t="str">
        <f>IF(E163&lt;&gt;"","Standing?    ","")</f>
        <v/>
      </c>
      <c r="AW163" s="1023"/>
      <c r="AX163" s="252" t="str">
        <f>IF(E163&lt;&gt;"","Mileage?       ","")</f>
        <v/>
      </c>
      <c r="AY163" s="1023"/>
      <c r="AZ163" s="252" t="str">
        <f>IF(E163&lt;&gt;"","Avg. Lifetime Mileage? ","")</f>
        <v/>
      </c>
      <c r="BA163" s="933"/>
      <c r="BB163" s="252" t="str">
        <f>IF(E163&lt;&gt;"","Select from Pull-Down List    ","")</f>
        <v/>
      </c>
      <c r="BC163" s="171"/>
      <c r="BD163" s="252" t="str">
        <f>IF(OR(AO163="OR - Other fuel (describe in Notes)",AG163="ZZZ - Other (describe in Notes)"),"Describe                                                                                                     ","")</f>
        <v/>
      </c>
      <c r="BE163" s="894"/>
      <c r="BF163" s="894"/>
      <c r="BG163" s="894" t="b">
        <f>IF(AND(C163="",C165&lt;&gt;""),TRUE,FALSE)</f>
        <v>0</v>
      </c>
      <c r="BH163" s="888" t="str">
        <f>IF(AND(C163&lt;&gt;"",OR(I163="",K163="",M163="",O163="",S163="",U163="",AA163="",AG163="",AI163="",AO163="",AQ163="",AS163="",AU163="",AW163="",AY163="")),"No",IF(AND(C163="",OR(I163&lt;&gt;"",K163&lt;&gt;"",M163&lt;&gt;"",O163&lt;&gt;"",S163&lt;&gt;"",U163&lt;&gt;"",AA163&lt;&gt;"",AG163&lt;&gt;"",AI163&lt;&gt;"",AK163&lt;&gt;"",AM163&lt;&gt;"",AO163&lt;&gt;"",AQ163&lt;&gt;"",AS163&lt;&gt;"",AU163&lt;&gt;"",AW163&lt;&gt;"",AY163&lt;&gt;"",BA163&lt;&gt;"",BC163&lt;&gt;"")),"No",IF(AND(C163="",I163="",K163="",M163="",O163="",S163="",U163="",AA163="",AG163="",AI163="",AK163="",AM163="",AO163="",AQ163="",AS163="",AU163="",AW163="",AY163="",BA163=""),"N/A","Yes")))</f>
        <v>N/A</v>
      </c>
      <c r="BI163" s="898"/>
      <c r="BJ163" s="899" t="b">
        <f>IF(AND(OR(I163&lt;&gt;"",K163&lt;&gt;"",M163&lt;&gt;"",O163&lt;&gt;"",S163&lt;&gt;"",U163&lt;&gt;"",AA163&lt;&gt;"",AG163&lt;&gt;"",AI163&lt;&gt;"",AK163&lt;&gt;"",AM163&lt;&gt;"",AO163&lt;&gt;"",AQ163&lt;&gt;"",AS163&lt;&gt;"",AW163&lt;&gt;"",AY163&lt;&gt;"",BA163&lt;&gt;"",BC163&lt;&gt;""),C163=""),TRUE,FALSE)</f>
        <v>0</v>
      </c>
      <c r="BK163" s="898" t="b">
        <f>IF(BL163=TRUE,FALSE,IF(SUM(K163,O163)&gt;I163,TRUE,FALSE))</f>
        <v>0</v>
      </c>
      <c r="BL163" s="899" t="b">
        <f>IF(AND(C163&lt;&gt;"",I163=""),TRUE,FALSE)</f>
        <v>0</v>
      </c>
      <c r="BM163" s="898" t="b">
        <f>IF(BN163=TRUE,FALSE,IF(M163&gt;K163,TRUE,FALSE))</f>
        <v>0</v>
      </c>
      <c r="BN163" s="899" t="b">
        <f>IF(AND($C163&lt;&gt;"",K163=""),TRUE,FALSE)</f>
        <v>0</v>
      </c>
      <c r="BO163" s="898"/>
      <c r="BP163" s="899" t="b">
        <f>IF(AND($C163&lt;&gt;"",M163=""),TRUE,FALSE)</f>
        <v>0</v>
      </c>
      <c r="BQ163" s="898"/>
      <c r="BR163" s="899" t="b">
        <f>IF(AND($C163&lt;&gt;"",O163=""),TRUE,FALSE)</f>
        <v>0</v>
      </c>
      <c r="BS163" s="898" t="b">
        <f>IF(AND(S163="",OR(U163&lt;&gt;"",AA163&lt;&gt;"",AG163&lt;&gt;"",AI163&lt;&gt;"",AK163&lt;&gt;"",AM163&lt;&gt;"",AO163&lt;&gt;"",AQ163&lt;&gt;"",AS163&lt;&gt;"",AU163&lt;&gt;"",AW163&lt;&gt;"",AY163&lt;&gt;"",BA163&lt;&gt;"")),TRUE,FALSE)</f>
        <v>0</v>
      </c>
      <c r="BT163" s="899" t="b">
        <f>IF(AND($C163&lt;&gt;"",S163=""),TRUE,FALSE)</f>
        <v>0</v>
      </c>
      <c r="BU163" s="898"/>
      <c r="BV163" s="899" t="b">
        <f>IF(AND($C163&lt;&gt;"",U163=""),TRUE,FALSE)</f>
        <v>0</v>
      </c>
      <c r="BW163" s="1537" t="b">
        <f>IF(BX163=TRUE,FALSE,IF(AA163="",FALSE,IF(OR(AA163&lt;CX163,AA163&gt;BaseYear),TRUE,FALSE)))</f>
        <v>0</v>
      </c>
      <c r="BX163" s="899" t="b">
        <f>IF(AND($C163&lt;&gt;"",AA163=""),TRUE,FALSE)</f>
        <v>0</v>
      </c>
      <c r="BY163" s="898"/>
      <c r="BZ163" s="899" t="b">
        <f>IF(AND($C163&lt;&gt;"",AG163=""),TRUE,FALSE)</f>
        <v>0</v>
      </c>
      <c r="CA163" s="898"/>
      <c r="CB163" s="899" t="b">
        <f>IF(AND($C163&lt;&gt;"",AI163=""),TRUE,FALSE)</f>
        <v>0</v>
      </c>
      <c r="CC163" s="1537" t="b">
        <f>IF(AK163="",FALSE,IF(OR(AK163&lt;CX163,AK163&gt;BaseYear),TRUE,FALSE))</f>
        <v>0</v>
      </c>
      <c r="CD163" s="1538" t="b">
        <f>IF(AK163="",FALSE,IF(AK163&lt;AA163,TRUE,FALSE))</f>
        <v>0</v>
      </c>
      <c r="CE163" s="899" t="b">
        <f>IF(AND($AM163&lt;&gt;"",AK163=""),TRUE,FALSE)</f>
        <v>0</v>
      </c>
      <c r="CF163" s="898"/>
      <c r="CG163" s="898" t="b">
        <f>IF(AND($AK163&lt;&gt;"",AM163=""),TRUE,FALSE)</f>
        <v>0</v>
      </c>
      <c r="CH163" s="898"/>
      <c r="CI163" s="899" t="b">
        <f>IF(AND($C163&lt;&gt;"",AO163=""),TRUE,FALSE)</f>
        <v>0</v>
      </c>
      <c r="CJ163" s="1537"/>
      <c r="CK163" s="899" t="b">
        <f>IF(AND($C163&lt;&gt;"",AQ163=""),TRUE,FALSE)</f>
        <v>0</v>
      </c>
      <c r="CL163" s="898"/>
      <c r="CM163" s="899" t="b">
        <f>IF(AND($C163&lt;&gt;"",AS163=""),TRUE,FALSE)</f>
        <v>0</v>
      </c>
      <c r="CN163" s="898"/>
      <c r="CO163" s="899" t="b">
        <f>IF(AND($C163&lt;&gt;"",AU163=""),TRUE,FALSE)</f>
        <v>0</v>
      </c>
      <c r="CP163" s="898"/>
      <c r="CQ163" s="899" t="b">
        <f>IF(AND($C163&lt;&gt;"",AW163=""),TRUE,FALSE)</f>
        <v>0</v>
      </c>
      <c r="CR163" s="898"/>
      <c r="CS163" s="899" t="b">
        <f>IF(AND($C163&lt;&gt;"",AY163=""),TRUE,FALSE)</f>
        <v>0</v>
      </c>
      <c r="CT163" s="898"/>
      <c r="CU163" s="898" t="b">
        <f>IF(AND($C163&lt;&gt;"",BA163=""),TRUE,FALSE)</f>
        <v>0</v>
      </c>
      <c r="CV163" s="894"/>
      <c r="CW163" s="898" t="str">
        <f t="shared" si="38"/>
        <v/>
      </c>
      <c r="CX163" s="898" t="str">
        <f>IFERROR(IF(AND(S163="",S163&lt;&gt;""),1913,VLOOKUP(S163,Valid!$B$99:$J$120,9)),"")</f>
        <v/>
      </c>
      <c r="CY163" s="898" t="str">
        <f t="shared" ca="1" si="39"/>
        <v/>
      </c>
      <c r="CZ163" s="1547" t="str">
        <f t="shared" ca="1" si="44"/>
        <v/>
      </c>
      <c r="DA163" s="898" t="str">
        <f ca="1">IF(CZ163="", "", IF(1+(CZ163*4)&lt;1, 1, 1+(CZ163*4)))</f>
        <v/>
      </c>
      <c r="DB163" s="898" t="str">
        <f t="shared" si="40"/>
        <v/>
      </c>
      <c r="DC163" s="898" t="str">
        <f t="shared" si="41"/>
        <v/>
      </c>
      <c r="DD163" s="1539" t="str">
        <f>IFERROR(IF(AND(AM163="",C163&lt;&gt;""),Valid!$E$123,VLOOKUP(AM163,Valid!$B$123:$F$125,4,FALSE)),"")</f>
        <v/>
      </c>
      <c r="DE163" s="1539" t="str">
        <f>IFERROR(IF(AND(AM163="",C163&lt;&gt;""),Valid!$F$123,VLOOKUP(AM163,Valid!$B$123:$F$125,5,FALSE)),"")</f>
        <v/>
      </c>
      <c r="DF163" s="1539" t="str">
        <f>IFERROR(VLOOKUP('A-70 RevVehInv'!S163,Valid!$B$99:$I$120,7), "")</f>
        <v/>
      </c>
      <c r="DG163" s="1539" t="str">
        <f>IFERROR(VLOOKUP(S163,Valid!$B$99:$I$120,8), "")</f>
        <v/>
      </c>
      <c r="DH163" s="894"/>
    </row>
    <row r="164" spans="1:112" ht="6.75" customHeight="1" x14ac:dyDescent="0.2">
      <c r="A164" s="1517"/>
      <c r="B164" s="1530">
        <v>76.5</v>
      </c>
      <c r="C164" s="1544"/>
      <c r="D164" s="905"/>
      <c r="E164" s="1545"/>
      <c r="F164" s="905"/>
      <c r="G164" s="905"/>
      <c r="H164" s="905"/>
      <c r="I164" s="1531"/>
      <c r="J164" s="905"/>
      <c r="K164" s="1531"/>
      <c r="L164" s="905"/>
      <c r="M164" s="1531"/>
      <c r="N164" s="905"/>
      <c r="O164" s="1531"/>
      <c r="P164" s="905"/>
      <c r="Q164" s="1531"/>
      <c r="R164" s="1531"/>
      <c r="S164" s="1533"/>
      <c r="T164" s="905"/>
      <c r="U164" s="1533"/>
      <c r="V164" s="905"/>
      <c r="W164" s="1531" t="str">
        <f t="shared" si="36"/>
        <v/>
      </c>
      <c r="X164" s="905"/>
      <c r="Y164" s="1531"/>
      <c r="Z164" s="252" t="str">
        <f t="shared" si="37"/>
        <v/>
      </c>
      <c r="AA164" s="1531"/>
      <c r="AB164" s="905"/>
      <c r="AC164" s="1971" t="str">
        <f t="shared" si="42"/>
        <v/>
      </c>
      <c r="AD164" s="905"/>
      <c r="AE164" s="1983" t="str">
        <f t="shared" si="43"/>
        <v/>
      </c>
      <c r="AF164" s="905"/>
      <c r="AG164" s="1546"/>
      <c r="AH164" s="1531"/>
      <c r="AI164" s="1531"/>
      <c r="AJ164" s="1531"/>
      <c r="AK164" s="1531"/>
      <c r="AL164" s="1531"/>
      <c r="AM164" s="1546"/>
      <c r="AN164" s="1531"/>
      <c r="AO164" s="1546"/>
      <c r="AP164" s="1531"/>
      <c r="AQ164" s="1531"/>
      <c r="AR164" s="1531"/>
      <c r="AS164" s="1531"/>
      <c r="AT164" s="1531"/>
      <c r="AU164" s="1531"/>
      <c r="AV164" s="1531"/>
      <c r="AW164" s="1531"/>
      <c r="AX164" s="1531"/>
      <c r="AY164" s="1531"/>
      <c r="AZ164" s="1531"/>
      <c r="BA164" s="1546"/>
      <c r="BB164" s="1531"/>
      <c r="BC164" s="1531"/>
      <c r="BD164" s="1531"/>
      <c r="BE164" s="1531"/>
      <c r="BF164" s="1531"/>
      <c r="BG164" s="1531"/>
      <c r="BH164" s="1531"/>
      <c r="BI164" s="1535"/>
      <c r="BJ164" s="1534"/>
      <c r="BK164" s="1535"/>
      <c r="BL164" s="1534"/>
      <c r="BM164" s="1535"/>
      <c r="BN164" s="1534"/>
      <c r="BO164" s="1535"/>
      <c r="BP164" s="1534"/>
      <c r="BQ164" s="1535"/>
      <c r="BR164" s="1534"/>
      <c r="BS164" s="1535"/>
      <c r="BT164" s="1534"/>
      <c r="BU164" s="1535"/>
      <c r="BV164" s="1534"/>
      <c r="BW164" s="1535"/>
      <c r="BX164" s="1534"/>
      <c r="BY164" s="1535"/>
      <c r="BZ164" s="1534"/>
      <c r="CA164" s="1535"/>
      <c r="CB164" s="1534"/>
      <c r="CC164" s="1535"/>
      <c r="CD164" s="1534"/>
      <c r="CE164" s="1534"/>
      <c r="CF164" s="1535"/>
      <c r="CG164" s="1534"/>
      <c r="CH164" s="1535"/>
      <c r="CI164" s="1534"/>
      <c r="CJ164" s="1535"/>
      <c r="CK164" s="1534"/>
      <c r="CL164" s="1535"/>
      <c r="CM164" s="1534"/>
      <c r="CN164" s="1535"/>
      <c r="CO164" s="1534"/>
      <c r="CP164" s="1535"/>
      <c r="CQ164" s="1534"/>
      <c r="CR164" s="1535"/>
      <c r="CS164" s="1534"/>
      <c r="CT164" s="1535"/>
      <c r="CU164" s="1535"/>
      <c r="CV164" s="1531"/>
      <c r="CW164" s="898" t="str">
        <f t="shared" si="38"/>
        <v/>
      </c>
      <c r="CX164" s="898" t="str">
        <f>IFERROR(IF(AND(S164="",S164&lt;&gt;""),1913,VLOOKUP(S164,Valid!$B$99:$J$120,9)),"")</f>
        <v/>
      </c>
      <c r="CY164" s="898" t="str">
        <f t="shared" ca="1" si="39"/>
        <v/>
      </c>
      <c r="CZ164" s="1547" t="str">
        <f t="shared" ca="1" si="44"/>
        <v/>
      </c>
      <c r="DA164" s="898"/>
      <c r="DB164" s="898" t="str">
        <f t="shared" si="40"/>
        <v/>
      </c>
      <c r="DC164" s="898" t="str">
        <f t="shared" si="41"/>
        <v/>
      </c>
      <c r="DD164" s="1539" t="str">
        <f>IFERROR(IF(AND(AM164="",C164&lt;&gt;""),Valid!$E$123,VLOOKUP(AM164,Valid!$B$123:$F$125,4,FALSE)),"")</f>
        <v/>
      </c>
      <c r="DE164" s="1539" t="str">
        <f>IFERROR(IF(AND(AM164="",C164&lt;&gt;""),Valid!$F$123,VLOOKUP(AM164,Valid!$B$123:$F$125,5,FALSE)),"")</f>
        <v/>
      </c>
      <c r="DF164" s="1539" t="str">
        <f>IFERROR(VLOOKUP('A-70 RevVehInv'!S164,Valid!$B$99:$I$120,7), "")</f>
        <v/>
      </c>
      <c r="DG164" s="1539" t="str">
        <f>IFERROR(VLOOKUP(S164,Valid!$B$99:$I$120,8), "")</f>
        <v/>
      </c>
      <c r="DH164" s="1531"/>
    </row>
    <row r="165" spans="1:112" s="930" customFormat="1" x14ac:dyDescent="0.2">
      <c r="A165" s="206">
        <v>77</v>
      </c>
      <c r="B165" s="1530">
        <v>77</v>
      </c>
      <c r="C165" s="933"/>
      <c r="D165" s="719" t="str">
        <f>IF(C163="","",IF((C165=""),"Enter RVI ID. then Fill in Columns "&amp;TEXT($I$2,0)&amp;" - "&amp;TEXT($BA$2,0)&amp;"       ",""))</f>
        <v/>
      </c>
      <c r="E165" s="1056" t="str">
        <f>IF(BH165="N/A","",BH165)</f>
        <v/>
      </c>
      <c r="F165" s="1536"/>
      <c r="G165" s="1536"/>
      <c r="H165" s="1536"/>
      <c r="I165" s="1023"/>
      <c r="J165" s="1536" t="str">
        <f>IF(E165&lt;&gt;"","Vehicles?    ","")</f>
        <v/>
      </c>
      <c r="K165" s="1023"/>
      <c r="L165" s="1536" t="str">
        <f>IF(E165&lt;&gt;"","Active Vehicles?     ","")</f>
        <v/>
      </c>
      <c r="M165" s="1023"/>
      <c r="N165" s="1536" t="str">
        <f>IF(E165&lt;&gt;"","ADA Vehicles?       ","")</f>
        <v/>
      </c>
      <c r="O165" s="1023"/>
      <c r="P165" s="1536" t="str">
        <f>IF(E165&lt;&gt;"","Cont. Vehicles?     ","")</f>
        <v/>
      </c>
      <c r="Q165" s="1024"/>
      <c r="R165" s="894"/>
      <c r="S165" s="1153"/>
      <c r="T165" s="252" t="str">
        <f>IF(E165&lt;&gt;"","Select from Pull-Down List    ","")</f>
        <v/>
      </c>
      <c r="U165" s="933"/>
      <c r="V165" s="252" t="str">
        <f>IF(E165&lt;&gt;"","Select from Pull-Down List    ","")</f>
        <v/>
      </c>
      <c r="W165" s="1766" t="str">
        <f t="shared" si="36"/>
        <v/>
      </c>
      <c r="X165" s="252"/>
      <c r="Y165" s="1988"/>
      <c r="Z165" s="252" t="str">
        <f t="shared" si="37"/>
        <v/>
      </c>
      <c r="AA165" s="139"/>
      <c r="AB165" s="252" t="str">
        <f>IF(E165&lt;&gt;"","Mfg. Yr?    ","")</f>
        <v/>
      </c>
      <c r="AC165" s="1974" t="str">
        <f t="shared" si="42"/>
        <v/>
      </c>
      <c r="AD165" s="252"/>
      <c r="AE165" s="1986" t="str">
        <f t="shared" si="43"/>
        <v/>
      </c>
      <c r="AF165" s="252"/>
      <c r="AG165" s="933"/>
      <c r="AH165" s="252" t="str">
        <f>IF(E165&lt;&gt;"","Select from Pull-Down List    ","")</f>
        <v/>
      </c>
      <c r="AI165" s="933"/>
      <c r="AJ165" s="252" t="str">
        <f>IF(E165&lt;&gt;"","Number?   ","")</f>
        <v/>
      </c>
      <c r="AK165" s="139"/>
      <c r="AL165" s="252" t="str">
        <f>IF(E165&lt;&gt;"","Last Rnwl. Yr?   ","")</f>
        <v/>
      </c>
      <c r="AM165" s="933"/>
      <c r="AN165" s="252" t="str">
        <f>IF(E165&lt;&gt;"","Select from Pull-Down List    ","")</f>
        <v/>
      </c>
      <c r="AO165" s="933"/>
      <c r="AP165" s="252" t="str">
        <f>IF(E165&lt;&gt;"","Select from Pull-Down List    ","")</f>
        <v/>
      </c>
      <c r="AQ165" s="1023"/>
      <c r="AR165" s="252" t="str">
        <f>IF(E165&lt;&gt;"","Feet?    ","")</f>
        <v/>
      </c>
      <c r="AS165" s="1023"/>
      <c r="AT165" s="252" t="str">
        <f>IF(E165&lt;&gt;"","Seats?    ","")</f>
        <v/>
      </c>
      <c r="AU165" s="1023"/>
      <c r="AV165" s="252" t="str">
        <f>IF(E165&lt;&gt;"","Standing?    ","")</f>
        <v/>
      </c>
      <c r="AW165" s="1023"/>
      <c r="AX165" s="252" t="str">
        <f>IF(E165&lt;&gt;"","Mileage?       ","")</f>
        <v/>
      </c>
      <c r="AY165" s="1023"/>
      <c r="AZ165" s="252" t="str">
        <f>IF(E165&lt;&gt;"","Avg. Lifetime Mileage? ","")</f>
        <v/>
      </c>
      <c r="BA165" s="933"/>
      <c r="BB165" s="252" t="str">
        <f>IF(E165&lt;&gt;"","Select from Pull-Down List    ","")</f>
        <v/>
      </c>
      <c r="BC165" s="171"/>
      <c r="BD165" s="252" t="str">
        <f>IF(OR(AO165="OR - Other fuel (describe in Notes)",AG165="ZZZ - Other (describe in Notes)"),"Describe                                                                                                     ","")</f>
        <v/>
      </c>
      <c r="BE165" s="894"/>
      <c r="BF165" s="894"/>
      <c r="BG165" s="894" t="b">
        <f>IF(AND(C165="",C167&lt;&gt;""),TRUE,FALSE)</f>
        <v>0</v>
      </c>
      <c r="BH165" s="888" t="str">
        <f>IF(AND(C165&lt;&gt;"",OR(I165="",K165="",M165="",O165="",S165="",U165="",AA165="",AG165="",AI165="",AO165="",AQ165="",AS165="",AU165="",AW165="",AY165="")),"No",IF(AND(C165="",OR(I165&lt;&gt;"",K165&lt;&gt;"",M165&lt;&gt;"",O165&lt;&gt;"",S165&lt;&gt;"",U165&lt;&gt;"",AA165&lt;&gt;"",AG165&lt;&gt;"",AI165&lt;&gt;"",AK165&lt;&gt;"",AM165&lt;&gt;"",AO165&lt;&gt;"",AQ165&lt;&gt;"",AS165&lt;&gt;"",AU165&lt;&gt;"",AW165&lt;&gt;"",AY165&lt;&gt;"",BA165&lt;&gt;"",BC165&lt;&gt;"")),"No",IF(AND(C165="",I165="",K165="",M165="",O165="",S165="",U165="",AA165="",AG165="",AI165="",AK165="",AM165="",AO165="",AQ165="",AS165="",AU165="",AW165="",AY165="",BA165=""),"N/A","Yes")))</f>
        <v>N/A</v>
      </c>
      <c r="BI165" s="898"/>
      <c r="BJ165" s="899" t="b">
        <f>IF(AND(OR(I165&lt;&gt;"",K165&lt;&gt;"",M165&lt;&gt;"",O165&lt;&gt;"",S165&lt;&gt;"",U165&lt;&gt;"",AA165&lt;&gt;"",AG165&lt;&gt;"",AI165&lt;&gt;"",AK165&lt;&gt;"",AM165&lt;&gt;"",AO165&lt;&gt;"",AQ165&lt;&gt;"",AS165&lt;&gt;"",AW165&lt;&gt;"",AY165&lt;&gt;"",BA165&lt;&gt;"",BC165&lt;&gt;""),C165=""),TRUE,FALSE)</f>
        <v>0</v>
      </c>
      <c r="BK165" s="898" t="b">
        <f>IF(BL165=TRUE,FALSE,IF(SUM(K165,O165)&gt;I165,TRUE,FALSE))</f>
        <v>0</v>
      </c>
      <c r="BL165" s="899" t="b">
        <f>IF(AND(C165&lt;&gt;"",I165=""),TRUE,FALSE)</f>
        <v>0</v>
      </c>
      <c r="BM165" s="898" t="b">
        <f>IF(BN165=TRUE,FALSE,IF(M165&gt;K165,TRUE,FALSE))</f>
        <v>0</v>
      </c>
      <c r="BN165" s="899" t="b">
        <f>IF(AND($C165&lt;&gt;"",K165=""),TRUE,FALSE)</f>
        <v>0</v>
      </c>
      <c r="BO165" s="898"/>
      <c r="BP165" s="899" t="b">
        <f>IF(AND($C165&lt;&gt;"",M165=""),TRUE,FALSE)</f>
        <v>0</v>
      </c>
      <c r="BQ165" s="898"/>
      <c r="BR165" s="899" t="b">
        <f>IF(AND($C165&lt;&gt;"",O165=""),TRUE,FALSE)</f>
        <v>0</v>
      </c>
      <c r="BS165" s="898" t="b">
        <f>IF(AND(S165="",OR(U165&lt;&gt;"",AA165&lt;&gt;"",AG165&lt;&gt;"",AI165&lt;&gt;"",AK165&lt;&gt;"",AM165&lt;&gt;"",AO165&lt;&gt;"",AQ165&lt;&gt;"",AS165&lt;&gt;"",AU165&lt;&gt;"",AW165&lt;&gt;"",AY165&lt;&gt;"",BA165&lt;&gt;"")),TRUE,FALSE)</f>
        <v>0</v>
      </c>
      <c r="BT165" s="899" t="b">
        <f>IF(AND($C165&lt;&gt;"",S165=""),TRUE,FALSE)</f>
        <v>0</v>
      </c>
      <c r="BU165" s="898"/>
      <c r="BV165" s="899" t="b">
        <f>IF(AND($C165&lt;&gt;"",U165=""),TRUE,FALSE)</f>
        <v>0</v>
      </c>
      <c r="BW165" s="1537" t="b">
        <f>IF(BX165=TRUE,FALSE,IF(AA165="",FALSE,IF(OR(AA165&lt;CX165,AA165&gt;BaseYear),TRUE,FALSE)))</f>
        <v>0</v>
      </c>
      <c r="BX165" s="899" t="b">
        <f>IF(AND($C165&lt;&gt;"",AA165=""),TRUE,FALSE)</f>
        <v>0</v>
      </c>
      <c r="BY165" s="898"/>
      <c r="BZ165" s="899" t="b">
        <f>IF(AND($C165&lt;&gt;"",AG165=""),TRUE,FALSE)</f>
        <v>0</v>
      </c>
      <c r="CA165" s="898"/>
      <c r="CB165" s="899" t="b">
        <f>IF(AND($C165&lt;&gt;"",AI165=""),TRUE,FALSE)</f>
        <v>0</v>
      </c>
      <c r="CC165" s="1537" t="b">
        <f>IF(AK165="",FALSE,IF(OR(AK165&lt;CX165,AK165&gt;BaseYear),TRUE,FALSE))</f>
        <v>0</v>
      </c>
      <c r="CD165" s="1538" t="b">
        <f>IF(AK165="",FALSE,IF(AK165&lt;AA165,TRUE,FALSE))</f>
        <v>0</v>
      </c>
      <c r="CE165" s="899" t="b">
        <f>IF(AND($AM165&lt;&gt;"",AK165=""),TRUE,FALSE)</f>
        <v>0</v>
      </c>
      <c r="CF165" s="898"/>
      <c r="CG165" s="898" t="b">
        <f>IF(AND($AK165&lt;&gt;"",AM165=""),TRUE,FALSE)</f>
        <v>0</v>
      </c>
      <c r="CH165" s="898"/>
      <c r="CI165" s="899" t="b">
        <f>IF(AND($C165&lt;&gt;"",AO165=""),TRUE,FALSE)</f>
        <v>0</v>
      </c>
      <c r="CJ165" s="1537"/>
      <c r="CK165" s="899" t="b">
        <f>IF(AND($C165&lt;&gt;"",AQ165=""),TRUE,FALSE)</f>
        <v>0</v>
      </c>
      <c r="CL165" s="898"/>
      <c r="CM165" s="899" t="b">
        <f>IF(AND($C165&lt;&gt;"",AS165=""),TRUE,FALSE)</f>
        <v>0</v>
      </c>
      <c r="CN165" s="898"/>
      <c r="CO165" s="899" t="b">
        <f>IF(AND($C165&lt;&gt;"",AU165=""),TRUE,FALSE)</f>
        <v>0</v>
      </c>
      <c r="CP165" s="898"/>
      <c r="CQ165" s="899" t="b">
        <f>IF(AND($C165&lt;&gt;"",AW165=""),TRUE,FALSE)</f>
        <v>0</v>
      </c>
      <c r="CR165" s="898"/>
      <c r="CS165" s="899" t="b">
        <f>IF(AND($C165&lt;&gt;"",AY165=""),TRUE,FALSE)</f>
        <v>0</v>
      </c>
      <c r="CT165" s="898"/>
      <c r="CU165" s="898" t="b">
        <f>IF(AND($C165&lt;&gt;"",BA165=""),TRUE,FALSE)</f>
        <v>0</v>
      </c>
      <c r="CV165" s="894"/>
      <c r="CW165" s="898" t="str">
        <f t="shared" si="38"/>
        <v/>
      </c>
      <c r="CX165" s="898" t="str">
        <f>IFERROR(IF(AND(S165="",S165&lt;&gt;""),1913,VLOOKUP(S165,Valid!$B$99:$J$120,9)),"")</f>
        <v/>
      </c>
      <c r="CY165" s="898" t="str">
        <f t="shared" ca="1" si="39"/>
        <v/>
      </c>
      <c r="CZ165" s="1547" t="str">
        <f t="shared" ca="1" si="44"/>
        <v/>
      </c>
      <c r="DA165" s="898" t="str">
        <f ca="1">IF(CZ165="", "", IF(1+(CZ165*4)&lt;1, 1, 1+(CZ165*4)))</f>
        <v/>
      </c>
      <c r="DB165" s="898" t="str">
        <f t="shared" si="40"/>
        <v/>
      </c>
      <c r="DC165" s="898" t="str">
        <f t="shared" si="41"/>
        <v/>
      </c>
      <c r="DD165" s="1539" t="str">
        <f>IFERROR(IF(AND(AM165="",C165&lt;&gt;""),Valid!$E$123,VLOOKUP(AM165,Valid!$B$123:$F$125,4,FALSE)),"")</f>
        <v/>
      </c>
      <c r="DE165" s="1539" t="str">
        <f>IFERROR(IF(AND(AM165="",C165&lt;&gt;""),Valid!$F$123,VLOOKUP(AM165,Valid!$B$123:$F$125,5,FALSE)),"")</f>
        <v/>
      </c>
      <c r="DF165" s="1539" t="str">
        <f>IFERROR(VLOOKUP('A-70 RevVehInv'!S165,Valid!$B$99:$I$120,7), "")</f>
        <v/>
      </c>
      <c r="DG165" s="1539" t="str">
        <f>IFERROR(VLOOKUP(S165,Valid!$B$99:$I$120,8), "")</f>
        <v/>
      </c>
      <c r="DH165" s="894"/>
    </row>
    <row r="166" spans="1:112" ht="6.75" customHeight="1" x14ac:dyDescent="0.2">
      <c r="A166" s="1517"/>
      <c r="B166" s="1530">
        <v>77.5</v>
      </c>
      <c r="C166" s="1540"/>
      <c r="D166" s="905"/>
      <c r="E166" s="1541"/>
      <c r="F166" s="905"/>
      <c r="G166" s="905"/>
      <c r="H166" s="905"/>
      <c r="I166" s="1534"/>
      <c r="J166" s="905"/>
      <c r="K166" s="1534"/>
      <c r="L166" s="905"/>
      <c r="M166" s="1534"/>
      <c r="N166" s="905"/>
      <c r="O166" s="1534"/>
      <c r="P166" s="905"/>
      <c r="Q166" s="1534"/>
      <c r="R166" s="1531"/>
      <c r="S166" s="1542"/>
      <c r="T166" s="905"/>
      <c r="U166" s="1542"/>
      <c r="V166" s="905"/>
      <c r="W166" s="1534" t="str">
        <f t="shared" si="36"/>
        <v/>
      </c>
      <c r="X166" s="905"/>
      <c r="Y166" s="1534"/>
      <c r="Z166" s="252" t="str">
        <f t="shared" si="37"/>
        <v/>
      </c>
      <c r="AA166" s="1534"/>
      <c r="AB166" s="905"/>
      <c r="AC166" s="1973" t="str">
        <f t="shared" si="42"/>
        <v/>
      </c>
      <c r="AD166" s="905"/>
      <c r="AE166" s="1985" t="str">
        <f t="shared" si="43"/>
        <v/>
      </c>
      <c r="AF166" s="905"/>
      <c r="AG166" s="1543"/>
      <c r="AH166" s="1531"/>
      <c r="AI166" s="1534"/>
      <c r="AJ166" s="1531"/>
      <c r="AK166" s="1534"/>
      <c r="AL166" s="1531"/>
      <c r="AM166" s="1543"/>
      <c r="AN166" s="1531"/>
      <c r="AO166" s="1543"/>
      <c r="AP166" s="1531"/>
      <c r="AQ166" s="1534"/>
      <c r="AR166" s="1531"/>
      <c r="AS166" s="1534"/>
      <c r="AT166" s="1531"/>
      <c r="AU166" s="1534"/>
      <c r="AV166" s="1531"/>
      <c r="AW166" s="1534"/>
      <c r="AX166" s="1531"/>
      <c r="AY166" s="1534"/>
      <c r="AZ166" s="1531"/>
      <c r="BA166" s="1543"/>
      <c r="BB166" s="1531"/>
      <c r="BC166" s="1534"/>
      <c r="BD166" s="1531"/>
      <c r="BE166" s="1531"/>
      <c r="BF166" s="1531"/>
      <c r="BG166" s="1531"/>
      <c r="BH166" s="1531"/>
      <c r="BI166" s="1535"/>
      <c r="BJ166" s="1534"/>
      <c r="BK166" s="1535"/>
      <c r="BL166" s="1534"/>
      <c r="BM166" s="1535"/>
      <c r="BN166" s="1534"/>
      <c r="BO166" s="1535"/>
      <c r="BP166" s="1534"/>
      <c r="BQ166" s="1535"/>
      <c r="BR166" s="1534"/>
      <c r="BS166" s="1535"/>
      <c r="BT166" s="1534"/>
      <c r="BU166" s="1535"/>
      <c r="BV166" s="1534"/>
      <c r="BW166" s="1535"/>
      <c r="BX166" s="1534"/>
      <c r="BY166" s="1535"/>
      <c r="BZ166" s="1534"/>
      <c r="CA166" s="1535"/>
      <c r="CB166" s="1534"/>
      <c r="CC166" s="1535"/>
      <c r="CD166" s="1534"/>
      <c r="CE166" s="1534"/>
      <c r="CF166" s="1535"/>
      <c r="CG166" s="1534"/>
      <c r="CH166" s="1535"/>
      <c r="CI166" s="1534"/>
      <c r="CJ166" s="1535"/>
      <c r="CK166" s="1534"/>
      <c r="CL166" s="1535"/>
      <c r="CM166" s="1534"/>
      <c r="CN166" s="1535"/>
      <c r="CO166" s="1534"/>
      <c r="CP166" s="1535"/>
      <c r="CQ166" s="1534"/>
      <c r="CR166" s="1535"/>
      <c r="CS166" s="1534"/>
      <c r="CT166" s="1535"/>
      <c r="CU166" s="1535"/>
      <c r="CV166" s="1531"/>
      <c r="CW166" s="898" t="str">
        <f t="shared" si="38"/>
        <v/>
      </c>
      <c r="CX166" s="898" t="str">
        <f>IFERROR(IF(AND(S166="",S166&lt;&gt;""),1913,VLOOKUP(S166,Valid!$B$99:$J$120,9)),"")</f>
        <v/>
      </c>
      <c r="CY166" s="898" t="str">
        <f t="shared" ca="1" si="39"/>
        <v/>
      </c>
      <c r="CZ166" s="1547" t="str">
        <f t="shared" ca="1" si="44"/>
        <v/>
      </c>
      <c r="DA166" s="898"/>
      <c r="DB166" s="898" t="str">
        <f t="shared" si="40"/>
        <v/>
      </c>
      <c r="DC166" s="898" t="str">
        <f t="shared" si="41"/>
        <v/>
      </c>
      <c r="DD166" s="1539" t="str">
        <f>IFERROR(IF(AND(AM166="",C166&lt;&gt;""),Valid!$E$123,VLOOKUP(AM166,Valid!$B$123:$F$125,4,FALSE)),"")</f>
        <v/>
      </c>
      <c r="DE166" s="1539" t="str">
        <f>IFERROR(IF(AND(AM166="",C166&lt;&gt;""),Valid!$F$123,VLOOKUP(AM166,Valid!$B$123:$F$125,5,FALSE)),"")</f>
        <v/>
      </c>
      <c r="DF166" s="1539" t="str">
        <f>IFERROR(VLOOKUP('A-70 RevVehInv'!S166,Valid!$B$99:$I$120,7), "")</f>
        <v/>
      </c>
      <c r="DG166" s="1539" t="str">
        <f>IFERROR(VLOOKUP(S166,Valid!$B$99:$I$120,8), "")</f>
        <v/>
      </c>
      <c r="DH166" s="1531"/>
    </row>
    <row r="167" spans="1:112" s="930" customFormat="1" x14ac:dyDescent="0.2">
      <c r="A167" s="206">
        <v>78</v>
      </c>
      <c r="B167" s="1530">
        <v>78</v>
      </c>
      <c r="C167" s="933"/>
      <c r="D167" s="719" t="str">
        <f>IF(C165="","",IF((C167=""),"Enter RVI ID. then Fill in Columns "&amp;TEXT($I$2,0)&amp;" - "&amp;TEXT($BA$2,0)&amp;"       ",""))</f>
        <v/>
      </c>
      <c r="E167" s="1056" t="str">
        <f>IF(BH167="N/A","",BH167)</f>
        <v/>
      </c>
      <c r="F167" s="1536"/>
      <c r="G167" s="1536"/>
      <c r="H167" s="1536"/>
      <c r="I167" s="1023"/>
      <c r="J167" s="1536" t="str">
        <f>IF(E167&lt;&gt;"","Vehicles?    ","")</f>
        <v/>
      </c>
      <c r="K167" s="1023"/>
      <c r="L167" s="1536" t="str">
        <f>IF(E167&lt;&gt;"","Active Vehicles?     ","")</f>
        <v/>
      </c>
      <c r="M167" s="1023"/>
      <c r="N167" s="1536" t="str">
        <f>IF(E167&lt;&gt;"","ADA Vehicles?       ","")</f>
        <v/>
      </c>
      <c r="O167" s="1023"/>
      <c r="P167" s="1536" t="str">
        <f>IF(E167&lt;&gt;"","Cont. Vehicles?     ","")</f>
        <v/>
      </c>
      <c r="Q167" s="1024"/>
      <c r="R167" s="894"/>
      <c r="S167" s="1153"/>
      <c r="T167" s="252" t="str">
        <f>IF(E167&lt;&gt;"","Select from Pull-Down List    ","")</f>
        <v/>
      </c>
      <c r="U167" s="933"/>
      <c r="V167" s="252" t="str">
        <f>IF(E167&lt;&gt;"","Select from Pull-Down List    ","")</f>
        <v/>
      </c>
      <c r="W167" s="1766" t="str">
        <f t="shared" si="36"/>
        <v/>
      </c>
      <c r="X167" s="252"/>
      <c r="Y167" s="1988"/>
      <c r="Z167" s="252" t="str">
        <f t="shared" si="37"/>
        <v/>
      </c>
      <c r="AA167" s="139"/>
      <c r="AB167" s="252" t="str">
        <f>IF(E167&lt;&gt;"","Mfg. Yr?    ","")</f>
        <v/>
      </c>
      <c r="AC167" s="1974" t="str">
        <f t="shared" si="42"/>
        <v/>
      </c>
      <c r="AD167" s="252"/>
      <c r="AE167" s="1986" t="str">
        <f t="shared" si="43"/>
        <v/>
      </c>
      <c r="AF167" s="252"/>
      <c r="AG167" s="933"/>
      <c r="AH167" s="252" t="str">
        <f>IF(E167&lt;&gt;"","Select from Pull-Down List    ","")</f>
        <v/>
      </c>
      <c r="AI167" s="933"/>
      <c r="AJ167" s="252" t="str">
        <f>IF(E167&lt;&gt;"","Number?   ","")</f>
        <v/>
      </c>
      <c r="AK167" s="139"/>
      <c r="AL167" s="252" t="str">
        <f>IF(E167&lt;&gt;"","Last Rnwl. Yr?   ","")</f>
        <v/>
      </c>
      <c r="AM167" s="933"/>
      <c r="AN167" s="252" t="str">
        <f>IF(E167&lt;&gt;"","Select from Pull-Down List    ","")</f>
        <v/>
      </c>
      <c r="AO167" s="933"/>
      <c r="AP167" s="252" t="str">
        <f>IF(E167&lt;&gt;"","Select from Pull-Down List    ","")</f>
        <v/>
      </c>
      <c r="AQ167" s="1023"/>
      <c r="AR167" s="252" t="str">
        <f>IF(E167&lt;&gt;"","Feet?    ","")</f>
        <v/>
      </c>
      <c r="AS167" s="1023"/>
      <c r="AT167" s="252" t="str">
        <f>IF(E167&lt;&gt;"","Seats?    ","")</f>
        <v/>
      </c>
      <c r="AU167" s="1023"/>
      <c r="AV167" s="252" t="str">
        <f>IF(E167&lt;&gt;"","Standing?    ","")</f>
        <v/>
      </c>
      <c r="AW167" s="1023"/>
      <c r="AX167" s="252" t="str">
        <f>IF(E167&lt;&gt;"","Mileage?       ","")</f>
        <v/>
      </c>
      <c r="AY167" s="1023"/>
      <c r="AZ167" s="252" t="str">
        <f>IF(E167&lt;&gt;"","Avg. Lifetime Mileage? ","")</f>
        <v/>
      </c>
      <c r="BA167" s="933"/>
      <c r="BB167" s="252" t="str">
        <f>IF(E167&lt;&gt;"","Select from Pull-Down List    ","")</f>
        <v/>
      </c>
      <c r="BC167" s="171"/>
      <c r="BD167" s="252" t="str">
        <f>IF(OR(AO167="OR - Other fuel (describe in Notes)",AG167="ZZZ - Other (describe in Notes)"),"Describe                                                                                                     ","")</f>
        <v/>
      </c>
      <c r="BE167" s="894"/>
      <c r="BF167" s="894"/>
      <c r="BG167" s="894" t="b">
        <f>IF(AND(C167="",C169&lt;&gt;""),TRUE,FALSE)</f>
        <v>0</v>
      </c>
      <c r="BH167" s="888" t="str">
        <f>IF(AND(C167&lt;&gt;"",OR(I167="",K167="",M167="",O167="",S167="",U167="",AA167="",AG167="",AI167="",AO167="",AQ167="",AS167="",AU167="",AW167="",AY167="")),"No",IF(AND(C167="",OR(I167&lt;&gt;"",K167&lt;&gt;"",M167&lt;&gt;"",O167&lt;&gt;"",S167&lt;&gt;"",U167&lt;&gt;"",AA167&lt;&gt;"",AG167&lt;&gt;"",AI167&lt;&gt;"",AK167&lt;&gt;"",AM167&lt;&gt;"",AO167&lt;&gt;"",AQ167&lt;&gt;"",AS167&lt;&gt;"",AU167&lt;&gt;"",AW167&lt;&gt;"",AY167&lt;&gt;"",BA167&lt;&gt;"",BC167&lt;&gt;"")),"No",IF(AND(C167="",I167="",K167="",M167="",O167="",S167="",U167="",AA167="",AG167="",AI167="",AK167="",AM167="",AO167="",AQ167="",AS167="",AU167="",AW167="",AY167="",BA167=""),"N/A","Yes")))</f>
        <v>N/A</v>
      </c>
      <c r="BI167" s="898"/>
      <c r="BJ167" s="899" t="b">
        <f>IF(AND(OR(I167&lt;&gt;"",K167&lt;&gt;"",M167&lt;&gt;"",O167&lt;&gt;"",S167&lt;&gt;"",U167&lt;&gt;"",AA167&lt;&gt;"",AG167&lt;&gt;"",AI167&lt;&gt;"",AK167&lt;&gt;"",AM167&lt;&gt;"",AO167&lt;&gt;"",AQ167&lt;&gt;"",AS167&lt;&gt;"",AW167&lt;&gt;"",AY167&lt;&gt;"",BA167&lt;&gt;"",BC167&lt;&gt;""),C167=""),TRUE,FALSE)</f>
        <v>0</v>
      </c>
      <c r="BK167" s="898" t="b">
        <f>IF(BL167=TRUE,FALSE,IF(SUM(K167,O167)&gt;I167,TRUE,FALSE))</f>
        <v>0</v>
      </c>
      <c r="BL167" s="899" t="b">
        <f>IF(AND(C167&lt;&gt;"",I167=""),TRUE,FALSE)</f>
        <v>0</v>
      </c>
      <c r="BM167" s="898" t="b">
        <f>IF(BN167=TRUE,FALSE,IF(M167&gt;K167,TRUE,FALSE))</f>
        <v>0</v>
      </c>
      <c r="BN167" s="899" t="b">
        <f>IF(AND($C167&lt;&gt;"",K167=""),TRUE,FALSE)</f>
        <v>0</v>
      </c>
      <c r="BO167" s="898"/>
      <c r="BP167" s="899" t="b">
        <f>IF(AND($C167&lt;&gt;"",M167=""),TRUE,FALSE)</f>
        <v>0</v>
      </c>
      <c r="BQ167" s="898"/>
      <c r="BR167" s="899" t="b">
        <f>IF(AND($C167&lt;&gt;"",O167=""),TRUE,FALSE)</f>
        <v>0</v>
      </c>
      <c r="BS167" s="898" t="b">
        <f>IF(AND(S167="",OR(U167&lt;&gt;"",AA167&lt;&gt;"",AG167&lt;&gt;"",AI167&lt;&gt;"",AK167&lt;&gt;"",AM167&lt;&gt;"",AO167&lt;&gt;"",AQ167&lt;&gt;"",AS167&lt;&gt;"",AU167&lt;&gt;"",AW167&lt;&gt;"",AY167&lt;&gt;"",BA167&lt;&gt;"")),TRUE,FALSE)</f>
        <v>0</v>
      </c>
      <c r="BT167" s="899" t="b">
        <f>IF(AND($C167&lt;&gt;"",S167=""),TRUE,FALSE)</f>
        <v>0</v>
      </c>
      <c r="BU167" s="898"/>
      <c r="BV167" s="899" t="b">
        <f>IF(AND($C167&lt;&gt;"",U167=""),TRUE,FALSE)</f>
        <v>0</v>
      </c>
      <c r="BW167" s="1537" t="b">
        <f>IF(BX167=TRUE,FALSE,IF(AA167="",FALSE,IF(OR(AA167&lt;CX167,AA167&gt;BaseYear),TRUE,FALSE)))</f>
        <v>0</v>
      </c>
      <c r="BX167" s="899" t="b">
        <f>IF(AND($C167&lt;&gt;"",AA167=""),TRUE,FALSE)</f>
        <v>0</v>
      </c>
      <c r="BY167" s="898"/>
      <c r="BZ167" s="899" t="b">
        <f>IF(AND($C167&lt;&gt;"",AG167=""),TRUE,FALSE)</f>
        <v>0</v>
      </c>
      <c r="CA167" s="898"/>
      <c r="CB167" s="899" t="b">
        <f>IF(AND($C167&lt;&gt;"",AI167=""),TRUE,FALSE)</f>
        <v>0</v>
      </c>
      <c r="CC167" s="1537" t="b">
        <f>IF(AK167="",FALSE,IF(OR(AK167&lt;CX167,AK167&gt;BaseYear),TRUE,FALSE))</f>
        <v>0</v>
      </c>
      <c r="CD167" s="1538" t="b">
        <f>IF(AK167="",FALSE,IF(AK167&lt;AA167,TRUE,FALSE))</f>
        <v>0</v>
      </c>
      <c r="CE167" s="899" t="b">
        <f>IF(AND($AM167&lt;&gt;"",AK167=""),TRUE,FALSE)</f>
        <v>0</v>
      </c>
      <c r="CF167" s="898"/>
      <c r="CG167" s="898" t="b">
        <f>IF(AND($AK167&lt;&gt;"",AM167=""),TRUE,FALSE)</f>
        <v>0</v>
      </c>
      <c r="CH167" s="898"/>
      <c r="CI167" s="899" t="b">
        <f>IF(AND($C167&lt;&gt;"",AO167=""),TRUE,FALSE)</f>
        <v>0</v>
      </c>
      <c r="CJ167" s="1537"/>
      <c r="CK167" s="899" t="b">
        <f>IF(AND($C167&lt;&gt;"",AQ167=""),TRUE,FALSE)</f>
        <v>0</v>
      </c>
      <c r="CL167" s="898"/>
      <c r="CM167" s="899" t="b">
        <f>IF(AND($C167&lt;&gt;"",AS167=""),TRUE,FALSE)</f>
        <v>0</v>
      </c>
      <c r="CN167" s="898"/>
      <c r="CO167" s="899" t="b">
        <f>IF(AND($C167&lt;&gt;"",AU167=""),TRUE,FALSE)</f>
        <v>0</v>
      </c>
      <c r="CP167" s="898"/>
      <c r="CQ167" s="899" t="b">
        <f>IF(AND($C167&lt;&gt;"",AW167=""),TRUE,FALSE)</f>
        <v>0</v>
      </c>
      <c r="CR167" s="898"/>
      <c r="CS167" s="899" t="b">
        <f>IF(AND($C167&lt;&gt;"",AY167=""),TRUE,FALSE)</f>
        <v>0</v>
      </c>
      <c r="CT167" s="898"/>
      <c r="CU167" s="898" t="b">
        <f>IF(AND($C167&lt;&gt;"",BA167=""),TRUE,FALSE)</f>
        <v>0</v>
      </c>
      <c r="CV167" s="894"/>
      <c r="CW167" s="898" t="str">
        <f t="shared" si="38"/>
        <v/>
      </c>
      <c r="CX167" s="898" t="str">
        <f>IFERROR(IF(AND(S167="",S167&lt;&gt;""),1913,VLOOKUP(S167,Valid!$B$99:$J$120,9)),"")</f>
        <v/>
      </c>
      <c r="CY167" s="898" t="str">
        <f t="shared" ca="1" si="39"/>
        <v/>
      </c>
      <c r="CZ167" s="1547" t="str">
        <f t="shared" ca="1" si="44"/>
        <v/>
      </c>
      <c r="DA167" s="898" t="str">
        <f ca="1">IF(CZ167="", "", IF(1+(CZ167*4)&lt;1, 1, 1+(CZ167*4)))</f>
        <v/>
      </c>
      <c r="DB167" s="898" t="str">
        <f t="shared" si="40"/>
        <v/>
      </c>
      <c r="DC167" s="898" t="str">
        <f t="shared" si="41"/>
        <v/>
      </c>
      <c r="DD167" s="1539" t="str">
        <f>IFERROR(IF(AND(AM167="",C167&lt;&gt;""),Valid!$E$123,VLOOKUP(AM167,Valid!$B$123:$F$125,4,FALSE)),"")</f>
        <v/>
      </c>
      <c r="DE167" s="1539" t="str">
        <f>IFERROR(IF(AND(AM167="",C167&lt;&gt;""),Valid!$F$123,VLOOKUP(AM167,Valid!$B$123:$F$125,5,FALSE)),"")</f>
        <v/>
      </c>
      <c r="DF167" s="1539" t="str">
        <f>IFERROR(VLOOKUP('A-70 RevVehInv'!S167,Valid!$B$99:$I$120,7), "")</f>
        <v/>
      </c>
      <c r="DG167" s="1539" t="str">
        <f>IFERROR(VLOOKUP(S167,Valid!$B$99:$I$120,8), "")</f>
        <v/>
      </c>
      <c r="DH167" s="894"/>
    </row>
    <row r="168" spans="1:112" ht="6.75" customHeight="1" x14ac:dyDescent="0.2">
      <c r="A168" s="1517"/>
      <c r="B168" s="1530">
        <v>78.5</v>
      </c>
      <c r="C168" s="1544"/>
      <c r="D168" s="905"/>
      <c r="E168" s="1545"/>
      <c r="F168" s="905"/>
      <c r="G168" s="905"/>
      <c r="H168" s="905"/>
      <c r="I168" s="1531"/>
      <c r="J168" s="905"/>
      <c r="K168" s="1531"/>
      <c r="L168" s="905"/>
      <c r="M168" s="1531"/>
      <c r="N168" s="905"/>
      <c r="O168" s="1531"/>
      <c r="P168" s="905"/>
      <c r="Q168" s="1531"/>
      <c r="R168" s="1531"/>
      <c r="S168" s="1533"/>
      <c r="T168" s="905"/>
      <c r="U168" s="1533"/>
      <c r="V168" s="905"/>
      <c r="W168" s="1531" t="str">
        <f t="shared" si="36"/>
        <v/>
      </c>
      <c r="X168" s="905"/>
      <c r="Y168" s="1531"/>
      <c r="Z168" s="252" t="str">
        <f t="shared" si="37"/>
        <v/>
      </c>
      <c r="AA168" s="1531"/>
      <c r="AB168" s="905"/>
      <c r="AC168" s="1971" t="str">
        <f t="shared" si="42"/>
        <v/>
      </c>
      <c r="AD168" s="905"/>
      <c r="AE168" s="1983" t="str">
        <f t="shared" si="43"/>
        <v/>
      </c>
      <c r="AF168" s="905"/>
      <c r="AG168" s="1546"/>
      <c r="AH168" s="1531"/>
      <c r="AI168" s="1531"/>
      <c r="AJ168" s="1531"/>
      <c r="AK168" s="1531"/>
      <c r="AL168" s="1531"/>
      <c r="AM168" s="1546"/>
      <c r="AN168" s="1531"/>
      <c r="AO168" s="1546"/>
      <c r="AP168" s="1531"/>
      <c r="AQ168" s="1531"/>
      <c r="AR168" s="1531"/>
      <c r="AS168" s="1531"/>
      <c r="AT168" s="1531"/>
      <c r="AU168" s="1531"/>
      <c r="AV168" s="1531"/>
      <c r="AW168" s="1531"/>
      <c r="AX168" s="1531"/>
      <c r="AY168" s="1531"/>
      <c r="AZ168" s="1531"/>
      <c r="BA168" s="1546"/>
      <c r="BB168" s="1531"/>
      <c r="BC168" s="1531"/>
      <c r="BD168" s="1531"/>
      <c r="BE168" s="1531"/>
      <c r="BF168" s="1531"/>
      <c r="BG168" s="1531"/>
      <c r="BH168" s="1531"/>
      <c r="BI168" s="1535"/>
      <c r="BJ168" s="1534"/>
      <c r="BK168" s="1535"/>
      <c r="BL168" s="1534"/>
      <c r="BM168" s="1535"/>
      <c r="BN168" s="1534"/>
      <c r="BO168" s="1535"/>
      <c r="BP168" s="1534"/>
      <c r="BQ168" s="1535"/>
      <c r="BR168" s="1534"/>
      <c r="BS168" s="1535"/>
      <c r="BT168" s="1534"/>
      <c r="BU168" s="1535"/>
      <c r="BV168" s="1534"/>
      <c r="BW168" s="1535"/>
      <c r="BX168" s="1534"/>
      <c r="BY168" s="1535"/>
      <c r="BZ168" s="1534"/>
      <c r="CA168" s="1535"/>
      <c r="CB168" s="1534"/>
      <c r="CC168" s="1535"/>
      <c r="CD168" s="1534"/>
      <c r="CE168" s="1534"/>
      <c r="CF168" s="1535"/>
      <c r="CG168" s="1534"/>
      <c r="CH168" s="1535"/>
      <c r="CI168" s="1534"/>
      <c r="CJ168" s="1535"/>
      <c r="CK168" s="1534"/>
      <c r="CL168" s="1535"/>
      <c r="CM168" s="1534"/>
      <c r="CN168" s="1535"/>
      <c r="CO168" s="1534"/>
      <c r="CP168" s="1535"/>
      <c r="CQ168" s="1534"/>
      <c r="CR168" s="1535"/>
      <c r="CS168" s="1534"/>
      <c r="CT168" s="1535"/>
      <c r="CU168" s="1535"/>
      <c r="CV168" s="1531"/>
      <c r="CW168" s="898" t="str">
        <f t="shared" si="38"/>
        <v/>
      </c>
      <c r="CX168" s="898" t="str">
        <f>IFERROR(IF(AND(S168="",S168&lt;&gt;""),1913,VLOOKUP(S168,Valid!$B$99:$J$120,9)),"")</f>
        <v/>
      </c>
      <c r="CY168" s="898" t="str">
        <f t="shared" ca="1" si="39"/>
        <v/>
      </c>
      <c r="CZ168" s="1547" t="str">
        <f t="shared" ca="1" si="44"/>
        <v/>
      </c>
      <c r="DA168" s="898"/>
      <c r="DB168" s="898" t="str">
        <f t="shared" si="40"/>
        <v/>
      </c>
      <c r="DC168" s="898" t="str">
        <f t="shared" si="41"/>
        <v/>
      </c>
      <c r="DD168" s="1539" t="str">
        <f>IFERROR(IF(AND(AM168="",C168&lt;&gt;""),Valid!$E$123,VLOOKUP(AM168,Valid!$B$123:$F$125,4,FALSE)),"")</f>
        <v/>
      </c>
      <c r="DE168" s="1539" t="str">
        <f>IFERROR(IF(AND(AM168="",C168&lt;&gt;""),Valid!$F$123,VLOOKUP(AM168,Valid!$B$123:$F$125,5,FALSE)),"")</f>
        <v/>
      </c>
      <c r="DF168" s="1539" t="str">
        <f>IFERROR(VLOOKUP('A-70 RevVehInv'!S168,Valid!$B$99:$I$120,7), "")</f>
        <v/>
      </c>
      <c r="DG168" s="1539" t="str">
        <f>IFERROR(VLOOKUP(S168,Valid!$B$99:$I$120,8), "")</f>
        <v/>
      </c>
      <c r="DH168" s="1531"/>
    </row>
    <row r="169" spans="1:112" s="930" customFormat="1" x14ac:dyDescent="0.2">
      <c r="A169" s="206">
        <v>79</v>
      </c>
      <c r="B169" s="1530">
        <v>79</v>
      </c>
      <c r="C169" s="933"/>
      <c r="D169" s="719" t="str">
        <f>IF(C167="","",IF((C169=""),"Enter RVI ID. then Fill in Columns "&amp;TEXT($I$2,0)&amp;" - "&amp;TEXT($BA$2,0)&amp;"       ",""))</f>
        <v/>
      </c>
      <c r="E169" s="1056" t="str">
        <f>IF(BH169="N/A","",BH169)</f>
        <v/>
      </c>
      <c r="F169" s="1536"/>
      <c r="G169" s="1536"/>
      <c r="H169" s="1536"/>
      <c r="I169" s="1023"/>
      <c r="J169" s="1536" t="str">
        <f>IF(E169&lt;&gt;"","Vehicles?    ","")</f>
        <v/>
      </c>
      <c r="K169" s="1023"/>
      <c r="L169" s="1536" t="str">
        <f>IF(E169&lt;&gt;"","Active Vehicles?     ","")</f>
        <v/>
      </c>
      <c r="M169" s="1023"/>
      <c r="N169" s="1536" t="str">
        <f>IF(E169&lt;&gt;"","ADA Vehicles?       ","")</f>
        <v/>
      </c>
      <c r="O169" s="1023"/>
      <c r="P169" s="1536" t="str">
        <f>IF(E169&lt;&gt;"","Cont. Vehicles?     ","")</f>
        <v/>
      </c>
      <c r="Q169" s="1024"/>
      <c r="R169" s="894"/>
      <c r="S169" s="1153"/>
      <c r="T169" s="252" t="str">
        <f>IF(E169&lt;&gt;"","Select from Pull-Down List    ","")</f>
        <v/>
      </c>
      <c r="U169" s="933"/>
      <c r="V169" s="252" t="str">
        <f>IF(E169&lt;&gt;"","Select from Pull-Down List    ","")</f>
        <v/>
      </c>
      <c r="W169" s="1766" t="str">
        <f t="shared" si="36"/>
        <v/>
      </c>
      <c r="X169" s="252"/>
      <c r="Y169" s="1988"/>
      <c r="Z169" s="252" t="str">
        <f t="shared" si="37"/>
        <v/>
      </c>
      <c r="AA169" s="139"/>
      <c r="AB169" s="252" t="str">
        <f>IF(E169&lt;&gt;"","Mfg. Yr?    ","")</f>
        <v/>
      </c>
      <c r="AC169" s="1974" t="str">
        <f t="shared" si="42"/>
        <v/>
      </c>
      <c r="AD169" s="252"/>
      <c r="AE169" s="1986" t="str">
        <f t="shared" si="43"/>
        <v/>
      </c>
      <c r="AF169" s="252"/>
      <c r="AG169" s="933"/>
      <c r="AH169" s="252" t="str">
        <f>IF(E169&lt;&gt;"","Select from Pull-Down List    ","")</f>
        <v/>
      </c>
      <c r="AI169" s="933"/>
      <c r="AJ169" s="252" t="str">
        <f>IF(E169&lt;&gt;"","Number?   ","")</f>
        <v/>
      </c>
      <c r="AK169" s="139"/>
      <c r="AL169" s="252" t="str">
        <f>IF(E169&lt;&gt;"","Last Rnwl. Yr?   ","")</f>
        <v/>
      </c>
      <c r="AM169" s="933"/>
      <c r="AN169" s="252" t="str">
        <f>IF(E169&lt;&gt;"","Select from Pull-Down List    ","")</f>
        <v/>
      </c>
      <c r="AO169" s="933"/>
      <c r="AP169" s="252" t="str">
        <f>IF(E169&lt;&gt;"","Select from Pull-Down List    ","")</f>
        <v/>
      </c>
      <c r="AQ169" s="1023"/>
      <c r="AR169" s="252" t="str">
        <f>IF(E169&lt;&gt;"","Feet?    ","")</f>
        <v/>
      </c>
      <c r="AS169" s="1023"/>
      <c r="AT169" s="252" t="str">
        <f>IF(E169&lt;&gt;"","Seats?    ","")</f>
        <v/>
      </c>
      <c r="AU169" s="1023"/>
      <c r="AV169" s="252" t="str">
        <f>IF(E169&lt;&gt;"","Standing?    ","")</f>
        <v/>
      </c>
      <c r="AW169" s="1023"/>
      <c r="AX169" s="252" t="str">
        <f>IF(E169&lt;&gt;"","Mileage?       ","")</f>
        <v/>
      </c>
      <c r="AY169" s="1023"/>
      <c r="AZ169" s="252" t="str">
        <f>IF(E169&lt;&gt;"","Avg. Lifetime Mileage? ","")</f>
        <v/>
      </c>
      <c r="BA169" s="933"/>
      <c r="BB169" s="252" t="str">
        <f>IF(E169&lt;&gt;"","Select from Pull-Down List    ","")</f>
        <v/>
      </c>
      <c r="BC169" s="171"/>
      <c r="BD169" s="252" t="str">
        <f>IF(OR(AO169="OR - Other fuel (describe in Notes)",AG169="ZZZ - Other (describe in Notes)"),"Describe                                                                                                     ","")</f>
        <v/>
      </c>
      <c r="BE169" s="894"/>
      <c r="BF169" s="894"/>
      <c r="BG169" s="894" t="b">
        <f>IF(AND(C169="",C171&lt;&gt;""),TRUE,FALSE)</f>
        <v>0</v>
      </c>
      <c r="BH169" s="888" t="str">
        <f>IF(AND(C169&lt;&gt;"",OR(I169="",K169="",M169="",O169="",S169="",U169="",AA169="",AG169="",AI169="",AO169="",AQ169="",AS169="",AU169="",AW169="",AY169="")),"No",IF(AND(C169="",OR(I169&lt;&gt;"",K169&lt;&gt;"",M169&lt;&gt;"",O169&lt;&gt;"",S169&lt;&gt;"",U169&lt;&gt;"",AA169&lt;&gt;"",AG169&lt;&gt;"",AI169&lt;&gt;"",AK169&lt;&gt;"",AM169&lt;&gt;"",AO169&lt;&gt;"",AQ169&lt;&gt;"",AS169&lt;&gt;"",AU169&lt;&gt;"",AW169&lt;&gt;"",AY169&lt;&gt;"",BA169&lt;&gt;"",BC169&lt;&gt;"")),"No",IF(AND(C169="",I169="",K169="",M169="",O169="",S169="",U169="",AA169="",AG169="",AI169="",AK169="",AM169="",AO169="",AQ169="",AS169="",AU169="",AW169="",AY169="",BA169=""),"N/A","Yes")))</f>
        <v>N/A</v>
      </c>
      <c r="BI169" s="898"/>
      <c r="BJ169" s="899" t="b">
        <f>IF(AND(OR(I169&lt;&gt;"",K169&lt;&gt;"",M169&lt;&gt;"",O169&lt;&gt;"",S169&lt;&gt;"",U169&lt;&gt;"",AA169&lt;&gt;"",AG169&lt;&gt;"",AI169&lt;&gt;"",AK169&lt;&gt;"",AM169&lt;&gt;"",AO169&lt;&gt;"",AQ169&lt;&gt;"",AS169&lt;&gt;"",AW169&lt;&gt;"",AY169&lt;&gt;"",BA169&lt;&gt;"",BC169&lt;&gt;""),C169=""),TRUE,FALSE)</f>
        <v>0</v>
      </c>
      <c r="BK169" s="898" t="b">
        <f>IF(BL169=TRUE,FALSE,IF(SUM(K169,O169)&gt;I169,TRUE,FALSE))</f>
        <v>0</v>
      </c>
      <c r="BL169" s="899" t="b">
        <f>IF(AND(C169&lt;&gt;"",I169=""),TRUE,FALSE)</f>
        <v>0</v>
      </c>
      <c r="BM169" s="898" t="b">
        <f>IF(BN169=TRUE,FALSE,IF(M169&gt;K169,TRUE,FALSE))</f>
        <v>0</v>
      </c>
      <c r="BN169" s="899" t="b">
        <f>IF(AND($C169&lt;&gt;"",K169=""),TRUE,FALSE)</f>
        <v>0</v>
      </c>
      <c r="BO169" s="898"/>
      <c r="BP169" s="899" t="b">
        <f>IF(AND($C169&lt;&gt;"",M169=""),TRUE,FALSE)</f>
        <v>0</v>
      </c>
      <c r="BQ169" s="898"/>
      <c r="BR169" s="899" t="b">
        <f>IF(AND($C169&lt;&gt;"",O169=""),TRUE,FALSE)</f>
        <v>0</v>
      </c>
      <c r="BS169" s="898" t="b">
        <f>IF(AND(S169="",OR(U169&lt;&gt;"",AA169&lt;&gt;"",AG169&lt;&gt;"",AI169&lt;&gt;"",AK169&lt;&gt;"",AM169&lt;&gt;"",AO169&lt;&gt;"",AQ169&lt;&gt;"",AS169&lt;&gt;"",AU169&lt;&gt;"",AW169&lt;&gt;"",AY169&lt;&gt;"",BA169&lt;&gt;"")),TRUE,FALSE)</f>
        <v>0</v>
      </c>
      <c r="BT169" s="899" t="b">
        <f>IF(AND($C169&lt;&gt;"",S169=""),TRUE,FALSE)</f>
        <v>0</v>
      </c>
      <c r="BU169" s="898"/>
      <c r="BV169" s="899" t="b">
        <f>IF(AND($C169&lt;&gt;"",U169=""),TRUE,FALSE)</f>
        <v>0</v>
      </c>
      <c r="BW169" s="1537" t="b">
        <f>IF(BX169=TRUE,FALSE,IF(AA169="",FALSE,IF(OR(AA169&lt;CX169,AA169&gt;BaseYear),TRUE,FALSE)))</f>
        <v>0</v>
      </c>
      <c r="BX169" s="899" t="b">
        <f>IF(AND($C169&lt;&gt;"",AA169=""),TRUE,FALSE)</f>
        <v>0</v>
      </c>
      <c r="BY169" s="898"/>
      <c r="BZ169" s="899" t="b">
        <f>IF(AND($C169&lt;&gt;"",AG169=""),TRUE,FALSE)</f>
        <v>0</v>
      </c>
      <c r="CA169" s="898"/>
      <c r="CB169" s="899" t="b">
        <f>IF(AND($C169&lt;&gt;"",AI169=""),TRUE,FALSE)</f>
        <v>0</v>
      </c>
      <c r="CC169" s="1537" t="b">
        <f>IF(AK169="",FALSE,IF(OR(AK169&lt;CX169,AK169&gt;BaseYear),TRUE,FALSE))</f>
        <v>0</v>
      </c>
      <c r="CD169" s="1538" t="b">
        <f>IF(AK169="",FALSE,IF(AK169&lt;AA169,TRUE,FALSE))</f>
        <v>0</v>
      </c>
      <c r="CE169" s="899" t="b">
        <f>IF(AND($AM169&lt;&gt;"",AK169=""),TRUE,FALSE)</f>
        <v>0</v>
      </c>
      <c r="CF169" s="898"/>
      <c r="CG169" s="898" t="b">
        <f>IF(AND($AK169&lt;&gt;"",AM169=""),TRUE,FALSE)</f>
        <v>0</v>
      </c>
      <c r="CH169" s="898"/>
      <c r="CI169" s="899" t="b">
        <f>IF(AND($C169&lt;&gt;"",AO169=""),TRUE,FALSE)</f>
        <v>0</v>
      </c>
      <c r="CJ169" s="1537"/>
      <c r="CK169" s="899" t="b">
        <f>IF(AND($C169&lt;&gt;"",AQ169=""),TRUE,FALSE)</f>
        <v>0</v>
      </c>
      <c r="CL169" s="898"/>
      <c r="CM169" s="899" t="b">
        <f>IF(AND($C169&lt;&gt;"",AS169=""),TRUE,FALSE)</f>
        <v>0</v>
      </c>
      <c r="CN169" s="898"/>
      <c r="CO169" s="899" t="b">
        <f>IF(AND($C169&lt;&gt;"",AU169=""),TRUE,FALSE)</f>
        <v>0</v>
      </c>
      <c r="CP169" s="898"/>
      <c r="CQ169" s="899" t="b">
        <f>IF(AND($C169&lt;&gt;"",AW169=""),TRUE,FALSE)</f>
        <v>0</v>
      </c>
      <c r="CR169" s="898"/>
      <c r="CS169" s="899" t="b">
        <f>IF(AND($C169&lt;&gt;"",AY169=""),TRUE,FALSE)</f>
        <v>0</v>
      </c>
      <c r="CT169" s="898"/>
      <c r="CU169" s="898" t="b">
        <f>IF(AND($C169&lt;&gt;"",BA169=""),TRUE,FALSE)</f>
        <v>0</v>
      </c>
      <c r="CV169" s="894"/>
      <c r="CW169" s="898" t="str">
        <f t="shared" si="38"/>
        <v/>
      </c>
      <c r="CX169" s="898" t="str">
        <f>IFERROR(IF(AND(S169="",S169&lt;&gt;""),1913,VLOOKUP(S169,Valid!$B$99:$J$120,9)),"")</f>
        <v/>
      </c>
      <c r="CY169" s="898" t="str">
        <f t="shared" ca="1" si="39"/>
        <v/>
      </c>
      <c r="CZ169" s="1547" t="str">
        <f t="shared" ca="1" si="44"/>
        <v/>
      </c>
      <c r="DA169" s="898" t="str">
        <f ca="1">IF(CZ169="", "", IF(1+(CZ169*4)&lt;1, 1, 1+(CZ169*4)))</f>
        <v/>
      </c>
      <c r="DB169" s="898" t="str">
        <f t="shared" si="40"/>
        <v/>
      </c>
      <c r="DC169" s="898" t="str">
        <f t="shared" si="41"/>
        <v/>
      </c>
      <c r="DD169" s="1539" t="str">
        <f>IFERROR(IF(AND(AM169="",C169&lt;&gt;""),Valid!$E$123,VLOOKUP(AM169,Valid!$B$123:$F$125,4,FALSE)),"")</f>
        <v/>
      </c>
      <c r="DE169" s="1539" t="str">
        <f>IFERROR(IF(AND(AM169="",C169&lt;&gt;""),Valid!$F$123,VLOOKUP(AM169,Valid!$B$123:$F$125,5,FALSE)),"")</f>
        <v/>
      </c>
      <c r="DF169" s="1539" t="str">
        <f>IFERROR(VLOOKUP('A-70 RevVehInv'!S169,Valid!$B$99:$I$120,7), "")</f>
        <v/>
      </c>
      <c r="DG169" s="1539" t="str">
        <f>IFERROR(VLOOKUP(S169,Valid!$B$99:$I$120,8), "")</f>
        <v/>
      </c>
      <c r="DH169" s="894"/>
    </row>
    <row r="170" spans="1:112" ht="6.75" customHeight="1" x14ac:dyDescent="0.2">
      <c r="A170" s="1517"/>
      <c r="B170" s="1530">
        <v>79.5</v>
      </c>
      <c r="C170" s="1540"/>
      <c r="D170" s="905"/>
      <c r="E170" s="1541"/>
      <c r="F170" s="905"/>
      <c r="G170" s="905"/>
      <c r="H170" s="905"/>
      <c r="I170" s="1534"/>
      <c r="J170" s="905"/>
      <c r="K170" s="1534"/>
      <c r="L170" s="905"/>
      <c r="M170" s="1534"/>
      <c r="N170" s="905"/>
      <c r="O170" s="1534"/>
      <c r="P170" s="905"/>
      <c r="Q170" s="1534"/>
      <c r="R170" s="1531"/>
      <c r="S170" s="1542"/>
      <c r="T170" s="905"/>
      <c r="U170" s="1542"/>
      <c r="V170" s="905"/>
      <c r="W170" s="1534" t="str">
        <f t="shared" si="36"/>
        <v/>
      </c>
      <c r="X170" s="905"/>
      <c r="Y170" s="1534"/>
      <c r="Z170" s="252" t="str">
        <f t="shared" si="37"/>
        <v/>
      </c>
      <c r="AA170" s="1534"/>
      <c r="AB170" s="905"/>
      <c r="AC170" s="1973" t="str">
        <f t="shared" si="42"/>
        <v/>
      </c>
      <c r="AD170" s="905"/>
      <c r="AE170" s="1985" t="str">
        <f t="shared" si="43"/>
        <v/>
      </c>
      <c r="AF170" s="905"/>
      <c r="AG170" s="1543"/>
      <c r="AH170" s="1531"/>
      <c r="AI170" s="1534"/>
      <c r="AJ170" s="1531"/>
      <c r="AK170" s="1534"/>
      <c r="AL170" s="1531"/>
      <c r="AM170" s="1543"/>
      <c r="AN170" s="1531"/>
      <c r="AO170" s="1543"/>
      <c r="AP170" s="1531"/>
      <c r="AQ170" s="1534"/>
      <c r="AR170" s="1531"/>
      <c r="AS170" s="1534"/>
      <c r="AT170" s="1531"/>
      <c r="AU170" s="1534"/>
      <c r="AV170" s="1531"/>
      <c r="AW170" s="1534"/>
      <c r="AX170" s="1531"/>
      <c r="AY170" s="1534"/>
      <c r="AZ170" s="1531"/>
      <c r="BA170" s="1543"/>
      <c r="BB170" s="1531"/>
      <c r="BC170" s="1534"/>
      <c r="BD170" s="1531"/>
      <c r="BE170" s="1531"/>
      <c r="BF170" s="1531"/>
      <c r="BG170" s="1531"/>
      <c r="BH170" s="1531"/>
      <c r="BI170" s="1535"/>
      <c r="BJ170" s="1534"/>
      <c r="BK170" s="1535"/>
      <c r="BL170" s="1534"/>
      <c r="BM170" s="1535"/>
      <c r="BN170" s="1534"/>
      <c r="BO170" s="1535"/>
      <c r="BP170" s="1534"/>
      <c r="BQ170" s="1535"/>
      <c r="BR170" s="1534"/>
      <c r="BS170" s="1535"/>
      <c r="BT170" s="1534"/>
      <c r="BU170" s="1535"/>
      <c r="BV170" s="1534"/>
      <c r="BW170" s="1535"/>
      <c r="BX170" s="1534"/>
      <c r="BY170" s="1535"/>
      <c r="BZ170" s="1534"/>
      <c r="CA170" s="1535"/>
      <c r="CB170" s="1534"/>
      <c r="CC170" s="1535"/>
      <c r="CD170" s="1534"/>
      <c r="CE170" s="1534"/>
      <c r="CF170" s="1535"/>
      <c r="CG170" s="1534"/>
      <c r="CH170" s="1535"/>
      <c r="CI170" s="1534"/>
      <c r="CJ170" s="1535"/>
      <c r="CK170" s="1534"/>
      <c r="CL170" s="1535"/>
      <c r="CM170" s="1534"/>
      <c r="CN170" s="1535"/>
      <c r="CO170" s="1534"/>
      <c r="CP170" s="1535"/>
      <c r="CQ170" s="1534"/>
      <c r="CR170" s="1535"/>
      <c r="CS170" s="1534"/>
      <c r="CT170" s="1535"/>
      <c r="CU170" s="1535"/>
      <c r="CV170" s="1531"/>
      <c r="CW170" s="898" t="str">
        <f t="shared" si="38"/>
        <v/>
      </c>
      <c r="CX170" s="898" t="str">
        <f>IFERROR(IF(AND(S170="",S170&lt;&gt;""),1913,VLOOKUP(S170,Valid!$B$99:$J$120,9)),"")</f>
        <v/>
      </c>
      <c r="CY170" s="898" t="str">
        <f t="shared" ca="1" si="39"/>
        <v/>
      </c>
      <c r="CZ170" s="1547" t="str">
        <f t="shared" ca="1" si="44"/>
        <v/>
      </c>
      <c r="DA170" s="898"/>
      <c r="DB170" s="898" t="str">
        <f t="shared" si="40"/>
        <v/>
      </c>
      <c r="DC170" s="898" t="str">
        <f t="shared" si="41"/>
        <v/>
      </c>
      <c r="DD170" s="1539" t="str">
        <f>IFERROR(IF(AND(AM170="",C170&lt;&gt;""),Valid!$E$123,VLOOKUP(AM170,Valid!$B$123:$F$125,4,FALSE)),"")</f>
        <v/>
      </c>
      <c r="DE170" s="1539" t="str">
        <f>IFERROR(IF(AND(AM170="",C170&lt;&gt;""),Valid!$F$123,VLOOKUP(AM170,Valid!$B$123:$F$125,5,FALSE)),"")</f>
        <v/>
      </c>
      <c r="DF170" s="1539" t="str">
        <f>IFERROR(VLOOKUP('A-70 RevVehInv'!S170,Valid!$B$99:$I$120,7), "")</f>
        <v/>
      </c>
      <c r="DG170" s="1539" t="str">
        <f>IFERROR(VLOOKUP(S170,Valid!$B$99:$I$120,8), "")</f>
        <v/>
      </c>
      <c r="DH170" s="1531"/>
    </row>
    <row r="171" spans="1:112" s="930" customFormat="1" x14ac:dyDescent="0.2">
      <c r="A171" s="206">
        <v>80</v>
      </c>
      <c r="B171" s="1530">
        <v>80</v>
      </c>
      <c r="C171" s="933"/>
      <c r="D171" s="719" t="str">
        <f>IF(C169="","",IF((C171=""),"Enter RVI ID. then Fill in Columns "&amp;TEXT($I$2,0)&amp;" - "&amp;TEXT($BA$2,0)&amp;"       ",""))</f>
        <v/>
      </c>
      <c r="E171" s="1056" t="str">
        <f>IF(BH171="N/A","",BH171)</f>
        <v/>
      </c>
      <c r="F171" s="1536"/>
      <c r="G171" s="1536"/>
      <c r="H171" s="1536"/>
      <c r="I171" s="1023"/>
      <c r="J171" s="1536" t="str">
        <f>IF(E171&lt;&gt;"","Vehicles?    ","")</f>
        <v/>
      </c>
      <c r="K171" s="1023"/>
      <c r="L171" s="1536" t="str">
        <f>IF(E171&lt;&gt;"","Active Vehicles?     ","")</f>
        <v/>
      </c>
      <c r="M171" s="1023"/>
      <c r="N171" s="1536" t="str">
        <f>IF(E171&lt;&gt;"","ADA Vehicles?       ","")</f>
        <v/>
      </c>
      <c r="O171" s="1023"/>
      <c r="P171" s="1536" t="str">
        <f>IF(E171&lt;&gt;"","Cont. Vehicles?     ","")</f>
        <v/>
      </c>
      <c r="Q171" s="1024"/>
      <c r="R171" s="894"/>
      <c r="S171" s="1153"/>
      <c r="T171" s="252" t="str">
        <f>IF(E171&lt;&gt;"","Select from Pull-Down List    ","")</f>
        <v/>
      </c>
      <c r="U171" s="933"/>
      <c r="V171" s="252" t="str">
        <f>IF(E171&lt;&gt;"","Select from Pull-Down List    ","")</f>
        <v/>
      </c>
      <c r="W171" s="1766" t="str">
        <f t="shared" si="36"/>
        <v/>
      </c>
      <c r="X171" s="252"/>
      <c r="Y171" s="1988"/>
      <c r="Z171" s="252" t="str">
        <f t="shared" si="37"/>
        <v/>
      </c>
      <c r="AA171" s="139"/>
      <c r="AB171" s="252" t="str">
        <f>IF(E171&lt;&gt;"","Mfg. Yr?    ","")</f>
        <v/>
      </c>
      <c r="AC171" s="1974" t="str">
        <f t="shared" si="42"/>
        <v/>
      </c>
      <c r="AD171" s="252"/>
      <c r="AE171" s="1986" t="str">
        <f t="shared" si="43"/>
        <v/>
      </c>
      <c r="AF171" s="252"/>
      <c r="AG171" s="933"/>
      <c r="AH171" s="252" t="str">
        <f>IF(E171&lt;&gt;"","Select from Pull-Down List    ","")</f>
        <v/>
      </c>
      <c r="AI171" s="933"/>
      <c r="AJ171" s="252" t="str">
        <f>IF(E171&lt;&gt;"","Number?   ","")</f>
        <v/>
      </c>
      <c r="AK171" s="139"/>
      <c r="AL171" s="252" t="str">
        <f>IF(E171&lt;&gt;"","Last Rnwl. Yr?   ","")</f>
        <v/>
      </c>
      <c r="AM171" s="933"/>
      <c r="AN171" s="252" t="str">
        <f>IF(E171&lt;&gt;"","Select from Pull-Down List    ","")</f>
        <v/>
      </c>
      <c r="AO171" s="933"/>
      <c r="AP171" s="252" t="str">
        <f>IF(E171&lt;&gt;"","Select from Pull-Down List    ","")</f>
        <v/>
      </c>
      <c r="AQ171" s="1023"/>
      <c r="AR171" s="252" t="str">
        <f>IF(E171&lt;&gt;"","Feet?    ","")</f>
        <v/>
      </c>
      <c r="AS171" s="1023"/>
      <c r="AT171" s="252" t="str">
        <f>IF(E171&lt;&gt;"","Seats?    ","")</f>
        <v/>
      </c>
      <c r="AU171" s="1023"/>
      <c r="AV171" s="252" t="str">
        <f>IF(E171&lt;&gt;"","Standing?    ","")</f>
        <v/>
      </c>
      <c r="AW171" s="1023"/>
      <c r="AX171" s="252" t="str">
        <f>IF(E171&lt;&gt;"","Mileage?       ","")</f>
        <v/>
      </c>
      <c r="AY171" s="1023"/>
      <c r="AZ171" s="252" t="str">
        <f>IF(E171&lt;&gt;"","Avg. Lifetime Mileage? ","")</f>
        <v/>
      </c>
      <c r="BA171" s="933"/>
      <c r="BB171" s="252" t="str">
        <f>IF(E171&lt;&gt;"","Select from Pull-Down List    ","")</f>
        <v/>
      </c>
      <c r="BC171" s="171"/>
      <c r="BD171" s="252" t="str">
        <f>IF(OR(AO171="OR - Other fuel (describe in Notes)",AG171="ZZZ - Other (describe in Notes)"),"Describe                                                                                                     ","")</f>
        <v/>
      </c>
      <c r="BE171" s="894"/>
      <c r="BF171" s="894"/>
      <c r="BG171" s="894" t="b">
        <f>IF(AND(C171="",C173&lt;&gt;""),TRUE,FALSE)</f>
        <v>0</v>
      </c>
      <c r="BH171" s="888" t="str">
        <f>IF(AND(C171&lt;&gt;"",OR(I171="",K171="",M171="",O171="",S171="",U171="",AA171="",AG171="",AI171="",AO171="",AQ171="",AS171="",AU171="",AW171="",AY171="")),"No",IF(AND(C171="",OR(I171&lt;&gt;"",K171&lt;&gt;"",M171&lt;&gt;"",O171&lt;&gt;"",S171&lt;&gt;"",U171&lt;&gt;"",AA171&lt;&gt;"",AG171&lt;&gt;"",AI171&lt;&gt;"",AK171&lt;&gt;"",AM171&lt;&gt;"",AO171&lt;&gt;"",AQ171&lt;&gt;"",AS171&lt;&gt;"",AU171&lt;&gt;"",AW171&lt;&gt;"",AY171&lt;&gt;"",BA171&lt;&gt;"",BC171&lt;&gt;"")),"No",IF(AND(C171="",I171="",K171="",M171="",O171="",S171="",U171="",AA171="",AG171="",AI171="",AK171="",AM171="",AO171="",AQ171="",AS171="",AU171="",AW171="",AY171="",BA171=""),"N/A","Yes")))</f>
        <v>N/A</v>
      </c>
      <c r="BI171" s="898"/>
      <c r="BJ171" s="899" t="b">
        <f>IF(AND(OR(I171&lt;&gt;"",K171&lt;&gt;"",M171&lt;&gt;"",O171&lt;&gt;"",S171&lt;&gt;"",U171&lt;&gt;"",AA171&lt;&gt;"",AG171&lt;&gt;"",AI171&lt;&gt;"",AK171&lt;&gt;"",AM171&lt;&gt;"",AO171&lt;&gt;"",AQ171&lt;&gt;"",AS171&lt;&gt;"",AW171&lt;&gt;"",AY171&lt;&gt;"",BA171&lt;&gt;"",BC171&lt;&gt;""),C171=""),TRUE,FALSE)</f>
        <v>0</v>
      </c>
      <c r="BK171" s="898" t="b">
        <f>IF(BL171=TRUE,FALSE,IF(SUM(K171,O171)&gt;I171,TRUE,FALSE))</f>
        <v>0</v>
      </c>
      <c r="BL171" s="899" t="b">
        <f>IF(AND(C171&lt;&gt;"",I171=""),TRUE,FALSE)</f>
        <v>0</v>
      </c>
      <c r="BM171" s="898" t="b">
        <f>IF(BN171=TRUE,FALSE,IF(M171&gt;K171,TRUE,FALSE))</f>
        <v>0</v>
      </c>
      <c r="BN171" s="899" t="b">
        <f>IF(AND($C171&lt;&gt;"",K171=""),TRUE,FALSE)</f>
        <v>0</v>
      </c>
      <c r="BO171" s="898"/>
      <c r="BP171" s="899" t="b">
        <f>IF(AND($C171&lt;&gt;"",M171=""),TRUE,FALSE)</f>
        <v>0</v>
      </c>
      <c r="BQ171" s="898"/>
      <c r="BR171" s="899" t="b">
        <f>IF(AND($C171&lt;&gt;"",O171=""),TRUE,FALSE)</f>
        <v>0</v>
      </c>
      <c r="BS171" s="898" t="b">
        <f>IF(AND(S171="",OR(U171&lt;&gt;"",AA171&lt;&gt;"",AG171&lt;&gt;"",AI171&lt;&gt;"",AK171&lt;&gt;"",AM171&lt;&gt;"",AO171&lt;&gt;"",AQ171&lt;&gt;"",AS171&lt;&gt;"",AU171&lt;&gt;"",AW171&lt;&gt;"",AY171&lt;&gt;"",BA171&lt;&gt;"")),TRUE,FALSE)</f>
        <v>0</v>
      </c>
      <c r="BT171" s="899" t="b">
        <f>IF(AND($C171&lt;&gt;"",S171=""),TRUE,FALSE)</f>
        <v>0</v>
      </c>
      <c r="BU171" s="898"/>
      <c r="BV171" s="899" t="b">
        <f>IF(AND($C171&lt;&gt;"",U171=""),TRUE,FALSE)</f>
        <v>0</v>
      </c>
      <c r="BW171" s="1537" t="b">
        <f>IF(BX171=TRUE,FALSE,IF(AA171="",FALSE,IF(OR(AA171&lt;CX171,AA171&gt;BaseYear),TRUE,FALSE)))</f>
        <v>0</v>
      </c>
      <c r="BX171" s="899" t="b">
        <f>IF(AND($C171&lt;&gt;"",AA171=""),TRUE,FALSE)</f>
        <v>0</v>
      </c>
      <c r="BY171" s="898"/>
      <c r="BZ171" s="899" t="b">
        <f>IF(AND($C171&lt;&gt;"",AG171=""),TRUE,FALSE)</f>
        <v>0</v>
      </c>
      <c r="CA171" s="898"/>
      <c r="CB171" s="899" t="b">
        <f>IF(AND($C171&lt;&gt;"",AI171=""),TRUE,FALSE)</f>
        <v>0</v>
      </c>
      <c r="CC171" s="1537" t="b">
        <f>IF(AK171="",FALSE,IF(OR(AK171&lt;CX171,AK171&gt;BaseYear),TRUE,FALSE))</f>
        <v>0</v>
      </c>
      <c r="CD171" s="1538" t="b">
        <f>IF(AK171="",FALSE,IF(AK171&lt;AA171,TRUE,FALSE))</f>
        <v>0</v>
      </c>
      <c r="CE171" s="899" t="b">
        <f>IF(AND($AM171&lt;&gt;"",AK171=""),TRUE,FALSE)</f>
        <v>0</v>
      </c>
      <c r="CF171" s="898"/>
      <c r="CG171" s="898" t="b">
        <f>IF(AND($AK171&lt;&gt;"",AM171=""),TRUE,FALSE)</f>
        <v>0</v>
      </c>
      <c r="CH171" s="898"/>
      <c r="CI171" s="899" t="b">
        <f>IF(AND($C171&lt;&gt;"",AO171=""),TRUE,FALSE)</f>
        <v>0</v>
      </c>
      <c r="CJ171" s="1537"/>
      <c r="CK171" s="899" t="b">
        <f>IF(AND($C171&lt;&gt;"",AQ171=""),TRUE,FALSE)</f>
        <v>0</v>
      </c>
      <c r="CL171" s="898"/>
      <c r="CM171" s="899" t="b">
        <f>IF(AND($C171&lt;&gt;"",AS171=""),TRUE,FALSE)</f>
        <v>0</v>
      </c>
      <c r="CN171" s="898"/>
      <c r="CO171" s="899" t="b">
        <f>IF(AND($C171&lt;&gt;"",AU171=""),TRUE,FALSE)</f>
        <v>0</v>
      </c>
      <c r="CP171" s="898"/>
      <c r="CQ171" s="899" t="b">
        <f>IF(AND($C171&lt;&gt;"",AW171=""),TRUE,FALSE)</f>
        <v>0</v>
      </c>
      <c r="CR171" s="898"/>
      <c r="CS171" s="899" t="b">
        <f>IF(AND($C171&lt;&gt;"",AY171=""),TRUE,FALSE)</f>
        <v>0</v>
      </c>
      <c r="CT171" s="898"/>
      <c r="CU171" s="898" t="b">
        <f>IF(AND($C171&lt;&gt;"",BA171=""),TRUE,FALSE)</f>
        <v>0</v>
      </c>
      <c r="CV171" s="894"/>
      <c r="CW171" s="898" t="str">
        <f t="shared" si="38"/>
        <v/>
      </c>
      <c r="CX171" s="898" t="str">
        <f>IFERROR(IF(AND(S171="",S171&lt;&gt;""),1913,VLOOKUP(S171,Valid!$B$99:$J$120,9)),"")</f>
        <v/>
      </c>
      <c r="CY171" s="898" t="str">
        <f t="shared" ca="1" si="39"/>
        <v/>
      </c>
      <c r="CZ171" s="1547" t="str">
        <f t="shared" ca="1" si="44"/>
        <v/>
      </c>
      <c r="DA171" s="898" t="str">
        <f ca="1">IF(CZ171="", "", IF(1+(CZ171*4)&lt;1, 1, 1+(CZ171*4)))</f>
        <v/>
      </c>
      <c r="DB171" s="898" t="str">
        <f t="shared" si="40"/>
        <v/>
      </c>
      <c r="DC171" s="898" t="str">
        <f t="shared" si="41"/>
        <v/>
      </c>
      <c r="DD171" s="1539" t="str">
        <f>IFERROR(IF(AND(AM171="",C171&lt;&gt;""),Valid!$E$123,VLOOKUP(AM171,Valid!$B$123:$F$125,4,FALSE)),"")</f>
        <v/>
      </c>
      <c r="DE171" s="1539" t="str">
        <f>IFERROR(IF(AND(AM171="",C171&lt;&gt;""),Valid!$F$123,VLOOKUP(AM171,Valid!$B$123:$F$125,5,FALSE)),"")</f>
        <v/>
      </c>
      <c r="DF171" s="1539" t="str">
        <f>IFERROR(VLOOKUP('A-70 RevVehInv'!S171,Valid!$B$99:$I$120,7), "")</f>
        <v/>
      </c>
      <c r="DG171" s="1539" t="str">
        <f>IFERROR(VLOOKUP(S171,Valid!$B$99:$I$120,8), "")</f>
        <v/>
      </c>
      <c r="DH171" s="894"/>
    </row>
    <row r="172" spans="1:112" ht="6.75" customHeight="1" x14ac:dyDescent="0.2">
      <c r="A172" s="1517"/>
      <c r="B172" s="1530">
        <v>80.5</v>
      </c>
      <c r="C172" s="1544"/>
      <c r="D172" s="905"/>
      <c r="E172" s="1545"/>
      <c r="F172" s="905"/>
      <c r="G172" s="905"/>
      <c r="H172" s="905"/>
      <c r="I172" s="1531"/>
      <c r="J172" s="905"/>
      <c r="K172" s="1531"/>
      <c r="L172" s="905"/>
      <c r="M172" s="1531"/>
      <c r="N172" s="905"/>
      <c r="O172" s="1531"/>
      <c r="P172" s="905"/>
      <c r="Q172" s="1531"/>
      <c r="R172" s="1531"/>
      <c r="S172" s="1533"/>
      <c r="T172" s="905"/>
      <c r="U172" s="1533"/>
      <c r="V172" s="905"/>
      <c r="W172" s="1531" t="str">
        <f t="shared" si="36"/>
        <v/>
      </c>
      <c r="X172" s="905"/>
      <c r="Y172" s="1531"/>
      <c r="Z172" s="252" t="str">
        <f t="shared" si="37"/>
        <v/>
      </c>
      <c r="AA172" s="1531"/>
      <c r="AB172" s="905"/>
      <c r="AC172" s="1971" t="str">
        <f t="shared" si="42"/>
        <v/>
      </c>
      <c r="AD172" s="905"/>
      <c r="AE172" s="1983" t="str">
        <f t="shared" si="43"/>
        <v/>
      </c>
      <c r="AF172" s="905"/>
      <c r="AG172" s="1546"/>
      <c r="AH172" s="1531"/>
      <c r="AI172" s="1531"/>
      <c r="AJ172" s="1531"/>
      <c r="AK172" s="1531"/>
      <c r="AL172" s="1531"/>
      <c r="AM172" s="1546"/>
      <c r="AN172" s="1531"/>
      <c r="AO172" s="1546"/>
      <c r="AP172" s="1531"/>
      <c r="AQ172" s="1531"/>
      <c r="AR172" s="1531"/>
      <c r="AS172" s="1531"/>
      <c r="AT172" s="1531"/>
      <c r="AU172" s="1531"/>
      <c r="AV172" s="1531"/>
      <c r="AW172" s="1531"/>
      <c r="AX172" s="1531"/>
      <c r="AY172" s="1531"/>
      <c r="AZ172" s="1531"/>
      <c r="BA172" s="1546"/>
      <c r="BB172" s="1531"/>
      <c r="BC172" s="1531"/>
      <c r="BD172" s="1531"/>
      <c r="BE172" s="1531"/>
      <c r="BF172" s="1531"/>
      <c r="BG172" s="1531"/>
      <c r="BH172" s="1531"/>
      <c r="BI172" s="1535"/>
      <c r="BJ172" s="1534"/>
      <c r="BK172" s="1535"/>
      <c r="BL172" s="1534"/>
      <c r="BM172" s="1535"/>
      <c r="BN172" s="1534"/>
      <c r="BO172" s="1535"/>
      <c r="BP172" s="1534"/>
      <c r="BQ172" s="1535"/>
      <c r="BR172" s="1534"/>
      <c r="BS172" s="1535"/>
      <c r="BT172" s="1534"/>
      <c r="BU172" s="1535"/>
      <c r="BV172" s="1534"/>
      <c r="BW172" s="1535"/>
      <c r="BX172" s="1534"/>
      <c r="BY172" s="1535"/>
      <c r="BZ172" s="1534"/>
      <c r="CA172" s="1535"/>
      <c r="CB172" s="1534"/>
      <c r="CC172" s="1535"/>
      <c r="CD172" s="1534"/>
      <c r="CE172" s="1534"/>
      <c r="CF172" s="1535"/>
      <c r="CG172" s="1534"/>
      <c r="CH172" s="1535"/>
      <c r="CI172" s="1534"/>
      <c r="CJ172" s="1535"/>
      <c r="CK172" s="1534"/>
      <c r="CL172" s="1535"/>
      <c r="CM172" s="1534"/>
      <c r="CN172" s="1535"/>
      <c r="CO172" s="1534"/>
      <c r="CP172" s="1535"/>
      <c r="CQ172" s="1534"/>
      <c r="CR172" s="1535"/>
      <c r="CS172" s="1534"/>
      <c r="CT172" s="1535"/>
      <c r="CU172" s="1535"/>
      <c r="CV172" s="1531"/>
      <c r="CW172" s="898" t="str">
        <f t="shared" si="38"/>
        <v/>
      </c>
      <c r="CX172" s="898" t="str">
        <f>IFERROR(IF(AND(S172="",S172&lt;&gt;""),1913,VLOOKUP(S172,Valid!$B$99:$J$120,9)),"")</f>
        <v/>
      </c>
      <c r="CY172" s="898" t="str">
        <f t="shared" ca="1" si="39"/>
        <v/>
      </c>
      <c r="CZ172" s="1547" t="str">
        <f t="shared" ca="1" si="44"/>
        <v/>
      </c>
      <c r="DA172" s="898"/>
      <c r="DB172" s="898" t="str">
        <f t="shared" si="40"/>
        <v/>
      </c>
      <c r="DC172" s="898" t="str">
        <f t="shared" si="41"/>
        <v/>
      </c>
      <c r="DD172" s="1539" t="str">
        <f>IFERROR(IF(AND(AM172="",C172&lt;&gt;""),Valid!$E$123,VLOOKUP(AM172,Valid!$B$123:$F$125,4,FALSE)),"")</f>
        <v/>
      </c>
      <c r="DE172" s="1539" t="str">
        <f>IFERROR(IF(AND(AM172="",C172&lt;&gt;""),Valid!$F$123,VLOOKUP(AM172,Valid!$B$123:$F$125,5,FALSE)),"")</f>
        <v/>
      </c>
      <c r="DF172" s="1539" t="str">
        <f>IFERROR(VLOOKUP('A-70 RevVehInv'!S172,Valid!$B$99:$I$120,7), "")</f>
        <v/>
      </c>
      <c r="DG172" s="1539" t="str">
        <f>IFERROR(VLOOKUP(S172,Valid!$B$99:$I$120,8), "")</f>
        <v/>
      </c>
      <c r="DH172" s="1531"/>
    </row>
    <row r="173" spans="1:112" s="930" customFormat="1" x14ac:dyDescent="0.2">
      <c r="A173" s="206">
        <v>81</v>
      </c>
      <c r="B173" s="1530">
        <v>81</v>
      </c>
      <c r="C173" s="933"/>
      <c r="D173" s="719" t="str">
        <f>IF(C171="","",IF((C173=""),"Enter RVI ID. then Fill in Columns "&amp;TEXT($I$2,0)&amp;" - "&amp;TEXT($BA$2,0)&amp;"       ",""))</f>
        <v/>
      </c>
      <c r="E173" s="1056" t="str">
        <f>IF(BH173="N/A","",BH173)</f>
        <v/>
      </c>
      <c r="F173" s="1536"/>
      <c r="G173" s="1536"/>
      <c r="H173" s="1536"/>
      <c r="I173" s="1023"/>
      <c r="J173" s="1536" t="str">
        <f>IF(E173&lt;&gt;"","Vehicles?    ","")</f>
        <v/>
      </c>
      <c r="K173" s="1023"/>
      <c r="L173" s="1536" t="str">
        <f>IF(E173&lt;&gt;"","Active Vehicles?     ","")</f>
        <v/>
      </c>
      <c r="M173" s="1023"/>
      <c r="N173" s="1536" t="str">
        <f>IF(E173&lt;&gt;"","ADA Vehicles?       ","")</f>
        <v/>
      </c>
      <c r="O173" s="1023"/>
      <c r="P173" s="1536" t="str">
        <f>IF(E173&lt;&gt;"","Cont. Vehicles?     ","")</f>
        <v/>
      </c>
      <c r="Q173" s="1024"/>
      <c r="R173" s="894"/>
      <c r="S173" s="1153"/>
      <c r="T173" s="252" t="str">
        <f>IF(E173&lt;&gt;"","Select from Pull-Down List    ","")</f>
        <v/>
      </c>
      <c r="U173" s="933"/>
      <c r="V173" s="252" t="str">
        <f>IF(E173&lt;&gt;"","Select from Pull-Down List    ","")</f>
        <v/>
      </c>
      <c r="W173" s="1766" t="str">
        <f t="shared" ref="W173:W204" si="45">IFERROR(VLOOKUP($S173,val_rev_vehicles,W$3,FALSE), "")</f>
        <v/>
      </c>
      <c r="X173" s="252"/>
      <c r="Y173" s="1988"/>
      <c r="Z173" s="252" t="str">
        <f t="shared" ref="Z173:Z204" si="46">IF(E173&lt;&gt;"","Service Yrs?    ","")</f>
        <v/>
      </c>
      <c r="AA173" s="139"/>
      <c r="AB173" s="252" t="str">
        <f>IF(E173&lt;&gt;"","Mfg. Yr?    ","")</f>
        <v/>
      </c>
      <c r="AC173" s="1974" t="str">
        <f t="shared" si="42"/>
        <v/>
      </c>
      <c r="AD173" s="252"/>
      <c r="AE173" s="1986" t="str">
        <f t="shared" si="43"/>
        <v/>
      </c>
      <c r="AF173" s="252"/>
      <c r="AG173" s="933"/>
      <c r="AH173" s="252" t="str">
        <f>IF(E173&lt;&gt;"","Select from Pull-Down List    ","")</f>
        <v/>
      </c>
      <c r="AI173" s="933"/>
      <c r="AJ173" s="252" t="str">
        <f>IF(E173&lt;&gt;"","Number?   ","")</f>
        <v/>
      </c>
      <c r="AK173" s="139"/>
      <c r="AL173" s="252" t="str">
        <f>IF(E173&lt;&gt;"","Last Rnwl. Yr?   ","")</f>
        <v/>
      </c>
      <c r="AM173" s="933"/>
      <c r="AN173" s="252" t="str">
        <f>IF(E173&lt;&gt;"","Select from Pull-Down List    ","")</f>
        <v/>
      </c>
      <c r="AO173" s="933"/>
      <c r="AP173" s="252" t="str">
        <f>IF(E173&lt;&gt;"","Select from Pull-Down List    ","")</f>
        <v/>
      </c>
      <c r="AQ173" s="1023"/>
      <c r="AR173" s="252" t="str">
        <f>IF(E173&lt;&gt;"","Feet?    ","")</f>
        <v/>
      </c>
      <c r="AS173" s="1023"/>
      <c r="AT173" s="252" t="str">
        <f>IF(E173&lt;&gt;"","Seats?    ","")</f>
        <v/>
      </c>
      <c r="AU173" s="1023"/>
      <c r="AV173" s="252" t="str">
        <f>IF(E173&lt;&gt;"","Standing?    ","")</f>
        <v/>
      </c>
      <c r="AW173" s="1023"/>
      <c r="AX173" s="252" t="str">
        <f>IF(E173&lt;&gt;"","Mileage?       ","")</f>
        <v/>
      </c>
      <c r="AY173" s="1023"/>
      <c r="AZ173" s="252" t="str">
        <f>IF(E173&lt;&gt;"","Avg. Lifetime Mileage? ","")</f>
        <v/>
      </c>
      <c r="BA173" s="933"/>
      <c r="BB173" s="252" t="str">
        <f>IF(E173&lt;&gt;"","Select from Pull-Down List    ","")</f>
        <v/>
      </c>
      <c r="BC173" s="171"/>
      <c r="BD173" s="252" t="str">
        <f>IF(OR(AO173="OR - Other fuel (describe in Notes)",AG173="ZZZ - Other (describe in Notes)"),"Describe                                                                                                     ","")</f>
        <v/>
      </c>
      <c r="BE173" s="894"/>
      <c r="BF173" s="894"/>
      <c r="BG173" s="894" t="b">
        <f>IF(AND(C173="",C175&lt;&gt;""),TRUE,FALSE)</f>
        <v>0</v>
      </c>
      <c r="BH173" s="888" t="str">
        <f>IF(AND(C173&lt;&gt;"",OR(I173="",K173="",M173="",O173="",S173="",U173="",AA173="",AG173="",AI173="",AO173="",AQ173="",AS173="",AU173="",AW173="",AY173="")),"No",IF(AND(C173="",OR(I173&lt;&gt;"",K173&lt;&gt;"",M173&lt;&gt;"",O173&lt;&gt;"",S173&lt;&gt;"",U173&lt;&gt;"",AA173&lt;&gt;"",AG173&lt;&gt;"",AI173&lt;&gt;"",AK173&lt;&gt;"",AM173&lt;&gt;"",AO173&lt;&gt;"",AQ173&lt;&gt;"",AS173&lt;&gt;"",AU173&lt;&gt;"",AW173&lt;&gt;"",AY173&lt;&gt;"",BA173&lt;&gt;"",BC173&lt;&gt;"")),"No",IF(AND(C173="",I173="",K173="",M173="",O173="",S173="",U173="",AA173="",AG173="",AI173="",AK173="",AM173="",AO173="",AQ173="",AS173="",AU173="",AW173="",AY173="",BA173=""),"N/A","Yes")))</f>
        <v>N/A</v>
      </c>
      <c r="BI173" s="898"/>
      <c r="BJ173" s="899" t="b">
        <f>IF(AND(OR(I173&lt;&gt;"",K173&lt;&gt;"",M173&lt;&gt;"",O173&lt;&gt;"",S173&lt;&gt;"",U173&lt;&gt;"",AA173&lt;&gt;"",AG173&lt;&gt;"",AI173&lt;&gt;"",AK173&lt;&gt;"",AM173&lt;&gt;"",AO173&lt;&gt;"",AQ173&lt;&gt;"",AS173&lt;&gt;"",AW173&lt;&gt;"",AY173&lt;&gt;"",BA173&lt;&gt;"",BC173&lt;&gt;""),C173=""),TRUE,FALSE)</f>
        <v>0</v>
      </c>
      <c r="BK173" s="898" t="b">
        <f>IF(BL173=TRUE,FALSE,IF(SUM(K173,O173)&gt;I173,TRUE,FALSE))</f>
        <v>0</v>
      </c>
      <c r="BL173" s="899" t="b">
        <f>IF(AND(C173&lt;&gt;"",I173=""),TRUE,FALSE)</f>
        <v>0</v>
      </c>
      <c r="BM173" s="898" t="b">
        <f>IF(BN173=TRUE,FALSE,IF(M173&gt;K173,TRUE,FALSE))</f>
        <v>0</v>
      </c>
      <c r="BN173" s="899" t="b">
        <f>IF(AND($C173&lt;&gt;"",K173=""),TRUE,FALSE)</f>
        <v>0</v>
      </c>
      <c r="BO173" s="898"/>
      <c r="BP173" s="899" t="b">
        <f>IF(AND($C173&lt;&gt;"",M173=""),TRUE,FALSE)</f>
        <v>0</v>
      </c>
      <c r="BQ173" s="898"/>
      <c r="BR173" s="899" t="b">
        <f>IF(AND($C173&lt;&gt;"",O173=""),TRUE,FALSE)</f>
        <v>0</v>
      </c>
      <c r="BS173" s="898" t="b">
        <f>IF(AND(S173="",OR(U173&lt;&gt;"",AA173&lt;&gt;"",AG173&lt;&gt;"",AI173&lt;&gt;"",AK173&lt;&gt;"",AM173&lt;&gt;"",AO173&lt;&gt;"",AQ173&lt;&gt;"",AS173&lt;&gt;"",AU173&lt;&gt;"",AW173&lt;&gt;"",AY173&lt;&gt;"",BA173&lt;&gt;"")),TRUE,FALSE)</f>
        <v>0</v>
      </c>
      <c r="BT173" s="899" t="b">
        <f>IF(AND($C173&lt;&gt;"",S173=""),TRUE,FALSE)</f>
        <v>0</v>
      </c>
      <c r="BU173" s="898"/>
      <c r="BV173" s="899" t="b">
        <f>IF(AND($C173&lt;&gt;"",U173=""),TRUE,FALSE)</f>
        <v>0</v>
      </c>
      <c r="BW173" s="1537" t="b">
        <f>IF(BX173=TRUE,FALSE,IF(AA173="",FALSE,IF(OR(AA173&lt;CX173,AA173&gt;BaseYear),TRUE,FALSE)))</f>
        <v>0</v>
      </c>
      <c r="BX173" s="899" t="b">
        <f>IF(AND($C173&lt;&gt;"",AA173=""),TRUE,FALSE)</f>
        <v>0</v>
      </c>
      <c r="BY173" s="898"/>
      <c r="BZ173" s="899" t="b">
        <f>IF(AND($C173&lt;&gt;"",AG173=""),TRUE,FALSE)</f>
        <v>0</v>
      </c>
      <c r="CA173" s="898"/>
      <c r="CB173" s="899" t="b">
        <f>IF(AND($C173&lt;&gt;"",AI173=""),TRUE,FALSE)</f>
        <v>0</v>
      </c>
      <c r="CC173" s="1537" t="b">
        <f>IF(AK173="",FALSE,IF(OR(AK173&lt;CX173,AK173&gt;BaseYear),TRUE,FALSE))</f>
        <v>0</v>
      </c>
      <c r="CD173" s="1538" t="b">
        <f>IF(AK173="",FALSE,IF(AK173&lt;AA173,TRUE,FALSE))</f>
        <v>0</v>
      </c>
      <c r="CE173" s="899" t="b">
        <f>IF(AND($AM173&lt;&gt;"",AK173=""),TRUE,FALSE)</f>
        <v>0</v>
      </c>
      <c r="CF173" s="898"/>
      <c r="CG173" s="898" t="b">
        <f>IF(AND($AK173&lt;&gt;"",AM173=""),TRUE,FALSE)</f>
        <v>0</v>
      </c>
      <c r="CH173" s="898"/>
      <c r="CI173" s="899" t="b">
        <f>IF(AND($C173&lt;&gt;"",AO173=""),TRUE,FALSE)</f>
        <v>0</v>
      </c>
      <c r="CJ173" s="1537"/>
      <c r="CK173" s="899" t="b">
        <f>IF(AND($C173&lt;&gt;"",AQ173=""),TRUE,FALSE)</f>
        <v>0</v>
      </c>
      <c r="CL173" s="898"/>
      <c r="CM173" s="899" t="b">
        <f>IF(AND($C173&lt;&gt;"",AS173=""),TRUE,FALSE)</f>
        <v>0</v>
      </c>
      <c r="CN173" s="898"/>
      <c r="CO173" s="899" t="b">
        <f>IF(AND($C173&lt;&gt;"",AU173=""),TRUE,FALSE)</f>
        <v>0</v>
      </c>
      <c r="CP173" s="898"/>
      <c r="CQ173" s="899" t="b">
        <f>IF(AND($C173&lt;&gt;"",AW173=""),TRUE,FALSE)</f>
        <v>0</v>
      </c>
      <c r="CR173" s="898"/>
      <c r="CS173" s="899" t="b">
        <f>IF(AND($C173&lt;&gt;"",AY173=""),TRUE,FALSE)</f>
        <v>0</v>
      </c>
      <c r="CT173" s="898"/>
      <c r="CU173" s="898" t="b">
        <f>IF(AND($C173&lt;&gt;"",BA173=""),TRUE,FALSE)</f>
        <v>0</v>
      </c>
      <c r="CV173" s="894"/>
      <c r="CW173" s="898" t="str">
        <f t="shared" ref="CW173:CW204" si="47">IFERROR(VLOOKUP($S173,val_rev_vehicles,CW$3,FALSE),"")</f>
        <v/>
      </c>
      <c r="CX173" s="898" t="str">
        <f>IFERROR(IF(AND(S173="",S173&lt;&gt;""),1913,VLOOKUP(S173,Valid!$B$99:$J$120,9)),"")</f>
        <v/>
      </c>
      <c r="CY173" s="898" t="str">
        <f t="shared" ref="CY173:CY204" ca="1" si="48">IF(AA173="", "", YEAR(TODAY())-AA173)</f>
        <v/>
      </c>
      <c r="CZ173" s="1547" t="str">
        <f t="shared" ca="1" si="44"/>
        <v/>
      </c>
      <c r="DA173" s="898" t="str">
        <f ca="1">IF(CZ173="", "", IF(1+(CZ173*4)&lt;1, 1, 1+(CZ173*4)))</f>
        <v/>
      </c>
      <c r="DB173" s="898" t="str">
        <f t="shared" ref="DB173:DB204" si="49">IFERROR(VLOOKUP($S173,val_rev_vehicles,DB$3,FALSE), "")</f>
        <v/>
      </c>
      <c r="DC173" s="898" t="str">
        <f t="shared" ref="DC173:DC204" si="50">IFERROR(VLOOKUP($S173,val_rev_vehicles,DC$3,FALSE),"")</f>
        <v/>
      </c>
      <c r="DD173" s="1539" t="str">
        <f>IFERROR(IF(AND(AM173="",C173&lt;&gt;""),Valid!$E$123,VLOOKUP(AM173,Valid!$B$123:$F$125,4,FALSE)),"")</f>
        <v/>
      </c>
      <c r="DE173" s="1539" t="str">
        <f>IFERROR(IF(AND(AM173="",C173&lt;&gt;""),Valid!$F$123,VLOOKUP(AM173,Valid!$B$123:$F$125,5,FALSE)),"")</f>
        <v/>
      </c>
      <c r="DF173" s="1539" t="str">
        <f>IFERROR(VLOOKUP('A-70 RevVehInv'!S173,Valid!$B$99:$I$120,7), "")</f>
        <v/>
      </c>
      <c r="DG173" s="1539" t="str">
        <f>IFERROR(VLOOKUP(S173,Valid!$B$99:$I$120,8), "")</f>
        <v/>
      </c>
      <c r="DH173" s="894"/>
    </row>
    <row r="174" spans="1:112" ht="6.75" customHeight="1" x14ac:dyDescent="0.2">
      <c r="A174" s="1516"/>
      <c r="B174" s="1530">
        <v>81.5</v>
      </c>
      <c r="C174" s="1540"/>
      <c r="D174" s="905"/>
      <c r="E174" s="1541"/>
      <c r="F174" s="905"/>
      <c r="G174" s="905"/>
      <c r="H174" s="905"/>
      <c r="I174" s="1534"/>
      <c r="J174" s="905"/>
      <c r="K174" s="1534"/>
      <c r="L174" s="905"/>
      <c r="M174" s="1534"/>
      <c r="N174" s="905"/>
      <c r="O174" s="1534"/>
      <c r="P174" s="905"/>
      <c r="Q174" s="1534"/>
      <c r="R174" s="1531"/>
      <c r="S174" s="1542"/>
      <c r="T174" s="905"/>
      <c r="U174" s="1542"/>
      <c r="V174" s="905"/>
      <c r="W174" s="1534" t="str">
        <f t="shared" si="45"/>
        <v/>
      </c>
      <c r="X174" s="905"/>
      <c r="Y174" s="1534"/>
      <c r="Z174" s="252" t="str">
        <f t="shared" si="46"/>
        <v/>
      </c>
      <c r="AA174" s="1534"/>
      <c r="AB174" s="905"/>
      <c r="AC174" s="1973" t="str">
        <f t="shared" ref="AC174:AC205" si="51">IFERROR(VLOOKUP($S174,val_rev_vehicles,AC$3,FALSE), "")</f>
        <v/>
      </c>
      <c r="AD174" s="905"/>
      <c r="AE174" s="1985" t="str">
        <f t="shared" ref="AE174:AE205" si="52">IFERROR(VLOOKUP($S174,val_rev_vehicles,AE$3,FALSE), "")</f>
        <v/>
      </c>
      <c r="AF174" s="905"/>
      <c r="AG174" s="1543"/>
      <c r="AH174" s="1531"/>
      <c r="AI174" s="1534"/>
      <c r="AJ174" s="1531"/>
      <c r="AK174" s="1534"/>
      <c r="AL174" s="1531"/>
      <c r="AM174" s="1543"/>
      <c r="AN174" s="1531"/>
      <c r="AO174" s="1543"/>
      <c r="AP174" s="1531"/>
      <c r="AQ174" s="1534"/>
      <c r="AR174" s="1531"/>
      <c r="AS174" s="1534"/>
      <c r="AT174" s="1531"/>
      <c r="AU174" s="1534"/>
      <c r="AV174" s="1531"/>
      <c r="AW174" s="1534"/>
      <c r="AX174" s="1531"/>
      <c r="AY174" s="1534"/>
      <c r="AZ174" s="1531"/>
      <c r="BA174" s="1543"/>
      <c r="BB174" s="1531"/>
      <c r="BC174" s="1534"/>
      <c r="BD174" s="1531"/>
      <c r="BE174" s="1531"/>
      <c r="BF174" s="1531"/>
      <c r="BG174" s="1531"/>
      <c r="BH174" s="1531"/>
      <c r="BI174" s="1535"/>
      <c r="BJ174" s="1534"/>
      <c r="BK174" s="1535"/>
      <c r="BL174" s="1534"/>
      <c r="BM174" s="1535"/>
      <c r="BN174" s="1534"/>
      <c r="BO174" s="1535"/>
      <c r="BP174" s="1534"/>
      <c r="BQ174" s="1535"/>
      <c r="BR174" s="1534"/>
      <c r="BS174" s="1535"/>
      <c r="BT174" s="1534"/>
      <c r="BU174" s="1535"/>
      <c r="BV174" s="1534"/>
      <c r="BW174" s="1535"/>
      <c r="BX174" s="1534"/>
      <c r="BY174" s="1535"/>
      <c r="BZ174" s="1534"/>
      <c r="CA174" s="1535"/>
      <c r="CB174" s="1534"/>
      <c r="CC174" s="1535"/>
      <c r="CD174" s="1534"/>
      <c r="CE174" s="1534"/>
      <c r="CF174" s="1535"/>
      <c r="CG174" s="1534"/>
      <c r="CH174" s="1535"/>
      <c r="CI174" s="1534"/>
      <c r="CJ174" s="1535"/>
      <c r="CK174" s="1534"/>
      <c r="CL174" s="1535"/>
      <c r="CM174" s="1534"/>
      <c r="CN174" s="1535"/>
      <c r="CO174" s="1534"/>
      <c r="CP174" s="1535"/>
      <c r="CQ174" s="1534"/>
      <c r="CR174" s="1535"/>
      <c r="CS174" s="1534"/>
      <c r="CT174" s="1535"/>
      <c r="CU174" s="1535"/>
      <c r="CV174" s="1531"/>
      <c r="CW174" s="898" t="str">
        <f t="shared" si="47"/>
        <v/>
      </c>
      <c r="CX174" s="898" t="str">
        <f>IFERROR(IF(AND(S174="",S174&lt;&gt;""),1913,VLOOKUP(S174,Valid!$B$99:$J$120,9)),"")</f>
        <v/>
      </c>
      <c r="CY174" s="898" t="str">
        <f t="shared" ca="1" si="48"/>
        <v/>
      </c>
      <c r="CZ174" s="1547" t="str">
        <f t="shared" ref="CZ174:CZ205" ca="1" si="53">IF(OR(CY174="", W174="",W174=0), "", 1+ (-1*(CY174/W174)))</f>
        <v/>
      </c>
      <c r="DA174" s="898"/>
      <c r="DB174" s="898" t="str">
        <f t="shared" si="49"/>
        <v/>
      </c>
      <c r="DC174" s="898" t="str">
        <f t="shared" si="50"/>
        <v/>
      </c>
      <c r="DD174" s="1539" t="str">
        <f>IFERROR(IF(AND(AM174="",C174&lt;&gt;""),Valid!$E$123,VLOOKUP(AM174,Valid!$B$123:$F$125,4,FALSE)),"")</f>
        <v/>
      </c>
      <c r="DE174" s="1539" t="str">
        <f>IFERROR(IF(AND(AM174="",C174&lt;&gt;""),Valid!$F$123,VLOOKUP(AM174,Valid!$B$123:$F$125,5,FALSE)),"")</f>
        <v/>
      </c>
      <c r="DF174" s="1539" t="str">
        <f>IFERROR(VLOOKUP('A-70 RevVehInv'!S174,Valid!$B$99:$I$120,7), "")</f>
        <v/>
      </c>
      <c r="DG174" s="1539" t="str">
        <f>IFERROR(VLOOKUP(S174,Valid!$B$99:$I$120,8), "")</f>
        <v/>
      </c>
      <c r="DH174" s="1531"/>
    </row>
    <row r="175" spans="1:112" s="930" customFormat="1" x14ac:dyDescent="0.2">
      <c r="A175" s="206">
        <v>82</v>
      </c>
      <c r="B175" s="1530">
        <v>82</v>
      </c>
      <c r="C175" s="933"/>
      <c r="D175" s="719" t="str">
        <f>IF(C173="","",IF((C175=""),"Enter RVI ID. then Fill in Columns "&amp;TEXT($I$2,0)&amp;" - "&amp;TEXT($BA$2,0)&amp;"       ",""))</f>
        <v/>
      </c>
      <c r="E175" s="1056" t="str">
        <f>IF(BH175="N/A","",BH175)</f>
        <v/>
      </c>
      <c r="F175" s="1536"/>
      <c r="G175" s="1536"/>
      <c r="H175" s="1536"/>
      <c r="I175" s="1023"/>
      <c r="J175" s="1536" t="str">
        <f>IF(E175&lt;&gt;"","Vehicles?    ","")</f>
        <v/>
      </c>
      <c r="K175" s="1023"/>
      <c r="L175" s="1536" t="str">
        <f>IF(E175&lt;&gt;"","Active Vehicles?     ","")</f>
        <v/>
      </c>
      <c r="M175" s="1023"/>
      <c r="N175" s="1536" t="str">
        <f>IF(E175&lt;&gt;"","ADA Vehicles?       ","")</f>
        <v/>
      </c>
      <c r="O175" s="1023"/>
      <c r="P175" s="1536" t="str">
        <f>IF(E175&lt;&gt;"","Cont. Vehicles?     ","")</f>
        <v/>
      </c>
      <c r="Q175" s="1024"/>
      <c r="R175" s="894"/>
      <c r="S175" s="1153"/>
      <c r="T175" s="252" t="str">
        <f>IF(E175&lt;&gt;"","Select from Pull-Down List    ","")</f>
        <v/>
      </c>
      <c r="U175" s="933"/>
      <c r="V175" s="252" t="str">
        <f>IF(E175&lt;&gt;"","Select from Pull-Down List    ","")</f>
        <v/>
      </c>
      <c r="W175" s="1766" t="str">
        <f t="shared" si="45"/>
        <v/>
      </c>
      <c r="X175" s="252"/>
      <c r="Y175" s="1988"/>
      <c r="Z175" s="252" t="str">
        <f t="shared" si="46"/>
        <v/>
      </c>
      <c r="AA175" s="139"/>
      <c r="AB175" s="252" t="str">
        <f>IF(E175&lt;&gt;"","Mfg. Yr?    ","")</f>
        <v/>
      </c>
      <c r="AC175" s="1974" t="str">
        <f t="shared" si="51"/>
        <v/>
      </c>
      <c r="AD175" s="252"/>
      <c r="AE175" s="1986" t="str">
        <f t="shared" si="52"/>
        <v/>
      </c>
      <c r="AF175" s="252"/>
      <c r="AG175" s="933"/>
      <c r="AH175" s="252" t="str">
        <f>IF(E175&lt;&gt;"","Select from Pull-Down List    ","")</f>
        <v/>
      </c>
      <c r="AI175" s="933"/>
      <c r="AJ175" s="252" t="str">
        <f>IF(E175&lt;&gt;"","Number?   ","")</f>
        <v/>
      </c>
      <c r="AK175" s="139"/>
      <c r="AL175" s="252" t="str">
        <f>IF(E175&lt;&gt;"","Last Rnwl. Yr?   ","")</f>
        <v/>
      </c>
      <c r="AM175" s="933"/>
      <c r="AN175" s="252" t="str">
        <f>IF(E175&lt;&gt;"","Select from Pull-Down List    ","")</f>
        <v/>
      </c>
      <c r="AO175" s="933"/>
      <c r="AP175" s="252" t="str">
        <f>IF(E175&lt;&gt;"","Select from Pull-Down List    ","")</f>
        <v/>
      </c>
      <c r="AQ175" s="1023"/>
      <c r="AR175" s="252" t="str">
        <f>IF(E175&lt;&gt;"","Feet?    ","")</f>
        <v/>
      </c>
      <c r="AS175" s="1023"/>
      <c r="AT175" s="252" t="str">
        <f>IF(E175&lt;&gt;"","Seats?    ","")</f>
        <v/>
      </c>
      <c r="AU175" s="1023"/>
      <c r="AV175" s="252" t="str">
        <f>IF(E175&lt;&gt;"","Standing?    ","")</f>
        <v/>
      </c>
      <c r="AW175" s="1023"/>
      <c r="AX175" s="252" t="str">
        <f>IF(E175&lt;&gt;"","Mileage?       ","")</f>
        <v/>
      </c>
      <c r="AY175" s="1023"/>
      <c r="AZ175" s="252" t="str">
        <f>IF(E175&lt;&gt;"","Avg. Lifetime Mileage? ","")</f>
        <v/>
      </c>
      <c r="BA175" s="933"/>
      <c r="BB175" s="252" t="str">
        <f>IF(E175&lt;&gt;"","Select from Pull-Down List    ","")</f>
        <v/>
      </c>
      <c r="BC175" s="171"/>
      <c r="BD175" s="252" t="str">
        <f>IF(OR(AO175="OR - Other fuel (describe in Notes)",AG175="ZZZ - Other (describe in Notes)"),"Describe                                                                                                     ","")</f>
        <v/>
      </c>
      <c r="BE175" s="894"/>
      <c r="BF175" s="894"/>
      <c r="BG175" s="894" t="b">
        <f>IF(AND(C175="",C177&lt;&gt;""),TRUE,FALSE)</f>
        <v>0</v>
      </c>
      <c r="BH175" s="888" t="str">
        <f>IF(AND(C175&lt;&gt;"",OR(I175="",K175="",M175="",O175="",S175="",U175="",AA175="",AG175="",AI175="",AO175="",AQ175="",AS175="",AU175="",AW175="",AY175="")),"No",IF(AND(C175="",OR(I175&lt;&gt;"",K175&lt;&gt;"",M175&lt;&gt;"",O175&lt;&gt;"",S175&lt;&gt;"",U175&lt;&gt;"",AA175&lt;&gt;"",AG175&lt;&gt;"",AI175&lt;&gt;"",AK175&lt;&gt;"",AM175&lt;&gt;"",AO175&lt;&gt;"",AQ175&lt;&gt;"",AS175&lt;&gt;"",AU175&lt;&gt;"",AW175&lt;&gt;"",AY175&lt;&gt;"",BA175&lt;&gt;"",BC175&lt;&gt;"")),"No",IF(AND(C175="",I175="",K175="",M175="",O175="",S175="",U175="",AA175="",AG175="",AI175="",AK175="",AM175="",AO175="",AQ175="",AS175="",AU175="",AW175="",AY175="",BA175=""),"N/A","Yes")))</f>
        <v>N/A</v>
      </c>
      <c r="BI175" s="898"/>
      <c r="BJ175" s="899" t="b">
        <f>IF(AND(OR(I175&lt;&gt;"",K175&lt;&gt;"",M175&lt;&gt;"",O175&lt;&gt;"",S175&lt;&gt;"",U175&lt;&gt;"",AA175&lt;&gt;"",AG175&lt;&gt;"",AI175&lt;&gt;"",AK175&lt;&gt;"",AM175&lt;&gt;"",AO175&lt;&gt;"",AQ175&lt;&gt;"",AS175&lt;&gt;"",AW175&lt;&gt;"",AY175&lt;&gt;"",BA175&lt;&gt;"",BC175&lt;&gt;""),C175=""),TRUE,FALSE)</f>
        <v>0</v>
      </c>
      <c r="BK175" s="898" t="b">
        <f>IF(BL175=TRUE,FALSE,IF(SUM(K175,O175)&gt;I175,TRUE,FALSE))</f>
        <v>0</v>
      </c>
      <c r="BL175" s="899" t="b">
        <f>IF(AND(C175&lt;&gt;"",I175=""),TRUE,FALSE)</f>
        <v>0</v>
      </c>
      <c r="BM175" s="898" t="b">
        <f>IF(BN175=TRUE,FALSE,IF(M175&gt;K175,TRUE,FALSE))</f>
        <v>0</v>
      </c>
      <c r="BN175" s="899" t="b">
        <f>IF(AND($C175&lt;&gt;"",K175=""),TRUE,FALSE)</f>
        <v>0</v>
      </c>
      <c r="BO175" s="898"/>
      <c r="BP175" s="899" t="b">
        <f>IF(AND($C175&lt;&gt;"",M175=""),TRUE,FALSE)</f>
        <v>0</v>
      </c>
      <c r="BQ175" s="898"/>
      <c r="BR175" s="899" t="b">
        <f>IF(AND($C175&lt;&gt;"",O175=""),TRUE,FALSE)</f>
        <v>0</v>
      </c>
      <c r="BS175" s="898" t="b">
        <f>IF(AND(S175="",OR(U175&lt;&gt;"",AA175&lt;&gt;"",AG175&lt;&gt;"",AI175&lt;&gt;"",AK175&lt;&gt;"",AM175&lt;&gt;"",AO175&lt;&gt;"",AQ175&lt;&gt;"",AS175&lt;&gt;"",AU175&lt;&gt;"",AW175&lt;&gt;"",AY175&lt;&gt;"",BA175&lt;&gt;"")),TRUE,FALSE)</f>
        <v>0</v>
      </c>
      <c r="BT175" s="899" t="b">
        <f>IF(AND($C175&lt;&gt;"",S175=""),TRUE,FALSE)</f>
        <v>0</v>
      </c>
      <c r="BU175" s="898"/>
      <c r="BV175" s="899" t="b">
        <f>IF(AND($C175&lt;&gt;"",U175=""),TRUE,FALSE)</f>
        <v>0</v>
      </c>
      <c r="BW175" s="1537" t="b">
        <f>IF(BX175=TRUE,FALSE,IF(AA175="",FALSE,IF(OR(AA175&lt;CX175,AA175&gt;BaseYear),TRUE,FALSE)))</f>
        <v>0</v>
      </c>
      <c r="BX175" s="899" t="b">
        <f>IF(AND($C175&lt;&gt;"",AA175=""),TRUE,FALSE)</f>
        <v>0</v>
      </c>
      <c r="BY175" s="898"/>
      <c r="BZ175" s="899" t="b">
        <f>IF(AND($C175&lt;&gt;"",AG175=""),TRUE,FALSE)</f>
        <v>0</v>
      </c>
      <c r="CA175" s="898"/>
      <c r="CB175" s="899" t="b">
        <f>IF(AND($C175&lt;&gt;"",AI175=""),TRUE,FALSE)</f>
        <v>0</v>
      </c>
      <c r="CC175" s="1537" t="b">
        <f>IF(AK175="",FALSE,IF(OR(AK175&lt;CX175,AK175&gt;BaseYear),TRUE,FALSE))</f>
        <v>0</v>
      </c>
      <c r="CD175" s="1538" t="b">
        <f>IF(AK175="",FALSE,IF(AK175&lt;AA175,TRUE,FALSE))</f>
        <v>0</v>
      </c>
      <c r="CE175" s="899" t="b">
        <f>IF(AND($AM175&lt;&gt;"",AK175=""),TRUE,FALSE)</f>
        <v>0</v>
      </c>
      <c r="CF175" s="898"/>
      <c r="CG175" s="898" t="b">
        <f>IF(AND($AK175&lt;&gt;"",AM175=""),TRUE,FALSE)</f>
        <v>0</v>
      </c>
      <c r="CH175" s="898"/>
      <c r="CI175" s="899" t="b">
        <f>IF(AND($C175&lt;&gt;"",AO175=""),TRUE,FALSE)</f>
        <v>0</v>
      </c>
      <c r="CJ175" s="1537"/>
      <c r="CK175" s="899" t="b">
        <f>IF(AND($C175&lt;&gt;"",AQ175=""),TRUE,FALSE)</f>
        <v>0</v>
      </c>
      <c r="CL175" s="898"/>
      <c r="CM175" s="899" t="b">
        <f>IF(AND($C175&lt;&gt;"",AS175=""),TRUE,FALSE)</f>
        <v>0</v>
      </c>
      <c r="CN175" s="898"/>
      <c r="CO175" s="899" t="b">
        <f>IF(AND($C175&lt;&gt;"",AU175=""),TRUE,FALSE)</f>
        <v>0</v>
      </c>
      <c r="CP175" s="898"/>
      <c r="CQ175" s="899" t="b">
        <f>IF(AND($C175&lt;&gt;"",AW175=""),TRUE,FALSE)</f>
        <v>0</v>
      </c>
      <c r="CR175" s="898"/>
      <c r="CS175" s="899" t="b">
        <f>IF(AND($C175&lt;&gt;"",AY175=""),TRUE,FALSE)</f>
        <v>0</v>
      </c>
      <c r="CT175" s="898"/>
      <c r="CU175" s="898" t="b">
        <f>IF(AND($C175&lt;&gt;"",BA175=""),TRUE,FALSE)</f>
        <v>0</v>
      </c>
      <c r="CV175" s="894"/>
      <c r="CW175" s="898" t="str">
        <f t="shared" si="47"/>
        <v/>
      </c>
      <c r="CX175" s="898" t="str">
        <f>IFERROR(IF(AND(S175="",S175&lt;&gt;""),1913,VLOOKUP(S175,Valid!$B$99:$J$120,9)),"")</f>
        <v/>
      </c>
      <c r="CY175" s="898" t="str">
        <f t="shared" ca="1" si="48"/>
        <v/>
      </c>
      <c r="CZ175" s="1547" t="str">
        <f t="shared" ca="1" si="53"/>
        <v/>
      </c>
      <c r="DA175" s="898" t="str">
        <f ca="1">IF(CZ175="", "", IF(1+(CZ175*4)&lt;1, 1, 1+(CZ175*4)))</f>
        <v/>
      </c>
      <c r="DB175" s="898" t="str">
        <f t="shared" si="49"/>
        <v/>
      </c>
      <c r="DC175" s="898" t="str">
        <f t="shared" si="50"/>
        <v/>
      </c>
      <c r="DD175" s="1539" t="str">
        <f>IFERROR(IF(AND(AM175="",C175&lt;&gt;""),Valid!$E$123,VLOOKUP(AM175,Valid!$B$123:$F$125,4,FALSE)),"")</f>
        <v/>
      </c>
      <c r="DE175" s="1539" t="str">
        <f>IFERROR(IF(AND(AM175="",C175&lt;&gt;""),Valid!$F$123,VLOOKUP(AM175,Valid!$B$123:$F$125,5,FALSE)),"")</f>
        <v/>
      </c>
      <c r="DF175" s="1539" t="str">
        <f>IFERROR(VLOOKUP('A-70 RevVehInv'!S175,Valid!$B$99:$I$120,7), "")</f>
        <v/>
      </c>
      <c r="DG175" s="1539" t="str">
        <f>IFERROR(VLOOKUP(S175,Valid!$B$99:$I$120,8), "")</f>
        <v/>
      </c>
      <c r="DH175" s="894"/>
    </row>
    <row r="176" spans="1:112" ht="6.75" customHeight="1" x14ac:dyDescent="0.2">
      <c r="A176" s="1516"/>
      <c r="B176" s="1530">
        <v>82.5</v>
      </c>
      <c r="C176" s="1544"/>
      <c r="D176" s="905"/>
      <c r="E176" s="1545"/>
      <c r="F176" s="905"/>
      <c r="G176" s="905"/>
      <c r="H176" s="905"/>
      <c r="I176" s="1531"/>
      <c r="J176" s="905"/>
      <c r="K176" s="1531"/>
      <c r="L176" s="905"/>
      <c r="M176" s="1531"/>
      <c r="N176" s="905"/>
      <c r="O176" s="1531"/>
      <c r="P176" s="905"/>
      <c r="Q176" s="1531"/>
      <c r="R176" s="1531"/>
      <c r="S176" s="1533"/>
      <c r="T176" s="905"/>
      <c r="U176" s="1533"/>
      <c r="V176" s="905"/>
      <c r="W176" s="1531" t="str">
        <f t="shared" si="45"/>
        <v/>
      </c>
      <c r="X176" s="905"/>
      <c r="Y176" s="1531"/>
      <c r="Z176" s="252" t="str">
        <f t="shared" si="46"/>
        <v/>
      </c>
      <c r="AA176" s="1531"/>
      <c r="AB176" s="905"/>
      <c r="AC176" s="1971" t="str">
        <f t="shared" si="51"/>
        <v/>
      </c>
      <c r="AD176" s="905"/>
      <c r="AE176" s="1983" t="str">
        <f t="shared" si="52"/>
        <v/>
      </c>
      <c r="AF176" s="905"/>
      <c r="AG176" s="1546"/>
      <c r="AH176" s="1531"/>
      <c r="AI176" s="1531"/>
      <c r="AJ176" s="1531"/>
      <c r="AK176" s="1531"/>
      <c r="AL176" s="1531"/>
      <c r="AM176" s="1546"/>
      <c r="AN176" s="1531"/>
      <c r="AO176" s="1546"/>
      <c r="AP176" s="1531"/>
      <c r="AQ176" s="1531"/>
      <c r="AR176" s="1531"/>
      <c r="AS176" s="1531"/>
      <c r="AT176" s="1531"/>
      <c r="AU176" s="1531"/>
      <c r="AV176" s="1531"/>
      <c r="AW176" s="1531"/>
      <c r="AX176" s="1531"/>
      <c r="AY176" s="1531"/>
      <c r="AZ176" s="1531"/>
      <c r="BA176" s="1546"/>
      <c r="BB176" s="1531"/>
      <c r="BC176" s="1531"/>
      <c r="BD176" s="1531"/>
      <c r="BE176" s="1531"/>
      <c r="BF176" s="1531"/>
      <c r="BG176" s="1531"/>
      <c r="BH176" s="1531"/>
      <c r="BI176" s="1535"/>
      <c r="BJ176" s="1534"/>
      <c r="BK176" s="1535"/>
      <c r="BL176" s="1534"/>
      <c r="BM176" s="1535"/>
      <c r="BN176" s="1534"/>
      <c r="BO176" s="1535"/>
      <c r="BP176" s="1534"/>
      <c r="BQ176" s="1535"/>
      <c r="BR176" s="1534"/>
      <c r="BS176" s="1535"/>
      <c r="BT176" s="1534"/>
      <c r="BU176" s="1535"/>
      <c r="BV176" s="1534"/>
      <c r="BW176" s="1535"/>
      <c r="BX176" s="1534"/>
      <c r="BY176" s="1535"/>
      <c r="BZ176" s="1534"/>
      <c r="CA176" s="1535"/>
      <c r="CB176" s="1534"/>
      <c r="CC176" s="1535"/>
      <c r="CD176" s="1534"/>
      <c r="CE176" s="1534"/>
      <c r="CF176" s="1535"/>
      <c r="CG176" s="1534"/>
      <c r="CH176" s="1535"/>
      <c r="CI176" s="1534"/>
      <c r="CJ176" s="1535"/>
      <c r="CK176" s="1534"/>
      <c r="CL176" s="1535"/>
      <c r="CM176" s="1534"/>
      <c r="CN176" s="1535"/>
      <c r="CO176" s="1534"/>
      <c r="CP176" s="1535"/>
      <c r="CQ176" s="1534"/>
      <c r="CR176" s="1535"/>
      <c r="CS176" s="1534"/>
      <c r="CT176" s="1535"/>
      <c r="CU176" s="1535"/>
      <c r="CV176" s="1531"/>
      <c r="CW176" s="898" t="str">
        <f t="shared" si="47"/>
        <v/>
      </c>
      <c r="CX176" s="898" t="str">
        <f>IFERROR(IF(AND(S176="",S176&lt;&gt;""),1913,VLOOKUP(S176,Valid!$B$99:$J$120,9)),"")</f>
        <v/>
      </c>
      <c r="CY176" s="898" t="str">
        <f t="shared" ca="1" si="48"/>
        <v/>
      </c>
      <c r="CZ176" s="1547" t="str">
        <f t="shared" ca="1" si="53"/>
        <v/>
      </c>
      <c r="DA176" s="898"/>
      <c r="DB176" s="898" t="str">
        <f t="shared" si="49"/>
        <v/>
      </c>
      <c r="DC176" s="898" t="str">
        <f t="shared" si="50"/>
        <v/>
      </c>
      <c r="DD176" s="1539" t="str">
        <f>IFERROR(IF(AND(AM176="",C176&lt;&gt;""),Valid!$E$123,VLOOKUP(AM176,Valid!$B$123:$F$125,4,FALSE)),"")</f>
        <v/>
      </c>
      <c r="DE176" s="1539" t="str">
        <f>IFERROR(IF(AND(AM176="",C176&lt;&gt;""),Valid!$F$123,VLOOKUP(AM176,Valid!$B$123:$F$125,5,FALSE)),"")</f>
        <v/>
      </c>
      <c r="DF176" s="1539" t="str">
        <f>IFERROR(VLOOKUP('A-70 RevVehInv'!S176,Valid!$B$99:$I$120,7), "")</f>
        <v/>
      </c>
      <c r="DG176" s="1539" t="str">
        <f>IFERROR(VLOOKUP(S176,Valid!$B$99:$I$120,8), "")</f>
        <v/>
      </c>
      <c r="DH176" s="1531"/>
    </row>
    <row r="177" spans="1:112" s="930" customFormat="1" x14ac:dyDescent="0.2">
      <c r="A177" s="206">
        <v>83</v>
      </c>
      <c r="B177" s="1530">
        <v>83</v>
      </c>
      <c r="C177" s="933"/>
      <c r="D177" s="719" t="str">
        <f>IF(C175="","",IF((C177=""),"Enter RVI ID. then Fill in Columns "&amp;TEXT($I$2,0)&amp;" - "&amp;TEXT($BA$2,0)&amp;"       ",""))</f>
        <v/>
      </c>
      <c r="E177" s="1056" t="str">
        <f>IF(BH177="N/A","",BH177)</f>
        <v/>
      </c>
      <c r="F177" s="1536"/>
      <c r="G177" s="1536"/>
      <c r="H177" s="1536"/>
      <c r="I177" s="1023"/>
      <c r="J177" s="1536" t="str">
        <f>IF(E177&lt;&gt;"","Vehicles?    ","")</f>
        <v/>
      </c>
      <c r="K177" s="1023"/>
      <c r="L177" s="1536" t="str">
        <f>IF(E177&lt;&gt;"","Active Vehicles?     ","")</f>
        <v/>
      </c>
      <c r="M177" s="1023"/>
      <c r="N177" s="1536" t="str">
        <f>IF(E177&lt;&gt;"","ADA Vehicles?       ","")</f>
        <v/>
      </c>
      <c r="O177" s="1023"/>
      <c r="P177" s="1536" t="str">
        <f>IF(E177&lt;&gt;"","Cont. Vehicles?     ","")</f>
        <v/>
      </c>
      <c r="Q177" s="1024"/>
      <c r="R177" s="894"/>
      <c r="S177" s="1153"/>
      <c r="T177" s="252" t="str">
        <f>IF(E177&lt;&gt;"","Select from Pull-Down List    ","")</f>
        <v/>
      </c>
      <c r="U177" s="933"/>
      <c r="V177" s="252" t="str">
        <f>IF(E177&lt;&gt;"","Select from Pull-Down List    ","")</f>
        <v/>
      </c>
      <c r="W177" s="1766" t="str">
        <f t="shared" si="45"/>
        <v/>
      </c>
      <c r="X177" s="252"/>
      <c r="Y177" s="1988"/>
      <c r="Z177" s="252" t="str">
        <f t="shared" si="46"/>
        <v/>
      </c>
      <c r="AA177" s="139"/>
      <c r="AB177" s="252" t="str">
        <f>IF(E177&lt;&gt;"","Mfg. Yr?    ","")</f>
        <v/>
      </c>
      <c r="AC177" s="1974" t="str">
        <f t="shared" si="51"/>
        <v/>
      </c>
      <c r="AD177" s="252"/>
      <c r="AE177" s="1986" t="str">
        <f t="shared" si="52"/>
        <v/>
      </c>
      <c r="AF177" s="252"/>
      <c r="AG177" s="933"/>
      <c r="AH177" s="252" t="str">
        <f>IF(E177&lt;&gt;"","Select from Pull-Down List    ","")</f>
        <v/>
      </c>
      <c r="AI177" s="933"/>
      <c r="AJ177" s="252" t="str">
        <f>IF(E177&lt;&gt;"","Number?   ","")</f>
        <v/>
      </c>
      <c r="AK177" s="139"/>
      <c r="AL177" s="252" t="str">
        <f>IF(E177&lt;&gt;"","Last Rnwl. Yr?   ","")</f>
        <v/>
      </c>
      <c r="AM177" s="933"/>
      <c r="AN177" s="252" t="str">
        <f>IF(E177&lt;&gt;"","Select from Pull-Down List    ","")</f>
        <v/>
      </c>
      <c r="AO177" s="933"/>
      <c r="AP177" s="252" t="str">
        <f>IF(E177&lt;&gt;"","Select from Pull-Down List    ","")</f>
        <v/>
      </c>
      <c r="AQ177" s="1023"/>
      <c r="AR177" s="252" t="str">
        <f>IF(E177&lt;&gt;"","Feet?    ","")</f>
        <v/>
      </c>
      <c r="AS177" s="1023"/>
      <c r="AT177" s="252" t="str">
        <f>IF(E177&lt;&gt;"","Seats?    ","")</f>
        <v/>
      </c>
      <c r="AU177" s="1023"/>
      <c r="AV177" s="252" t="str">
        <f>IF(E177&lt;&gt;"","Standing?    ","")</f>
        <v/>
      </c>
      <c r="AW177" s="1023"/>
      <c r="AX177" s="252" t="str">
        <f>IF(E177&lt;&gt;"","Mileage?       ","")</f>
        <v/>
      </c>
      <c r="AY177" s="1023"/>
      <c r="AZ177" s="252" t="str">
        <f>IF(E177&lt;&gt;"","Avg. Lifetime Mileage? ","")</f>
        <v/>
      </c>
      <c r="BA177" s="933"/>
      <c r="BB177" s="252" t="str">
        <f>IF(E177&lt;&gt;"","Select from Pull-Down List    ","")</f>
        <v/>
      </c>
      <c r="BC177" s="171"/>
      <c r="BD177" s="252" t="str">
        <f>IF(OR(AO177="OR - Other fuel (describe in Notes)",AG177="ZZZ - Other (describe in Notes)"),"Describe                                                                                                     ","")</f>
        <v/>
      </c>
      <c r="BE177" s="894"/>
      <c r="BF177" s="894"/>
      <c r="BG177" s="894" t="b">
        <f>IF(AND(C177="",C179&lt;&gt;""),TRUE,FALSE)</f>
        <v>0</v>
      </c>
      <c r="BH177" s="888" t="str">
        <f>IF(AND(C177&lt;&gt;"",OR(I177="",K177="",M177="",O177="",S177="",U177="",AA177="",AG177="",AI177="",AO177="",AQ177="",AS177="",AU177="",AW177="",AY177="")),"No",IF(AND(C177="",OR(I177&lt;&gt;"",K177&lt;&gt;"",M177&lt;&gt;"",O177&lt;&gt;"",S177&lt;&gt;"",U177&lt;&gt;"",AA177&lt;&gt;"",AG177&lt;&gt;"",AI177&lt;&gt;"",AK177&lt;&gt;"",AM177&lt;&gt;"",AO177&lt;&gt;"",AQ177&lt;&gt;"",AS177&lt;&gt;"",AU177&lt;&gt;"",AW177&lt;&gt;"",AY177&lt;&gt;"",BA177&lt;&gt;"",BC177&lt;&gt;"")),"No",IF(AND(C177="",I177="",K177="",M177="",O177="",S177="",U177="",AA177="",AG177="",AI177="",AK177="",AM177="",AO177="",AQ177="",AS177="",AU177="",AW177="",AY177="",BA177=""),"N/A","Yes")))</f>
        <v>N/A</v>
      </c>
      <c r="BI177" s="898"/>
      <c r="BJ177" s="899" t="b">
        <f>IF(AND(OR(I177&lt;&gt;"",K177&lt;&gt;"",M177&lt;&gt;"",O177&lt;&gt;"",S177&lt;&gt;"",U177&lt;&gt;"",AA177&lt;&gt;"",AG177&lt;&gt;"",AI177&lt;&gt;"",AK177&lt;&gt;"",AM177&lt;&gt;"",AO177&lt;&gt;"",AQ177&lt;&gt;"",AS177&lt;&gt;"",AW177&lt;&gt;"",AY177&lt;&gt;"",BA177&lt;&gt;"",BC177&lt;&gt;""),C177=""),TRUE,FALSE)</f>
        <v>0</v>
      </c>
      <c r="BK177" s="898" t="b">
        <f>IF(BL177=TRUE,FALSE,IF(SUM(K177,O177)&gt;I177,TRUE,FALSE))</f>
        <v>0</v>
      </c>
      <c r="BL177" s="899" t="b">
        <f>IF(AND(C177&lt;&gt;"",I177=""),TRUE,FALSE)</f>
        <v>0</v>
      </c>
      <c r="BM177" s="898" t="b">
        <f>IF(BN177=TRUE,FALSE,IF(M177&gt;K177,TRUE,FALSE))</f>
        <v>0</v>
      </c>
      <c r="BN177" s="899" t="b">
        <f>IF(AND($C177&lt;&gt;"",K177=""),TRUE,FALSE)</f>
        <v>0</v>
      </c>
      <c r="BO177" s="898"/>
      <c r="BP177" s="899" t="b">
        <f>IF(AND($C177&lt;&gt;"",M177=""),TRUE,FALSE)</f>
        <v>0</v>
      </c>
      <c r="BQ177" s="898"/>
      <c r="BR177" s="899" t="b">
        <f>IF(AND($C177&lt;&gt;"",O177=""),TRUE,FALSE)</f>
        <v>0</v>
      </c>
      <c r="BS177" s="898" t="b">
        <f>IF(AND(S177="",OR(U177&lt;&gt;"",AA177&lt;&gt;"",AG177&lt;&gt;"",AI177&lt;&gt;"",AK177&lt;&gt;"",AM177&lt;&gt;"",AO177&lt;&gt;"",AQ177&lt;&gt;"",AS177&lt;&gt;"",AU177&lt;&gt;"",AW177&lt;&gt;"",AY177&lt;&gt;"",BA177&lt;&gt;"")),TRUE,FALSE)</f>
        <v>0</v>
      </c>
      <c r="BT177" s="899" t="b">
        <f>IF(AND($C177&lt;&gt;"",S177=""),TRUE,FALSE)</f>
        <v>0</v>
      </c>
      <c r="BU177" s="898"/>
      <c r="BV177" s="899" t="b">
        <f>IF(AND($C177&lt;&gt;"",U177=""),TRUE,FALSE)</f>
        <v>0</v>
      </c>
      <c r="BW177" s="1537" t="b">
        <f>IF(BX177=TRUE,FALSE,IF(AA177="",FALSE,IF(OR(AA177&lt;CX177,AA177&gt;BaseYear),TRUE,FALSE)))</f>
        <v>0</v>
      </c>
      <c r="BX177" s="899" t="b">
        <f>IF(AND($C177&lt;&gt;"",AA177=""),TRUE,FALSE)</f>
        <v>0</v>
      </c>
      <c r="BY177" s="898"/>
      <c r="BZ177" s="899" t="b">
        <f>IF(AND($C177&lt;&gt;"",AG177=""),TRUE,FALSE)</f>
        <v>0</v>
      </c>
      <c r="CA177" s="898"/>
      <c r="CB177" s="899" t="b">
        <f>IF(AND($C177&lt;&gt;"",AI177=""),TRUE,FALSE)</f>
        <v>0</v>
      </c>
      <c r="CC177" s="1537" t="b">
        <f>IF(AK177="",FALSE,IF(OR(AK177&lt;CX177,AK177&gt;BaseYear),TRUE,FALSE))</f>
        <v>0</v>
      </c>
      <c r="CD177" s="1538" t="b">
        <f>IF(AK177="",FALSE,IF(AK177&lt;AA177,TRUE,FALSE))</f>
        <v>0</v>
      </c>
      <c r="CE177" s="899" t="b">
        <f>IF(AND($AM177&lt;&gt;"",AK177=""),TRUE,FALSE)</f>
        <v>0</v>
      </c>
      <c r="CF177" s="898"/>
      <c r="CG177" s="898" t="b">
        <f>IF(AND($AK177&lt;&gt;"",AM177=""),TRUE,FALSE)</f>
        <v>0</v>
      </c>
      <c r="CH177" s="898"/>
      <c r="CI177" s="899" t="b">
        <f>IF(AND($C177&lt;&gt;"",AO177=""),TRUE,FALSE)</f>
        <v>0</v>
      </c>
      <c r="CJ177" s="1537"/>
      <c r="CK177" s="899" t="b">
        <f>IF(AND($C177&lt;&gt;"",AQ177=""),TRUE,FALSE)</f>
        <v>0</v>
      </c>
      <c r="CL177" s="898"/>
      <c r="CM177" s="899" t="b">
        <f>IF(AND($C177&lt;&gt;"",AS177=""),TRUE,FALSE)</f>
        <v>0</v>
      </c>
      <c r="CN177" s="898"/>
      <c r="CO177" s="899" t="b">
        <f>IF(AND($C177&lt;&gt;"",AU177=""),TRUE,FALSE)</f>
        <v>0</v>
      </c>
      <c r="CP177" s="898"/>
      <c r="CQ177" s="899" t="b">
        <f>IF(AND($C177&lt;&gt;"",AW177=""),TRUE,FALSE)</f>
        <v>0</v>
      </c>
      <c r="CR177" s="898"/>
      <c r="CS177" s="899" t="b">
        <f>IF(AND($C177&lt;&gt;"",AY177=""),TRUE,FALSE)</f>
        <v>0</v>
      </c>
      <c r="CT177" s="898"/>
      <c r="CU177" s="898" t="b">
        <f>IF(AND($C177&lt;&gt;"",BA177=""),TRUE,FALSE)</f>
        <v>0</v>
      </c>
      <c r="CV177" s="894"/>
      <c r="CW177" s="898" t="str">
        <f t="shared" si="47"/>
        <v/>
      </c>
      <c r="CX177" s="898" t="str">
        <f>IFERROR(IF(AND(S177="",S177&lt;&gt;""),1913,VLOOKUP(S177,Valid!$B$99:$J$120,9)),"")</f>
        <v/>
      </c>
      <c r="CY177" s="898" t="str">
        <f t="shared" ca="1" si="48"/>
        <v/>
      </c>
      <c r="CZ177" s="1547" t="str">
        <f t="shared" ca="1" si="53"/>
        <v/>
      </c>
      <c r="DA177" s="898" t="str">
        <f ca="1">IF(CZ177="", "", IF(1+(CZ177*4)&lt;1, 1, 1+(CZ177*4)))</f>
        <v/>
      </c>
      <c r="DB177" s="898" t="str">
        <f t="shared" si="49"/>
        <v/>
      </c>
      <c r="DC177" s="898" t="str">
        <f t="shared" si="50"/>
        <v/>
      </c>
      <c r="DD177" s="1539" t="str">
        <f>IFERROR(IF(AND(AM177="",C177&lt;&gt;""),Valid!$E$123,VLOOKUP(AM177,Valid!$B$123:$F$125,4,FALSE)),"")</f>
        <v/>
      </c>
      <c r="DE177" s="1539" t="str">
        <f>IFERROR(IF(AND(AM177="",C177&lt;&gt;""),Valid!$F$123,VLOOKUP(AM177,Valid!$B$123:$F$125,5,FALSE)),"")</f>
        <v/>
      </c>
      <c r="DF177" s="1539" t="str">
        <f>IFERROR(VLOOKUP('A-70 RevVehInv'!S177,Valid!$B$99:$I$120,7), "")</f>
        <v/>
      </c>
      <c r="DG177" s="1539" t="str">
        <f>IFERROR(VLOOKUP(S177,Valid!$B$99:$I$120,8), "")</f>
        <v/>
      </c>
      <c r="DH177" s="894"/>
    </row>
    <row r="178" spans="1:112" ht="6.75" customHeight="1" x14ac:dyDescent="0.2">
      <c r="A178" s="1517"/>
      <c r="B178" s="1530">
        <v>83.5</v>
      </c>
      <c r="C178" s="1540"/>
      <c r="D178" s="905"/>
      <c r="E178" s="1541"/>
      <c r="F178" s="905"/>
      <c r="G178" s="905"/>
      <c r="H178" s="905"/>
      <c r="I178" s="1534"/>
      <c r="J178" s="905"/>
      <c r="K178" s="1534"/>
      <c r="L178" s="905"/>
      <c r="M178" s="1534"/>
      <c r="N178" s="905"/>
      <c r="O178" s="1534"/>
      <c r="P178" s="905"/>
      <c r="Q178" s="1534"/>
      <c r="R178" s="1531"/>
      <c r="S178" s="1542"/>
      <c r="T178" s="905"/>
      <c r="U178" s="1542"/>
      <c r="V178" s="905"/>
      <c r="W178" s="1534" t="str">
        <f t="shared" si="45"/>
        <v/>
      </c>
      <c r="X178" s="905"/>
      <c r="Y178" s="1534"/>
      <c r="Z178" s="252" t="str">
        <f t="shared" si="46"/>
        <v/>
      </c>
      <c r="AA178" s="1534"/>
      <c r="AB178" s="905"/>
      <c r="AC178" s="1973" t="str">
        <f t="shared" si="51"/>
        <v/>
      </c>
      <c r="AD178" s="905"/>
      <c r="AE178" s="1985" t="str">
        <f t="shared" si="52"/>
        <v/>
      </c>
      <c r="AF178" s="905"/>
      <c r="AG178" s="1543"/>
      <c r="AH178" s="1531"/>
      <c r="AI178" s="1534"/>
      <c r="AJ178" s="1531"/>
      <c r="AK178" s="1534"/>
      <c r="AL178" s="1531"/>
      <c r="AM178" s="1543"/>
      <c r="AN178" s="1531"/>
      <c r="AO178" s="1543"/>
      <c r="AP178" s="1531"/>
      <c r="AQ178" s="1534"/>
      <c r="AR178" s="1531"/>
      <c r="AS178" s="1534"/>
      <c r="AT178" s="1531"/>
      <c r="AU178" s="1534"/>
      <c r="AV178" s="1531"/>
      <c r="AW178" s="1534"/>
      <c r="AX178" s="1531"/>
      <c r="AY178" s="1534"/>
      <c r="AZ178" s="1531"/>
      <c r="BA178" s="1543"/>
      <c r="BB178" s="1531"/>
      <c r="BC178" s="1534"/>
      <c r="BD178" s="1531"/>
      <c r="BE178" s="1531"/>
      <c r="BF178" s="1531"/>
      <c r="BG178" s="1531"/>
      <c r="BH178" s="1531"/>
      <c r="BI178" s="1535"/>
      <c r="BJ178" s="1534"/>
      <c r="BK178" s="898"/>
      <c r="BL178" s="1534"/>
      <c r="BM178" s="1535"/>
      <c r="BN178" s="1534"/>
      <c r="BO178" s="1535"/>
      <c r="BP178" s="1534"/>
      <c r="BQ178" s="1535"/>
      <c r="BR178" s="1534"/>
      <c r="BS178" s="1535"/>
      <c r="BT178" s="1534"/>
      <c r="BU178" s="1535"/>
      <c r="BV178" s="1534"/>
      <c r="BW178" s="1535"/>
      <c r="BX178" s="1534"/>
      <c r="BY178" s="1535"/>
      <c r="BZ178" s="1534"/>
      <c r="CA178" s="1535"/>
      <c r="CB178" s="1534"/>
      <c r="CC178" s="1535"/>
      <c r="CD178" s="1534"/>
      <c r="CE178" s="1534"/>
      <c r="CF178" s="1535"/>
      <c r="CG178" s="1534"/>
      <c r="CH178" s="1535"/>
      <c r="CI178" s="1534"/>
      <c r="CJ178" s="1535"/>
      <c r="CK178" s="1534"/>
      <c r="CL178" s="1535"/>
      <c r="CM178" s="1534"/>
      <c r="CN178" s="1535"/>
      <c r="CO178" s="1534"/>
      <c r="CP178" s="1535"/>
      <c r="CQ178" s="1534"/>
      <c r="CR178" s="1535"/>
      <c r="CS178" s="1534"/>
      <c r="CT178" s="1535"/>
      <c r="CU178" s="1535"/>
      <c r="CV178" s="1531"/>
      <c r="CW178" s="898" t="str">
        <f t="shared" si="47"/>
        <v/>
      </c>
      <c r="CX178" s="898" t="str">
        <f>IFERROR(IF(AND(S178="",S178&lt;&gt;""),1913,VLOOKUP(S178,Valid!$B$99:$J$120,9)),"")</f>
        <v/>
      </c>
      <c r="CY178" s="898" t="str">
        <f t="shared" ca="1" si="48"/>
        <v/>
      </c>
      <c r="CZ178" s="1547" t="str">
        <f t="shared" ca="1" si="53"/>
        <v/>
      </c>
      <c r="DA178" s="898"/>
      <c r="DB178" s="898" t="str">
        <f t="shared" si="49"/>
        <v/>
      </c>
      <c r="DC178" s="898" t="str">
        <f t="shared" si="50"/>
        <v/>
      </c>
      <c r="DD178" s="1539" t="str">
        <f>IFERROR(IF(AND(AM178="",C178&lt;&gt;""),Valid!$E$123,VLOOKUP(AM178,Valid!$B$123:$F$125,4,FALSE)),"")</f>
        <v/>
      </c>
      <c r="DE178" s="1539" t="str">
        <f>IFERROR(IF(AND(AM178="",C178&lt;&gt;""),Valid!$F$123,VLOOKUP(AM178,Valid!$B$123:$F$125,5,FALSE)),"")</f>
        <v/>
      </c>
      <c r="DF178" s="1539" t="str">
        <f>IFERROR(VLOOKUP('A-70 RevVehInv'!S178,Valid!$B$99:$I$120,7), "")</f>
        <v/>
      </c>
      <c r="DG178" s="1539" t="str">
        <f>IFERROR(VLOOKUP(S178,Valid!$B$99:$I$120,8), "")</f>
        <v/>
      </c>
      <c r="DH178" s="1531"/>
    </row>
    <row r="179" spans="1:112" s="930" customFormat="1" x14ac:dyDescent="0.2">
      <c r="A179" s="206">
        <v>84</v>
      </c>
      <c r="B179" s="1530">
        <v>84</v>
      </c>
      <c r="C179" s="933"/>
      <c r="D179" s="719" t="str">
        <f>IF(C177="","",IF((C179=""),"Enter RVI ID. then Fill in Columns "&amp;TEXT($I$2,0)&amp;" - "&amp;TEXT($BA$2,0)&amp;"       ",""))</f>
        <v/>
      </c>
      <c r="E179" s="1056" t="str">
        <f>IF(BH179="N/A","",BH179)</f>
        <v/>
      </c>
      <c r="F179" s="1536"/>
      <c r="G179" s="1536"/>
      <c r="H179" s="1536"/>
      <c r="I179" s="1023"/>
      <c r="J179" s="1536" t="str">
        <f>IF(E179&lt;&gt;"","Vehicles?    ","")</f>
        <v/>
      </c>
      <c r="K179" s="1023"/>
      <c r="L179" s="1536" t="str">
        <f>IF(E179&lt;&gt;"","Active Vehicles?     ","")</f>
        <v/>
      </c>
      <c r="M179" s="1023"/>
      <c r="N179" s="1536" t="str">
        <f>IF(E179&lt;&gt;"","ADA Vehicles?       ","")</f>
        <v/>
      </c>
      <c r="O179" s="1023"/>
      <c r="P179" s="1536" t="str">
        <f>IF(E179&lt;&gt;"","Cont. Vehicles?     ","")</f>
        <v/>
      </c>
      <c r="Q179" s="1024"/>
      <c r="R179" s="894"/>
      <c r="S179" s="1153"/>
      <c r="T179" s="252" t="str">
        <f>IF(E179&lt;&gt;"","Select from Pull-Down List    ","")</f>
        <v/>
      </c>
      <c r="U179" s="933"/>
      <c r="V179" s="252" t="str">
        <f>IF(E179&lt;&gt;"","Select from Pull-Down List    ","")</f>
        <v/>
      </c>
      <c r="W179" s="1766" t="str">
        <f t="shared" si="45"/>
        <v/>
      </c>
      <c r="X179" s="252"/>
      <c r="Y179" s="1988"/>
      <c r="Z179" s="252" t="str">
        <f t="shared" si="46"/>
        <v/>
      </c>
      <c r="AA179" s="139"/>
      <c r="AB179" s="252" t="str">
        <f>IF(E179&lt;&gt;"","Mfg. Yr?    ","")</f>
        <v/>
      </c>
      <c r="AC179" s="1974" t="str">
        <f t="shared" si="51"/>
        <v/>
      </c>
      <c r="AD179" s="252"/>
      <c r="AE179" s="1986" t="str">
        <f t="shared" si="52"/>
        <v/>
      </c>
      <c r="AF179" s="252"/>
      <c r="AG179" s="933"/>
      <c r="AH179" s="252" t="str">
        <f>IF(E179&lt;&gt;"","Select from Pull-Down List    ","")</f>
        <v/>
      </c>
      <c r="AI179" s="933"/>
      <c r="AJ179" s="252" t="str">
        <f>IF(E179&lt;&gt;"","Number?   ","")</f>
        <v/>
      </c>
      <c r="AK179" s="139"/>
      <c r="AL179" s="252" t="str">
        <f>IF(E179&lt;&gt;"","Last Rnwl. Yr?   ","")</f>
        <v/>
      </c>
      <c r="AM179" s="933"/>
      <c r="AN179" s="252" t="str">
        <f>IF(E179&lt;&gt;"","Select from Pull-Down List    ","")</f>
        <v/>
      </c>
      <c r="AO179" s="933"/>
      <c r="AP179" s="252" t="str">
        <f>IF(E179&lt;&gt;"","Select from Pull-Down List    ","")</f>
        <v/>
      </c>
      <c r="AQ179" s="1023"/>
      <c r="AR179" s="252" t="str">
        <f>IF(E179&lt;&gt;"","Feet?    ","")</f>
        <v/>
      </c>
      <c r="AS179" s="1023"/>
      <c r="AT179" s="252" t="str">
        <f>IF(E179&lt;&gt;"","Seats?    ","")</f>
        <v/>
      </c>
      <c r="AU179" s="1023"/>
      <c r="AV179" s="252" t="str">
        <f>IF(E179&lt;&gt;"","Standing?    ","")</f>
        <v/>
      </c>
      <c r="AW179" s="1023"/>
      <c r="AX179" s="252" t="str">
        <f>IF(E179&lt;&gt;"","Mileage?       ","")</f>
        <v/>
      </c>
      <c r="AY179" s="1023"/>
      <c r="AZ179" s="252" t="str">
        <f>IF(E179&lt;&gt;"","Avg. Lifetime Mileage? ","")</f>
        <v/>
      </c>
      <c r="BA179" s="933"/>
      <c r="BB179" s="252" t="str">
        <f>IF(E179&lt;&gt;"","Select from Pull-Down List    ","")</f>
        <v/>
      </c>
      <c r="BC179" s="171"/>
      <c r="BD179" s="252" t="str">
        <f>IF(OR(AO179="OR - Other fuel (describe in Notes)",AG179="ZZZ - Other (describe in Notes)"),"Describe                                                                                                     ","")</f>
        <v/>
      </c>
      <c r="BE179" s="894"/>
      <c r="BF179" s="894"/>
      <c r="BG179" s="894" t="b">
        <f>IF(AND(C179="",C181&lt;&gt;""),TRUE,FALSE)</f>
        <v>0</v>
      </c>
      <c r="BH179" s="888" t="str">
        <f>IF(AND(C179&lt;&gt;"",OR(I179="",K179="",M179="",O179="",S179="",U179="",AA179="",AG179="",AI179="",AO179="",AQ179="",AS179="",AU179="",AW179="",AY179="")),"No",IF(AND(C179="",OR(I179&lt;&gt;"",K179&lt;&gt;"",M179&lt;&gt;"",O179&lt;&gt;"",S179&lt;&gt;"",U179&lt;&gt;"",AA179&lt;&gt;"",AG179&lt;&gt;"",AI179&lt;&gt;"",AK179&lt;&gt;"",AM179&lt;&gt;"",AO179&lt;&gt;"",AQ179&lt;&gt;"",AS179&lt;&gt;"",AU179&lt;&gt;"",AW179&lt;&gt;"",AY179&lt;&gt;"",BA179&lt;&gt;"",BC179&lt;&gt;"")),"No",IF(AND(C179="",I179="",K179="",M179="",O179="",S179="",U179="",AA179="",AG179="",AI179="",AK179="",AM179="",AO179="",AQ179="",AS179="",AU179="",AW179="",AY179="",BA179=""),"N/A","Yes")))</f>
        <v>N/A</v>
      </c>
      <c r="BI179" s="898"/>
      <c r="BJ179" s="899" t="b">
        <f>IF(AND(OR(I179&lt;&gt;"",K179&lt;&gt;"",M179&lt;&gt;"",O179&lt;&gt;"",S179&lt;&gt;"",U179&lt;&gt;"",AA179&lt;&gt;"",AG179&lt;&gt;"",AI179&lt;&gt;"",AK179&lt;&gt;"",AM179&lt;&gt;"",AO179&lt;&gt;"",AQ179&lt;&gt;"",AS179&lt;&gt;"",AW179&lt;&gt;"",AY179&lt;&gt;"",BA179&lt;&gt;"",BC179&lt;&gt;""),C179=""),TRUE,FALSE)</f>
        <v>0</v>
      </c>
      <c r="BK179" s="898" t="b">
        <f>IF(BL179=TRUE,FALSE,IF(SUM(K179,O179)&gt;I179,TRUE,FALSE))</f>
        <v>0</v>
      </c>
      <c r="BL179" s="899" t="b">
        <f>IF(AND(C179&lt;&gt;"",I179=""),TRUE,FALSE)</f>
        <v>0</v>
      </c>
      <c r="BM179" s="898" t="b">
        <f>IF(BN179=TRUE,FALSE,IF(M179&gt;K179,TRUE,FALSE))</f>
        <v>0</v>
      </c>
      <c r="BN179" s="899" t="b">
        <f>IF(AND($C179&lt;&gt;"",K179=""),TRUE,FALSE)</f>
        <v>0</v>
      </c>
      <c r="BO179" s="898"/>
      <c r="BP179" s="899" t="b">
        <f>IF(AND($C179&lt;&gt;"",M179=""),TRUE,FALSE)</f>
        <v>0</v>
      </c>
      <c r="BQ179" s="898"/>
      <c r="BR179" s="899" t="b">
        <f>IF(AND($C179&lt;&gt;"",O179=""),TRUE,FALSE)</f>
        <v>0</v>
      </c>
      <c r="BS179" s="898" t="b">
        <f>IF(AND(S179="",OR(U179&lt;&gt;"",AA179&lt;&gt;"",AG179&lt;&gt;"",AI179&lt;&gt;"",AK179&lt;&gt;"",AM179&lt;&gt;"",AO179&lt;&gt;"",AQ179&lt;&gt;"",AS179&lt;&gt;"",AU179&lt;&gt;"",AW179&lt;&gt;"",AY179&lt;&gt;"",BA179&lt;&gt;"")),TRUE,FALSE)</f>
        <v>0</v>
      </c>
      <c r="BT179" s="899" t="b">
        <f>IF(AND($C179&lt;&gt;"",S179=""),TRUE,FALSE)</f>
        <v>0</v>
      </c>
      <c r="BU179" s="898"/>
      <c r="BV179" s="899" t="b">
        <f>IF(AND($C179&lt;&gt;"",U179=""),TRUE,FALSE)</f>
        <v>0</v>
      </c>
      <c r="BW179" s="1537" t="b">
        <f>IF(BX179=TRUE,FALSE,IF(AA179="",FALSE,IF(OR(AA179&lt;CX179,AA179&gt;BaseYear),TRUE,FALSE)))</f>
        <v>0</v>
      </c>
      <c r="BX179" s="899" t="b">
        <f>IF(AND($C179&lt;&gt;"",AA179=""),TRUE,FALSE)</f>
        <v>0</v>
      </c>
      <c r="BY179" s="898"/>
      <c r="BZ179" s="899" t="b">
        <f>IF(AND($C179&lt;&gt;"",AG179=""),TRUE,FALSE)</f>
        <v>0</v>
      </c>
      <c r="CA179" s="898"/>
      <c r="CB179" s="899" t="b">
        <f>IF(AND($C179&lt;&gt;"",AI179=""),TRUE,FALSE)</f>
        <v>0</v>
      </c>
      <c r="CC179" s="1537" t="b">
        <f>IF(AK179="",FALSE,IF(OR(AK179&lt;CX179,AK179&gt;BaseYear),TRUE,FALSE))</f>
        <v>0</v>
      </c>
      <c r="CD179" s="1538" t="b">
        <f>IF(AK179="",FALSE,IF(AK179&lt;AA179,TRUE,FALSE))</f>
        <v>0</v>
      </c>
      <c r="CE179" s="899" t="b">
        <f>IF(AND($AM179&lt;&gt;"",AK179=""),TRUE,FALSE)</f>
        <v>0</v>
      </c>
      <c r="CF179" s="898"/>
      <c r="CG179" s="898" t="b">
        <f>IF(AND($AK179&lt;&gt;"",AM179=""),TRUE,FALSE)</f>
        <v>0</v>
      </c>
      <c r="CH179" s="898"/>
      <c r="CI179" s="899" t="b">
        <f>IF(AND($C179&lt;&gt;"",AO179=""),TRUE,FALSE)</f>
        <v>0</v>
      </c>
      <c r="CJ179" s="1537"/>
      <c r="CK179" s="899" t="b">
        <f>IF(AND($C179&lt;&gt;"",AQ179=""),TRUE,FALSE)</f>
        <v>0</v>
      </c>
      <c r="CL179" s="898"/>
      <c r="CM179" s="899" t="b">
        <f>IF(AND($C179&lt;&gt;"",AS179=""),TRUE,FALSE)</f>
        <v>0</v>
      </c>
      <c r="CN179" s="898"/>
      <c r="CO179" s="899" t="b">
        <f>IF(AND($C179&lt;&gt;"",AU179=""),TRUE,FALSE)</f>
        <v>0</v>
      </c>
      <c r="CP179" s="898"/>
      <c r="CQ179" s="899" t="b">
        <f>IF(AND($C179&lt;&gt;"",AW179=""),TRUE,FALSE)</f>
        <v>0</v>
      </c>
      <c r="CR179" s="898"/>
      <c r="CS179" s="899" t="b">
        <f>IF(AND($C179&lt;&gt;"",AY179=""),TRUE,FALSE)</f>
        <v>0</v>
      </c>
      <c r="CT179" s="898"/>
      <c r="CU179" s="898" t="b">
        <f>IF(AND($C179&lt;&gt;"",BA179=""),TRUE,FALSE)</f>
        <v>0</v>
      </c>
      <c r="CV179" s="894"/>
      <c r="CW179" s="898" t="str">
        <f t="shared" si="47"/>
        <v/>
      </c>
      <c r="CX179" s="898" t="str">
        <f>IFERROR(IF(AND(S179="",S179&lt;&gt;""),1913,VLOOKUP(S179,Valid!$B$99:$J$120,9)),"")</f>
        <v/>
      </c>
      <c r="CY179" s="898" t="str">
        <f t="shared" ca="1" si="48"/>
        <v/>
      </c>
      <c r="CZ179" s="1547" t="str">
        <f t="shared" ca="1" si="53"/>
        <v/>
      </c>
      <c r="DA179" s="898" t="str">
        <f ca="1">IF(CZ179="", "", IF(1+(CZ179*4)&lt;1, 1, 1+(CZ179*4)))</f>
        <v/>
      </c>
      <c r="DB179" s="898" t="str">
        <f t="shared" si="49"/>
        <v/>
      </c>
      <c r="DC179" s="898" t="str">
        <f t="shared" si="50"/>
        <v/>
      </c>
      <c r="DD179" s="1539" t="str">
        <f>IFERROR(IF(AND(AM179="",C179&lt;&gt;""),Valid!$E$123,VLOOKUP(AM179,Valid!$B$123:$F$125,4,FALSE)),"")</f>
        <v/>
      </c>
      <c r="DE179" s="1539" t="str">
        <f>IFERROR(IF(AND(AM179="",C179&lt;&gt;""),Valid!$F$123,VLOOKUP(AM179,Valid!$B$123:$F$125,5,FALSE)),"")</f>
        <v/>
      </c>
      <c r="DF179" s="1539" t="str">
        <f>IFERROR(VLOOKUP('A-70 RevVehInv'!S179,Valid!$B$99:$I$120,7), "")</f>
        <v/>
      </c>
      <c r="DG179" s="1539" t="str">
        <f>IFERROR(VLOOKUP(S179,Valid!$B$99:$I$120,8), "")</f>
        <v/>
      </c>
      <c r="DH179" s="894"/>
    </row>
    <row r="180" spans="1:112" ht="6.75" customHeight="1" x14ac:dyDescent="0.2">
      <c r="A180" s="1517"/>
      <c r="B180" s="1530">
        <v>84.5</v>
      </c>
      <c r="C180" s="1544"/>
      <c r="D180" s="905"/>
      <c r="E180" s="1545"/>
      <c r="F180" s="905"/>
      <c r="G180" s="905"/>
      <c r="H180" s="905"/>
      <c r="I180" s="1531"/>
      <c r="J180" s="905"/>
      <c r="K180" s="1531"/>
      <c r="L180" s="905"/>
      <c r="M180" s="1531"/>
      <c r="N180" s="905"/>
      <c r="O180" s="1531"/>
      <c r="P180" s="905"/>
      <c r="Q180" s="1531"/>
      <c r="R180" s="1531"/>
      <c r="S180" s="1533"/>
      <c r="T180" s="905"/>
      <c r="U180" s="1533"/>
      <c r="V180" s="905"/>
      <c r="W180" s="1531" t="str">
        <f t="shared" si="45"/>
        <v/>
      </c>
      <c r="X180" s="905"/>
      <c r="Y180" s="1531"/>
      <c r="Z180" s="252" t="str">
        <f t="shared" si="46"/>
        <v/>
      </c>
      <c r="AA180" s="1531"/>
      <c r="AB180" s="905"/>
      <c r="AC180" s="1971" t="str">
        <f t="shared" si="51"/>
        <v/>
      </c>
      <c r="AD180" s="905"/>
      <c r="AE180" s="1983" t="str">
        <f t="shared" si="52"/>
        <v/>
      </c>
      <c r="AF180" s="905"/>
      <c r="AG180" s="1546"/>
      <c r="AH180" s="1531"/>
      <c r="AI180" s="1531"/>
      <c r="AJ180" s="1531"/>
      <c r="AK180" s="1531"/>
      <c r="AL180" s="1531"/>
      <c r="AM180" s="1546"/>
      <c r="AN180" s="1531"/>
      <c r="AO180" s="1546"/>
      <c r="AP180" s="1531"/>
      <c r="AQ180" s="1531"/>
      <c r="AR180" s="1531"/>
      <c r="AS180" s="1531"/>
      <c r="AT180" s="1531"/>
      <c r="AU180" s="1531"/>
      <c r="AV180" s="1531"/>
      <c r="AW180" s="1531"/>
      <c r="AX180" s="1531"/>
      <c r="AY180" s="1531"/>
      <c r="AZ180" s="1531"/>
      <c r="BA180" s="1546"/>
      <c r="BB180" s="1531"/>
      <c r="BC180" s="1531"/>
      <c r="BD180" s="1531"/>
      <c r="BE180" s="1531"/>
      <c r="BF180" s="1531"/>
      <c r="BG180" s="1531"/>
      <c r="BH180" s="1531"/>
      <c r="BI180" s="1535"/>
      <c r="BJ180" s="1534"/>
      <c r="BK180" s="1535"/>
      <c r="BL180" s="1534"/>
      <c r="BM180" s="1535"/>
      <c r="BN180" s="1534"/>
      <c r="BO180" s="1535"/>
      <c r="BP180" s="1534"/>
      <c r="BQ180" s="1535"/>
      <c r="BR180" s="1534"/>
      <c r="BS180" s="1535"/>
      <c r="BT180" s="1534"/>
      <c r="BU180" s="1535"/>
      <c r="BV180" s="1534"/>
      <c r="BW180" s="1535"/>
      <c r="BX180" s="1534"/>
      <c r="BY180" s="1535"/>
      <c r="BZ180" s="1534"/>
      <c r="CA180" s="1535"/>
      <c r="CB180" s="1534"/>
      <c r="CC180" s="1535"/>
      <c r="CD180" s="1534"/>
      <c r="CE180" s="1534"/>
      <c r="CF180" s="1535"/>
      <c r="CG180" s="1534"/>
      <c r="CH180" s="1535"/>
      <c r="CI180" s="1534"/>
      <c r="CJ180" s="1535"/>
      <c r="CK180" s="1534"/>
      <c r="CL180" s="1535"/>
      <c r="CM180" s="1534"/>
      <c r="CN180" s="1535"/>
      <c r="CO180" s="1534"/>
      <c r="CP180" s="1535"/>
      <c r="CQ180" s="1534"/>
      <c r="CR180" s="1535"/>
      <c r="CS180" s="1534"/>
      <c r="CT180" s="1535"/>
      <c r="CU180" s="1535"/>
      <c r="CV180" s="1531"/>
      <c r="CW180" s="898" t="str">
        <f t="shared" si="47"/>
        <v/>
      </c>
      <c r="CX180" s="898" t="str">
        <f>IFERROR(IF(AND(S180="",S180&lt;&gt;""),1913,VLOOKUP(S180,Valid!$B$99:$J$120,9)),"")</f>
        <v/>
      </c>
      <c r="CY180" s="898" t="str">
        <f t="shared" ca="1" si="48"/>
        <v/>
      </c>
      <c r="CZ180" s="1547" t="str">
        <f t="shared" ca="1" si="53"/>
        <v/>
      </c>
      <c r="DA180" s="898"/>
      <c r="DB180" s="898" t="str">
        <f t="shared" si="49"/>
        <v/>
      </c>
      <c r="DC180" s="898" t="str">
        <f t="shared" si="50"/>
        <v/>
      </c>
      <c r="DD180" s="1539" t="str">
        <f>IFERROR(IF(AND(AM180="",C180&lt;&gt;""),Valid!$E$123,VLOOKUP(AM180,Valid!$B$123:$F$125,4,FALSE)),"")</f>
        <v/>
      </c>
      <c r="DE180" s="1539" t="str">
        <f>IFERROR(IF(AND(AM180="",C180&lt;&gt;""),Valid!$F$123,VLOOKUP(AM180,Valid!$B$123:$F$125,5,FALSE)),"")</f>
        <v/>
      </c>
      <c r="DF180" s="1539" t="str">
        <f>IFERROR(VLOOKUP('A-70 RevVehInv'!S180,Valid!$B$99:$I$120,7), "")</f>
        <v/>
      </c>
      <c r="DG180" s="1539" t="str">
        <f>IFERROR(VLOOKUP(S180,Valid!$B$99:$I$120,8), "")</f>
        <v/>
      </c>
      <c r="DH180" s="1531"/>
    </row>
    <row r="181" spans="1:112" s="930" customFormat="1" x14ac:dyDescent="0.2">
      <c r="A181" s="206">
        <v>85</v>
      </c>
      <c r="B181" s="1530">
        <v>85</v>
      </c>
      <c r="C181" s="933"/>
      <c r="D181" s="719" t="str">
        <f>IF(C179="","",IF((C181=""),"Enter RVI ID. then Fill in Columns "&amp;TEXT($I$2,0)&amp;" - "&amp;TEXT($BA$2,0)&amp;"       ",""))</f>
        <v/>
      </c>
      <c r="E181" s="1056" t="str">
        <f>IF(BH181="N/A","",BH181)</f>
        <v/>
      </c>
      <c r="F181" s="1536"/>
      <c r="G181" s="1536"/>
      <c r="H181" s="1536"/>
      <c r="I181" s="1023"/>
      <c r="J181" s="1536" t="str">
        <f>IF(E181&lt;&gt;"","Vehicles?    ","")</f>
        <v/>
      </c>
      <c r="K181" s="1023"/>
      <c r="L181" s="1536" t="str">
        <f>IF(E181&lt;&gt;"","Active Vehicles?     ","")</f>
        <v/>
      </c>
      <c r="M181" s="1023"/>
      <c r="N181" s="1536" t="str">
        <f>IF(E181&lt;&gt;"","ADA Vehicles?       ","")</f>
        <v/>
      </c>
      <c r="O181" s="1023"/>
      <c r="P181" s="1536" t="str">
        <f>IF(E181&lt;&gt;"","Cont. Vehicles?     ","")</f>
        <v/>
      </c>
      <c r="Q181" s="1024"/>
      <c r="R181" s="894"/>
      <c r="S181" s="1153"/>
      <c r="T181" s="252" t="str">
        <f>IF(E181&lt;&gt;"","Select from Pull-Down List    ","")</f>
        <v/>
      </c>
      <c r="U181" s="933"/>
      <c r="V181" s="252" t="str">
        <f>IF(E181&lt;&gt;"","Select from Pull-Down List    ","")</f>
        <v/>
      </c>
      <c r="W181" s="1766" t="str">
        <f t="shared" si="45"/>
        <v/>
      </c>
      <c r="X181" s="252"/>
      <c r="Y181" s="1988"/>
      <c r="Z181" s="252" t="str">
        <f t="shared" si="46"/>
        <v/>
      </c>
      <c r="AA181" s="139"/>
      <c r="AB181" s="252" t="str">
        <f>IF(E181&lt;&gt;"","Mfg. Yr?    ","")</f>
        <v/>
      </c>
      <c r="AC181" s="1974" t="str">
        <f t="shared" si="51"/>
        <v/>
      </c>
      <c r="AD181" s="252"/>
      <c r="AE181" s="1986" t="str">
        <f t="shared" si="52"/>
        <v/>
      </c>
      <c r="AF181" s="252"/>
      <c r="AG181" s="933"/>
      <c r="AH181" s="252" t="str">
        <f>IF(E181&lt;&gt;"","Select from Pull-Down List    ","")</f>
        <v/>
      </c>
      <c r="AI181" s="933"/>
      <c r="AJ181" s="252" t="str">
        <f>IF(E181&lt;&gt;"","Number?   ","")</f>
        <v/>
      </c>
      <c r="AK181" s="139"/>
      <c r="AL181" s="252" t="str">
        <f>IF(E181&lt;&gt;"","Last Rnwl. Yr?   ","")</f>
        <v/>
      </c>
      <c r="AM181" s="933"/>
      <c r="AN181" s="252" t="str">
        <f>IF(E181&lt;&gt;"","Select from Pull-Down List    ","")</f>
        <v/>
      </c>
      <c r="AO181" s="933"/>
      <c r="AP181" s="252" t="str">
        <f>IF(E181&lt;&gt;"","Select from Pull-Down List    ","")</f>
        <v/>
      </c>
      <c r="AQ181" s="1023"/>
      <c r="AR181" s="252" t="str">
        <f>IF(E181&lt;&gt;"","Feet?    ","")</f>
        <v/>
      </c>
      <c r="AS181" s="1023"/>
      <c r="AT181" s="252" t="str">
        <f>IF(E181&lt;&gt;"","Seats?    ","")</f>
        <v/>
      </c>
      <c r="AU181" s="1023"/>
      <c r="AV181" s="252" t="str">
        <f>IF(E181&lt;&gt;"","Standing?    ","")</f>
        <v/>
      </c>
      <c r="AW181" s="1023"/>
      <c r="AX181" s="252" t="str">
        <f>IF(E181&lt;&gt;"","Mileage?       ","")</f>
        <v/>
      </c>
      <c r="AY181" s="1023"/>
      <c r="AZ181" s="252" t="str">
        <f>IF(E181&lt;&gt;"","Avg. Lifetime Mileage? ","")</f>
        <v/>
      </c>
      <c r="BA181" s="933"/>
      <c r="BB181" s="252" t="str">
        <f>IF(E181&lt;&gt;"","Select from Pull-Down List    ","")</f>
        <v/>
      </c>
      <c r="BC181" s="171"/>
      <c r="BD181" s="252" t="str">
        <f>IF(OR(AO181="OR - Other fuel (describe in Notes)",AG181="ZZZ - Other (describe in Notes)"),"Describe                                                                                                     ","")</f>
        <v/>
      </c>
      <c r="BE181" s="894"/>
      <c r="BF181" s="894"/>
      <c r="BG181" s="894" t="b">
        <f>IF(AND(C181="",C183&lt;&gt;""),TRUE,FALSE)</f>
        <v>0</v>
      </c>
      <c r="BH181" s="888" t="str">
        <f>IF(AND(C181&lt;&gt;"",OR(I181="",K181="",M181="",O181="",S181="",U181="",AA181="",AG181="",AI181="",AO181="",AQ181="",AS181="",AU181="",AW181="",AY181="")),"No",IF(AND(C181="",OR(I181&lt;&gt;"",K181&lt;&gt;"",M181&lt;&gt;"",O181&lt;&gt;"",S181&lt;&gt;"",U181&lt;&gt;"",AA181&lt;&gt;"",AG181&lt;&gt;"",AI181&lt;&gt;"",AK181&lt;&gt;"",AM181&lt;&gt;"",AO181&lt;&gt;"",AQ181&lt;&gt;"",AS181&lt;&gt;"",AU181&lt;&gt;"",AW181&lt;&gt;"",AY181&lt;&gt;"",BA181&lt;&gt;"",BC181&lt;&gt;"")),"No",IF(AND(C181="",I181="",K181="",M181="",O181="",S181="",U181="",AA181="",AG181="",AI181="",AK181="",AM181="",AO181="",AQ181="",AS181="",AU181="",AW181="",AY181="",BA181=""),"N/A","Yes")))</f>
        <v>N/A</v>
      </c>
      <c r="BI181" s="898"/>
      <c r="BJ181" s="899" t="b">
        <f>IF(AND(OR(I181&lt;&gt;"",K181&lt;&gt;"",M181&lt;&gt;"",O181&lt;&gt;"",S181&lt;&gt;"",U181&lt;&gt;"",AA181&lt;&gt;"",AG181&lt;&gt;"",AI181&lt;&gt;"",AK181&lt;&gt;"",AM181&lt;&gt;"",AO181&lt;&gt;"",AQ181&lt;&gt;"",AS181&lt;&gt;"",AW181&lt;&gt;"",AY181&lt;&gt;"",BA181&lt;&gt;"",BC181&lt;&gt;""),C181=""),TRUE,FALSE)</f>
        <v>0</v>
      </c>
      <c r="BK181" s="898" t="b">
        <f>IF(BL181=TRUE,FALSE,IF(SUM(K181,O181)&gt;I181,TRUE,FALSE))</f>
        <v>0</v>
      </c>
      <c r="BL181" s="899" t="b">
        <f>IF(AND(C181&lt;&gt;"",I181=""),TRUE,FALSE)</f>
        <v>0</v>
      </c>
      <c r="BM181" s="898" t="b">
        <f>IF(BN181=TRUE,FALSE,IF(M181&gt;K181,TRUE,FALSE))</f>
        <v>0</v>
      </c>
      <c r="BN181" s="899" t="b">
        <f>IF(AND($C181&lt;&gt;"",K181=""),TRUE,FALSE)</f>
        <v>0</v>
      </c>
      <c r="BO181" s="898"/>
      <c r="BP181" s="899" t="b">
        <f>IF(AND($C181&lt;&gt;"",M181=""),TRUE,FALSE)</f>
        <v>0</v>
      </c>
      <c r="BQ181" s="898"/>
      <c r="BR181" s="899" t="b">
        <f>IF(AND($C181&lt;&gt;"",O181=""),TRUE,FALSE)</f>
        <v>0</v>
      </c>
      <c r="BS181" s="898" t="b">
        <f>IF(AND(S181="",OR(U181&lt;&gt;"",AA181&lt;&gt;"",AG181&lt;&gt;"",AI181&lt;&gt;"",AK181&lt;&gt;"",AM181&lt;&gt;"",AO181&lt;&gt;"",AQ181&lt;&gt;"",AS181&lt;&gt;"",AU181&lt;&gt;"",AW181&lt;&gt;"",AY181&lt;&gt;"",BA181&lt;&gt;"")),TRUE,FALSE)</f>
        <v>0</v>
      </c>
      <c r="BT181" s="899" t="b">
        <f>IF(AND($C181&lt;&gt;"",S181=""),TRUE,FALSE)</f>
        <v>0</v>
      </c>
      <c r="BU181" s="898"/>
      <c r="BV181" s="899" t="b">
        <f>IF(AND($C181&lt;&gt;"",U181=""),TRUE,FALSE)</f>
        <v>0</v>
      </c>
      <c r="BW181" s="1537" t="b">
        <f>IF(BX181=TRUE,FALSE,IF(AA181="",FALSE,IF(OR(AA181&lt;CX181,AA181&gt;BaseYear),TRUE,FALSE)))</f>
        <v>0</v>
      </c>
      <c r="BX181" s="899" t="b">
        <f>IF(AND($C181&lt;&gt;"",AA181=""),TRUE,FALSE)</f>
        <v>0</v>
      </c>
      <c r="BY181" s="898"/>
      <c r="BZ181" s="899" t="b">
        <f>IF(AND($C181&lt;&gt;"",AG181=""),TRUE,FALSE)</f>
        <v>0</v>
      </c>
      <c r="CA181" s="898"/>
      <c r="CB181" s="899" t="b">
        <f>IF(AND($C181&lt;&gt;"",AI181=""),TRUE,FALSE)</f>
        <v>0</v>
      </c>
      <c r="CC181" s="1537" t="b">
        <f>IF(AK181="",FALSE,IF(OR(AK181&lt;CX181,AK181&gt;BaseYear),TRUE,FALSE))</f>
        <v>0</v>
      </c>
      <c r="CD181" s="1538" t="b">
        <f>IF(AK181="",FALSE,IF(AK181&lt;AA181,TRUE,FALSE))</f>
        <v>0</v>
      </c>
      <c r="CE181" s="899" t="b">
        <f>IF(AND($AM181&lt;&gt;"",AK181=""),TRUE,FALSE)</f>
        <v>0</v>
      </c>
      <c r="CF181" s="898"/>
      <c r="CG181" s="898" t="b">
        <f>IF(AND($AK181&lt;&gt;"",AM181=""),TRUE,FALSE)</f>
        <v>0</v>
      </c>
      <c r="CH181" s="898"/>
      <c r="CI181" s="899" t="b">
        <f>IF(AND($C181&lt;&gt;"",AO181=""),TRUE,FALSE)</f>
        <v>0</v>
      </c>
      <c r="CJ181" s="1537"/>
      <c r="CK181" s="899" t="b">
        <f>IF(AND($C181&lt;&gt;"",AQ181=""),TRUE,FALSE)</f>
        <v>0</v>
      </c>
      <c r="CL181" s="898"/>
      <c r="CM181" s="899" t="b">
        <f>IF(AND($C181&lt;&gt;"",AS181=""),TRUE,FALSE)</f>
        <v>0</v>
      </c>
      <c r="CN181" s="898"/>
      <c r="CO181" s="899" t="b">
        <f>IF(AND($C181&lt;&gt;"",AU181=""),TRUE,FALSE)</f>
        <v>0</v>
      </c>
      <c r="CP181" s="898"/>
      <c r="CQ181" s="899" t="b">
        <f>IF(AND($C181&lt;&gt;"",AW181=""),TRUE,FALSE)</f>
        <v>0</v>
      </c>
      <c r="CR181" s="898"/>
      <c r="CS181" s="899" t="b">
        <f>IF(AND($C181&lt;&gt;"",AY181=""),TRUE,FALSE)</f>
        <v>0</v>
      </c>
      <c r="CT181" s="898"/>
      <c r="CU181" s="898" t="b">
        <f>IF(AND($C181&lt;&gt;"",BA181=""),TRUE,FALSE)</f>
        <v>0</v>
      </c>
      <c r="CV181" s="894"/>
      <c r="CW181" s="898" t="str">
        <f t="shared" si="47"/>
        <v/>
      </c>
      <c r="CX181" s="898" t="str">
        <f>IFERROR(IF(AND(S181="",S181&lt;&gt;""),1913,VLOOKUP(S181,Valid!$B$99:$J$120,9)),"")</f>
        <v/>
      </c>
      <c r="CY181" s="898" t="str">
        <f t="shared" ca="1" si="48"/>
        <v/>
      </c>
      <c r="CZ181" s="1547" t="str">
        <f t="shared" ca="1" si="53"/>
        <v/>
      </c>
      <c r="DA181" s="898" t="str">
        <f ca="1">IF(CZ181="", "", IF(1+(CZ181*4)&lt;1, 1, 1+(CZ181*4)))</f>
        <v/>
      </c>
      <c r="DB181" s="898" t="str">
        <f t="shared" si="49"/>
        <v/>
      </c>
      <c r="DC181" s="898" t="str">
        <f t="shared" si="50"/>
        <v/>
      </c>
      <c r="DD181" s="1539" t="str">
        <f>IFERROR(IF(AND(AM181="",C181&lt;&gt;""),Valid!$E$123,VLOOKUP(AM181,Valid!$B$123:$F$125,4,FALSE)),"")</f>
        <v/>
      </c>
      <c r="DE181" s="1539" t="str">
        <f>IFERROR(IF(AND(AM181="",C181&lt;&gt;""),Valid!$F$123,VLOOKUP(AM181,Valid!$B$123:$F$125,5,FALSE)),"")</f>
        <v/>
      </c>
      <c r="DF181" s="1539" t="str">
        <f>IFERROR(VLOOKUP('A-70 RevVehInv'!S181,Valid!$B$99:$I$120,7), "")</f>
        <v/>
      </c>
      <c r="DG181" s="1539" t="str">
        <f>IFERROR(VLOOKUP(S181,Valid!$B$99:$I$120,8), "")</f>
        <v/>
      </c>
      <c r="DH181" s="894"/>
    </row>
    <row r="182" spans="1:112" ht="6.75" customHeight="1" x14ac:dyDescent="0.2">
      <c r="A182" s="1517"/>
      <c r="B182" s="1530">
        <v>85.5</v>
      </c>
      <c r="C182" s="1540"/>
      <c r="D182" s="905"/>
      <c r="E182" s="1541"/>
      <c r="F182" s="905"/>
      <c r="G182" s="905"/>
      <c r="H182" s="905"/>
      <c r="I182" s="1534"/>
      <c r="J182" s="905"/>
      <c r="K182" s="1534"/>
      <c r="L182" s="905"/>
      <c r="M182" s="1534"/>
      <c r="N182" s="905"/>
      <c r="O182" s="1534"/>
      <c r="P182" s="905"/>
      <c r="Q182" s="1534"/>
      <c r="R182" s="1531"/>
      <c r="S182" s="1542"/>
      <c r="T182" s="905"/>
      <c r="U182" s="1542"/>
      <c r="V182" s="905"/>
      <c r="W182" s="1534" t="str">
        <f t="shared" si="45"/>
        <v/>
      </c>
      <c r="X182" s="905"/>
      <c r="Y182" s="1534"/>
      <c r="Z182" s="252" t="str">
        <f t="shared" si="46"/>
        <v/>
      </c>
      <c r="AA182" s="1534"/>
      <c r="AB182" s="905"/>
      <c r="AC182" s="1973" t="str">
        <f t="shared" si="51"/>
        <v/>
      </c>
      <c r="AD182" s="905"/>
      <c r="AE182" s="1985" t="str">
        <f t="shared" si="52"/>
        <v/>
      </c>
      <c r="AF182" s="905"/>
      <c r="AG182" s="1543"/>
      <c r="AH182" s="1531"/>
      <c r="AI182" s="1534"/>
      <c r="AJ182" s="1531"/>
      <c r="AK182" s="1534"/>
      <c r="AL182" s="1531"/>
      <c r="AM182" s="1543"/>
      <c r="AN182" s="1531"/>
      <c r="AO182" s="1543"/>
      <c r="AP182" s="1531"/>
      <c r="AQ182" s="1534"/>
      <c r="AR182" s="1531"/>
      <c r="AS182" s="1534"/>
      <c r="AT182" s="1531"/>
      <c r="AU182" s="1534"/>
      <c r="AV182" s="1531"/>
      <c r="AW182" s="1534"/>
      <c r="AX182" s="1531"/>
      <c r="AY182" s="1534"/>
      <c r="AZ182" s="1531"/>
      <c r="BA182" s="1543"/>
      <c r="BB182" s="1531"/>
      <c r="BC182" s="1534"/>
      <c r="BD182" s="1531"/>
      <c r="BE182" s="1531"/>
      <c r="BF182" s="1531"/>
      <c r="BG182" s="1531"/>
      <c r="BH182" s="1531"/>
      <c r="BI182" s="1535"/>
      <c r="BJ182" s="1534"/>
      <c r="BK182" s="1535"/>
      <c r="BL182" s="1534"/>
      <c r="BM182" s="1535"/>
      <c r="BN182" s="1534"/>
      <c r="BO182" s="1535"/>
      <c r="BP182" s="1534"/>
      <c r="BQ182" s="1535"/>
      <c r="BR182" s="1534"/>
      <c r="BS182" s="1535"/>
      <c r="BT182" s="1534"/>
      <c r="BU182" s="1535"/>
      <c r="BV182" s="1534"/>
      <c r="BW182" s="1535"/>
      <c r="BX182" s="1534"/>
      <c r="BY182" s="1535"/>
      <c r="BZ182" s="1534"/>
      <c r="CA182" s="1535"/>
      <c r="CB182" s="1534"/>
      <c r="CC182" s="1535"/>
      <c r="CD182" s="1534"/>
      <c r="CE182" s="1534"/>
      <c r="CF182" s="1535"/>
      <c r="CG182" s="1534"/>
      <c r="CH182" s="1535"/>
      <c r="CI182" s="1534"/>
      <c r="CJ182" s="1535"/>
      <c r="CK182" s="1534"/>
      <c r="CL182" s="1535"/>
      <c r="CM182" s="1534"/>
      <c r="CN182" s="1535"/>
      <c r="CO182" s="1534"/>
      <c r="CP182" s="1535"/>
      <c r="CQ182" s="1534"/>
      <c r="CR182" s="1535"/>
      <c r="CS182" s="1534"/>
      <c r="CT182" s="1535"/>
      <c r="CU182" s="1535"/>
      <c r="CV182" s="1531"/>
      <c r="CW182" s="898" t="str">
        <f t="shared" si="47"/>
        <v/>
      </c>
      <c r="CX182" s="898" t="str">
        <f>IFERROR(IF(AND(S182="",S182&lt;&gt;""),1913,VLOOKUP(S182,Valid!$B$99:$J$120,9)),"")</f>
        <v/>
      </c>
      <c r="CY182" s="898" t="str">
        <f t="shared" ca="1" si="48"/>
        <v/>
      </c>
      <c r="CZ182" s="1547" t="str">
        <f t="shared" ca="1" si="53"/>
        <v/>
      </c>
      <c r="DA182" s="898"/>
      <c r="DB182" s="898" t="str">
        <f t="shared" si="49"/>
        <v/>
      </c>
      <c r="DC182" s="898" t="str">
        <f t="shared" si="50"/>
        <v/>
      </c>
      <c r="DD182" s="1539" t="str">
        <f>IFERROR(IF(AND(AM182="",C182&lt;&gt;""),Valid!$E$123,VLOOKUP(AM182,Valid!$B$123:$F$125,4,FALSE)),"")</f>
        <v/>
      </c>
      <c r="DE182" s="1539" t="str">
        <f>IFERROR(IF(AND(AM182="",C182&lt;&gt;""),Valid!$F$123,VLOOKUP(AM182,Valid!$B$123:$F$125,5,FALSE)),"")</f>
        <v/>
      </c>
      <c r="DF182" s="1539" t="str">
        <f>IFERROR(VLOOKUP('A-70 RevVehInv'!S182,Valid!$B$99:$I$120,7), "")</f>
        <v/>
      </c>
      <c r="DG182" s="1539" t="str">
        <f>IFERROR(VLOOKUP(S182,Valid!$B$99:$I$120,8), "")</f>
        <v/>
      </c>
      <c r="DH182" s="1531"/>
    </row>
    <row r="183" spans="1:112" s="930" customFormat="1" x14ac:dyDescent="0.2">
      <c r="A183" s="206">
        <v>86</v>
      </c>
      <c r="B183" s="1530">
        <v>86</v>
      </c>
      <c r="C183" s="933"/>
      <c r="D183" s="719" t="str">
        <f>IF(C181="","",IF((C183=""),"Enter RVI ID. then Fill in Columns "&amp;TEXT($I$2,0)&amp;" - "&amp;TEXT($BA$2,0)&amp;"       ",""))</f>
        <v/>
      </c>
      <c r="E183" s="1056" t="str">
        <f>IF(BH183="N/A","",BH183)</f>
        <v/>
      </c>
      <c r="F183" s="1536"/>
      <c r="G183" s="1536"/>
      <c r="H183" s="1536"/>
      <c r="I183" s="1023"/>
      <c r="J183" s="1536" t="str">
        <f>IF(E183&lt;&gt;"","Vehicles?    ","")</f>
        <v/>
      </c>
      <c r="K183" s="1023"/>
      <c r="L183" s="1536" t="str">
        <f>IF(E183&lt;&gt;"","Active Vehicles?     ","")</f>
        <v/>
      </c>
      <c r="M183" s="1023"/>
      <c r="N183" s="1536" t="str">
        <f>IF(E183&lt;&gt;"","ADA Vehicles?       ","")</f>
        <v/>
      </c>
      <c r="O183" s="1023"/>
      <c r="P183" s="1536" t="str">
        <f>IF(E183&lt;&gt;"","Cont. Vehicles?     ","")</f>
        <v/>
      </c>
      <c r="Q183" s="1024"/>
      <c r="R183" s="894"/>
      <c r="S183" s="1153"/>
      <c r="T183" s="252" t="str">
        <f>IF(E183&lt;&gt;"","Select from Pull-Down List    ","")</f>
        <v/>
      </c>
      <c r="U183" s="933"/>
      <c r="V183" s="252" t="str">
        <f>IF(E183&lt;&gt;"","Select from Pull-Down List    ","")</f>
        <v/>
      </c>
      <c r="W183" s="1766" t="str">
        <f t="shared" si="45"/>
        <v/>
      </c>
      <c r="X183" s="252"/>
      <c r="Y183" s="1988"/>
      <c r="Z183" s="252" t="str">
        <f t="shared" si="46"/>
        <v/>
      </c>
      <c r="AA183" s="139"/>
      <c r="AB183" s="252" t="str">
        <f>IF(E183&lt;&gt;"","Mfg. Yr?    ","")</f>
        <v/>
      </c>
      <c r="AC183" s="1974" t="str">
        <f t="shared" si="51"/>
        <v/>
      </c>
      <c r="AD183" s="252"/>
      <c r="AE183" s="1986" t="str">
        <f t="shared" si="52"/>
        <v/>
      </c>
      <c r="AF183" s="252"/>
      <c r="AG183" s="933"/>
      <c r="AH183" s="252" t="str">
        <f>IF(E183&lt;&gt;"","Select from Pull-Down List    ","")</f>
        <v/>
      </c>
      <c r="AI183" s="933"/>
      <c r="AJ183" s="252" t="str">
        <f>IF(E183&lt;&gt;"","Number?   ","")</f>
        <v/>
      </c>
      <c r="AK183" s="139"/>
      <c r="AL183" s="252" t="str">
        <f>IF(E183&lt;&gt;"","Last Rnwl. Yr?   ","")</f>
        <v/>
      </c>
      <c r="AM183" s="933"/>
      <c r="AN183" s="252" t="str">
        <f>IF(E183&lt;&gt;"","Select from Pull-Down List    ","")</f>
        <v/>
      </c>
      <c r="AO183" s="933"/>
      <c r="AP183" s="252" t="str">
        <f>IF(E183&lt;&gt;"","Select from Pull-Down List    ","")</f>
        <v/>
      </c>
      <c r="AQ183" s="1023"/>
      <c r="AR183" s="252" t="str">
        <f>IF(E183&lt;&gt;"","Feet?    ","")</f>
        <v/>
      </c>
      <c r="AS183" s="1023"/>
      <c r="AT183" s="252" t="str">
        <f>IF(E183&lt;&gt;"","Seats?    ","")</f>
        <v/>
      </c>
      <c r="AU183" s="1023"/>
      <c r="AV183" s="252" t="str">
        <f>IF(E183&lt;&gt;"","Standing?    ","")</f>
        <v/>
      </c>
      <c r="AW183" s="1023"/>
      <c r="AX183" s="252" t="str">
        <f>IF(E183&lt;&gt;"","Mileage?       ","")</f>
        <v/>
      </c>
      <c r="AY183" s="1023"/>
      <c r="AZ183" s="252" t="str">
        <f>IF(E183&lt;&gt;"","Avg. Lifetime Mileage? ","")</f>
        <v/>
      </c>
      <c r="BA183" s="933"/>
      <c r="BB183" s="252" t="str">
        <f>IF(E183&lt;&gt;"","Select from Pull-Down List    ","")</f>
        <v/>
      </c>
      <c r="BC183" s="171"/>
      <c r="BD183" s="252" t="str">
        <f>IF(OR(AO183="OR - Other fuel (describe in Notes)",AG183="ZZZ - Other (describe in Notes)"),"Describe                                                                                                     ","")</f>
        <v/>
      </c>
      <c r="BE183" s="894"/>
      <c r="BF183" s="894"/>
      <c r="BG183" s="894" t="b">
        <f>IF(AND(C183="",C185&lt;&gt;""),TRUE,FALSE)</f>
        <v>0</v>
      </c>
      <c r="BH183" s="888" t="str">
        <f>IF(AND(C183&lt;&gt;"",OR(I183="",K183="",M183="",O183="",S183="",U183="",AA183="",AG183="",AI183="",AO183="",AQ183="",AS183="",AU183="",AW183="",AY183="")),"No",IF(AND(C183="",OR(I183&lt;&gt;"",K183&lt;&gt;"",M183&lt;&gt;"",O183&lt;&gt;"",S183&lt;&gt;"",U183&lt;&gt;"",AA183&lt;&gt;"",AG183&lt;&gt;"",AI183&lt;&gt;"",AK183&lt;&gt;"",AM183&lt;&gt;"",AO183&lt;&gt;"",AQ183&lt;&gt;"",AS183&lt;&gt;"",AU183&lt;&gt;"",AW183&lt;&gt;"",AY183&lt;&gt;"",BA183&lt;&gt;"",BC183&lt;&gt;"")),"No",IF(AND(C183="",I183="",K183="",M183="",O183="",S183="",U183="",AA183="",AG183="",AI183="",AK183="",AM183="",AO183="",AQ183="",AS183="",AU183="",AW183="",AY183="",BA183=""),"N/A","Yes")))</f>
        <v>N/A</v>
      </c>
      <c r="BI183" s="898"/>
      <c r="BJ183" s="899" t="b">
        <f>IF(AND(OR(I183&lt;&gt;"",K183&lt;&gt;"",M183&lt;&gt;"",O183&lt;&gt;"",S183&lt;&gt;"",U183&lt;&gt;"",AA183&lt;&gt;"",AG183&lt;&gt;"",AI183&lt;&gt;"",AK183&lt;&gt;"",AM183&lt;&gt;"",AO183&lt;&gt;"",AQ183&lt;&gt;"",AS183&lt;&gt;"",AW183&lt;&gt;"",AY183&lt;&gt;"",BA183&lt;&gt;"",BC183&lt;&gt;""),C183=""),TRUE,FALSE)</f>
        <v>0</v>
      </c>
      <c r="BK183" s="898" t="b">
        <f>IF(BL183=TRUE,FALSE,IF(SUM(K183,O183)&gt;I183,TRUE,FALSE))</f>
        <v>0</v>
      </c>
      <c r="BL183" s="899" t="b">
        <f>IF(AND(C183&lt;&gt;"",I183=""),TRUE,FALSE)</f>
        <v>0</v>
      </c>
      <c r="BM183" s="898" t="b">
        <f>IF(BN183=TRUE,FALSE,IF(M183&gt;K183,TRUE,FALSE))</f>
        <v>0</v>
      </c>
      <c r="BN183" s="899" t="b">
        <f>IF(AND($C183&lt;&gt;"",K183=""),TRUE,FALSE)</f>
        <v>0</v>
      </c>
      <c r="BO183" s="898"/>
      <c r="BP183" s="899" t="b">
        <f>IF(AND($C183&lt;&gt;"",M183=""),TRUE,FALSE)</f>
        <v>0</v>
      </c>
      <c r="BQ183" s="898"/>
      <c r="BR183" s="899" t="b">
        <f>IF(AND($C183&lt;&gt;"",O183=""),TRUE,FALSE)</f>
        <v>0</v>
      </c>
      <c r="BS183" s="898" t="b">
        <f>IF(AND(S183="",OR(U183&lt;&gt;"",AA183&lt;&gt;"",AG183&lt;&gt;"",AI183&lt;&gt;"",AK183&lt;&gt;"",AM183&lt;&gt;"",AO183&lt;&gt;"",AQ183&lt;&gt;"",AS183&lt;&gt;"",AU183&lt;&gt;"",AW183&lt;&gt;"",AY183&lt;&gt;"",BA183&lt;&gt;"")),TRUE,FALSE)</f>
        <v>0</v>
      </c>
      <c r="BT183" s="899" t="b">
        <f>IF(AND($C183&lt;&gt;"",S183=""),TRUE,FALSE)</f>
        <v>0</v>
      </c>
      <c r="BU183" s="898"/>
      <c r="BV183" s="899" t="b">
        <f>IF(AND($C183&lt;&gt;"",U183=""),TRUE,FALSE)</f>
        <v>0</v>
      </c>
      <c r="BW183" s="1537" t="b">
        <f>IF(BX183=TRUE,FALSE,IF(AA183="",FALSE,IF(OR(AA183&lt;CX183,AA183&gt;BaseYear),TRUE,FALSE)))</f>
        <v>0</v>
      </c>
      <c r="BX183" s="899" t="b">
        <f>IF(AND($C183&lt;&gt;"",AA183=""),TRUE,FALSE)</f>
        <v>0</v>
      </c>
      <c r="BY183" s="898"/>
      <c r="BZ183" s="899" t="b">
        <f>IF(AND($C183&lt;&gt;"",AG183=""),TRUE,FALSE)</f>
        <v>0</v>
      </c>
      <c r="CA183" s="898"/>
      <c r="CB183" s="899" t="b">
        <f>IF(AND($C183&lt;&gt;"",AI183=""),TRUE,FALSE)</f>
        <v>0</v>
      </c>
      <c r="CC183" s="1537" t="b">
        <f>IF(AK183="",FALSE,IF(OR(AK183&lt;CX183,AK183&gt;BaseYear),TRUE,FALSE))</f>
        <v>0</v>
      </c>
      <c r="CD183" s="1538" t="b">
        <f>IF(AK183="",FALSE,IF(AK183&lt;AA183,TRUE,FALSE))</f>
        <v>0</v>
      </c>
      <c r="CE183" s="899" t="b">
        <f>IF(AND($AM183&lt;&gt;"",AK183=""),TRUE,FALSE)</f>
        <v>0</v>
      </c>
      <c r="CF183" s="898"/>
      <c r="CG183" s="898" t="b">
        <f>IF(AND($AK183&lt;&gt;"",AM183=""),TRUE,FALSE)</f>
        <v>0</v>
      </c>
      <c r="CH183" s="898"/>
      <c r="CI183" s="899" t="b">
        <f>IF(AND($C183&lt;&gt;"",AO183=""),TRUE,FALSE)</f>
        <v>0</v>
      </c>
      <c r="CJ183" s="1537"/>
      <c r="CK183" s="899" t="b">
        <f>IF(AND($C183&lt;&gt;"",AQ183=""),TRUE,FALSE)</f>
        <v>0</v>
      </c>
      <c r="CL183" s="898"/>
      <c r="CM183" s="899" t="b">
        <f>IF(AND($C183&lt;&gt;"",AS183=""),TRUE,FALSE)</f>
        <v>0</v>
      </c>
      <c r="CN183" s="898"/>
      <c r="CO183" s="899" t="b">
        <f>IF(AND($C183&lt;&gt;"",AU183=""),TRUE,FALSE)</f>
        <v>0</v>
      </c>
      <c r="CP183" s="898"/>
      <c r="CQ183" s="899" t="b">
        <f>IF(AND($C183&lt;&gt;"",AW183=""),TRUE,FALSE)</f>
        <v>0</v>
      </c>
      <c r="CR183" s="898"/>
      <c r="CS183" s="899" t="b">
        <f>IF(AND($C183&lt;&gt;"",AY183=""),TRUE,FALSE)</f>
        <v>0</v>
      </c>
      <c r="CT183" s="898"/>
      <c r="CU183" s="898" t="b">
        <f>IF(AND($C183&lt;&gt;"",BA183=""),TRUE,FALSE)</f>
        <v>0</v>
      </c>
      <c r="CV183" s="894"/>
      <c r="CW183" s="898" t="str">
        <f t="shared" si="47"/>
        <v/>
      </c>
      <c r="CX183" s="898" t="str">
        <f>IFERROR(IF(AND(S183="",S183&lt;&gt;""),1913,VLOOKUP(S183,Valid!$B$99:$J$120,9)),"")</f>
        <v/>
      </c>
      <c r="CY183" s="898" t="str">
        <f t="shared" ca="1" si="48"/>
        <v/>
      </c>
      <c r="CZ183" s="1547" t="str">
        <f t="shared" ca="1" si="53"/>
        <v/>
      </c>
      <c r="DA183" s="898" t="str">
        <f ca="1">IF(CZ183="", "", IF(1+(CZ183*4)&lt;1, 1, 1+(CZ183*4)))</f>
        <v/>
      </c>
      <c r="DB183" s="898" t="str">
        <f t="shared" si="49"/>
        <v/>
      </c>
      <c r="DC183" s="898" t="str">
        <f t="shared" si="50"/>
        <v/>
      </c>
      <c r="DD183" s="1539" t="str">
        <f>IFERROR(IF(AND(AM183="",C183&lt;&gt;""),Valid!$E$123,VLOOKUP(AM183,Valid!$B$123:$F$125,4,FALSE)),"")</f>
        <v/>
      </c>
      <c r="DE183" s="1539" t="str">
        <f>IFERROR(IF(AND(AM183="",C183&lt;&gt;""),Valid!$F$123,VLOOKUP(AM183,Valid!$B$123:$F$125,5,FALSE)),"")</f>
        <v/>
      </c>
      <c r="DF183" s="1539" t="str">
        <f>IFERROR(VLOOKUP('A-70 RevVehInv'!S183,Valid!$B$99:$I$120,7), "")</f>
        <v/>
      </c>
      <c r="DG183" s="1539" t="str">
        <f>IFERROR(VLOOKUP(S183,Valid!$B$99:$I$120,8), "")</f>
        <v/>
      </c>
      <c r="DH183" s="894"/>
    </row>
    <row r="184" spans="1:112" ht="6.75" customHeight="1" x14ac:dyDescent="0.2">
      <c r="A184" s="1517"/>
      <c r="B184" s="1530">
        <v>86.5</v>
      </c>
      <c r="C184" s="1544"/>
      <c r="D184" s="905"/>
      <c r="E184" s="1545"/>
      <c r="F184" s="905"/>
      <c r="G184" s="905"/>
      <c r="H184" s="905"/>
      <c r="I184" s="1531"/>
      <c r="J184" s="905"/>
      <c r="K184" s="1531"/>
      <c r="L184" s="905"/>
      <c r="M184" s="1531"/>
      <c r="N184" s="905"/>
      <c r="O184" s="1531"/>
      <c r="P184" s="905"/>
      <c r="Q184" s="1531"/>
      <c r="R184" s="1531"/>
      <c r="S184" s="1533"/>
      <c r="T184" s="905"/>
      <c r="U184" s="1533"/>
      <c r="V184" s="905"/>
      <c r="W184" s="1531" t="str">
        <f t="shared" si="45"/>
        <v/>
      </c>
      <c r="X184" s="905"/>
      <c r="Y184" s="1531"/>
      <c r="Z184" s="252" t="str">
        <f t="shared" si="46"/>
        <v/>
      </c>
      <c r="AA184" s="1531"/>
      <c r="AB184" s="905"/>
      <c r="AC184" s="1971" t="str">
        <f t="shared" si="51"/>
        <v/>
      </c>
      <c r="AD184" s="905"/>
      <c r="AE184" s="1983" t="str">
        <f t="shared" si="52"/>
        <v/>
      </c>
      <c r="AF184" s="905"/>
      <c r="AG184" s="1546"/>
      <c r="AH184" s="1531"/>
      <c r="AI184" s="1531"/>
      <c r="AJ184" s="1531"/>
      <c r="AK184" s="1531"/>
      <c r="AL184" s="1531"/>
      <c r="AM184" s="1546"/>
      <c r="AN184" s="1531"/>
      <c r="AO184" s="1546"/>
      <c r="AP184" s="1531"/>
      <c r="AQ184" s="1531"/>
      <c r="AR184" s="1531"/>
      <c r="AS184" s="1531"/>
      <c r="AT184" s="1531"/>
      <c r="AU184" s="1531"/>
      <c r="AV184" s="1531"/>
      <c r="AW184" s="1531"/>
      <c r="AX184" s="1531"/>
      <c r="AY184" s="1531"/>
      <c r="AZ184" s="1531"/>
      <c r="BA184" s="1546"/>
      <c r="BB184" s="1531"/>
      <c r="BC184" s="1531"/>
      <c r="BD184" s="1531"/>
      <c r="BE184" s="1531"/>
      <c r="BF184" s="1531"/>
      <c r="BG184" s="1531"/>
      <c r="BH184" s="1531"/>
      <c r="BI184" s="1535"/>
      <c r="BJ184" s="1534"/>
      <c r="BK184" s="1535"/>
      <c r="BL184" s="1534"/>
      <c r="BM184" s="1535"/>
      <c r="BN184" s="1534"/>
      <c r="BO184" s="1535"/>
      <c r="BP184" s="1534"/>
      <c r="BQ184" s="1535"/>
      <c r="BR184" s="1534"/>
      <c r="BS184" s="1535"/>
      <c r="BT184" s="1534"/>
      <c r="BU184" s="1535"/>
      <c r="BV184" s="1534"/>
      <c r="BW184" s="1535"/>
      <c r="BX184" s="1534"/>
      <c r="BY184" s="1535"/>
      <c r="BZ184" s="1534"/>
      <c r="CA184" s="1535"/>
      <c r="CB184" s="1534"/>
      <c r="CC184" s="1535"/>
      <c r="CD184" s="1534"/>
      <c r="CE184" s="1534"/>
      <c r="CF184" s="1535"/>
      <c r="CG184" s="1534"/>
      <c r="CH184" s="1535"/>
      <c r="CI184" s="1534"/>
      <c r="CJ184" s="1535"/>
      <c r="CK184" s="1534"/>
      <c r="CL184" s="1535"/>
      <c r="CM184" s="1534"/>
      <c r="CN184" s="1535"/>
      <c r="CO184" s="1534"/>
      <c r="CP184" s="1535"/>
      <c r="CQ184" s="1534"/>
      <c r="CR184" s="1535"/>
      <c r="CS184" s="1534"/>
      <c r="CT184" s="1535"/>
      <c r="CU184" s="1535"/>
      <c r="CV184" s="1531"/>
      <c r="CW184" s="898" t="str">
        <f t="shared" si="47"/>
        <v/>
      </c>
      <c r="CX184" s="898" t="str">
        <f>IFERROR(IF(AND(S184="",S184&lt;&gt;""),1913,VLOOKUP(S184,Valid!$B$99:$J$120,9)),"")</f>
        <v/>
      </c>
      <c r="CY184" s="898" t="str">
        <f t="shared" ca="1" si="48"/>
        <v/>
      </c>
      <c r="CZ184" s="1547" t="str">
        <f t="shared" ca="1" si="53"/>
        <v/>
      </c>
      <c r="DA184" s="898"/>
      <c r="DB184" s="898" t="str">
        <f t="shared" si="49"/>
        <v/>
      </c>
      <c r="DC184" s="898" t="str">
        <f t="shared" si="50"/>
        <v/>
      </c>
      <c r="DD184" s="1539" t="str">
        <f>IFERROR(IF(AND(AM184="",C184&lt;&gt;""),Valid!$E$123,VLOOKUP(AM184,Valid!$B$123:$F$125,4,FALSE)),"")</f>
        <v/>
      </c>
      <c r="DE184" s="1539" t="str">
        <f>IFERROR(IF(AND(AM184="",C184&lt;&gt;""),Valid!$F$123,VLOOKUP(AM184,Valid!$B$123:$F$125,5,FALSE)),"")</f>
        <v/>
      </c>
      <c r="DF184" s="1539" t="str">
        <f>IFERROR(VLOOKUP('A-70 RevVehInv'!S184,Valid!$B$99:$I$120,7), "")</f>
        <v/>
      </c>
      <c r="DG184" s="1539" t="str">
        <f>IFERROR(VLOOKUP(S184,Valid!$B$99:$I$120,8), "")</f>
        <v/>
      </c>
      <c r="DH184" s="1531"/>
    </row>
    <row r="185" spans="1:112" s="930" customFormat="1" x14ac:dyDescent="0.2">
      <c r="A185" s="206">
        <v>87</v>
      </c>
      <c r="B185" s="1530">
        <v>87</v>
      </c>
      <c r="C185" s="933"/>
      <c r="D185" s="719" t="str">
        <f>IF(C183="","",IF((C185=""),"Enter RVI ID. then Fill in Columns "&amp;TEXT($I$2,0)&amp;" - "&amp;TEXT($BA$2,0)&amp;"       ",""))</f>
        <v/>
      </c>
      <c r="E185" s="1056" t="str">
        <f>IF(BH185="N/A","",BH185)</f>
        <v/>
      </c>
      <c r="F185" s="1536"/>
      <c r="G185" s="1536"/>
      <c r="H185" s="1536"/>
      <c r="I185" s="1023"/>
      <c r="J185" s="1536" t="str">
        <f>IF(E185&lt;&gt;"","Vehicles?    ","")</f>
        <v/>
      </c>
      <c r="K185" s="1023"/>
      <c r="L185" s="1536" t="str">
        <f>IF(E185&lt;&gt;"","Active Vehicles?     ","")</f>
        <v/>
      </c>
      <c r="M185" s="1023"/>
      <c r="N185" s="1536" t="str">
        <f>IF(E185&lt;&gt;"","ADA Vehicles?       ","")</f>
        <v/>
      </c>
      <c r="O185" s="1023"/>
      <c r="P185" s="1536" t="str">
        <f>IF(E185&lt;&gt;"","Cont. Vehicles?     ","")</f>
        <v/>
      </c>
      <c r="Q185" s="1024"/>
      <c r="R185" s="894"/>
      <c r="S185" s="1153"/>
      <c r="T185" s="252" t="str">
        <f>IF(E185&lt;&gt;"","Select from Pull-Down List    ","")</f>
        <v/>
      </c>
      <c r="U185" s="933"/>
      <c r="V185" s="252" t="str">
        <f>IF(E185&lt;&gt;"","Select from Pull-Down List    ","")</f>
        <v/>
      </c>
      <c r="W185" s="1766" t="str">
        <f t="shared" si="45"/>
        <v/>
      </c>
      <c r="X185" s="252"/>
      <c r="Y185" s="1988"/>
      <c r="Z185" s="252" t="str">
        <f t="shared" si="46"/>
        <v/>
      </c>
      <c r="AA185" s="139"/>
      <c r="AB185" s="252" t="str">
        <f>IF(E185&lt;&gt;"","Mfg. Yr?    ","")</f>
        <v/>
      </c>
      <c r="AC185" s="1974" t="str">
        <f t="shared" si="51"/>
        <v/>
      </c>
      <c r="AD185" s="252"/>
      <c r="AE185" s="1986" t="str">
        <f t="shared" si="52"/>
        <v/>
      </c>
      <c r="AF185" s="252"/>
      <c r="AG185" s="933"/>
      <c r="AH185" s="252" t="str">
        <f>IF(E185&lt;&gt;"","Select from Pull-Down List    ","")</f>
        <v/>
      </c>
      <c r="AI185" s="933"/>
      <c r="AJ185" s="252" t="str">
        <f>IF(E185&lt;&gt;"","Number?   ","")</f>
        <v/>
      </c>
      <c r="AK185" s="139"/>
      <c r="AL185" s="252" t="str">
        <f>IF(E185&lt;&gt;"","Last Rnwl. Yr?   ","")</f>
        <v/>
      </c>
      <c r="AM185" s="933"/>
      <c r="AN185" s="252" t="str">
        <f>IF(E185&lt;&gt;"","Select from Pull-Down List    ","")</f>
        <v/>
      </c>
      <c r="AO185" s="933"/>
      <c r="AP185" s="252" t="str">
        <f>IF(E185&lt;&gt;"","Select from Pull-Down List    ","")</f>
        <v/>
      </c>
      <c r="AQ185" s="1023"/>
      <c r="AR185" s="252" t="str">
        <f>IF(E185&lt;&gt;"","Feet?    ","")</f>
        <v/>
      </c>
      <c r="AS185" s="1023"/>
      <c r="AT185" s="252" t="str">
        <f>IF(E185&lt;&gt;"","Seats?    ","")</f>
        <v/>
      </c>
      <c r="AU185" s="1023"/>
      <c r="AV185" s="252" t="str">
        <f>IF(E185&lt;&gt;"","Standing?    ","")</f>
        <v/>
      </c>
      <c r="AW185" s="1023"/>
      <c r="AX185" s="252" t="str">
        <f>IF(E185&lt;&gt;"","Mileage?       ","")</f>
        <v/>
      </c>
      <c r="AY185" s="1023"/>
      <c r="AZ185" s="252" t="str">
        <f>IF(E185&lt;&gt;"","Avg. Lifetime Mileage? ","")</f>
        <v/>
      </c>
      <c r="BA185" s="933"/>
      <c r="BB185" s="252" t="str">
        <f>IF(E185&lt;&gt;"","Select from Pull-Down List    ","")</f>
        <v/>
      </c>
      <c r="BC185" s="171"/>
      <c r="BD185" s="252" t="str">
        <f>IF(OR(AO185="OR - Other fuel (describe in Notes)",AG185="ZZZ - Other (describe in Notes)"),"Describe                                                                                                     ","")</f>
        <v/>
      </c>
      <c r="BE185" s="894"/>
      <c r="BF185" s="894"/>
      <c r="BG185" s="894" t="b">
        <f>IF(AND(C185="",C187&lt;&gt;""),TRUE,FALSE)</f>
        <v>0</v>
      </c>
      <c r="BH185" s="888" t="str">
        <f>IF(AND(C185&lt;&gt;"",OR(I185="",K185="",M185="",O185="",S185="",U185="",AA185="",AG185="",AI185="",AO185="",AQ185="",AS185="",AU185="",AW185="",AY185="")),"No",IF(AND(C185="",OR(I185&lt;&gt;"",K185&lt;&gt;"",M185&lt;&gt;"",O185&lt;&gt;"",S185&lt;&gt;"",U185&lt;&gt;"",AA185&lt;&gt;"",AG185&lt;&gt;"",AI185&lt;&gt;"",AK185&lt;&gt;"",AM185&lt;&gt;"",AO185&lt;&gt;"",AQ185&lt;&gt;"",AS185&lt;&gt;"",AU185&lt;&gt;"",AW185&lt;&gt;"",AY185&lt;&gt;"",BA185&lt;&gt;"",BC185&lt;&gt;"")),"No",IF(AND(C185="",I185="",K185="",M185="",O185="",S185="",U185="",AA185="",AG185="",AI185="",AK185="",AM185="",AO185="",AQ185="",AS185="",AU185="",AW185="",AY185="",BA185=""),"N/A","Yes")))</f>
        <v>N/A</v>
      </c>
      <c r="BI185" s="898"/>
      <c r="BJ185" s="899" t="b">
        <f>IF(AND(OR(I185&lt;&gt;"",K185&lt;&gt;"",M185&lt;&gt;"",O185&lt;&gt;"",S185&lt;&gt;"",U185&lt;&gt;"",AA185&lt;&gt;"",AG185&lt;&gt;"",AI185&lt;&gt;"",AK185&lt;&gt;"",AM185&lt;&gt;"",AO185&lt;&gt;"",AQ185&lt;&gt;"",AS185&lt;&gt;"",AW185&lt;&gt;"",AY185&lt;&gt;"",BA185&lt;&gt;"",BC185&lt;&gt;""),C185=""),TRUE,FALSE)</f>
        <v>0</v>
      </c>
      <c r="BK185" s="898" t="b">
        <f>IF(BL185=TRUE,FALSE,IF(SUM(K185,O185)&gt;I185,TRUE,FALSE))</f>
        <v>0</v>
      </c>
      <c r="BL185" s="899" t="b">
        <f>IF(AND(C185&lt;&gt;"",I185=""),TRUE,FALSE)</f>
        <v>0</v>
      </c>
      <c r="BM185" s="898" t="b">
        <f>IF(BN185=TRUE,FALSE,IF(M185&gt;K185,TRUE,FALSE))</f>
        <v>0</v>
      </c>
      <c r="BN185" s="899" t="b">
        <f>IF(AND($C185&lt;&gt;"",K185=""),TRUE,FALSE)</f>
        <v>0</v>
      </c>
      <c r="BO185" s="898"/>
      <c r="BP185" s="899" t="b">
        <f>IF(AND($C185&lt;&gt;"",M185=""),TRUE,FALSE)</f>
        <v>0</v>
      </c>
      <c r="BQ185" s="898"/>
      <c r="BR185" s="899" t="b">
        <f>IF(AND($C185&lt;&gt;"",O185=""),TRUE,FALSE)</f>
        <v>0</v>
      </c>
      <c r="BS185" s="898" t="b">
        <f>IF(AND(S185="",OR(U185&lt;&gt;"",AA185&lt;&gt;"",AG185&lt;&gt;"",AI185&lt;&gt;"",AK185&lt;&gt;"",AM185&lt;&gt;"",AO185&lt;&gt;"",AQ185&lt;&gt;"",AS185&lt;&gt;"",AU185&lt;&gt;"",AW185&lt;&gt;"",AY185&lt;&gt;"",BA185&lt;&gt;"")),TRUE,FALSE)</f>
        <v>0</v>
      </c>
      <c r="BT185" s="899" t="b">
        <f>IF(AND($C185&lt;&gt;"",S185=""),TRUE,FALSE)</f>
        <v>0</v>
      </c>
      <c r="BU185" s="898"/>
      <c r="BV185" s="899" t="b">
        <f>IF(AND($C185&lt;&gt;"",U185=""),TRUE,FALSE)</f>
        <v>0</v>
      </c>
      <c r="BW185" s="1537" t="b">
        <f>IF(BX185=TRUE,FALSE,IF(AA185="",FALSE,IF(OR(AA185&lt;CX185,AA185&gt;BaseYear),TRUE,FALSE)))</f>
        <v>0</v>
      </c>
      <c r="BX185" s="899" t="b">
        <f>IF(AND($C185&lt;&gt;"",AA185=""),TRUE,FALSE)</f>
        <v>0</v>
      </c>
      <c r="BY185" s="898"/>
      <c r="BZ185" s="899" t="b">
        <f>IF(AND($C185&lt;&gt;"",AG185=""),TRUE,FALSE)</f>
        <v>0</v>
      </c>
      <c r="CA185" s="898"/>
      <c r="CB185" s="899" t="b">
        <f>IF(AND($C185&lt;&gt;"",AI185=""),TRUE,FALSE)</f>
        <v>0</v>
      </c>
      <c r="CC185" s="1537" t="b">
        <f>IF(AK185="",FALSE,IF(OR(AK185&lt;CX185,AK185&gt;BaseYear),TRUE,FALSE))</f>
        <v>0</v>
      </c>
      <c r="CD185" s="1538" t="b">
        <f>IF(AK185="",FALSE,IF(AK185&lt;AA185,TRUE,FALSE))</f>
        <v>0</v>
      </c>
      <c r="CE185" s="899" t="b">
        <f>IF(AND($AM185&lt;&gt;"",AK185=""),TRUE,FALSE)</f>
        <v>0</v>
      </c>
      <c r="CF185" s="898"/>
      <c r="CG185" s="898" t="b">
        <f>IF(AND($AK185&lt;&gt;"",AM185=""),TRUE,FALSE)</f>
        <v>0</v>
      </c>
      <c r="CH185" s="898"/>
      <c r="CI185" s="899" t="b">
        <f>IF(AND($C185&lt;&gt;"",AO185=""),TRUE,FALSE)</f>
        <v>0</v>
      </c>
      <c r="CJ185" s="1537"/>
      <c r="CK185" s="899" t="b">
        <f>IF(AND($C185&lt;&gt;"",AQ185=""),TRUE,FALSE)</f>
        <v>0</v>
      </c>
      <c r="CL185" s="898"/>
      <c r="CM185" s="899" t="b">
        <f>IF(AND($C185&lt;&gt;"",AS185=""),TRUE,FALSE)</f>
        <v>0</v>
      </c>
      <c r="CN185" s="898"/>
      <c r="CO185" s="899" t="b">
        <f>IF(AND($C185&lt;&gt;"",AU185=""),TRUE,FALSE)</f>
        <v>0</v>
      </c>
      <c r="CP185" s="898"/>
      <c r="CQ185" s="899" t="b">
        <f>IF(AND($C185&lt;&gt;"",AW185=""),TRUE,FALSE)</f>
        <v>0</v>
      </c>
      <c r="CR185" s="898"/>
      <c r="CS185" s="899" t="b">
        <f>IF(AND($C185&lt;&gt;"",AY185=""),TRUE,FALSE)</f>
        <v>0</v>
      </c>
      <c r="CT185" s="898"/>
      <c r="CU185" s="898" t="b">
        <f>IF(AND($C185&lt;&gt;"",BA185=""),TRUE,FALSE)</f>
        <v>0</v>
      </c>
      <c r="CV185" s="894"/>
      <c r="CW185" s="898" t="str">
        <f t="shared" si="47"/>
        <v/>
      </c>
      <c r="CX185" s="898" t="str">
        <f>IFERROR(IF(AND(S185="",S185&lt;&gt;""),1913,VLOOKUP(S185,Valid!$B$99:$J$120,9)),"")</f>
        <v/>
      </c>
      <c r="CY185" s="898" t="str">
        <f t="shared" ca="1" si="48"/>
        <v/>
      </c>
      <c r="CZ185" s="1547" t="str">
        <f t="shared" ca="1" si="53"/>
        <v/>
      </c>
      <c r="DA185" s="898" t="str">
        <f ca="1">IF(CZ185="", "", IF(1+(CZ185*4)&lt;1, 1, 1+(CZ185*4)))</f>
        <v/>
      </c>
      <c r="DB185" s="898" t="str">
        <f t="shared" si="49"/>
        <v/>
      </c>
      <c r="DC185" s="898" t="str">
        <f t="shared" si="50"/>
        <v/>
      </c>
      <c r="DD185" s="1539" t="str">
        <f>IFERROR(IF(AND(AM185="",C185&lt;&gt;""),Valid!$E$123,VLOOKUP(AM185,Valid!$B$123:$F$125,4,FALSE)),"")</f>
        <v/>
      </c>
      <c r="DE185" s="1539" t="str">
        <f>IFERROR(IF(AND(AM185="",C185&lt;&gt;""),Valid!$F$123,VLOOKUP(AM185,Valid!$B$123:$F$125,5,FALSE)),"")</f>
        <v/>
      </c>
      <c r="DF185" s="1539" t="str">
        <f>IFERROR(VLOOKUP('A-70 RevVehInv'!S185,Valid!$B$99:$I$120,7), "")</f>
        <v/>
      </c>
      <c r="DG185" s="1539" t="str">
        <f>IFERROR(VLOOKUP(S185,Valid!$B$99:$I$120,8), "")</f>
        <v/>
      </c>
      <c r="DH185" s="894"/>
    </row>
    <row r="186" spans="1:112" ht="6.75" customHeight="1" x14ac:dyDescent="0.2">
      <c r="A186" s="1517"/>
      <c r="B186" s="1530">
        <v>87.5</v>
      </c>
      <c r="C186" s="1540"/>
      <c r="D186" s="905"/>
      <c r="E186" s="1541"/>
      <c r="F186" s="905"/>
      <c r="G186" s="905"/>
      <c r="H186" s="905"/>
      <c r="I186" s="1534"/>
      <c r="J186" s="905"/>
      <c r="K186" s="1534"/>
      <c r="L186" s="905"/>
      <c r="M186" s="1534"/>
      <c r="N186" s="905"/>
      <c r="O186" s="1534"/>
      <c r="P186" s="905"/>
      <c r="Q186" s="1534"/>
      <c r="R186" s="1531"/>
      <c r="S186" s="1542"/>
      <c r="T186" s="905"/>
      <c r="U186" s="1542"/>
      <c r="V186" s="905"/>
      <c r="W186" s="1534" t="str">
        <f t="shared" si="45"/>
        <v/>
      </c>
      <c r="X186" s="905"/>
      <c r="Y186" s="1534"/>
      <c r="Z186" s="252" t="str">
        <f t="shared" si="46"/>
        <v/>
      </c>
      <c r="AA186" s="1534"/>
      <c r="AB186" s="905"/>
      <c r="AC186" s="1973" t="str">
        <f t="shared" si="51"/>
        <v/>
      </c>
      <c r="AD186" s="905"/>
      <c r="AE186" s="1985" t="str">
        <f t="shared" si="52"/>
        <v/>
      </c>
      <c r="AF186" s="905"/>
      <c r="AG186" s="1543"/>
      <c r="AH186" s="1531"/>
      <c r="AI186" s="1534"/>
      <c r="AJ186" s="1531"/>
      <c r="AK186" s="1534"/>
      <c r="AL186" s="1531"/>
      <c r="AM186" s="1543"/>
      <c r="AN186" s="1531"/>
      <c r="AO186" s="1543"/>
      <c r="AP186" s="1531"/>
      <c r="AQ186" s="1534"/>
      <c r="AR186" s="1531"/>
      <c r="AS186" s="1534"/>
      <c r="AT186" s="1531"/>
      <c r="AU186" s="1534"/>
      <c r="AV186" s="1531"/>
      <c r="AW186" s="1534"/>
      <c r="AX186" s="1531"/>
      <c r="AY186" s="1534"/>
      <c r="AZ186" s="1531"/>
      <c r="BA186" s="1543"/>
      <c r="BB186" s="1531"/>
      <c r="BC186" s="1534"/>
      <c r="BD186" s="1531"/>
      <c r="BE186" s="1531"/>
      <c r="BF186" s="1531"/>
      <c r="BG186" s="1531"/>
      <c r="BH186" s="1531"/>
      <c r="BI186" s="1535"/>
      <c r="BJ186" s="1534"/>
      <c r="BK186" s="1535"/>
      <c r="BL186" s="1534"/>
      <c r="BM186" s="1535"/>
      <c r="BN186" s="1534"/>
      <c r="BO186" s="1535"/>
      <c r="BP186" s="1534"/>
      <c r="BQ186" s="1535"/>
      <c r="BR186" s="1534"/>
      <c r="BS186" s="1535"/>
      <c r="BT186" s="1534"/>
      <c r="BU186" s="1535"/>
      <c r="BV186" s="1534"/>
      <c r="BW186" s="1535"/>
      <c r="BX186" s="1534"/>
      <c r="BY186" s="1535"/>
      <c r="BZ186" s="1534"/>
      <c r="CA186" s="1535"/>
      <c r="CB186" s="1534"/>
      <c r="CC186" s="1535"/>
      <c r="CD186" s="1534"/>
      <c r="CE186" s="1534"/>
      <c r="CF186" s="1535"/>
      <c r="CG186" s="1534"/>
      <c r="CH186" s="1535"/>
      <c r="CI186" s="1534"/>
      <c r="CJ186" s="1535"/>
      <c r="CK186" s="1534"/>
      <c r="CL186" s="1535"/>
      <c r="CM186" s="1534"/>
      <c r="CN186" s="1535"/>
      <c r="CO186" s="1534"/>
      <c r="CP186" s="1535"/>
      <c r="CQ186" s="1534"/>
      <c r="CR186" s="1535"/>
      <c r="CS186" s="1534"/>
      <c r="CT186" s="1535"/>
      <c r="CU186" s="1535"/>
      <c r="CV186" s="1531"/>
      <c r="CW186" s="898" t="str">
        <f t="shared" si="47"/>
        <v/>
      </c>
      <c r="CX186" s="898" t="str">
        <f>IFERROR(IF(AND(S186="",S186&lt;&gt;""),1913,VLOOKUP(S186,Valid!$B$99:$J$120,9)),"")</f>
        <v/>
      </c>
      <c r="CY186" s="898" t="str">
        <f t="shared" ca="1" si="48"/>
        <v/>
      </c>
      <c r="CZ186" s="1547" t="str">
        <f t="shared" ca="1" si="53"/>
        <v/>
      </c>
      <c r="DA186" s="898"/>
      <c r="DB186" s="898" t="str">
        <f t="shared" si="49"/>
        <v/>
      </c>
      <c r="DC186" s="898" t="str">
        <f t="shared" si="50"/>
        <v/>
      </c>
      <c r="DD186" s="1539" t="str">
        <f>IFERROR(IF(AND(AM186="",C186&lt;&gt;""),Valid!$E$123,VLOOKUP(AM186,Valid!$B$123:$F$125,4,FALSE)),"")</f>
        <v/>
      </c>
      <c r="DE186" s="1539" t="str">
        <f>IFERROR(IF(AND(AM186="",C186&lt;&gt;""),Valid!$F$123,VLOOKUP(AM186,Valid!$B$123:$F$125,5,FALSE)),"")</f>
        <v/>
      </c>
      <c r="DF186" s="1539" t="str">
        <f>IFERROR(VLOOKUP('A-70 RevVehInv'!S186,Valid!$B$99:$I$120,7), "")</f>
        <v/>
      </c>
      <c r="DG186" s="1539" t="str">
        <f>IFERROR(VLOOKUP(S186,Valid!$B$99:$I$120,8), "")</f>
        <v/>
      </c>
      <c r="DH186" s="1531"/>
    </row>
    <row r="187" spans="1:112" s="930" customFormat="1" x14ac:dyDescent="0.2">
      <c r="A187" s="206">
        <v>88</v>
      </c>
      <c r="B187" s="1530">
        <v>88</v>
      </c>
      <c r="C187" s="933"/>
      <c r="D187" s="719" t="str">
        <f>IF(C185="","",IF((C187=""),"Enter RVI ID. then Fill in Columns "&amp;TEXT($I$2,0)&amp;" - "&amp;TEXT($BA$2,0)&amp;"       ",""))</f>
        <v/>
      </c>
      <c r="E187" s="1056" t="str">
        <f>IF(BH187="N/A","",BH187)</f>
        <v/>
      </c>
      <c r="F187" s="1536"/>
      <c r="G187" s="1536"/>
      <c r="H187" s="1536"/>
      <c r="I187" s="1023"/>
      <c r="J187" s="1536" t="str">
        <f>IF(E187&lt;&gt;"","Vehicles?    ","")</f>
        <v/>
      </c>
      <c r="K187" s="1023"/>
      <c r="L187" s="1536" t="str">
        <f>IF(E187&lt;&gt;"","Active Vehicles?     ","")</f>
        <v/>
      </c>
      <c r="M187" s="1023"/>
      <c r="N187" s="1536" t="str">
        <f>IF(E187&lt;&gt;"","ADA Vehicles?       ","")</f>
        <v/>
      </c>
      <c r="O187" s="1023"/>
      <c r="P187" s="1536" t="str">
        <f>IF(E187&lt;&gt;"","Cont. Vehicles?     ","")</f>
        <v/>
      </c>
      <c r="Q187" s="1024"/>
      <c r="R187" s="894"/>
      <c r="S187" s="1153"/>
      <c r="T187" s="252" t="str">
        <f>IF(E187&lt;&gt;"","Select from Pull-Down List    ","")</f>
        <v/>
      </c>
      <c r="U187" s="933"/>
      <c r="V187" s="252" t="str">
        <f>IF(E187&lt;&gt;"","Select from Pull-Down List    ","")</f>
        <v/>
      </c>
      <c r="W187" s="1766" t="str">
        <f t="shared" si="45"/>
        <v/>
      </c>
      <c r="X187" s="252"/>
      <c r="Y187" s="1988"/>
      <c r="Z187" s="252" t="str">
        <f t="shared" si="46"/>
        <v/>
      </c>
      <c r="AA187" s="139"/>
      <c r="AB187" s="252" t="str">
        <f>IF(E187&lt;&gt;"","Mfg. Yr?    ","")</f>
        <v/>
      </c>
      <c r="AC187" s="1974" t="str">
        <f t="shared" si="51"/>
        <v/>
      </c>
      <c r="AD187" s="252"/>
      <c r="AE187" s="1986" t="str">
        <f t="shared" si="52"/>
        <v/>
      </c>
      <c r="AF187" s="252"/>
      <c r="AG187" s="933"/>
      <c r="AH187" s="252" t="str">
        <f>IF(E187&lt;&gt;"","Select from Pull-Down List    ","")</f>
        <v/>
      </c>
      <c r="AI187" s="933"/>
      <c r="AJ187" s="252" t="str">
        <f>IF(E187&lt;&gt;"","Number?   ","")</f>
        <v/>
      </c>
      <c r="AK187" s="139"/>
      <c r="AL187" s="252" t="str">
        <f>IF(E187&lt;&gt;"","Last Rnwl. Yr?   ","")</f>
        <v/>
      </c>
      <c r="AM187" s="933"/>
      <c r="AN187" s="252" t="str">
        <f>IF(E187&lt;&gt;"","Select from Pull-Down List    ","")</f>
        <v/>
      </c>
      <c r="AO187" s="933"/>
      <c r="AP187" s="252" t="str">
        <f>IF(E187&lt;&gt;"","Select from Pull-Down List    ","")</f>
        <v/>
      </c>
      <c r="AQ187" s="1023"/>
      <c r="AR187" s="252" t="str">
        <f>IF(E187&lt;&gt;"","Feet?    ","")</f>
        <v/>
      </c>
      <c r="AS187" s="1023"/>
      <c r="AT187" s="252" t="str">
        <f>IF(E187&lt;&gt;"","Seats?    ","")</f>
        <v/>
      </c>
      <c r="AU187" s="1023"/>
      <c r="AV187" s="252" t="str">
        <f>IF(E187&lt;&gt;"","Standing?    ","")</f>
        <v/>
      </c>
      <c r="AW187" s="1023"/>
      <c r="AX187" s="252" t="str">
        <f>IF(E187&lt;&gt;"","Mileage?       ","")</f>
        <v/>
      </c>
      <c r="AY187" s="1023"/>
      <c r="AZ187" s="252" t="str">
        <f>IF(E187&lt;&gt;"","Avg. Lifetime Mileage? ","")</f>
        <v/>
      </c>
      <c r="BA187" s="933"/>
      <c r="BB187" s="252" t="str">
        <f>IF(E187&lt;&gt;"","Select from Pull-Down List    ","")</f>
        <v/>
      </c>
      <c r="BC187" s="171"/>
      <c r="BD187" s="252" t="str">
        <f>IF(OR(AO187="OR - Other fuel (describe in Notes)",AG187="ZZZ - Other (describe in Notes)"),"Describe                                                                                                     ","")</f>
        <v/>
      </c>
      <c r="BE187" s="894"/>
      <c r="BF187" s="894"/>
      <c r="BG187" s="894" t="b">
        <f>IF(AND(C187="",C189&lt;&gt;""),TRUE,FALSE)</f>
        <v>0</v>
      </c>
      <c r="BH187" s="888" t="str">
        <f>IF(AND(C187&lt;&gt;"",OR(I187="",K187="",M187="",O187="",S187="",U187="",AA187="",AG187="",AI187="",AO187="",AQ187="",AS187="",AU187="",AW187="",AY187="")),"No",IF(AND(C187="",OR(I187&lt;&gt;"",K187&lt;&gt;"",M187&lt;&gt;"",O187&lt;&gt;"",S187&lt;&gt;"",U187&lt;&gt;"",AA187&lt;&gt;"",AG187&lt;&gt;"",AI187&lt;&gt;"",AK187&lt;&gt;"",AM187&lt;&gt;"",AO187&lt;&gt;"",AQ187&lt;&gt;"",AS187&lt;&gt;"",AU187&lt;&gt;"",AW187&lt;&gt;"",AY187&lt;&gt;"",BA187&lt;&gt;"",BC187&lt;&gt;"")),"No",IF(AND(C187="",I187="",K187="",M187="",O187="",S187="",U187="",AA187="",AG187="",AI187="",AK187="",AM187="",AO187="",AQ187="",AS187="",AU187="",AW187="",AY187="",BA187=""),"N/A","Yes")))</f>
        <v>N/A</v>
      </c>
      <c r="BI187" s="898"/>
      <c r="BJ187" s="899" t="b">
        <f>IF(AND(OR(I187&lt;&gt;"",K187&lt;&gt;"",M187&lt;&gt;"",O187&lt;&gt;"",S187&lt;&gt;"",U187&lt;&gt;"",AA187&lt;&gt;"",AG187&lt;&gt;"",AI187&lt;&gt;"",AK187&lt;&gt;"",AM187&lt;&gt;"",AO187&lt;&gt;"",AQ187&lt;&gt;"",AS187&lt;&gt;"",AW187&lt;&gt;"",AY187&lt;&gt;"",BA187&lt;&gt;"",BC187&lt;&gt;""),C187=""),TRUE,FALSE)</f>
        <v>0</v>
      </c>
      <c r="BK187" s="898" t="b">
        <f>IF(BL187=TRUE,FALSE,IF(SUM(K187,O187)&gt;I187,TRUE,FALSE))</f>
        <v>0</v>
      </c>
      <c r="BL187" s="899" t="b">
        <f>IF(AND(C187&lt;&gt;"",I187=""),TRUE,FALSE)</f>
        <v>0</v>
      </c>
      <c r="BM187" s="898" t="b">
        <f>IF(BN187=TRUE,FALSE,IF(M187&gt;K187,TRUE,FALSE))</f>
        <v>0</v>
      </c>
      <c r="BN187" s="899" t="b">
        <f>IF(AND($C187&lt;&gt;"",K187=""),TRUE,FALSE)</f>
        <v>0</v>
      </c>
      <c r="BO187" s="898"/>
      <c r="BP187" s="899" t="b">
        <f>IF(AND($C187&lt;&gt;"",M187=""),TRUE,FALSE)</f>
        <v>0</v>
      </c>
      <c r="BQ187" s="898"/>
      <c r="BR187" s="899" t="b">
        <f>IF(AND($C187&lt;&gt;"",O187=""),TRUE,FALSE)</f>
        <v>0</v>
      </c>
      <c r="BS187" s="898" t="b">
        <f>IF(AND(S187="",OR(U187&lt;&gt;"",AA187&lt;&gt;"",AG187&lt;&gt;"",AI187&lt;&gt;"",AK187&lt;&gt;"",AM187&lt;&gt;"",AO187&lt;&gt;"",AQ187&lt;&gt;"",AS187&lt;&gt;"",AU187&lt;&gt;"",AW187&lt;&gt;"",AY187&lt;&gt;"",BA187&lt;&gt;"")),TRUE,FALSE)</f>
        <v>0</v>
      </c>
      <c r="BT187" s="899" t="b">
        <f>IF(AND($C187&lt;&gt;"",S187=""),TRUE,FALSE)</f>
        <v>0</v>
      </c>
      <c r="BU187" s="898"/>
      <c r="BV187" s="899" t="b">
        <f>IF(AND($C187&lt;&gt;"",U187=""),TRUE,FALSE)</f>
        <v>0</v>
      </c>
      <c r="BW187" s="1537" t="b">
        <f>IF(BX187=TRUE,FALSE,IF(AA187="",FALSE,IF(OR(AA187&lt;CX187,AA187&gt;BaseYear),TRUE,FALSE)))</f>
        <v>0</v>
      </c>
      <c r="BX187" s="899" t="b">
        <f>IF(AND($C187&lt;&gt;"",AA187=""),TRUE,FALSE)</f>
        <v>0</v>
      </c>
      <c r="BY187" s="898"/>
      <c r="BZ187" s="899" t="b">
        <f>IF(AND($C187&lt;&gt;"",AG187=""),TRUE,FALSE)</f>
        <v>0</v>
      </c>
      <c r="CA187" s="898"/>
      <c r="CB187" s="899" t="b">
        <f>IF(AND($C187&lt;&gt;"",AI187=""),TRUE,FALSE)</f>
        <v>0</v>
      </c>
      <c r="CC187" s="1537" t="b">
        <f>IF(AK187="",FALSE,IF(OR(AK187&lt;CX187,AK187&gt;BaseYear),TRUE,FALSE))</f>
        <v>0</v>
      </c>
      <c r="CD187" s="1538" t="b">
        <f>IF(AK187="",FALSE,IF(AK187&lt;AA187,TRUE,FALSE))</f>
        <v>0</v>
      </c>
      <c r="CE187" s="899" t="b">
        <f>IF(AND($AM187&lt;&gt;"",AK187=""),TRUE,FALSE)</f>
        <v>0</v>
      </c>
      <c r="CF187" s="898"/>
      <c r="CG187" s="898" t="b">
        <f>IF(AND($AK187&lt;&gt;"",AM187=""),TRUE,FALSE)</f>
        <v>0</v>
      </c>
      <c r="CH187" s="898"/>
      <c r="CI187" s="899" t="b">
        <f>IF(AND($C187&lt;&gt;"",AO187=""),TRUE,FALSE)</f>
        <v>0</v>
      </c>
      <c r="CJ187" s="1537"/>
      <c r="CK187" s="899" t="b">
        <f>IF(AND($C187&lt;&gt;"",AQ187=""),TRUE,FALSE)</f>
        <v>0</v>
      </c>
      <c r="CL187" s="898"/>
      <c r="CM187" s="899" t="b">
        <f>IF(AND($C187&lt;&gt;"",AS187=""),TRUE,FALSE)</f>
        <v>0</v>
      </c>
      <c r="CN187" s="898"/>
      <c r="CO187" s="899" t="b">
        <f>IF(AND($C187&lt;&gt;"",AU187=""),TRUE,FALSE)</f>
        <v>0</v>
      </c>
      <c r="CP187" s="898"/>
      <c r="CQ187" s="899" t="b">
        <f>IF(AND($C187&lt;&gt;"",AW187=""),TRUE,FALSE)</f>
        <v>0</v>
      </c>
      <c r="CR187" s="898"/>
      <c r="CS187" s="899" t="b">
        <f>IF(AND($C187&lt;&gt;"",AY187=""),TRUE,FALSE)</f>
        <v>0</v>
      </c>
      <c r="CT187" s="898"/>
      <c r="CU187" s="898" t="b">
        <f>IF(AND($C187&lt;&gt;"",BA187=""),TRUE,FALSE)</f>
        <v>0</v>
      </c>
      <c r="CV187" s="894"/>
      <c r="CW187" s="898" t="str">
        <f t="shared" si="47"/>
        <v/>
      </c>
      <c r="CX187" s="898" t="str">
        <f>IFERROR(IF(AND(S187="",S187&lt;&gt;""),1913,VLOOKUP(S187,Valid!$B$99:$J$120,9)),"")</f>
        <v/>
      </c>
      <c r="CY187" s="898" t="str">
        <f t="shared" ca="1" si="48"/>
        <v/>
      </c>
      <c r="CZ187" s="1547" t="str">
        <f t="shared" ca="1" si="53"/>
        <v/>
      </c>
      <c r="DA187" s="898" t="str">
        <f ca="1">IF(CZ187="", "", IF(1+(CZ187*4)&lt;1, 1, 1+(CZ187*4)))</f>
        <v/>
      </c>
      <c r="DB187" s="898" t="str">
        <f t="shared" si="49"/>
        <v/>
      </c>
      <c r="DC187" s="898" t="str">
        <f t="shared" si="50"/>
        <v/>
      </c>
      <c r="DD187" s="1539" t="str">
        <f>IFERROR(IF(AND(AM187="",C187&lt;&gt;""),Valid!$E$123,VLOOKUP(AM187,Valid!$B$123:$F$125,4,FALSE)),"")</f>
        <v/>
      </c>
      <c r="DE187" s="1539" t="str">
        <f>IFERROR(IF(AND(AM187="",C187&lt;&gt;""),Valid!$F$123,VLOOKUP(AM187,Valid!$B$123:$F$125,5,FALSE)),"")</f>
        <v/>
      </c>
      <c r="DF187" s="1539" t="str">
        <f>IFERROR(VLOOKUP('A-70 RevVehInv'!S187,Valid!$B$99:$I$120,7), "")</f>
        <v/>
      </c>
      <c r="DG187" s="1539" t="str">
        <f>IFERROR(VLOOKUP(S187,Valid!$B$99:$I$120,8), "")</f>
        <v/>
      </c>
      <c r="DH187" s="894"/>
    </row>
    <row r="188" spans="1:112" ht="6.75" customHeight="1" x14ac:dyDescent="0.2">
      <c r="A188" s="1517"/>
      <c r="B188" s="1530">
        <v>88.5</v>
      </c>
      <c r="C188" s="1544"/>
      <c r="D188" s="905"/>
      <c r="E188" s="1545"/>
      <c r="F188" s="905"/>
      <c r="G188" s="905"/>
      <c r="H188" s="905"/>
      <c r="I188" s="1531"/>
      <c r="J188" s="905"/>
      <c r="K188" s="1531"/>
      <c r="L188" s="905"/>
      <c r="M188" s="1531"/>
      <c r="N188" s="905"/>
      <c r="O188" s="1531"/>
      <c r="P188" s="905"/>
      <c r="Q188" s="1531"/>
      <c r="R188" s="1531"/>
      <c r="S188" s="1533"/>
      <c r="T188" s="905"/>
      <c r="U188" s="1533"/>
      <c r="V188" s="905"/>
      <c r="W188" s="1531" t="str">
        <f t="shared" si="45"/>
        <v/>
      </c>
      <c r="X188" s="905"/>
      <c r="Y188" s="1531"/>
      <c r="Z188" s="252" t="str">
        <f t="shared" si="46"/>
        <v/>
      </c>
      <c r="AA188" s="1531"/>
      <c r="AB188" s="905"/>
      <c r="AC188" s="1971" t="str">
        <f t="shared" si="51"/>
        <v/>
      </c>
      <c r="AD188" s="905"/>
      <c r="AE188" s="1983" t="str">
        <f t="shared" si="52"/>
        <v/>
      </c>
      <c r="AF188" s="905"/>
      <c r="AG188" s="1546"/>
      <c r="AH188" s="1531"/>
      <c r="AI188" s="1531"/>
      <c r="AJ188" s="1531"/>
      <c r="AK188" s="1531"/>
      <c r="AL188" s="1531"/>
      <c r="AM188" s="1546"/>
      <c r="AN188" s="1531"/>
      <c r="AO188" s="1546"/>
      <c r="AP188" s="1531"/>
      <c r="AQ188" s="1531"/>
      <c r="AR188" s="1531"/>
      <c r="AS188" s="1531"/>
      <c r="AT188" s="1531"/>
      <c r="AU188" s="1531"/>
      <c r="AV188" s="1531"/>
      <c r="AW188" s="1531"/>
      <c r="AX188" s="1531"/>
      <c r="AY188" s="1531"/>
      <c r="AZ188" s="1531"/>
      <c r="BA188" s="1546"/>
      <c r="BB188" s="1531"/>
      <c r="BC188" s="1531"/>
      <c r="BD188" s="1531"/>
      <c r="BE188" s="1531"/>
      <c r="BF188" s="1531"/>
      <c r="BG188" s="1531"/>
      <c r="BH188" s="1531"/>
      <c r="BI188" s="1535"/>
      <c r="BJ188" s="1534"/>
      <c r="BK188" s="1535"/>
      <c r="BL188" s="1534"/>
      <c r="BM188" s="1535"/>
      <c r="BN188" s="1534"/>
      <c r="BO188" s="1535"/>
      <c r="BP188" s="1534"/>
      <c r="BQ188" s="1535"/>
      <c r="BR188" s="1534"/>
      <c r="BS188" s="1535"/>
      <c r="BT188" s="1534"/>
      <c r="BU188" s="1535"/>
      <c r="BV188" s="1534"/>
      <c r="BW188" s="1535"/>
      <c r="BX188" s="1534"/>
      <c r="BY188" s="1535"/>
      <c r="BZ188" s="1534"/>
      <c r="CA188" s="1535"/>
      <c r="CB188" s="1534"/>
      <c r="CC188" s="1535"/>
      <c r="CD188" s="1534"/>
      <c r="CE188" s="1534"/>
      <c r="CF188" s="1535"/>
      <c r="CG188" s="1534"/>
      <c r="CH188" s="1535"/>
      <c r="CI188" s="1534"/>
      <c r="CJ188" s="1535"/>
      <c r="CK188" s="1534"/>
      <c r="CL188" s="1535"/>
      <c r="CM188" s="1534"/>
      <c r="CN188" s="1535"/>
      <c r="CO188" s="1534"/>
      <c r="CP188" s="1535"/>
      <c r="CQ188" s="1534"/>
      <c r="CR188" s="1535"/>
      <c r="CS188" s="1534"/>
      <c r="CT188" s="1535"/>
      <c r="CU188" s="1535"/>
      <c r="CV188" s="1531"/>
      <c r="CW188" s="898" t="str">
        <f t="shared" si="47"/>
        <v/>
      </c>
      <c r="CX188" s="898" t="str">
        <f>IFERROR(IF(AND(S188="",S188&lt;&gt;""),1913,VLOOKUP(S188,Valid!$B$99:$J$120,9)),"")</f>
        <v/>
      </c>
      <c r="CY188" s="898" t="str">
        <f t="shared" ca="1" si="48"/>
        <v/>
      </c>
      <c r="CZ188" s="1547" t="str">
        <f t="shared" ca="1" si="53"/>
        <v/>
      </c>
      <c r="DA188" s="898"/>
      <c r="DB188" s="898" t="str">
        <f t="shared" si="49"/>
        <v/>
      </c>
      <c r="DC188" s="898" t="str">
        <f t="shared" si="50"/>
        <v/>
      </c>
      <c r="DD188" s="1539" t="str">
        <f>IFERROR(IF(AND(AM188="",C188&lt;&gt;""),Valid!$E$123,VLOOKUP(AM188,Valid!$B$123:$F$125,4,FALSE)),"")</f>
        <v/>
      </c>
      <c r="DE188" s="1539" t="str">
        <f>IFERROR(IF(AND(AM188="",C188&lt;&gt;""),Valid!$F$123,VLOOKUP(AM188,Valid!$B$123:$F$125,5,FALSE)),"")</f>
        <v/>
      </c>
      <c r="DF188" s="1539" t="str">
        <f>IFERROR(VLOOKUP('A-70 RevVehInv'!S188,Valid!$B$99:$I$120,7), "")</f>
        <v/>
      </c>
      <c r="DG188" s="1539" t="str">
        <f>IFERROR(VLOOKUP(S188,Valid!$B$99:$I$120,8), "")</f>
        <v/>
      </c>
      <c r="DH188" s="1531"/>
    </row>
    <row r="189" spans="1:112" s="930" customFormat="1" x14ac:dyDescent="0.2">
      <c r="A189" s="206">
        <v>89</v>
      </c>
      <c r="B189" s="1530">
        <v>89</v>
      </c>
      <c r="C189" s="933"/>
      <c r="D189" s="719" t="str">
        <f>IF(C187="","",IF((C189=""),"Enter RVI ID. then Fill in Columns "&amp;TEXT($I$2,0)&amp;" - "&amp;TEXT($BA$2,0)&amp;"       ",""))</f>
        <v/>
      </c>
      <c r="E189" s="1056" t="str">
        <f>IF(BH189="N/A","",BH189)</f>
        <v/>
      </c>
      <c r="F189" s="1536"/>
      <c r="G189" s="1536"/>
      <c r="H189" s="1536"/>
      <c r="I189" s="1023"/>
      <c r="J189" s="1536" t="str">
        <f>IF(E189&lt;&gt;"","Vehicles?    ","")</f>
        <v/>
      </c>
      <c r="K189" s="1023"/>
      <c r="L189" s="1536" t="str">
        <f>IF(E189&lt;&gt;"","Active Vehicles?     ","")</f>
        <v/>
      </c>
      <c r="M189" s="1023"/>
      <c r="N189" s="1536" t="str">
        <f>IF(E189&lt;&gt;"","ADA Vehicles?       ","")</f>
        <v/>
      </c>
      <c r="O189" s="1023"/>
      <c r="P189" s="1536" t="str">
        <f>IF(E189&lt;&gt;"","Cont. Vehicles?     ","")</f>
        <v/>
      </c>
      <c r="Q189" s="1024"/>
      <c r="R189" s="894"/>
      <c r="S189" s="1153"/>
      <c r="T189" s="252" t="str">
        <f>IF(E189&lt;&gt;"","Select from Pull-Down List    ","")</f>
        <v/>
      </c>
      <c r="U189" s="933"/>
      <c r="V189" s="252" t="str">
        <f>IF(E189&lt;&gt;"","Select from Pull-Down List    ","")</f>
        <v/>
      </c>
      <c r="W189" s="1766" t="str">
        <f t="shared" si="45"/>
        <v/>
      </c>
      <c r="X189" s="252"/>
      <c r="Y189" s="1988"/>
      <c r="Z189" s="252" t="str">
        <f t="shared" si="46"/>
        <v/>
      </c>
      <c r="AA189" s="139"/>
      <c r="AB189" s="252" t="str">
        <f>IF(E189&lt;&gt;"","Mfg. Yr?    ","")</f>
        <v/>
      </c>
      <c r="AC189" s="1974" t="str">
        <f t="shared" si="51"/>
        <v/>
      </c>
      <c r="AD189" s="252"/>
      <c r="AE189" s="1986" t="str">
        <f t="shared" si="52"/>
        <v/>
      </c>
      <c r="AF189" s="252"/>
      <c r="AG189" s="933"/>
      <c r="AH189" s="252" t="str">
        <f>IF(E189&lt;&gt;"","Select from Pull-Down List    ","")</f>
        <v/>
      </c>
      <c r="AI189" s="933"/>
      <c r="AJ189" s="252" t="str">
        <f>IF(E189&lt;&gt;"","Number?   ","")</f>
        <v/>
      </c>
      <c r="AK189" s="139"/>
      <c r="AL189" s="252" t="str">
        <f>IF(E189&lt;&gt;"","Last Rnwl. Yr?   ","")</f>
        <v/>
      </c>
      <c r="AM189" s="933"/>
      <c r="AN189" s="252" t="str">
        <f>IF(E189&lt;&gt;"","Select from Pull-Down List    ","")</f>
        <v/>
      </c>
      <c r="AO189" s="933"/>
      <c r="AP189" s="252" t="str">
        <f>IF(E189&lt;&gt;"","Select from Pull-Down List    ","")</f>
        <v/>
      </c>
      <c r="AQ189" s="1023"/>
      <c r="AR189" s="252" t="str">
        <f>IF(E189&lt;&gt;"","Feet?    ","")</f>
        <v/>
      </c>
      <c r="AS189" s="1023"/>
      <c r="AT189" s="252" t="str">
        <f>IF(E189&lt;&gt;"","Seats?    ","")</f>
        <v/>
      </c>
      <c r="AU189" s="1023"/>
      <c r="AV189" s="252" t="str">
        <f>IF(E189&lt;&gt;"","Standing?    ","")</f>
        <v/>
      </c>
      <c r="AW189" s="1023"/>
      <c r="AX189" s="252" t="str">
        <f>IF(E189&lt;&gt;"","Mileage?       ","")</f>
        <v/>
      </c>
      <c r="AY189" s="1023"/>
      <c r="AZ189" s="252" t="str">
        <f>IF(E189&lt;&gt;"","Avg. Lifetime Mileage? ","")</f>
        <v/>
      </c>
      <c r="BA189" s="933"/>
      <c r="BB189" s="252" t="str">
        <f>IF(E189&lt;&gt;"","Select from Pull-Down List    ","")</f>
        <v/>
      </c>
      <c r="BC189" s="171"/>
      <c r="BD189" s="252" t="str">
        <f>IF(OR(AO189="OR - Other fuel (describe in Notes)",AG189="ZZZ - Other (describe in Notes)"),"Describe                                                                                                     ","")</f>
        <v/>
      </c>
      <c r="BE189" s="894"/>
      <c r="BF189" s="894"/>
      <c r="BG189" s="894" t="b">
        <f>IF(AND(C189="",C191&lt;&gt;""),TRUE,FALSE)</f>
        <v>0</v>
      </c>
      <c r="BH189" s="888" t="str">
        <f>IF(AND(C189&lt;&gt;"",OR(I189="",K189="",M189="",O189="",S189="",U189="",AA189="",AG189="",AI189="",AO189="",AQ189="",AS189="",AU189="",AW189="",AY189="")),"No",IF(AND(C189="",OR(I189&lt;&gt;"",K189&lt;&gt;"",M189&lt;&gt;"",O189&lt;&gt;"",S189&lt;&gt;"",U189&lt;&gt;"",AA189&lt;&gt;"",AG189&lt;&gt;"",AI189&lt;&gt;"",AK189&lt;&gt;"",AM189&lt;&gt;"",AO189&lt;&gt;"",AQ189&lt;&gt;"",AS189&lt;&gt;"",AU189&lt;&gt;"",AW189&lt;&gt;"",AY189&lt;&gt;"",BA189&lt;&gt;"",BC189&lt;&gt;"")),"No",IF(AND(C189="",I189="",K189="",M189="",O189="",S189="",U189="",AA189="",AG189="",AI189="",AK189="",AM189="",AO189="",AQ189="",AS189="",AU189="",AW189="",AY189="",BA189=""),"N/A","Yes")))</f>
        <v>N/A</v>
      </c>
      <c r="BI189" s="898"/>
      <c r="BJ189" s="899" t="b">
        <f>IF(AND(OR(I189&lt;&gt;"",K189&lt;&gt;"",M189&lt;&gt;"",O189&lt;&gt;"",S189&lt;&gt;"",U189&lt;&gt;"",AA189&lt;&gt;"",AG189&lt;&gt;"",AI189&lt;&gt;"",AK189&lt;&gt;"",AM189&lt;&gt;"",AO189&lt;&gt;"",AQ189&lt;&gt;"",AS189&lt;&gt;"",AW189&lt;&gt;"",AY189&lt;&gt;"",BA189&lt;&gt;"",BC189&lt;&gt;""),C189=""),TRUE,FALSE)</f>
        <v>0</v>
      </c>
      <c r="BK189" s="898" t="b">
        <f>IF(BL189=TRUE,FALSE,IF(SUM(K189,O189)&gt;I189,TRUE,FALSE))</f>
        <v>0</v>
      </c>
      <c r="BL189" s="899" t="b">
        <f>IF(AND(C189&lt;&gt;"",I189=""),TRUE,FALSE)</f>
        <v>0</v>
      </c>
      <c r="BM189" s="898" t="b">
        <f>IF(BN189=TRUE,FALSE,IF(M189&gt;K189,TRUE,FALSE))</f>
        <v>0</v>
      </c>
      <c r="BN189" s="899" t="b">
        <f>IF(AND($C189&lt;&gt;"",K189=""),TRUE,FALSE)</f>
        <v>0</v>
      </c>
      <c r="BO189" s="898"/>
      <c r="BP189" s="899" t="b">
        <f>IF(AND($C189&lt;&gt;"",M189=""),TRUE,FALSE)</f>
        <v>0</v>
      </c>
      <c r="BQ189" s="898"/>
      <c r="BR189" s="899" t="b">
        <f>IF(AND($C189&lt;&gt;"",O189=""),TRUE,FALSE)</f>
        <v>0</v>
      </c>
      <c r="BS189" s="898" t="b">
        <f>IF(AND(S189="",OR(U189&lt;&gt;"",AA189&lt;&gt;"",AG189&lt;&gt;"",AI189&lt;&gt;"",AK189&lt;&gt;"",AM189&lt;&gt;"",AO189&lt;&gt;"",AQ189&lt;&gt;"",AS189&lt;&gt;"",AU189&lt;&gt;"",AW189&lt;&gt;"",AY189&lt;&gt;"",BA189&lt;&gt;"")),TRUE,FALSE)</f>
        <v>0</v>
      </c>
      <c r="BT189" s="899" t="b">
        <f>IF(AND($C189&lt;&gt;"",S189=""),TRUE,FALSE)</f>
        <v>0</v>
      </c>
      <c r="BU189" s="898"/>
      <c r="BV189" s="899" t="b">
        <f>IF(AND($C189&lt;&gt;"",U189=""),TRUE,FALSE)</f>
        <v>0</v>
      </c>
      <c r="BW189" s="1537" t="b">
        <f>IF(BX189=TRUE,FALSE,IF(AA189="",FALSE,IF(OR(AA189&lt;CX189,AA189&gt;BaseYear),TRUE,FALSE)))</f>
        <v>0</v>
      </c>
      <c r="BX189" s="899" t="b">
        <f>IF(AND($C189&lt;&gt;"",AA189=""),TRUE,FALSE)</f>
        <v>0</v>
      </c>
      <c r="BY189" s="898"/>
      <c r="BZ189" s="899" t="b">
        <f>IF(AND($C189&lt;&gt;"",AG189=""),TRUE,FALSE)</f>
        <v>0</v>
      </c>
      <c r="CA189" s="898"/>
      <c r="CB189" s="899" t="b">
        <f>IF(AND($C189&lt;&gt;"",AI189=""),TRUE,FALSE)</f>
        <v>0</v>
      </c>
      <c r="CC189" s="1537" t="b">
        <f>IF(AK189="",FALSE,IF(OR(AK189&lt;CX189,AK189&gt;BaseYear),TRUE,FALSE))</f>
        <v>0</v>
      </c>
      <c r="CD189" s="1538" t="b">
        <f>IF(AK189="",FALSE,IF(AK189&lt;AA189,TRUE,FALSE))</f>
        <v>0</v>
      </c>
      <c r="CE189" s="899" t="b">
        <f>IF(AND($AM189&lt;&gt;"",AK189=""),TRUE,FALSE)</f>
        <v>0</v>
      </c>
      <c r="CF189" s="898"/>
      <c r="CG189" s="898" t="b">
        <f>IF(AND($AK189&lt;&gt;"",AM189=""),TRUE,FALSE)</f>
        <v>0</v>
      </c>
      <c r="CH189" s="898"/>
      <c r="CI189" s="899" t="b">
        <f>IF(AND($C189&lt;&gt;"",AO189=""),TRUE,FALSE)</f>
        <v>0</v>
      </c>
      <c r="CJ189" s="1537"/>
      <c r="CK189" s="899" t="b">
        <f>IF(AND($C189&lt;&gt;"",AQ189=""),TRUE,FALSE)</f>
        <v>0</v>
      </c>
      <c r="CL189" s="898"/>
      <c r="CM189" s="899" t="b">
        <f>IF(AND($C189&lt;&gt;"",AS189=""),TRUE,FALSE)</f>
        <v>0</v>
      </c>
      <c r="CN189" s="898"/>
      <c r="CO189" s="899" t="b">
        <f>IF(AND($C189&lt;&gt;"",AU189=""),TRUE,FALSE)</f>
        <v>0</v>
      </c>
      <c r="CP189" s="898"/>
      <c r="CQ189" s="899" t="b">
        <f>IF(AND($C189&lt;&gt;"",AW189=""),TRUE,FALSE)</f>
        <v>0</v>
      </c>
      <c r="CR189" s="898"/>
      <c r="CS189" s="899" t="b">
        <f>IF(AND($C189&lt;&gt;"",AY189=""),TRUE,FALSE)</f>
        <v>0</v>
      </c>
      <c r="CT189" s="898"/>
      <c r="CU189" s="898" t="b">
        <f>IF(AND($C189&lt;&gt;"",BA189=""),TRUE,FALSE)</f>
        <v>0</v>
      </c>
      <c r="CV189" s="894"/>
      <c r="CW189" s="898" t="str">
        <f t="shared" si="47"/>
        <v/>
      </c>
      <c r="CX189" s="898" t="str">
        <f>IFERROR(IF(AND(S189="",S189&lt;&gt;""),1913,VLOOKUP(S189,Valid!$B$99:$J$120,9)),"")</f>
        <v/>
      </c>
      <c r="CY189" s="898" t="str">
        <f t="shared" ca="1" si="48"/>
        <v/>
      </c>
      <c r="CZ189" s="1547" t="str">
        <f t="shared" ca="1" si="53"/>
        <v/>
      </c>
      <c r="DA189" s="898" t="str">
        <f ca="1">IF(CZ189="", "", IF(1+(CZ189*4)&lt;1, 1, 1+(CZ189*4)))</f>
        <v/>
      </c>
      <c r="DB189" s="898" t="str">
        <f t="shared" si="49"/>
        <v/>
      </c>
      <c r="DC189" s="898" t="str">
        <f t="shared" si="50"/>
        <v/>
      </c>
      <c r="DD189" s="1539" t="str">
        <f>IFERROR(IF(AND(AM189="",C189&lt;&gt;""),Valid!$E$123,VLOOKUP(AM189,Valid!$B$123:$F$125,4,FALSE)),"")</f>
        <v/>
      </c>
      <c r="DE189" s="1539" t="str">
        <f>IFERROR(IF(AND(AM189="",C189&lt;&gt;""),Valid!$F$123,VLOOKUP(AM189,Valid!$B$123:$F$125,5,FALSE)),"")</f>
        <v/>
      </c>
      <c r="DF189" s="1539" t="str">
        <f>IFERROR(VLOOKUP('A-70 RevVehInv'!S189,Valid!$B$99:$I$120,7), "")</f>
        <v/>
      </c>
      <c r="DG189" s="1539" t="str">
        <f>IFERROR(VLOOKUP(S189,Valid!$B$99:$I$120,8), "")</f>
        <v/>
      </c>
      <c r="DH189" s="894"/>
    </row>
    <row r="190" spans="1:112" ht="6.75" customHeight="1" x14ac:dyDescent="0.2">
      <c r="A190" s="1517"/>
      <c r="B190" s="1530">
        <v>89.5</v>
      </c>
      <c r="C190" s="1540"/>
      <c r="D190" s="905"/>
      <c r="E190" s="1541"/>
      <c r="F190" s="905"/>
      <c r="G190" s="905"/>
      <c r="H190" s="905"/>
      <c r="I190" s="1534"/>
      <c r="J190" s="905"/>
      <c r="K190" s="1534"/>
      <c r="L190" s="905"/>
      <c r="M190" s="1534"/>
      <c r="N190" s="905"/>
      <c r="O190" s="1534"/>
      <c r="P190" s="905"/>
      <c r="Q190" s="1534"/>
      <c r="R190" s="1531"/>
      <c r="S190" s="1542"/>
      <c r="T190" s="905"/>
      <c r="U190" s="1542"/>
      <c r="V190" s="905"/>
      <c r="W190" s="1534" t="str">
        <f t="shared" si="45"/>
        <v/>
      </c>
      <c r="X190" s="905"/>
      <c r="Y190" s="1534"/>
      <c r="Z190" s="252" t="str">
        <f t="shared" si="46"/>
        <v/>
      </c>
      <c r="AA190" s="1534"/>
      <c r="AB190" s="905"/>
      <c r="AC190" s="1973" t="str">
        <f t="shared" si="51"/>
        <v/>
      </c>
      <c r="AD190" s="905"/>
      <c r="AE190" s="1985" t="str">
        <f t="shared" si="52"/>
        <v/>
      </c>
      <c r="AF190" s="905"/>
      <c r="AG190" s="1543"/>
      <c r="AH190" s="1531"/>
      <c r="AI190" s="1534"/>
      <c r="AJ190" s="1531"/>
      <c r="AK190" s="1534"/>
      <c r="AL190" s="1531"/>
      <c r="AM190" s="1543"/>
      <c r="AN190" s="1531"/>
      <c r="AO190" s="1543"/>
      <c r="AP190" s="1531"/>
      <c r="AQ190" s="1534"/>
      <c r="AR190" s="1531"/>
      <c r="AS190" s="1534"/>
      <c r="AT190" s="1531"/>
      <c r="AU190" s="1534"/>
      <c r="AV190" s="1531"/>
      <c r="AW190" s="1534"/>
      <c r="AX190" s="1531"/>
      <c r="AY190" s="1534"/>
      <c r="AZ190" s="1531"/>
      <c r="BA190" s="1543"/>
      <c r="BB190" s="1531"/>
      <c r="BC190" s="1534"/>
      <c r="BD190" s="1531"/>
      <c r="BE190" s="1531"/>
      <c r="BF190" s="1531"/>
      <c r="BG190" s="1531"/>
      <c r="BH190" s="1531"/>
      <c r="BI190" s="1535"/>
      <c r="BJ190" s="1534"/>
      <c r="BK190" s="1535"/>
      <c r="BL190" s="1534"/>
      <c r="BM190" s="1535"/>
      <c r="BN190" s="1534"/>
      <c r="BO190" s="1535"/>
      <c r="BP190" s="1534"/>
      <c r="BQ190" s="1535"/>
      <c r="BR190" s="1534"/>
      <c r="BS190" s="1535"/>
      <c r="BT190" s="1534"/>
      <c r="BU190" s="1535"/>
      <c r="BV190" s="1534"/>
      <c r="BW190" s="1535"/>
      <c r="BX190" s="1534"/>
      <c r="BY190" s="1535"/>
      <c r="BZ190" s="1534"/>
      <c r="CA190" s="1535"/>
      <c r="CB190" s="1534"/>
      <c r="CC190" s="1535"/>
      <c r="CD190" s="1534"/>
      <c r="CE190" s="1534"/>
      <c r="CF190" s="1535"/>
      <c r="CG190" s="1534"/>
      <c r="CH190" s="1535"/>
      <c r="CI190" s="1534"/>
      <c r="CJ190" s="1535"/>
      <c r="CK190" s="1534"/>
      <c r="CL190" s="1535"/>
      <c r="CM190" s="1534"/>
      <c r="CN190" s="1535"/>
      <c r="CO190" s="1534"/>
      <c r="CP190" s="1535"/>
      <c r="CQ190" s="1534"/>
      <c r="CR190" s="1535"/>
      <c r="CS190" s="1534"/>
      <c r="CT190" s="1535"/>
      <c r="CU190" s="1535"/>
      <c r="CV190" s="1531"/>
      <c r="CW190" s="898" t="str">
        <f t="shared" si="47"/>
        <v/>
      </c>
      <c r="CX190" s="898" t="str">
        <f>IFERROR(IF(AND(S190="",S190&lt;&gt;""),1913,VLOOKUP(S190,Valid!$B$99:$J$120,9)),"")</f>
        <v/>
      </c>
      <c r="CY190" s="898" t="str">
        <f t="shared" ca="1" si="48"/>
        <v/>
      </c>
      <c r="CZ190" s="1547" t="str">
        <f t="shared" ca="1" si="53"/>
        <v/>
      </c>
      <c r="DA190" s="898"/>
      <c r="DB190" s="898" t="str">
        <f t="shared" si="49"/>
        <v/>
      </c>
      <c r="DC190" s="898" t="str">
        <f t="shared" si="50"/>
        <v/>
      </c>
      <c r="DD190" s="1539" t="str">
        <f>IFERROR(IF(AND(AM190="",C190&lt;&gt;""),Valid!$E$123,VLOOKUP(AM190,Valid!$B$123:$F$125,4,FALSE)),"")</f>
        <v/>
      </c>
      <c r="DE190" s="1539" t="str">
        <f>IFERROR(IF(AND(AM190="",C190&lt;&gt;""),Valid!$F$123,VLOOKUP(AM190,Valid!$B$123:$F$125,5,FALSE)),"")</f>
        <v/>
      </c>
      <c r="DF190" s="1539" t="str">
        <f>IFERROR(VLOOKUP('A-70 RevVehInv'!S190,Valid!$B$99:$I$120,7), "")</f>
        <v/>
      </c>
      <c r="DG190" s="1539" t="str">
        <f>IFERROR(VLOOKUP(S190,Valid!$B$99:$I$120,8), "")</f>
        <v/>
      </c>
      <c r="DH190" s="1531"/>
    </row>
    <row r="191" spans="1:112" s="930" customFormat="1" x14ac:dyDescent="0.2">
      <c r="A191" s="206">
        <v>90</v>
      </c>
      <c r="B191" s="1530">
        <v>90</v>
      </c>
      <c r="C191" s="933"/>
      <c r="D191" s="719" t="str">
        <f>IF(C189="","",IF((C191=""),"Enter RVI ID. then Fill in Columns "&amp;TEXT($I$2,0)&amp;" - "&amp;TEXT($BA$2,0)&amp;"       ",""))</f>
        <v/>
      </c>
      <c r="E191" s="1056" t="str">
        <f>IF(BH191="N/A","",BH191)</f>
        <v/>
      </c>
      <c r="F191" s="1536"/>
      <c r="G191" s="1536"/>
      <c r="H191" s="1536"/>
      <c r="I191" s="1023"/>
      <c r="J191" s="1536" t="str">
        <f>IF(E191&lt;&gt;"","Vehicles?    ","")</f>
        <v/>
      </c>
      <c r="K191" s="1023"/>
      <c r="L191" s="1536" t="str">
        <f>IF(E191&lt;&gt;"","Active Vehicles?     ","")</f>
        <v/>
      </c>
      <c r="M191" s="1023"/>
      <c r="N191" s="1536" t="str">
        <f>IF(E191&lt;&gt;"","ADA Vehicles?       ","")</f>
        <v/>
      </c>
      <c r="O191" s="1023"/>
      <c r="P191" s="1536" t="str">
        <f>IF(E191&lt;&gt;"","Cont. Vehicles?     ","")</f>
        <v/>
      </c>
      <c r="Q191" s="1024"/>
      <c r="R191" s="894"/>
      <c r="S191" s="1153"/>
      <c r="T191" s="252" t="str">
        <f>IF(E191&lt;&gt;"","Select from Pull-Down List    ","")</f>
        <v/>
      </c>
      <c r="U191" s="933"/>
      <c r="V191" s="252" t="str">
        <f>IF(E191&lt;&gt;"","Select from Pull-Down List    ","")</f>
        <v/>
      </c>
      <c r="W191" s="1766" t="str">
        <f t="shared" si="45"/>
        <v/>
      </c>
      <c r="X191" s="252"/>
      <c r="Y191" s="1988"/>
      <c r="Z191" s="252" t="str">
        <f t="shared" si="46"/>
        <v/>
      </c>
      <c r="AA191" s="139"/>
      <c r="AB191" s="252" t="str">
        <f>IF(E191&lt;&gt;"","Mfg. Yr?    ","")</f>
        <v/>
      </c>
      <c r="AC191" s="1974" t="str">
        <f t="shared" si="51"/>
        <v/>
      </c>
      <c r="AD191" s="252"/>
      <c r="AE191" s="1986" t="str">
        <f t="shared" si="52"/>
        <v/>
      </c>
      <c r="AF191" s="252"/>
      <c r="AG191" s="933"/>
      <c r="AH191" s="252" t="str">
        <f>IF(E191&lt;&gt;"","Select from Pull-Down List    ","")</f>
        <v/>
      </c>
      <c r="AI191" s="933"/>
      <c r="AJ191" s="252" t="str">
        <f>IF(E191&lt;&gt;"","Number?   ","")</f>
        <v/>
      </c>
      <c r="AK191" s="139"/>
      <c r="AL191" s="252" t="str">
        <f>IF(E191&lt;&gt;"","Last Rnwl. Yr?   ","")</f>
        <v/>
      </c>
      <c r="AM191" s="933"/>
      <c r="AN191" s="252" t="str">
        <f>IF(E191&lt;&gt;"","Select from Pull-Down List    ","")</f>
        <v/>
      </c>
      <c r="AO191" s="933"/>
      <c r="AP191" s="252" t="str">
        <f>IF(E191&lt;&gt;"","Select from Pull-Down List    ","")</f>
        <v/>
      </c>
      <c r="AQ191" s="1023"/>
      <c r="AR191" s="252" t="str">
        <f>IF(E191&lt;&gt;"","Feet?    ","")</f>
        <v/>
      </c>
      <c r="AS191" s="1023"/>
      <c r="AT191" s="252" t="str">
        <f>IF(E191&lt;&gt;"","Seats?    ","")</f>
        <v/>
      </c>
      <c r="AU191" s="1023"/>
      <c r="AV191" s="252" t="str">
        <f>IF(E191&lt;&gt;"","Standing?    ","")</f>
        <v/>
      </c>
      <c r="AW191" s="1023"/>
      <c r="AX191" s="252" t="str">
        <f>IF(E191&lt;&gt;"","Mileage?       ","")</f>
        <v/>
      </c>
      <c r="AY191" s="1023"/>
      <c r="AZ191" s="252" t="str">
        <f>IF(E191&lt;&gt;"","Avg. Lifetime Mileage? ","")</f>
        <v/>
      </c>
      <c r="BA191" s="933"/>
      <c r="BB191" s="252" t="str">
        <f>IF(E191&lt;&gt;"","Select from Pull-Down List    ","")</f>
        <v/>
      </c>
      <c r="BC191" s="171"/>
      <c r="BD191" s="252" t="str">
        <f>IF(OR(AO191="OR - Other fuel (describe in Notes)",AG191="ZZZ - Other (describe in Notes)"),"Describe                                                                                                     ","")</f>
        <v/>
      </c>
      <c r="BE191" s="894"/>
      <c r="BF191" s="894"/>
      <c r="BG191" s="894" t="b">
        <f>IF(AND(C191="",C193&lt;&gt;""),TRUE,FALSE)</f>
        <v>0</v>
      </c>
      <c r="BH191" s="888" t="str">
        <f>IF(AND(C191&lt;&gt;"",OR(I191="",K191="",M191="",O191="",S191="",U191="",AA191="",AG191="",AI191="",AO191="",AQ191="",AS191="",AU191="",AW191="",AY191="")),"No",IF(AND(C191="",OR(I191&lt;&gt;"",K191&lt;&gt;"",M191&lt;&gt;"",O191&lt;&gt;"",S191&lt;&gt;"",U191&lt;&gt;"",AA191&lt;&gt;"",AG191&lt;&gt;"",AI191&lt;&gt;"",AK191&lt;&gt;"",AM191&lt;&gt;"",AO191&lt;&gt;"",AQ191&lt;&gt;"",AS191&lt;&gt;"",AU191&lt;&gt;"",AW191&lt;&gt;"",AY191&lt;&gt;"",BA191&lt;&gt;"",BC191&lt;&gt;"")),"No",IF(AND(C191="",I191="",K191="",M191="",O191="",S191="",U191="",AA191="",AG191="",AI191="",AK191="",AM191="",AO191="",AQ191="",AS191="",AU191="",AW191="",AY191="",BA191=""),"N/A","Yes")))</f>
        <v>N/A</v>
      </c>
      <c r="BI191" s="898"/>
      <c r="BJ191" s="899" t="b">
        <f>IF(AND(OR(I191&lt;&gt;"",K191&lt;&gt;"",M191&lt;&gt;"",O191&lt;&gt;"",S191&lt;&gt;"",U191&lt;&gt;"",AA191&lt;&gt;"",AG191&lt;&gt;"",AI191&lt;&gt;"",AK191&lt;&gt;"",AM191&lt;&gt;"",AO191&lt;&gt;"",AQ191&lt;&gt;"",AS191&lt;&gt;"",AW191&lt;&gt;"",AY191&lt;&gt;"",BA191&lt;&gt;"",BC191&lt;&gt;""),C191=""),TRUE,FALSE)</f>
        <v>0</v>
      </c>
      <c r="BK191" s="898" t="b">
        <f>IF(BL191=TRUE,FALSE,IF(SUM(K191,O191)&gt;I191,TRUE,FALSE))</f>
        <v>0</v>
      </c>
      <c r="BL191" s="899" t="b">
        <f>IF(AND(C191&lt;&gt;"",I191=""),TRUE,FALSE)</f>
        <v>0</v>
      </c>
      <c r="BM191" s="898" t="b">
        <f>IF(BN191=TRUE,FALSE,IF(M191&gt;K191,TRUE,FALSE))</f>
        <v>0</v>
      </c>
      <c r="BN191" s="899" t="b">
        <f>IF(AND($C191&lt;&gt;"",K191=""),TRUE,FALSE)</f>
        <v>0</v>
      </c>
      <c r="BO191" s="898"/>
      <c r="BP191" s="899" t="b">
        <f>IF(AND($C191&lt;&gt;"",M191=""),TRUE,FALSE)</f>
        <v>0</v>
      </c>
      <c r="BQ191" s="898"/>
      <c r="BR191" s="899" t="b">
        <f>IF(AND($C191&lt;&gt;"",O191=""),TRUE,FALSE)</f>
        <v>0</v>
      </c>
      <c r="BS191" s="898" t="b">
        <f>IF(AND(S191="",OR(U191&lt;&gt;"",AA191&lt;&gt;"",AG191&lt;&gt;"",AI191&lt;&gt;"",AK191&lt;&gt;"",AM191&lt;&gt;"",AO191&lt;&gt;"",AQ191&lt;&gt;"",AS191&lt;&gt;"",AU191&lt;&gt;"",AW191&lt;&gt;"",AY191&lt;&gt;"",BA191&lt;&gt;"")),TRUE,FALSE)</f>
        <v>0</v>
      </c>
      <c r="BT191" s="899" t="b">
        <f>IF(AND($C191&lt;&gt;"",S191=""),TRUE,FALSE)</f>
        <v>0</v>
      </c>
      <c r="BU191" s="898"/>
      <c r="BV191" s="899" t="b">
        <f>IF(AND($C191&lt;&gt;"",U191=""),TRUE,FALSE)</f>
        <v>0</v>
      </c>
      <c r="BW191" s="1537" t="b">
        <f>IF(BX191=TRUE,FALSE,IF(AA191="",FALSE,IF(OR(AA191&lt;CX191,AA191&gt;BaseYear),TRUE,FALSE)))</f>
        <v>0</v>
      </c>
      <c r="BX191" s="899" t="b">
        <f>IF(AND($C191&lt;&gt;"",AA191=""),TRUE,FALSE)</f>
        <v>0</v>
      </c>
      <c r="BY191" s="898"/>
      <c r="BZ191" s="899" t="b">
        <f>IF(AND($C191&lt;&gt;"",AG191=""),TRUE,FALSE)</f>
        <v>0</v>
      </c>
      <c r="CA191" s="898"/>
      <c r="CB191" s="899" t="b">
        <f>IF(AND($C191&lt;&gt;"",AI191=""),TRUE,FALSE)</f>
        <v>0</v>
      </c>
      <c r="CC191" s="1537" t="b">
        <f>IF(AK191="",FALSE,IF(OR(AK191&lt;CX191,AK191&gt;BaseYear),TRUE,FALSE))</f>
        <v>0</v>
      </c>
      <c r="CD191" s="1538" t="b">
        <f>IF(AK191="",FALSE,IF(AK191&lt;AA191,TRUE,FALSE))</f>
        <v>0</v>
      </c>
      <c r="CE191" s="899" t="b">
        <f>IF(AND($AM191&lt;&gt;"",AK191=""),TRUE,FALSE)</f>
        <v>0</v>
      </c>
      <c r="CF191" s="898"/>
      <c r="CG191" s="898" t="b">
        <f>IF(AND($AK191&lt;&gt;"",AM191=""),TRUE,FALSE)</f>
        <v>0</v>
      </c>
      <c r="CH191" s="898"/>
      <c r="CI191" s="899" t="b">
        <f>IF(AND($C191&lt;&gt;"",AO191=""),TRUE,FALSE)</f>
        <v>0</v>
      </c>
      <c r="CJ191" s="1537"/>
      <c r="CK191" s="899" t="b">
        <f>IF(AND($C191&lt;&gt;"",AQ191=""),TRUE,FALSE)</f>
        <v>0</v>
      </c>
      <c r="CL191" s="898"/>
      <c r="CM191" s="899" t="b">
        <f>IF(AND($C191&lt;&gt;"",AS191=""),TRUE,FALSE)</f>
        <v>0</v>
      </c>
      <c r="CN191" s="898"/>
      <c r="CO191" s="899" t="b">
        <f>IF(AND($C191&lt;&gt;"",AU191=""),TRUE,FALSE)</f>
        <v>0</v>
      </c>
      <c r="CP191" s="898"/>
      <c r="CQ191" s="899" t="b">
        <f>IF(AND($C191&lt;&gt;"",AW191=""),TRUE,FALSE)</f>
        <v>0</v>
      </c>
      <c r="CR191" s="898"/>
      <c r="CS191" s="899" t="b">
        <f>IF(AND($C191&lt;&gt;"",AY191=""),TRUE,FALSE)</f>
        <v>0</v>
      </c>
      <c r="CT191" s="898"/>
      <c r="CU191" s="898" t="b">
        <f>IF(AND($C191&lt;&gt;"",BA191=""),TRUE,FALSE)</f>
        <v>0</v>
      </c>
      <c r="CV191" s="894"/>
      <c r="CW191" s="898" t="str">
        <f t="shared" si="47"/>
        <v/>
      </c>
      <c r="CX191" s="898" t="str">
        <f>IFERROR(IF(AND(S191="",S191&lt;&gt;""),1913,VLOOKUP(S191,Valid!$B$99:$J$120,9)),"")</f>
        <v/>
      </c>
      <c r="CY191" s="898" t="str">
        <f t="shared" ca="1" si="48"/>
        <v/>
      </c>
      <c r="CZ191" s="1547" t="str">
        <f t="shared" ca="1" si="53"/>
        <v/>
      </c>
      <c r="DA191" s="898" t="str">
        <f ca="1">IF(CZ191="", "", IF(1+(CZ191*4)&lt;1, 1, 1+(CZ191*4)))</f>
        <v/>
      </c>
      <c r="DB191" s="898" t="str">
        <f t="shared" si="49"/>
        <v/>
      </c>
      <c r="DC191" s="898" t="str">
        <f t="shared" si="50"/>
        <v/>
      </c>
      <c r="DD191" s="1539" t="str">
        <f>IFERROR(IF(AND(AM191="",C191&lt;&gt;""),Valid!$E$123,VLOOKUP(AM191,Valid!$B$123:$F$125,4,FALSE)),"")</f>
        <v/>
      </c>
      <c r="DE191" s="1539" t="str">
        <f>IFERROR(IF(AND(AM191="",C191&lt;&gt;""),Valid!$F$123,VLOOKUP(AM191,Valid!$B$123:$F$125,5,FALSE)),"")</f>
        <v/>
      </c>
      <c r="DF191" s="1539" t="str">
        <f>IFERROR(VLOOKUP('A-70 RevVehInv'!S191,Valid!$B$99:$I$120,7), "")</f>
        <v/>
      </c>
      <c r="DG191" s="1539" t="str">
        <f>IFERROR(VLOOKUP(S191,Valid!$B$99:$I$120,8), "")</f>
        <v/>
      </c>
      <c r="DH191" s="894"/>
    </row>
    <row r="192" spans="1:112" ht="6.75" customHeight="1" x14ac:dyDescent="0.2">
      <c r="A192" s="1517"/>
      <c r="B192" s="1530">
        <v>90.5</v>
      </c>
      <c r="C192" s="1544"/>
      <c r="D192" s="905"/>
      <c r="E192" s="1545"/>
      <c r="F192" s="905"/>
      <c r="G192" s="905"/>
      <c r="H192" s="905"/>
      <c r="I192" s="1531"/>
      <c r="J192" s="905"/>
      <c r="K192" s="1531"/>
      <c r="L192" s="905"/>
      <c r="M192" s="1531"/>
      <c r="N192" s="905"/>
      <c r="O192" s="1531"/>
      <c r="P192" s="905"/>
      <c r="Q192" s="1531"/>
      <c r="R192" s="1531"/>
      <c r="S192" s="1533"/>
      <c r="T192" s="905"/>
      <c r="U192" s="1533"/>
      <c r="V192" s="905"/>
      <c r="W192" s="1531" t="str">
        <f t="shared" si="45"/>
        <v/>
      </c>
      <c r="X192" s="905"/>
      <c r="Y192" s="1531"/>
      <c r="Z192" s="252" t="str">
        <f t="shared" si="46"/>
        <v/>
      </c>
      <c r="AA192" s="1531"/>
      <c r="AB192" s="905"/>
      <c r="AC192" s="1971" t="str">
        <f t="shared" si="51"/>
        <v/>
      </c>
      <c r="AD192" s="905"/>
      <c r="AE192" s="1983" t="str">
        <f t="shared" si="52"/>
        <v/>
      </c>
      <c r="AF192" s="905"/>
      <c r="AG192" s="1546"/>
      <c r="AH192" s="1531"/>
      <c r="AI192" s="1531"/>
      <c r="AJ192" s="1531"/>
      <c r="AK192" s="1531"/>
      <c r="AL192" s="1531"/>
      <c r="AM192" s="1546"/>
      <c r="AN192" s="1531"/>
      <c r="AO192" s="1546"/>
      <c r="AP192" s="1531"/>
      <c r="AQ192" s="1531"/>
      <c r="AR192" s="1531"/>
      <c r="AS192" s="1531"/>
      <c r="AT192" s="1531"/>
      <c r="AU192" s="1531"/>
      <c r="AV192" s="1531"/>
      <c r="AW192" s="1531"/>
      <c r="AX192" s="1531"/>
      <c r="AY192" s="1531"/>
      <c r="AZ192" s="1531"/>
      <c r="BA192" s="1546"/>
      <c r="BB192" s="1531"/>
      <c r="BC192" s="1531"/>
      <c r="BD192" s="1531"/>
      <c r="BE192" s="1531"/>
      <c r="BF192" s="1531"/>
      <c r="BG192" s="1531"/>
      <c r="BH192" s="1531"/>
      <c r="BI192" s="1535"/>
      <c r="BJ192" s="1534"/>
      <c r="BK192" s="1535"/>
      <c r="BL192" s="1534"/>
      <c r="BM192" s="1535"/>
      <c r="BN192" s="1534"/>
      <c r="BO192" s="1535"/>
      <c r="BP192" s="1534"/>
      <c r="BQ192" s="1535"/>
      <c r="BR192" s="1534"/>
      <c r="BS192" s="1535"/>
      <c r="BT192" s="1534"/>
      <c r="BU192" s="1535"/>
      <c r="BV192" s="1534"/>
      <c r="BW192" s="1535"/>
      <c r="BX192" s="1534"/>
      <c r="BY192" s="1535"/>
      <c r="BZ192" s="1534"/>
      <c r="CA192" s="1535"/>
      <c r="CB192" s="1534"/>
      <c r="CC192" s="1535"/>
      <c r="CD192" s="1534"/>
      <c r="CE192" s="1534"/>
      <c r="CF192" s="1535"/>
      <c r="CG192" s="1534"/>
      <c r="CH192" s="1535"/>
      <c r="CI192" s="1534"/>
      <c r="CJ192" s="1535"/>
      <c r="CK192" s="1534"/>
      <c r="CL192" s="1535"/>
      <c r="CM192" s="1534"/>
      <c r="CN192" s="1535"/>
      <c r="CO192" s="1534"/>
      <c r="CP192" s="1535"/>
      <c r="CQ192" s="1534"/>
      <c r="CR192" s="1535"/>
      <c r="CS192" s="1534"/>
      <c r="CT192" s="1535"/>
      <c r="CU192" s="1535"/>
      <c r="CV192" s="1531"/>
      <c r="CW192" s="898" t="str">
        <f t="shared" si="47"/>
        <v/>
      </c>
      <c r="CX192" s="898" t="str">
        <f>IFERROR(IF(AND(S192="",S192&lt;&gt;""),1913,VLOOKUP(S192,Valid!$B$99:$J$120,9)),"")</f>
        <v/>
      </c>
      <c r="CY192" s="898" t="str">
        <f t="shared" ca="1" si="48"/>
        <v/>
      </c>
      <c r="CZ192" s="1547" t="str">
        <f t="shared" ca="1" si="53"/>
        <v/>
      </c>
      <c r="DA192" s="898"/>
      <c r="DB192" s="898" t="str">
        <f t="shared" si="49"/>
        <v/>
      </c>
      <c r="DC192" s="898" t="str">
        <f t="shared" si="50"/>
        <v/>
      </c>
      <c r="DD192" s="1539" t="str">
        <f>IFERROR(IF(AND(AM192="",C192&lt;&gt;""),Valid!$E$123,VLOOKUP(AM192,Valid!$B$123:$F$125,4,FALSE)),"")</f>
        <v/>
      </c>
      <c r="DE192" s="1539" t="str">
        <f>IFERROR(IF(AND(AM192="",C192&lt;&gt;""),Valid!$F$123,VLOOKUP(AM192,Valid!$B$123:$F$125,5,FALSE)),"")</f>
        <v/>
      </c>
      <c r="DF192" s="1539" t="str">
        <f>IFERROR(VLOOKUP('A-70 RevVehInv'!S192,Valid!$B$99:$I$120,7), "")</f>
        <v/>
      </c>
      <c r="DG192" s="1539" t="str">
        <f>IFERROR(VLOOKUP(S192,Valid!$B$99:$I$120,8), "")</f>
        <v/>
      </c>
      <c r="DH192" s="1531"/>
    </row>
    <row r="193" spans="1:112" s="930" customFormat="1" x14ac:dyDescent="0.2">
      <c r="A193" s="206">
        <v>91</v>
      </c>
      <c r="B193" s="1530">
        <v>91</v>
      </c>
      <c r="C193" s="933"/>
      <c r="D193" s="719" t="str">
        <f>IF(C191="","",IF((C193=""),"Enter RVI ID. then Fill in Columns "&amp;TEXT($I$2,0)&amp;" - "&amp;TEXT($BA$2,0)&amp;"       ",""))</f>
        <v/>
      </c>
      <c r="E193" s="1056" t="str">
        <f>IF(BH193="N/A","",BH193)</f>
        <v/>
      </c>
      <c r="F193" s="1536"/>
      <c r="G193" s="1536"/>
      <c r="H193" s="1536"/>
      <c r="I193" s="1023"/>
      <c r="J193" s="1536" t="str">
        <f>IF(E193&lt;&gt;"","Vehicles?    ","")</f>
        <v/>
      </c>
      <c r="K193" s="1023"/>
      <c r="L193" s="1536" t="str">
        <f>IF(E193&lt;&gt;"","Active Vehicles?     ","")</f>
        <v/>
      </c>
      <c r="M193" s="1023"/>
      <c r="N193" s="1536" t="str">
        <f>IF(E193&lt;&gt;"","ADA Vehicles?       ","")</f>
        <v/>
      </c>
      <c r="O193" s="1023"/>
      <c r="P193" s="1536" t="str">
        <f>IF(E193&lt;&gt;"","Cont. Vehicles?     ","")</f>
        <v/>
      </c>
      <c r="Q193" s="1024"/>
      <c r="R193" s="894"/>
      <c r="S193" s="1153"/>
      <c r="T193" s="252" t="str">
        <f>IF(E193&lt;&gt;"","Select from Pull-Down List    ","")</f>
        <v/>
      </c>
      <c r="U193" s="933"/>
      <c r="V193" s="252" t="str">
        <f>IF(E193&lt;&gt;"","Select from Pull-Down List    ","")</f>
        <v/>
      </c>
      <c r="W193" s="1766" t="str">
        <f t="shared" si="45"/>
        <v/>
      </c>
      <c r="X193" s="252"/>
      <c r="Y193" s="1988"/>
      <c r="Z193" s="252" t="str">
        <f t="shared" si="46"/>
        <v/>
      </c>
      <c r="AA193" s="139"/>
      <c r="AB193" s="252" t="str">
        <f>IF(E193&lt;&gt;"","Mfg. Yr?    ","")</f>
        <v/>
      </c>
      <c r="AC193" s="1974" t="str">
        <f t="shared" si="51"/>
        <v/>
      </c>
      <c r="AD193" s="252"/>
      <c r="AE193" s="1986" t="str">
        <f t="shared" si="52"/>
        <v/>
      </c>
      <c r="AF193" s="252"/>
      <c r="AG193" s="933"/>
      <c r="AH193" s="252" t="str">
        <f>IF(E193&lt;&gt;"","Select from Pull-Down List    ","")</f>
        <v/>
      </c>
      <c r="AI193" s="933"/>
      <c r="AJ193" s="252" t="str">
        <f>IF(E193&lt;&gt;"","Number?   ","")</f>
        <v/>
      </c>
      <c r="AK193" s="139"/>
      <c r="AL193" s="252" t="str">
        <f>IF(E193&lt;&gt;"","Last Rnwl. Yr?   ","")</f>
        <v/>
      </c>
      <c r="AM193" s="933"/>
      <c r="AN193" s="252" t="str">
        <f>IF(E193&lt;&gt;"","Select from Pull-Down List    ","")</f>
        <v/>
      </c>
      <c r="AO193" s="933"/>
      <c r="AP193" s="252" t="str">
        <f>IF(E193&lt;&gt;"","Select from Pull-Down List    ","")</f>
        <v/>
      </c>
      <c r="AQ193" s="1023"/>
      <c r="AR193" s="252" t="str">
        <f>IF(E193&lt;&gt;"","Feet?    ","")</f>
        <v/>
      </c>
      <c r="AS193" s="1023"/>
      <c r="AT193" s="252" t="str">
        <f>IF(E193&lt;&gt;"","Seats?    ","")</f>
        <v/>
      </c>
      <c r="AU193" s="1023"/>
      <c r="AV193" s="252" t="str">
        <f>IF(E193&lt;&gt;"","Standing?    ","")</f>
        <v/>
      </c>
      <c r="AW193" s="1023"/>
      <c r="AX193" s="252" t="str">
        <f>IF(E193&lt;&gt;"","Mileage?       ","")</f>
        <v/>
      </c>
      <c r="AY193" s="1023"/>
      <c r="AZ193" s="252" t="str">
        <f>IF(E193&lt;&gt;"","Avg. Lifetime Mileage? ","")</f>
        <v/>
      </c>
      <c r="BA193" s="933"/>
      <c r="BB193" s="252" t="str">
        <f>IF(E193&lt;&gt;"","Select from Pull-Down List    ","")</f>
        <v/>
      </c>
      <c r="BC193" s="171"/>
      <c r="BD193" s="252" t="str">
        <f>IF(OR(AO193="OR - Other fuel (describe in Notes)",AG193="ZZZ - Other (describe in Notes)"),"Describe                                                                                                     ","")</f>
        <v/>
      </c>
      <c r="BE193" s="894"/>
      <c r="BF193" s="894"/>
      <c r="BG193" s="894" t="b">
        <f>IF(AND(C193="",C195&lt;&gt;""),TRUE,FALSE)</f>
        <v>0</v>
      </c>
      <c r="BH193" s="888" t="str">
        <f>IF(AND(C193&lt;&gt;"",OR(I193="",K193="",M193="",O193="",S193="",U193="",AA193="",AG193="",AI193="",AO193="",AQ193="",AS193="",AU193="",AW193="",AY193="")),"No",IF(AND(C193="",OR(I193&lt;&gt;"",K193&lt;&gt;"",M193&lt;&gt;"",O193&lt;&gt;"",S193&lt;&gt;"",U193&lt;&gt;"",AA193&lt;&gt;"",AG193&lt;&gt;"",AI193&lt;&gt;"",AK193&lt;&gt;"",AM193&lt;&gt;"",AO193&lt;&gt;"",AQ193&lt;&gt;"",AS193&lt;&gt;"",AU193&lt;&gt;"",AW193&lt;&gt;"",AY193&lt;&gt;"",BA193&lt;&gt;"",BC193&lt;&gt;"")),"No",IF(AND(C193="",I193="",K193="",M193="",O193="",S193="",U193="",AA193="",AG193="",AI193="",AK193="",AM193="",AO193="",AQ193="",AS193="",AU193="",AW193="",AY193="",BA193=""),"N/A","Yes")))</f>
        <v>N/A</v>
      </c>
      <c r="BI193" s="898"/>
      <c r="BJ193" s="899" t="b">
        <f>IF(AND(OR(I193&lt;&gt;"",K193&lt;&gt;"",M193&lt;&gt;"",O193&lt;&gt;"",S193&lt;&gt;"",U193&lt;&gt;"",AA193&lt;&gt;"",AG193&lt;&gt;"",AI193&lt;&gt;"",AK193&lt;&gt;"",AM193&lt;&gt;"",AO193&lt;&gt;"",AQ193&lt;&gt;"",AS193&lt;&gt;"",AW193&lt;&gt;"",AY193&lt;&gt;"",BA193&lt;&gt;"",BC193&lt;&gt;""),C193=""),TRUE,FALSE)</f>
        <v>0</v>
      </c>
      <c r="BK193" s="898" t="b">
        <f>IF(BL193=TRUE,FALSE,IF(SUM(K193,O193)&gt;I193,TRUE,FALSE))</f>
        <v>0</v>
      </c>
      <c r="BL193" s="899" t="b">
        <f>IF(AND(C193&lt;&gt;"",I193=""),TRUE,FALSE)</f>
        <v>0</v>
      </c>
      <c r="BM193" s="898" t="b">
        <f>IF(BN193=TRUE,FALSE,IF(M193&gt;K193,TRUE,FALSE))</f>
        <v>0</v>
      </c>
      <c r="BN193" s="899" t="b">
        <f>IF(AND($C193&lt;&gt;"",K193=""),TRUE,FALSE)</f>
        <v>0</v>
      </c>
      <c r="BO193" s="898"/>
      <c r="BP193" s="899" t="b">
        <f>IF(AND($C193&lt;&gt;"",M193=""),TRUE,FALSE)</f>
        <v>0</v>
      </c>
      <c r="BQ193" s="898"/>
      <c r="BR193" s="899" t="b">
        <f>IF(AND($C193&lt;&gt;"",O193=""),TRUE,FALSE)</f>
        <v>0</v>
      </c>
      <c r="BS193" s="898" t="b">
        <f>IF(AND(S193="",OR(U193&lt;&gt;"",AA193&lt;&gt;"",AG193&lt;&gt;"",AI193&lt;&gt;"",AK193&lt;&gt;"",AM193&lt;&gt;"",AO193&lt;&gt;"",AQ193&lt;&gt;"",AS193&lt;&gt;"",AU193&lt;&gt;"",AW193&lt;&gt;"",AY193&lt;&gt;"",BA193&lt;&gt;"")),TRUE,FALSE)</f>
        <v>0</v>
      </c>
      <c r="BT193" s="899" t="b">
        <f>IF(AND($C193&lt;&gt;"",S193=""),TRUE,FALSE)</f>
        <v>0</v>
      </c>
      <c r="BU193" s="898"/>
      <c r="BV193" s="899" t="b">
        <f>IF(AND($C193&lt;&gt;"",U193=""),TRUE,FALSE)</f>
        <v>0</v>
      </c>
      <c r="BW193" s="1537" t="b">
        <f>IF(BX193=TRUE,FALSE,IF(AA193="",FALSE,IF(OR(AA193&lt;CX193,AA193&gt;BaseYear),TRUE,FALSE)))</f>
        <v>0</v>
      </c>
      <c r="BX193" s="899" t="b">
        <f>IF(AND($C193&lt;&gt;"",AA193=""),TRUE,FALSE)</f>
        <v>0</v>
      </c>
      <c r="BY193" s="898"/>
      <c r="BZ193" s="899" t="b">
        <f>IF(AND($C193&lt;&gt;"",AG193=""),TRUE,FALSE)</f>
        <v>0</v>
      </c>
      <c r="CA193" s="898"/>
      <c r="CB193" s="899" t="b">
        <f>IF(AND($C193&lt;&gt;"",AI193=""),TRUE,FALSE)</f>
        <v>0</v>
      </c>
      <c r="CC193" s="1537" t="b">
        <f>IF(AK193="",FALSE,IF(OR(AK193&lt;CX193,AK193&gt;BaseYear),TRUE,FALSE))</f>
        <v>0</v>
      </c>
      <c r="CD193" s="1538" t="b">
        <f>IF(AK193="",FALSE,IF(AK193&lt;AA193,TRUE,FALSE))</f>
        <v>0</v>
      </c>
      <c r="CE193" s="899" t="b">
        <f>IF(AND($AM193&lt;&gt;"",AK193=""),TRUE,FALSE)</f>
        <v>0</v>
      </c>
      <c r="CF193" s="898"/>
      <c r="CG193" s="898" t="b">
        <f>IF(AND($AK193&lt;&gt;"",AM193=""),TRUE,FALSE)</f>
        <v>0</v>
      </c>
      <c r="CH193" s="898"/>
      <c r="CI193" s="899" t="b">
        <f>IF(AND($C193&lt;&gt;"",AO193=""),TRUE,FALSE)</f>
        <v>0</v>
      </c>
      <c r="CJ193" s="1537"/>
      <c r="CK193" s="899" t="b">
        <f>IF(AND($C193&lt;&gt;"",AQ193=""),TRUE,FALSE)</f>
        <v>0</v>
      </c>
      <c r="CL193" s="898"/>
      <c r="CM193" s="899" t="b">
        <f>IF(AND($C193&lt;&gt;"",AS193=""),TRUE,FALSE)</f>
        <v>0</v>
      </c>
      <c r="CN193" s="898"/>
      <c r="CO193" s="899" t="b">
        <f>IF(AND($C193&lt;&gt;"",AU193=""),TRUE,FALSE)</f>
        <v>0</v>
      </c>
      <c r="CP193" s="898"/>
      <c r="CQ193" s="899" t="b">
        <f>IF(AND($C193&lt;&gt;"",AW193=""),TRUE,FALSE)</f>
        <v>0</v>
      </c>
      <c r="CR193" s="898"/>
      <c r="CS193" s="899" t="b">
        <f>IF(AND($C193&lt;&gt;"",AY193=""),TRUE,FALSE)</f>
        <v>0</v>
      </c>
      <c r="CT193" s="898"/>
      <c r="CU193" s="898" t="b">
        <f>IF(AND($C193&lt;&gt;"",BA193=""),TRUE,FALSE)</f>
        <v>0</v>
      </c>
      <c r="CV193" s="894"/>
      <c r="CW193" s="898" t="str">
        <f t="shared" si="47"/>
        <v/>
      </c>
      <c r="CX193" s="898" t="str">
        <f>IFERROR(IF(AND(S193="",S193&lt;&gt;""),1913,VLOOKUP(S193,Valid!$B$99:$J$120,9)),"")</f>
        <v/>
      </c>
      <c r="CY193" s="898" t="str">
        <f t="shared" ca="1" si="48"/>
        <v/>
      </c>
      <c r="CZ193" s="1547" t="str">
        <f t="shared" ca="1" si="53"/>
        <v/>
      </c>
      <c r="DA193" s="898" t="str">
        <f ca="1">IF(CZ193="", "", IF(1+(CZ193*4)&lt;1, 1, 1+(CZ193*4)))</f>
        <v/>
      </c>
      <c r="DB193" s="898" t="str">
        <f t="shared" si="49"/>
        <v/>
      </c>
      <c r="DC193" s="898" t="str">
        <f t="shared" si="50"/>
        <v/>
      </c>
      <c r="DD193" s="1539" t="str">
        <f>IFERROR(IF(AND(AM193="",C193&lt;&gt;""),Valid!$E$123,VLOOKUP(AM193,Valid!$B$123:$F$125,4,FALSE)),"")</f>
        <v/>
      </c>
      <c r="DE193" s="1539" t="str">
        <f>IFERROR(IF(AND(AM193="",C193&lt;&gt;""),Valid!$F$123,VLOOKUP(AM193,Valid!$B$123:$F$125,5,FALSE)),"")</f>
        <v/>
      </c>
      <c r="DF193" s="1539" t="str">
        <f>IFERROR(VLOOKUP('A-70 RevVehInv'!S193,Valid!$B$99:$I$120,7), "")</f>
        <v/>
      </c>
      <c r="DG193" s="1539" t="str">
        <f>IFERROR(VLOOKUP(S193,Valid!$B$99:$I$120,8), "")</f>
        <v/>
      </c>
      <c r="DH193" s="894"/>
    </row>
    <row r="194" spans="1:112" ht="6.75" customHeight="1" x14ac:dyDescent="0.2">
      <c r="A194" s="1516"/>
      <c r="B194" s="1530">
        <v>91.5</v>
      </c>
      <c r="C194" s="1540"/>
      <c r="D194" s="905"/>
      <c r="E194" s="1541"/>
      <c r="F194" s="905"/>
      <c r="G194" s="905"/>
      <c r="H194" s="905"/>
      <c r="I194" s="1534"/>
      <c r="J194" s="905"/>
      <c r="K194" s="1534"/>
      <c r="L194" s="905"/>
      <c r="M194" s="1534"/>
      <c r="N194" s="905"/>
      <c r="O194" s="1534"/>
      <c r="P194" s="905"/>
      <c r="Q194" s="1534"/>
      <c r="R194" s="1531"/>
      <c r="S194" s="1542"/>
      <c r="T194" s="905"/>
      <c r="U194" s="1542"/>
      <c r="V194" s="905"/>
      <c r="W194" s="1534" t="str">
        <f t="shared" si="45"/>
        <v/>
      </c>
      <c r="X194" s="905"/>
      <c r="Y194" s="1534"/>
      <c r="Z194" s="252" t="str">
        <f t="shared" si="46"/>
        <v/>
      </c>
      <c r="AA194" s="1534"/>
      <c r="AB194" s="905"/>
      <c r="AC194" s="1973" t="str">
        <f t="shared" si="51"/>
        <v/>
      </c>
      <c r="AD194" s="905"/>
      <c r="AE194" s="1985" t="str">
        <f t="shared" si="52"/>
        <v/>
      </c>
      <c r="AF194" s="905"/>
      <c r="AG194" s="1543"/>
      <c r="AH194" s="1531"/>
      <c r="AI194" s="1534"/>
      <c r="AJ194" s="1531"/>
      <c r="AK194" s="1534"/>
      <c r="AL194" s="1531"/>
      <c r="AM194" s="1543"/>
      <c r="AN194" s="1531"/>
      <c r="AO194" s="1543"/>
      <c r="AP194" s="1531"/>
      <c r="AQ194" s="1534"/>
      <c r="AR194" s="1531"/>
      <c r="AS194" s="1534"/>
      <c r="AT194" s="1531"/>
      <c r="AU194" s="1534"/>
      <c r="AV194" s="1531"/>
      <c r="AW194" s="1534"/>
      <c r="AX194" s="1531"/>
      <c r="AY194" s="1534"/>
      <c r="AZ194" s="1531"/>
      <c r="BA194" s="1543"/>
      <c r="BB194" s="1531"/>
      <c r="BC194" s="1534"/>
      <c r="BD194" s="1531"/>
      <c r="BE194" s="1531"/>
      <c r="BF194" s="1531"/>
      <c r="BG194" s="1531"/>
      <c r="BH194" s="1531"/>
      <c r="BI194" s="1535"/>
      <c r="BJ194" s="1534"/>
      <c r="BK194" s="1535"/>
      <c r="BL194" s="1534"/>
      <c r="BM194" s="1535"/>
      <c r="BN194" s="1534"/>
      <c r="BO194" s="1535"/>
      <c r="BP194" s="1534"/>
      <c r="BQ194" s="1535"/>
      <c r="BR194" s="1534"/>
      <c r="BS194" s="1535"/>
      <c r="BT194" s="1534"/>
      <c r="BU194" s="1535"/>
      <c r="BV194" s="1534"/>
      <c r="BW194" s="1535"/>
      <c r="BX194" s="1534"/>
      <c r="BY194" s="1535"/>
      <c r="BZ194" s="1534"/>
      <c r="CA194" s="1535"/>
      <c r="CB194" s="1534"/>
      <c r="CC194" s="1535"/>
      <c r="CD194" s="1534"/>
      <c r="CE194" s="1534"/>
      <c r="CF194" s="1535"/>
      <c r="CG194" s="1534"/>
      <c r="CH194" s="1535"/>
      <c r="CI194" s="1534"/>
      <c r="CJ194" s="1535"/>
      <c r="CK194" s="1534"/>
      <c r="CL194" s="1535"/>
      <c r="CM194" s="1534"/>
      <c r="CN194" s="1535"/>
      <c r="CO194" s="1534"/>
      <c r="CP194" s="1535"/>
      <c r="CQ194" s="1534"/>
      <c r="CR194" s="1535"/>
      <c r="CS194" s="1534"/>
      <c r="CT194" s="1535"/>
      <c r="CU194" s="1535"/>
      <c r="CV194" s="1531"/>
      <c r="CW194" s="898" t="str">
        <f t="shared" si="47"/>
        <v/>
      </c>
      <c r="CX194" s="898" t="str">
        <f>IFERROR(IF(AND(S194="",S194&lt;&gt;""),1913,VLOOKUP(S194,Valid!$B$99:$J$120,9)),"")</f>
        <v/>
      </c>
      <c r="CY194" s="898" t="str">
        <f t="shared" ca="1" si="48"/>
        <v/>
      </c>
      <c r="CZ194" s="1547" t="str">
        <f t="shared" ca="1" si="53"/>
        <v/>
      </c>
      <c r="DA194" s="898"/>
      <c r="DB194" s="898" t="str">
        <f t="shared" si="49"/>
        <v/>
      </c>
      <c r="DC194" s="898" t="str">
        <f t="shared" si="50"/>
        <v/>
      </c>
      <c r="DD194" s="1539" t="str">
        <f>IFERROR(IF(AND(AM194="",C194&lt;&gt;""),Valid!$E$123,VLOOKUP(AM194,Valid!$B$123:$F$125,4,FALSE)),"")</f>
        <v/>
      </c>
      <c r="DE194" s="1539" t="str">
        <f>IFERROR(IF(AND(AM194="",C194&lt;&gt;""),Valid!$F$123,VLOOKUP(AM194,Valid!$B$123:$F$125,5,FALSE)),"")</f>
        <v/>
      </c>
      <c r="DF194" s="1539" t="str">
        <f>IFERROR(VLOOKUP('A-70 RevVehInv'!S194,Valid!$B$99:$I$120,7), "")</f>
        <v/>
      </c>
      <c r="DG194" s="1539" t="str">
        <f>IFERROR(VLOOKUP(S194,Valid!$B$99:$I$120,8), "")</f>
        <v/>
      </c>
      <c r="DH194" s="1531"/>
    </row>
    <row r="195" spans="1:112" s="930" customFormat="1" x14ac:dyDescent="0.2">
      <c r="A195" s="206">
        <v>92</v>
      </c>
      <c r="B195" s="1530">
        <v>92</v>
      </c>
      <c r="C195" s="933"/>
      <c r="D195" s="719" t="str">
        <f>IF(C193="","",IF((C195=""),"Enter RVI ID. then Fill in Columns "&amp;TEXT($I$2,0)&amp;" - "&amp;TEXT($BA$2,0)&amp;"       ",""))</f>
        <v/>
      </c>
      <c r="E195" s="1056" t="str">
        <f>IF(BH195="N/A","",BH195)</f>
        <v/>
      </c>
      <c r="F195" s="1536"/>
      <c r="G195" s="1536"/>
      <c r="H195" s="1536"/>
      <c r="I195" s="1023"/>
      <c r="J195" s="1536" t="str">
        <f>IF(E195&lt;&gt;"","Vehicles?    ","")</f>
        <v/>
      </c>
      <c r="K195" s="1023"/>
      <c r="L195" s="1536" t="str">
        <f>IF(E195&lt;&gt;"","Active Vehicles?     ","")</f>
        <v/>
      </c>
      <c r="M195" s="1023"/>
      <c r="N195" s="1536" t="str">
        <f>IF(E195&lt;&gt;"","ADA Vehicles?       ","")</f>
        <v/>
      </c>
      <c r="O195" s="1023"/>
      <c r="P195" s="1536" t="str">
        <f>IF(E195&lt;&gt;"","Cont. Vehicles?     ","")</f>
        <v/>
      </c>
      <c r="Q195" s="1024"/>
      <c r="R195" s="894"/>
      <c r="S195" s="1153"/>
      <c r="T195" s="252" t="str">
        <f>IF(E195&lt;&gt;"","Select from Pull-Down List    ","")</f>
        <v/>
      </c>
      <c r="U195" s="933"/>
      <c r="V195" s="252" t="str">
        <f>IF(E195&lt;&gt;"","Select from Pull-Down List    ","")</f>
        <v/>
      </c>
      <c r="W195" s="1766" t="str">
        <f t="shared" si="45"/>
        <v/>
      </c>
      <c r="X195" s="252"/>
      <c r="Y195" s="1988"/>
      <c r="Z195" s="252" t="str">
        <f t="shared" si="46"/>
        <v/>
      </c>
      <c r="AA195" s="139"/>
      <c r="AB195" s="252" t="str">
        <f>IF(E195&lt;&gt;"","Mfg. Yr?    ","")</f>
        <v/>
      </c>
      <c r="AC195" s="1974" t="str">
        <f t="shared" si="51"/>
        <v/>
      </c>
      <c r="AD195" s="252"/>
      <c r="AE195" s="1986" t="str">
        <f t="shared" si="52"/>
        <v/>
      </c>
      <c r="AF195" s="252"/>
      <c r="AG195" s="933"/>
      <c r="AH195" s="252" t="str">
        <f>IF(E195&lt;&gt;"","Select from Pull-Down List    ","")</f>
        <v/>
      </c>
      <c r="AI195" s="933"/>
      <c r="AJ195" s="252" t="str">
        <f>IF(E195&lt;&gt;"","Number?   ","")</f>
        <v/>
      </c>
      <c r="AK195" s="139"/>
      <c r="AL195" s="252" t="str">
        <f>IF(E195&lt;&gt;"","Last Rnwl. Yr?   ","")</f>
        <v/>
      </c>
      <c r="AM195" s="933"/>
      <c r="AN195" s="252" t="str">
        <f>IF(E195&lt;&gt;"","Select from Pull-Down List    ","")</f>
        <v/>
      </c>
      <c r="AO195" s="933"/>
      <c r="AP195" s="252" t="str">
        <f>IF(E195&lt;&gt;"","Select from Pull-Down List    ","")</f>
        <v/>
      </c>
      <c r="AQ195" s="1023"/>
      <c r="AR195" s="252" t="str">
        <f>IF(E195&lt;&gt;"","Feet?    ","")</f>
        <v/>
      </c>
      <c r="AS195" s="1023"/>
      <c r="AT195" s="252" t="str">
        <f>IF(E195&lt;&gt;"","Seats?    ","")</f>
        <v/>
      </c>
      <c r="AU195" s="1023"/>
      <c r="AV195" s="252" t="str">
        <f>IF(E195&lt;&gt;"","Standing?    ","")</f>
        <v/>
      </c>
      <c r="AW195" s="1023"/>
      <c r="AX195" s="252" t="str">
        <f>IF(E195&lt;&gt;"","Mileage?       ","")</f>
        <v/>
      </c>
      <c r="AY195" s="1023"/>
      <c r="AZ195" s="252" t="str">
        <f>IF(E195&lt;&gt;"","Avg. Lifetime Mileage? ","")</f>
        <v/>
      </c>
      <c r="BA195" s="933"/>
      <c r="BB195" s="252" t="str">
        <f>IF(E195&lt;&gt;"","Select from Pull-Down List    ","")</f>
        <v/>
      </c>
      <c r="BC195" s="171"/>
      <c r="BD195" s="252" t="str">
        <f>IF(OR(AO195="OR - Other fuel (describe in Notes)",AG195="ZZZ - Other (describe in Notes)"),"Describe                                                                                                     ","")</f>
        <v/>
      </c>
      <c r="BE195" s="894"/>
      <c r="BF195" s="894"/>
      <c r="BG195" s="894" t="b">
        <f>IF(AND(C195="",C197&lt;&gt;""),TRUE,FALSE)</f>
        <v>0</v>
      </c>
      <c r="BH195" s="888" t="str">
        <f>IF(AND(C195&lt;&gt;"",OR(I195="",K195="",M195="",O195="",S195="",U195="",AA195="",AG195="",AI195="",AO195="",AQ195="",AS195="",AU195="",AW195="",AY195="")),"No",IF(AND(C195="",OR(I195&lt;&gt;"",K195&lt;&gt;"",M195&lt;&gt;"",O195&lt;&gt;"",S195&lt;&gt;"",U195&lt;&gt;"",AA195&lt;&gt;"",AG195&lt;&gt;"",AI195&lt;&gt;"",AK195&lt;&gt;"",AM195&lt;&gt;"",AO195&lt;&gt;"",AQ195&lt;&gt;"",AS195&lt;&gt;"",AU195&lt;&gt;"",AW195&lt;&gt;"",AY195&lt;&gt;"",BA195&lt;&gt;"",BC195&lt;&gt;"")),"No",IF(AND(C195="",I195="",K195="",M195="",O195="",S195="",U195="",AA195="",AG195="",AI195="",AK195="",AM195="",AO195="",AQ195="",AS195="",AU195="",AW195="",AY195="",BA195=""),"N/A","Yes")))</f>
        <v>N/A</v>
      </c>
      <c r="BI195" s="898"/>
      <c r="BJ195" s="899" t="b">
        <f>IF(AND(OR(I195&lt;&gt;"",K195&lt;&gt;"",M195&lt;&gt;"",O195&lt;&gt;"",S195&lt;&gt;"",U195&lt;&gt;"",AA195&lt;&gt;"",AG195&lt;&gt;"",AI195&lt;&gt;"",AK195&lt;&gt;"",AM195&lt;&gt;"",AO195&lt;&gt;"",AQ195&lt;&gt;"",AS195&lt;&gt;"",AW195&lt;&gt;"",AY195&lt;&gt;"",BA195&lt;&gt;"",BC195&lt;&gt;""),C195=""),TRUE,FALSE)</f>
        <v>0</v>
      </c>
      <c r="BK195" s="898" t="b">
        <f>IF(BL195=TRUE,FALSE,IF(SUM(K195,O195)&gt;I195,TRUE,FALSE))</f>
        <v>0</v>
      </c>
      <c r="BL195" s="899" t="b">
        <f>IF(AND(C195&lt;&gt;"",I195=""),TRUE,FALSE)</f>
        <v>0</v>
      </c>
      <c r="BM195" s="898" t="b">
        <f>IF(BN195=TRUE,FALSE,IF(M195&gt;K195,TRUE,FALSE))</f>
        <v>0</v>
      </c>
      <c r="BN195" s="899" t="b">
        <f>IF(AND($C195&lt;&gt;"",K195=""),TRUE,FALSE)</f>
        <v>0</v>
      </c>
      <c r="BO195" s="898"/>
      <c r="BP195" s="899" t="b">
        <f>IF(AND($C195&lt;&gt;"",M195=""),TRUE,FALSE)</f>
        <v>0</v>
      </c>
      <c r="BQ195" s="898"/>
      <c r="BR195" s="899" t="b">
        <f>IF(AND($C195&lt;&gt;"",O195=""),TRUE,FALSE)</f>
        <v>0</v>
      </c>
      <c r="BS195" s="898" t="b">
        <f>IF(AND(S195="",OR(U195&lt;&gt;"",AA195&lt;&gt;"",AG195&lt;&gt;"",AI195&lt;&gt;"",AK195&lt;&gt;"",AM195&lt;&gt;"",AO195&lt;&gt;"",AQ195&lt;&gt;"",AS195&lt;&gt;"",AU195&lt;&gt;"",AW195&lt;&gt;"",AY195&lt;&gt;"",BA195&lt;&gt;"")),TRUE,FALSE)</f>
        <v>0</v>
      </c>
      <c r="BT195" s="899" t="b">
        <f>IF(AND($C195&lt;&gt;"",S195=""),TRUE,FALSE)</f>
        <v>0</v>
      </c>
      <c r="BU195" s="898"/>
      <c r="BV195" s="899" t="b">
        <f>IF(AND($C195&lt;&gt;"",U195=""),TRUE,FALSE)</f>
        <v>0</v>
      </c>
      <c r="BW195" s="1537" t="b">
        <f>IF(BX195=TRUE,FALSE,IF(AA195="",FALSE,IF(OR(AA195&lt;CX195,AA195&gt;BaseYear),TRUE,FALSE)))</f>
        <v>0</v>
      </c>
      <c r="BX195" s="899" t="b">
        <f>IF(AND($C195&lt;&gt;"",AA195=""),TRUE,FALSE)</f>
        <v>0</v>
      </c>
      <c r="BY195" s="898"/>
      <c r="BZ195" s="899" t="b">
        <f>IF(AND($C195&lt;&gt;"",AG195=""),TRUE,FALSE)</f>
        <v>0</v>
      </c>
      <c r="CA195" s="898"/>
      <c r="CB195" s="899" t="b">
        <f>IF(AND($C195&lt;&gt;"",AI195=""),TRUE,FALSE)</f>
        <v>0</v>
      </c>
      <c r="CC195" s="1537" t="b">
        <f>IF(AK195="",FALSE,IF(OR(AK195&lt;CX195,AK195&gt;BaseYear),TRUE,FALSE))</f>
        <v>0</v>
      </c>
      <c r="CD195" s="1538" t="b">
        <f>IF(AK195="",FALSE,IF(AK195&lt;AA195,TRUE,FALSE))</f>
        <v>0</v>
      </c>
      <c r="CE195" s="899" t="b">
        <f>IF(AND($AM195&lt;&gt;"",AK195=""),TRUE,FALSE)</f>
        <v>0</v>
      </c>
      <c r="CF195" s="898"/>
      <c r="CG195" s="898" t="b">
        <f>IF(AND($AK195&lt;&gt;"",AM195=""),TRUE,FALSE)</f>
        <v>0</v>
      </c>
      <c r="CH195" s="898"/>
      <c r="CI195" s="899" t="b">
        <f>IF(AND($C195&lt;&gt;"",AO195=""),TRUE,FALSE)</f>
        <v>0</v>
      </c>
      <c r="CJ195" s="1537"/>
      <c r="CK195" s="899" t="b">
        <f>IF(AND($C195&lt;&gt;"",AQ195=""),TRUE,FALSE)</f>
        <v>0</v>
      </c>
      <c r="CL195" s="898"/>
      <c r="CM195" s="899" t="b">
        <f>IF(AND($C195&lt;&gt;"",AS195=""),TRUE,FALSE)</f>
        <v>0</v>
      </c>
      <c r="CN195" s="898"/>
      <c r="CO195" s="899" t="b">
        <f>IF(AND($C195&lt;&gt;"",AU195=""),TRUE,FALSE)</f>
        <v>0</v>
      </c>
      <c r="CP195" s="898"/>
      <c r="CQ195" s="899" t="b">
        <f>IF(AND($C195&lt;&gt;"",AW195=""),TRUE,FALSE)</f>
        <v>0</v>
      </c>
      <c r="CR195" s="898"/>
      <c r="CS195" s="899" t="b">
        <f>IF(AND($C195&lt;&gt;"",AY195=""),TRUE,FALSE)</f>
        <v>0</v>
      </c>
      <c r="CT195" s="898"/>
      <c r="CU195" s="898" t="b">
        <f>IF(AND($C195&lt;&gt;"",BA195=""),TRUE,FALSE)</f>
        <v>0</v>
      </c>
      <c r="CV195" s="894"/>
      <c r="CW195" s="898" t="str">
        <f t="shared" si="47"/>
        <v/>
      </c>
      <c r="CX195" s="898" t="str">
        <f>IFERROR(IF(AND(S195="",S195&lt;&gt;""),1913,VLOOKUP(S195,Valid!$B$99:$J$120,9)),"")</f>
        <v/>
      </c>
      <c r="CY195" s="898" t="str">
        <f t="shared" ca="1" si="48"/>
        <v/>
      </c>
      <c r="CZ195" s="1547" t="str">
        <f t="shared" ca="1" si="53"/>
        <v/>
      </c>
      <c r="DA195" s="898" t="str">
        <f ca="1">IF(CZ195="", "", IF(1+(CZ195*4)&lt;1, 1, 1+(CZ195*4)))</f>
        <v/>
      </c>
      <c r="DB195" s="898" t="str">
        <f t="shared" si="49"/>
        <v/>
      </c>
      <c r="DC195" s="898" t="str">
        <f t="shared" si="50"/>
        <v/>
      </c>
      <c r="DD195" s="1539" t="str">
        <f>IFERROR(IF(AND(AM195="",C195&lt;&gt;""),Valid!$E$123,VLOOKUP(AM195,Valid!$B$123:$F$125,4,FALSE)),"")</f>
        <v/>
      </c>
      <c r="DE195" s="1539" t="str">
        <f>IFERROR(IF(AND(AM195="",C195&lt;&gt;""),Valid!$F$123,VLOOKUP(AM195,Valid!$B$123:$F$125,5,FALSE)),"")</f>
        <v/>
      </c>
      <c r="DF195" s="1539" t="str">
        <f>IFERROR(VLOOKUP('A-70 RevVehInv'!S195,Valid!$B$99:$I$120,7), "")</f>
        <v/>
      </c>
      <c r="DG195" s="1539" t="str">
        <f>IFERROR(VLOOKUP(S195,Valid!$B$99:$I$120,8), "")</f>
        <v/>
      </c>
      <c r="DH195" s="894"/>
    </row>
    <row r="196" spans="1:112" ht="6.75" customHeight="1" x14ac:dyDescent="0.2">
      <c r="A196" s="1516"/>
      <c r="B196" s="1530">
        <v>92.5</v>
      </c>
      <c r="C196" s="1544"/>
      <c r="D196" s="905"/>
      <c r="E196" s="1545"/>
      <c r="F196" s="905"/>
      <c r="G196" s="905"/>
      <c r="H196" s="905"/>
      <c r="I196" s="1531"/>
      <c r="J196" s="905"/>
      <c r="K196" s="1531"/>
      <c r="L196" s="905"/>
      <c r="M196" s="1531"/>
      <c r="N196" s="905"/>
      <c r="O196" s="1531"/>
      <c r="P196" s="905"/>
      <c r="Q196" s="1531"/>
      <c r="R196" s="1531"/>
      <c r="S196" s="1533"/>
      <c r="T196" s="905"/>
      <c r="U196" s="1533"/>
      <c r="V196" s="905"/>
      <c r="W196" s="1531" t="str">
        <f t="shared" si="45"/>
        <v/>
      </c>
      <c r="X196" s="905"/>
      <c r="Y196" s="1531"/>
      <c r="Z196" s="252" t="str">
        <f t="shared" si="46"/>
        <v/>
      </c>
      <c r="AA196" s="1531"/>
      <c r="AB196" s="905"/>
      <c r="AC196" s="1971" t="str">
        <f t="shared" si="51"/>
        <v/>
      </c>
      <c r="AD196" s="905"/>
      <c r="AE196" s="1983" t="str">
        <f t="shared" si="52"/>
        <v/>
      </c>
      <c r="AF196" s="905"/>
      <c r="AG196" s="1546"/>
      <c r="AH196" s="1531"/>
      <c r="AI196" s="1531"/>
      <c r="AJ196" s="1531"/>
      <c r="AK196" s="1531"/>
      <c r="AL196" s="1531"/>
      <c r="AM196" s="1546"/>
      <c r="AN196" s="1531"/>
      <c r="AO196" s="1546"/>
      <c r="AP196" s="1531"/>
      <c r="AQ196" s="1531"/>
      <c r="AR196" s="1531"/>
      <c r="AS196" s="1531"/>
      <c r="AT196" s="1531"/>
      <c r="AU196" s="1531"/>
      <c r="AV196" s="1531"/>
      <c r="AW196" s="1531"/>
      <c r="AX196" s="1531"/>
      <c r="AY196" s="1531"/>
      <c r="AZ196" s="1531"/>
      <c r="BA196" s="1546"/>
      <c r="BB196" s="1531"/>
      <c r="BC196" s="1531"/>
      <c r="BD196" s="1531"/>
      <c r="BE196" s="1531"/>
      <c r="BF196" s="1531"/>
      <c r="BG196" s="1531"/>
      <c r="BH196" s="1531"/>
      <c r="BI196" s="1535"/>
      <c r="BJ196" s="1534"/>
      <c r="BK196" s="1535"/>
      <c r="BL196" s="1534"/>
      <c r="BM196" s="1535"/>
      <c r="BN196" s="1534"/>
      <c r="BO196" s="1535"/>
      <c r="BP196" s="1534"/>
      <c r="BQ196" s="1535"/>
      <c r="BR196" s="1534"/>
      <c r="BS196" s="1535"/>
      <c r="BT196" s="1534"/>
      <c r="BU196" s="1535"/>
      <c r="BV196" s="1534"/>
      <c r="BW196" s="1535"/>
      <c r="BX196" s="1534"/>
      <c r="BY196" s="1535"/>
      <c r="BZ196" s="1534"/>
      <c r="CA196" s="1535"/>
      <c r="CB196" s="1534"/>
      <c r="CC196" s="1535"/>
      <c r="CD196" s="1534"/>
      <c r="CE196" s="1534"/>
      <c r="CF196" s="1535"/>
      <c r="CG196" s="1534"/>
      <c r="CH196" s="1535"/>
      <c r="CI196" s="1534"/>
      <c r="CJ196" s="1535"/>
      <c r="CK196" s="1534"/>
      <c r="CL196" s="1535"/>
      <c r="CM196" s="1534"/>
      <c r="CN196" s="1535"/>
      <c r="CO196" s="1534"/>
      <c r="CP196" s="1535"/>
      <c r="CQ196" s="1534"/>
      <c r="CR196" s="1535"/>
      <c r="CS196" s="1534"/>
      <c r="CT196" s="1535"/>
      <c r="CU196" s="1535"/>
      <c r="CV196" s="1531"/>
      <c r="CW196" s="898" t="str">
        <f t="shared" si="47"/>
        <v/>
      </c>
      <c r="CX196" s="898" t="str">
        <f>IFERROR(IF(AND(S196="",S196&lt;&gt;""),1913,VLOOKUP(S196,Valid!$B$99:$J$120,9)),"")</f>
        <v/>
      </c>
      <c r="CY196" s="898" t="str">
        <f t="shared" ca="1" si="48"/>
        <v/>
      </c>
      <c r="CZ196" s="1547" t="str">
        <f t="shared" ca="1" si="53"/>
        <v/>
      </c>
      <c r="DA196" s="898"/>
      <c r="DB196" s="898" t="str">
        <f t="shared" si="49"/>
        <v/>
      </c>
      <c r="DC196" s="898" t="str">
        <f t="shared" si="50"/>
        <v/>
      </c>
      <c r="DD196" s="1539" t="str">
        <f>IFERROR(IF(AND(AM196="",C196&lt;&gt;""),Valid!$E$123,VLOOKUP(AM196,Valid!$B$123:$F$125,4,FALSE)),"")</f>
        <v/>
      </c>
      <c r="DE196" s="1539" t="str">
        <f>IFERROR(IF(AND(AM196="",C196&lt;&gt;""),Valid!$F$123,VLOOKUP(AM196,Valid!$B$123:$F$125,5,FALSE)),"")</f>
        <v/>
      </c>
      <c r="DF196" s="1539" t="str">
        <f>IFERROR(VLOOKUP('A-70 RevVehInv'!S196,Valid!$B$99:$I$120,7), "")</f>
        <v/>
      </c>
      <c r="DG196" s="1539" t="str">
        <f>IFERROR(VLOOKUP(S196,Valid!$B$99:$I$120,8), "")</f>
        <v/>
      </c>
      <c r="DH196" s="1531"/>
    </row>
    <row r="197" spans="1:112" s="930" customFormat="1" x14ac:dyDescent="0.2">
      <c r="A197" s="206">
        <v>93</v>
      </c>
      <c r="B197" s="1530">
        <v>93</v>
      </c>
      <c r="C197" s="933"/>
      <c r="D197" s="719" t="str">
        <f>IF(C195="","",IF((C197=""),"Enter RVI ID. then Fill in Columns "&amp;TEXT($I$2,0)&amp;" - "&amp;TEXT($BA$2,0)&amp;"       ",""))</f>
        <v/>
      </c>
      <c r="E197" s="1056" t="str">
        <f>IF(BH197="N/A","",BH197)</f>
        <v/>
      </c>
      <c r="F197" s="1536"/>
      <c r="G197" s="1536"/>
      <c r="H197" s="1536"/>
      <c r="I197" s="1023"/>
      <c r="J197" s="1536" t="str">
        <f>IF(E197&lt;&gt;"","Vehicles?    ","")</f>
        <v/>
      </c>
      <c r="K197" s="1023"/>
      <c r="L197" s="1536" t="str">
        <f>IF(E197&lt;&gt;"","Active Vehicles?     ","")</f>
        <v/>
      </c>
      <c r="M197" s="1023"/>
      <c r="N197" s="1536" t="str">
        <f>IF(E197&lt;&gt;"","ADA Vehicles?       ","")</f>
        <v/>
      </c>
      <c r="O197" s="1023"/>
      <c r="P197" s="1536" t="str">
        <f>IF(E197&lt;&gt;"","Cont. Vehicles?     ","")</f>
        <v/>
      </c>
      <c r="Q197" s="1024"/>
      <c r="R197" s="894"/>
      <c r="S197" s="1153"/>
      <c r="T197" s="252" t="str">
        <f>IF(E197&lt;&gt;"","Select from Pull-Down List    ","")</f>
        <v/>
      </c>
      <c r="U197" s="933"/>
      <c r="V197" s="252" t="str">
        <f>IF(E197&lt;&gt;"","Select from Pull-Down List    ","")</f>
        <v/>
      </c>
      <c r="W197" s="1766" t="str">
        <f t="shared" si="45"/>
        <v/>
      </c>
      <c r="X197" s="252"/>
      <c r="Y197" s="1988"/>
      <c r="Z197" s="252" t="str">
        <f t="shared" si="46"/>
        <v/>
      </c>
      <c r="AA197" s="139"/>
      <c r="AB197" s="252" t="str">
        <f>IF(E197&lt;&gt;"","Mfg. Yr?    ","")</f>
        <v/>
      </c>
      <c r="AC197" s="1974" t="str">
        <f t="shared" si="51"/>
        <v/>
      </c>
      <c r="AD197" s="252"/>
      <c r="AE197" s="1986" t="str">
        <f t="shared" si="52"/>
        <v/>
      </c>
      <c r="AF197" s="252"/>
      <c r="AG197" s="933"/>
      <c r="AH197" s="252" t="str">
        <f>IF(E197&lt;&gt;"","Select from Pull-Down List    ","")</f>
        <v/>
      </c>
      <c r="AI197" s="933"/>
      <c r="AJ197" s="252" t="str">
        <f>IF(E197&lt;&gt;"","Number?   ","")</f>
        <v/>
      </c>
      <c r="AK197" s="139"/>
      <c r="AL197" s="252" t="str">
        <f>IF(E197&lt;&gt;"","Last Rnwl. Yr?   ","")</f>
        <v/>
      </c>
      <c r="AM197" s="933"/>
      <c r="AN197" s="252" t="str">
        <f>IF(E197&lt;&gt;"","Select from Pull-Down List    ","")</f>
        <v/>
      </c>
      <c r="AO197" s="933"/>
      <c r="AP197" s="252" t="str">
        <f>IF(E197&lt;&gt;"","Select from Pull-Down List    ","")</f>
        <v/>
      </c>
      <c r="AQ197" s="1023"/>
      <c r="AR197" s="252" t="str">
        <f>IF(E197&lt;&gt;"","Feet?    ","")</f>
        <v/>
      </c>
      <c r="AS197" s="1023"/>
      <c r="AT197" s="252" t="str">
        <f>IF(E197&lt;&gt;"","Seats?    ","")</f>
        <v/>
      </c>
      <c r="AU197" s="1023"/>
      <c r="AV197" s="252" t="str">
        <f>IF(E197&lt;&gt;"","Standing?    ","")</f>
        <v/>
      </c>
      <c r="AW197" s="1023"/>
      <c r="AX197" s="252" t="str">
        <f>IF(E197&lt;&gt;"","Mileage?       ","")</f>
        <v/>
      </c>
      <c r="AY197" s="1023"/>
      <c r="AZ197" s="252" t="str">
        <f>IF(E197&lt;&gt;"","Avg. Lifetime Mileage? ","")</f>
        <v/>
      </c>
      <c r="BA197" s="933"/>
      <c r="BB197" s="252" t="str">
        <f>IF(E197&lt;&gt;"","Select from Pull-Down List    ","")</f>
        <v/>
      </c>
      <c r="BC197" s="171"/>
      <c r="BD197" s="252" t="str">
        <f>IF(OR(AO197="OR - Other fuel (describe in Notes)",AG197="ZZZ - Other (describe in Notes)"),"Describe                                                                                                     ","")</f>
        <v/>
      </c>
      <c r="BE197" s="894"/>
      <c r="BF197" s="894"/>
      <c r="BG197" s="894" t="b">
        <f>IF(AND(C197="",C199&lt;&gt;""),TRUE,FALSE)</f>
        <v>0</v>
      </c>
      <c r="BH197" s="888" t="str">
        <f>IF(AND(C197&lt;&gt;"",OR(I197="",K197="",M197="",O197="",S197="",U197="",AA197="",AG197="",AI197="",AO197="",AQ197="",AS197="",AU197="",AW197="",AY197="")),"No",IF(AND(C197="",OR(I197&lt;&gt;"",K197&lt;&gt;"",M197&lt;&gt;"",O197&lt;&gt;"",S197&lt;&gt;"",U197&lt;&gt;"",AA197&lt;&gt;"",AG197&lt;&gt;"",AI197&lt;&gt;"",AK197&lt;&gt;"",AM197&lt;&gt;"",AO197&lt;&gt;"",AQ197&lt;&gt;"",AS197&lt;&gt;"",AU197&lt;&gt;"",AW197&lt;&gt;"",AY197&lt;&gt;"",BA197&lt;&gt;"",BC197&lt;&gt;"")),"No",IF(AND(C197="",I197="",K197="",M197="",O197="",S197="",U197="",AA197="",AG197="",AI197="",AK197="",AM197="",AO197="",AQ197="",AS197="",AU197="",AW197="",AY197="",BA197=""),"N/A","Yes")))</f>
        <v>N/A</v>
      </c>
      <c r="BI197" s="898"/>
      <c r="BJ197" s="899" t="b">
        <f>IF(AND(OR(I197&lt;&gt;"",K197&lt;&gt;"",M197&lt;&gt;"",O197&lt;&gt;"",S197&lt;&gt;"",U197&lt;&gt;"",AA197&lt;&gt;"",AG197&lt;&gt;"",AI197&lt;&gt;"",AK197&lt;&gt;"",AM197&lt;&gt;"",AO197&lt;&gt;"",AQ197&lt;&gt;"",AS197&lt;&gt;"",AW197&lt;&gt;"",AY197&lt;&gt;"",BA197&lt;&gt;"",BC197&lt;&gt;""),C197=""),TRUE,FALSE)</f>
        <v>0</v>
      </c>
      <c r="BK197" s="898" t="b">
        <f>IF(BL197=TRUE,FALSE,IF(SUM(K197,O197)&gt;I197,TRUE,FALSE))</f>
        <v>0</v>
      </c>
      <c r="BL197" s="899" t="b">
        <f>IF(AND(C197&lt;&gt;"",I197=""),TRUE,FALSE)</f>
        <v>0</v>
      </c>
      <c r="BM197" s="898" t="b">
        <f>IF(BN197=TRUE,FALSE,IF(M197&gt;K197,TRUE,FALSE))</f>
        <v>0</v>
      </c>
      <c r="BN197" s="899" t="b">
        <f>IF(AND($C197&lt;&gt;"",K197=""),TRUE,FALSE)</f>
        <v>0</v>
      </c>
      <c r="BO197" s="898"/>
      <c r="BP197" s="899" t="b">
        <f>IF(AND($C197&lt;&gt;"",M197=""),TRUE,FALSE)</f>
        <v>0</v>
      </c>
      <c r="BQ197" s="898"/>
      <c r="BR197" s="899" t="b">
        <f>IF(AND($C197&lt;&gt;"",O197=""),TRUE,FALSE)</f>
        <v>0</v>
      </c>
      <c r="BS197" s="898" t="b">
        <f>IF(AND(S197="",OR(U197&lt;&gt;"",AA197&lt;&gt;"",AG197&lt;&gt;"",AI197&lt;&gt;"",AK197&lt;&gt;"",AM197&lt;&gt;"",AO197&lt;&gt;"",AQ197&lt;&gt;"",AS197&lt;&gt;"",AU197&lt;&gt;"",AW197&lt;&gt;"",AY197&lt;&gt;"",BA197&lt;&gt;"")),TRUE,FALSE)</f>
        <v>0</v>
      </c>
      <c r="BT197" s="899" t="b">
        <f>IF(AND($C197&lt;&gt;"",S197=""),TRUE,FALSE)</f>
        <v>0</v>
      </c>
      <c r="BU197" s="898"/>
      <c r="BV197" s="899" t="b">
        <f>IF(AND($C197&lt;&gt;"",U197=""),TRUE,FALSE)</f>
        <v>0</v>
      </c>
      <c r="BW197" s="1537" t="b">
        <f>IF(BX197=TRUE,FALSE,IF(AA197="",FALSE,IF(OR(AA197&lt;CX197,AA197&gt;BaseYear),TRUE,FALSE)))</f>
        <v>0</v>
      </c>
      <c r="BX197" s="899" t="b">
        <f>IF(AND($C197&lt;&gt;"",AA197=""),TRUE,FALSE)</f>
        <v>0</v>
      </c>
      <c r="BY197" s="898"/>
      <c r="BZ197" s="899" t="b">
        <f>IF(AND($C197&lt;&gt;"",AG197=""),TRUE,FALSE)</f>
        <v>0</v>
      </c>
      <c r="CA197" s="898"/>
      <c r="CB197" s="899" t="b">
        <f>IF(AND($C197&lt;&gt;"",AI197=""),TRUE,FALSE)</f>
        <v>0</v>
      </c>
      <c r="CC197" s="1537" t="b">
        <f>IF(AK197="",FALSE,IF(OR(AK197&lt;CX197,AK197&gt;BaseYear),TRUE,FALSE))</f>
        <v>0</v>
      </c>
      <c r="CD197" s="1538" t="b">
        <f>IF(AK197="",FALSE,IF(AK197&lt;AA197,TRUE,FALSE))</f>
        <v>0</v>
      </c>
      <c r="CE197" s="899" t="b">
        <f>IF(AND($AM197&lt;&gt;"",AK197=""),TRUE,FALSE)</f>
        <v>0</v>
      </c>
      <c r="CF197" s="898"/>
      <c r="CG197" s="898" t="b">
        <f>IF(AND($AK197&lt;&gt;"",AM197=""),TRUE,FALSE)</f>
        <v>0</v>
      </c>
      <c r="CH197" s="898"/>
      <c r="CI197" s="899" t="b">
        <f>IF(AND($C197&lt;&gt;"",AO197=""),TRUE,FALSE)</f>
        <v>0</v>
      </c>
      <c r="CJ197" s="1537"/>
      <c r="CK197" s="899" t="b">
        <f>IF(AND($C197&lt;&gt;"",AQ197=""),TRUE,FALSE)</f>
        <v>0</v>
      </c>
      <c r="CL197" s="898"/>
      <c r="CM197" s="899" t="b">
        <f>IF(AND($C197&lt;&gt;"",AS197=""),TRUE,FALSE)</f>
        <v>0</v>
      </c>
      <c r="CN197" s="898"/>
      <c r="CO197" s="899" t="b">
        <f>IF(AND($C197&lt;&gt;"",AU197=""),TRUE,FALSE)</f>
        <v>0</v>
      </c>
      <c r="CP197" s="898"/>
      <c r="CQ197" s="899" t="b">
        <f>IF(AND($C197&lt;&gt;"",AW197=""),TRUE,FALSE)</f>
        <v>0</v>
      </c>
      <c r="CR197" s="898"/>
      <c r="CS197" s="899" t="b">
        <f>IF(AND($C197&lt;&gt;"",AY197=""),TRUE,FALSE)</f>
        <v>0</v>
      </c>
      <c r="CT197" s="898"/>
      <c r="CU197" s="898" t="b">
        <f>IF(AND($C197&lt;&gt;"",BA197=""),TRUE,FALSE)</f>
        <v>0</v>
      </c>
      <c r="CV197" s="894"/>
      <c r="CW197" s="898" t="str">
        <f t="shared" si="47"/>
        <v/>
      </c>
      <c r="CX197" s="898" t="str">
        <f>IFERROR(IF(AND(S197="",S197&lt;&gt;""),1913,VLOOKUP(S197,Valid!$B$99:$J$120,9)),"")</f>
        <v/>
      </c>
      <c r="CY197" s="898" t="str">
        <f t="shared" ca="1" si="48"/>
        <v/>
      </c>
      <c r="CZ197" s="1547" t="str">
        <f t="shared" ca="1" si="53"/>
        <v/>
      </c>
      <c r="DA197" s="898" t="str">
        <f ca="1">IF(CZ197="", "", IF(1+(CZ197*4)&lt;1, 1, 1+(CZ197*4)))</f>
        <v/>
      </c>
      <c r="DB197" s="898" t="str">
        <f t="shared" si="49"/>
        <v/>
      </c>
      <c r="DC197" s="898" t="str">
        <f t="shared" si="50"/>
        <v/>
      </c>
      <c r="DD197" s="1539" t="str">
        <f>IFERROR(IF(AND(AM197="",C197&lt;&gt;""),Valid!$E$123,VLOOKUP(AM197,Valid!$B$123:$F$125,4,FALSE)),"")</f>
        <v/>
      </c>
      <c r="DE197" s="1539" t="str">
        <f>IFERROR(IF(AND(AM197="",C197&lt;&gt;""),Valid!$F$123,VLOOKUP(AM197,Valid!$B$123:$F$125,5,FALSE)),"")</f>
        <v/>
      </c>
      <c r="DF197" s="1539" t="str">
        <f>IFERROR(VLOOKUP('A-70 RevVehInv'!S197,Valid!$B$99:$I$120,7), "")</f>
        <v/>
      </c>
      <c r="DG197" s="1539" t="str">
        <f>IFERROR(VLOOKUP(S197,Valid!$B$99:$I$120,8), "")</f>
        <v/>
      </c>
      <c r="DH197" s="894"/>
    </row>
    <row r="198" spans="1:112" ht="6.75" customHeight="1" x14ac:dyDescent="0.2">
      <c r="A198" s="1517"/>
      <c r="B198" s="1530">
        <v>93.5</v>
      </c>
      <c r="C198" s="1540"/>
      <c r="D198" s="905"/>
      <c r="E198" s="1541"/>
      <c r="F198" s="905"/>
      <c r="G198" s="905"/>
      <c r="H198" s="905"/>
      <c r="I198" s="1534"/>
      <c r="J198" s="905"/>
      <c r="K198" s="1534"/>
      <c r="L198" s="905"/>
      <c r="M198" s="1534"/>
      <c r="N198" s="905"/>
      <c r="O198" s="1534"/>
      <c r="P198" s="905"/>
      <c r="Q198" s="1534"/>
      <c r="R198" s="1531"/>
      <c r="S198" s="1542"/>
      <c r="T198" s="905"/>
      <c r="U198" s="1542"/>
      <c r="V198" s="905"/>
      <c r="W198" s="1534" t="str">
        <f t="shared" si="45"/>
        <v/>
      </c>
      <c r="X198" s="905"/>
      <c r="Y198" s="1534"/>
      <c r="Z198" s="252" t="str">
        <f t="shared" si="46"/>
        <v/>
      </c>
      <c r="AA198" s="1534"/>
      <c r="AB198" s="905"/>
      <c r="AC198" s="1973" t="str">
        <f t="shared" si="51"/>
        <v/>
      </c>
      <c r="AD198" s="905"/>
      <c r="AE198" s="1985" t="str">
        <f t="shared" si="52"/>
        <v/>
      </c>
      <c r="AF198" s="905"/>
      <c r="AG198" s="1543"/>
      <c r="AH198" s="1531"/>
      <c r="AI198" s="1534"/>
      <c r="AJ198" s="1531"/>
      <c r="AK198" s="1534"/>
      <c r="AL198" s="1531"/>
      <c r="AM198" s="1543"/>
      <c r="AN198" s="1531"/>
      <c r="AO198" s="1543"/>
      <c r="AP198" s="1531"/>
      <c r="AQ198" s="1534"/>
      <c r="AR198" s="1531"/>
      <c r="AS198" s="1534"/>
      <c r="AT198" s="1531"/>
      <c r="AU198" s="1534"/>
      <c r="AV198" s="1531"/>
      <c r="AW198" s="1534"/>
      <c r="AX198" s="1531"/>
      <c r="AY198" s="1534"/>
      <c r="AZ198" s="1531"/>
      <c r="BA198" s="1543"/>
      <c r="BB198" s="1531"/>
      <c r="BC198" s="1534"/>
      <c r="BD198" s="1531"/>
      <c r="BE198" s="1531"/>
      <c r="BF198" s="1531"/>
      <c r="BG198" s="1531"/>
      <c r="BH198" s="1531"/>
      <c r="BI198" s="1535"/>
      <c r="BJ198" s="1534"/>
      <c r="BK198" s="898"/>
      <c r="BL198" s="1534"/>
      <c r="BM198" s="1535"/>
      <c r="BN198" s="1534"/>
      <c r="BO198" s="1535"/>
      <c r="BP198" s="1534"/>
      <c r="BQ198" s="1535"/>
      <c r="BR198" s="1534"/>
      <c r="BS198" s="1535"/>
      <c r="BT198" s="1534"/>
      <c r="BU198" s="1535"/>
      <c r="BV198" s="1534"/>
      <c r="BW198" s="1535"/>
      <c r="BX198" s="1534"/>
      <c r="BY198" s="1535"/>
      <c r="BZ198" s="1534"/>
      <c r="CA198" s="1535"/>
      <c r="CB198" s="1534"/>
      <c r="CC198" s="1535"/>
      <c r="CD198" s="1534"/>
      <c r="CE198" s="1534"/>
      <c r="CF198" s="1535"/>
      <c r="CG198" s="1534"/>
      <c r="CH198" s="1535"/>
      <c r="CI198" s="1534"/>
      <c r="CJ198" s="1535"/>
      <c r="CK198" s="1534"/>
      <c r="CL198" s="1535"/>
      <c r="CM198" s="1534"/>
      <c r="CN198" s="1535"/>
      <c r="CO198" s="1534"/>
      <c r="CP198" s="1535"/>
      <c r="CQ198" s="1534"/>
      <c r="CR198" s="1535"/>
      <c r="CS198" s="1534"/>
      <c r="CT198" s="1535"/>
      <c r="CU198" s="1535"/>
      <c r="CV198" s="1531"/>
      <c r="CW198" s="898" t="str">
        <f t="shared" si="47"/>
        <v/>
      </c>
      <c r="CX198" s="898" t="str">
        <f>IFERROR(IF(AND(S198="",S198&lt;&gt;""),1913,VLOOKUP(S198,Valid!$B$99:$J$120,9)),"")</f>
        <v/>
      </c>
      <c r="CY198" s="898" t="str">
        <f t="shared" ca="1" si="48"/>
        <v/>
      </c>
      <c r="CZ198" s="1547" t="str">
        <f t="shared" ca="1" si="53"/>
        <v/>
      </c>
      <c r="DA198" s="898"/>
      <c r="DB198" s="898" t="str">
        <f t="shared" si="49"/>
        <v/>
      </c>
      <c r="DC198" s="898" t="str">
        <f t="shared" si="50"/>
        <v/>
      </c>
      <c r="DD198" s="1539" t="str">
        <f>IFERROR(IF(AND(AM198="",C198&lt;&gt;""),Valid!$E$123,VLOOKUP(AM198,Valid!$B$123:$F$125,4,FALSE)),"")</f>
        <v/>
      </c>
      <c r="DE198" s="1539" t="str">
        <f>IFERROR(IF(AND(AM198="",C198&lt;&gt;""),Valid!$F$123,VLOOKUP(AM198,Valid!$B$123:$F$125,5,FALSE)),"")</f>
        <v/>
      </c>
      <c r="DF198" s="1539" t="str">
        <f>IFERROR(VLOOKUP('A-70 RevVehInv'!S198,Valid!$B$99:$I$120,7), "")</f>
        <v/>
      </c>
      <c r="DG198" s="1539" t="str">
        <f>IFERROR(VLOOKUP(S198,Valid!$B$99:$I$120,8), "")</f>
        <v/>
      </c>
      <c r="DH198" s="1531"/>
    </row>
    <row r="199" spans="1:112" s="930" customFormat="1" x14ac:dyDescent="0.2">
      <c r="A199" s="206">
        <v>94</v>
      </c>
      <c r="B199" s="1530">
        <v>94</v>
      </c>
      <c r="C199" s="933"/>
      <c r="D199" s="719" t="str">
        <f>IF(C197="","",IF((C199=""),"Enter RVI ID. then Fill in Columns "&amp;TEXT($I$2,0)&amp;" - "&amp;TEXT($BA$2,0)&amp;"       ",""))</f>
        <v/>
      </c>
      <c r="E199" s="1056" t="str">
        <f>IF(BH199="N/A","",BH199)</f>
        <v/>
      </c>
      <c r="F199" s="1536"/>
      <c r="G199" s="1536"/>
      <c r="H199" s="1536"/>
      <c r="I199" s="1023"/>
      <c r="J199" s="1536" t="str">
        <f>IF(E199&lt;&gt;"","Vehicles?    ","")</f>
        <v/>
      </c>
      <c r="K199" s="1023"/>
      <c r="L199" s="1536" t="str">
        <f>IF(E199&lt;&gt;"","Active Vehicles?     ","")</f>
        <v/>
      </c>
      <c r="M199" s="1023"/>
      <c r="N199" s="1536" t="str">
        <f>IF(E199&lt;&gt;"","ADA Vehicles?       ","")</f>
        <v/>
      </c>
      <c r="O199" s="1023"/>
      <c r="P199" s="1536" t="str">
        <f>IF(E199&lt;&gt;"","Cont. Vehicles?     ","")</f>
        <v/>
      </c>
      <c r="Q199" s="1024"/>
      <c r="R199" s="894"/>
      <c r="S199" s="1153"/>
      <c r="T199" s="252" t="str">
        <f>IF(E199&lt;&gt;"","Select from Pull-Down List    ","")</f>
        <v/>
      </c>
      <c r="U199" s="933"/>
      <c r="V199" s="252" t="str">
        <f>IF(E199&lt;&gt;"","Select from Pull-Down List    ","")</f>
        <v/>
      </c>
      <c r="W199" s="1766" t="str">
        <f t="shared" si="45"/>
        <v/>
      </c>
      <c r="X199" s="252"/>
      <c r="Y199" s="1988"/>
      <c r="Z199" s="252" t="str">
        <f t="shared" si="46"/>
        <v/>
      </c>
      <c r="AA199" s="139"/>
      <c r="AB199" s="252" t="str">
        <f>IF(E199&lt;&gt;"","Mfg. Yr?    ","")</f>
        <v/>
      </c>
      <c r="AC199" s="1974" t="str">
        <f t="shared" si="51"/>
        <v/>
      </c>
      <c r="AD199" s="252"/>
      <c r="AE199" s="1986" t="str">
        <f t="shared" si="52"/>
        <v/>
      </c>
      <c r="AF199" s="252"/>
      <c r="AG199" s="933"/>
      <c r="AH199" s="252" t="str">
        <f>IF(E199&lt;&gt;"","Select from Pull-Down List    ","")</f>
        <v/>
      </c>
      <c r="AI199" s="933"/>
      <c r="AJ199" s="252" t="str">
        <f>IF(E199&lt;&gt;"","Number?   ","")</f>
        <v/>
      </c>
      <c r="AK199" s="139"/>
      <c r="AL199" s="252" t="str">
        <f>IF(E199&lt;&gt;"","Last Rnwl. Yr?   ","")</f>
        <v/>
      </c>
      <c r="AM199" s="933"/>
      <c r="AN199" s="252" t="str">
        <f>IF(E199&lt;&gt;"","Select from Pull-Down List    ","")</f>
        <v/>
      </c>
      <c r="AO199" s="933"/>
      <c r="AP199" s="252" t="str">
        <f>IF(E199&lt;&gt;"","Select from Pull-Down List    ","")</f>
        <v/>
      </c>
      <c r="AQ199" s="1023"/>
      <c r="AR199" s="252" t="str">
        <f>IF(E199&lt;&gt;"","Feet?    ","")</f>
        <v/>
      </c>
      <c r="AS199" s="1023"/>
      <c r="AT199" s="252" t="str">
        <f>IF(E199&lt;&gt;"","Seats?    ","")</f>
        <v/>
      </c>
      <c r="AU199" s="1023"/>
      <c r="AV199" s="252" t="str">
        <f>IF(E199&lt;&gt;"","Standing?    ","")</f>
        <v/>
      </c>
      <c r="AW199" s="1023"/>
      <c r="AX199" s="252" t="str">
        <f>IF(E199&lt;&gt;"","Mileage?       ","")</f>
        <v/>
      </c>
      <c r="AY199" s="1023"/>
      <c r="AZ199" s="252" t="str">
        <f>IF(E199&lt;&gt;"","Avg. Lifetime Mileage? ","")</f>
        <v/>
      </c>
      <c r="BA199" s="933"/>
      <c r="BB199" s="252" t="str">
        <f>IF(E199&lt;&gt;"","Select from Pull-Down List    ","")</f>
        <v/>
      </c>
      <c r="BC199" s="171"/>
      <c r="BD199" s="252" t="str">
        <f>IF(OR(AO199="OR - Other fuel (describe in Notes)",AG199="ZZZ - Other (describe in Notes)"),"Describe                                                                                                     ","")</f>
        <v/>
      </c>
      <c r="BE199" s="894"/>
      <c r="BF199" s="894"/>
      <c r="BG199" s="894" t="b">
        <f>IF(AND(C199="",C201&lt;&gt;""),TRUE,FALSE)</f>
        <v>0</v>
      </c>
      <c r="BH199" s="888" t="str">
        <f>IF(AND(C199&lt;&gt;"",OR(I199="",K199="",M199="",O199="",S199="",U199="",AA199="",AG199="",AI199="",AO199="",AQ199="",AS199="",AU199="",AW199="",AY199="")),"No",IF(AND(C199="",OR(I199&lt;&gt;"",K199&lt;&gt;"",M199&lt;&gt;"",O199&lt;&gt;"",S199&lt;&gt;"",U199&lt;&gt;"",AA199&lt;&gt;"",AG199&lt;&gt;"",AI199&lt;&gt;"",AK199&lt;&gt;"",AM199&lt;&gt;"",AO199&lt;&gt;"",AQ199&lt;&gt;"",AS199&lt;&gt;"",AU199&lt;&gt;"",AW199&lt;&gt;"",AY199&lt;&gt;"",BA199&lt;&gt;"",BC199&lt;&gt;"")),"No",IF(AND(C199="",I199="",K199="",M199="",O199="",S199="",U199="",AA199="",AG199="",AI199="",AK199="",AM199="",AO199="",AQ199="",AS199="",AU199="",AW199="",AY199="",BA199=""),"N/A","Yes")))</f>
        <v>N/A</v>
      </c>
      <c r="BI199" s="898"/>
      <c r="BJ199" s="899" t="b">
        <f>IF(AND(OR(I199&lt;&gt;"",K199&lt;&gt;"",M199&lt;&gt;"",O199&lt;&gt;"",S199&lt;&gt;"",U199&lt;&gt;"",AA199&lt;&gt;"",AG199&lt;&gt;"",AI199&lt;&gt;"",AK199&lt;&gt;"",AM199&lt;&gt;"",AO199&lt;&gt;"",AQ199&lt;&gt;"",AS199&lt;&gt;"",AW199&lt;&gt;"",AY199&lt;&gt;"",BA199&lt;&gt;"",BC199&lt;&gt;""),C199=""),TRUE,FALSE)</f>
        <v>0</v>
      </c>
      <c r="BK199" s="898" t="b">
        <f>IF(BL199=TRUE,FALSE,IF(SUM(K199,O199)&gt;I199,TRUE,FALSE))</f>
        <v>0</v>
      </c>
      <c r="BL199" s="899" t="b">
        <f>IF(AND(C199&lt;&gt;"",I199=""),TRUE,FALSE)</f>
        <v>0</v>
      </c>
      <c r="BM199" s="898" t="b">
        <f>IF(BN199=TRUE,FALSE,IF(M199&gt;K199,TRUE,FALSE))</f>
        <v>0</v>
      </c>
      <c r="BN199" s="899" t="b">
        <f>IF(AND($C199&lt;&gt;"",K199=""),TRUE,FALSE)</f>
        <v>0</v>
      </c>
      <c r="BO199" s="898"/>
      <c r="BP199" s="899" t="b">
        <f>IF(AND($C199&lt;&gt;"",M199=""),TRUE,FALSE)</f>
        <v>0</v>
      </c>
      <c r="BQ199" s="898"/>
      <c r="BR199" s="899" t="b">
        <f>IF(AND($C199&lt;&gt;"",O199=""),TRUE,FALSE)</f>
        <v>0</v>
      </c>
      <c r="BS199" s="898" t="b">
        <f>IF(AND(S199="",OR(U199&lt;&gt;"",AA199&lt;&gt;"",AG199&lt;&gt;"",AI199&lt;&gt;"",AK199&lt;&gt;"",AM199&lt;&gt;"",AO199&lt;&gt;"",AQ199&lt;&gt;"",AS199&lt;&gt;"",AU199&lt;&gt;"",AW199&lt;&gt;"",AY199&lt;&gt;"",BA199&lt;&gt;"")),TRUE,FALSE)</f>
        <v>0</v>
      </c>
      <c r="BT199" s="899" t="b">
        <f>IF(AND($C199&lt;&gt;"",S199=""),TRUE,FALSE)</f>
        <v>0</v>
      </c>
      <c r="BU199" s="898"/>
      <c r="BV199" s="899" t="b">
        <f>IF(AND($C199&lt;&gt;"",U199=""),TRUE,FALSE)</f>
        <v>0</v>
      </c>
      <c r="BW199" s="1537" t="b">
        <f>IF(BX199=TRUE,FALSE,IF(AA199="",FALSE,IF(OR(AA199&lt;CX199,AA199&gt;BaseYear),TRUE,FALSE)))</f>
        <v>0</v>
      </c>
      <c r="BX199" s="899" t="b">
        <f>IF(AND($C199&lt;&gt;"",AA199=""),TRUE,FALSE)</f>
        <v>0</v>
      </c>
      <c r="BY199" s="898"/>
      <c r="BZ199" s="899" t="b">
        <f>IF(AND($C199&lt;&gt;"",AG199=""),TRUE,FALSE)</f>
        <v>0</v>
      </c>
      <c r="CA199" s="898"/>
      <c r="CB199" s="899" t="b">
        <f>IF(AND($C199&lt;&gt;"",AI199=""),TRUE,FALSE)</f>
        <v>0</v>
      </c>
      <c r="CC199" s="1537" t="b">
        <f>IF(AK199="",FALSE,IF(OR(AK199&lt;CX199,AK199&gt;BaseYear),TRUE,FALSE))</f>
        <v>0</v>
      </c>
      <c r="CD199" s="1538" t="b">
        <f>IF(AK199="",FALSE,IF(AK199&lt;AA199,TRUE,FALSE))</f>
        <v>0</v>
      </c>
      <c r="CE199" s="899" t="b">
        <f>IF(AND($AM199&lt;&gt;"",AK199=""),TRUE,FALSE)</f>
        <v>0</v>
      </c>
      <c r="CF199" s="898"/>
      <c r="CG199" s="898" t="b">
        <f>IF(AND($AK199&lt;&gt;"",AM199=""),TRUE,FALSE)</f>
        <v>0</v>
      </c>
      <c r="CH199" s="898"/>
      <c r="CI199" s="899" t="b">
        <f>IF(AND($C199&lt;&gt;"",AO199=""),TRUE,FALSE)</f>
        <v>0</v>
      </c>
      <c r="CJ199" s="1537"/>
      <c r="CK199" s="899" t="b">
        <f>IF(AND($C199&lt;&gt;"",AQ199=""),TRUE,FALSE)</f>
        <v>0</v>
      </c>
      <c r="CL199" s="898"/>
      <c r="CM199" s="899" t="b">
        <f>IF(AND($C199&lt;&gt;"",AS199=""),TRUE,FALSE)</f>
        <v>0</v>
      </c>
      <c r="CN199" s="898"/>
      <c r="CO199" s="899" t="b">
        <f>IF(AND($C199&lt;&gt;"",AU199=""),TRUE,FALSE)</f>
        <v>0</v>
      </c>
      <c r="CP199" s="898"/>
      <c r="CQ199" s="899" t="b">
        <f>IF(AND($C199&lt;&gt;"",AW199=""),TRUE,FALSE)</f>
        <v>0</v>
      </c>
      <c r="CR199" s="898"/>
      <c r="CS199" s="899" t="b">
        <f>IF(AND($C199&lt;&gt;"",AY199=""),TRUE,FALSE)</f>
        <v>0</v>
      </c>
      <c r="CT199" s="898"/>
      <c r="CU199" s="898" t="b">
        <f>IF(AND($C199&lt;&gt;"",BA199=""),TRUE,FALSE)</f>
        <v>0</v>
      </c>
      <c r="CV199" s="894"/>
      <c r="CW199" s="898" t="str">
        <f t="shared" si="47"/>
        <v/>
      </c>
      <c r="CX199" s="898" t="str">
        <f>IFERROR(IF(AND(S199="",S199&lt;&gt;""),1913,VLOOKUP(S199,Valid!$B$99:$J$120,9)),"")</f>
        <v/>
      </c>
      <c r="CY199" s="898" t="str">
        <f t="shared" ca="1" si="48"/>
        <v/>
      </c>
      <c r="CZ199" s="1547" t="str">
        <f t="shared" ca="1" si="53"/>
        <v/>
      </c>
      <c r="DA199" s="898" t="str">
        <f ca="1">IF(CZ199="", "", IF(1+(CZ199*4)&lt;1, 1, 1+(CZ199*4)))</f>
        <v/>
      </c>
      <c r="DB199" s="898" t="str">
        <f t="shared" si="49"/>
        <v/>
      </c>
      <c r="DC199" s="898" t="str">
        <f t="shared" si="50"/>
        <v/>
      </c>
      <c r="DD199" s="1539" t="str">
        <f>IFERROR(IF(AND(AM199="",C199&lt;&gt;""),Valid!$E$123,VLOOKUP(AM199,Valid!$B$123:$F$125,4,FALSE)),"")</f>
        <v/>
      </c>
      <c r="DE199" s="1539" t="str">
        <f>IFERROR(IF(AND(AM199="",C199&lt;&gt;""),Valid!$F$123,VLOOKUP(AM199,Valid!$B$123:$F$125,5,FALSE)),"")</f>
        <v/>
      </c>
      <c r="DF199" s="1539" t="str">
        <f>IFERROR(VLOOKUP('A-70 RevVehInv'!S199,Valid!$B$99:$I$120,7), "")</f>
        <v/>
      </c>
      <c r="DG199" s="1539" t="str">
        <f>IFERROR(VLOOKUP(S199,Valid!$B$99:$I$120,8), "")</f>
        <v/>
      </c>
      <c r="DH199" s="894"/>
    </row>
    <row r="200" spans="1:112" ht="6.75" customHeight="1" x14ac:dyDescent="0.2">
      <c r="A200" s="1517"/>
      <c r="B200" s="1530">
        <v>94.5</v>
      </c>
      <c r="C200" s="1544"/>
      <c r="D200" s="905"/>
      <c r="E200" s="1545"/>
      <c r="F200" s="905"/>
      <c r="G200" s="905"/>
      <c r="H200" s="905"/>
      <c r="I200" s="1531"/>
      <c r="J200" s="905"/>
      <c r="K200" s="1531"/>
      <c r="L200" s="905"/>
      <c r="M200" s="1531"/>
      <c r="N200" s="905"/>
      <c r="O200" s="1531"/>
      <c r="P200" s="905"/>
      <c r="Q200" s="1531"/>
      <c r="R200" s="1531"/>
      <c r="S200" s="1533"/>
      <c r="T200" s="905"/>
      <c r="U200" s="1533"/>
      <c r="V200" s="905"/>
      <c r="W200" s="1531" t="str">
        <f t="shared" si="45"/>
        <v/>
      </c>
      <c r="X200" s="905"/>
      <c r="Y200" s="1531"/>
      <c r="Z200" s="252" t="str">
        <f t="shared" si="46"/>
        <v/>
      </c>
      <c r="AA200" s="1531"/>
      <c r="AB200" s="905"/>
      <c r="AC200" s="1971" t="str">
        <f t="shared" si="51"/>
        <v/>
      </c>
      <c r="AD200" s="905"/>
      <c r="AE200" s="1983" t="str">
        <f t="shared" si="52"/>
        <v/>
      </c>
      <c r="AF200" s="905"/>
      <c r="AG200" s="1546"/>
      <c r="AH200" s="1531"/>
      <c r="AI200" s="1531"/>
      <c r="AJ200" s="1531"/>
      <c r="AK200" s="1531"/>
      <c r="AL200" s="1531"/>
      <c r="AM200" s="1546"/>
      <c r="AN200" s="1531"/>
      <c r="AO200" s="1546"/>
      <c r="AP200" s="1531"/>
      <c r="AQ200" s="1531"/>
      <c r="AR200" s="1531"/>
      <c r="AS200" s="1531"/>
      <c r="AT200" s="1531"/>
      <c r="AU200" s="1531"/>
      <c r="AV200" s="1531"/>
      <c r="AW200" s="1531"/>
      <c r="AX200" s="1531"/>
      <c r="AY200" s="1531"/>
      <c r="AZ200" s="1531"/>
      <c r="BA200" s="1546"/>
      <c r="BB200" s="1531"/>
      <c r="BC200" s="1531"/>
      <c r="BD200" s="1531"/>
      <c r="BE200" s="1531"/>
      <c r="BF200" s="1531"/>
      <c r="BG200" s="1531"/>
      <c r="BH200" s="1531"/>
      <c r="BI200" s="1535"/>
      <c r="BJ200" s="1534"/>
      <c r="BK200" s="1535"/>
      <c r="BL200" s="1534"/>
      <c r="BM200" s="1535"/>
      <c r="BN200" s="1534"/>
      <c r="BO200" s="1535"/>
      <c r="BP200" s="1534"/>
      <c r="BQ200" s="1535"/>
      <c r="BR200" s="1534"/>
      <c r="BS200" s="1535"/>
      <c r="BT200" s="1534"/>
      <c r="BU200" s="1535"/>
      <c r="BV200" s="1534"/>
      <c r="BW200" s="1535"/>
      <c r="BX200" s="1534"/>
      <c r="BY200" s="1535"/>
      <c r="BZ200" s="1534"/>
      <c r="CA200" s="1535"/>
      <c r="CB200" s="1534"/>
      <c r="CC200" s="1535"/>
      <c r="CD200" s="1534"/>
      <c r="CE200" s="1534"/>
      <c r="CF200" s="1535"/>
      <c r="CG200" s="1534"/>
      <c r="CH200" s="1535"/>
      <c r="CI200" s="1534"/>
      <c r="CJ200" s="1535"/>
      <c r="CK200" s="1534"/>
      <c r="CL200" s="1535"/>
      <c r="CM200" s="1534"/>
      <c r="CN200" s="1535"/>
      <c r="CO200" s="1534"/>
      <c r="CP200" s="1535"/>
      <c r="CQ200" s="1534"/>
      <c r="CR200" s="1535"/>
      <c r="CS200" s="1534"/>
      <c r="CT200" s="1535"/>
      <c r="CU200" s="1535"/>
      <c r="CV200" s="1531"/>
      <c r="CW200" s="898" t="str">
        <f t="shared" si="47"/>
        <v/>
      </c>
      <c r="CX200" s="898" t="str">
        <f>IFERROR(IF(AND(S200="",S200&lt;&gt;""),1913,VLOOKUP(S200,Valid!$B$99:$J$120,9)),"")</f>
        <v/>
      </c>
      <c r="CY200" s="898" t="str">
        <f t="shared" ca="1" si="48"/>
        <v/>
      </c>
      <c r="CZ200" s="1547" t="str">
        <f t="shared" ca="1" si="53"/>
        <v/>
      </c>
      <c r="DA200" s="898"/>
      <c r="DB200" s="898" t="str">
        <f t="shared" si="49"/>
        <v/>
      </c>
      <c r="DC200" s="898" t="str">
        <f t="shared" si="50"/>
        <v/>
      </c>
      <c r="DD200" s="1539" t="str">
        <f>IFERROR(IF(AND(AM200="",C200&lt;&gt;""),Valid!$E$123,VLOOKUP(AM200,Valid!$B$123:$F$125,4,FALSE)),"")</f>
        <v/>
      </c>
      <c r="DE200" s="1539" t="str">
        <f>IFERROR(IF(AND(AM200="",C200&lt;&gt;""),Valid!$F$123,VLOOKUP(AM200,Valid!$B$123:$F$125,5,FALSE)),"")</f>
        <v/>
      </c>
      <c r="DF200" s="1539" t="str">
        <f>IFERROR(VLOOKUP('A-70 RevVehInv'!S200,Valid!$B$99:$I$120,7), "")</f>
        <v/>
      </c>
      <c r="DG200" s="1539" t="str">
        <f>IFERROR(VLOOKUP(S200,Valid!$B$99:$I$120,8), "")</f>
        <v/>
      </c>
      <c r="DH200" s="1531"/>
    </row>
    <row r="201" spans="1:112" s="930" customFormat="1" x14ac:dyDescent="0.2">
      <c r="A201" s="206">
        <v>95</v>
      </c>
      <c r="B201" s="1530">
        <v>95</v>
      </c>
      <c r="C201" s="933"/>
      <c r="D201" s="719" t="str">
        <f>IF(C199="","",IF((C201=""),"Enter RVI ID. then Fill in Columns "&amp;TEXT($I$2,0)&amp;" - "&amp;TEXT($BA$2,0)&amp;"       ",""))</f>
        <v/>
      </c>
      <c r="E201" s="1056" t="str">
        <f>IF(BH201="N/A","",BH201)</f>
        <v/>
      </c>
      <c r="F201" s="1536"/>
      <c r="G201" s="1536"/>
      <c r="H201" s="1536"/>
      <c r="I201" s="1023"/>
      <c r="J201" s="1536" t="str">
        <f>IF(E201&lt;&gt;"","Vehicles?    ","")</f>
        <v/>
      </c>
      <c r="K201" s="1023"/>
      <c r="L201" s="1536" t="str">
        <f>IF(E201&lt;&gt;"","Active Vehicles?     ","")</f>
        <v/>
      </c>
      <c r="M201" s="1023"/>
      <c r="N201" s="1536" t="str">
        <f>IF(E201&lt;&gt;"","ADA Vehicles?       ","")</f>
        <v/>
      </c>
      <c r="O201" s="1023"/>
      <c r="P201" s="1536" t="str">
        <f>IF(E201&lt;&gt;"","Cont. Vehicles?     ","")</f>
        <v/>
      </c>
      <c r="Q201" s="1024"/>
      <c r="R201" s="894"/>
      <c r="S201" s="1153"/>
      <c r="T201" s="252" t="str">
        <f>IF(E201&lt;&gt;"","Select from Pull-Down List    ","")</f>
        <v/>
      </c>
      <c r="U201" s="933"/>
      <c r="V201" s="252" t="str">
        <f>IF(E201&lt;&gt;"","Select from Pull-Down List    ","")</f>
        <v/>
      </c>
      <c r="W201" s="1766" t="str">
        <f t="shared" si="45"/>
        <v/>
      </c>
      <c r="X201" s="252"/>
      <c r="Y201" s="1988"/>
      <c r="Z201" s="252" t="str">
        <f t="shared" si="46"/>
        <v/>
      </c>
      <c r="AA201" s="139"/>
      <c r="AB201" s="252" t="str">
        <f>IF(E201&lt;&gt;"","Mfg. Yr?    ","")</f>
        <v/>
      </c>
      <c r="AC201" s="1974" t="str">
        <f t="shared" si="51"/>
        <v/>
      </c>
      <c r="AD201" s="252"/>
      <c r="AE201" s="1986" t="str">
        <f t="shared" si="52"/>
        <v/>
      </c>
      <c r="AF201" s="252"/>
      <c r="AG201" s="933"/>
      <c r="AH201" s="252" t="str">
        <f>IF(E201&lt;&gt;"","Select from Pull-Down List    ","")</f>
        <v/>
      </c>
      <c r="AI201" s="933"/>
      <c r="AJ201" s="252" t="str">
        <f>IF(E201&lt;&gt;"","Number?   ","")</f>
        <v/>
      </c>
      <c r="AK201" s="139"/>
      <c r="AL201" s="252" t="str">
        <f>IF(E201&lt;&gt;"","Last Rnwl. Yr?   ","")</f>
        <v/>
      </c>
      <c r="AM201" s="933"/>
      <c r="AN201" s="252" t="str">
        <f>IF(E201&lt;&gt;"","Select from Pull-Down List    ","")</f>
        <v/>
      </c>
      <c r="AO201" s="933"/>
      <c r="AP201" s="252" t="str">
        <f>IF(E201&lt;&gt;"","Select from Pull-Down List    ","")</f>
        <v/>
      </c>
      <c r="AQ201" s="1023"/>
      <c r="AR201" s="252" t="str">
        <f>IF(E201&lt;&gt;"","Feet?    ","")</f>
        <v/>
      </c>
      <c r="AS201" s="1023"/>
      <c r="AT201" s="252" t="str">
        <f>IF(E201&lt;&gt;"","Seats?    ","")</f>
        <v/>
      </c>
      <c r="AU201" s="1023"/>
      <c r="AV201" s="252" t="str">
        <f>IF(E201&lt;&gt;"","Standing?    ","")</f>
        <v/>
      </c>
      <c r="AW201" s="1023"/>
      <c r="AX201" s="252" t="str">
        <f>IF(E201&lt;&gt;"","Mileage?       ","")</f>
        <v/>
      </c>
      <c r="AY201" s="1023"/>
      <c r="AZ201" s="252" t="str">
        <f>IF(E201&lt;&gt;"","Avg. Lifetime Mileage? ","")</f>
        <v/>
      </c>
      <c r="BA201" s="933"/>
      <c r="BB201" s="252" t="str">
        <f>IF(E201&lt;&gt;"","Select from Pull-Down List    ","")</f>
        <v/>
      </c>
      <c r="BC201" s="171"/>
      <c r="BD201" s="252" t="str">
        <f>IF(OR(AO201="OR - Other fuel (describe in Notes)",AG201="ZZZ - Other (describe in Notes)"),"Describe                                                                                                     ","")</f>
        <v/>
      </c>
      <c r="BE201" s="894"/>
      <c r="BF201" s="894"/>
      <c r="BG201" s="894" t="b">
        <f>IF(AND(C201="",C203&lt;&gt;""),TRUE,FALSE)</f>
        <v>0</v>
      </c>
      <c r="BH201" s="888" t="str">
        <f>IF(AND(C201&lt;&gt;"",OR(I201="",K201="",M201="",O201="",S201="",U201="",AA201="",AG201="",AI201="",AO201="",AQ201="",AS201="",AU201="",AW201="",AY201="")),"No",IF(AND(C201="",OR(I201&lt;&gt;"",K201&lt;&gt;"",M201&lt;&gt;"",O201&lt;&gt;"",S201&lt;&gt;"",U201&lt;&gt;"",AA201&lt;&gt;"",AG201&lt;&gt;"",AI201&lt;&gt;"",AK201&lt;&gt;"",AM201&lt;&gt;"",AO201&lt;&gt;"",AQ201&lt;&gt;"",AS201&lt;&gt;"",AU201&lt;&gt;"",AW201&lt;&gt;"",AY201&lt;&gt;"",BA201&lt;&gt;"",BC201&lt;&gt;"")),"No",IF(AND(C201="",I201="",K201="",M201="",O201="",S201="",U201="",AA201="",AG201="",AI201="",AK201="",AM201="",AO201="",AQ201="",AS201="",AU201="",AW201="",AY201="",BA201=""),"N/A","Yes")))</f>
        <v>N/A</v>
      </c>
      <c r="BI201" s="898"/>
      <c r="BJ201" s="899" t="b">
        <f>IF(AND(OR(I201&lt;&gt;"",K201&lt;&gt;"",M201&lt;&gt;"",O201&lt;&gt;"",S201&lt;&gt;"",U201&lt;&gt;"",AA201&lt;&gt;"",AG201&lt;&gt;"",AI201&lt;&gt;"",AK201&lt;&gt;"",AM201&lt;&gt;"",AO201&lt;&gt;"",AQ201&lt;&gt;"",AS201&lt;&gt;"",AW201&lt;&gt;"",AY201&lt;&gt;"",BA201&lt;&gt;"",BC201&lt;&gt;""),C201=""),TRUE,FALSE)</f>
        <v>0</v>
      </c>
      <c r="BK201" s="898" t="b">
        <f>IF(BL201=TRUE,FALSE,IF(SUM(K201,O201)&gt;I201,TRUE,FALSE))</f>
        <v>0</v>
      </c>
      <c r="BL201" s="899" t="b">
        <f>IF(AND(C201&lt;&gt;"",I201=""),TRUE,FALSE)</f>
        <v>0</v>
      </c>
      <c r="BM201" s="898" t="b">
        <f>IF(BN201=TRUE,FALSE,IF(M201&gt;K201,TRUE,FALSE))</f>
        <v>0</v>
      </c>
      <c r="BN201" s="899" t="b">
        <f>IF(AND($C201&lt;&gt;"",K201=""),TRUE,FALSE)</f>
        <v>0</v>
      </c>
      <c r="BO201" s="898"/>
      <c r="BP201" s="899" t="b">
        <f>IF(AND($C201&lt;&gt;"",M201=""),TRUE,FALSE)</f>
        <v>0</v>
      </c>
      <c r="BQ201" s="898"/>
      <c r="BR201" s="899" t="b">
        <f>IF(AND($C201&lt;&gt;"",O201=""),TRUE,FALSE)</f>
        <v>0</v>
      </c>
      <c r="BS201" s="898" t="b">
        <f>IF(AND(S201="",OR(U201&lt;&gt;"",AA201&lt;&gt;"",AG201&lt;&gt;"",AI201&lt;&gt;"",AK201&lt;&gt;"",AM201&lt;&gt;"",AO201&lt;&gt;"",AQ201&lt;&gt;"",AS201&lt;&gt;"",AU201&lt;&gt;"",AW201&lt;&gt;"",AY201&lt;&gt;"",BA201&lt;&gt;"")),TRUE,FALSE)</f>
        <v>0</v>
      </c>
      <c r="BT201" s="899" t="b">
        <f>IF(AND($C201&lt;&gt;"",S201=""),TRUE,FALSE)</f>
        <v>0</v>
      </c>
      <c r="BU201" s="898"/>
      <c r="BV201" s="899" t="b">
        <f>IF(AND($C201&lt;&gt;"",U201=""),TRUE,FALSE)</f>
        <v>0</v>
      </c>
      <c r="BW201" s="1537" t="b">
        <f>IF(BX201=TRUE,FALSE,IF(AA201="",FALSE,IF(OR(AA201&lt;CX201,AA201&gt;BaseYear),TRUE,FALSE)))</f>
        <v>0</v>
      </c>
      <c r="BX201" s="899" t="b">
        <f>IF(AND($C201&lt;&gt;"",AA201=""),TRUE,FALSE)</f>
        <v>0</v>
      </c>
      <c r="BY201" s="898"/>
      <c r="BZ201" s="899" t="b">
        <f>IF(AND($C201&lt;&gt;"",AG201=""),TRUE,FALSE)</f>
        <v>0</v>
      </c>
      <c r="CA201" s="898"/>
      <c r="CB201" s="899" t="b">
        <f>IF(AND($C201&lt;&gt;"",AI201=""),TRUE,FALSE)</f>
        <v>0</v>
      </c>
      <c r="CC201" s="1537" t="b">
        <f>IF(AK201="",FALSE,IF(OR(AK201&lt;CX201,AK201&gt;BaseYear),TRUE,FALSE))</f>
        <v>0</v>
      </c>
      <c r="CD201" s="1538" t="b">
        <f>IF(AK201="",FALSE,IF(AK201&lt;AA201,TRUE,FALSE))</f>
        <v>0</v>
      </c>
      <c r="CE201" s="899" t="b">
        <f>IF(AND($AM201&lt;&gt;"",AK201=""),TRUE,FALSE)</f>
        <v>0</v>
      </c>
      <c r="CF201" s="898"/>
      <c r="CG201" s="898" t="b">
        <f>IF(AND($AK201&lt;&gt;"",AM201=""),TRUE,FALSE)</f>
        <v>0</v>
      </c>
      <c r="CH201" s="898"/>
      <c r="CI201" s="899" t="b">
        <f>IF(AND($C201&lt;&gt;"",AO201=""),TRUE,FALSE)</f>
        <v>0</v>
      </c>
      <c r="CJ201" s="1537"/>
      <c r="CK201" s="899" t="b">
        <f>IF(AND($C201&lt;&gt;"",AQ201=""),TRUE,FALSE)</f>
        <v>0</v>
      </c>
      <c r="CL201" s="898"/>
      <c r="CM201" s="899" t="b">
        <f>IF(AND($C201&lt;&gt;"",AS201=""),TRUE,FALSE)</f>
        <v>0</v>
      </c>
      <c r="CN201" s="898"/>
      <c r="CO201" s="899" t="b">
        <f>IF(AND($C201&lt;&gt;"",AU201=""),TRUE,FALSE)</f>
        <v>0</v>
      </c>
      <c r="CP201" s="898"/>
      <c r="CQ201" s="899" t="b">
        <f>IF(AND($C201&lt;&gt;"",AW201=""),TRUE,FALSE)</f>
        <v>0</v>
      </c>
      <c r="CR201" s="898"/>
      <c r="CS201" s="899" t="b">
        <f>IF(AND($C201&lt;&gt;"",AY201=""),TRUE,FALSE)</f>
        <v>0</v>
      </c>
      <c r="CT201" s="898"/>
      <c r="CU201" s="898" t="b">
        <f>IF(AND($C201&lt;&gt;"",BA201=""),TRUE,FALSE)</f>
        <v>0</v>
      </c>
      <c r="CV201" s="894"/>
      <c r="CW201" s="898" t="str">
        <f t="shared" si="47"/>
        <v/>
      </c>
      <c r="CX201" s="898" t="str">
        <f>IFERROR(IF(AND(S201="",S201&lt;&gt;""),1913,VLOOKUP(S201,Valid!$B$99:$J$120,9)),"")</f>
        <v/>
      </c>
      <c r="CY201" s="898" t="str">
        <f t="shared" ca="1" si="48"/>
        <v/>
      </c>
      <c r="CZ201" s="1547" t="str">
        <f t="shared" ca="1" si="53"/>
        <v/>
      </c>
      <c r="DA201" s="898" t="str">
        <f ca="1">IF(CZ201="", "", IF(1+(CZ201*4)&lt;1, 1, 1+(CZ201*4)))</f>
        <v/>
      </c>
      <c r="DB201" s="898" t="str">
        <f t="shared" si="49"/>
        <v/>
      </c>
      <c r="DC201" s="898" t="str">
        <f t="shared" si="50"/>
        <v/>
      </c>
      <c r="DD201" s="1539" t="str">
        <f>IFERROR(IF(AND(AM201="",C201&lt;&gt;""),Valid!$E$123,VLOOKUP(AM201,Valid!$B$123:$F$125,4,FALSE)),"")</f>
        <v/>
      </c>
      <c r="DE201" s="1539" t="str">
        <f>IFERROR(IF(AND(AM201="",C201&lt;&gt;""),Valid!$F$123,VLOOKUP(AM201,Valid!$B$123:$F$125,5,FALSE)),"")</f>
        <v/>
      </c>
      <c r="DF201" s="1539" t="str">
        <f>IFERROR(VLOOKUP('A-70 RevVehInv'!S201,Valid!$B$99:$I$120,7), "")</f>
        <v/>
      </c>
      <c r="DG201" s="1539" t="str">
        <f>IFERROR(VLOOKUP(S201,Valid!$B$99:$I$120,8), "")</f>
        <v/>
      </c>
      <c r="DH201" s="894"/>
    </row>
    <row r="202" spans="1:112" ht="6.75" customHeight="1" x14ac:dyDescent="0.2">
      <c r="A202" s="1517"/>
      <c r="B202" s="1530">
        <v>95.5</v>
      </c>
      <c r="C202" s="1540"/>
      <c r="D202" s="905"/>
      <c r="E202" s="1541"/>
      <c r="F202" s="905"/>
      <c r="G202" s="905"/>
      <c r="H202" s="905"/>
      <c r="I202" s="1534"/>
      <c r="J202" s="905"/>
      <c r="K202" s="1534"/>
      <c r="L202" s="905"/>
      <c r="M202" s="1534"/>
      <c r="N202" s="905"/>
      <c r="O202" s="1534"/>
      <c r="P202" s="905"/>
      <c r="Q202" s="1534"/>
      <c r="R202" s="1531"/>
      <c r="S202" s="1542"/>
      <c r="T202" s="905"/>
      <c r="U202" s="1542"/>
      <c r="V202" s="905"/>
      <c r="W202" s="1534" t="str">
        <f t="shared" si="45"/>
        <v/>
      </c>
      <c r="X202" s="905"/>
      <c r="Y202" s="1534"/>
      <c r="Z202" s="252" t="str">
        <f t="shared" si="46"/>
        <v/>
      </c>
      <c r="AA202" s="1534"/>
      <c r="AB202" s="905"/>
      <c r="AC202" s="1973" t="str">
        <f t="shared" si="51"/>
        <v/>
      </c>
      <c r="AD202" s="905"/>
      <c r="AE202" s="1985" t="str">
        <f t="shared" si="52"/>
        <v/>
      </c>
      <c r="AF202" s="905"/>
      <c r="AG202" s="1543"/>
      <c r="AH202" s="1531"/>
      <c r="AI202" s="1534"/>
      <c r="AJ202" s="1531"/>
      <c r="AK202" s="1534"/>
      <c r="AL202" s="1531"/>
      <c r="AM202" s="1543"/>
      <c r="AN202" s="1531"/>
      <c r="AO202" s="1543"/>
      <c r="AP202" s="1531"/>
      <c r="AQ202" s="1534"/>
      <c r="AR202" s="1531"/>
      <c r="AS202" s="1534"/>
      <c r="AT202" s="1531"/>
      <c r="AU202" s="1534"/>
      <c r="AV202" s="1531"/>
      <c r="AW202" s="1534"/>
      <c r="AX202" s="1531"/>
      <c r="AY202" s="1534"/>
      <c r="AZ202" s="1531"/>
      <c r="BA202" s="1543"/>
      <c r="BB202" s="1531"/>
      <c r="BC202" s="1534"/>
      <c r="BD202" s="1531"/>
      <c r="BE202" s="1531"/>
      <c r="BF202" s="1531"/>
      <c r="BG202" s="1531"/>
      <c r="BH202" s="1531"/>
      <c r="BI202" s="1535"/>
      <c r="BJ202" s="1534"/>
      <c r="BK202" s="1535"/>
      <c r="BL202" s="1534"/>
      <c r="BM202" s="1535"/>
      <c r="BN202" s="1534"/>
      <c r="BO202" s="1535"/>
      <c r="BP202" s="1534"/>
      <c r="BQ202" s="1535"/>
      <c r="BR202" s="1534"/>
      <c r="BS202" s="1535"/>
      <c r="BT202" s="1534"/>
      <c r="BU202" s="1535"/>
      <c r="BV202" s="1534"/>
      <c r="BW202" s="1535"/>
      <c r="BX202" s="1534"/>
      <c r="BY202" s="1535"/>
      <c r="BZ202" s="1534"/>
      <c r="CA202" s="1535"/>
      <c r="CB202" s="1534"/>
      <c r="CC202" s="1535"/>
      <c r="CD202" s="1534"/>
      <c r="CE202" s="1534"/>
      <c r="CF202" s="1535"/>
      <c r="CG202" s="1534"/>
      <c r="CH202" s="1535"/>
      <c r="CI202" s="1534"/>
      <c r="CJ202" s="1535"/>
      <c r="CK202" s="1534"/>
      <c r="CL202" s="1535"/>
      <c r="CM202" s="1534"/>
      <c r="CN202" s="1535"/>
      <c r="CO202" s="1534"/>
      <c r="CP202" s="1535"/>
      <c r="CQ202" s="1534"/>
      <c r="CR202" s="1535"/>
      <c r="CS202" s="1534"/>
      <c r="CT202" s="1535"/>
      <c r="CU202" s="1535"/>
      <c r="CV202" s="1531"/>
      <c r="CW202" s="898" t="str">
        <f t="shared" si="47"/>
        <v/>
      </c>
      <c r="CX202" s="898" t="str">
        <f>IFERROR(IF(AND(S202="",S202&lt;&gt;""),1913,VLOOKUP(S202,Valid!$B$99:$J$120,9)),"")</f>
        <v/>
      </c>
      <c r="CY202" s="898" t="str">
        <f t="shared" ca="1" si="48"/>
        <v/>
      </c>
      <c r="CZ202" s="1547" t="str">
        <f t="shared" ca="1" si="53"/>
        <v/>
      </c>
      <c r="DA202" s="898"/>
      <c r="DB202" s="898" t="str">
        <f t="shared" si="49"/>
        <v/>
      </c>
      <c r="DC202" s="898" t="str">
        <f t="shared" si="50"/>
        <v/>
      </c>
      <c r="DD202" s="1539" t="str">
        <f>IFERROR(IF(AND(AM202="",C202&lt;&gt;""),Valid!$E$123,VLOOKUP(AM202,Valid!$B$123:$F$125,4,FALSE)),"")</f>
        <v/>
      </c>
      <c r="DE202" s="1539" t="str">
        <f>IFERROR(IF(AND(AM202="",C202&lt;&gt;""),Valid!$F$123,VLOOKUP(AM202,Valid!$B$123:$F$125,5,FALSE)),"")</f>
        <v/>
      </c>
      <c r="DF202" s="1539" t="str">
        <f>IFERROR(VLOOKUP('A-70 RevVehInv'!S202,Valid!$B$99:$I$120,7), "")</f>
        <v/>
      </c>
      <c r="DG202" s="1539" t="str">
        <f>IFERROR(VLOOKUP(S202,Valid!$B$99:$I$120,8), "")</f>
        <v/>
      </c>
      <c r="DH202" s="1531"/>
    </row>
    <row r="203" spans="1:112" s="930" customFormat="1" x14ac:dyDescent="0.2">
      <c r="A203" s="206">
        <v>96</v>
      </c>
      <c r="B203" s="1530">
        <v>96</v>
      </c>
      <c r="C203" s="933"/>
      <c r="D203" s="719" t="str">
        <f>IF(C201="","",IF((C203=""),"Enter RVI ID. then Fill in Columns "&amp;TEXT($I$2,0)&amp;" - "&amp;TEXT($BA$2,0)&amp;"       ",""))</f>
        <v/>
      </c>
      <c r="E203" s="1056" t="str">
        <f>IF(BH203="N/A","",BH203)</f>
        <v/>
      </c>
      <c r="F203" s="1536"/>
      <c r="G203" s="1536"/>
      <c r="H203" s="1536"/>
      <c r="I203" s="1023"/>
      <c r="J203" s="1536" t="str">
        <f>IF(E203&lt;&gt;"","Vehicles?    ","")</f>
        <v/>
      </c>
      <c r="K203" s="1023"/>
      <c r="L203" s="1536" t="str">
        <f>IF(E203&lt;&gt;"","Active Vehicles?     ","")</f>
        <v/>
      </c>
      <c r="M203" s="1023"/>
      <c r="N203" s="1536" t="str">
        <f>IF(E203&lt;&gt;"","ADA Vehicles?       ","")</f>
        <v/>
      </c>
      <c r="O203" s="1023"/>
      <c r="P203" s="1536" t="str">
        <f>IF(E203&lt;&gt;"","Cont. Vehicles?     ","")</f>
        <v/>
      </c>
      <c r="Q203" s="1024"/>
      <c r="R203" s="894"/>
      <c r="S203" s="1153"/>
      <c r="T203" s="252" t="str">
        <f>IF(E203&lt;&gt;"","Select from Pull-Down List    ","")</f>
        <v/>
      </c>
      <c r="U203" s="933"/>
      <c r="V203" s="252" t="str">
        <f>IF(E203&lt;&gt;"","Select from Pull-Down List    ","")</f>
        <v/>
      </c>
      <c r="W203" s="1766" t="str">
        <f t="shared" si="45"/>
        <v/>
      </c>
      <c r="X203" s="252"/>
      <c r="Y203" s="1988"/>
      <c r="Z203" s="252" t="str">
        <f t="shared" si="46"/>
        <v/>
      </c>
      <c r="AA203" s="139"/>
      <c r="AB203" s="252" t="str">
        <f>IF(E203&lt;&gt;"","Mfg. Yr?    ","")</f>
        <v/>
      </c>
      <c r="AC203" s="1974" t="str">
        <f t="shared" si="51"/>
        <v/>
      </c>
      <c r="AD203" s="252"/>
      <c r="AE203" s="1986" t="str">
        <f t="shared" si="52"/>
        <v/>
      </c>
      <c r="AF203" s="252"/>
      <c r="AG203" s="933"/>
      <c r="AH203" s="252" t="str">
        <f>IF(E203&lt;&gt;"","Select from Pull-Down List    ","")</f>
        <v/>
      </c>
      <c r="AI203" s="933"/>
      <c r="AJ203" s="252" t="str">
        <f>IF(E203&lt;&gt;"","Number?   ","")</f>
        <v/>
      </c>
      <c r="AK203" s="139"/>
      <c r="AL203" s="252" t="str">
        <f>IF(E203&lt;&gt;"","Last Rnwl. Yr?   ","")</f>
        <v/>
      </c>
      <c r="AM203" s="933"/>
      <c r="AN203" s="252" t="str">
        <f>IF(E203&lt;&gt;"","Select from Pull-Down List    ","")</f>
        <v/>
      </c>
      <c r="AO203" s="933"/>
      <c r="AP203" s="252" t="str">
        <f>IF(E203&lt;&gt;"","Select from Pull-Down List    ","")</f>
        <v/>
      </c>
      <c r="AQ203" s="1023"/>
      <c r="AR203" s="252" t="str">
        <f>IF(E203&lt;&gt;"","Feet?    ","")</f>
        <v/>
      </c>
      <c r="AS203" s="1023"/>
      <c r="AT203" s="252" t="str">
        <f>IF(E203&lt;&gt;"","Seats?    ","")</f>
        <v/>
      </c>
      <c r="AU203" s="1023"/>
      <c r="AV203" s="252" t="str">
        <f>IF(E203&lt;&gt;"","Standing?    ","")</f>
        <v/>
      </c>
      <c r="AW203" s="1023"/>
      <c r="AX203" s="252" t="str">
        <f>IF(E203&lt;&gt;"","Mileage?       ","")</f>
        <v/>
      </c>
      <c r="AY203" s="1023"/>
      <c r="AZ203" s="252" t="str">
        <f>IF(E203&lt;&gt;"","Avg. Lifetime Mileage? ","")</f>
        <v/>
      </c>
      <c r="BA203" s="933"/>
      <c r="BB203" s="252" t="str">
        <f>IF(E203&lt;&gt;"","Select from Pull-Down List    ","")</f>
        <v/>
      </c>
      <c r="BC203" s="171"/>
      <c r="BD203" s="252" t="str">
        <f>IF(OR(AO203="OR - Other fuel (describe in Notes)",AG203="ZZZ - Other (describe in Notes)"),"Describe                                                                                                     ","")</f>
        <v/>
      </c>
      <c r="BE203" s="894"/>
      <c r="BF203" s="894"/>
      <c r="BG203" s="894" t="b">
        <f>IF(AND(C203="",C205&lt;&gt;""),TRUE,FALSE)</f>
        <v>0</v>
      </c>
      <c r="BH203" s="888" t="str">
        <f>IF(AND(C203&lt;&gt;"",OR(I203="",K203="",M203="",O203="",S203="",U203="",AA203="",AG203="",AI203="",AO203="",AQ203="",AS203="",AU203="",AW203="",AY203="")),"No",IF(AND(C203="",OR(I203&lt;&gt;"",K203&lt;&gt;"",M203&lt;&gt;"",O203&lt;&gt;"",S203&lt;&gt;"",U203&lt;&gt;"",AA203&lt;&gt;"",AG203&lt;&gt;"",AI203&lt;&gt;"",AK203&lt;&gt;"",AM203&lt;&gt;"",AO203&lt;&gt;"",AQ203&lt;&gt;"",AS203&lt;&gt;"",AU203&lt;&gt;"",AW203&lt;&gt;"",AY203&lt;&gt;"",BA203&lt;&gt;"",BC203&lt;&gt;"")),"No",IF(AND(C203="",I203="",K203="",M203="",O203="",S203="",U203="",AA203="",AG203="",AI203="",AK203="",AM203="",AO203="",AQ203="",AS203="",AU203="",AW203="",AY203="",BA203=""),"N/A","Yes")))</f>
        <v>N/A</v>
      </c>
      <c r="BI203" s="898"/>
      <c r="BJ203" s="899" t="b">
        <f>IF(AND(OR(I203&lt;&gt;"",K203&lt;&gt;"",M203&lt;&gt;"",O203&lt;&gt;"",S203&lt;&gt;"",U203&lt;&gt;"",AA203&lt;&gt;"",AG203&lt;&gt;"",AI203&lt;&gt;"",AK203&lt;&gt;"",AM203&lt;&gt;"",AO203&lt;&gt;"",AQ203&lt;&gt;"",AS203&lt;&gt;"",AW203&lt;&gt;"",AY203&lt;&gt;"",BA203&lt;&gt;"",BC203&lt;&gt;""),C203=""),TRUE,FALSE)</f>
        <v>0</v>
      </c>
      <c r="BK203" s="898" t="b">
        <f>IF(BL203=TRUE,FALSE,IF(SUM(K203,O203)&gt;I203,TRUE,FALSE))</f>
        <v>0</v>
      </c>
      <c r="BL203" s="899" t="b">
        <f>IF(AND(C203&lt;&gt;"",I203=""),TRUE,FALSE)</f>
        <v>0</v>
      </c>
      <c r="BM203" s="898" t="b">
        <f>IF(BN203=TRUE,FALSE,IF(M203&gt;K203,TRUE,FALSE))</f>
        <v>0</v>
      </c>
      <c r="BN203" s="899" t="b">
        <f>IF(AND($C203&lt;&gt;"",K203=""),TRUE,FALSE)</f>
        <v>0</v>
      </c>
      <c r="BO203" s="898"/>
      <c r="BP203" s="899" t="b">
        <f>IF(AND($C203&lt;&gt;"",M203=""),TRUE,FALSE)</f>
        <v>0</v>
      </c>
      <c r="BQ203" s="898"/>
      <c r="BR203" s="899" t="b">
        <f>IF(AND($C203&lt;&gt;"",O203=""),TRUE,FALSE)</f>
        <v>0</v>
      </c>
      <c r="BS203" s="898" t="b">
        <f>IF(AND(S203="",OR(U203&lt;&gt;"",AA203&lt;&gt;"",AG203&lt;&gt;"",AI203&lt;&gt;"",AK203&lt;&gt;"",AM203&lt;&gt;"",AO203&lt;&gt;"",AQ203&lt;&gt;"",AS203&lt;&gt;"",AU203&lt;&gt;"",AW203&lt;&gt;"",AY203&lt;&gt;"",BA203&lt;&gt;"")),TRUE,FALSE)</f>
        <v>0</v>
      </c>
      <c r="BT203" s="899" t="b">
        <f>IF(AND($C203&lt;&gt;"",S203=""),TRUE,FALSE)</f>
        <v>0</v>
      </c>
      <c r="BU203" s="898"/>
      <c r="BV203" s="899" t="b">
        <f>IF(AND($C203&lt;&gt;"",U203=""),TRUE,FALSE)</f>
        <v>0</v>
      </c>
      <c r="BW203" s="1537" t="b">
        <f>IF(BX203=TRUE,FALSE,IF(AA203="",FALSE,IF(OR(AA203&lt;CX203,AA203&gt;BaseYear),TRUE,FALSE)))</f>
        <v>0</v>
      </c>
      <c r="BX203" s="899" t="b">
        <f>IF(AND($C203&lt;&gt;"",AA203=""),TRUE,FALSE)</f>
        <v>0</v>
      </c>
      <c r="BY203" s="898"/>
      <c r="BZ203" s="899" t="b">
        <f>IF(AND($C203&lt;&gt;"",AG203=""),TRUE,FALSE)</f>
        <v>0</v>
      </c>
      <c r="CA203" s="898"/>
      <c r="CB203" s="899" t="b">
        <f>IF(AND($C203&lt;&gt;"",AI203=""),TRUE,FALSE)</f>
        <v>0</v>
      </c>
      <c r="CC203" s="1537" t="b">
        <f>IF(AK203="",FALSE,IF(OR(AK203&lt;CX203,AK203&gt;BaseYear),TRUE,FALSE))</f>
        <v>0</v>
      </c>
      <c r="CD203" s="1538" t="b">
        <f>IF(AK203="",FALSE,IF(AK203&lt;AA203,TRUE,FALSE))</f>
        <v>0</v>
      </c>
      <c r="CE203" s="899" t="b">
        <f>IF(AND($AM203&lt;&gt;"",AK203=""),TRUE,FALSE)</f>
        <v>0</v>
      </c>
      <c r="CF203" s="898"/>
      <c r="CG203" s="898" t="b">
        <f>IF(AND($AK203&lt;&gt;"",AM203=""),TRUE,FALSE)</f>
        <v>0</v>
      </c>
      <c r="CH203" s="898"/>
      <c r="CI203" s="899" t="b">
        <f>IF(AND($C203&lt;&gt;"",AO203=""),TRUE,FALSE)</f>
        <v>0</v>
      </c>
      <c r="CJ203" s="1537"/>
      <c r="CK203" s="899" t="b">
        <f>IF(AND($C203&lt;&gt;"",AQ203=""),TRUE,FALSE)</f>
        <v>0</v>
      </c>
      <c r="CL203" s="898"/>
      <c r="CM203" s="899" t="b">
        <f>IF(AND($C203&lt;&gt;"",AS203=""),TRUE,FALSE)</f>
        <v>0</v>
      </c>
      <c r="CN203" s="898"/>
      <c r="CO203" s="899" t="b">
        <f>IF(AND($C203&lt;&gt;"",AU203=""),TRUE,FALSE)</f>
        <v>0</v>
      </c>
      <c r="CP203" s="898"/>
      <c r="CQ203" s="899" t="b">
        <f>IF(AND($C203&lt;&gt;"",AW203=""),TRUE,FALSE)</f>
        <v>0</v>
      </c>
      <c r="CR203" s="898"/>
      <c r="CS203" s="899" t="b">
        <f>IF(AND($C203&lt;&gt;"",AY203=""),TRUE,FALSE)</f>
        <v>0</v>
      </c>
      <c r="CT203" s="898"/>
      <c r="CU203" s="898" t="b">
        <f>IF(AND($C203&lt;&gt;"",BA203=""),TRUE,FALSE)</f>
        <v>0</v>
      </c>
      <c r="CV203" s="894"/>
      <c r="CW203" s="898" t="str">
        <f t="shared" si="47"/>
        <v/>
      </c>
      <c r="CX203" s="898" t="str">
        <f>IFERROR(IF(AND(S203="",S203&lt;&gt;""),1913,VLOOKUP(S203,Valid!$B$99:$J$120,9)),"")</f>
        <v/>
      </c>
      <c r="CY203" s="898" t="str">
        <f t="shared" ca="1" si="48"/>
        <v/>
      </c>
      <c r="CZ203" s="1547" t="str">
        <f t="shared" ca="1" si="53"/>
        <v/>
      </c>
      <c r="DA203" s="898" t="str">
        <f ca="1">IF(CZ203="", "", IF(1+(CZ203*4)&lt;1, 1, 1+(CZ203*4)))</f>
        <v/>
      </c>
      <c r="DB203" s="898" t="str">
        <f t="shared" si="49"/>
        <v/>
      </c>
      <c r="DC203" s="898" t="str">
        <f t="shared" si="50"/>
        <v/>
      </c>
      <c r="DD203" s="1539" t="str">
        <f>IFERROR(IF(AND(AM203="",C203&lt;&gt;""),Valid!$E$123,VLOOKUP(AM203,Valid!$B$123:$F$125,4,FALSE)),"")</f>
        <v/>
      </c>
      <c r="DE203" s="1539" t="str">
        <f>IFERROR(IF(AND(AM203="",C203&lt;&gt;""),Valid!$F$123,VLOOKUP(AM203,Valid!$B$123:$F$125,5,FALSE)),"")</f>
        <v/>
      </c>
      <c r="DF203" s="1539" t="str">
        <f>IFERROR(VLOOKUP('A-70 RevVehInv'!S203,Valid!$B$99:$I$120,7), "")</f>
        <v/>
      </c>
      <c r="DG203" s="1539" t="str">
        <f>IFERROR(VLOOKUP(S203,Valid!$B$99:$I$120,8), "")</f>
        <v/>
      </c>
      <c r="DH203" s="894"/>
    </row>
    <row r="204" spans="1:112" ht="6.75" customHeight="1" x14ac:dyDescent="0.2">
      <c r="A204" s="1517"/>
      <c r="B204" s="1530">
        <v>96.5</v>
      </c>
      <c r="C204" s="1544"/>
      <c r="D204" s="905"/>
      <c r="E204" s="1545"/>
      <c r="F204" s="905"/>
      <c r="G204" s="905"/>
      <c r="H204" s="905"/>
      <c r="I204" s="1531"/>
      <c r="J204" s="905"/>
      <c r="K204" s="1531"/>
      <c r="L204" s="905"/>
      <c r="M204" s="1531"/>
      <c r="N204" s="905"/>
      <c r="O204" s="1531"/>
      <c r="P204" s="905"/>
      <c r="Q204" s="1531"/>
      <c r="R204" s="1531"/>
      <c r="S204" s="1533"/>
      <c r="T204" s="905"/>
      <c r="U204" s="1533"/>
      <c r="V204" s="905"/>
      <c r="W204" s="1531" t="str">
        <f t="shared" si="45"/>
        <v/>
      </c>
      <c r="X204" s="905"/>
      <c r="Y204" s="1531"/>
      <c r="Z204" s="252" t="str">
        <f t="shared" si="46"/>
        <v/>
      </c>
      <c r="AA204" s="1531"/>
      <c r="AB204" s="905"/>
      <c r="AC204" s="1971" t="str">
        <f t="shared" si="51"/>
        <v/>
      </c>
      <c r="AD204" s="905"/>
      <c r="AE204" s="1983" t="str">
        <f t="shared" si="52"/>
        <v/>
      </c>
      <c r="AF204" s="905"/>
      <c r="AG204" s="1546"/>
      <c r="AH204" s="1531"/>
      <c r="AI204" s="1531"/>
      <c r="AJ204" s="1531"/>
      <c r="AK204" s="1531"/>
      <c r="AL204" s="1531"/>
      <c r="AM204" s="1546"/>
      <c r="AN204" s="1531"/>
      <c r="AO204" s="1546"/>
      <c r="AP204" s="1531"/>
      <c r="AQ204" s="1531"/>
      <c r="AR204" s="1531"/>
      <c r="AS204" s="1531"/>
      <c r="AT204" s="1531"/>
      <c r="AU204" s="1531"/>
      <c r="AV204" s="1531"/>
      <c r="AW204" s="1531"/>
      <c r="AX204" s="1531"/>
      <c r="AY204" s="1531"/>
      <c r="AZ204" s="1531"/>
      <c r="BA204" s="1546"/>
      <c r="BB204" s="1531"/>
      <c r="BC204" s="1531"/>
      <c r="BD204" s="1531"/>
      <c r="BE204" s="1531"/>
      <c r="BF204" s="1531"/>
      <c r="BG204" s="1531"/>
      <c r="BH204" s="1531"/>
      <c r="BI204" s="1535"/>
      <c r="BJ204" s="1534"/>
      <c r="BK204" s="1535"/>
      <c r="BL204" s="1534"/>
      <c r="BM204" s="1535"/>
      <c r="BN204" s="1534"/>
      <c r="BO204" s="1535"/>
      <c r="BP204" s="1534"/>
      <c r="BQ204" s="1535"/>
      <c r="BR204" s="1534"/>
      <c r="BS204" s="1535"/>
      <c r="BT204" s="1534"/>
      <c r="BU204" s="1535"/>
      <c r="BV204" s="1534"/>
      <c r="BW204" s="1535"/>
      <c r="BX204" s="1534"/>
      <c r="BY204" s="1535"/>
      <c r="BZ204" s="1534"/>
      <c r="CA204" s="1535"/>
      <c r="CB204" s="1534"/>
      <c r="CC204" s="1535"/>
      <c r="CD204" s="1534"/>
      <c r="CE204" s="1534"/>
      <c r="CF204" s="1535"/>
      <c r="CG204" s="1534"/>
      <c r="CH204" s="1535"/>
      <c r="CI204" s="1534"/>
      <c r="CJ204" s="1535"/>
      <c r="CK204" s="1534"/>
      <c r="CL204" s="1535"/>
      <c r="CM204" s="1534"/>
      <c r="CN204" s="1535"/>
      <c r="CO204" s="1534"/>
      <c r="CP204" s="1535"/>
      <c r="CQ204" s="1534"/>
      <c r="CR204" s="1535"/>
      <c r="CS204" s="1534"/>
      <c r="CT204" s="1535"/>
      <c r="CU204" s="1535"/>
      <c r="CV204" s="1531"/>
      <c r="CW204" s="898" t="str">
        <f t="shared" si="47"/>
        <v/>
      </c>
      <c r="CX204" s="898" t="str">
        <f>IFERROR(IF(AND(S204="",S204&lt;&gt;""),1913,VLOOKUP(S204,Valid!$B$99:$J$120,9)),"")</f>
        <v/>
      </c>
      <c r="CY204" s="898" t="str">
        <f t="shared" ca="1" si="48"/>
        <v/>
      </c>
      <c r="CZ204" s="1547" t="str">
        <f t="shared" ca="1" si="53"/>
        <v/>
      </c>
      <c r="DA204" s="898"/>
      <c r="DB204" s="898" t="str">
        <f t="shared" si="49"/>
        <v/>
      </c>
      <c r="DC204" s="898" t="str">
        <f t="shared" si="50"/>
        <v/>
      </c>
      <c r="DD204" s="1539" t="str">
        <f>IFERROR(IF(AND(AM204="",C204&lt;&gt;""),Valid!$E$123,VLOOKUP(AM204,Valid!$B$123:$F$125,4,FALSE)),"")</f>
        <v/>
      </c>
      <c r="DE204" s="1539" t="str">
        <f>IFERROR(IF(AND(AM204="",C204&lt;&gt;""),Valid!$F$123,VLOOKUP(AM204,Valid!$B$123:$F$125,5,FALSE)),"")</f>
        <v/>
      </c>
      <c r="DF204" s="1539" t="str">
        <f>IFERROR(VLOOKUP('A-70 RevVehInv'!S204,Valid!$B$99:$I$120,7), "")</f>
        <v/>
      </c>
      <c r="DG204" s="1539" t="str">
        <f>IFERROR(VLOOKUP(S204,Valid!$B$99:$I$120,8), "")</f>
        <v/>
      </c>
      <c r="DH204" s="1531"/>
    </row>
    <row r="205" spans="1:112" s="930" customFormat="1" x14ac:dyDescent="0.2">
      <c r="A205" s="206">
        <v>97</v>
      </c>
      <c r="B205" s="1530">
        <v>97</v>
      </c>
      <c r="C205" s="933"/>
      <c r="D205" s="719" t="str">
        <f>IF(C203="","",IF((C205=""),"Enter RVI ID. then Fill in Columns "&amp;TEXT($I$2,0)&amp;" - "&amp;TEXT($BA$2,0)&amp;"       ",""))</f>
        <v/>
      </c>
      <c r="E205" s="1056" t="str">
        <f>IF(BH205="N/A","",BH205)</f>
        <v/>
      </c>
      <c r="F205" s="1536"/>
      <c r="G205" s="1536"/>
      <c r="H205" s="1536"/>
      <c r="I205" s="1023"/>
      <c r="J205" s="1536" t="str">
        <f>IF(E205&lt;&gt;"","Vehicles?    ","")</f>
        <v/>
      </c>
      <c r="K205" s="1023"/>
      <c r="L205" s="1536" t="str">
        <f>IF(E205&lt;&gt;"","Active Vehicles?     ","")</f>
        <v/>
      </c>
      <c r="M205" s="1023"/>
      <c r="N205" s="1536" t="str">
        <f>IF(E205&lt;&gt;"","ADA Vehicles?       ","")</f>
        <v/>
      </c>
      <c r="O205" s="1023"/>
      <c r="P205" s="1536" t="str">
        <f>IF(E205&lt;&gt;"","Cont. Vehicles?     ","")</f>
        <v/>
      </c>
      <c r="Q205" s="1024"/>
      <c r="R205" s="894"/>
      <c r="S205" s="1153"/>
      <c r="T205" s="252" t="str">
        <f>IF(E205&lt;&gt;"","Select from Pull-Down List    ","")</f>
        <v/>
      </c>
      <c r="U205" s="933"/>
      <c r="V205" s="252" t="str">
        <f>IF(E205&lt;&gt;"","Select from Pull-Down List    ","")</f>
        <v/>
      </c>
      <c r="W205" s="1766" t="str">
        <f t="shared" ref="W205:W211" si="54">IFERROR(VLOOKUP($S205,val_rev_vehicles,W$3,FALSE), "")</f>
        <v/>
      </c>
      <c r="X205" s="252"/>
      <c r="Y205" s="1988"/>
      <c r="Z205" s="252" t="str">
        <f t="shared" ref="Z205:Z211" si="55">IF(E205&lt;&gt;"","Service Yrs?    ","")</f>
        <v/>
      </c>
      <c r="AA205" s="139"/>
      <c r="AB205" s="252" t="str">
        <f>IF(E205&lt;&gt;"","Mfg. Yr?    ","")</f>
        <v/>
      </c>
      <c r="AC205" s="1974" t="str">
        <f t="shared" si="51"/>
        <v/>
      </c>
      <c r="AD205" s="252"/>
      <c r="AE205" s="1986" t="str">
        <f t="shared" si="52"/>
        <v/>
      </c>
      <c r="AF205" s="252"/>
      <c r="AG205" s="933"/>
      <c r="AH205" s="252" t="str">
        <f>IF(E205&lt;&gt;"","Select from Pull-Down List    ","")</f>
        <v/>
      </c>
      <c r="AI205" s="933"/>
      <c r="AJ205" s="252" t="str">
        <f>IF(E205&lt;&gt;"","Number?   ","")</f>
        <v/>
      </c>
      <c r="AK205" s="139"/>
      <c r="AL205" s="252" t="str">
        <f>IF(E205&lt;&gt;"","Last Rnwl. Yr?   ","")</f>
        <v/>
      </c>
      <c r="AM205" s="933"/>
      <c r="AN205" s="252" t="str">
        <f>IF(E205&lt;&gt;"","Select from Pull-Down List    ","")</f>
        <v/>
      </c>
      <c r="AO205" s="933"/>
      <c r="AP205" s="252" t="str">
        <f>IF(E205&lt;&gt;"","Select from Pull-Down List    ","")</f>
        <v/>
      </c>
      <c r="AQ205" s="1023"/>
      <c r="AR205" s="252" t="str">
        <f>IF(E205&lt;&gt;"","Feet?    ","")</f>
        <v/>
      </c>
      <c r="AS205" s="1023"/>
      <c r="AT205" s="252" t="str">
        <f>IF(E205&lt;&gt;"","Seats?    ","")</f>
        <v/>
      </c>
      <c r="AU205" s="1023"/>
      <c r="AV205" s="252" t="str">
        <f>IF(E205&lt;&gt;"","Standing?    ","")</f>
        <v/>
      </c>
      <c r="AW205" s="1023"/>
      <c r="AX205" s="252" t="str">
        <f>IF(E205&lt;&gt;"","Mileage?       ","")</f>
        <v/>
      </c>
      <c r="AY205" s="1023"/>
      <c r="AZ205" s="252" t="str">
        <f>IF(E205&lt;&gt;"","Avg. Lifetime Mileage? ","")</f>
        <v/>
      </c>
      <c r="BA205" s="933"/>
      <c r="BB205" s="252" t="str">
        <f>IF(E205&lt;&gt;"","Select from Pull-Down List    ","")</f>
        <v/>
      </c>
      <c r="BC205" s="171"/>
      <c r="BD205" s="252" t="str">
        <f>IF(OR(AO205="OR - Other fuel (describe in Notes)",AG205="ZZZ - Other (describe in Notes)"),"Describe                                                                                                     ","")</f>
        <v/>
      </c>
      <c r="BE205" s="894"/>
      <c r="BF205" s="894"/>
      <c r="BG205" s="894" t="b">
        <f>IF(AND(C205="",C207&lt;&gt;""),TRUE,FALSE)</f>
        <v>0</v>
      </c>
      <c r="BH205" s="888" t="str">
        <f>IF(AND(C205&lt;&gt;"",OR(I205="",K205="",M205="",O205="",S205="",U205="",AA205="",AG205="",AI205="",AO205="",AQ205="",AS205="",AU205="",AW205="",AY205="")),"No",IF(AND(C205="",OR(I205&lt;&gt;"",K205&lt;&gt;"",M205&lt;&gt;"",O205&lt;&gt;"",S205&lt;&gt;"",U205&lt;&gt;"",AA205&lt;&gt;"",AG205&lt;&gt;"",AI205&lt;&gt;"",AK205&lt;&gt;"",AM205&lt;&gt;"",AO205&lt;&gt;"",AQ205&lt;&gt;"",AS205&lt;&gt;"",AU205&lt;&gt;"",AW205&lt;&gt;"",AY205&lt;&gt;"",BA205&lt;&gt;"",BC205&lt;&gt;"")),"No",IF(AND(C205="",I205="",K205="",M205="",O205="",S205="",U205="",AA205="",AG205="",AI205="",AK205="",AM205="",AO205="",AQ205="",AS205="",AU205="",AW205="",AY205="",BA205=""),"N/A","Yes")))</f>
        <v>N/A</v>
      </c>
      <c r="BI205" s="898"/>
      <c r="BJ205" s="899" t="b">
        <f>IF(AND(OR(I205&lt;&gt;"",K205&lt;&gt;"",M205&lt;&gt;"",O205&lt;&gt;"",S205&lt;&gt;"",U205&lt;&gt;"",AA205&lt;&gt;"",AG205&lt;&gt;"",AI205&lt;&gt;"",AK205&lt;&gt;"",AM205&lt;&gt;"",AO205&lt;&gt;"",AQ205&lt;&gt;"",AS205&lt;&gt;"",AW205&lt;&gt;"",AY205&lt;&gt;"",BA205&lt;&gt;"",BC205&lt;&gt;""),C205=""),TRUE,FALSE)</f>
        <v>0</v>
      </c>
      <c r="BK205" s="898" t="b">
        <f>IF(BL205=TRUE,FALSE,IF(SUM(K205,O205)&gt;I205,TRUE,FALSE))</f>
        <v>0</v>
      </c>
      <c r="BL205" s="899" t="b">
        <f>IF(AND(C205&lt;&gt;"",I205=""),TRUE,FALSE)</f>
        <v>0</v>
      </c>
      <c r="BM205" s="898" t="b">
        <f>IF(BN205=TRUE,FALSE,IF(M205&gt;K205,TRUE,FALSE))</f>
        <v>0</v>
      </c>
      <c r="BN205" s="899" t="b">
        <f>IF(AND($C205&lt;&gt;"",K205=""),TRUE,FALSE)</f>
        <v>0</v>
      </c>
      <c r="BO205" s="898"/>
      <c r="BP205" s="899" t="b">
        <f>IF(AND($C205&lt;&gt;"",M205=""),TRUE,FALSE)</f>
        <v>0</v>
      </c>
      <c r="BQ205" s="898"/>
      <c r="BR205" s="899" t="b">
        <f>IF(AND($C205&lt;&gt;"",O205=""),TRUE,FALSE)</f>
        <v>0</v>
      </c>
      <c r="BS205" s="898" t="b">
        <f>IF(AND(S205="",OR(U205&lt;&gt;"",AA205&lt;&gt;"",AG205&lt;&gt;"",AI205&lt;&gt;"",AK205&lt;&gt;"",AM205&lt;&gt;"",AO205&lt;&gt;"",AQ205&lt;&gt;"",AS205&lt;&gt;"",AU205&lt;&gt;"",AW205&lt;&gt;"",AY205&lt;&gt;"",BA205&lt;&gt;"")),TRUE,FALSE)</f>
        <v>0</v>
      </c>
      <c r="BT205" s="899" t="b">
        <f>IF(AND($C205&lt;&gt;"",S205=""),TRUE,FALSE)</f>
        <v>0</v>
      </c>
      <c r="BU205" s="898"/>
      <c r="BV205" s="899" t="b">
        <f>IF(AND($C205&lt;&gt;"",U205=""),TRUE,FALSE)</f>
        <v>0</v>
      </c>
      <c r="BW205" s="1537" t="b">
        <f>IF(BX205=TRUE,FALSE,IF(AA205="",FALSE,IF(OR(AA205&lt;CX205,AA205&gt;BaseYear),TRUE,FALSE)))</f>
        <v>0</v>
      </c>
      <c r="BX205" s="899" t="b">
        <f>IF(AND($C205&lt;&gt;"",AA205=""),TRUE,FALSE)</f>
        <v>0</v>
      </c>
      <c r="BY205" s="898"/>
      <c r="BZ205" s="899" t="b">
        <f>IF(AND($C205&lt;&gt;"",AG205=""),TRUE,FALSE)</f>
        <v>0</v>
      </c>
      <c r="CA205" s="898"/>
      <c r="CB205" s="899" t="b">
        <f>IF(AND($C205&lt;&gt;"",AI205=""),TRUE,FALSE)</f>
        <v>0</v>
      </c>
      <c r="CC205" s="1537" t="b">
        <f>IF(AK205="",FALSE,IF(OR(AK205&lt;CX205,AK205&gt;BaseYear),TRUE,FALSE))</f>
        <v>0</v>
      </c>
      <c r="CD205" s="1538" t="b">
        <f>IF(AK205="",FALSE,IF(AK205&lt;AA205,TRUE,FALSE))</f>
        <v>0</v>
      </c>
      <c r="CE205" s="899" t="b">
        <f>IF(AND($AM205&lt;&gt;"",AK205=""),TRUE,FALSE)</f>
        <v>0</v>
      </c>
      <c r="CF205" s="898"/>
      <c r="CG205" s="898" t="b">
        <f>IF(AND($AK205&lt;&gt;"",AM205=""),TRUE,FALSE)</f>
        <v>0</v>
      </c>
      <c r="CH205" s="898"/>
      <c r="CI205" s="899" t="b">
        <f>IF(AND($C205&lt;&gt;"",AO205=""),TRUE,FALSE)</f>
        <v>0</v>
      </c>
      <c r="CJ205" s="1537"/>
      <c r="CK205" s="899" t="b">
        <f>IF(AND($C205&lt;&gt;"",AQ205=""),TRUE,FALSE)</f>
        <v>0</v>
      </c>
      <c r="CL205" s="898"/>
      <c r="CM205" s="899" t="b">
        <f>IF(AND($C205&lt;&gt;"",AS205=""),TRUE,FALSE)</f>
        <v>0</v>
      </c>
      <c r="CN205" s="898"/>
      <c r="CO205" s="899" t="b">
        <f>IF(AND($C205&lt;&gt;"",AU205=""),TRUE,FALSE)</f>
        <v>0</v>
      </c>
      <c r="CP205" s="898"/>
      <c r="CQ205" s="899" t="b">
        <f>IF(AND($C205&lt;&gt;"",AW205=""),TRUE,FALSE)</f>
        <v>0</v>
      </c>
      <c r="CR205" s="898"/>
      <c r="CS205" s="899" t="b">
        <f>IF(AND($C205&lt;&gt;"",AY205=""),TRUE,FALSE)</f>
        <v>0</v>
      </c>
      <c r="CT205" s="898"/>
      <c r="CU205" s="898" t="b">
        <f>IF(AND($C205&lt;&gt;"",BA205=""),TRUE,FALSE)</f>
        <v>0</v>
      </c>
      <c r="CV205" s="894"/>
      <c r="CW205" s="898" t="str">
        <f t="shared" ref="CW205:CW211" si="56">IFERROR(VLOOKUP($S205,val_rev_vehicles,CW$3,FALSE),"")</f>
        <v/>
      </c>
      <c r="CX205" s="898" t="str">
        <f>IFERROR(IF(AND(S205="",S205&lt;&gt;""),1913,VLOOKUP(S205,Valid!$B$99:$J$120,9)),"")</f>
        <v/>
      </c>
      <c r="CY205" s="898" t="str">
        <f t="shared" ref="CY205:CY211" ca="1" si="57">IF(AA205="", "", YEAR(TODAY())-AA205)</f>
        <v/>
      </c>
      <c r="CZ205" s="1547" t="str">
        <f t="shared" ca="1" si="53"/>
        <v/>
      </c>
      <c r="DA205" s="898" t="str">
        <f ca="1">IF(CZ205="", "", IF(1+(CZ205*4)&lt;1, 1, 1+(CZ205*4)))</f>
        <v/>
      </c>
      <c r="DB205" s="898" t="str">
        <f t="shared" ref="DB205:DB211" si="58">IFERROR(VLOOKUP($S205,val_rev_vehicles,DB$3,FALSE), "")</f>
        <v/>
      </c>
      <c r="DC205" s="898" t="str">
        <f t="shared" ref="DC205:DC211" si="59">IFERROR(VLOOKUP($S205,val_rev_vehicles,DC$3,FALSE),"")</f>
        <v/>
      </c>
      <c r="DD205" s="1539" t="str">
        <f>IFERROR(IF(AND(AM205="",C205&lt;&gt;""),Valid!$E$123,VLOOKUP(AM205,Valid!$B$123:$F$125,4,FALSE)),"")</f>
        <v/>
      </c>
      <c r="DE205" s="1539" t="str">
        <f>IFERROR(IF(AND(AM205="",C205&lt;&gt;""),Valid!$F$123,VLOOKUP(AM205,Valid!$B$123:$F$125,5,FALSE)),"")</f>
        <v/>
      </c>
      <c r="DF205" s="1539" t="str">
        <f>IFERROR(VLOOKUP('A-70 RevVehInv'!S205,Valid!$B$99:$I$120,7), "")</f>
        <v/>
      </c>
      <c r="DG205" s="1539" t="str">
        <f>IFERROR(VLOOKUP(S205,Valid!$B$99:$I$120,8), "")</f>
        <v/>
      </c>
      <c r="DH205" s="894"/>
    </row>
    <row r="206" spans="1:112" ht="6.75" customHeight="1" x14ac:dyDescent="0.2">
      <c r="A206" s="1517"/>
      <c r="B206" s="1530">
        <v>97.5</v>
      </c>
      <c r="C206" s="1540"/>
      <c r="D206" s="905"/>
      <c r="E206" s="1541"/>
      <c r="F206" s="905"/>
      <c r="G206" s="905"/>
      <c r="H206" s="905"/>
      <c r="I206" s="1534"/>
      <c r="J206" s="905"/>
      <c r="K206" s="1534"/>
      <c r="L206" s="905"/>
      <c r="M206" s="1534"/>
      <c r="N206" s="905"/>
      <c r="O206" s="1534"/>
      <c r="P206" s="905"/>
      <c r="Q206" s="1534"/>
      <c r="R206" s="1531"/>
      <c r="S206" s="1542"/>
      <c r="T206" s="905"/>
      <c r="U206" s="1542"/>
      <c r="V206" s="905"/>
      <c r="W206" s="1534" t="str">
        <f t="shared" si="54"/>
        <v/>
      </c>
      <c r="X206" s="905"/>
      <c r="Y206" s="1534"/>
      <c r="Z206" s="252" t="str">
        <f t="shared" si="55"/>
        <v/>
      </c>
      <c r="AA206" s="1534"/>
      <c r="AB206" s="905"/>
      <c r="AC206" s="1973" t="str">
        <f t="shared" ref="AC206:AC211" si="60">IFERROR(VLOOKUP($S206,val_rev_vehicles,AC$3,FALSE), "")</f>
        <v/>
      </c>
      <c r="AD206" s="905"/>
      <c r="AE206" s="1985" t="str">
        <f t="shared" ref="AE206:AE211" si="61">IFERROR(VLOOKUP($S206,val_rev_vehicles,AE$3,FALSE), "")</f>
        <v/>
      </c>
      <c r="AF206" s="905"/>
      <c r="AG206" s="1543"/>
      <c r="AH206" s="1531"/>
      <c r="AI206" s="1534"/>
      <c r="AJ206" s="1531"/>
      <c r="AK206" s="1534"/>
      <c r="AL206" s="1531"/>
      <c r="AM206" s="1543"/>
      <c r="AN206" s="1531"/>
      <c r="AO206" s="1543"/>
      <c r="AP206" s="1531"/>
      <c r="AQ206" s="1534"/>
      <c r="AR206" s="1531"/>
      <c r="AS206" s="1534"/>
      <c r="AT206" s="1531"/>
      <c r="AU206" s="1534"/>
      <c r="AV206" s="1531"/>
      <c r="AW206" s="1534"/>
      <c r="AX206" s="1531"/>
      <c r="AY206" s="1534"/>
      <c r="AZ206" s="1531"/>
      <c r="BA206" s="1543"/>
      <c r="BB206" s="1531"/>
      <c r="BC206" s="1534"/>
      <c r="BD206" s="1531"/>
      <c r="BE206" s="1531"/>
      <c r="BF206" s="1531"/>
      <c r="BG206" s="1531"/>
      <c r="BH206" s="1531"/>
      <c r="BI206" s="1535"/>
      <c r="BJ206" s="1534"/>
      <c r="BK206" s="1535"/>
      <c r="BL206" s="1534"/>
      <c r="BM206" s="1535"/>
      <c r="BN206" s="1534"/>
      <c r="BO206" s="1535"/>
      <c r="BP206" s="1534"/>
      <c r="BQ206" s="1535"/>
      <c r="BR206" s="1534"/>
      <c r="BS206" s="1535"/>
      <c r="BT206" s="1534"/>
      <c r="BU206" s="1535"/>
      <c r="BV206" s="1534"/>
      <c r="BW206" s="1535"/>
      <c r="BX206" s="1534"/>
      <c r="BY206" s="1535"/>
      <c r="BZ206" s="1534"/>
      <c r="CA206" s="1535"/>
      <c r="CB206" s="1534"/>
      <c r="CC206" s="1535"/>
      <c r="CD206" s="1534"/>
      <c r="CE206" s="1534"/>
      <c r="CF206" s="1535"/>
      <c r="CG206" s="1534"/>
      <c r="CH206" s="1535"/>
      <c r="CI206" s="1534"/>
      <c r="CJ206" s="1535"/>
      <c r="CK206" s="1534"/>
      <c r="CL206" s="1535"/>
      <c r="CM206" s="1534"/>
      <c r="CN206" s="1535"/>
      <c r="CO206" s="1534"/>
      <c r="CP206" s="1535"/>
      <c r="CQ206" s="1534"/>
      <c r="CR206" s="1535"/>
      <c r="CS206" s="1534"/>
      <c r="CT206" s="1535"/>
      <c r="CU206" s="1535"/>
      <c r="CV206" s="1531"/>
      <c r="CW206" s="898" t="str">
        <f t="shared" si="56"/>
        <v/>
      </c>
      <c r="CX206" s="898" t="str">
        <f>IFERROR(IF(AND(S206="",S206&lt;&gt;""),1913,VLOOKUP(S206,Valid!$B$99:$J$120,9)),"")</f>
        <v/>
      </c>
      <c r="CY206" s="898" t="str">
        <f t="shared" ca="1" si="57"/>
        <v/>
      </c>
      <c r="CZ206" s="1547" t="str">
        <f t="shared" ref="CZ206:CZ211" ca="1" si="62">IF(OR(CY206="", W206="",W206=0), "", 1+ (-1*(CY206/W206)))</f>
        <v/>
      </c>
      <c r="DA206" s="898"/>
      <c r="DB206" s="898" t="str">
        <f t="shared" si="58"/>
        <v/>
      </c>
      <c r="DC206" s="898" t="str">
        <f t="shared" si="59"/>
        <v/>
      </c>
      <c r="DD206" s="1539" t="str">
        <f>IFERROR(IF(AND(AM206="",C206&lt;&gt;""),Valid!$E$123,VLOOKUP(AM206,Valid!$B$123:$F$125,4,FALSE)),"")</f>
        <v/>
      </c>
      <c r="DE206" s="1539" t="str">
        <f>IFERROR(IF(AND(AM206="",C206&lt;&gt;""),Valid!$F$123,VLOOKUP(AM206,Valid!$B$123:$F$125,5,FALSE)),"")</f>
        <v/>
      </c>
      <c r="DF206" s="1539" t="str">
        <f>IFERROR(VLOOKUP('A-70 RevVehInv'!S206,Valid!$B$99:$I$120,7), "")</f>
        <v/>
      </c>
      <c r="DG206" s="1539" t="str">
        <f>IFERROR(VLOOKUP(S206,Valid!$B$99:$I$120,8), "")</f>
        <v/>
      </c>
      <c r="DH206" s="1531"/>
    </row>
    <row r="207" spans="1:112" s="930" customFormat="1" x14ac:dyDescent="0.2">
      <c r="A207" s="206">
        <v>98</v>
      </c>
      <c r="B207" s="1530">
        <v>98</v>
      </c>
      <c r="C207" s="933"/>
      <c r="D207" s="719" t="str">
        <f>IF(C205="","",IF((C207=""),"Enter RVI ID. then Fill in Columns "&amp;TEXT($I$2,0)&amp;" - "&amp;TEXT($BA$2,0)&amp;"       ",""))</f>
        <v/>
      </c>
      <c r="E207" s="1056" t="str">
        <f>IF(BH207="N/A","",BH207)</f>
        <v/>
      </c>
      <c r="F207" s="1536"/>
      <c r="G207" s="1536"/>
      <c r="H207" s="1536"/>
      <c r="I207" s="1023"/>
      <c r="J207" s="1536" t="str">
        <f>IF(E207&lt;&gt;"","Vehicles?    ","")</f>
        <v/>
      </c>
      <c r="K207" s="1023"/>
      <c r="L207" s="1536" t="str">
        <f>IF(E207&lt;&gt;"","Active Vehicles?     ","")</f>
        <v/>
      </c>
      <c r="M207" s="1023"/>
      <c r="N207" s="1536" t="str">
        <f>IF(E207&lt;&gt;"","ADA Vehicles?       ","")</f>
        <v/>
      </c>
      <c r="O207" s="1023"/>
      <c r="P207" s="1536" t="str">
        <f>IF(E207&lt;&gt;"","Cont. Vehicles?     ","")</f>
        <v/>
      </c>
      <c r="Q207" s="1024"/>
      <c r="R207" s="894"/>
      <c r="S207" s="1153"/>
      <c r="T207" s="252" t="str">
        <f>IF(E207&lt;&gt;"","Select from Pull-Down List    ","")</f>
        <v/>
      </c>
      <c r="U207" s="933"/>
      <c r="V207" s="252" t="str">
        <f>IF(E207&lt;&gt;"","Select from Pull-Down List    ","")</f>
        <v/>
      </c>
      <c r="W207" s="1766" t="str">
        <f t="shared" si="54"/>
        <v/>
      </c>
      <c r="X207" s="252"/>
      <c r="Y207" s="1988"/>
      <c r="Z207" s="252" t="str">
        <f t="shared" si="55"/>
        <v/>
      </c>
      <c r="AA207" s="139"/>
      <c r="AB207" s="252" t="str">
        <f>IF(E207&lt;&gt;"","Mfg. Yr?    ","")</f>
        <v/>
      </c>
      <c r="AC207" s="1974" t="str">
        <f t="shared" si="60"/>
        <v/>
      </c>
      <c r="AD207" s="252"/>
      <c r="AE207" s="1986" t="str">
        <f t="shared" si="61"/>
        <v/>
      </c>
      <c r="AF207" s="252"/>
      <c r="AG207" s="933"/>
      <c r="AH207" s="252" t="str">
        <f>IF(E207&lt;&gt;"","Select from Pull-Down List    ","")</f>
        <v/>
      </c>
      <c r="AI207" s="933"/>
      <c r="AJ207" s="252" t="str">
        <f>IF(E207&lt;&gt;"","Number?   ","")</f>
        <v/>
      </c>
      <c r="AK207" s="139"/>
      <c r="AL207" s="252" t="str">
        <f>IF(E207&lt;&gt;"","Last Rnwl. Yr?   ","")</f>
        <v/>
      </c>
      <c r="AM207" s="933"/>
      <c r="AN207" s="252" t="str">
        <f>IF(E207&lt;&gt;"","Select from Pull-Down List    ","")</f>
        <v/>
      </c>
      <c r="AO207" s="933"/>
      <c r="AP207" s="252" t="str">
        <f>IF(E207&lt;&gt;"","Select from Pull-Down List    ","")</f>
        <v/>
      </c>
      <c r="AQ207" s="1023"/>
      <c r="AR207" s="252" t="str">
        <f>IF(E207&lt;&gt;"","Feet?    ","")</f>
        <v/>
      </c>
      <c r="AS207" s="1023"/>
      <c r="AT207" s="252" t="str">
        <f>IF(E207&lt;&gt;"","Seats?    ","")</f>
        <v/>
      </c>
      <c r="AU207" s="1023"/>
      <c r="AV207" s="252" t="str">
        <f>IF(E207&lt;&gt;"","Standing?    ","")</f>
        <v/>
      </c>
      <c r="AW207" s="1023"/>
      <c r="AX207" s="252" t="str">
        <f>IF(E207&lt;&gt;"","Mileage?       ","")</f>
        <v/>
      </c>
      <c r="AY207" s="1023"/>
      <c r="AZ207" s="252" t="str">
        <f>IF(E207&lt;&gt;"","Avg. Lifetime Mileage? ","")</f>
        <v/>
      </c>
      <c r="BA207" s="933"/>
      <c r="BB207" s="252" t="str">
        <f>IF(E207&lt;&gt;"","Select from Pull-Down List    ","")</f>
        <v/>
      </c>
      <c r="BC207" s="171"/>
      <c r="BD207" s="252" t="str">
        <f>IF(OR(AO207="OR - Other fuel (describe in Notes)",AG207="ZZZ - Other (describe in Notes)"),"Describe                                                                                                     ","")</f>
        <v/>
      </c>
      <c r="BE207" s="894"/>
      <c r="BF207" s="894"/>
      <c r="BG207" s="894" t="b">
        <f>IF(AND(C207="",C209&lt;&gt;""),TRUE,FALSE)</f>
        <v>0</v>
      </c>
      <c r="BH207" s="888" t="str">
        <f>IF(AND(C207&lt;&gt;"",OR(I207="",K207="",M207="",O207="",S207="",U207="",AA207="",AG207="",AI207="",AO207="",AQ207="",AS207="",AU207="",AW207="",AY207="")),"No",IF(AND(C207="",OR(I207&lt;&gt;"",K207&lt;&gt;"",M207&lt;&gt;"",O207&lt;&gt;"",S207&lt;&gt;"",U207&lt;&gt;"",AA207&lt;&gt;"",AG207&lt;&gt;"",AI207&lt;&gt;"",AK207&lt;&gt;"",AM207&lt;&gt;"",AO207&lt;&gt;"",AQ207&lt;&gt;"",AS207&lt;&gt;"",AU207&lt;&gt;"",AW207&lt;&gt;"",AY207&lt;&gt;"",BA207&lt;&gt;"",BC207&lt;&gt;"")),"No",IF(AND(C207="",I207="",K207="",M207="",O207="",S207="",U207="",AA207="",AG207="",AI207="",AK207="",AM207="",AO207="",AQ207="",AS207="",AU207="",AW207="",AY207="",BA207=""),"N/A","Yes")))</f>
        <v>N/A</v>
      </c>
      <c r="BI207" s="898"/>
      <c r="BJ207" s="899" t="b">
        <f>IF(AND(OR(I207&lt;&gt;"",K207&lt;&gt;"",M207&lt;&gt;"",O207&lt;&gt;"",S207&lt;&gt;"",U207&lt;&gt;"",AA207&lt;&gt;"",AG207&lt;&gt;"",AI207&lt;&gt;"",AK207&lt;&gt;"",AM207&lt;&gt;"",AO207&lt;&gt;"",AQ207&lt;&gt;"",AS207&lt;&gt;"",AW207&lt;&gt;"",AY207&lt;&gt;"",BA207&lt;&gt;"",BC207&lt;&gt;""),C207=""),TRUE,FALSE)</f>
        <v>0</v>
      </c>
      <c r="BK207" s="898" t="b">
        <f>IF(BL207=TRUE,FALSE,IF(SUM(K207,O207)&gt;I207,TRUE,FALSE))</f>
        <v>0</v>
      </c>
      <c r="BL207" s="899" t="b">
        <f>IF(AND(C207&lt;&gt;"",I207=""),TRUE,FALSE)</f>
        <v>0</v>
      </c>
      <c r="BM207" s="898" t="b">
        <f>IF(BN207=TRUE,FALSE,IF(M207&gt;K207,TRUE,FALSE))</f>
        <v>0</v>
      </c>
      <c r="BN207" s="899" t="b">
        <f>IF(AND($C207&lt;&gt;"",K207=""),TRUE,FALSE)</f>
        <v>0</v>
      </c>
      <c r="BO207" s="898"/>
      <c r="BP207" s="899" t="b">
        <f>IF(AND($C207&lt;&gt;"",M207=""),TRUE,FALSE)</f>
        <v>0</v>
      </c>
      <c r="BQ207" s="898"/>
      <c r="BR207" s="899" t="b">
        <f>IF(AND($C207&lt;&gt;"",O207=""),TRUE,FALSE)</f>
        <v>0</v>
      </c>
      <c r="BS207" s="898" t="b">
        <f>IF(AND(S207="",OR(U207&lt;&gt;"",AA207&lt;&gt;"",AG207&lt;&gt;"",AI207&lt;&gt;"",AK207&lt;&gt;"",AM207&lt;&gt;"",AO207&lt;&gt;"",AQ207&lt;&gt;"",AS207&lt;&gt;"",AU207&lt;&gt;"",AW207&lt;&gt;"",AY207&lt;&gt;"",BA207&lt;&gt;"")),TRUE,FALSE)</f>
        <v>0</v>
      </c>
      <c r="BT207" s="899" t="b">
        <f>IF(AND($C207&lt;&gt;"",S207=""),TRUE,FALSE)</f>
        <v>0</v>
      </c>
      <c r="BU207" s="898"/>
      <c r="BV207" s="899" t="b">
        <f>IF(AND($C207&lt;&gt;"",U207=""),TRUE,FALSE)</f>
        <v>0</v>
      </c>
      <c r="BW207" s="1537" t="b">
        <f>IF(BX207=TRUE,FALSE,IF(AA207="",FALSE,IF(OR(AA207&lt;CX207,AA207&gt;BaseYear),TRUE,FALSE)))</f>
        <v>0</v>
      </c>
      <c r="BX207" s="899" t="b">
        <f>IF(AND($C207&lt;&gt;"",AA207=""),TRUE,FALSE)</f>
        <v>0</v>
      </c>
      <c r="BY207" s="898"/>
      <c r="BZ207" s="899" t="b">
        <f>IF(AND($C207&lt;&gt;"",AG207=""),TRUE,FALSE)</f>
        <v>0</v>
      </c>
      <c r="CA207" s="898"/>
      <c r="CB207" s="899" t="b">
        <f>IF(AND($C207&lt;&gt;"",AI207=""),TRUE,FALSE)</f>
        <v>0</v>
      </c>
      <c r="CC207" s="1537" t="b">
        <f>IF(AK207="",FALSE,IF(OR(AK207&lt;CX207,AK207&gt;BaseYear),TRUE,FALSE))</f>
        <v>0</v>
      </c>
      <c r="CD207" s="1538" t="b">
        <f>IF(AK207="",FALSE,IF(AK207&lt;AA207,TRUE,FALSE))</f>
        <v>0</v>
      </c>
      <c r="CE207" s="899" t="b">
        <f>IF(AND($AM207&lt;&gt;"",AK207=""),TRUE,FALSE)</f>
        <v>0</v>
      </c>
      <c r="CF207" s="898"/>
      <c r="CG207" s="898" t="b">
        <f>IF(AND($AK207&lt;&gt;"",AM207=""),TRUE,FALSE)</f>
        <v>0</v>
      </c>
      <c r="CH207" s="898"/>
      <c r="CI207" s="899" t="b">
        <f>IF(AND($C207&lt;&gt;"",AO207=""),TRUE,FALSE)</f>
        <v>0</v>
      </c>
      <c r="CJ207" s="1537"/>
      <c r="CK207" s="899" t="b">
        <f>IF(AND($C207&lt;&gt;"",AQ207=""),TRUE,FALSE)</f>
        <v>0</v>
      </c>
      <c r="CL207" s="898"/>
      <c r="CM207" s="899" t="b">
        <f>IF(AND($C207&lt;&gt;"",AS207=""),TRUE,FALSE)</f>
        <v>0</v>
      </c>
      <c r="CN207" s="898"/>
      <c r="CO207" s="899" t="b">
        <f>IF(AND($C207&lt;&gt;"",AU207=""),TRUE,FALSE)</f>
        <v>0</v>
      </c>
      <c r="CP207" s="898"/>
      <c r="CQ207" s="899" t="b">
        <f>IF(AND($C207&lt;&gt;"",AW207=""),TRUE,FALSE)</f>
        <v>0</v>
      </c>
      <c r="CR207" s="898"/>
      <c r="CS207" s="899" t="b">
        <f>IF(AND($C207&lt;&gt;"",AY207=""),TRUE,FALSE)</f>
        <v>0</v>
      </c>
      <c r="CT207" s="898"/>
      <c r="CU207" s="898" t="b">
        <f>IF(AND($C207&lt;&gt;"",BA207=""),TRUE,FALSE)</f>
        <v>0</v>
      </c>
      <c r="CV207" s="894"/>
      <c r="CW207" s="898" t="str">
        <f t="shared" si="56"/>
        <v/>
      </c>
      <c r="CX207" s="898" t="str">
        <f>IFERROR(IF(AND(S207="",S207&lt;&gt;""),1913,VLOOKUP(S207,Valid!$B$99:$J$120,9)),"")</f>
        <v/>
      </c>
      <c r="CY207" s="898" t="str">
        <f t="shared" ca="1" si="57"/>
        <v/>
      </c>
      <c r="CZ207" s="1547" t="str">
        <f t="shared" ca="1" si="62"/>
        <v/>
      </c>
      <c r="DA207" s="898" t="str">
        <f ca="1">IF(CZ207="", "", IF(1+(CZ207*4)&lt;1, 1, 1+(CZ207*4)))</f>
        <v/>
      </c>
      <c r="DB207" s="898" t="str">
        <f t="shared" si="58"/>
        <v/>
      </c>
      <c r="DC207" s="898" t="str">
        <f t="shared" si="59"/>
        <v/>
      </c>
      <c r="DD207" s="1539" t="str">
        <f>IFERROR(IF(AND(AM207="",C207&lt;&gt;""),Valid!$E$123,VLOOKUP(AM207,Valid!$B$123:$F$125,4,FALSE)),"")</f>
        <v/>
      </c>
      <c r="DE207" s="1539" t="str">
        <f>IFERROR(IF(AND(AM207="",C207&lt;&gt;""),Valid!$F$123,VLOOKUP(AM207,Valid!$B$123:$F$125,5,FALSE)),"")</f>
        <v/>
      </c>
      <c r="DF207" s="1539" t="str">
        <f>IFERROR(VLOOKUP('A-70 RevVehInv'!S207,Valid!$B$99:$I$120,7), "")</f>
        <v/>
      </c>
      <c r="DG207" s="1539" t="str">
        <f>IFERROR(VLOOKUP(S207,Valid!$B$99:$I$120,8), "")</f>
        <v/>
      </c>
      <c r="DH207" s="894"/>
    </row>
    <row r="208" spans="1:112" ht="6.75" customHeight="1" x14ac:dyDescent="0.2">
      <c r="A208" s="1517"/>
      <c r="B208" s="1530">
        <v>98.5</v>
      </c>
      <c r="C208" s="1544"/>
      <c r="D208" s="905"/>
      <c r="E208" s="1545"/>
      <c r="F208" s="905"/>
      <c r="G208" s="905"/>
      <c r="H208" s="905"/>
      <c r="I208" s="1531"/>
      <c r="J208" s="905"/>
      <c r="K208" s="1531"/>
      <c r="L208" s="905"/>
      <c r="M208" s="1531"/>
      <c r="N208" s="905"/>
      <c r="O208" s="1531"/>
      <c r="P208" s="905"/>
      <c r="Q208" s="1531"/>
      <c r="R208" s="1531"/>
      <c r="S208" s="1533"/>
      <c r="T208" s="905"/>
      <c r="U208" s="1533"/>
      <c r="V208" s="905"/>
      <c r="W208" s="1531" t="str">
        <f t="shared" si="54"/>
        <v/>
      </c>
      <c r="X208" s="905"/>
      <c r="Y208" s="1531"/>
      <c r="Z208" s="252" t="str">
        <f t="shared" si="55"/>
        <v/>
      </c>
      <c r="AA208" s="1531"/>
      <c r="AB208" s="905"/>
      <c r="AC208" s="1971" t="str">
        <f t="shared" si="60"/>
        <v/>
      </c>
      <c r="AD208" s="905"/>
      <c r="AE208" s="1983" t="str">
        <f t="shared" si="61"/>
        <v/>
      </c>
      <c r="AF208" s="905"/>
      <c r="AG208" s="1546"/>
      <c r="AH208" s="1531"/>
      <c r="AI208" s="1531"/>
      <c r="AJ208" s="1531"/>
      <c r="AK208" s="1531"/>
      <c r="AL208" s="1531"/>
      <c r="AM208" s="1546"/>
      <c r="AN208" s="1531"/>
      <c r="AO208" s="1546"/>
      <c r="AP208" s="1531"/>
      <c r="AQ208" s="1531"/>
      <c r="AR208" s="1531"/>
      <c r="AS208" s="1531"/>
      <c r="AT208" s="1531"/>
      <c r="AU208" s="1531"/>
      <c r="AV208" s="1531"/>
      <c r="AW208" s="1531"/>
      <c r="AX208" s="1531"/>
      <c r="AY208" s="1531"/>
      <c r="AZ208" s="1531"/>
      <c r="BA208" s="1546"/>
      <c r="BB208" s="1531"/>
      <c r="BC208" s="1531"/>
      <c r="BD208" s="1531"/>
      <c r="BE208" s="1531"/>
      <c r="BF208" s="1531"/>
      <c r="BG208" s="1531"/>
      <c r="BH208" s="1531"/>
      <c r="BI208" s="1535"/>
      <c r="BJ208" s="1534"/>
      <c r="BK208" s="1535"/>
      <c r="BL208" s="1534"/>
      <c r="BM208" s="1535"/>
      <c r="BN208" s="1534"/>
      <c r="BO208" s="1535"/>
      <c r="BP208" s="1534"/>
      <c r="BQ208" s="1535"/>
      <c r="BR208" s="1534"/>
      <c r="BS208" s="1535"/>
      <c r="BT208" s="1534"/>
      <c r="BU208" s="1535"/>
      <c r="BV208" s="1534"/>
      <c r="BW208" s="1535"/>
      <c r="BX208" s="1534"/>
      <c r="BY208" s="1535"/>
      <c r="BZ208" s="1534"/>
      <c r="CA208" s="1535"/>
      <c r="CB208" s="1534"/>
      <c r="CC208" s="1535"/>
      <c r="CD208" s="1534"/>
      <c r="CE208" s="1534"/>
      <c r="CF208" s="1535"/>
      <c r="CG208" s="1534"/>
      <c r="CH208" s="1535"/>
      <c r="CI208" s="1534"/>
      <c r="CJ208" s="1535"/>
      <c r="CK208" s="1534"/>
      <c r="CL208" s="1535"/>
      <c r="CM208" s="1534"/>
      <c r="CN208" s="1535"/>
      <c r="CO208" s="1534"/>
      <c r="CP208" s="1535"/>
      <c r="CQ208" s="1534"/>
      <c r="CR208" s="1535"/>
      <c r="CS208" s="1534"/>
      <c r="CT208" s="1535"/>
      <c r="CU208" s="1535"/>
      <c r="CV208" s="1531"/>
      <c r="CW208" s="898" t="str">
        <f t="shared" si="56"/>
        <v/>
      </c>
      <c r="CX208" s="898" t="str">
        <f>IFERROR(IF(AND(S208="",S208&lt;&gt;""),1913,VLOOKUP(S208,Valid!$B$99:$J$120,9)),"")</f>
        <v/>
      </c>
      <c r="CY208" s="898" t="str">
        <f t="shared" ca="1" si="57"/>
        <v/>
      </c>
      <c r="CZ208" s="1547" t="str">
        <f t="shared" ca="1" si="62"/>
        <v/>
      </c>
      <c r="DA208" s="898"/>
      <c r="DB208" s="898" t="str">
        <f t="shared" si="58"/>
        <v/>
      </c>
      <c r="DC208" s="898" t="str">
        <f t="shared" si="59"/>
        <v/>
      </c>
      <c r="DD208" s="1539" t="str">
        <f>IFERROR(IF(AND(AM208="",C208&lt;&gt;""),Valid!$E$123,VLOOKUP(AM208,Valid!$B$123:$F$125,4,FALSE)),"")</f>
        <v/>
      </c>
      <c r="DE208" s="1539" t="str">
        <f>IFERROR(IF(AND(AM208="",C208&lt;&gt;""),Valid!$F$123,VLOOKUP(AM208,Valid!$B$123:$F$125,5,FALSE)),"")</f>
        <v/>
      </c>
      <c r="DF208" s="1539" t="str">
        <f>IFERROR(VLOOKUP('A-70 RevVehInv'!S208,Valid!$B$99:$I$120,7), "")</f>
        <v/>
      </c>
      <c r="DG208" s="1539" t="str">
        <f>IFERROR(VLOOKUP(S208,Valid!$B$99:$I$120,8), "")</f>
        <v/>
      </c>
      <c r="DH208" s="1531"/>
    </row>
    <row r="209" spans="1:112" s="930" customFormat="1" x14ac:dyDescent="0.2">
      <c r="A209" s="206">
        <v>99</v>
      </c>
      <c r="B209" s="1530">
        <v>99</v>
      </c>
      <c r="C209" s="933"/>
      <c r="D209" s="719" t="str">
        <f>IF(C207="","",IF((C209=""),"Enter RVI ID. then Fill in Columns "&amp;TEXT($I$2,0)&amp;" - "&amp;TEXT($BA$2,0)&amp;"       ",""))</f>
        <v/>
      </c>
      <c r="E209" s="1056" t="str">
        <f>IF(BH209="N/A","",BH209)</f>
        <v/>
      </c>
      <c r="F209" s="1536"/>
      <c r="G209" s="1536"/>
      <c r="H209" s="1536"/>
      <c r="I209" s="1023"/>
      <c r="J209" s="1536" t="str">
        <f>IF(E209&lt;&gt;"","Vehicles?    ","")</f>
        <v/>
      </c>
      <c r="K209" s="1023"/>
      <c r="L209" s="1536" t="str">
        <f>IF(E209&lt;&gt;"","Active Vehicles?     ","")</f>
        <v/>
      </c>
      <c r="M209" s="1023"/>
      <c r="N209" s="1536" t="str">
        <f>IF(E209&lt;&gt;"","ADA Vehicles?       ","")</f>
        <v/>
      </c>
      <c r="O209" s="1023"/>
      <c r="P209" s="1536" t="str">
        <f>IF(E209&lt;&gt;"","Cont. Vehicles?     ","")</f>
        <v/>
      </c>
      <c r="Q209" s="1024"/>
      <c r="R209" s="894"/>
      <c r="S209" s="1153"/>
      <c r="T209" s="252" t="str">
        <f>IF(E209&lt;&gt;"","Select from Pull-Down List    ","")</f>
        <v/>
      </c>
      <c r="U209" s="933"/>
      <c r="V209" s="252" t="str">
        <f>IF(E209&lt;&gt;"","Select from Pull-Down List    ","")</f>
        <v/>
      </c>
      <c r="W209" s="1766" t="str">
        <f t="shared" si="54"/>
        <v/>
      </c>
      <c r="X209" s="252"/>
      <c r="Y209" s="1988"/>
      <c r="Z209" s="252" t="str">
        <f t="shared" si="55"/>
        <v/>
      </c>
      <c r="AA209" s="139"/>
      <c r="AB209" s="252" t="str">
        <f>IF(E209&lt;&gt;"","Mfg. Yr?    ","")</f>
        <v/>
      </c>
      <c r="AC209" s="1974" t="str">
        <f t="shared" si="60"/>
        <v/>
      </c>
      <c r="AD209" s="252"/>
      <c r="AE209" s="1986" t="str">
        <f t="shared" si="61"/>
        <v/>
      </c>
      <c r="AF209" s="252"/>
      <c r="AG209" s="933"/>
      <c r="AH209" s="252" t="str">
        <f>IF(E209&lt;&gt;"","Select from Pull-Down List    ","")</f>
        <v/>
      </c>
      <c r="AI209" s="933"/>
      <c r="AJ209" s="252" t="str">
        <f>IF(E209&lt;&gt;"","Number?   ","")</f>
        <v/>
      </c>
      <c r="AK209" s="139"/>
      <c r="AL209" s="252" t="str">
        <f>IF(E209&lt;&gt;"","Last Rnwl. Yr?   ","")</f>
        <v/>
      </c>
      <c r="AM209" s="933"/>
      <c r="AN209" s="252" t="str">
        <f>IF(E209&lt;&gt;"","Select from Pull-Down List    ","")</f>
        <v/>
      </c>
      <c r="AO209" s="933"/>
      <c r="AP209" s="252" t="str">
        <f>IF(E209&lt;&gt;"","Select from Pull-Down List    ","")</f>
        <v/>
      </c>
      <c r="AQ209" s="1023"/>
      <c r="AR209" s="252" t="str">
        <f>IF(E209&lt;&gt;"","Feet?    ","")</f>
        <v/>
      </c>
      <c r="AS209" s="1023"/>
      <c r="AT209" s="252" t="str">
        <f>IF(E209&lt;&gt;"","Seats?    ","")</f>
        <v/>
      </c>
      <c r="AU209" s="1023"/>
      <c r="AV209" s="252" t="str">
        <f>IF(E209&lt;&gt;"","Standing?    ","")</f>
        <v/>
      </c>
      <c r="AW209" s="1023"/>
      <c r="AX209" s="252" t="str">
        <f>IF(E209&lt;&gt;"","Mileage?       ","")</f>
        <v/>
      </c>
      <c r="AY209" s="1023"/>
      <c r="AZ209" s="252" t="str">
        <f>IF(E209&lt;&gt;"","Avg. Lifetime Mileage? ","")</f>
        <v/>
      </c>
      <c r="BA209" s="933"/>
      <c r="BB209" s="252" t="str">
        <f>IF(E209&lt;&gt;"","Select from Pull-Down List    ","")</f>
        <v/>
      </c>
      <c r="BC209" s="171"/>
      <c r="BD209" s="252" t="str">
        <f>IF(OR(AO209="OR - Other fuel (describe in Notes)",AG209="ZZZ - Other (describe in Notes)"),"Describe                                                                                                     ","")</f>
        <v/>
      </c>
      <c r="BE209" s="894"/>
      <c r="BF209" s="894"/>
      <c r="BG209" s="894" t="b">
        <f>IF(AND(C209="",C211&lt;&gt;""),TRUE,FALSE)</f>
        <v>0</v>
      </c>
      <c r="BH209" s="888" t="str">
        <f>IF(AND(C209&lt;&gt;"",OR(I209="",K209="",M209="",O209="",S209="",U209="",AA209="",AG209="",AI209="",AO209="",AQ209="",AS209="",AU209="",AW209="",AY209="")),"No",IF(AND(C209="",OR(I209&lt;&gt;"",K209&lt;&gt;"",M209&lt;&gt;"",O209&lt;&gt;"",S209&lt;&gt;"",U209&lt;&gt;"",AA209&lt;&gt;"",AG209&lt;&gt;"",AI209&lt;&gt;"",AK209&lt;&gt;"",AM209&lt;&gt;"",AO209&lt;&gt;"",AQ209&lt;&gt;"",AS209&lt;&gt;"",AU209&lt;&gt;"",AW209&lt;&gt;"",AY209&lt;&gt;"",BA209&lt;&gt;"",BC209&lt;&gt;"")),"No",IF(AND(C209="",I209="",K209="",M209="",O209="",S209="",U209="",AA209="",AG209="",AI209="",AK209="",AM209="",AO209="",AQ209="",AS209="",AU209="",AW209="",AY209="",BA209=""),"N/A","Yes")))</f>
        <v>N/A</v>
      </c>
      <c r="BI209" s="898"/>
      <c r="BJ209" s="899" t="b">
        <f>IF(AND(OR(I209&lt;&gt;"",K209&lt;&gt;"",M209&lt;&gt;"",O209&lt;&gt;"",S209&lt;&gt;"",U209&lt;&gt;"",AA209&lt;&gt;"",AG209&lt;&gt;"",AI209&lt;&gt;"",AK209&lt;&gt;"",AM209&lt;&gt;"",AO209&lt;&gt;"",AQ209&lt;&gt;"",AS209&lt;&gt;"",AW209&lt;&gt;"",AY209&lt;&gt;"",BA209&lt;&gt;"",BC209&lt;&gt;""),C209=""),TRUE,FALSE)</f>
        <v>0</v>
      </c>
      <c r="BK209" s="898" t="b">
        <f>IF(BL209=TRUE,FALSE,IF(SUM(K209,O209)&gt;I209,TRUE,FALSE))</f>
        <v>0</v>
      </c>
      <c r="BL209" s="899" t="b">
        <f>IF(AND(C209&lt;&gt;"",I209=""),TRUE,FALSE)</f>
        <v>0</v>
      </c>
      <c r="BM209" s="898" t="b">
        <f>IF(BN209=TRUE,FALSE,IF(M209&gt;K209,TRUE,FALSE))</f>
        <v>0</v>
      </c>
      <c r="BN209" s="899" t="b">
        <f>IF(AND($C209&lt;&gt;"",K209=""),TRUE,FALSE)</f>
        <v>0</v>
      </c>
      <c r="BO209" s="898"/>
      <c r="BP209" s="899" t="b">
        <f>IF(AND($C209&lt;&gt;"",M209=""),TRUE,FALSE)</f>
        <v>0</v>
      </c>
      <c r="BQ209" s="898"/>
      <c r="BR209" s="899" t="b">
        <f>IF(AND($C209&lt;&gt;"",O209=""),TRUE,FALSE)</f>
        <v>0</v>
      </c>
      <c r="BS209" s="898" t="b">
        <f>IF(AND(S209="",OR(U209&lt;&gt;"",AA209&lt;&gt;"",AG209&lt;&gt;"",AI209&lt;&gt;"",AK209&lt;&gt;"",AM209&lt;&gt;"",AO209&lt;&gt;"",AQ209&lt;&gt;"",AS209&lt;&gt;"",AU209&lt;&gt;"",AW209&lt;&gt;"",AY209&lt;&gt;"",BA209&lt;&gt;"")),TRUE,FALSE)</f>
        <v>0</v>
      </c>
      <c r="BT209" s="899" t="b">
        <f>IF(AND($C209&lt;&gt;"",S209=""),TRUE,FALSE)</f>
        <v>0</v>
      </c>
      <c r="BU209" s="898"/>
      <c r="BV209" s="899" t="b">
        <f>IF(AND($C209&lt;&gt;"",U209=""),TRUE,FALSE)</f>
        <v>0</v>
      </c>
      <c r="BW209" s="1537" t="b">
        <f>IF(BX209=TRUE,FALSE,IF(AA209="",FALSE,IF(OR(AA209&lt;CX209,AA209&gt;BaseYear),TRUE,FALSE)))</f>
        <v>0</v>
      </c>
      <c r="BX209" s="899" t="b">
        <f>IF(AND($C209&lt;&gt;"",AA209=""),TRUE,FALSE)</f>
        <v>0</v>
      </c>
      <c r="BY209" s="898"/>
      <c r="BZ209" s="899" t="b">
        <f>IF(AND($C209&lt;&gt;"",AG209=""),TRUE,FALSE)</f>
        <v>0</v>
      </c>
      <c r="CA209" s="898"/>
      <c r="CB209" s="899" t="b">
        <f>IF(AND($C209&lt;&gt;"",AI209=""),TRUE,FALSE)</f>
        <v>0</v>
      </c>
      <c r="CC209" s="1537" t="b">
        <f>IF(AK209="",FALSE,IF(OR(AK209&lt;CX209,AK209&gt;BaseYear),TRUE,FALSE))</f>
        <v>0</v>
      </c>
      <c r="CD209" s="1538" t="b">
        <f>IF(AK209="",FALSE,IF(AK209&lt;AA209,TRUE,FALSE))</f>
        <v>0</v>
      </c>
      <c r="CE209" s="899" t="b">
        <f>IF(AND($AM209&lt;&gt;"",AK209=""),TRUE,FALSE)</f>
        <v>0</v>
      </c>
      <c r="CF209" s="898"/>
      <c r="CG209" s="898" t="b">
        <f>IF(AND($AK209&lt;&gt;"",AM209=""),TRUE,FALSE)</f>
        <v>0</v>
      </c>
      <c r="CH209" s="898"/>
      <c r="CI209" s="899" t="b">
        <f>IF(AND($C209&lt;&gt;"",AO209=""),TRUE,FALSE)</f>
        <v>0</v>
      </c>
      <c r="CJ209" s="1537"/>
      <c r="CK209" s="899" t="b">
        <f>IF(AND($C209&lt;&gt;"",AQ209=""),TRUE,FALSE)</f>
        <v>0</v>
      </c>
      <c r="CL209" s="898"/>
      <c r="CM209" s="899" t="b">
        <f>IF(AND($C209&lt;&gt;"",AS209=""),TRUE,FALSE)</f>
        <v>0</v>
      </c>
      <c r="CN209" s="898"/>
      <c r="CO209" s="899" t="b">
        <f>IF(AND($C209&lt;&gt;"",AU209=""),TRUE,FALSE)</f>
        <v>0</v>
      </c>
      <c r="CP209" s="898"/>
      <c r="CQ209" s="899" t="b">
        <f>IF(AND($C209&lt;&gt;"",AW209=""),TRUE,FALSE)</f>
        <v>0</v>
      </c>
      <c r="CR209" s="898"/>
      <c r="CS209" s="899" t="b">
        <f>IF(AND($C209&lt;&gt;"",AY209=""),TRUE,FALSE)</f>
        <v>0</v>
      </c>
      <c r="CT209" s="898"/>
      <c r="CU209" s="898" t="b">
        <f>IF(AND($C209&lt;&gt;"",BA209=""),TRUE,FALSE)</f>
        <v>0</v>
      </c>
      <c r="CV209" s="894"/>
      <c r="CW209" s="898" t="str">
        <f t="shared" si="56"/>
        <v/>
      </c>
      <c r="CX209" s="898" t="str">
        <f>IFERROR(IF(AND(S209="",S209&lt;&gt;""),1913,VLOOKUP(S209,Valid!$B$99:$J$120,9)),"")</f>
        <v/>
      </c>
      <c r="CY209" s="898" t="str">
        <f t="shared" ca="1" si="57"/>
        <v/>
      </c>
      <c r="CZ209" s="1547" t="str">
        <f t="shared" ca="1" si="62"/>
        <v/>
      </c>
      <c r="DA209" s="898" t="str">
        <f ca="1">IF(CZ209="", "", IF(1+(CZ209*4)&lt;1, 1, 1+(CZ209*4)))</f>
        <v/>
      </c>
      <c r="DB209" s="898" t="str">
        <f t="shared" si="58"/>
        <v/>
      </c>
      <c r="DC209" s="898" t="str">
        <f t="shared" si="59"/>
        <v/>
      </c>
      <c r="DD209" s="1539" t="str">
        <f>IFERROR(IF(AND(AM209="",C209&lt;&gt;""),Valid!$E$123,VLOOKUP(AM209,Valid!$B$123:$F$125,4,FALSE)),"")</f>
        <v/>
      </c>
      <c r="DE209" s="1539" t="str">
        <f>IFERROR(IF(AND(AM209="",C209&lt;&gt;""),Valid!$F$123,VLOOKUP(AM209,Valid!$B$123:$F$125,5,FALSE)),"")</f>
        <v/>
      </c>
      <c r="DF209" s="1539" t="str">
        <f>IFERROR(VLOOKUP('A-70 RevVehInv'!S209,Valid!$B$99:$I$120,7), "")</f>
        <v/>
      </c>
      <c r="DG209" s="1539" t="str">
        <f>IFERROR(VLOOKUP(S209,Valid!$B$99:$I$120,8), "")</f>
        <v/>
      </c>
      <c r="DH209" s="894"/>
    </row>
    <row r="210" spans="1:112" ht="6.75" customHeight="1" x14ac:dyDescent="0.2">
      <c r="A210" s="1517"/>
      <c r="B210" s="1530">
        <v>99.5</v>
      </c>
      <c r="C210" s="1540"/>
      <c r="D210" s="905"/>
      <c r="E210" s="1541"/>
      <c r="F210" s="905"/>
      <c r="G210" s="905"/>
      <c r="H210" s="905"/>
      <c r="I210" s="1534"/>
      <c r="J210" s="905"/>
      <c r="K210" s="1534"/>
      <c r="L210" s="905"/>
      <c r="M210" s="1534"/>
      <c r="N210" s="905"/>
      <c r="O210" s="1534"/>
      <c r="P210" s="905"/>
      <c r="Q210" s="1534"/>
      <c r="R210" s="1531"/>
      <c r="S210" s="1542"/>
      <c r="T210" s="905"/>
      <c r="U210" s="1542"/>
      <c r="V210" s="905"/>
      <c r="W210" s="1534" t="str">
        <f t="shared" si="54"/>
        <v/>
      </c>
      <c r="X210" s="905"/>
      <c r="Y210" s="1534"/>
      <c r="Z210" s="252" t="str">
        <f t="shared" si="55"/>
        <v/>
      </c>
      <c r="AA210" s="1534"/>
      <c r="AB210" s="905"/>
      <c r="AC210" s="1973" t="str">
        <f t="shared" si="60"/>
        <v/>
      </c>
      <c r="AD210" s="905"/>
      <c r="AE210" s="1985" t="str">
        <f t="shared" si="61"/>
        <v/>
      </c>
      <c r="AF210" s="905"/>
      <c r="AG210" s="1543"/>
      <c r="AH210" s="1531"/>
      <c r="AI210" s="1534"/>
      <c r="AJ210" s="1531"/>
      <c r="AK210" s="1534"/>
      <c r="AL210" s="1531"/>
      <c r="AM210" s="1543"/>
      <c r="AN210" s="1531"/>
      <c r="AO210" s="1543"/>
      <c r="AP210" s="1531"/>
      <c r="AQ210" s="1534"/>
      <c r="AR210" s="1531"/>
      <c r="AS210" s="1534"/>
      <c r="AT210" s="1531"/>
      <c r="AU210" s="1534"/>
      <c r="AV210" s="1531"/>
      <c r="AW210" s="1534"/>
      <c r="AX210" s="1531"/>
      <c r="AY210" s="1534"/>
      <c r="AZ210" s="1531"/>
      <c r="BA210" s="1543"/>
      <c r="BB210" s="1531"/>
      <c r="BC210" s="1534"/>
      <c r="BD210" s="1531"/>
      <c r="BE210" s="1531"/>
      <c r="BF210" s="1531"/>
      <c r="BG210" s="1531"/>
      <c r="BH210" s="1531"/>
      <c r="BI210" s="1535"/>
      <c r="BJ210" s="1534"/>
      <c r="BK210" s="1535"/>
      <c r="BL210" s="1534"/>
      <c r="BM210" s="1535"/>
      <c r="BN210" s="1534"/>
      <c r="BO210" s="1535"/>
      <c r="BP210" s="1534"/>
      <c r="BQ210" s="1535"/>
      <c r="BR210" s="1534"/>
      <c r="BS210" s="1535"/>
      <c r="BT210" s="1534"/>
      <c r="BU210" s="1535"/>
      <c r="BV210" s="1534"/>
      <c r="BW210" s="1535"/>
      <c r="BX210" s="1534"/>
      <c r="BY210" s="1535"/>
      <c r="BZ210" s="1534"/>
      <c r="CA210" s="1535"/>
      <c r="CB210" s="1534"/>
      <c r="CC210" s="1535"/>
      <c r="CD210" s="1534"/>
      <c r="CE210" s="1534"/>
      <c r="CF210" s="1535"/>
      <c r="CG210" s="1534"/>
      <c r="CH210" s="1535"/>
      <c r="CI210" s="1534"/>
      <c r="CJ210" s="1535"/>
      <c r="CK210" s="1534"/>
      <c r="CL210" s="1535"/>
      <c r="CM210" s="1534"/>
      <c r="CN210" s="1535"/>
      <c r="CO210" s="1534"/>
      <c r="CP210" s="1535"/>
      <c r="CQ210" s="1534"/>
      <c r="CR210" s="1535"/>
      <c r="CS210" s="1534"/>
      <c r="CT210" s="1535"/>
      <c r="CU210" s="1535"/>
      <c r="CV210" s="1531"/>
      <c r="CW210" s="898" t="str">
        <f t="shared" si="56"/>
        <v/>
      </c>
      <c r="CX210" s="898" t="str">
        <f>IFERROR(IF(AND(S210="",S210&lt;&gt;""),1913,VLOOKUP(S210,Valid!$B$99:$J$120,9)),"")</f>
        <v/>
      </c>
      <c r="CY210" s="898" t="str">
        <f t="shared" ca="1" si="57"/>
        <v/>
      </c>
      <c r="CZ210" s="1547" t="str">
        <f t="shared" ca="1" si="62"/>
        <v/>
      </c>
      <c r="DA210" s="898"/>
      <c r="DB210" s="898" t="str">
        <f t="shared" si="58"/>
        <v/>
      </c>
      <c r="DC210" s="898" t="str">
        <f t="shared" si="59"/>
        <v/>
      </c>
      <c r="DD210" s="1539" t="str">
        <f>IFERROR(IF(AND(AM210="",C210&lt;&gt;""),Valid!$E$123,VLOOKUP(AM210,Valid!$B$123:$F$125,4,FALSE)),"")</f>
        <v/>
      </c>
      <c r="DE210" s="1539" t="str">
        <f>IFERROR(IF(AND(AM210="",C210&lt;&gt;""),Valid!$F$123,VLOOKUP(AM210,Valid!$B$123:$F$125,5,FALSE)),"")</f>
        <v/>
      </c>
      <c r="DF210" s="1539" t="str">
        <f>IFERROR(VLOOKUP('A-70 RevVehInv'!S210,Valid!$B$99:$I$120,7), "")</f>
        <v/>
      </c>
      <c r="DG210" s="1539" t="str">
        <f>IFERROR(VLOOKUP(S210,Valid!$B$99:$I$120,8), "")</f>
        <v/>
      </c>
      <c r="DH210" s="1531"/>
    </row>
    <row r="211" spans="1:112" s="930" customFormat="1" x14ac:dyDescent="0.2">
      <c r="A211" s="206">
        <v>100</v>
      </c>
      <c r="B211" s="1530">
        <v>100</v>
      </c>
      <c r="C211" s="933"/>
      <c r="D211" s="719" t="str">
        <f>IF(C209="","",IF((C211=""),"Enter RVI ID. then Fill in Columns "&amp;TEXT($I$2,0)&amp;" - "&amp;TEXT($BA$2,0)&amp;"       ",""))</f>
        <v/>
      </c>
      <c r="E211" s="1056" t="str">
        <f>IF(BH211="N/A","",BH211)</f>
        <v/>
      </c>
      <c r="F211" s="1536"/>
      <c r="G211" s="1536"/>
      <c r="H211" s="1536"/>
      <c r="I211" s="1023"/>
      <c r="J211" s="1536" t="str">
        <f>IF(E211&lt;&gt;"","Vehicles?    ","")</f>
        <v/>
      </c>
      <c r="K211" s="1023"/>
      <c r="L211" s="1536" t="str">
        <f>IF(E211&lt;&gt;"","Active Vehicles?     ","")</f>
        <v/>
      </c>
      <c r="M211" s="1023"/>
      <c r="N211" s="1536" t="str">
        <f>IF(E211&lt;&gt;"","ADA Vehicles?       ","")</f>
        <v/>
      </c>
      <c r="O211" s="1023"/>
      <c r="P211" s="1536" t="str">
        <f>IF(E211&lt;&gt;"","Cont. Vehicles?     ","")</f>
        <v/>
      </c>
      <c r="Q211" s="1024"/>
      <c r="R211" s="894"/>
      <c r="S211" s="1153"/>
      <c r="T211" s="252" t="str">
        <f>IF(E211&lt;&gt;"","Select from Pull-Down List    ","")</f>
        <v/>
      </c>
      <c r="U211" s="933"/>
      <c r="V211" s="252" t="str">
        <f>IF(E211&lt;&gt;"","Select from Pull-Down List    ","")</f>
        <v/>
      </c>
      <c r="W211" s="1766" t="str">
        <f t="shared" si="54"/>
        <v/>
      </c>
      <c r="X211" s="252"/>
      <c r="Y211" s="1988"/>
      <c r="Z211" s="252" t="str">
        <f t="shared" si="55"/>
        <v/>
      </c>
      <c r="AA211" s="139"/>
      <c r="AB211" s="252" t="str">
        <f>IF(E211&lt;&gt;"","Mfg. Yr?    ","")</f>
        <v/>
      </c>
      <c r="AC211" s="1974" t="str">
        <f t="shared" si="60"/>
        <v/>
      </c>
      <c r="AD211" s="252"/>
      <c r="AE211" s="1986" t="str">
        <f t="shared" si="61"/>
        <v/>
      </c>
      <c r="AF211" s="252"/>
      <c r="AG211" s="933"/>
      <c r="AH211" s="252" t="str">
        <f>IF(E211&lt;&gt;"","Select from Pull-Down List    ","")</f>
        <v/>
      </c>
      <c r="AI211" s="933"/>
      <c r="AJ211" s="252" t="str">
        <f>IF(E211&lt;&gt;"","Number?   ","")</f>
        <v/>
      </c>
      <c r="AK211" s="139"/>
      <c r="AL211" s="252" t="str">
        <f>IF(E211&lt;&gt;"","Last Rnwl. Yr?   ","")</f>
        <v/>
      </c>
      <c r="AM211" s="933"/>
      <c r="AN211" s="252" t="str">
        <f>IF(E211&lt;&gt;"","Select from Pull-Down List    ","")</f>
        <v/>
      </c>
      <c r="AO211" s="933"/>
      <c r="AP211" s="252" t="str">
        <f>IF(E211&lt;&gt;"","Select from Pull-Down List    ","")</f>
        <v/>
      </c>
      <c r="AQ211" s="1023"/>
      <c r="AR211" s="252" t="str">
        <f>IF(E211&lt;&gt;"","Feet?    ","")</f>
        <v/>
      </c>
      <c r="AS211" s="1023"/>
      <c r="AT211" s="252" t="str">
        <f>IF(E211&lt;&gt;"","Seats?    ","")</f>
        <v/>
      </c>
      <c r="AU211" s="1023"/>
      <c r="AV211" s="252" t="str">
        <f>IF(E211&lt;&gt;"","Standing?    ","")</f>
        <v/>
      </c>
      <c r="AW211" s="1023"/>
      <c r="AX211" s="252" t="str">
        <f>IF(E211&lt;&gt;"","Mileage?       ","")</f>
        <v/>
      </c>
      <c r="AY211" s="1023"/>
      <c r="AZ211" s="252" t="str">
        <f>IF(E211&lt;&gt;"","Avg. Lifetime Mileage? ","")</f>
        <v/>
      </c>
      <c r="BA211" s="933"/>
      <c r="BB211" s="252" t="str">
        <f>IF(E211&lt;&gt;"","Select from Pull-Down List    ","")</f>
        <v/>
      </c>
      <c r="BC211" s="171"/>
      <c r="BD211" s="252" t="str">
        <f>IF(OR(AO211="OR - Other fuel (describe in Notes)",AG211="ZZZ - Other (describe in Notes)"),"Describe                                                                                                     ","")</f>
        <v/>
      </c>
      <c r="BE211" s="894"/>
      <c r="BF211" s="894"/>
      <c r="BG211" s="894" t="b">
        <f>IF(AND(C211="",C213&lt;&gt;""),TRUE,FALSE)</f>
        <v>0</v>
      </c>
      <c r="BH211" s="888" t="str">
        <f>IF(AND(C211&lt;&gt;"",OR(I211="",K211="",M211="",O211="",S211="",U211="",AA211="",AG211="",AI211="",AO211="",AQ211="",AS211="",AU211="",AW211="",AY211="")),"No",IF(AND(C211="",OR(I211&lt;&gt;"",K211&lt;&gt;"",M211&lt;&gt;"",O211&lt;&gt;"",S211&lt;&gt;"",U211&lt;&gt;"",AA211&lt;&gt;"",AG211&lt;&gt;"",AI211&lt;&gt;"",AK211&lt;&gt;"",AM211&lt;&gt;"",AO211&lt;&gt;"",AQ211&lt;&gt;"",AS211&lt;&gt;"",AU211&lt;&gt;"",AW211&lt;&gt;"",AY211&lt;&gt;"",BA211&lt;&gt;"",BC211&lt;&gt;"")),"No",IF(AND(C211="",I211="",K211="",M211="",O211="",S211="",U211="",AA211="",AG211="",AI211="",AK211="",AM211="",AO211="",AQ211="",AS211="",AU211="",AW211="",AY211="",BA211=""),"N/A","Yes")))</f>
        <v>N/A</v>
      </c>
      <c r="BI211" s="898"/>
      <c r="BJ211" s="899" t="b">
        <f>IF(AND(OR(I211&lt;&gt;"",K211&lt;&gt;"",M211&lt;&gt;"",O211&lt;&gt;"",S211&lt;&gt;"",U211&lt;&gt;"",AA211&lt;&gt;"",AG211&lt;&gt;"",AI211&lt;&gt;"",AK211&lt;&gt;"",AM211&lt;&gt;"",AO211&lt;&gt;"",AQ211&lt;&gt;"",AS211&lt;&gt;"",AW211&lt;&gt;"",AY211&lt;&gt;"",BA211&lt;&gt;"",BC211&lt;&gt;""),C211=""),TRUE,FALSE)</f>
        <v>0</v>
      </c>
      <c r="BK211" s="898" t="b">
        <f>IF(BL211=TRUE,FALSE,IF(SUM(K211,O211)&gt;I211,TRUE,FALSE))</f>
        <v>0</v>
      </c>
      <c r="BL211" s="899" t="b">
        <f>IF(AND(C211&lt;&gt;"",I211=""),TRUE,FALSE)</f>
        <v>0</v>
      </c>
      <c r="BM211" s="898" t="b">
        <f>IF(BN211=TRUE,FALSE,IF(M211&gt;K211,TRUE,FALSE))</f>
        <v>0</v>
      </c>
      <c r="BN211" s="899" t="b">
        <f>IF(AND($C211&lt;&gt;"",K211=""),TRUE,FALSE)</f>
        <v>0</v>
      </c>
      <c r="BO211" s="898"/>
      <c r="BP211" s="899" t="b">
        <f>IF(AND($C211&lt;&gt;"",M211=""),TRUE,FALSE)</f>
        <v>0</v>
      </c>
      <c r="BQ211" s="898"/>
      <c r="BR211" s="899" t="b">
        <f>IF(AND($C211&lt;&gt;"",O211=""),TRUE,FALSE)</f>
        <v>0</v>
      </c>
      <c r="BS211" s="898" t="b">
        <f>IF(AND(S211="",OR(U211&lt;&gt;"",AA211&lt;&gt;"",AG211&lt;&gt;"",AI211&lt;&gt;"",AK211&lt;&gt;"",AM211&lt;&gt;"",AO211&lt;&gt;"",AQ211&lt;&gt;"",AS211&lt;&gt;"",AU211&lt;&gt;"",AW211&lt;&gt;"",AY211&lt;&gt;"",BA211&lt;&gt;"")),TRUE,FALSE)</f>
        <v>0</v>
      </c>
      <c r="BT211" s="899" t="b">
        <f>IF(AND($C211&lt;&gt;"",S211=""),TRUE,FALSE)</f>
        <v>0</v>
      </c>
      <c r="BU211" s="898"/>
      <c r="BV211" s="899" t="b">
        <f>IF(AND($C211&lt;&gt;"",U211=""),TRUE,FALSE)</f>
        <v>0</v>
      </c>
      <c r="BW211" s="1537" t="b">
        <f>IF(BX211=TRUE,FALSE,IF(AA211="",FALSE,IF(OR(AA211&lt;CX211,AA211&gt;BaseYear),TRUE,FALSE)))</f>
        <v>0</v>
      </c>
      <c r="BX211" s="899" t="b">
        <f>IF(AND($C211&lt;&gt;"",AA211=""),TRUE,FALSE)</f>
        <v>0</v>
      </c>
      <c r="BY211" s="898"/>
      <c r="BZ211" s="899" t="b">
        <f>IF(AND($C211&lt;&gt;"",AG211=""),TRUE,FALSE)</f>
        <v>0</v>
      </c>
      <c r="CA211" s="898"/>
      <c r="CB211" s="899" t="b">
        <f>IF(AND($C211&lt;&gt;"",AI211=""),TRUE,FALSE)</f>
        <v>0</v>
      </c>
      <c r="CC211" s="1537" t="b">
        <f>IF(AK211="",FALSE,IF(OR(AK211&lt;CX211,AK211&gt;BaseYear),TRUE,FALSE))</f>
        <v>0</v>
      </c>
      <c r="CD211" s="1538" t="b">
        <f>IF(AK211="",FALSE,IF(AK211&lt;AA211,TRUE,FALSE))</f>
        <v>0</v>
      </c>
      <c r="CE211" s="899" t="b">
        <f>IF(AND($AM211&lt;&gt;"",AK211=""),TRUE,FALSE)</f>
        <v>0</v>
      </c>
      <c r="CF211" s="898"/>
      <c r="CG211" s="898" t="b">
        <f>IF(AND($AK211&lt;&gt;"",AM211=""),TRUE,FALSE)</f>
        <v>0</v>
      </c>
      <c r="CH211" s="898"/>
      <c r="CI211" s="899" t="b">
        <f>IF(AND($C211&lt;&gt;"",AO211=""),TRUE,FALSE)</f>
        <v>0</v>
      </c>
      <c r="CJ211" s="1537"/>
      <c r="CK211" s="899" t="b">
        <f>IF(AND($C211&lt;&gt;"",AQ211=""),TRUE,FALSE)</f>
        <v>0</v>
      </c>
      <c r="CL211" s="898"/>
      <c r="CM211" s="899" t="b">
        <f>IF(AND($C211&lt;&gt;"",AS211=""),TRUE,FALSE)</f>
        <v>0</v>
      </c>
      <c r="CN211" s="898"/>
      <c r="CO211" s="899" t="b">
        <f>IF(AND($C211&lt;&gt;"",AU211=""),TRUE,FALSE)</f>
        <v>0</v>
      </c>
      <c r="CP211" s="898"/>
      <c r="CQ211" s="899" t="b">
        <f>IF(AND($C211&lt;&gt;"",AW211=""),TRUE,FALSE)</f>
        <v>0</v>
      </c>
      <c r="CR211" s="898"/>
      <c r="CS211" s="899" t="b">
        <f>IF(AND($C211&lt;&gt;"",AY211=""),TRUE,FALSE)</f>
        <v>0</v>
      </c>
      <c r="CT211" s="898"/>
      <c r="CU211" s="898" t="b">
        <f>IF(AND($C211&lt;&gt;"",BA211=""),TRUE,FALSE)</f>
        <v>0</v>
      </c>
      <c r="CV211" s="894"/>
      <c r="CW211" s="898" t="str">
        <f t="shared" si="56"/>
        <v/>
      </c>
      <c r="CX211" s="898" t="str">
        <f>IFERROR(IF(AND(S211="",S211&lt;&gt;""),1913,VLOOKUP(S211,Valid!$B$99:$J$120,9)),"")</f>
        <v/>
      </c>
      <c r="CY211" s="898" t="str">
        <f t="shared" ca="1" si="57"/>
        <v/>
      </c>
      <c r="CZ211" s="1547" t="str">
        <f t="shared" ca="1" si="62"/>
        <v/>
      </c>
      <c r="DA211" s="898" t="str">
        <f ca="1">IF(CZ211="", "", IF(1+(CZ211*4)&lt;1, 1, 1+(CZ211*4)))</f>
        <v/>
      </c>
      <c r="DB211" s="898" t="str">
        <f t="shared" si="58"/>
        <v/>
      </c>
      <c r="DC211" s="898" t="str">
        <f t="shared" si="59"/>
        <v/>
      </c>
      <c r="DD211" s="1539" t="str">
        <f>IFERROR(IF(AND(AM211="",C211&lt;&gt;""),Valid!$E$123,VLOOKUP(AM211,Valid!$B$123:$F$125,4,FALSE)),"")</f>
        <v/>
      </c>
      <c r="DE211" s="1539" t="str">
        <f>IFERROR(IF(AND(AM211="",C211&lt;&gt;""),Valid!$F$123,VLOOKUP(AM211,Valid!$B$123:$F$125,5,FALSE)),"")</f>
        <v/>
      </c>
      <c r="DF211" s="1539" t="str">
        <f>IFERROR(VLOOKUP('A-70 RevVehInv'!S211,Valid!$B$99:$I$120,7), "")</f>
        <v/>
      </c>
      <c r="DG211" s="1539" t="str">
        <f>IFERROR(VLOOKUP(S211,Valid!$B$99:$I$120,8), "")</f>
        <v/>
      </c>
      <c r="DH211" s="894"/>
    </row>
  </sheetData>
  <sheetProtection password="C82B" sheet="1" objects="1" scenarios="1" formatCells="0" formatColumns="0" formatRows="0" selectLockedCells="1" sort="0" autoFilter="0"/>
  <autoFilter ref="A11:DG211">
    <sortState ref="A12:DG211">
      <sortCondition ref="B11:B211"/>
    </sortState>
  </autoFilter>
  <mergeCells count="1">
    <mergeCell ref="BI2:BJ2"/>
  </mergeCells>
  <conditionalFormatting sqref="I14:I98198">
    <cfRule type="expression" dxfId="39" priority="7903">
      <formula>BK14</formula>
    </cfRule>
  </conditionalFormatting>
  <conditionalFormatting sqref="A4">
    <cfRule type="expression" dxfId="38" priority="9059">
      <formula>$BH$8&gt;0</formula>
    </cfRule>
  </conditionalFormatting>
  <conditionalFormatting sqref="A3">
    <cfRule type="expression" dxfId="37" priority="9060">
      <formula>$BH$7&gt;0</formula>
    </cfRule>
  </conditionalFormatting>
  <conditionalFormatting sqref="K14:K98198">
    <cfRule type="expression" dxfId="36" priority="1528">
      <formula>$BM14</formula>
    </cfRule>
  </conditionalFormatting>
  <conditionalFormatting sqref="AA14:AA98198">
    <cfRule type="expression" dxfId="35" priority="1527">
      <formula>$BW14</formula>
    </cfRule>
  </conditionalFormatting>
  <conditionalFormatting sqref="AK14:AK998198">
    <cfRule type="expression" dxfId="34" priority="24">
      <formula>$CD14</formula>
    </cfRule>
    <cfRule type="expression" dxfId="33" priority="28">
      <formula>$CC14</formula>
    </cfRule>
  </conditionalFormatting>
  <conditionalFormatting sqref="I13">
    <cfRule type="expression" dxfId="32" priority="18">
      <formula>BK13</formula>
    </cfRule>
  </conditionalFormatting>
  <conditionalFormatting sqref="K13">
    <cfRule type="expression" dxfId="31" priority="17">
      <formula>$BM13</formula>
    </cfRule>
  </conditionalFormatting>
  <conditionalFormatting sqref="AA13">
    <cfRule type="expression" dxfId="30" priority="16">
      <formula>$BW13</formula>
    </cfRule>
  </conditionalFormatting>
  <conditionalFormatting sqref="AK13">
    <cfRule type="expression" dxfId="29" priority="5">
      <formula>$CD13</formula>
    </cfRule>
    <cfRule type="expression" dxfId="28" priority="7">
      <formula>$CC13</formula>
    </cfRule>
  </conditionalFormatting>
  <conditionalFormatting sqref="E1:E1048576">
    <cfRule type="cellIs" dxfId="27" priority="22" operator="equal">
      <formula>"Yes"</formula>
    </cfRule>
    <cfRule type="cellIs" dxfId="26" priority="23" operator="equal">
      <formula>"No"</formula>
    </cfRule>
  </conditionalFormatting>
  <conditionalFormatting sqref="C4">
    <cfRule type="expression" dxfId="25" priority="1">
      <formula>$BH$8&gt;0</formula>
    </cfRule>
  </conditionalFormatting>
  <conditionalFormatting sqref="C3">
    <cfRule type="expression" dxfId="24" priority="2">
      <formula>$BH$7&gt;0</formula>
    </cfRule>
  </conditionalFormatting>
  <dataValidations count="5">
    <dataValidation type="list" allowBlank="1" showInputMessage="1" showErrorMessage="1" sqref="AO13 AO173 AO175 AO177 AO179 AO181 AO183 AO185 AO187 AO189 AO191 AO133 AO153 AO113 AO15 AO17 AO19 AO21 AO23 AO25 AO27 AO135 AO137 AO139 AO141 AO143 AO145 AO147 AO149 AO151 AO29 AO155 AO157 AO159 AO161 AO163 AO165 AO167 AO169 AO171 AO115 AO117 AO119 AO121 AO123 AO125 AO127 AO129 AO131 AO31 AO33 AO35 AO37 AO39 AO41 AO43 AO45 AO47 AO49 AO51 AO53 AO55 AO57 AO59 AO61 AO63 AO65 AO67 AO69 AO71 AO73 AO75 AO77 AO79 AO81 AO83 AO85 AO87 AO89 AO91 AO93 AO95 AO97 AO99 AO101 AO103 AO105 AO107 AO109 AO111 AO193 AO195 AO197 AO199 AO201 AO203 AO205 AO207 AO209 AO211">
      <formula1>FuelCodes</formula1>
    </dataValidation>
    <dataValidation type="list" allowBlank="1" showInputMessage="1" showErrorMessage="1" sqref="BA13 BA173 BA175 BA177 BA179 BA181 BA183 BA185 BA187 BA189 BA191 BA133 BA153 BA113 BA15 BA17 BA19 BA21 BA23 BA25 BA27 BA135 BA137 BA139 BA141 BA143 BA145 BA147 BA149 BA151 BA29 BA155 BA157 BA159 BA161 BA163 BA165 BA167 BA169 BA171 BA115 BA117 BA119 BA121 BA123 BA125 BA127 BA129 BA131 BA31 BA33 BA35 BA37 BA39 BA41 BA43 BA45 BA47 BA49 BA51 BA53 BA55 BA57 BA59 BA61 BA63 BA65 BA67 BA69 BA71 BA73 BA75 BA77 BA79 BA81 BA83 BA85 BA87 BA89 BA91 BA93 BA95 BA97 BA99 BA101 BA103 BA105 BA107 BA109 BA111 BA193 BA195 BA197 BA199 BA201 BA203 BA205 BA207 BA209 BA211">
      <formula1>PrimaryModes</formula1>
    </dataValidation>
    <dataValidation type="list" allowBlank="1" showInputMessage="1" showErrorMessage="1" sqref="U13 U173 U175 U177 U179 U181 U183 U185 U187 U189 U191 U133 U153 U113 U15 U17 U19 U21 U23 U25 U27 U135 U137 U139 U141 U143 U145 U147 U149 U151 U29 U155 U157 U159 U161 U163 U165 U167 U169 U171 U115 U117 U119 U121 U123 U125 U127 U129 U131 U31 U33 U35 U37 U39 U41 U43 U45 U47 U49 U51 U53 U55 U57 U59 U61 U63 U65 U67 U69 U71 U73 U75 U77 U79 U81 U83 U85 U87 U89 U91 U93 U95 U97 U99 U101 U103 U105 U107 U109 U111 U193 U195 U197 U199 U201 U203 U205 U207 U209 U211">
      <formula1>FundingSource</formula1>
    </dataValidation>
    <dataValidation type="list" allowBlank="1" showInputMessage="1" showErrorMessage="1" sqref="S13 S173 S183 S181 S179 S177 S175 S191 S189 S187 S185 S93 S103 S101 S99 S97 S95 S111 S109 S107 S105 S73 S83 S81 S79 S77 S75 S91 S89 S87 S85 S53 S63 S61 S59 S57 S55 S71 S69 S67 S65 S33 S43 S41 S39 S37 S35 S51 S49 S47 S45 S113 S23 S21 S19 S17 S15 S123 S153 S133 S31 S29 S163 S161 S159 S157 S155 S171 S169 S167 S165 S27 S143 S141 S139 S137 S135 S151 S149 S147 S145 S25 S121 S119 S117 S115 S131 S129 S127 S125 S193 S203 S201 S199 S197 S195 S211 S209 S207 S205">
      <formula1>vehicle_type</formula1>
    </dataValidation>
    <dataValidation type="list" allowBlank="1" showInputMessage="1" showErrorMessage="1" sqref="AG13 AG15 AG17 AG19 AG21 AG23 AG25 AG27 AG29 AG31 AG33 AG35 AG37 AG39 AG41 AG43 AG45 AG47 AG49 AG51 AG53 AG55 AG57 AG59 AG61 AG63 AG65 AG67 AG69 AG71 AG73 AG75 AG77 AG79 AG81 AG83 AG85 AG87 AG89 AG91 AG93 AG95 AG97 AG99 AG101 AG103 AG105 AG107 AG109 AG111 AG113 AG115 AG117 AG119 AG121 AG123 AG125 AG127 AG129 AG131 AG133 AG135 AG137 AG139 AG141 AG143 AG145 AG147 AG149 AG151 AG153 AG155 AG157 AG159 AG161 AG163 AG165 AG167 AG169 AG171 AG173 AG175 AG177 AG179 AG181 AG183 AG185 AG187 AG189 AG191 AG193 AG195 AG197 AG199 AG201 AG203 AG205 AG207 AG209 AG211">
      <formula1>consolidatedmanufacturers</formula1>
    </dataValidation>
  </dataValidations>
  <pageMargins left="0.7" right="0.7" top="0.75" bottom="0.75" header="0.3" footer="0.3"/>
  <pageSetup orientation="portrait" horizontalDpi="300" r:id="rId1"/>
  <extLst>
    <ext xmlns:x14="http://schemas.microsoft.com/office/spreadsheetml/2009/9/main" uri="{CCE6A557-97BC-4b89-ADB6-D9C93CAAB3DF}">
      <x14:dataValidations xmlns:xm="http://schemas.microsoft.com/office/excel/2006/main" count="100">
        <x14:dataValidation type="list" allowBlank="1" showInputMessage="1" showErrorMessage="1">
          <x14:formula1>
            <xm:f>Codes!G47:G49</xm:f>
          </x14:formula1>
          <xm:sqref>AM13</xm:sqref>
        </x14:dataValidation>
        <x14:dataValidation type="list" allowBlank="1" showInputMessage="1" showErrorMessage="1">
          <x14:formula1>
            <xm:f>Codes!G245:G247</xm:f>
          </x14:formula1>
          <xm:sqref>AM211</xm:sqref>
        </x14:dataValidation>
        <x14:dataValidation type="list" allowBlank="1" showInputMessage="1" showErrorMessage="1">
          <x14:formula1>
            <xm:f>Codes!G243:G245</xm:f>
          </x14:formula1>
          <xm:sqref>AM209</xm:sqref>
        </x14:dataValidation>
        <x14:dataValidation type="list" allowBlank="1" showInputMessage="1" showErrorMessage="1">
          <x14:formula1>
            <xm:f>Codes!G229:G231</xm:f>
          </x14:formula1>
          <xm:sqref>AM195</xm:sqref>
        </x14:dataValidation>
        <x14:dataValidation type="list" allowBlank="1" showInputMessage="1" showErrorMessage="1">
          <x14:formula1>
            <xm:f>Codes!G231:G233</xm:f>
          </x14:formula1>
          <xm:sqref>AM197</xm:sqref>
        </x14:dataValidation>
        <x14:dataValidation type="list" allowBlank="1" showInputMessage="1" showErrorMessage="1">
          <x14:formula1>
            <xm:f>Codes!G233:G235</xm:f>
          </x14:formula1>
          <xm:sqref>AM199</xm:sqref>
        </x14:dataValidation>
        <x14:dataValidation type="list" allowBlank="1" showInputMessage="1" showErrorMessage="1">
          <x14:formula1>
            <xm:f>Codes!G235:G237</xm:f>
          </x14:formula1>
          <xm:sqref>AM201</xm:sqref>
        </x14:dataValidation>
        <x14:dataValidation type="list" allowBlank="1" showInputMessage="1" showErrorMessage="1">
          <x14:formula1>
            <xm:f>Codes!G237:G239</xm:f>
          </x14:formula1>
          <xm:sqref>AM203</xm:sqref>
        </x14:dataValidation>
        <x14:dataValidation type="list" allowBlank="1" showInputMessage="1" showErrorMessage="1">
          <x14:formula1>
            <xm:f>Codes!G239:G241</xm:f>
          </x14:formula1>
          <xm:sqref>AM205</xm:sqref>
        </x14:dataValidation>
        <x14:dataValidation type="list" allowBlank="1" showInputMessage="1" showErrorMessage="1">
          <x14:formula1>
            <xm:f>Codes!G241:G243</xm:f>
          </x14:formula1>
          <xm:sqref>AM207</xm:sqref>
        </x14:dataValidation>
        <x14:dataValidation type="list" allowBlank="1" showInputMessage="1" showErrorMessage="1">
          <x14:formula1>
            <xm:f>Codes!G227:G229</xm:f>
          </x14:formula1>
          <xm:sqref>AM193</xm:sqref>
        </x14:dataValidation>
        <x14:dataValidation type="list" allowBlank="1" showInputMessage="1" showErrorMessage="1">
          <x14:formula1>
            <xm:f>Codes!G225:G227</xm:f>
          </x14:formula1>
          <xm:sqref>AM191</xm:sqref>
        </x14:dataValidation>
        <x14:dataValidation type="list" allowBlank="1" showInputMessage="1" showErrorMessage="1">
          <x14:formula1>
            <xm:f>Codes!G223:G225</xm:f>
          </x14:formula1>
          <xm:sqref>AM189</xm:sqref>
        </x14:dataValidation>
        <x14:dataValidation type="list" allowBlank="1" showInputMessage="1" showErrorMessage="1">
          <x14:formula1>
            <xm:f>Codes!G209:G211</xm:f>
          </x14:formula1>
          <xm:sqref>AM175</xm:sqref>
        </x14:dataValidation>
        <x14:dataValidation type="list" allowBlank="1" showInputMessage="1" showErrorMessage="1">
          <x14:formula1>
            <xm:f>Codes!G211:G213</xm:f>
          </x14:formula1>
          <xm:sqref>AM177</xm:sqref>
        </x14:dataValidation>
        <x14:dataValidation type="list" allowBlank="1" showInputMessage="1" showErrorMessage="1">
          <x14:formula1>
            <xm:f>Codes!G213:G215</xm:f>
          </x14:formula1>
          <xm:sqref>AM179</xm:sqref>
        </x14:dataValidation>
        <x14:dataValidation type="list" allowBlank="1" showInputMessage="1" showErrorMessage="1">
          <x14:formula1>
            <xm:f>Codes!G215:G217</xm:f>
          </x14:formula1>
          <xm:sqref>AM181</xm:sqref>
        </x14:dataValidation>
        <x14:dataValidation type="list" allowBlank="1" showInputMessage="1" showErrorMessage="1">
          <x14:formula1>
            <xm:f>Codes!G217:G219</xm:f>
          </x14:formula1>
          <xm:sqref>AM183</xm:sqref>
        </x14:dataValidation>
        <x14:dataValidation type="list" allowBlank="1" showInputMessage="1" showErrorMessage="1">
          <x14:formula1>
            <xm:f>Codes!G219:G221</xm:f>
          </x14:formula1>
          <xm:sqref>AM185</xm:sqref>
        </x14:dataValidation>
        <x14:dataValidation type="list" allowBlank="1" showInputMessage="1" showErrorMessage="1">
          <x14:formula1>
            <xm:f>Codes!G221:G223</xm:f>
          </x14:formula1>
          <xm:sqref>AM187</xm:sqref>
        </x14:dataValidation>
        <x14:dataValidation type="list" allowBlank="1" showInputMessage="1" showErrorMessage="1">
          <x14:formula1>
            <xm:f>Codes!G207:G209</xm:f>
          </x14:formula1>
          <xm:sqref>AM173</xm:sqref>
        </x14:dataValidation>
        <x14:dataValidation type="list" allowBlank="1" showInputMessage="1" showErrorMessage="1">
          <x14:formula1>
            <xm:f>Codes!G205:G207</xm:f>
          </x14:formula1>
          <xm:sqref>AM171</xm:sqref>
        </x14:dataValidation>
        <x14:dataValidation type="list" allowBlank="1" showInputMessage="1" showErrorMessage="1">
          <x14:formula1>
            <xm:f>Codes!G203:G205</xm:f>
          </x14:formula1>
          <xm:sqref>AM169</xm:sqref>
        </x14:dataValidation>
        <x14:dataValidation type="list" allowBlank="1" showInputMessage="1" showErrorMessage="1">
          <x14:formula1>
            <xm:f>Codes!G189:G191</xm:f>
          </x14:formula1>
          <xm:sqref>AM155</xm:sqref>
        </x14:dataValidation>
        <x14:dataValidation type="list" allowBlank="1" showInputMessage="1" showErrorMessage="1">
          <x14:formula1>
            <xm:f>Codes!G191:G193</xm:f>
          </x14:formula1>
          <xm:sqref>AM157</xm:sqref>
        </x14:dataValidation>
        <x14:dataValidation type="list" allowBlank="1" showInputMessage="1" showErrorMessage="1">
          <x14:formula1>
            <xm:f>Codes!G193:G195</xm:f>
          </x14:formula1>
          <xm:sqref>AM159</xm:sqref>
        </x14:dataValidation>
        <x14:dataValidation type="list" allowBlank="1" showInputMessage="1" showErrorMessage="1">
          <x14:formula1>
            <xm:f>Codes!G195:G197</xm:f>
          </x14:formula1>
          <xm:sqref>AM161</xm:sqref>
        </x14:dataValidation>
        <x14:dataValidation type="list" allowBlank="1" showInputMessage="1" showErrorMessage="1">
          <x14:formula1>
            <xm:f>Codes!G197:G199</xm:f>
          </x14:formula1>
          <xm:sqref>AM163</xm:sqref>
        </x14:dataValidation>
        <x14:dataValidation type="list" allowBlank="1" showInputMessage="1" showErrorMessage="1">
          <x14:formula1>
            <xm:f>Codes!G199:G201</xm:f>
          </x14:formula1>
          <xm:sqref>AM165</xm:sqref>
        </x14:dataValidation>
        <x14:dataValidation type="list" allowBlank="1" showInputMessage="1" showErrorMessage="1">
          <x14:formula1>
            <xm:f>Codes!G201:G203</xm:f>
          </x14:formula1>
          <xm:sqref>AM167</xm:sqref>
        </x14:dataValidation>
        <x14:dataValidation type="list" allowBlank="1" showInputMessage="1" showErrorMessage="1">
          <x14:formula1>
            <xm:f>Codes!G187:G189</xm:f>
          </x14:formula1>
          <xm:sqref>AM153</xm:sqref>
        </x14:dataValidation>
        <x14:dataValidation type="list" allowBlank="1" showInputMessage="1" showErrorMessage="1">
          <x14:formula1>
            <xm:f>Codes!G185:G187</xm:f>
          </x14:formula1>
          <xm:sqref>AM151</xm:sqref>
        </x14:dataValidation>
        <x14:dataValidation type="list" allowBlank="1" showInputMessage="1" showErrorMessage="1">
          <x14:formula1>
            <xm:f>Codes!G183:G185</xm:f>
          </x14:formula1>
          <xm:sqref>AM149</xm:sqref>
        </x14:dataValidation>
        <x14:dataValidation type="list" allowBlank="1" showInputMessage="1" showErrorMessage="1">
          <x14:formula1>
            <xm:f>Codes!G169:G171</xm:f>
          </x14:formula1>
          <xm:sqref>AM135</xm:sqref>
        </x14:dataValidation>
        <x14:dataValidation type="list" allowBlank="1" showInputMessage="1" showErrorMessage="1">
          <x14:formula1>
            <xm:f>Codes!G171:G173</xm:f>
          </x14:formula1>
          <xm:sqref>AM137</xm:sqref>
        </x14:dataValidation>
        <x14:dataValidation type="list" allowBlank="1" showInputMessage="1" showErrorMessage="1">
          <x14:formula1>
            <xm:f>Codes!G173:G175</xm:f>
          </x14:formula1>
          <xm:sqref>AM139</xm:sqref>
        </x14:dataValidation>
        <x14:dataValidation type="list" allowBlank="1" showInputMessage="1" showErrorMessage="1">
          <x14:formula1>
            <xm:f>Codes!G175:G177</xm:f>
          </x14:formula1>
          <xm:sqref>AM141</xm:sqref>
        </x14:dataValidation>
        <x14:dataValidation type="list" allowBlank="1" showInputMessage="1" showErrorMessage="1">
          <x14:formula1>
            <xm:f>Codes!G177:G179</xm:f>
          </x14:formula1>
          <xm:sqref>AM143</xm:sqref>
        </x14:dataValidation>
        <x14:dataValidation type="list" allowBlank="1" showInputMessage="1" showErrorMessage="1">
          <x14:formula1>
            <xm:f>Codes!G179:G181</xm:f>
          </x14:formula1>
          <xm:sqref>AM145</xm:sqref>
        </x14:dataValidation>
        <x14:dataValidation type="list" allowBlank="1" showInputMessage="1" showErrorMessage="1">
          <x14:formula1>
            <xm:f>Codes!G181:G183</xm:f>
          </x14:formula1>
          <xm:sqref>AM147</xm:sqref>
        </x14:dataValidation>
        <x14:dataValidation type="list" allowBlank="1" showInputMessage="1" showErrorMessage="1">
          <x14:formula1>
            <xm:f>Codes!G167:G169</xm:f>
          </x14:formula1>
          <xm:sqref>AM133</xm:sqref>
        </x14:dataValidation>
        <x14:dataValidation type="list" allowBlank="1" showInputMessage="1" showErrorMessage="1">
          <x14:formula1>
            <xm:f>Codes!G165:G167</xm:f>
          </x14:formula1>
          <xm:sqref>AM131</xm:sqref>
        </x14:dataValidation>
        <x14:dataValidation type="list" allowBlank="1" showInputMessage="1" showErrorMessage="1">
          <x14:formula1>
            <xm:f>Codes!G163:G165</xm:f>
          </x14:formula1>
          <xm:sqref>AM129</xm:sqref>
        </x14:dataValidation>
        <x14:dataValidation type="list" allowBlank="1" showInputMessage="1" showErrorMessage="1">
          <x14:formula1>
            <xm:f>Codes!G149:G151</xm:f>
          </x14:formula1>
          <xm:sqref>AM115</xm:sqref>
        </x14:dataValidation>
        <x14:dataValidation type="list" allowBlank="1" showInputMessage="1" showErrorMessage="1">
          <x14:formula1>
            <xm:f>Codes!G151:G153</xm:f>
          </x14:formula1>
          <xm:sqref>AM117</xm:sqref>
        </x14:dataValidation>
        <x14:dataValidation type="list" allowBlank="1" showInputMessage="1" showErrorMessage="1">
          <x14:formula1>
            <xm:f>Codes!G153:G155</xm:f>
          </x14:formula1>
          <xm:sqref>AM119</xm:sqref>
        </x14:dataValidation>
        <x14:dataValidation type="list" allowBlank="1" showInputMessage="1" showErrorMessage="1">
          <x14:formula1>
            <xm:f>Codes!G155:G157</xm:f>
          </x14:formula1>
          <xm:sqref>AM121</xm:sqref>
        </x14:dataValidation>
        <x14:dataValidation type="list" allowBlank="1" showInputMessage="1" showErrorMessage="1">
          <x14:formula1>
            <xm:f>Codes!G157:G159</xm:f>
          </x14:formula1>
          <xm:sqref>AM123</xm:sqref>
        </x14:dataValidation>
        <x14:dataValidation type="list" allowBlank="1" showInputMessage="1" showErrorMessage="1">
          <x14:formula1>
            <xm:f>Codes!G159:G161</xm:f>
          </x14:formula1>
          <xm:sqref>AM125</xm:sqref>
        </x14:dataValidation>
        <x14:dataValidation type="list" allowBlank="1" showInputMessage="1" showErrorMessage="1">
          <x14:formula1>
            <xm:f>Codes!G161:G163</xm:f>
          </x14:formula1>
          <xm:sqref>AM127</xm:sqref>
        </x14:dataValidation>
        <x14:dataValidation type="list" allowBlank="1" showInputMessage="1" showErrorMessage="1">
          <x14:formula1>
            <xm:f>Codes!G147:G149</xm:f>
          </x14:formula1>
          <xm:sqref>AM113</xm:sqref>
        </x14:dataValidation>
        <x14:dataValidation type="list" allowBlank="1" showInputMessage="1" showErrorMessage="1">
          <x14:formula1>
            <xm:f>Codes!G145:G147</xm:f>
          </x14:formula1>
          <xm:sqref>AM111</xm:sqref>
        </x14:dataValidation>
        <x14:dataValidation type="list" allowBlank="1" showInputMessage="1" showErrorMessage="1">
          <x14:formula1>
            <xm:f>Codes!G143:G145</xm:f>
          </x14:formula1>
          <xm:sqref>AM109</xm:sqref>
        </x14:dataValidation>
        <x14:dataValidation type="list" allowBlank="1" showInputMessage="1" showErrorMessage="1">
          <x14:formula1>
            <xm:f>Codes!G129:G131</xm:f>
          </x14:formula1>
          <xm:sqref>AM95</xm:sqref>
        </x14:dataValidation>
        <x14:dataValidation type="list" allowBlank="1" showInputMessage="1" showErrorMessage="1">
          <x14:formula1>
            <xm:f>Codes!G131:G133</xm:f>
          </x14:formula1>
          <xm:sqref>AM97</xm:sqref>
        </x14:dataValidation>
        <x14:dataValidation type="list" allowBlank="1" showInputMessage="1" showErrorMessage="1">
          <x14:formula1>
            <xm:f>Codes!G133:G135</xm:f>
          </x14:formula1>
          <xm:sqref>AM99</xm:sqref>
        </x14:dataValidation>
        <x14:dataValidation type="list" allowBlank="1" showInputMessage="1" showErrorMessage="1">
          <x14:formula1>
            <xm:f>Codes!G135:G137</xm:f>
          </x14:formula1>
          <xm:sqref>AM101</xm:sqref>
        </x14:dataValidation>
        <x14:dataValidation type="list" allowBlank="1" showInputMessage="1" showErrorMessage="1">
          <x14:formula1>
            <xm:f>Codes!G137:G139</xm:f>
          </x14:formula1>
          <xm:sqref>AM103</xm:sqref>
        </x14:dataValidation>
        <x14:dataValidation type="list" allowBlank="1" showInputMessage="1" showErrorMessage="1">
          <x14:formula1>
            <xm:f>Codes!G139:G141</xm:f>
          </x14:formula1>
          <xm:sqref>AM105</xm:sqref>
        </x14:dataValidation>
        <x14:dataValidation type="list" allowBlank="1" showInputMessage="1" showErrorMessage="1">
          <x14:formula1>
            <xm:f>Codes!G141:G143</xm:f>
          </x14:formula1>
          <xm:sqref>AM107</xm:sqref>
        </x14:dataValidation>
        <x14:dataValidation type="list" allowBlank="1" showInputMessage="1" showErrorMessage="1">
          <x14:formula1>
            <xm:f>Codes!G127:G129</xm:f>
          </x14:formula1>
          <xm:sqref>AM93</xm:sqref>
        </x14:dataValidation>
        <x14:dataValidation type="list" allowBlank="1" showInputMessage="1" showErrorMessage="1">
          <x14:formula1>
            <xm:f>Codes!G125:G127</xm:f>
          </x14:formula1>
          <xm:sqref>AM91</xm:sqref>
        </x14:dataValidation>
        <x14:dataValidation type="list" allowBlank="1" showInputMessage="1" showErrorMessage="1">
          <x14:formula1>
            <xm:f>Codes!G123:G125</xm:f>
          </x14:formula1>
          <xm:sqref>AM89</xm:sqref>
        </x14:dataValidation>
        <x14:dataValidation type="list" allowBlank="1" showInputMessage="1" showErrorMessage="1">
          <x14:formula1>
            <xm:f>Codes!G109:G111</xm:f>
          </x14:formula1>
          <xm:sqref>AM75</xm:sqref>
        </x14:dataValidation>
        <x14:dataValidation type="list" allowBlank="1" showInputMessage="1" showErrorMessage="1">
          <x14:formula1>
            <xm:f>Codes!G111:G113</xm:f>
          </x14:formula1>
          <xm:sqref>AM77</xm:sqref>
        </x14:dataValidation>
        <x14:dataValidation type="list" allowBlank="1" showInputMessage="1" showErrorMessage="1">
          <x14:formula1>
            <xm:f>Codes!G113:G115</xm:f>
          </x14:formula1>
          <xm:sqref>AM79</xm:sqref>
        </x14:dataValidation>
        <x14:dataValidation type="list" allowBlank="1" showInputMessage="1" showErrorMessage="1">
          <x14:formula1>
            <xm:f>Codes!G115:G117</xm:f>
          </x14:formula1>
          <xm:sqref>AM81</xm:sqref>
        </x14:dataValidation>
        <x14:dataValidation type="list" allowBlank="1" showInputMessage="1" showErrorMessage="1">
          <x14:formula1>
            <xm:f>Codes!G117:G119</xm:f>
          </x14:formula1>
          <xm:sqref>AM83</xm:sqref>
        </x14:dataValidation>
        <x14:dataValidation type="list" allowBlank="1" showInputMessage="1" showErrorMessage="1">
          <x14:formula1>
            <xm:f>Codes!G119:G121</xm:f>
          </x14:formula1>
          <xm:sqref>AM85</xm:sqref>
        </x14:dataValidation>
        <x14:dataValidation type="list" allowBlank="1" showInputMessage="1" showErrorMessage="1">
          <x14:formula1>
            <xm:f>Codes!G121:G123</xm:f>
          </x14:formula1>
          <xm:sqref>AM87</xm:sqref>
        </x14:dataValidation>
        <x14:dataValidation type="list" allowBlank="1" showInputMessage="1" showErrorMessage="1">
          <x14:formula1>
            <xm:f>Codes!G107:G109</xm:f>
          </x14:formula1>
          <xm:sqref>AM73</xm:sqref>
        </x14:dataValidation>
        <x14:dataValidation type="list" allowBlank="1" showInputMessage="1" showErrorMessage="1">
          <x14:formula1>
            <xm:f>Codes!G105:G107</xm:f>
          </x14:formula1>
          <xm:sqref>AM71</xm:sqref>
        </x14:dataValidation>
        <x14:dataValidation type="list" allowBlank="1" showInputMessage="1" showErrorMessage="1">
          <x14:formula1>
            <xm:f>Codes!G103:G105</xm:f>
          </x14:formula1>
          <xm:sqref>AM69</xm:sqref>
        </x14:dataValidation>
        <x14:dataValidation type="list" allowBlank="1" showInputMessage="1" showErrorMessage="1">
          <x14:formula1>
            <xm:f>Codes!G89:G91</xm:f>
          </x14:formula1>
          <xm:sqref>AM55</xm:sqref>
        </x14:dataValidation>
        <x14:dataValidation type="list" allowBlank="1" showInputMessage="1" showErrorMessage="1">
          <x14:formula1>
            <xm:f>Codes!G91:G93</xm:f>
          </x14:formula1>
          <xm:sqref>AM57</xm:sqref>
        </x14:dataValidation>
        <x14:dataValidation type="list" allowBlank="1" showInputMessage="1" showErrorMessage="1">
          <x14:formula1>
            <xm:f>Codes!G93:G95</xm:f>
          </x14:formula1>
          <xm:sqref>AM59</xm:sqref>
        </x14:dataValidation>
        <x14:dataValidation type="list" allowBlank="1" showInputMessage="1" showErrorMessage="1">
          <x14:formula1>
            <xm:f>Codes!G95:G97</xm:f>
          </x14:formula1>
          <xm:sqref>AM61</xm:sqref>
        </x14:dataValidation>
        <x14:dataValidation type="list" allowBlank="1" showInputMessage="1" showErrorMessage="1">
          <x14:formula1>
            <xm:f>Codes!G97:G99</xm:f>
          </x14:formula1>
          <xm:sqref>AM63</xm:sqref>
        </x14:dataValidation>
        <x14:dataValidation type="list" allowBlank="1" showInputMessage="1" showErrorMessage="1">
          <x14:formula1>
            <xm:f>Codes!G99:G101</xm:f>
          </x14:formula1>
          <xm:sqref>AM65</xm:sqref>
        </x14:dataValidation>
        <x14:dataValidation type="list" allowBlank="1" showInputMessage="1" showErrorMessage="1">
          <x14:formula1>
            <xm:f>Codes!G101:G103</xm:f>
          </x14:formula1>
          <xm:sqref>AM67</xm:sqref>
        </x14:dataValidation>
        <x14:dataValidation type="list" allowBlank="1" showInputMessage="1" showErrorMessage="1">
          <x14:formula1>
            <xm:f>Codes!G87:G89</xm:f>
          </x14:formula1>
          <xm:sqref>AM53</xm:sqref>
        </x14:dataValidation>
        <x14:dataValidation type="list" allowBlank="1" showInputMessage="1" showErrorMessage="1">
          <x14:formula1>
            <xm:f>Codes!G85:G87</xm:f>
          </x14:formula1>
          <xm:sqref>AM51</xm:sqref>
        </x14:dataValidation>
        <x14:dataValidation type="list" allowBlank="1" showInputMessage="1" showErrorMessage="1">
          <x14:formula1>
            <xm:f>Codes!G83:G85</xm:f>
          </x14:formula1>
          <xm:sqref>AM49</xm:sqref>
        </x14:dataValidation>
        <x14:dataValidation type="list" allowBlank="1" showInputMessage="1" showErrorMessage="1">
          <x14:formula1>
            <xm:f>Codes!G69:G71</xm:f>
          </x14:formula1>
          <xm:sqref>AM35</xm:sqref>
        </x14:dataValidation>
        <x14:dataValidation type="list" allowBlank="1" showInputMessage="1" showErrorMessage="1">
          <x14:formula1>
            <xm:f>Codes!G71:G73</xm:f>
          </x14:formula1>
          <xm:sqref>AM37</xm:sqref>
        </x14:dataValidation>
        <x14:dataValidation type="list" allowBlank="1" showInputMessage="1" showErrorMessage="1">
          <x14:formula1>
            <xm:f>Codes!G73:G75</xm:f>
          </x14:formula1>
          <xm:sqref>AM39</xm:sqref>
        </x14:dataValidation>
        <x14:dataValidation type="list" allowBlank="1" showInputMessage="1" showErrorMessage="1">
          <x14:formula1>
            <xm:f>Codes!G75:G77</xm:f>
          </x14:formula1>
          <xm:sqref>AM41</xm:sqref>
        </x14:dataValidation>
        <x14:dataValidation type="list" allowBlank="1" showInputMessage="1" showErrorMessage="1">
          <x14:formula1>
            <xm:f>Codes!G77:G79</xm:f>
          </x14:formula1>
          <xm:sqref>AM43</xm:sqref>
        </x14:dataValidation>
        <x14:dataValidation type="list" allowBlank="1" showInputMessage="1" showErrorMessage="1">
          <x14:formula1>
            <xm:f>Codes!G79:G81</xm:f>
          </x14:formula1>
          <xm:sqref>AM45</xm:sqref>
        </x14:dataValidation>
        <x14:dataValidation type="list" allowBlank="1" showInputMessage="1" showErrorMessage="1">
          <x14:formula1>
            <xm:f>Codes!G81:G83</xm:f>
          </x14:formula1>
          <xm:sqref>AM47</xm:sqref>
        </x14:dataValidation>
        <x14:dataValidation type="list" allowBlank="1" showInputMessage="1" showErrorMessage="1">
          <x14:formula1>
            <xm:f>Codes!G67:G69</xm:f>
          </x14:formula1>
          <xm:sqref>AM33</xm:sqref>
        </x14:dataValidation>
        <x14:dataValidation type="list" allowBlank="1" showInputMessage="1" showErrorMessage="1">
          <x14:formula1>
            <xm:f>Codes!G65:G67</xm:f>
          </x14:formula1>
          <xm:sqref>AM31</xm:sqref>
        </x14:dataValidation>
        <x14:dataValidation type="list" allowBlank="1" showInputMessage="1" showErrorMessage="1">
          <x14:formula1>
            <xm:f>Codes!G63:G65</xm:f>
          </x14:formula1>
          <xm:sqref>AM29</xm:sqref>
        </x14:dataValidation>
        <x14:dataValidation type="list" allowBlank="1" showInputMessage="1" showErrorMessage="1">
          <x14:formula1>
            <xm:f>Codes!G49:G51</xm:f>
          </x14:formula1>
          <xm:sqref>AM15</xm:sqref>
        </x14:dataValidation>
        <x14:dataValidation type="list" allowBlank="1" showInputMessage="1" showErrorMessage="1">
          <x14:formula1>
            <xm:f>Codes!G51:G53</xm:f>
          </x14:formula1>
          <xm:sqref>AM17</xm:sqref>
        </x14:dataValidation>
        <x14:dataValidation type="list" allowBlank="1" showInputMessage="1" showErrorMessage="1">
          <x14:formula1>
            <xm:f>Codes!G53:G55</xm:f>
          </x14:formula1>
          <xm:sqref>AM19</xm:sqref>
        </x14:dataValidation>
        <x14:dataValidation type="list" allowBlank="1" showInputMessage="1" showErrorMessage="1">
          <x14:formula1>
            <xm:f>Codes!G55:G57</xm:f>
          </x14:formula1>
          <xm:sqref>AM21</xm:sqref>
        </x14:dataValidation>
        <x14:dataValidation type="list" allowBlank="1" showInputMessage="1" showErrorMessage="1">
          <x14:formula1>
            <xm:f>Codes!G57:G59</xm:f>
          </x14:formula1>
          <xm:sqref>AM23</xm:sqref>
        </x14:dataValidation>
        <x14:dataValidation type="list" allowBlank="1" showInputMessage="1" showErrorMessage="1">
          <x14:formula1>
            <xm:f>Codes!G59:G61</xm:f>
          </x14:formula1>
          <xm:sqref>AM25</xm:sqref>
        </x14:dataValidation>
        <x14:dataValidation type="list" allowBlank="1" showInputMessage="1" showErrorMessage="1">
          <x14:formula1>
            <xm:f>Codes!G61:G63</xm:f>
          </x14:formula1>
          <xm:sqref>AM27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DH109"/>
  <sheetViews>
    <sheetView zoomScaleNormal="100" workbookViewId="0">
      <pane xSplit="1" ySplit="9" topLeftCell="B10" activePane="bottomRight" state="frozen"/>
      <selection activeCell="C25" sqref="C25"/>
      <selection pane="topRight" activeCell="C25" sqref="C25"/>
      <selection pane="bottomLeft" activeCell="C25" sqref="C25"/>
      <selection pane="bottomRight" activeCell="H32" sqref="H32"/>
    </sheetView>
  </sheetViews>
  <sheetFormatPr defaultColWidth="9.140625" defaultRowHeight="12.75" x14ac:dyDescent="0.2"/>
  <cols>
    <col min="1" max="1" width="5.42578125" style="586" customWidth="1"/>
    <col min="2" max="2" width="42" style="587" customWidth="1"/>
    <col min="3" max="3" width="12.5703125" style="587" bestFit="1" customWidth="1"/>
    <col min="4" max="4" width="28.5703125" style="587" customWidth="1"/>
    <col min="5" max="5" width="17.140625" style="588" customWidth="1"/>
    <col min="6" max="6" width="7.5703125" style="587" customWidth="1"/>
    <col min="7" max="7" width="9" style="588" customWidth="1"/>
    <col min="8" max="8" width="17" style="588" customWidth="1"/>
    <col min="9" max="9" width="31.7109375" style="588" customWidth="1"/>
    <col min="10" max="10" width="10.140625" style="589" customWidth="1"/>
    <col min="11" max="11" width="10.28515625" style="590" customWidth="1"/>
    <col min="12" max="12" width="9.28515625" style="591" bestFit="1" customWidth="1"/>
    <col min="13" max="13" width="13.5703125" style="592" customWidth="1"/>
    <col min="14" max="14" width="13.85546875" style="589" customWidth="1"/>
    <col min="15" max="15" width="57.140625" style="587" customWidth="1"/>
    <col min="16" max="16" width="1.42578125" style="586" customWidth="1"/>
    <col min="17" max="17" width="4.42578125" style="586" bestFit="1" customWidth="1"/>
    <col min="18" max="18" width="55.5703125" style="593" customWidth="1"/>
    <col min="19" max="19" width="13.42578125" style="593" bestFit="1" customWidth="1"/>
    <col min="20" max="20" width="28.42578125" style="593" customWidth="1"/>
    <col min="21" max="21" width="17.140625" style="593" customWidth="1"/>
    <col min="22" max="22" width="22.28515625" style="593" customWidth="1"/>
    <col min="23" max="25" width="9.140625" style="594" customWidth="1"/>
    <col min="26" max="26" width="24.28515625" style="593" customWidth="1"/>
    <col min="27" max="27" width="21.7109375" style="593" customWidth="1"/>
    <col min="28" max="28" width="14" style="595" customWidth="1"/>
    <col min="29" max="29" width="10.5703125" style="596" customWidth="1"/>
    <col min="30" max="30" width="15.5703125" style="596" customWidth="1"/>
    <col min="31" max="31" width="13" style="597" bestFit="1" customWidth="1"/>
    <col min="32" max="32" width="17.7109375" style="598" customWidth="1"/>
    <col min="33" max="33" width="14" style="594" customWidth="1"/>
    <col min="34" max="34" width="57.140625" style="375" customWidth="1"/>
    <col min="35" max="36" width="4.5703125" style="375" customWidth="1"/>
    <col min="37" max="37" width="40.7109375" style="586" customWidth="1"/>
    <col min="38" max="38" width="40.85546875" style="586" customWidth="1"/>
    <col min="39" max="39" width="14.140625" style="596" bestFit="1" customWidth="1"/>
    <col min="40" max="40" width="11.5703125" style="375" bestFit="1" customWidth="1"/>
    <col min="41" max="41" width="14.7109375" style="375" bestFit="1" customWidth="1"/>
    <col min="42" max="42" width="11.5703125" style="375" customWidth="1"/>
    <col min="43" max="43" width="12.42578125" style="378" customWidth="1"/>
    <col min="44" max="44" width="17" style="378" bestFit="1" customWidth="1"/>
    <col min="45" max="54" width="9.85546875" style="378" customWidth="1"/>
    <col min="55" max="55" width="15.7109375" style="378" customWidth="1"/>
    <col min="56" max="56" width="10" style="599" bestFit="1" customWidth="1"/>
    <col min="57" max="57" width="57.140625" style="375" customWidth="1"/>
    <col min="58" max="58" width="1.42578125" style="586" hidden="1" customWidth="1"/>
    <col min="59" max="59" width="11.5703125" style="586" hidden="1" customWidth="1"/>
    <col min="60" max="61" width="7" style="586" customWidth="1"/>
    <col min="62" max="62" width="38.7109375" style="586" customWidth="1"/>
    <col min="63" max="63" width="28.85546875" style="586" customWidth="1"/>
    <col min="64" max="67" width="16.5703125" style="586" customWidth="1"/>
    <col min="68" max="68" width="57.140625" style="586" customWidth="1"/>
    <col min="69" max="69" width="1.5703125" style="586" customWidth="1"/>
    <col min="70" max="70" width="16.42578125" style="586" hidden="1" customWidth="1"/>
    <col min="71" max="71" width="11.5703125" style="586" customWidth="1"/>
    <col min="72" max="72" width="3.42578125" style="586" bestFit="1" customWidth="1"/>
    <col min="73" max="73" width="40.7109375" style="586" bestFit="1" customWidth="1"/>
    <col min="74" max="74" width="25.85546875" style="586" customWidth="1"/>
    <col min="75" max="75" width="13.7109375" style="595" customWidth="1"/>
    <col min="76" max="76" width="12.140625" style="586" customWidth="1"/>
    <col min="77" max="77" width="15.42578125" style="586" bestFit="1" customWidth="1"/>
    <col min="78" max="78" width="10.28515625" style="586" customWidth="1"/>
    <col min="79" max="79" width="12.7109375" style="586" bestFit="1" customWidth="1"/>
    <col min="80" max="80" width="15.85546875" style="586" bestFit="1" customWidth="1"/>
    <col min="81" max="81" width="57.140625" style="587" customWidth="1"/>
    <col min="82" max="82" width="1.42578125" style="586" customWidth="1"/>
    <col min="83" max="83" width="7.7109375" style="586" customWidth="1"/>
    <col min="84" max="84" width="28.5703125" style="378" customWidth="1"/>
    <col min="85" max="89" width="19.140625" style="596" customWidth="1"/>
    <col min="90" max="91" width="31.5703125" style="589" customWidth="1"/>
    <col min="92" max="93" width="14.140625" style="378" customWidth="1"/>
    <col min="94" max="94" width="31.85546875" style="375" customWidth="1"/>
    <col min="95" max="95" width="13.85546875" style="375" customWidth="1"/>
    <col min="96" max="96" width="14.140625" style="378" customWidth="1"/>
    <col min="97" max="97" width="31.85546875" style="587" customWidth="1"/>
    <col min="98" max="98" width="17.5703125" style="598" customWidth="1"/>
    <col min="99" max="99" width="14.140625" style="378" customWidth="1"/>
    <col min="100" max="100" width="17.5703125" style="598" customWidth="1"/>
    <col min="101" max="101" width="14" style="378" customWidth="1"/>
    <col min="102" max="103" width="8.7109375" style="378" customWidth="1"/>
    <col min="104" max="104" width="31.7109375" style="587" customWidth="1"/>
    <col min="105" max="107" width="14.140625" style="596" customWidth="1"/>
    <col min="108" max="109" width="17.5703125" style="600" customWidth="1"/>
    <col min="110" max="110" width="31.7109375" style="587" customWidth="1"/>
    <col min="111" max="111" width="57.140625" style="587" customWidth="1"/>
    <col min="112" max="16384" width="9.140625" style="586"/>
  </cols>
  <sheetData>
    <row r="1" spans="1:112" s="907" customFormat="1" ht="20.25" x14ac:dyDescent="0.3">
      <c r="A1" s="932" t="s">
        <v>2254</v>
      </c>
      <c r="B1" s="932"/>
      <c r="C1" s="932"/>
      <c r="D1" s="932"/>
      <c r="E1" s="932"/>
      <c r="F1" s="1156"/>
      <c r="G1" s="906"/>
      <c r="H1" s="906"/>
      <c r="I1" s="906"/>
      <c r="J1" s="906"/>
      <c r="K1" s="906"/>
      <c r="L1" s="906"/>
      <c r="M1" s="906"/>
      <c r="N1" s="906"/>
      <c r="O1" s="906"/>
      <c r="P1" s="906"/>
      <c r="Q1" s="906"/>
      <c r="R1" s="906"/>
      <c r="S1" s="906"/>
      <c r="T1" s="906"/>
      <c r="U1" s="934"/>
      <c r="V1" s="906"/>
      <c r="W1" s="934"/>
      <c r="X1" s="934"/>
      <c r="Y1" s="934"/>
      <c r="Z1" s="906"/>
      <c r="AA1" s="906"/>
      <c r="AB1" s="906"/>
      <c r="AC1" s="934"/>
      <c r="AD1" s="906"/>
      <c r="AE1" s="906"/>
      <c r="AF1" s="906"/>
      <c r="AG1" s="906"/>
      <c r="AH1" s="906"/>
      <c r="AI1" s="934"/>
      <c r="AJ1" s="934"/>
      <c r="AK1" s="906"/>
      <c r="AL1" s="906"/>
      <c r="AM1" s="906"/>
      <c r="AN1" s="906"/>
      <c r="AO1" s="906"/>
      <c r="AP1" s="906"/>
      <c r="AQ1" s="906"/>
      <c r="AR1" s="906"/>
      <c r="AS1" s="906"/>
      <c r="AT1" s="906"/>
      <c r="AU1" s="906"/>
      <c r="AV1" s="906"/>
      <c r="AW1" s="906"/>
      <c r="AX1" s="906"/>
      <c r="AY1" s="906"/>
      <c r="AZ1" s="906"/>
      <c r="BA1" s="906"/>
      <c r="BB1" s="906"/>
      <c r="BC1" s="906"/>
      <c r="BD1" s="906"/>
      <c r="BE1" s="906"/>
      <c r="BF1" s="906"/>
      <c r="BG1" s="906"/>
      <c r="BH1" s="906"/>
      <c r="BI1" s="906"/>
      <c r="BJ1" s="906"/>
      <c r="BK1" s="906"/>
      <c r="BL1" s="906"/>
      <c r="BM1" s="906"/>
      <c r="BN1" s="906"/>
      <c r="BO1" s="906"/>
      <c r="BP1" s="906"/>
      <c r="BQ1" s="906"/>
      <c r="BR1" s="906"/>
      <c r="BS1" s="906"/>
      <c r="BT1" s="906"/>
      <c r="BU1" s="906"/>
      <c r="BV1" s="906"/>
      <c r="BW1" s="906"/>
      <c r="BX1" s="906"/>
      <c r="BY1" s="934"/>
      <c r="BZ1" s="906"/>
      <c r="CA1" s="906"/>
      <c r="CB1" s="906"/>
      <c r="CC1" s="906"/>
      <c r="CD1" s="906"/>
      <c r="CE1" s="934"/>
      <c r="CF1" s="906"/>
      <c r="CG1" s="906"/>
      <c r="CH1" s="906"/>
      <c r="CI1" s="906"/>
      <c r="CJ1" s="906"/>
      <c r="CK1" s="906"/>
      <c r="CL1" s="906"/>
      <c r="CM1" s="906"/>
      <c r="CN1" s="906"/>
      <c r="CO1" s="906"/>
      <c r="CP1" s="906"/>
      <c r="CQ1" s="906"/>
      <c r="CR1" s="906"/>
      <c r="CS1" s="906"/>
      <c r="CT1" s="906"/>
      <c r="CU1" s="906"/>
      <c r="CV1" s="906"/>
      <c r="CW1" s="906"/>
      <c r="CX1" s="906"/>
      <c r="CY1" s="906"/>
      <c r="CZ1" s="906"/>
      <c r="DA1" s="906"/>
      <c r="DB1" s="906"/>
      <c r="DC1" s="906"/>
      <c r="DD1" s="906"/>
      <c r="DE1" s="906"/>
      <c r="DF1" s="906"/>
      <c r="DG1" s="906"/>
      <c r="DH1" s="858"/>
    </row>
    <row r="2" spans="1:112" ht="6" customHeight="1" x14ac:dyDescent="0.2"/>
    <row r="3" spans="1:112" s="604" customFormat="1" ht="21" thickBot="1" x14ac:dyDescent="0.35">
      <c r="A3" s="603"/>
      <c r="B3" s="1055" t="s">
        <v>2263</v>
      </c>
      <c r="C3" s="1055"/>
      <c r="D3" s="608"/>
      <c r="E3" s="608"/>
      <c r="F3" s="601"/>
      <c r="G3" s="608"/>
      <c r="H3" s="608"/>
      <c r="I3" s="601"/>
      <c r="J3" s="608"/>
      <c r="K3" s="608"/>
      <c r="L3" s="608"/>
      <c r="M3" s="608"/>
      <c r="N3" s="608"/>
      <c r="O3" s="608"/>
      <c r="P3" s="378"/>
      <c r="Q3" s="378"/>
      <c r="R3" s="1055" t="s">
        <v>2264</v>
      </c>
      <c r="S3" s="1055"/>
      <c r="T3" s="601"/>
      <c r="U3" s="601"/>
      <c r="V3" s="601"/>
      <c r="W3" s="601"/>
      <c r="X3" s="601"/>
      <c r="Y3" s="601"/>
      <c r="Z3" s="601"/>
      <c r="AA3" s="601"/>
      <c r="AB3" s="601"/>
      <c r="AC3" s="601"/>
      <c r="AD3" s="601"/>
      <c r="AE3" s="601"/>
      <c r="AF3" s="601"/>
      <c r="AG3" s="601"/>
      <c r="AH3" s="601"/>
      <c r="AI3" s="377"/>
      <c r="AJ3" s="377"/>
      <c r="AK3" s="1055" t="s">
        <v>2311</v>
      </c>
      <c r="AL3" s="601"/>
      <c r="AM3" s="601"/>
      <c r="AN3" s="601"/>
      <c r="AO3" s="601"/>
      <c r="AP3" s="601"/>
      <c r="AQ3" s="601"/>
      <c r="AR3" s="601"/>
      <c r="AS3" s="601"/>
      <c r="AT3" s="601"/>
      <c r="AU3" s="601"/>
      <c r="AV3" s="601"/>
      <c r="AW3" s="601"/>
      <c r="AX3" s="601"/>
      <c r="AY3" s="601"/>
      <c r="AZ3" s="601"/>
      <c r="BA3" s="601"/>
      <c r="BB3" s="601"/>
      <c r="BC3" s="601"/>
      <c r="BD3" s="601"/>
      <c r="BE3" s="601"/>
      <c r="BJ3" s="1055" t="s">
        <v>2312</v>
      </c>
      <c r="BK3" s="601"/>
      <c r="BL3" s="601"/>
      <c r="BM3" s="601"/>
      <c r="BN3" s="601"/>
      <c r="BO3" s="601"/>
      <c r="BP3" s="601"/>
      <c r="BQ3" s="378"/>
      <c r="BR3" s="378"/>
      <c r="BU3" s="1055" t="s">
        <v>2255</v>
      </c>
      <c r="BV3" s="1055"/>
      <c r="BW3" s="601"/>
      <c r="BX3" s="601"/>
      <c r="BY3" s="601"/>
      <c r="BZ3" s="601"/>
      <c r="CA3" s="601"/>
      <c r="CB3" s="601"/>
      <c r="CC3" s="601"/>
      <c r="CF3" s="1055" t="s">
        <v>2256</v>
      </c>
      <c r="CG3" s="1055"/>
      <c r="CH3" s="601"/>
      <c r="CI3" s="601"/>
      <c r="CJ3" s="601"/>
      <c r="CK3" s="601"/>
      <c r="CL3" s="601"/>
      <c r="CM3" s="601"/>
      <c r="CN3" s="601"/>
      <c r="CO3" s="601"/>
      <c r="CP3" s="601"/>
      <c r="CQ3" s="601"/>
      <c r="CR3" s="601"/>
      <c r="CS3" s="601"/>
      <c r="CT3" s="601"/>
      <c r="CU3" s="601"/>
      <c r="CV3" s="601"/>
      <c r="CW3" s="601"/>
      <c r="CX3" s="601"/>
      <c r="CY3" s="601"/>
      <c r="CZ3" s="601"/>
      <c r="DA3" s="601"/>
      <c r="DB3" s="601"/>
      <c r="DC3" s="601"/>
      <c r="DD3" s="601"/>
      <c r="DE3" s="601"/>
      <c r="DF3" s="601"/>
      <c r="DG3" s="601"/>
    </row>
    <row r="4" spans="1:112" s="378" customFormat="1" ht="20.25" x14ac:dyDescent="0.3">
      <c r="A4" s="604"/>
      <c r="B4" s="1451"/>
      <c r="C4" s="1454"/>
      <c r="D4" s="1455"/>
      <c r="E4" s="1455"/>
      <c r="F4" s="1452"/>
      <c r="G4" s="1455"/>
      <c r="H4" s="1455"/>
      <c r="I4" s="1452"/>
      <c r="J4" s="1455"/>
      <c r="K4" s="1455"/>
      <c r="L4" s="1455"/>
      <c r="M4" s="1455"/>
      <c r="N4" s="1455"/>
      <c r="O4" s="1456"/>
      <c r="P4" s="604"/>
      <c r="Q4" s="604"/>
      <c r="R4" s="1451"/>
      <c r="S4" s="1454"/>
      <c r="T4" s="1452"/>
      <c r="U4" s="1452"/>
      <c r="V4" s="1452"/>
      <c r="W4" s="1452"/>
      <c r="X4" s="1452"/>
      <c r="Y4" s="1452"/>
      <c r="Z4" s="1452"/>
      <c r="AA4" s="1452"/>
      <c r="AB4" s="1452"/>
      <c r="AC4" s="1452"/>
      <c r="AD4" s="1452"/>
      <c r="AE4" s="1063" t="s">
        <v>149</v>
      </c>
      <c r="AF4" s="1452"/>
      <c r="AG4" s="1452"/>
      <c r="AH4" s="1453"/>
      <c r="AI4" s="604"/>
      <c r="AJ4" s="604"/>
      <c r="AK4" s="746"/>
      <c r="AL4" s="609"/>
      <c r="AM4" s="1424"/>
      <c r="AN4" s="1428"/>
      <c r="AO4" s="1428"/>
      <c r="AP4" s="1425"/>
      <c r="AQ4" s="1067" t="s">
        <v>10</v>
      </c>
      <c r="AR4" s="611" t="s">
        <v>2303</v>
      </c>
      <c r="AS4" s="2079" t="s">
        <v>2323</v>
      </c>
      <c r="AT4" s="2080"/>
      <c r="AU4" s="2081"/>
      <c r="AV4" s="2080"/>
      <c r="AW4" s="2080"/>
      <c r="AX4" s="2080"/>
      <c r="AY4" s="2080"/>
      <c r="AZ4" s="2080"/>
      <c r="BA4" s="2080"/>
      <c r="BB4" s="2080"/>
      <c r="BC4" s="2082"/>
      <c r="BD4" s="606" t="s">
        <v>149</v>
      </c>
      <c r="BE4" s="744"/>
      <c r="BJ4" s="605"/>
      <c r="BK4" s="1414"/>
      <c r="BL4" s="610"/>
      <c r="BM4" s="610"/>
      <c r="BN4" s="1067" t="s">
        <v>10</v>
      </c>
      <c r="BO4" s="606" t="s">
        <v>149</v>
      </c>
      <c r="BP4" s="1316"/>
      <c r="BQ4" s="737"/>
      <c r="BR4" s="737"/>
      <c r="BU4" s="605"/>
      <c r="BV4" s="610"/>
      <c r="BW4" s="1076"/>
      <c r="BX4" s="1076" t="s">
        <v>10</v>
      </c>
      <c r="BY4" s="1076"/>
      <c r="BZ4" s="1076" t="s">
        <v>149</v>
      </c>
      <c r="CA4" s="1076"/>
      <c r="CB4" s="1076"/>
      <c r="CC4" s="607"/>
      <c r="CF4" s="1451"/>
      <c r="CG4" s="1452"/>
      <c r="CH4" s="1452"/>
      <c r="CI4" s="1452"/>
      <c r="CJ4" s="1452"/>
      <c r="CK4" s="1452"/>
      <c r="CL4" s="1452"/>
      <c r="CM4" s="1452"/>
      <c r="CN4" s="613" t="s">
        <v>10</v>
      </c>
      <c r="CO4" s="1452"/>
      <c r="CP4" s="1452"/>
      <c r="CQ4" s="1452"/>
      <c r="CR4" s="1452"/>
      <c r="CS4" s="1452"/>
      <c r="CT4" s="1452"/>
      <c r="CU4" s="1452"/>
      <c r="CV4" s="1452"/>
      <c r="CW4" s="1452"/>
      <c r="CX4" s="1491"/>
      <c r="CY4" s="1492"/>
      <c r="CZ4" s="1452"/>
      <c r="DA4" s="1452"/>
      <c r="DB4" s="1452"/>
      <c r="DC4" s="1452"/>
      <c r="DD4" s="1452"/>
      <c r="DE4" s="1452"/>
      <c r="DF4" s="1452"/>
      <c r="DG4" s="1453"/>
    </row>
    <row r="5" spans="1:112" x14ac:dyDescent="0.2">
      <c r="A5" s="378"/>
      <c r="B5" s="738"/>
      <c r="C5" s="619" t="s">
        <v>2324</v>
      </c>
      <c r="D5" s="619"/>
      <c r="E5" s="619"/>
      <c r="F5" s="619"/>
      <c r="G5" s="619"/>
      <c r="H5" s="619"/>
      <c r="I5" s="619"/>
      <c r="J5" s="1060" t="s">
        <v>98</v>
      </c>
      <c r="K5" s="1351"/>
      <c r="L5" s="1060" t="s">
        <v>149</v>
      </c>
      <c r="M5" s="628"/>
      <c r="N5" s="1060"/>
      <c r="O5" s="621"/>
      <c r="P5" s="375"/>
      <c r="Q5" s="375"/>
      <c r="R5" s="622"/>
      <c r="S5" s="619" t="s">
        <v>2324</v>
      </c>
      <c r="T5" s="623"/>
      <c r="U5" s="623"/>
      <c r="V5" s="623"/>
      <c r="W5" s="1062"/>
      <c r="X5" s="1062"/>
      <c r="Y5" s="1062"/>
      <c r="Z5" s="623"/>
      <c r="AA5" s="623"/>
      <c r="AB5" s="1064" t="s">
        <v>98</v>
      </c>
      <c r="AC5" s="1061" t="s">
        <v>1685</v>
      </c>
      <c r="AD5" s="1061" t="s">
        <v>1686</v>
      </c>
      <c r="AE5" s="1065" t="s">
        <v>200</v>
      </c>
      <c r="AF5" s="1066"/>
      <c r="AG5" s="1062"/>
      <c r="AH5" s="621"/>
      <c r="AK5" s="1038"/>
      <c r="AL5" s="1039"/>
      <c r="AM5" s="1422"/>
      <c r="AN5" s="1429"/>
      <c r="AO5" s="1429"/>
      <c r="AP5" s="1423"/>
      <c r="AQ5" s="625" t="s">
        <v>0</v>
      </c>
      <c r="AR5" s="1306" t="s">
        <v>2304</v>
      </c>
      <c r="AS5" s="618"/>
      <c r="AT5" s="618"/>
      <c r="AU5" s="618"/>
      <c r="AV5" s="618"/>
      <c r="AW5" s="618"/>
      <c r="AX5" s="618"/>
      <c r="AY5" s="618"/>
      <c r="AZ5" s="618"/>
      <c r="BA5" s="618"/>
      <c r="BB5" s="618"/>
      <c r="BC5" s="1405" t="s">
        <v>103</v>
      </c>
      <c r="BD5" s="1072" t="s">
        <v>200</v>
      </c>
      <c r="BE5" s="745"/>
      <c r="BJ5" s="1317"/>
      <c r="BK5" s="1039"/>
      <c r="BL5" s="624"/>
      <c r="BM5" s="624"/>
      <c r="BN5" s="625" t="s">
        <v>0</v>
      </c>
      <c r="BO5" s="1072" t="s">
        <v>200</v>
      </c>
      <c r="BP5" s="1318"/>
      <c r="BU5" s="612"/>
      <c r="BV5" s="1069"/>
      <c r="BW5" s="1077"/>
      <c r="BX5" s="1077" t="s">
        <v>0</v>
      </c>
      <c r="BY5" s="1077"/>
      <c r="BZ5" s="1077" t="s">
        <v>200</v>
      </c>
      <c r="CA5" s="1077"/>
      <c r="CB5" s="1077"/>
      <c r="CC5" s="615"/>
      <c r="CF5" s="612"/>
      <c r="CG5" s="1069"/>
      <c r="CH5" s="1069"/>
      <c r="CI5" s="1069"/>
      <c r="CJ5" s="1069"/>
      <c r="CK5" s="1069"/>
      <c r="CL5" s="619"/>
      <c r="CM5" s="619"/>
      <c r="CN5" s="613" t="s">
        <v>0</v>
      </c>
      <c r="CO5" s="613"/>
      <c r="CP5" s="617"/>
      <c r="CQ5" s="613"/>
      <c r="CR5" s="613"/>
      <c r="CS5" s="619"/>
      <c r="CT5" s="614"/>
      <c r="CU5" s="613"/>
      <c r="CV5" s="614"/>
      <c r="CW5" s="613"/>
      <c r="CX5" s="2046" t="s">
        <v>2190</v>
      </c>
      <c r="CY5" s="2047"/>
      <c r="CZ5" s="619"/>
      <c r="DA5" s="1069"/>
      <c r="DB5" s="1069"/>
      <c r="DC5" s="1069"/>
      <c r="DD5" s="1069"/>
      <c r="DE5" s="1069"/>
      <c r="DF5" s="619"/>
      <c r="DG5" s="626"/>
    </row>
    <row r="6" spans="1:112" x14ac:dyDescent="0.2">
      <c r="A6" s="378"/>
      <c r="B6" s="738"/>
      <c r="C6" s="715" t="s">
        <v>2325</v>
      </c>
      <c r="D6" s="619"/>
      <c r="E6" s="619"/>
      <c r="F6" s="619"/>
      <c r="G6" s="1060"/>
      <c r="H6" s="619"/>
      <c r="I6" s="619"/>
      <c r="J6" s="1060" t="s">
        <v>2172</v>
      </c>
      <c r="K6" s="1061"/>
      <c r="L6" s="1060" t="s">
        <v>25</v>
      </c>
      <c r="M6" s="628"/>
      <c r="N6" s="1060" t="s">
        <v>2163</v>
      </c>
      <c r="O6" s="621"/>
      <c r="P6" s="375"/>
      <c r="Q6" s="375"/>
      <c r="R6" s="622"/>
      <c r="S6" s="715" t="s">
        <v>2325</v>
      </c>
      <c r="T6" s="623"/>
      <c r="U6" s="623"/>
      <c r="V6" s="623"/>
      <c r="W6" s="1062"/>
      <c r="X6" s="1062"/>
      <c r="Y6" s="1062"/>
      <c r="Z6" s="623"/>
      <c r="AA6" s="623"/>
      <c r="AB6" s="1064" t="s">
        <v>97</v>
      </c>
      <c r="AC6" s="1061" t="s">
        <v>1683</v>
      </c>
      <c r="AD6" s="1061" t="s">
        <v>1683</v>
      </c>
      <c r="AE6" s="1065" t="s">
        <v>25</v>
      </c>
      <c r="AF6" s="628"/>
      <c r="AG6" s="1060" t="s">
        <v>2163</v>
      </c>
      <c r="AH6" s="621"/>
      <c r="AK6" s="1038"/>
      <c r="AL6" s="1039"/>
      <c r="AM6" s="1426" t="s">
        <v>142</v>
      </c>
      <c r="AN6" s="617"/>
      <c r="AO6" s="1069" t="s">
        <v>142</v>
      </c>
      <c r="AP6" s="736"/>
      <c r="AQ6" s="625" t="s">
        <v>8</v>
      </c>
      <c r="AR6" s="1306" t="s">
        <v>2335</v>
      </c>
      <c r="AS6" s="1071"/>
      <c r="AT6" s="1071"/>
      <c r="AU6" s="1071"/>
      <c r="AV6" s="1071"/>
      <c r="AW6" s="613"/>
      <c r="AX6" s="613"/>
      <c r="AY6" s="613"/>
      <c r="AZ6" s="613"/>
      <c r="BA6" s="613"/>
      <c r="BB6" s="613"/>
      <c r="BC6" s="1405" t="s">
        <v>168</v>
      </c>
      <c r="BD6" s="1072" t="s">
        <v>25</v>
      </c>
      <c r="BE6" s="745"/>
      <c r="BJ6" s="612"/>
      <c r="BK6" s="1415"/>
      <c r="BL6" s="1069" t="s">
        <v>142</v>
      </c>
      <c r="BM6" s="1069"/>
      <c r="BN6" s="625" t="s">
        <v>8</v>
      </c>
      <c r="BO6" s="1072" t="s">
        <v>25</v>
      </c>
      <c r="BP6" s="1319"/>
      <c r="BQ6" s="737"/>
      <c r="BR6" s="737"/>
      <c r="BU6" s="612"/>
      <c r="BV6" s="1069"/>
      <c r="BW6" s="1077"/>
      <c r="BX6" s="1077" t="s">
        <v>8</v>
      </c>
      <c r="BY6" s="1077"/>
      <c r="BZ6" s="1077" t="s">
        <v>25</v>
      </c>
      <c r="CA6" s="1077"/>
      <c r="CB6" s="1077"/>
      <c r="CC6" s="615"/>
      <c r="CF6" s="612"/>
      <c r="CG6" s="1069"/>
      <c r="CH6" s="1069"/>
      <c r="CI6" s="1069" t="s">
        <v>535</v>
      </c>
      <c r="CJ6" s="1069" t="s">
        <v>308</v>
      </c>
      <c r="CK6" s="1069"/>
      <c r="CL6" s="619"/>
      <c r="CM6" s="619"/>
      <c r="CN6" s="613" t="s">
        <v>8</v>
      </c>
      <c r="CO6" s="613"/>
      <c r="CP6" s="617"/>
      <c r="CQ6" s="613"/>
      <c r="CR6" s="613" t="s">
        <v>316</v>
      </c>
      <c r="CS6" s="619" t="s">
        <v>343</v>
      </c>
      <c r="CT6" s="614"/>
      <c r="CU6" s="613" t="s">
        <v>268</v>
      </c>
      <c r="CV6" s="614"/>
      <c r="CW6" s="613" t="s">
        <v>268</v>
      </c>
      <c r="CX6" s="2046"/>
      <c r="CY6" s="2047"/>
      <c r="CZ6" s="619"/>
      <c r="DA6" s="1069"/>
      <c r="DB6" s="1069"/>
      <c r="DC6" s="1069"/>
      <c r="DD6" s="1069"/>
      <c r="DE6" s="1069"/>
      <c r="DF6" s="619"/>
      <c r="DG6" s="626"/>
    </row>
    <row r="7" spans="1:112" x14ac:dyDescent="0.2">
      <c r="A7" s="378"/>
      <c r="B7" s="738"/>
      <c r="C7" s="715" t="s">
        <v>2326</v>
      </c>
      <c r="D7" s="619"/>
      <c r="E7" s="619"/>
      <c r="F7" s="619"/>
      <c r="G7" s="1060"/>
      <c r="H7" s="619" t="s">
        <v>162</v>
      </c>
      <c r="I7" s="619"/>
      <c r="J7" s="1060" t="s">
        <v>493</v>
      </c>
      <c r="K7" s="1061"/>
      <c r="L7" s="1060" t="s">
        <v>148</v>
      </c>
      <c r="M7" s="628"/>
      <c r="N7" s="1060" t="s">
        <v>2404</v>
      </c>
      <c r="O7" s="621"/>
      <c r="P7" s="375"/>
      <c r="Q7" s="375"/>
      <c r="R7" s="622"/>
      <c r="S7" s="715" t="s">
        <v>2326</v>
      </c>
      <c r="T7" s="623"/>
      <c r="U7" s="623"/>
      <c r="V7" s="623"/>
      <c r="W7" s="1062"/>
      <c r="X7" s="1062"/>
      <c r="Y7" s="1062"/>
      <c r="Z7" s="623" t="s">
        <v>162</v>
      </c>
      <c r="AA7" s="623"/>
      <c r="AB7" s="1064" t="s">
        <v>493</v>
      </c>
      <c r="AC7" s="1061" t="s">
        <v>100</v>
      </c>
      <c r="AD7" s="1061" t="s">
        <v>100</v>
      </c>
      <c r="AE7" s="1065" t="s">
        <v>148</v>
      </c>
      <c r="AF7" s="628"/>
      <c r="AG7" s="1060" t="s">
        <v>2404</v>
      </c>
      <c r="AH7" s="621"/>
      <c r="AK7" s="1038"/>
      <c r="AL7" s="1039"/>
      <c r="AM7" s="1426" t="s">
        <v>2182</v>
      </c>
      <c r="AN7" s="617"/>
      <c r="AO7" s="1069" t="s">
        <v>2182</v>
      </c>
      <c r="AP7" s="736"/>
      <c r="AQ7" s="625" t="s">
        <v>9</v>
      </c>
      <c r="AR7" s="1306" t="s">
        <v>2336</v>
      </c>
      <c r="AS7" s="613"/>
      <c r="AT7" s="613"/>
      <c r="AU7" s="613"/>
      <c r="AV7" s="613"/>
      <c r="AW7" s="613"/>
      <c r="AX7" s="613"/>
      <c r="AY7" s="613"/>
      <c r="AZ7" s="613"/>
      <c r="BA7" s="613"/>
      <c r="BB7" s="613"/>
      <c r="BC7" s="1405" t="s">
        <v>142</v>
      </c>
      <c r="BD7" s="1072" t="s">
        <v>148</v>
      </c>
      <c r="BE7" s="745"/>
      <c r="BJ7" s="738" t="s">
        <v>220</v>
      </c>
      <c r="BK7" s="1415"/>
      <c r="BL7" s="1069" t="s">
        <v>2182</v>
      </c>
      <c r="BM7" s="1069"/>
      <c r="BN7" s="625" t="s">
        <v>9</v>
      </c>
      <c r="BO7" s="1072" t="s">
        <v>148</v>
      </c>
      <c r="BP7" s="1319"/>
      <c r="BQ7" s="737"/>
      <c r="BR7" s="737"/>
      <c r="BU7" s="612"/>
      <c r="BV7" s="1415" t="s">
        <v>2352</v>
      </c>
      <c r="BW7" s="1077" t="s">
        <v>308</v>
      </c>
      <c r="BX7" s="1077" t="s">
        <v>9</v>
      </c>
      <c r="BY7" s="1077"/>
      <c r="BZ7" s="1077" t="s">
        <v>148</v>
      </c>
      <c r="CA7" s="1077"/>
      <c r="CB7" s="1077" t="s">
        <v>2354</v>
      </c>
      <c r="CC7" s="615"/>
      <c r="CF7" s="612"/>
      <c r="CG7" s="1069" t="s">
        <v>308</v>
      </c>
      <c r="CH7" s="1069"/>
      <c r="CI7" s="1069" t="s">
        <v>536</v>
      </c>
      <c r="CJ7" s="1069" t="s">
        <v>325</v>
      </c>
      <c r="CK7" s="1069"/>
      <c r="CL7" s="619" t="s">
        <v>313</v>
      </c>
      <c r="CM7" s="619"/>
      <c r="CN7" s="613" t="s">
        <v>9</v>
      </c>
      <c r="CO7" s="613"/>
      <c r="CP7" s="617"/>
      <c r="CQ7" s="613"/>
      <c r="CR7" s="613" t="s">
        <v>342</v>
      </c>
      <c r="CS7" s="619" t="s">
        <v>342</v>
      </c>
      <c r="CT7" s="614" t="s">
        <v>2170</v>
      </c>
      <c r="CU7" s="613" t="s">
        <v>2170</v>
      </c>
      <c r="CV7" s="614" t="s">
        <v>2170</v>
      </c>
      <c r="CW7" s="613" t="s">
        <v>2170</v>
      </c>
      <c r="CX7" s="2046"/>
      <c r="CY7" s="2047"/>
      <c r="CZ7" s="619" t="s">
        <v>328</v>
      </c>
      <c r="DA7" s="1069" t="s">
        <v>313</v>
      </c>
      <c r="DB7" s="1069"/>
      <c r="DC7" s="1069"/>
      <c r="DD7" s="1069" t="s">
        <v>333</v>
      </c>
      <c r="DE7" s="1069" t="s">
        <v>336</v>
      </c>
      <c r="DF7" s="619"/>
      <c r="DG7" s="626"/>
    </row>
    <row r="8" spans="1:112" x14ac:dyDescent="0.2">
      <c r="A8" s="628" t="s">
        <v>196</v>
      </c>
      <c r="B8" s="738" t="s">
        <v>275</v>
      </c>
      <c r="C8" s="715" t="s">
        <v>2327</v>
      </c>
      <c r="D8" s="619" t="s">
        <v>848</v>
      </c>
      <c r="E8" s="619"/>
      <c r="F8" s="619"/>
      <c r="G8" s="1060" t="s">
        <v>589</v>
      </c>
      <c r="H8" s="619" t="s">
        <v>849</v>
      </c>
      <c r="I8" s="619" t="s">
        <v>275</v>
      </c>
      <c r="J8" s="1060" t="s">
        <v>494</v>
      </c>
      <c r="K8" s="1061" t="s">
        <v>99</v>
      </c>
      <c r="L8" s="1060" t="s">
        <v>501</v>
      </c>
      <c r="M8" s="620" t="s">
        <v>2402</v>
      </c>
      <c r="N8" s="1060" t="s">
        <v>2402</v>
      </c>
      <c r="O8" s="629"/>
      <c r="P8" s="375"/>
      <c r="Q8" s="375"/>
      <c r="R8" s="622" t="s">
        <v>275</v>
      </c>
      <c r="S8" s="715" t="s">
        <v>2327</v>
      </c>
      <c r="T8" s="623" t="s">
        <v>848</v>
      </c>
      <c r="U8" s="623"/>
      <c r="V8" s="623"/>
      <c r="W8" s="1062" t="s">
        <v>589</v>
      </c>
      <c r="X8" s="1062"/>
      <c r="Y8" s="1062"/>
      <c r="Z8" s="623" t="s">
        <v>849</v>
      </c>
      <c r="AA8" s="623" t="s">
        <v>275</v>
      </c>
      <c r="AB8" s="1064" t="s">
        <v>494</v>
      </c>
      <c r="AC8" s="1061" t="s">
        <v>1684</v>
      </c>
      <c r="AD8" s="1061" t="s">
        <v>1684</v>
      </c>
      <c r="AE8" s="1065" t="s">
        <v>501</v>
      </c>
      <c r="AF8" s="620" t="s">
        <v>2402</v>
      </c>
      <c r="AG8" s="1060" t="s">
        <v>2402</v>
      </c>
      <c r="AH8" s="629"/>
      <c r="AK8" s="738" t="s">
        <v>851</v>
      </c>
      <c r="AL8" s="616" t="s">
        <v>2313</v>
      </c>
      <c r="AM8" s="1426" t="s">
        <v>2181</v>
      </c>
      <c r="AN8" s="617"/>
      <c r="AO8" s="1069" t="s">
        <v>2181</v>
      </c>
      <c r="AP8" s="736"/>
      <c r="AQ8" s="625" t="s">
        <v>7</v>
      </c>
      <c r="AR8" s="1306" t="s">
        <v>2337</v>
      </c>
      <c r="AS8" s="2050" t="s">
        <v>2292</v>
      </c>
      <c r="AT8" s="2050" t="s">
        <v>2282</v>
      </c>
      <c r="AU8" s="2050" t="s">
        <v>2283</v>
      </c>
      <c r="AV8" s="2050" t="s">
        <v>2284</v>
      </c>
      <c r="AW8" s="2050" t="s">
        <v>2285</v>
      </c>
      <c r="AX8" s="2050" t="s">
        <v>2286</v>
      </c>
      <c r="AY8" s="2050" t="s">
        <v>2287</v>
      </c>
      <c r="AZ8" s="2050" t="s">
        <v>2288</v>
      </c>
      <c r="BA8" s="2050" t="s">
        <v>2289</v>
      </c>
      <c r="BB8" s="2050" t="s">
        <v>2291</v>
      </c>
      <c r="BC8" s="1406" t="s">
        <v>2176</v>
      </c>
      <c r="BD8" s="1072" t="s">
        <v>147</v>
      </c>
      <c r="BE8" s="745"/>
      <c r="BJ8" s="738" t="s">
        <v>2164</v>
      </c>
      <c r="BK8" s="1415"/>
      <c r="BL8" s="1069" t="s">
        <v>2181</v>
      </c>
      <c r="BM8" s="1069"/>
      <c r="BN8" s="625" t="s">
        <v>7</v>
      </c>
      <c r="BO8" s="1072" t="s">
        <v>147</v>
      </c>
      <c r="BP8" s="1319"/>
      <c r="BQ8" s="737"/>
      <c r="BR8" s="737"/>
      <c r="BU8" s="612"/>
      <c r="BV8" s="1415" t="s">
        <v>8</v>
      </c>
      <c r="BW8" s="1077" t="s">
        <v>327</v>
      </c>
      <c r="BX8" s="1077" t="s">
        <v>7</v>
      </c>
      <c r="BY8" s="1077" t="s">
        <v>316</v>
      </c>
      <c r="BZ8" s="1077" t="s">
        <v>501</v>
      </c>
      <c r="CA8" s="1077" t="s">
        <v>2163</v>
      </c>
      <c r="CB8" s="1077" t="s">
        <v>2355</v>
      </c>
      <c r="CC8" s="626"/>
      <c r="CF8" s="612"/>
      <c r="CG8" s="1069" t="s">
        <v>309</v>
      </c>
      <c r="CH8" s="1069" t="s">
        <v>321</v>
      </c>
      <c r="CI8" s="1069" t="s">
        <v>323</v>
      </c>
      <c r="CJ8" s="1069" t="s">
        <v>326</v>
      </c>
      <c r="CK8" s="1069" t="s">
        <v>311</v>
      </c>
      <c r="CL8" s="619" t="s">
        <v>101</v>
      </c>
      <c r="CM8" s="619" t="s">
        <v>314</v>
      </c>
      <c r="CN8" s="613" t="s">
        <v>7</v>
      </c>
      <c r="CO8" s="613" t="s">
        <v>316</v>
      </c>
      <c r="CP8" s="617" t="s">
        <v>318</v>
      </c>
      <c r="CQ8" s="617" t="s">
        <v>2173</v>
      </c>
      <c r="CR8" s="613" t="s">
        <v>2368</v>
      </c>
      <c r="CS8" s="617" t="s">
        <v>2368</v>
      </c>
      <c r="CT8" s="614" t="s">
        <v>344</v>
      </c>
      <c r="CU8" s="613" t="s">
        <v>344</v>
      </c>
      <c r="CV8" s="614" t="s">
        <v>270</v>
      </c>
      <c r="CW8" s="613" t="s">
        <v>270</v>
      </c>
      <c r="CX8" s="2048"/>
      <c r="CY8" s="2049"/>
      <c r="CZ8" s="619" t="s">
        <v>329</v>
      </c>
      <c r="DA8" s="1069" t="s">
        <v>92</v>
      </c>
      <c r="DB8" s="1069" t="s">
        <v>2174</v>
      </c>
      <c r="DC8" s="1069" t="s">
        <v>2193</v>
      </c>
      <c r="DD8" s="1069" t="s">
        <v>334</v>
      </c>
      <c r="DE8" s="1069" t="s">
        <v>2189</v>
      </c>
      <c r="DF8" s="619" t="s">
        <v>338</v>
      </c>
      <c r="DG8" s="626"/>
    </row>
    <row r="9" spans="1:112" ht="13.5" thickBot="1" x14ac:dyDescent="0.25">
      <c r="A9" s="628" t="s">
        <v>607</v>
      </c>
      <c r="B9" s="738" t="s">
        <v>26</v>
      </c>
      <c r="C9" s="715" t="s">
        <v>2328</v>
      </c>
      <c r="D9" s="619" t="s">
        <v>235</v>
      </c>
      <c r="E9" s="619" t="s">
        <v>19</v>
      </c>
      <c r="F9" s="619" t="s">
        <v>425</v>
      </c>
      <c r="G9" s="1060" t="s">
        <v>201</v>
      </c>
      <c r="H9" s="619" t="s">
        <v>850</v>
      </c>
      <c r="I9" s="619" t="s">
        <v>101</v>
      </c>
      <c r="J9" s="1060" t="s">
        <v>505</v>
      </c>
      <c r="K9" s="1061" t="s">
        <v>100</v>
      </c>
      <c r="L9" s="1060" t="s">
        <v>146</v>
      </c>
      <c r="M9" s="620" t="s">
        <v>2403</v>
      </c>
      <c r="N9" s="1060" t="s">
        <v>2403</v>
      </c>
      <c r="O9" s="996" t="s">
        <v>140</v>
      </c>
      <c r="P9" s="375"/>
      <c r="Q9" s="375"/>
      <c r="R9" s="622" t="s">
        <v>26</v>
      </c>
      <c r="S9" s="715" t="s">
        <v>2328</v>
      </c>
      <c r="T9" s="623" t="s">
        <v>235</v>
      </c>
      <c r="U9" s="623" t="s">
        <v>19</v>
      </c>
      <c r="V9" s="623" t="s">
        <v>425</v>
      </c>
      <c r="W9" s="1062" t="s">
        <v>201</v>
      </c>
      <c r="X9" s="1062" t="s">
        <v>2238</v>
      </c>
      <c r="Y9" s="1062" t="s">
        <v>2239</v>
      </c>
      <c r="Z9" s="623" t="s">
        <v>850</v>
      </c>
      <c r="AA9" s="623" t="s">
        <v>101</v>
      </c>
      <c r="AB9" s="1064" t="s">
        <v>505</v>
      </c>
      <c r="AC9" s="1061" t="s">
        <v>143</v>
      </c>
      <c r="AD9" s="1061" t="s">
        <v>143</v>
      </c>
      <c r="AE9" s="1065" t="s">
        <v>146</v>
      </c>
      <c r="AF9" s="620" t="s">
        <v>2403</v>
      </c>
      <c r="AG9" s="1060" t="s">
        <v>2403</v>
      </c>
      <c r="AH9" s="996" t="s">
        <v>140</v>
      </c>
      <c r="AK9" s="739" t="s">
        <v>2161</v>
      </c>
      <c r="AL9" s="616" t="s">
        <v>2316</v>
      </c>
      <c r="AM9" s="1427" t="s">
        <v>2180</v>
      </c>
      <c r="AN9" s="630" t="s">
        <v>169</v>
      </c>
      <c r="AO9" s="1070" t="s">
        <v>2180</v>
      </c>
      <c r="AP9" s="1418" t="s">
        <v>169</v>
      </c>
      <c r="AQ9" s="1073" t="s">
        <v>6</v>
      </c>
      <c r="AR9" s="634" t="s">
        <v>2322</v>
      </c>
      <c r="AS9" s="2051"/>
      <c r="AT9" s="2051"/>
      <c r="AU9" s="2051"/>
      <c r="AV9" s="2051"/>
      <c r="AW9" s="2051"/>
      <c r="AX9" s="2051"/>
      <c r="AY9" s="2051"/>
      <c r="AZ9" s="2051"/>
      <c r="BA9" s="2051"/>
      <c r="BB9" s="2051"/>
      <c r="BC9" s="1407" t="s">
        <v>538</v>
      </c>
      <c r="BD9" s="1074" t="s">
        <v>146</v>
      </c>
      <c r="BE9" s="637" t="s">
        <v>140</v>
      </c>
      <c r="BG9" s="586" t="s">
        <v>2175</v>
      </c>
      <c r="BJ9" s="739" t="s">
        <v>101</v>
      </c>
      <c r="BK9" s="1315" t="s">
        <v>2315</v>
      </c>
      <c r="BL9" s="1070" t="s">
        <v>2180</v>
      </c>
      <c r="BM9" s="1315" t="s">
        <v>114</v>
      </c>
      <c r="BN9" s="1073" t="s">
        <v>6</v>
      </c>
      <c r="BO9" s="1074" t="s">
        <v>146</v>
      </c>
      <c r="BP9" s="637" t="s">
        <v>140</v>
      </c>
      <c r="BQ9" s="628"/>
      <c r="BR9" s="628" t="s">
        <v>2175</v>
      </c>
      <c r="BU9" s="635" t="s">
        <v>2342</v>
      </c>
      <c r="BV9" s="1315" t="s">
        <v>313</v>
      </c>
      <c r="BW9" s="1078" t="s">
        <v>2353</v>
      </c>
      <c r="BX9" s="1078" t="s">
        <v>6</v>
      </c>
      <c r="BY9" s="1078" t="s">
        <v>317</v>
      </c>
      <c r="BZ9" s="1078" t="s">
        <v>146</v>
      </c>
      <c r="CA9" s="1078" t="s">
        <v>198</v>
      </c>
      <c r="CB9" s="1078" t="s">
        <v>198</v>
      </c>
      <c r="CC9" s="637" t="s">
        <v>140</v>
      </c>
      <c r="CF9" s="635" t="s">
        <v>307</v>
      </c>
      <c r="CG9" s="1080" t="s">
        <v>310</v>
      </c>
      <c r="CH9" s="1080" t="s">
        <v>322</v>
      </c>
      <c r="CI9" s="1080" t="s">
        <v>324</v>
      </c>
      <c r="CJ9" s="1080" t="s">
        <v>327</v>
      </c>
      <c r="CK9" s="1080" t="s">
        <v>312</v>
      </c>
      <c r="CL9" s="630" t="s">
        <v>201</v>
      </c>
      <c r="CM9" s="630" t="s">
        <v>315</v>
      </c>
      <c r="CN9" s="1079" t="s">
        <v>6</v>
      </c>
      <c r="CO9" s="1079" t="s">
        <v>317</v>
      </c>
      <c r="CP9" s="636" t="s">
        <v>201</v>
      </c>
      <c r="CQ9" s="636" t="s">
        <v>320</v>
      </c>
      <c r="CR9" s="1079" t="s">
        <v>2369</v>
      </c>
      <c r="CS9" s="636" t="s">
        <v>2369</v>
      </c>
      <c r="CT9" s="614" t="s">
        <v>198</v>
      </c>
      <c r="CU9" s="1079" t="s">
        <v>198</v>
      </c>
      <c r="CV9" s="614" t="s">
        <v>198</v>
      </c>
      <c r="CW9" s="1079" t="s">
        <v>198</v>
      </c>
      <c r="CX9" s="636" t="s">
        <v>419</v>
      </c>
      <c r="CY9" s="636" t="s">
        <v>420</v>
      </c>
      <c r="CZ9" s="630" t="s">
        <v>201</v>
      </c>
      <c r="DA9" s="1080" t="s">
        <v>330</v>
      </c>
      <c r="DB9" s="1080" t="s">
        <v>332</v>
      </c>
      <c r="DC9" s="1080" t="s">
        <v>332</v>
      </c>
      <c r="DD9" s="1080" t="s">
        <v>335</v>
      </c>
      <c r="DE9" s="1080" t="s">
        <v>2188</v>
      </c>
      <c r="DF9" s="630" t="s">
        <v>339</v>
      </c>
      <c r="DG9" s="637" t="s">
        <v>140</v>
      </c>
    </row>
    <row r="10" spans="1:112" s="588" customFormat="1" x14ac:dyDescent="0.2">
      <c r="A10" s="589">
        <v>1</v>
      </c>
      <c r="B10" s="1011"/>
      <c r="C10" s="1419"/>
      <c r="D10" s="638"/>
      <c r="E10" s="638"/>
      <c r="F10" s="638"/>
      <c r="G10" s="638"/>
      <c r="H10" s="638"/>
      <c r="I10" s="638"/>
      <c r="J10" s="638"/>
      <c r="K10" s="1435"/>
      <c r="L10" s="1437"/>
      <c r="M10" s="1439"/>
      <c r="N10" s="638"/>
      <c r="O10" s="1362"/>
      <c r="P10" s="589"/>
      <c r="Q10" s="589"/>
      <c r="R10" s="1011"/>
      <c r="S10" s="1419"/>
      <c r="T10" s="638"/>
      <c r="U10" s="638"/>
      <c r="V10" s="638"/>
      <c r="W10" s="638"/>
      <c r="X10" s="638"/>
      <c r="Y10" s="638"/>
      <c r="Z10" s="638"/>
      <c r="AA10" s="638"/>
      <c r="AB10" s="638"/>
      <c r="AC10" s="1435"/>
      <c r="AD10" s="638"/>
      <c r="AE10" s="1437"/>
      <c r="AF10" s="1439"/>
      <c r="AG10" s="638"/>
      <c r="AH10" s="1362"/>
      <c r="AI10" s="589"/>
      <c r="AJ10" s="375"/>
      <c r="AK10" s="1043" t="str">
        <f>Codes!$C$156</f>
        <v>AG - Automated Guideway (DO)</v>
      </c>
      <c r="AL10" s="1303" t="str">
        <f>Valid!$B$71</f>
        <v>At-Grade/Ballast (including expressway)</v>
      </c>
      <c r="AM10" s="1003"/>
      <c r="AN10" s="1400" t="str">
        <f>Valid!$C$71</f>
        <v>Linear Feet</v>
      </c>
      <c r="AO10" s="1446"/>
      <c r="AP10" s="1400" t="s">
        <v>1149</v>
      </c>
      <c r="AQ10" s="1012"/>
      <c r="AR10" s="1364"/>
      <c r="AS10" s="998"/>
      <c r="AT10" s="998"/>
      <c r="AU10" s="998"/>
      <c r="AV10" s="998"/>
      <c r="AW10" s="998"/>
      <c r="AX10" s="998"/>
      <c r="AY10" s="998"/>
      <c r="AZ10" s="998"/>
      <c r="BA10" s="998"/>
      <c r="BB10" s="998"/>
      <c r="BC10" s="1408">
        <f>SUM(AS10:BB10)</f>
        <v>0</v>
      </c>
      <c r="BD10" s="1007"/>
      <c r="BE10" s="1305"/>
      <c r="BG10" s="588" t="b">
        <f>IF(OR(AK10='A-50 FGRailInv'!$C$13,AK10='A-50 FGRailInv'!$C$69,AK10='A-50 FGRailInv'!$C$124,AK10='A-50 FGRailInv'!$C$179,AK10='A-50 FGRailInv'!$C$234,AK10='A-50 FGRailInv'!$C$290,AK10='A-50 FGRailInv'!$C$346,AK10='A-50 FGRailInv'!$C$402,AK10='A-50 FGRailInv'!$C$458,AK10='A-50 FGRailInv'!$C$514),TRUE,FALSE)</f>
        <v>0</v>
      </c>
      <c r="BJ10" s="1043" t="str">
        <f>Codes!$C$156</f>
        <v>AG - Automated Guideway (DO)</v>
      </c>
      <c r="BK10" s="1303" t="str">
        <f>Valid!$B$80</f>
        <v>Tangent</v>
      </c>
      <c r="BL10" s="1328"/>
      <c r="BM10" s="1303" t="str">
        <f>VLOOKUP(BK10,Valid!$B$80:$C$86,2,FALSE)</f>
        <v>Track Feet</v>
      </c>
      <c r="BN10" s="1332"/>
      <c r="BO10" s="1333"/>
      <c r="BP10" s="1334"/>
      <c r="BR10" s="588" t="b">
        <f>IF(OR(BJ10='A-55 TrackInv'!$C$13,BJ10='A-55 TrackInv'!$C$44,BJ10='A-55 TrackInv'!$C$75,BJ10='A-55 TrackInv'!$C$106,BJ10='A-55 TrackInv'!$C$137,BJ10='A-55 TrackInv'!$C$168,BJ10='A-55 TrackInv'!$C$199,BJ10='A-55 TrackInv'!$C$230,BJ10='A-55 TrackInv'!$C$261,BJ10='A-55 TrackInv'!$C$292),TRUE,FALSE)</f>
        <v>0</v>
      </c>
      <c r="BU10" s="1488"/>
      <c r="BV10" s="1211"/>
      <c r="BW10" s="1003"/>
      <c r="BX10" s="1007"/>
      <c r="BY10" s="1007"/>
      <c r="BZ10" s="1007"/>
      <c r="CA10" s="1007"/>
      <c r="CB10" s="1007"/>
      <c r="CC10" s="1169"/>
      <c r="CF10" s="1035"/>
      <c r="CG10" s="1003"/>
      <c r="CH10" s="1003"/>
      <c r="CI10" s="1003"/>
      <c r="CJ10" s="1003"/>
      <c r="CK10" s="1040"/>
      <c r="CL10" s="1162"/>
      <c r="CM10" s="1162"/>
      <c r="CN10" s="1015"/>
      <c r="CO10" s="1015"/>
      <c r="CP10" s="1162"/>
      <c r="CQ10" s="638"/>
      <c r="CR10" s="1015"/>
      <c r="CS10" s="1170"/>
      <c r="CT10" s="1006"/>
      <c r="CU10" s="1015"/>
      <c r="CV10" s="1006"/>
      <c r="CW10" s="1015"/>
      <c r="CX10" s="1008"/>
      <c r="CY10" s="1008"/>
      <c r="CZ10" s="1162"/>
      <c r="DA10" s="1003"/>
      <c r="DB10" s="1003"/>
      <c r="DC10" s="1003"/>
      <c r="DD10" s="1003"/>
      <c r="DE10" s="1003"/>
      <c r="DF10" s="638"/>
      <c r="DG10" s="1018"/>
    </row>
    <row r="11" spans="1:112" s="588" customFormat="1" ht="13.5" thickBot="1" x14ac:dyDescent="0.25">
      <c r="A11" s="589">
        <f>A10+1</f>
        <v>2</v>
      </c>
      <c r="B11" s="644"/>
      <c r="C11" s="1420"/>
      <c r="D11" s="639"/>
      <c r="E11" s="639"/>
      <c r="F11" s="639"/>
      <c r="G11" s="639"/>
      <c r="H11" s="639"/>
      <c r="I11" s="639"/>
      <c r="J11" s="639"/>
      <c r="K11" s="1436"/>
      <c r="L11" s="1438"/>
      <c r="M11" s="1440"/>
      <c r="N11" s="639"/>
      <c r="O11" s="640"/>
      <c r="P11" s="589"/>
      <c r="Q11" s="589"/>
      <c r="R11" s="644"/>
      <c r="S11" s="1420"/>
      <c r="T11" s="639"/>
      <c r="U11" s="639"/>
      <c r="V11" s="639"/>
      <c r="W11" s="639"/>
      <c r="X11" s="639"/>
      <c r="Y11" s="639"/>
      <c r="Z11" s="639"/>
      <c r="AA11" s="639"/>
      <c r="AB11" s="639"/>
      <c r="AC11" s="1436"/>
      <c r="AD11" s="639"/>
      <c r="AE11" s="1438"/>
      <c r="AF11" s="1440"/>
      <c r="AG11" s="639"/>
      <c r="AH11" s="640"/>
      <c r="AI11" s="589"/>
      <c r="AJ11" s="375"/>
      <c r="AK11" s="1041" t="str">
        <f>Codes!$C$156</f>
        <v>AG - Automated Guideway (DO)</v>
      </c>
      <c r="AL11" s="1042" t="str">
        <f>Valid!$B$72</f>
        <v>At-Grade/In-Street/Embedded</v>
      </c>
      <c r="AM11" s="1004"/>
      <c r="AN11" s="1401" t="str">
        <f>Valid!$C$72</f>
        <v>Linear Feet</v>
      </c>
      <c r="AO11" s="1441"/>
      <c r="AP11" s="1401" t="s">
        <v>1149</v>
      </c>
      <c r="AQ11" s="1004"/>
      <c r="AR11" s="1365"/>
      <c r="AS11" s="997"/>
      <c r="AT11" s="997"/>
      <c r="AU11" s="997"/>
      <c r="AV11" s="997"/>
      <c r="AW11" s="997"/>
      <c r="AX11" s="997"/>
      <c r="AY11" s="997"/>
      <c r="AZ11" s="997"/>
      <c r="BA11" s="997"/>
      <c r="BB11" s="997"/>
      <c r="BC11" s="1409">
        <f t="shared" ref="BC11:BC18" si="0">SUM(AS11:BB11)</f>
        <v>0</v>
      </c>
      <c r="BD11" s="999"/>
      <c r="BE11" s="640"/>
      <c r="BG11" s="588" t="b">
        <f>IF(OR(AK11='A-50 FGRailInv'!$C$13,AK11='A-50 FGRailInv'!$C$69,AK11='A-50 FGRailInv'!$C$124,AK11='A-50 FGRailInv'!$C$179,AK11='A-50 FGRailInv'!$C$234,AK11='A-50 FGRailInv'!$C$290,AK11='A-50 FGRailInv'!$C$346,AK11='A-50 FGRailInv'!$C$402,AK11='A-50 FGRailInv'!$C$458,AK11='A-50 FGRailInv'!$C$514),TRUE,FALSE)</f>
        <v>0</v>
      </c>
      <c r="BJ11" s="1048" t="str">
        <f>Codes!$C$156</f>
        <v>AG - Automated Guideway (DO)</v>
      </c>
      <c r="BK11" s="1049" t="str">
        <f>Valid!$B$81</f>
        <v>Curve</v>
      </c>
      <c r="BL11" s="1329"/>
      <c r="BM11" s="1049" t="str">
        <f>VLOOKUP(BK11,Valid!$B$80:$C$86,2,FALSE)</f>
        <v>Track Feet</v>
      </c>
      <c r="BN11" s="1335"/>
      <c r="BO11" s="1336"/>
      <c r="BP11" s="1337"/>
      <c r="BR11" s="588" t="b">
        <f>IF(OR(BJ11='A-55 TrackInv'!$C$13,BJ11='A-55 TrackInv'!$C$44,BJ11='A-55 TrackInv'!$C$75,BJ11='A-55 TrackInv'!$C$106,BJ11='A-55 TrackInv'!$C$137,BJ11='A-55 TrackInv'!$C$168,BJ11='A-55 TrackInv'!$C$199,BJ11='A-55 TrackInv'!$C$230,BJ11='A-55 TrackInv'!$C$261,BJ11='A-55 TrackInv'!$C$292),TRUE,FALSE)</f>
        <v>0</v>
      </c>
      <c r="BU11" s="1489"/>
      <c r="BV11" s="1212"/>
      <c r="BW11" s="1004"/>
      <c r="BX11" s="999"/>
      <c r="BY11" s="999"/>
      <c r="BZ11" s="999"/>
      <c r="CA11" s="999"/>
      <c r="CB11" s="999"/>
      <c r="CC11" s="1165"/>
      <c r="CF11" s="1036"/>
      <c r="CG11" s="1004"/>
      <c r="CH11" s="1004"/>
      <c r="CI11" s="1004"/>
      <c r="CJ11" s="1004"/>
      <c r="CK11" s="1044"/>
      <c r="CL11" s="1163"/>
      <c r="CM11" s="1163"/>
      <c r="CN11" s="647"/>
      <c r="CO11" s="647"/>
      <c r="CP11" s="1163"/>
      <c r="CQ11" s="639"/>
      <c r="CR11" s="647"/>
      <c r="CS11" s="1171"/>
      <c r="CT11" s="1001"/>
      <c r="CU11" s="647"/>
      <c r="CV11" s="1001"/>
      <c r="CW11" s="647"/>
      <c r="CX11" s="1009"/>
      <c r="CY11" s="1009"/>
      <c r="CZ11" s="1163"/>
      <c r="DA11" s="1004"/>
      <c r="DB11" s="1004"/>
      <c r="DC11" s="1004"/>
      <c r="DD11" s="1004"/>
      <c r="DE11" s="1004"/>
      <c r="DF11" s="639"/>
      <c r="DG11" s="1019"/>
    </row>
    <row r="12" spans="1:112" s="588" customFormat="1" ht="13.5" thickTop="1" x14ac:dyDescent="0.2">
      <c r="A12" s="589">
        <f t="shared" ref="A12:A75" si="1">A11+1</f>
        <v>3</v>
      </c>
      <c r="B12" s="644"/>
      <c r="C12" s="1420"/>
      <c r="D12" s="639"/>
      <c r="E12" s="639"/>
      <c r="F12" s="639"/>
      <c r="G12" s="639"/>
      <c r="H12" s="639"/>
      <c r="I12" s="639"/>
      <c r="J12" s="639"/>
      <c r="K12" s="1436"/>
      <c r="L12" s="1438"/>
      <c r="M12" s="1440"/>
      <c r="N12" s="639"/>
      <c r="O12" s="640"/>
      <c r="P12" s="589"/>
      <c r="Q12" s="589"/>
      <c r="R12" s="644"/>
      <c r="S12" s="1420"/>
      <c r="T12" s="639"/>
      <c r="U12" s="639"/>
      <c r="V12" s="639"/>
      <c r="W12" s="639"/>
      <c r="X12" s="639"/>
      <c r="Y12" s="639"/>
      <c r="Z12" s="639"/>
      <c r="AA12" s="639"/>
      <c r="AB12" s="639"/>
      <c r="AC12" s="1436"/>
      <c r="AD12" s="639"/>
      <c r="AE12" s="1438"/>
      <c r="AF12" s="1440"/>
      <c r="AG12" s="639"/>
      <c r="AH12" s="640"/>
      <c r="AI12" s="589"/>
      <c r="AJ12" s="375"/>
      <c r="AK12" s="1041" t="str">
        <f>Codes!$C$156</f>
        <v>AG - Automated Guideway (DO)</v>
      </c>
      <c r="AL12" s="1042" t="str">
        <f>Valid!$B$73</f>
        <v>Elevated/Retained Fill</v>
      </c>
      <c r="AM12" s="1004"/>
      <c r="AN12" s="1401" t="str">
        <f>Valid!$C$73</f>
        <v>Linear Feet</v>
      </c>
      <c r="AO12" s="1441"/>
      <c r="AP12" s="1401" t="s">
        <v>1149</v>
      </c>
      <c r="AQ12" s="1004"/>
      <c r="AR12" s="1365"/>
      <c r="AS12" s="997"/>
      <c r="AT12" s="997"/>
      <c r="AU12" s="997"/>
      <c r="AV12" s="997"/>
      <c r="AW12" s="997"/>
      <c r="AX12" s="997"/>
      <c r="AY12" s="997"/>
      <c r="AZ12" s="997"/>
      <c r="BA12" s="997"/>
      <c r="BB12" s="997"/>
      <c r="BC12" s="1409">
        <f t="shared" si="0"/>
        <v>0</v>
      </c>
      <c r="BD12" s="999"/>
      <c r="BE12" s="640"/>
      <c r="BG12" s="588" t="b">
        <f>IF(OR(AK12='A-50 FGRailInv'!$C$13,AK12='A-50 FGRailInv'!$C$69,AK12='A-50 FGRailInv'!$C$124,AK12='A-50 FGRailInv'!$C$179,AK12='A-50 FGRailInv'!$C$234,AK12='A-50 FGRailInv'!$C$290,AK12='A-50 FGRailInv'!$C$346,AK12='A-50 FGRailInv'!$C$402,AK12='A-50 FGRailInv'!$C$458,AK12='A-50 FGRailInv'!$C$514),TRUE,FALSE)</f>
        <v>0</v>
      </c>
      <c r="BJ12" s="1045" t="str">
        <f>Codes!$C$156</f>
        <v>AG - Automated Guideway (DO)</v>
      </c>
      <c r="BK12" s="1046" t="str">
        <f>Valid!$B$82</f>
        <v>Double Diamond Crossover</v>
      </c>
      <c r="BL12" s="1330"/>
      <c r="BM12" s="1046" t="str">
        <f>VLOOKUP(BK12,Valid!$B$80:$C$86,2,FALSE)</f>
        <v>Each</v>
      </c>
      <c r="BN12" s="1338"/>
      <c r="BO12" s="1339"/>
      <c r="BP12" s="1340"/>
      <c r="BR12" s="588" t="b">
        <f>IF(OR(BJ12='A-55 TrackInv'!$C$13,BJ12='A-55 TrackInv'!$C$44,BJ12='A-55 TrackInv'!$C$75,BJ12='A-55 TrackInv'!$C$106,BJ12='A-55 TrackInv'!$C$137,BJ12='A-55 TrackInv'!$C$168,BJ12='A-55 TrackInv'!$C$199,BJ12='A-55 TrackInv'!$C$230,BJ12='A-55 TrackInv'!$C$261,BJ12='A-55 TrackInv'!$C$292),TRUE,FALSE)</f>
        <v>0</v>
      </c>
      <c r="BU12" s="1489"/>
      <c r="BV12" s="1383"/>
      <c r="BW12" s="1004"/>
      <c r="BX12" s="999"/>
      <c r="BY12" s="999"/>
      <c r="BZ12" s="999"/>
      <c r="CA12" s="999"/>
      <c r="CB12" s="999"/>
      <c r="CC12" s="1165"/>
      <c r="CF12" s="1036"/>
      <c r="CG12" s="1004"/>
      <c r="CH12" s="1004"/>
      <c r="CI12" s="1004"/>
      <c r="CJ12" s="1004"/>
      <c r="CK12" s="1044"/>
      <c r="CL12" s="1163"/>
      <c r="CM12" s="1163"/>
      <c r="CN12" s="647"/>
      <c r="CO12" s="647"/>
      <c r="CP12" s="1163"/>
      <c r="CQ12" s="639"/>
      <c r="CR12" s="647"/>
      <c r="CS12" s="1171"/>
      <c r="CT12" s="1001"/>
      <c r="CU12" s="647"/>
      <c r="CV12" s="1001"/>
      <c r="CW12" s="647"/>
      <c r="CX12" s="1009"/>
      <c r="CY12" s="1009"/>
      <c r="CZ12" s="1163"/>
      <c r="DA12" s="1004"/>
      <c r="DB12" s="1004"/>
      <c r="DC12" s="1004"/>
      <c r="DD12" s="1004"/>
      <c r="DE12" s="1004"/>
      <c r="DF12" s="639"/>
      <c r="DG12" s="1019"/>
    </row>
    <row r="13" spans="1:112" s="588" customFormat="1" x14ac:dyDescent="0.2">
      <c r="A13" s="589">
        <f t="shared" si="1"/>
        <v>4</v>
      </c>
      <c r="B13" s="644"/>
      <c r="C13" s="1420"/>
      <c r="D13" s="639"/>
      <c r="E13" s="639"/>
      <c r="F13" s="639"/>
      <c r="G13" s="639"/>
      <c r="H13" s="639"/>
      <c r="I13" s="639"/>
      <c r="J13" s="639"/>
      <c r="K13" s="1436"/>
      <c r="L13" s="1438"/>
      <c r="M13" s="1440"/>
      <c r="N13" s="639"/>
      <c r="O13" s="640"/>
      <c r="Q13" s="589"/>
      <c r="R13" s="644"/>
      <c r="S13" s="1420"/>
      <c r="T13" s="639"/>
      <c r="U13" s="639"/>
      <c r="V13" s="639"/>
      <c r="W13" s="639"/>
      <c r="X13" s="639"/>
      <c r="Y13" s="639"/>
      <c r="Z13" s="639"/>
      <c r="AA13" s="639"/>
      <c r="AB13" s="639"/>
      <c r="AC13" s="1436"/>
      <c r="AD13" s="639"/>
      <c r="AE13" s="1438"/>
      <c r="AF13" s="1440"/>
      <c r="AG13" s="639"/>
      <c r="AH13" s="640"/>
      <c r="AI13" s="589"/>
      <c r="AJ13" s="375"/>
      <c r="AK13" s="1041" t="str">
        <f>Codes!$C$156</f>
        <v>AG - Automated Guideway (DO)</v>
      </c>
      <c r="AL13" s="1042" t="str">
        <f>Valid!$B$74</f>
        <v>Elevated/Concrete</v>
      </c>
      <c r="AM13" s="1004"/>
      <c r="AN13" s="1401" t="str">
        <f>Valid!$C$74</f>
        <v>Linear Feet</v>
      </c>
      <c r="AO13" s="1441"/>
      <c r="AP13" s="1401" t="s">
        <v>1149</v>
      </c>
      <c r="AQ13" s="1004"/>
      <c r="AR13" s="1365"/>
      <c r="AS13" s="997"/>
      <c r="AT13" s="997"/>
      <c r="AU13" s="997"/>
      <c r="AV13" s="997"/>
      <c r="AW13" s="997"/>
      <c r="AX13" s="997"/>
      <c r="AY13" s="997"/>
      <c r="AZ13" s="997"/>
      <c r="BA13" s="997"/>
      <c r="BB13" s="997"/>
      <c r="BC13" s="1409">
        <f t="shared" si="0"/>
        <v>0</v>
      </c>
      <c r="BD13" s="999"/>
      <c r="BE13" s="640"/>
      <c r="BG13" s="588" t="b">
        <f>IF(OR(AK13='A-50 FGRailInv'!$C$13,AK13='A-50 FGRailInv'!$C$69,AK13='A-50 FGRailInv'!$C$124,AK13='A-50 FGRailInv'!$C$179,AK13='A-50 FGRailInv'!$C$234,AK13='A-50 FGRailInv'!$C$290,AK13='A-50 FGRailInv'!$C$346,AK13='A-50 FGRailInv'!$C$402,AK13='A-50 FGRailInv'!$C$458,AK13='A-50 FGRailInv'!$C$514),TRUE,FALSE)</f>
        <v>0</v>
      </c>
      <c r="BJ13" s="1041" t="str">
        <f>Codes!$C$156</f>
        <v>AG - Automated Guideway (DO)</v>
      </c>
      <c r="BK13" s="1042" t="str">
        <f>Valid!$B$83</f>
        <v>Single Crossover</v>
      </c>
      <c r="BL13" s="1382"/>
      <c r="BM13" s="1042" t="str">
        <f>VLOOKUP(BK13,Valid!$B$80:$C$86,2,FALSE)</f>
        <v>Each</v>
      </c>
      <c r="BN13" s="1383"/>
      <c r="BO13" s="1194"/>
      <c r="BP13" s="1195"/>
      <c r="BR13" s="588" t="b">
        <f>IF(OR(BJ13='A-55 TrackInv'!$C$13,BJ13='A-55 TrackInv'!$C$44,BJ13='A-55 TrackInv'!$C$75,BJ13='A-55 TrackInv'!$C$106,BJ13='A-55 TrackInv'!$C$137,BJ13='A-55 TrackInv'!$C$168,BJ13='A-55 TrackInv'!$C$199,BJ13='A-55 TrackInv'!$C$230,BJ13='A-55 TrackInv'!$C$261,BJ13='A-55 TrackInv'!$C$292),TRUE,FALSE)</f>
        <v>0</v>
      </c>
      <c r="BU13" s="1489"/>
      <c r="BV13" s="1383"/>
      <c r="BW13" s="1004"/>
      <c r="BX13" s="999"/>
      <c r="BY13" s="999"/>
      <c r="BZ13" s="999"/>
      <c r="CA13" s="999"/>
      <c r="CB13" s="999"/>
      <c r="CC13" s="1165"/>
      <c r="CF13" s="1036"/>
      <c r="CG13" s="1004"/>
      <c r="CH13" s="1004"/>
      <c r="CI13" s="1004"/>
      <c r="CJ13" s="1004"/>
      <c r="CK13" s="1044"/>
      <c r="CL13" s="1163"/>
      <c r="CM13" s="1163"/>
      <c r="CN13" s="647"/>
      <c r="CO13" s="647"/>
      <c r="CP13" s="1163"/>
      <c r="CQ13" s="639"/>
      <c r="CR13" s="647"/>
      <c r="CS13" s="1171"/>
      <c r="CT13" s="1001"/>
      <c r="CU13" s="647"/>
      <c r="CV13" s="1001"/>
      <c r="CW13" s="647"/>
      <c r="CX13" s="1009"/>
      <c r="CY13" s="1009"/>
      <c r="CZ13" s="1163"/>
      <c r="DA13" s="1004"/>
      <c r="DB13" s="1004"/>
      <c r="DC13" s="1004"/>
      <c r="DD13" s="1004"/>
      <c r="DE13" s="1004"/>
      <c r="DF13" s="639"/>
      <c r="DG13" s="1019"/>
    </row>
    <row r="14" spans="1:112" s="588" customFormat="1" x14ac:dyDescent="0.2">
      <c r="A14" s="589">
        <f t="shared" si="1"/>
        <v>5</v>
      </c>
      <c r="B14" s="644"/>
      <c r="C14" s="1420"/>
      <c r="D14" s="639"/>
      <c r="E14" s="639"/>
      <c r="F14" s="639"/>
      <c r="G14" s="639"/>
      <c r="H14" s="639"/>
      <c r="I14" s="639"/>
      <c r="J14" s="639"/>
      <c r="K14" s="1436"/>
      <c r="L14" s="1438"/>
      <c r="M14" s="1440"/>
      <c r="N14" s="639"/>
      <c r="O14" s="640"/>
      <c r="Q14" s="589"/>
      <c r="R14" s="644"/>
      <c r="S14" s="1420"/>
      <c r="T14" s="639"/>
      <c r="U14" s="639"/>
      <c r="V14" s="639"/>
      <c r="W14" s="639"/>
      <c r="X14" s="639"/>
      <c r="Y14" s="639"/>
      <c r="Z14" s="639"/>
      <c r="AA14" s="639"/>
      <c r="AB14" s="639"/>
      <c r="AC14" s="1436"/>
      <c r="AD14" s="639"/>
      <c r="AE14" s="1438"/>
      <c r="AF14" s="1440"/>
      <c r="AG14" s="639"/>
      <c r="AH14" s="640"/>
      <c r="AI14" s="589"/>
      <c r="AJ14" s="375"/>
      <c r="AK14" s="1041" t="str">
        <f>Codes!$C$156</f>
        <v>AG - Automated Guideway (DO)</v>
      </c>
      <c r="AL14" s="1042" t="str">
        <f>Valid!$B$75</f>
        <v>Elevated/Steel Viaduct or Bridge</v>
      </c>
      <c r="AM14" s="1004"/>
      <c r="AN14" s="1401" t="str">
        <f>Valid!$C$75</f>
        <v>Linear Feet</v>
      </c>
      <c r="AO14" s="1441"/>
      <c r="AP14" s="1401" t="s">
        <v>1149</v>
      </c>
      <c r="AQ14" s="1004"/>
      <c r="AR14" s="1365"/>
      <c r="AS14" s="997"/>
      <c r="AT14" s="997"/>
      <c r="AU14" s="997"/>
      <c r="AV14" s="997"/>
      <c r="AW14" s="997"/>
      <c r="AX14" s="997"/>
      <c r="AY14" s="997"/>
      <c r="AZ14" s="997"/>
      <c r="BA14" s="997"/>
      <c r="BB14" s="997"/>
      <c r="BC14" s="1409">
        <f t="shared" si="0"/>
        <v>0</v>
      </c>
      <c r="BD14" s="999"/>
      <c r="BE14" s="640"/>
      <c r="BG14" s="588" t="b">
        <f>IF(OR(AK14='A-50 FGRailInv'!$C$13,AK14='A-50 FGRailInv'!$C$69,AK14='A-50 FGRailInv'!$C$124,AK14='A-50 FGRailInv'!$C$179,AK14='A-50 FGRailInv'!$C$234,AK14='A-50 FGRailInv'!$C$290,AK14='A-50 FGRailInv'!$C$346,AK14='A-50 FGRailInv'!$C$402,AK14='A-50 FGRailInv'!$C$458,AK14='A-50 FGRailInv'!$C$514),TRUE,FALSE)</f>
        <v>0</v>
      </c>
      <c r="BJ14" s="1041" t="str">
        <f>Codes!$C$156</f>
        <v>AG - Automated Guideway (DO)</v>
      </c>
      <c r="BK14" s="1042" t="str">
        <f>Valid!$B$84</f>
        <v>Half Grand Union</v>
      </c>
      <c r="BL14" s="1382"/>
      <c r="BM14" s="1042" t="str">
        <f>VLOOKUP(BK14,Valid!$B$80:$C$86,2,FALSE)</f>
        <v>Each</v>
      </c>
      <c r="BN14" s="1383"/>
      <c r="BO14" s="1194"/>
      <c r="BP14" s="1195"/>
      <c r="BR14" s="588" t="b">
        <f>IF(OR(BJ14='A-55 TrackInv'!$C$13,BJ14='A-55 TrackInv'!$C$44,BJ14='A-55 TrackInv'!$C$75,BJ14='A-55 TrackInv'!$C$106,BJ14='A-55 TrackInv'!$C$137,BJ14='A-55 TrackInv'!$C$168,BJ14='A-55 TrackInv'!$C$199,BJ14='A-55 TrackInv'!$C$230,BJ14='A-55 TrackInv'!$C$261,BJ14='A-55 TrackInv'!$C$292),TRUE,FALSE)</f>
        <v>0</v>
      </c>
      <c r="BU14" s="1489"/>
      <c r="BV14" s="1383"/>
      <c r="BW14" s="1004"/>
      <c r="BX14" s="999"/>
      <c r="BY14" s="999"/>
      <c r="BZ14" s="999"/>
      <c r="CA14" s="999"/>
      <c r="CB14" s="999"/>
      <c r="CC14" s="1165"/>
      <c r="CF14" s="1036"/>
      <c r="CG14" s="1004"/>
      <c r="CH14" s="1004"/>
      <c r="CI14" s="1004"/>
      <c r="CJ14" s="1004"/>
      <c r="CK14" s="1044"/>
      <c r="CL14" s="1163"/>
      <c r="CM14" s="1163"/>
      <c r="CN14" s="647"/>
      <c r="CO14" s="647"/>
      <c r="CP14" s="1163"/>
      <c r="CQ14" s="639"/>
      <c r="CR14" s="647"/>
      <c r="CS14" s="1171"/>
      <c r="CT14" s="1001"/>
      <c r="CU14" s="647"/>
      <c r="CV14" s="1001"/>
      <c r="CW14" s="647"/>
      <c r="CX14" s="1009"/>
      <c r="CY14" s="1009"/>
      <c r="CZ14" s="1163"/>
      <c r="DA14" s="1004"/>
      <c r="DB14" s="1004"/>
      <c r="DC14" s="1004"/>
      <c r="DD14" s="1004"/>
      <c r="DE14" s="1004"/>
      <c r="DF14" s="639"/>
      <c r="DG14" s="1019"/>
    </row>
    <row r="15" spans="1:112" s="588" customFormat="1" x14ac:dyDescent="0.2">
      <c r="A15" s="589">
        <f t="shared" si="1"/>
        <v>6</v>
      </c>
      <c r="B15" s="644"/>
      <c r="C15" s="1420"/>
      <c r="D15" s="639"/>
      <c r="E15" s="639"/>
      <c r="F15" s="639"/>
      <c r="G15" s="639"/>
      <c r="H15" s="639"/>
      <c r="I15" s="639"/>
      <c r="J15" s="639"/>
      <c r="K15" s="1436"/>
      <c r="L15" s="1438"/>
      <c r="M15" s="1440"/>
      <c r="N15" s="639"/>
      <c r="O15" s="640"/>
      <c r="Q15" s="589"/>
      <c r="R15" s="644"/>
      <c r="S15" s="1420"/>
      <c r="T15" s="639"/>
      <c r="U15" s="639"/>
      <c r="V15" s="639"/>
      <c r="W15" s="639"/>
      <c r="X15" s="639"/>
      <c r="Y15" s="639"/>
      <c r="Z15" s="639"/>
      <c r="AA15" s="639"/>
      <c r="AB15" s="639"/>
      <c r="AC15" s="1436"/>
      <c r="AD15" s="639"/>
      <c r="AE15" s="1438"/>
      <c r="AF15" s="1440"/>
      <c r="AG15" s="639"/>
      <c r="AH15" s="640"/>
      <c r="AI15" s="589"/>
      <c r="AJ15" s="375"/>
      <c r="AK15" s="1041" t="str">
        <f>Codes!$C$156</f>
        <v>AG - Automated Guideway (DO)</v>
      </c>
      <c r="AL15" s="1042" t="str">
        <f>Valid!$B$76</f>
        <v>Below-Grade/Retained Cut</v>
      </c>
      <c r="AM15" s="1004"/>
      <c r="AN15" s="1401" t="str">
        <f>Valid!$C$76</f>
        <v>Linear Feet</v>
      </c>
      <c r="AO15" s="1441"/>
      <c r="AP15" s="1401" t="s">
        <v>1149</v>
      </c>
      <c r="AQ15" s="1004"/>
      <c r="AR15" s="1307"/>
      <c r="AS15" s="997"/>
      <c r="AT15" s="997"/>
      <c r="AU15" s="997"/>
      <c r="AV15" s="997"/>
      <c r="AW15" s="997"/>
      <c r="AX15" s="997"/>
      <c r="AY15" s="997"/>
      <c r="AZ15" s="997"/>
      <c r="BA15" s="997"/>
      <c r="BB15" s="997"/>
      <c r="BC15" s="1409">
        <f t="shared" si="0"/>
        <v>0</v>
      </c>
      <c r="BD15" s="999"/>
      <c r="BE15" s="640"/>
      <c r="BG15" s="588" t="b">
        <f>IF(OR(AK15='A-50 FGRailInv'!$C$13,AK15='A-50 FGRailInv'!$C$69,AK15='A-50 FGRailInv'!$C$124,AK15='A-50 FGRailInv'!$C$179,AK15='A-50 FGRailInv'!$C$234,AK15='A-50 FGRailInv'!$C$290,AK15='A-50 FGRailInv'!$C$346,AK15='A-50 FGRailInv'!$C$402,AK15='A-50 FGRailInv'!$C$458,AK15='A-50 FGRailInv'!$C$514),TRUE,FALSE)</f>
        <v>0</v>
      </c>
      <c r="BJ15" s="1041" t="str">
        <f>Codes!$C$156</f>
        <v>AG - Automated Guideway (DO)</v>
      </c>
      <c r="BK15" s="1042" t="str">
        <f>Valid!$B$85</f>
        <v>Single Turnout</v>
      </c>
      <c r="BL15" s="1382"/>
      <c r="BM15" s="1042" t="str">
        <f>VLOOKUP(BK15,Valid!$B$80:$C$86,2,FALSE)</f>
        <v>Each</v>
      </c>
      <c r="BN15" s="1383"/>
      <c r="BO15" s="1194"/>
      <c r="BP15" s="1195"/>
      <c r="BR15" s="588" t="b">
        <f>IF(OR(BJ15='A-55 TrackInv'!$C$13,BJ15='A-55 TrackInv'!$C$44,BJ15='A-55 TrackInv'!$C$75,BJ15='A-55 TrackInv'!$C$106,BJ15='A-55 TrackInv'!$C$137,BJ15='A-55 TrackInv'!$C$168,BJ15='A-55 TrackInv'!$C$199,BJ15='A-55 TrackInv'!$C$230,BJ15='A-55 TrackInv'!$C$261,BJ15='A-55 TrackInv'!$C$292),TRUE,FALSE)</f>
        <v>0</v>
      </c>
      <c r="BU15" s="1489"/>
      <c r="BV15" s="1212"/>
      <c r="BW15" s="1004"/>
      <c r="BX15" s="999"/>
      <c r="BY15" s="999"/>
      <c r="BZ15" s="999"/>
      <c r="CA15" s="999"/>
      <c r="CB15" s="999"/>
      <c r="CC15" s="1165"/>
      <c r="CF15" s="1036"/>
      <c r="CG15" s="1004"/>
      <c r="CH15" s="1004"/>
      <c r="CI15" s="1004"/>
      <c r="CJ15" s="1004"/>
      <c r="CK15" s="1044"/>
      <c r="CL15" s="1163"/>
      <c r="CM15" s="1163"/>
      <c r="CN15" s="647"/>
      <c r="CO15" s="647"/>
      <c r="CP15" s="1163"/>
      <c r="CQ15" s="639"/>
      <c r="CR15" s="647"/>
      <c r="CS15" s="1171"/>
      <c r="CT15" s="1001"/>
      <c r="CU15" s="647"/>
      <c r="CV15" s="1001"/>
      <c r="CW15" s="647"/>
      <c r="CX15" s="1009"/>
      <c r="CY15" s="1009"/>
      <c r="CZ15" s="1163"/>
      <c r="DA15" s="1004"/>
      <c r="DB15" s="1004"/>
      <c r="DC15" s="1004"/>
      <c r="DD15" s="1004"/>
      <c r="DE15" s="1004"/>
      <c r="DF15" s="639"/>
      <c r="DG15" s="1019"/>
    </row>
    <row r="16" spans="1:112" s="588" customFormat="1" ht="13.5" thickBot="1" x14ac:dyDescent="0.25">
      <c r="A16" s="589">
        <f t="shared" si="1"/>
        <v>7</v>
      </c>
      <c r="B16" s="644"/>
      <c r="C16" s="1420"/>
      <c r="D16" s="639"/>
      <c r="E16" s="639"/>
      <c r="F16" s="639"/>
      <c r="G16" s="639"/>
      <c r="H16" s="639"/>
      <c r="I16" s="639"/>
      <c r="J16" s="639"/>
      <c r="K16" s="1436"/>
      <c r="L16" s="1438"/>
      <c r="M16" s="1440"/>
      <c r="N16" s="639"/>
      <c r="O16" s="640"/>
      <c r="Q16" s="589"/>
      <c r="R16" s="644"/>
      <c r="S16" s="1420"/>
      <c r="T16" s="639"/>
      <c r="U16" s="639"/>
      <c r="V16" s="639"/>
      <c r="W16" s="639"/>
      <c r="X16" s="639"/>
      <c r="Y16" s="639"/>
      <c r="Z16" s="639"/>
      <c r="AA16" s="639"/>
      <c r="AB16" s="639"/>
      <c r="AC16" s="1436"/>
      <c r="AD16" s="639"/>
      <c r="AE16" s="1438"/>
      <c r="AF16" s="1440"/>
      <c r="AG16" s="639"/>
      <c r="AH16" s="640"/>
      <c r="AI16" s="589"/>
      <c r="AJ16" s="375"/>
      <c r="AK16" s="1041" t="str">
        <f>Codes!$C$156</f>
        <v>AG - Automated Guideway (DO)</v>
      </c>
      <c r="AL16" s="1042" t="str">
        <f>Valid!$B$77</f>
        <v>Below-Grade/Cut-and-Cover Tunnel</v>
      </c>
      <c r="AM16" s="1004"/>
      <c r="AN16" s="1401" t="str">
        <f>Valid!$C$77</f>
        <v>Linear Feet</v>
      </c>
      <c r="AO16" s="1441"/>
      <c r="AP16" s="1401" t="s">
        <v>1149</v>
      </c>
      <c r="AQ16" s="1004"/>
      <c r="AR16" s="1307"/>
      <c r="AS16" s="997"/>
      <c r="AT16" s="997"/>
      <c r="AU16" s="997"/>
      <c r="AV16" s="997"/>
      <c r="AW16" s="997"/>
      <c r="AX16" s="997"/>
      <c r="AY16" s="997"/>
      <c r="AZ16" s="997"/>
      <c r="BA16" s="997"/>
      <c r="BB16" s="997"/>
      <c r="BC16" s="1409">
        <f t="shared" si="0"/>
        <v>0</v>
      </c>
      <c r="BD16" s="999"/>
      <c r="BE16" s="640"/>
      <c r="BG16" s="588" t="b">
        <f>IF(OR(AK16='A-50 FGRailInv'!$C$13,AK16='A-50 FGRailInv'!$C$69,AK16='A-50 FGRailInv'!$C$124,AK16='A-50 FGRailInv'!$C$179,AK16='A-50 FGRailInv'!$C$234,AK16='A-50 FGRailInv'!$C$290,AK16='A-50 FGRailInv'!$C$346,AK16='A-50 FGRailInv'!$C$402,AK16='A-50 FGRailInv'!$C$458,AK16='A-50 FGRailInv'!$C$514),TRUE,FALSE)</f>
        <v>0</v>
      </c>
      <c r="BJ16" s="1047" t="str">
        <f>Codes!$C$156</f>
        <v>AG - Automated Guideway (DO)</v>
      </c>
      <c r="BK16" s="1050" t="str">
        <f>Valid!$B$86</f>
        <v>Grade Crossings</v>
      </c>
      <c r="BL16" s="1331"/>
      <c r="BM16" s="1050" t="str">
        <f>VLOOKUP(BK16,Valid!$B$80:$C$86,2,FALSE)</f>
        <v>Each</v>
      </c>
      <c r="BN16" s="1341"/>
      <c r="BO16" s="1197"/>
      <c r="BP16" s="1198"/>
      <c r="BR16" s="588" t="b">
        <f>IF(OR(BJ16='A-55 TrackInv'!$C$13,BJ16='A-55 TrackInv'!$C$44,BJ16='A-55 TrackInv'!$C$75,BJ16='A-55 TrackInv'!$C$106,BJ16='A-55 TrackInv'!$C$137,BJ16='A-55 TrackInv'!$C$168,BJ16='A-55 TrackInv'!$C$199,BJ16='A-55 TrackInv'!$C$230,BJ16='A-55 TrackInv'!$C$261,BJ16='A-55 TrackInv'!$C$292),TRUE,FALSE)</f>
        <v>0</v>
      </c>
      <c r="BU16" s="1489"/>
      <c r="BV16" s="1212"/>
      <c r="BW16" s="1004"/>
      <c r="BX16" s="999"/>
      <c r="BY16" s="999"/>
      <c r="BZ16" s="999"/>
      <c r="CA16" s="999"/>
      <c r="CB16" s="999"/>
      <c r="CC16" s="1165"/>
      <c r="CF16" s="1036"/>
      <c r="CG16" s="1004"/>
      <c r="CH16" s="1004"/>
      <c r="CI16" s="1004"/>
      <c r="CJ16" s="1004"/>
      <c r="CK16" s="1044"/>
      <c r="CL16" s="1163"/>
      <c r="CM16" s="1163"/>
      <c r="CN16" s="647"/>
      <c r="CO16" s="647"/>
      <c r="CP16" s="1163"/>
      <c r="CQ16" s="639"/>
      <c r="CR16" s="647"/>
      <c r="CS16" s="1171"/>
      <c r="CT16" s="1001"/>
      <c r="CU16" s="647"/>
      <c r="CV16" s="1001"/>
      <c r="CW16" s="647"/>
      <c r="CX16" s="1009"/>
      <c r="CY16" s="1009"/>
      <c r="CZ16" s="1163"/>
      <c r="DA16" s="1004"/>
      <c r="DB16" s="1004"/>
      <c r="DC16" s="1004"/>
      <c r="DD16" s="1004"/>
      <c r="DE16" s="1004"/>
      <c r="DF16" s="639"/>
      <c r="DG16" s="1019"/>
    </row>
    <row r="17" spans="1:111" s="588" customFormat="1" x14ac:dyDescent="0.2">
      <c r="A17" s="589">
        <f t="shared" si="1"/>
        <v>8</v>
      </c>
      <c r="B17" s="644"/>
      <c r="C17" s="1420"/>
      <c r="D17" s="639"/>
      <c r="E17" s="639"/>
      <c r="F17" s="639"/>
      <c r="G17" s="639"/>
      <c r="H17" s="639"/>
      <c r="I17" s="639"/>
      <c r="J17" s="639"/>
      <c r="K17" s="1436"/>
      <c r="L17" s="1438"/>
      <c r="M17" s="1440"/>
      <c r="N17" s="639"/>
      <c r="O17" s="640"/>
      <c r="Q17" s="589"/>
      <c r="R17" s="644"/>
      <c r="S17" s="1420"/>
      <c r="T17" s="639"/>
      <c r="U17" s="639"/>
      <c r="V17" s="639"/>
      <c r="W17" s="639"/>
      <c r="X17" s="639"/>
      <c r="Y17" s="639"/>
      <c r="Z17" s="639"/>
      <c r="AA17" s="639"/>
      <c r="AB17" s="639"/>
      <c r="AC17" s="1436"/>
      <c r="AD17" s="639"/>
      <c r="AE17" s="1438"/>
      <c r="AF17" s="1440"/>
      <c r="AG17" s="639"/>
      <c r="AH17" s="640"/>
      <c r="AI17" s="589"/>
      <c r="AJ17" s="375"/>
      <c r="AK17" s="1041" t="str">
        <f>Codes!$C$156</f>
        <v>AG - Automated Guideway (DO)</v>
      </c>
      <c r="AL17" s="1042" t="str">
        <f>Valid!$B$78</f>
        <v>Below-Grade/Bored or Blasted Tunnel</v>
      </c>
      <c r="AM17" s="1004"/>
      <c r="AN17" s="1401" t="str">
        <f>Valid!$C$78</f>
        <v>Linear Feet</v>
      </c>
      <c r="AO17" s="1441"/>
      <c r="AP17" s="1401" t="s">
        <v>1149</v>
      </c>
      <c r="AQ17" s="1004"/>
      <c r="AR17" s="1307"/>
      <c r="AS17" s="997"/>
      <c r="AT17" s="997"/>
      <c r="AU17" s="997"/>
      <c r="AV17" s="997"/>
      <c r="AW17" s="997"/>
      <c r="AX17" s="997"/>
      <c r="AY17" s="997"/>
      <c r="AZ17" s="997"/>
      <c r="BA17" s="997"/>
      <c r="BB17" s="997"/>
      <c r="BC17" s="1409">
        <f t="shared" si="0"/>
        <v>0</v>
      </c>
      <c r="BD17" s="999"/>
      <c r="BE17" s="640"/>
      <c r="BG17" s="588" t="b">
        <f>IF(OR(AK17='A-50 FGRailInv'!$C$13,AK17='A-50 FGRailInv'!$C$69,AK17='A-50 FGRailInv'!$C$124,AK17='A-50 FGRailInv'!$C$179,AK17='A-50 FGRailInv'!$C$234,AK17='A-50 FGRailInv'!$C$290,AK17='A-50 FGRailInv'!$C$346,AK17='A-50 FGRailInv'!$C$402,AK17='A-50 FGRailInv'!$C$458,AK17='A-50 FGRailInv'!$C$514),TRUE,FALSE)</f>
        <v>0</v>
      </c>
      <c r="BJ17" s="1043" t="str">
        <f>Codes!$C$157</f>
        <v>AG - Automated Guideway (PT)</v>
      </c>
      <c r="BK17" s="1303" t="str">
        <f>Valid!$B$80</f>
        <v>Tangent</v>
      </c>
      <c r="BL17" s="1328"/>
      <c r="BM17" s="1303" t="str">
        <f>VLOOKUP(BK17,Valid!$B$80:$C$86,2,FALSE)</f>
        <v>Track Feet</v>
      </c>
      <c r="BN17" s="1332"/>
      <c r="BO17" s="1333"/>
      <c r="BP17" s="1334"/>
      <c r="BR17" s="588" t="b">
        <f>IF(OR(BJ17='A-55 TrackInv'!$C$13,BJ17='A-55 TrackInv'!$C$44,BJ17='A-55 TrackInv'!$C$75,BJ17='A-55 TrackInv'!$C$106,BJ17='A-55 TrackInv'!$C$137,BJ17='A-55 TrackInv'!$C$168,BJ17='A-55 TrackInv'!$C$199,BJ17='A-55 TrackInv'!$C$230,BJ17='A-55 TrackInv'!$C$261,BJ17='A-55 TrackInv'!$C$292),TRUE,FALSE)</f>
        <v>0</v>
      </c>
      <c r="BU17" s="1489"/>
      <c r="BV17" s="1212"/>
      <c r="BW17" s="1004"/>
      <c r="BX17" s="999"/>
      <c r="BY17" s="999"/>
      <c r="BZ17" s="999"/>
      <c r="CA17" s="999"/>
      <c r="CB17" s="999"/>
      <c r="CC17" s="1165"/>
      <c r="CF17" s="1036"/>
      <c r="CG17" s="1004"/>
      <c r="CH17" s="1004"/>
      <c r="CI17" s="1004"/>
      <c r="CJ17" s="1004"/>
      <c r="CK17" s="1044"/>
      <c r="CL17" s="1163"/>
      <c r="CM17" s="1163"/>
      <c r="CN17" s="647"/>
      <c r="CO17" s="647"/>
      <c r="CP17" s="1163"/>
      <c r="CQ17" s="639"/>
      <c r="CR17" s="647"/>
      <c r="CS17" s="1171"/>
      <c r="CT17" s="1001"/>
      <c r="CU17" s="647"/>
      <c r="CV17" s="1001"/>
      <c r="CW17" s="647"/>
      <c r="CX17" s="1009"/>
      <c r="CY17" s="1009"/>
      <c r="CZ17" s="1163"/>
      <c r="DA17" s="1004"/>
      <c r="DB17" s="1004"/>
      <c r="DC17" s="1004"/>
      <c r="DD17" s="1004"/>
      <c r="DE17" s="1004"/>
      <c r="DF17" s="639"/>
      <c r="DG17" s="1019"/>
    </row>
    <row r="18" spans="1:111" s="588" customFormat="1" ht="13.5" thickBot="1" x14ac:dyDescent="0.25">
      <c r="A18" s="589">
        <f t="shared" si="1"/>
        <v>9</v>
      </c>
      <c r="B18" s="644"/>
      <c r="C18" s="1420"/>
      <c r="D18" s="639"/>
      <c r="E18" s="639"/>
      <c r="F18" s="639"/>
      <c r="G18" s="639"/>
      <c r="H18" s="639"/>
      <c r="I18" s="639"/>
      <c r="J18" s="639"/>
      <c r="K18" s="1436"/>
      <c r="L18" s="1438"/>
      <c r="M18" s="1440"/>
      <c r="N18" s="639"/>
      <c r="O18" s="640"/>
      <c r="Q18" s="589"/>
      <c r="R18" s="644"/>
      <c r="S18" s="1420"/>
      <c r="T18" s="639"/>
      <c r="U18" s="639"/>
      <c r="V18" s="639"/>
      <c r="W18" s="639"/>
      <c r="X18" s="639"/>
      <c r="Y18" s="639"/>
      <c r="Z18" s="639"/>
      <c r="AA18" s="639"/>
      <c r="AB18" s="639"/>
      <c r="AC18" s="1436"/>
      <c r="AD18" s="639"/>
      <c r="AE18" s="1438"/>
      <c r="AF18" s="1440"/>
      <c r="AG18" s="639"/>
      <c r="AH18" s="640"/>
      <c r="AI18" s="589"/>
      <c r="AJ18" s="375"/>
      <c r="AK18" s="1048" t="str">
        <f>Codes!$C$156</f>
        <v>AG - Automated Guideway (DO)</v>
      </c>
      <c r="AL18" s="1049" t="str">
        <f>Valid!$B$79</f>
        <v>Below-Grade/Submerged Tube</v>
      </c>
      <c r="AM18" s="1363"/>
      <c r="AN18" s="1402" t="str">
        <f>Valid!$C$79</f>
        <v>Linear Feet</v>
      </c>
      <c r="AO18" s="1442"/>
      <c r="AP18" s="1402" t="s">
        <v>1149</v>
      </c>
      <c r="AQ18" s="1363"/>
      <c r="AR18" s="1308"/>
      <c r="AS18" s="1016"/>
      <c r="AT18" s="1016"/>
      <c r="AU18" s="1016"/>
      <c r="AV18" s="1016"/>
      <c r="AW18" s="1016"/>
      <c r="AX18" s="1016"/>
      <c r="AY18" s="1016"/>
      <c r="AZ18" s="1016"/>
      <c r="BA18" s="1016"/>
      <c r="BB18" s="1016"/>
      <c r="BC18" s="1410">
        <f t="shared" si="0"/>
        <v>0</v>
      </c>
      <c r="BD18" s="1017"/>
      <c r="BE18" s="963"/>
      <c r="BG18" s="588" t="b">
        <f>IF(OR(AK18='A-50 FGRailInv'!$C$13,AK18='A-50 FGRailInv'!$C$69,AK18='A-50 FGRailInv'!$C$124,AK18='A-50 FGRailInv'!$C$179,AK18='A-50 FGRailInv'!$C$234,AK18='A-50 FGRailInv'!$C$290,AK18='A-50 FGRailInv'!$C$346,AK18='A-50 FGRailInv'!$C$402,AK18='A-50 FGRailInv'!$C$458,AK18='A-50 FGRailInv'!$C$514),TRUE,FALSE)</f>
        <v>0</v>
      </c>
      <c r="BJ18" s="1048" t="str">
        <f>Codes!$C$157</f>
        <v>AG - Automated Guideway (PT)</v>
      </c>
      <c r="BK18" s="1049" t="str">
        <f>Valid!$B$81</f>
        <v>Curve</v>
      </c>
      <c r="BL18" s="1329"/>
      <c r="BM18" s="1049" t="str">
        <f>VLOOKUP(BK18,Valid!$B$80:$C$86,2,FALSE)</f>
        <v>Track Feet</v>
      </c>
      <c r="BN18" s="1335"/>
      <c r="BO18" s="1336"/>
      <c r="BP18" s="1337"/>
      <c r="BR18" s="588" t="b">
        <f>IF(OR(BJ18='A-55 TrackInv'!$C$13,BJ18='A-55 TrackInv'!$C$44,BJ18='A-55 TrackInv'!$C$75,BJ18='A-55 TrackInv'!$C$106,BJ18='A-55 TrackInv'!$C$137,BJ18='A-55 TrackInv'!$C$168,BJ18='A-55 TrackInv'!$C$199,BJ18='A-55 TrackInv'!$C$230,BJ18='A-55 TrackInv'!$C$261,BJ18='A-55 TrackInv'!$C$292),TRUE,FALSE)</f>
        <v>0</v>
      </c>
      <c r="BU18" s="1489"/>
      <c r="BV18" s="1212"/>
      <c r="BW18" s="1004"/>
      <c r="BX18" s="999"/>
      <c r="BY18" s="999"/>
      <c r="BZ18" s="999"/>
      <c r="CA18" s="999"/>
      <c r="CB18" s="999"/>
      <c r="CC18" s="1165"/>
      <c r="CF18" s="1036"/>
      <c r="CG18" s="1004"/>
      <c r="CH18" s="1004"/>
      <c r="CI18" s="1004"/>
      <c r="CJ18" s="1004"/>
      <c r="CK18" s="1044"/>
      <c r="CL18" s="1163"/>
      <c r="CM18" s="1163"/>
      <c r="CN18" s="647"/>
      <c r="CO18" s="647"/>
      <c r="CP18" s="1163"/>
      <c r="CQ18" s="639"/>
      <c r="CR18" s="647"/>
      <c r="CS18" s="1171"/>
      <c r="CT18" s="1001"/>
      <c r="CU18" s="647"/>
      <c r="CV18" s="1001"/>
      <c r="CW18" s="647"/>
      <c r="CX18" s="1009"/>
      <c r="CY18" s="1009"/>
      <c r="CZ18" s="1163"/>
      <c r="DA18" s="1004"/>
      <c r="DB18" s="1004"/>
      <c r="DC18" s="1004"/>
      <c r="DD18" s="1004"/>
      <c r="DE18" s="1004"/>
      <c r="DF18" s="639"/>
      <c r="DG18" s="1019"/>
    </row>
    <row r="19" spans="1:111" s="588" customFormat="1" ht="13.5" thickTop="1" x14ac:dyDescent="0.2">
      <c r="A19" s="589">
        <f t="shared" si="1"/>
        <v>10</v>
      </c>
      <c r="B19" s="644"/>
      <c r="C19" s="1420"/>
      <c r="D19" s="639"/>
      <c r="E19" s="639"/>
      <c r="F19" s="639"/>
      <c r="G19" s="639"/>
      <c r="H19" s="639"/>
      <c r="I19" s="639"/>
      <c r="J19" s="639"/>
      <c r="K19" s="1436"/>
      <c r="L19" s="1438"/>
      <c r="M19" s="1440"/>
      <c r="N19" s="639"/>
      <c r="O19" s="640"/>
      <c r="Q19" s="589"/>
      <c r="R19" s="644"/>
      <c r="S19" s="1420"/>
      <c r="T19" s="639"/>
      <c r="U19" s="639"/>
      <c r="V19" s="639"/>
      <c r="W19" s="639"/>
      <c r="X19" s="639"/>
      <c r="Y19" s="639"/>
      <c r="Z19" s="639"/>
      <c r="AA19" s="639"/>
      <c r="AB19" s="639"/>
      <c r="AC19" s="1436"/>
      <c r="AD19" s="639"/>
      <c r="AE19" s="1438"/>
      <c r="AF19" s="1440"/>
      <c r="AG19" s="639"/>
      <c r="AH19" s="640"/>
      <c r="AI19" s="589"/>
      <c r="AJ19" s="375"/>
      <c r="AK19" s="1342" t="str">
        <f>Codes!$C$156</f>
        <v>AG - Automated Guideway (DO)</v>
      </c>
      <c r="AL19" s="1182" t="str">
        <f>Valid!$B$87</f>
        <v>Substation Building</v>
      </c>
      <c r="AM19" s="1378"/>
      <c r="AN19" s="1403" t="str">
        <f>Valid!$C$87</f>
        <v>Each</v>
      </c>
      <c r="AO19" s="1443"/>
      <c r="AP19" s="1403"/>
      <c r="AQ19" s="1191"/>
      <c r="AR19" s="1309"/>
      <c r="AS19" s="1191"/>
      <c r="AT19" s="1191"/>
      <c r="AU19" s="1191"/>
      <c r="AV19" s="1191"/>
      <c r="AW19" s="1191"/>
      <c r="AX19" s="1191"/>
      <c r="AY19" s="1191"/>
      <c r="AZ19" s="1191"/>
      <c r="BA19" s="1191"/>
      <c r="BB19" s="1191"/>
      <c r="BC19" s="1411">
        <f t="shared" ref="BC19:BC50" si="2">SUM(AS19:BB19)</f>
        <v>0</v>
      </c>
      <c r="BD19" s="1191"/>
      <c r="BE19" s="1192"/>
      <c r="BG19" s="588" t="b">
        <f>IF(OR(AK19='A-50 FGRailInv'!$C$13,AK19='A-50 FGRailInv'!$C$69,AK19='A-50 FGRailInv'!$C$124,AK19='A-50 FGRailInv'!$C$179,AK19='A-50 FGRailInv'!$C$234,AK19='A-50 FGRailInv'!$C$290,AK19='A-50 FGRailInv'!$C$346,AK19='A-50 FGRailInv'!$C$402,AK19='A-50 FGRailInv'!$C$458,AK19='A-50 FGRailInv'!$C$514),TRUE,FALSE)</f>
        <v>0</v>
      </c>
      <c r="BJ19" s="1045" t="str">
        <f>Codes!$C$157</f>
        <v>AG - Automated Guideway (PT)</v>
      </c>
      <c r="BK19" s="1046" t="str">
        <f>Valid!$B$82</f>
        <v>Double Diamond Crossover</v>
      </c>
      <c r="BL19" s="1330"/>
      <c r="BM19" s="1046" t="str">
        <f>VLOOKUP(BK19,Valid!$B$80:$C$86,2,FALSE)</f>
        <v>Each</v>
      </c>
      <c r="BN19" s="1338"/>
      <c r="BO19" s="1339"/>
      <c r="BP19" s="1340"/>
      <c r="BR19" s="588" t="b">
        <f>IF(OR(BJ19='A-55 TrackInv'!$C$13,BJ19='A-55 TrackInv'!$C$44,BJ19='A-55 TrackInv'!$C$75,BJ19='A-55 TrackInv'!$C$106,BJ19='A-55 TrackInv'!$C$137,BJ19='A-55 TrackInv'!$C$168,BJ19='A-55 TrackInv'!$C$199,BJ19='A-55 TrackInv'!$C$230,BJ19='A-55 TrackInv'!$C$261,BJ19='A-55 TrackInv'!$C$292),TRUE,FALSE)</f>
        <v>0</v>
      </c>
      <c r="BU19" s="1489"/>
      <c r="BV19" s="1212"/>
      <c r="BW19" s="1004"/>
      <c r="BX19" s="999"/>
      <c r="BY19" s="999"/>
      <c r="BZ19" s="999"/>
      <c r="CA19" s="999"/>
      <c r="CB19" s="999"/>
      <c r="CC19" s="1165"/>
      <c r="CF19" s="1036"/>
      <c r="CG19" s="1004"/>
      <c r="CH19" s="1004"/>
      <c r="CI19" s="1004"/>
      <c r="CJ19" s="1004"/>
      <c r="CK19" s="1044"/>
      <c r="CL19" s="1163"/>
      <c r="CM19" s="1163"/>
      <c r="CN19" s="647"/>
      <c r="CO19" s="647"/>
      <c r="CP19" s="1163"/>
      <c r="CQ19" s="639"/>
      <c r="CR19" s="647"/>
      <c r="CS19" s="1171"/>
      <c r="CT19" s="1001"/>
      <c r="CU19" s="647"/>
      <c r="CV19" s="1001"/>
      <c r="CW19" s="647"/>
      <c r="CX19" s="1009"/>
      <c r="CY19" s="1009"/>
      <c r="CZ19" s="1163"/>
      <c r="DA19" s="1004"/>
      <c r="DB19" s="1004"/>
      <c r="DC19" s="1004"/>
      <c r="DD19" s="1004"/>
      <c r="DE19" s="1004"/>
      <c r="DF19" s="639"/>
      <c r="DG19" s="1019"/>
    </row>
    <row r="20" spans="1:111" s="588" customFormat="1" x14ac:dyDescent="0.2">
      <c r="A20" s="589">
        <f t="shared" si="1"/>
        <v>11</v>
      </c>
      <c r="B20" s="644"/>
      <c r="C20" s="1420"/>
      <c r="D20" s="639"/>
      <c r="E20" s="639"/>
      <c r="F20" s="639"/>
      <c r="G20" s="639"/>
      <c r="H20" s="639"/>
      <c r="I20" s="639"/>
      <c r="J20" s="639"/>
      <c r="K20" s="1436"/>
      <c r="L20" s="1438"/>
      <c r="M20" s="1440"/>
      <c r="N20" s="639"/>
      <c r="O20" s="640"/>
      <c r="Q20" s="589"/>
      <c r="R20" s="644"/>
      <c r="S20" s="1420"/>
      <c r="T20" s="639"/>
      <c r="U20" s="639"/>
      <c r="V20" s="639"/>
      <c r="W20" s="639"/>
      <c r="X20" s="639"/>
      <c r="Y20" s="639"/>
      <c r="Z20" s="639"/>
      <c r="AA20" s="639"/>
      <c r="AB20" s="639"/>
      <c r="AC20" s="1436"/>
      <c r="AD20" s="639"/>
      <c r="AE20" s="1438"/>
      <c r="AF20" s="1440"/>
      <c r="AG20" s="639"/>
      <c r="AH20" s="640"/>
      <c r="AI20" s="589"/>
      <c r="AJ20" s="375"/>
      <c r="AK20" s="1343" t="str">
        <f>Codes!$C$156</f>
        <v>AG - Automated Guideway (DO)</v>
      </c>
      <c r="AL20" s="1042" t="str">
        <f>Valid!$B$88</f>
        <v>Substation Equipment</v>
      </c>
      <c r="AM20" s="1209"/>
      <c r="AN20" s="1401"/>
      <c r="AO20" s="1444"/>
      <c r="AP20" s="1401"/>
      <c r="AQ20" s="1193"/>
      <c r="AR20" s="1310"/>
      <c r="AS20" s="1194"/>
      <c r="AT20" s="1194"/>
      <c r="AU20" s="1194"/>
      <c r="AV20" s="1194"/>
      <c r="AW20" s="1194"/>
      <c r="AX20" s="1194"/>
      <c r="AY20" s="1194"/>
      <c r="AZ20" s="1194"/>
      <c r="BA20" s="1194"/>
      <c r="BB20" s="1194"/>
      <c r="BC20" s="1412">
        <f t="shared" si="2"/>
        <v>0</v>
      </c>
      <c r="BD20" s="1193"/>
      <c r="BE20" s="1195"/>
      <c r="BG20" s="588" t="b">
        <f>IF(OR(AK20='A-50 FGRailInv'!$C$13,AK20='A-50 FGRailInv'!$C$69,AK20='A-50 FGRailInv'!$C$124,AK20='A-50 FGRailInv'!$C$179,AK20='A-50 FGRailInv'!$C$234,AK20='A-50 FGRailInv'!$C$290,AK20='A-50 FGRailInv'!$C$346,AK20='A-50 FGRailInv'!$C$402,AK20='A-50 FGRailInv'!$C$458,AK20='A-50 FGRailInv'!$C$514),TRUE,FALSE)</f>
        <v>0</v>
      </c>
      <c r="BJ20" s="1041" t="str">
        <f>Codes!$C$157</f>
        <v>AG - Automated Guideway (PT)</v>
      </c>
      <c r="BK20" s="1042" t="str">
        <f>Valid!$B$83</f>
        <v>Single Crossover</v>
      </c>
      <c r="BL20" s="1382"/>
      <c r="BM20" s="1042" t="str">
        <f>VLOOKUP(BK20,Valid!$B$80:$C$86,2,FALSE)</f>
        <v>Each</v>
      </c>
      <c r="BN20" s="1383"/>
      <c r="BO20" s="1194"/>
      <c r="BP20" s="1195"/>
      <c r="BR20" s="588" t="b">
        <f>IF(OR(BJ20='A-55 TrackInv'!$C$13,BJ20='A-55 TrackInv'!$C$44,BJ20='A-55 TrackInv'!$C$75,BJ20='A-55 TrackInv'!$C$106,BJ20='A-55 TrackInv'!$C$137,BJ20='A-55 TrackInv'!$C$168,BJ20='A-55 TrackInv'!$C$199,BJ20='A-55 TrackInv'!$C$230,BJ20='A-55 TrackInv'!$C$261,BJ20='A-55 TrackInv'!$C$292),TRUE,FALSE)</f>
        <v>0</v>
      </c>
      <c r="BU20" s="1489"/>
      <c r="BV20" s="1212"/>
      <c r="BW20" s="1004"/>
      <c r="BX20" s="999"/>
      <c r="BY20" s="999"/>
      <c r="BZ20" s="999"/>
      <c r="CA20" s="999"/>
      <c r="CB20" s="999"/>
      <c r="CC20" s="1165"/>
      <c r="CF20" s="1036"/>
      <c r="CG20" s="1004"/>
      <c r="CH20" s="1004"/>
      <c r="CI20" s="1004"/>
      <c r="CJ20" s="1004"/>
      <c r="CK20" s="1044"/>
      <c r="CL20" s="1163"/>
      <c r="CM20" s="1163"/>
      <c r="CN20" s="647"/>
      <c r="CO20" s="647"/>
      <c r="CP20" s="1163"/>
      <c r="CQ20" s="639"/>
      <c r="CR20" s="647"/>
      <c r="CS20" s="1171"/>
      <c r="CT20" s="1001"/>
      <c r="CU20" s="647"/>
      <c r="CV20" s="1001"/>
      <c r="CW20" s="647"/>
      <c r="CX20" s="1009"/>
      <c r="CY20" s="1009"/>
      <c r="CZ20" s="1163"/>
      <c r="DA20" s="1004"/>
      <c r="DB20" s="1004"/>
      <c r="DC20" s="1004"/>
      <c r="DD20" s="1004"/>
      <c r="DE20" s="1004"/>
      <c r="DF20" s="639"/>
      <c r="DG20" s="1019"/>
    </row>
    <row r="21" spans="1:111" s="588" customFormat="1" x14ac:dyDescent="0.2">
      <c r="A21" s="589">
        <f t="shared" si="1"/>
        <v>12</v>
      </c>
      <c r="B21" s="644"/>
      <c r="C21" s="1420"/>
      <c r="D21" s="639"/>
      <c r="E21" s="639"/>
      <c r="F21" s="639"/>
      <c r="G21" s="639"/>
      <c r="H21" s="639"/>
      <c r="I21" s="639"/>
      <c r="J21" s="639"/>
      <c r="K21" s="1436"/>
      <c r="L21" s="1438"/>
      <c r="M21" s="1440"/>
      <c r="N21" s="639"/>
      <c r="O21" s="640"/>
      <c r="Q21" s="589"/>
      <c r="R21" s="644"/>
      <c r="S21" s="1420"/>
      <c r="T21" s="639"/>
      <c r="U21" s="639"/>
      <c r="V21" s="639"/>
      <c r="W21" s="639"/>
      <c r="X21" s="639"/>
      <c r="Y21" s="639"/>
      <c r="Z21" s="639"/>
      <c r="AA21" s="639"/>
      <c r="AB21" s="639"/>
      <c r="AC21" s="1436"/>
      <c r="AD21" s="639"/>
      <c r="AE21" s="1438"/>
      <c r="AF21" s="1440"/>
      <c r="AG21" s="639"/>
      <c r="AH21" s="640"/>
      <c r="AI21" s="589"/>
      <c r="AJ21" s="375"/>
      <c r="AK21" s="1343" t="str">
        <f>Codes!$C$156</f>
        <v>AG - Automated Guideway (DO)</v>
      </c>
      <c r="AL21" s="1042" t="str">
        <f>Valid!$B$89</f>
        <v>Third Rail/Power Distribution</v>
      </c>
      <c r="AM21" s="1209"/>
      <c r="AN21" s="1401"/>
      <c r="AO21" s="1444"/>
      <c r="AP21" s="1401"/>
      <c r="AQ21" s="1193"/>
      <c r="AR21" s="1310"/>
      <c r="AS21" s="1194"/>
      <c r="AT21" s="1194"/>
      <c r="AU21" s="1194"/>
      <c r="AV21" s="1194"/>
      <c r="AW21" s="1194"/>
      <c r="AX21" s="1194"/>
      <c r="AY21" s="1194"/>
      <c r="AZ21" s="1194"/>
      <c r="BA21" s="1194"/>
      <c r="BB21" s="1194"/>
      <c r="BC21" s="1412">
        <f t="shared" si="2"/>
        <v>0</v>
      </c>
      <c r="BD21" s="1193"/>
      <c r="BE21" s="1195"/>
      <c r="BG21" s="588" t="b">
        <f>IF(OR(AK21='A-50 FGRailInv'!$C$13,AK21='A-50 FGRailInv'!$C$69,AK21='A-50 FGRailInv'!$C$124,AK21='A-50 FGRailInv'!$C$179,AK21='A-50 FGRailInv'!$C$234,AK21='A-50 FGRailInv'!$C$290,AK21='A-50 FGRailInv'!$C$346,AK21='A-50 FGRailInv'!$C$402,AK21='A-50 FGRailInv'!$C$458,AK21='A-50 FGRailInv'!$C$514),TRUE,FALSE)</f>
        <v>0</v>
      </c>
      <c r="BJ21" s="1041" t="str">
        <f>Codes!$C$157</f>
        <v>AG - Automated Guideway (PT)</v>
      </c>
      <c r="BK21" s="1042" t="str">
        <f>Valid!$B$84</f>
        <v>Half Grand Union</v>
      </c>
      <c r="BL21" s="1382"/>
      <c r="BM21" s="1042" t="str">
        <f>VLOOKUP(BK21,Valid!$B$80:$C$86,2,FALSE)</f>
        <v>Each</v>
      </c>
      <c r="BN21" s="1383"/>
      <c r="BO21" s="1194"/>
      <c r="BP21" s="1195"/>
      <c r="BR21" s="588" t="b">
        <f>IF(OR(BJ21='A-55 TrackInv'!$C$13,BJ21='A-55 TrackInv'!$C$44,BJ21='A-55 TrackInv'!$C$75,BJ21='A-55 TrackInv'!$C$106,BJ21='A-55 TrackInv'!$C$137,BJ21='A-55 TrackInv'!$C$168,BJ21='A-55 TrackInv'!$C$199,BJ21='A-55 TrackInv'!$C$230,BJ21='A-55 TrackInv'!$C$261,BJ21='A-55 TrackInv'!$C$292),TRUE,FALSE)</f>
        <v>0</v>
      </c>
      <c r="BU21" s="1489"/>
      <c r="BV21" s="1212"/>
      <c r="BW21" s="1004"/>
      <c r="BX21" s="999"/>
      <c r="BY21" s="999"/>
      <c r="BZ21" s="999"/>
      <c r="CA21" s="999"/>
      <c r="CB21" s="999"/>
      <c r="CC21" s="1165"/>
      <c r="CF21" s="1036"/>
      <c r="CG21" s="1004"/>
      <c r="CH21" s="1004"/>
      <c r="CI21" s="1004"/>
      <c r="CJ21" s="1004"/>
      <c r="CK21" s="1044"/>
      <c r="CL21" s="1163"/>
      <c r="CM21" s="1163"/>
      <c r="CN21" s="647"/>
      <c r="CO21" s="647"/>
      <c r="CP21" s="1163"/>
      <c r="CQ21" s="639"/>
      <c r="CR21" s="647"/>
      <c r="CS21" s="1171"/>
      <c r="CT21" s="1001"/>
      <c r="CU21" s="647"/>
      <c r="CV21" s="1001"/>
      <c r="CW21" s="647"/>
      <c r="CX21" s="1009"/>
      <c r="CY21" s="1009"/>
      <c r="CZ21" s="1163"/>
      <c r="DA21" s="1004"/>
      <c r="DB21" s="1004"/>
      <c r="DC21" s="1004"/>
      <c r="DD21" s="1004"/>
      <c r="DE21" s="1004"/>
      <c r="DF21" s="639"/>
      <c r="DG21" s="1019"/>
    </row>
    <row r="22" spans="1:111" s="588" customFormat="1" x14ac:dyDescent="0.2">
      <c r="A22" s="589">
        <f t="shared" si="1"/>
        <v>13</v>
      </c>
      <c r="B22" s="644"/>
      <c r="C22" s="1420"/>
      <c r="D22" s="639"/>
      <c r="E22" s="639"/>
      <c r="F22" s="639"/>
      <c r="G22" s="639"/>
      <c r="H22" s="639"/>
      <c r="I22" s="639"/>
      <c r="J22" s="639"/>
      <c r="K22" s="1436"/>
      <c r="L22" s="1438"/>
      <c r="M22" s="1440"/>
      <c r="N22" s="639"/>
      <c r="O22" s="640"/>
      <c r="Q22" s="589"/>
      <c r="R22" s="644"/>
      <c r="S22" s="1420"/>
      <c r="T22" s="639"/>
      <c r="U22" s="639"/>
      <c r="V22" s="639"/>
      <c r="W22" s="639"/>
      <c r="X22" s="639"/>
      <c r="Y22" s="639"/>
      <c r="Z22" s="639"/>
      <c r="AA22" s="639"/>
      <c r="AB22" s="639"/>
      <c r="AC22" s="1436"/>
      <c r="AD22" s="639"/>
      <c r="AE22" s="1438"/>
      <c r="AF22" s="1440"/>
      <c r="AG22" s="639"/>
      <c r="AH22" s="640"/>
      <c r="AI22" s="589"/>
      <c r="AJ22" s="375"/>
      <c r="AK22" s="1343" t="str">
        <f>Codes!$C$156</f>
        <v>AG - Automated Guideway (DO)</v>
      </c>
      <c r="AL22" s="1042" t="str">
        <f>Valid!$B$90</f>
        <v>Overhead Contact System/Power Distribution</v>
      </c>
      <c r="AM22" s="1209"/>
      <c r="AN22" s="1401"/>
      <c r="AO22" s="1444"/>
      <c r="AP22" s="1401"/>
      <c r="AQ22" s="1193"/>
      <c r="AR22" s="1310"/>
      <c r="AS22" s="1194"/>
      <c r="AT22" s="1194"/>
      <c r="AU22" s="1194"/>
      <c r="AV22" s="1194"/>
      <c r="AW22" s="1194"/>
      <c r="AX22" s="1194"/>
      <c r="AY22" s="1194"/>
      <c r="AZ22" s="1194"/>
      <c r="BA22" s="1194"/>
      <c r="BB22" s="1194"/>
      <c r="BC22" s="1412">
        <f t="shared" si="2"/>
        <v>0</v>
      </c>
      <c r="BD22" s="1193"/>
      <c r="BE22" s="1195"/>
      <c r="BG22" s="588" t="b">
        <f>IF(OR(AK22='A-50 FGRailInv'!$C$13,AK22='A-50 FGRailInv'!$C$69,AK22='A-50 FGRailInv'!$C$124,AK22='A-50 FGRailInv'!$C$179,AK22='A-50 FGRailInv'!$C$234,AK22='A-50 FGRailInv'!$C$290,AK22='A-50 FGRailInv'!$C$346,AK22='A-50 FGRailInv'!$C$402,AK22='A-50 FGRailInv'!$C$458,AK22='A-50 FGRailInv'!$C$514),TRUE,FALSE)</f>
        <v>0</v>
      </c>
      <c r="BJ22" s="1041" t="str">
        <f>Codes!$C$157</f>
        <v>AG - Automated Guideway (PT)</v>
      </c>
      <c r="BK22" s="1042" t="str">
        <f>Valid!$B$85</f>
        <v>Single Turnout</v>
      </c>
      <c r="BL22" s="1382"/>
      <c r="BM22" s="1042" t="str">
        <f>VLOOKUP(BK22,Valid!$B$80:$C$86,2,FALSE)</f>
        <v>Each</v>
      </c>
      <c r="BN22" s="1383"/>
      <c r="BO22" s="1194"/>
      <c r="BP22" s="1195"/>
      <c r="BR22" s="588" t="b">
        <f>IF(OR(BJ22='A-55 TrackInv'!$C$13,BJ22='A-55 TrackInv'!$C$44,BJ22='A-55 TrackInv'!$C$75,BJ22='A-55 TrackInv'!$C$106,BJ22='A-55 TrackInv'!$C$137,BJ22='A-55 TrackInv'!$C$168,BJ22='A-55 TrackInv'!$C$199,BJ22='A-55 TrackInv'!$C$230,BJ22='A-55 TrackInv'!$C$261,BJ22='A-55 TrackInv'!$C$292),TRUE,FALSE)</f>
        <v>0</v>
      </c>
      <c r="BU22" s="1489"/>
      <c r="BV22" s="1212"/>
      <c r="BW22" s="1004"/>
      <c r="BX22" s="999"/>
      <c r="BY22" s="999"/>
      <c r="BZ22" s="999"/>
      <c r="CA22" s="999"/>
      <c r="CB22" s="999"/>
      <c r="CC22" s="1165"/>
      <c r="CF22" s="1036"/>
      <c r="CG22" s="1004"/>
      <c r="CH22" s="1004"/>
      <c r="CI22" s="1004"/>
      <c r="CJ22" s="1004"/>
      <c r="CK22" s="1044"/>
      <c r="CL22" s="1163"/>
      <c r="CM22" s="1163"/>
      <c r="CN22" s="647"/>
      <c r="CO22" s="647"/>
      <c r="CP22" s="1163"/>
      <c r="CQ22" s="639"/>
      <c r="CR22" s="647"/>
      <c r="CS22" s="1171"/>
      <c r="CT22" s="1001"/>
      <c r="CU22" s="647"/>
      <c r="CV22" s="1001"/>
      <c r="CW22" s="647"/>
      <c r="CX22" s="1009"/>
      <c r="CY22" s="1009"/>
      <c r="CZ22" s="1163"/>
      <c r="DA22" s="1004"/>
      <c r="DB22" s="1004"/>
      <c r="DC22" s="1004"/>
      <c r="DD22" s="1004"/>
      <c r="DE22" s="1004"/>
      <c r="DF22" s="639"/>
      <c r="DG22" s="1019"/>
    </row>
    <row r="23" spans="1:111" s="588" customFormat="1" ht="13.5" thickBot="1" x14ac:dyDescent="0.25">
      <c r="A23" s="589">
        <f t="shared" si="1"/>
        <v>14</v>
      </c>
      <c r="B23" s="644"/>
      <c r="C23" s="1420"/>
      <c r="D23" s="639"/>
      <c r="E23" s="639"/>
      <c r="F23" s="639"/>
      <c r="G23" s="639"/>
      <c r="H23" s="639"/>
      <c r="I23" s="639"/>
      <c r="J23" s="639"/>
      <c r="K23" s="1436"/>
      <c r="L23" s="1438"/>
      <c r="M23" s="1440"/>
      <c r="N23" s="639"/>
      <c r="O23" s="640"/>
      <c r="Q23" s="589"/>
      <c r="R23" s="644"/>
      <c r="S23" s="1420"/>
      <c r="T23" s="639"/>
      <c r="U23" s="639"/>
      <c r="V23" s="639"/>
      <c r="W23" s="639"/>
      <c r="X23" s="639"/>
      <c r="Y23" s="639"/>
      <c r="Z23" s="639"/>
      <c r="AA23" s="639"/>
      <c r="AB23" s="639"/>
      <c r="AC23" s="1436"/>
      <c r="AD23" s="639"/>
      <c r="AE23" s="1438"/>
      <c r="AF23" s="1440"/>
      <c r="AG23" s="639"/>
      <c r="AH23" s="640"/>
      <c r="AI23" s="589"/>
      <c r="AJ23" s="375"/>
      <c r="AK23" s="1344" t="str">
        <f>Codes!$C$156</f>
        <v>AG - Automated Guideway (DO)</v>
      </c>
      <c r="AL23" s="1050" t="str">
        <f>Valid!$B$91</f>
        <v>Train Control &amp; Signaling</v>
      </c>
      <c r="AM23" s="1210"/>
      <c r="AN23" s="1404"/>
      <c r="AO23" s="1445"/>
      <c r="AP23" s="1404"/>
      <c r="AQ23" s="1196"/>
      <c r="AR23" s="1311"/>
      <c r="AS23" s="1197"/>
      <c r="AT23" s="1197"/>
      <c r="AU23" s="1197"/>
      <c r="AV23" s="1197"/>
      <c r="AW23" s="1197"/>
      <c r="AX23" s="1197"/>
      <c r="AY23" s="1197"/>
      <c r="AZ23" s="1197"/>
      <c r="BA23" s="1197"/>
      <c r="BB23" s="1197"/>
      <c r="BC23" s="1413">
        <f t="shared" si="2"/>
        <v>0</v>
      </c>
      <c r="BD23" s="1196"/>
      <c r="BE23" s="1198"/>
      <c r="BG23" s="588" t="b">
        <f>IF(OR(AK23='A-50 FGRailInv'!$C$13,AK23='A-50 FGRailInv'!$C$69,AK23='A-50 FGRailInv'!$C$124,AK23='A-50 FGRailInv'!$C$179,AK23='A-50 FGRailInv'!$C$234,AK23='A-50 FGRailInv'!$C$290,AK23='A-50 FGRailInv'!$C$346,AK23='A-50 FGRailInv'!$C$402,AK23='A-50 FGRailInv'!$C$458,AK23='A-50 FGRailInv'!$C$514),TRUE,FALSE)</f>
        <v>0</v>
      </c>
      <c r="BJ23" s="1047" t="str">
        <f>Codes!$C$157</f>
        <v>AG - Automated Guideway (PT)</v>
      </c>
      <c r="BK23" s="1050" t="str">
        <f>Valid!$B$86</f>
        <v>Grade Crossings</v>
      </c>
      <c r="BL23" s="1331"/>
      <c r="BM23" s="1050" t="str">
        <f>VLOOKUP(BK23,Valid!$B$80:$C$86,2,FALSE)</f>
        <v>Each</v>
      </c>
      <c r="BN23" s="1341"/>
      <c r="BO23" s="1197"/>
      <c r="BP23" s="1198"/>
      <c r="BR23" s="588" t="b">
        <f>IF(OR(BJ23='A-55 TrackInv'!$C$13,BJ23='A-55 TrackInv'!$C$44,BJ23='A-55 TrackInv'!$C$75,BJ23='A-55 TrackInv'!$C$106,BJ23='A-55 TrackInv'!$C$137,BJ23='A-55 TrackInv'!$C$168,BJ23='A-55 TrackInv'!$C$199,BJ23='A-55 TrackInv'!$C$230,BJ23='A-55 TrackInv'!$C$261,BJ23='A-55 TrackInv'!$C$292),TRUE,FALSE)</f>
        <v>0</v>
      </c>
      <c r="BU23" s="1489"/>
      <c r="BV23" s="1212"/>
      <c r="BW23" s="1004"/>
      <c r="BX23" s="999"/>
      <c r="BY23" s="999"/>
      <c r="BZ23" s="999"/>
      <c r="CA23" s="999"/>
      <c r="CB23" s="999"/>
      <c r="CC23" s="1165"/>
      <c r="CF23" s="1036"/>
      <c r="CG23" s="1004"/>
      <c r="CH23" s="1004"/>
      <c r="CI23" s="1004"/>
      <c r="CJ23" s="1004"/>
      <c r="CK23" s="1044"/>
      <c r="CL23" s="1163"/>
      <c r="CM23" s="1163"/>
      <c r="CN23" s="647"/>
      <c r="CO23" s="647"/>
      <c r="CP23" s="1163"/>
      <c r="CQ23" s="639"/>
      <c r="CR23" s="647"/>
      <c r="CS23" s="1171"/>
      <c r="CT23" s="1001"/>
      <c r="CU23" s="647"/>
      <c r="CV23" s="1001"/>
      <c r="CW23" s="647"/>
      <c r="CX23" s="1009"/>
      <c r="CY23" s="1009"/>
      <c r="CZ23" s="1163"/>
      <c r="DA23" s="1004"/>
      <c r="DB23" s="1004"/>
      <c r="DC23" s="1004"/>
      <c r="DD23" s="1004"/>
      <c r="DE23" s="1004"/>
      <c r="DF23" s="639"/>
      <c r="DG23" s="1019"/>
    </row>
    <row r="24" spans="1:111" s="588" customFormat="1" x14ac:dyDescent="0.2">
      <c r="A24" s="589">
        <f t="shared" si="1"/>
        <v>15</v>
      </c>
      <c r="B24" s="644"/>
      <c r="C24" s="1420"/>
      <c r="D24" s="639"/>
      <c r="E24" s="639"/>
      <c r="F24" s="639"/>
      <c r="G24" s="639"/>
      <c r="H24" s="639"/>
      <c r="I24" s="639"/>
      <c r="J24" s="639"/>
      <c r="K24" s="1436"/>
      <c r="L24" s="1438"/>
      <c r="M24" s="1440"/>
      <c r="N24" s="639"/>
      <c r="O24" s="640"/>
      <c r="Q24" s="589"/>
      <c r="R24" s="644"/>
      <c r="S24" s="1420"/>
      <c r="T24" s="639"/>
      <c r="U24" s="639"/>
      <c r="V24" s="639"/>
      <c r="W24" s="639"/>
      <c r="X24" s="639"/>
      <c r="Y24" s="639"/>
      <c r="Z24" s="639"/>
      <c r="AA24" s="639"/>
      <c r="AB24" s="639"/>
      <c r="AC24" s="1436"/>
      <c r="AD24" s="639"/>
      <c r="AE24" s="1438"/>
      <c r="AF24" s="1440"/>
      <c r="AG24" s="639"/>
      <c r="AH24" s="640"/>
      <c r="AI24" s="589"/>
      <c r="AJ24" s="375"/>
      <c r="AK24" s="1043" t="str">
        <f>Codes!$C$157</f>
        <v>AG - Automated Guideway (PT)</v>
      </c>
      <c r="AL24" s="1303" t="str">
        <f>Valid!$B$71</f>
        <v>At-Grade/Ballast (including expressway)</v>
      </c>
      <c r="AM24" s="1003"/>
      <c r="AN24" s="1400" t="str">
        <f>Valid!$C$71</f>
        <v>Linear Feet</v>
      </c>
      <c r="AO24" s="1446"/>
      <c r="AP24" s="1400" t="s">
        <v>1149</v>
      </c>
      <c r="AQ24" s="1012"/>
      <c r="AR24" s="1312"/>
      <c r="AS24" s="1304"/>
      <c r="AT24" s="1304"/>
      <c r="AU24" s="1304"/>
      <c r="AV24" s="1304"/>
      <c r="AW24" s="1304"/>
      <c r="AX24" s="1304"/>
      <c r="AY24" s="1304"/>
      <c r="AZ24" s="1304"/>
      <c r="BA24" s="1304"/>
      <c r="BB24" s="1304"/>
      <c r="BC24" s="1408">
        <f t="shared" si="2"/>
        <v>0</v>
      </c>
      <c r="BD24" s="1007"/>
      <c r="BE24" s="1305"/>
      <c r="BG24" s="588" t="b">
        <f>IF(OR(AK24='A-50 FGRailInv'!$C$13,AK24='A-50 FGRailInv'!$C$69,AK24='A-50 FGRailInv'!$C$124,AK24='A-50 FGRailInv'!$C$179,AK24='A-50 FGRailInv'!$C$234,AK24='A-50 FGRailInv'!$C$290,AK24='A-50 FGRailInv'!$C$346,AK24='A-50 FGRailInv'!$C$402,AK24='A-50 FGRailInv'!$C$458,AK24='A-50 FGRailInv'!$C$514),TRUE,FALSE)</f>
        <v>0</v>
      </c>
      <c r="BJ24" s="1043" t="str">
        <f>Codes!$C$158</f>
        <v>AR - Alaska Railroad</v>
      </c>
      <c r="BK24" s="1303" t="str">
        <f>Valid!$B$80</f>
        <v>Tangent</v>
      </c>
      <c r="BL24" s="1328"/>
      <c r="BM24" s="1303" t="str">
        <f>VLOOKUP(BK24,Valid!$B$80:$C$86,2,FALSE)</f>
        <v>Track Feet</v>
      </c>
      <c r="BN24" s="1332"/>
      <c r="BO24" s="1333"/>
      <c r="BP24" s="1334"/>
      <c r="BR24" s="588" t="b">
        <f>IF(OR(BJ24='A-55 TrackInv'!$C$13,BJ24='A-55 TrackInv'!$C$44,BJ24='A-55 TrackInv'!$C$75,BJ24='A-55 TrackInv'!$C$106,BJ24='A-55 TrackInv'!$C$137,BJ24='A-55 TrackInv'!$C$168,BJ24='A-55 TrackInv'!$C$199,BJ24='A-55 TrackInv'!$C$230,BJ24='A-55 TrackInv'!$C$261,BJ24='A-55 TrackInv'!$C$292),TRUE,FALSE)</f>
        <v>0</v>
      </c>
      <c r="BU24" s="1489"/>
      <c r="BV24" s="1212"/>
      <c r="BW24" s="1004"/>
      <c r="BX24" s="999"/>
      <c r="BY24" s="999"/>
      <c r="BZ24" s="999"/>
      <c r="CA24" s="999"/>
      <c r="CB24" s="999"/>
      <c r="CC24" s="1165"/>
      <c r="CF24" s="1036"/>
      <c r="CG24" s="1004"/>
      <c r="CH24" s="1004"/>
      <c r="CI24" s="1004"/>
      <c r="CJ24" s="1004"/>
      <c r="CK24" s="1044"/>
      <c r="CL24" s="1163"/>
      <c r="CM24" s="1163"/>
      <c r="CN24" s="647"/>
      <c r="CO24" s="647"/>
      <c r="CP24" s="1163"/>
      <c r="CQ24" s="639"/>
      <c r="CR24" s="647"/>
      <c r="CS24" s="1171"/>
      <c r="CT24" s="1001"/>
      <c r="CU24" s="647"/>
      <c r="CV24" s="1001"/>
      <c r="CW24" s="647"/>
      <c r="CX24" s="1009"/>
      <c r="CY24" s="1009"/>
      <c r="CZ24" s="1163"/>
      <c r="DA24" s="1004"/>
      <c r="DB24" s="1004"/>
      <c r="DC24" s="1004"/>
      <c r="DD24" s="1004"/>
      <c r="DE24" s="1004"/>
      <c r="DF24" s="639"/>
      <c r="DG24" s="1019"/>
    </row>
    <row r="25" spans="1:111" s="588" customFormat="1" ht="13.5" thickBot="1" x14ac:dyDescent="0.25">
      <c r="A25" s="589">
        <f t="shared" si="1"/>
        <v>16</v>
      </c>
      <c r="B25" s="644"/>
      <c r="C25" s="1420"/>
      <c r="D25" s="639"/>
      <c r="E25" s="639"/>
      <c r="F25" s="639"/>
      <c r="G25" s="639"/>
      <c r="H25" s="639"/>
      <c r="I25" s="639"/>
      <c r="J25" s="639"/>
      <c r="K25" s="1436"/>
      <c r="L25" s="1438"/>
      <c r="M25" s="1440"/>
      <c r="N25" s="639"/>
      <c r="O25" s="640"/>
      <c r="Q25" s="589"/>
      <c r="R25" s="644"/>
      <c r="S25" s="1420"/>
      <c r="T25" s="639"/>
      <c r="U25" s="639"/>
      <c r="V25" s="639"/>
      <c r="W25" s="639"/>
      <c r="X25" s="639"/>
      <c r="Y25" s="639"/>
      <c r="Z25" s="639"/>
      <c r="AA25" s="639"/>
      <c r="AB25" s="639"/>
      <c r="AC25" s="1436"/>
      <c r="AD25" s="639"/>
      <c r="AE25" s="1438"/>
      <c r="AF25" s="1440"/>
      <c r="AG25" s="639"/>
      <c r="AH25" s="640"/>
      <c r="AI25" s="589"/>
      <c r="AJ25" s="375"/>
      <c r="AK25" s="1041" t="str">
        <f>Codes!$C$157</f>
        <v>AG - Automated Guideway (PT)</v>
      </c>
      <c r="AL25" s="1042" t="str">
        <f>Valid!$B$72</f>
        <v>At-Grade/In-Street/Embedded</v>
      </c>
      <c r="AM25" s="1004"/>
      <c r="AN25" s="1401" t="str">
        <f>Valid!$C$72</f>
        <v>Linear Feet</v>
      </c>
      <c r="AO25" s="1441"/>
      <c r="AP25" s="1401" t="s">
        <v>1149</v>
      </c>
      <c r="AQ25" s="1033"/>
      <c r="AR25" s="1307"/>
      <c r="AS25" s="997"/>
      <c r="AT25" s="997"/>
      <c r="AU25" s="997"/>
      <c r="AV25" s="997"/>
      <c r="AW25" s="997"/>
      <c r="AX25" s="997"/>
      <c r="AY25" s="997"/>
      <c r="AZ25" s="997"/>
      <c r="BA25" s="997"/>
      <c r="BB25" s="997"/>
      <c r="BC25" s="1409">
        <f t="shared" si="2"/>
        <v>0</v>
      </c>
      <c r="BD25" s="999"/>
      <c r="BE25" s="640"/>
      <c r="BG25" s="588" t="b">
        <f>IF(OR(AK25='A-50 FGRailInv'!$C$13,AK25='A-50 FGRailInv'!$C$69,AK25='A-50 FGRailInv'!$C$124,AK25='A-50 FGRailInv'!$C$179,AK25='A-50 FGRailInv'!$C$234,AK25='A-50 FGRailInv'!$C$290,AK25='A-50 FGRailInv'!$C$346,AK25='A-50 FGRailInv'!$C$402,AK25='A-50 FGRailInv'!$C$458,AK25='A-50 FGRailInv'!$C$514),TRUE,FALSE)</f>
        <v>0</v>
      </c>
      <c r="BJ25" s="1048" t="str">
        <f>Codes!$C$158</f>
        <v>AR - Alaska Railroad</v>
      </c>
      <c r="BK25" s="1049" t="str">
        <f>Valid!$B$81</f>
        <v>Curve</v>
      </c>
      <c r="BL25" s="1329"/>
      <c r="BM25" s="1049" t="str">
        <f>VLOOKUP(BK25,Valid!$B$80:$C$86,2,FALSE)</f>
        <v>Track Feet</v>
      </c>
      <c r="BN25" s="1335"/>
      <c r="BO25" s="1336"/>
      <c r="BP25" s="1337"/>
      <c r="BR25" s="588" t="b">
        <f>IF(OR(BJ25='A-55 TrackInv'!$C$13,BJ25='A-55 TrackInv'!$C$44,BJ25='A-55 TrackInv'!$C$75,BJ25='A-55 TrackInv'!$C$106,BJ25='A-55 TrackInv'!$C$137,BJ25='A-55 TrackInv'!$C$168,BJ25='A-55 TrackInv'!$C$199,BJ25='A-55 TrackInv'!$C$230,BJ25='A-55 TrackInv'!$C$261,BJ25='A-55 TrackInv'!$C$292),TRUE,FALSE)</f>
        <v>0</v>
      </c>
      <c r="BU25" s="1489"/>
      <c r="BV25" s="1212"/>
      <c r="BW25" s="1004"/>
      <c r="BX25" s="999"/>
      <c r="BY25" s="999"/>
      <c r="BZ25" s="999"/>
      <c r="CA25" s="999"/>
      <c r="CB25" s="999"/>
      <c r="CC25" s="1165"/>
      <c r="CF25" s="1036"/>
      <c r="CG25" s="1004"/>
      <c r="CH25" s="1004"/>
      <c r="CI25" s="1004"/>
      <c r="CJ25" s="1004"/>
      <c r="CK25" s="1044"/>
      <c r="CL25" s="1163"/>
      <c r="CM25" s="1163"/>
      <c r="CN25" s="647"/>
      <c r="CO25" s="647"/>
      <c r="CP25" s="1163"/>
      <c r="CQ25" s="639"/>
      <c r="CR25" s="647"/>
      <c r="CS25" s="1171"/>
      <c r="CT25" s="1001"/>
      <c r="CU25" s="647"/>
      <c r="CV25" s="1001"/>
      <c r="CW25" s="647"/>
      <c r="CX25" s="1009"/>
      <c r="CY25" s="1009"/>
      <c r="CZ25" s="1163"/>
      <c r="DA25" s="1004"/>
      <c r="DB25" s="1004"/>
      <c r="DC25" s="1004"/>
      <c r="DD25" s="1004"/>
      <c r="DE25" s="1004"/>
      <c r="DF25" s="639"/>
      <c r="DG25" s="1019"/>
    </row>
    <row r="26" spans="1:111" s="588" customFormat="1" ht="13.5" thickTop="1" x14ac:dyDescent="0.2">
      <c r="A26" s="589">
        <f t="shared" si="1"/>
        <v>17</v>
      </c>
      <c r="B26" s="644"/>
      <c r="C26" s="1420"/>
      <c r="D26" s="639"/>
      <c r="E26" s="639"/>
      <c r="F26" s="639"/>
      <c r="G26" s="639"/>
      <c r="H26" s="639"/>
      <c r="I26" s="639"/>
      <c r="J26" s="639"/>
      <c r="K26" s="1436"/>
      <c r="L26" s="1438"/>
      <c r="M26" s="1440"/>
      <c r="N26" s="639"/>
      <c r="O26" s="640"/>
      <c r="Q26" s="589"/>
      <c r="R26" s="644"/>
      <c r="S26" s="1420"/>
      <c r="T26" s="639"/>
      <c r="U26" s="639"/>
      <c r="V26" s="639"/>
      <c r="W26" s="639"/>
      <c r="X26" s="639"/>
      <c r="Y26" s="639"/>
      <c r="Z26" s="639"/>
      <c r="AA26" s="639"/>
      <c r="AB26" s="639"/>
      <c r="AC26" s="1436"/>
      <c r="AD26" s="639"/>
      <c r="AE26" s="1438"/>
      <c r="AF26" s="1440"/>
      <c r="AG26" s="639"/>
      <c r="AH26" s="640"/>
      <c r="AI26" s="589"/>
      <c r="AJ26" s="375"/>
      <c r="AK26" s="1041" t="str">
        <f>Codes!$C$157</f>
        <v>AG - Automated Guideway (PT)</v>
      </c>
      <c r="AL26" s="1042" t="str">
        <f>Valid!$B$73</f>
        <v>Elevated/Retained Fill</v>
      </c>
      <c r="AM26" s="1004"/>
      <c r="AN26" s="1401" t="str">
        <f>Valid!$C$73</f>
        <v>Linear Feet</v>
      </c>
      <c r="AO26" s="1441"/>
      <c r="AP26" s="1401" t="s">
        <v>1149</v>
      </c>
      <c r="AQ26" s="1033"/>
      <c r="AR26" s="1307"/>
      <c r="AS26" s="997"/>
      <c r="AT26" s="997"/>
      <c r="AU26" s="997"/>
      <c r="AV26" s="997"/>
      <c r="AW26" s="997"/>
      <c r="AX26" s="997"/>
      <c r="AY26" s="997"/>
      <c r="AZ26" s="997"/>
      <c r="BA26" s="997"/>
      <c r="BB26" s="997"/>
      <c r="BC26" s="1409">
        <f t="shared" si="2"/>
        <v>0</v>
      </c>
      <c r="BD26" s="999"/>
      <c r="BE26" s="640"/>
      <c r="BG26" s="588" t="b">
        <f>IF(OR(AK26='A-50 FGRailInv'!$C$13,AK26='A-50 FGRailInv'!$C$69,AK26='A-50 FGRailInv'!$C$124,AK26='A-50 FGRailInv'!$C$179,AK26='A-50 FGRailInv'!$C$234,AK26='A-50 FGRailInv'!$C$290,AK26='A-50 FGRailInv'!$C$346,AK26='A-50 FGRailInv'!$C$402,AK26='A-50 FGRailInv'!$C$458,AK26='A-50 FGRailInv'!$C$514),TRUE,FALSE)</f>
        <v>0</v>
      </c>
      <c r="BJ26" s="1045" t="str">
        <f>Codes!$C$158</f>
        <v>AR - Alaska Railroad</v>
      </c>
      <c r="BK26" s="1046" t="str">
        <f>Valid!$B$82</f>
        <v>Double Diamond Crossover</v>
      </c>
      <c r="BL26" s="1330"/>
      <c r="BM26" s="1046" t="str">
        <f>VLOOKUP(BK26,Valid!$B$80:$C$86,2,FALSE)</f>
        <v>Each</v>
      </c>
      <c r="BN26" s="1338"/>
      <c r="BO26" s="1339"/>
      <c r="BP26" s="1340"/>
      <c r="BR26" s="588" t="b">
        <f>IF(OR(BJ26='A-55 TrackInv'!$C$13,BJ26='A-55 TrackInv'!$C$44,BJ26='A-55 TrackInv'!$C$75,BJ26='A-55 TrackInv'!$C$106,BJ26='A-55 TrackInv'!$C$137,BJ26='A-55 TrackInv'!$C$168,BJ26='A-55 TrackInv'!$C$199,BJ26='A-55 TrackInv'!$C$230,BJ26='A-55 TrackInv'!$C$261,BJ26='A-55 TrackInv'!$C$292),TRUE,FALSE)</f>
        <v>0</v>
      </c>
      <c r="BU26" s="1489"/>
      <c r="BV26" s="1212"/>
      <c r="BW26" s="1004"/>
      <c r="BX26" s="999"/>
      <c r="BY26" s="999"/>
      <c r="BZ26" s="999"/>
      <c r="CA26" s="999"/>
      <c r="CB26" s="999"/>
      <c r="CC26" s="1165"/>
      <c r="CF26" s="1036"/>
      <c r="CG26" s="1004"/>
      <c r="CH26" s="1004"/>
      <c r="CI26" s="1004"/>
      <c r="CJ26" s="1004"/>
      <c r="CK26" s="1044"/>
      <c r="CL26" s="1163"/>
      <c r="CM26" s="1163"/>
      <c r="CN26" s="647"/>
      <c r="CO26" s="647"/>
      <c r="CP26" s="1163"/>
      <c r="CQ26" s="639"/>
      <c r="CR26" s="647"/>
      <c r="CS26" s="1171"/>
      <c r="CT26" s="1001"/>
      <c r="CU26" s="647"/>
      <c r="CV26" s="1001"/>
      <c r="CW26" s="647"/>
      <c r="CX26" s="1009"/>
      <c r="CY26" s="1009"/>
      <c r="CZ26" s="1163"/>
      <c r="DA26" s="1004"/>
      <c r="DB26" s="1004"/>
      <c r="DC26" s="1004"/>
      <c r="DD26" s="1004"/>
      <c r="DE26" s="1004"/>
      <c r="DF26" s="639"/>
      <c r="DG26" s="1019"/>
    </row>
    <row r="27" spans="1:111" s="588" customFormat="1" x14ac:dyDescent="0.2">
      <c r="A27" s="589">
        <f t="shared" si="1"/>
        <v>18</v>
      </c>
      <c r="B27" s="644"/>
      <c r="C27" s="1420"/>
      <c r="D27" s="639"/>
      <c r="E27" s="639"/>
      <c r="F27" s="639"/>
      <c r="G27" s="639"/>
      <c r="H27" s="639"/>
      <c r="I27" s="639"/>
      <c r="J27" s="639"/>
      <c r="K27" s="1436"/>
      <c r="L27" s="1438"/>
      <c r="M27" s="1440"/>
      <c r="N27" s="639"/>
      <c r="O27" s="640"/>
      <c r="Q27" s="589"/>
      <c r="R27" s="644"/>
      <c r="S27" s="1420"/>
      <c r="T27" s="639"/>
      <c r="U27" s="639"/>
      <c r="V27" s="639"/>
      <c r="W27" s="639"/>
      <c r="X27" s="639"/>
      <c r="Y27" s="639"/>
      <c r="Z27" s="639"/>
      <c r="AA27" s="639"/>
      <c r="AB27" s="639"/>
      <c r="AC27" s="1436"/>
      <c r="AD27" s="639"/>
      <c r="AE27" s="1438"/>
      <c r="AF27" s="1440"/>
      <c r="AG27" s="639"/>
      <c r="AH27" s="640"/>
      <c r="AI27" s="589"/>
      <c r="AJ27" s="375"/>
      <c r="AK27" s="1041" t="str">
        <f>Codes!$C$157</f>
        <v>AG - Automated Guideway (PT)</v>
      </c>
      <c r="AL27" s="1042" t="str">
        <f>Valid!$B$74</f>
        <v>Elevated/Concrete</v>
      </c>
      <c r="AM27" s="1004"/>
      <c r="AN27" s="1401" t="str">
        <f>Valid!$C$74</f>
        <v>Linear Feet</v>
      </c>
      <c r="AO27" s="1441"/>
      <c r="AP27" s="1401" t="s">
        <v>1149</v>
      </c>
      <c r="AQ27" s="1033"/>
      <c r="AR27" s="1307"/>
      <c r="AS27" s="997"/>
      <c r="AT27" s="997"/>
      <c r="AU27" s="997"/>
      <c r="AV27" s="997"/>
      <c r="AW27" s="997"/>
      <c r="AX27" s="997"/>
      <c r="AY27" s="997"/>
      <c r="AZ27" s="997"/>
      <c r="BA27" s="997"/>
      <c r="BB27" s="997"/>
      <c r="BC27" s="1409">
        <f t="shared" si="2"/>
        <v>0</v>
      </c>
      <c r="BD27" s="999"/>
      <c r="BE27" s="640"/>
      <c r="BG27" s="588" t="b">
        <f>IF(OR(AK27='A-50 FGRailInv'!$C$13,AK27='A-50 FGRailInv'!$C$69,AK27='A-50 FGRailInv'!$C$124,AK27='A-50 FGRailInv'!$C$179,AK27='A-50 FGRailInv'!$C$234,AK27='A-50 FGRailInv'!$C$290,AK27='A-50 FGRailInv'!$C$346,AK27='A-50 FGRailInv'!$C$402,AK27='A-50 FGRailInv'!$C$458,AK27='A-50 FGRailInv'!$C$514),TRUE,FALSE)</f>
        <v>0</v>
      </c>
      <c r="BJ27" s="1041" t="str">
        <f>Codes!$C$158</f>
        <v>AR - Alaska Railroad</v>
      </c>
      <c r="BK27" s="1042" t="str">
        <f>Valid!$B$83</f>
        <v>Single Crossover</v>
      </c>
      <c r="BL27" s="1382"/>
      <c r="BM27" s="1042" t="str">
        <f>VLOOKUP(BK27,Valid!$B$80:$C$86,2,FALSE)</f>
        <v>Each</v>
      </c>
      <c r="BN27" s="1383"/>
      <c r="BO27" s="1194"/>
      <c r="BP27" s="1195"/>
      <c r="BR27" s="588" t="b">
        <f>IF(OR(BJ27='A-55 TrackInv'!$C$13,BJ27='A-55 TrackInv'!$C$44,BJ27='A-55 TrackInv'!$C$75,BJ27='A-55 TrackInv'!$C$106,BJ27='A-55 TrackInv'!$C$137,BJ27='A-55 TrackInv'!$C$168,BJ27='A-55 TrackInv'!$C$199,BJ27='A-55 TrackInv'!$C$230,BJ27='A-55 TrackInv'!$C$261,BJ27='A-55 TrackInv'!$C$292),TRUE,FALSE)</f>
        <v>0</v>
      </c>
      <c r="BU27" s="1489"/>
      <c r="BV27" s="1212"/>
      <c r="BW27" s="1004"/>
      <c r="BX27" s="999"/>
      <c r="BY27" s="999"/>
      <c r="BZ27" s="999"/>
      <c r="CA27" s="999"/>
      <c r="CB27" s="999"/>
      <c r="CC27" s="1165"/>
      <c r="CF27" s="1036"/>
      <c r="CG27" s="1004"/>
      <c r="CH27" s="1004"/>
      <c r="CI27" s="1004"/>
      <c r="CJ27" s="1004"/>
      <c r="CK27" s="1044"/>
      <c r="CL27" s="1163"/>
      <c r="CM27" s="1163"/>
      <c r="CN27" s="647"/>
      <c r="CO27" s="647"/>
      <c r="CP27" s="1163"/>
      <c r="CQ27" s="639"/>
      <c r="CR27" s="647"/>
      <c r="CS27" s="1171"/>
      <c r="CT27" s="1001"/>
      <c r="CU27" s="647"/>
      <c r="CV27" s="1001"/>
      <c r="CW27" s="647"/>
      <c r="CX27" s="1009"/>
      <c r="CY27" s="1009"/>
      <c r="CZ27" s="1163"/>
      <c r="DA27" s="1004"/>
      <c r="DB27" s="1004"/>
      <c r="DC27" s="1004"/>
      <c r="DD27" s="1004"/>
      <c r="DE27" s="1004"/>
      <c r="DF27" s="639"/>
      <c r="DG27" s="1019"/>
    </row>
    <row r="28" spans="1:111" s="588" customFormat="1" x14ac:dyDescent="0.2">
      <c r="A28" s="589">
        <f t="shared" si="1"/>
        <v>19</v>
      </c>
      <c r="B28" s="644"/>
      <c r="C28" s="1420"/>
      <c r="D28" s="639"/>
      <c r="E28" s="639"/>
      <c r="F28" s="639"/>
      <c r="G28" s="639"/>
      <c r="H28" s="639"/>
      <c r="I28" s="639"/>
      <c r="J28" s="639"/>
      <c r="K28" s="1436"/>
      <c r="L28" s="1438"/>
      <c r="M28" s="1440"/>
      <c r="N28" s="639"/>
      <c r="O28" s="640"/>
      <c r="Q28" s="589"/>
      <c r="R28" s="644"/>
      <c r="S28" s="1420"/>
      <c r="T28" s="639"/>
      <c r="U28" s="639"/>
      <c r="V28" s="639"/>
      <c r="W28" s="639"/>
      <c r="X28" s="639"/>
      <c r="Y28" s="639"/>
      <c r="Z28" s="639"/>
      <c r="AA28" s="639"/>
      <c r="AB28" s="639"/>
      <c r="AC28" s="1436"/>
      <c r="AD28" s="639"/>
      <c r="AE28" s="1438"/>
      <c r="AF28" s="1440"/>
      <c r="AG28" s="639"/>
      <c r="AH28" s="640"/>
      <c r="AI28" s="589"/>
      <c r="AJ28" s="375"/>
      <c r="AK28" s="1041" t="str">
        <f>Codes!$C$157</f>
        <v>AG - Automated Guideway (PT)</v>
      </c>
      <c r="AL28" s="1042" t="str">
        <f>Valid!$B$75</f>
        <v>Elevated/Steel Viaduct or Bridge</v>
      </c>
      <c r="AM28" s="1004"/>
      <c r="AN28" s="1401" t="str">
        <f>Valid!$C$75</f>
        <v>Linear Feet</v>
      </c>
      <c r="AO28" s="1441"/>
      <c r="AP28" s="1401" t="s">
        <v>1149</v>
      </c>
      <c r="AQ28" s="1033"/>
      <c r="AR28" s="1307"/>
      <c r="AS28" s="997"/>
      <c r="AT28" s="997"/>
      <c r="AU28" s="997"/>
      <c r="AV28" s="997"/>
      <c r="AW28" s="997"/>
      <c r="AX28" s="997"/>
      <c r="AY28" s="997"/>
      <c r="AZ28" s="997"/>
      <c r="BA28" s="997"/>
      <c r="BB28" s="997"/>
      <c r="BC28" s="1409">
        <f t="shared" si="2"/>
        <v>0</v>
      </c>
      <c r="BD28" s="999"/>
      <c r="BE28" s="640"/>
      <c r="BG28" s="588" t="b">
        <f>IF(OR(AK28='A-50 FGRailInv'!$C$13,AK28='A-50 FGRailInv'!$C$69,AK28='A-50 FGRailInv'!$C$124,AK28='A-50 FGRailInv'!$C$179,AK28='A-50 FGRailInv'!$C$234,AK28='A-50 FGRailInv'!$C$290,AK28='A-50 FGRailInv'!$C$346,AK28='A-50 FGRailInv'!$C$402,AK28='A-50 FGRailInv'!$C$458,AK28='A-50 FGRailInv'!$C$514),TRUE,FALSE)</f>
        <v>0</v>
      </c>
      <c r="BJ28" s="1041" t="str">
        <f>Codes!$C$158</f>
        <v>AR - Alaska Railroad</v>
      </c>
      <c r="BK28" s="1042" t="str">
        <f>Valid!$B$84</f>
        <v>Half Grand Union</v>
      </c>
      <c r="BL28" s="1382"/>
      <c r="BM28" s="1042" t="str">
        <f>VLOOKUP(BK28,Valid!$B$80:$C$86,2,FALSE)</f>
        <v>Each</v>
      </c>
      <c r="BN28" s="1383"/>
      <c r="BO28" s="1194"/>
      <c r="BP28" s="1195"/>
      <c r="BR28" s="588" t="b">
        <f>IF(OR(BJ28='A-55 TrackInv'!$C$13,BJ28='A-55 TrackInv'!$C$44,BJ28='A-55 TrackInv'!$C$75,BJ28='A-55 TrackInv'!$C$106,BJ28='A-55 TrackInv'!$C$137,BJ28='A-55 TrackInv'!$C$168,BJ28='A-55 TrackInv'!$C$199,BJ28='A-55 TrackInv'!$C$230,BJ28='A-55 TrackInv'!$C$261,BJ28='A-55 TrackInv'!$C$292),TRUE,FALSE)</f>
        <v>0</v>
      </c>
      <c r="BU28" s="1489"/>
      <c r="BV28" s="1212"/>
      <c r="BW28" s="1004"/>
      <c r="BX28" s="999"/>
      <c r="BY28" s="999"/>
      <c r="BZ28" s="999"/>
      <c r="CA28" s="999"/>
      <c r="CB28" s="999"/>
      <c r="CC28" s="1165"/>
      <c r="CF28" s="1036"/>
      <c r="CG28" s="1004"/>
      <c r="CH28" s="1004"/>
      <c r="CI28" s="1004"/>
      <c r="CJ28" s="1004"/>
      <c r="CK28" s="1044"/>
      <c r="CL28" s="1163"/>
      <c r="CM28" s="1163"/>
      <c r="CN28" s="647"/>
      <c r="CO28" s="647"/>
      <c r="CP28" s="1163"/>
      <c r="CQ28" s="639"/>
      <c r="CR28" s="647"/>
      <c r="CS28" s="1171"/>
      <c r="CT28" s="1001"/>
      <c r="CU28" s="647"/>
      <c r="CV28" s="1001"/>
      <c r="CW28" s="647"/>
      <c r="CX28" s="1009"/>
      <c r="CY28" s="1009"/>
      <c r="CZ28" s="1163"/>
      <c r="DA28" s="1004"/>
      <c r="DB28" s="1004"/>
      <c r="DC28" s="1004"/>
      <c r="DD28" s="1004"/>
      <c r="DE28" s="1004"/>
      <c r="DF28" s="639"/>
      <c r="DG28" s="1019"/>
    </row>
    <row r="29" spans="1:111" s="588" customFormat="1" x14ac:dyDescent="0.2">
      <c r="A29" s="589">
        <f t="shared" si="1"/>
        <v>20</v>
      </c>
      <c r="B29" s="644"/>
      <c r="C29" s="1420"/>
      <c r="D29" s="639"/>
      <c r="E29" s="639"/>
      <c r="F29" s="639"/>
      <c r="G29" s="639"/>
      <c r="H29" s="639"/>
      <c r="I29" s="639"/>
      <c r="J29" s="639"/>
      <c r="K29" s="1436"/>
      <c r="L29" s="1438"/>
      <c r="M29" s="1440"/>
      <c r="N29" s="639"/>
      <c r="O29" s="640"/>
      <c r="Q29" s="589"/>
      <c r="R29" s="644"/>
      <c r="S29" s="1420"/>
      <c r="T29" s="639"/>
      <c r="U29" s="639"/>
      <c r="V29" s="639"/>
      <c r="W29" s="639"/>
      <c r="X29" s="639"/>
      <c r="Y29" s="639"/>
      <c r="Z29" s="639"/>
      <c r="AA29" s="639"/>
      <c r="AB29" s="639"/>
      <c r="AC29" s="1436"/>
      <c r="AD29" s="639"/>
      <c r="AE29" s="1438"/>
      <c r="AF29" s="1440"/>
      <c r="AG29" s="639"/>
      <c r="AH29" s="640"/>
      <c r="AI29" s="589"/>
      <c r="AJ29" s="375"/>
      <c r="AK29" s="1041" t="str">
        <f>Codes!$C$157</f>
        <v>AG - Automated Guideway (PT)</v>
      </c>
      <c r="AL29" s="1042" t="str">
        <f>Valid!$B$76</f>
        <v>Below-Grade/Retained Cut</v>
      </c>
      <c r="AM29" s="1004"/>
      <c r="AN29" s="1401" t="str">
        <f>Valid!$C$76</f>
        <v>Linear Feet</v>
      </c>
      <c r="AO29" s="1441"/>
      <c r="AP29" s="1401" t="s">
        <v>1149</v>
      </c>
      <c r="AQ29" s="1033"/>
      <c r="AR29" s="1307"/>
      <c r="AS29" s="997"/>
      <c r="AT29" s="997"/>
      <c r="AU29" s="997"/>
      <c r="AV29" s="997"/>
      <c r="AW29" s="997"/>
      <c r="AX29" s="997"/>
      <c r="AY29" s="997"/>
      <c r="AZ29" s="997"/>
      <c r="BA29" s="997"/>
      <c r="BB29" s="997"/>
      <c r="BC29" s="1409">
        <f t="shared" si="2"/>
        <v>0</v>
      </c>
      <c r="BD29" s="999"/>
      <c r="BE29" s="640"/>
      <c r="BG29" s="588" t="b">
        <f>IF(OR(AK29='A-50 FGRailInv'!$C$13,AK29='A-50 FGRailInv'!$C$69,AK29='A-50 FGRailInv'!$C$124,AK29='A-50 FGRailInv'!$C$179,AK29='A-50 FGRailInv'!$C$234,AK29='A-50 FGRailInv'!$C$290,AK29='A-50 FGRailInv'!$C$346,AK29='A-50 FGRailInv'!$C$402,AK29='A-50 FGRailInv'!$C$458,AK29='A-50 FGRailInv'!$C$514),TRUE,FALSE)</f>
        <v>0</v>
      </c>
      <c r="BJ29" s="1041" t="str">
        <f>Codes!$C$158</f>
        <v>AR - Alaska Railroad</v>
      </c>
      <c r="BK29" s="1042" t="str">
        <f>Valid!$B$85</f>
        <v>Single Turnout</v>
      </c>
      <c r="BL29" s="1382"/>
      <c r="BM29" s="1042" t="str">
        <f>VLOOKUP(BK29,Valid!$B$80:$C$86,2,FALSE)</f>
        <v>Each</v>
      </c>
      <c r="BN29" s="1383"/>
      <c r="BO29" s="1194"/>
      <c r="BP29" s="1195"/>
      <c r="BR29" s="588" t="b">
        <f>IF(OR(BJ29='A-55 TrackInv'!$C$13,BJ29='A-55 TrackInv'!$C$44,BJ29='A-55 TrackInv'!$C$75,BJ29='A-55 TrackInv'!$C$106,BJ29='A-55 TrackInv'!$C$137,BJ29='A-55 TrackInv'!$C$168,BJ29='A-55 TrackInv'!$C$199,BJ29='A-55 TrackInv'!$C$230,BJ29='A-55 TrackInv'!$C$261,BJ29='A-55 TrackInv'!$C$292),TRUE,FALSE)</f>
        <v>0</v>
      </c>
      <c r="BU29" s="1489"/>
      <c r="BV29" s="1212"/>
      <c r="BW29" s="1004"/>
      <c r="BX29" s="999"/>
      <c r="BY29" s="999"/>
      <c r="BZ29" s="999"/>
      <c r="CA29" s="999"/>
      <c r="CB29" s="999"/>
      <c r="CC29" s="1165"/>
      <c r="CF29" s="1036"/>
      <c r="CG29" s="1004"/>
      <c r="CH29" s="1004"/>
      <c r="CI29" s="1004"/>
      <c r="CJ29" s="1004"/>
      <c r="CK29" s="1044"/>
      <c r="CL29" s="1163"/>
      <c r="CM29" s="1163"/>
      <c r="CN29" s="647"/>
      <c r="CO29" s="647"/>
      <c r="CP29" s="1163"/>
      <c r="CQ29" s="639"/>
      <c r="CR29" s="647"/>
      <c r="CS29" s="1171"/>
      <c r="CT29" s="1001"/>
      <c r="CU29" s="647"/>
      <c r="CV29" s="1001"/>
      <c r="CW29" s="647"/>
      <c r="CX29" s="1009"/>
      <c r="CY29" s="1009"/>
      <c r="CZ29" s="1163"/>
      <c r="DA29" s="1004"/>
      <c r="DB29" s="1004"/>
      <c r="DC29" s="1004"/>
      <c r="DD29" s="1004"/>
      <c r="DE29" s="1004"/>
      <c r="DF29" s="639"/>
      <c r="DG29" s="1019"/>
    </row>
    <row r="30" spans="1:111" s="588" customFormat="1" ht="13.5" thickBot="1" x14ac:dyDescent="0.25">
      <c r="A30" s="589">
        <f t="shared" si="1"/>
        <v>21</v>
      </c>
      <c r="B30" s="644"/>
      <c r="C30" s="1420"/>
      <c r="D30" s="639"/>
      <c r="E30" s="639"/>
      <c r="F30" s="639"/>
      <c r="G30" s="639"/>
      <c r="H30" s="639"/>
      <c r="I30" s="639"/>
      <c r="J30" s="639"/>
      <c r="K30" s="1436"/>
      <c r="L30" s="1438"/>
      <c r="M30" s="1440"/>
      <c r="N30" s="639"/>
      <c r="O30" s="640"/>
      <c r="Q30" s="589"/>
      <c r="R30" s="644"/>
      <c r="S30" s="1420"/>
      <c r="T30" s="639"/>
      <c r="U30" s="639"/>
      <c r="V30" s="639"/>
      <c r="W30" s="639"/>
      <c r="X30" s="639"/>
      <c r="Y30" s="639"/>
      <c r="Z30" s="639"/>
      <c r="AA30" s="639"/>
      <c r="AB30" s="639"/>
      <c r="AC30" s="1436"/>
      <c r="AD30" s="639"/>
      <c r="AE30" s="1438"/>
      <c r="AF30" s="1440"/>
      <c r="AG30" s="639"/>
      <c r="AH30" s="640"/>
      <c r="AI30" s="589"/>
      <c r="AJ30" s="375"/>
      <c r="AK30" s="1041" t="str">
        <f>Codes!$C$157</f>
        <v>AG - Automated Guideway (PT)</v>
      </c>
      <c r="AL30" s="1042" t="str">
        <f>Valid!$B$77</f>
        <v>Below-Grade/Cut-and-Cover Tunnel</v>
      </c>
      <c r="AM30" s="1004"/>
      <c r="AN30" s="1401" t="str">
        <f>Valid!$C$77</f>
        <v>Linear Feet</v>
      </c>
      <c r="AO30" s="1441"/>
      <c r="AP30" s="1401" t="s">
        <v>1149</v>
      </c>
      <c r="AQ30" s="1033"/>
      <c r="AR30" s="1307"/>
      <c r="AS30" s="997"/>
      <c r="AT30" s="997"/>
      <c r="AU30" s="997"/>
      <c r="AV30" s="997"/>
      <c r="AW30" s="997"/>
      <c r="AX30" s="997"/>
      <c r="AY30" s="997"/>
      <c r="AZ30" s="997"/>
      <c r="BA30" s="997"/>
      <c r="BB30" s="997"/>
      <c r="BC30" s="1409">
        <f t="shared" si="2"/>
        <v>0</v>
      </c>
      <c r="BD30" s="999"/>
      <c r="BE30" s="640"/>
      <c r="BG30" s="588" t="b">
        <f>IF(OR(AK30='A-50 FGRailInv'!$C$13,AK30='A-50 FGRailInv'!$C$69,AK30='A-50 FGRailInv'!$C$124,AK30='A-50 FGRailInv'!$C$179,AK30='A-50 FGRailInv'!$C$234,AK30='A-50 FGRailInv'!$C$290,AK30='A-50 FGRailInv'!$C$346,AK30='A-50 FGRailInv'!$C$402,AK30='A-50 FGRailInv'!$C$458,AK30='A-50 FGRailInv'!$C$514),TRUE,FALSE)</f>
        <v>0</v>
      </c>
      <c r="BJ30" s="1047" t="str">
        <f>Codes!$C$158</f>
        <v>AR - Alaska Railroad</v>
      </c>
      <c r="BK30" s="1050" t="str">
        <f>Valid!$B$86</f>
        <v>Grade Crossings</v>
      </c>
      <c r="BL30" s="1331"/>
      <c r="BM30" s="1050" t="str">
        <f>VLOOKUP(BK30,Valid!$B$80:$C$86,2,FALSE)</f>
        <v>Each</v>
      </c>
      <c r="BN30" s="1341"/>
      <c r="BO30" s="1197"/>
      <c r="BP30" s="1198"/>
      <c r="BR30" s="588" t="b">
        <f>IF(OR(BJ30='A-55 TrackInv'!$C$13,BJ30='A-55 TrackInv'!$C$44,BJ30='A-55 TrackInv'!$C$75,BJ30='A-55 TrackInv'!$C$106,BJ30='A-55 TrackInv'!$C$137,BJ30='A-55 TrackInv'!$C$168,BJ30='A-55 TrackInv'!$C$199,BJ30='A-55 TrackInv'!$C$230,BJ30='A-55 TrackInv'!$C$261,BJ30='A-55 TrackInv'!$C$292),TRUE,FALSE)</f>
        <v>0</v>
      </c>
      <c r="BU30" s="1489"/>
      <c r="BV30" s="1212"/>
      <c r="BW30" s="1004"/>
      <c r="BX30" s="999"/>
      <c r="BY30" s="999"/>
      <c r="BZ30" s="999"/>
      <c r="CA30" s="999"/>
      <c r="CB30" s="999"/>
      <c r="CC30" s="1165"/>
      <c r="CF30" s="1036"/>
      <c r="CG30" s="1004"/>
      <c r="CH30" s="1004"/>
      <c r="CI30" s="1004"/>
      <c r="CJ30" s="1004"/>
      <c r="CK30" s="1044"/>
      <c r="CL30" s="1163"/>
      <c r="CM30" s="1163"/>
      <c r="CN30" s="647"/>
      <c r="CO30" s="647"/>
      <c r="CP30" s="1163"/>
      <c r="CQ30" s="639"/>
      <c r="CR30" s="647"/>
      <c r="CS30" s="1171"/>
      <c r="CT30" s="1001"/>
      <c r="CU30" s="647"/>
      <c r="CV30" s="1001"/>
      <c r="CW30" s="647"/>
      <c r="CX30" s="1009"/>
      <c r="CY30" s="1009"/>
      <c r="CZ30" s="1163"/>
      <c r="DA30" s="1004"/>
      <c r="DB30" s="1004"/>
      <c r="DC30" s="1004"/>
      <c r="DD30" s="1004"/>
      <c r="DE30" s="1004"/>
      <c r="DF30" s="639"/>
      <c r="DG30" s="1019"/>
    </row>
    <row r="31" spans="1:111" s="588" customFormat="1" x14ac:dyDescent="0.2">
      <c r="A31" s="589">
        <f t="shared" si="1"/>
        <v>22</v>
      </c>
      <c r="B31" s="644"/>
      <c r="C31" s="1420"/>
      <c r="D31" s="639"/>
      <c r="E31" s="639"/>
      <c r="F31" s="639"/>
      <c r="G31" s="639"/>
      <c r="H31" s="639"/>
      <c r="I31" s="639"/>
      <c r="J31" s="639"/>
      <c r="K31" s="1436"/>
      <c r="L31" s="1438"/>
      <c r="M31" s="1440"/>
      <c r="N31" s="639"/>
      <c r="O31" s="640"/>
      <c r="Q31" s="589"/>
      <c r="R31" s="644"/>
      <c r="S31" s="1420"/>
      <c r="T31" s="639"/>
      <c r="U31" s="639"/>
      <c r="V31" s="639"/>
      <c r="W31" s="639"/>
      <c r="X31" s="639"/>
      <c r="Y31" s="639"/>
      <c r="Z31" s="639"/>
      <c r="AA31" s="639"/>
      <c r="AB31" s="639"/>
      <c r="AC31" s="1436"/>
      <c r="AD31" s="639"/>
      <c r="AE31" s="1438"/>
      <c r="AF31" s="1440"/>
      <c r="AG31" s="639"/>
      <c r="AH31" s="640"/>
      <c r="AI31" s="589"/>
      <c r="AJ31" s="375"/>
      <c r="AK31" s="1041" t="str">
        <f>Codes!$C$157</f>
        <v>AG - Automated Guideway (PT)</v>
      </c>
      <c r="AL31" s="1042" t="str">
        <f>Valid!$B$78</f>
        <v>Below-Grade/Bored or Blasted Tunnel</v>
      </c>
      <c r="AM31" s="1004"/>
      <c r="AN31" s="1401" t="str">
        <f>Valid!$C$78</f>
        <v>Linear Feet</v>
      </c>
      <c r="AO31" s="1441"/>
      <c r="AP31" s="1401" t="s">
        <v>1149</v>
      </c>
      <c r="AQ31" s="1033"/>
      <c r="AR31" s="1307"/>
      <c r="AS31" s="997"/>
      <c r="AT31" s="997"/>
      <c r="AU31" s="997"/>
      <c r="AV31" s="997"/>
      <c r="AW31" s="997"/>
      <c r="AX31" s="997"/>
      <c r="AY31" s="997"/>
      <c r="AZ31" s="997"/>
      <c r="BA31" s="997"/>
      <c r="BB31" s="997"/>
      <c r="BC31" s="1409">
        <f t="shared" si="2"/>
        <v>0</v>
      </c>
      <c r="BD31" s="999"/>
      <c r="BE31" s="640"/>
      <c r="BG31" s="588" t="b">
        <f>IF(OR(AK31='A-50 FGRailInv'!$C$13,AK31='A-50 FGRailInv'!$C$69,AK31='A-50 FGRailInv'!$C$124,AK31='A-50 FGRailInv'!$C$179,AK31='A-50 FGRailInv'!$C$234,AK31='A-50 FGRailInv'!$C$290,AK31='A-50 FGRailInv'!$C$346,AK31='A-50 FGRailInv'!$C$402,AK31='A-50 FGRailInv'!$C$458,AK31='A-50 FGRailInv'!$C$514),TRUE,FALSE)</f>
        <v>0</v>
      </c>
      <c r="BJ31" s="1043" t="str">
        <f>Codes!$C$159</f>
        <v>CC - Cable Car (DO)</v>
      </c>
      <c r="BK31" s="1303" t="str">
        <f>Valid!$B$80</f>
        <v>Tangent</v>
      </c>
      <c r="BL31" s="1328"/>
      <c r="BM31" s="1303" t="str">
        <f>VLOOKUP(BK31,Valid!$B$80:$C$86,2,FALSE)</f>
        <v>Track Feet</v>
      </c>
      <c r="BN31" s="1332"/>
      <c r="BO31" s="1333"/>
      <c r="BP31" s="1334"/>
      <c r="BR31" s="588" t="b">
        <f>IF(OR(BJ31='A-55 TrackInv'!$C$13,BJ31='A-55 TrackInv'!$C$44,BJ31='A-55 TrackInv'!$C$75,BJ31='A-55 TrackInv'!$C$106,BJ31='A-55 TrackInv'!$C$137,BJ31='A-55 TrackInv'!$C$168,BJ31='A-55 TrackInv'!$C$199,BJ31='A-55 TrackInv'!$C$230,BJ31='A-55 TrackInv'!$C$261,BJ31='A-55 TrackInv'!$C$292),TRUE,FALSE)</f>
        <v>0</v>
      </c>
      <c r="BU31" s="1489"/>
      <c r="BV31" s="1212"/>
      <c r="BW31" s="1004"/>
      <c r="BX31" s="999"/>
      <c r="BY31" s="999"/>
      <c r="BZ31" s="999"/>
      <c r="CA31" s="999"/>
      <c r="CB31" s="999"/>
      <c r="CC31" s="1165"/>
      <c r="CF31" s="1036"/>
      <c r="CG31" s="1004"/>
      <c r="CH31" s="1004"/>
      <c r="CI31" s="1004"/>
      <c r="CJ31" s="1004"/>
      <c r="CK31" s="1044"/>
      <c r="CL31" s="1163"/>
      <c r="CM31" s="1163"/>
      <c r="CN31" s="647"/>
      <c r="CO31" s="647"/>
      <c r="CP31" s="1163"/>
      <c r="CQ31" s="639"/>
      <c r="CR31" s="647"/>
      <c r="CS31" s="1171"/>
      <c r="CT31" s="1001"/>
      <c r="CU31" s="647"/>
      <c r="CV31" s="1001"/>
      <c r="CW31" s="647"/>
      <c r="CX31" s="1009"/>
      <c r="CY31" s="1009"/>
      <c r="CZ31" s="1163"/>
      <c r="DA31" s="1004"/>
      <c r="DB31" s="1004"/>
      <c r="DC31" s="1004"/>
      <c r="DD31" s="1004"/>
      <c r="DE31" s="1004"/>
      <c r="DF31" s="639"/>
      <c r="DG31" s="1019"/>
    </row>
    <row r="32" spans="1:111" s="588" customFormat="1" ht="13.5" thickBot="1" x14ac:dyDescent="0.25">
      <c r="A32" s="589">
        <f>A31+1</f>
        <v>23</v>
      </c>
      <c r="B32" s="644"/>
      <c r="C32" s="1420"/>
      <c r="D32" s="639"/>
      <c r="E32" s="639"/>
      <c r="F32" s="639"/>
      <c r="G32" s="639"/>
      <c r="H32" s="639"/>
      <c r="I32" s="639"/>
      <c r="J32" s="639"/>
      <c r="K32" s="1436"/>
      <c r="L32" s="1438"/>
      <c r="M32" s="1440"/>
      <c r="N32" s="639"/>
      <c r="O32" s="640"/>
      <c r="Q32" s="589"/>
      <c r="R32" s="644"/>
      <c r="S32" s="1420"/>
      <c r="T32" s="639"/>
      <c r="U32" s="639"/>
      <c r="V32" s="639"/>
      <c r="W32" s="639"/>
      <c r="X32" s="639"/>
      <c r="Y32" s="639"/>
      <c r="Z32" s="639"/>
      <c r="AA32" s="639"/>
      <c r="AB32" s="639"/>
      <c r="AC32" s="1436"/>
      <c r="AD32" s="639"/>
      <c r="AE32" s="1438"/>
      <c r="AF32" s="1440"/>
      <c r="AG32" s="639"/>
      <c r="AH32" s="640"/>
      <c r="AI32" s="589"/>
      <c r="AJ32" s="375"/>
      <c r="AK32" s="1048" t="str">
        <f>Codes!$C$157</f>
        <v>AG - Automated Guideway (PT)</v>
      </c>
      <c r="AL32" s="1049" t="str">
        <f>Valid!$B$79</f>
        <v>Below-Grade/Submerged Tube</v>
      </c>
      <c r="AM32" s="1363"/>
      <c r="AN32" s="1402" t="str">
        <f>Valid!$C$79</f>
        <v>Linear Feet</v>
      </c>
      <c r="AO32" s="1442"/>
      <c r="AP32" s="1402" t="s">
        <v>1149</v>
      </c>
      <c r="AQ32" s="1034"/>
      <c r="AR32" s="1308"/>
      <c r="AS32" s="1016"/>
      <c r="AT32" s="1016"/>
      <c r="AU32" s="1016"/>
      <c r="AV32" s="1016"/>
      <c r="AW32" s="1016"/>
      <c r="AX32" s="1016"/>
      <c r="AY32" s="1016"/>
      <c r="AZ32" s="1016"/>
      <c r="BA32" s="1016"/>
      <c r="BB32" s="1016"/>
      <c r="BC32" s="1410">
        <f t="shared" si="2"/>
        <v>0</v>
      </c>
      <c r="BD32" s="1017"/>
      <c r="BE32" s="963"/>
      <c r="BG32" s="588" t="b">
        <f>IF(OR(AK32='A-50 FGRailInv'!$C$13,AK32='A-50 FGRailInv'!$C$69,AK32='A-50 FGRailInv'!$C$124,AK32='A-50 FGRailInv'!$C$179,AK32='A-50 FGRailInv'!$C$234,AK32='A-50 FGRailInv'!$C$290,AK32='A-50 FGRailInv'!$C$346,AK32='A-50 FGRailInv'!$C$402,AK32='A-50 FGRailInv'!$C$458,AK32='A-50 FGRailInv'!$C$514),TRUE,FALSE)</f>
        <v>0</v>
      </c>
      <c r="BJ32" s="1048" t="str">
        <f>Codes!$C$159</f>
        <v>CC - Cable Car (DO)</v>
      </c>
      <c r="BK32" s="1049" t="str">
        <f>Valid!$B$81</f>
        <v>Curve</v>
      </c>
      <c r="BL32" s="1329"/>
      <c r="BM32" s="1049" t="str">
        <f>VLOOKUP(BK32,Valid!$B$80:$C$86,2,FALSE)</f>
        <v>Track Feet</v>
      </c>
      <c r="BN32" s="1335"/>
      <c r="BO32" s="1336"/>
      <c r="BP32" s="1337"/>
      <c r="BR32" s="588" t="b">
        <f>IF(OR(BJ32='A-55 TrackInv'!$C$13,BJ32='A-55 TrackInv'!$C$44,BJ32='A-55 TrackInv'!$C$75,BJ32='A-55 TrackInv'!$C$106,BJ32='A-55 TrackInv'!$C$137,BJ32='A-55 TrackInv'!$C$168,BJ32='A-55 TrackInv'!$C$199,BJ32='A-55 TrackInv'!$C$230,BJ32='A-55 TrackInv'!$C$261,BJ32='A-55 TrackInv'!$C$292),TRUE,FALSE)</f>
        <v>0</v>
      </c>
      <c r="BU32" s="1489"/>
      <c r="BV32" s="1212"/>
      <c r="BW32" s="1004"/>
      <c r="BX32" s="999"/>
      <c r="BY32" s="999"/>
      <c r="BZ32" s="999"/>
      <c r="CA32" s="999"/>
      <c r="CB32" s="999"/>
      <c r="CC32" s="1165"/>
      <c r="CF32" s="1036"/>
      <c r="CG32" s="1004"/>
      <c r="CH32" s="1004"/>
      <c r="CI32" s="1004"/>
      <c r="CJ32" s="1004"/>
      <c r="CK32" s="1044"/>
      <c r="CL32" s="1163"/>
      <c r="CM32" s="1163"/>
      <c r="CN32" s="647"/>
      <c r="CO32" s="647"/>
      <c r="CP32" s="1163"/>
      <c r="CQ32" s="639"/>
      <c r="CR32" s="647"/>
      <c r="CS32" s="1171"/>
      <c r="CT32" s="1001"/>
      <c r="CU32" s="647"/>
      <c r="CV32" s="1001"/>
      <c r="CW32" s="647"/>
      <c r="CX32" s="1009"/>
      <c r="CY32" s="1009"/>
      <c r="CZ32" s="1163"/>
      <c r="DA32" s="1004"/>
      <c r="DB32" s="1004"/>
      <c r="DC32" s="1004"/>
      <c r="DD32" s="1004"/>
      <c r="DE32" s="1004"/>
      <c r="DF32" s="639"/>
      <c r="DG32" s="1019"/>
    </row>
    <row r="33" spans="1:111" s="588" customFormat="1" ht="13.5" thickTop="1" x14ac:dyDescent="0.2">
      <c r="A33" s="589">
        <f t="shared" si="1"/>
        <v>24</v>
      </c>
      <c r="B33" s="644"/>
      <c r="C33" s="1420"/>
      <c r="D33" s="639"/>
      <c r="E33" s="639"/>
      <c r="F33" s="639"/>
      <c r="G33" s="639"/>
      <c r="H33" s="639"/>
      <c r="I33" s="639"/>
      <c r="J33" s="639"/>
      <c r="K33" s="1436"/>
      <c r="L33" s="1438"/>
      <c r="M33" s="1440"/>
      <c r="N33" s="639"/>
      <c r="O33" s="640"/>
      <c r="Q33" s="589"/>
      <c r="R33" s="644"/>
      <c r="S33" s="1420"/>
      <c r="T33" s="639"/>
      <c r="U33" s="639"/>
      <c r="V33" s="639"/>
      <c r="W33" s="639"/>
      <c r="X33" s="639"/>
      <c r="Y33" s="639"/>
      <c r="Z33" s="639"/>
      <c r="AA33" s="639"/>
      <c r="AB33" s="639"/>
      <c r="AC33" s="1436"/>
      <c r="AD33" s="639"/>
      <c r="AE33" s="1438"/>
      <c r="AF33" s="1440"/>
      <c r="AG33" s="639"/>
      <c r="AH33" s="640"/>
      <c r="AI33" s="589"/>
      <c r="AJ33" s="375"/>
      <c r="AK33" s="1181" t="str">
        <f>Codes!$C$157</f>
        <v>AG - Automated Guideway (PT)</v>
      </c>
      <c r="AL33" s="1182" t="str">
        <f>Valid!$B$87</f>
        <v>Substation Building</v>
      </c>
      <c r="AM33" s="1378"/>
      <c r="AN33" s="1403" t="str">
        <f>Valid!$C$87</f>
        <v>Each</v>
      </c>
      <c r="AO33" s="1443"/>
      <c r="AP33" s="1403"/>
      <c r="AQ33" s="1191"/>
      <c r="AR33" s="1309"/>
      <c r="AS33" s="1191"/>
      <c r="AT33" s="1191"/>
      <c r="AU33" s="1191"/>
      <c r="AV33" s="1191"/>
      <c r="AW33" s="1191"/>
      <c r="AX33" s="1191"/>
      <c r="AY33" s="1191"/>
      <c r="AZ33" s="1191"/>
      <c r="BA33" s="1191"/>
      <c r="BB33" s="1191"/>
      <c r="BC33" s="1411">
        <f t="shared" si="2"/>
        <v>0</v>
      </c>
      <c r="BD33" s="1191"/>
      <c r="BE33" s="1192"/>
      <c r="BG33" s="588" t="b">
        <f>IF(OR(AK33='A-50 FGRailInv'!$C$13,AK33='A-50 FGRailInv'!$C$69,AK33='A-50 FGRailInv'!$C$124,AK33='A-50 FGRailInv'!$C$179,AK33='A-50 FGRailInv'!$C$234,AK33='A-50 FGRailInv'!$C$290,AK33='A-50 FGRailInv'!$C$346,AK33='A-50 FGRailInv'!$C$402,AK33='A-50 FGRailInv'!$C$458,AK33='A-50 FGRailInv'!$C$514),TRUE,FALSE)</f>
        <v>0</v>
      </c>
      <c r="BJ33" s="1045" t="str">
        <f>Codes!$C$159</f>
        <v>CC - Cable Car (DO)</v>
      </c>
      <c r="BK33" s="1046" t="str">
        <f>Valid!$B$82</f>
        <v>Double Diamond Crossover</v>
      </c>
      <c r="BL33" s="1330"/>
      <c r="BM33" s="1046" t="str">
        <f>VLOOKUP(BK33,Valid!$B$80:$C$86,2,FALSE)</f>
        <v>Each</v>
      </c>
      <c r="BN33" s="1338"/>
      <c r="BO33" s="1339"/>
      <c r="BP33" s="1340"/>
      <c r="BR33" s="588" t="b">
        <f>IF(OR(BJ33='A-55 TrackInv'!$C$13,BJ33='A-55 TrackInv'!$C$44,BJ33='A-55 TrackInv'!$C$75,BJ33='A-55 TrackInv'!$C$106,BJ33='A-55 TrackInv'!$C$137,BJ33='A-55 TrackInv'!$C$168,BJ33='A-55 TrackInv'!$C$199,BJ33='A-55 TrackInv'!$C$230,BJ33='A-55 TrackInv'!$C$261,BJ33='A-55 TrackInv'!$C$292),TRUE,FALSE)</f>
        <v>0</v>
      </c>
      <c r="BU33" s="1489"/>
      <c r="BV33" s="1212"/>
      <c r="BW33" s="1004"/>
      <c r="BX33" s="999"/>
      <c r="BY33" s="999"/>
      <c r="BZ33" s="999"/>
      <c r="CA33" s="999"/>
      <c r="CB33" s="999"/>
      <c r="CC33" s="1165"/>
      <c r="CF33" s="1036"/>
      <c r="CG33" s="1004"/>
      <c r="CH33" s="1004"/>
      <c r="CI33" s="1004"/>
      <c r="CJ33" s="1004"/>
      <c r="CK33" s="1044"/>
      <c r="CL33" s="1163"/>
      <c r="CM33" s="1163"/>
      <c r="CN33" s="647"/>
      <c r="CO33" s="647"/>
      <c r="CP33" s="1163"/>
      <c r="CQ33" s="639"/>
      <c r="CR33" s="647"/>
      <c r="CS33" s="1171"/>
      <c r="CT33" s="1001"/>
      <c r="CU33" s="647"/>
      <c r="CV33" s="1001"/>
      <c r="CW33" s="647"/>
      <c r="CX33" s="1009"/>
      <c r="CY33" s="1009"/>
      <c r="CZ33" s="1163"/>
      <c r="DA33" s="1004"/>
      <c r="DB33" s="1004"/>
      <c r="DC33" s="1004"/>
      <c r="DD33" s="1004"/>
      <c r="DE33" s="1004"/>
      <c r="DF33" s="639"/>
      <c r="DG33" s="1019"/>
    </row>
    <row r="34" spans="1:111" s="588" customFormat="1" x14ac:dyDescent="0.2">
      <c r="A34" s="589">
        <f t="shared" si="1"/>
        <v>25</v>
      </c>
      <c r="B34" s="644"/>
      <c r="C34" s="1420"/>
      <c r="D34" s="639"/>
      <c r="E34" s="639"/>
      <c r="F34" s="639"/>
      <c r="G34" s="639"/>
      <c r="H34" s="639"/>
      <c r="I34" s="639"/>
      <c r="J34" s="639"/>
      <c r="K34" s="1436"/>
      <c r="L34" s="1438"/>
      <c r="M34" s="1440"/>
      <c r="N34" s="639"/>
      <c r="O34" s="640"/>
      <c r="Q34" s="589"/>
      <c r="R34" s="644"/>
      <c r="S34" s="1420"/>
      <c r="T34" s="639"/>
      <c r="U34" s="639"/>
      <c r="V34" s="639"/>
      <c r="W34" s="1013"/>
      <c r="X34" s="647"/>
      <c r="Y34" s="647"/>
      <c r="Z34" s="639"/>
      <c r="AA34" s="639"/>
      <c r="AB34" s="643"/>
      <c r="AC34" s="1004"/>
      <c r="AD34" s="1163"/>
      <c r="AE34" s="999"/>
      <c r="AF34" s="1001"/>
      <c r="AG34" s="643"/>
      <c r="AH34" s="1165"/>
      <c r="AI34" s="589"/>
      <c r="AJ34" s="375"/>
      <c r="AK34" s="1041" t="str">
        <f>Codes!$C$157</f>
        <v>AG - Automated Guideway (PT)</v>
      </c>
      <c r="AL34" s="1042" t="str">
        <f>Valid!$B$88</f>
        <v>Substation Equipment</v>
      </c>
      <c r="AM34" s="1209"/>
      <c r="AN34" s="1401"/>
      <c r="AO34" s="1444"/>
      <c r="AP34" s="1401"/>
      <c r="AQ34" s="1193"/>
      <c r="AR34" s="1310"/>
      <c r="AS34" s="1194"/>
      <c r="AT34" s="1194"/>
      <c r="AU34" s="1194"/>
      <c r="AV34" s="1194"/>
      <c r="AW34" s="1194"/>
      <c r="AX34" s="1194"/>
      <c r="AY34" s="1194"/>
      <c r="AZ34" s="1194"/>
      <c r="BA34" s="1194"/>
      <c r="BB34" s="1194"/>
      <c r="BC34" s="1412">
        <f t="shared" si="2"/>
        <v>0</v>
      </c>
      <c r="BD34" s="1193"/>
      <c r="BE34" s="1195"/>
      <c r="BG34" s="588" t="b">
        <f>IF(OR(AK34='A-50 FGRailInv'!$C$13,AK34='A-50 FGRailInv'!$C$69,AK34='A-50 FGRailInv'!$C$124,AK34='A-50 FGRailInv'!$C$179,AK34='A-50 FGRailInv'!$C$234,AK34='A-50 FGRailInv'!$C$290,AK34='A-50 FGRailInv'!$C$346,AK34='A-50 FGRailInv'!$C$402,AK34='A-50 FGRailInv'!$C$458,AK34='A-50 FGRailInv'!$C$514),TRUE,FALSE)</f>
        <v>0</v>
      </c>
      <c r="BJ34" s="1041" t="str">
        <f>Codes!$C$159</f>
        <v>CC - Cable Car (DO)</v>
      </c>
      <c r="BK34" s="1042" t="str">
        <f>Valid!$B$83</f>
        <v>Single Crossover</v>
      </c>
      <c r="BL34" s="1382"/>
      <c r="BM34" s="1042" t="str">
        <f>VLOOKUP(BK34,Valid!$B$80:$C$86,2,FALSE)</f>
        <v>Each</v>
      </c>
      <c r="BN34" s="1383"/>
      <c r="BO34" s="1194"/>
      <c r="BP34" s="1195"/>
      <c r="BR34" s="588" t="b">
        <f>IF(OR(BJ34='A-55 TrackInv'!$C$13,BJ34='A-55 TrackInv'!$C$44,BJ34='A-55 TrackInv'!$C$75,BJ34='A-55 TrackInv'!$C$106,BJ34='A-55 TrackInv'!$C$137,BJ34='A-55 TrackInv'!$C$168,BJ34='A-55 TrackInv'!$C$199,BJ34='A-55 TrackInv'!$C$230,BJ34='A-55 TrackInv'!$C$261,BJ34='A-55 TrackInv'!$C$292),TRUE,FALSE)</f>
        <v>0</v>
      </c>
      <c r="BU34" s="1489"/>
      <c r="BV34" s="1212"/>
      <c r="BW34" s="1004"/>
      <c r="BX34" s="999"/>
      <c r="BY34" s="999"/>
      <c r="BZ34" s="999"/>
      <c r="CA34" s="999"/>
      <c r="CB34" s="999"/>
      <c r="CC34" s="1165"/>
      <c r="CF34" s="1036"/>
      <c r="CG34" s="1004"/>
      <c r="CH34" s="1004"/>
      <c r="CI34" s="1004"/>
      <c r="CJ34" s="1004"/>
      <c r="CK34" s="1044"/>
      <c r="CL34" s="1163"/>
      <c r="CM34" s="1163"/>
      <c r="CN34" s="647"/>
      <c r="CO34" s="647"/>
      <c r="CP34" s="1163"/>
      <c r="CQ34" s="639"/>
      <c r="CR34" s="647"/>
      <c r="CS34" s="1171"/>
      <c r="CT34" s="1001"/>
      <c r="CU34" s="647"/>
      <c r="CV34" s="1001"/>
      <c r="CW34" s="647"/>
      <c r="CX34" s="1009"/>
      <c r="CY34" s="1009"/>
      <c r="CZ34" s="1163"/>
      <c r="DA34" s="1004"/>
      <c r="DB34" s="1004"/>
      <c r="DC34" s="1004"/>
      <c r="DD34" s="1004"/>
      <c r="DE34" s="1004"/>
      <c r="DF34" s="639"/>
      <c r="DG34" s="1019"/>
    </row>
    <row r="35" spans="1:111" s="588" customFormat="1" x14ac:dyDescent="0.2">
      <c r="A35" s="589">
        <f t="shared" si="1"/>
        <v>26</v>
      </c>
      <c r="B35" s="644"/>
      <c r="C35" s="1420"/>
      <c r="D35" s="639"/>
      <c r="E35" s="639"/>
      <c r="F35" s="639"/>
      <c r="G35" s="639"/>
      <c r="H35" s="639"/>
      <c r="I35" s="639"/>
      <c r="J35" s="639"/>
      <c r="K35" s="1436"/>
      <c r="L35" s="1438"/>
      <c r="M35" s="1440"/>
      <c r="N35" s="639"/>
      <c r="O35" s="640"/>
      <c r="Q35" s="589"/>
      <c r="R35" s="644"/>
      <c r="S35" s="1420"/>
      <c r="T35" s="639"/>
      <c r="U35" s="639"/>
      <c r="V35" s="639"/>
      <c r="W35" s="1013"/>
      <c r="X35" s="647"/>
      <c r="Y35" s="647"/>
      <c r="Z35" s="639"/>
      <c r="AA35" s="639"/>
      <c r="AB35" s="643"/>
      <c r="AC35" s="1004"/>
      <c r="AD35" s="1163"/>
      <c r="AE35" s="999"/>
      <c r="AF35" s="1001"/>
      <c r="AG35" s="643"/>
      <c r="AH35" s="1165"/>
      <c r="AI35" s="589"/>
      <c r="AJ35" s="375"/>
      <c r="AK35" s="1041" t="str">
        <f>Codes!$C$157</f>
        <v>AG - Automated Guideway (PT)</v>
      </c>
      <c r="AL35" s="1042" t="str">
        <f>Valid!$B$89</f>
        <v>Third Rail/Power Distribution</v>
      </c>
      <c r="AM35" s="1209"/>
      <c r="AN35" s="1401"/>
      <c r="AO35" s="1444"/>
      <c r="AP35" s="1401"/>
      <c r="AQ35" s="1193"/>
      <c r="AR35" s="1310"/>
      <c r="AS35" s="1194"/>
      <c r="AT35" s="1194"/>
      <c r="AU35" s="1194"/>
      <c r="AV35" s="1194"/>
      <c r="AW35" s="1194"/>
      <c r="AX35" s="1194"/>
      <c r="AY35" s="1194"/>
      <c r="AZ35" s="1194"/>
      <c r="BA35" s="1194"/>
      <c r="BB35" s="1194"/>
      <c r="BC35" s="1412">
        <f t="shared" si="2"/>
        <v>0</v>
      </c>
      <c r="BD35" s="1193"/>
      <c r="BE35" s="1195"/>
      <c r="BG35" s="588" t="b">
        <f>IF(OR(AK35='A-50 FGRailInv'!$C$13,AK35='A-50 FGRailInv'!$C$69,AK35='A-50 FGRailInv'!$C$124,AK35='A-50 FGRailInv'!$C$179,AK35='A-50 FGRailInv'!$C$234,AK35='A-50 FGRailInv'!$C$290,AK35='A-50 FGRailInv'!$C$346,AK35='A-50 FGRailInv'!$C$402,AK35='A-50 FGRailInv'!$C$458,AK35='A-50 FGRailInv'!$C$514),TRUE,FALSE)</f>
        <v>0</v>
      </c>
      <c r="BJ35" s="1041" t="str">
        <f>Codes!$C$159</f>
        <v>CC - Cable Car (DO)</v>
      </c>
      <c r="BK35" s="1042" t="str">
        <f>Valid!$B$84</f>
        <v>Half Grand Union</v>
      </c>
      <c r="BL35" s="1382"/>
      <c r="BM35" s="1042" t="str">
        <f>VLOOKUP(BK35,Valid!$B$80:$C$86,2,FALSE)</f>
        <v>Each</v>
      </c>
      <c r="BN35" s="1383"/>
      <c r="BO35" s="1194"/>
      <c r="BP35" s="1195"/>
      <c r="BR35" s="588" t="b">
        <f>IF(OR(BJ35='A-55 TrackInv'!$C$13,BJ35='A-55 TrackInv'!$C$44,BJ35='A-55 TrackInv'!$C$75,BJ35='A-55 TrackInv'!$C$106,BJ35='A-55 TrackInv'!$C$137,BJ35='A-55 TrackInv'!$C$168,BJ35='A-55 TrackInv'!$C$199,BJ35='A-55 TrackInv'!$C$230,BJ35='A-55 TrackInv'!$C$261,BJ35='A-55 TrackInv'!$C$292),TRUE,FALSE)</f>
        <v>0</v>
      </c>
      <c r="BU35" s="1489"/>
      <c r="BV35" s="1212"/>
      <c r="BW35" s="1004"/>
      <c r="BX35" s="999"/>
      <c r="BY35" s="999"/>
      <c r="BZ35" s="999"/>
      <c r="CA35" s="999"/>
      <c r="CB35" s="999"/>
      <c r="CC35" s="1165"/>
      <c r="CF35" s="1036"/>
      <c r="CG35" s="1004"/>
      <c r="CH35" s="1004"/>
      <c r="CI35" s="1004"/>
      <c r="CJ35" s="1004"/>
      <c r="CK35" s="1044"/>
      <c r="CL35" s="1163"/>
      <c r="CM35" s="1163"/>
      <c r="CN35" s="647"/>
      <c r="CO35" s="647"/>
      <c r="CP35" s="1163"/>
      <c r="CQ35" s="639"/>
      <c r="CR35" s="647"/>
      <c r="CS35" s="1171"/>
      <c r="CT35" s="1001"/>
      <c r="CU35" s="647"/>
      <c r="CV35" s="1001"/>
      <c r="CW35" s="647"/>
      <c r="CX35" s="1009"/>
      <c r="CY35" s="1009"/>
      <c r="CZ35" s="1163"/>
      <c r="DA35" s="1004"/>
      <c r="DB35" s="1004"/>
      <c r="DC35" s="1004"/>
      <c r="DD35" s="1004"/>
      <c r="DE35" s="1004"/>
      <c r="DF35" s="639"/>
      <c r="DG35" s="1019"/>
    </row>
    <row r="36" spans="1:111" s="588" customFormat="1" x14ac:dyDescent="0.2">
      <c r="A36" s="589">
        <f t="shared" si="1"/>
        <v>27</v>
      </c>
      <c r="B36" s="644"/>
      <c r="C36" s="1420"/>
      <c r="D36" s="639"/>
      <c r="E36" s="639"/>
      <c r="F36" s="639"/>
      <c r="G36" s="639"/>
      <c r="H36" s="639"/>
      <c r="I36" s="639"/>
      <c r="J36" s="639"/>
      <c r="K36" s="1436"/>
      <c r="L36" s="1438"/>
      <c r="M36" s="1440"/>
      <c r="N36" s="639"/>
      <c r="O36" s="640"/>
      <c r="Q36" s="589"/>
      <c r="R36" s="644"/>
      <c r="S36" s="1420"/>
      <c r="T36" s="639"/>
      <c r="U36" s="639"/>
      <c r="V36" s="639"/>
      <c r="W36" s="1013"/>
      <c r="X36" s="647"/>
      <c r="Y36" s="647"/>
      <c r="Z36" s="639"/>
      <c r="AA36" s="639"/>
      <c r="AB36" s="643"/>
      <c r="AC36" s="1004"/>
      <c r="AD36" s="1163"/>
      <c r="AE36" s="999"/>
      <c r="AF36" s="1001"/>
      <c r="AG36" s="643"/>
      <c r="AH36" s="1165"/>
      <c r="AI36" s="589"/>
      <c r="AJ36" s="375"/>
      <c r="AK36" s="1041" t="str">
        <f>Codes!$C$157</f>
        <v>AG - Automated Guideway (PT)</v>
      </c>
      <c r="AL36" s="1042" t="str">
        <f>Valid!$B$90</f>
        <v>Overhead Contact System/Power Distribution</v>
      </c>
      <c r="AM36" s="1209"/>
      <c r="AN36" s="1401"/>
      <c r="AO36" s="1444"/>
      <c r="AP36" s="1401"/>
      <c r="AQ36" s="1193"/>
      <c r="AR36" s="1310"/>
      <c r="AS36" s="1194"/>
      <c r="AT36" s="1194"/>
      <c r="AU36" s="1194"/>
      <c r="AV36" s="1194"/>
      <c r="AW36" s="1194"/>
      <c r="AX36" s="1194"/>
      <c r="AY36" s="1194"/>
      <c r="AZ36" s="1194"/>
      <c r="BA36" s="1194"/>
      <c r="BB36" s="1194"/>
      <c r="BC36" s="1412">
        <f t="shared" si="2"/>
        <v>0</v>
      </c>
      <c r="BD36" s="1193"/>
      <c r="BE36" s="1195"/>
      <c r="BG36" s="588" t="b">
        <f>IF(OR(AK36='A-50 FGRailInv'!$C$13,AK36='A-50 FGRailInv'!$C$69,AK36='A-50 FGRailInv'!$C$124,AK36='A-50 FGRailInv'!$C$179,AK36='A-50 FGRailInv'!$C$234,AK36='A-50 FGRailInv'!$C$290,AK36='A-50 FGRailInv'!$C$346,AK36='A-50 FGRailInv'!$C$402,AK36='A-50 FGRailInv'!$C$458,AK36='A-50 FGRailInv'!$C$514),TRUE,FALSE)</f>
        <v>0</v>
      </c>
      <c r="BJ36" s="1041" t="str">
        <f>Codes!$C$159</f>
        <v>CC - Cable Car (DO)</v>
      </c>
      <c r="BK36" s="1042" t="str">
        <f>Valid!$B$85</f>
        <v>Single Turnout</v>
      </c>
      <c r="BL36" s="1382"/>
      <c r="BM36" s="1042" t="str">
        <f>VLOOKUP(BK36,Valid!$B$80:$C$86,2,FALSE)</f>
        <v>Each</v>
      </c>
      <c r="BN36" s="1383"/>
      <c r="BO36" s="1194"/>
      <c r="BP36" s="1195"/>
      <c r="BR36" s="588" t="b">
        <f>IF(OR(BJ36='A-55 TrackInv'!$C$13,BJ36='A-55 TrackInv'!$C$44,BJ36='A-55 TrackInv'!$C$75,BJ36='A-55 TrackInv'!$C$106,BJ36='A-55 TrackInv'!$C$137,BJ36='A-55 TrackInv'!$C$168,BJ36='A-55 TrackInv'!$C$199,BJ36='A-55 TrackInv'!$C$230,BJ36='A-55 TrackInv'!$C$261,BJ36='A-55 TrackInv'!$C$292),TRUE,FALSE)</f>
        <v>0</v>
      </c>
      <c r="BU36" s="1489"/>
      <c r="BV36" s="1212"/>
      <c r="BW36" s="1004"/>
      <c r="BX36" s="999"/>
      <c r="BY36" s="999"/>
      <c r="BZ36" s="999"/>
      <c r="CA36" s="999"/>
      <c r="CB36" s="999"/>
      <c r="CC36" s="1165"/>
      <c r="CF36" s="1036"/>
      <c r="CG36" s="1004"/>
      <c r="CH36" s="1004"/>
      <c r="CI36" s="1004"/>
      <c r="CJ36" s="1004"/>
      <c r="CK36" s="1044"/>
      <c r="CL36" s="1163"/>
      <c r="CM36" s="1163"/>
      <c r="CN36" s="647"/>
      <c r="CO36" s="647"/>
      <c r="CP36" s="1163"/>
      <c r="CQ36" s="639"/>
      <c r="CR36" s="647"/>
      <c r="CS36" s="1171"/>
      <c r="CT36" s="1001"/>
      <c r="CU36" s="647"/>
      <c r="CV36" s="1001"/>
      <c r="CW36" s="647"/>
      <c r="CX36" s="1009"/>
      <c r="CY36" s="1009"/>
      <c r="CZ36" s="1163"/>
      <c r="DA36" s="1004"/>
      <c r="DB36" s="1004"/>
      <c r="DC36" s="1004"/>
      <c r="DD36" s="1004"/>
      <c r="DE36" s="1004"/>
      <c r="DF36" s="639"/>
      <c r="DG36" s="1019"/>
    </row>
    <row r="37" spans="1:111" s="588" customFormat="1" ht="13.5" thickBot="1" x14ac:dyDescent="0.25">
      <c r="A37" s="589">
        <f t="shared" si="1"/>
        <v>28</v>
      </c>
      <c r="B37" s="644"/>
      <c r="C37" s="1420"/>
      <c r="D37" s="639"/>
      <c r="E37" s="639"/>
      <c r="F37" s="639"/>
      <c r="G37" s="639"/>
      <c r="H37" s="639"/>
      <c r="I37" s="639"/>
      <c r="J37" s="639"/>
      <c r="K37" s="1436"/>
      <c r="L37" s="1438"/>
      <c r="M37" s="1440"/>
      <c r="N37" s="639"/>
      <c r="O37" s="640"/>
      <c r="Q37" s="589"/>
      <c r="R37" s="644"/>
      <c r="S37" s="1420"/>
      <c r="T37" s="639"/>
      <c r="U37" s="639"/>
      <c r="V37" s="639"/>
      <c r="W37" s="1013"/>
      <c r="X37" s="647"/>
      <c r="Y37" s="647"/>
      <c r="Z37" s="639"/>
      <c r="AA37" s="639"/>
      <c r="AB37" s="643"/>
      <c r="AC37" s="1004"/>
      <c r="AD37" s="1163"/>
      <c r="AE37" s="999"/>
      <c r="AF37" s="1001"/>
      <c r="AG37" s="643"/>
      <c r="AH37" s="1165"/>
      <c r="AI37" s="589"/>
      <c r="AJ37" s="375"/>
      <c r="AK37" s="1047" t="str">
        <f>Codes!$C$157</f>
        <v>AG - Automated Guideway (PT)</v>
      </c>
      <c r="AL37" s="1050" t="str">
        <f>Valid!$B$91</f>
        <v>Train Control &amp; Signaling</v>
      </c>
      <c r="AM37" s="1210"/>
      <c r="AN37" s="1404"/>
      <c r="AO37" s="1445"/>
      <c r="AP37" s="1404"/>
      <c r="AQ37" s="1196"/>
      <c r="AR37" s="1311"/>
      <c r="AS37" s="1197"/>
      <c r="AT37" s="1197"/>
      <c r="AU37" s="1197"/>
      <c r="AV37" s="1197"/>
      <c r="AW37" s="1197"/>
      <c r="AX37" s="1197"/>
      <c r="AY37" s="1197"/>
      <c r="AZ37" s="1197"/>
      <c r="BA37" s="1197"/>
      <c r="BB37" s="1197"/>
      <c r="BC37" s="1413">
        <f t="shared" si="2"/>
        <v>0</v>
      </c>
      <c r="BD37" s="1196"/>
      <c r="BE37" s="1198"/>
      <c r="BG37" s="588" t="b">
        <f>IF(OR(AK37='A-50 FGRailInv'!$C$13,AK37='A-50 FGRailInv'!$C$69,AK37='A-50 FGRailInv'!$C$124,AK37='A-50 FGRailInv'!$C$179,AK37='A-50 FGRailInv'!$C$234,AK37='A-50 FGRailInv'!$C$290,AK37='A-50 FGRailInv'!$C$346,AK37='A-50 FGRailInv'!$C$402,AK37='A-50 FGRailInv'!$C$458,AK37='A-50 FGRailInv'!$C$514),TRUE,FALSE)</f>
        <v>0</v>
      </c>
      <c r="BJ37" s="1047" t="str">
        <f>Codes!$C$159</f>
        <v>CC - Cable Car (DO)</v>
      </c>
      <c r="BK37" s="1050" t="str">
        <f>Valid!$B$86</f>
        <v>Grade Crossings</v>
      </c>
      <c r="BL37" s="1331"/>
      <c r="BM37" s="1050" t="str">
        <f>VLOOKUP(BK37,Valid!$B$80:$C$86,2,FALSE)</f>
        <v>Each</v>
      </c>
      <c r="BN37" s="1341"/>
      <c r="BO37" s="1197"/>
      <c r="BP37" s="1198"/>
      <c r="BR37" s="588" t="b">
        <f>IF(OR(BJ37='A-55 TrackInv'!$C$13,BJ37='A-55 TrackInv'!$C$44,BJ37='A-55 TrackInv'!$C$75,BJ37='A-55 TrackInv'!$C$106,BJ37='A-55 TrackInv'!$C$137,BJ37='A-55 TrackInv'!$C$168,BJ37='A-55 TrackInv'!$C$199,BJ37='A-55 TrackInv'!$C$230,BJ37='A-55 TrackInv'!$C$261,BJ37='A-55 TrackInv'!$C$292),TRUE,FALSE)</f>
        <v>0</v>
      </c>
      <c r="BU37" s="1489"/>
      <c r="BV37" s="1212"/>
      <c r="BW37" s="1004"/>
      <c r="BX37" s="999"/>
      <c r="BY37" s="999"/>
      <c r="BZ37" s="999"/>
      <c r="CA37" s="999"/>
      <c r="CB37" s="999"/>
      <c r="CC37" s="1165"/>
      <c r="CF37" s="1036"/>
      <c r="CG37" s="1004"/>
      <c r="CH37" s="1004"/>
      <c r="CI37" s="1004"/>
      <c r="CJ37" s="1004"/>
      <c r="CK37" s="1044"/>
      <c r="CL37" s="1163"/>
      <c r="CM37" s="1163"/>
      <c r="CN37" s="647"/>
      <c r="CO37" s="647"/>
      <c r="CP37" s="1163"/>
      <c r="CQ37" s="639"/>
      <c r="CR37" s="647"/>
      <c r="CS37" s="1171"/>
      <c r="CT37" s="1001"/>
      <c r="CU37" s="647"/>
      <c r="CV37" s="1001"/>
      <c r="CW37" s="647"/>
      <c r="CX37" s="1009"/>
      <c r="CY37" s="1009"/>
      <c r="CZ37" s="1163"/>
      <c r="DA37" s="1004"/>
      <c r="DB37" s="1004"/>
      <c r="DC37" s="1004"/>
      <c r="DD37" s="1004"/>
      <c r="DE37" s="1004"/>
      <c r="DF37" s="639"/>
      <c r="DG37" s="1019"/>
    </row>
    <row r="38" spans="1:111" s="588" customFormat="1" x14ac:dyDescent="0.2">
      <c r="A38" s="589">
        <f t="shared" si="1"/>
        <v>29</v>
      </c>
      <c r="B38" s="644"/>
      <c r="C38" s="1420"/>
      <c r="D38" s="639"/>
      <c r="E38" s="639"/>
      <c r="F38" s="639"/>
      <c r="G38" s="639"/>
      <c r="H38" s="639"/>
      <c r="I38" s="639"/>
      <c r="J38" s="639"/>
      <c r="K38" s="1436"/>
      <c r="L38" s="1438"/>
      <c r="M38" s="1440"/>
      <c r="N38" s="639"/>
      <c r="O38" s="640"/>
      <c r="Q38" s="589"/>
      <c r="R38" s="644"/>
      <c r="S38" s="1420"/>
      <c r="T38" s="639"/>
      <c r="U38" s="639"/>
      <c r="V38" s="639"/>
      <c r="W38" s="1013"/>
      <c r="X38" s="647"/>
      <c r="Y38" s="647"/>
      <c r="Z38" s="639"/>
      <c r="AA38" s="639"/>
      <c r="AB38" s="643"/>
      <c r="AC38" s="1004"/>
      <c r="AD38" s="1163"/>
      <c r="AE38" s="999"/>
      <c r="AF38" s="1001"/>
      <c r="AG38" s="643"/>
      <c r="AH38" s="1165"/>
      <c r="AI38" s="589"/>
      <c r="AJ38" s="375"/>
      <c r="AK38" s="1043" t="str">
        <f>Codes!$C$158</f>
        <v>AR - Alaska Railroad</v>
      </c>
      <c r="AL38" s="1303" t="str">
        <f>Valid!$B$71</f>
        <v>At-Grade/Ballast (including expressway)</v>
      </c>
      <c r="AM38" s="1003"/>
      <c r="AN38" s="1400" t="str">
        <f>Valid!$C$71</f>
        <v>Linear Feet</v>
      </c>
      <c r="AO38" s="1446"/>
      <c r="AP38" s="1400" t="s">
        <v>1149</v>
      </c>
      <c r="AQ38" s="1012"/>
      <c r="AR38" s="1312"/>
      <c r="AS38" s="1304"/>
      <c r="AT38" s="1304"/>
      <c r="AU38" s="1304"/>
      <c r="AV38" s="1304"/>
      <c r="AW38" s="1304"/>
      <c r="AX38" s="1304"/>
      <c r="AY38" s="1304"/>
      <c r="AZ38" s="1304"/>
      <c r="BA38" s="1304"/>
      <c r="BB38" s="1304"/>
      <c r="BC38" s="1408">
        <f t="shared" si="2"/>
        <v>0</v>
      </c>
      <c r="BD38" s="1007"/>
      <c r="BE38" s="1305"/>
      <c r="BG38" s="588" t="b">
        <f>IF(OR(AK38='A-50 FGRailInv'!$C$13,AK38='A-50 FGRailInv'!$C$69,AK38='A-50 FGRailInv'!$C$124,AK38='A-50 FGRailInv'!$C$179,AK38='A-50 FGRailInv'!$C$234,AK38='A-50 FGRailInv'!$C$290,AK38='A-50 FGRailInv'!$C$346,AK38='A-50 FGRailInv'!$C$402,AK38='A-50 FGRailInv'!$C$458,AK38='A-50 FGRailInv'!$C$514),TRUE,FALSE)</f>
        <v>0</v>
      </c>
      <c r="BJ38" s="1043" t="str">
        <f>Codes!$C$160</f>
        <v>CC - Cable Car (PT)</v>
      </c>
      <c r="BK38" s="1303" t="str">
        <f>Valid!$B$80</f>
        <v>Tangent</v>
      </c>
      <c r="BL38" s="1328"/>
      <c r="BM38" s="1303" t="str">
        <f>VLOOKUP(BK38,Valid!$B$80:$C$86,2,FALSE)</f>
        <v>Track Feet</v>
      </c>
      <c r="BN38" s="1332"/>
      <c r="BO38" s="1333"/>
      <c r="BP38" s="1334"/>
      <c r="BR38" s="588" t="b">
        <f>IF(OR(BJ38='A-55 TrackInv'!$C$13,BJ38='A-55 TrackInv'!$C$44,BJ38='A-55 TrackInv'!$C$75,BJ38='A-55 TrackInv'!$C$106,BJ38='A-55 TrackInv'!$C$137,BJ38='A-55 TrackInv'!$C$168,BJ38='A-55 TrackInv'!$C$199,BJ38='A-55 TrackInv'!$C$230,BJ38='A-55 TrackInv'!$C$261,BJ38='A-55 TrackInv'!$C$292),TRUE,FALSE)</f>
        <v>0</v>
      </c>
      <c r="BU38" s="1489"/>
      <c r="BV38" s="1212"/>
      <c r="BW38" s="1004"/>
      <c r="BX38" s="999"/>
      <c r="BY38" s="999"/>
      <c r="BZ38" s="999"/>
      <c r="CA38" s="999"/>
      <c r="CB38" s="999"/>
      <c r="CC38" s="1165"/>
      <c r="CF38" s="1036"/>
      <c r="CG38" s="1004"/>
      <c r="CH38" s="1004"/>
      <c r="CI38" s="1004"/>
      <c r="CJ38" s="1004"/>
      <c r="CK38" s="1044"/>
      <c r="CL38" s="1163"/>
      <c r="CM38" s="1163"/>
      <c r="CN38" s="647"/>
      <c r="CO38" s="647"/>
      <c r="CP38" s="1163"/>
      <c r="CQ38" s="639"/>
      <c r="CR38" s="647"/>
      <c r="CS38" s="1171"/>
      <c r="CT38" s="1001"/>
      <c r="CU38" s="647"/>
      <c r="CV38" s="1001"/>
      <c r="CW38" s="647"/>
      <c r="CX38" s="1009"/>
      <c r="CY38" s="1009"/>
      <c r="CZ38" s="1163"/>
      <c r="DA38" s="1004"/>
      <c r="DB38" s="1004"/>
      <c r="DC38" s="1004"/>
      <c r="DD38" s="1004"/>
      <c r="DE38" s="1004"/>
      <c r="DF38" s="639"/>
      <c r="DG38" s="1019"/>
    </row>
    <row r="39" spans="1:111" s="588" customFormat="1" ht="13.5" thickBot="1" x14ac:dyDescent="0.25">
      <c r="A39" s="589">
        <f t="shared" si="1"/>
        <v>30</v>
      </c>
      <c r="B39" s="644"/>
      <c r="C39" s="1420"/>
      <c r="D39" s="639"/>
      <c r="E39" s="639"/>
      <c r="F39" s="639"/>
      <c r="G39" s="639"/>
      <c r="H39" s="639"/>
      <c r="I39" s="639"/>
      <c r="J39" s="639"/>
      <c r="K39" s="1436"/>
      <c r="L39" s="1438"/>
      <c r="M39" s="1440"/>
      <c r="N39" s="639"/>
      <c r="O39" s="640"/>
      <c r="Q39" s="589"/>
      <c r="R39" s="644"/>
      <c r="S39" s="1420"/>
      <c r="T39" s="639"/>
      <c r="U39" s="639"/>
      <c r="V39" s="639"/>
      <c r="W39" s="1013"/>
      <c r="X39" s="647"/>
      <c r="Y39" s="647"/>
      <c r="Z39" s="639"/>
      <c r="AA39" s="639"/>
      <c r="AB39" s="643"/>
      <c r="AC39" s="1004"/>
      <c r="AD39" s="1163"/>
      <c r="AE39" s="999"/>
      <c r="AF39" s="1001"/>
      <c r="AG39" s="643"/>
      <c r="AH39" s="1165"/>
      <c r="AI39" s="589"/>
      <c r="AJ39" s="375"/>
      <c r="AK39" s="1041" t="str">
        <f>Codes!$C$158</f>
        <v>AR - Alaska Railroad</v>
      </c>
      <c r="AL39" s="1042" t="str">
        <f>Valid!$B$72</f>
        <v>At-Grade/In-Street/Embedded</v>
      </c>
      <c r="AM39" s="1004"/>
      <c r="AN39" s="1401" t="str">
        <f>Valid!$C$72</f>
        <v>Linear Feet</v>
      </c>
      <c r="AO39" s="1441"/>
      <c r="AP39" s="1401" t="s">
        <v>1149</v>
      </c>
      <c r="AQ39" s="1033"/>
      <c r="AR39" s="1307"/>
      <c r="AS39" s="997"/>
      <c r="AT39" s="997"/>
      <c r="AU39" s="997"/>
      <c r="AV39" s="997"/>
      <c r="AW39" s="997"/>
      <c r="AX39" s="997"/>
      <c r="AY39" s="997"/>
      <c r="AZ39" s="997"/>
      <c r="BA39" s="997"/>
      <c r="BB39" s="997"/>
      <c r="BC39" s="1409">
        <f t="shared" si="2"/>
        <v>0</v>
      </c>
      <c r="BD39" s="999"/>
      <c r="BE39" s="640"/>
      <c r="BG39" s="588" t="b">
        <f>IF(OR(AK39='A-50 FGRailInv'!$C$13,AK39='A-50 FGRailInv'!$C$69,AK39='A-50 FGRailInv'!$C$124,AK39='A-50 FGRailInv'!$C$179,AK39='A-50 FGRailInv'!$C$234,AK39='A-50 FGRailInv'!$C$290,AK39='A-50 FGRailInv'!$C$346,AK39='A-50 FGRailInv'!$C$402,AK39='A-50 FGRailInv'!$C$458,AK39='A-50 FGRailInv'!$C$514),TRUE,FALSE)</f>
        <v>0</v>
      </c>
      <c r="BJ39" s="1048" t="str">
        <f>Codes!$C$160</f>
        <v>CC - Cable Car (PT)</v>
      </c>
      <c r="BK39" s="1049" t="str">
        <f>Valid!$B$81</f>
        <v>Curve</v>
      </c>
      <c r="BL39" s="1329"/>
      <c r="BM39" s="1049" t="str">
        <f>VLOOKUP(BK39,Valid!$B$80:$C$86,2,FALSE)</f>
        <v>Track Feet</v>
      </c>
      <c r="BN39" s="1335"/>
      <c r="BO39" s="1336"/>
      <c r="BP39" s="1337"/>
      <c r="BR39" s="588" t="b">
        <f>IF(OR(BJ39='A-55 TrackInv'!$C$13,BJ39='A-55 TrackInv'!$C$44,BJ39='A-55 TrackInv'!$C$75,BJ39='A-55 TrackInv'!$C$106,BJ39='A-55 TrackInv'!$C$137,BJ39='A-55 TrackInv'!$C$168,BJ39='A-55 TrackInv'!$C$199,BJ39='A-55 TrackInv'!$C$230,BJ39='A-55 TrackInv'!$C$261,BJ39='A-55 TrackInv'!$C$292),TRUE,FALSE)</f>
        <v>0</v>
      </c>
      <c r="BU39" s="1489"/>
      <c r="BV39" s="1212"/>
      <c r="BW39" s="1004"/>
      <c r="BX39" s="999"/>
      <c r="BY39" s="999"/>
      <c r="BZ39" s="999"/>
      <c r="CA39" s="999"/>
      <c r="CB39" s="999"/>
      <c r="CC39" s="1165"/>
      <c r="CF39" s="1036"/>
      <c r="CG39" s="1004"/>
      <c r="CH39" s="1004"/>
      <c r="CI39" s="1004"/>
      <c r="CJ39" s="1004"/>
      <c r="CK39" s="1044"/>
      <c r="CL39" s="1163"/>
      <c r="CM39" s="1163"/>
      <c r="CN39" s="647"/>
      <c r="CO39" s="647"/>
      <c r="CP39" s="1163"/>
      <c r="CQ39" s="639"/>
      <c r="CR39" s="647"/>
      <c r="CS39" s="1171"/>
      <c r="CT39" s="1001"/>
      <c r="CU39" s="647"/>
      <c r="CV39" s="1001"/>
      <c r="CW39" s="647"/>
      <c r="CX39" s="1009"/>
      <c r="CY39" s="1009"/>
      <c r="CZ39" s="1163"/>
      <c r="DA39" s="1004"/>
      <c r="DB39" s="1004"/>
      <c r="DC39" s="1004"/>
      <c r="DD39" s="1004"/>
      <c r="DE39" s="1004"/>
      <c r="DF39" s="639"/>
      <c r="DG39" s="1019"/>
    </row>
    <row r="40" spans="1:111" s="588" customFormat="1" ht="13.5" thickTop="1" x14ac:dyDescent="0.2">
      <c r="A40" s="589">
        <f t="shared" si="1"/>
        <v>31</v>
      </c>
      <c r="B40" s="644"/>
      <c r="C40" s="1420"/>
      <c r="D40" s="639"/>
      <c r="E40" s="639"/>
      <c r="F40" s="639"/>
      <c r="G40" s="639"/>
      <c r="H40" s="639"/>
      <c r="I40" s="639"/>
      <c r="J40" s="639"/>
      <c r="K40" s="1436"/>
      <c r="L40" s="1438"/>
      <c r="M40" s="1440"/>
      <c r="N40" s="639"/>
      <c r="O40" s="640"/>
      <c r="Q40" s="589"/>
      <c r="R40" s="644"/>
      <c r="S40" s="1420"/>
      <c r="T40" s="639"/>
      <c r="U40" s="639"/>
      <c r="V40" s="639"/>
      <c r="W40" s="1013"/>
      <c r="X40" s="647"/>
      <c r="Y40" s="647"/>
      <c r="Z40" s="639"/>
      <c r="AA40" s="639"/>
      <c r="AB40" s="643"/>
      <c r="AC40" s="1004"/>
      <c r="AD40" s="1163"/>
      <c r="AE40" s="999"/>
      <c r="AF40" s="1001"/>
      <c r="AG40" s="643"/>
      <c r="AH40" s="1165"/>
      <c r="AI40" s="589"/>
      <c r="AJ40" s="375"/>
      <c r="AK40" s="1041" t="str">
        <f>Codes!$C$158</f>
        <v>AR - Alaska Railroad</v>
      </c>
      <c r="AL40" s="1042" t="str">
        <f>Valid!$B$73</f>
        <v>Elevated/Retained Fill</v>
      </c>
      <c r="AM40" s="1004"/>
      <c r="AN40" s="1401" t="str">
        <f>Valid!$C$73</f>
        <v>Linear Feet</v>
      </c>
      <c r="AO40" s="1441"/>
      <c r="AP40" s="1401" t="s">
        <v>1149</v>
      </c>
      <c r="AQ40" s="1033"/>
      <c r="AR40" s="1307"/>
      <c r="AS40" s="997"/>
      <c r="AT40" s="997"/>
      <c r="AU40" s="997"/>
      <c r="AV40" s="997"/>
      <c r="AW40" s="997"/>
      <c r="AX40" s="997"/>
      <c r="AY40" s="997"/>
      <c r="AZ40" s="997"/>
      <c r="BA40" s="997"/>
      <c r="BB40" s="997"/>
      <c r="BC40" s="1409">
        <f t="shared" si="2"/>
        <v>0</v>
      </c>
      <c r="BD40" s="999"/>
      <c r="BE40" s="640"/>
      <c r="BG40" s="588" t="b">
        <f>IF(OR(AK40='A-50 FGRailInv'!$C$13,AK40='A-50 FGRailInv'!$C$69,AK40='A-50 FGRailInv'!$C$124,AK40='A-50 FGRailInv'!$C$179,AK40='A-50 FGRailInv'!$C$234,AK40='A-50 FGRailInv'!$C$290,AK40='A-50 FGRailInv'!$C$346,AK40='A-50 FGRailInv'!$C$402,AK40='A-50 FGRailInv'!$C$458,AK40='A-50 FGRailInv'!$C$514),TRUE,FALSE)</f>
        <v>0</v>
      </c>
      <c r="BJ40" s="1045" t="str">
        <f>Codes!$C$160</f>
        <v>CC - Cable Car (PT)</v>
      </c>
      <c r="BK40" s="1046" t="str">
        <f>Valid!$B$82</f>
        <v>Double Diamond Crossover</v>
      </c>
      <c r="BL40" s="1330"/>
      <c r="BM40" s="1046" t="str">
        <f>VLOOKUP(BK40,Valid!$B$80:$C$86,2,FALSE)</f>
        <v>Each</v>
      </c>
      <c r="BN40" s="1338"/>
      <c r="BO40" s="1339"/>
      <c r="BP40" s="1340"/>
      <c r="BR40" s="588" t="b">
        <f>IF(OR(BJ40='A-55 TrackInv'!$C$13,BJ40='A-55 TrackInv'!$C$44,BJ40='A-55 TrackInv'!$C$75,BJ40='A-55 TrackInv'!$C$106,BJ40='A-55 TrackInv'!$C$137,BJ40='A-55 TrackInv'!$C$168,BJ40='A-55 TrackInv'!$C$199,BJ40='A-55 TrackInv'!$C$230,BJ40='A-55 TrackInv'!$C$261,BJ40='A-55 TrackInv'!$C$292),TRUE,FALSE)</f>
        <v>0</v>
      </c>
      <c r="BU40" s="1489"/>
      <c r="BV40" s="1212"/>
      <c r="BW40" s="1004"/>
      <c r="BX40" s="999"/>
      <c r="BY40" s="999"/>
      <c r="BZ40" s="999"/>
      <c r="CA40" s="999"/>
      <c r="CB40" s="999"/>
      <c r="CC40" s="1165"/>
      <c r="CF40" s="1036"/>
      <c r="CG40" s="1004"/>
      <c r="CH40" s="1004"/>
      <c r="CI40" s="1004"/>
      <c r="CJ40" s="1004"/>
      <c r="CK40" s="1044"/>
      <c r="CL40" s="1163"/>
      <c r="CM40" s="1163"/>
      <c r="CN40" s="647"/>
      <c r="CO40" s="647"/>
      <c r="CP40" s="1163"/>
      <c r="CQ40" s="639"/>
      <c r="CR40" s="647"/>
      <c r="CS40" s="1171"/>
      <c r="CT40" s="1001"/>
      <c r="CU40" s="647"/>
      <c r="CV40" s="1001"/>
      <c r="CW40" s="647"/>
      <c r="CX40" s="1009"/>
      <c r="CY40" s="1009"/>
      <c r="CZ40" s="1163"/>
      <c r="DA40" s="1004"/>
      <c r="DB40" s="1004"/>
      <c r="DC40" s="1004"/>
      <c r="DD40" s="1004"/>
      <c r="DE40" s="1004"/>
      <c r="DF40" s="639"/>
      <c r="DG40" s="1019"/>
    </row>
    <row r="41" spans="1:111" s="588" customFormat="1" x14ac:dyDescent="0.2">
      <c r="A41" s="589">
        <f>A40+1</f>
        <v>32</v>
      </c>
      <c r="B41" s="644"/>
      <c r="C41" s="1420"/>
      <c r="D41" s="639"/>
      <c r="E41" s="639"/>
      <c r="F41" s="639"/>
      <c r="G41" s="639"/>
      <c r="H41" s="639"/>
      <c r="I41" s="639"/>
      <c r="J41" s="639"/>
      <c r="K41" s="1436"/>
      <c r="L41" s="1438"/>
      <c r="M41" s="1440"/>
      <c r="N41" s="639"/>
      <c r="O41" s="640"/>
      <c r="Q41" s="589"/>
      <c r="R41" s="644"/>
      <c r="S41" s="1420"/>
      <c r="T41" s="639"/>
      <c r="U41" s="639"/>
      <c r="V41" s="639"/>
      <c r="W41" s="1013"/>
      <c r="X41" s="647"/>
      <c r="Y41" s="647"/>
      <c r="Z41" s="639"/>
      <c r="AA41" s="639"/>
      <c r="AB41" s="643"/>
      <c r="AC41" s="1004"/>
      <c r="AD41" s="1163"/>
      <c r="AE41" s="999"/>
      <c r="AF41" s="1001"/>
      <c r="AG41" s="643"/>
      <c r="AH41" s="1165"/>
      <c r="AI41" s="589"/>
      <c r="AJ41" s="375"/>
      <c r="AK41" s="1041" t="str">
        <f>Codes!$C$158</f>
        <v>AR - Alaska Railroad</v>
      </c>
      <c r="AL41" s="1042" t="str">
        <f>Valid!$B$74</f>
        <v>Elevated/Concrete</v>
      </c>
      <c r="AM41" s="1004"/>
      <c r="AN41" s="1401" t="str">
        <f>Valid!$C$74</f>
        <v>Linear Feet</v>
      </c>
      <c r="AO41" s="1441"/>
      <c r="AP41" s="1401" t="s">
        <v>1149</v>
      </c>
      <c r="AQ41" s="1033"/>
      <c r="AR41" s="1307"/>
      <c r="AS41" s="997"/>
      <c r="AT41" s="997"/>
      <c r="AU41" s="997"/>
      <c r="AV41" s="997"/>
      <c r="AW41" s="997"/>
      <c r="AX41" s="997"/>
      <c r="AY41" s="997"/>
      <c r="AZ41" s="997"/>
      <c r="BA41" s="997"/>
      <c r="BB41" s="997"/>
      <c r="BC41" s="1409">
        <f t="shared" si="2"/>
        <v>0</v>
      </c>
      <c r="BD41" s="999"/>
      <c r="BE41" s="640"/>
      <c r="BG41" s="588" t="b">
        <f>IF(OR(AK41='A-50 FGRailInv'!$C$13,AK41='A-50 FGRailInv'!$C$69,AK41='A-50 FGRailInv'!$C$124,AK41='A-50 FGRailInv'!$C$179,AK41='A-50 FGRailInv'!$C$234,AK41='A-50 FGRailInv'!$C$290,AK41='A-50 FGRailInv'!$C$346,AK41='A-50 FGRailInv'!$C$402,AK41='A-50 FGRailInv'!$C$458,AK41='A-50 FGRailInv'!$C$514),TRUE,FALSE)</f>
        <v>0</v>
      </c>
      <c r="BJ41" s="1041" t="str">
        <f>Codes!$C$160</f>
        <v>CC - Cable Car (PT)</v>
      </c>
      <c r="BK41" s="1042" t="str">
        <f>Valid!$B$83</f>
        <v>Single Crossover</v>
      </c>
      <c r="BL41" s="1382"/>
      <c r="BM41" s="1042" t="str">
        <f>VLOOKUP(BK41,Valid!$B$80:$C$86,2,FALSE)</f>
        <v>Each</v>
      </c>
      <c r="BN41" s="1383"/>
      <c r="BO41" s="1194"/>
      <c r="BP41" s="1195"/>
      <c r="BR41" s="588" t="b">
        <f>IF(OR(BJ41='A-55 TrackInv'!$C$13,BJ41='A-55 TrackInv'!$C$44,BJ41='A-55 TrackInv'!$C$75,BJ41='A-55 TrackInv'!$C$106,BJ41='A-55 TrackInv'!$C$137,BJ41='A-55 TrackInv'!$C$168,BJ41='A-55 TrackInv'!$C$199,BJ41='A-55 TrackInv'!$C$230,BJ41='A-55 TrackInv'!$C$261,BJ41='A-55 TrackInv'!$C$292),TRUE,FALSE)</f>
        <v>0</v>
      </c>
      <c r="BU41" s="1489"/>
      <c r="BV41" s="1212"/>
      <c r="BW41" s="1004"/>
      <c r="BX41" s="999"/>
      <c r="BY41" s="999"/>
      <c r="BZ41" s="999"/>
      <c r="CA41" s="999"/>
      <c r="CB41" s="999"/>
      <c r="CC41" s="1165"/>
      <c r="CF41" s="1036"/>
      <c r="CG41" s="1004"/>
      <c r="CH41" s="1004"/>
      <c r="CI41" s="1004"/>
      <c r="CJ41" s="1004"/>
      <c r="CK41" s="1044"/>
      <c r="CL41" s="1163"/>
      <c r="CM41" s="1163"/>
      <c r="CN41" s="647"/>
      <c r="CO41" s="647"/>
      <c r="CP41" s="1163"/>
      <c r="CQ41" s="639"/>
      <c r="CR41" s="647"/>
      <c r="CS41" s="1171"/>
      <c r="CT41" s="1001"/>
      <c r="CU41" s="647"/>
      <c r="CV41" s="1001"/>
      <c r="CW41" s="647"/>
      <c r="CX41" s="1009"/>
      <c r="CY41" s="1009"/>
      <c r="CZ41" s="1163"/>
      <c r="DA41" s="1004"/>
      <c r="DB41" s="1004"/>
      <c r="DC41" s="1004"/>
      <c r="DD41" s="1004"/>
      <c r="DE41" s="1004"/>
      <c r="DF41" s="639"/>
      <c r="DG41" s="1019"/>
    </row>
    <row r="42" spans="1:111" s="588" customFormat="1" x14ac:dyDescent="0.2">
      <c r="A42" s="589">
        <f t="shared" si="1"/>
        <v>33</v>
      </c>
      <c r="B42" s="644"/>
      <c r="C42" s="1420"/>
      <c r="D42" s="639"/>
      <c r="E42" s="639"/>
      <c r="F42" s="639"/>
      <c r="G42" s="639"/>
      <c r="H42" s="639"/>
      <c r="I42" s="639"/>
      <c r="J42" s="639"/>
      <c r="K42" s="1436"/>
      <c r="L42" s="1438"/>
      <c r="M42" s="1440"/>
      <c r="N42" s="639"/>
      <c r="O42" s="640"/>
      <c r="Q42" s="589"/>
      <c r="R42" s="644"/>
      <c r="S42" s="1420"/>
      <c r="T42" s="639"/>
      <c r="U42" s="639"/>
      <c r="V42" s="639"/>
      <c r="W42" s="1013"/>
      <c r="X42" s="647"/>
      <c r="Y42" s="647"/>
      <c r="Z42" s="639"/>
      <c r="AA42" s="639"/>
      <c r="AB42" s="643"/>
      <c r="AC42" s="1004"/>
      <c r="AD42" s="1163"/>
      <c r="AE42" s="999"/>
      <c r="AF42" s="1001"/>
      <c r="AG42" s="643"/>
      <c r="AH42" s="1165"/>
      <c r="AI42" s="589"/>
      <c r="AJ42" s="375"/>
      <c r="AK42" s="1041" t="str">
        <f>Codes!$C$158</f>
        <v>AR - Alaska Railroad</v>
      </c>
      <c r="AL42" s="1042" t="str">
        <f>Valid!$B$75</f>
        <v>Elevated/Steel Viaduct or Bridge</v>
      </c>
      <c r="AM42" s="1004"/>
      <c r="AN42" s="1401" t="str">
        <f>Valid!$C$75</f>
        <v>Linear Feet</v>
      </c>
      <c r="AO42" s="1441"/>
      <c r="AP42" s="1401" t="s">
        <v>1149</v>
      </c>
      <c r="AQ42" s="1033"/>
      <c r="AR42" s="1307"/>
      <c r="AS42" s="997"/>
      <c r="AT42" s="997"/>
      <c r="AU42" s="997"/>
      <c r="AV42" s="997"/>
      <c r="AW42" s="997"/>
      <c r="AX42" s="997"/>
      <c r="AY42" s="997"/>
      <c r="AZ42" s="997"/>
      <c r="BA42" s="997"/>
      <c r="BB42" s="997"/>
      <c r="BC42" s="1409">
        <f t="shared" si="2"/>
        <v>0</v>
      </c>
      <c r="BD42" s="999"/>
      <c r="BE42" s="640"/>
      <c r="BG42" s="588" t="b">
        <f>IF(OR(AK42='A-50 FGRailInv'!$C$13,AK42='A-50 FGRailInv'!$C$69,AK42='A-50 FGRailInv'!$C$124,AK42='A-50 FGRailInv'!$C$179,AK42='A-50 FGRailInv'!$C$234,AK42='A-50 FGRailInv'!$C$290,AK42='A-50 FGRailInv'!$C$346,AK42='A-50 FGRailInv'!$C$402,AK42='A-50 FGRailInv'!$C$458,AK42='A-50 FGRailInv'!$C$514),TRUE,FALSE)</f>
        <v>0</v>
      </c>
      <c r="BJ42" s="1041" t="str">
        <f>Codes!$C$160</f>
        <v>CC - Cable Car (PT)</v>
      </c>
      <c r="BK42" s="1042" t="str">
        <f>Valid!$B$84</f>
        <v>Half Grand Union</v>
      </c>
      <c r="BL42" s="1382"/>
      <c r="BM42" s="1042" t="str">
        <f>VLOOKUP(BK42,Valid!$B$80:$C$86,2,FALSE)</f>
        <v>Each</v>
      </c>
      <c r="BN42" s="1383"/>
      <c r="BO42" s="1194"/>
      <c r="BP42" s="1195"/>
      <c r="BR42" s="588" t="b">
        <f>IF(OR(BJ42='A-55 TrackInv'!$C$13,BJ42='A-55 TrackInv'!$C$44,BJ42='A-55 TrackInv'!$C$75,BJ42='A-55 TrackInv'!$C$106,BJ42='A-55 TrackInv'!$C$137,BJ42='A-55 TrackInv'!$C$168,BJ42='A-55 TrackInv'!$C$199,BJ42='A-55 TrackInv'!$C$230,BJ42='A-55 TrackInv'!$C$261,BJ42='A-55 TrackInv'!$C$292),TRUE,FALSE)</f>
        <v>0</v>
      </c>
      <c r="BU42" s="1489"/>
      <c r="BV42" s="1212"/>
      <c r="BW42" s="1004"/>
      <c r="BX42" s="999"/>
      <c r="BY42" s="999"/>
      <c r="BZ42" s="999"/>
      <c r="CA42" s="999"/>
      <c r="CB42" s="999"/>
      <c r="CC42" s="1165"/>
      <c r="CF42" s="1036"/>
      <c r="CG42" s="1004"/>
      <c r="CH42" s="1004"/>
      <c r="CI42" s="1004"/>
      <c r="CJ42" s="1004"/>
      <c r="CK42" s="1044"/>
      <c r="CL42" s="1163"/>
      <c r="CM42" s="1163"/>
      <c r="CN42" s="647"/>
      <c r="CO42" s="647"/>
      <c r="CP42" s="1163"/>
      <c r="CQ42" s="639"/>
      <c r="CR42" s="647"/>
      <c r="CS42" s="1171"/>
      <c r="CT42" s="1001"/>
      <c r="CU42" s="647"/>
      <c r="CV42" s="1001"/>
      <c r="CW42" s="647"/>
      <c r="CX42" s="1009"/>
      <c r="CY42" s="1009"/>
      <c r="CZ42" s="1163"/>
      <c r="DA42" s="1004"/>
      <c r="DB42" s="1004"/>
      <c r="DC42" s="1004"/>
      <c r="DD42" s="1004"/>
      <c r="DE42" s="1004"/>
      <c r="DF42" s="639"/>
      <c r="DG42" s="1019"/>
    </row>
    <row r="43" spans="1:111" s="588" customFormat="1" x14ac:dyDescent="0.2">
      <c r="A43" s="589">
        <f t="shared" si="1"/>
        <v>34</v>
      </c>
      <c r="B43" s="644"/>
      <c r="C43" s="1420"/>
      <c r="D43" s="639"/>
      <c r="E43" s="639"/>
      <c r="F43" s="639"/>
      <c r="G43" s="639"/>
      <c r="H43" s="639"/>
      <c r="I43" s="639"/>
      <c r="J43" s="639"/>
      <c r="K43" s="1436"/>
      <c r="L43" s="1438"/>
      <c r="M43" s="1440"/>
      <c r="N43" s="639"/>
      <c r="O43" s="640"/>
      <c r="Q43" s="589"/>
      <c r="R43" s="644"/>
      <c r="S43" s="1420"/>
      <c r="T43" s="639"/>
      <c r="U43" s="639"/>
      <c r="V43" s="639"/>
      <c r="W43" s="1013"/>
      <c r="X43" s="647"/>
      <c r="Y43" s="647"/>
      <c r="Z43" s="639"/>
      <c r="AA43" s="639"/>
      <c r="AB43" s="643"/>
      <c r="AC43" s="1004"/>
      <c r="AD43" s="1163"/>
      <c r="AE43" s="999"/>
      <c r="AF43" s="1001"/>
      <c r="AG43" s="643"/>
      <c r="AH43" s="1165"/>
      <c r="AI43" s="589"/>
      <c r="AJ43" s="375"/>
      <c r="AK43" s="1041" t="str">
        <f>Codes!$C$158</f>
        <v>AR - Alaska Railroad</v>
      </c>
      <c r="AL43" s="1042" t="str">
        <f>Valid!$B$76</f>
        <v>Below-Grade/Retained Cut</v>
      </c>
      <c r="AM43" s="1004"/>
      <c r="AN43" s="1401" t="str">
        <f>Valid!$C$76</f>
        <v>Linear Feet</v>
      </c>
      <c r="AO43" s="1441"/>
      <c r="AP43" s="1401" t="s">
        <v>1149</v>
      </c>
      <c r="AQ43" s="1033"/>
      <c r="AR43" s="1307"/>
      <c r="AS43" s="997"/>
      <c r="AT43" s="997"/>
      <c r="AU43" s="997"/>
      <c r="AV43" s="997"/>
      <c r="AW43" s="997"/>
      <c r="AX43" s="997"/>
      <c r="AY43" s="997"/>
      <c r="AZ43" s="997"/>
      <c r="BA43" s="997"/>
      <c r="BB43" s="997"/>
      <c r="BC43" s="1409">
        <f t="shared" si="2"/>
        <v>0</v>
      </c>
      <c r="BD43" s="999"/>
      <c r="BE43" s="640"/>
      <c r="BG43" s="588" t="b">
        <f>IF(OR(AK43='A-50 FGRailInv'!$C$13,AK43='A-50 FGRailInv'!$C$69,AK43='A-50 FGRailInv'!$C$124,AK43='A-50 FGRailInv'!$C$179,AK43='A-50 FGRailInv'!$C$234,AK43='A-50 FGRailInv'!$C$290,AK43='A-50 FGRailInv'!$C$346,AK43='A-50 FGRailInv'!$C$402,AK43='A-50 FGRailInv'!$C$458,AK43='A-50 FGRailInv'!$C$514),TRUE,FALSE)</f>
        <v>0</v>
      </c>
      <c r="BJ43" s="1041" t="str">
        <f>Codes!$C$160</f>
        <v>CC - Cable Car (PT)</v>
      </c>
      <c r="BK43" s="1042" t="str">
        <f>Valid!$B$85</f>
        <v>Single Turnout</v>
      </c>
      <c r="BL43" s="1382"/>
      <c r="BM43" s="1042" t="str">
        <f>VLOOKUP(BK43,Valid!$B$80:$C$86,2,FALSE)</f>
        <v>Each</v>
      </c>
      <c r="BN43" s="1383"/>
      <c r="BO43" s="1194"/>
      <c r="BP43" s="1195"/>
      <c r="BR43" s="588" t="b">
        <f>IF(OR(BJ43='A-55 TrackInv'!$C$13,BJ43='A-55 TrackInv'!$C$44,BJ43='A-55 TrackInv'!$C$75,BJ43='A-55 TrackInv'!$C$106,BJ43='A-55 TrackInv'!$C$137,BJ43='A-55 TrackInv'!$C$168,BJ43='A-55 TrackInv'!$C$199,BJ43='A-55 TrackInv'!$C$230,BJ43='A-55 TrackInv'!$C$261,BJ43='A-55 TrackInv'!$C$292),TRUE,FALSE)</f>
        <v>0</v>
      </c>
      <c r="BU43" s="1489"/>
      <c r="BV43" s="1212"/>
      <c r="BW43" s="1004"/>
      <c r="BX43" s="999"/>
      <c r="BY43" s="999"/>
      <c r="BZ43" s="999"/>
      <c r="CA43" s="999"/>
      <c r="CB43" s="999"/>
      <c r="CC43" s="1165"/>
      <c r="CF43" s="1036"/>
      <c r="CG43" s="1004"/>
      <c r="CH43" s="1004"/>
      <c r="CI43" s="1004"/>
      <c r="CJ43" s="1004"/>
      <c r="CK43" s="1044"/>
      <c r="CL43" s="1163"/>
      <c r="CM43" s="1163"/>
      <c r="CN43" s="647"/>
      <c r="CO43" s="647"/>
      <c r="CP43" s="1163"/>
      <c r="CQ43" s="639"/>
      <c r="CR43" s="647"/>
      <c r="CS43" s="1171"/>
      <c r="CT43" s="1001"/>
      <c r="CU43" s="647"/>
      <c r="CV43" s="1001"/>
      <c r="CW43" s="647"/>
      <c r="CX43" s="1009"/>
      <c r="CY43" s="1009"/>
      <c r="CZ43" s="1163"/>
      <c r="DA43" s="1004"/>
      <c r="DB43" s="1004"/>
      <c r="DC43" s="1004"/>
      <c r="DD43" s="1004"/>
      <c r="DE43" s="1004"/>
      <c r="DF43" s="639"/>
      <c r="DG43" s="1019"/>
    </row>
    <row r="44" spans="1:111" s="588" customFormat="1" ht="13.5" thickBot="1" x14ac:dyDescent="0.25">
      <c r="A44" s="589">
        <f t="shared" si="1"/>
        <v>35</v>
      </c>
      <c r="B44" s="644"/>
      <c r="C44" s="1420"/>
      <c r="D44" s="639"/>
      <c r="E44" s="639"/>
      <c r="F44" s="639"/>
      <c r="G44" s="1013"/>
      <c r="H44" s="639"/>
      <c r="I44" s="639"/>
      <c r="J44" s="643"/>
      <c r="K44" s="1004"/>
      <c r="L44" s="999"/>
      <c r="M44" s="1001"/>
      <c r="N44" s="643"/>
      <c r="O44" s="640"/>
      <c r="Q44" s="589"/>
      <c r="R44" s="644"/>
      <c r="S44" s="1420"/>
      <c r="T44" s="639"/>
      <c r="U44" s="639"/>
      <c r="V44" s="639"/>
      <c r="W44" s="1013"/>
      <c r="X44" s="647"/>
      <c r="Y44" s="647"/>
      <c r="Z44" s="639"/>
      <c r="AA44" s="639"/>
      <c r="AB44" s="643"/>
      <c r="AC44" s="1004"/>
      <c r="AD44" s="1163"/>
      <c r="AE44" s="999"/>
      <c r="AF44" s="1001"/>
      <c r="AG44" s="643"/>
      <c r="AH44" s="1165"/>
      <c r="AI44" s="589"/>
      <c r="AJ44" s="375"/>
      <c r="AK44" s="1041" t="str">
        <f>Codes!$C$158</f>
        <v>AR - Alaska Railroad</v>
      </c>
      <c r="AL44" s="1042" t="str">
        <f>Valid!$B$77</f>
        <v>Below-Grade/Cut-and-Cover Tunnel</v>
      </c>
      <c r="AM44" s="1004"/>
      <c r="AN44" s="1401" t="str">
        <f>Valid!$C$77</f>
        <v>Linear Feet</v>
      </c>
      <c r="AO44" s="1441"/>
      <c r="AP44" s="1401" t="s">
        <v>1149</v>
      </c>
      <c r="AQ44" s="1033"/>
      <c r="AR44" s="1307"/>
      <c r="AS44" s="997"/>
      <c r="AT44" s="997"/>
      <c r="AU44" s="997"/>
      <c r="AV44" s="997"/>
      <c r="AW44" s="997"/>
      <c r="AX44" s="997"/>
      <c r="AY44" s="997"/>
      <c r="AZ44" s="997"/>
      <c r="BA44" s="997"/>
      <c r="BB44" s="997"/>
      <c r="BC44" s="1409">
        <f t="shared" si="2"/>
        <v>0</v>
      </c>
      <c r="BD44" s="999"/>
      <c r="BE44" s="640"/>
      <c r="BG44" s="588" t="b">
        <f>IF(OR(AK44='A-50 FGRailInv'!$C$13,AK44='A-50 FGRailInv'!$C$69,AK44='A-50 FGRailInv'!$C$124,AK44='A-50 FGRailInv'!$C$179,AK44='A-50 FGRailInv'!$C$234,AK44='A-50 FGRailInv'!$C$290,AK44='A-50 FGRailInv'!$C$346,AK44='A-50 FGRailInv'!$C$402,AK44='A-50 FGRailInv'!$C$458,AK44='A-50 FGRailInv'!$C$514),TRUE,FALSE)</f>
        <v>0</v>
      </c>
      <c r="BJ44" s="1047" t="str">
        <f>Codes!$C$160</f>
        <v>CC - Cable Car (PT)</v>
      </c>
      <c r="BK44" s="1050" t="str">
        <f>Valid!$B$86</f>
        <v>Grade Crossings</v>
      </c>
      <c r="BL44" s="1331"/>
      <c r="BM44" s="1050" t="str">
        <f>VLOOKUP(BK44,Valid!$B$80:$C$86,2,FALSE)</f>
        <v>Each</v>
      </c>
      <c r="BN44" s="1341"/>
      <c r="BO44" s="1197"/>
      <c r="BP44" s="1198"/>
      <c r="BR44" s="588" t="b">
        <f>IF(OR(BJ44='A-55 TrackInv'!$C$13,BJ44='A-55 TrackInv'!$C$44,BJ44='A-55 TrackInv'!$C$75,BJ44='A-55 TrackInv'!$C$106,BJ44='A-55 TrackInv'!$C$137,BJ44='A-55 TrackInv'!$C$168,BJ44='A-55 TrackInv'!$C$199,BJ44='A-55 TrackInv'!$C$230,BJ44='A-55 TrackInv'!$C$261,BJ44='A-55 TrackInv'!$C$292),TRUE,FALSE)</f>
        <v>0</v>
      </c>
      <c r="BU44" s="1489"/>
      <c r="BV44" s="1212"/>
      <c r="BW44" s="1004"/>
      <c r="BX44" s="999"/>
      <c r="BY44" s="999"/>
      <c r="BZ44" s="999"/>
      <c r="CA44" s="999"/>
      <c r="CB44" s="999"/>
      <c r="CC44" s="1165"/>
      <c r="CF44" s="1036"/>
      <c r="CG44" s="1004"/>
      <c r="CH44" s="1004"/>
      <c r="CI44" s="1004"/>
      <c r="CJ44" s="1004"/>
      <c r="CK44" s="1044"/>
      <c r="CL44" s="1163"/>
      <c r="CM44" s="1163"/>
      <c r="CN44" s="647"/>
      <c r="CO44" s="647"/>
      <c r="CP44" s="1163"/>
      <c r="CQ44" s="639"/>
      <c r="CR44" s="647"/>
      <c r="CS44" s="1171"/>
      <c r="CT44" s="1001"/>
      <c r="CU44" s="647"/>
      <c r="CV44" s="1001"/>
      <c r="CW44" s="647"/>
      <c r="CX44" s="1009"/>
      <c r="CY44" s="1009"/>
      <c r="CZ44" s="1163"/>
      <c r="DA44" s="1004"/>
      <c r="DB44" s="1004"/>
      <c r="DC44" s="1004"/>
      <c r="DD44" s="1004"/>
      <c r="DE44" s="1004"/>
      <c r="DF44" s="639"/>
      <c r="DG44" s="1019"/>
    </row>
    <row r="45" spans="1:111" s="588" customFormat="1" x14ac:dyDescent="0.2">
      <c r="A45" s="589">
        <f t="shared" si="1"/>
        <v>36</v>
      </c>
      <c r="B45" s="644"/>
      <c r="C45" s="1420"/>
      <c r="D45" s="639"/>
      <c r="E45" s="639"/>
      <c r="F45" s="639"/>
      <c r="G45" s="1013"/>
      <c r="H45" s="639"/>
      <c r="I45" s="639"/>
      <c r="J45" s="643"/>
      <c r="K45" s="1004"/>
      <c r="L45" s="999"/>
      <c r="M45" s="1001"/>
      <c r="N45" s="643"/>
      <c r="O45" s="640"/>
      <c r="Q45" s="589"/>
      <c r="R45" s="644"/>
      <c r="S45" s="1420"/>
      <c r="T45" s="639"/>
      <c r="U45" s="639"/>
      <c r="V45" s="639"/>
      <c r="W45" s="1013"/>
      <c r="X45" s="647"/>
      <c r="Y45" s="647"/>
      <c r="Z45" s="639"/>
      <c r="AA45" s="639"/>
      <c r="AB45" s="643"/>
      <c r="AC45" s="1004"/>
      <c r="AD45" s="1163"/>
      <c r="AE45" s="999"/>
      <c r="AF45" s="1001"/>
      <c r="AG45" s="643"/>
      <c r="AH45" s="1165"/>
      <c r="AI45" s="589"/>
      <c r="AJ45" s="375"/>
      <c r="AK45" s="1041" t="str">
        <f>Codes!$C$158</f>
        <v>AR - Alaska Railroad</v>
      </c>
      <c r="AL45" s="1042" t="str">
        <f>Valid!$B$78</f>
        <v>Below-Grade/Bored or Blasted Tunnel</v>
      </c>
      <c r="AM45" s="1004"/>
      <c r="AN45" s="1401" t="str">
        <f>Valid!$C$78</f>
        <v>Linear Feet</v>
      </c>
      <c r="AO45" s="1441"/>
      <c r="AP45" s="1401" t="s">
        <v>1149</v>
      </c>
      <c r="AQ45" s="1033"/>
      <c r="AR45" s="1307"/>
      <c r="AS45" s="997"/>
      <c r="AT45" s="997"/>
      <c r="AU45" s="997"/>
      <c r="AV45" s="997"/>
      <c r="AW45" s="997"/>
      <c r="AX45" s="997"/>
      <c r="AY45" s="997"/>
      <c r="AZ45" s="997"/>
      <c r="BA45" s="997"/>
      <c r="BB45" s="997"/>
      <c r="BC45" s="1409">
        <f t="shared" si="2"/>
        <v>0</v>
      </c>
      <c r="BD45" s="999"/>
      <c r="BE45" s="640"/>
      <c r="BG45" s="588" t="b">
        <f>IF(OR(AK45='A-50 FGRailInv'!$C$13,AK45='A-50 FGRailInv'!$C$69,AK45='A-50 FGRailInv'!$C$124,AK45='A-50 FGRailInv'!$C$179,AK45='A-50 FGRailInv'!$C$234,AK45='A-50 FGRailInv'!$C$290,AK45='A-50 FGRailInv'!$C$346,AK45='A-50 FGRailInv'!$C$402,AK45='A-50 FGRailInv'!$C$458,AK45='A-50 FGRailInv'!$C$514),TRUE,FALSE)</f>
        <v>0</v>
      </c>
      <c r="BJ45" s="1043" t="str">
        <f>Codes!$C$161</f>
        <v>CR - Commuter Rail (DO)</v>
      </c>
      <c r="BK45" s="1303" t="str">
        <f>Valid!$B$80</f>
        <v>Tangent</v>
      </c>
      <c r="BL45" s="1328"/>
      <c r="BM45" s="1303" t="str">
        <f>VLOOKUP(BK45,Valid!$B$80:$C$86,2,FALSE)</f>
        <v>Track Feet</v>
      </c>
      <c r="BN45" s="1332"/>
      <c r="BO45" s="1333"/>
      <c r="BP45" s="1334"/>
      <c r="BR45" s="588" t="b">
        <f>IF(OR(BJ45='A-55 TrackInv'!$C$13,BJ45='A-55 TrackInv'!$C$44,BJ45='A-55 TrackInv'!$C$75,BJ45='A-55 TrackInv'!$C$106,BJ45='A-55 TrackInv'!$C$137,BJ45='A-55 TrackInv'!$C$168,BJ45='A-55 TrackInv'!$C$199,BJ45='A-55 TrackInv'!$C$230,BJ45='A-55 TrackInv'!$C$261,BJ45='A-55 TrackInv'!$C$292),TRUE,FALSE)</f>
        <v>0</v>
      </c>
      <c r="BU45" s="1489"/>
      <c r="BV45" s="1212"/>
      <c r="BW45" s="1004"/>
      <c r="BX45" s="999"/>
      <c r="BY45" s="999"/>
      <c r="BZ45" s="999"/>
      <c r="CA45" s="999"/>
      <c r="CB45" s="999"/>
      <c r="CC45" s="1165"/>
      <c r="CF45" s="1036"/>
      <c r="CG45" s="1004"/>
      <c r="CH45" s="1004"/>
      <c r="CI45" s="1004"/>
      <c r="CJ45" s="1004"/>
      <c r="CK45" s="1044"/>
      <c r="CL45" s="1163"/>
      <c r="CM45" s="1163"/>
      <c r="CN45" s="647"/>
      <c r="CO45" s="647"/>
      <c r="CP45" s="1163"/>
      <c r="CQ45" s="639"/>
      <c r="CR45" s="647"/>
      <c r="CS45" s="1171"/>
      <c r="CT45" s="1001"/>
      <c r="CU45" s="647"/>
      <c r="CV45" s="1001"/>
      <c r="CW45" s="647"/>
      <c r="CX45" s="1009"/>
      <c r="CY45" s="1009"/>
      <c r="CZ45" s="1163"/>
      <c r="DA45" s="1004"/>
      <c r="DB45" s="1004"/>
      <c r="DC45" s="1004"/>
      <c r="DD45" s="1004"/>
      <c r="DE45" s="1004"/>
      <c r="DF45" s="639"/>
      <c r="DG45" s="1019"/>
    </row>
    <row r="46" spans="1:111" s="588" customFormat="1" ht="13.5" thickBot="1" x14ac:dyDescent="0.25">
      <c r="A46" s="589">
        <f t="shared" si="1"/>
        <v>37</v>
      </c>
      <c r="B46" s="644"/>
      <c r="C46" s="1420"/>
      <c r="D46" s="639"/>
      <c r="E46" s="639"/>
      <c r="F46" s="639"/>
      <c r="G46" s="1013"/>
      <c r="H46" s="639"/>
      <c r="I46" s="639"/>
      <c r="J46" s="643"/>
      <c r="K46" s="1004"/>
      <c r="L46" s="999"/>
      <c r="M46" s="1001"/>
      <c r="N46" s="643"/>
      <c r="O46" s="640"/>
      <c r="Q46" s="589"/>
      <c r="R46" s="644"/>
      <c r="S46" s="1420"/>
      <c r="T46" s="639"/>
      <c r="U46" s="639"/>
      <c r="V46" s="639"/>
      <c r="W46" s="1013"/>
      <c r="X46" s="647"/>
      <c r="Y46" s="647"/>
      <c r="Z46" s="639"/>
      <c r="AA46" s="639"/>
      <c r="AB46" s="643"/>
      <c r="AC46" s="1004"/>
      <c r="AD46" s="1163"/>
      <c r="AE46" s="999"/>
      <c r="AF46" s="1001"/>
      <c r="AG46" s="643"/>
      <c r="AH46" s="1165"/>
      <c r="AI46" s="589"/>
      <c r="AJ46" s="375"/>
      <c r="AK46" s="1048" t="str">
        <f>Codes!$C$158</f>
        <v>AR - Alaska Railroad</v>
      </c>
      <c r="AL46" s="1049" t="str">
        <f>Valid!$B$79</f>
        <v>Below-Grade/Submerged Tube</v>
      </c>
      <c r="AM46" s="1363"/>
      <c r="AN46" s="1402" t="str">
        <f>Valid!$C$79</f>
        <v>Linear Feet</v>
      </c>
      <c r="AO46" s="1442"/>
      <c r="AP46" s="1402" t="s">
        <v>1149</v>
      </c>
      <c r="AQ46" s="1034"/>
      <c r="AR46" s="1308"/>
      <c r="AS46" s="1016"/>
      <c r="AT46" s="1016"/>
      <c r="AU46" s="1016"/>
      <c r="AV46" s="1016"/>
      <c r="AW46" s="1016"/>
      <c r="AX46" s="1016"/>
      <c r="AY46" s="1016"/>
      <c r="AZ46" s="1016"/>
      <c r="BA46" s="1016"/>
      <c r="BB46" s="1016"/>
      <c r="BC46" s="1410">
        <f t="shared" si="2"/>
        <v>0</v>
      </c>
      <c r="BD46" s="1017"/>
      <c r="BE46" s="963"/>
      <c r="BG46" s="588" t="b">
        <f>IF(OR(AK46='A-50 FGRailInv'!$C$13,AK46='A-50 FGRailInv'!$C$69,AK46='A-50 FGRailInv'!$C$124,AK46='A-50 FGRailInv'!$C$179,AK46='A-50 FGRailInv'!$C$234,AK46='A-50 FGRailInv'!$C$290,AK46='A-50 FGRailInv'!$C$346,AK46='A-50 FGRailInv'!$C$402,AK46='A-50 FGRailInv'!$C$458,AK46='A-50 FGRailInv'!$C$514),TRUE,FALSE)</f>
        <v>0</v>
      </c>
      <c r="BJ46" s="1048" t="str">
        <f>Codes!$C$161</f>
        <v>CR - Commuter Rail (DO)</v>
      </c>
      <c r="BK46" s="1049" t="str">
        <f>Valid!$B$81</f>
        <v>Curve</v>
      </c>
      <c r="BL46" s="1329"/>
      <c r="BM46" s="1049" t="str">
        <f>VLOOKUP(BK46,Valid!$B$80:$C$86,2,FALSE)</f>
        <v>Track Feet</v>
      </c>
      <c r="BN46" s="1335"/>
      <c r="BO46" s="1336"/>
      <c r="BP46" s="1337"/>
      <c r="BR46" s="588" t="b">
        <f>IF(OR(BJ46='A-55 TrackInv'!$C$13,BJ46='A-55 TrackInv'!$C$44,BJ46='A-55 TrackInv'!$C$75,BJ46='A-55 TrackInv'!$C$106,BJ46='A-55 TrackInv'!$C$137,BJ46='A-55 TrackInv'!$C$168,BJ46='A-55 TrackInv'!$C$199,BJ46='A-55 TrackInv'!$C$230,BJ46='A-55 TrackInv'!$C$261,BJ46='A-55 TrackInv'!$C$292),TRUE,FALSE)</f>
        <v>0</v>
      </c>
      <c r="BU46" s="1489"/>
      <c r="BV46" s="1212"/>
      <c r="BW46" s="1004"/>
      <c r="BX46" s="999"/>
      <c r="BY46" s="999"/>
      <c r="BZ46" s="999"/>
      <c r="CA46" s="999"/>
      <c r="CB46" s="999"/>
      <c r="CC46" s="1165"/>
      <c r="CF46" s="1036"/>
      <c r="CG46" s="1004"/>
      <c r="CH46" s="1004"/>
      <c r="CI46" s="1004"/>
      <c r="CJ46" s="1004"/>
      <c r="CK46" s="1044"/>
      <c r="CL46" s="1163"/>
      <c r="CM46" s="1163"/>
      <c r="CN46" s="647"/>
      <c r="CO46" s="647"/>
      <c r="CP46" s="1163"/>
      <c r="CQ46" s="639"/>
      <c r="CR46" s="647"/>
      <c r="CS46" s="1171"/>
      <c r="CT46" s="1001"/>
      <c r="CU46" s="647"/>
      <c r="CV46" s="1001"/>
      <c r="CW46" s="647"/>
      <c r="CX46" s="1009"/>
      <c r="CY46" s="1009"/>
      <c r="CZ46" s="1163"/>
      <c r="DA46" s="1004"/>
      <c r="DB46" s="1004"/>
      <c r="DC46" s="1004"/>
      <c r="DD46" s="1004"/>
      <c r="DE46" s="1004"/>
      <c r="DF46" s="639"/>
      <c r="DG46" s="1019"/>
    </row>
    <row r="47" spans="1:111" s="588" customFormat="1" ht="13.5" thickTop="1" x14ac:dyDescent="0.2">
      <c r="A47" s="589">
        <f t="shared" si="1"/>
        <v>38</v>
      </c>
      <c r="B47" s="644"/>
      <c r="C47" s="1420"/>
      <c r="D47" s="639"/>
      <c r="E47" s="639"/>
      <c r="F47" s="639"/>
      <c r="G47" s="1013"/>
      <c r="H47" s="639"/>
      <c r="I47" s="639"/>
      <c r="J47" s="643"/>
      <c r="K47" s="1004"/>
      <c r="L47" s="999"/>
      <c r="M47" s="1001"/>
      <c r="N47" s="643"/>
      <c r="O47" s="640"/>
      <c r="Q47" s="589"/>
      <c r="R47" s="644"/>
      <c r="S47" s="1420"/>
      <c r="T47" s="639"/>
      <c r="U47" s="639"/>
      <c r="V47" s="639"/>
      <c r="W47" s="1013"/>
      <c r="X47" s="647"/>
      <c r="Y47" s="647"/>
      <c r="Z47" s="639"/>
      <c r="AA47" s="639"/>
      <c r="AB47" s="643"/>
      <c r="AC47" s="1004"/>
      <c r="AD47" s="1163"/>
      <c r="AE47" s="999"/>
      <c r="AF47" s="1001"/>
      <c r="AG47" s="643"/>
      <c r="AH47" s="1165"/>
      <c r="AI47" s="589"/>
      <c r="AJ47" s="375"/>
      <c r="AK47" s="1181" t="str">
        <f>Codes!$C$158</f>
        <v>AR - Alaska Railroad</v>
      </c>
      <c r="AL47" s="1182" t="str">
        <f>Valid!$B$87</f>
        <v>Substation Building</v>
      </c>
      <c r="AM47" s="1378"/>
      <c r="AN47" s="1403" t="str">
        <f>Valid!$C$87</f>
        <v>Each</v>
      </c>
      <c r="AO47" s="1443"/>
      <c r="AP47" s="1403"/>
      <c r="AQ47" s="1191"/>
      <c r="AR47" s="1309"/>
      <c r="AS47" s="1191"/>
      <c r="AT47" s="1191"/>
      <c r="AU47" s="1191"/>
      <c r="AV47" s="1191"/>
      <c r="AW47" s="1191"/>
      <c r="AX47" s="1191"/>
      <c r="AY47" s="1191"/>
      <c r="AZ47" s="1191"/>
      <c r="BA47" s="1191"/>
      <c r="BB47" s="1191"/>
      <c r="BC47" s="1411">
        <f t="shared" si="2"/>
        <v>0</v>
      </c>
      <c r="BD47" s="1191"/>
      <c r="BE47" s="1192"/>
      <c r="BG47" s="588" t="b">
        <f>IF(OR(AK47='A-50 FGRailInv'!$C$13,AK47='A-50 FGRailInv'!$C$69,AK47='A-50 FGRailInv'!$C$124,AK47='A-50 FGRailInv'!$C$179,AK47='A-50 FGRailInv'!$C$234,AK47='A-50 FGRailInv'!$C$290,AK47='A-50 FGRailInv'!$C$346,AK47='A-50 FGRailInv'!$C$402,AK47='A-50 FGRailInv'!$C$458,AK47='A-50 FGRailInv'!$C$514),TRUE,FALSE)</f>
        <v>0</v>
      </c>
      <c r="BJ47" s="1045" t="str">
        <f>Codes!$C$161</f>
        <v>CR - Commuter Rail (DO)</v>
      </c>
      <c r="BK47" s="1046" t="str">
        <f>Valid!$B$82</f>
        <v>Double Diamond Crossover</v>
      </c>
      <c r="BL47" s="1330"/>
      <c r="BM47" s="1046" t="str">
        <f>VLOOKUP(BK47,Valid!$B$80:$C$86,2,FALSE)</f>
        <v>Each</v>
      </c>
      <c r="BN47" s="1338"/>
      <c r="BO47" s="1339"/>
      <c r="BP47" s="1340"/>
      <c r="BR47" s="588" t="b">
        <f>IF(OR(BJ47='A-55 TrackInv'!$C$13,BJ47='A-55 TrackInv'!$C$44,BJ47='A-55 TrackInv'!$C$75,BJ47='A-55 TrackInv'!$C$106,BJ47='A-55 TrackInv'!$C$137,BJ47='A-55 TrackInv'!$C$168,BJ47='A-55 TrackInv'!$C$199,BJ47='A-55 TrackInv'!$C$230,BJ47='A-55 TrackInv'!$C$261,BJ47='A-55 TrackInv'!$C$292),TRUE,FALSE)</f>
        <v>0</v>
      </c>
      <c r="BU47" s="1489"/>
      <c r="BV47" s="1212"/>
      <c r="BW47" s="1004"/>
      <c r="BX47" s="999"/>
      <c r="BY47" s="999"/>
      <c r="BZ47" s="999"/>
      <c r="CA47" s="999"/>
      <c r="CB47" s="999"/>
      <c r="CC47" s="1165"/>
      <c r="CF47" s="1036"/>
      <c r="CG47" s="1004"/>
      <c r="CH47" s="1004"/>
      <c r="CI47" s="1004"/>
      <c r="CJ47" s="1004"/>
      <c r="CK47" s="1044"/>
      <c r="CL47" s="1163"/>
      <c r="CM47" s="1163"/>
      <c r="CN47" s="647"/>
      <c r="CO47" s="647"/>
      <c r="CP47" s="1163"/>
      <c r="CQ47" s="639"/>
      <c r="CR47" s="647"/>
      <c r="CS47" s="1171"/>
      <c r="CT47" s="1001"/>
      <c r="CU47" s="647"/>
      <c r="CV47" s="1001"/>
      <c r="CW47" s="647"/>
      <c r="CX47" s="1009"/>
      <c r="CY47" s="1009"/>
      <c r="CZ47" s="1163"/>
      <c r="DA47" s="1004"/>
      <c r="DB47" s="1004"/>
      <c r="DC47" s="1004"/>
      <c r="DD47" s="1004"/>
      <c r="DE47" s="1004"/>
      <c r="DF47" s="639"/>
      <c r="DG47" s="1019"/>
    </row>
    <row r="48" spans="1:111" s="588" customFormat="1" x14ac:dyDescent="0.2">
      <c r="A48" s="589">
        <f t="shared" si="1"/>
        <v>39</v>
      </c>
      <c r="B48" s="644"/>
      <c r="C48" s="1420"/>
      <c r="D48" s="639"/>
      <c r="E48" s="639"/>
      <c r="F48" s="639"/>
      <c r="G48" s="1013"/>
      <c r="H48" s="639"/>
      <c r="I48" s="639"/>
      <c r="J48" s="643"/>
      <c r="K48" s="1004"/>
      <c r="L48" s="999"/>
      <c r="M48" s="1001"/>
      <c r="N48" s="643"/>
      <c r="O48" s="640"/>
      <c r="Q48" s="589"/>
      <c r="R48" s="644"/>
      <c r="S48" s="1420"/>
      <c r="T48" s="639"/>
      <c r="U48" s="639"/>
      <c r="V48" s="639"/>
      <c r="W48" s="1013"/>
      <c r="X48" s="647"/>
      <c r="Y48" s="647"/>
      <c r="Z48" s="639"/>
      <c r="AA48" s="639"/>
      <c r="AB48" s="643"/>
      <c r="AC48" s="1004"/>
      <c r="AD48" s="1163"/>
      <c r="AE48" s="999"/>
      <c r="AF48" s="1001"/>
      <c r="AG48" s="643"/>
      <c r="AH48" s="1165"/>
      <c r="AI48" s="589"/>
      <c r="AJ48" s="375"/>
      <c r="AK48" s="1041" t="str">
        <f>Codes!$C$158</f>
        <v>AR - Alaska Railroad</v>
      </c>
      <c r="AL48" s="1042" t="str">
        <f>Valid!$B$88</f>
        <v>Substation Equipment</v>
      </c>
      <c r="AM48" s="1209"/>
      <c r="AN48" s="1401"/>
      <c r="AO48" s="1444"/>
      <c r="AP48" s="1401"/>
      <c r="AQ48" s="1193"/>
      <c r="AR48" s="1310"/>
      <c r="AS48" s="1194"/>
      <c r="AT48" s="1194"/>
      <c r="AU48" s="1194"/>
      <c r="AV48" s="1194"/>
      <c r="AW48" s="1194"/>
      <c r="AX48" s="1194"/>
      <c r="AY48" s="1194"/>
      <c r="AZ48" s="1194"/>
      <c r="BA48" s="1194"/>
      <c r="BB48" s="1194"/>
      <c r="BC48" s="1412">
        <f t="shared" si="2"/>
        <v>0</v>
      </c>
      <c r="BD48" s="1193"/>
      <c r="BE48" s="1195"/>
      <c r="BG48" s="588" t="b">
        <f>IF(OR(AK48='A-50 FGRailInv'!$C$13,AK48='A-50 FGRailInv'!$C$69,AK48='A-50 FGRailInv'!$C$124,AK48='A-50 FGRailInv'!$C$179,AK48='A-50 FGRailInv'!$C$234,AK48='A-50 FGRailInv'!$C$290,AK48='A-50 FGRailInv'!$C$346,AK48='A-50 FGRailInv'!$C$402,AK48='A-50 FGRailInv'!$C$458,AK48='A-50 FGRailInv'!$C$514),TRUE,FALSE)</f>
        <v>0</v>
      </c>
      <c r="BJ48" s="1041" t="str">
        <f>Codes!$C$161</f>
        <v>CR - Commuter Rail (DO)</v>
      </c>
      <c r="BK48" s="1042" t="str">
        <f>Valid!$B$83</f>
        <v>Single Crossover</v>
      </c>
      <c r="BL48" s="1382"/>
      <c r="BM48" s="1042" t="str">
        <f>VLOOKUP(BK48,Valid!$B$80:$C$86,2,FALSE)</f>
        <v>Each</v>
      </c>
      <c r="BN48" s="1383"/>
      <c r="BO48" s="1194"/>
      <c r="BP48" s="1195"/>
      <c r="BR48" s="588" t="b">
        <f>IF(OR(BJ48='A-55 TrackInv'!$C$13,BJ48='A-55 TrackInv'!$C$44,BJ48='A-55 TrackInv'!$C$75,BJ48='A-55 TrackInv'!$C$106,BJ48='A-55 TrackInv'!$C$137,BJ48='A-55 TrackInv'!$C$168,BJ48='A-55 TrackInv'!$C$199,BJ48='A-55 TrackInv'!$C$230,BJ48='A-55 TrackInv'!$C$261,BJ48='A-55 TrackInv'!$C$292),TRUE,FALSE)</f>
        <v>0</v>
      </c>
      <c r="BU48" s="1489"/>
      <c r="BV48" s="1212"/>
      <c r="BW48" s="1004"/>
      <c r="BX48" s="999"/>
      <c r="BY48" s="999"/>
      <c r="BZ48" s="999"/>
      <c r="CA48" s="999"/>
      <c r="CB48" s="999"/>
      <c r="CC48" s="1165"/>
      <c r="CF48" s="1036"/>
      <c r="CG48" s="1004"/>
      <c r="CH48" s="1004"/>
      <c r="CI48" s="1004"/>
      <c r="CJ48" s="1004"/>
      <c r="CK48" s="1044"/>
      <c r="CL48" s="1163"/>
      <c r="CM48" s="1163"/>
      <c r="CN48" s="647"/>
      <c r="CO48" s="647"/>
      <c r="CP48" s="1163"/>
      <c r="CQ48" s="639"/>
      <c r="CR48" s="647"/>
      <c r="CS48" s="1171"/>
      <c r="CT48" s="1001"/>
      <c r="CU48" s="647"/>
      <c r="CV48" s="1001"/>
      <c r="CW48" s="647"/>
      <c r="CX48" s="1009"/>
      <c r="CY48" s="1009"/>
      <c r="CZ48" s="1163"/>
      <c r="DA48" s="1004"/>
      <c r="DB48" s="1004"/>
      <c r="DC48" s="1004"/>
      <c r="DD48" s="1004"/>
      <c r="DE48" s="1004"/>
      <c r="DF48" s="639"/>
      <c r="DG48" s="1019"/>
    </row>
    <row r="49" spans="1:111" s="588" customFormat="1" x14ac:dyDescent="0.2">
      <c r="A49" s="589">
        <f t="shared" si="1"/>
        <v>40</v>
      </c>
      <c r="B49" s="644"/>
      <c r="C49" s="1420"/>
      <c r="D49" s="639"/>
      <c r="E49" s="639"/>
      <c r="F49" s="639"/>
      <c r="G49" s="1013"/>
      <c r="H49" s="639"/>
      <c r="I49" s="639"/>
      <c r="J49" s="643"/>
      <c r="K49" s="1004"/>
      <c r="L49" s="999"/>
      <c r="M49" s="1001"/>
      <c r="N49" s="643"/>
      <c r="O49" s="640"/>
      <c r="Q49" s="589"/>
      <c r="R49" s="644"/>
      <c r="S49" s="1420"/>
      <c r="T49" s="639"/>
      <c r="U49" s="639"/>
      <c r="V49" s="639"/>
      <c r="W49" s="1013"/>
      <c r="X49" s="647"/>
      <c r="Y49" s="647"/>
      <c r="Z49" s="639"/>
      <c r="AA49" s="639"/>
      <c r="AB49" s="643"/>
      <c r="AC49" s="1004"/>
      <c r="AD49" s="1163"/>
      <c r="AE49" s="999"/>
      <c r="AF49" s="1001"/>
      <c r="AG49" s="643"/>
      <c r="AH49" s="1165"/>
      <c r="AI49" s="589"/>
      <c r="AJ49" s="375"/>
      <c r="AK49" s="1041" t="str">
        <f>Codes!$C$158</f>
        <v>AR - Alaska Railroad</v>
      </c>
      <c r="AL49" s="1042" t="str">
        <f>Valid!$B$89</f>
        <v>Third Rail/Power Distribution</v>
      </c>
      <c r="AM49" s="1209"/>
      <c r="AN49" s="1401"/>
      <c r="AO49" s="1444"/>
      <c r="AP49" s="1401"/>
      <c r="AQ49" s="1193"/>
      <c r="AR49" s="1310"/>
      <c r="AS49" s="1194"/>
      <c r="AT49" s="1194"/>
      <c r="AU49" s="1194"/>
      <c r="AV49" s="1194"/>
      <c r="AW49" s="1194"/>
      <c r="AX49" s="1194"/>
      <c r="AY49" s="1194"/>
      <c r="AZ49" s="1194"/>
      <c r="BA49" s="1194"/>
      <c r="BB49" s="1194"/>
      <c r="BC49" s="1412">
        <f t="shared" si="2"/>
        <v>0</v>
      </c>
      <c r="BD49" s="1193"/>
      <c r="BE49" s="1195"/>
      <c r="BG49" s="588" t="b">
        <f>IF(OR(AK49='A-50 FGRailInv'!$C$13,AK49='A-50 FGRailInv'!$C$69,AK49='A-50 FGRailInv'!$C$124,AK49='A-50 FGRailInv'!$C$179,AK49='A-50 FGRailInv'!$C$234,AK49='A-50 FGRailInv'!$C$290,AK49='A-50 FGRailInv'!$C$346,AK49='A-50 FGRailInv'!$C$402,AK49='A-50 FGRailInv'!$C$458,AK49='A-50 FGRailInv'!$C$514),TRUE,FALSE)</f>
        <v>0</v>
      </c>
      <c r="BJ49" s="1041" t="str">
        <f>Codes!$C$161</f>
        <v>CR - Commuter Rail (DO)</v>
      </c>
      <c r="BK49" s="1042" t="str">
        <f>Valid!$B$84</f>
        <v>Half Grand Union</v>
      </c>
      <c r="BL49" s="1382"/>
      <c r="BM49" s="1042" t="str">
        <f>VLOOKUP(BK49,Valid!$B$80:$C$86,2,FALSE)</f>
        <v>Each</v>
      </c>
      <c r="BN49" s="1383"/>
      <c r="BO49" s="1194"/>
      <c r="BP49" s="1195"/>
      <c r="BR49" s="588" t="b">
        <f>IF(OR(BJ49='A-55 TrackInv'!$C$13,BJ49='A-55 TrackInv'!$C$44,BJ49='A-55 TrackInv'!$C$75,BJ49='A-55 TrackInv'!$C$106,BJ49='A-55 TrackInv'!$C$137,BJ49='A-55 TrackInv'!$C$168,BJ49='A-55 TrackInv'!$C$199,BJ49='A-55 TrackInv'!$C$230,BJ49='A-55 TrackInv'!$C$261,BJ49='A-55 TrackInv'!$C$292),TRUE,FALSE)</f>
        <v>0</v>
      </c>
      <c r="BU49" s="1489"/>
      <c r="BV49" s="1212"/>
      <c r="BW49" s="1004"/>
      <c r="BX49" s="999"/>
      <c r="BY49" s="999"/>
      <c r="BZ49" s="999"/>
      <c r="CA49" s="999"/>
      <c r="CB49" s="999"/>
      <c r="CC49" s="1165"/>
      <c r="CF49" s="1036"/>
      <c r="CG49" s="1004"/>
      <c r="CH49" s="1004"/>
      <c r="CI49" s="1004"/>
      <c r="CJ49" s="1004"/>
      <c r="CK49" s="1044"/>
      <c r="CL49" s="1163"/>
      <c r="CM49" s="1163"/>
      <c r="CN49" s="647"/>
      <c r="CO49" s="647"/>
      <c r="CP49" s="1163"/>
      <c r="CQ49" s="639"/>
      <c r="CR49" s="647"/>
      <c r="CS49" s="1171"/>
      <c r="CT49" s="1001"/>
      <c r="CU49" s="647"/>
      <c r="CV49" s="1001"/>
      <c r="CW49" s="647"/>
      <c r="CX49" s="1009"/>
      <c r="CY49" s="1009"/>
      <c r="CZ49" s="1163"/>
      <c r="DA49" s="1004"/>
      <c r="DB49" s="1004"/>
      <c r="DC49" s="1004"/>
      <c r="DD49" s="1004"/>
      <c r="DE49" s="1004"/>
      <c r="DF49" s="639"/>
      <c r="DG49" s="1019"/>
    </row>
    <row r="50" spans="1:111" s="588" customFormat="1" x14ac:dyDescent="0.2">
      <c r="A50" s="589">
        <f t="shared" si="1"/>
        <v>41</v>
      </c>
      <c r="B50" s="644"/>
      <c r="C50" s="1420"/>
      <c r="D50" s="639"/>
      <c r="E50" s="639"/>
      <c r="F50" s="639"/>
      <c r="G50" s="1013"/>
      <c r="H50" s="639"/>
      <c r="I50" s="639"/>
      <c r="J50" s="643"/>
      <c r="K50" s="1004"/>
      <c r="L50" s="999"/>
      <c r="M50" s="1001"/>
      <c r="N50" s="643"/>
      <c r="O50" s="640"/>
      <c r="Q50" s="589"/>
      <c r="R50" s="644"/>
      <c r="S50" s="1420"/>
      <c r="T50" s="639"/>
      <c r="U50" s="639"/>
      <c r="V50" s="639"/>
      <c r="W50" s="1013"/>
      <c r="X50" s="647"/>
      <c r="Y50" s="647"/>
      <c r="Z50" s="639"/>
      <c r="AA50" s="639"/>
      <c r="AB50" s="643"/>
      <c r="AC50" s="1004"/>
      <c r="AD50" s="1163"/>
      <c r="AE50" s="999"/>
      <c r="AF50" s="1001"/>
      <c r="AG50" s="643"/>
      <c r="AH50" s="1165"/>
      <c r="AI50" s="589"/>
      <c r="AJ50" s="375"/>
      <c r="AK50" s="1041" t="str">
        <f>Codes!$C$158</f>
        <v>AR - Alaska Railroad</v>
      </c>
      <c r="AL50" s="1042" t="str">
        <f>Valid!$B$90</f>
        <v>Overhead Contact System/Power Distribution</v>
      </c>
      <c r="AM50" s="1209"/>
      <c r="AN50" s="1401"/>
      <c r="AO50" s="1444"/>
      <c r="AP50" s="1401"/>
      <c r="AQ50" s="1193"/>
      <c r="AR50" s="1310"/>
      <c r="AS50" s="1194"/>
      <c r="AT50" s="1194"/>
      <c r="AU50" s="1194"/>
      <c r="AV50" s="1194"/>
      <c r="AW50" s="1194"/>
      <c r="AX50" s="1194"/>
      <c r="AY50" s="1194"/>
      <c r="AZ50" s="1194"/>
      <c r="BA50" s="1194"/>
      <c r="BB50" s="1194"/>
      <c r="BC50" s="1412">
        <f t="shared" si="2"/>
        <v>0</v>
      </c>
      <c r="BD50" s="1193"/>
      <c r="BE50" s="1195"/>
      <c r="BG50" s="588" t="b">
        <f>IF(OR(AK50='A-50 FGRailInv'!$C$13,AK50='A-50 FGRailInv'!$C$69,AK50='A-50 FGRailInv'!$C$124,AK50='A-50 FGRailInv'!$C$179,AK50='A-50 FGRailInv'!$C$234,AK50='A-50 FGRailInv'!$C$290,AK50='A-50 FGRailInv'!$C$346,AK50='A-50 FGRailInv'!$C$402,AK50='A-50 FGRailInv'!$C$458,AK50='A-50 FGRailInv'!$C$514),TRUE,FALSE)</f>
        <v>0</v>
      </c>
      <c r="BJ50" s="1041" t="str">
        <f>Codes!$C$161</f>
        <v>CR - Commuter Rail (DO)</v>
      </c>
      <c r="BK50" s="1042" t="str">
        <f>Valid!$B$85</f>
        <v>Single Turnout</v>
      </c>
      <c r="BL50" s="1382"/>
      <c r="BM50" s="1042" t="str">
        <f>VLOOKUP(BK50,Valid!$B$80:$C$86,2,FALSE)</f>
        <v>Each</v>
      </c>
      <c r="BN50" s="1383"/>
      <c r="BO50" s="1194"/>
      <c r="BP50" s="1195"/>
      <c r="BR50" s="588" t="b">
        <f>IF(OR(BJ50='A-55 TrackInv'!$C$13,BJ50='A-55 TrackInv'!$C$44,BJ50='A-55 TrackInv'!$C$75,BJ50='A-55 TrackInv'!$C$106,BJ50='A-55 TrackInv'!$C$137,BJ50='A-55 TrackInv'!$C$168,BJ50='A-55 TrackInv'!$C$199,BJ50='A-55 TrackInv'!$C$230,BJ50='A-55 TrackInv'!$C$261,BJ50='A-55 TrackInv'!$C$292),TRUE,FALSE)</f>
        <v>0</v>
      </c>
      <c r="BU50" s="1489"/>
      <c r="BV50" s="1212"/>
      <c r="BW50" s="1004"/>
      <c r="BX50" s="999"/>
      <c r="BY50" s="999"/>
      <c r="BZ50" s="999"/>
      <c r="CA50" s="999"/>
      <c r="CB50" s="999"/>
      <c r="CC50" s="1165"/>
      <c r="CF50" s="1036"/>
      <c r="CG50" s="1004"/>
      <c r="CH50" s="1004"/>
      <c r="CI50" s="1004"/>
      <c r="CJ50" s="1004"/>
      <c r="CK50" s="1044"/>
      <c r="CL50" s="1163"/>
      <c r="CM50" s="1163"/>
      <c r="CN50" s="647"/>
      <c r="CO50" s="647"/>
      <c r="CP50" s="1163"/>
      <c r="CQ50" s="639"/>
      <c r="CR50" s="647"/>
      <c r="CS50" s="1171"/>
      <c r="CT50" s="1001"/>
      <c r="CU50" s="647"/>
      <c r="CV50" s="1001"/>
      <c r="CW50" s="647"/>
      <c r="CX50" s="1009"/>
      <c r="CY50" s="1009"/>
      <c r="CZ50" s="1163"/>
      <c r="DA50" s="1004"/>
      <c r="DB50" s="1004"/>
      <c r="DC50" s="1004"/>
      <c r="DD50" s="1004"/>
      <c r="DE50" s="1004"/>
      <c r="DF50" s="639"/>
      <c r="DG50" s="1019"/>
    </row>
    <row r="51" spans="1:111" s="588" customFormat="1" ht="13.5" thickBot="1" x14ac:dyDescent="0.25">
      <c r="A51" s="589">
        <f t="shared" si="1"/>
        <v>42</v>
      </c>
      <c r="B51" s="644"/>
      <c r="C51" s="1420"/>
      <c r="D51" s="639"/>
      <c r="E51" s="639"/>
      <c r="F51" s="639"/>
      <c r="G51" s="1013"/>
      <c r="H51" s="639"/>
      <c r="I51" s="639"/>
      <c r="J51" s="643"/>
      <c r="K51" s="1004"/>
      <c r="L51" s="999"/>
      <c r="M51" s="1001"/>
      <c r="N51" s="643"/>
      <c r="O51" s="640"/>
      <c r="Q51" s="589"/>
      <c r="R51" s="644"/>
      <c r="S51" s="1420"/>
      <c r="T51" s="639"/>
      <c r="U51" s="639"/>
      <c r="V51" s="639"/>
      <c r="W51" s="1013"/>
      <c r="X51" s="647"/>
      <c r="Y51" s="647"/>
      <c r="Z51" s="639"/>
      <c r="AA51" s="639"/>
      <c r="AB51" s="643"/>
      <c r="AC51" s="1004"/>
      <c r="AD51" s="1163"/>
      <c r="AE51" s="999"/>
      <c r="AF51" s="1001"/>
      <c r="AG51" s="643"/>
      <c r="AH51" s="1165"/>
      <c r="AI51" s="589"/>
      <c r="AJ51" s="375"/>
      <c r="AK51" s="1047" t="str">
        <f>Codes!$C$158</f>
        <v>AR - Alaska Railroad</v>
      </c>
      <c r="AL51" s="1050" t="str">
        <f>Valid!$B$91</f>
        <v>Train Control &amp; Signaling</v>
      </c>
      <c r="AM51" s="1210"/>
      <c r="AN51" s="1404"/>
      <c r="AO51" s="1445"/>
      <c r="AP51" s="1404"/>
      <c r="AQ51" s="1196"/>
      <c r="AR51" s="1311"/>
      <c r="AS51" s="1197"/>
      <c r="AT51" s="1197"/>
      <c r="AU51" s="1197"/>
      <c r="AV51" s="1197"/>
      <c r="AW51" s="1197"/>
      <c r="AX51" s="1197"/>
      <c r="AY51" s="1197"/>
      <c r="AZ51" s="1197"/>
      <c r="BA51" s="1197"/>
      <c r="BB51" s="1197"/>
      <c r="BC51" s="1413">
        <f t="shared" ref="BC51:BC82" si="3">SUM(AS51:BB51)</f>
        <v>0</v>
      </c>
      <c r="BD51" s="1196"/>
      <c r="BE51" s="1198"/>
      <c r="BG51" s="588" t="b">
        <f>IF(OR(AK51='A-50 FGRailInv'!$C$13,AK51='A-50 FGRailInv'!$C$69,AK51='A-50 FGRailInv'!$C$124,AK51='A-50 FGRailInv'!$C$179,AK51='A-50 FGRailInv'!$C$234,AK51='A-50 FGRailInv'!$C$290,AK51='A-50 FGRailInv'!$C$346,AK51='A-50 FGRailInv'!$C$402,AK51='A-50 FGRailInv'!$C$458,AK51='A-50 FGRailInv'!$C$514),TRUE,FALSE)</f>
        <v>0</v>
      </c>
      <c r="BJ51" s="1047" t="str">
        <f>Codes!$C$161</f>
        <v>CR - Commuter Rail (DO)</v>
      </c>
      <c r="BK51" s="1050" t="str">
        <f>Valid!$B$86</f>
        <v>Grade Crossings</v>
      </c>
      <c r="BL51" s="1331"/>
      <c r="BM51" s="1050" t="str">
        <f>VLOOKUP(BK51,Valid!$B$80:$C$86,2,FALSE)</f>
        <v>Each</v>
      </c>
      <c r="BN51" s="1341"/>
      <c r="BO51" s="1197"/>
      <c r="BP51" s="1198"/>
      <c r="BR51" s="588" t="b">
        <f>IF(OR(BJ51='A-55 TrackInv'!$C$13,BJ51='A-55 TrackInv'!$C$44,BJ51='A-55 TrackInv'!$C$75,BJ51='A-55 TrackInv'!$C$106,BJ51='A-55 TrackInv'!$C$137,BJ51='A-55 TrackInv'!$C$168,BJ51='A-55 TrackInv'!$C$199,BJ51='A-55 TrackInv'!$C$230,BJ51='A-55 TrackInv'!$C$261,BJ51='A-55 TrackInv'!$C$292),TRUE,FALSE)</f>
        <v>0</v>
      </c>
      <c r="BU51" s="1489"/>
      <c r="BV51" s="1212"/>
      <c r="BW51" s="1004"/>
      <c r="BX51" s="999"/>
      <c r="BY51" s="999"/>
      <c r="BZ51" s="999"/>
      <c r="CA51" s="999"/>
      <c r="CB51" s="999"/>
      <c r="CC51" s="1165"/>
      <c r="CF51" s="1036"/>
      <c r="CG51" s="1004"/>
      <c r="CH51" s="1004"/>
      <c r="CI51" s="1004"/>
      <c r="CJ51" s="1004"/>
      <c r="CK51" s="1044"/>
      <c r="CL51" s="1163"/>
      <c r="CM51" s="1163"/>
      <c r="CN51" s="647"/>
      <c r="CO51" s="647"/>
      <c r="CP51" s="1163"/>
      <c r="CQ51" s="639"/>
      <c r="CR51" s="647"/>
      <c r="CS51" s="1171"/>
      <c r="CT51" s="1001"/>
      <c r="CU51" s="647"/>
      <c r="CV51" s="1001"/>
      <c r="CW51" s="647"/>
      <c r="CX51" s="1009"/>
      <c r="CY51" s="1009"/>
      <c r="CZ51" s="1163"/>
      <c r="DA51" s="1004"/>
      <c r="DB51" s="1004"/>
      <c r="DC51" s="1004"/>
      <c r="DD51" s="1004"/>
      <c r="DE51" s="1004"/>
      <c r="DF51" s="639"/>
      <c r="DG51" s="1019"/>
    </row>
    <row r="52" spans="1:111" s="588" customFormat="1" x14ac:dyDescent="0.2">
      <c r="A52" s="589">
        <f t="shared" si="1"/>
        <v>43</v>
      </c>
      <c r="B52" s="644"/>
      <c r="C52" s="1420"/>
      <c r="D52" s="639"/>
      <c r="E52" s="639"/>
      <c r="F52" s="639"/>
      <c r="G52" s="1013"/>
      <c r="H52" s="639"/>
      <c r="I52" s="639"/>
      <c r="J52" s="643"/>
      <c r="K52" s="1004"/>
      <c r="L52" s="999"/>
      <c r="M52" s="1001"/>
      <c r="N52" s="643"/>
      <c r="O52" s="640"/>
      <c r="Q52" s="589"/>
      <c r="R52" s="644"/>
      <c r="S52" s="1420"/>
      <c r="T52" s="639"/>
      <c r="U52" s="639"/>
      <c r="V52" s="639"/>
      <c r="W52" s="1013"/>
      <c r="X52" s="647"/>
      <c r="Y52" s="647"/>
      <c r="Z52" s="639"/>
      <c r="AA52" s="639"/>
      <c r="AB52" s="643"/>
      <c r="AC52" s="1004"/>
      <c r="AD52" s="1163"/>
      <c r="AE52" s="999"/>
      <c r="AF52" s="1001"/>
      <c r="AG52" s="643"/>
      <c r="AH52" s="1165"/>
      <c r="AI52" s="589"/>
      <c r="AJ52" s="375"/>
      <c r="AK52" s="1043" t="str">
        <f>Codes!$C$159</f>
        <v>CC - Cable Car (DO)</v>
      </c>
      <c r="AL52" s="1303" t="str">
        <f>Valid!$B$71</f>
        <v>At-Grade/Ballast (including expressway)</v>
      </c>
      <c r="AM52" s="1003"/>
      <c r="AN52" s="1400" t="str">
        <f>Valid!$C$71</f>
        <v>Linear Feet</v>
      </c>
      <c r="AO52" s="1446"/>
      <c r="AP52" s="1400" t="s">
        <v>1149</v>
      </c>
      <c r="AQ52" s="1012"/>
      <c r="AR52" s="1312"/>
      <c r="AS52" s="1304"/>
      <c r="AT52" s="1304"/>
      <c r="AU52" s="1304"/>
      <c r="AV52" s="1304"/>
      <c r="AW52" s="1304"/>
      <c r="AX52" s="1304"/>
      <c r="AY52" s="1304"/>
      <c r="AZ52" s="1304"/>
      <c r="BA52" s="1304"/>
      <c r="BB52" s="1304"/>
      <c r="BC52" s="1408">
        <f t="shared" si="3"/>
        <v>0</v>
      </c>
      <c r="BD52" s="1007"/>
      <c r="BE52" s="1305"/>
      <c r="BG52" s="588" t="b">
        <f>IF(OR(AK52='A-50 FGRailInv'!$C$13,AK52='A-50 FGRailInv'!$C$69,AK52='A-50 FGRailInv'!$C$124,AK52='A-50 FGRailInv'!$C$179,AK52='A-50 FGRailInv'!$C$234,AK52='A-50 FGRailInv'!$C$290,AK52='A-50 FGRailInv'!$C$346,AK52='A-50 FGRailInv'!$C$402,AK52='A-50 FGRailInv'!$C$458,AK52='A-50 FGRailInv'!$C$514),TRUE,FALSE)</f>
        <v>0</v>
      </c>
      <c r="BJ52" s="1043" t="str">
        <f>Codes!$C$162</f>
        <v>CR - Commuter Rail (PT)</v>
      </c>
      <c r="BK52" s="1303" t="str">
        <f>Valid!$B$80</f>
        <v>Tangent</v>
      </c>
      <c r="BL52" s="1328"/>
      <c r="BM52" s="1303" t="str">
        <f>VLOOKUP(BK52,Valid!$B$80:$C$86,2,FALSE)</f>
        <v>Track Feet</v>
      </c>
      <c r="BN52" s="1332"/>
      <c r="BO52" s="1333"/>
      <c r="BP52" s="1334"/>
      <c r="BR52" s="588" t="b">
        <f>IF(OR(BJ52='A-55 TrackInv'!$C$13,BJ52='A-55 TrackInv'!$C$44,BJ52='A-55 TrackInv'!$C$75,BJ52='A-55 TrackInv'!$C$106,BJ52='A-55 TrackInv'!$C$137,BJ52='A-55 TrackInv'!$C$168,BJ52='A-55 TrackInv'!$C$199,BJ52='A-55 TrackInv'!$C$230,BJ52='A-55 TrackInv'!$C$261,BJ52='A-55 TrackInv'!$C$292),TRUE,FALSE)</f>
        <v>0</v>
      </c>
      <c r="BU52" s="1489"/>
      <c r="BV52" s="1212"/>
      <c r="BW52" s="1004"/>
      <c r="BX52" s="999"/>
      <c r="BY52" s="999"/>
      <c r="BZ52" s="999"/>
      <c r="CA52" s="999"/>
      <c r="CB52" s="999"/>
      <c r="CC52" s="1165"/>
      <c r="CF52" s="1036"/>
      <c r="CG52" s="1004"/>
      <c r="CH52" s="1004"/>
      <c r="CI52" s="1004"/>
      <c r="CJ52" s="1004"/>
      <c r="CK52" s="1044"/>
      <c r="CL52" s="1163"/>
      <c r="CM52" s="1163"/>
      <c r="CN52" s="647"/>
      <c r="CO52" s="647"/>
      <c r="CP52" s="1163"/>
      <c r="CQ52" s="639"/>
      <c r="CR52" s="647"/>
      <c r="CS52" s="1171"/>
      <c r="CT52" s="1001"/>
      <c r="CU52" s="647"/>
      <c r="CV52" s="1001"/>
      <c r="CW52" s="647"/>
      <c r="CX52" s="1009"/>
      <c r="CY52" s="1009"/>
      <c r="CZ52" s="1163"/>
      <c r="DA52" s="1004"/>
      <c r="DB52" s="1004"/>
      <c r="DC52" s="1004"/>
      <c r="DD52" s="1004"/>
      <c r="DE52" s="1004"/>
      <c r="DF52" s="639"/>
      <c r="DG52" s="1019"/>
    </row>
    <row r="53" spans="1:111" s="588" customFormat="1" ht="13.5" thickBot="1" x14ac:dyDescent="0.25">
      <c r="A53" s="589">
        <f t="shared" si="1"/>
        <v>44</v>
      </c>
      <c r="B53" s="644"/>
      <c r="C53" s="1420"/>
      <c r="D53" s="639"/>
      <c r="E53" s="639"/>
      <c r="F53" s="639"/>
      <c r="G53" s="1013"/>
      <c r="H53" s="639"/>
      <c r="I53" s="639"/>
      <c r="J53" s="643"/>
      <c r="K53" s="1004"/>
      <c r="L53" s="999"/>
      <c r="M53" s="1001"/>
      <c r="N53" s="643"/>
      <c r="O53" s="640"/>
      <c r="Q53" s="589"/>
      <c r="R53" s="644"/>
      <c r="S53" s="1420"/>
      <c r="T53" s="639"/>
      <c r="U53" s="639"/>
      <c r="V53" s="639"/>
      <c r="W53" s="1013"/>
      <c r="X53" s="647"/>
      <c r="Y53" s="647"/>
      <c r="Z53" s="639"/>
      <c r="AA53" s="639"/>
      <c r="AB53" s="643"/>
      <c r="AC53" s="1004"/>
      <c r="AD53" s="1163"/>
      <c r="AE53" s="999"/>
      <c r="AF53" s="1001"/>
      <c r="AG53" s="643"/>
      <c r="AH53" s="1165"/>
      <c r="AI53" s="589"/>
      <c r="AJ53" s="375"/>
      <c r="AK53" s="1041" t="str">
        <f>Codes!$C$159</f>
        <v>CC - Cable Car (DO)</v>
      </c>
      <c r="AL53" s="1042" t="str">
        <f>Valid!$B$72</f>
        <v>At-Grade/In-Street/Embedded</v>
      </c>
      <c r="AM53" s="1004"/>
      <c r="AN53" s="1401" t="str">
        <f>Valid!$C$72</f>
        <v>Linear Feet</v>
      </c>
      <c r="AO53" s="1441"/>
      <c r="AP53" s="1401" t="s">
        <v>1149</v>
      </c>
      <c r="AQ53" s="1033"/>
      <c r="AR53" s="1307"/>
      <c r="AS53" s="997"/>
      <c r="AT53" s="997"/>
      <c r="AU53" s="997"/>
      <c r="AV53" s="997"/>
      <c r="AW53" s="997"/>
      <c r="AX53" s="997"/>
      <c r="AY53" s="997"/>
      <c r="AZ53" s="997"/>
      <c r="BA53" s="997"/>
      <c r="BB53" s="997"/>
      <c r="BC53" s="1409">
        <f t="shared" si="3"/>
        <v>0</v>
      </c>
      <c r="BD53" s="999"/>
      <c r="BE53" s="640"/>
      <c r="BG53" s="588" t="b">
        <f>IF(OR(AK53='A-50 FGRailInv'!$C$13,AK53='A-50 FGRailInv'!$C$69,AK53='A-50 FGRailInv'!$C$124,AK53='A-50 FGRailInv'!$C$179,AK53='A-50 FGRailInv'!$C$234,AK53='A-50 FGRailInv'!$C$290,AK53='A-50 FGRailInv'!$C$346,AK53='A-50 FGRailInv'!$C$402,AK53='A-50 FGRailInv'!$C$458,AK53='A-50 FGRailInv'!$C$514),TRUE,FALSE)</f>
        <v>0</v>
      </c>
      <c r="BJ53" s="1048" t="str">
        <f>Codes!$C$162</f>
        <v>CR - Commuter Rail (PT)</v>
      </c>
      <c r="BK53" s="1049" t="str">
        <f>Valid!$B$81</f>
        <v>Curve</v>
      </c>
      <c r="BL53" s="1329"/>
      <c r="BM53" s="1049" t="str">
        <f>VLOOKUP(BK53,Valid!$B$80:$C$86,2,FALSE)</f>
        <v>Track Feet</v>
      </c>
      <c r="BN53" s="1335"/>
      <c r="BO53" s="1336"/>
      <c r="BP53" s="1337"/>
      <c r="BR53" s="588" t="b">
        <f>IF(OR(BJ53='A-55 TrackInv'!$C$13,BJ53='A-55 TrackInv'!$C$44,BJ53='A-55 TrackInv'!$C$75,BJ53='A-55 TrackInv'!$C$106,BJ53='A-55 TrackInv'!$C$137,BJ53='A-55 TrackInv'!$C$168,BJ53='A-55 TrackInv'!$C$199,BJ53='A-55 TrackInv'!$C$230,BJ53='A-55 TrackInv'!$C$261,BJ53='A-55 TrackInv'!$C$292),TRUE,FALSE)</f>
        <v>0</v>
      </c>
      <c r="BU53" s="1489"/>
      <c r="BV53" s="1212"/>
      <c r="BW53" s="1004"/>
      <c r="BX53" s="999"/>
      <c r="BY53" s="999"/>
      <c r="BZ53" s="999"/>
      <c r="CA53" s="999"/>
      <c r="CB53" s="999"/>
      <c r="CC53" s="1165"/>
      <c r="CF53" s="1036"/>
      <c r="CG53" s="1004"/>
      <c r="CH53" s="1004"/>
      <c r="CI53" s="1004"/>
      <c r="CJ53" s="1004"/>
      <c r="CK53" s="1044"/>
      <c r="CL53" s="1163"/>
      <c r="CM53" s="1163"/>
      <c r="CN53" s="647"/>
      <c r="CO53" s="647"/>
      <c r="CP53" s="1163"/>
      <c r="CQ53" s="639"/>
      <c r="CR53" s="647"/>
      <c r="CS53" s="1171"/>
      <c r="CT53" s="1001"/>
      <c r="CU53" s="647"/>
      <c r="CV53" s="1001"/>
      <c r="CW53" s="647"/>
      <c r="CX53" s="1009"/>
      <c r="CY53" s="1009"/>
      <c r="CZ53" s="1163"/>
      <c r="DA53" s="1004"/>
      <c r="DB53" s="1004"/>
      <c r="DC53" s="1004"/>
      <c r="DD53" s="1004"/>
      <c r="DE53" s="1004"/>
      <c r="DF53" s="639"/>
      <c r="DG53" s="1019"/>
    </row>
    <row r="54" spans="1:111" s="588" customFormat="1" ht="13.5" thickTop="1" x14ac:dyDescent="0.2">
      <c r="A54" s="589">
        <f t="shared" si="1"/>
        <v>45</v>
      </c>
      <c r="B54" s="644"/>
      <c r="C54" s="1420"/>
      <c r="D54" s="639"/>
      <c r="E54" s="639"/>
      <c r="F54" s="639"/>
      <c r="G54" s="1013"/>
      <c r="H54" s="639"/>
      <c r="I54" s="639"/>
      <c r="J54" s="643"/>
      <c r="K54" s="1004"/>
      <c r="L54" s="999"/>
      <c r="M54" s="1001"/>
      <c r="N54" s="643"/>
      <c r="O54" s="640"/>
      <c r="Q54" s="589"/>
      <c r="R54" s="644"/>
      <c r="S54" s="1420"/>
      <c r="T54" s="639"/>
      <c r="U54" s="639"/>
      <c r="V54" s="639"/>
      <c r="W54" s="1013"/>
      <c r="X54" s="647"/>
      <c r="Y54" s="647"/>
      <c r="Z54" s="639"/>
      <c r="AA54" s="639"/>
      <c r="AB54" s="643"/>
      <c r="AC54" s="1004"/>
      <c r="AD54" s="1163"/>
      <c r="AE54" s="999"/>
      <c r="AF54" s="1001"/>
      <c r="AG54" s="643"/>
      <c r="AH54" s="1165"/>
      <c r="AI54" s="589"/>
      <c r="AJ54" s="375"/>
      <c r="AK54" s="1041" t="str">
        <f>Codes!$C$159</f>
        <v>CC - Cable Car (DO)</v>
      </c>
      <c r="AL54" s="1042" t="str">
        <f>Valid!$B$73</f>
        <v>Elevated/Retained Fill</v>
      </c>
      <c r="AM54" s="1004"/>
      <c r="AN54" s="1401" t="str">
        <f>Valid!$C$73</f>
        <v>Linear Feet</v>
      </c>
      <c r="AO54" s="1441"/>
      <c r="AP54" s="1401" t="s">
        <v>1149</v>
      </c>
      <c r="AQ54" s="1033"/>
      <c r="AR54" s="1307"/>
      <c r="AS54" s="997"/>
      <c r="AT54" s="997"/>
      <c r="AU54" s="997"/>
      <c r="AV54" s="997"/>
      <c r="AW54" s="997"/>
      <c r="AX54" s="997"/>
      <c r="AY54" s="997"/>
      <c r="AZ54" s="997"/>
      <c r="BA54" s="997"/>
      <c r="BB54" s="997"/>
      <c r="BC54" s="1409">
        <f t="shared" si="3"/>
        <v>0</v>
      </c>
      <c r="BD54" s="999"/>
      <c r="BE54" s="640"/>
      <c r="BG54" s="588" t="b">
        <f>IF(OR(AK54='A-50 FGRailInv'!$C$13,AK54='A-50 FGRailInv'!$C$69,AK54='A-50 FGRailInv'!$C$124,AK54='A-50 FGRailInv'!$C$179,AK54='A-50 FGRailInv'!$C$234,AK54='A-50 FGRailInv'!$C$290,AK54='A-50 FGRailInv'!$C$346,AK54='A-50 FGRailInv'!$C$402,AK54='A-50 FGRailInv'!$C$458,AK54='A-50 FGRailInv'!$C$514),TRUE,FALSE)</f>
        <v>0</v>
      </c>
      <c r="BJ54" s="1045" t="str">
        <f>Codes!$C$162</f>
        <v>CR - Commuter Rail (PT)</v>
      </c>
      <c r="BK54" s="1046" t="str">
        <f>Valid!$B$82</f>
        <v>Double Diamond Crossover</v>
      </c>
      <c r="BL54" s="1330"/>
      <c r="BM54" s="1046" t="str">
        <f>VLOOKUP(BK54,Valid!$B$80:$C$86,2,FALSE)</f>
        <v>Each</v>
      </c>
      <c r="BN54" s="1338"/>
      <c r="BO54" s="1339"/>
      <c r="BP54" s="1340"/>
      <c r="BR54" s="588" t="b">
        <f>IF(OR(BJ54='A-55 TrackInv'!$C$13,BJ54='A-55 TrackInv'!$C$44,BJ54='A-55 TrackInv'!$C$75,BJ54='A-55 TrackInv'!$C$106,BJ54='A-55 TrackInv'!$C$137,BJ54='A-55 TrackInv'!$C$168,BJ54='A-55 TrackInv'!$C$199,BJ54='A-55 TrackInv'!$C$230,BJ54='A-55 TrackInv'!$C$261,BJ54='A-55 TrackInv'!$C$292),TRUE,FALSE)</f>
        <v>0</v>
      </c>
      <c r="BU54" s="1489"/>
      <c r="BV54" s="1212"/>
      <c r="BW54" s="1004"/>
      <c r="BX54" s="999"/>
      <c r="BY54" s="999"/>
      <c r="BZ54" s="999"/>
      <c r="CA54" s="999"/>
      <c r="CB54" s="999"/>
      <c r="CC54" s="1165"/>
      <c r="CF54" s="1036"/>
      <c r="CG54" s="1004"/>
      <c r="CH54" s="1004"/>
      <c r="CI54" s="1004"/>
      <c r="CJ54" s="1004"/>
      <c r="CK54" s="1044"/>
      <c r="CL54" s="1163"/>
      <c r="CM54" s="1163"/>
      <c r="CN54" s="647"/>
      <c r="CO54" s="647"/>
      <c r="CP54" s="1163"/>
      <c r="CQ54" s="639"/>
      <c r="CR54" s="647"/>
      <c r="CS54" s="1171"/>
      <c r="CT54" s="1001"/>
      <c r="CU54" s="647"/>
      <c r="CV54" s="1001"/>
      <c r="CW54" s="647"/>
      <c r="CX54" s="1009"/>
      <c r="CY54" s="1009"/>
      <c r="CZ54" s="1163"/>
      <c r="DA54" s="1004"/>
      <c r="DB54" s="1004"/>
      <c r="DC54" s="1004"/>
      <c r="DD54" s="1004"/>
      <c r="DE54" s="1004"/>
      <c r="DF54" s="639"/>
      <c r="DG54" s="1019"/>
    </row>
    <row r="55" spans="1:111" s="588" customFormat="1" x14ac:dyDescent="0.2">
      <c r="A55" s="589">
        <f t="shared" si="1"/>
        <v>46</v>
      </c>
      <c r="B55" s="644"/>
      <c r="C55" s="1420"/>
      <c r="D55" s="639"/>
      <c r="E55" s="639"/>
      <c r="F55" s="639"/>
      <c r="G55" s="1013"/>
      <c r="H55" s="639"/>
      <c r="I55" s="639"/>
      <c r="J55" s="643"/>
      <c r="K55" s="1004"/>
      <c r="L55" s="999"/>
      <c r="M55" s="1001"/>
      <c r="N55" s="643"/>
      <c r="O55" s="640"/>
      <c r="Q55" s="589"/>
      <c r="R55" s="644"/>
      <c r="S55" s="1420"/>
      <c r="T55" s="639"/>
      <c r="U55" s="639"/>
      <c r="V55" s="639"/>
      <c r="W55" s="1013"/>
      <c r="X55" s="647"/>
      <c r="Y55" s="647"/>
      <c r="Z55" s="639"/>
      <c r="AA55" s="639"/>
      <c r="AB55" s="643"/>
      <c r="AC55" s="1004"/>
      <c r="AD55" s="1163"/>
      <c r="AE55" s="999"/>
      <c r="AF55" s="1001"/>
      <c r="AG55" s="643"/>
      <c r="AH55" s="1165"/>
      <c r="AI55" s="589"/>
      <c r="AJ55" s="375"/>
      <c r="AK55" s="1041" t="str">
        <f>Codes!$C$159</f>
        <v>CC - Cable Car (DO)</v>
      </c>
      <c r="AL55" s="1042" t="str">
        <f>Valid!$B$74</f>
        <v>Elevated/Concrete</v>
      </c>
      <c r="AM55" s="1004"/>
      <c r="AN55" s="1401" t="str">
        <f>Valid!$C$74</f>
        <v>Linear Feet</v>
      </c>
      <c r="AO55" s="1441"/>
      <c r="AP55" s="1401" t="s">
        <v>1149</v>
      </c>
      <c r="AQ55" s="1033"/>
      <c r="AR55" s="1307"/>
      <c r="AS55" s="997"/>
      <c r="AT55" s="997"/>
      <c r="AU55" s="997"/>
      <c r="AV55" s="997"/>
      <c r="AW55" s="997"/>
      <c r="AX55" s="997"/>
      <c r="AY55" s="997"/>
      <c r="AZ55" s="997"/>
      <c r="BA55" s="997"/>
      <c r="BB55" s="997"/>
      <c r="BC55" s="1409">
        <f t="shared" si="3"/>
        <v>0</v>
      </c>
      <c r="BD55" s="999"/>
      <c r="BE55" s="640"/>
      <c r="BG55" s="588" t="b">
        <f>IF(OR(AK55='A-50 FGRailInv'!$C$13,AK55='A-50 FGRailInv'!$C$69,AK55='A-50 FGRailInv'!$C$124,AK55='A-50 FGRailInv'!$C$179,AK55='A-50 FGRailInv'!$C$234,AK55='A-50 FGRailInv'!$C$290,AK55='A-50 FGRailInv'!$C$346,AK55='A-50 FGRailInv'!$C$402,AK55='A-50 FGRailInv'!$C$458,AK55='A-50 FGRailInv'!$C$514),TRUE,FALSE)</f>
        <v>0</v>
      </c>
      <c r="BJ55" s="1041" t="str">
        <f>Codes!$C$162</f>
        <v>CR - Commuter Rail (PT)</v>
      </c>
      <c r="BK55" s="1042" t="str">
        <f>Valid!$B$83</f>
        <v>Single Crossover</v>
      </c>
      <c r="BL55" s="1382"/>
      <c r="BM55" s="1042" t="str">
        <f>VLOOKUP(BK55,Valid!$B$80:$C$86,2,FALSE)</f>
        <v>Each</v>
      </c>
      <c r="BN55" s="1383"/>
      <c r="BO55" s="1194"/>
      <c r="BP55" s="1195"/>
      <c r="BR55" s="588" t="b">
        <f>IF(OR(BJ55='A-55 TrackInv'!$C$13,BJ55='A-55 TrackInv'!$C$44,BJ55='A-55 TrackInv'!$C$75,BJ55='A-55 TrackInv'!$C$106,BJ55='A-55 TrackInv'!$C$137,BJ55='A-55 TrackInv'!$C$168,BJ55='A-55 TrackInv'!$C$199,BJ55='A-55 TrackInv'!$C$230,BJ55='A-55 TrackInv'!$C$261,BJ55='A-55 TrackInv'!$C$292),TRUE,FALSE)</f>
        <v>0</v>
      </c>
      <c r="BU55" s="1489"/>
      <c r="BV55" s="1212"/>
      <c r="BW55" s="1004"/>
      <c r="BX55" s="999"/>
      <c r="BY55" s="999"/>
      <c r="BZ55" s="999"/>
      <c r="CA55" s="999"/>
      <c r="CB55" s="999"/>
      <c r="CC55" s="1165"/>
      <c r="CF55" s="1036"/>
      <c r="CG55" s="1004"/>
      <c r="CH55" s="1004"/>
      <c r="CI55" s="1004"/>
      <c r="CJ55" s="1004"/>
      <c r="CK55" s="1044"/>
      <c r="CL55" s="1163"/>
      <c r="CM55" s="1163"/>
      <c r="CN55" s="647"/>
      <c r="CO55" s="647"/>
      <c r="CP55" s="1163"/>
      <c r="CQ55" s="639"/>
      <c r="CR55" s="647"/>
      <c r="CS55" s="1171"/>
      <c r="CT55" s="1001"/>
      <c r="CU55" s="647"/>
      <c r="CV55" s="1001"/>
      <c r="CW55" s="647"/>
      <c r="CX55" s="1009"/>
      <c r="CY55" s="1009"/>
      <c r="CZ55" s="1163"/>
      <c r="DA55" s="1004"/>
      <c r="DB55" s="1004"/>
      <c r="DC55" s="1004"/>
      <c r="DD55" s="1004"/>
      <c r="DE55" s="1004"/>
      <c r="DF55" s="639"/>
      <c r="DG55" s="1019"/>
    </row>
    <row r="56" spans="1:111" s="588" customFormat="1" x14ac:dyDescent="0.2">
      <c r="A56" s="589">
        <f t="shared" si="1"/>
        <v>47</v>
      </c>
      <c r="B56" s="644"/>
      <c r="C56" s="1420"/>
      <c r="D56" s="639"/>
      <c r="E56" s="639"/>
      <c r="F56" s="639"/>
      <c r="G56" s="1013"/>
      <c r="H56" s="639"/>
      <c r="I56" s="639"/>
      <c r="J56" s="643"/>
      <c r="K56" s="1004"/>
      <c r="L56" s="999"/>
      <c r="M56" s="1001"/>
      <c r="N56" s="643"/>
      <c r="O56" s="640"/>
      <c r="Q56" s="589"/>
      <c r="R56" s="644"/>
      <c r="S56" s="1420"/>
      <c r="T56" s="639"/>
      <c r="U56" s="639"/>
      <c r="V56" s="639"/>
      <c r="W56" s="1013"/>
      <c r="X56" s="647"/>
      <c r="Y56" s="647"/>
      <c r="Z56" s="639"/>
      <c r="AA56" s="639"/>
      <c r="AB56" s="643"/>
      <c r="AC56" s="1004"/>
      <c r="AD56" s="1163"/>
      <c r="AE56" s="999"/>
      <c r="AF56" s="1001"/>
      <c r="AG56" s="643"/>
      <c r="AH56" s="1165"/>
      <c r="AI56" s="589"/>
      <c r="AJ56" s="375"/>
      <c r="AK56" s="1041" t="str">
        <f>Codes!$C$159</f>
        <v>CC - Cable Car (DO)</v>
      </c>
      <c r="AL56" s="1042" t="str">
        <f>Valid!$B$75</f>
        <v>Elevated/Steel Viaduct or Bridge</v>
      </c>
      <c r="AM56" s="1004"/>
      <c r="AN56" s="1401" t="str">
        <f>Valid!$C$75</f>
        <v>Linear Feet</v>
      </c>
      <c r="AO56" s="1441"/>
      <c r="AP56" s="1401" t="s">
        <v>1149</v>
      </c>
      <c r="AQ56" s="1033"/>
      <c r="AR56" s="1307"/>
      <c r="AS56" s="997"/>
      <c r="AT56" s="997"/>
      <c r="AU56" s="997"/>
      <c r="AV56" s="997"/>
      <c r="AW56" s="997"/>
      <c r="AX56" s="997"/>
      <c r="AY56" s="997"/>
      <c r="AZ56" s="997"/>
      <c r="BA56" s="997"/>
      <c r="BB56" s="997"/>
      <c r="BC56" s="1409">
        <f t="shared" si="3"/>
        <v>0</v>
      </c>
      <c r="BD56" s="999"/>
      <c r="BE56" s="640"/>
      <c r="BG56" s="588" t="b">
        <f>IF(OR(AK56='A-50 FGRailInv'!$C$13,AK56='A-50 FGRailInv'!$C$69,AK56='A-50 FGRailInv'!$C$124,AK56='A-50 FGRailInv'!$C$179,AK56='A-50 FGRailInv'!$C$234,AK56='A-50 FGRailInv'!$C$290,AK56='A-50 FGRailInv'!$C$346,AK56='A-50 FGRailInv'!$C$402,AK56='A-50 FGRailInv'!$C$458,AK56='A-50 FGRailInv'!$C$514),TRUE,FALSE)</f>
        <v>0</v>
      </c>
      <c r="BJ56" s="1041" t="str">
        <f>Codes!$C$162</f>
        <v>CR - Commuter Rail (PT)</v>
      </c>
      <c r="BK56" s="1042" t="str">
        <f>Valid!$B$84</f>
        <v>Half Grand Union</v>
      </c>
      <c r="BL56" s="1382"/>
      <c r="BM56" s="1042" t="str">
        <f>VLOOKUP(BK56,Valid!$B$80:$C$86,2,FALSE)</f>
        <v>Each</v>
      </c>
      <c r="BN56" s="1383"/>
      <c r="BO56" s="1194"/>
      <c r="BP56" s="1195"/>
      <c r="BR56" s="588" t="b">
        <f>IF(OR(BJ56='A-55 TrackInv'!$C$13,BJ56='A-55 TrackInv'!$C$44,BJ56='A-55 TrackInv'!$C$75,BJ56='A-55 TrackInv'!$C$106,BJ56='A-55 TrackInv'!$C$137,BJ56='A-55 TrackInv'!$C$168,BJ56='A-55 TrackInv'!$C$199,BJ56='A-55 TrackInv'!$C$230,BJ56='A-55 TrackInv'!$C$261,BJ56='A-55 TrackInv'!$C$292),TRUE,FALSE)</f>
        <v>0</v>
      </c>
      <c r="BU56" s="1489"/>
      <c r="BV56" s="1212"/>
      <c r="BW56" s="1004"/>
      <c r="BX56" s="999"/>
      <c r="BY56" s="999"/>
      <c r="BZ56" s="999"/>
      <c r="CA56" s="999"/>
      <c r="CB56" s="999"/>
      <c r="CC56" s="1165"/>
      <c r="CF56" s="1036"/>
      <c r="CG56" s="1004"/>
      <c r="CH56" s="1004"/>
      <c r="CI56" s="1004"/>
      <c r="CJ56" s="1004"/>
      <c r="CK56" s="1044"/>
      <c r="CL56" s="1163"/>
      <c r="CM56" s="1163"/>
      <c r="CN56" s="647"/>
      <c r="CO56" s="647"/>
      <c r="CP56" s="1163"/>
      <c r="CQ56" s="639"/>
      <c r="CR56" s="647"/>
      <c r="CS56" s="1171"/>
      <c r="CT56" s="1001"/>
      <c r="CU56" s="647"/>
      <c r="CV56" s="1001"/>
      <c r="CW56" s="647"/>
      <c r="CX56" s="1009"/>
      <c r="CY56" s="1009"/>
      <c r="CZ56" s="1163"/>
      <c r="DA56" s="1004"/>
      <c r="DB56" s="1004"/>
      <c r="DC56" s="1004"/>
      <c r="DD56" s="1004"/>
      <c r="DE56" s="1004"/>
      <c r="DF56" s="639"/>
      <c r="DG56" s="1019"/>
    </row>
    <row r="57" spans="1:111" s="588" customFormat="1" x14ac:dyDescent="0.2">
      <c r="A57" s="589">
        <f t="shared" si="1"/>
        <v>48</v>
      </c>
      <c r="B57" s="644"/>
      <c r="C57" s="1420"/>
      <c r="D57" s="639"/>
      <c r="E57" s="639"/>
      <c r="F57" s="639"/>
      <c r="G57" s="1013"/>
      <c r="H57" s="639"/>
      <c r="I57" s="639"/>
      <c r="J57" s="643"/>
      <c r="K57" s="1004"/>
      <c r="L57" s="999"/>
      <c r="M57" s="1001"/>
      <c r="N57" s="643"/>
      <c r="O57" s="640"/>
      <c r="Q57" s="589"/>
      <c r="R57" s="644"/>
      <c r="S57" s="1420"/>
      <c r="T57" s="639"/>
      <c r="U57" s="639"/>
      <c r="V57" s="639"/>
      <c r="W57" s="1013"/>
      <c r="X57" s="647"/>
      <c r="Y57" s="647"/>
      <c r="Z57" s="639"/>
      <c r="AA57" s="639"/>
      <c r="AB57" s="643"/>
      <c r="AC57" s="1004"/>
      <c r="AD57" s="1163"/>
      <c r="AE57" s="999"/>
      <c r="AF57" s="1001"/>
      <c r="AG57" s="643"/>
      <c r="AH57" s="1165"/>
      <c r="AI57" s="589"/>
      <c r="AJ57" s="375"/>
      <c r="AK57" s="1041" t="str">
        <f>Codes!$C$159</f>
        <v>CC - Cable Car (DO)</v>
      </c>
      <c r="AL57" s="1042" t="str">
        <f>Valid!$B$76</f>
        <v>Below-Grade/Retained Cut</v>
      </c>
      <c r="AM57" s="1004"/>
      <c r="AN57" s="1401" t="str">
        <f>Valid!$C$76</f>
        <v>Linear Feet</v>
      </c>
      <c r="AO57" s="1441"/>
      <c r="AP57" s="1401" t="s">
        <v>1149</v>
      </c>
      <c r="AQ57" s="1033"/>
      <c r="AR57" s="1307"/>
      <c r="AS57" s="997"/>
      <c r="AT57" s="997"/>
      <c r="AU57" s="997"/>
      <c r="AV57" s="997"/>
      <c r="AW57" s="997"/>
      <c r="AX57" s="997"/>
      <c r="AY57" s="997"/>
      <c r="AZ57" s="997"/>
      <c r="BA57" s="997"/>
      <c r="BB57" s="997"/>
      <c r="BC57" s="1409">
        <f t="shared" si="3"/>
        <v>0</v>
      </c>
      <c r="BD57" s="999"/>
      <c r="BE57" s="640"/>
      <c r="BG57" s="588" t="b">
        <f>IF(OR(AK57='A-50 FGRailInv'!$C$13,AK57='A-50 FGRailInv'!$C$69,AK57='A-50 FGRailInv'!$C$124,AK57='A-50 FGRailInv'!$C$179,AK57='A-50 FGRailInv'!$C$234,AK57='A-50 FGRailInv'!$C$290,AK57='A-50 FGRailInv'!$C$346,AK57='A-50 FGRailInv'!$C$402,AK57='A-50 FGRailInv'!$C$458,AK57='A-50 FGRailInv'!$C$514),TRUE,FALSE)</f>
        <v>0</v>
      </c>
      <c r="BJ57" s="1041" t="str">
        <f>Codes!$C$162</f>
        <v>CR - Commuter Rail (PT)</v>
      </c>
      <c r="BK57" s="1042" t="str">
        <f>Valid!$B$85</f>
        <v>Single Turnout</v>
      </c>
      <c r="BL57" s="1382"/>
      <c r="BM57" s="1042" t="str">
        <f>VLOOKUP(BK57,Valid!$B$80:$C$86,2,FALSE)</f>
        <v>Each</v>
      </c>
      <c r="BN57" s="1383"/>
      <c r="BO57" s="1194"/>
      <c r="BP57" s="1195"/>
      <c r="BR57" s="588" t="b">
        <f>IF(OR(BJ57='A-55 TrackInv'!$C$13,BJ57='A-55 TrackInv'!$C$44,BJ57='A-55 TrackInv'!$C$75,BJ57='A-55 TrackInv'!$C$106,BJ57='A-55 TrackInv'!$C$137,BJ57='A-55 TrackInv'!$C$168,BJ57='A-55 TrackInv'!$C$199,BJ57='A-55 TrackInv'!$C$230,BJ57='A-55 TrackInv'!$C$261,BJ57='A-55 TrackInv'!$C$292),TRUE,FALSE)</f>
        <v>0</v>
      </c>
      <c r="BU57" s="1489"/>
      <c r="BV57" s="1212"/>
      <c r="BW57" s="1004"/>
      <c r="BX57" s="999"/>
      <c r="BY57" s="999"/>
      <c r="BZ57" s="999"/>
      <c r="CA57" s="999"/>
      <c r="CB57" s="999"/>
      <c r="CC57" s="1165"/>
      <c r="CF57" s="1036"/>
      <c r="CG57" s="1004"/>
      <c r="CH57" s="1004"/>
      <c r="CI57" s="1004"/>
      <c r="CJ57" s="1004"/>
      <c r="CK57" s="1044"/>
      <c r="CL57" s="1163"/>
      <c r="CM57" s="1163"/>
      <c r="CN57" s="647"/>
      <c r="CO57" s="647"/>
      <c r="CP57" s="1163"/>
      <c r="CQ57" s="639"/>
      <c r="CR57" s="647"/>
      <c r="CS57" s="1171"/>
      <c r="CT57" s="1001"/>
      <c r="CU57" s="647"/>
      <c r="CV57" s="1001"/>
      <c r="CW57" s="647"/>
      <c r="CX57" s="1009"/>
      <c r="CY57" s="1009"/>
      <c r="CZ57" s="1163"/>
      <c r="DA57" s="1004"/>
      <c r="DB57" s="1004"/>
      <c r="DC57" s="1004"/>
      <c r="DD57" s="1004"/>
      <c r="DE57" s="1004"/>
      <c r="DF57" s="639"/>
      <c r="DG57" s="1019"/>
    </row>
    <row r="58" spans="1:111" s="588" customFormat="1" ht="13.5" thickBot="1" x14ac:dyDescent="0.25">
      <c r="A58" s="589">
        <f t="shared" si="1"/>
        <v>49</v>
      </c>
      <c r="B58" s="644"/>
      <c r="C58" s="1420"/>
      <c r="D58" s="639"/>
      <c r="E58" s="639"/>
      <c r="F58" s="639"/>
      <c r="G58" s="1013"/>
      <c r="H58" s="639"/>
      <c r="I58" s="639"/>
      <c r="J58" s="643"/>
      <c r="K58" s="1004"/>
      <c r="L58" s="999"/>
      <c r="M58" s="1001"/>
      <c r="N58" s="643"/>
      <c r="O58" s="640"/>
      <c r="Q58" s="589"/>
      <c r="R58" s="644"/>
      <c r="S58" s="1420"/>
      <c r="T58" s="639"/>
      <c r="U58" s="639"/>
      <c r="V58" s="639"/>
      <c r="W58" s="1013"/>
      <c r="X58" s="647"/>
      <c r="Y58" s="647"/>
      <c r="Z58" s="639"/>
      <c r="AA58" s="639"/>
      <c r="AB58" s="643"/>
      <c r="AC58" s="1004"/>
      <c r="AD58" s="1163"/>
      <c r="AE58" s="999"/>
      <c r="AF58" s="1001"/>
      <c r="AG58" s="643"/>
      <c r="AH58" s="1165"/>
      <c r="AI58" s="589"/>
      <c r="AJ58" s="375"/>
      <c r="AK58" s="1041" t="str">
        <f>Codes!$C$159</f>
        <v>CC - Cable Car (DO)</v>
      </c>
      <c r="AL58" s="1042" t="str">
        <f>Valid!$B$77</f>
        <v>Below-Grade/Cut-and-Cover Tunnel</v>
      </c>
      <c r="AM58" s="1004"/>
      <c r="AN58" s="1401" t="str">
        <f>Valid!$C$77</f>
        <v>Linear Feet</v>
      </c>
      <c r="AO58" s="1441"/>
      <c r="AP58" s="1401" t="s">
        <v>1149</v>
      </c>
      <c r="AQ58" s="1033"/>
      <c r="AR58" s="1307"/>
      <c r="AS58" s="997"/>
      <c r="AT58" s="997"/>
      <c r="AU58" s="997"/>
      <c r="AV58" s="997"/>
      <c r="AW58" s="997"/>
      <c r="AX58" s="997"/>
      <c r="AY58" s="997"/>
      <c r="AZ58" s="997"/>
      <c r="BA58" s="997"/>
      <c r="BB58" s="997"/>
      <c r="BC58" s="1409">
        <f t="shared" si="3"/>
        <v>0</v>
      </c>
      <c r="BD58" s="999"/>
      <c r="BE58" s="640"/>
      <c r="BG58" s="588" t="b">
        <f>IF(OR(AK58='A-50 FGRailInv'!$C$13,AK58='A-50 FGRailInv'!$C$69,AK58='A-50 FGRailInv'!$C$124,AK58='A-50 FGRailInv'!$C$179,AK58='A-50 FGRailInv'!$C$234,AK58='A-50 FGRailInv'!$C$290,AK58='A-50 FGRailInv'!$C$346,AK58='A-50 FGRailInv'!$C$402,AK58='A-50 FGRailInv'!$C$458,AK58='A-50 FGRailInv'!$C$514),TRUE,FALSE)</f>
        <v>0</v>
      </c>
      <c r="BJ58" s="1047" t="str">
        <f>Codes!$C$162</f>
        <v>CR - Commuter Rail (PT)</v>
      </c>
      <c r="BK58" s="1050" t="str">
        <f>Valid!$B$86</f>
        <v>Grade Crossings</v>
      </c>
      <c r="BL58" s="1331"/>
      <c r="BM58" s="1050" t="str">
        <f>VLOOKUP(BK58,Valid!$B$80:$C$86,2,FALSE)</f>
        <v>Each</v>
      </c>
      <c r="BN58" s="1341"/>
      <c r="BO58" s="1197"/>
      <c r="BP58" s="1198"/>
      <c r="BR58" s="588" t="b">
        <f>IF(OR(BJ58='A-55 TrackInv'!$C$13,BJ58='A-55 TrackInv'!$C$44,BJ58='A-55 TrackInv'!$C$75,BJ58='A-55 TrackInv'!$C$106,BJ58='A-55 TrackInv'!$C$137,BJ58='A-55 TrackInv'!$C$168,BJ58='A-55 TrackInv'!$C$199,BJ58='A-55 TrackInv'!$C$230,BJ58='A-55 TrackInv'!$C$261,BJ58='A-55 TrackInv'!$C$292),TRUE,FALSE)</f>
        <v>0</v>
      </c>
      <c r="BU58" s="1489"/>
      <c r="BV58" s="1212"/>
      <c r="BW58" s="1004"/>
      <c r="BX58" s="999"/>
      <c r="BY58" s="999"/>
      <c r="BZ58" s="999"/>
      <c r="CA58" s="999"/>
      <c r="CB58" s="999"/>
      <c r="CC58" s="1165"/>
      <c r="CF58" s="1036"/>
      <c r="CG58" s="1004"/>
      <c r="CH58" s="1004"/>
      <c r="CI58" s="1004"/>
      <c r="CJ58" s="1004"/>
      <c r="CK58" s="1044"/>
      <c r="CL58" s="1163"/>
      <c r="CM58" s="1163"/>
      <c r="CN58" s="647"/>
      <c r="CO58" s="647"/>
      <c r="CP58" s="1163"/>
      <c r="CQ58" s="639"/>
      <c r="CR58" s="647"/>
      <c r="CS58" s="1171"/>
      <c r="CT58" s="1001"/>
      <c r="CU58" s="647"/>
      <c r="CV58" s="1001"/>
      <c r="CW58" s="647"/>
      <c r="CX58" s="1009"/>
      <c r="CY58" s="1009"/>
      <c r="CZ58" s="1163"/>
      <c r="DA58" s="1004"/>
      <c r="DB58" s="1004"/>
      <c r="DC58" s="1004"/>
      <c r="DD58" s="1004"/>
      <c r="DE58" s="1004"/>
      <c r="DF58" s="639"/>
      <c r="DG58" s="1019"/>
    </row>
    <row r="59" spans="1:111" s="588" customFormat="1" x14ac:dyDescent="0.2">
      <c r="A59" s="589">
        <f t="shared" si="1"/>
        <v>50</v>
      </c>
      <c r="B59" s="644"/>
      <c r="C59" s="1420"/>
      <c r="D59" s="639"/>
      <c r="E59" s="639"/>
      <c r="F59" s="639"/>
      <c r="G59" s="1013"/>
      <c r="H59" s="639"/>
      <c r="I59" s="639"/>
      <c r="J59" s="643"/>
      <c r="K59" s="1004"/>
      <c r="L59" s="999"/>
      <c r="M59" s="1001"/>
      <c r="N59" s="643"/>
      <c r="O59" s="640"/>
      <c r="Q59" s="589"/>
      <c r="R59" s="644"/>
      <c r="S59" s="1420"/>
      <c r="T59" s="639"/>
      <c r="U59" s="639"/>
      <c r="V59" s="639"/>
      <c r="W59" s="1013"/>
      <c r="X59" s="647"/>
      <c r="Y59" s="647"/>
      <c r="Z59" s="639"/>
      <c r="AA59" s="639"/>
      <c r="AB59" s="643"/>
      <c r="AC59" s="1004"/>
      <c r="AD59" s="1163"/>
      <c r="AE59" s="999"/>
      <c r="AF59" s="1001"/>
      <c r="AG59" s="643"/>
      <c r="AH59" s="1165"/>
      <c r="AI59" s="589"/>
      <c r="AJ59" s="375"/>
      <c r="AK59" s="1041" t="str">
        <f>Codes!$C$159</f>
        <v>CC - Cable Car (DO)</v>
      </c>
      <c r="AL59" s="1042" t="str">
        <f>Valid!$B$78</f>
        <v>Below-Grade/Bored or Blasted Tunnel</v>
      </c>
      <c r="AM59" s="1004"/>
      <c r="AN59" s="1401" t="str">
        <f>Valid!$C$78</f>
        <v>Linear Feet</v>
      </c>
      <c r="AO59" s="1441"/>
      <c r="AP59" s="1401" t="s">
        <v>1149</v>
      </c>
      <c r="AQ59" s="1033"/>
      <c r="AR59" s="1307"/>
      <c r="AS59" s="997"/>
      <c r="AT59" s="997"/>
      <c r="AU59" s="997"/>
      <c r="AV59" s="997"/>
      <c r="AW59" s="997"/>
      <c r="AX59" s="997"/>
      <c r="AY59" s="997"/>
      <c r="AZ59" s="997"/>
      <c r="BA59" s="997"/>
      <c r="BB59" s="997"/>
      <c r="BC59" s="1409">
        <f t="shared" si="3"/>
        <v>0</v>
      </c>
      <c r="BD59" s="999"/>
      <c r="BE59" s="640"/>
      <c r="BG59" s="588" t="b">
        <f>IF(OR(AK59='A-50 FGRailInv'!$C$13,AK59='A-50 FGRailInv'!$C$69,AK59='A-50 FGRailInv'!$C$124,AK59='A-50 FGRailInv'!$C$179,AK59='A-50 FGRailInv'!$C$234,AK59='A-50 FGRailInv'!$C$290,AK59='A-50 FGRailInv'!$C$346,AK59='A-50 FGRailInv'!$C$402,AK59='A-50 FGRailInv'!$C$458,AK59='A-50 FGRailInv'!$C$514),TRUE,FALSE)</f>
        <v>0</v>
      </c>
      <c r="BJ59" s="1043" t="str">
        <f>Codes!$C$163</f>
        <v>HR - Heavy Rail (DO)</v>
      </c>
      <c r="BK59" s="1303" t="str">
        <f>Valid!$B$80</f>
        <v>Tangent</v>
      </c>
      <c r="BL59" s="1328"/>
      <c r="BM59" s="1303" t="str">
        <f>VLOOKUP(BK59,Valid!$B$80:$C$86,2,FALSE)</f>
        <v>Track Feet</v>
      </c>
      <c r="BN59" s="1332"/>
      <c r="BO59" s="1333"/>
      <c r="BP59" s="1334"/>
      <c r="BR59" s="588" t="b">
        <f>IF(OR(BJ59='A-55 TrackInv'!$C$13,BJ59='A-55 TrackInv'!$C$44,BJ59='A-55 TrackInv'!$C$75,BJ59='A-55 TrackInv'!$C$106,BJ59='A-55 TrackInv'!$C$137,BJ59='A-55 TrackInv'!$C$168,BJ59='A-55 TrackInv'!$C$199,BJ59='A-55 TrackInv'!$C$230,BJ59='A-55 TrackInv'!$C$261,BJ59='A-55 TrackInv'!$C$292),TRUE,FALSE)</f>
        <v>0</v>
      </c>
      <c r="BU59" s="1489"/>
      <c r="BV59" s="1212"/>
      <c r="BW59" s="1004"/>
      <c r="BX59" s="999"/>
      <c r="BY59" s="999"/>
      <c r="BZ59" s="999"/>
      <c r="CA59" s="999"/>
      <c r="CB59" s="999"/>
      <c r="CC59" s="1165"/>
      <c r="CF59" s="1036"/>
      <c r="CG59" s="1004"/>
      <c r="CH59" s="1004"/>
      <c r="CI59" s="1004"/>
      <c r="CJ59" s="1004"/>
      <c r="CK59" s="1044"/>
      <c r="CL59" s="1163"/>
      <c r="CM59" s="1163"/>
      <c r="CN59" s="647"/>
      <c r="CO59" s="647"/>
      <c r="CP59" s="1163"/>
      <c r="CQ59" s="639"/>
      <c r="CR59" s="647"/>
      <c r="CS59" s="1171"/>
      <c r="CT59" s="1001"/>
      <c r="CU59" s="647"/>
      <c r="CV59" s="1001"/>
      <c r="CW59" s="647"/>
      <c r="CX59" s="1009"/>
      <c r="CY59" s="1009"/>
      <c r="CZ59" s="1163"/>
      <c r="DA59" s="1004"/>
      <c r="DB59" s="1004"/>
      <c r="DC59" s="1004"/>
      <c r="DD59" s="1004"/>
      <c r="DE59" s="1004"/>
      <c r="DF59" s="639"/>
      <c r="DG59" s="1019"/>
    </row>
    <row r="60" spans="1:111" s="588" customFormat="1" ht="13.5" thickBot="1" x14ac:dyDescent="0.25">
      <c r="A60" s="589">
        <f t="shared" si="1"/>
        <v>51</v>
      </c>
      <c r="B60" s="644"/>
      <c r="C60" s="1420"/>
      <c r="D60" s="639"/>
      <c r="E60" s="639"/>
      <c r="F60" s="639"/>
      <c r="G60" s="1013"/>
      <c r="H60" s="639"/>
      <c r="I60" s="639"/>
      <c r="J60" s="643"/>
      <c r="K60" s="1004"/>
      <c r="L60" s="999"/>
      <c r="M60" s="1001"/>
      <c r="N60" s="643"/>
      <c r="O60" s="640"/>
      <c r="Q60" s="589"/>
      <c r="R60" s="644"/>
      <c r="S60" s="1420"/>
      <c r="T60" s="639"/>
      <c r="U60" s="639"/>
      <c r="V60" s="639"/>
      <c r="W60" s="1013"/>
      <c r="X60" s="647"/>
      <c r="Y60" s="647"/>
      <c r="Z60" s="639"/>
      <c r="AA60" s="639"/>
      <c r="AB60" s="643"/>
      <c r="AC60" s="1004"/>
      <c r="AD60" s="1163"/>
      <c r="AE60" s="999"/>
      <c r="AF60" s="1001"/>
      <c r="AG60" s="643"/>
      <c r="AH60" s="1165"/>
      <c r="AI60" s="589"/>
      <c r="AJ60" s="375"/>
      <c r="AK60" s="1048" t="str">
        <f>Codes!$C$159</f>
        <v>CC - Cable Car (DO)</v>
      </c>
      <c r="AL60" s="1049" t="str">
        <f>Valid!$B$79</f>
        <v>Below-Grade/Submerged Tube</v>
      </c>
      <c r="AM60" s="1363"/>
      <c r="AN60" s="1402" t="str">
        <f>Valid!$C$79</f>
        <v>Linear Feet</v>
      </c>
      <c r="AO60" s="1442"/>
      <c r="AP60" s="1402" t="s">
        <v>1149</v>
      </c>
      <c r="AQ60" s="1034"/>
      <c r="AR60" s="1308"/>
      <c r="AS60" s="1016"/>
      <c r="AT60" s="1016"/>
      <c r="AU60" s="1016"/>
      <c r="AV60" s="1016"/>
      <c r="AW60" s="1016"/>
      <c r="AX60" s="1016"/>
      <c r="AY60" s="1016"/>
      <c r="AZ60" s="1016"/>
      <c r="BA60" s="1016"/>
      <c r="BB60" s="1016"/>
      <c r="BC60" s="1410">
        <f t="shared" si="3"/>
        <v>0</v>
      </c>
      <c r="BD60" s="1017"/>
      <c r="BE60" s="963"/>
      <c r="BG60" s="588" t="b">
        <f>IF(OR(AK60='A-50 FGRailInv'!$C$13,AK60='A-50 FGRailInv'!$C$69,AK60='A-50 FGRailInv'!$C$124,AK60='A-50 FGRailInv'!$C$179,AK60='A-50 FGRailInv'!$C$234,AK60='A-50 FGRailInv'!$C$290,AK60='A-50 FGRailInv'!$C$346,AK60='A-50 FGRailInv'!$C$402,AK60='A-50 FGRailInv'!$C$458,AK60='A-50 FGRailInv'!$C$514),TRUE,FALSE)</f>
        <v>0</v>
      </c>
      <c r="BJ60" s="1048" t="str">
        <f>Codes!$C$163</f>
        <v>HR - Heavy Rail (DO)</v>
      </c>
      <c r="BK60" s="1049" t="str">
        <f>Valid!$B$81</f>
        <v>Curve</v>
      </c>
      <c r="BL60" s="1329"/>
      <c r="BM60" s="1049" t="str">
        <f>VLOOKUP(BK60,Valid!$B$80:$C$86,2,FALSE)</f>
        <v>Track Feet</v>
      </c>
      <c r="BN60" s="1335"/>
      <c r="BO60" s="1336"/>
      <c r="BP60" s="1337"/>
      <c r="BR60" s="588" t="b">
        <f>IF(OR(BJ60='A-55 TrackInv'!$C$13,BJ60='A-55 TrackInv'!$C$44,BJ60='A-55 TrackInv'!$C$75,BJ60='A-55 TrackInv'!$C$106,BJ60='A-55 TrackInv'!$C$137,BJ60='A-55 TrackInv'!$C$168,BJ60='A-55 TrackInv'!$C$199,BJ60='A-55 TrackInv'!$C$230,BJ60='A-55 TrackInv'!$C$261,BJ60='A-55 TrackInv'!$C$292),TRUE,FALSE)</f>
        <v>0</v>
      </c>
      <c r="BU60" s="1489"/>
      <c r="BV60" s="1212"/>
      <c r="BW60" s="1004"/>
      <c r="BX60" s="999"/>
      <c r="BY60" s="999"/>
      <c r="BZ60" s="999"/>
      <c r="CA60" s="999"/>
      <c r="CB60" s="999"/>
      <c r="CC60" s="1165"/>
      <c r="CF60" s="1036"/>
      <c r="CG60" s="1004"/>
      <c r="CH60" s="1004"/>
      <c r="CI60" s="1004"/>
      <c r="CJ60" s="1004"/>
      <c r="CK60" s="1044"/>
      <c r="CL60" s="1163"/>
      <c r="CM60" s="1163"/>
      <c r="CN60" s="647"/>
      <c r="CO60" s="647"/>
      <c r="CP60" s="1163"/>
      <c r="CQ60" s="639"/>
      <c r="CR60" s="647"/>
      <c r="CS60" s="1171"/>
      <c r="CT60" s="1001"/>
      <c r="CU60" s="647"/>
      <c r="CV60" s="1001"/>
      <c r="CW60" s="647"/>
      <c r="CX60" s="1009"/>
      <c r="CY60" s="1009"/>
      <c r="CZ60" s="1163"/>
      <c r="DA60" s="1004"/>
      <c r="DB60" s="1004"/>
      <c r="DC60" s="1004"/>
      <c r="DD60" s="1004"/>
      <c r="DE60" s="1004"/>
      <c r="DF60" s="639"/>
      <c r="DG60" s="1019"/>
    </row>
    <row r="61" spans="1:111" s="588" customFormat="1" ht="13.5" thickTop="1" x14ac:dyDescent="0.2">
      <c r="A61" s="589">
        <f t="shared" si="1"/>
        <v>52</v>
      </c>
      <c r="B61" s="644"/>
      <c r="C61" s="1420"/>
      <c r="D61" s="639"/>
      <c r="E61" s="639"/>
      <c r="F61" s="639"/>
      <c r="G61" s="1013"/>
      <c r="H61" s="639"/>
      <c r="I61" s="639"/>
      <c r="J61" s="643"/>
      <c r="K61" s="1004"/>
      <c r="L61" s="999"/>
      <c r="M61" s="1001"/>
      <c r="N61" s="643"/>
      <c r="O61" s="640"/>
      <c r="Q61" s="589"/>
      <c r="R61" s="644"/>
      <c r="S61" s="1420"/>
      <c r="T61" s="639"/>
      <c r="U61" s="639"/>
      <c r="V61" s="639"/>
      <c r="W61" s="1013"/>
      <c r="X61" s="647"/>
      <c r="Y61" s="647"/>
      <c r="Z61" s="639"/>
      <c r="AA61" s="639"/>
      <c r="AB61" s="643"/>
      <c r="AC61" s="1004"/>
      <c r="AD61" s="1163"/>
      <c r="AE61" s="999"/>
      <c r="AF61" s="1001"/>
      <c r="AG61" s="643"/>
      <c r="AH61" s="1165"/>
      <c r="AI61" s="589"/>
      <c r="AJ61" s="375"/>
      <c r="AK61" s="1181" t="str">
        <f>Codes!$C$159</f>
        <v>CC - Cable Car (DO)</v>
      </c>
      <c r="AL61" s="1182" t="str">
        <f>Valid!$B$87</f>
        <v>Substation Building</v>
      </c>
      <c r="AM61" s="1378"/>
      <c r="AN61" s="1403" t="str">
        <f>Valid!$C$87</f>
        <v>Each</v>
      </c>
      <c r="AO61" s="1443"/>
      <c r="AP61" s="1403"/>
      <c r="AQ61" s="1191"/>
      <c r="AR61" s="1309"/>
      <c r="AS61" s="1191"/>
      <c r="AT61" s="1191"/>
      <c r="AU61" s="1191"/>
      <c r="AV61" s="1191"/>
      <c r="AW61" s="1191"/>
      <c r="AX61" s="1191"/>
      <c r="AY61" s="1191"/>
      <c r="AZ61" s="1191"/>
      <c r="BA61" s="1191"/>
      <c r="BB61" s="1191"/>
      <c r="BC61" s="1411">
        <f t="shared" si="3"/>
        <v>0</v>
      </c>
      <c r="BD61" s="1191"/>
      <c r="BE61" s="1192"/>
      <c r="BG61" s="588" t="b">
        <f>IF(OR(AK61='A-50 FGRailInv'!$C$13,AK61='A-50 FGRailInv'!$C$69,AK61='A-50 FGRailInv'!$C$124,AK61='A-50 FGRailInv'!$C$179,AK61='A-50 FGRailInv'!$C$234,AK61='A-50 FGRailInv'!$C$290,AK61='A-50 FGRailInv'!$C$346,AK61='A-50 FGRailInv'!$C$402,AK61='A-50 FGRailInv'!$C$458,AK61='A-50 FGRailInv'!$C$514),TRUE,FALSE)</f>
        <v>0</v>
      </c>
      <c r="BJ61" s="1045" t="str">
        <f>Codes!$C$163</f>
        <v>HR - Heavy Rail (DO)</v>
      </c>
      <c r="BK61" s="1046" t="str">
        <f>Valid!$B$82</f>
        <v>Double Diamond Crossover</v>
      </c>
      <c r="BL61" s="1330"/>
      <c r="BM61" s="1046" t="str">
        <f>VLOOKUP(BK61,Valid!$B$80:$C$86,2,FALSE)</f>
        <v>Each</v>
      </c>
      <c r="BN61" s="1338"/>
      <c r="BO61" s="1339"/>
      <c r="BP61" s="1340"/>
      <c r="BR61" s="588" t="b">
        <f>IF(OR(BJ61='A-55 TrackInv'!$C$13,BJ61='A-55 TrackInv'!$C$44,BJ61='A-55 TrackInv'!$C$75,BJ61='A-55 TrackInv'!$C$106,BJ61='A-55 TrackInv'!$C$137,BJ61='A-55 TrackInv'!$C$168,BJ61='A-55 TrackInv'!$C$199,BJ61='A-55 TrackInv'!$C$230,BJ61='A-55 TrackInv'!$C$261,BJ61='A-55 TrackInv'!$C$292),TRUE,FALSE)</f>
        <v>0</v>
      </c>
      <c r="BU61" s="1489"/>
      <c r="BV61" s="1212"/>
      <c r="BW61" s="1004"/>
      <c r="BX61" s="999"/>
      <c r="BY61" s="999"/>
      <c r="BZ61" s="999"/>
      <c r="CA61" s="999"/>
      <c r="CB61" s="999"/>
      <c r="CC61" s="1165"/>
      <c r="CF61" s="1036"/>
      <c r="CG61" s="1004"/>
      <c r="CH61" s="1004"/>
      <c r="CI61" s="1004"/>
      <c r="CJ61" s="1004"/>
      <c r="CK61" s="1044"/>
      <c r="CL61" s="1163"/>
      <c r="CM61" s="1163"/>
      <c r="CN61" s="647"/>
      <c r="CO61" s="647"/>
      <c r="CP61" s="1163"/>
      <c r="CQ61" s="639"/>
      <c r="CR61" s="647"/>
      <c r="CS61" s="1171"/>
      <c r="CT61" s="1001"/>
      <c r="CU61" s="647"/>
      <c r="CV61" s="1001"/>
      <c r="CW61" s="647"/>
      <c r="CX61" s="1009"/>
      <c r="CY61" s="1009"/>
      <c r="CZ61" s="1163"/>
      <c r="DA61" s="1004"/>
      <c r="DB61" s="1004"/>
      <c r="DC61" s="1004"/>
      <c r="DD61" s="1004"/>
      <c r="DE61" s="1004"/>
      <c r="DF61" s="639"/>
      <c r="DG61" s="1019"/>
    </row>
    <row r="62" spans="1:111" s="588" customFormat="1" x14ac:dyDescent="0.2">
      <c r="A62" s="589">
        <f t="shared" si="1"/>
        <v>53</v>
      </c>
      <c r="B62" s="644"/>
      <c r="C62" s="1420"/>
      <c r="D62" s="639"/>
      <c r="E62" s="639"/>
      <c r="F62" s="639"/>
      <c r="G62" s="1013"/>
      <c r="H62" s="639"/>
      <c r="I62" s="639"/>
      <c r="J62" s="643"/>
      <c r="K62" s="1004"/>
      <c r="L62" s="999"/>
      <c r="M62" s="1001"/>
      <c r="N62" s="643"/>
      <c r="O62" s="640"/>
      <c r="Q62" s="589"/>
      <c r="R62" s="644"/>
      <c r="S62" s="1420"/>
      <c r="T62" s="639"/>
      <c r="U62" s="639"/>
      <c r="V62" s="639"/>
      <c r="W62" s="1013"/>
      <c r="X62" s="647"/>
      <c r="Y62" s="647"/>
      <c r="Z62" s="639"/>
      <c r="AA62" s="639"/>
      <c r="AB62" s="643"/>
      <c r="AC62" s="1004"/>
      <c r="AD62" s="1163"/>
      <c r="AE62" s="999"/>
      <c r="AF62" s="1001"/>
      <c r="AG62" s="643"/>
      <c r="AH62" s="1165"/>
      <c r="AI62" s="589"/>
      <c r="AJ62" s="375"/>
      <c r="AK62" s="1041" t="str">
        <f>Codes!$C$159</f>
        <v>CC - Cable Car (DO)</v>
      </c>
      <c r="AL62" s="1042" t="str">
        <f>Valid!$B$88</f>
        <v>Substation Equipment</v>
      </c>
      <c r="AM62" s="1209"/>
      <c r="AN62" s="1401"/>
      <c r="AO62" s="1444"/>
      <c r="AP62" s="1401"/>
      <c r="AQ62" s="1193"/>
      <c r="AR62" s="1310"/>
      <c r="AS62" s="1194"/>
      <c r="AT62" s="1194"/>
      <c r="AU62" s="1194"/>
      <c r="AV62" s="1194"/>
      <c r="AW62" s="1194"/>
      <c r="AX62" s="1194"/>
      <c r="AY62" s="1194"/>
      <c r="AZ62" s="1194"/>
      <c r="BA62" s="1194"/>
      <c r="BB62" s="1194"/>
      <c r="BC62" s="1412">
        <f t="shared" si="3"/>
        <v>0</v>
      </c>
      <c r="BD62" s="1193"/>
      <c r="BE62" s="1195"/>
      <c r="BG62" s="588" t="b">
        <f>IF(OR(AK62='A-50 FGRailInv'!$C$13,AK62='A-50 FGRailInv'!$C$69,AK62='A-50 FGRailInv'!$C$124,AK62='A-50 FGRailInv'!$C$179,AK62='A-50 FGRailInv'!$C$234,AK62='A-50 FGRailInv'!$C$290,AK62='A-50 FGRailInv'!$C$346,AK62='A-50 FGRailInv'!$C$402,AK62='A-50 FGRailInv'!$C$458,AK62='A-50 FGRailInv'!$C$514),TRUE,FALSE)</f>
        <v>0</v>
      </c>
      <c r="BJ62" s="1041" t="str">
        <f>Codes!$C$163</f>
        <v>HR - Heavy Rail (DO)</v>
      </c>
      <c r="BK62" s="1042" t="str">
        <f>Valid!$B$83</f>
        <v>Single Crossover</v>
      </c>
      <c r="BL62" s="1382"/>
      <c r="BM62" s="1042" t="str">
        <f>VLOOKUP(BK62,Valid!$B$80:$C$86,2,FALSE)</f>
        <v>Each</v>
      </c>
      <c r="BN62" s="1383"/>
      <c r="BO62" s="1194"/>
      <c r="BP62" s="1195"/>
      <c r="BR62" s="588" t="b">
        <f>IF(OR(BJ62='A-55 TrackInv'!$C$13,BJ62='A-55 TrackInv'!$C$44,BJ62='A-55 TrackInv'!$C$75,BJ62='A-55 TrackInv'!$C$106,BJ62='A-55 TrackInv'!$C$137,BJ62='A-55 TrackInv'!$C$168,BJ62='A-55 TrackInv'!$C$199,BJ62='A-55 TrackInv'!$C$230,BJ62='A-55 TrackInv'!$C$261,BJ62='A-55 TrackInv'!$C$292),TRUE,FALSE)</f>
        <v>0</v>
      </c>
      <c r="BU62" s="1489"/>
      <c r="BV62" s="1212"/>
      <c r="BW62" s="1004"/>
      <c r="BX62" s="999"/>
      <c r="BY62" s="999"/>
      <c r="BZ62" s="999"/>
      <c r="CA62" s="999"/>
      <c r="CB62" s="999"/>
      <c r="CC62" s="1165"/>
      <c r="CF62" s="1036"/>
      <c r="CG62" s="1004"/>
      <c r="CH62" s="1004"/>
      <c r="CI62" s="1004"/>
      <c r="CJ62" s="1004"/>
      <c r="CK62" s="1044"/>
      <c r="CL62" s="1163"/>
      <c r="CM62" s="1163"/>
      <c r="CN62" s="647"/>
      <c r="CO62" s="647"/>
      <c r="CP62" s="1163"/>
      <c r="CQ62" s="639"/>
      <c r="CR62" s="647"/>
      <c r="CS62" s="1171"/>
      <c r="CT62" s="1001"/>
      <c r="CU62" s="647"/>
      <c r="CV62" s="1001"/>
      <c r="CW62" s="647"/>
      <c r="CX62" s="1009"/>
      <c r="CY62" s="1009"/>
      <c r="CZ62" s="1163"/>
      <c r="DA62" s="1004"/>
      <c r="DB62" s="1004"/>
      <c r="DC62" s="1004"/>
      <c r="DD62" s="1004"/>
      <c r="DE62" s="1004"/>
      <c r="DF62" s="639"/>
      <c r="DG62" s="1019"/>
    </row>
    <row r="63" spans="1:111" s="588" customFormat="1" x14ac:dyDescent="0.2">
      <c r="A63" s="589">
        <f t="shared" si="1"/>
        <v>54</v>
      </c>
      <c r="B63" s="644"/>
      <c r="C63" s="1420"/>
      <c r="D63" s="639"/>
      <c r="E63" s="639"/>
      <c r="F63" s="639"/>
      <c r="G63" s="1013"/>
      <c r="H63" s="639"/>
      <c r="I63" s="639"/>
      <c r="J63" s="643"/>
      <c r="K63" s="1004"/>
      <c r="L63" s="999"/>
      <c r="M63" s="1001"/>
      <c r="N63" s="643"/>
      <c r="O63" s="640"/>
      <c r="Q63" s="589"/>
      <c r="R63" s="644"/>
      <c r="S63" s="1420"/>
      <c r="T63" s="639"/>
      <c r="U63" s="639"/>
      <c r="V63" s="639"/>
      <c r="W63" s="1013"/>
      <c r="X63" s="647"/>
      <c r="Y63" s="647"/>
      <c r="Z63" s="639"/>
      <c r="AA63" s="639"/>
      <c r="AB63" s="643"/>
      <c r="AC63" s="1004"/>
      <c r="AD63" s="1163"/>
      <c r="AE63" s="999"/>
      <c r="AF63" s="1001"/>
      <c r="AG63" s="643"/>
      <c r="AH63" s="1165"/>
      <c r="AI63" s="589"/>
      <c r="AJ63" s="375"/>
      <c r="AK63" s="1041" t="str">
        <f>Codes!$C$159</f>
        <v>CC - Cable Car (DO)</v>
      </c>
      <c r="AL63" s="1042" t="str">
        <f>Valid!$B$89</f>
        <v>Third Rail/Power Distribution</v>
      </c>
      <c r="AM63" s="1209"/>
      <c r="AN63" s="1401"/>
      <c r="AO63" s="1444"/>
      <c r="AP63" s="1401"/>
      <c r="AQ63" s="1193"/>
      <c r="AR63" s="1310"/>
      <c r="AS63" s="1194"/>
      <c r="AT63" s="1194"/>
      <c r="AU63" s="1194"/>
      <c r="AV63" s="1194"/>
      <c r="AW63" s="1194"/>
      <c r="AX63" s="1194"/>
      <c r="AY63" s="1194"/>
      <c r="AZ63" s="1194"/>
      <c r="BA63" s="1194"/>
      <c r="BB63" s="1194"/>
      <c r="BC63" s="1412">
        <f t="shared" si="3"/>
        <v>0</v>
      </c>
      <c r="BD63" s="1193"/>
      <c r="BE63" s="1195"/>
      <c r="BG63" s="588" t="b">
        <f>IF(OR(AK63='A-50 FGRailInv'!$C$13,AK63='A-50 FGRailInv'!$C$69,AK63='A-50 FGRailInv'!$C$124,AK63='A-50 FGRailInv'!$C$179,AK63='A-50 FGRailInv'!$C$234,AK63='A-50 FGRailInv'!$C$290,AK63='A-50 FGRailInv'!$C$346,AK63='A-50 FGRailInv'!$C$402,AK63='A-50 FGRailInv'!$C$458,AK63='A-50 FGRailInv'!$C$514),TRUE,FALSE)</f>
        <v>0</v>
      </c>
      <c r="BJ63" s="1041" t="str">
        <f>Codes!$C$163</f>
        <v>HR - Heavy Rail (DO)</v>
      </c>
      <c r="BK63" s="1042" t="str">
        <f>Valid!$B$84</f>
        <v>Half Grand Union</v>
      </c>
      <c r="BL63" s="1382"/>
      <c r="BM63" s="1042" t="str">
        <f>VLOOKUP(BK63,Valid!$B$80:$C$86,2,FALSE)</f>
        <v>Each</v>
      </c>
      <c r="BN63" s="1383"/>
      <c r="BO63" s="1194"/>
      <c r="BP63" s="1195"/>
      <c r="BR63" s="588" t="b">
        <f>IF(OR(BJ63='A-55 TrackInv'!$C$13,BJ63='A-55 TrackInv'!$C$44,BJ63='A-55 TrackInv'!$C$75,BJ63='A-55 TrackInv'!$C$106,BJ63='A-55 TrackInv'!$C$137,BJ63='A-55 TrackInv'!$C$168,BJ63='A-55 TrackInv'!$C$199,BJ63='A-55 TrackInv'!$C$230,BJ63='A-55 TrackInv'!$C$261,BJ63='A-55 TrackInv'!$C$292),TRUE,FALSE)</f>
        <v>0</v>
      </c>
      <c r="BU63" s="1489"/>
      <c r="BV63" s="1212"/>
      <c r="BW63" s="1004"/>
      <c r="BX63" s="999"/>
      <c r="BY63" s="999"/>
      <c r="BZ63" s="999"/>
      <c r="CA63" s="999"/>
      <c r="CB63" s="999"/>
      <c r="CC63" s="1165"/>
      <c r="CF63" s="1036"/>
      <c r="CG63" s="1004"/>
      <c r="CH63" s="1004"/>
      <c r="CI63" s="1004"/>
      <c r="CJ63" s="1004"/>
      <c r="CK63" s="1044"/>
      <c r="CL63" s="1163"/>
      <c r="CM63" s="1163"/>
      <c r="CN63" s="647"/>
      <c r="CO63" s="647"/>
      <c r="CP63" s="1163"/>
      <c r="CQ63" s="639"/>
      <c r="CR63" s="647"/>
      <c r="CS63" s="1171"/>
      <c r="CT63" s="1001"/>
      <c r="CU63" s="647"/>
      <c r="CV63" s="1001"/>
      <c r="CW63" s="647"/>
      <c r="CX63" s="1009"/>
      <c r="CY63" s="1009"/>
      <c r="CZ63" s="1163"/>
      <c r="DA63" s="1004"/>
      <c r="DB63" s="1004"/>
      <c r="DC63" s="1004"/>
      <c r="DD63" s="1004"/>
      <c r="DE63" s="1004"/>
      <c r="DF63" s="639"/>
      <c r="DG63" s="1019"/>
    </row>
    <row r="64" spans="1:111" s="588" customFormat="1" x14ac:dyDescent="0.2">
      <c r="A64" s="589">
        <f t="shared" si="1"/>
        <v>55</v>
      </c>
      <c r="B64" s="644"/>
      <c r="C64" s="1420"/>
      <c r="D64" s="639"/>
      <c r="E64" s="639"/>
      <c r="F64" s="639"/>
      <c r="G64" s="1013"/>
      <c r="H64" s="639"/>
      <c r="I64" s="639"/>
      <c r="J64" s="643"/>
      <c r="K64" s="1004"/>
      <c r="L64" s="999"/>
      <c r="M64" s="1001"/>
      <c r="N64" s="643"/>
      <c r="O64" s="640"/>
      <c r="Q64" s="589"/>
      <c r="R64" s="644"/>
      <c r="S64" s="1420"/>
      <c r="T64" s="639"/>
      <c r="U64" s="639"/>
      <c r="V64" s="639"/>
      <c r="W64" s="1013"/>
      <c r="X64" s="647"/>
      <c r="Y64" s="647"/>
      <c r="Z64" s="639"/>
      <c r="AA64" s="639"/>
      <c r="AB64" s="643"/>
      <c r="AC64" s="1004"/>
      <c r="AD64" s="1163"/>
      <c r="AE64" s="999"/>
      <c r="AF64" s="1001"/>
      <c r="AG64" s="643"/>
      <c r="AH64" s="1165"/>
      <c r="AI64" s="589"/>
      <c r="AJ64" s="375"/>
      <c r="AK64" s="1041" t="str">
        <f>Codes!$C$159</f>
        <v>CC - Cable Car (DO)</v>
      </c>
      <c r="AL64" s="1042" t="str">
        <f>Valid!$B$90</f>
        <v>Overhead Contact System/Power Distribution</v>
      </c>
      <c r="AM64" s="1209"/>
      <c r="AN64" s="1401"/>
      <c r="AO64" s="1444"/>
      <c r="AP64" s="1401"/>
      <c r="AQ64" s="1193"/>
      <c r="AR64" s="1310"/>
      <c r="AS64" s="1194"/>
      <c r="AT64" s="1194"/>
      <c r="AU64" s="1194"/>
      <c r="AV64" s="1194"/>
      <c r="AW64" s="1194"/>
      <c r="AX64" s="1194"/>
      <c r="AY64" s="1194"/>
      <c r="AZ64" s="1194"/>
      <c r="BA64" s="1194"/>
      <c r="BB64" s="1194"/>
      <c r="BC64" s="1412">
        <f t="shared" si="3"/>
        <v>0</v>
      </c>
      <c r="BD64" s="1193"/>
      <c r="BE64" s="1195"/>
      <c r="BG64" s="588" t="b">
        <f>IF(OR(AK64='A-50 FGRailInv'!$C$13,AK64='A-50 FGRailInv'!$C$69,AK64='A-50 FGRailInv'!$C$124,AK64='A-50 FGRailInv'!$C$179,AK64='A-50 FGRailInv'!$C$234,AK64='A-50 FGRailInv'!$C$290,AK64='A-50 FGRailInv'!$C$346,AK64='A-50 FGRailInv'!$C$402,AK64='A-50 FGRailInv'!$C$458,AK64='A-50 FGRailInv'!$C$514),TRUE,FALSE)</f>
        <v>0</v>
      </c>
      <c r="BJ64" s="1041" t="str">
        <f>Codes!$C$163</f>
        <v>HR - Heavy Rail (DO)</v>
      </c>
      <c r="BK64" s="1042" t="str">
        <f>Valid!$B$85</f>
        <v>Single Turnout</v>
      </c>
      <c r="BL64" s="1382"/>
      <c r="BM64" s="1042" t="str">
        <f>VLOOKUP(BK64,Valid!$B$80:$C$86,2,FALSE)</f>
        <v>Each</v>
      </c>
      <c r="BN64" s="1383"/>
      <c r="BO64" s="1194"/>
      <c r="BP64" s="1195"/>
      <c r="BR64" s="588" t="b">
        <f>IF(OR(BJ64='A-55 TrackInv'!$C$13,BJ64='A-55 TrackInv'!$C$44,BJ64='A-55 TrackInv'!$C$75,BJ64='A-55 TrackInv'!$C$106,BJ64='A-55 TrackInv'!$C$137,BJ64='A-55 TrackInv'!$C$168,BJ64='A-55 TrackInv'!$C$199,BJ64='A-55 TrackInv'!$C$230,BJ64='A-55 TrackInv'!$C$261,BJ64='A-55 TrackInv'!$C$292),TRUE,FALSE)</f>
        <v>0</v>
      </c>
      <c r="BU64" s="1489"/>
      <c r="BV64" s="1212"/>
      <c r="BW64" s="1004"/>
      <c r="BX64" s="999"/>
      <c r="BY64" s="999"/>
      <c r="BZ64" s="999"/>
      <c r="CA64" s="999"/>
      <c r="CB64" s="999"/>
      <c r="CC64" s="1165"/>
      <c r="CF64" s="1036"/>
      <c r="CG64" s="1004"/>
      <c r="CH64" s="1004"/>
      <c r="CI64" s="1004"/>
      <c r="CJ64" s="1004"/>
      <c r="CK64" s="1044"/>
      <c r="CL64" s="1163"/>
      <c r="CM64" s="1163"/>
      <c r="CN64" s="647"/>
      <c r="CO64" s="647"/>
      <c r="CP64" s="1163"/>
      <c r="CQ64" s="639"/>
      <c r="CR64" s="647"/>
      <c r="CS64" s="1171"/>
      <c r="CT64" s="1001"/>
      <c r="CU64" s="647"/>
      <c r="CV64" s="1001"/>
      <c r="CW64" s="647"/>
      <c r="CX64" s="1009"/>
      <c r="CY64" s="1009"/>
      <c r="CZ64" s="1163"/>
      <c r="DA64" s="1004"/>
      <c r="DB64" s="1004"/>
      <c r="DC64" s="1004"/>
      <c r="DD64" s="1004"/>
      <c r="DE64" s="1004"/>
      <c r="DF64" s="639"/>
      <c r="DG64" s="1019"/>
    </row>
    <row r="65" spans="1:111" s="588" customFormat="1" ht="13.5" thickBot="1" x14ac:dyDescent="0.25">
      <c r="A65" s="589">
        <f t="shared" si="1"/>
        <v>56</v>
      </c>
      <c r="B65" s="644"/>
      <c r="C65" s="1420"/>
      <c r="D65" s="639"/>
      <c r="E65" s="639"/>
      <c r="F65" s="639"/>
      <c r="G65" s="1013"/>
      <c r="H65" s="639"/>
      <c r="I65" s="639"/>
      <c r="J65" s="643"/>
      <c r="K65" s="1004"/>
      <c r="L65" s="999"/>
      <c r="M65" s="1001"/>
      <c r="N65" s="643"/>
      <c r="O65" s="640"/>
      <c r="Q65" s="589"/>
      <c r="R65" s="644"/>
      <c r="S65" s="1420"/>
      <c r="T65" s="639"/>
      <c r="U65" s="639"/>
      <c r="V65" s="639"/>
      <c r="W65" s="1013"/>
      <c r="X65" s="647"/>
      <c r="Y65" s="647"/>
      <c r="Z65" s="639"/>
      <c r="AA65" s="639"/>
      <c r="AB65" s="643"/>
      <c r="AC65" s="1004"/>
      <c r="AD65" s="1163"/>
      <c r="AE65" s="999"/>
      <c r="AF65" s="1001"/>
      <c r="AG65" s="643"/>
      <c r="AH65" s="1165"/>
      <c r="AI65" s="589"/>
      <c r="AJ65" s="375"/>
      <c r="AK65" s="1047" t="str">
        <f>Codes!$C$159</f>
        <v>CC - Cable Car (DO)</v>
      </c>
      <c r="AL65" s="1050" t="str">
        <f>Valid!$B$91</f>
        <v>Train Control &amp; Signaling</v>
      </c>
      <c r="AM65" s="1210"/>
      <c r="AN65" s="1404"/>
      <c r="AO65" s="1445"/>
      <c r="AP65" s="1404"/>
      <c r="AQ65" s="1196"/>
      <c r="AR65" s="1311"/>
      <c r="AS65" s="1197"/>
      <c r="AT65" s="1197"/>
      <c r="AU65" s="1197"/>
      <c r="AV65" s="1197"/>
      <c r="AW65" s="1197"/>
      <c r="AX65" s="1197"/>
      <c r="AY65" s="1197"/>
      <c r="AZ65" s="1197"/>
      <c r="BA65" s="1197"/>
      <c r="BB65" s="1197"/>
      <c r="BC65" s="1413">
        <f t="shared" si="3"/>
        <v>0</v>
      </c>
      <c r="BD65" s="1196"/>
      <c r="BE65" s="1198"/>
      <c r="BG65" s="588" t="b">
        <f>IF(OR(AK65='A-50 FGRailInv'!$C$13,AK65='A-50 FGRailInv'!$C$69,AK65='A-50 FGRailInv'!$C$124,AK65='A-50 FGRailInv'!$C$179,AK65='A-50 FGRailInv'!$C$234,AK65='A-50 FGRailInv'!$C$290,AK65='A-50 FGRailInv'!$C$346,AK65='A-50 FGRailInv'!$C$402,AK65='A-50 FGRailInv'!$C$458,AK65='A-50 FGRailInv'!$C$514),TRUE,FALSE)</f>
        <v>0</v>
      </c>
      <c r="BJ65" s="1047" t="str">
        <f>Codes!$C$163</f>
        <v>HR - Heavy Rail (DO)</v>
      </c>
      <c r="BK65" s="1050" t="str">
        <f>Valid!$B$86</f>
        <v>Grade Crossings</v>
      </c>
      <c r="BL65" s="1331"/>
      <c r="BM65" s="1050" t="str">
        <f>VLOOKUP(BK65,Valid!$B$80:$C$86,2,FALSE)</f>
        <v>Each</v>
      </c>
      <c r="BN65" s="1341"/>
      <c r="BO65" s="1197"/>
      <c r="BP65" s="1198"/>
      <c r="BR65" s="588" t="b">
        <f>IF(OR(BJ65='A-55 TrackInv'!$C$13,BJ65='A-55 TrackInv'!$C$44,BJ65='A-55 TrackInv'!$C$75,BJ65='A-55 TrackInv'!$C$106,BJ65='A-55 TrackInv'!$C$137,BJ65='A-55 TrackInv'!$C$168,BJ65='A-55 TrackInv'!$C$199,BJ65='A-55 TrackInv'!$C$230,BJ65='A-55 TrackInv'!$C$261,BJ65='A-55 TrackInv'!$C$292),TRUE,FALSE)</f>
        <v>0</v>
      </c>
      <c r="BU65" s="1489"/>
      <c r="BV65" s="1212"/>
      <c r="BW65" s="1004"/>
      <c r="BX65" s="999"/>
      <c r="BY65" s="999"/>
      <c r="BZ65" s="999"/>
      <c r="CA65" s="999"/>
      <c r="CB65" s="999"/>
      <c r="CC65" s="1165"/>
      <c r="CF65" s="1036"/>
      <c r="CG65" s="1004"/>
      <c r="CH65" s="1004"/>
      <c r="CI65" s="1004"/>
      <c r="CJ65" s="1004"/>
      <c r="CK65" s="1044"/>
      <c r="CL65" s="1163"/>
      <c r="CM65" s="1163"/>
      <c r="CN65" s="647"/>
      <c r="CO65" s="647"/>
      <c r="CP65" s="1163"/>
      <c r="CQ65" s="639"/>
      <c r="CR65" s="647"/>
      <c r="CS65" s="1171"/>
      <c r="CT65" s="1001"/>
      <c r="CU65" s="647"/>
      <c r="CV65" s="1001"/>
      <c r="CW65" s="647"/>
      <c r="CX65" s="1009"/>
      <c r="CY65" s="1009"/>
      <c r="CZ65" s="1163"/>
      <c r="DA65" s="1004"/>
      <c r="DB65" s="1004"/>
      <c r="DC65" s="1004"/>
      <c r="DD65" s="1004"/>
      <c r="DE65" s="1004"/>
      <c r="DF65" s="639"/>
      <c r="DG65" s="1019"/>
    </row>
    <row r="66" spans="1:111" s="588" customFormat="1" x14ac:dyDescent="0.2">
      <c r="A66" s="589">
        <f t="shared" si="1"/>
        <v>57</v>
      </c>
      <c r="B66" s="644"/>
      <c r="C66" s="1420"/>
      <c r="D66" s="639"/>
      <c r="E66" s="639"/>
      <c r="F66" s="639"/>
      <c r="G66" s="1013"/>
      <c r="H66" s="639"/>
      <c r="I66" s="639"/>
      <c r="J66" s="643"/>
      <c r="K66" s="1004"/>
      <c r="L66" s="999"/>
      <c r="M66" s="1001"/>
      <c r="N66" s="643"/>
      <c r="O66" s="640"/>
      <c r="Q66" s="589"/>
      <c r="R66" s="644"/>
      <c r="S66" s="1420"/>
      <c r="T66" s="639"/>
      <c r="U66" s="639"/>
      <c r="V66" s="639"/>
      <c r="W66" s="1013"/>
      <c r="X66" s="647"/>
      <c r="Y66" s="647"/>
      <c r="Z66" s="639"/>
      <c r="AA66" s="639"/>
      <c r="AB66" s="643"/>
      <c r="AC66" s="1004"/>
      <c r="AD66" s="1163"/>
      <c r="AE66" s="999"/>
      <c r="AF66" s="1001"/>
      <c r="AG66" s="643"/>
      <c r="AH66" s="1165"/>
      <c r="AI66" s="589"/>
      <c r="AJ66" s="375"/>
      <c r="AK66" s="1043" t="str">
        <f>Codes!$C$160</f>
        <v>CC - Cable Car (PT)</v>
      </c>
      <c r="AL66" s="1303" t="str">
        <f>Valid!$B$71</f>
        <v>At-Grade/Ballast (including expressway)</v>
      </c>
      <c r="AM66" s="1003"/>
      <c r="AN66" s="1400" t="str">
        <f>Valid!$C$71</f>
        <v>Linear Feet</v>
      </c>
      <c r="AO66" s="1446"/>
      <c r="AP66" s="1400" t="s">
        <v>1149</v>
      </c>
      <c r="AQ66" s="1012"/>
      <c r="AR66" s="1312"/>
      <c r="AS66" s="1304"/>
      <c r="AT66" s="1304"/>
      <c r="AU66" s="1304"/>
      <c r="AV66" s="1304"/>
      <c r="AW66" s="1304"/>
      <c r="AX66" s="1304"/>
      <c r="AY66" s="1304"/>
      <c r="AZ66" s="1304"/>
      <c r="BA66" s="1304"/>
      <c r="BB66" s="1304"/>
      <c r="BC66" s="1408">
        <f t="shared" si="3"/>
        <v>0</v>
      </c>
      <c r="BD66" s="1007"/>
      <c r="BE66" s="1305"/>
      <c r="BG66" s="588" t="b">
        <f>IF(OR(AK66='A-50 FGRailInv'!$C$13,AK66='A-50 FGRailInv'!$C$69,AK66='A-50 FGRailInv'!$C$124,AK66='A-50 FGRailInv'!$C$179,AK66='A-50 FGRailInv'!$C$234,AK66='A-50 FGRailInv'!$C$290,AK66='A-50 FGRailInv'!$C$346,AK66='A-50 FGRailInv'!$C$402,AK66='A-50 FGRailInv'!$C$458,AK66='A-50 FGRailInv'!$C$514),TRUE,FALSE)</f>
        <v>0</v>
      </c>
      <c r="BJ66" s="1043" t="str">
        <f>Codes!$C$164</f>
        <v>HR - Heavy Rail (PT)</v>
      </c>
      <c r="BK66" s="1303" t="str">
        <f>Valid!$B$80</f>
        <v>Tangent</v>
      </c>
      <c r="BL66" s="1328"/>
      <c r="BM66" s="1303" t="str">
        <f>VLOOKUP(BK66,Valid!$B$80:$C$86,2,FALSE)</f>
        <v>Track Feet</v>
      </c>
      <c r="BN66" s="1332"/>
      <c r="BO66" s="1333"/>
      <c r="BP66" s="1334"/>
      <c r="BR66" s="588" t="b">
        <f>IF(OR(BJ66='A-55 TrackInv'!$C$13,BJ66='A-55 TrackInv'!$C$44,BJ66='A-55 TrackInv'!$C$75,BJ66='A-55 TrackInv'!$C$106,BJ66='A-55 TrackInv'!$C$137,BJ66='A-55 TrackInv'!$C$168,BJ66='A-55 TrackInv'!$C$199,BJ66='A-55 TrackInv'!$C$230,BJ66='A-55 TrackInv'!$C$261,BJ66='A-55 TrackInv'!$C$292),TRUE,FALSE)</f>
        <v>0</v>
      </c>
      <c r="BU66" s="1489"/>
      <c r="BV66" s="1212"/>
      <c r="BW66" s="1004"/>
      <c r="BX66" s="999"/>
      <c r="BY66" s="999"/>
      <c r="BZ66" s="999"/>
      <c r="CA66" s="999"/>
      <c r="CB66" s="999"/>
      <c r="CC66" s="1165"/>
      <c r="CF66" s="1036"/>
      <c r="CG66" s="1004"/>
      <c r="CH66" s="1004"/>
      <c r="CI66" s="1004"/>
      <c r="CJ66" s="1004"/>
      <c r="CK66" s="1044"/>
      <c r="CL66" s="1163"/>
      <c r="CM66" s="1163"/>
      <c r="CN66" s="647"/>
      <c r="CO66" s="647"/>
      <c r="CP66" s="1163"/>
      <c r="CQ66" s="639"/>
      <c r="CR66" s="647"/>
      <c r="CS66" s="1171"/>
      <c r="CT66" s="1001"/>
      <c r="CU66" s="647"/>
      <c r="CV66" s="1001"/>
      <c r="CW66" s="647"/>
      <c r="CX66" s="1009"/>
      <c r="CY66" s="1009"/>
      <c r="CZ66" s="1163"/>
      <c r="DA66" s="1004"/>
      <c r="DB66" s="1004"/>
      <c r="DC66" s="1004"/>
      <c r="DD66" s="1004"/>
      <c r="DE66" s="1004"/>
      <c r="DF66" s="639"/>
      <c r="DG66" s="1019"/>
    </row>
    <row r="67" spans="1:111" s="588" customFormat="1" ht="13.5" thickBot="1" x14ac:dyDescent="0.25">
      <c r="A67" s="589">
        <f t="shared" si="1"/>
        <v>58</v>
      </c>
      <c r="B67" s="644"/>
      <c r="C67" s="1420"/>
      <c r="D67" s="639"/>
      <c r="E67" s="639"/>
      <c r="F67" s="639"/>
      <c r="G67" s="1013"/>
      <c r="H67" s="639"/>
      <c r="I67" s="639"/>
      <c r="J67" s="643"/>
      <c r="K67" s="1004"/>
      <c r="L67" s="999"/>
      <c r="M67" s="1001"/>
      <c r="N67" s="643"/>
      <c r="O67" s="640"/>
      <c r="Q67" s="589"/>
      <c r="R67" s="644"/>
      <c r="S67" s="1420"/>
      <c r="T67" s="639"/>
      <c r="U67" s="639"/>
      <c r="V67" s="639"/>
      <c r="W67" s="1013"/>
      <c r="X67" s="647"/>
      <c r="Y67" s="647"/>
      <c r="Z67" s="639"/>
      <c r="AA67" s="639"/>
      <c r="AB67" s="643"/>
      <c r="AC67" s="1004"/>
      <c r="AD67" s="1163"/>
      <c r="AE67" s="999"/>
      <c r="AF67" s="1001"/>
      <c r="AG67" s="643"/>
      <c r="AH67" s="1165"/>
      <c r="AI67" s="589"/>
      <c r="AJ67" s="375"/>
      <c r="AK67" s="1041" t="str">
        <f>Codes!$C$160</f>
        <v>CC - Cable Car (PT)</v>
      </c>
      <c r="AL67" s="1042" t="str">
        <f>Valid!$B$72</f>
        <v>At-Grade/In-Street/Embedded</v>
      </c>
      <c r="AM67" s="1004"/>
      <c r="AN67" s="1401" t="str">
        <f>Valid!$C$72</f>
        <v>Linear Feet</v>
      </c>
      <c r="AO67" s="1441"/>
      <c r="AP67" s="1401" t="s">
        <v>1149</v>
      </c>
      <c r="AQ67" s="1033"/>
      <c r="AR67" s="1307"/>
      <c r="AS67" s="997"/>
      <c r="AT67" s="997"/>
      <c r="AU67" s="997"/>
      <c r="AV67" s="997"/>
      <c r="AW67" s="997"/>
      <c r="AX67" s="997"/>
      <c r="AY67" s="997"/>
      <c r="AZ67" s="997"/>
      <c r="BA67" s="997"/>
      <c r="BB67" s="997"/>
      <c r="BC67" s="1409">
        <f t="shared" si="3"/>
        <v>0</v>
      </c>
      <c r="BD67" s="999"/>
      <c r="BE67" s="640"/>
      <c r="BG67" s="588" t="b">
        <f>IF(OR(AK67='A-50 FGRailInv'!$C$13,AK67='A-50 FGRailInv'!$C$69,AK67='A-50 FGRailInv'!$C$124,AK67='A-50 FGRailInv'!$C$179,AK67='A-50 FGRailInv'!$C$234,AK67='A-50 FGRailInv'!$C$290,AK67='A-50 FGRailInv'!$C$346,AK67='A-50 FGRailInv'!$C$402,AK67='A-50 FGRailInv'!$C$458,AK67='A-50 FGRailInv'!$C$514),TRUE,FALSE)</f>
        <v>0</v>
      </c>
      <c r="BJ67" s="1048" t="str">
        <f>Codes!$C$164</f>
        <v>HR - Heavy Rail (PT)</v>
      </c>
      <c r="BK67" s="1049" t="str">
        <f>Valid!$B$81</f>
        <v>Curve</v>
      </c>
      <c r="BL67" s="1329"/>
      <c r="BM67" s="1049" t="str">
        <f>VLOOKUP(BK67,Valid!$B$80:$C$86,2,FALSE)</f>
        <v>Track Feet</v>
      </c>
      <c r="BN67" s="1335"/>
      <c r="BO67" s="1336"/>
      <c r="BP67" s="1337"/>
      <c r="BR67" s="588" t="b">
        <f>IF(OR(BJ67='A-55 TrackInv'!$C$13,BJ67='A-55 TrackInv'!$C$44,BJ67='A-55 TrackInv'!$C$75,BJ67='A-55 TrackInv'!$C$106,BJ67='A-55 TrackInv'!$C$137,BJ67='A-55 TrackInv'!$C$168,BJ67='A-55 TrackInv'!$C$199,BJ67='A-55 TrackInv'!$C$230,BJ67='A-55 TrackInv'!$C$261,BJ67='A-55 TrackInv'!$C$292),TRUE,FALSE)</f>
        <v>0</v>
      </c>
      <c r="BU67" s="1489"/>
      <c r="BV67" s="1212"/>
      <c r="BW67" s="1004"/>
      <c r="BX67" s="999"/>
      <c r="BY67" s="999"/>
      <c r="BZ67" s="999"/>
      <c r="CA67" s="999"/>
      <c r="CB67" s="999"/>
      <c r="CC67" s="1165"/>
      <c r="CF67" s="1036"/>
      <c r="CG67" s="1004"/>
      <c r="CH67" s="1004"/>
      <c r="CI67" s="1004"/>
      <c r="CJ67" s="1004"/>
      <c r="CK67" s="1044"/>
      <c r="CL67" s="1163"/>
      <c r="CM67" s="1163"/>
      <c r="CN67" s="647"/>
      <c r="CO67" s="647"/>
      <c r="CP67" s="1163"/>
      <c r="CQ67" s="639"/>
      <c r="CR67" s="647"/>
      <c r="CS67" s="1171"/>
      <c r="CT67" s="1001"/>
      <c r="CU67" s="647"/>
      <c r="CV67" s="1001"/>
      <c r="CW67" s="647"/>
      <c r="CX67" s="1009"/>
      <c r="CY67" s="1009"/>
      <c r="CZ67" s="1163"/>
      <c r="DA67" s="1004"/>
      <c r="DB67" s="1004"/>
      <c r="DC67" s="1004"/>
      <c r="DD67" s="1004"/>
      <c r="DE67" s="1004"/>
      <c r="DF67" s="639"/>
      <c r="DG67" s="1019"/>
    </row>
    <row r="68" spans="1:111" s="588" customFormat="1" ht="13.5" thickTop="1" x14ac:dyDescent="0.2">
      <c r="A68" s="589">
        <f t="shared" si="1"/>
        <v>59</v>
      </c>
      <c r="B68" s="644"/>
      <c r="C68" s="1420"/>
      <c r="D68" s="639"/>
      <c r="E68" s="639"/>
      <c r="F68" s="639"/>
      <c r="G68" s="1013"/>
      <c r="H68" s="639"/>
      <c r="I68" s="639"/>
      <c r="J68" s="643"/>
      <c r="K68" s="1004"/>
      <c r="L68" s="999"/>
      <c r="M68" s="1001"/>
      <c r="N68" s="643"/>
      <c r="O68" s="640"/>
      <c r="Q68" s="589"/>
      <c r="R68" s="644"/>
      <c r="S68" s="1420"/>
      <c r="T68" s="639"/>
      <c r="U68" s="639"/>
      <c r="V68" s="639"/>
      <c r="W68" s="1013"/>
      <c r="X68" s="647"/>
      <c r="Y68" s="647"/>
      <c r="Z68" s="639"/>
      <c r="AA68" s="639"/>
      <c r="AB68" s="643"/>
      <c r="AC68" s="1004"/>
      <c r="AD68" s="1163"/>
      <c r="AE68" s="999"/>
      <c r="AF68" s="1001"/>
      <c r="AG68" s="643"/>
      <c r="AH68" s="1165"/>
      <c r="AI68" s="589"/>
      <c r="AJ68" s="375"/>
      <c r="AK68" s="1041" t="str">
        <f>Codes!$C$160</f>
        <v>CC - Cable Car (PT)</v>
      </c>
      <c r="AL68" s="1042" t="str">
        <f>Valid!$B$73</f>
        <v>Elevated/Retained Fill</v>
      </c>
      <c r="AM68" s="1004"/>
      <c r="AN68" s="1401" t="str">
        <f>Valid!$C$73</f>
        <v>Linear Feet</v>
      </c>
      <c r="AO68" s="1441"/>
      <c r="AP68" s="1401" t="s">
        <v>1149</v>
      </c>
      <c r="AQ68" s="1033"/>
      <c r="AR68" s="1307"/>
      <c r="AS68" s="997"/>
      <c r="AT68" s="997"/>
      <c r="AU68" s="997"/>
      <c r="AV68" s="997"/>
      <c r="AW68" s="997"/>
      <c r="AX68" s="997"/>
      <c r="AY68" s="997"/>
      <c r="AZ68" s="997"/>
      <c r="BA68" s="997"/>
      <c r="BB68" s="997"/>
      <c r="BC68" s="1409">
        <f t="shared" si="3"/>
        <v>0</v>
      </c>
      <c r="BD68" s="999"/>
      <c r="BE68" s="640"/>
      <c r="BG68" s="588" t="b">
        <f>IF(OR(AK68='A-50 FGRailInv'!$C$13,AK68='A-50 FGRailInv'!$C$69,AK68='A-50 FGRailInv'!$C$124,AK68='A-50 FGRailInv'!$C$179,AK68='A-50 FGRailInv'!$C$234,AK68='A-50 FGRailInv'!$C$290,AK68='A-50 FGRailInv'!$C$346,AK68='A-50 FGRailInv'!$C$402,AK68='A-50 FGRailInv'!$C$458,AK68='A-50 FGRailInv'!$C$514),TRUE,FALSE)</f>
        <v>0</v>
      </c>
      <c r="BJ68" s="1045" t="str">
        <f>Codes!$C$164</f>
        <v>HR - Heavy Rail (PT)</v>
      </c>
      <c r="BK68" s="1046" t="str">
        <f>Valid!$B$82</f>
        <v>Double Diamond Crossover</v>
      </c>
      <c r="BL68" s="1330"/>
      <c r="BM68" s="1046" t="str">
        <f>VLOOKUP(BK68,Valid!$B$80:$C$86,2,FALSE)</f>
        <v>Each</v>
      </c>
      <c r="BN68" s="1338"/>
      <c r="BO68" s="1339"/>
      <c r="BP68" s="1340"/>
      <c r="BR68" s="588" t="b">
        <f>IF(OR(BJ68='A-55 TrackInv'!$C$13,BJ68='A-55 TrackInv'!$C$44,BJ68='A-55 TrackInv'!$C$75,BJ68='A-55 TrackInv'!$C$106,BJ68='A-55 TrackInv'!$C$137,BJ68='A-55 TrackInv'!$C$168,BJ68='A-55 TrackInv'!$C$199,BJ68='A-55 TrackInv'!$C$230,BJ68='A-55 TrackInv'!$C$261,BJ68='A-55 TrackInv'!$C$292),TRUE,FALSE)</f>
        <v>0</v>
      </c>
      <c r="BU68" s="1489"/>
      <c r="BV68" s="1212"/>
      <c r="BW68" s="1004"/>
      <c r="BX68" s="999"/>
      <c r="BY68" s="999"/>
      <c r="BZ68" s="999"/>
      <c r="CA68" s="999"/>
      <c r="CB68" s="999"/>
      <c r="CC68" s="1165"/>
      <c r="CF68" s="1036"/>
      <c r="CG68" s="1004"/>
      <c r="CH68" s="1004"/>
      <c r="CI68" s="1004"/>
      <c r="CJ68" s="1004"/>
      <c r="CK68" s="1044"/>
      <c r="CL68" s="1163"/>
      <c r="CM68" s="1163"/>
      <c r="CN68" s="647"/>
      <c r="CO68" s="647"/>
      <c r="CP68" s="1163"/>
      <c r="CQ68" s="639"/>
      <c r="CR68" s="647"/>
      <c r="CS68" s="1171"/>
      <c r="CT68" s="1001"/>
      <c r="CU68" s="647"/>
      <c r="CV68" s="1001"/>
      <c r="CW68" s="647"/>
      <c r="CX68" s="1009"/>
      <c r="CY68" s="1009"/>
      <c r="CZ68" s="1163"/>
      <c r="DA68" s="1004"/>
      <c r="DB68" s="1004"/>
      <c r="DC68" s="1004"/>
      <c r="DD68" s="1004"/>
      <c r="DE68" s="1004"/>
      <c r="DF68" s="639"/>
      <c r="DG68" s="1019"/>
    </row>
    <row r="69" spans="1:111" s="588" customFormat="1" x14ac:dyDescent="0.2">
      <c r="A69" s="589">
        <f t="shared" si="1"/>
        <v>60</v>
      </c>
      <c r="B69" s="644"/>
      <c r="C69" s="1420"/>
      <c r="D69" s="639"/>
      <c r="E69" s="639"/>
      <c r="F69" s="639"/>
      <c r="G69" s="1013"/>
      <c r="H69" s="639"/>
      <c r="I69" s="639"/>
      <c r="J69" s="643"/>
      <c r="K69" s="1004"/>
      <c r="L69" s="999"/>
      <c r="M69" s="1001"/>
      <c r="N69" s="643"/>
      <c r="O69" s="640"/>
      <c r="Q69" s="589"/>
      <c r="R69" s="644"/>
      <c r="S69" s="1420"/>
      <c r="T69" s="639"/>
      <c r="U69" s="639"/>
      <c r="V69" s="639"/>
      <c r="W69" s="1013"/>
      <c r="X69" s="647"/>
      <c r="Y69" s="647"/>
      <c r="Z69" s="639"/>
      <c r="AA69" s="639"/>
      <c r="AB69" s="643"/>
      <c r="AC69" s="1004"/>
      <c r="AD69" s="1163"/>
      <c r="AE69" s="999"/>
      <c r="AF69" s="1001"/>
      <c r="AG69" s="643"/>
      <c r="AH69" s="1165"/>
      <c r="AI69" s="589"/>
      <c r="AJ69" s="375"/>
      <c r="AK69" s="1041" t="str">
        <f>Codes!$C$160</f>
        <v>CC - Cable Car (PT)</v>
      </c>
      <c r="AL69" s="1042" t="str">
        <f>Valid!$B$74</f>
        <v>Elevated/Concrete</v>
      </c>
      <c r="AM69" s="1004"/>
      <c r="AN69" s="1401" t="str">
        <f>Valid!$C$74</f>
        <v>Linear Feet</v>
      </c>
      <c r="AO69" s="1441"/>
      <c r="AP69" s="1401" t="s">
        <v>1149</v>
      </c>
      <c r="AQ69" s="1033"/>
      <c r="AR69" s="1307"/>
      <c r="AS69" s="997"/>
      <c r="AT69" s="997"/>
      <c r="AU69" s="997"/>
      <c r="AV69" s="997"/>
      <c r="AW69" s="997"/>
      <c r="AX69" s="997"/>
      <c r="AY69" s="997"/>
      <c r="AZ69" s="997"/>
      <c r="BA69" s="997"/>
      <c r="BB69" s="997"/>
      <c r="BC69" s="1409">
        <f t="shared" si="3"/>
        <v>0</v>
      </c>
      <c r="BD69" s="999"/>
      <c r="BE69" s="640"/>
      <c r="BG69" s="588" t="b">
        <f>IF(OR(AK69='A-50 FGRailInv'!$C$13,AK69='A-50 FGRailInv'!$C$69,AK69='A-50 FGRailInv'!$C$124,AK69='A-50 FGRailInv'!$C$179,AK69='A-50 FGRailInv'!$C$234,AK69='A-50 FGRailInv'!$C$290,AK69='A-50 FGRailInv'!$C$346,AK69='A-50 FGRailInv'!$C$402,AK69='A-50 FGRailInv'!$C$458,AK69='A-50 FGRailInv'!$C$514),TRUE,FALSE)</f>
        <v>0</v>
      </c>
      <c r="BJ69" s="1041" t="str">
        <f>Codes!$C$164</f>
        <v>HR - Heavy Rail (PT)</v>
      </c>
      <c r="BK69" s="1042" t="str">
        <f>Valid!$B$83</f>
        <v>Single Crossover</v>
      </c>
      <c r="BL69" s="1382"/>
      <c r="BM69" s="1042" t="str">
        <f>VLOOKUP(BK69,Valid!$B$80:$C$86,2,FALSE)</f>
        <v>Each</v>
      </c>
      <c r="BN69" s="1383"/>
      <c r="BO69" s="1194"/>
      <c r="BP69" s="1195"/>
      <c r="BR69" s="588" t="b">
        <f>IF(OR(BJ69='A-55 TrackInv'!$C$13,BJ69='A-55 TrackInv'!$C$44,BJ69='A-55 TrackInv'!$C$75,BJ69='A-55 TrackInv'!$C$106,BJ69='A-55 TrackInv'!$C$137,BJ69='A-55 TrackInv'!$C$168,BJ69='A-55 TrackInv'!$C$199,BJ69='A-55 TrackInv'!$C$230,BJ69='A-55 TrackInv'!$C$261,BJ69='A-55 TrackInv'!$C$292),TRUE,FALSE)</f>
        <v>0</v>
      </c>
      <c r="BU69" s="1489"/>
      <c r="BV69" s="1212"/>
      <c r="BW69" s="1004"/>
      <c r="BX69" s="999"/>
      <c r="BY69" s="999"/>
      <c r="BZ69" s="999"/>
      <c r="CA69" s="999"/>
      <c r="CB69" s="999"/>
      <c r="CC69" s="1165"/>
      <c r="CF69" s="1036"/>
      <c r="CG69" s="1004"/>
      <c r="CH69" s="1004"/>
      <c r="CI69" s="1004"/>
      <c r="CJ69" s="1004"/>
      <c r="CK69" s="1044"/>
      <c r="CL69" s="1163"/>
      <c r="CM69" s="1163"/>
      <c r="CN69" s="647"/>
      <c r="CO69" s="647"/>
      <c r="CP69" s="1163"/>
      <c r="CQ69" s="639"/>
      <c r="CR69" s="647"/>
      <c r="CS69" s="1171"/>
      <c r="CT69" s="1001"/>
      <c r="CU69" s="647"/>
      <c r="CV69" s="1001"/>
      <c r="CW69" s="647"/>
      <c r="CX69" s="1009"/>
      <c r="CY69" s="1009"/>
      <c r="CZ69" s="1163"/>
      <c r="DA69" s="1004"/>
      <c r="DB69" s="1004"/>
      <c r="DC69" s="1004"/>
      <c r="DD69" s="1004"/>
      <c r="DE69" s="1004"/>
      <c r="DF69" s="639"/>
      <c r="DG69" s="1019"/>
    </row>
    <row r="70" spans="1:111" s="588" customFormat="1" x14ac:dyDescent="0.2">
      <c r="A70" s="589">
        <f t="shared" si="1"/>
        <v>61</v>
      </c>
      <c r="B70" s="644"/>
      <c r="C70" s="1420"/>
      <c r="D70" s="639"/>
      <c r="E70" s="639"/>
      <c r="F70" s="639"/>
      <c r="G70" s="1013"/>
      <c r="H70" s="639"/>
      <c r="I70" s="639"/>
      <c r="J70" s="643"/>
      <c r="K70" s="1004"/>
      <c r="L70" s="999"/>
      <c r="M70" s="1001"/>
      <c r="N70" s="643"/>
      <c r="O70" s="640"/>
      <c r="Q70" s="589"/>
      <c r="R70" s="644"/>
      <c r="S70" s="1420"/>
      <c r="T70" s="639"/>
      <c r="U70" s="639"/>
      <c r="V70" s="639"/>
      <c r="W70" s="1013"/>
      <c r="X70" s="647"/>
      <c r="Y70" s="647"/>
      <c r="Z70" s="639"/>
      <c r="AA70" s="639"/>
      <c r="AB70" s="643"/>
      <c r="AC70" s="1004"/>
      <c r="AD70" s="1163"/>
      <c r="AE70" s="999"/>
      <c r="AF70" s="1001"/>
      <c r="AG70" s="643"/>
      <c r="AH70" s="1165"/>
      <c r="AI70" s="589"/>
      <c r="AJ70" s="375" t="str">
        <f>IF(BG67=TRUE,"Mode Already Included in A-50","")</f>
        <v/>
      </c>
      <c r="AK70" s="1041" t="str">
        <f>Codes!$C$160</f>
        <v>CC - Cable Car (PT)</v>
      </c>
      <c r="AL70" s="1042" t="str">
        <f>Valid!$B$75</f>
        <v>Elevated/Steel Viaduct or Bridge</v>
      </c>
      <c r="AM70" s="1004"/>
      <c r="AN70" s="1401" t="str">
        <f>Valid!$C$75</f>
        <v>Linear Feet</v>
      </c>
      <c r="AO70" s="1441"/>
      <c r="AP70" s="1401" t="s">
        <v>1149</v>
      </c>
      <c r="AQ70" s="1033"/>
      <c r="AR70" s="1307"/>
      <c r="AS70" s="997"/>
      <c r="AT70" s="997"/>
      <c r="AU70" s="997"/>
      <c r="AV70" s="997"/>
      <c r="AW70" s="997"/>
      <c r="AX70" s="997"/>
      <c r="AY70" s="997"/>
      <c r="AZ70" s="997"/>
      <c r="BA70" s="997"/>
      <c r="BB70" s="997"/>
      <c r="BC70" s="1409">
        <f t="shared" si="3"/>
        <v>0</v>
      </c>
      <c r="BD70" s="999"/>
      <c r="BE70" s="640"/>
      <c r="BG70" s="588" t="b">
        <f>IF(OR(AK70='A-50 FGRailInv'!$C$13,AK70='A-50 FGRailInv'!$C$69,AK70='A-50 FGRailInv'!$C$124,AK70='A-50 FGRailInv'!$C$179,AK70='A-50 FGRailInv'!$C$234,AK70='A-50 FGRailInv'!$C$290,AK70='A-50 FGRailInv'!$C$346,AK70='A-50 FGRailInv'!$C$402,AK70='A-50 FGRailInv'!$C$458,AK70='A-50 FGRailInv'!$C$514),TRUE,FALSE)</f>
        <v>0</v>
      </c>
      <c r="BJ70" s="1041" t="str">
        <f>Codes!$C$164</f>
        <v>HR - Heavy Rail (PT)</v>
      </c>
      <c r="BK70" s="1042" t="str">
        <f>Valid!$B$84</f>
        <v>Half Grand Union</v>
      </c>
      <c r="BL70" s="1382"/>
      <c r="BM70" s="1042" t="str">
        <f>VLOOKUP(BK70,Valid!$B$80:$C$86,2,FALSE)</f>
        <v>Each</v>
      </c>
      <c r="BN70" s="1383"/>
      <c r="BO70" s="1194"/>
      <c r="BP70" s="1195"/>
      <c r="BR70" s="588" t="b">
        <f>IF(OR(BJ70='A-55 TrackInv'!$C$13,BJ70='A-55 TrackInv'!$C$44,BJ70='A-55 TrackInv'!$C$75,BJ70='A-55 TrackInv'!$C$106,BJ70='A-55 TrackInv'!$C$137,BJ70='A-55 TrackInv'!$C$168,BJ70='A-55 TrackInv'!$C$199,BJ70='A-55 TrackInv'!$C$230,BJ70='A-55 TrackInv'!$C$261,BJ70='A-55 TrackInv'!$C$292),TRUE,FALSE)</f>
        <v>0</v>
      </c>
      <c r="BU70" s="1489"/>
      <c r="BV70" s="1212"/>
      <c r="BW70" s="1004"/>
      <c r="BX70" s="999"/>
      <c r="BY70" s="999"/>
      <c r="BZ70" s="999"/>
      <c r="CA70" s="999"/>
      <c r="CB70" s="999"/>
      <c r="CC70" s="1165"/>
      <c r="CF70" s="1036"/>
      <c r="CG70" s="1004"/>
      <c r="CH70" s="1004"/>
      <c r="CI70" s="1004"/>
      <c r="CJ70" s="1004"/>
      <c r="CK70" s="1044"/>
      <c r="CL70" s="1163"/>
      <c r="CM70" s="1163"/>
      <c r="CN70" s="647"/>
      <c r="CO70" s="647"/>
      <c r="CP70" s="1163"/>
      <c r="CQ70" s="639"/>
      <c r="CR70" s="647"/>
      <c r="CS70" s="1171"/>
      <c r="CT70" s="1001"/>
      <c r="CU70" s="647"/>
      <c r="CV70" s="1001"/>
      <c r="CW70" s="647"/>
      <c r="CX70" s="1009"/>
      <c r="CY70" s="1009"/>
      <c r="CZ70" s="1163"/>
      <c r="DA70" s="1004"/>
      <c r="DB70" s="1004"/>
      <c r="DC70" s="1004"/>
      <c r="DD70" s="1004"/>
      <c r="DE70" s="1004"/>
      <c r="DF70" s="639"/>
      <c r="DG70" s="1019"/>
    </row>
    <row r="71" spans="1:111" s="588" customFormat="1" x14ac:dyDescent="0.2">
      <c r="A71" s="589">
        <f t="shared" si="1"/>
        <v>62</v>
      </c>
      <c r="B71" s="644"/>
      <c r="C71" s="1420"/>
      <c r="D71" s="639"/>
      <c r="E71" s="639"/>
      <c r="F71" s="639"/>
      <c r="G71" s="1013"/>
      <c r="H71" s="639"/>
      <c r="I71" s="639"/>
      <c r="J71" s="643"/>
      <c r="K71" s="1004"/>
      <c r="L71" s="999"/>
      <c r="M71" s="1001"/>
      <c r="N71" s="643"/>
      <c r="O71" s="640"/>
      <c r="Q71" s="589"/>
      <c r="R71" s="644"/>
      <c r="S71" s="1420"/>
      <c r="T71" s="639"/>
      <c r="U71" s="639"/>
      <c r="V71" s="639"/>
      <c r="W71" s="1013"/>
      <c r="X71" s="647"/>
      <c r="Y71" s="647"/>
      <c r="Z71" s="639"/>
      <c r="AA71" s="639"/>
      <c r="AB71" s="643"/>
      <c r="AC71" s="1004"/>
      <c r="AD71" s="1163"/>
      <c r="AE71" s="999"/>
      <c r="AF71" s="1001"/>
      <c r="AG71" s="643"/>
      <c r="AH71" s="1165"/>
      <c r="AI71" s="589"/>
      <c r="AJ71" s="375"/>
      <c r="AK71" s="1041" t="str">
        <f>Codes!$C$160</f>
        <v>CC - Cable Car (PT)</v>
      </c>
      <c r="AL71" s="1042" t="str">
        <f>Valid!$B$76</f>
        <v>Below-Grade/Retained Cut</v>
      </c>
      <c r="AM71" s="1004"/>
      <c r="AN71" s="1401" t="str">
        <f>Valid!$C$76</f>
        <v>Linear Feet</v>
      </c>
      <c r="AO71" s="1441"/>
      <c r="AP71" s="1401" t="s">
        <v>1149</v>
      </c>
      <c r="AQ71" s="1033"/>
      <c r="AR71" s="1307"/>
      <c r="AS71" s="997"/>
      <c r="AT71" s="997"/>
      <c r="AU71" s="997"/>
      <c r="AV71" s="997"/>
      <c r="AW71" s="997"/>
      <c r="AX71" s="997"/>
      <c r="AY71" s="997"/>
      <c r="AZ71" s="997"/>
      <c r="BA71" s="997"/>
      <c r="BB71" s="997"/>
      <c r="BC71" s="1409">
        <f t="shared" si="3"/>
        <v>0</v>
      </c>
      <c r="BD71" s="999"/>
      <c r="BE71" s="640"/>
      <c r="BG71" s="588" t="b">
        <f>IF(OR(AK71='A-50 FGRailInv'!$C$13,AK71='A-50 FGRailInv'!$C$69,AK71='A-50 FGRailInv'!$C$124,AK71='A-50 FGRailInv'!$C$179,AK71='A-50 FGRailInv'!$C$234,AK71='A-50 FGRailInv'!$C$290,AK71='A-50 FGRailInv'!$C$346,AK71='A-50 FGRailInv'!$C$402,AK71='A-50 FGRailInv'!$C$458,AK71='A-50 FGRailInv'!$C$514),TRUE,FALSE)</f>
        <v>0</v>
      </c>
      <c r="BJ71" s="1041" t="str">
        <f>Codes!$C$164</f>
        <v>HR - Heavy Rail (PT)</v>
      </c>
      <c r="BK71" s="1042" t="str">
        <f>Valid!$B$85</f>
        <v>Single Turnout</v>
      </c>
      <c r="BL71" s="1382"/>
      <c r="BM71" s="1042" t="str">
        <f>VLOOKUP(BK71,Valid!$B$80:$C$86,2,FALSE)</f>
        <v>Each</v>
      </c>
      <c r="BN71" s="1383"/>
      <c r="BO71" s="1194"/>
      <c r="BP71" s="1195"/>
      <c r="BR71" s="588" t="b">
        <f>IF(OR(BJ71='A-55 TrackInv'!$C$13,BJ71='A-55 TrackInv'!$C$44,BJ71='A-55 TrackInv'!$C$75,BJ71='A-55 TrackInv'!$C$106,BJ71='A-55 TrackInv'!$C$137,BJ71='A-55 TrackInv'!$C$168,BJ71='A-55 TrackInv'!$C$199,BJ71='A-55 TrackInv'!$C$230,BJ71='A-55 TrackInv'!$C$261,BJ71='A-55 TrackInv'!$C$292),TRUE,FALSE)</f>
        <v>0</v>
      </c>
      <c r="BU71" s="1489"/>
      <c r="BV71" s="1212"/>
      <c r="BW71" s="1004"/>
      <c r="BX71" s="999"/>
      <c r="BY71" s="999"/>
      <c r="BZ71" s="999"/>
      <c r="CA71" s="999"/>
      <c r="CB71" s="999"/>
      <c r="CC71" s="1165"/>
      <c r="CF71" s="1036"/>
      <c r="CG71" s="1004"/>
      <c r="CH71" s="1004"/>
      <c r="CI71" s="1004"/>
      <c r="CJ71" s="1004"/>
      <c r="CK71" s="1044"/>
      <c r="CL71" s="1163"/>
      <c r="CM71" s="1163"/>
      <c r="CN71" s="647"/>
      <c r="CO71" s="647"/>
      <c r="CP71" s="1163"/>
      <c r="CQ71" s="639"/>
      <c r="CR71" s="647"/>
      <c r="CS71" s="1171"/>
      <c r="CT71" s="1001"/>
      <c r="CU71" s="647"/>
      <c r="CV71" s="1001"/>
      <c r="CW71" s="647"/>
      <c r="CX71" s="1009"/>
      <c r="CY71" s="1009"/>
      <c r="CZ71" s="1163"/>
      <c r="DA71" s="1004"/>
      <c r="DB71" s="1004"/>
      <c r="DC71" s="1004"/>
      <c r="DD71" s="1004"/>
      <c r="DE71" s="1004"/>
      <c r="DF71" s="639"/>
      <c r="DG71" s="1019"/>
    </row>
    <row r="72" spans="1:111" s="588" customFormat="1" ht="13.5" thickBot="1" x14ac:dyDescent="0.25">
      <c r="A72" s="589">
        <f t="shared" si="1"/>
        <v>63</v>
      </c>
      <c r="B72" s="644"/>
      <c r="C72" s="1420"/>
      <c r="D72" s="639"/>
      <c r="E72" s="639"/>
      <c r="F72" s="639"/>
      <c r="G72" s="1013"/>
      <c r="H72" s="639"/>
      <c r="I72" s="639"/>
      <c r="J72" s="643"/>
      <c r="K72" s="1004"/>
      <c r="L72" s="999"/>
      <c r="M72" s="1001"/>
      <c r="N72" s="643"/>
      <c r="O72" s="640"/>
      <c r="Q72" s="589"/>
      <c r="R72" s="644"/>
      <c r="S72" s="1420"/>
      <c r="T72" s="639"/>
      <c r="U72" s="639"/>
      <c r="V72" s="639"/>
      <c r="W72" s="1013"/>
      <c r="X72" s="647"/>
      <c r="Y72" s="647"/>
      <c r="Z72" s="639"/>
      <c r="AA72" s="639"/>
      <c r="AB72" s="643"/>
      <c r="AC72" s="1004"/>
      <c r="AD72" s="1163"/>
      <c r="AE72" s="999"/>
      <c r="AF72" s="1001"/>
      <c r="AG72" s="643"/>
      <c r="AH72" s="1165"/>
      <c r="AI72" s="589"/>
      <c r="AJ72" s="375"/>
      <c r="AK72" s="1041" t="str">
        <f>Codes!$C$160</f>
        <v>CC - Cable Car (PT)</v>
      </c>
      <c r="AL72" s="1042" t="str">
        <f>Valid!$B$77</f>
        <v>Below-Grade/Cut-and-Cover Tunnel</v>
      </c>
      <c r="AM72" s="1004"/>
      <c r="AN72" s="1401" t="str">
        <f>Valid!$C$77</f>
        <v>Linear Feet</v>
      </c>
      <c r="AO72" s="1441"/>
      <c r="AP72" s="1401" t="s">
        <v>1149</v>
      </c>
      <c r="AQ72" s="1033"/>
      <c r="AR72" s="1307"/>
      <c r="AS72" s="997"/>
      <c r="AT72" s="997"/>
      <c r="AU72" s="997"/>
      <c r="AV72" s="997"/>
      <c r="AW72" s="997"/>
      <c r="AX72" s="997"/>
      <c r="AY72" s="997"/>
      <c r="AZ72" s="997"/>
      <c r="BA72" s="997"/>
      <c r="BB72" s="997"/>
      <c r="BC72" s="1409">
        <f t="shared" si="3"/>
        <v>0</v>
      </c>
      <c r="BD72" s="999"/>
      <c r="BE72" s="640"/>
      <c r="BG72" s="588" t="b">
        <f>IF(OR(AK72='A-50 FGRailInv'!$C$13,AK72='A-50 FGRailInv'!$C$69,AK72='A-50 FGRailInv'!$C$124,AK72='A-50 FGRailInv'!$C$179,AK72='A-50 FGRailInv'!$C$234,AK72='A-50 FGRailInv'!$C$290,AK72='A-50 FGRailInv'!$C$346,AK72='A-50 FGRailInv'!$C$402,AK72='A-50 FGRailInv'!$C$458,AK72='A-50 FGRailInv'!$C$514),TRUE,FALSE)</f>
        <v>0</v>
      </c>
      <c r="BJ72" s="1047" t="str">
        <f>Codes!$C$164</f>
        <v>HR - Heavy Rail (PT)</v>
      </c>
      <c r="BK72" s="1050" t="str">
        <f>Valid!$B$86</f>
        <v>Grade Crossings</v>
      </c>
      <c r="BL72" s="1331"/>
      <c r="BM72" s="1050" t="str">
        <f>VLOOKUP(BK72,Valid!$B$80:$C$86,2,FALSE)</f>
        <v>Each</v>
      </c>
      <c r="BN72" s="1341"/>
      <c r="BO72" s="1197"/>
      <c r="BP72" s="1198"/>
      <c r="BR72" s="588" t="b">
        <f>IF(OR(BJ72='A-55 TrackInv'!$C$13,BJ72='A-55 TrackInv'!$C$44,BJ72='A-55 TrackInv'!$C$75,BJ72='A-55 TrackInv'!$C$106,BJ72='A-55 TrackInv'!$C$137,BJ72='A-55 TrackInv'!$C$168,BJ72='A-55 TrackInv'!$C$199,BJ72='A-55 TrackInv'!$C$230,BJ72='A-55 TrackInv'!$C$261,BJ72='A-55 TrackInv'!$C$292),TRUE,FALSE)</f>
        <v>0</v>
      </c>
      <c r="BU72" s="1489"/>
      <c r="BV72" s="1212"/>
      <c r="BW72" s="1004"/>
      <c r="BX72" s="999"/>
      <c r="BY72" s="999"/>
      <c r="BZ72" s="999"/>
      <c r="CA72" s="999"/>
      <c r="CB72" s="999"/>
      <c r="CC72" s="1165"/>
      <c r="CF72" s="1036"/>
      <c r="CG72" s="1004"/>
      <c r="CH72" s="1004"/>
      <c r="CI72" s="1004"/>
      <c r="CJ72" s="1004"/>
      <c r="CK72" s="1044"/>
      <c r="CL72" s="1163"/>
      <c r="CM72" s="1163"/>
      <c r="CN72" s="647"/>
      <c r="CO72" s="647"/>
      <c r="CP72" s="1163"/>
      <c r="CQ72" s="639"/>
      <c r="CR72" s="647"/>
      <c r="CS72" s="1171"/>
      <c r="CT72" s="1001"/>
      <c r="CU72" s="647"/>
      <c r="CV72" s="1001"/>
      <c r="CW72" s="647"/>
      <c r="CX72" s="1009"/>
      <c r="CY72" s="1009"/>
      <c r="CZ72" s="1163"/>
      <c r="DA72" s="1004"/>
      <c r="DB72" s="1004"/>
      <c r="DC72" s="1004"/>
      <c r="DD72" s="1004"/>
      <c r="DE72" s="1004"/>
      <c r="DF72" s="639"/>
      <c r="DG72" s="1019"/>
    </row>
    <row r="73" spans="1:111" s="588" customFormat="1" x14ac:dyDescent="0.2">
      <c r="A73" s="589">
        <f t="shared" si="1"/>
        <v>64</v>
      </c>
      <c r="B73" s="644"/>
      <c r="C73" s="1420"/>
      <c r="D73" s="639"/>
      <c r="E73" s="639"/>
      <c r="F73" s="639"/>
      <c r="G73" s="1013"/>
      <c r="H73" s="639"/>
      <c r="I73" s="639"/>
      <c r="J73" s="643"/>
      <c r="K73" s="1004"/>
      <c r="L73" s="999"/>
      <c r="M73" s="1001"/>
      <c r="N73" s="643"/>
      <c r="O73" s="640"/>
      <c r="Q73" s="589"/>
      <c r="R73" s="644"/>
      <c r="S73" s="1420"/>
      <c r="T73" s="639"/>
      <c r="U73" s="639"/>
      <c r="V73" s="639"/>
      <c r="W73" s="1013"/>
      <c r="X73" s="647"/>
      <c r="Y73" s="647"/>
      <c r="Z73" s="639"/>
      <c r="AA73" s="639"/>
      <c r="AB73" s="643"/>
      <c r="AC73" s="1004"/>
      <c r="AD73" s="1163"/>
      <c r="AE73" s="999"/>
      <c r="AF73" s="1001"/>
      <c r="AG73" s="643"/>
      <c r="AH73" s="1165"/>
      <c r="AI73" s="589"/>
      <c r="AJ73" s="375"/>
      <c r="AK73" s="1041" t="str">
        <f>Codes!$C$160</f>
        <v>CC - Cable Car (PT)</v>
      </c>
      <c r="AL73" s="1042" t="str">
        <f>Valid!$B$78</f>
        <v>Below-Grade/Bored or Blasted Tunnel</v>
      </c>
      <c r="AM73" s="1004"/>
      <c r="AN73" s="1401" t="str">
        <f>Valid!$C$78</f>
        <v>Linear Feet</v>
      </c>
      <c r="AO73" s="1441"/>
      <c r="AP73" s="1401" t="s">
        <v>1149</v>
      </c>
      <c r="AQ73" s="1033"/>
      <c r="AR73" s="1307"/>
      <c r="AS73" s="997"/>
      <c r="AT73" s="997"/>
      <c r="AU73" s="997"/>
      <c r="AV73" s="997"/>
      <c r="AW73" s="997"/>
      <c r="AX73" s="997"/>
      <c r="AY73" s="997"/>
      <c r="AZ73" s="997"/>
      <c r="BA73" s="997"/>
      <c r="BB73" s="997"/>
      <c r="BC73" s="1409">
        <f t="shared" si="3"/>
        <v>0</v>
      </c>
      <c r="BD73" s="999"/>
      <c r="BE73" s="640"/>
      <c r="BG73" s="588" t="b">
        <f>IF(OR(AK73='A-50 FGRailInv'!$C$13,AK73='A-50 FGRailInv'!$C$69,AK73='A-50 FGRailInv'!$C$124,AK73='A-50 FGRailInv'!$C$179,AK73='A-50 FGRailInv'!$C$234,AK73='A-50 FGRailInv'!$C$290,AK73='A-50 FGRailInv'!$C$346,AK73='A-50 FGRailInv'!$C$402,AK73='A-50 FGRailInv'!$C$458,AK73='A-50 FGRailInv'!$C$514),TRUE,FALSE)</f>
        <v>0</v>
      </c>
      <c r="BJ73" s="1043" t="str">
        <f>Codes!$C$165</f>
        <v>LR - Light Rail (DO)</v>
      </c>
      <c r="BK73" s="1303" t="str">
        <f>Valid!$B$80</f>
        <v>Tangent</v>
      </c>
      <c r="BL73" s="1328"/>
      <c r="BM73" s="1303" t="str">
        <f>VLOOKUP(BK73,Valid!$B$80:$C$86,2,FALSE)</f>
        <v>Track Feet</v>
      </c>
      <c r="BN73" s="1332"/>
      <c r="BO73" s="1333"/>
      <c r="BP73" s="1334"/>
      <c r="BR73" s="588" t="b">
        <f>IF(OR(BJ73='A-55 TrackInv'!$C$13,BJ73='A-55 TrackInv'!$C$44,BJ73='A-55 TrackInv'!$C$75,BJ73='A-55 TrackInv'!$C$106,BJ73='A-55 TrackInv'!$C$137,BJ73='A-55 TrackInv'!$C$168,BJ73='A-55 TrackInv'!$C$199,BJ73='A-55 TrackInv'!$C$230,BJ73='A-55 TrackInv'!$C$261,BJ73='A-55 TrackInv'!$C$292),TRUE,FALSE)</f>
        <v>0</v>
      </c>
      <c r="BU73" s="1489"/>
      <c r="BV73" s="1212"/>
      <c r="BW73" s="1004"/>
      <c r="BX73" s="999"/>
      <c r="BY73" s="999"/>
      <c r="BZ73" s="999"/>
      <c r="CA73" s="999"/>
      <c r="CB73" s="999"/>
      <c r="CC73" s="1165"/>
      <c r="CF73" s="1036"/>
      <c r="CG73" s="1004"/>
      <c r="CH73" s="1004"/>
      <c r="CI73" s="1004"/>
      <c r="CJ73" s="1004"/>
      <c r="CK73" s="1044"/>
      <c r="CL73" s="1163"/>
      <c r="CM73" s="1163"/>
      <c r="CN73" s="647"/>
      <c r="CO73" s="647"/>
      <c r="CP73" s="1163"/>
      <c r="CQ73" s="639"/>
      <c r="CR73" s="647"/>
      <c r="CS73" s="1171"/>
      <c r="CT73" s="1001"/>
      <c r="CU73" s="647"/>
      <c r="CV73" s="1001"/>
      <c r="CW73" s="647"/>
      <c r="CX73" s="1009"/>
      <c r="CY73" s="1009"/>
      <c r="CZ73" s="1163"/>
      <c r="DA73" s="1004"/>
      <c r="DB73" s="1004"/>
      <c r="DC73" s="1004"/>
      <c r="DD73" s="1004"/>
      <c r="DE73" s="1004"/>
      <c r="DF73" s="639"/>
      <c r="DG73" s="1019"/>
    </row>
    <row r="74" spans="1:111" s="588" customFormat="1" ht="13.5" thickBot="1" x14ac:dyDescent="0.25">
      <c r="A74" s="589">
        <f t="shared" si="1"/>
        <v>65</v>
      </c>
      <c r="B74" s="644"/>
      <c r="C74" s="1420"/>
      <c r="D74" s="639"/>
      <c r="E74" s="639"/>
      <c r="F74" s="639"/>
      <c r="G74" s="1013"/>
      <c r="H74" s="639"/>
      <c r="I74" s="639"/>
      <c r="J74" s="643"/>
      <c r="K74" s="1004"/>
      <c r="L74" s="999"/>
      <c r="M74" s="1001"/>
      <c r="N74" s="643"/>
      <c r="O74" s="640"/>
      <c r="Q74" s="589"/>
      <c r="R74" s="644"/>
      <c r="S74" s="1420"/>
      <c r="T74" s="639"/>
      <c r="U74" s="639"/>
      <c r="V74" s="639"/>
      <c r="W74" s="1013"/>
      <c r="X74" s="647"/>
      <c r="Y74" s="647"/>
      <c r="Z74" s="639"/>
      <c r="AA74" s="639"/>
      <c r="AB74" s="643"/>
      <c r="AC74" s="1004"/>
      <c r="AD74" s="1163"/>
      <c r="AE74" s="999"/>
      <c r="AF74" s="1001"/>
      <c r="AG74" s="643"/>
      <c r="AH74" s="1165"/>
      <c r="AI74" s="589"/>
      <c r="AJ74" s="375"/>
      <c r="AK74" s="1048" t="str">
        <f>Codes!$C$160</f>
        <v>CC - Cable Car (PT)</v>
      </c>
      <c r="AL74" s="1049" t="str">
        <f>Valid!$B$79</f>
        <v>Below-Grade/Submerged Tube</v>
      </c>
      <c r="AM74" s="1363"/>
      <c r="AN74" s="1402" t="str">
        <f>Valid!$C$79</f>
        <v>Linear Feet</v>
      </c>
      <c r="AO74" s="1442"/>
      <c r="AP74" s="1402" t="s">
        <v>1149</v>
      </c>
      <c r="AQ74" s="1034"/>
      <c r="AR74" s="1308"/>
      <c r="AS74" s="1016"/>
      <c r="AT74" s="1016"/>
      <c r="AU74" s="1016"/>
      <c r="AV74" s="1016"/>
      <c r="AW74" s="1016"/>
      <c r="AX74" s="1016"/>
      <c r="AY74" s="1016"/>
      <c r="AZ74" s="1016"/>
      <c r="BA74" s="1016"/>
      <c r="BB74" s="1016"/>
      <c r="BC74" s="1410">
        <f t="shared" si="3"/>
        <v>0</v>
      </c>
      <c r="BD74" s="1017"/>
      <c r="BE74" s="963"/>
      <c r="BG74" s="588" t="b">
        <f>IF(OR(AK74='A-50 FGRailInv'!$C$13,AK74='A-50 FGRailInv'!$C$69,AK74='A-50 FGRailInv'!$C$124,AK74='A-50 FGRailInv'!$C$179,AK74='A-50 FGRailInv'!$C$234,AK74='A-50 FGRailInv'!$C$290,AK74='A-50 FGRailInv'!$C$346,AK74='A-50 FGRailInv'!$C$402,AK74='A-50 FGRailInv'!$C$458,AK74='A-50 FGRailInv'!$C$514),TRUE,FALSE)</f>
        <v>0</v>
      </c>
      <c r="BJ74" s="1048" t="str">
        <f>Codes!$C$165</f>
        <v>LR - Light Rail (DO)</v>
      </c>
      <c r="BK74" s="1049" t="str">
        <f>Valid!$B$81</f>
        <v>Curve</v>
      </c>
      <c r="BL74" s="1329"/>
      <c r="BM74" s="1049" t="str">
        <f>VLOOKUP(BK74,Valid!$B$80:$C$86,2,FALSE)</f>
        <v>Track Feet</v>
      </c>
      <c r="BN74" s="1335"/>
      <c r="BO74" s="1336"/>
      <c r="BP74" s="1337"/>
      <c r="BR74" s="588" t="b">
        <f>IF(OR(BJ74='A-55 TrackInv'!$C$13,BJ74='A-55 TrackInv'!$C$44,BJ74='A-55 TrackInv'!$C$75,BJ74='A-55 TrackInv'!$C$106,BJ74='A-55 TrackInv'!$C$137,BJ74='A-55 TrackInv'!$C$168,BJ74='A-55 TrackInv'!$C$199,BJ74='A-55 TrackInv'!$C$230,BJ74='A-55 TrackInv'!$C$261,BJ74='A-55 TrackInv'!$C$292),TRUE,FALSE)</f>
        <v>0</v>
      </c>
      <c r="BU74" s="1489"/>
      <c r="BV74" s="1212"/>
      <c r="BW74" s="1004"/>
      <c r="BX74" s="999"/>
      <c r="BY74" s="999"/>
      <c r="BZ74" s="999"/>
      <c r="CA74" s="999"/>
      <c r="CB74" s="999"/>
      <c r="CC74" s="1165"/>
      <c r="CF74" s="1036"/>
      <c r="CG74" s="1004"/>
      <c r="CH74" s="1004"/>
      <c r="CI74" s="1004"/>
      <c r="CJ74" s="1004"/>
      <c r="CK74" s="1044"/>
      <c r="CL74" s="1163"/>
      <c r="CM74" s="1163"/>
      <c r="CN74" s="647"/>
      <c r="CO74" s="647"/>
      <c r="CP74" s="1163"/>
      <c r="CQ74" s="639"/>
      <c r="CR74" s="647"/>
      <c r="CS74" s="1171"/>
      <c r="CT74" s="1001"/>
      <c r="CU74" s="647"/>
      <c r="CV74" s="1001"/>
      <c r="CW74" s="647"/>
      <c r="CX74" s="1009"/>
      <c r="CY74" s="1009"/>
      <c r="CZ74" s="1163"/>
      <c r="DA74" s="1004"/>
      <c r="DB74" s="1004"/>
      <c r="DC74" s="1004"/>
      <c r="DD74" s="1004"/>
      <c r="DE74" s="1004"/>
      <c r="DF74" s="639"/>
      <c r="DG74" s="1019"/>
    </row>
    <row r="75" spans="1:111" s="588" customFormat="1" ht="13.5" thickTop="1" x14ac:dyDescent="0.2">
      <c r="A75" s="589">
        <f t="shared" si="1"/>
        <v>66</v>
      </c>
      <c r="B75" s="644"/>
      <c r="C75" s="1420"/>
      <c r="D75" s="639"/>
      <c r="E75" s="639"/>
      <c r="F75" s="639"/>
      <c r="G75" s="1013"/>
      <c r="H75" s="639"/>
      <c r="I75" s="639"/>
      <c r="J75" s="643"/>
      <c r="K75" s="1004"/>
      <c r="L75" s="999"/>
      <c r="M75" s="1001"/>
      <c r="N75" s="643"/>
      <c r="O75" s="640"/>
      <c r="Q75" s="589"/>
      <c r="R75" s="644"/>
      <c r="S75" s="1420"/>
      <c r="T75" s="639"/>
      <c r="U75" s="639"/>
      <c r="V75" s="639"/>
      <c r="W75" s="1013"/>
      <c r="X75" s="647"/>
      <c r="Y75" s="647"/>
      <c r="Z75" s="639"/>
      <c r="AA75" s="639"/>
      <c r="AB75" s="643"/>
      <c r="AC75" s="1004"/>
      <c r="AD75" s="1163"/>
      <c r="AE75" s="999"/>
      <c r="AF75" s="1001"/>
      <c r="AG75" s="643"/>
      <c r="AH75" s="1165"/>
      <c r="AI75" s="589"/>
      <c r="AJ75" s="375"/>
      <c r="AK75" s="1181" t="str">
        <f>Codes!$C$160</f>
        <v>CC - Cable Car (PT)</v>
      </c>
      <c r="AL75" s="1182" t="str">
        <f>Valid!$B$87</f>
        <v>Substation Building</v>
      </c>
      <c r="AM75" s="1378"/>
      <c r="AN75" s="1403" t="str">
        <f>Valid!$C$87</f>
        <v>Each</v>
      </c>
      <c r="AO75" s="1443"/>
      <c r="AP75" s="1403"/>
      <c r="AQ75" s="1191"/>
      <c r="AR75" s="1309"/>
      <c r="AS75" s="1191"/>
      <c r="AT75" s="1191"/>
      <c r="AU75" s="1191"/>
      <c r="AV75" s="1191"/>
      <c r="AW75" s="1191"/>
      <c r="AX75" s="1191"/>
      <c r="AY75" s="1191"/>
      <c r="AZ75" s="1191"/>
      <c r="BA75" s="1191"/>
      <c r="BB75" s="1191"/>
      <c r="BC75" s="1411">
        <f t="shared" si="3"/>
        <v>0</v>
      </c>
      <c r="BD75" s="1191"/>
      <c r="BE75" s="1192"/>
      <c r="BG75" s="588" t="b">
        <f>IF(OR(AK75='A-50 FGRailInv'!$C$13,AK75='A-50 FGRailInv'!$C$69,AK75='A-50 FGRailInv'!$C$124,AK75='A-50 FGRailInv'!$C$179,AK75='A-50 FGRailInv'!$C$234,AK75='A-50 FGRailInv'!$C$290,AK75='A-50 FGRailInv'!$C$346,AK75='A-50 FGRailInv'!$C$402,AK75='A-50 FGRailInv'!$C$458,AK75='A-50 FGRailInv'!$C$514),TRUE,FALSE)</f>
        <v>0</v>
      </c>
      <c r="BJ75" s="1045" t="str">
        <f>Codes!$C$165</f>
        <v>LR - Light Rail (DO)</v>
      </c>
      <c r="BK75" s="1046" t="str">
        <f>Valid!$B$82</f>
        <v>Double Diamond Crossover</v>
      </c>
      <c r="BL75" s="1330"/>
      <c r="BM75" s="1046" t="str">
        <f>VLOOKUP(BK75,Valid!$B$80:$C$86,2,FALSE)</f>
        <v>Each</v>
      </c>
      <c r="BN75" s="1338"/>
      <c r="BO75" s="1339"/>
      <c r="BP75" s="1340"/>
      <c r="BR75" s="588" t="b">
        <f>IF(OR(BJ75='A-55 TrackInv'!$C$13,BJ75='A-55 TrackInv'!$C$44,BJ75='A-55 TrackInv'!$C$75,BJ75='A-55 TrackInv'!$C$106,BJ75='A-55 TrackInv'!$C$137,BJ75='A-55 TrackInv'!$C$168,BJ75='A-55 TrackInv'!$C$199,BJ75='A-55 TrackInv'!$C$230,BJ75='A-55 TrackInv'!$C$261,BJ75='A-55 TrackInv'!$C$292),TRUE,FALSE)</f>
        <v>0</v>
      </c>
      <c r="BU75" s="1489"/>
      <c r="BV75" s="1212"/>
      <c r="BW75" s="1004"/>
      <c r="BX75" s="999"/>
      <c r="BY75" s="999"/>
      <c r="BZ75" s="999"/>
      <c r="CA75" s="999"/>
      <c r="CB75" s="999"/>
      <c r="CC75" s="1165"/>
      <c r="CF75" s="1036"/>
      <c r="CG75" s="1004"/>
      <c r="CH75" s="1004"/>
      <c r="CI75" s="1004"/>
      <c r="CJ75" s="1004"/>
      <c r="CK75" s="1044"/>
      <c r="CL75" s="1163"/>
      <c r="CM75" s="1163"/>
      <c r="CN75" s="647"/>
      <c r="CO75" s="647"/>
      <c r="CP75" s="1163"/>
      <c r="CQ75" s="639"/>
      <c r="CR75" s="647"/>
      <c r="CS75" s="1171"/>
      <c r="CT75" s="1001"/>
      <c r="CU75" s="647"/>
      <c r="CV75" s="1001"/>
      <c r="CW75" s="647"/>
      <c r="CX75" s="1009"/>
      <c r="CY75" s="1009"/>
      <c r="CZ75" s="1163"/>
      <c r="DA75" s="1004"/>
      <c r="DB75" s="1004"/>
      <c r="DC75" s="1004"/>
      <c r="DD75" s="1004"/>
      <c r="DE75" s="1004"/>
      <c r="DF75" s="639"/>
      <c r="DG75" s="1019"/>
    </row>
    <row r="76" spans="1:111" s="588" customFormat="1" x14ac:dyDescent="0.2">
      <c r="A76" s="589">
        <f t="shared" ref="A76:A109" si="4">A75+1</f>
        <v>67</v>
      </c>
      <c r="B76" s="644"/>
      <c r="C76" s="1420"/>
      <c r="D76" s="639"/>
      <c r="E76" s="639"/>
      <c r="F76" s="639"/>
      <c r="G76" s="1013"/>
      <c r="H76" s="639"/>
      <c r="I76" s="639"/>
      <c r="J76" s="643"/>
      <c r="K76" s="1004"/>
      <c r="L76" s="999"/>
      <c r="M76" s="1001"/>
      <c r="N76" s="643"/>
      <c r="O76" s="640"/>
      <c r="Q76" s="589"/>
      <c r="R76" s="644"/>
      <c r="S76" s="1420"/>
      <c r="T76" s="639"/>
      <c r="U76" s="639"/>
      <c r="V76" s="639"/>
      <c r="W76" s="1013"/>
      <c r="X76" s="647"/>
      <c r="Y76" s="647"/>
      <c r="Z76" s="639"/>
      <c r="AA76" s="639"/>
      <c r="AB76" s="643"/>
      <c r="AC76" s="1004"/>
      <c r="AD76" s="1163"/>
      <c r="AE76" s="999"/>
      <c r="AF76" s="1001"/>
      <c r="AG76" s="643"/>
      <c r="AH76" s="1165"/>
      <c r="AI76" s="589"/>
      <c r="AJ76" s="375"/>
      <c r="AK76" s="1041" t="str">
        <f>Codes!$C$160</f>
        <v>CC - Cable Car (PT)</v>
      </c>
      <c r="AL76" s="1042" t="str">
        <f>Valid!$B$88</f>
        <v>Substation Equipment</v>
      </c>
      <c r="AM76" s="1209"/>
      <c r="AN76" s="1401"/>
      <c r="AO76" s="1444"/>
      <c r="AP76" s="1401"/>
      <c r="AQ76" s="1193"/>
      <c r="AR76" s="1310"/>
      <c r="AS76" s="1194"/>
      <c r="AT76" s="1194"/>
      <c r="AU76" s="1194"/>
      <c r="AV76" s="1194"/>
      <c r="AW76" s="1194"/>
      <c r="AX76" s="1194"/>
      <c r="AY76" s="1194"/>
      <c r="AZ76" s="1194"/>
      <c r="BA76" s="1194"/>
      <c r="BB76" s="1194"/>
      <c r="BC76" s="1412">
        <f t="shared" si="3"/>
        <v>0</v>
      </c>
      <c r="BD76" s="1193"/>
      <c r="BE76" s="1195"/>
      <c r="BG76" s="588" t="b">
        <f>IF(OR(AK76='A-50 FGRailInv'!$C$13,AK76='A-50 FGRailInv'!$C$69,AK76='A-50 FGRailInv'!$C$124,AK76='A-50 FGRailInv'!$C$179,AK76='A-50 FGRailInv'!$C$234,AK76='A-50 FGRailInv'!$C$290,AK76='A-50 FGRailInv'!$C$346,AK76='A-50 FGRailInv'!$C$402,AK76='A-50 FGRailInv'!$C$458,AK76='A-50 FGRailInv'!$C$514),TRUE,FALSE)</f>
        <v>0</v>
      </c>
      <c r="BJ76" s="1041" t="str">
        <f>Codes!$C$165</f>
        <v>LR - Light Rail (DO)</v>
      </c>
      <c r="BK76" s="1042" t="str">
        <f>Valid!$B$83</f>
        <v>Single Crossover</v>
      </c>
      <c r="BL76" s="1382"/>
      <c r="BM76" s="1042" t="str">
        <f>VLOOKUP(BK76,Valid!$B$80:$C$86,2,FALSE)</f>
        <v>Each</v>
      </c>
      <c r="BN76" s="1383"/>
      <c r="BO76" s="1194"/>
      <c r="BP76" s="1195"/>
      <c r="BR76" s="588" t="b">
        <f>IF(OR(BJ76='A-55 TrackInv'!$C$13,BJ76='A-55 TrackInv'!$C$44,BJ76='A-55 TrackInv'!$C$75,BJ76='A-55 TrackInv'!$C$106,BJ76='A-55 TrackInv'!$C$137,BJ76='A-55 TrackInv'!$C$168,BJ76='A-55 TrackInv'!$C$199,BJ76='A-55 TrackInv'!$C$230,BJ76='A-55 TrackInv'!$C$261,BJ76='A-55 TrackInv'!$C$292),TRUE,FALSE)</f>
        <v>0</v>
      </c>
      <c r="BU76" s="1489"/>
      <c r="BV76" s="1212"/>
      <c r="BW76" s="1004"/>
      <c r="BX76" s="999"/>
      <c r="BY76" s="999"/>
      <c r="BZ76" s="999"/>
      <c r="CA76" s="999"/>
      <c r="CB76" s="999"/>
      <c r="CC76" s="1165"/>
      <c r="CF76" s="1036"/>
      <c r="CG76" s="1004"/>
      <c r="CH76" s="1004"/>
      <c r="CI76" s="1004"/>
      <c r="CJ76" s="1004"/>
      <c r="CK76" s="1044"/>
      <c r="CL76" s="1163"/>
      <c r="CM76" s="1163"/>
      <c r="CN76" s="647"/>
      <c r="CO76" s="647"/>
      <c r="CP76" s="1163"/>
      <c r="CQ76" s="639"/>
      <c r="CR76" s="647"/>
      <c r="CS76" s="1171"/>
      <c r="CT76" s="1001"/>
      <c r="CU76" s="647"/>
      <c r="CV76" s="1001"/>
      <c r="CW76" s="647"/>
      <c r="CX76" s="1009"/>
      <c r="CY76" s="1009"/>
      <c r="CZ76" s="1163"/>
      <c r="DA76" s="1004"/>
      <c r="DB76" s="1004"/>
      <c r="DC76" s="1004"/>
      <c r="DD76" s="1004"/>
      <c r="DE76" s="1004"/>
      <c r="DF76" s="639"/>
      <c r="DG76" s="1019"/>
    </row>
    <row r="77" spans="1:111" s="588" customFormat="1" x14ac:dyDescent="0.2">
      <c r="A77" s="589">
        <f t="shared" si="4"/>
        <v>68</v>
      </c>
      <c r="B77" s="644"/>
      <c r="C77" s="1420"/>
      <c r="D77" s="639"/>
      <c r="E77" s="639"/>
      <c r="F77" s="639"/>
      <c r="G77" s="1013"/>
      <c r="H77" s="639"/>
      <c r="I77" s="639"/>
      <c r="J77" s="643"/>
      <c r="K77" s="1004"/>
      <c r="L77" s="999"/>
      <c r="M77" s="1001"/>
      <c r="N77" s="643"/>
      <c r="O77" s="640"/>
      <c r="Q77" s="589"/>
      <c r="R77" s="644"/>
      <c r="S77" s="1420"/>
      <c r="T77" s="639"/>
      <c r="U77" s="639"/>
      <c r="V77" s="639"/>
      <c r="W77" s="1013"/>
      <c r="X77" s="647"/>
      <c r="Y77" s="647"/>
      <c r="Z77" s="639"/>
      <c r="AA77" s="639"/>
      <c r="AB77" s="643"/>
      <c r="AC77" s="1004"/>
      <c r="AD77" s="1163"/>
      <c r="AE77" s="999"/>
      <c r="AF77" s="1001"/>
      <c r="AG77" s="643"/>
      <c r="AH77" s="1165"/>
      <c r="AI77" s="589"/>
      <c r="AJ77" s="375"/>
      <c r="AK77" s="1041" t="str">
        <f>Codes!$C$160</f>
        <v>CC - Cable Car (PT)</v>
      </c>
      <c r="AL77" s="1042" t="str">
        <f>Valid!$B$89</f>
        <v>Third Rail/Power Distribution</v>
      </c>
      <c r="AM77" s="1209"/>
      <c r="AN77" s="1401"/>
      <c r="AO77" s="1444"/>
      <c r="AP77" s="1401"/>
      <c r="AQ77" s="1193"/>
      <c r="AR77" s="1310"/>
      <c r="AS77" s="1194"/>
      <c r="AT77" s="1194"/>
      <c r="AU77" s="1194"/>
      <c r="AV77" s="1194"/>
      <c r="AW77" s="1194"/>
      <c r="AX77" s="1194"/>
      <c r="AY77" s="1194"/>
      <c r="AZ77" s="1194"/>
      <c r="BA77" s="1194"/>
      <c r="BB77" s="1194"/>
      <c r="BC77" s="1412">
        <f t="shared" si="3"/>
        <v>0</v>
      </c>
      <c r="BD77" s="1193"/>
      <c r="BE77" s="1195"/>
      <c r="BG77" s="588" t="b">
        <f>IF(OR(AK77='A-50 FGRailInv'!$C$13,AK77='A-50 FGRailInv'!$C$69,AK77='A-50 FGRailInv'!$C$124,AK77='A-50 FGRailInv'!$C$179,AK77='A-50 FGRailInv'!$C$234,AK77='A-50 FGRailInv'!$C$290,AK77='A-50 FGRailInv'!$C$346,AK77='A-50 FGRailInv'!$C$402,AK77='A-50 FGRailInv'!$C$458,AK77='A-50 FGRailInv'!$C$514),TRUE,FALSE)</f>
        <v>0</v>
      </c>
      <c r="BJ77" s="1041" t="str">
        <f>Codes!$C$165</f>
        <v>LR - Light Rail (DO)</v>
      </c>
      <c r="BK77" s="1042" t="str">
        <f>Valid!$B$84</f>
        <v>Half Grand Union</v>
      </c>
      <c r="BL77" s="1382"/>
      <c r="BM77" s="1042" t="str">
        <f>VLOOKUP(BK77,Valid!$B$80:$C$86,2,FALSE)</f>
        <v>Each</v>
      </c>
      <c r="BN77" s="1383"/>
      <c r="BO77" s="1194"/>
      <c r="BP77" s="1195"/>
      <c r="BR77" s="588" t="b">
        <f>IF(OR(BJ77='A-55 TrackInv'!$C$13,BJ77='A-55 TrackInv'!$C$44,BJ77='A-55 TrackInv'!$C$75,BJ77='A-55 TrackInv'!$C$106,BJ77='A-55 TrackInv'!$C$137,BJ77='A-55 TrackInv'!$C$168,BJ77='A-55 TrackInv'!$C$199,BJ77='A-55 TrackInv'!$C$230,BJ77='A-55 TrackInv'!$C$261,BJ77='A-55 TrackInv'!$C$292),TRUE,FALSE)</f>
        <v>0</v>
      </c>
      <c r="BU77" s="1489"/>
      <c r="BV77" s="1212"/>
      <c r="BW77" s="1004"/>
      <c r="BX77" s="999"/>
      <c r="BY77" s="999"/>
      <c r="BZ77" s="999"/>
      <c r="CA77" s="999"/>
      <c r="CB77" s="999"/>
      <c r="CC77" s="1165"/>
      <c r="CF77" s="1036"/>
      <c r="CG77" s="1004"/>
      <c r="CH77" s="1004"/>
      <c r="CI77" s="1004"/>
      <c r="CJ77" s="1004"/>
      <c r="CK77" s="1044"/>
      <c r="CL77" s="1163"/>
      <c r="CM77" s="1163"/>
      <c r="CN77" s="647"/>
      <c r="CO77" s="647"/>
      <c r="CP77" s="1163"/>
      <c r="CQ77" s="639"/>
      <c r="CR77" s="647"/>
      <c r="CS77" s="1171"/>
      <c r="CT77" s="1001"/>
      <c r="CU77" s="647"/>
      <c r="CV77" s="1001"/>
      <c r="CW77" s="647"/>
      <c r="CX77" s="1009"/>
      <c r="CY77" s="1009"/>
      <c r="CZ77" s="1163"/>
      <c r="DA77" s="1004"/>
      <c r="DB77" s="1004"/>
      <c r="DC77" s="1004"/>
      <c r="DD77" s="1004"/>
      <c r="DE77" s="1004"/>
      <c r="DF77" s="639"/>
      <c r="DG77" s="1019"/>
    </row>
    <row r="78" spans="1:111" s="588" customFormat="1" x14ac:dyDescent="0.2">
      <c r="A78" s="589">
        <f t="shared" si="4"/>
        <v>69</v>
      </c>
      <c r="B78" s="644"/>
      <c r="C78" s="1420"/>
      <c r="D78" s="639"/>
      <c r="E78" s="639"/>
      <c r="F78" s="639"/>
      <c r="G78" s="1013"/>
      <c r="H78" s="639"/>
      <c r="I78" s="639"/>
      <c r="J78" s="643"/>
      <c r="K78" s="1004"/>
      <c r="L78" s="999"/>
      <c r="M78" s="1001"/>
      <c r="N78" s="643"/>
      <c r="O78" s="640"/>
      <c r="Q78" s="589"/>
      <c r="R78" s="644"/>
      <c r="S78" s="1420"/>
      <c r="T78" s="639"/>
      <c r="U78" s="639"/>
      <c r="V78" s="639"/>
      <c r="W78" s="1013"/>
      <c r="X78" s="647"/>
      <c r="Y78" s="647"/>
      <c r="Z78" s="639"/>
      <c r="AA78" s="639"/>
      <c r="AB78" s="643"/>
      <c r="AC78" s="1004"/>
      <c r="AD78" s="1163"/>
      <c r="AE78" s="999"/>
      <c r="AF78" s="1001"/>
      <c r="AG78" s="643"/>
      <c r="AH78" s="1165"/>
      <c r="AI78" s="589"/>
      <c r="AJ78" s="375"/>
      <c r="AK78" s="1041" t="str">
        <f>Codes!$C$160</f>
        <v>CC - Cable Car (PT)</v>
      </c>
      <c r="AL78" s="1042" t="str">
        <f>Valid!$B$90</f>
        <v>Overhead Contact System/Power Distribution</v>
      </c>
      <c r="AM78" s="1209"/>
      <c r="AN78" s="1401"/>
      <c r="AO78" s="1444"/>
      <c r="AP78" s="1401"/>
      <c r="AQ78" s="1193"/>
      <c r="AR78" s="1310"/>
      <c r="AS78" s="1194"/>
      <c r="AT78" s="1194"/>
      <c r="AU78" s="1194"/>
      <c r="AV78" s="1194"/>
      <c r="AW78" s="1194"/>
      <c r="AX78" s="1194"/>
      <c r="AY78" s="1194"/>
      <c r="AZ78" s="1194"/>
      <c r="BA78" s="1194"/>
      <c r="BB78" s="1194"/>
      <c r="BC78" s="1412">
        <f t="shared" si="3"/>
        <v>0</v>
      </c>
      <c r="BD78" s="1193"/>
      <c r="BE78" s="1195"/>
      <c r="BG78" s="588" t="b">
        <f>IF(OR(AK78='A-50 FGRailInv'!$C$13,AK78='A-50 FGRailInv'!$C$69,AK78='A-50 FGRailInv'!$C$124,AK78='A-50 FGRailInv'!$C$179,AK78='A-50 FGRailInv'!$C$234,AK78='A-50 FGRailInv'!$C$290,AK78='A-50 FGRailInv'!$C$346,AK78='A-50 FGRailInv'!$C$402,AK78='A-50 FGRailInv'!$C$458,AK78='A-50 FGRailInv'!$C$514),TRUE,FALSE)</f>
        <v>0</v>
      </c>
      <c r="BJ78" s="1041" t="str">
        <f>Codes!$C$165</f>
        <v>LR - Light Rail (DO)</v>
      </c>
      <c r="BK78" s="1042" t="str">
        <f>Valid!$B$85</f>
        <v>Single Turnout</v>
      </c>
      <c r="BL78" s="1382"/>
      <c r="BM78" s="1042" t="str">
        <f>VLOOKUP(BK78,Valid!$B$80:$C$86,2,FALSE)</f>
        <v>Each</v>
      </c>
      <c r="BN78" s="1383"/>
      <c r="BO78" s="1194"/>
      <c r="BP78" s="1195"/>
      <c r="BR78" s="588" t="b">
        <f>IF(OR(BJ78='A-55 TrackInv'!$C$13,BJ78='A-55 TrackInv'!$C$44,BJ78='A-55 TrackInv'!$C$75,BJ78='A-55 TrackInv'!$C$106,BJ78='A-55 TrackInv'!$C$137,BJ78='A-55 TrackInv'!$C$168,BJ78='A-55 TrackInv'!$C$199,BJ78='A-55 TrackInv'!$C$230,BJ78='A-55 TrackInv'!$C$261,BJ78='A-55 TrackInv'!$C$292),TRUE,FALSE)</f>
        <v>0</v>
      </c>
      <c r="BU78" s="1489"/>
      <c r="BV78" s="1212"/>
      <c r="BW78" s="1004"/>
      <c r="BX78" s="999"/>
      <c r="BY78" s="999"/>
      <c r="BZ78" s="999"/>
      <c r="CA78" s="999"/>
      <c r="CB78" s="999"/>
      <c r="CC78" s="1165"/>
      <c r="CF78" s="1036"/>
      <c r="CG78" s="1004"/>
      <c r="CH78" s="1004"/>
      <c r="CI78" s="1004"/>
      <c r="CJ78" s="1004"/>
      <c r="CK78" s="1044"/>
      <c r="CL78" s="1163"/>
      <c r="CM78" s="1163"/>
      <c r="CN78" s="647"/>
      <c r="CO78" s="647"/>
      <c r="CP78" s="1163"/>
      <c r="CQ78" s="639"/>
      <c r="CR78" s="647"/>
      <c r="CS78" s="1171"/>
      <c r="CT78" s="1001"/>
      <c r="CU78" s="647"/>
      <c r="CV78" s="1001"/>
      <c r="CW78" s="647"/>
      <c r="CX78" s="1009"/>
      <c r="CY78" s="1009"/>
      <c r="CZ78" s="1163"/>
      <c r="DA78" s="1004"/>
      <c r="DB78" s="1004"/>
      <c r="DC78" s="1004"/>
      <c r="DD78" s="1004"/>
      <c r="DE78" s="1004"/>
      <c r="DF78" s="639"/>
      <c r="DG78" s="1019"/>
    </row>
    <row r="79" spans="1:111" s="588" customFormat="1" ht="13.5" thickBot="1" x14ac:dyDescent="0.25">
      <c r="A79" s="589">
        <f t="shared" si="4"/>
        <v>70</v>
      </c>
      <c r="B79" s="644"/>
      <c r="C79" s="1420"/>
      <c r="D79" s="639"/>
      <c r="E79" s="639"/>
      <c r="F79" s="639"/>
      <c r="G79" s="1013"/>
      <c r="H79" s="639"/>
      <c r="I79" s="639"/>
      <c r="J79" s="643"/>
      <c r="K79" s="1004"/>
      <c r="L79" s="999"/>
      <c r="M79" s="1001"/>
      <c r="N79" s="643"/>
      <c r="O79" s="640"/>
      <c r="Q79" s="589"/>
      <c r="R79" s="644"/>
      <c r="S79" s="1420"/>
      <c r="T79" s="639"/>
      <c r="U79" s="639"/>
      <c r="V79" s="639"/>
      <c r="W79" s="1013"/>
      <c r="X79" s="647"/>
      <c r="Y79" s="647"/>
      <c r="Z79" s="639"/>
      <c r="AA79" s="639"/>
      <c r="AB79" s="643"/>
      <c r="AC79" s="1004"/>
      <c r="AD79" s="1163"/>
      <c r="AE79" s="999"/>
      <c r="AF79" s="1001"/>
      <c r="AG79" s="643"/>
      <c r="AH79" s="1165"/>
      <c r="AI79" s="589"/>
      <c r="AJ79" s="375"/>
      <c r="AK79" s="1047" t="str">
        <f>Codes!$C$160</f>
        <v>CC - Cable Car (PT)</v>
      </c>
      <c r="AL79" s="1050" t="str">
        <f>Valid!$B$91</f>
        <v>Train Control &amp; Signaling</v>
      </c>
      <c r="AM79" s="1210"/>
      <c r="AN79" s="1404"/>
      <c r="AO79" s="1445"/>
      <c r="AP79" s="1404"/>
      <c r="AQ79" s="1196"/>
      <c r="AR79" s="1311"/>
      <c r="AS79" s="1197"/>
      <c r="AT79" s="1197"/>
      <c r="AU79" s="1197"/>
      <c r="AV79" s="1197"/>
      <c r="AW79" s="1197"/>
      <c r="AX79" s="1197"/>
      <c r="AY79" s="1197"/>
      <c r="AZ79" s="1197"/>
      <c r="BA79" s="1197"/>
      <c r="BB79" s="1197"/>
      <c r="BC79" s="1413">
        <f t="shared" si="3"/>
        <v>0</v>
      </c>
      <c r="BD79" s="1196"/>
      <c r="BE79" s="1198"/>
      <c r="BG79" s="588" t="b">
        <f>IF(OR(AK79='A-50 FGRailInv'!$C$13,AK79='A-50 FGRailInv'!$C$69,AK79='A-50 FGRailInv'!$C$124,AK79='A-50 FGRailInv'!$C$179,AK79='A-50 FGRailInv'!$C$234,AK79='A-50 FGRailInv'!$C$290,AK79='A-50 FGRailInv'!$C$346,AK79='A-50 FGRailInv'!$C$402,AK79='A-50 FGRailInv'!$C$458,AK79='A-50 FGRailInv'!$C$514),TRUE,FALSE)</f>
        <v>0</v>
      </c>
      <c r="BJ79" s="1047" t="str">
        <f>Codes!$C$165</f>
        <v>LR - Light Rail (DO)</v>
      </c>
      <c r="BK79" s="1050" t="str">
        <f>Valid!$B$86</f>
        <v>Grade Crossings</v>
      </c>
      <c r="BL79" s="1331"/>
      <c r="BM79" s="1050" t="str">
        <f>VLOOKUP(BK79,Valid!$B$80:$C$86,2,FALSE)</f>
        <v>Each</v>
      </c>
      <c r="BN79" s="1341"/>
      <c r="BO79" s="1197"/>
      <c r="BP79" s="1198"/>
      <c r="BR79" s="588" t="b">
        <f>IF(OR(BJ79='A-55 TrackInv'!$C$13,BJ79='A-55 TrackInv'!$C$44,BJ79='A-55 TrackInv'!$C$75,BJ79='A-55 TrackInv'!$C$106,BJ79='A-55 TrackInv'!$C$137,BJ79='A-55 TrackInv'!$C$168,BJ79='A-55 TrackInv'!$C$199,BJ79='A-55 TrackInv'!$C$230,BJ79='A-55 TrackInv'!$C$261,BJ79='A-55 TrackInv'!$C$292),TRUE,FALSE)</f>
        <v>0</v>
      </c>
      <c r="BU79" s="1489"/>
      <c r="BV79" s="1212"/>
      <c r="BW79" s="1004"/>
      <c r="BX79" s="999"/>
      <c r="BY79" s="999"/>
      <c r="BZ79" s="999"/>
      <c r="CA79" s="999"/>
      <c r="CB79" s="999"/>
      <c r="CC79" s="1165"/>
      <c r="CF79" s="1036"/>
      <c r="CG79" s="1004"/>
      <c r="CH79" s="1004"/>
      <c r="CI79" s="1004"/>
      <c r="CJ79" s="1004"/>
      <c r="CK79" s="1044"/>
      <c r="CL79" s="1163"/>
      <c r="CM79" s="1163"/>
      <c r="CN79" s="647"/>
      <c r="CO79" s="647"/>
      <c r="CP79" s="1163"/>
      <c r="CQ79" s="639"/>
      <c r="CR79" s="647"/>
      <c r="CS79" s="1171"/>
      <c r="CT79" s="1001"/>
      <c r="CU79" s="647"/>
      <c r="CV79" s="1001"/>
      <c r="CW79" s="647"/>
      <c r="CX79" s="1009"/>
      <c r="CY79" s="1009"/>
      <c r="CZ79" s="1163"/>
      <c r="DA79" s="1004"/>
      <c r="DB79" s="1004"/>
      <c r="DC79" s="1004"/>
      <c r="DD79" s="1004"/>
      <c r="DE79" s="1004"/>
      <c r="DF79" s="639"/>
      <c r="DG79" s="1019"/>
    </row>
    <row r="80" spans="1:111" s="588" customFormat="1" x14ac:dyDescent="0.2">
      <c r="A80" s="589">
        <f t="shared" si="4"/>
        <v>71</v>
      </c>
      <c r="B80" s="644"/>
      <c r="C80" s="1420"/>
      <c r="D80" s="639"/>
      <c r="E80" s="639"/>
      <c r="F80" s="639"/>
      <c r="G80" s="1013"/>
      <c r="H80" s="639"/>
      <c r="I80" s="639"/>
      <c r="J80" s="643"/>
      <c r="K80" s="1004"/>
      <c r="L80" s="999"/>
      <c r="M80" s="1001"/>
      <c r="N80" s="643"/>
      <c r="O80" s="640"/>
      <c r="Q80" s="589"/>
      <c r="R80" s="644"/>
      <c r="S80" s="1420"/>
      <c r="T80" s="639"/>
      <c r="U80" s="639"/>
      <c r="V80" s="639"/>
      <c r="W80" s="1013"/>
      <c r="X80" s="647"/>
      <c r="Y80" s="647"/>
      <c r="Z80" s="639"/>
      <c r="AA80" s="639"/>
      <c r="AB80" s="643"/>
      <c r="AC80" s="1004"/>
      <c r="AD80" s="1163"/>
      <c r="AE80" s="999"/>
      <c r="AF80" s="1001"/>
      <c r="AG80" s="643"/>
      <c r="AH80" s="1165"/>
      <c r="AI80" s="589"/>
      <c r="AJ80" s="375"/>
      <c r="AK80" s="1043" t="str">
        <f>Codes!$C$161</f>
        <v>CR - Commuter Rail (DO)</v>
      </c>
      <c r="AL80" s="1303" t="str">
        <f>Valid!$B$71</f>
        <v>At-Grade/Ballast (including expressway)</v>
      </c>
      <c r="AM80" s="1003"/>
      <c r="AN80" s="1400" t="str">
        <f>Valid!$C$71</f>
        <v>Linear Feet</v>
      </c>
      <c r="AO80" s="1446"/>
      <c r="AP80" s="1400" t="s">
        <v>1149</v>
      </c>
      <c r="AQ80" s="1012"/>
      <c r="AR80" s="1312"/>
      <c r="AS80" s="1304"/>
      <c r="AT80" s="1304"/>
      <c r="AU80" s="1304"/>
      <c r="AV80" s="1304"/>
      <c r="AW80" s="1304"/>
      <c r="AX80" s="1304"/>
      <c r="AY80" s="1304"/>
      <c r="AZ80" s="1304"/>
      <c r="BA80" s="1304"/>
      <c r="BB80" s="1304"/>
      <c r="BC80" s="1408">
        <f t="shared" si="3"/>
        <v>0</v>
      </c>
      <c r="BD80" s="1007"/>
      <c r="BE80" s="1305"/>
      <c r="BG80" s="588" t="b">
        <f>IF(OR(AK80='A-50 FGRailInv'!$C$13,AK80='A-50 FGRailInv'!$C$69,AK80='A-50 FGRailInv'!$C$124,AK80='A-50 FGRailInv'!$C$179,AK80='A-50 FGRailInv'!$C$234,AK80='A-50 FGRailInv'!$C$290,AK80='A-50 FGRailInv'!$C$346,AK80='A-50 FGRailInv'!$C$402,AK80='A-50 FGRailInv'!$C$458,AK80='A-50 FGRailInv'!$C$514),TRUE,FALSE)</f>
        <v>0</v>
      </c>
      <c r="BJ80" s="1043" t="str">
        <f>Codes!$C$166</f>
        <v>LR - Light Rail (PT)</v>
      </c>
      <c r="BK80" s="1303" t="str">
        <f>Valid!$B$80</f>
        <v>Tangent</v>
      </c>
      <c r="BL80" s="1328"/>
      <c r="BM80" s="1303" t="str">
        <f>VLOOKUP(BK80,Valid!$B$80:$C$86,2,FALSE)</f>
        <v>Track Feet</v>
      </c>
      <c r="BN80" s="1332"/>
      <c r="BO80" s="1333"/>
      <c r="BP80" s="1334"/>
      <c r="BR80" s="588" t="b">
        <f>IF(OR(BJ80='A-55 TrackInv'!$C$13,BJ80='A-55 TrackInv'!$C$44,BJ80='A-55 TrackInv'!$C$75,BJ80='A-55 TrackInv'!$C$106,BJ80='A-55 TrackInv'!$C$137,BJ80='A-55 TrackInv'!$C$168,BJ80='A-55 TrackInv'!$C$199,BJ80='A-55 TrackInv'!$C$230,BJ80='A-55 TrackInv'!$C$261,BJ80='A-55 TrackInv'!$C$292),TRUE,FALSE)</f>
        <v>0</v>
      </c>
      <c r="BU80" s="1489"/>
      <c r="BV80" s="1212"/>
      <c r="BW80" s="1004"/>
      <c r="BX80" s="999"/>
      <c r="BY80" s="999"/>
      <c r="BZ80" s="999"/>
      <c r="CA80" s="999"/>
      <c r="CB80" s="999"/>
      <c r="CC80" s="1165"/>
      <c r="CF80" s="1036"/>
      <c r="CG80" s="1004"/>
      <c r="CH80" s="1004"/>
      <c r="CI80" s="1004"/>
      <c r="CJ80" s="1004"/>
      <c r="CK80" s="1044"/>
      <c r="CL80" s="1163"/>
      <c r="CM80" s="1163"/>
      <c r="CN80" s="647"/>
      <c r="CO80" s="647"/>
      <c r="CP80" s="1163"/>
      <c r="CQ80" s="639"/>
      <c r="CR80" s="647"/>
      <c r="CS80" s="1171"/>
      <c r="CT80" s="1001"/>
      <c r="CU80" s="647"/>
      <c r="CV80" s="1001"/>
      <c r="CW80" s="647"/>
      <c r="CX80" s="1009"/>
      <c r="CY80" s="1009"/>
      <c r="CZ80" s="1163"/>
      <c r="DA80" s="1004"/>
      <c r="DB80" s="1004"/>
      <c r="DC80" s="1004"/>
      <c r="DD80" s="1004"/>
      <c r="DE80" s="1004"/>
      <c r="DF80" s="639"/>
      <c r="DG80" s="1019"/>
    </row>
    <row r="81" spans="1:111" s="588" customFormat="1" ht="13.5" thickBot="1" x14ac:dyDescent="0.25">
      <c r="A81" s="589">
        <f t="shared" si="4"/>
        <v>72</v>
      </c>
      <c r="B81" s="644"/>
      <c r="C81" s="1420"/>
      <c r="D81" s="639"/>
      <c r="E81" s="639"/>
      <c r="F81" s="639"/>
      <c r="G81" s="1013"/>
      <c r="H81" s="639"/>
      <c r="I81" s="639"/>
      <c r="J81" s="643"/>
      <c r="K81" s="1004"/>
      <c r="L81" s="999"/>
      <c r="M81" s="1001"/>
      <c r="N81" s="643"/>
      <c r="O81" s="640"/>
      <c r="Q81" s="589"/>
      <c r="R81" s="644"/>
      <c r="S81" s="1420"/>
      <c r="T81" s="639"/>
      <c r="U81" s="639"/>
      <c r="V81" s="639"/>
      <c r="W81" s="1013"/>
      <c r="X81" s="647"/>
      <c r="Y81" s="647"/>
      <c r="Z81" s="639"/>
      <c r="AA81" s="639"/>
      <c r="AB81" s="643"/>
      <c r="AC81" s="1004"/>
      <c r="AD81" s="1163"/>
      <c r="AE81" s="999"/>
      <c r="AF81" s="1001"/>
      <c r="AG81" s="643"/>
      <c r="AH81" s="1165"/>
      <c r="AI81" s="589"/>
      <c r="AJ81" s="375"/>
      <c r="AK81" s="1041" t="str">
        <f>Codes!$C$161</f>
        <v>CR - Commuter Rail (DO)</v>
      </c>
      <c r="AL81" s="1042" t="str">
        <f>Valid!$B$72</f>
        <v>At-Grade/In-Street/Embedded</v>
      </c>
      <c r="AM81" s="1004"/>
      <c r="AN81" s="1401" t="str">
        <f>Valid!$C$72</f>
        <v>Linear Feet</v>
      </c>
      <c r="AO81" s="1441"/>
      <c r="AP81" s="1401" t="s">
        <v>1149</v>
      </c>
      <c r="AQ81" s="1033"/>
      <c r="AR81" s="1307"/>
      <c r="AS81" s="997"/>
      <c r="AT81" s="997"/>
      <c r="AU81" s="997"/>
      <c r="AV81" s="997"/>
      <c r="AW81" s="997"/>
      <c r="AX81" s="997"/>
      <c r="AY81" s="997"/>
      <c r="AZ81" s="997"/>
      <c r="BA81" s="997"/>
      <c r="BB81" s="997"/>
      <c r="BC81" s="1409">
        <f t="shared" si="3"/>
        <v>0</v>
      </c>
      <c r="BD81" s="999"/>
      <c r="BE81" s="640"/>
      <c r="BG81" s="588" t="b">
        <f>IF(OR(AK81='A-50 FGRailInv'!$C$13,AK81='A-50 FGRailInv'!$C$69,AK81='A-50 FGRailInv'!$C$124,AK81='A-50 FGRailInv'!$C$179,AK81='A-50 FGRailInv'!$C$234,AK81='A-50 FGRailInv'!$C$290,AK81='A-50 FGRailInv'!$C$346,AK81='A-50 FGRailInv'!$C$402,AK81='A-50 FGRailInv'!$C$458,AK81='A-50 FGRailInv'!$C$514),TRUE,FALSE)</f>
        <v>0</v>
      </c>
      <c r="BJ81" s="1048" t="str">
        <f>Codes!$C$166</f>
        <v>LR - Light Rail (PT)</v>
      </c>
      <c r="BK81" s="1049" t="str">
        <f>Valid!$B$81</f>
        <v>Curve</v>
      </c>
      <c r="BL81" s="1329"/>
      <c r="BM81" s="1049" t="str">
        <f>VLOOKUP(BK81,Valid!$B$80:$C$86,2,FALSE)</f>
        <v>Track Feet</v>
      </c>
      <c r="BN81" s="1335"/>
      <c r="BO81" s="1336"/>
      <c r="BP81" s="1337"/>
      <c r="BR81" s="588" t="b">
        <f>IF(OR(BJ81='A-55 TrackInv'!$C$13,BJ81='A-55 TrackInv'!$C$44,BJ81='A-55 TrackInv'!$C$75,BJ81='A-55 TrackInv'!$C$106,BJ81='A-55 TrackInv'!$C$137,BJ81='A-55 TrackInv'!$C$168,BJ81='A-55 TrackInv'!$C$199,BJ81='A-55 TrackInv'!$C$230,BJ81='A-55 TrackInv'!$C$261,BJ81='A-55 TrackInv'!$C$292),TRUE,FALSE)</f>
        <v>0</v>
      </c>
      <c r="BU81" s="1489"/>
      <c r="BV81" s="1212"/>
      <c r="BW81" s="1004"/>
      <c r="BX81" s="999"/>
      <c r="BY81" s="999"/>
      <c r="BZ81" s="999"/>
      <c r="CA81" s="999"/>
      <c r="CB81" s="999"/>
      <c r="CC81" s="1165"/>
      <c r="CF81" s="1036"/>
      <c r="CG81" s="1004"/>
      <c r="CH81" s="1004"/>
      <c r="CI81" s="1004"/>
      <c r="CJ81" s="1004"/>
      <c r="CK81" s="1044"/>
      <c r="CL81" s="1163"/>
      <c r="CM81" s="1163"/>
      <c r="CN81" s="647"/>
      <c r="CO81" s="647"/>
      <c r="CP81" s="1163"/>
      <c r="CQ81" s="639"/>
      <c r="CR81" s="647"/>
      <c r="CS81" s="1171"/>
      <c r="CT81" s="1001"/>
      <c r="CU81" s="647"/>
      <c r="CV81" s="1001"/>
      <c r="CW81" s="647"/>
      <c r="CX81" s="1009"/>
      <c r="CY81" s="1009"/>
      <c r="CZ81" s="1163"/>
      <c r="DA81" s="1004"/>
      <c r="DB81" s="1004"/>
      <c r="DC81" s="1004"/>
      <c r="DD81" s="1004"/>
      <c r="DE81" s="1004"/>
      <c r="DF81" s="639"/>
      <c r="DG81" s="1019"/>
    </row>
    <row r="82" spans="1:111" s="588" customFormat="1" ht="13.5" thickTop="1" x14ac:dyDescent="0.2">
      <c r="A82" s="589">
        <f t="shared" si="4"/>
        <v>73</v>
      </c>
      <c r="B82" s="644"/>
      <c r="C82" s="1420"/>
      <c r="D82" s="639"/>
      <c r="E82" s="639"/>
      <c r="F82" s="639"/>
      <c r="G82" s="1013"/>
      <c r="H82" s="639"/>
      <c r="I82" s="639"/>
      <c r="J82" s="643"/>
      <c r="K82" s="1004"/>
      <c r="L82" s="999"/>
      <c r="M82" s="1001"/>
      <c r="N82" s="643"/>
      <c r="O82" s="640"/>
      <c r="Q82" s="589"/>
      <c r="R82" s="644"/>
      <c r="S82" s="1420"/>
      <c r="T82" s="639"/>
      <c r="U82" s="639"/>
      <c r="V82" s="639"/>
      <c r="W82" s="1013"/>
      <c r="X82" s="647"/>
      <c r="Y82" s="647"/>
      <c r="Z82" s="639"/>
      <c r="AA82" s="639"/>
      <c r="AB82" s="643"/>
      <c r="AC82" s="1004"/>
      <c r="AD82" s="1163"/>
      <c r="AE82" s="999"/>
      <c r="AF82" s="1001"/>
      <c r="AG82" s="643"/>
      <c r="AH82" s="1165"/>
      <c r="AI82" s="589"/>
      <c r="AJ82" s="375"/>
      <c r="AK82" s="1041" t="str">
        <f>Codes!$C$161</f>
        <v>CR - Commuter Rail (DO)</v>
      </c>
      <c r="AL82" s="1042" t="str">
        <f>Valid!$B$73</f>
        <v>Elevated/Retained Fill</v>
      </c>
      <c r="AM82" s="1004"/>
      <c r="AN82" s="1401" t="str">
        <f>Valid!$C$73</f>
        <v>Linear Feet</v>
      </c>
      <c r="AO82" s="1441"/>
      <c r="AP82" s="1401" t="s">
        <v>1149</v>
      </c>
      <c r="AQ82" s="1033"/>
      <c r="AR82" s="1307"/>
      <c r="AS82" s="997"/>
      <c r="AT82" s="997"/>
      <c r="AU82" s="997"/>
      <c r="AV82" s="997"/>
      <c r="AW82" s="997"/>
      <c r="AX82" s="997"/>
      <c r="AY82" s="997"/>
      <c r="AZ82" s="997"/>
      <c r="BA82" s="997"/>
      <c r="BB82" s="997"/>
      <c r="BC82" s="1409">
        <f t="shared" si="3"/>
        <v>0</v>
      </c>
      <c r="BD82" s="999"/>
      <c r="BE82" s="640"/>
      <c r="BG82" s="588" t="b">
        <f>IF(OR(AK82='A-50 FGRailInv'!$C$13,AK82='A-50 FGRailInv'!$C$69,AK82='A-50 FGRailInv'!$C$124,AK82='A-50 FGRailInv'!$C$179,AK82='A-50 FGRailInv'!$C$234,AK82='A-50 FGRailInv'!$C$290,AK82='A-50 FGRailInv'!$C$346,AK82='A-50 FGRailInv'!$C$402,AK82='A-50 FGRailInv'!$C$458,AK82='A-50 FGRailInv'!$C$514),TRUE,FALSE)</f>
        <v>0</v>
      </c>
      <c r="BJ82" s="1045" t="str">
        <f>Codes!$C$166</f>
        <v>LR - Light Rail (PT)</v>
      </c>
      <c r="BK82" s="1046" t="str">
        <f>Valid!$B$82</f>
        <v>Double Diamond Crossover</v>
      </c>
      <c r="BL82" s="1330"/>
      <c r="BM82" s="1046" t="str">
        <f>VLOOKUP(BK82,Valid!$B$80:$C$86,2,FALSE)</f>
        <v>Each</v>
      </c>
      <c r="BN82" s="1338"/>
      <c r="BO82" s="1339"/>
      <c r="BP82" s="1340"/>
      <c r="BR82" s="588" t="b">
        <f>IF(OR(BJ82='A-55 TrackInv'!$C$13,BJ82='A-55 TrackInv'!$C$44,BJ82='A-55 TrackInv'!$C$75,BJ82='A-55 TrackInv'!$C$106,BJ82='A-55 TrackInv'!$C$137,BJ82='A-55 TrackInv'!$C$168,BJ82='A-55 TrackInv'!$C$199,BJ82='A-55 TrackInv'!$C$230,BJ82='A-55 TrackInv'!$C$261,BJ82='A-55 TrackInv'!$C$292),TRUE,FALSE)</f>
        <v>0</v>
      </c>
      <c r="BU82" s="1489"/>
      <c r="BV82" s="1212"/>
      <c r="BW82" s="1004"/>
      <c r="BX82" s="999"/>
      <c r="BY82" s="999"/>
      <c r="BZ82" s="999"/>
      <c r="CA82" s="999"/>
      <c r="CB82" s="999"/>
      <c r="CC82" s="1165"/>
      <c r="CF82" s="1036"/>
      <c r="CG82" s="1004"/>
      <c r="CH82" s="1004"/>
      <c r="CI82" s="1004"/>
      <c r="CJ82" s="1004"/>
      <c r="CK82" s="1044"/>
      <c r="CL82" s="1163"/>
      <c r="CM82" s="1163"/>
      <c r="CN82" s="647"/>
      <c r="CO82" s="647"/>
      <c r="CP82" s="1163"/>
      <c r="CQ82" s="639"/>
      <c r="CR82" s="647"/>
      <c r="CS82" s="1171"/>
      <c r="CT82" s="1001"/>
      <c r="CU82" s="647"/>
      <c r="CV82" s="1001"/>
      <c r="CW82" s="647"/>
      <c r="CX82" s="1009"/>
      <c r="CY82" s="1009"/>
      <c r="CZ82" s="1163"/>
      <c r="DA82" s="1004"/>
      <c r="DB82" s="1004"/>
      <c r="DC82" s="1004"/>
      <c r="DD82" s="1004"/>
      <c r="DE82" s="1004"/>
      <c r="DF82" s="639"/>
      <c r="DG82" s="1019"/>
    </row>
    <row r="83" spans="1:111" s="588" customFormat="1" x14ac:dyDescent="0.2">
      <c r="A83" s="589">
        <f t="shared" si="4"/>
        <v>74</v>
      </c>
      <c r="B83" s="644"/>
      <c r="C83" s="1420"/>
      <c r="D83" s="639"/>
      <c r="E83" s="639"/>
      <c r="F83" s="639"/>
      <c r="G83" s="1013"/>
      <c r="H83" s="639"/>
      <c r="I83" s="639"/>
      <c r="J83" s="643"/>
      <c r="K83" s="1004"/>
      <c r="L83" s="999"/>
      <c r="M83" s="1001"/>
      <c r="N83" s="643"/>
      <c r="O83" s="640"/>
      <c r="Q83" s="589"/>
      <c r="R83" s="644"/>
      <c r="S83" s="1420"/>
      <c r="T83" s="639"/>
      <c r="U83" s="639"/>
      <c r="V83" s="639"/>
      <c r="W83" s="1013"/>
      <c r="X83" s="647"/>
      <c r="Y83" s="647"/>
      <c r="Z83" s="639"/>
      <c r="AA83" s="639"/>
      <c r="AB83" s="643"/>
      <c r="AC83" s="1004"/>
      <c r="AD83" s="1163"/>
      <c r="AE83" s="999"/>
      <c r="AF83" s="1001"/>
      <c r="AG83" s="643"/>
      <c r="AH83" s="1165"/>
      <c r="AI83" s="589"/>
      <c r="AJ83" s="375"/>
      <c r="AK83" s="1041" t="str">
        <f>Codes!$C$161</f>
        <v>CR - Commuter Rail (DO)</v>
      </c>
      <c r="AL83" s="1042" t="str">
        <f>Valid!$B$74</f>
        <v>Elevated/Concrete</v>
      </c>
      <c r="AM83" s="1004"/>
      <c r="AN83" s="1401" t="str">
        <f>Valid!$C$74</f>
        <v>Linear Feet</v>
      </c>
      <c r="AO83" s="1441"/>
      <c r="AP83" s="1401" t="s">
        <v>1149</v>
      </c>
      <c r="AQ83" s="1033"/>
      <c r="AR83" s="1307"/>
      <c r="AS83" s="997"/>
      <c r="AT83" s="997"/>
      <c r="AU83" s="997"/>
      <c r="AV83" s="997"/>
      <c r="AW83" s="997"/>
      <c r="AX83" s="997"/>
      <c r="AY83" s="997"/>
      <c r="AZ83" s="997"/>
      <c r="BA83" s="997"/>
      <c r="BB83" s="997"/>
      <c r="BC83" s="1409">
        <f t="shared" ref="BC83:BC107" si="5">SUM(AS83:BB83)</f>
        <v>0</v>
      </c>
      <c r="BD83" s="999"/>
      <c r="BE83" s="640"/>
      <c r="BG83" s="588" t="b">
        <f>IF(OR(AK83='A-50 FGRailInv'!$C$13,AK83='A-50 FGRailInv'!$C$69,AK83='A-50 FGRailInv'!$C$124,AK83='A-50 FGRailInv'!$C$179,AK83='A-50 FGRailInv'!$C$234,AK83='A-50 FGRailInv'!$C$290,AK83='A-50 FGRailInv'!$C$346,AK83='A-50 FGRailInv'!$C$402,AK83='A-50 FGRailInv'!$C$458,AK83='A-50 FGRailInv'!$C$514),TRUE,FALSE)</f>
        <v>0</v>
      </c>
      <c r="BJ83" s="1041" t="str">
        <f>Codes!$C$166</f>
        <v>LR - Light Rail (PT)</v>
      </c>
      <c r="BK83" s="1042" t="str">
        <f>Valid!$B$83</f>
        <v>Single Crossover</v>
      </c>
      <c r="BL83" s="1382"/>
      <c r="BM83" s="1042" t="str">
        <f>VLOOKUP(BK83,Valid!$B$80:$C$86,2,FALSE)</f>
        <v>Each</v>
      </c>
      <c r="BN83" s="1383"/>
      <c r="BO83" s="1194"/>
      <c r="BP83" s="1195"/>
      <c r="BR83" s="588" t="b">
        <f>IF(OR(BJ83='A-55 TrackInv'!$C$13,BJ83='A-55 TrackInv'!$C$44,BJ83='A-55 TrackInv'!$C$75,BJ83='A-55 TrackInv'!$C$106,BJ83='A-55 TrackInv'!$C$137,BJ83='A-55 TrackInv'!$C$168,BJ83='A-55 TrackInv'!$C$199,BJ83='A-55 TrackInv'!$C$230,BJ83='A-55 TrackInv'!$C$261,BJ83='A-55 TrackInv'!$C$292),TRUE,FALSE)</f>
        <v>0</v>
      </c>
      <c r="BU83" s="1489"/>
      <c r="BV83" s="1212"/>
      <c r="BW83" s="1004"/>
      <c r="BX83" s="999"/>
      <c r="BY83" s="999"/>
      <c r="BZ83" s="999"/>
      <c r="CA83" s="999"/>
      <c r="CB83" s="999"/>
      <c r="CC83" s="1165"/>
      <c r="CF83" s="1036"/>
      <c r="CG83" s="1004"/>
      <c r="CH83" s="1004"/>
      <c r="CI83" s="1004"/>
      <c r="CJ83" s="1004"/>
      <c r="CK83" s="1044"/>
      <c r="CL83" s="1163"/>
      <c r="CM83" s="1163"/>
      <c r="CN83" s="647"/>
      <c r="CO83" s="647"/>
      <c r="CP83" s="1163"/>
      <c r="CQ83" s="639"/>
      <c r="CR83" s="647"/>
      <c r="CS83" s="1171"/>
      <c r="CT83" s="1001"/>
      <c r="CU83" s="647"/>
      <c r="CV83" s="1001"/>
      <c r="CW83" s="647"/>
      <c r="CX83" s="1009"/>
      <c r="CY83" s="1009"/>
      <c r="CZ83" s="1163"/>
      <c r="DA83" s="1004"/>
      <c r="DB83" s="1004"/>
      <c r="DC83" s="1004"/>
      <c r="DD83" s="1004"/>
      <c r="DE83" s="1004"/>
      <c r="DF83" s="639"/>
      <c r="DG83" s="1019"/>
    </row>
    <row r="84" spans="1:111" s="588" customFormat="1" x14ac:dyDescent="0.2">
      <c r="A84" s="589">
        <f t="shared" si="4"/>
        <v>75</v>
      </c>
      <c r="B84" s="644"/>
      <c r="C84" s="1420"/>
      <c r="D84" s="639"/>
      <c r="E84" s="639"/>
      <c r="F84" s="639"/>
      <c r="G84" s="1013"/>
      <c r="H84" s="639"/>
      <c r="I84" s="639"/>
      <c r="J84" s="643"/>
      <c r="K84" s="1004"/>
      <c r="L84" s="999"/>
      <c r="M84" s="1001"/>
      <c r="N84" s="643"/>
      <c r="O84" s="640"/>
      <c r="Q84" s="589"/>
      <c r="R84" s="644"/>
      <c r="S84" s="1420"/>
      <c r="T84" s="639"/>
      <c r="U84" s="639"/>
      <c r="V84" s="639"/>
      <c r="W84" s="1013"/>
      <c r="X84" s="647"/>
      <c r="Y84" s="647"/>
      <c r="Z84" s="639"/>
      <c r="AA84" s="639"/>
      <c r="AB84" s="643"/>
      <c r="AC84" s="1004"/>
      <c r="AD84" s="1163"/>
      <c r="AE84" s="999"/>
      <c r="AF84" s="1001"/>
      <c r="AG84" s="643"/>
      <c r="AH84" s="1165"/>
      <c r="AI84" s="589"/>
      <c r="AJ84" s="375"/>
      <c r="AK84" s="1041" t="str">
        <f>Codes!$C$161</f>
        <v>CR - Commuter Rail (DO)</v>
      </c>
      <c r="AL84" s="1042" t="str">
        <f>Valid!$B$75</f>
        <v>Elevated/Steel Viaduct or Bridge</v>
      </c>
      <c r="AM84" s="1004"/>
      <c r="AN84" s="1401" t="str">
        <f>Valid!$C$75</f>
        <v>Linear Feet</v>
      </c>
      <c r="AO84" s="1441"/>
      <c r="AP84" s="1401" t="s">
        <v>1149</v>
      </c>
      <c r="AQ84" s="1033"/>
      <c r="AR84" s="1307"/>
      <c r="AS84" s="997"/>
      <c r="AT84" s="997"/>
      <c r="AU84" s="997"/>
      <c r="AV84" s="997"/>
      <c r="AW84" s="997"/>
      <c r="AX84" s="997"/>
      <c r="AY84" s="997"/>
      <c r="AZ84" s="997"/>
      <c r="BA84" s="997"/>
      <c r="BB84" s="997"/>
      <c r="BC84" s="1409">
        <f t="shared" si="5"/>
        <v>0</v>
      </c>
      <c r="BD84" s="999"/>
      <c r="BE84" s="640"/>
      <c r="BG84" s="588" t="b">
        <f>IF(OR(AK84='A-50 FGRailInv'!$C$13,AK84='A-50 FGRailInv'!$C$69,AK84='A-50 FGRailInv'!$C$124,AK84='A-50 FGRailInv'!$C$179,AK84='A-50 FGRailInv'!$C$234,AK84='A-50 FGRailInv'!$C$290,AK84='A-50 FGRailInv'!$C$346,AK84='A-50 FGRailInv'!$C$402,AK84='A-50 FGRailInv'!$C$458,AK84='A-50 FGRailInv'!$C$514),TRUE,FALSE)</f>
        <v>0</v>
      </c>
      <c r="BJ84" s="1041" t="str">
        <f>Codes!$C$166</f>
        <v>LR - Light Rail (PT)</v>
      </c>
      <c r="BK84" s="1042" t="str">
        <f>Valid!$B$84</f>
        <v>Half Grand Union</v>
      </c>
      <c r="BL84" s="1382"/>
      <c r="BM84" s="1042" t="str">
        <f>VLOOKUP(BK84,Valid!$B$80:$C$86,2,FALSE)</f>
        <v>Each</v>
      </c>
      <c r="BN84" s="1383"/>
      <c r="BO84" s="1194"/>
      <c r="BP84" s="1195"/>
      <c r="BR84" s="588" t="b">
        <f>IF(OR(BJ84='A-55 TrackInv'!$C$13,BJ84='A-55 TrackInv'!$C$44,BJ84='A-55 TrackInv'!$C$75,BJ84='A-55 TrackInv'!$C$106,BJ84='A-55 TrackInv'!$C$137,BJ84='A-55 TrackInv'!$C$168,BJ84='A-55 TrackInv'!$C$199,BJ84='A-55 TrackInv'!$C$230,BJ84='A-55 TrackInv'!$C$261,BJ84='A-55 TrackInv'!$C$292),TRUE,FALSE)</f>
        <v>0</v>
      </c>
      <c r="BU84" s="1489"/>
      <c r="BV84" s="1212"/>
      <c r="BW84" s="1004"/>
      <c r="BX84" s="999"/>
      <c r="BY84" s="999"/>
      <c r="BZ84" s="999"/>
      <c r="CA84" s="999"/>
      <c r="CB84" s="999"/>
      <c r="CC84" s="1165"/>
      <c r="CF84" s="1036"/>
      <c r="CG84" s="1004"/>
      <c r="CH84" s="1004"/>
      <c r="CI84" s="1004"/>
      <c r="CJ84" s="1004"/>
      <c r="CK84" s="1044"/>
      <c r="CL84" s="1163"/>
      <c r="CM84" s="1163"/>
      <c r="CN84" s="647"/>
      <c r="CO84" s="647"/>
      <c r="CP84" s="1163"/>
      <c r="CQ84" s="639"/>
      <c r="CR84" s="647"/>
      <c r="CS84" s="1171"/>
      <c r="CT84" s="1001"/>
      <c r="CU84" s="647"/>
      <c r="CV84" s="1001"/>
      <c r="CW84" s="647"/>
      <c r="CX84" s="1009"/>
      <c r="CY84" s="1009"/>
      <c r="CZ84" s="1163"/>
      <c r="DA84" s="1004"/>
      <c r="DB84" s="1004"/>
      <c r="DC84" s="1004"/>
      <c r="DD84" s="1004"/>
      <c r="DE84" s="1004"/>
      <c r="DF84" s="639"/>
      <c r="DG84" s="1019"/>
    </row>
    <row r="85" spans="1:111" s="588" customFormat="1" x14ac:dyDescent="0.2">
      <c r="A85" s="589">
        <f t="shared" si="4"/>
        <v>76</v>
      </c>
      <c r="B85" s="644"/>
      <c r="C85" s="1420"/>
      <c r="D85" s="639"/>
      <c r="E85" s="639"/>
      <c r="F85" s="639"/>
      <c r="G85" s="1013"/>
      <c r="H85" s="639"/>
      <c r="I85" s="639"/>
      <c r="J85" s="643"/>
      <c r="K85" s="1004"/>
      <c r="L85" s="999"/>
      <c r="M85" s="1001"/>
      <c r="N85" s="643"/>
      <c r="O85" s="640"/>
      <c r="Q85" s="589"/>
      <c r="R85" s="644"/>
      <c r="S85" s="1420"/>
      <c r="T85" s="639"/>
      <c r="U85" s="639"/>
      <c r="V85" s="639"/>
      <c r="W85" s="1013"/>
      <c r="X85" s="647"/>
      <c r="Y85" s="647"/>
      <c r="Z85" s="639"/>
      <c r="AA85" s="639"/>
      <c r="AB85" s="643"/>
      <c r="AC85" s="1004"/>
      <c r="AD85" s="1163"/>
      <c r="AE85" s="999"/>
      <c r="AF85" s="1001"/>
      <c r="AG85" s="643"/>
      <c r="AH85" s="1165"/>
      <c r="AI85" s="589"/>
      <c r="AJ85" s="375"/>
      <c r="AK85" s="1041" t="str">
        <f>Codes!$C$161</f>
        <v>CR - Commuter Rail (DO)</v>
      </c>
      <c r="AL85" s="1042" t="str">
        <f>Valid!$B$76</f>
        <v>Below-Grade/Retained Cut</v>
      </c>
      <c r="AM85" s="1004"/>
      <c r="AN85" s="1401" t="str">
        <f>Valid!$C$76</f>
        <v>Linear Feet</v>
      </c>
      <c r="AO85" s="1441"/>
      <c r="AP85" s="1401" t="s">
        <v>1149</v>
      </c>
      <c r="AQ85" s="1033"/>
      <c r="AR85" s="1307"/>
      <c r="AS85" s="997"/>
      <c r="AT85" s="997"/>
      <c r="AU85" s="997"/>
      <c r="AV85" s="997"/>
      <c r="AW85" s="997"/>
      <c r="AX85" s="997"/>
      <c r="AY85" s="997"/>
      <c r="AZ85" s="997"/>
      <c r="BA85" s="997"/>
      <c r="BB85" s="997"/>
      <c r="BC85" s="1409">
        <f t="shared" si="5"/>
        <v>0</v>
      </c>
      <c r="BD85" s="999"/>
      <c r="BE85" s="640"/>
      <c r="BG85" s="588" t="b">
        <f>IF(OR(AK85='A-50 FGRailInv'!$C$13,AK85='A-50 FGRailInv'!$C$69,AK85='A-50 FGRailInv'!$C$124,AK85='A-50 FGRailInv'!$C$179,AK85='A-50 FGRailInv'!$C$234,AK85='A-50 FGRailInv'!$C$290,AK85='A-50 FGRailInv'!$C$346,AK85='A-50 FGRailInv'!$C$402,AK85='A-50 FGRailInv'!$C$458,AK85='A-50 FGRailInv'!$C$514),TRUE,FALSE)</f>
        <v>0</v>
      </c>
      <c r="BJ85" s="1041" t="str">
        <f>Codes!$C$166</f>
        <v>LR - Light Rail (PT)</v>
      </c>
      <c r="BK85" s="1042" t="str">
        <f>Valid!$B$85</f>
        <v>Single Turnout</v>
      </c>
      <c r="BL85" s="1382"/>
      <c r="BM85" s="1042" t="str">
        <f>VLOOKUP(BK85,Valid!$B$80:$C$86,2,FALSE)</f>
        <v>Each</v>
      </c>
      <c r="BN85" s="1383"/>
      <c r="BO85" s="1194"/>
      <c r="BP85" s="1195"/>
      <c r="BR85" s="588" t="b">
        <f>IF(OR(BJ85='A-55 TrackInv'!$C$13,BJ85='A-55 TrackInv'!$C$44,BJ85='A-55 TrackInv'!$C$75,BJ85='A-55 TrackInv'!$C$106,BJ85='A-55 TrackInv'!$C$137,BJ85='A-55 TrackInv'!$C$168,BJ85='A-55 TrackInv'!$C$199,BJ85='A-55 TrackInv'!$C$230,BJ85='A-55 TrackInv'!$C$261,BJ85='A-55 TrackInv'!$C$292),TRUE,FALSE)</f>
        <v>0</v>
      </c>
      <c r="BU85" s="1489"/>
      <c r="BV85" s="1212"/>
      <c r="BW85" s="1004"/>
      <c r="BX85" s="999"/>
      <c r="BY85" s="999"/>
      <c r="BZ85" s="999"/>
      <c r="CA85" s="999"/>
      <c r="CB85" s="999"/>
      <c r="CC85" s="1165"/>
      <c r="CF85" s="1036"/>
      <c r="CG85" s="1004"/>
      <c r="CH85" s="1004"/>
      <c r="CI85" s="1004"/>
      <c r="CJ85" s="1004"/>
      <c r="CK85" s="1044"/>
      <c r="CL85" s="1163"/>
      <c r="CM85" s="1163"/>
      <c r="CN85" s="647"/>
      <c r="CO85" s="647"/>
      <c r="CP85" s="1163"/>
      <c r="CQ85" s="639"/>
      <c r="CR85" s="647"/>
      <c r="CS85" s="1171"/>
      <c r="CT85" s="1001"/>
      <c r="CU85" s="647"/>
      <c r="CV85" s="1001"/>
      <c r="CW85" s="647"/>
      <c r="CX85" s="1009"/>
      <c r="CY85" s="1009"/>
      <c r="CZ85" s="1163"/>
      <c r="DA85" s="1004"/>
      <c r="DB85" s="1004"/>
      <c r="DC85" s="1004"/>
      <c r="DD85" s="1004"/>
      <c r="DE85" s="1004"/>
      <c r="DF85" s="639"/>
      <c r="DG85" s="1019"/>
    </row>
    <row r="86" spans="1:111" s="588" customFormat="1" ht="13.5" thickBot="1" x14ac:dyDescent="0.25">
      <c r="A86" s="589">
        <f t="shared" si="4"/>
        <v>77</v>
      </c>
      <c r="B86" s="644"/>
      <c r="C86" s="1420"/>
      <c r="D86" s="639"/>
      <c r="E86" s="639"/>
      <c r="F86" s="639"/>
      <c r="G86" s="1013"/>
      <c r="H86" s="639"/>
      <c r="I86" s="639"/>
      <c r="J86" s="643"/>
      <c r="K86" s="1004"/>
      <c r="L86" s="999"/>
      <c r="M86" s="1001"/>
      <c r="N86" s="643"/>
      <c r="O86" s="640"/>
      <c r="Q86" s="589"/>
      <c r="R86" s="644"/>
      <c r="S86" s="1420"/>
      <c r="T86" s="639"/>
      <c r="U86" s="639"/>
      <c r="V86" s="639"/>
      <c r="W86" s="1013"/>
      <c r="X86" s="647"/>
      <c r="Y86" s="647"/>
      <c r="Z86" s="639"/>
      <c r="AA86" s="639"/>
      <c r="AB86" s="643"/>
      <c r="AC86" s="1004"/>
      <c r="AD86" s="1163"/>
      <c r="AE86" s="999"/>
      <c r="AF86" s="1001"/>
      <c r="AG86" s="643"/>
      <c r="AH86" s="1165"/>
      <c r="AI86" s="589"/>
      <c r="AJ86" s="375"/>
      <c r="AK86" s="1041" t="str">
        <f>Codes!$C$161</f>
        <v>CR - Commuter Rail (DO)</v>
      </c>
      <c r="AL86" s="1042" t="str">
        <f>Valid!$B$77</f>
        <v>Below-Grade/Cut-and-Cover Tunnel</v>
      </c>
      <c r="AM86" s="1004"/>
      <c r="AN86" s="1401" t="str">
        <f>Valid!$C$77</f>
        <v>Linear Feet</v>
      </c>
      <c r="AO86" s="1441"/>
      <c r="AP86" s="1401" t="s">
        <v>1149</v>
      </c>
      <c r="AQ86" s="1033"/>
      <c r="AR86" s="1307"/>
      <c r="AS86" s="997"/>
      <c r="AT86" s="997"/>
      <c r="AU86" s="997"/>
      <c r="AV86" s="997"/>
      <c r="AW86" s="997"/>
      <c r="AX86" s="997"/>
      <c r="AY86" s="997"/>
      <c r="AZ86" s="997"/>
      <c r="BA86" s="997"/>
      <c r="BB86" s="997"/>
      <c r="BC86" s="1409">
        <f t="shared" si="5"/>
        <v>0</v>
      </c>
      <c r="BD86" s="999"/>
      <c r="BE86" s="640"/>
      <c r="BG86" s="588" t="b">
        <f>IF(OR(AK86='A-50 FGRailInv'!$C$13,AK86='A-50 FGRailInv'!$C$69,AK86='A-50 FGRailInv'!$C$124,AK86='A-50 FGRailInv'!$C$179,AK86='A-50 FGRailInv'!$C$234,AK86='A-50 FGRailInv'!$C$290,AK86='A-50 FGRailInv'!$C$346,AK86='A-50 FGRailInv'!$C$402,AK86='A-50 FGRailInv'!$C$458,AK86='A-50 FGRailInv'!$C$514),TRUE,FALSE)</f>
        <v>0</v>
      </c>
      <c r="BJ86" s="1047" t="str">
        <f>Codes!$C$166</f>
        <v>LR - Light Rail (PT)</v>
      </c>
      <c r="BK86" s="1050" t="str">
        <f>Valid!$B$86</f>
        <v>Grade Crossings</v>
      </c>
      <c r="BL86" s="1331"/>
      <c r="BM86" s="1050" t="str">
        <f>VLOOKUP(BK86,Valid!$B$80:$C$86,2,FALSE)</f>
        <v>Each</v>
      </c>
      <c r="BN86" s="1341"/>
      <c r="BO86" s="1197"/>
      <c r="BP86" s="1198"/>
      <c r="BR86" s="588" t="b">
        <f>IF(OR(BJ86='A-55 TrackInv'!$C$13,BJ86='A-55 TrackInv'!$C$44,BJ86='A-55 TrackInv'!$C$75,BJ86='A-55 TrackInv'!$C$106,BJ86='A-55 TrackInv'!$C$137,BJ86='A-55 TrackInv'!$C$168,BJ86='A-55 TrackInv'!$C$199,BJ86='A-55 TrackInv'!$C$230,BJ86='A-55 TrackInv'!$C$261,BJ86='A-55 TrackInv'!$C$292),TRUE,FALSE)</f>
        <v>0</v>
      </c>
      <c r="BU86" s="1489"/>
      <c r="BV86" s="1212"/>
      <c r="BW86" s="1004"/>
      <c r="BX86" s="999"/>
      <c r="BY86" s="999"/>
      <c r="BZ86" s="999"/>
      <c r="CA86" s="999"/>
      <c r="CB86" s="999"/>
      <c r="CC86" s="1165"/>
      <c r="CF86" s="1036"/>
      <c r="CG86" s="1004"/>
      <c r="CH86" s="1004"/>
      <c r="CI86" s="1004"/>
      <c r="CJ86" s="1004"/>
      <c r="CK86" s="1044"/>
      <c r="CL86" s="1163"/>
      <c r="CM86" s="1163"/>
      <c r="CN86" s="647"/>
      <c r="CO86" s="647"/>
      <c r="CP86" s="1163"/>
      <c r="CQ86" s="639"/>
      <c r="CR86" s="647"/>
      <c r="CS86" s="1171"/>
      <c r="CT86" s="1001"/>
      <c r="CU86" s="647"/>
      <c r="CV86" s="1001"/>
      <c r="CW86" s="647"/>
      <c r="CX86" s="1009"/>
      <c r="CY86" s="1009"/>
      <c r="CZ86" s="1163"/>
      <c r="DA86" s="1004"/>
      <c r="DB86" s="1004"/>
      <c r="DC86" s="1004"/>
      <c r="DD86" s="1004"/>
      <c r="DE86" s="1004"/>
      <c r="DF86" s="639"/>
      <c r="DG86" s="1019"/>
    </row>
    <row r="87" spans="1:111" s="588" customFormat="1" x14ac:dyDescent="0.2">
      <c r="A87" s="589">
        <f t="shared" si="4"/>
        <v>78</v>
      </c>
      <c r="B87" s="644"/>
      <c r="C87" s="1420"/>
      <c r="D87" s="639"/>
      <c r="E87" s="639"/>
      <c r="F87" s="639"/>
      <c r="G87" s="1013"/>
      <c r="H87" s="639"/>
      <c r="I87" s="639"/>
      <c r="J87" s="643"/>
      <c r="K87" s="1004"/>
      <c r="L87" s="999"/>
      <c r="M87" s="1001"/>
      <c r="N87" s="643"/>
      <c r="O87" s="640"/>
      <c r="Q87" s="589"/>
      <c r="R87" s="644"/>
      <c r="S87" s="1420"/>
      <c r="T87" s="639"/>
      <c r="U87" s="639"/>
      <c r="V87" s="639"/>
      <c r="W87" s="1013"/>
      <c r="X87" s="647"/>
      <c r="Y87" s="647"/>
      <c r="Z87" s="639"/>
      <c r="AA87" s="639"/>
      <c r="AB87" s="643"/>
      <c r="AC87" s="1004"/>
      <c r="AD87" s="1163"/>
      <c r="AE87" s="999"/>
      <c r="AF87" s="1001"/>
      <c r="AG87" s="643"/>
      <c r="AH87" s="1165"/>
      <c r="AI87" s="589"/>
      <c r="AJ87" s="375"/>
      <c r="AK87" s="1041" t="str">
        <f>Codes!$C$161</f>
        <v>CR - Commuter Rail (DO)</v>
      </c>
      <c r="AL87" s="1042" t="str">
        <f>Valid!$B$78</f>
        <v>Below-Grade/Bored or Blasted Tunnel</v>
      </c>
      <c r="AM87" s="1004"/>
      <c r="AN87" s="1401" t="str">
        <f>Valid!$C$78</f>
        <v>Linear Feet</v>
      </c>
      <c r="AO87" s="1441"/>
      <c r="AP87" s="1401" t="s">
        <v>1149</v>
      </c>
      <c r="AQ87" s="1033"/>
      <c r="AR87" s="1307"/>
      <c r="AS87" s="997"/>
      <c r="AT87" s="997"/>
      <c r="AU87" s="997"/>
      <c r="AV87" s="997"/>
      <c r="AW87" s="997"/>
      <c r="AX87" s="997"/>
      <c r="AY87" s="997"/>
      <c r="AZ87" s="997"/>
      <c r="BA87" s="997"/>
      <c r="BB87" s="997"/>
      <c r="BC87" s="1409">
        <f t="shared" si="5"/>
        <v>0</v>
      </c>
      <c r="BD87" s="999"/>
      <c r="BE87" s="640"/>
      <c r="BG87" s="588" t="b">
        <f>IF(OR(AK87='A-50 FGRailInv'!$C$13,AK87='A-50 FGRailInv'!$C$69,AK87='A-50 FGRailInv'!$C$124,AK87='A-50 FGRailInv'!$C$179,AK87='A-50 FGRailInv'!$C$234,AK87='A-50 FGRailInv'!$C$290,AK87='A-50 FGRailInv'!$C$346,AK87='A-50 FGRailInv'!$C$402,AK87='A-50 FGRailInv'!$C$458,AK87='A-50 FGRailInv'!$C$514),TRUE,FALSE)</f>
        <v>0</v>
      </c>
      <c r="BJ87" s="1043" t="str">
        <f>Codes!$C$167</f>
        <v>MG - Monorail/Automated Guideway (DO)</v>
      </c>
      <c r="BK87" s="1303" t="str">
        <f>Valid!$B$80</f>
        <v>Tangent</v>
      </c>
      <c r="BL87" s="1328"/>
      <c r="BM87" s="1303" t="str">
        <f>VLOOKUP(BK87,Valid!$B$80:$C$86,2,FALSE)</f>
        <v>Track Feet</v>
      </c>
      <c r="BN87" s="1332"/>
      <c r="BO87" s="1333"/>
      <c r="BP87" s="1334"/>
      <c r="BR87" s="588" t="b">
        <f>IF(OR(BJ87='A-55 TrackInv'!$C$13,BJ87='A-55 TrackInv'!$C$44,BJ87='A-55 TrackInv'!$C$75,BJ87='A-55 TrackInv'!$C$106,BJ87='A-55 TrackInv'!$C$137,BJ87='A-55 TrackInv'!$C$168,BJ87='A-55 TrackInv'!$C$199,BJ87='A-55 TrackInv'!$C$230,BJ87='A-55 TrackInv'!$C$261,BJ87='A-55 TrackInv'!$C$292),TRUE,FALSE)</f>
        <v>0</v>
      </c>
      <c r="BU87" s="1489"/>
      <c r="BV87" s="1212"/>
      <c r="BW87" s="1004"/>
      <c r="BX87" s="999"/>
      <c r="BY87" s="999"/>
      <c r="BZ87" s="999"/>
      <c r="CA87" s="999"/>
      <c r="CB87" s="999"/>
      <c r="CC87" s="1165"/>
      <c r="CF87" s="1036"/>
      <c r="CG87" s="1004"/>
      <c r="CH87" s="1004"/>
      <c r="CI87" s="1004"/>
      <c r="CJ87" s="1004"/>
      <c r="CK87" s="1044"/>
      <c r="CL87" s="1163"/>
      <c r="CM87" s="1163"/>
      <c r="CN87" s="647"/>
      <c r="CO87" s="647"/>
      <c r="CP87" s="1163"/>
      <c r="CQ87" s="639"/>
      <c r="CR87" s="647"/>
      <c r="CS87" s="1171"/>
      <c r="CT87" s="1001"/>
      <c r="CU87" s="647"/>
      <c r="CV87" s="1001"/>
      <c r="CW87" s="647"/>
      <c r="CX87" s="1009"/>
      <c r="CY87" s="1009"/>
      <c r="CZ87" s="1163"/>
      <c r="DA87" s="1004"/>
      <c r="DB87" s="1004"/>
      <c r="DC87" s="1004"/>
      <c r="DD87" s="1004"/>
      <c r="DE87" s="1004"/>
      <c r="DF87" s="639"/>
      <c r="DG87" s="1019"/>
    </row>
    <row r="88" spans="1:111" s="588" customFormat="1" ht="13.5" thickBot="1" x14ac:dyDescent="0.25">
      <c r="A88" s="589">
        <f t="shared" si="4"/>
        <v>79</v>
      </c>
      <c r="B88" s="644"/>
      <c r="C88" s="1420"/>
      <c r="D88" s="639"/>
      <c r="E88" s="639"/>
      <c r="F88" s="639"/>
      <c r="G88" s="1013"/>
      <c r="H88" s="639"/>
      <c r="I88" s="639"/>
      <c r="J88" s="643"/>
      <c r="K88" s="1004"/>
      <c r="L88" s="999"/>
      <c r="M88" s="1001"/>
      <c r="N88" s="643"/>
      <c r="O88" s="640"/>
      <c r="Q88" s="589"/>
      <c r="R88" s="644"/>
      <c r="S88" s="1420"/>
      <c r="T88" s="639"/>
      <c r="U88" s="639"/>
      <c r="V88" s="639"/>
      <c r="W88" s="1013"/>
      <c r="X88" s="647"/>
      <c r="Y88" s="647"/>
      <c r="Z88" s="639"/>
      <c r="AA88" s="639"/>
      <c r="AB88" s="643"/>
      <c r="AC88" s="1004"/>
      <c r="AD88" s="1163"/>
      <c r="AE88" s="999"/>
      <c r="AF88" s="1001"/>
      <c r="AG88" s="643"/>
      <c r="AH88" s="1165"/>
      <c r="AI88" s="589"/>
      <c r="AJ88" s="375"/>
      <c r="AK88" s="1048" t="str">
        <f>Codes!$C$161</f>
        <v>CR - Commuter Rail (DO)</v>
      </c>
      <c r="AL88" s="1049" t="str">
        <f>Valid!$B$79</f>
        <v>Below-Grade/Submerged Tube</v>
      </c>
      <c r="AM88" s="1363"/>
      <c r="AN88" s="1402" t="str">
        <f>Valid!$C$79</f>
        <v>Linear Feet</v>
      </c>
      <c r="AO88" s="1442"/>
      <c r="AP88" s="1402" t="s">
        <v>1149</v>
      </c>
      <c r="AQ88" s="1034"/>
      <c r="AR88" s="1308"/>
      <c r="AS88" s="1016"/>
      <c r="AT88" s="1016"/>
      <c r="AU88" s="1016"/>
      <c r="AV88" s="1016"/>
      <c r="AW88" s="1016"/>
      <c r="AX88" s="1016"/>
      <c r="AY88" s="1016"/>
      <c r="AZ88" s="1016"/>
      <c r="BA88" s="1016"/>
      <c r="BB88" s="1016"/>
      <c r="BC88" s="1410">
        <f t="shared" si="5"/>
        <v>0</v>
      </c>
      <c r="BD88" s="1017"/>
      <c r="BE88" s="963"/>
      <c r="BG88" s="588" t="b">
        <f>IF(OR(AK88='A-50 FGRailInv'!$C$13,AK88='A-50 FGRailInv'!$C$69,AK88='A-50 FGRailInv'!$C$124,AK88='A-50 FGRailInv'!$C$179,AK88='A-50 FGRailInv'!$C$234,AK88='A-50 FGRailInv'!$C$290,AK88='A-50 FGRailInv'!$C$346,AK88='A-50 FGRailInv'!$C$402,AK88='A-50 FGRailInv'!$C$458,AK88='A-50 FGRailInv'!$C$514),TRUE,FALSE)</f>
        <v>0</v>
      </c>
      <c r="BJ88" s="1048" t="str">
        <f>Codes!$C$167</f>
        <v>MG - Monorail/Automated Guideway (DO)</v>
      </c>
      <c r="BK88" s="1049" t="str">
        <f>Valid!$B$81</f>
        <v>Curve</v>
      </c>
      <c r="BL88" s="1329"/>
      <c r="BM88" s="1049" t="str">
        <f>VLOOKUP(BK88,Valid!$B$80:$C$86,2,FALSE)</f>
        <v>Track Feet</v>
      </c>
      <c r="BN88" s="1335"/>
      <c r="BO88" s="1336"/>
      <c r="BP88" s="1337"/>
      <c r="BR88" s="588" t="b">
        <f>IF(OR(BJ88='A-55 TrackInv'!$C$13,BJ88='A-55 TrackInv'!$C$44,BJ88='A-55 TrackInv'!$C$75,BJ88='A-55 TrackInv'!$C$106,BJ88='A-55 TrackInv'!$C$137,BJ88='A-55 TrackInv'!$C$168,BJ88='A-55 TrackInv'!$C$199,BJ88='A-55 TrackInv'!$C$230,BJ88='A-55 TrackInv'!$C$261,BJ88='A-55 TrackInv'!$C$292),TRUE,FALSE)</f>
        <v>0</v>
      </c>
      <c r="BU88" s="1489"/>
      <c r="BV88" s="1212"/>
      <c r="BW88" s="1004"/>
      <c r="BX88" s="999"/>
      <c r="BY88" s="999"/>
      <c r="BZ88" s="999"/>
      <c r="CA88" s="999"/>
      <c r="CB88" s="999"/>
      <c r="CC88" s="1165"/>
      <c r="CF88" s="1036"/>
      <c r="CG88" s="1004"/>
      <c r="CH88" s="1004"/>
      <c r="CI88" s="1004"/>
      <c r="CJ88" s="1004"/>
      <c r="CK88" s="1044"/>
      <c r="CL88" s="1163"/>
      <c r="CM88" s="1163"/>
      <c r="CN88" s="647"/>
      <c r="CO88" s="647"/>
      <c r="CP88" s="1163"/>
      <c r="CQ88" s="639"/>
      <c r="CR88" s="647"/>
      <c r="CS88" s="1171"/>
      <c r="CT88" s="1001"/>
      <c r="CU88" s="647"/>
      <c r="CV88" s="1001"/>
      <c r="CW88" s="647"/>
      <c r="CX88" s="1009"/>
      <c r="CY88" s="1009"/>
      <c r="CZ88" s="1163"/>
      <c r="DA88" s="1004"/>
      <c r="DB88" s="1004"/>
      <c r="DC88" s="1004"/>
      <c r="DD88" s="1004"/>
      <c r="DE88" s="1004"/>
      <c r="DF88" s="639"/>
      <c r="DG88" s="1019"/>
    </row>
    <row r="89" spans="1:111" s="588" customFormat="1" ht="13.5" thickTop="1" x14ac:dyDescent="0.2">
      <c r="A89" s="589">
        <f t="shared" si="4"/>
        <v>80</v>
      </c>
      <c r="B89" s="644"/>
      <c r="C89" s="1420"/>
      <c r="D89" s="639"/>
      <c r="E89" s="639"/>
      <c r="F89" s="639"/>
      <c r="G89" s="1013"/>
      <c r="H89" s="639"/>
      <c r="I89" s="639"/>
      <c r="J89" s="643"/>
      <c r="K89" s="1004"/>
      <c r="L89" s="999"/>
      <c r="M89" s="1001"/>
      <c r="N89" s="643"/>
      <c r="O89" s="640"/>
      <c r="Q89" s="589"/>
      <c r="R89" s="644"/>
      <c r="S89" s="1420"/>
      <c r="T89" s="639"/>
      <c r="U89" s="639"/>
      <c r="V89" s="639"/>
      <c r="W89" s="1013"/>
      <c r="X89" s="647"/>
      <c r="Y89" s="647"/>
      <c r="Z89" s="639"/>
      <c r="AA89" s="639"/>
      <c r="AB89" s="643"/>
      <c r="AC89" s="1004"/>
      <c r="AD89" s="1163"/>
      <c r="AE89" s="999"/>
      <c r="AF89" s="1001"/>
      <c r="AG89" s="643"/>
      <c r="AH89" s="1165"/>
      <c r="AI89" s="589"/>
      <c r="AJ89" s="375"/>
      <c r="AK89" s="1181" t="str">
        <f>Codes!$C$161</f>
        <v>CR - Commuter Rail (DO)</v>
      </c>
      <c r="AL89" s="1182" t="str">
        <f>Valid!$B$87</f>
        <v>Substation Building</v>
      </c>
      <c r="AM89" s="1378"/>
      <c r="AN89" s="1403" t="str">
        <f>Valid!$C$87</f>
        <v>Each</v>
      </c>
      <c r="AO89" s="1443"/>
      <c r="AP89" s="1403"/>
      <c r="AQ89" s="1191"/>
      <c r="AR89" s="1309"/>
      <c r="AS89" s="1191"/>
      <c r="AT89" s="1191"/>
      <c r="AU89" s="1191"/>
      <c r="AV89" s="1191"/>
      <c r="AW89" s="1191"/>
      <c r="AX89" s="1191"/>
      <c r="AY89" s="1191"/>
      <c r="AZ89" s="1191"/>
      <c r="BA89" s="1191"/>
      <c r="BB89" s="1191"/>
      <c r="BC89" s="1411">
        <f t="shared" si="5"/>
        <v>0</v>
      </c>
      <c r="BD89" s="1191"/>
      <c r="BE89" s="1192"/>
      <c r="BG89" s="588" t="b">
        <f>IF(OR(AK89='A-50 FGRailInv'!$C$13,AK89='A-50 FGRailInv'!$C$69,AK89='A-50 FGRailInv'!$C$124,AK89='A-50 FGRailInv'!$C$179,AK89='A-50 FGRailInv'!$C$234,AK89='A-50 FGRailInv'!$C$290,AK89='A-50 FGRailInv'!$C$346,AK89='A-50 FGRailInv'!$C$402,AK89='A-50 FGRailInv'!$C$458,AK89='A-50 FGRailInv'!$C$514),TRUE,FALSE)</f>
        <v>0</v>
      </c>
      <c r="BJ89" s="1045" t="str">
        <f>Codes!$C$167</f>
        <v>MG - Monorail/Automated Guideway (DO)</v>
      </c>
      <c r="BK89" s="1046" t="str">
        <f>Valid!$B$82</f>
        <v>Double Diamond Crossover</v>
      </c>
      <c r="BL89" s="1330"/>
      <c r="BM89" s="1046" t="str">
        <f>VLOOKUP(BK89,Valid!$B$80:$C$86,2,FALSE)</f>
        <v>Each</v>
      </c>
      <c r="BN89" s="1338"/>
      <c r="BO89" s="1339"/>
      <c r="BP89" s="1340"/>
      <c r="BR89" s="588" t="b">
        <f>IF(OR(BJ89='A-55 TrackInv'!$C$13,BJ89='A-55 TrackInv'!$C$44,BJ89='A-55 TrackInv'!$C$75,BJ89='A-55 TrackInv'!$C$106,BJ89='A-55 TrackInv'!$C$137,BJ89='A-55 TrackInv'!$C$168,BJ89='A-55 TrackInv'!$C$199,BJ89='A-55 TrackInv'!$C$230,BJ89='A-55 TrackInv'!$C$261,BJ89='A-55 TrackInv'!$C$292),TRUE,FALSE)</f>
        <v>0</v>
      </c>
      <c r="BU89" s="1489"/>
      <c r="BV89" s="1212"/>
      <c r="BW89" s="1004"/>
      <c r="BX89" s="999"/>
      <c r="BY89" s="999"/>
      <c r="BZ89" s="999"/>
      <c r="CA89" s="999"/>
      <c r="CB89" s="999"/>
      <c r="CC89" s="1165"/>
      <c r="CF89" s="1036"/>
      <c r="CG89" s="1004"/>
      <c r="CH89" s="1004"/>
      <c r="CI89" s="1004"/>
      <c r="CJ89" s="1004"/>
      <c r="CK89" s="1044"/>
      <c r="CL89" s="1163"/>
      <c r="CM89" s="1163"/>
      <c r="CN89" s="647"/>
      <c r="CO89" s="647"/>
      <c r="CP89" s="1163"/>
      <c r="CQ89" s="639"/>
      <c r="CR89" s="647"/>
      <c r="CS89" s="1171"/>
      <c r="CT89" s="1001"/>
      <c r="CU89" s="647"/>
      <c r="CV89" s="1001"/>
      <c r="CW89" s="647"/>
      <c r="CX89" s="1009"/>
      <c r="CY89" s="1009"/>
      <c r="CZ89" s="1163"/>
      <c r="DA89" s="1004"/>
      <c r="DB89" s="1004"/>
      <c r="DC89" s="1004"/>
      <c r="DD89" s="1004"/>
      <c r="DE89" s="1004"/>
      <c r="DF89" s="639"/>
      <c r="DG89" s="1019"/>
    </row>
    <row r="90" spans="1:111" s="588" customFormat="1" x14ac:dyDescent="0.2">
      <c r="A90" s="589">
        <f t="shared" si="4"/>
        <v>81</v>
      </c>
      <c r="B90" s="644"/>
      <c r="C90" s="1420"/>
      <c r="D90" s="639"/>
      <c r="E90" s="639"/>
      <c r="F90" s="639"/>
      <c r="G90" s="1013"/>
      <c r="H90" s="639"/>
      <c r="I90" s="639"/>
      <c r="J90" s="643"/>
      <c r="K90" s="1004"/>
      <c r="L90" s="999"/>
      <c r="M90" s="1001"/>
      <c r="N90" s="643"/>
      <c r="O90" s="640"/>
      <c r="Q90" s="589"/>
      <c r="R90" s="644"/>
      <c r="S90" s="1420"/>
      <c r="T90" s="639"/>
      <c r="U90" s="639"/>
      <c r="V90" s="639"/>
      <c r="W90" s="1013"/>
      <c r="X90" s="647"/>
      <c r="Y90" s="647"/>
      <c r="Z90" s="639"/>
      <c r="AA90" s="639"/>
      <c r="AB90" s="643"/>
      <c r="AC90" s="1004"/>
      <c r="AD90" s="1163"/>
      <c r="AE90" s="999"/>
      <c r="AF90" s="1001"/>
      <c r="AG90" s="643"/>
      <c r="AH90" s="1165"/>
      <c r="AI90" s="589"/>
      <c r="AJ90" s="375"/>
      <c r="AK90" s="1041" t="str">
        <f>Codes!$C$161</f>
        <v>CR - Commuter Rail (DO)</v>
      </c>
      <c r="AL90" s="1042" t="str">
        <f>Valid!$B$88</f>
        <v>Substation Equipment</v>
      </c>
      <c r="AM90" s="1209"/>
      <c r="AN90" s="1401"/>
      <c r="AO90" s="1444"/>
      <c r="AP90" s="1401"/>
      <c r="AQ90" s="1193"/>
      <c r="AR90" s="1310"/>
      <c r="AS90" s="1194"/>
      <c r="AT90" s="1194"/>
      <c r="AU90" s="1194"/>
      <c r="AV90" s="1194"/>
      <c r="AW90" s="1194"/>
      <c r="AX90" s="1194"/>
      <c r="AY90" s="1194"/>
      <c r="AZ90" s="1194"/>
      <c r="BA90" s="1194"/>
      <c r="BB90" s="1194"/>
      <c r="BC90" s="1412">
        <f t="shared" si="5"/>
        <v>0</v>
      </c>
      <c r="BD90" s="1193"/>
      <c r="BE90" s="1195"/>
      <c r="BG90" s="588" t="b">
        <f>IF(OR(AK90='A-50 FGRailInv'!$C$13,AK90='A-50 FGRailInv'!$C$69,AK90='A-50 FGRailInv'!$C$124,AK90='A-50 FGRailInv'!$C$179,AK90='A-50 FGRailInv'!$C$234,AK90='A-50 FGRailInv'!$C$290,AK90='A-50 FGRailInv'!$C$346,AK90='A-50 FGRailInv'!$C$402,AK90='A-50 FGRailInv'!$C$458,AK90='A-50 FGRailInv'!$C$514),TRUE,FALSE)</f>
        <v>0</v>
      </c>
      <c r="BJ90" s="1041" t="str">
        <f>Codes!$C$167</f>
        <v>MG - Monorail/Automated Guideway (DO)</v>
      </c>
      <c r="BK90" s="1042" t="str">
        <f>Valid!$B$83</f>
        <v>Single Crossover</v>
      </c>
      <c r="BL90" s="1382"/>
      <c r="BM90" s="1042" t="str">
        <f>VLOOKUP(BK90,Valid!$B$80:$C$86,2,FALSE)</f>
        <v>Each</v>
      </c>
      <c r="BN90" s="1383"/>
      <c r="BO90" s="1194"/>
      <c r="BP90" s="1195"/>
      <c r="BR90" s="588" t="b">
        <f>IF(OR(BJ90='A-55 TrackInv'!$C$13,BJ90='A-55 TrackInv'!$C$44,BJ90='A-55 TrackInv'!$C$75,BJ90='A-55 TrackInv'!$C$106,BJ90='A-55 TrackInv'!$C$137,BJ90='A-55 TrackInv'!$C$168,BJ90='A-55 TrackInv'!$C$199,BJ90='A-55 TrackInv'!$C$230,BJ90='A-55 TrackInv'!$C$261,BJ90='A-55 TrackInv'!$C$292),TRUE,FALSE)</f>
        <v>0</v>
      </c>
      <c r="BU90" s="1489"/>
      <c r="BV90" s="1212"/>
      <c r="BW90" s="1004"/>
      <c r="BX90" s="999"/>
      <c r="BY90" s="999"/>
      <c r="BZ90" s="999"/>
      <c r="CA90" s="999"/>
      <c r="CB90" s="999"/>
      <c r="CC90" s="1165"/>
      <c r="CF90" s="1036"/>
      <c r="CG90" s="1004"/>
      <c r="CH90" s="1004"/>
      <c r="CI90" s="1004"/>
      <c r="CJ90" s="1004"/>
      <c r="CK90" s="1044"/>
      <c r="CL90" s="1163"/>
      <c r="CM90" s="1163"/>
      <c r="CN90" s="647"/>
      <c r="CO90" s="647"/>
      <c r="CP90" s="1163"/>
      <c r="CQ90" s="639"/>
      <c r="CR90" s="647"/>
      <c r="CS90" s="1171"/>
      <c r="CT90" s="1001"/>
      <c r="CU90" s="647"/>
      <c r="CV90" s="1001"/>
      <c r="CW90" s="647"/>
      <c r="CX90" s="1009"/>
      <c r="CY90" s="1009"/>
      <c r="CZ90" s="1163"/>
      <c r="DA90" s="1004"/>
      <c r="DB90" s="1004"/>
      <c r="DC90" s="1004"/>
      <c r="DD90" s="1004"/>
      <c r="DE90" s="1004"/>
      <c r="DF90" s="639"/>
      <c r="DG90" s="1019"/>
    </row>
    <row r="91" spans="1:111" s="588" customFormat="1" x14ac:dyDescent="0.2">
      <c r="A91" s="589">
        <f t="shared" si="4"/>
        <v>82</v>
      </c>
      <c r="B91" s="644"/>
      <c r="C91" s="1420"/>
      <c r="D91" s="639"/>
      <c r="E91" s="639"/>
      <c r="F91" s="639"/>
      <c r="G91" s="1013"/>
      <c r="H91" s="639"/>
      <c r="I91" s="639"/>
      <c r="J91" s="643"/>
      <c r="K91" s="1004"/>
      <c r="L91" s="999"/>
      <c r="M91" s="1001"/>
      <c r="N91" s="643"/>
      <c r="O91" s="640"/>
      <c r="Q91" s="589"/>
      <c r="R91" s="644"/>
      <c r="S91" s="1420"/>
      <c r="T91" s="639"/>
      <c r="U91" s="639"/>
      <c r="V91" s="639"/>
      <c r="W91" s="1013"/>
      <c r="X91" s="647"/>
      <c r="Y91" s="647"/>
      <c r="Z91" s="639"/>
      <c r="AA91" s="639"/>
      <c r="AB91" s="643"/>
      <c r="AC91" s="1004"/>
      <c r="AD91" s="1163"/>
      <c r="AE91" s="999"/>
      <c r="AF91" s="1001"/>
      <c r="AG91" s="643"/>
      <c r="AH91" s="1165"/>
      <c r="AI91" s="589"/>
      <c r="AJ91" s="375"/>
      <c r="AK91" s="1041" t="str">
        <f>Codes!$C$161</f>
        <v>CR - Commuter Rail (DO)</v>
      </c>
      <c r="AL91" s="1042" t="str">
        <f>Valid!$B$89</f>
        <v>Third Rail/Power Distribution</v>
      </c>
      <c r="AM91" s="1209"/>
      <c r="AN91" s="1401"/>
      <c r="AO91" s="1444"/>
      <c r="AP91" s="1401"/>
      <c r="AQ91" s="1193"/>
      <c r="AR91" s="1310"/>
      <c r="AS91" s="1194"/>
      <c r="AT91" s="1194"/>
      <c r="AU91" s="1194"/>
      <c r="AV91" s="1194"/>
      <c r="AW91" s="1194"/>
      <c r="AX91" s="1194"/>
      <c r="AY91" s="1194"/>
      <c r="AZ91" s="1194"/>
      <c r="BA91" s="1194"/>
      <c r="BB91" s="1194"/>
      <c r="BC91" s="1412">
        <f t="shared" si="5"/>
        <v>0</v>
      </c>
      <c r="BD91" s="1193"/>
      <c r="BE91" s="1195"/>
      <c r="BG91" s="588" t="b">
        <f>IF(OR(AK91='A-50 FGRailInv'!$C$13,AK91='A-50 FGRailInv'!$C$69,AK91='A-50 FGRailInv'!$C$124,AK91='A-50 FGRailInv'!$C$179,AK91='A-50 FGRailInv'!$C$234,AK91='A-50 FGRailInv'!$C$290,AK91='A-50 FGRailInv'!$C$346,AK91='A-50 FGRailInv'!$C$402,AK91='A-50 FGRailInv'!$C$458,AK91='A-50 FGRailInv'!$C$514),TRUE,FALSE)</f>
        <v>0</v>
      </c>
      <c r="BJ91" s="1041" t="str">
        <f>Codes!$C$167</f>
        <v>MG - Monorail/Automated Guideway (DO)</v>
      </c>
      <c r="BK91" s="1042" t="str">
        <f>Valid!$B$84</f>
        <v>Half Grand Union</v>
      </c>
      <c r="BL91" s="1382"/>
      <c r="BM91" s="1042" t="str">
        <f>VLOOKUP(BK91,Valid!$B$80:$C$86,2,FALSE)</f>
        <v>Each</v>
      </c>
      <c r="BN91" s="1383"/>
      <c r="BO91" s="1194"/>
      <c r="BP91" s="1195"/>
      <c r="BR91" s="588" t="b">
        <f>IF(OR(BJ91='A-55 TrackInv'!$C$13,BJ91='A-55 TrackInv'!$C$44,BJ91='A-55 TrackInv'!$C$75,BJ91='A-55 TrackInv'!$C$106,BJ91='A-55 TrackInv'!$C$137,BJ91='A-55 TrackInv'!$C$168,BJ91='A-55 TrackInv'!$C$199,BJ91='A-55 TrackInv'!$C$230,BJ91='A-55 TrackInv'!$C$261,BJ91='A-55 TrackInv'!$C$292),TRUE,FALSE)</f>
        <v>0</v>
      </c>
      <c r="BU91" s="1489"/>
      <c r="BV91" s="1212"/>
      <c r="BW91" s="1004"/>
      <c r="BX91" s="999"/>
      <c r="BY91" s="999"/>
      <c r="BZ91" s="999"/>
      <c r="CA91" s="999"/>
      <c r="CB91" s="999"/>
      <c r="CC91" s="1165"/>
      <c r="CF91" s="1036"/>
      <c r="CG91" s="1004"/>
      <c r="CH91" s="1004"/>
      <c r="CI91" s="1004"/>
      <c r="CJ91" s="1004"/>
      <c r="CK91" s="1044"/>
      <c r="CL91" s="1163"/>
      <c r="CM91" s="1163"/>
      <c r="CN91" s="647"/>
      <c r="CO91" s="647"/>
      <c r="CP91" s="1163"/>
      <c r="CQ91" s="639"/>
      <c r="CR91" s="647"/>
      <c r="CS91" s="1171"/>
      <c r="CT91" s="1001"/>
      <c r="CU91" s="647"/>
      <c r="CV91" s="1001"/>
      <c r="CW91" s="647"/>
      <c r="CX91" s="1009"/>
      <c r="CY91" s="1009"/>
      <c r="CZ91" s="1163"/>
      <c r="DA91" s="1004"/>
      <c r="DB91" s="1004"/>
      <c r="DC91" s="1004"/>
      <c r="DD91" s="1004"/>
      <c r="DE91" s="1004"/>
      <c r="DF91" s="639"/>
      <c r="DG91" s="1019"/>
    </row>
    <row r="92" spans="1:111" s="588" customFormat="1" x14ac:dyDescent="0.2">
      <c r="A92" s="589">
        <f t="shared" si="4"/>
        <v>83</v>
      </c>
      <c r="B92" s="644"/>
      <c r="C92" s="1420"/>
      <c r="D92" s="639"/>
      <c r="E92" s="639"/>
      <c r="F92" s="639"/>
      <c r="G92" s="1013"/>
      <c r="H92" s="639"/>
      <c r="I92" s="639"/>
      <c r="J92" s="643"/>
      <c r="K92" s="1004"/>
      <c r="L92" s="999"/>
      <c r="M92" s="1001"/>
      <c r="N92" s="643"/>
      <c r="O92" s="640"/>
      <c r="Q92" s="589"/>
      <c r="R92" s="644"/>
      <c r="S92" s="1420"/>
      <c r="T92" s="639"/>
      <c r="U92" s="639"/>
      <c r="V92" s="639"/>
      <c r="W92" s="1013"/>
      <c r="X92" s="647"/>
      <c r="Y92" s="647"/>
      <c r="Z92" s="639"/>
      <c r="AA92" s="639"/>
      <c r="AB92" s="643"/>
      <c r="AC92" s="1004"/>
      <c r="AD92" s="1163"/>
      <c r="AE92" s="999"/>
      <c r="AF92" s="1001"/>
      <c r="AG92" s="643"/>
      <c r="AH92" s="1165"/>
      <c r="AI92" s="589"/>
      <c r="AJ92" s="375"/>
      <c r="AK92" s="1041" t="str">
        <f>Codes!$C$161</f>
        <v>CR - Commuter Rail (DO)</v>
      </c>
      <c r="AL92" s="1042" t="str">
        <f>Valid!$B$90</f>
        <v>Overhead Contact System/Power Distribution</v>
      </c>
      <c r="AM92" s="1209"/>
      <c r="AN92" s="1401"/>
      <c r="AO92" s="1444"/>
      <c r="AP92" s="1401"/>
      <c r="AQ92" s="1193"/>
      <c r="AR92" s="1310"/>
      <c r="AS92" s="1194"/>
      <c r="AT92" s="1194"/>
      <c r="AU92" s="1194"/>
      <c r="AV92" s="1194"/>
      <c r="AW92" s="1194"/>
      <c r="AX92" s="1194"/>
      <c r="AY92" s="1194"/>
      <c r="AZ92" s="1194"/>
      <c r="BA92" s="1194"/>
      <c r="BB92" s="1194"/>
      <c r="BC92" s="1412">
        <f t="shared" si="5"/>
        <v>0</v>
      </c>
      <c r="BD92" s="1193"/>
      <c r="BE92" s="1195"/>
      <c r="BG92" s="588" t="b">
        <f>IF(OR(AK92='A-50 FGRailInv'!$C$13,AK92='A-50 FGRailInv'!$C$69,AK92='A-50 FGRailInv'!$C$124,AK92='A-50 FGRailInv'!$C$179,AK92='A-50 FGRailInv'!$C$234,AK92='A-50 FGRailInv'!$C$290,AK92='A-50 FGRailInv'!$C$346,AK92='A-50 FGRailInv'!$C$402,AK92='A-50 FGRailInv'!$C$458,AK92='A-50 FGRailInv'!$C$514),TRUE,FALSE)</f>
        <v>0</v>
      </c>
      <c r="BJ92" s="1041" t="str">
        <f>Codes!$C$167</f>
        <v>MG - Monorail/Automated Guideway (DO)</v>
      </c>
      <c r="BK92" s="1042" t="str">
        <f>Valid!$B$85</f>
        <v>Single Turnout</v>
      </c>
      <c r="BL92" s="1382"/>
      <c r="BM92" s="1042" t="str">
        <f>VLOOKUP(BK92,Valid!$B$80:$C$86,2,FALSE)</f>
        <v>Each</v>
      </c>
      <c r="BN92" s="1383"/>
      <c r="BO92" s="1194"/>
      <c r="BP92" s="1195"/>
      <c r="BR92" s="588" t="b">
        <f>IF(OR(BJ92='A-55 TrackInv'!$C$13,BJ92='A-55 TrackInv'!$C$44,BJ92='A-55 TrackInv'!$C$75,BJ92='A-55 TrackInv'!$C$106,BJ92='A-55 TrackInv'!$C$137,BJ92='A-55 TrackInv'!$C$168,BJ92='A-55 TrackInv'!$C$199,BJ92='A-55 TrackInv'!$C$230,BJ92='A-55 TrackInv'!$C$261,BJ92='A-55 TrackInv'!$C$292),TRUE,FALSE)</f>
        <v>0</v>
      </c>
      <c r="BU92" s="1489"/>
      <c r="BV92" s="1212"/>
      <c r="BW92" s="1004"/>
      <c r="BX92" s="999"/>
      <c r="BY92" s="999"/>
      <c r="BZ92" s="999"/>
      <c r="CA92" s="999"/>
      <c r="CB92" s="999"/>
      <c r="CC92" s="1165"/>
      <c r="CF92" s="1036"/>
      <c r="CG92" s="1004"/>
      <c r="CH92" s="1004"/>
      <c r="CI92" s="1004"/>
      <c r="CJ92" s="1004"/>
      <c r="CK92" s="1044"/>
      <c r="CL92" s="1163"/>
      <c r="CM92" s="1163"/>
      <c r="CN92" s="647"/>
      <c r="CO92" s="647"/>
      <c r="CP92" s="1163"/>
      <c r="CQ92" s="639"/>
      <c r="CR92" s="647"/>
      <c r="CS92" s="1171"/>
      <c r="CT92" s="1001"/>
      <c r="CU92" s="647"/>
      <c r="CV92" s="1001"/>
      <c r="CW92" s="647"/>
      <c r="CX92" s="1009"/>
      <c r="CY92" s="1009"/>
      <c r="CZ92" s="1163"/>
      <c r="DA92" s="1004"/>
      <c r="DB92" s="1004"/>
      <c r="DC92" s="1004"/>
      <c r="DD92" s="1004"/>
      <c r="DE92" s="1004"/>
      <c r="DF92" s="639"/>
      <c r="DG92" s="1019"/>
    </row>
    <row r="93" spans="1:111" s="588" customFormat="1" ht="13.5" thickBot="1" x14ac:dyDescent="0.25">
      <c r="A93" s="589">
        <f t="shared" si="4"/>
        <v>84</v>
      </c>
      <c r="B93" s="644"/>
      <c r="C93" s="1420"/>
      <c r="D93" s="639"/>
      <c r="E93" s="639"/>
      <c r="F93" s="639"/>
      <c r="G93" s="1013"/>
      <c r="H93" s="639"/>
      <c r="I93" s="639"/>
      <c r="J93" s="643"/>
      <c r="K93" s="1004"/>
      <c r="L93" s="999"/>
      <c r="M93" s="1001"/>
      <c r="N93" s="643"/>
      <c r="O93" s="640"/>
      <c r="Q93" s="589"/>
      <c r="R93" s="644"/>
      <c r="S93" s="1420"/>
      <c r="T93" s="639"/>
      <c r="U93" s="639"/>
      <c r="V93" s="639"/>
      <c r="W93" s="1013"/>
      <c r="X93" s="647"/>
      <c r="Y93" s="647"/>
      <c r="Z93" s="639"/>
      <c r="AA93" s="639"/>
      <c r="AB93" s="643"/>
      <c r="AC93" s="1004"/>
      <c r="AD93" s="1163"/>
      <c r="AE93" s="999"/>
      <c r="AF93" s="1001"/>
      <c r="AG93" s="643"/>
      <c r="AH93" s="1165"/>
      <c r="AI93" s="589"/>
      <c r="AJ93" s="375"/>
      <c r="AK93" s="1047" t="str">
        <f>Codes!$C$161</f>
        <v>CR - Commuter Rail (DO)</v>
      </c>
      <c r="AL93" s="1050" t="str">
        <f>Valid!$B$91</f>
        <v>Train Control &amp; Signaling</v>
      </c>
      <c r="AM93" s="1210"/>
      <c r="AN93" s="1404"/>
      <c r="AO93" s="1445"/>
      <c r="AP93" s="1404"/>
      <c r="AQ93" s="1196"/>
      <c r="AR93" s="1311"/>
      <c r="AS93" s="1197"/>
      <c r="AT93" s="1197"/>
      <c r="AU93" s="1197"/>
      <c r="AV93" s="1197"/>
      <c r="AW93" s="1197"/>
      <c r="AX93" s="1197"/>
      <c r="AY93" s="1197"/>
      <c r="AZ93" s="1197"/>
      <c r="BA93" s="1197"/>
      <c r="BB93" s="1197"/>
      <c r="BC93" s="1413">
        <f t="shared" si="5"/>
        <v>0</v>
      </c>
      <c r="BD93" s="1196"/>
      <c r="BE93" s="1198"/>
      <c r="BG93" s="588" t="b">
        <f>IF(OR(AK93='A-50 FGRailInv'!$C$13,AK93='A-50 FGRailInv'!$C$69,AK93='A-50 FGRailInv'!$C$124,AK93='A-50 FGRailInv'!$C$179,AK93='A-50 FGRailInv'!$C$234,AK93='A-50 FGRailInv'!$C$290,AK93='A-50 FGRailInv'!$C$346,AK93='A-50 FGRailInv'!$C$402,AK93='A-50 FGRailInv'!$C$458,AK93='A-50 FGRailInv'!$C$514),TRUE,FALSE)</f>
        <v>0</v>
      </c>
      <c r="BJ93" s="1047" t="str">
        <f>Codes!$C$167</f>
        <v>MG - Monorail/Automated Guideway (DO)</v>
      </c>
      <c r="BK93" s="1050" t="str">
        <f>Valid!$B$86</f>
        <v>Grade Crossings</v>
      </c>
      <c r="BL93" s="1331"/>
      <c r="BM93" s="1050" t="str">
        <f>VLOOKUP(BK93,Valid!$B$80:$C$86,2,FALSE)</f>
        <v>Each</v>
      </c>
      <c r="BN93" s="1341"/>
      <c r="BO93" s="1197"/>
      <c r="BP93" s="1198"/>
      <c r="BR93" s="588" t="b">
        <f>IF(OR(BJ93='A-55 TrackInv'!$C$13,BJ93='A-55 TrackInv'!$C$44,BJ93='A-55 TrackInv'!$C$75,BJ93='A-55 TrackInv'!$C$106,BJ93='A-55 TrackInv'!$C$137,BJ93='A-55 TrackInv'!$C$168,BJ93='A-55 TrackInv'!$C$199,BJ93='A-55 TrackInv'!$C$230,BJ93='A-55 TrackInv'!$C$261,BJ93='A-55 TrackInv'!$C$292),TRUE,FALSE)</f>
        <v>0</v>
      </c>
      <c r="BU93" s="1489"/>
      <c r="BV93" s="1212"/>
      <c r="BW93" s="1004"/>
      <c r="BX93" s="999"/>
      <c r="BY93" s="999"/>
      <c r="BZ93" s="999"/>
      <c r="CA93" s="999"/>
      <c r="CB93" s="999"/>
      <c r="CC93" s="1165"/>
      <c r="CF93" s="1036"/>
      <c r="CG93" s="1004"/>
      <c r="CH93" s="1004"/>
      <c r="CI93" s="1004"/>
      <c r="CJ93" s="1004"/>
      <c r="CK93" s="1044"/>
      <c r="CL93" s="1163"/>
      <c r="CM93" s="1163"/>
      <c r="CN93" s="647"/>
      <c r="CO93" s="647"/>
      <c r="CP93" s="1163"/>
      <c r="CQ93" s="639"/>
      <c r="CR93" s="647"/>
      <c r="CS93" s="1171"/>
      <c r="CT93" s="1001"/>
      <c r="CU93" s="647"/>
      <c r="CV93" s="1001"/>
      <c r="CW93" s="647"/>
      <c r="CX93" s="1009"/>
      <c r="CY93" s="1009"/>
      <c r="CZ93" s="1163"/>
      <c r="DA93" s="1004"/>
      <c r="DB93" s="1004"/>
      <c r="DC93" s="1004"/>
      <c r="DD93" s="1004"/>
      <c r="DE93" s="1004"/>
      <c r="DF93" s="639"/>
      <c r="DG93" s="1019"/>
    </row>
    <row r="94" spans="1:111" s="588" customFormat="1" x14ac:dyDescent="0.2">
      <c r="A94" s="589">
        <f t="shared" si="4"/>
        <v>85</v>
      </c>
      <c r="B94" s="644"/>
      <c r="C94" s="1420"/>
      <c r="D94" s="639"/>
      <c r="E94" s="639"/>
      <c r="F94" s="639"/>
      <c r="G94" s="1013"/>
      <c r="H94" s="639"/>
      <c r="I94" s="639"/>
      <c r="J94" s="643"/>
      <c r="K94" s="1004"/>
      <c r="L94" s="999"/>
      <c r="M94" s="1001"/>
      <c r="N94" s="643"/>
      <c r="O94" s="640"/>
      <c r="Q94" s="589"/>
      <c r="R94" s="644"/>
      <c r="S94" s="1420"/>
      <c r="T94" s="639"/>
      <c r="U94" s="639"/>
      <c r="V94" s="639"/>
      <c r="W94" s="1013"/>
      <c r="X94" s="647"/>
      <c r="Y94" s="647"/>
      <c r="Z94" s="639"/>
      <c r="AA94" s="639"/>
      <c r="AB94" s="643"/>
      <c r="AC94" s="1004"/>
      <c r="AD94" s="1163"/>
      <c r="AE94" s="999"/>
      <c r="AF94" s="1001"/>
      <c r="AG94" s="643"/>
      <c r="AH94" s="1165"/>
      <c r="AI94" s="589"/>
      <c r="AJ94" s="375"/>
      <c r="AK94" s="1043" t="str">
        <f>Codes!$C$162</f>
        <v>CR - Commuter Rail (PT)</v>
      </c>
      <c r="AL94" s="1303" t="str">
        <f>Valid!$B$71</f>
        <v>At-Grade/Ballast (including expressway)</v>
      </c>
      <c r="AM94" s="1003"/>
      <c r="AN94" s="1400" t="str">
        <f>Valid!$C$71</f>
        <v>Linear Feet</v>
      </c>
      <c r="AO94" s="1446"/>
      <c r="AP94" s="1400" t="s">
        <v>1149</v>
      </c>
      <c r="AQ94" s="1012"/>
      <c r="AR94" s="1312"/>
      <c r="AS94" s="1304"/>
      <c r="AT94" s="1304"/>
      <c r="AU94" s="1304"/>
      <c r="AV94" s="1304"/>
      <c r="AW94" s="1304"/>
      <c r="AX94" s="1304"/>
      <c r="AY94" s="1304"/>
      <c r="AZ94" s="1304"/>
      <c r="BA94" s="1304"/>
      <c r="BB94" s="1304"/>
      <c r="BC94" s="1408">
        <f t="shared" si="5"/>
        <v>0</v>
      </c>
      <c r="BD94" s="1007"/>
      <c r="BE94" s="1305"/>
      <c r="BG94" s="588" t="b">
        <f>IF(OR(AK94='A-50 FGRailInv'!$C$13,AK94='A-50 FGRailInv'!$C$69,AK94='A-50 FGRailInv'!$C$124,AK94='A-50 FGRailInv'!$C$179,AK94='A-50 FGRailInv'!$C$234,AK94='A-50 FGRailInv'!$C$290,AK94='A-50 FGRailInv'!$C$346,AK94='A-50 FGRailInv'!$C$402,AK94='A-50 FGRailInv'!$C$458,AK94='A-50 FGRailInv'!$C$514),TRUE,FALSE)</f>
        <v>0</v>
      </c>
      <c r="BJ94" s="1043" t="str">
        <f>Codes!$C$168</f>
        <v>MG - Monorail/Automated Guideway (PT)</v>
      </c>
      <c r="BK94" s="1303" t="str">
        <f>Valid!$B$80</f>
        <v>Tangent</v>
      </c>
      <c r="BL94" s="1328"/>
      <c r="BM94" s="1303" t="str">
        <f>VLOOKUP(BK94,Valid!$B$80:$C$86,2,FALSE)</f>
        <v>Track Feet</v>
      </c>
      <c r="BN94" s="1332"/>
      <c r="BO94" s="1333"/>
      <c r="BP94" s="1334"/>
      <c r="BR94" s="588" t="b">
        <f>IF(OR(BJ94='A-55 TrackInv'!$C$13,BJ94='A-55 TrackInv'!$C$44,BJ94='A-55 TrackInv'!$C$75,BJ94='A-55 TrackInv'!$C$106,BJ94='A-55 TrackInv'!$C$137,BJ94='A-55 TrackInv'!$C$168,BJ94='A-55 TrackInv'!$C$199,BJ94='A-55 TrackInv'!$C$230,BJ94='A-55 TrackInv'!$C$261,BJ94='A-55 TrackInv'!$C$292),TRUE,FALSE)</f>
        <v>0</v>
      </c>
      <c r="BU94" s="1489"/>
      <c r="BV94" s="1212"/>
      <c r="BW94" s="1004"/>
      <c r="BX94" s="999"/>
      <c r="BY94" s="999"/>
      <c r="BZ94" s="999"/>
      <c r="CA94" s="999"/>
      <c r="CB94" s="999"/>
      <c r="CC94" s="1165"/>
      <c r="CF94" s="1036"/>
      <c r="CG94" s="1004"/>
      <c r="CH94" s="1004"/>
      <c r="CI94" s="1004"/>
      <c r="CJ94" s="1004"/>
      <c r="CK94" s="1044"/>
      <c r="CL94" s="1163"/>
      <c r="CM94" s="1163"/>
      <c r="CN94" s="647"/>
      <c r="CO94" s="647"/>
      <c r="CP94" s="1163"/>
      <c r="CQ94" s="639"/>
      <c r="CR94" s="647"/>
      <c r="CS94" s="1171"/>
      <c r="CT94" s="1001"/>
      <c r="CU94" s="647"/>
      <c r="CV94" s="1001"/>
      <c r="CW94" s="647"/>
      <c r="CX94" s="1009"/>
      <c r="CY94" s="1009"/>
      <c r="CZ94" s="1163"/>
      <c r="DA94" s="1004"/>
      <c r="DB94" s="1004"/>
      <c r="DC94" s="1004"/>
      <c r="DD94" s="1004"/>
      <c r="DE94" s="1004"/>
      <c r="DF94" s="639"/>
      <c r="DG94" s="1019"/>
    </row>
    <row r="95" spans="1:111" s="588" customFormat="1" ht="13.5" thickBot="1" x14ac:dyDescent="0.25">
      <c r="A95" s="589">
        <f t="shared" si="4"/>
        <v>86</v>
      </c>
      <c r="B95" s="644"/>
      <c r="C95" s="1420"/>
      <c r="D95" s="639"/>
      <c r="E95" s="639"/>
      <c r="F95" s="639"/>
      <c r="G95" s="1013"/>
      <c r="H95" s="639"/>
      <c r="I95" s="639"/>
      <c r="J95" s="643"/>
      <c r="K95" s="1004"/>
      <c r="L95" s="999"/>
      <c r="M95" s="1001"/>
      <c r="N95" s="643"/>
      <c r="O95" s="640"/>
      <c r="Q95" s="589"/>
      <c r="R95" s="644"/>
      <c r="S95" s="1420"/>
      <c r="T95" s="639"/>
      <c r="U95" s="639"/>
      <c r="V95" s="639"/>
      <c r="W95" s="1013"/>
      <c r="X95" s="647"/>
      <c r="Y95" s="647"/>
      <c r="Z95" s="639"/>
      <c r="AA95" s="639"/>
      <c r="AB95" s="643"/>
      <c r="AC95" s="1004"/>
      <c r="AD95" s="1163"/>
      <c r="AE95" s="999"/>
      <c r="AF95" s="1001"/>
      <c r="AG95" s="643"/>
      <c r="AH95" s="1165"/>
      <c r="AI95" s="589"/>
      <c r="AJ95" s="375"/>
      <c r="AK95" s="1041" t="str">
        <f>Codes!$C$162</f>
        <v>CR - Commuter Rail (PT)</v>
      </c>
      <c r="AL95" s="1042" t="str">
        <f>Valid!$B$72</f>
        <v>At-Grade/In-Street/Embedded</v>
      </c>
      <c r="AM95" s="1004"/>
      <c r="AN95" s="1401" t="str">
        <f>Valid!$C$72</f>
        <v>Linear Feet</v>
      </c>
      <c r="AO95" s="1441"/>
      <c r="AP95" s="1401" t="s">
        <v>1149</v>
      </c>
      <c r="AQ95" s="1033"/>
      <c r="AR95" s="1307"/>
      <c r="AS95" s="997"/>
      <c r="AT95" s="997"/>
      <c r="AU95" s="997"/>
      <c r="AV95" s="997"/>
      <c r="AW95" s="997"/>
      <c r="AX95" s="997"/>
      <c r="AY95" s="997"/>
      <c r="AZ95" s="997"/>
      <c r="BA95" s="997"/>
      <c r="BB95" s="997"/>
      <c r="BC95" s="1409">
        <f t="shared" si="5"/>
        <v>0</v>
      </c>
      <c r="BD95" s="999"/>
      <c r="BE95" s="640"/>
      <c r="BG95" s="588" t="b">
        <f>IF(OR(AK95='A-50 FGRailInv'!$C$13,AK95='A-50 FGRailInv'!$C$69,AK95='A-50 FGRailInv'!$C$124,AK95='A-50 FGRailInv'!$C$179,AK95='A-50 FGRailInv'!$C$234,AK95='A-50 FGRailInv'!$C$290,AK95='A-50 FGRailInv'!$C$346,AK95='A-50 FGRailInv'!$C$402,AK95='A-50 FGRailInv'!$C$458,AK95='A-50 FGRailInv'!$C$514),TRUE,FALSE)</f>
        <v>0</v>
      </c>
      <c r="BJ95" s="1048" t="str">
        <f>Codes!$C$168</f>
        <v>MG - Monorail/Automated Guideway (PT)</v>
      </c>
      <c r="BK95" s="1049" t="str">
        <f>Valid!$B$81</f>
        <v>Curve</v>
      </c>
      <c r="BL95" s="1329"/>
      <c r="BM95" s="1049" t="str">
        <f>VLOOKUP(BK95,Valid!$B$80:$C$86,2,FALSE)</f>
        <v>Track Feet</v>
      </c>
      <c r="BN95" s="1335"/>
      <c r="BO95" s="1336"/>
      <c r="BP95" s="1337"/>
      <c r="BR95" s="588" t="b">
        <f>IF(OR(BJ95='A-55 TrackInv'!$C$13,BJ95='A-55 TrackInv'!$C$44,BJ95='A-55 TrackInv'!$C$75,BJ95='A-55 TrackInv'!$C$106,BJ95='A-55 TrackInv'!$C$137,BJ95='A-55 TrackInv'!$C$168,BJ95='A-55 TrackInv'!$C$199,BJ95='A-55 TrackInv'!$C$230,BJ95='A-55 TrackInv'!$C$261,BJ95='A-55 TrackInv'!$C$292),TRUE,FALSE)</f>
        <v>0</v>
      </c>
      <c r="BU95" s="1489"/>
      <c r="BV95" s="1212"/>
      <c r="BW95" s="1004"/>
      <c r="BX95" s="999"/>
      <c r="BY95" s="999"/>
      <c r="BZ95" s="999"/>
      <c r="CA95" s="999"/>
      <c r="CB95" s="999"/>
      <c r="CC95" s="1165"/>
      <c r="CF95" s="1036"/>
      <c r="CG95" s="1004"/>
      <c r="CH95" s="1004"/>
      <c r="CI95" s="1004"/>
      <c r="CJ95" s="1004"/>
      <c r="CK95" s="1044"/>
      <c r="CL95" s="1163"/>
      <c r="CM95" s="1163"/>
      <c r="CN95" s="647"/>
      <c r="CO95" s="647"/>
      <c r="CP95" s="1163"/>
      <c r="CQ95" s="639"/>
      <c r="CR95" s="647"/>
      <c r="CS95" s="1171"/>
      <c r="CT95" s="1001"/>
      <c r="CU95" s="647"/>
      <c r="CV95" s="1001"/>
      <c r="CW95" s="647"/>
      <c r="CX95" s="1009"/>
      <c r="CY95" s="1009"/>
      <c r="CZ95" s="1163"/>
      <c r="DA95" s="1004"/>
      <c r="DB95" s="1004"/>
      <c r="DC95" s="1004"/>
      <c r="DD95" s="1004"/>
      <c r="DE95" s="1004"/>
      <c r="DF95" s="639"/>
      <c r="DG95" s="1019"/>
    </row>
    <row r="96" spans="1:111" s="588" customFormat="1" ht="13.5" thickTop="1" x14ac:dyDescent="0.2">
      <c r="A96" s="589">
        <f t="shared" si="4"/>
        <v>87</v>
      </c>
      <c r="B96" s="644"/>
      <c r="C96" s="1420"/>
      <c r="D96" s="639"/>
      <c r="E96" s="639"/>
      <c r="F96" s="639"/>
      <c r="G96" s="1013"/>
      <c r="H96" s="639"/>
      <c r="I96" s="639"/>
      <c r="J96" s="643"/>
      <c r="K96" s="1004"/>
      <c r="L96" s="999"/>
      <c r="M96" s="1001"/>
      <c r="N96" s="643"/>
      <c r="O96" s="640"/>
      <c r="Q96" s="589"/>
      <c r="R96" s="644"/>
      <c r="S96" s="1420"/>
      <c r="T96" s="639"/>
      <c r="U96" s="639"/>
      <c r="V96" s="639"/>
      <c r="W96" s="1013"/>
      <c r="X96" s="647"/>
      <c r="Y96" s="647"/>
      <c r="Z96" s="639"/>
      <c r="AA96" s="639"/>
      <c r="AB96" s="643"/>
      <c r="AC96" s="1004"/>
      <c r="AD96" s="1163"/>
      <c r="AE96" s="999"/>
      <c r="AF96" s="1001"/>
      <c r="AG96" s="643"/>
      <c r="AH96" s="1165"/>
      <c r="AI96" s="589"/>
      <c r="AJ96" s="375"/>
      <c r="AK96" s="1041" t="str">
        <f>Codes!$C$162</f>
        <v>CR - Commuter Rail (PT)</v>
      </c>
      <c r="AL96" s="1042" t="str">
        <f>Valid!$B$73</f>
        <v>Elevated/Retained Fill</v>
      </c>
      <c r="AM96" s="1004"/>
      <c r="AN96" s="1401" t="str">
        <f>Valid!$C$73</f>
        <v>Linear Feet</v>
      </c>
      <c r="AO96" s="1441"/>
      <c r="AP96" s="1401" t="s">
        <v>1149</v>
      </c>
      <c r="AQ96" s="1033"/>
      <c r="AR96" s="1307"/>
      <c r="AS96" s="997"/>
      <c r="AT96" s="997"/>
      <c r="AU96" s="997"/>
      <c r="AV96" s="997"/>
      <c r="AW96" s="997"/>
      <c r="AX96" s="997"/>
      <c r="AY96" s="997"/>
      <c r="AZ96" s="997"/>
      <c r="BA96" s="997"/>
      <c r="BB96" s="997"/>
      <c r="BC96" s="1409">
        <f t="shared" si="5"/>
        <v>0</v>
      </c>
      <c r="BD96" s="999"/>
      <c r="BE96" s="640"/>
      <c r="BG96" s="588" t="b">
        <f>IF(OR(AK96='A-50 FGRailInv'!$C$13,AK96='A-50 FGRailInv'!$C$69,AK96='A-50 FGRailInv'!$C$124,AK96='A-50 FGRailInv'!$C$179,AK96='A-50 FGRailInv'!$C$234,AK96='A-50 FGRailInv'!$C$290,AK96='A-50 FGRailInv'!$C$346,AK96='A-50 FGRailInv'!$C$402,AK96='A-50 FGRailInv'!$C$458,AK96='A-50 FGRailInv'!$C$514),TRUE,FALSE)</f>
        <v>0</v>
      </c>
      <c r="BJ96" s="1045" t="str">
        <f>Codes!$C$168</f>
        <v>MG - Monorail/Automated Guideway (PT)</v>
      </c>
      <c r="BK96" s="1046" t="str">
        <f>Valid!$B$82</f>
        <v>Double Diamond Crossover</v>
      </c>
      <c r="BL96" s="1330"/>
      <c r="BM96" s="1046" t="str">
        <f>VLOOKUP(BK96,Valid!$B$80:$C$86,2,FALSE)</f>
        <v>Each</v>
      </c>
      <c r="BN96" s="1338"/>
      <c r="BO96" s="1339"/>
      <c r="BP96" s="1340"/>
      <c r="BR96" s="588" t="b">
        <f>IF(OR(BJ96='A-55 TrackInv'!$C$13,BJ96='A-55 TrackInv'!$C$44,BJ96='A-55 TrackInv'!$C$75,BJ96='A-55 TrackInv'!$C$106,BJ96='A-55 TrackInv'!$C$137,BJ96='A-55 TrackInv'!$C$168,BJ96='A-55 TrackInv'!$C$199,BJ96='A-55 TrackInv'!$C$230,BJ96='A-55 TrackInv'!$C$261,BJ96='A-55 TrackInv'!$C$292),TRUE,FALSE)</f>
        <v>0</v>
      </c>
      <c r="BU96" s="1489"/>
      <c r="BV96" s="1212"/>
      <c r="BW96" s="1004"/>
      <c r="BX96" s="999"/>
      <c r="BY96" s="999"/>
      <c r="BZ96" s="999"/>
      <c r="CA96" s="999"/>
      <c r="CB96" s="999"/>
      <c r="CC96" s="1165"/>
      <c r="CF96" s="1036"/>
      <c r="CG96" s="1004"/>
      <c r="CH96" s="1004"/>
      <c r="CI96" s="1004"/>
      <c r="CJ96" s="1004"/>
      <c r="CK96" s="1044"/>
      <c r="CL96" s="1163"/>
      <c r="CM96" s="1163"/>
      <c r="CN96" s="647"/>
      <c r="CO96" s="647"/>
      <c r="CP96" s="1163"/>
      <c r="CQ96" s="639"/>
      <c r="CR96" s="647"/>
      <c r="CS96" s="1171"/>
      <c r="CT96" s="1001"/>
      <c r="CU96" s="647"/>
      <c r="CV96" s="1001"/>
      <c r="CW96" s="647"/>
      <c r="CX96" s="1009"/>
      <c r="CY96" s="1009"/>
      <c r="CZ96" s="1163"/>
      <c r="DA96" s="1004"/>
      <c r="DB96" s="1004"/>
      <c r="DC96" s="1004"/>
      <c r="DD96" s="1004"/>
      <c r="DE96" s="1004"/>
      <c r="DF96" s="639"/>
      <c r="DG96" s="1019"/>
    </row>
    <row r="97" spans="1:111" s="588" customFormat="1" x14ac:dyDescent="0.2">
      <c r="A97" s="589">
        <f t="shared" si="4"/>
        <v>88</v>
      </c>
      <c r="B97" s="644"/>
      <c r="C97" s="1420"/>
      <c r="D97" s="639"/>
      <c r="E97" s="639"/>
      <c r="F97" s="639"/>
      <c r="G97" s="1013"/>
      <c r="H97" s="639"/>
      <c r="I97" s="639"/>
      <c r="J97" s="643"/>
      <c r="K97" s="1004"/>
      <c r="L97" s="999"/>
      <c r="M97" s="1001"/>
      <c r="N97" s="643"/>
      <c r="O97" s="640"/>
      <c r="Q97" s="589"/>
      <c r="R97" s="644"/>
      <c r="S97" s="1420"/>
      <c r="T97" s="639"/>
      <c r="U97" s="639"/>
      <c r="V97" s="639"/>
      <c r="W97" s="1013"/>
      <c r="X97" s="647"/>
      <c r="Y97" s="647"/>
      <c r="Z97" s="639"/>
      <c r="AA97" s="639"/>
      <c r="AB97" s="643"/>
      <c r="AC97" s="1004"/>
      <c r="AD97" s="1163"/>
      <c r="AE97" s="999"/>
      <c r="AF97" s="1001"/>
      <c r="AG97" s="643"/>
      <c r="AH97" s="1165"/>
      <c r="AI97" s="589"/>
      <c r="AJ97" s="375"/>
      <c r="AK97" s="1041" t="str">
        <f>Codes!$C$162</f>
        <v>CR - Commuter Rail (PT)</v>
      </c>
      <c r="AL97" s="1042" t="str">
        <f>Valid!$B$74</f>
        <v>Elevated/Concrete</v>
      </c>
      <c r="AM97" s="1004"/>
      <c r="AN97" s="1401" t="str">
        <f>Valid!$C$74</f>
        <v>Linear Feet</v>
      </c>
      <c r="AO97" s="1441"/>
      <c r="AP97" s="1401" t="s">
        <v>1149</v>
      </c>
      <c r="AQ97" s="1033"/>
      <c r="AR97" s="1307"/>
      <c r="AS97" s="997"/>
      <c r="AT97" s="997"/>
      <c r="AU97" s="997"/>
      <c r="AV97" s="997"/>
      <c r="AW97" s="997"/>
      <c r="AX97" s="997"/>
      <c r="AY97" s="997"/>
      <c r="AZ97" s="997"/>
      <c r="BA97" s="997"/>
      <c r="BB97" s="997"/>
      <c r="BC97" s="1409">
        <f t="shared" si="5"/>
        <v>0</v>
      </c>
      <c r="BD97" s="999"/>
      <c r="BE97" s="640"/>
      <c r="BG97" s="588" t="b">
        <f>IF(OR(AK97='A-50 FGRailInv'!$C$13,AK97='A-50 FGRailInv'!$C$69,AK97='A-50 FGRailInv'!$C$124,AK97='A-50 FGRailInv'!$C$179,AK97='A-50 FGRailInv'!$C$234,AK97='A-50 FGRailInv'!$C$290,AK97='A-50 FGRailInv'!$C$346,AK97='A-50 FGRailInv'!$C$402,AK97='A-50 FGRailInv'!$C$458,AK97='A-50 FGRailInv'!$C$514),TRUE,FALSE)</f>
        <v>0</v>
      </c>
      <c r="BJ97" s="1041" t="str">
        <f>Codes!$C$168</f>
        <v>MG - Monorail/Automated Guideway (PT)</v>
      </c>
      <c r="BK97" s="1042" t="str">
        <f>Valid!$B$83</f>
        <v>Single Crossover</v>
      </c>
      <c r="BL97" s="1382"/>
      <c r="BM97" s="1042" t="str">
        <f>VLOOKUP(BK97,Valid!$B$80:$C$86,2,FALSE)</f>
        <v>Each</v>
      </c>
      <c r="BN97" s="1383"/>
      <c r="BO97" s="1194"/>
      <c r="BP97" s="1195"/>
      <c r="BR97" s="588" t="b">
        <f>IF(OR(BJ97='A-55 TrackInv'!$C$13,BJ97='A-55 TrackInv'!$C$44,BJ97='A-55 TrackInv'!$C$75,BJ97='A-55 TrackInv'!$C$106,BJ97='A-55 TrackInv'!$C$137,BJ97='A-55 TrackInv'!$C$168,BJ97='A-55 TrackInv'!$C$199,BJ97='A-55 TrackInv'!$C$230,BJ97='A-55 TrackInv'!$C$261,BJ97='A-55 TrackInv'!$C$292),TRUE,FALSE)</f>
        <v>0</v>
      </c>
      <c r="BU97" s="1489"/>
      <c r="BV97" s="1212"/>
      <c r="BW97" s="1004"/>
      <c r="BX97" s="999"/>
      <c r="BY97" s="999"/>
      <c r="BZ97" s="999"/>
      <c r="CA97" s="999"/>
      <c r="CB97" s="999"/>
      <c r="CC97" s="1165"/>
      <c r="CF97" s="1036"/>
      <c r="CG97" s="1004"/>
      <c r="CH97" s="1004"/>
      <c r="CI97" s="1004"/>
      <c r="CJ97" s="1004"/>
      <c r="CK97" s="1044"/>
      <c r="CL97" s="1163"/>
      <c r="CM97" s="1163"/>
      <c r="CN97" s="647"/>
      <c r="CO97" s="647"/>
      <c r="CP97" s="1163"/>
      <c r="CQ97" s="639"/>
      <c r="CR97" s="647"/>
      <c r="CS97" s="1171"/>
      <c r="CT97" s="1001"/>
      <c r="CU97" s="647"/>
      <c r="CV97" s="1001"/>
      <c r="CW97" s="647"/>
      <c r="CX97" s="1009"/>
      <c r="CY97" s="1009"/>
      <c r="CZ97" s="1163"/>
      <c r="DA97" s="1004"/>
      <c r="DB97" s="1004"/>
      <c r="DC97" s="1004"/>
      <c r="DD97" s="1004"/>
      <c r="DE97" s="1004"/>
      <c r="DF97" s="639"/>
      <c r="DG97" s="1019"/>
    </row>
    <row r="98" spans="1:111" s="588" customFormat="1" x14ac:dyDescent="0.2">
      <c r="A98" s="589">
        <f t="shared" si="4"/>
        <v>89</v>
      </c>
      <c r="B98" s="644"/>
      <c r="C98" s="1420"/>
      <c r="D98" s="639"/>
      <c r="E98" s="639"/>
      <c r="F98" s="639"/>
      <c r="G98" s="1013"/>
      <c r="H98" s="639"/>
      <c r="I98" s="639"/>
      <c r="J98" s="643"/>
      <c r="K98" s="1004"/>
      <c r="L98" s="999"/>
      <c r="M98" s="1001"/>
      <c r="N98" s="643"/>
      <c r="O98" s="640"/>
      <c r="Q98" s="589"/>
      <c r="R98" s="644"/>
      <c r="S98" s="1420"/>
      <c r="T98" s="639"/>
      <c r="U98" s="639"/>
      <c r="V98" s="639"/>
      <c r="W98" s="1013"/>
      <c r="X98" s="647"/>
      <c r="Y98" s="647"/>
      <c r="Z98" s="639"/>
      <c r="AA98" s="639"/>
      <c r="AB98" s="643"/>
      <c r="AC98" s="1004"/>
      <c r="AD98" s="1163"/>
      <c r="AE98" s="999"/>
      <c r="AF98" s="1001"/>
      <c r="AG98" s="643"/>
      <c r="AH98" s="1165"/>
      <c r="AI98" s="589"/>
      <c r="AJ98" s="375"/>
      <c r="AK98" s="1041" t="str">
        <f>Codes!$C$162</f>
        <v>CR - Commuter Rail (PT)</v>
      </c>
      <c r="AL98" s="1042" t="str">
        <f>Valid!$B$75</f>
        <v>Elevated/Steel Viaduct or Bridge</v>
      </c>
      <c r="AM98" s="1004"/>
      <c r="AN98" s="1401" t="str">
        <f>Valid!$C$75</f>
        <v>Linear Feet</v>
      </c>
      <c r="AO98" s="1441"/>
      <c r="AP98" s="1401" t="s">
        <v>1149</v>
      </c>
      <c r="AQ98" s="1033"/>
      <c r="AR98" s="1307"/>
      <c r="AS98" s="997"/>
      <c r="AT98" s="997"/>
      <c r="AU98" s="997"/>
      <c r="AV98" s="997"/>
      <c r="AW98" s="997"/>
      <c r="AX98" s="997"/>
      <c r="AY98" s="997"/>
      <c r="AZ98" s="997"/>
      <c r="BA98" s="997"/>
      <c r="BB98" s="997"/>
      <c r="BC98" s="1409">
        <f t="shared" si="5"/>
        <v>0</v>
      </c>
      <c r="BD98" s="999"/>
      <c r="BE98" s="640"/>
      <c r="BG98" s="588" t="b">
        <f>IF(OR(AK98='A-50 FGRailInv'!$C$13,AK98='A-50 FGRailInv'!$C$69,AK98='A-50 FGRailInv'!$C$124,AK98='A-50 FGRailInv'!$C$179,AK98='A-50 FGRailInv'!$C$234,AK98='A-50 FGRailInv'!$C$290,AK98='A-50 FGRailInv'!$C$346,AK98='A-50 FGRailInv'!$C$402,AK98='A-50 FGRailInv'!$C$458,AK98='A-50 FGRailInv'!$C$514),TRUE,FALSE)</f>
        <v>0</v>
      </c>
      <c r="BJ98" s="1041" t="str">
        <f>Codes!$C$168</f>
        <v>MG - Monorail/Automated Guideway (PT)</v>
      </c>
      <c r="BK98" s="1042" t="str">
        <f>Valid!$B$84</f>
        <v>Half Grand Union</v>
      </c>
      <c r="BL98" s="1382"/>
      <c r="BM98" s="1042" t="str">
        <f>VLOOKUP(BK98,Valid!$B$80:$C$86,2,FALSE)</f>
        <v>Each</v>
      </c>
      <c r="BN98" s="1383"/>
      <c r="BO98" s="1194"/>
      <c r="BP98" s="1195"/>
      <c r="BR98" s="588" t="b">
        <f>IF(OR(BJ98='A-55 TrackInv'!$C$13,BJ98='A-55 TrackInv'!$C$44,BJ98='A-55 TrackInv'!$C$75,BJ98='A-55 TrackInv'!$C$106,BJ98='A-55 TrackInv'!$C$137,BJ98='A-55 TrackInv'!$C$168,BJ98='A-55 TrackInv'!$C$199,BJ98='A-55 TrackInv'!$C$230,BJ98='A-55 TrackInv'!$C$261,BJ98='A-55 TrackInv'!$C$292),TRUE,FALSE)</f>
        <v>0</v>
      </c>
      <c r="BU98" s="1489"/>
      <c r="BV98" s="1212"/>
      <c r="BW98" s="1004"/>
      <c r="BX98" s="999"/>
      <c r="BY98" s="999"/>
      <c r="BZ98" s="999"/>
      <c r="CA98" s="999"/>
      <c r="CB98" s="999"/>
      <c r="CC98" s="1165"/>
      <c r="CF98" s="1036"/>
      <c r="CG98" s="1004"/>
      <c r="CH98" s="1004"/>
      <c r="CI98" s="1004"/>
      <c r="CJ98" s="1004"/>
      <c r="CK98" s="1044"/>
      <c r="CL98" s="1163"/>
      <c r="CM98" s="1163"/>
      <c r="CN98" s="647"/>
      <c r="CO98" s="647"/>
      <c r="CP98" s="1163"/>
      <c r="CQ98" s="639"/>
      <c r="CR98" s="647"/>
      <c r="CS98" s="1171"/>
      <c r="CT98" s="1001"/>
      <c r="CU98" s="647"/>
      <c r="CV98" s="1001"/>
      <c r="CW98" s="647"/>
      <c r="CX98" s="1009"/>
      <c r="CY98" s="1009"/>
      <c r="CZ98" s="1163"/>
      <c r="DA98" s="1004"/>
      <c r="DB98" s="1004"/>
      <c r="DC98" s="1004"/>
      <c r="DD98" s="1004"/>
      <c r="DE98" s="1004"/>
      <c r="DF98" s="639"/>
      <c r="DG98" s="1019"/>
    </row>
    <row r="99" spans="1:111" s="588" customFormat="1" x14ac:dyDescent="0.2">
      <c r="A99" s="589">
        <f t="shared" si="4"/>
        <v>90</v>
      </c>
      <c r="B99" s="644"/>
      <c r="C99" s="1420"/>
      <c r="D99" s="639"/>
      <c r="E99" s="639"/>
      <c r="F99" s="639"/>
      <c r="G99" s="1013"/>
      <c r="H99" s="639"/>
      <c r="I99" s="639"/>
      <c r="J99" s="643"/>
      <c r="K99" s="1004"/>
      <c r="L99" s="999"/>
      <c r="M99" s="1001"/>
      <c r="N99" s="643"/>
      <c r="O99" s="640"/>
      <c r="Q99" s="589"/>
      <c r="R99" s="644"/>
      <c r="S99" s="1420"/>
      <c r="T99" s="639"/>
      <c r="U99" s="639"/>
      <c r="V99" s="639"/>
      <c r="W99" s="1013"/>
      <c r="X99" s="647"/>
      <c r="Y99" s="647"/>
      <c r="Z99" s="639"/>
      <c r="AA99" s="639"/>
      <c r="AB99" s="643"/>
      <c r="AC99" s="1004"/>
      <c r="AD99" s="1163"/>
      <c r="AE99" s="999"/>
      <c r="AF99" s="1001"/>
      <c r="AG99" s="643"/>
      <c r="AH99" s="1165"/>
      <c r="AI99" s="589"/>
      <c r="AJ99" s="375"/>
      <c r="AK99" s="1041" t="str">
        <f>Codes!$C$162</f>
        <v>CR - Commuter Rail (PT)</v>
      </c>
      <c r="AL99" s="1042" t="str">
        <f>Valid!$B$76</f>
        <v>Below-Grade/Retained Cut</v>
      </c>
      <c r="AM99" s="1004"/>
      <c r="AN99" s="1401" t="str">
        <f>Valid!$C$76</f>
        <v>Linear Feet</v>
      </c>
      <c r="AO99" s="1441"/>
      <c r="AP99" s="1401" t="s">
        <v>1149</v>
      </c>
      <c r="AQ99" s="1033"/>
      <c r="AR99" s="1307"/>
      <c r="AS99" s="997"/>
      <c r="AT99" s="997"/>
      <c r="AU99" s="997"/>
      <c r="AV99" s="997"/>
      <c r="AW99" s="997"/>
      <c r="AX99" s="997"/>
      <c r="AY99" s="997"/>
      <c r="AZ99" s="997"/>
      <c r="BA99" s="997"/>
      <c r="BB99" s="997"/>
      <c r="BC99" s="1409">
        <f t="shared" si="5"/>
        <v>0</v>
      </c>
      <c r="BD99" s="999"/>
      <c r="BE99" s="640"/>
      <c r="BG99" s="588" t="b">
        <f>IF(OR(AK99='A-50 FGRailInv'!$C$13,AK99='A-50 FGRailInv'!$C$69,AK99='A-50 FGRailInv'!$C$124,AK99='A-50 FGRailInv'!$C$179,AK99='A-50 FGRailInv'!$C$234,AK99='A-50 FGRailInv'!$C$290,AK99='A-50 FGRailInv'!$C$346,AK99='A-50 FGRailInv'!$C$402,AK99='A-50 FGRailInv'!$C$458,AK99='A-50 FGRailInv'!$C$514),TRUE,FALSE)</f>
        <v>0</v>
      </c>
      <c r="BJ99" s="1041" t="str">
        <f>Codes!$C$168</f>
        <v>MG - Monorail/Automated Guideway (PT)</v>
      </c>
      <c r="BK99" s="1042" t="str">
        <f>Valid!$B$85</f>
        <v>Single Turnout</v>
      </c>
      <c r="BL99" s="1382"/>
      <c r="BM99" s="1042" t="str">
        <f>VLOOKUP(BK99,Valid!$B$80:$C$86,2,FALSE)</f>
        <v>Each</v>
      </c>
      <c r="BN99" s="1383"/>
      <c r="BO99" s="1194"/>
      <c r="BP99" s="1195"/>
      <c r="BR99" s="588" t="b">
        <f>IF(OR(BJ99='A-55 TrackInv'!$C$13,BJ99='A-55 TrackInv'!$C$44,BJ99='A-55 TrackInv'!$C$75,BJ99='A-55 TrackInv'!$C$106,BJ99='A-55 TrackInv'!$C$137,BJ99='A-55 TrackInv'!$C$168,BJ99='A-55 TrackInv'!$C$199,BJ99='A-55 TrackInv'!$C$230,BJ99='A-55 TrackInv'!$C$261,BJ99='A-55 TrackInv'!$C$292),TRUE,FALSE)</f>
        <v>0</v>
      </c>
      <c r="BU99" s="1489"/>
      <c r="BV99" s="1212"/>
      <c r="BW99" s="1004"/>
      <c r="BX99" s="999"/>
      <c r="BY99" s="999"/>
      <c r="BZ99" s="999"/>
      <c r="CA99" s="999"/>
      <c r="CB99" s="999"/>
      <c r="CC99" s="1165"/>
      <c r="CF99" s="1036"/>
      <c r="CG99" s="1004"/>
      <c r="CH99" s="1004"/>
      <c r="CI99" s="1004"/>
      <c r="CJ99" s="1004"/>
      <c r="CK99" s="1044"/>
      <c r="CL99" s="1163"/>
      <c r="CM99" s="1163"/>
      <c r="CN99" s="647"/>
      <c r="CO99" s="647"/>
      <c r="CP99" s="1163"/>
      <c r="CQ99" s="639"/>
      <c r="CR99" s="647"/>
      <c r="CS99" s="1171"/>
      <c r="CT99" s="1001"/>
      <c r="CU99" s="647"/>
      <c r="CV99" s="1001"/>
      <c r="CW99" s="647"/>
      <c r="CX99" s="1009"/>
      <c r="CY99" s="1009"/>
      <c r="CZ99" s="1163"/>
      <c r="DA99" s="1004"/>
      <c r="DB99" s="1004"/>
      <c r="DC99" s="1004"/>
      <c r="DD99" s="1004"/>
      <c r="DE99" s="1004"/>
      <c r="DF99" s="639"/>
      <c r="DG99" s="1019"/>
    </row>
    <row r="100" spans="1:111" s="588" customFormat="1" ht="13.5" thickBot="1" x14ac:dyDescent="0.25">
      <c r="A100" s="589">
        <f t="shared" si="4"/>
        <v>91</v>
      </c>
      <c r="B100" s="644"/>
      <c r="C100" s="1420"/>
      <c r="D100" s="639"/>
      <c r="E100" s="639"/>
      <c r="F100" s="639"/>
      <c r="G100" s="1013"/>
      <c r="H100" s="639"/>
      <c r="I100" s="639"/>
      <c r="J100" s="643"/>
      <c r="K100" s="1004"/>
      <c r="L100" s="999"/>
      <c r="M100" s="1001"/>
      <c r="N100" s="643"/>
      <c r="O100" s="640"/>
      <c r="Q100" s="589"/>
      <c r="R100" s="644"/>
      <c r="S100" s="1420"/>
      <c r="T100" s="639"/>
      <c r="U100" s="639"/>
      <c r="V100" s="639"/>
      <c r="W100" s="1013"/>
      <c r="X100" s="647"/>
      <c r="Y100" s="647"/>
      <c r="Z100" s="639"/>
      <c r="AA100" s="639"/>
      <c r="AB100" s="643"/>
      <c r="AC100" s="1004"/>
      <c r="AD100" s="1163"/>
      <c r="AE100" s="999"/>
      <c r="AF100" s="1001"/>
      <c r="AG100" s="643"/>
      <c r="AH100" s="1165"/>
      <c r="AI100" s="589"/>
      <c r="AJ100" s="375" t="str">
        <f>IF(BG105=TRUE,"Mode Already Included in A-50","")</f>
        <v/>
      </c>
      <c r="AK100" s="1041" t="str">
        <f>Codes!$C$162</f>
        <v>CR - Commuter Rail (PT)</v>
      </c>
      <c r="AL100" s="1042" t="str">
        <f>Valid!$B$77</f>
        <v>Below-Grade/Cut-and-Cover Tunnel</v>
      </c>
      <c r="AM100" s="1004"/>
      <c r="AN100" s="1401" t="str">
        <f>Valid!$C$77</f>
        <v>Linear Feet</v>
      </c>
      <c r="AO100" s="1441"/>
      <c r="AP100" s="1401" t="s">
        <v>1149</v>
      </c>
      <c r="AQ100" s="1033"/>
      <c r="AR100" s="1307"/>
      <c r="AS100" s="997"/>
      <c r="AT100" s="997"/>
      <c r="AU100" s="997"/>
      <c r="AV100" s="997"/>
      <c r="AW100" s="997"/>
      <c r="AX100" s="997"/>
      <c r="AY100" s="997"/>
      <c r="AZ100" s="997"/>
      <c r="BA100" s="997"/>
      <c r="BB100" s="997"/>
      <c r="BC100" s="1409">
        <f t="shared" si="5"/>
        <v>0</v>
      </c>
      <c r="BD100" s="999"/>
      <c r="BE100" s="640"/>
      <c r="BG100" s="588" t="b">
        <f>IF(OR(AK100='A-50 FGRailInv'!$C$13,AK100='A-50 FGRailInv'!$C$69,AK100='A-50 FGRailInv'!$C$124,AK100='A-50 FGRailInv'!$C$179,AK100='A-50 FGRailInv'!$C$234,AK100='A-50 FGRailInv'!$C$290,AK100='A-50 FGRailInv'!$C$346,AK100='A-50 FGRailInv'!$C$402,AK100='A-50 FGRailInv'!$C$458,AK100='A-50 FGRailInv'!$C$514),TRUE,FALSE)</f>
        <v>0</v>
      </c>
      <c r="BJ100" s="1047" t="str">
        <f>Codes!$C$168</f>
        <v>MG - Monorail/Automated Guideway (PT)</v>
      </c>
      <c r="BK100" s="1050" t="str">
        <f>Valid!$B$86</f>
        <v>Grade Crossings</v>
      </c>
      <c r="BL100" s="1331"/>
      <c r="BM100" s="1050" t="str">
        <f>VLOOKUP(BK100,Valid!$B$80:$C$86,2,FALSE)</f>
        <v>Each</v>
      </c>
      <c r="BN100" s="1341"/>
      <c r="BO100" s="1197"/>
      <c r="BP100" s="1198"/>
      <c r="BR100" s="588" t="b">
        <f>IF(OR(BJ100='A-55 TrackInv'!$C$13,BJ100='A-55 TrackInv'!$C$44,BJ100='A-55 TrackInv'!$C$75,BJ100='A-55 TrackInv'!$C$106,BJ100='A-55 TrackInv'!$C$137,BJ100='A-55 TrackInv'!$C$168,BJ100='A-55 TrackInv'!$C$199,BJ100='A-55 TrackInv'!$C$230,BJ100='A-55 TrackInv'!$C$261,BJ100='A-55 TrackInv'!$C$292),TRUE,FALSE)</f>
        <v>0</v>
      </c>
      <c r="BU100" s="1489"/>
      <c r="BV100" s="1212"/>
      <c r="BW100" s="1004"/>
      <c r="BX100" s="999"/>
      <c r="BY100" s="999"/>
      <c r="BZ100" s="999"/>
      <c r="CA100" s="999"/>
      <c r="CB100" s="999"/>
      <c r="CC100" s="1165"/>
      <c r="CF100" s="1036"/>
      <c r="CG100" s="1004"/>
      <c r="CH100" s="1004"/>
      <c r="CI100" s="1004"/>
      <c r="CJ100" s="1004"/>
      <c r="CK100" s="1044"/>
      <c r="CL100" s="1163"/>
      <c r="CM100" s="1163"/>
      <c r="CN100" s="647"/>
      <c r="CO100" s="647"/>
      <c r="CP100" s="1163"/>
      <c r="CQ100" s="639"/>
      <c r="CR100" s="647"/>
      <c r="CS100" s="1171"/>
      <c r="CT100" s="1001"/>
      <c r="CU100" s="647"/>
      <c r="CV100" s="1001"/>
      <c r="CW100" s="647"/>
      <c r="CX100" s="1009"/>
      <c r="CY100" s="1009"/>
      <c r="CZ100" s="1163"/>
      <c r="DA100" s="1004"/>
      <c r="DB100" s="1004"/>
      <c r="DC100" s="1004"/>
      <c r="DD100" s="1004"/>
      <c r="DE100" s="1004"/>
      <c r="DF100" s="639"/>
      <c r="DG100" s="1019"/>
    </row>
    <row r="101" spans="1:111" s="588" customFormat="1" x14ac:dyDescent="0.2">
      <c r="A101" s="589">
        <f t="shared" si="4"/>
        <v>92</v>
      </c>
      <c r="B101" s="644"/>
      <c r="C101" s="1420"/>
      <c r="D101" s="639"/>
      <c r="E101" s="639"/>
      <c r="F101" s="639"/>
      <c r="G101" s="1013"/>
      <c r="H101" s="639"/>
      <c r="I101" s="639"/>
      <c r="J101" s="643"/>
      <c r="K101" s="1004"/>
      <c r="L101" s="999"/>
      <c r="M101" s="1001"/>
      <c r="N101" s="643"/>
      <c r="O101" s="640"/>
      <c r="Q101" s="589"/>
      <c r="R101" s="644"/>
      <c r="S101" s="1420"/>
      <c r="T101" s="639"/>
      <c r="U101" s="639"/>
      <c r="V101" s="639"/>
      <c r="W101" s="1013"/>
      <c r="X101" s="647"/>
      <c r="Y101" s="647"/>
      <c r="Z101" s="639"/>
      <c r="AA101" s="639"/>
      <c r="AB101" s="643"/>
      <c r="AC101" s="1004"/>
      <c r="AD101" s="1163"/>
      <c r="AE101" s="999"/>
      <c r="AF101" s="1001"/>
      <c r="AG101" s="643"/>
      <c r="AH101" s="1165"/>
      <c r="AI101" s="589"/>
      <c r="AJ101" s="375"/>
      <c r="AK101" s="1041" t="str">
        <f>Codes!$C$162</f>
        <v>CR - Commuter Rail (PT)</v>
      </c>
      <c r="AL101" s="1042" t="str">
        <f>Valid!$B$78</f>
        <v>Below-Grade/Bored or Blasted Tunnel</v>
      </c>
      <c r="AM101" s="1004"/>
      <c r="AN101" s="1401" t="str">
        <f>Valid!$C$78</f>
        <v>Linear Feet</v>
      </c>
      <c r="AO101" s="1441"/>
      <c r="AP101" s="1401" t="s">
        <v>1149</v>
      </c>
      <c r="AQ101" s="1033"/>
      <c r="AR101" s="1307"/>
      <c r="AS101" s="997"/>
      <c r="AT101" s="997"/>
      <c r="AU101" s="997"/>
      <c r="AV101" s="997"/>
      <c r="AW101" s="997"/>
      <c r="AX101" s="997"/>
      <c r="AY101" s="997"/>
      <c r="AZ101" s="997"/>
      <c r="BA101" s="997"/>
      <c r="BB101" s="997"/>
      <c r="BC101" s="1409">
        <f t="shared" si="5"/>
        <v>0</v>
      </c>
      <c r="BD101" s="999"/>
      <c r="BE101" s="640"/>
      <c r="BG101" s="588" t="b">
        <f>IF(OR(AK101='A-50 FGRailInv'!$C$13,AK101='A-50 FGRailInv'!$C$69,AK101='A-50 FGRailInv'!$C$124,AK101='A-50 FGRailInv'!$C$179,AK101='A-50 FGRailInv'!$C$234,AK101='A-50 FGRailInv'!$C$290,AK101='A-50 FGRailInv'!$C$346,AK101='A-50 FGRailInv'!$C$402,AK101='A-50 FGRailInv'!$C$458,AK101='A-50 FGRailInv'!$C$514),TRUE,FALSE)</f>
        <v>0</v>
      </c>
      <c r="BJ101" s="1043" t="str">
        <f>Codes!$C$169</f>
        <v>SR - Streetcar Rail (DO)</v>
      </c>
      <c r="BK101" s="1303" t="str">
        <f>Valid!$B$80</f>
        <v>Tangent</v>
      </c>
      <c r="BL101" s="1328"/>
      <c r="BM101" s="1303" t="str">
        <f>VLOOKUP(BK101,Valid!$B$80:$C$86,2,FALSE)</f>
        <v>Track Feet</v>
      </c>
      <c r="BN101" s="1332"/>
      <c r="BO101" s="1333"/>
      <c r="BP101" s="1334"/>
      <c r="BR101" s="588" t="b">
        <f>IF(OR(BJ101='A-55 TrackInv'!$C$13,BJ101='A-55 TrackInv'!$C$44,BJ101='A-55 TrackInv'!$C$75,BJ101='A-55 TrackInv'!$C$106,BJ101='A-55 TrackInv'!$C$137,BJ101='A-55 TrackInv'!$C$168,BJ101='A-55 TrackInv'!$C$199,BJ101='A-55 TrackInv'!$C$230,BJ101='A-55 TrackInv'!$C$261,BJ101='A-55 TrackInv'!$C$292),TRUE,FALSE)</f>
        <v>0</v>
      </c>
      <c r="BU101" s="1489"/>
      <c r="BV101" s="1212"/>
      <c r="BW101" s="1004"/>
      <c r="BX101" s="999"/>
      <c r="BY101" s="999"/>
      <c r="BZ101" s="999"/>
      <c r="CA101" s="999"/>
      <c r="CB101" s="999"/>
      <c r="CC101" s="1165"/>
      <c r="CF101" s="1036"/>
      <c r="CG101" s="1004"/>
      <c r="CH101" s="1004"/>
      <c r="CI101" s="1004"/>
      <c r="CJ101" s="1004"/>
      <c r="CK101" s="1044"/>
      <c r="CL101" s="1163"/>
      <c r="CM101" s="1163"/>
      <c r="CN101" s="647"/>
      <c r="CO101" s="647"/>
      <c r="CP101" s="1163"/>
      <c r="CQ101" s="639"/>
      <c r="CR101" s="647"/>
      <c r="CS101" s="1171"/>
      <c r="CT101" s="1001"/>
      <c r="CU101" s="647"/>
      <c r="CV101" s="1001"/>
      <c r="CW101" s="647"/>
      <c r="CX101" s="1009"/>
      <c r="CY101" s="1009"/>
      <c r="CZ101" s="1163"/>
      <c r="DA101" s="1004"/>
      <c r="DB101" s="1004"/>
      <c r="DC101" s="1004"/>
      <c r="DD101" s="1004"/>
      <c r="DE101" s="1004"/>
      <c r="DF101" s="639"/>
      <c r="DG101" s="1019"/>
    </row>
    <row r="102" spans="1:111" s="588" customFormat="1" ht="13.5" thickBot="1" x14ac:dyDescent="0.25">
      <c r="A102" s="589">
        <f t="shared" si="4"/>
        <v>93</v>
      </c>
      <c r="B102" s="644"/>
      <c r="C102" s="1420"/>
      <c r="D102" s="639"/>
      <c r="E102" s="639"/>
      <c r="F102" s="639"/>
      <c r="G102" s="1013"/>
      <c r="H102" s="639"/>
      <c r="I102" s="639"/>
      <c r="J102" s="643"/>
      <c r="K102" s="1004"/>
      <c r="L102" s="999"/>
      <c r="M102" s="1001"/>
      <c r="N102" s="643"/>
      <c r="O102" s="640"/>
      <c r="Q102" s="589"/>
      <c r="R102" s="644"/>
      <c r="S102" s="1420"/>
      <c r="T102" s="639"/>
      <c r="U102" s="639"/>
      <c r="V102" s="639"/>
      <c r="W102" s="1013"/>
      <c r="X102" s="647"/>
      <c r="Y102" s="647"/>
      <c r="Z102" s="639"/>
      <c r="AA102" s="639"/>
      <c r="AB102" s="643"/>
      <c r="AC102" s="1004"/>
      <c r="AD102" s="1163"/>
      <c r="AE102" s="999"/>
      <c r="AF102" s="1001"/>
      <c r="AG102" s="643"/>
      <c r="AH102" s="1165"/>
      <c r="AI102" s="589"/>
      <c r="AJ102" s="375"/>
      <c r="AK102" s="1048" t="str">
        <f>Codes!$C$162</f>
        <v>CR - Commuter Rail (PT)</v>
      </c>
      <c r="AL102" s="1049" t="str">
        <f>Valid!$B$79</f>
        <v>Below-Grade/Submerged Tube</v>
      </c>
      <c r="AM102" s="1363"/>
      <c r="AN102" s="1402" t="str">
        <f>Valid!$C$79</f>
        <v>Linear Feet</v>
      </c>
      <c r="AO102" s="1442"/>
      <c r="AP102" s="1402" t="s">
        <v>1149</v>
      </c>
      <c r="AQ102" s="1034"/>
      <c r="AR102" s="1308"/>
      <c r="AS102" s="1016"/>
      <c r="AT102" s="1016"/>
      <c r="AU102" s="1016"/>
      <c r="AV102" s="1016"/>
      <c r="AW102" s="1016"/>
      <c r="AX102" s="1016"/>
      <c r="AY102" s="1016"/>
      <c r="AZ102" s="1016"/>
      <c r="BA102" s="1016"/>
      <c r="BB102" s="1016"/>
      <c r="BC102" s="1410">
        <f t="shared" si="5"/>
        <v>0</v>
      </c>
      <c r="BD102" s="1017"/>
      <c r="BE102" s="963"/>
      <c r="BG102" s="588" t="b">
        <f>IF(OR(AK102='A-50 FGRailInv'!$C$13,AK102='A-50 FGRailInv'!$C$69,AK102='A-50 FGRailInv'!$C$124,AK102='A-50 FGRailInv'!$C$179,AK102='A-50 FGRailInv'!$C$234,AK102='A-50 FGRailInv'!$C$290,AK102='A-50 FGRailInv'!$C$346,AK102='A-50 FGRailInv'!$C$402,AK102='A-50 FGRailInv'!$C$458,AK102='A-50 FGRailInv'!$C$514),TRUE,FALSE)</f>
        <v>0</v>
      </c>
      <c r="BJ102" s="1048" t="str">
        <f>Codes!$C$169</f>
        <v>SR - Streetcar Rail (DO)</v>
      </c>
      <c r="BK102" s="1049" t="str">
        <f>Valid!$B$81</f>
        <v>Curve</v>
      </c>
      <c r="BL102" s="1329"/>
      <c r="BM102" s="1049" t="str">
        <f>VLOOKUP(BK102,Valid!$B$80:$C$86,2,FALSE)</f>
        <v>Track Feet</v>
      </c>
      <c r="BN102" s="1335"/>
      <c r="BO102" s="1336"/>
      <c r="BP102" s="1337"/>
      <c r="BR102" s="588" t="b">
        <f>IF(OR(BJ102='A-55 TrackInv'!$C$13,BJ102='A-55 TrackInv'!$C$44,BJ102='A-55 TrackInv'!$C$75,BJ102='A-55 TrackInv'!$C$106,BJ102='A-55 TrackInv'!$C$137,BJ102='A-55 TrackInv'!$C$168,BJ102='A-55 TrackInv'!$C$199,BJ102='A-55 TrackInv'!$C$230,BJ102='A-55 TrackInv'!$C$261,BJ102='A-55 TrackInv'!$C$292),TRUE,FALSE)</f>
        <v>0</v>
      </c>
      <c r="BU102" s="1489"/>
      <c r="BV102" s="1212"/>
      <c r="BW102" s="1004"/>
      <c r="BX102" s="999"/>
      <c r="BY102" s="999"/>
      <c r="BZ102" s="999"/>
      <c r="CA102" s="999"/>
      <c r="CB102" s="999"/>
      <c r="CC102" s="1165"/>
      <c r="CF102" s="1036"/>
      <c r="CG102" s="1004"/>
      <c r="CH102" s="1004"/>
      <c r="CI102" s="1004"/>
      <c r="CJ102" s="1004"/>
      <c r="CK102" s="1044"/>
      <c r="CL102" s="1163"/>
      <c r="CM102" s="1163"/>
      <c r="CN102" s="647"/>
      <c r="CO102" s="647"/>
      <c r="CP102" s="1163"/>
      <c r="CQ102" s="639"/>
      <c r="CR102" s="647"/>
      <c r="CS102" s="1171"/>
      <c r="CT102" s="1001"/>
      <c r="CU102" s="647"/>
      <c r="CV102" s="1001"/>
      <c r="CW102" s="647"/>
      <c r="CX102" s="1009"/>
      <c r="CY102" s="1009"/>
      <c r="CZ102" s="1163"/>
      <c r="DA102" s="1004"/>
      <c r="DB102" s="1004"/>
      <c r="DC102" s="1004"/>
      <c r="DD102" s="1004"/>
      <c r="DE102" s="1004"/>
      <c r="DF102" s="639"/>
      <c r="DG102" s="1019"/>
    </row>
    <row r="103" spans="1:111" s="588" customFormat="1" ht="13.5" thickTop="1" x14ac:dyDescent="0.2">
      <c r="A103" s="589">
        <f t="shared" si="4"/>
        <v>94</v>
      </c>
      <c r="B103" s="644"/>
      <c r="C103" s="1420"/>
      <c r="D103" s="639"/>
      <c r="E103" s="639"/>
      <c r="F103" s="639"/>
      <c r="G103" s="1013"/>
      <c r="H103" s="639"/>
      <c r="I103" s="639"/>
      <c r="J103" s="643"/>
      <c r="K103" s="1004"/>
      <c r="L103" s="999"/>
      <c r="M103" s="1001"/>
      <c r="N103" s="643"/>
      <c r="O103" s="640"/>
      <c r="Q103" s="589"/>
      <c r="R103" s="644"/>
      <c r="S103" s="1420"/>
      <c r="T103" s="639"/>
      <c r="U103" s="639"/>
      <c r="V103" s="639"/>
      <c r="W103" s="1013"/>
      <c r="X103" s="647"/>
      <c r="Y103" s="647"/>
      <c r="Z103" s="639"/>
      <c r="AA103" s="639"/>
      <c r="AB103" s="643"/>
      <c r="AC103" s="1004"/>
      <c r="AD103" s="1163"/>
      <c r="AE103" s="999"/>
      <c r="AF103" s="1001"/>
      <c r="AG103" s="643"/>
      <c r="AH103" s="1165"/>
      <c r="AI103" s="589"/>
      <c r="AJ103" s="375"/>
      <c r="AK103" s="1181" t="str">
        <f>Codes!$C$162</f>
        <v>CR - Commuter Rail (PT)</v>
      </c>
      <c r="AL103" s="1182" t="str">
        <f>Valid!$B$87</f>
        <v>Substation Building</v>
      </c>
      <c r="AM103" s="1378"/>
      <c r="AN103" s="1403" t="str">
        <f>Valid!$C$87</f>
        <v>Each</v>
      </c>
      <c r="AO103" s="1443"/>
      <c r="AP103" s="1403"/>
      <c r="AQ103" s="1191"/>
      <c r="AR103" s="1309"/>
      <c r="AS103" s="1191"/>
      <c r="AT103" s="1191"/>
      <c r="AU103" s="1191"/>
      <c r="AV103" s="1191"/>
      <c r="AW103" s="1191"/>
      <c r="AX103" s="1191"/>
      <c r="AY103" s="1191"/>
      <c r="AZ103" s="1191"/>
      <c r="BA103" s="1191"/>
      <c r="BB103" s="1191"/>
      <c r="BC103" s="1411">
        <f t="shared" si="5"/>
        <v>0</v>
      </c>
      <c r="BD103" s="1191"/>
      <c r="BE103" s="1192"/>
      <c r="BG103" s="588" t="b">
        <f>IF(OR(AK103='A-50 FGRailInv'!$C$13,AK103='A-50 FGRailInv'!$C$69,AK103='A-50 FGRailInv'!$C$124,AK103='A-50 FGRailInv'!$C$179,AK103='A-50 FGRailInv'!$C$234,AK103='A-50 FGRailInv'!$C$290,AK103='A-50 FGRailInv'!$C$346,AK103='A-50 FGRailInv'!$C$402,AK103='A-50 FGRailInv'!$C$458,AK103='A-50 FGRailInv'!$C$514),TRUE,FALSE)</f>
        <v>0</v>
      </c>
      <c r="BJ103" s="1045" t="str">
        <f>Codes!$C$169</f>
        <v>SR - Streetcar Rail (DO)</v>
      </c>
      <c r="BK103" s="1046" t="str">
        <f>Valid!$B$82</f>
        <v>Double Diamond Crossover</v>
      </c>
      <c r="BL103" s="1330"/>
      <c r="BM103" s="1046" t="str">
        <f>VLOOKUP(BK103,Valid!$B$80:$C$86,2,FALSE)</f>
        <v>Each</v>
      </c>
      <c r="BN103" s="1338"/>
      <c r="BO103" s="1339"/>
      <c r="BP103" s="1340"/>
      <c r="BR103" s="588" t="b">
        <f>IF(OR(BJ103='A-55 TrackInv'!$C$13,BJ103='A-55 TrackInv'!$C$44,BJ103='A-55 TrackInv'!$C$75,BJ103='A-55 TrackInv'!$C$106,BJ103='A-55 TrackInv'!$C$137,BJ103='A-55 TrackInv'!$C$168,BJ103='A-55 TrackInv'!$C$199,BJ103='A-55 TrackInv'!$C$230,BJ103='A-55 TrackInv'!$C$261,BJ103='A-55 TrackInv'!$C$292),TRUE,FALSE)</f>
        <v>0</v>
      </c>
      <c r="BU103" s="1489"/>
      <c r="BV103" s="1212"/>
      <c r="BW103" s="1004"/>
      <c r="BX103" s="999"/>
      <c r="BY103" s="999"/>
      <c r="BZ103" s="999"/>
      <c r="CA103" s="999"/>
      <c r="CB103" s="999"/>
      <c r="CC103" s="1165"/>
      <c r="CF103" s="1036"/>
      <c r="CG103" s="1004"/>
      <c r="CH103" s="1004"/>
      <c r="CI103" s="1004"/>
      <c r="CJ103" s="1004"/>
      <c r="CK103" s="1044"/>
      <c r="CL103" s="1163"/>
      <c r="CM103" s="1163"/>
      <c r="CN103" s="647"/>
      <c r="CO103" s="647"/>
      <c r="CP103" s="1163"/>
      <c r="CQ103" s="639"/>
      <c r="CR103" s="647"/>
      <c r="CS103" s="1171"/>
      <c r="CT103" s="1001"/>
      <c r="CU103" s="647"/>
      <c r="CV103" s="1001"/>
      <c r="CW103" s="647"/>
      <c r="CX103" s="1009"/>
      <c r="CY103" s="1009"/>
      <c r="CZ103" s="1163"/>
      <c r="DA103" s="1004"/>
      <c r="DB103" s="1004"/>
      <c r="DC103" s="1004"/>
      <c r="DD103" s="1004"/>
      <c r="DE103" s="1004"/>
      <c r="DF103" s="639"/>
      <c r="DG103" s="1019"/>
    </row>
    <row r="104" spans="1:111" s="588" customFormat="1" x14ac:dyDescent="0.2">
      <c r="A104" s="589">
        <f t="shared" si="4"/>
        <v>95</v>
      </c>
      <c r="B104" s="644"/>
      <c r="C104" s="1420"/>
      <c r="D104" s="639"/>
      <c r="E104" s="639"/>
      <c r="F104" s="639"/>
      <c r="G104" s="1013"/>
      <c r="H104" s="639"/>
      <c r="I104" s="639"/>
      <c r="J104" s="643"/>
      <c r="K104" s="1004"/>
      <c r="L104" s="999"/>
      <c r="M104" s="1001"/>
      <c r="N104" s="643"/>
      <c r="O104" s="640"/>
      <c r="Q104" s="589"/>
      <c r="R104" s="644"/>
      <c r="S104" s="1420"/>
      <c r="T104" s="639"/>
      <c r="U104" s="639"/>
      <c r="V104" s="639"/>
      <c r="W104" s="1013"/>
      <c r="X104" s="647"/>
      <c r="Y104" s="647"/>
      <c r="Z104" s="639"/>
      <c r="AA104" s="639"/>
      <c r="AB104" s="643"/>
      <c r="AC104" s="1004"/>
      <c r="AD104" s="1163"/>
      <c r="AE104" s="999"/>
      <c r="AF104" s="1001"/>
      <c r="AG104" s="643"/>
      <c r="AH104" s="1165"/>
      <c r="AI104" s="589"/>
      <c r="AJ104" s="375"/>
      <c r="AK104" s="1041" t="str">
        <f>Codes!$C$162</f>
        <v>CR - Commuter Rail (PT)</v>
      </c>
      <c r="AL104" s="1042" t="str">
        <f>Valid!$B$88</f>
        <v>Substation Equipment</v>
      </c>
      <c r="AM104" s="1209"/>
      <c r="AN104" s="1401"/>
      <c r="AO104" s="1444"/>
      <c r="AP104" s="1401"/>
      <c r="AQ104" s="1193"/>
      <c r="AR104" s="1310"/>
      <c r="AS104" s="1194"/>
      <c r="AT104" s="1194"/>
      <c r="AU104" s="1194"/>
      <c r="AV104" s="1194"/>
      <c r="AW104" s="1194"/>
      <c r="AX104" s="1194"/>
      <c r="AY104" s="1194"/>
      <c r="AZ104" s="1194"/>
      <c r="BA104" s="1194"/>
      <c r="BB104" s="1194"/>
      <c r="BC104" s="1412">
        <f t="shared" si="5"/>
        <v>0</v>
      </c>
      <c r="BD104" s="1193"/>
      <c r="BE104" s="1195"/>
      <c r="BG104" s="588" t="b">
        <f>IF(OR(AK104='A-50 FGRailInv'!$C$13,AK104='A-50 FGRailInv'!$C$69,AK104='A-50 FGRailInv'!$C$124,AK104='A-50 FGRailInv'!$C$179,AK104='A-50 FGRailInv'!$C$234,AK104='A-50 FGRailInv'!$C$290,AK104='A-50 FGRailInv'!$C$346,AK104='A-50 FGRailInv'!$C$402,AK104='A-50 FGRailInv'!$C$458,AK104='A-50 FGRailInv'!$C$514),TRUE,FALSE)</f>
        <v>0</v>
      </c>
      <c r="BJ104" s="1041" t="str">
        <f>Codes!$C$169</f>
        <v>SR - Streetcar Rail (DO)</v>
      </c>
      <c r="BK104" s="1042" t="str">
        <f>Valid!$B$83</f>
        <v>Single Crossover</v>
      </c>
      <c r="BL104" s="1382"/>
      <c r="BM104" s="1042" t="str">
        <f>VLOOKUP(BK104,Valid!$B$80:$C$86,2,FALSE)</f>
        <v>Each</v>
      </c>
      <c r="BN104" s="1383"/>
      <c r="BO104" s="1194"/>
      <c r="BP104" s="1195"/>
      <c r="BR104" s="588" t="b">
        <f>IF(OR(BJ104='A-55 TrackInv'!$C$13,BJ104='A-55 TrackInv'!$C$44,BJ104='A-55 TrackInv'!$C$75,BJ104='A-55 TrackInv'!$C$106,BJ104='A-55 TrackInv'!$C$137,BJ104='A-55 TrackInv'!$C$168,BJ104='A-55 TrackInv'!$C$199,BJ104='A-55 TrackInv'!$C$230,BJ104='A-55 TrackInv'!$C$261,BJ104='A-55 TrackInv'!$C$292),TRUE,FALSE)</f>
        <v>0</v>
      </c>
      <c r="BU104" s="1489"/>
      <c r="BV104" s="1212"/>
      <c r="BW104" s="1004"/>
      <c r="BX104" s="999"/>
      <c r="BY104" s="999"/>
      <c r="BZ104" s="999"/>
      <c r="CA104" s="999"/>
      <c r="CB104" s="999"/>
      <c r="CC104" s="1165"/>
      <c r="CF104" s="1036"/>
      <c r="CG104" s="1004"/>
      <c r="CH104" s="1004"/>
      <c r="CI104" s="1004"/>
      <c r="CJ104" s="1004"/>
      <c r="CK104" s="1044"/>
      <c r="CL104" s="1163"/>
      <c r="CM104" s="1163"/>
      <c r="CN104" s="647"/>
      <c r="CO104" s="647"/>
      <c r="CP104" s="1163"/>
      <c r="CQ104" s="639"/>
      <c r="CR104" s="647"/>
      <c r="CS104" s="1171"/>
      <c r="CT104" s="1001"/>
      <c r="CU104" s="647"/>
      <c r="CV104" s="1001"/>
      <c r="CW104" s="647"/>
      <c r="CX104" s="1009"/>
      <c r="CY104" s="1009"/>
      <c r="CZ104" s="1163"/>
      <c r="DA104" s="1004"/>
      <c r="DB104" s="1004"/>
      <c r="DC104" s="1004"/>
      <c r="DD104" s="1004"/>
      <c r="DE104" s="1004"/>
      <c r="DF104" s="639"/>
      <c r="DG104" s="1019"/>
    </row>
    <row r="105" spans="1:111" s="588" customFormat="1" x14ac:dyDescent="0.2">
      <c r="A105" s="589">
        <f t="shared" si="4"/>
        <v>96</v>
      </c>
      <c r="B105" s="644"/>
      <c r="C105" s="1420"/>
      <c r="D105" s="639"/>
      <c r="E105" s="639"/>
      <c r="F105" s="639"/>
      <c r="G105" s="1013"/>
      <c r="H105" s="639"/>
      <c r="I105" s="639"/>
      <c r="J105" s="643"/>
      <c r="K105" s="1004"/>
      <c r="L105" s="999"/>
      <c r="M105" s="1001"/>
      <c r="N105" s="643"/>
      <c r="O105" s="640"/>
      <c r="Q105" s="589"/>
      <c r="R105" s="644"/>
      <c r="S105" s="1420"/>
      <c r="T105" s="639"/>
      <c r="U105" s="639"/>
      <c r="V105" s="639"/>
      <c r="W105" s="1013"/>
      <c r="X105" s="647"/>
      <c r="Y105" s="647"/>
      <c r="Z105" s="639"/>
      <c r="AA105" s="639"/>
      <c r="AB105" s="643"/>
      <c r="AC105" s="1004"/>
      <c r="AD105" s="1163"/>
      <c r="AE105" s="999"/>
      <c r="AF105" s="1001"/>
      <c r="AG105" s="643"/>
      <c r="AH105" s="1165"/>
      <c r="AI105" s="589"/>
      <c r="AJ105" s="375"/>
      <c r="AK105" s="1041" t="str">
        <f>Codes!$C$162</f>
        <v>CR - Commuter Rail (PT)</v>
      </c>
      <c r="AL105" s="1042" t="str">
        <f>Valid!$B$89</f>
        <v>Third Rail/Power Distribution</v>
      </c>
      <c r="AM105" s="1209"/>
      <c r="AN105" s="1401"/>
      <c r="AO105" s="1444"/>
      <c r="AP105" s="1401"/>
      <c r="AQ105" s="1193"/>
      <c r="AR105" s="1310"/>
      <c r="AS105" s="1194"/>
      <c r="AT105" s="1194"/>
      <c r="AU105" s="1194"/>
      <c r="AV105" s="1194"/>
      <c r="AW105" s="1194"/>
      <c r="AX105" s="1194"/>
      <c r="AY105" s="1194"/>
      <c r="AZ105" s="1194"/>
      <c r="BA105" s="1194"/>
      <c r="BB105" s="1194"/>
      <c r="BC105" s="1412">
        <f t="shared" si="5"/>
        <v>0</v>
      </c>
      <c r="BD105" s="1193"/>
      <c r="BE105" s="1195"/>
      <c r="BG105" s="588" t="b">
        <f>IF(OR(AK105='A-50 FGRailInv'!$C$13,AK105='A-50 FGRailInv'!$C$69,AK105='A-50 FGRailInv'!$C$124,AK105='A-50 FGRailInv'!$C$179,AK105='A-50 FGRailInv'!$C$234,AK105='A-50 FGRailInv'!$C$290,AK105='A-50 FGRailInv'!$C$346,AK105='A-50 FGRailInv'!$C$402,AK105='A-50 FGRailInv'!$C$458,AK105='A-50 FGRailInv'!$C$514),TRUE,FALSE)</f>
        <v>0</v>
      </c>
      <c r="BJ105" s="1041" t="str">
        <f>Codes!$C$169</f>
        <v>SR - Streetcar Rail (DO)</v>
      </c>
      <c r="BK105" s="1042" t="str">
        <f>Valid!$B$84</f>
        <v>Half Grand Union</v>
      </c>
      <c r="BL105" s="1382"/>
      <c r="BM105" s="1042" t="str">
        <f>VLOOKUP(BK105,Valid!$B$80:$C$86,2,FALSE)</f>
        <v>Each</v>
      </c>
      <c r="BN105" s="1383"/>
      <c r="BO105" s="1194"/>
      <c r="BP105" s="1195"/>
      <c r="BR105" s="588" t="b">
        <f>IF(OR(BJ105='A-55 TrackInv'!$C$13,BJ105='A-55 TrackInv'!$C$44,BJ105='A-55 TrackInv'!$C$75,BJ105='A-55 TrackInv'!$C$106,BJ105='A-55 TrackInv'!$C$137,BJ105='A-55 TrackInv'!$C$168,BJ105='A-55 TrackInv'!$C$199,BJ105='A-55 TrackInv'!$C$230,BJ105='A-55 TrackInv'!$C$261,BJ105='A-55 TrackInv'!$C$292),TRUE,FALSE)</f>
        <v>0</v>
      </c>
      <c r="BU105" s="1489"/>
      <c r="BV105" s="1212"/>
      <c r="BW105" s="1004"/>
      <c r="BX105" s="999"/>
      <c r="BY105" s="999"/>
      <c r="BZ105" s="999"/>
      <c r="CA105" s="999"/>
      <c r="CB105" s="999"/>
      <c r="CC105" s="1165"/>
      <c r="CF105" s="1036"/>
      <c r="CG105" s="1004"/>
      <c r="CH105" s="1004"/>
      <c r="CI105" s="1004"/>
      <c r="CJ105" s="1004"/>
      <c r="CK105" s="1044"/>
      <c r="CL105" s="1163"/>
      <c r="CM105" s="1163"/>
      <c r="CN105" s="647"/>
      <c r="CO105" s="647"/>
      <c r="CP105" s="1163"/>
      <c r="CQ105" s="639"/>
      <c r="CR105" s="647"/>
      <c r="CS105" s="1171"/>
      <c r="CT105" s="1001"/>
      <c r="CU105" s="647"/>
      <c r="CV105" s="1001"/>
      <c r="CW105" s="647"/>
      <c r="CX105" s="1009"/>
      <c r="CY105" s="1009"/>
      <c r="CZ105" s="1163"/>
      <c r="DA105" s="1004"/>
      <c r="DB105" s="1004"/>
      <c r="DC105" s="1004"/>
      <c r="DD105" s="1004"/>
      <c r="DE105" s="1004"/>
      <c r="DF105" s="639"/>
      <c r="DG105" s="1019"/>
    </row>
    <row r="106" spans="1:111" s="588" customFormat="1" x14ac:dyDescent="0.2">
      <c r="A106" s="589">
        <f t="shared" si="4"/>
        <v>97</v>
      </c>
      <c r="B106" s="644"/>
      <c r="C106" s="1420"/>
      <c r="D106" s="639"/>
      <c r="E106" s="639"/>
      <c r="F106" s="639"/>
      <c r="G106" s="1013"/>
      <c r="H106" s="639"/>
      <c r="I106" s="639"/>
      <c r="J106" s="643"/>
      <c r="K106" s="1004"/>
      <c r="L106" s="999"/>
      <c r="M106" s="1001"/>
      <c r="N106" s="643"/>
      <c r="O106" s="640"/>
      <c r="Q106" s="589"/>
      <c r="R106" s="644"/>
      <c r="S106" s="1420"/>
      <c r="T106" s="639"/>
      <c r="U106" s="639"/>
      <c r="V106" s="639"/>
      <c r="W106" s="1013"/>
      <c r="X106" s="647"/>
      <c r="Y106" s="647"/>
      <c r="Z106" s="639"/>
      <c r="AA106" s="639"/>
      <c r="AB106" s="643"/>
      <c r="AC106" s="1004"/>
      <c r="AD106" s="1163"/>
      <c r="AE106" s="999"/>
      <c r="AF106" s="1001"/>
      <c r="AG106" s="643"/>
      <c r="AH106" s="1165"/>
      <c r="AI106" s="589"/>
      <c r="AJ106" s="375"/>
      <c r="AK106" s="1041" t="str">
        <f>Codes!$C$162</f>
        <v>CR - Commuter Rail (PT)</v>
      </c>
      <c r="AL106" s="1042" t="str">
        <f>Valid!$B$90</f>
        <v>Overhead Contact System/Power Distribution</v>
      </c>
      <c r="AM106" s="1209"/>
      <c r="AN106" s="1401"/>
      <c r="AO106" s="1444"/>
      <c r="AP106" s="1401"/>
      <c r="AQ106" s="1193"/>
      <c r="AR106" s="1310"/>
      <c r="AS106" s="1194"/>
      <c r="AT106" s="1194"/>
      <c r="AU106" s="1194"/>
      <c r="AV106" s="1194"/>
      <c r="AW106" s="1194"/>
      <c r="AX106" s="1194"/>
      <c r="AY106" s="1194"/>
      <c r="AZ106" s="1194"/>
      <c r="BA106" s="1194"/>
      <c r="BB106" s="1194"/>
      <c r="BC106" s="1412">
        <f t="shared" si="5"/>
        <v>0</v>
      </c>
      <c r="BD106" s="1193"/>
      <c r="BE106" s="1195"/>
      <c r="BG106" s="588" t="b">
        <f>IF(OR(AK106='A-50 FGRailInv'!$C$13,AK106='A-50 FGRailInv'!$C$69,AK106='A-50 FGRailInv'!$C$124,AK106='A-50 FGRailInv'!$C$179,AK106='A-50 FGRailInv'!$C$234,AK106='A-50 FGRailInv'!$C$290,AK106='A-50 FGRailInv'!$C$346,AK106='A-50 FGRailInv'!$C$402,AK106='A-50 FGRailInv'!$C$458,AK106='A-50 FGRailInv'!$C$514),TRUE,FALSE)</f>
        <v>0</v>
      </c>
      <c r="BJ106" s="1041" t="str">
        <f>Codes!$C$169</f>
        <v>SR - Streetcar Rail (DO)</v>
      </c>
      <c r="BK106" s="1042" t="str">
        <f>Valid!$B$85</f>
        <v>Single Turnout</v>
      </c>
      <c r="BL106" s="1382"/>
      <c r="BM106" s="1042" t="str">
        <f>VLOOKUP(BK106,Valid!$B$80:$C$86,2,FALSE)</f>
        <v>Each</v>
      </c>
      <c r="BN106" s="1383"/>
      <c r="BO106" s="1194"/>
      <c r="BP106" s="1195"/>
      <c r="BR106" s="588" t="b">
        <f>IF(OR(BJ106='A-55 TrackInv'!$C$13,BJ106='A-55 TrackInv'!$C$44,BJ106='A-55 TrackInv'!$C$75,BJ106='A-55 TrackInv'!$C$106,BJ106='A-55 TrackInv'!$C$137,BJ106='A-55 TrackInv'!$C$168,BJ106='A-55 TrackInv'!$C$199,BJ106='A-55 TrackInv'!$C$230,BJ106='A-55 TrackInv'!$C$261,BJ106='A-55 TrackInv'!$C$292),TRUE,FALSE)</f>
        <v>0</v>
      </c>
      <c r="BU106" s="1489"/>
      <c r="BV106" s="1212"/>
      <c r="BW106" s="1004"/>
      <c r="BX106" s="999"/>
      <c r="BY106" s="999"/>
      <c r="BZ106" s="999"/>
      <c r="CA106" s="999"/>
      <c r="CB106" s="999"/>
      <c r="CC106" s="1165"/>
      <c r="CF106" s="1036"/>
      <c r="CG106" s="1004"/>
      <c r="CH106" s="1004"/>
      <c r="CI106" s="1004"/>
      <c r="CJ106" s="1004"/>
      <c r="CK106" s="1044"/>
      <c r="CL106" s="1163"/>
      <c r="CM106" s="1163"/>
      <c r="CN106" s="647"/>
      <c r="CO106" s="647"/>
      <c r="CP106" s="1163"/>
      <c r="CQ106" s="639"/>
      <c r="CR106" s="647"/>
      <c r="CS106" s="1171"/>
      <c r="CT106" s="1001"/>
      <c r="CU106" s="647"/>
      <c r="CV106" s="1001"/>
      <c r="CW106" s="647"/>
      <c r="CX106" s="1009"/>
      <c r="CY106" s="1009"/>
      <c r="CZ106" s="1163"/>
      <c r="DA106" s="1004"/>
      <c r="DB106" s="1004"/>
      <c r="DC106" s="1004"/>
      <c r="DD106" s="1004"/>
      <c r="DE106" s="1004"/>
      <c r="DF106" s="639"/>
      <c r="DG106" s="1019"/>
    </row>
    <row r="107" spans="1:111" s="588" customFormat="1" ht="13.5" thickBot="1" x14ac:dyDescent="0.25">
      <c r="A107" s="589">
        <f t="shared" si="4"/>
        <v>98</v>
      </c>
      <c r="B107" s="644"/>
      <c r="C107" s="1420"/>
      <c r="D107" s="639"/>
      <c r="E107" s="639"/>
      <c r="F107" s="639"/>
      <c r="G107" s="1013"/>
      <c r="H107" s="639"/>
      <c r="I107" s="639"/>
      <c r="J107" s="643"/>
      <c r="K107" s="1004"/>
      <c r="L107" s="999"/>
      <c r="M107" s="1001"/>
      <c r="N107" s="643"/>
      <c r="O107" s="640"/>
      <c r="Q107" s="589"/>
      <c r="R107" s="644"/>
      <c r="S107" s="1420"/>
      <c r="T107" s="639"/>
      <c r="U107" s="639"/>
      <c r="V107" s="639"/>
      <c r="W107" s="1013"/>
      <c r="X107" s="647"/>
      <c r="Y107" s="647"/>
      <c r="Z107" s="639"/>
      <c r="AA107" s="639"/>
      <c r="AB107" s="643"/>
      <c r="AC107" s="1004"/>
      <c r="AD107" s="1163"/>
      <c r="AE107" s="999"/>
      <c r="AF107" s="1001"/>
      <c r="AG107" s="643"/>
      <c r="AH107" s="1165"/>
      <c r="AI107" s="589"/>
      <c r="AJ107" s="375"/>
      <c r="AK107" s="1047" t="str">
        <f>Codes!$C$162</f>
        <v>CR - Commuter Rail (PT)</v>
      </c>
      <c r="AL107" s="1050" t="str">
        <f>Valid!$B$91</f>
        <v>Train Control &amp; Signaling</v>
      </c>
      <c r="AM107" s="1210"/>
      <c r="AN107" s="1404"/>
      <c r="AO107" s="1445"/>
      <c r="AP107" s="1404"/>
      <c r="AQ107" s="1196"/>
      <c r="AR107" s="1311"/>
      <c r="AS107" s="1197"/>
      <c r="AT107" s="1197"/>
      <c r="AU107" s="1197"/>
      <c r="AV107" s="1197"/>
      <c r="AW107" s="1197"/>
      <c r="AX107" s="1197"/>
      <c r="AY107" s="1197"/>
      <c r="AZ107" s="1197"/>
      <c r="BA107" s="1197"/>
      <c r="BB107" s="1197"/>
      <c r="BC107" s="1412">
        <f t="shared" si="5"/>
        <v>0</v>
      </c>
      <c r="BD107" s="1196"/>
      <c r="BE107" s="1198"/>
      <c r="BG107" s="588" t="b">
        <f>IF(OR(AK107='A-50 FGRailInv'!$C$13,AK107='A-50 FGRailInv'!$C$69,AK107='A-50 FGRailInv'!$C$124,AK107='A-50 FGRailInv'!$C$179,AK107='A-50 FGRailInv'!$C$234,AK107='A-50 FGRailInv'!$C$290,AK107='A-50 FGRailInv'!$C$346,AK107='A-50 FGRailInv'!$C$402,AK107='A-50 FGRailInv'!$C$458,AK107='A-50 FGRailInv'!$C$514),TRUE,FALSE)</f>
        <v>0</v>
      </c>
      <c r="BJ107" s="1047" t="str">
        <f>Codes!$C$169</f>
        <v>SR - Streetcar Rail (DO)</v>
      </c>
      <c r="BK107" s="1050" t="str">
        <f>Valid!$B$86</f>
        <v>Grade Crossings</v>
      </c>
      <c r="BL107" s="1331"/>
      <c r="BM107" s="1050" t="str">
        <f>VLOOKUP(BK107,Valid!$B$80:$C$86,2,FALSE)</f>
        <v>Each</v>
      </c>
      <c r="BN107" s="1341"/>
      <c r="BO107" s="1197"/>
      <c r="BP107" s="1198"/>
      <c r="BR107" s="588" t="b">
        <f>IF(OR(BJ107='A-55 TrackInv'!$C$13,BJ107='A-55 TrackInv'!$C$44,BJ107='A-55 TrackInv'!$C$75,BJ107='A-55 TrackInv'!$C$106,BJ107='A-55 TrackInv'!$C$137,BJ107='A-55 TrackInv'!$C$168,BJ107='A-55 TrackInv'!$C$199,BJ107='A-55 TrackInv'!$C$230,BJ107='A-55 TrackInv'!$C$261,BJ107='A-55 TrackInv'!$C$292),TRUE,FALSE)</f>
        <v>0</v>
      </c>
      <c r="BU107" s="1489"/>
      <c r="BV107" s="1212"/>
      <c r="BW107" s="1004"/>
      <c r="BX107" s="999"/>
      <c r="BY107" s="999"/>
      <c r="BZ107" s="999"/>
      <c r="CA107" s="999"/>
      <c r="CB107" s="999"/>
      <c r="CC107" s="1165"/>
      <c r="CF107" s="1036"/>
      <c r="CG107" s="1004"/>
      <c r="CH107" s="1004"/>
      <c r="CI107" s="1004"/>
      <c r="CJ107" s="1004"/>
      <c r="CK107" s="1044"/>
      <c r="CL107" s="1163"/>
      <c r="CM107" s="1163"/>
      <c r="CN107" s="647"/>
      <c r="CO107" s="647"/>
      <c r="CP107" s="1163"/>
      <c r="CQ107" s="639"/>
      <c r="CR107" s="647"/>
      <c r="CS107" s="1171"/>
      <c r="CT107" s="1001"/>
      <c r="CU107" s="647"/>
      <c r="CV107" s="1001"/>
      <c r="CW107" s="647"/>
      <c r="CX107" s="1009"/>
      <c r="CY107" s="1009"/>
      <c r="CZ107" s="1163"/>
      <c r="DA107" s="1004"/>
      <c r="DB107" s="1004"/>
      <c r="DC107" s="1004"/>
      <c r="DD107" s="1004"/>
      <c r="DE107" s="1004"/>
      <c r="DF107" s="639"/>
      <c r="DG107" s="1019"/>
    </row>
    <row r="108" spans="1:111" s="588" customFormat="1" x14ac:dyDescent="0.2">
      <c r="A108" s="589">
        <f t="shared" si="4"/>
        <v>99</v>
      </c>
      <c r="B108" s="644"/>
      <c r="C108" s="1420"/>
      <c r="D108" s="639"/>
      <c r="E108" s="639"/>
      <c r="F108" s="639"/>
      <c r="G108" s="1013"/>
      <c r="H108" s="639"/>
      <c r="I108" s="639"/>
      <c r="J108" s="643"/>
      <c r="K108" s="1004"/>
      <c r="L108" s="999"/>
      <c r="M108" s="1001"/>
      <c r="N108" s="643"/>
      <c r="O108" s="640"/>
      <c r="Q108" s="589"/>
      <c r="R108" s="644"/>
      <c r="S108" s="1420"/>
      <c r="T108" s="639"/>
      <c r="U108" s="639"/>
      <c r="V108" s="639"/>
      <c r="W108" s="1013"/>
      <c r="X108" s="647"/>
      <c r="Y108" s="647"/>
      <c r="Z108" s="639"/>
      <c r="AA108" s="639"/>
      <c r="AB108" s="643"/>
      <c r="AC108" s="1004"/>
      <c r="AD108" s="1163"/>
      <c r="AE108" s="999"/>
      <c r="AF108" s="1001"/>
      <c r="AG108" s="643"/>
      <c r="AH108" s="1165"/>
      <c r="AI108" s="589"/>
      <c r="AJ108" s="375"/>
      <c r="AK108" s="1043" t="str">
        <f>Codes!$C$163</f>
        <v>HR - Heavy Rail (DO)</v>
      </c>
      <c r="AL108" s="1303" t="str">
        <f>Valid!$B$71</f>
        <v>At-Grade/Ballast (including expressway)</v>
      </c>
      <c r="AM108" s="1003"/>
      <c r="AN108" s="1400" t="str">
        <f>Valid!$C$71</f>
        <v>Linear Feet</v>
      </c>
      <c r="AO108" s="1446"/>
      <c r="AP108" s="1400" t="s">
        <v>1149</v>
      </c>
      <c r="AQ108" s="1012"/>
      <c r="AR108" s="1312"/>
      <c r="AS108" s="1304"/>
      <c r="AT108" s="1304"/>
      <c r="AU108" s="1304"/>
      <c r="AV108" s="1304"/>
      <c r="AW108" s="1304"/>
      <c r="AX108" s="1304"/>
      <c r="AY108" s="1304"/>
      <c r="AZ108" s="1304"/>
      <c r="BA108" s="1304"/>
      <c r="BB108" s="1304"/>
      <c r="BC108" s="1408">
        <f>SUM(AS103:BB103)</f>
        <v>0</v>
      </c>
      <c r="BD108" s="1007"/>
      <c r="BE108" s="1305"/>
      <c r="BG108" s="588" t="b">
        <f>IF(OR(AK108='A-50 FGRailInv'!$C$13,AK108='A-50 FGRailInv'!$C$69,AK108='A-50 FGRailInv'!$C$124,AK108='A-50 FGRailInv'!$C$179,AK108='A-50 FGRailInv'!$C$234,AK108='A-50 FGRailInv'!$C$290,AK108='A-50 FGRailInv'!$C$346,AK108='A-50 FGRailInv'!$C$402,AK108='A-50 FGRailInv'!$C$458,AK108='A-50 FGRailInv'!$C$514),TRUE,FALSE)</f>
        <v>0</v>
      </c>
      <c r="BJ108" s="1043" t="str">
        <f>Codes!$C$170</f>
        <v>SR - Streetcar Rail (PT)</v>
      </c>
      <c r="BK108" s="1303" t="str">
        <f>Valid!$B$80</f>
        <v>Tangent</v>
      </c>
      <c r="BL108" s="1328"/>
      <c r="BM108" s="1303" t="str">
        <f>VLOOKUP(BK108,Valid!$B$80:$C$86,2,FALSE)</f>
        <v>Track Feet</v>
      </c>
      <c r="BN108" s="1332"/>
      <c r="BO108" s="1333"/>
      <c r="BP108" s="1334"/>
      <c r="BR108" s="588" t="b">
        <f>IF(OR(BJ108='A-55 TrackInv'!$C$13,BJ108='A-55 TrackInv'!$C$44,BJ108='A-55 TrackInv'!$C$75,BJ108='A-55 TrackInv'!$C$106,BJ108='A-55 TrackInv'!$C$137,BJ108='A-55 TrackInv'!$C$168,BJ108='A-55 TrackInv'!$C$199,BJ108='A-55 TrackInv'!$C$230,BJ108='A-55 TrackInv'!$C$261,BJ108='A-55 TrackInv'!$C$292),TRUE,FALSE)</f>
        <v>0</v>
      </c>
      <c r="BU108" s="1489"/>
      <c r="BV108" s="1212"/>
      <c r="BW108" s="1004"/>
      <c r="BX108" s="999"/>
      <c r="BY108" s="999"/>
      <c r="BZ108" s="999"/>
      <c r="CA108" s="999"/>
      <c r="CB108" s="999"/>
      <c r="CC108" s="1165"/>
      <c r="CF108" s="1036"/>
      <c r="CG108" s="1004"/>
      <c r="CH108" s="1004"/>
      <c r="CI108" s="1004"/>
      <c r="CJ108" s="1004"/>
      <c r="CK108" s="1044"/>
      <c r="CL108" s="1163"/>
      <c r="CM108" s="1163"/>
      <c r="CN108" s="647"/>
      <c r="CO108" s="647"/>
      <c r="CP108" s="1163"/>
      <c r="CQ108" s="639"/>
      <c r="CR108" s="647"/>
      <c r="CS108" s="1171"/>
      <c r="CT108" s="1001"/>
      <c r="CU108" s="647"/>
      <c r="CV108" s="1001"/>
      <c r="CW108" s="647"/>
      <c r="CX108" s="1009"/>
      <c r="CY108" s="1009"/>
      <c r="CZ108" s="1163"/>
      <c r="DA108" s="1004"/>
      <c r="DB108" s="1004"/>
      <c r="DC108" s="1004"/>
      <c r="DD108" s="1004"/>
      <c r="DE108" s="1004"/>
      <c r="DF108" s="639"/>
      <c r="DG108" s="1019"/>
    </row>
    <row r="109" spans="1:111" s="588" customFormat="1" ht="13.5" thickBot="1" x14ac:dyDescent="0.25">
      <c r="A109" s="589">
        <f t="shared" si="4"/>
        <v>100</v>
      </c>
      <c r="B109" s="645"/>
      <c r="C109" s="1421"/>
      <c r="D109" s="641"/>
      <c r="E109" s="641"/>
      <c r="F109" s="641"/>
      <c r="G109" s="1014"/>
      <c r="H109" s="641"/>
      <c r="I109" s="641"/>
      <c r="J109" s="646"/>
      <c r="K109" s="1005"/>
      <c r="L109" s="1000"/>
      <c r="M109" s="1002"/>
      <c r="N109" s="646"/>
      <c r="O109" s="642"/>
      <c r="Q109" s="589"/>
      <c r="R109" s="645"/>
      <c r="S109" s="1421"/>
      <c r="T109" s="641"/>
      <c r="U109" s="641"/>
      <c r="V109" s="641"/>
      <c r="W109" s="1014"/>
      <c r="X109" s="648"/>
      <c r="Y109" s="648"/>
      <c r="Z109" s="641"/>
      <c r="AA109" s="641"/>
      <c r="AB109" s="646"/>
      <c r="AC109" s="1005"/>
      <c r="AD109" s="1164"/>
      <c r="AE109" s="1000"/>
      <c r="AF109" s="1002"/>
      <c r="AG109" s="646"/>
      <c r="AH109" s="1166"/>
      <c r="AI109" s="589"/>
      <c r="AJ109" s="375"/>
      <c r="AK109" s="1041" t="str">
        <f>Codes!$C$163</f>
        <v>HR - Heavy Rail (DO)</v>
      </c>
      <c r="AL109" s="1042" t="str">
        <f>Valid!$B$72</f>
        <v>At-Grade/In-Street/Embedded</v>
      </c>
      <c r="AM109" s="1004"/>
      <c r="AN109" s="1401" t="str">
        <f>Valid!$C$72</f>
        <v>Linear Feet</v>
      </c>
      <c r="AO109" s="1441"/>
      <c r="AP109" s="1401" t="s">
        <v>1149</v>
      </c>
      <c r="AQ109" s="1033"/>
      <c r="AR109" s="1307"/>
      <c r="AS109" s="997"/>
      <c r="AT109" s="997"/>
      <c r="AU109" s="997"/>
      <c r="AV109" s="997"/>
      <c r="AW109" s="997"/>
      <c r="AX109" s="997"/>
      <c r="AY109" s="997"/>
      <c r="AZ109" s="997"/>
      <c r="BA109" s="997"/>
      <c r="BB109" s="997"/>
      <c r="BC109" s="1409">
        <f>SUM(AS104:BB104)</f>
        <v>0</v>
      </c>
      <c r="BD109" s="999"/>
      <c r="BE109" s="640"/>
      <c r="BG109" s="588" t="b">
        <f>IF(OR(AK109='A-50 FGRailInv'!$C$13,AK109='A-50 FGRailInv'!$C$69,AK109='A-50 FGRailInv'!$C$124,AK109='A-50 FGRailInv'!$C$179,AK109='A-50 FGRailInv'!$C$234,AK109='A-50 FGRailInv'!$C$290,AK109='A-50 FGRailInv'!$C$346,AK109='A-50 FGRailInv'!$C$402,AK109='A-50 FGRailInv'!$C$458,AK109='A-50 FGRailInv'!$C$514),TRUE,FALSE)</f>
        <v>0</v>
      </c>
      <c r="BJ109" s="1048" t="str">
        <f>Codes!$C$170</f>
        <v>SR - Streetcar Rail (PT)</v>
      </c>
      <c r="BK109" s="1049" t="str">
        <f>Valid!$B$81</f>
        <v>Curve</v>
      </c>
      <c r="BL109" s="1329"/>
      <c r="BM109" s="1049" t="str">
        <f>VLOOKUP(BK109,Valid!$B$80:$C$86,2,FALSE)</f>
        <v>Track Feet</v>
      </c>
      <c r="BN109" s="1335"/>
      <c r="BO109" s="1336"/>
      <c r="BP109" s="1337"/>
      <c r="BR109" s="588" t="b">
        <f>IF(OR(BJ109='A-55 TrackInv'!$C$13,BJ109='A-55 TrackInv'!$C$44,BJ109='A-55 TrackInv'!$C$75,BJ109='A-55 TrackInv'!$C$106,BJ109='A-55 TrackInv'!$C$137,BJ109='A-55 TrackInv'!$C$168,BJ109='A-55 TrackInv'!$C$199,BJ109='A-55 TrackInv'!$C$230,BJ109='A-55 TrackInv'!$C$261,BJ109='A-55 TrackInv'!$C$292),TRUE,FALSE)</f>
        <v>0</v>
      </c>
      <c r="BU109" s="1490"/>
      <c r="BV109" s="1213"/>
      <c r="BW109" s="1005"/>
      <c r="BX109" s="1000"/>
      <c r="BY109" s="1000"/>
      <c r="BZ109" s="1000"/>
      <c r="CA109" s="1000"/>
      <c r="CB109" s="1000"/>
      <c r="CC109" s="1166"/>
      <c r="CF109" s="1037"/>
      <c r="CG109" s="1005"/>
      <c r="CH109" s="1005"/>
      <c r="CI109" s="1005"/>
      <c r="CJ109" s="1005"/>
      <c r="CK109" s="1051"/>
      <c r="CL109" s="1164"/>
      <c r="CM109" s="1164"/>
      <c r="CN109" s="648"/>
      <c r="CO109" s="648"/>
      <c r="CP109" s="1164"/>
      <c r="CQ109" s="641"/>
      <c r="CR109" s="648"/>
      <c r="CS109" s="1172"/>
      <c r="CT109" s="1002"/>
      <c r="CU109" s="648"/>
      <c r="CV109" s="1002"/>
      <c r="CW109" s="648"/>
      <c r="CX109" s="1010"/>
      <c r="CY109" s="1010"/>
      <c r="CZ109" s="1164"/>
      <c r="DA109" s="1005"/>
      <c r="DB109" s="1005"/>
      <c r="DC109" s="1005"/>
      <c r="DD109" s="1005"/>
      <c r="DE109" s="1005"/>
      <c r="DF109" s="641"/>
      <c r="DG109" s="1020"/>
    </row>
  </sheetData>
  <sheetProtection password="C82B" sheet="1" objects="1" scenarios="1" formatCells="0" formatColumns="0" formatRows="0" selectLockedCells="1" sort="0" autoFilter="0"/>
  <mergeCells count="12">
    <mergeCell ref="CX5:CY8"/>
    <mergeCell ref="AS4:BC4"/>
    <mergeCell ref="BB8:BB9"/>
    <mergeCell ref="BA8:BA9"/>
    <mergeCell ref="AZ8:AZ9"/>
    <mergeCell ref="AY8:AY9"/>
    <mergeCell ref="AX8:AX9"/>
    <mergeCell ref="AW8:AW9"/>
    <mergeCell ref="AV8:AV9"/>
    <mergeCell ref="AU8:AU9"/>
    <mergeCell ref="AT8:AT9"/>
    <mergeCell ref="AS8:AS9"/>
  </mergeCells>
  <conditionalFormatting sqref="AK10:BE109">
    <cfRule type="expression" dxfId="23" priority="1">
      <formula>$BG10</formula>
    </cfRule>
  </conditionalFormatting>
  <conditionalFormatting sqref="BJ10:BP109">
    <cfRule type="expression" dxfId="22" priority="22">
      <formula>$BR10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B105"/>
  <sheetViews>
    <sheetView topLeftCell="A46" zoomScale="80" zoomScaleNormal="80" workbookViewId="0"/>
  </sheetViews>
  <sheetFormatPr defaultRowHeight="12.75" x14ac:dyDescent="0.2"/>
  <cols>
    <col min="1" max="1" width="10.7109375" bestFit="1" customWidth="1"/>
    <col min="2" max="2" width="14.140625" customWidth="1"/>
  </cols>
  <sheetData>
    <row r="1" spans="1:2" ht="25.5" x14ac:dyDescent="0.2">
      <c r="A1" s="576" t="s">
        <v>345</v>
      </c>
      <c r="B1" s="577" t="s">
        <v>553</v>
      </c>
    </row>
    <row r="2" spans="1:2" x14ac:dyDescent="0.2">
      <c r="A2" s="304">
        <v>1</v>
      </c>
      <c r="B2" s="304" t="s">
        <v>346</v>
      </c>
    </row>
    <row r="3" spans="1:2" x14ac:dyDescent="0.2">
      <c r="A3" s="304">
        <f t="shared" ref="A3:A34" si="0">A2+1</f>
        <v>2</v>
      </c>
      <c r="B3" s="304" t="s">
        <v>340</v>
      </c>
    </row>
    <row r="4" spans="1:2" x14ac:dyDescent="0.2">
      <c r="A4" s="304">
        <f t="shared" si="0"/>
        <v>3</v>
      </c>
      <c r="B4" s="304" t="s">
        <v>110</v>
      </c>
    </row>
    <row r="5" spans="1:2" x14ac:dyDescent="0.2">
      <c r="A5" s="304">
        <f t="shared" si="0"/>
        <v>4</v>
      </c>
      <c r="B5" s="304" t="s">
        <v>341</v>
      </c>
    </row>
    <row r="6" spans="1:2" x14ac:dyDescent="0.2">
      <c r="A6" s="304">
        <f t="shared" si="0"/>
        <v>5</v>
      </c>
      <c r="B6" s="304" t="s">
        <v>111</v>
      </c>
    </row>
    <row r="7" spans="1:2" x14ac:dyDescent="0.2">
      <c r="A7" s="304">
        <f t="shared" si="0"/>
        <v>6</v>
      </c>
      <c r="B7" s="159" t="s">
        <v>296</v>
      </c>
    </row>
    <row r="8" spans="1:2" x14ac:dyDescent="0.2">
      <c r="A8" s="304">
        <f t="shared" si="0"/>
        <v>7</v>
      </c>
      <c r="B8" s="159" t="s">
        <v>112</v>
      </c>
    </row>
    <row r="9" spans="1:2" x14ac:dyDescent="0.2">
      <c r="A9" s="304">
        <f t="shared" si="0"/>
        <v>8</v>
      </c>
      <c r="B9" s="159" t="s">
        <v>29</v>
      </c>
    </row>
    <row r="10" spans="1:2" x14ac:dyDescent="0.2">
      <c r="A10" s="304">
        <f t="shared" si="0"/>
        <v>9</v>
      </c>
      <c r="B10" s="159" t="s">
        <v>113</v>
      </c>
    </row>
    <row r="11" spans="1:2" x14ac:dyDescent="0.2">
      <c r="A11" s="304">
        <f t="shared" si="0"/>
        <v>10</v>
      </c>
      <c r="B11" s="159" t="s">
        <v>165</v>
      </c>
    </row>
    <row r="12" spans="1:2" x14ac:dyDescent="0.2">
      <c r="A12" s="304">
        <f t="shared" si="0"/>
        <v>11</v>
      </c>
      <c r="B12" s="159" t="s">
        <v>188</v>
      </c>
    </row>
    <row r="13" spans="1:2" x14ac:dyDescent="0.2">
      <c r="A13" s="304">
        <f t="shared" si="0"/>
        <v>12</v>
      </c>
      <c r="B13" s="159" t="s">
        <v>186</v>
      </c>
    </row>
    <row r="14" spans="1:2" x14ac:dyDescent="0.2">
      <c r="A14" s="304">
        <f t="shared" si="0"/>
        <v>13</v>
      </c>
      <c r="B14" s="159" t="s">
        <v>189</v>
      </c>
    </row>
    <row r="15" spans="1:2" x14ac:dyDescent="0.2">
      <c r="A15" s="304">
        <f t="shared" si="0"/>
        <v>14</v>
      </c>
      <c r="B15" s="159" t="s">
        <v>83</v>
      </c>
    </row>
    <row r="16" spans="1:2" x14ac:dyDescent="0.2">
      <c r="A16" s="304">
        <f t="shared" si="0"/>
        <v>15</v>
      </c>
      <c r="B16" s="159" t="s">
        <v>187</v>
      </c>
    </row>
    <row r="17" spans="1:2" x14ac:dyDescent="0.2">
      <c r="A17" s="304">
        <f t="shared" si="0"/>
        <v>16</v>
      </c>
      <c r="B17" s="159" t="s">
        <v>84</v>
      </c>
    </row>
    <row r="18" spans="1:2" x14ac:dyDescent="0.2">
      <c r="A18" s="304">
        <f t="shared" si="0"/>
        <v>17</v>
      </c>
      <c r="B18" s="159" t="s">
        <v>190</v>
      </c>
    </row>
    <row r="19" spans="1:2" x14ac:dyDescent="0.2">
      <c r="A19" s="304">
        <f t="shared" si="0"/>
        <v>18</v>
      </c>
      <c r="B19" s="159" t="s">
        <v>40</v>
      </c>
    </row>
    <row r="20" spans="1:2" x14ac:dyDescent="0.2">
      <c r="A20" s="304">
        <f t="shared" si="0"/>
        <v>19</v>
      </c>
      <c r="B20" s="159" t="s">
        <v>191</v>
      </c>
    </row>
    <row r="21" spans="1:2" x14ac:dyDescent="0.2">
      <c r="A21" s="304">
        <f t="shared" si="0"/>
        <v>20</v>
      </c>
      <c r="B21" s="159" t="s">
        <v>166</v>
      </c>
    </row>
    <row r="22" spans="1:2" x14ac:dyDescent="0.2">
      <c r="A22" s="304">
        <f t="shared" si="0"/>
        <v>21</v>
      </c>
      <c r="B22" s="159" t="s">
        <v>192</v>
      </c>
    </row>
    <row r="23" spans="1:2" x14ac:dyDescent="0.2">
      <c r="A23" s="304">
        <f t="shared" si="0"/>
        <v>22</v>
      </c>
      <c r="B23" s="159" t="s">
        <v>303</v>
      </c>
    </row>
    <row r="24" spans="1:2" x14ac:dyDescent="0.2">
      <c r="A24" s="304">
        <f t="shared" si="0"/>
        <v>23</v>
      </c>
      <c r="B24" s="159" t="s">
        <v>194</v>
      </c>
    </row>
    <row r="25" spans="1:2" x14ac:dyDescent="0.2">
      <c r="A25" s="304">
        <f t="shared" si="0"/>
        <v>24</v>
      </c>
      <c r="B25" s="159" t="s">
        <v>347</v>
      </c>
    </row>
    <row r="26" spans="1:2" x14ac:dyDescent="0.2">
      <c r="A26" s="304">
        <f t="shared" si="0"/>
        <v>25</v>
      </c>
      <c r="B26" s="159" t="s">
        <v>167</v>
      </c>
    </row>
    <row r="27" spans="1:2" x14ac:dyDescent="0.2">
      <c r="A27" s="304">
        <f t="shared" si="0"/>
        <v>26</v>
      </c>
      <c r="B27" s="159" t="s">
        <v>193</v>
      </c>
    </row>
    <row r="28" spans="1:2" x14ac:dyDescent="0.2">
      <c r="A28" s="304">
        <f t="shared" si="0"/>
        <v>27</v>
      </c>
      <c r="B28" s="159" t="str">
        <f t="shared" ref="B28:B53" si="1">"a"&amp;B2</f>
        <v>aa</v>
      </c>
    </row>
    <row r="29" spans="1:2" x14ac:dyDescent="0.2">
      <c r="A29" s="304">
        <f t="shared" si="0"/>
        <v>28</v>
      </c>
      <c r="B29" s="159" t="str">
        <f t="shared" si="1"/>
        <v>ab</v>
      </c>
    </row>
    <row r="30" spans="1:2" x14ac:dyDescent="0.2">
      <c r="A30" s="304">
        <f t="shared" si="0"/>
        <v>29</v>
      </c>
      <c r="B30" s="159" t="str">
        <f t="shared" si="1"/>
        <v>ac</v>
      </c>
    </row>
    <row r="31" spans="1:2" x14ac:dyDescent="0.2">
      <c r="A31" s="304">
        <f t="shared" si="0"/>
        <v>30</v>
      </c>
      <c r="B31" s="159" t="str">
        <f t="shared" si="1"/>
        <v>ad</v>
      </c>
    </row>
    <row r="32" spans="1:2" x14ac:dyDescent="0.2">
      <c r="A32" s="304">
        <f t="shared" si="0"/>
        <v>31</v>
      </c>
      <c r="B32" s="159" t="str">
        <f t="shared" si="1"/>
        <v>ae</v>
      </c>
    </row>
    <row r="33" spans="1:2" x14ac:dyDescent="0.2">
      <c r="A33" s="304">
        <f t="shared" si="0"/>
        <v>32</v>
      </c>
      <c r="B33" s="159" t="str">
        <f t="shared" si="1"/>
        <v>af</v>
      </c>
    </row>
    <row r="34" spans="1:2" x14ac:dyDescent="0.2">
      <c r="A34" s="304">
        <f t="shared" si="0"/>
        <v>33</v>
      </c>
      <c r="B34" s="159" t="str">
        <f t="shared" si="1"/>
        <v>ag</v>
      </c>
    </row>
    <row r="35" spans="1:2" x14ac:dyDescent="0.2">
      <c r="A35" s="304">
        <f t="shared" ref="A35:A66" si="2">A34+1</f>
        <v>34</v>
      </c>
      <c r="B35" s="159" t="str">
        <f t="shared" si="1"/>
        <v>ah</v>
      </c>
    </row>
    <row r="36" spans="1:2" x14ac:dyDescent="0.2">
      <c r="A36" s="304">
        <f t="shared" si="2"/>
        <v>35</v>
      </c>
      <c r="B36" s="159" t="str">
        <f t="shared" si="1"/>
        <v>ai</v>
      </c>
    </row>
    <row r="37" spans="1:2" x14ac:dyDescent="0.2">
      <c r="A37" s="304">
        <f t="shared" si="2"/>
        <v>36</v>
      </c>
      <c r="B37" s="159" t="str">
        <f t="shared" si="1"/>
        <v>aj</v>
      </c>
    </row>
    <row r="38" spans="1:2" x14ac:dyDescent="0.2">
      <c r="A38" s="304">
        <f t="shared" si="2"/>
        <v>37</v>
      </c>
      <c r="B38" s="159" t="str">
        <f t="shared" si="1"/>
        <v>ak</v>
      </c>
    </row>
    <row r="39" spans="1:2" x14ac:dyDescent="0.2">
      <c r="A39" s="304">
        <f t="shared" si="2"/>
        <v>38</v>
      </c>
      <c r="B39" s="159" t="str">
        <f t="shared" si="1"/>
        <v>al</v>
      </c>
    </row>
    <row r="40" spans="1:2" x14ac:dyDescent="0.2">
      <c r="A40" s="304">
        <f t="shared" si="2"/>
        <v>39</v>
      </c>
      <c r="B40" s="159" t="str">
        <f t="shared" si="1"/>
        <v>am</v>
      </c>
    </row>
    <row r="41" spans="1:2" x14ac:dyDescent="0.2">
      <c r="A41" s="304">
        <f t="shared" si="2"/>
        <v>40</v>
      </c>
      <c r="B41" s="159" t="str">
        <f t="shared" si="1"/>
        <v>an</v>
      </c>
    </row>
    <row r="42" spans="1:2" x14ac:dyDescent="0.2">
      <c r="A42" s="304">
        <f t="shared" si="2"/>
        <v>41</v>
      </c>
      <c r="B42" s="159" t="str">
        <f t="shared" si="1"/>
        <v>ao</v>
      </c>
    </row>
    <row r="43" spans="1:2" x14ac:dyDescent="0.2">
      <c r="A43" s="304">
        <f t="shared" si="2"/>
        <v>42</v>
      </c>
      <c r="B43" s="159" t="str">
        <f t="shared" si="1"/>
        <v>ap</v>
      </c>
    </row>
    <row r="44" spans="1:2" x14ac:dyDescent="0.2">
      <c r="A44" s="304">
        <f t="shared" si="2"/>
        <v>43</v>
      </c>
      <c r="B44" s="159" t="str">
        <f t="shared" si="1"/>
        <v>aq</v>
      </c>
    </row>
    <row r="45" spans="1:2" x14ac:dyDescent="0.2">
      <c r="A45" s="304">
        <f t="shared" si="2"/>
        <v>44</v>
      </c>
      <c r="B45" s="159" t="str">
        <f t="shared" si="1"/>
        <v>ar</v>
      </c>
    </row>
    <row r="46" spans="1:2" x14ac:dyDescent="0.2">
      <c r="A46" s="304">
        <f t="shared" si="2"/>
        <v>45</v>
      </c>
      <c r="B46" s="159" t="str">
        <f t="shared" si="1"/>
        <v>as</v>
      </c>
    </row>
    <row r="47" spans="1:2" x14ac:dyDescent="0.2">
      <c r="A47" s="304">
        <f t="shared" si="2"/>
        <v>46</v>
      </c>
      <c r="B47" s="159" t="str">
        <f t="shared" si="1"/>
        <v>at</v>
      </c>
    </row>
    <row r="48" spans="1:2" x14ac:dyDescent="0.2">
      <c r="A48" s="304">
        <f t="shared" si="2"/>
        <v>47</v>
      </c>
      <c r="B48" s="159" t="str">
        <f t="shared" si="1"/>
        <v>au</v>
      </c>
    </row>
    <row r="49" spans="1:2" x14ac:dyDescent="0.2">
      <c r="A49" s="304">
        <f t="shared" si="2"/>
        <v>48</v>
      </c>
      <c r="B49" s="159" t="str">
        <f t="shared" si="1"/>
        <v>av</v>
      </c>
    </row>
    <row r="50" spans="1:2" x14ac:dyDescent="0.2">
      <c r="A50" s="304">
        <f t="shared" si="2"/>
        <v>49</v>
      </c>
      <c r="B50" s="159" t="str">
        <f t="shared" si="1"/>
        <v>aw</v>
      </c>
    </row>
    <row r="51" spans="1:2" x14ac:dyDescent="0.2">
      <c r="A51" s="304">
        <f t="shared" si="2"/>
        <v>50</v>
      </c>
      <c r="B51" s="159" t="str">
        <f t="shared" si="1"/>
        <v>ax</v>
      </c>
    </row>
    <row r="52" spans="1:2" x14ac:dyDescent="0.2">
      <c r="A52" s="304">
        <f t="shared" si="2"/>
        <v>51</v>
      </c>
      <c r="B52" s="159" t="str">
        <f t="shared" si="1"/>
        <v>ay</v>
      </c>
    </row>
    <row r="53" spans="1:2" x14ac:dyDescent="0.2">
      <c r="A53" s="304">
        <f t="shared" si="2"/>
        <v>52</v>
      </c>
      <c r="B53" s="159" t="str">
        <f t="shared" si="1"/>
        <v>az</v>
      </c>
    </row>
    <row r="54" spans="1:2" x14ac:dyDescent="0.2">
      <c r="A54" s="304">
        <f t="shared" si="2"/>
        <v>53</v>
      </c>
      <c r="B54" s="159" t="str">
        <f t="shared" ref="B54:B79" si="3">"b"&amp;B2</f>
        <v>ba</v>
      </c>
    </row>
    <row r="55" spans="1:2" x14ac:dyDescent="0.2">
      <c r="A55" s="304">
        <f t="shared" si="2"/>
        <v>54</v>
      </c>
      <c r="B55" s="159" t="str">
        <f t="shared" si="3"/>
        <v>bb</v>
      </c>
    </row>
    <row r="56" spans="1:2" x14ac:dyDescent="0.2">
      <c r="A56" s="304">
        <f t="shared" si="2"/>
        <v>55</v>
      </c>
      <c r="B56" s="159" t="str">
        <f t="shared" si="3"/>
        <v>bc</v>
      </c>
    </row>
    <row r="57" spans="1:2" x14ac:dyDescent="0.2">
      <c r="A57" s="304">
        <f t="shared" si="2"/>
        <v>56</v>
      </c>
      <c r="B57" s="159" t="str">
        <f t="shared" si="3"/>
        <v>bd</v>
      </c>
    </row>
    <row r="58" spans="1:2" x14ac:dyDescent="0.2">
      <c r="A58" s="304">
        <f t="shared" si="2"/>
        <v>57</v>
      </c>
      <c r="B58" s="159" t="str">
        <f t="shared" si="3"/>
        <v>be</v>
      </c>
    </row>
    <row r="59" spans="1:2" x14ac:dyDescent="0.2">
      <c r="A59" s="304">
        <f t="shared" si="2"/>
        <v>58</v>
      </c>
      <c r="B59" s="159" t="str">
        <f t="shared" si="3"/>
        <v>bf</v>
      </c>
    </row>
    <row r="60" spans="1:2" x14ac:dyDescent="0.2">
      <c r="A60" s="304">
        <f t="shared" si="2"/>
        <v>59</v>
      </c>
      <c r="B60" s="159" t="str">
        <f t="shared" si="3"/>
        <v>bg</v>
      </c>
    </row>
    <row r="61" spans="1:2" x14ac:dyDescent="0.2">
      <c r="A61" s="304">
        <f t="shared" si="2"/>
        <v>60</v>
      </c>
      <c r="B61" s="159" t="str">
        <f t="shared" si="3"/>
        <v>bh</v>
      </c>
    </row>
    <row r="62" spans="1:2" x14ac:dyDescent="0.2">
      <c r="A62" s="304">
        <f t="shared" si="2"/>
        <v>61</v>
      </c>
      <c r="B62" s="159" t="str">
        <f t="shared" si="3"/>
        <v>bi</v>
      </c>
    </row>
    <row r="63" spans="1:2" x14ac:dyDescent="0.2">
      <c r="A63" s="304">
        <f t="shared" si="2"/>
        <v>62</v>
      </c>
      <c r="B63" s="159" t="str">
        <f t="shared" si="3"/>
        <v>bj</v>
      </c>
    </row>
    <row r="64" spans="1:2" x14ac:dyDescent="0.2">
      <c r="A64" s="304">
        <f t="shared" si="2"/>
        <v>63</v>
      </c>
      <c r="B64" s="159" t="str">
        <f t="shared" si="3"/>
        <v>bk</v>
      </c>
    </row>
    <row r="65" spans="1:2" x14ac:dyDescent="0.2">
      <c r="A65" s="304">
        <f t="shared" si="2"/>
        <v>64</v>
      </c>
      <c r="B65" s="159" t="str">
        <f t="shared" si="3"/>
        <v>bl</v>
      </c>
    </row>
    <row r="66" spans="1:2" x14ac:dyDescent="0.2">
      <c r="A66" s="304">
        <f t="shared" si="2"/>
        <v>65</v>
      </c>
      <c r="B66" s="159" t="str">
        <f t="shared" si="3"/>
        <v>bm</v>
      </c>
    </row>
    <row r="67" spans="1:2" x14ac:dyDescent="0.2">
      <c r="A67" s="304">
        <f t="shared" ref="A67:A98" si="4">A66+1</f>
        <v>66</v>
      </c>
      <c r="B67" s="159" t="str">
        <f t="shared" si="3"/>
        <v>bn</v>
      </c>
    </row>
    <row r="68" spans="1:2" x14ac:dyDescent="0.2">
      <c r="A68" s="304">
        <f t="shared" si="4"/>
        <v>67</v>
      </c>
      <c r="B68" s="159" t="str">
        <f t="shared" si="3"/>
        <v>bo</v>
      </c>
    </row>
    <row r="69" spans="1:2" x14ac:dyDescent="0.2">
      <c r="A69" s="304">
        <f t="shared" si="4"/>
        <v>68</v>
      </c>
      <c r="B69" s="159" t="str">
        <f t="shared" si="3"/>
        <v>bp</v>
      </c>
    </row>
    <row r="70" spans="1:2" x14ac:dyDescent="0.2">
      <c r="A70" s="304">
        <f t="shared" si="4"/>
        <v>69</v>
      </c>
      <c r="B70" s="159" t="str">
        <f t="shared" si="3"/>
        <v>bq</v>
      </c>
    </row>
    <row r="71" spans="1:2" x14ac:dyDescent="0.2">
      <c r="A71" s="304">
        <f t="shared" si="4"/>
        <v>70</v>
      </c>
      <c r="B71" s="159" t="str">
        <f t="shared" si="3"/>
        <v>br</v>
      </c>
    </row>
    <row r="72" spans="1:2" x14ac:dyDescent="0.2">
      <c r="A72" s="304">
        <f t="shared" si="4"/>
        <v>71</v>
      </c>
      <c r="B72" s="159" t="str">
        <f t="shared" si="3"/>
        <v>bs</v>
      </c>
    </row>
    <row r="73" spans="1:2" x14ac:dyDescent="0.2">
      <c r="A73" s="304">
        <f t="shared" si="4"/>
        <v>72</v>
      </c>
      <c r="B73" s="159" t="str">
        <f t="shared" si="3"/>
        <v>bt</v>
      </c>
    </row>
    <row r="74" spans="1:2" x14ac:dyDescent="0.2">
      <c r="A74" s="304">
        <f t="shared" si="4"/>
        <v>73</v>
      </c>
      <c r="B74" s="159" t="str">
        <f t="shared" si="3"/>
        <v>bu</v>
      </c>
    </row>
    <row r="75" spans="1:2" x14ac:dyDescent="0.2">
      <c r="A75" s="304">
        <f t="shared" si="4"/>
        <v>74</v>
      </c>
      <c r="B75" s="159" t="str">
        <f t="shared" si="3"/>
        <v>bv</v>
      </c>
    </row>
    <row r="76" spans="1:2" x14ac:dyDescent="0.2">
      <c r="A76" s="304">
        <f t="shared" si="4"/>
        <v>75</v>
      </c>
      <c r="B76" s="159" t="str">
        <f t="shared" si="3"/>
        <v>bw</v>
      </c>
    </row>
    <row r="77" spans="1:2" x14ac:dyDescent="0.2">
      <c r="A77" s="304">
        <f t="shared" si="4"/>
        <v>76</v>
      </c>
      <c r="B77" s="159" t="str">
        <f t="shared" si="3"/>
        <v>bx</v>
      </c>
    </row>
    <row r="78" spans="1:2" x14ac:dyDescent="0.2">
      <c r="A78" s="304">
        <f t="shared" si="4"/>
        <v>77</v>
      </c>
      <c r="B78" s="159" t="str">
        <f t="shared" si="3"/>
        <v>by</v>
      </c>
    </row>
    <row r="79" spans="1:2" x14ac:dyDescent="0.2">
      <c r="A79" s="304">
        <f t="shared" si="4"/>
        <v>78</v>
      </c>
      <c r="B79" s="159" t="str">
        <f t="shared" si="3"/>
        <v>bz</v>
      </c>
    </row>
    <row r="80" spans="1:2" x14ac:dyDescent="0.2">
      <c r="A80" s="304">
        <f t="shared" si="4"/>
        <v>79</v>
      </c>
      <c r="B80" s="159" t="str">
        <f t="shared" ref="B80:B105" si="5">"c"&amp;B2</f>
        <v>ca</v>
      </c>
    </row>
    <row r="81" spans="1:2" x14ac:dyDescent="0.2">
      <c r="A81" s="304">
        <f t="shared" si="4"/>
        <v>80</v>
      </c>
      <c r="B81" s="159" t="str">
        <f t="shared" si="5"/>
        <v>cb</v>
      </c>
    </row>
    <row r="82" spans="1:2" x14ac:dyDescent="0.2">
      <c r="A82" s="304">
        <f t="shared" si="4"/>
        <v>81</v>
      </c>
      <c r="B82" s="159" t="str">
        <f t="shared" si="5"/>
        <v>cc</v>
      </c>
    </row>
    <row r="83" spans="1:2" x14ac:dyDescent="0.2">
      <c r="A83" s="304">
        <f t="shared" si="4"/>
        <v>82</v>
      </c>
      <c r="B83" s="159" t="str">
        <f t="shared" si="5"/>
        <v>cd</v>
      </c>
    </row>
    <row r="84" spans="1:2" x14ac:dyDescent="0.2">
      <c r="A84" s="304">
        <f t="shared" si="4"/>
        <v>83</v>
      </c>
      <c r="B84" s="159" t="str">
        <f t="shared" si="5"/>
        <v>ce</v>
      </c>
    </row>
    <row r="85" spans="1:2" x14ac:dyDescent="0.2">
      <c r="A85" s="304">
        <f t="shared" si="4"/>
        <v>84</v>
      </c>
      <c r="B85" s="159" t="str">
        <f t="shared" si="5"/>
        <v>cf</v>
      </c>
    </row>
    <row r="86" spans="1:2" x14ac:dyDescent="0.2">
      <c r="A86" s="304">
        <f t="shared" si="4"/>
        <v>85</v>
      </c>
      <c r="B86" s="159" t="str">
        <f t="shared" si="5"/>
        <v>cg</v>
      </c>
    </row>
    <row r="87" spans="1:2" x14ac:dyDescent="0.2">
      <c r="A87" s="304">
        <f t="shared" si="4"/>
        <v>86</v>
      </c>
      <c r="B87" s="159" t="str">
        <f t="shared" si="5"/>
        <v>ch</v>
      </c>
    </row>
    <row r="88" spans="1:2" x14ac:dyDescent="0.2">
      <c r="A88" s="304">
        <f t="shared" si="4"/>
        <v>87</v>
      </c>
      <c r="B88" s="159" t="str">
        <f t="shared" si="5"/>
        <v>ci</v>
      </c>
    </row>
    <row r="89" spans="1:2" x14ac:dyDescent="0.2">
      <c r="A89" s="304">
        <f t="shared" si="4"/>
        <v>88</v>
      </c>
      <c r="B89" s="159" t="str">
        <f t="shared" si="5"/>
        <v>cj</v>
      </c>
    </row>
    <row r="90" spans="1:2" x14ac:dyDescent="0.2">
      <c r="A90" s="304">
        <f t="shared" si="4"/>
        <v>89</v>
      </c>
      <c r="B90" s="159" t="str">
        <f t="shared" si="5"/>
        <v>ck</v>
      </c>
    </row>
    <row r="91" spans="1:2" x14ac:dyDescent="0.2">
      <c r="A91" s="304">
        <f t="shared" si="4"/>
        <v>90</v>
      </c>
      <c r="B91" s="159" t="str">
        <f t="shared" si="5"/>
        <v>cl</v>
      </c>
    </row>
    <row r="92" spans="1:2" x14ac:dyDescent="0.2">
      <c r="A92" s="304">
        <f t="shared" si="4"/>
        <v>91</v>
      </c>
      <c r="B92" s="159" t="str">
        <f t="shared" si="5"/>
        <v>cm</v>
      </c>
    </row>
    <row r="93" spans="1:2" x14ac:dyDescent="0.2">
      <c r="A93" s="304">
        <f t="shared" si="4"/>
        <v>92</v>
      </c>
      <c r="B93" s="159" t="str">
        <f t="shared" si="5"/>
        <v>cn</v>
      </c>
    </row>
    <row r="94" spans="1:2" x14ac:dyDescent="0.2">
      <c r="A94" s="304">
        <f t="shared" si="4"/>
        <v>93</v>
      </c>
      <c r="B94" s="159" t="str">
        <f t="shared" si="5"/>
        <v>co</v>
      </c>
    </row>
    <row r="95" spans="1:2" x14ac:dyDescent="0.2">
      <c r="A95" s="304">
        <f t="shared" si="4"/>
        <v>94</v>
      </c>
      <c r="B95" s="159" t="str">
        <f t="shared" si="5"/>
        <v>cp</v>
      </c>
    </row>
    <row r="96" spans="1:2" x14ac:dyDescent="0.2">
      <c r="A96" s="304">
        <f t="shared" si="4"/>
        <v>95</v>
      </c>
      <c r="B96" s="159" t="str">
        <f t="shared" si="5"/>
        <v>cq</v>
      </c>
    </row>
    <row r="97" spans="1:2" x14ac:dyDescent="0.2">
      <c r="A97" s="304">
        <f t="shared" si="4"/>
        <v>96</v>
      </c>
      <c r="B97" s="159" t="str">
        <f t="shared" si="5"/>
        <v>cr</v>
      </c>
    </row>
    <row r="98" spans="1:2" x14ac:dyDescent="0.2">
      <c r="A98" s="304">
        <f t="shared" si="4"/>
        <v>97</v>
      </c>
      <c r="B98" s="159" t="str">
        <f t="shared" si="5"/>
        <v>cs</v>
      </c>
    </row>
    <row r="99" spans="1:2" x14ac:dyDescent="0.2">
      <c r="A99" s="304">
        <f t="shared" ref="A99:A105" si="6">A98+1</f>
        <v>98</v>
      </c>
      <c r="B99" s="159" t="str">
        <f t="shared" si="5"/>
        <v>ct</v>
      </c>
    </row>
    <row r="100" spans="1:2" x14ac:dyDescent="0.2">
      <c r="A100" s="304">
        <f t="shared" si="6"/>
        <v>99</v>
      </c>
      <c r="B100" s="159" t="str">
        <f t="shared" si="5"/>
        <v>cu</v>
      </c>
    </row>
    <row r="101" spans="1:2" x14ac:dyDescent="0.2">
      <c r="A101" s="304">
        <f t="shared" si="6"/>
        <v>100</v>
      </c>
      <c r="B101" s="159" t="str">
        <f t="shared" si="5"/>
        <v>cv</v>
      </c>
    </row>
    <row r="102" spans="1:2" x14ac:dyDescent="0.2">
      <c r="A102" s="304">
        <f t="shared" si="6"/>
        <v>101</v>
      </c>
      <c r="B102" s="159" t="str">
        <f t="shared" si="5"/>
        <v>cw</v>
      </c>
    </row>
    <row r="103" spans="1:2" x14ac:dyDescent="0.2">
      <c r="A103" s="304">
        <f t="shared" si="6"/>
        <v>102</v>
      </c>
      <c r="B103" s="159" t="str">
        <f t="shared" si="5"/>
        <v>cx</v>
      </c>
    </row>
    <row r="104" spans="1:2" x14ac:dyDescent="0.2">
      <c r="A104" s="304">
        <f t="shared" si="6"/>
        <v>103</v>
      </c>
      <c r="B104" s="159" t="str">
        <f t="shared" si="5"/>
        <v>cy</v>
      </c>
    </row>
    <row r="105" spans="1:2" x14ac:dyDescent="0.2">
      <c r="A105" s="304">
        <f t="shared" si="6"/>
        <v>104</v>
      </c>
      <c r="B105" s="159" t="str">
        <f t="shared" si="5"/>
        <v>cz</v>
      </c>
    </row>
  </sheetData>
  <sheetProtection algorithmName="SHA-512" hashValue="/WazkqxduhSvo6OU6tv7rL2kNAjrkX3fSJqI25Gk2UTQDTBSCKq6c98D5Cl+hs6x+RBEeLBWfONqdPX9975xOg==" saltValue="nQ3CocoueN9Y840MCxiaqQ==" spinCount="100000" sheet="1" objects="1" scenarios="1" formatCells="0" formatColumns="0" formatRows="0" selectLockedCells="1" sort="0" autoFilter="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sheetPr>
  <dimension ref="A1:R13"/>
  <sheetViews>
    <sheetView workbookViewId="0">
      <selection activeCell="D7" sqref="D7"/>
    </sheetView>
  </sheetViews>
  <sheetFormatPr defaultColWidth="9.140625" defaultRowHeight="12.75" x14ac:dyDescent="0.2"/>
  <cols>
    <col min="1" max="1" width="5" style="1496" customWidth="1"/>
    <col min="2" max="2" width="1.7109375" style="1497" customWidth="1"/>
    <col min="3" max="3" width="80.7109375" style="1497" customWidth="1"/>
    <col min="4" max="4" width="2.140625" style="1497" customWidth="1"/>
    <col min="5" max="5" width="14.140625" style="1497" customWidth="1"/>
    <col min="6" max="6" width="2.7109375" style="1497" customWidth="1"/>
    <col min="7" max="7" width="14.140625" style="1497" customWidth="1"/>
    <col min="8" max="8" width="2.7109375" style="1497" customWidth="1"/>
    <col min="9" max="9" width="10.28515625" style="1497" bestFit="1" customWidth="1"/>
    <col min="10" max="10" width="4.42578125" style="1497" customWidth="1"/>
    <col min="11" max="16384" width="9.140625" style="1497"/>
  </cols>
  <sheetData>
    <row r="1" spans="1:18" s="651" customFormat="1" ht="20.25" x14ac:dyDescent="0.3">
      <c r="A1" s="747" t="s">
        <v>2370</v>
      </c>
      <c r="B1" s="650"/>
      <c r="C1" s="649"/>
      <c r="D1" s="649"/>
      <c r="E1" s="649"/>
      <c r="F1" s="649"/>
      <c r="G1" s="649"/>
      <c r="H1" s="649"/>
      <c r="I1" s="649"/>
      <c r="J1" s="649"/>
      <c r="K1" s="649"/>
      <c r="L1" s="649"/>
      <c r="M1" s="649"/>
      <c r="N1" s="649"/>
      <c r="O1" s="649"/>
      <c r="P1" s="649"/>
      <c r="Q1" s="649"/>
      <c r="R1" s="649"/>
    </row>
    <row r="2" spans="1:18" x14ac:dyDescent="0.2">
      <c r="A2" s="628"/>
      <c r="C2" s="1498"/>
      <c r="D2" s="1498"/>
      <c r="E2" s="1511"/>
      <c r="F2" s="1511"/>
      <c r="G2" s="1511"/>
      <c r="H2" s="1512"/>
      <c r="I2" s="1513"/>
    </row>
    <row r="3" spans="1:18" x14ac:dyDescent="0.2">
      <c r="A3" s="628"/>
      <c r="C3" s="1498"/>
      <c r="D3" s="1498"/>
      <c r="E3" s="1511"/>
      <c r="F3" s="1511"/>
      <c r="G3" s="1511"/>
      <c r="H3" s="1512"/>
      <c r="I3" s="1513"/>
      <c r="K3" s="736" t="s">
        <v>197</v>
      </c>
    </row>
    <row r="4" spans="1:18" x14ac:dyDescent="0.2">
      <c r="A4" s="628" t="s">
        <v>196</v>
      </c>
      <c r="C4" s="1498"/>
      <c r="D4" s="1498"/>
      <c r="E4" s="1511" t="s">
        <v>2385</v>
      </c>
      <c r="F4" s="1511"/>
      <c r="G4" s="1511" t="s">
        <v>2385</v>
      </c>
      <c r="H4" s="1512"/>
      <c r="I4" s="1513"/>
      <c r="K4" s="736" t="s">
        <v>484</v>
      </c>
    </row>
    <row r="5" spans="1:18" s="1499" customFormat="1" x14ac:dyDescent="0.2">
      <c r="A5" s="1509" t="s">
        <v>607</v>
      </c>
      <c r="C5" s="1500" t="s">
        <v>2371</v>
      </c>
      <c r="D5" s="1500"/>
      <c r="E5" s="1514" t="s">
        <v>2386</v>
      </c>
      <c r="F5" s="1515"/>
      <c r="G5" s="1514" t="s">
        <v>2387</v>
      </c>
      <c r="H5" s="1515"/>
      <c r="I5" s="1514" t="s">
        <v>2388</v>
      </c>
      <c r="K5" s="1783" t="s">
        <v>485</v>
      </c>
    </row>
    <row r="6" spans="1:18" x14ac:dyDescent="0.2">
      <c r="C6" s="1501"/>
      <c r="D6" s="1498"/>
      <c r="E6" s="1502"/>
      <c r="F6" s="1502"/>
      <c r="G6" s="1502"/>
      <c r="H6" s="1502"/>
      <c r="I6" s="1502"/>
    </row>
    <row r="7" spans="1:18" x14ac:dyDescent="0.2">
      <c r="A7" s="1503">
        <v>1</v>
      </c>
      <c r="B7" s="1504"/>
      <c r="C7" s="1504" t="s">
        <v>2372</v>
      </c>
      <c r="D7" s="1494"/>
      <c r="E7" s="1777"/>
      <c r="F7" s="1505"/>
      <c r="G7" s="1775" t="str">
        <f ca="1">IFERROR('A-70 RevVehInv'!$DC$2/'A-70 RevVehInv'!$DC$1, "")</f>
        <v/>
      </c>
      <c r="H7" s="1505"/>
      <c r="I7" s="1778" t="str">
        <f ca="1">IFERROR(G7-E7, "")</f>
        <v/>
      </c>
      <c r="K7" s="1245" t="str">
        <f ca="1">IF(AND($G$7="",$G$9="",$G$13=""),"",IF(OR(E7="",G7=""),"No","Yes"))</f>
        <v/>
      </c>
    </row>
    <row r="8" spans="1:18" ht="6" customHeight="1" x14ac:dyDescent="0.2">
      <c r="A8" s="1506"/>
      <c r="C8" s="1507"/>
      <c r="D8" s="1498"/>
      <c r="E8" s="1496"/>
      <c r="F8" s="1496"/>
      <c r="G8" s="1776"/>
      <c r="H8" s="1496"/>
      <c r="I8" s="1776"/>
    </row>
    <row r="9" spans="1:18" x14ac:dyDescent="0.2">
      <c r="A9" s="1503">
        <v>2</v>
      </c>
      <c r="B9" s="1504"/>
      <c r="C9" s="1504" t="s">
        <v>2373</v>
      </c>
      <c r="D9" s="1494"/>
      <c r="E9" s="1777"/>
      <c r="F9" s="1505"/>
      <c r="G9" s="1775" t="str">
        <f ca="1">IFERROR('A-60 SvcVehInv'!$BG$2/'A-60 SvcVehInv'!$BG$1, "")</f>
        <v/>
      </c>
      <c r="H9" s="1505"/>
      <c r="I9" s="1778" t="str">
        <f ca="1">IFERROR(G9-E9, "")</f>
        <v/>
      </c>
      <c r="K9" s="1245" t="str">
        <f ca="1">IF(AND($G$7="",$G$9="",$G$13=""),"",IF(OR(E9="",G9=""),"No","Yes"))</f>
        <v/>
      </c>
    </row>
    <row r="10" spans="1:18" ht="6" customHeight="1" x14ac:dyDescent="0.2">
      <c r="A10" s="1506"/>
      <c r="C10" s="1508"/>
      <c r="D10" s="1498"/>
      <c r="E10" s="1496"/>
      <c r="F10" s="1496"/>
      <c r="G10" s="1496"/>
      <c r="H10" s="1496"/>
      <c r="I10" s="1776"/>
    </row>
    <row r="11" spans="1:18" x14ac:dyDescent="0.2">
      <c r="A11" s="1503">
        <v>3</v>
      </c>
      <c r="B11" s="1504"/>
      <c r="C11" s="1504" t="s">
        <v>2374</v>
      </c>
      <c r="D11" s="1494"/>
      <c r="E11" s="1777"/>
      <c r="F11" s="1505"/>
      <c r="G11" s="1777"/>
      <c r="H11" s="1505"/>
      <c r="I11" s="1778" t="str">
        <f>IF(E11="", "", IFERROR(G11-E11, ""))</f>
        <v/>
      </c>
      <c r="K11" s="1245" t="str">
        <f ca="1">IF(AND($G$7="",$G$9="",$G$13=""),"",IF(OR(E11="",G11=""),"No","Yes"))</f>
        <v/>
      </c>
    </row>
    <row r="12" spans="1:18" ht="6" customHeight="1" x14ac:dyDescent="0.2">
      <c r="A12" s="1506"/>
      <c r="C12" s="1508"/>
      <c r="D12" s="1498"/>
      <c r="E12" s="1496"/>
      <c r="F12" s="1496"/>
      <c r="G12" s="1496"/>
      <c r="H12" s="1496"/>
      <c r="I12" s="1776"/>
    </row>
    <row r="13" spans="1:18" x14ac:dyDescent="0.2">
      <c r="A13" s="1503">
        <v>4</v>
      </c>
      <c r="B13" s="1504"/>
      <c r="C13" s="1504" t="s">
        <v>2416</v>
      </c>
      <c r="D13" s="1494"/>
      <c r="E13" s="1777"/>
      <c r="F13" s="1505"/>
      <c r="G13" s="1778"/>
      <c r="H13" s="1505"/>
      <c r="I13" s="1778">
        <f>IFERROR(G13-E13, "")</f>
        <v>0</v>
      </c>
      <c r="K13" s="1245" t="str">
        <f ca="1">IF(AND($G$7="",$G$9="",$G$13=""),"",IF(OR(E13="",G13=""),"No","Yes"))</f>
        <v/>
      </c>
    </row>
  </sheetData>
  <sheetProtection password="C82B" sheet="1" objects="1" scenarios="1" formatCells="0" formatColumns="0" formatRows="0" selectLockedCells="1" sort="0" autoFilter="0"/>
  <conditionalFormatting sqref="K3:K5">
    <cfRule type="cellIs" dxfId="21" priority="21" operator="equal">
      <formula>"Yes"</formula>
    </cfRule>
    <cfRule type="cellIs" dxfId="20" priority="22" operator="equal">
      <formula>"No"</formula>
    </cfRule>
  </conditionalFormatting>
  <conditionalFormatting sqref="K7">
    <cfRule type="cellIs" dxfId="19" priority="19" operator="equal">
      <formula>"Yes"</formula>
    </cfRule>
    <cfRule type="cellIs" dxfId="18" priority="20" operator="equal">
      <formula>"No"</formula>
    </cfRule>
  </conditionalFormatting>
  <conditionalFormatting sqref="K9">
    <cfRule type="cellIs" dxfId="17" priority="5" operator="equal">
      <formula>"Yes"</formula>
    </cfRule>
    <cfRule type="cellIs" dxfId="16" priority="6" operator="equal">
      <formula>"No"</formula>
    </cfRule>
  </conditionalFormatting>
  <conditionalFormatting sqref="K11">
    <cfRule type="cellIs" dxfId="15" priority="3" operator="equal">
      <formula>"Yes"</formula>
    </cfRule>
    <cfRule type="cellIs" dxfId="14" priority="4" operator="equal">
      <formula>"No"</formula>
    </cfRule>
  </conditionalFormatting>
  <conditionalFormatting sqref="K13">
    <cfRule type="cellIs" dxfId="13" priority="1" operator="equal">
      <formula>"Yes"</formula>
    </cfRule>
    <cfRule type="cellIs" dxfId="12" priority="2" operator="equal">
      <formula>"No"</formula>
    </cfRule>
  </conditionalFormatting>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211"/>
  <sheetViews>
    <sheetView topLeftCell="H1" workbookViewId="0">
      <selection activeCell="O13" sqref="O13 S3"/>
    </sheetView>
  </sheetViews>
  <sheetFormatPr defaultColWidth="9.140625" defaultRowHeight="12.75" x14ac:dyDescent="0.2"/>
  <cols>
    <col min="1" max="1" width="5.140625" style="908" customWidth="1"/>
    <col min="2" max="2" width="2" style="908" customWidth="1"/>
    <col min="3" max="3" width="42.5703125" style="908" customWidth="1"/>
    <col min="4" max="4" width="1.42578125" style="931" customWidth="1"/>
    <col min="5" max="5" width="9.7109375" style="908" customWidth="1"/>
    <col min="6" max="6" width="1.42578125" style="908" customWidth="1"/>
    <col min="7" max="7" width="1.42578125" style="908" hidden="1" customWidth="1"/>
    <col min="8" max="8" width="1.5703125" style="908" customWidth="1"/>
    <col min="9" max="9" width="11" style="908" bestFit="1" customWidth="1"/>
    <col min="10" max="10" width="1.42578125" style="908" customWidth="1"/>
    <col min="11" max="11" width="11" style="908" bestFit="1" customWidth="1"/>
    <col min="12" max="12" width="1.42578125" style="908" customWidth="1"/>
    <col min="13" max="13" width="19.140625" style="908" customWidth="1"/>
    <col min="14" max="14" width="1.42578125" style="908" customWidth="1"/>
    <col min="15" max="15" width="31.7109375" style="941" customWidth="1"/>
    <col min="16" max="16" width="1.42578125" style="908" customWidth="1"/>
    <col min="17" max="17" width="34.42578125" style="941" customWidth="1"/>
    <col min="18" max="18" width="1.42578125" style="908" customWidth="1"/>
    <col min="19" max="19" width="12.42578125" style="908" customWidth="1"/>
    <col min="20" max="20" width="1.42578125" style="908" customWidth="1"/>
    <col min="21" max="21" width="12.42578125" style="908" customWidth="1"/>
    <col min="22" max="22" width="1.42578125" style="908" customWidth="1"/>
    <col min="23" max="23" width="12.28515625" style="908" bestFit="1" customWidth="1"/>
    <col min="24" max="24" width="1.42578125" style="908" customWidth="1"/>
    <col min="25" max="25" width="12.42578125" style="1975" customWidth="1"/>
    <col min="26" max="26" width="1.42578125" style="908" hidden="1" customWidth="1"/>
    <col min="27" max="27" width="12.42578125" style="1987" hidden="1" customWidth="1"/>
    <col min="28" max="28" width="1.42578125" style="908" customWidth="1"/>
    <col min="29" max="29" width="8.42578125" style="908" customWidth="1"/>
    <col min="30" max="30" width="1.42578125" style="908" customWidth="1"/>
    <col min="31" max="31" width="8.85546875" style="908" bestFit="1" customWidth="1"/>
    <col min="32" max="32" width="1.42578125" style="908" customWidth="1"/>
    <col min="33" max="33" width="21" style="908" customWidth="1"/>
    <col min="34" max="34" width="1.42578125" style="908" customWidth="1"/>
    <col min="35" max="35" width="31.7109375" style="941" customWidth="1"/>
    <col min="36" max="36" width="1.42578125" style="908" customWidth="1"/>
    <col min="37" max="37" width="57.140625" style="908" customWidth="1"/>
    <col min="38" max="38" width="9.140625" style="908" customWidth="1"/>
    <col min="39" max="40" width="9.140625" style="908" hidden="1" customWidth="1"/>
    <col min="41" max="41" width="19.140625" style="908" hidden="1" customWidth="1"/>
    <col min="42" max="42" width="3.42578125" style="908" hidden="1" customWidth="1"/>
    <col min="43" max="43" width="6.5703125" style="908" hidden="1" customWidth="1"/>
    <col min="44" max="44" width="7.7109375" style="908" hidden="1" customWidth="1"/>
    <col min="45" max="45" width="8.28515625" style="908" hidden="1" customWidth="1"/>
    <col min="46" max="46" width="7.7109375" style="908" hidden="1" customWidth="1"/>
    <col min="47" max="56" width="9.140625" style="908" hidden="1" customWidth="1"/>
    <col min="57" max="57" width="7.85546875" style="908" hidden="1" customWidth="1"/>
    <col min="58" max="58" width="8" style="908" hidden="1" customWidth="1"/>
    <col min="59" max="59" width="7.5703125" style="908" hidden="1" customWidth="1"/>
    <col min="60" max="61" width="9.140625" style="908" hidden="1" customWidth="1"/>
    <col min="62" max="62" width="11.5703125" style="908" hidden="1" customWidth="1"/>
    <col min="63" max="63" width="14.42578125" style="908" hidden="1" customWidth="1"/>
    <col min="64" max="64" width="10" style="908" hidden="1" customWidth="1"/>
    <col min="65" max="65" width="9.140625" style="908" hidden="1" customWidth="1"/>
    <col min="66" max="66" width="7.5703125" style="908" hidden="1" customWidth="1"/>
    <col min="67" max="68" width="6.42578125" style="908" hidden="1" customWidth="1"/>
    <col min="69" max="69" width="7.85546875" style="908" hidden="1" customWidth="1"/>
    <col min="70" max="70" width="6.42578125" style="908" hidden="1" customWidth="1"/>
    <col min="71" max="72" width="7.5703125" style="908" hidden="1" customWidth="1"/>
    <col min="73" max="74" width="9" style="908" hidden="1" customWidth="1"/>
    <col min="75" max="75" width="8.5703125" style="908" hidden="1" customWidth="1"/>
    <col min="76" max="76" width="10.140625" style="908" hidden="1" customWidth="1"/>
    <col min="77" max="77" width="3.42578125" style="908" hidden="1" customWidth="1"/>
    <col min="78" max="79" width="9.140625" style="908" hidden="1" customWidth="1"/>
    <col min="80" max="109" width="9.140625" style="908" customWidth="1"/>
    <col min="110" max="16384" width="9.140625" style="908"/>
  </cols>
  <sheetData>
    <row r="1" spans="1:79" s="907" customFormat="1" ht="20.25" x14ac:dyDescent="0.3">
      <c r="A1" s="932" t="s">
        <v>2257</v>
      </c>
      <c r="B1" s="932"/>
      <c r="C1" s="932"/>
      <c r="D1" s="1849"/>
      <c r="E1" s="932"/>
      <c r="F1" s="906"/>
      <c r="G1" s="906"/>
      <c r="H1" s="906"/>
      <c r="I1" s="906"/>
      <c r="J1" s="906"/>
      <c r="K1" s="906"/>
      <c r="L1" s="906"/>
      <c r="M1" s="906"/>
      <c r="N1" s="906"/>
      <c r="O1" s="934"/>
      <c r="P1" s="906"/>
      <c r="Q1" s="934"/>
      <c r="R1" s="906"/>
      <c r="S1" s="906"/>
      <c r="T1" s="906"/>
      <c r="U1" s="906"/>
      <c r="V1" s="906"/>
      <c r="W1" s="906"/>
      <c r="X1" s="906"/>
      <c r="Y1" s="1965"/>
      <c r="Z1" s="906"/>
      <c r="AA1" s="1976"/>
      <c r="AB1" s="906"/>
      <c r="AC1" s="906"/>
      <c r="AD1" s="906"/>
      <c r="AE1" s="906"/>
      <c r="AF1" s="906"/>
      <c r="AG1" s="906"/>
      <c r="AH1" s="906"/>
      <c r="AI1" s="934"/>
      <c r="AJ1" s="906"/>
      <c r="AK1" s="906"/>
      <c r="AL1" s="906"/>
      <c r="AM1" s="858"/>
      <c r="AN1" s="858"/>
      <c r="AO1" s="858"/>
      <c r="AP1" s="908"/>
      <c r="AQ1" s="787" t="s">
        <v>199</v>
      </c>
      <c r="AR1" s="788"/>
      <c r="AS1" s="788"/>
      <c r="AT1" s="788"/>
      <c r="AU1" s="788"/>
      <c r="AV1" s="788"/>
      <c r="AW1" s="788"/>
      <c r="AX1" s="788"/>
      <c r="AY1" s="788"/>
      <c r="AZ1" s="788"/>
      <c r="BA1" s="788"/>
      <c r="BB1" s="788"/>
      <c r="BC1" s="788"/>
      <c r="BD1" s="788"/>
      <c r="BE1" s="788"/>
      <c r="BF1" s="788"/>
      <c r="BG1" s="788"/>
      <c r="BH1" s="788"/>
      <c r="BI1" s="788"/>
      <c r="BJ1" s="788"/>
      <c r="BK1" s="788"/>
      <c r="BL1" s="789"/>
      <c r="BM1" s="916"/>
      <c r="BN1" s="916"/>
      <c r="BO1" s="916"/>
      <c r="BQ1" s="916"/>
      <c r="BR1" s="916"/>
      <c r="BS1" s="1711" t="s">
        <v>2400</v>
      </c>
      <c r="BT1" s="924">
        <f>SUM(I:I)</f>
        <v>0</v>
      </c>
      <c r="BU1" s="916"/>
      <c r="BV1" s="916"/>
      <c r="BW1" s="916"/>
      <c r="BX1" s="916"/>
      <c r="BY1" s="858"/>
      <c r="CA1" s="907" t="s">
        <v>2640</v>
      </c>
    </row>
    <row r="2" spans="1:79" ht="12.75" customHeight="1" x14ac:dyDescent="0.2">
      <c r="A2" s="766"/>
      <c r="B2" s="766"/>
      <c r="C2" s="766" t="str">
        <f>VLOOKUP(COLUMN(),Columns,2,FALSE)</f>
        <v>c</v>
      </c>
      <c r="D2" s="859"/>
      <c r="E2" s="766"/>
      <c r="F2" s="766"/>
      <c r="G2" s="766"/>
      <c r="H2" s="766"/>
      <c r="I2" s="766" t="str">
        <f>VLOOKUP(COLUMN(),Columns,2,FALSE)</f>
        <v>i</v>
      </c>
      <c r="J2" s="766"/>
      <c r="K2" s="766" t="str">
        <f>VLOOKUP(COLUMN(),Columns,2,FALSE)</f>
        <v>k</v>
      </c>
      <c r="L2" s="766"/>
      <c r="M2" s="766" t="str">
        <f>VLOOKUP(COLUMN(),Columns,2,FALSE)</f>
        <v>m</v>
      </c>
      <c r="N2" s="766"/>
      <c r="O2" s="935" t="str">
        <f>VLOOKUP(COLUMN(),Columns,2,FALSE)</f>
        <v>o</v>
      </c>
      <c r="P2" s="766"/>
      <c r="Q2" s="935" t="str">
        <f>VLOOKUP(COLUMN(),Columns,2,FALSE)</f>
        <v>q</v>
      </c>
      <c r="R2" s="766"/>
      <c r="S2" s="935" t="str">
        <f>VLOOKUP(COLUMN(),Columns,2,FALSE)</f>
        <v>s</v>
      </c>
      <c r="T2" s="766"/>
      <c r="U2" s="935" t="str">
        <f>VLOOKUP(COLUMN(),Columns,2,FALSE)</f>
        <v>u</v>
      </c>
      <c r="V2" s="766"/>
      <c r="W2" s="766" t="str">
        <f>VLOOKUP(COLUMN(),Columns,2,FALSE)</f>
        <v>w</v>
      </c>
      <c r="X2" s="766"/>
      <c r="Y2" s="1966" t="str">
        <f>VLOOKUP(COLUMN(),Columns,2,FALSE)</f>
        <v>y</v>
      </c>
      <c r="Z2" s="766"/>
      <c r="AA2" s="1977" t="str">
        <f>VLOOKUP(COLUMN(),Columns,2,FALSE)</f>
        <v>aa</v>
      </c>
      <c r="AB2" s="766"/>
      <c r="AC2" s="766" t="str">
        <f>VLOOKUP(COLUMN(),Columns,2,FALSE)</f>
        <v>ac</v>
      </c>
      <c r="AD2" s="766"/>
      <c r="AE2" s="766" t="str">
        <f>VLOOKUP(COLUMN(),Columns,2,FALSE)</f>
        <v>ae</v>
      </c>
      <c r="AF2" s="766"/>
      <c r="AG2" s="766" t="str">
        <f>VLOOKUP(COLUMN(),Columns,2,FALSE)</f>
        <v>ag</v>
      </c>
      <c r="AH2" s="766"/>
      <c r="AI2" s="935" t="str">
        <f>VLOOKUP(COLUMN(),Columns,2,FALSE)</f>
        <v>ai</v>
      </c>
      <c r="AK2" s="766" t="str">
        <f>VLOOKUP(COLUMN(),Columns,2,FALSE)</f>
        <v>ak</v>
      </c>
      <c r="AN2" s="865"/>
      <c r="AQ2" s="2062" t="s">
        <v>307</v>
      </c>
      <c r="AR2" s="2063"/>
      <c r="AS2" s="919" t="s">
        <v>322</v>
      </c>
      <c r="AT2" s="918"/>
      <c r="AU2" s="919" t="s">
        <v>349</v>
      </c>
      <c r="AV2" s="918"/>
      <c r="AW2" s="919" t="s">
        <v>350</v>
      </c>
      <c r="AX2" s="918"/>
      <c r="AY2" s="919" t="s">
        <v>352</v>
      </c>
      <c r="AZ2" s="918"/>
      <c r="BA2" s="919" t="s">
        <v>353</v>
      </c>
      <c r="BB2" s="918"/>
      <c r="BC2" s="919" t="s">
        <v>354</v>
      </c>
      <c r="BD2" s="918"/>
      <c r="BE2" s="919" t="s">
        <v>360</v>
      </c>
      <c r="BF2" s="918"/>
      <c r="BG2" s="919" t="s">
        <v>361</v>
      </c>
      <c r="BH2" s="918"/>
      <c r="BI2" s="919" t="s">
        <v>363</v>
      </c>
      <c r="BJ2" s="918"/>
      <c r="BK2" s="919" t="s">
        <v>364</v>
      </c>
      <c r="BL2" s="918"/>
      <c r="BM2" s="891"/>
      <c r="BN2" s="917"/>
      <c r="BO2" s="917"/>
      <c r="BQ2" s="917"/>
      <c r="BR2" s="917"/>
      <c r="BS2" s="1711" t="s">
        <v>2401</v>
      </c>
      <c r="BT2" s="924">
        <f ca="1">SUMIFS(I:I,BR:BR, 1)</f>
        <v>0</v>
      </c>
      <c r="BU2" s="917"/>
      <c r="BV2" s="917"/>
      <c r="BW2" s="917"/>
      <c r="BX2" s="917"/>
      <c r="BY2" s="865"/>
      <c r="CA2" s="930" t="s">
        <v>2641</v>
      </c>
    </row>
    <row r="3" spans="1:79" ht="12.75" customHeight="1" x14ac:dyDescent="0.2">
      <c r="A3" s="1797"/>
      <c r="B3" s="1797"/>
      <c r="C3" s="1797" t="str">
        <f>IF($AP$7&gt;0,"Check Data Values in Cols. "&amp;$C$2&amp;" to "&amp;$AI$2,"NO BAD DATA")</f>
        <v>NO BAD DATA</v>
      </c>
      <c r="D3" s="1848"/>
      <c r="E3" s="1797"/>
      <c r="F3" s="1797"/>
      <c r="G3" s="1797"/>
      <c r="H3" s="1797"/>
      <c r="I3" s="936" t="str">
        <f>IF($AS$7&gt;=1,"Too low","")</f>
        <v/>
      </c>
      <c r="J3" s="910"/>
      <c r="K3" s="936" t="str">
        <f>IF($AU$7&gt;=1,"Too low","")</f>
        <v/>
      </c>
      <c r="L3" s="910"/>
      <c r="M3" s="909" t="str">
        <f>IF($AW$7&gt;=1,"Bad Data","")</f>
        <v/>
      </c>
      <c r="N3" s="911"/>
      <c r="O3" s="936"/>
      <c r="P3" s="911"/>
      <c r="Q3" s="936" t="str">
        <f>IF($BA$7&gt;=1,"Bad Data","")</f>
        <v/>
      </c>
      <c r="R3" s="911"/>
      <c r="S3" s="1765">
        <f>Valid!$D$1</f>
        <v>3</v>
      </c>
      <c r="T3" s="911"/>
      <c r="U3" s="1765">
        <f>Valid!$D$1</f>
        <v>3</v>
      </c>
      <c r="V3" s="911"/>
      <c r="W3" s="909" t="str">
        <f>IF($BC$7&gt;=1,"Bad Data","")</f>
        <v/>
      </c>
      <c r="X3" s="911"/>
      <c r="Y3" s="1967"/>
      <c r="Z3" s="911"/>
      <c r="AA3" s="1978"/>
      <c r="AB3" s="911"/>
      <c r="AC3" s="909" t="str">
        <f>IF($BE$7&gt;=1,"Bad Data","")</f>
        <v/>
      </c>
      <c r="AD3" s="911"/>
      <c r="AE3" s="909" t="str">
        <f>IF($BG$7&gt;=1,"Bad Data","")</f>
        <v/>
      </c>
      <c r="AF3" s="911"/>
      <c r="AG3" s="909" t="str">
        <f>IF($BI$7&gt;=1,"Bad Data","")</f>
        <v/>
      </c>
      <c r="AH3" s="911"/>
      <c r="AI3" s="936"/>
      <c r="AJ3" s="911"/>
      <c r="AK3" s="911"/>
      <c r="AL3" s="911"/>
      <c r="AP3" s="916"/>
      <c r="AQ3" s="925" t="s">
        <v>55</v>
      </c>
      <c r="AR3" s="925" t="s">
        <v>56</v>
      </c>
      <c r="AS3" s="925" t="s">
        <v>55</v>
      </c>
      <c r="AT3" s="925" t="s">
        <v>56</v>
      </c>
      <c r="AU3" s="925" t="s">
        <v>55</v>
      </c>
      <c r="AV3" s="925" t="s">
        <v>56</v>
      </c>
      <c r="AW3" s="925" t="s">
        <v>55</v>
      </c>
      <c r="AX3" s="925" t="s">
        <v>56</v>
      </c>
      <c r="AY3" s="925" t="s">
        <v>55</v>
      </c>
      <c r="AZ3" s="925" t="s">
        <v>56</v>
      </c>
      <c r="BA3" s="925" t="s">
        <v>55</v>
      </c>
      <c r="BB3" s="925" t="s">
        <v>56</v>
      </c>
      <c r="BC3" s="925" t="s">
        <v>55</v>
      </c>
      <c r="BD3" s="925" t="s">
        <v>56</v>
      </c>
      <c r="BE3" s="925" t="s">
        <v>55</v>
      </c>
      <c r="BF3" s="925" t="s">
        <v>56</v>
      </c>
      <c r="BG3" s="925" t="s">
        <v>55</v>
      </c>
      <c r="BH3" s="925" t="s">
        <v>56</v>
      </c>
      <c r="BI3" s="925" t="s">
        <v>55</v>
      </c>
      <c r="BJ3" s="925" t="s">
        <v>56</v>
      </c>
      <c r="BK3" s="925" t="s">
        <v>55</v>
      </c>
      <c r="BL3" s="925" t="s">
        <v>56</v>
      </c>
      <c r="BM3" s="891"/>
      <c r="BN3" s="924">
        <f>Valid!$K$1</f>
        <v>10</v>
      </c>
      <c r="BO3" s="924"/>
      <c r="BP3" s="924"/>
      <c r="BQ3" s="924"/>
      <c r="BR3" s="924"/>
      <c r="BS3" s="924">
        <f>Valid!$E$1</f>
        <v>4</v>
      </c>
      <c r="BT3" s="924">
        <f>Valid!$F$1</f>
        <v>5</v>
      </c>
      <c r="BU3" s="924">
        <f>Valid!$E$1</f>
        <v>4</v>
      </c>
      <c r="BV3" s="924">
        <f>Valid!$F$1</f>
        <v>5</v>
      </c>
      <c r="BW3" s="924">
        <f>Valid!$H$1</f>
        <v>7</v>
      </c>
      <c r="BX3" s="924">
        <f>Valid!$I$1</f>
        <v>8</v>
      </c>
      <c r="CA3" s="930" t="s">
        <v>2642</v>
      </c>
    </row>
    <row r="4" spans="1:79" ht="12.75" customHeight="1" x14ac:dyDescent="0.2">
      <c r="A4" s="1797"/>
      <c r="B4" s="1797"/>
      <c r="C4" s="1797" t="str">
        <f>IF($AP$8&gt;0,"Check for Missing Data in Cols. "&amp;$C$2&amp;" to "&amp;$AI$2,"NO MISSING DATA")</f>
        <v>NO MISSING DATA</v>
      </c>
      <c r="D4" s="1848"/>
      <c r="E4" s="1797"/>
      <c r="F4" s="1797"/>
      <c r="G4" s="1797"/>
      <c r="H4" s="1797"/>
      <c r="I4" s="912" t="str">
        <f>IF($AT$8&gt;=1,"Vehicles in Fleet?","")</f>
        <v/>
      </c>
      <c r="J4" s="913"/>
      <c r="K4" s="912" t="str">
        <f>IF($AV$8&gt;=1,"Active Vehs. in Fleet?","")</f>
        <v/>
      </c>
      <c r="L4" s="913"/>
      <c r="M4" s="912" t="str">
        <f>IF($AX$8&gt;=1,"ADA Vehs. in Fleet?","")</f>
        <v/>
      </c>
      <c r="N4" s="914"/>
      <c r="O4" s="937" t="str">
        <f>IF($AZ$8&gt;=1,"Vehicle Type Code?","")</f>
        <v/>
      </c>
      <c r="P4" s="914"/>
      <c r="Q4" s="937" t="str">
        <f>IF($BB$8&gt;=1,"Funding Source?","")</f>
        <v/>
      </c>
      <c r="R4" s="914"/>
      <c r="S4" s="912"/>
      <c r="T4" s="914"/>
      <c r="U4" s="912"/>
      <c r="V4" s="914"/>
      <c r="W4" s="912" t="str">
        <f>IF($BD$8&gt;=1,"Yr. of Mfg.?","")</f>
        <v/>
      </c>
      <c r="X4" s="914"/>
      <c r="Y4" s="1968"/>
      <c r="Z4" s="914"/>
      <c r="AA4" s="1979"/>
      <c r="AB4" s="914"/>
      <c r="AC4" s="912" t="str">
        <f>IF($BF$8&gt;=1,"Length?","")</f>
        <v/>
      </c>
      <c r="AD4" s="914"/>
      <c r="AE4" s="912" t="str">
        <f>IF($BH$8&gt;=1,"No. Seats?","")</f>
        <v/>
      </c>
      <c r="AF4" s="914"/>
      <c r="AG4" s="912" t="str">
        <f>IF($BJ$8&gt;=1,"Avg. Lifetime Mileage per Veh.?","")</f>
        <v/>
      </c>
      <c r="AH4" s="914"/>
      <c r="AI4" s="937"/>
      <c r="AJ4" s="915"/>
      <c r="AK4" s="915"/>
      <c r="AL4" s="915"/>
      <c r="AM4" s="916"/>
      <c r="AN4" s="916"/>
      <c r="AP4" s="891"/>
      <c r="AQ4" s="926" t="s">
        <v>57</v>
      </c>
      <c r="AR4" s="926" t="s">
        <v>57</v>
      </c>
      <c r="AS4" s="926" t="s">
        <v>57</v>
      </c>
      <c r="AT4" s="926" t="s">
        <v>57</v>
      </c>
      <c r="AU4" s="926" t="s">
        <v>57</v>
      </c>
      <c r="AV4" s="926" t="s">
        <v>57</v>
      </c>
      <c r="AW4" s="926" t="s">
        <v>57</v>
      </c>
      <c r="AX4" s="926" t="s">
        <v>57</v>
      </c>
      <c r="AY4" s="926" t="s">
        <v>57</v>
      </c>
      <c r="AZ4" s="926" t="s">
        <v>57</v>
      </c>
      <c r="BA4" s="926" t="s">
        <v>57</v>
      </c>
      <c r="BB4" s="926" t="s">
        <v>57</v>
      </c>
      <c r="BC4" s="926" t="s">
        <v>57</v>
      </c>
      <c r="BD4" s="926" t="s">
        <v>57</v>
      </c>
      <c r="BE4" s="926" t="s">
        <v>57</v>
      </c>
      <c r="BF4" s="926" t="s">
        <v>57</v>
      </c>
      <c r="BG4" s="926" t="s">
        <v>57</v>
      </c>
      <c r="BH4" s="926" t="s">
        <v>57</v>
      </c>
      <c r="BI4" s="926" t="s">
        <v>57</v>
      </c>
      <c r="BJ4" s="926" t="s">
        <v>57</v>
      </c>
      <c r="BK4" s="926" t="s">
        <v>57</v>
      </c>
      <c r="BL4" s="926" t="s">
        <v>57</v>
      </c>
      <c r="BM4" s="891"/>
      <c r="BN4" s="924"/>
      <c r="BO4" s="924"/>
      <c r="BP4" s="924"/>
      <c r="BQ4" s="924"/>
      <c r="BR4" s="924"/>
      <c r="BS4" s="924"/>
      <c r="BT4" s="924"/>
      <c r="BU4" s="924"/>
      <c r="BV4" s="924"/>
      <c r="BW4" s="924"/>
      <c r="BX4" s="924"/>
      <c r="BY4" s="916"/>
      <c r="CA4" s="930" t="s">
        <v>2643</v>
      </c>
    </row>
    <row r="5" spans="1:79" ht="12.75" customHeight="1" x14ac:dyDescent="0.2">
      <c r="C5" s="921"/>
      <c r="D5" s="1850"/>
      <c r="E5" s="922"/>
      <c r="F5" s="922"/>
      <c r="G5" s="922"/>
      <c r="H5" s="922"/>
      <c r="I5" s="922"/>
      <c r="J5" s="923"/>
      <c r="K5" s="923"/>
      <c r="L5" s="923"/>
      <c r="M5" s="737"/>
      <c r="N5" s="922"/>
      <c r="O5" s="939"/>
      <c r="P5" s="923"/>
      <c r="Q5" s="939"/>
      <c r="R5" s="923"/>
      <c r="S5" s="923"/>
      <c r="T5" s="923"/>
      <c r="U5" s="923"/>
      <c r="V5" s="923"/>
      <c r="W5" s="923"/>
      <c r="X5" s="923"/>
      <c r="Y5" s="1969"/>
      <c r="Z5" s="923"/>
      <c r="AA5" s="1980"/>
      <c r="AB5" s="923"/>
      <c r="AC5" s="923"/>
      <c r="AD5" s="923"/>
      <c r="AE5" s="923"/>
      <c r="AF5" s="923"/>
      <c r="AG5" s="923"/>
      <c r="AH5" s="923"/>
      <c r="AI5" s="939"/>
      <c r="AK5" s="866"/>
      <c r="AL5" s="866"/>
      <c r="AM5" s="866"/>
      <c r="AN5" s="924"/>
      <c r="AO5" s="916"/>
      <c r="BY5" s="924"/>
      <c r="CA5" s="930" t="s">
        <v>2644</v>
      </c>
    </row>
    <row r="6" spans="1:79" ht="12.75" customHeight="1" x14ac:dyDescent="0.2">
      <c r="C6" s="921"/>
      <c r="D6" s="1850"/>
      <c r="E6" s="922"/>
      <c r="F6" s="922"/>
      <c r="G6" s="922"/>
      <c r="H6" s="922"/>
      <c r="I6" s="922"/>
      <c r="J6" s="923"/>
      <c r="K6" s="923"/>
      <c r="L6" s="923"/>
      <c r="M6" s="737"/>
      <c r="N6" s="922"/>
      <c r="O6" s="939"/>
      <c r="P6" s="923"/>
      <c r="Q6" s="939"/>
      <c r="R6" s="923"/>
      <c r="S6" s="923"/>
      <c r="T6" s="923"/>
      <c r="U6" s="923"/>
      <c r="V6" s="923"/>
      <c r="W6" s="923"/>
      <c r="X6" s="923"/>
      <c r="Y6" s="1969"/>
      <c r="Z6" s="923"/>
      <c r="AA6" s="1980"/>
      <c r="AB6" s="923"/>
      <c r="AC6" s="923"/>
      <c r="AD6" s="923"/>
      <c r="AE6" s="923"/>
      <c r="AF6" s="923"/>
      <c r="AG6" s="923"/>
      <c r="AH6" s="923"/>
      <c r="AI6" s="939"/>
      <c r="AK6" s="866"/>
      <c r="AL6" s="866"/>
      <c r="AM6" s="866"/>
      <c r="AN6" s="924"/>
      <c r="AO6" s="916"/>
      <c r="BY6" s="924"/>
      <c r="CA6" s="930" t="s">
        <v>2645</v>
      </c>
    </row>
    <row r="7" spans="1:79" ht="12.75" customHeight="1" x14ac:dyDescent="0.2">
      <c r="A7" s="924"/>
      <c r="B7" s="924"/>
      <c r="C7" s="924"/>
      <c r="E7" s="924"/>
      <c r="F7" s="924"/>
      <c r="G7" s="924"/>
      <c r="H7" s="924"/>
      <c r="I7" s="924"/>
      <c r="J7" s="924"/>
      <c r="K7" s="924"/>
      <c r="L7" s="924"/>
      <c r="M7" s="737" t="s">
        <v>2379</v>
      </c>
      <c r="N7" s="924"/>
      <c r="O7" s="940"/>
      <c r="P7" s="924"/>
      <c r="Q7" s="940"/>
      <c r="R7" s="924"/>
      <c r="S7" s="737"/>
      <c r="T7" s="924"/>
      <c r="U7" s="737"/>
      <c r="V7" s="924"/>
      <c r="W7" s="924"/>
      <c r="X7" s="924"/>
      <c r="Y7" s="1666"/>
      <c r="Z7" s="924"/>
      <c r="AA7" s="1981"/>
      <c r="AB7" s="924"/>
      <c r="AC7" s="924"/>
      <c r="AD7" s="924"/>
      <c r="AE7" s="924"/>
      <c r="AF7" s="924"/>
      <c r="AG7" s="924"/>
      <c r="AH7" s="924"/>
      <c r="AI7" s="940"/>
      <c r="AK7" s="866"/>
      <c r="AL7" s="866"/>
      <c r="AM7" s="866"/>
      <c r="AN7" s="924"/>
      <c r="AO7" s="891"/>
      <c r="AP7" s="765">
        <f>SUM(AQ7:BJ7)</f>
        <v>0</v>
      </c>
      <c r="AQ7" s="707"/>
      <c r="AR7" s="707"/>
      <c r="AS7" s="708">
        <f>COUNTIF(AS$13:AS$1048576,"TRUE")</f>
        <v>0</v>
      </c>
      <c r="AT7" s="707"/>
      <c r="AU7" s="708">
        <f>COUNTIF(AU$13:AU$1048576,"TRUE")</f>
        <v>0</v>
      </c>
      <c r="AV7" s="707"/>
      <c r="AW7" s="707"/>
      <c r="AX7" s="707"/>
      <c r="AY7" s="708">
        <f>COUNTIF(AY$13:AY$1048576,"TRUE")</f>
        <v>0</v>
      </c>
      <c r="AZ7" s="707"/>
      <c r="BA7" s="707"/>
      <c r="BB7" s="707"/>
      <c r="BC7" s="708">
        <f>COUNTIF(BC$13:BC$1048576,"TRUE")</f>
        <v>0</v>
      </c>
      <c r="BD7" s="707"/>
      <c r="BE7" s="707"/>
      <c r="BF7" s="707"/>
      <c r="BG7" s="707"/>
      <c r="BH7" s="707"/>
      <c r="BI7" s="707"/>
      <c r="BJ7" s="707"/>
      <c r="BK7" s="707"/>
      <c r="BL7" s="707"/>
      <c r="BM7" s="891"/>
      <c r="BN7" s="801" t="s">
        <v>300</v>
      </c>
      <c r="BO7" s="802"/>
      <c r="BP7" s="802"/>
      <c r="BQ7" s="802"/>
      <c r="BR7" s="802"/>
      <c r="BS7" s="802"/>
      <c r="BT7" s="802"/>
      <c r="BU7" s="802"/>
      <c r="BV7" s="802"/>
      <c r="BW7" s="802"/>
      <c r="BX7" s="802"/>
      <c r="BY7" s="924"/>
      <c r="CA7" s="930" t="s">
        <v>2646</v>
      </c>
    </row>
    <row r="8" spans="1:79" ht="12.75" customHeight="1" x14ac:dyDescent="0.2">
      <c r="A8" s="924"/>
      <c r="B8" s="924"/>
      <c r="C8" s="924"/>
      <c r="E8" s="736" t="s">
        <v>197</v>
      </c>
      <c r="F8" s="924"/>
      <c r="G8" s="924"/>
      <c r="H8" s="924"/>
      <c r="I8" s="737" t="s">
        <v>308</v>
      </c>
      <c r="J8" s="924"/>
      <c r="K8" s="737" t="s">
        <v>2380</v>
      </c>
      <c r="L8" s="924"/>
      <c r="M8" s="737" t="s">
        <v>536</v>
      </c>
      <c r="N8" s="924"/>
      <c r="O8" s="628" t="s">
        <v>313</v>
      </c>
      <c r="P8" s="924"/>
      <c r="Q8" s="940"/>
      <c r="R8" s="924"/>
      <c r="S8" s="847" t="s">
        <v>2417</v>
      </c>
      <c r="T8" s="1234"/>
      <c r="U8" s="847" t="s">
        <v>2382</v>
      </c>
      <c r="V8" s="924"/>
      <c r="W8" s="924"/>
      <c r="X8" s="924"/>
      <c r="Y8" s="1951" t="s">
        <v>139</v>
      </c>
      <c r="Z8" s="1666"/>
      <c r="AA8" s="1959" t="s">
        <v>2163</v>
      </c>
      <c r="AB8" s="924"/>
      <c r="AC8" s="737" t="s">
        <v>313</v>
      </c>
      <c r="AD8" s="924"/>
      <c r="AE8" s="924"/>
      <c r="AF8" s="924"/>
      <c r="AG8" s="737"/>
      <c r="AH8" s="924"/>
      <c r="AI8" s="628"/>
      <c r="AK8" s="866"/>
      <c r="AL8" s="866"/>
      <c r="AM8" s="866"/>
      <c r="AN8" s="924"/>
      <c r="AO8" s="765" t="s">
        <v>301</v>
      </c>
      <c r="AP8" s="765">
        <f>SUM(AQ8:BJ8)</f>
        <v>0</v>
      </c>
      <c r="AQ8" s="707"/>
      <c r="AR8" s="708">
        <f>COUNTIF(AR$13:AR$1048576,"TRUE")</f>
        <v>0</v>
      </c>
      <c r="AS8" s="707"/>
      <c r="AT8" s="708">
        <f>COUNTIF(AT$13:AT$1048576,"TRUE")</f>
        <v>0</v>
      </c>
      <c r="AU8" s="707"/>
      <c r="AV8" s="708">
        <f>COUNTIF(AV$13:AV$1048576,"TRUE")</f>
        <v>0</v>
      </c>
      <c r="AW8" s="707"/>
      <c r="AX8" s="708">
        <f>COUNTIF(AX$13:AX$1048576,"TRUE")</f>
        <v>0</v>
      </c>
      <c r="AY8" s="707"/>
      <c r="AZ8" s="708">
        <f>COUNTIF(AZ$13:AZ$1048576,"TRUE")</f>
        <v>0</v>
      </c>
      <c r="BA8" s="707"/>
      <c r="BB8" s="708">
        <f>COUNTIF(BB$13:BB$1048576,"TRUE")</f>
        <v>0</v>
      </c>
      <c r="BC8" s="707"/>
      <c r="BD8" s="708">
        <f>COUNTIF(BD$13:BD$1048576,"TRUE")</f>
        <v>0</v>
      </c>
      <c r="BE8" s="707"/>
      <c r="BF8" s="708">
        <f>COUNTIF(BF$13:BF$1048576,"TRUE")</f>
        <v>0</v>
      </c>
      <c r="BG8" s="707"/>
      <c r="BH8" s="708">
        <f>COUNTIF(BH$13:BH$1048576,"TRUE")</f>
        <v>0</v>
      </c>
      <c r="BI8" s="707"/>
      <c r="BJ8" s="708">
        <f>COUNTIF(BJ$13:BJ$1048576,"TRUE")</f>
        <v>0</v>
      </c>
      <c r="BK8" s="707"/>
      <c r="BL8" s="708">
        <f>COUNTIF(BL$13:BL$1048576,"TRUE")</f>
        <v>0</v>
      </c>
      <c r="BM8" s="891"/>
      <c r="BN8" s="810"/>
      <c r="BO8" s="877"/>
      <c r="BP8" s="877"/>
      <c r="BQ8" s="877" t="s">
        <v>139</v>
      </c>
      <c r="BR8" s="877"/>
      <c r="BS8" s="810" t="s">
        <v>139</v>
      </c>
      <c r="BT8" s="878" t="s">
        <v>139</v>
      </c>
      <c r="BU8" s="810" t="s">
        <v>344</v>
      </c>
      <c r="BV8" s="810" t="s">
        <v>344</v>
      </c>
      <c r="BW8" s="810" t="s">
        <v>265</v>
      </c>
      <c r="BX8" s="878" t="s">
        <v>265</v>
      </c>
      <c r="BY8" s="924"/>
      <c r="CA8" s="930" t="s">
        <v>2647</v>
      </c>
    </row>
    <row r="9" spans="1:79" ht="12.75" customHeight="1" x14ac:dyDescent="0.2">
      <c r="A9" s="924"/>
      <c r="B9" s="924"/>
      <c r="C9" s="924"/>
      <c r="E9" s="736" t="s">
        <v>484</v>
      </c>
      <c r="F9" s="924"/>
      <c r="G9" s="924"/>
      <c r="H9" s="924"/>
      <c r="I9" s="737" t="s">
        <v>309</v>
      </c>
      <c r="J9" s="924"/>
      <c r="K9" s="737" t="s">
        <v>309</v>
      </c>
      <c r="L9" s="924"/>
      <c r="M9" s="737" t="s">
        <v>323</v>
      </c>
      <c r="N9" s="924"/>
      <c r="O9" s="628" t="s">
        <v>101</v>
      </c>
      <c r="P9" s="924"/>
      <c r="Q9" s="628" t="s">
        <v>314</v>
      </c>
      <c r="R9" s="924"/>
      <c r="S9" s="847" t="s">
        <v>2381</v>
      </c>
      <c r="T9" s="1238"/>
      <c r="U9" s="847" t="s">
        <v>2381</v>
      </c>
      <c r="V9" s="924"/>
      <c r="W9" s="737" t="s">
        <v>316</v>
      </c>
      <c r="X9" s="737"/>
      <c r="Y9" s="1951" t="s">
        <v>104</v>
      </c>
      <c r="Z9" s="1695"/>
      <c r="AA9" s="1959" t="s">
        <v>2402</v>
      </c>
      <c r="AB9" s="924"/>
      <c r="AC9" s="737" t="s">
        <v>92</v>
      </c>
      <c r="AD9" s="924"/>
      <c r="AE9" s="737" t="s">
        <v>2174</v>
      </c>
      <c r="AF9" s="924"/>
      <c r="AG9" s="737" t="s">
        <v>109</v>
      </c>
      <c r="AH9" s="924"/>
      <c r="AI9" s="628" t="s">
        <v>2649</v>
      </c>
      <c r="AK9" s="866"/>
      <c r="AL9" s="866"/>
      <c r="AM9" s="866"/>
      <c r="AN9" s="924"/>
      <c r="AO9" s="765" t="s">
        <v>302</v>
      </c>
      <c r="AP9" s="765" t="s">
        <v>305</v>
      </c>
      <c r="AQ9" s="707"/>
      <c r="AR9" s="707"/>
      <c r="AS9" s="707"/>
      <c r="AT9" s="707"/>
      <c r="AU9" s="707"/>
      <c r="AV9" s="707"/>
      <c r="AW9" s="707"/>
      <c r="AX9" s="707"/>
      <c r="AY9" s="708" t="str">
        <f>IF(AY7&gt;=1,AY$11,"")</f>
        <v/>
      </c>
      <c r="AZ9" s="707"/>
      <c r="BA9" s="708" t="str">
        <f>IF(BA7&gt;=1,BA$11,"")</f>
        <v/>
      </c>
      <c r="BB9" s="707"/>
      <c r="BC9" s="708" t="str">
        <f>IF(BC7&gt;=1,BC$11,"")</f>
        <v/>
      </c>
      <c r="BD9" s="707"/>
      <c r="BE9" s="707"/>
      <c r="BF9" s="707"/>
      <c r="BG9" s="707"/>
      <c r="BH9" s="707"/>
      <c r="BI9" s="707"/>
      <c r="BJ9" s="707"/>
      <c r="BK9" s="707"/>
      <c r="BL9" s="707"/>
      <c r="BM9" s="929"/>
      <c r="BN9" s="810" t="s">
        <v>95</v>
      </c>
      <c r="BO9" s="877" t="s">
        <v>2167</v>
      </c>
      <c r="BP9" s="877" t="s">
        <v>312</v>
      </c>
      <c r="BQ9" s="877" t="s">
        <v>104</v>
      </c>
      <c r="BR9" s="877" t="s">
        <v>104</v>
      </c>
      <c r="BS9" s="810" t="s">
        <v>104</v>
      </c>
      <c r="BT9" s="878" t="s">
        <v>104</v>
      </c>
      <c r="BU9" s="810" t="s">
        <v>198</v>
      </c>
      <c r="BV9" s="878" t="s">
        <v>198</v>
      </c>
      <c r="BW9" s="810" t="s">
        <v>198</v>
      </c>
      <c r="BX9" s="878" t="s">
        <v>198</v>
      </c>
      <c r="BY9" s="924"/>
      <c r="CA9" s="930" t="s">
        <v>2648</v>
      </c>
    </row>
    <row r="10" spans="1:79" ht="12.75" customHeight="1" x14ac:dyDescent="0.2">
      <c r="A10" s="736" t="s">
        <v>196</v>
      </c>
      <c r="B10" s="924"/>
      <c r="C10" s="736" t="s">
        <v>2625</v>
      </c>
      <c r="E10" s="736" t="s">
        <v>485</v>
      </c>
      <c r="F10" s="924"/>
      <c r="G10" s="924"/>
      <c r="H10" s="924"/>
      <c r="I10" s="737" t="s">
        <v>310</v>
      </c>
      <c r="J10" s="924"/>
      <c r="K10" s="737" t="s">
        <v>312</v>
      </c>
      <c r="L10" s="924"/>
      <c r="M10" s="737" t="s">
        <v>324</v>
      </c>
      <c r="N10" s="924"/>
      <c r="O10" s="628" t="s">
        <v>201</v>
      </c>
      <c r="P10" s="924"/>
      <c r="Q10" s="628" t="s">
        <v>315</v>
      </c>
      <c r="R10" s="924"/>
      <c r="S10" s="847" t="s">
        <v>2378</v>
      </c>
      <c r="T10" s="1238"/>
      <c r="U10" s="847" t="s">
        <v>2378</v>
      </c>
      <c r="V10" s="924"/>
      <c r="W10" s="737" t="s">
        <v>317</v>
      </c>
      <c r="X10" s="737"/>
      <c r="Y10" s="1951" t="s">
        <v>2639</v>
      </c>
      <c r="Z10" s="1695"/>
      <c r="AA10" s="1959" t="s">
        <v>2403</v>
      </c>
      <c r="AB10" s="924"/>
      <c r="AC10" s="737" t="s">
        <v>330</v>
      </c>
      <c r="AD10" s="924"/>
      <c r="AE10" s="737" t="s">
        <v>332</v>
      </c>
      <c r="AF10" s="924"/>
      <c r="AG10" s="737" t="s">
        <v>201</v>
      </c>
      <c r="AH10" s="924"/>
      <c r="AI10" s="628" t="s">
        <v>2650</v>
      </c>
      <c r="AK10" s="844" t="s">
        <v>140</v>
      </c>
      <c r="AL10" s="844"/>
      <c r="AM10" s="844"/>
      <c r="AO10" s="924"/>
      <c r="AP10" s="765" t="s">
        <v>306</v>
      </c>
      <c r="AQ10" s="707"/>
      <c r="AR10" s="708" t="str">
        <f>IF(AR8&gt;=1,AR$11,"")</f>
        <v/>
      </c>
      <c r="AS10" s="707"/>
      <c r="AT10" s="708" t="str">
        <f>IF(AT8&gt;=1,AT$11,"")</f>
        <v/>
      </c>
      <c r="AU10" s="707"/>
      <c r="AV10" s="708" t="str">
        <f>IF(AV8&gt;=1,AV$11,"")</f>
        <v/>
      </c>
      <c r="AW10" s="707"/>
      <c r="AX10" s="708" t="str">
        <f>IF(AX8&gt;=1,AX$11,"")</f>
        <v/>
      </c>
      <c r="AY10" s="707"/>
      <c r="AZ10" s="708" t="str">
        <f>IF(AZ8&gt;=1,AZ$11,"")</f>
        <v/>
      </c>
      <c r="BA10" s="707"/>
      <c r="BB10" s="708" t="str">
        <f>IF(BB8&gt;=1,BB$11,"")</f>
        <v/>
      </c>
      <c r="BC10" s="707"/>
      <c r="BD10" s="708" t="str">
        <f>IF(BD8&gt;=1,BD$11,"")</f>
        <v/>
      </c>
      <c r="BE10" s="707"/>
      <c r="BF10" s="708" t="str">
        <f>IF(BF8&gt;=1,BF$11,"")</f>
        <v/>
      </c>
      <c r="BG10" s="707"/>
      <c r="BH10" s="708" t="str">
        <f>IF(BH8&gt;=1,BH$11,"")</f>
        <v/>
      </c>
      <c r="BI10" s="707"/>
      <c r="BJ10" s="708" t="str">
        <f>IF(BJ8&gt;=1,BJ$11,"")</f>
        <v/>
      </c>
      <c r="BK10" s="707"/>
      <c r="BL10" s="708" t="str">
        <f>IF(BL8&gt;=1,BL$11,"")</f>
        <v/>
      </c>
      <c r="BN10" s="879" t="s">
        <v>39</v>
      </c>
      <c r="BO10" s="880" t="s">
        <v>98</v>
      </c>
      <c r="BP10" s="880" t="s">
        <v>2392</v>
      </c>
      <c r="BQ10" s="880" t="s">
        <v>2399</v>
      </c>
      <c r="BR10" s="877" t="s">
        <v>2393</v>
      </c>
      <c r="BS10" s="810" t="s">
        <v>60</v>
      </c>
      <c r="BT10" s="881" t="s">
        <v>61</v>
      </c>
      <c r="BU10" s="810" t="s">
        <v>60</v>
      </c>
      <c r="BV10" s="881" t="s">
        <v>61</v>
      </c>
      <c r="BW10" s="810" t="s">
        <v>60</v>
      </c>
      <c r="BX10" s="881" t="s">
        <v>61</v>
      </c>
      <c r="CA10" s="930" t="s">
        <v>1640</v>
      </c>
    </row>
    <row r="11" spans="1:79" s="916" customFormat="1" ht="9.75" customHeight="1" x14ac:dyDescent="0.2">
      <c r="D11" s="1851"/>
      <c r="O11" s="938"/>
      <c r="Q11" s="938"/>
      <c r="Y11" s="1970"/>
      <c r="AA11" s="1982"/>
      <c r="AI11" s="938"/>
      <c r="AO11" s="917"/>
      <c r="AP11" s="1525"/>
      <c r="AQ11" s="1526" t="str">
        <f>C2</f>
        <v>c</v>
      </c>
      <c r="AR11" s="1527" t="str">
        <f>+AQ11</f>
        <v>c</v>
      </c>
      <c r="AS11" s="1526" t="str">
        <f>I2</f>
        <v>i</v>
      </c>
      <c r="AT11" s="1527" t="str">
        <f>+AS11</f>
        <v>i</v>
      </c>
      <c r="AU11" s="1526" t="str">
        <f>K2</f>
        <v>k</v>
      </c>
      <c r="AV11" s="1527" t="str">
        <f>+AU11</f>
        <v>k</v>
      </c>
      <c r="AW11" s="1526" t="str">
        <f>M2</f>
        <v>m</v>
      </c>
      <c r="AX11" s="1527" t="str">
        <f>+AW11</f>
        <v>m</v>
      </c>
      <c r="AY11" s="1526" t="str">
        <f>O2</f>
        <v>o</v>
      </c>
      <c r="AZ11" s="1527" t="str">
        <f>+AY11</f>
        <v>o</v>
      </c>
      <c r="BA11" s="1526" t="str">
        <f>Q2</f>
        <v>q</v>
      </c>
      <c r="BB11" s="1527" t="str">
        <f>+BA11</f>
        <v>q</v>
      </c>
      <c r="BC11" s="1526" t="str">
        <f>W2</f>
        <v>w</v>
      </c>
      <c r="BD11" s="1527" t="str">
        <f>+BC11</f>
        <v>w</v>
      </c>
      <c r="BE11" s="1526" t="str">
        <f>AC2</f>
        <v>ac</v>
      </c>
      <c r="BF11" s="1527" t="str">
        <f>+BE11</f>
        <v>ac</v>
      </c>
      <c r="BG11" s="1526" t="str">
        <f>AE2</f>
        <v>ae</v>
      </c>
      <c r="BH11" s="1527" t="str">
        <f>+BG11</f>
        <v>ae</v>
      </c>
      <c r="BI11" s="1526" t="str">
        <f>AG2</f>
        <v>ag</v>
      </c>
      <c r="BJ11" s="1527" t="str">
        <f>+BI11</f>
        <v>ag</v>
      </c>
      <c r="BK11" s="1526" t="str">
        <f>AI2</f>
        <v>ai</v>
      </c>
      <c r="BL11" s="1528" t="str">
        <f>+BK11</f>
        <v>ai</v>
      </c>
      <c r="BN11" s="1529"/>
      <c r="BO11" s="1529"/>
      <c r="BP11" s="1529"/>
      <c r="BQ11" s="1529"/>
      <c r="BR11" s="1529"/>
      <c r="BS11" s="1529"/>
      <c r="BT11" s="1529"/>
      <c r="BU11" s="1529"/>
      <c r="BV11" s="1529"/>
      <c r="BW11" s="1529"/>
      <c r="BX11" s="1529"/>
    </row>
    <row r="12" spans="1:79" ht="6.75" customHeight="1" x14ac:dyDescent="0.2">
      <c r="A12" s="1516"/>
      <c r="B12" s="1530">
        <v>0.5</v>
      </c>
      <c r="C12" s="1531"/>
      <c r="D12" s="905"/>
      <c r="E12" s="1531"/>
      <c r="F12" s="1531"/>
      <c r="G12" s="1531"/>
      <c r="H12" s="1531"/>
      <c r="I12" s="1531"/>
      <c r="J12" s="1531"/>
      <c r="K12" s="1531"/>
      <c r="L12" s="1531"/>
      <c r="M12" s="1531"/>
      <c r="N12" s="1531"/>
      <c r="O12" s="1532"/>
      <c r="P12" s="1531"/>
      <c r="Q12" s="1533"/>
      <c r="R12" s="1531"/>
      <c r="S12" s="1531"/>
      <c r="T12" s="1531"/>
      <c r="U12" s="1531"/>
      <c r="V12" s="1531"/>
      <c r="W12" s="1531"/>
      <c r="X12" s="1531"/>
      <c r="Y12" s="1971"/>
      <c r="Z12" s="1531"/>
      <c r="AA12" s="1983"/>
      <c r="AB12" s="1531"/>
      <c r="AC12" s="1531"/>
      <c r="AD12" s="1531"/>
      <c r="AE12" s="1531"/>
      <c r="AF12" s="1531"/>
      <c r="AG12" s="1531"/>
      <c r="AH12" s="1531"/>
      <c r="AI12" s="1533"/>
      <c r="AJ12" s="1531"/>
      <c r="AK12" s="1531"/>
      <c r="AL12" s="1531"/>
      <c r="AM12" s="1531"/>
      <c r="AN12" s="1531"/>
      <c r="AO12" s="891"/>
      <c r="AP12" s="711"/>
      <c r="AQ12" s="1522"/>
      <c r="AR12" s="725"/>
      <c r="AS12" s="1522"/>
      <c r="AT12" s="725"/>
      <c r="AU12" s="1522"/>
      <c r="AV12" s="725"/>
      <c r="AW12" s="1522"/>
      <c r="AX12" s="725"/>
      <c r="AY12" s="1522"/>
      <c r="AZ12" s="725"/>
      <c r="BA12" s="1522"/>
      <c r="BB12" s="725"/>
      <c r="BC12" s="1522"/>
      <c r="BD12" s="725"/>
      <c r="BE12" s="1522"/>
      <c r="BF12" s="725"/>
      <c r="BG12" s="1522"/>
      <c r="BH12" s="725"/>
      <c r="BI12" s="1522"/>
      <c r="BJ12" s="725"/>
      <c r="BK12" s="1522"/>
      <c r="BL12" s="1523"/>
      <c r="BM12" s="1531"/>
      <c r="BN12" s="1535"/>
      <c r="BO12" s="1535"/>
      <c r="BP12" s="1535"/>
      <c r="BQ12" s="1535"/>
      <c r="BR12" s="1535"/>
      <c r="BS12" s="1535"/>
      <c r="BT12" s="1535"/>
      <c r="BU12" s="1535"/>
      <c r="BV12" s="1535"/>
      <c r="BW12" s="1535"/>
      <c r="BX12" s="1535"/>
      <c r="BY12" s="1531"/>
    </row>
    <row r="13" spans="1:79" s="930" customFormat="1" x14ac:dyDescent="0.2">
      <c r="A13" s="206">
        <v>1</v>
      </c>
      <c r="B13" s="1530">
        <v>1</v>
      </c>
      <c r="C13" s="933"/>
      <c r="D13" s="719" t="str">
        <f>IF((C13=""),"Enter RVI ID. then Fill in Columns "&amp;TEXT($I$2,0)&amp;" - "&amp;TEXT($AI$2,0)&amp;"       ","")</f>
        <v xml:space="preserve">Enter RVI ID. then Fill in Columns i - ai       </v>
      </c>
      <c r="E13" s="1056" t="str">
        <f>IF(AP13="N/A","",AP13)</f>
        <v/>
      </c>
      <c r="F13" s="1536"/>
      <c r="G13" s="1536"/>
      <c r="H13" s="1536"/>
      <c r="I13" s="1023"/>
      <c r="J13" s="1536" t="str">
        <f>IF(E13&lt;&gt;"","Vehicles?    ","")</f>
        <v/>
      </c>
      <c r="K13" s="1023"/>
      <c r="L13" s="1536" t="str">
        <f>IF(E13&lt;&gt;"","Active Vehicles?     ","")</f>
        <v/>
      </c>
      <c r="M13" s="1023"/>
      <c r="N13" s="894"/>
      <c r="O13" s="1153"/>
      <c r="P13" s="252" t="str">
        <f>IF(E13&lt;&gt;"","Select from Pull-Down List    ","")</f>
        <v/>
      </c>
      <c r="Q13" s="933"/>
      <c r="R13" s="252" t="str">
        <f>IF(E13&lt;&gt;"","Select from Pull-Down List    ","")</f>
        <v/>
      </c>
      <c r="S13" s="1024" t="str">
        <f t="shared" ref="S13:S76" si="0">IFERROR(VLOOKUP($O13,val_rev_vehicles,S$3,FALSE), "")</f>
        <v/>
      </c>
      <c r="T13" s="252"/>
      <c r="U13" s="1988"/>
      <c r="V13" s="252" t="str">
        <f t="shared" ref="V13:V44" si="1">IF(E13&lt;&gt;"","Service Yrs?    ","")</f>
        <v/>
      </c>
      <c r="W13" s="139"/>
      <c r="X13" s="252" t="str">
        <f>IF(E13&lt;&gt;"","Mfg. Yr?    ","")</f>
        <v/>
      </c>
      <c r="Y13" s="1972" t="str">
        <f ca="1">BQ13</f>
        <v/>
      </c>
      <c r="Z13" s="252"/>
      <c r="AA13" s="1984" t="str">
        <f ca="1">BR13</f>
        <v/>
      </c>
      <c r="AB13" s="252" t="str">
        <f>IF(E13&lt;&gt;"","Select from Pull-Down List    ","")</f>
        <v/>
      </c>
      <c r="AC13" s="1023"/>
      <c r="AD13" s="252" t="str">
        <f>IF(E13&lt;&gt;"","Feet?    ","")</f>
        <v/>
      </c>
      <c r="AE13" s="1023"/>
      <c r="AF13" s="252" t="str">
        <f>IF(E13&lt;&gt;"","Mileage?       ","")</f>
        <v/>
      </c>
      <c r="AG13" s="1023"/>
      <c r="AH13" s="252" t="str">
        <f>IF(E13&lt;&gt;"","Avg. Lifetime Mileage? ","")</f>
        <v/>
      </c>
      <c r="AI13" s="933"/>
      <c r="AJ13" s="252" t="str">
        <f>IF(E13&lt;&gt;"","Select from Pull-Down List    ","")</f>
        <v/>
      </c>
      <c r="AK13" s="171"/>
      <c r="AL13" s="252"/>
      <c r="AM13" s="894"/>
      <c r="AN13" s="894"/>
      <c r="AO13" s="894" t="b">
        <f>IF(AND(C13="",C15&lt;&gt;""),TRUE,FALSE)</f>
        <v>0</v>
      </c>
      <c r="AP13" s="888" t="str">
        <f>IF(AND(C13&lt;&gt;"",OR(I13="",K13="",M13="",O13="",Q13="",W13="",AC13="",AE13="",AG13="")),"No",IF(AND(C13="",OR(I13&lt;&gt;"",K13&lt;&gt;"",M13&lt;&gt;"",O13&lt;&gt;"",Q13&lt;&gt;"",W13&lt;&gt;"",AC13&lt;&gt;"",AE13&lt;&gt;"",AG13&lt;&gt;"",AI13&lt;&gt;"",AK13&lt;&gt;"")),"No",IF(AND(C13="",I13="",K13="",M13="",O13="",Q13="",W13="",AC13="",AE13="",AG13="",AI13=""),"N/A","Yes")))</f>
        <v>N/A</v>
      </c>
      <c r="AQ13" s="898"/>
      <c r="AR13" s="899" t="b">
        <f>IF(AND(OR(I13&lt;&gt;"",K13&lt;&gt;"",M13&lt;&gt;"",O13&lt;&gt;"",Q13&lt;&gt;"",W13&lt;&gt;"",AC13&lt;&gt;"",AE13&lt;&gt;"",AG13&lt;&gt;"",AI13&lt;&gt;"",AK13&lt;&gt;""),C13=""),TRUE,FALSE)</f>
        <v>0</v>
      </c>
      <c r="AS13" s="898" t="b">
        <f>IF(AT13=TRUE,FALSE,IF(SUM(K13)&gt;I13,TRUE,FALSE))</f>
        <v>0</v>
      </c>
      <c r="AT13" s="899" t="b">
        <f>IF(AND(C13&lt;&gt;"",I13=""),TRUE,FALSE)</f>
        <v>0</v>
      </c>
      <c r="AU13" s="898" t="b">
        <f>IF(AV13=TRUE,FALSE,IF(M13&gt;K13,TRUE,FALSE))</f>
        <v>0</v>
      </c>
      <c r="AV13" s="899" t="b">
        <f>IF(AND($C13&lt;&gt;"",K13=""),TRUE,FALSE)</f>
        <v>0</v>
      </c>
      <c r="AW13" s="898"/>
      <c r="AX13" s="899" t="b">
        <f>IF(AND($C13&lt;&gt;"",M13=""),TRUE,FALSE)</f>
        <v>0</v>
      </c>
      <c r="AY13" s="898" t="b">
        <f>IF(AND(O13="",OR(Q13&lt;&gt;"",W13&lt;&gt;"",AC13&lt;&gt;"",AE13&lt;&gt;"",AG13&lt;&gt;"",AI13&lt;&gt;"")),TRUE,FALSE)</f>
        <v>0</v>
      </c>
      <c r="AZ13" s="899" t="b">
        <f>IF(AND($C13&lt;&gt;"",O13=""),TRUE,FALSE)</f>
        <v>0</v>
      </c>
      <c r="BA13" s="898"/>
      <c r="BB13" s="899" t="b">
        <f>IF(AND($C13&lt;&gt;"",Q13=""),TRUE,FALSE)</f>
        <v>0</v>
      </c>
      <c r="BC13" s="1537" t="b">
        <f>IF(BD13=TRUE,FALSE,IF(W13="",FALSE,IF(OR(W13&lt;BO13,W13&gt;BaseYear),TRUE,FALSE)))</f>
        <v>0</v>
      </c>
      <c r="BD13" s="899" t="b">
        <f>IF(AND($C13&lt;&gt;"",W13=""),TRUE,FALSE)</f>
        <v>0</v>
      </c>
      <c r="BE13" s="1537"/>
      <c r="BF13" s="899" t="b">
        <f>IF(AND($C13&lt;&gt;"",AC13=""),TRUE,FALSE)</f>
        <v>0</v>
      </c>
      <c r="BG13" s="898"/>
      <c r="BH13" s="899" t="b">
        <f>IF(AND($C13&lt;&gt;"",AE13=""),TRUE,FALSE)</f>
        <v>0</v>
      </c>
      <c r="BI13" s="898"/>
      <c r="BJ13" s="899" t="b">
        <f>IF(AND($C13&lt;&gt;"",AG13=""),TRUE,FALSE)</f>
        <v>0</v>
      </c>
      <c r="BK13" s="898"/>
      <c r="BL13" s="898" t="b">
        <f>IF(AND($C13&lt;&gt;"",AI13=""),TRUE,FALSE)</f>
        <v>0</v>
      </c>
      <c r="BM13" s="894"/>
      <c r="BN13" s="898" t="str">
        <f t="shared" ref="BN13:BN76" si="2">IFERROR(VLOOKUP($O13,val_rev_vehicles,BN$3,FALSE),"")</f>
        <v/>
      </c>
      <c r="BO13" s="898" t="str">
        <f>IFERROR(IF(AND(O13="",O13&lt;&gt;""),1913,VLOOKUP(O13,Valid!$B$99:$J$120,9)),"")</f>
        <v/>
      </c>
      <c r="BP13" s="898" t="str">
        <f t="shared" ref="BP13:BP44" ca="1" si="3">IF(W13="", "", YEAR(TODAY())-W13)</f>
        <v/>
      </c>
      <c r="BQ13" s="1547" t="str">
        <f ca="1">IF(OR(BP13="", U13="",U13=0), "", 1+ (-1*(BP13/U13)))</f>
        <v/>
      </c>
      <c r="BR13" s="898" t="str">
        <f ca="1">IF(BQ13="", "", IF(1+(BQ13*4)&lt;1, 1, 1+(BQ13*4)))</f>
        <v/>
      </c>
      <c r="BS13" s="898" t="str">
        <f t="shared" ref="BS13:BS76" si="4">IFERROR(VLOOKUP($O13,val_rev_vehicles,BS$3,FALSE), "")</f>
        <v/>
      </c>
      <c r="BT13" s="898" t="str">
        <f t="shared" ref="BT13:BT76" si="5">IFERROR(VLOOKUP($O13,val_rev_vehicles,BT$3,FALSE),"")</f>
        <v/>
      </c>
      <c r="BU13" s="1539" t="str">
        <f>IFERROR(IF(AND(#REF!="",C13&lt;&gt;""),Valid!$E$123,VLOOKUP(#REF!,Valid!$B$123:$F$125,4,FALSE)),"")</f>
        <v/>
      </c>
      <c r="BV13" s="1539" t="str">
        <f>IFERROR(IF(AND(#REF!="",C13&lt;&gt;""),Valid!$F$123,VLOOKUP(#REF!,Valid!$B$123:$F$125,5,FALSE)),"")</f>
        <v/>
      </c>
      <c r="BW13" s="1539" t="str">
        <f>IFERROR(VLOOKUP('A-70 RevVehInv'!S13,Valid!$B$99:$I$120,7), "")</f>
        <v/>
      </c>
      <c r="BX13" s="1539" t="str">
        <f>IFERROR(VLOOKUP(O13,Valid!$B$99:$I$120,8), "")</f>
        <v/>
      </c>
      <c r="BY13" s="894"/>
    </row>
    <row r="14" spans="1:79" ht="6.75" customHeight="1" x14ac:dyDescent="0.2">
      <c r="A14" s="1516"/>
      <c r="B14" s="1530">
        <v>1.5</v>
      </c>
      <c r="C14" s="1540"/>
      <c r="D14" s="905"/>
      <c r="E14" s="1541"/>
      <c r="F14" s="905"/>
      <c r="G14" s="905"/>
      <c r="H14" s="905"/>
      <c r="I14" s="1534"/>
      <c r="J14" s="905"/>
      <c r="K14" s="1534"/>
      <c r="L14" s="905"/>
      <c r="M14" s="1534"/>
      <c r="N14" s="1531"/>
      <c r="O14" s="1542"/>
      <c r="P14" s="905"/>
      <c r="Q14" s="1542"/>
      <c r="R14" s="905"/>
      <c r="S14" s="1534" t="str">
        <f t="shared" si="0"/>
        <v/>
      </c>
      <c r="T14" s="905"/>
      <c r="U14" s="1534"/>
      <c r="V14" s="252" t="str">
        <f t="shared" si="1"/>
        <v/>
      </c>
      <c r="W14" s="1534"/>
      <c r="X14" s="905"/>
      <c r="Y14" s="1973" t="str">
        <f t="shared" ref="Y14:Y77" si="6">IFERROR(VLOOKUP($O14,val_rev_vehicles,Y$3,FALSE), "")</f>
        <v/>
      </c>
      <c r="Z14" s="905"/>
      <c r="AA14" s="1985" t="str">
        <f t="shared" ref="AA14:AA77" si="7">IFERROR(VLOOKUP($O14,val_rev_vehicles,AA$3,FALSE), "")</f>
        <v/>
      </c>
      <c r="AB14" s="1531"/>
      <c r="AC14" s="1534"/>
      <c r="AD14" s="1531"/>
      <c r="AE14" s="1534"/>
      <c r="AF14" s="1531"/>
      <c r="AG14" s="1534"/>
      <c r="AH14" s="1531"/>
      <c r="AI14" s="1543"/>
      <c r="AJ14" s="1531"/>
      <c r="AK14" s="1534"/>
      <c r="AL14" s="1531"/>
      <c r="AM14" s="1531"/>
      <c r="AN14" s="1531"/>
      <c r="AO14" s="1531"/>
      <c r="AP14" s="1531"/>
      <c r="AQ14" s="1535"/>
      <c r="AR14" s="1534"/>
      <c r="AS14" s="1535"/>
      <c r="AT14" s="1534"/>
      <c r="AU14" s="1535"/>
      <c r="AV14" s="1534"/>
      <c r="AW14" s="1535"/>
      <c r="AX14" s="1534"/>
      <c r="AY14" s="1535"/>
      <c r="AZ14" s="1534"/>
      <c r="BA14" s="1535"/>
      <c r="BB14" s="1534"/>
      <c r="BC14" s="1535"/>
      <c r="BD14" s="1534"/>
      <c r="BE14" s="1535"/>
      <c r="BF14" s="1534"/>
      <c r="BG14" s="1535"/>
      <c r="BH14" s="1534"/>
      <c r="BI14" s="1535"/>
      <c r="BJ14" s="1534"/>
      <c r="BK14" s="1535"/>
      <c r="BL14" s="1535"/>
      <c r="BM14" s="1531"/>
      <c r="BN14" s="898" t="str">
        <f t="shared" si="2"/>
        <v/>
      </c>
      <c r="BO14" s="898" t="str">
        <f>IFERROR(IF(AND(O14="",O14&lt;&gt;""),1913,VLOOKUP(O14,Valid!$B$99:$J$120,9)),"")</f>
        <v/>
      </c>
      <c r="BP14" s="898" t="str">
        <f t="shared" ca="1" si="3"/>
        <v/>
      </c>
      <c r="BQ14" s="1547" t="str">
        <f t="shared" ref="BQ14:BQ45" ca="1" si="8">IF(OR(BP14="", S14="",S14=0), "", 1+ (-1*(BP14/S14)))</f>
        <v/>
      </c>
      <c r="BR14" s="898"/>
      <c r="BS14" s="898" t="str">
        <f t="shared" si="4"/>
        <v/>
      </c>
      <c r="BT14" s="898" t="str">
        <f t="shared" si="5"/>
        <v/>
      </c>
      <c r="BU14" s="1539" t="str">
        <f>IFERROR(IF(AND(#REF!="",C14&lt;&gt;""),Valid!$E$123,VLOOKUP(#REF!,Valid!$B$123:$F$125,4,FALSE)),"")</f>
        <v/>
      </c>
      <c r="BV14" s="1539" t="str">
        <f>IFERROR(IF(AND(#REF!="",C14&lt;&gt;""),Valid!$F$123,VLOOKUP(#REF!,Valid!$B$123:$F$125,5,FALSE)),"")</f>
        <v/>
      </c>
      <c r="BW14" s="1539" t="str">
        <f>IFERROR(VLOOKUP('A-70 RevVehInv'!S14,Valid!$B$99:$I$120,7), "")</f>
        <v/>
      </c>
      <c r="BX14" s="1539" t="str">
        <f>IFERROR(VLOOKUP(O14,Valid!$B$99:$I$120,8), "")</f>
        <v/>
      </c>
      <c r="BY14" s="1531"/>
    </row>
    <row r="15" spans="1:79" s="930" customFormat="1" x14ac:dyDescent="0.2">
      <c r="A15" s="206">
        <v>2</v>
      </c>
      <c r="B15" s="1530">
        <v>2</v>
      </c>
      <c r="C15" s="933"/>
      <c r="D15" s="719" t="str">
        <f>IF(C13="","",IF((C15=""),"Enter RVI ID. then Fill in Columns "&amp;TEXT($I$2,0)&amp;" - "&amp;TEXT($AI$2,0)&amp;"       ",""))</f>
        <v/>
      </c>
      <c r="E15" s="1056" t="str">
        <f>IF(AP15="N/A","",AP15)</f>
        <v/>
      </c>
      <c r="F15" s="1536"/>
      <c r="G15" s="1536"/>
      <c r="H15" s="1536"/>
      <c r="I15" s="1023"/>
      <c r="J15" s="1536" t="str">
        <f>IF(E15&lt;&gt;"","Vehicles?    ","")</f>
        <v/>
      </c>
      <c r="K15" s="1023"/>
      <c r="L15" s="1536" t="str">
        <f>IF(E15&lt;&gt;"","Active Vehicles?     ","")</f>
        <v/>
      </c>
      <c r="M15" s="1023"/>
      <c r="N15" s="894"/>
      <c r="O15" s="1153"/>
      <c r="P15" s="252" t="str">
        <f>IF(E15&lt;&gt;"","Select from Pull-Down List    ","")</f>
        <v/>
      </c>
      <c r="Q15" s="933"/>
      <c r="R15" s="252" t="str">
        <f>IF(E15&lt;&gt;"","Select from Pull-Down List    ","")</f>
        <v/>
      </c>
      <c r="S15" s="1024" t="str">
        <f t="shared" si="0"/>
        <v/>
      </c>
      <c r="T15" s="252"/>
      <c r="U15" s="1988"/>
      <c r="V15" s="252" t="str">
        <f t="shared" si="1"/>
        <v/>
      </c>
      <c r="W15" s="139"/>
      <c r="X15" s="252" t="str">
        <f>IF(E15&lt;&gt;"","Mfg. Yr?    ","")</f>
        <v/>
      </c>
      <c r="Y15" s="1972" t="str">
        <f t="shared" si="6"/>
        <v/>
      </c>
      <c r="Z15" s="252"/>
      <c r="AA15" s="1984" t="str">
        <f t="shared" si="7"/>
        <v/>
      </c>
      <c r="AB15" s="252" t="str">
        <f>IF(E15&lt;&gt;"","Select from Pull-Down List    ","")</f>
        <v/>
      </c>
      <c r="AC15" s="1023"/>
      <c r="AD15" s="252" t="str">
        <f>IF(E15&lt;&gt;"","Feet?    ","")</f>
        <v/>
      </c>
      <c r="AE15" s="1023"/>
      <c r="AF15" s="252" t="str">
        <f>IF(E15&lt;&gt;"","Mileage?       ","")</f>
        <v/>
      </c>
      <c r="AG15" s="1023"/>
      <c r="AH15" s="252" t="str">
        <f>IF(E15&lt;&gt;"","Avg. Lifetime Mileage? ","")</f>
        <v/>
      </c>
      <c r="AI15" s="933"/>
      <c r="AJ15" s="252" t="str">
        <f>IF(E15&lt;&gt;"","Select from Pull-Down List    ","")</f>
        <v/>
      </c>
      <c r="AK15" s="171"/>
      <c r="AL15" s="252"/>
      <c r="AM15" s="894"/>
      <c r="AN15" s="894"/>
      <c r="AO15" s="894" t="b">
        <f>IF(AND(C15="",C17&lt;&gt;""),TRUE,FALSE)</f>
        <v>0</v>
      </c>
      <c r="AP15" s="888" t="str">
        <f t="shared" ref="AP15" si="9">IF(AND(C15&lt;&gt;"",OR(I15="",K15="",M15="",O15="",Q15="",W15="",AC15="",AE15="",AG15="")),"No",IF(AND(C15="",OR(I15&lt;&gt;"",K15&lt;&gt;"",M15&lt;&gt;"",O15&lt;&gt;"",Q15&lt;&gt;"",W15&lt;&gt;"",AC15&lt;&gt;"",AE15&lt;&gt;"",AG15&lt;&gt;"",AI15&lt;&gt;"",AK15&lt;&gt;"")),"No",IF(AND(C15="",I15="",K15="",M15="",O15="",Q15="",W15="",AC15="",AE15="",AG15="",AI15=""),"N/A","Yes")))</f>
        <v>N/A</v>
      </c>
      <c r="AQ15" s="898"/>
      <c r="AR15" s="899" t="b">
        <f t="shared" ref="AR15" si="10">IF(AND(OR(I15&lt;&gt;"",K15&lt;&gt;"",M15&lt;&gt;"",O15&lt;&gt;"",Q15&lt;&gt;"",W15&lt;&gt;"",AC15&lt;&gt;"",AE15&lt;&gt;"",AG15&lt;&gt;"",AI15&lt;&gt;"",AK15&lt;&gt;""),C15=""),TRUE,FALSE)</f>
        <v>0</v>
      </c>
      <c r="AS15" s="898" t="b">
        <f t="shared" ref="AS15" si="11">IF(AT15=TRUE,FALSE,IF(SUM(K15)&gt;I15,TRUE,FALSE))</f>
        <v>0</v>
      </c>
      <c r="AT15" s="899" t="b">
        <f>IF(AND(C15&lt;&gt;"",I15=""),TRUE,FALSE)</f>
        <v>0</v>
      </c>
      <c r="AU15" s="898" t="b">
        <f>IF(AV15=TRUE,FALSE,IF(M15&gt;K15,TRUE,FALSE))</f>
        <v>0</v>
      </c>
      <c r="AV15" s="899" t="b">
        <f>IF(AND($C15&lt;&gt;"",K15=""),TRUE,FALSE)</f>
        <v>0</v>
      </c>
      <c r="AW15" s="898"/>
      <c r="AX15" s="899" t="b">
        <f>IF(AND($C15&lt;&gt;"",M15=""),TRUE,FALSE)</f>
        <v>0</v>
      </c>
      <c r="AY15" s="898" t="b">
        <f t="shared" ref="AY15" si="12">IF(AND(O15="",OR(Q15&lt;&gt;"",W15&lt;&gt;"",AC15&lt;&gt;"",AE15&lt;&gt;"",AG15&lt;&gt;"",AI15&lt;&gt;"")),TRUE,FALSE)</f>
        <v>0</v>
      </c>
      <c r="AZ15" s="899" t="b">
        <f>IF(AND($C15&lt;&gt;"",O15=""),TRUE,FALSE)</f>
        <v>0</v>
      </c>
      <c r="BA15" s="898"/>
      <c r="BB15" s="899" t="b">
        <f>IF(AND($C15&lt;&gt;"",Q15=""),TRUE,FALSE)</f>
        <v>0</v>
      </c>
      <c r="BC15" s="1537" t="b">
        <f>IF(BD15=TRUE,FALSE,IF(W15="",FALSE,IF(OR(W15&lt;BO15,W15&gt;BaseYear),TRUE,FALSE)))</f>
        <v>0</v>
      </c>
      <c r="BD15" s="899" t="b">
        <f>IF(AND($C15&lt;&gt;"",W15=""),TRUE,FALSE)</f>
        <v>0</v>
      </c>
      <c r="BE15" s="1537"/>
      <c r="BF15" s="899" t="b">
        <f>IF(AND($C15&lt;&gt;"",AC15=""),TRUE,FALSE)</f>
        <v>0</v>
      </c>
      <c r="BG15" s="898"/>
      <c r="BH15" s="899" t="b">
        <f>IF(AND($C15&lt;&gt;"",AE15=""),TRUE,FALSE)</f>
        <v>0</v>
      </c>
      <c r="BI15" s="898"/>
      <c r="BJ15" s="899" t="b">
        <f>IF(AND($C15&lt;&gt;"",AG15=""),TRUE,FALSE)</f>
        <v>0</v>
      </c>
      <c r="BK15" s="898"/>
      <c r="BL15" s="898" t="b">
        <f>IF(AND($C15&lt;&gt;"",AI15=""),TRUE,FALSE)</f>
        <v>0</v>
      </c>
      <c r="BM15" s="894"/>
      <c r="BN15" s="898" t="str">
        <f t="shared" si="2"/>
        <v/>
      </c>
      <c r="BO15" s="898" t="str">
        <f>IFERROR(IF(AND(O15="",O15&lt;&gt;""),1913,VLOOKUP(O15,Valid!$B$99:$J$120,9)),"")</f>
        <v/>
      </c>
      <c r="BP15" s="898" t="str">
        <f t="shared" ca="1" si="3"/>
        <v/>
      </c>
      <c r="BQ15" s="1547" t="str">
        <f t="shared" ca="1" si="8"/>
        <v/>
      </c>
      <c r="BR15" s="898" t="str">
        <f ca="1">IF(BQ15="", "", IF(1+(BQ15*4)&lt;1, 1, 1+(BQ15*4)))</f>
        <v/>
      </c>
      <c r="BS15" s="898" t="str">
        <f t="shared" si="4"/>
        <v/>
      </c>
      <c r="BT15" s="898" t="str">
        <f t="shared" si="5"/>
        <v/>
      </c>
      <c r="BU15" s="1539" t="str">
        <f>IFERROR(IF(AND(#REF!="",C15&lt;&gt;""),Valid!$E$123,VLOOKUP(#REF!,Valid!$B$123:$F$125,4,FALSE)),"")</f>
        <v/>
      </c>
      <c r="BV15" s="1539" t="str">
        <f>IFERROR(IF(AND(#REF!="",C15&lt;&gt;""),Valid!$F$123,VLOOKUP(#REF!,Valid!$B$123:$F$125,5,FALSE)),"")</f>
        <v/>
      </c>
      <c r="BW15" s="1539" t="str">
        <f>IFERROR(VLOOKUP('A-70 RevVehInv'!S15,Valid!$B$99:$I$120,7), "")</f>
        <v/>
      </c>
      <c r="BX15" s="1539" t="str">
        <f>IFERROR(VLOOKUP(O15,Valid!$B$99:$I$120,8), "")</f>
        <v/>
      </c>
      <c r="BY15" s="894"/>
    </row>
    <row r="16" spans="1:79" ht="6.75" customHeight="1" x14ac:dyDescent="0.2">
      <c r="A16" s="1516"/>
      <c r="B16" s="1530">
        <v>2.5</v>
      </c>
      <c r="C16" s="1544"/>
      <c r="D16" s="905"/>
      <c r="E16" s="1545"/>
      <c r="F16" s="905"/>
      <c r="G16" s="905"/>
      <c r="H16" s="905"/>
      <c r="I16" s="1531"/>
      <c r="J16" s="905"/>
      <c r="K16" s="1531"/>
      <c r="L16" s="905"/>
      <c r="M16" s="1531"/>
      <c r="N16" s="1531"/>
      <c r="O16" s="1533"/>
      <c r="P16" s="905"/>
      <c r="Q16" s="1533"/>
      <c r="R16" s="905"/>
      <c r="S16" s="1531" t="str">
        <f t="shared" si="0"/>
        <v/>
      </c>
      <c r="T16" s="905"/>
      <c r="U16" s="1531"/>
      <c r="V16" s="252" t="str">
        <f t="shared" si="1"/>
        <v/>
      </c>
      <c r="W16" s="1531"/>
      <c r="X16" s="905"/>
      <c r="Y16" s="1971" t="str">
        <f t="shared" si="6"/>
        <v/>
      </c>
      <c r="Z16" s="905"/>
      <c r="AA16" s="1983" t="str">
        <f t="shared" si="7"/>
        <v/>
      </c>
      <c r="AB16" s="1531"/>
      <c r="AC16" s="1531"/>
      <c r="AD16" s="1531"/>
      <c r="AE16" s="1531"/>
      <c r="AF16" s="1531"/>
      <c r="AG16" s="1534"/>
      <c r="AH16" s="1531"/>
      <c r="AI16" s="1546"/>
      <c r="AJ16" s="1531"/>
      <c r="AK16" s="1531"/>
      <c r="AL16" s="1531"/>
      <c r="AM16" s="1531"/>
      <c r="AN16" s="1531"/>
      <c r="AO16" s="1531"/>
      <c r="AP16" s="1531"/>
      <c r="AQ16" s="1535"/>
      <c r="AR16" s="1534"/>
      <c r="AS16" s="1535"/>
      <c r="AT16" s="1534"/>
      <c r="AU16" s="1535"/>
      <c r="AV16" s="1534"/>
      <c r="AW16" s="1535"/>
      <c r="AX16" s="1534"/>
      <c r="AY16" s="1535"/>
      <c r="AZ16" s="1534"/>
      <c r="BA16" s="1535"/>
      <c r="BB16" s="1534"/>
      <c r="BC16" s="1535"/>
      <c r="BD16" s="1534"/>
      <c r="BE16" s="1535"/>
      <c r="BF16" s="1534"/>
      <c r="BG16" s="1535"/>
      <c r="BH16" s="1534"/>
      <c r="BI16" s="1535"/>
      <c r="BJ16" s="1534"/>
      <c r="BK16" s="1535"/>
      <c r="BL16" s="1535"/>
      <c r="BM16" s="1531"/>
      <c r="BN16" s="898" t="str">
        <f t="shared" si="2"/>
        <v/>
      </c>
      <c r="BO16" s="898" t="str">
        <f>IFERROR(IF(AND(O16="",O16&lt;&gt;""),1913,VLOOKUP(O16,Valid!$B$99:$J$120,9)),"")</f>
        <v/>
      </c>
      <c r="BP16" s="898" t="str">
        <f t="shared" ca="1" si="3"/>
        <v/>
      </c>
      <c r="BQ16" s="1547" t="str">
        <f t="shared" ca="1" si="8"/>
        <v/>
      </c>
      <c r="BR16" s="898"/>
      <c r="BS16" s="898" t="str">
        <f t="shared" si="4"/>
        <v/>
      </c>
      <c r="BT16" s="898" t="str">
        <f t="shared" si="5"/>
        <v/>
      </c>
      <c r="BU16" s="1539" t="str">
        <f>IFERROR(IF(AND(#REF!="",C16&lt;&gt;""),Valid!$E$123,VLOOKUP(#REF!,Valid!$B$123:$F$125,4,FALSE)),"")</f>
        <v/>
      </c>
      <c r="BV16" s="1539" t="str">
        <f>IFERROR(IF(AND(#REF!="",C16&lt;&gt;""),Valid!$F$123,VLOOKUP(#REF!,Valid!$B$123:$F$125,5,FALSE)),"")</f>
        <v/>
      </c>
      <c r="BW16" s="1539" t="str">
        <f>IFERROR(VLOOKUP('A-70 RevVehInv'!S16,Valid!$B$99:$I$120,7), "")</f>
        <v/>
      </c>
      <c r="BX16" s="1539" t="str">
        <f>IFERROR(VLOOKUP(O16,Valid!$B$99:$I$120,8), "")</f>
        <v/>
      </c>
      <c r="BY16" s="1531"/>
    </row>
    <row r="17" spans="1:77" s="930" customFormat="1" x14ac:dyDescent="0.2">
      <c r="A17" s="206">
        <v>3</v>
      </c>
      <c r="B17" s="1530">
        <v>3</v>
      </c>
      <c r="C17" s="933"/>
      <c r="D17" s="719" t="str">
        <f>IF(C15="","",IF((C17=""),"Enter RVI ID. then Fill in Columns "&amp;TEXT($I$2,0)&amp;" - "&amp;TEXT($AI$2,0)&amp;"       ",""))</f>
        <v/>
      </c>
      <c r="E17" s="1056" t="str">
        <f>IF(AP17="N/A","",AP17)</f>
        <v/>
      </c>
      <c r="F17" s="1536"/>
      <c r="G17" s="1536"/>
      <c r="H17" s="1536"/>
      <c r="I17" s="1023"/>
      <c r="J17" s="1536" t="str">
        <f>IF(E17&lt;&gt;"","Vehicles?    ","")</f>
        <v/>
      </c>
      <c r="K17" s="1023"/>
      <c r="L17" s="1536" t="str">
        <f>IF(E17&lt;&gt;"","Active Vehicles?     ","")</f>
        <v/>
      </c>
      <c r="M17" s="1023"/>
      <c r="N17" s="894"/>
      <c r="O17" s="1153"/>
      <c r="P17" s="252" t="str">
        <f>IF(E17&lt;&gt;"","Select from Pull-Down List    ","")</f>
        <v/>
      </c>
      <c r="Q17" s="933"/>
      <c r="R17" s="252" t="str">
        <f>IF(E17&lt;&gt;"","Select from Pull-Down List    ","")</f>
        <v/>
      </c>
      <c r="S17" s="1024" t="str">
        <f t="shared" si="0"/>
        <v/>
      </c>
      <c r="T17" s="252"/>
      <c r="U17" s="1988"/>
      <c r="V17" s="252" t="str">
        <f t="shared" si="1"/>
        <v/>
      </c>
      <c r="W17" s="139"/>
      <c r="X17" s="252" t="str">
        <f>IF(E17&lt;&gt;"","Mfg. Yr?    ","")</f>
        <v/>
      </c>
      <c r="Y17" s="1972" t="str">
        <f t="shared" si="6"/>
        <v/>
      </c>
      <c r="Z17" s="252"/>
      <c r="AA17" s="1984" t="str">
        <f t="shared" si="7"/>
        <v/>
      </c>
      <c r="AB17" s="252" t="str">
        <f>IF(E17&lt;&gt;"","Select from Pull-Down List    ","")</f>
        <v/>
      </c>
      <c r="AC17" s="1023"/>
      <c r="AD17" s="252" t="str">
        <f>IF(E17&lt;&gt;"","Feet?    ","")</f>
        <v/>
      </c>
      <c r="AE17" s="1023"/>
      <c r="AF17" s="252" t="str">
        <f>IF(E17&lt;&gt;"","Mileage?       ","")</f>
        <v/>
      </c>
      <c r="AG17" s="1023"/>
      <c r="AH17" s="252" t="str">
        <f>IF(E17&lt;&gt;"","Avg. Lifetime Mileage? ","")</f>
        <v/>
      </c>
      <c r="AI17" s="933"/>
      <c r="AJ17" s="252" t="str">
        <f>IF(E17&lt;&gt;"","Select from Pull-Down List    ","")</f>
        <v/>
      </c>
      <c r="AK17" s="171"/>
      <c r="AL17" s="252"/>
      <c r="AM17" s="894"/>
      <c r="AN17" s="894"/>
      <c r="AO17" s="894" t="b">
        <f>IF(AND(C17="",C19&lt;&gt;""),TRUE,FALSE)</f>
        <v>0</v>
      </c>
      <c r="AP17" s="888" t="str">
        <f t="shared" ref="AP17" si="13">IF(AND(C17&lt;&gt;"",OR(I17="",K17="",M17="",O17="",Q17="",W17="",AC17="",AE17="",AG17="")),"No",IF(AND(C17="",OR(I17&lt;&gt;"",K17&lt;&gt;"",M17&lt;&gt;"",O17&lt;&gt;"",Q17&lt;&gt;"",W17&lt;&gt;"",AC17&lt;&gt;"",AE17&lt;&gt;"",AG17&lt;&gt;"",AI17&lt;&gt;"",AK17&lt;&gt;"")),"No",IF(AND(C17="",I17="",K17="",M17="",O17="",Q17="",W17="",AC17="",AE17="",AG17="",AI17=""),"N/A","Yes")))</f>
        <v>N/A</v>
      </c>
      <c r="AQ17" s="898"/>
      <c r="AR17" s="899" t="b">
        <f t="shared" ref="AR17" si="14">IF(AND(OR(I17&lt;&gt;"",K17&lt;&gt;"",M17&lt;&gt;"",O17&lt;&gt;"",Q17&lt;&gt;"",W17&lt;&gt;"",AC17&lt;&gt;"",AE17&lt;&gt;"",AG17&lt;&gt;"",AI17&lt;&gt;"",AK17&lt;&gt;""),C17=""),TRUE,FALSE)</f>
        <v>0</v>
      </c>
      <c r="AS17" s="898" t="b">
        <f t="shared" ref="AS17" si="15">IF(AT17=TRUE,FALSE,IF(SUM(K17)&gt;I17,TRUE,FALSE))</f>
        <v>0</v>
      </c>
      <c r="AT17" s="899" t="b">
        <f>IF(AND(C17&lt;&gt;"",I17=""),TRUE,FALSE)</f>
        <v>0</v>
      </c>
      <c r="AU17" s="898" t="b">
        <f>IF(AV17=TRUE,FALSE,IF(M17&gt;K17,TRUE,FALSE))</f>
        <v>0</v>
      </c>
      <c r="AV17" s="899" t="b">
        <f>IF(AND($C17&lt;&gt;"",K17=""),TRUE,FALSE)</f>
        <v>0</v>
      </c>
      <c r="AW17" s="898"/>
      <c r="AX17" s="899" t="b">
        <f>IF(AND($C17&lt;&gt;"",M17=""),TRUE,FALSE)</f>
        <v>0</v>
      </c>
      <c r="AY17" s="898" t="b">
        <f t="shared" ref="AY17" si="16">IF(AND(O17="",OR(Q17&lt;&gt;"",W17&lt;&gt;"",AC17&lt;&gt;"",AE17&lt;&gt;"",AG17&lt;&gt;"",AI17&lt;&gt;"")),TRUE,FALSE)</f>
        <v>0</v>
      </c>
      <c r="AZ17" s="899" t="b">
        <f>IF(AND($C17&lt;&gt;"",O17=""),TRUE,FALSE)</f>
        <v>0</v>
      </c>
      <c r="BA17" s="898"/>
      <c r="BB17" s="899" t="b">
        <f>IF(AND($C17&lt;&gt;"",Q17=""),TRUE,FALSE)</f>
        <v>0</v>
      </c>
      <c r="BC17" s="1537" t="b">
        <f>IF(BD17=TRUE,FALSE,IF(W17="",FALSE,IF(OR(W17&lt;BO17,W17&gt;BaseYear),TRUE,FALSE)))</f>
        <v>0</v>
      </c>
      <c r="BD17" s="899" t="b">
        <f>IF(AND($C17&lt;&gt;"",W17=""),TRUE,FALSE)</f>
        <v>0</v>
      </c>
      <c r="BE17" s="1537"/>
      <c r="BF17" s="899" t="b">
        <f>IF(AND($C17&lt;&gt;"",AC17=""),TRUE,FALSE)</f>
        <v>0</v>
      </c>
      <c r="BG17" s="898"/>
      <c r="BH17" s="899" t="b">
        <f>IF(AND($C17&lt;&gt;"",AE17=""),TRUE,FALSE)</f>
        <v>0</v>
      </c>
      <c r="BI17" s="898"/>
      <c r="BJ17" s="899" t="b">
        <f>IF(AND($C17&lt;&gt;"",AG17=""),TRUE,FALSE)</f>
        <v>0</v>
      </c>
      <c r="BK17" s="898"/>
      <c r="BL17" s="898" t="b">
        <f>IF(AND($C17&lt;&gt;"",AI17=""),TRUE,FALSE)</f>
        <v>0</v>
      </c>
      <c r="BM17" s="894"/>
      <c r="BN17" s="898" t="str">
        <f t="shared" si="2"/>
        <v/>
      </c>
      <c r="BO17" s="898" t="str">
        <f>IFERROR(IF(AND(O17="",O17&lt;&gt;""),1913,VLOOKUP(O17,Valid!$B$99:$J$120,9)),"")</f>
        <v/>
      </c>
      <c r="BP17" s="898" t="str">
        <f t="shared" ca="1" si="3"/>
        <v/>
      </c>
      <c r="BQ17" s="1547" t="str">
        <f t="shared" ca="1" si="8"/>
        <v/>
      </c>
      <c r="BR17" s="898" t="str">
        <f ca="1">IF(BQ17="", "", IF(1+(BQ17*4)&lt;1, 1, 1+(BQ17*4)))</f>
        <v/>
      </c>
      <c r="BS17" s="898" t="str">
        <f t="shared" si="4"/>
        <v/>
      </c>
      <c r="BT17" s="898" t="str">
        <f t="shared" si="5"/>
        <v/>
      </c>
      <c r="BU17" s="1539" t="str">
        <f>IFERROR(IF(AND(#REF!="",C17&lt;&gt;""),Valid!$E$123,VLOOKUP(#REF!,Valid!$B$123:$F$125,4,FALSE)),"")</f>
        <v/>
      </c>
      <c r="BV17" s="1539" t="str">
        <f>IFERROR(IF(AND(#REF!="",C17&lt;&gt;""),Valid!$F$123,VLOOKUP(#REF!,Valid!$B$123:$F$125,5,FALSE)),"")</f>
        <v/>
      </c>
      <c r="BW17" s="1539" t="str">
        <f>IFERROR(VLOOKUP('A-70 RevVehInv'!S17,Valid!$B$99:$I$120,7), "")</f>
        <v/>
      </c>
      <c r="BX17" s="1539" t="str">
        <f>IFERROR(VLOOKUP(O17,Valid!$B$99:$I$120,8), "")</f>
        <v/>
      </c>
      <c r="BY17" s="894"/>
    </row>
    <row r="18" spans="1:77" ht="6.75" customHeight="1" x14ac:dyDescent="0.2">
      <c r="A18" s="1517"/>
      <c r="B18" s="1530">
        <v>3.5</v>
      </c>
      <c r="C18" s="1540"/>
      <c r="D18" s="905"/>
      <c r="E18" s="1541"/>
      <c r="F18" s="905"/>
      <c r="G18" s="905"/>
      <c r="H18" s="905"/>
      <c r="I18" s="1534"/>
      <c r="J18" s="905"/>
      <c r="K18" s="1534"/>
      <c r="L18" s="905"/>
      <c r="M18" s="1534"/>
      <c r="N18" s="1531"/>
      <c r="O18" s="1542"/>
      <c r="P18" s="905"/>
      <c r="Q18" s="1542"/>
      <c r="R18" s="905"/>
      <c r="S18" s="1534" t="str">
        <f t="shared" si="0"/>
        <v/>
      </c>
      <c r="T18" s="905"/>
      <c r="U18" s="1534"/>
      <c r="V18" s="252" t="str">
        <f t="shared" si="1"/>
        <v/>
      </c>
      <c r="W18" s="1534"/>
      <c r="X18" s="905"/>
      <c r="Y18" s="1973" t="str">
        <f t="shared" si="6"/>
        <v/>
      </c>
      <c r="Z18" s="905"/>
      <c r="AA18" s="1985" t="str">
        <f t="shared" si="7"/>
        <v/>
      </c>
      <c r="AB18" s="1531"/>
      <c r="AC18" s="1534"/>
      <c r="AD18" s="1531"/>
      <c r="AE18" s="1534"/>
      <c r="AF18" s="1531"/>
      <c r="AG18" s="1534"/>
      <c r="AH18" s="1531"/>
      <c r="AI18" s="1543"/>
      <c r="AJ18" s="1531"/>
      <c r="AK18" s="1534"/>
      <c r="AL18" s="1531"/>
      <c r="AM18" s="1531"/>
      <c r="AN18" s="1531"/>
      <c r="AO18" s="1531"/>
      <c r="AP18" s="1531"/>
      <c r="AQ18" s="1535"/>
      <c r="AR18" s="1534"/>
      <c r="AS18" s="1535"/>
      <c r="AT18" s="1534"/>
      <c r="AU18" s="1535"/>
      <c r="AV18" s="1534"/>
      <c r="AW18" s="1535"/>
      <c r="AX18" s="1534"/>
      <c r="AY18" s="1535"/>
      <c r="AZ18" s="1534"/>
      <c r="BA18" s="1535"/>
      <c r="BB18" s="1534"/>
      <c r="BC18" s="1535"/>
      <c r="BD18" s="1534"/>
      <c r="BE18" s="1535"/>
      <c r="BF18" s="1534"/>
      <c r="BG18" s="1535"/>
      <c r="BH18" s="1534"/>
      <c r="BI18" s="1535"/>
      <c r="BJ18" s="1534"/>
      <c r="BK18" s="1535"/>
      <c r="BL18" s="1535"/>
      <c r="BM18" s="1531"/>
      <c r="BN18" s="898" t="str">
        <f t="shared" si="2"/>
        <v/>
      </c>
      <c r="BO18" s="898" t="str">
        <f>IFERROR(IF(AND(O18="",O18&lt;&gt;""),1913,VLOOKUP(O18,Valid!$B$99:$J$120,9)),"")</f>
        <v/>
      </c>
      <c r="BP18" s="898" t="str">
        <f t="shared" ca="1" si="3"/>
        <v/>
      </c>
      <c r="BQ18" s="1547" t="str">
        <f t="shared" ca="1" si="8"/>
        <v/>
      </c>
      <c r="BR18" s="898"/>
      <c r="BS18" s="898" t="str">
        <f t="shared" si="4"/>
        <v/>
      </c>
      <c r="BT18" s="898" t="str">
        <f t="shared" si="5"/>
        <v/>
      </c>
      <c r="BU18" s="1539" t="str">
        <f>IFERROR(IF(AND(#REF!="",C18&lt;&gt;""),Valid!$E$123,VLOOKUP(#REF!,Valid!$B$123:$F$125,4,FALSE)),"")</f>
        <v/>
      </c>
      <c r="BV18" s="1539" t="str">
        <f>IFERROR(IF(AND(#REF!="",C18&lt;&gt;""),Valid!$F$123,VLOOKUP(#REF!,Valid!$B$123:$F$125,5,FALSE)),"")</f>
        <v/>
      </c>
      <c r="BW18" s="1539" t="str">
        <f>IFERROR(VLOOKUP('A-70 RevVehInv'!S18,Valid!$B$99:$I$120,7), "")</f>
        <v/>
      </c>
      <c r="BX18" s="1539" t="str">
        <f>IFERROR(VLOOKUP(O18,Valid!$B$99:$I$120,8), "")</f>
        <v/>
      </c>
      <c r="BY18" s="1531"/>
    </row>
    <row r="19" spans="1:77" s="930" customFormat="1" x14ac:dyDescent="0.2">
      <c r="A19" s="206">
        <v>4</v>
      </c>
      <c r="B19" s="1530">
        <v>4</v>
      </c>
      <c r="C19" s="933"/>
      <c r="D19" s="719" t="str">
        <f>IF(C17="","",IF((C19=""),"Enter RVI ID. then Fill in Columns "&amp;TEXT($I$2,0)&amp;" - "&amp;TEXT($AI$2,0)&amp;"       ",""))</f>
        <v/>
      </c>
      <c r="E19" s="1056" t="str">
        <f>IF(AP19="N/A","",AP19)</f>
        <v/>
      </c>
      <c r="F19" s="1536"/>
      <c r="G19" s="1536"/>
      <c r="H19" s="1536"/>
      <c r="I19" s="1023"/>
      <c r="J19" s="1536" t="str">
        <f>IF(E19&lt;&gt;"","Vehicles?    ","")</f>
        <v/>
      </c>
      <c r="K19" s="1023"/>
      <c r="L19" s="1536" t="str">
        <f>IF(E19&lt;&gt;"","Active Vehicles?     ","")</f>
        <v/>
      </c>
      <c r="M19" s="1023"/>
      <c r="N19" s="894"/>
      <c r="O19" s="1153"/>
      <c r="P19" s="252" t="str">
        <f>IF(E19&lt;&gt;"","Select from Pull-Down List    ","")</f>
        <v/>
      </c>
      <c r="Q19" s="933"/>
      <c r="R19" s="252" t="str">
        <f>IF(E19&lt;&gt;"","Select from Pull-Down List    ","")</f>
        <v/>
      </c>
      <c r="S19" s="1024" t="str">
        <f t="shared" si="0"/>
        <v/>
      </c>
      <c r="T19" s="252"/>
      <c r="U19" s="1988"/>
      <c r="V19" s="252" t="str">
        <f t="shared" si="1"/>
        <v/>
      </c>
      <c r="W19" s="139"/>
      <c r="X19" s="252" t="str">
        <f>IF(E19&lt;&gt;"","Mfg. Yr?    ","")</f>
        <v/>
      </c>
      <c r="Y19" s="1972" t="str">
        <f t="shared" si="6"/>
        <v/>
      </c>
      <c r="Z19" s="252"/>
      <c r="AA19" s="1984" t="str">
        <f t="shared" si="7"/>
        <v/>
      </c>
      <c r="AB19" s="252" t="str">
        <f>IF(E19&lt;&gt;"","Select from Pull-Down List    ","")</f>
        <v/>
      </c>
      <c r="AC19" s="1023"/>
      <c r="AD19" s="252" t="str">
        <f>IF(E19&lt;&gt;"","Feet?    ","")</f>
        <v/>
      </c>
      <c r="AE19" s="1023"/>
      <c r="AF19" s="252" t="str">
        <f>IF(E19&lt;&gt;"","Mileage?       ","")</f>
        <v/>
      </c>
      <c r="AG19" s="1023"/>
      <c r="AH19" s="252" t="str">
        <f>IF(E19&lt;&gt;"","Avg. Lifetime Mileage? ","")</f>
        <v/>
      </c>
      <c r="AI19" s="933"/>
      <c r="AJ19" s="252" t="str">
        <f>IF(E19&lt;&gt;"","Select from Pull-Down List    ","")</f>
        <v/>
      </c>
      <c r="AK19" s="171"/>
      <c r="AL19" s="252"/>
      <c r="AM19" s="894"/>
      <c r="AN19" s="894"/>
      <c r="AO19" s="894" t="b">
        <f>IF(AND(C19="",C21&lt;&gt;""),TRUE,FALSE)</f>
        <v>0</v>
      </c>
      <c r="AP19" s="888" t="str">
        <f t="shared" ref="AP19" si="17">IF(AND(C19&lt;&gt;"",OR(I19="",K19="",M19="",O19="",Q19="",W19="",AC19="",AE19="",AG19="")),"No",IF(AND(C19="",OR(I19&lt;&gt;"",K19&lt;&gt;"",M19&lt;&gt;"",O19&lt;&gt;"",Q19&lt;&gt;"",W19&lt;&gt;"",AC19&lt;&gt;"",AE19&lt;&gt;"",AG19&lt;&gt;"",AI19&lt;&gt;"",AK19&lt;&gt;"")),"No",IF(AND(C19="",I19="",K19="",M19="",O19="",Q19="",W19="",AC19="",AE19="",AG19="",AI19=""),"N/A","Yes")))</f>
        <v>N/A</v>
      </c>
      <c r="AQ19" s="898"/>
      <c r="AR19" s="899" t="b">
        <f t="shared" ref="AR19" si="18">IF(AND(OR(I19&lt;&gt;"",K19&lt;&gt;"",M19&lt;&gt;"",O19&lt;&gt;"",Q19&lt;&gt;"",W19&lt;&gt;"",AC19&lt;&gt;"",AE19&lt;&gt;"",AG19&lt;&gt;"",AI19&lt;&gt;"",AK19&lt;&gt;""),C19=""),TRUE,FALSE)</f>
        <v>0</v>
      </c>
      <c r="AS19" s="898" t="b">
        <f t="shared" ref="AS19" si="19">IF(AT19=TRUE,FALSE,IF(SUM(K19)&gt;I19,TRUE,FALSE))</f>
        <v>0</v>
      </c>
      <c r="AT19" s="899" t="b">
        <f>IF(AND(C19&lt;&gt;"",I19=""),TRUE,FALSE)</f>
        <v>0</v>
      </c>
      <c r="AU19" s="898" t="b">
        <f>IF(AV19=TRUE,FALSE,IF(M19&gt;K19,TRUE,FALSE))</f>
        <v>0</v>
      </c>
      <c r="AV19" s="899" t="b">
        <f>IF(AND($C19&lt;&gt;"",K19=""),TRUE,FALSE)</f>
        <v>0</v>
      </c>
      <c r="AW19" s="898"/>
      <c r="AX19" s="899" t="b">
        <f>IF(AND($C19&lt;&gt;"",M19=""),TRUE,FALSE)</f>
        <v>0</v>
      </c>
      <c r="AY19" s="898" t="b">
        <f t="shared" ref="AY19" si="20">IF(AND(O19="",OR(Q19&lt;&gt;"",W19&lt;&gt;"",AC19&lt;&gt;"",AE19&lt;&gt;"",AG19&lt;&gt;"",AI19&lt;&gt;"")),TRUE,FALSE)</f>
        <v>0</v>
      </c>
      <c r="AZ19" s="899" t="b">
        <f>IF(AND($C19&lt;&gt;"",O19=""),TRUE,FALSE)</f>
        <v>0</v>
      </c>
      <c r="BA19" s="898"/>
      <c r="BB19" s="899" t="b">
        <f>IF(AND($C19&lt;&gt;"",Q19=""),TRUE,FALSE)</f>
        <v>0</v>
      </c>
      <c r="BC19" s="1537" t="b">
        <f>IF(BD19=TRUE,FALSE,IF(W19="",FALSE,IF(OR(W19&lt;BO19,W19&gt;BaseYear),TRUE,FALSE)))</f>
        <v>0</v>
      </c>
      <c r="BD19" s="899" t="b">
        <f>IF(AND($C19&lt;&gt;"",W19=""),TRUE,FALSE)</f>
        <v>0</v>
      </c>
      <c r="BE19" s="1537"/>
      <c r="BF19" s="899" t="b">
        <f>IF(AND($C19&lt;&gt;"",AC19=""),TRUE,FALSE)</f>
        <v>0</v>
      </c>
      <c r="BG19" s="898"/>
      <c r="BH19" s="899" t="b">
        <f>IF(AND($C19&lt;&gt;"",AE19=""),TRUE,FALSE)</f>
        <v>0</v>
      </c>
      <c r="BI19" s="898"/>
      <c r="BJ19" s="899" t="b">
        <f>IF(AND($C19&lt;&gt;"",AG19=""),TRUE,FALSE)</f>
        <v>0</v>
      </c>
      <c r="BK19" s="898"/>
      <c r="BL19" s="898" t="b">
        <f>IF(AND($C19&lt;&gt;"",AI19=""),TRUE,FALSE)</f>
        <v>0</v>
      </c>
      <c r="BM19" s="894"/>
      <c r="BN19" s="898" t="str">
        <f t="shared" si="2"/>
        <v/>
      </c>
      <c r="BO19" s="898" t="str">
        <f>IFERROR(IF(AND(O19="",O19&lt;&gt;""),1913,VLOOKUP(O19,Valid!$B$99:$J$120,9)),"")</f>
        <v/>
      </c>
      <c r="BP19" s="898" t="str">
        <f t="shared" ca="1" si="3"/>
        <v/>
      </c>
      <c r="BQ19" s="1547" t="str">
        <f t="shared" ca="1" si="8"/>
        <v/>
      </c>
      <c r="BR19" s="898" t="str">
        <f ca="1">IF(BQ19="", "", IF(1+(BQ19*4)&lt;1, 1, 1+(BQ19*4)))</f>
        <v/>
      </c>
      <c r="BS19" s="898" t="str">
        <f t="shared" si="4"/>
        <v/>
      </c>
      <c r="BT19" s="898" t="str">
        <f t="shared" si="5"/>
        <v/>
      </c>
      <c r="BU19" s="1539" t="str">
        <f>IFERROR(IF(AND(#REF!="",C19&lt;&gt;""),Valid!$E$123,VLOOKUP(#REF!,Valid!$B$123:$F$125,4,FALSE)),"")</f>
        <v/>
      </c>
      <c r="BV19" s="1539" t="str">
        <f>IFERROR(IF(AND(#REF!="",C19&lt;&gt;""),Valid!$F$123,VLOOKUP(#REF!,Valid!$B$123:$F$125,5,FALSE)),"")</f>
        <v/>
      </c>
      <c r="BW19" s="1539" t="str">
        <f>IFERROR(VLOOKUP('A-70 RevVehInv'!S19,Valid!$B$99:$I$120,7), "")</f>
        <v/>
      </c>
      <c r="BX19" s="1539" t="str">
        <f>IFERROR(VLOOKUP(O19,Valid!$B$99:$I$120,8), "")</f>
        <v/>
      </c>
      <c r="BY19" s="894"/>
    </row>
    <row r="20" spans="1:77" ht="6.75" customHeight="1" x14ac:dyDescent="0.2">
      <c r="A20" s="1517"/>
      <c r="B20" s="1530">
        <v>4.5</v>
      </c>
      <c r="C20" s="1544"/>
      <c r="D20" s="905"/>
      <c r="E20" s="1545"/>
      <c r="F20" s="905"/>
      <c r="G20" s="905"/>
      <c r="H20" s="905"/>
      <c r="I20" s="1531"/>
      <c r="J20" s="905"/>
      <c r="K20" s="1531"/>
      <c r="L20" s="905"/>
      <c r="M20" s="1531"/>
      <c r="N20" s="1531"/>
      <c r="O20" s="1533"/>
      <c r="P20" s="905"/>
      <c r="Q20" s="1533"/>
      <c r="R20" s="905"/>
      <c r="S20" s="1531" t="str">
        <f t="shared" si="0"/>
        <v/>
      </c>
      <c r="T20" s="905"/>
      <c r="U20" s="1531"/>
      <c r="V20" s="252" t="str">
        <f t="shared" si="1"/>
        <v/>
      </c>
      <c r="W20" s="1531"/>
      <c r="X20" s="905"/>
      <c r="Y20" s="1971" t="str">
        <f t="shared" si="6"/>
        <v/>
      </c>
      <c r="Z20" s="905"/>
      <c r="AA20" s="1983" t="str">
        <f t="shared" si="7"/>
        <v/>
      </c>
      <c r="AB20" s="1531"/>
      <c r="AC20" s="1531"/>
      <c r="AD20" s="1531"/>
      <c r="AE20" s="1531"/>
      <c r="AF20" s="1531"/>
      <c r="AG20" s="1534"/>
      <c r="AH20" s="1531"/>
      <c r="AI20" s="1546"/>
      <c r="AJ20" s="1531"/>
      <c r="AK20" s="1531"/>
      <c r="AL20" s="1531"/>
      <c r="AM20" s="1531"/>
      <c r="AN20" s="1531"/>
      <c r="AO20" s="1531"/>
      <c r="AP20" s="1531"/>
      <c r="AQ20" s="1535"/>
      <c r="AR20" s="1534"/>
      <c r="AS20" s="1535"/>
      <c r="AT20" s="1534"/>
      <c r="AU20" s="1535"/>
      <c r="AV20" s="1534"/>
      <c r="AW20" s="1535"/>
      <c r="AX20" s="1534"/>
      <c r="AY20" s="1535"/>
      <c r="AZ20" s="1534"/>
      <c r="BA20" s="1535"/>
      <c r="BB20" s="1534"/>
      <c r="BC20" s="1535"/>
      <c r="BD20" s="1534"/>
      <c r="BE20" s="1535"/>
      <c r="BF20" s="1534"/>
      <c r="BG20" s="1535"/>
      <c r="BH20" s="1534"/>
      <c r="BI20" s="1535"/>
      <c r="BJ20" s="1534"/>
      <c r="BK20" s="1535"/>
      <c r="BL20" s="1535"/>
      <c r="BM20" s="1531"/>
      <c r="BN20" s="898" t="str">
        <f t="shared" si="2"/>
        <v/>
      </c>
      <c r="BO20" s="898" t="str">
        <f>IFERROR(IF(AND(O20="",O20&lt;&gt;""),1913,VLOOKUP(O20,Valid!$B$99:$J$120,9)),"")</f>
        <v/>
      </c>
      <c r="BP20" s="898" t="str">
        <f t="shared" ca="1" si="3"/>
        <v/>
      </c>
      <c r="BQ20" s="1547" t="str">
        <f t="shared" ca="1" si="8"/>
        <v/>
      </c>
      <c r="BR20" s="898"/>
      <c r="BS20" s="898" t="str">
        <f t="shared" si="4"/>
        <v/>
      </c>
      <c r="BT20" s="898" t="str">
        <f t="shared" si="5"/>
        <v/>
      </c>
      <c r="BU20" s="1539" t="str">
        <f>IFERROR(IF(AND(#REF!="",C20&lt;&gt;""),Valid!$E$123,VLOOKUP(#REF!,Valid!$B$123:$F$125,4,FALSE)),"")</f>
        <v/>
      </c>
      <c r="BV20" s="1539" t="str">
        <f>IFERROR(IF(AND(#REF!="",C20&lt;&gt;""),Valid!$F$123,VLOOKUP(#REF!,Valid!$B$123:$F$125,5,FALSE)),"")</f>
        <v/>
      </c>
      <c r="BW20" s="1539" t="str">
        <f>IFERROR(VLOOKUP('A-70 RevVehInv'!S20,Valid!$B$99:$I$120,7), "")</f>
        <v/>
      </c>
      <c r="BX20" s="1539" t="str">
        <f>IFERROR(VLOOKUP(O20,Valid!$B$99:$I$120,8), "")</f>
        <v/>
      </c>
      <c r="BY20" s="1531"/>
    </row>
    <row r="21" spans="1:77" s="930" customFormat="1" x14ac:dyDescent="0.2">
      <c r="A21" s="206">
        <v>5</v>
      </c>
      <c r="B21" s="1530">
        <v>5</v>
      </c>
      <c r="C21" s="933"/>
      <c r="D21" s="719" t="str">
        <f>IF(C19="","",IF((C21=""),"Enter RVI ID. then Fill in Columns "&amp;TEXT($I$2,0)&amp;" - "&amp;TEXT($AI$2,0)&amp;"       ",""))</f>
        <v/>
      </c>
      <c r="E21" s="1056" t="str">
        <f>IF(AP21="N/A","",AP21)</f>
        <v/>
      </c>
      <c r="F21" s="1536"/>
      <c r="G21" s="1536"/>
      <c r="H21" s="1536"/>
      <c r="I21" s="1023"/>
      <c r="J21" s="1536" t="str">
        <f>IF(E21&lt;&gt;"","Vehicles?    ","")</f>
        <v/>
      </c>
      <c r="K21" s="1023"/>
      <c r="L21" s="1536" t="str">
        <f>IF(E21&lt;&gt;"","Active Vehicles?     ","")</f>
        <v/>
      </c>
      <c r="M21" s="1023"/>
      <c r="N21" s="894"/>
      <c r="O21" s="1153"/>
      <c r="P21" s="252" t="str">
        <f>IF(E21&lt;&gt;"","Select from Pull-Down List    ","")</f>
        <v/>
      </c>
      <c r="Q21" s="933"/>
      <c r="R21" s="252" t="str">
        <f>IF(E21&lt;&gt;"","Select from Pull-Down List    ","")</f>
        <v/>
      </c>
      <c r="S21" s="1024" t="str">
        <f t="shared" si="0"/>
        <v/>
      </c>
      <c r="T21" s="252"/>
      <c r="U21" s="1988"/>
      <c r="V21" s="252" t="str">
        <f t="shared" si="1"/>
        <v/>
      </c>
      <c r="W21" s="139"/>
      <c r="X21" s="252" t="str">
        <f>IF(E21&lt;&gt;"","Mfg. Yr?    ","")</f>
        <v/>
      </c>
      <c r="Y21" s="1972" t="str">
        <f t="shared" si="6"/>
        <v/>
      </c>
      <c r="Z21" s="252"/>
      <c r="AA21" s="1984" t="str">
        <f t="shared" si="7"/>
        <v/>
      </c>
      <c r="AB21" s="252" t="str">
        <f>IF(E21&lt;&gt;"","Select from Pull-Down List    ","")</f>
        <v/>
      </c>
      <c r="AC21" s="1023"/>
      <c r="AD21" s="252" t="str">
        <f>IF(E21&lt;&gt;"","Feet?    ","")</f>
        <v/>
      </c>
      <c r="AE21" s="1023"/>
      <c r="AF21" s="252" t="str">
        <f>IF(E21&lt;&gt;"","Mileage?       ","")</f>
        <v/>
      </c>
      <c r="AG21" s="1023"/>
      <c r="AH21" s="252" t="str">
        <f>IF(E21&lt;&gt;"","Avg. Lifetime Mileage? ","")</f>
        <v/>
      </c>
      <c r="AI21" s="933"/>
      <c r="AJ21" s="252" t="str">
        <f>IF(E21&lt;&gt;"","Select from Pull-Down List    ","")</f>
        <v/>
      </c>
      <c r="AK21" s="171"/>
      <c r="AL21" s="252"/>
      <c r="AM21" s="894"/>
      <c r="AN21" s="894"/>
      <c r="AO21" s="894" t="b">
        <f>IF(AND(C21="",C23&lt;&gt;""),TRUE,FALSE)</f>
        <v>0</v>
      </c>
      <c r="AP21" s="888" t="str">
        <f t="shared" ref="AP21" si="21">IF(AND(C21&lt;&gt;"",OR(I21="",K21="",M21="",O21="",Q21="",W21="",AC21="",AE21="",AG21="")),"No",IF(AND(C21="",OR(I21&lt;&gt;"",K21&lt;&gt;"",M21&lt;&gt;"",O21&lt;&gt;"",Q21&lt;&gt;"",W21&lt;&gt;"",AC21&lt;&gt;"",AE21&lt;&gt;"",AG21&lt;&gt;"",AI21&lt;&gt;"",AK21&lt;&gt;"")),"No",IF(AND(C21="",I21="",K21="",M21="",O21="",Q21="",W21="",AC21="",AE21="",AG21="",AI21=""),"N/A","Yes")))</f>
        <v>N/A</v>
      </c>
      <c r="AQ21" s="898"/>
      <c r="AR21" s="899" t="b">
        <f t="shared" ref="AR21" si="22">IF(AND(OR(I21&lt;&gt;"",K21&lt;&gt;"",M21&lt;&gt;"",O21&lt;&gt;"",Q21&lt;&gt;"",W21&lt;&gt;"",AC21&lt;&gt;"",AE21&lt;&gt;"",AG21&lt;&gt;"",AI21&lt;&gt;"",AK21&lt;&gt;""),C21=""),TRUE,FALSE)</f>
        <v>0</v>
      </c>
      <c r="AS21" s="898" t="b">
        <f t="shared" ref="AS21" si="23">IF(AT21=TRUE,FALSE,IF(SUM(K21)&gt;I21,TRUE,FALSE))</f>
        <v>0</v>
      </c>
      <c r="AT21" s="899" t="b">
        <f>IF(AND(C21&lt;&gt;"",I21=""),TRUE,FALSE)</f>
        <v>0</v>
      </c>
      <c r="AU21" s="898" t="b">
        <f>IF(AV21=TRUE,FALSE,IF(M21&gt;K21,TRUE,FALSE))</f>
        <v>0</v>
      </c>
      <c r="AV21" s="899" t="b">
        <f>IF(AND($C21&lt;&gt;"",K21=""),TRUE,FALSE)</f>
        <v>0</v>
      </c>
      <c r="AW21" s="898"/>
      <c r="AX21" s="899" t="b">
        <f>IF(AND($C21&lt;&gt;"",M21=""),TRUE,FALSE)</f>
        <v>0</v>
      </c>
      <c r="AY21" s="898" t="b">
        <f t="shared" ref="AY21" si="24">IF(AND(O21="",OR(Q21&lt;&gt;"",W21&lt;&gt;"",AC21&lt;&gt;"",AE21&lt;&gt;"",AG21&lt;&gt;"",AI21&lt;&gt;"")),TRUE,FALSE)</f>
        <v>0</v>
      </c>
      <c r="AZ21" s="899" t="b">
        <f>IF(AND($C21&lt;&gt;"",O21=""),TRUE,FALSE)</f>
        <v>0</v>
      </c>
      <c r="BA21" s="898"/>
      <c r="BB21" s="899" t="b">
        <f>IF(AND($C21&lt;&gt;"",Q21=""),TRUE,FALSE)</f>
        <v>0</v>
      </c>
      <c r="BC21" s="1537" t="b">
        <f>IF(BD21=TRUE,FALSE,IF(W21="",FALSE,IF(OR(W21&lt;BO21,W21&gt;BaseYear),TRUE,FALSE)))</f>
        <v>0</v>
      </c>
      <c r="BD21" s="899" t="b">
        <f>IF(AND($C21&lt;&gt;"",W21=""),TRUE,FALSE)</f>
        <v>0</v>
      </c>
      <c r="BE21" s="1537"/>
      <c r="BF21" s="899" t="b">
        <f>IF(AND($C21&lt;&gt;"",AC21=""),TRUE,FALSE)</f>
        <v>0</v>
      </c>
      <c r="BG21" s="898"/>
      <c r="BH21" s="899" t="b">
        <f>IF(AND($C21&lt;&gt;"",AE21=""),TRUE,FALSE)</f>
        <v>0</v>
      </c>
      <c r="BI21" s="898"/>
      <c r="BJ21" s="899" t="b">
        <f>IF(AND($C21&lt;&gt;"",AG21=""),TRUE,FALSE)</f>
        <v>0</v>
      </c>
      <c r="BK21" s="898"/>
      <c r="BL21" s="898" t="b">
        <f>IF(AND($C21&lt;&gt;"",AI21=""),TRUE,FALSE)</f>
        <v>0</v>
      </c>
      <c r="BM21" s="894"/>
      <c r="BN21" s="898" t="str">
        <f t="shared" si="2"/>
        <v/>
      </c>
      <c r="BO21" s="898" t="str">
        <f>IFERROR(IF(AND(O21="",O21&lt;&gt;""),1913,VLOOKUP(O21,Valid!$B$99:$J$120,9)),"")</f>
        <v/>
      </c>
      <c r="BP21" s="898" t="str">
        <f t="shared" ca="1" si="3"/>
        <v/>
      </c>
      <c r="BQ21" s="1547" t="str">
        <f t="shared" ca="1" si="8"/>
        <v/>
      </c>
      <c r="BR21" s="898" t="str">
        <f ca="1">IF(BQ21="", "", IF(1+(BQ21*4)&lt;1, 1, 1+(BQ21*4)))</f>
        <v/>
      </c>
      <c r="BS21" s="898" t="str">
        <f t="shared" si="4"/>
        <v/>
      </c>
      <c r="BT21" s="898" t="str">
        <f t="shared" si="5"/>
        <v/>
      </c>
      <c r="BU21" s="1539" t="str">
        <f>IFERROR(IF(AND(#REF!="",C21&lt;&gt;""),Valid!$E$123,VLOOKUP(#REF!,Valid!$B$123:$F$125,4,FALSE)),"")</f>
        <v/>
      </c>
      <c r="BV21" s="1539" t="str">
        <f>IFERROR(IF(AND(#REF!="",C21&lt;&gt;""),Valid!$F$123,VLOOKUP(#REF!,Valid!$B$123:$F$125,5,FALSE)),"")</f>
        <v/>
      </c>
      <c r="BW21" s="1539" t="str">
        <f>IFERROR(VLOOKUP('A-70 RevVehInv'!S21,Valid!$B$99:$I$120,7), "")</f>
        <v/>
      </c>
      <c r="BX21" s="1539" t="str">
        <f>IFERROR(VLOOKUP(O21,Valid!$B$99:$I$120,8), "")</f>
        <v/>
      </c>
      <c r="BY21" s="894"/>
    </row>
    <row r="22" spans="1:77" ht="6.75" customHeight="1" x14ac:dyDescent="0.2">
      <c r="A22" s="1517"/>
      <c r="B22" s="1530">
        <v>5.5</v>
      </c>
      <c r="C22" s="1540"/>
      <c r="D22" s="905"/>
      <c r="E22" s="1541"/>
      <c r="F22" s="905"/>
      <c r="G22" s="905"/>
      <c r="H22" s="905"/>
      <c r="I22" s="1534"/>
      <c r="J22" s="905"/>
      <c r="K22" s="1534"/>
      <c r="L22" s="905"/>
      <c r="M22" s="1534"/>
      <c r="N22" s="1531"/>
      <c r="O22" s="1542"/>
      <c r="P22" s="905"/>
      <c r="Q22" s="1542"/>
      <c r="R22" s="905"/>
      <c r="S22" s="1534" t="str">
        <f t="shared" si="0"/>
        <v/>
      </c>
      <c r="T22" s="905"/>
      <c r="U22" s="1534"/>
      <c r="V22" s="252" t="str">
        <f t="shared" si="1"/>
        <v/>
      </c>
      <c r="W22" s="1534"/>
      <c r="X22" s="905"/>
      <c r="Y22" s="1973" t="str">
        <f t="shared" si="6"/>
        <v/>
      </c>
      <c r="Z22" s="905"/>
      <c r="AA22" s="1985" t="str">
        <f t="shared" si="7"/>
        <v/>
      </c>
      <c r="AB22" s="1531"/>
      <c r="AC22" s="1534"/>
      <c r="AD22" s="1531"/>
      <c r="AE22" s="1534"/>
      <c r="AF22" s="1531"/>
      <c r="AG22" s="1534"/>
      <c r="AH22" s="1531"/>
      <c r="AI22" s="1543"/>
      <c r="AJ22" s="1531"/>
      <c r="AK22" s="1534"/>
      <c r="AL22" s="1531"/>
      <c r="AM22" s="1531"/>
      <c r="AN22" s="1531"/>
      <c r="AO22" s="1531"/>
      <c r="AP22" s="1531"/>
      <c r="AQ22" s="1535"/>
      <c r="AR22" s="1534"/>
      <c r="AS22" s="1535"/>
      <c r="AT22" s="1534"/>
      <c r="AU22" s="1535"/>
      <c r="AV22" s="1534"/>
      <c r="AW22" s="1535"/>
      <c r="AX22" s="1534"/>
      <c r="AY22" s="1535"/>
      <c r="AZ22" s="1534"/>
      <c r="BA22" s="1535"/>
      <c r="BB22" s="1534"/>
      <c r="BC22" s="1535"/>
      <c r="BD22" s="1534"/>
      <c r="BE22" s="1535"/>
      <c r="BF22" s="1534"/>
      <c r="BG22" s="1535"/>
      <c r="BH22" s="1534"/>
      <c r="BI22" s="1535"/>
      <c r="BJ22" s="1534"/>
      <c r="BK22" s="1535"/>
      <c r="BL22" s="1535"/>
      <c r="BM22" s="1531"/>
      <c r="BN22" s="898" t="str">
        <f t="shared" si="2"/>
        <v/>
      </c>
      <c r="BO22" s="898" t="str">
        <f>IFERROR(IF(AND(O22="",O22&lt;&gt;""),1913,VLOOKUP(O22,Valid!$B$99:$J$120,9)),"")</f>
        <v/>
      </c>
      <c r="BP22" s="898" t="str">
        <f t="shared" ca="1" si="3"/>
        <v/>
      </c>
      <c r="BQ22" s="1547" t="str">
        <f t="shared" ca="1" si="8"/>
        <v/>
      </c>
      <c r="BR22" s="898"/>
      <c r="BS22" s="898" t="str">
        <f t="shared" si="4"/>
        <v/>
      </c>
      <c r="BT22" s="898" t="str">
        <f t="shared" si="5"/>
        <v/>
      </c>
      <c r="BU22" s="1539" t="str">
        <f>IFERROR(IF(AND(#REF!="",C22&lt;&gt;""),Valid!$E$123,VLOOKUP(#REF!,Valid!$B$123:$F$125,4,FALSE)),"")</f>
        <v/>
      </c>
      <c r="BV22" s="1539" t="str">
        <f>IFERROR(IF(AND(#REF!="",C22&lt;&gt;""),Valid!$F$123,VLOOKUP(#REF!,Valid!$B$123:$F$125,5,FALSE)),"")</f>
        <v/>
      </c>
      <c r="BW22" s="1539" t="str">
        <f>IFERROR(VLOOKUP('A-70 RevVehInv'!S22,Valid!$B$99:$I$120,7), "")</f>
        <v/>
      </c>
      <c r="BX22" s="1539" t="str">
        <f>IFERROR(VLOOKUP(O22,Valid!$B$99:$I$120,8), "")</f>
        <v/>
      </c>
      <c r="BY22" s="1531"/>
    </row>
    <row r="23" spans="1:77" s="930" customFormat="1" x14ac:dyDescent="0.2">
      <c r="A23" s="206">
        <v>6</v>
      </c>
      <c r="B23" s="1530">
        <v>6</v>
      </c>
      <c r="C23" s="933"/>
      <c r="D23" s="719" t="str">
        <f>IF(C21="","",IF((C23=""),"Enter RVI ID. then Fill in Columns "&amp;TEXT($I$2,0)&amp;" - "&amp;TEXT($AI$2,0)&amp;"       ",""))</f>
        <v/>
      </c>
      <c r="E23" s="1056" t="str">
        <f>IF(AP23="N/A","",AP23)</f>
        <v/>
      </c>
      <c r="F23" s="1536"/>
      <c r="G23" s="1536"/>
      <c r="H23" s="1536"/>
      <c r="I23" s="1023"/>
      <c r="J23" s="1536" t="str">
        <f>IF(E23&lt;&gt;"","Vehicles?    ","")</f>
        <v/>
      </c>
      <c r="K23" s="1023"/>
      <c r="L23" s="1536" t="str">
        <f>IF(E23&lt;&gt;"","Active Vehicles?     ","")</f>
        <v/>
      </c>
      <c r="M23" s="1023"/>
      <c r="N23" s="894"/>
      <c r="O23" s="1153"/>
      <c r="P23" s="252" t="str">
        <f>IF(E23&lt;&gt;"","Select from Pull-Down List    ","")</f>
        <v/>
      </c>
      <c r="Q23" s="933"/>
      <c r="R23" s="252" t="str">
        <f>IF(E23&lt;&gt;"","Select from Pull-Down List    ","")</f>
        <v/>
      </c>
      <c r="S23" s="1024" t="str">
        <f t="shared" si="0"/>
        <v/>
      </c>
      <c r="T23" s="252"/>
      <c r="U23" s="1988"/>
      <c r="V23" s="252" t="str">
        <f t="shared" si="1"/>
        <v/>
      </c>
      <c r="W23" s="139"/>
      <c r="X23" s="252" t="str">
        <f>IF(E23&lt;&gt;"","Mfg. Yr?    ","")</f>
        <v/>
      </c>
      <c r="Y23" s="1972" t="str">
        <f t="shared" si="6"/>
        <v/>
      </c>
      <c r="Z23" s="252"/>
      <c r="AA23" s="1984" t="str">
        <f t="shared" si="7"/>
        <v/>
      </c>
      <c r="AB23" s="252" t="str">
        <f>IF(E23&lt;&gt;"","Select from Pull-Down List    ","")</f>
        <v/>
      </c>
      <c r="AC23" s="1023"/>
      <c r="AD23" s="252" t="str">
        <f>IF(E23&lt;&gt;"","Feet?    ","")</f>
        <v/>
      </c>
      <c r="AE23" s="1023"/>
      <c r="AF23" s="252" t="str">
        <f>IF(E23&lt;&gt;"","Mileage?       ","")</f>
        <v/>
      </c>
      <c r="AG23" s="1023"/>
      <c r="AH23" s="252" t="str">
        <f>IF(E23&lt;&gt;"","Avg. Lifetime Mileage? ","")</f>
        <v/>
      </c>
      <c r="AI23" s="933"/>
      <c r="AJ23" s="252" t="str">
        <f>IF(E23&lt;&gt;"","Select from Pull-Down List    ","")</f>
        <v/>
      </c>
      <c r="AK23" s="171"/>
      <c r="AL23" s="252"/>
      <c r="AM23" s="894"/>
      <c r="AN23" s="894"/>
      <c r="AO23" s="894" t="b">
        <f>IF(AND(C23="",C25&lt;&gt;""),TRUE,FALSE)</f>
        <v>0</v>
      </c>
      <c r="AP23" s="888" t="str">
        <f t="shared" ref="AP23" si="25">IF(AND(C23&lt;&gt;"",OR(I23="",K23="",M23="",O23="",Q23="",W23="",AC23="",AE23="",AG23="")),"No",IF(AND(C23="",OR(I23&lt;&gt;"",K23&lt;&gt;"",M23&lt;&gt;"",O23&lt;&gt;"",Q23&lt;&gt;"",W23&lt;&gt;"",AC23&lt;&gt;"",AE23&lt;&gt;"",AG23&lt;&gt;"",AI23&lt;&gt;"",AK23&lt;&gt;"")),"No",IF(AND(C23="",I23="",K23="",M23="",O23="",Q23="",W23="",AC23="",AE23="",AG23="",AI23=""),"N/A","Yes")))</f>
        <v>N/A</v>
      </c>
      <c r="AQ23" s="898"/>
      <c r="AR23" s="899" t="b">
        <f t="shared" ref="AR23" si="26">IF(AND(OR(I23&lt;&gt;"",K23&lt;&gt;"",M23&lt;&gt;"",O23&lt;&gt;"",Q23&lt;&gt;"",W23&lt;&gt;"",AC23&lt;&gt;"",AE23&lt;&gt;"",AG23&lt;&gt;"",AI23&lt;&gt;"",AK23&lt;&gt;""),C23=""),TRUE,FALSE)</f>
        <v>0</v>
      </c>
      <c r="AS23" s="898" t="b">
        <f t="shared" ref="AS23" si="27">IF(AT23=TRUE,FALSE,IF(SUM(K23)&gt;I23,TRUE,FALSE))</f>
        <v>0</v>
      </c>
      <c r="AT23" s="899" t="b">
        <f>IF(AND(C23&lt;&gt;"",I23=""),TRUE,FALSE)</f>
        <v>0</v>
      </c>
      <c r="AU23" s="898" t="b">
        <f>IF(AV23=TRUE,FALSE,IF(M23&gt;K23,TRUE,FALSE))</f>
        <v>0</v>
      </c>
      <c r="AV23" s="899" t="b">
        <f>IF(AND($C23&lt;&gt;"",K23=""),TRUE,FALSE)</f>
        <v>0</v>
      </c>
      <c r="AW23" s="898"/>
      <c r="AX23" s="899" t="b">
        <f>IF(AND($C23&lt;&gt;"",M23=""),TRUE,FALSE)</f>
        <v>0</v>
      </c>
      <c r="AY23" s="898" t="b">
        <f t="shared" ref="AY23" si="28">IF(AND(O23="",OR(Q23&lt;&gt;"",W23&lt;&gt;"",AC23&lt;&gt;"",AE23&lt;&gt;"",AG23&lt;&gt;"",AI23&lt;&gt;"")),TRUE,FALSE)</f>
        <v>0</v>
      </c>
      <c r="AZ23" s="899" t="b">
        <f>IF(AND($C23&lt;&gt;"",O23=""),TRUE,FALSE)</f>
        <v>0</v>
      </c>
      <c r="BA23" s="898"/>
      <c r="BB23" s="899" t="b">
        <f>IF(AND($C23&lt;&gt;"",Q23=""),TRUE,FALSE)</f>
        <v>0</v>
      </c>
      <c r="BC23" s="1537" t="b">
        <f>IF(BD23=TRUE,FALSE,IF(W23="",FALSE,IF(OR(W23&lt;BO23,W23&gt;BaseYear),TRUE,FALSE)))</f>
        <v>0</v>
      </c>
      <c r="BD23" s="899" t="b">
        <f>IF(AND($C23&lt;&gt;"",W23=""),TRUE,FALSE)</f>
        <v>0</v>
      </c>
      <c r="BE23" s="1537"/>
      <c r="BF23" s="899" t="b">
        <f>IF(AND($C23&lt;&gt;"",AC23=""),TRUE,FALSE)</f>
        <v>0</v>
      </c>
      <c r="BG23" s="898"/>
      <c r="BH23" s="899" t="b">
        <f>IF(AND($C23&lt;&gt;"",AE23=""),TRUE,FALSE)</f>
        <v>0</v>
      </c>
      <c r="BI23" s="898"/>
      <c r="BJ23" s="899" t="b">
        <f>IF(AND($C23&lt;&gt;"",AG23=""),TRUE,FALSE)</f>
        <v>0</v>
      </c>
      <c r="BK23" s="898"/>
      <c r="BL23" s="898" t="b">
        <f>IF(AND($C23&lt;&gt;"",AI23=""),TRUE,FALSE)</f>
        <v>0</v>
      </c>
      <c r="BM23" s="894"/>
      <c r="BN23" s="898" t="str">
        <f t="shared" si="2"/>
        <v/>
      </c>
      <c r="BO23" s="898" t="str">
        <f>IFERROR(IF(AND(O23="",O23&lt;&gt;""),1913,VLOOKUP(O23,Valid!$B$99:$J$120,9)),"")</f>
        <v/>
      </c>
      <c r="BP23" s="898" t="str">
        <f t="shared" ca="1" si="3"/>
        <v/>
      </c>
      <c r="BQ23" s="1547" t="str">
        <f t="shared" ca="1" si="8"/>
        <v/>
      </c>
      <c r="BR23" s="898" t="str">
        <f ca="1">IF(BQ23="", "", IF(1+(BQ23*4)&lt;1, 1, 1+(BQ23*4)))</f>
        <v/>
      </c>
      <c r="BS23" s="898" t="str">
        <f t="shared" si="4"/>
        <v/>
      </c>
      <c r="BT23" s="898" t="str">
        <f t="shared" si="5"/>
        <v/>
      </c>
      <c r="BU23" s="1539" t="str">
        <f>IFERROR(IF(AND(#REF!="",C23&lt;&gt;""),Valid!$E$123,VLOOKUP(#REF!,Valid!$B$123:$F$125,4,FALSE)),"")</f>
        <v/>
      </c>
      <c r="BV23" s="1539" t="str">
        <f>IFERROR(IF(AND(#REF!="",C23&lt;&gt;""),Valid!$F$123,VLOOKUP(#REF!,Valid!$B$123:$F$125,5,FALSE)),"")</f>
        <v/>
      </c>
      <c r="BW23" s="1539" t="str">
        <f>IFERROR(VLOOKUP('A-70 RevVehInv'!S23,Valid!$B$99:$I$120,7), "")</f>
        <v/>
      </c>
      <c r="BX23" s="1539" t="str">
        <f>IFERROR(VLOOKUP(O23,Valid!$B$99:$I$120,8), "")</f>
        <v/>
      </c>
      <c r="BY23" s="894"/>
    </row>
    <row r="24" spans="1:77" ht="6.75" customHeight="1" x14ac:dyDescent="0.2">
      <c r="A24" s="1517"/>
      <c r="B24" s="1530">
        <v>6.5</v>
      </c>
      <c r="C24" s="1544"/>
      <c r="D24" s="905"/>
      <c r="E24" s="1545"/>
      <c r="F24" s="905"/>
      <c r="G24" s="905"/>
      <c r="H24" s="905"/>
      <c r="I24" s="1531"/>
      <c r="J24" s="905"/>
      <c r="K24" s="1531"/>
      <c r="L24" s="905"/>
      <c r="M24" s="1531"/>
      <c r="N24" s="1531"/>
      <c r="O24" s="1533"/>
      <c r="P24" s="905"/>
      <c r="Q24" s="1533"/>
      <c r="R24" s="905"/>
      <c r="S24" s="1531" t="str">
        <f t="shared" si="0"/>
        <v/>
      </c>
      <c r="T24" s="905"/>
      <c r="U24" s="1531"/>
      <c r="V24" s="252" t="str">
        <f t="shared" si="1"/>
        <v/>
      </c>
      <c r="W24" s="1531"/>
      <c r="X24" s="905"/>
      <c r="Y24" s="1971" t="str">
        <f t="shared" si="6"/>
        <v/>
      </c>
      <c r="Z24" s="905"/>
      <c r="AA24" s="1983" t="str">
        <f t="shared" si="7"/>
        <v/>
      </c>
      <c r="AB24" s="1531"/>
      <c r="AC24" s="1531"/>
      <c r="AD24" s="1531"/>
      <c r="AE24" s="1531"/>
      <c r="AF24" s="1531"/>
      <c r="AG24" s="1534"/>
      <c r="AH24" s="1531"/>
      <c r="AI24" s="1546"/>
      <c r="AJ24" s="1531"/>
      <c r="AK24" s="1531"/>
      <c r="AL24" s="1531"/>
      <c r="AM24" s="1531"/>
      <c r="AN24" s="1531"/>
      <c r="AO24" s="1531"/>
      <c r="AP24" s="1531"/>
      <c r="AQ24" s="1535"/>
      <c r="AR24" s="1534"/>
      <c r="AS24" s="1535"/>
      <c r="AT24" s="1534"/>
      <c r="AU24" s="1535"/>
      <c r="AV24" s="1534"/>
      <c r="AW24" s="1535"/>
      <c r="AX24" s="1534"/>
      <c r="AY24" s="1535"/>
      <c r="AZ24" s="1534"/>
      <c r="BA24" s="1535"/>
      <c r="BB24" s="1534"/>
      <c r="BC24" s="1535"/>
      <c r="BD24" s="1534"/>
      <c r="BE24" s="1535"/>
      <c r="BF24" s="1534"/>
      <c r="BG24" s="1535"/>
      <c r="BH24" s="1534"/>
      <c r="BI24" s="1535"/>
      <c r="BJ24" s="1534"/>
      <c r="BK24" s="1535"/>
      <c r="BL24" s="1535"/>
      <c r="BM24" s="1531"/>
      <c r="BN24" s="898" t="str">
        <f t="shared" si="2"/>
        <v/>
      </c>
      <c r="BO24" s="898" t="str">
        <f>IFERROR(IF(AND(O24="",O24&lt;&gt;""),1913,VLOOKUP(O24,Valid!$B$99:$J$120,9)),"")</f>
        <v/>
      </c>
      <c r="BP24" s="898" t="str">
        <f t="shared" ca="1" si="3"/>
        <v/>
      </c>
      <c r="BQ24" s="1547" t="str">
        <f t="shared" ca="1" si="8"/>
        <v/>
      </c>
      <c r="BR24" s="898"/>
      <c r="BS24" s="898" t="str">
        <f t="shared" si="4"/>
        <v/>
      </c>
      <c r="BT24" s="898" t="str">
        <f t="shared" si="5"/>
        <v/>
      </c>
      <c r="BU24" s="1539" t="str">
        <f>IFERROR(IF(AND(#REF!="",C24&lt;&gt;""),Valid!$E$123,VLOOKUP(#REF!,Valid!$B$123:$F$125,4,FALSE)),"")</f>
        <v/>
      </c>
      <c r="BV24" s="1539" t="str">
        <f>IFERROR(IF(AND(#REF!="",C24&lt;&gt;""),Valid!$F$123,VLOOKUP(#REF!,Valid!$B$123:$F$125,5,FALSE)),"")</f>
        <v/>
      </c>
      <c r="BW24" s="1539" t="str">
        <f>IFERROR(VLOOKUP('A-70 RevVehInv'!S24,Valid!$B$99:$I$120,7), "")</f>
        <v/>
      </c>
      <c r="BX24" s="1539" t="str">
        <f>IFERROR(VLOOKUP(O24,Valid!$B$99:$I$120,8), "")</f>
        <v/>
      </c>
      <c r="BY24" s="1531"/>
    </row>
    <row r="25" spans="1:77" s="930" customFormat="1" x14ac:dyDescent="0.2">
      <c r="A25" s="206">
        <v>7</v>
      </c>
      <c r="B25" s="1530">
        <v>7</v>
      </c>
      <c r="C25" s="933"/>
      <c r="D25" s="719" t="str">
        <f>IF(C23="","",IF((C25=""),"Enter RVI ID. then Fill in Columns "&amp;TEXT($I$2,0)&amp;" - "&amp;TEXT($AI$2,0)&amp;"       ",""))</f>
        <v/>
      </c>
      <c r="E25" s="1056" t="str">
        <f>IF(AP25="N/A","",AP25)</f>
        <v/>
      </c>
      <c r="F25" s="1536"/>
      <c r="G25" s="1536"/>
      <c r="H25" s="1536"/>
      <c r="I25" s="1023"/>
      <c r="J25" s="1536" t="str">
        <f>IF(E25&lt;&gt;"","Vehicles?    ","")</f>
        <v/>
      </c>
      <c r="K25" s="1023"/>
      <c r="L25" s="1536" t="str">
        <f>IF(E25&lt;&gt;"","Active Vehicles?     ","")</f>
        <v/>
      </c>
      <c r="M25" s="1023"/>
      <c r="N25" s="894"/>
      <c r="O25" s="1153"/>
      <c r="P25" s="252" t="str">
        <f>IF(E25&lt;&gt;"","Select from Pull-Down List    ","")</f>
        <v/>
      </c>
      <c r="Q25" s="933"/>
      <c r="R25" s="252" t="str">
        <f>IF(E25&lt;&gt;"","Select from Pull-Down List    ","")</f>
        <v/>
      </c>
      <c r="S25" s="1024" t="str">
        <f t="shared" si="0"/>
        <v/>
      </c>
      <c r="T25" s="252"/>
      <c r="U25" s="1988"/>
      <c r="V25" s="252" t="str">
        <f t="shared" si="1"/>
        <v/>
      </c>
      <c r="W25" s="139"/>
      <c r="X25" s="252" t="str">
        <f>IF(E25&lt;&gt;"","Mfg. Yr?    ","")</f>
        <v/>
      </c>
      <c r="Y25" s="1972" t="str">
        <f t="shared" si="6"/>
        <v/>
      </c>
      <c r="Z25" s="252"/>
      <c r="AA25" s="1984" t="str">
        <f t="shared" si="7"/>
        <v/>
      </c>
      <c r="AB25" s="252" t="str">
        <f>IF(E25&lt;&gt;"","Select from Pull-Down List    ","")</f>
        <v/>
      </c>
      <c r="AC25" s="1023"/>
      <c r="AD25" s="252" t="str">
        <f>IF(E25&lt;&gt;"","Feet?    ","")</f>
        <v/>
      </c>
      <c r="AE25" s="1023"/>
      <c r="AF25" s="252" t="str">
        <f>IF(E25&lt;&gt;"","Mileage?       ","")</f>
        <v/>
      </c>
      <c r="AG25" s="1023"/>
      <c r="AH25" s="252" t="str">
        <f>IF(E25&lt;&gt;"","Avg. Lifetime Mileage? ","")</f>
        <v/>
      </c>
      <c r="AI25" s="933"/>
      <c r="AJ25" s="252" t="str">
        <f>IF(E25&lt;&gt;"","Select from Pull-Down List    ","")</f>
        <v/>
      </c>
      <c r="AK25" s="171"/>
      <c r="AL25" s="252"/>
      <c r="AM25" s="894"/>
      <c r="AN25" s="894"/>
      <c r="AO25" s="894" t="b">
        <f>IF(AND(C25="",C27&lt;&gt;""),TRUE,FALSE)</f>
        <v>0</v>
      </c>
      <c r="AP25" s="888" t="str">
        <f t="shared" ref="AP25" si="29">IF(AND(C25&lt;&gt;"",OR(I25="",K25="",M25="",O25="",Q25="",W25="",AC25="",AE25="",AG25="")),"No",IF(AND(C25="",OR(I25&lt;&gt;"",K25&lt;&gt;"",M25&lt;&gt;"",O25&lt;&gt;"",Q25&lt;&gt;"",W25&lt;&gt;"",AC25&lt;&gt;"",AE25&lt;&gt;"",AG25&lt;&gt;"",AI25&lt;&gt;"",AK25&lt;&gt;"")),"No",IF(AND(C25="",I25="",K25="",M25="",O25="",Q25="",W25="",AC25="",AE25="",AG25="",AI25=""),"N/A","Yes")))</f>
        <v>N/A</v>
      </c>
      <c r="AQ25" s="898"/>
      <c r="AR25" s="899" t="b">
        <f t="shared" ref="AR25" si="30">IF(AND(OR(I25&lt;&gt;"",K25&lt;&gt;"",M25&lt;&gt;"",O25&lt;&gt;"",Q25&lt;&gt;"",W25&lt;&gt;"",AC25&lt;&gt;"",AE25&lt;&gt;"",AG25&lt;&gt;"",AI25&lt;&gt;"",AK25&lt;&gt;""),C25=""),TRUE,FALSE)</f>
        <v>0</v>
      </c>
      <c r="AS25" s="898" t="b">
        <f t="shared" ref="AS25" si="31">IF(AT25=TRUE,FALSE,IF(SUM(K25)&gt;I25,TRUE,FALSE))</f>
        <v>0</v>
      </c>
      <c r="AT25" s="899" t="b">
        <f>IF(AND(C25&lt;&gt;"",I25=""),TRUE,FALSE)</f>
        <v>0</v>
      </c>
      <c r="AU25" s="898" t="b">
        <f>IF(AV25=TRUE,FALSE,IF(M25&gt;K25,TRUE,FALSE))</f>
        <v>0</v>
      </c>
      <c r="AV25" s="899" t="b">
        <f>IF(AND($C25&lt;&gt;"",K25=""),TRUE,FALSE)</f>
        <v>0</v>
      </c>
      <c r="AW25" s="898"/>
      <c r="AX25" s="899" t="b">
        <f>IF(AND($C25&lt;&gt;"",M25=""),TRUE,FALSE)</f>
        <v>0</v>
      </c>
      <c r="AY25" s="898" t="b">
        <f t="shared" ref="AY25" si="32">IF(AND(O25="",OR(Q25&lt;&gt;"",W25&lt;&gt;"",AC25&lt;&gt;"",AE25&lt;&gt;"",AG25&lt;&gt;"",AI25&lt;&gt;"")),TRUE,FALSE)</f>
        <v>0</v>
      </c>
      <c r="AZ25" s="899" t="b">
        <f>IF(AND($C25&lt;&gt;"",O25=""),TRUE,FALSE)</f>
        <v>0</v>
      </c>
      <c r="BA25" s="898"/>
      <c r="BB25" s="899" t="b">
        <f>IF(AND($C25&lt;&gt;"",Q25=""),TRUE,FALSE)</f>
        <v>0</v>
      </c>
      <c r="BC25" s="1537" t="b">
        <f>IF(BD25=TRUE,FALSE,IF(W25="",FALSE,IF(OR(W25&lt;BO25,W25&gt;BaseYear),TRUE,FALSE)))</f>
        <v>0</v>
      </c>
      <c r="BD25" s="899" t="b">
        <f>IF(AND($C25&lt;&gt;"",W25=""),TRUE,FALSE)</f>
        <v>0</v>
      </c>
      <c r="BE25" s="1537"/>
      <c r="BF25" s="899" t="b">
        <f>IF(AND($C25&lt;&gt;"",AC25=""),TRUE,FALSE)</f>
        <v>0</v>
      </c>
      <c r="BG25" s="898"/>
      <c r="BH25" s="899" t="b">
        <f>IF(AND($C25&lt;&gt;"",AE25=""),TRUE,FALSE)</f>
        <v>0</v>
      </c>
      <c r="BI25" s="898"/>
      <c r="BJ25" s="899" t="b">
        <f>IF(AND($C25&lt;&gt;"",AG25=""),TRUE,FALSE)</f>
        <v>0</v>
      </c>
      <c r="BK25" s="898"/>
      <c r="BL25" s="898" t="b">
        <f>IF(AND($C25&lt;&gt;"",AI25=""),TRUE,FALSE)</f>
        <v>0</v>
      </c>
      <c r="BM25" s="894"/>
      <c r="BN25" s="898" t="str">
        <f t="shared" si="2"/>
        <v/>
      </c>
      <c r="BO25" s="898" t="str">
        <f>IFERROR(IF(AND(O25="",O25&lt;&gt;""),1913,VLOOKUP(O25,Valid!$B$99:$J$120,9)),"")</f>
        <v/>
      </c>
      <c r="BP25" s="898" t="str">
        <f t="shared" ca="1" si="3"/>
        <v/>
      </c>
      <c r="BQ25" s="1547" t="str">
        <f t="shared" ca="1" si="8"/>
        <v/>
      </c>
      <c r="BR25" s="898" t="str">
        <f ca="1">IF(BQ25="", "", IF(1+(BQ25*4)&lt;1, 1, 1+(BQ25*4)))</f>
        <v/>
      </c>
      <c r="BS25" s="898" t="str">
        <f t="shared" si="4"/>
        <v/>
      </c>
      <c r="BT25" s="898" t="str">
        <f t="shared" si="5"/>
        <v/>
      </c>
      <c r="BU25" s="1539" t="str">
        <f>IFERROR(IF(AND(#REF!="",C25&lt;&gt;""),Valid!$E$123,VLOOKUP(#REF!,Valid!$B$123:$F$125,4,FALSE)),"")</f>
        <v/>
      </c>
      <c r="BV25" s="1539" t="str">
        <f>IFERROR(IF(AND(#REF!="",C25&lt;&gt;""),Valid!$F$123,VLOOKUP(#REF!,Valid!$B$123:$F$125,5,FALSE)),"")</f>
        <v/>
      </c>
      <c r="BW25" s="1539" t="str">
        <f>IFERROR(VLOOKUP('A-70 RevVehInv'!S25,Valid!$B$99:$I$120,7), "")</f>
        <v/>
      </c>
      <c r="BX25" s="1539" t="str">
        <f>IFERROR(VLOOKUP(O25,Valid!$B$99:$I$120,8), "")</f>
        <v/>
      </c>
      <c r="BY25" s="894"/>
    </row>
    <row r="26" spans="1:77" ht="6.75" customHeight="1" x14ac:dyDescent="0.2">
      <c r="A26" s="1517"/>
      <c r="B26" s="1530">
        <v>7.5</v>
      </c>
      <c r="C26" s="1540"/>
      <c r="D26" s="905"/>
      <c r="E26" s="1541"/>
      <c r="F26" s="905"/>
      <c r="G26" s="905"/>
      <c r="H26" s="905"/>
      <c r="I26" s="1534"/>
      <c r="J26" s="905"/>
      <c r="K26" s="1534"/>
      <c r="L26" s="905"/>
      <c r="M26" s="1534"/>
      <c r="N26" s="1531"/>
      <c r="O26" s="1542"/>
      <c r="P26" s="905"/>
      <c r="Q26" s="1542"/>
      <c r="R26" s="905"/>
      <c r="S26" s="1534" t="str">
        <f t="shared" si="0"/>
        <v/>
      </c>
      <c r="T26" s="905"/>
      <c r="U26" s="1534"/>
      <c r="V26" s="252" t="str">
        <f t="shared" si="1"/>
        <v/>
      </c>
      <c r="W26" s="1534"/>
      <c r="X26" s="905"/>
      <c r="Y26" s="1973" t="str">
        <f t="shared" si="6"/>
        <v/>
      </c>
      <c r="Z26" s="905"/>
      <c r="AA26" s="1985" t="str">
        <f t="shared" si="7"/>
        <v/>
      </c>
      <c r="AB26" s="1531"/>
      <c r="AC26" s="1534"/>
      <c r="AD26" s="1531"/>
      <c r="AE26" s="1534"/>
      <c r="AF26" s="1531"/>
      <c r="AG26" s="1534"/>
      <c r="AH26" s="1531"/>
      <c r="AI26" s="1543"/>
      <c r="AJ26" s="1531"/>
      <c r="AK26" s="1534"/>
      <c r="AL26" s="1531"/>
      <c r="AM26" s="1531"/>
      <c r="AN26" s="1531"/>
      <c r="AO26" s="1531"/>
      <c r="AP26" s="1531"/>
      <c r="AQ26" s="1535"/>
      <c r="AR26" s="1534"/>
      <c r="AS26" s="1535"/>
      <c r="AT26" s="1534"/>
      <c r="AU26" s="1535"/>
      <c r="AV26" s="1534"/>
      <c r="AW26" s="1535"/>
      <c r="AX26" s="1534"/>
      <c r="AY26" s="1535"/>
      <c r="AZ26" s="1534"/>
      <c r="BA26" s="1535"/>
      <c r="BB26" s="1534"/>
      <c r="BC26" s="1535"/>
      <c r="BD26" s="1534"/>
      <c r="BE26" s="1535"/>
      <c r="BF26" s="1534"/>
      <c r="BG26" s="1535"/>
      <c r="BH26" s="1534"/>
      <c r="BI26" s="1535"/>
      <c r="BJ26" s="1534"/>
      <c r="BK26" s="1535"/>
      <c r="BL26" s="1535"/>
      <c r="BM26" s="1531"/>
      <c r="BN26" s="898" t="str">
        <f t="shared" si="2"/>
        <v/>
      </c>
      <c r="BO26" s="898" t="str">
        <f>IFERROR(IF(AND(O26="",O26&lt;&gt;""),1913,VLOOKUP(O26,Valid!$B$99:$J$120,9)),"")</f>
        <v/>
      </c>
      <c r="BP26" s="898" t="str">
        <f t="shared" ca="1" si="3"/>
        <v/>
      </c>
      <c r="BQ26" s="1547" t="str">
        <f t="shared" ca="1" si="8"/>
        <v/>
      </c>
      <c r="BR26" s="898"/>
      <c r="BS26" s="898" t="str">
        <f t="shared" si="4"/>
        <v/>
      </c>
      <c r="BT26" s="898" t="str">
        <f t="shared" si="5"/>
        <v/>
      </c>
      <c r="BU26" s="1539" t="str">
        <f>IFERROR(IF(AND(#REF!="",C26&lt;&gt;""),Valid!$E$123,VLOOKUP(#REF!,Valid!$B$123:$F$125,4,FALSE)),"")</f>
        <v/>
      </c>
      <c r="BV26" s="1539" t="str">
        <f>IFERROR(IF(AND(#REF!="",C26&lt;&gt;""),Valid!$F$123,VLOOKUP(#REF!,Valid!$B$123:$F$125,5,FALSE)),"")</f>
        <v/>
      </c>
      <c r="BW26" s="1539" t="str">
        <f>IFERROR(VLOOKUP('A-70 RevVehInv'!S26,Valid!$B$99:$I$120,7), "")</f>
        <v/>
      </c>
      <c r="BX26" s="1539" t="str">
        <f>IFERROR(VLOOKUP(O26,Valid!$B$99:$I$120,8), "")</f>
        <v/>
      </c>
      <c r="BY26" s="1531"/>
    </row>
    <row r="27" spans="1:77" s="930" customFormat="1" x14ac:dyDescent="0.2">
      <c r="A27" s="206">
        <v>8</v>
      </c>
      <c r="B27" s="1530">
        <v>8</v>
      </c>
      <c r="C27" s="933"/>
      <c r="D27" s="719" t="str">
        <f>IF(C25="","",IF((C27=""),"Enter RVI ID. then Fill in Columns "&amp;TEXT($I$2,0)&amp;" - "&amp;TEXT($AI$2,0)&amp;"       ",""))</f>
        <v/>
      </c>
      <c r="E27" s="1056" t="str">
        <f>IF(AP27="N/A","",AP27)</f>
        <v/>
      </c>
      <c r="F27" s="1536"/>
      <c r="G27" s="1536"/>
      <c r="H27" s="1536"/>
      <c r="I27" s="1023"/>
      <c r="J27" s="1536" t="str">
        <f>IF(E27&lt;&gt;"","Vehicles?    ","")</f>
        <v/>
      </c>
      <c r="K27" s="1023"/>
      <c r="L27" s="1536" t="str">
        <f>IF(E27&lt;&gt;"","Active Vehicles?     ","")</f>
        <v/>
      </c>
      <c r="M27" s="1023"/>
      <c r="N27" s="894"/>
      <c r="O27" s="1153"/>
      <c r="P27" s="252" t="str">
        <f>IF(E27&lt;&gt;"","Select from Pull-Down List    ","")</f>
        <v/>
      </c>
      <c r="Q27" s="933"/>
      <c r="R27" s="252" t="str">
        <f>IF(E27&lt;&gt;"","Select from Pull-Down List    ","")</f>
        <v/>
      </c>
      <c r="S27" s="1024" t="str">
        <f t="shared" si="0"/>
        <v/>
      </c>
      <c r="T27" s="252"/>
      <c r="U27" s="1988"/>
      <c r="V27" s="252" t="str">
        <f t="shared" si="1"/>
        <v/>
      </c>
      <c r="W27" s="139"/>
      <c r="X27" s="252" t="str">
        <f>IF(E27&lt;&gt;"","Mfg. Yr?    ","")</f>
        <v/>
      </c>
      <c r="Y27" s="1972" t="str">
        <f t="shared" si="6"/>
        <v/>
      </c>
      <c r="Z27" s="252"/>
      <c r="AA27" s="1984" t="str">
        <f t="shared" si="7"/>
        <v/>
      </c>
      <c r="AB27" s="252" t="str">
        <f>IF(E27&lt;&gt;"","Select from Pull-Down List    ","")</f>
        <v/>
      </c>
      <c r="AC27" s="1023"/>
      <c r="AD27" s="252" t="str">
        <f>IF(E27&lt;&gt;"","Feet?    ","")</f>
        <v/>
      </c>
      <c r="AE27" s="1023"/>
      <c r="AF27" s="252" t="str">
        <f>IF(E27&lt;&gt;"","Mileage?       ","")</f>
        <v/>
      </c>
      <c r="AG27" s="1023"/>
      <c r="AH27" s="252" t="str">
        <f>IF(E27&lt;&gt;"","Avg. Lifetime Mileage? ","")</f>
        <v/>
      </c>
      <c r="AI27" s="933"/>
      <c r="AJ27" s="252" t="str">
        <f>IF(E27&lt;&gt;"","Select from Pull-Down List    ","")</f>
        <v/>
      </c>
      <c r="AK27" s="171"/>
      <c r="AL27" s="252"/>
      <c r="AM27" s="894"/>
      <c r="AN27" s="894"/>
      <c r="AO27" s="894" t="b">
        <f>IF(AND(C27="",C29&lt;&gt;""),TRUE,FALSE)</f>
        <v>0</v>
      </c>
      <c r="AP27" s="888" t="str">
        <f t="shared" ref="AP27" si="33">IF(AND(C27&lt;&gt;"",OR(I27="",K27="",M27="",O27="",Q27="",W27="",AC27="",AE27="",AG27="")),"No",IF(AND(C27="",OR(I27&lt;&gt;"",K27&lt;&gt;"",M27&lt;&gt;"",O27&lt;&gt;"",Q27&lt;&gt;"",W27&lt;&gt;"",AC27&lt;&gt;"",AE27&lt;&gt;"",AG27&lt;&gt;"",AI27&lt;&gt;"",AK27&lt;&gt;"")),"No",IF(AND(C27="",I27="",K27="",M27="",O27="",Q27="",W27="",AC27="",AE27="",AG27="",AI27=""),"N/A","Yes")))</f>
        <v>N/A</v>
      </c>
      <c r="AQ27" s="898"/>
      <c r="AR27" s="899" t="b">
        <f t="shared" ref="AR27" si="34">IF(AND(OR(I27&lt;&gt;"",K27&lt;&gt;"",M27&lt;&gt;"",O27&lt;&gt;"",Q27&lt;&gt;"",W27&lt;&gt;"",AC27&lt;&gt;"",AE27&lt;&gt;"",AG27&lt;&gt;"",AI27&lt;&gt;"",AK27&lt;&gt;""),C27=""),TRUE,FALSE)</f>
        <v>0</v>
      </c>
      <c r="AS27" s="898" t="b">
        <f t="shared" ref="AS27" si="35">IF(AT27=TRUE,FALSE,IF(SUM(K27)&gt;I27,TRUE,FALSE))</f>
        <v>0</v>
      </c>
      <c r="AT27" s="899" t="b">
        <f>IF(AND(C27&lt;&gt;"",I27=""),TRUE,FALSE)</f>
        <v>0</v>
      </c>
      <c r="AU27" s="898" t="b">
        <f>IF(AV27=TRUE,FALSE,IF(M27&gt;K27,TRUE,FALSE))</f>
        <v>0</v>
      </c>
      <c r="AV27" s="899" t="b">
        <f>IF(AND($C27&lt;&gt;"",K27=""),TRUE,FALSE)</f>
        <v>0</v>
      </c>
      <c r="AW27" s="898"/>
      <c r="AX27" s="899" t="b">
        <f>IF(AND($C27&lt;&gt;"",M27=""),TRUE,FALSE)</f>
        <v>0</v>
      </c>
      <c r="AY27" s="898" t="b">
        <f t="shared" ref="AY27" si="36">IF(AND(O27="",OR(Q27&lt;&gt;"",W27&lt;&gt;"",AC27&lt;&gt;"",AE27&lt;&gt;"",AG27&lt;&gt;"",AI27&lt;&gt;"")),TRUE,FALSE)</f>
        <v>0</v>
      </c>
      <c r="AZ27" s="899" t="b">
        <f>IF(AND($C27&lt;&gt;"",O27=""),TRUE,FALSE)</f>
        <v>0</v>
      </c>
      <c r="BA27" s="898"/>
      <c r="BB27" s="899" t="b">
        <f>IF(AND($C27&lt;&gt;"",Q27=""),TRUE,FALSE)</f>
        <v>0</v>
      </c>
      <c r="BC27" s="1537" t="b">
        <f>IF(BD27=TRUE,FALSE,IF(W27="",FALSE,IF(OR(W27&lt;BO27,W27&gt;BaseYear),TRUE,FALSE)))</f>
        <v>0</v>
      </c>
      <c r="BD27" s="899" t="b">
        <f>IF(AND($C27&lt;&gt;"",W27=""),TRUE,FALSE)</f>
        <v>0</v>
      </c>
      <c r="BE27" s="1537"/>
      <c r="BF27" s="899" t="b">
        <f>IF(AND($C27&lt;&gt;"",AC27=""),TRUE,FALSE)</f>
        <v>0</v>
      </c>
      <c r="BG27" s="898"/>
      <c r="BH27" s="899" t="b">
        <f>IF(AND($C27&lt;&gt;"",AE27=""),TRUE,FALSE)</f>
        <v>0</v>
      </c>
      <c r="BI27" s="898"/>
      <c r="BJ27" s="899" t="b">
        <f>IF(AND($C27&lt;&gt;"",AG27=""),TRUE,FALSE)</f>
        <v>0</v>
      </c>
      <c r="BK27" s="898"/>
      <c r="BL27" s="898" t="b">
        <f>IF(AND($C27&lt;&gt;"",AI27=""),TRUE,FALSE)</f>
        <v>0</v>
      </c>
      <c r="BM27" s="894"/>
      <c r="BN27" s="898" t="str">
        <f t="shared" si="2"/>
        <v/>
      </c>
      <c r="BO27" s="898" t="str">
        <f>IFERROR(IF(AND(O27="",O27&lt;&gt;""),1913,VLOOKUP(O27,Valid!$B$99:$J$120,9)),"")</f>
        <v/>
      </c>
      <c r="BP27" s="898" t="str">
        <f t="shared" ca="1" si="3"/>
        <v/>
      </c>
      <c r="BQ27" s="1547" t="str">
        <f t="shared" ca="1" si="8"/>
        <v/>
      </c>
      <c r="BR27" s="898" t="str">
        <f ca="1">IF(BQ27="", "", IF(1+(BQ27*4)&lt;1, 1, 1+(BQ27*4)))</f>
        <v/>
      </c>
      <c r="BS27" s="898" t="str">
        <f t="shared" si="4"/>
        <v/>
      </c>
      <c r="BT27" s="898" t="str">
        <f t="shared" si="5"/>
        <v/>
      </c>
      <c r="BU27" s="1539" t="str">
        <f>IFERROR(IF(AND(#REF!="",C27&lt;&gt;""),Valid!$E$123,VLOOKUP(#REF!,Valid!$B$123:$F$125,4,FALSE)),"")</f>
        <v/>
      </c>
      <c r="BV27" s="1539" t="str">
        <f>IFERROR(IF(AND(#REF!="",C27&lt;&gt;""),Valid!$F$123,VLOOKUP(#REF!,Valid!$B$123:$F$125,5,FALSE)),"")</f>
        <v/>
      </c>
      <c r="BW27" s="1539" t="str">
        <f>IFERROR(VLOOKUP('A-70 RevVehInv'!S27,Valid!$B$99:$I$120,7), "")</f>
        <v/>
      </c>
      <c r="BX27" s="1539" t="str">
        <f>IFERROR(VLOOKUP(O27,Valid!$B$99:$I$120,8), "")</f>
        <v/>
      </c>
      <c r="BY27" s="894"/>
    </row>
    <row r="28" spans="1:77" ht="6.75" customHeight="1" x14ac:dyDescent="0.2">
      <c r="A28" s="1517"/>
      <c r="B28" s="1530">
        <v>8.5</v>
      </c>
      <c r="C28" s="1544"/>
      <c r="D28" s="905"/>
      <c r="E28" s="1545"/>
      <c r="F28" s="905"/>
      <c r="G28" s="905"/>
      <c r="H28" s="905"/>
      <c r="I28" s="1531"/>
      <c r="J28" s="905"/>
      <c r="K28" s="1531"/>
      <c r="L28" s="905"/>
      <c r="M28" s="1531"/>
      <c r="N28" s="1531"/>
      <c r="O28" s="1533"/>
      <c r="P28" s="905"/>
      <c r="Q28" s="1533"/>
      <c r="R28" s="905"/>
      <c r="S28" s="1531" t="str">
        <f t="shared" si="0"/>
        <v/>
      </c>
      <c r="T28" s="905"/>
      <c r="U28" s="1531"/>
      <c r="V28" s="252" t="str">
        <f t="shared" si="1"/>
        <v/>
      </c>
      <c r="W28" s="1531"/>
      <c r="X28" s="905"/>
      <c r="Y28" s="1971" t="str">
        <f t="shared" si="6"/>
        <v/>
      </c>
      <c r="Z28" s="905"/>
      <c r="AA28" s="1983" t="str">
        <f t="shared" si="7"/>
        <v/>
      </c>
      <c r="AB28" s="1531"/>
      <c r="AC28" s="1531"/>
      <c r="AD28" s="1531"/>
      <c r="AE28" s="1531"/>
      <c r="AF28" s="1531"/>
      <c r="AG28" s="1534"/>
      <c r="AH28" s="1531"/>
      <c r="AI28" s="1546"/>
      <c r="AJ28" s="1531"/>
      <c r="AK28" s="1531"/>
      <c r="AL28" s="1531"/>
      <c r="AM28" s="1531"/>
      <c r="AN28" s="1531"/>
      <c r="AO28" s="1531"/>
      <c r="AP28" s="1531"/>
      <c r="AQ28" s="1535"/>
      <c r="AR28" s="1534"/>
      <c r="AS28" s="1535"/>
      <c r="AT28" s="1534"/>
      <c r="AU28" s="1535"/>
      <c r="AV28" s="1534"/>
      <c r="AW28" s="1535"/>
      <c r="AX28" s="1534"/>
      <c r="AY28" s="1535"/>
      <c r="AZ28" s="1534"/>
      <c r="BA28" s="1535"/>
      <c r="BB28" s="1534"/>
      <c r="BC28" s="1535"/>
      <c r="BD28" s="1534"/>
      <c r="BE28" s="1535"/>
      <c r="BF28" s="1534"/>
      <c r="BG28" s="1535"/>
      <c r="BH28" s="1534"/>
      <c r="BI28" s="1535"/>
      <c r="BJ28" s="1534"/>
      <c r="BK28" s="1535"/>
      <c r="BL28" s="1535"/>
      <c r="BM28" s="1531"/>
      <c r="BN28" s="898" t="str">
        <f t="shared" si="2"/>
        <v/>
      </c>
      <c r="BO28" s="898" t="str">
        <f>IFERROR(IF(AND(O28="",O28&lt;&gt;""),1913,VLOOKUP(O28,Valid!$B$99:$J$120,9)),"")</f>
        <v/>
      </c>
      <c r="BP28" s="898" t="str">
        <f t="shared" ca="1" si="3"/>
        <v/>
      </c>
      <c r="BQ28" s="1547" t="str">
        <f t="shared" ca="1" si="8"/>
        <v/>
      </c>
      <c r="BR28" s="898"/>
      <c r="BS28" s="898" t="str">
        <f t="shared" si="4"/>
        <v/>
      </c>
      <c r="BT28" s="898" t="str">
        <f t="shared" si="5"/>
        <v/>
      </c>
      <c r="BU28" s="1539" t="str">
        <f>IFERROR(IF(AND(#REF!="",C28&lt;&gt;""),Valid!$E$123,VLOOKUP(#REF!,Valid!$B$123:$F$125,4,FALSE)),"")</f>
        <v/>
      </c>
      <c r="BV28" s="1539" t="str">
        <f>IFERROR(IF(AND(#REF!="",C28&lt;&gt;""),Valid!$F$123,VLOOKUP(#REF!,Valid!$B$123:$F$125,5,FALSE)),"")</f>
        <v/>
      </c>
      <c r="BW28" s="1539" t="str">
        <f>IFERROR(VLOOKUP('A-70 RevVehInv'!S28,Valid!$B$99:$I$120,7), "")</f>
        <v/>
      </c>
      <c r="BX28" s="1539" t="str">
        <f>IFERROR(VLOOKUP(O28,Valid!$B$99:$I$120,8), "")</f>
        <v/>
      </c>
      <c r="BY28" s="1531"/>
    </row>
    <row r="29" spans="1:77" s="930" customFormat="1" x14ac:dyDescent="0.2">
      <c r="A29" s="206">
        <v>9</v>
      </c>
      <c r="B29" s="1530">
        <v>9</v>
      </c>
      <c r="C29" s="933"/>
      <c r="D29" s="719" t="str">
        <f>IF(C27="","",IF((C29=""),"Enter RVI ID. then Fill in Columns "&amp;TEXT($I$2,0)&amp;" - "&amp;TEXT($AI$2,0)&amp;"       ",""))</f>
        <v/>
      </c>
      <c r="E29" s="1056" t="str">
        <f>IF(AP29="N/A","",AP29)</f>
        <v/>
      </c>
      <c r="F29" s="1536"/>
      <c r="G29" s="1536"/>
      <c r="H29" s="1536"/>
      <c r="I29" s="1023"/>
      <c r="J29" s="1536" t="str">
        <f>IF(E29&lt;&gt;"","Vehicles?    ","")</f>
        <v/>
      </c>
      <c r="K29" s="1023"/>
      <c r="L29" s="1536" t="str">
        <f>IF(E29&lt;&gt;"","Active Vehicles?     ","")</f>
        <v/>
      </c>
      <c r="M29" s="1023"/>
      <c r="N29" s="894"/>
      <c r="O29" s="1153"/>
      <c r="P29" s="252" t="str">
        <f>IF(E29&lt;&gt;"","Select from Pull-Down List    ","")</f>
        <v/>
      </c>
      <c r="Q29" s="933"/>
      <c r="R29" s="252" t="str">
        <f>IF(E29&lt;&gt;"","Select from Pull-Down List    ","")</f>
        <v/>
      </c>
      <c r="S29" s="1024" t="str">
        <f t="shared" si="0"/>
        <v/>
      </c>
      <c r="T29" s="252"/>
      <c r="U29" s="1988"/>
      <c r="V29" s="252" t="str">
        <f t="shared" si="1"/>
        <v/>
      </c>
      <c r="W29" s="139"/>
      <c r="X29" s="252" t="str">
        <f>IF(E29&lt;&gt;"","Mfg. Yr?    ","")</f>
        <v/>
      </c>
      <c r="Y29" s="1972" t="str">
        <f t="shared" si="6"/>
        <v/>
      </c>
      <c r="Z29" s="252"/>
      <c r="AA29" s="1984" t="str">
        <f t="shared" si="7"/>
        <v/>
      </c>
      <c r="AB29" s="252" t="str">
        <f>IF(E29&lt;&gt;"","Select from Pull-Down List    ","")</f>
        <v/>
      </c>
      <c r="AC29" s="1023"/>
      <c r="AD29" s="252" t="str">
        <f>IF(E29&lt;&gt;"","Feet?    ","")</f>
        <v/>
      </c>
      <c r="AE29" s="1023"/>
      <c r="AF29" s="252" t="str">
        <f>IF(E29&lt;&gt;"","Mileage?       ","")</f>
        <v/>
      </c>
      <c r="AG29" s="1023"/>
      <c r="AH29" s="252" t="str">
        <f>IF(E29&lt;&gt;"","Avg. Lifetime Mileage? ","")</f>
        <v/>
      </c>
      <c r="AI29" s="933"/>
      <c r="AJ29" s="252" t="str">
        <f>IF(E29&lt;&gt;"","Select from Pull-Down List    ","")</f>
        <v/>
      </c>
      <c r="AK29" s="171"/>
      <c r="AL29" s="252"/>
      <c r="AM29" s="894"/>
      <c r="AN29" s="894"/>
      <c r="AO29" s="894" t="b">
        <f>IF(AND(C29="",C31&lt;&gt;""),TRUE,FALSE)</f>
        <v>0</v>
      </c>
      <c r="AP29" s="888" t="str">
        <f t="shared" ref="AP29" si="37">IF(AND(C29&lt;&gt;"",OR(I29="",K29="",M29="",O29="",Q29="",W29="",AC29="",AE29="",AG29="")),"No",IF(AND(C29="",OR(I29&lt;&gt;"",K29&lt;&gt;"",M29&lt;&gt;"",O29&lt;&gt;"",Q29&lt;&gt;"",W29&lt;&gt;"",AC29&lt;&gt;"",AE29&lt;&gt;"",AG29&lt;&gt;"",AI29&lt;&gt;"",AK29&lt;&gt;"")),"No",IF(AND(C29="",I29="",K29="",M29="",O29="",Q29="",W29="",AC29="",AE29="",AG29="",AI29=""),"N/A","Yes")))</f>
        <v>N/A</v>
      </c>
      <c r="AQ29" s="898"/>
      <c r="AR29" s="899" t="b">
        <f t="shared" ref="AR29" si="38">IF(AND(OR(I29&lt;&gt;"",K29&lt;&gt;"",M29&lt;&gt;"",O29&lt;&gt;"",Q29&lt;&gt;"",W29&lt;&gt;"",AC29&lt;&gt;"",AE29&lt;&gt;"",AG29&lt;&gt;"",AI29&lt;&gt;"",AK29&lt;&gt;""),C29=""),TRUE,FALSE)</f>
        <v>0</v>
      </c>
      <c r="AS29" s="898" t="b">
        <f t="shared" ref="AS29" si="39">IF(AT29=TRUE,FALSE,IF(SUM(K29)&gt;I29,TRUE,FALSE))</f>
        <v>0</v>
      </c>
      <c r="AT29" s="899" t="b">
        <f>IF(AND(C29&lt;&gt;"",I29=""),TRUE,FALSE)</f>
        <v>0</v>
      </c>
      <c r="AU29" s="898" t="b">
        <f>IF(AV29=TRUE,FALSE,IF(M29&gt;K29,TRUE,FALSE))</f>
        <v>0</v>
      </c>
      <c r="AV29" s="899" t="b">
        <f>IF(AND($C29&lt;&gt;"",K29=""),TRUE,FALSE)</f>
        <v>0</v>
      </c>
      <c r="AW29" s="898"/>
      <c r="AX29" s="899" t="b">
        <f>IF(AND($C29&lt;&gt;"",M29=""),TRUE,FALSE)</f>
        <v>0</v>
      </c>
      <c r="AY29" s="898" t="b">
        <f t="shared" ref="AY29" si="40">IF(AND(O29="",OR(Q29&lt;&gt;"",W29&lt;&gt;"",AC29&lt;&gt;"",AE29&lt;&gt;"",AG29&lt;&gt;"",AI29&lt;&gt;"")),TRUE,FALSE)</f>
        <v>0</v>
      </c>
      <c r="AZ29" s="899" t="b">
        <f>IF(AND($C29&lt;&gt;"",O29=""),TRUE,FALSE)</f>
        <v>0</v>
      </c>
      <c r="BA29" s="898"/>
      <c r="BB29" s="899" t="b">
        <f>IF(AND($C29&lt;&gt;"",Q29=""),TRUE,FALSE)</f>
        <v>0</v>
      </c>
      <c r="BC29" s="1537" t="b">
        <f>IF(BD29=TRUE,FALSE,IF(W29="",FALSE,IF(OR(W29&lt;BO29,W29&gt;BaseYear),TRUE,FALSE)))</f>
        <v>0</v>
      </c>
      <c r="BD29" s="899" t="b">
        <f>IF(AND($C29&lt;&gt;"",W29=""),TRUE,FALSE)</f>
        <v>0</v>
      </c>
      <c r="BE29" s="1537"/>
      <c r="BF29" s="899" t="b">
        <f>IF(AND($C29&lt;&gt;"",AC29=""),TRUE,FALSE)</f>
        <v>0</v>
      </c>
      <c r="BG29" s="898"/>
      <c r="BH29" s="899" t="b">
        <f>IF(AND($C29&lt;&gt;"",AE29=""),TRUE,FALSE)</f>
        <v>0</v>
      </c>
      <c r="BI29" s="898"/>
      <c r="BJ29" s="899" t="b">
        <f>IF(AND($C29&lt;&gt;"",AG29=""),TRUE,FALSE)</f>
        <v>0</v>
      </c>
      <c r="BK29" s="898"/>
      <c r="BL29" s="898" t="b">
        <f>IF(AND($C29&lt;&gt;"",AI29=""),TRUE,FALSE)</f>
        <v>0</v>
      </c>
      <c r="BM29" s="894"/>
      <c r="BN29" s="898" t="str">
        <f t="shared" si="2"/>
        <v/>
      </c>
      <c r="BO29" s="898" t="str">
        <f>IFERROR(IF(AND(O29="",O29&lt;&gt;""),1913,VLOOKUP(O29,Valid!$B$99:$J$120,9)),"")</f>
        <v/>
      </c>
      <c r="BP29" s="898" t="str">
        <f t="shared" ca="1" si="3"/>
        <v/>
      </c>
      <c r="BQ29" s="1547" t="str">
        <f t="shared" ca="1" si="8"/>
        <v/>
      </c>
      <c r="BR29" s="898" t="str">
        <f ca="1">IF(BQ29="", "", IF(1+(BQ29*4)&lt;1, 1, 1+(BQ29*4)))</f>
        <v/>
      </c>
      <c r="BS29" s="898" t="str">
        <f t="shared" si="4"/>
        <v/>
      </c>
      <c r="BT29" s="898" t="str">
        <f t="shared" si="5"/>
        <v/>
      </c>
      <c r="BU29" s="1539" t="str">
        <f>IFERROR(IF(AND(#REF!="",C29&lt;&gt;""),Valid!$E$123,VLOOKUP(#REF!,Valid!$B$123:$F$125,4,FALSE)),"")</f>
        <v/>
      </c>
      <c r="BV29" s="1539" t="str">
        <f>IFERROR(IF(AND(#REF!="",C29&lt;&gt;""),Valid!$F$123,VLOOKUP(#REF!,Valid!$B$123:$F$125,5,FALSE)),"")</f>
        <v/>
      </c>
      <c r="BW29" s="1539" t="str">
        <f>IFERROR(VLOOKUP('A-70 RevVehInv'!S29,Valid!$B$99:$I$120,7), "")</f>
        <v/>
      </c>
      <c r="BX29" s="1539" t="str">
        <f>IFERROR(VLOOKUP(O29,Valid!$B$99:$I$120,8), "")</f>
        <v/>
      </c>
      <c r="BY29" s="894"/>
    </row>
    <row r="30" spans="1:77" ht="6.75" customHeight="1" x14ac:dyDescent="0.2">
      <c r="A30" s="1517"/>
      <c r="B30" s="1530">
        <v>9.5</v>
      </c>
      <c r="C30" s="1540"/>
      <c r="D30" s="905"/>
      <c r="E30" s="1541"/>
      <c r="F30" s="905"/>
      <c r="G30" s="905"/>
      <c r="H30" s="905"/>
      <c r="I30" s="1534"/>
      <c r="J30" s="905"/>
      <c r="K30" s="1534"/>
      <c r="L30" s="905"/>
      <c r="M30" s="1534"/>
      <c r="N30" s="1531"/>
      <c r="O30" s="1542"/>
      <c r="P30" s="905"/>
      <c r="Q30" s="1542"/>
      <c r="R30" s="905"/>
      <c r="S30" s="1534" t="str">
        <f t="shared" si="0"/>
        <v/>
      </c>
      <c r="T30" s="905"/>
      <c r="U30" s="1534"/>
      <c r="V30" s="252" t="str">
        <f t="shared" si="1"/>
        <v/>
      </c>
      <c r="W30" s="1534"/>
      <c r="X30" s="905"/>
      <c r="Y30" s="1973" t="str">
        <f t="shared" si="6"/>
        <v/>
      </c>
      <c r="Z30" s="905"/>
      <c r="AA30" s="1985" t="str">
        <f t="shared" si="7"/>
        <v/>
      </c>
      <c r="AB30" s="1531"/>
      <c r="AC30" s="1534"/>
      <c r="AD30" s="1531"/>
      <c r="AE30" s="1534"/>
      <c r="AF30" s="1531"/>
      <c r="AG30" s="1534"/>
      <c r="AH30" s="1531"/>
      <c r="AI30" s="1543"/>
      <c r="AJ30" s="1531"/>
      <c r="AK30" s="1534"/>
      <c r="AL30" s="1531"/>
      <c r="AM30" s="1531"/>
      <c r="AN30" s="1531"/>
      <c r="AO30" s="1531"/>
      <c r="AP30" s="1531"/>
      <c r="AQ30" s="1535"/>
      <c r="AR30" s="1534"/>
      <c r="AS30" s="1535"/>
      <c r="AT30" s="1534"/>
      <c r="AU30" s="1535"/>
      <c r="AV30" s="1534"/>
      <c r="AW30" s="1535"/>
      <c r="AX30" s="1534"/>
      <c r="AY30" s="1535"/>
      <c r="AZ30" s="1534"/>
      <c r="BA30" s="1535"/>
      <c r="BB30" s="1534"/>
      <c r="BC30" s="1535"/>
      <c r="BD30" s="1534"/>
      <c r="BE30" s="1535"/>
      <c r="BF30" s="1534"/>
      <c r="BG30" s="1535"/>
      <c r="BH30" s="1534"/>
      <c r="BI30" s="1535"/>
      <c r="BJ30" s="1534"/>
      <c r="BK30" s="1535"/>
      <c r="BL30" s="1535"/>
      <c r="BM30" s="1531"/>
      <c r="BN30" s="898" t="str">
        <f t="shared" si="2"/>
        <v/>
      </c>
      <c r="BO30" s="898" t="str">
        <f>IFERROR(IF(AND(O30="",O30&lt;&gt;""),1913,VLOOKUP(O30,Valid!$B$99:$J$120,9)),"")</f>
        <v/>
      </c>
      <c r="BP30" s="898" t="str">
        <f t="shared" ca="1" si="3"/>
        <v/>
      </c>
      <c r="BQ30" s="1547" t="str">
        <f t="shared" ca="1" si="8"/>
        <v/>
      </c>
      <c r="BR30" s="898"/>
      <c r="BS30" s="898" t="str">
        <f t="shared" si="4"/>
        <v/>
      </c>
      <c r="BT30" s="898" t="str">
        <f t="shared" si="5"/>
        <v/>
      </c>
      <c r="BU30" s="1539" t="str">
        <f>IFERROR(IF(AND(#REF!="",C30&lt;&gt;""),Valid!$E$123,VLOOKUP(#REF!,Valid!$B$123:$F$125,4,FALSE)),"")</f>
        <v/>
      </c>
      <c r="BV30" s="1539" t="str">
        <f>IFERROR(IF(AND(#REF!="",C30&lt;&gt;""),Valid!$F$123,VLOOKUP(#REF!,Valid!$B$123:$F$125,5,FALSE)),"")</f>
        <v/>
      </c>
      <c r="BW30" s="1539" t="str">
        <f>IFERROR(VLOOKUP('A-70 RevVehInv'!S30,Valid!$B$99:$I$120,7), "")</f>
        <v/>
      </c>
      <c r="BX30" s="1539" t="str">
        <f>IFERROR(VLOOKUP(O30,Valid!$B$99:$I$120,8), "")</f>
        <v/>
      </c>
      <c r="BY30" s="1531"/>
    </row>
    <row r="31" spans="1:77" s="930" customFormat="1" x14ac:dyDescent="0.2">
      <c r="A31" s="206">
        <v>10</v>
      </c>
      <c r="B31" s="1530">
        <v>10</v>
      </c>
      <c r="C31" s="933"/>
      <c r="D31" s="719" t="str">
        <f>IF(C29="","",IF((C31=""),"Enter RVI ID. then Fill in Columns "&amp;TEXT($I$2,0)&amp;" - "&amp;TEXT($AI$2,0)&amp;"       ",""))</f>
        <v/>
      </c>
      <c r="E31" s="1056" t="str">
        <f>IF(AP31="N/A","",AP31)</f>
        <v/>
      </c>
      <c r="F31" s="1536"/>
      <c r="G31" s="1536"/>
      <c r="H31" s="1536"/>
      <c r="I31" s="1023"/>
      <c r="J31" s="1536" t="str">
        <f>IF(E31&lt;&gt;"","Vehicles?    ","")</f>
        <v/>
      </c>
      <c r="K31" s="1023"/>
      <c r="L31" s="1536" t="str">
        <f>IF(E31&lt;&gt;"","Active Vehicles?     ","")</f>
        <v/>
      </c>
      <c r="M31" s="1023"/>
      <c r="N31" s="894"/>
      <c r="O31" s="1153"/>
      <c r="P31" s="252" t="str">
        <f>IF(E31&lt;&gt;"","Select from Pull-Down List    ","")</f>
        <v/>
      </c>
      <c r="Q31" s="933"/>
      <c r="R31" s="252" t="str">
        <f>IF(E31&lt;&gt;"","Select from Pull-Down List    ","")</f>
        <v/>
      </c>
      <c r="S31" s="1766" t="str">
        <f t="shared" si="0"/>
        <v/>
      </c>
      <c r="T31" s="252"/>
      <c r="U31" s="1988"/>
      <c r="V31" s="252" t="str">
        <f t="shared" si="1"/>
        <v/>
      </c>
      <c r="W31" s="139"/>
      <c r="X31" s="252" t="str">
        <f>IF(E31&lt;&gt;"","Mfg. Yr?    ","")</f>
        <v/>
      </c>
      <c r="Y31" s="1974" t="str">
        <f t="shared" si="6"/>
        <v/>
      </c>
      <c r="Z31" s="252"/>
      <c r="AA31" s="1986" t="str">
        <f t="shared" si="7"/>
        <v/>
      </c>
      <c r="AB31" s="252" t="str">
        <f>IF(E31&lt;&gt;"","Select from Pull-Down List    ","")</f>
        <v/>
      </c>
      <c r="AC31" s="1023"/>
      <c r="AD31" s="252" t="str">
        <f>IF(E31&lt;&gt;"","Feet?    ","")</f>
        <v/>
      </c>
      <c r="AE31" s="1023"/>
      <c r="AF31" s="252" t="str">
        <f>IF(E31&lt;&gt;"","Mileage?       ","")</f>
        <v/>
      </c>
      <c r="AG31" s="1023"/>
      <c r="AH31" s="252" t="str">
        <f>IF(E31&lt;&gt;"","Avg. Lifetime Mileage? ","")</f>
        <v/>
      </c>
      <c r="AI31" s="933"/>
      <c r="AJ31" s="252" t="str">
        <f>IF(E31&lt;&gt;"","Select from Pull-Down List    ","")</f>
        <v/>
      </c>
      <c r="AK31" s="171"/>
      <c r="AL31" s="252"/>
      <c r="AM31" s="894"/>
      <c r="AN31" s="894"/>
      <c r="AO31" s="894" t="b">
        <f>IF(AND(C31="",C33&lt;&gt;""),TRUE,FALSE)</f>
        <v>0</v>
      </c>
      <c r="AP31" s="888" t="str">
        <f t="shared" ref="AP31" si="41">IF(AND(C31&lt;&gt;"",OR(I31="",K31="",M31="",O31="",Q31="",W31="",AC31="",AE31="",AG31="")),"No",IF(AND(C31="",OR(I31&lt;&gt;"",K31&lt;&gt;"",M31&lt;&gt;"",O31&lt;&gt;"",Q31&lt;&gt;"",W31&lt;&gt;"",AC31&lt;&gt;"",AE31&lt;&gt;"",AG31&lt;&gt;"",AI31&lt;&gt;"",AK31&lt;&gt;"")),"No",IF(AND(C31="",I31="",K31="",M31="",O31="",Q31="",W31="",AC31="",AE31="",AG31="",AI31=""),"N/A","Yes")))</f>
        <v>N/A</v>
      </c>
      <c r="AQ31" s="898"/>
      <c r="AR31" s="899" t="b">
        <f t="shared" ref="AR31" si="42">IF(AND(OR(I31&lt;&gt;"",K31&lt;&gt;"",M31&lt;&gt;"",O31&lt;&gt;"",Q31&lt;&gt;"",W31&lt;&gt;"",AC31&lt;&gt;"",AE31&lt;&gt;"",AG31&lt;&gt;"",AI31&lt;&gt;"",AK31&lt;&gt;""),C31=""),TRUE,FALSE)</f>
        <v>0</v>
      </c>
      <c r="AS31" s="898" t="b">
        <f t="shared" ref="AS31" si="43">IF(AT31=TRUE,FALSE,IF(SUM(K31)&gt;I31,TRUE,FALSE))</f>
        <v>0</v>
      </c>
      <c r="AT31" s="899" t="b">
        <f>IF(AND(C31&lt;&gt;"",I31=""),TRUE,FALSE)</f>
        <v>0</v>
      </c>
      <c r="AU31" s="898" t="b">
        <f>IF(AV31=TRUE,FALSE,IF(M31&gt;K31,TRUE,FALSE))</f>
        <v>0</v>
      </c>
      <c r="AV31" s="899" t="b">
        <f>IF(AND($C31&lt;&gt;"",K31=""),TRUE,FALSE)</f>
        <v>0</v>
      </c>
      <c r="AW31" s="898"/>
      <c r="AX31" s="899" t="b">
        <f>IF(AND($C31&lt;&gt;"",M31=""),TRUE,FALSE)</f>
        <v>0</v>
      </c>
      <c r="AY31" s="898" t="b">
        <f t="shared" ref="AY31" si="44">IF(AND(O31="",OR(Q31&lt;&gt;"",W31&lt;&gt;"",AC31&lt;&gt;"",AE31&lt;&gt;"",AG31&lt;&gt;"",AI31&lt;&gt;"")),TRUE,FALSE)</f>
        <v>0</v>
      </c>
      <c r="AZ31" s="899" t="b">
        <f>IF(AND($C31&lt;&gt;"",O31=""),TRUE,FALSE)</f>
        <v>0</v>
      </c>
      <c r="BA31" s="898"/>
      <c r="BB31" s="899" t="b">
        <f>IF(AND($C31&lt;&gt;"",Q31=""),TRUE,FALSE)</f>
        <v>0</v>
      </c>
      <c r="BC31" s="1537" t="b">
        <f>IF(BD31=TRUE,FALSE,IF(W31="",FALSE,IF(OR(W31&lt;BO31,W31&gt;BaseYear),TRUE,FALSE)))</f>
        <v>0</v>
      </c>
      <c r="BD31" s="899" t="b">
        <f>IF(AND($C31&lt;&gt;"",W31=""),TRUE,FALSE)</f>
        <v>0</v>
      </c>
      <c r="BE31" s="1537"/>
      <c r="BF31" s="899" t="b">
        <f>IF(AND($C31&lt;&gt;"",AC31=""),TRUE,FALSE)</f>
        <v>0</v>
      </c>
      <c r="BG31" s="898"/>
      <c r="BH31" s="899" t="b">
        <f>IF(AND($C31&lt;&gt;"",AE31=""),TRUE,FALSE)</f>
        <v>0</v>
      </c>
      <c r="BI31" s="898"/>
      <c r="BJ31" s="899" t="b">
        <f>IF(AND($C31&lt;&gt;"",AG31=""),TRUE,FALSE)</f>
        <v>0</v>
      </c>
      <c r="BK31" s="898"/>
      <c r="BL31" s="898" t="b">
        <f>IF(AND($C31&lt;&gt;"",AI31=""),TRUE,FALSE)</f>
        <v>0</v>
      </c>
      <c r="BM31" s="894"/>
      <c r="BN31" s="898" t="str">
        <f t="shared" si="2"/>
        <v/>
      </c>
      <c r="BO31" s="898" t="str">
        <f>IFERROR(IF(AND(O31="",O31&lt;&gt;""),1913,VLOOKUP(O31,Valid!$B$99:$J$120,9)),"")</f>
        <v/>
      </c>
      <c r="BP31" s="898" t="str">
        <f t="shared" ca="1" si="3"/>
        <v/>
      </c>
      <c r="BQ31" s="1547" t="str">
        <f t="shared" ca="1" si="8"/>
        <v/>
      </c>
      <c r="BR31" s="898" t="str">
        <f ca="1">IF(BQ31="", "", IF(1+(BQ31*4)&lt;1, 1, 1+(BQ31*4)))</f>
        <v/>
      </c>
      <c r="BS31" s="898" t="str">
        <f t="shared" si="4"/>
        <v/>
      </c>
      <c r="BT31" s="898" t="str">
        <f t="shared" si="5"/>
        <v/>
      </c>
      <c r="BU31" s="1539" t="str">
        <f>IFERROR(IF(AND(#REF!="",C31&lt;&gt;""),Valid!$E$123,VLOOKUP(#REF!,Valid!$B$123:$F$125,4,FALSE)),"")</f>
        <v/>
      </c>
      <c r="BV31" s="1539" t="str">
        <f>IFERROR(IF(AND(#REF!="",C31&lt;&gt;""),Valid!$F$123,VLOOKUP(#REF!,Valid!$B$123:$F$125,5,FALSE)),"")</f>
        <v/>
      </c>
      <c r="BW31" s="1539" t="str">
        <f>IFERROR(VLOOKUP('A-70 RevVehInv'!S31,Valid!$B$99:$I$120,7), "")</f>
        <v/>
      </c>
      <c r="BX31" s="1539" t="str">
        <f>IFERROR(VLOOKUP(O31,Valid!$B$99:$I$120,8), "")</f>
        <v/>
      </c>
      <c r="BY31" s="894"/>
    </row>
    <row r="32" spans="1:77" ht="6.75" customHeight="1" x14ac:dyDescent="0.2">
      <c r="A32" s="1517"/>
      <c r="B32" s="1530">
        <v>10.5</v>
      </c>
      <c r="C32" s="1544"/>
      <c r="D32" s="905"/>
      <c r="E32" s="1545"/>
      <c r="F32" s="905"/>
      <c r="G32" s="905"/>
      <c r="H32" s="905"/>
      <c r="I32" s="1531"/>
      <c r="J32" s="905"/>
      <c r="K32" s="1531"/>
      <c r="L32" s="905"/>
      <c r="M32" s="1531"/>
      <c r="N32" s="1531"/>
      <c r="O32" s="1533"/>
      <c r="P32" s="905"/>
      <c r="Q32" s="1533"/>
      <c r="R32" s="905"/>
      <c r="S32" s="1531" t="str">
        <f t="shared" si="0"/>
        <v/>
      </c>
      <c r="T32" s="905"/>
      <c r="U32" s="1531"/>
      <c r="V32" s="252" t="str">
        <f t="shared" si="1"/>
        <v/>
      </c>
      <c r="W32" s="1531"/>
      <c r="X32" s="905"/>
      <c r="Y32" s="1971" t="str">
        <f t="shared" si="6"/>
        <v/>
      </c>
      <c r="Z32" s="905"/>
      <c r="AA32" s="1983" t="str">
        <f t="shared" si="7"/>
        <v/>
      </c>
      <c r="AB32" s="1531"/>
      <c r="AC32" s="1531"/>
      <c r="AD32" s="1531"/>
      <c r="AE32" s="1531"/>
      <c r="AF32" s="1531"/>
      <c r="AG32" s="1534"/>
      <c r="AH32" s="1531"/>
      <c r="AI32" s="1546"/>
      <c r="AJ32" s="1531"/>
      <c r="AK32" s="1531"/>
      <c r="AL32" s="1531"/>
      <c r="AM32" s="1531"/>
      <c r="AN32" s="1531"/>
      <c r="AO32" s="1531"/>
      <c r="AP32" s="1531"/>
      <c r="AQ32" s="1535"/>
      <c r="AR32" s="1534"/>
      <c r="AS32" s="1535"/>
      <c r="AT32" s="1534"/>
      <c r="AU32" s="1535"/>
      <c r="AV32" s="1534"/>
      <c r="AW32" s="1535"/>
      <c r="AX32" s="1534"/>
      <c r="AY32" s="1535"/>
      <c r="AZ32" s="1534"/>
      <c r="BA32" s="1535"/>
      <c r="BB32" s="1534"/>
      <c r="BC32" s="1535"/>
      <c r="BD32" s="1534"/>
      <c r="BE32" s="1535"/>
      <c r="BF32" s="1534"/>
      <c r="BG32" s="1535"/>
      <c r="BH32" s="1534"/>
      <c r="BI32" s="1535"/>
      <c r="BJ32" s="1534"/>
      <c r="BK32" s="1535"/>
      <c r="BL32" s="1535"/>
      <c r="BM32" s="1531"/>
      <c r="BN32" s="898" t="str">
        <f t="shared" si="2"/>
        <v/>
      </c>
      <c r="BO32" s="898" t="str">
        <f>IFERROR(IF(AND(O32="",O32&lt;&gt;""),1913,VLOOKUP(O32,Valid!$B$99:$J$120,9)),"")</f>
        <v/>
      </c>
      <c r="BP32" s="898" t="str">
        <f t="shared" ca="1" si="3"/>
        <v/>
      </c>
      <c r="BQ32" s="1547" t="str">
        <f t="shared" ca="1" si="8"/>
        <v/>
      </c>
      <c r="BR32" s="898"/>
      <c r="BS32" s="898" t="str">
        <f t="shared" si="4"/>
        <v/>
      </c>
      <c r="BT32" s="898" t="str">
        <f t="shared" si="5"/>
        <v/>
      </c>
      <c r="BU32" s="1539" t="str">
        <f>IFERROR(IF(AND(#REF!="",C32&lt;&gt;""),Valid!$E$123,VLOOKUP(#REF!,Valid!$B$123:$F$125,4,FALSE)),"")</f>
        <v/>
      </c>
      <c r="BV32" s="1539" t="str">
        <f>IFERROR(IF(AND(#REF!="",C32&lt;&gt;""),Valid!$F$123,VLOOKUP(#REF!,Valid!$B$123:$F$125,5,FALSE)),"")</f>
        <v/>
      </c>
      <c r="BW32" s="1539" t="str">
        <f>IFERROR(VLOOKUP('A-70 RevVehInv'!S32,Valid!$B$99:$I$120,7), "")</f>
        <v/>
      </c>
      <c r="BX32" s="1539" t="str">
        <f>IFERROR(VLOOKUP(O32,Valid!$B$99:$I$120,8), "")</f>
        <v/>
      </c>
      <c r="BY32" s="1531"/>
    </row>
    <row r="33" spans="1:77" s="930" customFormat="1" x14ac:dyDescent="0.2">
      <c r="A33" s="206">
        <v>11</v>
      </c>
      <c r="B33" s="1530">
        <v>11</v>
      </c>
      <c r="C33" s="933"/>
      <c r="D33" s="719" t="str">
        <f>IF(C31="","",IF((C33=""),"Enter RVI ID. then Fill in Columns "&amp;TEXT($I$2,0)&amp;" - "&amp;TEXT($AI$2,0)&amp;"       ",""))</f>
        <v/>
      </c>
      <c r="E33" s="1056" t="str">
        <f>IF(AP33="N/A","",AP33)</f>
        <v/>
      </c>
      <c r="F33" s="1536"/>
      <c r="G33" s="1536"/>
      <c r="H33" s="1536"/>
      <c r="I33" s="1023"/>
      <c r="J33" s="1536" t="str">
        <f>IF(E33&lt;&gt;"","Vehicles?    ","")</f>
        <v/>
      </c>
      <c r="K33" s="1023"/>
      <c r="L33" s="1536" t="str">
        <f>IF(E33&lt;&gt;"","Active Vehicles?     ","")</f>
        <v/>
      </c>
      <c r="M33" s="1023"/>
      <c r="N33" s="894"/>
      <c r="O33" s="1153"/>
      <c r="P33" s="252" t="str">
        <f>IF(E33&lt;&gt;"","Select from Pull-Down List    ","")</f>
        <v/>
      </c>
      <c r="Q33" s="933"/>
      <c r="R33" s="252" t="str">
        <f>IF(E33&lt;&gt;"","Select from Pull-Down List    ","")</f>
        <v/>
      </c>
      <c r="S33" s="1766" t="str">
        <f t="shared" si="0"/>
        <v/>
      </c>
      <c r="T33" s="252"/>
      <c r="U33" s="1988"/>
      <c r="V33" s="252" t="str">
        <f t="shared" si="1"/>
        <v/>
      </c>
      <c r="W33" s="139"/>
      <c r="X33" s="252" t="str">
        <f>IF(E33&lt;&gt;"","Mfg. Yr?    ","")</f>
        <v/>
      </c>
      <c r="Y33" s="1974" t="str">
        <f t="shared" si="6"/>
        <v/>
      </c>
      <c r="Z33" s="252"/>
      <c r="AA33" s="1986" t="str">
        <f t="shared" si="7"/>
        <v/>
      </c>
      <c r="AB33" s="252" t="str">
        <f>IF(E33&lt;&gt;"","Select from Pull-Down List    ","")</f>
        <v/>
      </c>
      <c r="AC33" s="1023"/>
      <c r="AD33" s="252" t="str">
        <f>IF(E33&lt;&gt;"","Feet?    ","")</f>
        <v/>
      </c>
      <c r="AE33" s="1023"/>
      <c r="AF33" s="252" t="str">
        <f>IF(E33&lt;&gt;"","Mileage?       ","")</f>
        <v/>
      </c>
      <c r="AG33" s="1023"/>
      <c r="AH33" s="252" t="str">
        <f>IF(E33&lt;&gt;"","Avg. Lifetime Mileage? ","")</f>
        <v/>
      </c>
      <c r="AI33" s="933"/>
      <c r="AJ33" s="252" t="str">
        <f>IF(E33&lt;&gt;"","Select from Pull-Down List    ","")</f>
        <v/>
      </c>
      <c r="AK33" s="171"/>
      <c r="AL33" s="252"/>
      <c r="AM33" s="894"/>
      <c r="AN33" s="894"/>
      <c r="AO33" s="894" t="b">
        <f>IF(AND(C33="",C35&lt;&gt;""),TRUE,FALSE)</f>
        <v>0</v>
      </c>
      <c r="AP33" s="888" t="str">
        <f t="shared" ref="AP33" si="45">IF(AND(C33&lt;&gt;"",OR(I33="",K33="",M33="",O33="",Q33="",W33="",AC33="",AE33="",AG33="")),"No",IF(AND(C33="",OR(I33&lt;&gt;"",K33&lt;&gt;"",M33&lt;&gt;"",O33&lt;&gt;"",Q33&lt;&gt;"",W33&lt;&gt;"",AC33&lt;&gt;"",AE33&lt;&gt;"",AG33&lt;&gt;"",AI33&lt;&gt;"",AK33&lt;&gt;"")),"No",IF(AND(C33="",I33="",K33="",M33="",O33="",Q33="",W33="",AC33="",AE33="",AG33="",AI33=""),"N/A","Yes")))</f>
        <v>N/A</v>
      </c>
      <c r="AQ33" s="898"/>
      <c r="AR33" s="899" t="b">
        <f t="shared" ref="AR33" si="46">IF(AND(OR(I33&lt;&gt;"",K33&lt;&gt;"",M33&lt;&gt;"",O33&lt;&gt;"",Q33&lt;&gt;"",W33&lt;&gt;"",AC33&lt;&gt;"",AE33&lt;&gt;"",AG33&lt;&gt;"",AI33&lt;&gt;"",AK33&lt;&gt;""),C33=""),TRUE,FALSE)</f>
        <v>0</v>
      </c>
      <c r="AS33" s="898" t="b">
        <f t="shared" ref="AS33" si="47">IF(AT33=TRUE,FALSE,IF(SUM(K33)&gt;I33,TRUE,FALSE))</f>
        <v>0</v>
      </c>
      <c r="AT33" s="899" t="b">
        <f>IF(AND(C33&lt;&gt;"",I33=""),TRUE,FALSE)</f>
        <v>0</v>
      </c>
      <c r="AU33" s="898" t="b">
        <f>IF(AV33=TRUE,FALSE,IF(M33&gt;K33,TRUE,FALSE))</f>
        <v>0</v>
      </c>
      <c r="AV33" s="899" t="b">
        <f>IF(AND($C33&lt;&gt;"",K33=""),TRUE,FALSE)</f>
        <v>0</v>
      </c>
      <c r="AW33" s="898"/>
      <c r="AX33" s="899" t="b">
        <f>IF(AND($C33&lt;&gt;"",M33=""),TRUE,FALSE)</f>
        <v>0</v>
      </c>
      <c r="AY33" s="898" t="b">
        <f t="shared" ref="AY33" si="48">IF(AND(O33="",OR(Q33&lt;&gt;"",W33&lt;&gt;"",AC33&lt;&gt;"",AE33&lt;&gt;"",AG33&lt;&gt;"",AI33&lt;&gt;"")),TRUE,FALSE)</f>
        <v>0</v>
      </c>
      <c r="AZ33" s="899" t="b">
        <f>IF(AND($C33&lt;&gt;"",O33=""),TRUE,FALSE)</f>
        <v>0</v>
      </c>
      <c r="BA33" s="898"/>
      <c r="BB33" s="899" t="b">
        <f>IF(AND($C33&lt;&gt;"",Q33=""),TRUE,FALSE)</f>
        <v>0</v>
      </c>
      <c r="BC33" s="1537" t="b">
        <f>IF(BD33=TRUE,FALSE,IF(W33="",FALSE,IF(OR(W33&lt;BO33,W33&gt;BaseYear),TRUE,FALSE)))</f>
        <v>0</v>
      </c>
      <c r="BD33" s="899" t="b">
        <f>IF(AND($C33&lt;&gt;"",W33=""),TRUE,FALSE)</f>
        <v>0</v>
      </c>
      <c r="BE33" s="1537"/>
      <c r="BF33" s="899" t="b">
        <f>IF(AND($C33&lt;&gt;"",AC33=""),TRUE,FALSE)</f>
        <v>0</v>
      </c>
      <c r="BG33" s="898"/>
      <c r="BH33" s="899" t="b">
        <f>IF(AND($C33&lt;&gt;"",AE33=""),TRUE,FALSE)</f>
        <v>0</v>
      </c>
      <c r="BI33" s="898"/>
      <c r="BJ33" s="899" t="b">
        <f>IF(AND($C33&lt;&gt;"",AG33=""),TRUE,FALSE)</f>
        <v>0</v>
      </c>
      <c r="BK33" s="898"/>
      <c r="BL33" s="898" t="b">
        <f>IF(AND($C33&lt;&gt;"",AI33=""),TRUE,FALSE)</f>
        <v>0</v>
      </c>
      <c r="BM33" s="894"/>
      <c r="BN33" s="898" t="str">
        <f t="shared" si="2"/>
        <v/>
      </c>
      <c r="BO33" s="898" t="str">
        <f>IFERROR(IF(AND(O33="",O33&lt;&gt;""),1913,VLOOKUP(O33,Valid!$B$99:$J$120,9)),"")</f>
        <v/>
      </c>
      <c r="BP33" s="898" t="str">
        <f t="shared" ca="1" si="3"/>
        <v/>
      </c>
      <c r="BQ33" s="1547" t="str">
        <f t="shared" ca="1" si="8"/>
        <v/>
      </c>
      <c r="BR33" s="898" t="str">
        <f ca="1">IF(BQ33="", "", IF(1+(BQ33*4)&lt;1, 1, 1+(BQ33*4)))</f>
        <v/>
      </c>
      <c r="BS33" s="898" t="str">
        <f t="shared" si="4"/>
        <v/>
      </c>
      <c r="BT33" s="898" t="str">
        <f t="shared" si="5"/>
        <v/>
      </c>
      <c r="BU33" s="1539" t="str">
        <f>IFERROR(IF(AND(#REF!="",C33&lt;&gt;""),Valid!$E$123,VLOOKUP(#REF!,Valid!$B$123:$F$125,4,FALSE)),"")</f>
        <v/>
      </c>
      <c r="BV33" s="1539" t="str">
        <f>IFERROR(IF(AND(#REF!="",C33&lt;&gt;""),Valid!$F$123,VLOOKUP(#REF!,Valid!$B$123:$F$125,5,FALSE)),"")</f>
        <v/>
      </c>
      <c r="BW33" s="1539" t="str">
        <f>IFERROR(VLOOKUP('A-70 RevVehInv'!S33,Valid!$B$99:$I$120,7), "")</f>
        <v/>
      </c>
      <c r="BX33" s="1539" t="str">
        <f>IFERROR(VLOOKUP(O33,Valid!$B$99:$I$120,8), "")</f>
        <v/>
      </c>
      <c r="BY33" s="894"/>
    </row>
    <row r="34" spans="1:77" ht="6.75" customHeight="1" x14ac:dyDescent="0.2">
      <c r="A34" s="1516"/>
      <c r="B34" s="1530">
        <v>11.5</v>
      </c>
      <c r="C34" s="1540"/>
      <c r="D34" s="905"/>
      <c r="E34" s="1541"/>
      <c r="F34" s="905"/>
      <c r="G34" s="905"/>
      <c r="H34" s="905"/>
      <c r="I34" s="1534"/>
      <c r="J34" s="905"/>
      <c r="K34" s="1534"/>
      <c r="L34" s="905"/>
      <c r="M34" s="1534"/>
      <c r="N34" s="1531"/>
      <c r="O34" s="1542"/>
      <c r="P34" s="905"/>
      <c r="Q34" s="1542"/>
      <c r="R34" s="905"/>
      <c r="S34" s="1534" t="str">
        <f t="shared" si="0"/>
        <v/>
      </c>
      <c r="T34" s="905"/>
      <c r="U34" s="1534"/>
      <c r="V34" s="252" t="str">
        <f t="shared" si="1"/>
        <v/>
      </c>
      <c r="W34" s="1534"/>
      <c r="X34" s="905"/>
      <c r="Y34" s="1973" t="str">
        <f t="shared" si="6"/>
        <v/>
      </c>
      <c r="Z34" s="905"/>
      <c r="AA34" s="1985" t="str">
        <f t="shared" si="7"/>
        <v/>
      </c>
      <c r="AB34" s="1531"/>
      <c r="AC34" s="1534"/>
      <c r="AD34" s="1531"/>
      <c r="AE34" s="1534"/>
      <c r="AF34" s="1531"/>
      <c r="AG34" s="1534"/>
      <c r="AH34" s="1531"/>
      <c r="AI34" s="1543"/>
      <c r="AJ34" s="1531"/>
      <c r="AK34" s="1534"/>
      <c r="AL34" s="1531"/>
      <c r="AM34" s="1531"/>
      <c r="AN34" s="1531"/>
      <c r="AO34" s="1531"/>
      <c r="AP34" s="1531"/>
      <c r="AQ34" s="1535"/>
      <c r="AR34" s="1534"/>
      <c r="AS34" s="1535"/>
      <c r="AT34" s="1534"/>
      <c r="AU34" s="1535"/>
      <c r="AV34" s="1534"/>
      <c r="AW34" s="1535"/>
      <c r="AX34" s="1534"/>
      <c r="AY34" s="1535"/>
      <c r="AZ34" s="1534"/>
      <c r="BA34" s="1535"/>
      <c r="BB34" s="1534"/>
      <c r="BC34" s="1535"/>
      <c r="BD34" s="1534"/>
      <c r="BE34" s="1535"/>
      <c r="BF34" s="1534"/>
      <c r="BG34" s="1535"/>
      <c r="BH34" s="1534"/>
      <c r="BI34" s="1535"/>
      <c r="BJ34" s="1534"/>
      <c r="BK34" s="1535"/>
      <c r="BL34" s="1535"/>
      <c r="BM34" s="1531"/>
      <c r="BN34" s="898" t="str">
        <f t="shared" si="2"/>
        <v/>
      </c>
      <c r="BO34" s="898" t="str">
        <f>IFERROR(IF(AND(O34="",O34&lt;&gt;""),1913,VLOOKUP(O34,Valid!$B$99:$J$120,9)),"")</f>
        <v/>
      </c>
      <c r="BP34" s="898" t="str">
        <f t="shared" ca="1" si="3"/>
        <v/>
      </c>
      <c r="BQ34" s="1547" t="str">
        <f t="shared" ca="1" si="8"/>
        <v/>
      </c>
      <c r="BR34" s="898"/>
      <c r="BS34" s="898" t="str">
        <f t="shared" si="4"/>
        <v/>
      </c>
      <c r="BT34" s="898" t="str">
        <f t="shared" si="5"/>
        <v/>
      </c>
      <c r="BU34" s="1539" t="str">
        <f>IFERROR(IF(AND(#REF!="",C34&lt;&gt;""),Valid!$E$123,VLOOKUP(#REF!,Valid!$B$123:$F$125,4,FALSE)),"")</f>
        <v/>
      </c>
      <c r="BV34" s="1539" t="str">
        <f>IFERROR(IF(AND(#REF!="",C34&lt;&gt;""),Valid!$F$123,VLOOKUP(#REF!,Valid!$B$123:$F$125,5,FALSE)),"")</f>
        <v/>
      </c>
      <c r="BW34" s="1539" t="str">
        <f>IFERROR(VLOOKUP('A-70 RevVehInv'!S34,Valid!$B$99:$I$120,7), "")</f>
        <v/>
      </c>
      <c r="BX34" s="1539" t="str">
        <f>IFERROR(VLOOKUP(O34,Valid!$B$99:$I$120,8), "")</f>
        <v/>
      </c>
      <c r="BY34" s="1531"/>
    </row>
    <row r="35" spans="1:77" s="930" customFormat="1" x14ac:dyDescent="0.2">
      <c r="A35" s="206">
        <v>12</v>
      </c>
      <c r="B35" s="1530">
        <v>12</v>
      </c>
      <c r="C35" s="933"/>
      <c r="D35" s="719" t="str">
        <f>IF(C33="","",IF((C35=""),"Enter RVI ID. then Fill in Columns "&amp;TEXT($I$2,0)&amp;" - "&amp;TEXT($AI$2,0)&amp;"       ",""))</f>
        <v/>
      </c>
      <c r="E35" s="1056" t="str">
        <f>IF(AP35="N/A","",AP35)</f>
        <v/>
      </c>
      <c r="F35" s="1536"/>
      <c r="G35" s="1536"/>
      <c r="H35" s="1536"/>
      <c r="I35" s="1023"/>
      <c r="J35" s="1536" t="str">
        <f>IF(E35&lt;&gt;"","Vehicles?    ","")</f>
        <v/>
      </c>
      <c r="K35" s="1023"/>
      <c r="L35" s="1536" t="str">
        <f>IF(E35&lt;&gt;"","Active Vehicles?     ","")</f>
        <v/>
      </c>
      <c r="M35" s="1023"/>
      <c r="N35" s="894"/>
      <c r="O35" s="1153"/>
      <c r="P35" s="252" t="str">
        <f>IF(E35&lt;&gt;"","Select from Pull-Down List    ","")</f>
        <v/>
      </c>
      <c r="Q35" s="933"/>
      <c r="R35" s="252" t="str">
        <f>IF(E35&lt;&gt;"","Select from Pull-Down List    ","")</f>
        <v/>
      </c>
      <c r="S35" s="1766" t="str">
        <f t="shared" si="0"/>
        <v/>
      </c>
      <c r="T35" s="252"/>
      <c r="U35" s="1988"/>
      <c r="V35" s="252" t="str">
        <f t="shared" si="1"/>
        <v/>
      </c>
      <c r="W35" s="139"/>
      <c r="X35" s="252" t="str">
        <f>IF(E35&lt;&gt;"","Mfg. Yr?    ","")</f>
        <v/>
      </c>
      <c r="Y35" s="1974" t="str">
        <f t="shared" si="6"/>
        <v/>
      </c>
      <c r="Z35" s="252"/>
      <c r="AA35" s="1986" t="str">
        <f t="shared" si="7"/>
        <v/>
      </c>
      <c r="AB35" s="252" t="str">
        <f>IF(E35&lt;&gt;"","Select from Pull-Down List    ","")</f>
        <v/>
      </c>
      <c r="AC35" s="1023"/>
      <c r="AD35" s="252" t="str">
        <f>IF(E35&lt;&gt;"","Feet?    ","")</f>
        <v/>
      </c>
      <c r="AE35" s="1023"/>
      <c r="AF35" s="252" t="str">
        <f>IF(E35&lt;&gt;"","Mileage?       ","")</f>
        <v/>
      </c>
      <c r="AG35" s="1023"/>
      <c r="AH35" s="252" t="str">
        <f>IF(E35&lt;&gt;"","Avg. Lifetime Mileage? ","")</f>
        <v/>
      </c>
      <c r="AI35" s="933"/>
      <c r="AJ35" s="252" t="str">
        <f>IF(E35&lt;&gt;"","Select from Pull-Down List    ","")</f>
        <v/>
      </c>
      <c r="AK35" s="171"/>
      <c r="AL35" s="252"/>
      <c r="AM35" s="894"/>
      <c r="AN35" s="894"/>
      <c r="AO35" s="894" t="b">
        <f>IF(AND(C35="",C37&lt;&gt;""),TRUE,FALSE)</f>
        <v>0</v>
      </c>
      <c r="AP35" s="888" t="str">
        <f t="shared" ref="AP35" si="49">IF(AND(C35&lt;&gt;"",OR(I35="",K35="",M35="",O35="",Q35="",W35="",AC35="",AE35="",AG35="")),"No",IF(AND(C35="",OR(I35&lt;&gt;"",K35&lt;&gt;"",M35&lt;&gt;"",O35&lt;&gt;"",Q35&lt;&gt;"",W35&lt;&gt;"",AC35&lt;&gt;"",AE35&lt;&gt;"",AG35&lt;&gt;"",AI35&lt;&gt;"",AK35&lt;&gt;"")),"No",IF(AND(C35="",I35="",K35="",M35="",O35="",Q35="",W35="",AC35="",AE35="",AG35="",AI35=""),"N/A","Yes")))</f>
        <v>N/A</v>
      </c>
      <c r="AQ35" s="898"/>
      <c r="AR35" s="899" t="b">
        <f t="shared" ref="AR35" si="50">IF(AND(OR(I35&lt;&gt;"",K35&lt;&gt;"",M35&lt;&gt;"",O35&lt;&gt;"",Q35&lt;&gt;"",W35&lt;&gt;"",AC35&lt;&gt;"",AE35&lt;&gt;"",AG35&lt;&gt;"",AI35&lt;&gt;"",AK35&lt;&gt;""),C35=""),TRUE,FALSE)</f>
        <v>0</v>
      </c>
      <c r="AS35" s="898" t="b">
        <f t="shared" ref="AS35" si="51">IF(AT35=TRUE,FALSE,IF(SUM(K35)&gt;I35,TRUE,FALSE))</f>
        <v>0</v>
      </c>
      <c r="AT35" s="899" t="b">
        <f>IF(AND(C35&lt;&gt;"",I35=""),TRUE,FALSE)</f>
        <v>0</v>
      </c>
      <c r="AU35" s="898" t="b">
        <f>IF(AV35=TRUE,FALSE,IF(M35&gt;K35,TRUE,FALSE))</f>
        <v>0</v>
      </c>
      <c r="AV35" s="899" t="b">
        <f>IF(AND($C35&lt;&gt;"",K35=""),TRUE,FALSE)</f>
        <v>0</v>
      </c>
      <c r="AW35" s="898"/>
      <c r="AX35" s="899" t="b">
        <f>IF(AND($C35&lt;&gt;"",M35=""),TRUE,FALSE)</f>
        <v>0</v>
      </c>
      <c r="AY35" s="898" t="b">
        <f t="shared" ref="AY35" si="52">IF(AND(O35="",OR(Q35&lt;&gt;"",W35&lt;&gt;"",AC35&lt;&gt;"",AE35&lt;&gt;"",AG35&lt;&gt;"",AI35&lt;&gt;"")),TRUE,FALSE)</f>
        <v>0</v>
      </c>
      <c r="AZ35" s="899" t="b">
        <f>IF(AND($C35&lt;&gt;"",O35=""),TRUE,FALSE)</f>
        <v>0</v>
      </c>
      <c r="BA35" s="898"/>
      <c r="BB35" s="899" t="b">
        <f>IF(AND($C35&lt;&gt;"",Q35=""),TRUE,FALSE)</f>
        <v>0</v>
      </c>
      <c r="BC35" s="1537" t="b">
        <f>IF(BD35=TRUE,FALSE,IF(W35="",FALSE,IF(OR(W35&lt;BO35,W35&gt;BaseYear),TRUE,FALSE)))</f>
        <v>0</v>
      </c>
      <c r="BD35" s="899" t="b">
        <f>IF(AND($C35&lt;&gt;"",W35=""),TRUE,FALSE)</f>
        <v>0</v>
      </c>
      <c r="BE35" s="1537"/>
      <c r="BF35" s="899" t="b">
        <f>IF(AND($C35&lt;&gt;"",AC35=""),TRUE,FALSE)</f>
        <v>0</v>
      </c>
      <c r="BG35" s="898"/>
      <c r="BH35" s="899" t="b">
        <f>IF(AND($C35&lt;&gt;"",AE35=""),TRUE,FALSE)</f>
        <v>0</v>
      </c>
      <c r="BI35" s="898"/>
      <c r="BJ35" s="899" t="b">
        <f>IF(AND($C35&lt;&gt;"",AG35=""),TRUE,FALSE)</f>
        <v>0</v>
      </c>
      <c r="BK35" s="898"/>
      <c r="BL35" s="898" t="b">
        <f>IF(AND($C35&lt;&gt;"",AI35=""),TRUE,FALSE)</f>
        <v>0</v>
      </c>
      <c r="BM35" s="894"/>
      <c r="BN35" s="898" t="str">
        <f t="shared" si="2"/>
        <v/>
      </c>
      <c r="BO35" s="898" t="str">
        <f>IFERROR(IF(AND(O35="",O35&lt;&gt;""),1913,VLOOKUP(O35,Valid!$B$99:$J$120,9)),"")</f>
        <v/>
      </c>
      <c r="BP35" s="898" t="str">
        <f t="shared" ca="1" si="3"/>
        <v/>
      </c>
      <c r="BQ35" s="1547" t="str">
        <f t="shared" ca="1" si="8"/>
        <v/>
      </c>
      <c r="BR35" s="898" t="str">
        <f ca="1">IF(BQ35="", "", IF(1+(BQ35*4)&lt;1, 1, 1+(BQ35*4)))</f>
        <v/>
      </c>
      <c r="BS35" s="898" t="str">
        <f t="shared" si="4"/>
        <v/>
      </c>
      <c r="BT35" s="898" t="str">
        <f t="shared" si="5"/>
        <v/>
      </c>
      <c r="BU35" s="1539" t="str">
        <f>IFERROR(IF(AND(#REF!="",C35&lt;&gt;""),Valid!$E$123,VLOOKUP(#REF!,Valid!$B$123:$F$125,4,FALSE)),"")</f>
        <v/>
      </c>
      <c r="BV35" s="1539" t="str">
        <f>IFERROR(IF(AND(#REF!="",C35&lt;&gt;""),Valid!$F$123,VLOOKUP(#REF!,Valid!$B$123:$F$125,5,FALSE)),"")</f>
        <v/>
      </c>
      <c r="BW35" s="1539" t="str">
        <f>IFERROR(VLOOKUP('A-70 RevVehInv'!S35,Valid!$B$99:$I$120,7), "")</f>
        <v/>
      </c>
      <c r="BX35" s="1539" t="str">
        <f>IFERROR(VLOOKUP(O35,Valid!$B$99:$I$120,8), "")</f>
        <v/>
      </c>
      <c r="BY35" s="894"/>
    </row>
    <row r="36" spans="1:77" ht="6.75" customHeight="1" x14ac:dyDescent="0.2">
      <c r="A36" s="1516"/>
      <c r="B36" s="1530">
        <v>12.5</v>
      </c>
      <c r="C36" s="1544"/>
      <c r="D36" s="905"/>
      <c r="E36" s="1545"/>
      <c r="F36" s="905"/>
      <c r="G36" s="905"/>
      <c r="H36" s="905"/>
      <c r="I36" s="1531"/>
      <c r="J36" s="905"/>
      <c r="K36" s="1531"/>
      <c r="L36" s="905"/>
      <c r="M36" s="1531"/>
      <c r="N36" s="1531"/>
      <c r="O36" s="1533"/>
      <c r="P36" s="905"/>
      <c r="Q36" s="1533"/>
      <c r="R36" s="905"/>
      <c r="S36" s="1531" t="str">
        <f t="shared" si="0"/>
        <v/>
      </c>
      <c r="T36" s="905"/>
      <c r="U36" s="1531"/>
      <c r="V36" s="252" t="str">
        <f t="shared" si="1"/>
        <v/>
      </c>
      <c r="W36" s="1531"/>
      <c r="X36" s="905"/>
      <c r="Y36" s="1971" t="str">
        <f t="shared" si="6"/>
        <v/>
      </c>
      <c r="Z36" s="905"/>
      <c r="AA36" s="1983" t="str">
        <f t="shared" si="7"/>
        <v/>
      </c>
      <c r="AB36" s="1531"/>
      <c r="AC36" s="1531"/>
      <c r="AD36" s="1531"/>
      <c r="AE36" s="1531"/>
      <c r="AF36" s="1531"/>
      <c r="AG36" s="1534"/>
      <c r="AH36" s="1531"/>
      <c r="AI36" s="1546"/>
      <c r="AJ36" s="1531"/>
      <c r="AK36" s="1531"/>
      <c r="AL36" s="1531"/>
      <c r="AM36" s="1531"/>
      <c r="AN36" s="1531"/>
      <c r="AO36" s="1531"/>
      <c r="AP36" s="1531"/>
      <c r="AQ36" s="1535"/>
      <c r="AR36" s="1534"/>
      <c r="AS36" s="1535"/>
      <c r="AT36" s="1534"/>
      <c r="AU36" s="1535"/>
      <c r="AV36" s="1534"/>
      <c r="AW36" s="1535"/>
      <c r="AX36" s="1534"/>
      <c r="AY36" s="1535"/>
      <c r="AZ36" s="1534"/>
      <c r="BA36" s="1535"/>
      <c r="BB36" s="1534"/>
      <c r="BC36" s="1535"/>
      <c r="BD36" s="1534"/>
      <c r="BE36" s="1535"/>
      <c r="BF36" s="1534"/>
      <c r="BG36" s="1535"/>
      <c r="BH36" s="1534"/>
      <c r="BI36" s="1535"/>
      <c r="BJ36" s="1534"/>
      <c r="BK36" s="1535"/>
      <c r="BL36" s="1535"/>
      <c r="BM36" s="1531"/>
      <c r="BN36" s="898" t="str">
        <f t="shared" si="2"/>
        <v/>
      </c>
      <c r="BO36" s="898" t="str">
        <f>IFERROR(IF(AND(O36="",O36&lt;&gt;""),1913,VLOOKUP(O36,Valid!$B$99:$J$120,9)),"")</f>
        <v/>
      </c>
      <c r="BP36" s="898" t="str">
        <f t="shared" ca="1" si="3"/>
        <v/>
      </c>
      <c r="BQ36" s="1547" t="str">
        <f t="shared" ca="1" si="8"/>
        <v/>
      </c>
      <c r="BR36" s="898"/>
      <c r="BS36" s="898" t="str">
        <f t="shared" si="4"/>
        <v/>
      </c>
      <c r="BT36" s="898" t="str">
        <f t="shared" si="5"/>
        <v/>
      </c>
      <c r="BU36" s="1539" t="str">
        <f>IFERROR(IF(AND(#REF!="",C36&lt;&gt;""),Valid!$E$123,VLOOKUP(#REF!,Valid!$B$123:$F$125,4,FALSE)),"")</f>
        <v/>
      </c>
      <c r="BV36" s="1539" t="str">
        <f>IFERROR(IF(AND(#REF!="",C36&lt;&gt;""),Valid!$F$123,VLOOKUP(#REF!,Valid!$B$123:$F$125,5,FALSE)),"")</f>
        <v/>
      </c>
      <c r="BW36" s="1539" t="str">
        <f>IFERROR(VLOOKUP('A-70 RevVehInv'!S36,Valid!$B$99:$I$120,7), "")</f>
        <v/>
      </c>
      <c r="BX36" s="1539" t="str">
        <f>IFERROR(VLOOKUP(O36,Valid!$B$99:$I$120,8), "")</f>
        <v/>
      </c>
      <c r="BY36" s="1531"/>
    </row>
    <row r="37" spans="1:77" s="930" customFormat="1" x14ac:dyDescent="0.2">
      <c r="A37" s="206">
        <v>13</v>
      </c>
      <c r="B37" s="1530">
        <v>13</v>
      </c>
      <c r="C37" s="933"/>
      <c r="D37" s="719" t="str">
        <f>IF(C35="","",IF((C37=""),"Enter RVI ID. then Fill in Columns "&amp;TEXT($I$2,0)&amp;" - "&amp;TEXT($AI$2,0)&amp;"       ",""))</f>
        <v/>
      </c>
      <c r="E37" s="1056" t="str">
        <f>IF(AP37="N/A","",AP37)</f>
        <v/>
      </c>
      <c r="F37" s="1536"/>
      <c r="G37" s="1536"/>
      <c r="H37" s="1536"/>
      <c r="I37" s="1023"/>
      <c r="J37" s="1536" t="str">
        <f>IF(E37&lt;&gt;"","Vehicles?    ","")</f>
        <v/>
      </c>
      <c r="K37" s="1023"/>
      <c r="L37" s="1536" t="str">
        <f>IF(E37&lt;&gt;"","Active Vehicles?     ","")</f>
        <v/>
      </c>
      <c r="M37" s="1023"/>
      <c r="N37" s="894"/>
      <c r="O37" s="1153"/>
      <c r="P37" s="252" t="str">
        <f>IF(E37&lt;&gt;"","Select from Pull-Down List    ","")</f>
        <v/>
      </c>
      <c r="Q37" s="933"/>
      <c r="R37" s="252" t="str">
        <f>IF(E37&lt;&gt;"","Select from Pull-Down List    ","")</f>
        <v/>
      </c>
      <c r="S37" s="1766" t="str">
        <f t="shared" si="0"/>
        <v/>
      </c>
      <c r="T37" s="252"/>
      <c r="U37" s="1988"/>
      <c r="V37" s="252" t="str">
        <f t="shared" si="1"/>
        <v/>
      </c>
      <c r="W37" s="139"/>
      <c r="X37" s="252" t="str">
        <f>IF(E37&lt;&gt;"","Mfg. Yr?    ","")</f>
        <v/>
      </c>
      <c r="Y37" s="1974" t="str">
        <f t="shared" si="6"/>
        <v/>
      </c>
      <c r="Z37" s="252"/>
      <c r="AA37" s="1986" t="str">
        <f t="shared" si="7"/>
        <v/>
      </c>
      <c r="AB37" s="252" t="str">
        <f>IF(E37&lt;&gt;"","Select from Pull-Down List    ","")</f>
        <v/>
      </c>
      <c r="AC37" s="1023"/>
      <c r="AD37" s="252" t="str">
        <f>IF(E37&lt;&gt;"","Feet?    ","")</f>
        <v/>
      </c>
      <c r="AE37" s="1023"/>
      <c r="AF37" s="252" t="str">
        <f>IF(E37&lt;&gt;"","Mileage?       ","")</f>
        <v/>
      </c>
      <c r="AG37" s="1023"/>
      <c r="AH37" s="252" t="str">
        <f>IF(E37&lt;&gt;"","Avg. Lifetime Mileage? ","")</f>
        <v/>
      </c>
      <c r="AI37" s="933"/>
      <c r="AJ37" s="252" t="str">
        <f>IF(E37&lt;&gt;"","Select from Pull-Down List    ","")</f>
        <v/>
      </c>
      <c r="AK37" s="171"/>
      <c r="AL37" s="252"/>
      <c r="AM37" s="894"/>
      <c r="AN37" s="894"/>
      <c r="AO37" s="894" t="b">
        <f>IF(AND(C37="",C39&lt;&gt;""),TRUE,FALSE)</f>
        <v>0</v>
      </c>
      <c r="AP37" s="888" t="str">
        <f t="shared" ref="AP37" si="53">IF(AND(C37&lt;&gt;"",OR(I37="",K37="",M37="",O37="",Q37="",W37="",AC37="",AE37="",AG37="")),"No",IF(AND(C37="",OR(I37&lt;&gt;"",K37&lt;&gt;"",M37&lt;&gt;"",O37&lt;&gt;"",Q37&lt;&gt;"",W37&lt;&gt;"",AC37&lt;&gt;"",AE37&lt;&gt;"",AG37&lt;&gt;"",AI37&lt;&gt;"",AK37&lt;&gt;"")),"No",IF(AND(C37="",I37="",K37="",M37="",O37="",Q37="",W37="",AC37="",AE37="",AG37="",AI37=""),"N/A","Yes")))</f>
        <v>N/A</v>
      </c>
      <c r="AQ37" s="898"/>
      <c r="AR37" s="899" t="b">
        <f t="shared" ref="AR37" si="54">IF(AND(OR(I37&lt;&gt;"",K37&lt;&gt;"",M37&lt;&gt;"",O37&lt;&gt;"",Q37&lt;&gt;"",W37&lt;&gt;"",AC37&lt;&gt;"",AE37&lt;&gt;"",AG37&lt;&gt;"",AI37&lt;&gt;"",AK37&lt;&gt;""),C37=""),TRUE,FALSE)</f>
        <v>0</v>
      </c>
      <c r="AS37" s="898" t="b">
        <f t="shared" ref="AS37" si="55">IF(AT37=TRUE,FALSE,IF(SUM(K37)&gt;I37,TRUE,FALSE))</f>
        <v>0</v>
      </c>
      <c r="AT37" s="899" t="b">
        <f>IF(AND(C37&lt;&gt;"",I37=""),TRUE,FALSE)</f>
        <v>0</v>
      </c>
      <c r="AU37" s="898" t="b">
        <f>IF(AV37=TRUE,FALSE,IF(M37&gt;K37,TRUE,FALSE))</f>
        <v>0</v>
      </c>
      <c r="AV37" s="899" t="b">
        <f>IF(AND($C37&lt;&gt;"",K37=""),TRUE,FALSE)</f>
        <v>0</v>
      </c>
      <c r="AW37" s="898"/>
      <c r="AX37" s="899" t="b">
        <f>IF(AND($C37&lt;&gt;"",M37=""),TRUE,FALSE)</f>
        <v>0</v>
      </c>
      <c r="AY37" s="898" t="b">
        <f t="shared" ref="AY37" si="56">IF(AND(O37="",OR(Q37&lt;&gt;"",W37&lt;&gt;"",AC37&lt;&gt;"",AE37&lt;&gt;"",AG37&lt;&gt;"",AI37&lt;&gt;"")),TRUE,FALSE)</f>
        <v>0</v>
      </c>
      <c r="AZ37" s="899" t="b">
        <f>IF(AND($C37&lt;&gt;"",O37=""),TRUE,FALSE)</f>
        <v>0</v>
      </c>
      <c r="BA37" s="898"/>
      <c r="BB37" s="899" t="b">
        <f>IF(AND($C37&lt;&gt;"",Q37=""),TRUE,FALSE)</f>
        <v>0</v>
      </c>
      <c r="BC37" s="1537" t="b">
        <f>IF(BD37=TRUE,FALSE,IF(W37="",FALSE,IF(OR(W37&lt;BO37,W37&gt;BaseYear),TRUE,FALSE)))</f>
        <v>0</v>
      </c>
      <c r="BD37" s="899" t="b">
        <f>IF(AND($C37&lt;&gt;"",W37=""),TRUE,FALSE)</f>
        <v>0</v>
      </c>
      <c r="BE37" s="1537"/>
      <c r="BF37" s="899" t="b">
        <f>IF(AND($C37&lt;&gt;"",AC37=""),TRUE,FALSE)</f>
        <v>0</v>
      </c>
      <c r="BG37" s="898"/>
      <c r="BH37" s="899" t="b">
        <f>IF(AND($C37&lt;&gt;"",AE37=""),TRUE,FALSE)</f>
        <v>0</v>
      </c>
      <c r="BI37" s="898"/>
      <c r="BJ37" s="899" t="b">
        <f>IF(AND($C37&lt;&gt;"",AG37=""),TRUE,FALSE)</f>
        <v>0</v>
      </c>
      <c r="BK37" s="898"/>
      <c r="BL37" s="898" t="b">
        <f>IF(AND($C37&lt;&gt;"",AI37=""),TRUE,FALSE)</f>
        <v>0</v>
      </c>
      <c r="BM37" s="894"/>
      <c r="BN37" s="898" t="str">
        <f t="shared" si="2"/>
        <v/>
      </c>
      <c r="BO37" s="898" t="str">
        <f>IFERROR(IF(AND(O37="",O37&lt;&gt;""),1913,VLOOKUP(O37,Valid!$B$99:$J$120,9)),"")</f>
        <v/>
      </c>
      <c r="BP37" s="898" t="str">
        <f t="shared" ca="1" si="3"/>
        <v/>
      </c>
      <c r="BQ37" s="1547" t="str">
        <f t="shared" ca="1" si="8"/>
        <v/>
      </c>
      <c r="BR37" s="898" t="str">
        <f ca="1">IF(BQ37="", "", IF(1+(BQ37*4)&lt;1, 1, 1+(BQ37*4)))</f>
        <v/>
      </c>
      <c r="BS37" s="898" t="str">
        <f t="shared" si="4"/>
        <v/>
      </c>
      <c r="BT37" s="898" t="str">
        <f t="shared" si="5"/>
        <v/>
      </c>
      <c r="BU37" s="1539" t="str">
        <f>IFERROR(IF(AND(#REF!="",C37&lt;&gt;""),Valid!$E$123,VLOOKUP(#REF!,Valid!$B$123:$F$125,4,FALSE)),"")</f>
        <v/>
      </c>
      <c r="BV37" s="1539" t="str">
        <f>IFERROR(IF(AND(#REF!="",C37&lt;&gt;""),Valid!$F$123,VLOOKUP(#REF!,Valid!$B$123:$F$125,5,FALSE)),"")</f>
        <v/>
      </c>
      <c r="BW37" s="1539" t="str">
        <f>IFERROR(VLOOKUP('A-70 RevVehInv'!S37,Valid!$B$99:$I$120,7), "")</f>
        <v/>
      </c>
      <c r="BX37" s="1539" t="str">
        <f>IFERROR(VLOOKUP(O37,Valid!$B$99:$I$120,8), "")</f>
        <v/>
      </c>
      <c r="BY37" s="894"/>
    </row>
    <row r="38" spans="1:77" ht="6.75" customHeight="1" x14ac:dyDescent="0.2">
      <c r="A38" s="1517"/>
      <c r="B38" s="1530">
        <v>13.5</v>
      </c>
      <c r="C38" s="1540"/>
      <c r="D38" s="905"/>
      <c r="E38" s="1541"/>
      <c r="F38" s="905"/>
      <c r="G38" s="905"/>
      <c r="H38" s="905"/>
      <c r="I38" s="1534"/>
      <c r="J38" s="905"/>
      <c r="K38" s="1534"/>
      <c r="L38" s="905"/>
      <c r="M38" s="1534"/>
      <c r="N38" s="1531"/>
      <c r="O38" s="1542"/>
      <c r="P38" s="905"/>
      <c r="Q38" s="1542"/>
      <c r="R38" s="905"/>
      <c r="S38" s="1534" t="str">
        <f t="shared" si="0"/>
        <v/>
      </c>
      <c r="T38" s="905"/>
      <c r="U38" s="1534"/>
      <c r="V38" s="252" t="str">
        <f t="shared" si="1"/>
        <v/>
      </c>
      <c r="W38" s="1534"/>
      <c r="X38" s="905"/>
      <c r="Y38" s="1973" t="str">
        <f t="shared" si="6"/>
        <v/>
      </c>
      <c r="Z38" s="905"/>
      <c r="AA38" s="1985" t="str">
        <f t="shared" si="7"/>
        <v/>
      </c>
      <c r="AB38" s="1531"/>
      <c r="AC38" s="1534"/>
      <c r="AD38" s="1531"/>
      <c r="AE38" s="1534"/>
      <c r="AF38" s="1531"/>
      <c r="AG38" s="1534"/>
      <c r="AH38" s="1531"/>
      <c r="AI38" s="1543"/>
      <c r="AJ38" s="1531"/>
      <c r="AK38" s="1534"/>
      <c r="AL38" s="1531"/>
      <c r="AM38" s="1531"/>
      <c r="AN38" s="1531"/>
      <c r="AO38" s="1531"/>
      <c r="AP38" s="1531"/>
      <c r="AQ38" s="1535"/>
      <c r="AR38" s="1534"/>
      <c r="AS38" s="1535"/>
      <c r="AT38" s="1534"/>
      <c r="AU38" s="1535"/>
      <c r="AV38" s="1534"/>
      <c r="AW38" s="1535"/>
      <c r="AX38" s="1534"/>
      <c r="AY38" s="1535"/>
      <c r="AZ38" s="1534"/>
      <c r="BA38" s="1535"/>
      <c r="BB38" s="1534"/>
      <c r="BC38" s="1535"/>
      <c r="BD38" s="1534"/>
      <c r="BE38" s="1535"/>
      <c r="BF38" s="1534"/>
      <c r="BG38" s="1535"/>
      <c r="BH38" s="1534"/>
      <c r="BI38" s="1535"/>
      <c r="BJ38" s="1534"/>
      <c r="BK38" s="1535"/>
      <c r="BL38" s="1535"/>
      <c r="BM38" s="1531"/>
      <c r="BN38" s="898" t="str">
        <f t="shared" si="2"/>
        <v/>
      </c>
      <c r="BO38" s="898" t="str">
        <f>IFERROR(IF(AND(O38="",O38&lt;&gt;""),1913,VLOOKUP(O38,Valid!$B$99:$J$120,9)),"")</f>
        <v/>
      </c>
      <c r="BP38" s="898" t="str">
        <f t="shared" ca="1" si="3"/>
        <v/>
      </c>
      <c r="BQ38" s="1547" t="str">
        <f t="shared" ca="1" si="8"/>
        <v/>
      </c>
      <c r="BR38" s="898"/>
      <c r="BS38" s="898" t="str">
        <f t="shared" si="4"/>
        <v/>
      </c>
      <c r="BT38" s="898" t="str">
        <f t="shared" si="5"/>
        <v/>
      </c>
      <c r="BU38" s="1539" t="str">
        <f>IFERROR(IF(AND(#REF!="",C38&lt;&gt;""),Valid!$E$123,VLOOKUP(#REF!,Valid!$B$123:$F$125,4,FALSE)),"")</f>
        <v/>
      </c>
      <c r="BV38" s="1539" t="str">
        <f>IFERROR(IF(AND(#REF!="",C38&lt;&gt;""),Valid!$F$123,VLOOKUP(#REF!,Valid!$B$123:$F$125,5,FALSE)),"")</f>
        <v/>
      </c>
      <c r="BW38" s="1539" t="str">
        <f>IFERROR(VLOOKUP('A-70 RevVehInv'!S38,Valid!$B$99:$I$120,7), "")</f>
        <v/>
      </c>
      <c r="BX38" s="1539" t="str">
        <f>IFERROR(VLOOKUP(O38,Valid!$B$99:$I$120,8), "")</f>
        <v/>
      </c>
      <c r="BY38" s="1531"/>
    </row>
    <row r="39" spans="1:77" s="930" customFormat="1" x14ac:dyDescent="0.2">
      <c r="A39" s="206">
        <v>14</v>
      </c>
      <c r="B39" s="1530">
        <v>14</v>
      </c>
      <c r="C39" s="933"/>
      <c r="D39" s="719" t="str">
        <f>IF(C37="","",IF((C39=""),"Enter RVI ID. then Fill in Columns "&amp;TEXT($I$2,0)&amp;" - "&amp;TEXT($AI$2,0)&amp;"       ",""))</f>
        <v/>
      </c>
      <c r="E39" s="1056" t="str">
        <f>IF(AP39="N/A","",AP39)</f>
        <v/>
      </c>
      <c r="F39" s="1536"/>
      <c r="G39" s="1536"/>
      <c r="H39" s="1536"/>
      <c r="I39" s="1023"/>
      <c r="J39" s="1536" t="str">
        <f>IF(E39&lt;&gt;"","Vehicles?    ","")</f>
        <v/>
      </c>
      <c r="K39" s="1023"/>
      <c r="L39" s="1536" t="str">
        <f>IF(E39&lt;&gt;"","Active Vehicles?     ","")</f>
        <v/>
      </c>
      <c r="M39" s="1023"/>
      <c r="N39" s="894"/>
      <c r="O39" s="1153"/>
      <c r="P39" s="252" t="str">
        <f>IF(E39&lt;&gt;"","Select from Pull-Down List    ","")</f>
        <v/>
      </c>
      <c r="Q39" s="933"/>
      <c r="R39" s="252" t="str">
        <f>IF(E39&lt;&gt;"","Select from Pull-Down List    ","")</f>
        <v/>
      </c>
      <c r="S39" s="1766" t="str">
        <f t="shared" si="0"/>
        <v/>
      </c>
      <c r="T39" s="252"/>
      <c r="U39" s="1988"/>
      <c r="V39" s="252" t="str">
        <f t="shared" si="1"/>
        <v/>
      </c>
      <c r="W39" s="139"/>
      <c r="X39" s="252" t="str">
        <f>IF(E39&lt;&gt;"","Mfg. Yr?    ","")</f>
        <v/>
      </c>
      <c r="Y39" s="1974" t="str">
        <f t="shared" si="6"/>
        <v/>
      </c>
      <c r="Z39" s="252"/>
      <c r="AA39" s="1986" t="str">
        <f t="shared" si="7"/>
        <v/>
      </c>
      <c r="AB39" s="252" t="str">
        <f>IF(E39&lt;&gt;"","Select from Pull-Down List    ","")</f>
        <v/>
      </c>
      <c r="AC39" s="1023"/>
      <c r="AD39" s="252" t="str">
        <f>IF(E39&lt;&gt;"","Feet?    ","")</f>
        <v/>
      </c>
      <c r="AE39" s="1023"/>
      <c r="AF39" s="252" t="str">
        <f>IF(E39&lt;&gt;"","Mileage?       ","")</f>
        <v/>
      </c>
      <c r="AG39" s="1023"/>
      <c r="AH39" s="252" t="str">
        <f>IF(E39&lt;&gt;"","Avg. Lifetime Mileage? ","")</f>
        <v/>
      </c>
      <c r="AI39" s="933"/>
      <c r="AJ39" s="252" t="str">
        <f>IF(E39&lt;&gt;"","Select from Pull-Down List    ","")</f>
        <v/>
      </c>
      <c r="AK39" s="171"/>
      <c r="AL39" s="252"/>
      <c r="AM39" s="894"/>
      <c r="AN39" s="894"/>
      <c r="AO39" s="894" t="b">
        <f>IF(AND(C39="",C41&lt;&gt;""),TRUE,FALSE)</f>
        <v>0</v>
      </c>
      <c r="AP39" s="888" t="str">
        <f t="shared" ref="AP39" si="57">IF(AND(C39&lt;&gt;"",OR(I39="",K39="",M39="",O39="",Q39="",W39="",AC39="",AE39="",AG39="")),"No",IF(AND(C39="",OR(I39&lt;&gt;"",K39&lt;&gt;"",M39&lt;&gt;"",O39&lt;&gt;"",Q39&lt;&gt;"",W39&lt;&gt;"",AC39&lt;&gt;"",AE39&lt;&gt;"",AG39&lt;&gt;"",AI39&lt;&gt;"",AK39&lt;&gt;"")),"No",IF(AND(C39="",I39="",K39="",M39="",O39="",Q39="",W39="",AC39="",AE39="",AG39="",AI39=""),"N/A","Yes")))</f>
        <v>N/A</v>
      </c>
      <c r="AQ39" s="898"/>
      <c r="AR39" s="899" t="b">
        <f t="shared" ref="AR39" si="58">IF(AND(OR(I39&lt;&gt;"",K39&lt;&gt;"",M39&lt;&gt;"",O39&lt;&gt;"",Q39&lt;&gt;"",W39&lt;&gt;"",AC39&lt;&gt;"",AE39&lt;&gt;"",AG39&lt;&gt;"",AI39&lt;&gt;"",AK39&lt;&gt;""),C39=""),TRUE,FALSE)</f>
        <v>0</v>
      </c>
      <c r="AS39" s="898" t="b">
        <f t="shared" ref="AS39" si="59">IF(AT39=TRUE,FALSE,IF(SUM(K39)&gt;I39,TRUE,FALSE))</f>
        <v>0</v>
      </c>
      <c r="AT39" s="899" t="b">
        <f>IF(AND(C39&lt;&gt;"",I39=""),TRUE,FALSE)</f>
        <v>0</v>
      </c>
      <c r="AU39" s="898" t="b">
        <f>IF(AV39=TRUE,FALSE,IF(M39&gt;K39,TRUE,FALSE))</f>
        <v>0</v>
      </c>
      <c r="AV39" s="899" t="b">
        <f>IF(AND($C39&lt;&gt;"",K39=""),TRUE,FALSE)</f>
        <v>0</v>
      </c>
      <c r="AW39" s="898"/>
      <c r="AX39" s="899" t="b">
        <f>IF(AND($C39&lt;&gt;"",M39=""),TRUE,FALSE)</f>
        <v>0</v>
      </c>
      <c r="AY39" s="898" t="b">
        <f t="shared" ref="AY39" si="60">IF(AND(O39="",OR(Q39&lt;&gt;"",W39&lt;&gt;"",AC39&lt;&gt;"",AE39&lt;&gt;"",AG39&lt;&gt;"",AI39&lt;&gt;"")),TRUE,FALSE)</f>
        <v>0</v>
      </c>
      <c r="AZ39" s="899" t="b">
        <f>IF(AND($C39&lt;&gt;"",O39=""),TRUE,FALSE)</f>
        <v>0</v>
      </c>
      <c r="BA39" s="898"/>
      <c r="BB39" s="899" t="b">
        <f>IF(AND($C39&lt;&gt;"",Q39=""),TRUE,FALSE)</f>
        <v>0</v>
      </c>
      <c r="BC39" s="1537" t="b">
        <f>IF(BD39=TRUE,FALSE,IF(W39="",FALSE,IF(OR(W39&lt;BO39,W39&gt;BaseYear),TRUE,FALSE)))</f>
        <v>0</v>
      </c>
      <c r="BD39" s="899" t="b">
        <f>IF(AND($C39&lt;&gt;"",W39=""),TRUE,FALSE)</f>
        <v>0</v>
      </c>
      <c r="BE39" s="1537"/>
      <c r="BF39" s="899" t="b">
        <f>IF(AND($C39&lt;&gt;"",AC39=""),TRUE,FALSE)</f>
        <v>0</v>
      </c>
      <c r="BG39" s="898"/>
      <c r="BH39" s="899" t="b">
        <f>IF(AND($C39&lt;&gt;"",AE39=""),TRUE,FALSE)</f>
        <v>0</v>
      </c>
      <c r="BI39" s="898"/>
      <c r="BJ39" s="899" t="b">
        <f>IF(AND($C39&lt;&gt;"",AG39=""),TRUE,FALSE)</f>
        <v>0</v>
      </c>
      <c r="BK39" s="898"/>
      <c r="BL39" s="898" t="b">
        <f>IF(AND($C39&lt;&gt;"",AI39=""),TRUE,FALSE)</f>
        <v>0</v>
      </c>
      <c r="BM39" s="894"/>
      <c r="BN39" s="898" t="str">
        <f t="shared" si="2"/>
        <v/>
      </c>
      <c r="BO39" s="898" t="str">
        <f>IFERROR(IF(AND(O39="",O39&lt;&gt;""),1913,VLOOKUP(O39,Valid!$B$99:$J$120,9)),"")</f>
        <v/>
      </c>
      <c r="BP39" s="898" t="str">
        <f t="shared" ca="1" si="3"/>
        <v/>
      </c>
      <c r="BQ39" s="1547" t="str">
        <f t="shared" ca="1" si="8"/>
        <v/>
      </c>
      <c r="BR39" s="898" t="str">
        <f ca="1">IF(BQ39="", "", IF(1+(BQ39*4)&lt;1, 1, 1+(BQ39*4)))</f>
        <v/>
      </c>
      <c r="BS39" s="898" t="str">
        <f t="shared" si="4"/>
        <v/>
      </c>
      <c r="BT39" s="898" t="str">
        <f t="shared" si="5"/>
        <v/>
      </c>
      <c r="BU39" s="1539" t="str">
        <f>IFERROR(IF(AND(#REF!="",C39&lt;&gt;""),Valid!$E$123,VLOOKUP(#REF!,Valid!$B$123:$F$125,4,FALSE)),"")</f>
        <v/>
      </c>
      <c r="BV39" s="1539" t="str">
        <f>IFERROR(IF(AND(#REF!="",C39&lt;&gt;""),Valid!$F$123,VLOOKUP(#REF!,Valid!$B$123:$F$125,5,FALSE)),"")</f>
        <v/>
      </c>
      <c r="BW39" s="1539" t="str">
        <f>IFERROR(VLOOKUP('A-70 RevVehInv'!S39,Valid!$B$99:$I$120,7), "")</f>
        <v/>
      </c>
      <c r="BX39" s="1539" t="str">
        <f>IFERROR(VLOOKUP(O39,Valid!$B$99:$I$120,8), "")</f>
        <v/>
      </c>
      <c r="BY39" s="894"/>
    </row>
    <row r="40" spans="1:77" ht="6.75" customHeight="1" x14ac:dyDescent="0.2">
      <c r="A40" s="1517"/>
      <c r="B40" s="1530">
        <v>14.5</v>
      </c>
      <c r="C40" s="1544"/>
      <c r="D40" s="905"/>
      <c r="E40" s="1545"/>
      <c r="F40" s="905"/>
      <c r="G40" s="905"/>
      <c r="H40" s="905"/>
      <c r="I40" s="1531"/>
      <c r="J40" s="905"/>
      <c r="K40" s="1531"/>
      <c r="L40" s="905"/>
      <c r="M40" s="1531"/>
      <c r="N40" s="1531"/>
      <c r="O40" s="1533"/>
      <c r="P40" s="905"/>
      <c r="Q40" s="1533"/>
      <c r="R40" s="905"/>
      <c r="S40" s="1531" t="str">
        <f t="shared" si="0"/>
        <v/>
      </c>
      <c r="T40" s="905"/>
      <c r="U40" s="1531"/>
      <c r="V40" s="252" t="str">
        <f t="shared" si="1"/>
        <v/>
      </c>
      <c r="W40" s="1531"/>
      <c r="X40" s="905"/>
      <c r="Y40" s="1971" t="str">
        <f t="shared" si="6"/>
        <v/>
      </c>
      <c r="Z40" s="905"/>
      <c r="AA40" s="1983" t="str">
        <f t="shared" si="7"/>
        <v/>
      </c>
      <c r="AB40" s="1531"/>
      <c r="AC40" s="1531"/>
      <c r="AD40" s="1531"/>
      <c r="AE40" s="1531"/>
      <c r="AF40" s="1531"/>
      <c r="AG40" s="1534"/>
      <c r="AH40" s="1531"/>
      <c r="AI40" s="1546"/>
      <c r="AJ40" s="1531"/>
      <c r="AK40" s="1531"/>
      <c r="AL40" s="1531"/>
      <c r="AM40" s="1531"/>
      <c r="AN40" s="1531"/>
      <c r="AO40" s="1531"/>
      <c r="AP40" s="1531"/>
      <c r="AQ40" s="1535"/>
      <c r="AR40" s="1534"/>
      <c r="AS40" s="1535"/>
      <c r="AT40" s="1534"/>
      <c r="AU40" s="1535"/>
      <c r="AV40" s="1534"/>
      <c r="AW40" s="1535"/>
      <c r="AX40" s="1534"/>
      <c r="AY40" s="1535"/>
      <c r="AZ40" s="1534"/>
      <c r="BA40" s="1535"/>
      <c r="BB40" s="1534"/>
      <c r="BC40" s="1535"/>
      <c r="BD40" s="1534"/>
      <c r="BE40" s="1535"/>
      <c r="BF40" s="1534"/>
      <c r="BG40" s="1535"/>
      <c r="BH40" s="1534"/>
      <c r="BI40" s="1535"/>
      <c r="BJ40" s="1534"/>
      <c r="BK40" s="1535"/>
      <c r="BL40" s="1535"/>
      <c r="BM40" s="1531"/>
      <c r="BN40" s="898" t="str">
        <f t="shared" si="2"/>
        <v/>
      </c>
      <c r="BO40" s="898" t="str">
        <f>IFERROR(IF(AND(O40="",O40&lt;&gt;""),1913,VLOOKUP(O40,Valid!$B$99:$J$120,9)),"")</f>
        <v/>
      </c>
      <c r="BP40" s="898" t="str">
        <f t="shared" ca="1" si="3"/>
        <v/>
      </c>
      <c r="BQ40" s="1547" t="str">
        <f t="shared" ca="1" si="8"/>
        <v/>
      </c>
      <c r="BR40" s="898"/>
      <c r="BS40" s="898" t="str">
        <f t="shared" si="4"/>
        <v/>
      </c>
      <c r="BT40" s="898" t="str">
        <f t="shared" si="5"/>
        <v/>
      </c>
      <c r="BU40" s="1539" t="str">
        <f>IFERROR(IF(AND(#REF!="",C40&lt;&gt;""),Valid!$E$123,VLOOKUP(#REF!,Valid!$B$123:$F$125,4,FALSE)),"")</f>
        <v/>
      </c>
      <c r="BV40" s="1539" t="str">
        <f>IFERROR(IF(AND(#REF!="",C40&lt;&gt;""),Valid!$F$123,VLOOKUP(#REF!,Valid!$B$123:$F$125,5,FALSE)),"")</f>
        <v/>
      </c>
      <c r="BW40" s="1539" t="str">
        <f>IFERROR(VLOOKUP('A-70 RevVehInv'!S40,Valid!$B$99:$I$120,7), "")</f>
        <v/>
      </c>
      <c r="BX40" s="1539" t="str">
        <f>IFERROR(VLOOKUP(O40,Valid!$B$99:$I$120,8), "")</f>
        <v/>
      </c>
      <c r="BY40" s="1531"/>
    </row>
    <row r="41" spans="1:77" s="930" customFormat="1" x14ac:dyDescent="0.2">
      <c r="A41" s="206">
        <v>15</v>
      </c>
      <c r="B41" s="1530">
        <v>15</v>
      </c>
      <c r="C41" s="933"/>
      <c r="D41" s="719" t="str">
        <f>IF(C39="","",IF((C41=""),"Enter RVI ID. then Fill in Columns "&amp;TEXT($I$2,0)&amp;" - "&amp;TEXT($AI$2,0)&amp;"       ",""))</f>
        <v/>
      </c>
      <c r="E41" s="1056" t="str">
        <f>IF(AP41="N/A","",AP41)</f>
        <v/>
      </c>
      <c r="F41" s="1536"/>
      <c r="G41" s="1536"/>
      <c r="H41" s="1536"/>
      <c r="I41" s="1023"/>
      <c r="J41" s="1536" t="str">
        <f>IF(E41&lt;&gt;"","Vehicles?    ","")</f>
        <v/>
      </c>
      <c r="K41" s="1023"/>
      <c r="L41" s="1536" t="str">
        <f>IF(E41&lt;&gt;"","Active Vehicles?     ","")</f>
        <v/>
      </c>
      <c r="M41" s="1023"/>
      <c r="N41" s="894"/>
      <c r="O41" s="1153"/>
      <c r="P41" s="252" t="str">
        <f>IF(E41&lt;&gt;"","Select from Pull-Down List    ","")</f>
        <v/>
      </c>
      <c r="Q41" s="933"/>
      <c r="R41" s="252" t="str">
        <f>IF(E41&lt;&gt;"","Select from Pull-Down List    ","")</f>
        <v/>
      </c>
      <c r="S41" s="1766" t="str">
        <f t="shared" si="0"/>
        <v/>
      </c>
      <c r="T41" s="252"/>
      <c r="U41" s="1988"/>
      <c r="V41" s="252" t="str">
        <f t="shared" si="1"/>
        <v/>
      </c>
      <c r="W41" s="139"/>
      <c r="X41" s="252" t="str">
        <f>IF(E41&lt;&gt;"","Mfg. Yr?    ","")</f>
        <v/>
      </c>
      <c r="Y41" s="1974" t="str">
        <f t="shared" si="6"/>
        <v/>
      </c>
      <c r="Z41" s="252"/>
      <c r="AA41" s="1986" t="str">
        <f t="shared" si="7"/>
        <v/>
      </c>
      <c r="AB41" s="252" t="str">
        <f>IF(E41&lt;&gt;"","Select from Pull-Down List    ","")</f>
        <v/>
      </c>
      <c r="AC41" s="1023"/>
      <c r="AD41" s="252" t="str">
        <f>IF(E41&lt;&gt;"","Feet?    ","")</f>
        <v/>
      </c>
      <c r="AE41" s="1023"/>
      <c r="AF41" s="252" t="str">
        <f>IF(E41&lt;&gt;"","Mileage?       ","")</f>
        <v/>
      </c>
      <c r="AG41" s="1023"/>
      <c r="AH41" s="252" t="str">
        <f>IF(E41&lt;&gt;"","Avg. Lifetime Mileage? ","")</f>
        <v/>
      </c>
      <c r="AI41" s="933"/>
      <c r="AJ41" s="252" t="str">
        <f>IF(E41&lt;&gt;"","Select from Pull-Down List    ","")</f>
        <v/>
      </c>
      <c r="AK41" s="171"/>
      <c r="AL41" s="252"/>
      <c r="AM41" s="894"/>
      <c r="AN41" s="894"/>
      <c r="AO41" s="894" t="b">
        <f>IF(AND(C41="",C43&lt;&gt;""),TRUE,FALSE)</f>
        <v>0</v>
      </c>
      <c r="AP41" s="888" t="str">
        <f t="shared" ref="AP41" si="61">IF(AND(C41&lt;&gt;"",OR(I41="",K41="",M41="",O41="",Q41="",W41="",AC41="",AE41="",AG41="")),"No",IF(AND(C41="",OR(I41&lt;&gt;"",K41&lt;&gt;"",M41&lt;&gt;"",O41&lt;&gt;"",Q41&lt;&gt;"",W41&lt;&gt;"",AC41&lt;&gt;"",AE41&lt;&gt;"",AG41&lt;&gt;"",AI41&lt;&gt;"",AK41&lt;&gt;"")),"No",IF(AND(C41="",I41="",K41="",M41="",O41="",Q41="",W41="",AC41="",AE41="",AG41="",AI41=""),"N/A","Yes")))</f>
        <v>N/A</v>
      </c>
      <c r="AQ41" s="898"/>
      <c r="AR41" s="899" t="b">
        <f t="shared" ref="AR41" si="62">IF(AND(OR(I41&lt;&gt;"",K41&lt;&gt;"",M41&lt;&gt;"",O41&lt;&gt;"",Q41&lt;&gt;"",W41&lt;&gt;"",AC41&lt;&gt;"",AE41&lt;&gt;"",AG41&lt;&gt;"",AI41&lt;&gt;"",AK41&lt;&gt;""),C41=""),TRUE,FALSE)</f>
        <v>0</v>
      </c>
      <c r="AS41" s="898" t="b">
        <f t="shared" ref="AS41" si="63">IF(AT41=TRUE,FALSE,IF(SUM(K41)&gt;I41,TRUE,FALSE))</f>
        <v>0</v>
      </c>
      <c r="AT41" s="899" t="b">
        <f>IF(AND(C41&lt;&gt;"",I41=""),TRUE,FALSE)</f>
        <v>0</v>
      </c>
      <c r="AU41" s="898" t="b">
        <f>IF(AV41=TRUE,FALSE,IF(M41&gt;K41,TRUE,FALSE))</f>
        <v>0</v>
      </c>
      <c r="AV41" s="899" t="b">
        <f>IF(AND($C41&lt;&gt;"",K41=""),TRUE,FALSE)</f>
        <v>0</v>
      </c>
      <c r="AW41" s="898"/>
      <c r="AX41" s="899" t="b">
        <f>IF(AND($C41&lt;&gt;"",M41=""),TRUE,FALSE)</f>
        <v>0</v>
      </c>
      <c r="AY41" s="898" t="b">
        <f t="shared" ref="AY41" si="64">IF(AND(O41="",OR(Q41&lt;&gt;"",W41&lt;&gt;"",AC41&lt;&gt;"",AE41&lt;&gt;"",AG41&lt;&gt;"",AI41&lt;&gt;"")),TRUE,FALSE)</f>
        <v>0</v>
      </c>
      <c r="AZ41" s="899" t="b">
        <f>IF(AND($C41&lt;&gt;"",O41=""),TRUE,FALSE)</f>
        <v>0</v>
      </c>
      <c r="BA41" s="898"/>
      <c r="BB41" s="899" t="b">
        <f>IF(AND($C41&lt;&gt;"",Q41=""),TRUE,FALSE)</f>
        <v>0</v>
      </c>
      <c r="BC41" s="1537" t="b">
        <f>IF(BD41=TRUE,FALSE,IF(W41="",FALSE,IF(OR(W41&lt;BO41,W41&gt;BaseYear),TRUE,FALSE)))</f>
        <v>0</v>
      </c>
      <c r="BD41" s="899" t="b">
        <f>IF(AND($C41&lt;&gt;"",W41=""),TRUE,FALSE)</f>
        <v>0</v>
      </c>
      <c r="BE41" s="1537"/>
      <c r="BF41" s="899" t="b">
        <f>IF(AND($C41&lt;&gt;"",AC41=""),TRUE,FALSE)</f>
        <v>0</v>
      </c>
      <c r="BG41" s="898"/>
      <c r="BH41" s="899" t="b">
        <f>IF(AND($C41&lt;&gt;"",AE41=""),TRUE,FALSE)</f>
        <v>0</v>
      </c>
      <c r="BI41" s="898"/>
      <c r="BJ41" s="899" t="b">
        <f>IF(AND($C41&lt;&gt;"",AG41=""),TRUE,FALSE)</f>
        <v>0</v>
      </c>
      <c r="BK41" s="898"/>
      <c r="BL41" s="898" t="b">
        <f>IF(AND($C41&lt;&gt;"",AI41=""),TRUE,FALSE)</f>
        <v>0</v>
      </c>
      <c r="BM41" s="894"/>
      <c r="BN41" s="898" t="str">
        <f t="shared" si="2"/>
        <v/>
      </c>
      <c r="BO41" s="898" t="str">
        <f>IFERROR(IF(AND(O41="",O41&lt;&gt;""),1913,VLOOKUP(O41,Valid!$B$99:$J$120,9)),"")</f>
        <v/>
      </c>
      <c r="BP41" s="898" t="str">
        <f t="shared" ca="1" si="3"/>
        <v/>
      </c>
      <c r="BQ41" s="1547" t="str">
        <f t="shared" ca="1" si="8"/>
        <v/>
      </c>
      <c r="BR41" s="898" t="str">
        <f ca="1">IF(BQ41="", "", IF(1+(BQ41*4)&lt;1, 1, 1+(BQ41*4)))</f>
        <v/>
      </c>
      <c r="BS41" s="898" t="str">
        <f t="shared" si="4"/>
        <v/>
      </c>
      <c r="BT41" s="898" t="str">
        <f t="shared" si="5"/>
        <v/>
      </c>
      <c r="BU41" s="1539" t="str">
        <f>IFERROR(IF(AND(#REF!="",C41&lt;&gt;""),Valid!$E$123,VLOOKUP(#REF!,Valid!$B$123:$F$125,4,FALSE)),"")</f>
        <v/>
      </c>
      <c r="BV41" s="1539" t="str">
        <f>IFERROR(IF(AND(#REF!="",C41&lt;&gt;""),Valid!$F$123,VLOOKUP(#REF!,Valid!$B$123:$F$125,5,FALSE)),"")</f>
        <v/>
      </c>
      <c r="BW41" s="1539" t="str">
        <f>IFERROR(VLOOKUP('A-70 RevVehInv'!S41,Valid!$B$99:$I$120,7), "")</f>
        <v/>
      </c>
      <c r="BX41" s="1539" t="str">
        <f>IFERROR(VLOOKUP(O41,Valid!$B$99:$I$120,8), "")</f>
        <v/>
      </c>
      <c r="BY41" s="894"/>
    </row>
    <row r="42" spans="1:77" ht="6.75" customHeight="1" x14ac:dyDescent="0.2">
      <c r="A42" s="1517"/>
      <c r="B42" s="1530">
        <v>15.5</v>
      </c>
      <c r="C42" s="1540"/>
      <c r="D42" s="905"/>
      <c r="E42" s="1541"/>
      <c r="F42" s="905"/>
      <c r="G42" s="905"/>
      <c r="H42" s="905"/>
      <c r="I42" s="1534"/>
      <c r="J42" s="905"/>
      <c r="K42" s="1534"/>
      <c r="L42" s="905"/>
      <c r="M42" s="1534"/>
      <c r="N42" s="1531"/>
      <c r="O42" s="1542"/>
      <c r="P42" s="905"/>
      <c r="Q42" s="1542"/>
      <c r="R42" s="905"/>
      <c r="S42" s="1534" t="str">
        <f t="shared" si="0"/>
        <v/>
      </c>
      <c r="T42" s="905"/>
      <c r="U42" s="1534"/>
      <c r="V42" s="252" t="str">
        <f t="shared" si="1"/>
        <v/>
      </c>
      <c r="W42" s="1534"/>
      <c r="X42" s="905"/>
      <c r="Y42" s="1973" t="str">
        <f t="shared" si="6"/>
        <v/>
      </c>
      <c r="Z42" s="905"/>
      <c r="AA42" s="1985" t="str">
        <f t="shared" si="7"/>
        <v/>
      </c>
      <c r="AB42" s="1531"/>
      <c r="AC42" s="1534"/>
      <c r="AD42" s="1531"/>
      <c r="AE42" s="1534"/>
      <c r="AF42" s="1531"/>
      <c r="AG42" s="1534"/>
      <c r="AH42" s="1531"/>
      <c r="AI42" s="1543"/>
      <c r="AJ42" s="1531"/>
      <c r="AK42" s="1534"/>
      <c r="AL42" s="1531"/>
      <c r="AM42" s="1531"/>
      <c r="AN42" s="1531"/>
      <c r="AO42" s="1531"/>
      <c r="AP42" s="1531"/>
      <c r="AQ42" s="1535"/>
      <c r="AR42" s="1534"/>
      <c r="AS42" s="1535"/>
      <c r="AT42" s="1534"/>
      <c r="AU42" s="1535"/>
      <c r="AV42" s="1534"/>
      <c r="AW42" s="1535"/>
      <c r="AX42" s="1534"/>
      <c r="AY42" s="1535"/>
      <c r="AZ42" s="1534"/>
      <c r="BA42" s="1535"/>
      <c r="BB42" s="1534"/>
      <c r="BC42" s="1535"/>
      <c r="BD42" s="1534"/>
      <c r="BE42" s="1535"/>
      <c r="BF42" s="1534"/>
      <c r="BG42" s="1535"/>
      <c r="BH42" s="1534"/>
      <c r="BI42" s="1535"/>
      <c r="BJ42" s="1534"/>
      <c r="BK42" s="1535"/>
      <c r="BL42" s="1535"/>
      <c r="BM42" s="1531"/>
      <c r="BN42" s="898" t="str">
        <f t="shared" si="2"/>
        <v/>
      </c>
      <c r="BO42" s="898" t="str">
        <f>IFERROR(IF(AND(O42="",O42&lt;&gt;""),1913,VLOOKUP(O42,Valid!$B$99:$J$120,9)),"")</f>
        <v/>
      </c>
      <c r="BP42" s="898" t="str">
        <f t="shared" ca="1" si="3"/>
        <v/>
      </c>
      <c r="BQ42" s="1547" t="str">
        <f t="shared" ca="1" si="8"/>
        <v/>
      </c>
      <c r="BR42" s="898"/>
      <c r="BS42" s="898" t="str">
        <f t="shared" si="4"/>
        <v/>
      </c>
      <c r="BT42" s="898" t="str">
        <f t="shared" si="5"/>
        <v/>
      </c>
      <c r="BU42" s="1539" t="str">
        <f>IFERROR(IF(AND(#REF!="",C42&lt;&gt;""),Valid!$E$123,VLOOKUP(#REF!,Valid!$B$123:$F$125,4,FALSE)),"")</f>
        <v/>
      </c>
      <c r="BV42" s="1539" t="str">
        <f>IFERROR(IF(AND(#REF!="",C42&lt;&gt;""),Valid!$F$123,VLOOKUP(#REF!,Valid!$B$123:$F$125,5,FALSE)),"")</f>
        <v/>
      </c>
      <c r="BW42" s="1539" t="str">
        <f>IFERROR(VLOOKUP('A-70 RevVehInv'!S42,Valid!$B$99:$I$120,7), "")</f>
        <v/>
      </c>
      <c r="BX42" s="1539" t="str">
        <f>IFERROR(VLOOKUP(O42,Valid!$B$99:$I$120,8), "")</f>
        <v/>
      </c>
      <c r="BY42" s="1531"/>
    </row>
    <row r="43" spans="1:77" s="930" customFormat="1" x14ac:dyDescent="0.2">
      <c r="A43" s="206">
        <v>16</v>
      </c>
      <c r="B43" s="1530">
        <v>16</v>
      </c>
      <c r="C43" s="933"/>
      <c r="D43" s="719" t="str">
        <f>IF(C41="","",IF((C43=""),"Enter RVI ID. then Fill in Columns "&amp;TEXT($I$2,0)&amp;" - "&amp;TEXT($AI$2,0)&amp;"       ",""))</f>
        <v/>
      </c>
      <c r="E43" s="1056" t="str">
        <f>IF(AP43="N/A","",AP43)</f>
        <v/>
      </c>
      <c r="F43" s="1536"/>
      <c r="G43" s="1536"/>
      <c r="H43" s="1536"/>
      <c r="I43" s="1023"/>
      <c r="J43" s="1536" t="str">
        <f>IF(E43&lt;&gt;"","Vehicles?    ","")</f>
        <v/>
      </c>
      <c r="K43" s="1023"/>
      <c r="L43" s="1536" t="str">
        <f>IF(E43&lt;&gt;"","Active Vehicles?     ","")</f>
        <v/>
      </c>
      <c r="M43" s="1023"/>
      <c r="N43" s="894"/>
      <c r="O43" s="1153"/>
      <c r="P43" s="252" t="str">
        <f>IF(E43&lt;&gt;"","Select from Pull-Down List    ","")</f>
        <v/>
      </c>
      <c r="Q43" s="933"/>
      <c r="R43" s="252" t="str">
        <f>IF(E43&lt;&gt;"","Select from Pull-Down List    ","")</f>
        <v/>
      </c>
      <c r="S43" s="1766" t="str">
        <f t="shared" si="0"/>
        <v/>
      </c>
      <c r="T43" s="252"/>
      <c r="U43" s="1988"/>
      <c r="V43" s="252" t="str">
        <f t="shared" si="1"/>
        <v/>
      </c>
      <c r="W43" s="139"/>
      <c r="X43" s="252" t="str">
        <f>IF(E43&lt;&gt;"","Mfg. Yr?    ","")</f>
        <v/>
      </c>
      <c r="Y43" s="1974" t="str">
        <f t="shared" si="6"/>
        <v/>
      </c>
      <c r="Z43" s="252"/>
      <c r="AA43" s="1986" t="str">
        <f t="shared" si="7"/>
        <v/>
      </c>
      <c r="AB43" s="252" t="str">
        <f>IF(E43&lt;&gt;"","Select from Pull-Down List    ","")</f>
        <v/>
      </c>
      <c r="AC43" s="1023"/>
      <c r="AD43" s="252" t="str">
        <f>IF(E43&lt;&gt;"","Feet?    ","")</f>
        <v/>
      </c>
      <c r="AE43" s="1023"/>
      <c r="AF43" s="252" t="str">
        <f>IF(E43&lt;&gt;"","Mileage?       ","")</f>
        <v/>
      </c>
      <c r="AG43" s="1023"/>
      <c r="AH43" s="252" t="str">
        <f>IF(E43&lt;&gt;"","Avg. Lifetime Mileage? ","")</f>
        <v/>
      </c>
      <c r="AI43" s="933"/>
      <c r="AJ43" s="252" t="str">
        <f>IF(E43&lt;&gt;"","Select from Pull-Down List    ","")</f>
        <v/>
      </c>
      <c r="AK43" s="171"/>
      <c r="AL43" s="252"/>
      <c r="AM43" s="894"/>
      <c r="AN43" s="894"/>
      <c r="AO43" s="894" t="b">
        <f>IF(AND(C43="",C45&lt;&gt;""),TRUE,FALSE)</f>
        <v>0</v>
      </c>
      <c r="AP43" s="888" t="str">
        <f t="shared" ref="AP43" si="65">IF(AND(C43&lt;&gt;"",OR(I43="",K43="",M43="",O43="",Q43="",W43="",AC43="",AE43="",AG43="")),"No",IF(AND(C43="",OR(I43&lt;&gt;"",K43&lt;&gt;"",M43&lt;&gt;"",O43&lt;&gt;"",Q43&lt;&gt;"",W43&lt;&gt;"",AC43&lt;&gt;"",AE43&lt;&gt;"",AG43&lt;&gt;"",AI43&lt;&gt;"",AK43&lt;&gt;"")),"No",IF(AND(C43="",I43="",K43="",M43="",O43="",Q43="",W43="",AC43="",AE43="",AG43="",AI43=""),"N/A","Yes")))</f>
        <v>N/A</v>
      </c>
      <c r="AQ43" s="898"/>
      <c r="AR43" s="899" t="b">
        <f t="shared" ref="AR43" si="66">IF(AND(OR(I43&lt;&gt;"",K43&lt;&gt;"",M43&lt;&gt;"",O43&lt;&gt;"",Q43&lt;&gt;"",W43&lt;&gt;"",AC43&lt;&gt;"",AE43&lt;&gt;"",AG43&lt;&gt;"",AI43&lt;&gt;"",AK43&lt;&gt;""),C43=""),TRUE,FALSE)</f>
        <v>0</v>
      </c>
      <c r="AS43" s="898" t="b">
        <f t="shared" ref="AS43" si="67">IF(AT43=TRUE,FALSE,IF(SUM(K43)&gt;I43,TRUE,FALSE))</f>
        <v>0</v>
      </c>
      <c r="AT43" s="899" t="b">
        <f>IF(AND(C43&lt;&gt;"",I43=""),TRUE,FALSE)</f>
        <v>0</v>
      </c>
      <c r="AU43" s="898" t="b">
        <f>IF(AV43=TRUE,FALSE,IF(M43&gt;K43,TRUE,FALSE))</f>
        <v>0</v>
      </c>
      <c r="AV43" s="899" t="b">
        <f>IF(AND($C43&lt;&gt;"",K43=""),TRUE,FALSE)</f>
        <v>0</v>
      </c>
      <c r="AW43" s="898"/>
      <c r="AX43" s="899" t="b">
        <f>IF(AND($C43&lt;&gt;"",M43=""),TRUE,FALSE)</f>
        <v>0</v>
      </c>
      <c r="AY43" s="898" t="b">
        <f t="shared" ref="AY43" si="68">IF(AND(O43="",OR(Q43&lt;&gt;"",W43&lt;&gt;"",AC43&lt;&gt;"",AE43&lt;&gt;"",AG43&lt;&gt;"",AI43&lt;&gt;"")),TRUE,FALSE)</f>
        <v>0</v>
      </c>
      <c r="AZ43" s="899" t="b">
        <f>IF(AND($C43&lt;&gt;"",O43=""),TRUE,FALSE)</f>
        <v>0</v>
      </c>
      <c r="BA43" s="898"/>
      <c r="BB43" s="899" t="b">
        <f>IF(AND($C43&lt;&gt;"",Q43=""),TRUE,FALSE)</f>
        <v>0</v>
      </c>
      <c r="BC43" s="1537" t="b">
        <f>IF(BD43=TRUE,FALSE,IF(W43="",FALSE,IF(OR(W43&lt;BO43,W43&gt;BaseYear),TRUE,FALSE)))</f>
        <v>0</v>
      </c>
      <c r="BD43" s="899" t="b">
        <f>IF(AND($C43&lt;&gt;"",W43=""),TRUE,FALSE)</f>
        <v>0</v>
      </c>
      <c r="BE43" s="1537"/>
      <c r="BF43" s="899" t="b">
        <f>IF(AND($C43&lt;&gt;"",AC43=""),TRUE,FALSE)</f>
        <v>0</v>
      </c>
      <c r="BG43" s="898"/>
      <c r="BH43" s="899" t="b">
        <f>IF(AND($C43&lt;&gt;"",AE43=""),TRUE,FALSE)</f>
        <v>0</v>
      </c>
      <c r="BI43" s="898"/>
      <c r="BJ43" s="899" t="b">
        <f>IF(AND($C43&lt;&gt;"",AG43=""),TRUE,FALSE)</f>
        <v>0</v>
      </c>
      <c r="BK43" s="898"/>
      <c r="BL43" s="898" t="b">
        <f>IF(AND($C43&lt;&gt;"",AI43=""),TRUE,FALSE)</f>
        <v>0</v>
      </c>
      <c r="BM43" s="894"/>
      <c r="BN43" s="898" t="str">
        <f t="shared" si="2"/>
        <v/>
      </c>
      <c r="BO43" s="898" t="str">
        <f>IFERROR(IF(AND(O43="",O43&lt;&gt;""),1913,VLOOKUP(O43,Valid!$B$99:$J$120,9)),"")</f>
        <v/>
      </c>
      <c r="BP43" s="898" t="str">
        <f t="shared" ca="1" si="3"/>
        <v/>
      </c>
      <c r="BQ43" s="1547" t="str">
        <f t="shared" ca="1" si="8"/>
        <v/>
      </c>
      <c r="BR43" s="898" t="str">
        <f ca="1">IF(BQ43="", "", IF(1+(BQ43*4)&lt;1, 1, 1+(BQ43*4)))</f>
        <v/>
      </c>
      <c r="BS43" s="898" t="str">
        <f t="shared" si="4"/>
        <v/>
      </c>
      <c r="BT43" s="898" t="str">
        <f t="shared" si="5"/>
        <v/>
      </c>
      <c r="BU43" s="1539" t="str">
        <f>IFERROR(IF(AND(#REF!="",C43&lt;&gt;""),Valid!$E$123,VLOOKUP(#REF!,Valid!$B$123:$F$125,4,FALSE)),"")</f>
        <v/>
      </c>
      <c r="BV43" s="1539" t="str">
        <f>IFERROR(IF(AND(#REF!="",C43&lt;&gt;""),Valid!$F$123,VLOOKUP(#REF!,Valid!$B$123:$F$125,5,FALSE)),"")</f>
        <v/>
      </c>
      <c r="BW43" s="1539" t="str">
        <f>IFERROR(VLOOKUP('A-70 RevVehInv'!S43,Valid!$B$99:$I$120,7), "")</f>
        <v/>
      </c>
      <c r="BX43" s="1539" t="str">
        <f>IFERROR(VLOOKUP(O43,Valid!$B$99:$I$120,8), "")</f>
        <v/>
      </c>
      <c r="BY43" s="894"/>
    </row>
    <row r="44" spans="1:77" ht="6.75" customHeight="1" x14ac:dyDescent="0.2">
      <c r="A44" s="1517"/>
      <c r="B44" s="1530">
        <v>16.5</v>
      </c>
      <c r="C44" s="1544"/>
      <c r="D44" s="905"/>
      <c r="E44" s="1545"/>
      <c r="F44" s="905"/>
      <c r="G44" s="905"/>
      <c r="H44" s="905"/>
      <c r="I44" s="1531"/>
      <c r="J44" s="905"/>
      <c r="K44" s="1531"/>
      <c r="L44" s="905"/>
      <c r="M44" s="1531"/>
      <c r="N44" s="1531"/>
      <c r="O44" s="1533"/>
      <c r="P44" s="905"/>
      <c r="Q44" s="1533"/>
      <c r="R44" s="905"/>
      <c r="S44" s="1531" t="str">
        <f t="shared" si="0"/>
        <v/>
      </c>
      <c r="T44" s="905"/>
      <c r="U44" s="1531"/>
      <c r="V44" s="252" t="str">
        <f t="shared" si="1"/>
        <v/>
      </c>
      <c r="W44" s="1531"/>
      <c r="X44" s="905"/>
      <c r="Y44" s="1971" t="str">
        <f t="shared" si="6"/>
        <v/>
      </c>
      <c r="Z44" s="905"/>
      <c r="AA44" s="1983" t="str">
        <f t="shared" si="7"/>
        <v/>
      </c>
      <c r="AB44" s="1531"/>
      <c r="AC44" s="1531"/>
      <c r="AD44" s="1531"/>
      <c r="AE44" s="1531"/>
      <c r="AF44" s="1531"/>
      <c r="AG44" s="1534"/>
      <c r="AH44" s="1531"/>
      <c r="AI44" s="1546"/>
      <c r="AJ44" s="1531"/>
      <c r="AK44" s="1531"/>
      <c r="AL44" s="1531"/>
      <c r="AM44" s="1531"/>
      <c r="AN44" s="1531"/>
      <c r="AO44" s="1531"/>
      <c r="AP44" s="1531"/>
      <c r="AQ44" s="1535"/>
      <c r="AR44" s="1534"/>
      <c r="AS44" s="1535"/>
      <c r="AT44" s="1534"/>
      <c r="AU44" s="1535"/>
      <c r="AV44" s="1534"/>
      <c r="AW44" s="1535"/>
      <c r="AX44" s="1534"/>
      <c r="AY44" s="1535"/>
      <c r="AZ44" s="1534"/>
      <c r="BA44" s="1535"/>
      <c r="BB44" s="1534"/>
      <c r="BC44" s="1535"/>
      <c r="BD44" s="1534"/>
      <c r="BE44" s="1535"/>
      <c r="BF44" s="1534"/>
      <c r="BG44" s="1535"/>
      <c r="BH44" s="1534"/>
      <c r="BI44" s="1535"/>
      <c r="BJ44" s="1534"/>
      <c r="BK44" s="1535"/>
      <c r="BL44" s="1535"/>
      <c r="BM44" s="1531"/>
      <c r="BN44" s="898" t="str">
        <f t="shared" si="2"/>
        <v/>
      </c>
      <c r="BO44" s="898" t="str">
        <f>IFERROR(IF(AND(O44="",O44&lt;&gt;""),1913,VLOOKUP(O44,Valid!$B$99:$J$120,9)),"")</f>
        <v/>
      </c>
      <c r="BP44" s="898" t="str">
        <f t="shared" ca="1" si="3"/>
        <v/>
      </c>
      <c r="BQ44" s="1547" t="str">
        <f t="shared" ca="1" si="8"/>
        <v/>
      </c>
      <c r="BR44" s="898"/>
      <c r="BS44" s="898" t="str">
        <f t="shared" si="4"/>
        <v/>
      </c>
      <c r="BT44" s="898" t="str">
        <f t="shared" si="5"/>
        <v/>
      </c>
      <c r="BU44" s="1539" t="str">
        <f>IFERROR(IF(AND(#REF!="",C44&lt;&gt;""),Valid!$E$123,VLOOKUP(#REF!,Valid!$B$123:$F$125,4,FALSE)),"")</f>
        <v/>
      </c>
      <c r="BV44" s="1539" t="str">
        <f>IFERROR(IF(AND(#REF!="",C44&lt;&gt;""),Valid!$F$123,VLOOKUP(#REF!,Valid!$B$123:$F$125,5,FALSE)),"")</f>
        <v/>
      </c>
      <c r="BW44" s="1539" t="str">
        <f>IFERROR(VLOOKUP('A-70 RevVehInv'!S44,Valid!$B$99:$I$120,7), "")</f>
        <v/>
      </c>
      <c r="BX44" s="1539" t="str">
        <f>IFERROR(VLOOKUP(O44,Valid!$B$99:$I$120,8), "")</f>
        <v/>
      </c>
      <c r="BY44" s="1531"/>
    </row>
    <row r="45" spans="1:77" s="930" customFormat="1" x14ac:dyDescent="0.2">
      <c r="A45" s="206">
        <v>17</v>
      </c>
      <c r="B45" s="1530">
        <v>17</v>
      </c>
      <c r="C45" s="933"/>
      <c r="D45" s="719" t="str">
        <f>IF(C43="","",IF((C45=""),"Enter RVI ID. then Fill in Columns "&amp;TEXT($I$2,0)&amp;" - "&amp;TEXT($AI$2,0)&amp;"       ",""))</f>
        <v/>
      </c>
      <c r="E45" s="1056" t="str">
        <f>IF(AP45="N/A","",AP45)</f>
        <v/>
      </c>
      <c r="F45" s="1536"/>
      <c r="G45" s="1536"/>
      <c r="H45" s="1536"/>
      <c r="I45" s="1023"/>
      <c r="J45" s="1536" t="str">
        <f>IF(E45&lt;&gt;"","Vehicles?    ","")</f>
        <v/>
      </c>
      <c r="K45" s="1023"/>
      <c r="L45" s="1536" t="str">
        <f>IF(E45&lt;&gt;"","Active Vehicles?     ","")</f>
        <v/>
      </c>
      <c r="M45" s="1023"/>
      <c r="N45" s="894"/>
      <c r="O45" s="1153"/>
      <c r="P45" s="252" t="str">
        <f>IF(E45&lt;&gt;"","Select from Pull-Down List    ","")</f>
        <v/>
      </c>
      <c r="Q45" s="933"/>
      <c r="R45" s="252" t="str">
        <f>IF(E45&lt;&gt;"","Select from Pull-Down List    ","")</f>
        <v/>
      </c>
      <c r="S45" s="1766" t="str">
        <f t="shared" si="0"/>
        <v/>
      </c>
      <c r="T45" s="252"/>
      <c r="U45" s="1988"/>
      <c r="V45" s="252" t="str">
        <f t="shared" ref="V45:V76" si="69">IF(E45&lt;&gt;"","Service Yrs?    ","")</f>
        <v/>
      </c>
      <c r="W45" s="139"/>
      <c r="X45" s="252" t="str">
        <f>IF(E45&lt;&gt;"","Mfg. Yr?    ","")</f>
        <v/>
      </c>
      <c r="Y45" s="1974" t="str">
        <f t="shared" si="6"/>
        <v/>
      </c>
      <c r="Z45" s="252"/>
      <c r="AA45" s="1986" t="str">
        <f t="shared" si="7"/>
        <v/>
      </c>
      <c r="AB45" s="252" t="str">
        <f>IF(E45&lt;&gt;"","Select from Pull-Down List    ","")</f>
        <v/>
      </c>
      <c r="AC45" s="1023"/>
      <c r="AD45" s="252" t="str">
        <f>IF(E45&lt;&gt;"","Feet?    ","")</f>
        <v/>
      </c>
      <c r="AE45" s="1023"/>
      <c r="AF45" s="252" t="str">
        <f>IF(E45&lt;&gt;"","Mileage?       ","")</f>
        <v/>
      </c>
      <c r="AG45" s="1023"/>
      <c r="AH45" s="252" t="str">
        <f>IF(E45&lt;&gt;"","Avg. Lifetime Mileage? ","")</f>
        <v/>
      </c>
      <c r="AI45" s="933"/>
      <c r="AJ45" s="252" t="str">
        <f>IF(E45&lt;&gt;"","Select from Pull-Down List    ","")</f>
        <v/>
      </c>
      <c r="AK45" s="171"/>
      <c r="AL45" s="252"/>
      <c r="AM45" s="894"/>
      <c r="AN45" s="894"/>
      <c r="AO45" s="894" t="b">
        <f>IF(AND(C45="",C47&lt;&gt;""),TRUE,FALSE)</f>
        <v>0</v>
      </c>
      <c r="AP45" s="888" t="str">
        <f t="shared" ref="AP45" si="70">IF(AND(C45&lt;&gt;"",OR(I45="",K45="",M45="",O45="",Q45="",W45="",AC45="",AE45="",AG45="")),"No",IF(AND(C45="",OR(I45&lt;&gt;"",K45&lt;&gt;"",M45&lt;&gt;"",O45&lt;&gt;"",Q45&lt;&gt;"",W45&lt;&gt;"",AC45&lt;&gt;"",AE45&lt;&gt;"",AG45&lt;&gt;"",AI45&lt;&gt;"",AK45&lt;&gt;"")),"No",IF(AND(C45="",I45="",K45="",M45="",O45="",Q45="",W45="",AC45="",AE45="",AG45="",AI45=""),"N/A","Yes")))</f>
        <v>N/A</v>
      </c>
      <c r="AQ45" s="898"/>
      <c r="AR45" s="899" t="b">
        <f t="shared" ref="AR45" si="71">IF(AND(OR(I45&lt;&gt;"",K45&lt;&gt;"",M45&lt;&gt;"",O45&lt;&gt;"",Q45&lt;&gt;"",W45&lt;&gt;"",AC45&lt;&gt;"",AE45&lt;&gt;"",AG45&lt;&gt;"",AI45&lt;&gt;"",AK45&lt;&gt;""),C45=""),TRUE,FALSE)</f>
        <v>0</v>
      </c>
      <c r="AS45" s="898" t="b">
        <f t="shared" ref="AS45" si="72">IF(AT45=TRUE,FALSE,IF(SUM(K45)&gt;I45,TRUE,FALSE))</f>
        <v>0</v>
      </c>
      <c r="AT45" s="899" t="b">
        <f>IF(AND(C45&lt;&gt;"",I45=""),TRUE,FALSE)</f>
        <v>0</v>
      </c>
      <c r="AU45" s="898" t="b">
        <f>IF(AV45=TRUE,FALSE,IF(M45&gt;K45,TRUE,FALSE))</f>
        <v>0</v>
      </c>
      <c r="AV45" s="899" t="b">
        <f>IF(AND($C45&lt;&gt;"",K45=""),TRUE,FALSE)</f>
        <v>0</v>
      </c>
      <c r="AW45" s="898"/>
      <c r="AX45" s="899" t="b">
        <f>IF(AND($C45&lt;&gt;"",M45=""),TRUE,FALSE)</f>
        <v>0</v>
      </c>
      <c r="AY45" s="898" t="b">
        <f t="shared" ref="AY45" si="73">IF(AND(O45="",OR(Q45&lt;&gt;"",W45&lt;&gt;"",AC45&lt;&gt;"",AE45&lt;&gt;"",AG45&lt;&gt;"",AI45&lt;&gt;"")),TRUE,FALSE)</f>
        <v>0</v>
      </c>
      <c r="AZ45" s="899" t="b">
        <f>IF(AND($C45&lt;&gt;"",O45=""),TRUE,FALSE)</f>
        <v>0</v>
      </c>
      <c r="BA45" s="898"/>
      <c r="BB45" s="899" t="b">
        <f>IF(AND($C45&lt;&gt;"",Q45=""),TRUE,FALSE)</f>
        <v>0</v>
      </c>
      <c r="BC45" s="1537" t="b">
        <f>IF(BD45=TRUE,FALSE,IF(W45="",FALSE,IF(OR(W45&lt;BO45,W45&gt;BaseYear),TRUE,FALSE)))</f>
        <v>0</v>
      </c>
      <c r="BD45" s="899" t="b">
        <f>IF(AND($C45&lt;&gt;"",W45=""),TRUE,FALSE)</f>
        <v>0</v>
      </c>
      <c r="BE45" s="1537"/>
      <c r="BF45" s="899" t="b">
        <f>IF(AND($C45&lt;&gt;"",AC45=""),TRUE,FALSE)</f>
        <v>0</v>
      </c>
      <c r="BG45" s="898"/>
      <c r="BH45" s="899" t="b">
        <f>IF(AND($C45&lt;&gt;"",AE45=""),TRUE,FALSE)</f>
        <v>0</v>
      </c>
      <c r="BI45" s="898"/>
      <c r="BJ45" s="899" t="b">
        <f>IF(AND($C45&lt;&gt;"",AG45=""),TRUE,FALSE)</f>
        <v>0</v>
      </c>
      <c r="BK45" s="898"/>
      <c r="BL45" s="898" t="b">
        <f>IF(AND($C45&lt;&gt;"",AI45=""),TRUE,FALSE)</f>
        <v>0</v>
      </c>
      <c r="BM45" s="894"/>
      <c r="BN45" s="898" t="str">
        <f t="shared" si="2"/>
        <v/>
      </c>
      <c r="BO45" s="898" t="str">
        <f>IFERROR(IF(AND(O45="",O45&lt;&gt;""),1913,VLOOKUP(O45,Valid!$B$99:$J$120,9)),"")</f>
        <v/>
      </c>
      <c r="BP45" s="898" t="str">
        <f t="shared" ref="BP45:BP76" ca="1" si="74">IF(W45="", "", YEAR(TODAY())-W45)</f>
        <v/>
      </c>
      <c r="BQ45" s="1547" t="str">
        <f t="shared" ca="1" si="8"/>
        <v/>
      </c>
      <c r="BR45" s="898" t="str">
        <f ca="1">IF(BQ45="", "", IF(1+(BQ45*4)&lt;1, 1, 1+(BQ45*4)))</f>
        <v/>
      </c>
      <c r="BS45" s="898" t="str">
        <f t="shared" si="4"/>
        <v/>
      </c>
      <c r="BT45" s="898" t="str">
        <f t="shared" si="5"/>
        <v/>
      </c>
      <c r="BU45" s="1539" t="str">
        <f>IFERROR(IF(AND(#REF!="",C45&lt;&gt;""),Valid!$E$123,VLOOKUP(#REF!,Valid!$B$123:$F$125,4,FALSE)),"")</f>
        <v/>
      </c>
      <c r="BV45" s="1539" t="str">
        <f>IFERROR(IF(AND(#REF!="",C45&lt;&gt;""),Valid!$F$123,VLOOKUP(#REF!,Valid!$B$123:$F$125,5,FALSE)),"")</f>
        <v/>
      </c>
      <c r="BW45" s="1539" t="str">
        <f>IFERROR(VLOOKUP('A-70 RevVehInv'!S45,Valid!$B$99:$I$120,7), "")</f>
        <v/>
      </c>
      <c r="BX45" s="1539" t="str">
        <f>IFERROR(VLOOKUP(O45,Valid!$B$99:$I$120,8), "")</f>
        <v/>
      </c>
      <c r="BY45" s="894"/>
    </row>
    <row r="46" spans="1:77" ht="6.75" customHeight="1" x14ac:dyDescent="0.2">
      <c r="A46" s="1517"/>
      <c r="B46" s="1530">
        <v>17.5</v>
      </c>
      <c r="C46" s="1540"/>
      <c r="D46" s="905"/>
      <c r="E46" s="1541"/>
      <c r="F46" s="905"/>
      <c r="G46" s="905"/>
      <c r="H46" s="905"/>
      <c r="I46" s="1534"/>
      <c r="J46" s="905"/>
      <c r="K46" s="1534"/>
      <c r="L46" s="905"/>
      <c r="M46" s="1534"/>
      <c r="N46" s="1531"/>
      <c r="O46" s="1542"/>
      <c r="P46" s="905"/>
      <c r="Q46" s="1542"/>
      <c r="R46" s="905"/>
      <c r="S46" s="1534" t="str">
        <f t="shared" si="0"/>
        <v/>
      </c>
      <c r="T46" s="905"/>
      <c r="U46" s="1534"/>
      <c r="V46" s="252" t="str">
        <f t="shared" si="69"/>
        <v/>
      </c>
      <c r="W46" s="1534"/>
      <c r="X46" s="905"/>
      <c r="Y46" s="1973" t="str">
        <f t="shared" si="6"/>
        <v/>
      </c>
      <c r="Z46" s="905"/>
      <c r="AA46" s="1985" t="str">
        <f t="shared" si="7"/>
        <v/>
      </c>
      <c r="AB46" s="1531"/>
      <c r="AC46" s="1534"/>
      <c r="AD46" s="1531"/>
      <c r="AE46" s="1534"/>
      <c r="AF46" s="1531"/>
      <c r="AG46" s="1534"/>
      <c r="AH46" s="1531"/>
      <c r="AI46" s="1543"/>
      <c r="AJ46" s="1531"/>
      <c r="AK46" s="1534"/>
      <c r="AL46" s="1531"/>
      <c r="AM46" s="1531"/>
      <c r="AN46" s="1531"/>
      <c r="AO46" s="1531"/>
      <c r="AP46" s="1531"/>
      <c r="AQ46" s="1535"/>
      <c r="AR46" s="1534"/>
      <c r="AS46" s="1535"/>
      <c r="AT46" s="1534"/>
      <c r="AU46" s="1535"/>
      <c r="AV46" s="1534"/>
      <c r="AW46" s="1535"/>
      <c r="AX46" s="1534"/>
      <c r="AY46" s="1535"/>
      <c r="AZ46" s="1534"/>
      <c r="BA46" s="1535"/>
      <c r="BB46" s="1534"/>
      <c r="BC46" s="1535"/>
      <c r="BD46" s="1534"/>
      <c r="BE46" s="1535"/>
      <c r="BF46" s="1534"/>
      <c r="BG46" s="1535"/>
      <c r="BH46" s="1534"/>
      <c r="BI46" s="1535"/>
      <c r="BJ46" s="1534"/>
      <c r="BK46" s="1535"/>
      <c r="BL46" s="1535"/>
      <c r="BM46" s="1531"/>
      <c r="BN46" s="898" t="str">
        <f t="shared" si="2"/>
        <v/>
      </c>
      <c r="BO46" s="898" t="str">
        <f>IFERROR(IF(AND(O46="",O46&lt;&gt;""),1913,VLOOKUP(O46,Valid!$B$99:$J$120,9)),"")</f>
        <v/>
      </c>
      <c r="BP46" s="898" t="str">
        <f t="shared" ca="1" si="74"/>
        <v/>
      </c>
      <c r="BQ46" s="1547" t="str">
        <f t="shared" ref="BQ46:BQ77" ca="1" si="75">IF(OR(BP46="", S46="",S46=0), "", 1+ (-1*(BP46/S46)))</f>
        <v/>
      </c>
      <c r="BR46" s="898"/>
      <c r="BS46" s="898" t="str">
        <f t="shared" si="4"/>
        <v/>
      </c>
      <c r="BT46" s="898" t="str">
        <f t="shared" si="5"/>
        <v/>
      </c>
      <c r="BU46" s="1539" t="str">
        <f>IFERROR(IF(AND(#REF!="",C46&lt;&gt;""),Valid!$E$123,VLOOKUP(#REF!,Valid!$B$123:$F$125,4,FALSE)),"")</f>
        <v/>
      </c>
      <c r="BV46" s="1539" t="str">
        <f>IFERROR(IF(AND(#REF!="",C46&lt;&gt;""),Valid!$F$123,VLOOKUP(#REF!,Valid!$B$123:$F$125,5,FALSE)),"")</f>
        <v/>
      </c>
      <c r="BW46" s="1539" t="str">
        <f>IFERROR(VLOOKUP('A-70 RevVehInv'!S46,Valid!$B$99:$I$120,7), "")</f>
        <v/>
      </c>
      <c r="BX46" s="1539" t="str">
        <f>IFERROR(VLOOKUP(O46,Valid!$B$99:$I$120,8), "")</f>
        <v/>
      </c>
      <c r="BY46" s="1531"/>
    </row>
    <row r="47" spans="1:77" s="930" customFormat="1" x14ac:dyDescent="0.2">
      <c r="A47" s="206">
        <v>18</v>
      </c>
      <c r="B47" s="1530">
        <v>18</v>
      </c>
      <c r="C47" s="933"/>
      <c r="D47" s="719" t="str">
        <f>IF(C45="","",IF((C47=""),"Enter RVI ID. then Fill in Columns "&amp;TEXT($I$2,0)&amp;" - "&amp;TEXT($AI$2,0)&amp;"       ",""))</f>
        <v/>
      </c>
      <c r="E47" s="1056" t="str">
        <f>IF(AP47="N/A","",AP47)</f>
        <v/>
      </c>
      <c r="F47" s="1536"/>
      <c r="G47" s="1536"/>
      <c r="H47" s="1536"/>
      <c r="I47" s="1023"/>
      <c r="J47" s="1536" t="str">
        <f>IF(E47&lt;&gt;"","Vehicles?    ","")</f>
        <v/>
      </c>
      <c r="K47" s="1023"/>
      <c r="L47" s="1536" t="str">
        <f>IF(E47&lt;&gt;"","Active Vehicles?     ","")</f>
        <v/>
      </c>
      <c r="M47" s="1023"/>
      <c r="N47" s="894"/>
      <c r="O47" s="1153"/>
      <c r="P47" s="252" t="str">
        <f>IF(E47&lt;&gt;"","Select from Pull-Down List    ","")</f>
        <v/>
      </c>
      <c r="Q47" s="933"/>
      <c r="R47" s="252" t="str">
        <f>IF(E47&lt;&gt;"","Select from Pull-Down List    ","")</f>
        <v/>
      </c>
      <c r="S47" s="1766" t="str">
        <f t="shared" si="0"/>
        <v/>
      </c>
      <c r="T47" s="252"/>
      <c r="U47" s="1988"/>
      <c r="V47" s="252" t="str">
        <f t="shared" si="69"/>
        <v/>
      </c>
      <c r="W47" s="139"/>
      <c r="X47" s="252" t="str">
        <f>IF(E47&lt;&gt;"","Mfg. Yr?    ","")</f>
        <v/>
      </c>
      <c r="Y47" s="1974" t="str">
        <f t="shared" si="6"/>
        <v/>
      </c>
      <c r="Z47" s="252"/>
      <c r="AA47" s="1986" t="str">
        <f t="shared" si="7"/>
        <v/>
      </c>
      <c r="AB47" s="252" t="str">
        <f>IF(E47&lt;&gt;"","Select from Pull-Down List    ","")</f>
        <v/>
      </c>
      <c r="AC47" s="1023"/>
      <c r="AD47" s="252" t="str">
        <f>IF(E47&lt;&gt;"","Feet?    ","")</f>
        <v/>
      </c>
      <c r="AE47" s="1023"/>
      <c r="AF47" s="252" t="str">
        <f>IF(E47&lt;&gt;"","Mileage?       ","")</f>
        <v/>
      </c>
      <c r="AG47" s="1023"/>
      <c r="AH47" s="252" t="str">
        <f>IF(E47&lt;&gt;"","Avg. Lifetime Mileage? ","")</f>
        <v/>
      </c>
      <c r="AI47" s="933"/>
      <c r="AJ47" s="252" t="str">
        <f>IF(E47&lt;&gt;"","Select from Pull-Down List    ","")</f>
        <v/>
      </c>
      <c r="AK47" s="171"/>
      <c r="AL47" s="252"/>
      <c r="AM47" s="894"/>
      <c r="AN47" s="894"/>
      <c r="AO47" s="894" t="b">
        <f>IF(AND(C47="",C49&lt;&gt;""),TRUE,FALSE)</f>
        <v>0</v>
      </c>
      <c r="AP47" s="888" t="str">
        <f t="shared" ref="AP47" si="76">IF(AND(C47&lt;&gt;"",OR(I47="",K47="",M47="",O47="",Q47="",W47="",AC47="",AE47="",AG47="")),"No",IF(AND(C47="",OR(I47&lt;&gt;"",K47&lt;&gt;"",M47&lt;&gt;"",O47&lt;&gt;"",Q47&lt;&gt;"",W47&lt;&gt;"",AC47&lt;&gt;"",AE47&lt;&gt;"",AG47&lt;&gt;"",AI47&lt;&gt;"",AK47&lt;&gt;"")),"No",IF(AND(C47="",I47="",K47="",M47="",O47="",Q47="",W47="",AC47="",AE47="",AG47="",AI47=""),"N/A","Yes")))</f>
        <v>N/A</v>
      </c>
      <c r="AQ47" s="898"/>
      <c r="AR47" s="899" t="b">
        <f t="shared" ref="AR47" si="77">IF(AND(OR(I47&lt;&gt;"",K47&lt;&gt;"",M47&lt;&gt;"",O47&lt;&gt;"",Q47&lt;&gt;"",W47&lt;&gt;"",AC47&lt;&gt;"",AE47&lt;&gt;"",AG47&lt;&gt;"",AI47&lt;&gt;"",AK47&lt;&gt;""),C47=""),TRUE,FALSE)</f>
        <v>0</v>
      </c>
      <c r="AS47" s="898" t="b">
        <f t="shared" ref="AS47" si="78">IF(AT47=TRUE,FALSE,IF(SUM(K47)&gt;I47,TRUE,FALSE))</f>
        <v>0</v>
      </c>
      <c r="AT47" s="899" t="b">
        <f>IF(AND(C47&lt;&gt;"",I47=""),TRUE,FALSE)</f>
        <v>0</v>
      </c>
      <c r="AU47" s="898" t="b">
        <f>IF(AV47=TRUE,FALSE,IF(M47&gt;K47,TRUE,FALSE))</f>
        <v>0</v>
      </c>
      <c r="AV47" s="899" t="b">
        <f>IF(AND($C47&lt;&gt;"",K47=""),TRUE,FALSE)</f>
        <v>0</v>
      </c>
      <c r="AW47" s="898"/>
      <c r="AX47" s="899" t="b">
        <f>IF(AND($C47&lt;&gt;"",M47=""),TRUE,FALSE)</f>
        <v>0</v>
      </c>
      <c r="AY47" s="898" t="b">
        <f t="shared" ref="AY47" si="79">IF(AND(O47="",OR(Q47&lt;&gt;"",W47&lt;&gt;"",AC47&lt;&gt;"",AE47&lt;&gt;"",AG47&lt;&gt;"",AI47&lt;&gt;"")),TRUE,FALSE)</f>
        <v>0</v>
      </c>
      <c r="AZ47" s="899" t="b">
        <f>IF(AND($C47&lt;&gt;"",O47=""),TRUE,FALSE)</f>
        <v>0</v>
      </c>
      <c r="BA47" s="898"/>
      <c r="BB47" s="899" t="b">
        <f>IF(AND($C47&lt;&gt;"",Q47=""),TRUE,FALSE)</f>
        <v>0</v>
      </c>
      <c r="BC47" s="1537" t="b">
        <f>IF(BD47=TRUE,FALSE,IF(W47="",FALSE,IF(OR(W47&lt;BO47,W47&gt;BaseYear),TRUE,FALSE)))</f>
        <v>0</v>
      </c>
      <c r="BD47" s="899" t="b">
        <f>IF(AND($C47&lt;&gt;"",W47=""),TRUE,FALSE)</f>
        <v>0</v>
      </c>
      <c r="BE47" s="1537"/>
      <c r="BF47" s="899" t="b">
        <f>IF(AND($C47&lt;&gt;"",AC47=""),TRUE,FALSE)</f>
        <v>0</v>
      </c>
      <c r="BG47" s="898"/>
      <c r="BH47" s="899" t="b">
        <f>IF(AND($C47&lt;&gt;"",AE47=""),TRUE,FALSE)</f>
        <v>0</v>
      </c>
      <c r="BI47" s="898"/>
      <c r="BJ47" s="899" t="b">
        <f>IF(AND($C47&lt;&gt;"",AG47=""),TRUE,FALSE)</f>
        <v>0</v>
      </c>
      <c r="BK47" s="898"/>
      <c r="BL47" s="898" t="b">
        <f>IF(AND($C47&lt;&gt;"",AI47=""),TRUE,FALSE)</f>
        <v>0</v>
      </c>
      <c r="BM47" s="894"/>
      <c r="BN47" s="898" t="str">
        <f t="shared" si="2"/>
        <v/>
      </c>
      <c r="BO47" s="898" t="str">
        <f>IFERROR(IF(AND(O47="",O47&lt;&gt;""),1913,VLOOKUP(O47,Valid!$B$99:$J$120,9)),"")</f>
        <v/>
      </c>
      <c r="BP47" s="898" t="str">
        <f t="shared" ca="1" si="74"/>
        <v/>
      </c>
      <c r="BQ47" s="1547" t="str">
        <f t="shared" ca="1" si="75"/>
        <v/>
      </c>
      <c r="BR47" s="898" t="str">
        <f ca="1">IF(BQ47="", "", IF(1+(BQ47*4)&lt;1, 1, 1+(BQ47*4)))</f>
        <v/>
      </c>
      <c r="BS47" s="898" t="str">
        <f t="shared" si="4"/>
        <v/>
      </c>
      <c r="BT47" s="898" t="str">
        <f t="shared" si="5"/>
        <v/>
      </c>
      <c r="BU47" s="1539" t="str">
        <f>IFERROR(IF(AND(#REF!="",C47&lt;&gt;""),Valid!$E$123,VLOOKUP(#REF!,Valid!$B$123:$F$125,4,FALSE)),"")</f>
        <v/>
      </c>
      <c r="BV47" s="1539" t="str">
        <f>IFERROR(IF(AND(#REF!="",C47&lt;&gt;""),Valid!$F$123,VLOOKUP(#REF!,Valid!$B$123:$F$125,5,FALSE)),"")</f>
        <v/>
      </c>
      <c r="BW47" s="1539" t="str">
        <f>IFERROR(VLOOKUP('A-70 RevVehInv'!S47,Valid!$B$99:$I$120,7), "")</f>
        <v/>
      </c>
      <c r="BX47" s="1539" t="str">
        <f>IFERROR(VLOOKUP(O47,Valid!$B$99:$I$120,8), "")</f>
        <v/>
      </c>
      <c r="BY47" s="894"/>
    </row>
    <row r="48" spans="1:77" ht="6.75" customHeight="1" x14ac:dyDescent="0.2">
      <c r="A48" s="1517"/>
      <c r="B48" s="1530">
        <v>18.5</v>
      </c>
      <c r="C48" s="1544"/>
      <c r="D48" s="905"/>
      <c r="E48" s="1545"/>
      <c r="F48" s="905"/>
      <c r="G48" s="905"/>
      <c r="H48" s="905"/>
      <c r="I48" s="1531"/>
      <c r="J48" s="905"/>
      <c r="K48" s="1531"/>
      <c r="L48" s="905"/>
      <c r="M48" s="1531"/>
      <c r="N48" s="1531"/>
      <c r="O48" s="1533"/>
      <c r="P48" s="905"/>
      <c r="Q48" s="1533"/>
      <c r="R48" s="905"/>
      <c r="S48" s="1531" t="str">
        <f t="shared" si="0"/>
        <v/>
      </c>
      <c r="T48" s="905"/>
      <c r="U48" s="1531"/>
      <c r="V48" s="252" t="str">
        <f t="shared" si="69"/>
        <v/>
      </c>
      <c r="W48" s="1531"/>
      <c r="X48" s="905"/>
      <c r="Y48" s="1971" t="str">
        <f t="shared" si="6"/>
        <v/>
      </c>
      <c r="Z48" s="905"/>
      <c r="AA48" s="1983" t="str">
        <f t="shared" si="7"/>
        <v/>
      </c>
      <c r="AB48" s="1531"/>
      <c r="AC48" s="1531"/>
      <c r="AD48" s="1531"/>
      <c r="AE48" s="1531"/>
      <c r="AF48" s="1531"/>
      <c r="AG48" s="1534"/>
      <c r="AH48" s="1531"/>
      <c r="AI48" s="1546"/>
      <c r="AJ48" s="1531"/>
      <c r="AK48" s="1531"/>
      <c r="AL48" s="1531"/>
      <c r="AM48" s="1531"/>
      <c r="AN48" s="1531"/>
      <c r="AO48" s="1531"/>
      <c r="AP48" s="1531"/>
      <c r="AQ48" s="1535"/>
      <c r="AR48" s="1534"/>
      <c r="AS48" s="1535"/>
      <c r="AT48" s="1534"/>
      <c r="AU48" s="1535"/>
      <c r="AV48" s="1534"/>
      <c r="AW48" s="1535"/>
      <c r="AX48" s="1534"/>
      <c r="AY48" s="1535"/>
      <c r="AZ48" s="1534"/>
      <c r="BA48" s="1535"/>
      <c r="BB48" s="1534"/>
      <c r="BC48" s="1535"/>
      <c r="BD48" s="1534"/>
      <c r="BE48" s="1535"/>
      <c r="BF48" s="1534"/>
      <c r="BG48" s="1535"/>
      <c r="BH48" s="1534"/>
      <c r="BI48" s="1535"/>
      <c r="BJ48" s="1534"/>
      <c r="BK48" s="1535"/>
      <c r="BL48" s="1535"/>
      <c r="BM48" s="1531"/>
      <c r="BN48" s="898" t="str">
        <f t="shared" si="2"/>
        <v/>
      </c>
      <c r="BO48" s="898" t="str">
        <f>IFERROR(IF(AND(O48="",O48&lt;&gt;""),1913,VLOOKUP(O48,Valid!$B$99:$J$120,9)),"")</f>
        <v/>
      </c>
      <c r="BP48" s="898" t="str">
        <f t="shared" ca="1" si="74"/>
        <v/>
      </c>
      <c r="BQ48" s="1547" t="str">
        <f t="shared" ca="1" si="75"/>
        <v/>
      </c>
      <c r="BR48" s="898"/>
      <c r="BS48" s="898" t="str">
        <f t="shared" si="4"/>
        <v/>
      </c>
      <c r="BT48" s="898" t="str">
        <f t="shared" si="5"/>
        <v/>
      </c>
      <c r="BU48" s="1539" t="str">
        <f>IFERROR(IF(AND(#REF!="",C48&lt;&gt;""),Valid!$E$123,VLOOKUP(#REF!,Valid!$B$123:$F$125,4,FALSE)),"")</f>
        <v/>
      </c>
      <c r="BV48" s="1539" t="str">
        <f>IFERROR(IF(AND(#REF!="",C48&lt;&gt;""),Valid!$F$123,VLOOKUP(#REF!,Valid!$B$123:$F$125,5,FALSE)),"")</f>
        <v/>
      </c>
      <c r="BW48" s="1539" t="str">
        <f>IFERROR(VLOOKUP('A-70 RevVehInv'!S48,Valid!$B$99:$I$120,7), "")</f>
        <v/>
      </c>
      <c r="BX48" s="1539" t="str">
        <f>IFERROR(VLOOKUP(O48,Valid!$B$99:$I$120,8), "")</f>
        <v/>
      </c>
      <c r="BY48" s="1531"/>
    </row>
    <row r="49" spans="1:77" s="930" customFormat="1" x14ac:dyDescent="0.2">
      <c r="A49" s="206">
        <v>19</v>
      </c>
      <c r="B49" s="1530">
        <v>19</v>
      </c>
      <c r="C49" s="933"/>
      <c r="D49" s="719" t="str">
        <f>IF(C47="","",IF((C49=""),"Enter RVI ID. then Fill in Columns "&amp;TEXT($I$2,0)&amp;" - "&amp;TEXT($AI$2,0)&amp;"       ",""))</f>
        <v/>
      </c>
      <c r="E49" s="1056" t="str">
        <f>IF(AP49="N/A","",AP49)</f>
        <v/>
      </c>
      <c r="F49" s="1536"/>
      <c r="G49" s="1536"/>
      <c r="H49" s="1536"/>
      <c r="I49" s="1023"/>
      <c r="J49" s="1536" t="str">
        <f>IF(E49&lt;&gt;"","Vehicles?    ","")</f>
        <v/>
      </c>
      <c r="K49" s="1023"/>
      <c r="L49" s="1536" t="str">
        <f>IF(E49&lt;&gt;"","Active Vehicles?     ","")</f>
        <v/>
      </c>
      <c r="M49" s="1023"/>
      <c r="N49" s="894"/>
      <c r="O49" s="1153"/>
      <c r="P49" s="252" t="str">
        <f>IF(E49&lt;&gt;"","Select from Pull-Down List    ","")</f>
        <v/>
      </c>
      <c r="Q49" s="933"/>
      <c r="R49" s="252" t="str">
        <f>IF(E49&lt;&gt;"","Select from Pull-Down List    ","")</f>
        <v/>
      </c>
      <c r="S49" s="1766" t="str">
        <f t="shared" si="0"/>
        <v/>
      </c>
      <c r="T49" s="252"/>
      <c r="U49" s="1988"/>
      <c r="V49" s="252" t="str">
        <f t="shared" si="69"/>
        <v/>
      </c>
      <c r="W49" s="139"/>
      <c r="X49" s="252" t="str">
        <f>IF(E49&lt;&gt;"","Mfg. Yr?    ","")</f>
        <v/>
      </c>
      <c r="Y49" s="1974" t="str">
        <f t="shared" si="6"/>
        <v/>
      </c>
      <c r="Z49" s="252"/>
      <c r="AA49" s="1986" t="str">
        <f t="shared" si="7"/>
        <v/>
      </c>
      <c r="AB49" s="252" t="str">
        <f>IF(E49&lt;&gt;"","Select from Pull-Down List    ","")</f>
        <v/>
      </c>
      <c r="AC49" s="1023"/>
      <c r="AD49" s="252" t="str">
        <f>IF(E49&lt;&gt;"","Feet?    ","")</f>
        <v/>
      </c>
      <c r="AE49" s="1023"/>
      <c r="AF49" s="252" t="str">
        <f>IF(E49&lt;&gt;"","Mileage?       ","")</f>
        <v/>
      </c>
      <c r="AG49" s="1023"/>
      <c r="AH49" s="252" t="str">
        <f>IF(E49&lt;&gt;"","Avg. Lifetime Mileage? ","")</f>
        <v/>
      </c>
      <c r="AI49" s="933"/>
      <c r="AJ49" s="252" t="str">
        <f>IF(E49&lt;&gt;"","Select from Pull-Down List    ","")</f>
        <v/>
      </c>
      <c r="AK49" s="171"/>
      <c r="AL49" s="252"/>
      <c r="AM49" s="894"/>
      <c r="AN49" s="894"/>
      <c r="AO49" s="894" t="b">
        <f>IF(AND(C49="",C51&lt;&gt;""),TRUE,FALSE)</f>
        <v>0</v>
      </c>
      <c r="AP49" s="888" t="str">
        <f t="shared" ref="AP49" si="80">IF(AND(C49&lt;&gt;"",OR(I49="",K49="",M49="",O49="",Q49="",W49="",AC49="",AE49="",AG49="")),"No",IF(AND(C49="",OR(I49&lt;&gt;"",K49&lt;&gt;"",M49&lt;&gt;"",O49&lt;&gt;"",Q49&lt;&gt;"",W49&lt;&gt;"",AC49&lt;&gt;"",AE49&lt;&gt;"",AG49&lt;&gt;"",AI49&lt;&gt;"",AK49&lt;&gt;"")),"No",IF(AND(C49="",I49="",K49="",M49="",O49="",Q49="",W49="",AC49="",AE49="",AG49="",AI49=""),"N/A","Yes")))</f>
        <v>N/A</v>
      </c>
      <c r="AQ49" s="898"/>
      <c r="AR49" s="899" t="b">
        <f t="shared" ref="AR49" si="81">IF(AND(OR(I49&lt;&gt;"",K49&lt;&gt;"",M49&lt;&gt;"",O49&lt;&gt;"",Q49&lt;&gt;"",W49&lt;&gt;"",AC49&lt;&gt;"",AE49&lt;&gt;"",AG49&lt;&gt;"",AI49&lt;&gt;"",AK49&lt;&gt;""),C49=""),TRUE,FALSE)</f>
        <v>0</v>
      </c>
      <c r="AS49" s="898" t="b">
        <f t="shared" ref="AS49" si="82">IF(AT49=TRUE,FALSE,IF(SUM(K49)&gt;I49,TRUE,FALSE))</f>
        <v>0</v>
      </c>
      <c r="AT49" s="899" t="b">
        <f>IF(AND(C49&lt;&gt;"",I49=""),TRUE,FALSE)</f>
        <v>0</v>
      </c>
      <c r="AU49" s="898" t="b">
        <f>IF(AV49=TRUE,FALSE,IF(M49&gt;K49,TRUE,FALSE))</f>
        <v>0</v>
      </c>
      <c r="AV49" s="899" t="b">
        <f>IF(AND($C49&lt;&gt;"",K49=""),TRUE,FALSE)</f>
        <v>0</v>
      </c>
      <c r="AW49" s="898"/>
      <c r="AX49" s="899" t="b">
        <f>IF(AND($C49&lt;&gt;"",M49=""),TRUE,FALSE)</f>
        <v>0</v>
      </c>
      <c r="AY49" s="898" t="b">
        <f t="shared" ref="AY49" si="83">IF(AND(O49="",OR(Q49&lt;&gt;"",W49&lt;&gt;"",AC49&lt;&gt;"",AE49&lt;&gt;"",AG49&lt;&gt;"",AI49&lt;&gt;"")),TRUE,FALSE)</f>
        <v>0</v>
      </c>
      <c r="AZ49" s="899" t="b">
        <f>IF(AND($C49&lt;&gt;"",O49=""),TRUE,FALSE)</f>
        <v>0</v>
      </c>
      <c r="BA49" s="898"/>
      <c r="BB49" s="899" t="b">
        <f>IF(AND($C49&lt;&gt;"",Q49=""),TRUE,FALSE)</f>
        <v>0</v>
      </c>
      <c r="BC49" s="1537" t="b">
        <f>IF(BD49=TRUE,FALSE,IF(W49="",FALSE,IF(OR(W49&lt;BO49,W49&gt;BaseYear),TRUE,FALSE)))</f>
        <v>0</v>
      </c>
      <c r="BD49" s="899" t="b">
        <f>IF(AND($C49&lt;&gt;"",W49=""),TRUE,FALSE)</f>
        <v>0</v>
      </c>
      <c r="BE49" s="1537"/>
      <c r="BF49" s="899" t="b">
        <f>IF(AND($C49&lt;&gt;"",AC49=""),TRUE,FALSE)</f>
        <v>0</v>
      </c>
      <c r="BG49" s="898"/>
      <c r="BH49" s="899" t="b">
        <f>IF(AND($C49&lt;&gt;"",AE49=""),TRUE,FALSE)</f>
        <v>0</v>
      </c>
      <c r="BI49" s="898"/>
      <c r="BJ49" s="899" t="b">
        <f>IF(AND($C49&lt;&gt;"",AG49=""),TRUE,FALSE)</f>
        <v>0</v>
      </c>
      <c r="BK49" s="898"/>
      <c r="BL49" s="898" t="b">
        <f>IF(AND($C49&lt;&gt;"",AI49=""),TRUE,FALSE)</f>
        <v>0</v>
      </c>
      <c r="BM49" s="894"/>
      <c r="BN49" s="898" t="str">
        <f t="shared" si="2"/>
        <v/>
      </c>
      <c r="BO49" s="898" t="str">
        <f>IFERROR(IF(AND(O49="",O49&lt;&gt;""),1913,VLOOKUP(O49,Valid!$B$99:$J$120,9)),"")</f>
        <v/>
      </c>
      <c r="BP49" s="898" t="str">
        <f t="shared" ca="1" si="74"/>
        <v/>
      </c>
      <c r="BQ49" s="1547" t="str">
        <f t="shared" ca="1" si="75"/>
        <v/>
      </c>
      <c r="BR49" s="898" t="str">
        <f ca="1">IF(BQ49="", "", IF(1+(BQ49*4)&lt;1, 1, 1+(BQ49*4)))</f>
        <v/>
      </c>
      <c r="BS49" s="898" t="str">
        <f t="shared" si="4"/>
        <v/>
      </c>
      <c r="BT49" s="898" t="str">
        <f t="shared" si="5"/>
        <v/>
      </c>
      <c r="BU49" s="1539" t="str">
        <f>IFERROR(IF(AND(#REF!="",C49&lt;&gt;""),Valid!$E$123,VLOOKUP(#REF!,Valid!$B$123:$F$125,4,FALSE)),"")</f>
        <v/>
      </c>
      <c r="BV49" s="1539" t="str">
        <f>IFERROR(IF(AND(#REF!="",C49&lt;&gt;""),Valid!$F$123,VLOOKUP(#REF!,Valid!$B$123:$F$125,5,FALSE)),"")</f>
        <v/>
      </c>
      <c r="BW49" s="1539" t="str">
        <f>IFERROR(VLOOKUP('A-70 RevVehInv'!S49,Valid!$B$99:$I$120,7), "")</f>
        <v/>
      </c>
      <c r="BX49" s="1539" t="str">
        <f>IFERROR(VLOOKUP(O49,Valid!$B$99:$I$120,8), "")</f>
        <v/>
      </c>
      <c r="BY49" s="894"/>
    </row>
    <row r="50" spans="1:77" ht="6.75" customHeight="1" x14ac:dyDescent="0.2">
      <c r="A50" s="1517"/>
      <c r="B50" s="1530">
        <v>19.5</v>
      </c>
      <c r="C50" s="1540"/>
      <c r="D50" s="905"/>
      <c r="E50" s="1541"/>
      <c r="F50" s="905"/>
      <c r="G50" s="905"/>
      <c r="H50" s="905"/>
      <c r="I50" s="1534"/>
      <c r="J50" s="905"/>
      <c r="K50" s="1534"/>
      <c r="L50" s="905"/>
      <c r="M50" s="1534"/>
      <c r="N50" s="1531"/>
      <c r="O50" s="1542"/>
      <c r="P50" s="905"/>
      <c r="Q50" s="1542"/>
      <c r="R50" s="905"/>
      <c r="S50" s="1534" t="str">
        <f t="shared" si="0"/>
        <v/>
      </c>
      <c r="T50" s="905"/>
      <c r="U50" s="1534"/>
      <c r="V50" s="252" t="str">
        <f t="shared" si="69"/>
        <v/>
      </c>
      <c r="W50" s="1534"/>
      <c r="X50" s="905"/>
      <c r="Y50" s="1973" t="str">
        <f t="shared" si="6"/>
        <v/>
      </c>
      <c r="Z50" s="905"/>
      <c r="AA50" s="1985" t="str">
        <f t="shared" si="7"/>
        <v/>
      </c>
      <c r="AB50" s="1531"/>
      <c r="AC50" s="1534"/>
      <c r="AD50" s="1531"/>
      <c r="AE50" s="1534"/>
      <c r="AF50" s="1531"/>
      <c r="AG50" s="1534"/>
      <c r="AH50" s="1531"/>
      <c r="AI50" s="1543"/>
      <c r="AJ50" s="1531"/>
      <c r="AK50" s="1534"/>
      <c r="AL50" s="1531"/>
      <c r="AM50" s="1531"/>
      <c r="AN50" s="1531"/>
      <c r="AO50" s="1531"/>
      <c r="AP50" s="1531"/>
      <c r="AQ50" s="1535"/>
      <c r="AR50" s="1534"/>
      <c r="AS50" s="1535"/>
      <c r="AT50" s="1534"/>
      <c r="AU50" s="1535"/>
      <c r="AV50" s="1534"/>
      <c r="AW50" s="1535"/>
      <c r="AX50" s="1534"/>
      <c r="AY50" s="1535"/>
      <c r="AZ50" s="1534"/>
      <c r="BA50" s="1535"/>
      <c r="BB50" s="1534"/>
      <c r="BC50" s="1535"/>
      <c r="BD50" s="1534"/>
      <c r="BE50" s="1535"/>
      <c r="BF50" s="1534"/>
      <c r="BG50" s="1535"/>
      <c r="BH50" s="1534"/>
      <c r="BI50" s="1535"/>
      <c r="BJ50" s="1534"/>
      <c r="BK50" s="1535"/>
      <c r="BL50" s="1535"/>
      <c r="BM50" s="1531"/>
      <c r="BN50" s="898" t="str">
        <f t="shared" si="2"/>
        <v/>
      </c>
      <c r="BO50" s="898" t="str">
        <f>IFERROR(IF(AND(O50="",O50&lt;&gt;""),1913,VLOOKUP(O50,Valid!$B$99:$J$120,9)),"")</f>
        <v/>
      </c>
      <c r="BP50" s="898" t="str">
        <f t="shared" ca="1" si="74"/>
        <v/>
      </c>
      <c r="BQ50" s="1547" t="str">
        <f t="shared" ca="1" si="75"/>
        <v/>
      </c>
      <c r="BR50" s="898"/>
      <c r="BS50" s="898" t="str">
        <f t="shared" si="4"/>
        <v/>
      </c>
      <c r="BT50" s="898" t="str">
        <f t="shared" si="5"/>
        <v/>
      </c>
      <c r="BU50" s="1539" t="str">
        <f>IFERROR(IF(AND(#REF!="",C50&lt;&gt;""),Valid!$E$123,VLOOKUP(#REF!,Valid!$B$123:$F$125,4,FALSE)),"")</f>
        <v/>
      </c>
      <c r="BV50" s="1539" t="str">
        <f>IFERROR(IF(AND(#REF!="",C50&lt;&gt;""),Valid!$F$123,VLOOKUP(#REF!,Valid!$B$123:$F$125,5,FALSE)),"")</f>
        <v/>
      </c>
      <c r="BW50" s="1539" t="str">
        <f>IFERROR(VLOOKUP('A-70 RevVehInv'!S50,Valid!$B$99:$I$120,7), "")</f>
        <v/>
      </c>
      <c r="BX50" s="1539" t="str">
        <f>IFERROR(VLOOKUP(O50,Valid!$B$99:$I$120,8), "")</f>
        <v/>
      </c>
      <c r="BY50" s="1531"/>
    </row>
    <row r="51" spans="1:77" s="930" customFormat="1" x14ac:dyDescent="0.2">
      <c r="A51" s="206">
        <v>20</v>
      </c>
      <c r="B51" s="1530">
        <v>20</v>
      </c>
      <c r="C51" s="933"/>
      <c r="D51" s="719" t="str">
        <f>IF(C49="","",IF((C51=""),"Enter RVI ID. then Fill in Columns "&amp;TEXT($I$2,0)&amp;" - "&amp;TEXT($AI$2,0)&amp;"       ",""))</f>
        <v/>
      </c>
      <c r="E51" s="1056" t="str">
        <f>IF(AP51="N/A","",AP51)</f>
        <v/>
      </c>
      <c r="F51" s="1536"/>
      <c r="G51" s="1536"/>
      <c r="H51" s="1536"/>
      <c r="I51" s="1023"/>
      <c r="J51" s="1536" t="str">
        <f>IF(E51&lt;&gt;"","Vehicles?    ","")</f>
        <v/>
      </c>
      <c r="K51" s="1023"/>
      <c r="L51" s="1536" t="str">
        <f>IF(E51&lt;&gt;"","Active Vehicles?     ","")</f>
        <v/>
      </c>
      <c r="M51" s="1023"/>
      <c r="N51" s="894"/>
      <c r="O51" s="1153"/>
      <c r="P51" s="252" t="str">
        <f>IF(E51&lt;&gt;"","Select from Pull-Down List    ","")</f>
        <v/>
      </c>
      <c r="Q51" s="933"/>
      <c r="R51" s="252" t="str">
        <f>IF(E51&lt;&gt;"","Select from Pull-Down List    ","")</f>
        <v/>
      </c>
      <c r="S51" s="1766" t="str">
        <f t="shared" si="0"/>
        <v/>
      </c>
      <c r="T51" s="252"/>
      <c r="U51" s="1988"/>
      <c r="V51" s="252" t="str">
        <f t="shared" si="69"/>
        <v/>
      </c>
      <c r="W51" s="139"/>
      <c r="X51" s="252" t="str">
        <f>IF(E51&lt;&gt;"","Mfg. Yr?    ","")</f>
        <v/>
      </c>
      <c r="Y51" s="1974" t="str">
        <f t="shared" si="6"/>
        <v/>
      </c>
      <c r="Z51" s="252"/>
      <c r="AA51" s="1986" t="str">
        <f t="shared" si="7"/>
        <v/>
      </c>
      <c r="AB51" s="252" t="str">
        <f>IF(E51&lt;&gt;"","Select from Pull-Down List    ","")</f>
        <v/>
      </c>
      <c r="AC51" s="1023"/>
      <c r="AD51" s="252" t="str">
        <f>IF(E51&lt;&gt;"","Feet?    ","")</f>
        <v/>
      </c>
      <c r="AE51" s="1023"/>
      <c r="AF51" s="252" t="str">
        <f>IF(E51&lt;&gt;"","Mileage?       ","")</f>
        <v/>
      </c>
      <c r="AG51" s="1023"/>
      <c r="AH51" s="252" t="str">
        <f>IF(E51&lt;&gt;"","Avg. Lifetime Mileage? ","")</f>
        <v/>
      </c>
      <c r="AI51" s="933"/>
      <c r="AJ51" s="252" t="str">
        <f>IF(E51&lt;&gt;"","Select from Pull-Down List    ","")</f>
        <v/>
      </c>
      <c r="AK51" s="171"/>
      <c r="AL51" s="252"/>
      <c r="AM51" s="894"/>
      <c r="AN51" s="894"/>
      <c r="AO51" s="894" t="b">
        <f>IF(AND(C51="",C53&lt;&gt;""),TRUE,FALSE)</f>
        <v>0</v>
      </c>
      <c r="AP51" s="888" t="str">
        <f t="shared" ref="AP51" si="84">IF(AND(C51&lt;&gt;"",OR(I51="",K51="",M51="",O51="",Q51="",W51="",AC51="",AE51="",AG51="")),"No",IF(AND(C51="",OR(I51&lt;&gt;"",K51&lt;&gt;"",M51&lt;&gt;"",O51&lt;&gt;"",Q51&lt;&gt;"",W51&lt;&gt;"",AC51&lt;&gt;"",AE51&lt;&gt;"",AG51&lt;&gt;"",AI51&lt;&gt;"",AK51&lt;&gt;"")),"No",IF(AND(C51="",I51="",K51="",M51="",O51="",Q51="",W51="",AC51="",AE51="",AG51="",AI51=""),"N/A","Yes")))</f>
        <v>N/A</v>
      </c>
      <c r="AQ51" s="898"/>
      <c r="AR51" s="899" t="b">
        <f t="shared" ref="AR51" si="85">IF(AND(OR(I51&lt;&gt;"",K51&lt;&gt;"",M51&lt;&gt;"",O51&lt;&gt;"",Q51&lt;&gt;"",W51&lt;&gt;"",AC51&lt;&gt;"",AE51&lt;&gt;"",AG51&lt;&gt;"",AI51&lt;&gt;"",AK51&lt;&gt;""),C51=""),TRUE,FALSE)</f>
        <v>0</v>
      </c>
      <c r="AS51" s="898" t="b">
        <f t="shared" ref="AS51" si="86">IF(AT51=TRUE,FALSE,IF(SUM(K51)&gt;I51,TRUE,FALSE))</f>
        <v>0</v>
      </c>
      <c r="AT51" s="899" t="b">
        <f>IF(AND(C51&lt;&gt;"",I51=""),TRUE,FALSE)</f>
        <v>0</v>
      </c>
      <c r="AU51" s="898" t="b">
        <f>IF(AV51=TRUE,FALSE,IF(M51&gt;K51,TRUE,FALSE))</f>
        <v>0</v>
      </c>
      <c r="AV51" s="899" t="b">
        <f>IF(AND($C51&lt;&gt;"",K51=""),TRUE,FALSE)</f>
        <v>0</v>
      </c>
      <c r="AW51" s="898"/>
      <c r="AX51" s="899" t="b">
        <f>IF(AND($C51&lt;&gt;"",M51=""),TRUE,FALSE)</f>
        <v>0</v>
      </c>
      <c r="AY51" s="898" t="b">
        <f t="shared" ref="AY51" si="87">IF(AND(O51="",OR(Q51&lt;&gt;"",W51&lt;&gt;"",AC51&lt;&gt;"",AE51&lt;&gt;"",AG51&lt;&gt;"",AI51&lt;&gt;"")),TRUE,FALSE)</f>
        <v>0</v>
      </c>
      <c r="AZ51" s="899" t="b">
        <f>IF(AND($C51&lt;&gt;"",O51=""),TRUE,FALSE)</f>
        <v>0</v>
      </c>
      <c r="BA51" s="898"/>
      <c r="BB51" s="899" t="b">
        <f>IF(AND($C51&lt;&gt;"",Q51=""),TRUE,FALSE)</f>
        <v>0</v>
      </c>
      <c r="BC51" s="1537" t="b">
        <f>IF(BD51=TRUE,FALSE,IF(W51="",FALSE,IF(OR(W51&lt;BO51,W51&gt;BaseYear),TRUE,FALSE)))</f>
        <v>0</v>
      </c>
      <c r="BD51" s="899" t="b">
        <f>IF(AND($C51&lt;&gt;"",W51=""),TRUE,FALSE)</f>
        <v>0</v>
      </c>
      <c r="BE51" s="1537"/>
      <c r="BF51" s="899" t="b">
        <f>IF(AND($C51&lt;&gt;"",AC51=""),TRUE,FALSE)</f>
        <v>0</v>
      </c>
      <c r="BG51" s="898"/>
      <c r="BH51" s="899" t="b">
        <f>IF(AND($C51&lt;&gt;"",AE51=""),TRUE,FALSE)</f>
        <v>0</v>
      </c>
      <c r="BI51" s="898"/>
      <c r="BJ51" s="899" t="b">
        <f>IF(AND($C51&lt;&gt;"",AG51=""),TRUE,FALSE)</f>
        <v>0</v>
      </c>
      <c r="BK51" s="898"/>
      <c r="BL51" s="898" t="b">
        <f>IF(AND($C51&lt;&gt;"",AI51=""),TRUE,FALSE)</f>
        <v>0</v>
      </c>
      <c r="BM51" s="894"/>
      <c r="BN51" s="898" t="str">
        <f t="shared" si="2"/>
        <v/>
      </c>
      <c r="BO51" s="898" t="str">
        <f>IFERROR(IF(AND(O51="",O51&lt;&gt;""),1913,VLOOKUP(O51,Valid!$B$99:$J$120,9)),"")</f>
        <v/>
      </c>
      <c r="BP51" s="898" t="str">
        <f t="shared" ca="1" si="74"/>
        <v/>
      </c>
      <c r="BQ51" s="1547" t="str">
        <f t="shared" ca="1" si="75"/>
        <v/>
      </c>
      <c r="BR51" s="898" t="str">
        <f ca="1">IF(BQ51="", "", IF(1+(BQ51*4)&lt;1, 1, 1+(BQ51*4)))</f>
        <v/>
      </c>
      <c r="BS51" s="898" t="str">
        <f t="shared" si="4"/>
        <v/>
      </c>
      <c r="BT51" s="898" t="str">
        <f t="shared" si="5"/>
        <v/>
      </c>
      <c r="BU51" s="1539" t="str">
        <f>IFERROR(IF(AND(#REF!="",C51&lt;&gt;""),Valid!$E$123,VLOOKUP(#REF!,Valid!$B$123:$F$125,4,FALSE)),"")</f>
        <v/>
      </c>
      <c r="BV51" s="1539" t="str">
        <f>IFERROR(IF(AND(#REF!="",C51&lt;&gt;""),Valid!$F$123,VLOOKUP(#REF!,Valid!$B$123:$F$125,5,FALSE)),"")</f>
        <v/>
      </c>
      <c r="BW51" s="1539" t="str">
        <f>IFERROR(VLOOKUP('A-70 RevVehInv'!S51,Valid!$B$99:$I$120,7), "")</f>
        <v/>
      </c>
      <c r="BX51" s="1539" t="str">
        <f>IFERROR(VLOOKUP(O51,Valid!$B$99:$I$120,8), "")</f>
        <v/>
      </c>
      <c r="BY51" s="894"/>
    </row>
    <row r="52" spans="1:77" ht="6.75" customHeight="1" x14ac:dyDescent="0.2">
      <c r="A52" s="1517"/>
      <c r="B52" s="1530">
        <v>20.5</v>
      </c>
      <c r="C52" s="1544"/>
      <c r="D52" s="905"/>
      <c r="E52" s="1545"/>
      <c r="F52" s="905"/>
      <c r="G52" s="905"/>
      <c r="H52" s="905"/>
      <c r="I52" s="1531"/>
      <c r="J52" s="905"/>
      <c r="K52" s="1531"/>
      <c r="L52" s="905"/>
      <c r="M52" s="1531"/>
      <c r="N52" s="1531"/>
      <c r="O52" s="1533"/>
      <c r="P52" s="905"/>
      <c r="Q52" s="1533"/>
      <c r="R52" s="905"/>
      <c r="S52" s="1531" t="str">
        <f t="shared" si="0"/>
        <v/>
      </c>
      <c r="T52" s="905"/>
      <c r="U52" s="1531"/>
      <c r="V52" s="252" t="str">
        <f t="shared" si="69"/>
        <v/>
      </c>
      <c r="W52" s="1531"/>
      <c r="X52" s="905"/>
      <c r="Y52" s="1971" t="str">
        <f t="shared" si="6"/>
        <v/>
      </c>
      <c r="Z52" s="905"/>
      <c r="AA52" s="1983" t="str">
        <f t="shared" si="7"/>
        <v/>
      </c>
      <c r="AB52" s="1531"/>
      <c r="AC52" s="1531"/>
      <c r="AD52" s="1531"/>
      <c r="AE52" s="1531"/>
      <c r="AF52" s="1531"/>
      <c r="AG52" s="1534"/>
      <c r="AH52" s="1531"/>
      <c r="AI52" s="1546"/>
      <c r="AJ52" s="1531"/>
      <c r="AK52" s="1531"/>
      <c r="AL52" s="1531"/>
      <c r="AM52" s="1531"/>
      <c r="AN52" s="1531"/>
      <c r="AO52" s="1531"/>
      <c r="AP52" s="1531"/>
      <c r="AQ52" s="1535"/>
      <c r="AR52" s="1534"/>
      <c r="AS52" s="1535"/>
      <c r="AT52" s="1534"/>
      <c r="AU52" s="1535"/>
      <c r="AV52" s="1534"/>
      <c r="AW52" s="1535"/>
      <c r="AX52" s="1534"/>
      <c r="AY52" s="1535"/>
      <c r="AZ52" s="1534"/>
      <c r="BA52" s="1535"/>
      <c r="BB52" s="1534"/>
      <c r="BC52" s="1535"/>
      <c r="BD52" s="1534"/>
      <c r="BE52" s="1535"/>
      <c r="BF52" s="1534"/>
      <c r="BG52" s="1535"/>
      <c r="BH52" s="1534"/>
      <c r="BI52" s="1535"/>
      <c r="BJ52" s="1534"/>
      <c r="BK52" s="1535"/>
      <c r="BL52" s="1535"/>
      <c r="BM52" s="1531"/>
      <c r="BN52" s="898" t="str">
        <f t="shared" si="2"/>
        <v/>
      </c>
      <c r="BO52" s="898" t="str">
        <f>IFERROR(IF(AND(O52="",O52&lt;&gt;""),1913,VLOOKUP(O52,Valid!$B$99:$J$120,9)),"")</f>
        <v/>
      </c>
      <c r="BP52" s="898" t="str">
        <f t="shared" ca="1" si="74"/>
        <v/>
      </c>
      <c r="BQ52" s="1547" t="str">
        <f t="shared" ca="1" si="75"/>
        <v/>
      </c>
      <c r="BR52" s="898"/>
      <c r="BS52" s="898" t="str">
        <f t="shared" si="4"/>
        <v/>
      </c>
      <c r="BT52" s="898" t="str">
        <f t="shared" si="5"/>
        <v/>
      </c>
      <c r="BU52" s="1539" t="str">
        <f>IFERROR(IF(AND(#REF!="",C52&lt;&gt;""),Valid!$E$123,VLOOKUP(#REF!,Valid!$B$123:$F$125,4,FALSE)),"")</f>
        <v/>
      </c>
      <c r="BV52" s="1539" t="str">
        <f>IFERROR(IF(AND(#REF!="",C52&lt;&gt;""),Valid!$F$123,VLOOKUP(#REF!,Valid!$B$123:$F$125,5,FALSE)),"")</f>
        <v/>
      </c>
      <c r="BW52" s="1539" t="str">
        <f>IFERROR(VLOOKUP('A-70 RevVehInv'!S52,Valid!$B$99:$I$120,7), "")</f>
        <v/>
      </c>
      <c r="BX52" s="1539" t="str">
        <f>IFERROR(VLOOKUP(O52,Valid!$B$99:$I$120,8), "")</f>
        <v/>
      </c>
      <c r="BY52" s="1531"/>
    </row>
    <row r="53" spans="1:77" s="930" customFormat="1" x14ac:dyDescent="0.2">
      <c r="A53" s="206">
        <v>21</v>
      </c>
      <c r="B53" s="1530">
        <v>21</v>
      </c>
      <c r="C53" s="933"/>
      <c r="D53" s="719" t="str">
        <f>IF(C51="","",IF((C53=""),"Enter RVI ID. then Fill in Columns "&amp;TEXT($I$2,0)&amp;" - "&amp;TEXT($AI$2,0)&amp;"       ",""))</f>
        <v/>
      </c>
      <c r="E53" s="1056" t="str">
        <f>IF(AP53="N/A","",AP53)</f>
        <v/>
      </c>
      <c r="F53" s="1536"/>
      <c r="G53" s="1536"/>
      <c r="H53" s="1536"/>
      <c r="I53" s="1023"/>
      <c r="J53" s="1536" t="str">
        <f>IF(E53&lt;&gt;"","Vehicles?    ","")</f>
        <v/>
      </c>
      <c r="K53" s="1023"/>
      <c r="L53" s="1536" t="str">
        <f>IF(E53&lt;&gt;"","Active Vehicles?     ","")</f>
        <v/>
      </c>
      <c r="M53" s="1023"/>
      <c r="N53" s="894"/>
      <c r="O53" s="1153"/>
      <c r="P53" s="252" t="str">
        <f>IF(E53&lt;&gt;"","Select from Pull-Down List    ","")</f>
        <v/>
      </c>
      <c r="Q53" s="933"/>
      <c r="R53" s="252" t="str">
        <f>IF(E53&lt;&gt;"","Select from Pull-Down List    ","")</f>
        <v/>
      </c>
      <c r="S53" s="1766" t="str">
        <f t="shared" si="0"/>
        <v/>
      </c>
      <c r="T53" s="252"/>
      <c r="U53" s="1988"/>
      <c r="V53" s="252" t="str">
        <f t="shared" si="69"/>
        <v/>
      </c>
      <c r="W53" s="139"/>
      <c r="X53" s="252" t="str">
        <f>IF(E53&lt;&gt;"","Mfg. Yr?    ","")</f>
        <v/>
      </c>
      <c r="Y53" s="1974" t="str">
        <f t="shared" si="6"/>
        <v/>
      </c>
      <c r="Z53" s="252"/>
      <c r="AA53" s="1986" t="str">
        <f t="shared" si="7"/>
        <v/>
      </c>
      <c r="AB53" s="252" t="str">
        <f>IF(E53&lt;&gt;"","Select from Pull-Down List    ","")</f>
        <v/>
      </c>
      <c r="AC53" s="1023"/>
      <c r="AD53" s="252" t="str">
        <f>IF(E53&lt;&gt;"","Feet?    ","")</f>
        <v/>
      </c>
      <c r="AE53" s="1023"/>
      <c r="AF53" s="252" t="str">
        <f>IF(E53&lt;&gt;"","Mileage?       ","")</f>
        <v/>
      </c>
      <c r="AG53" s="1023"/>
      <c r="AH53" s="252" t="str">
        <f>IF(E53&lt;&gt;"","Avg. Lifetime Mileage? ","")</f>
        <v/>
      </c>
      <c r="AI53" s="933"/>
      <c r="AJ53" s="252" t="str">
        <f>IF(E53&lt;&gt;"","Select from Pull-Down List    ","")</f>
        <v/>
      </c>
      <c r="AK53" s="171"/>
      <c r="AL53" s="252"/>
      <c r="AM53" s="894"/>
      <c r="AN53" s="894"/>
      <c r="AO53" s="894" t="b">
        <f>IF(AND(C53="",C55&lt;&gt;""),TRUE,FALSE)</f>
        <v>0</v>
      </c>
      <c r="AP53" s="888" t="str">
        <f t="shared" ref="AP53" si="88">IF(AND(C53&lt;&gt;"",OR(I53="",K53="",M53="",O53="",Q53="",W53="",AC53="",AE53="",AG53="")),"No",IF(AND(C53="",OR(I53&lt;&gt;"",K53&lt;&gt;"",M53&lt;&gt;"",O53&lt;&gt;"",Q53&lt;&gt;"",W53&lt;&gt;"",AC53&lt;&gt;"",AE53&lt;&gt;"",AG53&lt;&gt;"",AI53&lt;&gt;"",AK53&lt;&gt;"")),"No",IF(AND(C53="",I53="",K53="",M53="",O53="",Q53="",W53="",AC53="",AE53="",AG53="",AI53=""),"N/A","Yes")))</f>
        <v>N/A</v>
      </c>
      <c r="AQ53" s="898"/>
      <c r="AR53" s="899" t="b">
        <f t="shared" ref="AR53" si="89">IF(AND(OR(I53&lt;&gt;"",K53&lt;&gt;"",M53&lt;&gt;"",O53&lt;&gt;"",Q53&lt;&gt;"",W53&lt;&gt;"",AC53&lt;&gt;"",AE53&lt;&gt;"",AG53&lt;&gt;"",AI53&lt;&gt;"",AK53&lt;&gt;""),C53=""),TRUE,FALSE)</f>
        <v>0</v>
      </c>
      <c r="AS53" s="898" t="b">
        <f t="shared" ref="AS53" si="90">IF(AT53=TRUE,FALSE,IF(SUM(K53)&gt;I53,TRUE,FALSE))</f>
        <v>0</v>
      </c>
      <c r="AT53" s="899" t="b">
        <f>IF(AND(C53&lt;&gt;"",I53=""),TRUE,FALSE)</f>
        <v>0</v>
      </c>
      <c r="AU53" s="898" t="b">
        <f>IF(AV53=TRUE,FALSE,IF(M53&gt;K53,TRUE,FALSE))</f>
        <v>0</v>
      </c>
      <c r="AV53" s="899" t="b">
        <f>IF(AND($C53&lt;&gt;"",K53=""),TRUE,FALSE)</f>
        <v>0</v>
      </c>
      <c r="AW53" s="898"/>
      <c r="AX53" s="899" t="b">
        <f>IF(AND($C53&lt;&gt;"",M53=""),TRUE,FALSE)</f>
        <v>0</v>
      </c>
      <c r="AY53" s="898" t="b">
        <f t="shared" ref="AY53" si="91">IF(AND(O53="",OR(Q53&lt;&gt;"",W53&lt;&gt;"",AC53&lt;&gt;"",AE53&lt;&gt;"",AG53&lt;&gt;"",AI53&lt;&gt;"")),TRUE,FALSE)</f>
        <v>0</v>
      </c>
      <c r="AZ53" s="899" t="b">
        <f>IF(AND($C53&lt;&gt;"",O53=""),TRUE,FALSE)</f>
        <v>0</v>
      </c>
      <c r="BA53" s="898"/>
      <c r="BB53" s="899" t="b">
        <f>IF(AND($C53&lt;&gt;"",Q53=""),TRUE,FALSE)</f>
        <v>0</v>
      </c>
      <c r="BC53" s="1537" t="b">
        <f>IF(BD53=TRUE,FALSE,IF(W53="",FALSE,IF(OR(W53&lt;BO53,W53&gt;BaseYear),TRUE,FALSE)))</f>
        <v>0</v>
      </c>
      <c r="BD53" s="899" t="b">
        <f>IF(AND($C53&lt;&gt;"",W53=""),TRUE,FALSE)</f>
        <v>0</v>
      </c>
      <c r="BE53" s="1537"/>
      <c r="BF53" s="899" t="b">
        <f>IF(AND($C53&lt;&gt;"",AC53=""),TRUE,FALSE)</f>
        <v>0</v>
      </c>
      <c r="BG53" s="898"/>
      <c r="BH53" s="899" t="b">
        <f>IF(AND($C53&lt;&gt;"",AE53=""),TRUE,FALSE)</f>
        <v>0</v>
      </c>
      <c r="BI53" s="898"/>
      <c r="BJ53" s="899" t="b">
        <f>IF(AND($C53&lt;&gt;"",AG53=""),TRUE,FALSE)</f>
        <v>0</v>
      </c>
      <c r="BK53" s="898"/>
      <c r="BL53" s="898" t="b">
        <f>IF(AND($C53&lt;&gt;"",AI53=""),TRUE,FALSE)</f>
        <v>0</v>
      </c>
      <c r="BM53" s="894"/>
      <c r="BN53" s="898" t="str">
        <f t="shared" si="2"/>
        <v/>
      </c>
      <c r="BO53" s="898" t="str">
        <f>IFERROR(IF(AND(O53="",O53&lt;&gt;""),1913,VLOOKUP(O53,Valid!$B$99:$J$120,9)),"")</f>
        <v/>
      </c>
      <c r="BP53" s="898" t="str">
        <f t="shared" ca="1" si="74"/>
        <v/>
      </c>
      <c r="BQ53" s="1547" t="str">
        <f t="shared" ca="1" si="75"/>
        <v/>
      </c>
      <c r="BR53" s="898" t="str">
        <f ca="1">IF(BQ53="", "", IF(1+(BQ53*4)&lt;1, 1, 1+(BQ53*4)))</f>
        <v/>
      </c>
      <c r="BS53" s="898" t="str">
        <f t="shared" si="4"/>
        <v/>
      </c>
      <c r="BT53" s="898" t="str">
        <f t="shared" si="5"/>
        <v/>
      </c>
      <c r="BU53" s="1539" t="str">
        <f>IFERROR(IF(AND(#REF!="",C53&lt;&gt;""),Valid!$E$123,VLOOKUP(#REF!,Valid!$B$123:$F$125,4,FALSE)),"")</f>
        <v/>
      </c>
      <c r="BV53" s="1539" t="str">
        <f>IFERROR(IF(AND(#REF!="",C53&lt;&gt;""),Valid!$F$123,VLOOKUP(#REF!,Valid!$B$123:$F$125,5,FALSE)),"")</f>
        <v/>
      </c>
      <c r="BW53" s="1539" t="str">
        <f>IFERROR(VLOOKUP('A-70 RevVehInv'!S53,Valid!$B$99:$I$120,7), "")</f>
        <v/>
      </c>
      <c r="BX53" s="1539" t="str">
        <f>IFERROR(VLOOKUP(O53,Valid!$B$99:$I$120,8), "")</f>
        <v/>
      </c>
      <c r="BY53" s="894"/>
    </row>
    <row r="54" spans="1:77" ht="6.75" customHeight="1" x14ac:dyDescent="0.2">
      <c r="A54" s="1516"/>
      <c r="B54" s="1530">
        <v>21.5</v>
      </c>
      <c r="C54" s="1540"/>
      <c r="D54" s="905"/>
      <c r="E54" s="1541"/>
      <c r="F54" s="905"/>
      <c r="G54" s="905"/>
      <c r="H54" s="905"/>
      <c r="I54" s="1534"/>
      <c r="J54" s="905"/>
      <c r="K54" s="1534"/>
      <c r="L54" s="905"/>
      <c r="M54" s="1534"/>
      <c r="N54" s="1531"/>
      <c r="O54" s="1542"/>
      <c r="P54" s="905"/>
      <c r="Q54" s="1542"/>
      <c r="R54" s="905"/>
      <c r="S54" s="1534" t="str">
        <f t="shared" si="0"/>
        <v/>
      </c>
      <c r="T54" s="905"/>
      <c r="U54" s="1534"/>
      <c r="V54" s="252" t="str">
        <f t="shared" si="69"/>
        <v/>
      </c>
      <c r="W54" s="1534"/>
      <c r="X54" s="905"/>
      <c r="Y54" s="1973" t="str">
        <f t="shared" si="6"/>
        <v/>
      </c>
      <c r="Z54" s="905"/>
      <c r="AA54" s="1985" t="str">
        <f t="shared" si="7"/>
        <v/>
      </c>
      <c r="AB54" s="1531"/>
      <c r="AC54" s="1534"/>
      <c r="AD54" s="1531"/>
      <c r="AE54" s="1534"/>
      <c r="AF54" s="1531"/>
      <c r="AG54" s="1534"/>
      <c r="AH54" s="1531"/>
      <c r="AI54" s="1543"/>
      <c r="AJ54" s="1531"/>
      <c r="AK54" s="1534"/>
      <c r="AL54" s="1531"/>
      <c r="AM54" s="1531"/>
      <c r="AN54" s="1531"/>
      <c r="AO54" s="1531"/>
      <c r="AP54" s="1531"/>
      <c r="AQ54" s="1535"/>
      <c r="AR54" s="1534"/>
      <c r="AS54" s="1535"/>
      <c r="AT54" s="1534"/>
      <c r="AU54" s="1535"/>
      <c r="AV54" s="1534"/>
      <c r="AW54" s="1535"/>
      <c r="AX54" s="1534"/>
      <c r="AY54" s="1535"/>
      <c r="AZ54" s="1534"/>
      <c r="BA54" s="1535"/>
      <c r="BB54" s="1534"/>
      <c r="BC54" s="1535"/>
      <c r="BD54" s="1534"/>
      <c r="BE54" s="1535"/>
      <c r="BF54" s="1534"/>
      <c r="BG54" s="1535"/>
      <c r="BH54" s="1534"/>
      <c r="BI54" s="1535"/>
      <c r="BJ54" s="1534"/>
      <c r="BK54" s="1535"/>
      <c r="BL54" s="1535"/>
      <c r="BM54" s="1531"/>
      <c r="BN54" s="898" t="str">
        <f t="shared" si="2"/>
        <v/>
      </c>
      <c r="BO54" s="898" t="str">
        <f>IFERROR(IF(AND(O54="",O54&lt;&gt;""),1913,VLOOKUP(O54,Valid!$B$99:$J$120,9)),"")</f>
        <v/>
      </c>
      <c r="BP54" s="898" t="str">
        <f t="shared" ca="1" si="74"/>
        <v/>
      </c>
      <c r="BQ54" s="1547" t="str">
        <f t="shared" ca="1" si="75"/>
        <v/>
      </c>
      <c r="BR54" s="898"/>
      <c r="BS54" s="898" t="str">
        <f t="shared" si="4"/>
        <v/>
      </c>
      <c r="BT54" s="898" t="str">
        <f t="shared" si="5"/>
        <v/>
      </c>
      <c r="BU54" s="1539" t="str">
        <f>IFERROR(IF(AND(#REF!="",C54&lt;&gt;""),Valid!$E$123,VLOOKUP(#REF!,Valid!$B$123:$F$125,4,FALSE)),"")</f>
        <v/>
      </c>
      <c r="BV54" s="1539" t="str">
        <f>IFERROR(IF(AND(#REF!="",C54&lt;&gt;""),Valid!$F$123,VLOOKUP(#REF!,Valid!$B$123:$F$125,5,FALSE)),"")</f>
        <v/>
      </c>
      <c r="BW54" s="1539" t="str">
        <f>IFERROR(VLOOKUP('A-70 RevVehInv'!S54,Valid!$B$99:$I$120,7), "")</f>
        <v/>
      </c>
      <c r="BX54" s="1539" t="str">
        <f>IFERROR(VLOOKUP(O54,Valid!$B$99:$I$120,8), "")</f>
        <v/>
      </c>
      <c r="BY54" s="1531"/>
    </row>
    <row r="55" spans="1:77" s="930" customFormat="1" x14ac:dyDescent="0.2">
      <c r="A55" s="206">
        <v>22</v>
      </c>
      <c r="B55" s="1530">
        <v>22</v>
      </c>
      <c r="C55" s="933"/>
      <c r="D55" s="719" t="str">
        <f>IF(C53="","",IF((C55=""),"Enter RVI ID. then Fill in Columns "&amp;TEXT($I$2,0)&amp;" - "&amp;TEXT($AI$2,0)&amp;"       ",""))</f>
        <v/>
      </c>
      <c r="E55" s="1056" t="str">
        <f>IF(AP55="N/A","",AP55)</f>
        <v/>
      </c>
      <c r="F55" s="1536"/>
      <c r="G55" s="1536"/>
      <c r="H55" s="1536"/>
      <c r="I55" s="1023"/>
      <c r="J55" s="1536" t="str">
        <f>IF(E55&lt;&gt;"","Vehicles?    ","")</f>
        <v/>
      </c>
      <c r="K55" s="1023"/>
      <c r="L55" s="1536" t="str">
        <f>IF(E55&lt;&gt;"","Active Vehicles?     ","")</f>
        <v/>
      </c>
      <c r="M55" s="1023"/>
      <c r="N55" s="894"/>
      <c r="O55" s="1153"/>
      <c r="P55" s="252" t="str">
        <f>IF(E55&lt;&gt;"","Select from Pull-Down List    ","")</f>
        <v/>
      </c>
      <c r="Q55" s="933"/>
      <c r="R55" s="252" t="str">
        <f>IF(E55&lt;&gt;"","Select from Pull-Down List    ","")</f>
        <v/>
      </c>
      <c r="S55" s="1766" t="str">
        <f t="shared" si="0"/>
        <v/>
      </c>
      <c r="T55" s="252"/>
      <c r="U55" s="1988"/>
      <c r="V55" s="252" t="str">
        <f t="shared" si="69"/>
        <v/>
      </c>
      <c r="W55" s="139"/>
      <c r="X55" s="252" t="str">
        <f>IF(E55&lt;&gt;"","Mfg. Yr?    ","")</f>
        <v/>
      </c>
      <c r="Y55" s="1974" t="str">
        <f t="shared" si="6"/>
        <v/>
      </c>
      <c r="Z55" s="252"/>
      <c r="AA55" s="1986" t="str">
        <f t="shared" si="7"/>
        <v/>
      </c>
      <c r="AB55" s="252" t="str">
        <f>IF(E55&lt;&gt;"","Select from Pull-Down List    ","")</f>
        <v/>
      </c>
      <c r="AC55" s="1023"/>
      <c r="AD55" s="252" t="str">
        <f>IF(E55&lt;&gt;"","Feet?    ","")</f>
        <v/>
      </c>
      <c r="AE55" s="1023"/>
      <c r="AF55" s="252" t="str">
        <f>IF(E55&lt;&gt;"","Mileage?       ","")</f>
        <v/>
      </c>
      <c r="AG55" s="1023"/>
      <c r="AH55" s="252" t="str">
        <f>IF(E55&lt;&gt;"","Avg. Lifetime Mileage? ","")</f>
        <v/>
      </c>
      <c r="AI55" s="933"/>
      <c r="AJ55" s="252" t="str">
        <f>IF(E55&lt;&gt;"","Select from Pull-Down List    ","")</f>
        <v/>
      </c>
      <c r="AK55" s="171"/>
      <c r="AL55" s="252"/>
      <c r="AM55" s="894"/>
      <c r="AN55" s="894"/>
      <c r="AO55" s="894" t="b">
        <f>IF(AND(C55="",C57&lt;&gt;""),TRUE,FALSE)</f>
        <v>0</v>
      </c>
      <c r="AP55" s="888" t="str">
        <f t="shared" ref="AP55" si="92">IF(AND(C55&lt;&gt;"",OR(I55="",K55="",M55="",O55="",Q55="",W55="",AC55="",AE55="",AG55="")),"No",IF(AND(C55="",OR(I55&lt;&gt;"",K55&lt;&gt;"",M55&lt;&gt;"",O55&lt;&gt;"",Q55&lt;&gt;"",W55&lt;&gt;"",AC55&lt;&gt;"",AE55&lt;&gt;"",AG55&lt;&gt;"",AI55&lt;&gt;"",AK55&lt;&gt;"")),"No",IF(AND(C55="",I55="",K55="",M55="",O55="",Q55="",W55="",AC55="",AE55="",AG55="",AI55=""),"N/A","Yes")))</f>
        <v>N/A</v>
      </c>
      <c r="AQ55" s="898"/>
      <c r="AR55" s="899" t="b">
        <f t="shared" ref="AR55" si="93">IF(AND(OR(I55&lt;&gt;"",K55&lt;&gt;"",M55&lt;&gt;"",O55&lt;&gt;"",Q55&lt;&gt;"",W55&lt;&gt;"",AC55&lt;&gt;"",AE55&lt;&gt;"",AG55&lt;&gt;"",AI55&lt;&gt;"",AK55&lt;&gt;""),C55=""),TRUE,FALSE)</f>
        <v>0</v>
      </c>
      <c r="AS55" s="898" t="b">
        <f t="shared" ref="AS55" si="94">IF(AT55=TRUE,FALSE,IF(SUM(K55)&gt;I55,TRUE,FALSE))</f>
        <v>0</v>
      </c>
      <c r="AT55" s="899" t="b">
        <f>IF(AND(C55&lt;&gt;"",I55=""),TRUE,FALSE)</f>
        <v>0</v>
      </c>
      <c r="AU55" s="898" t="b">
        <f>IF(AV55=TRUE,FALSE,IF(M55&gt;K55,TRUE,FALSE))</f>
        <v>0</v>
      </c>
      <c r="AV55" s="899" t="b">
        <f>IF(AND($C55&lt;&gt;"",K55=""),TRUE,FALSE)</f>
        <v>0</v>
      </c>
      <c r="AW55" s="898"/>
      <c r="AX55" s="899" t="b">
        <f>IF(AND($C55&lt;&gt;"",M55=""),TRUE,FALSE)</f>
        <v>0</v>
      </c>
      <c r="AY55" s="898" t="b">
        <f t="shared" ref="AY55" si="95">IF(AND(O55="",OR(Q55&lt;&gt;"",W55&lt;&gt;"",AC55&lt;&gt;"",AE55&lt;&gt;"",AG55&lt;&gt;"",AI55&lt;&gt;"")),TRUE,FALSE)</f>
        <v>0</v>
      </c>
      <c r="AZ55" s="899" t="b">
        <f>IF(AND($C55&lt;&gt;"",O55=""),TRUE,FALSE)</f>
        <v>0</v>
      </c>
      <c r="BA55" s="898"/>
      <c r="BB55" s="899" t="b">
        <f>IF(AND($C55&lt;&gt;"",Q55=""),TRUE,FALSE)</f>
        <v>0</v>
      </c>
      <c r="BC55" s="1537" t="b">
        <f>IF(BD55=TRUE,FALSE,IF(W55="",FALSE,IF(OR(W55&lt;BO55,W55&gt;BaseYear),TRUE,FALSE)))</f>
        <v>0</v>
      </c>
      <c r="BD55" s="899" t="b">
        <f>IF(AND($C55&lt;&gt;"",W55=""),TRUE,FALSE)</f>
        <v>0</v>
      </c>
      <c r="BE55" s="1537"/>
      <c r="BF55" s="899" t="b">
        <f>IF(AND($C55&lt;&gt;"",AC55=""),TRUE,FALSE)</f>
        <v>0</v>
      </c>
      <c r="BG55" s="898"/>
      <c r="BH55" s="899" t="b">
        <f>IF(AND($C55&lt;&gt;"",AE55=""),TRUE,FALSE)</f>
        <v>0</v>
      </c>
      <c r="BI55" s="898"/>
      <c r="BJ55" s="899" t="b">
        <f>IF(AND($C55&lt;&gt;"",AG55=""),TRUE,FALSE)</f>
        <v>0</v>
      </c>
      <c r="BK55" s="898"/>
      <c r="BL55" s="898" t="b">
        <f>IF(AND($C55&lt;&gt;"",AI55=""),TRUE,FALSE)</f>
        <v>0</v>
      </c>
      <c r="BM55" s="894"/>
      <c r="BN55" s="898" t="str">
        <f t="shared" si="2"/>
        <v/>
      </c>
      <c r="BO55" s="898" t="str">
        <f>IFERROR(IF(AND(O55="",O55&lt;&gt;""),1913,VLOOKUP(O55,Valid!$B$99:$J$120,9)),"")</f>
        <v/>
      </c>
      <c r="BP55" s="898" t="str">
        <f t="shared" ca="1" si="74"/>
        <v/>
      </c>
      <c r="BQ55" s="1547" t="str">
        <f t="shared" ca="1" si="75"/>
        <v/>
      </c>
      <c r="BR55" s="898" t="str">
        <f ca="1">IF(BQ55="", "", IF(1+(BQ55*4)&lt;1, 1, 1+(BQ55*4)))</f>
        <v/>
      </c>
      <c r="BS55" s="898" t="str">
        <f t="shared" si="4"/>
        <v/>
      </c>
      <c r="BT55" s="898" t="str">
        <f t="shared" si="5"/>
        <v/>
      </c>
      <c r="BU55" s="1539" t="str">
        <f>IFERROR(IF(AND(#REF!="",C55&lt;&gt;""),Valid!$E$123,VLOOKUP(#REF!,Valid!$B$123:$F$125,4,FALSE)),"")</f>
        <v/>
      </c>
      <c r="BV55" s="1539" t="str">
        <f>IFERROR(IF(AND(#REF!="",C55&lt;&gt;""),Valid!$F$123,VLOOKUP(#REF!,Valid!$B$123:$F$125,5,FALSE)),"")</f>
        <v/>
      </c>
      <c r="BW55" s="1539" t="str">
        <f>IFERROR(VLOOKUP('A-70 RevVehInv'!S55,Valid!$B$99:$I$120,7), "")</f>
        <v/>
      </c>
      <c r="BX55" s="1539" t="str">
        <f>IFERROR(VLOOKUP(O55,Valid!$B$99:$I$120,8), "")</f>
        <v/>
      </c>
      <c r="BY55" s="894"/>
    </row>
    <row r="56" spans="1:77" ht="6.75" customHeight="1" x14ac:dyDescent="0.2">
      <c r="A56" s="1516"/>
      <c r="B56" s="1530">
        <v>22.5</v>
      </c>
      <c r="C56" s="1544"/>
      <c r="D56" s="905"/>
      <c r="E56" s="1545"/>
      <c r="F56" s="905"/>
      <c r="G56" s="905"/>
      <c r="H56" s="905"/>
      <c r="I56" s="1531"/>
      <c r="J56" s="905"/>
      <c r="K56" s="1531"/>
      <c r="L56" s="905"/>
      <c r="M56" s="1531"/>
      <c r="N56" s="1531"/>
      <c r="O56" s="1533"/>
      <c r="P56" s="905"/>
      <c r="Q56" s="1533"/>
      <c r="R56" s="905"/>
      <c r="S56" s="1531" t="str">
        <f t="shared" si="0"/>
        <v/>
      </c>
      <c r="T56" s="905"/>
      <c r="U56" s="1531"/>
      <c r="V56" s="252" t="str">
        <f t="shared" si="69"/>
        <v/>
      </c>
      <c r="W56" s="1531"/>
      <c r="X56" s="905"/>
      <c r="Y56" s="1971" t="str">
        <f t="shared" si="6"/>
        <v/>
      </c>
      <c r="Z56" s="905"/>
      <c r="AA56" s="1983" t="str">
        <f t="shared" si="7"/>
        <v/>
      </c>
      <c r="AB56" s="1531"/>
      <c r="AC56" s="1531"/>
      <c r="AD56" s="1531"/>
      <c r="AE56" s="1531"/>
      <c r="AF56" s="1531"/>
      <c r="AG56" s="1534"/>
      <c r="AH56" s="1531"/>
      <c r="AI56" s="1546"/>
      <c r="AJ56" s="1531"/>
      <c r="AK56" s="1531"/>
      <c r="AL56" s="1531"/>
      <c r="AM56" s="1531"/>
      <c r="AN56" s="1531"/>
      <c r="AO56" s="1531"/>
      <c r="AP56" s="1531"/>
      <c r="AQ56" s="1535"/>
      <c r="AR56" s="1534"/>
      <c r="AS56" s="1535"/>
      <c r="AT56" s="1534"/>
      <c r="AU56" s="1535"/>
      <c r="AV56" s="1534"/>
      <c r="AW56" s="1535"/>
      <c r="AX56" s="1534"/>
      <c r="AY56" s="1535"/>
      <c r="AZ56" s="1534"/>
      <c r="BA56" s="1535"/>
      <c r="BB56" s="1534"/>
      <c r="BC56" s="1535"/>
      <c r="BD56" s="1534"/>
      <c r="BE56" s="1535"/>
      <c r="BF56" s="1534"/>
      <c r="BG56" s="1535"/>
      <c r="BH56" s="1534"/>
      <c r="BI56" s="1535"/>
      <c r="BJ56" s="1534"/>
      <c r="BK56" s="1535"/>
      <c r="BL56" s="1535"/>
      <c r="BM56" s="1531"/>
      <c r="BN56" s="898" t="str">
        <f t="shared" si="2"/>
        <v/>
      </c>
      <c r="BO56" s="898" t="str">
        <f>IFERROR(IF(AND(O56="",O56&lt;&gt;""),1913,VLOOKUP(O56,Valid!$B$99:$J$120,9)),"")</f>
        <v/>
      </c>
      <c r="BP56" s="898" t="str">
        <f t="shared" ca="1" si="74"/>
        <v/>
      </c>
      <c r="BQ56" s="1547" t="str">
        <f t="shared" ca="1" si="75"/>
        <v/>
      </c>
      <c r="BR56" s="898"/>
      <c r="BS56" s="898" t="str">
        <f t="shared" si="4"/>
        <v/>
      </c>
      <c r="BT56" s="898" t="str">
        <f t="shared" si="5"/>
        <v/>
      </c>
      <c r="BU56" s="1539" t="str">
        <f>IFERROR(IF(AND(#REF!="",C56&lt;&gt;""),Valid!$E$123,VLOOKUP(#REF!,Valid!$B$123:$F$125,4,FALSE)),"")</f>
        <v/>
      </c>
      <c r="BV56" s="1539" t="str">
        <f>IFERROR(IF(AND(#REF!="",C56&lt;&gt;""),Valid!$F$123,VLOOKUP(#REF!,Valid!$B$123:$F$125,5,FALSE)),"")</f>
        <v/>
      </c>
      <c r="BW56" s="1539" t="str">
        <f>IFERROR(VLOOKUP('A-70 RevVehInv'!S56,Valid!$B$99:$I$120,7), "")</f>
        <v/>
      </c>
      <c r="BX56" s="1539" t="str">
        <f>IFERROR(VLOOKUP(O56,Valid!$B$99:$I$120,8), "")</f>
        <v/>
      </c>
      <c r="BY56" s="1531"/>
    </row>
    <row r="57" spans="1:77" s="930" customFormat="1" x14ac:dyDescent="0.2">
      <c r="A57" s="206">
        <v>23</v>
      </c>
      <c r="B57" s="1530">
        <v>23</v>
      </c>
      <c r="C57" s="933"/>
      <c r="D57" s="719" t="str">
        <f>IF(C55="","",IF((C57=""),"Enter RVI ID. then Fill in Columns "&amp;TEXT($I$2,0)&amp;" - "&amp;TEXT($AI$2,0)&amp;"       ",""))</f>
        <v/>
      </c>
      <c r="E57" s="1056" t="str">
        <f>IF(AP57="N/A","",AP57)</f>
        <v/>
      </c>
      <c r="F57" s="1536"/>
      <c r="G57" s="1536"/>
      <c r="H57" s="1536"/>
      <c r="I57" s="1023"/>
      <c r="J57" s="1536" t="str">
        <f>IF(E57&lt;&gt;"","Vehicles?    ","")</f>
        <v/>
      </c>
      <c r="K57" s="1023"/>
      <c r="L57" s="1536" t="str">
        <f>IF(E57&lt;&gt;"","Active Vehicles?     ","")</f>
        <v/>
      </c>
      <c r="M57" s="1023"/>
      <c r="N57" s="894"/>
      <c r="O57" s="1153"/>
      <c r="P57" s="252" t="str">
        <f>IF(E57&lt;&gt;"","Select from Pull-Down List    ","")</f>
        <v/>
      </c>
      <c r="Q57" s="933"/>
      <c r="R57" s="252" t="str">
        <f>IF(E57&lt;&gt;"","Select from Pull-Down List    ","")</f>
        <v/>
      </c>
      <c r="S57" s="1766" t="str">
        <f t="shared" si="0"/>
        <v/>
      </c>
      <c r="T57" s="252"/>
      <c r="U57" s="1988"/>
      <c r="V57" s="252" t="str">
        <f t="shared" si="69"/>
        <v/>
      </c>
      <c r="W57" s="139"/>
      <c r="X57" s="252" t="str">
        <f>IF(E57&lt;&gt;"","Mfg. Yr?    ","")</f>
        <v/>
      </c>
      <c r="Y57" s="1974" t="str">
        <f t="shared" si="6"/>
        <v/>
      </c>
      <c r="Z57" s="252"/>
      <c r="AA57" s="1986" t="str">
        <f t="shared" si="7"/>
        <v/>
      </c>
      <c r="AB57" s="252" t="str">
        <f>IF(E57&lt;&gt;"","Select from Pull-Down List    ","")</f>
        <v/>
      </c>
      <c r="AC57" s="1023"/>
      <c r="AD57" s="252" t="str">
        <f>IF(E57&lt;&gt;"","Feet?    ","")</f>
        <v/>
      </c>
      <c r="AE57" s="1023"/>
      <c r="AF57" s="252" t="str">
        <f>IF(E57&lt;&gt;"","Mileage?       ","")</f>
        <v/>
      </c>
      <c r="AG57" s="1023"/>
      <c r="AH57" s="252" t="str">
        <f>IF(E57&lt;&gt;"","Avg. Lifetime Mileage? ","")</f>
        <v/>
      </c>
      <c r="AI57" s="933"/>
      <c r="AJ57" s="252" t="str">
        <f>IF(E57&lt;&gt;"","Select from Pull-Down List    ","")</f>
        <v/>
      </c>
      <c r="AK57" s="171"/>
      <c r="AL57" s="252"/>
      <c r="AM57" s="894"/>
      <c r="AN57" s="894"/>
      <c r="AO57" s="894" t="b">
        <f>IF(AND(C57="",C59&lt;&gt;""),TRUE,FALSE)</f>
        <v>0</v>
      </c>
      <c r="AP57" s="888" t="str">
        <f t="shared" ref="AP57" si="96">IF(AND(C57&lt;&gt;"",OR(I57="",K57="",M57="",O57="",Q57="",W57="",AC57="",AE57="",AG57="")),"No",IF(AND(C57="",OR(I57&lt;&gt;"",K57&lt;&gt;"",M57&lt;&gt;"",O57&lt;&gt;"",Q57&lt;&gt;"",W57&lt;&gt;"",AC57&lt;&gt;"",AE57&lt;&gt;"",AG57&lt;&gt;"",AI57&lt;&gt;"",AK57&lt;&gt;"")),"No",IF(AND(C57="",I57="",K57="",M57="",O57="",Q57="",W57="",AC57="",AE57="",AG57="",AI57=""),"N/A","Yes")))</f>
        <v>N/A</v>
      </c>
      <c r="AQ57" s="898"/>
      <c r="AR57" s="899" t="b">
        <f t="shared" ref="AR57" si="97">IF(AND(OR(I57&lt;&gt;"",K57&lt;&gt;"",M57&lt;&gt;"",O57&lt;&gt;"",Q57&lt;&gt;"",W57&lt;&gt;"",AC57&lt;&gt;"",AE57&lt;&gt;"",AG57&lt;&gt;"",AI57&lt;&gt;"",AK57&lt;&gt;""),C57=""),TRUE,FALSE)</f>
        <v>0</v>
      </c>
      <c r="AS57" s="898" t="b">
        <f t="shared" ref="AS57" si="98">IF(AT57=TRUE,FALSE,IF(SUM(K57)&gt;I57,TRUE,FALSE))</f>
        <v>0</v>
      </c>
      <c r="AT57" s="899" t="b">
        <f>IF(AND(C57&lt;&gt;"",I57=""),TRUE,FALSE)</f>
        <v>0</v>
      </c>
      <c r="AU57" s="898" t="b">
        <f>IF(AV57=TRUE,FALSE,IF(M57&gt;K57,TRUE,FALSE))</f>
        <v>0</v>
      </c>
      <c r="AV57" s="899" t="b">
        <f>IF(AND($C57&lt;&gt;"",K57=""),TRUE,FALSE)</f>
        <v>0</v>
      </c>
      <c r="AW57" s="898"/>
      <c r="AX57" s="899" t="b">
        <f>IF(AND($C57&lt;&gt;"",M57=""),TRUE,FALSE)</f>
        <v>0</v>
      </c>
      <c r="AY57" s="898" t="b">
        <f t="shared" ref="AY57" si="99">IF(AND(O57="",OR(Q57&lt;&gt;"",W57&lt;&gt;"",AC57&lt;&gt;"",AE57&lt;&gt;"",AG57&lt;&gt;"",AI57&lt;&gt;"")),TRUE,FALSE)</f>
        <v>0</v>
      </c>
      <c r="AZ57" s="899" t="b">
        <f>IF(AND($C57&lt;&gt;"",O57=""),TRUE,FALSE)</f>
        <v>0</v>
      </c>
      <c r="BA57" s="898"/>
      <c r="BB57" s="899" t="b">
        <f>IF(AND($C57&lt;&gt;"",Q57=""),TRUE,FALSE)</f>
        <v>0</v>
      </c>
      <c r="BC57" s="1537" t="b">
        <f>IF(BD57=TRUE,FALSE,IF(W57="",FALSE,IF(OR(W57&lt;BO57,W57&gt;BaseYear),TRUE,FALSE)))</f>
        <v>0</v>
      </c>
      <c r="BD57" s="899" t="b">
        <f>IF(AND($C57&lt;&gt;"",W57=""),TRUE,FALSE)</f>
        <v>0</v>
      </c>
      <c r="BE57" s="1537"/>
      <c r="BF57" s="899" t="b">
        <f>IF(AND($C57&lt;&gt;"",AC57=""),TRUE,FALSE)</f>
        <v>0</v>
      </c>
      <c r="BG57" s="898"/>
      <c r="BH57" s="899" t="b">
        <f>IF(AND($C57&lt;&gt;"",AE57=""),TRUE,FALSE)</f>
        <v>0</v>
      </c>
      <c r="BI57" s="898"/>
      <c r="BJ57" s="899" t="b">
        <f>IF(AND($C57&lt;&gt;"",AG57=""),TRUE,FALSE)</f>
        <v>0</v>
      </c>
      <c r="BK57" s="898"/>
      <c r="BL57" s="898" t="b">
        <f>IF(AND($C57&lt;&gt;"",AI57=""),TRUE,FALSE)</f>
        <v>0</v>
      </c>
      <c r="BM57" s="894"/>
      <c r="BN57" s="898" t="str">
        <f t="shared" si="2"/>
        <v/>
      </c>
      <c r="BO57" s="898" t="str">
        <f>IFERROR(IF(AND(O57="",O57&lt;&gt;""),1913,VLOOKUP(O57,Valid!$B$99:$J$120,9)),"")</f>
        <v/>
      </c>
      <c r="BP57" s="898" t="str">
        <f t="shared" ca="1" si="74"/>
        <v/>
      </c>
      <c r="BQ57" s="1547" t="str">
        <f t="shared" ca="1" si="75"/>
        <v/>
      </c>
      <c r="BR57" s="898" t="str">
        <f ca="1">IF(BQ57="", "", IF(1+(BQ57*4)&lt;1, 1, 1+(BQ57*4)))</f>
        <v/>
      </c>
      <c r="BS57" s="898" t="str">
        <f t="shared" si="4"/>
        <v/>
      </c>
      <c r="BT57" s="898" t="str">
        <f t="shared" si="5"/>
        <v/>
      </c>
      <c r="BU57" s="1539" t="str">
        <f>IFERROR(IF(AND(#REF!="",C57&lt;&gt;""),Valid!$E$123,VLOOKUP(#REF!,Valid!$B$123:$F$125,4,FALSE)),"")</f>
        <v/>
      </c>
      <c r="BV57" s="1539" t="str">
        <f>IFERROR(IF(AND(#REF!="",C57&lt;&gt;""),Valid!$F$123,VLOOKUP(#REF!,Valid!$B$123:$F$125,5,FALSE)),"")</f>
        <v/>
      </c>
      <c r="BW57" s="1539" t="str">
        <f>IFERROR(VLOOKUP('A-70 RevVehInv'!S57,Valid!$B$99:$I$120,7), "")</f>
        <v/>
      </c>
      <c r="BX57" s="1539" t="str">
        <f>IFERROR(VLOOKUP(O57,Valid!$B$99:$I$120,8), "")</f>
        <v/>
      </c>
      <c r="BY57" s="894"/>
    </row>
    <row r="58" spans="1:77" ht="6.75" customHeight="1" x14ac:dyDescent="0.2">
      <c r="A58" s="1517"/>
      <c r="B58" s="1530">
        <v>23.5</v>
      </c>
      <c r="C58" s="1540"/>
      <c r="D58" s="905"/>
      <c r="E58" s="1541"/>
      <c r="F58" s="905"/>
      <c r="G58" s="905"/>
      <c r="H58" s="905"/>
      <c r="I58" s="1534"/>
      <c r="J58" s="905"/>
      <c r="K58" s="1534"/>
      <c r="L58" s="905"/>
      <c r="M58" s="1534"/>
      <c r="N58" s="1531"/>
      <c r="O58" s="1542"/>
      <c r="P58" s="905"/>
      <c r="Q58" s="1542"/>
      <c r="R58" s="905"/>
      <c r="S58" s="1534" t="str">
        <f t="shared" si="0"/>
        <v/>
      </c>
      <c r="T58" s="905"/>
      <c r="U58" s="1534"/>
      <c r="V58" s="252" t="str">
        <f t="shared" si="69"/>
        <v/>
      </c>
      <c r="W58" s="1534"/>
      <c r="X58" s="905"/>
      <c r="Y58" s="1973" t="str">
        <f t="shared" si="6"/>
        <v/>
      </c>
      <c r="Z58" s="905"/>
      <c r="AA58" s="1985" t="str">
        <f t="shared" si="7"/>
        <v/>
      </c>
      <c r="AB58" s="1531"/>
      <c r="AC58" s="1534"/>
      <c r="AD58" s="1531"/>
      <c r="AE58" s="1534"/>
      <c r="AF58" s="1531"/>
      <c r="AG58" s="1534"/>
      <c r="AH58" s="1531"/>
      <c r="AI58" s="1543"/>
      <c r="AJ58" s="1531"/>
      <c r="AK58" s="1534"/>
      <c r="AL58" s="1531"/>
      <c r="AM58" s="1531"/>
      <c r="AN58" s="1531"/>
      <c r="AO58" s="1531"/>
      <c r="AP58" s="1531"/>
      <c r="AQ58" s="1535"/>
      <c r="AR58" s="1534"/>
      <c r="AS58" s="1535"/>
      <c r="AT58" s="1534"/>
      <c r="AU58" s="1535"/>
      <c r="AV58" s="1534"/>
      <c r="AW58" s="1535"/>
      <c r="AX58" s="1534"/>
      <c r="AY58" s="1535"/>
      <c r="AZ58" s="1534"/>
      <c r="BA58" s="1535"/>
      <c r="BB58" s="1534"/>
      <c r="BC58" s="1535"/>
      <c r="BD58" s="1534"/>
      <c r="BE58" s="1535"/>
      <c r="BF58" s="1534"/>
      <c r="BG58" s="1535"/>
      <c r="BH58" s="1534"/>
      <c r="BI58" s="1535"/>
      <c r="BJ58" s="1534"/>
      <c r="BK58" s="1535"/>
      <c r="BL58" s="1535"/>
      <c r="BM58" s="1531"/>
      <c r="BN58" s="898" t="str">
        <f t="shared" si="2"/>
        <v/>
      </c>
      <c r="BO58" s="898" t="str">
        <f>IFERROR(IF(AND(O58="",O58&lt;&gt;""),1913,VLOOKUP(O58,Valid!$B$99:$J$120,9)),"")</f>
        <v/>
      </c>
      <c r="BP58" s="898" t="str">
        <f t="shared" ca="1" si="74"/>
        <v/>
      </c>
      <c r="BQ58" s="1547" t="str">
        <f t="shared" ca="1" si="75"/>
        <v/>
      </c>
      <c r="BR58" s="898"/>
      <c r="BS58" s="898" t="str">
        <f t="shared" si="4"/>
        <v/>
      </c>
      <c r="BT58" s="898" t="str">
        <f t="shared" si="5"/>
        <v/>
      </c>
      <c r="BU58" s="1539" t="str">
        <f>IFERROR(IF(AND(#REF!="",C58&lt;&gt;""),Valid!$E$123,VLOOKUP(#REF!,Valid!$B$123:$F$125,4,FALSE)),"")</f>
        <v/>
      </c>
      <c r="BV58" s="1539" t="str">
        <f>IFERROR(IF(AND(#REF!="",C58&lt;&gt;""),Valid!$F$123,VLOOKUP(#REF!,Valid!$B$123:$F$125,5,FALSE)),"")</f>
        <v/>
      </c>
      <c r="BW58" s="1539" t="str">
        <f>IFERROR(VLOOKUP('A-70 RevVehInv'!S58,Valid!$B$99:$I$120,7), "")</f>
        <v/>
      </c>
      <c r="BX58" s="1539" t="str">
        <f>IFERROR(VLOOKUP(O58,Valid!$B$99:$I$120,8), "")</f>
        <v/>
      </c>
      <c r="BY58" s="1531"/>
    </row>
    <row r="59" spans="1:77" s="930" customFormat="1" x14ac:dyDescent="0.2">
      <c r="A59" s="206">
        <v>24</v>
      </c>
      <c r="B59" s="1530">
        <v>24</v>
      </c>
      <c r="C59" s="933"/>
      <c r="D59" s="719" t="str">
        <f>IF(C57="","",IF((C59=""),"Enter RVI ID. then Fill in Columns "&amp;TEXT($I$2,0)&amp;" - "&amp;TEXT($AI$2,0)&amp;"       ",""))</f>
        <v/>
      </c>
      <c r="E59" s="1056" t="str">
        <f>IF(AP59="N/A","",AP59)</f>
        <v/>
      </c>
      <c r="F59" s="1536"/>
      <c r="G59" s="1536"/>
      <c r="H59" s="1536"/>
      <c r="I59" s="1023"/>
      <c r="J59" s="1536" t="str">
        <f>IF(E59&lt;&gt;"","Vehicles?    ","")</f>
        <v/>
      </c>
      <c r="K59" s="1023"/>
      <c r="L59" s="1536" t="str">
        <f>IF(E59&lt;&gt;"","Active Vehicles?     ","")</f>
        <v/>
      </c>
      <c r="M59" s="1023"/>
      <c r="N59" s="894"/>
      <c r="O59" s="1153"/>
      <c r="P59" s="252" t="str">
        <f>IF(E59&lt;&gt;"","Select from Pull-Down List    ","")</f>
        <v/>
      </c>
      <c r="Q59" s="933"/>
      <c r="R59" s="252" t="str">
        <f>IF(E59&lt;&gt;"","Select from Pull-Down List    ","")</f>
        <v/>
      </c>
      <c r="S59" s="1766" t="str">
        <f t="shared" si="0"/>
        <v/>
      </c>
      <c r="T59" s="252"/>
      <c r="U59" s="1988"/>
      <c r="V59" s="252" t="str">
        <f t="shared" si="69"/>
        <v/>
      </c>
      <c r="W59" s="139"/>
      <c r="X59" s="252" t="str">
        <f>IF(E59&lt;&gt;"","Mfg. Yr?    ","")</f>
        <v/>
      </c>
      <c r="Y59" s="1974" t="str">
        <f t="shared" si="6"/>
        <v/>
      </c>
      <c r="Z59" s="252"/>
      <c r="AA59" s="1986" t="str">
        <f t="shared" si="7"/>
        <v/>
      </c>
      <c r="AB59" s="252" t="str">
        <f>IF(E59&lt;&gt;"","Select from Pull-Down List    ","")</f>
        <v/>
      </c>
      <c r="AC59" s="1023"/>
      <c r="AD59" s="252" t="str">
        <f>IF(E59&lt;&gt;"","Feet?    ","")</f>
        <v/>
      </c>
      <c r="AE59" s="1023"/>
      <c r="AF59" s="252" t="str">
        <f>IF(E59&lt;&gt;"","Mileage?       ","")</f>
        <v/>
      </c>
      <c r="AG59" s="1023"/>
      <c r="AH59" s="252" t="str">
        <f>IF(E59&lt;&gt;"","Avg. Lifetime Mileage? ","")</f>
        <v/>
      </c>
      <c r="AI59" s="933"/>
      <c r="AJ59" s="252" t="str">
        <f>IF(E59&lt;&gt;"","Select from Pull-Down List    ","")</f>
        <v/>
      </c>
      <c r="AK59" s="171"/>
      <c r="AL59" s="252"/>
      <c r="AM59" s="894"/>
      <c r="AN59" s="894"/>
      <c r="AO59" s="894" t="b">
        <f>IF(AND(C59="",C61&lt;&gt;""),TRUE,FALSE)</f>
        <v>0</v>
      </c>
      <c r="AP59" s="888" t="str">
        <f t="shared" ref="AP59" si="100">IF(AND(C59&lt;&gt;"",OR(I59="",K59="",M59="",O59="",Q59="",W59="",AC59="",AE59="",AG59="")),"No",IF(AND(C59="",OR(I59&lt;&gt;"",K59&lt;&gt;"",M59&lt;&gt;"",O59&lt;&gt;"",Q59&lt;&gt;"",W59&lt;&gt;"",AC59&lt;&gt;"",AE59&lt;&gt;"",AG59&lt;&gt;"",AI59&lt;&gt;"",AK59&lt;&gt;"")),"No",IF(AND(C59="",I59="",K59="",M59="",O59="",Q59="",W59="",AC59="",AE59="",AG59="",AI59=""),"N/A","Yes")))</f>
        <v>N/A</v>
      </c>
      <c r="AQ59" s="898"/>
      <c r="AR59" s="899" t="b">
        <f t="shared" ref="AR59" si="101">IF(AND(OR(I59&lt;&gt;"",K59&lt;&gt;"",M59&lt;&gt;"",O59&lt;&gt;"",Q59&lt;&gt;"",W59&lt;&gt;"",AC59&lt;&gt;"",AE59&lt;&gt;"",AG59&lt;&gt;"",AI59&lt;&gt;"",AK59&lt;&gt;""),C59=""),TRUE,FALSE)</f>
        <v>0</v>
      </c>
      <c r="AS59" s="898" t="b">
        <f t="shared" ref="AS59" si="102">IF(AT59=TRUE,FALSE,IF(SUM(K59)&gt;I59,TRUE,FALSE))</f>
        <v>0</v>
      </c>
      <c r="AT59" s="899" t="b">
        <f>IF(AND(C59&lt;&gt;"",I59=""),TRUE,FALSE)</f>
        <v>0</v>
      </c>
      <c r="AU59" s="898" t="b">
        <f>IF(AV59=TRUE,FALSE,IF(M59&gt;K59,TRUE,FALSE))</f>
        <v>0</v>
      </c>
      <c r="AV59" s="899" t="b">
        <f>IF(AND($C59&lt;&gt;"",K59=""),TRUE,FALSE)</f>
        <v>0</v>
      </c>
      <c r="AW59" s="898"/>
      <c r="AX59" s="899" t="b">
        <f>IF(AND($C59&lt;&gt;"",M59=""),TRUE,FALSE)</f>
        <v>0</v>
      </c>
      <c r="AY59" s="898" t="b">
        <f t="shared" ref="AY59" si="103">IF(AND(O59="",OR(Q59&lt;&gt;"",W59&lt;&gt;"",AC59&lt;&gt;"",AE59&lt;&gt;"",AG59&lt;&gt;"",AI59&lt;&gt;"")),TRUE,FALSE)</f>
        <v>0</v>
      </c>
      <c r="AZ59" s="899" t="b">
        <f>IF(AND($C59&lt;&gt;"",O59=""),TRUE,FALSE)</f>
        <v>0</v>
      </c>
      <c r="BA59" s="898"/>
      <c r="BB59" s="899" t="b">
        <f>IF(AND($C59&lt;&gt;"",Q59=""),TRUE,FALSE)</f>
        <v>0</v>
      </c>
      <c r="BC59" s="1537" t="b">
        <f>IF(BD59=TRUE,FALSE,IF(W59="",FALSE,IF(OR(W59&lt;BO59,W59&gt;BaseYear),TRUE,FALSE)))</f>
        <v>0</v>
      </c>
      <c r="BD59" s="899" t="b">
        <f>IF(AND($C59&lt;&gt;"",W59=""),TRUE,FALSE)</f>
        <v>0</v>
      </c>
      <c r="BE59" s="1537"/>
      <c r="BF59" s="899" t="b">
        <f>IF(AND($C59&lt;&gt;"",AC59=""),TRUE,FALSE)</f>
        <v>0</v>
      </c>
      <c r="BG59" s="898"/>
      <c r="BH59" s="899" t="b">
        <f>IF(AND($C59&lt;&gt;"",AE59=""),TRUE,FALSE)</f>
        <v>0</v>
      </c>
      <c r="BI59" s="898"/>
      <c r="BJ59" s="899" t="b">
        <f>IF(AND($C59&lt;&gt;"",AG59=""),TRUE,FALSE)</f>
        <v>0</v>
      </c>
      <c r="BK59" s="898"/>
      <c r="BL59" s="898" t="b">
        <f>IF(AND($C59&lt;&gt;"",AI59=""),TRUE,FALSE)</f>
        <v>0</v>
      </c>
      <c r="BM59" s="894"/>
      <c r="BN59" s="898" t="str">
        <f t="shared" si="2"/>
        <v/>
      </c>
      <c r="BO59" s="898" t="str">
        <f>IFERROR(IF(AND(O59="",O59&lt;&gt;""),1913,VLOOKUP(O59,Valid!$B$99:$J$120,9)),"")</f>
        <v/>
      </c>
      <c r="BP59" s="898" t="str">
        <f t="shared" ca="1" si="74"/>
        <v/>
      </c>
      <c r="BQ59" s="1547" t="str">
        <f t="shared" ca="1" si="75"/>
        <v/>
      </c>
      <c r="BR59" s="898" t="str">
        <f ca="1">IF(BQ59="", "", IF(1+(BQ59*4)&lt;1, 1, 1+(BQ59*4)))</f>
        <v/>
      </c>
      <c r="BS59" s="898" t="str">
        <f t="shared" si="4"/>
        <v/>
      </c>
      <c r="BT59" s="898" t="str">
        <f t="shared" si="5"/>
        <v/>
      </c>
      <c r="BU59" s="1539" t="str">
        <f>IFERROR(IF(AND(#REF!="",C59&lt;&gt;""),Valid!$E$123,VLOOKUP(#REF!,Valid!$B$123:$F$125,4,FALSE)),"")</f>
        <v/>
      </c>
      <c r="BV59" s="1539" t="str">
        <f>IFERROR(IF(AND(#REF!="",C59&lt;&gt;""),Valid!$F$123,VLOOKUP(#REF!,Valid!$B$123:$F$125,5,FALSE)),"")</f>
        <v/>
      </c>
      <c r="BW59" s="1539" t="str">
        <f>IFERROR(VLOOKUP('A-70 RevVehInv'!S59,Valid!$B$99:$I$120,7), "")</f>
        <v/>
      </c>
      <c r="BX59" s="1539" t="str">
        <f>IFERROR(VLOOKUP(O59,Valid!$B$99:$I$120,8), "")</f>
        <v/>
      </c>
      <c r="BY59" s="894"/>
    </row>
    <row r="60" spans="1:77" ht="6.75" customHeight="1" x14ac:dyDescent="0.2">
      <c r="A60" s="1517"/>
      <c r="B60" s="1530">
        <v>24.5</v>
      </c>
      <c r="C60" s="1544"/>
      <c r="D60" s="905"/>
      <c r="E60" s="1545"/>
      <c r="F60" s="905"/>
      <c r="G60" s="905"/>
      <c r="H60" s="905"/>
      <c r="I60" s="1531"/>
      <c r="J60" s="905"/>
      <c r="K60" s="1531"/>
      <c r="L60" s="905"/>
      <c r="M60" s="1531"/>
      <c r="N60" s="1531"/>
      <c r="O60" s="1533"/>
      <c r="P60" s="905"/>
      <c r="Q60" s="1533"/>
      <c r="R60" s="905"/>
      <c r="S60" s="1531" t="str">
        <f t="shared" si="0"/>
        <v/>
      </c>
      <c r="T60" s="905"/>
      <c r="U60" s="1531"/>
      <c r="V60" s="252" t="str">
        <f t="shared" si="69"/>
        <v/>
      </c>
      <c r="W60" s="1531"/>
      <c r="X60" s="905"/>
      <c r="Y60" s="1971" t="str">
        <f t="shared" si="6"/>
        <v/>
      </c>
      <c r="Z60" s="905"/>
      <c r="AA60" s="1983" t="str">
        <f t="shared" si="7"/>
        <v/>
      </c>
      <c r="AB60" s="1531"/>
      <c r="AC60" s="1531"/>
      <c r="AD60" s="1531"/>
      <c r="AE60" s="1531"/>
      <c r="AF60" s="1531"/>
      <c r="AG60" s="1534"/>
      <c r="AH60" s="1531"/>
      <c r="AI60" s="1546"/>
      <c r="AJ60" s="1531"/>
      <c r="AK60" s="1531"/>
      <c r="AL60" s="1531"/>
      <c r="AM60" s="1531"/>
      <c r="AN60" s="1531"/>
      <c r="AO60" s="1531"/>
      <c r="AP60" s="1531"/>
      <c r="AQ60" s="1535"/>
      <c r="AR60" s="1534"/>
      <c r="AS60" s="1535"/>
      <c r="AT60" s="1534"/>
      <c r="AU60" s="1535"/>
      <c r="AV60" s="1534"/>
      <c r="AW60" s="1535"/>
      <c r="AX60" s="1534"/>
      <c r="AY60" s="1535"/>
      <c r="AZ60" s="1534"/>
      <c r="BA60" s="1535"/>
      <c r="BB60" s="1534"/>
      <c r="BC60" s="1535"/>
      <c r="BD60" s="1534"/>
      <c r="BE60" s="1535"/>
      <c r="BF60" s="1534"/>
      <c r="BG60" s="1535"/>
      <c r="BH60" s="1534"/>
      <c r="BI60" s="1535"/>
      <c r="BJ60" s="1534"/>
      <c r="BK60" s="1535"/>
      <c r="BL60" s="1535"/>
      <c r="BM60" s="1531"/>
      <c r="BN60" s="898" t="str">
        <f t="shared" si="2"/>
        <v/>
      </c>
      <c r="BO60" s="898" t="str">
        <f>IFERROR(IF(AND(O60="",O60&lt;&gt;""),1913,VLOOKUP(O60,Valid!$B$99:$J$120,9)),"")</f>
        <v/>
      </c>
      <c r="BP60" s="898" t="str">
        <f t="shared" ca="1" si="74"/>
        <v/>
      </c>
      <c r="BQ60" s="1547" t="str">
        <f t="shared" ca="1" si="75"/>
        <v/>
      </c>
      <c r="BR60" s="898"/>
      <c r="BS60" s="898" t="str">
        <f t="shared" si="4"/>
        <v/>
      </c>
      <c r="BT60" s="898" t="str">
        <f t="shared" si="5"/>
        <v/>
      </c>
      <c r="BU60" s="1539" t="str">
        <f>IFERROR(IF(AND(#REF!="",C60&lt;&gt;""),Valid!$E$123,VLOOKUP(#REF!,Valid!$B$123:$F$125,4,FALSE)),"")</f>
        <v/>
      </c>
      <c r="BV60" s="1539" t="str">
        <f>IFERROR(IF(AND(#REF!="",C60&lt;&gt;""),Valid!$F$123,VLOOKUP(#REF!,Valid!$B$123:$F$125,5,FALSE)),"")</f>
        <v/>
      </c>
      <c r="BW60" s="1539" t="str">
        <f>IFERROR(VLOOKUP('A-70 RevVehInv'!S60,Valid!$B$99:$I$120,7), "")</f>
        <v/>
      </c>
      <c r="BX60" s="1539" t="str">
        <f>IFERROR(VLOOKUP(O60,Valid!$B$99:$I$120,8), "")</f>
        <v/>
      </c>
      <c r="BY60" s="1531"/>
    </row>
    <row r="61" spans="1:77" s="930" customFormat="1" x14ac:dyDescent="0.2">
      <c r="A61" s="206">
        <v>25</v>
      </c>
      <c r="B61" s="1530">
        <v>25</v>
      </c>
      <c r="C61" s="933"/>
      <c r="D61" s="719" t="str">
        <f>IF(C59="","",IF((C61=""),"Enter RVI ID. then Fill in Columns "&amp;TEXT($I$2,0)&amp;" - "&amp;TEXT($AI$2,0)&amp;"       ",""))</f>
        <v/>
      </c>
      <c r="E61" s="1056" t="str">
        <f>IF(AP61="N/A","",AP61)</f>
        <v/>
      </c>
      <c r="F61" s="1536"/>
      <c r="G61" s="1536"/>
      <c r="H61" s="1536"/>
      <c r="I61" s="1023"/>
      <c r="J61" s="1536" t="str">
        <f>IF(E61&lt;&gt;"","Vehicles?    ","")</f>
        <v/>
      </c>
      <c r="K61" s="1023"/>
      <c r="L61" s="1536" t="str">
        <f>IF(E61&lt;&gt;"","Active Vehicles?     ","")</f>
        <v/>
      </c>
      <c r="M61" s="1023"/>
      <c r="N61" s="894"/>
      <c r="O61" s="1153"/>
      <c r="P61" s="252" t="str">
        <f>IF(E61&lt;&gt;"","Select from Pull-Down List    ","")</f>
        <v/>
      </c>
      <c r="Q61" s="933"/>
      <c r="R61" s="252" t="str">
        <f>IF(E61&lt;&gt;"","Select from Pull-Down List    ","")</f>
        <v/>
      </c>
      <c r="S61" s="1766" t="str">
        <f t="shared" si="0"/>
        <v/>
      </c>
      <c r="T61" s="252"/>
      <c r="U61" s="1988"/>
      <c r="V61" s="252" t="str">
        <f t="shared" si="69"/>
        <v/>
      </c>
      <c r="W61" s="139"/>
      <c r="X61" s="252" t="str">
        <f>IF(E61&lt;&gt;"","Mfg. Yr?    ","")</f>
        <v/>
      </c>
      <c r="Y61" s="1974" t="str">
        <f t="shared" si="6"/>
        <v/>
      </c>
      <c r="Z61" s="252"/>
      <c r="AA61" s="1986" t="str">
        <f t="shared" si="7"/>
        <v/>
      </c>
      <c r="AB61" s="252" t="str">
        <f>IF(E61&lt;&gt;"","Select from Pull-Down List    ","")</f>
        <v/>
      </c>
      <c r="AC61" s="1023"/>
      <c r="AD61" s="252" t="str">
        <f>IF(E61&lt;&gt;"","Feet?    ","")</f>
        <v/>
      </c>
      <c r="AE61" s="1023"/>
      <c r="AF61" s="252" t="str">
        <f>IF(E61&lt;&gt;"","Mileage?       ","")</f>
        <v/>
      </c>
      <c r="AG61" s="1023"/>
      <c r="AH61" s="252" t="str">
        <f>IF(E61&lt;&gt;"","Avg. Lifetime Mileage? ","")</f>
        <v/>
      </c>
      <c r="AI61" s="933"/>
      <c r="AJ61" s="252" t="str">
        <f>IF(E61&lt;&gt;"","Select from Pull-Down List    ","")</f>
        <v/>
      </c>
      <c r="AK61" s="171"/>
      <c r="AL61" s="252"/>
      <c r="AM61" s="894"/>
      <c r="AN61" s="894"/>
      <c r="AO61" s="894" t="b">
        <f>IF(AND(C61="",C63&lt;&gt;""),TRUE,FALSE)</f>
        <v>0</v>
      </c>
      <c r="AP61" s="888" t="str">
        <f t="shared" ref="AP61" si="104">IF(AND(C61&lt;&gt;"",OR(I61="",K61="",M61="",O61="",Q61="",W61="",AC61="",AE61="",AG61="")),"No",IF(AND(C61="",OR(I61&lt;&gt;"",K61&lt;&gt;"",M61&lt;&gt;"",O61&lt;&gt;"",Q61&lt;&gt;"",W61&lt;&gt;"",AC61&lt;&gt;"",AE61&lt;&gt;"",AG61&lt;&gt;"",AI61&lt;&gt;"",AK61&lt;&gt;"")),"No",IF(AND(C61="",I61="",K61="",M61="",O61="",Q61="",W61="",AC61="",AE61="",AG61="",AI61=""),"N/A","Yes")))</f>
        <v>N/A</v>
      </c>
      <c r="AQ61" s="898"/>
      <c r="AR61" s="899" t="b">
        <f t="shared" ref="AR61" si="105">IF(AND(OR(I61&lt;&gt;"",K61&lt;&gt;"",M61&lt;&gt;"",O61&lt;&gt;"",Q61&lt;&gt;"",W61&lt;&gt;"",AC61&lt;&gt;"",AE61&lt;&gt;"",AG61&lt;&gt;"",AI61&lt;&gt;"",AK61&lt;&gt;""),C61=""),TRUE,FALSE)</f>
        <v>0</v>
      </c>
      <c r="AS61" s="898" t="b">
        <f t="shared" ref="AS61" si="106">IF(AT61=TRUE,FALSE,IF(SUM(K61)&gt;I61,TRUE,FALSE))</f>
        <v>0</v>
      </c>
      <c r="AT61" s="899" t="b">
        <f>IF(AND(C61&lt;&gt;"",I61=""),TRUE,FALSE)</f>
        <v>0</v>
      </c>
      <c r="AU61" s="898" t="b">
        <f>IF(AV61=TRUE,FALSE,IF(M61&gt;K61,TRUE,FALSE))</f>
        <v>0</v>
      </c>
      <c r="AV61" s="899" t="b">
        <f>IF(AND($C61&lt;&gt;"",K61=""),TRUE,FALSE)</f>
        <v>0</v>
      </c>
      <c r="AW61" s="898"/>
      <c r="AX61" s="899" t="b">
        <f>IF(AND($C61&lt;&gt;"",M61=""),TRUE,FALSE)</f>
        <v>0</v>
      </c>
      <c r="AY61" s="898" t="b">
        <f t="shared" ref="AY61" si="107">IF(AND(O61="",OR(Q61&lt;&gt;"",W61&lt;&gt;"",AC61&lt;&gt;"",AE61&lt;&gt;"",AG61&lt;&gt;"",AI61&lt;&gt;"")),TRUE,FALSE)</f>
        <v>0</v>
      </c>
      <c r="AZ61" s="899" t="b">
        <f>IF(AND($C61&lt;&gt;"",O61=""),TRUE,FALSE)</f>
        <v>0</v>
      </c>
      <c r="BA61" s="898"/>
      <c r="BB61" s="899" t="b">
        <f>IF(AND($C61&lt;&gt;"",Q61=""),TRUE,FALSE)</f>
        <v>0</v>
      </c>
      <c r="BC61" s="1537" t="b">
        <f>IF(BD61=TRUE,FALSE,IF(W61="",FALSE,IF(OR(W61&lt;BO61,W61&gt;BaseYear),TRUE,FALSE)))</f>
        <v>0</v>
      </c>
      <c r="BD61" s="899" t="b">
        <f>IF(AND($C61&lt;&gt;"",W61=""),TRUE,FALSE)</f>
        <v>0</v>
      </c>
      <c r="BE61" s="1537"/>
      <c r="BF61" s="899" t="b">
        <f>IF(AND($C61&lt;&gt;"",AC61=""),TRUE,FALSE)</f>
        <v>0</v>
      </c>
      <c r="BG61" s="898"/>
      <c r="BH61" s="899" t="b">
        <f>IF(AND($C61&lt;&gt;"",AE61=""),TRUE,FALSE)</f>
        <v>0</v>
      </c>
      <c r="BI61" s="898"/>
      <c r="BJ61" s="899" t="b">
        <f>IF(AND($C61&lt;&gt;"",AG61=""),TRUE,FALSE)</f>
        <v>0</v>
      </c>
      <c r="BK61" s="898"/>
      <c r="BL61" s="898" t="b">
        <f>IF(AND($C61&lt;&gt;"",AI61=""),TRUE,FALSE)</f>
        <v>0</v>
      </c>
      <c r="BM61" s="894"/>
      <c r="BN61" s="898" t="str">
        <f t="shared" si="2"/>
        <v/>
      </c>
      <c r="BO61" s="898" t="str">
        <f>IFERROR(IF(AND(O61="",O61&lt;&gt;""),1913,VLOOKUP(O61,Valid!$B$99:$J$120,9)),"")</f>
        <v/>
      </c>
      <c r="BP61" s="898" t="str">
        <f t="shared" ca="1" si="74"/>
        <v/>
      </c>
      <c r="BQ61" s="1547" t="str">
        <f t="shared" ca="1" si="75"/>
        <v/>
      </c>
      <c r="BR61" s="898" t="str">
        <f ca="1">IF(BQ61="", "", IF(1+(BQ61*4)&lt;1, 1, 1+(BQ61*4)))</f>
        <v/>
      </c>
      <c r="BS61" s="898" t="str">
        <f t="shared" si="4"/>
        <v/>
      </c>
      <c r="BT61" s="898" t="str">
        <f t="shared" si="5"/>
        <v/>
      </c>
      <c r="BU61" s="1539" t="str">
        <f>IFERROR(IF(AND(#REF!="",C61&lt;&gt;""),Valid!$E$123,VLOOKUP(#REF!,Valid!$B$123:$F$125,4,FALSE)),"")</f>
        <v/>
      </c>
      <c r="BV61" s="1539" t="str">
        <f>IFERROR(IF(AND(#REF!="",C61&lt;&gt;""),Valid!$F$123,VLOOKUP(#REF!,Valid!$B$123:$F$125,5,FALSE)),"")</f>
        <v/>
      </c>
      <c r="BW61" s="1539" t="str">
        <f>IFERROR(VLOOKUP('A-70 RevVehInv'!S61,Valid!$B$99:$I$120,7), "")</f>
        <v/>
      </c>
      <c r="BX61" s="1539" t="str">
        <f>IFERROR(VLOOKUP(O61,Valid!$B$99:$I$120,8), "")</f>
        <v/>
      </c>
      <c r="BY61" s="894"/>
    </row>
    <row r="62" spans="1:77" ht="6.75" customHeight="1" x14ac:dyDescent="0.2">
      <c r="A62" s="1517"/>
      <c r="B62" s="1530">
        <v>25.5</v>
      </c>
      <c r="C62" s="1540"/>
      <c r="D62" s="905"/>
      <c r="E62" s="1541"/>
      <c r="F62" s="905"/>
      <c r="G62" s="905"/>
      <c r="H62" s="905"/>
      <c r="I62" s="1534"/>
      <c r="J62" s="905"/>
      <c r="K62" s="1534"/>
      <c r="L62" s="905"/>
      <c r="M62" s="1534"/>
      <c r="N62" s="1531"/>
      <c r="O62" s="1542"/>
      <c r="P62" s="905"/>
      <c r="Q62" s="1542"/>
      <c r="R62" s="905"/>
      <c r="S62" s="1534" t="str">
        <f t="shared" si="0"/>
        <v/>
      </c>
      <c r="T62" s="905"/>
      <c r="U62" s="1534"/>
      <c r="V62" s="252" t="str">
        <f t="shared" si="69"/>
        <v/>
      </c>
      <c r="W62" s="1534"/>
      <c r="X62" s="905"/>
      <c r="Y62" s="1973" t="str">
        <f t="shared" si="6"/>
        <v/>
      </c>
      <c r="Z62" s="905"/>
      <c r="AA62" s="1985" t="str">
        <f t="shared" si="7"/>
        <v/>
      </c>
      <c r="AB62" s="1531"/>
      <c r="AC62" s="1534"/>
      <c r="AD62" s="1531"/>
      <c r="AE62" s="1534"/>
      <c r="AF62" s="1531"/>
      <c r="AG62" s="1534"/>
      <c r="AH62" s="1531"/>
      <c r="AI62" s="1543"/>
      <c r="AJ62" s="1531"/>
      <c r="AK62" s="1534"/>
      <c r="AL62" s="1531"/>
      <c r="AM62" s="1531"/>
      <c r="AN62" s="1531"/>
      <c r="AO62" s="1531"/>
      <c r="AP62" s="1531"/>
      <c r="AQ62" s="1535"/>
      <c r="AR62" s="1534"/>
      <c r="AS62" s="1535"/>
      <c r="AT62" s="1534"/>
      <c r="AU62" s="1535"/>
      <c r="AV62" s="1534"/>
      <c r="AW62" s="1535"/>
      <c r="AX62" s="1534"/>
      <c r="AY62" s="1535"/>
      <c r="AZ62" s="1534"/>
      <c r="BA62" s="1535"/>
      <c r="BB62" s="1534"/>
      <c r="BC62" s="1535"/>
      <c r="BD62" s="1534"/>
      <c r="BE62" s="1535"/>
      <c r="BF62" s="1534"/>
      <c r="BG62" s="1535"/>
      <c r="BH62" s="1534"/>
      <c r="BI62" s="1535"/>
      <c r="BJ62" s="1534"/>
      <c r="BK62" s="1535"/>
      <c r="BL62" s="1535"/>
      <c r="BM62" s="1531"/>
      <c r="BN62" s="898" t="str">
        <f t="shared" si="2"/>
        <v/>
      </c>
      <c r="BO62" s="898" t="str">
        <f>IFERROR(IF(AND(O62="",O62&lt;&gt;""),1913,VLOOKUP(O62,Valid!$B$99:$J$120,9)),"")</f>
        <v/>
      </c>
      <c r="BP62" s="898" t="str">
        <f t="shared" ca="1" si="74"/>
        <v/>
      </c>
      <c r="BQ62" s="1547" t="str">
        <f t="shared" ca="1" si="75"/>
        <v/>
      </c>
      <c r="BR62" s="898"/>
      <c r="BS62" s="898" t="str">
        <f t="shared" si="4"/>
        <v/>
      </c>
      <c r="BT62" s="898" t="str">
        <f t="shared" si="5"/>
        <v/>
      </c>
      <c r="BU62" s="1539" t="str">
        <f>IFERROR(IF(AND(#REF!="",C62&lt;&gt;""),Valid!$E$123,VLOOKUP(#REF!,Valid!$B$123:$F$125,4,FALSE)),"")</f>
        <v/>
      </c>
      <c r="BV62" s="1539" t="str">
        <f>IFERROR(IF(AND(#REF!="",C62&lt;&gt;""),Valid!$F$123,VLOOKUP(#REF!,Valid!$B$123:$F$125,5,FALSE)),"")</f>
        <v/>
      </c>
      <c r="BW62" s="1539" t="str">
        <f>IFERROR(VLOOKUP('A-70 RevVehInv'!S62,Valid!$B$99:$I$120,7), "")</f>
        <v/>
      </c>
      <c r="BX62" s="1539" t="str">
        <f>IFERROR(VLOOKUP(O62,Valid!$B$99:$I$120,8), "")</f>
        <v/>
      </c>
      <c r="BY62" s="1531"/>
    </row>
    <row r="63" spans="1:77" s="930" customFormat="1" x14ac:dyDescent="0.2">
      <c r="A63" s="206">
        <v>26</v>
      </c>
      <c r="B63" s="1530">
        <v>26</v>
      </c>
      <c r="C63" s="933"/>
      <c r="D63" s="719" t="str">
        <f>IF(C61="","",IF((C63=""),"Enter RVI ID. then Fill in Columns "&amp;TEXT($I$2,0)&amp;" - "&amp;TEXT($AI$2,0)&amp;"       ",""))</f>
        <v/>
      </c>
      <c r="E63" s="1056" t="str">
        <f>IF(AP63="N/A","",AP63)</f>
        <v/>
      </c>
      <c r="F63" s="1536"/>
      <c r="G63" s="1536"/>
      <c r="H63" s="1536"/>
      <c r="I63" s="1023"/>
      <c r="J63" s="1536" t="str">
        <f>IF(E63&lt;&gt;"","Vehicles?    ","")</f>
        <v/>
      </c>
      <c r="K63" s="1023"/>
      <c r="L63" s="1536" t="str">
        <f>IF(E63&lt;&gt;"","Active Vehicles?     ","")</f>
        <v/>
      </c>
      <c r="M63" s="1023"/>
      <c r="N63" s="894"/>
      <c r="O63" s="1153"/>
      <c r="P63" s="252" t="str">
        <f>IF(E63&lt;&gt;"","Select from Pull-Down List    ","")</f>
        <v/>
      </c>
      <c r="Q63" s="933"/>
      <c r="R63" s="252" t="str">
        <f>IF(E63&lt;&gt;"","Select from Pull-Down List    ","")</f>
        <v/>
      </c>
      <c r="S63" s="1766" t="str">
        <f t="shared" si="0"/>
        <v/>
      </c>
      <c r="T63" s="252"/>
      <c r="U63" s="1988"/>
      <c r="V63" s="252" t="str">
        <f t="shared" si="69"/>
        <v/>
      </c>
      <c r="W63" s="139"/>
      <c r="X63" s="252" t="str">
        <f>IF(E63&lt;&gt;"","Mfg. Yr?    ","")</f>
        <v/>
      </c>
      <c r="Y63" s="1974" t="str">
        <f t="shared" si="6"/>
        <v/>
      </c>
      <c r="Z63" s="252"/>
      <c r="AA63" s="1986" t="str">
        <f t="shared" si="7"/>
        <v/>
      </c>
      <c r="AB63" s="252" t="str">
        <f>IF(E63&lt;&gt;"","Select from Pull-Down List    ","")</f>
        <v/>
      </c>
      <c r="AC63" s="1023"/>
      <c r="AD63" s="252" t="str">
        <f>IF(E63&lt;&gt;"","Feet?    ","")</f>
        <v/>
      </c>
      <c r="AE63" s="1023"/>
      <c r="AF63" s="252" t="str">
        <f>IF(E63&lt;&gt;"","Mileage?       ","")</f>
        <v/>
      </c>
      <c r="AG63" s="1023"/>
      <c r="AH63" s="252" t="str">
        <f>IF(E63&lt;&gt;"","Avg. Lifetime Mileage? ","")</f>
        <v/>
      </c>
      <c r="AI63" s="933"/>
      <c r="AJ63" s="252" t="str">
        <f>IF(E63&lt;&gt;"","Select from Pull-Down List    ","")</f>
        <v/>
      </c>
      <c r="AK63" s="171"/>
      <c r="AL63" s="252"/>
      <c r="AM63" s="894"/>
      <c r="AN63" s="894"/>
      <c r="AO63" s="894" t="b">
        <f>IF(AND(C63="",C65&lt;&gt;""),TRUE,FALSE)</f>
        <v>0</v>
      </c>
      <c r="AP63" s="888" t="str">
        <f t="shared" ref="AP63" si="108">IF(AND(C63&lt;&gt;"",OR(I63="",K63="",M63="",O63="",Q63="",W63="",AC63="",AE63="",AG63="")),"No",IF(AND(C63="",OR(I63&lt;&gt;"",K63&lt;&gt;"",M63&lt;&gt;"",O63&lt;&gt;"",Q63&lt;&gt;"",W63&lt;&gt;"",AC63&lt;&gt;"",AE63&lt;&gt;"",AG63&lt;&gt;"",AI63&lt;&gt;"",AK63&lt;&gt;"")),"No",IF(AND(C63="",I63="",K63="",M63="",O63="",Q63="",W63="",AC63="",AE63="",AG63="",AI63=""),"N/A","Yes")))</f>
        <v>N/A</v>
      </c>
      <c r="AQ63" s="898"/>
      <c r="AR63" s="899" t="b">
        <f t="shared" ref="AR63" si="109">IF(AND(OR(I63&lt;&gt;"",K63&lt;&gt;"",M63&lt;&gt;"",O63&lt;&gt;"",Q63&lt;&gt;"",W63&lt;&gt;"",AC63&lt;&gt;"",AE63&lt;&gt;"",AG63&lt;&gt;"",AI63&lt;&gt;"",AK63&lt;&gt;""),C63=""),TRUE,FALSE)</f>
        <v>0</v>
      </c>
      <c r="AS63" s="898" t="b">
        <f t="shared" ref="AS63" si="110">IF(AT63=TRUE,FALSE,IF(SUM(K63)&gt;I63,TRUE,FALSE))</f>
        <v>0</v>
      </c>
      <c r="AT63" s="899" t="b">
        <f>IF(AND(C63&lt;&gt;"",I63=""),TRUE,FALSE)</f>
        <v>0</v>
      </c>
      <c r="AU63" s="898" t="b">
        <f>IF(AV63=TRUE,FALSE,IF(M63&gt;K63,TRUE,FALSE))</f>
        <v>0</v>
      </c>
      <c r="AV63" s="899" t="b">
        <f>IF(AND($C63&lt;&gt;"",K63=""),TRUE,FALSE)</f>
        <v>0</v>
      </c>
      <c r="AW63" s="898"/>
      <c r="AX63" s="899" t="b">
        <f>IF(AND($C63&lt;&gt;"",M63=""),TRUE,FALSE)</f>
        <v>0</v>
      </c>
      <c r="AY63" s="898" t="b">
        <f t="shared" ref="AY63" si="111">IF(AND(O63="",OR(Q63&lt;&gt;"",W63&lt;&gt;"",AC63&lt;&gt;"",AE63&lt;&gt;"",AG63&lt;&gt;"",AI63&lt;&gt;"")),TRUE,FALSE)</f>
        <v>0</v>
      </c>
      <c r="AZ63" s="899" t="b">
        <f>IF(AND($C63&lt;&gt;"",O63=""),TRUE,FALSE)</f>
        <v>0</v>
      </c>
      <c r="BA63" s="898"/>
      <c r="BB63" s="899" t="b">
        <f>IF(AND($C63&lt;&gt;"",Q63=""),TRUE,FALSE)</f>
        <v>0</v>
      </c>
      <c r="BC63" s="1537" t="b">
        <f>IF(BD63=TRUE,FALSE,IF(W63="",FALSE,IF(OR(W63&lt;BO63,W63&gt;BaseYear),TRUE,FALSE)))</f>
        <v>0</v>
      </c>
      <c r="BD63" s="899" t="b">
        <f>IF(AND($C63&lt;&gt;"",W63=""),TRUE,FALSE)</f>
        <v>0</v>
      </c>
      <c r="BE63" s="1537"/>
      <c r="BF63" s="899" t="b">
        <f>IF(AND($C63&lt;&gt;"",AC63=""),TRUE,FALSE)</f>
        <v>0</v>
      </c>
      <c r="BG63" s="898"/>
      <c r="BH63" s="899" t="b">
        <f>IF(AND($C63&lt;&gt;"",AE63=""),TRUE,FALSE)</f>
        <v>0</v>
      </c>
      <c r="BI63" s="898"/>
      <c r="BJ63" s="899" t="b">
        <f>IF(AND($C63&lt;&gt;"",AG63=""),TRUE,FALSE)</f>
        <v>0</v>
      </c>
      <c r="BK63" s="898"/>
      <c r="BL63" s="898" t="b">
        <f>IF(AND($C63&lt;&gt;"",AI63=""),TRUE,FALSE)</f>
        <v>0</v>
      </c>
      <c r="BM63" s="894"/>
      <c r="BN63" s="898" t="str">
        <f t="shared" si="2"/>
        <v/>
      </c>
      <c r="BO63" s="898" t="str">
        <f>IFERROR(IF(AND(O63="",O63&lt;&gt;""),1913,VLOOKUP(O63,Valid!$B$99:$J$120,9)),"")</f>
        <v/>
      </c>
      <c r="BP63" s="898" t="str">
        <f t="shared" ca="1" si="74"/>
        <v/>
      </c>
      <c r="BQ63" s="1547" t="str">
        <f t="shared" ca="1" si="75"/>
        <v/>
      </c>
      <c r="BR63" s="898" t="str">
        <f ca="1">IF(BQ63="", "", IF(1+(BQ63*4)&lt;1, 1, 1+(BQ63*4)))</f>
        <v/>
      </c>
      <c r="BS63" s="898" t="str">
        <f t="shared" si="4"/>
        <v/>
      </c>
      <c r="BT63" s="898" t="str">
        <f t="shared" si="5"/>
        <v/>
      </c>
      <c r="BU63" s="1539" t="str">
        <f>IFERROR(IF(AND(#REF!="",C63&lt;&gt;""),Valid!$E$123,VLOOKUP(#REF!,Valid!$B$123:$F$125,4,FALSE)),"")</f>
        <v/>
      </c>
      <c r="BV63" s="1539" t="str">
        <f>IFERROR(IF(AND(#REF!="",C63&lt;&gt;""),Valid!$F$123,VLOOKUP(#REF!,Valid!$B$123:$F$125,5,FALSE)),"")</f>
        <v/>
      </c>
      <c r="BW63" s="1539" t="str">
        <f>IFERROR(VLOOKUP('A-70 RevVehInv'!S63,Valid!$B$99:$I$120,7), "")</f>
        <v/>
      </c>
      <c r="BX63" s="1539" t="str">
        <f>IFERROR(VLOOKUP(O63,Valid!$B$99:$I$120,8), "")</f>
        <v/>
      </c>
      <c r="BY63" s="894"/>
    </row>
    <row r="64" spans="1:77" ht="6.75" customHeight="1" x14ac:dyDescent="0.2">
      <c r="A64" s="1517"/>
      <c r="B64" s="1530">
        <v>26.5</v>
      </c>
      <c r="C64" s="1544"/>
      <c r="D64" s="905"/>
      <c r="E64" s="1545"/>
      <c r="F64" s="905"/>
      <c r="G64" s="905"/>
      <c r="H64" s="905"/>
      <c r="I64" s="1531"/>
      <c r="J64" s="905"/>
      <c r="K64" s="1531"/>
      <c r="L64" s="905"/>
      <c r="M64" s="1531"/>
      <c r="N64" s="1531"/>
      <c r="O64" s="1533"/>
      <c r="P64" s="905"/>
      <c r="Q64" s="1533"/>
      <c r="R64" s="905"/>
      <c r="S64" s="1531" t="str">
        <f t="shared" si="0"/>
        <v/>
      </c>
      <c r="T64" s="905"/>
      <c r="U64" s="1531"/>
      <c r="V64" s="252" t="str">
        <f t="shared" si="69"/>
        <v/>
      </c>
      <c r="W64" s="1531"/>
      <c r="X64" s="905"/>
      <c r="Y64" s="1971" t="str">
        <f t="shared" si="6"/>
        <v/>
      </c>
      <c r="Z64" s="905"/>
      <c r="AA64" s="1983" t="str">
        <f t="shared" si="7"/>
        <v/>
      </c>
      <c r="AB64" s="1531"/>
      <c r="AC64" s="1531"/>
      <c r="AD64" s="1531"/>
      <c r="AE64" s="1531"/>
      <c r="AF64" s="1531"/>
      <c r="AG64" s="1534"/>
      <c r="AH64" s="1531"/>
      <c r="AI64" s="1546"/>
      <c r="AJ64" s="1531"/>
      <c r="AK64" s="1531"/>
      <c r="AL64" s="1531"/>
      <c r="AM64" s="1531"/>
      <c r="AN64" s="1531"/>
      <c r="AO64" s="1531"/>
      <c r="AP64" s="1531"/>
      <c r="AQ64" s="1535"/>
      <c r="AR64" s="1534"/>
      <c r="AS64" s="1535"/>
      <c r="AT64" s="1534"/>
      <c r="AU64" s="1535"/>
      <c r="AV64" s="1534"/>
      <c r="AW64" s="1535"/>
      <c r="AX64" s="1534"/>
      <c r="AY64" s="1535"/>
      <c r="AZ64" s="1534"/>
      <c r="BA64" s="1535"/>
      <c r="BB64" s="1534"/>
      <c r="BC64" s="1535"/>
      <c r="BD64" s="1534"/>
      <c r="BE64" s="1535"/>
      <c r="BF64" s="1534"/>
      <c r="BG64" s="1535"/>
      <c r="BH64" s="1534"/>
      <c r="BI64" s="1535"/>
      <c r="BJ64" s="1534"/>
      <c r="BK64" s="1535"/>
      <c r="BL64" s="1535"/>
      <c r="BM64" s="1531"/>
      <c r="BN64" s="898" t="str">
        <f t="shared" si="2"/>
        <v/>
      </c>
      <c r="BO64" s="898" t="str">
        <f>IFERROR(IF(AND(O64="",O64&lt;&gt;""),1913,VLOOKUP(O64,Valid!$B$99:$J$120,9)),"")</f>
        <v/>
      </c>
      <c r="BP64" s="898" t="str">
        <f t="shared" ca="1" si="74"/>
        <v/>
      </c>
      <c r="BQ64" s="1547" t="str">
        <f t="shared" ca="1" si="75"/>
        <v/>
      </c>
      <c r="BR64" s="898"/>
      <c r="BS64" s="898" t="str">
        <f t="shared" si="4"/>
        <v/>
      </c>
      <c r="BT64" s="898" t="str">
        <f t="shared" si="5"/>
        <v/>
      </c>
      <c r="BU64" s="1539" t="str">
        <f>IFERROR(IF(AND(#REF!="",C64&lt;&gt;""),Valid!$E$123,VLOOKUP(#REF!,Valid!$B$123:$F$125,4,FALSE)),"")</f>
        <v/>
      </c>
      <c r="BV64" s="1539" t="str">
        <f>IFERROR(IF(AND(#REF!="",C64&lt;&gt;""),Valid!$F$123,VLOOKUP(#REF!,Valid!$B$123:$F$125,5,FALSE)),"")</f>
        <v/>
      </c>
      <c r="BW64" s="1539" t="str">
        <f>IFERROR(VLOOKUP('A-70 RevVehInv'!S64,Valid!$B$99:$I$120,7), "")</f>
        <v/>
      </c>
      <c r="BX64" s="1539" t="str">
        <f>IFERROR(VLOOKUP(O64,Valid!$B$99:$I$120,8), "")</f>
        <v/>
      </c>
      <c r="BY64" s="1531"/>
    </row>
    <row r="65" spans="1:77" s="930" customFormat="1" x14ac:dyDescent="0.2">
      <c r="A65" s="206">
        <v>27</v>
      </c>
      <c r="B65" s="1530">
        <v>27</v>
      </c>
      <c r="C65" s="933"/>
      <c r="D65" s="719" t="str">
        <f>IF(C63="","",IF((C65=""),"Enter RVI ID. then Fill in Columns "&amp;TEXT($I$2,0)&amp;" - "&amp;TEXT($AI$2,0)&amp;"       ",""))</f>
        <v/>
      </c>
      <c r="E65" s="1056" t="str">
        <f>IF(AP65="N/A","",AP65)</f>
        <v/>
      </c>
      <c r="F65" s="1536"/>
      <c r="G65" s="1536"/>
      <c r="H65" s="1536"/>
      <c r="I65" s="1023"/>
      <c r="J65" s="1536" t="str">
        <f>IF(E65&lt;&gt;"","Vehicles?    ","")</f>
        <v/>
      </c>
      <c r="K65" s="1023"/>
      <c r="L65" s="1536" t="str">
        <f>IF(E65&lt;&gt;"","Active Vehicles?     ","")</f>
        <v/>
      </c>
      <c r="M65" s="1023"/>
      <c r="N65" s="894"/>
      <c r="O65" s="1153"/>
      <c r="P65" s="252" t="str">
        <f>IF(E65&lt;&gt;"","Select from Pull-Down List    ","")</f>
        <v/>
      </c>
      <c r="Q65" s="933"/>
      <c r="R65" s="252" t="str">
        <f>IF(E65&lt;&gt;"","Select from Pull-Down List    ","")</f>
        <v/>
      </c>
      <c r="S65" s="1766" t="str">
        <f t="shared" si="0"/>
        <v/>
      </c>
      <c r="T65" s="252"/>
      <c r="U65" s="1988"/>
      <c r="V65" s="252" t="str">
        <f t="shared" si="69"/>
        <v/>
      </c>
      <c r="W65" s="139"/>
      <c r="X65" s="252" t="str">
        <f>IF(E65&lt;&gt;"","Mfg. Yr?    ","")</f>
        <v/>
      </c>
      <c r="Y65" s="1974" t="str">
        <f t="shared" si="6"/>
        <v/>
      </c>
      <c r="Z65" s="252"/>
      <c r="AA65" s="1986" t="str">
        <f t="shared" si="7"/>
        <v/>
      </c>
      <c r="AB65" s="252" t="str">
        <f>IF(E65&lt;&gt;"","Select from Pull-Down List    ","")</f>
        <v/>
      </c>
      <c r="AC65" s="1023"/>
      <c r="AD65" s="252" t="str">
        <f>IF(E65&lt;&gt;"","Feet?    ","")</f>
        <v/>
      </c>
      <c r="AE65" s="1023"/>
      <c r="AF65" s="252" t="str">
        <f>IF(E65&lt;&gt;"","Mileage?       ","")</f>
        <v/>
      </c>
      <c r="AG65" s="1023"/>
      <c r="AH65" s="252" t="str">
        <f>IF(E65&lt;&gt;"","Avg. Lifetime Mileage? ","")</f>
        <v/>
      </c>
      <c r="AI65" s="933"/>
      <c r="AJ65" s="252" t="str">
        <f>IF(E65&lt;&gt;"","Select from Pull-Down List    ","")</f>
        <v/>
      </c>
      <c r="AK65" s="171"/>
      <c r="AL65" s="252"/>
      <c r="AM65" s="894"/>
      <c r="AN65" s="894"/>
      <c r="AO65" s="894" t="b">
        <f>IF(AND(C65="",C67&lt;&gt;""),TRUE,FALSE)</f>
        <v>0</v>
      </c>
      <c r="AP65" s="888" t="str">
        <f t="shared" ref="AP65" si="112">IF(AND(C65&lt;&gt;"",OR(I65="",K65="",M65="",O65="",Q65="",W65="",AC65="",AE65="",AG65="")),"No",IF(AND(C65="",OR(I65&lt;&gt;"",K65&lt;&gt;"",M65&lt;&gt;"",O65&lt;&gt;"",Q65&lt;&gt;"",W65&lt;&gt;"",AC65&lt;&gt;"",AE65&lt;&gt;"",AG65&lt;&gt;"",AI65&lt;&gt;"",AK65&lt;&gt;"")),"No",IF(AND(C65="",I65="",K65="",M65="",O65="",Q65="",W65="",AC65="",AE65="",AG65="",AI65=""),"N/A","Yes")))</f>
        <v>N/A</v>
      </c>
      <c r="AQ65" s="898"/>
      <c r="AR65" s="899" t="b">
        <f t="shared" ref="AR65" si="113">IF(AND(OR(I65&lt;&gt;"",K65&lt;&gt;"",M65&lt;&gt;"",O65&lt;&gt;"",Q65&lt;&gt;"",W65&lt;&gt;"",AC65&lt;&gt;"",AE65&lt;&gt;"",AG65&lt;&gt;"",AI65&lt;&gt;"",AK65&lt;&gt;""),C65=""),TRUE,FALSE)</f>
        <v>0</v>
      </c>
      <c r="AS65" s="898" t="b">
        <f t="shared" ref="AS65" si="114">IF(AT65=TRUE,FALSE,IF(SUM(K65)&gt;I65,TRUE,FALSE))</f>
        <v>0</v>
      </c>
      <c r="AT65" s="899" t="b">
        <f>IF(AND(C65&lt;&gt;"",I65=""),TRUE,FALSE)</f>
        <v>0</v>
      </c>
      <c r="AU65" s="898" t="b">
        <f>IF(AV65=TRUE,FALSE,IF(M65&gt;K65,TRUE,FALSE))</f>
        <v>0</v>
      </c>
      <c r="AV65" s="899" t="b">
        <f>IF(AND($C65&lt;&gt;"",K65=""),TRUE,FALSE)</f>
        <v>0</v>
      </c>
      <c r="AW65" s="898"/>
      <c r="AX65" s="899" t="b">
        <f>IF(AND($C65&lt;&gt;"",M65=""),TRUE,FALSE)</f>
        <v>0</v>
      </c>
      <c r="AY65" s="898" t="b">
        <f t="shared" ref="AY65" si="115">IF(AND(O65="",OR(Q65&lt;&gt;"",W65&lt;&gt;"",AC65&lt;&gt;"",AE65&lt;&gt;"",AG65&lt;&gt;"",AI65&lt;&gt;"")),TRUE,FALSE)</f>
        <v>0</v>
      </c>
      <c r="AZ65" s="899" t="b">
        <f>IF(AND($C65&lt;&gt;"",O65=""),TRUE,FALSE)</f>
        <v>0</v>
      </c>
      <c r="BA65" s="898"/>
      <c r="BB65" s="899" t="b">
        <f>IF(AND($C65&lt;&gt;"",Q65=""),TRUE,FALSE)</f>
        <v>0</v>
      </c>
      <c r="BC65" s="1537" t="b">
        <f>IF(BD65=TRUE,FALSE,IF(W65="",FALSE,IF(OR(W65&lt;BO65,W65&gt;BaseYear),TRUE,FALSE)))</f>
        <v>0</v>
      </c>
      <c r="BD65" s="899" t="b">
        <f>IF(AND($C65&lt;&gt;"",W65=""),TRUE,FALSE)</f>
        <v>0</v>
      </c>
      <c r="BE65" s="1537"/>
      <c r="BF65" s="899" t="b">
        <f>IF(AND($C65&lt;&gt;"",AC65=""),TRUE,FALSE)</f>
        <v>0</v>
      </c>
      <c r="BG65" s="898"/>
      <c r="BH65" s="899" t="b">
        <f>IF(AND($C65&lt;&gt;"",AE65=""),TRUE,FALSE)</f>
        <v>0</v>
      </c>
      <c r="BI65" s="898"/>
      <c r="BJ65" s="899" t="b">
        <f>IF(AND($C65&lt;&gt;"",AG65=""),TRUE,FALSE)</f>
        <v>0</v>
      </c>
      <c r="BK65" s="898"/>
      <c r="BL65" s="898" t="b">
        <f>IF(AND($C65&lt;&gt;"",AI65=""),TRUE,FALSE)</f>
        <v>0</v>
      </c>
      <c r="BM65" s="894"/>
      <c r="BN65" s="898" t="str">
        <f t="shared" si="2"/>
        <v/>
      </c>
      <c r="BO65" s="898" t="str">
        <f>IFERROR(IF(AND(O65="",O65&lt;&gt;""),1913,VLOOKUP(O65,Valid!$B$99:$J$120,9)),"")</f>
        <v/>
      </c>
      <c r="BP65" s="898" t="str">
        <f t="shared" ca="1" si="74"/>
        <v/>
      </c>
      <c r="BQ65" s="1547" t="str">
        <f t="shared" ca="1" si="75"/>
        <v/>
      </c>
      <c r="BR65" s="898" t="str">
        <f ca="1">IF(BQ65="", "", IF(1+(BQ65*4)&lt;1, 1, 1+(BQ65*4)))</f>
        <v/>
      </c>
      <c r="BS65" s="898" t="str">
        <f t="shared" si="4"/>
        <v/>
      </c>
      <c r="BT65" s="898" t="str">
        <f t="shared" si="5"/>
        <v/>
      </c>
      <c r="BU65" s="1539" t="str">
        <f>IFERROR(IF(AND(#REF!="",C65&lt;&gt;""),Valid!$E$123,VLOOKUP(#REF!,Valid!$B$123:$F$125,4,FALSE)),"")</f>
        <v/>
      </c>
      <c r="BV65" s="1539" t="str">
        <f>IFERROR(IF(AND(#REF!="",C65&lt;&gt;""),Valid!$F$123,VLOOKUP(#REF!,Valid!$B$123:$F$125,5,FALSE)),"")</f>
        <v/>
      </c>
      <c r="BW65" s="1539" t="str">
        <f>IFERROR(VLOOKUP('A-70 RevVehInv'!S65,Valid!$B$99:$I$120,7), "")</f>
        <v/>
      </c>
      <c r="BX65" s="1539" t="str">
        <f>IFERROR(VLOOKUP(O65,Valid!$B$99:$I$120,8), "")</f>
        <v/>
      </c>
      <c r="BY65" s="894"/>
    </row>
    <row r="66" spans="1:77" ht="6.75" customHeight="1" x14ac:dyDescent="0.2">
      <c r="A66" s="1517"/>
      <c r="B66" s="1530">
        <v>27.5</v>
      </c>
      <c r="C66" s="1540"/>
      <c r="D66" s="905"/>
      <c r="E66" s="1541"/>
      <c r="F66" s="905"/>
      <c r="G66" s="905"/>
      <c r="H66" s="905"/>
      <c r="I66" s="1534"/>
      <c r="J66" s="905"/>
      <c r="K66" s="1534"/>
      <c r="L66" s="905"/>
      <c r="M66" s="1534"/>
      <c r="N66" s="1531"/>
      <c r="O66" s="1542"/>
      <c r="P66" s="905"/>
      <c r="Q66" s="1542"/>
      <c r="R66" s="905"/>
      <c r="S66" s="1534" t="str">
        <f t="shared" si="0"/>
        <v/>
      </c>
      <c r="T66" s="905"/>
      <c r="U66" s="1534"/>
      <c r="V66" s="252" t="str">
        <f t="shared" si="69"/>
        <v/>
      </c>
      <c r="W66" s="1534"/>
      <c r="X66" s="905"/>
      <c r="Y66" s="1973" t="str">
        <f t="shared" si="6"/>
        <v/>
      </c>
      <c r="Z66" s="905"/>
      <c r="AA66" s="1985" t="str">
        <f t="shared" si="7"/>
        <v/>
      </c>
      <c r="AB66" s="1531"/>
      <c r="AC66" s="1534"/>
      <c r="AD66" s="1531"/>
      <c r="AE66" s="1534"/>
      <c r="AF66" s="1531"/>
      <c r="AG66" s="1534"/>
      <c r="AH66" s="1531"/>
      <c r="AI66" s="1543"/>
      <c r="AJ66" s="1531"/>
      <c r="AK66" s="1534"/>
      <c r="AL66" s="1531"/>
      <c r="AM66" s="1531"/>
      <c r="AN66" s="1531"/>
      <c r="AO66" s="1531"/>
      <c r="AP66" s="1531"/>
      <c r="AQ66" s="1535"/>
      <c r="AR66" s="1534"/>
      <c r="AS66" s="1535"/>
      <c r="AT66" s="1534"/>
      <c r="AU66" s="1535"/>
      <c r="AV66" s="1534"/>
      <c r="AW66" s="1535"/>
      <c r="AX66" s="1534"/>
      <c r="AY66" s="1535"/>
      <c r="AZ66" s="1534"/>
      <c r="BA66" s="1535"/>
      <c r="BB66" s="1534"/>
      <c r="BC66" s="1535"/>
      <c r="BD66" s="1534"/>
      <c r="BE66" s="1535"/>
      <c r="BF66" s="1534"/>
      <c r="BG66" s="1535"/>
      <c r="BH66" s="1534"/>
      <c r="BI66" s="1535"/>
      <c r="BJ66" s="1534"/>
      <c r="BK66" s="1535"/>
      <c r="BL66" s="1535"/>
      <c r="BM66" s="1531"/>
      <c r="BN66" s="898" t="str">
        <f t="shared" si="2"/>
        <v/>
      </c>
      <c r="BO66" s="898" t="str">
        <f>IFERROR(IF(AND(O66="",O66&lt;&gt;""),1913,VLOOKUP(O66,Valid!$B$99:$J$120,9)),"")</f>
        <v/>
      </c>
      <c r="BP66" s="898" t="str">
        <f t="shared" ca="1" si="74"/>
        <v/>
      </c>
      <c r="BQ66" s="1547" t="str">
        <f t="shared" ca="1" si="75"/>
        <v/>
      </c>
      <c r="BR66" s="898"/>
      <c r="BS66" s="898" t="str">
        <f t="shared" si="4"/>
        <v/>
      </c>
      <c r="BT66" s="898" t="str">
        <f t="shared" si="5"/>
        <v/>
      </c>
      <c r="BU66" s="1539" t="str">
        <f>IFERROR(IF(AND(#REF!="",C66&lt;&gt;""),Valid!$E$123,VLOOKUP(#REF!,Valid!$B$123:$F$125,4,FALSE)),"")</f>
        <v/>
      </c>
      <c r="BV66" s="1539" t="str">
        <f>IFERROR(IF(AND(#REF!="",C66&lt;&gt;""),Valid!$F$123,VLOOKUP(#REF!,Valid!$B$123:$F$125,5,FALSE)),"")</f>
        <v/>
      </c>
      <c r="BW66" s="1539" t="str">
        <f>IFERROR(VLOOKUP('A-70 RevVehInv'!S66,Valid!$B$99:$I$120,7), "")</f>
        <v/>
      </c>
      <c r="BX66" s="1539" t="str">
        <f>IFERROR(VLOOKUP(O66,Valid!$B$99:$I$120,8), "")</f>
        <v/>
      </c>
      <c r="BY66" s="1531"/>
    </row>
    <row r="67" spans="1:77" s="930" customFormat="1" x14ac:dyDescent="0.2">
      <c r="A67" s="206">
        <v>28</v>
      </c>
      <c r="B67" s="1530">
        <v>28</v>
      </c>
      <c r="C67" s="933"/>
      <c r="D67" s="719" t="str">
        <f>IF(C65="","",IF((C67=""),"Enter RVI ID. then Fill in Columns "&amp;TEXT($I$2,0)&amp;" - "&amp;TEXT($AI$2,0)&amp;"       ",""))</f>
        <v/>
      </c>
      <c r="E67" s="1056" t="str">
        <f>IF(AP67="N/A","",AP67)</f>
        <v/>
      </c>
      <c r="F67" s="1536"/>
      <c r="G67" s="1536"/>
      <c r="H67" s="1536"/>
      <c r="I67" s="1023"/>
      <c r="J67" s="1536" t="str">
        <f>IF(E67&lt;&gt;"","Vehicles?    ","")</f>
        <v/>
      </c>
      <c r="K67" s="1023"/>
      <c r="L67" s="1536" t="str">
        <f>IF(E67&lt;&gt;"","Active Vehicles?     ","")</f>
        <v/>
      </c>
      <c r="M67" s="1023"/>
      <c r="N67" s="894"/>
      <c r="O67" s="1153"/>
      <c r="P67" s="252" t="str">
        <f>IF(E67&lt;&gt;"","Select from Pull-Down List    ","")</f>
        <v/>
      </c>
      <c r="Q67" s="933"/>
      <c r="R67" s="252" t="str">
        <f>IF(E67&lt;&gt;"","Select from Pull-Down List    ","")</f>
        <v/>
      </c>
      <c r="S67" s="1766" t="str">
        <f t="shared" si="0"/>
        <v/>
      </c>
      <c r="T67" s="252"/>
      <c r="U67" s="1988"/>
      <c r="V67" s="252" t="str">
        <f t="shared" si="69"/>
        <v/>
      </c>
      <c r="W67" s="139"/>
      <c r="X67" s="252" t="str">
        <f>IF(E67&lt;&gt;"","Mfg. Yr?    ","")</f>
        <v/>
      </c>
      <c r="Y67" s="1974" t="str">
        <f t="shared" si="6"/>
        <v/>
      </c>
      <c r="Z67" s="252"/>
      <c r="AA67" s="1986" t="str">
        <f t="shared" si="7"/>
        <v/>
      </c>
      <c r="AB67" s="252" t="str">
        <f>IF(E67&lt;&gt;"","Select from Pull-Down List    ","")</f>
        <v/>
      </c>
      <c r="AC67" s="1023"/>
      <c r="AD67" s="252" t="str">
        <f>IF(E67&lt;&gt;"","Feet?    ","")</f>
        <v/>
      </c>
      <c r="AE67" s="1023"/>
      <c r="AF67" s="252" t="str">
        <f>IF(E67&lt;&gt;"","Mileage?       ","")</f>
        <v/>
      </c>
      <c r="AG67" s="1023"/>
      <c r="AH67" s="252" t="str">
        <f>IF(E67&lt;&gt;"","Avg. Lifetime Mileage? ","")</f>
        <v/>
      </c>
      <c r="AI67" s="933"/>
      <c r="AJ67" s="252" t="str">
        <f>IF(E67&lt;&gt;"","Select from Pull-Down List    ","")</f>
        <v/>
      </c>
      <c r="AK67" s="171"/>
      <c r="AL67" s="252"/>
      <c r="AM67" s="894"/>
      <c r="AN67" s="894"/>
      <c r="AO67" s="894" t="b">
        <f>IF(AND(C67="",C69&lt;&gt;""),TRUE,FALSE)</f>
        <v>0</v>
      </c>
      <c r="AP67" s="888" t="str">
        <f t="shared" ref="AP67" si="116">IF(AND(C67&lt;&gt;"",OR(I67="",K67="",M67="",O67="",Q67="",W67="",AC67="",AE67="",AG67="")),"No",IF(AND(C67="",OR(I67&lt;&gt;"",K67&lt;&gt;"",M67&lt;&gt;"",O67&lt;&gt;"",Q67&lt;&gt;"",W67&lt;&gt;"",AC67&lt;&gt;"",AE67&lt;&gt;"",AG67&lt;&gt;"",AI67&lt;&gt;"",AK67&lt;&gt;"")),"No",IF(AND(C67="",I67="",K67="",M67="",O67="",Q67="",W67="",AC67="",AE67="",AG67="",AI67=""),"N/A","Yes")))</f>
        <v>N/A</v>
      </c>
      <c r="AQ67" s="898"/>
      <c r="AR67" s="899" t="b">
        <f t="shared" ref="AR67" si="117">IF(AND(OR(I67&lt;&gt;"",K67&lt;&gt;"",M67&lt;&gt;"",O67&lt;&gt;"",Q67&lt;&gt;"",W67&lt;&gt;"",AC67&lt;&gt;"",AE67&lt;&gt;"",AG67&lt;&gt;"",AI67&lt;&gt;"",AK67&lt;&gt;""),C67=""),TRUE,FALSE)</f>
        <v>0</v>
      </c>
      <c r="AS67" s="898" t="b">
        <f t="shared" ref="AS67" si="118">IF(AT67=TRUE,FALSE,IF(SUM(K67)&gt;I67,TRUE,FALSE))</f>
        <v>0</v>
      </c>
      <c r="AT67" s="899" t="b">
        <f>IF(AND(C67&lt;&gt;"",I67=""),TRUE,FALSE)</f>
        <v>0</v>
      </c>
      <c r="AU67" s="898" t="b">
        <f>IF(AV67=TRUE,FALSE,IF(M67&gt;K67,TRUE,FALSE))</f>
        <v>0</v>
      </c>
      <c r="AV67" s="899" t="b">
        <f>IF(AND($C67&lt;&gt;"",K67=""),TRUE,FALSE)</f>
        <v>0</v>
      </c>
      <c r="AW67" s="898"/>
      <c r="AX67" s="899" t="b">
        <f>IF(AND($C67&lt;&gt;"",M67=""),TRUE,FALSE)</f>
        <v>0</v>
      </c>
      <c r="AY67" s="898" t="b">
        <f t="shared" ref="AY67" si="119">IF(AND(O67="",OR(Q67&lt;&gt;"",W67&lt;&gt;"",AC67&lt;&gt;"",AE67&lt;&gt;"",AG67&lt;&gt;"",AI67&lt;&gt;"")),TRUE,FALSE)</f>
        <v>0</v>
      </c>
      <c r="AZ67" s="899" t="b">
        <f>IF(AND($C67&lt;&gt;"",O67=""),TRUE,FALSE)</f>
        <v>0</v>
      </c>
      <c r="BA67" s="898"/>
      <c r="BB67" s="899" t="b">
        <f>IF(AND($C67&lt;&gt;"",Q67=""),TRUE,FALSE)</f>
        <v>0</v>
      </c>
      <c r="BC67" s="1537" t="b">
        <f>IF(BD67=TRUE,FALSE,IF(W67="",FALSE,IF(OR(W67&lt;BO67,W67&gt;BaseYear),TRUE,FALSE)))</f>
        <v>0</v>
      </c>
      <c r="BD67" s="899" t="b">
        <f>IF(AND($C67&lt;&gt;"",W67=""),TRUE,FALSE)</f>
        <v>0</v>
      </c>
      <c r="BE67" s="1537"/>
      <c r="BF67" s="899" t="b">
        <f>IF(AND($C67&lt;&gt;"",AC67=""),TRUE,FALSE)</f>
        <v>0</v>
      </c>
      <c r="BG67" s="898"/>
      <c r="BH67" s="899" t="b">
        <f>IF(AND($C67&lt;&gt;"",AE67=""),TRUE,FALSE)</f>
        <v>0</v>
      </c>
      <c r="BI67" s="898"/>
      <c r="BJ67" s="899" t="b">
        <f>IF(AND($C67&lt;&gt;"",AG67=""),TRUE,FALSE)</f>
        <v>0</v>
      </c>
      <c r="BK67" s="898"/>
      <c r="BL67" s="898" t="b">
        <f>IF(AND($C67&lt;&gt;"",AI67=""),TRUE,FALSE)</f>
        <v>0</v>
      </c>
      <c r="BM67" s="894"/>
      <c r="BN67" s="898" t="str">
        <f t="shared" si="2"/>
        <v/>
      </c>
      <c r="BO67" s="898" t="str">
        <f>IFERROR(IF(AND(O67="",O67&lt;&gt;""),1913,VLOOKUP(O67,Valid!$B$99:$J$120,9)),"")</f>
        <v/>
      </c>
      <c r="BP67" s="898" t="str">
        <f t="shared" ca="1" si="74"/>
        <v/>
      </c>
      <c r="BQ67" s="1547" t="str">
        <f t="shared" ca="1" si="75"/>
        <v/>
      </c>
      <c r="BR67" s="898" t="str">
        <f ca="1">IF(BQ67="", "", IF(1+(BQ67*4)&lt;1, 1, 1+(BQ67*4)))</f>
        <v/>
      </c>
      <c r="BS67" s="898" t="str">
        <f t="shared" si="4"/>
        <v/>
      </c>
      <c r="BT67" s="898" t="str">
        <f t="shared" si="5"/>
        <v/>
      </c>
      <c r="BU67" s="1539" t="str">
        <f>IFERROR(IF(AND(#REF!="",C67&lt;&gt;""),Valid!$E$123,VLOOKUP(#REF!,Valid!$B$123:$F$125,4,FALSE)),"")</f>
        <v/>
      </c>
      <c r="BV67" s="1539" t="str">
        <f>IFERROR(IF(AND(#REF!="",C67&lt;&gt;""),Valid!$F$123,VLOOKUP(#REF!,Valid!$B$123:$F$125,5,FALSE)),"")</f>
        <v/>
      </c>
      <c r="BW67" s="1539" t="str">
        <f>IFERROR(VLOOKUP('A-70 RevVehInv'!S67,Valid!$B$99:$I$120,7), "")</f>
        <v/>
      </c>
      <c r="BX67" s="1539" t="str">
        <f>IFERROR(VLOOKUP(O67,Valid!$B$99:$I$120,8), "")</f>
        <v/>
      </c>
      <c r="BY67" s="894"/>
    </row>
    <row r="68" spans="1:77" ht="6.75" customHeight="1" x14ac:dyDescent="0.2">
      <c r="A68" s="1517"/>
      <c r="B68" s="1530">
        <v>28.5</v>
      </c>
      <c r="C68" s="1544"/>
      <c r="D68" s="905"/>
      <c r="E68" s="1545"/>
      <c r="F68" s="905"/>
      <c r="G68" s="905"/>
      <c r="H68" s="905"/>
      <c r="I68" s="1531"/>
      <c r="J68" s="905"/>
      <c r="K68" s="1531"/>
      <c r="L68" s="905"/>
      <c r="M68" s="1531"/>
      <c r="N68" s="1531"/>
      <c r="O68" s="1533"/>
      <c r="P68" s="905"/>
      <c r="Q68" s="1533"/>
      <c r="R68" s="905"/>
      <c r="S68" s="1531" t="str">
        <f t="shared" si="0"/>
        <v/>
      </c>
      <c r="T68" s="905"/>
      <c r="U68" s="1531"/>
      <c r="V68" s="252" t="str">
        <f t="shared" si="69"/>
        <v/>
      </c>
      <c r="W68" s="1531"/>
      <c r="X68" s="905"/>
      <c r="Y68" s="1971" t="str">
        <f t="shared" si="6"/>
        <v/>
      </c>
      <c r="Z68" s="905"/>
      <c r="AA68" s="1983" t="str">
        <f t="shared" si="7"/>
        <v/>
      </c>
      <c r="AB68" s="1531"/>
      <c r="AC68" s="1531"/>
      <c r="AD68" s="1531"/>
      <c r="AE68" s="1531"/>
      <c r="AF68" s="1531"/>
      <c r="AG68" s="1534"/>
      <c r="AH68" s="1531"/>
      <c r="AI68" s="1546"/>
      <c r="AJ68" s="1531"/>
      <c r="AK68" s="1531"/>
      <c r="AL68" s="1531"/>
      <c r="AM68" s="1531"/>
      <c r="AN68" s="1531"/>
      <c r="AO68" s="1531"/>
      <c r="AP68" s="1531"/>
      <c r="AQ68" s="1535"/>
      <c r="AR68" s="1534"/>
      <c r="AS68" s="1535"/>
      <c r="AT68" s="1534"/>
      <c r="AU68" s="1535"/>
      <c r="AV68" s="1534"/>
      <c r="AW68" s="1535"/>
      <c r="AX68" s="1534"/>
      <c r="AY68" s="1535"/>
      <c r="AZ68" s="1534"/>
      <c r="BA68" s="1535"/>
      <c r="BB68" s="1534"/>
      <c r="BC68" s="1535"/>
      <c r="BD68" s="1534"/>
      <c r="BE68" s="1535"/>
      <c r="BF68" s="1534"/>
      <c r="BG68" s="1535"/>
      <c r="BH68" s="1534"/>
      <c r="BI68" s="1535"/>
      <c r="BJ68" s="1534"/>
      <c r="BK68" s="1535"/>
      <c r="BL68" s="1535"/>
      <c r="BM68" s="1531"/>
      <c r="BN68" s="898" t="str">
        <f t="shared" si="2"/>
        <v/>
      </c>
      <c r="BO68" s="898" t="str">
        <f>IFERROR(IF(AND(O68="",O68&lt;&gt;""),1913,VLOOKUP(O68,Valid!$B$99:$J$120,9)),"")</f>
        <v/>
      </c>
      <c r="BP68" s="898" t="str">
        <f t="shared" ca="1" si="74"/>
        <v/>
      </c>
      <c r="BQ68" s="1547" t="str">
        <f t="shared" ca="1" si="75"/>
        <v/>
      </c>
      <c r="BR68" s="898"/>
      <c r="BS68" s="898" t="str">
        <f t="shared" si="4"/>
        <v/>
      </c>
      <c r="BT68" s="898" t="str">
        <f t="shared" si="5"/>
        <v/>
      </c>
      <c r="BU68" s="1539" t="str">
        <f>IFERROR(IF(AND(#REF!="",C68&lt;&gt;""),Valid!$E$123,VLOOKUP(#REF!,Valid!$B$123:$F$125,4,FALSE)),"")</f>
        <v/>
      </c>
      <c r="BV68" s="1539" t="str">
        <f>IFERROR(IF(AND(#REF!="",C68&lt;&gt;""),Valid!$F$123,VLOOKUP(#REF!,Valid!$B$123:$F$125,5,FALSE)),"")</f>
        <v/>
      </c>
      <c r="BW68" s="1539" t="str">
        <f>IFERROR(VLOOKUP('A-70 RevVehInv'!S68,Valid!$B$99:$I$120,7), "")</f>
        <v/>
      </c>
      <c r="BX68" s="1539" t="str">
        <f>IFERROR(VLOOKUP(O68,Valid!$B$99:$I$120,8), "")</f>
        <v/>
      </c>
      <c r="BY68" s="1531"/>
    </row>
    <row r="69" spans="1:77" s="930" customFormat="1" x14ac:dyDescent="0.2">
      <c r="A69" s="206">
        <v>29</v>
      </c>
      <c r="B69" s="1530">
        <v>29</v>
      </c>
      <c r="C69" s="933"/>
      <c r="D69" s="719" t="str">
        <f>IF(C67="","",IF((C69=""),"Enter RVI ID. then Fill in Columns "&amp;TEXT($I$2,0)&amp;" - "&amp;TEXT($AI$2,0)&amp;"       ",""))</f>
        <v/>
      </c>
      <c r="E69" s="1056" t="str">
        <f>IF(AP69="N/A","",AP69)</f>
        <v/>
      </c>
      <c r="F69" s="1536"/>
      <c r="G69" s="1536"/>
      <c r="H69" s="1536"/>
      <c r="I69" s="1023"/>
      <c r="J69" s="1536" t="str">
        <f>IF(E69&lt;&gt;"","Vehicles?    ","")</f>
        <v/>
      </c>
      <c r="K69" s="1023"/>
      <c r="L69" s="1536" t="str">
        <f>IF(E69&lt;&gt;"","Active Vehicles?     ","")</f>
        <v/>
      </c>
      <c r="M69" s="1023"/>
      <c r="N69" s="894"/>
      <c r="O69" s="1153"/>
      <c r="P69" s="252" t="str">
        <f>IF(E69&lt;&gt;"","Select from Pull-Down List    ","")</f>
        <v/>
      </c>
      <c r="Q69" s="933"/>
      <c r="R69" s="252" t="str">
        <f>IF(E69&lt;&gt;"","Select from Pull-Down List    ","")</f>
        <v/>
      </c>
      <c r="S69" s="1766" t="str">
        <f t="shared" si="0"/>
        <v/>
      </c>
      <c r="T69" s="252"/>
      <c r="U69" s="1988"/>
      <c r="V69" s="252" t="str">
        <f t="shared" si="69"/>
        <v/>
      </c>
      <c r="W69" s="139"/>
      <c r="X69" s="252" t="str">
        <f>IF(E69&lt;&gt;"","Mfg. Yr?    ","")</f>
        <v/>
      </c>
      <c r="Y69" s="1974" t="str">
        <f t="shared" si="6"/>
        <v/>
      </c>
      <c r="Z69" s="252"/>
      <c r="AA69" s="1986" t="str">
        <f t="shared" si="7"/>
        <v/>
      </c>
      <c r="AB69" s="252" t="str">
        <f>IF(E69&lt;&gt;"","Select from Pull-Down List    ","")</f>
        <v/>
      </c>
      <c r="AC69" s="1023"/>
      <c r="AD69" s="252" t="str">
        <f>IF(E69&lt;&gt;"","Feet?    ","")</f>
        <v/>
      </c>
      <c r="AE69" s="1023"/>
      <c r="AF69" s="252" t="str">
        <f>IF(E69&lt;&gt;"","Mileage?       ","")</f>
        <v/>
      </c>
      <c r="AG69" s="1023"/>
      <c r="AH69" s="252" t="str">
        <f>IF(E69&lt;&gt;"","Avg. Lifetime Mileage? ","")</f>
        <v/>
      </c>
      <c r="AI69" s="933"/>
      <c r="AJ69" s="252" t="str">
        <f>IF(E69&lt;&gt;"","Select from Pull-Down List    ","")</f>
        <v/>
      </c>
      <c r="AK69" s="171"/>
      <c r="AL69" s="252"/>
      <c r="AM69" s="894"/>
      <c r="AN69" s="894"/>
      <c r="AO69" s="894" t="b">
        <f>IF(AND(C69="",C71&lt;&gt;""),TRUE,FALSE)</f>
        <v>0</v>
      </c>
      <c r="AP69" s="888" t="str">
        <f t="shared" ref="AP69" si="120">IF(AND(C69&lt;&gt;"",OR(I69="",K69="",M69="",O69="",Q69="",W69="",AC69="",AE69="",AG69="")),"No",IF(AND(C69="",OR(I69&lt;&gt;"",K69&lt;&gt;"",M69&lt;&gt;"",O69&lt;&gt;"",Q69&lt;&gt;"",W69&lt;&gt;"",AC69&lt;&gt;"",AE69&lt;&gt;"",AG69&lt;&gt;"",AI69&lt;&gt;"",AK69&lt;&gt;"")),"No",IF(AND(C69="",I69="",K69="",M69="",O69="",Q69="",W69="",AC69="",AE69="",AG69="",AI69=""),"N/A","Yes")))</f>
        <v>N/A</v>
      </c>
      <c r="AQ69" s="898"/>
      <c r="AR69" s="899" t="b">
        <f t="shared" ref="AR69" si="121">IF(AND(OR(I69&lt;&gt;"",K69&lt;&gt;"",M69&lt;&gt;"",O69&lt;&gt;"",Q69&lt;&gt;"",W69&lt;&gt;"",AC69&lt;&gt;"",AE69&lt;&gt;"",AG69&lt;&gt;"",AI69&lt;&gt;"",AK69&lt;&gt;""),C69=""),TRUE,FALSE)</f>
        <v>0</v>
      </c>
      <c r="AS69" s="898" t="b">
        <f t="shared" ref="AS69" si="122">IF(AT69=TRUE,FALSE,IF(SUM(K69)&gt;I69,TRUE,FALSE))</f>
        <v>0</v>
      </c>
      <c r="AT69" s="899" t="b">
        <f>IF(AND(C69&lt;&gt;"",I69=""),TRUE,FALSE)</f>
        <v>0</v>
      </c>
      <c r="AU69" s="898" t="b">
        <f>IF(AV69=TRUE,FALSE,IF(M69&gt;K69,TRUE,FALSE))</f>
        <v>0</v>
      </c>
      <c r="AV69" s="899" t="b">
        <f>IF(AND($C69&lt;&gt;"",K69=""),TRUE,FALSE)</f>
        <v>0</v>
      </c>
      <c r="AW69" s="898"/>
      <c r="AX69" s="899" t="b">
        <f>IF(AND($C69&lt;&gt;"",M69=""),TRUE,FALSE)</f>
        <v>0</v>
      </c>
      <c r="AY69" s="898" t="b">
        <f t="shared" ref="AY69" si="123">IF(AND(O69="",OR(Q69&lt;&gt;"",W69&lt;&gt;"",AC69&lt;&gt;"",AE69&lt;&gt;"",AG69&lt;&gt;"",AI69&lt;&gt;"")),TRUE,FALSE)</f>
        <v>0</v>
      </c>
      <c r="AZ69" s="899" t="b">
        <f>IF(AND($C69&lt;&gt;"",O69=""),TRUE,FALSE)</f>
        <v>0</v>
      </c>
      <c r="BA69" s="898"/>
      <c r="BB69" s="899" t="b">
        <f>IF(AND($C69&lt;&gt;"",Q69=""),TRUE,FALSE)</f>
        <v>0</v>
      </c>
      <c r="BC69" s="1537" t="b">
        <f>IF(BD69=TRUE,FALSE,IF(W69="",FALSE,IF(OR(W69&lt;BO69,W69&gt;BaseYear),TRUE,FALSE)))</f>
        <v>0</v>
      </c>
      <c r="BD69" s="899" t="b">
        <f>IF(AND($C69&lt;&gt;"",W69=""),TRUE,FALSE)</f>
        <v>0</v>
      </c>
      <c r="BE69" s="1537"/>
      <c r="BF69" s="899" t="b">
        <f>IF(AND($C69&lt;&gt;"",AC69=""),TRUE,FALSE)</f>
        <v>0</v>
      </c>
      <c r="BG69" s="898"/>
      <c r="BH69" s="899" t="b">
        <f>IF(AND($C69&lt;&gt;"",AE69=""),TRUE,FALSE)</f>
        <v>0</v>
      </c>
      <c r="BI69" s="898"/>
      <c r="BJ69" s="899" t="b">
        <f>IF(AND($C69&lt;&gt;"",AG69=""),TRUE,FALSE)</f>
        <v>0</v>
      </c>
      <c r="BK69" s="898"/>
      <c r="BL69" s="898" t="b">
        <f>IF(AND($C69&lt;&gt;"",AI69=""),TRUE,FALSE)</f>
        <v>0</v>
      </c>
      <c r="BM69" s="894"/>
      <c r="BN69" s="898" t="str">
        <f t="shared" si="2"/>
        <v/>
      </c>
      <c r="BO69" s="898" t="str">
        <f>IFERROR(IF(AND(O69="",O69&lt;&gt;""),1913,VLOOKUP(O69,Valid!$B$99:$J$120,9)),"")</f>
        <v/>
      </c>
      <c r="BP69" s="898" t="str">
        <f t="shared" ca="1" si="74"/>
        <v/>
      </c>
      <c r="BQ69" s="1547" t="str">
        <f t="shared" ca="1" si="75"/>
        <v/>
      </c>
      <c r="BR69" s="898" t="str">
        <f ca="1">IF(BQ69="", "", IF(1+(BQ69*4)&lt;1, 1, 1+(BQ69*4)))</f>
        <v/>
      </c>
      <c r="BS69" s="898" t="str">
        <f t="shared" si="4"/>
        <v/>
      </c>
      <c r="BT69" s="898" t="str">
        <f t="shared" si="5"/>
        <v/>
      </c>
      <c r="BU69" s="1539" t="str">
        <f>IFERROR(IF(AND(#REF!="",C69&lt;&gt;""),Valid!$E$123,VLOOKUP(#REF!,Valid!$B$123:$F$125,4,FALSE)),"")</f>
        <v/>
      </c>
      <c r="BV69" s="1539" t="str">
        <f>IFERROR(IF(AND(#REF!="",C69&lt;&gt;""),Valid!$F$123,VLOOKUP(#REF!,Valid!$B$123:$F$125,5,FALSE)),"")</f>
        <v/>
      </c>
      <c r="BW69" s="1539" t="str">
        <f>IFERROR(VLOOKUP('A-70 RevVehInv'!S69,Valid!$B$99:$I$120,7), "")</f>
        <v/>
      </c>
      <c r="BX69" s="1539" t="str">
        <f>IFERROR(VLOOKUP(O69,Valid!$B$99:$I$120,8), "")</f>
        <v/>
      </c>
      <c r="BY69" s="894"/>
    </row>
    <row r="70" spans="1:77" ht="6.75" customHeight="1" x14ac:dyDescent="0.2">
      <c r="A70" s="1517"/>
      <c r="B70" s="1530">
        <v>29.5</v>
      </c>
      <c r="C70" s="1540"/>
      <c r="D70" s="905"/>
      <c r="E70" s="1541"/>
      <c r="F70" s="905"/>
      <c r="G70" s="905"/>
      <c r="H70" s="905"/>
      <c r="I70" s="1534"/>
      <c r="J70" s="905"/>
      <c r="K70" s="1534"/>
      <c r="L70" s="905"/>
      <c r="M70" s="1534"/>
      <c r="N70" s="1531"/>
      <c r="O70" s="1542"/>
      <c r="P70" s="905"/>
      <c r="Q70" s="1542"/>
      <c r="R70" s="905"/>
      <c r="S70" s="1534" t="str">
        <f t="shared" si="0"/>
        <v/>
      </c>
      <c r="T70" s="905"/>
      <c r="U70" s="1534"/>
      <c r="V70" s="252" t="str">
        <f t="shared" si="69"/>
        <v/>
      </c>
      <c r="W70" s="1534"/>
      <c r="X70" s="905"/>
      <c r="Y70" s="1973" t="str">
        <f t="shared" si="6"/>
        <v/>
      </c>
      <c r="Z70" s="905"/>
      <c r="AA70" s="1985" t="str">
        <f t="shared" si="7"/>
        <v/>
      </c>
      <c r="AB70" s="1531"/>
      <c r="AC70" s="1534"/>
      <c r="AD70" s="1531"/>
      <c r="AE70" s="1534"/>
      <c r="AF70" s="1531"/>
      <c r="AG70" s="1534"/>
      <c r="AH70" s="1531"/>
      <c r="AI70" s="1543"/>
      <c r="AJ70" s="1531"/>
      <c r="AK70" s="1534"/>
      <c r="AL70" s="1531"/>
      <c r="AM70" s="1531"/>
      <c r="AN70" s="1531"/>
      <c r="AO70" s="1531"/>
      <c r="AP70" s="1531"/>
      <c r="AQ70" s="1535"/>
      <c r="AR70" s="1534"/>
      <c r="AS70" s="1535"/>
      <c r="AT70" s="1534"/>
      <c r="AU70" s="1535"/>
      <c r="AV70" s="1534"/>
      <c r="AW70" s="1535"/>
      <c r="AX70" s="1534"/>
      <c r="AY70" s="1535"/>
      <c r="AZ70" s="1534"/>
      <c r="BA70" s="1535"/>
      <c r="BB70" s="1534"/>
      <c r="BC70" s="1535"/>
      <c r="BD70" s="1534"/>
      <c r="BE70" s="1535"/>
      <c r="BF70" s="1534"/>
      <c r="BG70" s="1535"/>
      <c r="BH70" s="1534"/>
      <c r="BI70" s="1535"/>
      <c r="BJ70" s="1534"/>
      <c r="BK70" s="1535"/>
      <c r="BL70" s="1535"/>
      <c r="BM70" s="1531"/>
      <c r="BN70" s="898" t="str">
        <f t="shared" si="2"/>
        <v/>
      </c>
      <c r="BO70" s="898" t="str">
        <f>IFERROR(IF(AND(O70="",O70&lt;&gt;""),1913,VLOOKUP(O70,Valid!$B$99:$J$120,9)),"")</f>
        <v/>
      </c>
      <c r="BP70" s="898" t="str">
        <f t="shared" ca="1" si="74"/>
        <v/>
      </c>
      <c r="BQ70" s="1547" t="str">
        <f t="shared" ca="1" si="75"/>
        <v/>
      </c>
      <c r="BR70" s="898"/>
      <c r="BS70" s="898" t="str">
        <f t="shared" si="4"/>
        <v/>
      </c>
      <c r="BT70" s="898" t="str">
        <f t="shared" si="5"/>
        <v/>
      </c>
      <c r="BU70" s="1539" t="str">
        <f>IFERROR(IF(AND(#REF!="",C70&lt;&gt;""),Valid!$E$123,VLOOKUP(#REF!,Valid!$B$123:$F$125,4,FALSE)),"")</f>
        <v/>
      </c>
      <c r="BV70" s="1539" t="str">
        <f>IFERROR(IF(AND(#REF!="",C70&lt;&gt;""),Valid!$F$123,VLOOKUP(#REF!,Valid!$B$123:$F$125,5,FALSE)),"")</f>
        <v/>
      </c>
      <c r="BW70" s="1539" t="str">
        <f>IFERROR(VLOOKUP('A-70 RevVehInv'!S70,Valid!$B$99:$I$120,7), "")</f>
        <v/>
      </c>
      <c r="BX70" s="1539" t="str">
        <f>IFERROR(VLOOKUP(O70,Valid!$B$99:$I$120,8), "")</f>
        <v/>
      </c>
      <c r="BY70" s="1531"/>
    </row>
    <row r="71" spans="1:77" s="930" customFormat="1" x14ac:dyDescent="0.2">
      <c r="A71" s="206">
        <v>30</v>
      </c>
      <c r="B71" s="1530">
        <v>30</v>
      </c>
      <c r="C71" s="933"/>
      <c r="D71" s="719" t="str">
        <f>IF(C69="","",IF((C71=""),"Enter RVI ID. then Fill in Columns "&amp;TEXT($I$2,0)&amp;" - "&amp;TEXT($AI$2,0)&amp;"       ",""))</f>
        <v/>
      </c>
      <c r="E71" s="1056" t="str">
        <f>IF(AP71="N/A","",AP71)</f>
        <v/>
      </c>
      <c r="F71" s="1536"/>
      <c r="G71" s="1536"/>
      <c r="H71" s="1536"/>
      <c r="I71" s="1023"/>
      <c r="J71" s="1536" t="str">
        <f>IF(E71&lt;&gt;"","Vehicles?    ","")</f>
        <v/>
      </c>
      <c r="K71" s="1023"/>
      <c r="L71" s="1536" t="str">
        <f>IF(E71&lt;&gt;"","Active Vehicles?     ","")</f>
        <v/>
      </c>
      <c r="M71" s="1023"/>
      <c r="N71" s="894"/>
      <c r="O71" s="1153"/>
      <c r="P71" s="252" t="str">
        <f>IF(E71&lt;&gt;"","Select from Pull-Down List    ","")</f>
        <v/>
      </c>
      <c r="Q71" s="933"/>
      <c r="R71" s="252" t="str">
        <f>IF(E71&lt;&gt;"","Select from Pull-Down List    ","")</f>
        <v/>
      </c>
      <c r="S71" s="1766" t="str">
        <f t="shared" si="0"/>
        <v/>
      </c>
      <c r="T71" s="252"/>
      <c r="U71" s="1988"/>
      <c r="V71" s="252" t="str">
        <f t="shared" si="69"/>
        <v/>
      </c>
      <c r="W71" s="139"/>
      <c r="X71" s="252" t="str">
        <f>IF(E71&lt;&gt;"","Mfg. Yr?    ","")</f>
        <v/>
      </c>
      <c r="Y71" s="1974" t="str">
        <f t="shared" si="6"/>
        <v/>
      </c>
      <c r="Z71" s="252"/>
      <c r="AA71" s="1986" t="str">
        <f t="shared" si="7"/>
        <v/>
      </c>
      <c r="AB71" s="252" t="str">
        <f>IF(E71&lt;&gt;"","Select from Pull-Down List    ","")</f>
        <v/>
      </c>
      <c r="AC71" s="1023"/>
      <c r="AD71" s="252" t="str">
        <f>IF(E71&lt;&gt;"","Feet?    ","")</f>
        <v/>
      </c>
      <c r="AE71" s="1023"/>
      <c r="AF71" s="252" t="str">
        <f>IF(E71&lt;&gt;"","Mileage?       ","")</f>
        <v/>
      </c>
      <c r="AG71" s="1023"/>
      <c r="AH71" s="252" t="str">
        <f>IF(E71&lt;&gt;"","Avg. Lifetime Mileage? ","")</f>
        <v/>
      </c>
      <c r="AI71" s="933"/>
      <c r="AJ71" s="252" t="str">
        <f>IF(E71&lt;&gt;"","Select from Pull-Down List    ","")</f>
        <v/>
      </c>
      <c r="AK71" s="171"/>
      <c r="AL71" s="252"/>
      <c r="AM71" s="894"/>
      <c r="AN71" s="894"/>
      <c r="AO71" s="894" t="b">
        <f>IF(AND(C71="",C73&lt;&gt;""),TRUE,FALSE)</f>
        <v>0</v>
      </c>
      <c r="AP71" s="888" t="str">
        <f t="shared" ref="AP71" si="124">IF(AND(C71&lt;&gt;"",OR(I71="",K71="",M71="",O71="",Q71="",W71="",AC71="",AE71="",AG71="")),"No",IF(AND(C71="",OR(I71&lt;&gt;"",K71&lt;&gt;"",M71&lt;&gt;"",O71&lt;&gt;"",Q71&lt;&gt;"",W71&lt;&gt;"",AC71&lt;&gt;"",AE71&lt;&gt;"",AG71&lt;&gt;"",AI71&lt;&gt;"",AK71&lt;&gt;"")),"No",IF(AND(C71="",I71="",K71="",M71="",O71="",Q71="",W71="",AC71="",AE71="",AG71="",AI71=""),"N/A","Yes")))</f>
        <v>N/A</v>
      </c>
      <c r="AQ71" s="898"/>
      <c r="AR71" s="899" t="b">
        <f t="shared" ref="AR71" si="125">IF(AND(OR(I71&lt;&gt;"",K71&lt;&gt;"",M71&lt;&gt;"",O71&lt;&gt;"",Q71&lt;&gt;"",W71&lt;&gt;"",AC71&lt;&gt;"",AE71&lt;&gt;"",AG71&lt;&gt;"",AI71&lt;&gt;"",AK71&lt;&gt;""),C71=""),TRUE,FALSE)</f>
        <v>0</v>
      </c>
      <c r="AS71" s="898" t="b">
        <f t="shared" ref="AS71" si="126">IF(AT71=TRUE,FALSE,IF(SUM(K71)&gt;I71,TRUE,FALSE))</f>
        <v>0</v>
      </c>
      <c r="AT71" s="899" t="b">
        <f>IF(AND(C71&lt;&gt;"",I71=""),TRUE,FALSE)</f>
        <v>0</v>
      </c>
      <c r="AU71" s="898" t="b">
        <f>IF(AV71=TRUE,FALSE,IF(M71&gt;K71,TRUE,FALSE))</f>
        <v>0</v>
      </c>
      <c r="AV71" s="899" t="b">
        <f>IF(AND($C71&lt;&gt;"",K71=""),TRUE,FALSE)</f>
        <v>0</v>
      </c>
      <c r="AW71" s="898"/>
      <c r="AX71" s="899" t="b">
        <f>IF(AND($C71&lt;&gt;"",M71=""),TRUE,FALSE)</f>
        <v>0</v>
      </c>
      <c r="AY71" s="898" t="b">
        <f t="shared" ref="AY71" si="127">IF(AND(O71="",OR(Q71&lt;&gt;"",W71&lt;&gt;"",AC71&lt;&gt;"",AE71&lt;&gt;"",AG71&lt;&gt;"",AI71&lt;&gt;"")),TRUE,FALSE)</f>
        <v>0</v>
      </c>
      <c r="AZ71" s="899" t="b">
        <f>IF(AND($C71&lt;&gt;"",O71=""),TRUE,FALSE)</f>
        <v>0</v>
      </c>
      <c r="BA71" s="898"/>
      <c r="BB71" s="899" t="b">
        <f>IF(AND($C71&lt;&gt;"",Q71=""),TRUE,FALSE)</f>
        <v>0</v>
      </c>
      <c r="BC71" s="1537" t="b">
        <f>IF(BD71=TRUE,FALSE,IF(W71="",FALSE,IF(OR(W71&lt;BO71,W71&gt;BaseYear),TRUE,FALSE)))</f>
        <v>0</v>
      </c>
      <c r="BD71" s="899" t="b">
        <f>IF(AND($C71&lt;&gt;"",W71=""),TRUE,FALSE)</f>
        <v>0</v>
      </c>
      <c r="BE71" s="1537"/>
      <c r="BF71" s="899" t="b">
        <f>IF(AND($C71&lt;&gt;"",AC71=""),TRUE,FALSE)</f>
        <v>0</v>
      </c>
      <c r="BG71" s="898"/>
      <c r="BH71" s="899" t="b">
        <f>IF(AND($C71&lt;&gt;"",AE71=""),TRUE,FALSE)</f>
        <v>0</v>
      </c>
      <c r="BI71" s="898"/>
      <c r="BJ71" s="899" t="b">
        <f>IF(AND($C71&lt;&gt;"",AG71=""),TRUE,FALSE)</f>
        <v>0</v>
      </c>
      <c r="BK71" s="898"/>
      <c r="BL71" s="898" t="b">
        <f>IF(AND($C71&lt;&gt;"",AI71=""),TRUE,FALSE)</f>
        <v>0</v>
      </c>
      <c r="BM71" s="894"/>
      <c r="BN71" s="898" t="str">
        <f t="shared" si="2"/>
        <v/>
      </c>
      <c r="BO71" s="898" t="str">
        <f>IFERROR(IF(AND(O71="",O71&lt;&gt;""),1913,VLOOKUP(O71,Valid!$B$99:$J$120,9)),"")</f>
        <v/>
      </c>
      <c r="BP71" s="898" t="str">
        <f t="shared" ca="1" si="74"/>
        <v/>
      </c>
      <c r="BQ71" s="1547" t="str">
        <f t="shared" ca="1" si="75"/>
        <v/>
      </c>
      <c r="BR71" s="898" t="str">
        <f ca="1">IF(BQ71="", "", IF(1+(BQ71*4)&lt;1, 1, 1+(BQ71*4)))</f>
        <v/>
      </c>
      <c r="BS71" s="898" t="str">
        <f t="shared" si="4"/>
        <v/>
      </c>
      <c r="BT71" s="898" t="str">
        <f t="shared" si="5"/>
        <v/>
      </c>
      <c r="BU71" s="1539" t="str">
        <f>IFERROR(IF(AND(#REF!="",C71&lt;&gt;""),Valid!$E$123,VLOOKUP(#REF!,Valid!$B$123:$F$125,4,FALSE)),"")</f>
        <v/>
      </c>
      <c r="BV71" s="1539" t="str">
        <f>IFERROR(IF(AND(#REF!="",C71&lt;&gt;""),Valid!$F$123,VLOOKUP(#REF!,Valid!$B$123:$F$125,5,FALSE)),"")</f>
        <v/>
      </c>
      <c r="BW71" s="1539" t="str">
        <f>IFERROR(VLOOKUP('A-70 RevVehInv'!S71,Valid!$B$99:$I$120,7), "")</f>
        <v/>
      </c>
      <c r="BX71" s="1539" t="str">
        <f>IFERROR(VLOOKUP(O71,Valid!$B$99:$I$120,8), "")</f>
        <v/>
      </c>
      <c r="BY71" s="894"/>
    </row>
    <row r="72" spans="1:77" ht="6.75" customHeight="1" x14ac:dyDescent="0.2">
      <c r="A72" s="1517"/>
      <c r="B72" s="1530">
        <v>30.5</v>
      </c>
      <c r="C72" s="1544"/>
      <c r="D72" s="905"/>
      <c r="E72" s="1545"/>
      <c r="F72" s="905"/>
      <c r="G72" s="905"/>
      <c r="H72" s="905"/>
      <c r="I72" s="1531"/>
      <c r="J72" s="905"/>
      <c r="K72" s="1531"/>
      <c r="L72" s="905"/>
      <c r="M72" s="1531"/>
      <c r="N72" s="1531"/>
      <c r="O72" s="1533"/>
      <c r="P72" s="905"/>
      <c r="Q72" s="1533"/>
      <c r="R72" s="905"/>
      <c r="S72" s="1531" t="str">
        <f t="shared" si="0"/>
        <v/>
      </c>
      <c r="T72" s="905"/>
      <c r="U72" s="1531"/>
      <c r="V72" s="252" t="str">
        <f t="shared" si="69"/>
        <v/>
      </c>
      <c r="W72" s="1531"/>
      <c r="X72" s="905"/>
      <c r="Y72" s="1971" t="str">
        <f t="shared" si="6"/>
        <v/>
      </c>
      <c r="Z72" s="905"/>
      <c r="AA72" s="1983" t="str">
        <f t="shared" si="7"/>
        <v/>
      </c>
      <c r="AB72" s="1531"/>
      <c r="AC72" s="1531"/>
      <c r="AD72" s="1531"/>
      <c r="AE72" s="1531"/>
      <c r="AF72" s="1531"/>
      <c r="AG72" s="1534"/>
      <c r="AH72" s="1531"/>
      <c r="AI72" s="1546"/>
      <c r="AJ72" s="1531"/>
      <c r="AK72" s="1531"/>
      <c r="AL72" s="1531"/>
      <c r="AM72" s="1531"/>
      <c r="AN72" s="1531"/>
      <c r="AO72" s="1531"/>
      <c r="AP72" s="1531"/>
      <c r="AQ72" s="1535"/>
      <c r="AR72" s="1534"/>
      <c r="AS72" s="1535"/>
      <c r="AT72" s="1534"/>
      <c r="AU72" s="1535"/>
      <c r="AV72" s="1534"/>
      <c r="AW72" s="1535"/>
      <c r="AX72" s="1534"/>
      <c r="AY72" s="1535"/>
      <c r="AZ72" s="1534"/>
      <c r="BA72" s="1535"/>
      <c r="BB72" s="1534"/>
      <c r="BC72" s="1535"/>
      <c r="BD72" s="1534"/>
      <c r="BE72" s="1535"/>
      <c r="BF72" s="1534"/>
      <c r="BG72" s="1535"/>
      <c r="BH72" s="1534"/>
      <c r="BI72" s="1535"/>
      <c r="BJ72" s="1534"/>
      <c r="BK72" s="1535"/>
      <c r="BL72" s="1535"/>
      <c r="BM72" s="1531"/>
      <c r="BN72" s="898" t="str">
        <f t="shared" si="2"/>
        <v/>
      </c>
      <c r="BO72" s="898" t="str">
        <f>IFERROR(IF(AND(O72="",O72&lt;&gt;""),1913,VLOOKUP(O72,Valid!$B$99:$J$120,9)),"")</f>
        <v/>
      </c>
      <c r="BP72" s="898" t="str">
        <f t="shared" ca="1" si="74"/>
        <v/>
      </c>
      <c r="BQ72" s="1547" t="str">
        <f t="shared" ca="1" si="75"/>
        <v/>
      </c>
      <c r="BR72" s="898"/>
      <c r="BS72" s="898" t="str">
        <f t="shared" si="4"/>
        <v/>
      </c>
      <c r="BT72" s="898" t="str">
        <f t="shared" si="5"/>
        <v/>
      </c>
      <c r="BU72" s="1539" t="str">
        <f>IFERROR(IF(AND(#REF!="",C72&lt;&gt;""),Valid!$E$123,VLOOKUP(#REF!,Valid!$B$123:$F$125,4,FALSE)),"")</f>
        <v/>
      </c>
      <c r="BV72" s="1539" t="str">
        <f>IFERROR(IF(AND(#REF!="",C72&lt;&gt;""),Valid!$F$123,VLOOKUP(#REF!,Valid!$B$123:$F$125,5,FALSE)),"")</f>
        <v/>
      </c>
      <c r="BW72" s="1539" t="str">
        <f>IFERROR(VLOOKUP('A-70 RevVehInv'!S72,Valid!$B$99:$I$120,7), "")</f>
        <v/>
      </c>
      <c r="BX72" s="1539" t="str">
        <f>IFERROR(VLOOKUP(O72,Valid!$B$99:$I$120,8), "")</f>
        <v/>
      </c>
      <c r="BY72" s="1531"/>
    </row>
    <row r="73" spans="1:77" s="930" customFormat="1" x14ac:dyDescent="0.2">
      <c r="A73" s="206">
        <v>31</v>
      </c>
      <c r="B73" s="1530">
        <v>31</v>
      </c>
      <c r="C73" s="933"/>
      <c r="D73" s="719" t="str">
        <f>IF(C71="","",IF((C73=""),"Enter RVI ID. then Fill in Columns "&amp;TEXT($I$2,0)&amp;" - "&amp;TEXT($AI$2,0)&amp;"       ",""))</f>
        <v/>
      </c>
      <c r="E73" s="1056" t="str">
        <f>IF(AP73="N/A","",AP73)</f>
        <v/>
      </c>
      <c r="F73" s="1536"/>
      <c r="G73" s="1536"/>
      <c r="H73" s="1536"/>
      <c r="I73" s="1023"/>
      <c r="J73" s="1536" t="str">
        <f>IF(E73&lt;&gt;"","Vehicles?    ","")</f>
        <v/>
      </c>
      <c r="K73" s="1023"/>
      <c r="L73" s="1536" t="str">
        <f>IF(E73&lt;&gt;"","Active Vehicles?     ","")</f>
        <v/>
      </c>
      <c r="M73" s="1023"/>
      <c r="N73" s="894"/>
      <c r="O73" s="1153"/>
      <c r="P73" s="252" t="str">
        <f>IF(E73&lt;&gt;"","Select from Pull-Down List    ","")</f>
        <v/>
      </c>
      <c r="Q73" s="933"/>
      <c r="R73" s="252" t="str">
        <f>IF(E73&lt;&gt;"","Select from Pull-Down List    ","")</f>
        <v/>
      </c>
      <c r="S73" s="1766" t="str">
        <f t="shared" si="0"/>
        <v/>
      </c>
      <c r="T73" s="252"/>
      <c r="U73" s="1988"/>
      <c r="V73" s="252" t="str">
        <f t="shared" si="69"/>
        <v/>
      </c>
      <c r="W73" s="139"/>
      <c r="X73" s="252" t="str">
        <f>IF(E73&lt;&gt;"","Mfg. Yr?    ","")</f>
        <v/>
      </c>
      <c r="Y73" s="1974" t="str">
        <f t="shared" si="6"/>
        <v/>
      </c>
      <c r="Z73" s="252"/>
      <c r="AA73" s="1986" t="str">
        <f t="shared" si="7"/>
        <v/>
      </c>
      <c r="AB73" s="252" t="str">
        <f>IF(E73&lt;&gt;"","Select from Pull-Down List    ","")</f>
        <v/>
      </c>
      <c r="AC73" s="1023"/>
      <c r="AD73" s="252" t="str">
        <f>IF(E73&lt;&gt;"","Feet?    ","")</f>
        <v/>
      </c>
      <c r="AE73" s="1023"/>
      <c r="AF73" s="252" t="str">
        <f>IF(E73&lt;&gt;"","Mileage?       ","")</f>
        <v/>
      </c>
      <c r="AG73" s="1023"/>
      <c r="AH73" s="252" t="str">
        <f>IF(E73&lt;&gt;"","Avg. Lifetime Mileage? ","")</f>
        <v/>
      </c>
      <c r="AI73" s="933"/>
      <c r="AJ73" s="252" t="str">
        <f>IF(E73&lt;&gt;"","Select from Pull-Down List    ","")</f>
        <v/>
      </c>
      <c r="AK73" s="171"/>
      <c r="AL73" s="252"/>
      <c r="AM73" s="894"/>
      <c r="AN73" s="894"/>
      <c r="AO73" s="894" t="b">
        <f>IF(AND(C73="",C75&lt;&gt;""),TRUE,FALSE)</f>
        <v>0</v>
      </c>
      <c r="AP73" s="888" t="str">
        <f t="shared" ref="AP73" si="128">IF(AND(C73&lt;&gt;"",OR(I73="",K73="",M73="",O73="",Q73="",W73="",AC73="",AE73="",AG73="")),"No",IF(AND(C73="",OR(I73&lt;&gt;"",K73&lt;&gt;"",M73&lt;&gt;"",O73&lt;&gt;"",Q73&lt;&gt;"",W73&lt;&gt;"",AC73&lt;&gt;"",AE73&lt;&gt;"",AG73&lt;&gt;"",AI73&lt;&gt;"",AK73&lt;&gt;"")),"No",IF(AND(C73="",I73="",K73="",M73="",O73="",Q73="",W73="",AC73="",AE73="",AG73="",AI73=""),"N/A","Yes")))</f>
        <v>N/A</v>
      </c>
      <c r="AQ73" s="898"/>
      <c r="AR73" s="899" t="b">
        <f t="shared" ref="AR73" si="129">IF(AND(OR(I73&lt;&gt;"",K73&lt;&gt;"",M73&lt;&gt;"",O73&lt;&gt;"",Q73&lt;&gt;"",W73&lt;&gt;"",AC73&lt;&gt;"",AE73&lt;&gt;"",AG73&lt;&gt;"",AI73&lt;&gt;"",AK73&lt;&gt;""),C73=""),TRUE,FALSE)</f>
        <v>0</v>
      </c>
      <c r="AS73" s="898" t="b">
        <f t="shared" ref="AS73" si="130">IF(AT73=TRUE,FALSE,IF(SUM(K73)&gt;I73,TRUE,FALSE))</f>
        <v>0</v>
      </c>
      <c r="AT73" s="899" t="b">
        <f>IF(AND(C73&lt;&gt;"",I73=""),TRUE,FALSE)</f>
        <v>0</v>
      </c>
      <c r="AU73" s="898" t="b">
        <f>IF(AV73=TRUE,FALSE,IF(M73&gt;K73,TRUE,FALSE))</f>
        <v>0</v>
      </c>
      <c r="AV73" s="899" t="b">
        <f>IF(AND($C73&lt;&gt;"",K73=""),TRUE,FALSE)</f>
        <v>0</v>
      </c>
      <c r="AW73" s="898"/>
      <c r="AX73" s="899" t="b">
        <f>IF(AND($C73&lt;&gt;"",M73=""),TRUE,FALSE)</f>
        <v>0</v>
      </c>
      <c r="AY73" s="898" t="b">
        <f t="shared" ref="AY73" si="131">IF(AND(O73="",OR(Q73&lt;&gt;"",W73&lt;&gt;"",AC73&lt;&gt;"",AE73&lt;&gt;"",AG73&lt;&gt;"",AI73&lt;&gt;"")),TRUE,FALSE)</f>
        <v>0</v>
      </c>
      <c r="AZ73" s="899" t="b">
        <f>IF(AND($C73&lt;&gt;"",O73=""),TRUE,FALSE)</f>
        <v>0</v>
      </c>
      <c r="BA73" s="898"/>
      <c r="BB73" s="899" t="b">
        <f>IF(AND($C73&lt;&gt;"",Q73=""),TRUE,FALSE)</f>
        <v>0</v>
      </c>
      <c r="BC73" s="1537" t="b">
        <f>IF(BD73=TRUE,FALSE,IF(W73="",FALSE,IF(OR(W73&lt;BO73,W73&gt;BaseYear),TRUE,FALSE)))</f>
        <v>0</v>
      </c>
      <c r="BD73" s="899" t="b">
        <f>IF(AND($C73&lt;&gt;"",W73=""),TRUE,FALSE)</f>
        <v>0</v>
      </c>
      <c r="BE73" s="1537"/>
      <c r="BF73" s="899" t="b">
        <f>IF(AND($C73&lt;&gt;"",AC73=""),TRUE,FALSE)</f>
        <v>0</v>
      </c>
      <c r="BG73" s="898"/>
      <c r="BH73" s="899" t="b">
        <f>IF(AND($C73&lt;&gt;"",AE73=""),TRUE,FALSE)</f>
        <v>0</v>
      </c>
      <c r="BI73" s="898"/>
      <c r="BJ73" s="899" t="b">
        <f>IF(AND($C73&lt;&gt;"",AG73=""),TRUE,FALSE)</f>
        <v>0</v>
      </c>
      <c r="BK73" s="898"/>
      <c r="BL73" s="898" t="b">
        <f>IF(AND($C73&lt;&gt;"",AI73=""),TRUE,FALSE)</f>
        <v>0</v>
      </c>
      <c r="BM73" s="894"/>
      <c r="BN73" s="898" t="str">
        <f t="shared" si="2"/>
        <v/>
      </c>
      <c r="BO73" s="898" t="str">
        <f>IFERROR(IF(AND(O73="",O73&lt;&gt;""),1913,VLOOKUP(O73,Valid!$B$99:$J$120,9)),"")</f>
        <v/>
      </c>
      <c r="BP73" s="898" t="str">
        <f t="shared" ca="1" si="74"/>
        <v/>
      </c>
      <c r="BQ73" s="1547" t="str">
        <f t="shared" ca="1" si="75"/>
        <v/>
      </c>
      <c r="BR73" s="898" t="str">
        <f ca="1">IF(BQ73="", "", IF(1+(BQ73*4)&lt;1, 1, 1+(BQ73*4)))</f>
        <v/>
      </c>
      <c r="BS73" s="898" t="str">
        <f t="shared" si="4"/>
        <v/>
      </c>
      <c r="BT73" s="898" t="str">
        <f t="shared" si="5"/>
        <v/>
      </c>
      <c r="BU73" s="1539" t="str">
        <f>IFERROR(IF(AND(#REF!="",C73&lt;&gt;""),Valid!$E$123,VLOOKUP(#REF!,Valid!$B$123:$F$125,4,FALSE)),"")</f>
        <v/>
      </c>
      <c r="BV73" s="1539" t="str">
        <f>IFERROR(IF(AND(#REF!="",C73&lt;&gt;""),Valid!$F$123,VLOOKUP(#REF!,Valid!$B$123:$F$125,5,FALSE)),"")</f>
        <v/>
      </c>
      <c r="BW73" s="1539" t="str">
        <f>IFERROR(VLOOKUP('A-70 RevVehInv'!S73,Valid!$B$99:$I$120,7), "")</f>
        <v/>
      </c>
      <c r="BX73" s="1539" t="str">
        <f>IFERROR(VLOOKUP(O73,Valid!$B$99:$I$120,8), "")</f>
        <v/>
      </c>
      <c r="BY73" s="894"/>
    </row>
    <row r="74" spans="1:77" ht="6.75" customHeight="1" x14ac:dyDescent="0.2">
      <c r="A74" s="1516"/>
      <c r="B74" s="1530">
        <v>31.5</v>
      </c>
      <c r="C74" s="1540"/>
      <c r="D74" s="905"/>
      <c r="E74" s="1541"/>
      <c r="F74" s="905"/>
      <c r="G74" s="905"/>
      <c r="H74" s="905"/>
      <c r="I74" s="1534"/>
      <c r="J74" s="905"/>
      <c r="K74" s="1534"/>
      <c r="L74" s="905"/>
      <c r="M74" s="1534"/>
      <c r="N74" s="1531"/>
      <c r="O74" s="1542"/>
      <c r="P74" s="905"/>
      <c r="Q74" s="1542"/>
      <c r="R74" s="905"/>
      <c r="S74" s="1534" t="str">
        <f t="shared" si="0"/>
        <v/>
      </c>
      <c r="T74" s="905"/>
      <c r="U74" s="1534"/>
      <c r="V74" s="252" t="str">
        <f t="shared" si="69"/>
        <v/>
      </c>
      <c r="W74" s="1534"/>
      <c r="X74" s="905"/>
      <c r="Y74" s="1973" t="str">
        <f t="shared" si="6"/>
        <v/>
      </c>
      <c r="Z74" s="905"/>
      <c r="AA74" s="1985" t="str">
        <f t="shared" si="7"/>
        <v/>
      </c>
      <c r="AB74" s="1531"/>
      <c r="AC74" s="1534"/>
      <c r="AD74" s="1531"/>
      <c r="AE74" s="1534"/>
      <c r="AF74" s="1531"/>
      <c r="AG74" s="1534"/>
      <c r="AH74" s="1531"/>
      <c r="AI74" s="1543"/>
      <c r="AJ74" s="1531"/>
      <c r="AK74" s="1534"/>
      <c r="AL74" s="1531"/>
      <c r="AM74" s="1531"/>
      <c r="AN74" s="1531"/>
      <c r="AO74" s="1531"/>
      <c r="AP74" s="1531"/>
      <c r="AQ74" s="1535"/>
      <c r="AR74" s="1534"/>
      <c r="AS74" s="1535"/>
      <c r="AT74" s="1534"/>
      <c r="AU74" s="1535"/>
      <c r="AV74" s="1534"/>
      <c r="AW74" s="1535"/>
      <c r="AX74" s="1534"/>
      <c r="AY74" s="1535"/>
      <c r="AZ74" s="1534"/>
      <c r="BA74" s="1535"/>
      <c r="BB74" s="1534"/>
      <c r="BC74" s="1535"/>
      <c r="BD74" s="1534"/>
      <c r="BE74" s="1535"/>
      <c r="BF74" s="1534"/>
      <c r="BG74" s="1535"/>
      <c r="BH74" s="1534"/>
      <c r="BI74" s="1535"/>
      <c r="BJ74" s="1534"/>
      <c r="BK74" s="1535"/>
      <c r="BL74" s="1535"/>
      <c r="BM74" s="1531"/>
      <c r="BN74" s="898" t="str">
        <f t="shared" si="2"/>
        <v/>
      </c>
      <c r="BO74" s="898" t="str">
        <f>IFERROR(IF(AND(O74="",O74&lt;&gt;""),1913,VLOOKUP(O74,Valid!$B$99:$J$120,9)),"")</f>
        <v/>
      </c>
      <c r="BP74" s="898" t="str">
        <f t="shared" ca="1" si="74"/>
        <v/>
      </c>
      <c r="BQ74" s="1547" t="str">
        <f t="shared" ca="1" si="75"/>
        <v/>
      </c>
      <c r="BR74" s="898"/>
      <c r="BS74" s="898" t="str">
        <f t="shared" si="4"/>
        <v/>
      </c>
      <c r="BT74" s="898" t="str">
        <f t="shared" si="5"/>
        <v/>
      </c>
      <c r="BU74" s="1539" t="str">
        <f>IFERROR(IF(AND(#REF!="",C74&lt;&gt;""),Valid!$E$123,VLOOKUP(#REF!,Valid!$B$123:$F$125,4,FALSE)),"")</f>
        <v/>
      </c>
      <c r="BV74" s="1539" t="str">
        <f>IFERROR(IF(AND(#REF!="",C74&lt;&gt;""),Valid!$F$123,VLOOKUP(#REF!,Valid!$B$123:$F$125,5,FALSE)),"")</f>
        <v/>
      </c>
      <c r="BW74" s="1539" t="str">
        <f>IFERROR(VLOOKUP('A-70 RevVehInv'!S74,Valid!$B$99:$I$120,7), "")</f>
        <v/>
      </c>
      <c r="BX74" s="1539" t="str">
        <f>IFERROR(VLOOKUP(O74,Valid!$B$99:$I$120,8), "")</f>
        <v/>
      </c>
      <c r="BY74" s="1531"/>
    </row>
    <row r="75" spans="1:77" s="930" customFormat="1" x14ac:dyDescent="0.2">
      <c r="A75" s="206">
        <v>32</v>
      </c>
      <c r="B75" s="1530">
        <v>32</v>
      </c>
      <c r="C75" s="933"/>
      <c r="D75" s="719" t="str">
        <f>IF(C73="","",IF((C75=""),"Enter RVI ID. then Fill in Columns "&amp;TEXT($I$2,0)&amp;" - "&amp;TEXT($AI$2,0)&amp;"       ",""))</f>
        <v/>
      </c>
      <c r="E75" s="1056" t="str">
        <f>IF(AP75="N/A","",AP75)</f>
        <v/>
      </c>
      <c r="F75" s="1536"/>
      <c r="G75" s="1536"/>
      <c r="H75" s="1536"/>
      <c r="I75" s="1023"/>
      <c r="J75" s="1536" t="str">
        <f>IF(E75&lt;&gt;"","Vehicles?    ","")</f>
        <v/>
      </c>
      <c r="K75" s="1023"/>
      <c r="L75" s="1536" t="str">
        <f>IF(E75&lt;&gt;"","Active Vehicles?     ","")</f>
        <v/>
      </c>
      <c r="M75" s="1023"/>
      <c r="N75" s="894"/>
      <c r="O75" s="1153"/>
      <c r="P75" s="252" t="str">
        <f>IF(E75&lt;&gt;"","Select from Pull-Down List    ","")</f>
        <v/>
      </c>
      <c r="Q75" s="933"/>
      <c r="R75" s="252" t="str">
        <f>IF(E75&lt;&gt;"","Select from Pull-Down List    ","")</f>
        <v/>
      </c>
      <c r="S75" s="1766" t="str">
        <f t="shared" si="0"/>
        <v/>
      </c>
      <c r="T75" s="252"/>
      <c r="U75" s="1988"/>
      <c r="V75" s="252" t="str">
        <f t="shared" si="69"/>
        <v/>
      </c>
      <c r="W75" s="139"/>
      <c r="X75" s="252" t="str">
        <f>IF(E75&lt;&gt;"","Mfg. Yr?    ","")</f>
        <v/>
      </c>
      <c r="Y75" s="1974" t="str">
        <f t="shared" si="6"/>
        <v/>
      </c>
      <c r="Z75" s="252"/>
      <c r="AA75" s="1986" t="str">
        <f t="shared" si="7"/>
        <v/>
      </c>
      <c r="AB75" s="252" t="str">
        <f>IF(E75&lt;&gt;"","Select from Pull-Down List    ","")</f>
        <v/>
      </c>
      <c r="AC75" s="1023"/>
      <c r="AD75" s="252" t="str">
        <f>IF(E75&lt;&gt;"","Feet?    ","")</f>
        <v/>
      </c>
      <c r="AE75" s="1023"/>
      <c r="AF75" s="252" t="str">
        <f>IF(E75&lt;&gt;"","Mileage?       ","")</f>
        <v/>
      </c>
      <c r="AG75" s="1023"/>
      <c r="AH75" s="252" t="str">
        <f>IF(E75&lt;&gt;"","Avg. Lifetime Mileage? ","")</f>
        <v/>
      </c>
      <c r="AI75" s="933"/>
      <c r="AJ75" s="252" t="str">
        <f>IF(E75&lt;&gt;"","Select from Pull-Down List    ","")</f>
        <v/>
      </c>
      <c r="AK75" s="171"/>
      <c r="AL75" s="252"/>
      <c r="AM75" s="894"/>
      <c r="AN75" s="894"/>
      <c r="AO75" s="894" t="b">
        <f>IF(AND(C75="",C77&lt;&gt;""),TRUE,FALSE)</f>
        <v>0</v>
      </c>
      <c r="AP75" s="888" t="str">
        <f t="shared" ref="AP75" si="132">IF(AND(C75&lt;&gt;"",OR(I75="",K75="",M75="",O75="",Q75="",W75="",AC75="",AE75="",AG75="")),"No",IF(AND(C75="",OR(I75&lt;&gt;"",K75&lt;&gt;"",M75&lt;&gt;"",O75&lt;&gt;"",Q75&lt;&gt;"",W75&lt;&gt;"",AC75&lt;&gt;"",AE75&lt;&gt;"",AG75&lt;&gt;"",AI75&lt;&gt;"",AK75&lt;&gt;"")),"No",IF(AND(C75="",I75="",K75="",M75="",O75="",Q75="",W75="",AC75="",AE75="",AG75="",AI75=""),"N/A","Yes")))</f>
        <v>N/A</v>
      </c>
      <c r="AQ75" s="898"/>
      <c r="AR75" s="899" t="b">
        <f t="shared" ref="AR75" si="133">IF(AND(OR(I75&lt;&gt;"",K75&lt;&gt;"",M75&lt;&gt;"",O75&lt;&gt;"",Q75&lt;&gt;"",W75&lt;&gt;"",AC75&lt;&gt;"",AE75&lt;&gt;"",AG75&lt;&gt;"",AI75&lt;&gt;"",AK75&lt;&gt;""),C75=""),TRUE,FALSE)</f>
        <v>0</v>
      </c>
      <c r="AS75" s="898" t="b">
        <f t="shared" ref="AS75" si="134">IF(AT75=TRUE,FALSE,IF(SUM(K75)&gt;I75,TRUE,FALSE))</f>
        <v>0</v>
      </c>
      <c r="AT75" s="899" t="b">
        <f>IF(AND(C75&lt;&gt;"",I75=""),TRUE,FALSE)</f>
        <v>0</v>
      </c>
      <c r="AU75" s="898" t="b">
        <f>IF(AV75=TRUE,FALSE,IF(M75&gt;K75,TRUE,FALSE))</f>
        <v>0</v>
      </c>
      <c r="AV75" s="899" t="b">
        <f>IF(AND($C75&lt;&gt;"",K75=""),TRUE,FALSE)</f>
        <v>0</v>
      </c>
      <c r="AW75" s="898"/>
      <c r="AX75" s="899" t="b">
        <f>IF(AND($C75&lt;&gt;"",M75=""),TRUE,FALSE)</f>
        <v>0</v>
      </c>
      <c r="AY75" s="898" t="b">
        <f t="shared" ref="AY75" si="135">IF(AND(O75="",OR(Q75&lt;&gt;"",W75&lt;&gt;"",AC75&lt;&gt;"",AE75&lt;&gt;"",AG75&lt;&gt;"",AI75&lt;&gt;"")),TRUE,FALSE)</f>
        <v>0</v>
      </c>
      <c r="AZ75" s="899" t="b">
        <f>IF(AND($C75&lt;&gt;"",O75=""),TRUE,FALSE)</f>
        <v>0</v>
      </c>
      <c r="BA75" s="898"/>
      <c r="BB75" s="899" t="b">
        <f>IF(AND($C75&lt;&gt;"",Q75=""),TRUE,FALSE)</f>
        <v>0</v>
      </c>
      <c r="BC75" s="1537" t="b">
        <f>IF(BD75=TRUE,FALSE,IF(W75="",FALSE,IF(OR(W75&lt;BO75,W75&gt;BaseYear),TRUE,FALSE)))</f>
        <v>0</v>
      </c>
      <c r="BD75" s="899" t="b">
        <f>IF(AND($C75&lt;&gt;"",W75=""),TRUE,FALSE)</f>
        <v>0</v>
      </c>
      <c r="BE75" s="1537"/>
      <c r="BF75" s="899" t="b">
        <f>IF(AND($C75&lt;&gt;"",AC75=""),TRUE,FALSE)</f>
        <v>0</v>
      </c>
      <c r="BG75" s="898"/>
      <c r="BH75" s="899" t="b">
        <f>IF(AND($C75&lt;&gt;"",AE75=""),TRUE,FALSE)</f>
        <v>0</v>
      </c>
      <c r="BI75" s="898"/>
      <c r="BJ75" s="899" t="b">
        <f>IF(AND($C75&lt;&gt;"",AG75=""),TRUE,FALSE)</f>
        <v>0</v>
      </c>
      <c r="BK75" s="898"/>
      <c r="BL75" s="898" t="b">
        <f>IF(AND($C75&lt;&gt;"",AI75=""),TRUE,FALSE)</f>
        <v>0</v>
      </c>
      <c r="BM75" s="894"/>
      <c r="BN75" s="898" t="str">
        <f t="shared" si="2"/>
        <v/>
      </c>
      <c r="BO75" s="898" t="str">
        <f>IFERROR(IF(AND(O75="",O75&lt;&gt;""),1913,VLOOKUP(O75,Valid!$B$99:$J$120,9)),"")</f>
        <v/>
      </c>
      <c r="BP75" s="898" t="str">
        <f t="shared" ca="1" si="74"/>
        <v/>
      </c>
      <c r="BQ75" s="1547" t="str">
        <f t="shared" ca="1" si="75"/>
        <v/>
      </c>
      <c r="BR75" s="898" t="str">
        <f ca="1">IF(BQ75="", "", IF(1+(BQ75*4)&lt;1, 1, 1+(BQ75*4)))</f>
        <v/>
      </c>
      <c r="BS75" s="898" t="str">
        <f t="shared" si="4"/>
        <v/>
      </c>
      <c r="BT75" s="898" t="str">
        <f t="shared" si="5"/>
        <v/>
      </c>
      <c r="BU75" s="1539" t="str">
        <f>IFERROR(IF(AND(#REF!="",C75&lt;&gt;""),Valid!$E$123,VLOOKUP(#REF!,Valid!$B$123:$F$125,4,FALSE)),"")</f>
        <v/>
      </c>
      <c r="BV75" s="1539" t="str">
        <f>IFERROR(IF(AND(#REF!="",C75&lt;&gt;""),Valid!$F$123,VLOOKUP(#REF!,Valid!$B$123:$F$125,5,FALSE)),"")</f>
        <v/>
      </c>
      <c r="BW75" s="1539" t="str">
        <f>IFERROR(VLOOKUP('A-70 RevVehInv'!S75,Valid!$B$99:$I$120,7), "")</f>
        <v/>
      </c>
      <c r="BX75" s="1539" t="str">
        <f>IFERROR(VLOOKUP(O75,Valid!$B$99:$I$120,8), "")</f>
        <v/>
      </c>
      <c r="BY75" s="894"/>
    </row>
    <row r="76" spans="1:77" ht="6.75" customHeight="1" x14ac:dyDescent="0.2">
      <c r="A76" s="1516"/>
      <c r="B76" s="1530">
        <v>32.5</v>
      </c>
      <c r="C76" s="1544"/>
      <c r="D76" s="905"/>
      <c r="E76" s="1545"/>
      <c r="F76" s="905"/>
      <c r="G76" s="905"/>
      <c r="H76" s="905"/>
      <c r="I76" s="1531"/>
      <c r="J76" s="905"/>
      <c r="K76" s="1531"/>
      <c r="L76" s="905"/>
      <c r="M76" s="1531"/>
      <c r="N76" s="1531"/>
      <c r="O76" s="1533"/>
      <c r="P76" s="905"/>
      <c r="Q76" s="1533"/>
      <c r="R76" s="905"/>
      <c r="S76" s="1531" t="str">
        <f t="shared" si="0"/>
        <v/>
      </c>
      <c r="T76" s="905"/>
      <c r="U76" s="1531"/>
      <c r="V76" s="252" t="str">
        <f t="shared" si="69"/>
        <v/>
      </c>
      <c r="W76" s="1531"/>
      <c r="X76" s="905"/>
      <c r="Y76" s="1971" t="str">
        <f t="shared" si="6"/>
        <v/>
      </c>
      <c r="Z76" s="905"/>
      <c r="AA76" s="1983" t="str">
        <f t="shared" si="7"/>
        <v/>
      </c>
      <c r="AB76" s="1531"/>
      <c r="AC76" s="1531"/>
      <c r="AD76" s="1531"/>
      <c r="AE76" s="1531"/>
      <c r="AF76" s="1531"/>
      <c r="AG76" s="1534"/>
      <c r="AH76" s="1531"/>
      <c r="AI76" s="1546"/>
      <c r="AJ76" s="1531"/>
      <c r="AK76" s="1531"/>
      <c r="AL76" s="1531"/>
      <c r="AM76" s="1531"/>
      <c r="AN76" s="1531"/>
      <c r="AO76" s="1531"/>
      <c r="AP76" s="1531"/>
      <c r="AQ76" s="1535"/>
      <c r="AR76" s="1534"/>
      <c r="AS76" s="1535"/>
      <c r="AT76" s="1534"/>
      <c r="AU76" s="1535"/>
      <c r="AV76" s="1534"/>
      <c r="AW76" s="1535"/>
      <c r="AX76" s="1534"/>
      <c r="AY76" s="1535"/>
      <c r="AZ76" s="1534"/>
      <c r="BA76" s="1535"/>
      <c r="BB76" s="1534"/>
      <c r="BC76" s="1535"/>
      <c r="BD76" s="1534"/>
      <c r="BE76" s="1535"/>
      <c r="BF76" s="1534"/>
      <c r="BG76" s="1535"/>
      <c r="BH76" s="1534"/>
      <c r="BI76" s="1535"/>
      <c r="BJ76" s="1534"/>
      <c r="BK76" s="1535"/>
      <c r="BL76" s="1535"/>
      <c r="BM76" s="1531"/>
      <c r="BN76" s="898" t="str">
        <f t="shared" si="2"/>
        <v/>
      </c>
      <c r="BO76" s="898" t="str">
        <f>IFERROR(IF(AND(O76="",O76&lt;&gt;""),1913,VLOOKUP(O76,Valid!$B$99:$J$120,9)),"")</f>
        <v/>
      </c>
      <c r="BP76" s="898" t="str">
        <f t="shared" ca="1" si="74"/>
        <v/>
      </c>
      <c r="BQ76" s="1547" t="str">
        <f t="shared" ca="1" si="75"/>
        <v/>
      </c>
      <c r="BR76" s="898"/>
      <c r="BS76" s="898" t="str">
        <f t="shared" si="4"/>
        <v/>
      </c>
      <c r="BT76" s="898" t="str">
        <f t="shared" si="5"/>
        <v/>
      </c>
      <c r="BU76" s="1539" t="str">
        <f>IFERROR(IF(AND(#REF!="",C76&lt;&gt;""),Valid!$E$123,VLOOKUP(#REF!,Valid!$B$123:$F$125,4,FALSE)),"")</f>
        <v/>
      </c>
      <c r="BV76" s="1539" t="str">
        <f>IFERROR(IF(AND(#REF!="",C76&lt;&gt;""),Valid!$F$123,VLOOKUP(#REF!,Valid!$B$123:$F$125,5,FALSE)),"")</f>
        <v/>
      </c>
      <c r="BW76" s="1539" t="str">
        <f>IFERROR(VLOOKUP('A-70 RevVehInv'!S76,Valid!$B$99:$I$120,7), "")</f>
        <v/>
      </c>
      <c r="BX76" s="1539" t="str">
        <f>IFERROR(VLOOKUP(O76,Valid!$B$99:$I$120,8), "")</f>
        <v/>
      </c>
      <c r="BY76" s="1531"/>
    </row>
    <row r="77" spans="1:77" s="930" customFormat="1" x14ac:dyDescent="0.2">
      <c r="A77" s="206">
        <v>33</v>
      </c>
      <c r="B77" s="1530">
        <v>33</v>
      </c>
      <c r="C77" s="933"/>
      <c r="D77" s="719" t="str">
        <f>IF(C75="","",IF((C77=""),"Enter RVI ID. then Fill in Columns "&amp;TEXT($I$2,0)&amp;" - "&amp;TEXT($AI$2,0)&amp;"       ",""))</f>
        <v/>
      </c>
      <c r="E77" s="1056" t="str">
        <f>IF(AP77="N/A","",AP77)</f>
        <v/>
      </c>
      <c r="F77" s="1536"/>
      <c r="G77" s="1536"/>
      <c r="H77" s="1536"/>
      <c r="I77" s="1023"/>
      <c r="J77" s="1536" t="str">
        <f>IF(E77&lt;&gt;"","Vehicles?    ","")</f>
        <v/>
      </c>
      <c r="K77" s="1023"/>
      <c r="L77" s="1536" t="str">
        <f>IF(E77&lt;&gt;"","Active Vehicles?     ","")</f>
        <v/>
      </c>
      <c r="M77" s="1023"/>
      <c r="N77" s="894"/>
      <c r="O77" s="1153"/>
      <c r="P77" s="252" t="str">
        <f>IF(E77&lt;&gt;"","Select from Pull-Down List    ","")</f>
        <v/>
      </c>
      <c r="Q77" s="933"/>
      <c r="R77" s="252" t="str">
        <f>IF(E77&lt;&gt;"","Select from Pull-Down List    ","")</f>
        <v/>
      </c>
      <c r="S77" s="1766" t="str">
        <f t="shared" ref="S77:S140" si="136">IFERROR(VLOOKUP($O77,val_rev_vehicles,S$3,FALSE), "")</f>
        <v/>
      </c>
      <c r="T77" s="252"/>
      <c r="U77" s="1988"/>
      <c r="V77" s="252" t="str">
        <f t="shared" ref="V77:V108" si="137">IF(E77&lt;&gt;"","Service Yrs?    ","")</f>
        <v/>
      </c>
      <c r="W77" s="139"/>
      <c r="X77" s="252" t="str">
        <f>IF(E77&lt;&gt;"","Mfg. Yr?    ","")</f>
        <v/>
      </c>
      <c r="Y77" s="1974" t="str">
        <f t="shared" si="6"/>
        <v/>
      </c>
      <c r="Z77" s="252"/>
      <c r="AA77" s="1986" t="str">
        <f t="shared" si="7"/>
        <v/>
      </c>
      <c r="AB77" s="252" t="str">
        <f>IF(E77&lt;&gt;"","Select from Pull-Down List    ","")</f>
        <v/>
      </c>
      <c r="AC77" s="1023"/>
      <c r="AD77" s="252" t="str">
        <f>IF(E77&lt;&gt;"","Feet?    ","")</f>
        <v/>
      </c>
      <c r="AE77" s="1023"/>
      <c r="AF77" s="252" t="str">
        <f>IF(E77&lt;&gt;"","Mileage?       ","")</f>
        <v/>
      </c>
      <c r="AG77" s="1023"/>
      <c r="AH77" s="252" t="str">
        <f>IF(E77&lt;&gt;"","Avg. Lifetime Mileage? ","")</f>
        <v/>
      </c>
      <c r="AI77" s="933"/>
      <c r="AJ77" s="252" t="str">
        <f>IF(E77&lt;&gt;"","Select from Pull-Down List    ","")</f>
        <v/>
      </c>
      <c r="AK77" s="171"/>
      <c r="AL77" s="252"/>
      <c r="AM77" s="894"/>
      <c r="AN77" s="894"/>
      <c r="AO77" s="894" t="b">
        <f>IF(AND(C77="",C79&lt;&gt;""),TRUE,FALSE)</f>
        <v>0</v>
      </c>
      <c r="AP77" s="888" t="str">
        <f t="shared" ref="AP77" si="138">IF(AND(C77&lt;&gt;"",OR(I77="",K77="",M77="",O77="",Q77="",W77="",AC77="",AE77="",AG77="")),"No",IF(AND(C77="",OR(I77&lt;&gt;"",K77&lt;&gt;"",M77&lt;&gt;"",O77&lt;&gt;"",Q77&lt;&gt;"",W77&lt;&gt;"",AC77&lt;&gt;"",AE77&lt;&gt;"",AG77&lt;&gt;"",AI77&lt;&gt;"",AK77&lt;&gt;"")),"No",IF(AND(C77="",I77="",K77="",M77="",O77="",Q77="",W77="",AC77="",AE77="",AG77="",AI77=""),"N/A","Yes")))</f>
        <v>N/A</v>
      </c>
      <c r="AQ77" s="898"/>
      <c r="AR77" s="899" t="b">
        <f t="shared" ref="AR77" si="139">IF(AND(OR(I77&lt;&gt;"",K77&lt;&gt;"",M77&lt;&gt;"",O77&lt;&gt;"",Q77&lt;&gt;"",W77&lt;&gt;"",AC77&lt;&gt;"",AE77&lt;&gt;"",AG77&lt;&gt;"",AI77&lt;&gt;"",AK77&lt;&gt;""),C77=""),TRUE,FALSE)</f>
        <v>0</v>
      </c>
      <c r="AS77" s="898" t="b">
        <f t="shared" ref="AS77" si="140">IF(AT77=TRUE,FALSE,IF(SUM(K77)&gt;I77,TRUE,FALSE))</f>
        <v>0</v>
      </c>
      <c r="AT77" s="899" t="b">
        <f>IF(AND(C77&lt;&gt;"",I77=""),TRUE,FALSE)</f>
        <v>0</v>
      </c>
      <c r="AU77" s="898" t="b">
        <f>IF(AV77=TRUE,FALSE,IF(M77&gt;K77,TRUE,FALSE))</f>
        <v>0</v>
      </c>
      <c r="AV77" s="899" t="b">
        <f>IF(AND($C77&lt;&gt;"",K77=""),TRUE,FALSE)</f>
        <v>0</v>
      </c>
      <c r="AW77" s="898"/>
      <c r="AX77" s="899" t="b">
        <f>IF(AND($C77&lt;&gt;"",M77=""),TRUE,FALSE)</f>
        <v>0</v>
      </c>
      <c r="AY77" s="898" t="b">
        <f t="shared" ref="AY77" si="141">IF(AND(O77="",OR(Q77&lt;&gt;"",W77&lt;&gt;"",AC77&lt;&gt;"",AE77&lt;&gt;"",AG77&lt;&gt;"",AI77&lt;&gt;"")),TRUE,FALSE)</f>
        <v>0</v>
      </c>
      <c r="AZ77" s="899" t="b">
        <f>IF(AND($C77&lt;&gt;"",O77=""),TRUE,FALSE)</f>
        <v>0</v>
      </c>
      <c r="BA77" s="898"/>
      <c r="BB77" s="899" t="b">
        <f>IF(AND($C77&lt;&gt;"",Q77=""),TRUE,FALSE)</f>
        <v>0</v>
      </c>
      <c r="BC77" s="1537" t="b">
        <f>IF(BD77=TRUE,FALSE,IF(W77="",FALSE,IF(OR(W77&lt;BO77,W77&gt;BaseYear),TRUE,FALSE)))</f>
        <v>0</v>
      </c>
      <c r="BD77" s="899" t="b">
        <f>IF(AND($C77&lt;&gt;"",W77=""),TRUE,FALSE)</f>
        <v>0</v>
      </c>
      <c r="BE77" s="1537"/>
      <c r="BF77" s="899" t="b">
        <f>IF(AND($C77&lt;&gt;"",AC77=""),TRUE,FALSE)</f>
        <v>0</v>
      </c>
      <c r="BG77" s="898"/>
      <c r="BH77" s="899" t="b">
        <f>IF(AND($C77&lt;&gt;"",AE77=""),TRUE,FALSE)</f>
        <v>0</v>
      </c>
      <c r="BI77" s="898"/>
      <c r="BJ77" s="899" t="b">
        <f>IF(AND($C77&lt;&gt;"",AG77=""),TRUE,FALSE)</f>
        <v>0</v>
      </c>
      <c r="BK77" s="898"/>
      <c r="BL77" s="898" t="b">
        <f>IF(AND($C77&lt;&gt;"",AI77=""),TRUE,FALSE)</f>
        <v>0</v>
      </c>
      <c r="BM77" s="894"/>
      <c r="BN77" s="898" t="str">
        <f t="shared" ref="BN77:BN140" si="142">IFERROR(VLOOKUP($O77,val_rev_vehicles,BN$3,FALSE),"")</f>
        <v/>
      </c>
      <c r="BO77" s="898" t="str">
        <f>IFERROR(IF(AND(O77="",O77&lt;&gt;""),1913,VLOOKUP(O77,Valid!$B$99:$J$120,9)),"")</f>
        <v/>
      </c>
      <c r="BP77" s="898" t="str">
        <f t="shared" ref="BP77:BP108" ca="1" si="143">IF(W77="", "", YEAR(TODAY())-W77)</f>
        <v/>
      </c>
      <c r="BQ77" s="1547" t="str">
        <f t="shared" ca="1" si="75"/>
        <v/>
      </c>
      <c r="BR77" s="898" t="str">
        <f ca="1">IF(BQ77="", "", IF(1+(BQ77*4)&lt;1, 1, 1+(BQ77*4)))</f>
        <v/>
      </c>
      <c r="BS77" s="898" t="str">
        <f t="shared" ref="BS77:BS140" si="144">IFERROR(VLOOKUP($O77,val_rev_vehicles,BS$3,FALSE), "")</f>
        <v/>
      </c>
      <c r="BT77" s="898" t="str">
        <f t="shared" ref="BT77:BT140" si="145">IFERROR(VLOOKUP($O77,val_rev_vehicles,BT$3,FALSE),"")</f>
        <v/>
      </c>
      <c r="BU77" s="1539" t="str">
        <f>IFERROR(IF(AND(#REF!="",C77&lt;&gt;""),Valid!$E$123,VLOOKUP(#REF!,Valid!$B$123:$F$125,4,FALSE)),"")</f>
        <v/>
      </c>
      <c r="BV77" s="1539" t="str">
        <f>IFERROR(IF(AND(#REF!="",C77&lt;&gt;""),Valid!$F$123,VLOOKUP(#REF!,Valid!$B$123:$F$125,5,FALSE)),"")</f>
        <v/>
      </c>
      <c r="BW77" s="1539" t="str">
        <f>IFERROR(VLOOKUP('A-70 RevVehInv'!S77,Valid!$B$99:$I$120,7), "")</f>
        <v/>
      </c>
      <c r="BX77" s="1539" t="str">
        <f>IFERROR(VLOOKUP(O77,Valid!$B$99:$I$120,8), "")</f>
        <v/>
      </c>
      <c r="BY77" s="894"/>
    </row>
    <row r="78" spans="1:77" ht="6.75" customHeight="1" x14ac:dyDescent="0.2">
      <c r="A78" s="1517"/>
      <c r="B78" s="1530">
        <v>33.5</v>
      </c>
      <c r="C78" s="1540"/>
      <c r="D78" s="905"/>
      <c r="E78" s="1541"/>
      <c r="F78" s="905"/>
      <c r="G78" s="905"/>
      <c r="H78" s="905"/>
      <c r="I78" s="1534"/>
      <c r="J78" s="905"/>
      <c r="K78" s="1534"/>
      <c r="L78" s="905"/>
      <c r="M78" s="1534"/>
      <c r="N78" s="1531"/>
      <c r="O78" s="1542"/>
      <c r="P78" s="905"/>
      <c r="Q78" s="1542"/>
      <c r="R78" s="905"/>
      <c r="S78" s="1534" t="str">
        <f t="shared" si="136"/>
        <v/>
      </c>
      <c r="T78" s="905"/>
      <c r="U78" s="1534"/>
      <c r="V78" s="252" t="str">
        <f t="shared" si="137"/>
        <v/>
      </c>
      <c r="W78" s="1534"/>
      <c r="X78" s="905"/>
      <c r="Y78" s="1973" t="str">
        <f t="shared" ref="Y78:Y141" si="146">IFERROR(VLOOKUP($O78,val_rev_vehicles,Y$3,FALSE), "")</f>
        <v/>
      </c>
      <c r="Z78" s="905"/>
      <c r="AA78" s="1985" t="str">
        <f t="shared" ref="AA78:AA141" si="147">IFERROR(VLOOKUP($O78,val_rev_vehicles,AA$3,FALSE), "")</f>
        <v/>
      </c>
      <c r="AB78" s="1531"/>
      <c r="AC78" s="1534"/>
      <c r="AD78" s="1531"/>
      <c r="AE78" s="1534"/>
      <c r="AF78" s="1531"/>
      <c r="AG78" s="1534"/>
      <c r="AH78" s="1531"/>
      <c r="AI78" s="1543"/>
      <c r="AJ78" s="1531"/>
      <c r="AK78" s="1534"/>
      <c r="AL78" s="1531"/>
      <c r="AM78" s="1531"/>
      <c r="AN78" s="1531"/>
      <c r="AO78" s="1531"/>
      <c r="AP78" s="1531"/>
      <c r="AQ78" s="1535"/>
      <c r="AR78" s="1534"/>
      <c r="AS78" s="1535"/>
      <c r="AT78" s="1534"/>
      <c r="AU78" s="1535"/>
      <c r="AV78" s="1534"/>
      <c r="AW78" s="1535"/>
      <c r="AX78" s="1534"/>
      <c r="AY78" s="1535"/>
      <c r="AZ78" s="1534"/>
      <c r="BA78" s="1535"/>
      <c r="BB78" s="1534"/>
      <c r="BC78" s="1535"/>
      <c r="BD78" s="1534"/>
      <c r="BE78" s="1535"/>
      <c r="BF78" s="1534"/>
      <c r="BG78" s="1535"/>
      <c r="BH78" s="1534"/>
      <c r="BI78" s="1535"/>
      <c r="BJ78" s="1534"/>
      <c r="BK78" s="1535"/>
      <c r="BL78" s="1535"/>
      <c r="BM78" s="1531"/>
      <c r="BN78" s="898" t="str">
        <f t="shared" si="142"/>
        <v/>
      </c>
      <c r="BO78" s="898" t="str">
        <f>IFERROR(IF(AND(O78="",O78&lt;&gt;""),1913,VLOOKUP(O78,Valid!$B$99:$J$120,9)),"")</f>
        <v/>
      </c>
      <c r="BP78" s="898" t="str">
        <f t="shared" ca="1" si="143"/>
        <v/>
      </c>
      <c r="BQ78" s="1547" t="str">
        <f t="shared" ref="BQ78:BQ109" ca="1" si="148">IF(OR(BP78="", S78="",S78=0), "", 1+ (-1*(BP78/S78)))</f>
        <v/>
      </c>
      <c r="BR78" s="898"/>
      <c r="BS78" s="898" t="str">
        <f t="shared" si="144"/>
        <v/>
      </c>
      <c r="BT78" s="898" t="str">
        <f t="shared" si="145"/>
        <v/>
      </c>
      <c r="BU78" s="1539" t="str">
        <f>IFERROR(IF(AND(#REF!="",C78&lt;&gt;""),Valid!$E$123,VLOOKUP(#REF!,Valid!$B$123:$F$125,4,FALSE)),"")</f>
        <v/>
      </c>
      <c r="BV78" s="1539" t="str">
        <f>IFERROR(IF(AND(#REF!="",C78&lt;&gt;""),Valid!$F$123,VLOOKUP(#REF!,Valid!$B$123:$F$125,5,FALSE)),"")</f>
        <v/>
      </c>
      <c r="BW78" s="1539" t="str">
        <f>IFERROR(VLOOKUP('A-70 RevVehInv'!S78,Valid!$B$99:$I$120,7), "")</f>
        <v/>
      </c>
      <c r="BX78" s="1539" t="str">
        <f>IFERROR(VLOOKUP(O78,Valid!$B$99:$I$120,8), "")</f>
        <v/>
      </c>
      <c r="BY78" s="1531"/>
    </row>
    <row r="79" spans="1:77" s="930" customFormat="1" x14ac:dyDescent="0.2">
      <c r="A79" s="206">
        <v>34</v>
      </c>
      <c r="B79" s="1530">
        <v>34</v>
      </c>
      <c r="C79" s="933"/>
      <c r="D79" s="719" t="str">
        <f>IF(C77="","",IF((C79=""),"Enter RVI ID. then Fill in Columns "&amp;TEXT($I$2,0)&amp;" - "&amp;TEXT($AI$2,0)&amp;"       ",""))</f>
        <v/>
      </c>
      <c r="E79" s="1056" t="str">
        <f>IF(AP79="N/A","",AP79)</f>
        <v/>
      </c>
      <c r="F79" s="1536"/>
      <c r="G79" s="1536"/>
      <c r="H79" s="1536"/>
      <c r="I79" s="1023"/>
      <c r="J79" s="1536" t="str">
        <f>IF(E79&lt;&gt;"","Vehicles?    ","")</f>
        <v/>
      </c>
      <c r="K79" s="1023"/>
      <c r="L79" s="1536" t="str">
        <f>IF(E79&lt;&gt;"","Active Vehicles?     ","")</f>
        <v/>
      </c>
      <c r="M79" s="1023"/>
      <c r="N79" s="894"/>
      <c r="O79" s="1153"/>
      <c r="P79" s="252" t="str">
        <f>IF(E79&lt;&gt;"","Select from Pull-Down List    ","")</f>
        <v/>
      </c>
      <c r="Q79" s="933"/>
      <c r="R79" s="252" t="str">
        <f>IF(E79&lt;&gt;"","Select from Pull-Down List    ","")</f>
        <v/>
      </c>
      <c r="S79" s="1766" t="str">
        <f t="shared" si="136"/>
        <v/>
      </c>
      <c r="T79" s="252"/>
      <c r="U79" s="1988"/>
      <c r="V79" s="252" t="str">
        <f t="shared" si="137"/>
        <v/>
      </c>
      <c r="W79" s="139"/>
      <c r="X79" s="252" t="str">
        <f>IF(E79&lt;&gt;"","Mfg. Yr?    ","")</f>
        <v/>
      </c>
      <c r="Y79" s="1974" t="str">
        <f t="shared" si="146"/>
        <v/>
      </c>
      <c r="Z79" s="252"/>
      <c r="AA79" s="1986" t="str">
        <f t="shared" si="147"/>
        <v/>
      </c>
      <c r="AB79" s="252" t="str">
        <f>IF(E79&lt;&gt;"","Select from Pull-Down List    ","")</f>
        <v/>
      </c>
      <c r="AC79" s="1023"/>
      <c r="AD79" s="252" t="str">
        <f>IF(E79&lt;&gt;"","Feet?    ","")</f>
        <v/>
      </c>
      <c r="AE79" s="1023"/>
      <c r="AF79" s="252" t="str">
        <f>IF(E79&lt;&gt;"","Mileage?       ","")</f>
        <v/>
      </c>
      <c r="AG79" s="1023"/>
      <c r="AH79" s="252" t="str">
        <f>IF(E79&lt;&gt;"","Avg. Lifetime Mileage? ","")</f>
        <v/>
      </c>
      <c r="AI79" s="933"/>
      <c r="AJ79" s="252" t="str">
        <f>IF(E79&lt;&gt;"","Select from Pull-Down List    ","")</f>
        <v/>
      </c>
      <c r="AK79" s="171"/>
      <c r="AL79" s="252"/>
      <c r="AM79" s="894"/>
      <c r="AN79" s="894"/>
      <c r="AO79" s="894" t="b">
        <f>IF(AND(C79="",C81&lt;&gt;""),TRUE,FALSE)</f>
        <v>0</v>
      </c>
      <c r="AP79" s="888" t="str">
        <f t="shared" ref="AP79" si="149">IF(AND(C79&lt;&gt;"",OR(I79="",K79="",M79="",O79="",Q79="",W79="",AC79="",AE79="",AG79="")),"No",IF(AND(C79="",OR(I79&lt;&gt;"",K79&lt;&gt;"",M79&lt;&gt;"",O79&lt;&gt;"",Q79&lt;&gt;"",W79&lt;&gt;"",AC79&lt;&gt;"",AE79&lt;&gt;"",AG79&lt;&gt;"",AI79&lt;&gt;"",AK79&lt;&gt;"")),"No",IF(AND(C79="",I79="",K79="",M79="",O79="",Q79="",W79="",AC79="",AE79="",AG79="",AI79=""),"N/A","Yes")))</f>
        <v>N/A</v>
      </c>
      <c r="AQ79" s="898"/>
      <c r="AR79" s="899" t="b">
        <f t="shared" ref="AR79" si="150">IF(AND(OR(I79&lt;&gt;"",K79&lt;&gt;"",M79&lt;&gt;"",O79&lt;&gt;"",Q79&lt;&gt;"",W79&lt;&gt;"",AC79&lt;&gt;"",AE79&lt;&gt;"",AG79&lt;&gt;"",AI79&lt;&gt;"",AK79&lt;&gt;""),C79=""),TRUE,FALSE)</f>
        <v>0</v>
      </c>
      <c r="AS79" s="898" t="b">
        <f t="shared" ref="AS79" si="151">IF(AT79=TRUE,FALSE,IF(SUM(K79)&gt;I79,TRUE,FALSE))</f>
        <v>0</v>
      </c>
      <c r="AT79" s="899" t="b">
        <f>IF(AND(C79&lt;&gt;"",I79=""),TRUE,FALSE)</f>
        <v>0</v>
      </c>
      <c r="AU79" s="898" t="b">
        <f>IF(AV79=TRUE,FALSE,IF(M79&gt;K79,TRUE,FALSE))</f>
        <v>0</v>
      </c>
      <c r="AV79" s="899" t="b">
        <f>IF(AND($C79&lt;&gt;"",K79=""),TRUE,FALSE)</f>
        <v>0</v>
      </c>
      <c r="AW79" s="898"/>
      <c r="AX79" s="899" t="b">
        <f>IF(AND($C79&lt;&gt;"",M79=""),TRUE,FALSE)</f>
        <v>0</v>
      </c>
      <c r="AY79" s="898" t="b">
        <f t="shared" ref="AY79" si="152">IF(AND(O79="",OR(Q79&lt;&gt;"",W79&lt;&gt;"",AC79&lt;&gt;"",AE79&lt;&gt;"",AG79&lt;&gt;"",AI79&lt;&gt;"")),TRUE,FALSE)</f>
        <v>0</v>
      </c>
      <c r="AZ79" s="899" t="b">
        <f>IF(AND($C79&lt;&gt;"",O79=""),TRUE,FALSE)</f>
        <v>0</v>
      </c>
      <c r="BA79" s="898"/>
      <c r="BB79" s="899" t="b">
        <f>IF(AND($C79&lt;&gt;"",Q79=""),TRUE,FALSE)</f>
        <v>0</v>
      </c>
      <c r="BC79" s="1537" t="b">
        <f>IF(BD79=TRUE,FALSE,IF(W79="",FALSE,IF(OR(W79&lt;BO79,W79&gt;BaseYear),TRUE,FALSE)))</f>
        <v>0</v>
      </c>
      <c r="BD79" s="899" t="b">
        <f>IF(AND($C79&lt;&gt;"",W79=""),TRUE,FALSE)</f>
        <v>0</v>
      </c>
      <c r="BE79" s="1537"/>
      <c r="BF79" s="899" t="b">
        <f>IF(AND($C79&lt;&gt;"",AC79=""),TRUE,FALSE)</f>
        <v>0</v>
      </c>
      <c r="BG79" s="898"/>
      <c r="BH79" s="899" t="b">
        <f>IF(AND($C79&lt;&gt;"",AE79=""),TRUE,FALSE)</f>
        <v>0</v>
      </c>
      <c r="BI79" s="898"/>
      <c r="BJ79" s="899" t="b">
        <f>IF(AND($C79&lt;&gt;"",AG79=""),TRUE,FALSE)</f>
        <v>0</v>
      </c>
      <c r="BK79" s="898"/>
      <c r="BL79" s="898" t="b">
        <f>IF(AND($C79&lt;&gt;"",AI79=""),TRUE,FALSE)</f>
        <v>0</v>
      </c>
      <c r="BM79" s="894"/>
      <c r="BN79" s="898" t="str">
        <f t="shared" si="142"/>
        <v/>
      </c>
      <c r="BO79" s="898" t="str">
        <f>IFERROR(IF(AND(O79="",O79&lt;&gt;""),1913,VLOOKUP(O79,Valid!$B$99:$J$120,9)),"")</f>
        <v/>
      </c>
      <c r="BP79" s="898" t="str">
        <f t="shared" ca="1" si="143"/>
        <v/>
      </c>
      <c r="BQ79" s="1547" t="str">
        <f t="shared" ca="1" si="148"/>
        <v/>
      </c>
      <c r="BR79" s="898" t="str">
        <f ca="1">IF(BQ79="", "", IF(1+(BQ79*4)&lt;1, 1, 1+(BQ79*4)))</f>
        <v/>
      </c>
      <c r="BS79" s="898" t="str">
        <f t="shared" si="144"/>
        <v/>
      </c>
      <c r="BT79" s="898" t="str">
        <f t="shared" si="145"/>
        <v/>
      </c>
      <c r="BU79" s="1539" t="str">
        <f>IFERROR(IF(AND(#REF!="",C79&lt;&gt;""),Valid!$E$123,VLOOKUP(#REF!,Valid!$B$123:$F$125,4,FALSE)),"")</f>
        <v/>
      </c>
      <c r="BV79" s="1539" t="str">
        <f>IFERROR(IF(AND(#REF!="",C79&lt;&gt;""),Valid!$F$123,VLOOKUP(#REF!,Valid!$B$123:$F$125,5,FALSE)),"")</f>
        <v/>
      </c>
      <c r="BW79" s="1539" t="str">
        <f>IFERROR(VLOOKUP('A-70 RevVehInv'!S79,Valid!$B$99:$I$120,7), "")</f>
        <v/>
      </c>
      <c r="BX79" s="1539" t="str">
        <f>IFERROR(VLOOKUP(O79,Valid!$B$99:$I$120,8), "")</f>
        <v/>
      </c>
      <c r="BY79" s="894"/>
    </row>
    <row r="80" spans="1:77" ht="6.75" customHeight="1" x14ac:dyDescent="0.2">
      <c r="A80" s="1517"/>
      <c r="B80" s="1530">
        <v>34.5</v>
      </c>
      <c r="C80" s="1544"/>
      <c r="D80" s="905"/>
      <c r="E80" s="1545"/>
      <c r="F80" s="905"/>
      <c r="G80" s="905"/>
      <c r="H80" s="905"/>
      <c r="I80" s="1531"/>
      <c r="J80" s="905"/>
      <c r="K80" s="1531"/>
      <c r="L80" s="905"/>
      <c r="M80" s="1531"/>
      <c r="N80" s="1531"/>
      <c r="O80" s="1533"/>
      <c r="P80" s="905"/>
      <c r="Q80" s="1533"/>
      <c r="R80" s="905"/>
      <c r="S80" s="1531" t="str">
        <f t="shared" si="136"/>
        <v/>
      </c>
      <c r="T80" s="905"/>
      <c r="U80" s="1531"/>
      <c r="V80" s="252" t="str">
        <f t="shared" si="137"/>
        <v/>
      </c>
      <c r="W80" s="1531"/>
      <c r="X80" s="905"/>
      <c r="Y80" s="1971" t="str">
        <f t="shared" si="146"/>
        <v/>
      </c>
      <c r="Z80" s="905"/>
      <c r="AA80" s="1983" t="str">
        <f t="shared" si="147"/>
        <v/>
      </c>
      <c r="AB80" s="1531"/>
      <c r="AC80" s="1531"/>
      <c r="AD80" s="1531"/>
      <c r="AE80" s="1531"/>
      <c r="AF80" s="1531"/>
      <c r="AG80" s="1534"/>
      <c r="AH80" s="1531"/>
      <c r="AI80" s="1546"/>
      <c r="AJ80" s="1531"/>
      <c r="AK80" s="1531"/>
      <c r="AL80" s="1531"/>
      <c r="AM80" s="1531"/>
      <c r="AN80" s="1531"/>
      <c r="AO80" s="1531"/>
      <c r="AP80" s="1531"/>
      <c r="AQ80" s="1535"/>
      <c r="AR80" s="1534"/>
      <c r="AS80" s="1535"/>
      <c r="AT80" s="1534"/>
      <c r="AU80" s="1535"/>
      <c r="AV80" s="1534"/>
      <c r="AW80" s="1535"/>
      <c r="AX80" s="1534"/>
      <c r="AY80" s="1535"/>
      <c r="AZ80" s="1534"/>
      <c r="BA80" s="1535"/>
      <c r="BB80" s="1534"/>
      <c r="BC80" s="1535"/>
      <c r="BD80" s="1534"/>
      <c r="BE80" s="1535"/>
      <c r="BF80" s="1534"/>
      <c r="BG80" s="1535"/>
      <c r="BH80" s="1534"/>
      <c r="BI80" s="1535"/>
      <c r="BJ80" s="1534"/>
      <c r="BK80" s="1535"/>
      <c r="BL80" s="1535"/>
      <c r="BM80" s="1531"/>
      <c r="BN80" s="898" t="str">
        <f t="shared" si="142"/>
        <v/>
      </c>
      <c r="BO80" s="898" t="str">
        <f>IFERROR(IF(AND(O80="",O80&lt;&gt;""),1913,VLOOKUP(O80,Valid!$B$99:$J$120,9)),"")</f>
        <v/>
      </c>
      <c r="BP80" s="898" t="str">
        <f t="shared" ca="1" si="143"/>
        <v/>
      </c>
      <c r="BQ80" s="1547" t="str">
        <f t="shared" ca="1" si="148"/>
        <v/>
      </c>
      <c r="BR80" s="898"/>
      <c r="BS80" s="898" t="str">
        <f t="shared" si="144"/>
        <v/>
      </c>
      <c r="BT80" s="898" t="str">
        <f t="shared" si="145"/>
        <v/>
      </c>
      <c r="BU80" s="1539" t="str">
        <f>IFERROR(IF(AND(#REF!="",C80&lt;&gt;""),Valid!$E$123,VLOOKUP(#REF!,Valid!$B$123:$F$125,4,FALSE)),"")</f>
        <v/>
      </c>
      <c r="BV80" s="1539" t="str">
        <f>IFERROR(IF(AND(#REF!="",C80&lt;&gt;""),Valid!$F$123,VLOOKUP(#REF!,Valid!$B$123:$F$125,5,FALSE)),"")</f>
        <v/>
      </c>
      <c r="BW80" s="1539" t="str">
        <f>IFERROR(VLOOKUP('A-70 RevVehInv'!S80,Valid!$B$99:$I$120,7), "")</f>
        <v/>
      </c>
      <c r="BX80" s="1539" t="str">
        <f>IFERROR(VLOOKUP(O80,Valid!$B$99:$I$120,8), "")</f>
        <v/>
      </c>
      <c r="BY80" s="1531"/>
    </row>
    <row r="81" spans="1:77" s="930" customFormat="1" x14ac:dyDescent="0.2">
      <c r="A81" s="206">
        <v>35</v>
      </c>
      <c r="B81" s="1530">
        <v>35</v>
      </c>
      <c r="C81" s="933"/>
      <c r="D81" s="719" t="str">
        <f>IF(C79="","",IF((C81=""),"Enter RVI ID. then Fill in Columns "&amp;TEXT($I$2,0)&amp;" - "&amp;TEXT($AI$2,0)&amp;"       ",""))</f>
        <v/>
      </c>
      <c r="E81" s="1056" t="str">
        <f>IF(AP81="N/A","",AP81)</f>
        <v/>
      </c>
      <c r="F81" s="1536"/>
      <c r="G81" s="1536"/>
      <c r="H81" s="1536"/>
      <c r="I81" s="1023"/>
      <c r="J81" s="1536" t="str">
        <f>IF(E81&lt;&gt;"","Vehicles?    ","")</f>
        <v/>
      </c>
      <c r="K81" s="1023"/>
      <c r="L81" s="1536" t="str">
        <f>IF(E81&lt;&gt;"","Active Vehicles?     ","")</f>
        <v/>
      </c>
      <c r="M81" s="1023"/>
      <c r="N81" s="894"/>
      <c r="O81" s="1153"/>
      <c r="P81" s="252" t="str">
        <f>IF(E81&lt;&gt;"","Select from Pull-Down List    ","")</f>
        <v/>
      </c>
      <c r="Q81" s="933"/>
      <c r="R81" s="252" t="str">
        <f>IF(E81&lt;&gt;"","Select from Pull-Down List    ","")</f>
        <v/>
      </c>
      <c r="S81" s="1766" t="str">
        <f t="shared" si="136"/>
        <v/>
      </c>
      <c r="T81" s="252"/>
      <c r="U81" s="1988"/>
      <c r="V81" s="252" t="str">
        <f t="shared" si="137"/>
        <v/>
      </c>
      <c r="W81" s="139"/>
      <c r="X81" s="252" t="str">
        <f>IF(E81&lt;&gt;"","Mfg. Yr?    ","")</f>
        <v/>
      </c>
      <c r="Y81" s="1974" t="str">
        <f t="shared" si="146"/>
        <v/>
      </c>
      <c r="Z81" s="252"/>
      <c r="AA81" s="1986" t="str">
        <f t="shared" si="147"/>
        <v/>
      </c>
      <c r="AB81" s="252" t="str">
        <f>IF(E81&lt;&gt;"","Select from Pull-Down List    ","")</f>
        <v/>
      </c>
      <c r="AC81" s="1023"/>
      <c r="AD81" s="252" t="str">
        <f>IF(E81&lt;&gt;"","Feet?    ","")</f>
        <v/>
      </c>
      <c r="AE81" s="1023"/>
      <c r="AF81" s="252" t="str">
        <f>IF(E81&lt;&gt;"","Mileage?       ","")</f>
        <v/>
      </c>
      <c r="AG81" s="1023"/>
      <c r="AH81" s="252" t="str">
        <f>IF(E81&lt;&gt;"","Avg. Lifetime Mileage? ","")</f>
        <v/>
      </c>
      <c r="AI81" s="933"/>
      <c r="AJ81" s="252" t="str">
        <f>IF(E81&lt;&gt;"","Select from Pull-Down List    ","")</f>
        <v/>
      </c>
      <c r="AK81" s="171"/>
      <c r="AL81" s="252"/>
      <c r="AM81" s="894"/>
      <c r="AN81" s="894"/>
      <c r="AO81" s="894" t="b">
        <f>IF(AND(C81="",C83&lt;&gt;""),TRUE,FALSE)</f>
        <v>0</v>
      </c>
      <c r="AP81" s="888" t="str">
        <f t="shared" ref="AP81" si="153">IF(AND(C81&lt;&gt;"",OR(I81="",K81="",M81="",O81="",Q81="",W81="",AC81="",AE81="",AG81="")),"No",IF(AND(C81="",OR(I81&lt;&gt;"",K81&lt;&gt;"",M81&lt;&gt;"",O81&lt;&gt;"",Q81&lt;&gt;"",W81&lt;&gt;"",AC81&lt;&gt;"",AE81&lt;&gt;"",AG81&lt;&gt;"",AI81&lt;&gt;"",AK81&lt;&gt;"")),"No",IF(AND(C81="",I81="",K81="",M81="",O81="",Q81="",W81="",AC81="",AE81="",AG81="",AI81=""),"N/A","Yes")))</f>
        <v>N/A</v>
      </c>
      <c r="AQ81" s="898"/>
      <c r="AR81" s="899" t="b">
        <f t="shared" ref="AR81" si="154">IF(AND(OR(I81&lt;&gt;"",K81&lt;&gt;"",M81&lt;&gt;"",O81&lt;&gt;"",Q81&lt;&gt;"",W81&lt;&gt;"",AC81&lt;&gt;"",AE81&lt;&gt;"",AG81&lt;&gt;"",AI81&lt;&gt;"",AK81&lt;&gt;""),C81=""),TRUE,FALSE)</f>
        <v>0</v>
      </c>
      <c r="AS81" s="898" t="b">
        <f t="shared" ref="AS81" si="155">IF(AT81=TRUE,FALSE,IF(SUM(K81)&gt;I81,TRUE,FALSE))</f>
        <v>0</v>
      </c>
      <c r="AT81" s="899" t="b">
        <f>IF(AND(C81&lt;&gt;"",I81=""),TRUE,FALSE)</f>
        <v>0</v>
      </c>
      <c r="AU81" s="898" t="b">
        <f>IF(AV81=TRUE,FALSE,IF(M81&gt;K81,TRUE,FALSE))</f>
        <v>0</v>
      </c>
      <c r="AV81" s="899" t="b">
        <f>IF(AND($C81&lt;&gt;"",K81=""),TRUE,FALSE)</f>
        <v>0</v>
      </c>
      <c r="AW81" s="898"/>
      <c r="AX81" s="899" t="b">
        <f>IF(AND($C81&lt;&gt;"",M81=""),TRUE,FALSE)</f>
        <v>0</v>
      </c>
      <c r="AY81" s="898" t="b">
        <f t="shared" ref="AY81" si="156">IF(AND(O81="",OR(Q81&lt;&gt;"",W81&lt;&gt;"",AC81&lt;&gt;"",AE81&lt;&gt;"",AG81&lt;&gt;"",AI81&lt;&gt;"")),TRUE,FALSE)</f>
        <v>0</v>
      </c>
      <c r="AZ81" s="899" t="b">
        <f>IF(AND($C81&lt;&gt;"",O81=""),TRUE,FALSE)</f>
        <v>0</v>
      </c>
      <c r="BA81" s="898"/>
      <c r="BB81" s="899" t="b">
        <f>IF(AND($C81&lt;&gt;"",Q81=""),TRUE,FALSE)</f>
        <v>0</v>
      </c>
      <c r="BC81" s="1537" t="b">
        <f>IF(BD81=TRUE,FALSE,IF(W81="",FALSE,IF(OR(W81&lt;BO81,W81&gt;BaseYear),TRUE,FALSE)))</f>
        <v>0</v>
      </c>
      <c r="BD81" s="899" t="b">
        <f>IF(AND($C81&lt;&gt;"",W81=""),TRUE,FALSE)</f>
        <v>0</v>
      </c>
      <c r="BE81" s="1537"/>
      <c r="BF81" s="899" t="b">
        <f>IF(AND($C81&lt;&gt;"",AC81=""),TRUE,FALSE)</f>
        <v>0</v>
      </c>
      <c r="BG81" s="898"/>
      <c r="BH81" s="899" t="b">
        <f>IF(AND($C81&lt;&gt;"",AE81=""),TRUE,FALSE)</f>
        <v>0</v>
      </c>
      <c r="BI81" s="898"/>
      <c r="BJ81" s="899" t="b">
        <f>IF(AND($C81&lt;&gt;"",AG81=""),TRUE,FALSE)</f>
        <v>0</v>
      </c>
      <c r="BK81" s="898"/>
      <c r="BL81" s="898" t="b">
        <f>IF(AND($C81&lt;&gt;"",AI81=""),TRUE,FALSE)</f>
        <v>0</v>
      </c>
      <c r="BM81" s="894"/>
      <c r="BN81" s="898" t="str">
        <f t="shared" si="142"/>
        <v/>
      </c>
      <c r="BO81" s="898" t="str">
        <f>IFERROR(IF(AND(O81="",O81&lt;&gt;""),1913,VLOOKUP(O81,Valid!$B$99:$J$120,9)),"")</f>
        <v/>
      </c>
      <c r="BP81" s="898" t="str">
        <f t="shared" ca="1" si="143"/>
        <v/>
      </c>
      <c r="BQ81" s="1547" t="str">
        <f t="shared" ca="1" si="148"/>
        <v/>
      </c>
      <c r="BR81" s="898" t="str">
        <f ca="1">IF(BQ81="", "", IF(1+(BQ81*4)&lt;1, 1, 1+(BQ81*4)))</f>
        <v/>
      </c>
      <c r="BS81" s="898" t="str">
        <f t="shared" si="144"/>
        <v/>
      </c>
      <c r="BT81" s="898" t="str">
        <f t="shared" si="145"/>
        <v/>
      </c>
      <c r="BU81" s="1539" t="str">
        <f>IFERROR(IF(AND(#REF!="",C81&lt;&gt;""),Valid!$E$123,VLOOKUP(#REF!,Valid!$B$123:$F$125,4,FALSE)),"")</f>
        <v/>
      </c>
      <c r="BV81" s="1539" t="str">
        <f>IFERROR(IF(AND(#REF!="",C81&lt;&gt;""),Valid!$F$123,VLOOKUP(#REF!,Valid!$B$123:$F$125,5,FALSE)),"")</f>
        <v/>
      </c>
      <c r="BW81" s="1539" t="str">
        <f>IFERROR(VLOOKUP('A-70 RevVehInv'!S81,Valid!$B$99:$I$120,7), "")</f>
        <v/>
      </c>
      <c r="BX81" s="1539" t="str">
        <f>IFERROR(VLOOKUP(O81,Valid!$B$99:$I$120,8), "")</f>
        <v/>
      </c>
      <c r="BY81" s="894"/>
    </row>
    <row r="82" spans="1:77" ht="6.75" customHeight="1" x14ac:dyDescent="0.2">
      <c r="A82" s="1517"/>
      <c r="B82" s="1530">
        <v>35.5</v>
      </c>
      <c r="C82" s="1540"/>
      <c r="D82" s="905"/>
      <c r="E82" s="1541"/>
      <c r="F82" s="905"/>
      <c r="G82" s="905"/>
      <c r="H82" s="905"/>
      <c r="I82" s="1534"/>
      <c r="J82" s="905"/>
      <c r="K82" s="1534"/>
      <c r="L82" s="905"/>
      <c r="M82" s="1534"/>
      <c r="N82" s="1531"/>
      <c r="O82" s="1542"/>
      <c r="P82" s="905"/>
      <c r="Q82" s="1542"/>
      <c r="R82" s="905"/>
      <c r="S82" s="1534" t="str">
        <f t="shared" si="136"/>
        <v/>
      </c>
      <c r="T82" s="905"/>
      <c r="U82" s="1534"/>
      <c r="V82" s="252" t="str">
        <f t="shared" si="137"/>
        <v/>
      </c>
      <c r="W82" s="1534"/>
      <c r="X82" s="905"/>
      <c r="Y82" s="1973" t="str">
        <f t="shared" si="146"/>
        <v/>
      </c>
      <c r="Z82" s="905"/>
      <c r="AA82" s="1985" t="str">
        <f t="shared" si="147"/>
        <v/>
      </c>
      <c r="AB82" s="1531"/>
      <c r="AC82" s="1534"/>
      <c r="AD82" s="1531"/>
      <c r="AE82" s="1534"/>
      <c r="AF82" s="1531"/>
      <c r="AG82" s="1534"/>
      <c r="AH82" s="1531"/>
      <c r="AI82" s="1543"/>
      <c r="AJ82" s="1531"/>
      <c r="AK82" s="1534"/>
      <c r="AL82" s="1531"/>
      <c r="AM82" s="1531"/>
      <c r="AN82" s="1531"/>
      <c r="AO82" s="1531"/>
      <c r="AP82" s="1531"/>
      <c r="AQ82" s="1535"/>
      <c r="AR82" s="1534"/>
      <c r="AS82" s="1535"/>
      <c r="AT82" s="1534"/>
      <c r="AU82" s="1535"/>
      <c r="AV82" s="1534"/>
      <c r="AW82" s="1535"/>
      <c r="AX82" s="1534"/>
      <c r="AY82" s="1535"/>
      <c r="AZ82" s="1534"/>
      <c r="BA82" s="1535"/>
      <c r="BB82" s="1534"/>
      <c r="BC82" s="1535"/>
      <c r="BD82" s="1534"/>
      <c r="BE82" s="1535"/>
      <c r="BF82" s="1534"/>
      <c r="BG82" s="1535"/>
      <c r="BH82" s="1534"/>
      <c r="BI82" s="1535"/>
      <c r="BJ82" s="1534"/>
      <c r="BK82" s="1535"/>
      <c r="BL82" s="1535"/>
      <c r="BM82" s="1531"/>
      <c r="BN82" s="898" t="str">
        <f t="shared" si="142"/>
        <v/>
      </c>
      <c r="BO82" s="898" t="str">
        <f>IFERROR(IF(AND(O82="",O82&lt;&gt;""),1913,VLOOKUP(O82,Valid!$B$99:$J$120,9)),"")</f>
        <v/>
      </c>
      <c r="BP82" s="898" t="str">
        <f t="shared" ca="1" si="143"/>
        <v/>
      </c>
      <c r="BQ82" s="1547" t="str">
        <f t="shared" ca="1" si="148"/>
        <v/>
      </c>
      <c r="BR82" s="898"/>
      <c r="BS82" s="898" t="str">
        <f t="shared" si="144"/>
        <v/>
      </c>
      <c r="BT82" s="898" t="str">
        <f t="shared" si="145"/>
        <v/>
      </c>
      <c r="BU82" s="1539" t="str">
        <f>IFERROR(IF(AND(#REF!="",C82&lt;&gt;""),Valid!$E$123,VLOOKUP(#REF!,Valid!$B$123:$F$125,4,FALSE)),"")</f>
        <v/>
      </c>
      <c r="BV82" s="1539" t="str">
        <f>IFERROR(IF(AND(#REF!="",C82&lt;&gt;""),Valid!$F$123,VLOOKUP(#REF!,Valid!$B$123:$F$125,5,FALSE)),"")</f>
        <v/>
      </c>
      <c r="BW82" s="1539" t="str">
        <f>IFERROR(VLOOKUP('A-70 RevVehInv'!S82,Valid!$B$99:$I$120,7), "")</f>
        <v/>
      </c>
      <c r="BX82" s="1539" t="str">
        <f>IFERROR(VLOOKUP(O82,Valid!$B$99:$I$120,8), "")</f>
        <v/>
      </c>
      <c r="BY82" s="1531"/>
    </row>
    <row r="83" spans="1:77" s="930" customFormat="1" x14ac:dyDescent="0.2">
      <c r="A83" s="206">
        <v>36</v>
      </c>
      <c r="B83" s="1530">
        <v>36</v>
      </c>
      <c r="C83" s="933"/>
      <c r="D83" s="719" t="str">
        <f>IF(C81="","",IF((C83=""),"Enter RVI ID. then Fill in Columns "&amp;TEXT($I$2,0)&amp;" - "&amp;TEXT($AI$2,0)&amp;"       ",""))</f>
        <v/>
      </c>
      <c r="E83" s="1056" t="str">
        <f>IF(AP83="N/A","",AP83)</f>
        <v/>
      </c>
      <c r="F83" s="1536"/>
      <c r="G83" s="1536"/>
      <c r="H83" s="1536"/>
      <c r="I83" s="1023"/>
      <c r="J83" s="1536" t="str">
        <f>IF(E83&lt;&gt;"","Vehicles?    ","")</f>
        <v/>
      </c>
      <c r="K83" s="1023"/>
      <c r="L83" s="1536" t="str">
        <f>IF(E83&lt;&gt;"","Active Vehicles?     ","")</f>
        <v/>
      </c>
      <c r="M83" s="1023"/>
      <c r="N83" s="894"/>
      <c r="O83" s="1153"/>
      <c r="P83" s="252" t="str">
        <f>IF(E83&lt;&gt;"","Select from Pull-Down List    ","")</f>
        <v/>
      </c>
      <c r="Q83" s="933"/>
      <c r="R83" s="252" t="str">
        <f>IF(E83&lt;&gt;"","Select from Pull-Down List    ","")</f>
        <v/>
      </c>
      <c r="S83" s="1766" t="str">
        <f t="shared" si="136"/>
        <v/>
      </c>
      <c r="T83" s="252"/>
      <c r="U83" s="1988"/>
      <c r="V83" s="252" t="str">
        <f t="shared" si="137"/>
        <v/>
      </c>
      <c r="W83" s="139"/>
      <c r="X83" s="252" t="str">
        <f>IF(E83&lt;&gt;"","Mfg. Yr?    ","")</f>
        <v/>
      </c>
      <c r="Y83" s="1974" t="str">
        <f t="shared" si="146"/>
        <v/>
      </c>
      <c r="Z83" s="252"/>
      <c r="AA83" s="1986" t="str">
        <f t="shared" si="147"/>
        <v/>
      </c>
      <c r="AB83" s="252" t="str">
        <f>IF(E83&lt;&gt;"","Select from Pull-Down List    ","")</f>
        <v/>
      </c>
      <c r="AC83" s="1023"/>
      <c r="AD83" s="252" t="str">
        <f>IF(E83&lt;&gt;"","Feet?    ","")</f>
        <v/>
      </c>
      <c r="AE83" s="1023"/>
      <c r="AF83" s="252" t="str">
        <f>IF(E83&lt;&gt;"","Mileage?       ","")</f>
        <v/>
      </c>
      <c r="AG83" s="1023"/>
      <c r="AH83" s="252" t="str">
        <f>IF(E83&lt;&gt;"","Avg. Lifetime Mileage? ","")</f>
        <v/>
      </c>
      <c r="AI83" s="933"/>
      <c r="AJ83" s="252" t="str">
        <f>IF(E83&lt;&gt;"","Select from Pull-Down List    ","")</f>
        <v/>
      </c>
      <c r="AK83" s="171"/>
      <c r="AL83" s="252"/>
      <c r="AM83" s="894"/>
      <c r="AN83" s="894"/>
      <c r="AO83" s="894" t="b">
        <f>IF(AND(C83="",C85&lt;&gt;""),TRUE,FALSE)</f>
        <v>0</v>
      </c>
      <c r="AP83" s="888" t="str">
        <f t="shared" ref="AP83" si="157">IF(AND(C83&lt;&gt;"",OR(I83="",K83="",M83="",O83="",Q83="",W83="",AC83="",AE83="",AG83="")),"No",IF(AND(C83="",OR(I83&lt;&gt;"",K83&lt;&gt;"",M83&lt;&gt;"",O83&lt;&gt;"",Q83&lt;&gt;"",W83&lt;&gt;"",AC83&lt;&gt;"",AE83&lt;&gt;"",AG83&lt;&gt;"",AI83&lt;&gt;"",AK83&lt;&gt;"")),"No",IF(AND(C83="",I83="",K83="",M83="",O83="",Q83="",W83="",AC83="",AE83="",AG83="",AI83=""),"N/A","Yes")))</f>
        <v>N/A</v>
      </c>
      <c r="AQ83" s="898"/>
      <c r="AR83" s="899" t="b">
        <f t="shared" ref="AR83" si="158">IF(AND(OR(I83&lt;&gt;"",K83&lt;&gt;"",M83&lt;&gt;"",O83&lt;&gt;"",Q83&lt;&gt;"",W83&lt;&gt;"",AC83&lt;&gt;"",AE83&lt;&gt;"",AG83&lt;&gt;"",AI83&lt;&gt;"",AK83&lt;&gt;""),C83=""),TRUE,FALSE)</f>
        <v>0</v>
      </c>
      <c r="AS83" s="898" t="b">
        <f t="shared" ref="AS83" si="159">IF(AT83=TRUE,FALSE,IF(SUM(K83)&gt;I83,TRUE,FALSE))</f>
        <v>0</v>
      </c>
      <c r="AT83" s="899" t="b">
        <f>IF(AND(C83&lt;&gt;"",I83=""),TRUE,FALSE)</f>
        <v>0</v>
      </c>
      <c r="AU83" s="898" t="b">
        <f>IF(AV83=TRUE,FALSE,IF(M83&gt;K83,TRUE,FALSE))</f>
        <v>0</v>
      </c>
      <c r="AV83" s="899" t="b">
        <f>IF(AND($C83&lt;&gt;"",K83=""),TRUE,FALSE)</f>
        <v>0</v>
      </c>
      <c r="AW83" s="898"/>
      <c r="AX83" s="899" t="b">
        <f>IF(AND($C83&lt;&gt;"",M83=""),TRUE,FALSE)</f>
        <v>0</v>
      </c>
      <c r="AY83" s="898" t="b">
        <f t="shared" ref="AY83" si="160">IF(AND(O83="",OR(Q83&lt;&gt;"",W83&lt;&gt;"",AC83&lt;&gt;"",AE83&lt;&gt;"",AG83&lt;&gt;"",AI83&lt;&gt;"")),TRUE,FALSE)</f>
        <v>0</v>
      </c>
      <c r="AZ83" s="899" t="b">
        <f>IF(AND($C83&lt;&gt;"",O83=""),TRUE,FALSE)</f>
        <v>0</v>
      </c>
      <c r="BA83" s="898"/>
      <c r="BB83" s="899" t="b">
        <f>IF(AND($C83&lt;&gt;"",Q83=""),TRUE,FALSE)</f>
        <v>0</v>
      </c>
      <c r="BC83" s="1537" t="b">
        <f>IF(BD83=TRUE,FALSE,IF(W83="",FALSE,IF(OR(W83&lt;BO83,W83&gt;BaseYear),TRUE,FALSE)))</f>
        <v>0</v>
      </c>
      <c r="BD83" s="899" t="b">
        <f>IF(AND($C83&lt;&gt;"",W83=""),TRUE,FALSE)</f>
        <v>0</v>
      </c>
      <c r="BE83" s="1537"/>
      <c r="BF83" s="899" t="b">
        <f>IF(AND($C83&lt;&gt;"",AC83=""),TRUE,FALSE)</f>
        <v>0</v>
      </c>
      <c r="BG83" s="898"/>
      <c r="BH83" s="899" t="b">
        <f>IF(AND($C83&lt;&gt;"",AE83=""),TRUE,FALSE)</f>
        <v>0</v>
      </c>
      <c r="BI83" s="898"/>
      <c r="BJ83" s="899" t="b">
        <f>IF(AND($C83&lt;&gt;"",AG83=""),TRUE,FALSE)</f>
        <v>0</v>
      </c>
      <c r="BK83" s="898"/>
      <c r="BL83" s="898" t="b">
        <f>IF(AND($C83&lt;&gt;"",AI83=""),TRUE,FALSE)</f>
        <v>0</v>
      </c>
      <c r="BM83" s="894"/>
      <c r="BN83" s="898" t="str">
        <f t="shared" si="142"/>
        <v/>
      </c>
      <c r="BO83" s="898" t="str">
        <f>IFERROR(IF(AND(O83="",O83&lt;&gt;""),1913,VLOOKUP(O83,Valid!$B$99:$J$120,9)),"")</f>
        <v/>
      </c>
      <c r="BP83" s="898" t="str">
        <f t="shared" ca="1" si="143"/>
        <v/>
      </c>
      <c r="BQ83" s="1547" t="str">
        <f t="shared" ca="1" si="148"/>
        <v/>
      </c>
      <c r="BR83" s="898" t="str">
        <f ca="1">IF(BQ83="", "", IF(1+(BQ83*4)&lt;1, 1, 1+(BQ83*4)))</f>
        <v/>
      </c>
      <c r="BS83" s="898" t="str">
        <f t="shared" si="144"/>
        <v/>
      </c>
      <c r="BT83" s="898" t="str">
        <f t="shared" si="145"/>
        <v/>
      </c>
      <c r="BU83" s="1539" t="str">
        <f>IFERROR(IF(AND(#REF!="",C83&lt;&gt;""),Valid!$E$123,VLOOKUP(#REF!,Valid!$B$123:$F$125,4,FALSE)),"")</f>
        <v/>
      </c>
      <c r="BV83" s="1539" t="str">
        <f>IFERROR(IF(AND(#REF!="",C83&lt;&gt;""),Valid!$F$123,VLOOKUP(#REF!,Valid!$B$123:$F$125,5,FALSE)),"")</f>
        <v/>
      </c>
      <c r="BW83" s="1539" t="str">
        <f>IFERROR(VLOOKUP('A-70 RevVehInv'!S83,Valid!$B$99:$I$120,7), "")</f>
        <v/>
      </c>
      <c r="BX83" s="1539" t="str">
        <f>IFERROR(VLOOKUP(O83,Valid!$B$99:$I$120,8), "")</f>
        <v/>
      </c>
      <c r="BY83" s="894"/>
    </row>
    <row r="84" spans="1:77" ht="6.75" customHeight="1" x14ac:dyDescent="0.2">
      <c r="A84" s="1517"/>
      <c r="B84" s="1530">
        <v>36.5</v>
      </c>
      <c r="C84" s="1544"/>
      <c r="D84" s="905"/>
      <c r="E84" s="1545"/>
      <c r="F84" s="905"/>
      <c r="G84" s="905"/>
      <c r="H84" s="905"/>
      <c r="I84" s="1531"/>
      <c r="J84" s="905"/>
      <c r="K84" s="1531"/>
      <c r="L84" s="905"/>
      <c r="M84" s="1531"/>
      <c r="N84" s="1531"/>
      <c r="O84" s="1533"/>
      <c r="P84" s="905"/>
      <c r="Q84" s="1533"/>
      <c r="R84" s="905"/>
      <c r="S84" s="1531" t="str">
        <f t="shared" si="136"/>
        <v/>
      </c>
      <c r="T84" s="905"/>
      <c r="U84" s="1531"/>
      <c r="V84" s="252" t="str">
        <f t="shared" si="137"/>
        <v/>
      </c>
      <c r="W84" s="1531"/>
      <c r="X84" s="905"/>
      <c r="Y84" s="1971" t="str">
        <f t="shared" si="146"/>
        <v/>
      </c>
      <c r="Z84" s="905"/>
      <c r="AA84" s="1983" t="str">
        <f t="shared" si="147"/>
        <v/>
      </c>
      <c r="AB84" s="1531"/>
      <c r="AC84" s="1531"/>
      <c r="AD84" s="1531"/>
      <c r="AE84" s="1531"/>
      <c r="AF84" s="1531"/>
      <c r="AG84" s="1534"/>
      <c r="AH84" s="1531"/>
      <c r="AI84" s="1546"/>
      <c r="AJ84" s="1531"/>
      <c r="AK84" s="1531"/>
      <c r="AL84" s="1531"/>
      <c r="AM84" s="1531"/>
      <c r="AN84" s="1531"/>
      <c r="AO84" s="1531"/>
      <c r="AP84" s="1531"/>
      <c r="AQ84" s="1535"/>
      <c r="AR84" s="1534"/>
      <c r="AS84" s="1535"/>
      <c r="AT84" s="1534"/>
      <c r="AU84" s="1535"/>
      <c r="AV84" s="1534"/>
      <c r="AW84" s="1535"/>
      <c r="AX84" s="1534"/>
      <c r="AY84" s="1535"/>
      <c r="AZ84" s="1534"/>
      <c r="BA84" s="1535"/>
      <c r="BB84" s="1534"/>
      <c r="BC84" s="1535"/>
      <c r="BD84" s="1534"/>
      <c r="BE84" s="1535"/>
      <c r="BF84" s="1534"/>
      <c r="BG84" s="1535"/>
      <c r="BH84" s="1534"/>
      <c r="BI84" s="1535"/>
      <c r="BJ84" s="1534"/>
      <c r="BK84" s="1535"/>
      <c r="BL84" s="1535"/>
      <c r="BM84" s="1531"/>
      <c r="BN84" s="898" t="str">
        <f t="shared" si="142"/>
        <v/>
      </c>
      <c r="BO84" s="898" t="str">
        <f>IFERROR(IF(AND(O84="",O84&lt;&gt;""),1913,VLOOKUP(O84,Valid!$B$99:$J$120,9)),"")</f>
        <v/>
      </c>
      <c r="BP84" s="898" t="str">
        <f t="shared" ca="1" si="143"/>
        <v/>
      </c>
      <c r="BQ84" s="1547" t="str">
        <f t="shared" ca="1" si="148"/>
        <v/>
      </c>
      <c r="BR84" s="898"/>
      <c r="BS84" s="898" t="str">
        <f t="shared" si="144"/>
        <v/>
      </c>
      <c r="BT84" s="898" t="str">
        <f t="shared" si="145"/>
        <v/>
      </c>
      <c r="BU84" s="1539" t="str">
        <f>IFERROR(IF(AND(#REF!="",C84&lt;&gt;""),Valid!$E$123,VLOOKUP(#REF!,Valid!$B$123:$F$125,4,FALSE)),"")</f>
        <v/>
      </c>
      <c r="BV84" s="1539" t="str">
        <f>IFERROR(IF(AND(#REF!="",C84&lt;&gt;""),Valid!$F$123,VLOOKUP(#REF!,Valid!$B$123:$F$125,5,FALSE)),"")</f>
        <v/>
      </c>
      <c r="BW84" s="1539" t="str">
        <f>IFERROR(VLOOKUP('A-70 RevVehInv'!S84,Valid!$B$99:$I$120,7), "")</f>
        <v/>
      </c>
      <c r="BX84" s="1539" t="str">
        <f>IFERROR(VLOOKUP(O84,Valid!$B$99:$I$120,8), "")</f>
        <v/>
      </c>
      <c r="BY84" s="1531"/>
    </row>
    <row r="85" spans="1:77" s="930" customFormat="1" x14ac:dyDescent="0.2">
      <c r="A85" s="206">
        <v>37</v>
      </c>
      <c r="B85" s="1530">
        <v>37</v>
      </c>
      <c r="C85" s="933"/>
      <c r="D85" s="719" t="str">
        <f>IF(C83="","",IF((C85=""),"Enter RVI ID. then Fill in Columns "&amp;TEXT($I$2,0)&amp;" - "&amp;TEXT($AI$2,0)&amp;"       ",""))</f>
        <v/>
      </c>
      <c r="E85" s="1056" t="str">
        <f>IF(AP85="N/A","",AP85)</f>
        <v/>
      </c>
      <c r="F85" s="1536"/>
      <c r="G85" s="1536"/>
      <c r="H85" s="1536"/>
      <c r="I85" s="1023"/>
      <c r="J85" s="1536" t="str">
        <f>IF(E85&lt;&gt;"","Vehicles?    ","")</f>
        <v/>
      </c>
      <c r="K85" s="1023"/>
      <c r="L85" s="1536" t="str">
        <f>IF(E85&lt;&gt;"","Active Vehicles?     ","")</f>
        <v/>
      </c>
      <c r="M85" s="1023"/>
      <c r="N85" s="894"/>
      <c r="O85" s="1153"/>
      <c r="P85" s="252" t="str">
        <f>IF(E85&lt;&gt;"","Select from Pull-Down List    ","")</f>
        <v/>
      </c>
      <c r="Q85" s="933"/>
      <c r="R85" s="252" t="str">
        <f>IF(E85&lt;&gt;"","Select from Pull-Down List    ","")</f>
        <v/>
      </c>
      <c r="S85" s="1766" t="str">
        <f t="shared" si="136"/>
        <v/>
      </c>
      <c r="T85" s="252"/>
      <c r="U85" s="1988"/>
      <c r="V85" s="252" t="str">
        <f t="shared" si="137"/>
        <v/>
      </c>
      <c r="W85" s="139"/>
      <c r="X85" s="252" t="str">
        <f>IF(E85&lt;&gt;"","Mfg. Yr?    ","")</f>
        <v/>
      </c>
      <c r="Y85" s="1974" t="str">
        <f t="shared" si="146"/>
        <v/>
      </c>
      <c r="Z85" s="252"/>
      <c r="AA85" s="1986" t="str">
        <f t="shared" si="147"/>
        <v/>
      </c>
      <c r="AB85" s="252" t="str">
        <f>IF(E85&lt;&gt;"","Select from Pull-Down List    ","")</f>
        <v/>
      </c>
      <c r="AC85" s="1023"/>
      <c r="AD85" s="252" t="str">
        <f>IF(E85&lt;&gt;"","Feet?    ","")</f>
        <v/>
      </c>
      <c r="AE85" s="1023"/>
      <c r="AF85" s="252" t="str">
        <f>IF(E85&lt;&gt;"","Mileage?       ","")</f>
        <v/>
      </c>
      <c r="AG85" s="1023"/>
      <c r="AH85" s="252" t="str">
        <f>IF(E85&lt;&gt;"","Avg. Lifetime Mileage? ","")</f>
        <v/>
      </c>
      <c r="AI85" s="933"/>
      <c r="AJ85" s="252" t="str">
        <f>IF(E85&lt;&gt;"","Select from Pull-Down List    ","")</f>
        <v/>
      </c>
      <c r="AK85" s="171"/>
      <c r="AL85" s="252"/>
      <c r="AM85" s="894"/>
      <c r="AN85" s="894"/>
      <c r="AO85" s="894" t="b">
        <f>IF(AND(C85="",C87&lt;&gt;""),TRUE,FALSE)</f>
        <v>0</v>
      </c>
      <c r="AP85" s="888" t="str">
        <f t="shared" ref="AP85" si="161">IF(AND(C85&lt;&gt;"",OR(I85="",K85="",M85="",O85="",Q85="",W85="",AC85="",AE85="",AG85="")),"No",IF(AND(C85="",OR(I85&lt;&gt;"",K85&lt;&gt;"",M85&lt;&gt;"",O85&lt;&gt;"",Q85&lt;&gt;"",W85&lt;&gt;"",AC85&lt;&gt;"",AE85&lt;&gt;"",AG85&lt;&gt;"",AI85&lt;&gt;"",AK85&lt;&gt;"")),"No",IF(AND(C85="",I85="",K85="",M85="",O85="",Q85="",W85="",AC85="",AE85="",AG85="",AI85=""),"N/A","Yes")))</f>
        <v>N/A</v>
      </c>
      <c r="AQ85" s="898"/>
      <c r="AR85" s="899" t="b">
        <f t="shared" ref="AR85" si="162">IF(AND(OR(I85&lt;&gt;"",K85&lt;&gt;"",M85&lt;&gt;"",O85&lt;&gt;"",Q85&lt;&gt;"",W85&lt;&gt;"",AC85&lt;&gt;"",AE85&lt;&gt;"",AG85&lt;&gt;"",AI85&lt;&gt;"",AK85&lt;&gt;""),C85=""),TRUE,FALSE)</f>
        <v>0</v>
      </c>
      <c r="AS85" s="898" t="b">
        <f t="shared" ref="AS85" si="163">IF(AT85=TRUE,FALSE,IF(SUM(K85)&gt;I85,TRUE,FALSE))</f>
        <v>0</v>
      </c>
      <c r="AT85" s="899" t="b">
        <f>IF(AND(C85&lt;&gt;"",I85=""),TRUE,FALSE)</f>
        <v>0</v>
      </c>
      <c r="AU85" s="898" t="b">
        <f>IF(AV85=TRUE,FALSE,IF(M85&gt;K85,TRUE,FALSE))</f>
        <v>0</v>
      </c>
      <c r="AV85" s="899" t="b">
        <f>IF(AND($C85&lt;&gt;"",K85=""),TRUE,FALSE)</f>
        <v>0</v>
      </c>
      <c r="AW85" s="898"/>
      <c r="AX85" s="899" t="b">
        <f>IF(AND($C85&lt;&gt;"",M85=""),TRUE,FALSE)</f>
        <v>0</v>
      </c>
      <c r="AY85" s="898" t="b">
        <f t="shared" ref="AY85" si="164">IF(AND(O85="",OR(Q85&lt;&gt;"",W85&lt;&gt;"",AC85&lt;&gt;"",AE85&lt;&gt;"",AG85&lt;&gt;"",AI85&lt;&gt;"")),TRUE,FALSE)</f>
        <v>0</v>
      </c>
      <c r="AZ85" s="899" t="b">
        <f>IF(AND($C85&lt;&gt;"",O85=""),TRUE,FALSE)</f>
        <v>0</v>
      </c>
      <c r="BA85" s="898"/>
      <c r="BB85" s="899" t="b">
        <f>IF(AND($C85&lt;&gt;"",Q85=""),TRUE,FALSE)</f>
        <v>0</v>
      </c>
      <c r="BC85" s="1537" t="b">
        <f>IF(BD85=TRUE,FALSE,IF(W85="",FALSE,IF(OR(W85&lt;BO85,W85&gt;BaseYear),TRUE,FALSE)))</f>
        <v>0</v>
      </c>
      <c r="BD85" s="899" t="b">
        <f>IF(AND($C85&lt;&gt;"",W85=""),TRUE,FALSE)</f>
        <v>0</v>
      </c>
      <c r="BE85" s="1537"/>
      <c r="BF85" s="899" t="b">
        <f>IF(AND($C85&lt;&gt;"",AC85=""),TRUE,FALSE)</f>
        <v>0</v>
      </c>
      <c r="BG85" s="898"/>
      <c r="BH85" s="899" t="b">
        <f>IF(AND($C85&lt;&gt;"",AE85=""),TRUE,FALSE)</f>
        <v>0</v>
      </c>
      <c r="BI85" s="898"/>
      <c r="BJ85" s="899" t="b">
        <f>IF(AND($C85&lt;&gt;"",AG85=""),TRUE,FALSE)</f>
        <v>0</v>
      </c>
      <c r="BK85" s="898"/>
      <c r="BL85" s="898" t="b">
        <f>IF(AND($C85&lt;&gt;"",AI85=""),TRUE,FALSE)</f>
        <v>0</v>
      </c>
      <c r="BM85" s="894"/>
      <c r="BN85" s="898" t="str">
        <f t="shared" si="142"/>
        <v/>
      </c>
      <c r="BO85" s="898" t="str">
        <f>IFERROR(IF(AND(O85="",O85&lt;&gt;""),1913,VLOOKUP(O85,Valid!$B$99:$J$120,9)),"")</f>
        <v/>
      </c>
      <c r="BP85" s="898" t="str">
        <f t="shared" ca="1" si="143"/>
        <v/>
      </c>
      <c r="BQ85" s="1547" t="str">
        <f t="shared" ca="1" si="148"/>
        <v/>
      </c>
      <c r="BR85" s="898" t="str">
        <f ca="1">IF(BQ85="", "", IF(1+(BQ85*4)&lt;1, 1, 1+(BQ85*4)))</f>
        <v/>
      </c>
      <c r="BS85" s="898" t="str">
        <f t="shared" si="144"/>
        <v/>
      </c>
      <c r="BT85" s="898" t="str">
        <f t="shared" si="145"/>
        <v/>
      </c>
      <c r="BU85" s="1539" t="str">
        <f>IFERROR(IF(AND(#REF!="",C85&lt;&gt;""),Valid!$E$123,VLOOKUP(#REF!,Valid!$B$123:$F$125,4,FALSE)),"")</f>
        <v/>
      </c>
      <c r="BV85" s="1539" t="str">
        <f>IFERROR(IF(AND(#REF!="",C85&lt;&gt;""),Valid!$F$123,VLOOKUP(#REF!,Valid!$B$123:$F$125,5,FALSE)),"")</f>
        <v/>
      </c>
      <c r="BW85" s="1539" t="str">
        <f>IFERROR(VLOOKUP('A-70 RevVehInv'!S85,Valid!$B$99:$I$120,7), "")</f>
        <v/>
      </c>
      <c r="BX85" s="1539" t="str">
        <f>IFERROR(VLOOKUP(O85,Valid!$B$99:$I$120,8), "")</f>
        <v/>
      </c>
      <c r="BY85" s="894"/>
    </row>
    <row r="86" spans="1:77" ht="6.75" customHeight="1" x14ac:dyDescent="0.2">
      <c r="A86" s="1517"/>
      <c r="B86" s="1530">
        <v>37.5</v>
      </c>
      <c r="C86" s="1540"/>
      <c r="D86" s="905"/>
      <c r="E86" s="1541"/>
      <c r="F86" s="905"/>
      <c r="G86" s="905"/>
      <c r="H86" s="905"/>
      <c r="I86" s="1534"/>
      <c r="J86" s="905"/>
      <c r="K86" s="1534"/>
      <c r="L86" s="905"/>
      <c r="M86" s="1534"/>
      <c r="N86" s="1531"/>
      <c r="O86" s="1542"/>
      <c r="P86" s="905"/>
      <c r="Q86" s="1542"/>
      <c r="R86" s="905"/>
      <c r="S86" s="1534" t="str">
        <f t="shared" si="136"/>
        <v/>
      </c>
      <c r="T86" s="905"/>
      <c r="U86" s="1534"/>
      <c r="V86" s="252" t="str">
        <f t="shared" si="137"/>
        <v/>
      </c>
      <c r="W86" s="1534"/>
      <c r="X86" s="905"/>
      <c r="Y86" s="1973" t="str">
        <f t="shared" si="146"/>
        <v/>
      </c>
      <c r="Z86" s="905"/>
      <c r="AA86" s="1985" t="str">
        <f t="shared" si="147"/>
        <v/>
      </c>
      <c r="AB86" s="1531"/>
      <c r="AC86" s="1534"/>
      <c r="AD86" s="1531"/>
      <c r="AE86" s="1534"/>
      <c r="AF86" s="1531"/>
      <c r="AG86" s="1534"/>
      <c r="AH86" s="1531"/>
      <c r="AI86" s="1543"/>
      <c r="AJ86" s="1531"/>
      <c r="AK86" s="1534"/>
      <c r="AL86" s="1531"/>
      <c r="AM86" s="1531"/>
      <c r="AN86" s="1531"/>
      <c r="AO86" s="1531"/>
      <c r="AP86" s="1531"/>
      <c r="AQ86" s="1535"/>
      <c r="AR86" s="1534"/>
      <c r="AS86" s="1535"/>
      <c r="AT86" s="1534"/>
      <c r="AU86" s="1535"/>
      <c r="AV86" s="1534"/>
      <c r="AW86" s="1535"/>
      <c r="AX86" s="1534"/>
      <c r="AY86" s="1535"/>
      <c r="AZ86" s="1534"/>
      <c r="BA86" s="1535"/>
      <c r="BB86" s="1534"/>
      <c r="BC86" s="1535"/>
      <c r="BD86" s="1534"/>
      <c r="BE86" s="1535"/>
      <c r="BF86" s="1534"/>
      <c r="BG86" s="1535"/>
      <c r="BH86" s="1534"/>
      <c r="BI86" s="1535"/>
      <c r="BJ86" s="1534"/>
      <c r="BK86" s="1535"/>
      <c r="BL86" s="1535"/>
      <c r="BM86" s="1531"/>
      <c r="BN86" s="898" t="str">
        <f t="shared" si="142"/>
        <v/>
      </c>
      <c r="BO86" s="898" t="str">
        <f>IFERROR(IF(AND(O86="",O86&lt;&gt;""),1913,VLOOKUP(O86,Valid!$B$99:$J$120,9)),"")</f>
        <v/>
      </c>
      <c r="BP86" s="898" t="str">
        <f t="shared" ca="1" si="143"/>
        <v/>
      </c>
      <c r="BQ86" s="1547" t="str">
        <f t="shared" ca="1" si="148"/>
        <v/>
      </c>
      <c r="BR86" s="898"/>
      <c r="BS86" s="898" t="str">
        <f t="shared" si="144"/>
        <v/>
      </c>
      <c r="BT86" s="898" t="str">
        <f t="shared" si="145"/>
        <v/>
      </c>
      <c r="BU86" s="1539" t="str">
        <f>IFERROR(IF(AND(#REF!="",C86&lt;&gt;""),Valid!$E$123,VLOOKUP(#REF!,Valid!$B$123:$F$125,4,FALSE)),"")</f>
        <v/>
      </c>
      <c r="BV86" s="1539" t="str">
        <f>IFERROR(IF(AND(#REF!="",C86&lt;&gt;""),Valid!$F$123,VLOOKUP(#REF!,Valid!$B$123:$F$125,5,FALSE)),"")</f>
        <v/>
      </c>
      <c r="BW86" s="1539" t="str">
        <f>IFERROR(VLOOKUP('A-70 RevVehInv'!S86,Valid!$B$99:$I$120,7), "")</f>
        <v/>
      </c>
      <c r="BX86" s="1539" t="str">
        <f>IFERROR(VLOOKUP(O86,Valid!$B$99:$I$120,8), "")</f>
        <v/>
      </c>
      <c r="BY86" s="1531"/>
    </row>
    <row r="87" spans="1:77" s="930" customFormat="1" x14ac:dyDescent="0.2">
      <c r="A87" s="206">
        <v>38</v>
      </c>
      <c r="B87" s="1530">
        <v>38</v>
      </c>
      <c r="C87" s="933"/>
      <c r="D87" s="719" t="str">
        <f>IF(C85="","",IF((C87=""),"Enter RVI ID. then Fill in Columns "&amp;TEXT($I$2,0)&amp;" - "&amp;TEXT($AI$2,0)&amp;"       ",""))</f>
        <v/>
      </c>
      <c r="E87" s="1056" t="str">
        <f>IF(AP87="N/A","",AP87)</f>
        <v/>
      </c>
      <c r="F87" s="1536"/>
      <c r="G87" s="1536"/>
      <c r="H87" s="1536"/>
      <c r="I87" s="1023"/>
      <c r="J87" s="1536" t="str">
        <f>IF(E87&lt;&gt;"","Vehicles?    ","")</f>
        <v/>
      </c>
      <c r="K87" s="1023"/>
      <c r="L87" s="1536" t="str">
        <f>IF(E87&lt;&gt;"","Active Vehicles?     ","")</f>
        <v/>
      </c>
      <c r="M87" s="1023"/>
      <c r="N87" s="894"/>
      <c r="O87" s="1153"/>
      <c r="P87" s="252" t="str">
        <f>IF(E87&lt;&gt;"","Select from Pull-Down List    ","")</f>
        <v/>
      </c>
      <c r="Q87" s="933"/>
      <c r="R87" s="252" t="str">
        <f>IF(E87&lt;&gt;"","Select from Pull-Down List    ","")</f>
        <v/>
      </c>
      <c r="S87" s="1766" t="str">
        <f t="shared" si="136"/>
        <v/>
      </c>
      <c r="T87" s="252"/>
      <c r="U87" s="1988"/>
      <c r="V87" s="252" t="str">
        <f t="shared" si="137"/>
        <v/>
      </c>
      <c r="W87" s="139"/>
      <c r="X87" s="252" t="str">
        <f>IF(E87&lt;&gt;"","Mfg. Yr?    ","")</f>
        <v/>
      </c>
      <c r="Y87" s="1974" t="str">
        <f t="shared" si="146"/>
        <v/>
      </c>
      <c r="Z87" s="252"/>
      <c r="AA87" s="1986" t="str">
        <f t="shared" si="147"/>
        <v/>
      </c>
      <c r="AB87" s="252" t="str">
        <f>IF(E87&lt;&gt;"","Select from Pull-Down List    ","")</f>
        <v/>
      </c>
      <c r="AC87" s="1023"/>
      <c r="AD87" s="252" t="str">
        <f>IF(E87&lt;&gt;"","Feet?    ","")</f>
        <v/>
      </c>
      <c r="AE87" s="1023"/>
      <c r="AF87" s="252" t="str">
        <f>IF(E87&lt;&gt;"","Mileage?       ","")</f>
        <v/>
      </c>
      <c r="AG87" s="1023"/>
      <c r="AH87" s="252" t="str">
        <f>IF(E87&lt;&gt;"","Avg. Lifetime Mileage? ","")</f>
        <v/>
      </c>
      <c r="AI87" s="933"/>
      <c r="AJ87" s="252" t="str">
        <f>IF(E87&lt;&gt;"","Select from Pull-Down List    ","")</f>
        <v/>
      </c>
      <c r="AK87" s="171"/>
      <c r="AL87" s="252"/>
      <c r="AM87" s="894"/>
      <c r="AN87" s="894"/>
      <c r="AO87" s="894" t="b">
        <f>IF(AND(C87="",C89&lt;&gt;""),TRUE,FALSE)</f>
        <v>0</v>
      </c>
      <c r="AP87" s="888" t="str">
        <f t="shared" ref="AP87" si="165">IF(AND(C87&lt;&gt;"",OR(I87="",K87="",M87="",O87="",Q87="",W87="",AC87="",AE87="",AG87="")),"No",IF(AND(C87="",OR(I87&lt;&gt;"",K87&lt;&gt;"",M87&lt;&gt;"",O87&lt;&gt;"",Q87&lt;&gt;"",W87&lt;&gt;"",AC87&lt;&gt;"",AE87&lt;&gt;"",AG87&lt;&gt;"",AI87&lt;&gt;"",AK87&lt;&gt;"")),"No",IF(AND(C87="",I87="",K87="",M87="",O87="",Q87="",W87="",AC87="",AE87="",AG87="",AI87=""),"N/A","Yes")))</f>
        <v>N/A</v>
      </c>
      <c r="AQ87" s="898"/>
      <c r="AR87" s="899" t="b">
        <f t="shared" ref="AR87" si="166">IF(AND(OR(I87&lt;&gt;"",K87&lt;&gt;"",M87&lt;&gt;"",O87&lt;&gt;"",Q87&lt;&gt;"",W87&lt;&gt;"",AC87&lt;&gt;"",AE87&lt;&gt;"",AG87&lt;&gt;"",AI87&lt;&gt;"",AK87&lt;&gt;""),C87=""),TRUE,FALSE)</f>
        <v>0</v>
      </c>
      <c r="AS87" s="898" t="b">
        <f t="shared" ref="AS87" si="167">IF(AT87=TRUE,FALSE,IF(SUM(K87)&gt;I87,TRUE,FALSE))</f>
        <v>0</v>
      </c>
      <c r="AT87" s="899" t="b">
        <f>IF(AND(C87&lt;&gt;"",I87=""),TRUE,FALSE)</f>
        <v>0</v>
      </c>
      <c r="AU87" s="898" t="b">
        <f>IF(AV87=TRUE,FALSE,IF(M87&gt;K87,TRUE,FALSE))</f>
        <v>0</v>
      </c>
      <c r="AV87" s="899" t="b">
        <f>IF(AND($C87&lt;&gt;"",K87=""),TRUE,FALSE)</f>
        <v>0</v>
      </c>
      <c r="AW87" s="898"/>
      <c r="AX87" s="899" t="b">
        <f>IF(AND($C87&lt;&gt;"",M87=""),TRUE,FALSE)</f>
        <v>0</v>
      </c>
      <c r="AY87" s="898" t="b">
        <f t="shared" ref="AY87" si="168">IF(AND(O87="",OR(Q87&lt;&gt;"",W87&lt;&gt;"",AC87&lt;&gt;"",AE87&lt;&gt;"",AG87&lt;&gt;"",AI87&lt;&gt;"")),TRUE,FALSE)</f>
        <v>0</v>
      </c>
      <c r="AZ87" s="899" t="b">
        <f>IF(AND($C87&lt;&gt;"",O87=""),TRUE,FALSE)</f>
        <v>0</v>
      </c>
      <c r="BA87" s="898"/>
      <c r="BB87" s="899" t="b">
        <f>IF(AND($C87&lt;&gt;"",Q87=""),TRUE,FALSE)</f>
        <v>0</v>
      </c>
      <c r="BC87" s="1537" t="b">
        <f>IF(BD87=TRUE,FALSE,IF(W87="",FALSE,IF(OR(W87&lt;BO87,W87&gt;BaseYear),TRUE,FALSE)))</f>
        <v>0</v>
      </c>
      <c r="BD87" s="899" t="b">
        <f>IF(AND($C87&lt;&gt;"",W87=""),TRUE,FALSE)</f>
        <v>0</v>
      </c>
      <c r="BE87" s="1537"/>
      <c r="BF87" s="899" t="b">
        <f>IF(AND($C87&lt;&gt;"",AC87=""),TRUE,FALSE)</f>
        <v>0</v>
      </c>
      <c r="BG87" s="898"/>
      <c r="BH87" s="899" t="b">
        <f>IF(AND($C87&lt;&gt;"",AE87=""),TRUE,FALSE)</f>
        <v>0</v>
      </c>
      <c r="BI87" s="898"/>
      <c r="BJ87" s="899" t="b">
        <f>IF(AND($C87&lt;&gt;"",AG87=""),TRUE,FALSE)</f>
        <v>0</v>
      </c>
      <c r="BK87" s="898"/>
      <c r="BL87" s="898" t="b">
        <f>IF(AND($C87&lt;&gt;"",AI87=""),TRUE,FALSE)</f>
        <v>0</v>
      </c>
      <c r="BM87" s="894"/>
      <c r="BN87" s="898" t="str">
        <f t="shared" si="142"/>
        <v/>
      </c>
      <c r="BO87" s="898" t="str">
        <f>IFERROR(IF(AND(O87="",O87&lt;&gt;""),1913,VLOOKUP(O87,Valid!$B$99:$J$120,9)),"")</f>
        <v/>
      </c>
      <c r="BP87" s="898" t="str">
        <f t="shared" ca="1" si="143"/>
        <v/>
      </c>
      <c r="BQ87" s="1547" t="str">
        <f t="shared" ca="1" si="148"/>
        <v/>
      </c>
      <c r="BR87" s="898" t="str">
        <f ca="1">IF(BQ87="", "", IF(1+(BQ87*4)&lt;1, 1, 1+(BQ87*4)))</f>
        <v/>
      </c>
      <c r="BS87" s="898" t="str">
        <f t="shared" si="144"/>
        <v/>
      </c>
      <c r="BT87" s="898" t="str">
        <f t="shared" si="145"/>
        <v/>
      </c>
      <c r="BU87" s="1539" t="str">
        <f>IFERROR(IF(AND(#REF!="",C87&lt;&gt;""),Valid!$E$123,VLOOKUP(#REF!,Valid!$B$123:$F$125,4,FALSE)),"")</f>
        <v/>
      </c>
      <c r="BV87" s="1539" t="str">
        <f>IFERROR(IF(AND(#REF!="",C87&lt;&gt;""),Valid!$F$123,VLOOKUP(#REF!,Valid!$B$123:$F$125,5,FALSE)),"")</f>
        <v/>
      </c>
      <c r="BW87" s="1539" t="str">
        <f>IFERROR(VLOOKUP('A-70 RevVehInv'!S87,Valid!$B$99:$I$120,7), "")</f>
        <v/>
      </c>
      <c r="BX87" s="1539" t="str">
        <f>IFERROR(VLOOKUP(O87,Valid!$B$99:$I$120,8), "")</f>
        <v/>
      </c>
      <c r="BY87" s="894"/>
    </row>
    <row r="88" spans="1:77" ht="6.75" customHeight="1" x14ac:dyDescent="0.2">
      <c r="A88" s="1517"/>
      <c r="B88" s="1530">
        <v>38.5</v>
      </c>
      <c r="C88" s="1544"/>
      <c r="D88" s="905"/>
      <c r="E88" s="1545"/>
      <c r="F88" s="905"/>
      <c r="G88" s="905"/>
      <c r="H88" s="905"/>
      <c r="I88" s="1531"/>
      <c r="J88" s="905"/>
      <c r="K88" s="1531"/>
      <c r="L88" s="905"/>
      <c r="M88" s="1531"/>
      <c r="N88" s="1531"/>
      <c r="O88" s="1533"/>
      <c r="P88" s="905"/>
      <c r="Q88" s="1533"/>
      <c r="R88" s="905"/>
      <c r="S88" s="1531" t="str">
        <f t="shared" si="136"/>
        <v/>
      </c>
      <c r="T88" s="905"/>
      <c r="U88" s="1531"/>
      <c r="V88" s="252" t="str">
        <f t="shared" si="137"/>
        <v/>
      </c>
      <c r="W88" s="1531"/>
      <c r="X88" s="905"/>
      <c r="Y88" s="1971" t="str">
        <f t="shared" si="146"/>
        <v/>
      </c>
      <c r="Z88" s="905"/>
      <c r="AA88" s="1983" t="str">
        <f t="shared" si="147"/>
        <v/>
      </c>
      <c r="AB88" s="1531"/>
      <c r="AC88" s="1531"/>
      <c r="AD88" s="1531"/>
      <c r="AE88" s="1531"/>
      <c r="AF88" s="1531"/>
      <c r="AG88" s="1534"/>
      <c r="AH88" s="1531"/>
      <c r="AI88" s="1546"/>
      <c r="AJ88" s="1531"/>
      <c r="AK88" s="1531"/>
      <c r="AL88" s="1531"/>
      <c r="AM88" s="1531"/>
      <c r="AN88" s="1531"/>
      <c r="AO88" s="1531"/>
      <c r="AP88" s="1531"/>
      <c r="AQ88" s="1535"/>
      <c r="AR88" s="1534"/>
      <c r="AS88" s="1535"/>
      <c r="AT88" s="1534"/>
      <c r="AU88" s="1535"/>
      <c r="AV88" s="1534"/>
      <c r="AW88" s="1535"/>
      <c r="AX88" s="1534"/>
      <c r="AY88" s="1535"/>
      <c r="AZ88" s="1534"/>
      <c r="BA88" s="1535"/>
      <c r="BB88" s="1534"/>
      <c r="BC88" s="1535"/>
      <c r="BD88" s="1534"/>
      <c r="BE88" s="1535"/>
      <c r="BF88" s="1534"/>
      <c r="BG88" s="1535"/>
      <c r="BH88" s="1534"/>
      <c r="BI88" s="1535"/>
      <c r="BJ88" s="1534"/>
      <c r="BK88" s="1535"/>
      <c r="BL88" s="1535"/>
      <c r="BM88" s="1531"/>
      <c r="BN88" s="898" t="str">
        <f t="shared" si="142"/>
        <v/>
      </c>
      <c r="BO88" s="898" t="str">
        <f>IFERROR(IF(AND(O88="",O88&lt;&gt;""),1913,VLOOKUP(O88,Valid!$B$99:$J$120,9)),"")</f>
        <v/>
      </c>
      <c r="BP88" s="898" t="str">
        <f t="shared" ca="1" si="143"/>
        <v/>
      </c>
      <c r="BQ88" s="1547" t="str">
        <f t="shared" ca="1" si="148"/>
        <v/>
      </c>
      <c r="BR88" s="898"/>
      <c r="BS88" s="898" t="str">
        <f t="shared" si="144"/>
        <v/>
      </c>
      <c r="BT88" s="898" t="str">
        <f t="shared" si="145"/>
        <v/>
      </c>
      <c r="BU88" s="1539" t="str">
        <f>IFERROR(IF(AND(#REF!="",C88&lt;&gt;""),Valid!$E$123,VLOOKUP(#REF!,Valid!$B$123:$F$125,4,FALSE)),"")</f>
        <v/>
      </c>
      <c r="BV88" s="1539" t="str">
        <f>IFERROR(IF(AND(#REF!="",C88&lt;&gt;""),Valid!$F$123,VLOOKUP(#REF!,Valid!$B$123:$F$125,5,FALSE)),"")</f>
        <v/>
      </c>
      <c r="BW88" s="1539" t="str">
        <f>IFERROR(VLOOKUP('A-70 RevVehInv'!S88,Valid!$B$99:$I$120,7), "")</f>
        <v/>
      </c>
      <c r="BX88" s="1539" t="str">
        <f>IFERROR(VLOOKUP(O88,Valid!$B$99:$I$120,8), "")</f>
        <v/>
      </c>
      <c r="BY88" s="1531"/>
    </row>
    <row r="89" spans="1:77" s="930" customFormat="1" x14ac:dyDescent="0.2">
      <c r="A89" s="206">
        <v>39</v>
      </c>
      <c r="B89" s="1530">
        <v>39</v>
      </c>
      <c r="C89" s="933"/>
      <c r="D89" s="719" t="str">
        <f>IF(C87="","",IF((C89=""),"Enter RVI ID. then Fill in Columns "&amp;TEXT($I$2,0)&amp;" - "&amp;TEXT($AI$2,0)&amp;"       ",""))</f>
        <v/>
      </c>
      <c r="E89" s="1056" t="str">
        <f>IF(AP89="N/A","",AP89)</f>
        <v/>
      </c>
      <c r="F89" s="1536"/>
      <c r="G89" s="1536"/>
      <c r="H89" s="1536"/>
      <c r="I89" s="1023"/>
      <c r="J89" s="1536" t="str">
        <f>IF(E89&lt;&gt;"","Vehicles?    ","")</f>
        <v/>
      </c>
      <c r="K89" s="1023"/>
      <c r="L89" s="1536" t="str">
        <f>IF(E89&lt;&gt;"","Active Vehicles?     ","")</f>
        <v/>
      </c>
      <c r="M89" s="1023"/>
      <c r="N89" s="894"/>
      <c r="O89" s="1153"/>
      <c r="P89" s="252" t="str">
        <f>IF(E89&lt;&gt;"","Select from Pull-Down List    ","")</f>
        <v/>
      </c>
      <c r="Q89" s="933"/>
      <c r="R89" s="252" t="str">
        <f>IF(E89&lt;&gt;"","Select from Pull-Down List    ","")</f>
        <v/>
      </c>
      <c r="S89" s="1766" t="str">
        <f t="shared" si="136"/>
        <v/>
      </c>
      <c r="T89" s="252"/>
      <c r="U89" s="1988"/>
      <c r="V89" s="252" t="str">
        <f t="shared" si="137"/>
        <v/>
      </c>
      <c r="W89" s="139"/>
      <c r="X89" s="252" t="str">
        <f>IF(E89&lt;&gt;"","Mfg. Yr?    ","")</f>
        <v/>
      </c>
      <c r="Y89" s="1974" t="str">
        <f t="shared" si="146"/>
        <v/>
      </c>
      <c r="Z89" s="252"/>
      <c r="AA89" s="1986" t="str">
        <f t="shared" si="147"/>
        <v/>
      </c>
      <c r="AB89" s="252" t="str">
        <f>IF(E89&lt;&gt;"","Select from Pull-Down List    ","")</f>
        <v/>
      </c>
      <c r="AC89" s="1023"/>
      <c r="AD89" s="252" t="str">
        <f>IF(E89&lt;&gt;"","Feet?    ","")</f>
        <v/>
      </c>
      <c r="AE89" s="1023"/>
      <c r="AF89" s="252" t="str">
        <f>IF(E89&lt;&gt;"","Mileage?       ","")</f>
        <v/>
      </c>
      <c r="AG89" s="1023"/>
      <c r="AH89" s="252" t="str">
        <f>IF(E89&lt;&gt;"","Avg. Lifetime Mileage? ","")</f>
        <v/>
      </c>
      <c r="AI89" s="933"/>
      <c r="AJ89" s="252" t="str">
        <f>IF(E89&lt;&gt;"","Select from Pull-Down List    ","")</f>
        <v/>
      </c>
      <c r="AK89" s="171"/>
      <c r="AL89" s="252"/>
      <c r="AM89" s="894"/>
      <c r="AN89" s="894"/>
      <c r="AO89" s="894" t="b">
        <f>IF(AND(C89="",C91&lt;&gt;""),TRUE,FALSE)</f>
        <v>0</v>
      </c>
      <c r="AP89" s="888" t="str">
        <f t="shared" ref="AP89" si="169">IF(AND(C89&lt;&gt;"",OR(I89="",K89="",M89="",O89="",Q89="",W89="",AC89="",AE89="",AG89="")),"No",IF(AND(C89="",OR(I89&lt;&gt;"",K89&lt;&gt;"",M89&lt;&gt;"",O89&lt;&gt;"",Q89&lt;&gt;"",W89&lt;&gt;"",AC89&lt;&gt;"",AE89&lt;&gt;"",AG89&lt;&gt;"",AI89&lt;&gt;"",AK89&lt;&gt;"")),"No",IF(AND(C89="",I89="",K89="",M89="",O89="",Q89="",W89="",AC89="",AE89="",AG89="",AI89=""),"N/A","Yes")))</f>
        <v>N/A</v>
      </c>
      <c r="AQ89" s="898"/>
      <c r="AR89" s="899" t="b">
        <f t="shared" ref="AR89" si="170">IF(AND(OR(I89&lt;&gt;"",K89&lt;&gt;"",M89&lt;&gt;"",O89&lt;&gt;"",Q89&lt;&gt;"",W89&lt;&gt;"",AC89&lt;&gt;"",AE89&lt;&gt;"",AG89&lt;&gt;"",AI89&lt;&gt;"",AK89&lt;&gt;""),C89=""),TRUE,FALSE)</f>
        <v>0</v>
      </c>
      <c r="AS89" s="898" t="b">
        <f t="shared" ref="AS89" si="171">IF(AT89=TRUE,FALSE,IF(SUM(K89)&gt;I89,TRUE,FALSE))</f>
        <v>0</v>
      </c>
      <c r="AT89" s="899" t="b">
        <f>IF(AND(C89&lt;&gt;"",I89=""),TRUE,FALSE)</f>
        <v>0</v>
      </c>
      <c r="AU89" s="898" t="b">
        <f>IF(AV89=TRUE,FALSE,IF(M89&gt;K89,TRUE,FALSE))</f>
        <v>0</v>
      </c>
      <c r="AV89" s="899" t="b">
        <f>IF(AND($C89&lt;&gt;"",K89=""),TRUE,FALSE)</f>
        <v>0</v>
      </c>
      <c r="AW89" s="898"/>
      <c r="AX89" s="899" t="b">
        <f>IF(AND($C89&lt;&gt;"",M89=""),TRUE,FALSE)</f>
        <v>0</v>
      </c>
      <c r="AY89" s="898" t="b">
        <f t="shared" ref="AY89" si="172">IF(AND(O89="",OR(Q89&lt;&gt;"",W89&lt;&gt;"",AC89&lt;&gt;"",AE89&lt;&gt;"",AG89&lt;&gt;"",AI89&lt;&gt;"")),TRUE,FALSE)</f>
        <v>0</v>
      </c>
      <c r="AZ89" s="899" t="b">
        <f>IF(AND($C89&lt;&gt;"",O89=""),TRUE,FALSE)</f>
        <v>0</v>
      </c>
      <c r="BA89" s="898"/>
      <c r="BB89" s="899" t="b">
        <f>IF(AND($C89&lt;&gt;"",Q89=""),TRUE,FALSE)</f>
        <v>0</v>
      </c>
      <c r="BC89" s="1537" t="b">
        <f>IF(BD89=TRUE,FALSE,IF(W89="",FALSE,IF(OR(W89&lt;BO89,W89&gt;BaseYear),TRUE,FALSE)))</f>
        <v>0</v>
      </c>
      <c r="BD89" s="899" t="b">
        <f>IF(AND($C89&lt;&gt;"",W89=""),TRUE,FALSE)</f>
        <v>0</v>
      </c>
      <c r="BE89" s="1537"/>
      <c r="BF89" s="899" t="b">
        <f>IF(AND($C89&lt;&gt;"",AC89=""),TRUE,FALSE)</f>
        <v>0</v>
      </c>
      <c r="BG89" s="898"/>
      <c r="BH89" s="899" t="b">
        <f>IF(AND($C89&lt;&gt;"",AE89=""),TRUE,FALSE)</f>
        <v>0</v>
      </c>
      <c r="BI89" s="898"/>
      <c r="BJ89" s="899" t="b">
        <f>IF(AND($C89&lt;&gt;"",AG89=""),TRUE,FALSE)</f>
        <v>0</v>
      </c>
      <c r="BK89" s="898"/>
      <c r="BL89" s="898" t="b">
        <f>IF(AND($C89&lt;&gt;"",AI89=""),TRUE,FALSE)</f>
        <v>0</v>
      </c>
      <c r="BM89" s="894"/>
      <c r="BN89" s="898" t="str">
        <f t="shared" si="142"/>
        <v/>
      </c>
      <c r="BO89" s="898" t="str">
        <f>IFERROR(IF(AND(O89="",O89&lt;&gt;""),1913,VLOOKUP(O89,Valid!$B$99:$J$120,9)),"")</f>
        <v/>
      </c>
      <c r="BP89" s="898" t="str">
        <f t="shared" ca="1" si="143"/>
        <v/>
      </c>
      <c r="BQ89" s="1547" t="str">
        <f t="shared" ca="1" si="148"/>
        <v/>
      </c>
      <c r="BR89" s="898" t="str">
        <f ca="1">IF(BQ89="", "", IF(1+(BQ89*4)&lt;1, 1, 1+(BQ89*4)))</f>
        <v/>
      </c>
      <c r="BS89" s="898" t="str">
        <f t="shared" si="144"/>
        <v/>
      </c>
      <c r="BT89" s="898" t="str">
        <f t="shared" si="145"/>
        <v/>
      </c>
      <c r="BU89" s="1539" t="str">
        <f>IFERROR(IF(AND(#REF!="",C89&lt;&gt;""),Valid!$E$123,VLOOKUP(#REF!,Valid!$B$123:$F$125,4,FALSE)),"")</f>
        <v/>
      </c>
      <c r="BV89" s="1539" t="str">
        <f>IFERROR(IF(AND(#REF!="",C89&lt;&gt;""),Valid!$F$123,VLOOKUP(#REF!,Valid!$B$123:$F$125,5,FALSE)),"")</f>
        <v/>
      </c>
      <c r="BW89" s="1539" t="str">
        <f>IFERROR(VLOOKUP('A-70 RevVehInv'!S89,Valid!$B$99:$I$120,7), "")</f>
        <v/>
      </c>
      <c r="BX89" s="1539" t="str">
        <f>IFERROR(VLOOKUP(O89,Valid!$B$99:$I$120,8), "")</f>
        <v/>
      </c>
      <c r="BY89" s="894"/>
    </row>
    <row r="90" spans="1:77" ht="6.75" customHeight="1" x14ac:dyDescent="0.2">
      <c r="A90" s="1517"/>
      <c r="B90" s="1530">
        <v>39.5</v>
      </c>
      <c r="C90" s="1540"/>
      <c r="D90" s="905"/>
      <c r="E90" s="1541"/>
      <c r="F90" s="905"/>
      <c r="G90" s="905"/>
      <c r="H90" s="905"/>
      <c r="I90" s="1534"/>
      <c r="J90" s="905"/>
      <c r="K90" s="1534"/>
      <c r="L90" s="905"/>
      <c r="M90" s="1534"/>
      <c r="N90" s="1531"/>
      <c r="O90" s="1542"/>
      <c r="P90" s="905"/>
      <c r="Q90" s="1542"/>
      <c r="R90" s="905"/>
      <c r="S90" s="1534" t="str">
        <f t="shared" si="136"/>
        <v/>
      </c>
      <c r="T90" s="905"/>
      <c r="U90" s="1534"/>
      <c r="V90" s="252" t="str">
        <f t="shared" si="137"/>
        <v/>
      </c>
      <c r="W90" s="1534"/>
      <c r="X90" s="905"/>
      <c r="Y90" s="1973" t="str">
        <f t="shared" si="146"/>
        <v/>
      </c>
      <c r="Z90" s="905"/>
      <c r="AA90" s="1985" t="str">
        <f t="shared" si="147"/>
        <v/>
      </c>
      <c r="AB90" s="1531"/>
      <c r="AC90" s="1534"/>
      <c r="AD90" s="1531"/>
      <c r="AE90" s="1534"/>
      <c r="AF90" s="1531"/>
      <c r="AG90" s="1534"/>
      <c r="AH90" s="1531"/>
      <c r="AI90" s="1543"/>
      <c r="AJ90" s="1531"/>
      <c r="AK90" s="1534"/>
      <c r="AL90" s="1531"/>
      <c r="AM90" s="1531"/>
      <c r="AN90" s="1531"/>
      <c r="AO90" s="1531"/>
      <c r="AP90" s="1531"/>
      <c r="AQ90" s="1535"/>
      <c r="AR90" s="1534"/>
      <c r="AS90" s="1535"/>
      <c r="AT90" s="1534"/>
      <c r="AU90" s="1535"/>
      <c r="AV90" s="1534"/>
      <c r="AW90" s="1535"/>
      <c r="AX90" s="1534"/>
      <c r="AY90" s="1535"/>
      <c r="AZ90" s="1534"/>
      <c r="BA90" s="1535"/>
      <c r="BB90" s="1534"/>
      <c r="BC90" s="1535"/>
      <c r="BD90" s="1534"/>
      <c r="BE90" s="1535"/>
      <c r="BF90" s="1534"/>
      <c r="BG90" s="1535"/>
      <c r="BH90" s="1534"/>
      <c r="BI90" s="1535"/>
      <c r="BJ90" s="1534"/>
      <c r="BK90" s="1535"/>
      <c r="BL90" s="1535"/>
      <c r="BM90" s="1531"/>
      <c r="BN90" s="898" t="str">
        <f t="shared" si="142"/>
        <v/>
      </c>
      <c r="BO90" s="898" t="str">
        <f>IFERROR(IF(AND(O90="",O90&lt;&gt;""),1913,VLOOKUP(O90,Valid!$B$99:$J$120,9)),"")</f>
        <v/>
      </c>
      <c r="BP90" s="898" t="str">
        <f t="shared" ca="1" si="143"/>
        <v/>
      </c>
      <c r="BQ90" s="1547" t="str">
        <f t="shared" ca="1" si="148"/>
        <v/>
      </c>
      <c r="BR90" s="898"/>
      <c r="BS90" s="898" t="str">
        <f t="shared" si="144"/>
        <v/>
      </c>
      <c r="BT90" s="898" t="str">
        <f t="shared" si="145"/>
        <v/>
      </c>
      <c r="BU90" s="1539" t="str">
        <f>IFERROR(IF(AND(#REF!="",C90&lt;&gt;""),Valid!$E$123,VLOOKUP(#REF!,Valid!$B$123:$F$125,4,FALSE)),"")</f>
        <v/>
      </c>
      <c r="BV90" s="1539" t="str">
        <f>IFERROR(IF(AND(#REF!="",C90&lt;&gt;""),Valid!$F$123,VLOOKUP(#REF!,Valid!$B$123:$F$125,5,FALSE)),"")</f>
        <v/>
      </c>
      <c r="BW90" s="1539" t="str">
        <f>IFERROR(VLOOKUP('A-70 RevVehInv'!S90,Valid!$B$99:$I$120,7), "")</f>
        <v/>
      </c>
      <c r="BX90" s="1539" t="str">
        <f>IFERROR(VLOOKUP(O90,Valid!$B$99:$I$120,8), "")</f>
        <v/>
      </c>
      <c r="BY90" s="1531"/>
    </row>
    <row r="91" spans="1:77" s="930" customFormat="1" x14ac:dyDescent="0.2">
      <c r="A91" s="206">
        <v>40</v>
      </c>
      <c r="B91" s="1530">
        <v>40</v>
      </c>
      <c r="C91" s="933"/>
      <c r="D91" s="719" t="str">
        <f>IF(C89="","",IF((C91=""),"Enter RVI ID. then Fill in Columns "&amp;TEXT($I$2,0)&amp;" - "&amp;TEXT($AI$2,0)&amp;"       ",""))</f>
        <v/>
      </c>
      <c r="E91" s="1056" t="str">
        <f>IF(AP91="N/A","",AP91)</f>
        <v/>
      </c>
      <c r="F91" s="1536"/>
      <c r="G91" s="1536"/>
      <c r="H91" s="1536"/>
      <c r="I91" s="1023"/>
      <c r="J91" s="1536" t="str">
        <f>IF(E91&lt;&gt;"","Vehicles?    ","")</f>
        <v/>
      </c>
      <c r="K91" s="1023"/>
      <c r="L91" s="1536" t="str">
        <f>IF(E91&lt;&gt;"","Active Vehicles?     ","")</f>
        <v/>
      </c>
      <c r="M91" s="1023"/>
      <c r="N91" s="894"/>
      <c r="O91" s="1153"/>
      <c r="P91" s="252" t="str">
        <f>IF(E91&lt;&gt;"","Select from Pull-Down List    ","")</f>
        <v/>
      </c>
      <c r="Q91" s="933"/>
      <c r="R91" s="252" t="str">
        <f>IF(E91&lt;&gt;"","Select from Pull-Down List    ","")</f>
        <v/>
      </c>
      <c r="S91" s="1766" t="str">
        <f t="shared" si="136"/>
        <v/>
      </c>
      <c r="T91" s="252"/>
      <c r="U91" s="1988"/>
      <c r="V91" s="252" t="str">
        <f t="shared" si="137"/>
        <v/>
      </c>
      <c r="W91" s="139"/>
      <c r="X91" s="252" t="str">
        <f>IF(E91&lt;&gt;"","Mfg. Yr?    ","")</f>
        <v/>
      </c>
      <c r="Y91" s="1974" t="str">
        <f t="shared" si="146"/>
        <v/>
      </c>
      <c r="Z91" s="252"/>
      <c r="AA91" s="1986" t="str">
        <f t="shared" si="147"/>
        <v/>
      </c>
      <c r="AB91" s="252" t="str">
        <f>IF(E91&lt;&gt;"","Select from Pull-Down List    ","")</f>
        <v/>
      </c>
      <c r="AC91" s="1023"/>
      <c r="AD91" s="252" t="str">
        <f>IF(E91&lt;&gt;"","Feet?    ","")</f>
        <v/>
      </c>
      <c r="AE91" s="1023"/>
      <c r="AF91" s="252" t="str">
        <f>IF(E91&lt;&gt;"","Mileage?       ","")</f>
        <v/>
      </c>
      <c r="AG91" s="1023"/>
      <c r="AH91" s="252" t="str">
        <f>IF(E91&lt;&gt;"","Avg. Lifetime Mileage? ","")</f>
        <v/>
      </c>
      <c r="AI91" s="933"/>
      <c r="AJ91" s="252" t="str">
        <f>IF(E91&lt;&gt;"","Select from Pull-Down List    ","")</f>
        <v/>
      </c>
      <c r="AK91" s="171"/>
      <c r="AL91" s="252"/>
      <c r="AM91" s="894"/>
      <c r="AN91" s="894"/>
      <c r="AO91" s="894" t="b">
        <f>IF(AND(C91="",C93&lt;&gt;""),TRUE,FALSE)</f>
        <v>0</v>
      </c>
      <c r="AP91" s="888" t="str">
        <f t="shared" ref="AP91" si="173">IF(AND(C91&lt;&gt;"",OR(I91="",K91="",M91="",O91="",Q91="",W91="",AC91="",AE91="",AG91="")),"No",IF(AND(C91="",OR(I91&lt;&gt;"",K91&lt;&gt;"",M91&lt;&gt;"",O91&lt;&gt;"",Q91&lt;&gt;"",W91&lt;&gt;"",AC91&lt;&gt;"",AE91&lt;&gt;"",AG91&lt;&gt;"",AI91&lt;&gt;"",AK91&lt;&gt;"")),"No",IF(AND(C91="",I91="",K91="",M91="",O91="",Q91="",W91="",AC91="",AE91="",AG91="",AI91=""),"N/A","Yes")))</f>
        <v>N/A</v>
      </c>
      <c r="AQ91" s="898"/>
      <c r="AR91" s="899" t="b">
        <f t="shared" ref="AR91" si="174">IF(AND(OR(I91&lt;&gt;"",K91&lt;&gt;"",M91&lt;&gt;"",O91&lt;&gt;"",Q91&lt;&gt;"",W91&lt;&gt;"",AC91&lt;&gt;"",AE91&lt;&gt;"",AG91&lt;&gt;"",AI91&lt;&gt;"",AK91&lt;&gt;""),C91=""),TRUE,FALSE)</f>
        <v>0</v>
      </c>
      <c r="AS91" s="898" t="b">
        <f t="shared" ref="AS91" si="175">IF(AT91=TRUE,FALSE,IF(SUM(K91)&gt;I91,TRUE,FALSE))</f>
        <v>0</v>
      </c>
      <c r="AT91" s="899" t="b">
        <f>IF(AND(C91&lt;&gt;"",I91=""),TRUE,FALSE)</f>
        <v>0</v>
      </c>
      <c r="AU91" s="898" t="b">
        <f>IF(AV91=TRUE,FALSE,IF(M91&gt;K91,TRUE,FALSE))</f>
        <v>0</v>
      </c>
      <c r="AV91" s="899" t="b">
        <f>IF(AND($C91&lt;&gt;"",K91=""),TRUE,FALSE)</f>
        <v>0</v>
      </c>
      <c r="AW91" s="898"/>
      <c r="AX91" s="899" t="b">
        <f>IF(AND($C91&lt;&gt;"",M91=""),TRUE,FALSE)</f>
        <v>0</v>
      </c>
      <c r="AY91" s="898" t="b">
        <f t="shared" ref="AY91" si="176">IF(AND(O91="",OR(Q91&lt;&gt;"",W91&lt;&gt;"",AC91&lt;&gt;"",AE91&lt;&gt;"",AG91&lt;&gt;"",AI91&lt;&gt;"")),TRUE,FALSE)</f>
        <v>0</v>
      </c>
      <c r="AZ91" s="899" t="b">
        <f>IF(AND($C91&lt;&gt;"",O91=""),TRUE,FALSE)</f>
        <v>0</v>
      </c>
      <c r="BA91" s="898"/>
      <c r="BB91" s="899" t="b">
        <f>IF(AND($C91&lt;&gt;"",Q91=""),TRUE,FALSE)</f>
        <v>0</v>
      </c>
      <c r="BC91" s="1537" t="b">
        <f>IF(BD91=TRUE,FALSE,IF(W91="",FALSE,IF(OR(W91&lt;BO91,W91&gt;BaseYear),TRUE,FALSE)))</f>
        <v>0</v>
      </c>
      <c r="BD91" s="899" t="b">
        <f>IF(AND($C91&lt;&gt;"",W91=""),TRUE,FALSE)</f>
        <v>0</v>
      </c>
      <c r="BE91" s="1537"/>
      <c r="BF91" s="899" t="b">
        <f>IF(AND($C91&lt;&gt;"",AC91=""),TRUE,FALSE)</f>
        <v>0</v>
      </c>
      <c r="BG91" s="898"/>
      <c r="BH91" s="899" t="b">
        <f>IF(AND($C91&lt;&gt;"",AE91=""),TRUE,FALSE)</f>
        <v>0</v>
      </c>
      <c r="BI91" s="898"/>
      <c r="BJ91" s="899" t="b">
        <f>IF(AND($C91&lt;&gt;"",AG91=""),TRUE,FALSE)</f>
        <v>0</v>
      </c>
      <c r="BK91" s="898"/>
      <c r="BL91" s="898" t="b">
        <f>IF(AND($C91&lt;&gt;"",AI91=""),TRUE,FALSE)</f>
        <v>0</v>
      </c>
      <c r="BM91" s="894"/>
      <c r="BN91" s="898" t="str">
        <f t="shared" si="142"/>
        <v/>
      </c>
      <c r="BO91" s="898" t="str">
        <f>IFERROR(IF(AND(O91="",O91&lt;&gt;""),1913,VLOOKUP(O91,Valid!$B$99:$J$120,9)),"")</f>
        <v/>
      </c>
      <c r="BP91" s="898" t="str">
        <f t="shared" ca="1" si="143"/>
        <v/>
      </c>
      <c r="BQ91" s="1547" t="str">
        <f t="shared" ca="1" si="148"/>
        <v/>
      </c>
      <c r="BR91" s="898" t="str">
        <f ca="1">IF(BQ91="", "", IF(1+(BQ91*4)&lt;1, 1, 1+(BQ91*4)))</f>
        <v/>
      </c>
      <c r="BS91" s="898" t="str">
        <f t="shared" si="144"/>
        <v/>
      </c>
      <c r="BT91" s="898" t="str">
        <f t="shared" si="145"/>
        <v/>
      </c>
      <c r="BU91" s="1539" t="str">
        <f>IFERROR(IF(AND(#REF!="",C91&lt;&gt;""),Valid!$E$123,VLOOKUP(#REF!,Valid!$B$123:$F$125,4,FALSE)),"")</f>
        <v/>
      </c>
      <c r="BV91" s="1539" t="str">
        <f>IFERROR(IF(AND(#REF!="",C91&lt;&gt;""),Valid!$F$123,VLOOKUP(#REF!,Valid!$B$123:$F$125,5,FALSE)),"")</f>
        <v/>
      </c>
      <c r="BW91" s="1539" t="str">
        <f>IFERROR(VLOOKUP('A-70 RevVehInv'!S91,Valid!$B$99:$I$120,7), "")</f>
        <v/>
      </c>
      <c r="BX91" s="1539" t="str">
        <f>IFERROR(VLOOKUP(O91,Valid!$B$99:$I$120,8), "")</f>
        <v/>
      </c>
      <c r="BY91" s="894"/>
    </row>
    <row r="92" spans="1:77" ht="6.75" customHeight="1" x14ac:dyDescent="0.2">
      <c r="A92" s="1517"/>
      <c r="B92" s="1530">
        <v>40.5</v>
      </c>
      <c r="C92" s="1544"/>
      <c r="D92" s="905"/>
      <c r="E92" s="1545"/>
      <c r="F92" s="905"/>
      <c r="G92" s="905"/>
      <c r="H92" s="905"/>
      <c r="I92" s="1531"/>
      <c r="J92" s="905"/>
      <c r="K92" s="1531"/>
      <c r="L92" s="905"/>
      <c r="M92" s="1531"/>
      <c r="N92" s="1531"/>
      <c r="O92" s="1533"/>
      <c r="P92" s="905"/>
      <c r="Q92" s="1533"/>
      <c r="R92" s="905"/>
      <c r="S92" s="1531" t="str">
        <f t="shared" si="136"/>
        <v/>
      </c>
      <c r="T92" s="905"/>
      <c r="U92" s="1531"/>
      <c r="V92" s="252" t="str">
        <f t="shared" si="137"/>
        <v/>
      </c>
      <c r="W92" s="1531"/>
      <c r="X92" s="905"/>
      <c r="Y92" s="1971" t="str">
        <f t="shared" si="146"/>
        <v/>
      </c>
      <c r="Z92" s="905"/>
      <c r="AA92" s="1983" t="str">
        <f t="shared" si="147"/>
        <v/>
      </c>
      <c r="AB92" s="1531"/>
      <c r="AC92" s="1531"/>
      <c r="AD92" s="1531"/>
      <c r="AE92" s="1531"/>
      <c r="AF92" s="1531"/>
      <c r="AG92" s="1534"/>
      <c r="AH92" s="1531"/>
      <c r="AI92" s="1546"/>
      <c r="AJ92" s="1531"/>
      <c r="AK92" s="1531"/>
      <c r="AL92" s="1531"/>
      <c r="AM92" s="1531"/>
      <c r="AN92" s="1531"/>
      <c r="AO92" s="1531"/>
      <c r="AP92" s="1531"/>
      <c r="AQ92" s="1535"/>
      <c r="AR92" s="1534"/>
      <c r="AS92" s="1535"/>
      <c r="AT92" s="1534"/>
      <c r="AU92" s="1535"/>
      <c r="AV92" s="1534"/>
      <c r="AW92" s="1535"/>
      <c r="AX92" s="1534"/>
      <c r="AY92" s="1535"/>
      <c r="AZ92" s="1534"/>
      <c r="BA92" s="1535"/>
      <c r="BB92" s="1534"/>
      <c r="BC92" s="1535"/>
      <c r="BD92" s="1534"/>
      <c r="BE92" s="1535"/>
      <c r="BF92" s="1534"/>
      <c r="BG92" s="1535"/>
      <c r="BH92" s="1534"/>
      <c r="BI92" s="1535"/>
      <c r="BJ92" s="1534"/>
      <c r="BK92" s="1535"/>
      <c r="BL92" s="1535"/>
      <c r="BM92" s="1531"/>
      <c r="BN92" s="898" t="str">
        <f t="shared" si="142"/>
        <v/>
      </c>
      <c r="BO92" s="898" t="str">
        <f>IFERROR(IF(AND(O92="",O92&lt;&gt;""),1913,VLOOKUP(O92,Valid!$B$99:$J$120,9)),"")</f>
        <v/>
      </c>
      <c r="BP92" s="898" t="str">
        <f t="shared" ca="1" si="143"/>
        <v/>
      </c>
      <c r="BQ92" s="1547" t="str">
        <f t="shared" ca="1" si="148"/>
        <v/>
      </c>
      <c r="BR92" s="898"/>
      <c r="BS92" s="898" t="str">
        <f t="shared" si="144"/>
        <v/>
      </c>
      <c r="BT92" s="898" t="str">
        <f t="shared" si="145"/>
        <v/>
      </c>
      <c r="BU92" s="1539" t="str">
        <f>IFERROR(IF(AND(#REF!="",C92&lt;&gt;""),Valid!$E$123,VLOOKUP(#REF!,Valid!$B$123:$F$125,4,FALSE)),"")</f>
        <v/>
      </c>
      <c r="BV92" s="1539" t="str">
        <f>IFERROR(IF(AND(#REF!="",C92&lt;&gt;""),Valid!$F$123,VLOOKUP(#REF!,Valid!$B$123:$F$125,5,FALSE)),"")</f>
        <v/>
      </c>
      <c r="BW92" s="1539" t="str">
        <f>IFERROR(VLOOKUP('A-70 RevVehInv'!S92,Valid!$B$99:$I$120,7), "")</f>
        <v/>
      </c>
      <c r="BX92" s="1539" t="str">
        <f>IFERROR(VLOOKUP(O92,Valid!$B$99:$I$120,8), "")</f>
        <v/>
      </c>
      <c r="BY92" s="1531"/>
    </row>
    <row r="93" spans="1:77" s="930" customFormat="1" x14ac:dyDescent="0.2">
      <c r="A93" s="206">
        <v>41</v>
      </c>
      <c r="B93" s="1530">
        <v>41</v>
      </c>
      <c r="C93" s="933"/>
      <c r="D93" s="719" t="str">
        <f>IF(C91="","",IF((C93=""),"Enter RVI ID. then Fill in Columns "&amp;TEXT($I$2,0)&amp;" - "&amp;TEXT($AI$2,0)&amp;"       ",""))</f>
        <v/>
      </c>
      <c r="E93" s="1056" t="str">
        <f>IF(AP93="N/A","",AP93)</f>
        <v/>
      </c>
      <c r="F93" s="1536"/>
      <c r="G93" s="1536"/>
      <c r="H93" s="1536"/>
      <c r="I93" s="1023"/>
      <c r="J93" s="1536" t="str">
        <f>IF(E93&lt;&gt;"","Vehicles?    ","")</f>
        <v/>
      </c>
      <c r="K93" s="1023"/>
      <c r="L93" s="1536" t="str">
        <f>IF(E93&lt;&gt;"","Active Vehicles?     ","")</f>
        <v/>
      </c>
      <c r="M93" s="1023"/>
      <c r="N93" s="894"/>
      <c r="O93" s="1153"/>
      <c r="P93" s="252" t="str">
        <f>IF(E93&lt;&gt;"","Select from Pull-Down List    ","")</f>
        <v/>
      </c>
      <c r="Q93" s="933"/>
      <c r="R93" s="252" t="str">
        <f>IF(E93&lt;&gt;"","Select from Pull-Down List    ","")</f>
        <v/>
      </c>
      <c r="S93" s="1766" t="str">
        <f t="shared" si="136"/>
        <v/>
      </c>
      <c r="T93" s="252"/>
      <c r="U93" s="1988"/>
      <c r="V93" s="252" t="str">
        <f t="shared" si="137"/>
        <v/>
      </c>
      <c r="W93" s="139"/>
      <c r="X93" s="252" t="str">
        <f>IF(E93&lt;&gt;"","Mfg. Yr?    ","")</f>
        <v/>
      </c>
      <c r="Y93" s="1974" t="str">
        <f t="shared" si="146"/>
        <v/>
      </c>
      <c r="Z93" s="252"/>
      <c r="AA93" s="1986" t="str">
        <f t="shared" si="147"/>
        <v/>
      </c>
      <c r="AB93" s="252" t="str">
        <f>IF(E93&lt;&gt;"","Select from Pull-Down List    ","")</f>
        <v/>
      </c>
      <c r="AC93" s="1023"/>
      <c r="AD93" s="252" t="str">
        <f>IF(E93&lt;&gt;"","Feet?    ","")</f>
        <v/>
      </c>
      <c r="AE93" s="1023"/>
      <c r="AF93" s="252" t="str">
        <f>IF(E93&lt;&gt;"","Mileage?       ","")</f>
        <v/>
      </c>
      <c r="AG93" s="1023"/>
      <c r="AH93" s="252" t="str">
        <f>IF(E93&lt;&gt;"","Avg. Lifetime Mileage? ","")</f>
        <v/>
      </c>
      <c r="AI93" s="933"/>
      <c r="AJ93" s="252" t="str">
        <f>IF(E93&lt;&gt;"","Select from Pull-Down List    ","")</f>
        <v/>
      </c>
      <c r="AK93" s="171"/>
      <c r="AL93" s="252"/>
      <c r="AM93" s="894"/>
      <c r="AN93" s="894"/>
      <c r="AO93" s="894" t="b">
        <f>IF(AND(C93="",C95&lt;&gt;""),TRUE,FALSE)</f>
        <v>0</v>
      </c>
      <c r="AP93" s="888" t="str">
        <f t="shared" ref="AP93" si="177">IF(AND(C93&lt;&gt;"",OR(I93="",K93="",M93="",O93="",Q93="",W93="",AC93="",AE93="",AG93="")),"No",IF(AND(C93="",OR(I93&lt;&gt;"",K93&lt;&gt;"",M93&lt;&gt;"",O93&lt;&gt;"",Q93&lt;&gt;"",W93&lt;&gt;"",AC93&lt;&gt;"",AE93&lt;&gt;"",AG93&lt;&gt;"",AI93&lt;&gt;"",AK93&lt;&gt;"")),"No",IF(AND(C93="",I93="",K93="",M93="",O93="",Q93="",W93="",AC93="",AE93="",AG93="",AI93=""),"N/A","Yes")))</f>
        <v>N/A</v>
      </c>
      <c r="AQ93" s="898"/>
      <c r="AR93" s="899" t="b">
        <f t="shared" ref="AR93" si="178">IF(AND(OR(I93&lt;&gt;"",K93&lt;&gt;"",M93&lt;&gt;"",O93&lt;&gt;"",Q93&lt;&gt;"",W93&lt;&gt;"",AC93&lt;&gt;"",AE93&lt;&gt;"",AG93&lt;&gt;"",AI93&lt;&gt;"",AK93&lt;&gt;""),C93=""),TRUE,FALSE)</f>
        <v>0</v>
      </c>
      <c r="AS93" s="898" t="b">
        <f t="shared" ref="AS93" si="179">IF(AT93=TRUE,FALSE,IF(SUM(K93)&gt;I93,TRUE,FALSE))</f>
        <v>0</v>
      </c>
      <c r="AT93" s="899" t="b">
        <f>IF(AND(C93&lt;&gt;"",I93=""),TRUE,FALSE)</f>
        <v>0</v>
      </c>
      <c r="AU93" s="898" t="b">
        <f>IF(AV93=TRUE,FALSE,IF(M93&gt;K93,TRUE,FALSE))</f>
        <v>0</v>
      </c>
      <c r="AV93" s="899" t="b">
        <f>IF(AND($C93&lt;&gt;"",K93=""),TRUE,FALSE)</f>
        <v>0</v>
      </c>
      <c r="AW93" s="898"/>
      <c r="AX93" s="899" t="b">
        <f>IF(AND($C93&lt;&gt;"",M93=""),TRUE,FALSE)</f>
        <v>0</v>
      </c>
      <c r="AY93" s="898" t="b">
        <f t="shared" ref="AY93" si="180">IF(AND(O93="",OR(Q93&lt;&gt;"",W93&lt;&gt;"",AC93&lt;&gt;"",AE93&lt;&gt;"",AG93&lt;&gt;"",AI93&lt;&gt;"")),TRUE,FALSE)</f>
        <v>0</v>
      </c>
      <c r="AZ93" s="899" t="b">
        <f>IF(AND($C93&lt;&gt;"",O93=""),TRUE,FALSE)</f>
        <v>0</v>
      </c>
      <c r="BA93" s="898"/>
      <c r="BB93" s="899" t="b">
        <f>IF(AND($C93&lt;&gt;"",Q93=""),TRUE,FALSE)</f>
        <v>0</v>
      </c>
      <c r="BC93" s="1537" t="b">
        <f>IF(BD93=TRUE,FALSE,IF(W93="",FALSE,IF(OR(W93&lt;BO93,W93&gt;BaseYear),TRUE,FALSE)))</f>
        <v>0</v>
      </c>
      <c r="BD93" s="899" t="b">
        <f>IF(AND($C93&lt;&gt;"",W93=""),TRUE,FALSE)</f>
        <v>0</v>
      </c>
      <c r="BE93" s="1537"/>
      <c r="BF93" s="899" t="b">
        <f>IF(AND($C93&lt;&gt;"",AC93=""),TRUE,FALSE)</f>
        <v>0</v>
      </c>
      <c r="BG93" s="898"/>
      <c r="BH93" s="899" t="b">
        <f>IF(AND($C93&lt;&gt;"",AE93=""),TRUE,FALSE)</f>
        <v>0</v>
      </c>
      <c r="BI93" s="898"/>
      <c r="BJ93" s="899" t="b">
        <f>IF(AND($C93&lt;&gt;"",AG93=""),TRUE,FALSE)</f>
        <v>0</v>
      </c>
      <c r="BK93" s="898"/>
      <c r="BL93" s="898" t="b">
        <f>IF(AND($C93&lt;&gt;"",AI93=""),TRUE,FALSE)</f>
        <v>0</v>
      </c>
      <c r="BM93" s="894"/>
      <c r="BN93" s="898" t="str">
        <f t="shared" si="142"/>
        <v/>
      </c>
      <c r="BO93" s="898" t="str">
        <f>IFERROR(IF(AND(O93="",O93&lt;&gt;""),1913,VLOOKUP(O93,Valid!$B$99:$J$120,9)),"")</f>
        <v/>
      </c>
      <c r="BP93" s="898" t="str">
        <f t="shared" ca="1" si="143"/>
        <v/>
      </c>
      <c r="BQ93" s="1547" t="str">
        <f t="shared" ca="1" si="148"/>
        <v/>
      </c>
      <c r="BR93" s="898" t="str">
        <f ca="1">IF(BQ93="", "", IF(1+(BQ93*4)&lt;1, 1, 1+(BQ93*4)))</f>
        <v/>
      </c>
      <c r="BS93" s="898" t="str">
        <f t="shared" si="144"/>
        <v/>
      </c>
      <c r="BT93" s="898" t="str">
        <f t="shared" si="145"/>
        <v/>
      </c>
      <c r="BU93" s="1539" t="str">
        <f>IFERROR(IF(AND(#REF!="",C93&lt;&gt;""),Valid!$E$123,VLOOKUP(#REF!,Valid!$B$123:$F$125,4,FALSE)),"")</f>
        <v/>
      </c>
      <c r="BV93" s="1539" t="str">
        <f>IFERROR(IF(AND(#REF!="",C93&lt;&gt;""),Valid!$F$123,VLOOKUP(#REF!,Valid!$B$123:$F$125,5,FALSE)),"")</f>
        <v/>
      </c>
      <c r="BW93" s="1539" t="str">
        <f>IFERROR(VLOOKUP('A-70 RevVehInv'!S93,Valid!$B$99:$I$120,7), "")</f>
        <v/>
      </c>
      <c r="BX93" s="1539" t="str">
        <f>IFERROR(VLOOKUP(O93,Valid!$B$99:$I$120,8), "")</f>
        <v/>
      </c>
      <c r="BY93" s="894"/>
    </row>
    <row r="94" spans="1:77" ht="6.75" customHeight="1" x14ac:dyDescent="0.2">
      <c r="A94" s="1516"/>
      <c r="B94" s="1530">
        <v>41.5</v>
      </c>
      <c r="C94" s="1540"/>
      <c r="D94" s="905"/>
      <c r="E94" s="1541"/>
      <c r="F94" s="905"/>
      <c r="G94" s="905"/>
      <c r="H94" s="905"/>
      <c r="I94" s="1534"/>
      <c r="J94" s="905"/>
      <c r="K94" s="1534"/>
      <c r="L94" s="905"/>
      <c r="M94" s="1534"/>
      <c r="N94" s="1531"/>
      <c r="O94" s="1542"/>
      <c r="P94" s="905"/>
      <c r="Q94" s="1542"/>
      <c r="R94" s="905"/>
      <c r="S94" s="1534" t="str">
        <f t="shared" si="136"/>
        <v/>
      </c>
      <c r="T94" s="905"/>
      <c r="U94" s="1534"/>
      <c r="V94" s="252" t="str">
        <f t="shared" si="137"/>
        <v/>
      </c>
      <c r="W94" s="1534"/>
      <c r="X94" s="905"/>
      <c r="Y94" s="1973" t="str">
        <f t="shared" si="146"/>
        <v/>
      </c>
      <c r="Z94" s="905"/>
      <c r="AA94" s="1985" t="str">
        <f t="shared" si="147"/>
        <v/>
      </c>
      <c r="AB94" s="1531"/>
      <c r="AC94" s="1534"/>
      <c r="AD94" s="1531"/>
      <c r="AE94" s="1534"/>
      <c r="AF94" s="1531"/>
      <c r="AG94" s="1534"/>
      <c r="AH94" s="1531"/>
      <c r="AI94" s="1543"/>
      <c r="AJ94" s="1531"/>
      <c r="AK94" s="1534"/>
      <c r="AL94" s="1531"/>
      <c r="AM94" s="1531"/>
      <c r="AN94" s="1531"/>
      <c r="AO94" s="1531"/>
      <c r="AP94" s="1531"/>
      <c r="AQ94" s="1535"/>
      <c r="AR94" s="1534"/>
      <c r="AS94" s="1535"/>
      <c r="AT94" s="1534"/>
      <c r="AU94" s="1535"/>
      <c r="AV94" s="1534"/>
      <c r="AW94" s="1535"/>
      <c r="AX94" s="1534"/>
      <c r="AY94" s="1535"/>
      <c r="AZ94" s="1534"/>
      <c r="BA94" s="1535"/>
      <c r="BB94" s="1534"/>
      <c r="BC94" s="1535"/>
      <c r="BD94" s="1534"/>
      <c r="BE94" s="1535"/>
      <c r="BF94" s="1534"/>
      <c r="BG94" s="1535"/>
      <c r="BH94" s="1534"/>
      <c r="BI94" s="1535"/>
      <c r="BJ94" s="1534"/>
      <c r="BK94" s="1535"/>
      <c r="BL94" s="1535"/>
      <c r="BM94" s="1531"/>
      <c r="BN94" s="898" t="str">
        <f t="shared" si="142"/>
        <v/>
      </c>
      <c r="BO94" s="898" t="str">
        <f>IFERROR(IF(AND(O94="",O94&lt;&gt;""),1913,VLOOKUP(O94,Valid!$B$99:$J$120,9)),"")</f>
        <v/>
      </c>
      <c r="BP94" s="898" t="str">
        <f t="shared" ca="1" si="143"/>
        <v/>
      </c>
      <c r="BQ94" s="1547" t="str">
        <f t="shared" ca="1" si="148"/>
        <v/>
      </c>
      <c r="BR94" s="898"/>
      <c r="BS94" s="898" t="str">
        <f t="shared" si="144"/>
        <v/>
      </c>
      <c r="BT94" s="898" t="str">
        <f t="shared" si="145"/>
        <v/>
      </c>
      <c r="BU94" s="1539" t="str">
        <f>IFERROR(IF(AND(#REF!="",C94&lt;&gt;""),Valid!$E$123,VLOOKUP(#REF!,Valid!$B$123:$F$125,4,FALSE)),"")</f>
        <v/>
      </c>
      <c r="BV94" s="1539" t="str">
        <f>IFERROR(IF(AND(#REF!="",C94&lt;&gt;""),Valid!$F$123,VLOOKUP(#REF!,Valid!$B$123:$F$125,5,FALSE)),"")</f>
        <v/>
      </c>
      <c r="BW94" s="1539" t="str">
        <f>IFERROR(VLOOKUP('A-70 RevVehInv'!S94,Valid!$B$99:$I$120,7), "")</f>
        <v/>
      </c>
      <c r="BX94" s="1539" t="str">
        <f>IFERROR(VLOOKUP(O94,Valid!$B$99:$I$120,8), "")</f>
        <v/>
      </c>
      <c r="BY94" s="1531"/>
    </row>
    <row r="95" spans="1:77" s="930" customFormat="1" x14ac:dyDescent="0.2">
      <c r="A95" s="206">
        <v>42</v>
      </c>
      <c r="B95" s="1530">
        <v>42</v>
      </c>
      <c r="C95" s="933"/>
      <c r="D95" s="719" t="str">
        <f>IF(C93="","",IF((C95=""),"Enter RVI ID. then Fill in Columns "&amp;TEXT($I$2,0)&amp;" - "&amp;TEXT($AI$2,0)&amp;"       ",""))</f>
        <v/>
      </c>
      <c r="E95" s="1056" t="str">
        <f>IF(AP95="N/A","",AP95)</f>
        <v/>
      </c>
      <c r="F95" s="1536"/>
      <c r="G95" s="1536"/>
      <c r="H95" s="1536"/>
      <c r="I95" s="1023"/>
      <c r="J95" s="1536" t="str">
        <f>IF(E95&lt;&gt;"","Vehicles?    ","")</f>
        <v/>
      </c>
      <c r="K95" s="1023"/>
      <c r="L95" s="1536" t="str">
        <f>IF(E95&lt;&gt;"","Active Vehicles?     ","")</f>
        <v/>
      </c>
      <c r="M95" s="1023"/>
      <c r="N95" s="894"/>
      <c r="O95" s="1153"/>
      <c r="P95" s="252" t="str">
        <f>IF(E95&lt;&gt;"","Select from Pull-Down List    ","")</f>
        <v/>
      </c>
      <c r="Q95" s="933"/>
      <c r="R95" s="252" t="str">
        <f>IF(E95&lt;&gt;"","Select from Pull-Down List    ","")</f>
        <v/>
      </c>
      <c r="S95" s="1766" t="str">
        <f t="shared" si="136"/>
        <v/>
      </c>
      <c r="T95" s="252"/>
      <c r="U95" s="1988"/>
      <c r="V95" s="252" t="str">
        <f t="shared" si="137"/>
        <v/>
      </c>
      <c r="W95" s="139"/>
      <c r="X95" s="252" t="str">
        <f>IF(E95&lt;&gt;"","Mfg. Yr?    ","")</f>
        <v/>
      </c>
      <c r="Y95" s="1974" t="str">
        <f t="shared" si="146"/>
        <v/>
      </c>
      <c r="Z95" s="252"/>
      <c r="AA95" s="1986" t="str">
        <f t="shared" si="147"/>
        <v/>
      </c>
      <c r="AB95" s="252" t="str">
        <f>IF(E95&lt;&gt;"","Select from Pull-Down List    ","")</f>
        <v/>
      </c>
      <c r="AC95" s="1023"/>
      <c r="AD95" s="252" t="str">
        <f>IF(E95&lt;&gt;"","Feet?    ","")</f>
        <v/>
      </c>
      <c r="AE95" s="1023"/>
      <c r="AF95" s="252" t="str">
        <f>IF(E95&lt;&gt;"","Mileage?       ","")</f>
        <v/>
      </c>
      <c r="AG95" s="1023"/>
      <c r="AH95" s="252" t="str">
        <f>IF(E95&lt;&gt;"","Avg. Lifetime Mileage? ","")</f>
        <v/>
      </c>
      <c r="AI95" s="933"/>
      <c r="AJ95" s="252" t="str">
        <f>IF(E95&lt;&gt;"","Select from Pull-Down List    ","")</f>
        <v/>
      </c>
      <c r="AK95" s="171"/>
      <c r="AL95" s="252"/>
      <c r="AM95" s="894"/>
      <c r="AN95" s="894"/>
      <c r="AO95" s="894" t="b">
        <f>IF(AND(C95="",C97&lt;&gt;""),TRUE,FALSE)</f>
        <v>0</v>
      </c>
      <c r="AP95" s="888" t="str">
        <f t="shared" ref="AP95" si="181">IF(AND(C95&lt;&gt;"",OR(I95="",K95="",M95="",O95="",Q95="",W95="",AC95="",AE95="",AG95="")),"No",IF(AND(C95="",OR(I95&lt;&gt;"",K95&lt;&gt;"",M95&lt;&gt;"",O95&lt;&gt;"",Q95&lt;&gt;"",W95&lt;&gt;"",AC95&lt;&gt;"",AE95&lt;&gt;"",AG95&lt;&gt;"",AI95&lt;&gt;"",AK95&lt;&gt;"")),"No",IF(AND(C95="",I95="",K95="",M95="",O95="",Q95="",W95="",AC95="",AE95="",AG95="",AI95=""),"N/A","Yes")))</f>
        <v>N/A</v>
      </c>
      <c r="AQ95" s="898"/>
      <c r="AR95" s="899" t="b">
        <f t="shared" ref="AR95" si="182">IF(AND(OR(I95&lt;&gt;"",K95&lt;&gt;"",M95&lt;&gt;"",O95&lt;&gt;"",Q95&lt;&gt;"",W95&lt;&gt;"",AC95&lt;&gt;"",AE95&lt;&gt;"",AG95&lt;&gt;"",AI95&lt;&gt;"",AK95&lt;&gt;""),C95=""),TRUE,FALSE)</f>
        <v>0</v>
      </c>
      <c r="AS95" s="898" t="b">
        <f t="shared" ref="AS95" si="183">IF(AT95=TRUE,FALSE,IF(SUM(K95)&gt;I95,TRUE,FALSE))</f>
        <v>0</v>
      </c>
      <c r="AT95" s="899" t="b">
        <f>IF(AND(C95&lt;&gt;"",I95=""),TRUE,FALSE)</f>
        <v>0</v>
      </c>
      <c r="AU95" s="898" t="b">
        <f>IF(AV95=TRUE,FALSE,IF(M95&gt;K95,TRUE,FALSE))</f>
        <v>0</v>
      </c>
      <c r="AV95" s="899" t="b">
        <f>IF(AND($C95&lt;&gt;"",K95=""),TRUE,FALSE)</f>
        <v>0</v>
      </c>
      <c r="AW95" s="898"/>
      <c r="AX95" s="899" t="b">
        <f>IF(AND($C95&lt;&gt;"",M95=""),TRUE,FALSE)</f>
        <v>0</v>
      </c>
      <c r="AY95" s="898" t="b">
        <f t="shared" ref="AY95" si="184">IF(AND(O95="",OR(Q95&lt;&gt;"",W95&lt;&gt;"",AC95&lt;&gt;"",AE95&lt;&gt;"",AG95&lt;&gt;"",AI95&lt;&gt;"")),TRUE,FALSE)</f>
        <v>0</v>
      </c>
      <c r="AZ95" s="899" t="b">
        <f>IF(AND($C95&lt;&gt;"",O95=""),TRUE,FALSE)</f>
        <v>0</v>
      </c>
      <c r="BA95" s="898"/>
      <c r="BB95" s="899" t="b">
        <f>IF(AND($C95&lt;&gt;"",Q95=""),TRUE,FALSE)</f>
        <v>0</v>
      </c>
      <c r="BC95" s="1537" t="b">
        <f>IF(BD95=TRUE,FALSE,IF(W95="",FALSE,IF(OR(W95&lt;BO95,W95&gt;BaseYear),TRUE,FALSE)))</f>
        <v>0</v>
      </c>
      <c r="BD95" s="899" t="b">
        <f>IF(AND($C95&lt;&gt;"",W95=""),TRUE,FALSE)</f>
        <v>0</v>
      </c>
      <c r="BE95" s="1537"/>
      <c r="BF95" s="899" t="b">
        <f>IF(AND($C95&lt;&gt;"",AC95=""),TRUE,FALSE)</f>
        <v>0</v>
      </c>
      <c r="BG95" s="898"/>
      <c r="BH95" s="899" t="b">
        <f>IF(AND($C95&lt;&gt;"",AE95=""),TRUE,FALSE)</f>
        <v>0</v>
      </c>
      <c r="BI95" s="898"/>
      <c r="BJ95" s="899" t="b">
        <f>IF(AND($C95&lt;&gt;"",AG95=""),TRUE,FALSE)</f>
        <v>0</v>
      </c>
      <c r="BK95" s="898"/>
      <c r="BL95" s="898" t="b">
        <f>IF(AND($C95&lt;&gt;"",AI95=""),TRUE,FALSE)</f>
        <v>0</v>
      </c>
      <c r="BM95" s="894"/>
      <c r="BN95" s="898" t="str">
        <f t="shared" si="142"/>
        <v/>
      </c>
      <c r="BO95" s="898" t="str">
        <f>IFERROR(IF(AND(O95="",O95&lt;&gt;""),1913,VLOOKUP(O95,Valid!$B$99:$J$120,9)),"")</f>
        <v/>
      </c>
      <c r="BP95" s="898" t="str">
        <f t="shared" ca="1" si="143"/>
        <v/>
      </c>
      <c r="BQ95" s="1547" t="str">
        <f t="shared" ca="1" si="148"/>
        <v/>
      </c>
      <c r="BR95" s="898" t="str">
        <f ca="1">IF(BQ95="", "", IF(1+(BQ95*4)&lt;1, 1, 1+(BQ95*4)))</f>
        <v/>
      </c>
      <c r="BS95" s="898" t="str">
        <f t="shared" si="144"/>
        <v/>
      </c>
      <c r="BT95" s="898" t="str">
        <f t="shared" si="145"/>
        <v/>
      </c>
      <c r="BU95" s="1539" t="str">
        <f>IFERROR(IF(AND(#REF!="",C95&lt;&gt;""),Valid!$E$123,VLOOKUP(#REF!,Valid!$B$123:$F$125,4,FALSE)),"")</f>
        <v/>
      </c>
      <c r="BV95" s="1539" t="str">
        <f>IFERROR(IF(AND(#REF!="",C95&lt;&gt;""),Valid!$F$123,VLOOKUP(#REF!,Valid!$B$123:$F$125,5,FALSE)),"")</f>
        <v/>
      </c>
      <c r="BW95" s="1539" t="str">
        <f>IFERROR(VLOOKUP('A-70 RevVehInv'!S95,Valid!$B$99:$I$120,7), "")</f>
        <v/>
      </c>
      <c r="BX95" s="1539" t="str">
        <f>IFERROR(VLOOKUP(O95,Valid!$B$99:$I$120,8), "")</f>
        <v/>
      </c>
      <c r="BY95" s="894"/>
    </row>
    <row r="96" spans="1:77" ht="6.75" customHeight="1" x14ac:dyDescent="0.2">
      <c r="A96" s="1516"/>
      <c r="B96" s="1530">
        <v>42.5</v>
      </c>
      <c r="C96" s="1544"/>
      <c r="D96" s="905"/>
      <c r="E96" s="1545"/>
      <c r="F96" s="905"/>
      <c r="G96" s="905"/>
      <c r="H96" s="905"/>
      <c r="I96" s="1531"/>
      <c r="J96" s="905"/>
      <c r="K96" s="1531"/>
      <c r="L96" s="905"/>
      <c r="M96" s="1531"/>
      <c r="N96" s="1531"/>
      <c r="O96" s="1533"/>
      <c r="P96" s="905"/>
      <c r="Q96" s="1533"/>
      <c r="R96" s="905"/>
      <c r="S96" s="1531" t="str">
        <f t="shared" si="136"/>
        <v/>
      </c>
      <c r="T96" s="905"/>
      <c r="U96" s="1531"/>
      <c r="V96" s="252" t="str">
        <f t="shared" si="137"/>
        <v/>
      </c>
      <c r="W96" s="1531"/>
      <c r="X96" s="905"/>
      <c r="Y96" s="1971" t="str">
        <f t="shared" si="146"/>
        <v/>
      </c>
      <c r="Z96" s="905"/>
      <c r="AA96" s="1983" t="str">
        <f t="shared" si="147"/>
        <v/>
      </c>
      <c r="AB96" s="1531"/>
      <c r="AC96" s="1531"/>
      <c r="AD96" s="1531"/>
      <c r="AE96" s="1531"/>
      <c r="AF96" s="1531"/>
      <c r="AG96" s="1534"/>
      <c r="AH96" s="1531"/>
      <c r="AI96" s="1546"/>
      <c r="AJ96" s="1531"/>
      <c r="AK96" s="1531"/>
      <c r="AL96" s="1531"/>
      <c r="AM96" s="1531"/>
      <c r="AN96" s="1531"/>
      <c r="AO96" s="1531"/>
      <c r="AP96" s="1531"/>
      <c r="AQ96" s="1535"/>
      <c r="AR96" s="1534"/>
      <c r="AS96" s="1535"/>
      <c r="AT96" s="1534"/>
      <c r="AU96" s="1535"/>
      <c r="AV96" s="1534"/>
      <c r="AW96" s="1535"/>
      <c r="AX96" s="1534"/>
      <c r="AY96" s="1535"/>
      <c r="AZ96" s="1534"/>
      <c r="BA96" s="1535"/>
      <c r="BB96" s="1534"/>
      <c r="BC96" s="1535"/>
      <c r="BD96" s="1534"/>
      <c r="BE96" s="1535"/>
      <c r="BF96" s="1534"/>
      <c r="BG96" s="1535"/>
      <c r="BH96" s="1534"/>
      <c r="BI96" s="1535"/>
      <c r="BJ96" s="1534"/>
      <c r="BK96" s="1535"/>
      <c r="BL96" s="1535"/>
      <c r="BM96" s="1531"/>
      <c r="BN96" s="898" t="str">
        <f t="shared" si="142"/>
        <v/>
      </c>
      <c r="BO96" s="898" t="str">
        <f>IFERROR(IF(AND(O96="",O96&lt;&gt;""),1913,VLOOKUP(O96,Valid!$B$99:$J$120,9)),"")</f>
        <v/>
      </c>
      <c r="BP96" s="898" t="str">
        <f t="shared" ca="1" si="143"/>
        <v/>
      </c>
      <c r="BQ96" s="1547" t="str">
        <f t="shared" ca="1" si="148"/>
        <v/>
      </c>
      <c r="BR96" s="898"/>
      <c r="BS96" s="898" t="str">
        <f t="shared" si="144"/>
        <v/>
      </c>
      <c r="BT96" s="898" t="str">
        <f t="shared" si="145"/>
        <v/>
      </c>
      <c r="BU96" s="1539" t="str">
        <f>IFERROR(IF(AND(#REF!="",C96&lt;&gt;""),Valid!$E$123,VLOOKUP(#REF!,Valid!$B$123:$F$125,4,FALSE)),"")</f>
        <v/>
      </c>
      <c r="BV96" s="1539" t="str">
        <f>IFERROR(IF(AND(#REF!="",C96&lt;&gt;""),Valid!$F$123,VLOOKUP(#REF!,Valid!$B$123:$F$125,5,FALSE)),"")</f>
        <v/>
      </c>
      <c r="BW96" s="1539" t="str">
        <f>IFERROR(VLOOKUP('A-70 RevVehInv'!S96,Valid!$B$99:$I$120,7), "")</f>
        <v/>
      </c>
      <c r="BX96" s="1539" t="str">
        <f>IFERROR(VLOOKUP(O96,Valid!$B$99:$I$120,8), "")</f>
        <v/>
      </c>
      <c r="BY96" s="1531"/>
    </row>
    <row r="97" spans="1:77" s="930" customFormat="1" x14ac:dyDescent="0.2">
      <c r="A97" s="206">
        <v>43</v>
      </c>
      <c r="B97" s="1530">
        <v>43</v>
      </c>
      <c r="C97" s="933"/>
      <c r="D97" s="719" t="str">
        <f>IF(C95="","",IF((C97=""),"Enter RVI ID. then Fill in Columns "&amp;TEXT($I$2,0)&amp;" - "&amp;TEXT($AI$2,0)&amp;"       ",""))</f>
        <v/>
      </c>
      <c r="E97" s="1056" t="str">
        <f>IF(AP97="N/A","",AP97)</f>
        <v/>
      </c>
      <c r="F97" s="1536"/>
      <c r="G97" s="1536"/>
      <c r="H97" s="1536"/>
      <c r="I97" s="1023"/>
      <c r="J97" s="1536" t="str">
        <f>IF(E97&lt;&gt;"","Vehicles?    ","")</f>
        <v/>
      </c>
      <c r="K97" s="1023"/>
      <c r="L97" s="1536" t="str">
        <f>IF(E97&lt;&gt;"","Active Vehicles?     ","")</f>
        <v/>
      </c>
      <c r="M97" s="1023"/>
      <c r="N97" s="894"/>
      <c r="O97" s="1153"/>
      <c r="P97" s="252" t="str">
        <f>IF(E97&lt;&gt;"","Select from Pull-Down List    ","")</f>
        <v/>
      </c>
      <c r="Q97" s="933"/>
      <c r="R97" s="252" t="str">
        <f>IF(E97&lt;&gt;"","Select from Pull-Down List    ","")</f>
        <v/>
      </c>
      <c r="S97" s="1766" t="str">
        <f t="shared" si="136"/>
        <v/>
      </c>
      <c r="T97" s="252"/>
      <c r="U97" s="1988"/>
      <c r="V97" s="252" t="str">
        <f t="shared" si="137"/>
        <v/>
      </c>
      <c r="W97" s="139"/>
      <c r="X97" s="252" t="str">
        <f>IF(E97&lt;&gt;"","Mfg. Yr?    ","")</f>
        <v/>
      </c>
      <c r="Y97" s="1974" t="str">
        <f t="shared" si="146"/>
        <v/>
      </c>
      <c r="Z97" s="252"/>
      <c r="AA97" s="1986" t="str">
        <f t="shared" si="147"/>
        <v/>
      </c>
      <c r="AB97" s="252" t="str">
        <f>IF(E97&lt;&gt;"","Select from Pull-Down List    ","")</f>
        <v/>
      </c>
      <c r="AC97" s="1023"/>
      <c r="AD97" s="252" t="str">
        <f>IF(E97&lt;&gt;"","Feet?    ","")</f>
        <v/>
      </c>
      <c r="AE97" s="1023"/>
      <c r="AF97" s="252" t="str">
        <f>IF(E97&lt;&gt;"","Mileage?       ","")</f>
        <v/>
      </c>
      <c r="AG97" s="1023"/>
      <c r="AH97" s="252" t="str">
        <f>IF(E97&lt;&gt;"","Avg. Lifetime Mileage? ","")</f>
        <v/>
      </c>
      <c r="AI97" s="933"/>
      <c r="AJ97" s="252" t="str">
        <f>IF(E97&lt;&gt;"","Select from Pull-Down List    ","")</f>
        <v/>
      </c>
      <c r="AK97" s="171"/>
      <c r="AL97" s="252"/>
      <c r="AM97" s="894"/>
      <c r="AN97" s="894"/>
      <c r="AO97" s="894" t="b">
        <f>IF(AND(C97="",C99&lt;&gt;""),TRUE,FALSE)</f>
        <v>0</v>
      </c>
      <c r="AP97" s="888" t="str">
        <f t="shared" ref="AP97" si="185">IF(AND(C97&lt;&gt;"",OR(I97="",K97="",M97="",O97="",Q97="",W97="",AC97="",AE97="",AG97="")),"No",IF(AND(C97="",OR(I97&lt;&gt;"",K97&lt;&gt;"",M97&lt;&gt;"",O97&lt;&gt;"",Q97&lt;&gt;"",W97&lt;&gt;"",AC97&lt;&gt;"",AE97&lt;&gt;"",AG97&lt;&gt;"",AI97&lt;&gt;"",AK97&lt;&gt;"")),"No",IF(AND(C97="",I97="",K97="",M97="",O97="",Q97="",W97="",AC97="",AE97="",AG97="",AI97=""),"N/A","Yes")))</f>
        <v>N/A</v>
      </c>
      <c r="AQ97" s="898"/>
      <c r="AR97" s="899" t="b">
        <f t="shared" ref="AR97" si="186">IF(AND(OR(I97&lt;&gt;"",K97&lt;&gt;"",M97&lt;&gt;"",O97&lt;&gt;"",Q97&lt;&gt;"",W97&lt;&gt;"",AC97&lt;&gt;"",AE97&lt;&gt;"",AG97&lt;&gt;"",AI97&lt;&gt;"",AK97&lt;&gt;""),C97=""),TRUE,FALSE)</f>
        <v>0</v>
      </c>
      <c r="AS97" s="898" t="b">
        <f t="shared" ref="AS97" si="187">IF(AT97=TRUE,FALSE,IF(SUM(K97)&gt;I97,TRUE,FALSE))</f>
        <v>0</v>
      </c>
      <c r="AT97" s="899" t="b">
        <f>IF(AND(C97&lt;&gt;"",I97=""),TRUE,FALSE)</f>
        <v>0</v>
      </c>
      <c r="AU97" s="898" t="b">
        <f>IF(AV97=TRUE,FALSE,IF(M97&gt;K97,TRUE,FALSE))</f>
        <v>0</v>
      </c>
      <c r="AV97" s="899" t="b">
        <f>IF(AND($C97&lt;&gt;"",K97=""),TRUE,FALSE)</f>
        <v>0</v>
      </c>
      <c r="AW97" s="898"/>
      <c r="AX97" s="899" t="b">
        <f>IF(AND($C97&lt;&gt;"",M97=""),TRUE,FALSE)</f>
        <v>0</v>
      </c>
      <c r="AY97" s="898" t="b">
        <f t="shared" ref="AY97" si="188">IF(AND(O97="",OR(Q97&lt;&gt;"",W97&lt;&gt;"",AC97&lt;&gt;"",AE97&lt;&gt;"",AG97&lt;&gt;"",AI97&lt;&gt;"")),TRUE,FALSE)</f>
        <v>0</v>
      </c>
      <c r="AZ97" s="899" t="b">
        <f>IF(AND($C97&lt;&gt;"",O97=""),TRUE,FALSE)</f>
        <v>0</v>
      </c>
      <c r="BA97" s="898"/>
      <c r="BB97" s="899" t="b">
        <f>IF(AND($C97&lt;&gt;"",Q97=""),TRUE,FALSE)</f>
        <v>0</v>
      </c>
      <c r="BC97" s="1537" t="b">
        <f>IF(BD97=TRUE,FALSE,IF(W97="",FALSE,IF(OR(W97&lt;BO97,W97&gt;BaseYear),TRUE,FALSE)))</f>
        <v>0</v>
      </c>
      <c r="BD97" s="899" t="b">
        <f>IF(AND($C97&lt;&gt;"",W97=""),TRUE,FALSE)</f>
        <v>0</v>
      </c>
      <c r="BE97" s="1537"/>
      <c r="BF97" s="899" t="b">
        <f>IF(AND($C97&lt;&gt;"",AC97=""),TRUE,FALSE)</f>
        <v>0</v>
      </c>
      <c r="BG97" s="898"/>
      <c r="BH97" s="899" t="b">
        <f>IF(AND($C97&lt;&gt;"",AE97=""),TRUE,FALSE)</f>
        <v>0</v>
      </c>
      <c r="BI97" s="898"/>
      <c r="BJ97" s="899" t="b">
        <f>IF(AND($C97&lt;&gt;"",AG97=""),TRUE,FALSE)</f>
        <v>0</v>
      </c>
      <c r="BK97" s="898"/>
      <c r="BL97" s="898" t="b">
        <f>IF(AND($C97&lt;&gt;"",AI97=""),TRUE,FALSE)</f>
        <v>0</v>
      </c>
      <c r="BM97" s="894"/>
      <c r="BN97" s="898" t="str">
        <f t="shared" si="142"/>
        <v/>
      </c>
      <c r="BO97" s="898" t="str">
        <f>IFERROR(IF(AND(O97="",O97&lt;&gt;""),1913,VLOOKUP(O97,Valid!$B$99:$J$120,9)),"")</f>
        <v/>
      </c>
      <c r="BP97" s="898" t="str">
        <f t="shared" ca="1" si="143"/>
        <v/>
      </c>
      <c r="BQ97" s="1547" t="str">
        <f t="shared" ca="1" si="148"/>
        <v/>
      </c>
      <c r="BR97" s="898" t="str">
        <f ca="1">IF(BQ97="", "", IF(1+(BQ97*4)&lt;1, 1, 1+(BQ97*4)))</f>
        <v/>
      </c>
      <c r="BS97" s="898" t="str">
        <f t="shared" si="144"/>
        <v/>
      </c>
      <c r="BT97" s="898" t="str">
        <f t="shared" si="145"/>
        <v/>
      </c>
      <c r="BU97" s="1539" t="str">
        <f>IFERROR(IF(AND(#REF!="",C97&lt;&gt;""),Valid!$E$123,VLOOKUP(#REF!,Valid!$B$123:$F$125,4,FALSE)),"")</f>
        <v/>
      </c>
      <c r="BV97" s="1539" t="str">
        <f>IFERROR(IF(AND(#REF!="",C97&lt;&gt;""),Valid!$F$123,VLOOKUP(#REF!,Valid!$B$123:$F$125,5,FALSE)),"")</f>
        <v/>
      </c>
      <c r="BW97" s="1539" t="str">
        <f>IFERROR(VLOOKUP('A-70 RevVehInv'!S97,Valid!$B$99:$I$120,7), "")</f>
        <v/>
      </c>
      <c r="BX97" s="1539" t="str">
        <f>IFERROR(VLOOKUP(O97,Valid!$B$99:$I$120,8), "")</f>
        <v/>
      </c>
      <c r="BY97" s="894"/>
    </row>
    <row r="98" spans="1:77" ht="6.75" customHeight="1" x14ac:dyDescent="0.2">
      <c r="A98" s="1517"/>
      <c r="B98" s="1530">
        <v>43.5</v>
      </c>
      <c r="C98" s="1540"/>
      <c r="D98" s="905"/>
      <c r="E98" s="1541"/>
      <c r="F98" s="905"/>
      <c r="G98" s="905"/>
      <c r="H98" s="905"/>
      <c r="I98" s="1534"/>
      <c r="J98" s="905"/>
      <c r="K98" s="1534"/>
      <c r="L98" s="905"/>
      <c r="M98" s="1534"/>
      <c r="N98" s="1531"/>
      <c r="O98" s="1542"/>
      <c r="P98" s="905"/>
      <c r="Q98" s="1542"/>
      <c r="R98" s="905"/>
      <c r="S98" s="1534" t="str">
        <f t="shared" si="136"/>
        <v/>
      </c>
      <c r="T98" s="905"/>
      <c r="U98" s="1534"/>
      <c r="V98" s="252" t="str">
        <f t="shared" si="137"/>
        <v/>
      </c>
      <c r="W98" s="1534"/>
      <c r="X98" s="905"/>
      <c r="Y98" s="1973" t="str">
        <f t="shared" si="146"/>
        <v/>
      </c>
      <c r="Z98" s="905"/>
      <c r="AA98" s="1985" t="str">
        <f t="shared" si="147"/>
        <v/>
      </c>
      <c r="AB98" s="1531"/>
      <c r="AC98" s="1534"/>
      <c r="AD98" s="1531"/>
      <c r="AE98" s="1534"/>
      <c r="AF98" s="1531"/>
      <c r="AG98" s="1534"/>
      <c r="AH98" s="1531"/>
      <c r="AI98" s="1543"/>
      <c r="AJ98" s="1531"/>
      <c r="AK98" s="1534"/>
      <c r="AL98" s="1531"/>
      <c r="AM98" s="1531"/>
      <c r="AN98" s="1531"/>
      <c r="AO98" s="1531"/>
      <c r="AP98" s="1531"/>
      <c r="AQ98" s="1535"/>
      <c r="AR98" s="1534"/>
      <c r="AS98" s="1535"/>
      <c r="AT98" s="1534"/>
      <c r="AU98" s="1535"/>
      <c r="AV98" s="1534"/>
      <c r="AW98" s="1535"/>
      <c r="AX98" s="1534"/>
      <c r="AY98" s="1535"/>
      <c r="AZ98" s="1534"/>
      <c r="BA98" s="1535"/>
      <c r="BB98" s="1534"/>
      <c r="BC98" s="1535"/>
      <c r="BD98" s="1534"/>
      <c r="BE98" s="1535"/>
      <c r="BF98" s="1534"/>
      <c r="BG98" s="1535"/>
      <c r="BH98" s="1534"/>
      <c r="BI98" s="1535"/>
      <c r="BJ98" s="1534"/>
      <c r="BK98" s="1535"/>
      <c r="BL98" s="1535"/>
      <c r="BM98" s="1531"/>
      <c r="BN98" s="898" t="str">
        <f t="shared" si="142"/>
        <v/>
      </c>
      <c r="BO98" s="898" t="str">
        <f>IFERROR(IF(AND(O98="",O98&lt;&gt;""),1913,VLOOKUP(O98,Valid!$B$99:$J$120,9)),"")</f>
        <v/>
      </c>
      <c r="BP98" s="898" t="str">
        <f t="shared" ca="1" si="143"/>
        <v/>
      </c>
      <c r="BQ98" s="1547" t="str">
        <f t="shared" ca="1" si="148"/>
        <v/>
      </c>
      <c r="BR98" s="898"/>
      <c r="BS98" s="898" t="str">
        <f t="shared" si="144"/>
        <v/>
      </c>
      <c r="BT98" s="898" t="str">
        <f t="shared" si="145"/>
        <v/>
      </c>
      <c r="BU98" s="1539" t="str">
        <f>IFERROR(IF(AND(#REF!="",C98&lt;&gt;""),Valid!$E$123,VLOOKUP(#REF!,Valid!$B$123:$F$125,4,FALSE)),"")</f>
        <v/>
      </c>
      <c r="BV98" s="1539" t="str">
        <f>IFERROR(IF(AND(#REF!="",C98&lt;&gt;""),Valid!$F$123,VLOOKUP(#REF!,Valid!$B$123:$F$125,5,FALSE)),"")</f>
        <v/>
      </c>
      <c r="BW98" s="1539" t="str">
        <f>IFERROR(VLOOKUP('A-70 RevVehInv'!S98,Valid!$B$99:$I$120,7), "")</f>
        <v/>
      </c>
      <c r="BX98" s="1539" t="str">
        <f>IFERROR(VLOOKUP(O98,Valid!$B$99:$I$120,8), "")</f>
        <v/>
      </c>
      <c r="BY98" s="1531"/>
    </row>
    <row r="99" spans="1:77" s="930" customFormat="1" x14ac:dyDescent="0.2">
      <c r="A99" s="206">
        <v>44</v>
      </c>
      <c r="B99" s="1530">
        <v>44</v>
      </c>
      <c r="C99" s="933"/>
      <c r="D99" s="719" t="str">
        <f>IF(C97="","",IF((C99=""),"Enter RVI ID. then Fill in Columns "&amp;TEXT($I$2,0)&amp;" - "&amp;TEXT($AI$2,0)&amp;"       ",""))</f>
        <v/>
      </c>
      <c r="E99" s="1056" t="str">
        <f>IF(AP99="N/A","",AP99)</f>
        <v/>
      </c>
      <c r="F99" s="1536"/>
      <c r="G99" s="1536"/>
      <c r="H99" s="1536"/>
      <c r="I99" s="1023"/>
      <c r="J99" s="1536" t="str">
        <f>IF(E99&lt;&gt;"","Vehicles?    ","")</f>
        <v/>
      </c>
      <c r="K99" s="1023"/>
      <c r="L99" s="1536" t="str">
        <f>IF(E99&lt;&gt;"","Active Vehicles?     ","")</f>
        <v/>
      </c>
      <c r="M99" s="1023"/>
      <c r="N99" s="894"/>
      <c r="O99" s="1153"/>
      <c r="P99" s="252" t="str">
        <f>IF(E99&lt;&gt;"","Select from Pull-Down List    ","")</f>
        <v/>
      </c>
      <c r="Q99" s="933"/>
      <c r="R99" s="252" t="str">
        <f>IF(E99&lt;&gt;"","Select from Pull-Down List    ","")</f>
        <v/>
      </c>
      <c r="S99" s="1766" t="str">
        <f t="shared" si="136"/>
        <v/>
      </c>
      <c r="T99" s="252"/>
      <c r="U99" s="1988"/>
      <c r="V99" s="252" t="str">
        <f t="shared" si="137"/>
        <v/>
      </c>
      <c r="W99" s="139"/>
      <c r="X99" s="252" t="str">
        <f>IF(E99&lt;&gt;"","Mfg. Yr?    ","")</f>
        <v/>
      </c>
      <c r="Y99" s="1974" t="str">
        <f t="shared" si="146"/>
        <v/>
      </c>
      <c r="Z99" s="252"/>
      <c r="AA99" s="1986" t="str">
        <f t="shared" si="147"/>
        <v/>
      </c>
      <c r="AB99" s="252" t="str">
        <f>IF(E99&lt;&gt;"","Select from Pull-Down List    ","")</f>
        <v/>
      </c>
      <c r="AC99" s="1023"/>
      <c r="AD99" s="252" t="str">
        <f>IF(E99&lt;&gt;"","Feet?    ","")</f>
        <v/>
      </c>
      <c r="AE99" s="1023"/>
      <c r="AF99" s="252" t="str">
        <f>IF(E99&lt;&gt;"","Mileage?       ","")</f>
        <v/>
      </c>
      <c r="AG99" s="1023"/>
      <c r="AH99" s="252" t="str">
        <f>IF(E99&lt;&gt;"","Avg. Lifetime Mileage? ","")</f>
        <v/>
      </c>
      <c r="AI99" s="933"/>
      <c r="AJ99" s="252" t="str">
        <f>IF(E99&lt;&gt;"","Select from Pull-Down List    ","")</f>
        <v/>
      </c>
      <c r="AK99" s="171"/>
      <c r="AL99" s="252"/>
      <c r="AM99" s="894"/>
      <c r="AN99" s="894"/>
      <c r="AO99" s="894" t="b">
        <f>IF(AND(C99="",C101&lt;&gt;""),TRUE,FALSE)</f>
        <v>0</v>
      </c>
      <c r="AP99" s="888" t="str">
        <f t="shared" ref="AP99" si="189">IF(AND(C99&lt;&gt;"",OR(I99="",K99="",M99="",O99="",Q99="",W99="",AC99="",AE99="",AG99="")),"No",IF(AND(C99="",OR(I99&lt;&gt;"",K99&lt;&gt;"",M99&lt;&gt;"",O99&lt;&gt;"",Q99&lt;&gt;"",W99&lt;&gt;"",AC99&lt;&gt;"",AE99&lt;&gt;"",AG99&lt;&gt;"",AI99&lt;&gt;"",AK99&lt;&gt;"")),"No",IF(AND(C99="",I99="",K99="",M99="",O99="",Q99="",W99="",AC99="",AE99="",AG99="",AI99=""),"N/A","Yes")))</f>
        <v>N/A</v>
      </c>
      <c r="AQ99" s="898"/>
      <c r="AR99" s="899" t="b">
        <f t="shared" ref="AR99" si="190">IF(AND(OR(I99&lt;&gt;"",K99&lt;&gt;"",M99&lt;&gt;"",O99&lt;&gt;"",Q99&lt;&gt;"",W99&lt;&gt;"",AC99&lt;&gt;"",AE99&lt;&gt;"",AG99&lt;&gt;"",AI99&lt;&gt;"",AK99&lt;&gt;""),C99=""),TRUE,FALSE)</f>
        <v>0</v>
      </c>
      <c r="AS99" s="898" t="b">
        <f t="shared" ref="AS99" si="191">IF(AT99=TRUE,FALSE,IF(SUM(K99)&gt;I99,TRUE,FALSE))</f>
        <v>0</v>
      </c>
      <c r="AT99" s="899" t="b">
        <f>IF(AND(C99&lt;&gt;"",I99=""),TRUE,FALSE)</f>
        <v>0</v>
      </c>
      <c r="AU99" s="898" t="b">
        <f>IF(AV99=TRUE,FALSE,IF(M99&gt;K99,TRUE,FALSE))</f>
        <v>0</v>
      </c>
      <c r="AV99" s="899" t="b">
        <f>IF(AND($C99&lt;&gt;"",K99=""),TRUE,FALSE)</f>
        <v>0</v>
      </c>
      <c r="AW99" s="898"/>
      <c r="AX99" s="899" t="b">
        <f>IF(AND($C99&lt;&gt;"",M99=""),TRUE,FALSE)</f>
        <v>0</v>
      </c>
      <c r="AY99" s="898" t="b">
        <f t="shared" ref="AY99" si="192">IF(AND(O99="",OR(Q99&lt;&gt;"",W99&lt;&gt;"",AC99&lt;&gt;"",AE99&lt;&gt;"",AG99&lt;&gt;"",AI99&lt;&gt;"")),TRUE,FALSE)</f>
        <v>0</v>
      </c>
      <c r="AZ99" s="899" t="b">
        <f>IF(AND($C99&lt;&gt;"",O99=""),TRUE,FALSE)</f>
        <v>0</v>
      </c>
      <c r="BA99" s="898"/>
      <c r="BB99" s="899" t="b">
        <f>IF(AND($C99&lt;&gt;"",Q99=""),TRUE,FALSE)</f>
        <v>0</v>
      </c>
      <c r="BC99" s="1537" t="b">
        <f>IF(BD99=TRUE,FALSE,IF(W99="",FALSE,IF(OR(W99&lt;BO99,W99&gt;BaseYear),TRUE,FALSE)))</f>
        <v>0</v>
      </c>
      <c r="BD99" s="899" t="b">
        <f>IF(AND($C99&lt;&gt;"",W99=""),TRUE,FALSE)</f>
        <v>0</v>
      </c>
      <c r="BE99" s="1537"/>
      <c r="BF99" s="899" t="b">
        <f>IF(AND($C99&lt;&gt;"",AC99=""),TRUE,FALSE)</f>
        <v>0</v>
      </c>
      <c r="BG99" s="898"/>
      <c r="BH99" s="899" t="b">
        <f>IF(AND($C99&lt;&gt;"",AE99=""),TRUE,FALSE)</f>
        <v>0</v>
      </c>
      <c r="BI99" s="898"/>
      <c r="BJ99" s="899" t="b">
        <f>IF(AND($C99&lt;&gt;"",AG99=""),TRUE,FALSE)</f>
        <v>0</v>
      </c>
      <c r="BK99" s="898"/>
      <c r="BL99" s="898" t="b">
        <f>IF(AND($C99&lt;&gt;"",AI99=""),TRUE,FALSE)</f>
        <v>0</v>
      </c>
      <c r="BM99" s="894"/>
      <c r="BN99" s="898" t="str">
        <f t="shared" si="142"/>
        <v/>
      </c>
      <c r="BO99" s="898" t="str">
        <f>IFERROR(IF(AND(O99="",O99&lt;&gt;""),1913,VLOOKUP(O99,Valid!$B$99:$J$120,9)),"")</f>
        <v/>
      </c>
      <c r="BP99" s="898" t="str">
        <f t="shared" ca="1" si="143"/>
        <v/>
      </c>
      <c r="BQ99" s="1547" t="str">
        <f t="shared" ca="1" si="148"/>
        <v/>
      </c>
      <c r="BR99" s="898" t="str">
        <f ca="1">IF(BQ99="", "", IF(1+(BQ99*4)&lt;1, 1, 1+(BQ99*4)))</f>
        <v/>
      </c>
      <c r="BS99" s="898" t="str">
        <f t="shared" si="144"/>
        <v/>
      </c>
      <c r="BT99" s="898" t="str">
        <f t="shared" si="145"/>
        <v/>
      </c>
      <c r="BU99" s="1539" t="str">
        <f>IFERROR(IF(AND(#REF!="",C99&lt;&gt;""),Valid!$E$123,VLOOKUP(#REF!,Valid!$B$123:$F$125,4,FALSE)),"")</f>
        <v/>
      </c>
      <c r="BV99" s="1539" t="str">
        <f>IFERROR(IF(AND(#REF!="",C99&lt;&gt;""),Valid!$F$123,VLOOKUP(#REF!,Valid!$B$123:$F$125,5,FALSE)),"")</f>
        <v/>
      </c>
      <c r="BW99" s="1539" t="str">
        <f>IFERROR(VLOOKUP('A-70 RevVehInv'!S99,Valid!$B$99:$I$120,7), "")</f>
        <v/>
      </c>
      <c r="BX99" s="1539" t="str">
        <f>IFERROR(VLOOKUP(O99,Valid!$B$99:$I$120,8), "")</f>
        <v/>
      </c>
      <c r="BY99" s="894"/>
    </row>
    <row r="100" spans="1:77" ht="6.75" customHeight="1" x14ac:dyDescent="0.2">
      <c r="A100" s="1517"/>
      <c r="B100" s="1530">
        <v>44.5</v>
      </c>
      <c r="C100" s="1544"/>
      <c r="D100" s="905"/>
      <c r="E100" s="1545"/>
      <c r="F100" s="905"/>
      <c r="G100" s="905"/>
      <c r="H100" s="905"/>
      <c r="I100" s="1531"/>
      <c r="J100" s="905"/>
      <c r="K100" s="1531"/>
      <c r="L100" s="905"/>
      <c r="M100" s="1531"/>
      <c r="N100" s="1531"/>
      <c r="O100" s="1533"/>
      <c r="P100" s="905"/>
      <c r="Q100" s="1533"/>
      <c r="R100" s="905"/>
      <c r="S100" s="1531" t="str">
        <f t="shared" si="136"/>
        <v/>
      </c>
      <c r="T100" s="905"/>
      <c r="U100" s="1531"/>
      <c r="V100" s="252" t="str">
        <f t="shared" si="137"/>
        <v/>
      </c>
      <c r="W100" s="1531"/>
      <c r="X100" s="905"/>
      <c r="Y100" s="1971" t="str">
        <f t="shared" si="146"/>
        <v/>
      </c>
      <c r="Z100" s="905"/>
      <c r="AA100" s="1983" t="str">
        <f t="shared" si="147"/>
        <v/>
      </c>
      <c r="AB100" s="1531"/>
      <c r="AC100" s="1531"/>
      <c r="AD100" s="1531"/>
      <c r="AE100" s="1531"/>
      <c r="AF100" s="1531"/>
      <c r="AG100" s="1534"/>
      <c r="AH100" s="1531"/>
      <c r="AI100" s="1546"/>
      <c r="AJ100" s="1531"/>
      <c r="AK100" s="1531"/>
      <c r="AL100" s="1531"/>
      <c r="AM100" s="1531"/>
      <c r="AN100" s="1531"/>
      <c r="AO100" s="1531"/>
      <c r="AP100" s="1531"/>
      <c r="AQ100" s="1535"/>
      <c r="AR100" s="1534"/>
      <c r="AS100" s="1535"/>
      <c r="AT100" s="1534"/>
      <c r="AU100" s="1535"/>
      <c r="AV100" s="1534"/>
      <c r="AW100" s="1535"/>
      <c r="AX100" s="1534"/>
      <c r="AY100" s="1535"/>
      <c r="AZ100" s="1534"/>
      <c r="BA100" s="1535"/>
      <c r="BB100" s="1534"/>
      <c r="BC100" s="1535"/>
      <c r="BD100" s="1534"/>
      <c r="BE100" s="1535"/>
      <c r="BF100" s="1534"/>
      <c r="BG100" s="1535"/>
      <c r="BH100" s="1534"/>
      <c r="BI100" s="1535"/>
      <c r="BJ100" s="1534"/>
      <c r="BK100" s="1535"/>
      <c r="BL100" s="1535"/>
      <c r="BM100" s="1531"/>
      <c r="BN100" s="898" t="str">
        <f t="shared" si="142"/>
        <v/>
      </c>
      <c r="BO100" s="898" t="str">
        <f>IFERROR(IF(AND(O100="",O100&lt;&gt;""),1913,VLOOKUP(O100,Valid!$B$99:$J$120,9)),"")</f>
        <v/>
      </c>
      <c r="BP100" s="898" t="str">
        <f t="shared" ca="1" si="143"/>
        <v/>
      </c>
      <c r="BQ100" s="1547" t="str">
        <f t="shared" ca="1" si="148"/>
        <v/>
      </c>
      <c r="BR100" s="898"/>
      <c r="BS100" s="898" t="str">
        <f t="shared" si="144"/>
        <v/>
      </c>
      <c r="BT100" s="898" t="str">
        <f t="shared" si="145"/>
        <v/>
      </c>
      <c r="BU100" s="1539" t="str">
        <f>IFERROR(IF(AND(#REF!="",C100&lt;&gt;""),Valid!$E$123,VLOOKUP(#REF!,Valid!$B$123:$F$125,4,FALSE)),"")</f>
        <v/>
      </c>
      <c r="BV100" s="1539" t="str">
        <f>IFERROR(IF(AND(#REF!="",C100&lt;&gt;""),Valid!$F$123,VLOOKUP(#REF!,Valid!$B$123:$F$125,5,FALSE)),"")</f>
        <v/>
      </c>
      <c r="BW100" s="1539" t="str">
        <f>IFERROR(VLOOKUP('A-70 RevVehInv'!S100,Valid!$B$99:$I$120,7), "")</f>
        <v/>
      </c>
      <c r="BX100" s="1539" t="str">
        <f>IFERROR(VLOOKUP(O100,Valid!$B$99:$I$120,8), "")</f>
        <v/>
      </c>
      <c r="BY100" s="1531"/>
    </row>
    <row r="101" spans="1:77" s="930" customFormat="1" x14ac:dyDescent="0.2">
      <c r="A101" s="206">
        <v>45</v>
      </c>
      <c r="B101" s="1530">
        <v>45</v>
      </c>
      <c r="C101" s="933"/>
      <c r="D101" s="719" t="str">
        <f>IF(C99="","",IF((C101=""),"Enter RVI ID. then Fill in Columns "&amp;TEXT($I$2,0)&amp;" - "&amp;TEXT($AI$2,0)&amp;"       ",""))</f>
        <v/>
      </c>
      <c r="E101" s="1056" t="str">
        <f>IF(AP101="N/A","",AP101)</f>
        <v/>
      </c>
      <c r="F101" s="1536"/>
      <c r="G101" s="1536"/>
      <c r="H101" s="1536"/>
      <c r="I101" s="1023"/>
      <c r="J101" s="1536" t="str">
        <f>IF(E101&lt;&gt;"","Vehicles?    ","")</f>
        <v/>
      </c>
      <c r="K101" s="1023"/>
      <c r="L101" s="1536" t="str">
        <f>IF(E101&lt;&gt;"","Active Vehicles?     ","")</f>
        <v/>
      </c>
      <c r="M101" s="1023"/>
      <c r="N101" s="894"/>
      <c r="O101" s="1153"/>
      <c r="P101" s="252" t="str">
        <f>IF(E101&lt;&gt;"","Select from Pull-Down List    ","")</f>
        <v/>
      </c>
      <c r="Q101" s="933"/>
      <c r="R101" s="252" t="str">
        <f>IF(E101&lt;&gt;"","Select from Pull-Down List    ","")</f>
        <v/>
      </c>
      <c r="S101" s="1766" t="str">
        <f t="shared" si="136"/>
        <v/>
      </c>
      <c r="T101" s="252"/>
      <c r="U101" s="1988"/>
      <c r="V101" s="252" t="str">
        <f t="shared" si="137"/>
        <v/>
      </c>
      <c r="W101" s="139"/>
      <c r="X101" s="252" t="str">
        <f>IF(E101&lt;&gt;"","Mfg. Yr?    ","")</f>
        <v/>
      </c>
      <c r="Y101" s="1974" t="str">
        <f t="shared" si="146"/>
        <v/>
      </c>
      <c r="Z101" s="252"/>
      <c r="AA101" s="1986" t="str">
        <f t="shared" si="147"/>
        <v/>
      </c>
      <c r="AB101" s="252" t="str">
        <f>IF(E101&lt;&gt;"","Select from Pull-Down List    ","")</f>
        <v/>
      </c>
      <c r="AC101" s="1023"/>
      <c r="AD101" s="252" t="str">
        <f>IF(E101&lt;&gt;"","Feet?    ","")</f>
        <v/>
      </c>
      <c r="AE101" s="1023"/>
      <c r="AF101" s="252" t="str">
        <f>IF(E101&lt;&gt;"","Mileage?       ","")</f>
        <v/>
      </c>
      <c r="AG101" s="1023"/>
      <c r="AH101" s="252" t="str">
        <f>IF(E101&lt;&gt;"","Avg. Lifetime Mileage? ","")</f>
        <v/>
      </c>
      <c r="AI101" s="933"/>
      <c r="AJ101" s="252" t="str">
        <f>IF(E101&lt;&gt;"","Select from Pull-Down List    ","")</f>
        <v/>
      </c>
      <c r="AK101" s="171"/>
      <c r="AL101" s="252"/>
      <c r="AM101" s="894"/>
      <c r="AN101" s="894"/>
      <c r="AO101" s="894" t="b">
        <f>IF(AND(C101="",C103&lt;&gt;""),TRUE,FALSE)</f>
        <v>0</v>
      </c>
      <c r="AP101" s="888" t="str">
        <f t="shared" ref="AP101" si="193">IF(AND(C101&lt;&gt;"",OR(I101="",K101="",M101="",O101="",Q101="",W101="",AC101="",AE101="",AG101="")),"No",IF(AND(C101="",OR(I101&lt;&gt;"",K101&lt;&gt;"",M101&lt;&gt;"",O101&lt;&gt;"",Q101&lt;&gt;"",W101&lt;&gt;"",AC101&lt;&gt;"",AE101&lt;&gt;"",AG101&lt;&gt;"",AI101&lt;&gt;"",AK101&lt;&gt;"")),"No",IF(AND(C101="",I101="",K101="",M101="",O101="",Q101="",W101="",AC101="",AE101="",AG101="",AI101=""),"N/A","Yes")))</f>
        <v>N/A</v>
      </c>
      <c r="AQ101" s="898"/>
      <c r="AR101" s="899" t="b">
        <f t="shared" ref="AR101" si="194">IF(AND(OR(I101&lt;&gt;"",K101&lt;&gt;"",M101&lt;&gt;"",O101&lt;&gt;"",Q101&lt;&gt;"",W101&lt;&gt;"",AC101&lt;&gt;"",AE101&lt;&gt;"",AG101&lt;&gt;"",AI101&lt;&gt;"",AK101&lt;&gt;""),C101=""),TRUE,FALSE)</f>
        <v>0</v>
      </c>
      <c r="AS101" s="898" t="b">
        <f t="shared" ref="AS101" si="195">IF(AT101=TRUE,FALSE,IF(SUM(K101)&gt;I101,TRUE,FALSE))</f>
        <v>0</v>
      </c>
      <c r="AT101" s="899" t="b">
        <f>IF(AND(C101&lt;&gt;"",I101=""),TRUE,FALSE)</f>
        <v>0</v>
      </c>
      <c r="AU101" s="898" t="b">
        <f>IF(AV101=TRUE,FALSE,IF(M101&gt;K101,TRUE,FALSE))</f>
        <v>0</v>
      </c>
      <c r="AV101" s="899" t="b">
        <f>IF(AND($C101&lt;&gt;"",K101=""),TRUE,FALSE)</f>
        <v>0</v>
      </c>
      <c r="AW101" s="898"/>
      <c r="AX101" s="899" t="b">
        <f>IF(AND($C101&lt;&gt;"",M101=""),TRUE,FALSE)</f>
        <v>0</v>
      </c>
      <c r="AY101" s="898" t="b">
        <f t="shared" ref="AY101" si="196">IF(AND(O101="",OR(Q101&lt;&gt;"",W101&lt;&gt;"",AC101&lt;&gt;"",AE101&lt;&gt;"",AG101&lt;&gt;"",AI101&lt;&gt;"")),TRUE,FALSE)</f>
        <v>0</v>
      </c>
      <c r="AZ101" s="899" t="b">
        <f>IF(AND($C101&lt;&gt;"",O101=""),TRUE,FALSE)</f>
        <v>0</v>
      </c>
      <c r="BA101" s="898"/>
      <c r="BB101" s="899" t="b">
        <f>IF(AND($C101&lt;&gt;"",Q101=""),TRUE,FALSE)</f>
        <v>0</v>
      </c>
      <c r="BC101" s="1537" t="b">
        <f>IF(BD101=TRUE,FALSE,IF(W101="",FALSE,IF(OR(W101&lt;BO101,W101&gt;BaseYear),TRUE,FALSE)))</f>
        <v>0</v>
      </c>
      <c r="BD101" s="899" t="b">
        <f>IF(AND($C101&lt;&gt;"",W101=""),TRUE,FALSE)</f>
        <v>0</v>
      </c>
      <c r="BE101" s="1537"/>
      <c r="BF101" s="899" t="b">
        <f>IF(AND($C101&lt;&gt;"",AC101=""),TRUE,FALSE)</f>
        <v>0</v>
      </c>
      <c r="BG101" s="898"/>
      <c r="BH101" s="899" t="b">
        <f>IF(AND($C101&lt;&gt;"",AE101=""),TRUE,FALSE)</f>
        <v>0</v>
      </c>
      <c r="BI101" s="898"/>
      <c r="BJ101" s="899" t="b">
        <f>IF(AND($C101&lt;&gt;"",AG101=""),TRUE,FALSE)</f>
        <v>0</v>
      </c>
      <c r="BK101" s="898"/>
      <c r="BL101" s="898" t="b">
        <f>IF(AND($C101&lt;&gt;"",AI101=""),TRUE,FALSE)</f>
        <v>0</v>
      </c>
      <c r="BM101" s="894"/>
      <c r="BN101" s="898" t="str">
        <f t="shared" si="142"/>
        <v/>
      </c>
      <c r="BO101" s="898" t="str">
        <f>IFERROR(IF(AND(O101="",O101&lt;&gt;""),1913,VLOOKUP(O101,Valid!$B$99:$J$120,9)),"")</f>
        <v/>
      </c>
      <c r="BP101" s="898" t="str">
        <f t="shared" ca="1" si="143"/>
        <v/>
      </c>
      <c r="BQ101" s="1547" t="str">
        <f t="shared" ca="1" si="148"/>
        <v/>
      </c>
      <c r="BR101" s="898" t="str">
        <f ca="1">IF(BQ101="", "", IF(1+(BQ101*4)&lt;1, 1, 1+(BQ101*4)))</f>
        <v/>
      </c>
      <c r="BS101" s="898" t="str">
        <f t="shared" si="144"/>
        <v/>
      </c>
      <c r="BT101" s="898" t="str">
        <f t="shared" si="145"/>
        <v/>
      </c>
      <c r="BU101" s="1539" t="str">
        <f>IFERROR(IF(AND(#REF!="",C101&lt;&gt;""),Valid!$E$123,VLOOKUP(#REF!,Valid!$B$123:$F$125,4,FALSE)),"")</f>
        <v/>
      </c>
      <c r="BV101" s="1539" t="str">
        <f>IFERROR(IF(AND(#REF!="",C101&lt;&gt;""),Valid!$F$123,VLOOKUP(#REF!,Valid!$B$123:$F$125,5,FALSE)),"")</f>
        <v/>
      </c>
      <c r="BW101" s="1539" t="str">
        <f>IFERROR(VLOOKUP('A-70 RevVehInv'!S101,Valid!$B$99:$I$120,7), "")</f>
        <v/>
      </c>
      <c r="BX101" s="1539" t="str">
        <f>IFERROR(VLOOKUP(O101,Valid!$B$99:$I$120,8), "")</f>
        <v/>
      </c>
      <c r="BY101" s="894"/>
    </row>
    <row r="102" spans="1:77" ht="6.75" customHeight="1" x14ac:dyDescent="0.2">
      <c r="A102" s="1517"/>
      <c r="B102" s="1530">
        <v>45.5</v>
      </c>
      <c r="C102" s="1540"/>
      <c r="D102" s="905"/>
      <c r="E102" s="1541"/>
      <c r="F102" s="905"/>
      <c r="G102" s="905"/>
      <c r="H102" s="905"/>
      <c r="I102" s="1534"/>
      <c r="J102" s="905"/>
      <c r="K102" s="1534"/>
      <c r="L102" s="905"/>
      <c r="M102" s="1534"/>
      <c r="N102" s="1531"/>
      <c r="O102" s="1542"/>
      <c r="P102" s="905"/>
      <c r="Q102" s="1542"/>
      <c r="R102" s="905"/>
      <c r="S102" s="1534" t="str">
        <f t="shared" si="136"/>
        <v/>
      </c>
      <c r="T102" s="905"/>
      <c r="U102" s="1534"/>
      <c r="V102" s="252" t="str">
        <f t="shared" si="137"/>
        <v/>
      </c>
      <c r="W102" s="1534"/>
      <c r="X102" s="905"/>
      <c r="Y102" s="1973" t="str">
        <f t="shared" si="146"/>
        <v/>
      </c>
      <c r="Z102" s="905"/>
      <c r="AA102" s="1985" t="str">
        <f t="shared" si="147"/>
        <v/>
      </c>
      <c r="AB102" s="1531"/>
      <c r="AC102" s="1534"/>
      <c r="AD102" s="1531"/>
      <c r="AE102" s="1534"/>
      <c r="AF102" s="1531"/>
      <c r="AG102" s="1534"/>
      <c r="AH102" s="1531"/>
      <c r="AI102" s="1543"/>
      <c r="AJ102" s="1531"/>
      <c r="AK102" s="1534"/>
      <c r="AL102" s="1531"/>
      <c r="AM102" s="1531"/>
      <c r="AN102" s="1531"/>
      <c r="AO102" s="1531"/>
      <c r="AP102" s="1531"/>
      <c r="AQ102" s="1535"/>
      <c r="AR102" s="1534"/>
      <c r="AS102" s="1535"/>
      <c r="AT102" s="1534"/>
      <c r="AU102" s="1535"/>
      <c r="AV102" s="1534"/>
      <c r="AW102" s="1535"/>
      <c r="AX102" s="1534"/>
      <c r="AY102" s="1535"/>
      <c r="AZ102" s="1534"/>
      <c r="BA102" s="1535"/>
      <c r="BB102" s="1534"/>
      <c r="BC102" s="1535"/>
      <c r="BD102" s="1534"/>
      <c r="BE102" s="1535"/>
      <c r="BF102" s="1534"/>
      <c r="BG102" s="1535"/>
      <c r="BH102" s="1534"/>
      <c r="BI102" s="1535"/>
      <c r="BJ102" s="1534"/>
      <c r="BK102" s="1535"/>
      <c r="BL102" s="1535"/>
      <c r="BM102" s="1531"/>
      <c r="BN102" s="898" t="str">
        <f t="shared" si="142"/>
        <v/>
      </c>
      <c r="BO102" s="898" t="str">
        <f>IFERROR(IF(AND(O102="",O102&lt;&gt;""),1913,VLOOKUP(O102,Valid!$B$99:$J$120,9)),"")</f>
        <v/>
      </c>
      <c r="BP102" s="898" t="str">
        <f t="shared" ca="1" si="143"/>
        <v/>
      </c>
      <c r="BQ102" s="1547" t="str">
        <f t="shared" ca="1" si="148"/>
        <v/>
      </c>
      <c r="BR102" s="898"/>
      <c r="BS102" s="898" t="str">
        <f t="shared" si="144"/>
        <v/>
      </c>
      <c r="BT102" s="898" t="str">
        <f t="shared" si="145"/>
        <v/>
      </c>
      <c r="BU102" s="1539" t="str">
        <f>IFERROR(IF(AND(#REF!="",C102&lt;&gt;""),Valid!$E$123,VLOOKUP(#REF!,Valid!$B$123:$F$125,4,FALSE)),"")</f>
        <v/>
      </c>
      <c r="BV102" s="1539" t="str">
        <f>IFERROR(IF(AND(#REF!="",C102&lt;&gt;""),Valid!$F$123,VLOOKUP(#REF!,Valid!$B$123:$F$125,5,FALSE)),"")</f>
        <v/>
      </c>
      <c r="BW102" s="1539" t="str">
        <f>IFERROR(VLOOKUP('A-70 RevVehInv'!S102,Valid!$B$99:$I$120,7), "")</f>
        <v/>
      </c>
      <c r="BX102" s="1539" t="str">
        <f>IFERROR(VLOOKUP(O102,Valid!$B$99:$I$120,8), "")</f>
        <v/>
      </c>
      <c r="BY102" s="1531"/>
    </row>
    <row r="103" spans="1:77" s="930" customFormat="1" x14ac:dyDescent="0.2">
      <c r="A103" s="206">
        <v>46</v>
      </c>
      <c r="B103" s="1530">
        <v>46</v>
      </c>
      <c r="C103" s="933"/>
      <c r="D103" s="719" t="str">
        <f>IF(C101="","",IF((C103=""),"Enter RVI ID. then Fill in Columns "&amp;TEXT($I$2,0)&amp;" - "&amp;TEXT($AI$2,0)&amp;"       ",""))</f>
        <v/>
      </c>
      <c r="E103" s="1056" t="str">
        <f>IF(AP103="N/A","",AP103)</f>
        <v/>
      </c>
      <c r="F103" s="1536"/>
      <c r="G103" s="1536"/>
      <c r="H103" s="1536"/>
      <c r="I103" s="1023"/>
      <c r="J103" s="1536" t="str">
        <f>IF(E103&lt;&gt;"","Vehicles?    ","")</f>
        <v/>
      </c>
      <c r="K103" s="1023"/>
      <c r="L103" s="1536" t="str">
        <f>IF(E103&lt;&gt;"","Active Vehicles?     ","")</f>
        <v/>
      </c>
      <c r="M103" s="1023"/>
      <c r="N103" s="894"/>
      <c r="O103" s="1153"/>
      <c r="P103" s="252" t="str">
        <f>IF(E103&lt;&gt;"","Select from Pull-Down List    ","")</f>
        <v/>
      </c>
      <c r="Q103" s="933"/>
      <c r="R103" s="252" t="str">
        <f>IF(E103&lt;&gt;"","Select from Pull-Down List    ","")</f>
        <v/>
      </c>
      <c r="S103" s="1766" t="str">
        <f t="shared" si="136"/>
        <v/>
      </c>
      <c r="T103" s="252"/>
      <c r="U103" s="1988"/>
      <c r="V103" s="252" t="str">
        <f t="shared" si="137"/>
        <v/>
      </c>
      <c r="W103" s="139"/>
      <c r="X103" s="252" t="str">
        <f>IF(E103&lt;&gt;"","Mfg. Yr?    ","")</f>
        <v/>
      </c>
      <c r="Y103" s="1974" t="str">
        <f t="shared" si="146"/>
        <v/>
      </c>
      <c r="Z103" s="252"/>
      <c r="AA103" s="1986" t="str">
        <f t="shared" si="147"/>
        <v/>
      </c>
      <c r="AB103" s="252" t="str">
        <f>IF(E103&lt;&gt;"","Select from Pull-Down List    ","")</f>
        <v/>
      </c>
      <c r="AC103" s="1023"/>
      <c r="AD103" s="252" t="str">
        <f>IF(E103&lt;&gt;"","Feet?    ","")</f>
        <v/>
      </c>
      <c r="AE103" s="1023"/>
      <c r="AF103" s="252" t="str">
        <f>IF(E103&lt;&gt;"","Mileage?       ","")</f>
        <v/>
      </c>
      <c r="AG103" s="1023"/>
      <c r="AH103" s="252" t="str">
        <f>IF(E103&lt;&gt;"","Avg. Lifetime Mileage? ","")</f>
        <v/>
      </c>
      <c r="AI103" s="933"/>
      <c r="AJ103" s="252" t="str">
        <f>IF(E103&lt;&gt;"","Select from Pull-Down List    ","")</f>
        <v/>
      </c>
      <c r="AK103" s="171"/>
      <c r="AL103" s="252"/>
      <c r="AM103" s="894"/>
      <c r="AN103" s="894"/>
      <c r="AO103" s="894" t="b">
        <f>IF(AND(C103="",C105&lt;&gt;""),TRUE,FALSE)</f>
        <v>0</v>
      </c>
      <c r="AP103" s="888" t="str">
        <f t="shared" ref="AP103" si="197">IF(AND(C103&lt;&gt;"",OR(I103="",K103="",M103="",O103="",Q103="",W103="",AC103="",AE103="",AG103="")),"No",IF(AND(C103="",OR(I103&lt;&gt;"",K103&lt;&gt;"",M103&lt;&gt;"",O103&lt;&gt;"",Q103&lt;&gt;"",W103&lt;&gt;"",AC103&lt;&gt;"",AE103&lt;&gt;"",AG103&lt;&gt;"",AI103&lt;&gt;"",AK103&lt;&gt;"")),"No",IF(AND(C103="",I103="",K103="",M103="",O103="",Q103="",W103="",AC103="",AE103="",AG103="",AI103=""),"N/A","Yes")))</f>
        <v>N/A</v>
      </c>
      <c r="AQ103" s="898"/>
      <c r="AR103" s="899" t="b">
        <f t="shared" ref="AR103" si="198">IF(AND(OR(I103&lt;&gt;"",K103&lt;&gt;"",M103&lt;&gt;"",O103&lt;&gt;"",Q103&lt;&gt;"",W103&lt;&gt;"",AC103&lt;&gt;"",AE103&lt;&gt;"",AG103&lt;&gt;"",AI103&lt;&gt;"",AK103&lt;&gt;""),C103=""),TRUE,FALSE)</f>
        <v>0</v>
      </c>
      <c r="AS103" s="898" t="b">
        <f t="shared" ref="AS103" si="199">IF(AT103=TRUE,FALSE,IF(SUM(K103)&gt;I103,TRUE,FALSE))</f>
        <v>0</v>
      </c>
      <c r="AT103" s="899" t="b">
        <f>IF(AND(C103&lt;&gt;"",I103=""),TRUE,FALSE)</f>
        <v>0</v>
      </c>
      <c r="AU103" s="898" t="b">
        <f>IF(AV103=TRUE,FALSE,IF(M103&gt;K103,TRUE,FALSE))</f>
        <v>0</v>
      </c>
      <c r="AV103" s="899" t="b">
        <f>IF(AND($C103&lt;&gt;"",K103=""),TRUE,FALSE)</f>
        <v>0</v>
      </c>
      <c r="AW103" s="898"/>
      <c r="AX103" s="899" t="b">
        <f>IF(AND($C103&lt;&gt;"",M103=""),TRUE,FALSE)</f>
        <v>0</v>
      </c>
      <c r="AY103" s="898" t="b">
        <f t="shared" ref="AY103" si="200">IF(AND(O103="",OR(Q103&lt;&gt;"",W103&lt;&gt;"",AC103&lt;&gt;"",AE103&lt;&gt;"",AG103&lt;&gt;"",AI103&lt;&gt;"")),TRUE,FALSE)</f>
        <v>0</v>
      </c>
      <c r="AZ103" s="899" t="b">
        <f>IF(AND($C103&lt;&gt;"",O103=""),TRUE,FALSE)</f>
        <v>0</v>
      </c>
      <c r="BA103" s="898"/>
      <c r="BB103" s="899" t="b">
        <f>IF(AND($C103&lt;&gt;"",Q103=""),TRUE,FALSE)</f>
        <v>0</v>
      </c>
      <c r="BC103" s="1537" t="b">
        <f>IF(BD103=TRUE,FALSE,IF(W103="",FALSE,IF(OR(W103&lt;BO103,W103&gt;BaseYear),TRUE,FALSE)))</f>
        <v>0</v>
      </c>
      <c r="BD103" s="899" t="b">
        <f>IF(AND($C103&lt;&gt;"",W103=""),TRUE,FALSE)</f>
        <v>0</v>
      </c>
      <c r="BE103" s="1537"/>
      <c r="BF103" s="899" t="b">
        <f>IF(AND($C103&lt;&gt;"",AC103=""),TRUE,FALSE)</f>
        <v>0</v>
      </c>
      <c r="BG103" s="898"/>
      <c r="BH103" s="899" t="b">
        <f>IF(AND($C103&lt;&gt;"",AE103=""),TRUE,FALSE)</f>
        <v>0</v>
      </c>
      <c r="BI103" s="898"/>
      <c r="BJ103" s="899" t="b">
        <f>IF(AND($C103&lt;&gt;"",AG103=""),TRUE,FALSE)</f>
        <v>0</v>
      </c>
      <c r="BK103" s="898"/>
      <c r="BL103" s="898" t="b">
        <f>IF(AND($C103&lt;&gt;"",AI103=""),TRUE,FALSE)</f>
        <v>0</v>
      </c>
      <c r="BM103" s="894"/>
      <c r="BN103" s="898" t="str">
        <f t="shared" si="142"/>
        <v/>
      </c>
      <c r="BO103" s="898" t="str">
        <f>IFERROR(IF(AND(O103="",O103&lt;&gt;""),1913,VLOOKUP(O103,Valid!$B$99:$J$120,9)),"")</f>
        <v/>
      </c>
      <c r="BP103" s="898" t="str">
        <f t="shared" ca="1" si="143"/>
        <v/>
      </c>
      <c r="BQ103" s="1547" t="str">
        <f t="shared" ca="1" si="148"/>
        <v/>
      </c>
      <c r="BR103" s="898" t="str">
        <f ca="1">IF(BQ103="", "", IF(1+(BQ103*4)&lt;1, 1, 1+(BQ103*4)))</f>
        <v/>
      </c>
      <c r="BS103" s="898" t="str">
        <f t="shared" si="144"/>
        <v/>
      </c>
      <c r="BT103" s="898" t="str">
        <f t="shared" si="145"/>
        <v/>
      </c>
      <c r="BU103" s="1539" t="str">
        <f>IFERROR(IF(AND(#REF!="",C103&lt;&gt;""),Valid!$E$123,VLOOKUP(#REF!,Valid!$B$123:$F$125,4,FALSE)),"")</f>
        <v/>
      </c>
      <c r="BV103" s="1539" t="str">
        <f>IFERROR(IF(AND(#REF!="",C103&lt;&gt;""),Valid!$F$123,VLOOKUP(#REF!,Valid!$B$123:$F$125,5,FALSE)),"")</f>
        <v/>
      </c>
      <c r="BW103" s="1539" t="str">
        <f>IFERROR(VLOOKUP('A-70 RevVehInv'!S103,Valid!$B$99:$I$120,7), "")</f>
        <v/>
      </c>
      <c r="BX103" s="1539" t="str">
        <f>IFERROR(VLOOKUP(O103,Valid!$B$99:$I$120,8), "")</f>
        <v/>
      </c>
      <c r="BY103" s="894"/>
    </row>
    <row r="104" spans="1:77" ht="6.75" customHeight="1" x14ac:dyDescent="0.2">
      <c r="A104" s="1517"/>
      <c r="B104" s="1530">
        <v>46.5</v>
      </c>
      <c r="C104" s="1544"/>
      <c r="D104" s="905"/>
      <c r="E104" s="1545"/>
      <c r="F104" s="905"/>
      <c r="G104" s="905"/>
      <c r="H104" s="905"/>
      <c r="I104" s="1531"/>
      <c r="J104" s="905"/>
      <c r="K104" s="1531"/>
      <c r="L104" s="905"/>
      <c r="M104" s="1531"/>
      <c r="N104" s="1531"/>
      <c r="O104" s="1533"/>
      <c r="P104" s="905"/>
      <c r="Q104" s="1533"/>
      <c r="R104" s="905"/>
      <c r="S104" s="1531" t="str">
        <f t="shared" si="136"/>
        <v/>
      </c>
      <c r="T104" s="905"/>
      <c r="U104" s="1531"/>
      <c r="V104" s="252" t="str">
        <f t="shared" si="137"/>
        <v/>
      </c>
      <c r="W104" s="1531"/>
      <c r="X104" s="905"/>
      <c r="Y104" s="1971" t="str">
        <f t="shared" si="146"/>
        <v/>
      </c>
      <c r="Z104" s="905"/>
      <c r="AA104" s="1983" t="str">
        <f t="shared" si="147"/>
        <v/>
      </c>
      <c r="AB104" s="1531"/>
      <c r="AC104" s="1531"/>
      <c r="AD104" s="1531"/>
      <c r="AE104" s="1531"/>
      <c r="AF104" s="1531"/>
      <c r="AG104" s="1534"/>
      <c r="AH104" s="1531"/>
      <c r="AI104" s="1546"/>
      <c r="AJ104" s="1531"/>
      <c r="AK104" s="1531"/>
      <c r="AL104" s="1531"/>
      <c r="AM104" s="1531"/>
      <c r="AN104" s="1531"/>
      <c r="AO104" s="1531"/>
      <c r="AP104" s="1531"/>
      <c r="AQ104" s="1535"/>
      <c r="AR104" s="1534"/>
      <c r="AS104" s="1535"/>
      <c r="AT104" s="1534"/>
      <c r="AU104" s="1535"/>
      <c r="AV104" s="1534"/>
      <c r="AW104" s="1535"/>
      <c r="AX104" s="1534"/>
      <c r="AY104" s="1535"/>
      <c r="AZ104" s="1534"/>
      <c r="BA104" s="1535"/>
      <c r="BB104" s="1534"/>
      <c r="BC104" s="1535"/>
      <c r="BD104" s="1534"/>
      <c r="BE104" s="1535"/>
      <c r="BF104" s="1534"/>
      <c r="BG104" s="1535"/>
      <c r="BH104" s="1534"/>
      <c r="BI104" s="1535"/>
      <c r="BJ104" s="1534"/>
      <c r="BK104" s="1535"/>
      <c r="BL104" s="1535"/>
      <c r="BM104" s="1531"/>
      <c r="BN104" s="898" t="str">
        <f t="shared" si="142"/>
        <v/>
      </c>
      <c r="BO104" s="898" t="str">
        <f>IFERROR(IF(AND(O104="",O104&lt;&gt;""),1913,VLOOKUP(O104,Valid!$B$99:$J$120,9)),"")</f>
        <v/>
      </c>
      <c r="BP104" s="898" t="str">
        <f t="shared" ca="1" si="143"/>
        <v/>
      </c>
      <c r="BQ104" s="1547" t="str">
        <f t="shared" ca="1" si="148"/>
        <v/>
      </c>
      <c r="BR104" s="898"/>
      <c r="BS104" s="898" t="str">
        <f t="shared" si="144"/>
        <v/>
      </c>
      <c r="BT104" s="898" t="str">
        <f t="shared" si="145"/>
        <v/>
      </c>
      <c r="BU104" s="1539" t="str">
        <f>IFERROR(IF(AND(#REF!="",C104&lt;&gt;""),Valid!$E$123,VLOOKUP(#REF!,Valid!$B$123:$F$125,4,FALSE)),"")</f>
        <v/>
      </c>
      <c r="BV104" s="1539" t="str">
        <f>IFERROR(IF(AND(#REF!="",C104&lt;&gt;""),Valid!$F$123,VLOOKUP(#REF!,Valid!$B$123:$F$125,5,FALSE)),"")</f>
        <v/>
      </c>
      <c r="BW104" s="1539" t="str">
        <f>IFERROR(VLOOKUP('A-70 RevVehInv'!S104,Valid!$B$99:$I$120,7), "")</f>
        <v/>
      </c>
      <c r="BX104" s="1539" t="str">
        <f>IFERROR(VLOOKUP(O104,Valid!$B$99:$I$120,8), "")</f>
        <v/>
      </c>
      <c r="BY104" s="1531"/>
    </row>
    <row r="105" spans="1:77" s="930" customFormat="1" x14ac:dyDescent="0.2">
      <c r="A105" s="206">
        <v>47</v>
      </c>
      <c r="B105" s="1530">
        <v>47</v>
      </c>
      <c r="C105" s="933"/>
      <c r="D105" s="719" t="str">
        <f>IF(C103="","",IF((C105=""),"Enter RVI ID. then Fill in Columns "&amp;TEXT($I$2,0)&amp;" - "&amp;TEXT($AI$2,0)&amp;"       ",""))</f>
        <v/>
      </c>
      <c r="E105" s="1056" t="str">
        <f>IF(AP105="N/A","",AP105)</f>
        <v/>
      </c>
      <c r="F105" s="1536"/>
      <c r="G105" s="1536"/>
      <c r="H105" s="1536"/>
      <c r="I105" s="1023"/>
      <c r="J105" s="1536" t="str">
        <f>IF(E105&lt;&gt;"","Vehicles?    ","")</f>
        <v/>
      </c>
      <c r="K105" s="1023"/>
      <c r="L105" s="1536" t="str">
        <f>IF(E105&lt;&gt;"","Active Vehicles?     ","")</f>
        <v/>
      </c>
      <c r="M105" s="1023"/>
      <c r="N105" s="894"/>
      <c r="O105" s="1153"/>
      <c r="P105" s="252" t="str">
        <f>IF(E105&lt;&gt;"","Select from Pull-Down List    ","")</f>
        <v/>
      </c>
      <c r="Q105" s="933"/>
      <c r="R105" s="252" t="str">
        <f>IF(E105&lt;&gt;"","Select from Pull-Down List    ","")</f>
        <v/>
      </c>
      <c r="S105" s="1766" t="str">
        <f t="shared" si="136"/>
        <v/>
      </c>
      <c r="T105" s="252"/>
      <c r="U105" s="1988"/>
      <c r="V105" s="252" t="str">
        <f t="shared" si="137"/>
        <v/>
      </c>
      <c r="W105" s="139"/>
      <c r="X105" s="252" t="str">
        <f>IF(E105&lt;&gt;"","Mfg. Yr?    ","")</f>
        <v/>
      </c>
      <c r="Y105" s="1974" t="str">
        <f t="shared" si="146"/>
        <v/>
      </c>
      <c r="Z105" s="252"/>
      <c r="AA105" s="1986" t="str">
        <f t="shared" si="147"/>
        <v/>
      </c>
      <c r="AB105" s="252" t="str">
        <f>IF(E105&lt;&gt;"","Select from Pull-Down List    ","")</f>
        <v/>
      </c>
      <c r="AC105" s="1023"/>
      <c r="AD105" s="252" t="str">
        <f>IF(E105&lt;&gt;"","Feet?    ","")</f>
        <v/>
      </c>
      <c r="AE105" s="1023"/>
      <c r="AF105" s="252" t="str">
        <f>IF(E105&lt;&gt;"","Mileage?       ","")</f>
        <v/>
      </c>
      <c r="AG105" s="1023"/>
      <c r="AH105" s="252" t="str">
        <f>IF(E105&lt;&gt;"","Avg. Lifetime Mileage? ","")</f>
        <v/>
      </c>
      <c r="AI105" s="933"/>
      <c r="AJ105" s="252" t="str">
        <f>IF(E105&lt;&gt;"","Select from Pull-Down List    ","")</f>
        <v/>
      </c>
      <c r="AK105" s="171"/>
      <c r="AL105" s="252"/>
      <c r="AM105" s="894"/>
      <c r="AN105" s="894"/>
      <c r="AO105" s="894" t="b">
        <f>IF(AND(C105="",C107&lt;&gt;""),TRUE,FALSE)</f>
        <v>0</v>
      </c>
      <c r="AP105" s="888" t="str">
        <f t="shared" ref="AP105" si="201">IF(AND(C105&lt;&gt;"",OR(I105="",K105="",M105="",O105="",Q105="",W105="",AC105="",AE105="",AG105="")),"No",IF(AND(C105="",OR(I105&lt;&gt;"",K105&lt;&gt;"",M105&lt;&gt;"",O105&lt;&gt;"",Q105&lt;&gt;"",W105&lt;&gt;"",AC105&lt;&gt;"",AE105&lt;&gt;"",AG105&lt;&gt;"",AI105&lt;&gt;"",AK105&lt;&gt;"")),"No",IF(AND(C105="",I105="",K105="",M105="",O105="",Q105="",W105="",AC105="",AE105="",AG105="",AI105=""),"N/A","Yes")))</f>
        <v>N/A</v>
      </c>
      <c r="AQ105" s="898"/>
      <c r="AR105" s="899" t="b">
        <f t="shared" ref="AR105" si="202">IF(AND(OR(I105&lt;&gt;"",K105&lt;&gt;"",M105&lt;&gt;"",O105&lt;&gt;"",Q105&lt;&gt;"",W105&lt;&gt;"",AC105&lt;&gt;"",AE105&lt;&gt;"",AG105&lt;&gt;"",AI105&lt;&gt;"",AK105&lt;&gt;""),C105=""),TRUE,FALSE)</f>
        <v>0</v>
      </c>
      <c r="AS105" s="898" t="b">
        <f t="shared" ref="AS105" si="203">IF(AT105=TRUE,FALSE,IF(SUM(K105)&gt;I105,TRUE,FALSE))</f>
        <v>0</v>
      </c>
      <c r="AT105" s="899" t="b">
        <f>IF(AND(C105&lt;&gt;"",I105=""),TRUE,FALSE)</f>
        <v>0</v>
      </c>
      <c r="AU105" s="898" t="b">
        <f>IF(AV105=TRUE,FALSE,IF(M105&gt;K105,TRUE,FALSE))</f>
        <v>0</v>
      </c>
      <c r="AV105" s="899" t="b">
        <f>IF(AND($C105&lt;&gt;"",K105=""),TRUE,FALSE)</f>
        <v>0</v>
      </c>
      <c r="AW105" s="898"/>
      <c r="AX105" s="899" t="b">
        <f>IF(AND($C105&lt;&gt;"",M105=""),TRUE,FALSE)</f>
        <v>0</v>
      </c>
      <c r="AY105" s="898" t="b">
        <f t="shared" ref="AY105" si="204">IF(AND(O105="",OR(Q105&lt;&gt;"",W105&lt;&gt;"",AC105&lt;&gt;"",AE105&lt;&gt;"",AG105&lt;&gt;"",AI105&lt;&gt;"")),TRUE,FALSE)</f>
        <v>0</v>
      </c>
      <c r="AZ105" s="899" t="b">
        <f>IF(AND($C105&lt;&gt;"",O105=""),TRUE,FALSE)</f>
        <v>0</v>
      </c>
      <c r="BA105" s="898"/>
      <c r="BB105" s="899" t="b">
        <f>IF(AND($C105&lt;&gt;"",Q105=""),TRUE,FALSE)</f>
        <v>0</v>
      </c>
      <c r="BC105" s="1537" t="b">
        <f>IF(BD105=TRUE,FALSE,IF(W105="",FALSE,IF(OR(W105&lt;BO105,W105&gt;BaseYear),TRUE,FALSE)))</f>
        <v>0</v>
      </c>
      <c r="BD105" s="899" t="b">
        <f>IF(AND($C105&lt;&gt;"",W105=""),TRUE,FALSE)</f>
        <v>0</v>
      </c>
      <c r="BE105" s="1537"/>
      <c r="BF105" s="899" t="b">
        <f>IF(AND($C105&lt;&gt;"",AC105=""),TRUE,FALSE)</f>
        <v>0</v>
      </c>
      <c r="BG105" s="898"/>
      <c r="BH105" s="899" t="b">
        <f>IF(AND($C105&lt;&gt;"",AE105=""),TRUE,FALSE)</f>
        <v>0</v>
      </c>
      <c r="BI105" s="898"/>
      <c r="BJ105" s="899" t="b">
        <f>IF(AND($C105&lt;&gt;"",AG105=""),TRUE,FALSE)</f>
        <v>0</v>
      </c>
      <c r="BK105" s="898"/>
      <c r="BL105" s="898" t="b">
        <f>IF(AND($C105&lt;&gt;"",AI105=""),TRUE,FALSE)</f>
        <v>0</v>
      </c>
      <c r="BM105" s="894"/>
      <c r="BN105" s="898" t="str">
        <f t="shared" si="142"/>
        <v/>
      </c>
      <c r="BO105" s="898" t="str">
        <f>IFERROR(IF(AND(O105="",O105&lt;&gt;""),1913,VLOOKUP(O105,Valid!$B$99:$J$120,9)),"")</f>
        <v/>
      </c>
      <c r="BP105" s="898" t="str">
        <f t="shared" ca="1" si="143"/>
        <v/>
      </c>
      <c r="BQ105" s="1547" t="str">
        <f t="shared" ca="1" si="148"/>
        <v/>
      </c>
      <c r="BR105" s="898" t="str">
        <f ca="1">IF(BQ105="", "", IF(1+(BQ105*4)&lt;1, 1, 1+(BQ105*4)))</f>
        <v/>
      </c>
      <c r="BS105" s="898" t="str">
        <f t="shared" si="144"/>
        <v/>
      </c>
      <c r="BT105" s="898" t="str">
        <f t="shared" si="145"/>
        <v/>
      </c>
      <c r="BU105" s="1539" t="str">
        <f>IFERROR(IF(AND(#REF!="",C105&lt;&gt;""),Valid!$E$123,VLOOKUP(#REF!,Valid!$B$123:$F$125,4,FALSE)),"")</f>
        <v/>
      </c>
      <c r="BV105" s="1539" t="str">
        <f>IFERROR(IF(AND(#REF!="",C105&lt;&gt;""),Valid!$F$123,VLOOKUP(#REF!,Valid!$B$123:$F$125,5,FALSE)),"")</f>
        <v/>
      </c>
      <c r="BW105" s="1539" t="str">
        <f>IFERROR(VLOOKUP('A-70 RevVehInv'!S105,Valid!$B$99:$I$120,7), "")</f>
        <v/>
      </c>
      <c r="BX105" s="1539" t="str">
        <f>IFERROR(VLOOKUP(O105,Valid!$B$99:$I$120,8), "")</f>
        <v/>
      </c>
      <c r="BY105" s="894"/>
    </row>
    <row r="106" spans="1:77" ht="6.75" customHeight="1" x14ac:dyDescent="0.2">
      <c r="A106" s="1517"/>
      <c r="B106" s="1530">
        <v>47.5</v>
      </c>
      <c r="C106" s="1540"/>
      <c r="D106" s="905"/>
      <c r="E106" s="1541"/>
      <c r="F106" s="905"/>
      <c r="G106" s="905"/>
      <c r="H106" s="905"/>
      <c r="I106" s="1534"/>
      <c r="J106" s="905"/>
      <c r="K106" s="1534"/>
      <c r="L106" s="905"/>
      <c r="M106" s="1534"/>
      <c r="N106" s="1531"/>
      <c r="O106" s="1542"/>
      <c r="P106" s="905"/>
      <c r="Q106" s="1542"/>
      <c r="R106" s="905"/>
      <c r="S106" s="1534" t="str">
        <f t="shared" si="136"/>
        <v/>
      </c>
      <c r="T106" s="905"/>
      <c r="U106" s="1534"/>
      <c r="V106" s="252" t="str">
        <f t="shared" si="137"/>
        <v/>
      </c>
      <c r="W106" s="1534"/>
      <c r="X106" s="905"/>
      <c r="Y106" s="1973" t="str">
        <f t="shared" si="146"/>
        <v/>
      </c>
      <c r="Z106" s="905"/>
      <c r="AA106" s="1985" t="str">
        <f t="shared" si="147"/>
        <v/>
      </c>
      <c r="AB106" s="1531"/>
      <c r="AC106" s="1534"/>
      <c r="AD106" s="1531"/>
      <c r="AE106" s="1534"/>
      <c r="AF106" s="1531"/>
      <c r="AG106" s="1534"/>
      <c r="AH106" s="1531"/>
      <c r="AI106" s="1543"/>
      <c r="AJ106" s="1531"/>
      <c r="AK106" s="1534"/>
      <c r="AL106" s="1531"/>
      <c r="AM106" s="1531"/>
      <c r="AN106" s="1531"/>
      <c r="AO106" s="1531"/>
      <c r="AP106" s="1531"/>
      <c r="AQ106" s="1535"/>
      <c r="AR106" s="1534"/>
      <c r="AS106" s="1535"/>
      <c r="AT106" s="1534"/>
      <c r="AU106" s="1535"/>
      <c r="AV106" s="1534"/>
      <c r="AW106" s="1535"/>
      <c r="AX106" s="1534"/>
      <c r="AY106" s="1535"/>
      <c r="AZ106" s="1534"/>
      <c r="BA106" s="1535"/>
      <c r="BB106" s="1534"/>
      <c r="BC106" s="1535"/>
      <c r="BD106" s="1534"/>
      <c r="BE106" s="1535"/>
      <c r="BF106" s="1534"/>
      <c r="BG106" s="1535"/>
      <c r="BH106" s="1534"/>
      <c r="BI106" s="1535"/>
      <c r="BJ106" s="1534"/>
      <c r="BK106" s="1535"/>
      <c r="BL106" s="1535"/>
      <c r="BM106" s="1531"/>
      <c r="BN106" s="898" t="str">
        <f t="shared" si="142"/>
        <v/>
      </c>
      <c r="BO106" s="898" t="str">
        <f>IFERROR(IF(AND(O106="",O106&lt;&gt;""),1913,VLOOKUP(O106,Valid!$B$99:$J$120,9)),"")</f>
        <v/>
      </c>
      <c r="BP106" s="898" t="str">
        <f t="shared" ca="1" si="143"/>
        <v/>
      </c>
      <c r="BQ106" s="1547" t="str">
        <f t="shared" ca="1" si="148"/>
        <v/>
      </c>
      <c r="BR106" s="898"/>
      <c r="BS106" s="898" t="str">
        <f t="shared" si="144"/>
        <v/>
      </c>
      <c r="BT106" s="898" t="str">
        <f t="shared" si="145"/>
        <v/>
      </c>
      <c r="BU106" s="1539" t="str">
        <f>IFERROR(IF(AND(#REF!="",C106&lt;&gt;""),Valid!$E$123,VLOOKUP(#REF!,Valid!$B$123:$F$125,4,FALSE)),"")</f>
        <v/>
      </c>
      <c r="BV106" s="1539" t="str">
        <f>IFERROR(IF(AND(#REF!="",C106&lt;&gt;""),Valid!$F$123,VLOOKUP(#REF!,Valid!$B$123:$F$125,5,FALSE)),"")</f>
        <v/>
      </c>
      <c r="BW106" s="1539" t="str">
        <f>IFERROR(VLOOKUP('A-70 RevVehInv'!S106,Valid!$B$99:$I$120,7), "")</f>
        <v/>
      </c>
      <c r="BX106" s="1539" t="str">
        <f>IFERROR(VLOOKUP(O106,Valid!$B$99:$I$120,8), "")</f>
        <v/>
      </c>
      <c r="BY106" s="1531"/>
    </row>
    <row r="107" spans="1:77" s="930" customFormat="1" x14ac:dyDescent="0.2">
      <c r="A107" s="206">
        <v>48</v>
      </c>
      <c r="B107" s="1530">
        <v>48</v>
      </c>
      <c r="C107" s="933"/>
      <c r="D107" s="719" t="str">
        <f>IF(C105="","",IF((C107=""),"Enter RVI ID. then Fill in Columns "&amp;TEXT($I$2,0)&amp;" - "&amp;TEXT($AI$2,0)&amp;"       ",""))</f>
        <v/>
      </c>
      <c r="E107" s="1056" t="str">
        <f>IF(AP107="N/A","",AP107)</f>
        <v/>
      </c>
      <c r="F107" s="1536"/>
      <c r="G107" s="1536"/>
      <c r="H107" s="1536"/>
      <c r="I107" s="1023"/>
      <c r="J107" s="1536" t="str">
        <f>IF(E107&lt;&gt;"","Vehicles?    ","")</f>
        <v/>
      </c>
      <c r="K107" s="1023"/>
      <c r="L107" s="1536" t="str">
        <f>IF(E107&lt;&gt;"","Active Vehicles?     ","")</f>
        <v/>
      </c>
      <c r="M107" s="1023"/>
      <c r="N107" s="894"/>
      <c r="O107" s="1153"/>
      <c r="P107" s="252" t="str">
        <f>IF(E107&lt;&gt;"","Select from Pull-Down List    ","")</f>
        <v/>
      </c>
      <c r="Q107" s="933"/>
      <c r="R107" s="252" t="str">
        <f>IF(E107&lt;&gt;"","Select from Pull-Down List    ","")</f>
        <v/>
      </c>
      <c r="S107" s="1766" t="str">
        <f t="shared" si="136"/>
        <v/>
      </c>
      <c r="T107" s="252"/>
      <c r="U107" s="1988"/>
      <c r="V107" s="252" t="str">
        <f t="shared" si="137"/>
        <v/>
      </c>
      <c r="W107" s="139"/>
      <c r="X107" s="252" t="str">
        <f>IF(E107&lt;&gt;"","Mfg. Yr?    ","")</f>
        <v/>
      </c>
      <c r="Y107" s="1974" t="str">
        <f t="shared" si="146"/>
        <v/>
      </c>
      <c r="Z107" s="252"/>
      <c r="AA107" s="1986" t="str">
        <f t="shared" si="147"/>
        <v/>
      </c>
      <c r="AB107" s="252" t="str">
        <f>IF(E107&lt;&gt;"","Select from Pull-Down List    ","")</f>
        <v/>
      </c>
      <c r="AC107" s="1023"/>
      <c r="AD107" s="252" t="str">
        <f>IF(E107&lt;&gt;"","Feet?    ","")</f>
        <v/>
      </c>
      <c r="AE107" s="1023"/>
      <c r="AF107" s="252" t="str">
        <f>IF(E107&lt;&gt;"","Mileage?       ","")</f>
        <v/>
      </c>
      <c r="AG107" s="1023"/>
      <c r="AH107" s="252" t="str">
        <f>IF(E107&lt;&gt;"","Avg. Lifetime Mileage? ","")</f>
        <v/>
      </c>
      <c r="AI107" s="933"/>
      <c r="AJ107" s="252" t="str">
        <f>IF(E107&lt;&gt;"","Select from Pull-Down List    ","")</f>
        <v/>
      </c>
      <c r="AK107" s="171"/>
      <c r="AL107" s="252"/>
      <c r="AM107" s="894"/>
      <c r="AN107" s="894"/>
      <c r="AO107" s="894" t="b">
        <f>IF(AND(C107="",C109&lt;&gt;""),TRUE,FALSE)</f>
        <v>0</v>
      </c>
      <c r="AP107" s="888" t="str">
        <f t="shared" ref="AP107" si="205">IF(AND(C107&lt;&gt;"",OR(I107="",K107="",M107="",O107="",Q107="",W107="",AC107="",AE107="",AG107="")),"No",IF(AND(C107="",OR(I107&lt;&gt;"",K107&lt;&gt;"",M107&lt;&gt;"",O107&lt;&gt;"",Q107&lt;&gt;"",W107&lt;&gt;"",AC107&lt;&gt;"",AE107&lt;&gt;"",AG107&lt;&gt;"",AI107&lt;&gt;"",AK107&lt;&gt;"")),"No",IF(AND(C107="",I107="",K107="",M107="",O107="",Q107="",W107="",AC107="",AE107="",AG107="",AI107=""),"N/A","Yes")))</f>
        <v>N/A</v>
      </c>
      <c r="AQ107" s="898"/>
      <c r="AR107" s="899" t="b">
        <f t="shared" ref="AR107" si="206">IF(AND(OR(I107&lt;&gt;"",K107&lt;&gt;"",M107&lt;&gt;"",O107&lt;&gt;"",Q107&lt;&gt;"",W107&lt;&gt;"",AC107&lt;&gt;"",AE107&lt;&gt;"",AG107&lt;&gt;"",AI107&lt;&gt;"",AK107&lt;&gt;""),C107=""),TRUE,FALSE)</f>
        <v>0</v>
      </c>
      <c r="AS107" s="898" t="b">
        <f t="shared" ref="AS107" si="207">IF(AT107=TRUE,FALSE,IF(SUM(K107)&gt;I107,TRUE,FALSE))</f>
        <v>0</v>
      </c>
      <c r="AT107" s="899" t="b">
        <f>IF(AND(C107&lt;&gt;"",I107=""),TRUE,FALSE)</f>
        <v>0</v>
      </c>
      <c r="AU107" s="898" t="b">
        <f>IF(AV107=TRUE,FALSE,IF(M107&gt;K107,TRUE,FALSE))</f>
        <v>0</v>
      </c>
      <c r="AV107" s="899" t="b">
        <f>IF(AND($C107&lt;&gt;"",K107=""),TRUE,FALSE)</f>
        <v>0</v>
      </c>
      <c r="AW107" s="898"/>
      <c r="AX107" s="899" t="b">
        <f>IF(AND($C107&lt;&gt;"",M107=""),TRUE,FALSE)</f>
        <v>0</v>
      </c>
      <c r="AY107" s="898" t="b">
        <f t="shared" ref="AY107" si="208">IF(AND(O107="",OR(Q107&lt;&gt;"",W107&lt;&gt;"",AC107&lt;&gt;"",AE107&lt;&gt;"",AG107&lt;&gt;"",AI107&lt;&gt;"")),TRUE,FALSE)</f>
        <v>0</v>
      </c>
      <c r="AZ107" s="899" t="b">
        <f>IF(AND($C107&lt;&gt;"",O107=""),TRUE,FALSE)</f>
        <v>0</v>
      </c>
      <c r="BA107" s="898"/>
      <c r="BB107" s="899" t="b">
        <f>IF(AND($C107&lt;&gt;"",Q107=""),TRUE,FALSE)</f>
        <v>0</v>
      </c>
      <c r="BC107" s="1537" t="b">
        <f>IF(BD107=TRUE,FALSE,IF(W107="",FALSE,IF(OR(W107&lt;BO107,W107&gt;BaseYear),TRUE,FALSE)))</f>
        <v>0</v>
      </c>
      <c r="BD107" s="899" t="b">
        <f>IF(AND($C107&lt;&gt;"",W107=""),TRUE,FALSE)</f>
        <v>0</v>
      </c>
      <c r="BE107" s="1537"/>
      <c r="BF107" s="899" t="b">
        <f>IF(AND($C107&lt;&gt;"",AC107=""),TRUE,FALSE)</f>
        <v>0</v>
      </c>
      <c r="BG107" s="898"/>
      <c r="BH107" s="899" t="b">
        <f>IF(AND($C107&lt;&gt;"",AE107=""),TRUE,FALSE)</f>
        <v>0</v>
      </c>
      <c r="BI107" s="898"/>
      <c r="BJ107" s="899" t="b">
        <f>IF(AND($C107&lt;&gt;"",AG107=""),TRUE,FALSE)</f>
        <v>0</v>
      </c>
      <c r="BK107" s="898"/>
      <c r="BL107" s="898" t="b">
        <f>IF(AND($C107&lt;&gt;"",AI107=""),TRUE,FALSE)</f>
        <v>0</v>
      </c>
      <c r="BM107" s="894"/>
      <c r="BN107" s="898" t="str">
        <f t="shared" si="142"/>
        <v/>
      </c>
      <c r="BO107" s="898" t="str">
        <f>IFERROR(IF(AND(O107="",O107&lt;&gt;""),1913,VLOOKUP(O107,Valid!$B$99:$J$120,9)),"")</f>
        <v/>
      </c>
      <c r="BP107" s="898" t="str">
        <f t="shared" ca="1" si="143"/>
        <v/>
      </c>
      <c r="BQ107" s="1547" t="str">
        <f t="shared" ca="1" si="148"/>
        <v/>
      </c>
      <c r="BR107" s="898" t="str">
        <f ca="1">IF(BQ107="", "", IF(1+(BQ107*4)&lt;1, 1, 1+(BQ107*4)))</f>
        <v/>
      </c>
      <c r="BS107" s="898" t="str">
        <f t="shared" si="144"/>
        <v/>
      </c>
      <c r="BT107" s="898" t="str">
        <f t="shared" si="145"/>
        <v/>
      </c>
      <c r="BU107" s="1539" t="str">
        <f>IFERROR(IF(AND(#REF!="",C107&lt;&gt;""),Valid!$E$123,VLOOKUP(#REF!,Valid!$B$123:$F$125,4,FALSE)),"")</f>
        <v/>
      </c>
      <c r="BV107" s="1539" t="str">
        <f>IFERROR(IF(AND(#REF!="",C107&lt;&gt;""),Valid!$F$123,VLOOKUP(#REF!,Valid!$B$123:$F$125,5,FALSE)),"")</f>
        <v/>
      </c>
      <c r="BW107" s="1539" t="str">
        <f>IFERROR(VLOOKUP('A-70 RevVehInv'!S107,Valid!$B$99:$I$120,7), "")</f>
        <v/>
      </c>
      <c r="BX107" s="1539" t="str">
        <f>IFERROR(VLOOKUP(O107,Valid!$B$99:$I$120,8), "")</f>
        <v/>
      </c>
      <c r="BY107" s="894"/>
    </row>
    <row r="108" spans="1:77" ht="6.75" customHeight="1" x14ac:dyDescent="0.2">
      <c r="A108" s="1517"/>
      <c r="B108" s="1530">
        <v>48.5</v>
      </c>
      <c r="C108" s="1544"/>
      <c r="D108" s="905"/>
      <c r="E108" s="1545"/>
      <c r="F108" s="905"/>
      <c r="G108" s="905"/>
      <c r="H108" s="905"/>
      <c r="I108" s="1531"/>
      <c r="J108" s="905"/>
      <c r="K108" s="1531"/>
      <c r="L108" s="905"/>
      <c r="M108" s="1531"/>
      <c r="N108" s="1531"/>
      <c r="O108" s="1533"/>
      <c r="P108" s="905"/>
      <c r="Q108" s="1533"/>
      <c r="R108" s="905"/>
      <c r="S108" s="1531" t="str">
        <f t="shared" si="136"/>
        <v/>
      </c>
      <c r="T108" s="905"/>
      <c r="U108" s="1531"/>
      <c r="V108" s="252" t="str">
        <f t="shared" si="137"/>
        <v/>
      </c>
      <c r="W108" s="1531"/>
      <c r="X108" s="905"/>
      <c r="Y108" s="1971" t="str">
        <f t="shared" si="146"/>
        <v/>
      </c>
      <c r="Z108" s="905"/>
      <c r="AA108" s="1983" t="str">
        <f t="shared" si="147"/>
        <v/>
      </c>
      <c r="AB108" s="1531"/>
      <c r="AC108" s="1531"/>
      <c r="AD108" s="1531"/>
      <c r="AE108" s="1531"/>
      <c r="AF108" s="1531"/>
      <c r="AG108" s="1534"/>
      <c r="AH108" s="1531"/>
      <c r="AI108" s="1546"/>
      <c r="AJ108" s="1531"/>
      <c r="AK108" s="1531"/>
      <c r="AL108" s="1531"/>
      <c r="AM108" s="1531"/>
      <c r="AN108" s="1531"/>
      <c r="AO108" s="1531"/>
      <c r="AP108" s="1531"/>
      <c r="AQ108" s="1535"/>
      <c r="AR108" s="1534"/>
      <c r="AS108" s="1535"/>
      <c r="AT108" s="1534"/>
      <c r="AU108" s="1535"/>
      <c r="AV108" s="1534"/>
      <c r="AW108" s="1535"/>
      <c r="AX108" s="1534"/>
      <c r="AY108" s="1535"/>
      <c r="AZ108" s="1534"/>
      <c r="BA108" s="1535"/>
      <c r="BB108" s="1534"/>
      <c r="BC108" s="1535"/>
      <c r="BD108" s="1534"/>
      <c r="BE108" s="1535"/>
      <c r="BF108" s="1534"/>
      <c r="BG108" s="1535"/>
      <c r="BH108" s="1534"/>
      <c r="BI108" s="1535"/>
      <c r="BJ108" s="1534"/>
      <c r="BK108" s="1535"/>
      <c r="BL108" s="1535"/>
      <c r="BM108" s="1531"/>
      <c r="BN108" s="898" t="str">
        <f t="shared" si="142"/>
        <v/>
      </c>
      <c r="BO108" s="898" t="str">
        <f>IFERROR(IF(AND(O108="",O108&lt;&gt;""),1913,VLOOKUP(O108,Valid!$B$99:$J$120,9)),"")</f>
        <v/>
      </c>
      <c r="BP108" s="898" t="str">
        <f t="shared" ca="1" si="143"/>
        <v/>
      </c>
      <c r="BQ108" s="1547" t="str">
        <f t="shared" ca="1" si="148"/>
        <v/>
      </c>
      <c r="BR108" s="898"/>
      <c r="BS108" s="898" t="str">
        <f t="shared" si="144"/>
        <v/>
      </c>
      <c r="BT108" s="898" t="str">
        <f t="shared" si="145"/>
        <v/>
      </c>
      <c r="BU108" s="1539" t="str">
        <f>IFERROR(IF(AND(#REF!="",C108&lt;&gt;""),Valid!$E$123,VLOOKUP(#REF!,Valid!$B$123:$F$125,4,FALSE)),"")</f>
        <v/>
      </c>
      <c r="BV108" s="1539" t="str">
        <f>IFERROR(IF(AND(#REF!="",C108&lt;&gt;""),Valid!$F$123,VLOOKUP(#REF!,Valid!$B$123:$F$125,5,FALSE)),"")</f>
        <v/>
      </c>
      <c r="BW108" s="1539" t="str">
        <f>IFERROR(VLOOKUP('A-70 RevVehInv'!S108,Valid!$B$99:$I$120,7), "")</f>
        <v/>
      </c>
      <c r="BX108" s="1539" t="str">
        <f>IFERROR(VLOOKUP(O108,Valid!$B$99:$I$120,8), "")</f>
        <v/>
      </c>
      <c r="BY108" s="1531"/>
    </row>
    <row r="109" spans="1:77" s="930" customFormat="1" x14ac:dyDescent="0.2">
      <c r="A109" s="206">
        <v>49</v>
      </c>
      <c r="B109" s="1530">
        <v>49</v>
      </c>
      <c r="C109" s="933"/>
      <c r="D109" s="719" t="str">
        <f>IF(C107="","",IF((C109=""),"Enter RVI ID. then Fill in Columns "&amp;TEXT($I$2,0)&amp;" - "&amp;TEXT($AI$2,0)&amp;"       ",""))</f>
        <v/>
      </c>
      <c r="E109" s="1056" t="str">
        <f>IF(AP109="N/A","",AP109)</f>
        <v/>
      </c>
      <c r="F109" s="1536"/>
      <c r="G109" s="1536"/>
      <c r="H109" s="1536"/>
      <c r="I109" s="1023"/>
      <c r="J109" s="1536" t="str">
        <f>IF(E109&lt;&gt;"","Vehicles?    ","")</f>
        <v/>
      </c>
      <c r="K109" s="1023"/>
      <c r="L109" s="1536" t="str">
        <f>IF(E109&lt;&gt;"","Active Vehicles?     ","")</f>
        <v/>
      </c>
      <c r="M109" s="1023"/>
      <c r="N109" s="894"/>
      <c r="O109" s="1153"/>
      <c r="P109" s="252" t="str">
        <f>IF(E109&lt;&gt;"","Select from Pull-Down List    ","")</f>
        <v/>
      </c>
      <c r="Q109" s="933"/>
      <c r="R109" s="252" t="str">
        <f>IF(E109&lt;&gt;"","Select from Pull-Down List    ","")</f>
        <v/>
      </c>
      <c r="S109" s="1766" t="str">
        <f t="shared" si="136"/>
        <v/>
      </c>
      <c r="T109" s="252"/>
      <c r="U109" s="1988"/>
      <c r="V109" s="252" t="str">
        <f t="shared" ref="V109:V140" si="209">IF(E109&lt;&gt;"","Service Yrs?    ","")</f>
        <v/>
      </c>
      <c r="W109" s="139"/>
      <c r="X109" s="252" t="str">
        <f>IF(E109&lt;&gt;"","Mfg. Yr?    ","")</f>
        <v/>
      </c>
      <c r="Y109" s="1974" t="str">
        <f t="shared" si="146"/>
        <v/>
      </c>
      <c r="Z109" s="252"/>
      <c r="AA109" s="1986" t="str">
        <f t="shared" si="147"/>
        <v/>
      </c>
      <c r="AB109" s="252" t="str">
        <f>IF(E109&lt;&gt;"","Select from Pull-Down List    ","")</f>
        <v/>
      </c>
      <c r="AC109" s="1023"/>
      <c r="AD109" s="252" t="str">
        <f>IF(E109&lt;&gt;"","Feet?    ","")</f>
        <v/>
      </c>
      <c r="AE109" s="1023"/>
      <c r="AF109" s="252" t="str">
        <f>IF(E109&lt;&gt;"","Mileage?       ","")</f>
        <v/>
      </c>
      <c r="AG109" s="1023"/>
      <c r="AH109" s="252" t="str">
        <f>IF(E109&lt;&gt;"","Avg. Lifetime Mileage? ","")</f>
        <v/>
      </c>
      <c r="AI109" s="933"/>
      <c r="AJ109" s="252" t="str">
        <f>IF(E109&lt;&gt;"","Select from Pull-Down List    ","")</f>
        <v/>
      </c>
      <c r="AK109" s="171"/>
      <c r="AL109" s="252"/>
      <c r="AM109" s="894"/>
      <c r="AN109" s="894"/>
      <c r="AO109" s="894" t="b">
        <f>IF(AND(C109="",C111&lt;&gt;""),TRUE,FALSE)</f>
        <v>0</v>
      </c>
      <c r="AP109" s="888" t="str">
        <f t="shared" ref="AP109" si="210">IF(AND(C109&lt;&gt;"",OR(I109="",K109="",M109="",O109="",Q109="",W109="",AC109="",AE109="",AG109="")),"No",IF(AND(C109="",OR(I109&lt;&gt;"",K109&lt;&gt;"",M109&lt;&gt;"",O109&lt;&gt;"",Q109&lt;&gt;"",W109&lt;&gt;"",AC109&lt;&gt;"",AE109&lt;&gt;"",AG109&lt;&gt;"",AI109&lt;&gt;"",AK109&lt;&gt;"")),"No",IF(AND(C109="",I109="",K109="",M109="",O109="",Q109="",W109="",AC109="",AE109="",AG109="",AI109=""),"N/A","Yes")))</f>
        <v>N/A</v>
      </c>
      <c r="AQ109" s="898"/>
      <c r="AR109" s="899" t="b">
        <f t="shared" ref="AR109" si="211">IF(AND(OR(I109&lt;&gt;"",K109&lt;&gt;"",M109&lt;&gt;"",O109&lt;&gt;"",Q109&lt;&gt;"",W109&lt;&gt;"",AC109&lt;&gt;"",AE109&lt;&gt;"",AG109&lt;&gt;"",AI109&lt;&gt;"",AK109&lt;&gt;""),C109=""),TRUE,FALSE)</f>
        <v>0</v>
      </c>
      <c r="AS109" s="898" t="b">
        <f t="shared" ref="AS109" si="212">IF(AT109=TRUE,FALSE,IF(SUM(K109)&gt;I109,TRUE,FALSE))</f>
        <v>0</v>
      </c>
      <c r="AT109" s="899" t="b">
        <f>IF(AND(C109&lt;&gt;"",I109=""),TRUE,FALSE)</f>
        <v>0</v>
      </c>
      <c r="AU109" s="898" t="b">
        <f>IF(AV109=TRUE,FALSE,IF(M109&gt;K109,TRUE,FALSE))</f>
        <v>0</v>
      </c>
      <c r="AV109" s="899" t="b">
        <f>IF(AND($C109&lt;&gt;"",K109=""),TRUE,FALSE)</f>
        <v>0</v>
      </c>
      <c r="AW109" s="898"/>
      <c r="AX109" s="899" t="b">
        <f>IF(AND($C109&lt;&gt;"",M109=""),TRUE,FALSE)</f>
        <v>0</v>
      </c>
      <c r="AY109" s="898" t="b">
        <f t="shared" ref="AY109" si="213">IF(AND(O109="",OR(Q109&lt;&gt;"",W109&lt;&gt;"",AC109&lt;&gt;"",AE109&lt;&gt;"",AG109&lt;&gt;"",AI109&lt;&gt;"")),TRUE,FALSE)</f>
        <v>0</v>
      </c>
      <c r="AZ109" s="899" t="b">
        <f>IF(AND($C109&lt;&gt;"",O109=""),TRUE,FALSE)</f>
        <v>0</v>
      </c>
      <c r="BA109" s="898"/>
      <c r="BB109" s="899" t="b">
        <f>IF(AND($C109&lt;&gt;"",Q109=""),TRUE,FALSE)</f>
        <v>0</v>
      </c>
      <c r="BC109" s="1537" t="b">
        <f>IF(BD109=TRUE,FALSE,IF(W109="",FALSE,IF(OR(W109&lt;BO109,W109&gt;BaseYear),TRUE,FALSE)))</f>
        <v>0</v>
      </c>
      <c r="BD109" s="899" t="b">
        <f>IF(AND($C109&lt;&gt;"",W109=""),TRUE,FALSE)</f>
        <v>0</v>
      </c>
      <c r="BE109" s="1537"/>
      <c r="BF109" s="899" t="b">
        <f>IF(AND($C109&lt;&gt;"",AC109=""),TRUE,FALSE)</f>
        <v>0</v>
      </c>
      <c r="BG109" s="898"/>
      <c r="BH109" s="899" t="b">
        <f>IF(AND($C109&lt;&gt;"",AE109=""),TRUE,FALSE)</f>
        <v>0</v>
      </c>
      <c r="BI109" s="898"/>
      <c r="BJ109" s="899" t="b">
        <f>IF(AND($C109&lt;&gt;"",AG109=""),TRUE,FALSE)</f>
        <v>0</v>
      </c>
      <c r="BK109" s="898"/>
      <c r="BL109" s="898" t="b">
        <f>IF(AND($C109&lt;&gt;"",AI109=""),TRUE,FALSE)</f>
        <v>0</v>
      </c>
      <c r="BM109" s="894"/>
      <c r="BN109" s="898" t="str">
        <f t="shared" si="142"/>
        <v/>
      </c>
      <c r="BO109" s="898" t="str">
        <f>IFERROR(IF(AND(O109="",O109&lt;&gt;""),1913,VLOOKUP(O109,Valid!$B$99:$J$120,9)),"")</f>
        <v/>
      </c>
      <c r="BP109" s="898" t="str">
        <f t="shared" ref="BP109:BP140" ca="1" si="214">IF(W109="", "", YEAR(TODAY())-W109)</f>
        <v/>
      </c>
      <c r="BQ109" s="1547" t="str">
        <f t="shared" ca="1" si="148"/>
        <v/>
      </c>
      <c r="BR109" s="898" t="str">
        <f ca="1">IF(BQ109="", "", IF(1+(BQ109*4)&lt;1, 1, 1+(BQ109*4)))</f>
        <v/>
      </c>
      <c r="BS109" s="898" t="str">
        <f t="shared" si="144"/>
        <v/>
      </c>
      <c r="BT109" s="898" t="str">
        <f t="shared" si="145"/>
        <v/>
      </c>
      <c r="BU109" s="1539" t="str">
        <f>IFERROR(IF(AND(#REF!="",C109&lt;&gt;""),Valid!$E$123,VLOOKUP(#REF!,Valid!$B$123:$F$125,4,FALSE)),"")</f>
        <v/>
      </c>
      <c r="BV109" s="1539" t="str">
        <f>IFERROR(IF(AND(#REF!="",C109&lt;&gt;""),Valid!$F$123,VLOOKUP(#REF!,Valid!$B$123:$F$125,5,FALSE)),"")</f>
        <v/>
      </c>
      <c r="BW109" s="1539" t="str">
        <f>IFERROR(VLOOKUP('A-70 RevVehInv'!S109,Valid!$B$99:$I$120,7), "")</f>
        <v/>
      </c>
      <c r="BX109" s="1539" t="str">
        <f>IFERROR(VLOOKUP(O109,Valid!$B$99:$I$120,8), "")</f>
        <v/>
      </c>
      <c r="BY109" s="894"/>
    </row>
    <row r="110" spans="1:77" ht="6.75" customHeight="1" x14ac:dyDescent="0.2">
      <c r="A110" s="1517"/>
      <c r="B110" s="1530">
        <v>49.5</v>
      </c>
      <c r="C110" s="1540"/>
      <c r="D110" s="905"/>
      <c r="E110" s="1541"/>
      <c r="F110" s="905"/>
      <c r="G110" s="905"/>
      <c r="H110" s="905"/>
      <c r="I110" s="1534"/>
      <c r="J110" s="905"/>
      <c r="K110" s="1534"/>
      <c r="L110" s="905"/>
      <c r="M110" s="1534"/>
      <c r="N110" s="1531"/>
      <c r="O110" s="1542"/>
      <c r="P110" s="905"/>
      <c r="Q110" s="1542"/>
      <c r="R110" s="905"/>
      <c r="S110" s="1534" t="str">
        <f t="shared" si="136"/>
        <v/>
      </c>
      <c r="T110" s="905"/>
      <c r="U110" s="1534"/>
      <c r="V110" s="252" t="str">
        <f t="shared" si="209"/>
        <v/>
      </c>
      <c r="W110" s="1534"/>
      <c r="X110" s="905"/>
      <c r="Y110" s="1973" t="str">
        <f t="shared" si="146"/>
        <v/>
      </c>
      <c r="Z110" s="905"/>
      <c r="AA110" s="1985" t="str">
        <f t="shared" si="147"/>
        <v/>
      </c>
      <c r="AB110" s="1531"/>
      <c r="AC110" s="1534"/>
      <c r="AD110" s="1531"/>
      <c r="AE110" s="1534"/>
      <c r="AF110" s="1531"/>
      <c r="AG110" s="1534"/>
      <c r="AH110" s="1531"/>
      <c r="AI110" s="1543"/>
      <c r="AJ110" s="1531"/>
      <c r="AK110" s="1534"/>
      <c r="AL110" s="1531"/>
      <c r="AM110" s="1531"/>
      <c r="AN110" s="1531"/>
      <c r="AO110" s="1531"/>
      <c r="AP110" s="1531"/>
      <c r="AQ110" s="1535"/>
      <c r="AR110" s="1534"/>
      <c r="AS110" s="1535"/>
      <c r="AT110" s="1534"/>
      <c r="AU110" s="1535"/>
      <c r="AV110" s="1534"/>
      <c r="AW110" s="1535"/>
      <c r="AX110" s="1534"/>
      <c r="AY110" s="1535"/>
      <c r="AZ110" s="1534"/>
      <c r="BA110" s="1535"/>
      <c r="BB110" s="1534"/>
      <c r="BC110" s="1535"/>
      <c r="BD110" s="1534"/>
      <c r="BE110" s="1535"/>
      <c r="BF110" s="1534"/>
      <c r="BG110" s="1535"/>
      <c r="BH110" s="1534"/>
      <c r="BI110" s="1535"/>
      <c r="BJ110" s="1534"/>
      <c r="BK110" s="1535"/>
      <c r="BL110" s="1535"/>
      <c r="BM110" s="1531"/>
      <c r="BN110" s="898" t="str">
        <f t="shared" si="142"/>
        <v/>
      </c>
      <c r="BO110" s="898" t="str">
        <f>IFERROR(IF(AND(O110="",O110&lt;&gt;""),1913,VLOOKUP(O110,Valid!$B$99:$J$120,9)),"")</f>
        <v/>
      </c>
      <c r="BP110" s="898" t="str">
        <f t="shared" ca="1" si="214"/>
        <v/>
      </c>
      <c r="BQ110" s="1547" t="str">
        <f t="shared" ref="BQ110:BQ141" ca="1" si="215">IF(OR(BP110="", S110="",S110=0), "", 1+ (-1*(BP110/S110)))</f>
        <v/>
      </c>
      <c r="BR110" s="898"/>
      <c r="BS110" s="898" t="str">
        <f t="shared" si="144"/>
        <v/>
      </c>
      <c r="BT110" s="898" t="str">
        <f t="shared" si="145"/>
        <v/>
      </c>
      <c r="BU110" s="1539" t="str">
        <f>IFERROR(IF(AND(#REF!="",C110&lt;&gt;""),Valid!$E$123,VLOOKUP(#REF!,Valid!$B$123:$F$125,4,FALSE)),"")</f>
        <v/>
      </c>
      <c r="BV110" s="1539" t="str">
        <f>IFERROR(IF(AND(#REF!="",C110&lt;&gt;""),Valid!$F$123,VLOOKUP(#REF!,Valid!$B$123:$F$125,5,FALSE)),"")</f>
        <v/>
      </c>
      <c r="BW110" s="1539" t="str">
        <f>IFERROR(VLOOKUP('A-70 RevVehInv'!S110,Valid!$B$99:$I$120,7), "")</f>
        <v/>
      </c>
      <c r="BX110" s="1539" t="str">
        <f>IFERROR(VLOOKUP(O110,Valid!$B$99:$I$120,8), "")</f>
        <v/>
      </c>
      <c r="BY110" s="1531"/>
    </row>
    <row r="111" spans="1:77" s="930" customFormat="1" x14ac:dyDescent="0.2">
      <c r="A111" s="206">
        <v>50</v>
      </c>
      <c r="B111" s="1530">
        <v>50</v>
      </c>
      <c r="C111" s="933"/>
      <c r="D111" s="719" t="str">
        <f>IF(C109="","",IF((C111=""),"Enter RVI ID. then Fill in Columns "&amp;TEXT($I$2,0)&amp;" - "&amp;TEXT($AI$2,0)&amp;"       ",""))</f>
        <v/>
      </c>
      <c r="E111" s="1056" t="str">
        <f>IF(AP111="N/A","",AP111)</f>
        <v/>
      </c>
      <c r="F111" s="1536"/>
      <c r="G111" s="1536"/>
      <c r="H111" s="1536"/>
      <c r="I111" s="1023"/>
      <c r="J111" s="1536" t="str">
        <f>IF(E111&lt;&gt;"","Vehicles?    ","")</f>
        <v/>
      </c>
      <c r="K111" s="1023"/>
      <c r="L111" s="1536" t="str">
        <f>IF(E111&lt;&gt;"","Active Vehicles?     ","")</f>
        <v/>
      </c>
      <c r="M111" s="1023"/>
      <c r="N111" s="894"/>
      <c r="O111" s="1153"/>
      <c r="P111" s="252" t="str">
        <f>IF(E111&lt;&gt;"","Select from Pull-Down List    ","")</f>
        <v/>
      </c>
      <c r="Q111" s="933"/>
      <c r="R111" s="252" t="str">
        <f>IF(E111&lt;&gt;"","Select from Pull-Down List    ","")</f>
        <v/>
      </c>
      <c r="S111" s="1766" t="str">
        <f t="shared" si="136"/>
        <v/>
      </c>
      <c r="T111" s="252"/>
      <c r="U111" s="1988"/>
      <c r="V111" s="252" t="str">
        <f t="shared" si="209"/>
        <v/>
      </c>
      <c r="W111" s="139"/>
      <c r="X111" s="252" t="str">
        <f>IF(E111&lt;&gt;"","Mfg. Yr?    ","")</f>
        <v/>
      </c>
      <c r="Y111" s="1974" t="str">
        <f t="shared" si="146"/>
        <v/>
      </c>
      <c r="Z111" s="252"/>
      <c r="AA111" s="1986" t="str">
        <f t="shared" si="147"/>
        <v/>
      </c>
      <c r="AB111" s="252" t="str">
        <f>IF(E111&lt;&gt;"","Select from Pull-Down List    ","")</f>
        <v/>
      </c>
      <c r="AC111" s="1023"/>
      <c r="AD111" s="252" t="str">
        <f>IF(E111&lt;&gt;"","Feet?    ","")</f>
        <v/>
      </c>
      <c r="AE111" s="1023"/>
      <c r="AF111" s="252" t="str">
        <f>IF(E111&lt;&gt;"","Mileage?       ","")</f>
        <v/>
      </c>
      <c r="AG111" s="1023"/>
      <c r="AH111" s="252" t="str">
        <f>IF(E111&lt;&gt;"","Avg. Lifetime Mileage? ","")</f>
        <v/>
      </c>
      <c r="AI111" s="933"/>
      <c r="AJ111" s="252" t="str">
        <f>IF(E111&lt;&gt;"","Select from Pull-Down List    ","")</f>
        <v/>
      </c>
      <c r="AK111" s="171"/>
      <c r="AL111" s="252"/>
      <c r="AM111" s="894"/>
      <c r="AN111" s="894"/>
      <c r="AO111" s="894" t="b">
        <f>IF(AND(C111="",C113&lt;&gt;""),TRUE,FALSE)</f>
        <v>0</v>
      </c>
      <c r="AP111" s="888" t="str">
        <f t="shared" ref="AP111" si="216">IF(AND(C111&lt;&gt;"",OR(I111="",K111="",M111="",O111="",Q111="",W111="",AC111="",AE111="",AG111="")),"No",IF(AND(C111="",OR(I111&lt;&gt;"",K111&lt;&gt;"",M111&lt;&gt;"",O111&lt;&gt;"",Q111&lt;&gt;"",W111&lt;&gt;"",AC111&lt;&gt;"",AE111&lt;&gt;"",AG111&lt;&gt;"",AI111&lt;&gt;"",AK111&lt;&gt;"")),"No",IF(AND(C111="",I111="",K111="",M111="",O111="",Q111="",W111="",AC111="",AE111="",AG111="",AI111=""),"N/A","Yes")))</f>
        <v>N/A</v>
      </c>
      <c r="AQ111" s="898"/>
      <c r="AR111" s="899" t="b">
        <f t="shared" ref="AR111" si="217">IF(AND(OR(I111&lt;&gt;"",K111&lt;&gt;"",M111&lt;&gt;"",O111&lt;&gt;"",Q111&lt;&gt;"",W111&lt;&gt;"",AC111&lt;&gt;"",AE111&lt;&gt;"",AG111&lt;&gt;"",AI111&lt;&gt;"",AK111&lt;&gt;""),C111=""),TRUE,FALSE)</f>
        <v>0</v>
      </c>
      <c r="AS111" s="898" t="b">
        <f t="shared" ref="AS111" si="218">IF(AT111=TRUE,FALSE,IF(SUM(K111)&gt;I111,TRUE,FALSE))</f>
        <v>0</v>
      </c>
      <c r="AT111" s="899" t="b">
        <f>IF(AND(C111&lt;&gt;"",I111=""),TRUE,FALSE)</f>
        <v>0</v>
      </c>
      <c r="AU111" s="898" t="b">
        <f>IF(AV111=TRUE,FALSE,IF(M111&gt;K111,TRUE,FALSE))</f>
        <v>0</v>
      </c>
      <c r="AV111" s="899" t="b">
        <f>IF(AND($C111&lt;&gt;"",K111=""),TRUE,FALSE)</f>
        <v>0</v>
      </c>
      <c r="AW111" s="898"/>
      <c r="AX111" s="899" t="b">
        <f>IF(AND($C111&lt;&gt;"",M111=""),TRUE,FALSE)</f>
        <v>0</v>
      </c>
      <c r="AY111" s="898" t="b">
        <f t="shared" ref="AY111" si="219">IF(AND(O111="",OR(Q111&lt;&gt;"",W111&lt;&gt;"",AC111&lt;&gt;"",AE111&lt;&gt;"",AG111&lt;&gt;"",AI111&lt;&gt;"")),TRUE,FALSE)</f>
        <v>0</v>
      </c>
      <c r="AZ111" s="899" t="b">
        <f>IF(AND($C111&lt;&gt;"",O111=""),TRUE,FALSE)</f>
        <v>0</v>
      </c>
      <c r="BA111" s="898"/>
      <c r="BB111" s="899" t="b">
        <f>IF(AND($C111&lt;&gt;"",Q111=""),TRUE,FALSE)</f>
        <v>0</v>
      </c>
      <c r="BC111" s="1537" t="b">
        <f>IF(BD111=TRUE,FALSE,IF(W111="",FALSE,IF(OR(W111&lt;BO111,W111&gt;BaseYear),TRUE,FALSE)))</f>
        <v>0</v>
      </c>
      <c r="BD111" s="899" t="b">
        <f>IF(AND($C111&lt;&gt;"",W111=""),TRUE,FALSE)</f>
        <v>0</v>
      </c>
      <c r="BE111" s="1537"/>
      <c r="BF111" s="899" t="b">
        <f>IF(AND($C111&lt;&gt;"",AC111=""),TRUE,FALSE)</f>
        <v>0</v>
      </c>
      <c r="BG111" s="898"/>
      <c r="BH111" s="899" t="b">
        <f>IF(AND($C111&lt;&gt;"",AE111=""),TRUE,FALSE)</f>
        <v>0</v>
      </c>
      <c r="BI111" s="898"/>
      <c r="BJ111" s="899" t="b">
        <f>IF(AND($C111&lt;&gt;"",AG111=""),TRUE,FALSE)</f>
        <v>0</v>
      </c>
      <c r="BK111" s="898"/>
      <c r="BL111" s="898" t="b">
        <f>IF(AND($C111&lt;&gt;"",AI111=""),TRUE,FALSE)</f>
        <v>0</v>
      </c>
      <c r="BM111" s="894"/>
      <c r="BN111" s="898" t="str">
        <f t="shared" si="142"/>
        <v/>
      </c>
      <c r="BO111" s="898" t="str">
        <f>IFERROR(IF(AND(O111="",O111&lt;&gt;""),1913,VLOOKUP(O111,Valid!$B$99:$J$120,9)),"")</f>
        <v/>
      </c>
      <c r="BP111" s="898" t="str">
        <f t="shared" ca="1" si="214"/>
        <v/>
      </c>
      <c r="BQ111" s="1547" t="str">
        <f t="shared" ca="1" si="215"/>
        <v/>
      </c>
      <c r="BR111" s="898" t="str">
        <f ca="1">IF(BQ111="", "", IF(1+(BQ111*4)&lt;1, 1, 1+(BQ111*4)))</f>
        <v/>
      </c>
      <c r="BS111" s="898" t="str">
        <f t="shared" si="144"/>
        <v/>
      </c>
      <c r="BT111" s="898" t="str">
        <f t="shared" si="145"/>
        <v/>
      </c>
      <c r="BU111" s="1539" t="str">
        <f>IFERROR(IF(AND(#REF!="",C111&lt;&gt;""),Valid!$E$123,VLOOKUP(#REF!,Valid!$B$123:$F$125,4,FALSE)),"")</f>
        <v/>
      </c>
      <c r="BV111" s="1539" t="str">
        <f>IFERROR(IF(AND(#REF!="",C111&lt;&gt;""),Valid!$F$123,VLOOKUP(#REF!,Valid!$B$123:$F$125,5,FALSE)),"")</f>
        <v/>
      </c>
      <c r="BW111" s="1539" t="str">
        <f>IFERROR(VLOOKUP('A-70 RevVehInv'!S111,Valid!$B$99:$I$120,7), "")</f>
        <v/>
      </c>
      <c r="BX111" s="1539" t="str">
        <f>IFERROR(VLOOKUP(O111,Valid!$B$99:$I$120,8), "")</f>
        <v/>
      </c>
      <c r="BY111" s="894"/>
    </row>
    <row r="112" spans="1:77" ht="6.75" customHeight="1" x14ac:dyDescent="0.2">
      <c r="A112" s="1517"/>
      <c r="B112" s="1530">
        <v>50.5</v>
      </c>
      <c r="C112" s="1544"/>
      <c r="D112" s="905"/>
      <c r="E112" s="1545"/>
      <c r="F112" s="905"/>
      <c r="G112" s="905"/>
      <c r="H112" s="905"/>
      <c r="I112" s="1531"/>
      <c r="J112" s="905"/>
      <c r="K112" s="1531"/>
      <c r="L112" s="905"/>
      <c r="M112" s="1531"/>
      <c r="N112" s="1531"/>
      <c r="O112" s="1533"/>
      <c r="P112" s="905"/>
      <c r="Q112" s="1533"/>
      <c r="R112" s="905"/>
      <c r="S112" s="1531" t="str">
        <f t="shared" si="136"/>
        <v/>
      </c>
      <c r="T112" s="905"/>
      <c r="U112" s="1531"/>
      <c r="V112" s="252" t="str">
        <f t="shared" si="209"/>
        <v/>
      </c>
      <c r="W112" s="1531"/>
      <c r="X112" s="905"/>
      <c r="Y112" s="1971" t="str">
        <f t="shared" si="146"/>
        <v/>
      </c>
      <c r="Z112" s="905"/>
      <c r="AA112" s="1983" t="str">
        <f t="shared" si="147"/>
        <v/>
      </c>
      <c r="AB112" s="1531"/>
      <c r="AC112" s="1531"/>
      <c r="AD112" s="1531"/>
      <c r="AE112" s="1531"/>
      <c r="AF112" s="1531"/>
      <c r="AG112" s="1534"/>
      <c r="AH112" s="1531"/>
      <c r="AI112" s="1546"/>
      <c r="AJ112" s="1531"/>
      <c r="AK112" s="1531"/>
      <c r="AL112" s="1531"/>
      <c r="AM112" s="1531"/>
      <c r="AN112" s="1531"/>
      <c r="AO112" s="1531"/>
      <c r="AP112" s="1531"/>
      <c r="AQ112" s="1535"/>
      <c r="AR112" s="1534"/>
      <c r="AS112" s="1535"/>
      <c r="AT112" s="1534"/>
      <c r="AU112" s="1535"/>
      <c r="AV112" s="1534"/>
      <c r="AW112" s="1535"/>
      <c r="AX112" s="1534"/>
      <c r="AY112" s="1535"/>
      <c r="AZ112" s="1534"/>
      <c r="BA112" s="1535"/>
      <c r="BB112" s="1534"/>
      <c r="BC112" s="1535"/>
      <c r="BD112" s="1534"/>
      <c r="BE112" s="1535"/>
      <c r="BF112" s="1534"/>
      <c r="BG112" s="1535"/>
      <c r="BH112" s="1534"/>
      <c r="BI112" s="1535"/>
      <c r="BJ112" s="1534"/>
      <c r="BK112" s="1535"/>
      <c r="BL112" s="1535"/>
      <c r="BM112" s="1531"/>
      <c r="BN112" s="898" t="str">
        <f t="shared" si="142"/>
        <v/>
      </c>
      <c r="BO112" s="898" t="str">
        <f>IFERROR(IF(AND(O112="",O112&lt;&gt;""),1913,VLOOKUP(O112,Valid!$B$99:$J$120,9)),"")</f>
        <v/>
      </c>
      <c r="BP112" s="898" t="str">
        <f t="shared" ca="1" si="214"/>
        <v/>
      </c>
      <c r="BQ112" s="1547" t="str">
        <f t="shared" ca="1" si="215"/>
        <v/>
      </c>
      <c r="BR112" s="898"/>
      <c r="BS112" s="898" t="str">
        <f t="shared" si="144"/>
        <v/>
      </c>
      <c r="BT112" s="898" t="str">
        <f t="shared" si="145"/>
        <v/>
      </c>
      <c r="BU112" s="1539" t="str">
        <f>IFERROR(IF(AND(#REF!="",C112&lt;&gt;""),Valid!$E$123,VLOOKUP(#REF!,Valid!$B$123:$F$125,4,FALSE)),"")</f>
        <v/>
      </c>
      <c r="BV112" s="1539" t="str">
        <f>IFERROR(IF(AND(#REF!="",C112&lt;&gt;""),Valid!$F$123,VLOOKUP(#REF!,Valid!$B$123:$F$125,5,FALSE)),"")</f>
        <v/>
      </c>
      <c r="BW112" s="1539" t="str">
        <f>IFERROR(VLOOKUP('A-70 RevVehInv'!S112,Valid!$B$99:$I$120,7), "")</f>
        <v/>
      </c>
      <c r="BX112" s="1539" t="str">
        <f>IFERROR(VLOOKUP(O112,Valid!$B$99:$I$120,8), "")</f>
        <v/>
      </c>
      <c r="BY112" s="1531"/>
    </row>
    <row r="113" spans="1:77" s="930" customFormat="1" x14ac:dyDescent="0.2">
      <c r="A113" s="206">
        <v>51</v>
      </c>
      <c r="B113" s="1530">
        <v>51</v>
      </c>
      <c r="C113" s="933"/>
      <c r="D113" s="719" t="str">
        <f>IF(C111="","",IF((C113=""),"Enter RVI ID. then Fill in Columns "&amp;TEXT($I$2,0)&amp;" - "&amp;TEXT($AI$2,0)&amp;"       ",""))</f>
        <v/>
      </c>
      <c r="E113" s="1056" t="str">
        <f>IF(AP113="N/A","",AP113)</f>
        <v/>
      </c>
      <c r="F113" s="1536"/>
      <c r="G113" s="1536"/>
      <c r="H113" s="1536"/>
      <c r="I113" s="1023"/>
      <c r="J113" s="1536" t="str">
        <f>IF(E113&lt;&gt;"","Vehicles?    ","")</f>
        <v/>
      </c>
      <c r="K113" s="1023"/>
      <c r="L113" s="1536" t="str">
        <f>IF(E113&lt;&gt;"","Active Vehicles?     ","")</f>
        <v/>
      </c>
      <c r="M113" s="1023"/>
      <c r="N113" s="894"/>
      <c r="O113" s="1153"/>
      <c r="P113" s="252" t="str">
        <f>IF(E113&lt;&gt;"","Select from Pull-Down List    ","")</f>
        <v/>
      </c>
      <c r="Q113" s="933"/>
      <c r="R113" s="252" t="str">
        <f>IF(E113&lt;&gt;"","Select from Pull-Down List    ","")</f>
        <v/>
      </c>
      <c r="S113" s="1766" t="str">
        <f t="shared" si="136"/>
        <v/>
      </c>
      <c r="T113" s="252"/>
      <c r="U113" s="1988"/>
      <c r="V113" s="252" t="str">
        <f t="shared" si="209"/>
        <v/>
      </c>
      <c r="W113" s="139"/>
      <c r="X113" s="252" t="str">
        <f>IF(E113&lt;&gt;"","Mfg. Yr?    ","")</f>
        <v/>
      </c>
      <c r="Y113" s="1974" t="str">
        <f t="shared" si="146"/>
        <v/>
      </c>
      <c r="Z113" s="252"/>
      <c r="AA113" s="1986" t="str">
        <f t="shared" si="147"/>
        <v/>
      </c>
      <c r="AB113" s="252" t="str">
        <f>IF(E113&lt;&gt;"","Select from Pull-Down List    ","")</f>
        <v/>
      </c>
      <c r="AC113" s="1023"/>
      <c r="AD113" s="252" t="str">
        <f>IF(E113&lt;&gt;"","Feet?    ","")</f>
        <v/>
      </c>
      <c r="AE113" s="1023"/>
      <c r="AF113" s="252" t="str">
        <f>IF(E113&lt;&gt;"","Mileage?       ","")</f>
        <v/>
      </c>
      <c r="AG113" s="1023"/>
      <c r="AH113" s="252" t="str">
        <f>IF(E113&lt;&gt;"","Avg. Lifetime Mileage? ","")</f>
        <v/>
      </c>
      <c r="AI113" s="933"/>
      <c r="AJ113" s="252" t="str">
        <f>IF(E113&lt;&gt;"","Select from Pull-Down List    ","")</f>
        <v/>
      </c>
      <c r="AK113" s="171"/>
      <c r="AL113" s="252"/>
      <c r="AM113" s="894"/>
      <c r="AN113" s="894"/>
      <c r="AO113" s="894" t="b">
        <f>IF(AND(C113="",C115&lt;&gt;""),TRUE,FALSE)</f>
        <v>0</v>
      </c>
      <c r="AP113" s="888" t="str">
        <f t="shared" ref="AP113" si="220">IF(AND(C113&lt;&gt;"",OR(I113="",K113="",M113="",O113="",Q113="",W113="",AC113="",AE113="",AG113="")),"No",IF(AND(C113="",OR(I113&lt;&gt;"",K113&lt;&gt;"",M113&lt;&gt;"",O113&lt;&gt;"",Q113&lt;&gt;"",W113&lt;&gt;"",AC113&lt;&gt;"",AE113&lt;&gt;"",AG113&lt;&gt;"",AI113&lt;&gt;"",AK113&lt;&gt;"")),"No",IF(AND(C113="",I113="",K113="",M113="",O113="",Q113="",W113="",AC113="",AE113="",AG113="",AI113=""),"N/A","Yes")))</f>
        <v>N/A</v>
      </c>
      <c r="AQ113" s="898"/>
      <c r="AR113" s="899" t="b">
        <f t="shared" ref="AR113" si="221">IF(AND(OR(I113&lt;&gt;"",K113&lt;&gt;"",M113&lt;&gt;"",O113&lt;&gt;"",Q113&lt;&gt;"",W113&lt;&gt;"",AC113&lt;&gt;"",AE113&lt;&gt;"",AG113&lt;&gt;"",AI113&lt;&gt;"",AK113&lt;&gt;""),C113=""),TRUE,FALSE)</f>
        <v>0</v>
      </c>
      <c r="AS113" s="898" t="b">
        <f t="shared" ref="AS113" si="222">IF(AT113=TRUE,FALSE,IF(SUM(K113)&gt;I113,TRUE,FALSE))</f>
        <v>0</v>
      </c>
      <c r="AT113" s="899" t="b">
        <f>IF(AND(C113&lt;&gt;"",I113=""),TRUE,FALSE)</f>
        <v>0</v>
      </c>
      <c r="AU113" s="898" t="b">
        <f>IF(AV113=TRUE,FALSE,IF(M113&gt;K113,TRUE,FALSE))</f>
        <v>0</v>
      </c>
      <c r="AV113" s="899" t="b">
        <f>IF(AND($C113&lt;&gt;"",K113=""),TRUE,FALSE)</f>
        <v>0</v>
      </c>
      <c r="AW113" s="898"/>
      <c r="AX113" s="899" t="b">
        <f>IF(AND($C113&lt;&gt;"",M113=""),TRUE,FALSE)</f>
        <v>0</v>
      </c>
      <c r="AY113" s="898" t="b">
        <f t="shared" ref="AY113" si="223">IF(AND(O113="",OR(Q113&lt;&gt;"",W113&lt;&gt;"",AC113&lt;&gt;"",AE113&lt;&gt;"",AG113&lt;&gt;"",AI113&lt;&gt;"")),TRUE,FALSE)</f>
        <v>0</v>
      </c>
      <c r="AZ113" s="899" t="b">
        <f>IF(AND($C113&lt;&gt;"",O113=""),TRUE,FALSE)</f>
        <v>0</v>
      </c>
      <c r="BA113" s="898"/>
      <c r="BB113" s="899" t="b">
        <f>IF(AND($C113&lt;&gt;"",Q113=""),TRUE,FALSE)</f>
        <v>0</v>
      </c>
      <c r="BC113" s="1537" t="b">
        <f>IF(BD113=TRUE,FALSE,IF(W113="",FALSE,IF(OR(W113&lt;BO113,W113&gt;BaseYear),TRUE,FALSE)))</f>
        <v>0</v>
      </c>
      <c r="BD113" s="899" t="b">
        <f>IF(AND($C113&lt;&gt;"",W113=""),TRUE,FALSE)</f>
        <v>0</v>
      </c>
      <c r="BE113" s="1537"/>
      <c r="BF113" s="899" t="b">
        <f>IF(AND($C113&lt;&gt;"",AC113=""),TRUE,FALSE)</f>
        <v>0</v>
      </c>
      <c r="BG113" s="898"/>
      <c r="BH113" s="899" t="b">
        <f>IF(AND($C113&lt;&gt;"",AE113=""),TRUE,FALSE)</f>
        <v>0</v>
      </c>
      <c r="BI113" s="898"/>
      <c r="BJ113" s="899" t="b">
        <f>IF(AND($C113&lt;&gt;"",AG113=""),TRUE,FALSE)</f>
        <v>0</v>
      </c>
      <c r="BK113" s="898"/>
      <c r="BL113" s="898" t="b">
        <f>IF(AND($C113&lt;&gt;"",AI113=""),TRUE,FALSE)</f>
        <v>0</v>
      </c>
      <c r="BM113" s="894"/>
      <c r="BN113" s="898" t="str">
        <f t="shared" si="142"/>
        <v/>
      </c>
      <c r="BO113" s="898" t="str">
        <f>IFERROR(IF(AND(O113="",O113&lt;&gt;""),1913,VLOOKUP(O113,Valid!$B$99:$J$120,9)),"")</f>
        <v/>
      </c>
      <c r="BP113" s="898" t="str">
        <f t="shared" ca="1" si="214"/>
        <v/>
      </c>
      <c r="BQ113" s="1547" t="str">
        <f t="shared" ca="1" si="215"/>
        <v/>
      </c>
      <c r="BR113" s="898" t="str">
        <f ca="1">IF(BQ113="", "", IF(1+(BQ113*4)&lt;1, 1, 1+(BQ113*4)))</f>
        <v/>
      </c>
      <c r="BS113" s="898" t="str">
        <f t="shared" si="144"/>
        <v/>
      </c>
      <c r="BT113" s="898" t="str">
        <f t="shared" si="145"/>
        <v/>
      </c>
      <c r="BU113" s="1539" t="str">
        <f>IFERROR(IF(AND(#REF!="",C113&lt;&gt;""),Valid!$E$123,VLOOKUP(#REF!,Valid!$B$123:$F$125,4,FALSE)),"")</f>
        <v/>
      </c>
      <c r="BV113" s="1539" t="str">
        <f>IFERROR(IF(AND(#REF!="",C113&lt;&gt;""),Valid!$F$123,VLOOKUP(#REF!,Valid!$B$123:$F$125,5,FALSE)),"")</f>
        <v/>
      </c>
      <c r="BW113" s="1539" t="str">
        <f>IFERROR(VLOOKUP('A-70 RevVehInv'!S113,Valid!$B$99:$I$120,7), "")</f>
        <v/>
      </c>
      <c r="BX113" s="1539" t="str">
        <f>IFERROR(VLOOKUP(O113,Valid!$B$99:$I$120,8), "")</f>
        <v/>
      </c>
      <c r="BY113" s="894"/>
    </row>
    <row r="114" spans="1:77" ht="6.75" customHeight="1" x14ac:dyDescent="0.2">
      <c r="A114" s="1516"/>
      <c r="B114" s="1530">
        <v>51.5</v>
      </c>
      <c r="C114" s="1540"/>
      <c r="D114" s="905"/>
      <c r="E114" s="1541"/>
      <c r="F114" s="905"/>
      <c r="G114" s="905"/>
      <c r="H114" s="905"/>
      <c r="I114" s="1534"/>
      <c r="J114" s="905"/>
      <c r="K114" s="1534"/>
      <c r="L114" s="905"/>
      <c r="M114" s="1534"/>
      <c r="N114" s="1531"/>
      <c r="O114" s="1542"/>
      <c r="P114" s="905"/>
      <c r="Q114" s="1542"/>
      <c r="R114" s="905"/>
      <c r="S114" s="1534" t="str">
        <f t="shared" si="136"/>
        <v/>
      </c>
      <c r="T114" s="905"/>
      <c r="U114" s="1534"/>
      <c r="V114" s="252" t="str">
        <f t="shared" si="209"/>
        <v/>
      </c>
      <c r="W114" s="1534"/>
      <c r="X114" s="905"/>
      <c r="Y114" s="1973" t="str">
        <f t="shared" si="146"/>
        <v/>
      </c>
      <c r="Z114" s="905"/>
      <c r="AA114" s="1985" t="str">
        <f t="shared" si="147"/>
        <v/>
      </c>
      <c r="AB114" s="1531"/>
      <c r="AC114" s="1534"/>
      <c r="AD114" s="1531"/>
      <c r="AE114" s="1534"/>
      <c r="AF114" s="1531"/>
      <c r="AG114" s="1534"/>
      <c r="AH114" s="1531"/>
      <c r="AI114" s="1543"/>
      <c r="AJ114" s="1531"/>
      <c r="AK114" s="1534"/>
      <c r="AL114" s="1531"/>
      <c r="AM114" s="1531"/>
      <c r="AN114" s="1531"/>
      <c r="AO114" s="1531"/>
      <c r="AP114" s="1531"/>
      <c r="AQ114" s="1535"/>
      <c r="AR114" s="1534"/>
      <c r="AS114" s="1535"/>
      <c r="AT114" s="1534"/>
      <c r="AU114" s="1535"/>
      <c r="AV114" s="1534"/>
      <c r="AW114" s="1535"/>
      <c r="AX114" s="1534"/>
      <c r="AY114" s="1535"/>
      <c r="AZ114" s="1534"/>
      <c r="BA114" s="1535"/>
      <c r="BB114" s="1534"/>
      <c r="BC114" s="1535"/>
      <c r="BD114" s="1534"/>
      <c r="BE114" s="1535"/>
      <c r="BF114" s="1534"/>
      <c r="BG114" s="1535"/>
      <c r="BH114" s="1534"/>
      <c r="BI114" s="1535"/>
      <c r="BJ114" s="1534"/>
      <c r="BK114" s="1535"/>
      <c r="BL114" s="1535"/>
      <c r="BM114" s="1531"/>
      <c r="BN114" s="898" t="str">
        <f t="shared" si="142"/>
        <v/>
      </c>
      <c r="BO114" s="898" t="str">
        <f>IFERROR(IF(AND(O114="",O114&lt;&gt;""),1913,VLOOKUP(O114,Valid!$B$99:$J$120,9)),"")</f>
        <v/>
      </c>
      <c r="BP114" s="898" t="str">
        <f t="shared" ca="1" si="214"/>
        <v/>
      </c>
      <c r="BQ114" s="1547" t="str">
        <f t="shared" ca="1" si="215"/>
        <v/>
      </c>
      <c r="BR114" s="898"/>
      <c r="BS114" s="898" t="str">
        <f t="shared" si="144"/>
        <v/>
      </c>
      <c r="BT114" s="898" t="str">
        <f t="shared" si="145"/>
        <v/>
      </c>
      <c r="BU114" s="1539" t="str">
        <f>IFERROR(IF(AND(#REF!="",C114&lt;&gt;""),Valid!$E$123,VLOOKUP(#REF!,Valid!$B$123:$F$125,4,FALSE)),"")</f>
        <v/>
      </c>
      <c r="BV114" s="1539" t="str">
        <f>IFERROR(IF(AND(#REF!="",C114&lt;&gt;""),Valid!$F$123,VLOOKUP(#REF!,Valid!$B$123:$F$125,5,FALSE)),"")</f>
        <v/>
      </c>
      <c r="BW114" s="1539" t="str">
        <f>IFERROR(VLOOKUP('A-70 RevVehInv'!S114,Valid!$B$99:$I$120,7), "")</f>
        <v/>
      </c>
      <c r="BX114" s="1539" t="str">
        <f>IFERROR(VLOOKUP(O114,Valid!$B$99:$I$120,8), "")</f>
        <v/>
      </c>
      <c r="BY114" s="1531"/>
    </row>
    <row r="115" spans="1:77" s="930" customFormat="1" x14ac:dyDescent="0.2">
      <c r="A115" s="206">
        <v>52</v>
      </c>
      <c r="B115" s="1530">
        <v>52</v>
      </c>
      <c r="C115" s="933"/>
      <c r="D115" s="719" t="str">
        <f>IF(C113="","",IF((C115=""),"Enter RVI ID. then Fill in Columns "&amp;TEXT($I$2,0)&amp;" - "&amp;TEXT($AI$2,0)&amp;"       ",""))</f>
        <v/>
      </c>
      <c r="E115" s="1056" t="str">
        <f>IF(AP115="N/A","",AP115)</f>
        <v/>
      </c>
      <c r="F115" s="1536"/>
      <c r="G115" s="1536"/>
      <c r="H115" s="1536"/>
      <c r="I115" s="1023"/>
      <c r="J115" s="1536" t="str">
        <f>IF(E115&lt;&gt;"","Vehicles?    ","")</f>
        <v/>
      </c>
      <c r="K115" s="1023"/>
      <c r="L115" s="1536" t="str">
        <f>IF(E115&lt;&gt;"","Active Vehicles?     ","")</f>
        <v/>
      </c>
      <c r="M115" s="1023"/>
      <c r="N115" s="894"/>
      <c r="O115" s="1153"/>
      <c r="P115" s="252" t="str">
        <f>IF(E115&lt;&gt;"","Select from Pull-Down List    ","")</f>
        <v/>
      </c>
      <c r="Q115" s="933"/>
      <c r="R115" s="252" t="str">
        <f>IF(E115&lt;&gt;"","Select from Pull-Down List    ","")</f>
        <v/>
      </c>
      <c r="S115" s="1766" t="str">
        <f t="shared" si="136"/>
        <v/>
      </c>
      <c r="T115" s="252"/>
      <c r="U115" s="1988"/>
      <c r="V115" s="252" t="str">
        <f t="shared" si="209"/>
        <v/>
      </c>
      <c r="W115" s="139"/>
      <c r="X115" s="252" t="str">
        <f>IF(E115&lt;&gt;"","Mfg. Yr?    ","")</f>
        <v/>
      </c>
      <c r="Y115" s="1974" t="str">
        <f t="shared" si="146"/>
        <v/>
      </c>
      <c r="Z115" s="252"/>
      <c r="AA115" s="1986" t="str">
        <f t="shared" si="147"/>
        <v/>
      </c>
      <c r="AB115" s="252" t="str">
        <f>IF(E115&lt;&gt;"","Select from Pull-Down List    ","")</f>
        <v/>
      </c>
      <c r="AC115" s="1023"/>
      <c r="AD115" s="252" t="str">
        <f>IF(E115&lt;&gt;"","Feet?    ","")</f>
        <v/>
      </c>
      <c r="AE115" s="1023"/>
      <c r="AF115" s="252" t="str">
        <f>IF(E115&lt;&gt;"","Mileage?       ","")</f>
        <v/>
      </c>
      <c r="AG115" s="1023"/>
      <c r="AH115" s="252" t="str">
        <f>IF(E115&lt;&gt;"","Avg. Lifetime Mileage? ","")</f>
        <v/>
      </c>
      <c r="AI115" s="933"/>
      <c r="AJ115" s="252" t="str">
        <f>IF(E115&lt;&gt;"","Select from Pull-Down List    ","")</f>
        <v/>
      </c>
      <c r="AK115" s="171"/>
      <c r="AL115" s="252"/>
      <c r="AM115" s="894"/>
      <c r="AN115" s="894"/>
      <c r="AO115" s="894" t="b">
        <f>IF(AND(C115="",C117&lt;&gt;""),TRUE,FALSE)</f>
        <v>0</v>
      </c>
      <c r="AP115" s="888" t="str">
        <f t="shared" ref="AP115" si="224">IF(AND(C115&lt;&gt;"",OR(I115="",K115="",M115="",O115="",Q115="",W115="",AC115="",AE115="",AG115="")),"No",IF(AND(C115="",OR(I115&lt;&gt;"",K115&lt;&gt;"",M115&lt;&gt;"",O115&lt;&gt;"",Q115&lt;&gt;"",W115&lt;&gt;"",AC115&lt;&gt;"",AE115&lt;&gt;"",AG115&lt;&gt;"",AI115&lt;&gt;"",AK115&lt;&gt;"")),"No",IF(AND(C115="",I115="",K115="",M115="",O115="",Q115="",W115="",AC115="",AE115="",AG115="",AI115=""),"N/A","Yes")))</f>
        <v>N/A</v>
      </c>
      <c r="AQ115" s="898"/>
      <c r="AR115" s="899" t="b">
        <f t="shared" ref="AR115" si="225">IF(AND(OR(I115&lt;&gt;"",K115&lt;&gt;"",M115&lt;&gt;"",O115&lt;&gt;"",Q115&lt;&gt;"",W115&lt;&gt;"",AC115&lt;&gt;"",AE115&lt;&gt;"",AG115&lt;&gt;"",AI115&lt;&gt;"",AK115&lt;&gt;""),C115=""),TRUE,FALSE)</f>
        <v>0</v>
      </c>
      <c r="AS115" s="898" t="b">
        <f t="shared" ref="AS115" si="226">IF(AT115=TRUE,FALSE,IF(SUM(K115)&gt;I115,TRUE,FALSE))</f>
        <v>0</v>
      </c>
      <c r="AT115" s="899" t="b">
        <f>IF(AND(C115&lt;&gt;"",I115=""),TRUE,FALSE)</f>
        <v>0</v>
      </c>
      <c r="AU115" s="898" t="b">
        <f>IF(AV115=TRUE,FALSE,IF(M115&gt;K115,TRUE,FALSE))</f>
        <v>0</v>
      </c>
      <c r="AV115" s="899" t="b">
        <f>IF(AND($C115&lt;&gt;"",K115=""),TRUE,FALSE)</f>
        <v>0</v>
      </c>
      <c r="AW115" s="898"/>
      <c r="AX115" s="899" t="b">
        <f>IF(AND($C115&lt;&gt;"",M115=""),TRUE,FALSE)</f>
        <v>0</v>
      </c>
      <c r="AY115" s="898" t="b">
        <f t="shared" ref="AY115" si="227">IF(AND(O115="",OR(Q115&lt;&gt;"",W115&lt;&gt;"",AC115&lt;&gt;"",AE115&lt;&gt;"",AG115&lt;&gt;"",AI115&lt;&gt;"")),TRUE,FALSE)</f>
        <v>0</v>
      </c>
      <c r="AZ115" s="899" t="b">
        <f>IF(AND($C115&lt;&gt;"",O115=""),TRUE,FALSE)</f>
        <v>0</v>
      </c>
      <c r="BA115" s="898"/>
      <c r="BB115" s="899" t="b">
        <f>IF(AND($C115&lt;&gt;"",Q115=""),TRUE,FALSE)</f>
        <v>0</v>
      </c>
      <c r="BC115" s="1537" t="b">
        <f>IF(BD115=TRUE,FALSE,IF(W115="",FALSE,IF(OR(W115&lt;BO115,W115&gt;BaseYear),TRUE,FALSE)))</f>
        <v>0</v>
      </c>
      <c r="BD115" s="899" t="b">
        <f>IF(AND($C115&lt;&gt;"",W115=""),TRUE,FALSE)</f>
        <v>0</v>
      </c>
      <c r="BE115" s="1537"/>
      <c r="BF115" s="899" t="b">
        <f>IF(AND($C115&lt;&gt;"",AC115=""),TRUE,FALSE)</f>
        <v>0</v>
      </c>
      <c r="BG115" s="898"/>
      <c r="BH115" s="899" t="b">
        <f>IF(AND($C115&lt;&gt;"",AE115=""),TRUE,FALSE)</f>
        <v>0</v>
      </c>
      <c r="BI115" s="898"/>
      <c r="BJ115" s="899" t="b">
        <f>IF(AND($C115&lt;&gt;"",AG115=""),TRUE,FALSE)</f>
        <v>0</v>
      </c>
      <c r="BK115" s="898"/>
      <c r="BL115" s="898" t="b">
        <f>IF(AND($C115&lt;&gt;"",AI115=""),TRUE,FALSE)</f>
        <v>0</v>
      </c>
      <c r="BM115" s="894"/>
      <c r="BN115" s="898" t="str">
        <f t="shared" si="142"/>
        <v/>
      </c>
      <c r="BO115" s="898" t="str">
        <f>IFERROR(IF(AND(O115="",O115&lt;&gt;""),1913,VLOOKUP(O115,Valid!$B$99:$J$120,9)),"")</f>
        <v/>
      </c>
      <c r="BP115" s="898" t="str">
        <f t="shared" ca="1" si="214"/>
        <v/>
      </c>
      <c r="BQ115" s="1547" t="str">
        <f t="shared" ca="1" si="215"/>
        <v/>
      </c>
      <c r="BR115" s="898" t="str">
        <f ca="1">IF(BQ115="", "", IF(1+(BQ115*4)&lt;1, 1, 1+(BQ115*4)))</f>
        <v/>
      </c>
      <c r="BS115" s="898" t="str">
        <f t="shared" si="144"/>
        <v/>
      </c>
      <c r="BT115" s="898" t="str">
        <f t="shared" si="145"/>
        <v/>
      </c>
      <c r="BU115" s="1539" t="str">
        <f>IFERROR(IF(AND(#REF!="",C115&lt;&gt;""),Valid!$E$123,VLOOKUP(#REF!,Valid!$B$123:$F$125,4,FALSE)),"")</f>
        <v/>
      </c>
      <c r="BV115" s="1539" t="str">
        <f>IFERROR(IF(AND(#REF!="",C115&lt;&gt;""),Valid!$F$123,VLOOKUP(#REF!,Valid!$B$123:$F$125,5,FALSE)),"")</f>
        <v/>
      </c>
      <c r="BW115" s="1539" t="str">
        <f>IFERROR(VLOOKUP('A-70 RevVehInv'!S115,Valid!$B$99:$I$120,7), "")</f>
        <v/>
      </c>
      <c r="BX115" s="1539" t="str">
        <f>IFERROR(VLOOKUP(O115,Valid!$B$99:$I$120,8), "")</f>
        <v/>
      </c>
      <c r="BY115" s="894"/>
    </row>
    <row r="116" spans="1:77" ht="6.75" customHeight="1" x14ac:dyDescent="0.2">
      <c r="A116" s="1516"/>
      <c r="B116" s="1530">
        <v>52.5</v>
      </c>
      <c r="C116" s="1544"/>
      <c r="D116" s="905"/>
      <c r="E116" s="1545"/>
      <c r="F116" s="905"/>
      <c r="G116" s="905"/>
      <c r="H116" s="905"/>
      <c r="I116" s="1531"/>
      <c r="J116" s="905"/>
      <c r="K116" s="1531"/>
      <c r="L116" s="905"/>
      <c r="M116" s="1531"/>
      <c r="N116" s="1531"/>
      <c r="O116" s="1533"/>
      <c r="P116" s="905"/>
      <c r="Q116" s="1533"/>
      <c r="R116" s="905"/>
      <c r="S116" s="1531" t="str">
        <f t="shared" si="136"/>
        <v/>
      </c>
      <c r="T116" s="905"/>
      <c r="U116" s="1531"/>
      <c r="V116" s="252" t="str">
        <f t="shared" si="209"/>
        <v/>
      </c>
      <c r="W116" s="1531"/>
      <c r="X116" s="905"/>
      <c r="Y116" s="1971" t="str">
        <f t="shared" si="146"/>
        <v/>
      </c>
      <c r="Z116" s="905"/>
      <c r="AA116" s="1983" t="str">
        <f t="shared" si="147"/>
        <v/>
      </c>
      <c r="AB116" s="1531"/>
      <c r="AC116" s="1531"/>
      <c r="AD116" s="1531"/>
      <c r="AE116" s="1531"/>
      <c r="AF116" s="1531"/>
      <c r="AG116" s="1534"/>
      <c r="AH116" s="1531"/>
      <c r="AI116" s="1546"/>
      <c r="AJ116" s="1531"/>
      <c r="AK116" s="1531"/>
      <c r="AL116" s="1531"/>
      <c r="AM116" s="1531"/>
      <c r="AN116" s="1531"/>
      <c r="AO116" s="1531"/>
      <c r="AP116" s="1531"/>
      <c r="AQ116" s="1535"/>
      <c r="AR116" s="1534"/>
      <c r="AS116" s="1535"/>
      <c r="AT116" s="1534"/>
      <c r="AU116" s="1535"/>
      <c r="AV116" s="1534"/>
      <c r="AW116" s="1535"/>
      <c r="AX116" s="1534"/>
      <c r="AY116" s="1535"/>
      <c r="AZ116" s="1534"/>
      <c r="BA116" s="1535"/>
      <c r="BB116" s="1534"/>
      <c r="BC116" s="1535"/>
      <c r="BD116" s="1534"/>
      <c r="BE116" s="1535"/>
      <c r="BF116" s="1534"/>
      <c r="BG116" s="1535"/>
      <c r="BH116" s="1534"/>
      <c r="BI116" s="1535"/>
      <c r="BJ116" s="1534"/>
      <c r="BK116" s="1535"/>
      <c r="BL116" s="1535"/>
      <c r="BM116" s="1531"/>
      <c r="BN116" s="898" t="str">
        <f t="shared" si="142"/>
        <v/>
      </c>
      <c r="BO116" s="898" t="str">
        <f>IFERROR(IF(AND(O116="",O116&lt;&gt;""),1913,VLOOKUP(O116,Valid!$B$99:$J$120,9)),"")</f>
        <v/>
      </c>
      <c r="BP116" s="898" t="str">
        <f t="shared" ca="1" si="214"/>
        <v/>
      </c>
      <c r="BQ116" s="1547" t="str">
        <f t="shared" ca="1" si="215"/>
        <v/>
      </c>
      <c r="BR116" s="898"/>
      <c r="BS116" s="898" t="str">
        <f t="shared" si="144"/>
        <v/>
      </c>
      <c r="BT116" s="898" t="str">
        <f t="shared" si="145"/>
        <v/>
      </c>
      <c r="BU116" s="1539" t="str">
        <f>IFERROR(IF(AND(#REF!="",C116&lt;&gt;""),Valid!$E$123,VLOOKUP(#REF!,Valid!$B$123:$F$125,4,FALSE)),"")</f>
        <v/>
      </c>
      <c r="BV116" s="1539" t="str">
        <f>IFERROR(IF(AND(#REF!="",C116&lt;&gt;""),Valid!$F$123,VLOOKUP(#REF!,Valid!$B$123:$F$125,5,FALSE)),"")</f>
        <v/>
      </c>
      <c r="BW116" s="1539" t="str">
        <f>IFERROR(VLOOKUP('A-70 RevVehInv'!S116,Valid!$B$99:$I$120,7), "")</f>
        <v/>
      </c>
      <c r="BX116" s="1539" t="str">
        <f>IFERROR(VLOOKUP(O116,Valid!$B$99:$I$120,8), "")</f>
        <v/>
      </c>
      <c r="BY116" s="1531"/>
    </row>
    <row r="117" spans="1:77" s="930" customFormat="1" x14ac:dyDescent="0.2">
      <c r="A117" s="206">
        <v>53</v>
      </c>
      <c r="B117" s="1530">
        <v>53</v>
      </c>
      <c r="C117" s="933"/>
      <c r="D117" s="719" t="str">
        <f>IF(C115="","",IF((C117=""),"Enter RVI ID. then Fill in Columns "&amp;TEXT($I$2,0)&amp;" - "&amp;TEXT($AI$2,0)&amp;"       ",""))</f>
        <v/>
      </c>
      <c r="E117" s="1056" t="str">
        <f>IF(AP117="N/A","",AP117)</f>
        <v/>
      </c>
      <c r="F117" s="1536"/>
      <c r="G117" s="1536"/>
      <c r="H117" s="1536"/>
      <c r="I117" s="1023"/>
      <c r="J117" s="1536" t="str">
        <f>IF(E117&lt;&gt;"","Vehicles?    ","")</f>
        <v/>
      </c>
      <c r="K117" s="1023"/>
      <c r="L117" s="1536" t="str">
        <f>IF(E117&lt;&gt;"","Active Vehicles?     ","")</f>
        <v/>
      </c>
      <c r="M117" s="1023"/>
      <c r="N117" s="894"/>
      <c r="O117" s="1153"/>
      <c r="P117" s="252" t="str">
        <f>IF(E117&lt;&gt;"","Select from Pull-Down List    ","")</f>
        <v/>
      </c>
      <c r="Q117" s="933"/>
      <c r="R117" s="252" t="str">
        <f>IF(E117&lt;&gt;"","Select from Pull-Down List    ","")</f>
        <v/>
      </c>
      <c r="S117" s="1766" t="str">
        <f t="shared" si="136"/>
        <v/>
      </c>
      <c r="T117" s="252"/>
      <c r="U117" s="1988"/>
      <c r="V117" s="252" t="str">
        <f t="shared" si="209"/>
        <v/>
      </c>
      <c r="W117" s="139"/>
      <c r="X117" s="252" t="str">
        <f>IF(E117&lt;&gt;"","Mfg. Yr?    ","")</f>
        <v/>
      </c>
      <c r="Y117" s="1974" t="str">
        <f t="shared" si="146"/>
        <v/>
      </c>
      <c r="Z117" s="252"/>
      <c r="AA117" s="1986" t="str">
        <f t="shared" si="147"/>
        <v/>
      </c>
      <c r="AB117" s="252" t="str">
        <f>IF(E117&lt;&gt;"","Select from Pull-Down List    ","")</f>
        <v/>
      </c>
      <c r="AC117" s="1023"/>
      <c r="AD117" s="252" t="str">
        <f>IF(E117&lt;&gt;"","Feet?    ","")</f>
        <v/>
      </c>
      <c r="AE117" s="1023"/>
      <c r="AF117" s="252" t="str">
        <f>IF(E117&lt;&gt;"","Mileage?       ","")</f>
        <v/>
      </c>
      <c r="AG117" s="1023"/>
      <c r="AH117" s="252" t="str">
        <f>IF(E117&lt;&gt;"","Avg. Lifetime Mileage? ","")</f>
        <v/>
      </c>
      <c r="AI117" s="933"/>
      <c r="AJ117" s="252" t="str">
        <f>IF(E117&lt;&gt;"","Select from Pull-Down List    ","")</f>
        <v/>
      </c>
      <c r="AK117" s="171"/>
      <c r="AL117" s="252"/>
      <c r="AM117" s="894"/>
      <c r="AN117" s="894"/>
      <c r="AO117" s="894" t="b">
        <f>IF(AND(C117="",C119&lt;&gt;""),TRUE,FALSE)</f>
        <v>0</v>
      </c>
      <c r="AP117" s="888" t="str">
        <f t="shared" ref="AP117" si="228">IF(AND(C117&lt;&gt;"",OR(I117="",K117="",M117="",O117="",Q117="",W117="",AC117="",AE117="",AG117="")),"No",IF(AND(C117="",OR(I117&lt;&gt;"",K117&lt;&gt;"",M117&lt;&gt;"",O117&lt;&gt;"",Q117&lt;&gt;"",W117&lt;&gt;"",AC117&lt;&gt;"",AE117&lt;&gt;"",AG117&lt;&gt;"",AI117&lt;&gt;"",AK117&lt;&gt;"")),"No",IF(AND(C117="",I117="",K117="",M117="",O117="",Q117="",W117="",AC117="",AE117="",AG117="",AI117=""),"N/A","Yes")))</f>
        <v>N/A</v>
      </c>
      <c r="AQ117" s="898"/>
      <c r="AR117" s="899" t="b">
        <f t="shared" ref="AR117" si="229">IF(AND(OR(I117&lt;&gt;"",K117&lt;&gt;"",M117&lt;&gt;"",O117&lt;&gt;"",Q117&lt;&gt;"",W117&lt;&gt;"",AC117&lt;&gt;"",AE117&lt;&gt;"",AG117&lt;&gt;"",AI117&lt;&gt;"",AK117&lt;&gt;""),C117=""),TRUE,FALSE)</f>
        <v>0</v>
      </c>
      <c r="AS117" s="898" t="b">
        <f t="shared" ref="AS117" si="230">IF(AT117=TRUE,FALSE,IF(SUM(K117)&gt;I117,TRUE,FALSE))</f>
        <v>0</v>
      </c>
      <c r="AT117" s="899" t="b">
        <f>IF(AND(C117&lt;&gt;"",I117=""),TRUE,FALSE)</f>
        <v>0</v>
      </c>
      <c r="AU117" s="898" t="b">
        <f>IF(AV117=TRUE,FALSE,IF(M117&gt;K117,TRUE,FALSE))</f>
        <v>0</v>
      </c>
      <c r="AV117" s="899" t="b">
        <f>IF(AND($C117&lt;&gt;"",K117=""),TRUE,FALSE)</f>
        <v>0</v>
      </c>
      <c r="AW117" s="898"/>
      <c r="AX117" s="899" t="b">
        <f>IF(AND($C117&lt;&gt;"",M117=""),TRUE,FALSE)</f>
        <v>0</v>
      </c>
      <c r="AY117" s="898" t="b">
        <f t="shared" ref="AY117" si="231">IF(AND(O117="",OR(Q117&lt;&gt;"",W117&lt;&gt;"",AC117&lt;&gt;"",AE117&lt;&gt;"",AG117&lt;&gt;"",AI117&lt;&gt;"")),TRUE,FALSE)</f>
        <v>0</v>
      </c>
      <c r="AZ117" s="899" t="b">
        <f>IF(AND($C117&lt;&gt;"",O117=""),TRUE,FALSE)</f>
        <v>0</v>
      </c>
      <c r="BA117" s="898"/>
      <c r="BB117" s="899" t="b">
        <f>IF(AND($C117&lt;&gt;"",Q117=""),TRUE,FALSE)</f>
        <v>0</v>
      </c>
      <c r="BC117" s="1537" t="b">
        <f>IF(BD117=TRUE,FALSE,IF(W117="",FALSE,IF(OR(W117&lt;BO117,W117&gt;BaseYear),TRUE,FALSE)))</f>
        <v>0</v>
      </c>
      <c r="BD117" s="899" t="b">
        <f>IF(AND($C117&lt;&gt;"",W117=""),TRUE,FALSE)</f>
        <v>0</v>
      </c>
      <c r="BE117" s="1537"/>
      <c r="BF117" s="899" t="b">
        <f>IF(AND($C117&lt;&gt;"",AC117=""),TRUE,FALSE)</f>
        <v>0</v>
      </c>
      <c r="BG117" s="898"/>
      <c r="BH117" s="899" t="b">
        <f>IF(AND($C117&lt;&gt;"",AE117=""),TRUE,FALSE)</f>
        <v>0</v>
      </c>
      <c r="BI117" s="898"/>
      <c r="BJ117" s="899" t="b">
        <f>IF(AND($C117&lt;&gt;"",AG117=""),TRUE,FALSE)</f>
        <v>0</v>
      </c>
      <c r="BK117" s="898"/>
      <c r="BL117" s="898" t="b">
        <f>IF(AND($C117&lt;&gt;"",AI117=""),TRUE,FALSE)</f>
        <v>0</v>
      </c>
      <c r="BM117" s="894"/>
      <c r="BN117" s="898" t="str">
        <f t="shared" si="142"/>
        <v/>
      </c>
      <c r="BO117" s="898" t="str">
        <f>IFERROR(IF(AND(O117="",O117&lt;&gt;""),1913,VLOOKUP(O117,Valid!$B$99:$J$120,9)),"")</f>
        <v/>
      </c>
      <c r="BP117" s="898" t="str">
        <f t="shared" ca="1" si="214"/>
        <v/>
      </c>
      <c r="BQ117" s="1547" t="str">
        <f t="shared" ca="1" si="215"/>
        <v/>
      </c>
      <c r="BR117" s="898" t="str">
        <f ca="1">IF(BQ117="", "", IF(1+(BQ117*4)&lt;1, 1, 1+(BQ117*4)))</f>
        <v/>
      </c>
      <c r="BS117" s="898" t="str">
        <f t="shared" si="144"/>
        <v/>
      </c>
      <c r="BT117" s="898" t="str">
        <f t="shared" si="145"/>
        <v/>
      </c>
      <c r="BU117" s="1539" t="str">
        <f>IFERROR(IF(AND(#REF!="",C117&lt;&gt;""),Valid!$E$123,VLOOKUP(#REF!,Valid!$B$123:$F$125,4,FALSE)),"")</f>
        <v/>
      </c>
      <c r="BV117" s="1539" t="str">
        <f>IFERROR(IF(AND(#REF!="",C117&lt;&gt;""),Valid!$F$123,VLOOKUP(#REF!,Valid!$B$123:$F$125,5,FALSE)),"")</f>
        <v/>
      </c>
      <c r="BW117" s="1539" t="str">
        <f>IFERROR(VLOOKUP('A-70 RevVehInv'!S117,Valid!$B$99:$I$120,7), "")</f>
        <v/>
      </c>
      <c r="BX117" s="1539" t="str">
        <f>IFERROR(VLOOKUP(O117,Valid!$B$99:$I$120,8), "")</f>
        <v/>
      </c>
      <c r="BY117" s="894"/>
    </row>
    <row r="118" spans="1:77" ht="6.75" customHeight="1" x14ac:dyDescent="0.2">
      <c r="A118" s="1517"/>
      <c r="B118" s="1530">
        <v>53.5</v>
      </c>
      <c r="C118" s="1540"/>
      <c r="D118" s="905"/>
      <c r="E118" s="1541"/>
      <c r="F118" s="905"/>
      <c r="G118" s="905"/>
      <c r="H118" s="905"/>
      <c r="I118" s="1534"/>
      <c r="J118" s="905"/>
      <c r="K118" s="1534"/>
      <c r="L118" s="905"/>
      <c r="M118" s="1534"/>
      <c r="N118" s="1531"/>
      <c r="O118" s="1542"/>
      <c r="P118" s="905"/>
      <c r="Q118" s="1542"/>
      <c r="R118" s="905"/>
      <c r="S118" s="1534" t="str">
        <f t="shared" si="136"/>
        <v/>
      </c>
      <c r="T118" s="905"/>
      <c r="U118" s="1534"/>
      <c r="V118" s="252" t="str">
        <f t="shared" si="209"/>
        <v/>
      </c>
      <c r="W118" s="1534"/>
      <c r="X118" s="905"/>
      <c r="Y118" s="1973" t="str">
        <f t="shared" si="146"/>
        <v/>
      </c>
      <c r="Z118" s="905"/>
      <c r="AA118" s="1985" t="str">
        <f t="shared" si="147"/>
        <v/>
      </c>
      <c r="AB118" s="1531"/>
      <c r="AC118" s="1534"/>
      <c r="AD118" s="1531"/>
      <c r="AE118" s="1534"/>
      <c r="AF118" s="1531"/>
      <c r="AG118" s="1534"/>
      <c r="AH118" s="1531"/>
      <c r="AI118" s="1543"/>
      <c r="AJ118" s="1531"/>
      <c r="AK118" s="1534"/>
      <c r="AL118" s="1531"/>
      <c r="AM118" s="1531"/>
      <c r="AN118" s="1531"/>
      <c r="AO118" s="1531"/>
      <c r="AP118" s="1531"/>
      <c r="AQ118" s="1535"/>
      <c r="AR118" s="1534"/>
      <c r="AS118" s="1535"/>
      <c r="AT118" s="1534"/>
      <c r="AU118" s="1535"/>
      <c r="AV118" s="1534"/>
      <c r="AW118" s="1535"/>
      <c r="AX118" s="1534"/>
      <c r="AY118" s="1535"/>
      <c r="AZ118" s="1534"/>
      <c r="BA118" s="1535"/>
      <c r="BB118" s="1534"/>
      <c r="BC118" s="1535"/>
      <c r="BD118" s="1534"/>
      <c r="BE118" s="1535"/>
      <c r="BF118" s="1534"/>
      <c r="BG118" s="1535"/>
      <c r="BH118" s="1534"/>
      <c r="BI118" s="1535"/>
      <c r="BJ118" s="1534"/>
      <c r="BK118" s="1535"/>
      <c r="BL118" s="1535"/>
      <c r="BM118" s="1531"/>
      <c r="BN118" s="898" t="str">
        <f t="shared" si="142"/>
        <v/>
      </c>
      <c r="BO118" s="898" t="str">
        <f>IFERROR(IF(AND(O118="",O118&lt;&gt;""),1913,VLOOKUP(O118,Valid!$B$99:$J$120,9)),"")</f>
        <v/>
      </c>
      <c r="BP118" s="898" t="str">
        <f t="shared" ca="1" si="214"/>
        <v/>
      </c>
      <c r="BQ118" s="1547" t="str">
        <f t="shared" ca="1" si="215"/>
        <v/>
      </c>
      <c r="BR118" s="898"/>
      <c r="BS118" s="898" t="str">
        <f t="shared" si="144"/>
        <v/>
      </c>
      <c r="BT118" s="898" t="str">
        <f t="shared" si="145"/>
        <v/>
      </c>
      <c r="BU118" s="1539" t="str">
        <f>IFERROR(IF(AND(#REF!="",C118&lt;&gt;""),Valid!$E$123,VLOOKUP(#REF!,Valid!$B$123:$F$125,4,FALSE)),"")</f>
        <v/>
      </c>
      <c r="BV118" s="1539" t="str">
        <f>IFERROR(IF(AND(#REF!="",C118&lt;&gt;""),Valid!$F$123,VLOOKUP(#REF!,Valid!$B$123:$F$125,5,FALSE)),"")</f>
        <v/>
      </c>
      <c r="BW118" s="1539" t="str">
        <f>IFERROR(VLOOKUP('A-70 RevVehInv'!S118,Valid!$B$99:$I$120,7), "")</f>
        <v/>
      </c>
      <c r="BX118" s="1539" t="str">
        <f>IFERROR(VLOOKUP(O118,Valid!$B$99:$I$120,8), "")</f>
        <v/>
      </c>
      <c r="BY118" s="1531"/>
    </row>
    <row r="119" spans="1:77" s="930" customFormat="1" x14ac:dyDescent="0.2">
      <c r="A119" s="206">
        <v>54</v>
      </c>
      <c r="B119" s="1530">
        <v>54</v>
      </c>
      <c r="C119" s="933"/>
      <c r="D119" s="719" t="str">
        <f>IF(C117="","",IF((C119=""),"Enter RVI ID. then Fill in Columns "&amp;TEXT($I$2,0)&amp;" - "&amp;TEXT($AI$2,0)&amp;"       ",""))</f>
        <v/>
      </c>
      <c r="E119" s="1056" t="str">
        <f>IF(AP119="N/A","",AP119)</f>
        <v/>
      </c>
      <c r="F119" s="1536"/>
      <c r="G119" s="1536"/>
      <c r="H119" s="1536"/>
      <c r="I119" s="1023"/>
      <c r="J119" s="1536" t="str">
        <f>IF(E119&lt;&gt;"","Vehicles?    ","")</f>
        <v/>
      </c>
      <c r="K119" s="1023"/>
      <c r="L119" s="1536" t="str">
        <f>IF(E119&lt;&gt;"","Active Vehicles?     ","")</f>
        <v/>
      </c>
      <c r="M119" s="1023"/>
      <c r="N119" s="894"/>
      <c r="O119" s="1153"/>
      <c r="P119" s="252" t="str">
        <f>IF(E119&lt;&gt;"","Select from Pull-Down List    ","")</f>
        <v/>
      </c>
      <c r="Q119" s="933"/>
      <c r="R119" s="252" t="str">
        <f>IF(E119&lt;&gt;"","Select from Pull-Down List    ","")</f>
        <v/>
      </c>
      <c r="S119" s="1766" t="str">
        <f t="shared" si="136"/>
        <v/>
      </c>
      <c r="T119" s="252"/>
      <c r="U119" s="1988"/>
      <c r="V119" s="252" t="str">
        <f t="shared" si="209"/>
        <v/>
      </c>
      <c r="W119" s="139"/>
      <c r="X119" s="252" t="str">
        <f>IF(E119&lt;&gt;"","Mfg. Yr?    ","")</f>
        <v/>
      </c>
      <c r="Y119" s="1974" t="str">
        <f t="shared" si="146"/>
        <v/>
      </c>
      <c r="Z119" s="252"/>
      <c r="AA119" s="1986" t="str">
        <f t="shared" si="147"/>
        <v/>
      </c>
      <c r="AB119" s="252" t="str">
        <f>IF(E119&lt;&gt;"","Select from Pull-Down List    ","")</f>
        <v/>
      </c>
      <c r="AC119" s="1023"/>
      <c r="AD119" s="252" t="str">
        <f>IF(E119&lt;&gt;"","Feet?    ","")</f>
        <v/>
      </c>
      <c r="AE119" s="1023"/>
      <c r="AF119" s="252" t="str">
        <f>IF(E119&lt;&gt;"","Mileage?       ","")</f>
        <v/>
      </c>
      <c r="AG119" s="1023"/>
      <c r="AH119" s="252" t="str">
        <f>IF(E119&lt;&gt;"","Avg. Lifetime Mileage? ","")</f>
        <v/>
      </c>
      <c r="AI119" s="933"/>
      <c r="AJ119" s="252" t="str">
        <f>IF(E119&lt;&gt;"","Select from Pull-Down List    ","")</f>
        <v/>
      </c>
      <c r="AK119" s="171"/>
      <c r="AL119" s="252"/>
      <c r="AM119" s="894"/>
      <c r="AN119" s="894"/>
      <c r="AO119" s="894" t="b">
        <f>IF(AND(C119="",C121&lt;&gt;""),TRUE,FALSE)</f>
        <v>0</v>
      </c>
      <c r="AP119" s="888" t="str">
        <f t="shared" ref="AP119" si="232">IF(AND(C119&lt;&gt;"",OR(I119="",K119="",M119="",O119="",Q119="",W119="",AC119="",AE119="",AG119="")),"No",IF(AND(C119="",OR(I119&lt;&gt;"",K119&lt;&gt;"",M119&lt;&gt;"",O119&lt;&gt;"",Q119&lt;&gt;"",W119&lt;&gt;"",AC119&lt;&gt;"",AE119&lt;&gt;"",AG119&lt;&gt;"",AI119&lt;&gt;"",AK119&lt;&gt;"")),"No",IF(AND(C119="",I119="",K119="",M119="",O119="",Q119="",W119="",AC119="",AE119="",AG119="",AI119=""),"N/A","Yes")))</f>
        <v>N/A</v>
      </c>
      <c r="AQ119" s="898"/>
      <c r="AR119" s="899" t="b">
        <f t="shared" ref="AR119" si="233">IF(AND(OR(I119&lt;&gt;"",K119&lt;&gt;"",M119&lt;&gt;"",O119&lt;&gt;"",Q119&lt;&gt;"",W119&lt;&gt;"",AC119&lt;&gt;"",AE119&lt;&gt;"",AG119&lt;&gt;"",AI119&lt;&gt;"",AK119&lt;&gt;""),C119=""),TRUE,FALSE)</f>
        <v>0</v>
      </c>
      <c r="AS119" s="898" t="b">
        <f t="shared" ref="AS119" si="234">IF(AT119=TRUE,FALSE,IF(SUM(K119)&gt;I119,TRUE,FALSE))</f>
        <v>0</v>
      </c>
      <c r="AT119" s="899" t="b">
        <f>IF(AND(C119&lt;&gt;"",I119=""),TRUE,FALSE)</f>
        <v>0</v>
      </c>
      <c r="AU119" s="898" t="b">
        <f>IF(AV119=TRUE,FALSE,IF(M119&gt;K119,TRUE,FALSE))</f>
        <v>0</v>
      </c>
      <c r="AV119" s="899" t="b">
        <f>IF(AND($C119&lt;&gt;"",K119=""),TRUE,FALSE)</f>
        <v>0</v>
      </c>
      <c r="AW119" s="898"/>
      <c r="AX119" s="899" t="b">
        <f>IF(AND($C119&lt;&gt;"",M119=""),TRUE,FALSE)</f>
        <v>0</v>
      </c>
      <c r="AY119" s="898" t="b">
        <f t="shared" ref="AY119" si="235">IF(AND(O119="",OR(Q119&lt;&gt;"",W119&lt;&gt;"",AC119&lt;&gt;"",AE119&lt;&gt;"",AG119&lt;&gt;"",AI119&lt;&gt;"")),TRUE,FALSE)</f>
        <v>0</v>
      </c>
      <c r="AZ119" s="899" t="b">
        <f>IF(AND($C119&lt;&gt;"",O119=""),TRUE,FALSE)</f>
        <v>0</v>
      </c>
      <c r="BA119" s="898"/>
      <c r="BB119" s="899" t="b">
        <f>IF(AND($C119&lt;&gt;"",Q119=""),TRUE,FALSE)</f>
        <v>0</v>
      </c>
      <c r="BC119" s="1537" t="b">
        <f>IF(BD119=TRUE,FALSE,IF(W119="",FALSE,IF(OR(W119&lt;BO119,W119&gt;BaseYear),TRUE,FALSE)))</f>
        <v>0</v>
      </c>
      <c r="BD119" s="899" t="b">
        <f>IF(AND($C119&lt;&gt;"",W119=""),TRUE,FALSE)</f>
        <v>0</v>
      </c>
      <c r="BE119" s="1537"/>
      <c r="BF119" s="899" t="b">
        <f>IF(AND($C119&lt;&gt;"",AC119=""),TRUE,FALSE)</f>
        <v>0</v>
      </c>
      <c r="BG119" s="898"/>
      <c r="BH119" s="899" t="b">
        <f>IF(AND($C119&lt;&gt;"",AE119=""),TRUE,FALSE)</f>
        <v>0</v>
      </c>
      <c r="BI119" s="898"/>
      <c r="BJ119" s="899" t="b">
        <f>IF(AND($C119&lt;&gt;"",AG119=""),TRUE,FALSE)</f>
        <v>0</v>
      </c>
      <c r="BK119" s="898"/>
      <c r="BL119" s="898" t="b">
        <f>IF(AND($C119&lt;&gt;"",AI119=""),TRUE,FALSE)</f>
        <v>0</v>
      </c>
      <c r="BM119" s="894"/>
      <c r="BN119" s="898" t="str">
        <f t="shared" si="142"/>
        <v/>
      </c>
      <c r="BO119" s="898" t="str">
        <f>IFERROR(IF(AND(O119="",O119&lt;&gt;""),1913,VLOOKUP(O119,Valid!$B$99:$J$120,9)),"")</f>
        <v/>
      </c>
      <c r="BP119" s="898" t="str">
        <f t="shared" ca="1" si="214"/>
        <v/>
      </c>
      <c r="BQ119" s="1547" t="str">
        <f t="shared" ca="1" si="215"/>
        <v/>
      </c>
      <c r="BR119" s="898" t="str">
        <f ca="1">IF(BQ119="", "", IF(1+(BQ119*4)&lt;1, 1, 1+(BQ119*4)))</f>
        <v/>
      </c>
      <c r="BS119" s="898" t="str">
        <f t="shared" si="144"/>
        <v/>
      </c>
      <c r="BT119" s="898" t="str">
        <f t="shared" si="145"/>
        <v/>
      </c>
      <c r="BU119" s="1539" t="str">
        <f>IFERROR(IF(AND(#REF!="",C119&lt;&gt;""),Valid!$E$123,VLOOKUP(#REF!,Valid!$B$123:$F$125,4,FALSE)),"")</f>
        <v/>
      </c>
      <c r="BV119" s="1539" t="str">
        <f>IFERROR(IF(AND(#REF!="",C119&lt;&gt;""),Valid!$F$123,VLOOKUP(#REF!,Valid!$B$123:$F$125,5,FALSE)),"")</f>
        <v/>
      </c>
      <c r="BW119" s="1539" t="str">
        <f>IFERROR(VLOOKUP('A-70 RevVehInv'!S119,Valid!$B$99:$I$120,7), "")</f>
        <v/>
      </c>
      <c r="BX119" s="1539" t="str">
        <f>IFERROR(VLOOKUP(O119,Valid!$B$99:$I$120,8), "")</f>
        <v/>
      </c>
      <c r="BY119" s="894"/>
    </row>
    <row r="120" spans="1:77" ht="6.75" customHeight="1" x14ac:dyDescent="0.2">
      <c r="A120" s="1517"/>
      <c r="B120" s="1530">
        <v>54.5</v>
      </c>
      <c r="C120" s="1544"/>
      <c r="D120" s="905"/>
      <c r="E120" s="1545"/>
      <c r="F120" s="905"/>
      <c r="G120" s="905"/>
      <c r="H120" s="905"/>
      <c r="I120" s="1531"/>
      <c r="J120" s="905"/>
      <c r="K120" s="1531"/>
      <c r="L120" s="905"/>
      <c r="M120" s="1531"/>
      <c r="N120" s="1531"/>
      <c r="O120" s="1533"/>
      <c r="P120" s="905"/>
      <c r="Q120" s="1533"/>
      <c r="R120" s="905"/>
      <c r="S120" s="1531" t="str">
        <f t="shared" si="136"/>
        <v/>
      </c>
      <c r="T120" s="905"/>
      <c r="U120" s="1531"/>
      <c r="V120" s="252" t="str">
        <f t="shared" si="209"/>
        <v/>
      </c>
      <c r="W120" s="1531"/>
      <c r="X120" s="905"/>
      <c r="Y120" s="1971" t="str">
        <f t="shared" si="146"/>
        <v/>
      </c>
      <c r="Z120" s="905"/>
      <c r="AA120" s="1983" t="str">
        <f t="shared" si="147"/>
        <v/>
      </c>
      <c r="AB120" s="1531"/>
      <c r="AC120" s="1531"/>
      <c r="AD120" s="1531"/>
      <c r="AE120" s="1531"/>
      <c r="AF120" s="1531"/>
      <c r="AG120" s="1534"/>
      <c r="AH120" s="1531"/>
      <c r="AI120" s="1546"/>
      <c r="AJ120" s="1531"/>
      <c r="AK120" s="1531"/>
      <c r="AL120" s="1531"/>
      <c r="AM120" s="1531"/>
      <c r="AN120" s="1531"/>
      <c r="AO120" s="1531"/>
      <c r="AP120" s="1531"/>
      <c r="AQ120" s="1535"/>
      <c r="AR120" s="1534"/>
      <c r="AS120" s="1535"/>
      <c r="AT120" s="1534"/>
      <c r="AU120" s="1535"/>
      <c r="AV120" s="1534"/>
      <c r="AW120" s="1535"/>
      <c r="AX120" s="1534"/>
      <c r="AY120" s="1535"/>
      <c r="AZ120" s="1534"/>
      <c r="BA120" s="1535"/>
      <c r="BB120" s="1534"/>
      <c r="BC120" s="1535"/>
      <c r="BD120" s="1534"/>
      <c r="BE120" s="1535"/>
      <c r="BF120" s="1534"/>
      <c r="BG120" s="1535"/>
      <c r="BH120" s="1534"/>
      <c r="BI120" s="1535"/>
      <c r="BJ120" s="1534"/>
      <c r="BK120" s="1535"/>
      <c r="BL120" s="1535"/>
      <c r="BM120" s="1531"/>
      <c r="BN120" s="898" t="str">
        <f t="shared" si="142"/>
        <v/>
      </c>
      <c r="BO120" s="898" t="str">
        <f>IFERROR(IF(AND(O120="",O120&lt;&gt;""),1913,VLOOKUP(O120,Valid!$B$99:$J$120,9)),"")</f>
        <v/>
      </c>
      <c r="BP120" s="898" t="str">
        <f t="shared" ca="1" si="214"/>
        <v/>
      </c>
      <c r="BQ120" s="1547" t="str">
        <f t="shared" ca="1" si="215"/>
        <v/>
      </c>
      <c r="BR120" s="898"/>
      <c r="BS120" s="898" t="str">
        <f t="shared" si="144"/>
        <v/>
      </c>
      <c r="BT120" s="898" t="str">
        <f t="shared" si="145"/>
        <v/>
      </c>
      <c r="BU120" s="1539" t="str">
        <f>IFERROR(IF(AND(#REF!="",C120&lt;&gt;""),Valid!$E$123,VLOOKUP(#REF!,Valid!$B$123:$F$125,4,FALSE)),"")</f>
        <v/>
      </c>
      <c r="BV120" s="1539" t="str">
        <f>IFERROR(IF(AND(#REF!="",C120&lt;&gt;""),Valid!$F$123,VLOOKUP(#REF!,Valid!$B$123:$F$125,5,FALSE)),"")</f>
        <v/>
      </c>
      <c r="BW120" s="1539" t="str">
        <f>IFERROR(VLOOKUP('A-70 RevVehInv'!S120,Valid!$B$99:$I$120,7), "")</f>
        <v/>
      </c>
      <c r="BX120" s="1539" t="str">
        <f>IFERROR(VLOOKUP(O120,Valid!$B$99:$I$120,8), "")</f>
        <v/>
      </c>
      <c r="BY120" s="1531"/>
    </row>
    <row r="121" spans="1:77" s="930" customFormat="1" x14ac:dyDescent="0.2">
      <c r="A121" s="206">
        <v>55</v>
      </c>
      <c r="B121" s="1530">
        <v>55</v>
      </c>
      <c r="C121" s="933"/>
      <c r="D121" s="719" t="str">
        <f>IF(C119="","",IF((C121=""),"Enter RVI ID. then Fill in Columns "&amp;TEXT($I$2,0)&amp;" - "&amp;TEXT($AI$2,0)&amp;"       ",""))</f>
        <v/>
      </c>
      <c r="E121" s="1056" t="str">
        <f>IF(AP121="N/A","",AP121)</f>
        <v/>
      </c>
      <c r="F121" s="1536"/>
      <c r="G121" s="1536"/>
      <c r="H121" s="1536"/>
      <c r="I121" s="1023"/>
      <c r="J121" s="1536" t="str">
        <f>IF(E121&lt;&gt;"","Vehicles?    ","")</f>
        <v/>
      </c>
      <c r="K121" s="1023"/>
      <c r="L121" s="1536" t="str">
        <f>IF(E121&lt;&gt;"","Active Vehicles?     ","")</f>
        <v/>
      </c>
      <c r="M121" s="1023"/>
      <c r="N121" s="894"/>
      <c r="O121" s="1153"/>
      <c r="P121" s="252" t="str">
        <f>IF(E121&lt;&gt;"","Select from Pull-Down List    ","")</f>
        <v/>
      </c>
      <c r="Q121" s="933"/>
      <c r="R121" s="252" t="str">
        <f>IF(E121&lt;&gt;"","Select from Pull-Down List    ","")</f>
        <v/>
      </c>
      <c r="S121" s="1766" t="str">
        <f t="shared" si="136"/>
        <v/>
      </c>
      <c r="T121" s="252"/>
      <c r="U121" s="1988"/>
      <c r="V121" s="252" t="str">
        <f t="shared" si="209"/>
        <v/>
      </c>
      <c r="W121" s="139"/>
      <c r="X121" s="252" t="str">
        <f>IF(E121&lt;&gt;"","Mfg. Yr?    ","")</f>
        <v/>
      </c>
      <c r="Y121" s="1974" t="str">
        <f t="shared" si="146"/>
        <v/>
      </c>
      <c r="Z121" s="252"/>
      <c r="AA121" s="1986" t="str">
        <f t="shared" si="147"/>
        <v/>
      </c>
      <c r="AB121" s="252" t="str">
        <f>IF(E121&lt;&gt;"","Select from Pull-Down List    ","")</f>
        <v/>
      </c>
      <c r="AC121" s="1023"/>
      <c r="AD121" s="252" t="str">
        <f>IF(E121&lt;&gt;"","Feet?    ","")</f>
        <v/>
      </c>
      <c r="AE121" s="1023"/>
      <c r="AF121" s="252" t="str">
        <f>IF(E121&lt;&gt;"","Mileage?       ","")</f>
        <v/>
      </c>
      <c r="AG121" s="1023"/>
      <c r="AH121" s="252" t="str">
        <f>IF(E121&lt;&gt;"","Avg. Lifetime Mileage? ","")</f>
        <v/>
      </c>
      <c r="AI121" s="933"/>
      <c r="AJ121" s="252" t="str">
        <f>IF(E121&lt;&gt;"","Select from Pull-Down List    ","")</f>
        <v/>
      </c>
      <c r="AK121" s="171"/>
      <c r="AL121" s="252"/>
      <c r="AM121" s="894"/>
      <c r="AN121" s="894"/>
      <c r="AO121" s="894" t="b">
        <f>IF(AND(C121="",C123&lt;&gt;""),TRUE,FALSE)</f>
        <v>0</v>
      </c>
      <c r="AP121" s="888" t="str">
        <f t="shared" ref="AP121" si="236">IF(AND(C121&lt;&gt;"",OR(I121="",K121="",M121="",O121="",Q121="",W121="",AC121="",AE121="",AG121="")),"No",IF(AND(C121="",OR(I121&lt;&gt;"",K121&lt;&gt;"",M121&lt;&gt;"",O121&lt;&gt;"",Q121&lt;&gt;"",W121&lt;&gt;"",AC121&lt;&gt;"",AE121&lt;&gt;"",AG121&lt;&gt;"",AI121&lt;&gt;"",AK121&lt;&gt;"")),"No",IF(AND(C121="",I121="",K121="",M121="",O121="",Q121="",W121="",AC121="",AE121="",AG121="",AI121=""),"N/A","Yes")))</f>
        <v>N/A</v>
      </c>
      <c r="AQ121" s="898"/>
      <c r="AR121" s="899" t="b">
        <f t="shared" ref="AR121" si="237">IF(AND(OR(I121&lt;&gt;"",K121&lt;&gt;"",M121&lt;&gt;"",O121&lt;&gt;"",Q121&lt;&gt;"",W121&lt;&gt;"",AC121&lt;&gt;"",AE121&lt;&gt;"",AG121&lt;&gt;"",AI121&lt;&gt;"",AK121&lt;&gt;""),C121=""),TRUE,FALSE)</f>
        <v>0</v>
      </c>
      <c r="AS121" s="898" t="b">
        <f t="shared" ref="AS121" si="238">IF(AT121=TRUE,FALSE,IF(SUM(K121)&gt;I121,TRUE,FALSE))</f>
        <v>0</v>
      </c>
      <c r="AT121" s="899" t="b">
        <f>IF(AND(C121&lt;&gt;"",I121=""),TRUE,FALSE)</f>
        <v>0</v>
      </c>
      <c r="AU121" s="898" t="b">
        <f>IF(AV121=TRUE,FALSE,IF(M121&gt;K121,TRUE,FALSE))</f>
        <v>0</v>
      </c>
      <c r="AV121" s="899" t="b">
        <f>IF(AND($C121&lt;&gt;"",K121=""),TRUE,FALSE)</f>
        <v>0</v>
      </c>
      <c r="AW121" s="898"/>
      <c r="AX121" s="899" t="b">
        <f>IF(AND($C121&lt;&gt;"",M121=""),TRUE,FALSE)</f>
        <v>0</v>
      </c>
      <c r="AY121" s="898" t="b">
        <f t="shared" ref="AY121" si="239">IF(AND(O121="",OR(Q121&lt;&gt;"",W121&lt;&gt;"",AC121&lt;&gt;"",AE121&lt;&gt;"",AG121&lt;&gt;"",AI121&lt;&gt;"")),TRUE,FALSE)</f>
        <v>0</v>
      </c>
      <c r="AZ121" s="899" t="b">
        <f>IF(AND($C121&lt;&gt;"",O121=""),TRUE,FALSE)</f>
        <v>0</v>
      </c>
      <c r="BA121" s="898"/>
      <c r="BB121" s="899" t="b">
        <f>IF(AND($C121&lt;&gt;"",Q121=""),TRUE,FALSE)</f>
        <v>0</v>
      </c>
      <c r="BC121" s="1537" t="b">
        <f>IF(BD121=TRUE,FALSE,IF(W121="",FALSE,IF(OR(W121&lt;BO121,W121&gt;BaseYear),TRUE,FALSE)))</f>
        <v>0</v>
      </c>
      <c r="BD121" s="899" t="b">
        <f>IF(AND($C121&lt;&gt;"",W121=""),TRUE,FALSE)</f>
        <v>0</v>
      </c>
      <c r="BE121" s="1537"/>
      <c r="BF121" s="899" t="b">
        <f>IF(AND($C121&lt;&gt;"",AC121=""),TRUE,FALSE)</f>
        <v>0</v>
      </c>
      <c r="BG121" s="898"/>
      <c r="BH121" s="899" t="b">
        <f>IF(AND($C121&lt;&gt;"",AE121=""),TRUE,FALSE)</f>
        <v>0</v>
      </c>
      <c r="BI121" s="898"/>
      <c r="BJ121" s="899" t="b">
        <f>IF(AND($C121&lt;&gt;"",AG121=""),TRUE,FALSE)</f>
        <v>0</v>
      </c>
      <c r="BK121" s="898"/>
      <c r="BL121" s="898" t="b">
        <f>IF(AND($C121&lt;&gt;"",AI121=""),TRUE,FALSE)</f>
        <v>0</v>
      </c>
      <c r="BM121" s="894"/>
      <c r="BN121" s="898" t="str">
        <f t="shared" si="142"/>
        <v/>
      </c>
      <c r="BO121" s="898" t="str">
        <f>IFERROR(IF(AND(O121="",O121&lt;&gt;""),1913,VLOOKUP(O121,Valid!$B$99:$J$120,9)),"")</f>
        <v/>
      </c>
      <c r="BP121" s="898" t="str">
        <f t="shared" ca="1" si="214"/>
        <v/>
      </c>
      <c r="BQ121" s="1547" t="str">
        <f t="shared" ca="1" si="215"/>
        <v/>
      </c>
      <c r="BR121" s="898" t="str">
        <f ca="1">IF(BQ121="", "", IF(1+(BQ121*4)&lt;1, 1, 1+(BQ121*4)))</f>
        <v/>
      </c>
      <c r="BS121" s="898" t="str">
        <f t="shared" si="144"/>
        <v/>
      </c>
      <c r="BT121" s="898" t="str">
        <f t="shared" si="145"/>
        <v/>
      </c>
      <c r="BU121" s="1539" t="str">
        <f>IFERROR(IF(AND(#REF!="",C121&lt;&gt;""),Valid!$E$123,VLOOKUP(#REF!,Valid!$B$123:$F$125,4,FALSE)),"")</f>
        <v/>
      </c>
      <c r="BV121" s="1539" t="str">
        <f>IFERROR(IF(AND(#REF!="",C121&lt;&gt;""),Valid!$F$123,VLOOKUP(#REF!,Valid!$B$123:$F$125,5,FALSE)),"")</f>
        <v/>
      </c>
      <c r="BW121" s="1539" t="str">
        <f>IFERROR(VLOOKUP('A-70 RevVehInv'!S121,Valid!$B$99:$I$120,7), "")</f>
        <v/>
      </c>
      <c r="BX121" s="1539" t="str">
        <f>IFERROR(VLOOKUP(O121,Valid!$B$99:$I$120,8), "")</f>
        <v/>
      </c>
      <c r="BY121" s="894"/>
    </row>
    <row r="122" spans="1:77" ht="6.75" customHeight="1" x14ac:dyDescent="0.2">
      <c r="A122" s="1517"/>
      <c r="B122" s="1530">
        <v>55.5</v>
      </c>
      <c r="C122" s="1540"/>
      <c r="D122" s="905"/>
      <c r="E122" s="1541"/>
      <c r="F122" s="905"/>
      <c r="G122" s="905"/>
      <c r="H122" s="905"/>
      <c r="I122" s="1534"/>
      <c r="J122" s="905"/>
      <c r="K122" s="1534"/>
      <c r="L122" s="905"/>
      <c r="M122" s="1534"/>
      <c r="N122" s="1531"/>
      <c r="O122" s="1542"/>
      <c r="P122" s="905"/>
      <c r="Q122" s="1542"/>
      <c r="R122" s="905"/>
      <c r="S122" s="1534" t="str">
        <f t="shared" si="136"/>
        <v/>
      </c>
      <c r="T122" s="905"/>
      <c r="U122" s="1534"/>
      <c r="V122" s="252" t="str">
        <f t="shared" si="209"/>
        <v/>
      </c>
      <c r="W122" s="1534"/>
      <c r="X122" s="905"/>
      <c r="Y122" s="1973" t="str">
        <f t="shared" si="146"/>
        <v/>
      </c>
      <c r="Z122" s="905"/>
      <c r="AA122" s="1985" t="str">
        <f t="shared" si="147"/>
        <v/>
      </c>
      <c r="AB122" s="1531"/>
      <c r="AC122" s="1534"/>
      <c r="AD122" s="1531"/>
      <c r="AE122" s="1534"/>
      <c r="AF122" s="1531"/>
      <c r="AG122" s="1534"/>
      <c r="AH122" s="1531"/>
      <c r="AI122" s="1543"/>
      <c r="AJ122" s="1531"/>
      <c r="AK122" s="1534"/>
      <c r="AL122" s="1531"/>
      <c r="AM122" s="1531"/>
      <c r="AN122" s="1531"/>
      <c r="AO122" s="1531"/>
      <c r="AP122" s="1531"/>
      <c r="AQ122" s="1535"/>
      <c r="AR122" s="1534"/>
      <c r="AS122" s="1535"/>
      <c r="AT122" s="1534"/>
      <c r="AU122" s="1535"/>
      <c r="AV122" s="1534"/>
      <c r="AW122" s="1535"/>
      <c r="AX122" s="1534"/>
      <c r="AY122" s="1535"/>
      <c r="AZ122" s="1534"/>
      <c r="BA122" s="1535"/>
      <c r="BB122" s="1534"/>
      <c r="BC122" s="1535"/>
      <c r="BD122" s="1534"/>
      <c r="BE122" s="1535"/>
      <c r="BF122" s="1534"/>
      <c r="BG122" s="1535"/>
      <c r="BH122" s="1534"/>
      <c r="BI122" s="1535"/>
      <c r="BJ122" s="1534"/>
      <c r="BK122" s="1535"/>
      <c r="BL122" s="1535"/>
      <c r="BM122" s="1531"/>
      <c r="BN122" s="898" t="str">
        <f t="shared" si="142"/>
        <v/>
      </c>
      <c r="BO122" s="898" t="str">
        <f>IFERROR(IF(AND(O122="",O122&lt;&gt;""),1913,VLOOKUP(O122,Valid!$B$99:$J$120,9)),"")</f>
        <v/>
      </c>
      <c r="BP122" s="898" t="str">
        <f t="shared" ca="1" si="214"/>
        <v/>
      </c>
      <c r="BQ122" s="1547" t="str">
        <f t="shared" ca="1" si="215"/>
        <v/>
      </c>
      <c r="BR122" s="898"/>
      <c r="BS122" s="898" t="str">
        <f t="shared" si="144"/>
        <v/>
      </c>
      <c r="BT122" s="898" t="str">
        <f t="shared" si="145"/>
        <v/>
      </c>
      <c r="BU122" s="1539" t="str">
        <f>IFERROR(IF(AND(#REF!="",C122&lt;&gt;""),Valid!$E$123,VLOOKUP(#REF!,Valid!$B$123:$F$125,4,FALSE)),"")</f>
        <v/>
      </c>
      <c r="BV122" s="1539" t="str">
        <f>IFERROR(IF(AND(#REF!="",C122&lt;&gt;""),Valid!$F$123,VLOOKUP(#REF!,Valid!$B$123:$F$125,5,FALSE)),"")</f>
        <v/>
      </c>
      <c r="BW122" s="1539" t="str">
        <f>IFERROR(VLOOKUP('A-70 RevVehInv'!S122,Valid!$B$99:$I$120,7), "")</f>
        <v/>
      </c>
      <c r="BX122" s="1539" t="str">
        <f>IFERROR(VLOOKUP(O122,Valid!$B$99:$I$120,8), "")</f>
        <v/>
      </c>
      <c r="BY122" s="1531"/>
    </row>
    <row r="123" spans="1:77" s="930" customFormat="1" x14ac:dyDescent="0.2">
      <c r="A123" s="206">
        <v>56</v>
      </c>
      <c r="B123" s="1530">
        <v>56</v>
      </c>
      <c r="C123" s="933"/>
      <c r="D123" s="719" t="str">
        <f>IF(C121="","",IF((C123=""),"Enter RVI ID. then Fill in Columns "&amp;TEXT($I$2,0)&amp;" - "&amp;TEXT($AI$2,0)&amp;"       ",""))</f>
        <v/>
      </c>
      <c r="E123" s="1056" t="str">
        <f>IF(AP123="N/A","",AP123)</f>
        <v/>
      </c>
      <c r="F123" s="1536"/>
      <c r="G123" s="1536"/>
      <c r="H123" s="1536"/>
      <c r="I123" s="1023"/>
      <c r="J123" s="1536" t="str">
        <f>IF(E123&lt;&gt;"","Vehicles?    ","")</f>
        <v/>
      </c>
      <c r="K123" s="1023"/>
      <c r="L123" s="1536" t="str">
        <f>IF(E123&lt;&gt;"","Active Vehicles?     ","")</f>
        <v/>
      </c>
      <c r="M123" s="1023"/>
      <c r="N123" s="894"/>
      <c r="O123" s="1153"/>
      <c r="P123" s="252" t="str">
        <f>IF(E123&lt;&gt;"","Select from Pull-Down List    ","")</f>
        <v/>
      </c>
      <c r="Q123" s="933"/>
      <c r="R123" s="252" t="str">
        <f>IF(E123&lt;&gt;"","Select from Pull-Down List    ","")</f>
        <v/>
      </c>
      <c r="S123" s="1766" t="str">
        <f t="shared" si="136"/>
        <v/>
      </c>
      <c r="T123" s="252"/>
      <c r="U123" s="1988"/>
      <c r="V123" s="252" t="str">
        <f t="shared" si="209"/>
        <v/>
      </c>
      <c r="W123" s="139"/>
      <c r="X123" s="252" t="str">
        <f>IF(E123&lt;&gt;"","Mfg. Yr?    ","")</f>
        <v/>
      </c>
      <c r="Y123" s="1974" t="str">
        <f t="shared" si="146"/>
        <v/>
      </c>
      <c r="Z123" s="252"/>
      <c r="AA123" s="1986" t="str">
        <f t="shared" si="147"/>
        <v/>
      </c>
      <c r="AB123" s="252" t="str">
        <f>IF(E123&lt;&gt;"","Select from Pull-Down List    ","")</f>
        <v/>
      </c>
      <c r="AC123" s="1023"/>
      <c r="AD123" s="252" t="str">
        <f>IF(E123&lt;&gt;"","Feet?    ","")</f>
        <v/>
      </c>
      <c r="AE123" s="1023"/>
      <c r="AF123" s="252" t="str">
        <f>IF(E123&lt;&gt;"","Mileage?       ","")</f>
        <v/>
      </c>
      <c r="AG123" s="1023"/>
      <c r="AH123" s="252" t="str">
        <f>IF(E123&lt;&gt;"","Avg. Lifetime Mileage? ","")</f>
        <v/>
      </c>
      <c r="AI123" s="933"/>
      <c r="AJ123" s="252" t="str">
        <f>IF(E123&lt;&gt;"","Select from Pull-Down List    ","")</f>
        <v/>
      </c>
      <c r="AK123" s="171"/>
      <c r="AL123" s="252"/>
      <c r="AM123" s="894"/>
      <c r="AN123" s="894"/>
      <c r="AO123" s="894" t="b">
        <f>IF(AND(C123="",C125&lt;&gt;""),TRUE,FALSE)</f>
        <v>0</v>
      </c>
      <c r="AP123" s="888" t="str">
        <f t="shared" ref="AP123" si="240">IF(AND(C123&lt;&gt;"",OR(I123="",K123="",M123="",O123="",Q123="",W123="",AC123="",AE123="",AG123="")),"No",IF(AND(C123="",OR(I123&lt;&gt;"",K123&lt;&gt;"",M123&lt;&gt;"",O123&lt;&gt;"",Q123&lt;&gt;"",W123&lt;&gt;"",AC123&lt;&gt;"",AE123&lt;&gt;"",AG123&lt;&gt;"",AI123&lt;&gt;"",AK123&lt;&gt;"")),"No",IF(AND(C123="",I123="",K123="",M123="",O123="",Q123="",W123="",AC123="",AE123="",AG123="",AI123=""),"N/A","Yes")))</f>
        <v>N/A</v>
      </c>
      <c r="AQ123" s="898"/>
      <c r="AR123" s="899" t="b">
        <f t="shared" ref="AR123" si="241">IF(AND(OR(I123&lt;&gt;"",K123&lt;&gt;"",M123&lt;&gt;"",O123&lt;&gt;"",Q123&lt;&gt;"",W123&lt;&gt;"",AC123&lt;&gt;"",AE123&lt;&gt;"",AG123&lt;&gt;"",AI123&lt;&gt;"",AK123&lt;&gt;""),C123=""),TRUE,FALSE)</f>
        <v>0</v>
      </c>
      <c r="AS123" s="898" t="b">
        <f t="shared" ref="AS123" si="242">IF(AT123=TRUE,FALSE,IF(SUM(K123)&gt;I123,TRUE,FALSE))</f>
        <v>0</v>
      </c>
      <c r="AT123" s="899" t="b">
        <f>IF(AND(C123&lt;&gt;"",I123=""),TRUE,FALSE)</f>
        <v>0</v>
      </c>
      <c r="AU123" s="898" t="b">
        <f>IF(AV123=TRUE,FALSE,IF(M123&gt;K123,TRUE,FALSE))</f>
        <v>0</v>
      </c>
      <c r="AV123" s="899" t="b">
        <f>IF(AND($C123&lt;&gt;"",K123=""),TRUE,FALSE)</f>
        <v>0</v>
      </c>
      <c r="AW123" s="898"/>
      <c r="AX123" s="899" t="b">
        <f>IF(AND($C123&lt;&gt;"",M123=""),TRUE,FALSE)</f>
        <v>0</v>
      </c>
      <c r="AY123" s="898" t="b">
        <f t="shared" ref="AY123" si="243">IF(AND(O123="",OR(Q123&lt;&gt;"",W123&lt;&gt;"",AC123&lt;&gt;"",AE123&lt;&gt;"",AG123&lt;&gt;"",AI123&lt;&gt;"")),TRUE,FALSE)</f>
        <v>0</v>
      </c>
      <c r="AZ123" s="899" t="b">
        <f>IF(AND($C123&lt;&gt;"",O123=""),TRUE,FALSE)</f>
        <v>0</v>
      </c>
      <c r="BA123" s="898"/>
      <c r="BB123" s="899" t="b">
        <f>IF(AND($C123&lt;&gt;"",Q123=""),TRUE,FALSE)</f>
        <v>0</v>
      </c>
      <c r="BC123" s="1537" t="b">
        <f>IF(BD123=TRUE,FALSE,IF(W123="",FALSE,IF(OR(W123&lt;BO123,W123&gt;BaseYear),TRUE,FALSE)))</f>
        <v>0</v>
      </c>
      <c r="BD123" s="899" t="b">
        <f>IF(AND($C123&lt;&gt;"",W123=""),TRUE,FALSE)</f>
        <v>0</v>
      </c>
      <c r="BE123" s="1537"/>
      <c r="BF123" s="899" t="b">
        <f>IF(AND($C123&lt;&gt;"",AC123=""),TRUE,FALSE)</f>
        <v>0</v>
      </c>
      <c r="BG123" s="898"/>
      <c r="BH123" s="899" t="b">
        <f>IF(AND($C123&lt;&gt;"",AE123=""),TRUE,FALSE)</f>
        <v>0</v>
      </c>
      <c r="BI123" s="898"/>
      <c r="BJ123" s="899" t="b">
        <f>IF(AND($C123&lt;&gt;"",AG123=""),TRUE,FALSE)</f>
        <v>0</v>
      </c>
      <c r="BK123" s="898"/>
      <c r="BL123" s="898" t="b">
        <f>IF(AND($C123&lt;&gt;"",AI123=""),TRUE,FALSE)</f>
        <v>0</v>
      </c>
      <c r="BM123" s="894"/>
      <c r="BN123" s="898" t="str">
        <f t="shared" si="142"/>
        <v/>
      </c>
      <c r="BO123" s="898" t="str">
        <f>IFERROR(IF(AND(O123="",O123&lt;&gt;""),1913,VLOOKUP(O123,Valid!$B$99:$J$120,9)),"")</f>
        <v/>
      </c>
      <c r="BP123" s="898" t="str">
        <f t="shared" ca="1" si="214"/>
        <v/>
      </c>
      <c r="BQ123" s="1547" t="str">
        <f t="shared" ca="1" si="215"/>
        <v/>
      </c>
      <c r="BR123" s="898" t="str">
        <f ca="1">IF(BQ123="", "", IF(1+(BQ123*4)&lt;1, 1, 1+(BQ123*4)))</f>
        <v/>
      </c>
      <c r="BS123" s="898" t="str">
        <f t="shared" si="144"/>
        <v/>
      </c>
      <c r="BT123" s="898" t="str">
        <f t="shared" si="145"/>
        <v/>
      </c>
      <c r="BU123" s="1539" t="str">
        <f>IFERROR(IF(AND(#REF!="",C123&lt;&gt;""),Valid!$E$123,VLOOKUP(#REF!,Valid!$B$123:$F$125,4,FALSE)),"")</f>
        <v/>
      </c>
      <c r="BV123" s="1539" t="str">
        <f>IFERROR(IF(AND(#REF!="",C123&lt;&gt;""),Valid!$F$123,VLOOKUP(#REF!,Valid!$B$123:$F$125,5,FALSE)),"")</f>
        <v/>
      </c>
      <c r="BW123" s="1539" t="str">
        <f>IFERROR(VLOOKUP('A-70 RevVehInv'!S123,Valid!$B$99:$I$120,7), "")</f>
        <v/>
      </c>
      <c r="BX123" s="1539" t="str">
        <f>IFERROR(VLOOKUP(O123,Valid!$B$99:$I$120,8), "")</f>
        <v/>
      </c>
      <c r="BY123" s="894"/>
    </row>
    <row r="124" spans="1:77" ht="6.75" customHeight="1" x14ac:dyDescent="0.2">
      <c r="A124" s="1517"/>
      <c r="B124" s="1530">
        <v>56.5</v>
      </c>
      <c r="C124" s="1544"/>
      <c r="D124" s="905"/>
      <c r="E124" s="1545"/>
      <c r="F124" s="905"/>
      <c r="G124" s="905"/>
      <c r="H124" s="905"/>
      <c r="I124" s="1531"/>
      <c r="J124" s="905"/>
      <c r="K124" s="1531"/>
      <c r="L124" s="905"/>
      <c r="M124" s="1531"/>
      <c r="N124" s="1531"/>
      <c r="O124" s="1533"/>
      <c r="P124" s="905"/>
      <c r="Q124" s="1533"/>
      <c r="R124" s="905"/>
      <c r="S124" s="1531" t="str">
        <f t="shared" si="136"/>
        <v/>
      </c>
      <c r="T124" s="905"/>
      <c r="U124" s="1531"/>
      <c r="V124" s="252" t="str">
        <f t="shared" si="209"/>
        <v/>
      </c>
      <c r="W124" s="1531"/>
      <c r="X124" s="905"/>
      <c r="Y124" s="1971" t="str">
        <f t="shared" si="146"/>
        <v/>
      </c>
      <c r="Z124" s="905"/>
      <c r="AA124" s="1983" t="str">
        <f t="shared" si="147"/>
        <v/>
      </c>
      <c r="AB124" s="1531"/>
      <c r="AC124" s="1531"/>
      <c r="AD124" s="1531"/>
      <c r="AE124" s="1531"/>
      <c r="AF124" s="1531"/>
      <c r="AG124" s="1534"/>
      <c r="AH124" s="1531"/>
      <c r="AI124" s="1546"/>
      <c r="AJ124" s="1531"/>
      <c r="AK124" s="1531"/>
      <c r="AL124" s="1531"/>
      <c r="AM124" s="1531"/>
      <c r="AN124" s="1531"/>
      <c r="AO124" s="1531"/>
      <c r="AP124" s="1531"/>
      <c r="AQ124" s="1535"/>
      <c r="AR124" s="1534"/>
      <c r="AS124" s="1535"/>
      <c r="AT124" s="1534"/>
      <c r="AU124" s="1535"/>
      <c r="AV124" s="1534"/>
      <c r="AW124" s="1535"/>
      <c r="AX124" s="1534"/>
      <c r="AY124" s="1535"/>
      <c r="AZ124" s="1534"/>
      <c r="BA124" s="1535"/>
      <c r="BB124" s="1534"/>
      <c r="BC124" s="1535"/>
      <c r="BD124" s="1534"/>
      <c r="BE124" s="1535"/>
      <c r="BF124" s="1534"/>
      <c r="BG124" s="1535"/>
      <c r="BH124" s="1534"/>
      <c r="BI124" s="1535"/>
      <c r="BJ124" s="1534"/>
      <c r="BK124" s="1535"/>
      <c r="BL124" s="1535"/>
      <c r="BM124" s="1531"/>
      <c r="BN124" s="898" t="str">
        <f t="shared" si="142"/>
        <v/>
      </c>
      <c r="BO124" s="898" t="str">
        <f>IFERROR(IF(AND(O124="",O124&lt;&gt;""),1913,VLOOKUP(O124,Valid!$B$99:$J$120,9)),"")</f>
        <v/>
      </c>
      <c r="BP124" s="898" t="str">
        <f t="shared" ca="1" si="214"/>
        <v/>
      </c>
      <c r="BQ124" s="1547" t="str">
        <f t="shared" ca="1" si="215"/>
        <v/>
      </c>
      <c r="BR124" s="898"/>
      <c r="BS124" s="898" t="str">
        <f t="shared" si="144"/>
        <v/>
      </c>
      <c r="BT124" s="898" t="str">
        <f t="shared" si="145"/>
        <v/>
      </c>
      <c r="BU124" s="1539" t="str">
        <f>IFERROR(IF(AND(#REF!="",C124&lt;&gt;""),Valid!$E$123,VLOOKUP(#REF!,Valid!$B$123:$F$125,4,FALSE)),"")</f>
        <v/>
      </c>
      <c r="BV124" s="1539" t="str">
        <f>IFERROR(IF(AND(#REF!="",C124&lt;&gt;""),Valid!$F$123,VLOOKUP(#REF!,Valid!$B$123:$F$125,5,FALSE)),"")</f>
        <v/>
      </c>
      <c r="BW124" s="1539" t="str">
        <f>IFERROR(VLOOKUP('A-70 RevVehInv'!S124,Valid!$B$99:$I$120,7), "")</f>
        <v/>
      </c>
      <c r="BX124" s="1539" t="str">
        <f>IFERROR(VLOOKUP(O124,Valid!$B$99:$I$120,8), "")</f>
        <v/>
      </c>
      <c r="BY124" s="1531"/>
    </row>
    <row r="125" spans="1:77" s="930" customFormat="1" x14ac:dyDescent="0.2">
      <c r="A125" s="206">
        <v>57</v>
      </c>
      <c r="B125" s="1530">
        <v>57</v>
      </c>
      <c r="C125" s="933"/>
      <c r="D125" s="719" t="str">
        <f>IF(C123="","",IF((C125=""),"Enter RVI ID. then Fill in Columns "&amp;TEXT($I$2,0)&amp;" - "&amp;TEXT($AI$2,0)&amp;"       ",""))</f>
        <v/>
      </c>
      <c r="E125" s="1056" t="str">
        <f>IF(AP125="N/A","",AP125)</f>
        <v/>
      </c>
      <c r="F125" s="1536"/>
      <c r="G125" s="1536"/>
      <c r="H125" s="1536"/>
      <c r="I125" s="1023"/>
      <c r="J125" s="1536" t="str">
        <f>IF(E125&lt;&gt;"","Vehicles?    ","")</f>
        <v/>
      </c>
      <c r="K125" s="1023"/>
      <c r="L125" s="1536" t="str">
        <f>IF(E125&lt;&gt;"","Active Vehicles?     ","")</f>
        <v/>
      </c>
      <c r="M125" s="1023"/>
      <c r="N125" s="894"/>
      <c r="O125" s="1153"/>
      <c r="P125" s="252" t="str">
        <f>IF(E125&lt;&gt;"","Select from Pull-Down List    ","")</f>
        <v/>
      </c>
      <c r="Q125" s="933"/>
      <c r="R125" s="252" t="str">
        <f>IF(E125&lt;&gt;"","Select from Pull-Down List    ","")</f>
        <v/>
      </c>
      <c r="S125" s="1766" t="str">
        <f t="shared" si="136"/>
        <v/>
      </c>
      <c r="T125" s="252"/>
      <c r="U125" s="1988"/>
      <c r="V125" s="252" t="str">
        <f t="shared" si="209"/>
        <v/>
      </c>
      <c r="W125" s="139"/>
      <c r="X125" s="252" t="str">
        <f>IF(E125&lt;&gt;"","Mfg. Yr?    ","")</f>
        <v/>
      </c>
      <c r="Y125" s="1974" t="str">
        <f t="shared" si="146"/>
        <v/>
      </c>
      <c r="Z125" s="252"/>
      <c r="AA125" s="1986" t="str">
        <f t="shared" si="147"/>
        <v/>
      </c>
      <c r="AB125" s="252" t="str">
        <f>IF(E125&lt;&gt;"","Select from Pull-Down List    ","")</f>
        <v/>
      </c>
      <c r="AC125" s="1023"/>
      <c r="AD125" s="252" t="str">
        <f>IF(E125&lt;&gt;"","Feet?    ","")</f>
        <v/>
      </c>
      <c r="AE125" s="1023"/>
      <c r="AF125" s="252" t="str">
        <f>IF(E125&lt;&gt;"","Mileage?       ","")</f>
        <v/>
      </c>
      <c r="AG125" s="1023"/>
      <c r="AH125" s="252" t="str">
        <f>IF(E125&lt;&gt;"","Avg. Lifetime Mileage? ","")</f>
        <v/>
      </c>
      <c r="AI125" s="933"/>
      <c r="AJ125" s="252" t="str">
        <f>IF(E125&lt;&gt;"","Select from Pull-Down List    ","")</f>
        <v/>
      </c>
      <c r="AK125" s="171"/>
      <c r="AL125" s="252"/>
      <c r="AM125" s="894"/>
      <c r="AN125" s="894"/>
      <c r="AO125" s="894" t="b">
        <f>IF(AND(C125="",C127&lt;&gt;""),TRUE,FALSE)</f>
        <v>0</v>
      </c>
      <c r="AP125" s="888" t="str">
        <f t="shared" ref="AP125" si="244">IF(AND(C125&lt;&gt;"",OR(I125="",K125="",M125="",O125="",Q125="",W125="",AC125="",AE125="",AG125="")),"No",IF(AND(C125="",OR(I125&lt;&gt;"",K125&lt;&gt;"",M125&lt;&gt;"",O125&lt;&gt;"",Q125&lt;&gt;"",W125&lt;&gt;"",AC125&lt;&gt;"",AE125&lt;&gt;"",AG125&lt;&gt;"",AI125&lt;&gt;"",AK125&lt;&gt;"")),"No",IF(AND(C125="",I125="",K125="",M125="",O125="",Q125="",W125="",AC125="",AE125="",AG125="",AI125=""),"N/A","Yes")))</f>
        <v>N/A</v>
      </c>
      <c r="AQ125" s="898"/>
      <c r="AR125" s="899" t="b">
        <f t="shared" ref="AR125" si="245">IF(AND(OR(I125&lt;&gt;"",K125&lt;&gt;"",M125&lt;&gt;"",O125&lt;&gt;"",Q125&lt;&gt;"",W125&lt;&gt;"",AC125&lt;&gt;"",AE125&lt;&gt;"",AG125&lt;&gt;"",AI125&lt;&gt;"",AK125&lt;&gt;""),C125=""),TRUE,FALSE)</f>
        <v>0</v>
      </c>
      <c r="AS125" s="898" t="b">
        <f t="shared" ref="AS125" si="246">IF(AT125=TRUE,FALSE,IF(SUM(K125)&gt;I125,TRUE,FALSE))</f>
        <v>0</v>
      </c>
      <c r="AT125" s="899" t="b">
        <f>IF(AND(C125&lt;&gt;"",I125=""),TRUE,FALSE)</f>
        <v>0</v>
      </c>
      <c r="AU125" s="898" t="b">
        <f>IF(AV125=TRUE,FALSE,IF(M125&gt;K125,TRUE,FALSE))</f>
        <v>0</v>
      </c>
      <c r="AV125" s="899" t="b">
        <f>IF(AND($C125&lt;&gt;"",K125=""),TRUE,FALSE)</f>
        <v>0</v>
      </c>
      <c r="AW125" s="898"/>
      <c r="AX125" s="899" t="b">
        <f>IF(AND($C125&lt;&gt;"",M125=""),TRUE,FALSE)</f>
        <v>0</v>
      </c>
      <c r="AY125" s="898" t="b">
        <f t="shared" ref="AY125" si="247">IF(AND(O125="",OR(Q125&lt;&gt;"",W125&lt;&gt;"",AC125&lt;&gt;"",AE125&lt;&gt;"",AG125&lt;&gt;"",AI125&lt;&gt;"")),TRUE,FALSE)</f>
        <v>0</v>
      </c>
      <c r="AZ125" s="899" t="b">
        <f>IF(AND($C125&lt;&gt;"",O125=""),TRUE,FALSE)</f>
        <v>0</v>
      </c>
      <c r="BA125" s="898"/>
      <c r="BB125" s="899" t="b">
        <f>IF(AND($C125&lt;&gt;"",Q125=""),TRUE,FALSE)</f>
        <v>0</v>
      </c>
      <c r="BC125" s="1537" t="b">
        <f>IF(BD125=TRUE,FALSE,IF(W125="",FALSE,IF(OR(W125&lt;BO125,W125&gt;BaseYear),TRUE,FALSE)))</f>
        <v>0</v>
      </c>
      <c r="BD125" s="899" t="b">
        <f>IF(AND($C125&lt;&gt;"",W125=""),TRUE,FALSE)</f>
        <v>0</v>
      </c>
      <c r="BE125" s="1537"/>
      <c r="BF125" s="899" t="b">
        <f>IF(AND($C125&lt;&gt;"",AC125=""),TRUE,FALSE)</f>
        <v>0</v>
      </c>
      <c r="BG125" s="898"/>
      <c r="BH125" s="899" t="b">
        <f>IF(AND($C125&lt;&gt;"",AE125=""),TRUE,FALSE)</f>
        <v>0</v>
      </c>
      <c r="BI125" s="898"/>
      <c r="BJ125" s="899" t="b">
        <f>IF(AND($C125&lt;&gt;"",AG125=""),TRUE,FALSE)</f>
        <v>0</v>
      </c>
      <c r="BK125" s="898"/>
      <c r="BL125" s="898" t="b">
        <f>IF(AND($C125&lt;&gt;"",AI125=""),TRUE,FALSE)</f>
        <v>0</v>
      </c>
      <c r="BM125" s="894"/>
      <c r="BN125" s="898" t="str">
        <f t="shared" si="142"/>
        <v/>
      </c>
      <c r="BO125" s="898" t="str">
        <f>IFERROR(IF(AND(O125="",O125&lt;&gt;""),1913,VLOOKUP(O125,Valid!$B$99:$J$120,9)),"")</f>
        <v/>
      </c>
      <c r="BP125" s="898" t="str">
        <f t="shared" ca="1" si="214"/>
        <v/>
      </c>
      <c r="BQ125" s="1547" t="str">
        <f t="shared" ca="1" si="215"/>
        <v/>
      </c>
      <c r="BR125" s="898" t="str">
        <f ca="1">IF(BQ125="", "", IF(1+(BQ125*4)&lt;1, 1, 1+(BQ125*4)))</f>
        <v/>
      </c>
      <c r="BS125" s="898" t="str">
        <f t="shared" si="144"/>
        <v/>
      </c>
      <c r="BT125" s="898" t="str">
        <f t="shared" si="145"/>
        <v/>
      </c>
      <c r="BU125" s="1539" t="str">
        <f>IFERROR(IF(AND(#REF!="",C125&lt;&gt;""),Valid!$E$123,VLOOKUP(#REF!,Valid!$B$123:$F$125,4,FALSE)),"")</f>
        <v/>
      </c>
      <c r="BV125" s="1539" t="str">
        <f>IFERROR(IF(AND(#REF!="",C125&lt;&gt;""),Valid!$F$123,VLOOKUP(#REF!,Valid!$B$123:$F$125,5,FALSE)),"")</f>
        <v/>
      </c>
      <c r="BW125" s="1539" t="str">
        <f>IFERROR(VLOOKUP('A-70 RevVehInv'!S125,Valid!$B$99:$I$120,7), "")</f>
        <v/>
      </c>
      <c r="BX125" s="1539" t="str">
        <f>IFERROR(VLOOKUP(O125,Valid!$B$99:$I$120,8), "")</f>
        <v/>
      </c>
      <c r="BY125" s="894"/>
    </row>
    <row r="126" spans="1:77" ht="6.75" customHeight="1" x14ac:dyDescent="0.2">
      <c r="A126" s="1517"/>
      <c r="B126" s="1530">
        <v>57.5</v>
      </c>
      <c r="C126" s="1540"/>
      <c r="D126" s="905"/>
      <c r="E126" s="1541"/>
      <c r="F126" s="905"/>
      <c r="G126" s="905"/>
      <c r="H126" s="905"/>
      <c r="I126" s="1534"/>
      <c r="J126" s="905"/>
      <c r="K126" s="1534"/>
      <c r="L126" s="905"/>
      <c r="M126" s="1534"/>
      <c r="N126" s="1531"/>
      <c r="O126" s="1542"/>
      <c r="P126" s="905"/>
      <c r="Q126" s="1542"/>
      <c r="R126" s="905"/>
      <c r="S126" s="1534" t="str">
        <f t="shared" si="136"/>
        <v/>
      </c>
      <c r="T126" s="905"/>
      <c r="U126" s="1534"/>
      <c r="V126" s="252" t="str">
        <f t="shared" si="209"/>
        <v/>
      </c>
      <c r="W126" s="1534"/>
      <c r="X126" s="905"/>
      <c r="Y126" s="1973" t="str">
        <f t="shared" si="146"/>
        <v/>
      </c>
      <c r="Z126" s="905"/>
      <c r="AA126" s="1985" t="str">
        <f t="shared" si="147"/>
        <v/>
      </c>
      <c r="AB126" s="1531"/>
      <c r="AC126" s="1534"/>
      <c r="AD126" s="1531"/>
      <c r="AE126" s="1534"/>
      <c r="AF126" s="1531"/>
      <c r="AG126" s="1534"/>
      <c r="AH126" s="1531"/>
      <c r="AI126" s="1543"/>
      <c r="AJ126" s="1531"/>
      <c r="AK126" s="1534"/>
      <c r="AL126" s="1531"/>
      <c r="AM126" s="1531"/>
      <c r="AN126" s="1531"/>
      <c r="AO126" s="1531"/>
      <c r="AP126" s="1531"/>
      <c r="AQ126" s="1535"/>
      <c r="AR126" s="1534"/>
      <c r="AS126" s="1535"/>
      <c r="AT126" s="1534"/>
      <c r="AU126" s="1535"/>
      <c r="AV126" s="1534"/>
      <c r="AW126" s="1535"/>
      <c r="AX126" s="1534"/>
      <c r="AY126" s="1535"/>
      <c r="AZ126" s="1534"/>
      <c r="BA126" s="1535"/>
      <c r="BB126" s="1534"/>
      <c r="BC126" s="1535"/>
      <c r="BD126" s="1534"/>
      <c r="BE126" s="1535"/>
      <c r="BF126" s="1534"/>
      <c r="BG126" s="1535"/>
      <c r="BH126" s="1534"/>
      <c r="BI126" s="1535"/>
      <c r="BJ126" s="1534"/>
      <c r="BK126" s="1535"/>
      <c r="BL126" s="1535"/>
      <c r="BM126" s="1531"/>
      <c r="BN126" s="898" t="str">
        <f t="shared" si="142"/>
        <v/>
      </c>
      <c r="BO126" s="898" t="str">
        <f>IFERROR(IF(AND(O126="",O126&lt;&gt;""),1913,VLOOKUP(O126,Valid!$B$99:$J$120,9)),"")</f>
        <v/>
      </c>
      <c r="BP126" s="898" t="str">
        <f t="shared" ca="1" si="214"/>
        <v/>
      </c>
      <c r="BQ126" s="1547" t="str">
        <f t="shared" ca="1" si="215"/>
        <v/>
      </c>
      <c r="BR126" s="898"/>
      <c r="BS126" s="898" t="str">
        <f t="shared" si="144"/>
        <v/>
      </c>
      <c r="BT126" s="898" t="str">
        <f t="shared" si="145"/>
        <v/>
      </c>
      <c r="BU126" s="1539" t="str">
        <f>IFERROR(IF(AND(#REF!="",C126&lt;&gt;""),Valid!$E$123,VLOOKUP(#REF!,Valid!$B$123:$F$125,4,FALSE)),"")</f>
        <v/>
      </c>
      <c r="BV126" s="1539" t="str">
        <f>IFERROR(IF(AND(#REF!="",C126&lt;&gt;""),Valid!$F$123,VLOOKUP(#REF!,Valid!$B$123:$F$125,5,FALSE)),"")</f>
        <v/>
      </c>
      <c r="BW126" s="1539" t="str">
        <f>IFERROR(VLOOKUP('A-70 RevVehInv'!S126,Valid!$B$99:$I$120,7), "")</f>
        <v/>
      </c>
      <c r="BX126" s="1539" t="str">
        <f>IFERROR(VLOOKUP(O126,Valid!$B$99:$I$120,8), "")</f>
        <v/>
      </c>
      <c r="BY126" s="1531"/>
    </row>
    <row r="127" spans="1:77" s="930" customFormat="1" x14ac:dyDescent="0.2">
      <c r="A127" s="206">
        <v>58</v>
      </c>
      <c r="B127" s="1530">
        <v>58</v>
      </c>
      <c r="C127" s="933"/>
      <c r="D127" s="719" t="str">
        <f>IF(C125="","",IF((C127=""),"Enter RVI ID. then Fill in Columns "&amp;TEXT($I$2,0)&amp;" - "&amp;TEXT($AI$2,0)&amp;"       ",""))</f>
        <v/>
      </c>
      <c r="E127" s="1056" t="str">
        <f>IF(AP127="N/A","",AP127)</f>
        <v/>
      </c>
      <c r="F127" s="1536"/>
      <c r="G127" s="1536"/>
      <c r="H127" s="1536"/>
      <c r="I127" s="1023"/>
      <c r="J127" s="1536" t="str">
        <f>IF(E127&lt;&gt;"","Vehicles?    ","")</f>
        <v/>
      </c>
      <c r="K127" s="1023"/>
      <c r="L127" s="1536" t="str">
        <f>IF(E127&lt;&gt;"","Active Vehicles?     ","")</f>
        <v/>
      </c>
      <c r="M127" s="1023"/>
      <c r="N127" s="894"/>
      <c r="O127" s="1153"/>
      <c r="P127" s="252" t="str">
        <f>IF(E127&lt;&gt;"","Select from Pull-Down List    ","")</f>
        <v/>
      </c>
      <c r="Q127" s="933"/>
      <c r="R127" s="252" t="str">
        <f>IF(E127&lt;&gt;"","Select from Pull-Down List    ","")</f>
        <v/>
      </c>
      <c r="S127" s="1766" t="str">
        <f t="shared" si="136"/>
        <v/>
      </c>
      <c r="T127" s="252"/>
      <c r="U127" s="1988"/>
      <c r="V127" s="252" t="str">
        <f t="shared" si="209"/>
        <v/>
      </c>
      <c r="W127" s="139"/>
      <c r="X127" s="252" t="str">
        <f>IF(E127&lt;&gt;"","Mfg. Yr?    ","")</f>
        <v/>
      </c>
      <c r="Y127" s="1974" t="str">
        <f t="shared" si="146"/>
        <v/>
      </c>
      <c r="Z127" s="252"/>
      <c r="AA127" s="1986" t="str">
        <f t="shared" si="147"/>
        <v/>
      </c>
      <c r="AB127" s="252" t="str">
        <f>IF(E127&lt;&gt;"","Select from Pull-Down List    ","")</f>
        <v/>
      </c>
      <c r="AC127" s="1023"/>
      <c r="AD127" s="252" t="str">
        <f>IF(E127&lt;&gt;"","Feet?    ","")</f>
        <v/>
      </c>
      <c r="AE127" s="1023"/>
      <c r="AF127" s="252" t="str">
        <f>IF(E127&lt;&gt;"","Mileage?       ","")</f>
        <v/>
      </c>
      <c r="AG127" s="1023"/>
      <c r="AH127" s="252" t="str">
        <f>IF(E127&lt;&gt;"","Avg. Lifetime Mileage? ","")</f>
        <v/>
      </c>
      <c r="AI127" s="933"/>
      <c r="AJ127" s="252" t="str">
        <f>IF(E127&lt;&gt;"","Select from Pull-Down List    ","")</f>
        <v/>
      </c>
      <c r="AK127" s="171"/>
      <c r="AL127" s="252"/>
      <c r="AM127" s="894"/>
      <c r="AN127" s="894"/>
      <c r="AO127" s="894" t="b">
        <f>IF(AND(C127="",C129&lt;&gt;""),TRUE,FALSE)</f>
        <v>0</v>
      </c>
      <c r="AP127" s="888" t="str">
        <f t="shared" ref="AP127" si="248">IF(AND(C127&lt;&gt;"",OR(I127="",K127="",M127="",O127="",Q127="",W127="",AC127="",AE127="",AG127="")),"No",IF(AND(C127="",OR(I127&lt;&gt;"",K127&lt;&gt;"",M127&lt;&gt;"",O127&lt;&gt;"",Q127&lt;&gt;"",W127&lt;&gt;"",AC127&lt;&gt;"",AE127&lt;&gt;"",AG127&lt;&gt;"",AI127&lt;&gt;"",AK127&lt;&gt;"")),"No",IF(AND(C127="",I127="",K127="",M127="",O127="",Q127="",W127="",AC127="",AE127="",AG127="",AI127=""),"N/A","Yes")))</f>
        <v>N/A</v>
      </c>
      <c r="AQ127" s="898"/>
      <c r="AR127" s="899" t="b">
        <f t="shared" ref="AR127" si="249">IF(AND(OR(I127&lt;&gt;"",K127&lt;&gt;"",M127&lt;&gt;"",O127&lt;&gt;"",Q127&lt;&gt;"",W127&lt;&gt;"",AC127&lt;&gt;"",AE127&lt;&gt;"",AG127&lt;&gt;"",AI127&lt;&gt;"",AK127&lt;&gt;""),C127=""),TRUE,FALSE)</f>
        <v>0</v>
      </c>
      <c r="AS127" s="898" t="b">
        <f t="shared" ref="AS127" si="250">IF(AT127=TRUE,FALSE,IF(SUM(K127)&gt;I127,TRUE,FALSE))</f>
        <v>0</v>
      </c>
      <c r="AT127" s="899" t="b">
        <f>IF(AND(C127&lt;&gt;"",I127=""),TRUE,FALSE)</f>
        <v>0</v>
      </c>
      <c r="AU127" s="898" t="b">
        <f>IF(AV127=TRUE,FALSE,IF(M127&gt;K127,TRUE,FALSE))</f>
        <v>0</v>
      </c>
      <c r="AV127" s="899" t="b">
        <f>IF(AND($C127&lt;&gt;"",K127=""),TRUE,FALSE)</f>
        <v>0</v>
      </c>
      <c r="AW127" s="898"/>
      <c r="AX127" s="899" t="b">
        <f>IF(AND($C127&lt;&gt;"",M127=""),TRUE,FALSE)</f>
        <v>0</v>
      </c>
      <c r="AY127" s="898" t="b">
        <f t="shared" ref="AY127" si="251">IF(AND(O127="",OR(Q127&lt;&gt;"",W127&lt;&gt;"",AC127&lt;&gt;"",AE127&lt;&gt;"",AG127&lt;&gt;"",AI127&lt;&gt;"")),TRUE,FALSE)</f>
        <v>0</v>
      </c>
      <c r="AZ127" s="899" t="b">
        <f>IF(AND($C127&lt;&gt;"",O127=""),TRUE,FALSE)</f>
        <v>0</v>
      </c>
      <c r="BA127" s="898"/>
      <c r="BB127" s="899" t="b">
        <f>IF(AND($C127&lt;&gt;"",Q127=""),TRUE,FALSE)</f>
        <v>0</v>
      </c>
      <c r="BC127" s="1537" t="b">
        <f>IF(BD127=TRUE,FALSE,IF(W127="",FALSE,IF(OR(W127&lt;BO127,W127&gt;BaseYear),TRUE,FALSE)))</f>
        <v>0</v>
      </c>
      <c r="BD127" s="899" t="b">
        <f>IF(AND($C127&lt;&gt;"",W127=""),TRUE,FALSE)</f>
        <v>0</v>
      </c>
      <c r="BE127" s="1537"/>
      <c r="BF127" s="899" t="b">
        <f>IF(AND($C127&lt;&gt;"",AC127=""),TRUE,FALSE)</f>
        <v>0</v>
      </c>
      <c r="BG127" s="898"/>
      <c r="BH127" s="899" t="b">
        <f>IF(AND($C127&lt;&gt;"",AE127=""),TRUE,FALSE)</f>
        <v>0</v>
      </c>
      <c r="BI127" s="898"/>
      <c r="BJ127" s="899" t="b">
        <f>IF(AND($C127&lt;&gt;"",AG127=""),TRUE,FALSE)</f>
        <v>0</v>
      </c>
      <c r="BK127" s="898"/>
      <c r="BL127" s="898" t="b">
        <f>IF(AND($C127&lt;&gt;"",AI127=""),TRUE,FALSE)</f>
        <v>0</v>
      </c>
      <c r="BM127" s="894"/>
      <c r="BN127" s="898" t="str">
        <f t="shared" si="142"/>
        <v/>
      </c>
      <c r="BO127" s="898" t="str">
        <f>IFERROR(IF(AND(O127="",O127&lt;&gt;""),1913,VLOOKUP(O127,Valid!$B$99:$J$120,9)),"")</f>
        <v/>
      </c>
      <c r="BP127" s="898" t="str">
        <f t="shared" ca="1" si="214"/>
        <v/>
      </c>
      <c r="BQ127" s="1547" t="str">
        <f t="shared" ca="1" si="215"/>
        <v/>
      </c>
      <c r="BR127" s="898" t="str">
        <f ca="1">IF(BQ127="", "", IF(1+(BQ127*4)&lt;1, 1, 1+(BQ127*4)))</f>
        <v/>
      </c>
      <c r="BS127" s="898" t="str">
        <f t="shared" si="144"/>
        <v/>
      </c>
      <c r="BT127" s="898" t="str">
        <f t="shared" si="145"/>
        <v/>
      </c>
      <c r="BU127" s="1539" t="str">
        <f>IFERROR(IF(AND(#REF!="",C127&lt;&gt;""),Valid!$E$123,VLOOKUP(#REF!,Valid!$B$123:$F$125,4,FALSE)),"")</f>
        <v/>
      </c>
      <c r="BV127" s="1539" t="str">
        <f>IFERROR(IF(AND(#REF!="",C127&lt;&gt;""),Valid!$F$123,VLOOKUP(#REF!,Valid!$B$123:$F$125,5,FALSE)),"")</f>
        <v/>
      </c>
      <c r="BW127" s="1539" t="str">
        <f>IFERROR(VLOOKUP('A-70 RevVehInv'!S127,Valid!$B$99:$I$120,7), "")</f>
        <v/>
      </c>
      <c r="BX127" s="1539" t="str">
        <f>IFERROR(VLOOKUP(O127,Valid!$B$99:$I$120,8), "")</f>
        <v/>
      </c>
      <c r="BY127" s="894"/>
    </row>
    <row r="128" spans="1:77" ht="6.75" customHeight="1" x14ac:dyDescent="0.2">
      <c r="A128" s="1517"/>
      <c r="B128" s="1530">
        <v>58.5</v>
      </c>
      <c r="C128" s="1544"/>
      <c r="D128" s="905"/>
      <c r="E128" s="1545"/>
      <c r="F128" s="905"/>
      <c r="G128" s="905"/>
      <c r="H128" s="905"/>
      <c r="I128" s="1531"/>
      <c r="J128" s="905"/>
      <c r="K128" s="1531"/>
      <c r="L128" s="905"/>
      <c r="M128" s="1531"/>
      <c r="N128" s="1531"/>
      <c r="O128" s="1533"/>
      <c r="P128" s="905"/>
      <c r="Q128" s="1533"/>
      <c r="R128" s="905"/>
      <c r="S128" s="1531" t="str">
        <f t="shared" si="136"/>
        <v/>
      </c>
      <c r="T128" s="905"/>
      <c r="U128" s="1531"/>
      <c r="V128" s="252" t="str">
        <f t="shared" si="209"/>
        <v/>
      </c>
      <c r="W128" s="1531"/>
      <c r="X128" s="905"/>
      <c r="Y128" s="1971" t="str">
        <f t="shared" si="146"/>
        <v/>
      </c>
      <c r="Z128" s="905"/>
      <c r="AA128" s="1983" t="str">
        <f t="shared" si="147"/>
        <v/>
      </c>
      <c r="AB128" s="1531"/>
      <c r="AC128" s="1531"/>
      <c r="AD128" s="1531"/>
      <c r="AE128" s="1531"/>
      <c r="AF128" s="1531"/>
      <c r="AG128" s="1534"/>
      <c r="AH128" s="1531"/>
      <c r="AI128" s="1546"/>
      <c r="AJ128" s="1531"/>
      <c r="AK128" s="1531"/>
      <c r="AL128" s="1531"/>
      <c r="AM128" s="1531"/>
      <c r="AN128" s="1531"/>
      <c r="AO128" s="1531"/>
      <c r="AP128" s="1531"/>
      <c r="AQ128" s="1535"/>
      <c r="AR128" s="1534"/>
      <c r="AS128" s="1535"/>
      <c r="AT128" s="1534"/>
      <c r="AU128" s="1535"/>
      <c r="AV128" s="1534"/>
      <c r="AW128" s="1535"/>
      <c r="AX128" s="1534"/>
      <c r="AY128" s="1535"/>
      <c r="AZ128" s="1534"/>
      <c r="BA128" s="1535"/>
      <c r="BB128" s="1534"/>
      <c r="BC128" s="1535"/>
      <c r="BD128" s="1534"/>
      <c r="BE128" s="1535"/>
      <c r="BF128" s="1534"/>
      <c r="BG128" s="1535"/>
      <c r="BH128" s="1534"/>
      <c r="BI128" s="1535"/>
      <c r="BJ128" s="1534"/>
      <c r="BK128" s="1535"/>
      <c r="BL128" s="1535"/>
      <c r="BM128" s="1531"/>
      <c r="BN128" s="898" t="str">
        <f t="shared" si="142"/>
        <v/>
      </c>
      <c r="BO128" s="898" t="str">
        <f>IFERROR(IF(AND(O128="",O128&lt;&gt;""),1913,VLOOKUP(O128,Valid!$B$99:$J$120,9)),"")</f>
        <v/>
      </c>
      <c r="BP128" s="898" t="str">
        <f t="shared" ca="1" si="214"/>
        <v/>
      </c>
      <c r="BQ128" s="1547" t="str">
        <f t="shared" ca="1" si="215"/>
        <v/>
      </c>
      <c r="BR128" s="898"/>
      <c r="BS128" s="898" t="str">
        <f t="shared" si="144"/>
        <v/>
      </c>
      <c r="BT128" s="898" t="str">
        <f t="shared" si="145"/>
        <v/>
      </c>
      <c r="BU128" s="1539" t="str">
        <f>IFERROR(IF(AND(#REF!="",C128&lt;&gt;""),Valid!$E$123,VLOOKUP(#REF!,Valid!$B$123:$F$125,4,FALSE)),"")</f>
        <v/>
      </c>
      <c r="BV128" s="1539" t="str">
        <f>IFERROR(IF(AND(#REF!="",C128&lt;&gt;""),Valid!$F$123,VLOOKUP(#REF!,Valid!$B$123:$F$125,5,FALSE)),"")</f>
        <v/>
      </c>
      <c r="BW128" s="1539" t="str">
        <f>IFERROR(VLOOKUP('A-70 RevVehInv'!S128,Valid!$B$99:$I$120,7), "")</f>
        <v/>
      </c>
      <c r="BX128" s="1539" t="str">
        <f>IFERROR(VLOOKUP(O128,Valid!$B$99:$I$120,8), "")</f>
        <v/>
      </c>
      <c r="BY128" s="1531"/>
    </row>
    <row r="129" spans="1:77" s="930" customFormat="1" x14ac:dyDescent="0.2">
      <c r="A129" s="206">
        <v>59</v>
      </c>
      <c r="B129" s="1530">
        <v>59</v>
      </c>
      <c r="C129" s="933"/>
      <c r="D129" s="719" t="str">
        <f>IF(C127="","",IF((C129=""),"Enter RVI ID. then Fill in Columns "&amp;TEXT($I$2,0)&amp;" - "&amp;TEXT($AI$2,0)&amp;"       ",""))</f>
        <v/>
      </c>
      <c r="E129" s="1056" t="str">
        <f>IF(AP129="N/A","",AP129)</f>
        <v/>
      </c>
      <c r="F129" s="1536"/>
      <c r="G129" s="1536"/>
      <c r="H129" s="1536"/>
      <c r="I129" s="1023"/>
      <c r="J129" s="1536" t="str">
        <f>IF(E129&lt;&gt;"","Vehicles?    ","")</f>
        <v/>
      </c>
      <c r="K129" s="1023"/>
      <c r="L129" s="1536" t="str">
        <f>IF(E129&lt;&gt;"","Active Vehicles?     ","")</f>
        <v/>
      </c>
      <c r="M129" s="1023"/>
      <c r="N129" s="894"/>
      <c r="O129" s="1153"/>
      <c r="P129" s="252" t="str">
        <f>IF(E129&lt;&gt;"","Select from Pull-Down List    ","")</f>
        <v/>
      </c>
      <c r="Q129" s="933"/>
      <c r="R129" s="252" t="str">
        <f>IF(E129&lt;&gt;"","Select from Pull-Down List    ","")</f>
        <v/>
      </c>
      <c r="S129" s="1766" t="str">
        <f t="shared" si="136"/>
        <v/>
      </c>
      <c r="T129" s="252"/>
      <c r="U129" s="1988"/>
      <c r="V129" s="252" t="str">
        <f t="shared" si="209"/>
        <v/>
      </c>
      <c r="W129" s="139"/>
      <c r="X129" s="252" t="str">
        <f>IF(E129&lt;&gt;"","Mfg. Yr?    ","")</f>
        <v/>
      </c>
      <c r="Y129" s="1974" t="str">
        <f t="shared" si="146"/>
        <v/>
      </c>
      <c r="Z129" s="252"/>
      <c r="AA129" s="1986" t="str">
        <f t="shared" si="147"/>
        <v/>
      </c>
      <c r="AB129" s="252" t="str">
        <f>IF(E129&lt;&gt;"","Select from Pull-Down List    ","")</f>
        <v/>
      </c>
      <c r="AC129" s="1023"/>
      <c r="AD129" s="252" t="str">
        <f>IF(E129&lt;&gt;"","Feet?    ","")</f>
        <v/>
      </c>
      <c r="AE129" s="1023"/>
      <c r="AF129" s="252" t="str">
        <f>IF(E129&lt;&gt;"","Mileage?       ","")</f>
        <v/>
      </c>
      <c r="AG129" s="1023"/>
      <c r="AH129" s="252" t="str">
        <f>IF(E129&lt;&gt;"","Avg. Lifetime Mileage? ","")</f>
        <v/>
      </c>
      <c r="AI129" s="933"/>
      <c r="AJ129" s="252" t="str">
        <f>IF(E129&lt;&gt;"","Select from Pull-Down List    ","")</f>
        <v/>
      </c>
      <c r="AK129" s="171"/>
      <c r="AL129" s="252"/>
      <c r="AM129" s="894"/>
      <c r="AN129" s="894"/>
      <c r="AO129" s="894" t="b">
        <f>IF(AND(C129="",C131&lt;&gt;""),TRUE,FALSE)</f>
        <v>0</v>
      </c>
      <c r="AP129" s="888" t="str">
        <f t="shared" ref="AP129" si="252">IF(AND(C129&lt;&gt;"",OR(I129="",K129="",M129="",O129="",Q129="",W129="",AC129="",AE129="",AG129="")),"No",IF(AND(C129="",OR(I129&lt;&gt;"",K129&lt;&gt;"",M129&lt;&gt;"",O129&lt;&gt;"",Q129&lt;&gt;"",W129&lt;&gt;"",AC129&lt;&gt;"",AE129&lt;&gt;"",AG129&lt;&gt;"",AI129&lt;&gt;"",AK129&lt;&gt;"")),"No",IF(AND(C129="",I129="",K129="",M129="",O129="",Q129="",W129="",AC129="",AE129="",AG129="",AI129=""),"N/A","Yes")))</f>
        <v>N/A</v>
      </c>
      <c r="AQ129" s="898"/>
      <c r="AR129" s="899" t="b">
        <f t="shared" ref="AR129" si="253">IF(AND(OR(I129&lt;&gt;"",K129&lt;&gt;"",M129&lt;&gt;"",O129&lt;&gt;"",Q129&lt;&gt;"",W129&lt;&gt;"",AC129&lt;&gt;"",AE129&lt;&gt;"",AG129&lt;&gt;"",AI129&lt;&gt;"",AK129&lt;&gt;""),C129=""),TRUE,FALSE)</f>
        <v>0</v>
      </c>
      <c r="AS129" s="898" t="b">
        <f t="shared" ref="AS129" si="254">IF(AT129=TRUE,FALSE,IF(SUM(K129)&gt;I129,TRUE,FALSE))</f>
        <v>0</v>
      </c>
      <c r="AT129" s="899" t="b">
        <f>IF(AND(C129&lt;&gt;"",I129=""),TRUE,FALSE)</f>
        <v>0</v>
      </c>
      <c r="AU129" s="898" t="b">
        <f>IF(AV129=TRUE,FALSE,IF(M129&gt;K129,TRUE,FALSE))</f>
        <v>0</v>
      </c>
      <c r="AV129" s="899" t="b">
        <f>IF(AND($C129&lt;&gt;"",K129=""),TRUE,FALSE)</f>
        <v>0</v>
      </c>
      <c r="AW129" s="898"/>
      <c r="AX129" s="899" t="b">
        <f>IF(AND($C129&lt;&gt;"",M129=""),TRUE,FALSE)</f>
        <v>0</v>
      </c>
      <c r="AY129" s="898" t="b">
        <f t="shared" ref="AY129" si="255">IF(AND(O129="",OR(Q129&lt;&gt;"",W129&lt;&gt;"",AC129&lt;&gt;"",AE129&lt;&gt;"",AG129&lt;&gt;"",AI129&lt;&gt;"")),TRUE,FALSE)</f>
        <v>0</v>
      </c>
      <c r="AZ129" s="899" t="b">
        <f>IF(AND($C129&lt;&gt;"",O129=""),TRUE,FALSE)</f>
        <v>0</v>
      </c>
      <c r="BA129" s="898"/>
      <c r="BB129" s="899" t="b">
        <f>IF(AND($C129&lt;&gt;"",Q129=""),TRUE,FALSE)</f>
        <v>0</v>
      </c>
      <c r="BC129" s="1537" t="b">
        <f>IF(BD129=TRUE,FALSE,IF(W129="",FALSE,IF(OR(W129&lt;BO129,W129&gt;BaseYear),TRUE,FALSE)))</f>
        <v>0</v>
      </c>
      <c r="BD129" s="899" t="b">
        <f>IF(AND($C129&lt;&gt;"",W129=""),TRUE,FALSE)</f>
        <v>0</v>
      </c>
      <c r="BE129" s="1537"/>
      <c r="BF129" s="899" t="b">
        <f>IF(AND($C129&lt;&gt;"",AC129=""),TRUE,FALSE)</f>
        <v>0</v>
      </c>
      <c r="BG129" s="898"/>
      <c r="BH129" s="899" t="b">
        <f>IF(AND($C129&lt;&gt;"",AE129=""),TRUE,FALSE)</f>
        <v>0</v>
      </c>
      <c r="BI129" s="898"/>
      <c r="BJ129" s="899" t="b">
        <f>IF(AND($C129&lt;&gt;"",AG129=""),TRUE,FALSE)</f>
        <v>0</v>
      </c>
      <c r="BK129" s="898"/>
      <c r="BL129" s="898" t="b">
        <f>IF(AND($C129&lt;&gt;"",AI129=""),TRUE,FALSE)</f>
        <v>0</v>
      </c>
      <c r="BM129" s="894"/>
      <c r="BN129" s="898" t="str">
        <f t="shared" si="142"/>
        <v/>
      </c>
      <c r="BO129" s="898" t="str">
        <f>IFERROR(IF(AND(O129="",O129&lt;&gt;""),1913,VLOOKUP(O129,Valid!$B$99:$J$120,9)),"")</f>
        <v/>
      </c>
      <c r="BP129" s="898" t="str">
        <f t="shared" ca="1" si="214"/>
        <v/>
      </c>
      <c r="BQ129" s="1547" t="str">
        <f t="shared" ca="1" si="215"/>
        <v/>
      </c>
      <c r="BR129" s="898" t="str">
        <f ca="1">IF(BQ129="", "", IF(1+(BQ129*4)&lt;1, 1, 1+(BQ129*4)))</f>
        <v/>
      </c>
      <c r="BS129" s="898" t="str">
        <f t="shared" si="144"/>
        <v/>
      </c>
      <c r="BT129" s="898" t="str">
        <f t="shared" si="145"/>
        <v/>
      </c>
      <c r="BU129" s="1539" t="str">
        <f>IFERROR(IF(AND(#REF!="",C129&lt;&gt;""),Valid!$E$123,VLOOKUP(#REF!,Valid!$B$123:$F$125,4,FALSE)),"")</f>
        <v/>
      </c>
      <c r="BV129" s="1539" t="str">
        <f>IFERROR(IF(AND(#REF!="",C129&lt;&gt;""),Valid!$F$123,VLOOKUP(#REF!,Valid!$B$123:$F$125,5,FALSE)),"")</f>
        <v/>
      </c>
      <c r="BW129" s="1539" t="str">
        <f>IFERROR(VLOOKUP('A-70 RevVehInv'!S129,Valid!$B$99:$I$120,7), "")</f>
        <v/>
      </c>
      <c r="BX129" s="1539" t="str">
        <f>IFERROR(VLOOKUP(O129,Valid!$B$99:$I$120,8), "")</f>
        <v/>
      </c>
      <c r="BY129" s="894"/>
    </row>
    <row r="130" spans="1:77" ht="6.75" customHeight="1" x14ac:dyDescent="0.2">
      <c r="A130" s="1517"/>
      <c r="B130" s="1530">
        <v>59.5</v>
      </c>
      <c r="C130" s="1540"/>
      <c r="D130" s="905"/>
      <c r="E130" s="1541"/>
      <c r="F130" s="905"/>
      <c r="G130" s="905"/>
      <c r="H130" s="905"/>
      <c r="I130" s="1534"/>
      <c r="J130" s="905"/>
      <c r="K130" s="1534"/>
      <c r="L130" s="905"/>
      <c r="M130" s="1534"/>
      <c r="N130" s="1531"/>
      <c r="O130" s="1542"/>
      <c r="P130" s="905"/>
      <c r="Q130" s="1542"/>
      <c r="R130" s="905"/>
      <c r="S130" s="1534" t="str">
        <f t="shared" si="136"/>
        <v/>
      </c>
      <c r="T130" s="905"/>
      <c r="U130" s="1534"/>
      <c r="V130" s="252" t="str">
        <f t="shared" si="209"/>
        <v/>
      </c>
      <c r="W130" s="1534"/>
      <c r="X130" s="905"/>
      <c r="Y130" s="1973" t="str">
        <f t="shared" si="146"/>
        <v/>
      </c>
      <c r="Z130" s="905"/>
      <c r="AA130" s="1985" t="str">
        <f t="shared" si="147"/>
        <v/>
      </c>
      <c r="AB130" s="1531"/>
      <c r="AC130" s="1534"/>
      <c r="AD130" s="1531"/>
      <c r="AE130" s="1534"/>
      <c r="AF130" s="1531"/>
      <c r="AG130" s="1534"/>
      <c r="AH130" s="1531"/>
      <c r="AI130" s="1543"/>
      <c r="AJ130" s="1531"/>
      <c r="AK130" s="1534"/>
      <c r="AL130" s="1531"/>
      <c r="AM130" s="1531"/>
      <c r="AN130" s="1531"/>
      <c r="AO130" s="1531"/>
      <c r="AP130" s="1531"/>
      <c r="AQ130" s="1535"/>
      <c r="AR130" s="1534"/>
      <c r="AS130" s="1535"/>
      <c r="AT130" s="1534"/>
      <c r="AU130" s="1535"/>
      <c r="AV130" s="1534"/>
      <c r="AW130" s="1535"/>
      <c r="AX130" s="1534"/>
      <c r="AY130" s="1535"/>
      <c r="AZ130" s="1534"/>
      <c r="BA130" s="1535"/>
      <c r="BB130" s="1534"/>
      <c r="BC130" s="1535"/>
      <c r="BD130" s="1534"/>
      <c r="BE130" s="1535"/>
      <c r="BF130" s="1534"/>
      <c r="BG130" s="1535"/>
      <c r="BH130" s="1534"/>
      <c r="BI130" s="1535"/>
      <c r="BJ130" s="1534"/>
      <c r="BK130" s="1535"/>
      <c r="BL130" s="1535"/>
      <c r="BM130" s="1531"/>
      <c r="BN130" s="898" t="str">
        <f t="shared" si="142"/>
        <v/>
      </c>
      <c r="BO130" s="898" t="str">
        <f>IFERROR(IF(AND(O130="",O130&lt;&gt;""),1913,VLOOKUP(O130,Valid!$B$99:$J$120,9)),"")</f>
        <v/>
      </c>
      <c r="BP130" s="898" t="str">
        <f t="shared" ca="1" si="214"/>
        <v/>
      </c>
      <c r="BQ130" s="1547" t="str">
        <f t="shared" ca="1" si="215"/>
        <v/>
      </c>
      <c r="BR130" s="898"/>
      <c r="BS130" s="898" t="str">
        <f t="shared" si="144"/>
        <v/>
      </c>
      <c r="BT130" s="898" t="str">
        <f t="shared" si="145"/>
        <v/>
      </c>
      <c r="BU130" s="1539" t="str">
        <f>IFERROR(IF(AND(#REF!="",C130&lt;&gt;""),Valid!$E$123,VLOOKUP(#REF!,Valid!$B$123:$F$125,4,FALSE)),"")</f>
        <v/>
      </c>
      <c r="BV130" s="1539" t="str">
        <f>IFERROR(IF(AND(#REF!="",C130&lt;&gt;""),Valid!$F$123,VLOOKUP(#REF!,Valid!$B$123:$F$125,5,FALSE)),"")</f>
        <v/>
      </c>
      <c r="BW130" s="1539" t="str">
        <f>IFERROR(VLOOKUP('A-70 RevVehInv'!S130,Valid!$B$99:$I$120,7), "")</f>
        <v/>
      </c>
      <c r="BX130" s="1539" t="str">
        <f>IFERROR(VLOOKUP(O130,Valid!$B$99:$I$120,8), "")</f>
        <v/>
      </c>
      <c r="BY130" s="1531"/>
    </row>
    <row r="131" spans="1:77" s="930" customFormat="1" x14ac:dyDescent="0.2">
      <c r="A131" s="206">
        <v>60</v>
      </c>
      <c r="B131" s="1530">
        <v>60</v>
      </c>
      <c r="C131" s="933"/>
      <c r="D131" s="719" t="str">
        <f>IF(C129="","",IF((C131=""),"Enter RVI ID. then Fill in Columns "&amp;TEXT($I$2,0)&amp;" - "&amp;TEXT($AI$2,0)&amp;"       ",""))</f>
        <v/>
      </c>
      <c r="E131" s="1056" t="str">
        <f>IF(AP131="N/A","",AP131)</f>
        <v/>
      </c>
      <c r="F131" s="1536"/>
      <c r="G131" s="1536"/>
      <c r="H131" s="1536"/>
      <c r="I131" s="1023"/>
      <c r="J131" s="1536" t="str">
        <f>IF(E131&lt;&gt;"","Vehicles?    ","")</f>
        <v/>
      </c>
      <c r="K131" s="1023"/>
      <c r="L131" s="1536" t="str">
        <f>IF(E131&lt;&gt;"","Active Vehicles?     ","")</f>
        <v/>
      </c>
      <c r="M131" s="1023"/>
      <c r="N131" s="894"/>
      <c r="O131" s="1153"/>
      <c r="P131" s="252" t="str">
        <f>IF(E131&lt;&gt;"","Select from Pull-Down List    ","")</f>
        <v/>
      </c>
      <c r="Q131" s="933"/>
      <c r="R131" s="252" t="str">
        <f>IF(E131&lt;&gt;"","Select from Pull-Down List    ","")</f>
        <v/>
      </c>
      <c r="S131" s="1766" t="str">
        <f t="shared" si="136"/>
        <v/>
      </c>
      <c r="T131" s="252"/>
      <c r="U131" s="1988"/>
      <c r="V131" s="252" t="str">
        <f t="shared" si="209"/>
        <v/>
      </c>
      <c r="W131" s="139"/>
      <c r="X131" s="252" t="str">
        <f>IF(E131&lt;&gt;"","Mfg. Yr?    ","")</f>
        <v/>
      </c>
      <c r="Y131" s="1974" t="str">
        <f t="shared" si="146"/>
        <v/>
      </c>
      <c r="Z131" s="252"/>
      <c r="AA131" s="1986" t="str">
        <f t="shared" si="147"/>
        <v/>
      </c>
      <c r="AB131" s="252" t="str">
        <f>IF(E131&lt;&gt;"","Select from Pull-Down List    ","")</f>
        <v/>
      </c>
      <c r="AC131" s="1023"/>
      <c r="AD131" s="252" t="str">
        <f>IF(E131&lt;&gt;"","Feet?    ","")</f>
        <v/>
      </c>
      <c r="AE131" s="1023"/>
      <c r="AF131" s="252" t="str">
        <f>IF(E131&lt;&gt;"","Mileage?       ","")</f>
        <v/>
      </c>
      <c r="AG131" s="1023"/>
      <c r="AH131" s="252" t="str">
        <f>IF(E131&lt;&gt;"","Avg. Lifetime Mileage? ","")</f>
        <v/>
      </c>
      <c r="AI131" s="933"/>
      <c r="AJ131" s="252" t="str">
        <f>IF(E131&lt;&gt;"","Select from Pull-Down List    ","")</f>
        <v/>
      </c>
      <c r="AK131" s="171"/>
      <c r="AL131" s="252"/>
      <c r="AM131" s="894"/>
      <c r="AN131" s="894"/>
      <c r="AO131" s="894" t="b">
        <f>IF(AND(C131="",C133&lt;&gt;""),TRUE,FALSE)</f>
        <v>0</v>
      </c>
      <c r="AP131" s="888" t="str">
        <f t="shared" ref="AP131" si="256">IF(AND(C131&lt;&gt;"",OR(I131="",K131="",M131="",O131="",Q131="",W131="",AC131="",AE131="",AG131="")),"No",IF(AND(C131="",OR(I131&lt;&gt;"",K131&lt;&gt;"",M131&lt;&gt;"",O131&lt;&gt;"",Q131&lt;&gt;"",W131&lt;&gt;"",AC131&lt;&gt;"",AE131&lt;&gt;"",AG131&lt;&gt;"",AI131&lt;&gt;"",AK131&lt;&gt;"")),"No",IF(AND(C131="",I131="",K131="",M131="",O131="",Q131="",W131="",AC131="",AE131="",AG131="",AI131=""),"N/A","Yes")))</f>
        <v>N/A</v>
      </c>
      <c r="AQ131" s="898"/>
      <c r="AR131" s="899" t="b">
        <f t="shared" ref="AR131" si="257">IF(AND(OR(I131&lt;&gt;"",K131&lt;&gt;"",M131&lt;&gt;"",O131&lt;&gt;"",Q131&lt;&gt;"",W131&lt;&gt;"",AC131&lt;&gt;"",AE131&lt;&gt;"",AG131&lt;&gt;"",AI131&lt;&gt;"",AK131&lt;&gt;""),C131=""),TRUE,FALSE)</f>
        <v>0</v>
      </c>
      <c r="AS131" s="898" t="b">
        <f t="shared" ref="AS131" si="258">IF(AT131=TRUE,FALSE,IF(SUM(K131)&gt;I131,TRUE,FALSE))</f>
        <v>0</v>
      </c>
      <c r="AT131" s="899" t="b">
        <f>IF(AND(C131&lt;&gt;"",I131=""),TRUE,FALSE)</f>
        <v>0</v>
      </c>
      <c r="AU131" s="898" t="b">
        <f>IF(AV131=TRUE,FALSE,IF(M131&gt;K131,TRUE,FALSE))</f>
        <v>0</v>
      </c>
      <c r="AV131" s="899" t="b">
        <f>IF(AND($C131&lt;&gt;"",K131=""),TRUE,FALSE)</f>
        <v>0</v>
      </c>
      <c r="AW131" s="898"/>
      <c r="AX131" s="899" t="b">
        <f>IF(AND($C131&lt;&gt;"",M131=""),TRUE,FALSE)</f>
        <v>0</v>
      </c>
      <c r="AY131" s="898" t="b">
        <f t="shared" ref="AY131" si="259">IF(AND(O131="",OR(Q131&lt;&gt;"",W131&lt;&gt;"",AC131&lt;&gt;"",AE131&lt;&gt;"",AG131&lt;&gt;"",AI131&lt;&gt;"")),TRUE,FALSE)</f>
        <v>0</v>
      </c>
      <c r="AZ131" s="899" t="b">
        <f>IF(AND($C131&lt;&gt;"",O131=""),TRUE,FALSE)</f>
        <v>0</v>
      </c>
      <c r="BA131" s="898"/>
      <c r="BB131" s="899" t="b">
        <f>IF(AND($C131&lt;&gt;"",Q131=""),TRUE,FALSE)</f>
        <v>0</v>
      </c>
      <c r="BC131" s="1537" t="b">
        <f>IF(BD131=TRUE,FALSE,IF(W131="",FALSE,IF(OR(W131&lt;BO131,W131&gt;BaseYear),TRUE,FALSE)))</f>
        <v>0</v>
      </c>
      <c r="BD131" s="899" t="b">
        <f>IF(AND($C131&lt;&gt;"",W131=""),TRUE,FALSE)</f>
        <v>0</v>
      </c>
      <c r="BE131" s="1537"/>
      <c r="BF131" s="899" t="b">
        <f>IF(AND($C131&lt;&gt;"",AC131=""),TRUE,FALSE)</f>
        <v>0</v>
      </c>
      <c r="BG131" s="898"/>
      <c r="BH131" s="899" t="b">
        <f>IF(AND($C131&lt;&gt;"",AE131=""),TRUE,FALSE)</f>
        <v>0</v>
      </c>
      <c r="BI131" s="898"/>
      <c r="BJ131" s="899" t="b">
        <f>IF(AND($C131&lt;&gt;"",AG131=""),TRUE,FALSE)</f>
        <v>0</v>
      </c>
      <c r="BK131" s="898"/>
      <c r="BL131" s="898" t="b">
        <f>IF(AND($C131&lt;&gt;"",AI131=""),TRUE,FALSE)</f>
        <v>0</v>
      </c>
      <c r="BM131" s="894"/>
      <c r="BN131" s="898" t="str">
        <f t="shared" si="142"/>
        <v/>
      </c>
      <c r="BO131" s="898" t="str">
        <f>IFERROR(IF(AND(O131="",O131&lt;&gt;""),1913,VLOOKUP(O131,Valid!$B$99:$J$120,9)),"")</f>
        <v/>
      </c>
      <c r="BP131" s="898" t="str">
        <f t="shared" ca="1" si="214"/>
        <v/>
      </c>
      <c r="BQ131" s="1547" t="str">
        <f t="shared" ca="1" si="215"/>
        <v/>
      </c>
      <c r="BR131" s="898" t="str">
        <f ca="1">IF(BQ131="", "", IF(1+(BQ131*4)&lt;1, 1, 1+(BQ131*4)))</f>
        <v/>
      </c>
      <c r="BS131" s="898" t="str">
        <f t="shared" si="144"/>
        <v/>
      </c>
      <c r="BT131" s="898" t="str">
        <f t="shared" si="145"/>
        <v/>
      </c>
      <c r="BU131" s="1539" t="str">
        <f>IFERROR(IF(AND(#REF!="",C131&lt;&gt;""),Valid!$E$123,VLOOKUP(#REF!,Valid!$B$123:$F$125,4,FALSE)),"")</f>
        <v/>
      </c>
      <c r="BV131" s="1539" t="str">
        <f>IFERROR(IF(AND(#REF!="",C131&lt;&gt;""),Valid!$F$123,VLOOKUP(#REF!,Valid!$B$123:$F$125,5,FALSE)),"")</f>
        <v/>
      </c>
      <c r="BW131" s="1539" t="str">
        <f>IFERROR(VLOOKUP('A-70 RevVehInv'!S131,Valid!$B$99:$I$120,7), "")</f>
        <v/>
      </c>
      <c r="BX131" s="1539" t="str">
        <f>IFERROR(VLOOKUP(O131,Valid!$B$99:$I$120,8), "")</f>
        <v/>
      </c>
      <c r="BY131" s="894"/>
    </row>
    <row r="132" spans="1:77" ht="6.75" customHeight="1" x14ac:dyDescent="0.2">
      <c r="A132" s="1517"/>
      <c r="B132" s="1530">
        <v>60.5</v>
      </c>
      <c r="C132" s="1544"/>
      <c r="D132" s="905"/>
      <c r="E132" s="1545"/>
      <c r="F132" s="905"/>
      <c r="G132" s="905"/>
      <c r="H132" s="905"/>
      <c r="I132" s="1531"/>
      <c r="J132" s="905"/>
      <c r="K132" s="1531"/>
      <c r="L132" s="905"/>
      <c r="M132" s="1531"/>
      <c r="N132" s="1531"/>
      <c r="O132" s="1533"/>
      <c r="P132" s="905"/>
      <c r="Q132" s="1533"/>
      <c r="R132" s="905"/>
      <c r="S132" s="1531" t="str">
        <f t="shared" si="136"/>
        <v/>
      </c>
      <c r="T132" s="905"/>
      <c r="U132" s="1531"/>
      <c r="V132" s="252" t="str">
        <f t="shared" si="209"/>
        <v/>
      </c>
      <c r="W132" s="1531"/>
      <c r="X132" s="905"/>
      <c r="Y132" s="1971" t="str">
        <f t="shared" si="146"/>
        <v/>
      </c>
      <c r="Z132" s="905"/>
      <c r="AA132" s="1983" t="str">
        <f t="shared" si="147"/>
        <v/>
      </c>
      <c r="AB132" s="1531"/>
      <c r="AC132" s="1531"/>
      <c r="AD132" s="1531"/>
      <c r="AE132" s="1531"/>
      <c r="AF132" s="1531"/>
      <c r="AG132" s="1534"/>
      <c r="AH132" s="1531"/>
      <c r="AI132" s="1546"/>
      <c r="AJ132" s="1531"/>
      <c r="AK132" s="1531"/>
      <c r="AL132" s="1531"/>
      <c r="AM132" s="1531"/>
      <c r="AN132" s="1531"/>
      <c r="AO132" s="1531"/>
      <c r="AP132" s="1531"/>
      <c r="AQ132" s="1535"/>
      <c r="AR132" s="1534"/>
      <c r="AS132" s="1535"/>
      <c r="AT132" s="1534"/>
      <c r="AU132" s="1535"/>
      <c r="AV132" s="1534"/>
      <c r="AW132" s="1535"/>
      <c r="AX132" s="1534"/>
      <c r="AY132" s="1535"/>
      <c r="AZ132" s="1534"/>
      <c r="BA132" s="1535"/>
      <c r="BB132" s="1534"/>
      <c r="BC132" s="1535"/>
      <c r="BD132" s="1534"/>
      <c r="BE132" s="1535"/>
      <c r="BF132" s="1534"/>
      <c r="BG132" s="1535"/>
      <c r="BH132" s="1534"/>
      <c r="BI132" s="1535"/>
      <c r="BJ132" s="1534"/>
      <c r="BK132" s="1535"/>
      <c r="BL132" s="1535"/>
      <c r="BM132" s="1531"/>
      <c r="BN132" s="898" t="str">
        <f t="shared" si="142"/>
        <v/>
      </c>
      <c r="BO132" s="898" t="str">
        <f>IFERROR(IF(AND(O132="",O132&lt;&gt;""),1913,VLOOKUP(O132,Valid!$B$99:$J$120,9)),"")</f>
        <v/>
      </c>
      <c r="BP132" s="898" t="str">
        <f t="shared" ca="1" si="214"/>
        <v/>
      </c>
      <c r="BQ132" s="1547" t="str">
        <f t="shared" ca="1" si="215"/>
        <v/>
      </c>
      <c r="BR132" s="898"/>
      <c r="BS132" s="898" t="str">
        <f t="shared" si="144"/>
        <v/>
      </c>
      <c r="BT132" s="898" t="str">
        <f t="shared" si="145"/>
        <v/>
      </c>
      <c r="BU132" s="1539" t="str">
        <f>IFERROR(IF(AND(#REF!="",C132&lt;&gt;""),Valid!$E$123,VLOOKUP(#REF!,Valid!$B$123:$F$125,4,FALSE)),"")</f>
        <v/>
      </c>
      <c r="BV132" s="1539" t="str">
        <f>IFERROR(IF(AND(#REF!="",C132&lt;&gt;""),Valid!$F$123,VLOOKUP(#REF!,Valid!$B$123:$F$125,5,FALSE)),"")</f>
        <v/>
      </c>
      <c r="BW132" s="1539" t="str">
        <f>IFERROR(VLOOKUP('A-70 RevVehInv'!S132,Valid!$B$99:$I$120,7), "")</f>
        <v/>
      </c>
      <c r="BX132" s="1539" t="str">
        <f>IFERROR(VLOOKUP(O132,Valid!$B$99:$I$120,8), "")</f>
        <v/>
      </c>
      <c r="BY132" s="1531"/>
    </row>
    <row r="133" spans="1:77" s="930" customFormat="1" x14ac:dyDescent="0.2">
      <c r="A133" s="206">
        <v>61</v>
      </c>
      <c r="B133" s="1530">
        <v>61</v>
      </c>
      <c r="C133" s="933"/>
      <c r="D133" s="719" t="str">
        <f>IF(C131="","",IF((C133=""),"Enter RVI ID. then Fill in Columns "&amp;TEXT($I$2,0)&amp;" - "&amp;TEXT($AI$2,0)&amp;"       ",""))</f>
        <v/>
      </c>
      <c r="E133" s="1056" t="str">
        <f>IF(AP133="N/A","",AP133)</f>
        <v/>
      </c>
      <c r="F133" s="1536"/>
      <c r="G133" s="1536"/>
      <c r="H133" s="1536"/>
      <c r="I133" s="1023"/>
      <c r="J133" s="1536" t="str">
        <f>IF(E133&lt;&gt;"","Vehicles?    ","")</f>
        <v/>
      </c>
      <c r="K133" s="1023"/>
      <c r="L133" s="1536" t="str">
        <f>IF(E133&lt;&gt;"","Active Vehicles?     ","")</f>
        <v/>
      </c>
      <c r="M133" s="1023"/>
      <c r="N133" s="894"/>
      <c r="O133" s="1153"/>
      <c r="P133" s="252" t="str">
        <f>IF(E133&lt;&gt;"","Select from Pull-Down List    ","")</f>
        <v/>
      </c>
      <c r="Q133" s="933"/>
      <c r="R133" s="252" t="str">
        <f>IF(E133&lt;&gt;"","Select from Pull-Down List    ","")</f>
        <v/>
      </c>
      <c r="S133" s="1766" t="str">
        <f t="shared" si="136"/>
        <v/>
      </c>
      <c r="T133" s="252"/>
      <c r="U133" s="1988"/>
      <c r="V133" s="252" t="str">
        <f t="shared" si="209"/>
        <v/>
      </c>
      <c r="W133" s="139"/>
      <c r="X133" s="252" t="str">
        <f>IF(E133&lt;&gt;"","Mfg. Yr?    ","")</f>
        <v/>
      </c>
      <c r="Y133" s="1974" t="str">
        <f t="shared" si="146"/>
        <v/>
      </c>
      <c r="Z133" s="252"/>
      <c r="AA133" s="1986" t="str">
        <f t="shared" si="147"/>
        <v/>
      </c>
      <c r="AB133" s="252" t="str">
        <f>IF(E133&lt;&gt;"","Select from Pull-Down List    ","")</f>
        <v/>
      </c>
      <c r="AC133" s="1023"/>
      <c r="AD133" s="252" t="str">
        <f>IF(E133&lt;&gt;"","Feet?    ","")</f>
        <v/>
      </c>
      <c r="AE133" s="1023"/>
      <c r="AF133" s="252" t="str">
        <f>IF(E133&lt;&gt;"","Mileage?       ","")</f>
        <v/>
      </c>
      <c r="AG133" s="1023"/>
      <c r="AH133" s="252" t="str">
        <f>IF(E133&lt;&gt;"","Avg. Lifetime Mileage? ","")</f>
        <v/>
      </c>
      <c r="AI133" s="933"/>
      <c r="AJ133" s="252" t="str">
        <f>IF(E133&lt;&gt;"","Select from Pull-Down List    ","")</f>
        <v/>
      </c>
      <c r="AK133" s="171"/>
      <c r="AL133" s="252"/>
      <c r="AM133" s="894"/>
      <c r="AN133" s="894"/>
      <c r="AO133" s="894" t="b">
        <f>IF(AND(C133="",C135&lt;&gt;""),TRUE,FALSE)</f>
        <v>0</v>
      </c>
      <c r="AP133" s="888" t="str">
        <f t="shared" ref="AP133" si="260">IF(AND(C133&lt;&gt;"",OR(I133="",K133="",M133="",O133="",Q133="",W133="",AC133="",AE133="",AG133="")),"No",IF(AND(C133="",OR(I133&lt;&gt;"",K133&lt;&gt;"",M133&lt;&gt;"",O133&lt;&gt;"",Q133&lt;&gt;"",W133&lt;&gt;"",AC133&lt;&gt;"",AE133&lt;&gt;"",AG133&lt;&gt;"",AI133&lt;&gt;"",AK133&lt;&gt;"")),"No",IF(AND(C133="",I133="",K133="",M133="",O133="",Q133="",W133="",AC133="",AE133="",AG133="",AI133=""),"N/A","Yes")))</f>
        <v>N/A</v>
      </c>
      <c r="AQ133" s="898"/>
      <c r="AR133" s="899" t="b">
        <f t="shared" ref="AR133" si="261">IF(AND(OR(I133&lt;&gt;"",K133&lt;&gt;"",M133&lt;&gt;"",O133&lt;&gt;"",Q133&lt;&gt;"",W133&lt;&gt;"",AC133&lt;&gt;"",AE133&lt;&gt;"",AG133&lt;&gt;"",AI133&lt;&gt;"",AK133&lt;&gt;""),C133=""),TRUE,FALSE)</f>
        <v>0</v>
      </c>
      <c r="AS133" s="898" t="b">
        <f t="shared" ref="AS133" si="262">IF(AT133=TRUE,FALSE,IF(SUM(K133)&gt;I133,TRUE,FALSE))</f>
        <v>0</v>
      </c>
      <c r="AT133" s="899" t="b">
        <f>IF(AND(C133&lt;&gt;"",I133=""),TRUE,FALSE)</f>
        <v>0</v>
      </c>
      <c r="AU133" s="898" t="b">
        <f>IF(AV133=TRUE,FALSE,IF(M133&gt;K133,TRUE,FALSE))</f>
        <v>0</v>
      </c>
      <c r="AV133" s="899" t="b">
        <f>IF(AND($C133&lt;&gt;"",K133=""),TRUE,FALSE)</f>
        <v>0</v>
      </c>
      <c r="AW133" s="898"/>
      <c r="AX133" s="899" t="b">
        <f>IF(AND($C133&lt;&gt;"",M133=""),TRUE,FALSE)</f>
        <v>0</v>
      </c>
      <c r="AY133" s="898" t="b">
        <f t="shared" ref="AY133" si="263">IF(AND(O133="",OR(Q133&lt;&gt;"",W133&lt;&gt;"",AC133&lt;&gt;"",AE133&lt;&gt;"",AG133&lt;&gt;"",AI133&lt;&gt;"")),TRUE,FALSE)</f>
        <v>0</v>
      </c>
      <c r="AZ133" s="899" t="b">
        <f>IF(AND($C133&lt;&gt;"",O133=""),TRUE,FALSE)</f>
        <v>0</v>
      </c>
      <c r="BA133" s="898"/>
      <c r="BB133" s="899" t="b">
        <f>IF(AND($C133&lt;&gt;"",Q133=""),TRUE,FALSE)</f>
        <v>0</v>
      </c>
      <c r="BC133" s="1537" t="b">
        <f>IF(BD133=TRUE,FALSE,IF(W133="",FALSE,IF(OR(W133&lt;BO133,W133&gt;BaseYear),TRUE,FALSE)))</f>
        <v>0</v>
      </c>
      <c r="BD133" s="899" t="b">
        <f>IF(AND($C133&lt;&gt;"",W133=""),TRUE,FALSE)</f>
        <v>0</v>
      </c>
      <c r="BE133" s="1537"/>
      <c r="BF133" s="899" t="b">
        <f>IF(AND($C133&lt;&gt;"",AC133=""),TRUE,FALSE)</f>
        <v>0</v>
      </c>
      <c r="BG133" s="898"/>
      <c r="BH133" s="899" t="b">
        <f>IF(AND($C133&lt;&gt;"",AE133=""),TRUE,FALSE)</f>
        <v>0</v>
      </c>
      <c r="BI133" s="898"/>
      <c r="BJ133" s="899" t="b">
        <f>IF(AND($C133&lt;&gt;"",AG133=""),TRUE,FALSE)</f>
        <v>0</v>
      </c>
      <c r="BK133" s="898"/>
      <c r="BL133" s="898" t="b">
        <f>IF(AND($C133&lt;&gt;"",AI133=""),TRUE,FALSE)</f>
        <v>0</v>
      </c>
      <c r="BM133" s="894"/>
      <c r="BN133" s="898" t="str">
        <f t="shared" si="142"/>
        <v/>
      </c>
      <c r="BO133" s="898" t="str">
        <f>IFERROR(IF(AND(O133="",O133&lt;&gt;""),1913,VLOOKUP(O133,Valid!$B$99:$J$120,9)),"")</f>
        <v/>
      </c>
      <c r="BP133" s="898" t="str">
        <f t="shared" ca="1" si="214"/>
        <v/>
      </c>
      <c r="BQ133" s="1547" t="str">
        <f t="shared" ca="1" si="215"/>
        <v/>
      </c>
      <c r="BR133" s="898" t="str">
        <f ca="1">IF(BQ133="", "", IF(1+(BQ133*4)&lt;1, 1, 1+(BQ133*4)))</f>
        <v/>
      </c>
      <c r="BS133" s="898" t="str">
        <f t="shared" si="144"/>
        <v/>
      </c>
      <c r="BT133" s="898" t="str">
        <f t="shared" si="145"/>
        <v/>
      </c>
      <c r="BU133" s="1539" t="str">
        <f>IFERROR(IF(AND(#REF!="",C133&lt;&gt;""),Valid!$E$123,VLOOKUP(#REF!,Valid!$B$123:$F$125,4,FALSE)),"")</f>
        <v/>
      </c>
      <c r="BV133" s="1539" t="str">
        <f>IFERROR(IF(AND(#REF!="",C133&lt;&gt;""),Valid!$F$123,VLOOKUP(#REF!,Valid!$B$123:$F$125,5,FALSE)),"")</f>
        <v/>
      </c>
      <c r="BW133" s="1539" t="str">
        <f>IFERROR(VLOOKUP('A-70 RevVehInv'!S133,Valid!$B$99:$I$120,7), "")</f>
        <v/>
      </c>
      <c r="BX133" s="1539" t="str">
        <f>IFERROR(VLOOKUP(O133,Valid!$B$99:$I$120,8), "")</f>
        <v/>
      </c>
      <c r="BY133" s="894"/>
    </row>
    <row r="134" spans="1:77" ht="6.75" customHeight="1" x14ac:dyDescent="0.2">
      <c r="A134" s="1516"/>
      <c r="B134" s="1530">
        <v>61.5</v>
      </c>
      <c r="C134" s="1540"/>
      <c r="D134" s="905"/>
      <c r="E134" s="1541"/>
      <c r="F134" s="905"/>
      <c r="G134" s="905"/>
      <c r="H134" s="905"/>
      <c r="I134" s="1534"/>
      <c r="J134" s="905"/>
      <c r="K134" s="1534"/>
      <c r="L134" s="905"/>
      <c r="M134" s="1534"/>
      <c r="N134" s="1531"/>
      <c r="O134" s="1542"/>
      <c r="P134" s="905"/>
      <c r="Q134" s="1542"/>
      <c r="R134" s="905"/>
      <c r="S134" s="1534" t="str">
        <f t="shared" si="136"/>
        <v/>
      </c>
      <c r="T134" s="905"/>
      <c r="U134" s="1534"/>
      <c r="V134" s="252" t="str">
        <f t="shared" si="209"/>
        <v/>
      </c>
      <c r="W134" s="1534"/>
      <c r="X134" s="905"/>
      <c r="Y134" s="1973" t="str">
        <f t="shared" si="146"/>
        <v/>
      </c>
      <c r="Z134" s="905"/>
      <c r="AA134" s="1985" t="str">
        <f t="shared" si="147"/>
        <v/>
      </c>
      <c r="AB134" s="1531"/>
      <c r="AC134" s="1534"/>
      <c r="AD134" s="1531"/>
      <c r="AE134" s="1534"/>
      <c r="AF134" s="1531"/>
      <c r="AG134" s="1534"/>
      <c r="AH134" s="1531"/>
      <c r="AI134" s="1543"/>
      <c r="AJ134" s="1531"/>
      <c r="AK134" s="1534"/>
      <c r="AL134" s="1531"/>
      <c r="AM134" s="1531"/>
      <c r="AN134" s="1531"/>
      <c r="AO134" s="1531"/>
      <c r="AP134" s="1531"/>
      <c r="AQ134" s="1535"/>
      <c r="AR134" s="1534"/>
      <c r="AS134" s="1535"/>
      <c r="AT134" s="1534"/>
      <c r="AU134" s="1535"/>
      <c r="AV134" s="1534"/>
      <c r="AW134" s="1535"/>
      <c r="AX134" s="1534"/>
      <c r="AY134" s="1535"/>
      <c r="AZ134" s="1534"/>
      <c r="BA134" s="1535"/>
      <c r="BB134" s="1534"/>
      <c r="BC134" s="1535"/>
      <c r="BD134" s="1534"/>
      <c r="BE134" s="1535"/>
      <c r="BF134" s="1534"/>
      <c r="BG134" s="1535"/>
      <c r="BH134" s="1534"/>
      <c r="BI134" s="1535"/>
      <c r="BJ134" s="1534"/>
      <c r="BK134" s="1535"/>
      <c r="BL134" s="1535"/>
      <c r="BM134" s="1531"/>
      <c r="BN134" s="898" t="str">
        <f t="shared" si="142"/>
        <v/>
      </c>
      <c r="BO134" s="898" t="str">
        <f>IFERROR(IF(AND(O134="",O134&lt;&gt;""),1913,VLOOKUP(O134,Valid!$B$99:$J$120,9)),"")</f>
        <v/>
      </c>
      <c r="BP134" s="898" t="str">
        <f t="shared" ca="1" si="214"/>
        <v/>
      </c>
      <c r="BQ134" s="1547" t="str">
        <f t="shared" ca="1" si="215"/>
        <v/>
      </c>
      <c r="BR134" s="898"/>
      <c r="BS134" s="898" t="str">
        <f t="shared" si="144"/>
        <v/>
      </c>
      <c r="BT134" s="898" t="str">
        <f t="shared" si="145"/>
        <v/>
      </c>
      <c r="BU134" s="1539" t="str">
        <f>IFERROR(IF(AND(#REF!="",C134&lt;&gt;""),Valid!$E$123,VLOOKUP(#REF!,Valid!$B$123:$F$125,4,FALSE)),"")</f>
        <v/>
      </c>
      <c r="BV134" s="1539" t="str">
        <f>IFERROR(IF(AND(#REF!="",C134&lt;&gt;""),Valid!$F$123,VLOOKUP(#REF!,Valid!$B$123:$F$125,5,FALSE)),"")</f>
        <v/>
      </c>
      <c r="BW134" s="1539" t="str">
        <f>IFERROR(VLOOKUP('A-70 RevVehInv'!S134,Valid!$B$99:$I$120,7), "")</f>
        <v/>
      </c>
      <c r="BX134" s="1539" t="str">
        <f>IFERROR(VLOOKUP(O134,Valid!$B$99:$I$120,8), "")</f>
        <v/>
      </c>
      <c r="BY134" s="1531"/>
    </row>
    <row r="135" spans="1:77" s="930" customFormat="1" x14ac:dyDescent="0.2">
      <c r="A135" s="206">
        <v>62</v>
      </c>
      <c r="B135" s="1530">
        <v>62</v>
      </c>
      <c r="C135" s="933"/>
      <c r="D135" s="719" t="str">
        <f>IF(C133="","",IF((C135=""),"Enter RVI ID. then Fill in Columns "&amp;TEXT($I$2,0)&amp;" - "&amp;TEXT($AI$2,0)&amp;"       ",""))</f>
        <v/>
      </c>
      <c r="E135" s="1056" t="str">
        <f>IF(AP135="N/A","",AP135)</f>
        <v/>
      </c>
      <c r="F135" s="1536"/>
      <c r="G135" s="1536"/>
      <c r="H135" s="1536"/>
      <c r="I135" s="1023"/>
      <c r="J135" s="1536" t="str">
        <f>IF(E135&lt;&gt;"","Vehicles?    ","")</f>
        <v/>
      </c>
      <c r="K135" s="1023"/>
      <c r="L135" s="1536" t="str">
        <f>IF(E135&lt;&gt;"","Active Vehicles?     ","")</f>
        <v/>
      </c>
      <c r="M135" s="1023"/>
      <c r="N135" s="894"/>
      <c r="O135" s="1153"/>
      <c r="P135" s="252" t="str">
        <f>IF(E135&lt;&gt;"","Select from Pull-Down List    ","")</f>
        <v/>
      </c>
      <c r="Q135" s="933"/>
      <c r="R135" s="252" t="str">
        <f>IF(E135&lt;&gt;"","Select from Pull-Down List    ","")</f>
        <v/>
      </c>
      <c r="S135" s="1766" t="str">
        <f t="shared" si="136"/>
        <v/>
      </c>
      <c r="T135" s="252"/>
      <c r="U135" s="1988"/>
      <c r="V135" s="252" t="str">
        <f t="shared" si="209"/>
        <v/>
      </c>
      <c r="W135" s="139"/>
      <c r="X135" s="252" t="str">
        <f>IF(E135&lt;&gt;"","Mfg. Yr?    ","")</f>
        <v/>
      </c>
      <c r="Y135" s="1974" t="str">
        <f t="shared" si="146"/>
        <v/>
      </c>
      <c r="Z135" s="252"/>
      <c r="AA135" s="1986" t="str">
        <f t="shared" si="147"/>
        <v/>
      </c>
      <c r="AB135" s="252" t="str">
        <f>IF(E135&lt;&gt;"","Select from Pull-Down List    ","")</f>
        <v/>
      </c>
      <c r="AC135" s="1023"/>
      <c r="AD135" s="252" t="str">
        <f>IF(E135&lt;&gt;"","Feet?    ","")</f>
        <v/>
      </c>
      <c r="AE135" s="1023"/>
      <c r="AF135" s="252" t="str">
        <f>IF(E135&lt;&gt;"","Mileage?       ","")</f>
        <v/>
      </c>
      <c r="AG135" s="1023"/>
      <c r="AH135" s="252" t="str">
        <f>IF(E135&lt;&gt;"","Avg. Lifetime Mileage? ","")</f>
        <v/>
      </c>
      <c r="AI135" s="933"/>
      <c r="AJ135" s="252" t="str">
        <f>IF(E135&lt;&gt;"","Select from Pull-Down List    ","")</f>
        <v/>
      </c>
      <c r="AK135" s="171"/>
      <c r="AL135" s="252"/>
      <c r="AM135" s="894"/>
      <c r="AN135" s="894"/>
      <c r="AO135" s="894" t="b">
        <f>IF(AND(C135="",C137&lt;&gt;""),TRUE,FALSE)</f>
        <v>0</v>
      </c>
      <c r="AP135" s="888" t="str">
        <f t="shared" ref="AP135" si="264">IF(AND(C135&lt;&gt;"",OR(I135="",K135="",M135="",O135="",Q135="",W135="",AC135="",AE135="",AG135="")),"No",IF(AND(C135="",OR(I135&lt;&gt;"",K135&lt;&gt;"",M135&lt;&gt;"",O135&lt;&gt;"",Q135&lt;&gt;"",W135&lt;&gt;"",AC135&lt;&gt;"",AE135&lt;&gt;"",AG135&lt;&gt;"",AI135&lt;&gt;"",AK135&lt;&gt;"")),"No",IF(AND(C135="",I135="",K135="",M135="",O135="",Q135="",W135="",AC135="",AE135="",AG135="",AI135=""),"N/A","Yes")))</f>
        <v>N/A</v>
      </c>
      <c r="AQ135" s="898"/>
      <c r="AR135" s="899" t="b">
        <f t="shared" ref="AR135" si="265">IF(AND(OR(I135&lt;&gt;"",K135&lt;&gt;"",M135&lt;&gt;"",O135&lt;&gt;"",Q135&lt;&gt;"",W135&lt;&gt;"",AC135&lt;&gt;"",AE135&lt;&gt;"",AG135&lt;&gt;"",AI135&lt;&gt;"",AK135&lt;&gt;""),C135=""),TRUE,FALSE)</f>
        <v>0</v>
      </c>
      <c r="AS135" s="898" t="b">
        <f t="shared" ref="AS135" si="266">IF(AT135=TRUE,FALSE,IF(SUM(K135)&gt;I135,TRUE,FALSE))</f>
        <v>0</v>
      </c>
      <c r="AT135" s="899" t="b">
        <f>IF(AND(C135&lt;&gt;"",I135=""),TRUE,FALSE)</f>
        <v>0</v>
      </c>
      <c r="AU135" s="898" t="b">
        <f>IF(AV135=TRUE,FALSE,IF(M135&gt;K135,TRUE,FALSE))</f>
        <v>0</v>
      </c>
      <c r="AV135" s="899" t="b">
        <f>IF(AND($C135&lt;&gt;"",K135=""),TRUE,FALSE)</f>
        <v>0</v>
      </c>
      <c r="AW135" s="898"/>
      <c r="AX135" s="899" t="b">
        <f>IF(AND($C135&lt;&gt;"",M135=""),TRUE,FALSE)</f>
        <v>0</v>
      </c>
      <c r="AY135" s="898" t="b">
        <f t="shared" ref="AY135" si="267">IF(AND(O135="",OR(Q135&lt;&gt;"",W135&lt;&gt;"",AC135&lt;&gt;"",AE135&lt;&gt;"",AG135&lt;&gt;"",AI135&lt;&gt;"")),TRUE,FALSE)</f>
        <v>0</v>
      </c>
      <c r="AZ135" s="899" t="b">
        <f>IF(AND($C135&lt;&gt;"",O135=""),TRUE,FALSE)</f>
        <v>0</v>
      </c>
      <c r="BA135" s="898"/>
      <c r="BB135" s="899" t="b">
        <f>IF(AND($C135&lt;&gt;"",Q135=""),TRUE,FALSE)</f>
        <v>0</v>
      </c>
      <c r="BC135" s="1537" t="b">
        <f>IF(BD135=TRUE,FALSE,IF(W135="",FALSE,IF(OR(W135&lt;BO135,W135&gt;BaseYear),TRUE,FALSE)))</f>
        <v>0</v>
      </c>
      <c r="BD135" s="899" t="b">
        <f>IF(AND($C135&lt;&gt;"",W135=""),TRUE,FALSE)</f>
        <v>0</v>
      </c>
      <c r="BE135" s="1537"/>
      <c r="BF135" s="899" t="b">
        <f>IF(AND($C135&lt;&gt;"",AC135=""),TRUE,FALSE)</f>
        <v>0</v>
      </c>
      <c r="BG135" s="898"/>
      <c r="BH135" s="899" t="b">
        <f>IF(AND($C135&lt;&gt;"",AE135=""),TRUE,FALSE)</f>
        <v>0</v>
      </c>
      <c r="BI135" s="898"/>
      <c r="BJ135" s="899" t="b">
        <f>IF(AND($C135&lt;&gt;"",AG135=""),TRUE,FALSE)</f>
        <v>0</v>
      </c>
      <c r="BK135" s="898"/>
      <c r="BL135" s="898" t="b">
        <f>IF(AND($C135&lt;&gt;"",AI135=""),TRUE,FALSE)</f>
        <v>0</v>
      </c>
      <c r="BM135" s="894"/>
      <c r="BN135" s="898" t="str">
        <f t="shared" si="142"/>
        <v/>
      </c>
      <c r="BO135" s="898" t="str">
        <f>IFERROR(IF(AND(O135="",O135&lt;&gt;""),1913,VLOOKUP(O135,Valid!$B$99:$J$120,9)),"")</f>
        <v/>
      </c>
      <c r="BP135" s="898" t="str">
        <f t="shared" ca="1" si="214"/>
        <v/>
      </c>
      <c r="BQ135" s="1547" t="str">
        <f t="shared" ca="1" si="215"/>
        <v/>
      </c>
      <c r="BR135" s="898" t="str">
        <f ca="1">IF(BQ135="", "", IF(1+(BQ135*4)&lt;1, 1, 1+(BQ135*4)))</f>
        <v/>
      </c>
      <c r="BS135" s="898" t="str">
        <f t="shared" si="144"/>
        <v/>
      </c>
      <c r="BT135" s="898" t="str">
        <f t="shared" si="145"/>
        <v/>
      </c>
      <c r="BU135" s="1539" t="str">
        <f>IFERROR(IF(AND(#REF!="",C135&lt;&gt;""),Valid!$E$123,VLOOKUP(#REF!,Valid!$B$123:$F$125,4,FALSE)),"")</f>
        <v/>
      </c>
      <c r="BV135" s="1539" t="str">
        <f>IFERROR(IF(AND(#REF!="",C135&lt;&gt;""),Valid!$F$123,VLOOKUP(#REF!,Valid!$B$123:$F$125,5,FALSE)),"")</f>
        <v/>
      </c>
      <c r="BW135" s="1539" t="str">
        <f>IFERROR(VLOOKUP('A-70 RevVehInv'!S135,Valid!$B$99:$I$120,7), "")</f>
        <v/>
      </c>
      <c r="BX135" s="1539" t="str">
        <f>IFERROR(VLOOKUP(O135,Valid!$B$99:$I$120,8), "")</f>
        <v/>
      </c>
      <c r="BY135" s="894"/>
    </row>
    <row r="136" spans="1:77" ht="6.75" customHeight="1" x14ac:dyDescent="0.2">
      <c r="A136" s="1516"/>
      <c r="B136" s="1530">
        <v>62.5</v>
      </c>
      <c r="C136" s="1544"/>
      <c r="D136" s="905"/>
      <c r="E136" s="1545"/>
      <c r="F136" s="905"/>
      <c r="G136" s="905"/>
      <c r="H136" s="905"/>
      <c r="I136" s="1531"/>
      <c r="J136" s="905"/>
      <c r="K136" s="1531"/>
      <c r="L136" s="905"/>
      <c r="M136" s="1531"/>
      <c r="N136" s="1531"/>
      <c r="O136" s="1533"/>
      <c r="P136" s="905"/>
      <c r="Q136" s="1533"/>
      <c r="R136" s="905"/>
      <c r="S136" s="1531" t="str">
        <f t="shared" si="136"/>
        <v/>
      </c>
      <c r="T136" s="905"/>
      <c r="U136" s="1531"/>
      <c r="V136" s="252" t="str">
        <f t="shared" si="209"/>
        <v/>
      </c>
      <c r="W136" s="1531"/>
      <c r="X136" s="905"/>
      <c r="Y136" s="1971" t="str">
        <f t="shared" si="146"/>
        <v/>
      </c>
      <c r="Z136" s="905"/>
      <c r="AA136" s="1983" t="str">
        <f t="shared" si="147"/>
        <v/>
      </c>
      <c r="AB136" s="1531"/>
      <c r="AC136" s="1531"/>
      <c r="AD136" s="1531"/>
      <c r="AE136" s="1531"/>
      <c r="AF136" s="1531"/>
      <c r="AG136" s="1534"/>
      <c r="AH136" s="1531"/>
      <c r="AI136" s="1546"/>
      <c r="AJ136" s="1531"/>
      <c r="AK136" s="1531"/>
      <c r="AL136" s="1531"/>
      <c r="AM136" s="1531"/>
      <c r="AN136" s="1531"/>
      <c r="AO136" s="1531"/>
      <c r="AP136" s="1531"/>
      <c r="AQ136" s="1535"/>
      <c r="AR136" s="1534"/>
      <c r="AS136" s="1535"/>
      <c r="AT136" s="1534"/>
      <c r="AU136" s="1535"/>
      <c r="AV136" s="1534"/>
      <c r="AW136" s="1535"/>
      <c r="AX136" s="1534"/>
      <c r="AY136" s="1535"/>
      <c r="AZ136" s="1534"/>
      <c r="BA136" s="1535"/>
      <c r="BB136" s="1534"/>
      <c r="BC136" s="1535"/>
      <c r="BD136" s="1534"/>
      <c r="BE136" s="1535"/>
      <c r="BF136" s="1534"/>
      <c r="BG136" s="1535"/>
      <c r="BH136" s="1534"/>
      <c r="BI136" s="1535"/>
      <c r="BJ136" s="1534"/>
      <c r="BK136" s="1535"/>
      <c r="BL136" s="1535"/>
      <c r="BM136" s="1531"/>
      <c r="BN136" s="898" t="str">
        <f t="shared" si="142"/>
        <v/>
      </c>
      <c r="BO136" s="898" t="str">
        <f>IFERROR(IF(AND(O136="",O136&lt;&gt;""),1913,VLOOKUP(O136,Valid!$B$99:$J$120,9)),"")</f>
        <v/>
      </c>
      <c r="BP136" s="898" t="str">
        <f t="shared" ca="1" si="214"/>
        <v/>
      </c>
      <c r="BQ136" s="1547" t="str">
        <f t="shared" ca="1" si="215"/>
        <v/>
      </c>
      <c r="BR136" s="898"/>
      <c r="BS136" s="898" t="str">
        <f t="shared" si="144"/>
        <v/>
      </c>
      <c r="BT136" s="898" t="str">
        <f t="shared" si="145"/>
        <v/>
      </c>
      <c r="BU136" s="1539" t="str">
        <f>IFERROR(IF(AND(#REF!="",C136&lt;&gt;""),Valid!$E$123,VLOOKUP(#REF!,Valid!$B$123:$F$125,4,FALSE)),"")</f>
        <v/>
      </c>
      <c r="BV136" s="1539" t="str">
        <f>IFERROR(IF(AND(#REF!="",C136&lt;&gt;""),Valid!$F$123,VLOOKUP(#REF!,Valid!$B$123:$F$125,5,FALSE)),"")</f>
        <v/>
      </c>
      <c r="BW136" s="1539" t="str">
        <f>IFERROR(VLOOKUP('A-70 RevVehInv'!S136,Valid!$B$99:$I$120,7), "")</f>
        <v/>
      </c>
      <c r="BX136" s="1539" t="str">
        <f>IFERROR(VLOOKUP(O136,Valid!$B$99:$I$120,8), "")</f>
        <v/>
      </c>
      <c r="BY136" s="1531"/>
    </row>
    <row r="137" spans="1:77" s="930" customFormat="1" x14ac:dyDescent="0.2">
      <c r="A137" s="206">
        <v>63</v>
      </c>
      <c r="B137" s="1530">
        <v>63</v>
      </c>
      <c r="C137" s="933"/>
      <c r="D137" s="719" t="str">
        <f>IF(C135="","",IF((C137=""),"Enter RVI ID. then Fill in Columns "&amp;TEXT($I$2,0)&amp;" - "&amp;TEXT($AI$2,0)&amp;"       ",""))</f>
        <v/>
      </c>
      <c r="E137" s="1056" t="str">
        <f>IF(AP137="N/A","",AP137)</f>
        <v/>
      </c>
      <c r="F137" s="1536"/>
      <c r="G137" s="1536"/>
      <c r="H137" s="1536"/>
      <c r="I137" s="1023"/>
      <c r="J137" s="1536" t="str">
        <f>IF(E137&lt;&gt;"","Vehicles?    ","")</f>
        <v/>
      </c>
      <c r="K137" s="1023"/>
      <c r="L137" s="1536" t="str">
        <f>IF(E137&lt;&gt;"","Active Vehicles?     ","")</f>
        <v/>
      </c>
      <c r="M137" s="1023"/>
      <c r="N137" s="894"/>
      <c r="O137" s="1153"/>
      <c r="P137" s="252" t="str">
        <f>IF(E137&lt;&gt;"","Select from Pull-Down List    ","")</f>
        <v/>
      </c>
      <c r="Q137" s="933"/>
      <c r="R137" s="252" t="str">
        <f>IF(E137&lt;&gt;"","Select from Pull-Down List    ","")</f>
        <v/>
      </c>
      <c r="S137" s="1766" t="str">
        <f t="shared" si="136"/>
        <v/>
      </c>
      <c r="T137" s="252"/>
      <c r="U137" s="1988"/>
      <c r="V137" s="252" t="str">
        <f t="shared" si="209"/>
        <v/>
      </c>
      <c r="W137" s="139"/>
      <c r="X137" s="252" t="str">
        <f>IF(E137&lt;&gt;"","Mfg. Yr?    ","")</f>
        <v/>
      </c>
      <c r="Y137" s="1974" t="str">
        <f t="shared" si="146"/>
        <v/>
      </c>
      <c r="Z137" s="252"/>
      <c r="AA137" s="1986" t="str">
        <f t="shared" si="147"/>
        <v/>
      </c>
      <c r="AB137" s="252" t="str">
        <f>IF(E137&lt;&gt;"","Select from Pull-Down List    ","")</f>
        <v/>
      </c>
      <c r="AC137" s="1023"/>
      <c r="AD137" s="252" t="str">
        <f>IF(E137&lt;&gt;"","Feet?    ","")</f>
        <v/>
      </c>
      <c r="AE137" s="1023"/>
      <c r="AF137" s="252" t="str">
        <f>IF(E137&lt;&gt;"","Mileage?       ","")</f>
        <v/>
      </c>
      <c r="AG137" s="1023"/>
      <c r="AH137" s="252" t="str">
        <f>IF(E137&lt;&gt;"","Avg. Lifetime Mileage? ","")</f>
        <v/>
      </c>
      <c r="AI137" s="933"/>
      <c r="AJ137" s="252" t="str">
        <f>IF(E137&lt;&gt;"","Select from Pull-Down List    ","")</f>
        <v/>
      </c>
      <c r="AK137" s="171"/>
      <c r="AL137" s="252"/>
      <c r="AM137" s="894"/>
      <c r="AN137" s="894"/>
      <c r="AO137" s="894" t="b">
        <f>IF(AND(C137="",C139&lt;&gt;""),TRUE,FALSE)</f>
        <v>0</v>
      </c>
      <c r="AP137" s="888" t="str">
        <f t="shared" ref="AP137" si="268">IF(AND(C137&lt;&gt;"",OR(I137="",K137="",M137="",O137="",Q137="",W137="",AC137="",AE137="",AG137="")),"No",IF(AND(C137="",OR(I137&lt;&gt;"",K137&lt;&gt;"",M137&lt;&gt;"",O137&lt;&gt;"",Q137&lt;&gt;"",W137&lt;&gt;"",AC137&lt;&gt;"",AE137&lt;&gt;"",AG137&lt;&gt;"",AI137&lt;&gt;"",AK137&lt;&gt;"")),"No",IF(AND(C137="",I137="",K137="",M137="",O137="",Q137="",W137="",AC137="",AE137="",AG137="",AI137=""),"N/A","Yes")))</f>
        <v>N/A</v>
      </c>
      <c r="AQ137" s="898"/>
      <c r="AR137" s="899" t="b">
        <f t="shared" ref="AR137" si="269">IF(AND(OR(I137&lt;&gt;"",K137&lt;&gt;"",M137&lt;&gt;"",O137&lt;&gt;"",Q137&lt;&gt;"",W137&lt;&gt;"",AC137&lt;&gt;"",AE137&lt;&gt;"",AG137&lt;&gt;"",AI137&lt;&gt;"",AK137&lt;&gt;""),C137=""),TRUE,FALSE)</f>
        <v>0</v>
      </c>
      <c r="AS137" s="898" t="b">
        <f t="shared" ref="AS137" si="270">IF(AT137=TRUE,FALSE,IF(SUM(K137)&gt;I137,TRUE,FALSE))</f>
        <v>0</v>
      </c>
      <c r="AT137" s="899" t="b">
        <f>IF(AND(C137&lt;&gt;"",I137=""),TRUE,FALSE)</f>
        <v>0</v>
      </c>
      <c r="AU137" s="898" t="b">
        <f>IF(AV137=TRUE,FALSE,IF(M137&gt;K137,TRUE,FALSE))</f>
        <v>0</v>
      </c>
      <c r="AV137" s="899" t="b">
        <f>IF(AND($C137&lt;&gt;"",K137=""),TRUE,FALSE)</f>
        <v>0</v>
      </c>
      <c r="AW137" s="898"/>
      <c r="AX137" s="899" t="b">
        <f>IF(AND($C137&lt;&gt;"",M137=""),TRUE,FALSE)</f>
        <v>0</v>
      </c>
      <c r="AY137" s="898" t="b">
        <f t="shared" ref="AY137" si="271">IF(AND(O137="",OR(Q137&lt;&gt;"",W137&lt;&gt;"",AC137&lt;&gt;"",AE137&lt;&gt;"",AG137&lt;&gt;"",AI137&lt;&gt;"")),TRUE,FALSE)</f>
        <v>0</v>
      </c>
      <c r="AZ137" s="899" t="b">
        <f>IF(AND($C137&lt;&gt;"",O137=""),TRUE,FALSE)</f>
        <v>0</v>
      </c>
      <c r="BA137" s="898"/>
      <c r="BB137" s="899" t="b">
        <f>IF(AND($C137&lt;&gt;"",Q137=""),TRUE,FALSE)</f>
        <v>0</v>
      </c>
      <c r="BC137" s="1537" t="b">
        <f>IF(BD137=TRUE,FALSE,IF(W137="",FALSE,IF(OR(W137&lt;BO137,W137&gt;BaseYear),TRUE,FALSE)))</f>
        <v>0</v>
      </c>
      <c r="BD137" s="899" t="b">
        <f>IF(AND($C137&lt;&gt;"",W137=""),TRUE,FALSE)</f>
        <v>0</v>
      </c>
      <c r="BE137" s="1537"/>
      <c r="BF137" s="899" t="b">
        <f>IF(AND($C137&lt;&gt;"",AC137=""),TRUE,FALSE)</f>
        <v>0</v>
      </c>
      <c r="BG137" s="898"/>
      <c r="BH137" s="899" t="b">
        <f>IF(AND($C137&lt;&gt;"",AE137=""),TRUE,FALSE)</f>
        <v>0</v>
      </c>
      <c r="BI137" s="898"/>
      <c r="BJ137" s="899" t="b">
        <f>IF(AND($C137&lt;&gt;"",AG137=""),TRUE,FALSE)</f>
        <v>0</v>
      </c>
      <c r="BK137" s="898"/>
      <c r="BL137" s="898" t="b">
        <f>IF(AND($C137&lt;&gt;"",AI137=""),TRUE,FALSE)</f>
        <v>0</v>
      </c>
      <c r="BM137" s="894"/>
      <c r="BN137" s="898" t="str">
        <f t="shared" si="142"/>
        <v/>
      </c>
      <c r="BO137" s="898" t="str">
        <f>IFERROR(IF(AND(O137="",O137&lt;&gt;""),1913,VLOOKUP(O137,Valid!$B$99:$J$120,9)),"")</f>
        <v/>
      </c>
      <c r="BP137" s="898" t="str">
        <f t="shared" ca="1" si="214"/>
        <v/>
      </c>
      <c r="BQ137" s="1547" t="str">
        <f t="shared" ca="1" si="215"/>
        <v/>
      </c>
      <c r="BR137" s="898" t="str">
        <f ca="1">IF(BQ137="", "", IF(1+(BQ137*4)&lt;1, 1, 1+(BQ137*4)))</f>
        <v/>
      </c>
      <c r="BS137" s="898" t="str">
        <f t="shared" si="144"/>
        <v/>
      </c>
      <c r="BT137" s="898" t="str">
        <f t="shared" si="145"/>
        <v/>
      </c>
      <c r="BU137" s="1539" t="str">
        <f>IFERROR(IF(AND(#REF!="",C137&lt;&gt;""),Valid!$E$123,VLOOKUP(#REF!,Valid!$B$123:$F$125,4,FALSE)),"")</f>
        <v/>
      </c>
      <c r="BV137" s="1539" t="str">
        <f>IFERROR(IF(AND(#REF!="",C137&lt;&gt;""),Valid!$F$123,VLOOKUP(#REF!,Valid!$B$123:$F$125,5,FALSE)),"")</f>
        <v/>
      </c>
      <c r="BW137" s="1539" t="str">
        <f>IFERROR(VLOOKUP('A-70 RevVehInv'!S137,Valid!$B$99:$I$120,7), "")</f>
        <v/>
      </c>
      <c r="BX137" s="1539" t="str">
        <f>IFERROR(VLOOKUP(O137,Valid!$B$99:$I$120,8), "")</f>
        <v/>
      </c>
      <c r="BY137" s="894"/>
    </row>
    <row r="138" spans="1:77" ht="6.75" customHeight="1" x14ac:dyDescent="0.2">
      <c r="A138" s="1517"/>
      <c r="B138" s="1530">
        <v>63.5</v>
      </c>
      <c r="C138" s="1540"/>
      <c r="D138" s="905"/>
      <c r="E138" s="1541"/>
      <c r="F138" s="905"/>
      <c r="G138" s="905"/>
      <c r="H138" s="905"/>
      <c r="I138" s="1534"/>
      <c r="J138" s="905"/>
      <c r="K138" s="1534"/>
      <c r="L138" s="905"/>
      <c r="M138" s="1534"/>
      <c r="N138" s="1531"/>
      <c r="O138" s="1542"/>
      <c r="P138" s="905"/>
      <c r="Q138" s="1542"/>
      <c r="R138" s="905"/>
      <c r="S138" s="1534" t="str">
        <f t="shared" si="136"/>
        <v/>
      </c>
      <c r="T138" s="905"/>
      <c r="U138" s="1534"/>
      <c r="V138" s="252" t="str">
        <f t="shared" si="209"/>
        <v/>
      </c>
      <c r="W138" s="1534"/>
      <c r="X138" s="905"/>
      <c r="Y138" s="1973" t="str">
        <f t="shared" si="146"/>
        <v/>
      </c>
      <c r="Z138" s="905"/>
      <c r="AA138" s="1985" t="str">
        <f t="shared" si="147"/>
        <v/>
      </c>
      <c r="AB138" s="1531"/>
      <c r="AC138" s="1534"/>
      <c r="AD138" s="1531"/>
      <c r="AE138" s="1534"/>
      <c r="AF138" s="1531"/>
      <c r="AG138" s="1534"/>
      <c r="AH138" s="1531"/>
      <c r="AI138" s="1543"/>
      <c r="AJ138" s="1531"/>
      <c r="AK138" s="1534"/>
      <c r="AL138" s="1531"/>
      <c r="AM138" s="1531"/>
      <c r="AN138" s="1531"/>
      <c r="AO138" s="1531"/>
      <c r="AP138" s="1531"/>
      <c r="AQ138" s="1535"/>
      <c r="AR138" s="1534"/>
      <c r="AS138" s="1535"/>
      <c r="AT138" s="1534"/>
      <c r="AU138" s="1535"/>
      <c r="AV138" s="1534"/>
      <c r="AW138" s="1535"/>
      <c r="AX138" s="1534"/>
      <c r="AY138" s="1535"/>
      <c r="AZ138" s="1534"/>
      <c r="BA138" s="1535"/>
      <c r="BB138" s="1534"/>
      <c r="BC138" s="1535"/>
      <c r="BD138" s="1534"/>
      <c r="BE138" s="1535"/>
      <c r="BF138" s="1534"/>
      <c r="BG138" s="1535"/>
      <c r="BH138" s="1534"/>
      <c r="BI138" s="1535"/>
      <c r="BJ138" s="1534"/>
      <c r="BK138" s="1535"/>
      <c r="BL138" s="1535"/>
      <c r="BM138" s="1531"/>
      <c r="BN138" s="898" t="str">
        <f t="shared" si="142"/>
        <v/>
      </c>
      <c r="BO138" s="898" t="str">
        <f>IFERROR(IF(AND(O138="",O138&lt;&gt;""),1913,VLOOKUP(O138,Valid!$B$99:$J$120,9)),"")</f>
        <v/>
      </c>
      <c r="BP138" s="898" t="str">
        <f t="shared" ca="1" si="214"/>
        <v/>
      </c>
      <c r="BQ138" s="1547" t="str">
        <f t="shared" ca="1" si="215"/>
        <v/>
      </c>
      <c r="BR138" s="898"/>
      <c r="BS138" s="898" t="str">
        <f t="shared" si="144"/>
        <v/>
      </c>
      <c r="BT138" s="898" t="str">
        <f t="shared" si="145"/>
        <v/>
      </c>
      <c r="BU138" s="1539" t="str">
        <f>IFERROR(IF(AND(#REF!="",C138&lt;&gt;""),Valid!$E$123,VLOOKUP(#REF!,Valid!$B$123:$F$125,4,FALSE)),"")</f>
        <v/>
      </c>
      <c r="BV138" s="1539" t="str">
        <f>IFERROR(IF(AND(#REF!="",C138&lt;&gt;""),Valid!$F$123,VLOOKUP(#REF!,Valid!$B$123:$F$125,5,FALSE)),"")</f>
        <v/>
      </c>
      <c r="BW138" s="1539" t="str">
        <f>IFERROR(VLOOKUP('A-70 RevVehInv'!S138,Valid!$B$99:$I$120,7), "")</f>
        <v/>
      </c>
      <c r="BX138" s="1539" t="str">
        <f>IFERROR(VLOOKUP(O138,Valid!$B$99:$I$120,8), "")</f>
        <v/>
      </c>
      <c r="BY138" s="1531"/>
    </row>
    <row r="139" spans="1:77" s="930" customFormat="1" x14ac:dyDescent="0.2">
      <c r="A139" s="206">
        <v>64</v>
      </c>
      <c r="B139" s="1530">
        <v>64</v>
      </c>
      <c r="C139" s="933"/>
      <c r="D139" s="719" t="str">
        <f>IF(C137="","",IF((C139=""),"Enter RVI ID. then Fill in Columns "&amp;TEXT($I$2,0)&amp;" - "&amp;TEXT($AI$2,0)&amp;"       ",""))</f>
        <v/>
      </c>
      <c r="E139" s="1056" t="str">
        <f>IF(AP139="N/A","",AP139)</f>
        <v/>
      </c>
      <c r="F139" s="1536"/>
      <c r="G139" s="1536"/>
      <c r="H139" s="1536"/>
      <c r="I139" s="1023"/>
      <c r="J139" s="1536" t="str">
        <f>IF(E139&lt;&gt;"","Vehicles?    ","")</f>
        <v/>
      </c>
      <c r="K139" s="1023"/>
      <c r="L139" s="1536" t="str">
        <f>IF(E139&lt;&gt;"","Active Vehicles?     ","")</f>
        <v/>
      </c>
      <c r="M139" s="1023"/>
      <c r="N139" s="894"/>
      <c r="O139" s="1153"/>
      <c r="P139" s="252" t="str">
        <f>IF(E139&lt;&gt;"","Select from Pull-Down List    ","")</f>
        <v/>
      </c>
      <c r="Q139" s="933"/>
      <c r="R139" s="252" t="str">
        <f>IF(E139&lt;&gt;"","Select from Pull-Down List    ","")</f>
        <v/>
      </c>
      <c r="S139" s="1766" t="str">
        <f t="shared" si="136"/>
        <v/>
      </c>
      <c r="T139" s="252"/>
      <c r="U139" s="1988"/>
      <c r="V139" s="252" t="str">
        <f t="shared" si="209"/>
        <v/>
      </c>
      <c r="W139" s="139"/>
      <c r="X139" s="252" t="str">
        <f>IF(E139&lt;&gt;"","Mfg. Yr?    ","")</f>
        <v/>
      </c>
      <c r="Y139" s="1974" t="str">
        <f t="shared" si="146"/>
        <v/>
      </c>
      <c r="Z139" s="252"/>
      <c r="AA139" s="1986" t="str">
        <f t="shared" si="147"/>
        <v/>
      </c>
      <c r="AB139" s="252" t="str">
        <f>IF(E139&lt;&gt;"","Select from Pull-Down List    ","")</f>
        <v/>
      </c>
      <c r="AC139" s="1023"/>
      <c r="AD139" s="252" t="str">
        <f>IF(E139&lt;&gt;"","Feet?    ","")</f>
        <v/>
      </c>
      <c r="AE139" s="1023"/>
      <c r="AF139" s="252" t="str">
        <f>IF(E139&lt;&gt;"","Mileage?       ","")</f>
        <v/>
      </c>
      <c r="AG139" s="1023"/>
      <c r="AH139" s="252" t="str">
        <f>IF(E139&lt;&gt;"","Avg. Lifetime Mileage? ","")</f>
        <v/>
      </c>
      <c r="AI139" s="933"/>
      <c r="AJ139" s="252" t="str">
        <f>IF(E139&lt;&gt;"","Select from Pull-Down List    ","")</f>
        <v/>
      </c>
      <c r="AK139" s="171"/>
      <c r="AL139" s="252"/>
      <c r="AM139" s="894"/>
      <c r="AN139" s="894"/>
      <c r="AO139" s="894" t="b">
        <f>IF(AND(C139="",C141&lt;&gt;""),TRUE,FALSE)</f>
        <v>0</v>
      </c>
      <c r="AP139" s="888" t="str">
        <f t="shared" ref="AP139" si="272">IF(AND(C139&lt;&gt;"",OR(I139="",K139="",M139="",O139="",Q139="",W139="",AC139="",AE139="",AG139="")),"No",IF(AND(C139="",OR(I139&lt;&gt;"",K139&lt;&gt;"",M139&lt;&gt;"",O139&lt;&gt;"",Q139&lt;&gt;"",W139&lt;&gt;"",AC139&lt;&gt;"",AE139&lt;&gt;"",AG139&lt;&gt;"",AI139&lt;&gt;"",AK139&lt;&gt;"")),"No",IF(AND(C139="",I139="",K139="",M139="",O139="",Q139="",W139="",AC139="",AE139="",AG139="",AI139=""),"N/A","Yes")))</f>
        <v>N/A</v>
      </c>
      <c r="AQ139" s="898"/>
      <c r="AR139" s="899" t="b">
        <f t="shared" ref="AR139" si="273">IF(AND(OR(I139&lt;&gt;"",K139&lt;&gt;"",M139&lt;&gt;"",O139&lt;&gt;"",Q139&lt;&gt;"",W139&lt;&gt;"",AC139&lt;&gt;"",AE139&lt;&gt;"",AG139&lt;&gt;"",AI139&lt;&gt;"",AK139&lt;&gt;""),C139=""),TRUE,FALSE)</f>
        <v>0</v>
      </c>
      <c r="AS139" s="898" t="b">
        <f t="shared" ref="AS139" si="274">IF(AT139=TRUE,FALSE,IF(SUM(K139)&gt;I139,TRUE,FALSE))</f>
        <v>0</v>
      </c>
      <c r="AT139" s="899" t="b">
        <f>IF(AND(C139&lt;&gt;"",I139=""),TRUE,FALSE)</f>
        <v>0</v>
      </c>
      <c r="AU139" s="898" t="b">
        <f>IF(AV139=TRUE,FALSE,IF(M139&gt;K139,TRUE,FALSE))</f>
        <v>0</v>
      </c>
      <c r="AV139" s="899" t="b">
        <f>IF(AND($C139&lt;&gt;"",K139=""),TRUE,FALSE)</f>
        <v>0</v>
      </c>
      <c r="AW139" s="898"/>
      <c r="AX139" s="899" t="b">
        <f>IF(AND($C139&lt;&gt;"",M139=""),TRUE,FALSE)</f>
        <v>0</v>
      </c>
      <c r="AY139" s="898" t="b">
        <f t="shared" ref="AY139" si="275">IF(AND(O139="",OR(Q139&lt;&gt;"",W139&lt;&gt;"",AC139&lt;&gt;"",AE139&lt;&gt;"",AG139&lt;&gt;"",AI139&lt;&gt;"")),TRUE,FALSE)</f>
        <v>0</v>
      </c>
      <c r="AZ139" s="899" t="b">
        <f>IF(AND($C139&lt;&gt;"",O139=""),TRUE,FALSE)</f>
        <v>0</v>
      </c>
      <c r="BA139" s="898"/>
      <c r="BB139" s="899" t="b">
        <f>IF(AND($C139&lt;&gt;"",Q139=""),TRUE,FALSE)</f>
        <v>0</v>
      </c>
      <c r="BC139" s="1537" t="b">
        <f>IF(BD139=TRUE,FALSE,IF(W139="",FALSE,IF(OR(W139&lt;BO139,W139&gt;BaseYear),TRUE,FALSE)))</f>
        <v>0</v>
      </c>
      <c r="BD139" s="899" t="b">
        <f>IF(AND($C139&lt;&gt;"",W139=""),TRUE,FALSE)</f>
        <v>0</v>
      </c>
      <c r="BE139" s="1537"/>
      <c r="BF139" s="899" t="b">
        <f>IF(AND($C139&lt;&gt;"",AC139=""),TRUE,FALSE)</f>
        <v>0</v>
      </c>
      <c r="BG139" s="898"/>
      <c r="BH139" s="899" t="b">
        <f>IF(AND($C139&lt;&gt;"",AE139=""),TRUE,FALSE)</f>
        <v>0</v>
      </c>
      <c r="BI139" s="898"/>
      <c r="BJ139" s="899" t="b">
        <f>IF(AND($C139&lt;&gt;"",AG139=""),TRUE,FALSE)</f>
        <v>0</v>
      </c>
      <c r="BK139" s="898"/>
      <c r="BL139" s="898" t="b">
        <f>IF(AND($C139&lt;&gt;"",AI139=""),TRUE,FALSE)</f>
        <v>0</v>
      </c>
      <c r="BM139" s="894"/>
      <c r="BN139" s="898" t="str">
        <f t="shared" si="142"/>
        <v/>
      </c>
      <c r="BO139" s="898" t="str">
        <f>IFERROR(IF(AND(O139="",O139&lt;&gt;""),1913,VLOOKUP(O139,Valid!$B$99:$J$120,9)),"")</f>
        <v/>
      </c>
      <c r="BP139" s="898" t="str">
        <f t="shared" ca="1" si="214"/>
        <v/>
      </c>
      <c r="BQ139" s="1547" t="str">
        <f t="shared" ca="1" si="215"/>
        <v/>
      </c>
      <c r="BR139" s="898" t="str">
        <f ca="1">IF(BQ139="", "", IF(1+(BQ139*4)&lt;1, 1, 1+(BQ139*4)))</f>
        <v/>
      </c>
      <c r="BS139" s="898" t="str">
        <f t="shared" si="144"/>
        <v/>
      </c>
      <c r="BT139" s="898" t="str">
        <f t="shared" si="145"/>
        <v/>
      </c>
      <c r="BU139" s="1539" t="str">
        <f>IFERROR(IF(AND(#REF!="",C139&lt;&gt;""),Valid!$E$123,VLOOKUP(#REF!,Valid!$B$123:$F$125,4,FALSE)),"")</f>
        <v/>
      </c>
      <c r="BV139" s="1539" t="str">
        <f>IFERROR(IF(AND(#REF!="",C139&lt;&gt;""),Valid!$F$123,VLOOKUP(#REF!,Valid!$B$123:$F$125,5,FALSE)),"")</f>
        <v/>
      </c>
      <c r="BW139" s="1539" t="str">
        <f>IFERROR(VLOOKUP('A-70 RevVehInv'!S139,Valid!$B$99:$I$120,7), "")</f>
        <v/>
      </c>
      <c r="BX139" s="1539" t="str">
        <f>IFERROR(VLOOKUP(O139,Valid!$B$99:$I$120,8), "")</f>
        <v/>
      </c>
      <c r="BY139" s="894"/>
    </row>
    <row r="140" spans="1:77" ht="6.75" customHeight="1" x14ac:dyDescent="0.2">
      <c r="A140" s="1517"/>
      <c r="B140" s="1530">
        <v>64.5</v>
      </c>
      <c r="C140" s="1544"/>
      <c r="D140" s="905"/>
      <c r="E140" s="1545"/>
      <c r="F140" s="905"/>
      <c r="G140" s="905"/>
      <c r="H140" s="905"/>
      <c r="I140" s="1531"/>
      <c r="J140" s="905"/>
      <c r="K140" s="1531"/>
      <c r="L140" s="905"/>
      <c r="M140" s="1531"/>
      <c r="N140" s="1531"/>
      <c r="O140" s="1533"/>
      <c r="P140" s="905"/>
      <c r="Q140" s="1533"/>
      <c r="R140" s="905"/>
      <c r="S140" s="1531" t="str">
        <f t="shared" si="136"/>
        <v/>
      </c>
      <c r="T140" s="905"/>
      <c r="U140" s="1531"/>
      <c r="V140" s="252" t="str">
        <f t="shared" si="209"/>
        <v/>
      </c>
      <c r="W140" s="1531"/>
      <c r="X140" s="905"/>
      <c r="Y140" s="1971" t="str">
        <f t="shared" si="146"/>
        <v/>
      </c>
      <c r="Z140" s="905"/>
      <c r="AA140" s="1983" t="str">
        <f t="shared" si="147"/>
        <v/>
      </c>
      <c r="AB140" s="1531"/>
      <c r="AC140" s="1531"/>
      <c r="AD140" s="1531"/>
      <c r="AE140" s="1531"/>
      <c r="AF140" s="1531"/>
      <c r="AG140" s="1534"/>
      <c r="AH140" s="1531"/>
      <c r="AI140" s="1546"/>
      <c r="AJ140" s="1531"/>
      <c r="AK140" s="1531"/>
      <c r="AL140" s="1531"/>
      <c r="AM140" s="1531"/>
      <c r="AN140" s="1531"/>
      <c r="AO140" s="1531"/>
      <c r="AP140" s="1531"/>
      <c r="AQ140" s="1535"/>
      <c r="AR140" s="1534"/>
      <c r="AS140" s="1535"/>
      <c r="AT140" s="1534"/>
      <c r="AU140" s="1535"/>
      <c r="AV140" s="1534"/>
      <c r="AW140" s="1535"/>
      <c r="AX140" s="1534"/>
      <c r="AY140" s="1535"/>
      <c r="AZ140" s="1534"/>
      <c r="BA140" s="1535"/>
      <c r="BB140" s="1534"/>
      <c r="BC140" s="1535"/>
      <c r="BD140" s="1534"/>
      <c r="BE140" s="1535"/>
      <c r="BF140" s="1534"/>
      <c r="BG140" s="1535"/>
      <c r="BH140" s="1534"/>
      <c r="BI140" s="1535"/>
      <c r="BJ140" s="1534"/>
      <c r="BK140" s="1535"/>
      <c r="BL140" s="1535"/>
      <c r="BM140" s="1531"/>
      <c r="BN140" s="898" t="str">
        <f t="shared" si="142"/>
        <v/>
      </c>
      <c r="BO140" s="898" t="str">
        <f>IFERROR(IF(AND(O140="",O140&lt;&gt;""),1913,VLOOKUP(O140,Valid!$B$99:$J$120,9)),"")</f>
        <v/>
      </c>
      <c r="BP140" s="898" t="str">
        <f t="shared" ca="1" si="214"/>
        <v/>
      </c>
      <c r="BQ140" s="1547" t="str">
        <f t="shared" ca="1" si="215"/>
        <v/>
      </c>
      <c r="BR140" s="898"/>
      <c r="BS140" s="898" t="str">
        <f t="shared" si="144"/>
        <v/>
      </c>
      <c r="BT140" s="898" t="str">
        <f t="shared" si="145"/>
        <v/>
      </c>
      <c r="BU140" s="1539" t="str">
        <f>IFERROR(IF(AND(#REF!="",C140&lt;&gt;""),Valid!$E$123,VLOOKUP(#REF!,Valid!$B$123:$F$125,4,FALSE)),"")</f>
        <v/>
      </c>
      <c r="BV140" s="1539" t="str">
        <f>IFERROR(IF(AND(#REF!="",C140&lt;&gt;""),Valid!$F$123,VLOOKUP(#REF!,Valid!$B$123:$F$125,5,FALSE)),"")</f>
        <v/>
      </c>
      <c r="BW140" s="1539" t="str">
        <f>IFERROR(VLOOKUP('A-70 RevVehInv'!S140,Valid!$B$99:$I$120,7), "")</f>
        <v/>
      </c>
      <c r="BX140" s="1539" t="str">
        <f>IFERROR(VLOOKUP(O140,Valid!$B$99:$I$120,8), "")</f>
        <v/>
      </c>
      <c r="BY140" s="1531"/>
    </row>
    <row r="141" spans="1:77" s="930" customFormat="1" x14ac:dyDescent="0.2">
      <c r="A141" s="206">
        <v>65</v>
      </c>
      <c r="B141" s="1530">
        <v>65</v>
      </c>
      <c r="C141" s="933"/>
      <c r="D141" s="719" t="str">
        <f>IF(C139="","",IF((C141=""),"Enter RVI ID. then Fill in Columns "&amp;TEXT($I$2,0)&amp;" - "&amp;TEXT($AI$2,0)&amp;"       ",""))</f>
        <v/>
      </c>
      <c r="E141" s="1056" t="str">
        <f>IF(AP141="N/A","",AP141)</f>
        <v/>
      </c>
      <c r="F141" s="1536"/>
      <c r="G141" s="1536"/>
      <c r="H141" s="1536"/>
      <c r="I141" s="1023"/>
      <c r="J141" s="1536" t="str">
        <f>IF(E141&lt;&gt;"","Vehicles?    ","")</f>
        <v/>
      </c>
      <c r="K141" s="1023"/>
      <c r="L141" s="1536" t="str">
        <f>IF(E141&lt;&gt;"","Active Vehicles?     ","")</f>
        <v/>
      </c>
      <c r="M141" s="1023"/>
      <c r="N141" s="894"/>
      <c r="O141" s="1153"/>
      <c r="P141" s="252" t="str">
        <f>IF(E141&lt;&gt;"","Select from Pull-Down List    ","")</f>
        <v/>
      </c>
      <c r="Q141" s="933"/>
      <c r="R141" s="252" t="str">
        <f>IF(E141&lt;&gt;"","Select from Pull-Down List    ","")</f>
        <v/>
      </c>
      <c r="S141" s="1766" t="str">
        <f t="shared" ref="S141:S204" si="276">IFERROR(VLOOKUP($O141,val_rev_vehicles,S$3,FALSE), "")</f>
        <v/>
      </c>
      <c r="T141" s="252"/>
      <c r="U141" s="1988"/>
      <c r="V141" s="252" t="str">
        <f t="shared" ref="V141:V172" si="277">IF(E141&lt;&gt;"","Service Yrs?    ","")</f>
        <v/>
      </c>
      <c r="W141" s="139"/>
      <c r="X141" s="252" t="str">
        <f>IF(E141&lt;&gt;"","Mfg. Yr?    ","")</f>
        <v/>
      </c>
      <c r="Y141" s="1974" t="str">
        <f t="shared" si="146"/>
        <v/>
      </c>
      <c r="Z141" s="252"/>
      <c r="AA141" s="1986" t="str">
        <f t="shared" si="147"/>
        <v/>
      </c>
      <c r="AB141" s="252" t="str">
        <f>IF(E141&lt;&gt;"","Select from Pull-Down List    ","")</f>
        <v/>
      </c>
      <c r="AC141" s="1023"/>
      <c r="AD141" s="252" t="str">
        <f>IF(E141&lt;&gt;"","Feet?    ","")</f>
        <v/>
      </c>
      <c r="AE141" s="1023"/>
      <c r="AF141" s="252" t="str">
        <f>IF(E141&lt;&gt;"","Mileage?       ","")</f>
        <v/>
      </c>
      <c r="AG141" s="1023"/>
      <c r="AH141" s="252" t="str">
        <f>IF(E141&lt;&gt;"","Avg. Lifetime Mileage? ","")</f>
        <v/>
      </c>
      <c r="AI141" s="933"/>
      <c r="AJ141" s="252" t="str">
        <f>IF(E141&lt;&gt;"","Select from Pull-Down List    ","")</f>
        <v/>
      </c>
      <c r="AK141" s="171"/>
      <c r="AL141" s="252"/>
      <c r="AM141" s="894"/>
      <c r="AN141" s="894"/>
      <c r="AO141" s="894" t="b">
        <f>IF(AND(C141="",C143&lt;&gt;""),TRUE,FALSE)</f>
        <v>0</v>
      </c>
      <c r="AP141" s="888" t="str">
        <f t="shared" ref="AP141" si="278">IF(AND(C141&lt;&gt;"",OR(I141="",K141="",M141="",O141="",Q141="",W141="",AC141="",AE141="",AG141="")),"No",IF(AND(C141="",OR(I141&lt;&gt;"",K141&lt;&gt;"",M141&lt;&gt;"",O141&lt;&gt;"",Q141&lt;&gt;"",W141&lt;&gt;"",AC141&lt;&gt;"",AE141&lt;&gt;"",AG141&lt;&gt;"",AI141&lt;&gt;"",AK141&lt;&gt;"")),"No",IF(AND(C141="",I141="",K141="",M141="",O141="",Q141="",W141="",AC141="",AE141="",AG141="",AI141=""),"N/A","Yes")))</f>
        <v>N/A</v>
      </c>
      <c r="AQ141" s="898"/>
      <c r="AR141" s="899" t="b">
        <f t="shared" ref="AR141" si="279">IF(AND(OR(I141&lt;&gt;"",K141&lt;&gt;"",M141&lt;&gt;"",O141&lt;&gt;"",Q141&lt;&gt;"",W141&lt;&gt;"",AC141&lt;&gt;"",AE141&lt;&gt;"",AG141&lt;&gt;"",AI141&lt;&gt;"",AK141&lt;&gt;""),C141=""),TRUE,FALSE)</f>
        <v>0</v>
      </c>
      <c r="AS141" s="898" t="b">
        <f t="shared" ref="AS141" si="280">IF(AT141=TRUE,FALSE,IF(SUM(K141)&gt;I141,TRUE,FALSE))</f>
        <v>0</v>
      </c>
      <c r="AT141" s="899" t="b">
        <f>IF(AND(C141&lt;&gt;"",I141=""),TRUE,FALSE)</f>
        <v>0</v>
      </c>
      <c r="AU141" s="898" t="b">
        <f>IF(AV141=TRUE,FALSE,IF(M141&gt;K141,TRUE,FALSE))</f>
        <v>0</v>
      </c>
      <c r="AV141" s="899" t="b">
        <f>IF(AND($C141&lt;&gt;"",K141=""),TRUE,FALSE)</f>
        <v>0</v>
      </c>
      <c r="AW141" s="898"/>
      <c r="AX141" s="899" t="b">
        <f>IF(AND($C141&lt;&gt;"",M141=""),TRUE,FALSE)</f>
        <v>0</v>
      </c>
      <c r="AY141" s="898" t="b">
        <f t="shared" ref="AY141" si="281">IF(AND(O141="",OR(Q141&lt;&gt;"",W141&lt;&gt;"",AC141&lt;&gt;"",AE141&lt;&gt;"",AG141&lt;&gt;"",AI141&lt;&gt;"")),TRUE,FALSE)</f>
        <v>0</v>
      </c>
      <c r="AZ141" s="899" t="b">
        <f>IF(AND($C141&lt;&gt;"",O141=""),TRUE,FALSE)</f>
        <v>0</v>
      </c>
      <c r="BA141" s="898"/>
      <c r="BB141" s="899" t="b">
        <f>IF(AND($C141&lt;&gt;"",Q141=""),TRUE,FALSE)</f>
        <v>0</v>
      </c>
      <c r="BC141" s="1537" t="b">
        <f>IF(BD141=TRUE,FALSE,IF(W141="",FALSE,IF(OR(W141&lt;BO141,W141&gt;BaseYear),TRUE,FALSE)))</f>
        <v>0</v>
      </c>
      <c r="BD141" s="899" t="b">
        <f>IF(AND($C141&lt;&gt;"",W141=""),TRUE,FALSE)</f>
        <v>0</v>
      </c>
      <c r="BE141" s="1537"/>
      <c r="BF141" s="899" t="b">
        <f>IF(AND($C141&lt;&gt;"",AC141=""),TRUE,FALSE)</f>
        <v>0</v>
      </c>
      <c r="BG141" s="898"/>
      <c r="BH141" s="899" t="b">
        <f>IF(AND($C141&lt;&gt;"",AE141=""),TRUE,FALSE)</f>
        <v>0</v>
      </c>
      <c r="BI141" s="898"/>
      <c r="BJ141" s="899" t="b">
        <f>IF(AND($C141&lt;&gt;"",AG141=""),TRUE,FALSE)</f>
        <v>0</v>
      </c>
      <c r="BK141" s="898"/>
      <c r="BL141" s="898" t="b">
        <f>IF(AND($C141&lt;&gt;"",AI141=""),TRUE,FALSE)</f>
        <v>0</v>
      </c>
      <c r="BM141" s="894"/>
      <c r="BN141" s="898" t="str">
        <f t="shared" ref="BN141:BN204" si="282">IFERROR(VLOOKUP($O141,val_rev_vehicles,BN$3,FALSE),"")</f>
        <v/>
      </c>
      <c r="BO141" s="898" t="str">
        <f>IFERROR(IF(AND(O141="",O141&lt;&gt;""),1913,VLOOKUP(O141,Valid!$B$99:$J$120,9)),"")</f>
        <v/>
      </c>
      <c r="BP141" s="898" t="str">
        <f t="shared" ref="BP141:BP172" ca="1" si="283">IF(W141="", "", YEAR(TODAY())-W141)</f>
        <v/>
      </c>
      <c r="BQ141" s="1547" t="str">
        <f t="shared" ca="1" si="215"/>
        <v/>
      </c>
      <c r="BR141" s="898" t="str">
        <f ca="1">IF(BQ141="", "", IF(1+(BQ141*4)&lt;1, 1, 1+(BQ141*4)))</f>
        <v/>
      </c>
      <c r="BS141" s="898" t="str">
        <f t="shared" ref="BS141:BS204" si="284">IFERROR(VLOOKUP($O141,val_rev_vehicles,BS$3,FALSE), "")</f>
        <v/>
      </c>
      <c r="BT141" s="898" t="str">
        <f t="shared" ref="BT141:BT204" si="285">IFERROR(VLOOKUP($O141,val_rev_vehicles,BT$3,FALSE),"")</f>
        <v/>
      </c>
      <c r="BU141" s="1539" t="str">
        <f>IFERROR(IF(AND(#REF!="",C141&lt;&gt;""),Valid!$E$123,VLOOKUP(#REF!,Valid!$B$123:$F$125,4,FALSE)),"")</f>
        <v/>
      </c>
      <c r="BV141" s="1539" t="str">
        <f>IFERROR(IF(AND(#REF!="",C141&lt;&gt;""),Valid!$F$123,VLOOKUP(#REF!,Valid!$B$123:$F$125,5,FALSE)),"")</f>
        <v/>
      </c>
      <c r="BW141" s="1539" t="str">
        <f>IFERROR(VLOOKUP('A-70 RevVehInv'!S141,Valid!$B$99:$I$120,7), "")</f>
        <v/>
      </c>
      <c r="BX141" s="1539" t="str">
        <f>IFERROR(VLOOKUP(O141,Valid!$B$99:$I$120,8), "")</f>
        <v/>
      </c>
      <c r="BY141" s="894"/>
    </row>
    <row r="142" spans="1:77" ht="6.75" customHeight="1" x14ac:dyDescent="0.2">
      <c r="A142" s="1517"/>
      <c r="B142" s="1530">
        <v>65.5</v>
      </c>
      <c r="C142" s="1540"/>
      <c r="D142" s="905"/>
      <c r="E142" s="1541"/>
      <c r="F142" s="905"/>
      <c r="G142" s="905"/>
      <c r="H142" s="905"/>
      <c r="I142" s="1534"/>
      <c r="J142" s="905"/>
      <c r="K142" s="1534"/>
      <c r="L142" s="905"/>
      <c r="M142" s="1534"/>
      <c r="N142" s="1531"/>
      <c r="O142" s="1542"/>
      <c r="P142" s="905"/>
      <c r="Q142" s="1542"/>
      <c r="R142" s="905"/>
      <c r="S142" s="1534" t="str">
        <f t="shared" si="276"/>
        <v/>
      </c>
      <c r="T142" s="905"/>
      <c r="U142" s="1534"/>
      <c r="V142" s="252" t="str">
        <f t="shared" si="277"/>
        <v/>
      </c>
      <c r="W142" s="1534"/>
      <c r="X142" s="905"/>
      <c r="Y142" s="1973" t="str">
        <f t="shared" ref="Y142:Y205" si="286">IFERROR(VLOOKUP($O142,val_rev_vehicles,Y$3,FALSE), "")</f>
        <v/>
      </c>
      <c r="Z142" s="905"/>
      <c r="AA142" s="1985" t="str">
        <f t="shared" ref="AA142:AA205" si="287">IFERROR(VLOOKUP($O142,val_rev_vehicles,AA$3,FALSE), "")</f>
        <v/>
      </c>
      <c r="AB142" s="1531"/>
      <c r="AC142" s="1534"/>
      <c r="AD142" s="1531"/>
      <c r="AE142" s="1534"/>
      <c r="AF142" s="1531"/>
      <c r="AG142" s="1534"/>
      <c r="AH142" s="1531"/>
      <c r="AI142" s="1543"/>
      <c r="AJ142" s="1531"/>
      <c r="AK142" s="1534"/>
      <c r="AL142" s="1531"/>
      <c r="AM142" s="1531"/>
      <c r="AN142" s="1531"/>
      <c r="AO142" s="1531"/>
      <c r="AP142" s="1531"/>
      <c r="AQ142" s="1535"/>
      <c r="AR142" s="1534"/>
      <c r="AS142" s="1535"/>
      <c r="AT142" s="1534"/>
      <c r="AU142" s="1535"/>
      <c r="AV142" s="1534"/>
      <c r="AW142" s="1535"/>
      <c r="AX142" s="1534"/>
      <c r="AY142" s="1535"/>
      <c r="AZ142" s="1534"/>
      <c r="BA142" s="1535"/>
      <c r="BB142" s="1534"/>
      <c r="BC142" s="1535"/>
      <c r="BD142" s="1534"/>
      <c r="BE142" s="1535"/>
      <c r="BF142" s="1534"/>
      <c r="BG142" s="1535"/>
      <c r="BH142" s="1534"/>
      <c r="BI142" s="1535"/>
      <c r="BJ142" s="1534"/>
      <c r="BK142" s="1535"/>
      <c r="BL142" s="1535"/>
      <c r="BM142" s="1531"/>
      <c r="BN142" s="898" t="str">
        <f t="shared" si="282"/>
        <v/>
      </c>
      <c r="BO142" s="898" t="str">
        <f>IFERROR(IF(AND(O142="",O142&lt;&gt;""),1913,VLOOKUP(O142,Valid!$B$99:$J$120,9)),"")</f>
        <v/>
      </c>
      <c r="BP142" s="898" t="str">
        <f t="shared" ca="1" si="283"/>
        <v/>
      </c>
      <c r="BQ142" s="1547" t="str">
        <f t="shared" ref="BQ142:BQ173" ca="1" si="288">IF(OR(BP142="", S142="",S142=0), "", 1+ (-1*(BP142/S142)))</f>
        <v/>
      </c>
      <c r="BR142" s="898"/>
      <c r="BS142" s="898" t="str">
        <f t="shared" si="284"/>
        <v/>
      </c>
      <c r="BT142" s="898" t="str">
        <f t="shared" si="285"/>
        <v/>
      </c>
      <c r="BU142" s="1539" t="str">
        <f>IFERROR(IF(AND(#REF!="",C142&lt;&gt;""),Valid!$E$123,VLOOKUP(#REF!,Valid!$B$123:$F$125,4,FALSE)),"")</f>
        <v/>
      </c>
      <c r="BV142" s="1539" t="str">
        <f>IFERROR(IF(AND(#REF!="",C142&lt;&gt;""),Valid!$F$123,VLOOKUP(#REF!,Valid!$B$123:$F$125,5,FALSE)),"")</f>
        <v/>
      </c>
      <c r="BW142" s="1539" t="str">
        <f>IFERROR(VLOOKUP('A-70 RevVehInv'!S142,Valid!$B$99:$I$120,7), "")</f>
        <v/>
      </c>
      <c r="BX142" s="1539" t="str">
        <f>IFERROR(VLOOKUP(O142,Valid!$B$99:$I$120,8), "")</f>
        <v/>
      </c>
      <c r="BY142" s="1531"/>
    </row>
    <row r="143" spans="1:77" s="930" customFormat="1" x14ac:dyDescent="0.2">
      <c r="A143" s="206">
        <v>66</v>
      </c>
      <c r="B143" s="1530">
        <v>66</v>
      </c>
      <c r="C143" s="933"/>
      <c r="D143" s="719" t="str">
        <f>IF(C141="","",IF((C143=""),"Enter RVI ID. then Fill in Columns "&amp;TEXT($I$2,0)&amp;" - "&amp;TEXT($AI$2,0)&amp;"       ",""))</f>
        <v/>
      </c>
      <c r="E143" s="1056" t="str">
        <f>IF(AP143="N/A","",AP143)</f>
        <v/>
      </c>
      <c r="F143" s="1536"/>
      <c r="G143" s="1536"/>
      <c r="H143" s="1536"/>
      <c r="I143" s="1023"/>
      <c r="J143" s="1536" t="str">
        <f>IF(E143&lt;&gt;"","Vehicles?    ","")</f>
        <v/>
      </c>
      <c r="K143" s="1023"/>
      <c r="L143" s="1536" t="str">
        <f>IF(E143&lt;&gt;"","Active Vehicles?     ","")</f>
        <v/>
      </c>
      <c r="M143" s="1023"/>
      <c r="N143" s="894"/>
      <c r="O143" s="1153"/>
      <c r="P143" s="252" t="str">
        <f>IF(E143&lt;&gt;"","Select from Pull-Down List    ","")</f>
        <v/>
      </c>
      <c r="Q143" s="933"/>
      <c r="R143" s="252" t="str">
        <f>IF(E143&lt;&gt;"","Select from Pull-Down List    ","")</f>
        <v/>
      </c>
      <c r="S143" s="1766" t="str">
        <f t="shared" si="276"/>
        <v/>
      </c>
      <c r="T143" s="252"/>
      <c r="U143" s="1988"/>
      <c r="V143" s="252" t="str">
        <f t="shared" si="277"/>
        <v/>
      </c>
      <c r="W143" s="139"/>
      <c r="X143" s="252" t="str">
        <f>IF(E143&lt;&gt;"","Mfg. Yr?    ","")</f>
        <v/>
      </c>
      <c r="Y143" s="1974" t="str">
        <f t="shared" si="286"/>
        <v/>
      </c>
      <c r="Z143" s="252"/>
      <c r="AA143" s="1986" t="str">
        <f t="shared" si="287"/>
        <v/>
      </c>
      <c r="AB143" s="252" t="str">
        <f>IF(E143&lt;&gt;"","Select from Pull-Down List    ","")</f>
        <v/>
      </c>
      <c r="AC143" s="1023"/>
      <c r="AD143" s="252" t="str">
        <f>IF(E143&lt;&gt;"","Feet?    ","")</f>
        <v/>
      </c>
      <c r="AE143" s="1023"/>
      <c r="AF143" s="252" t="str">
        <f>IF(E143&lt;&gt;"","Mileage?       ","")</f>
        <v/>
      </c>
      <c r="AG143" s="1023"/>
      <c r="AH143" s="252" t="str">
        <f>IF(E143&lt;&gt;"","Avg. Lifetime Mileage? ","")</f>
        <v/>
      </c>
      <c r="AI143" s="933"/>
      <c r="AJ143" s="252" t="str">
        <f>IF(E143&lt;&gt;"","Select from Pull-Down List    ","")</f>
        <v/>
      </c>
      <c r="AK143" s="171"/>
      <c r="AL143" s="252"/>
      <c r="AM143" s="894"/>
      <c r="AN143" s="894"/>
      <c r="AO143" s="894" t="b">
        <f>IF(AND(C143="",C145&lt;&gt;""),TRUE,FALSE)</f>
        <v>0</v>
      </c>
      <c r="AP143" s="888" t="str">
        <f t="shared" ref="AP143" si="289">IF(AND(C143&lt;&gt;"",OR(I143="",K143="",M143="",O143="",Q143="",W143="",AC143="",AE143="",AG143="")),"No",IF(AND(C143="",OR(I143&lt;&gt;"",K143&lt;&gt;"",M143&lt;&gt;"",O143&lt;&gt;"",Q143&lt;&gt;"",W143&lt;&gt;"",AC143&lt;&gt;"",AE143&lt;&gt;"",AG143&lt;&gt;"",AI143&lt;&gt;"",AK143&lt;&gt;"")),"No",IF(AND(C143="",I143="",K143="",M143="",O143="",Q143="",W143="",AC143="",AE143="",AG143="",AI143=""),"N/A","Yes")))</f>
        <v>N/A</v>
      </c>
      <c r="AQ143" s="898"/>
      <c r="AR143" s="899" t="b">
        <f t="shared" ref="AR143" si="290">IF(AND(OR(I143&lt;&gt;"",K143&lt;&gt;"",M143&lt;&gt;"",O143&lt;&gt;"",Q143&lt;&gt;"",W143&lt;&gt;"",AC143&lt;&gt;"",AE143&lt;&gt;"",AG143&lt;&gt;"",AI143&lt;&gt;"",AK143&lt;&gt;""),C143=""),TRUE,FALSE)</f>
        <v>0</v>
      </c>
      <c r="AS143" s="898" t="b">
        <f t="shared" ref="AS143" si="291">IF(AT143=TRUE,FALSE,IF(SUM(K143)&gt;I143,TRUE,FALSE))</f>
        <v>0</v>
      </c>
      <c r="AT143" s="899" t="b">
        <f>IF(AND(C143&lt;&gt;"",I143=""),TRUE,FALSE)</f>
        <v>0</v>
      </c>
      <c r="AU143" s="898" t="b">
        <f>IF(AV143=TRUE,FALSE,IF(M143&gt;K143,TRUE,FALSE))</f>
        <v>0</v>
      </c>
      <c r="AV143" s="899" t="b">
        <f>IF(AND($C143&lt;&gt;"",K143=""),TRUE,FALSE)</f>
        <v>0</v>
      </c>
      <c r="AW143" s="898"/>
      <c r="AX143" s="899" t="b">
        <f>IF(AND($C143&lt;&gt;"",M143=""),TRUE,FALSE)</f>
        <v>0</v>
      </c>
      <c r="AY143" s="898" t="b">
        <f t="shared" ref="AY143" si="292">IF(AND(O143="",OR(Q143&lt;&gt;"",W143&lt;&gt;"",AC143&lt;&gt;"",AE143&lt;&gt;"",AG143&lt;&gt;"",AI143&lt;&gt;"")),TRUE,FALSE)</f>
        <v>0</v>
      </c>
      <c r="AZ143" s="899" t="b">
        <f>IF(AND($C143&lt;&gt;"",O143=""),TRUE,FALSE)</f>
        <v>0</v>
      </c>
      <c r="BA143" s="898"/>
      <c r="BB143" s="899" t="b">
        <f>IF(AND($C143&lt;&gt;"",Q143=""),TRUE,FALSE)</f>
        <v>0</v>
      </c>
      <c r="BC143" s="1537" t="b">
        <f>IF(BD143=TRUE,FALSE,IF(W143="",FALSE,IF(OR(W143&lt;BO143,W143&gt;BaseYear),TRUE,FALSE)))</f>
        <v>0</v>
      </c>
      <c r="BD143" s="899" t="b">
        <f>IF(AND($C143&lt;&gt;"",W143=""),TRUE,FALSE)</f>
        <v>0</v>
      </c>
      <c r="BE143" s="1537"/>
      <c r="BF143" s="899" t="b">
        <f>IF(AND($C143&lt;&gt;"",AC143=""),TRUE,FALSE)</f>
        <v>0</v>
      </c>
      <c r="BG143" s="898"/>
      <c r="BH143" s="899" t="b">
        <f>IF(AND($C143&lt;&gt;"",AE143=""),TRUE,FALSE)</f>
        <v>0</v>
      </c>
      <c r="BI143" s="898"/>
      <c r="BJ143" s="899" t="b">
        <f>IF(AND($C143&lt;&gt;"",AG143=""),TRUE,FALSE)</f>
        <v>0</v>
      </c>
      <c r="BK143" s="898"/>
      <c r="BL143" s="898" t="b">
        <f>IF(AND($C143&lt;&gt;"",AI143=""),TRUE,FALSE)</f>
        <v>0</v>
      </c>
      <c r="BM143" s="894"/>
      <c r="BN143" s="898" t="str">
        <f t="shared" si="282"/>
        <v/>
      </c>
      <c r="BO143" s="898" t="str">
        <f>IFERROR(IF(AND(O143="",O143&lt;&gt;""),1913,VLOOKUP(O143,Valid!$B$99:$J$120,9)),"")</f>
        <v/>
      </c>
      <c r="BP143" s="898" t="str">
        <f t="shared" ca="1" si="283"/>
        <v/>
      </c>
      <c r="BQ143" s="1547" t="str">
        <f t="shared" ca="1" si="288"/>
        <v/>
      </c>
      <c r="BR143" s="898" t="str">
        <f ca="1">IF(BQ143="", "", IF(1+(BQ143*4)&lt;1, 1, 1+(BQ143*4)))</f>
        <v/>
      </c>
      <c r="BS143" s="898" t="str">
        <f t="shared" si="284"/>
        <v/>
      </c>
      <c r="BT143" s="898" t="str">
        <f t="shared" si="285"/>
        <v/>
      </c>
      <c r="BU143" s="1539" t="str">
        <f>IFERROR(IF(AND(#REF!="",C143&lt;&gt;""),Valid!$E$123,VLOOKUP(#REF!,Valid!$B$123:$F$125,4,FALSE)),"")</f>
        <v/>
      </c>
      <c r="BV143" s="1539" t="str">
        <f>IFERROR(IF(AND(#REF!="",C143&lt;&gt;""),Valid!$F$123,VLOOKUP(#REF!,Valid!$B$123:$F$125,5,FALSE)),"")</f>
        <v/>
      </c>
      <c r="BW143" s="1539" t="str">
        <f>IFERROR(VLOOKUP('A-70 RevVehInv'!S143,Valid!$B$99:$I$120,7), "")</f>
        <v/>
      </c>
      <c r="BX143" s="1539" t="str">
        <f>IFERROR(VLOOKUP(O143,Valid!$B$99:$I$120,8), "")</f>
        <v/>
      </c>
      <c r="BY143" s="894"/>
    </row>
    <row r="144" spans="1:77" ht="6.75" customHeight="1" x14ac:dyDescent="0.2">
      <c r="A144" s="1517"/>
      <c r="B144" s="1530">
        <v>66.5</v>
      </c>
      <c r="C144" s="1544"/>
      <c r="D144" s="905"/>
      <c r="E144" s="1545"/>
      <c r="F144" s="905"/>
      <c r="G144" s="905"/>
      <c r="H144" s="905"/>
      <c r="I144" s="1531"/>
      <c r="J144" s="905"/>
      <c r="K144" s="1531"/>
      <c r="L144" s="905"/>
      <c r="M144" s="1531"/>
      <c r="N144" s="1531"/>
      <c r="O144" s="1533"/>
      <c r="P144" s="905"/>
      <c r="Q144" s="1533"/>
      <c r="R144" s="905"/>
      <c r="S144" s="1531" t="str">
        <f t="shared" si="276"/>
        <v/>
      </c>
      <c r="T144" s="905"/>
      <c r="U144" s="1531"/>
      <c r="V144" s="252" t="str">
        <f t="shared" si="277"/>
        <v/>
      </c>
      <c r="W144" s="1531"/>
      <c r="X144" s="905"/>
      <c r="Y144" s="1971" t="str">
        <f t="shared" si="286"/>
        <v/>
      </c>
      <c r="Z144" s="905"/>
      <c r="AA144" s="1983" t="str">
        <f t="shared" si="287"/>
        <v/>
      </c>
      <c r="AB144" s="1531"/>
      <c r="AC144" s="1531"/>
      <c r="AD144" s="1531"/>
      <c r="AE144" s="1531"/>
      <c r="AF144" s="1531"/>
      <c r="AG144" s="1534"/>
      <c r="AH144" s="1531"/>
      <c r="AI144" s="1546"/>
      <c r="AJ144" s="1531"/>
      <c r="AK144" s="1531"/>
      <c r="AL144" s="1531"/>
      <c r="AM144" s="1531"/>
      <c r="AN144" s="1531"/>
      <c r="AO144" s="1531"/>
      <c r="AP144" s="1531"/>
      <c r="AQ144" s="1535"/>
      <c r="AR144" s="1534"/>
      <c r="AS144" s="1535"/>
      <c r="AT144" s="1534"/>
      <c r="AU144" s="1535"/>
      <c r="AV144" s="1534"/>
      <c r="AW144" s="1535"/>
      <c r="AX144" s="1534"/>
      <c r="AY144" s="1535"/>
      <c r="AZ144" s="1534"/>
      <c r="BA144" s="1535"/>
      <c r="BB144" s="1534"/>
      <c r="BC144" s="1535"/>
      <c r="BD144" s="1534"/>
      <c r="BE144" s="1535"/>
      <c r="BF144" s="1534"/>
      <c r="BG144" s="1535"/>
      <c r="BH144" s="1534"/>
      <c r="BI144" s="1535"/>
      <c r="BJ144" s="1534"/>
      <c r="BK144" s="1535"/>
      <c r="BL144" s="1535"/>
      <c r="BM144" s="1531"/>
      <c r="BN144" s="898" t="str">
        <f t="shared" si="282"/>
        <v/>
      </c>
      <c r="BO144" s="898" t="str">
        <f>IFERROR(IF(AND(O144="",O144&lt;&gt;""),1913,VLOOKUP(O144,Valid!$B$99:$J$120,9)),"")</f>
        <v/>
      </c>
      <c r="BP144" s="898" t="str">
        <f t="shared" ca="1" si="283"/>
        <v/>
      </c>
      <c r="BQ144" s="1547" t="str">
        <f t="shared" ca="1" si="288"/>
        <v/>
      </c>
      <c r="BR144" s="898"/>
      <c r="BS144" s="898" t="str">
        <f t="shared" si="284"/>
        <v/>
      </c>
      <c r="BT144" s="898" t="str">
        <f t="shared" si="285"/>
        <v/>
      </c>
      <c r="BU144" s="1539" t="str">
        <f>IFERROR(IF(AND(#REF!="",C144&lt;&gt;""),Valid!$E$123,VLOOKUP(#REF!,Valid!$B$123:$F$125,4,FALSE)),"")</f>
        <v/>
      </c>
      <c r="BV144" s="1539" t="str">
        <f>IFERROR(IF(AND(#REF!="",C144&lt;&gt;""),Valid!$F$123,VLOOKUP(#REF!,Valid!$B$123:$F$125,5,FALSE)),"")</f>
        <v/>
      </c>
      <c r="BW144" s="1539" t="str">
        <f>IFERROR(VLOOKUP('A-70 RevVehInv'!S144,Valid!$B$99:$I$120,7), "")</f>
        <v/>
      </c>
      <c r="BX144" s="1539" t="str">
        <f>IFERROR(VLOOKUP(O144,Valid!$B$99:$I$120,8), "")</f>
        <v/>
      </c>
      <c r="BY144" s="1531"/>
    </row>
    <row r="145" spans="1:77" s="930" customFormat="1" x14ac:dyDescent="0.2">
      <c r="A145" s="206">
        <v>67</v>
      </c>
      <c r="B145" s="1530">
        <v>67</v>
      </c>
      <c r="C145" s="933"/>
      <c r="D145" s="719" t="str">
        <f>IF(C143="","",IF((C145=""),"Enter RVI ID. then Fill in Columns "&amp;TEXT($I$2,0)&amp;" - "&amp;TEXT($AI$2,0)&amp;"       ",""))</f>
        <v/>
      </c>
      <c r="E145" s="1056" t="str">
        <f>IF(AP145="N/A","",AP145)</f>
        <v/>
      </c>
      <c r="F145" s="1536"/>
      <c r="G145" s="1536"/>
      <c r="H145" s="1536"/>
      <c r="I145" s="1023"/>
      <c r="J145" s="1536" t="str">
        <f>IF(E145&lt;&gt;"","Vehicles?    ","")</f>
        <v/>
      </c>
      <c r="K145" s="1023"/>
      <c r="L145" s="1536" t="str">
        <f>IF(E145&lt;&gt;"","Active Vehicles?     ","")</f>
        <v/>
      </c>
      <c r="M145" s="1023"/>
      <c r="N145" s="894"/>
      <c r="O145" s="1153"/>
      <c r="P145" s="252" t="str">
        <f>IF(E145&lt;&gt;"","Select from Pull-Down List    ","")</f>
        <v/>
      </c>
      <c r="Q145" s="933"/>
      <c r="R145" s="252" t="str">
        <f>IF(E145&lt;&gt;"","Select from Pull-Down List    ","")</f>
        <v/>
      </c>
      <c r="S145" s="1766" t="str">
        <f t="shared" si="276"/>
        <v/>
      </c>
      <c r="T145" s="252"/>
      <c r="U145" s="1988"/>
      <c r="V145" s="252" t="str">
        <f t="shared" si="277"/>
        <v/>
      </c>
      <c r="W145" s="139"/>
      <c r="X145" s="252" t="str">
        <f>IF(E145&lt;&gt;"","Mfg. Yr?    ","")</f>
        <v/>
      </c>
      <c r="Y145" s="1974" t="str">
        <f t="shared" si="286"/>
        <v/>
      </c>
      <c r="Z145" s="252"/>
      <c r="AA145" s="1986" t="str">
        <f t="shared" si="287"/>
        <v/>
      </c>
      <c r="AB145" s="252" t="str">
        <f>IF(E145&lt;&gt;"","Select from Pull-Down List    ","")</f>
        <v/>
      </c>
      <c r="AC145" s="1023"/>
      <c r="AD145" s="252" t="str">
        <f>IF(E145&lt;&gt;"","Feet?    ","")</f>
        <v/>
      </c>
      <c r="AE145" s="1023"/>
      <c r="AF145" s="252" t="str">
        <f>IF(E145&lt;&gt;"","Mileage?       ","")</f>
        <v/>
      </c>
      <c r="AG145" s="1023"/>
      <c r="AH145" s="252" t="str">
        <f>IF(E145&lt;&gt;"","Avg. Lifetime Mileage? ","")</f>
        <v/>
      </c>
      <c r="AI145" s="933"/>
      <c r="AJ145" s="252" t="str">
        <f>IF(E145&lt;&gt;"","Select from Pull-Down List    ","")</f>
        <v/>
      </c>
      <c r="AK145" s="171"/>
      <c r="AL145" s="252"/>
      <c r="AM145" s="894"/>
      <c r="AN145" s="894"/>
      <c r="AO145" s="894" t="b">
        <f>IF(AND(C145="",C147&lt;&gt;""),TRUE,FALSE)</f>
        <v>0</v>
      </c>
      <c r="AP145" s="888" t="str">
        <f t="shared" ref="AP145" si="293">IF(AND(C145&lt;&gt;"",OR(I145="",K145="",M145="",O145="",Q145="",W145="",AC145="",AE145="",AG145="")),"No",IF(AND(C145="",OR(I145&lt;&gt;"",K145&lt;&gt;"",M145&lt;&gt;"",O145&lt;&gt;"",Q145&lt;&gt;"",W145&lt;&gt;"",AC145&lt;&gt;"",AE145&lt;&gt;"",AG145&lt;&gt;"",AI145&lt;&gt;"",AK145&lt;&gt;"")),"No",IF(AND(C145="",I145="",K145="",M145="",O145="",Q145="",W145="",AC145="",AE145="",AG145="",AI145=""),"N/A","Yes")))</f>
        <v>N/A</v>
      </c>
      <c r="AQ145" s="898"/>
      <c r="AR145" s="899" t="b">
        <f t="shared" ref="AR145" si="294">IF(AND(OR(I145&lt;&gt;"",K145&lt;&gt;"",M145&lt;&gt;"",O145&lt;&gt;"",Q145&lt;&gt;"",W145&lt;&gt;"",AC145&lt;&gt;"",AE145&lt;&gt;"",AG145&lt;&gt;"",AI145&lt;&gt;"",AK145&lt;&gt;""),C145=""),TRUE,FALSE)</f>
        <v>0</v>
      </c>
      <c r="AS145" s="898" t="b">
        <f t="shared" ref="AS145" si="295">IF(AT145=TRUE,FALSE,IF(SUM(K145)&gt;I145,TRUE,FALSE))</f>
        <v>0</v>
      </c>
      <c r="AT145" s="899" t="b">
        <f>IF(AND(C145&lt;&gt;"",I145=""),TRUE,FALSE)</f>
        <v>0</v>
      </c>
      <c r="AU145" s="898" t="b">
        <f>IF(AV145=TRUE,FALSE,IF(M145&gt;K145,TRUE,FALSE))</f>
        <v>0</v>
      </c>
      <c r="AV145" s="899" t="b">
        <f>IF(AND($C145&lt;&gt;"",K145=""),TRUE,FALSE)</f>
        <v>0</v>
      </c>
      <c r="AW145" s="898"/>
      <c r="AX145" s="899" t="b">
        <f>IF(AND($C145&lt;&gt;"",M145=""),TRUE,FALSE)</f>
        <v>0</v>
      </c>
      <c r="AY145" s="898" t="b">
        <f t="shared" ref="AY145" si="296">IF(AND(O145="",OR(Q145&lt;&gt;"",W145&lt;&gt;"",AC145&lt;&gt;"",AE145&lt;&gt;"",AG145&lt;&gt;"",AI145&lt;&gt;"")),TRUE,FALSE)</f>
        <v>0</v>
      </c>
      <c r="AZ145" s="899" t="b">
        <f>IF(AND($C145&lt;&gt;"",O145=""),TRUE,FALSE)</f>
        <v>0</v>
      </c>
      <c r="BA145" s="898"/>
      <c r="BB145" s="899" t="b">
        <f>IF(AND($C145&lt;&gt;"",Q145=""),TRUE,FALSE)</f>
        <v>0</v>
      </c>
      <c r="BC145" s="1537" t="b">
        <f>IF(BD145=TRUE,FALSE,IF(W145="",FALSE,IF(OR(W145&lt;BO145,W145&gt;BaseYear),TRUE,FALSE)))</f>
        <v>0</v>
      </c>
      <c r="BD145" s="899" t="b">
        <f>IF(AND($C145&lt;&gt;"",W145=""),TRUE,FALSE)</f>
        <v>0</v>
      </c>
      <c r="BE145" s="1537"/>
      <c r="BF145" s="899" t="b">
        <f>IF(AND($C145&lt;&gt;"",AC145=""),TRUE,FALSE)</f>
        <v>0</v>
      </c>
      <c r="BG145" s="898"/>
      <c r="BH145" s="899" t="b">
        <f>IF(AND($C145&lt;&gt;"",AE145=""),TRUE,FALSE)</f>
        <v>0</v>
      </c>
      <c r="BI145" s="898"/>
      <c r="BJ145" s="899" t="b">
        <f>IF(AND($C145&lt;&gt;"",AG145=""),TRUE,FALSE)</f>
        <v>0</v>
      </c>
      <c r="BK145" s="898"/>
      <c r="BL145" s="898" t="b">
        <f>IF(AND($C145&lt;&gt;"",AI145=""),TRUE,FALSE)</f>
        <v>0</v>
      </c>
      <c r="BM145" s="894"/>
      <c r="BN145" s="898" t="str">
        <f t="shared" si="282"/>
        <v/>
      </c>
      <c r="BO145" s="898" t="str">
        <f>IFERROR(IF(AND(O145="",O145&lt;&gt;""),1913,VLOOKUP(O145,Valid!$B$99:$J$120,9)),"")</f>
        <v/>
      </c>
      <c r="BP145" s="898" t="str">
        <f t="shared" ca="1" si="283"/>
        <v/>
      </c>
      <c r="BQ145" s="1547" t="str">
        <f t="shared" ca="1" si="288"/>
        <v/>
      </c>
      <c r="BR145" s="898" t="str">
        <f ca="1">IF(BQ145="", "", IF(1+(BQ145*4)&lt;1, 1, 1+(BQ145*4)))</f>
        <v/>
      </c>
      <c r="BS145" s="898" t="str">
        <f t="shared" si="284"/>
        <v/>
      </c>
      <c r="BT145" s="898" t="str">
        <f t="shared" si="285"/>
        <v/>
      </c>
      <c r="BU145" s="1539" t="str">
        <f>IFERROR(IF(AND(#REF!="",C145&lt;&gt;""),Valid!$E$123,VLOOKUP(#REF!,Valid!$B$123:$F$125,4,FALSE)),"")</f>
        <v/>
      </c>
      <c r="BV145" s="1539" t="str">
        <f>IFERROR(IF(AND(#REF!="",C145&lt;&gt;""),Valid!$F$123,VLOOKUP(#REF!,Valid!$B$123:$F$125,5,FALSE)),"")</f>
        <v/>
      </c>
      <c r="BW145" s="1539" t="str">
        <f>IFERROR(VLOOKUP('A-70 RevVehInv'!S145,Valid!$B$99:$I$120,7), "")</f>
        <v/>
      </c>
      <c r="BX145" s="1539" t="str">
        <f>IFERROR(VLOOKUP(O145,Valid!$B$99:$I$120,8), "")</f>
        <v/>
      </c>
      <c r="BY145" s="894"/>
    </row>
    <row r="146" spans="1:77" ht="6.75" customHeight="1" x14ac:dyDescent="0.2">
      <c r="A146" s="1517"/>
      <c r="B146" s="1530">
        <v>67.5</v>
      </c>
      <c r="C146" s="1540"/>
      <c r="D146" s="905"/>
      <c r="E146" s="1541"/>
      <c r="F146" s="905"/>
      <c r="G146" s="905"/>
      <c r="H146" s="905"/>
      <c r="I146" s="1534"/>
      <c r="J146" s="905"/>
      <c r="K146" s="1534"/>
      <c r="L146" s="905"/>
      <c r="M146" s="1534"/>
      <c r="N146" s="1531"/>
      <c r="O146" s="1542"/>
      <c r="P146" s="905"/>
      <c r="Q146" s="1542"/>
      <c r="R146" s="905"/>
      <c r="S146" s="1534" t="str">
        <f t="shared" si="276"/>
        <v/>
      </c>
      <c r="T146" s="905"/>
      <c r="U146" s="1534"/>
      <c r="V146" s="252" t="str">
        <f t="shared" si="277"/>
        <v/>
      </c>
      <c r="W146" s="1534"/>
      <c r="X146" s="905"/>
      <c r="Y146" s="1973" t="str">
        <f t="shared" si="286"/>
        <v/>
      </c>
      <c r="Z146" s="905"/>
      <c r="AA146" s="1985" t="str">
        <f t="shared" si="287"/>
        <v/>
      </c>
      <c r="AB146" s="1531"/>
      <c r="AC146" s="1534"/>
      <c r="AD146" s="1531"/>
      <c r="AE146" s="1534"/>
      <c r="AF146" s="1531"/>
      <c r="AG146" s="1534"/>
      <c r="AH146" s="1531"/>
      <c r="AI146" s="1543"/>
      <c r="AJ146" s="1531"/>
      <c r="AK146" s="1534"/>
      <c r="AL146" s="1531"/>
      <c r="AM146" s="1531"/>
      <c r="AN146" s="1531"/>
      <c r="AO146" s="1531"/>
      <c r="AP146" s="1531"/>
      <c r="AQ146" s="1535"/>
      <c r="AR146" s="1534"/>
      <c r="AS146" s="1535"/>
      <c r="AT146" s="1534"/>
      <c r="AU146" s="1535"/>
      <c r="AV146" s="1534"/>
      <c r="AW146" s="1535"/>
      <c r="AX146" s="1534"/>
      <c r="AY146" s="1535"/>
      <c r="AZ146" s="1534"/>
      <c r="BA146" s="1535"/>
      <c r="BB146" s="1534"/>
      <c r="BC146" s="1535"/>
      <c r="BD146" s="1534"/>
      <c r="BE146" s="1535"/>
      <c r="BF146" s="1534"/>
      <c r="BG146" s="1535"/>
      <c r="BH146" s="1534"/>
      <c r="BI146" s="1535"/>
      <c r="BJ146" s="1534"/>
      <c r="BK146" s="1535"/>
      <c r="BL146" s="1535"/>
      <c r="BM146" s="1531"/>
      <c r="BN146" s="898" t="str">
        <f t="shared" si="282"/>
        <v/>
      </c>
      <c r="BO146" s="898" t="str">
        <f>IFERROR(IF(AND(O146="",O146&lt;&gt;""),1913,VLOOKUP(O146,Valid!$B$99:$J$120,9)),"")</f>
        <v/>
      </c>
      <c r="BP146" s="898" t="str">
        <f t="shared" ca="1" si="283"/>
        <v/>
      </c>
      <c r="BQ146" s="1547" t="str">
        <f t="shared" ca="1" si="288"/>
        <v/>
      </c>
      <c r="BR146" s="898"/>
      <c r="BS146" s="898" t="str">
        <f t="shared" si="284"/>
        <v/>
      </c>
      <c r="BT146" s="898" t="str">
        <f t="shared" si="285"/>
        <v/>
      </c>
      <c r="BU146" s="1539" t="str">
        <f>IFERROR(IF(AND(#REF!="",C146&lt;&gt;""),Valid!$E$123,VLOOKUP(#REF!,Valid!$B$123:$F$125,4,FALSE)),"")</f>
        <v/>
      </c>
      <c r="BV146" s="1539" t="str">
        <f>IFERROR(IF(AND(#REF!="",C146&lt;&gt;""),Valid!$F$123,VLOOKUP(#REF!,Valid!$B$123:$F$125,5,FALSE)),"")</f>
        <v/>
      </c>
      <c r="BW146" s="1539" t="str">
        <f>IFERROR(VLOOKUP('A-70 RevVehInv'!S146,Valid!$B$99:$I$120,7), "")</f>
        <v/>
      </c>
      <c r="BX146" s="1539" t="str">
        <f>IFERROR(VLOOKUP(O146,Valid!$B$99:$I$120,8), "")</f>
        <v/>
      </c>
      <c r="BY146" s="1531"/>
    </row>
    <row r="147" spans="1:77" s="930" customFormat="1" x14ac:dyDescent="0.2">
      <c r="A147" s="206">
        <v>68</v>
      </c>
      <c r="B147" s="1530">
        <v>68</v>
      </c>
      <c r="C147" s="933"/>
      <c r="D147" s="719" t="str">
        <f>IF(C145="","",IF((C147=""),"Enter RVI ID. then Fill in Columns "&amp;TEXT($I$2,0)&amp;" - "&amp;TEXT($AI$2,0)&amp;"       ",""))</f>
        <v/>
      </c>
      <c r="E147" s="1056" t="str">
        <f>IF(AP147="N/A","",AP147)</f>
        <v/>
      </c>
      <c r="F147" s="1536"/>
      <c r="G147" s="1536"/>
      <c r="H147" s="1536"/>
      <c r="I147" s="1023"/>
      <c r="J147" s="1536" t="str">
        <f>IF(E147&lt;&gt;"","Vehicles?    ","")</f>
        <v/>
      </c>
      <c r="K147" s="1023"/>
      <c r="L147" s="1536" t="str">
        <f>IF(E147&lt;&gt;"","Active Vehicles?     ","")</f>
        <v/>
      </c>
      <c r="M147" s="1023"/>
      <c r="N147" s="894"/>
      <c r="O147" s="1153"/>
      <c r="P147" s="252" t="str">
        <f>IF(E147&lt;&gt;"","Select from Pull-Down List    ","")</f>
        <v/>
      </c>
      <c r="Q147" s="933"/>
      <c r="R147" s="252" t="str">
        <f>IF(E147&lt;&gt;"","Select from Pull-Down List    ","")</f>
        <v/>
      </c>
      <c r="S147" s="1766" t="str">
        <f t="shared" si="276"/>
        <v/>
      </c>
      <c r="T147" s="252"/>
      <c r="U147" s="1988"/>
      <c r="V147" s="252" t="str">
        <f t="shared" si="277"/>
        <v/>
      </c>
      <c r="W147" s="139"/>
      <c r="X147" s="252" t="str">
        <f>IF(E147&lt;&gt;"","Mfg. Yr?    ","")</f>
        <v/>
      </c>
      <c r="Y147" s="1974" t="str">
        <f t="shared" si="286"/>
        <v/>
      </c>
      <c r="Z147" s="252"/>
      <c r="AA147" s="1986" t="str">
        <f t="shared" si="287"/>
        <v/>
      </c>
      <c r="AB147" s="252" t="str">
        <f>IF(E147&lt;&gt;"","Select from Pull-Down List    ","")</f>
        <v/>
      </c>
      <c r="AC147" s="1023"/>
      <c r="AD147" s="252" t="str">
        <f>IF(E147&lt;&gt;"","Feet?    ","")</f>
        <v/>
      </c>
      <c r="AE147" s="1023"/>
      <c r="AF147" s="252" t="str">
        <f>IF(E147&lt;&gt;"","Mileage?       ","")</f>
        <v/>
      </c>
      <c r="AG147" s="1023"/>
      <c r="AH147" s="252" t="str">
        <f>IF(E147&lt;&gt;"","Avg. Lifetime Mileage? ","")</f>
        <v/>
      </c>
      <c r="AI147" s="933"/>
      <c r="AJ147" s="252" t="str">
        <f>IF(E147&lt;&gt;"","Select from Pull-Down List    ","")</f>
        <v/>
      </c>
      <c r="AK147" s="171"/>
      <c r="AL147" s="252"/>
      <c r="AM147" s="894"/>
      <c r="AN147" s="894"/>
      <c r="AO147" s="894" t="b">
        <f>IF(AND(C147="",C149&lt;&gt;""),TRUE,FALSE)</f>
        <v>0</v>
      </c>
      <c r="AP147" s="888" t="str">
        <f t="shared" ref="AP147" si="297">IF(AND(C147&lt;&gt;"",OR(I147="",K147="",M147="",O147="",Q147="",W147="",AC147="",AE147="",AG147="")),"No",IF(AND(C147="",OR(I147&lt;&gt;"",K147&lt;&gt;"",M147&lt;&gt;"",O147&lt;&gt;"",Q147&lt;&gt;"",W147&lt;&gt;"",AC147&lt;&gt;"",AE147&lt;&gt;"",AG147&lt;&gt;"",AI147&lt;&gt;"",AK147&lt;&gt;"")),"No",IF(AND(C147="",I147="",K147="",M147="",O147="",Q147="",W147="",AC147="",AE147="",AG147="",AI147=""),"N/A","Yes")))</f>
        <v>N/A</v>
      </c>
      <c r="AQ147" s="898"/>
      <c r="AR147" s="899" t="b">
        <f t="shared" ref="AR147" si="298">IF(AND(OR(I147&lt;&gt;"",K147&lt;&gt;"",M147&lt;&gt;"",O147&lt;&gt;"",Q147&lt;&gt;"",W147&lt;&gt;"",AC147&lt;&gt;"",AE147&lt;&gt;"",AG147&lt;&gt;"",AI147&lt;&gt;"",AK147&lt;&gt;""),C147=""),TRUE,FALSE)</f>
        <v>0</v>
      </c>
      <c r="AS147" s="898" t="b">
        <f t="shared" ref="AS147" si="299">IF(AT147=TRUE,FALSE,IF(SUM(K147)&gt;I147,TRUE,FALSE))</f>
        <v>0</v>
      </c>
      <c r="AT147" s="899" t="b">
        <f>IF(AND(C147&lt;&gt;"",I147=""),TRUE,FALSE)</f>
        <v>0</v>
      </c>
      <c r="AU147" s="898" t="b">
        <f>IF(AV147=TRUE,FALSE,IF(M147&gt;K147,TRUE,FALSE))</f>
        <v>0</v>
      </c>
      <c r="AV147" s="899" t="b">
        <f>IF(AND($C147&lt;&gt;"",K147=""),TRUE,FALSE)</f>
        <v>0</v>
      </c>
      <c r="AW147" s="898"/>
      <c r="AX147" s="899" t="b">
        <f>IF(AND($C147&lt;&gt;"",M147=""),TRUE,FALSE)</f>
        <v>0</v>
      </c>
      <c r="AY147" s="898" t="b">
        <f t="shared" ref="AY147" si="300">IF(AND(O147="",OR(Q147&lt;&gt;"",W147&lt;&gt;"",AC147&lt;&gt;"",AE147&lt;&gt;"",AG147&lt;&gt;"",AI147&lt;&gt;"")),TRUE,FALSE)</f>
        <v>0</v>
      </c>
      <c r="AZ147" s="899" t="b">
        <f>IF(AND($C147&lt;&gt;"",O147=""),TRUE,FALSE)</f>
        <v>0</v>
      </c>
      <c r="BA147" s="898"/>
      <c r="BB147" s="899" t="b">
        <f>IF(AND($C147&lt;&gt;"",Q147=""),TRUE,FALSE)</f>
        <v>0</v>
      </c>
      <c r="BC147" s="1537" t="b">
        <f>IF(BD147=TRUE,FALSE,IF(W147="",FALSE,IF(OR(W147&lt;BO147,W147&gt;BaseYear),TRUE,FALSE)))</f>
        <v>0</v>
      </c>
      <c r="BD147" s="899" t="b">
        <f>IF(AND($C147&lt;&gt;"",W147=""),TRUE,FALSE)</f>
        <v>0</v>
      </c>
      <c r="BE147" s="1537"/>
      <c r="BF147" s="899" t="b">
        <f>IF(AND($C147&lt;&gt;"",AC147=""),TRUE,FALSE)</f>
        <v>0</v>
      </c>
      <c r="BG147" s="898"/>
      <c r="BH147" s="899" t="b">
        <f>IF(AND($C147&lt;&gt;"",AE147=""),TRUE,FALSE)</f>
        <v>0</v>
      </c>
      <c r="BI147" s="898"/>
      <c r="BJ147" s="899" t="b">
        <f>IF(AND($C147&lt;&gt;"",AG147=""),TRUE,FALSE)</f>
        <v>0</v>
      </c>
      <c r="BK147" s="898"/>
      <c r="BL147" s="898" t="b">
        <f>IF(AND($C147&lt;&gt;"",AI147=""),TRUE,FALSE)</f>
        <v>0</v>
      </c>
      <c r="BM147" s="894"/>
      <c r="BN147" s="898" t="str">
        <f t="shared" si="282"/>
        <v/>
      </c>
      <c r="BO147" s="898" t="str">
        <f>IFERROR(IF(AND(O147="",O147&lt;&gt;""),1913,VLOOKUP(O147,Valid!$B$99:$J$120,9)),"")</f>
        <v/>
      </c>
      <c r="BP147" s="898" t="str">
        <f t="shared" ca="1" si="283"/>
        <v/>
      </c>
      <c r="BQ147" s="1547" t="str">
        <f t="shared" ca="1" si="288"/>
        <v/>
      </c>
      <c r="BR147" s="898" t="str">
        <f ca="1">IF(BQ147="", "", IF(1+(BQ147*4)&lt;1, 1, 1+(BQ147*4)))</f>
        <v/>
      </c>
      <c r="BS147" s="898" t="str">
        <f t="shared" si="284"/>
        <v/>
      </c>
      <c r="BT147" s="898" t="str">
        <f t="shared" si="285"/>
        <v/>
      </c>
      <c r="BU147" s="1539" t="str">
        <f>IFERROR(IF(AND(#REF!="",C147&lt;&gt;""),Valid!$E$123,VLOOKUP(#REF!,Valid!$B$123:$F$125,4,FALSE)),"")</f>
        <v/>
      </c>
      <c r="BV147" s="1539" t="str">
        <f>IFERROR(IF(AND(#REF!="",C147&lt;&gt;""),Valid!$F$123,VLOOKUP(#REF!,Valid!$B$123:$F$125,5,FALSE)),"")</f>
        <v/>
      </c>
      <c r="BW147" s="1539" t="str">
        <f>IFERROR(VLOOKUP('A-70 RevVehInv'!S147,Valid!$B$99:$I$120,7), "")</f>
        <v/>
      </c>
      <c r="BX147" s="1539" t="str">
        <f>IFERROR(VLOOKUP(O147,Valid!$B$99:$I$120,8), "")</f>
        <v/>
      </c>
      <c r="BY147" s="894"/>
    </row>
    <row r="148" spans="1:77" ht="6.75" customHeight="1" x14ac:dyDescent="0.2">
      <c r="A148" s="1517"/>
      <c r="B148" s="1530">
        <v>68.5</v>
      </c>
      <c r="C148" s="1544"/>
      <c r="D148" s="905"/>
      <c r="E148" s="1545"/>
      <c r="F148" s="905"/>
      <c r="G148" s="905"/>
      <c r="H148" s="905"/>
      <c r="I148" s="1531"/>
      <c r="J148" s="905"/>
      <c r="K148" s="1531"/>
      <c r="L148" s="905"/>
      <c r="M148" s="1531"/>
      <c r="N148" s="1531"/>
      <c r="O148" s="1533"/>
      <c r="P148" s="905"/>
      <c r="Q148" s="1533"/>
      <c r="R148" s="905"/>
      <c r="S148" s="1531" t="str">
        <f t="shared" si="276"/>
        <v/>
      </c>
      <c r="T148" s="905"/>
      <c r="U148" s="1531"/>
      <c r="V148" s="252" t="str">
        <f t="shared" si="277"/>
        <v/>
      </c>
      <c r="W148" s="1531"/>
      <c r="X148" s="905"/>
      <c r="Y148" s="1971" t="str">
        <f t="shared" si="286"/>
        <v/>
      </c>
      <c r="Z148" s="905"/>
      <c r="AA148" s="1983" t="str">
        <f t="shared" si="287"/>
        <v/>
      </c>
      <c r="AB148" s="1531"/>
      <c r="AC148" s="1531"/>
      <c r="AD148" s="1531"/>
      <c r="AE148" s="1531"/>
      <c r="AF148" s="1531"/>
      <c r="AG148" s="1534"/>
      <c r="AH148" s="1531"/>
      <c r="AI148" s="1546"/>
      <c r="AJ148" s="1531"/>
      <c r="AK148" s="1531"/>
      <c r="AL148" s="1531"/>
      <c r="AM148" s="1531"/>
      <c r="AN148" s="1531"/>
      <c r="AO148" s="1531"/>
      <c r="AP148" s="1531"/>
      <c r="AQ148" s="1535"/>
      <c r="AR148" s="1534"/>
      <c r="AS148" s="1535"/>
      <c r="AT148" s="1534"/>
      <c r="AU148" s="1535"/>
      <c r="AV148" s="1534"/>
      <c r="AW148" s="1535"/>
      <c r="AX148" s="1534"/>
      <c r="AY148" s="1535"/>
      <c r="AZ148" s="1534"/>
      <c r="BA148" s="1535"/>
      <c r="BB148" s="1534"/>
      <c r="BC148" s="1535"/>
      <c r="BD148" s="1534"/>
      <c r="BE148" s="1535"/>
      <c r="BF148" s="1534"/>
      <c r="BG148" s="1535"/>
      <c r="BH148" s="1534"/>
      <c r="BI148" s="1535"/>
      <c r="BJ148" s="1534"/>
      <c r="BK148" s="1535"/>
      <c r="BL148" s="1535"/>
      <c r="BM148" s="1531"/>
      <c r="BN148" s="898" t="str">
        <f t="shared" si="282"/>
        <v/>
      </c>
      <c r="BO148" s="898" t="str">
        <f>IFERROR(IF(AND(O148="",O148&lt;&gt;""),1913,VLOOKUP(O148,Valid!$B$99:$J$120,9)),"")</f>
        <v/>
      </c>
      <c r="BP148" s="898" t="str">
        <f t="shared" ca="1" si="283"/>
        <v/>
      </c>
      <c r="BQ148" s="1547" t="str">
        <f t="shared" ca="1" si="288"/>
        <v/>
      </c>
      <c r="BR148" s="898"/>
      <c r="BS148" s="898" t="str">
        <f t="shared" si="284"/>
        <v/>
      </c>
      <c r="BT148" s="898" t="str">
        <f t="shared" si="285"/>
        <v/>
      </c>
      <c r="BU148" s="1539" t="str">
        <f>IFERROR(IF(AND(#REF!="",C148&lt;&gt;""),Valid!$E$123,VLOOKUP(#REF!,Valid!$B$123:$F$125,4,FALSE)),"")</f>
        <v/>
      </c>
      <c r="BV148" s="1539" t="str">
        <f>IFERROR(IF(AND(#REF!="",C148&lt;&gt;""),Valid!$F$123,VLOOKUP(#REF!,Valid!$B$123:$F$125,5,FALSE)),"")</f>
        <v/>
      </c>
      <c r="BW148" s="1539" t="str">
        <f>IFERROR(VLOOKUP('A-70 RevVehInv'!S148,Valid!$B$99:$I$120,7), "")</f>
        <v/>
      </c>
      <c r="BX148" s="1539" t="str">
        <f>IFERROR(VLOOKUP(O148,Valid!$B$99:$I$120,8), "")</f>
        <v/>
      </c>
      <c r="BY148" s="1531"/>
    </row>
    <row r="149" spans="1:77" s="930" customFormat="1" x14ac:dyDescent="0.2">
      <c r="A149" s="206">
        <v>69</v>
      </c>
      <c r="B149" s="1530">
        <v>69</v>
      </c>
      <c r="C149" s="933"/>
      <c r="D149" s="719" t="str">
        <f>IF(C147="","",IF((C149=""),"Enter RVI ID. then Fill in Columns "&amp;TEXT($I$2,0)&amp;" - "&amp;TEXT($AI$2,0)&amp;"       ",""))</f>
        <v/>
      </c>
      <c r="E149" s="1056" t="str">
        <f>IF(AP149="N/A","",AP149)</f>
        <v/>
      </c>
      <c r="F149" s="1536"/>
      <c r="G149" s="1536"/>
      <c r="H149" s="1536"/>
      <c r="I149" s="1023"/>
      <c r="J149" s="1536" t="str">
        <f>IF(E149&lt;&gt;"","Vehicles?    ","")</f>
        <v/>
      </c>
      <c r="K149" s="1023"/>
      <c r="L149" s="1536" t="str">
        <f>IF(E149&lt;&gt;"","Active Vehicles?     ","")</f>
        <v/>
      </c>
      <c r="M149" s="1023"/>
      <c r="N149" s="894"/>
      <c r="O149" s="1153"/>
      <c r="P149" s="252" t="str">
        <f>IF(E149&lt;&gt;"","Select from Pull-Down List    ","")</f>
        <v/>
      </c>
      <c r="Q149" s="933"/>
      <c r="R149" s="252" t="str">
        <f>IF(E149&lt;&gt;"","Select from Pull-Down List    ","")</f>
        <v/>
      </c>
      <c r="S149" s="1766" t="str">
        <f t="shared" si="276"/>
        <v/>
      </c>
      <c r="T149" s="252"/>
      <c r="U149" s="1988"/>
      <c r="V149" s="252" t="str">
        <f t="shared" si="277"/>
        <v/>
      </c>
      <c r="W149" s="139"/>
      <c r="X149" s="252" t="str">
        <f>IF(E149&lt;&gt;"","Mfg. Yr?    ","")</f>
        <v/>
      </c>
      <c r="Y149" s="1974" t="str">
        <f t="shared" si="286"/>
        <v/>
      </c>
      <c r="Z149" s="252"/>
      <c r="AA149" s="1986" t="str">
        <f t="shared" si="287"/>
        <v/>
      </c>
      <c r="AB149" s="252" t="str">
        <f>IF(E149&lt;&gt;"","Select from Pull-Down List    ","")</f>
        <v/>
      </c>
      <c r="AC149" s="1023"/>
      <c r="AD149" s="252" t="str">
        <f>IF(E149&lt;&gt;"","Feet?    ","")</f>
        <v/>
      </c>
      <c r="AE149" s="1023"/>
      <c r="AF149" s="252" t="str">
        <f>IF(E149&lt;&gt;"","Mileage?       ","")</f>
        <v/>
      </c>
      <c r="AG149" s="1023"/>
      <c r="AH149" s="252" t="str">
        <f>IF(E149&lt;&gt;"","Avg. Lifetime Mileage? ","")</f>
        <v/>
      </c>
      <c r="AI149" s="933"/>
      <c r="AJ149" s="252" t="str">
        <f>IF(E149&lt;&gt;"","Select from Pull-Down List    ","")</f>
        <v/>
      </c>
      <c r="AK149" s="171"/>
      <c r="AL149" s="252"/>
      <c r="AM149" s="894"/>
      <c r="AN149" s="894"/>
      <c r="AO149" s="894" t="b">
        <f>IF(AND(C149="",C151&lt;&gt;""),TRUE,FALSE)</f>
        <v>0</v>
      </c>
      <c r="AP149" s="888" t="str">
        <f t="shared" ref="AP149" si="301">IF(AND(C149&lt;&gt;"",OR(I149="",K149="",M149="",O149="",Q149="",W149="",AC149="",AE149="",AG149="")),"No",IF(AND(C149="",OR(I149&lt;&gt;"",K149&lt;&gt;"",M149&lt;&gt;"",O149&lt;&gt;"",Q149&lt;&gt;"",W149&lt;&gt;"",AC149&lt;&gt;"",AE149&lt;&gt;"",AG149&lt;&gt;"",AI149&lt;&gt;"",AK149&lt;&gt;"")),"No",IF(AND(C149="",I149="",K149="",M149="",O149="",Q149="",W149="",AC149="",AE149="",AG149="",AI149=""),"N/A","Yes")))</f>
        <v>N/A</v>
      </c>
      <c r="AQ149" s="898"/>
      <c r="AR149" s="899" t="b">
        <f t="shared" ref="AR149" si="302">IF(AND(OR(I149&lt;&gt;"",K149&lt;&gt;"",M149&lt;&gt;"",O149&lt;&gt;"",Q149&lt;&gt;"",W149&lt;&gt;"",AC149&lt;&gt;"",AE149&lt;&gt;"",AG149&lt;&gt;"",AI149&lt;&gt;"",AK149&lt;&gt;""),C149=""),TRUE,FALSE)</f>
        <v>0</v>
      </c>
      <c r="AS149" s="898" t="b">
        <f t="shared" ref="AS149" si="303">IF(AT149=TRUE,FALSE,IF(SUM(K149)&gt;I149,TRUE,FALSE))</f>
        <v>0</v>
      </c>
      <c r="AT149" s="899" t="b">
        <f>IF(AND(C149&lt;&gt;"",I149=""),TRUE,FALSE)</f>
        <v>0</v>
      </c>
      <c r="AU149" s="898" t="b">
        <f>IF(AV149=TRUE,FALSE,IF(M149&gt;K149,TRUE,FALSE))</f>
        <v>0</v>
      </c>
      <c r="AV149" s="899" t="b">
        <f>IF(AND($C149&lt;&gt;"",K149=""),TRUE,FALSE)</f>
        <v>0</v>
      </c>
      <c r="AW149" s="898"/>
      <c r="AX149" s="899" t="b">
        <f>IF(AND($C149&lt;&gt;"",M149=""),TRUE,FALSE)</f>
        <v>0</v>
      </c>
      <c r="AY149" s="898" t="b">
        <f t="shared" ref="AY149" si="304">IF(AND(O149="",OR(Q149&lt;&gt;"",W149&lt;&gt;"",AC149&lt;&gt;"",AE149&lt;&gt;"",AG149&lt;&gt;"",AI149&lt;&gt;"")),TRUE,FALSE)</f>
        <v>0</v>
      </c>
      <c r="AZ149" s="899" t="b">
        <f>IF(AND($C149&lt;&gt;"",O149=""),TRUE,FALSE)</f>
        <v>0</v>
      </c>
      <c r="BA149" s="898"/>
      <c r="BB149" s="899" t="b">
        <f>IF(AND($C149&lt;&gt;"",Q149=""),TRUE,FALSE)</f>
        <v>0</v>
      </c>
      <c r="BC149" s="1537" t="b">
        <f>IF(BD149=TRUE,FALSE,IF(W149="",FALSE,IF(OR(W149&lt;BO149,W149&gt;BaseYear),TRUE,FALSE)))</f>
        <v>0</v>
      </c>
      <c r="BD149" s="899" t="b">
        <f>IF(AND($C149&lt;&gt;"",W149=""),TRUE,FALSE)</f>
        <v>0</v>
      </c>
      <c r="BE149" s="1537"/>
      <c r="BF149" s="899" t="b">
        <f>IF(AND($C149&lt;&gt;"",AC149=""),TRUE,FALSE)</f>
        <v>0</v>
      </c>
      <c r="BG149" s="898"/>
      <c r="BH149" s="899" t="b">
        <f>IF(AND($C149&lt;&gt;"",AE149=""),TRUE,FALSE)</f>
        <v>0</v>
      </c>
      <c r="BI149" s="898"/>
      <c r="BJ149" s="899" t="b">
        <f>IF(AND($C149&lt;&gt;"",AG149=""),TRUE,FALSE)</f>
        <v>0</v>
      </c>
      <c r="BK149" s="898"/>
      <c r="BL149" s="898" t="b">
        <f>IF(AND($C149&lt;&gt;"",AI149=""),TRUE,FALSE)</f>
        <v>0</v>
      </c>
      <c r="BM149" s="894"/>
      <c r="BN149" s="898" t="str">
        <f t="shared" si="282"/>
        <v/>
      </c>
      <c r="BO149" s="898" t="str">
        <f>IFERROR(IF(AND(O149="",O149&lt;&gt;""),1913,VLOOKUP(O149,Valid!$B$99:$J$120,9)),"")</f>
        <v/>
      </c>
      <c r="BP149" s="898" t="str">
        <f t="shared" ca="1" si="283"/>
        <v/>
      </c>
      <c r="BQ149" s="1547" t="str">
        <f t="shared" ca="1" si="288"/>
        <v/>
      </c>
      <c r="BR149" s="898" t="str">
        <f ca="1">IF(BQ149="", "", IF(1+(BQ149*4)&lt;1, 1, 1+(BQ149*4)))</f>
        <v/>
      </c>
      <c r="BS149" s="898" t="str">
        <f t="shared" si="284"/>
        <v/>
      </c>
      <c r="BT149" s="898" t="str">
        <f t="shared" si="285"/>
        <v/>
      </c>
      <c r="BU149" s="1539" t="str">
        <f>IFERROR(IF(AND(#REF!="",C149&lt;&gt;""),Valid!$E$123,VLOOKUP(#REF!,Valid!$B$123:$F$125,4,FALSE)),"")</f>
        <v/>
      </c>
      <c r="BV149" s="1539" t="str">
        <f>IFERROR(IF(AND(#REF!="",C149&lt;&gt;""),Valid!$F$123,VLOOKUP(#REF!,Valid!$B$123:$F$125,5,FALSE)),"")</f>
        <v/>
      </c>
      <c r="BW149" s="1539" t="str">
        <f>IFERROR(VLOOKUP('A-70 RevVehInv'!S149,Valid!$B$99:$I$120,7), "")</f>
        <v/>
      </c>
      <c r="BX149" s="1539" t="str">
        <f>IFERROR(VLOOKUP(O149,Valid!$B$99:$I$120,8), "")</f>
        <v/>
      </c>
      <c r="BY149" s="894"/>
    </row>
    <row r="150" spans="1:77" ht="6.75" customHeight="1" x14ac:dyDescent="0.2">
      <c r="A150" s="1517"/>
      <c r="B150" s="1530">
        <v>69.5</v>
      </c>
      <c r="C150" s="1540"/>
      <c r="D150" s="905"/>
      <c r="E150" s="1541"/>
      <c r="F150" s="905"/>
      <c r="G150" s="905"/>
      <c r="H150" s="905"/>
      <c r="I150" s="1534"/>
      <c r="J150" s="905"/>
      <c r="K150" s="1534"/>
      <c r="L150" s="905"/>
      <c r="M150" s="1534"/>
      <c r="N150" s="1531"/>
      <c r="O150" s="1542"/>
      <c r="P150" s="905"/>
      <c r="Q150" s="1542"/>
      <c r="R150" s="905"/>
      <c r="S150" s="1534" t="str">
        <f t="shared" si="276"/>
        <v/>
      </c>
      <c r="T150" s="905"/>
      <c r="U150" s="1534"/>
      <c r="V150" s="252" t="str">
        <f t="shared" si="277"/>
        <v/>
      </c>
      <c r="W150" s="1534"/>
      <c r="X150" s="905"/>
      <c r="Y150" s="1973" t="str">
        <f t="shared" si="286"/>
        <v/>
      </c>
      <c r="Z150" s="905"/>
      <c r="AA150" s="1985" t="str">
        <f t="shared" si="287"/>
        <v/>
      </c>
      <c r="AB150" s="1531"/>
      <c r="AC150" s="1534"/>
      <c r="AD150" s="1531"/>
      <c r="AE150" s="1534"/>
      <c r="AF150" s="1531"/>
      <c r="AG150" s="1534"/>
      <c r="AH150" s="1531"/>
      <c r="AI150" s="1543"/>
      <c r="AJ150" s="1531"/>
      <c r="AK150" s="1534"/>
      <c r="AL150" s="1531"/>
      <c r="AM150" s="1531"/>
      <c r="AN150" s="1531"/>
      <c r="AO150" s="1531"/>
      <c r="AP150" s="1531"/>
      <c r="AQ150" s="1535"/>
      <c r="AR150" s="1534"/>
      <c r="AS150" s="1535"/>
      <c r="AT150" s="1534"/>
      <c r="AU150" s="1535"/>
      <c r="AV150" s="1534"/>
      <c r="AW150" s="1535"/>
      <c r="AX150" s="1534"/>
      <c r="AY150" s="1535"/>
      <c r="AZ150" s="1534"/>
      <c r="BA150" s="1535"/>
      <c r="BB150" s="1534"/>
      <c r="BC150" s="1535"/>
      <c r="BD150" s="1534"/>
      <c r="BE150" s="1535"/>
      <c r="BF150" s="1534"/>
      <c r="BG150" s="1535"/>
      <c r="BH150" s="1534"/>
      <c r="BI150" s="1535"/>
      <c r="BJ150" s="1534"/>
      <c r="BK150" s="1535"/>
      <c r="BL150" s="1535"/>
      <c r="BM150" s="1531"/>
      <c r="BN150" s="898" t="str">
        <f t="shared" si="282"/>
        <v/>
      </c>
      <c r="BO150" s="898" t="str">
        <f>IFERROR(IF(AND(O150="",O150&lt;&gt;""),1913,VLOOKUP(O150,Valid!$B$99:$J$120,9)),"")</f>
        <v/>
      </c>
      <c r="BP150" s="898" t="str">
        <f t="shared" ca="1" si="283"/>
        <v/>
      </c>
      <c r="BQ150" s="1547" t="str">
        <f t="shared" ca="1" si="288"/>
        <v/>
      </c>
      <c r="BR150" s="898"/>
      <c r="BS150" s="898" t="str">
        <f t="shared" si="284"/>
        <v/>
      </c>
      <c r="BT150" s="898" t="str">
        <f t="shared" si="285"/>
        <v/>
      </c>
      <c r="BU150" s="1539" t="str">
        <f>IFERROR(IF(AND(#REF!="",C150&lt;&gt;""),Valid!$E$123,VLOOKUP(#REF!,Valid!$B$123:$F$125,4,FALSE)),"")</f>
        <v/>
      </c>
      <c r="BV150" s="1539" t="str">
        <f>IFERROR(IF(AND(#REF!="",C150&lt;&gt;""),Valid!$F$123,VLOOKUP(#REF!,Valid!$B$123:$F$125,5,FALSE)),"")</f>
        <v/>
      </c>
      <c r="BW150" s="1539" t="str">
        <f>IFERROR(VLOOKUP('A-70 RevVehInv'!S150,Valid!$B$99:$I$120,7), "")</f>
        <v/>
      </c>
      <c r="BX150" s="1539" t="str">
        <f>IFERROR(VLOOKUP(O150,Valid!$B$99:$I$120,8), "")</f>
        <v/>
      </c>
      <c r="BY150" s="1531"/>
    </row>
    <row r="151" spans="1:77" s="930" customFormat="1" x14ac:dyDescent="0.2">
      <c r="A151" s="206">
        <v>70</v>
      </c>
      <c r="B151" s="1530">
        <v>70</v>
      </c>
      <c r="C151" s="933"/>
      <c r="D151" s="719" t="str">
        <f>IF(C149="","",IF((C151=""),"Enter RVI ID. then Fill in Columns "&amp;TEXT($I$2,0)&amp;" - "&amp;TEXT($AI$2,0)&amp;"       ",""))</f>
        <v/>
      </c>
      <c r="E151" s="1056" t="str">
        <f>IF(AP151="N/A","",AP151)</f>
        <v/>
      </c>
      <c r="F151" s="1536"/>
      <c r="G151" s="1536"/>
      <c r="H151" s="1536"/>
      <c r="I151" s="1023"/>
      <c r="J151" s="1536" t="str">
        <f>IF(E151&lt;&gt;"","Vehicles?    ","")</f>
        <v/>
      </c>
      <c r="K151" s="1023"/>
      <c r="L151" s="1536" t="str">
        <f>IF(E151&lt;&gt;"","Active Vehicles?     ","")</f>
        <v/>
      </c>
      <c r="M151" s="1023"/>
      <c r="N151" s="894"/>
      <c r="O151" s="1153"/>
      <c r="P151" s="252" t="str">
        <f>IF(E151&lt;&gt;"","Select from Pull-Down List    ","")</f>
        <v/>
      </c>
      <c r="Q151" s="933"/>
      <c r="R151" s="252" t="str">
        <f>IF(E151&lt;&gt;"","Select from Pull-Down List    ","")</f>
        <v/>
      </c>
      <c r="S151" s="1766" t="str">
        <f t="shared" si="276"/>
        <v/>
      </c>
      <c r="T151" s="252"/>
      <c r="U151" s="1988"/>
      <c r="V151" s="252" t="str">
        <f t="shared" si="277"/>
        <v/>
      </c>
      <c r="W151" s="139"/>
      <c r="X151" s="252" t="str">
        <f>IF(E151&lt;&gt;"","Mfg. Yr?    ","")</f>
        <v/>
      </c>
      <c r="Y151" s="1974" t="str">
        <f t="shared" si="286"/>
        <v/>
      </c>
      <c r="Z151" s="252"/>
      <c r="AA151" s="1986" t="str">
        <f t="shared" si="287"/>
        <v/>
      </c>
      <c r="AB151" s="252" t="str">
        <f>IF(E151&lt;&gt;"","Select from Pull-Down List    ","")</f>
        <v/>
      </c>
      <c r="AC151" s="1023"/>
      <c r="AD151" s="252" t="str">
        <f>IF(E151&lt;&gt;"","Feet?    ","")</f>
        <v/>
      </c>
      <c r="AE151" s="1023"/>
      <c r="AF151" s="252" t="str">
        <f>IF(E151&lt;&gt;"","Mileage?       ","")</f>
        <v/>
      </c>
      <c r="AG151" s="1023"/>
      <c r="AH151" s="252" t="str">
        <f>IF(E151&lt;&gt;"","Avg. Lifetime Mileage? ","")</f>
        <v/>
      </c>
      <c r="AI151" s="933"/>
      <c r="AJ151" s="252" t="str">
        <f>IF(E151&lt;&gt;"","Select from Pull-Down List    ","")</f>
        <v/>
      </c>
      <c r="AK151" s="171"/>
      <c r="AL151" s="252"/>
      <c r="AM151" s="894"/>
      <c r="AN151" s="894"/>
      <c r="AO151" s="894" t="b">
        <f>IF(AND(C151="",C153&lt;&gt;""),TRUE,FALSE)</f>
        <v>0</v>
      </c>
      <c r="AP151" s="888" t="str">
        <f t="shared" ref="AP151" si="305">IF(AND(C151&lt;&gt;"",OR(I151="",K151="",M151="",O151="",Q151="",W151="",AC151="",AE151="",AG151="")),"No",IF(AND(C151="",OR(I151&lt;&gt;"",K151&lt;&gt;"",M151&lt;&gt;"",O151&lt;&gt;"",Q151&lt;&gt;"",W151&lt;&gt;"",AC151&lt;&gt;"",AE151&lt;&gt;"",AG151&lt;&gt;"",AI151&lt;&gt;"",AK151&lt;&gt;"")),"No",IF(AND(C151="",I151="",K151="",M151="",O151="",Q151="",W151="",AC151="",AE151="",AG151="",AI151=""),"N/A","Yes")))</f>
        <v>N/A</v>
      </c>
      <c r="AQ151" s="898"/>
      <c r="AR151" s="899" t="b">
        <f t="shared" ref="AR151" si="306">IF(AND(OR(I151&lt;&gt;"",K151&lt;&gt;"",M151&lt;&gt;"",O151&lt;&gt;"",Q151&lt;&gt;"",W151&lt;&gt;"",AC151&lt;&gt;"",AE151&lt;&gt;"",AG151&lt;&gt;"",AI151&lt;&gt;"",AK151&lt;&gt;""),C151=""),TRUE,FALSE)</f>
        <v>0</v>
      </c>
      <c r="AS151" s="898" t="b">
        <f t="shared" ref="AS151" si="307">IF(AT151=TRUE,FALSE,IF(SUM(K151)&gt;I151,TRUE,FALSE))</f>
        <v>0</v>
      </c>
      <c r="AT151" s="899" t="b">
        <f>IF(AND(C151&lt;&gt;"",I151=""),TRUE,FALSE)</f>
        <v>0</v>
      </c>
      <c r="AU151" s="898" t="b">
        <f>IF(AV151=TRUE,FALSE,IF(M151&gt;K151,TRUE,FALSE))</f>
        <v>0</v>
      </c>
      <c r="AV151" s="899" t="b">
        <f>IF(AND($C151&lt;&gt;"",K151=""),TRUE,FALSE)</f>
        <v>0</v>
      </c>
      <c r="AW151" s="898"/>
      <c r="AX151" s="899" t="b">
        <f>IF(AND($C151&lt;&gt;"",M151=""),TRUE,FALSE)</f>
        <v>0</v>
      </c>
      <c r="AY151" s="898" t="b">
        <f t="shared" ref="AY151" si="308">IF(AND(O151="",OR(Q151&lt;&gt;"",W151&lt;&gt;"",AC151&lt;&gt;"",AE151&lt;&gt;"",AG151&lt;&gt;"",AI151&lt;&gt;"")),TRUE,FALSE)</f>
        <v>0</v>
      </c>
      <c r="AZ151" s="899" t="b">
        <f>IF(AND($C151&lt;&gt;"",O151=""),TRUE,FALSE)</f>
        <v>0</v>
      </c>
      <c r="BA151" s="898"/>
      <c r="BB151" s="899" t="b">
        <f>IF(AND($C151&lt;&gt;"",Q151=""),TRUE,FALSE)</f>
        <v>0</v>
      </c>
      <c r="BC151" s="1537" t="b">
        <f>IF(BD151=TRUE,FALSE,IF(W151="",FALSE,IF(OR(W151&lt;BO151,W151&gt;BaseYear),TRUE,FALSE)))</f>
        <v>0</v>
      </c>
      <c r="BD151" s="899" t="b">
        <f>IF(AND($C151&lt;&gt;"",W151=""),TRUE,FALSE)</f>
        <v>0</v>
      </c>
      <c r="BE151" s="1537"/>
      <c r="BF151" s="899" t="b">
        <f>IF(AND($C151&lt;&gt;"",AC151=""),TRUE,FALSE)</f>
        <v>0</v>
      </c>
      <c r="BG151" s="898"/>
      <c r="BH151" s="899" t="b">
        <f>IF(AND($C151&lt;&gt;"",AE151=""),TRUE,FALSE)</f>
        <v>0</v>
      </c>
      <c r="BI151" s="898"/>
      <c r="BJ151" s="899" t="b">
        <f>IF(AND($C151&lt;&gt;"",AG151=""),TRUE,FALSE)</f>
        <v>0</v>
      </c>
      <c r="BK151" s="898"/>
      <c r="BL151" s="898" t="b">
        <f>IF(AND($C151&lt;&gt;"",AI151=""),TRUE,FALSE)</f>
        <v>0</v>
      </c>
      <c r="BM151" s="894"/>
      <c r="BN151" s="898" t="str">
        <f t="shared" si="282"/>
        <v/>
      </c>
      <c r="BO151" s="898" t="str">
        <f>IFERROR(IF(AND(O151="",O151&lt;&gt;""),1913,VLOOKUP(O151,Valid!$B$99:$J$120,9)),"")</f>
        <v/>
      </c>
      <c r="BP151" s="898" t="str">
        <f t="shared" ca="1" si="283"/>
        <v/>
      </c>
      <c r="BQ151" s="1547" t="str">
        <f t="shared" ca="1" si="288"/>
        <v/>
      </c>
      <c r="BR151" s="898" t="str">
        <f ca="1">IF(BQ151="", "", IF(1+(BQ151*4)&lt;1, 1, 1+(BQ151*4)))</f>
        <v/>
      </c>
      <c r="BS151" s="898" t="str">
        <f t="shared" si="284"/>
        <v/>
      </c>
      <c r="BT151" s="898" t="str">
        <f t="shared" si="285"/>
        <v/>
      </c>
      <c r="BU151" s="1539" t="str">
        <f>IFERROR(IF(AND(#REF!="",C151&lt;&gt;""),Valid!$E$123,VLOOKUP(#REF!,Valid!$B$123:$F$125,4,FALSE)),"")</f>
        <v/>
      </c>
      <c r="BV151" s="1539" t="str">
        <f>IFERROR(IF(AND(#REF!="",C151&lt;&gt;""),Valid!$F$123,VLOOKUP(#REF!,Valid!$B$123:$F$125,5,FALSE)),"")</f>
        <v/>
      </c>
      <c r="BW151" s="1539" t="str">
        <f>IFERROR(VLOOKUP('A-70 RevVehInv'!S151,Valid!$B$99:$I$120,7), "")</f>
        <v/>
      </c>
      <c r="BX151" s="1539" t="str">
        <f>IFERROR(VLOOKUP(O151,Valid!$B$99:$I$120,8), "")</f>
        <v/>
      </c>
      <c r="BY151" s="894"/>
    </row>
    <row r="152" spans="1:77" ht="6.75" customHeight="1" x14ac:dyDescent="0.2">
      <c r="A152" s="1517"/>
      <c r="B152" s="1530">
        <v>70.5</v>
      </c>
      <c r="C152" s="1544"/>
      <c r="D152" s="905"/>
      <c r="E152" s="1545"/>
      <c r="F152" s="905"/>
      <c r="G152" s="905"/>
      <c r="H152" s="905"/>
      <c r="I152" s="1531"/>
      <c r="J152" s="905"/>
      <c r="K152" s="1531"/>
      <c r="L152" s="905"/>
      <c r="M152" s="1531"/>
      <c r="N152" s="1531"/>
      <c r="O152" s="1533"/>
      <c r="P152" s="905"/>
      <c r="Q152" s="1533"/>
      <c r="R152" s="905"/>
      <c r="S152" s="1531" t="str">
        <f t="shared" si="276"/>
        <v/>
      </c>
      <c r="T152" s="905"/>
      <c r="U152" s="1531"/>
      <c r="V152" s="252" t="str">
        <f t="shared" si="277"/>
        <v/>
      </c>
      <c r="W152" s="1531"/>
      <c r="X152" s="905"/>
      <c r="Y152" s="1971" t="str">
        <f t="shared" si="286"/>
        <v/>
      </c>
      <c r="Z152" s="905"/>
      <c r="AA152" s="1983" t="str">
        <f t="shared" si="287"/>
        <v/>
      </c>
      <c r="AB152" s="1531"/>
      <c r="AC152" s="1531"/>
      <c r="AD152" s="1531"/>
      <c r="AE152" s="1531"/>
      <c r="AF152" s="1531"/>
      <c r="AG152" s="1534"/>
      <c r="AH152" s="1531"/>
      <c r="AI152" s="1546"/>
      <c r="AJ152" s="1531"/>
      <c r="AK152" s="1531"/>
      <c r="AL152" s="1531"/>
      <c r="AM152" s="1531"/>
      <c r="AN152" s="1531"/>
      <c r="AO152" s="1531"/>
      <c r="AP152" s="1531"/>
      <c r="AQ152" s="1535"/>
      <c r="AR152" s="1534"/>
      <c r="AS152" s="1535"/>
      <c r="AT152" s="1534"/>
      <c r="AU152" s="1535"/>
      <c r="AV152" s="1534"/>
      <c r="AW152" s="1535"/>
      <c r="AX152" s="1534"/>
      <c r="AY152" s="1535"/>
      <c r="AZ152" s="1534"/>
      <c r="BA152" s="1535"/>
      <c r="BB152" s="1534"/>
      <c r="BC152" s="1535"/>
      <c r="BD152" s="1534"/>
      <c r="BE152" s="1535"/>
      <c r="BF152" s="1534"/>
      <c r="BG152" s="1535"/>
      <c r="BH152" s="1534"/>
      <c r="BI152" s="1535"/>
      <c r="BJ152" s="1534"/>
      <c r="BK152" s="1535"/>
      <c r="BL152" s="1535"/>
      <c r="BM152" s="1531"/>
      <c r="BN152" s="898" t="str">
        <f t="shared" si="282"/>
        <v/>
      </c>
      <c r="BO152" s="898" t="str">
        <f>IFERROR(IF(AND(O152="",O152&lt;&gt;""),1913,VLOOKUP(O152,Valid!$B$99:$J$120,9)),"")</f>
        <v/>
      </c>
      <c r="BP152" s="898" t="str">
        <f t="shared" ca="1" si="283"/>
        <v/>
      </c>
      <c r="BQ152" s="1547" t="str">
        <f t="shared" ca="1" si="288"/>
        <v/>
      </c>
      <c r="BR152" s="898"/>
      <c r="BS152" s="898" t="str">
        <f t="shared" si="284"/>
        <v/>
      </c>
      <c r="BT152" s="898" t="str">
        <f t="shared" si="285"/>
        <v/>
      </c>
      <c r="BU152" s="1539" t="str">
        <f>IFERROR(IF(AND(#REF!="",C152&lt;&gt;""),Valid!$E$123,VLOOKUP(#REF!,Valid!$B$123:$F$125,4,FALSE)),"")</f>
        <v/>
      </c>
      <c r="BV152" s="1539" t="str">
        <f>IFERROR(IF(AND(#REF!="",C152&lt;&gt;""),Valid!$F$123,VLOOKUP(#REF!,Valid!$B$123:$F$125,5,FALSE)),"")</f>
        <v/>
      </c>
      <c r="BW152" s="1539" t="str">
        <f>IFERROR(VLOOKUP('A-70 RevVehInv'!S152,Valid!$B$99:$I$120,7), "")</f>
        <v/>
      </c>
      <c r="BX152" s="1539" t="str">
        <f>IFERROR(VLOOKUP(O152,Valid!$B$99:$I$120,8), "")</f>
        <v/>
      </c>
      <c r="BY152" s="1531"/>
    </row>
    <row r="153" spans="1:77" s="930" customFormat="1" x14ac:dyDescent="0.2">
      <c r="A153" s="206">
        <v>71</v>
      </c>
      <c r="B153" s="1530">
        <v>71</v>
      </c>
      <c r="C153" s="933"/>
      <c r="D153" s="719" t="str">
        <f>IF(C151="","",IF((C153=""),"Enter RVI ID. then Fill in Columns "&amp;TEXT($I$2,0)&amp;" - "&amp;TEXT($AI$2,0)&amp;"       ",""))</f>
        <v/>
      </c>
      <c r="E153" s="1056" t="str">
        <f>IF(AP153="N/A","",AP153)</f>
        <v/>
      </c>
      <c r="F153" s="1536"/>
      <c r="G153" s="1536"/>
      <c r="H153" s="1536"/>
      <c r="I153" s="1023"/>
      <c r="J153" s="1536" t="str">
        <f>IF(E153&lt;&gt;"","Vehicles?    ","")</f>
        <v/>
      </c>
      <c r="K153" s="1023"/>
      <c r="L153" s="1536" t="str">
        <f>IF(E153&lt;&gt;"","Active Vehicles?     ","")</f>
        <v/>
      </c>
      <c r="M153" s="1023"/>
      <c r="N153" s="894"/>
      <c r="O153" s="1153"/>
      <c r="P153" s="252" t="str">
        <f>IF(E153&lt;&gt;"","Select from Pull-Down List    ","")</f>
        <v/>
      </c>
      <c r="Q153" s="933"/>
      <c r="R153" s="252" t="str">
        <f>IF(E153&lt;&gt;"","Select from Pull-Down List    ","")</f>
        <v/>
      </c>
      <c r="S153" s="1766" t="str">
        <f t="shared" si="276"/>
        <v/>
      </c>
      <c r="T153" s="252"/>
      <c r="U153" s="1988"/>
      <c r="V153" s="252" t="str">
        <f t="shared" si="277"/>
        <v/>
      </c>
      <c r="W153" s="139"/>
      <c r="X153" s="252" t="str">
        <f>IF(E153&lt;&gt;"","Mfg. Yr?    ","")</f>
        <v/>
      </c>
      <c r="Y153" s="1974" t="str">
        <f t="shared" si="286"/>
        <v/>
      </c>
      <c r="Z153" s="252"/>
      <c r="AA153" s="1986" t="str">
        <f t="shared" si="287"/>
        <v/>
      </c>
      <c r="AB153" s="252" t="str">
        <f>IF(E153&lt;&gt;"","Select from Pull-Down List    ","")</f>
        <v/>
      </c>
      <c r="AC153" s="1023"/>
      <c r="AD153" s="252" t="str">
        <f>IF(E153&lt;&gt;"","Feet?    ","")</f>
        <v/>
      </c>
      <c r="AE153" s="1023"/>
      <c r="AF153" s="252" t="str">
        <f>IF(E153&lt;&gt;"","Mileage?       ","")</f>
        <v/>
      </c>
      <c r="AG153" s="1023"/>
      <c r="AH153" s="252" t="str">
        <f>IF(E153&lt;&gt;"","Avg. Lifetime Mileage? ","")</f>
        <v/>
      </c>
      <c r="AI153" s="933"/>
      <c r="AJ153" s="252" t="str">
        <f>IF(E153&lt;&gt;"","Select from Pull-Down List    ","")</f>
        <v/>
      </c>
      <c r="AK153" s="171"/>
      <c r="AL153" s="252"/>
      <c r="AM153" s="894"/>
      <c r="AN153" s="894"/>
      <c r="AO153" s="894" t="b">
        <f>IF(AND(C153="",C155&lt;&gt;""),TRUE,FALSE)</f>
        <v>0</v>
      </c>
      <c r="AP153" s="888" t="str">
        <f t="shared" ref="AP153" si="309">IF(AND(C153&lt;&gt;"",OR(I153="",K153="",M153="",O153="",Q153="",W153="",AC153="",AE153="",AG153="")),"No",IF(AND(C153="",OR(I153&lt;&gt;"",K153&lt;&gt;"",M153&lt;&gt;"",O153&lt;&gt;"",Q153&lt;&gt;"",W153&lt;&gt;"",AC153&lt;&gt;"",AE153&lt;&gt;"",AG153&lt;&gt;"",AI153&lt;&gt;"",AK153&lt;&gt;"")),"No",IF(AND(C153="",I153="",K153="",M153="",O153="",Q153="",W153="",AC153="",AE153="",AG153="",AI153=""),"N/A","Yes")))</f>
        <v>N/A</v>
      </c>
      <c r="AQ153" s="898"/>
      <c r="AR153" s="899" t="b">
        <f t="shared" ref="AR153" si="310">IF(AND(OR(I153&lt;&gt;"",K153&lt;&gt;"",M153&lt;&gt;"",O153&lt;&gt;"",Q153&lt;&gt;"",W153&lt;&gt;"",AC153&lt;&gt;"",AE153&lt;&gt;"",AG153&lt;&gt;"",AI153&lt;&gt;"",AK153&lt;&gt;""),C153=""),TRUE,FALSE)</f>
        <v>0</v>
      </c>
      <c r="AS153" s="898" t="b">
        <f t="shared" ref="AS153" si="311">IF(AT153=TRUE,FALSE,IF(SUM(K153)&gt;I153,TRUE,FALSE))</f>
        <v>0</v>
      </c>
      <c r="AT153" s="899" t="b">
        <f>IF(AND(C153&lt;&gt;"",I153=""),TRUE,FALSE)</f>
        <v>0</v>
      </c>
      <c r="AU153" s="898" t="b">
        <f>IF(AV153=TRUE,FALSE,IF(M153&gt;K153,TRUE,FALSE))</f>
        <v>0</v>
      </c>
      <c r="AV153" s="899" t="b">
        <f>IF(AND($C153&lt;&gt;"",K153=""),TRUE,FALSE)</f>
        <v>0</v>
      </c>
      <c r="AW153" s="898"/>
      <c r="AX153" s="899" t="b">
        <f>IF(AND($C153&lt;&gt;"",M153=""),TRUE,FALSE)</f>
        <v>0</v>
      </c>
      <c r="AY153" s="898" t="b">
        <f t="shared" ref="AY153" si="312">IF(AND(O153="",OR(Q153&lt;&gt;"",W153&lt;&gt;"",AC153&lt;&gt;"",AE153&lt;&gt;"",AG153&lt;&gt;"",AI153&lt;&gt;"")),TRUE,FALSE)</f>
        <v>0</v>
      </c>
      <c r="AZ153" s="899" t="b">
        <f>IF(AND($C153&lt;&gt;"",O153=""),TRUE,FALSE)</f>
        <v>0</v>
      </c>
      <c r="BA153" s="898"/>
      <c r="BB153" s="899" t="b">
        <f>IF(AND($C153&lt;&gt;"",Q153=""),TRUE,FALSE)</f>
        <v>0</v>
      </c>
      <c r="BC153" s="1537" t="b">
        <f>IF(BD153=TRUE,FALSE,IF(W153="",FALSE,IF(OR(W153&lt;BO153,W153&gt;BaseYear),TRUE,FALSE)))</f>
        <v>0</v>
      </c>
      <c r="BD153" s="899" t="b">
        <f>IF(AND($C153&lt;&gt;"",W153=""),TRUE,FALSE)</f>
        <v>0</v>
      </c>
      <c r="BE153" s="1537"/>
      <c r="BF153" s="899" t="b">
        <f>IF(AND($C153&lt;&gt;"",AC153=""),TRUE,FALSE)</f>
        <v>0</v>
      </c>
      <c r="BG153" s="898"/>
      <c r="BH153" s="899" t="b">
        <f>IF(AND($C153&lt;&gt;"",AE153=""),TRUE,FALSE)</f>
        <v>0</v>
      </c>
      <c r="BI153" s="898"/>
      <c r="BJ153" s="899" t="b">
        <f>IF(AND($C153&lt;&gt;"",AG153=""),TRUE,FALSE)</f>
        <v>0</v>
      </c>
      <c r="BK153" s="898"/>
      <c r="BL153" s="898" t="b">
        <f>IF(AND($C153&lt;&gt;"",AI153=""),TRUE,FALSE)</f>
        <v>0</v>
      </c>
      <c r="BM153" s="894"/>
      <c r="BN153" s="898" t="str">
        <f t="shared" si="282"/>
        <v/>
      </c>
      <c r="BO153" s="898" t="str">
        <f>IFERROR(IF(AND(O153="",O153&lt;&gt;""),1913,VLOOKUP(O153,Valid!$B$99:$J$120,9)),"")</f>
        <v/>
      </c>
      <c r="BP153" s="898" t="str">
        <f t="shared" ca="1" si="283"/>
        <v/>
      </c>
      <c r="BQ153" s="1547" t="str">
        <f t="shared" ca="1" si="288"/>
        <v/>
      </c>
      <c r="BR153" s="898" t="str">
        <f ca="1">IF(BQ153="", "", IF(1+(BQ153*4)&lt;1, 1, 1+(BQ153*4)))</f>
        <v/>
      </c>
      <c r="BS153" s="898" t="str">
        <f t="shared" si="284"/>
        <v/>
      </c>
      <c r="BT153" s="898" t="str">
        <f t="shared" si="285"/>
        <v/>
      </c>
      <c r="BU153" s="1539" t="str">
        <f>IFERROR(IF(AND(#REF!="",C153&lt;&gt;""),Valid!$E$123,VLOOKUP(#REF!,Valid!$B$123:$F$125,4,FALSE)),"")</f>
        <v/>
      </c>
      <c r="BV153" s="1539" t="str">
        <f>IFERROR(IF(AND(#REF!="",C153&lt;&gt;""),Valid!$F$123,VLOOKUP(#REF!,Valid!$B$123:$F$125,5,FALSE)),"")</f>
        <v/>
      </c>
      <c r="BW153" s="1539" t="str">
        <f>IFERROR(VLOOKUP('A-70 RevVehInv'!S153,Valid!$B$99:$I$120,7), "")</f>
        <v/>
      </c>
      <c r="BX153" s="1539" t="str">
        <f>IFERROR(VLOOKUP(O153,Valid!$B$99:$I$120,8), "")</f>
        <v/>
      </c>
      <c r="BY153" s="894"/>
    </row>
    <row r="154" spans="1:77" ht="6.75" customHeight="1" x14ac:dyDescent="0.2">
      <c r="A154" s="1516"/>
      <c r="B154" s="1530">
        <v>71.5</v>
      </c>
      <c r="C154" s="1540"/>
      <c r="D154" s="905"/>
      <c r="E154" s="1541"/>
      <c r="F154" s="905"/>
      <c r="G154" s="905"/>
      <c r="H154" s="905"/>
      <c r="I154" s="1534"/>
      <c r="J154" s="905"/>
      <c r="K154" s="1534"/>
      <c r="L154" s="905"/>
      <c r="M154" s="1534"/>
      <c r="N154" s="1531"/>
      <c r="O154" s="1542"/>
      <c r="P154" s="905"/>
      <c r="Q154" s="1542"/>
      <c r="R154" s="905"/>
      <c r="S154" s="1534" t="str">
        <f t="shared" si="276"/>
        <v/>
      </c>
      <c r="T154" s="905"/>
      <c r="U154" s="1534"/>
      <c r="V154" s="252" t="str">
        <f t="shared" si="277"/>
        <v/>
      </c>
      <c r="W154" s="1534"/>
      <c r="X154" s="905"/>
      <c r="Y154" s="1973" t="str">
        <f t="shared" si="286"/>
        <v/>
      </c>
      <c r="Z154" s="905"/>
      <c r="AA154" s="1985" t="str">
        <f t="shared" si="287"/>
        <v/>
      </c>
      <c r="AB154" s="1531"/>
      <c r="AC154" s="1534"/>
      <c r="AD154" s="1531"/>
      <c r="AE154" s="1534"/>
      <c r="AF154" s="1531"/>
      <c r="AG154" s="1534"/>
      <c r="AH154" s="1531"/>
      <c r="AI154" s="1543"/>
      <c r="AJ154" s="1531"/>
      <c r="AK154" s="1534"/>
      <c r="AL154" s="1531"/>
      <c r="AM154" s="1531"/>
      <c r="AN154" s="1531"/>
      <c r="AO154" s="1531"/>
      <c r="AP154" s="1531"/>
      <c r="AQ154" s="1535"/>
      <c r="AR154" s="1534"/>
      <c r="AS154" s="1535"/>
      <c r="AT154" s="1534"/>
      <c r="AU154" s="1535"/>
      <c r="AV154" s="1534"/>
      <c r="AW154" s="1535"/>
      <c r="AX154" s="1534"/>
      <c r="AY154" s="1535"/>
      <c r="AZ154" s="1534"/>
      <c r="BA154" s="1535"/>
      <c r="BB154" s="1534"/>
      <c r="BC154" s="1535"/>
      <c r="BD154" s="1534"/>
      <c r="BE154" s="1535"/>
      <c r="BF154" s="1534"/>
      <c r="BG154" s="1535"/>
      <c r="BH154" s="1534"/>
      <c r="BI154" s="1535"/>
      <c r="BJ154" s="1534"/>
      <c r="BK154" s="1535"/>
      <c r="BL154" s="1535"/>
      <c r="BM154" s="1531"/>
      <c r="BN154" s="898" t="str">
        <f t="shared" si="282"/>
        <v/>
      </c>
      <c r="BO154" s="898" t="str">
        <f>IFERROR(IF(AND(O154="",O154&lt;&gt;""),1913,VLOOKUP(O154,Valid!$B$99:$J$120,9)),"")</f>
        <v/>
      </c>
      <c r="BP154" s="898" t="str">
        <f t="shared" ca="1" si="283"/>
        <v/>
      </c>
      <c r="BQ154" s="1547" t="str">
        <f t="shared" ca="1" si="288"/>
        <v/>
      </c>
      <c r="BR154" s="898"/>
      <c r="BS154" s="898" t="str">
        <f t="shared" si="284"/>
        <v/>
      </c>
      <c r="BT154" s="898" t="str">
        <f t="shared" si="285"/>
        <v/>
      </c>
      <c r="BU154" s="1539" t="str">
        <f>IFERROR(IF(AND(#REF!="",C154&lt;&gt;""),Valid!$E$123,VLOOKUP(#REF!,Valid!$B$123:$F$125,4,FALSE)),"")</f>
        <v/>
      </c>
      <c r="BV154" s="1539" t="str">
        <f>IFERROR(IF(AND(#REF!="",C154&lt;&gt;""),Valid!$F$123,VLOOKUP(#REF!,Valid!$B$123:$F$125,5,FALSE)),"")</f>
        <v/>
      </c>
      <c r="BW154" s="1539" t="str">
        <f>IFERROR(VLOOKUP('A-70 RevVehInv'!S154,Valid!$B$99:$I$120,7), "")</f>
        <v/>
      </c>
      <c r="BX154" s="1539" t="str">
        <f>IFERROR(VLOOKUP(O154,Valid!$B$99:$I$120,8), "")</f>
        <v/>
      </c>
      <c r="BY154" s="1531"/>
    </row>
    <row r="155" spans="1:77" s="930" customFormat="1" x14ac:dyDescent="0.2">
      <c r="A155" s="206">
        <v>72</v>
      </c>
      <c r="B155" s="1530">
        <v>72</v>
      </c>
      <c r="C155" s="933"/>
      <c r="D155" s="719" t="str">
        <f>IF(C153="","",IF((C155=""),"Enter RVI ID. then Fill in Columns "&amp;TEXT($I$2,0)&amp;" - "&amp;TEXT($AI$2,0)&amp;"       ",""))</f>
        <v/>
      </c>
      <c r="E155" s="1056" t="str">
        <f>IF(AP155="N/A","",AP155)</f>
        <v/>
      </c>
      <c r="F155" s="1536"/>
      <c r="G155" s="1536"/>
      <c r="H155" s="1536"/>
      <c r="I155" s="1023"/>
      <c r="J155" s="1536" t="str">
        <f>IF(E155&lt;&gt;"","Vehicles?    ","")</f>
        <v/>
      </c>
      <c r="K155" s="1023"/>
      <c r="L155" s="1536" t="str">
        <f>IF(E155&lt;&gt;"","Active Vehicles?     ","")</f>
        <v/>
      </c>
      <c r="M155" s="1023"/>
      <c r="N155" s="894"/>
      <c r="O155" s="1153"/>
      <c r="P155" s="252" t="str">
        <f>IF(E155&lt;&gt;"","Select from Pull-Down List    ","")</f>
        <v/>
      </c>
      <c r="Q155" s="933"/>
      <c r="R155" s="252" t="str">
        <f>IF(E155&lt;&gt;"","Select from Pull-Down List    ","")</f>
        <v/>
      </c>
      <c r="S155" s="1766" t="str">
        <f t="shared" si="276"/>
        <v/>
      </c>
      <c r="T155" s="252"/>
      <c r="U155" s="1988"/>
      <c r="V155" s="252" t="str">
        <f t="shared" si="277"/>
        <v/>
      </c>
      <c r="W155" s="139"/>
      <c r="X155" s="252" t="str">
        <f>IF(E155&lt;&gt;"","Mfg. Yr?    ","")</f>
        <v/>
      </c>
      <c r="Y155" s="1974" t="str">
        <f t="shared" si="286"/>
        <v/>
      </c>
      <c r="Z155" s="252"/>
      <c r="AA155" s="1986" t="str">
        <f t="shared" si="287"/>
        <v/>
      </c>
      <c r="AB155" s="252" t="str">
        <f>IF(E155&lt;&gt;"","Select from Pull-Down List    ","")</f>
        <v/>
      </c>
      <c r="AC155" s="1023"/>
      <c r="AD155" s="252" t="str">
        <f>IF(E155&lt;&gt;"","Feet?    ","")</f>
        <v/>
      </c>
      <c r="AE155" s="1023"/>
      <c r="AF155" s="252" t="str">
        <f>IF(E155&lt;&gt;"","Mileage?       ","")</f>
        <v/>
      </c>
      <c r="AG155" s="1023"/>
      <c r="AH155" s="252" t="str">
        <f>IF(E155&lt;&gt;"","Avg. Lifetime Mileage? ","")</f>
        <v/>
      </c>
      <c r="AI155" s="933"/>
      <c r="AJ155" s="252" t="str">
        <f>IF(E155&lt;&gt;"","Select from Pull-Down List    ","")</f>
        <v/>
      </c>
      <c r="AK155" s="171"/>
      <c r="AL155" s="252"/>
      <c r="AM155" s="894"/>
      <c r="AN155" s="894"/>
      <c r="AO155" s="894" t="b">
        <f>IF(AND(C155="",C157&lt;&gt;""),TRUE,FALSE)</f>
        <v>0</v>
      </c>
      <c r="AP155" s="888" t="str">
        <f t="shared" ref="AP155" si="313">IF(AND(C155&lt;&gt;"",OR(I155="",K155="",M155="",O155="",Q155="",W155="",AC155="",AE155="",AG155="")),"No",IF(AND(C155="",OR(I155&lt;&gt;"",K155&lt;&gt;"",M155&lt;&gt;"",O155&lt;&gt;"",Q155&lt;&gt;"",W155&lt;&gt;"",AC155&lt;&gt;"",AE155&lt;&gt;"",AG155&lt;&gt;"",AI155&lt;&gt;"",AK155&lt;&gt;"")),"No",IF(AND(C155="",I155="",K155="",M155="",O155="",Q155="",W155="",AC155="",AE155="",AG155="",AI155=""),"N/A","Yes")))</f>
        <v>N/A</v>
      </c>
      <c r="AQ155" s="898"/>
      <c r="AR155" s="899" t="b">
        <f t="shared" ref="AR155" si="314">IF(AND(OR(I155&lt;&gt;"",K155&lt;&gt;"",M155&lt;&gt;"",O155&lt;&gt;"",Q155&lt;&gt;"",W155&lt;&gt;"",AC155&lt;&gt;"",AE155&lt;&gt;"",AG155&lt;&gt;"",AI155&lt;&gt;"",AK155&lt;&gt;""),C155=""),TRUE,FALSE)</f>
        <v>0</v>
      </c>
      <c r="AS155" s="898" t="b">
        <f t="shared" ref="AS155" si="315">IF(AT155=TRUE,FALSE,IF(SUM(K155)&gt;I155,TRUE,FALSE))</f>
        <v>0</v>
      </c>
      <c r="AT155" s="899" t="b">
        <f>IF(AND(C155&lt;&gt;"",I155=""),TRUE,FALSE)</f>
        <v>0</v>
      </c>
      <c r="AU155" s="898" t="b">
        <f>IF(AV155=TRUE,FALSE,IF(M155&gt;K155,TRUE,FALSE))</f>
        <v>0</v>
      </c>
      <c r="AV155" s="899" t="b">
        <f>IF(AND($C155&lt;&gt;"",K155=""),TRUE,FALSE)</f>
        <v>0</v>
      </c>
      <c r="AW155" s="898"/>
      <c r="AX155" s="899" t="b">
        <f>IF(AND($C155&lt;&gt;"",M155=""),TRUE,FALSE)</f>
        <v>0</v>
      </c>
      <c r="AY155" s="898" t="b">
        <f t="shared" ref="AY155" si="316">IF(AND(O155="",OR(Q155&lt;&gt;"",W155&lt;&gt;"",AC155&lt;&gt;"",AE155&lt;&gt;"",AG155&lt;&gt;"",AI155&lt;&gt;"")),TRUE,FALSE)</f>
        <v>0</v>
      </c>
      <c r="AZ155" s="899" t="b">
        <f>IF(AND($C155&lt;&gt;"",O155=""),TRUE,FALSE)</f>
        <v>0</v>
      </c>
      <c r="BA155" s="898"/>
      <c r="BB155" s="899" t="b">
        <f>IF(AND($C155&lt;&gt;"",Q155=""),TRUE,FALSE)</f>
        <v>0</v>
      </c>
      <c r="BC155" s="1537" t="b">
        <f>IF(BD155=TRUE,FALSE,IF(W155="",FALSE,IF(OR(W155&lt;BO155,W155&gt;BaseYear),TRUE,FALSE)))</f>
        <v>0</v>
      </c>
      <c r="BD155" s="899" t="b">
        <f>IF(AND($C155&lt;&gt;"",W155=""),TRUE,FALSE)</f>
        <v>0</v>
      </c>
      <c r="BE155" s="1537"/>
      <c r="BF155" s="899" t="b">
        <f>IF(AND($C155&lt;&gt;"",AC155=""),TRUE,FALSE)</f>
        <v>0</v>
      </c>
      <c r="BG155" s="898"/>
      <c r="BH155" s="899" t="b">
        <f>IF(AND($C155&lt;&gt;"",AE155=""),TRUE,FALSE)</f>
        <v>0</v>
      </c>
      <c r="BI155" s="898"/>
      <c r="BJ155" s="899" t="b">
        <f>IF(AND($C155&lt;&gt;"",AG155=""),TRUE,FALSE)</f>
        <v>0</v>
      </c>
      <c r="BK155" s="898"/>
      <c r="BL155" s="898" t="b">
        <f>IF(AND($C155&lt;&gt;"",AI155=""),TRUE,FALSE)</f>
        <v>0</v>
      </c>
      <c r="BM155" s="894"/>
      <c r="BN155" s="898" t="str">
        <f t="shared" si="282"/>
        <v/>
      </c>
      <c r="BO155" s="898" t="str">
        <f>IFERROR(IF(AND(O155="",O155&lt;&gt;""),1913,VLOOKUP(O155,Valid!$B$99:$J$120,9)),"")</f>
        <v/>
      </c>
      <c r="BP155" s="898" t="str">
        <f t="shared" ca="1" si="283"/>
        <v/>
      </c>
      <c r="BQ155" s="1547" t="str">
        <f t="shared" ca="1" si="288"/>
        <v/>
      </c>
      <c r="BR155" s="898" t="str">
        <f ca="1">IF(BQ155="", "", IF(1+(BQ155*4)&lt;1, 1, 1+(BQ155*4)))</f>
        <v/>
      </c>
      <c r="BS155" s="898" t="str">
        <f t="shared" si="284"/>
        <v/>
      </c>
      <c r="BT155" s="898" t="str">
        <f t="shared" si="285"/>
        <v/>
      </c>
      <c r="BU155" s="1539" t="str">
        <f>IFERROR(IF(AND(#REF!="",C155&lt;&gt;""),Valid!$E$123,VLOOKUP(#REF!,Valid!$B$123:$F$125,4,FALSE)),"")</f>
        <v/>
      </c>
      <c r="BV155" s="1539" t="str">
        <f>IFERROR(IF(AND(#REF!="",C155&lt;&gt;""),Valid!$F$123,VLOOKUP(#REF!,Valid!$B$123:$F$125,5,FALSE)),"")</f>
        <v/>
      </c>
      <c r="BW155" s="1539" t="str">
        <f>IFERROR(VLOOKUP('A-70 RevVehInv'!S155,Valid!$B$99:$I$120,7), "")</f>
        <v/>
      </c>
      <c r="BX155" s="1539" t="str">
        <f>IFERROR(VLOOKUP(O155,Valid!$B$99:$I$120,8), "")</f>
        <v/>
      </c>
      <c r="BY155" s="894"/>
    </row>
    <row r="156" spans="1:77" ht="6.75" customHeight="1" x14ac:dyDescent="0.2">
      <c r="A156" s="1516"/>
      <c r="B156" s="1530">
        <v>72.5</v>
      </c>
      <c r="C156" s="1544"/>
      <c r="D156" s="905"/>
      <c r="E156" s="1545"/>
      <c r="F156" s="905"/>
      <c r="G156" s="905"/>
      <c r="H156" s="905"/>
      <c r="I156" s="1531"/>
      <c r="J156" s="905"/>
      <c r="K156" s="1531"/>
      <c r="L156" s="905"/>
      <c r="M156" s="1531"/>
      <c r="N156" s="1531"/>
      <c r="O156" s="1533"/>
      <c r="P156" s="905"/>
      <c r="Q156" s="1533"/>
      <c r="R156" s="905"/>
      <c r="S156" s="1531" t="str">
        <f t="shared" si="276"/>
        <v/>
      </c>
      <c r="T156" s="905"/>
      <c r="U156" s="1531"/>
      <c r="V156" s="252" t="str">
        <f t="shared" si="277"/>
        <v/>
      </c>
      <c r="W156" s="1531"/>
      <c r="X156" s="905"/>
      <c r="Y156" s="1971" t="str">
        <f t="shared" si="286"/>
        <v/>
      </c>
      <c r="Z156" s="905"/>
      <c r="AA156" s="1983" t="str">
        <f t="shared" si="287"/>
        <v/>
      </c>
      <c r="AB156" s="1531"/>
      <c r="AC156" s="1531"/>
      <c r="AD156" s="1531"/>
      <c r="AE156" s="1531"/>
      <c r="AF156" s="1531"/>
      <c r="AG156" s="1534"/>
      <c r="AH156" s="1531"/>
      <c r="AI156" s="1546"/>
      <c r="AJ156" s="1531"/>
      <c r="AK156" s="1531"/>
      <c r="AL156" s="1531"/>
      <c r="AM156" s="1531"/>
      <c r="AN156" s="1531"/>
      <c r="AO156" s="1531"/>
      <c r="AP156" s="1531"/>
      <c r="AQ156" s="1535"/>
      <c r="AR156" s="1534"/>
      <c r="AS156" s="1535"/>
      <c r="AT156" s="1534"/>
      <c r="AU156" s="1535"/>
      <c r="AV156" s="1534"/>
      <c r="AW156" s="1535"/>
      <c r="AX156" s="1534"/>
      <c r="AY156" s="1535"/>
      <c r="AZ156" s="1534"/>
      <c r="BA156" s="1535"/>
      <c r="BB156" s="1534"/>
      <c r="BC156" s="1535"/>
      <c r="BD156" s="1534"/>
      <c r="BE156" s="1535"/>
      <c r="BF156" s="1534"/>
      <c r="BG156" s="1535"/>
      <c r="BH156" s="1534"/>
      <c r="BI156" s="1535"/>
      <c r="BJ156" s="1534"/>
      <c r="BK156" s="1535"/>
      <c r="BL156" s="1535"/>
      <c r="BM156" s="1531"/>
      <c r="BN156" s="898" t="str">
        <f t="shared" si="282"/>
        <v/>
      </c>
      <c r="BO156" s="898" t="str">
        <f>IFERROR(IF(AND(O156="",O156&lt;&gt;""),1913,VLOOKUP(O156,Valid!$B$99:$J$120,9)),"")</f>
        <v/>
      </c>
      <c r="BP156" s="898" t="str">
        <f t="shared" ca="1" si="283"/>
        <v/>
      </c>
      <c r="BQ156" s="1547" t="str">
        <f t="shared" ca="1" si="288"/>
        <v/>
      </c>
      <c r="BR156" s="898"/>
      <c r="BS156" s="898" t="str">
        <f t="shared" si="284"/>
        <v/>
      </c>
      <c r="BT156" s="898" t="str">
        <f t="shared" si="285"/>
        <v/>
      </c>
      <c r="BU156" s="1539" t="str">
        <f>IFERROR(IF(AND(#REF!="",C156&lt;&gt;""),Valid!$E$123,VLOOKUP(#REF!,Valid!$B$123:$F$125,4,FALSE)),"")</f>
        <v/>
      </c>
      <c r="BV156" s="1539" t="str">
        <f>IFERROR(IF(AND(#REF!="",C156&lt;&gt;""),Valid!$F$123,VLOOKUP(#REF!,Valid!$B$123:$F$125,5,FALSE)),"")</f>
        <v/>
      </c>
      <c r="BW156" s="1539" t="str">
        <f>IFERROR(VLOOKUP('A-70 RevVehInv'!S156,Valid!$B$99:$I$120,7), "")</f>
        <v/>
      </c>
      <c r="BX156" s="1539" t="str">
        <f>IFERROR(VLOOKUP(O156,Valid!$B$99:$I$120,8), "")</f>
        <v/>
      </c>
      <c r="BY156" s="1531"/>
    </row>
    <row r="157" spans="1:77" s="930" customFormat="1" x14ac:dyDescent="0.2">
      <c r="A157" s="206">
        <v>73</v>
      </c>
      <c r="B157" s="1530">
        <v>73</v>
      </c>
      <c r="C157" s="933"/>
      <c r="D157" s="719" t="str">
        <f>IF(C155="","",IF((C157=""),"Enter RVI ID. then Fill in Columns "&amp;TEXT($I$2,0)&amp;" - "&amp;TEXT($AI$2,0)&amp;"       ",""))</f>
        <v/>
      </c>
      <c r="E157" s="1056" t="str">
        <f>IF(AP157="N/A","",AP157)</f>
        <v/>
      </c>
      <c r="F157" s="1536"/>
      <c r="G157" s="1536"/>
      <c r="H157" s="1536"/>
      <c r="I157" s="1023"/>
      <c r="J157" s="1536" t="str">
        <f>IF(E157&lt;&gt;"","Vehicles?    ","")</f>
        <v/>
      </c>
      <c r="K157" s="1023"/>
      <c r="L157" s="1536" t="str">
        <f>IF(E157&lt;&gt;"","Active Vehicles?     ","")</f>
        <v/>
      </c>
      <c r="M157" s="1023"/>
      <c r="N157" s="894"/>
      <c r="O157" s="1153"/>
      <c r="P157" s="252" t="str">
        <f>IF(E157&lt;&gt;"","Select from Pull-Down List    ","")</f>
        <v/>
      </c>
      <c r="Q157" s="933"/>
      <c r="R157" s="252" t="str">
        <f>IF(E157&lt;&gt;"","Select from Pull-Down List    ","")</f>
        <v/>
      </c>
      <c r="S157" s="1766" t="str">
        <f t="shared" si="276"/>
        <v/>
      </c>
      <c r="T157" s="252"/>
      <c r="U157" s="1988"/>
      <c r="V157" s="252" t="str">
        <f t="shared" si="277"/>
        <v/>
      </c>
      <c r="W157" s="139"/>
      <c r="X157" s="252" t="str">
        <f>IF(E157&lt;&gt;"","Mfg. Yr?    ","")</f>
        <v/>
      </c>
      <c r="Y157" s="1974" t="str">
        <f t="shared" si="286"/>
        <v/>
      </c>
      <c r="Z157" s="252"/>
      <c r="AA157" s="1986" t="str">
        <f t="shared" si="287"/>
        <v/>
      </c>
      <c r="AB157" s="252" t="str">
        <f>IF(E157&lt;&gt;"","Select from Pull-Down List    ","")</f>
        <v/>
      </c>
      <c r="AC157" s="1023"/>
      <c r="AD157" s="252" t="str">
        <f>IF(E157&lt;&gt;"","Feet?    ","")</f>
        <v/>
      </c>
      <c r="AE157" s="1023"/>
      <c r="AF157" s="252" t="str">
        <f>IF(E157&lt;&gt;"","Mileage?       ","")</f>
        <v/>
      </c>
      <c r="AG157" s="1023"/>
      <c r="AH157" s="252" t="str">
        <f>IF(E157&lt;&gt;"","Avg. Lifetime Mileage? ","")</f>
        <v/>
      </c>
      <c r="AI157" s="933"/>
      <c r="AJ157" s="252" t="str">
        <f>IF(E157&lt;&gt;"","Select from Pull-Down List    ","")</f>
        <v/>
      </c>
      <c r="AK157" s="171"/>
      <c r="AL157" s="252"/>
      <c r="AM157" s="894"/>
      <c r="AN157" s="894"/>
      <c r="AO157" s="894" t="b">
        <f>IF(AND(C157="",C159&lt;&gt;""),TRUE,FALSE)</f>
        <v>0</v>
      </c>
      <c r="AP157" s="888" t="str">
        <f t="shared" ref="AP157" si="317">IF(AND(C157&lt;&gt;"",OR(I157="",K157="",M157="",O157="",Q157="",W157="",AC157="",AE157="",AG157="")),"No",IF(AND(C157="",OR(I157&lt;&gt;"",K157&lt;&gt;"",M157&lt;&gt;"",O157&lt;&gt;"",Q157&lt;&gt;"",W157&lt;&gt;"",AC157&lt;&gt;"",AE157&lt;&gt;"",AG157&lt;&gt;"",AI157&lt;&gt;"",AK157&lt;&gt;"")),"No",IF(AND(C157="",I157="",K157="",M157="",O157="",Q157="",W157="",AC157="",AE157="",AG157="",AI157=""),"N/A","Yes")))</f>
        <v>N/A</v>
      </c>
      <c r="AQ157" s="898"/>
      <c r="AR157" s="899" t="b">
        <f t="shared" ref="AR157" si="318">IF(AND(OR(I157&lt;&gt;"",K157&lt;&gt;"",M157&lt;&gt;"",O157&lt;&gt;"",Q157&lt;&gt;"",W157&lt;&gt;"",AC157&lt;&gt;"",AE157&lt;&gt;"",AG157&lt;&gt;"",AI157&lt;&gt;"",AK157&lt;&gt;""),C157=""),TRUE,FALSE)</f>
        <v>0</v>
      </c>
      <c r="AS157" s="898" t="b">
        <f t="shared" ref="AS157" si="319">IF(AT157=TRUE,FALSE,IF(SUM(K157)&gt;I157,TRUE,FALSE))</f>
        <v>0</v>
      </c>
      <c r="AT157" s="899" t="b">
        <f>IF(AND(C157&lt;&gt;"",I157=""),TRUE,FALSE)</f>
        <v>0</v>
      </c>
      <c r="AU157" s="898" t="b">
        <f>IF(AV157=TRUE,FALSE,IF(M157&gt;K157,TRUE,FALSE))</f>
        <v>0</v>
      </c>
      <c r="AV157" s="899" t="b">
        <f>IF(AND($C157&lt;&gt;"",K157=""),TRUE,FALSE)</f>
        <v>0</v>
      </c>
      <c r="AW157" s="898"/>
      <c r="AX157" s="899" t="b">
        <f>IF(AND($C157&lt;&gt;"",M157=""),TRUE,FALSE)</f>
        <v>0</v>
      </c>
      <c r="AY157" s="898" t="b">
        <f t="shared" ref="AY157" si="320">IF(AND(O157="",OR(Q157&lt;&gt;"",W157&lt;&gt;"",AC157&lt;&gt;"",AE157&lt;&gt;"",AG157&lt;&gt;"",AI157&lt;&gt;"")),TRUE,FALSE)</f>
        <v>0</v>
      </c>
      <c r="AZ157" s="899" t="b">
        <f>IF(AND($C157&lt;&gt;"",O157=""),TRUE,FALSE)</f>
        <v>0</v>
      </c>
      <c r="BA157" s="898"/>
      <c r="BB157" s="899" t="b">
        <f>IF(AND($C157&lt;&gt;"",Q157=""),TRUE,FALSE)</f>
        <v>0</v>
      </c>
      <c r="BC157" s="1537" t="b">
        <f>IF(BD157=TRUE,FALSE,IF(W157="",FALSE,IF(OR(W157&lt;BO157,W157&gt;BaseYear),TRUE,FALSE)))</f>
        <v>0</v>
      </c>
      <c r="BD157" s="899" t="b">
        <f>IF(AND($C157&lt;&gt;"",W157=""),TRUE,FALSE)</f>
        <v>0</v>
      </c>
      <c r="BE157" s="1537"/>
      <c r="BF157" s="899" t="b">
        <f>IF(AND($C157&lt;&gt;"",AC157=""),TRUE,FALSE)</f>
        <v>0</v>
      </c>
      <c r="BG157" s="898"/>
      <c r="BH157" s="899" t="b">
        <f>IF(AND($C157&lt;&gt;"",AE157=""),TRUE,FALSE)</f>
        <v>0</v>
      </c>
      <c r="BI157" s="898"/>
      <c r="BJ157" s="899" t="b">
        <f>IF(AND($C157&lt;&gt;"",AG157=""),TRUE,FALSE)</f>
        <v>0</v>
      </c>
      <c r="BK157" s="898"/>
      <c r="BL157" s="898" t="b">
        <f>IF(AND($C157&lt;&gt;"",AI157=""),TRUE,FALSE)</f>
        <v>0</v>
      </c>
      <c r="BM157" s="894"/>
      <c r="BN157" s="898" t="str">
        <f t="shared" si="282"/>
        <v/>
      </c>
      <c r="BO157" s="898" t="str">
        <f>IFERROR(IF(AND(O157="",O157&lt;&gt;""),1913,VLOOKUP(O157,Valid!$B$99:$J$120,9)),"")</f>
        <v/>
      </c>
      <c r="BP157" s="898" t="str">
        <f t="shared" ca="1" si="283"/>
        <v/>
      </c>
      <c r="BQ157" s="1547" t="str">
        <f t="shared" ca="1" si="288"/>
        <v/>
      </c>
      <c r="BR157" s="898" t="str">
        <f ca="1">IF(BQ157="", "", IF(1+(BQ157*4)&lt;1, 1, 1+(BQ157*4)))</f>
        <v/>
      </c>
      <c r="BS157" s="898" t="str">
        <f t="shared" si="284"/>
        <v/>
      </c>
      <c r="BT157" s="898" t="str">
        <f t="shared" si="285"/>
        <v/>
      </c>
      <c r="BU157" s="1539" t="str">
        <f>IFERROR(IF(AND(#REF!="",C157&lt;&gt;""),Valid!$E$123,VLOOKUP(#REF!,Valid!$B$123:$F$125,4,FALSE)),"")</f>
        <v/>
      </c>
      <c r="BV157" s="1539" t="str">
        <f>IFERROR(IF(AND(#REF!="",C157&lt;&gt;""),Valid!$F$123,VLOOKUP(#REF!,Valid!$B$123:$F$125,5,FALSE)),"")</f>
        <v/>
      </c>
      <c r="BW157" s="1539" t="str">
        <f>IFERROR(VLOOKUP('A-70 RevVehInv'!S157,Valid!$B$99:$I$120,7), "")</f>
        <v/>
      </c>
      <c r="BX157" s="1539" t="str">
        <f>IFERROR(VLOOKUP(O157,Valid!$B$99:$I$120,8), "")</f>
        <v/>
      </c>
      <c r="BY157" s="894"/>
    </row>
    <row r="158" spans="1:77" ht="6.75" customHeight="1" x14ac:dyDescent="0.2">
      <c r="A158" s="1517"/>
      <c r="B158" s="1530">
        <v>73.5</v>
      </c>
      <c r="C158" s="1540"/>
      <c r="D158" s="905"/>
      <c r="E158" s="1541"/>
      <c r="F158" s="905"/>
      <c r="G158" s="905"/>
      <c r="H158" s="905"/>
      <c r="I158" s="1534"/>
      <c r="J158" s="905"/>
      <c r="K158" s="1534"/>
      <c r="L158" s="905"/>
      <c r="M158" s="1534"/>
      <c r="N158" s="1531"/>
      <c r="O158" s="1542"/>
      <c r="P158" s="905"/>
      <c r="Q158" s="1542"/>
      <c r="R158" s="905"/>
      <c r="S158" s="1534" t="str">
        <f t="shared" si="276"/>
        <v/>
      </c>
      <c r="T158" s="905"/>
      <c r="U158" s="1534"/>
      <c r="V158" s="252" t="str">
        <f t="shared" si="277"/>
        <v/>
      </c>
      <c r="W158" s="1534"/>
      <c r="X158" s="905"/>
      <c r="Y158" s="1973" t="str">
        <f t="shared" si="286"/>
        <v/>
      </c>
      <c r="Z158" s="905"/>
      <c r="AA158" s="1985" t="str">
        <f t="shared" si="287"/>
        <v/>
      </c>
      <c r="AB158" s="1531"/>
      <c r="AC158" s="1534"/>
      <c r="AD158" s="1531"/>
      <c r="AE158" s="1534"/>
      <c r="AF158" s="1531"/>
      <c r="AG158" s="1534"/>
      <c r="AH158" s="1531"/>
      <c r="AI158" s="1543"/>
      <c r="AJ158" s="1531"/>
      <c r="AK158" s="1534"/>
      <c r="AL158" s="1531"/>
      <c r="AM158" s="1531"/>
      <c r="AN158" s="1531"/>
      <c r="AO158" s="1531"/>
      <c r="AP158" s="1531"/>
      <c r="AQ158" s="1535"/>
      <c r="AR158" s="1534"/>
      <c r="AS158" s="1535"/>
      <c r="AT158" s="1534"/>
      <c r="AU158" s="1535"/>
      <c r="AV158" s="1534"/>
      <c r="AW158" s="1535"/>
      <c r="AX158" s="1534"/>
      <c r="AY158" s="1535"/>
      <c r="AZ158" s="1534"/>
      <c r="BA158" s="1535"/>
      <c r="BB158" s="1534"/>
      <c r="BC158" s="1535"/>
      <c r="BD158" s="1534"/>
      <c r="BE158" s="1535"/>
      <c r="BF158" s="1534"/>
      <c r="BG158" s="1535"/>
      <c r="BH158" s="1534"/>
      <c r="BI158" s="1535"/>
      <c r="BJ158" s="1534"/>
      <c r="BK158" s="1535"/>
      <c r="BL158" s="1535"/>
      <c r="BM158" s="1531"/>
      <c r="BN158" s="898" t="str">
        <f t="shared" si="282"/>
        <v/>
      </c>
      <c r="BO158" s="898" t="str">
        <f>IFERROR(IF(AND(O158="",O158&lt;&gt;""),1913,VLOOKUP(O158,Valid!$B$99:$J$120,9)),"")</f>
        <v/>
      </c>
      <c r="BP158" s="898" t="str">
        <f t="shared" ca="1" si="283"/>
        <v/>
      </c>
      <c r="BQ158" s="1547" t="str">
        <f t="shared" ca="1" si="288"/>
        <v/>
      </c>
      <c r="BR158" s="898"/>
      <c r="BS158" s="898" t="str">
        <f t="shared" si="284"/>
        <v/>
      </c>
      <c r="BT158" s="898" t="str">
        <f t="shared" si="285"/>
        <v/>
      </c>
      <c r="BU158" s="1539" t="str">
        <f>IFERROR(IF(AND(#REF!="",C158&lt;&gt;""),Valid!$E$123,VLOOKUP(#REF!,Valid!$B$123:$F$125,4,FALSE)),"")</f>
        <v/>
      </c>
      <c r="BV158" s="1539" t="str">
        <f>IFERROR(IF(AND(#REF!="",C158&lt;&gt;""),Valid!$F$123,VLOOKUP(#REF!,Valid!$B$123:$F$125,5,FALSE)),"")</f>
        <v/>
      </c>
      <c r="BW158" s="1539" t="str">
        <f>IFERROR(VLOOKUP('A-70 RevVehInv'!S158,Valid!$B$99:$I$120,7), "")</f>
        <v/>
      </c>
      <c r="BX158" s="1539" t="str">
        <f>IFERROR(VLOOKUP(O158,Valid!$B$99:$I$120,8), "")</f>
        <v/>
      </c>
      <c r="BY158" s="1531"/>
    </row>
    <row r="159" spans="1:77" s="930" customFormat="1" x14ac:dyDescent="0.2">
      <c r="A159" s="206">
        <v>74</v>
      </c>
      <c r="B159" s="1530">
        <v>74</v>
      </c>
      <c r="C159" s="933"/>
      <c r="D159" s="719" t="str">
        <f>IF(C157="","",IF((C159=""),"Enter RVI ID. then Fill in Columns "&amp;TEXT($I$2,0)&amp;" - "&amp;TEXT($AI$2,0)&amp;"       ",""))</f>
        <v/>
      </c>
      <c r="E159" s="1056" t="str">
        <f>IF(AP159="N/A","",AP159)</f>
        <v/>
      </c>
      <c r="F159" s="1536"/>
      <c r="G159" s="1536"/>
      <c r="H159" s="1536"/>
      <c r="I159" s="1023"/>
      <c r="J159" s="1536" t="str">
        <f>IF(E159&lt;&gt;"","Vehicles?    ","")</f>
        <v/>
      </c>
      <c r="K159" s="1023"/>
      <c r="L159" s="1536" t="str">
        <f>IF(E159&lt;&gt;"","Active Vehicles?     ","")</f>
        <v/>
      </c>
      <c r="M159" s="1023"/>
      <c r="N159" s="894"/>
      <c r="O159" s="1153"/>
      <c r="P159" s="252" t="str">
        <f>IF(E159&lt;&gt;"","Select from Pull-Down List    ","")</f>
        <v/>
      </c>
      <c r="Q159" s="933"/>
      <c r="R159" s="252" t="str">
        <f>IF(E159&lt;&gt;"","Select from Pull-Down List    ","")</f>
        <v/>
      </c>
      <c r="S159" s="1766" t="str">
        <f t="shared" si="276"/>
        <v/>
      </c>
      <c r="T159" s="252"/>
      <c r="U159" s="1988"/>
      <c r="V159" s="252" t="str">
        <f t="shared" si="277"/>
        <v/>
      </c>
      <c r="W159" s="139"/>
      <c r="X159" s="252" t="str">
        <f>IF(E159&lt;&gt;"","Mfg. Yr?    ","")</f>
        <v/>
      </c>
      <c r="Y159" s="1974" t="str">
        <f t="shared" si="286"/>
        <v/>
      </c>
      <c r="Z159" s="252"/>
      <c r="AA159" s="1986" t="str">
        <f t="shared" si="287"/>
        <v/>
      </c>
      <c r="AB159" s="252" t="str">
        <f>IF(E159&lt;&gt;"","Select from Pull-Down List    ","")</f>
        <v/>
      </c>
      <c r="AC159" s="1023"/>
      <c r="AD159" s="252" t="str">
        <f>IF(E159&lt;&gt;"","Feet?    ","")</f>
        <v/>
      </c>
      <c r="AE159" s="1023"/>
      <c r="AF159" s="252" t="str">
        <f>IF(E159&lt;&gt;"","Mileage?       ","")</f>
        <v/>
      </c>
      <c r="AG159" s="1023"/>
      <c r="AH159" s="252" t="str">
        <f>IF(E159&lt;&gt;"","Avg. Lifetime Mileage? ","")</f>
        <v/>
      </c>
      <c r="AI159" s="933"/>
      <c r="AJ159" s="252" t="str">
        <f>IF(E159&lt;&gt;"","Select from Pull-Down List    ","")</f>
        <v/>
      </c>
      <c r="AK159" s="171"/>
      <c r="AL159" s="252"/>
      <c r="AM159" s="894"/>
      <c r="AN159" s="894"/>
      <c r="AO159" s="894" t="b">
        <f>IF(AND(C159="",C161&lt;&gt;""),TRUE,FALSE)</f>
        <v>0</v>
      </c>
      <c r="AP159" s="888" t="str">
        <f t="shared" ref="AP159" si="321">IF(AND(C159&lt;&gt;"",OR(I159="",K159="",M159="",O159="",Q159="",W159="",AC159="",AE159="",AG159="")),"No",IF(AND(C159="",OR(I159&lt;&gt;"",K159&lt;&gt;"",M159&lt;&gt;"",O159&lt;&gt;"",Q159&lt;&gt;"",W159&lt;&gt;"",AC159&lt;&gt;"",AE159&lt;&gt;"",AG159&lt;&gt;"",AI159&lt;&gt;"",AK159&lt;&gt;"")),"No",IF(AND(C159="",I159="",K159="",M159="",O159="",Q159="",W159="",AC159="",AE159="",AG159="",AI159=""),"N/A","Yes")))</f>
        <v>N/A</v>
      </c>
      <c r="AQ159" s="898"/>
      <c r="AR159" s="899" t="b">
        <f t="shared" ref="AR159" si="322">IF(AND(OR(I159&lt;&gt;"",K159&lt;&gt;"",M159&lt;&gt;"",O159&lt;&gt;"",Q159&lt;&gt;"",W159&lt;&gt;"",AC159&lt;&gt;"",AE159&lt;&gt;"",AG159&lt;&gt;"",AI159&lt;&gt;"",AK159&lt;&gt;""),C159=""),TRUE,FALSE)</f>
        <v>0</v>
      </c>
      <c r="AS159" s="898" t="b">
        <f t="shared" ref="AS159" si="323">IF(AT159=TRUE,FALSE,IF(SUM(K159)&gt;I159,TRUE,FALSE))</f>
        <v>0</v>
      </c>
      <c r="AT159" s="899" t="b">
        <f>IF(AND(C159&lt;&gt;"",I159=""),TRUE,FALSE)</f>
        <v>0</v>
      </c>
      <c r="AU159" s="898" t="b">
        <f>IF(AV159=TRUE,FALSE,IF(M159&gt;K159,TRUE,FALSE))</f>
        <v>0</v>
      </c>
      <c r="AV159" s="899" t="b">
        <f>IF(AND($C159&lt;&gt;"",K159=""),TRUE,FALSE)</f>
        <v>0</v>
      </c>
      <c r="AW159" s="898"/>
      <c r="AX159" s="899" t="b">
        <f>IF(AND($C159&lt;&gt;"",M159=""),TRUE,FALSE)</f>
        <v>0</v>
      </c>
      <c r="AY159" s="898" t="b">
        <f t="shared" ref="AY159" si="324">IF(AND(O159="",OR(Q159&lt;&gt;"",W159&lt;&gt;"",AC159&lt;&gt;"",AE159&lt;&gt;"",AG159&lt;&gt;"",AI159&lt;&gt;"")),TRUE,FALSE)</f>
        <v>0</v>
      </c>
      <c r="AZ159" s="899" t="b">
        <f>IF(AND($C159&lt;&gt;"",O159=""),TRUE,FALSE)</f>
        <v>0</v>
      </c>
      <c r="BA159" s="898"/>
      <c r="BB159" s="899" t="b">
        <f>IF(AND($C159&lt;&gt;"",Q159=""),TRUE,FALSE)</f>
        <v>0</v>
      </c>
      <c r="BC159" s="1537" t="b">
        <f>IF(BD159=TRUE,FALSE,IF(W159="",FALSE,IF(OR(W159&lt;BO159,W159&gt;BaseYear),TRUE,FALSE)))</f>
        <v>0</v>
      </c>
      <c r="BD159" s="899" t="b">
        <f>IF(AND($C159&lt;&gt;"",W159=""),TRUE,FALSE)</f>
        <v>0</v>
      </c>
      <c r="BE159" s="1537"/>
      <c r="BF159" s="899" t="b">
        <f>IF(AND($C159&lt;&gt;"",AC159=""),TRUE,FALSE)</f>
        <v>0</v>
      </c>
      <c r="BG159" s="898"/>
      <c r="BH159" s="899" t="b">
        <f>IF(AND($C159&lt;&gt;"",AE159=""),TRUE,FALSE)</f>
        <v>0</v>
      </c>
      <c r="BI159" s="898"/>
      <c r="BJ159" s="899" t="b">
        <f>IF(AND($C159&lt;&gt;"",AG159=""),TRUE,FALSE)</f>
        <v>0</v>
      </c>
      <c r="BK159" s="898"/>
      <c r="BL159" s="898" t="b">
        <f>IF(AND($C159&lt;&gt;"",AI159=""),TRUE,FALSE)</f>
        <v>0</v>
      </c>
      <c r="BM159" s="894"/>
      <c r="BN159" s="898" t="str">
        <f t="shared" si="282"/>
        <v/>
      </c>
      <c r="BO159" s="898" t="str">
        <f>IFERROR(IF(AND(O159="",O159&lt;&gt;""),1913,VLOOKUP(O159,Valid!$B$99:$J$120,9)),"")</f>
        <v/>
      </c>
      <c r="BP159" s="898" t="str">
        <f t="shared" ca="1" si="283"/>
        <v/>
      </c>
      <c r="BQ159" s="1547" t="str">
        <f t="shared" ca="1" si="288"/>
        <v/>
      </c>
      <c r="BR159" s="898" t="str">
        <f ca="1">IF(BQ159="", "", IF(1+(BQ159*4)&lt;1, 1, 1+(BQ159*4)))</f>
        <v/>
      </c>
      <c r="BS159" s="898" t="str">
        <f t="shared" si="284"/>
        <v/>
      </c>
      <c r="BT159" s="898" t="str">
        <f t="shared" si="285"/>
        <v/>
      </c>
      <c r="BU159" s="1539" t="str">
        <f>IFERROR(IF(AND(#REF!="",C159&lt;&gt;""),Valid!$E$123,VLOOKUP(#REF!,Valid!$B$123:$F$125,4,FALSE)),"")</f>
        <v/>
      </c>
      <c r="BV159" s="1539" t="str">
        <f>IFERROR(IF(AND(#REF!="",C159&lt;&gt;""),Valid!$F$123,VLOOKUP(#REF!,Valid!$B$123:$F$125,5,FALSE)),"")</f>
        <v/>
      </c>
      <c r="BW159" s="1539" t="str">
        <f>IFERROR(VLOOKUP('A-70 RevVehInv'!S159,Valid!$B$99:$I$120,7), "")</f>
        <v/>
      </c>
      <c r="BX159" s="1539" t="str">
        <f>IFERROR(VLOOKUP(O159,Valid!$B$99:$I$120,8), "")</f>
        <v/>
      </c>
      <c r="BY159" s="894"/>
    </row>
    <row r="160" spans="1:77" ht="6.75" customHeight="1" x14ac:dyDescent="0.2">
      <c r="A160" s="1517"/>
      <c r="B160" s="1530">
        <v>74.5</v>
      </c>
      <c r="C160" s="1544"/>
      <c r="D160" s="905"/>
      <c r="E160" s="1545"/>
      <c r="F160" s="905"/>
      <c r="G160" s="905"/>
      <c r="H160" s="905"/>
      <c r="I160" s="1531"/>
      <c r="J160" s="905"/>
      <c r="K160" s="1531"/>
      <c r="L160" s="905"/>
      <c r="M160" s="1531"/>
      <c r="N160" s="1531"/>
      <c r="O160" s="1533"/>
      <c r="P160" s="905"/>
      <c r="Q160" s="1533"/>
      <c r="R160" s="905"/>
      <c r="S160" s="1531" t="str">
        <f t="shared" si="276"/>
        <v/>
      </c>
      <c r="T160" s="905"/>
      <c r="U160" s="1531"/>
      <c r="V160" s="252" t="str">
        <f t="shared" si="277"/>
        <v/>
      </c>
      <c r="W160" s="1531"/>
      <c r="X160" s="905"/>
      <c r="Y160" s="1971" t="str">
        <f t="shared" si="286"/>
        <v/>
      </c>
      <c r="Z160" s="905"/>
      <c r="AA160" s="1983" t="str">
        <f t="shared" si="287"/>
        <v/>
      </c>
      <c r="AB160" s="1531"/>
      <c r="AC160" s="1531"/>
      <c r="AD160" s="1531"/>
      <c r="AE160" s="1531"/>
      <c r="AF160" s="1531"/>
      <c r="AG160" s="1534"/>
      <c r="AH160" s="1531"/>
      <c r="AI160" s="1546"/>
      <c r="AJ160" s="1531"/>
      <c r="AK160" s="1531"/>
      <c r="AL160" s="1531"/>
      <c r="AM160" s="1531"/>
      <c r="AN160" s="1531"/>
      <c r="AO160" s="1531"/>
      <c r="AP160" s="1531"/>
      <c r="AQ160" s="1535"/>
      <c r="AR160" s="1534"/>
      <c r="AS160" s="1535"/>
      <c r="AT160" s="1534"/>
      <c r="AU160" s="1535"/>
      <c r="AV160" s="1534"/>
      <c r="AW160" s="1535"/>
      <c r="AX160" s="1534"/>
      <c r="AY160" s="1535"/>
      <c r="AZ160" s="1534"/>
      <c r="BA160" s="1535"/>
      <c r="BB160" s="1534"/>
      <c r="BC160" s="1535"/>
      <c r="BD160" s="1534"/>
      <c r="BE160" s="1535"/>
      <c r="BF160" s="1534"/>
      <c r="BG160" s="1535"/>
      <c r="BH160" s="1534"/>
      <c r="BI160" s="1535"/>
      <c r="BJ160" s="1534"/>
      <c r="BK160" s="1535"/>
      <c r="BL160" s="1535"/>
      <c r="BM160" s="1531"/>
      <c r="BN160" s="898" t="str">
        <f t="shared" si="282"/>
        <v/>
      </c>
      <c r="BO160" s="898" t="str">
        <f>IFERROR(IF(AND(O160="",O160&lt;&gt;""),1913,VLOOKUP(O160,Valid!$B$99:$J$120,9)),"")</f>
        <v/>
      </c>
      <c r="BP160" s="898" t="str">
        <f t="shared" ca="1" si="283"/>
        <v/>
      </c>
      <c r="BQ160" s="1547" t="str">
        <f t="shared" ca="1" si="288"/>
        <v/>
      </c>
      <c r="BR160" s="898"/>
      <c r="BS160" s="898" t="str">
        <f t="shared" si="284"/>
        <v/>
      </c>
      <c r="BT160" s="898" t="str">
        <f t="shared" si="285"/>
        <v/>
      </c>
      <c r="BU160" s="1539" t="str">
        <f>IFERROR(IF(AND(#REF!="",C160&lt;&gt;""),Valid!$E$123,VLOOKUP(#REF!,Valid!$B$123:$F$125,4,FALSE)),"")</f>
        <v/>
      </c>
      <c r="BV160" s="1539" t="str">
        <f>IFERROR(IF(AND(#REF!="",C160&lt;&gt;""),Valid!$F$123,VLOOKUP(#REF!,Valid!$B$123:$F$125,5,FALSE)),"")</f>
        <v/>
      </c>
      <c r="BW160" s="1539" t="str">
        <f>IFERROR(VLOOKUP('A-70 RevVehInv'!S160,Valid!$B$99:$I$120,7), "")</f>
        <v/>
      </c>
      <c r="BX160" s="1539" t="str">
        <f>IFERROR(VLOOKUP(O160,Valid!$B$99:$I$120,8), "")</f>
        <v/>
      </c>
      <c r="BY160" s="1531"/>
    </row>
    <row r="161" spans="1:77" s="930" customFormat="1" x14ac:dyDescent="0.2">
      <c r="A161" s="206">
        <v>75</v>
      </c>
      <c r="B161" s="1530">
        <v>75</v>
      </c>
      <c r="C161" s="933"/>
      <c r="D161" s="719" t="str">
        <f>IF(C159="","",IF((C161=""),"Enter RVI ID. then Fill in Columns "&amp;TEXT($I$2,0)&amp;" - "&amp;TEXT($AI$2,0)&amp;"       ",""))</f>
        <v/>
      </c>
      <c r="E161" s="1056" t="str">
        <f>IF(AP161="N/A","",AP161)</f>
        <v/>
      </c>
      <c r="F161" s="1536"/>
      <c r="G161" s="1536"/>
      <c r="H161" s="1536"/>
      <c r="I161" s="1023"/>
      <c r="J161" s="1536" t="str">
        <f>IF(E161&lt;&gt;"","Vehicles?    ","")</f>
        <v/>
      </c>
      <c r="K161" s="1023"/>
      <c r="L161" s="1536" t="str">
        <f>IF(E161&lt;&gt;"","Active Vehicles?     ","")</f>
        <v/>
      </c>
      <c r="M161" s="1023"/>
      <c r="N161" s="894"/>
      <c r="O161" s="1153"/>
      <c r="P161" s="252" t="str">
        <f>IF(E161&lt;&gt;"","Select from Pull-Down List    ","")</f>
        <v/>
      </c>
      <c r="Q161" s="933"/>
      <c r="R161" s="252" t="str">
        <f>IF(E161&lt;&gt;"","Select from Pull-Down List    ","")</f>
        <v/>
      </c>
      <c r="S161" s="1766" t="str">
        <f t="shared" si="276"/>
        <v/>
      </c>
      <c r="T161" s="252"/>
      <c r="U161" s="1988"/>
      <c r="V161" s="252" t="str">
        <f t="shared" si="277"/>
        <v/>
      </c>
      <c r="W161" s="139"/>
      <c r="X161" s="252" t="str">
        <f>IF(E161&lt;&gt;"","Mfg. Yr?    ","")</f>
        <v/>
      </c>
      <c r="Y161" s="1974" t="str">
        <f t="shared" si="286"/>
        <v/>
      </c>
      <c r="Z161" s="252"/>
      <c r="AA161" s="1986" t="str">
        <f t="shared" si="287"/>
        <v/>
      </c>
      <c r="AB161" s="252" t="str">
        <f>IF(E161&lt;&gt;"","Select from Pull-Down List    ","")</f>
        <v/>
      </c>
      <c r="AC161" s="1023"/>
      <c r="AD161" s="252" t="str">
        <f>IF(E161&lt;&gt;"","Feet?    ","")</f>
        <v/>
      </c>
      <c r="AE161" s="1023"/>
      <c r="AF161" s="252" t="str">
        <f>IF(E161&lt;&gt;"","Mileage?       ","")</f>
        <v/>
      </c>
      <c r="AG161" s="1023"/>
      <c r="AH161" s="252" t="str">
        <f>IF(E161&lt;&gt;"","Avg. Lifetime Mileage? ","")</f>
        <v/>
      </c>
      <c r="AI161" s="933"/>
      <c r="AJ161" s="252" t="str">
        <f>IF(E161&lt;&gt;"","Select from Pull-Down List    ","")</f>
        <v/>
      </c>
      <c r="AK161" s="171"/>
      <c r="AL161" s="252"/>
      <c r="AM161" s="894"/>
      <c r="AN161" s="894"/>
      <c r="AO161" s="894" t="b">
        <f>IF(AND(C161="",C163&lt;&gt;""),TRUE,FALSE)</f>
        <v>0</v>
      </c>
      <c r="AP161" s="888" t="str">
        <f t="shared" ref="AP161" si="325">IF(AND(C161&lt;&gt;"",OR(I161="",K161="",M161="",O161="",Q161="",W161="",AC161="",AE161="",AG161="")),"No",IF(AND(C161="",OR(I161&lt;&gt;"",K161&lt;&gt;"",M161&lt;&gt;"",O161&lt;&gt;"",Q161&lt;&gt;"",W161&lt;&gt;"",AC161&lt;&gt;"",AE161&lt;&gt;"",AG161&lt;&gt;"",AI161&lt;&gt;"",AK161&lt;&gt;"")),"No",IF(AND(C161="",I161="",K161="",M161="",O161="",Q161="",W161="",AC161="",AE161="",AG161="",AI161=""),"N/A","Yes")))</f>
        <v>N/A</v>
      </c>
      <c r="AQ161" s="898"/>
      <c r="AR161" s="899" t="b">
        <f t="shared" ref="AR161" si="326">IF(AND(OR(I161&lt;&gt;"",K161&lt;&gt;"",M161&lt;&gt;"",O161&lt;&gt;"",Q161&lt;&gt;"",W161&lt;&gt;"",AC161&lt;&gt;"",AE161&lt;&gt;"",AG161&lt;&gt;"",AI161&lt;&gt;"",AK161&lt;&gt;""),C161=""),TRUE,FALSE)</f>
        <v>0</v>
      </c>
      <c r="AS161" s="898" t="b">
        <f t="shared" ref="AS161" si="327">IF(AT161=TRUE,FALSE,IF(SUM(K161)&gt;I161,TRUE,FALSE))</f>
        <v>0</v>
      </c>
      <c r="AT161" s="899" t="b">
        <f>IF(AND(C161&lt;&gt;"",I161=""),TRUE,FALSE)</f>
        <v>0</v>
      </c>
      <c r="AU161" s="898" t="b">
        <f>IF(AV161=TRUE,FALSE,IF(M161&gt;K161,TRUE,FALSE))</f>
        <v>0</v>
      </c>
      <c r="AV161" s="899" t="b">
        <f>IF(AND($C161&lt;&gt;"",K161=""),TRUE,FALSE)</f>
        <v>0</v>
      </c>
      <c r="AW161" s="898"/>
      <c r="AX161" s="899" t="b">
        <f>IF(AND($C161&lt;&gt;"",M161=""),TRUE,FALSE)</f>
        <v>0</v>
      </c>
      <c r="AY161" s="898" t="b">
        <f t="shared" ref="AY161" si="328">IF(AND(O161="",OR(Q161&lt;&gt;"",W161&lt;&gt;"",AC161&lt;&gt;"",AE161&lt;&gt;"",AG161&lt;&gt;"",AI161&lt;&gt;"")),TRUE,FALSE)</f>
        <v>0</v>
      </c>
      <c r="AZ161" s="899" t="b">
        <f>IF(AND($C161&lt;&gt;"",O161=""),TRUE,FALSE)</f>
        <v>0</v>
      </c>
      <c r="BA161" s="898"/>
      <c r="BB161" s="899" t="b">
        <f>IF(AND($C161&lt;&gt;"",Q161=""),TRUE,FALSE)</f>
        <v>0</v>
      </c>
      <c r="BC161" s="1537" t="b">
        <f>IF(BD161=TRUE,FALSE,IF(W161="",FALSE,IF(OR(W161&lt;BO161,W161&gt;BaseYear),TRUE,FALSE)))</f>
        <v>0</v>
      </c>
      <c r="BD161" s="899" t="b">
        <f>IF(AND($C161&lt;&gt;"",W161=""),TRUE,FALSE)</f>
        <v>0</v>
      </c>
      <c r="BE161" s="1537"/>
      <c r="BF161" s="899" t="b">
        <f>IF(AND($C161&lt;&gt;"",AC161=""),TRUE,FALSE)</f>
        <v>0</v>
      </c>
      <c r="BG161" s="898"/>
      <c r="BH161" s="899" t="b">
        <f>IF(AND($C161&lt;&gt;"",AE161=""),TRUE,FALSE)</f>
        <v>0</v>
      </c>
      <c r="BI161" s="898"/>
      <c r="BJ161" s="899" t="b">
        <f>IF(AND($C161&lt;&gt;"",AG161=""),TRUE,FALSE)</f>
        <v>0</v>
      </c>
      <c r="BK161" s="898"/>
      <c r="BL161" s="898" t="b">
        <f>IF(AND($C161&lt;&gt;"",AI161=""),TRUE,FALSE)</f>
        <v>0</v>
      </c>
      <c r="BM161" s="894"/>
      <c r="BN161" s="898" t="str">
        <f t="shared" si="282"/>
        <v/>
      </c>
      <c r="BO161" s="898" t="str">
        <f>IFERROR(IF(AND(O161="",O161&lt;&gt;""),1913,VLOOKUP(O161,Valid!$B$99:$J$120,9)),"")</f>
        <v/>
      </c>
      <c r="BP161" s="898" t="str">
        <f t="shared" ca="1" si="283"/>
        <v/>
      </c>
      <c r="BQ161" s="1547" t="str">
        <f t="shared" ca="1" si="288"/>
        <v/>
      </c>
      <c r="BR161" s="898" t="str">
        <f ca="1">IF(BQ161="", "", IF(1+(BQ161*4)&lt;1, 1, 1+(BQ161*4)))</f>
        <v/>
      </c>
      <c r="BS161" s="898" t="str">
        <f t="shared" si="284"/>
        <v/>
      </c>
      <c r="BT161" s="898" t="str">
        <f t="shared" si="285"/>
        <v/>
      </c>
      <c r="BU161" s="1539" t="str">
        <f>IFERROR(IF(AND(#REF!="",C161&lt;&gt;""),Valid!$E$123,VLOOKUP(#REF!,Valid!$B$123:$F$125,4,FALSE)),"")</f>
        <v/>
      </c>
      <c r="BV161" s="1539" t="str">
        <f>IFERROR(IF(AND(#REF!="",C161&lt;&gt;""),Valid!$F$123,VLOOKUP(#REF!,Valid!$B$123:$F$125,5,FALSE)),"")</f>
        <v/>
      </c>
      <c r="BW161" s="1539" t="str">
        <f>IFERROR(VLOOKUP('A-70 RevVehInv'!S161,Valid!$B$99:$I$120,7), "")</f>
        <v/>
      </c>
      <c r="BX161" s="1539" t="str">
        <f>IFERROR(VLOOKUP(O161,Valid!$B$99:$I$120,8), "")</f>
        <v/>
      </c>
      <c r="BY161" s="894"/>
    </row>
    <row r="162" spans="1:77" ht="6.75" customHeight="1" x14ac:dyDescent="0.2">
      <c r="A162" s="1517"/>
      <c r="B162" s="1530">
        <v>75.5</v>
      </c>
      <c r="C162" s="1540"/>
      <c r="D162" s="905"/>
      <c r="E162" s="1541"/>
      <c r="F162" s="905"/>
      <c r="G162" s="905"/>
      <c r="H162" s="905"/>
      <c r="I162" s="1534"/>
      <c r="J162" s="905"/>
      <c r="K162" s="1534"/>
      <c r="L162" s="905"/>
      <c r="M162" s="1534"/>
      <c r="N162" s="1531"/>
      <c r="O162" s="1542"/>
      <c r="P162" s="905"/>
      <c r="Q162" s="1542"/>
      <c r="R162" s="905"/>
      <c r="S162" s="1534" t="str">
        <f t="shared" si="276"/>
        <v/>
      </c>
      <c r="T162" s="905"/>
      <c r="U162" s="1534"/>
      <c r="V162" s="252" t="str">
        <f t="shared" si="277"/>
        <v/>
      </c>
      <c r="W162" s="1534"/>
      <c r="X162" s="905"/>
      <c r="Y162" s="1973" t="str">
        <f t="shared" si="286"/>
        <v/>
      </c>
      <c r="Z162" s="905"/>
      <c r="AA162" s="1985" t="str">
        <f t="shared" si="287"/>
        <v/>
      </c>
      <c r="AB162" s="1531"/>
      <c r="AC162" s="1534"/>
      <c r="AD162" s="1531"/>
      <c r="AE162" s="1534"/>
      <c r="AF162" s="1531"/>
      <c r="AG162" s="1534"/>
      <c r="AH162" s="1531"/>
      <c r="AI162" s="1543"/>
      <c r="AJ162" s="1531"/>
      <c r="AK162" s="1534"/>
      <c r="AL162" s="1531"/>
      <c r="AM162" s="1531"/>
      <c r="AN162" s="1531"/>
      <c r="AO162" s="1531"/>
      <c r="AP162" s="1531"/>
      <c r="AQ162" s="1535"/>
      <c r="AR162" s="1534"/>
      <c r="AS162" s="1535"/>
      <c r="AT162" s="1534"/>
      <c r="AU162" s="1535"/>
      <c r="AV162" s="1534"/>
      <c r="AW162" s="1535"/>
      <c r="AX162" s="1534"/>
      <c r="AY162" s="1535"/>
      <c r="AZ162" s="1534"/>
      <c r="BA162" s="1535"/>
      <c r="BB162" s="1534"/>
      <c r="BC162" s="1535"/>
      <c r="BD162" s="1534"/>
      <c r="BE162" s="1535"/>
      <c r="BF162" s="1534"/>
      <c r="BG162" s="1535"/>
      <c r="BH162" s="1534"/>
      <c r="BI162" s="1535"/>
      <c r="BJ162" s="1534"/>
      <c r="BK162" s="1535"/>
      <c r="BL162" s="1535"/>
      <c r="BM162" s="1531"/>
      <c r="BN162" s="898" t="str">
        <f t="shared" si="282"/>
        <v/>
      </c>
      <c r="BO162" s="898" t="str">
        <f>IFERROR(IF(AND(O162="",O162&lt;&gt;""),1913,VLOOKUP(O162,Valid!$B$99:$J$120,9)),"")</f>
        <v/>
      </c>
      <c r="BP162" s="898" t="str">
        <f t="shared" ca="1" si="283"/>
        <v/>
      </c>
      <c r="BQ162" s="1547" t="str">
        <f t="shared" ca="1" si="288"/>
        <v/>
      </c>
      <c r="BR162" s="898"/>
      <c r="BS162" s="898" t="str">
        <f t="shared" si="284"/>
        <v/>
      </c>
      <c r="BT162" s="898" t="str">
        <f t="shared" si="285"/>
        <v/>
      </c>
      <c r="BU162" s="1539" t="str">
        <f>IFERROR(IF(AND(#REF!="",C162&lt;&gt;""),Valid!$E$123,VLOOKUP(#REF!,Valid!$B$123:$F$125,4,FALSE)),"")</f>
        <v/>
      </c>
      <c r="BV162" s="1539" t="str">
        <f>IFERROR(IF(AND(#REF!="",C162&lt;&gt;""),Valid!$F$123,VLOOKUP(#REF!,Valid!$B$123:$F$125,5,FALSE)),"")</f>
        <v/>
      </c>
      <c r="BW162" s="1539" t="str">
        <f>IFERROR(VLOOKUP('A-70 RevVehInv'!S162,Valid!$B$99:$I$120,7), "")</f>
        <v/>
      </c>
      <c r="BX162" s="1539" t="str">
        <f>IFERROR(VLOOKUP(O162,Valid!$B$99:$I$120,8), "")</f>
        <v/>
      </c>
      <c r="BY162" s="1531"/>
    </row>
    <row r="163" spans="1:77" s="930" customFormat="1" x14ac:dyDescent="0.2">
      <c r="A163" s="206">
        <v>76</v>
      </c>
      <c r="B163" s="1530">
        <v>76</v>
      </c>
      <c r="C163" s="933"/>
      <c r="D163" s="719" t="str">
        <f>IF(C161="","",IF((C163=""),"Enter RVI ID. then Fill in Columns "&amp;TEXT($I$2,0)&amp;" - "&amp;TEXT($AI$2,0)&amp;"       ",""))</f>
        <v/>
      </c>
      <c r="E163" s="1056" t="str">
        <f>IF(AP163="N/A","",AP163)</f>
        <v/>
      </c>
      <c r="F163" s="1536"/>
      <c r="G163" s="1536"/>
      <c r="H163" s="1536"/>
      <c r="I163" s="1023"/>
      <c r="J163" s="1536" t="str">
        <f>IF(E163&lt;&gt;"","Vehicles?    ","")</f>
        <v/>
      </c>
      <c r="K163" s="1023"/>
      <c r="L163" s="1536" t="str">
        <f>IF(E163&lt;&gt;"","Active Vehicles?     ","")</f>
        <v/>
      </c>
      <c r="M163" s="1023"/>
      <c r="N163" s="894"/>
      <c r="O163" s="1153"/>
      <c r="P163" s="252" t="str">
        <f>IF(E163&lt;&gt;"","Select from Pull-Down List    ","")</f>
        <v/>
      </c>
      <c r="Q163" s="933"/>
      <c r="R163" s="252" t="str">
        <f>IF(E163&lt;&gt;"","Select from Pull-Down List    ","")</f>
        <v/>
      </c>
      <c r="S163" s="1766" t="str">
        <f t="shared" si="276"/>
        <v/>
      </c>
      <c r="T163" s="252"/>
      <c r="U163" s="1988"/>
      <c r="V163" s="252" t="str">
        <f t="shared" si="277"/>
        <v/>
      </c>
      <c r="W163" s="139"/>
      <c r="X163" s="252" t="str">
        <f>IF(E163&lt;&gt;"","Mfg. Yr?    ","")</f>
        <v/>
      </c>
      <c r="Y163" s="1974" t="str">
        <f t="shared" si="286"/>
        <v/>
      </c>
      <c r="Z163" s="252"/>
      <c r="AA163" s="1986" t="str">
        <f t="shared" si="287"/>
        <v/>
      </c>
      <c r="AB163" s="252" t="str">
        <f>IF(E163&lt;&gt;"","Select from Pull-Down List    ","")</f>
        <v/>
      </c>
      <c r="AC163" s="1023"/>
      <c r="AD163" s="252" t="str">
        <f>IF(E163&lt;&gt;"","Feet?    ","")</f>
        <v/>
      </c>
      <c r="AE163" s="1023"/>
      <c r="AF163" s="252" t="str">
        <f>IF(E163&lt;&gt;"","Mileage?       ","")</f>
        <v/>
      </c>
      <c r="AG163" s="1023"/>
      <c r="AH163" s="252" t="str">
        <f>IF(E163&lt;&gt;"","Avg. Lifetime Mileage? ","")</f>
        <v/>
      </c>
      <c r="AI163" s="933"/>
      <c r="AJ163" s="252" t="str">
        <f>IF(E163&lt;&gt;"","Select from Pull-Down List    ","")</f>
        <v/>
      </c>
      <c r="AK163" s="171"/>
      <c r="AL163" s="252"/>
      <c r="AM163" s="894"/>
      <c r="AN163" s="894"/>
      <c r="AO163" s="894" t="b">
        <f>IF(AND(C163="",C165&lt;&gt;""),TRUE,FALSE)</f>
        <v>0</v>
      </c>
      <c r="AP163" s="888" t="str">
        <f t="shared" ref="AP163" si="329">IF(AND(C163&lt;&gt;"",OR(I163="",K163="",M163="",O163="",Q163="",W163="",AC163="",AE163="",AG163="")),"No",IF(AND(C163="",OR(I163&lt;&gt;"",K163&lt;&gt;"",M163&lt;&gt;"",O163&lt;&gt;"",Q163&lt;&gt;"",W163&lt;&gt;"",AC163&lt;&gt;"",AE163&lt;&gt;"",AG163&lt;&gt;"",AI163&lt;&gt;"",AK163&lt;&gt;"")),"No",IF(AND(C163="",I163="",K163="",M163="",O163="",Q163="",W163="",AC163="",AE163="",AG163="",AI163=""),"N/A","Yes")))</f>
        <v>N/A</v>
      </c>
      <c r="AQ163" s="898"/>
      <c r="AR163" s="899" t="b">
        <f t="shared" ref="AR163" si="330">IF(AND(OR(I163&lt;&gt;"",K163&lt;&gt;"",M163&lt;&gt;"",O163&lt;&gt;"",Q163&lt;&gt;"",W163&lt;&gt;"",AC163&lt;&gt;"",AE163&lt;&gt;"",AG163&lt;&gt;"",AI163&lt;&gt;"",AK163&lt;&gt;""),C163=""),TRUE,FALSE)</f>
        <v>0</v>
      </c>
      <c r="AS163" s="898" t="b">
        <f t="shared" ref="AS163" si="331">IF(AT163=TRUE,FALSE,IF(SUM(K163)&gt;I163,TRUE,FALSE))</f>
        <v>0</v>
      </c>
      <c r="AT163" s="899" t="b">
        <f>IF(AND(C163&lt;&gt;"",I163=""),TRUE,FALSE)</f>
        <v>0</v>
      </c>
      <c r="AU163" s="898" t="b">
        <f>IF(AV163=TRUE,FALSE,IF(M163&gt;K163,TRUE,FALSE))</f>
        <v>0</v>
      </c>
      <c r="AV163" s="899" t="b">
        <f>IF(AND($C163&lt;&gt;"",K163=""),TRUE,FALSE)</f>
        <v>0</v>
      </c>
      <c r="AW163" s="898"/>
      <c r="AX163" s="899" t="b">
        <f>IF(AND($C163&lt;&gt;"",M163=""),TRUE,FALSE)</f>
        <v>0</v>
      </c>
      <c r="AY163" s="898" t="b">
        <f t="shared" ref="AY163" si="332">IF(AND(O163="",OR(Q163&lt;&gt;"",W163&lt;&gt;"",AC163&lt;&gt;"",AE163&lt;&gt;"",AG163&lt;&gt;"",AI163&lt;&gt;"")),TRUE,FALSE)</f>
        <v>0</v>
      </c>
      <c r="AZ163" s="899" t="b">
        <f>IF(AND($C163&lt;&gt;"",O163=""),TRUE,FALSE)</f>
        <v>0</v>
      </c>
      <c r="BA163" s="898"/>
      <c r="BB163" s="899" t="b">
        <f>IF(AND($C163&lt;&gt;"",Q163=""),TRUE,FALSE)</f>
        <v>0</v>
      </c>
      <c r="BC163" s="1537" t="b">
        <f>IF(BD163=TRUE,FALSE,IF(W163="",FALSE,IF(OR(W163&lt;BO163,W163&gt;BaseYear),TRUE,FALSE)))</f>
        <v>0</v>
      </c>
      <c r="BD163" s="899" t="b">
        <f>IF(AND($C163&lt;&gt;"",W163=""),TRUE,FALSE)</f>
        <v>0</v>
      </c>
      <c r="BE163" s="1537"/>
      <c r="BF163" s="899" t="b">
        <f>IF(AND($C163&lt;&gt;"",AC163=""),TRUE,FALSE)</f>
        <v>0</v>
      </c>
      <c r="BG163" s="898"/>
      <c r="BH163" s="899" t="b">
        <f>IF(AND($C163&lt;&gt;"",AE163=""),TRUE,FALSE)</f>
        <v>0</v>
      </c>
      <c r="BI163" s="898"/>
      <c r="BJ163" s="899" t="b">
        <f>IF(AND($C163&lt;&gt;"",AG163=""),TRUE,FALSE)</f>
        <v>0</v>
      </c>
      <c r="BK163" s="898"/>
      <c r="BL163" s="898" t="b">
        <f>IF(AND($C163&lt;&gt;"",AI163=""),TRUE,FALSE)</f>
        <v>0</v>
      </c>
      <c r="BM163" s="894"/>
      <c r="BN163" s="898" t="str">
        <f t="shared" si="282"/>
        <v/>
      </c>
      <c r="BO163" s="898" t="str">
        <f>IFERROR(IF(AND(O163="",O163&lt;&gt;""),1913,VLOOKUP(O163,Valid!$B$99:$J$120,9)),"")</f>
        <v/>
      </c>
      <c r="BP163" s="898" t="str">
        <f t="shared" ca="1" si="283"/>
        <v/>
      </c>
      <c r="BQ163" s="1547" t="str">
        <f t="shared" ca="1" si="288"/>
        <v/>
      </c>
      <c r="BR163" s="898" t="str">
        <f ca="1">IF(BQ163="", "", IF(1+(BQ163*4)&lt;1, 1, 1+(BQ163*4)))</f>
        <v/>
      </c>
      <c r="BS163" s="898" t="str">
        <f t="shared" si="284"/>
        <v/>
      </c>
      <c r="BT163" s="898" t="str">
        <f t="shared" si="285"/>
        <v/>
      </c>
      <c r="BU163" s="1539" t="str">
        <f>IFERROR(IF(AND(#REF!="",C163&lt;&gt;""),Valid!$E$123,VLOOKUP(#REF!,Valid!$B$123:$F$125,4,FALSE)),"")</f>
        <v/>
      </c>
      <c r="BV163" s="1539" t="str">
        <f>IFERROR(IF(AND(#REF!="",C163&lt;&gt;""),Valid!$F$123,VLOOKUP(#REF!,Valid!$B$123:$F$125,5,FALSE)),"")</f>
        <v/>
      </c>
      <c r="BW163" s="1539" t="str">
        <f>IFERROR(VLOOKUP('A-70 RevVehInv'!S163,Valid!$B$99:$I$120,7), "")</f>
        <v/>
      </c>
      <c r="BX163" s="1539" t="str">
        <f>IFERROR(VLOOKUP(O163,Valid!$B$99:$I$120,8), "")</f>
        <v/>
      </c>
      <c r="BY163" s="894"/>
    </row>
    <row r="164" spans="1:77" ht="6.75" customHeight="1" x14ac:dyDescent="0.2">
      <c r="A164" s="1517"/>
      <c r="B164" s="1530">
        <v>76.5</v>
      </c>
      <c r="C164" s="1544"/>
      <c r="D164" s="905"/>
      <c r="E164" s="1545"/>
      <c r="F164" s="905"/>
      <c r="G164" s="905"/>
      <c r="H164" s="905"/>
      <c r="I164" s="1531"/>
      <c r="J164" s="905"/>
      <c r="K164" s="1531"/>
      <c r="L164" s="905"/>
      <c r="M164" s="1531"/>
      <c r="N164" s="1531"/>
      <c r="O164" s="1533"/>
      <c r="P164" s="905"/>
      <c r="Q164" s="1533"/>
      <c r="R164" s="905"/>
      <c r="S164" s="1531" t="str">
        <f t="shared" si="276"/>
        <v/>
      </c>
      <c r="T164" s="905"/>
      <c r="U164" s="1531"/>
      <c r="V164" s="252" t="str">
        <f t="shared" si="277"/>
        <v/>
      </c>
      <c r="W164" s="1531"/>
      <c r="X164" s="905"/>
      <c r="Y164" s="1971" t="str">
        <f t="shared" si="286"/>
        <v/>
      </c>
      <c r="Z164" s="905"/>
      <c r="AA164" s="1983" t="str">
        <f t="shared" si="287"/>
        <v/>
      </c>
      <c r="AB164" s="1531"/>
      <c r="AC164" s="1531"/>
      <c r="AD164" s="1531"/>
      <c r="AE164" s="1531"/>
      <c r="AF164" s="1531"/>
      <c r="AG164" s="1534"/>
      <c r="AH164" s="1531"/>
      <c r="AI164" s="1546"/>
      <c r="AJ164" s="1531"/>
      <c r="AK164" s="1531"/>
      <c r="AL164" s="1531"/>
      <c r="AM164" s="1531"/>
      <c r="AN164" s="1531"/>
      <c r="AO164" s="1531"/>
      <c r="AP164" s="1531"/>
      <c r="AQ164" s="1535"/>
      <c r="AR164" s="1534"/>
      <c r="AS164" s="1535"/>
      <c r="AT164" s="1534"/>
      <c r="AU164" s="1535"/>
      <c r="AV164" s="1534"/>
      <c r="AW164" s="1535"/>
      <c r="AX164" s="1534"/>
      <c r="AY164" s="1535"/>
      <c r="AZ164" s="1534"/>
      <c r="BA164" s="1535"/>
      <c r="BB164" s="1534"/>
      <c r="BC164" s="1535"/>
      <c r="BD164" s="1534"/>
      <c r="BE164" s="1535"/>
      <c r="BF164" s="1534"/>
      <c r="BG164" s="1535"/>
      <c r="BH164" s="1534"/>
      <c r="BI164" s="1535"/>
      <c r="BJ164" s="1534"/>
      <c r="BK164" s="1535"/>
      <c r="BL164" s="1535"/>
      <c r="BM164" s="1531"/>
      <c r="BN164" s="898" t="str">
        <f t="shared" si="282"/>
        <v/>
      </c>
      <c r="BO164" s="898" t="str">
        <f>IFERROR(IF(AND(O164="",O164&lt;&gt;""),1913,VLOOKUP(O164,Valid!$B$99:$J$120,9)),"")</f>
        <v/>
      </c>
      <c r="BP164" s="898" t="str">
        <f t="shared" ca="1" si="283"/>
        <v/>
      </c>
      <c r="BQ164" s="1547" t="str">
        <f t="shared" ca="1" si="288"/>
        <v/>
      </c>
      <c r="BR164" s="898"/>
      <c r="BS164" s="898" t="str">
        <f t="shared" si="284"/>
        <v/>
      </c>
      <c r="BT164" s="898" t="str">
        <f t="shared" si="285"/>
        <v/>
      </c>
      <c r="BU164" s="1539" t="str">
        <f>IFERROR(IF(AND(#REF!="",C164&lt;&gt;""),Valid!$E$123,VLOOKUP(#REF!,Valid!$B$123:$F$125,4,FALSE)),"")</f>
        <v/>
      </c>
      <c r="BV164" s="1539" t="str">
        <f>IFERROR(IF(AND(#REF!="",C164&lt;&gt;""),Valid!$F$123,VLOOKUP(#REF!,Valid!$B$123:$F$125,5,FALSE)),"")</f>
        <v/>
      </c>
      <c r="BW164" s="1539" t="str">
        <f>IFERROR(VLOOKUP('A-70 RevVehInv'!S164,Valid!$B$99:$I$120,7), "")</f>
        <v/>
      </c>
      <c r="BX164" s="1539" t="str">
        <f>IFERROR(VLOOKUP(O164,Valid!$B$99:$I$120,8), "")</f>
        <v/>
      </c>
      <c r="BY164" s="1531"/>
    </row>
    <row r="165" spans="1:77" s="930" customFormat="1" x14ac:dyDescent="0.2">
      <c r="A165" s="206">
        <v>77</v>
      </c>
      <c r="B165" s="1530">
        <v>77</v>
      </c>
      <c r="C165" s="933"/>
      <c r="D165" s="719" t="str">
        <f>IF(C163="","",IF((C165=""),"Enter RVI ID. then Fill in Columns "&amp;TEXT($I$2,0)&amp;" - "&amp;TEXT($AI$2,0)&amp;"       ",""))</f>
        <v/>
      </c>
      <c r="E165" s="1056" t="str">
        <f>IF(AP165="N/A","",AP165)</f>
        <v/>
      </c>
      <c r="F165" s="1536"/>
      <c r="G165" s="1536"/>
      <c r="H165" s="1536"/>
      <c r="I165" s="1023"/>
      <c r="J165" s="1536" t="str">
        <f>IF(E165&lt;&gt;"","Vehicles?    ","")</f>
        <v/>
      </c>
      <c r="K165" s="1023"/>
      <c r="L165" s="1536" t="str">
        <f>IF(E165&lt;&gt;"","Active Vehicles?     ","")</f>
        <v/>
      </c>
      <c r="M165" s="1023"/>
      <c r="N165" s="894"/>
      <c r="O165" s="1153"/>
      <c r="P165" s="252" t="str">
        <f>IF(E165&lt;&gt;"","Select from Pull-Down List    ","")</f>
        <v/>
      </c>
      <c r="Q165" s="933"/>
      <c r="R165" s="252" t="str">
        <f>IF(E165&lt;&gt;"","Select from Pull-Down List    ","")</f>
        <v/>
      </c>
      <c r="S165" s="1766" t="str">
        <f t="shared" si="276"/>
        <v/>
      </c>
      <c r="T165" s="252"/>
      <c r="U165" s="1988"/>
      <c r="V165" s="252" t="str">
        <f t="shared" si="277"/>
        <v/>
      </c>
      <c r="W165" s="139"/>
      <c r="X165" s="252" t="str">
        <f>IF(E165&lt;&gt;"","Mfg. Yr?    ","")</f>
        <v/>
      </c>
      <c r="Y165" s="1974" t="str">
        <f t="shared" si="286"/>
        <v/>
      </c>
      <c r="Z165" s="252"/>
      <c r="AA165" s="1986" t="str">
        <f t="shared" si="287"/>
        <v/>
      </c>
      <c r="AB165" s="252" t="str">
        <f>IF(E165&lt;&gt;"","Select from Pull-Down List    ","")</f>
        <v/>
      </c>
      <c r="AC165" s="1023"/>
      <c r="AD165" s="252" t="str">
        <f>IF(E165&lt;&gt;"","Feet?    ","")</f>
        <v/>
      </c>
      <c r="AE165" s="1023"/>
      <c r="AF165" s="252" t="str">
        <f>IF(E165&lt;&gt;"","Mileage?       ","")</f>
        <v/>
      </c>
      <c r="AG165" s="1023"/>
      <c r="AH165" s="252" t="str">
        <f>IF(E165&lt;&gt;"","Avg. Lifetime Mileage? ","")</f>
        <v/>
      </c>
      <c r="AI165" s="933"/>
      <c r="AJ165" s="252" t="str">
        <f>IF(E165&lt;&gt;"","Select from Pull-Down List    ","")</f>
        <v/>
      </c>
      <c r="AK165" s="171"/>
      <c r="AL165" s="252"/>
      <c r="AM165" s="894"/>
      <c r="AN165" s="894"/>
      <c r="AO165" s="894" t="b">
        <f>IF(AND(C165="",C167&lt;&gt;""),TRUE,FALSE)</f>
        <v>0</v>
      </c>
      <c r="AP165" s="888" t="str">
        <f t="shared" ref="AP165" si="333">IF(AND(C165&lt;&gt;"",OR(I165="",K165="",M165="",O165="",Q165="",W165="",AC165="",AE165="",AG165="")),"No",IF(AND(C165="",OR(I165&lt;&gt;"",K165&lt;&gt;"",M165&lt;&gt;"",O165&lt;&gt;"",Q165&lt;&gt;"",W165&lt;&gt;"",AC165&lt;&gt;"",AE165&lt;&gt;"",AG165&lt;&gt;"",AI165&lt;&gt;"",AK165&lt;&gt;"")),"No",IF(AND(C165="",I165="",K165="",M165="",O165="",Q165="",W165="",AC165="",AE165="",AG165="",AI165=""),"N/A","Yes")))</f>
        <v>N/A</v>
      </c>
      <c r="AQ165" s="898"/>
      <c r="AR165" s="899" t="b">
        <f t="shared" ref="AR165" si="334">IF(AND(OR(I165&lt;&gt;"",K165&lt;&gt;"",M165&lt;&gt;"",O165&lt;&gt;"",Q165&lt;&gt;"",W165&lt;&gt;"",AC165&lt;&gt;"",AE165&lt;&gt;"",AG165&lt;&gt;"",AI165&lt;&gt;"",AK165&lt;&gt;""),C165=""),TRUE,FALSE)</f>
        <v>0</v>
      </c>
      <c r="AS165" s="898" t="b">
        <f t="shared" ref="AS165" si="335">IF(AT165=TRUE,FALSE,IF(SUM(K165)&gt;I165,TRUE,FALSE))</f>
        <v>0</v>
      </c>
      <c r="AT165" s="899" t="b">
        <f>IF(AND(C165&lt;&gt;"",I165=""),TRUE,FALSE)</f>
        <v>0</v>
      </c>
      <c r="AU165" s="898" t="b">
        <f>IF(AV165=TRUE,FALSE,IF(M165&gt;K165,TRUE,FALSE))</f>
        <v>0</v>
      </c>
      <c r="AV165" s="899" t="b">
        <f>IF(AND($C165&lt;&gt;"",K165=""),TRUE,FALSE)</f>
        <v>0</v>
      </c>
      <c r="AW165" s="898"/>
      <c r="AX165" s="899" t="b">
        <f>IF(AND($C165&lt;&gt;"",M165=""),TRUE,FALSE)</f>
        <v>0</v>
      </c>
      <c r="AY165" s="898" t="b">
        <f t="shared" ref="AY165" si="336">IF(AND(O165="",OR(Q165&lt;&gt;"",W165&lt;&gt;"",AC165&lt;&gt;"",AE165&lt;&gt;"",AG165&lt;&gt;"",AI165&lt;&gt;"")),TRUE,FALSE)</f>
        <v>0</v>
      </c>
      <c r="AZ165" s="899" t="b">
        <f>IF(AND($C165&lt;&gt;"",O165=""),TRUE,FALSE)</f>
        <v>0</v>
      </c>
      <c r="BA165" s="898"/>
      <c r="BB165" s="899" t="b">
        <f>IF(AND($C165&lt;&gt;"",Q165=""),TRUE,FALSE)</f>
        <v>0</v>
      </c>
      <c r="BC165" s="1537" t="b">
        <f>IF(BD165=TRUE,FALSE,IF(W165="",FALSE,IF(OR(W165&lt;BO165,W165&gt;BaseYear),TRUE,FALSE)))</f>
        <v>0</v>
      </c>
      <c r="BD165" s="899" t="b">
        <f>IF(AND($C165&lt;&gt;"",W165=""),TRUE,FALSE)</f>
        <v>0</v>
      </c>
      <c r="BE165" s="1537"/>
      <c r="BF165" s="899" t="b">
        <f>IF(AND($C165&lt;&gt;"",AC165=""),TRUE,FALSE)</f>
        <v>0</v>
      </c>
      <c r="BG165" s="898"/>
      <c r="BH165" s="899" t="b">
        <f>IF(AND($C165&lt;&gt;"",AE165=""),TRUE,FALSE)</f>
        <v>0</v>
      </c>
      <c r="BI165" s="898"/>
      <c r="BJ165" s="899" t="b">
        <f>IF(AND($C165&lt;&gt;"",AG165=""),TRUE,FALSE)</f>
        <v>0</v>
      </c>
      <c r="BK165" s="898"/>
      <c r="BL165" s="898" t="b">
        <f>IF(AND($C165&lt;&gt;"",AI165=""),TRUE,FALSE)</f>
        <v>0</v>
      </c>
      <c r="BM165" s="894"/>
      <c r="BN165" s="898" t="str">
        <f t="shared" si="282"/>
        <v/>
      </c>
      <c r="BO165" s="898" t="str">
        <f>IFERROR(IF(AND(O165="",O165&lt;&gt;""),1913,VLOOKUP(O165,Valid!$B$99:$J$120,9)),"")</f>
        <v/>
      </c>
      <c r="BP165" s="898" t="str">
        <f t="shared" ca="1" si="283"/>
        <v/>
      </c>
      <c r="BQ165" s="1547" t="str">
        <f t="shared" ca="1" si="288"/>
        <v/>
      </c>
      <c r="BR165" s="898" t="str">
        <f ca="1">IF(BQ165="", "", IF(1+(BQ165*4)&lt;1, 1, 1+(BQ165*4)))</f>
        <v/>
      </c>
      <c r="BS165" s="898" t="str">
        <f t="shared" si="284"/>
        <v/>
      </c>
      <c r="BT165" s="898" t="str">
        <f t="shared" si="285"/>
        <v/>
      </c>
      <c r="BU165" s="1539" t="str">
        <f>IFERROR(IF(AND(#REF!="",C165&lt;&gt;""),Valid!$E$123,VLOOKUP(#REF!,Valid!$B$123:$F$125,4,FALSE)),"")</f>
        <v/>
      </c>
      <c r="BV165" s="1539" t="str">
        <f>IFERROR(IF(AND(#REF!="",C165&lt;&gt;""),Valid!$F$123,VLOOKUP(#REF!,Valid!$B$123:$F$125,5,FALSE)),"")</f>
        <v/>
      </c>
      <c r="BW165" s="1539" t="str">
        <f>IFERROR(VLOOKUP('A-70 RevVehInv'!S165,Valid!$B$99:$I$120,7), "")</f>
        <v/>
      </c>
      <c r="BX165" s="1539" t="str">
        <f>IFERROR(VLOOKUP(O165,Valid!$B$99:$I$120,8), "")</f>
        <v/>
      </c>
      <c r="BY165" s="894"/>
    </row>
    <row r="166" spans="1:77" ht="6.75" customHeight="1" x14ac:dyDescent="0.2">
      <c r="A166" s="1517"/>
      <c r="B166" s="1530">
        <v>77.5</v>
      </c>
      <c r="C166" s="1540"/>
      <c r="D166" s="905"/>
      <c r="E166" s="1541"/>
      <c r="F166" s="905"/>
      <c r="G166" s="905"/>
      <c r="H166" s="905"/>
      <c r="I166" s="1534"/>
      <c r="J166" s="905"/>
      <c r="K166" s="1534"/>
      <c r="L166" s="905"/>
      <c r="M166" s="1534"/>
      <c r="N166" s="1531"/>
      <c r="O166" s="1542"/>
      <c r="P166" s="905"/>
      <c r="Q166" s="1542"/>
      <c r="R166" s="905"/>
      <c r="S166" s="1534" t="str">
        <f t="shared" si="276"/>
        <v/>
      </c>
      <c r="T166" s="905"/>
      <c r="U166" s="1534"/>
      <c r="V166" s="252" t="str">
        <f t="shared" si="277"/>
        <v/>
      </c>
      <c r="W166" s="1534"/>
      <c r="X166" s="905"/>
      <c r="Y166" s="1973" t="str">
        <f t="shared" si="286"/>
        <v/>
      </c>
      <c r="Z166" s="905"/>
      <c r="AA166" s="1985" t="str">
        <f t="shared" si="287"/>
        <v/>
      </c>
      <c r="AB166" s="1531"/>
      <c r="AC166" s="1534"/>
      <c r="AD166" s="1531"/>
      <c r="AE166" s="1534"/>
      <c r="AF166" s="1531"/>
      <c r="AG166" s="1534"/>
      <c r="AH166" s="1531"/>
      <c r="AI166" s="1543"/>
      <c r="AJ166" s="1531"/>
      <c r="AK166" s="1534"/>
      <c r="AL166" s="1531"/>
      <c r="AM166" s="1531"/>
      <c r="AN166" s="1531"/>
      <c r="AO166" s="1531"/>
      <c r="AP166" s="1531"/>
      <c r="AQ166" s="1535"/>
      <c r="AR166" s="1534"/>
      <c r="AS166" s="1535"/>
      <c r="AT166" s="1534"/>
      <c r="AU166" s="1535"/>
      <c r="AV166" s="1534"/>
      <c r="AW166" s="1535"/>
      <c r="AX166" s="1534"/>
      <c r="AY166" s="1535"/>
      <c r="AZ166" s="1534"/>
      <c r="BA166" s="1535"/>
      <c r="BB166" s="1534"/>
      <c r="BC166" s="1535"/>
      <c r="BD166" s="1534"/>
      <c r="BE166" s="1535"/>
      <c r="BF166" s="1534"/>
      <c r="BG166" s="1535"/>
      <c r="BH166" s="1534"/>
      <c r="BI166" s="1535"/>
      <c r="BJ166" s="1534"/>
      <c r="BK166" s="1535"/>
      <c r="BL166" s="1535"/>
      <c r="BM166" s="1531"/>
      <c r="BN166" s="898" t="str">
        <f t="shared" si="282"/>
        <v/>
      </c>
      <c r="BO166" s="898" t="str">
        <f>IFERROR(IF(AND(O166="",O166&lt;&gt;""),1913,VLOOKUP(O166,Valid!$B$99:$J$120,9)),"")</f>
        <v/>
      </c>
      <c r="BP166" s="898" t="str">
        <f t="shared" ca="1" si="283"/>
        <v/>
      </c>
      <c r="BQ166" s="1547" t="str">
        <f t="shared" ca="1" si="288"/>
        <v/>
      </c>
      <c r="BR166" s="898"/>
      <c r="BS166" s="898" t="str">
        <f t="shared" si="284"/>
        <v/>
      </c>
      <c r="BT166" s="898" t="str">
        <f t="shared" si="285"/>
        <v/>
      </c>
      <c r="BU166" s="1539" t="str">
        <f>IFERROR(IF(AND(#REF!="",C166&lt;&gt;""),Valid!$E$123,VLOOKUP(#REF!,Valid!$B$123:$F$125,4,FALSE)),"")</f>
        <v/>
      </c>
      <c r="BV166" s="1539" t="str">
        <f>IFERROR(IF(AND(#REF!="",C166&lt;&gt;""),Valid!$F$123,VLOOKUP(#REF!,Valid!$B$123:$F$125,5,FALSE)),"")</f>
        <v/>
      </c>
      <c r="BW166" s="1539" t="str">
        <f>IFERROR(VLOOKUP('A-70 RevVehInv'!S166,Valid!$B$99:$I$120,7), "")</f>
        <v/>
      </c>
      <c r="BX166" s="1539" t="str">
        <f>IFERROR(VLOOKUP(O166,Valid!$B$99:$I$120,8), "")</f>
        <v/>
      </c>
      <c r="BY166" s="1531"/>
    </row>
    <row r="167" spans="1:77" s="930" customFormat="1" x14ac:dyDescent="0.2">
      <c r="A167" s="206">
        <v>78</v>
      </c>
      <c r="B167" s="1530">
        <v>78</v>
      </c>
      <c r="C167" s="933"/>
      <c r="D167" s="719" t="str">
        <f>IF(C165="","",IF((C167=""),"Enter RVI ID. then Fill in Columns "&amp;TEXT($I$2,0)&amp;" - "&amp;TEXT($AI$2,0)&amp;"       ",""))</f>
        <v/>
      </c>
      <c r="E167" s="1056" t="str">
        <f>IF(AP167="N/A","",AP167)</f>
        <v/>
      </c>
      <c r="F167" s="1536"/>
      <c r="G167" s="1536"/>
      <c r="H167" s="1536"/>
      <c r="I167" s="1023"/>
      <c r="J167" s="1536" t="str">
        <f>IF(E167&lt;&gt;"","Vehicles?    ","")</f>
        <v/>
      </c>
      <c r="K167" s="1023"/>
      <c r="L167" s="1536" t="str">
        <f>IF(E167&lt;&gt;"","Active Vehicles?     ","")</f>
        <v/>
      </c>
      <c r="M167" s="1023"/>
      <c r="N167" s="894"/>
      <c r="O167" s="1153"/>
      <c r="P167" s="252" t="str">
        <f>IF(E167&lt;&gt;"","Select from Pull-Down List    ","")</f>
        <v/>
      </c>
      <c r="Q167" s="933"/>
      <c r="R167" s="252" t="str">
        <f>IF(E167&lt;&gt;"","Select from Pull-Down List    ","")</f>
        <v/>
      </c>
      <c r="S167" s="1766" t="str">
        <f t="shared" si="276"/>
        <v/>
      </c>
      <c r="T167" s="252"/>
      <c r="U167" s="1988"/>
      <c r="V167" s="252" t="str">
        <f t="shared" si="277"/>
        <v/>
      </c>
      <c r="W167" s="139"/>
      <c r="X167" s="252" t="str">
        <f>IF(E167&lt;&gt;"","Mfg. Yr?    ","")</f>
        <v/>
      </c>
      <c r="Y167" s="1974" t="str">
        <f t="shared" si="286"/>
        <v/>
      </c>
      <c r="Z167" s="252"/>
      <c r="AA167" s="1986" t="str">
        <f t="shared" si="287"/>
        <v/>
      </c>
      <c r="AB167" s="252" t="str">
        <f>IF(E167&lt;&gt;"","Select from Pull-Down List    ","")</f>
        <v/>
      </c>
      <c r="AC167" s="1023"/>
      <c r="AD167" s="252" t="str">
        <f>IF(E167&lt;&gt;"","Feet?    ","")</f>
        <v/>
      </c>
      <c r="AE167" s="1023"/>
      <c r="AF167" s="252" t="str">
        <f>IF(E167&lt;&gt;"","Mileage?       ","")</f>
        <v/>
      </c>
      <c r="AG167" s="1023"/>
      <c r="AH167" s="252" t="str">
        <f>IF(E167&lt;&gt;"","Avg. Lifetime Mileage? ","")</f>
        <v/>
      </c>
      <c r="AI167" s="933"/>
      <c r="AJ167" s="252" t="str">
        <f>IF(E167&lt;&gt;"","Select from Pull-Down List    ","")</f>
        <v/>
      </c>
      <c r="AK167" s="171"/>
      <c r="AL167" s="252"/>
      <c r="AM167" s="894"/>
      <c r="AN167" s="894"/>
      <c r="AO167" s="894" t="b">
        <f>IF(AND(C167="",C169&lt;&gt;""),TRUE,FALSE)</f>
        <v>0</v>
      </c>
      <c r="AP167" s="888" t="str">
        <f t="shared" ref="AP167" si="337">IF(AND(C167&lt;&gt;"",OR(I167="",K167="",M167="",O167="",Q167="",W167="",AC167="",AE167="",AG167="")),"No",IF(AND(C167="",OR(I167&lt;&gt;"",K167&lt;&gt;"",M167&lt;&gt;"",O167&lt;&gt;"",Q167&lt;&gt;"",W167&lt;&gt;"",AC167&lt;&gt;"",AE167&lt;&gt;"",AG167&lt;&gt;"",AI167&lt;&gt;"",AK167&lt;&gt;"")),"No",IF(AND(C167="",I167="",K167="",M167="",O167="",Q167="",W167="",AC167="",AE167="",AG167="",AI167=""),"N/A","Yes")))</f>
        <v>N/A</v>
      </c>
      <c r="AQ167" s="898"/>
      <c r="AR167" s="899" t="b">
        <f t="shared" ref="AR167" si="338">IF(AND(OR(I167&lt;&gt;"",K167&lt;&gt;"",M167&lt;&gt;"",O167&lt;&gt;"",Q167&lt;&gt;"",W167&lt;&gt;"",AC167&lt;&gt;"",AE167&lt;&gt;"",AG167&lt;&gt;"",AI167&lt;&gt;"",AK167&lt;&gt;""),C167=""),TRUE,FALSE)</f>
        <v>0</v>
      </c>
      <c r="AS167" s="898" t="b">
        <f t="shared" ref="AS167" si="339">IF(AT167=TRUE,FALSE,IF(SUM(K167)&gt;I167,TRUE,FALSE))</f>
        <v>0</v>
      </c>
      <c r="AT167" s="899" t="b">
        <f>IF(AND(C167&lt;&gt;"",I167=""),TRUE,FALSE)</f>
        <v>0</v>
      </c>
      <c r="AU167" s="898" t="b">
        <f>IF(AV167=TRUE,FALSE,IF(M167&gt;K167,TRUE,FALSE))</f>
        <v>0</v>
      </c>
      <c r="AV167" s="899" t="b">
        <f>IF(AND($C167&lt;&gt;"",K167=""),TRUE,FALSE)</f>
        <v>0</v>
      </c>
      <c r="AW167" s="898"/>
      <c r="AX167" s="899" t="b">
        <f>IF(AND($C167&lt;&gt;"",M167=""),TRUE,FALSE)</f>
        <v>0</v>
      </c>
      <c r="AY167" s="898" t="b">
        <f t="shared" ref="AY167" si="340">IF(AND(O167="",OR(Q167&lt;&gt;"",W167&lt;&gt;"",AC167&lt;&gt;"",AE167&lt;&gt;"",AG167&lt;&gt;"",AI167&lt;&gt;"")),TRUE,FALSE)</f>
        <v>0</v>
      </c>
      <c r="AZ167" s="899" t="b">
        <f>IF(AND($C167&lt;&gt;"",O167=""),TRUE,FALSE)</f>
        <v>0</v>
      </c>
      <c r="BA167" s="898"/>
      <c r="BB167" s="899" t="b">
        <f>IF(AND($C167&lt;&gt;"",Q167=""),TRUE,FALSE)</f>
        <v>0</v>
      </c>
      <c r="BC167" s="1537" t="b">
        <f>IF(BD167=TRUE,FALSE,IF(W167="",FALSE,IF(OR(W167&lt;BO167,W167&gt;BaseYear),TRUE,FALSE)))</f>
        <v>0</v>
      </c>
      <c r="BD167" s="899" t="b">
        <f>IF(AND($C167&lt;&gt;"",W167=""),TRUE,FALSE)</f>
        <v>0</v>
      </c>
      <c r="BE167" s="1537"/>
      <c r="BF167" s="899" t="b">
        <f>IF(AND($C167&lt;&gt;"",AC167=""),TRUE,FALSE)</f>
        <v>0</v>
      </c>
      <c r="BG167" s="898"/>
      <c r="BH167" s="899" t="b">
        <f>IF(AND($C167&lt;&gt;"",AE167=""),TRUE,FALSE)</f>
        <v>0</v>
      </c>
      <c r="BI167" s="898"/>
      <c r="BJ167" s="899" t="b">
        <f>IF(AND($C167&lt;&gt;"",AG167=""),TRUE,FALSE)</f>
        <v>0</v>
      </c>
      <c r="BK167" s="898"/>
      <c r="BL167" s="898" t="b">
        <f>IF(AND($C167&lt;&gt;"",AI167=""),TRUE,FALSE)</f>
        <v>0</v>
      </c>
      <c r="BM167" s="894"/>
      <c r="BN167" s="898" t="str">
        <f t="shared" si="282"/>
        <v/>
      </c>
      <c r="BO167" s="898" t="str">
        <f>IFERROR(IF(AND(O167="",O167&lt;&gt;""),1913,VLOOKUP(O167,Valid!$B$99:$J$120,9)),"")</f>
        <v/>
      </c>
      <c r="BP167" s="898" t="str">
        <f t="shared" ca="1" si="283"/>
        <v/>
      </c>
      <c r="BQ167" s="1547" t="str">
        <f t="shared" ca="1" si="288"/>
        <v/>
      </c>
      <c r="BR167" s="898" t="str">
        <f ca="1">IF(BQ167="", "", IF(1+(BQ167*4)&lt;1, 1, 1+(BQ167*4)))</f>
        <v/>
      </c>
      <c r="BS167" s="898" t="str">
        <f t="shared" si="284"/>
        <v/>
      </c>
      <c r="BT167" s="898" t="str">
        <f t="shared" si="285"/>
        <v/>
      </c>
      <c r="BU167" s="1539" t="str">
        <f>IFERROR(IF(AND(#REF!="",C167&lt;&gt;""),Valid!$E$123,VLOOKUP(#REF!,Valid!$B$123:$F$125,4,FALSE)),"")</f>
        <v/>
      </c>
      <c r="BV167" s="1539" t="str">
        <f>IFERROR(IF(AND(#REF!="",C167&lt;&gt;""),Valid!$F$123,VLOOKUP(#REF!,Valid!$B$123:$F$125,5,FALSE)),"")</f>
        <v/>
      </c>
      <c r="BW167" s="1539" t="str">
        <f>IFERROR(VLOOKUP('A-70 RevVehInv'!S167,Valid!$B$99:$I$120,7), "")</f>
        <v/>
      </c>
      <c r="BX167" s="1539" t="str">
        <f>IFERROR(VLOOKUP(O167,Valid!$B$99:$I$120,8), "")</f>
        <v/>
      </c>
      <c r="BY167" s="894"/>
    </row>
    <row r="168" spans="1:77" ht="6.75" customHeight="1" x14ac:dyDescent="0.2">
      <c r="A168" s="1517"/>
      <c r="B168" s="1530">
        <v>78.5</v>
      </c>
      <c r="C168" s="1544"/>
      <c r="D168" s="905"/>
      <c r="E168" s="1545"/>
      <c r="F168" s="905"/>
      <c r="G168" s="905"/>
      <c r="H168" s="905"/>
      <c r="I168" s="1531"/>
      <c r="J168" s="905"/>
      <c r="K168" s="1531"/>
      <c r="L168" s="905"/>
      <c r="M168" s="1531"/>
      <c r="N168" s="1531"/>
      <c r="O168" s="1533"/>
      <c r="P168" s="905"/>
      <c r="Q168" s="1533"/>
      <c r="R168" s="905"/>
      <c r="S168" s="1531" t="str">
        <f t="shared" si="276"/>
        <v/>
      </c>
      <c r="T168" s="905"/>
      <c r="U168" s="1531"/>
      <c r="V168" s="252" t="str">
        <f t="shared" si="277"/>
        <v/>
      </c>
      <c r="W168" s="1531"/>
      <c r="X168" s="905"/>
      <c r="Y168" s="1971" t="str">
        <f t="shared" si="286"/>
        <v/>
      </c>
      <c r="Z168" s="905"/>
      <c r="AA168" s="1983" t="str">
        <f t="shared" si="287"/>
        <v/>
      </c>
      <c r="AB168" s="1531"/>
      <c r="AC168" s="1531"/>
      <c r="AD168" s="1531"/>
      <c r="AE168" s="1531"/>
      <c r="AF168" s="1531"/>
      <c r="AG168" s="1534"/>
      <c r="AH168" s="1531"/>
      <c r="AI168" s="1546"/>
      <c r="AJ168" s="1531"/>
      <c r="AK168" s="1531"/>
      <c r="AL168" s="1531"/>
      <c r="AM168" s="1531"/>
      <c r="AN168" s="1531"/>
      <c r="AO168" s="1531"/>
      <c r="AP168" s="1531"/>
      <c r="AQ168" s="1535"/>
      <c r="AR168" s="1534"/>
      <c r="AS168" s="1535"/>
      <c r="AT168" s="1534"/>
      <c r="AU168" s="1535"/>
      <c r="AV168" s="1534"/>
      <c r="AW168" s="1535"/>
      <c r="AX168" s="1534"/>
      <c r="AY168" s="1535"/>
      <c r="AZ168" s="1534"/>
      <c r="BA168" s="1535"/>
      <c r="BB168" s="1534"/>
      <c r="BC168" s="1535"/>
      <c r="BD168" s="1534"/>
      <c r="BE168" s="1535"/>
      <c r="BF168" s="1534"/>
      <c r="BG168" s="1535"/>
      <c r="BH168" s="1534"/>
      <c r="BI168" s="1535"/>
      <c r="BJ168" s="1534"/>
      <c r="BK168" s="1535"/>
      <c r="BL168" s="1535"/>
      <c r="BM168" s="1531"/>
      <c r="BN168" s="898" t="str">
        <f t="shared" si="282"/>
        <v/>
      </c>
      <c r="BO168" s="898" t="str">
        <f>IFERROR(IF(AND(O168="",O168&lt;&gt;""),1913,VLOOKUP(O168,Valid!$B$99:$J$120,9)),"")</f>
        <v/>
      </c>
      <c r="BP168" s="898" t="str">
        <f t="shared" ca="1" si="283"/>
        <v/>
      </c>
      <c r="BQ168" s="1547" t="str">
        <f t="shared" ca="1" si="288"/>
        <v/>
      </c>
      <c r="BR168" s="898"/>
      <c r="BS168" s="898" t="str">
        <f t="shared" si="284"/>
        <v/>
      </c>
      <c r="BT168" s="898" t="str">
        <f t="shared" si="285"/>
        <v/>
      </c>
      <c r="BU168" s="1539" t="str">
        <f>IFERROR(IF(AND(#REF!="",C168&lt;&gt;""),Valid!$E$123,VLOOKUP(#REF!,Valid!$B$123:$F$125,4,FALSE)),"")</f>
        <v/>
      </c>
      <c r="BV168" s="1539" t="str">
        <f>IFERROR(IF(AND(#REF!="",C168&lt;&gt;""),Valid!$F$123,VLOOKUP(#REF!,Valid!$B$123:$F$125,5,FALSE)),"")</f>
        <v/>
      </c>
      <c r="BW168" s="1539" t="str">
        <f>IFERROR(VLOOKUP('A-70 RevVehInv'!S168,Valid!$B$99:$I$120,7), "")</f>
        <v/>
      </c>
      <c r="BX168" s="1539" t="str">
        <f>IFERROR(VLOOKUP(O168,Valid!$B$99:$I$120,8), "")</f>
        <v/>
      </c>
      <c r="BY168" s="1531"/>
    </row>
    <row r="169" spans="1:77" s="930" customFormat="1" x14ac:dyDescent="0.2">
      <c r="A169" s="206">
        <v>79</v>
      </c>
      <c r="B169" s="1530">
        <v>79</v>
      </c>
      <c r="C169" s="933"/>
      <c r="D169" s="719" t="str">
        <f>IF(C167="","",IF((C169=""),"Enter RVI ID. then Fill in Columns "&amp;TEXT($I$2,0)&amp;" - "&amp;TEXT($AI$2,0)&amp;"       ",""))</f>
        <v/>
      </c>
      <c r="E169" s="1056" t="str">
        <f>IF(AP169="N/A","",AP169)</f>
        <v/>
      </c>
      <c r="F169" s="1536"/>
      <c r="G169" s="1536"/>
      <c r="H169" s="1536"/>
      <c r="I169" s="1023"/>
      <c r="J169" s="1536" t="str">
        <f>IF(E169&lt;&gt;"","Vehicles?    ","")</f>
        <v/>
      </c>
      <c r="K169" s="1023"/>
      <c r="L169" s="1536" t="str">
        <f>IF(E169&lt;&gt;"","Active Vehicles?     ","")</f>
        <v/>
      </c>
      <c r="M169" s="1023"/>
      <c r="N169" s="894"/>
      <c r="O169" s="1153"/>
      <c r="P169" s="252" t="str">
        <f>IF(E169&lt;&gt;"","Select from Pull-Down List    ","")</f>
        <v/>
      </c>
      <c r="Q169" s="933"/>
      <c r="R169" s="252" t="str">
        <f>IF(E169&lt;&gt;"","Select from Pull-Down List    ","")</f>
        <v/>
      </c>
      <c r="S169" s="1766" t="str">
        <f t="shared" si="276"/>
        <v/>
      </c>
      <c r="T169" s="252"/>
      <c r="U169" s="1988"/>
      <c r="V169" s="252" t="str">
        <f t="shared" si="277"/>
        <v/>
      </c>
      <c r="W169" s="139"/>
      <c r="X169" s="252" t="str">
        <f>IF(E169&lt;&gt;"","Mfg. Yr?    ","")</f>
        <v/>
      </c>
      <c r="Y169" s="1974" t="str">
        <f t="shared" si="286"/>
        <v/>
      </c>
      <c r="Z169" s="252"/>
      <c r="AA169" s="1986" t="str">
        <f t="shared" si="287"/>
        <v/>
      </c>
      <c r="AB169" s="252" t="str">
        <f>IF(E169&lt;&gt;"","Select from Pull-Down List    ","")</f>
        <v/>
      </c>
      <c r="AC169" s="1023"/>
      <c r="AD169" s="252" t="str">
        <f>IF(E169&lt;&gt;"","Feet?    ","")</f>
        <v/>
      </c>
      <c r="AE169" s="1023"/>
      <c r="AF169" s="252" t="str">
        <f>IF(E169&lt;&gt;"","Mileage?       ","")</f>
        <v/>
      </c>
      <c r="AG169" s="1023"/>
      <c r="AH169" s="252" t="str">
        <f>IF(E169&lt;&gt;"","Avg. Lifetime Mileage? ","")</f>
        <v/>
      </c>
      <c r="AI169" s="933"/>
      <c r="AJ169" s="252" t="str">
        <f>IF(E169&lt;&gt;"","Select from Pull-Down List    ","")</f>
        <v/>
      </c>
      <c r="AK169" s="171"/>
      <c r="AL169" s="252"/>
      <c r="AM169" s="894"/>
      <c r="AN169" s="894"/>
      <c r="AO169" s="894" t="b">
        <f>IF(AND(C169="",C171&lt;&gt;""),TRUE,FALSE)</f>
        <v>0</v>
      </c>
      <c r="AP169" s="888" t="str">
        <f t="shared" ref="AP169" si="341">IF(AND(C169&lt;&gt;"",OR(I169="",K169="",M169="",O169="",Q169="",W169="",AC169="",AE169="",AG169="")),"No",IF(AND(C169="",OR(I169&lt;&gt;"",K169&lt;&gt;"",M169&lt;&gt;"",O169&lt;&gt;"",Q169&lt;&gt;"",W169&lt;&gt;"",AC169&lt;&gt;"",AE169&lt;&gt;"",AG169&lt;&gt;"",AI169&lt;&gt;"",AK169&lt;&gt;"")),"No",IF(AND(C169="",I169="",K169="",M169="",O169="",Q169="",W169="",AC169="",AE169="",AG169="",AI169=""),"N/A","Yes")))</f>
        <v>N/A</v>
      </c>
      <c r="AQ169" s="898"/>
      <c r="AR169" s="899" t="b">
        <f t="shared" ref="AR169" si="342">IF(AND(OR(I169&lt;&gt;"",K169&lt;&gt;"",M169&lt;&gt;"",O169&lt;&gt;"",Q169&lt;&gt;"",W169&lt;&gt;"",AC169&lt;&gt;"",AE169&lt;&gt;"",AG169&lt;&gt;"",AI169&lt;&gt;"",AK169&lt;&gt;""),C169=""),TRUE,FALSE)</f>
        <v>0</v>
      </c>
      <c r="AS169" s="898" t="b">
        <f t="shared" ref="AS169" si="343">IF(AT169=TRUE,FALSE,IF(SUM(K169)&gt;I169,TRUE,FALSE))</f>
        <v>0</v>
      </c>
      <c r="AT169" s="899" t="b">
        <f>IF(AND(C169&lt;&gt;"",I169=""),TRUE,FALSE)</f>
        <v>0</v>
      </c>
      <c r="AU169" s="898" t="b">
        <f>IF(AV169=TRUE,FALSE,IF(M169&gt;K169,TRUE,FALSE))</f>
        <v>0</v>
      </c>
      <c r="AV169" s="899" t="b">
        <f>IF(AND($C169&lt;&gt;"",K169=""),TRUE,FALSE)</f>
        <v>0</v>
      </c>
      <c r="AW169" s="898"/>
      <c r="AX169" s="899" t="b">
        <f>IF(AND($C169&lt;&gt;"",M169=""),TRUE,FALSE)</f>
        <v>0</v>
      </c>
      <c r="AY169" s="898" t="b">
        <f t="shared" ref="AY169" si="344">IF(AND(O169="",OR(Q169&lt;&gt;"",W169&lt;&gt;"",AC169&lt;&gt;"",AE169&lt;&gt;"",AG169&lt;&gt;"",AI169&lt;&gt;"")),TRUE,FALSE)</f>
        <v>0</v>
      </c>
      <c r="AZ169" s="899" t="b">
        <f>IF(AND($C169&lt;&gt;"",O169=""),TRUE,FALSE)</f>
        <v>0</v>
      </c>
      <c r="BA169" s="898"/>
      <c r="BB169" s="899" t="b">
        <f>IF(AND($C169&lt;&gt;"",Q169=""),TRUE,FALSE)</f>
        <v>0</v>
      </c>
      <c r="BC169" s="1537" t="b">
        <f>IF(BD169=TRUE,FALSE,IF(W169="",FALSE,IF(OR(W169&lt;BO169,W169&gt;BaseYear),TRUE,FALSE)))</f>
        <v>0</v>
      </c>
      <c r="BD169" s="899" t="b">
        <f>IF(AND($C169&lt;&gt;"",W169=""),TRUE,FALSE)</f>
        <v>0</v>
      </c>
      <c r="BE169" s="1537"/>
      <c r="BF169" s="899" t="b">
        <f>IF(AND($C169&lt;&gt;"",AC169=""),TRUE,FALSE)</f>
        <v>0</v>
      </c>
      <c r="BG169" s="898"/>
      <c r="BH169" s="899" t="b">
        <f>IF(AND($C169&lt;&gt;"",AE169=""),TRUE,FALSE)</f>
        <v>0</v>
      </c>
      <c r="BI169" s="898"/>
      <c r="BJ169" s="899" t="b">
        <f>IF(AND($C169&lt;&gt;"",AG169=""),TRUE,FALSE)</f>
        <v>0</v>
      </c>
      <c r="BK169" s="898"/>
      <c r="BL169" s="898" t="b">
        <f>IF(AND($C169&lt;&gt;"",AI169=""),TRUE,FALSE)</f>
        <v>0</v>
      </c>
      <c r="BM169" s="894"/>
      <c r="BN169" s="898" t="str">
        <f t="shared" si="282"/>
        <v/>
      </c>
      <c r="BO169" s="898" t="str">
        <f>IFERROR(IF(AND(O169="",O169&lt;&gt;""),1913,VLOOKUP(O169,Valid!$B$99:$J$120,9)),"")</f>
        <v/>
      </c>
      <c r="BP169" s="898" t="str">
        <f t="shared" ca="1" si="283"/>
        <v/>
      </c>
      <c r="BQ169" s="1547" t="str">
        <f t="shared" ca="1" si="288"/>
        <v/>
      </c>
      <c r="BR169" s="898" t="str">
        <f ca="1">IF(BQ169="", "", IF(1+(BQ169*4)&lt;1, 1, 1+(BQ169*4)))</f>
        <v/>
      </c>
      <c r="BS169" s="898" t="str">
        <f t="shared" si="284"/>
        <v/>
      </c>
      <c r="BT169" s="898" t="str">
        <f t="shared" si="285"/>
        <v/>
      </c>
      <c r="BU169" s="1539" t="str">
        <f>IFERROR(IF(AND(#REF!="",C169&lt;&gt;""),Valid!$E$123,VLOOKUP(#REF!,Valid!$B$123:$F$125,4,FALSE)),"")</f>
        <v/>
      </c>
      <c r="BV169" s="1539" t="str">
        <f>IFERROR(IF(AND(#REF!="",C169&lt;&gt;""),Valid!$F$123,VLOOKUP(#REF!,Valid!$B$123:$F$125,5,FALSE)),"")</f>
        <v/>
      </c>
      <c r="BW169" s="1539" t="str">
        <f>IFERROR(VLOOKUP('A-70 RevVehInv'!S169,Valid!$B$99:$I$120,7), "")</f>
        <v/>
      </c>
      <c r="BX169" s="1539" t="str">
        <f>IFERROR(VLOOKUP(O169,Valid!$B$99:$I$120,8), "")</f>
        <v/>
      </c>
      <c r="BY169" s="894"/>
    </row>
    <row r="170" spans="1:77" ht="6.75" customHeight="1" x14ac:dyDescent="0.2">
      <c r="A170" s="1517"/>
      <c r="B170" s="1530">
        <v>79.5</v>
      </c>
      <c r="C170" s="1540"/>
      <c r="D170" s="905"/>
      <c r="E170" s="1541"/>
      <c r="F170" s="905"/>
      <c r="G170" s="905"/>
      <c r="H170" s="905"/>
      <c r="I170" s="1534"/>
      <c r="J170" s="905"/>
      <c r="K170" s="1534"/>
      <c r="L170" s="905"/>
      <c r="M170" s="1534"/>
      <c r="N170" s="1531"/>
      <c r="O170" s="1542"/>
      <c r="P170" s="905"/>
      <c r="Q170" s="1542"/>
      <c r="R170" s="905"/>
      <c r="S170" s="1534" t="str">
        <f t="shared" si="276"/>
        <v/>
      </c>
      <c r="T170" s="905"/>
      <c r="U170" s="1534"/>
      <c r="V170" s="252" t="str">
        <f t="shared" si="277"/>
        <v/>
      </c>
      <c r="W170" s="1534"/>
      <c r="X170" s="905"/>
      <c r="Y170" s="1973" t="str">
        <f t="shared" si="286"/>
        <v/>
      </c>
      <c r="Z170" s="905"/>
      <c r="AA170" s="1985" t="str">
        <f t="shared" si="287"/>
        <v/>
      </c>
      <c r="AB170" s="1531"/>
      <c r="AC170" s="1534"/>
      <c r="AD170" s="1531"/>
      <c r="AE170" s="1534"/>
      <c r="AF170" s="1531"/>
      <c r="AG170" s="1534"/>
      <c r="AH170" s="1531"/>
      <c r="AI170" s="1543"/>
      <c r="AJ170" s="1531"/>
      <c r="AK170" s="1534"/>
      <c r="AL170" s="1531"/>
      <c r="AM170" s="1531"/>
      <c r="AN170" s="1531"/>
      <c r="AO170" s="1531"/>
      <c r="AP170" s="1531"/>
      <c r="AQ170" s="1535"/>
      <c r="AR170" s="1534"/>
      <c r="AS170" s="1535"/>
      <c r="AT170" s="1534"/>
      <c r="AU170" s="1535"/>
      <c r="AV170" s="1534"/>
      <c r="AW170" s="1535"/>
      <c r="AX170" s="1534"/>
      <c r="AY170" s="1535"/>
      <c r="AZ170" s="1534"/>
      <c r="BA170" s="1535"/>
      <c r="BB170" s="1534"/>
      <c r="BC170" s="1535"/>
      <c r="BD170" s="1534"/>
      <c r="BE170" s="1535"/>
      <c r="BF170" s="1534"/>
      <c r="BG170" s="1535"/>
      <c r="BH170" s="1534"/>
      <c r="BI170" s="1535"/>
      <c r="BJ170" s="1534"/>
      <c r="BK170" s="1535"/>
      <c r="BL170" s="1535"/>
      <c r="BM170" s="1531"/>
      <c r="BN170" s="898" t="str">
        <f t="shared" si="282"/>
        <v/>
      </c>
      <c r="BO170" s="898" t="str">
        <f>IFERROR(IF(AND(O170="",O170&lt;&gt;""),1913,VLOOKUP(O170,Valid!$B$99:$J$120,9)),"")</f>
        <v/>
      </c>
      <c r="BP170" s="898" t="str">
        <f t="shared" ca="1" si="283"/>
        <v/>
      </c>
      <c r="BQ170" s="1547" t="str">
        <f t="shared" ca="1" si="288"/>
        <v/>
      </c>
      <c r="BR170" s="898"/>
      <c r="BS170" s="898" t="str">
        <f t="shared" si="284"/>
        <v/>
      </c>
      <c r="BT170" s="898" t="str">
        <f t="shared" si="285"/>
        <v/>
      </c>
      <c r="BU170" s="1539" t="str">
        <f>IFERROR(IF(AND(#REF!="",C170&lt;&gt;""),Valid!$E$123,VLOOKUP(#REF!,Valid!$B$123:$F$125,4,FALSE)),"")</f>
        <v/>
      </c>
      <c r="BV170" s="1539" t="str">
        <f>IFERROR(IF(AND(#REF!="",C170&lt;&gt;""),Valid!$F$123,VLOOKUP(#REF!,Valid!$B$123:$F$125,5,FALSE)),"")</f>
        <v/>
      </c>
      <c r="BW170" s="1539" t="str">
        <f>IFERROR(VLOOKUP('A-70 RevVehInv'!S170,Valid!$B$99:$I$120,7), "")</f>
        <v/>
      </c>
      <c r="BX170" s="1539" t="str">
        <f>IFERROR(VLOOKUP(O170,Valid!$B$99:$I$120,8), "")</f>
        <v/>
      </c>
      <c r="BY170" s="1531"/>
    </row>
    <row r="171" spans="1:77" s="930" customFormat="1" x14ac:dyDescent="0.2">
      <c r="A171" s="206">
        <v>80</v>
      </c>
      <c r="B171" s="1530">
        <v>80</v>
      </c>
      <c r="C171" s="933"/>
      <c r="D171" s="719" t="str">
        <f>IF(C169="","",IF((C171=""),"Enter RVI ID. then Fill in Columns "&amp;TEXT($I$2,0)&amp;" - "&amp;TEXT($AI$2,0)&amp;"       ",""))</f>
        <v/>
      </c>
      <c r="E171" s="1056" t="str">
        <f>IF(AP171="N/A","",AP171)</f>
        <v/>
      </c>
      <c r="F171" s="1536"/>
      <c r="G171" s="1536"/>
      <c r="H171" s="1536"/>
      <c r="I171" s="1023"/>
      <c r="J171" s="1536" t="str">
        <f>IF(E171&lt;&gt;"","Vehicles?    ","")</f>
        <v/>
      </c>
      <c r="K171" s="1023"/>
      <c r="L171" s="1536" t="str">
        <f>IF(E171&lt;&gt;"","Active Vehicles?     ","")</f>
        <v/>
      </c>
      <c r="M171" s="1023"/>
      <c r="N171" s="894"/>
      <c r="O171" s="1153"/>
      <c r="P171" s="252" t="str">
        <f>IF(E171&lt;&gt;"","Select from Pull-Down List    ","")</f>
        <v/>
      </c>
      <c r="Q171" s="933"/>
      <c r="R171" s="252" t="str">
        <f>IF(E171&lt;&gt;"","Select from Pull-Down List    ","")</f>
        <v/>
      </c>
      <c r="S171" s="1766" t="str">
        <f t="shared" si="276"/>
        <v/>
      </c>
      <c r="T171" s="252"/>
      <c r="U171" s="1988"/>
      <c r="V171" s="252" t="str">
        <f t="shared" si="277"/>
        <v/>
      </c>
      <c r="W171" s="139"/>
      <c r="X171" s="252" t="str">
        <f>IF(E171&lt;&gt;"","Mfg. Yr?    ","")</f>
        <v/>
      </c>
      <c r="Y171" s="1974" t="str">
        <f t="shared" si="286"/>
        <v/>
      </c>
      <c r="Z171" s="252"/>
      <c r="AA171" s="1986" t="str">
        <f t="shared" si="287"/>
        <v/>
      </c>
      <c r="AB171" s="252" t="str">
        <f>IF(E171&lt;&gt;"","Select from Pull-Down List    ","")</f>
        <v/>
      </c>
      <c r="AC171" s="1023"/>
      <c r="AD171" s="252" t="str">
        <f>IF(E171&lt;&gt;"","Feet?    ","")</f>
        <v/>
      </c>
      <c r="AE171" s="1023"/>
      <c r="AF171" s="252" t="str">
        <f>IF(E171&lt;&gt;"","Mileage?       ","")</f>
        <v/>
      </c>
      <c r="AG171" s="1023"/>
      <c r="AH171" s="252" t="str">
        <f>IF(E171&lt;&gt;"","Avg. Lifetime Mileage? ","")</f>
        <v/>
      </c>
      <c r="AI171" s="933"/>
      <c r="AJ171" s="252" t="str">
        <f>IF(E171&lt;&gt;"","Select from Pull-Down List    ","")</f>
        <v/>
      </c>
      <c r="AK171" s="171"/>
      <c r="AL171" s="252"/>
      <c r="AM171" s="894"/>
      <c r="AN171" s="894"/>
      <c r="AO171" s="894" t="b">
        <f>IF(AND(C171="",C173&lt;&gt;""),TRUE,FALSE)</f>
        <v>0</v>
      </c>
      <c r="AP171" s="888" t="str">
        <f t="shared" ref="AP171" si="345">IF(AND(C171&lt;&gt;"",OR(I171="",K171="",M171="",O171="",Q171="",W171="",AC171="",AE171="",AG171="")),"No",IF(AND(C171="",OR(I171&lt;&gt;"",K171&lt;&gt;"",M171&lt;&gt;"",O171&lt;&gt;"",Q171&lt;&gt;"",W171&lt;&gt;"",AC171&lt;&gt;"",AE171&lt;&gt;"",AG171&lt;&gt;"",AI171&lt;&gt;"",AK171&lt;&gt;"")),"No",IF(AND(C171="",I171="",K171="",M171="",O171="",Q171="",W171="",AC171="",AE171="",AG171="",AI171=""),"N/A","Yes")))</f>
        <v>N/A</v>
      </c>
      <c r="AQ171" s="898"/>
      <c r="AR171" s="899" t="b">
        <f t="shared" ref="AR171" si="346">IF(AND(OR(I171&lt;&gt;"",K171&lt;&gt;"",M171&lt;&gt;"",O171&lt;&gt;"",Q171&lt;&gt;"",W171&lt;&gt;"",AC171&lt;&gt;"",AE171&lt;&gt;"",AG171&lt;&gt;"",AI171&lt;&gt;"",AK171&lt;&gt;""),C171=""),TRUE,FALSE)</f>
        <v>0</v>
      </c>
      <c r="AS171" s="898" t="b">
        <f t="shared" ref="AS171" si="347">IF(AT171=TRUE,FALSE,IF(SUM(K171)&gt;I171,TRUE,FALSE))</f>
        <v>0</v>
      </c>
      <c r="AT171" s="899" t="b">
        <f>IF(AND(C171&lt;&gt;"",I171=""),TRUE,FALSE)</f>
        <v>0</v>
      </c>
      <c r="AU171" s="898" t="b">
        <f>IF(AV171=TRUE,FALSE,IF(M171&gt;K171,TRUE,FALSE))</f>
        <v>0</v>
      </c>
      <c r="AV171" s="899" t="b">
        <f>IF(AND($C171&lt;&gt;"",K171=""),TRUE,FALSE)</f>
        <v>0</v>
      </c>
      <c r="AW171" s="898"/>
      <c r="AX171" s="899" t="b">
        <f>IF(AND($C171&lt;&gt;"",M171=""),TRUE,FALSE)</f>
        <v>0</v>
      </c>
      <c r="AY171" s="898" t="b">
        <f t="shared" ref="AY171" si="348">IF(AND(O171="",OR(Q171&lt;&gt;"",W171&lt;&gt;"",AC171&lt;&gt;"",AE171&lt;&gt;"",AG171&lt;&gt;"",AI171&lt;&gt;"")),TRUE,FALSE)</f>
        <v>0</v>
      </c>
      <c r="AZ171" s="899" t="b">
        <f>IF(AND($C171&lt;&gt;"",O171=""),TRUE,FALSE)</f>
        <v>0</v>
      </c>
      <c r="BA171" s="898"/>
      <c r="BB171" s="899" t="b">
        <f>IF(AND($C171&lt;&gt;"",Q171=""),TRUE,FALSE)</f>
        <v>0</v>
      </c>
      <c r="BC171" s="1537" t="b">
        <f>IF(BD171=TRUE,FALSE,IF(W171="",FALSE,IF(OR(W171&lt;BO171,W171&gt;BaseYear),TRUE,FALSE)))</f>
        <v>0</v>
      </c>
      <c r="BD171" s="899" t="b">
        <f>IF(AND($C171&lt;&gt;"",W171=""),TRUE,FALSE)</f>
        <v>0</v>
      </c>
      <c r="BE171" s="1537"/>
      <c r="BF171" s="899" t="b">
        <f>IF(AND($C171&lt;&gt;"",AC171=""),TRUE,FALSE)</f>
        <v>0</v>
      </c>
      <c r="BG171" s="898"/>
      <c r="BH171" s="899" t="b">
        <f>IF(AND($C171&lt;&gt;"",AE171=""),TRUE,FALSE)</f>
        <v>0</v>
      </c>
      <c r="BI171" s="898"/>
      <c r="BJ171" s="899" t="b">
        <f>IF(AND($C171&lt;&gt;"",AG171=""),TRUE,FALSE)</f>
        <v>0</v>
      </c>
      <c r="BK171" s="898"/>
      <c r="BL171" s="898" t="b">
        <f>IF(AND($C171&lt;&gt;"",AI171=""),TRUE,FALSE)</f>
        <v>0</v>
      </c>
      <c r="BM171" s="894"/>
      <c r="BN171" s="898" t="str">
        <f t="shared" si="282"/>
        <v/>
      </c>
      <c r="BO171" s="898" t="str">
        <f>IFERROR(IF(AND(O171="",O171&lt;&gt;""),1913,VLOOKUP(O171,Valid!$B$99:$J$120,9)),"")</f>
        <v/>
      </c>
      <c r="BP171" s="898" t="str">
        <f t="shared" ca="1" si="283"/>
        <v/>
      </c>
      <c r="BQ171" s="1547" t="str">
        <f t="shared" ca="1" si="288"/>
        <v/>
      </c>
      <c r="BR171" s="898" t="str">
        <f ca="1">IF(BQ171="", "", IF(1+(BQ171*4)&lt;1, 1, 1+(BQ171*4)))</f>
        <v/>
      </c>
      <c r="BS171" s="898" t="str">
        <f t="shared" si="284"/>
        <v/>
      </c>
      <c r="BT171" s="898" t="str">
        <f t="shared" si="285"/>
        <v/>
      </c>
      <c r="BU171" s="1539" t="str">
        <f>IFERROR(IF(AND(#REF!="",C171&lt;&gt;""),Valid!$E$123,VLOOKUP(#REF!,Valid!$B$123:$F$125,4,FALSE)),"")</f>
        <v/>
      </c>
      <c r="BV171" s="1539" t="str">
        <f>IFERROR(IF(AND(#REF!="",C171&lt;&gt;""),Valid!$F$123,VLOOKUP(#REF!,Valid!$B$123:$F$125,5,FALSE)),"")</f>
        <v/>
      </c>
      <c r="BW171" s="1539" t="str">
        <f>IFERROR(VLOOKUP('A-70 RevVehInv'!S171,Valid!$B$99:$I$120,7), "")</f>
        <v/>
      </c>
      <c r="BX171" s="1539" t="str">
        <f>IFERROR(VLOOKUP(O171,Valid!$B$99:$I$120,8), "")</f>
        <v/>
      </c>
      <c r="BY171" s="894"/>
    </row>
    <row r="172" spans="1:77" ht="6.75" customHeight="1" x14ac:dyDescent="0.2">
      <c r="A172" s="1517"/>
      <c r="B172" s="1530">
        <v>80.5</v>
      </c>
      <c r="C172" s="1544"/>
      <c r="D172" s="905"/>
      <c r="E172" s="1545"/>
      <c r="F172" s="905"/>
      <c r="G172" s="905"/>
      <c r="H172" s="905"/>
      <c r="I172" s="1531"/>
      <c r="J172" s="905"/>
      <c r="K172" s="1531"/>
      <c r="L172" s="905"/>
      <c r="M172" s="1531"/>
      <c r="N172" s="1531"/>
      <c r="O172" s="1533"/>
      <c r="P172" s="905"/>
      <c r="Q172" s="1533"/>
      <c r="R172" s="905"/>
      <c r="S172" s="1531" t="str">
        <f t="shared" si="276"/>
        <v/>
      </c>
      <c r="T172" s="905"/>
      <c r="U172" s="1531"/>
      <c r="V172" s="252" t="str">
        <f t="shared" si="277"/>
        <v/>
      </c>
      <c r="W172" s="1531"/>
      <c r="X172" s="905"/>
      <c r="Y172" s="1971" t="str">
        <f t="shared" si="286"/>
        <v/>
      </c>
      <c r="Z172" s="905"/>
      <c r="AA172" s="1983" t="str">
        <f t="shared" si="287"/>
        <v/>
      </c>
      <c r="AB172" s="1531"/>
      <c r="AC172" s="1531"/>
      <c r="AD172" s="1531"/>
      <c r="AE172" s="1531"/>
      <c r="AF172" s="1531"/>
      <c r="AG172" s="1534"/>
      <c r="AH172" s="1531"/>
      <c r="AI172" s="1546"/>
      <c r="AJ172" s="1531"/>
      <c r="AK172" s="1531"/>
      <c r="AL172" s="1531"/>
      <c r="AM172" s="1531"/>
      <c r="AN172" s="1531"/>
      <c r="AO172" s="1531"/>
      <c r="AP172" s="1531"/>
      <c r="AQ172" s="1535"/>
      <c r="AR172" s="1534"/>
      <c r="AS172" s="1535"/>
      <c r="AT172" s="1534"/>
      <c r="AU172" s="1535"/>
      <c r="AV172" s="1534"/>
      <c r="AW172" s="1535"/>
      <c r="AX172" s="1534"/>
      <c r="AY172" s="1535"/>
      <c r="AZ172" s="1534"/>
      <c r="BA172" s="1535"/>
      <c r="BB172" s="1534"/>
      <c r="BC172" s="1535"/>
      <c r="BD172" s="1534"/>
      <c r="BE172" s="1535"/>
      <c r="BF172" s="1534"/>
      <c r="BG172" s="1535"/>
      <c r="BH172" s="1534"/>
      <c r="BI172" s="1535"/>
      <c r="BJ172" s="1534"/>
      <c r="BK172" s="1535"/>
      <c r="BL172" s="1535"/>
      <c r="BM172" s="1531"/>
      <c r="BN172" s="898" t="str">
        <f t="shared" si="282"/>
        <v/>
      </c>
      <c r="BO172" s="898" t="str">
        <f>IFERROR(IF(AND(O172="",O172&lt;&gt;""),1913,VLOOKUP(O172,Valid!$B$99:$J$120,9)),"")</f>
        <v/>
      </c>
      <c r="BP172" s="898" t="str">
        <f t="shared" ca="1" si="283"/>
        <v/>
      </c>
      <c r="BQ172" s="1547" t="str">
        <f t="shared" ca="1" si="288"/>
        <v/>
      </c>
      <c r="BR172" s="898"/>
      <c r="BS172" s="898" t="str">
        <f t="shared" si="284"/>
        <v/>
      </c>
      <c r="BT172" s="898" t="str">
        <f t="shared" si="285"/>
        <v/>
      </c>
      <c r="BU172" s="1539" t="str">
        <f>IFERROR(IF(AND(#REF!="",C172&lt;&gt;""),Valid!$E$123,VLOOKUP(#REF!,Valid!$B$123:$F$125,4,FALSE)),"")</f>
        <v/>
      </c>
      <c r="BV172" s="1539" t="str">
        <f>IFERROR(IF(AND(#REF!="",C172&lt;&gt;""),Valid!$F$123,VLOOKUP(#REF!,Valid!$B$123:$F$125,5,FALSE)),"")</f>
        <v/>
      </c>
      <c r="BW172" s="1539" t="str">
        <f>IFERROR(VLOOKUP('A-70 RevVehInv'!S172,Valid!$B$99:$I$120,7), "")</f>
        <v/>
      </c>
      <c r="BX172" s="1539" t="str">
        <f>IFERROR(VLOOKUP(O172,Valid!$B$99:$I$120,8), "")</f>
        <v/>
      </c>
      <c r="BY172" s="1531"/>
    </row>
    <row r="173" spans="1:77" s="930" customFormat="1" x14ac:dyDescent="0.2">
      <c r="A173" s="206">
        <v>81</v>
      </c>
      <c r="B173" s="1530">
        <v>81</v>
      </c>
      <c r="C173" s="933"/>
      <c r="D173" s="719" t="str">
        <f>IF(C171="","",IF((C173=""),"Enter RVI ID. then Fill in Columns "&amp;TEXT($I$2,0)&amp;" - "&amp;TEXT($AI$2,0)&amp;"       ",""))</f>
        <v/>
      </c>
      <c r="E173" s="1056" t="str">
        <f>IF(AP173="N/A","",AP173)</f>
        <v/>
      </c>
      <c r="F173" s="1536"/>
      <c r="G173" s="1536"/>
      <c r="H173" s="1536"/>
      <c r="I173" s="1023"/>
      <c r="J173" s="1536" t="str">
        <f>IF(E173&lt;&gt;"","Vehicles?    ","")</f>
        <v/>
      </c>
      <c r="K173" s="1023"/>
      <c r="L173" s="1536" t="str">
        <f>IF(E173&lt;&gt;"","Active Vehicles?     ","")</f>
        <v/>
      </c>
      <c r="M173" s="1023"/>
      <c r="N173" s="894"/>
      <c r="O173" s="1153"/>
      <c r="P173" s="252" t="str">
        <f>IF(E173&lt;&gt;"","Select from Pull-Down List    ","")</f>
        <v/>
      </c>
      <c r="Q173" s="933"/>
      <c r="R173" s="252" t="str">
        <f>IF(E173&lt;&gt;"","Select from Pull-Down List    ","")</f>
        <v/>
      </c>
      <c r="S173" s="1766" t="str">
        <f t="shared" si="276"/>
        <v/>
      </c>
      <c r="T173" s="252"/>
      <c r="U173" s="1988"/>
      <c r="V173" s="252" t="str">
        <f t="shared" ref="V173:V204" si="349">IF(E173&lt;&gt;"","Service Yrs?    ","")</f>
        <v/>
      </c>
      <c r="W173" s="139"/>
      <c r="X173" s="252" t="str">
        <f>IF(E173&lt;&gt;"","Mfg. Yr?    ","")</f>
        <v/>
      </c>
      <c r="Y173" s="1974" t="str">
        <f t="shared" si="286"/>
        <v/>
      </c>
      <c r="Z173" s="252"/>
      <c r="AA173" s="1986" t="str">
        <f t="shared" si="287"/>
        <v/>
      </c>
      <c r="AB173" s="252" t="str">
        <f>IF(E173&lt;&gt;"","Select from Pull-Down List    ","")</f>
        <v/>
      </c>
      <c r="AC173" s="1023"/>
      <c r="AD173" s="252" t="str">
        <f>IF(E173&lt;&gt;"","Feet?    ","")</f>
        <v/>
      </c>
      <c r="AE173" s="1023"/>
      <c r="AF173" s="252" t="str">
        <f>IF(E173&lt;&gt;"","Mileage?       ","")</f>
        <v/>
      </c>
      <c r="AG173" s="1023"/>
      <c r="AH173" s="252" t="str">
        <f>IF(E173&lt;&gt;"","Avg. Lifetime Mileage? ","")</f>
        <v/>
      </c>
      <c r="AI173" s="933"/>
      <c r="AJ173" s="252" t="str">
        <f>IF(E173&lt;&gt;"","Select from Pull-Down List    ","")</f>
        <v/>
      </c>
      <c r="AK173" s="171"/>
      <c r="AL173" s="252"/>
      <c r="AM173" s="894"/>
      <c r="AN173" s="894"/>
      <c r="AO173" s="894" t="b">
        <f>IF(AND(C173="",C175&lt;&gt;""),TRUE,FALSE)</f>
        <v>0</v>
      </c>
      <c r="AP173" s="888" t="str">
        <f t="shared" ref="AP173" si="350">IF(AND(C173&lt;&gt;"",OR(I173="",K173="",M173="",O173="",Q173="",W173="",AC173="",AE173="",AG173="")),"No",IF(AND(C173="",OR(I173&lt;&gt;"",K173&lt;&gt;"",M173&lt;&gt;"",O173&lt;&gt;"",Q173&lt;&gt;"",W173&lt;&gt;"",AC173&lt;&gt;"",AE173&lt;&gt;"",AG173&lt;&gt;"",AI173&lt;&gt;"",AK173&lt;&gt;"")),"No",IF(AND(C173="",I173="",K173="",M173="",O173="",Q173="",W173="",AC173="",AE173="",AG173="",AI173=""),"N/A","Yes")))</f>
        <v>N/A</v>
      </c>
      <c r="AQ173" s="898"/>
      <c r="AR173" s="899" t="b">
        <f t="shared" ref="AR173" si="351">IF(AND(OR(I173&lt;&gt;"",K173&lt;&gt;"",M173&lt;&gt;"",O173&lt;&gt;"",Q173&lt;&gt;"",W173&lt;&gt;"",AC173&lt;&gt;"",AE173&lt;&gt;"",AG173&lt;&gt;"",AI173&lt;&gt;"",AK173&lt;&gt;""),C173=""),TRUE,FALSE)</f>
        <v>0</v>
      </c>
      <c r="AS173" s="898" t="b">
        <f t="shared" ref="AS173" si="352">IF(AT173=TRUE,FALSE,IF(SUM(K173)&gt;I173,TRUE,FALSE))</f>
        <v>0</v>
      </c>
      <c r="AT173" s="899" t="b">
        <f>IF(AND(C173&lt;&gt;"",I173=""),TRUE,FALSE)</f>
        <v>0</v>
      </c>
      <c r="AU173" s="898" t="b">
        <f>IF(AV173=TRUE,FALSE,IF(M173&gt;K173,TRUE,FALSE))</f>
        <v>0</v>
      </c>
      <c r="AV173" s="899" t="b">
        <f>IF(AND($C173&lt;&gt;"",K173=""),TRUE,FALSE)</f>
        <v>0</v>
      </c>
      <c r="AW173" s="898"/>
      <c r="AX173" s="899" t="b">
        <f>IF(AND($C173&lt;&gt;"",M173=""),TRUE,FALSE)</f>
        <v>0</v>
      </c>
      <c r="AY173" s="898" t="b">
        <f t="shared" ref="AY173" si="353">IF(AND(O173="",OR(Q173&lt;&gt;"",W173&lt;&gt;"",AC173&lt;&gt;"",AE173&lt;&gt;"",AG173&lt;&gt;"",AI173&lt;&gt;"")),TRUE,FALSE)</f>
        <v>0</v>
      </c>
      <c r="AZ173" s="899" t="b">
        <f>IF(AND($C173&lt;&gt;"",O173=""),TRUE,FALSE)</f>
        <v>0</v>
      </c>
      <c r="BA173" s="898"/>
      <c r="BB173" s="899" t="b">
        <f>IF(AND($C173&lt;&gt;"",Q173=""),TRUE,FALSE)</f>
        <v>0</v>
      </c>
      <c r="BC173" s="1537" t="b">
        <f>IF(BD173=TRUE,FALSE,IF(W173="",FALSE,IF(OR(W173&lt;BO173,W173&gt;BaseYear),TRUE,FALSE)))</f>
        <v>0</v>
      </c>
      <c r="BD173" s="899" t="b">
        <f>IF(AND($C173&lt;&gt;"",W173=""),TRUE,FALSE)</f>
        <v>0</v>
      </c>
      <c r="BE173" s="1537"/>
      <c r="BF173" s="899" t="b">
        <f>IF(AND($C173&lt;&gt;"",AC173=""),TRUE,FALSE)</f>
        <v>0</v>
      </c>
      <c r="BG173" s="898"/>
      <c r="BH173" s="899" t="b">
        <f>IF(AND($C173&lt;&gt;"",AE173=""),TRUE,FALSE)</f>
        <v>0</v>
      </c>
      <c r="BI173" s="898"/>
      <c r="BJ173" s="899" t="b">
        <f>IF(AND($C173&lt;&gt;"",AG173=""),TRUE,FALSE)</f>
        <v>0</v>
      </c>
      <c r="BK173" s="898"/>
      <c r="BL173" s="898" t="b">
        <f>IF(AND($C173&lt;&gt;"",AI173=""),TRUE,FALSE)</f>
        <v>0</v>
      </c>
      <c r="BM173" s="894"/>
      <c r="BN173" s="898" t="str">
        <f t="shared" si="282"/>
        <v/>
      </c>
      <c r="BO173" s="898" t="str">
        <f>IFERROR(IF(AND(O173="",O173&lt;&gt;""),1913,VLOOKUP(O173,Valid!$B$99:$J$120,9)),"")</f>
        <v/>
      </c>
      <c r="BP173" s="898" t="str">
        <f t="shared" ref="BP173:BP204" ca="1" si="354">IF(W173="", "", YEAR(TODAY())-W173)</f>
        <v/>
      </c>
      <c r="BQ173" s="1547" t="str">
        <f t="shared" ca="1" si="288"/>
        <v/>
      </c>
      <c r="BR173" s="898" t="str">
        <f ca="1">IF(BQ173="", "", IF(1+(BQ173*4)&lt;1, 1, 1+(BQ173*4)))</f>
        <v/>
      </c>
      <c r="BS173" s="898" t="str">
        <f t="shared" si="284"/>
        <v/>
      </c>
      <c r="BT173" s="898" t="str">
        <f t="shared" si="285"/>
        <v/>
      </c>
      <c r="BU173" s="1539" t="str">
        <f>IFERROR(IF(AND(#REF!="",C173&lt;&gt;""),Valid!$E$123,VLOOKUP(#REF!,Valid!$B$123:$F$125,4,FALSE)),"")</f>
        <v/>
      </c>
      <c r="BV173" s="1539" t="str">
        <f>IFERROR(IF(AND(#REF!="",C173&lt;&gt;""),Valid!$F$123,VLOOKUP(#REF!,Valid!$B$123:$F$125,5,FALSE)),"")</f>
        <v/>
      </c>
      <c r="BW173" s="1539" t="str">
        <f>IFERROR(VLOOKUP('A-70 RevVehInv'!S173,Valid!$B$99:$I$120,7), "")</f>
        <v/>
      </c>
      <c r="BX173" s="1539" t="str">
        <f>IFERROR(VLOOKUP(O173,Valid!$B$99:$I$120,8), "")</f>
        <v/>
      </c>
      <c r="BY173" s="894"/>
    </row>
    <row r="174" spans="1:77" ht="6.75" customHeight="1" x14ac:dyDescent="0.2">
      <c r="A174" s="1516"/>
      <c r="B174" s="1530">
        <v>81.5</v>
      </c>
      <c r="C174" s="1540"/>
      <c r="D174" s="905"/>
      <c r="E174" s="1541"/>
      <c r="F174" s="905"/>
      <c r="G174" s="905"/>
      <c r="H174" s="905"/>
      <c r="I174" s="1534"/>
      <c r="J174" s="905"/>
      <c r="K174" s="1534"/>
      <c r="L174" s="905"/>
      <c r="M174" s="1534"/>
      <c r="N174" s="1531"/>
      <c r="O174" s="1542"/>
      <c r="P174" s="905"/>
      <c r="Q174" s="1542"/>
      <c r="R174" s="905"/>
      <c r="S174" s="1534" t="str">
        <f t="shared" si="276"/>
        <v/>
      </c>
      <c r="T174" s="905"/>
      <c r="U174" s="1534"/>
      <c r="V174" s="252" t="str">
        <f t="shared" si="349"/>
        <v/>
      </c>
      <c r="W174" s="1534"/>
      <c r="X174" s="905"/>
      <c r="Y174" s="1973" t="str">
        <f t="shared" si="286"/>
        <v/>
      </c>
      <c r="Z174" s="905"/>
      <c r="AA174" s="1985" t="str">
        <f t="shared" si="287"/>
        <v/>
      </c>
      <c r="AB174" s="1531"/>
      <c r="AC174" s="1534"/>
      <c r="AD174" s="1531"/>
      <c r="AE174" s="1534"/>
      <c r="AF174" s="1531"/>
      <c r="AG174" s="1534"/>
      <c r="AH174" s="1531"/>
      <c r="AI174" s="1543"/>
      <c r="AJ174" s="1531"/>
      <c r="AK174" s="1534"/>
      <c r="AL174" s="1531"/>
      <c r="AM174" s="1531"/>
      <c r="AN174" s="1531"/>
      <c r="AO174" s="1531"/>
      <c r="AP174" s="1531"/>
      <c r="AQ174" s="1535"/>
      <c r="AR174" s="1534"/>
      <c r="AS174" s="1535"/>
      <c r="AT174" s="1534"/>
      <c r="AU174" s="1535"/>
      <c r="AV174" s="1534"/>
      <c r="AW174" s="1535"/>
      <c r="AX174" s="1534"/>
      <c r="AY174" s="1535"/>
      <c r="AZ174" s="1534"/>
      <c r="BA174" s="1535"/>
      <c r="BB174" s="1534"/>
      <c r="BC174" s="1535"/>
      <c r="BD174" s="1534"/>
      <c r="BE174" s="1535"/>
      <c r="BF174" s="1534"/>
      <c r="BG174" s="1535"/>
      <c r="BH174" s="1534"/>
      <c r="BI174" s="1535"/>
      <c r="BJ174" s="1534"/>
      <c r="BK174" s="1535"/>
      <c r="BL174" s="1535"/>
      <c r="BM174" s="1531"/>
      <c r="BN174" s="898" t="str">
        <f t="shared" si="282"/>
        <v/>
      </c>
      <c r="BO174" s="898" t="str">
        <f>IFERROR(IF(AND(O174="",O174&lt;&gt;""),1913,VLOOKUP(O174,Valid!$B$99:$J$120,9)),"")</f>
        <v/>
      </c>
      <c r="BP174" s="898" t="str">
        <f t="shared" ca="1" si="354"/>
        <v/>
      </c>
      <c r="BQ174" s="1547" t="str">
        <f t="shared" ref="BQ174:BQ205" ca="1" si="355">IF(OR(BP174="", S174="",S174=0), "", 1+ (-1*(BP174/S174)))</f>
        <v/>
      </c>
      <c r="BR174" s="898"/>
      <c r="BS174" s="898" t="str">
        <f t="shared" si="284"/>
        <v/>
      </c>
      <c r="BT174" s="898" t="str">
        <f t="shared" si="285"/>
        <v/>
      </c>
      <c r="BU174" s="1539" t="str">
        <f>IFERROR(IF(AND(#REF!="",C174&lt;&gt;""),Valid!$E$123,VLOOKUP(#REF!,Valid!$B$123:$F$125,4,FALSE)),"")</f>
        <v/>
      </c>
      <c r="BV174" s="1539" t="str">
        <f>IFERROR(IF(AND(#REF!="",C174&lt;&gt;""),Valid!$F$123,VLOOKUP(#REF!,Valid!$B$123:$F$125,5,FALSE)),"")</f>
        <v/>
      </c>
      <c r="BW174" s="1539" t="str">
        <f>IFERROR(VLOOKUP('A-70 RevVehInv'!S174,Valid!$B$99:$I$120,7), "")</f>
        <v/>
      </c>
      <c r="BX174" s="1539" t="str">
        <f>IFERROR(VLOOKUP(O174,Valid!$B$99:$I$120,8), "")</f>
        <v/>
      </c>
      <c r="BY174" s="1531"/>
    </row>
    <row r="175" spans="1:77" s="930" customFormat="1" x14ac:dyDescent="0.2">
      <c r="A175" s="206">
        <v>82</v>
      </c>
      <c r="B175" s="1530">
        <v>82</v>
      </c>
      <c r="C175" s="933"/>
      <c r="D175" s="719" t="str">
        <f>IF(C173="","",IF((C175=""),"Enter RVI ID. then Fill in Columns "&amp;TEXT($I$2,0)&amp;" - "&amp;TEXT($AI$2,0)&amp;"       ",""))</f>
        <v/>
      </c>
      <c r="E175" s="1056" t="str">
        <f>IF(AP175="N/A","",AP175)</f>
        <v/>
      </c>
      <c r="F175" s="1536"/>
      <c r="G175" s="1536"/>
      <c r="H175" s="1536"/>
      <c r="I175" s="1023"/>
      <c r="J175" s="1536" t="str">
        <f>IF(E175&lt;&gt;"","Vehicles?    ","")</f>
        <v/>
      </c>
      <c r="K175" s="1023"/>
      <c r="L175" s="1536" t="str">
        <f>IF(E175&lt;&gt;"","Active Vehicles?     ","")</f>
        <v/>
      </c>
      <c r="M175" s="1023"/>
      <c r="N175" s="894"/>
      <c r="O175" s="1153"/>
      <c r="P175" s="252" t="str">
        <f>IF(E175&lt;&gt;"","Select from Pull-Down List    ","")</f>
        <v/>
      </c>
      <c r="Q175" s="933"/>
      <c r="R175" s="252" t="str">
        <f>IF(E175&lt;&gt;"","Select from Pull-Down List    ","")</f>
        <v/>
      </c>
      <c r="S175" s="1766" t="str">
        <f t="shared" si="276"/>
        <v/>
      </c>
      <c r="T175" s="252"/>
      <c r="U175" s="1988"/>
      <c r="V175" s="252" t="str">
        <f t="shared" si="349"/>
        <v/>
      </c>
      <c r="W175" s="139"/>
      <c r="X175" s="252" t="str">
        <f>IF(E175&lt;&gt;"","Mfg. Yr?    ","")</f>
        <v/>
      </c>
      <c r="Y175" s="1974" t="str">
        <f t="shared" si="286"/>
        <v/>
      </c>
      <c r="Z175" s="252"/>
      <c r="AA175" s="1986" t="str">
        <f t="shared" si="287"/>
        <v/>
      </c>
      <c r="AB175" s="252" t="str">
        <f>IF(E175&lt;&gt;"","Select from Pull-Down List    ","")</f>
        <v/>
      </c>
      <c r="AC175" s="1023"/>
      <c r="AD175" s="252" t="str">
        <f>IF(E175&lt;&gt;"","Feet?    ","")</f>
        <v/>
      </c>
      <c r="AE175" s="1023"/>
      <c r="AF175" s="252" t="str">
        <f>IF(E175&lt;&gt;"","Mileage?       ","")</f>
        <v/>
      </c>
      <c r="AG175" s="1023"/>
      <c r="AH175" s="252" t="str">
        <f>IF(E175&lt;&gt;"","Avg. Lifetime Mileage? ","")</f>
        <v/>
      </c>
      <c r="AI175" s="933"/>
      <c r="AJ175" s="252" t="str">
        <f>IF(E175&lt;&gt;"","Select from Pull-Down List    ","")</f>
        <v/>
      </c>
      <c r="AK175" s="171"/>
      <c r="AL175" s="252"/>
      <c r="AM175" s="894"/>
      <c r="AN175" s="894"/>
      <c r="AO175" s="894" t="b">
        <f>IF(AND(C175="",C177&lt;&gt;""),TRUE,FALSE)</f>
        <v>0</v>
      </c>
      <c r="AP175" s="888" t="str">
        <f t="shared" ref="AP175" si="356">IF(AND(C175&lt;&gt;"",OR(I175="",K175="",M175="",O175="",Q175="",W175="",AC175="",AE175="",AG175="")),"No",IF(AND(C175="",OR(I175&lt;&gt;"",K175&lt;&gt;"",M175&lt;&gt;"",O175&lt;&gt;"",Q175&lt;&gt;"",W175&lt;&gt;"",AC175&lt;&gt;"",AE175&lt;&gt;"",AG175&lt;&gt;"",AI175&lt;&gt;"",AK175&lt;&gt;"")),"No",IF(AND(C175="",I175="",K175="",M175="",O175="",Q175="",W175="",AC175="",AE175="",AG175="",AI175=""),"N/A","Yes")))</f>
        <v>N/A</v>
      </c>
      <c r="AQ175" s="898"/>
      <c r="AR175" s="899" t="b">
        <f t="shared" ref="AR175" si="357">IF(AND(OR(I175&lt;&gt;"",K175&lt;&gt;"",M175&lt;&gt;"",O175&lt;&gt;"",Q175&lt;&gt;"",W175&lt;&gt;"",AC175&lt;&gt;"",AE175&lt;&gt;"",AG175&lt;&gt;"",AI175&lt;&gt;"",AK175&lt;&gt;""),C175=""),TRUE,FALSE)</f>
        <v>0</v>
      </c>
      <c r="AS175" s="898" t="b">
        <f t="shared" ref="AS175" si="358">IF(AT175=TRUE,FALSE,IF(SUM(K175)&gt;I175,TRUE,FALSE))</f>
        <v>0</v>
      </c>
      <c r="AT175" s="899" t="b">
        <f>IF(AND(C175&lt;&gt;"",I175=""),TRUE,FALSE)</f>
        <v>0</v>
      </c>
      <c r="AU175" s="898" t="b">
        <f>IF(AV175=TRUE,FALSE,IF(M175&gt;K175,TRUE,FALSE))</f>
        <v>0</v>
      </c>
      <c r="AV175" s="899" t="b">
        <f>IF(AND($C175&lt;&gt;"",K175=""),TRUE,FALSE)</f>
        <v>0</v>
      </c>
      <c r="AW175" s="898"/>
      <c r="AX175" s="899" t="b">
        <f>IF(AND($C175&lt;&gt;"",M175=""),TRUE,FALSE)</f>
        <v>0</v>
      </c>
      <c r="AY175" s="898" t="b">
        <f t="shared" ref="AY175" si="359">IF(AND(O175="",OR(Q175&lt;&gt;"",W175&lt;&gt;"",AC175&lt;&gt;"",AE175&lt;&gt;"",AG175&lt;&gt;"",AI175&lt;&gt;"")),TRUE,FALSE)</f>
        <v>0</v>
      </c>
      <c r="AZ175" s="899" t="b">
        <f>IF(AND($C175&lt;&gt;"",O175=""),TRUE,FALSE)</f>
        <v>0</v>
      </c>
      <c r="BA175" s="898"/>
      <c r="BB175" s="899" t="b">
        <f>IF(AND($C175&lt;&gt;"",Q175=""),TRUE,FALSE)</f>
        <v>0</v>
      </c>
      <c r="BC175" s="1537" t="b">
        <f>IF(BD175=TRUE,FALSE,IF(W175="",FALSE,IF(OR(W175&lt;BO175,W175&gt;BaseYear),TRUE,FALSE)))</f>
        <v>0</v>
      </c>
      <c r="BD175" s="899" t="b">
        <f>IF(AND($C175&lt;&gt;"",W175=""),TRUE,FALSE)</f>
        <v>0</v>
      </c>
      <c r="BE175" s="1537"/>
      <c r="BF175" s="899" t="b">
        <f>IF(AND($C175&lt;&gt;"",AC175=""),TRUE,FALSE)</f>
        <v>0</v>
      </c>
      <c r="BG175" s="898"/>
      <c r="BH175" s="899" t="b">
        <f>IF(AND($C175&lt;&gt;"",AE175=""),TRUE,FALSE)</f>
        <v>0</v>
      </c>
      <c r="BI175" s="898"/>
      <c r="BJ175" s="899" t="b">
        <f>IF(AND($C175&lt;&gt;"",AG175=""),TRUE,FALSE)</f>
        <v>0</v>
      </c>
      <c r="BK175" s="898"/>
      <c r="BL175" s="898" t="b">
        <f>IF(AND($C175&lt;&gt;"",AI175=""),TRUE,FALSE)</f>
        <v>0</v>
      </c>
      <c r="BM175" s="894"/>
      <c r="BN175" s="898" t="str">
        <f t="shared" si="282"/>
        <v/>
      </c>
      <c r="BO175" s="898" t="str">
        <f>IFERROR(IF(AND(O175="",O175&lt;&gt;""),1913,VLOOKUP(O175,Valid!$B$99:$J$120,9)),"")</f>
        <v/>
      </c>
      <c r="BP175" s="898" t="str">
        <f t="shared" ca="1" si="354"/>
        <v/>
      </c>
      <c r="BQ175" s="1547" t="str">
        <f t="shared" ca="1" si="355"/>
        <v/>
      </c>
      <c r="BR175" s="898" t="str">
        <f ca="1">IF(BQ175="", "", IF(1+(BQ175*4)&lt;1, 1, 1+(BQ175*4)))</f>
        <v/>
      </c>
      <c r="BS175" s="898" t="str">
        <f t="shared" si="284"/>
        <v/>
      </c>
      <c r="BT175" s="898" t="str">
        <f t="shared" si="285"/>
        <v/>
      </c>
      <c r="BU175" s="1539" t="str">
        <f>IFERROR(IF(AND(#REF!="",C175&lt;&gt;""),Valid!$E$123,VLOOKUP(#REF!,Valid!$B$123:$F$125,4,FALSE)),"")</f>
        <v/>
      </c>
      <c r="BV175" s="1539" t="str">
        <f>IFERROR(IF(AND(#REF!="",C175&lt;&gt;""),Valid!$F$123,VLOOKUP(#REF!,Valid!$B$123:$F$125,5,FALSE)),"")</f>
        <v/>
      </c>
      <c r="BW175" s="1539" t="str">
        <f>IFERROR(VLOOKUP('A-70 RevVehInv'!S175,Valid!$B$99:$I$120,7), "")</f>
        <v/>
      </c>
      <c r="BX175" s="1539" t="str">
        <f>IFERROR(VLOOKUP(O175,Valid!$B$99:$I$120,8), "")</f>
        <v/>
      </c>
      <c r="BY175" s="894"/>
    </row>
    <row r="176" spans="1:77" ht="6.75" customHeight="1" x14ac:dyDescent="0.2">
      <c r="A176" s="1516"/>
      <c r="B176" s="1530">
        <v>82.5</v>
      </c>
      <c r="C176" s="1544"/>
      <c r="D176" s="905"/>
      <c r="E176" s="1545"/>
      <c r="F176" s="905"/>
      <c r="G176" s="905"/>
      <c r="H176" s="905"/>
      <c r="I176" s="1531"/>
      <c r="J176" s="905"/>
      <c r="K176" s="1531"/>
      <c r="L176" s="905"/>
      <c r="M176" s="1531"/>
      <c r="N176" s="1531"/>
      <c r="O176" s="1533"/>
      <c r="P176" s="905"/>
      <c r="Q176" s="1533"/>
      <c r="R176" s="905"/>
      <c r="S176" s="1531" t="str">
        <f t="shared" si="276"/>
        <v/>
      </c>
      <c r="T176" s="905"/>
      <c r="U176" s="1531"/>
      <c r="V176" s="252" t="str">
        <f t="shared" si="349"/>
        <v/>
      </c>
      <c r="W176" s="1531"/>
      <c r="X176" s="905"/>
      <c r="Y176" s="1971" t="str">
        <f t="shared" si="286"/>
        <v/>
      </c>
      <c r="Z176" s="905"/>
      <c r="AA176" s="1983" t="str">
        <f t="shared" si="287"/>
        <v/>
      </c>
      <c r="AB176" s="1531"/>
      <c r="AC176" s="1531"/>
      <c r="AD176" s="1531"/>
      <c r="AE176" s="1531"/>
      <c r="AF176" s="1531"/>
      <c r="AG176" s="1534"/>
      <c r="AH176" s="1531"/>
      <c r="AI176" s="1546"/>
      <c r="AJ176" s="1531"/>
      <c r="AK176" s="1531"/>
      <c r="AL176" s="1531"/>
      <c r="AM176" s="1531"/>
      <c r="AN176" s="1531"/>
      <c r="AO176" s="1531"/>
      <c r="AP176" s="1531"/>
      <c r="AQ176" s="1535"/>
      <c r="AR176" s="1534"/>
      <c r="AS176" s="1535"/>
      <c r="AT176" s="1534"/>
      <c r="AU176" s="1535"/>
      <c r="AV176" s="1534"/>
      <c r="AW176" s="1535"/>
      <c r="AX176" s="1534"/>
      <c r="AY176" s="1535"/>
      <c r="AZ176" s="1534"/>
      <c r="BA176" s="1535"/>
      <c r="BB176" s="1534"/>
      <c r="BC176" s="1535"/>
      <c r="BD176" s="1534"/>
      <c r="BE176" s="1535"/>
      <c r="BF176" s="1534"/>
      <c r="BG176" s="1535"/>
      <c r="BH176" s="1534"/>
      <c r="BI176" s="1535"/>
      <c r="BJ176" s="1534"/>
      <c r="BK176" s="1535"/>
      <c r="BL176" s="1535"/>
      <c r="BM176" s="1531"/>
      <c r="BN176" s="898" t="str">
        <f t="shared" si="282"/>
        <v/>
      </c>
      <c r="BO176" s="898" t="str">
        <f>IFERROR(IF(AND(O176="",O176&lt;&gt;""),1913,VLOOKUP(O176,Valid!$B$99:$J$120,9)),"")</f>
        <v/>
      </c>
      <c r="BP176" s="898" t="str">
        <f t="shared" ca="1" si="354"/>
        <v/>
      </c>
      <c r="BQ176" s="1547" t="str">
        <f t="shared" ca="1" si="355"/>
        <v/>
      </c>
      <c r="BR176" s="898"/>
      <c r="BS176" s="898" t="str">
        <f t="shared" si="284"/>
        <v/>
      </c>
      <c r="BT176" s="898" t="str">
        <f t="shared" si="285"/>
        <v/>
      </c>
      <c r="BU176" s="1539" t="str">
        <f>IFERROR(IF(AND(#REF!="",C176&lt;&gt;""),Valid!$E$123,VLOOKUP(#REF!,Valid!$B$123:$F$125,4,FALSE)),"")</f>
        <v/>
      </c>
      <c r="BV176" s="1539" t="str">
        <f>IFERROR(IF(AND(#REF!="",C176&lt;&gt;""),Valid!$F$123,VLOOKUP(#REF!,Valid!$B$123:$F$125,5,FALSE)),"")</f>
        <v/>
      </c>
      <c r="BW176" s="1539" t="str">
        <f>IFERROR(VLOOKUP('A-70 RevVehInv'!S176,Valid!$B$99:$I$120,7), "")</f>
        <v/>
      </c>
      <c r="BX176" s="1539" t="str">
        <f>IFERROR(VLOOKUP(O176,Valid!$B$99:$I$120,8), "")</f>
        <v/>
      </c>
      <c r="BY176" s="1531"/>
    </row>
    <row r="177" spans="1:77" s="930" customFormat="1" x14ac:dyDescent="0.2">
      <c r="A177" s="206">
        <v>83</v>
      </c>
      <c r="B177" s="1530">
        <v>83</v>
      </c>
      <c r="C177" s="933"/>
      <c r="D177" s="719" t="str">
        <f>IF(C175="","",IF((C177=""),"Enter RVI ID. then Fill in Columns "&amp;TEXT($I$2,0)&amp;" - "&amp;TEXT($AI$2,0)&amp;"       ",""))</f>
        <v/>
      </c>
      <c r="E177" s="1056" t="str">
        <f>IF(AP177="N/A","",AP177)</f>
        <v/>
      </c>
      <c r="F177" s="1536"/>
      <c r="G177" s="1536"/>
      <c r="H177" s="1536"/>
      <c r="I177" s="1023"/>
      <c r="J177" s="1536" t="str">
        <f>IF(E177&lt;&gt;"","Vehicles?    ","")</f>
        <v/>
      </c>
      <c r="K177" s="1023"/>
      <c r="L177" s="1536" t="str">
        <f>IF(E177&lt;&gt;"","Active Vehicles?     ","")</f>
        <v/>
      </c>
      <c r="M177" s="1023"/>
      <c r="N177" s="894"/>
      <c r="O177" s="1153"/>
      <c r="P177" s="252" t="str">
        <f>IF(E177&lt;&gt;"","Select from Pull-Down List    ","")</f>
        <v/>
      </c>
      <c r="Q177" s="933"/>
      <c r="R177" s="252" t="str">
        <f>IF(E177&lt;&gt;"","Select from Pull-Down List    ","")</f>
        <v/>
      </c>
      <c r="S177" s="1766" t="str">
        <f t="shared" si="276"/>
        <v/>
      </c>
      <c r="T177" s="252"/>
      <c r="U177" s="1988"/>
      <c r="V177" s="252" t="str">
        <f t="shared" si="349"/>
        <v/>
      </c>
      <c r="W177" s="139"/>
      <c r="X177" s="252" t="str">
        <f>IF(E177&lt;&gt;"","Mfg. Yr?    ","")</f>
        <v/>
      </c>
      <c r="Y177" s="1974" t="str">
        <f t="shared" si="286"/>
        <v/>
      </c>
      <c r="Z177" s="252"/>
      <c r="AA177" s="1986" t="str">
        <f t="shared" si="287"/>
        <v/>
      </c>
      <c r="AB177" s="252" t="str">
        <f>IF(E177&lt;&gt;"","Select from Pull-Down List    ","")</f>
        <v/>
      </c>
      <c r="AC177" s="1023"/>
      <c r="AD177" s="252" t="str">
        <f>IF(E177&lt;&gt;"","Feet?    ","")</f>
        <v/>
      </c>
      <c r="AE177" s="1023"/>
      <c r="AF177" s="252" t="str">
        <f>IF(E177&lt;&gt;"","Mileage?       ","")</f>
        <v/>
      </c>
      <c r="AG177" s="1023"/>
      <c r="AH177" s="252" t="str">
        <f>IF(E177&lt;&gt;"","Avg. Lifetime Mileage? ","")</f>
        <v/>
      </c>
      <c r="AI177" s="933"/>
      <c r="AJ177" s="252" t="str">
        <f>IF(E177&lt;&gt;"","Select from Pull-Down List    ","")</f>
        <v/>
      </c>
      <c r="AK177" s="171"/>
      <c r="AL177" s="252"/>
      <c r="AM177" s="894"/>
      <c r="AN177" s="894"/>
      <c r="AO177" s="894" t="b">
        <f>IF(AND(C177="",C179&lt;&gt;""),TRUE,FALSE)</f>
        <v>0</v>
      </c>
      <c r="AP177" s="888" t="str">
        <f t="shared" ref="AP177" si="360">IF(AND(C177&lt;&gt;"",OR(I177="",K177="",M177="",O177="",Q177="",W177="",AC177="",AE177="",AG177="")),"No",IF(AND(C177="",OR(I177&lt;&gt;"",K177&lt;&gt;"",M177&lt;&gt;"",O177&lt;&gt;"",Q177&lt;&gt;"",W177&lt;&gt;"",AC177&lt;&gt;"",AE177&lt;&gt;"",AG177&lt;&gt;"",AI177&lt;&gt;"",AK177&lt;&gt;"")),"No",IF(AND(C177="",I177="",K177="",M177="",O177="",Q177="",W177="",AC177="",AE177="",AG177="",AI177=""),"N/A","Yes")))</f>
        <v>N/A</v>
      </c>
      <c r="AQ177" s="898"/>
      <c r="AR177" s="899" t="b">
        <f t="shared" ref="AR177" si="361">IF(AND(OR(I177&lt;&gt;"",K177&lt;&gt;"",M177&lt;&gt;"",O177&lt;&gt;"",Q177&lt;&gt;"",W177&lt;&gt;"",AC177&lt;&gt;"",AE177&lt;&gt;"",AG177&lt;&gt;"",AI177&lt;&gt;"",AK177&lt;&gt;""),C177=""),TRUE,FALSE)</f>
        <v>0</v>
      </c>
      <c r="AS177" s="898" t="b">
        <f t="shared" ref="AS177" si="362">IF(AT177=TRUE,FALSE,IF(SUM(K177)&gt;I177,TRUE,FALSE))</f>
        <v>0</v>
      </c>
      <c r="AT177" s="899" t="b">
        <f>IF(AND(C177&lt;&gt;"",I177=""),TRUE,FALSE)</f>
        <v>0</v>
      </c>
      <c r="AU177" s="898" t="b">
        <f>IF(AV177=TRUE,FALSE,IF(M177&gt;K177,TRUE,FALSE))</f>
        <v>0</v>
      </c>
      <c r="AV177" s="899" t="b">
        <f>IF(AND($C177&lt;&gt;"",K177=""),TRUE,FALSE)</f>
        <v>0</v>
      </c>
      <c r="AW177" s="898"/>
      <c r="AX177" s="899" t="b">
        <f>IF(AND($C177&lt;&gt;"",M177=""),TRUE,FALSE)</f>
        <v>0</v>
      </c>
      <c r="AY177" s="898" t="b">
        <f t="shared" ref="AY177" si="363">IF(AND(O177="",OR(Q177&lt;&gt;"",W177&lt;&gt;"",AC177&lt;&gt;"",AE177&lt;&gt;"",AG177&lt;&gt;"",AI177&lt;&gt;"")),TRUE,FALSE)</f>
        <v>0</v>
      </c>
      <c r="AZ177" s="899" t="b">
        <f>IF(AND($C177&lt;&gt;"",O177=""),TRUE,FALSE)</f>
        <v>0</v>
      </c>
      <c r="BA177" s="898"/>
      <c r="BB177" s="899" t="b">
        <f>IF(AND($C177&lt;&gt;"",Q177=""),TRUE,FALSE)</f>
        <v>0</v>
      </c>
      <c r="BC177" s="1537" t="b">
        <f>IF(BD177=TRUE,FALSE,IF(W177="",FALSE,IF(OR(W177&lt;BO177,W177&gt;BaseYear),TRUE,FALSE)))</f>
        <v>0</v>
      </c>
      <c r="BD177" s="899" t="b">
        <f>IF(AND($C177&lt;&gt;"",W177=""),TRUE,FALSE)</f>
        <v>0</v>
      </c>
      <c r="BE177" s="1537"/>
      <c r="BF177" s="899" t="b">
        <f>IF(AND($C177&lt;&gt;"",AC177=""),TRUE,FALSE)</f>
        <v>0</v>
      </c>
      <c r="BG177" s="898"/>
      <c r="BH177" s="899" t="b">
        <f>IF(AND($C177&lt;&gt;"",AE177=""),TRUE,FALSE)</f>
        <v>0</v>
      </c>
      <c r="BI177" s="898"/>
      <c r="BJ177" s="899" t="b">
        <f>IF(AND($C177&lt;&gt;"",AG177=""),TRUE,FALSE)</f>
        <v>0</v>
      </c>
      <c r="BK177" s="898"/>
      <c r="BL177" s="898" t="b">
        <f>IF(AND($C177&lt;&gt;"",AI177=""),TRUE,FALSE)</f>
        <v>0</v>
      </c>
      <c r="BM177" s="894"/>
      <c r="BN177" s="898" t="str">
        <f t="shared" si="282"/>
        <v/>
      </c>
      <c r="BO177" s="898" t="str">
        <f>IFERROR(IF(AND(O177="",O177&lt;&gt;""),1913,VLOOKUP(O177,Valid!$B$99:$J$120,9)),"")</f>
        <v/>
      </c>
      <c r="BP177" s="898" t="str">
        <f t="shared" ca="1" si="354"/>
        <v/>
      </c>
      <c r="BQ177" s="1547" t="str">
        <f t="shared" ca="1" si="355"/>
        <v/>
      </c>
      <c r="BR177" s="898" t="str">
        <f ca="1">IF(BQ177="", "", IF(1+(BQ177*4)&lt;1, 1, 1+(BQ177*4)))</f>
        <v/>
      </c>
      <c r="BS177" s="898" t="str">
        <f t="shared" si="284"/>
        <v/>
      </c>
      <c r="BT177" s="898" t="str">
        <f t="shared" si="285"/>
        <v/>
      </c>
      <c r="BU177" s="1539" t="str">
        <f>IFERROR(IF(AND(#REF!="",C177&lt;&gt;""),Valid!$E$123,VLOOKUP(#REF!,Valid!$B$123:$F$125,4,FALSE)),"")</f>
        <v/>
      </c>
      <c r="BV177" s="1539" t="str">
        <f>IFERROR(IF(AND(#REF!="",C177&lt;&gt;""),Valid!$F$123,VLOOKUP(#REF!,Valid!$B$123:$F$125,5,FALSE)),"")</f>
        <v/>
      </c>
      <c r="BW177" s="1539" t="str">
        <f>IFERROR(VLOOKUP('A-70 RevVehInv'!S177,Valid!$B$99:$I$120,7), "")</f>
        <v/>
      </c>
      <c r="BX177" s="1539" t="str">
        <f>IFERROR(VLOOKUP(O177,Valid!$B$99:$I$120,8), "")</f>
        <v/>
      </c>
      <c r="BY177" s="894"/>
    </row>
    <row r="178" spans="1:77" ht="6.75" customHeight="1" x14ac:dyDescent="0.2">
      <c r="A178" s="1517"/>
      <c r="B178" s="1530">
        <v>83.5</v>
      </c>
      <c r="C178" s="1540"/>
      <c r="D178" s="905"/>
      <c r="E178" s="1541"/>
      <c r="F178" s="905"/>
      <c r="G178" s="905"/>
      <c r="H178" s="905"/>
      <c r="I178" s="1534"/>
      <c r="J178" s="905"/>
      <c r="K178" s="1534"/>
      <c r="L178" s="905"/>
      <c r="M178" s="1534"/>
      <c r="N178" s="1531"/>
      <c r="O178" s="1542"/>
      <c r="P178" s="905"/>
      <c r="Q178" s="1542"/>
      <c r="R178" s="905"/>
      <c r="S178" s="1534" t="str">
        <f t="shared" si="276"/>
        <v/>
      </c>
      <c r="T178" s="905"/>
      <c r="U178" s="1534"/>
      <c r="V178" s="252" t="str">
        <f t="shared" si="349"/>
        <v/>
      </c>
      <c r="W178" s="1534"/>
      <c r="X178" s="905"/>
      <c r="Y178" s="1973" t="str">
        <f t="shared" si="286"/>
        <v/>
      </c>
      <c r="Z178" s="905"/>
      <c r="AA178" s="1985" t="str">
        <f t="shared" si="287"/>
        <v/>
      </c>
      <c r="AB178" s="1531"/>
      <c r="AC178" s="1534"/>
      <c r="AD178" s="1531"/>
      <c r="AE178" s="1534"/>
      <c r="AF178" s="1531"/>
      <c r="AG178" s="1534"/>
      <c r="AH178" s="1531"/>
      <c r="AI178" s="1543"/>
      <c r="AJ178" s="1531"/>
      <c r="AK178" s="1534"/>
      <c r="AL178" s="1531"/>
      <c r="AM178" s="1531"/>
      <c r="AN178" s="1531"/>
      <c r="AO178" s="1531"/>
      <c r="AP178" s="1531"/>
      <c r="AQ178" s="1535"/>
      <c r="AR178" s="1534"/>
      <c r="AS178" s="1535"/>
      <c r="AT178" s="1534"/>
      <c r="AU178" s="1535"/>
      <c r="AV178" s="1534"/>
      <c r="AW178" s="1535"/>
      <c r="AX178" s="1534"/>
      <c r="AY178" s="1535"/>
      <c r="AZ178" s="1534"/>
      <c r="BA178" s="1535"/>
      <c r="BB178" s="1534"/>
      <c r="BC178" s="1535"/>
      <c r="BD178" s="1534"/>
      <c r="BE178" s="1535"/>
      <c r="BF178" s="1534"/>
      <c r="BG178" s="1535"/>
      <c r="BH178" s="1534"/>
      <c r="BI178" s="1535"/>
      <c r="BJ178" s="1534"/>
      <c r="BK178" s="1535"/>
      <c r="BL178" s="1535"/>
      <c r="BM178" s="1531"/>
      <c r="BN178" s="898" t="str">
        <f t="shared" si="282"/>
        <v/>
      </c>
      <c r="BO178" s="898" t="str">
        <f>IFERROR(IF(AND(O178="",O178&lt;&gt;""),1913,VLOOKUP(O178,Valid!$B$99:$J$120,9)),"")</f>
        <v/>
      </c>
      <c r="BP178" s="898" t="str">
        <f t="shared" ca="1" si="354"/>
        <v/>
      </c>
      <c r="BQ178" s="1547" t="str">
        <f t="shared" ca="1" si="355"/>
        <v/>
      </c>
      <c r="BR178" s="898"/>
      <c r="BS178" s="898" t="str">
        <f t="shared" si="284"/>
        <v/>
      </c>
      <c r="BT178" s="898" t="str">
        <f t="shared" si="285"/>
        <v/>
      </c>
      <c r="BU178" s="1539" t="str">
        <f>IFERROR(IF(AND(#REF!="",C178&lt;&gt;""),Valid!$E$123,VLOOKUP(#REF!,Valid!$B$123:$F$125,4,FALSE)),"")</f>
        <v/>
      </c>
      <c r="BV178" s="1539" t="str">
        <f>IFERROR(IF(AND(#REF!="",C178&lt;&gt;""),Valid!$F$123,VLOOKUP(#REF!,Valid!$B$123:$F$125,5,FALSE)),"")</f>
        <v/>
      </c>
      <c r="BW178" s="1539" t="str">
        <f>IFERROR(VLOOKUP('A-70 RevVehInv'!S178,Valid!$B$99:$I$120,7), "")</f>
        <v/>
      </c>
      <c r="BX178" s="1539" t="str">
        <f>IFERROR(VLOOKUP(O178,Valid!$B$99:$I$120,8), "")</f>
        <v/>
      </c>
      <c r="BY178" s="1531"/>
    </row>
    <row r="179" spans="1:77" s="930" customFormat="1" x14ac:dyDescent="0.2">
      <c r="A179" s="206">
        <v>84</v>
      </c>
      <c r="B179" s="1530">
        <v>84</v>
      </c>
      <c r="C179" s="933"/>
      <c r="D179" s="719" t="str">
        <f>IF(C177="","",IF((C179=""),"Enter RVI ID. then Fill in Columns "&amp;TEXT($I$2,0)&amp;" - "&amp;TEXT($AI$2,0)&amp;"       ",""))</f>
        <v/>
      </c>
      <c r="E179" s="1056" t="str">
        <f>IF(AP179="N/A","",AP179)</f>
        <v/>
      </c>
      <c r="F179" s="1536"/>
      <c r="G179" s="1536"/>
      <c r="H179" s="1536"/>
      <c r="I179" s="1023"/>
      <c r="J179" s="1536" t="str">
        <f>IF(E179&lt;&gt;"","Vehicles?    ","")</f>
        <v/>
      </c>
      <c r="K179" s="1023"/>
      <c r="L179" s="1536" t="str">
        <f>IF(E179&lt;&gt;"","Active Vehicles?     ","")</f>
        <v/>
      </c>
      <c r="M179" s="1023"/>
      <c r="N179" s="894"/>
      <c r="O179" s="1153"/>
      <c r="P179" s="252" t="str">
        <f>IF(E179&lt;&gt;"","Select from Pull-Down List    ","")</f>
        <v/>
      </c>
      <c r="Q179" s="933"/>
      <c r="R179" s="252" t="str">
        <f>IF(E179&lt;&gt;"","Select from Pull-Down List    ","")</f>
        <v/>
      </c>
      <c r="S179" s="1766" t="str">
        <f t="shared" si="276"/>
        <v/>
      </c>
      <c r="T179" s="252"/>
      <c r="U179" s="1988"/>
      <c r="V179" s="252" t="str">
        <f t="shared" si="349"/>
        <v/>
      </c>
      <c r="W179" s="139"/>
      <c r="X179" s="252" t="str">
        <f>IF(E179&lt;&gt;"","Mfg. Yr?    ","")</f>
        <v/>
      </c>
      <c r="Y179" s="1974" t="str">
        <f t="shared" si="286"/>
        <v/>
      </c>
      <c r="Z179" s="252"/>
      <c r="AA179" s="1986" t="str">
        <f t="shared" si="287"/>
        <v/>
      </c>
      <c r="AB179" s="252" t="str">
        <f>IF(E179&lt;&gt;"","Select from Pull-Down List    ","")</f>
        <v/>
      </c>
      <c r="AC179" s="1023"/>
      <c r="AD179" s="252" t="str">
        <f>IF(E179&lt;&gt;"","Feet?    ","")</f>
        <v/>
      </c>
      <c r="AE179" s="1023"/>
      <c r="AF179" s="252" t="str">
        <f>IF(E179&lt;&gt;"","Mileage?       ","")</f>
        <v/>
      </c>
      <c r="AG179" s="1023"/>
      <c r="AH179" s="252" t="str">
        <f>IF(E179&lt;&gt;"","Avg. Lifetime Mileage? ","")</f>
        <v/>
      </c>
      <c r="AI179" s="933"/>
      <c r="AJ179" s="252" t="str">
        <f>IF(E179&lt;&gt;"","Select from Pull-Down List    ","")</f>
        <v/>
      </c>
      <c r="AK179" s="171"/>
      <c r="AL179" s="252"/>
      <c r="AM179" s="894"/>
      <c r="AN179" s="894"/>
      <c r="AO179" s="894" t="b">
        <f>IF(AND(C179="",C181&lt;&gt;""),TRUE,FALSE)</f>
        <v>0</v>
      </c>
      <c r="AP179" s="888" t="str">
        <f t="shared" ref="AP179" si="364">IF(AND(C179&lt;&gt;"",OR(I179="",K179="",M179="",O179="",Q179="",W179="",AC179="",AE179="",AG179="")),"No",IF(AND(C179="",OR(I179&lt;&gt;"",K179&lt;&gt;"",M179&lt;&gt;"",O179&lt;&gt;"",Q179&lt;&gt;"",W179&lt;&gt;"",AC179&lt;&gt;"",AE179&lt;&gt;"",AG179&lt;&gt;"",AI179&lt;&gt;"",AK179&lt;&gt;"")),"No",IF(AND(C179="",I179="",K179="",M179="",O179="",Q179="",W179="",AC179="",AE179="",AG179="",AI179=""),"N/A","Yes")))</f>
        <v>N/A</v>
      </c>
      <c r="AQ179" s="898"/>
      <c r="AR179" s="899" t="b">
        <f t="shared" ref="AR179" si="365">IF(AND(OR(I179&lt;&gt;"",K179&lt;&gt;"",M179&lt;&gt;"",O179&lt;&gt;"",Q179&lt;&gt;"",W179&lt;&gt;"",AC179&lt;&gt;"",AE179&lt;&gt;"",AG179&lt;&gt;"",AI179&lt;&gt;"",AK179&lt;&gt;""),C179=""),TRUE,FALSE)</f>
        <v>0</v>
      </c>
      <c r="AS179" s="898" t="b">
        <f t="shared" ref="AS179" si="366">IF(AT179=TRUE,FALSE,IF(SUM(K179)&gt;I179,TRUE,FALSE))</f>
        <v>0</v>
      </c>
      <c r="AT179" s="899" t="b">
        <f>IF(AND(C179&lt;&gt;"",I179=""),TRUE,FALSE)</f>
        <v>0</v>
      </c>
      <c r="AU179" s="898" t="b">
        <f>IF(AV179=TRUE,FALSE,IF(M179&gt;K179,TRUE,FALSE))</f>
        <v>0</v>
      </c>
      <c r="AV179" s="899" t="b">
        <f>IF(AND($C179&lt;&gt;"",K179=""),TRUE,FALSE)</f>
        <v>0</v>
      </c>
      <c r="AW179" s="898"/>
      <c r="AX179" s="899" t="b">
        <f>IF(AND($C179&lt;&gt;"",M179=""),TRUE,FALSE)</f>
        <v>0</v>
      </c>
      <c r="AY179" s="898" t="b">
        <f t="shared" ref="AY179" si="367">IF(AND(O179="",OR(Q179&lt;&gt;"",W179&lt;&gt;"",AC179&lt;&gt;"",AE179&lt;&gt;"",AG179&lt;&gt;"",AI179&lt;&gt;"")),TRUE,FALSE)</f>
        <v>0</v>
      </c>
      <c r="AZ179" s="899" t="b">
        <f>IF(AND($C179&lt;&gt;"",O179=""),TRUE,FALSE)</f>
        <v>0</v>
      </c>
      <c r="BA179" s="898"/>
      <c r="BB179" s="899" t="b">
        <f>IF(AND($C179&lt;&gt;"",Q179=""),TRUE,FALSE)</f>
        <v>0</v>
      </c>
      <c r="BC179" s="1537" t="b">
        <f>IF(BD179=TRUE,FALSE,IF(W179="",FALSE,IF(OR(W179&lt;BO179,W179&gt;BaseYear),TRUE,FALSE)))</f>
        <v>0</v>
      </c>
      <c r="BD179" s="899" t="b">
        <f>IF(AND($C179&lt;&gt;"",W179=""),TRUE,FALSE)</f>
        <v>0</v>
      </c>
      <c r="BE179" s="1537"/>
      <c r="BF179" s="899" t="b">
        <f>IF(AND($C179&lt;&gt;"",AC179=""),TRUE,FALSE)</f>
        <v>0</v>
      </c>
      <c r="BG179" s="898"/>
      <c r="BH179" s="899" t="b">
        <f>IF(AND($C179&lt;&gt;"",AE179=""),TRUE,FALSE)</f>
        <v>0</v>
      </c>
      <c r="BI179" s="898"/>
      <c r="BJ179" s="899" t="b">
        <f>IF(AND($C179&lt;&gt;"",AG179=""),TRUE,FALSE)</f>
        <v>0</v>
      </c>
      <c r="BK179" s="898"/>
      <c r="BL179" s="898" t="b">
        <f>IF(AND($C179&lt;&gt;"",AI179=""),TRUE,FALSE)</f>
        <v>0</v>
      </c>
      <c r="BM179" s="894"/>
      <c r="BN179" s="898" t="str">
        <f t="shared" si="282"/>
        <v/>
      </c>
      <c r="BO179" s="898" t="str">
        <f>IFERROR(IF(AND(O179="",O179&lt;&gt;""),1913,VLOOKUP(O179,Valid!$B$99:$J$120,9)),"")</f>
        <v/>
      </c>
      <c r="BP179" s="898" t="str">
        <f t="shared" ca="1" si="354"/>
        <v/>
      </c>
      <c r="BQ179" s="1547" t="str">
        <f t="shared" ca="1" si="355"/>
        <v/>
      </c>
      <c r="BR179" s="898" t="str">
        <f ca="1">IF(BQ179="", "", IF(1+(BQ179*4)&lt;1, 1, 1+(BQ179*4)))</f>
        <v/>
      </c>
      <c r="BS179" s="898" t="str">
        <f t="shared" si="284"/>
        <v/>
      </c>
      <c r="BT179" s="898" t="str">
        <f t="shared" si="285"/>
        <v/>
      </c>
      <c r="BU179" s="1539" t="str">
        <f>IFERROR(IF(AND(#REF!="",C179&lt;&gt;""),Valid!$E$123,VLOOKUP(#REF!,Valid!$B$123:$F$125,4,FALSE)),"")</f>
        <v/>
      </c>
      <c r="BV179" s="1539" t="str">
        <f>IFERROR(IF(AND(#REF!="",C179&lt;&gt;""),Valid!$F$123,VLOOKUP(#REF!,Valid!$B$123:$F$125,5,FALSE)),"")</f>
        <v/>
      </c>
      <c r="BW179" s="1539" t="str">
        <f>IFERROR(VLOOKUP('A-70 RevVehInv'!S179,Valid!$B$99:$I$120,7), "")</f>
        <v/>
      </c>
      <c r="BX179" s="1539" t="str">
        <f>IFERROR(VLOOKUP(O179,Valid!$B$99:$I$120,8), "")</f>
        <v/>
      </c>
      <c r="BY179" s="894"/>
    </row>
    <row r="180" spans="1:77" ht="6.75" customHeight="1" x14ac:dyDescent="0.2">
      <c r="A180" s="1517"/>
      <c r="B180" s="1530">
        <v>84.5</v>
      </c>
      <c r="C180" s="1544"/>
      <c r="D180" s="905"/>
      <c r="E180" s="1545"/>
      <c r="F180" s="905"/>
      <c r="G180" s="905"/>
      <c r="H180" s="905"/>
      <c r="I180" s="1531"/>
      <c r="J180" s="905"/>
      <c r="K180" s="1531"/>
      <c r="L180" s="905"/>
      <c r="M180" s="1531"/>
      <c r="N180" s="1531"/>
      <c r="O180" s="1533"/>
      <c r="P180" s="905"/>
      <c r="Q180" s="1533"/>
      <c r="R180" s="905"/>
      <c r="S180" s="1531" t="str">
        <f t="shared" si="276"/>
        <v/>
      </c>
      <c r="T180" s="905"/>
      <c r="U180" s="1531"/>
      <c r="V180" s="252" t="str">
        <f t="shared" si="349"/>
        <v/>
      </c>
      <c r="W180" s="1531"/>
      <c r="X180" s="905"/>
      <c r="Y180" s="1971" t="str">
        <f t="shared" si="286"/>
        <v/>
      </c>
      <c r="Z180" s="905"/>
      <c r="AA180" s="1983" t="str">
        <f t="shared" si="287"/>
        <v/>
      </c>
      <c r="AB180" s="1531"/>
      <c r="AC180" s="1531"/>
      <c r="AD180" s="1531"/>
      <c r="AE180" s="1531"/>
      <c r="AF180" s="1531"/>
      <c r="AG180" s="1534"/>
      <c r="AH180" s="1531"/>
      <c r="AI180" s="1546"/>
      <c r="AJ180" s="1531"/>
      <c r="AK180" s="1531"/>
      <c r="AL180" s="1531"/>
      <c r="AM180" s="1531"/>
      <c r="AN180" s="1531"/>
      <c r="AO180" s="1531"/>
      <c r="AP180" s="1531"/>
      <c r="AQ180" s="1535"/>
      <c r="AR180" s="1534"/>
      <c r="AS180" s="1535"/>
      <c r="AT180" s="1534"/>
      <c r="AU180" s="1535"/>
      <c r="AV180" s="1534"/>
      <c r="AW180" s="1535"/>
      <c r="AX180" s="1534"/>
      <c r="AY180" s="1535"/>
      <c r="AZ180" s="1534"/>
      <c r="BA180" s="1535"/>
      <c r="BB180" s="1534"/>
      <c r="BC180" s="1535"/>
      <c r="BD180" s="1534"/>
      <c r="BE180" s="1535"/>
      <c r="BF180" s="1534"/>
      <c r="BG180" s="1535"/>
      <c r="BH180" s="1534"/>
      <c r="BI180" s="1535"/>
      <c r="BJ180" s="1534"/>
      <c r="BK180" s="1535"/>
      <c r="BL180" s="1535"/>
      <c r="BM180" s="1531"/>
      <c r="BN180" s="898" t="str">
        <f t="shared" si="282"/>
        <v/>
      </c>
      <c r="BO180" s="898" t="str">
        <f>IFERROR(IF(AND(O180="",O180&lt;&gt;""),1913,VLOOKUP(O180,Valid!$B$99:$J$120,9)),"")</f>
        <v/>
      </c>
      <c r="BP180" s="898" t="str">
        <f t="shared" ca="1" si="354"/>
        <v/>
      </c>
      <c r="BQ180" s="1547" t="str">
        <f t="shared" ca="1" si="355"/>
        <v/>
      </c>
      <c r="BR180" s="898"/>
      <c r="BS180" s="898" t="str">
        <f t="shared" si="284"/>
        <v/>
      </c>
      <c r="BT180" s="898" t="str">
        <f t="shared" si="285"/>
        <v/>
      </c>
      <c r="BU180" s="1539" t="str">
        <f>IFERROR(IF(AND(#REF!="",C180&lt;&gt;""),Valid!$E$123,VLOOKUP(#REF!,Valid!$B$123:$F$125,4,FALSE)),"")</f>
        <v/>
      </c>
      <c r="BV180" s="1539" t="str">
        <f>IFERROR(IF(AND(#REF!="",C180&lt;&gt;""),Valid!$F$123,VLOOKUP(#REF!,Valid!$B$123:$F$125,5,FALSE)),"")</f>
        <v/>
      </c>
      <c r="BW180" s="1539" t="str">
        <f>IFERROR(VLOOKUP('A-70 RevVehInv'!S180,Valid!$B$99:$I$120,7), "")</f>
        <v/>
      </c>
      <c r="BX180" s="1539" t="str">
        <f>IFERROR(VLOOKUP(O180,Valid!$B$99:$I$120,8), "")</f>
        <v/>
      </c>
      <c r="BY180" s="1531"/>
    </row>
    <row r="181" spans="1:77" s="930" customFormat="1" x14ac:dyDescent="0.2">
      <c r="A181" s="206">
        <v>85</v>
      </c>
      <c r="B181" s="1530">
        <v>85</v>
      </c>
      <c r="C181" s="933"/>
      <c r="D181" s="719" t="str">
        <f>IF(C179="","",IF((C181=""),"Enter RVI ID. then Fill in Columns "&amp;TEXT($I$2,0)&amp;" - "&amp;TEXT($AI$2,0)&amp;"       ",""))</f>
        <v/>
      </c>
      <c r="E181" s="1056" t="str">
        <f>IF(AP181="N/A","",AP181)</f>
        <v/>
      </c>
      <c r="F181" s="1536"/>
      <c r="G181" s="1536"/>
      <c r="H181" s="1536"/>
      <c r="I181" s="1023"/>
      <c r="J181" s="1536" t="str">
        <f>IF(E181&lt;&gt;"","Vehicles?    ","")</f>
        <v/>
      </c>
      <c r="K181" s="1023"/>
      <c r="L181" s="1536" t="str">
        <f>IF(E181&lt;&gt;"","Active Vehicles?     ","")</f>
        <v/>
      </c>
      <c r="M181" s="1023"/>
      <c r="N181" s="894"/>
      <c r="O181" s="1153"/>
      <c r="P181" s="252" t="str">
        <f>IF(E181&lt;&gt;"","Select from Pull-Down List    ","")</f>
        <v/>
      </c>
      <c r="Q181" s="933"/>
      <c r="R181" s="252" t="str">
        <f>IF(E181&lt;&gt;"","Select from Pull-Down List    ","")</f>
        <v/>
      </c>
      <c r="S181" s="1766" t="str">
        <f t="shared" si="276"/>
        <v/>
      </c>
      <c r="T181" s="252"/>
      <c r="U181" s="1988"/>
      <c r="V181" s="252" t="str">
        <f t="shared" si="349"/>
        <v/>
      </c>
      <c r="W181" s="139"/>
      <c r="X181" s="252" t="str">
        <f>IF(E181&lt;&gt;"","Mfg. Yr?    ","")</f>
        <v/>
      </c>
      <c r="Y181" s="1974" t="str">
        <f t="shared" si="286"/>
        <v/>
      </c>
      <c r="Z181" s="252"/>
      <c r="AA181" s="1986" t="str">
        <f t="shared" si="287"/>
        <v/>
      </c>
      <c r="AB181" s="252" t="str">
        <f>IF(E181&lt;&gt;"","Select from Pull-Down List    ","")</f>
        <v/>
      </c>
      <c r="AC181" s="1023"/>
      <c r="AD181" s="252" t="str">
        <f>IF(E181&lt;&gt;"","Feet?    ","")</f>
        <v/>
      </c>
      <c r="AE181" s="1023"/>
      <c r="AF181" s="252" t="str">
        <f>IF(E181&lt;&gt;"","Mileage?       ","")</f>
        <v/>
      </c>
      <c r="AG181" s="1023"/>
      <c r="AH181" s="252" t="str">
        <f>IF(E181&lt;&gt;"","Avg. Lifetime Mileage? ","")</f>
        <v/>
      </c>
      <c r="AI181" s="933"/>
      <c r="AJ181" s="252" t="str">
        <f>IF(E181&lt;&gt;"","Select from Pull-Down List    ","")</f>
        <v/>
      </c>
      <c r="AK181" s="171"/>
      <c r="AL181" s="252"/>
      <c r="AM181" s="894"/>
      <c r="AN181" s="894"/>
      <c r="AO181" s="894" t="b">
        <f>IF(AND(C181="",C183&lt;&gt;""),TRUE,FALSE)</f>
        <v>0</v>
      </c>
      <c r="AP181" s="888" t="str">
        <f t="shared" ref="AP181" si="368">IF(AND(C181&lt;&gt;"",OR(I181="",K181="",M181="",O181="",Q181="",W181="",AC181="",AE181="",AG181="")),"No",IF(AND(C181="",OR(I181&lt;&gt;"",K181&lt;&gt;"",M181&lt;&gt;"",O181&lt;&gt;"",Q181&lt;&gt;"",W181&lt;&gt;"",AC181&lt;&gt;"",AE181&lt;&gt;"",AG181&lt;&gt;"",AI181&lt;&gt;"",AK181&lt;&gt;"")),"No",IF(AND(C181="",I181="",K181="",M181="",O181="",Q181="",W181="",AC181="",AE181="",AG181="",AI181=""),"N/A","Yes")))</f>
        <v>N/A</v>
      </c>
      <c r="AQ181" s="898"/>
      <c r="AR181" s="899" t="b">
        <f t="shared" ref="AR181" si="369">IF(AND(OR(I181&lt;&gt;"",K181&lt;&gt;"",M181&lt;&gt;"",O181&lt;&gt;"",Q181&lt;&gt;"",W181&lt;&gt;"",AC181&lt;&gt;"",AE181&lt;&gt;"",AG181&lt;&gt;"",AI181&lt;&gt;"",AK181&lt;&gt;""),C181=""),TRUE,FALSE)</f>
        <v>0</v>
      </c>
      <c r="AS181" s="898" t="b">
        <f t="shared" ref="AS181" si="370">IF(AT181=TRUE,FALSE,IF(SUM(K181)&gt;I181,TRUE,FALSE))</f>
        <v>0</v>
      </c>
      <c r="AT181" s="899" t="b">
        <f>IF(AND(C181&lt;&gt;"",I181=""),TRUE,FALSE)</f>
        <v>0</v>
      </c>
      <c r="AU181" s="898" t="b">
        <f>IF(AV181=TRUE,FALSE,IF(M181&gt;K181,TRUE,FALSE))</f>
        <v>0</v>
      </c>
      <c r="AV181" s="899" t="b">
        <f>IF(AND($C181&lt;&gt;"",K181=""),TRUE,FALSE)</f>
        <v>0</v>
      </c>
      <c r="AW181" s="898"/>
      <c r="AX181" s="899" t="b">
        <f>IF(AND($C181&lt;&gt;"",M181=""),TRUE,FALSE)</f>
        <v>0</v>
      </c>
      <c r="AY181" s="898" t="b">
        <f t="shared" ref="AY181" si="371">IF(AND(O181="",OR(Q181&lt;&gt;"",W181&lt;&gt;"",AC181&lt;&gt;"",AE181&lt;&gt;"",AG181&lt;&gt;"",AI181&lt;&gt;"")),TRUE,FALSE)</f>
        <v>0</v>
      </c>
      <c r="AZ181" s="899" t="b">
        <f>IF(AND($C181&lt;&gt;"",O181=""),TRUE,FALSE)</f>
        <v>0</v>
      </c>
      <c r="BA181" s="898"/>
      <c r="BB181" s="899" t="b">
        <f>IF(AND($C181&lt;&gt;"",Q181=""),TRUE,FALSE)</f>
        <v>0</v>
      </c>
      <c r="BC181" s="1537" t="b">
        <f>IF(BD181=TRUE,FALSE,IF(W181="",FALSE,IF(OR(W181&lt;BO181,W181&gt;BaseYear),TRUE,FALSE)))</f>
        <v>0</v>
      </c>
      <c r="BD181" s="899" t="b">
        <f>IF(AND($C181&lt;&gt;"",W181=""),TRUE,FALSE)</f>
        <v>0</v>
      </c>
      <c r="BE181" s="1537"/>
      <c r="BF181" s="899" t="b">
        <f>IF(AND($C181&lt;&gt;"",AC181=""),TRUE,FALSE)</f>
        <v>0</v>
      </c>
      <c r="BG181" s="898"/>
      <c r="BH181" s="899" t="b">
        <f>IF(AND($C181&lt;&gt;"",AE181=""),TRUE,FALSE)</f>
        <v>0</v>
      </c>
      <c r="BI181" s="898"/>
      <c r="BJ181" s="899" t="b">
        <f>IF(AND($C181&lt;&gt;"",AG181=""),TRUE,FALSE)</f>
        <v>0</v>
      </c>
      <c r="BK181" s="898"/>
      <c r="BL181" s="898" t="b">
        <f>IF(AND($C181&lt;&gt;"",AI181=""),TRUE,FALSE)</f>
        <v>0</v>
      </c>
      <c r="BM181" s="894"/>
      <c r="BN181" s="898" t="str">
        <f t="shared" si="282"/>
        <v/>
      </c>
      <c r="BO181" s="898" t="str">
        <f>IFERROR(IF(AND(O181="",O181&lt;&gt;""),1913,VLOOKUP(O181,Valid!$B$99:$J$120,9)),"")</f>
        <v/>
      </c>
      <c r="BP181" s="898" t="str">
        <f t="shared" ca="1" si="354"/>
        <v/>
      </c>
      <c r="BQ181" s="1547" t="str">
        <f t="shared" ca="1" si="355"/>
        <v/>
      </c>
      <c r="BR181" s="898" t="str">
        <f ca="1">IF(BQ181="", "", IF(1+(BQ181*4)&lt;1, 1, 1+(BQ181*4)))</f>
        <v/>
      </c>
      <c r="BS181" s="898" t="str">
        <f t="shared" si="284"/>
        <v/>
      </c>
      <c r="BT181" s="898" t="str">
        <f t="shared" si="285"/>
        <v/>
      </c>
      <c r="BU181" s="1539" t="str">
        <f>IFERROR(IF(AND(#REF!="",C181&lt;&gt;""),Valid!$E$123,VLOOKUP(#REF!,Valid!$B$123:$F$125,4,FALSE)),"")</f>
        <v/>
      </c>
      <c r="BV181" s="1539" t="str">
        <f>IFERROR(IF(AND(#REF!="",C181&lt;&gt;""),Valid!$F$123,VLOOKUP(#REF!,Valid!$B$123:$F$125,5,FALSE)),"")</f>
        <v/>
      </c>
      <c r="BW181" s="1539" t="str">
        <f>IFERROR(VLOOKUP('A-70 RevVehInv'!S181,Valid!$B$99:$I$120,7), "")</f>
        <v/>
      </c>
      <c r="BX181" s="1539" t="str">
        <f>IFERROR(VLOOKUP(O181,Valid!$B$99:$I$120,8), "")</f>
        <v/>
      </c>
      <c r="BY181" s="894"/>
    </row>
    <row r="182" spans="1:77" ht="6.75" customHeight="1" x14ac:dyDescent="0.2">
      <c r="A182" s="1517"/>
      <c r="B182" s="1530">
        <v>85.5</v>
      </c>
      <c r="C182" s="1540"/>
      <c r="D182" s="905"/>
      <c r="E182" s="1541"/>
      <c r="F182" s="905"/>
      <c r="G182" s="905"/>
      <c r="H182" s="905"/>
      <c r="I182" s="1534"/>
      <c r="J182" s="905"/>
      <c r="K182" s="1534"/>
      <c r="L182" s="905"/>
      <c r="M182" s="1534"/>
      <c r="N182" s="1531"/>
      <c r="O182" s="1542"/>
      <c r="P182" s="905"/>
      <c r="Q182" s="1542"/>
      <c r="R182" s="905"/>
      <c r="S182" s="1534" t="str">
        <f t="shared" si="276"/>
        <v/>
      </c>
      <c r="T182" s="905"/>
      <c r="U182" s="1534"/>
      <c r="V182" s="252" t="str">
        <f t="shared" si="349"/>
        <v/>
      </c>
      <c r="W182" s="1534"/>
      <c r="X182" s="905"/>
      <c r="Y182" s="1973" t="str">
        <f t="shared" si="286"/>
        <v/>
      </c>
      <c r="Z182" s="905"/>
      <c r="AA182" s="1985" t="str">
        <f t="shared" si="287"/>
        <v/>
      </c>
      <c r="AB182" s="1531"/>
      <c r="AC182" s="1534"/>
      <c r="AD182" s="1531"/>
      <c r="AE182" s="1534"/>
      <c r="AF182" s="1531"/>
      <c r="AG182" s="1534"/>
      <c r="AH182" s="1531"/>
      <c r="AI182" s="1543"/>
      <c r="AJ182" s="1531"/>
      <c r="AK182" s="1534"/>
      <c r="AL182" s="1531"/>
      <c r="AM182" s="1531"/>
      <c r="AN182" s="1531"/>
      <c r="AO182" s="1531"/>
      <c r="AP182" s="1531"/>
      <c r="AQ182" s="1535"/>
      <c r="AR182" s="1534"/>
      <c r="AS182" s="1535"/>
      <c r="AT182" s="1534"/>
      <c r="AU182" s="1535"/>
      <c r="AV182" s="1534"/>
      <c r="AW182" s="1535"/>
      <c r="AX182" s="1534"/>
      <c r="AY182" s="1535"/>
      <c r="AZ182" s="1534"/>
      <c r="BA182" s="1535"/>
      <c r="BB182" s="1534"/>
      <c r="BC182" s="1535"/>
      <c r="BD182" s="1534"/>
      <c r="BE182" s="1535"/>
      <c r="BF182" s="1534"/>
      <c r="BG182" s="1535"/>
      <c r="BH182" s="1534"/>
      <c r="BI182" s="1535"/>
      <c r="BJ182" s="1534"/>
      <c r="BK182" s="1535"/>
      <c r="BL182" s="1535"/>
      <c r="BM182" s="1531"/>
      <c r="BN182" s="898" t="str">
        <f t="shared" si="282"/>
        <v/>
      </c>
      <c r="BO182" s="898" t="str">
        <f>IFERROR(IF(AND(O182="",O182&lt;&gt;""),1913,VLOOKUP(O182,Valid!$B$99:$J$120,9)),"")</f>
        <v/>
      </c>
      <c r="BP182" s="898" t="str">
        <f t="shared" ca="1" si="354"/>
        <v/>
      </c>
      <c r="BQ182" s="1547" t="str">
        <f t="shared" ca="1" si="355"/>
        <v/>
      </c>
      <c r="BR182" s="898"/>
      <c r="BS182" s="898" t="str">
        <f t="shared" si="284"/>
        <v/>
      </c>
      <c r="BT182" s="898" t="str">
        <f t="shared" si="285"/>
        <v/>
      </c>
      <c r="BU182" s="1539" t="str">
        <f>IFERROR(IF(AND(#REF!="",C182&lt;&gt;""),Valid!$E$123,VLOOKUP(#REF!,Valid!$B$123:$F$125,4,FALSE)),"")</f>
        <v/>
      </c>
      <c r="BV182" s="1539" t="str">
        <f>IFERROR(IF(AND(#REF!="",C182&lt;&gt;""),Valid!$F$123,VLOOKUP(#REF!,Valid!$B$123:$F$125,5,FALSE)),"")</f>
        <v/>
      </c>
      <c r="BW182" s="1539" t="str">
        <f>IFERROR(VLOOKUP('A-70 RevVehInv'!S182,Valid!$B$99:$I$120,7), "")</f>
        <v/>
      </c>
      <c r="BX182" s="1539" t="str">
        <f>IFERROR(VLOOKUP(O182,Valid!$B$99:$I$120,8), "")</f>
        <v/>
      </c>
      <c r="BY182" s="1531"/>
    </row>
    <row r="183" spans="1:77" s="930" customFormat="1" x14ac:dyDescent="0.2">
      <c r="A183" s="206">
        <v>86</v>
      </c>
      <c r="B183" s="1530">
        <v>86</v>
      </c>
      <c r="C183" s="933"/>
      <c r="D183" s="719" t="str">
        <f>IF(C181="","",IF((C183=""),"Enter RVI ID. then Fill in Columns "&amp;TEXT($I$2,0)&amp;" - "&amp;TEXT($AI$2,0)&amp;"       ",""))</f>
        <v/>
      </c>
      <c r="E183" s="1056" t="str">
        <f>IF(AP183="N/A","",AP183)</f>
        <v/>
      </c>
      <c r="F183" s="1536"/>
      <c r="G183" s="1536"/>
      <c r="H183" s="1536"/>
      <c r="I183" s="1023"/>
      <c r="J183" s="1536" t="str">
        <f>IF(E183&lt;&gt;"","Vehicles?    ","")</f>
        <v/>
      </c>
      <c r="K183" s="1023"/>
      <c r="L183" s="1536" t="str">
        <f>IF(E183&lt;&gt;"","Active Vehicles?     ","")</f>
        <v/>
      </c>
      <c r="M183" s="1023"/>
      <c r="N183" s="894"/>
      <c r="O183" s="1153"/>
      <c r="P183" s="252" t="str">
        <f>IF(E183&lt;&gt;"","Select from Pull-Down List    ","")</f>
        <v/>
      </c>
      <c r="Q183" s="933"/>
      <c r="R183" s="252" t="str">
        <f>IF(E183&lt;&gt;"","Select from Pull-Down List    ","")</f>
        <v/>
      </c>
      <c r="S183" s="1766" t="str">
        <f t="shared" si="276"/>
        <v/>
      </c>
      <c r="T183" s="252"/>
      <c r="U183" s="1988"/>
      <c r="V183" s="252" t="str">
        <f t="shared" si="349"/>
        <v/>
      </c>
      <c r="W183" s="139"/>
      <c r="X183" s="252" t="str">
        <f>IF(E183&lt;&gt;"","Mfg. Yr?    ","")</f>
        <v/>
      </c>
      <c r="Y183" s="1974" t="str">
        <f t="shared" si="286"/>
        <v/>
      </c>
      <c r="Z183" s="252"/>
      <c r="AA183" s="1986" t="str">
        <f t="shared" si="287"/>
        <v/>
      </c>
      <c r="AB183" s="252" t="str">
        <f>IF(E183&lt;&gt;"","Select from Pull-Down List    ","")</f>
        <v/>
      </c>
      <c r="AC183" s="1023"/>
      <c r="AD183" s="252" t="str">
        <f>IF(E183&lt;&gt;"","Feet?    ","")</f>
        <v/>
      </c>
      <c r="AE183" s="1023"/>
      <c r="AF183" s="252" t="str">
        <f>IF(E183&lt;&gt;"","Mileage?       ","")</f>
        <v/>
      </c>
      <c r="AG183" s="1023"/>
      <c r="AH183" s="252" t="str">
        <f>IF(E183&lt;&gt;"","Avg. Lifetime Mileage? ","")</f>
        <v/>
      </c>
      <c r="AI183" s="933"/>
      <c r="AJ183" s="252" t="str">
        <f>IF(E183&lt;&gt;"","Select from Pull-Down List    ","")</f>
        <v/>
      </c>
      <c r="AK183" s="171"/>
      <c r="AL183" s="252"/>
      <c r="AM183" s="894"/>
      <c r="AN183" s="894"/>
      <c r="AO183" s="894" t="b">
        <f>IF(AND(C183="",C185&lt;&gt;""),TRUE,FALSE)</f>
        <v>0</v>
      </c>
      <c r="AP183" s="888" t="str">
        <f t="shared" ref="AP183" si="372">IF(AND(C183&lt;&gt;"",OR(I183="",K183="",M183="",O183="",Q183="",W183="",AC183="",AE183="",AG183="")),"No",IF(AND(C183="",OR(I183&lt;&gt;"",K183&lt;&gt;"",M183&lt;&gt;"",O183&lt;&gt;"",Q183&lt;&gt;"",W183&lt;&gt;"",AC183&lt;&gt;"",AE183&lt;&gt;"",AG183&lt;&gt;"",AI183&lt;&gt;"",AK183&lt;&gt;"")),"No",IF(AND(C183="",I183="",K183="",M183="",O183="",Q183="",W183="",AC183="",AE183="",AG183="",AI183=""),"N/A","Yes")))</f>
        <v>N/A</v>
      </c>
      <c r="AQ183" s="898"/>
      <c r="AR183" s="899" t="b">
        <f t="shared" ref="AR183" si="373">IF(AND(OR(I183&lt;&gt;"",K183&lt;&gt;"",M183&lt;&gt;"",O183&lt;&gt;"",Q183&lt;&gt;"",W183&lt;&gt;"",AC183&lt;&gt;"",AE183&lt;&gt;"",AG183&lt;&gt;"",AI183&lt;&gt;"",AK183&lt;&gt;""),C183=""),TRUE,FALSE)</f>
        <v>0</v>
      </c>
      <c r="AS183" s="898" t="b">
        <f t="shared" ref="AS183" si="374">IF(AT183=TRUE,FALSE,IF(SUM(K183)&gt;I183,TRUE,FALSE))</f>
        <v>0</v>
      </c>
      <c r="AT183" s="899" t="b">
        <f>IF(AND(C183&lt;&gt;"",I183=""),TRUE,FALSE)</f>
        <v>0</v>
      </c>
      <c r="AU183" s="898" t="b">
        <f>IF(AV183=TRUE,FALSE,IF(M183&gt;K183,TRUE,FALSE))</f>
        <v>0</v>
      </c>
      <c r="AV183" s="899" t="b">
        <f>IF(AND($C183&lt;&gt;"",K183=""),TRUE,FALSE)</f>
        <v>0</v>
      </c>
      <c r="AW183" s="898"/>
      <c r="AX183" s="899" t="b">
        <f>IF(AND($C183&lt;&gt;"",M183=""),TRUE,FALSE)</f>
        <v>0</v>
      </c>
      <c r="AY183" s="898" t="b">
        <f t="shared" ref="AY183" si="375">IF(AND(O183="",OR(Q183&lt;&gt;"",W183&lt;&gt;"",AC183&lt;&gt;"",AE183&lt;&gt;"",AG183&lt;&gt;"",AI183&lt;&gt;"")),TRUE,FALSE)</f>
        <v>0</v>
      </c>
      <c r="AZ183" s="899" t="b">
        <f>IF(AND($C183&lt;&gt;"",O183=""),TRUE,FALSE)</f>
        <v>0</v>
      </c>
      <c r="BA183" s="898"/>
      <c r="BB183" s="899" t="b">
        <f>IF(AND($C183&lt;&gt;"",Q183=""),TRUE,FALSE)</f>
        <v>0</v>
      </c>
      <c r="BC183" s="1537" t="b">
        <f>IF(BD183=TRUE,FALSE,IF(W183="",FALSE,IF(OR(W183&lt;BO183,W183&gt;BaseYear),TRUE,FALSE)))</f>
        <v>0</v>
      </c>
      <c r="BD183" s="899" t="b">
        <f>IF(AND($C183&lt;&gt;"",W183=""),TRUE,FALSE)</f>
        <v>0</v>
      </c>
      <c r="BE183" s="1537"/>
      <c r="BF183" s="899" t="b">
        <f>IF(AND($C183&lt;&gt;"",AC183=""),TRUE,FALSE)</f>
        <v>0</v>
      </c>
      <c r="BG183" s="898"/>
      <c r="BH183" s="899" t="b">
        <f>IF(AND($C183&lt;&gt;"",AE183=""),TRUE,FALSE)</f>
        <v>0</v>
      </c>
      <c r="BI183" s="898"/>
      <c r="BJ183" s="899" t="b">
        <f>IF(AND($C183&lt;&gt;"",AG183=""),TRUE,FALSE)</f>
        <v>0</v>
      </c>
      <c r="BK183" s="898"/>
      <c r="BL183" s="898" t="b">
        <f>IF(AND($C183&lt;&gt;"",AI183=""),TRUE,FALSE)</f>
        <v>0</v>
      </c>
      <c r="BM183" s="894"/>
      <c r="BN183" s="898" t="str">
        <f t="shared" si="282"/>
        <v/>
      </c>
      <c r="BO183" s="898" t="str">
        <f>IFERROR(IF(AND(O183="",O183&lt;&gt;""),1913,VLOOKUP(O183,Valid!$B$99:$J$120,9)),"")</f>
        <v/>
      </c>
      <c r="BP183" s="898" t="str">
        <f t="shared" ca="1" si="354"/>
        <v/>
      </c>
      <c r="BQ183" s="1547" t="str">
        <f t="shared" ca="1" si="355"/>
        <v/>
      </c>
      <c r="BR183" s="898" t="str">
        <f ca="1">IF(BQ183="", "", IF(1+(BQ183*4)&lt;1, 1, 1+(BQ183*4)))</f>
        <v/>
      </c>
      <c r="BS183" s="898" t="str">
        <f t="shared" si="284"/>
        <v/>
      </c>
      <c r="BT183" s="898" t="str">
        <f t="shared" si="285"/>
        <v/>
      </c>
      <c r="BU183" s="1539" t="str">
        <f>IFERROR(IF(AND(#REF!="",C183&lt;&gt;""),Valid!$E$123,VLOOKUP(#REF!,Valid!$B$123:$F$125,4,FALSE)),"")</f>
        <v/>
      </c>
      <c r="BV183" s="1539" t="str">
        <f>IFERROR(IF(AND(#REF!="",C183&lt;&gt;""),Valid!$F$123,VLOOKUP(#REF!,Valid!$B$123:$F$125,5,FALSE)),"")</f>
        <v/>
      </c>
      <c r="BW183" s="1539" t="str">
        <f>IFERROR(VLOOKUP('A-70 RevVehInv'!S183,Valid!$B$99:$I$120,7), "")</f>
        <v/>
      </c>
      <c r="BX183" s="1539" t="str">
        <f>IFERROR(VLOOKUP(O183,Valid!$B$99:$I$120,8), "")</f>
        <v/>
      </c>
      <c r="BY183" s="894"/>
    </row>
    <row r="184" spans="1:77" ht="6.75" customHeight="1" x14ac:dyDescent="0.2">
      <c r="A184" s="1517"/>
      <c r="B184" s="1530">
        <v>86.5</v>
      </c>
      <c r="C184" s="1544"/>
      <c r="D184" s="905"/>
      <c r="E184" s="1545"/>
      <c r="F184" s="905"/>
      <c r="G184" s="905"/>
      <c r="H184" s="905"/>
      <c r="I184" s="1531"/>
      <c r="J184" s="905"/>
      <c r="K184" s="1531"/>
      <c r="L184" s="905"/>
      <c r="M184" s="1531"/>
      <c r="N184" s="1531"/>
      <c r="O184" s="1533"/>
      <c r="P184" s="905"/>
      <c r="Q184" s="1533"/>
      <c r="R184" s="905"/>
      <c r="S184" s="1531" t="str">
        <f t="shared" si="276"/>
        <v/>
      </c>
      <c r="T184" s="905"/>
      <c r="U184" s="1531"/>
      <c r="V184" s="252" t="str">
        <f t="shared" si="349"/>
        <v/>
      </c>
      <c r="W184" s="1531"/>
      <c r="X184" s="905"/>
      <c r="Y184" s="1971" t="str">
        <f t="shared" si="286"/>
        <v/>
      </c>
      <c r="Z184" s="905"/>
      <c r="AA184" s="1983" t="str">
        <f t="shared" si="287"/>
        <v/>
      </c>
      <c r="AB184" s="1531"/>
      <c r="AC184" s="1531"/>
      <c r="AD184" s="1531"/>
      <c r="AE184" s="1531"/>
      <c r="AF184" s="1531"/>
      <c r="AG184" s="1534"/>
      <c r="AH184" s="1531"/>
      <c r="AI184" s="1546"/>
      <c r="AJ184" s="1531"/>
      <c r="AK184" s="1531"/>
      <c r="AL184" s="1531"/>
      <c r="AM184" s="1531"/>
      <c r="AN184" s="1531"/>
      <c r="AO184" s="1531"/>
      <c r="AP184" s="1531"/>
      <c r="AQ184" s="1535"/>
      <c r="AR184" s="1534"/>
      <c r="AS184" s="1535"/>
      <c r="AT184" s="1534"/>
      <c r="AU184" s="1535"/>
      <c r="AV184" s="1534"/>
      <c r="AW184" s="1535"/>
      <c r="AX184" s="1534"/>
      <c r="AY184" s="1535"/>
      <c r="AZ184" s="1534"/>
      <c r="BA184" s="1535"/>
      <c r="BB184" s="1534"/>
      <c r="BC184" s="1535"/>
      <c r="BD184" s="1534"/>
      <c r="BE184" s="1535"/>
      <c r="BF184" s="1534"/>
      <c r="BG184" s="1535"/>
      <c r="BH184" s="1534"/>
      <c r="BI184" s="1535"/>
      <c r="BJ184" s="1534"/>
      <c r="BK184" s="1535"/>
      <c r="BL184" s="1535"/>
      <c r="BM184" s="1531"/>
      <c r="BN184" s="898" t="str">
        <f t="shared" si="282"/>
        <v/>
      </c>
      <c r="BO184" s="898" t="str">
        <f>IFERROR(IF(AND(O184="",O184&lt;&gt;""),1913,VLOOKUP(O184,Valid!$B$99:$J$120,9)),"")</f>
        <v/>
      </c>
      <c r="BP184" s="898" t="str">
        <f t="shared" ca="1" si="354"/>
        <v/>
      </c>
      <c r="BQ184" s="1547" t="str">
        <f t="shared" ca="1" si="355"/>
        <v/>
      </c>
      <c r="BR184" s="898"/>
      <c r="BS184" s="898" t="str">
        <f t="shared" si="284"/>
        <v/>
      </c>
      <c r="BT184" s="898" t="str">
        <f t="shared" si="285"/>
        <v/>
      </c>
      <c r="BU184" s="1539" t="str">
        <f>IFERROR(IF(AND(#REF!="",C184&lt;&gt;""),Valid!$E$123,VLOOKUP(#REF!,Valid!$B$123:$F$125,4,FALSE)),"")</f>
        <v/>
      </c>
      <c r="BV184" s="1539" t="str">
        <f>IFERROR(IF(AND(#REF!="",C184&lt;&gt;""),Valid!$F$123,VLOOKUP(#REF!,Valid!$B$123:$F$125,5,FALSE)),"")</f>
        <v/>
      </c>
      <c r="BW184" s="1539" t="str">
        <f>IFERROR(VLOOKUP('A-70 RevVehInv'!S184,Valid!$B$99:$I$120,7), "")</f>
        <v/>
      </c>
      <c r="BX184" s="1539" t="str">
        <f>IFERROR(VLOOKUP(O184,Valid!$B$99:$I$120,8), "")</f>
        <v/>
      </c>
      <c r="BY184" s="1531"/>
    </row>
    <row r="185" spans="1:77" s="930" customFormat="1" x14ac:dyDescent="0.2">
      <c r="A185" s="206">
        <v>87</v>
      </c>
      <c r="B185" s="1530">
        <v>87</v>
      </c>
      <c r="C185" s="933"/>
      <c r="D185" s="719" t="str">
        <f>IF(C183="","",IF((C185=""),"Enter RVI ID. then Fill in Columns "&amp;TEXT($I$2,0)&amp;" - "&amp;TEXT($AI$2,0)&amp;"       ",""))</f>
        <v/>
      </c>
      <c r="E185" s="1056" t="str">
        <f>IF(AP185="N/A","",AP185)</f>
        <v/>
      </c>
      <c r="F185" s="1536"/>
      <c r="G185" s="1536"/>
      <c r="H185" s="1536"/>
      <c r="I185" s="1023"/>
      <c r="J185" s="1536" t="str">
        <f>IF(E185&lt;&gt;"","Vehicles?    ","")</f>
        <v/>
      </c>
      <c r="K185" s="1023"/>
      <c r="L185" s="1536" t="str">
        <f>IF(E185&lt;&gt;"","Active Vehicles?     ","")</f>
        <v/>
      </c>
      <c r="M185" s="1023"/>
      <c r="N185" s="894"/>
      <c r="O185" s="1153"/>
      <c r="P185" s="252" t="str">
        <f>IF(E185&lt;&gt;"","Select from Pull-Down List    ","")</f>
        <v/>
      </c>
      <c r="Q185" s="933"/>
      <c r="R185" s="252" t="str">
        <f>IF(E185&lt;&gt;"","Select from Pull-Down List    ","")</f>
        <v/>
      </c>
      <c r="S185" s="1766" t="str">
        <f t="shared" si="276"/>
        <v/>
      </c>
      <c r="T185" s="252"/>
      <c r="U185" s="1988"/>
      <c r="V185" s="252" t="str">
        <f t="shared" si="349"/>
        <v/>
      </c>
      <c r="W185" s="139"/>
      <c r="X185" s="252" t="str">
        <f>IF(E185&lt;&gt;"","Mfg. Yr?    ","")</f>
        <v/>
      </c>
      <c r="Y185" s="1974" t="str">
        <f t="shared" si="286"/>
        <v/>
      </c>
      <c r="Z185" s="252"/>
      <c r="AA185" s="1986" t="str">
        <f t="shared" si="287"/>
        <v/>
      </c>
      <c r="AB185" s="252" t="str">
        <f>IF(E185&lt;&gt;"","Select from Pull-Down List    ","")</f>
        <v/>
      </c>
      <c r="AC185" s="1023"/>
      <c r="AD185" s="252" t="str">
        <f>IF(E185&lt;&gt;"","Feet?    ","")</f>
        <v/>
      </c>
      <c r="AE185" s="1023"/>
      <c r="AF185" s="252" t="str">
        <f>IF(E185&lt;&gt;"","Mileage?       ","")</f>
        <v/>
      </c>
      <c r="AG185" s="1023"/>
      <c r="AH185" s="252" t="str">
        <f>IF(E185&lt;&gt;"","Avg. Lifetime Mileage? ","")</f>
        <v/>
      </c>
      <c r="AI185" s="933"/>
      <c r="AJ185" s="252" t="str">
        <f>IF(E185&lt;&gt;"","Select from Pull-Down List    ","")</f>
        <v/>
      </c>
      <c r="AK185" s="171"/>
      <c r="AL185" s="252"/>
      <c r="AM185" s="894"/>
      <c r="AN185" s="894"/>
      <c r="AO185" s="894" t="b">
        <f>IF(AND(C185="",C187&lt;&gt;""),TRUE,FALSE)</f>
        <v>0</v>
      </c>
      <c r="AP185" s="888" t="str">
        <f t="shared" ref="AP185" si="376">IF(AND(C185&lt;&gt;"",OR(I185="",K185="",M185="",O185="",Q185="",W185="",AC185="",AE185="",AG185="")),"No",IF(AND(C185="",OR(I185&lt;&gt;"",K185&lt;&gt;"",M185&lt;&gt;"",O185&lt;&gt;"",Q185&lt;&gt;"",W185&lt;&gt;"",AC185&lt;&gt;"",AE185&lt;&gt;"",AG185&lt;&gt;"",AI185&lt;&gt;"",AK185&lt;&gt;"")),"No",IF(AND(C185="",I185="",K185="",M185="",O185="",Q185="",W185="",AC185="",AE185="",AG185="",AI185=""),"N/A","Yes")))</f>
        <v>N/A</v>
      </c>
      <c r="AQ185" s="898"/>
      <c r="AR185" s="899" t="b">
        <f t="shared" ref="AR185" si="377">IF(AND(OR(I185&lt;&gt;"",K185&lt;&gt;"",M185&lt;&gt;"",O185&lt;&gt;"",Q185&lt;&gt;"",W185&lt;&gt;"",AC185&lt;&gt;"",AE185&lt;&gt;"",AG185&lt;&gt;"",AI185&lt;&gt;"",AK185&lt;&gt;""),C185=""),TRUE,FALSE)</f>
        <v>0</v>
      </c>
      <c r="AS185" s="898" t="b">
        <f t="shared" ref="AS185" si="378">IF(AT185=TRUE,FALSE,IF(SUM(K185)&gt;I185,TRUE,FALSE))</f>
        <v>0</v>
      </c>
      <c r="AT185" s="899" t="b">
        <f>IF(AND(C185&lt;&gt;"",I185=""),TRUE,FALSE)</f>
        <v>0</v>
      </c>
      <c r="AU185" s="898" t="b">
        <f>IF(AV185=TRUE,FALSE,IF(M185&gt;K185,TRUE,FALSE))</f>
        <v>0</v>
      </c>
      <c r="AV185" s="899" t="b">
        <f>IF(AND($C185&lt;&gt;"",K185=""),TRUE,FALSE)</f>
        <v>0</v>
      </c>
      <c r="AW185" s="898"/>
      <c r="AX185" s="899" t="b">
        <f>IF(AND($C185&lt;&gt;"",M185=""),TRUE,FALSE)</f>
        <v>0</v>
      </c>
      <c r="AY185" s="898" t="b">
        <f t="shared" ref="AY185" si="379">IF(AND(O185="",OR(Q185&lt;&gt;"",W185&lt;&gt;"",AC185&lt;&gt;"",AE185&lt;&gt;"",AG185&lt;&gt;"",AI185&lt;&gt;"")),TRUE,FALSE)</f>
        <v>0</v>
      </c>
      <c r="AZ185" s="899" t="b">
        <f>IF(AND($C185&lt;&gt;"",O185=""),TRUE,FALSE)</f>
        <v>0</v>
      </c>
      <c r="BA185" s="898"/>
      <c r="BB185" s="899" t="b">
        <f>IF(AND($C185&lt;&gt;"",Q185=""),TRUE,FALSE)</f>
        <v>0</v>
      </c>
      <c r="BC185" s="1537" t="b">
        <f>IF(BD185=TRUE,FALSE,IF(W185="",FALSE,IF(OR(W185&lt;BO185,W185&gt;BaseYear),TRUE,FALSE)))</f>
        <v>0</v>
      </c>
      <c r="BD185" s="899" t="b">
        <f>IF(AND($C185&lt;&gt;"",W185=""),TRUE,FALSE)</f>
        <v>0</v>
      </c>
      <c r="BE185" s="1537"/>
      <c r="BF185" s="899" t="b">
        <f>IF(AND($C185&lt;&gt;"",AC185=""),TRUE,FALSE)</f>
        <v>0</v>
      </c>
      <c r="BG185" s="898"/>
      <c r="BH185" s="899" t="b">
        <f>IF(AND($C185&lt;&gt;"",AE185=""),TRUE,FALSE)</f>
        <v>0</v>
      </c>
      <c r="BI185" s="898"/>
      <c r="BJ185" s="899" t="b">
        <f>IF(AND($C185&lt;&gt;"",AG185=""),TRUE,FALSE)</f>
        <v>0</v>
      </c>
      <c r="BK185" s="898"/>
      <c r="BL185" s="898" t="b">
        <f>IF(AND($C185&lt;&gt;"",AI185=""),TRUE,FALSE)</f>
        <v>0</v>
      </c>
      <c r="BM185" s="894"/>
      <c r="BN185" s="898" t="str">
        <f t="shared" si="282"/>
        <v/>
      </c>
      <c r="BO185" s="898" t="str">
        <f>IFERROR(IF(AND(O185="",O185&lt;&gt;""),1913,VLOOKUP(O185,Valid!$B$99:$J$120,9)),"")</f>
        <v/>
      </c>
      <c r="BP185" s="898" t="str">
        <f t="shared" ca="1" si="354"/>
        <v/>
      </c>
      <c r="BQ185" s="1547" t="str">
        <f t="shared" ca="1" si="355"/>
        <v/>
      </c>
      <c r="BR185" s="898" t="str">
        <f ca="1">IF(BQ185="", "", IF(1+(BQ185*4)&lt;1, 1, 1+(BQ185*4)))</f>
        <v/>
      </c>
      <c r="BS185" s="898" t="str">
        <f t="shared" si="284"/>
        <v/>
      </c>
      <c r="BT185" s="898" t="str">
        <f t="shared" si="285"/>
        <v/>
      </c>
      <c r="BU185" s="1539" t="str">
        <f>IFERROR(IF(AND(#REF!="",C185&lt;&gt;""),Valid!$E$123,VLOOKUP(#REF!,Valid!$B$123:$F$125,4,FALSE)),"")</f>
        <v/>
      </c>
      <c r="BV185" s="1539" t="str">
        <f>IFERROR(IF(AND(#REF!="",C185&lt;&gt;""),Valid!$F$123,VLOOKUP(#REF!,Valid!$B$123:$F$125,5,FALSE)),"")</f>
        <v/>
      </c>
      <c r="BW185" s="1539" t="str">
        <f>IFERROR(VLOOKUP('A-70 RevVehInv'!S185,Valid!$B$99:$I$120,7), "")</f>
        <v/>
      </c>
      <c r="BX185" s="1539" t="str">
        <f>IFERROR(VLOOKUP(O185,Valid!$B$99:$I$120,8), "")</f>
        <v/>
      </c>
      <c r="BY185" s="894"/>
    </row>
    <row r="186" spans="1:77" ht="6.75" customHeight="1" x14ac:dyDescent="0.2">
      <c r="A186" s="1517"/>
      <c r="B186" s="1530">
        <v>87.5</v>
      </c>
      <c r="C186" s="1540"/>
      <c r="D186" s="905"/>
      <c r="E186" s="1541"/>
      <c r="F186" s="905"/>
      <c r="G186" s="905"/>
      <c r="H186" s="905"/>
      <c r="I186" s="1534"/>
      <c r="J186" s="905"/>
      <c r="K186" s="1534"/>
      <c r="L186" s="905"/>
      <c r="M186" s="1534"/>
      <c r="N186" s="1531"/>
      <c r="O186" s="1542"/>
      <c r="P186" s="905"/>
      <c r="Q186" s="1542"/>
      <c r="R186" s="905"/>
      <c r="S186" s="1534" t="str">
        <f t="shared" si="276"/>
        <v/>
      </c>
      <c r="T186" s="905"/>
      <c r="U186" s="1534"/>
      <c r="V186" s="252" t="str">
        <f t="shared" si="349"/>
        <v/>
      </c>
      <c r="W186" s="1534"/>
      <c r="X186" s="905"/>
      <c r="Y186" s="1973" t="str">
        <f t="shared" si="286"/>
        <v/>
      </c>
      <c r="Z186" s="905"/>
      <c r="AA186" s="1985" t="str">
        <f t="shared" si="287"/>
        <v/>
      </c>
      <c r="AB186" s="1531"/>
      <c r="AC186" s="1534"/>
      <c r="AD186" s="1531"/>
      <c r="AE186" s="1534"/>
      <c r="AF186" s="1531"/>
      <c r="AG186" s="1534"/>
      <c r="AH186" s="1531"/>
      <c r="AI186" s="1543"/>
      <c r="AJ186" s="1531"/>
      <c r="AK186" s="1534"/>
      <c r="AL186" s="1531"/>
      <c r="AM186" s="1531"/>
      <c r="AN186" s="1531"/>
      <c r="AO186" s="1531"/>
      <c r="AP186" s="1531"/>
      <c r="AQ186" s="1535"/>
      <c r="AR186" s="1534"/>
      <c r="AS186" s="1535"/>
      <c r="AT186" s="1534"/>
      <c r="AU186" s="1535"/>
      <c r="AV186" s="1534"/>
      <c r="AW186" s="1535"/>
      <c r="AX186" s="1534"/>
      <c r="AY186" s="1535"/>
      <c r="AZ186" s="1534"/>
      <c r="BA186" s="1535"/>
      <c r="BB186" s="1534"/>
      <c r="BC186" s="1535"/>
      <c r="BD186" s="1534"/>
      <c r="BE186" s="1535"/>
      <c r="BF186" s="1534"/>
      <c r="BG186" s="1535"/>
      <c r="BH186" s="1534"/>
      <c r="BI186" s="1535"/>
      <c r="BJ186" s="1534"/>
      <c r="BK186" s="1535"/>
      <c r="BL186" s="1535"/>
      <c r="BM186" s="1531"/>
      <c r="BN186" s="898" t="str">
        <f t="shared" si="282"/>
        <v/>
      </c>
      <c r="BO186" s="898" t="str">
        <f>IFERROR(IF(AND(O186="",O186&lt;&gt;""),1913,VLOOKUP(O186,Valid!$B$99:$J$120,9)),"")</f>
        <v/>
      </c>
      <c r="BP186" s="898" t="str">
        <f t="shared" ca="1" si="354"/>
        <v/>
      </c>
      <c r="BQ186" s="1547" t="str">
        <f t="shared" ca="1" si="355"/>
        <v/>
      </c>
      <c r="BR186" s="898"/>
      <c r="BS186" s="898" t="str">
        <f t="shared" si="284"/>
        <v/>
      </c>
      <c r="BT186" s="898" t="str">
        <f t="shared" si="285"/>
        <v/>
      </c>
      <c r="BU186" s="1539" t="str">
        <f>IFERROR(IF(AND(#REF!="",C186&lt;&gt;""),Valid!$E$123,VLOOKUP(#REF!,Valid!$B$123:$F$125,4,FALSE)),"")</f>
        <v/>
      </c>
      <c r="BV186" s="1539" t="str">
        <f>IFERROR(IF(AND(#REF!="",C186&lt;&gt;""),Valid!$F$123,VLOOKUP(#REF!,Valid!$B$123:$F$125,5,FALSE)),"")</f>
        <v/>
      </c>
      <c r="BW186" s="1539" t="str">
        <f>IFERROR(VLOOKUP('A-70 RevVehInv'!S186,Valid!$B$99:$I$120,7), "")</f>
        <v/>
      </c>
      <c r="BX186" s="1539" t="str">
        <f>IFERROR(VLOOKUP(O186,Valid!$B$99:$I$120,8), "")</f>
        <v/>
      </c>
      <c r="BY186" s="1531"/>
    </row>
    <row r="187" spans="1:77" s="930" customFormat="1" x14ac:dyDescent="0.2">
      <c r="A187" s="206">
        <v>88</v>
      </c>
      <c r="B187" s="1530">
        <v>88</v>
      </c>
      <c r="C187" s="933"/>
      <c r="D187" s="719" t="str">
        <f>IF(C185="","",IF((C187=""),"Enter RVI ID. then Fill in Columns "&amp;TEXT($I$2,0)&amp;" - "&amp;TEXT($AI$2,0)&amp;"       ",""))</f>
        <v/>
      </c>
      <c r="E187" s="1056" t="str">
        <f>IF(AP187="N/A","",AP187)</f>
        <v/>
      </c>
      <c r="F187" s="1536"/>
      <c r="G187" s="1536"/>
      <c r="H187" s="1536"/>
      <c r="I187" s="1023"/>
      <c r="J187" s="1536" t="str">
        <f>IF(E187&lt;&gt;"","Vehicles?    ","")</f>
        <v/>
      </c>
      <c r="K187" s="1023"/>
      <c r="L187" s="1536" t="str">
        <f>IF(E187&lt;&gt;"","Active Vehicles?     ","")</f>
        <v/>
      </c>
      <c r="M187" s="1023"/>
      <c r="N187" s="894"/>
      <c r="O187" s="1153"/>
      <c r="P187" s="252" t="str">
        <f>IF(E187&lt;&gt;"","Select from Pull-Down List    ","")</f>
        <v/>
      </c>
      <c r="Q187" s="933"/>
      <c r="R187" s="252" t="str">
        <f>IF(E187&lt;&gt;"","Select from Pull-Down List    ","")</f>
        <v/>
      </c>
      <c r="S187" s="1766" t="str">
        <f t="shared" si="276"/>
        <v/>
      </c>
      <c r="T187" s="252"/>
      <c r="U187" s="1988"/>
      <c r="V187" s="252" t="str">
        <f t="shared" si="349"/>
        <v/>
      </c>
      <c r="W187" s="139"/>
      <c r="X187" s="252" t="str">
        <f>IF(E187&lt;&gt;"","Mfg. Yr?    ","")</f>
        <v/>
      </c>
      <c r="Y187" s="1974" t="str">
        <f t="shared" si="286"/>
        <v/>
      </c>
      <c r="Z187" s="252"/>
      <c r="AA187" s="1986" t="str">
        <f t="shared" si="287"/>
        <v/>
      </c>
      <c r="AB187" s="252" t="str">
        <f>IF(E187&lt;&gt;"","Select from Pull-Down List    ","")</f>
        <v/>
      </c>
      <c r="AC187" s="1023"/>
      <c r="AD187" s="252" t="str">
        <f>IF(E187&lt;&gt;"","Feet?    ","")</f>
        <v/>
      </c>
      <c r="AE187" s="1023"/>
      <c r="AF187" s="252" t="str">
        <f>IF(E187&lt;&gt;"","Mileage?       ","")</f>
        <v/>
      </c>
      <c r="AG187" s="1023"/>
      <c r="AH187" s="252" t="str">
        <f>IF(E187&lt;&gt;"","Avg. Lifetime Mileage? ","")</f>
        <v/>
      </c>
      <c r="AI187" s="933"/>
      <c r="AJ187" s="252" t="str">
        <f>IF(E187&lt;&gt;"","Select from Pull-Down List    ","")</f>
        <v/>
      </c>
      <c r="AK187" s="171"/>
      <c r="AL187" s="252"/>
      <c r="AM187" s="894"/>
      <c r="AN187" s="894"/>
      <c r="AO187" s="894" t="b">
        <f>IF(AND(C187="",C189&lt;&gt;""),TRUE,FALSE)</f>
        <v>0</v>
      </c>
      <c r="AP187" s="888" t="str">
        <f t="shared" ref="AP187" si="380">IF(AND(C187&lt;&gt;"",OR(I187="",K187="",M187="",O187="",Q187="",W187="",AC187="",AE187="",AG187="")),"No",IF(AND(C187="",OR(I187&lt;&gt;"",K187&lt;&gt;"",M187&lt;&gt;"",O187&lt;&gt;"",Q187&lt;&gt;"",W187&lt;&gt;"",AC187&lt;&gt;"",AE187&lt;&gt;"",AG187&lt;&gt;"",AI187&lt;&gt;"",AK187&lt;&gt;"")),"No",IF(AND(C187="",I187="",K187="",M187="",O187="",Q187="",W187="",AC187="",AE187="",AG187="",AI187=""),"N/A","Yes")))</f>
        <v>N/A</v>
      </c>
      <c r="AQ187" s="898"/>
      <c r="AR187" s="899" t="b">
        <f t="shared" ref="AR187" si="381">IF(AND(OR(I187&lt;&gt;"",K187&lt;&gt;"",M187&lt;&gt;"",O187&lt;&gt;"",Q187&lt;&gt;"",W187&lt;&gt;"",AC187&lt;&gt;"",AE187&lt;&gt;"",AG187&lt;&gt;"",AI187&lt;&gt;"",AK187&lt;&gt;""),C187=""),TRUE,FALSE)</f>
        <v>0</v>
      </c>
      <c r="AS187" s="898" t="b">
        <f t="shared" ref="AS187" si="382">IF(AT187=TRUE,FALSE,IF(SUM(K187)&gt;I187,TRUE,FALSE))</f>
        <v>0</v>
      </c>
      <c r="AT187" s="899" t="b">
        <f>IF(AND(C187&lt;&gt;"",I187=""),TRUE,FALSE)</f>
        <v>0</v>
      </c>
      <c r="AU187" s="898" t="b">
        <f>IF(AV187=TRUE,FALSE,IF(M187&gt;K187,TRUE,FALSE))</f>
        <v>0</v>
      </c>
      <c r="AV187" s="899" t="b">
        <f>IF(AND($C187&lt;&gt;"",K187=""),TRUE,FALSE)</f>
        <v>0</v>
      </c>
      <c r="AW187" s="898"/>
      <c r="AX187" s="899" t="b">
        <f>IF(AND($C187&lt;&gt;"",M187=""),TRUE,FALSE)</f>
        <v>0</v>
      </c>
      <c r="AY187" s="898" t="b">
        <f t="shared" ref="AY187" si="383">IF(AND(O187="",OR(Q187&lt;&gt;"",W187&lt;&gt;"",AC187&lt;&gt;"",AE187&lt;&gt;"",AG187&lt;&gt;"",AI187&lt;&gt;"")),TRUE,FALSE)</f>
        <v>0</v>
      </c>
      <c r="AZ187" s="899" t="b">
        <f>IF(AND($C187&lt;&gt;"",O187=""),TRUE,FALSE)</f>
        <v>0</v>
      </c>
      <c r="BA187" s="898"/>
      <c r="BB187" s="899" t="b">
        <f>IF(AND($C187&lt;&gt;"",Q187=""),TRUE,FALSE)</f>
        <v>0</v>
      </c>
      <c r="BC187" s="1537" t="b">
        <f>IF(BD187=TRUE,FALSE,IF(W187="",FALSE,IF(OR(W187&lt;BO187,W187&gt;BaseYear),TRUE,FALSE)))</f>
        <v>0</v>
      </c>
      <c r="BD187" s="899" t="b">
        <f>IF(AND($C187&lt;&gt;"",W187=""),TRUE,FALSE)</f>
        <v>0</v>
      </c>
      <c r="BE187" s="1537"/>
      <c r="BF187" s="899" t="b">
        <f>IF(AND($C187&lt;&gt;"",AC187=""),TRUE,FALSE)</f>
        <v>0</v>
      </c>
      <c r="BG187" s="898"/>
      <c r="BH187" s="899" t="b">
        <f>IF(AND($C187&lt;&gt;"",AE187=""),TRUE,FALSE)</f>
        <v>0</v>
      </c>
      <c r="BI187" s="898"/>
      <c r="BJ187" s="899" t="b">
        <f>IF(AND($C187&lt;&gt;"",AG187=""),TRUE,FALSE)</f>
        <v>0</v>
      </c>
      <c r="BK187" s="898"/>
      <c r="BL187" s="898" t="b">
        <f>IF(AND($C187&lt;&gt;"",AI187=""),TRUE,FALSE)</f>
        <v>0</v>
      </c>
      <c r="BM187" s="894"/>
      <c r="BN187" s="898" t="str">
        <f t="shared" si="282"/>
        <v/>
      </c>
      <c r="BO187" s="898" t="str">
        <f>IFERROR(IF(AND(O187="",O187&lt;&gt;""),1913,VLOOKUP(O187,Valid!$B$99:$J$120,9)),"")</f>
        <v/>
      </c>
      <c r="BP187" s="898" t="str">
        <f t="shared" ca="1" si="354"/>
        <v/>
      </c>
      <c r="BQ187" s="1547" t="str">
        <f t="shared" ca="1" si="355"/>
        <v/>
      </c>
      <c r="BR187" s="898" t="str">
        <f ca="1">IF(BQ187="", "", IF(1+(BQ187*4)&lt;1, 1, 1+(BQ187*4)))</f>
        <v/>
      </c>
      <c r="BS187" s="898" t="str">
        <f t="shared" si="284"/>
        <v/>
      </c>
      <c r="BT187" s="898" t="str">
        <f t="shared" si="285"/>
        <v/>
      </c>
      <c r="BU187" s="1539" t="str">
        <f>IFERROR(IF(AND(#REF!="",C187&lt;&gt;""),Valid!$E$123,VLOOKUP(#REF!,Valid!$B$123:$F$125,4,FALSE)),"")</f>
        <v/>
      </c>
      <c r="BV187" s="1539" t="str">
        <f>IFERROR(IF(AND(#REF!="",C187&lt;&gt;""),Valid!$F$123,VLOOKUP(#REF!,Valid!$B$123:$F$125,5,FALSE)),"")</f>
        <v/>
      </c>
      <c r="BW187" s="1539" t="str">
        <f>IFERROR(VLOOKUP('A-70 RevVehInv'!S187,Valid!$B$99:$I$120,7), "")</f>
        <v/>
      </c>
      <c r="BX187" s="1539" t="str">
        <f>IFERROR(VLOOKUP(O187,Valid!$B$99:$I$120,8), "")</f>
        <v/>
      </c>
      <c r="BY187" s="894"/>
    </row>
    <row r="188" spans="1:77" ht="6.75" customHeight="1" x14ac:dyDescent="0.2">
      <c r="A188" s="1517"/>
      <c r="B188" s="1530">
        <v>88.5</v>
      </c>
      <c r="C188" s="1544"/>
      <c r="D188" s="905"/>
      <c r="E188" s="1545"/>
      <c r="F188" s="905"/>
      <c r="G188" s="905"/>
      <c r="H188" s="905"/>
      <c r="I188" s="1531"/>
      <c r="J188" s="905"/>
      <c r="K188" s="1531"/>
      <c r="L188" s="905"/>
      <c r="M188" s="1531"/>
      <c r="N188" s="1531"/>
      <c r="O188" s="1533"/>
      <c r="P188" s="905"/>
      <c r="Q188" s="1533"/>
      <c r="R188" s="905"/>
      <c r="S188" s="1531" t="str">
        <f t="shared" si="276"/>
        <v/>
      </c>
      <c r="T188" s="905"/>
      <c r="U188" s="1531"/>
      <c r="V188" s="252" t="str">
        <f t="shared" si="349"/>
        <v/>
      </c>
      <c r="W188" s="1531"/>
      <c r="X188" s="905"/>
      <c r="Y188" s="1971" t="str">
        <f t="shared" si="286"/>
        <v/>
      </c>
      <c r="Z188" s="905"/>
      <c r="AA188" s="1983" t="str">
        <f t="shared" si="287"/>
        <v/>
      </c>
      <c r="AB188" s="1531"/>
      <c r="AC188" s="1531"/>
      <c r="AD188" s="1531"/>
      <c r="AE188" s="1531"/>
      <c r="AF188" s="1531"/>
      <c r="AG188" s="1534"/>
      <c r="AH188" s="1531"/>
      <c r="AI188" s="1546"/>
      <c r="AJ188" s="1531"/>
      <c r="AK188" s="1531"/>
      <c r="AL188" s="1531"/>
      <c r="AM188" s="1531"/>
      <c r="AN188" s="1531"/>
      <c r="AO188" s="1531"/>
      <c r="AP188" s="1531"/>
      <c r="AQ188" s="1535"/>
      <c r="AR188" s="1534"/>
      <c r="AS188" s="1535"/>
      <c r="AT188" s="1534"/>
      <c r="AU188" s="1535"/>
      <c r="AV188" s="1534"/>
      <c r="AW188" s="1535"/>
      <c r="AX188" s="1534"/>
      <c r="AY188" s="1535"/>
      <c r="AZ188" s="1534"/>
      <c r="BA188" s="1535"/>
      <c r="BB188" s="1534"/>
      <c r="BC188" s="1535"/>
      <c r="BD188" s="1534"/>
      <c r="BE188" s="1535"/>
      <c r="BF188" s="1534"/>
      <c r="BG188" s="1535"/>
      <c r="BH188" s="1534"/>
      <c r="BI188" s="1535"/>
      <c r="BJ188" s="1534"/>
      <c r="BK188" s="1535"/>
      <c r="BL188" s="1535"/>
      <c r="BM188" s="1531"/>
      <c r="BN188" s="898" t="str">
        <f t="shared" si="282"/>
        <v/>
      </c>
      <c r="BO188" s="898" t="str">
        <f>IFERROR(IF(AND(O188="",O188&lt;&gt;""),1913,VLOOKUP(O188,Valid!$B$99:$J$120,9)),"")</f>
        <v/>
      </c>
      <c r="BP188" s="898" t="str">
        <f t="shared" ca="1" si="354"/>
        <v/>
      </c>
      <c r="BQ188" s="1547" t="str">
        <f t="shared" ca="1" si="355"/>
        <v/>
      </c>
      <c r="BR188" s="898"/>
      <c r="BS188" s="898" t="str">
        <f t="shared" si="284"/>
        <v/>
      </c>
      <c r="BT188" s="898" t="str">
        <f t="shared" si="285"/>
        <v/>
      </c>
      <c r="BU188" s="1539" t="str">
        <f>IFERROR(IF(AND(#REF!="",C188&lt;&gt;""),Valid!$E$123,VLOOKUP(#REF!,Valid!$B$123:$F$125,4,FALSE)),"")</f>
        <v/>
      </c>
      <c r="BV188" s="1539" t="str">
        <f>IFERROR(IF(AND(#REF!="",C188&lt;&gt;""),Valid!$F$123,VLOOKUP(#REF!,Valid!$B$123:$F$125,5,FALSE)),"")</f>
        <v/>
      </c>
      <c r="BW188" s="1539" t="str">
        <f>IFERROR(VLOOKUP('A-70 RevVehInv'!S188,Valid!$B$99:$I$120,7), "")</f>
        <v/>
      </c>
      <c r="BX188" s="1539" t="str">
        <f>IFERROR(VLOOKUP(O188,Valid!$B$99:$I$120,8), "")</f>
        <v/>
      </c>
      <c r="BY188" s="1531"/>
    </row>
    <row r="189" spans="1:77" s="930" customFormat="1" x14ac:dyDescent="0.2">
      <c r="A189" s="206">
        <v>89</v>
      </c>
      <c r="B189" s="1530">
        <v>89</v>
      </c>
      <c r="C189" s="933"/>
      <c r="D189" s="719" t="str">
        <f>IF(C187="","",IF((C189=""),"Enter RVI ID. then Fill in Columns "&amp;TEXT($I$2,0)&amp;" - "&amp;TEXT($AI$2,0)&amp;"       ",""))</f>
        <v/>
      </c>
      <c r="E189" s="1056" t="str">
        <f>IF(AP189="N/A","",AP189)</f>
        <v/>
      </c>
      <c r="F189" s="1536"/>
      <c r="G189" s="1536"/>
      <c r="H189" s="1536"/>
      <c r="I189" s="1023"/>
      <c r="J189" s="1536" t="str">
        <f>IF(E189&lt;&gt;"","Vehicles?    ","")</f>
        <v/>
      </c>
      <c r="K189" s="1023"/>
      <c r="L189" s="1536" t="str">
        <f>IF(E189&lt;&gt;"","Active Vehicles?     ","")</f>
        <v/>
      </c>
      <c r="M189" s="1023"/>
      <c r="N189" s="894"/>
      <c r="O189" s="1153"/>
      <c r="P189" s="252" t="str">
        <f>IF(E189&lt;&gt;"","Select from Pull-Down List    ","")</f>
        <v/>
      </c>
      <c r="Q189" s="933"/>
      <c r="R189" s="252" t="str">
        <f>IF(E189&lt;&gt;"","Select from Pull-Down List    ","")</f>
        <v/>
      </c>
      <c r="S189" s="1766" t="str">
        <f t="shared" si="276"/>
        <v/>
      </c>
      <c r="T189" s="252"/>
      <c r="U189" s="1988"/>
      <c r="V189" s="252" t="str">
        <f t="shared" si="349"/>
        <v/>
      </c>
      <c r="W189" s="139"/>
      <c r="X189" s="252" t="str">
        <f>IF(E189&lt;&gt;"","Mfg. Yr?    ","")</f>
        <v/>
      </c>
      <c r="Y189" s="1974" t="str">
        <f t="shared" si="286"/>
        <v/>
      </c>
      <c r="Z189" s="252"/>
      <c r="AA189" s="1986" t="str">
        <f t="shared" si="287"/>
        <v/>
      </c>
      <c r="AB189" s="252" t="str">
        <f>IF(E189&lt;&gt;"","Select from Pull-Down List    ","")</f>
        <v/>
      </c>
      <c r="AC189" s="1023"/>
      <c r="AD189" s="252" t="str">
        <f>IF(E189&lt;&gt;"","Feet?    ","")</f>
        <v/>
      </c>
      <c r="AE189" s="1023"/>
      <c r="AF189" s="252" t="str">
        <f>IF(E189&lt;&gt;"","Mileage?       ","")</f>
        <v/>
      </c>
      <c r="AG189" s="1023"/>
      <c r="AH189" s="252" t="str">
        <f>IF(E189&lt;&gt;"","Avg. Lifetime Mileage? ","")</f>
        <v/>
      </c>
      <c r="AI189" s="933"/>
      <c r="AJ189" s="252" t="str">
        <f>IF(E189&lt;&gt;"","Select from Pull-Down List    ","")</f>
        <v/>
      </c>
      <c r="AK189" s="171"/>
      <c r="AL189" s="252"/>
      <c r="AM189" s="894"/>
      <c r="AN189" s="894"/>
      <c r="AO189" s="894" t="b">
        <f>IF(AND(C189="",C191&lt;&gt;""),TRUE,FALSE)</f>
        <v>0</v>
      </c>
      <c r="AP189" s="888" t="str">
        <f t="shared" ref="AP189" si="384">IF(AND(C189&lt;&gt;"",OR(I189="",K189="",M189="",O189="",Q189="",W189="",AC189="",AE189="",AG189="")),"No",IF(AND(C189="",OR(I189&lt;&gt;"",K189&lt;&gt;"",M189&lt;&gt;"",O189&lt;&gt;"",Q189&lt;&gt;"",W189&lt;&gt;"",AC189&lt;&gt;"",AE189&lt;&gt;"",AG189&lt;&gt;"",AI189&lt;&gt;"",AK189&lt;&gt;"")),"No",IF(AND(C189="",I189="",K189="",M189="",O189="",Q189="",W189="",AC189="",AE189="",AG189="",AI189=""),"N/A","Yes")))</f>
        <v>N/A</v>
      </c>
      <c r="AQ189" s="898"/>
      <c r="AR189" s="899" t="b">
        <f t="shared" ref="AR189" si="385">IF(AND(OR(I189&lt;&gt;"",K189&lt;&gt;"",M189&lt;&gt;"",O189&lt;&gt;"",Q189&lt;&gt;"",W189&lt;&gt;"",AC189&lt;&gt;"",AE189&lt;&gt;"",AG189&lt;&gt;"",AI189&lt;&gt;"",AK189&lt;&gt;""),C189=""),TRUE,FALSE)</f>
        <v>0</v>
      </c>
      <c r="AS189" s="898" t="b">
        <f t="shared" ref="AS189" si="386">IF(AT189=TRUE,FALSE,IF(SUM(K189)&gt;I189,TRUE,FALSE))</f>
        <v>0</v>
      </c>
      <c r="AT189" s="899" t="b">
        <f>IF(AND(C189&lt;&gt;"",I189=""),TRUE,FALSE)</f>
        <v>0</v>
      </c>
      <c r="AU189" s="898" t="b">
        <f>IF(AV189=TRUE,FALSE,IF(M189&gt;K189,TRUE,FALSE))</f>
        <v>0</v>
      </c>
      <c r="AV189" s="899" t="b">
        <f>IF(AND($C189&lt;&gt;"",K189=""),TRUE,FALSE)</f>
        <v>0</v>
      </c>
      <c r="AW189" s="898"/>
      <c r="AX189" s="899" t="b">
        <f>IF(AND($C189&lt;&gt;"",M189=""),TRUE,FALSE)</f>
        <v>0</v>
      </c>
      <c r="AY189" s="898" t="b">
        <f t="shared" ref="AY189" si="387">IF(AND(O189="",OR(Q189&lt;&gt;"",W189&lt;&gt;"",AC189&lt;&gt;"",AE189&lt;&gt;"",AG189&lt;&gt;"",AI189&lt;&gt;"")),TRUE,FALSE)</f>
        <v>0</v>
      </c>
      <c r="AZ189" s="899" t="b">
        <f>IF(AND($C189&lt;&gt;"",O189=""),TRUE,FALSE)</f>
        <v>0</v>
      </c>
      <c r="BA189" s="898"/>
      <c r="BB189" s="899" t="b">
        <f>IF(AND($C189&lt;&gt;"",Q189=""),TRUE,FALSE)</f>
        <v>0</v>
      </c>
      <c r="BC189" s="1537" t="b">
        <f>IF(BD189=TRUE,FALSE,IF(W189="",FALSE,IF(OR(W189&lt;BO189,W189&gt;BaseYear),TRUE,FALSE)))</f>
        <v>0</v>
      </c>
      <c r="BD189" s="899" t="b">
        <f>IF(AND($C189&lt;&gt;"",W189=""),TRUE,FALSE)</f>
        <v>0</v>
      </c>
      <c r="BE189" s="1537"/>
      <c r="BF189" s="899" t="b">
        <f>IF(AND($C189&lt;&gt;"",AC189=""),TRUE,FALSE)</f>
        <v>0</v>
      </c>
      <c r="BG189" s="898"/>
      <c r="BH189" s="899" t="b">
        <f>IF(AND($C189&lt;&gt;"",AE189=""),TRUE,FALSE)</f>
        <v>0</v>
      </c>
      <c r="BI189" s="898"/>
      <c r="BJ189" s="899" t="b">
        <f>IF(AND($C189&lt;&gt;"",AG189=""),TRUE,FALSE)</f>
        <v>0</v>
      </c>
      <c r="BK189" s="898"/>
      <c r="BL189" s="898" t="b">
        <f>IF(AND($C189&lt;&gt;"",AI189=""),TRUE,FALSE)</f>
        <v>0</v>
      </c>
      <c r="BM189" s="894"/>
      <c r="BN189" s="898" t="str">
        <f t="shared" si="282"/>
        <v/>
      </c>
      <c r="BO189" s="898" t="str">
        <f>IFERROR(IF(AND(O189="",O189&lt;&gt;""),1913,VLOOKUP(O189,Valid!$B$99:$J$120,9)),"")</f>
        <v/>
      </c>
      <c r="BP189" s="898" t="str">
        <f t="shared" ca="1" si="354"/>
        <v/>
      </c>
      <c r="BQ189" s="1547" t="str">
        <f t="shared" ca="1" si="355"/>
        <v/>
      </c>
      <c r="BR189" s="898" t="str">
        <f ca="1">IF(BQ189="", "", IF(1+(BQ189*4)&lt;1, 1, 1+(BQ189*4)))</f>
        <v/>
      </c>
      <c r="BS189" s="898" t="str">
        <f t="shared" si="284"/>
        <v/>
      </c>
      <c r="BT189" s="898" t="str">
        <f t="shared" si="285"/>
        <v/>
      </c>
      <c r="BU189" s="1539" t="str">
        <f>IFERROR(IF(AND(#REF!="",C189&lt;&gt;""),Valid!$E$123,VLOOKUP(#REF!,Valid!$B$123:$F$125,4,FALSE)),"")</f>
        <v/>
      </c>
      <c r="BV189" s="1539" t="str">
        <f>IFERROR(IF(AND(#REF!="",C189&lt;&gt;""),Valid!$F$123,VLOOKUP(#REF!,Valid!$B$123:$F$125,5,FALSE)),"")</f>
        <v/>
      </c>
      <c r="BW189" s="1539" t="str">
        <f>IFERROR(VLOOKUP('A-70 RevVehInv'!S189,Valid!$B$99:$I$120,7), "")</f>
        <v/>
      </c>
      <c r="BX189" s="1539" t="str">
        <f>IFERROR(VLOOKUP(O189,Valid!$B$99:$I$120,8), "")</f>
        <v/>
      </c>
      <c r="BY189" s="894"/>
    </row>
    <row r="190" spans="1:77" ht="6.75" customHeight="1" x14ac:dyDescent="0.2">
      <c r="A190" s="1517"/>
      <c r="B190" s="1530">
        <v>89.5</v>
      </c>
      <c r="C190" s="1540"/>
      <c r="D190" s="905"/>
      <c r="E190" s="1541"/>
      <c r="F190" s="905"/>
      <c r="G190" s="905"/>
      <c r="H190" s="905"/>
      <c r="I190" s="1534"/>
      <c r="J190" s="905"/>
      <c r="K190" s="1534"/>
      <c r="L190" s="905"/>
      <c r="M190" s="1534"/>
      <c r="N190" s="1531"/>
      <c r="O190" s="1542"/>
      <c r="P190" s="905"/>
      <c r="Q190" s="1542"/>
      <c r="R190" s="905"/>
      <c r="S190" s="1534" t="str">
        <f t="shared" si="276"/>
        <v/>
      </c>
      <c r="T190" s="905"/>
      <c r="U190" s="1534"/>
      <c r="V190" s="252" t="str">
        <f t="shared" si="349"/>
        <v/>
      </c>
      <c r="W190" s="1534"/>
      <c r="X190" s="905"/>
      <c r="Y190" s="1973" t="str">
        <f t="shared" si="286"/>
        <v/>
      </c>
      <c r="Z190" s="905"/>
      <c r="AA190" s="1985" t="str">
        <f t="shared" si="287"/>
        <v/>
      </c>
      <c r="AB190" s="1531"/>
      <c r="AC190" s="1534"/>
      <c r="AD190" s="1531"/>
      <c r="AE190" s="1534"/>
      <c r="AF190" s="1531"/>
      <c r="AG190" s="1534"/>
      <c r="AH190" s="1531"/>
      <c r="AI190" s="1543"/>
      <c r="AJ190" s="1531"/>
      <c r="AK190" s="1534"/>
      <c r="AL190" s="1531"/>
      <c r="AM190" s="1531"/>
      <c r="AN190" s="1531"/>
      <c r="AO190" s="1531"/>
      <c r="AP190" s="1531"/>
      <c r="AQ190" s="1535"/>
      <c r="AR190" s="1534"/>
      <c r="AS190" s="1535"/>
      <c r="AT190" s="1534"/>
      <c r="AU190" s="1535"/>
      <c r="AV190" s="1534"/>
      <c r="AW190" s="1535"/>
      <c r="AX190" s="1534"/>
      <c r="AY190" s="1535"/>
      <c r="AZ190" s="1534"/>
      <c r="BA190" s="1535"/>
      <c r="BB190" s="1534"/>
      <c r="BC190" s="1535"/>
      <c r="BD190" s="1534"/>
      <c r="BE190" s="1535"/>
      <c r="BF190" s="1534"/>
      <c r="BG190" s="1535"/>
      <c r="BH190" s="1534"/>
      <c r="BI190" s="1535"/>
      <c r="BJ190" s="1534"/>
      <c r="BK190" s="1535"/>
      <c r="BL190" s="1535"/>
      <c r="BM190" s="1531"/>
      <c r="BN190" s="898" t="str">
        <f t="shared" si="282"/>
        <v/>
      </c>
      <c r="BO190" s="898" t="str">
        <f>IFERROR(IF(AND(O190="",O190&lt;&gt;""),1913,VLOOKUP(O190,Valid!$B$99:$J$120,9)),"")</f>
        <v/>
      </c>
      <c r="BP190" s="898" t="str">
        <f t="shared" ca="1" si="354"/>
        <v/>
      </c>
      <c r="BQ190" s="1547" t="str">
        <f t="shared" ca="1" si="355"/>
        <v/>
      </c>
      <c r="BR190" s="898"/>
      <c r="BS190" s="898" t="str">
        <f t="shared" si="284"/>
        <v/>
      </c>
      <c r="BT190" s="898" t="str">
        <f t="shared" si="285"/>
        <v/>
      </c>
      <c r="BU190" s="1539" t="str">
        <f>IFERROR(IF(AND(#REF!="",C190&lt;&gt;""),Valid!$E$123,VLOOKUP(#REF!,Valid!$B$123:$F$125,4,FALSE)),"")</f>
        <v/>
      </c>
      <c r="BV190" s="1539" t="str">
        <f>IFERROR(IF(AND(#REF!="",C190&lt;&gt;""),Valid!$F$123,VLOOKUP(#REF!,Valid!$B$123:$F$125,5,FALSE)),"")</f>
        <v/>
      </c>
      <c r="BW190" s="1539" t="str">
        <f>IFERROR(VLOOKUP('A-70 RevVehInv'!S190,Valid!$B$99:$I$120,7), "")</f>
        <v/>
      </c>
      <c r="BX190" s="1539" t="str">
        <f>IFERROR(VLOOKUP(O190,Valid!$B$99:$I$120,8), "")</f>
        <v/>
      </c>
      <c r="BY190" s="1531"/>
    </row>
    <row r="191" spans="1:77" s="930" customFormat="1" x14ac:dyDescent="0.2">
      <c r="A191" s="206">
        <v>90</v>
      </c>
      <c r="B191" s="1530">
        <v>90</v>
      </c>
      <c r="C191" s="933"/>
      <c r="D191" s="719" t="str">
        <f>IF(C189="","",IF((C191=""),"Enter RVI ID. then Fill in Columns "&amp;TEXT($I$2,0)&amp;" - "&amp;TEXT($AI$2,0)&amp;"       ",""))</f>
        <v/>
      </c>
      <c r="E191" s="1056" t="str">
        <f>IF(AP191="N/A","",AP191)</f>
        <v/>
      </c>
      <c r="F191" s="1536"/>
      <c r="G191" s="1536"/>
      <c r="H191" s="1536"/>
      <c r="I191" s="1023"/>
      <c r="J191" s="1536" t="str">
        <f>IF(E191&lt;&gt;"","Vehicles?    ","")</f>
        <v/>
      </c>
      <c r="K191" s="1023"/>
      <c r="L191" s="1536" t="str">
        <f>IF(E191&lt;&gt;"","Active Vehicles?     ","")</f>
        <v/>
      </c>
      <c r="M191" s="1023"/>
      <c r="N191" s="894"/>
      <c r="O191" s="1153"/>
      <c r="P191" s="252" t="str">
        <f>IF(E191&lt;&gt;"","Select from Pull-Down List    ","")</f>
        <v/>
      </c>
      <c r="Q191" s="933"/>
      <c r="R191" s="252" t="str">
        <f>IF(E191&lt;&gt;"","Select from Pull-Down List    ","")</f>
        <v/>
      </c>
      <c r="S191" s="1766" t="str">
        <f t="shared" si="276"/>
        <v/>
      </c>
      <c r="T191" s="252"/>
      <c r="U191" s="1988"/>
      <c r="V191" s="252" t="str">
        <f t="shared" si="349"/>
        <v/>
      </c>
      <c r="W191" s="139"/>
      <c r="X191" s="252" t="str">
        <f>IF(E191&lt;&gt;"","Mfg. Yr?    ","")</f>
        <v/>
      </c>
      <c r="Y191" s="1974" t="str">
        <f t="shared" si="286"/>
        <v/>
      </c>
      <c r="Z191" s="252"/>
      <c r="AA191" s="1986" t="str">
        <f t="shared" si="287"/>
        <v/>
      </c>
      <c r="AB191" s="252" t="str">
        <f>IF(E191&lt;&gt;"","Select from Pull-Down List    ","")</f>
        <v/>
      </c>
      <c r="AC191" s="1023"/>
      <c r="AD191" s="252" t="str">
        <f>IF(E191&lt;&gt;"","Feet?    ","")</f>
        <v/>
      </c>
      <c r="AE191" s="1023"/>
      <c r="AF191" s="252" t="str">
        <f>IF(E191&lt;&gt;"","Mileage?       ","")</f>
        <v/>
      </c>
      <c r="AG191" s="1023"/>
      <c r="AH191" s="252" t="str">
        <f>IF(E191&lt;&gt;"","Avg. Lifetime Mileage? ","")</f>
        <v/>
      </c>
      <c r="AI191" s="933"/>
      <c r="AJ191" s="252" t="str">
        <f>IF(E191&lt;&gt;"","Select from Pull-Down List    ","")</f>
        <v/>
      </c>
      <c r="AK191" s="171"/>
      <c r="AL191" s="252"/>
      <c r="AM191" s="894"/>
      <c r="AN191" s="894"/>
      <c r="AO191" s="894" t="b">
        <f>IF(AND(C191="",C193&lt;&gt;""),TRUE,FALSE)</f>
        <v>0</v>
      </c>
      <c r="AP191" s="888" t="str">
        <f t="shared" ref="AP191" si="388">IF(AND(C191&lt;&gt;"",OR(I191="",K191="",M191="",O191="",Q191="",W191="",AC191="",AE191="",AG191="")),"No",IF(AND(C191="",OR(I191&lt;&gt;"",K191&lt;&gt;"",M191&lt;&gt;"",O191&lt;&gt;"",Q191&lt;&gt;"",W191&lt;&gt;"",AC191&lt;&gt;"",AE191&lt;&gt;"",AG191&lt;&gt;"",AI191&lt;&gt;"",AK191&lt;&gt;"")),"No",IF(AND(C191="",I191="",K191="",M191="",O191="",Q191="",W191="",AC191="",AE191="",AG191="",AI191=""),"N/A","Yes")))</f>
        <v>N/A</v>
      </c>
      <c r="AQ191" s="898"/>
      <c r="AR191" s="899" t="b">
        <f t="shared" ref="AR191" si="389">IF(AND(OR(I191&lt;&gt;"",K191&lt;&gt;"",M191&lt;&gt;"",O191&lt;&gt;"",Q191&lt;&gt;"",W191&lt;&gt;"",AC191&lt;&gt;"",AE191&lt;&gt;"",AG191&lt;&gt;"",AI191&lt;&gt;"",AK191&lt;&gt;""),C191=""),TRUE,FALSE)</f>
        <v>0</v>
      </c>
      <c r="AS191" s="898" t="b">
        <f t="shared" ref="AS191" si="390">IF(AT191=TRUE,FALSE,IF(SUM(K191)&gt;I191,TRUE,FALSE))</f>
        <v>0</v>
      </c>
      <c r="AT191" s="899" t="b">
        <f>IF(AND(C191&lt;&gt;"",I191=""),TRUE,FALSE)</f>
        <v>0</v>
      </c>
      <c r="AU191" s="898" t="b">
        <f>IF(AV191=TRUE,FALSE,IF(M191&gt;K191,TRUE,FALSE))</f>
        <v>0</v>
      </c>
      <c r="AV191" s="899" t="b">
        <f>IF(AND($C191&lt;&gt;"",K191=""),TRUE,FALSE)</f>
        <v>0</v>
      </c>
      <c r="AW191" s="898"/>
      <c r="AX191" s="899" t="b">
        <f>IF(AND($C191&lt;&gt;"",M191=""),TRUE,FALSE)</f>
        <v>0</v>
      </c>
      <c r="AY191" s="898" t="b">
        <f t="shared" ref="AY191" si="391">IF(AND(O191="",OR(Q191&lt;&gt;"",W191&lt;&gt;"",AC191&lt;&gt;"",AE191&lt;&gt;"",AG191&lt;&gt;"",AI191&lt;&gt;"")),TRUE,FALSE)</f>
        <v>0</v>
      </c>
      <c r="AZ191" s="899" t="b">
        <f>IF(AND($C191&lt;&gt;"",O191=""),TRUE,FALSE)</f>
        <v>0</v>
      </c>
      <c r="BA191" s="898"/>
      <c r="BB191" s="899" t="b">
        <f>IF(AND($C191&lt;&gt;"",Q191=""),TRUE,FALSE)</f>
        <v>0</v>
      </c>
      <c r="BC191" s="1537" t="b">
        <f>IF(BD191=TRUE,FALSE,IF(W191="",FALSE,IF(OR(W191&lt;BO191,W191&gt;BaseYear),TRUE,FALSE)))</f>
        <v>0</v>
      </c>
      <c r="BD191" s="899" t="b">
        <f>IF(AND($C191&lt;&gt;"",W191=""),TRUE,FALSE)</f>
        <v>0</v>
      </c>
      <c r="BE191" s="1537"/>
      <c r="BF191" s="899" t="b">
        <f>IF(AND($C191&lt;&gt;"",AC191=""),TRUE,FALSE)</f>
        <v>0</v>
      </c>
      <c r="BG191" s="898"/>
      <c r="BH191" s="899" t="b">
        <f>IF(AND($C191&lt;&gt;"",AE191=""),TRUE,FALSE)</f>
        <v>0</v>
      </c>
      <c r="BI191" s="898"/>
      <c r="BJ191" s="899" t="b">
        <f>IF(AND($C191&lt;&gt;"",AG191=""),TRUE,FALSE)</f>
        <v>0</v>
      </c>
      <c r="BK191" s="898"/>
      <c r="BL191" s="898" t="b">
        <f>IF(AND($C191&lt;&gt;"",AI191=""),TRUE,FALSE)</f>
        <v>0</v>
      </c>
      <c r="BM191" s="894"/>
      <c r="BN191" s="898" t="str">
        <f t="shared" si="282"/>
        <v/>
      </c>
      <c r="BO191" s="898" t="str">
        <f>IFERROR(IF(AND(O191="",O191&lt;&gt;""),1913,VLOOKUP(O191,Valid!$B$99:$J$120,9)),"")</f>
        <v/>
      </c>
      <c r="BP191" s="898" t="str">
        <f t="shared" ca="1" si="354"/>
        <v/>
      </c>
      <c r="BQ191" s="1547" t="str">
        <f t="shared" ca="1" si="355"/>
        <v/>
      </c>
      <c r="BR191" s="898" t="str">
        <f ca="1">IF(BQ191="", "", IF(1+(BQ191*4)&lt;1, 1, 1+(BQ191*4)))</f>
        <v/>
      </c>
      <c r="BS191" s="898" t="str">
        <f t="shared" si="284"/>
        <v/>
      </c>
      <c r="BT191" s="898" t="str">
        <f t="shared" si="285"/>
        <v/>
      </c>
      <c r="BU191" s="1539" t="str">
        <f>IFERROR(IF(AND(#REF!="",C191&lt;&gt;""),Valid!$E$123,VLOOKUP(#REF!,Valid!$B$123:$F$125,4,FALSE)),"")</f>
        <v/>
      </c>
      <c r="BV191" s="1539" t="str">
        <f>IFERROR(IF(AND(#REF!="",C191&lt;&gt;""),Valid!$F$123,VLOOKUP(#REF!,Valid!$B$123:$F$125,5,FALSE)),"")</f>
        <v/>
      </c>
      <c r="BW191" s="1539" t="str">
        <f>IFERROR(VLOOKUP('A-70 RevVehInv'!S191,Valid!$B$99:$I$120,7), "")</f>
        <v/>
      </c>
      <c r="BX191" s="1539" t="str">
        <f>IFERROR(VLOOKUP(O191,Valid!$B$99:$I$120,8), "")</f>
        <v/>
      </c>
      <c r="BY191" s="894"/>
    </row>
    <row r="192" spans="1:77" ht="6.75" customHeight="1" x14ac:dyDescent="0.2">
      <c r="A192" s="1517"/>
      <c r="B192" s="1530">
        <v>90.5</v>
      </c>
      <c r="C192" s="1544"/>
      <c r="D192" s="905"/>
      <c r="E192" s="1545"/>
      <c r="F192" s="905"/>
      <c r="G192" s="905"/>
      <c r="H192" s="905"/>
      <c r="I192" s="1531"/>
      <c r="J192" s="905"/>
      <c r="K192" s="1531"/>
      <c r="L192" s="905"/>
      <c r="M192" s="1531"/>
      <c r="N192" s="1531"/>
      <c r="O192" s="1533"/>
      <c r="P192" s="905"/>
      <c r="Q192" s="1533"/>
      <c r="R192" s="905"/>
      <c r="S192" s="1531" t="str">
        <f t="shared" si="276"/>
        <v/>
      </c>
      <c r="T192" s="905"/>
      <c r="U192" s="1531"/>
      <c r="V192" s="252" t="str">
        <f t="shared" si="349"/>
        <v/>
      </c>
      <c r="W192" s="1531"/>
      <c r="X192" s="905"/>
      <c r="Y192" s="1971" t="str">
        <f t="shared" si="286"/>
        <v/>
      </c>
      <c r="Z192" s="905"/>
      <c r="AA192" s="1983" t="str">
        <f t="shared" si="287"/>
        <v/>
      </c>
      <c r="AB192" s="1531"/>
      <c r="AC192" s="1531"/>
      <c r="AD192" s="1531"/>
      <c r="AE192" s="1531"/>
      <c r="AF192" s="1531"/>
      <c r="AG192" s="1534"/>
      <c r="AH192" s="1531"/>
      <c r="AI192" s="1546"/>
      <c r="AJ192" s="1531"/>
      <c r="AK192" s="1531"/>
      <c r="AL192" s="1531"/>
      <c r="AM192" s="1531"/>
      <c r="AN192" s="1531"/>
      <c r="AO192" s="1531"/>
      <c r="AP192" s="1531"/>
      <c r="AQ192" s="1535"/>
      <c r="AR192" s="1534"/>
      <c r="AS192" s="1535"/>
      <c r="AT192" s="1534"/>
      <c r="AU192" s="1535"/>
      <c r="AV192" s="1534"/>
      <c r="AW192" s="1535"/>
      <c r="AX192" s="1534"/>
      <c r="AY192" s="1535"/>
      <c r="AZ192" s="1534"/>
      <c r="BA192" s="1535"/>
      <c r="BB192" s="1534"/>
      <c r="BC192" s="1535"/>
      <c r="BD192" s="1534"/>
      <c r="BE192" s="1535"/>
      <c r="BF192" s="1534"/>
      <c r="BG192" s="1535"/>
      <c r="BH192" s="1534"/>
      <c r="BI192" s="1535"/>
      <c r="BJ192" s="1534"/>
      <c r="BK192" s="1535"/>
      <c r="BL192" s="1535"/>
      <c r="BM192" s="1531"/>
      <c r="BN192" s="898" t="str">
        <f t="shared" si="282"/>
        <v/>
      </c>
      <c r="BO192" s="898" t="str">
        <f>IFERROR(IF(AND(O192="",O192&lt;&gt;""),1913,VLOOKUP(O192,Valid!$B$99:$J$120,9)),"")</f>
        <v/>
      </c>
      <c r="BP192" s="898" t="str">
        <f t="shared" ca="1" si="354"/>
        <v/>
      </c>
      <c r="BQ192" s="1547" t="str">
        <f t="shared" ca="1" si="355"/>
        <v/>
      </c>
      <c r="BR192" s="898"/>
      <c r="BS192" s="898" t="str">
        <f t="shared" si="284"/>
        <v/>
      </c>
      <c r="BT192" s="898" t="str">
        <f t="shared" si="285"/>
        <v/>
      </c>
      <c r="BU192" s="1539" t="str">
        <f>IFERROR(IF(AND(#REF!="",C192&lt;&gt;""),Valid!$E$123,VLOOKUP(#REF!,Valid!$B$123:$F$125,4,FALSE)),"")</f>
        <v/>
      </c>
      <c r="BV192" s="1539" t="str">
        <f>IFERROR(IF(AND(#REF!="",C192&lt;&gt;""),Valid!$F$123,VLOOKUP(#REF!,Valid!$B$123:$F$125,5,FALSE)),"")</f>
        <v/>
      </c>
      <c r="BW192" s="1539" t="str">
        <f>IFERROR(VLOOKUP('A-70 RevVehInv'!S192,Valid!$B$99:$I$120,7), "")</f>
        <v/>
      </c>
      <c r="BX192" s="1539" t="str">
        <f>IFERROR(VLOOKUP(O192,Valid!$B$99:$I$120,8), "")</f>
        <v/>
      </c>
      <c r="BY192" s="1531"/>
    </row>
    <row r="193" spans="1:77" s="930" customFormat="1" x14ac:dyDescent="0.2">
      <c r="A193" s="206">
        <v>91</v>
      </c>
      <c r="B193" s="1530">
        <v>91</v>
      </c>
      <c r="C193" s="933"/>
      <c r="D193" s="719" t="str">
        <f>IF(C191="","",IF((C193=""),"Enter RVI ID. then Fill in Columns "&amp;TEXT($I$2,0)&amp;" - "&amp;TEXT($AI$2,0)&amp;"       ",""))</f>
        <v/>
      </c>
      <c r="E193" s="1056" t="str">
        <f>IF(AP193="N/A","",AP193)</f>
        <v/>
      </c>
      <c r="F193" s="1536"/>
      <c r="G193" s="1536"/>
      <c r="H193" s="1536"/>
      <c r="I193" s="1023"/>
      <c r="J193" s="1536" t="str">
        <f>IF(E193&lt;&gt;"","Vehicles?    ","")</f>
        <v/>
      </c>
      <c r="K193" s="1023"/>
      <c r="L193" s="1536" t="str">
        <f>IF(E193&lt;&gt;"","Active Vehicles?     ","")</f>
        <v/>
      </c>
      <c r="M193" s="1023"/>
      <c r="N193" s="894"/>
      <c r="O193" s="1153"/>
      <c r="P193" s="252" t="str">
        <f>IF(E193&lt;&gt;"","Select from Pull-Down List    ","")</f>
        <v/>
      </c>
      <c r="Q193" s="933"/>
      <c r="R193" s="252" t="str">
        <f>IF(E193&lt;&gt;"","Select from Pull-Down List    ","")</f>
        <v/>
      </c>
      <c r="S193" s="1766" t="str">
        <f t="shared" si="276"/>
        <v/>
      </c>
      <c r="T193" s="252"/>
      <c r="U193" s="1988"/>
      <c r="V193" s="252" t="str">
        <f t="shared" si="349"/>
        <v/>
      </c>
      <c r="W193" s="139"/>
      <c r="X193" s="252" t="str">
        <f>IF(E193&lt;&gt;"","Mfg. Yr?    ","")</f>
        <v/>
      </c>
      <c r="Y193" s="1974" t="str">
        <f t="shared" si="286"/>
        <v/>
      </c>
      <c r="Z193" s="252"/>
      <c r="AA193" s="1986" t="str">
        <f t="shared" si="287"/>
        <v/>
      </c>
      <c r="AB193" s="252" t="str">
        <f>IF(E193&lt;&gt;"","Select from Pull-Down List    ","")</f>
        <v/>
      </c>
      <c r="AC193" s="1023"/>
      <c r="AD193" s="252" t="str">
        <f>IF(E193&lt;&gt;"","Feet?    ","")</f>
        <v/>
      </c>
      <c r="AE193" s="1023"/>
      <c r="AF193" s="252" t="str">
        <f>IF(E193&lt;&gt;"","Mileage?       ","")</f>
        <v/>
      </c>
      <c r="AG193" s="1023"/>
      <c r="AH193" s="252" t="str">
        <f>IF(E193&lt;&gt;"","Avg. Lifetime Mileage? ","")</f>
        <v/>
      </c>
      <c r="AI193" s="933"/>
      <c r="AJ193" s="252" t="str">
        <f>IF(E193&lt;&gt;"","Select from Pull-Down List    ","")</f>
        <v/>
      </c>
      <c r="AK193" s="171"/>
      <c r="AL193" s="252"/>
      <c r="AM193" s="894"/>
      <c r="AN193" s="894"/>
      <c r="AO193" s="894" t="b">
        <f>IF(AND(C193="",C195&lt;&gt;""),TRUE,FALSE)</f>
        <v>0</v>
      </c>
      <c r="AP193" s="888" t="str">
        <f t="shared" ref="AP193" si="392">IF(AND(C193&lt;&gt;"",OR(I193="",K193="",M193="",O193="",Q193="",W193="",AC193="",AE193="",AG193="")),"No",IF(AND(C193="",OR(I193&lt;&gt;"",K193&lt;&gt;"",M193&lt;&gt;"",O193&lt;&gt;"",Q193&lt;&gt;"",W193&lt;&gt;"",AC193&lt;&gt;"",AE193&lt;&gt;"",AG193&lt;&gt;"",AI193&lt;&gt;"",AK193&lt;&gt;"")),"No",IF(AND(C193="",I193="",K193="",M193="",O193="",Q193="",W193="",AC193="",AE193="",AG193="",AI193=""),"N/A","Yes")))</f>
        <v>N/A</v>
      </c>
      <c r="AQ193" s="898"/>
      <c r="AR193" s="899" t="b">
        <f t="shared" ref="AR193" si="393">IF(AND(OR(I193&lt;&gt;"",K193&lt;&gt;"",M193&lt;&gt;"",O193&lt;&gt;"",Q193&lt;&gt;"",W193&lt;&gt;"",AC193&lt;&gt;"",AE193&lt;&gt;"",AG193&lt;&gt;"",AI193&lt;&gt;"",AK193&lt;&gt;""),C193=""),TRUE,FALSE)</f>
        <v>0</v>
      </c>
      <c r="AS193" s="898" t="b">
        <f t="shared" ref="AS193" si="394">IF(AT193=TRUE,FALSE,IF(SUM(K193)&gt;I193,TRUE,FALSE))</f>
        <v>0</v>
      </c>
      <c r="AT193" s="899" t="b">
        <f>IF(AND(C193&lt;&gt;"",I193=""),TRUE,FALSE)</f>
        <v>0</v>
      </c>
      <c r="AU193" s="898" t="b">
        <f>IF(AV193=TRUE,FALSE,IF(M193&gt;K193,TRUE,FALSE))</f>
        <v>0</v>
      </c>
      <c r="AV193" s="899" t="b">
        <f>IF(AND($C193&lt;&gt;"",K193=""),TRUE,FALSE)</f>
        <v>0</v>
      </c>
      <c r="AW193" s="898"/>
      <c r="AX193" s="899" t="b">
        <f>IF(AND($C193&lt;&gt;"",M193=""),TRUE,FALSE)</f>
        <v>0</v>
      </c>
      <c r="AY193" s="898" t="b">
        <f t="shared" ref="AY193" si="395">IF(AND(O193="",OR(Q193&lt;&gt;"",W193&lt;&gt;"",AC193&lt;&gt;"",AE193&lt;&gt;"",AG193&lt;&gt;"",AI193&lt;&gt;"")),TRUE,FALSE)</f>
        <v>0</v>
      </c>
      <c r="AZ193" s="899" t="b">
        <f>IF(AND($C193&lt;&gt;"",O193=""),TRUE,FALSE)</f>
        <v>0</v>
      </c>
      <c r="BA193" s="898"/>
      <c r="BB193" s="899" t="b">
        <f>IF(AND($C193&lt;&gt;"",Q193=""),TRUE,FALSE)</f>
        <v>0</v>
      </c>
      <c r="BC193" s="1537" t="b">
        <f>IF(BD193=TRUE,FALSE,IF(W193="",FALSE,IF(OR(W193&lt;BO193,W193&gt;BaseYear),TRUE,FALSE)))</f>
        <v>0</v>
      </c>
      <c r="BD193" s="899" t="b">
        <f>IF(AND($C193&lt;&gt;"",W193=""),TRUE,FALSE)</f>
        <v>0</v>
      </c>
      <c r="BE193" s="1537"/>
      <c r="BF193" s="899" t="b">
        <f>IF(AND($C193&lt;&gt;"",AC193=""),TRUE,FALSE)</f>
        <v>0</v>
      </c>
      <c r="BG193" s="898"/>
      <c r="BH193" s="899" t="b">
        <f>IF(AND($C193&lt;&gt;"",AE193=""),TRUE,FALSE)</f>
        <v>0</v>
      </c>
      <c r="BI193" s="898"/>
      <c r="BJ193" s="899" t="b">
        <f>IF(AND($C193&lt;&gt;"",AG193=""),TRUE,FALSE)</f>
        <v>0</v>
      </c>
      <c r="BK193" s="898"/>
      <c r="BL193" s="898" t="b">
        <f>IF(AND($C193&lt;&gt;"",AI193=""),TRUE,FALSE)</f>
        <v>0</v>
      </c>
      <c r="BM193" s="894"/>
      <c r="BN193" s="898" t="str">
        <f t="shared" si="282"/>
        <v/>
      </c>
      <c r="BO193" s="898" t="str">
        <f>IFERROR(IF(AND(O193="",O193&lt;&gt;""),1913,VLOOKUP(O193,Valid!$B$99:$J$120,9)),"")</f>
        <v/>
      </c>
      <c r="BP193" s="898" t="str">
        <f t="shared" ca="1" si="354"/>
        <v/>
      </c>
      <c r="BQ193" s="1547" t="str">
        <f t="shared" ca="1" si="355"/>
        <v/>
      </c>
      <c r="BR193" s="898" t="str">
        <f ca="1">IF(BQ193="", "", IF(1+(BQ193*4)&lt;1, 1, 1+(BQ193*4)))</f>
        <v/>
      </c>
      <c r="BS193" s="898" t="str">
        <f t="shared" si="284"/>
        <v/>
      </c>
      <c r="BT193" s="898" t="str">
        <f t="shared" si="285"/>
        <v/>
      </c>
      <c r="BU193" s="1539" t="str">
        <f>IFERROR(IF(AND(#REF!="",C193&lt;&gt;""),Valid!$E$123,VLOOKUP(#REF!,Valid!$B$123:$F$125,4,FALSE)),"")</f>
        <v/>
      </c>
      <c r="BV193" s="1539" t="str">
        <f>IFERROR(IF(AND(#REF!="",C193&lt;&gt;""),Valid!$F$123,VLOOKUP(#REF!,Valid!$B$123:$F$125,5,FALSE)),"")</f>
        <v/>
      </c>
      <c r="BW193" s="1539" t="str">
        <f>IFERROR(VLOOKUP('A-70 RevVehInv'!S193,Valid!$B$99:$I$120,7), "")</f>
        <v/>
      </c>
      <c r="BX193" s="1539" t="str">
        <f>IFERROR(VLOOKUP(O193,Valid!$B$99:$I$120,8), "")</f>
        <v/>
      </c>
      <c r="BY193" s="894"/>
    </row>
    <row r="194" spans="1:77" ht="6.75" customHeight="1" x14ac:dyDescent="0.2">
      <c r="A194" s="1516"/>
      <c r="B194" s="1530">
        <v>91.5</v>
      </c>
      <c r="C194" s="1540"/>
      <c r="D194" s="905"/>
      <c r="E194" s="1541"/>
      <c r="F194" s="905"/>
      <c r="G194" s="905"/>
      <c r="H194" s="905"/>
      <c r="I194" s="1534"/>
      <c r="J194" s="905"/>
      <c r="K194" s="1534"/>
      <c r="L194" s="905"/>
      <c r="M194" s="1534"/>
      <c r="N194" s="1531"/>
      <c r="O194" s="1542"/>
      <c r="P194" s="905"/>
      <c r="Q194" s="1542"/>
      <c r="R194" s="905"/>
      <c r="S194" s="1534" t="str">
        <f t="shared" si="276"/>
        <v/>
      </c>
      <c r="T194" s="905"/>
      <c r="U194" s="1534"/>
      <c r="V194" s="252" t="str">
        <f t="shared" si="349"/>
        <v/>
      </c>
      <c r="W194" s="1534"/>
      <c r="X194" s="905"/>
      <c r="Y194" s="1973" t="str">
        <f t="shared" si="286"/>
        <v/>
      </c>
      <c r="Z194" s="905"/>
      <c r="AA194" s="1985" t="str">
        <f t="shared" si="287"/>
        <v/>
      </c>
      <c r="AB194" s="1531"/>
      <c r="AC194" s="1534"/>
      <c r="AD194" s="1531"/>
      <c r="AE194" s="1534"/>
      <c r="AF194" s="1531"/>
      <c r="AG194" s="1534"/>
      <c r="AH194" s="1531"/>
      <c r="AI194" s="1543"/>
      <c r="AJ194" s="1531"/>
      <c r="AK194" s="1534"/>
      <c r="AL194" s="1531"/>
      <c r="AM194" s="1531"/>
      <c r="AN194" s="1531"/>
      <c r="AO194" s="1531"/>
      <c r="AP194" s="1531"/>
      <c r="AQ194" s="1535"/>
      <c r="AR194" s="1534"/>
      <c r="AS194" s="1535"/>
      <c r="AT194" s="1534"/>
      <c r="AU194" s="1535"/>
      <c r="AV194" s="1534"/>
      <c r="AW194" s="1535"/>
      <c r="AX194" s="1534"/>
      <c r="AY194" s="1535"/>
      <c r="AZ194" s="1534"/>
      <c r="BA194" s="1535"/>
      <c r="BB194" s="1534"/>
      <c r="BC194" s="1535"/>
      <c r="BD194" s="1534"/>
      <c r="BE194" s="1535"/>
      <c r="BF194" s="1534"/>
      <c r="BG194" s="1535"/>
      <c r="BH194" s="1534"/>
      <c r="BI194" s="1535"/>
      <c r="BJ194" s="1534"/>
      <c r="BK194" s="1535"/>
      <c r="BL194" s="1535"/>
      <c r="BM194" s="1531"/>
      <c r="BN194" s="898" t="str">
        <f t="shared" si="282"/>
        <v/>
      </c>
      <c r="BO194" s="898" t="str">
        <f>IFERROR(IF(AND(O194="",O194&lt;&gt;""),1913,VLOOKUP(O194,Valid!$B$99:$J$120,9)),"")</f>
        <v/>
      </c>
      <c r="BP194" s="898" t="str">
        <f t="shared" ca="1" si="354"/>
        <v/>
      </c>
      <c r="BQ194" s="1547" t="str">
        <f t="shared" ca="1" si="355"/>
        <v/>
      </c>
      <c r="BR194" s="898"/>
      <c r="BS194" s="898" t="str">
        <f t="shared" si="284"/>
        <v/>
      </c>
      <c r="BT194" s="898" t="str">
        <f t="shared" si="285"/>
        <v/>
      </c>
      <c r="BU194" s="1539" t="str">
        <f>IFERROR(IF(AND(#REF!="",C194&lt;&gt;""),Valid!$E$123,VLOOKUP(#REF!,Valid!$B$123:$F$125,4,FALSE)),"")</f>
        <v/>
      </c>
      <c r="BV194" s="1539" t="str">
        <f>IFERROR(IF(AND(#REF!="",C194&lt;&gt;""),Valid!$F$123,VLOOKUP(#REF!,Valid!$B$123:$F$125,5,FALSE)),"")</f>
        <v/>
      </c>
      <c r="BW194" s="1539" t="str">
        <f>IFERROR(VLOOKUP('A-70 RevVehInv'!S194,Valid!$B$99:$I$120,7), "")</f>
        <v/>
      </c>
      <c r="BX194" s="1539" t="str">
        <f>IFERROR(VLOOKUP(O194,Valid!$B$99:$I$120,8), "")</f>
        <v/>
      </c>
      <c r="BY194" s="1531"/>
    </row>
    <row r="195" spans="1:77" s="930" customFormat="1" x14ac:dyDescent="0.2">
      <c r="A195" s="206">
        <v>92</v>
      </c>
      <c r="B195" s="1530">
        <v>92</v>
      </c>
      <c r="C195" s="933"/>
      <c r="D195" s="719" t="str">
        <f>IF(C193="","",IF((C195=""),"Enter RVI ID. then Fill in Columns "&amp;TEXT($I$2,0)&amp;" - "&amp;TEXT($AI$2,0)&amp;"       ",""))</f>
        <v/>
      </c>
      <c r="E195" s="1056" t="str">
        <f>IF(AP195="N/A","",AP195)</f>
        <v/>
      </c>
      <c r="F195" s="1536"/>
      <c r="G195" s="1536"/>
      <c r="H195" s="1536"/>
      <c r="I195" s="1023"/>
      <c r="J195" s="1536" t="str">
        <f>IF(E195&lt;&gt;"","Vehicles?    ","")</f>
        <v/>
      </c>
      <c r="K195" s="1023"/>
      <c r="L195" s="1536" t="str">
        <f>IF(E195&lt;&gt;"","Active Vehicles?     ","")</f>
        <v/>
      </c>
      <c r="M195" s="1023"/>
      <c r="N195" s="894"/>
      <c r="O195" s="1153"/>
      <c r="P195" s="252" t="str">
        <f>IF(E195&lt;&gt;"","Select from Pull-Down List    ","")</f>
        <v/>
      </c>
      <c r="Q195" s="933"/>
      <c r="R195" s="252" t="str">
        <f>IF(E195&lt;&gt;"","Select from Pull-Down List    ","")</f>
        <v/>
      </c>
      <c r="S195" s="1766" t="str">
        <f t="shared" si="276"/>
        <v/>
      </c>
      <c r="T195" s="252"/>
      <c r="U195" s="1988"/>
      <c r="V195" s="252" t="str">
        <f t="shared" si="349"/>
        <v/>
      </c>
      <c r="W195" s="139"/>
      <c r="X195" s="252" t="str">
        <f>IF(E195&lt;&gt;"","Mfg. Yr?    ","")</f>
        <v/>
      </c>
      <c r="Y195" s="1974" t="str">
        <f t="shared" si="286"/>
        <v/>
      </c>
      <c r="Z195" s="252"/>
      <c r="AA195" s="1986" t="str">
        <f t="shared" si="287"/>
        <v/>
      </c>
      <c r="AB195" s="252" t="str">
        <f>IF(E195&lt;&gt;"","Select from Pull-Down List    ","")</f>
        <v/>
      </c>
      <c r="AC195" s="1023"/>
      <c r="AD195" s="252" t="str">
        <f>IF(E195&lt;&gt;"","Feet?    ","")</f>
        <v/>
      </c>
      <c r="AE195" s="1023"/>
      <c r="AF195" s="252" t="str">
        <f>IF(E195&lt;&gt;"","Mileage?       ","")</f>
        <v/>
      </c>
      <c r="AG195" s="1023"/>
      <c r="AH195" s="252" t="str">
        <f>IF(E195&lt;&gt;"","Avg. Lifetime Mileage? ","")</f>
        <v/>
      </c>
      <c r="AI195" s="933"/>
      <c r="AJ195" s="252" t="str">
        <f>IF(E195&lt;&gt;"","Select from Pull-Down List    ","")</f>
        <v/>
      </c>
      <c r="AK195" s="171"/>
      <c r="AL195" s="252"/>
      <c r="AM195" s="894"/>
      <c r="AN195" s="894"/>
      <c r="AO195" s="894" t="b">
        <f>IF(AND(C195="",C197&lt;&gt;""),TRUE,FALSE)</f>
        <v>0</v>
      </c>
      <c r="AP195" s="888" t="str">
        <f t="shared" ref="AP195" si="396">IF(AND(C195&lt;&gt;"",OR(I195="",K195="",M195="",O195="",Q195="",W195="",AC195="",AE195="",AG195="")),"No",IF(AND(C195="",OR(I195&lt;&gt;"",K195&lt;&gt;"",M195&lt;&gt;"",O195&lt;&gt;"",Q195&lt;&gt;"",W195&lt;&gt;"",AC195&lt;&gt;"",AE195&lt;&gt;"",AG195&lt;&gt;"",AI195&lt;&gt;"",AK195&lt;&gt;"")),"No",IF(AND(C195="",I195="",K195="",M195="",O195="",Q195="",W195="",AC195="",AE195="",AG195="",AI195=""),"N/A","Yes")))</f>
        <v>N/A</v>
      </c>
      <c r="AQ195" s="898"/>
      <c r="AR195" s="899" t="b">
        <f t="shared" ref="AR195" si="397">IF(AND(OR(I195&lt;&gt;"",K195&lt;&gt;"",M195&lt;&gt;"",O195&lt;&gt;"",Q195&lt;&gt;"",W195&lt;&gt;"",AC195&lt;&gt;"",AE195&lt;&gt;"",AG195&lt;&gt;"",AI195&lt;&gt;"",AK195&lt;&gt;""),C195=""),TRUE,FALSE)</f>
        <v>0</v>
      </c>
      <c r="AS195" s="898" t="b">
        <f t="shared" ref="AS195" si="398">IF(AT195=TRUE,FALSE,IF(SUM(K195)&gt;I195,TRUE,FALSE))</f>
        <v>0</v>
      </c>
      <c r="AT195" s="899" t="b">
        <f>IF(AND(C195&lt;&gt;"",I195=""),TRUE,FALSE)</f>
        <v>0</v>
      </c>
      <c r="AU195" s="898" t="b">
        <f>IF(AV195=TRUE,FALSE,IF(M195&gt;K195,TRUE,FALSE))</f>
        <v>0</v>
      </c>
      <c r="AV195" s="899" t="b">
        <f>IF(AND($C195&lt;&gt;"",K195=""),TRUE,FALSE)</f>
        <v>0</v>
      </c>
      <c r="AW195" s="898"/>
      <c r="AX195" s="899" t="b">
        <f>IF(AND($C195&lt;&gt;"",M195=""),TRUE,FALSE)</f>
        <v>0</v>
      </c>
      <c r="AY195" s="898" t="b">
        <f t="shared" ref="AY195" si="399">IF(AND(O195="",OR(Q195&lt;&gt;"",W195&lt;&gt;"",AC195&lt;&gt;"",AE195&lt;&gt;"",AG195&lt;&gt;"",AI195&lt;&gt;"")),TRUE,FALSE)</f>
        <v>0</v>
      </c>
      <c r="AZ195" s="899" t="b">
        <f>IF(AND($C195&lt;&gt;"",O195=""),TRUE,FALSE)</f>
        <v>0</v>
      </c>
      <c r="BA195" s="898"/>
      <c r="BB195" s="899" t="b">
        <f>IF(AND($C195&lt;&gt;"",Q195=""),TRUE,FALSE)</f>
        <v>0</v>
      </c>
      <c r="BC195" s="1537" t="b">
        <f>IF(BD195=TRUE,FALSE,IF(W195="",FALSE,IF(OR(W195&lt;BO195,W195&gt;BaseYear),TRUE,FALSE)))</f>
        <v>0</v>
      </c>
      <c r="BD195" s="899" t="b">
        <f>IF(AND($C195&lt;&gt;"",W195=""),TRUE,FALSE)</f>
        <v>0</v>
      </c>
      <c r="BE195" s="1537"/>
      <c r="BF195" s="899" t="b">
        <f>IF(AND($C195&lt;&gt;"",AC195=""),TRUE,FALSE)</f>
        <v>0</v>
      </c>
      <c r="BG195" s="898"/>
      <c r="BH195" s="899" t="b">
        <f>IF(AND($C195&lt;&gt;"",AE195=""),TRUE,FALSE)</f>
        <v>0</v>
      </c>
      <c r="BI195" s="898"/>
      <c r="BJ195" s="899" t="b">
        <f>IF(AND($C195&lt;&gt;"",AG195=""),TRUE,FALSE)</f>
        <v>0</v>
      </c>
      <c r="BK195" s="898"/>
      <c r="BL195" s="898" t="b">
        <f>IF(AND($C195&lt;&gt;"",AI195=""),TRUE,FALSE)</f>
        <v>0</v>
      </c>
      <c r="BM195" s="894"/>
      <c r="BN195" s="898" t="str">
        <f t="shared" si="282"/>
        <v/>
      </c>
      <c r="BO195" s="898" t="str">
        <f>IFERROR(IF(AND(O195="",O195&lt;&gt;""),1913,VLOOKUP(O195,Valid!$B$99:$J$120,9)),"")</f>
        <v/>
      </c>
      <c r="BP195" s="898" t="str">
        <f t="shared" ca="1" si="354"/>
        <v/>
      </c>
      <c r="BQ195" s="1547" t="str">
        <f t="shared" ca="1" si="355"/>
        <v/>
      </c>
      <c r="BR195" s="898" t="str">
        <f ca="1">IF(BQ195="", "", IF(1+(BQ195*4)&lt;1, 1, 1+(BQ195*4)))</f>
        <v/>
      </c>
      <c r="BS195" s="898" t="str">
        <f t="shared" si="284"/>
        <v/>
      </c>
      <c r="BT195" s="898" t="str">
        <f t="shared" si="285"/>
        <v/>
      </c>
      <c r="BU195" s="1539" t="str">
        <f>IFERROR(IF(AND(#REF!="",C195&lt;&gt;""),Valid!$E$123,VLOOKUP(#REF!,Valid!$B$123:$F$125,4,FALSE)),"")</f>
        <v/>
      </c>
      <c r="BV195" s="1539" t="str">
        <f>IFERROR(IF(AND(#REF!="",C195&lt;&gt;""),Valid!$F$123,VLOOKUP(#REF!,Valid!$B$123:$F$125,5,FALSE)),"")</f>
        <v/>
      </c>
      <c r="BW195" s="1539" t="str">
        <f>IFERROR(VLOOKUP('A-70 RevVehInv'!S195,Valid!$B$99:$I$120,7), "")</f>
        <v/>
      </c>
      <c r="BX195" s="1539" t="str">
        <f>IFERROR(VLOOKUP(O195,Valid!$B$99:$I$120,8), "")</f>
        <v/>
      </c>
      <c r="BY195" s="894"/>
    </row>
    <row r="196" spans="1:77" ht="6.75" customHeight="1" x14ac:dyDescent="0.2">
      <c r="A196" s="1516"/>
      <c r="B196" s="1530">
        <v>92.5</v>
      </c>
      <c r="C196" s="1544"/>
      <c r="D196" s="905"/>
      <c r="E196" s="1545"/>
      <c r="F196" s="905"/>
      <c r="G196" s="905"/>
      <c r="H196" s="905"/>
      <c r="I196" s="1531"/>
      <c r="J196" s="905"/>
      <c r="K196" s="1531"/>
      <c r="L196" s="905"/>
      <c r="M196" s="1531"/>
      <c r="N196" s="1531"/>
      <c r="O196" s="1533"/>
      <c r="P196" s="905"/>
      <c r="Q196" s="1533"/>
      <c r="R196" s="905"/>
      <c r="S196" s="1531" t="str">
        <f t="shared" si="276"/>
        <v/>
      </c>
      <c r="T196" s="905"/>
      <c r="U196" s="1531"/>
      <c r="V196" s="252" t="str">
        <f t="shared" si="349"/>
        <v/>
      </c>
      <c r="W196" s="1531"/>
      <c r="X196" s="905"/>
      <c r="Y196" s="1971" t="str">
        <f t="shared" si="286"/>
        <v/>
      </c>
      <c r="Z196" s="905"/>
      <c r="AA196" s="1983" t="str">
        <f t="shared" si="287"/>
        <v/>
      </c>
      <c r="AB196" s="1531"/>
      <c r="AC196" s="1531"/>
      <c r="AD196" s="1531"/>
      <c r="AE196" s="1531"/>
      <c r="AF196" s="1531"/>
      <c r="AG196" s="1534"/>
      <c r="AH196" s="1531"/>
      <c r="AI196" s="1546"/>
      <c r="AJ196" s="1531"/>
      <c r="AK196" s="1531"/>
      <c r="AL196" s="1531"/>
      <c r="AM196" s="1531"/>
      <c r="AN196" s="1531"/>
      <c r="AO196" s="1531"/>
      <c r="AP196" s="1531"/>
      <c r="AQ196" s="1535"/>
      <c r="AR196" s="1534"/>
      <c r="AS196" s="1535"/>
      <c r="AT196" s="1534"/>
      <c r="AU196" s="1535"/>
      <c r="AV196" s="1534"/>
      <c r="AW196" s="1535"/>
      <c r="AX196" s="1534"/>
      <c r="AY196" s="1535"/>
      <c r="AZ196" s="1534"/>
      <c r="BA196" s="1535"/>
      <c r="BB196" s="1534"/>
      <c r="BC196" s="1535"/>
      <c r="BD196" s="1534"/>
      <c r="BE196" s="1535"/>
      <c r="BF196" s="1534"/>
      <c r="BG196" s="1535"/>
      <c r="BH196" s="1534"/>
      <c r="BI196" s="1535"/>
      <c r="BJ196" s="1534"/>
      <c r="BK196" s="1535"/>
      <c r="BL196" s="1535"/>
      <c r="BM196" s="1531"/>
      <c r="BN196" s="898" t="str">
        <f t="shared" si="282"/>
        <v/>
      </c>
      <c r="BO196" s="898" t="str">
        <f>IFERROR(IF(AND(O196="",O196&lt;&gt;""),1913,VLOOKUP(O196,Valid!$B$99:$J$120,9)),"")</f>
        <v/>
      </c>
      <c r="BP196" s="898" t="str">
        <f t="shared" ca="1" si="354"/>
        <v/>
      </c>
      <c r="BQ196" s="1547" t="str">
        <f t="shared" ca="1" si="355"/>
        <v/>
      </c>
      <c r="BR196" s="898"/>
      <c r="BS196" s="898" t="str">
        <f t="shared" si="284"/>
        <v/>
      </c>
      <c r="BT196" s="898" t="str">
        <f t="shared" si="285"/>
        <v/>
      </c>
      <c r="BU196" s="1539" t="str">
        <f>IFERROR(IF(AND(#REF!="",C196&lt;&gt;""),Valid!$E$123,VLOOKUP(#REF!,Valid!$B$123:$F$125,4,FALSE)),"")</f>
        <v/>
      </c>
      <c r="BV196" s="1539" t="str">
        <f>IFERROR(IF(AND(#REF!="",C196&lt;&gt;""),Valid!$F$123,VLOOKUP(#REF!,Valid!$B$123:$F$125,5,FALSE)),"")</f>
        <v/>
      </c>
      <c r="BW196" s="1539" t="str">
        <f>IFERROR(VLOOKUP('A-70 RevVehInv'!S196,Valid!$B$99:$I$120,7), "")</f>
        <v/>
      </c>
      <c r="BX196" s="1539" t="str">
        <f>IFERROR(VLOOKUP(O196,Valid!$B$99:$I$120,8), "")</f>
        <v/>
      </c>
      <c r="BY196" s="1531"/>
    </row>
    <row r="197" spans="1:77" s="930" customFormat="1" x14ac:dyDescent="0.2">
      <c r="A197" s="206">
        <v>93</v>
      </c>
      <c r="B197" s="1530">
        <v>93</v>
      </c>
      <c r="C197" s="933"/>
      <c r="D197" s="719" t="str">
        <f>IF(C195="","",IF((C197=""),"Enter RVI ID. then Fill in Columns "&amp;TEXT($I$2,0)&amp;" - "&amp;TEXT($AI$2,0)&amp;"       ",""))</f>
        <v/>
      </c>
      <c r="E197" s="1056" t="str">
        <f>IF(AP197="N/A","",AP197)</f>
        <v/>
      </c>
      <c r="F197" s="1536"/>
      <c r="G197" s="1536"/>
      <c r="H197" s="1536"/>
      <c r="I197" s="1023"/>
      <c r="J197" s="1536" t="str">
        <f>IF(E197&lt;&gt;"","Vehicles?    ","")</f>
        <v/>
      </c>
      <c r="K197" s="1023"/>
      <c r="L197" s="1536" t="str">
        <f>IF(E197&lt;&gt;"","Active Vehicles?     ","")</f>
        <v/>
      </c>
      <c r="M197" s="1023"/>
      <c r="N197" s="894"/>
      <c r="O197" s="1153"/>
      <c r="P197" s="252" t="str">
        <f>IF(E197&lt;&gt;"","Select from Pull-Down List    ","")</f>
        <v/>
      </c>
      <c r="Q197" s="933"/>
      <c r="R197" s="252" t="str">
        <f>IF(E197&lt;&gt;"","Select from Pull-Down List    ","")</f>
        <v/>
      </c>
      <c r="S197" s="1766" t="str">
        <f t="shared" si="276"/>
        <v/>
      </c>
      <c r="T197" s="252"/>
      <c r="U197" s="1988"/>
      <c r="V197" s="252" t="str">
        <f t="shared" si="349"/>
        <v/>
      </c>
      <c r="W197" s="139"/>
      <c r="X197" s="252" t="str">
        <f>IF(E197&lt;&gt;"","Mfg. Yr?    ","")</f>
        <v/>
      </c>
      <c r="Y197" s="1974" t="str">
        <f t="shared" si="286"/>
        <v/>
      </c>
      <c r="Z197" s="252"/>
      <c r="AA197" s="1986" t="str">
        <f t="shared" si="287"/>
        <v/>
      </c>
      <c r="AB197" s="252" t="str">
        <f>IF(E197&lt;&gt;"","Select from Pull-Down List    ","")</f>
        <v/>
      </c>
      <c r="AC197" s="1023"/>
      <c r="AD197" s="252" t="str">
        <f>IF(E197&lt;&gt;"","Feet?    ","")</f>
        <v/>
      </c>
      <c r="AE197" s="1023"/>
      <c r="AF197" s="252" t="str">
        <f>IF(E197&lt;&gt;"","Mileage?       ","")</f>
        <v/>
      </c>
      <c r="AG197" s="1023"/>
      <c r="AH197" s="252" t="str">
        <f>IF(E197&lt;&gt;"","Avg. Lifetime Mileage? ","")</f>
        <v/>
      </c>
      <c r="AI197" s="933"/>
      <c r="AJ197" s="252" t="str">
        <f>IF(E197&lt;&gt;"","Select from Pull-Down List    ","")</f>
        <v/>
      </c>
      <c r="AK197" s="171"/>
      <c r="AL197" s="252"/>
      <c r="AM197" s="894"/>
      <c r="AN197" s="894"/>
      <c r="AO197" s="894" t="b">
        <f>IF(AND(C197="",C199&lt;&gt;""),TRUE,FALSE)</f>
        <v>0</v>
      </c>
      <c r="AP197" s="888" t="str">
        <f t="shared" ref="AP197" si="400">IF(AND(C197&lt;&gt;"",OR(I197="",K197="",M197="",O197="",Q197="",W197="",AC197="",AE197="",AG197="")),"No",IF(AND(C197="",OR(I197&lt;&gt;"",K197&lt;&gt;"",M197&lt;&gt;"",O197&lt;&gt;"",Q197&lt;&gt;"",W197&lt;&gt;"",AC197&lt;&gt;"",AE197&lt;&gt;"",AG197&lt;&gt;"",AI197&lt;&gt;"",AK197&lt;&gt;"")),"No",IF(AND(C197="",I197="",K197="",M197="",O197="",Q197="",W197="",AC197="",AE197="",AG197="",AI197=""),"N/A","Yes")))</f>
        <v>N/A</v>
      </c>
      <c r="AQ197" s="898"/>
      <c r="AR197" s="899" t="b">
        <f t="shared" ref="AR197" si="401">IF(AND(OR(I197&lt;&gt;"",K197&lt;&gt;"",M197&lt;&gt;"",O197&lt;&gt;"",Q197&lt;&gt;"",W197&lt;&gt;"",AC197&lt;&gt;"",AE197&lt;&gt;"",AG197&lt;&gt;"",AI197&lt;&gt;"",AK197&lt;&gt;""),C197=""),TRUE,FALSE)</f>
        <v>0</v>
      </c>
      <c r="AS197" s="898" t="b">
        <f t="shared" ref="AS197" si="402">IF(AT197=TRUE,FALSE,IF(SUM(K197)&gt;I197,TRUE,FALSE))</f>
        <v>0</v>
      </c>
      <c r="AT197" s="899" t="b">
        <f>IF(AND(C197&lt;&gt;"",I197=""),TRUE,FALSE)</f>
        <v>0</v>
      </c>
      <c r="AU197" s="898" t="b">
        <f>IF(AV197=TRUE,FALSE,IF(M197&gt;K197,TRUE,FALSE))</f>
        <v>0</v>
      </c>
      <c r="AV197" s="899" t="b">
        <f>IF(AND($C197&lt;&gt;"",K197=""),TRUE,FALSE)</f>
        <v>0</v>
      </c>
      <c r="AW197" s="898"/>
      <c r="AX197" s="899" t="b">
        <f>IF(AND($C197&lt;&gt;"",M197=""),TRUE,FALSE)</f>
        <v>0</v>
      </c>
      <c r="AY197" s="898" t="b">
        <f t="shared" ref="AY197" si="403">IF(AND(O197="",OR(Q197&lt;&gt;"",W197&lt;&gt;"",AC197&lt;&gt;"",AE197&lt;&gt;"",AG197&lt;&gt;"",AI197&lt;&gt;"")),TRUE,FALSE)</f>
        <v>0</v>
      </c>
      <c r="AZ197" s="899" t="b">
        <f>IF(AND($C197&lt;&gt;"",O197=""),TRUE,FALSE)</f>
        <v>0</v>
      </c>
      <c r="BA197" s="898"/>
      <c r="BB197" s="899" t="b">
        <f>IF(AND($C197&lt;&gt;"",Q197=""),TRUE,FALSE)</f>
        <v>0</v>
      </c>
      <c r="BC197" s="1537" t="b">
        <f>IF(BD197=TRUE,FALSE,IF(W197="",FALSE,IF(OR(W197&lt;BO197,W197&gt;BaseYear),TRUE,FALSE)))</f>
        <v>0</v>
      </c>
      <c r="BD197" s="899" t="b">
        <f>IF(AND($C197&lt;&gt;"",W197=""),TRUE,FALSE)</f>
        <v>0</v>
      </c>
      <c r="BE197" s="1537"/>
      <c r="BF197" s="899" t="b">
        <f>IF(AND($C197&lt;&gt;"",AC197=""),TRUE,FALSE)</f>
        <v>0</v>
      </c>
      <c r="BG197" s="898"/>
      <c r="BH197" s="899" t="b">
        <f>IF(AND($C197&lt;&gt;"",AE197=""),TRUE,FALSE)</f>
        <v>0</v>
      </c>
      <c r="BI197" s="898"/>
      <c r="BJ197" s="899" t="b">
        <f>IF(AND($C197&lt;&gt;"",AG197=""),TRUE,FALSE)</f>
        <v>0</v>
      </c>
      <c r="BK197" s="898"/>
      <c r="BL197" s="898" t="b">
        <f>IF(AND($C197&lt;&gt;"",AI197=""),TRUE,FALSE)</f>
        <v>0</v>
      </c>
      <c r="BM197" s="894"/>
      <c r="BN197" s="898" t="str">
        <f t="shared" si="282"/>
        <v/>
      </c>
      <c r="BO197" s="898" t="str">
        <f>IFERROR(IF(AND(O197="",O197&lt;&gt;""),1913,VLOOKUP(O197,Valid!$B$99:$J$120,9)),"")</f>
        <v/>
      </c>
      <c r="BP197" s="898" t="str">
        <f t="shared" ca="1" si="354"/>
        <v/>
      </c>
      <c r="BQ197" s="1547" t="str">
        <f t="shared" ca="1" si="355"/>
        <v/>
      </c>
      <c r="BR197" s="898" t="str">
        <f ca="1">IF(BQ197="", "", IF(1+(BQ197*4)&lt;1, 1, 1+(BQ197*4)))</f>
        <v/>
      </c>
      <c r="BS197" s="898" t="str">
        <f t="shared" si="284"/>
        <v/>
      </c>
      <c r="BT197" s="898" t="str">
        <f t="shared" si="285"/>
        <v/>
      </c>
      <c r="BU197" s="1539" t="str">
        <f>IFERROR(IF(AND(#REF!="",C197&lt;&gt;""),Valid!$E$123,VLOOKUP(#REF!,Valid!$B$123:$F$125,4,FALSE)),"")</f>
        <v/>
      </c>
      <c r="BV197" s="1539" t="str">
        <f>IFERROR(IF(AND(#REF!="",C197&lt;&gt;""),Valid!$F$123,VLOOKUP(#REF!,Valid!$B$123:$F$125,5,FALSE)),"")</f>
        <v/>
      </c>
      <c r="BW197" s="1539" t="str">
        <f>IFERROR(VLOOKUP('A-70 RevVehInv'!S197,Valid!$B$99:$I$120,7), "")</f>
        <v/>
      </c>
      <c r="BX197" s="1539" t="str">
        <f>IFERROR(VLOOKUP(O197,Valid!$B$99:$I$120,8), "")</f>
        <v/>
      </c>
      <c r="BY197" s="894"/>
    </row>
    <row r="198" spans="1:77" ht="6.75" customHeight="1" x14ac:dyDescent="0.2">
      <c r="A198" s="1517"/>
      <c r="B198" s="1530">
        <v>93.5</v>
      </c>
      <c r="C198" s="1540"/>
      <c r="D198" s="905"/>
      <c r="E198" s="1541"/>
      <c r="F198" s="905"/>
      <c r="G198" s="905"/>
      <c r="H198" s="905"/>
      <c r="I198" s="1534"/>
      <c r="J198" s="905"/>
      <c r="K198" s="1534"/>
      <c r="L198" s="905"/>
      <c r="M198" s="1534"/>
      <c r="N198" s="1531"/>
      <c r="O198" s="1542"/>
      <c r="P198" s="905"/>
      <c r="Q198" s="1542"/>
      <c r="R198" s="905"/>
      <c r="S198" s="1534" t="str">
        <f t="shared" si="276"/>
        <v/>
      </c>
      <c r="T198" s="905"/>
      <c r="U198" s="1534"/>
      <c r="V198" s="252" t="str">
        <f t="shared" si="349"/>
        <v/>
      </c>
      <c r="W198" s="1534"/>
      <c r="X198" s="905"/>
      <c r="Y198" s="1973" t="str">
        <f t="shared" si="286"/>
        <v/>
      </c>
      <c r="Z198" s="905"/>
      <c r="AA198" s="1985" t="str">
        <f t="shared" si="287"/>
        <v/>
      </c>
      <c r="AB198" s="1531"/>
      <c r="AC198" s="1534"/>
      <c r="AD198" s="1531"/>
      <c r="AE198" s="1534"/>
      <c r="AF198" s="1531"/>
      <c r="AG198" s="1534"/>
      <c r="AH198" s="1531"/>
      <c r="AI198" s="1543"/>
      <c r="AJ198" s="1531"/>
      <c r="AK198" s="1534"/>
      <c r="AL198" s="1531"/>
      <c r="AM198" s="1531"/>
      <c r="AN198" s="1531"/>
      <c r="AO198" s="1531"/>
      <c r="AP198" s="1531"/>
      <c r="AQ198" s="1535"/>
      <c r="AR198" s="1534"/>
      <c r="AS198" s="1535"/>
      <c r="AT198" s="1534"/>
      <c r="AU198" s="1535"/>
      <c r="AV198" s="1534"/>
      <c r="AW198" s="1535"/>
      <c r="AX198" s="1534"/>
      <c r="AY198" s="1535"/>
      <c r="AZ198" s="1534"/>
      <c r="BA198" s="1535"/>
      <c r="BB198" s="1534"/>
      <c r="BC198" s="1535"/>
      <c r="BD198" s="1534"/>
      <c r="BE198" s="1535"/>
      <c r="BF198" s="1534"/>
      <c r="BG198" s="1535"/>
      <c r="BH198" s="1534"/>
      <c r="BI198" s="1535"/>
      <c r="BJ198" s="1534"/>
      <c r="BK198" s="1535"/>
      <c r="BL198" s="1535"/>
      <c r="BM198" s="1531"/>
      <c r="BN198" s="898" t="str">
        <f t="shared" si="282"/>
        <v/>
      </c>
      <c r="BO198" s="898" t="str">
        <f>IFERROR(IF(AND(O198="",O198&lt;&gt;""),1913,VLOOKUP(O198,Valid!$B$99:$J$120,9)),"")</f>
        <v/>
      </c>
      <c r="BP198" s="898" t="str">
        <f t="shared" ca="1" si="354"/>
        <v/>
      </c>
      <c r="BQ198" s="1547" t="str">
        <f t="shared" ca="1" si="355"/>
        <v/>
      </c>
      <c r="BR198" s="898"/>
      <c r="BS198" s="898" t="str">
        <f t="shared" si="284"/>
        <v/>
      </c>
      <c r="BT198" s="898" t="str">
        <f t="shared" si="285"/>
        <v/>
      </c>
      <c r="BU198" s="1539" t="str">
        <f>IFERROR(IF(AND(#REF!="",C198&lt;&gt;""),Valid!$E$123,VLOOKUP(#REF!,Valid!$B$123:$F$125,4,FALSE)),"")</f>
        <v/>
      </c>
      <c r="BV198" s="1539" t="str">
        <f>IFERROR(IF(AND(#REF!="",C198&lt;&gt;""),Valid!$F$123,VLOOKUP(#REF!,Valid!$B$123:$F$125,5,FALSE)),"")</f>
        <v/>
      </c>
      <c r="BW198" s="1539" t="str">
        <f>IFERROR(VLOOKUP('A-70 RevVehInv'!S198,Valid!$B$99:$I$120,7), "")</f>
        <v/>
      </c>
      <c r="BX198" s="1539" t="str">
        <f>IFERROR(VLOOKUP(O198,Valid!$B$99:$I$120,8), "")</f>
        <v/>
      </c>
      <c r="BY198" s="1531"/>
    </row>
    <row r="199" spans="1:77" s="930" customFormat="1" x14ac:dyDescent="0.2">
      <c r="A199" s="206">
        <v>94</v>
      </c>
      <c r="B199" s="1530">
        <v>94</v>
      </c>
      <c r="C199" s="933"/>
      <c r="D199" s="719" t="str">
        <f>IF(C197="","",IF((C199=""),"Enter RVI ID. then Fill in Columns "&amp;TEXT($I$2,0)&amp;" - "&amp;TEXT($AI$2,0)&amp;"       ",""))</f>
        <v/>
      </c>
      <c r="E199" s="1056" t="str">
        <f>IF(AP199="N/A","",AP199)</f>
        <v/>
      </c>
      <c r="F199" s="1536"/>
      <c r="G199" s="1536"/>
      <c r="H199" s="1536"/>
      <c r="I199" s="1023"/>
      <c r="J199" s="1536" t="str">
        <f>IF(E199&lt;&gt;"","Vehicles?    ","")</f>
        <v/>
      </c>
      <c r="K199" s="1023"/>
      <c r="L199" s="1536" t="str">
        <f>IF(E199&lt;&gt;"","Active Vehicles?     ","")</f>
        <v/>
      </c>
      <c r="M199" s="1023"/>
      <c r="N199" s="894"/>
      <c r="O199" s="1153"/>
      <c r="P199" s="252" t="str">
        <f>IF(E199&lt;&gt;"","Select from Pull-Down List    ","")</f>
        <v/>
      </c>
      <c r="Q199" s="933"/>
      <c r="R199" s="252" t="str">
        <f>IF(E199&lt;&gt;"","Select from Pull-Down List    ","")</f>
        <v/>
      </c>
      <c r="S199" s="1766" t="str">
        <f t="shared" si="276"/>
        <v/>
      </c>
      <c r="T199" s="252"/>
      <c r="U199" s="1988"/>
      <c r="V199" s="252" t="str">
        <f t="shared" si="349"/>
        <v/>
      </c>
      <c r="W199" s="139"/>
      <c r="X199" s="252" t="str">
        <f>IF(E199&lt;&gt;"","Mfg. Yr?    ","")</f>
        <v/>
      </c>
      <c r="Y199" s="1974" t="str">
        <f t="shared" si="286"/>
        <v/>
      </c>
      <c r="Z199" s="252"/>
      <c r="AA199" s="1986" t="str">
        <f t="shared" si="287"/>
        <v/>
      </c>
      <c r="AB199" s="252" t="str">
        <f>IF(E199&lt;&gt;"","Select from Pull-Down List    ","")</f>
        <v/>
      </c>
      <c r="AC199" s="1023"/>
      <c r="AD199" s="252" t="str">
        <f>IF(E199&lt;&gt;"","Feet?    ","")</f>
        <v/>
      </c>
      <c r="AE199" s="1023"/>
      <c r="AF199" s="252" t="str">
        <f>IF(E199&lt;&gt;"","Mileage?       ","")</f>
        <v/>
      </c>
      <c r="AG199" s="1023"/>
      <c r="AH199" s="252" t="str">
        <f>IF(E199&lt;&gt;"","Avg. Lifetime Mileage? ","")</f>
        <v/>
      </c>
      <c r="AI199" s="933"/>
      <c r="AJ199" s="252" t="str">
        <f>IF(E199&lt;&gt;"","Select from Pull-Down List    ","")</f>
        <v/>
      </c>
      <c r="AK199" s="171"/>
      <c r="AL199" s="252"/>
      <c r="AM199" s="894"/>
      <c r="AN199" s="894"/>
      <c r="AO199" s="894" t="b">
        <f>IF(AND(C199="",C201&lt;&gt;""),TRUE,FALSE)</f>
        <v>0</v>
      </c>
      <c r="AP199" s="888" t="str">
        <f t="shared" ref="AP199" si="404">IF(AND(C199&lt;&gt;"",OR(I199="",K199="",M199="",O199="",Q199="",W199="",AC199="",AE199="",AG199="")),"No",IF(AND(C199="",OR(I199&lt;&gt;"",K199&lt;&gt;"",M199&lt;&gt;"",O199&lt;&gt;"",Q199&lt;&gt;"",W199&lt;&gt;"",AC199&lt;&gt;"",AE199&lt;&gt;"",AG199&lt;&gt;"",AI199&lt;&gt;"",AK199&lt;&gt;"")),"No",IF(AND(C199="",I199="",K199="",M199="",O199="",Q199="",W199="",AC199="",AE199="",AG199="",AI199=""),"N/A","Yes")))</f>
        <v>N/A</v>
      </c>
      <c r="AQ199" s="898"/>
      <c r="AR199" s="899" t="b">
        <f t="shared" ref="AR199" si="405">IF(AND(OR(I199&lt;&gt;"",K199&lt;&gt;"",M199&lt;&gt;"",O199&lt;&gt;"",Q199&lt;&gt;"",W199&lt;&gt;"",AC199&lt;&gt;"",AE199&lt;&gt;"",AG199&lt;&gt;"",AI199&lt;&gt;"",AK199&lt;&gt;""),C199=""),TRUE,FALSE)</f>
        <v>0</v>
      </c>
      <c r="AS199" s="898" t="b">
        <f t="shared" ref="AS199" si="406">IF(AT199=TRUE,FALSE,IF(SUM(K199)&gt;I199,TRUE,FALSE))</f>
        <v>0</v>
      </c>
      <c r="AT199" s="899" t="b">
        <f>IF(AND(C199&lt;&gt;"",I199=""),TRUE,FALSE)</f>
        <v>0</v>
      </c>
      <c r="AU199" s="898" t="b">
        <f>IF(AV199=TRUE,FALSE,IF(M199&gt;K199,TRUE,FALSE))</f>
        <v>0</v>
      </c>
      <c r="AV199" s="899" t="b">
        <f>IF(AND($C199&lt;&gt;"",K199=""),TRUE,FALSE)</f>
        <v>0</v>
      </c>
      <c r="AW199" s="898"/>
      <c r="AX199" s="899" t="b">
        <f>IF(AND($C199&lt;&gt;"",M199=""),TRUE,FALSE)</f>
        <v>0</v>
      </c>
      <c r="AY199" s="898" t="b">
        <f t="shared" ref="AY199" si="407">IF(AND(O199="",OR(Q199&lt;&gt;"",W199&lt;&gt;"",AC199&lt;&gt;"",AE199&lt;&gt;"",AG199&lt;&gt;"",AI199&lt;&gt;"")),TRUE,FALSE)</f>
        <v>0</v>
      </c>
      <c r="AZ199" s="899" t="b">
        <f>IF(AND($C199&lt;&gt;"",O199=""),TRUE,FALSE)</f>
        <v>0</v>
      </c>
      <c r="BA199" s="898"/>
      <c r="BB199" s="899" t="b">
        <f>IF(AND($C199&lt;&gt;"",Q199=""),TRUE,FALSE)</f>
        <v>0</v>
      </c>
      <c r="BC199" s="1537" t="b">
        <f>IF(BD199=TRUE,FALSE,IF(W199="",FALSE,IF(OR(W199&lt;BO199,W199&gt;BaseYear),TRUE,FALSE)))</f>
        <v>0</v>
      </c>
      <c r="BD199" s="899" t="b">
        <f>IF(AND($C199&lt;&gt;"",W199=""),TRUE,FALSE)</f>
        <v>0</v>
      </c>
      <c r="BE199" s="1537"/>
      <c r="BF199" s="899" t="b">
        <f>IF(AND($C199&lt;&gt;"",AC199=""),TRUE,FALSE)</f>
        <v>0</v>
      </c>
      <c r="BG199" s="898"/>
      <c r="BH199" s="899" t="b">
        <f>IF(AND($C199&lt;&gt;"",AE199=""),TRUE,FALSE)</f>
        <v>0</v>
      </c>
      <c r="BI199" s="898"/>
      <c r="BJ199" s="899" t="b">
        <f>IF(AND($C199&lt;&gt;"",AG199=""),TRUE,FALSE)</f>
        <v>0</v>
      </c>
      <c r="BK199" s="898"/>
      <c r="BL199" s="898" t="b">
        <f>IF(AND($C199&lt;&gt;"",AI199=""),TRUE,FALSE)</f>
        <v>0</v>
      </c>
      <c r="BM199" s="894"/>
      <c r="BN199" s="898" t="str">
        <f t="shared" si="282"/>
        <v/>
      </c>
      <c r="BO199" s="898" t="str">
        <f>IFERROR(IF(AND(O199="",O199&lt;&gt;""),1913,VLOOKUP(O199,Valid!$B$99:$J$120,9)),"")</f>
        <v/>
      </c>
      <c r="BP199" s="898" t="str">
        <f t="shared" ca="1" si="354"/>
        <v/>
      </c>
      <c r="BQ199" s="1547" t="str">
        <f t="shared" ca="1" si="355"/>
        <v/>
      </c>
      <c r="BR199" s="898" t="str">
        <f ca="1">IF(BQ199="", "", IF(1+(BQ199*4)&lt;1, 1, 1+(BQ199*4)))</f>
        <v/>
      </c>
      <c r="BS199" s="898" t="str">
        <f t="shared" si="284"/>
        <v/>
      </c>
      <c r="BT199" s="898" t="str">
        <f t="shared" si="285"/>
        <v/>
      </c>
      <c r="BU199" s="1539" t="str">
        <f>IFERROR(IF(AND(#REF!="",C199&lt;&gt;""),Valid!$E$123,VLOOKUP(#REF!,Valid!$B$123:$F$125,4,FALSE)),"")</f>
        <v/>
      </c>
      <c r="BV199" s="1539" t="str">
        <f>IFERROR(IF(AND(#REF!="",C199&lt;&gt;""),Valid!$F$123,VLOOKUP(#REF!,Valid!$B$123:$F$125,5,FALSE)),"")</f>
        <v/>
      </c>
      <c r="BW199" s="1539" t="str">
        <f>IFERROR(VLOOKUP('A-70 RevVehInv'!S199,Valid!$B$99:$I$120,7), "")</f>
        <v/>
      </c>
      <c r="BX199" s="1539" t="str">
        <f>IFERROR(VLOOKUP(O199,Valid!$B$99:$I$120,8), "")</f>
        <v/>
      </c>
      <c r="BY199" s="894"/>
    </row>
    <row r="200" spans="1:77" ht="6.75" customHeight="1" x14ac:dyDescent="0.2">
      <c r="A200" s="1517"/>
      <c r="B200" s="1530">
        <v>94.5</v>
      </c>
      <c r="C200" s="1544"/>
      <c r="D200" s="905"/>
      <c r="E200" s="1545"/>
      <c r="F200" s="905"/>
      <c r="G200" s="905"/>
      <c r="H200" s="905"/>
      <c r="I200" s="1531"/>
      <c r="J200" s="905"/>
      <c r="K200" s="1531"/>
      <c r="L200" s="905"/>
      <c r="M200" s="1531"/>
      <c r="N200" s="1531"/>
      <c r="O200" s="1533"/>
      <c r="P200" s="905"/>
      <c r="Q200" s="1533"/>
      <c r="R200" s="905"/>
      <c r="S200" s="1531" t="str">
        <f t="shared" si="276"/>
        <v/>
      </c>
      <c r="T200" s="905"/>
      <c r="U200" s="1531"/>
      <c r="V200" s="252" t="str">
        <f t="shared" si="349"/>
        <v/>
      </c>
      <c r="W200" s="1531"/>
      <c r="X200" s="905"/>
      <c r="Y200" s="1971" t="str">
        <f t="shared" si="286"/>
        <v/>
      </c>
      <c r="Z200" s="905"/>
      <c r="AA200" s="1983" t="str">
        <f t="shared" si="287"/>
        <v/>
      </c>
      <c r="AB200" s="1531"/>
      <c r="AC200" s="1531"/>
      <c r="AD200" s="1531"/>
      <c r="AE200" s="1531"/>
      <c r="AF200" s="1531"/>
      <c r="AG200" s="1534"/>
      <c r="AH200" s="1531"/>
      <c r="AI200" s="1546"/>
      <c r="AJ200" s="1531"/>
      <c r="AK200" s="1531"/>
      <c r="AL200" s="1531"/>
      <c r="AM200" s="1531"/>
      <c r="AN200" s="1531"/>
      <c r="AO200" s="1531"/>
      <c r="AP200" s="1531"/>
      <c r="AQ200" s="1535"/>
      <c r="AR200" s="1534"/>
      <c r="AS200" s="1535"/>
      <c r="AT200" s="1534"/>
      <c r="AU200" s="1535"/>
      <c r="AV200" s="1534"/>
      <c r="AW200" s="1535"/>
      <c r="AX200" s="1534"/>
      <c r="AY200" s="1535"/>
      <c r="AZ200" s="1534"/>
      <c r="BA200" s="1535"/>
      <c r="BB200" s="1534"/>
      <c r="BC200" s="1535"/>
      <c r="BD200" s="1534"/>
      <c r="BE200" s="1535"/>
      <c r="BF200" s="1534"/>
      <c r="BG200" s="1535"/>
      <c r="BH200" s="1534"/>
      <c r="BI200" s="1535"/>
      <c r="BJ200" s="1534"/>
      <c r="BK200" s="1535"/>
      <c r="BL200" s="1535"/>
      <c r="BM200" s="1531"/>
      <c r="BN200" s="898" t="str">
        <f t="shared" si="282"/>
        <v/>
      </c>
      <c r="BO200" s="898" t="str">
        <f>IFERROR(IF(AND(O200="",O200&lt;&gt;""),1913,VLOOKUP(O200,Valid!$B$99:$J$120,9)),"")</f>
        <v/>
      </c>
      <c r="BP200" s="898" t="str">
        <f t="shared" ca="1" si="354"/>
        <v/>
      </c>
      <c r="BQ200" s="1547" t="str">
        <f t="shared" ca="1" si="355"/>
        <v/>
      </c>
      <c r="BR200" s="898"/>
      <c r="BS200" s="898" t="str">
        <f t="shared" si="284"/>
        <v/>
      </c>
      <c r="BT200" s="898" t="str">
        <f t="shared" si="285"/>
        <v/>
      </c>
      <c r="BU200" s="1539" t="str">
        <f>IFERROR(IF(AND(#REF!="",C200&lt;&gt;""),Valid!$E$123,VLOOKUP(#REF!,Valid!$B$123:$F$125,4,FALSE)),"")</f>
        <v/>
      </c>
      <c r="BV200" s="1539" t="str">
        <f>IFERROR(IF(AND(#REF!="",C200&lt;&gt;""),Valid!$F$123,VLOOKUP(#REF!,Valid!$B$123:$F$125,5,FALSE)),"")</f>
        <v/>
      </c>
      <c r="BW200" s="1539" t="str">
        <f>IFERROR(VLOOKUP('A-70 RevVehInv'!S200,Valid!$B$99:$I$120,7), "")</f>
        <v/>
      </c>
      <c r="BX200" s="1539" t="str">
        <f>IFERROR(VLOOKUP(O200,Valid!$B$99:$I$120,8), "")</f>
        <v/>
      </c>
      <c r="BY200" s="1531"/>
    </row>
    <row r="201" spans="1:77" s="930" customFormat="1" x14ac:dyDescent="0.2">
      <c r="A201" s="206">
        <v>95</v>
      </c>
      <c r="B201" s="1530">
        <v>95</v>
      </c>
      <c r="C201" s="933"/>
      <c r="D201" s="719" t="str">
        <f>IF(C199="","",IF((C201=""),"Enter RVI ID. then Fill in Columns "&amp;TEXT($I$2,0)&amp;" - "&amp;TEXT($AI$2,0)&amp;"       ",""))</f>
        <v/>
      </c>
      <c r="E201" s="1056" t="str">
        <f>IF(AP201="N/A","",AP201)</f>
        <v/>
      </c>
      <c r="F201" s="1536"/>
      <c r="G201" s="1536"/>
      <c r="H201" s="1536"/>
      <c r="I201" s="1023"/>
      <c r="J201" s="1536" t="str">
        <f>IF(E201&lt;&gt;"","Vehicles?    ","")</f>
        <v/>
      </c>
      <c r="K201" s="1023"/>
      <c r="L201" s="1536" t="str">
        <f>IF(E201&lt;&gt;"","Active Vehicles?     ","")</f>
        <v/>
      </c>
      <c r="M201" s="1023"/>
      <c r="N201" s="894"/>
      <c r="O201" s="1153"/>
      <c r="P201" s="252" t="str">
        <f>IF(E201&lt;&gt;"","Select from Pull-Down List    ","")</f>
        <v/>
      </c>
      <c r="Q201" s="933"/>
      <c r="R201" s="252" t="str">
        <f>IF(E201&lt;&gt;"","Select from Pull-Down List    ","")</f>
        <v/>
      </c>
      <c r="S201" s="1766" t="str">
        <f t="shared" si="276"/>
        <v/>
      </c>
      <c r="T201" s="252"/>
      <c r="U201" s="1988"/>
      <c r="V201" s="252" t="str">
        <f t="shared" si="349"/>
        <v/>
      </c>
      <c r="W201" s="139"/>
      <c r="X201" s="252" t="str">
        <f>IF(E201&lt;&gt;"","Mfg. Yr?    ","")</f>
        <v/>
      </c>
      <c r="Y201" s="1974" t="str">
        <f t="shared" si="286"/>
        <v/>
      </c>
      <c r="Z201" s="252"/>
      <c r="AA201" s="1986" t="str">
        <f t="shared" si="287"/>
        <v/>
      </c>
      <c r="AB201" s="252" t="str">
        <f>IF(E201&lt;&gt;"","Select from Pull-Down List    ","")</f>
        <v/>
      </c>
      <c r="AC201" s="1023"/>
      <c r="AD201" s="252" t="str">
        <f>IF(E201&lt;&gt;"","Feet?    ","")</f>
        <v/>
      </c>
      <c r="AE201" s="1023"/>
      <c r="AF201" s="252" t="str">
        <f>IF(E201&lt;&gt;"","Mileage?       ","")</f>
        <v/>
      </c>
      <c r="AG201" s="1023"/>
      <c r="AH201" s="252" t="str">
        <f>IF(E201&lt;&gt;"","Avg. Lifetime Mileage? ","")</f>
        <v/>
      </c>
      <c r="AI201" s="933"/>
      <c r="AJ201" s="252" t="str">
        <f>IF(E201&lt;&gt;"","Select from Pull-Down List    ","")</f>
        <v/>
      </c>
      <c r="AK201" s="171"/>
      <c r="AL201" s="252"/>
      <c r="AM201" s="894"/>
      <c r="AN201" s="894"/>
      <c r="AO201" s="894" t="b">
        <f>IF(AND(C201="",C203&lt;&gt;""),TRUE,FALSE)</f>
        <v>0</v>
      </c>
      <c r="AP201" s="888" t="str">
        <f t="shared" ref="AP201" si="408">IF(AND(C201&lt;&gt;"",OR(I201="",K201="",M201="",O201="",Q201="",W201="",AC201="",AE201="",AG201="")),"No",IF(AND(C201="",OR(I201&lt;&gt;"",K201&lt;&gt;"",M201&lt;&gt;"",O201&lt;&gt;"",Q201&lt;&gt;"",W201&lt;&gt;"",AC201&lt;&gt;"",AE201&lt;&gt;"",AG201&lt;&gt;"",AI201&lt;&gt;"",AK201&lt;&gt;"")),"No",IF(AND(C201="",I201="",K201="",M201="",O201="",Q201="",W201="",AC201="",AE201="",AG201="",AI201=""),"N/A","Yes")))</f>
        <v>N/A</v>
      </c>
      <c r="AQ201" s="898"/>
      <c r="AR201" s="899" t="b">
        <f t="shared" ref="AR201" si="409">IF(AND(OR(I201&lt;&gt;"",K201&lt;&gt;"",M201&lt;&gt;"",O201&lt;&gt;"",Q201&lt;&gt;"",W201&lt;&gt;"",AC201&lt;&gt;"",AE201&lt;&gt;"",AG201&lt;&gt;"",AI201&lt;&gt;"",AK201&lt;&gt;""),C201=""),TRUE,FALSE)</f>
        <v>0</v>
      </c>
      <c r="AS201" s="898" t="b">
        <f t="shared" ref="AS201" si="410">IF(AT201=TRUE,FALSE,IF(SUM(K201)&gt;I201,TRUE,FALSE))</f>
        <v>0</v>
      </c>
      <c r="AT201" s="899" t="b">
        <f>IF(AND(C201&lt;&gt;"",I201=""),TRUE,FALSE)</f>
        <v>0</v>
      </c>
      <c r="AU201" s="898" t="b">
        <f>IF(AV201=TRUE,FALSE,IF(M201&gt;K201,TRUE,FALSE))</f>
        <v>0</v>
      </c>
      <c r="AV201" s="899" t="b">
        <f>IF(AND($C201&lt;&gt;"",K201=""),TRUE,FALSE)</f>
        <v>0</v>
      </c>
      <c r="AW201" s="898"/>
      <c r="AX201" s="899" t="b">
        <f>IF(AND($C201&lt;&gt;"",M201=""),TRUE,FALSE)</f>
        <v>0</v>
      </c>
      <c r="AY201" s="898" t="b">
        <f t="shared" ref="AY201" si="411">IF(AND(O201="",OR(Q201&lt;&gt;"",W201&lt;&gt;"",AC201&lt;&gt;"",AE201&lt;&gt;"",AG201&lt;&gt;"",AI201&lt;&gt;"")),TRUE,FALSE)</f>
        <v>0</v>
      </c>
      <c r="AZ201" s="899" t="b">
        <f>IF(AND($C201&lt;&gt;"",O201=""),TRUE,FALSE)</f>
        <v>0</v>
      </c>
      <c r="BA201" s="898"/>
      <c r="BB201" s="899" t="b">
        <f>IF(AND($C201&lt;&gt;"",Q201=""),TRUE,FALSE)</f>
        <v>0</v>
      </c>
      <c r="BC201" s="1537" t="b">
        <f>IF(BD201=TRUE,FALSE,IF(W201="",FALSE,IF(OR(W201&lt;BO201,W201&gt;BaseYear),TRUE,FALSE)))</f>
        <v>0</v>
      </c>
      <c r="BD201" s="899" t="b">
        <f>IF(AND($C201&lt;&gt;"",W201=""),TRUE,FALSE)</f>
        <v>0</v>
      </c>
      <c r="BE201" s="1537"/>
      <c r="BF201" s="899" t="b">
        <f>IF(AND($C201&lt;&gt;"",AC201=""),TRUE,FALSE)</f>
        <v>0</v>
      </c>
      <c r="BG201" s="898"/>
      <c r="BH201" s="899" t="b">
        <f>IF(AND($C201&lt;&gt;"",AE201=""),TRUE,FALSE)</f>
        <v>0</v>
      </c>
      <c r="BI201" s="898"/>
      <c r="BJ201" s="899" t="b">
        <f>IF(AND($C201&lt;&gt;"",AG201=""),TRUE,FALSE)</f>
        <v>0</v>
      </c>
      <c r="BK201" s="898"/>
      <c r="BL201" s="898" t="b">
        <f>IF(AND($C201&lt;&gt;"",AI201=""),TRUE,FALSE)</f>
        <v>0</v>
      </c>
      <c r="BM201" s="894"/>
      <c r="BN201" s="898" t="str">
        <f t="shared" si="282"/>
        <v/>
      </c>
      <c r="BO201" s="898" t="str">
        <f>IFERROR(IF(AND(O201="",O201&lt;&gt;""),1913,VLOOKUP(O201,Valid!$B$99:$J$120,9)),"")</f>
        <v/>
      </c>
      <c r="BP201" s="898" t="str">
        <f t="shared" ca="1" si="354"/>
        <v/>
      </c>
      <c r="BQ201" s="1547" t="str">
        <f t="shared" ca="1" si="355"/>
        <v/>
      </c>
      <c r="BR201" s="898" t="str">
        <f ca="1">IF(BQ201="", "", IF(1+(BQ201*4)&lt;1, 1, 1+(BQ201*4)))</f>
        <v/>
      </c>
      <c r="BS201" s="898" t="str">
        <f t="shared" si="284"/>
        <v/>
      </c>
      <c r="BT201" s="898" t="str">
        <f t="shared" si="285"/>
        <v/>
      </c>
      <c r="BU201" s="1539" t="str">
        <f>IFERROR(IF(AND(#REF!="",C201&lt;&gt;""),Valid!$E$123,VLOOKUP(#REF!,Valid!$B$123:$F$125,4,FALSE)),"")</f>
        <v/>
      </c>
      <c r="BV201" s="1539" t="str">
        <f>IFERROR(IF(AND(#REF!="",C201&lt;&gt;""),Valid!$F$123,VLOOKUP(#REF!,Valid!$B$123:$F$125,5,FALSE)),"")</f>
        <v/>
      </c>
      <c r="BW201" s="1539" t="str">
        <f>IFERROR(VLOOKUP('A-70 RevVehInv'!S201,Valid!$B$99:$I$120,7), "")</f>
        <v/>
      </c>
      <c r="BX201" s="1539" t="str">
        <f>IFERROR(VLOOKUP(O201,Valid!$B$99:$I$120,8), "")</f>
        <v/>
      </c>
      <c r="BY201" s="894"/>
    </row>
    <row r="202" spans="1:77" ht="6.75" customHeight="1" x14ac:dyDescent="0.2">
      <c r="A202" s="1517"/>
      <c r="B202" s="1530">
        <v>95.5</v>
      </c>
      <c r="C202" s="1540"/>
      <c r="D202" s="905"/>
      <c r="E202" s="1541"/>
      <c r="F202" s="905"/>
      <c r="G202" s="905"/>
      <c r="H202" s="905"/>
      <c r="I202" s="1534"/>
      <c r="J202" s="905"/>
      <c r="K202" s="1534"/>
      <c r="L202" s="905"/>
      <c r="M202" s="1534"/>
      <c r="N202" s="1531"/>
      <c r="O202" s="1542"/>
      <c r="P202" s="905"/>
      <c r="Q202" s="1542"/>
      <c r="R202" s="905"/>
      <c r="S202" s="1534" t="str">
        <f t="shared" si="276"/>
        <v/>
      </c>
      <c r="T202" s="905"/>
      <c r="U202" s="1534"/>
      <c r="V202" s="252" t="str">
        <f t="shared" si="349"/>
        <v/>
      </c>
      <c r="W202" s="1534"/>
      <c r="X202" s="905"/>
      <c r="Y202" s="1973" t="str">
        <f t="shared" si="286"/>
        <v/>
      </c>
      <c r="Z202" s="905"/>
      <c r="AA202" s="1985" t="str">
        <f t="shared" si="287"/>
        <v/>
      </c>
      <c r="AB202" s="1531"/>
      <c r="AC202" s="1534"/>
      <c r="AD202" s="1531"/>
      <c r="AE202" s="1534"/>
      <c r="AF202" s="1531"/>
      <c r="AG202" s="1534"/>
      <c r="AH202" s="1531"/>
      <c r="AI202" s="1543"/>
      <c r="AJ202" s="1531"/>
      <c r="AK202" s="1534"/>
      <c r="AL202" s="1531"/>
      <c r="AM202" s="1531"/>
      <c r="AN202" s="1531"/>
      <c r="AO202" s="1531"/>
      <c r="AP202" s="1531"/>
      <c r="AQ202" s="1535"/>
      <c r="AR202" s="1534"/>
      <c r="AS202" s="1535"/>
      <c r="AT202" s="1534"/>
      <c r="AU202" s="1535"/>
      <c r="AV202" s="1534"/>
      <c r="AW202" s="1535"/>
      <c r="AX202" s="1534"/>
      <c r="AY202" s="1535"/>
      <c r="AZ202" s="1534"/>
      <c r="BA202" s="1535"/>
      <c r="BB202" s="1534"/>
      <c r="BC202" s="1535"/>
      <c r="BD202" s="1534"/>
      <c r="BE202" s="1535"/>
      <c r="BF202" s="1534"/>
      <c r="BG202" s="1535"/>
      <c r="BH202" s="1534"/>
      <c r="BI202" s="1535"/>
      <c r="BJ202" s="1534"/>
      <c r="BK202" s="1535"/>
      <c r="BL202" s="1535"/>
      <c r="BM202" s="1531"/>
      <c r="BN202" s="898" t="str">
        <f t="shared" si="282"/>
        <v/>
      </c>
      <c r="BO202" s="898" t="str">
        <f>IFERROR(IF(AND(O202="",O202&lt;&gt;""),1913,VLOOKUP(O202,Valid!$B$99:$J$120,9)),"")</f>
        <v/>
      </c>
      <c r="BP202" s="898" t="str">
        <f t="shared" ca="1" si="354"/>
        <v/>
      </c>
      <c r="BQ202" s="1547" t="str">
        <f t="shared" ca="1" si="355"/>
        <v/>
      </c>
      <c r="BR202" s="898"/>
      <c r="BS202" s="898" t="str">
        <f t="shared" si="284"/>
        <v/>
      </c>
      <c r="BT202" s="898" t="str">
        <f t="shared" si="285"/>
        <v/>
      </c>
      <c r="BU202" s="1539" t="str">
        <f>IFERROR(IF(AND(#REF!="",C202&lt;&gt;""),Valid!$E$123,VLOOKUP(#REF!,Valid!$B$123:$F$125,4,FALSE)),"")</f>
        <v/>
      </c>
      <c r="BV202" s="1539" t="str">
        <f>IFERROR(IF(AND(#REF!="",C202&lt;&gt;""),Valid!$F$123,VLOOKUP(#REF!,Valid!$B$123:$F$125,5,FALSE)),"")</f>
        <v/>
      </c>
      <c r="BW202" s="1539" t="str">
        <f>IFERROR(VLOOKUP('A-70 RevVehInv'!S202,Valid!$B$99:$I$120,7), "")</f>
        <v/>
      </c>
      <c r="BX202" s="1539" t="str">
        <f>IFERROR(VLOOKUP(O202,Valid!$B$99:$I$120,8), "")</f>
        <v/>
      </c>
      <c r="BY202" s="1531"/>
    </row>
    <row r="203" spans="1:77" s="930" customFormat="1" x14ac:dyDescent="0.2">
      <c r="A203" s="206">
        <v>96</v>
      </c>
      <c r="B203" s="1530">
        <v>96</v>
      </c>
      <c r="C203" s="933"/>
      <c r="D203" s="719" t="str">
        <f>IF(C201="","",IF((C203=""),"Enter RVI ID. then Fill in Columns "&amp;TEXT($I$2,0)&amp;" - "&amp;TEXT($AI$2,0)&amp;"       ",""))</f>
        <v/>
      </c>
      <c r="E203" s="1056" t="str">
        <f>IF(AP203="N/A","",AP203)</f>
        <v/>
      </c>
      <c r="F203" s="1536"/>
      <c r="G203" s="1536"/>
      <c r="H203" s="1536"/>
      <c r="I203" s="1023"/>
      <c r="J203" s="1536" t="str">
        <f>IF(E203&lt;&gt;"","Vehicles?    ","")</f>
        <v/>
      </c>
      <c r="K203" s="1023"/>
      <c r="L203" s="1536" t="str">
        <f>IF(E203&lt;&gt;"","Active Vehicles?     ","")</f>
        <v/>
      </c>
      <c r="M203" s="1023"/>
      <c r="N203" s="894"/>
      <c r="O203" s="1153"/>
      <c r="P203" s="252" t="str">
        <f>IF(E203&lt;&gt;"","Select from Pull-Down List    ","")</f>
        <v/>
      </c>
      <c r="Q203" s="933"/>
      <c r="R203" s="252" t="str">
        <f>IF(E203&lt;&gt;"","Select from Pull-Down List    ","")</f>
        <v/>
      </c>
      <c r="S203" s="1766" t="str">
        <f t="shared" si="276"/>
        <v/>
      </c>
      <c r="T203" s="252"/>
      <c r="U203" s="1988"/>
      <c r="V203" s="252" t="str">
        <f t="shared" si="349"/>
        <v/>
      </c>
      <c r="W203" s="139"/>
      <c r="X203" s="252" t="str">
        <f>IF(E203&lt;&gt;"","Mfg. Yr?    ","")</f>
        <v/>
      </c>
      <c r="Y203" s="1974" t="str">
        <f t="shared" si="286"/>
        <v/>
      </c>
      <c r="Z203" s="252"/>
      <c r="AA203" s="1986" t="str">
        <f t="shared" si="287"/>
        <v/>
      </c>
      <c r="AB203" s="252" t="str">
        <f>IF(E203&lt;&gt;"","Select from Pull-Down List    ","")</f>
        <v/>
      </c>
      <c r="AC203" s="1023"/>
      <c r="AD203" s="252" t="str">
        <f>IF(E203&lt;&gt;"","Feet?    ","")</f>
        <v/>
      </c>
      <c r="AE203" s="1023"/>
      <c r="AF203" s="252" t="str">
        <f>IF(E203&lt;&gt;"","Mileage?       ","")</f>
        <v/>
      </c>
      <c r="AG203" s="1023"/>
      <c r="AH203" s="252" t="str">
        <f>IF(E203&lt;&gt;"","Avg. Lifetime Mileage? ","")</f>
        <v/>
      </c>
      <c r="AI203" s="933"/>
      <c r="AJ203" s="252" t="str">
        <f>IF(E203&lt;&gt;"","Select from Pull-Down List    ","")</f>
        <v/>
      </c>
      <c r="AK203" s="171"/>
      <c r="AL203" s="252"/>
      <c r="AM203" s="894"/>
      <c r="AN203" s="894"/>
      <c r="AO203" s="894" t="b">
        <f>IF(AND(C203="",C205&lt;&gt;""),TRUE,FALSE)</f>
        <v>0</v>
      </c>
      <c r="AP203" s="888" t="str">
        <f t="shared" ref="AP203" si="412">IF(AND(C203&lt;&gt;"",OR(I203="",K203="",M203="",O203="",Q203="",W203="",AC203="",AE203="",AG203="")),"No",IF(AND(C203="",OR(I203&lt;&gt;"",K203&lt;&gt;"",M203&lt;&gt;"",O203&lt;&gt;"",Q203&lt;&gt;"",W203&lt;&gt;"",AC203&lt;&gt;"",AE203&lt;&gt;"",AG203&lt;&gt;"",AI203&lt;&gt;"",AK203&lt;&gt;"")),"No",IF(AND(C203="",I203="",K203="",M203="",O203="",Q203="",W203="",AC203="",AE203="",AG203="",AI203=""),"N/A","Yes")))</f>
        <v>N/A</v>
      </c>
      <c r="AQ203" s="898"/>
      <c r="AR203" s="899" t="b">
        <f t="shared" ref="AR203" si="413">IF(AND(OR(I203&lt;&gt;"",K203&lt;&gt;"",M203&lt;&gt;"",O203&lt;&gt;"",Q203&lt;&gt;"",W203&lt;&gt;"",AC203&lt;&gt;"",AE203&lt;&gt;"",AG203&lt;&gt;"",AI203&lt;&gt;"",AK203&lt;&gt;""),C203=""),TRUE,FALSE)</f>
        <v>0</v>
      </c>
      <c r="AS203" s="898" t="b">
        <f t="shared" ref="AS203" si="414">IF(AT203=TRUE,FALSE,IF(SUM(K203)&gt;I203,TRUE,FALSE))</f>
        <v>0</v>
      </c>
      <c r="AT203" s="899" t="b">
        <f>IF(AND(C203&lt;&gt;"",I203=""),TRUE,FALSE)</f>
        <v>0</v>
      </c>
      <c r="AU203" s="898" t="b">
        <f>IF(AV203=TRUE,FALSE,IF(M203&gt;K203,TRUE,FALSE))</f>
        <v>0</v>
      </c>
      <c r="AV203" s="899" t="b">
        <f>IF(AND($C203&lt;&gt;"",K203=""),TRUE,FALSE)</f>
        <v>0</v>
      </c>
      <c r="AW203" s="898"/>
      <c r="AX203" s="899" t="b">
        <f>IF(AND($C203&lt;&gt;"",M203=""),TRUE,FALSE)</f>
        <v>0</v>
      </c>
      <c r="AY203" s="898" t="b">
        <f t="shared" ref="AY203" si="415">IF(AND(O203="",OR(Q203&lt;&gt;"",W203&lt;&gt;"",AC203&lt;&gt;"",AE203&lt;&gt;"",AG203&lt;&gt;"",AI203&lt;&gt;"")),TRUE,FALSE)</f>
        <v>0</v>
      </c>
      <c r="AZ203" s="899" t="b">
        <f>IF(AND($C203&lt;&gt;"",O203=""),TRUE,FALSE)</f>
        <v>0</v>
      </c>
      <c r="BA203" s="898"/>
      <c r="BB203" s="899" t="b">
        <f>IF(AND($C203&lt;&gt;"",Q203=""),TRUE,FALSE)</f>
        <v>0</v>
      </c>
      <c r="BC203" s="1537" t="b">
        <f>IF(BD203=TRUE,FALSE,IF(W203="",FALSE,IF(OR(W203&lt;BO203,W203&gt;BaseYear),TRUE,FALSE)))</f>
        <v>0</v>
      </c>
      <c r="BD203" s="899" t="b">
        <f>IF(AND($C203&lt;&gt;"",W203=""),TRUE,FALSE)</f>
        <v>0</v>
      </c>
      <c r="BE203" s="1537"/>
      <c r="BF203" s="899" t="b">
        <f>IF(AND($C203&lt;&gt;"",AC203=""),TRUE,FALSE)</f>
        <v>0</v>
      </c>
      <c r="BG203" s="898"/>
      <c r="BH203" s="899" t="b">
        <f>IF(AND($C203&lt;&gt;"",AE203=""),TRUE,FALSE)</f>
        <v>0</v>
      </c>
      <c r="BI203" s="898"/>
      <c r="BJ203" s="899" t="b">
        <f>IF(AND($C203&lt;&gt;"",AG203=""),TRUE,FALSE)</f>
        <v>0</v>
      </c>
      <c r="BK203" s="898"/>
      <c r="BL203" s="898" t="b">
        <f>IF(AND($C203&lt;&gt;"",AI203=""),TRUE,FALSE)</f>
        <v>0</v>
      </c>
      <c r="BM203" s="894"/>
      <c r="BN203" s="898" t="str">
        <f t="shared" si="282"/>
        <v/>
      </c>
      <c r="BO203" s="898" t="str">
        <f>IFERROR(IF(AND(O203="",O203&lt;&gt;""),1913,VLOOKUP(O203,Valid!$B$99:$J$120,9)),"")</f>
        <v/>
      </c>
      <c r="BP203" s="898" t="str">
        <f t="shared" ca="1" si="354"/>
        <v/>
      </c>
      <c r="BQ203" s="1547" t="str">
        <f t="shared" ca="1" si="355"/>
        <v/>
      </c>
      <c r="BR203" s="898" t="str">
        <f ca="1">IF(BQ203="", "", IF(1+(BQ203*4)&lt;1, 1, 1+(BQ203*4)))</f>
        <v/>
      </c>
      <c r="BS203" s="898" t="str">
        <f t="shared" si="284"/>
        <v/>
      </c>
      <c r="BT203" s="898" t="str">
        <f t="shared" si="285"/>
        <v/>
      </c>
      <c r="BU203" s="1539" t="str">
        <f>IFERROR(IF(AND(#REF!="",C203&lt;&gt;""),Valid!$E$123,VLOOKUP(#REF!,Valid!$B$123:$F$125,4,FALSE)),"")</f>
        <v/>
      </c>
      <c r="BV203" s="1539" t="str">
        <f>IFERROR(IF(AND(#REF!="",C203&lt;&gt;""),Valid!$F$123,VLOOKUP(#REF!,Valid!$B$123:$F$125,5,FALSE)),"")</f>
        <v/>
      </c>
      <c r="BW203" s="1539" t="str">
        <f>IFERROR(VLOOKUP('A-70 RevVehInv'!S203,Valid!$B$99:$I$120,7), "")</f>
        <v/>
      </c>
      <c r="BX203" s="1539" t="str">
        <f>IFERROR(VLOOKUP(O203,Valid!$B$99:$I$120,8), "")</f>
        <v/>
      </c>
      <c r="BY203" s="894"/>
    </row>
    <row r="204" spans="1:77" ht="6.75" customHeight="1" x14ac:dyDescent="0.2">
      <c r="A204" s="1517"/>
      <c r="B204" s="1530">
        <v>96.5</v>
      </c>
      <c r="C204" s="1544"/>
      <c r="D204" s="905"/>
      <c r="E204" s="1545"/>
      <c r="F204" s="905"/>
      <c r="G204" s="905"/>
      <c r="H204" s="905"/>
      <c r="I204" s="1531"/>
      <c r="J204" s="905"/>
      <c r="K204" s="1531"/>
      <c r="L204" s="905"/>
      <c r="M204" s="1531"/>
      <c r="N204" s="1531"/>
      <c r="O204" s="1533"/>
      <c r="P204" s="905"/>
      <c r="Q204" s="1533"/>
      <c r="R204" s="905"/>
      <c r="S204" s="1531" t="str">
        <f t="shared" si="276"/>
        <v/>
      </c>
      <c r="T204" s="905"/>
      <c r="U204" s="1531"/>
      <c r="V204" s="252" t="str">
        <f t="shared" si="349"/>
        <v/>
      </c>
      <c r="W204" s="1531"/>
      <c r="X204" s="905"/>
      <c r="Y204" s="1971" t="str">
        <f t="shared" si="286"/>
        <v/>
      </c>
      <c r="Z204" s="905"/>
      <c r="AA204" s="1983" t="str">
        <f t="shared" si="287"/>
        <v/>
      </c>
      <c r="AB204" s="1531"/>
      <c r="AC204" s="1531"/>
      <c r="AD204" s="1531"/>
      <c r="AE204" s="1531"/>
      <c r="AF204" s="1531"/>
      <c r="AG204" s="1534"/>
      <c r="AH204" s="1531"/>
      <c r="AI204" s="1546"/>
      <c r="AJ204" s="1531"/>
      <c r="AK204" s="1531"/>
      <c r="AL204" s="1531"/>
      <c r="AM204" s="1531"/>
      <c r="AN204" s="1531"/>
      <c r="AO204" s="1531"/>
      <c r="AP204" s="1531"/>
      <c r="AQ204" s="1535"/>
      <c r="AR204" s="1534"/>
      <c r="AS204" s="1535"/>
      <c r="AT204" s="1534"/>
      <c r="AU204" s="1535"/>
      <c r="AV204" s="1534"/>
      <c r="AW204" s="1535"/>
      <c r="AX204" s="1534"/>
      <c r="AY204" s="1535"/>
      <c r="AZ204" s="1534"/>
      <c r="BA204" s="1535"/>
      <c r="BB204" s="1534"/>
      <c r="BC204" s="1535"/>
      <c r="BD204" s="1534"/>
      <c r="BE204" s="1535"/>
      <c r="BF204" s="1534"/>
      <c r="BG204" s="1535"/>
      <c r="BH204" s="1534"/>
      <c r="BI204" s="1535"/>
      <c r="BJ204" s="1534"/>
      <c r="BK204" s="1535"/>
      <c r="BL204" s="1535"/>
      <c r="BM204" s="1531"/>
      <c r="BN204" s="898" t="str">
        <f t="shared" si="282"/>
        <v/>
      </c>
      <c r="BO204" s="898" t="str">
        <f>IFERROR(IF(AND(O204="",O204&lt;&gt;""),1913,VLOOKUP(O204,Valid!$B$99:$J$120,9)),"")</f>
        <v/>
      </c>
      <c r="BP204" s="898" t="str">
        <f t="shared" ca="1" si="354"/>
        <v/>
      </c>
      <c r="BQ204" s="1547" t="str">
        <f t="shared" ca="1" si="355"/>
        <v/>
      </c>
      <c r="BR204" s="898"/>
      <c r="BS204" s="898" t="str">
        <f t="shared" si="284"/>
        <v/>
      </c>
      <c r="BT204" s="898" t="str">
        <f t="shared" si="285"/>
        <v/>
      </c>
      <c r="BU204" s="1539" t="str">
        <f>IFERROR(IF(AND(#REF!="",C204&lt;&gt;""),Valid!$E$123,VLOOKUP(#REF!,Valid!$B$123:$F$125,4,FALSE)),"")</f>
        <v/>
      </c>
      <c r="BV204" s="1539" t="str">
        <f>IFERROR(IF(AND(#REF!="",C204&lt;&gt;""),Valid!$F$123,VLOOKUP(#REF!,Valid!$B$123:$F$125,5,FALSE)),"")</f>
        <v/>
      </c>
      <c r="BW204" s="1539" t="str">
        <f>IFERROR(VLOOKUP('A-70 RevVehInv'!S204,Valid!$B$99:$I$120,7), "")</f>
        <v/>
      </c>
      <c r="BX204" s="1539" t="str">
        <f>IFERROR(VLOOKUP(O204,Valid!$B$99:$I$120,8), "")</f>
        <v/>
      </c>
      <c r="BY204" s="1531"/>
    </row>
    <row r="205" spans="1:77" s="930" customFormat="1" x14ac:dyDescent="0.2">
      <c r="A205" s="206">
        <v>97</v>
      </c>
      <c r="B205" s="1530">
        <v>97</v>
      </c>
      <c r="C205" s="933"/>
      <c r="D205" s="719" t="str">
        <f>IF(C203="","",IF((C205=""),"Enter RVI ID. then Fill in Columns "&amp;TEXT($I$2,0)&amp;" - "&amp;TEXT($AI$2,0)&amp;"       ",""))</f>
        <v/>
      </c>
      <c r="E205" s="1056" t="str">
        <f>IF(AP205="N/A","",AP205)</f>
        <v/>
      </c>
      <c r="F205" s="1536"/>
      <c r="G205" s="1536"/>
      <c r="H205" s="1536"/>
      <c r="I205" s="1023"/>
      <c r="J205" s="1536" t="str">
        <f>IF(E205&lt;&gt;"","Vehicles?    ","")</f>
        <v/>
      </c>
      <c r="K205" s="1023"/>
      <c r="L205" s="1536" t="str">
        <f>IF(E205&lt;&gt;"","Active Vehicles?     ","")</f>
        <v/>
      </c>
      <c r="M205" s="1023"/>
      <c r="N205" s="894"/>
      <c r="O205" s="1153"/>
      <c r="P205" s="252" t="str">
        <f>IF(E205&lt;&gt;"","Select from Pull-Down List    ","")</f>
        <v/>
      </c>
      <c r="Q205" s="933"/>
      <c r="R205" s="252" t="str">
        <f>IF(E205&lt;&gt;"","Select from Pull-Down List    ","")</f>
        <v/>
      </c>
      <c r="S205" s="1766" t="str">
        <f t="shared" ref="S205:S211" si="416">IFERROR(VLOOKUP($O205,val_rev_vehicles,S$3,FALSE), "")</f>
        <v/>
      </c>
      <c r="T205" s="252"/>
      <c r="U205" s="1988"/>
      <c r="V205" s="252" t="str">
        <f t="shared" ref="V205:V211" si="417">IF(E205&lt;&gt;"","Service Yrs?    ","")</f>
        <v/>
      </c>
      <c r="W205" s="139"/>
      <c r="X205" s="252" t="str">
        <f>IF(E205&lt;&gt;"","Mfg. Yr?    ","")</f>
        <v/>
      </c>
      <c r="Y205" s="1974" t="str">
        <f t="shared" si="286"/>
        <v/>
      </c>
      <c r="Z205" s="252"/>
      <c r="AA205" s="1986" t="str">
        <f t="shared" si="287"/>
        <v/>
      </c>
      <c r="AB205" s="252" t="str">
        <f>IF(E205&lt;&gt;"","Select from Pull-Down List    ","")</f>
        <v/>
      </c>
      <c r="AC205" s="1023"/>
      <c r="AD205" s="252" t="str">
        <f>IF(E205&lt;&gt;"","Feet?    ","")</f>
        <v/>
      </c>
      <c r="AE205" s="1023"/>
      <c r="AF205" s="252" t="str">
        <f>IF(E205&lt;&gt;"","Mileage?       ","")</f>
        <v/>
      </c>
      <c r="AG205" s="1023"/>
      <c r="AH205" s="252" t="str">
        <f>IF(E205&lt;&gt;"","Avg. Lifetime Mileage? ","")</f>
        <v/>
      </c>
      <c r="AI205" s="933"/>
      <c r="AJ205" s="252" t="str">
        <f>IF(E205&lt;&gt;"","Select from Pull-Down List    ","")</f>
        <v/>
      </c>
      <c r="AK205" s="171"/>
      <c r="AL205" s="252"/>
      <c r="AM205" s="894"/>
      <c r="AN205" s="894"/>
      <c r="AO205" s="894" t="b">
        <f>IF(AND(C205="",C207&lt;&gt;""),TRUE,FALSE)</f>
        <v>0</v>
      </c>
      <c r="AP205" s="888" t="str">
        <f t="shared" ref="AP205" si="418">IF(AND(C205&lt;&gt;"",OR(I205="",K205="",M205="",O205="",Q205="",W205="",AC205="",AE205="",AG205="")),"No",IF(AND(C205="",OR(I205&lt;&gt;"",K205&lt;&gt;"",M205&lt;&gt;"",O205&lt;&gt;"",Q205&lt;&gt;"",W205&lt;&gt;"",AC205&lt;&gt;"",AE205&lt;&gt;"",AG205&lt;&gt;"",AI205&lt;&gt;"",AK205&lt;&gt;"")),"No",IF(AND(C205="",I205="",K205="",M205="",O205="",Q205="",W205="",AC205="",AE205="",AG205="",AI205=""),"N/A","Yes")))</f>
        <v>N/A</v>
      </c>
      <c r="AQ205" s="898"/>
      <c r="AR205" s="899" t="b">
        <f t="shared" ref="AR205" si="419">IF(AND(OR(I205&lt;&gt;"",K205&lt;&gt;"",M205&lt;&gt;"",O205&lt;&gt;"",Q205&lt;&gt;"",W205&lt;&gt;"",AC205&lt;&gt;"",AE205&lt;&gt;"",AG205&lt;&gt;"",AI205&lt;&gt;"",AK205&lt;&gt;""),C205=""),TRUE,FALSE)</f>
        <v>0</v>
      </c>
      <c r="AS205" s="898" t="b">
        <f t="shared" ref="AS205" si="420">IF(AT205=TRUE,FALSE,IF(SUM(K205)&gt;I205,TRUE,FALSE))</f>
        <v>0</v>
      </c>
      <c r="AT205" s="899" t="b">
        <f>IF(AND(C205&lt;&gt;"",I205=""),TRUE,FALSE)</f>
        <v>0</v>
      </c>
      <c r="AU205" s="898" t="b">
        <f>IF(AV205=TRUE,FALSE,IF(M205&gt;K205,TRUE,FALSE))</f>
        <v>0</v>
      </c>
      <c r="AV205" s="899" t="b">
        <f>IF(AND($C205&lt;&gt;"",K205=""),TRUE,FALSE)</f>
        <v>0</v>
      </c>
      <c r="AW205" s="898"/>
      <c r="AX205" s="899" t="b">
        <f>IF(AND($C205&lt;&gt;"",M205=""),TRUE,FALSE)</f>
        <v>0</v>
      </c>
      <c r="AY205" s="898" t="b">
        <f t="shared" ref="AY205" si="421">IF(AND(O205="",OR(Q205&lt;&gt;"",W205&lt;&gt;"",AC205&lt;&gt;"",AE205&lt;&gt;"",AG205&lt;&gt;"",AI205&lt;&gt;"")),TRUE,FALSE)</f>
        <v>0</v>
      </c>
      <c r="AZ205" s="899" t="b">
        <f>IF(AND($C205&lt;&gt;"",O205=""),TRUE,FALSE)</f>
        <v>0</v>
      </c>
      <c r="BA205" s="898"/>
      <c r="BB205" s="899" t="b">
        <f>IF(AND($C205&lt;&gt;"",Q205=""),TRUE,FALSE)</f>
        <v>0</v>
      </c>
      <c r="BC205" s="1537" t="b">
        <f>IF(BD205=TRUE,FALSE,IF(W205="",FALSE,IF(OR(W205&lt;BO205,W205&gt;BaseYear),TRUE,FALSE)))</f>
        <v>0</v>
      </c>
      <c r="BD205" s="899" t="b">
        <f>IF(AND($C205&lt;&gt;"",W205=""),TRUE,FALSE)</f>
        <v>0</v>
      </c>
      <c r="BE205" s="1537"/>
      <c r="BF205" s="899" t="b">
        <f>IF(AND($C205&lt;&gt;"",AC205=""),TRUE,FALSE)</f>
        <v>0</v>
      </c>
      <c r="BG205" s="898"/>
      <c r="BH205" s="899" t="b">
        <f>IF(AND($C205&lt;&gt;"",AE205=""),TRUE,FALSE)</f>
        <v>0</v>
      </c>
      <c r="BI205" s="898"/>
      <c r="BJ205" s="899" t="b">
        <f>IF(AND($C205&lt;&gt;"",AG205=""),TRUE,FALSE)</f>
        <v>0</v>
      </c>
      <c r="BK205" s="898"/>
      <c r="BL205" s="898" t="b">
        <f>IF(AND($C205&lt;&gt;"",AI205=""),TRUE,FALSE)</f>
        <v>0</v>
      </c>
      <c r="BM205" s="894"/>
      <c r="BN205" s="898" t="str">
        <f t="shared" ref="BN205:BN211" si="422">IFERROR(VLOOKUP($O205,val_rev_vehicles,BN$3,FALSE),"")</f>
        <v/>
      </c>
      <c r="BO205" s="898" t="str">
        <f>IFERROR(IF(AND(O205="",O205&lt;&gt;""),1913,VLOOKUP(O205,Valid!$B$99:$J$120,9)),"")</f>
        <v/>
      </c>
      <c r="BP205" s="898" t="str">
        <f t="shared" ref="BP205:BP211" ca="1" si="423">IF(W205="", "", YEAR(TODAY())-W205)</f>
        <v/>
      </c>
      <c r="BQ205" s="1547" t="str">
        <f t="shared" ca="1" si="355"/>
        <v/>
      </c>
      <c r="BR205" s="898" t="str">
        <f ca="1">IF(BQ205="", "", IF(1+(BQ205*4)&lt;1, 1, 1+(BQ205*4)))</f>
        <v/>
      </c>
      <c r="BS205" s="898" t="str">
        <f t="shared" ref="BS205:BS211" si="424">IFERROR(VLOOKUP($O205,val_rev_vehicles,BS$3,FALSE), "")</f>
        <v/>
      </c>
      <c r="BT205" s="898" t="str">
        <f t="shared" ref="BT205:BT211" si="425">IFERROR(VLOOKUP($O205,val_rev_vehicles,BT$3,FALSE),"")</f>
        <v/>
      </c>
      <c r="BU205" s="1539" t="str">
        <f>IFERROR(IF(AND(#REF!="",C205&lt;&gt;""),Valid!$E$123,VLOOKUP(#REF!,Valid!$B$123:$F$125,4,FALSE)),"")</f>
        <v/>
      </c>
      <c r="BV205" s="1539" t="str">
        <f>IFERROR(IF(AND(#REF!="",C205&lt;&gt;""),Valid!$F$123,VLOOKUP(#REF!,Valid!$B$123:$F$125,5,FALSE)),"")</f>
        <v/>
      </c>
      <c r="BW205" s="1539" t="str">
        <f>IFERROR(VLOOKUP('A-70 RevVehInv'!S205,Valid!$B$99:$I$120,7), "")</f>
        <v/>
      </c>
      <c r="BX205" s="1539" t="str">
        <f>IFERROR(VLOOKUP(O205,Valid!$B$99:$I$120,8), "")</f>
        <v/>
      </c>
      <c r="BY205" s="894"/>
    </row>
    <row r="206" spans="1:77" ht="6.75" customHeight="1" x14ac:dyDescent="0.2">
      <c r="A206" s="1517"/>
      <c r="B206" s="1530">
        <v>97.5</v>
      </c>
      <c r="C206" s="1540"/>
      <c r="D206" s="905"/>
      <c r="E206" s="1541"/>
      <c r="F206" s="905"/>
      <c r="G206" s="905"/>
      <c r="H206" s="905"/>
      <c r="I206" s="1534"/>
      <c r="J206" s="905"/>
      <c r="K206" s="1534"/>
      <c r="L206" s="905"/>
      <c r="M206" s="1534"/>
      <c r="N206" s="1531"/>
      <c r="O206" s="1542"/>
      <c r="P206" s="905"/>
      <c r="Q206" s="1542"/>
      <c r="R206" s="905"/>
      <c r="S206" s="1534" t="str">
        <f t="shared" si="416"/>
        <v/>
      </c>
      <c r="T206" s="905"/>
      <c r="U206" s="1534"/>
      <c r="V206" s="252" t="str">
        <f t="shared" si="417"/>
        <v/>
      </c>
      <c r="W206" s="1534"/>
      <c r="X206" s="905"/>
      <c r="Y206" s="1973" t="str">
        <f t="shared" ref="Y206:Y211" si="426">IFERROR(VLOOKUP($O206,val_rev_vehicles,Y$3,FALSE), "")</f>
        <v/>
      </c>
      <c r="Z206" s="905"/>
      <c r="AA206" s="1985" t="str">
        <f t="shared" ref="AA206:AA211" si="427">IFERROR(VLOOKUP($O206,val_rev_vehicles,AA$3,FALSE), "")</f>
        <v/>
      </c>
      <c r="AB206" s="1531"/>
      <c r="AC206" s="1534"/>
      <c r="AD206" s="1531"/>
      <c r="AE206" s="1534"/>
      <c r="AF206" s="1531"/>
      <c r="AG206" s="1534"/>
      <c r="AH206" s="1531"/>
      <c r="AI206" s="1543"/>
      <c r="AJ206" s="1531"/>
      <c r="AK206" s="1534"/>
      <c r="AL206" s="1531"/>
      <c r="AM206" s="1531"/>
      <c r="AN206" s="1531"/>
      <c r="AO206" s="1531"/>
      <c r="AP206" s="1531"/>
      <c r="AQ206" s="1535"/>
      <c r="AR206" s="1534"/>
      <c r="AS206" s="1535"/>
      <c r="AT206" s="1534"/>
      <c r="AU206" s="1535"/>
      <c r="AV206" s="1534"/>
      <c r="AW206" s="1535"/>
      <c r="AX206" s="1534"/>
      <c r="AY206" s="1535"/>
      <c r="AZ206" s="1534"/>
      <c r="BA206" s="1535"/>
      <c r="BB206" s="1534"/>
      <c r="BC206" s="1535"/>
      <c r="BD206" s="1534"/>
      <c r="BE206" s="1535"/>
      <c r="BF206" s="1534"/>
      <c r="BG206" s="1535"/>
      <c r="BH206" s="1534"/>
      <c r="BI206" s="1535"/>
      <c r="BJ206" s="1534"/>
      <c r="BK206" s="1535"/>
      <c r="BL206" s="1535"/>
      <c r="BM206" s="1531"/>
      <c r="BN206" s="898" t="str">
        <f t="shared" si="422"/>
        <v/>
      </c>
      <c r="BO206" s="898" t="str">
        <f>IFERROR(IF(AND(O206="",O206&lt;&gt;""),1913,VLOOKUP(O206,Valid!$B$99:$J$120,9)),"")</f>
        <v/>
      </c>
      <c r="BP206" s="898" t="str">
        <f t="shared" ca="1" si="423"/>
        <v/>
      </c>
      <c r="BQ206" s="1547" t="str">
        <f t="shared" ref="BQ206:BQ211" ca="1" si="428">IF(OR(BP206="", S206="",S206=0), "", 1+ (-1*(BP206/S206)))</f>
        <v/>
      </c>
      <c r="BR206" s="898"/>
      <c r="BS206" s="898" t="str">
        <f t="shared" si="424"/>
        <v/>
      </c>
      <c r="BT206" s="898" t="str">
        <f t="shared" si="425"/>
        <v/>
      </c>
      <c r="BU206" s="1539" t="str">
        <f>IFERROR(IF(AND(#REF!="",C206&lt;&gt;""),Valid!$E$123,VLOOKUP(#REF!,Valid!$B$123:$F$125,4,FALSE)),"")</f>
        <v/>
      </c>
      <c r="BV206" s="1539" t="str">
        <f>IFERROR(IF(AND(#REF!="",C206&lt;&gt;""),Valid!$F$123,VLOOKUP(#REF!,Valid!$B$123:$F$125,5,FALSE)),"")</f>
        <v/>
      </c>
      <c r="BW206" s="1539" t="str">
        <f>IFERROR(VLOOKUP('A-70 RevVehInv'!S206,Valid!$B$99:$I$120,7), "")</f>
        <v/>
      </c>
      <c r="BX206" s="1539" t="str">
        <f>IFERROR(VLOOKUP(O206,Valid!$B$99:$I$120,8), "")</f>
        <v/>
      </c>
      <c r="BY206" s="1531"/>
    </row>
    <row r="207" spans="1:77" s="930" customFormat="1" x14ac:dyDescent="0.2">
      <c r="A207" s="206">
        <v>98</v>
      </c>
      <c r="B207" s="1530">
        <v>98</v>
      </c>
      <c r="C207" s="933"/>
      <c r="D207" s="719" t="str">
        <f>IF(C205="","",IF((C207=""),"Enter RVI ID. then Fill in Columns "&amp;TEXT($I$2,0)&amp;" - "&amp;TEXT($AI$2,0)&amp;"       ",""))</f>
        <v/>
      </c>
      <c r="E207" s="1056" t="str">
        <f>IF(AP207="N/A","",AP207)</f>
        <v/>
      </c>
      <c r="F207" s="1536"/>
      <c r="G207" s="1536"/>
      <c r="H207" s="1536"/>
      <c r="I207" s="1023"/>
      <c r="J207" s="1536" t="str">
        <f>IF(E207&lt;&gt;"","Vehicles?    ","")</f>
        <v/>
      </c>
      <c r="K207" s="1023"/>
      <c r="L207" s="1536" t="str">
        <f>IF(E207&lt;&gt;"","Active Vehicles?     ","")</f>
        <v/>
      </c>
      <c r="M207" s="1023"/>
      <c r="N207" s="894"/>
      <c r="O207" s="1153"/>
      <c r="P207" s="252" t="str">
        <f>IF(E207&lt;&gt;"","Select from Pull-Down List    ","")</f>
        <v/>
      </c>
      <c r="Q207" s="933"/>
      <c r="R207" s="252" t="str">
        <f>IF(E207&lt;&gt;"","Select from Pull-Down List    ","")</f>
        <v/>
      </c>
      <c r="S207" s="1766" t="str">
        <f t="shared" si="416"/>
        <v/>
      </c>
      <c r="T207" s="252"/>
      <c r="U207" s="1988"/>
      <c r="V207" s="252" t="str">
        <f t="shared" si="417"/>
        <v/>
      </c>
      <c r="W207" s="139"/>
      <c r="X207" s="252" t="str">
        <f>IF(E207&lt;&gt;"","Mfg. Yr?    ","")</f>
        <v/>
      </c>
      <c r="Y207" s="1974" t="str">
        <f t="shared" si="426"/>
        <v/>
      </c>
      <c r="Z207" s="252"/>
      <c r="AA207" s="1986" t="str">
        <f t="shared" si="427"/>
        <v/>
      </c>
      <c r="AB207" s="252" t="str">
        <f>IF(E207&lt;&gt;"","Select from Pull-Down List    ","")</f>
        <v/>
      </c>
      <c r="AC207" s="1023"/>
      <c r="AD207" s="252" t="str">
        <f>IF(E207&lt;&gt;"","Feet?    ","")</f>
        <v/>
      </c>
      <c r="AE207" s="1023"/>
      <c r="AF207" s="252" t="str">
        <f>IF(E207&lt;&gt;"","Mileage?       ","")</f>
        <v/>
      </c>
      <c r="AG207" s="1023"/>
      <c r="AH207" s="252" t="str">
        <f>IF(E207&lt;&gt;"","Avg. Lifetime Mileage? ","")</f>
        <v/>
      </c>
      <c r="AI207" s="933"/>
      <c r="AJ207" s="252" t="str">
        <f>IF(E207&lt;&gt;"","Select from Pull-Down List    ","")</f>
        <v/>
      </c>
      <c r="AK207" s="171"/>
      <c r="AL207" s="252"/>
      <c r="AM207" s="894"/>
      <c r="AN207" s="894"/>
      <c r="AO207" s="894" t="b">
        <f>IF(AND(C207="",C209&lt;&gt;""),TRUE,FALSE)</f>
        <v>0</v>
      </c>
      <c r="AP207" s="888" t="str">
        <f t="shared" ref="AP207" si="429">IF(AND(C207&lt;&gt;"",OR(I207="",K207="",M207="",O207="",Q207="",W207="",AC207="",AE207="",AG207="")),"No",IF(AND(C207="",OR(I207&lt;&gt;"",K207&lt;&gt;"",M207&lt;&gt;"",O207&lt;&gt;"",Q207&lt;&gt;"",W207&lt;&gt;"",AC207&lt;&gt;"",AE207&lt;&gt;"",AG207&lt;&gt;"",AI207&lt;&gt;"",AK207&lt;&gt;"")),"No",IF(AND(C207="",I207="",K207="",M207="",O207="",Q207="",W207="",AC207="",AE207="",AG207="",AI207=""),"N/A","Yes")))</f>
        <v>N/A</v>
      </c>
      <c r="AQ207" s="898"/>
      <c r="AR207" s="899" t="b">
        <f t="shared" ref="AR207" si="430">IF(AND(OR(I207&lt;&gt;"",K207&lt;&gt;"",M207&lt;&gt;"",O207&lt;&gt;"",Q207&lt;&gt;"",W207&lt;&gt;"",AC207&lt;&gt;"",AE207&lt;&gt;"",AG207&lt;&gt;"",AI207&lt;&gt;"",AK207&lt;&gt;""),C207=""),TRUE,FALSE)</f>
        <v>0</v>
      </c>
      <c r="AS207" s="898" t="b">
        <f t="shared" ref="AS207" si="431">IF(AT207=TRUE,FALSE,IF(SUM(K207)&gt;I207,TRUE,FALSE))</f>
        <v>0</v>
      </c>
      <c r="AT207" s="899" t="b">
        <f>IF(AND(C207&lt;&gt;"",I207=""),TRUE,FALSE)</f>
        <v>0</v>
      </c>
      <c r="AU207" s="898" t="b">
        <f>IF(AV207=TRUE,FALSE,IF(M207&gt;K207,TRUE,FALSE))</f>
        <v>0</v>
      </c>
      <c r="AV207" s="899" t="b">
        <f>IF(AND($C207&lt;&gt;"",K207=""),TRUE,FALSE)</f>
        <v>0</v>
      </c>
      <c r="AW207" s="898"/>
      <c r="AX207" s="899" t="b">
        <f>IF(AND($C207&lt;&gt;"",M207=""),TRUE,FALSE)</f>
        <v>0</v>
      </c>
      <c r="AY207" s="898" t="b">
        <f t="shared" ref="AY207" si="432">IF(AND(O207="",OR(Q207&lt;&gt;"",W207&lt;&gt;"",AC207&lt;&gt;"",AE207&lt;&gt;"",AG207&lt;&gt;"",AI207&lt;&gt;"")),TRUE,FALSE)</f>
        <v>0</v>
      </c>
      <c r="AZ207" s="899" t="b">
        <f>IF(AND($C207&lt;&gt;"",O207=""),TRUE,FALSE)</f>
        <v>0</v>
      </c>
      <c r="BA207" s="898"/>
      <c r="BB207" s="899" t="b">
        <f>IF(AND($C207&lt;&gt;"",Q207=""),TRUE,FALSE)</f>
        <v>0</v>
      </c>
      <c r="BC207" s="1537" t="b">
        <f>IF(BD207=TRUE,FALSE,IF(W207="",FALSE,IF(OR(W207&lt;BO207,W207&gt;BaseYear),TRUE,FALSE)))</f>
        <v>0</v>
      </c>
      <c r="BD207" s="899" t="b">
        <f>IF(AND($C207&lt;&gt;"",W207=""),TRUE,FALSE)</f>
        <v>0</v>
      </c>
      <c r="BE207" s="1537"/>
      <c r="BF207" s="899" t="b">
        <f>IF(AND($C207&lt;&gt;"",AC207=""),TRUE,FALSE)</f>
        <v>0</v>
      </c>
      <c r="BG207" s="898"/>
      <c r="BH207" s="899" t="b">
        <f>IF(AND($C207&lt;&gt;"",AE207=""),TRUE,FALSE)</f>
        <v>0</v>
      </c>
      <c r="BI207" s="898"/>
      <c r="BJ207" s="899" t="b">
        <f>IF(AND($C207&lt;&gt;"",AG207=""),TRUE,FALSE)</f>
        <v>0</v>
      </c>
      <c r="BK207" s="898"/>
      <c r="BL207" s="898" t="b">
        <f>IF(AND($C207&lt;&gt;"",AI207=""),TRUE,FALSE)</f>
        <v>0</v>
      </c>
      <c r="BM207" s="894"/>
      <c r="BN207" s="898" t="str">
        <f t="shared" si="422"/>
        <v/>
      </c>
      <c r="BO207" s="898" t="str">
        <f>IFERROR(IF(AND(O207="",O207&lt;&gt;""),1913,VLOOKUP(O207,Valid!$B$99:$J$120,9)),"")</f>
        <v/>
      </c>
      <c r="BP207" s="898" t="str">
        <f t="shared" ca="1" si="423"/>
        <v/>
      </c>
      <c r="BQ207" s="1547" t="str">
        <f t="shared" ca="1" si="428"/>
        <v/>
      </c>
      <c r="BR207" s="898" t="str">
        <f ca="1">IF(BQ207="", "", IF(1+(BQ207*4)&lt;1, 1, 1+(BQ207*4)))</f>
        <v/>
      </c>
      <c r="BS207" s="898" t="str">
        <f t="shared" si="424"/>
        <v/>
      </c>
      <c r="BT207" s="898" t="str">
        <f t="shared" si="425"/>
        <v/>
      </c>
      <c r="BU207" s="1539" t="str">
        <f>IFERROR(IF(AND(#REF!="",C207&lt;&gt;""),Valid!$E$123,VLOOKUP(#REF!,Valid!$B$123:$F$125,4,FALSE)),"")</f>
        <v/>
      </c>
      <c r="BV207" s="1539" t="str">
        <f>IFERROR(IF(AND(#REF!="",C207&lt;&gt;""),Valid!$F$123,VLOOKUP(#REF!,Valid!$B$123:$F$125,5,FALSE)),"")</f>
        <v/>
      </c>
      <c r="BW207" s="1539" t="str">
        <f>IFERROR(VLOOKUP('A-70 RevVehInv'!S207,Valid!$B$99:$I$120,7), "")</f>
        <v/>
      </c>
      <c r="BX207" s="1539" t="str">
        <f>IFERROR(VLOOKUP(O207,Valid!$B$99:$I$120,8), "")</f>
        <v/>
      </c>
      <c r="BY207" s="894"/>
    </row>
    <row r="208" spans="1:77" ht="6.75" customHeight="1" x14ac:dyDescent="0.2">
      <c r="A208" s="1517"/>
      <c r="B208" s="1530">
        <v>98.5</v>
      </c>
      <c r="C208" s="1544"/>
      <c r="D208" s="905"/>
      <c r="E208" s="1545"/>
      <c r="F208" s="905"/>
      <c r="G208" s="905"/>
      <c r="H208" s="905"/>
      <c r="I208" s="1531"/>
      <c r="J208" s="905"/>
      <c r="K208" s="1531"/>
      <c r="L208" s="905"/>
      <c r="M208" s="1531"/>
      <c r="N208" s="1531"/>
      <c r="O208" s="1533"/>
      <c r="P208" s="905"/>
      <c r="Q208" s="1533"/>
      <c r="R208" s="905"/>
      <c r="S208" s="1531" t="str">
        <f t="shared" si="416"/>
        <v/>
      </c>
      <c r="T208" s="905"/>
      <c r="U208" s="1531"/>
      <c r="V208" s="252" t="str">
        <f t="shared" si="417"/>
        <v/>
      </c>
      <c r="W208" s="1531"/>
      <c r="X208" s="905"/>
      <c r="Y208" s="1971" t="str">
        <f t="shared" si="426"/>
        <v/>
      </c>
      <c r="Z208" s="905"/>
      <c r="AA208" s="1983" t="str">
        <f t="shared" si="427"/>
        <v/>
      </c>
      <c r="AB208" s="1531"/>
      <c r="AC208" s="1531"/>
      <c r="AD208" s="1531"/>
      <c r="AE208" s="1531"/>
      <c r="AF208" s="1531"/>
      <c r="AG208" s="1534"/>
      <c r="AH208" s="1531"/>
      <c r="AI208" s="1546"/>
      <c r="AJ208" s="1531"/>
      <c r="AK208" s="1531"/>
      <c r="AL208" s="1531"/>
      <c r="AM208" s="1531"/>
      <c r="AN208" s="1531"/>
      <c r="AO208" s="1531"/>
      <c r="AP208" s="1531"/>
      <c r="AQ208" s="1535"/>
      <c r="AR208" s="1534"/>
      <c r="AS208" s="1535"/>
      <c r="AT208" s="1534"/>
      <c r="AU208" s="1535"/>
      <c r="AV208" s="1534"/>
      <c r="AW208" s="1535"/>
      <c r="AX208" s="1534"/>
      <c r="AY208" s="1535"/>
      <c r="AZ208" s="1534"/>
      <c r="BA208" s="1535"/>
      <c r="BB208" s="1534"/>
      <c r="BC208" s="1535"/>
      <c r="BD208" s="1534"/>
      <c r="BE208" s="1535"/>
      <c r="BF208" s="1534"/>
      <c r="BG208" s="1535"/>
      <c r="BH208" s="1534"/>
      <c r="BI208" s="1535"/>
      <c r="BJ208" s="1534"/>
      <c r="BK208" s="1535"/>
      <c r="BL208" s="1535"/>
      <c r="BM208" s="1531"/>
      <c r="BN208" s="898" t="str">
        <f t="shared" si="422"/>
        <v/>
      </c>
      <c r="BO208" s="898" t="str">
        <f>IFERROR(IF(AND(O208="",O208&lt;&gt;""),1913,VLOOKUP(O208,Valid!$B$99:$J$120,9)),"")</f>
        <v/>
      </c>
      <c r="BP208" s="898" t="str">
        <f t="shared" ca="1" si="423"/>
        <v/>
      </c>
      <c r="BQ208" s="1547" t="str">
        <f t="shared" ca="1" si="428"/>
        <v/>
      </c>
      <c r="BR208" s="898"/>
      <c r="BS208" s="898" t="str">
        <f t="shared" si="424"/>
        <v/>
      </c>
      <c r="BT208" s="898" t="str">
        <f t="shared" si="425"/>
        <v/>
      </c>
      <c r="BU208" s="1539" t="str">
        <f>IFERROR(IF(AND(#REF!="",C208&lt;&gt;""),Valid!$E$123,VLOOKUP(#REF!,Valid!$B$123:$F$125,4,FALSE)),"")</f>
        <v/>
      </c>
      <c r="BV208" s="1539" t="str">
        <f>IFERROR(IF(AND(#REF!="",C208&lt;&gt;""),Valid!$F$123,VLOOKUP(#REF!,Valid!$B$123:$F$125,5,FALSE)),"")</f>
        <v/>
      </c>
      <c r="BW208" s="1539" t="str">
        <f>IFERROR(VLOOKUP('A-70 RevVehInv'!S208,Valid!$B$99:$I$120,7), "")</f>
        <v/>
      </c>
      <c r="BX208" s="1539" t="str">
        <f>IFERROR(VLOOKUP(O208,Valid!$B$99:$I$120,8), "")</f>
        <v/>
      </c>
      <c r="BY208" s="1531"/>
    </row>
    <row r="209" spans="1:77" s="930" customFormat="1" x14ac:dyDescent="0.2">
      <c r="A209" s="206">
        <v>99</v>
      </c>
      <c r="B209" s="1530">
        <v>99</v>
      </c>
      <c r="C209" s="933"/>
      <c r="D209" s="719" t="str">
        <f>IF(C207="","",IF((C209=""),"Enter RVI ID. then Fill in Columns "&amp;TEXT($I$2,0)&amp;" - "&amp;TEXT($AI$2,0)&amp;"       ",""))</f>
        <v/>
      </c>
      <c r="E209" s="1056" t="str">
        <f>IF(AP209="N/A","",AP209)</f>
        <v/>
      </c>
      <c r="F209" s="1536"/>
      <c r="G209" s="1536"/>
      <c r="H209" s="1536"/>
      <c r="I209" s="1023"/>
      <c r="J209" s="1536" t="str">
        <f>IF(E209&lt;&gt;"","Vehicles?    ","")</f>
        <v/>
      </c>
      <c r="K209" s="1023"/>
      <c r="L209" s="1536" t="str">
        <f>IF(E209&lt;&gt;"","Active Vehicles?     ","")</f>
        <v/>
      </c>
      <c r="M209" s="1023"/>
      <c r="N209" s="894"/>
      <c r="O209" s="1153"/>
      <c r="P209" s="252" t="str">
        <f>IF(E209&lt;&gt;"","Select from Pull-Down List    ","")</f>
        <v/>
      </c>
      <c r="Q209" s="933"/>
      <c r="R209" s="252" t="str">
        <f>IF(E209&lt;&gt;"","Select from Pull-Down List    ","")</f>
        <v/>
      </c>
      <c r="S209" s="1766" t="str">
        <f t="shared" si="416"/>
        <v/>
      </c>
      <c r="T209" s="252"/>
      <c r="U209" s="1988"/>
      <c r="V209" s="252" t="str">
        <f t="shared" si="417"/>
        <v/>
      </c>
      <c r="W209" s="139"/>
      <c r="X209" s="252" t="str">
        <f>IF(E209&lt;&gt;"","Mfg. Yr?    ","")</f>
        <v/>
      </c>
      <c r="Y209" s="1974" t="str">
        <f t="shared" si="426"/>
        <v/>
      </c>
      <c r="Z209" s="252"/>
      <c r="AA209" s="1986" t="str">
        <f t="shared" si="427"/>
        <v/>
      </c>
      <c r="AB209" s="252" t="str">
        <f>IF(E209&lt;&gt;"","Select from Pull-Down List    ","")</f>
        <v/>
      </c>
      <c r="AC209" s="1023"/>
      <c r="AD209" s="252" t="str">
        <f>IF(E209&lt;&gt;"","Feet?    ","")</f>
        <v/>
      </c>
      <c r="AE209" s="1023"/>
      <c r="AF209" s="252" t="str">
        <f>IF(E209&lt;&gt;"","Mileage?       ","")</f>
        <v/>
      </c>
      <c r="AG209" s="1023"/>
      <c r="AH209" s="252" t="str">
        <f>IF(E209&lt;&gt;"","Avg. Lifetime Mileage? ","")</f>
        <v/>
      </c>
      <c r="AI209" s="933"/>
      <c r="AJ209" s="252" t="str">
        <f>IF(E209&lt;&gt;"","Select from Pull-Down List    ","")</f>
        <v/>
      </c>
      <c r="AK209" s="171"/>
      <c r="AL209" s="252"/>
      <c r="AM209" s="894"/>
      <c r="AN209" s="894"/>
      <c r="AO209" s="894" t="b">
        <f>IF(AND(C209="",C211&lt;&gt;""),TRUE,FALSE)</f>
        <v>0</v>
      </c>
      <c r="AP209" s="888" t="str">
        <f t="shared" ref="AP209" si="433">IF(AND(C209&lt;&gt;"",OR(I209="",K209="",M209="",O209="",Q209="",W209="",AC209="",AE209="",AG209="")),"No",IF(AND(C209="",OR(I209&lt;&gt;"",K209&lt;&gt;"",M209&lt;&gt;"",O209&lt;&gt;"",Q209&lt;&gt;"",W209&lt;&gt;"",AC209&lt;&gt;"",AE209&lt;&gt;"",AG209&lt;&gt;"",AI209&lt;&gt;"",AK209&lt;&gt;"")),"No",IF(AND(C209="",I209="",K209="",M209="",O209="",Q209="",W209="",AC209="",AE209="",AG209="",AI209=""),"N/A","Yes")))</f>
        <v>N/A</v>
      </c>
      <c r="AQ209" s="898"/>
      <c r="AR209" s="899" t="b">
        <f t="shared" ref="AR209" si="434">IF(AND(OR(I209&lt;&gt;"",K209&lt;&gt;"",M209&lt;&gt;"",O209&lt;&gt;"",Q209&lt;&gt;"",W209&lt;&gt;"",AC209&lt;&gt;"",AE209&lt;&gt;"",AG209&lt;&gt;"",AI209&lt;&gt;"",AK209&lt;&gt;""),C209=""),TRUE,FALSE)</f>
        <v>0</v>
      </c>
      <c r="AS209" s="898" t="b">
        <f t="shared" ref="AS209" si="435">IF(AT209=TRUE,FALSE,IF(SUM(K209)&gt;I209,TRUE,FALSE))</f>
        <v>0</v>
      </c>
      <c r="AT209" s="899" t="b">
        <f>IF(AND(C209&lt;&gt;"",I209=""),TRUE,FALSE)</f>
        <v>0</v>
      </c>
      <c r="AU209" s="898" t="b">
        <f>IF(AV209=TRUE,FALSE,IF(M209&gt;K209,TRUE,FALSE))</f>
        <v>0</v>
      </c>
      <c r="AV209" s="899" t="b">
        <f>IF(AND($C209&lt;&gt;"",K209=""),TRUE,FALSE)</f>
        <v>0</v>
      </c>
      <c r="AW209" s="898"/>
      <c r="AX209" s="899" t="b">
        <f>IF(AND($C209&lt;&gt;"",M209=""),TRUE,FALSE)</f>
        <v>0</v>
      </c>
      <c r="AY209" s="898" t="b">
        <f t="shared" ref="AY209" si="436">IF(AND(O209="",OR(Q209&lt;&gt;"",W209&lt;&gt;"",AC209&lt;&gt;"",AE209&lt;&gt;"",AG209&lt;&gt;"",AI209&lt;&gt;"")),TRUE,FALSE)</f>
        <v>0</v>
      </c>
      <c r="AZ209" s="899" t="b">
        <f>IF(AND($C209&lt;&gt;"",O209=""),TRUE,FALSE)</f>
        <v>0</v>
      </c>
      <c r="BA209" s="898"/>
      <c r="BB209" s="899" t="b">
        <f>IF(AND($C209&lt;&gt;"",Q209=""),TRUE,FALSE)</f>
        <v>0</v>
      </c>
      <c r="BC209" s="1537" t="b">
        <f>IF(BD209=TRUE,FALSE,IF(W209="",FALSE,IF(OR(W209&lt;BO209,W209&gt;BaseYear),TRUE,FALSE)))</f>
        <v>0</v>
      </c>
      <c r="BD209" s="899" t="b">
        <f>IF(AND($C209&lt;&gt;"",W209=""),TRUE,FALSE)</f>
        <v>0</v>
      </c>
      <c r="BE209" s="1537"/>
      <c r="BF209" s="899" t="b">
        <f>IF(AND($C209&lt;&gt;"",AC209=""),TRUE,FALSE)</f>
        <v>0</v>
      </c>
      <c r="BG209" s="898"/>
      <c r="BH209" s="899" t="b">
        <f>IF(AND($C209&lt;&gt;"",AE209=""),TRUE,FALSE)</f>
        <v>0</v>
      </c>
      <c r="BI209" s="898"/>
      <c r="BJ209" s="899" t="b">
        <f>IF(AND($C209&lt;&gt;"",AG209=""),TRUE,FALSE)</f>
        <v>0</v>
      </c>
      <c r="BK209" s="898"/>
      <c r="BL209" s="898" t="b">
        <f>IF(AND($C209&lt;&gt;"",AI209=""),TRUE,FALSE)</f>
        <v>0</v>
      </c>
      <c r="BM209" s="894"/>
      <c r="BN209" s="898" t="str">
        <f t="shared" si="422"/>
        <v/>
      </c>
      <c r="BO209" s="898" t="str">
        <f>IFERROR(IF(AND(O209="",O209&lt;&gt;""),1913,VLOOKUP(O209,Valid!$B$99:$J$120,9)),"")</f>
        <v/>
      </c>
      <c r="BP209" s="898" t="str">
        <f t="shared" ca="1" si="423"/>
        <v/>
      </c>
      <c r="BQ209" s="1547" t="str">
        <f t="shared" ca="1" si="428"/>
        <v/>
      </c>
      <c r="BR209" s="898" t="str">
        <f ca="1">IF(BQ209="", "", IF(1+(BQ209*4)&lt;1, 1, 1+(BQ209*4)))</f>
        <v/>
      </c>
      <c r="BS209" s="898" t="str">
        <f t="shared" si="424"/>
        <v/>
      </c>
      <c r="BT209" s="898" t="str">
        <f t="shared" si="425"/>
        <v/>
      </c>
      <c r="BU209" s="1539" t="str">
        <f>IFERROR(IF(AND(#REF!="",C209&lt;&gt;""),Valid!$E$123,VLOOKUP(#REF!,Valid!$B$123:$F$125,4,FALSE)),"")</f>
        <v/>
      </c>
      <c r="BV209" s="1539" t="str">
        <f>IFERROR(IF(AND(#REF!="",C209&lt;&gt;""),Valid!$F$123,VLOOKUP(#REF!,Valid!$B$123:$F$125,5,FALSE)),"")</f>
        <v/>
      </c>
      <c r="BW209" s="1539" t="str">
        <f>IFERROR(VLOOKUP('A-70 RevVehInv'!S209,Valid!$B$99:$I$120,7), "")</f>
        <v/>
      </c>
      <c r="BX209" s="1539" t="str">
        <f>IFERROR(VLOOKUP(O209,Valid!$B$99:$I$120,8), "")</f>
        <v/>
      </c>
      <c r="BY209" s="894"/>
    </row>
    <row r="210" spans="1:77" ht="6.75" customHeight="1" x14ac:dyDescent="0.2">
      <c r="A210" s="1517"/>
      <c r="B210" s="1530">
        <v>99.5</v>
      </c>
      <c r="C210" s="1540"/>
      <c r="D210" s="905"/>
      <c r="E210" s="1541"/>
      <c r="F210" s="905"/>
      <c r="G210" s="905"/>
      <c r="H210" s="905"/>
      <c r="I210" s="1534"/>
      <c r="J210" s="905"/>
      <c r="K210" s="1534"/>
      <c r="L210" s="905"/>
      <c r="M210" s="1534"/>
      <c r="N210" s="1531"/>
      <c r="O210" s="1542"/>
      <c r="P210" s="905"/>
      <c r="Q210" s="1542"/>
      <c r="R210" s="905"/>
      <c r="S210" s="1534" t="str">
        <f t="shared" si="416"/>
        <v/>
      </c>
      <c r="T210" s="905"/>
      <c r="U210" s="1534"/>
      <c r="V210" s="252" t="str">
        <f t="shared" si="417"/>
        <v/>
      </c>
      <c r="W210" s="1534"/>
      <c r="X210" s="905"/>
      <c r="Y210" s="1973" t="str">
        <f t="shared" si="426"/>
        <v/>
      </c>
      <c r="Z210" s="905"/>
      <c r="AA210" s="1985" t="str">
        <f t="shared" si="427"/>
        <v/>
      </c>
      <c r="AB210" s="1531"/>
      <c r="AC210" s="1534"/>
      <c r="AD210" s="1531"/>
      <c r="AE210" s="1534"/>
      <c r="AF210" s="1531"/>
      <c r="AG210" s="1534"/>
      <c r="AH210" s="1531"/>
      <c r="AI210" s="1543"/>
      <c r="AJ210" s="1531"/>
      <c r="AK210" s="1534"/>
      <c r="AL210" s="1531"/>
      <c r="AM210" s="1531"/>
      <c r="AN210" s="1531"/>
      <c r="AO210" s="1531"/>
      <c r="AP210" s="1531"/>
      <c r="AQ210" s="1535"/>
      <c r="AR210" s="1534"/>
      <c r="AS210" s="1535"/>
      <c r="AT210" s="1534"/>
      <c r="AU210" s="1535"/>
      <c r="AV210" s="1534"/>
      <c r="AW210" s="1535"/>
      <c r="AX210" s="1534"/>
      <c r="AY210" s="1535"/>
      <c r="AZ210" s="1534"/>
      <c r="BA210" s="1535"/>
      <c r="BB210" s="1534"/>
      <c r="BC210" s="1535"/>
      <c r="BD210" s="1534"/>
      <c r="BE210" s="1535"/>
      <c r="BF210" s="1534"/>
      <c r="BG210" s="1535"/>
      <c r="BH210" s="1534"/>
      <c r="BI210" s="1535"/>
      <c r="BJ210" s="1534"/>
      <c r="BK210" s="1535"/>
      <c r="BL210" s="1535"/>
      <c r="BM210" s="1531"/>
      <c r="BN210" s="898" t="str">
        <f t="shared" si="422"/>
        <v/>
      </c>
      <c r="BO210" s="898" t="str">
        <f>IFERROR(IF(AND(O210="",O210&lt;&gt;""),1913,VLOOKUP(O210,Valid!$B$99:$J$120,9)),"")</f>
        <v/>
      </c>
      <c r="BP210" s="898" t="str">
        <f t="shared" ca="1" si="423"/>
        <v/>
      </c>
      <c r="BQ210" s="1547" t="str">
        <f t="shared" ca="1" si="428"/>
        <v/>
      </c>
      <c r="BR210" s="898"/>
      <c r="BS210" s="898" t="str">
        <f t="shared" si="424"/>
        <v/>
      </c>
      <c r="BT210" s="898" t="str">
        <f t="shared" si="425"/>
        <v/>
      </c>
      <c r="BU210" s="1539" t="str">
        <f>IFERROR(IF(AND(#REF!="",C210&lt;&gt;""),Valid!$E$123,VLOOKUP(#REF!,Valid!$B$123:$F$125,4,FALSE)),"")</f>
        <v/>
      </c>
      <c r="BV210" s="1539" t="str">
        <f>IFERROR(IF(AND(#REF!="",C210&lt;&gt;""),Valid!$F$123,VLOOKUP(#REF!,Valid!$B$123:$F$125,5,FALSE)),"")</f>
        <v/>
      </c>
      <c r="BW210" s="1539" t="str">
        <f>IFERROR(VLOOKUP('A-70 RevVehInv'!S210,Valid!$B$99:$I$120,7), "")</f>
        <v/>
      </c>
      <c r="BX210" s="1539" t="str">
        <f>IFERROR(VLOOKUP(O210,Valid!$B$99:$I$120,8), "")</f>
        <v/>
      </c>
      <c r="BY210" s="1531"/>
    </row>
    <row r="211" spans="1:77" s="930" customFormat="1" x14ac:dyDescent="0.2">
      <c r="A211" s="206">
        <v>100</v>
      </c>
      <c r="B211" s="1530">
        <v>100</v>
      </c>
      <c r="C211" s="933"/>
      <c r="D211" s="719" t="str">
        <f>IF(C209="","",IF((C211=""),"Enter RVI ID. then Fill in Columns "&amp;TEXT($I$2,0)&amp;" - "&amp;TEXT($AI$2,0)&amp;"       ",""))</f>
        <v/>
      </c>
      <c r="E211" s="1056" t="str">
        <f>IF(AP211="N/A","",AP211)</f>
        <v/>
      </c>
      <c r="F211" s="1536"/>
      <c r="G211" s="1536"/>
      <c r="H211" s="1536"/>
      <c r="I211" s="1023"/>
      <c r="J211" s="1536" t="str">
        <f>IF(E211&lt;&gt;"","Vehicles?    ","")</f>
        <v/>
      </c>
      <c r="K211" s="1023"/>
      <c r="L211" s="1536" t="str">
        <f>IF(E211&lt;&gt;"","Active Vehicles?     ","")</f>
        <v/>
      </c>
      <c r="M211" s="1023"/>
      <c r="N211" s="894"/>
      <c r="O211" s="1153"/>
      <c r="P211" s="252" t="str">
        <f>IF(E211&lt;&gt;"","Select from Pull-Down List    ","")</f>
        <v/>
      </c>
      <c r="Q211" s="933"/>
      <c r="R211" s="252" t="str">
        <f>IF(E211&lt;&gt;"","Select from Pull-Down List    ","")</f>
        <v/>
      </c>
      <c r="S211" s="1766" t="str">
        <f t="shared" si="416"/>
        <v/>
      </c>
      <c r="T211" s="252"/>
      <c r="U211" s="1988"/>
      <c r="V211" s="252" t="str">
        <f t="shared" si="417"/>
        <v/>
      </c>
      <c r="W211" s="139"/>
      <c r="X211" s="252" t="str">
        <f>IF(E211&lt;&gt;"","Mfg. Yr?    ","")</f>
        <v/>
      </c>
      <c r="Y211" s="1974" t="str">
        <f t="shared" si="426"/>
        <v/>
      </c>
      <c r="Z211" s="252"/>
      <c r="AA211" s="1986" t="str">
        <f t="shared" si="427"/>
        <v/>
      </c>
      <c r="AB211" s="252" t="str">
        <f>IF(E211&lt;&gt;"","Select from Pull-Down List    ","")</f>
        <v/>
      </c>
      <c r="AC211" s="1023"/>
      <c r="AD211" s="252" t="str">
        <f>IF(E211&lt;&gt;"","Feet?    ","")</f>
        <v/>
      </c>
      <c r="AE211" s="1023"/>
      <c r="AF211" s="252" t="str">
        <f>IF(E211&lt;&gt;"","Mileage?       ","")</f>
        <v/>
      </c>
      <c r="AG211" s="1023"/>
      <c r="AH211" s="252" t="str">
        <f>IF(E211&lt;&gt;"","Avg. Lifetime Mileage? ","")</f>
        <v/>
      </c>
      <c r="AI211" s="933"/>
      <c r="AJ211" s="252" t="str">
        <f>IF(E211&lt;&gt;"","Select from Pull-Down List    ","")</f>
        <v/>
      </c>
      <c r="AK211" s="171"/>
      <c r="AL211" s="252"/>
      <c r="AM211" s="894"/>
      <c r="AN211" s="894"/>
      <c r="AO211" s="894" t="b">
        <f>IF(AND(C211="",C213&lt;&gt;""),TRUE,FALSE)</f>
        <v>0</v>
      </c>
      <c r="AP211" s="888" t="str">
        <f t="shared" ref="AP211" si="437">IF(AND(C211&lt;&gt;"",OR(I211="",K211="",M211="",O211="",Q211="",W211="",AC211="",AE211="",AG211="")),"No",IF(AND(C211="",OR(I211&lt;&gt;"",K211&lt;&gt;"",M211&lt;&gt;"",O211&lt;&gt;"",Q211&lt;&gt;"",W211&lt;&gt;"",AC211&lt;&gt;"",AE211&lt;&gt;"",AG211&lt;&gt;"",AI211&lt;&gt;"",AK211&lt;&gt;"")),"No",IF(AND(C211="",I211="",K211="",M211="",O211="",Q211="",W211="",AC211="",AE211="",AG211="",AI211=""),"N/A","Yes")))</f>
        <v>N/A</v>
      </c>
      <c r="AQ211" s="898"/>
      <c r="AR211" s="899" t="b">
        <f t="shared" ref="AR211" si="438">IF(AND(OR(I211&lt;&gt;"",K211&lt;&gt;"",M211&lt;&gt;"",O211&lt;&gt;"",Q211&lt;&gt;"",W211&lt;&gt;"",AC211&lt;&gt;"",AE211&lt;&gt;"",AG211&lt;&gt;"",AI211&lt;&gt;"",AK211&lt;&gt;""),C211=""),TRUE,FALSE)</f>
        <v>0</v>
      </c>
      <c r="AS211" s="898" t="b">
        <f t="shared" ref="AS211" si="439">IF(AT211=TRUE,FALSE,IF(SUM(K211)&gt;I211,TRUE,FALSE))</f>
        <v>0</v>
      </c>
      <c r="AT211" s="899" t="b">
        <f>IF(AND(C211&lt;&gt;"",I211=""),TRUE,FALSE)</f>
        <v>0</v>
      </c>
      <c r="AU211" s="898" t="b">
        <f>IF(AV211=TRUE,FALSE,IF(M211&gt;K211,TRUE,FALSE))</f>
        <v>0</v>
      </c>
      <c r="AV211" s="899" t="b">
        <f>IF(AND($C211&lt;&gt;"",K211=""),TRUE,FALSE)</f>
        <v>0</v>
      </c>
      <c r="AW211" s="898"/>
      <c r="AX211" s="899" t="b">
        <f>IF(AND($C211&lt;&gt;"",M211=""),TRUE,FALSE)</f>
        <v>0</v>
      </c>
      <c r="AY211" s="898" t="b">
        <f t="shared" ref="AY211" si="440">IF(AND(O211="",OR(Q211&lt;&gt;"",W211&lt;&gt;"",AC211&lt;&gt;"",AE211&lt;&gt;"",AG211&lt;&gt;"",AI211&lt;&gt;"")),TRUE,FALSE)</f>
        <v>0</v>
      </c>
      <c r="AZ211" s="899" t="b">
        <f>IF(AND($C211&lt;&gt;"",O211=""),TRUE,FALSE)</f>
        <v>0</v>
      </c>
      <c r="BA211" s="898"/>
      <c r="BB211" s="899" t="b">
        <f>IF(AND($C211&lt;&gt;"",Q211=""),TRUE,FALSE)</f>
        <v>0</v>
      </c>
      <c r="BC211" s="1537" t="b">
        <f>IF(BD211=TRUE,FALSE,IF(W211="",FALSE,IF(OR(W211&lt;BO211,W211&gt;BaseYear),TRUE,FALSE)))</f>
        <v>0</v>
      </c>
      <c r="BD211" s="899" t="b">
        <f>IF(AND($C211&lt;&gt;"",W211=""),TRUE,FALSE)</f>
        <v>0</v>
      </c>
      <c r="BE211" s="1537"/>
      <c r="BF211" s="899" t="b">
        <f>IF(AND($C211&lt;&gt;"",AC211=""),TRUE,FALSE)</f>
        <v>0</v>
      </c>
      <c r="BG211" s="898"/>
      <c r="BH211" s="899" t="b">
        <f>IF(AND($C211&lt;&gt;"",AE211=""),TRUE,FALSE)</f>
        <v>0</v>
      </c>
      <c r="BI211" s="898"/>
      <c r="BJ211" s="899" t="b">
        <f>IF(AND($C211&lt;&gt;"",AG211=""),TRUE,FALSE)</f>
        <v>0</v>
      </c>
      <c r="BK211" s="898"/>
      <c r="BL211" s="898" t="b">
        <f>IF(AND($C211&lt;&gt;"",AI211=""),TRUE,FALSE)</f>
        <v>0</v>
      </c>
      <c r="BM211" s="894"/>
      <c r="BN211" s="898" t="str">
        <f t="shared" si="422"/>
        <v/>
      </c>
      <c r="BO211" s="898" t="str">
        <f>IFERROR(IF(AND(O211="",O211&lt;&gt;""),1913,VLOOKUP(O211,Valid!$B$99:$J$120,9)),"")</f>
        <v/>
      </c>
      <c r="BP211" s="898" t="str">
        <f t="shared" ca="1" si="423"/>
        <v/>
      </c>
      <c r="BQ211" s="1547" t="str">
        <f t="shared" ca="1" si="428"/>
        <v/>
      </c>
      <c r="BR211" s="898" t="str">
        <f ca="1">IF(BQ211="", "", IF(1+(BQ211*4)&lt;1, 1, 1+(BQ211*4)))</f>
        <v/>
      </c>
      <c r="BS211" s="898" t="str">
        <f t="shared" si="424"/>
        <v/>
      </c>
      <c r="BT211" s="898" t="str">
        <f t="shared" si="425"/>
        <v/>
      </c>
      <c r="BU211" s="1539" t="str">
        <f>IFERROR(IF(AND(#REF!="",C211&lt;&gt;""),Valid!$E$123,VLOOKUP(#REF!,Valid!$B$123:$F$125,4,FALSE)),"")</f>
        <v/>
      </c>
      <c r="BV211" s="1539" t="str">
        <f>IFERROR(IF(AND(#REF!="",C211&lt;&gt;""),Valid!$F$123,VLOOKUP(#REF!,Valid!$B$123:$F$125,5,FALSE)),"")</f>
        <v/>
      </c>
      <c r="BW211" s="1539" t="str">
        <f>IFERROR(VLOOKUP('A-70 RevVehInv'!S211,Valid!$B$99:$I$120,7), "")</f>
        <v/>
      </c>
      <c r="BX211" s="1539" t="str">
        <f>IFERROR(VLOOKUP(O211,Valid!$B$99:$I$120,8), "")</f>
        <v/>
      </c>
      <c r="BY211" s="894"/>
    </row>
  </sheetData>
  <sheetProtection password="C82B" sheet="1" objects="1" scenarios="1"/>
  <mergeCells count="1">
    <mergeCell ref="AQ2:AR2"/>
  </mergeCells>
  <conditionalFormatting sqref="I14:I98198">
    <cfRule type="expression" dxfId="11" priority="14">
      <formula>AS14</formula>
    </cfRule>
  </conditionalFormatting>
  <conditionalFormatting sqref="A4">
    <cfRule type="expression" dxfId="10" priority="15">
      <formula>$AP$8&gt;0</formula>
    </cfRule>
  </conditionalFormatting>
  <conditionalFormatting sqref="A3">
    <cfRule type="expression" dxfId="9" priority="16">
      <formula>$AP$7&gt;0</formula>
    </cfRule>
  </conditionalFormatting>
  <conditionalFormatting sqref="K14:K98198">
    <cfRule type="expression" dxfId="8" priority="13">
      <formula>$AU14</formula>
    </cfRule>
  </conditionalFormatting>
  <conditionalFormatting sqref="W14:W98198">
    <cfRule type="expression" dxfId="7" priority="12">
      <formula>$BC14</formula>
    </cfRule>
  </conditionalFormatting>
  <conditionalFormatting sqref="I13">
    <cfRule type="expression" dxfId="6" priority="7">
      <formula>AS13</formula>
    </cfRule>
  </conditionalFormatting>
  <conditionalFormatting sqref="K13">
    <cfRule type="expression" dxfId="5" priority="6">
      <formula>$AU13</formula>
    </cfRule>
  </conditionalFormatting>
  <conditionalFormatting sqref="W13">
    <cfRule type="expression" dxfId="4" priority="5">
      <formula>$BC13</formula>
    </cfRule>
  </conditionalFormatting>
  <conditionalFormatting sqref="E1:E1048576">
    <cfRule type="cellIs" dxfId="3" priority="8" operator="equal">
      <formula>"Yes"</formula>
    </cfRule>
    <cfRule type="cellIs" dxfId="2" priority="9" operator="equal">
      <formula>"No"</formula>
    </cfRule>
  </conditionalFormatting>
  <conditionalFormatting sqref="C4">
    <cfRule type="expression" dxfId="1" priority="1">
      <formula>$AP$8&gt;0</formula>
    </cfRule>
  </conditionalFormatting>
  <conditionalFormatting sqref="C3">
    <cfRule type="expression" dxfId="0" priority="2">
      <formula>$AP$7&gt;0</formula>
    </cfRule>
  </conditionalFormatting>
  <dataValidations count="4">
    <dataValidation type="list" allowBlank="1" showInputMessage="1" showErrorMessage="1" sqref="O13 O173 O183 O181 O179 O177 O175 O191 O189 O187 O185 O93 O103 O101 O99 O97 O95 O111 O109 O107 O105 O73 O83 O81 O79 O77 O75 O91 O89 O87 O85 O53 O63 O61 O59 O57 O55 O71 O69 O67 O65 O33 O43 O41 O39 O37 O35 O51 O49 O47 O45 O113 O23 O21 O19 O17 O15 O123 O153 O133 O31 O29 O163 O161 O159 O157 O155 O171 O169 O167 O165 O27 O143 O141 O139 O137 O135 O151 O149 O147 O145 O25 O121 O119 O117 O115 O131 O129 O127 O125 O193 O203 O201 O199 O197 O195 O211 O209 O207 O205">
      <formula1>vehicle_type</formula1>
    </dataValidation>
    <dataValidation type="list" allowBlank="1" showInputMessage="1" showErrorMessage="1" sqref="Q13 Q173 Q175 Q177 Q179 Q181 Q183 Q185 Q187 Q189 Q191 Q133 Q153 Q113 Q15 Q17 Q19 Q21 Q23 Q25 Q27 Q135 Q137 Q139 Q141 Q143 Q145 Q147 Q149 Q151 Q29 Q155 Q157 Q159 Q161 Q163 Q165 Q167 Q169 Q171 Q115 Q117 Q119 Q121 Q123 Q125 Q127 Q129 Q131 Q31 Q33 Q35 Q37 Q39 Q41 Q43 Q45 Q47 Q49 Q51 Q53 Q55 Q57 Q59 Q61 Q63 Q65 Q67 Q69 Q71 Q73 Q75 Q77 Q79 Q81 Q83 Q85 Q87 Q89 Q91 Q93 Q95 Q97 Q99 Q101 Q103 Q105 Q107 Q109 Q111 Q193 Q195 Q197 Q199 Q201 Q203 Q205 Q207 Q209 Q211">
      <formula1>FundingSource</formula1>
    </dataValidation>
    <dataValidation type="list" allowBlank="1" showInputMessage="1" showErrorMessage="1" sqref="AI13 AI173 AI175 AI177 AI179 AI181 AI183 AI185 AI187 AI189 AI191 AI133 AI153 AI113 AI15 AI17 AI19 AI21 AI23 AI25 AI27 AI135 AI137 AI139 AI141 AI143 AI145 AI147 AI149 AI151 AI29 AI155 AI157 AI159 AI161 AI163 AI165 AI167 AI169 AI171 AI115 AI117 AI119 AI121 AI123 AI125 AI127 AI129 AI131 AI31 AI33 AI35 AI37 AI39 AI41 AI43 AI45 AI47 AI49 AI51 AI53 AI55 AI57 AI59 AI61 AI63 AI65 AI67 AI69 AI71 AI73 AI75 AI77 AI79 AI81 AI83 AI85 AI87 AI89 AI91 AI93 AI95 AI97 AI99 AI101 AI103 AI105 AI107 AI109 AI111 AI193 AI195 AI197 AI199 AI201 AI203 AI205 AI207 AI209 AI211">
      <formula1>PrimaryModes</formula1>
    </dataValidation>
    <dataValidation type="list" allowBlank="1" showInputMessage="1" showErrorMessage="1" sqref="AG13 AG15 AG17 AG19 AG21 AG23 AG25 AG27 AG29 AG31 AG33 AG35 AG37 AG39 AG41 AG43 AG45 AG47 AG49 AG51 AG53 AG55 AG57 AG59 AG61 AG63 AG65 AG67 AG69 AG71 AG73 AG75 AG77 AG79 AG81 AG83 AG85 AG87 AG89 AG91 AG93 AG95 AG97 AG99 AG101 AG103 AG105 AG107 AG109 AG111 AG113 AG115 AG117 AG119 AG121 AG123 AG125 AG127 AG129 AG131 AG133 AG135 AG137 AG139 AG141 AG143 AG145 AG147 AG149 AG151 AG153 AG155 AG157 AG159 AG161 AG163 AG165 AG167 AG169 AG171 AG173 AG175 AG177 AG179 AG181 AG183 AG185 AG187 AG189 AG191 AG193 AG195 AG197 AG199 AG201 AG203 AG205 AG207 AG209 AG211">
      <formula1>$CA$2:$CA$10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1:Y25"/>
  <sheetViews>
    <sheetView topLeftCell="A4" workbookViewId="0"/>
  </sheetViews>
  <sheetFormatPr defaultColWidth="9.140625" defaultRowHeight="12.75" x14ac:dyDescent="0.2"/>
  <cols>
    <col min="1" max="1" width="2.28515625" style="85" customWidth="1"/>
    <col min="2" max="2" width="16.28515625" style="85" customWidth="1"/>
    <col min="3" max="3" width="8" style="85" bestFit="1" customWidth="1"/>
    <col min="4" max="4" width="15.42578125" style="85" customWidth="1"/>
    <col min="5" max="5" width="10.28515625" style="85" bestFit="1" customWidth="1"/>
    <col min="6" max="6" width="1.85546875" style="85" customWidth="1"/>
    <col min="7" max="7" width="13.7109375" style="85" bestFit="1" customWidth="1"/>
    <col min="8" max="8" width="9.140625" style="85"/>
    <col min="9" max="9" width="14.85546875" style="85" bestFit="1" customWidth="1"/>
    <col min="10" max="10" width="9" style="85" bestFit="1" customWidth="1"/>
    <col min="11" max="11" width="2" style="85" customWidth="1"/>
    <col min="12" max="12" width="17.140625" style="85" customWidth="1"/>
    <col min="13" max="15" width="9.140625" style="85"/>
    <col min="16" max="16" width="1.85546875" style="85" customWidth="1"/>
    <col min="17" max="17" width="20.7109375" style="85" customWidth="1"/>
    <col min="18" max="18" width="7.140625" style="85" bestFit="1" customWidth="1"/>
    <col min="19" max="19" width="14.7109375" style="85" bestFit="1" customWidth="1"/>
    <col min="20" max="20" width="9.140625" style="85"/>
    <col min="21" max="21" width="1.5703125" style="85" customWidth="1"/>
    <col min="22" max="22" width="35.42578125" style="85" customWidth="1"/>
    <col min="23" max="25" width="9.140625" style="85"/>
    <col min="26" max="26" width="1.7109375" style="85" customWidth="1"/>
    <col min="27" max="16384" width="9.140625" style="85"/>
  </cols>
  <sheetData>
    <row r="1" spans="2:25" ht="36" x14ac:dyDescent="0.2">
      <c r="B1" s="459" t="s">
        <v>898</v>
      </c>
      <c r="C1" s="459" t="s">
        <v>889</v>
      </c>
      <c r="D1" s="459" t="s">
        <v>899</v>
      </c>
      <c r="E1" s="459" t="s">
        <v>895</v>
      </c>
      <c r="G1" s="459" t="s">
        <v>898</v>
      </c>
      <c r="H1" s="459" t="s">
        <v>889</v>
      </c>
      <c r="I1" s="459" t="s">
        <v>899</v>
      </c>
      <c r="J1" s="459" t="s">
        <v>895</v>
      </c>
      <c r="L1" s="459" t="s">
        <v>905</v>
      </c>
      <c r="M1" s="459" t="s">
        <v>889</v>
      </c>
      <c r="N1" s="459" t="s">
        <v>899</v>
      </c>
      <c r="O1" s="459" t="s">
        <v>895</v>
      </c>
      <c r="Q1" s="459" t="s">
        <v>905</v>
      </c>
      <c r="R1" s="459" t="s">
        <v>889</v>
      </c>
      <c r="S1" s="459" t="s">
        <v>899</v>
      </c>
      <c r="T1" s="459" t="s">
        <v>895</v>
      </c>
      <c r="V1" s="459" t="s">
        <v>905</v>
      </c>
      <c r="W1" s="459" t="s">
        <v>889</v>
      </c>
      <c r="X1" s="459" t="s">
        <v>899</v>
      </c>
      <c r="Y1" s="459" t="s">
        <v>895</v>
      </c>
    </row>
    <row r="2" spans="2:25" x14ac:dyDescent="0.2">
      <c r="B2" s="452" t="s">
        <v>82</v>
      </c>
      <c r="C2" s="453" t="str">
        <f>UPPER('A-10 M&amp;A FacInv'!C2)</f>
        <v>C</v>
      </c>
      <c r="D2" s="452" t="s">
        <v>888</v>
      </c>
      <c r="E2" s="452" t="s">
        <v>896</v>
      </c>
      <c r="F2" s="227"/>
      <c r="G2" s="463" t="s">
        <v>82</v>
      </c>
      <c r="H2" s="461" t="str">
        <f>UPPER('A-20 PassFacInv'!C2)</f>
        <v>C</v>
      </c>
      <c r="I2" s="465" t="s">
        <v>897</v>
      </c>
      <c r="J2" s="460" t="s">
        <v>896</v>
      </c>
      <c r="L2" s="469" t="s">
        <v>222</v>
      </c>
      <c r="M2" s="470" t="str">
        <f>UPPER('A-50 FGRailInv'!C2)</f>
        <v>C</v>
      </c>
      <c r="N2" s="465" t="s">
        <v>897</v>
      </c>
      <c r="O2" s="460" t="s">
        <v>896</v>
      </c>
      <c r="Q2" s="469" t="s">
        <v>916</v>
      </c>
      <c r="R2" s="379" t="str">
        <f>UPPER('A-60 SvcVehInv'!C2)</f>
        <v>C</v>
      </c>
      <c r="S2" s="466" t="s">
        <v>917</v>
      </c>
      <c r="T2" s="466" t="s">
        <v>906</v>
      </c>
      <c r="V2" s="467" t="s">
        <v>307</v>
      </c>
      <c r="W2" s="470" t="str">
        <f>UPPER('A-70 RevVehInv'!C2)</f>
        <v>C</v>
      </c>
      <c r="X2" s="466"/>
      <c r="Y2" s="466"/>
    </row>
    <row r="3" spans="2:25" x14ac:dyDescent="0.2">
      <c r="B3" s="452" t="s">
        <v>18</v>
      </c>
      <c r="C3" s="453" t="str">
        <f>UPPER('A-10 M&amp;A FacInv'!J2)</f>
        <v>J</v>
      </c>
      <c r="D3" s="452" t="s">
        <v>888</v>
      </c>
      <c r="E3" s="452" t="s">
        <v>896</v>
      </c>
      <c r="F3" s="227"/>
      <c r="G3" s="463" t="s">
        <v>18</v>
      </c>
      <c r="H3" s="461" t="str">
        <f>UPPER('A-20 PassFacInv'!J2)</f>
        <v>J</v>
      </c>
      <c r="I3" s="465" t="s">
        <v>897</v>
      </c>
      <c r="J3" s="460" t="s">
        <v>896</v>
      </c>
      <c r="L3" s="466" t="s">
        <v>142</v>
      </c>
      <c r="M3" s="470" t="str">
        <f>UPPER('A-50 FGRailInv'!H2)</f>
        <v>H</v>
      </c>
      <c r="N3" s="465" t="s">
        <v>897</v>
      </c>
      <c r="O3" s="466" t="s">
        <v>894</v>
      </c>
      <c r="Q3" s="466" t="s">
        <v>142</v>
      </c>
      <c r="R3" s="470" t="e">
        <f>UPPER('A-60 SvcVehInv'!#REF!)</f>
        <v>#REF!</v>
      </c>
      <c r="S3" s="465" t="s">
        <v>897</v>
      </c>
      <c r="T3" s="466" t="s">
        <v>894</v>
      </c>
      <c r="V3" s="468" t="s">
        <v>918</v>
      </c>
      <c r="W3" s="470" t="str">
        <f>UPPER('A-70 RevVehInv'!I2)</f>
        <v>I</v>
      </c>
      <c r="X3" s="466"/>
      <c r="Y3" s="466"/>
    </row>
    <row r="4" spans="2:25" ht="25.5" x14ac:dyDescent="0.2">
      <c r="B4" s="452" t="s">
        <v>19</v>
      </c>
      <c r="C4" s="453" t="str">
        <f>UPPER('A-10 M&amp;A FacInv'!L2)</f>
        <v>L</v>
      </c>
      <c r="D4" s="452" t="s">
        <v>888</v>
      </c>
      <c r="E4" s="452" t="s">
        <v>896</v>
      </c>
      <c r="F4" s="227"/>
      <c r="G4" s="463" t="s">
        <v>19</v>
      </c>
      <c r="H4" s="461" t="str">
        <f>UPPER('A-20 PassFacInv'!L2)</f>
        <v>L</v>
      </c>
      <c r="I4" s="465" t="s">
        <v>897</v>
      </c>
      <c r="J4" s="460" t="s">
        <v>896</v>
      </c>
      <c r="L4" s="467" t="s">
        <v>907</v>
      </c>
      <c r="M4" s="470" t="str">
        <f>UPPER('A-50 FGRailInv'!L2)</f>
        <v>L</v>
      </c>
      <c r="N4" s="465" t="s">
        <v>897</v>
      </c>
      <c r="O4" s="466" t="s">
        <v>894</v>
      </c>
      <c r="Q4" s="467" t="s">
        <v>907</v>
      </c>
      <c r="R4" s="470" t="str">
        <f>UPPER('A-60 SvcVehInv'!N2)</f>
        <v>N</v>
      </c>
      <c r="S4" s="465" t="s">
        <v>897</v>
      </c>
      <c r="T4" s="466" t="s">
        <v>894</v>
      </c>
      <c r="V4" s="467" t="s">
        <v>919</v>
      </c>
      <c r="W4" s="470" t="str">
        <f>UPPER('A-70 RevVehInv'!K2)</f>
        <v>K</v>
      </c>
      <c r="X4" s="466"/>
      <c r="Y4" s="466"/>
    </row>
    <row r="5" spans="2:25" ht="25.5" x14ac:dyDescent="0.2">
      <c r="B5" s="452" t="s">
        <v>425</v>
      </c>
      <c r="C5" s="453" t="str">
        <f>UPPER('A-10 M&amp;A FacInv'!N2)</f>
        <v>N</v>
      </c>
      <c r="D5" s="452" t="s">
        <v>887</v>
      </c>
      <c r="E5" s="452" t="s">
        <v>906</v>
      </c>
      <c r="F5" s="227"/>
      <c r="G5" s="463" t="s">
        <v>425</v>
      </c>
      <c r="H5" s="461" t="str">
        <f>UPPER('A-20 PassFacInv'!N2)</f>
        <v>N</v>
      </c>
      <c r="I5" s="465" t="s">
        <v>887</v>
      </c>
      <c r="J5" s="452" t="s">
        <v>906</v>
      </c>
      <c r="L5" s="468" t="s">
        <v>908</v>
      </c>
      <c r="M5" s="470" t="e">
        <f>UPPER('A-50 FGRailInv'!#REF!)</f>
        <v>#REF!</v>
      </c>
      <c r="N5" s="469" t="s">
        <v>887</v>
      </c>
      <c r="O5" s="466" t="s">
        <v>894</v>
      </c>
      <c r="Q5" s="468" t="s">
        <v>908</v>
      </c>
      <c r="R5" s="470" t="e">
        <f>UPPER('A-60 SvcVehInv'!#REF!)</f>
        <v>#REF!</v>
      </c>
      <c r="S5" s="469" t="s">
        <v>887</v>
      </c>
      <c r="T5" s="466" t="s">
        <v>894</v>
      </c>
      <c r="V5" s="467" t="s">
        <v>920</v>
      </c>
      <c r="W5" s="470" t="str">
        <f>UPPER('A-70 RevVehInv'!M2)</f>
        <v>M</v>
      </c>
      <c r="X5" s="466"/>
      <c r="Y5" s="466"/>
    </row>
    <row r="6" spans="2:25" ht="38.25" x14ac:dyDescent="0.2">
      <c r="B6" s="452" t="s">
        <v>483</v>
      </c>
      <c r="C6" s="453" t="str">
        <f>UPPER('A-10 M&amp;A FacInv'!P2)</f>
        <v>P</v>
      </c>
      <c r="D6" s="452" t="s">
        <v>888</v>
      </c>
      <c r="E6" s="452" t="s">
        <v>896</v>
      </c>
      <c r="F6" s="176"/>
      <c r="G6" s="463" t="s">
        <v>483</v>
      </c>
      <c r="H6" s="461" t="str">
        <f>UPPER('A-20 PassFacInv'!P2)</f>
        <v>P</v>
      </c>
      <c r="I6" s="465" t="s">
        <v>897</v>
      </c>
      <c r="J6" s="460" t="s">
        <v>896</v>
      </c>
      <c r="L6" s="468" t="s">
        <v>909</v>
      </c>
      <c r="M6" s="471" t="str">
        <f>UPPER('A-50 FGRailInv'!P2)</f>
        <v>P</v>
      </c>
      <c r="N6" s="465" t="s">
        <v>897</v>
      </c>
      <c r="O6" s="466" t="s">
        <v>896</v>
      </c>
      <c r="Q6" s="468" t="s">
        <v>909</v>
      </c>
      <c r="R6" s="470" t="str">
        <f>UPPER('A-60 SvcVehInv'!P2)</f>
        <v>P</v>
      </c>
      <c r="S6" s="465" t="s">
        <v>897</v>
      </c>
      <c r="T6" s="466" t="s">
        <v>896</v>
      </c>
      <c r="V6" s="467" t="s">
        <v>921</v>
      </c>
      <c r="W6" s="470" t="str">
        <f>UPPER('A-70 RevVehInv'!O2)</f>
        <v>O</v>
      </c>
      <c r="X6" s="466"/>
      <c r="Y6" s="466"/>
    </row>
    <row r="7" spans="2:25" ht="38.25" x14ac:dyDescent="0.2">
      <c r="B7" s="452" t="s">
        <v>162</v>
      </c>
      <c r="C7" s="453" t="str">
        <f>UPPER('A-10 M&amp;A FacInv'!R2)</f>
        <v>R</v>
      </c>
      <c r="D7" s="452" t="s">
        <v>887</v>
      </c>
      <c r="E7" s="452" t="s">
        <v>906</v>
      </c>
      <c r="F7" s="227"/>
      <c r="G7" s="463" t="s">
        <v>162</v>
      </c>
      <c r="H7" s="461" t="str">
        <f>UPPER('A-20 PassFacInv'!V2)</f>
        <v>V</v>
      </c>
      <c r="I7" s="465" t="s">
        <v>887</v>
      </c>
      <c r="J7" s="452" t="s">
        <v>906</v>
      </c>
      <c r="L7" s="468" t="s">
        <v>910</v>
      </c>
      <c r="M7" s="471" t="str">
        <f>UPPER('A-50 FGRailInv'!R2)</f>
        <v>R</v>
      </c>
      <c r="N7" s="465" t="s">
        <v>897</v>
      </c>
      <c r="O7" s="466" t="s">
        <v>896</v>
      </c>
      <c r="Q7" s="468" t="s">
        <v>910</v>
      </c>
      <c r="R7" s="470" t="e">
        <f>UPPER('A-60 SvcVehInv'!#REF!)</f>
        <v>#REF!</v>
      </c>
      <c r="S7" s="465" t="s">
        <v>897</v>
      </c>
      <c r="T7" s="466" t="s">
        <v>896</v>
      </c>
      <c r="V7" s="467" t="s">
        <v>352</v>
      </c>
      <c r="W7" s="470" t="str">
        <f>UPPER('A-70 RevVehInv'!S2)</f>
        <v>S</v>
      </c>
      <c r="X7" s="466"/>
      <c r="Y7" s="466"/>
    </row>
    <row r="8" spans="2:25" ht="38.25" x14ac:dyDescent="0.2">
      <c r="B8" s="452" t="s">
        <v>59</v>
      </c>
      <c r="C8" s="453" t="str">
        <f>UPPER('A-10 M&amp;A FacInv'!T2)</f>
        <v>T</v>
      </c>
      <c r="D8" s="452" t="s">
        <v>887</v>
      </c>
      <c r="E8" s="452" t="s">
        <v>906</v>
      </c>
      <c r="F8" s="227"/>
      <c r="G8" s="463" t="s">
        <v>59</v>
      </c>
      <c r="H8" s="461" t="str">
        <f>UPPER('A-20 PassFacInv'!X2)</f>
        <v>X</v>
      </c>
      <c r="I8" s="465" t="s">
        <v>887</v>
      </c>
      <c r="J8" s="452" t="s">
        <v>906</v>
      </c>
      <c r="L8" s="468" t="s">
        <v>911</v>
      </c>
      <c r="M8" s="471" t="str">
        <f>UPPER('A-50 FGRailInv'!T2)</f>
        <v>T</v>
      </c>
      <c r="N8" s="465" t="s">
        <v>897</v>
      </c>
      <c r="O8" s="466" t="s">
        <v>896</v>
      </c>
      <c r="Q8" s="468" t="s">
        <v>911</v>
      </c>
      <c r="R8" s="470" t="e">
        <f>UPPER('A-60 SvcVehInv'!#REF!)</f>
        <v>#REF!</v>
      </c>
      <c r="S8" s="465" t="s">
        <v>897</v>
      </c>
      <c r="T8" s="466" t="s">
        <v>896</v>
      </c>
      <c r="V8" s="467" t="s">
        <v>353</v>
      </c>
      <c r="W8" s="470" t="str">
        <f>UPPER('A-70 RevVehInv'!U2)</f>
        <v>U</v>
      </c>
      <c r="X8" s="466"/>
      <c r="Y8" s="466"/>
    </row>
    <row r="9" spans="2:25" ht="38.25" x14ac:dyDescent="0.2">
      <c r="B9" s="452" t="s">
        <v>890</v>
      </c>
      <c r="C9" s="453" t="str">
        <f>UPPER('A-10 M&amp;A FacInv'!V2)</f>
        <v>V</v>
      </c>
      <c r="D9" s="452" t="s">
        <v>888</v>
      </c>
      <c r="E9" s="452" t="s">
        <v>894</v>
      </c>
      <c r="F9" s="227"/>
      <c r="G9" s="463" t="s">
        <v>890</v>
      </c>
      <c r="H9" s="461" t="str">
        <f>UPPER('A-20 PassFacInv'!Z2)</f>
        <v>Z</v>
      </c>
      <c r="I9" s="465" t="s">
        <v>897</v>
      </c>
      <c r="J9" s="460" t="s">
        <v>894</v>
      </c>
      <c r="L9" s="468" t="s">
        <v>912</v>
      </c>
      <c r="M9" s="471" t="str">
        <f>UPPER('A-50 FGRailInv'!V2)</f>
        <v>V</v>
      </c>
      <c r="N9" s="465" t="s">
        <v>897</v>
      </c>
      <c r="O9" s="466" t="s">
        <v>896</v>
      </c>
      <c r="Q9" s="468" t="s">
        <v>912</v>
      </c>
      <c r="R9" s="470" t="e">
        <f>UPPER('A-60 SvcVehInv'!#REF!)</f>
        <v>#REF!</v>
      </c>
      <c r="S9" s="465" t="s">
        <v>897</v>
      </c>
      <c r="T9" s="466" t="s">
        <v>896</v>
      </c>
      <c r="V9" s="467" t="s">
        <v>373</v>
      </c>
      <c r="W9" s="470" t="str">
        <f>UPPER('A-70 RevVehInv'!AA2)</f>
        <v>AA</v>
      </c>
      <c r="X9" s="466"/>
      <c r="Y9" s="466"/>
    </row>
    <row r="10" spans="2:25" ht="38.25" x14ac:dyDescent="0.2">
      <c r="B10" s="457" t="s">
        <v>202</v>
      </c>
      <c r="C10" s="454" t="str">
        <f>UPPER('A-10 M&amp;A FacInv'!X2)</f>
        <v>X</v>
      </c>
      <c r="D10" s="457" t="s">
        <v>888</v>
      </c>
      <c r="E10" s="452" t="s">
        <v>894</v>
      </c>
      <c r="F10" s="176"/>
      <c r="G10" s="463" t="s">
        <v>900</v>
      </c>
      <c r="H10" s="461" t="str">
        <f>UPPER('A-20 PassFacInv'!AB2)</f>
        <v>AB</v>
      </c>
      <c r="I10" s="465" t="s">
        <v>897</v>
      </c>
      <c r="J10" s="462" t="s">
        <v>894</v>
      </c>
      <c r="L10" s="468" t="s">
        <v>913</v>
      </c>
      <c r="M10" s="471" t="str">
        <f>UPPER('A-50 FGRailInv'!X2)</f>
        <v>X</v>
      </c>
      <c r="N10" s="465" t="s">
        <v>897</v>
      </c>
      <c r="O10" s="466" t="s">
        <v>896</v>
      </c>
      <c r="Q10" s="468" t="s">
        <v>913</v>
      </c>
      <c r="R10" s="470" t="e">
        <f>UPPER('A-60 SvcVehInv'!#REF!)</f>
        <v>#REF!</v>
      </c>
      <c r="S10" s="465" t="s">
        <v>897</v>
      </c>
      <c r="T10" s="466" t="s">
        <v>896</v>
      </c>
      <c r="V10" s="467" t="s">
        <v>374</v>
      </c>
      <c r="W10" s="470" t="str">
        <f>UPPER('A-70 RevVehInv'!AG2)</f>
        <v>AG</v>
      </c>
      <c r="X10" s="466"/>
      <c r="Y10" s="466"/>
    </row>
    <row r="11" spans="2:25" ht="25.5" x14ac:dyDescent="0.2">
      <c r="B11" s="458" t="s">
        <v>366</v>
      </c>
      <c r="C11" s="453" t="str">
        <f>UPPER('A-10 M&amp;A FacInv'!Z2)</f>
        <v>Z</v>
      </c>
      <c r="D11" s="452" t="s">
        <v>888</v>
      </c>
      <c r="E11" s="452" t="s">
        <v>894</v>
      </c>
      <c r="F11" s="450"/>
      <c r="G11" s="463" t="s">
        <v>366</v>
      </c>
      <c r="H11" s="461" t="str">
        <f>UPPER('A-20 PassFacInv'!AF2)</f>
        <v>AF</v>
      </c>
      <c r="I11" s="465" t="s">
        <v>897</v>
      </c>
      <c r="J11" s="460" t="s">
        <v>894</v>
      </c>
      <c r="L11" s="468" t="s">
        <v>914</v>
      </c>
      <c r="M11" s="471" t="str">
        <f>UPPER('A-50 FGRailInv'!AJ2)</f>
        <v>AJ</v>
      </c>
      <c r="N11" s="465" t="s">
        <v>915</v>
      </c>
      <c r="O11" s="466" t="s">
        <v>894</v>
      </c>
      <c r="Q11" s="468" t="s">
        <v>914</v>
      </c>
      <c r="R11" s="470" t="e">
        <f>UPPER('A-60 SvcVehInv'!#REF!)</f>
        <v>#REF!</v>
      </c>
      <c r="S11" s="465" t="s">
        <v>915</v>
      </c>
      <c r="T11" s="466" t="s">
        <v>894</v>
      </c>
      <c r="V11" s="468" t="s">
        <v>356</v>
      </c>
      <c r="W11" s="470" t="str">
        <f>UPPER('A-70 RevVehInv'!AI2)</f>
        <v>AI</v>
      </c>
      <c r="X11" s="466"/>
      <c r="Y11" s="466"/>
    </row>
    <row r="12" spans="2:25" ht="38.25" x14ac:dyDescent="0.2">
      <c r="B12" s="458" t="s">
        <v>891</v>
      </c>
      <c r="C12" s="453" t="str">
        <f>UPPER('A-10 M&amp;A FacInv'!AB2)</f>
        <v>AB</v>
      </c>
      <c r="D12" s="452" t="s">
        <v>888</v>
      </c>
      <c r="E12" s="452" t="s">
        <v>896</v>
      </c>
      <c r="F12" s="176"/>
      <c r="G12" s="463" t="s">
        <v>891</v>
      </c>
      <c r="H12" s="461" t="str">
        <f>UPPER('A-20 PassFacInv'!AH2)</f>
        <v>AH</v>
      </c>
      <c r="I12" s="465" t="s">
        <v>897</v>
      </c>
      <c r="J12" s="462" t="s">
        <v>896</v>
      </c>
      <c r="L12" s="463" t="s">
        <v>366</v>
      </c>
      <c r="M12" s="471" t="str">
        <f>UPPER('A-50 FGRailInv'!AL2)</f>
        <v>AL</v>
      </c>
      <c r="N12" s="465" t="s">
        <v>897</v>
      </c>
      <c r="O12" s="466" t="s">
        <v>894</v>
      </c>
      <c r="Q12" s="463" t="s">
        <v>366</v>
      </c>
      <c r="R12" s="470" t="str">
        <f>UPPER('A-60 SvcVehInv'!V2)</f>
        <v>V</v>
      </c>
      <c r="S12" s="465" t="s">
        <v>897</v>
      </c>
      <c r="T12" s="466" t="s">
        <v>894</v>
      </c>
      <c r="V12" s="468" t="s">
        <v>375</v>
      </c>
      <c r="W12" s="470" t="str">
        <f>UPPER('A-70 RevVehInv'!AK2)</f>
        <v>AK</v>
      </c>
      <c r="X12" s="466"/>
      <c r="Y12" s="466"/>
    </row>
    <row r="13" spans="2:25" ht="38.25" x14ac:dyDescent="0.2">
      <c r="B13" s="458" t="s">
        <v>892</v>
      </c>
      <c r="C13" s="453" t="str">
        <f>UPPER('A-10 M&amp;A FacInv'!AF2)</f>
        <v>AF</v>
      </c>
      <c r="D13" s="452" t="s">
        <v>888</v>
      </c>
      <c r="E13" s="452" t="s">
        <v>894</v>
      </c>
      <c r="F13" s="176"/>
      <c r="G13" s="463" t="s">
        <v>892</v>
      </c>
      <c r="H13" s="461" t="str">
        <f>UPPER('A-20 PassFacInv'!AL2)</f>
        <v>AL</v>
      </c>
      <c r="I13" s="465" t="s">
        <v>897</v>
      </c>
      <c r="J13" s="462" t="s">
        <v>894</v>
      </c>
      <c r="L13" s="467" t="s">
        <v>891</v>
      </c>
      <c r="M13" s="471" t="e">
        <f>UPPER('A-50 FGRailInv'!#REF!)</f>
        <v>#REF!</v>
      </c>
      <c r="N13" s="465" t="s">
        <v>897</v>
      </c>
      <c r="O13" s="466" t="s">
        <v>894</v>
      </c>
      <c r="Q13" s="467" t="s">
        <v>891</v>
      </c>
      <c r="R13" s="470" t="str">
        <f>UPPER('A-60 SvcVehInv'!X2)</f>
        <v>X</v>
      </c>
      <c r="S13" s="465" t="s">
        <v>897</v>
      </c>
      <c r="T13" s="466" t="s">
        <v>894</v>
      </c>
      <c r="V13" s="468" t="s">
        <v>922</v>
      </c>
      <c r="W13" s="470" t="str">
        <f>UPPER('A-70 RevVehInv'!AM2)</f>
        <v>AM</v>
      </c>
      <c r="X13" s="466"/>
      <c r="Y13" s="466"/>
    </row>
    <row r="14" spans="2:25" ht="26.25" x14ac:dyDescent="0.25">
      <c r="B14" s="455" t="s">
        <v>893</v>
      </c>
      <c r="C14" s="456" t="str">
        <f>UPPER('A-10 M&amp;A FacInv'!AH2)</f>
        <v>AH</v>
      </c>
      <c r="D14" s="455" t="s">
        <v>888</v>
      </c>
      <c r="E14" s="452" t="s">
        <v>896</v>
      </c>
      <c r="F14" s="176"/>
      <c r="G14" s="463" t="s">
        <v>169</v>
      </c>
      <c r="H14" s="464" t="str">
        <f>UPPER('A-20 PassFacInv'!AD2)</f>
        <v>AD</v>
      </c>
      <c r="I14" s="465" t="s">
        <v>887</v>
      </c>
      <c r="J14" s="452" t="s">
        <v>906</v>
      </c>
      <c r="L14" s="467" t="s">
        <v>892</v>
      </c>
      <c r="M14" s="456" t="e">
        <f>UPPER('A-50 FGRailInv'!#REF!)</f>
        <v>#REF!</v>
      </c>
      <c r="N14" s="465" t="s">
        <v>897</v>
      </c>
      <c r="O14" s="466" t="s">
        <v>894</v>
      </c>
      <c r="Q14" s="467" t="s">
        <v>892</v>
      </c>
      <c r="R14" s="470" t="str">
        <f>UPPER('A-60 SvcVehInv'!Z2)</f>
        <v>Z</v>
      </c>
      <c r="S14" s="465" t="s">
        <v>897</v>
      </c>
      <c r="T14" s="466" t="s">
        <v>894</v>
      </c>
      <c r="V14" s="468" t="s">
        <v>348</v>
      </c>
      <c r="W14" s="470" t="e">
        <f>UPPER('A-70 RevVehInv'!#REF!)</f>
        <v>#REF!</v>
      </c>
      <c r="X14" s="466"/>
      <c r="Y14" s="466"/>
    </row>
    <row r="15" spans="2:25" x14ac:dyDescent="0.2">
      <c r="F15" s="451"/>
      <c r="G15" s="463" t="s">
        <v>893</v>
      </c>
      <c r="H15" s="461" t="str">
        <f>UPPER('A-20 PassFacInv'!AN2)</f>
        <v>AN</v>
      </c>
      <c r="I15" s="465" t="s">
        <v>897</v>
      </c>
      <c r="J15" s="460" t="s">
        <v>896</v>
      </c>
      <c r="V15" s="468" t="s">
        <v>923</v>
      </c>
      <c r="W15" s="470" t="e">
        <f>UPPER('A-70 RevVehInv'!#REF!)</f>
        <v>#REF!</v>
      </c>
      <c r="X15" s="466"/>
      <c r="Y15" s="466"/>
    </row>
    <row r="16" spans="2:25" x14ac:dyDescent="0.2">
      <c r="V16" s="468" t="s">
        <v>261</v>
      </c>
      <c r="W16" s="470" t="e">
        <f>UPPER('A-70 RevVehInv'!#REF!)</f>
        <v>#REF!</v>
      </c>
      <c r="X16" s="466"/>
      <c r="Y16" s="466"/>
    </row>
    <row r="17" spans="22:25" ht="25.5" x14ac:dyDescent="0.2">
      <c r="V17" s="468" t="s">
        <v>924</v>
      </c>
      <c r="W17" s="470" t="e">
        <f>UPPER('A-70 RevVehInv'!#REF!)</f>
        <v>#REF!</v>
      </c>
      <c r="X17" s="466"/>
      <c r="Y17" s="466"/>
    </row>
    <row r="18" spans="22:25" x14ac:dyDescent="0.2">
      <c r="V18" s="468" t="s">
        <v>419</v>
      </c>
      <c r="W18" s="470" t="e">
        <f>UPPER('A-70 RevVehInv'!#REF!)</f>
        <v>#REF!</v>
      </c>
      <c r="X18" s="466"/>
      <c r="Y18" s="466"/>
    </row>
    <row r="19" spans="22:25" x14ac:dyDescent="0.2">
      <c r="V19" s="468" t="s">
        <v>420</v>
      </c>
      <c r="W19" s="470" t="e">
        <f>UPPER('A-70 RevVehInv'!#REF!)</f>
        <v>#REF!</v>
      </c>
      <c r="X19" s="466"/>
      <c r="Y19" s="466"/>
    </row>
    <row r="20" spans="22:25" x14ac:dyDescent="0.2">
      <c r="V20" s="468" t="s">
        <v>359</v>
      </c>
      <c r="W20" s="470" t="str">
        <f>UPPER('A-70 RevVehInv'!AO2)</f>
        <v>AO</v>
      </c>
      <c r="X20" s="466"/>
      <c r="Y20" s="466"/>
    </row>
    <row r="21" spans="22:25" x14ac:dyDescent="0.2">
      <c r="V21" s="468" t="s">
        <v>360</v>
      </c>
      <c r="W21" s="470" t="str">
        <f>UPPER('A-70 RevVehInv'!AQ2)</f>
        <v>AQ</v>
      </c>
      <c r="X21" s="466"/>
      <c r="Y21" s="466"/>
    </row>
    <row r="22" spans="22:25" x14ac:dyDescent="0.2">
      <c r="V22" s="468" t="s">
        <v>361</v>
      </c>
      <c r="W22" s="470" t="str">
        <f>UPPER('A-70 RevVehInv'!AS2)</f>
        <v>AS</v>
      </c>
      <c r="X22" s="466"/>
      <c r="Y22" s="466"/>
    </row>
    <row r="23" spans="22:25" ht="25.5" x14ac:dyDescent="0.2">
      <c r="V23" s="468" t="s">
        <v>925</v>
      </c>
      <c r="W23" s="470" t="str">
        <f>UPPER('A-70 RevVehInv'!AW2)</f>
        <v>AW</v>
      </c>
      <c r="X23" s="466"/>
      <c r="Y23" s="466"/>
    </row>
    <row r="24" spans="22:25" ht="25.5" x14ac:dyDescent="0.2">
      <c r="V24" s="467" t="s">
        <v>926</v>
      </c>
      <c r="W24" s="470" t="str">
        <f>UPPER('A-70 RevVehInv'!AY2)</f>
        <v>AY</v>
      </c>
      <c r="X24" s="466"/>
      <c r="Y24" s="466"/>
    </row>
    <row r="25" spans="22:25" x14ac:dyDescent="0.2">
      <c r="V25" s="467" t="s">
        <v>364</v>
      </c>
      <c r="W25" s="470" t="str">
        <f>UPPER('A-70 RevVehInv'!BA2)</f>
        <v>BA</v>
      </c>
      <c r="X25" s="466"/>
      <c r="Y25" s="466"/>
    </row>
  </sheetData>
  <sheetProtection algorithmName="SHA-512" hashValue="JbfMgHJNuRpbeOR7SXSaBUVmNrsYhPEBi9VvQ6t3PBkOpq9vjQL/nU8pI0kfs2xHnAtuSVy/sniooLdz+f7sLw==" saltValue="oCLH8vyZyEnKZ6tuo+wwLA==" spinCount="100000" sheet="1" objects="1" scenarios="1" formatCells="0" formatColumns="0" formatRows="0" selectLockedCells="1" sort="0" autoFilter="0"/>
  <pageMargins left="0.7" right="0.7" top="0.75" bottom="0.75" header="0.3" footer="0.3"/>
  <pageSetup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CW213"/>
  <sheetViews>
    <sheetView showGridLines="0" zoomScale="90" zoomScaleNormal="90" workbookViewId="0">
      <pane xSplit="6" ySplit="15" topLeftCell="G16" activePane="bottomRight" state="frozen"/>
      <selection activeCell="C40" sqref="C40"/>
      <selection pane="topRight" activeCell="C40" sqref="C40"/>
      <selection pane="bottomLeft" activeCell="C40" sqref="C40"/>
      <selection pane="bottomRight" activeCell="C17" sqref="C17"/>
    </sheetView>
  </sheetViews>
  <sheetFormatPr defaultColWidth="9.140625" defaultRowHeight="12.75" x14ac:dyDescent="0.2"/>
  <cols>
    <col min="1" max="1" width="5" style="135" bestFit="1" customWidth="1"/>
    <col min="2" max="2" width="1.42578125" style="135" customWidth="1"/>
    <col min="3" max="3" width="55.28515625" style="135" customWidth="1"/>
    <col min="4" max="4" width="1.42578125" style="135" customWidth="1"/>
    <col min="5" max="5" width="7" style="135" customWidth="1"/>
    <col min="6" max="7" width="1.42578125" style="135" customWidth="1"/>
    <col min="8" max="8" width="14.5703125" style="237" customWidth="1"/>
    <col min="9" max="9" width="1.42578125" style="135" customWidth="1"/>
    <col min="10" max="10" width="22" style="237" customWidth="1"/>
    <col min="11" max="11" width="1.42578125" style="135" customWidth="1"/>
    <col min="12" max="12" width="25.42578125" style="135" customWidth="1"/>
    <col min="13" max="13" width="1.42578125" style="135" customWidth="1"/>
    <col min="14" max="14" width="28" style="135" customWidth="1"/>
    <col min="15" max="15" width="1.42578125" style="135" customWidth="1"/>
    <col min="16" max="16" width="13.85546875" style="135" customWidth="1"/>
    <col min="17" max="17" width="1.42578125" style="135" customWidth="1"/>
    <col min="18" max="18" width="16.85546875" style="135" customWidth="1"/>
    <col min="19" max="19" width="1.42578125" style="135" customWidth="1"/>
    <col min="20" max="20" width="22.85546875" style="135" customWidth="1"/>
    <col min="21" max="21" width="1.42578125" style="135" customWidth="1"/>
    <col min="22" max="22" width="16.7109375" style="136" customWidth="1"/>
    <col min="23" max="23" width="1.42578125" style="135" customWidth="1"/>
    <col min="24" max="24" width="16.7109375" style="136" customWidth="1"/>
    <col min="25" max="25" width="1.42578125" style="135" customWidth="1"/>
    <col min="26" max="26" width="16.7109375" style="136" customWidth="1"/>
    <col min="27" max="27" width="1.42578125" style="135" customWidth="1"/>
    <col min="28" max="28" width="16.7109375" style="136" customWidth="1"/>
    <col min="29" max="29" width="1.42578125" style="135" customWidth="1"/>
    <col min="30" max="30" width="16.7109375" style="136" customWidth="1"/>
    <col min="31" max="31" width="1.42578125" style="135" customWidth="1"/>
    <col min="32" max="32" width="16.7109375" style="136" customWidth="1"/>
    <col min="33" max="33" width="1.42578125" style="135" customWidth="1"/>
    <col min="34" max="34" width="16.7109375" style="136" customWidth="1"/>
    <col min="35" max="35" width="1.42578125" style="135" customWidth="1"/>
    <col min="36" max="36" width="16.7109375" style="136" customWidth="1"/>
    <col min="37" max="37" width="1.42578125" style="135" customWidth="1"/>
    <col min="38" max="38" width="16.7109375" style="136" customWidth="1"/>
    <col min="39" max="39" width="1.42578125" style="135" customWidth="1"/>
    <col min="40" max="40" width="16.7109375" style="136" customWidth="1"/>
    <col min="41" max="41" width="1.42578125" style="135" customWidth="1"/>
    <col min="42" max="42" width="11.28515625" style="135" bestFit="1" customWidth="1"/>
    <col min="43" max="43" width="1.42578125" style="135" customWidth="1"/>
    <col min="44" max="44" width="19.42578125" style="135" customWidth="1"/>
    <col min="45" max="47" width="1.42578125" style="135" customWidth="1"/>
    <col min="48" max="48" width="19.140625" style="137" customWidth="1"/>
    <col min="49" max="50" width="2.140625" style="137" customWidth="1"/>
    <col min="51" max="51" width="16" style="137" customWidth="1"/>
    <col min="52" max="52" width="9.5703125" style="137" customWidth="1"/>
    <col min="53" max="53" width="8.140625" style="137" customWidth="1"/>
    <col min="54" max="54" width="9.140625" style="135" customWidth="1"/>
    <col min="55" max="55" width="11" style="135" customWidth="1"/>
    <col min="56" max="56" width="7.85546875" style="135" customWidth="1"/>
    <col min="57" max="57" width="10.42578125" style="135" customWidth="1"/>
    <col min="58" max="58" width="7.28515625" style="135" customWidth="1"/>
    <col min="59" max="59" width="8.140625" style="135" customWidth="1"/>
    <col min="60" max="60" width="7" style="135" customWidth="1"/>
    <col min="61" max="61" width="8.140625" style="135" customWidth="1"/>
    <col min="62" max="62" width="7" style="135" customWidth="1"/>
    <col min="63" max="63" width="8.140625" style="135" customWidth="1"/>
    <col min="64" max="64" width="7" style="135" customWidth="1"/>
    <col min="65" max="65" width="8.140625" style="135" customWidth="1"/>
    <col min="66" max="66" width="7" style="135" customWidth="1"/>
    <col min="67" max="67" width="8.140625" style="135" customWidth="1"/>
    <col min="68" max="68" width="7" style="135" customWidth="1"/>
    <col min="69" max="69" width="8.140625" style="135" customWidth="1"/>
    <col min="70" max="70" width="7" style="135" customWidth="1"/>
    <col min="71" max="71" width="8.140625" style="135" customWidth="1"/>
    <col min="72" max="72" width="7" style="135" customWidth="1"/>
    <col min="73" max="73" width="8.140625" style="135" customWidth="1"/>
    <col min="74" max="74" width="7" style="135" customWidth="1"/>
    <col min="75" max="75" width="8.140625" style="135" customWidth="1"/>
    <col min="76" max="76" width="7" style="135" customWidth="1"/>
    <col min="77" max="77" width="8.140625" style="135" customWidth="1"/>
    <col min="78" max="78" width="7.42578125" style="135" customWidth="1"/>
    <col min="79" max="79" width="8.140625" style="135" customWidth="1"/>
    <col min="80" max="80" width="11.42578125" style="135" bestFit="1" customWidth="1"/>
    <col min="81" max="16384" width="9.140625" style="135"/>
  </cols>
  <sheetData>
    <row r="1" spans="1:101" s="201" customFormat="1" ht="20.25" x14ac:dyDescent="0.3">
      <c r="A1" s="202"/>
      <c r="B1" s="349" t="s">
        <v>608</v>
      </c>
      <c r="C1" s="202"/>
      <c r="D1" s="202"/>
      <c r="E1" s="202"/>
      <c r="F1" s="202"/>
      <c r="G1" s="202"/>
      <c r="H1" s="202"/>
      <c r="I1" s="202"/>
      <c r="J1" s="202"/>
      <c r="K1" s="349"/>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V1" s="203"/>
      <c r="AW1" s="203"/>
      <c r="AX1" s="203"/>
      <c r="AY1" s="203"/>
      <c r="AZ1" s="203"/>
      <c r="BA1" s="203"/>
    </row>
    <row r="2" spans="1:101" s="174" customFormat="1" ht="15" customHeight="1" x14ac:dyDescent="0.2">
      <c r="C2" s="174" t="str">
        <f>VLOOKUP(COLUMN(),Columns,2,FALSE)</f>
        <v>c</v>
      </c>
      <c r="H2" s="174" t="str">
        <f>VLOOKUP(COLUMN(),Columns,2,FALSE)</f>
        <v>h</v>
      </c>
      <c r="J2" s="174" t="str">
        <f>VLOOKUP(COLUMN(),Columns,2,FALSE)</f>
        <v>j</v>
      </c>
      <c r="L2" s="174" t="str">
        <f>VLOOKUP(COLUMN(),Columns,2,FALSE)</f>
        <v>l</v>
      </c>
      <c r="N2" s="174" t="str">
        <f>VLOOKUP(COLUMN(),Columns,2,FALSE)</f>
        <v>n</v>
      </c>
      <c r="P2" s="174" t="str">
        <f>VLOOKUP(COLUMN(),Columns,2,FALSE)</f>
        <v>p</v>
      </c>
      <c r="R2" s="174" t="str">
        <f>VLOOKUP(COLUMN(),Columns,2,FALSE)</f>
        <v>r</v>
      </c>
      <c r="T2" s="174" t="str">
        <f>VLOOKUP(COLUMN(),Columns,2,FALSE)</f>
        <v>t</v>
      </c>
      <c r="V2" s="174" t="str">
        <f>VLOOKUP(COLUMN(),Columns,2,FALSE)</f>
        <v>v</v>
      </c>
      <c r="X2" s="174" t="str">
        <f>VLOOKUP(COLUMN(),Columns,2,FALSE)</f>
        <v>x</v>
      </c>
      <c r="Z2" s="174" t="str">
        <f>VLOOKUP(COLUMN(),Columns,2,FALSE)</f>
        <v>z</v>
      </c>
      <c r="AB2" s="174" t="str">
        <f>VLOOKUP(COLUMN(),Columns,2,FALSE)</f>
        <v>ab</v>
      </c>
      <c r="AD2" s="174" t="str">
        <f>VLOOKUP(COLUMN(),Columns,2,FALSE)</f>
        <v>ad</v>
      </c>
      <c r="AF2" s="174" t="str">
        <f>VLOOKUP(COLUMN(),Columns,2,FALSE)</f>
        <v>af</v>
      </c>
      <c r="AH2" s="174" t="str">
        <f>VLOOKUP(COLUMN(),Columns,2,FALSE)</f>
        <v>ah</v>
      </c>
      <c r="AJ2" s="174" t="str">
        <f>VLOOKUP(COLUMN(),Columns,2,FALSE)</f>
        <v>aj</v>
      </c>
      <c r="AL2" s="174" t="str">
        <f>VLOOKUP(COLUMN(),Columns,2,FALSE)</f>
        <v>al</v>
      </c>
      <c r="AN2" s="174" t="str">
        <f>VLOOKUP(COLUMN(),Columns,2,FALSE)</f>
        <v>an</v>
      </c>
      <c r="AP2" s="174" t="str">
        <f>VLOOKUP(COLUMN(),Columns,2,FALSE)</f>
        <v>ap</v>
      </c>
      <c r="AR2" s="174" t="str">
        <f>VLOOKUP(COLUMN(),Columns,2,FALSE)</f>
        <v>ar</v>
      </c>
    </row>
    <row r="3" spans="1:101" s="152" customFormat="1" ht="15" customHeight="1" x14ac:dyDescent="0.2">
      <c r="A3" s="149"/>
      <c r="B3" s="149"/>
      <c r="C3" s="150" t="str">
        <f>IF($AX$10&gt;0,"Check Data Values in Cols. "&amp;$H$2&amp;" to "&amp;$AN$2,"NO BAD DATA")</f>
        <v>NO BAD DATA</v>
      </c>
      <c r="D3" s="149"/>
      <c r="E3" s="149"/>
      <c r="F3" s="149"/>
      <c r="G3" s="149"/>
      <c r="H3" s="286"/>
      <c r="I3" s="149"/>
      <c r="J3" s="286"/>
      <c r="K3" s="149"/>
      <c r="L3" s="149"/>
      <c r="M3" s="149"/>
      <c r="N3" s="149"/>
      <c r="O3" s="149"/>
      <c r="P3" s="149" t="str">
        <f>IF($BD$10&gt;=1,"Bad Data","")</f>
        <v/>
      </c>
      <c r="Q3" s="149"/>
      <c r="R3" s="149" t="str">
        <f>IF($BF$10&gt;=1,"Bad Data","")</f>
        <v/>
      </c>
      <c r="S3" s="149"/>
      <c r="T3" s="149" t="str">
        <f>IF($BF$10&gt;=1,"Bad Data","")</f>
        <v/>
      </c>
      <c r="U3" s="149"/>
      <c r="V3" s="149" t="str">
        <f>IF($BH$10&gt;=1,"Bad Data","")</f>
        <v/>
      </c>
      <c r="W3" s="149"/>
      <c r="X3" s="149" t="str">
        <f>IF($BJ$10&gt;=1,"Bad Data","")</f>
        <v/>
      </c>
      <c r="Y3" s="149"/>
      <c r="Z3" s="149" t="str">
        <f>IF($BL$10&gt;=1,"Bad Data","")</f>
        <v/>
      </c>
      <c r="AA3" s="149"/>
      <c r="AB3" s="149" t="str">
        <f>IF($BN$10&gt;=1,"Bad Data","")</f>
        <v/>
      </c>
      <c r="AC3" s="149"/>
      <c r="AD3" s="149" t="str">
        <f>IF($BP$10&gt;=1,"Bad Data","")</f>
        <v/>
      </c>
      <c r="AE3" s="149"/>
      <c r="AF3" s="149" t="str">
        <f>IF($BR$10&gt;=1,"Bad Data","")</f>
        <v/>
      </c>
      <c r="AG3" s="149"/>
      <c r="AH3" s="149" t="str">
        <f>IF($BT$10&gt;=1,"Bad Data","")</f>
        <v/>
      </c>
      <c r="AI3" s="149"/>
      <c r="AJ3" s="149" t="str">
        <f>IF($BV$10&gt;=1,"Bad Data","")</f>
        <v/>
      </c>
      <c r="AK3" s="149"/>
      <c r="AL3" s="149" t="str">
        <f>IF($BX$10&gt;=1,"Bad Data","")</f>
        <v/>
      </c>
      <c r="AM3" s="149"/>
      <c r="AN3" s="149" t="str">
        <f>IF($BZ$10&gt;=1,"Bad Data","")</f>
        <v/>
      </c>
      <c r="AO3" s="161"/>
      <c r="AP3" s="161"/>
      <c r="AQ3" s="161"/>
      <c r="AR3" s="161"/>
      <c r="AS3" s="161"/>
      <c r="AT3" s="161"/>
      <c r="AU3" s="161"/>
      <c r="CB3" s="153"/>
      <c r="CC3" s="153"/>
      <c r="CD3" s="153"/>
      <c r="CE3" s="153"/>
      <c r="CF3" s="153"/>
      <c r="CG3" s="153"/>
      <c r="CH3" s="153"/>
      <c r="CI3" s="153"/>
      <c r="CJ3" s="153"/>
      <c r="CK3" s="153"/>
      <c r="CL3" s="153"/>
      <c r="CM3" s="153"/>
      <c r="CN3" s="153"/>
      <c r="CO3" s="153"/>
      <c r="CP3" s="153"/>
      <c r="CQ3" s="153"/>
      <c r="CR3" s="153"/>
      <c r="CS3" s="153"/>
      <c r="CT3" s="153"/>
      <c r="CU3" s="153"/>
      <c r="CV3" s="153"/>
    </row>
    <row r="4" spans="1:101" s="152" customFormat="1" ht="15" customHeight="1" x14ac:dyDescent="0.2">
      <c r="A4" s="151"/>
      <c r="B4" s="151"/>
      <c r="C4" s="150" t="str">
        <f>IF($AX$11&gt;0,"Check for Missing Data in Cols. "&amp;$H$2&amp;" to "&amp;$AN$2,"NO MISSING DATA")</f>
        <v>Check for Missing Data in Cols. h to an</v>
      </c>
      <c r="D4" s="151"/>
      <c r="E4" s="151"/>
      <c r="F4" s="151"/>
      <c r="G4" s="151"/>
      <c r="H4" s="286" t="str">
        <f>IF($AZ$11&gt;=1,"Starting Point?","")</f>
        <v/>
      </c>
      <c r="I4" s="151"/>
      <c r="J4" s="286" t="str">
        <f>IF($BA$11&gt;=1,"Ending Point?","")</f>
        <v/>
      </c>
      <c r="K4" s="151"/>
      <c r="L4" s="149" t="str">
        <f>IF($BB$11&gt;=1,"Mode?","")</f>
        <v/>
      </c>
      <c r="M4" s="151"/>
      <c r="N4" s="149" t="str">
        <f>IF($BC$11&gt;=1,"Ownership?","")</f>
        <v/>
      </c>
      <c r="O4" s="151"/>
      <c r="P4" s="149" t="str">
        <f>IF($BE$11&gt;=1,"Direct Rt-Mi?","")</f>
        <v>Direct Rt-Mi?</v>
      </c>
      <c r="Q4" s="151"/>
      <c r="R4" s="149" t="str">
        <f>IF($BG$11&gt;=1,"Trk-Mi?","")</f>
        <v>Trk-Mi?</v>
      </c>
      <c r="S4" s="151"/>
      <c r="T4" s="149" t="str">
        <f>IF($BG$11&gt;=1,"Trk-Mi?","")</f>
        <v>Trk-Mi?</v>
      </c>
      <c r="U4" s="151"/>
      <c r="V4" s="149" t="str">
        <f>IF($BI$11&gt;=1,"Percent Trk-Mi?","")</f>
        <v/>
      </c>
      <c r="W4" s="151"/>
      <c r="X4" s="149" t="str">
        <f>IF($BK$11&gt;=1,"Percent Trk-Mi?","")</f>
        <v/>
      </c>
      <c r="Y4" s="151"/>
      <c r="Z4" s="149" t="str">
        <f>IF($BM$11&gt;=1,"Percent Trk-Mi?","")</f>
        <v/>
      </c>
      <c r="AA4" s="151"/>
      <c r="AB4" s="149" t="str">
        <f>IF($BO$11&gt;=1,"Percent Trk-Mi?","")</f>
        <v/>
      </c>
      <c r="AC4" s="151"/>
      <c r="AD4" s="149" t="str">
        <f>IF($BQ$11&gt;=1,"Percent Trk-Mi?","")</f>
        <v/>
      </c>
      <c r="AE4" s="151"/>
      <c r="AF4" s="149" t="str">
        <f>IF($BS$11&gt;=1,"Percent Trk-Mi?","")</f>
        <v/>
      </c>
      <c r="AG4" s="151"/>
      <c r="AH4" s="149" t="str">
        <f>IF($BU$11&gt;=1,"Percent Trk-Mi?","")</f>
        <v/>
      </c>
      <c r="AI4" s="151"/>
      <c r="AJ4" s="149" t="str">
        <f>IF($BW$11&gt;=1,"Percent Trk-Mi?","")</f>
        <v/>
      </c>
      <c r="AK4" s="151"/>
      <c r="AL4" s="149" t="str">
        <f>IF($BY$11&gt;=1,"Percent Trk-Mi?","")</f>
        <v/>
      </c>
      <c r="AM4" s="151"/>
      <c r="AN4" s="149" t="str">
        <f>IF($CA$11&gt;=1,"Percent Trk-Mi?","")</f>
        <v/>
      </c>
      <c r="AO4" s="161"/>
      <c r="AP4" s="161"/>
      <c r="AQ4" s="161"/>
      <c r="AR4" s="161"/>
      <c r="AS4" s="161"/>
      <c r="AT4" s="161"/>
      <c r="AU4" s="161"/>
      <c r="CC4" s="153"/>
      <c r="CD4" s="153"/>
      <c r="CE4" s="153"/>
      <c r="CF4" s="153"/>
      <c r="CG4" s="153"/>
      <c r="CH4" s="153"/>
      <c r="CI4" s="153"/>
      <c r="CJ4" s="153"/>
      <c r="CK4" s="153"/>
      <c r="CL4" s="153"/>
      <c r="CM4" s="153"/>
      <c r="CN4" s="153"/>
      <c r="CO4" s="153"/>
      <c r="CP4" s="153"/>
      <c r="CQ4" s="153"/>
      <c r="CR4" s="153"/>
      <c r="CS4" s="153"/>
      <c r="CT4" s="153"/>
      <c r="CU4" s="153"/>
      <c r="CV4" s="153"/>
    </row>
    <row r="5" spans="1:101" s="97" customFormat="1" x14ac:dyDescent="0.2">
      <c r="C5" s="98"/>
      <c r="D5" s="98"/>
      <c r="E5" s="98"/>
      <c r="F5" s="98"/>
      <c r="G5" s="98"/>
      <c r="H5" s="98"/>
      <c r="I5" s="98"/>
      <c r="J5" s="98"/>
      <c r="L5" s="140"/>
      <c r="M5" s="140"/>
      <c r="N5" s="140"/>
      <c r="O5" s="140"/>
      <c r="P5" s="140"/>
      <c r="Q5" s="140"/>
      <c r="R5" s="140"/>
      <c r="S5" s="140"/>
      <c r="T5" s="140"/>
      <c r="U5" s="140"/>
      <c r="V5" s="99"/>
      <c r="W5" s="99"/>
      <c r="X5" s="99"/>
      <c r="Y5" s="99"/>
      <c r="Z5" s="99"/>
      <c r="AA5" s="99"/>
      <c r="AB5" s="99"/>
      <c r="AC5" s="99"/>
      <c r="AD5" s="99"/>
      <c r="AE5" s="141"/>
      <c r="AF5" s="99"/>
      <c r="AG5" s="99"/>
      <c r="AH5" s="99"/>
      <c r="AI5" s="99"/>
      <c r="AJ5" s="99"/>
      <c r="AK5" s="99"/>
      <c r="AL5" s="99"/>
      <c r="AM5" s="99"/>
      <c r="AN5" s="99"/>
      <c r="AO5" s="99"/>
      <c r="AP5" s="99"/>
      <c r="AQ5" s="99"/>
      <c r="AR5" s="99"/>
      <c r="AS5" s="99"/>
      <c r="AT5" s="99"/>
      <c r="AU5" s="99"/>
      <c r="AV5" s="175"/>
      <c r="AW5" s="175"/>
      <c r="AX5" s="175"/>
      <c r="AY5" s="246"/>
      <c r="AZ5" s="246"/>
      <c r="BA5" s="246"/>
      <c r="BB5" s="246"/>
      <c r="BC5" s="246"/>
      <c r="BD5" s="242">
        <f>Valid!$N$65</f>
        <v>0</v>
      </c>
      <c r="BE5" s="242">
        <f>Valid!$O$65</f>
        <v>5000</v>
      </c>
      <c r="BF5" s="242">
        <v>0</v>
      </c>
      <c r="BG5" s="242">
        <v>500</v>
      </c>
      <c r="BH5" s="184"/>
      <c r="BI5" s="184"/>
      <c r="BJ5" s="184"/>
      <c r="BK5" s="184"/>
      <c r="BL5" s="184"/>
      <c r="BM5" s="184"/>
      <c r="BN5" s="184"/>
      <c r="BO5" s="184"/>
      <c r="BP5" s="184"/>
      <c r="BQ5" s="184"/>
      <c r="BR5" s="184"/>
      <c r="BS5" s="184"/>
      <c r="BT5" s="184"/>
      <c r="BU5" s="184"/>
      <c r="BV5" s="184"/>
      <c r="BW5" s="184"/>
      <c r="BX5" s="184"/>
      <c r="BY5" s="184"/>
      <c r="BZ5" s="184"/>
      <c r="CA5" s="184"/>
      <c r="CB5" s="220"/>
      <c r="CC5" s="100"/>
      <c r="CD5" s="100"/>
      <c r="CE5" s="100"/>
      <c r="CF5" s="100"/>
      <c r="CG5" s="100"/>
      <c r="CH5" s="100"/>
      <c r="CI5" s="100"/>
      <c r="CJ5" s="100"/>
      <c r="CK5" s="100"/>
      <c r="CL5" s="100"/>
      <c r="CM5" s="100"/>
      <c r="CN5" s="100"/>
      <c r="CO5" s="100"/>
      <c r="CP5" s="100"/>
      <c r="CQ5" s="100"/>
      <c r="CR5" s="100"/>
      <c r="CS5" s="100"/>
      <c r="CT5" s="100"/>
      <c r="CU5" s="100"/>
      <c r="CV5" s="100"/>
    </row>
    <row r="6" spans="1:101" s="97" customFormat="1" x14ac:dyDescent="0.2">
      <c r="C6" s="98"/>
      <c r="D6" s="98"/>
      <c r="E6" s="98"/>
      <c r="F6" s="98"/>
      <c r="G6" s="98"/>
      <c r="H6" s="98"/>
      <c r="I6" s="98"/>
      <c r="J6" s="98"/>
      <c r="L6" s="140"/>
      <c r="M6" s="140"/>
      <c r="N6" s="140"/>
      <c r="O6" s="140"/>
      <c r="P6" s="140"/>
      <c r="Q6" s="140"/>
      <c r="R6" s="140"/>
      <c r="S6" s="140"/>
      <c r="T6" s="140"/>
      <c r="U6" s="140"/>
      <c r="V6" s="99"/>
      <c r="W6" s="99"/>
      <c r="X6" s="99"/>
      <c r="Y6" s="99"/>
      <c r="Z6" s="99"/>
      <c r="AA6" s="99"/>
      <c r="AB6" s="99"/>
      <c r="AC6" s="99"/>
      <c r="AD6" s="99"/>
      <c r="AE6" s="141"/>
      <c r="AF6" s="99"/>
      <c r="AG6" s="99"/>
      <c r="AH6" s="99"/>
      <c r="AI6" s="99"/>
      <c r="AJ6" s="99"/>
      <c r="AK6" s="99"/>
      <c r="AL6" s="99"/>
      <c r="AM6" s="99"/>
      <c r="AN6" s="99"/>
      <c r="AO6" s="99"/>
      <c r="AP6" s="99"/>
      <c r="AQ6" s="99"/>
      <c r="AR6" s="99"/>
      <c r="AS6" s="99"/>
      <c r="AT6" s="99"/>
      <c r="AU6" s="99"/>
      <c r="AV6" s="175"/>
      <c r="AW6" s="175"/>
      <c r="AX6" s="175"/>
      <c r="AY6" s="243" t="s">
        <v>199</v>
      </c>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336"/>
      <c r="BY6" s="336"/>
      <c r="BZ6" s="244"/>
      <c r="CA6" s="245"/>
      <c r="CB6" s="220"/>
      <c r="CC6" s="100"/>
      <c r="CD6" s="100"/>
      <c r="CE6" s="100"/>
      <c r="CF6" s="100"/>
      <c r="CG6" s="100"/>
      <c r="CH6" s="100"/>
      <c r="CI6" s="100"/>
      <c r="CJ6" s="100"/>
      <c r="CK6" s="100"/>
      <c r="CL6" s="100"/>
      <c r="CM6" s="100"/>
      <c r="CN6" s="100"/>
      <c r="CO6" s="100"/>
      <c r="CP6" s="100"/>
      <c r="CQ6" s="100"/>
      <c r="CR6" s="100"/>
      <c r="CS6" s="100"/>
      <c r="CT6" s="100"/>
      <c r="CU6" s="100"/>
      <c r="CV6" s="100"/>
    </row>
    <row r="7" spans="1:101" s="97" customFormat="1" ht="18.75" customHeight="1" x14ac:dyDescent="0.2">
      <c r="C7" s="98"/>
      <c r="D7" s="98"/>
      <c r="E7" s="98"/>
      <c r="F7" s="98"/>
      <c r="G7" s="98"/>
      <c r="H7" s="98"/>
      <c r="I7" s="98"/>
      <c r="J7" s="98"/>
      <c r="L7" s="140"/>
      <c r="M7" s="140"/>
      <c r="N7" s="140"/>
      <c r="O7" s="140"/>
      <c r="P7" s="140"/>
      <c r="Q7" s="140"/>
      <c r="R7" s="140"/>
      <c r="S7" s="140"/>
      <c r="T7" s="140"/>
      <c r="U7" s="140"/>
      <c r="V7" s="99"/>
      <c r="W7" s="99"/>
      <c r="X7" s="99"/>
      <c r="Y7" s="99"/>
      <c r="Z7" s="99"/>
      <c r="AA7" s="99"/>
      <c r="AB7" s="99"/>
      <c r="AC7" s="99"/>
      <c r="AD7" s="99"/>
      <c r="AE7" s="141"/>
      <c r="AF7" s="99"/>
      <c r="AG7" s="99"/>
      <c r="AH7" s="99"/>
      <c r="AI7" s="99"/>
      <c r="AJ7" s="99"/>
      <c r="AK7" s="99"/>
      <c r="AL7" s="99"/>
      <c r="AM7" s="99"/>
      <c r="AN7" s="99"/>
      <c r="AO7" s="99"/>
      <c r="AP7" s="99"/>
      <c r="AQ7" s="99"/>
      <c r="AR7" s="99"/>
      <c r="AS7" s="99"/>
      <c r="AT7" s="99"/>
      <c r="AU7" s="99"/>
      <c r="AV7" s="175"/>
      <c r="AW7" s="175"/>
      <c r="AX7" s="175"/>
      <c r="AY7" s="185" t="s">
        <v>222</v>
      </c>
      <c r="AZ7" s="185" t="s">
        <v>223</v>
      </c>
      <c r="BA7" s="185" t="s">
        <v>224</v>
      </c>
      <c r="BB7" s="185" t="s">
        <v>280</v>
      </c>
      <c r="BC7" s="185" t="s">
        <v>109</v>
      </c>
      <c r="BD7" s="208" t="s">
        <v>295</v>
      </c>
      <c r="BE7" s="185"/>
      <c r="BF7" s="208" t="s">
        <v>294</v>
      </c>
      <c r="BG7" s="185"/>
      <c r="BH7" s="186" t="s">
        <v>225</v>
      </c>
      <c r="BI7" s="187"/>
      <c r="BJ7" s="186" t="s">
        <v>226</v>
      </c>
      <c r="BK7" s="187"/>
      <c r="BL7" s="186" t="s">
        <v>227</v>
      </c>
      <c r="BM7" s="187"/>
      <c r="BN7" s="186" t="s">
        <v>228</v>
      </c>
      <c r="BO7" s="187"/>
      <c r="BP7" s="186" t="s">
        <v>229</v>
      </c>
      <c r="BQ7" s="187"/>
      <c r="BR7" s="186" t="s">
        <v>230</v>
      </c>
      <c r="BS7" s="187"/>
      <c r="BT7" s="186" t="s">
        <v>231</v>
      </c>
      <c r="BU7" s="187"/>
      <c r="BV7" s="186" t="s">
        <v>232</v>
      </c>
      <c r="BW7" s="348"/>
      <c r="BX7" s="186" t="s">
        <v>233</v>
      </c>
      <c r="BY7" s="187"/>
      <c r="BZ7" s="335" t="s">
        <v>234</v>
      </c>
      <c r="CA7" s="187"/>
      <c r="CB7" s="220"/>
      <c r="CC7" s="100"/>
      <c r="CD7" s="100"/>
      <c r="CE7" s="100"/>
      <c r="CF7" s="100"/>
      <c r="CG7" s="100"/>
      <c r="CH7" s="100"/>
      <c r="CI7" s="100"/>
      <c r="CJ7" s="100"/>
      <c r="CK7" s="100"/>
      <c r="CL7" s="100"/>
      <c r="CM7" s="100"/>
      <c r="CN7" s="100"/>
      <c r="CO7" s="100"/>
      <c r="CP7" s="100"/>
      <c r="CQ7" s="100"/>
      <c r="CR7" s="100"/>
      <c r="CS7" s="100"/>
      <c r="CT7" s="100"/>
      <c r="CU7" s="100"/>
      <c r="CV7" s="100"/>
    </row>
    <row r="8" spans="1:101" s="97" customFormat="1" ht="18.75" customHeight="1" x14ac:dyDescent="0.2">
      <c r="C8" s="110"/>
      <c r="D8" s="110"/>
      <c r="E8" s="110"/>
      <c r="F8" s="110"/>
      <c r="G8" s="110"/>
      <c r="H8" s="110"/>
      <c r="I8" s="110"/>
      <c r="J8" s="110"/>
      <c r="L8" s="140"/>
      <c r="M8" s="140"/>
      <c r="N8" s="140"/>
      <c r="O8" s="140"/>
      <c r="P8" s="140"/>
      <c r="Q8" s="140"/>
      <c r="R8" s="140"/>
      <c r="S8" s="140"/>
      <c r="T8" s="140"/>
      <c r="U8" s="140"/>
      <c r="V8" s="2006" t="s">
        <v>534</v>
      </c>
      <c r="W8" s="2007"/>
      <c r="X8" s="2007"/>
      <c r="Y8" s="2007"/>
      <c r="Z8" s="2007"/>
      <c r="AA8" s="2007"/>
      <c r="AB8" s="2007"/>
      <c r="AC8" s="2007"/>
      <c r="AD8" s="2007"/>
      <c r="AE8" s="2007"/>
      <c r="AF8" s="2007"/>
      <c r="AG8" s="2007"/>
      <c r="AH8" s="2007"/>
      <c r="AI8" s="2007"/>
      <c r="AJ8" s="2007"/>
      <c r="AK8" s="2007"/>
      <c r="AL8" s="2007"/>
      <c r="AM8" s="2007"/>
      <c r="AN8" s="2008"/>
      <c r="AO8" s="99"/>
      <c r="AQ8" s="99"/>
      <c r="AR8" s="99"/>
      <c r="AS8" s="99"/>
      <c r="AT8" s="99"/>
      <c r="AU8" s="99"/>
      <c r="AV8" s="175"/>
      <c r="AW8" s="175"/>
      <c r="AX8" s="175"/>
      <c r="AY8" s="260" t="s">
        <v>56</v>
      </c>
      <c r="AZ8" s="260" t="s">
        <v>56</v>
      </c>
      <c r="BA8" s="260" t="s">
        <v>56</v>
      </c>
      <c r="BB8" s="260" t="s">
        <v>56</v>
      </c>
      <c r="BC8" s="261" t="s">
        <v>56</v>
      </c>
      <c r="BD8" s="262" t="s">
        <v>55</v>
      </c>
      <c r="BE8" s="263" t="s">
        <v>56</v>
      </c>
      <c r="BF8" s="262" t="s">
        <v>55</v>
      </c>
      <c r="BG8" s="263" t="s">
        <v>56</v>
      </c>
      <c r="BH8" s="264" t="s">
        <v>55</v>
      </c>
      <c r="BI8" s="262" t="s">
        <v>56</v>
      </c>
      <c r="BJ8" s="261" t="s">
        <v>55</v>
      </c>
      <c r="BK8" s="262" t="s">
        <v>56</v>
      </c>
      <c r="BL8" s="261" t="s">
        <v>55</v>
      </c>
      <c r="BM8" s="262" t="s">
        <v>56</v>
      </c>
      <c r="BN8" s="261" t="s">
        <v>55</v>
      </c>
      <c r="BO8" s="262" t="s">
        <v>56</v>
      </c>
      <c r="BP8" s="261" t="s">
        <v>55</v>
      </c>
      <c r="BQ8" s="262" t="s">
        <v>56</v>
      </c>
      <c r="BR8" s="261" t="s">
        <v>55</v>
      </c>
      <c r="BS8" s="262" t="s">
        <v>56</v>
      </c>
      <c r="BT8" s="261" t="s">
        <v>55</v>
      </c>
      <c r="BU8" s="262" t="s">
        <v>56</v>
      </c>
      <c r="BV8" s="261" t="s">
        <v>55</v>
      </c>
      <c r="BW8" s="262" t="s">
        <v>56</v>
      </c>
      <c r="BX8" s="262" t="s">
        <v>55</v>
      </c>
      <c r="BY8" s="262" t="s">
        <v>56</v>
      </c>
      <c r="BZ8" s="262" t="s">
        <v>55</v>
      </c>
      <c r="CA8" s="262" t="s">
        <v>56</v>
      </c>
      <c r="CB8" s="221"/>
      <c r="CC8" s="100"/>
      <c r="CD8" s="100"/>
      <c r="CE8" s="100"/>
      <c r="CF8" s="100"/>
      <c r="CG8" s="100"/>
      <c r="CH8" s="100"/>
      <c r="CI8" s="100"/>
      <c r="CJ8" s="100"/>
      <c r="CK8" s="100"/>
      <c r="CL8" s="100"/>
      <c r="CM8" s="100"/>
      <c r="CN8" s="100"/>
      <c r="CO8" s="100"/>
      <c r="CP8" s="100"/>
      <c r="CQ8" s="100"/>
      <c r="CR8" s="100"/>
      <c r="CS8" s="100"/>
      <c r="CT8" s="100"/>
      <c r="CU8" s="100"/>
      <c r="CV8" s="100"/>
    </row>
    <row r="9" spans="1:101" s="101" customFormat="1" ht="18.75" customHeight="1" x14ac:dyDescent="0.2">
      <c r="C9" s="111"/>
      <c r="D9" s="111"/>
      <c r="E9" s="111"/>
      <c r="F9" s="111"/>
      <c r="G9" s="111"/>
      <c r="H9" s="111"/>
      <c r="I9" s="111"/>
      <c r="J9" s="111"/>
      <c r="L9" s="112"/>
      <c r="M9" s="112"/>
      <c r="N9" s="113"/>
      <c r="O9" s="115"/>
      <c r="P9" s="115"/>
      <c r="Q9" s="115"/>
      <c r="R9" s="115"/>
      <c r="S9" s="115"/>
      <c r="T9" s="115"/>
      <c r="U9" s="115"/>
      <c r="V9" s="176"/>
      <c r="W9" s="176"/>
      <c r="X9" s="176"/>
      <c r="Y9" s="176"/>
      <c r="Z9" s="176"/>
      <c r="AA9" s="176"/>
      <c r="AB9" s="176"/>
      <c r="AC9" s="372"/>
      <c r="AD9" s="176"/>
      <c r="AE9" s="2009"/>
      <c r="AF9" s="2009"/>
      <c r="AG9" s="2009"/>
      <c r="AH9" s="372"/>
      <c r="AI9" s="372"/>
      <c r="AJ9" s="372"/>
      <c r="AK9" s="372"/>
      <c r="AL9" s="372"/>
      <c r="AM9" s="372"/>
      <c r="AN9" s="372"/>
      <c r="AO9" s="173"/>
      <c r="AQ9" s="173"/>
      <c r="AR9" s="107"/>
      <c r="AS9" s="107"/>
      <c r="AT9" s="107"/>
      <c r="AU9" s="107"/>
      <c r="AV9" s="175"/>
      <c r="AW9" s="175"/>
      <c r="AX9" s="175"/>
      <c r="AY9" s="260" t="s">
        <v>57</v>
      </c>
      <c r="AZ9" s="260" t="s">
        <v>57</v>
      </c>
      <c r="BA9" s="260" t="s">
        <v>57</v>
      </c>
      <c r="BB9" s="260" t="s">
        <v>57</v>
      </c>
      <c r="BC9" s="261" t="s">
        <v>57</v>
      </c>
      <c r="BD9" s="265" t="s">
        <v>57</v>
      </c>
      <c r="BE9" s="266" t="s">
        <v>57</v>
      </c>
      <c r="BF9" s="265" t="s">
        <v>57</v>
      </c>
      <c r="BG9" s="266" t="s">
        <v>57</v>
      </c>
      <c r="BH9" s="264" t="s">
        <v>57</v>
      </c>
      <c r="BI9" s="265" t="s">
        <v>57</v>
      </c>
      <c r="BJ9" s="261" t="s">
        <v>57</v>
      </c>
      <c r="BK9" s="265" t="s">
        <v>57</v>
      </c>
      <c r="BL9" s="261" t="s">
        <v>57</v>
      </c>
      <c r="BM9" s="265" t="s">
        <v>57</v>
      </c>
      <c r="BN9" s="261" t="s">
        <v>57</v>
      </c>
      <c r="BO9" s="265" t="s">
        <v>57</v>
      </c>
      <c r="BP9" s="261" t="s">
        <v>57</v>
      </c>
      <c r="BQ9" s="265" t="s">
        <v>57</v>
      </c>
      <c r="BR9" s="261" t="s">
        <v>57</v>
      </c>
      <c r="BS9" s="265" t="s">
        <v>57</v>
      </c>
      <c r="BT9" s="261" t="s">
        <v>57</v>
      </c>
      <c r="BU9" s="265" t="s">
        <v>57</v>
      </c>
      <c r="BV9" s="261" t="s">
        <v>57</v>
      </c>
      <c r="BW9" s="265" t="s">
        <v>57</v>
      </c>
      <c r="BX9" s="265" t="s">
        <v>57</v>
      </c>
      <c r="BY9" s="265" t="s">
        <v>57</v>
      </c>
      <c r="BZ9" s="265" t="s">
        <v>57</v>
      </c>
      <c r="CA9" s="260" t="s">
        <v>57</v>
      </c>
      <c r="CB9" s="221"/>
      <c r="CC9" s="100"/>
      <c r="CD9" s="100"/>
    </row>
    <row r="10" spans="1:101" s="101" customFormat="1" ht="18.75" customHeight="1" x14ac:dyDescent="0.2">
      <c r="C10" s="111"/>
      <c r="D10" s="111"/>
      <c r="E10" s="111"/>
      <c r="F10" s="111"/>
      <c r="G10" s="111"/>
      <c r="H10" s="89"/>
      <c r="I10" s="89"/>
      <c r="J10" s="89"/>
      <c r="L10" s="2010"/>
      <c r="M10" s="2010"/>
      <c r="N10" s="2010"/>
      <c r="O10" s="2010"/>
      <c r="P10" s="373"/>
      <c r="Q10" s="373"/>
      <c r="R10" s="373"/>
      <c r="S10" s="373"/>
      <c r="T10" s="373"/>
      <c r="U10" s="373"/>
      <c r="V10" s="372" t="s">
        <v>225</v>
      </c>
      <c r="W10" s="176"/>
      <c r="X10" s="372" t="s">
        <v>226</v>
      </c>
      <c r="Y10" s="176"/>
      <c r="Z10" s="372" t="s">
        <v>227</v>
      </c>
      <c r="AA10" s="176"/>
      <c r="AB10" s="372" t="s">
        <v>228</v>
      </c>
      <c r="AC10" s="372"/>
      <c r="AD10" s="372" t="s">
        <v>229</v>
      </c>
      <c r="AE10" s="177"/>
      <c r="AF10" s="372" t="s">
        <v>230</v>
      </c>
      <c r="AG10" s="177"/>
      <c r="AH10" s="372" t="s">
        <v>231</v>
      </c>
      <c r="AI10" s="372"/>
      <c r="AJ10" s="372" t="s">
        <v>232</v>
      </c>
      <c r="AK10" s="372"/>
      <c r="AL10" s="372" t="s">
        <v>233</v>
      </c>
      <c r="AM10" s="372"/>
      <c r="AN10" s="372" t="s">
        <v>234</v>
      </c>
      <c r="AO10" s="114"/>
      <c r="AQ10" s="114"/>
      <c r="AR10" s="87"/>
      <c r="AS10" s="107"/>
      <c r="AT10" s="107"/>
      <c r="AU10" s="107"/>
      <c r="AW10" s="240" t="s">
        <v>301</v>
      </c>
      <c r="AX10" s="240">
        <f>SUM(AY10:CA10)</f>
        <v>0</v>
      </c>
      <c r="AY10" s="194"/>
      <c r="AZ10" s="194"/>
      <c r="BA10" s="194"/>
      <c r="BB10" s="194"/>
      <c r="BC10" s="194"/>
      <c r="BD10" s="195">
        <f>COUNTIF(BD$17:BD$1048576,"TRUE")</f>
        <v>0</v>
      </c>
      <c r="BE10" s="194"/>
      <c r="BF10" s="195">
        <f>COUNTIF(BF$17:BF$1048576,"TRUE")</f>
        <v>0</v>
      </c>
      <c r="BG10" s="194"/>
      <c r="BH10" s="195">
        <f>COUNTIF(BH$17:BH$1048576,"TRUE")</f>
        <v>0</v>
      </c>
      <c r="BI10" s="194"/>
      <c r="BJ10" s="195">
        <f>COUNTIF(BJ$17:BJ$1048576,"TRUE")</f>
        <v>0</v>
      </c>
      <c r="BK10" s="194"/>
      <c r="BL10" s="195">
        <f>COUNTIF(BL$17:BL$1048576,"TRUE")</f>
        <v>0</v>
      </c>
      <c r="BM10" s="194"/>
      <c r="BN10" s="195">
        <f>COUNTIF(BN$17:BN$1048576,"TRUE")</f>
        <v>0</v>
      </c>
      <c r="BO10" s="194"/>
      <c r="BP10" s="195">
        <f>COUNTIF(BP$17:BP$1048576,"TRUE")</f>
        <v>0</v>
      </c>
      <c r="BQ10" s="194"/>
      <c r="BR10" s="195">
        <f>COUNTIF(BR$17:BR$1048576,"TRUE")</f>
        <v>0</v>
      </c>
      <c r="BS10" s="194"/>
      <c r="BT10" s="195">
        <f>COUNTIF(BT$17:BT$1048576,"TRUE")</f>
        <v>0</v>
      </c>
      <c r="BU10" s="194"/>
      <c r="BV10" s="195">
        <f>COUNTIF(BV$17:BV$1048576,"TRUE")</f>
        <v>0</v>
      </c>
      <c r="BW10" s="194"/>
      <c r="BX10" s="195">
        <f>COUNTIF(BX$17:BX$1048576,"TRUE")</f>
        <v>0</v>
      </c>
      <c r="BY10" s="194"/>
      <c r="BZ10" s="197">
        <f>COUNTIF(BZ$17:BZ$1048576,"TRUE")</f>
        <v>0</v>
      </c>
      <c r="CA10" s="194"/>
      <c r="CB10" s="221"/>
      <c r="CC10" s="116"/>
      <c r="CD10" s="116"/>
    </row>
    <row r="11" spans="1:101" s="101" customFormat="1" ht="11.25" customHeight="1" x14ac:dyDescent="0.2">
      <c r="C11" s="117"/>
      <c r="D11" s="117"/>
      <c r="E11" s="117"/>
      <c r="F11" s="117"/>
      <c r="G11" s="117"/>
      <c r="H11" s="118"/>
      <c r="I11" s="118"/>
      <c r="J11" s="118"/>
      <c r="L11" s="119"/>
      <c r="M11" s="120"/>
      <c r="N11" s="119"/>
      <c r="O11" s="120"/>
      <c r="P11" s="120"/>
      <c r="Q11" s="120"/>
      <c r="R11" s="120"/>
      <c r="S11" s="120"/>
      <c r="T11" s="175" t="s">
        <v>605</v>
      </c>
      <c r="U11" s="120"/>
      <c r="V11" s="2003" t="str">
        <f>IF('A-00 ID'!$E$36="","",'A-00 ID'!$E$36)</f>
        <v/>
      </c>
      <c r="W11" s="121"/>
      <c r="X11" s="2003" t="str">
        <f>IF('A-00 ID'!$E$38="","",'A-00 ID'!$E$38)</f>
        <v/>
      </c>
      <c r="Y11" s="121"/>
      <c r="Z11" s="2003" t="str">
        <f>IF('A-00 ID'!$E$40="","",'A-00 ID'!$E$40)</f>
        <v/>
      </c>
      <c r="AA11" s="121"/>
      <c r="AB11" s="2003" t="str">
        <f>IF('A-00 ID'!$E$42="","",'A-00 ID'!$E$42)</f>
        <v/>
      </c>
      <c r="AC11" s="114"/>
      <c r="AD11" s="2003" t="str">
        <f>IF('A-00 ID'!$E$44="","",'A-00 ID'!$E$44)</f>
        <v/>
      </c>
      <c r="AE11" s="122"/>
      <c r="AF11" s="2003" t="str">
        <f>IF('A-00 ID'!$E$46="","",'A-00 ID'!$E$46)</f>
        <v/>
      </c>
      <c r="AG11" s="86"/>
      <c r="AH11" s="2003" t="str">
        <f>IF('A-00 ID'!$E$48="","",'A-00 ID'!$E$48)</f>
        <v/>
      </c>
      <c r="AI11" s="86"/>
      <c r="AJ11" s="2003" t="str">
        <f>IF('A-00 ID'!$E$50="","",'A-00 ID'!$E$50)</f>
        <v/>
      </c>
      <c r="AK11" s="86"/>
      <c r="AL11" s="2003" t="str">
        <f>IF('A-00 ID'!$E$52="","",'A-00 ID'!$E$52)</f>
        <v/>
      </c>
      <c r="AM11" s="86"/>
      <c r="AN11" s="2003" t="str">
        <f>IF('A-00 ID'!$E$54="","",'A-00 ID'!$E$54)</f>
        <v/>
      </c>
      <c r="AO11" s="86"/>
      <c r="AP11" s="204" t="s">
        <v>103</v>
      </c>
      <c r="AQ11" s="86"/>
      <c r="AR11" s="109"/>
      <c r="AS11" s="107"/>
      <c r="AT11" s="107"/>
      <c r="AU11" s="107"/>
      <c r="AW11" s="240" t="s">
        <v>302</v>
      </c>
      <c r="AX11" s="240">
        <f>SUM(AY11:CA11)</f>
        <v>2</v>
      </c>
      <c r="AY11" s="195">
        <f>COUNTIF(AY$17:AY$1048576,"TRUE")</f>
        <v>0</v>
      </c>
      <c r="AZ11" s="195">
        <f>COUNTIF(AZ$17:AZ$1048576,"TRUE")</f>
        <v>0</v>
      </c>
      <c r="BA11" s="195">
        <f>COUNTIF(BA$17:BA$1048576,"TRUE")</f>
        <v>0</v>
      </c>
      <c r="BB11" s="195">
        <f>COUNTIF(BB$17:BB$1048576,"TRUE")</f>
        <v>0</v>
      </c>
      <c r="BC11" s="195">
        <f>COUNTIF(BC$17:BC$1048576,"TRUE")</f>
        <v>0</v>
      </c>
      <c r="BD11" s="194"/>
      <c r="BE11" s="195">
        <f>COUNTIF(BE$17:BE$1048576,"TRUE")</f>
        <v>1</v>
      </c>
      <c r="BF11" s="194"/>
      <c r="BG11" s="195">
        <f>COUNTIF(BG$17:BG$1048576,"TRUE")</f>
        <v>1</v>
      </c>
      <c r="BH11" s="194"/>
      <c r="BI11" s="195">
        <f>COUNTIF(BI$17:BI$1048576,"TRUE")</f>
        <v>0</v>
      </c>
      <c r="BJ11" s="194"/>
      <c r="BK11" s="195">
        <f>COUNTIF(BK$17:BK$1048576,"TRUE")</f>
        <v>0</v>
      </c>
      <c r="BL11" s="194"/>
      <c r="BM11" s="195">
        <f>COUNTIF(BM$17:BM$1048576,"TRUE")</f>
        <v>0</v>
      </c>
      <c r="BN11" s="194"/>
      <c r="BO11" s="195">
        <f>COUNTIF(BO$17:BO$1048576,"TRUE")</f>
        <v>0</v>
      </c>
      <c r="BP11" s="194"/>
      <c r="BQ11" s="195">
        <f>COUNTIF(BQ$17:BQ$1048576,"TRUE")</f>
        <v>0</v>
      </c>
      <c r="BR11" s="194"/>
      <c r="BS11" s="195">
        <f>COUNTIF(BS$17:BS$1048576,"TRUE")</f>
        <v>0</v>
      </c>
      <c r="BT11" s="194"/>
      <c r="BU11" s="195">
        <f>COUNTIF(BU$17:BU$1048576,"TRUE")</f>
        <v>0</v>
      </c>
      <c r="BV11" s="194"/>
      <c r="BW11" s="195">
        <f>COUNTIF(BW$17:BW$1048576,"TRUE")</f>
        <v>0</v>
      </c>
      <c r="BX11" s="194"/>
      <c r="BY11" s="195">
        <f>COUNTIF(BY$17:BY$1048576,"TRUE")</f>
        <v>0</v>
      </c>
      <c r="BZ11" s="196"/>
      <c r="CA11" s="195">
        <f>COUNTIF(CA$17:CA$1048576,"TRUE")</f>
        <v>0</v>
      </c>
      <c r="CB11" s="222"/>
      <c r="CC11" s="123"/>
      <c r="CD11" s="123"/>
    </row>
    <row r="12" spans="1:101" s="101" customFormat="1" ht="11.25" customHeight="1" x14ac:dyDescent="0.2">
      <c r="C12" s="372"/>
      <c r="D12" s="124"/>
      <c r="E12" s="175" t="s">
        <v>197</v>
      </c>
      <c r="F12" s="124"/>
      <c r="G12" s="124"/>
      <c r="H12" s="179"/>
      <c r="I12" s="372"/>
      <c r="J12" s="179"/>
      <c r="L12" s="180"/>
      <c r="M12" s="183"/>
      <c r="N12" s="180"/>
      <c r="O12" s="183"/>
      <c r="P12" s="175" t="s">
        <v>103</v>
      </c>
      <c r="Q12" s="276"/>
      <c r="R12" s="175" t="s">
        <v>546</v>
      </c>
      <c r="S12" s="272"/>
      <c r="T12" s="175" t="s">
        <v>606</v>
      </c>
      <c r="U12" s="272"/>
      <c r="V12" s="2004"/>
      <c r="W12" s="114"/>
      <c r="X12" s="2004"/>
      <c r="Y12" s="114"/>
      <c r="Z12" s="2004"/>
      <c r="AA12" s="114"/>
      <c r="AB12" s="2004"/>
      <c r="AC12" s="114"/>
      <c r="AD12" s="2004"/>
      <c r="AE12" s="125"/>
      <c r="AF12" s="2004"/>
      <c r="AG12" s="86"/>
      <c r="AH12" s="2004"/>
      <c r="AI12" s="86"/>
      <c r="AJ12" s="2004"/>
      <c r="AK12" s="86"/>
      <c r="AL12" s="2004"/>
      <c r="AM12" s="86"/>
      <c r="AN12" s="2004"/>
      <c r="AO12" s="86"/>
      <c r="AP12" s="204" t="s">
        <v>168</v>
      </c>
      <c r="AQ12" s="86"/>
      <c r="AR12" s="87"/>
      <c r="AS12" s="107"/>
      <c r="AT12" s="107"/>
      <c r="AU12" s="107"/>
      <c r="AX12" s="240" t="s">
        <v>305</v>
      </c>
      <c r="AY12" s="256"/>
      <c r="AZ12" s="256"/>
      <c r="BA12" s="256"/>
      <c r="BB12" s="256"/>
      <c r="BC12" s="256"/>
      <c r="BD12" s="254" t="str">
        <f>IF(BD10&gt;=1,BD$14,"")</f>
        <v/>
      </c>
      <c r="BE12" s="256"/>
      <c r="BF12" s="254" t="str">
        <f>IF(BF10&gt;=1,BF$14,"")</f>
        <v/>
      </c>
      <c r="BG12" s="256"/>
      <c r="BH12" s="254" t="str">
        <f>IF(BH10&gt;=1,BH$14,"")</f>
        <v/>
      </c>
      <c r="BI12" s="256"/>
      <c r="BJ12" s="254" t="str">
        <f>IF(BJ10&gt;=1,BJ$14,"")</f>
        <v/>
      </c>
      <c r="BK12" s="256"/>
      <c r="BL12" s="254" t="str">
        <f>IF(BL10&gt;=1,BL$14,"")</f>
        <v/>
      </c>
      <c r="BM12" s="256"/>
      <c r="BN12" s="254" t="str">
        <f>IF(BN10&gt;=1,BN$14,"")</f>
        <v/>
      </c>
      <c r="BO12" s="256"/>
      <c r="BP12" s="254" t="str">
        <f>IF(BP10&gt;=1,BP$14,"")</f>
        <v/>
      </c>
      <c r="BQ12" s="256"/>
      <c r="BR12" s="254" t="str">
        <f>IF(BR10&gt;=1,BR$14,"")</f>
        <v/>
      </c>
      <c r="BS12" s="256"/>
      <c r="BT12" s="254" t="str">
        <f>IF(BT10&gt;=1,BT$14,"")</f>
        <v/>
      </c>
      <c r="BU12" s="256"/>
      <c r="BV12" s="254" t="str">
        <f>IF(BV10&gt;=1,BV$14,"")</f>
        <v/>
      </c>
      <c r="BW12" s="256"/>
      <c r="BX12" s="254" t="str">
        <f>IF(BX10&gt;=1,BX$14,"")</f>
        <v/>
      </c>
      <c r="BY12" s="256"/>
      <c r="BZ12" s="255" t="str">
        <f>IF(BZ10&gt;=1,BZ$14,"")</f>
        <v/>
      </c>
      <c r="CA12" s="256"/>
      <c r="CB12" s="126"/>
      <c r="CC12" s="126"/>
      <c r="CD12" s="126"/>
    </row>
    <row r="13" spans="1:101" s="101" customFormat="1" ht="11.25" customHeight="1" x14ac:dyDescent="0.2">
      <c r="A13" s="224" t="s">
        <v>196</v>
      </c>
      <c r="C13" s="124"/>
      <c r="D13" s="173"/>
      <c r="E13" s="175" t="s">
        <v>484</v>
      </c>
      <c r="F13" s="173"/>
      <c r="G13" s="173"/>
      <c r="H13" s="179"/>
      <c r="I13" s="372"/>
      <c r="J13" s="179"/>
      <c r="L13" s="184"/>
      <c r="M13" s="268"/>
      <c r="N13" s="184"/>
      <c r="O13" s="268"/>
      <c r="P13" s="181" t="s">
        <v>602</v>
      </c>
      <c r="Q13" s="276"/>
      <c r="R13" s="175" t="s">
        <v>603</v>
      </c>
      <c r="S13" s="273"/>
      <c r="T13" s="175" t="s">
        <v>603</v>
      </c>
      <c r="U13" s="273"/>
      <c r="V13" s="2004"/>
      <c r="W13" s="114"/>
      <c r="X13" s="2004"/>
      <c r="Y13" s="114"/>
      <c r="Z13" s="2004"/>
      <c r="AA13" s="114"/>
      <c r="AB13" s="2004"/>
      <c r="AC13" s="114"/>
      <c r="AD13" s="2004"/>
      <c r="AE13" s="127"/>
      <c r="AF13" s="2004"/>
      <c r="AG13" s="109"/>
      <c r="AH13" s="2004"/>
      <c r="AI13" s="109"/>
      <c r="AJ13" s="2004"/>
      <c r="AK13" s="109"/>
      <c r="AL13" s="2004"/>
      <c r="AM13" s="109"/>
      <c r="AN13" s="2004"/>
      <c r="AO13" s="109"/>
      <c r="AP13" s="209" t="s">
        <v>142</v>
      </c>
      <c r="AQ13" s="109"/>
      <c r="AR13" s="109"/>
      <c r="AS13" s="107"/>
      <c r="AT13" s="107"/>
      <c r="AU13" s="107"/>
      <c r="AX13" s="240" t="s">
        <v>306</v>
      </c>
      <c r="AY13" s="254" t="str">
        <f>IF(AY11&gt;=1,AY$14,"")</f>
        <v/>
      </c>
      <c r="AZ13" s="254" t="str">
        <f>IF(AZ11&gt;=1,AZ$14,"")</f>
        <v/>
      </c>
      <c r="BA13" s="254" t="str">
        <f>IF(BA11&gt;=1,BA$14,"")</f>
        <v/>
      </c>
      <c r="BB13" s="254" t="str">
        <f>IF(BB11&gt;=1,BB$14,"")</f>
        <v/>
      </c>
      <c r="BC13" s="254" t="str">
        <f>IF(BC11&gt;=1,BC$14,"")</f>
        <v/>
      </c>
      <c r="BD13" s="256"/>
      <c r="BE13" s="254" t="str">
        <f>IF(BE11&gt;=1,BE$14,"")</f>
        <v>p</v>
      </c>
      <c r="BF13" s="256"/>
      <c r="BG13" s="254" t="str">
        <f>IF(BG11&gt;=1,BG$14,"")</f>
        <v>r</v>
      </c>
      <c r="BH13" s="256"/>
      <c r="BI13" s="254" t="str">
        <f>IF(BI11&gt;=1,BI$14,"")</f>
        <v/>
      </c>
      <c r="BJ13" s="256"/>
      <c r="BK13" s="254" t="str">
        <f>IF(BK11&gt;=1,BK$14,"")</f>
        <v/>
      </c>
      <c r="BL13" s="256"/>
      <c r="BM13" s="254" t="str">
        <f>IF(BM11&gt;=1,BM$14,"")</f>
        <v/>
      </c>
      <c r="BN13" s="256"/>
      <c r="BO13" s="254" t="str">
        <f>IF(BO11&gt;=1,BO$14,"")</f>
        <v/>
      </c>
      <c r="BP13" s="256"/>
      <c r="BQ13" s="254" t="str">
        <f>IF(BQ11&gt;=1,BQ$14,"")</f>
        <v/>
      </c>
      <c r="BR13" s="256"/>
      <c r="BS13" s="254" t="str">
        <f>IF(BS11&gt;=1,BS$14,"")</f>
        <v/>
      </c>
      <c r="BT13" s="256"/>
      <c r="BU13" s="254" t="str">
        <f>IF(BU11&gt;=1,BU$14,"")</f>
        <v/>
      </c>
      <c r="BV13" s="256"/>
      <c r="BW13" s="254" t="str">
        <f>IF(BW11&gt;=1,BW$14,"")</f>
        <v/>
      </c>
      <c r="BX13" s="256"/>
      <c r="BY13" s="254" t="str">
        <f>IF(BY11&gt;=1,BY$14,"")</f>
        <v/>
      </c>
      <c r="BZ13" s="257"/>
      <c r="CA13" s="254" t="str">
        <f>IF(CA11&gt;=1,CA$14,"")</f>
        <v/>
      </c>
      <c r="CB13" s="126"/>
      <c r="CC13" s="126"/>
      <c r="CD13" s="126"/>
    </row>
    <row r="14" spans="1:101" s="101" customFormat="1" ht="11.25" customHeight="1" x14ac:dyDescent="0.2">
      <c r="A14" s="224" t="s">
        <v>607</v>
      </c>
      <c r="B14" s="224"/>
      <c r="C14" s="177" t="s">
        <v>222</v>
      </c>
      <c r="D14" s="179"/>
      <c r="E14" s="175" t="s">
        <v>485</v>
      </c>
      <c r="F14" s="179"/>
      <c r="G14" s="179"/>
      <c r="H14" s="179" t="s">
        <v>412</v>
      </c>
      <c r="I14" s="372"/>
      <c r="J14" s="179" t="s">
        <v>413</v>
      </c>
      <c r="K14" s="224"/>
      <c r="L14" s="182" t="s">
        <v>162</v>
      </c>
      <c r="M14" s="268"/>
      <c r="N14" s="182" t="s">
        <v>109</v>
      </c>
      <c r="O14" s="268"/>
      <c r="P14" s="181" t="s">
        <v>145</v>
      </c>
      <c r="Q14" s="268"/>
      <c r="R14" s="175" t="s">
        <v>604</v>
      </c>
      <c r="S14" s="274"/>
      <c r="T14" s="175" t="s">
        <v>604</v>
      </c>
      <c r="U14" s="274"/>
      <c r="V14" s="2005"/>
      <c r="W14" s="272"/>
      <c r="X14" s="2005"/>
      <c r="Z14" s="2005"/>
      <c r="AB14" s="2005"/>
      <c r="AD14" s="2005"/>
      <c r="AF14" s="2005"/>
      <c r="AH14" s="2005"/>
      <c r="AJ14" s="2005"/>
      <c r="AK14" s="272"/>
      <c r="AL14" s="2005"/>
      <c r="AN14" s="2005"/>
      <c r="AP14" s="209" t="str">
        <f>"in Column "&amp;$R$2</f>
        <v>in Column r</v>
      </c>
      <c r="AR14" s="178" t="s">
        <v>140</v>
      </c>
      <c r="AS14" s="107"/>
      <c r="AT14" s="107"/>
      <c r="AU14" s="107"/>
      <c r="AV14" s="107"/>
      <c r="AW14" s="107"/>
      <c r="AX14" s="107"/>
      <c r="AY14" s="198" t="str">
        <f>C2</f>
        <v>c</v>
      </c>
      <c r="AZ14" s="199" t="str">
        <f>H2</f>
        <v>h</v>
      </c>
      <c r="BA14" s="199" t="str">
        <f>J2</f>
        <v>j</v>
      </c>
      <c r="BB14" s="199" t="str">
        <f>L2</f>
        <v>l</v>
      </c>
      <c r="BC14" s="199" t="str">
        <f>N2</f>
        <v>n</v>
      </c>
      <c r="BD14" s="199" t="str">
        <f>P2</f>
        <v>p</v>
      </c>
      <c r="BE14" s="198" t="str">
        <f>+BD14</f>
        <v>p</v>
      </c>
      <c r="BF14" s="199" t="str">
        <f>R2</f>
        <v>r</v>
      </c>
      <c r="BG14" s="199" t="str">
        <f>+BF14</f>
        <v>r</v>
      </c>
      <c r="BH14" s="199" t="str">
        <f>V2</f>
        <v>v</v>
      </c>
      <c r="BI14" s="198" t="str">
        <f t="shared" ref="BI14:BQ14" si="0">+BH14</f>
        <v>v</v>
      </c>
      <c r="BJ14" s="199" t="str">
        <f>X2</f>
        <v>x</v>
      </c>
      <c r="BK14" s="198" t="str">
        <f t="shared" si="0"/>
        <v>x</v>
      </c>
      <c r="BL14" s="199" t="str">
        <f>Z2</f>
        <v>z</v>
      </c>
      <c r="BM14" s="198" t="str">
        <f t="shared" si="0"/>
        <v>z</v>
      </c>
      <c r="BN14" s="199" t="str">
        <f>AB2</f>
        <v>ab</v>
      </c>
      <c r="BO14" s="198" t="str">
        <f t="shared" si="0"/>
        <v>ab</v>
      </c>
      <c r="BP14" s="199" t="str">
        <f>AD2</f>
        <v>ad</v>
      </c>
      <c r="BQ14" s="198" t="str">
        <f t="shared" si="0"/>
        <v>ad</v>
      </c>
      <c r="BR14" s="199" t="str">
        <f>AF2</f>
        <v>af</v>
      </c>
      <c r="BS14" s="198" t="str">
        <f>+BR14</f>
        <v>af</v>
      </c>
      <c r="BT14" s="199" t="str">
        <f>AH2</f>
        <v>ah</v>
      </c>
      <c r="BU14" s="198" t="str">
        <f>+BT14</f>
        <v>ah</v>
      </c>
      <c r="BV14" s="199" t="str">
        <f>AJ2</f>
        <v>aj</v>
      </c>
      <c r="BW14" s="198" t="str">
        <f>+BV14</f>
        <v>aj</v>
      </c>
      <c r="BX14" s="199" t="str">
        <f>AL2</f>
        <v>al</v>
      </c>
      <c r="BY14" s="198" t="str">
        <f>+BX14</f>
        <v>al</v>
      </c>
      <c r="BZ14" s="200" t="str">
        <f>AN2</f>
        <v>an</v>
      </c>
      <c r="CA14" s="198" t="str">
        <f>+BZ14</f>
        <v>an</v>
      </c>
      <c r="CB14" s="126"/>
      <c r="CC14" s="126"/>
      <c r="CD14" s="126"/>
    </row>
    <row r="15" spans="1:101" s="154" customFormat="1" ht="6" customHeight="1" x14ac:dyDescent="0.2">
      <c r="A15" s="225"/>
      <c r="B15" s="225"/>
      <c r="C15" s="229"/>
      <c r="D15" s="189"/>
      <c r="E15" s="189"/>
      <c r="F15" s="189"/>
      <c r="G15" s="189"/>
      <c r="H15" s="189"/>
      <c r="I15" s="190"/>
      <c r="J15" s="189"/>
      <c r="K15" s="225"/>
      <c r="L15" s="331"/>
      <c r="M15" s="269"/>
      <c r="N15" s="191"/>
      <c r="O15" s="269"/>
      <c r="P15" s="192"/>
      <c r="Q15" s="269"/>
      <c r="R15" s="192"/>
      <c r="S15" s="275"/>
      <c r="T15" s="192"/>
      <c r="U15" s="275"/>
      <c r="V15" s="193"/>
      <c r="W15" s="277"/>
      <c r="X15" s="193"/>
      <c r="Y15" s="277"/>
      <c r="Z15" s="193"/>
      <c r="AA15" s="277"/>
      <c r="AB15" s="193"/>
      <c r="AC15" s="277"/>
      <c r="AD15" s="193"/>
      <c r="AE15" s="277"/>
      <c r="AF15" s="193"/>
      <c r="AG15" s="277"/>
      <c r="AH15" s="193"/>
      <c r="AI15" s="277"/>
      <c r="AJ15" s="193"/>
      <c r="AK15" s="277"/>
      <c r="AL15" s="193"/>
      <c r="AM15" s="277"/>
      <c r="AN15" s="193"/>
      <c r="AO15" s="277"/>
      <c r="AP15" s="128"/>
      <c r="AQ15" s="277"/>
      <c r="AR15" s="233"/>
      <c r="AS15" s="138"/>
      <c r="AT15" s="138"/>
      <c r="AU15" s="138"/>
      <c r="AV15" s="138"/>
      <c r="AW15" s="138"/>
      <c r="AX15" s="138"/>
      <c r="AY15" s="238"/>
      <c r="AZ15" s="239"/>
      <c r="BA15" s="239"/>
      <c r="BB15" s="239"/>
      <c r="BC15" s="239"/>
      <c r="BD15" s="238"/>
      <c r="BE15" s="239"/>
      <c r="BF15" s="239"/>
      <c r="BG15" s="239"/>
      <c r="BH15" s="238"/>
      <c r="BI15" s="239"/>
      <c r="BJ15" s="238"/>
      <c r="BK15" s="239"/>
      <c r="BL15" s="238"/>
      <c r="BM15" s="239"/>
      <c r="BN15" s="238"/>
      <c r="BO15" s="239"/>
      <c r="BP15" s="238"/>
      <c r="BQ15" s="239"/>
      <c r="BR15" s="238"/>
      <c r="BS15" s="239"/>
      <c r="BT15" s="238"/>
      <c r="BU15" s="239"/>
      <c r="BV15" s="238"/>
      <c r="BW15" s="239"/>
      <c r="BX15" s="238"/>
      <c r="BY15" s="239"/>
      <c r="BZ15" s="239"/>
      <c r="CA15" s="239"/>
      <c r="CB15" s="155"/>
      <c r="CC15" s="155"/>
      <c r="CD15" s="155"/>
    </row>
    <row r="16" spans="1:101" s="101" customFormat="1" ht="6" customHeight="1" thickBot="1" x14ac:dyDescent="0.25">
      <c r="A16" s="226"/>
      <c r="B16" s="226"/>
      <c r="C16" s="230"/>
      <c r="D16" s="103"/>
      <c r="E16" s="103"/>
      <c r="F16" s="103"/>
      <c r="G16" s="103"/>
      <c r="H16" s="111"/>
      <c r="I16" s="103"/>
      <c r="J16" s="111"/>
      <c r="K16" s="226"/>
      <c r="L16" s="104"/>
      <c r="M16" s="271"/>
      <c r="N16" s="104"/>
      <c r="O16" s="271"/>
      <c r="P16" s="104"/>
      <c r="Q16" s="271"/>
      <c r="R16" s="104"/>
      <c r="S16" s="271"/>
      <c r="T16" s="104"/>
      <c r="U16" s="271"/>
      <c r="V16" s="103"/>
      <c r="W16" s="270"/>
      <c r="X16" s="103"/>
      <c r="Y16" s="270"/>
      <c r="Z16" s="103"/>
      <c r="AA16" s="270"/>
      <c r="AB16" s="103"/>
      <c r="AC16" s="279"/>
      <c r="AD16" s="106"/>
      <c r="AE16" s="279"/>
      <c r="AF16" s="103"/>
      <c r="AG16" s="270"/>
      <c r="AH16" s="103"/>
      <c r="AI16" s="270"/>
      <c r="AJ16" s="103"/>
      <c r="AK16" s="270"/>
      <c r="AL16" s="103"/>
      <c r="AM16" s="270"/>
      <c r="AN16" s="103"/>
      <c r="AO16" s="270"/>
      <c r="AP16" s="223"/>
      <c r="AQ16" s="270"/>
      <c r="AR16" s="102"/>
      <c r="AS16" s="107"/>
      <c r="AT16" s="107"/>
      <c r="AU16" s="107"/>
      <c r="AV16" s="107"/>
      <c r="AW16" s="107"/>
      <c r="AX16" s="107"/>
      <c r="AY16" s="188"/>
      <c r="AZ16" s="143"/>
      <c r="BA16" s="143"/>
      <c r="BB16" s="143"/>
      <c r="BC16" s="143"/>
      <c r="BD16" s="156"/>
      <c r="BE16" s="172"/>
      <c r="BF16" s="172"/>
      <c r="BG16" s="172"/>
      <c r="BH16" s="188"/>
      <c r="BI16" s="143"/>
      <c r="BJ16" s="188"/>
      <c r="BK16" s="143"/>
      <c r="BL16" s="188"/>
      <c r="BM16" s="143"/>
      <c r="BN16" s="188"/>
      <c r="BO16" s="143"/>
      <c r="BP16" s="188"/>
      <c r="BQ16" s="143"/>
      <c r="BR16" s="188"/>
      <c r="BS16" s="143"/>
      <c r="BT16" s="188"/>
      <c r="BU16" s="143"/>
      <c r="BV16" s="188"/>
      <c r="BW16" s="143"/>
      <c r="BX16" s="188"/>
      <c r="BY16" s="143"/>
      <c r="BZ16" s="143"/>
      <c r="CA16" s="143"/>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29"/>
    </row>
    <row r="17" spans="1:101" s="101" customFormat="1" ht="12.75" customHeight="1" x14ac:dyDescent="0.2">
      <c r="A17" s="227">
        <v>1</v>
      </c>
      <c r="B17" s="227"/>
      <c r="C17" s="231" t="s">
        <v>532</v>
      </c>
      <c r="D17" s="251" t="str">
        <f>IF((C17=""),"Enter Segment "&amp;TEXT(A17,0)&amp;" Name, then Enter Data in Columns "&amp;TEXT($H$2,0)&amp;" - "&amp;TEXT($AN$2,0)&amp;"       ","")</f>
        <v/>
      </c>
      <c r="E17" s="131" t="str">
        <f>IF($AW17="B","N/A",IF(AX17="N","No",IF(AX17="Y","Yes","")))</f>
        <v>No</v>
      </c>
      <c r="F17" s="130"/>
      <c r="G17" s="130"/>
      <c r="H17" s="285" t="s">
        <v>506</v>
      </c>
      <c r="I17" s="251" t="str">
        <f>IF($C17&lt;&gt;"","Enter Starting Point       ","")</f>
        <v xml:space="preserve">Enter Starting Point       </v>
      </c>
      <c r="J17" s="285" t="s">
        <v>507</v>
      </c>
      <c r="K17" s="227"/>
      <c r="L17" s="88" t="s">
        <v>15</v>
      </c>
      <c r="M17" s="251" t="str">
        <f>IF($C17&lt;&gt;"","Select from Pull-Down List  ","")</f>
        <v xml:space="preserve">Select from Pull-Down List  </v>
      </c>
      <c r="N17" s="88" t="s">
        <v>164</v>
      </c>
      <c r="O17" s="251" t="str">
        <f>IF($C17&lt;&gt;"","Select from Pull-Down List  ","")</f>
        <v xml:space="preserve">Select from Pull-Down List  </v>
      </c>
      <c r="P17" s="131"/>
      <c r="Q17" s="251" t="str">
        <f>IF($C17&lt;&gt;"","Lane Miles?    ","")</f>
        <v xml:space="preserve">Lane Miles?    </v>
      </c>
      <c r="R17" s="131"/>
      <c r="S17" s="251" t="str">
        <f>IF($C17&lt;&gt;"","Exclusive ROW?   ","")</f>
        <v xml:space="preserve">Exclusive ROW?   </v>
      </c>
      <c r="T17" s="131"/>
      <c r="U17" s="251" t="str">
        <f>IF($C17&lt;&gt;"","Controlled Access Row?    ","")</f>
        <v xml:space="preserve">Controlled Access Row?    </v>
      </c>
      <c r="V17" s="284"/>
      <c r="W17" s="278" t="str">
        <f>IF(OR($R17="",V$11=""),"","0 - "&amp;TEXT($R17-$AP17,"0.0")&amp;" Trk-Mi?    ")</f>
        <v/>
      </c>
      <c r="X17" s="284"/>
      <c r="Y17" s="278" t="str">
        <f>IF(OR($R17="",X$11=""),"","0 - "&amp;TEXT($R17-$AP17,"0.0")&amp;" Trk-Mi?    ")</f>
        <v/>
      </c>
      <c r="Z17" s="284"/>
      <c r="AA17" s="278" t="str">
        <f>IF(OR($R17="",Z$11=""),"","0 - "&amp;TEXT($R17-$AP17,"0.0")&amp;" Trk-Mi?    ")</f>
        <v/>
      </c>
      <c r="AB17" s="284"/>
      <c r="AC17" s="278" t="str">
        <f>IF(OR($R17="",AB$11=""),"","0 - "&amp;TEXT($R17-$AP17,"0.0")&amp;" Trk-Mi?    ")</f>
        <v/>
      </c>
      <c r="AD17" s="284"/>
      <c r="AE17" s="278" t="str">
        <f>IF(OR($R17="",AD$11=""),"","0 - "&amp;TEXT($R17-$AP17,"0.0")&amp;" Trk-Mi?    ")</f>
        <v/>
      </c>
      <c r="AF17" s="284"/>
      <c r="AG17" s="278" t="str">
        <f>IF(OR($R17="",AF$11=""),"","0 - "&amp;TEXT($R17-$AP17,"0.0")&amp;" Trk-Mi?    ")</f>
        <v/>
      </c>
      <c r="AH17" s="284"/>
      <c r="AI17" s="278" t="str">
        <f>IF(OR($R17="",AH$11=""),"","0 - "&amp;TEXT($R17-$AP17,"0.0")&amp;" Trk-Mi?    ")</f>
        <v/>
      </c>
      <c r="AJ17" s="284"/>
      <c r="AK17" s="278" t="str">
        <f>IF(OR($R17="",AJ$11=""),"","0 - "&amp;TEXT($R17-$AP17,"0.0")&amp;" Trk-Mi?    ")</f>
        <v/>
      </c>
      <c r="AL17" s="284"/>
      <c r="AM17" s="278" t="str">
        <f>IF(OR($R17="",AL$11=""),"","0 - "&amp;TEXT($R17-$AP17,"0.0")&amp;" Trk-Mi?    ")</f>
        <v/>
      </c>
      <c r="AN17" s="284"/>
      <c r="AO17" s="278" t="str">
        <f>IF(OR($R17="",AN$11=""),"","0 - "&amp;TEXT($R17-$AP17,"0.0")&amp;" Trk-Mi?    ")</f>
        <v/>
      </c>
      <c r="AP17" s="282">
        <f>SUM(V17,X17,Z17,AB17,AD17,AF17,AH17,AJ17,AL17,AN17)</f>
        <v>0</v>
      </c>
      <c r="AQ17" s="278"/>
      <c r="AR17" s="234"/>
      <c r="AS17" s="107"/>
      <c r="AT17" s="107"/>
      <c r="AU17" s="107"/>
      <c r="AW17" s="107" t="str">
        <f>IF(AND($C17="",$H17="",$J17="",$L17="",$N17="",$P17="",$R17=""),"B","NB")</f>
        <v>NB</v>
      </c>
      <c r="AX17" s="241" t="str">
        <f>IF(OR($C17="",$H17="",$J17="",$L17="",$N17="",$R17="",$P17="",AND($V$11&lt;&gt;"",$V17=""),AND($X$11&lt;&gt;"",$X17=""),AND($Z$11&lt;&gt;"",$Z17=""),AND($AB$11&lt;&gt;"",$AB17=""),AND($AD$11&lt;&gt;"",$AD17=""),AND($AF$11&lt;&gt;"",$AF17=""),AND($AH$11&lt;&gt;"",$AH17=""),AND($AJ$11&lt;&gt;"",$AJ17=""),AND($AL$11&lt;&gt;"",$AL17=""),AND($AN$11&lt;&gt;"",$AN17="")),"N","Y")</f>
        <v>N</v>
      </c>
      <c r="AY17" s="142" t="b">
        <f>IF(AND($C17="",OR($H17&lt;&gt;"",$J17&lt;&gt;"",$L17&lt;&gt;"",$N17&lt;&gt;"",$R17&lt;&gt;"",$P17&lt;&gt;"",AND($V$11&lt;&gt;"",$V17&lt;&gt;""),AND($X$11&lt;&gt;"",$X17&lt;&gt;""),AND($Z$11&lt;&gt;"",$Z17&lt;&gt;""),AND($AB$11&lt;&gt;"",$AB17&lt;&gt;""),AND($AD$11&lt;&gt;"",$AD17&lt;&gt;""),AND($AF$11&lt;&gt;"",$AF17&lt;&gt;""),AND($AH$11&lt;&gt;"",$AH17&lt;&gt;""),AND($AJ$11&lt;&gt;"",$AJ17&lt;&gt;""),AND($AL$11&lt;&gt;"",$AL17&lt;&gt;""),AND($AN$11&lt;&gt;"",$AN17&lt;&gt;""))),TRUE,FALSE)</f>
        <v>0</v>
      </c>
      <c r="AZ17" s="144" t="b">
        <f>IF(AND($C17&lt;&gt;"",$H17=""),TRUE,FALSE)</f>
        <v>0</v>
      </c>
      <c r="BA17" s="144" t="b">
        <f>IF(AND($C17&lt;&gt;"",$J17=""),TRUE,FALSE)</f>
        <v>0</v>
      </c>
      <c r="BB17" s="144" t="b">
        <f>IF(AND($C17&lt;&gt;"",$L17=""),TRUE,FALSE)</f>
        <v>0</v>
      </c>
      <c r="BC17" s="144" t="b">
        <f>IF(AND($C17&lt;&gt;"",$N17=""),TRUE,FALSE)</f>
        <v>0</v>
      </c>
      <c r="BD17" s="142" t="b">
        <f>IF($BE17=TRUE,FALSE,IF(OR($P17&lt;$BD$5,$P17&gt;$BE$5),TRUE,FALSE))</f>
        <v>0</v>
      </c>
      <c r="BE17" s="144" t="b">
        <f>IF(AND($C17&lt;&gt;"",$P17=""),TRUE,FALSE)</f>
        <v>1</v>
      </c>
      <c r="BF17" s="144" t="b">
        <f>IF($BG17=TRUE,FALSE,IF(OR($R17&lt;$BF$5,$R17&gt;$BG$5),TRUE,FALSE))</f>
        <v>0</v>
      </c>
      <c r="BG17" s="144" t="b">
        <f>IF(AND($C17&lt;&gt;"",$R17=""),TRUE,FALSE)</f>
        <v>1</v>
      </c>
      <c r="BH17" s="160" t="b">
        <f>IF(BI17=TRUE,FALSE,IF(AND(V17&lt;&gt;"",V$11=""),TRUE,IF(AND(V17&lt;&gt;"",V$11&lt;&gt;"",$R17&lt;&gt;$AP17),TRUE,IF(OR(V17&lt;0,V17&gt;$R17),TRUE,FALSE))))</f>
        <v>0</v>
      </c>
      <c r="BI17" s="144" t="b">
        <f>IF(AND($C17&lt;&gt;"",V$11&lt;&gt;"",$V17=""),TRUE,FALSE)</f>
        <v>0</v>
      </c>
      <c r="BJ17" s="160" t="b">
        <f>IF(BK17=TRUE,FALSE,IF(AND(X17&lt;&gt;"",X$11=""),TRUE,IF(AND(X17&lt;&gt;"",X$11&lt;&gt;"",$R17&lt;&gt;$AP17),TRUE,IF(OR(X17&lt;0,X17&gt;$R17),TRUE,FALSE))))</f>
        <v>0</v>
      </c>
      <c r="BK17" s="144" t="b">
        <f>IF(AND($C17&lt;&gt;"",X$11&lt;&gt;"",$X17=""),TRUE,FALSE)</f>
        <v>0</v>
      </c>
      <c r="BL17" s="160" t="b">
        <f>IF(BM17=TRUE,FALSE,IF(AND(Z17&lt;&gt;"",Z$11=""),TRUE,IF(AND(Z17&lt;&gt;"",Z$11&lt;&gt;"",$R17&lt;&gt;$AP17),TRUE,IF(OR(Z17&lt;0,Z17&gt;$R17),TRUE,FALSE))))</f>
        <v>0</v>
      </c>
      <c r="BM17" s="144" t="b">
        <f>IF(AND($C17&lt;&gt;"",Z$11&lt;&gt;"",$Z17=""),TRUE,FALSE)</f>
        <v>0</v>
      </c>
      <c r="BN17" s="160" t="b">
        <f>IF(BO17=TRUE,FALSE,IF(AND(AB17&lt;&gt;"",AB$11=""),TRUE,IF(AND(AB17&lt;&gt;"",AB$11&lt;&gt;"",$R17&lt;&gt;$AP17),TRUE,IF(OR(AB17&lt;0,AB17&gt;$R17),TRUE,FALSE))))</f>
        <v>0</v>
      </c>
      <c r="BO17" s="144" t="b">
        <f>IF(AND($C17&lt;&gt;"",AB$11&lt;&gt;"",$AB17=""),TRUE,FALSE)</f>
        <v>0</v>
      </c>
      <c r="BP17" s="160" t="b">
        <f>IF(BQ17=TRUE,FALSE,IF(AND(AD17&lt;&gt;"",AD$11=""),TRUE,IF(AND(AD17&lt;&gt;"",AD$11&lt;&gt;"",$R17&lt;&gt;$AP17),TRUE,IF(OR(AD17&lt;0,AD17&gt;$R17),TRUE,FALSE))))</f>
        <v>0</v>
      </c>
      <c r="BQ17" s="144" t="b">
        <f>IF(AND($C17&lt;&gt;"",AD$11&lt;&gt;"",$AD17=""),TRUE,FALSE)</f>
        <v>0</v>
      </c>
      <c r="BR17" s="160" t="b">
        <f>IF(BS17=TRUE,FALSE,IF(AND(AF17&lt;&gt;"",AF$11=""),TRUE,IF(AND(AF17&lt;&gt;"",AF$11&lt;&gt;"",$R17&lt;&gt;$AP17),TRUE,IF(OR(AF17&lt;0,AF17&gt;$R17),TRUE,FALSE))))</f>
        <v>0</v>
      </c>
      <c r="BS17" s="144" t="b">
        <f>IF(AND($C17&lt;&gt;"",AF$11&lt;&gt;"",$AF17=""),TRUE,FALSE)</f>
        <v>0</v>
      </c>
      <c r="BT17" s="160" t="b">
        <f>IF(BU17=TRUE,FALSE,IF(AND(AH17&lt;&gt;"",AH$11=""),TRUE,IF(AND(AH17&lt;&gt;"",AH$11&lt;&gt;"",$R17&lt;&gt;$AP17),TRUE,IF(OR(AH17&lt;0,AH17&gt;$R17),TRUE,FALSE))))</f>
        <v>0</v>
      </c>
      <c r="BU17" s="144" t="b">
        <f>IF(AND($C17&lt;&gt;"",AH$11&lt;&gt;"",$AH17=""),TRUE,FALSE)</f>
        <v>0</v>
      </c>
      <c r="BV17" s="160" t="b">
        <f>IF(BW17=TRUE,FALSE,IF(AND(AJ17&lt;&gt;"",AJ$11=""),TRUE,IF(AND(AJ17&lt;&gt;"",AJ$11&lt;&gt;"",$R17&lt;&gt;$AP17),TRUE,IF(OR(AJ17&lt;0,AJ17&gt;$R17),TRUE,FALSE))))</f>
        <v>0</v>
      </c>
      <c r="BW17" s="144" t="b">
        <f>IF(AND($C17&lt;&gt;"",AJ$11&lt;&gt;"",$AJ17=""),TRUE,FALSE)</f>
        <v>0</v>
      </c>
      <c r="BX17" s="160" t="b">
        <f>IF(BY17=TRUE,FALSE,IF(AND(AL17&lt;&gt;"",AL$11=""),TRUE,IF(AND(AL17&lt;&gt;"",AL$11&lt;&gt;"",$R17&lt;&gt;$AP17),TRUE,IF(OR(AL17&lt;0,AL17&gt;$R17),TRUE,FALSE))))</f>
        <v>0</v>
      </c>
      <c r="BY17" s="144" t="b">
        <f>IF(AND($C17&lt;&gt;"",AL$11&lt;&gt;"",$AL17=""),TRUE,FALSE)</f>
        <v>0</v>
      </c>
      <c r="BZ17" s="160" t="b">
        <f>IF(CA17=TRUE,FALSE,IF(AND(AN17&lt;&gt;"",AN$11=""),TRUE,IF(AND(AN17&lt;&gt;"",AN$11&lt;&gt;"",$R17&lt;&gt;$AP17),TRUE,IF(OR(AN17&lt;0,AN17&gt;$R17),TRUE,FALSE))))</f>
        <v>0</v>
      </c>
      <c r="CA17" s="144" t="b">
        <f>IF(AND($C17&lt;&gt;"",AN$11&lt;&gt;"",$AN17=""),TRUE,FALSE)</f>
        <v>0</v>
      </c>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4"/>
    </row>
    <row r="18" spans="1:101" ht="6.75" customHeight="1" thickBot="1" x14ac:dyDescent="0.25">
      <c r="A18" s="228"/>
      <c r="B18" s="228"/>
      <c r="C18" s="232"/>
      <c r="D18" s="251"/>
      <c r="E18" s="130"/>
      <c r="F18" s="130"/>
      <c r="G18" s="130"/>
      <c r="I18" s="251"/>
      <c r="K18" s="228"/>
      <c r="M18" s="251"/>
      <c r="O18" s="251"/>
      <c r="P18" s="130"/>
      <c r="Q18" s="251"/>
      <c r="R18" s="130"/>
      <c r="S18" s="251"/>
      <c r="T18" s="130"/>
      <c r="U18" s="251"/>
      <c r="V18" s="283"/>
      <c r="W18" s="278"/>
      <c r="X18" s="283"/>
      <c r="Y18" s="278"/>
      <c r="Z18" s="283"/>
      <c r="AA18" s="278"/>
      <c r="AB18" s="283"/>
      <c r="AC18" s="278"/>
      <c r="AD18" s="283"/>
      <c r="AE18" s="278"/>
      <c r="AF18" s="283"/>
      <c r="AG18" s="278"/>
      <c r="AH18" s="283"/>
      <c r="AI18" s="278"/>
      <c r="AJ18" s="283"/>
      <c r="AK18" s="278"/>
      <c r="AL18" s="283"/>
      <c r="AM18" s="278"/>
      <c r="AN18" s="283"/>
      <c r="AO18" s="278"/>
      <c r="AP18" s="105"/>
      <c r="AQ18" s="253"/>
      <c r="AR18" s="232"/>
      <c r="AY18" s="145"/>
      <c r="AZ18" s="146"/>
      <c r="BA18" s="146"/>
      <c r="BB18" s="146"/>
      <c r="BC18" s="146"/>
      <c r="BD18" s="145"/>
      <c r="BE18" s="146"/>
      <c r="BF18" s="146"/>
      <c r="BG18" s="146"/>
      <c r="BH18" s="145"/>
      <c r="BI18" s="146"/>
      <c r="BJ18" s="145"/>
      <c r="BK18" s="146"/>
      <c r="BL18" s="145"/>
      <c r="BM18" s="146"/>
      <c r="BN18" s="145"/>
      <c r="BO18" s="146"/>
      <c r="BP18" s="145"/>
      <c r="BQ18" s="146"/>
      <c r="BR18" s="145"/>
      <c r="BS18" s="146"/>
      <c r="BT18" s="145"/>
      <c r="BU18" s="146"/>
      <c r="BV18" s="145"/>
      <c r="BW18" s="146"/>
      <c r="BX18" s="145"/>
      <c r="BY18" s="146"/>
      <c r="BZ18" s="145"/>
      <c r="CA18" s="146"/>
    </row>
    <row r="19" spans="1:101" s="101" customFormat="1" ht="12.75" customHeight="1" x14ac:dyDescent="0.2">
      <c r="A19" s="227">
        <f>A17+1</f>
        <v>2</v>
      </c>
      <c r="B19" s="227"/>
      <c r="C19" s="231"/>
      <c r="D19" s="251" t="str">
        <f>IF((C19=""),"Enter Segment "&amp;TEXT(A19,0)&amp;" Name, then Enter Data in Columns "&amp;TEXT($H$2,0)&amp;" - "&amp;TEXT($AN$2,0)&amp;"       ","")</f>
        <v xml:space="preserve">Enter Segment 2 Name, then Enter Data in Columns h - an       </v>
      </c>
      <c r="E19" s="131" t="str">
        <f>IF($AW19="B","N/A",IF(AX19="N","No",IF(AX19="Y","Yes","")))</f>
        <v>N/A</v>
      </c>
      <c r="F19" s="130"/>
      <c r="G19" s="130"/>
      <c r="H19" s="285"/>
      <c r="I19" s="251" t="str">
        <f>IF($C19&lt;&gt;"","Enter Starting Point       ","")</f>
        <v/>
      </c>
      <c r="J19" s="285"/>
      <c r="K19" s="227"/>
      <c r="L19" s="88"/>
      <c r="M19" s="251" t="str">
        <f>IF($C19&lt;&gt;"","Select from Pull-Down List  ","")</f>
        <v/>
      </c>
      <c r="N19" s="88"/>
      <c r="O19" s="251" t="str">
        <f>IF($C19&lt;&gt;"","Select from Pull-Down List  ","")</f>
        <v/>
      </c>
      <c r="P19" s="131"/>
      <c r="Q19" s="251" t="str">
        <f>IF($C19&lt;&gt;"","Dir. Route-Mi?    ","")</f>
        <v/>
      </c>
      <c r="R19" s="131"/>
      <c r="S19" s="251" t="str">
        <f>IF($C19&lt;&gt;"","Trk-Mi?      ","")</f>
        <v/>
      </c>
      <c r="T19" s="131"/>
      <c r="U19" s="251" t="str">
        <f>IF($C19&lt;&gt;"","Trk-Mi?      ","")</f>
        <v/>
      </c>
      <c r="V19" s="284"/>
      <c r="W19" s="278" t="str">
        <f>IF(OR($R19="",V$11=""),"","0 - "&amp;TEXT($R19-$AP19,"0.0")&amp;" Trk-Mi?    ")</f>
        <v/>
      </c>
      <c r="X19" s="284"/>
      <c r="Y19" s="278" t="str">
        <f>IF(OR($R19="",X$11=""),"","0 - "&amp;TEXT($R19-$AP19,"0.0")&amp;" Trk-Mi?    ")</f>
        <v/>
      </c>
      <c r="Z19" s="284"/>
      <c r="AA19" s="278" t="str">
        <f>IF(OR($R19="",Z$11=""),"","0 - "&amp;TEXT($R19-$AP19,"0.0")&amp;" Trk-Mi?    ")</f>
        <v/>
      </c>
      <c r="AB19" s="284"/>
      <c r="AC19" s="278" t="str">
        <f>IF(OR($R19="",AB$11=""),"","0 - "&amp;TEXT($R19-$AP19,"0.0")&amp;" Trk-Mi?    ")</f>
        <v/>
      </c>
      <c r="AD19" s="284"/>
      <c r="AE19" s="278" t="str">
        <f>IF(OR($R19="",AD$11=""),"","0 - "&amp;TEXT($R19-$AP19,"0.0")&amp;" Trk-Mi?    ")</f>
        <v/>
      </c>
      <c r="AF19" s="284"/>
      <c r="AG19" s="278" t="str">
        <f>IF(OR($R19="",AF$11=""),"","0 - "&amp;TEXT($R19-$AP19,"0.0")&amp;" Trk-Mi?    ")</f>
        <v/>
      </c>
      <c r="AH19" s="284"/>
      <c r="AI19" s="278" t="str">
        <f>IF(OR($R19="",AH$11=""),"","0 - "&amp;TEXT($R19-$AP19,"0.0")&amp;" Trk-Mi?    ")</f>
        <v/>
      </c>
      <c r="AJ19" s="284"/>
      <c r="AK19" s="278" t="str">
        <f>IF(OR($R19="",AJ$11=""),"","0 - "&amp;TEXT($R19-$AP19,"0.0")&amp;" Trk-Mi?    ")</f>
        <v/>
      </c>
      <c r="AL19" s="284"/>
      <c r="AM19" s="278" t="str">
        <f>IF(OR($R19="",AL$11=""),"","0 - "&amp;TEXT($R19-$AP19,"0.0")&amp;" Trk-Mi?    ")</f>
        <v/>
      </c>
      <c r="AN19" s="284"/>
      <c r="AO19" s="278" t="str">
        <f>IF(OR($R19="",AN$11=""),"","0 - "&amp;TEXT($R19-$AP19,"0.0")&amp;" Trk-Mi?    ")</f>
        <v/>
      </c>
      <c r="AP19" s="282">
        <f>SUM(V19,X19,Z19,AB19,AD19,AF19,AH19,AJ19,AL19,AN19)</f>
        <v>0</v>
      </c>
      <c r="AQ19" s="278"/>
      <c r="AR19" s="234"/>
      <c r="AS19" s="107"/>
      <c r="AT19" s="107"/>
      <c r="AU19" s="107"/>
      <c r="AW19" s="107" t="str">
        <f>IF(AND($C19="",$H19="",$J19="",$L19="",$N19="",$P19="",$R19=""),"B","NB")</f>
        <v>B</v>
      </c>
      <c r="AX19" s="241" t="str">
        <f>IF(OR($C19="",$H19="",$J19="",$L19="",$N19="",$R19="",$P19="",AND($V$11&lt;&gt;"",$V19=""),AND($X$11&lt;&gt;"",$X19=""),AND($Z$11&lt;&gt;"",$Z19=""),AND($AB$11&lt;&gt;"",$AB19=""),AND($AD$11&lt;&gt;"",$AD19=""),AND($AF$11&lt;&gt;"",$AF19=""),AND($AH$11&lt;&gt;"",$AH19=""),AND($AJ$11&lt;&gt;"",$AJ19=""),AND($AL$11&lt;&gt;"",$AL19=""),AND($AN$11&lt;&gt;"",$AN19="")),"N","Y")</f>
        <v>N</v>
      </c>
      <c r="AY19" s="142" t="b">
        <f>IF(AND($C19="",OR($H19&lt;&gt;"",$J19&lt;&gt;"",$L19&lt;&gt;"",$N19&lt;&gt;"",$R19&lt;&gt;"",$P19&lt;&gt;"",AND($V$11&lt;&gt;"",$V19&lt;&gt;""),AND($X$11&lt;&gt;"",$X19&lt;&gt;""),AND($Z$11&lt;&gt;"",$Z19&lt;&gt;""),AND($AB$11&lt;&gt;"",$AB19&lt;&gt;""),AND($AD$11&lt;&gt;"",$AD19&lt;&gt;""),AND($AF$11&lt;&gt;"",$AF19&lt;&gt;""),AND($AH$11&lt;&gt;"",$AH19&lt;&gt;""),AND($AJ$11&lt;&gt;"",$AJ19&lt;&gt;""),AND($AL$11&lt;&gt;"",$AL19&lt;&gt;""),AND($AN$11&lt;&gt;"",$AN19&lt;&gt;""))),TRUE,FALSE)</f>
        <v>0</v>
      </c>
      <c r="AZ19" s="144" t="b">
        <f>IF(AND($C19&lt;&gt;"",$H19=""),TRUE,FALSE)</f>
        <v>0</v>
      </c>
      <c r="BA19" s="144" t="b">
        <f>IF(AND($C19&lt;&gt;"",$J19=""),TRUE,FALSE)</f>
        <v>0</v>
      </c>
      <c r="BB19" s="144" t="b">
        <f>IF(AND($C19&lt;&gt;"",$L19=""),TRUE,FALSE)</f>
        <v>0</v>
      </c>
      <c r="BC19" s="144" t="b">
        <f>IF(AND($C19&lt;&gt;"",$N19=""),TRUE,FALSE)</f>
        <v>0</v>
      </c>
      <c r="BD19" s="142" t="b">
        <f>IF($BE19=TRUE,FALSE,IF(OR($P19&lt;$BD$5,$P19&gt;$BE$5),TRUE,FALSE))</f>
        <v>0</v>
      </c>
      <c r="BE19" s="144" t="b">
        <f>IF(AND($C19&lt;&gt;"",$P19=""),TRUE,FALSE)</f>
        <v>0</v>
      </c>
      <c r="BF19" s="144" t="b">
        <f>IF($BG19=TRUE,FALSE,IF(OR($R19&lt;$BF$5,$R19&gt;$BG$5),TRUE,FALSE))</f>
        <v>0</v>
      </c>
      <c r="BG19" s="144" t="b">
        <f>IF(AND($C19&lt;&gt;"",$R19=""),TRUE,FALSE)</f>
        <v>0</v>
      </c>
      <c r="BH19" s="160" t="b">
        <f>IF(BI19=TRUE,FALSE,IF(AND(V19&lt;&gt;"",V$11=""),TRUE,IF(AND(V19&lt;&gt;"",V$11&lt;&gt;"",$R19&lt;&gt;$AP19),TRUE,IF(OR(V19&lt;0,V19&gt;$R19),TRUE,FALSE))))</f>
        <v>0</v>
      </c>
      <c r="BI19" s="144" t="b">
        <f>IF(AND($C19&lt;&gt;"",V$11&lt;&gt;"",$V19=""),TRUE,FALSE)</f>
        <v>0</v>
      </c>
      <c r="BJ19" s="160" t="b">
        <f>IF(BK19=TRUE,FALSE,IF(AND(X19&lt;&gt;"",X$11=""),TRUE,IF(AND(X19&lt;&gt;"",X$11&lt;&gt;"",$R19&lt;&gt;$AP19),TRUE,IF(OR(X19&lt;0,X19&gt;$R19),TRUE,FALSE))))</f>
        <v>0</v>
      </c>
      <c r="BK19" s="144" t="b">
        <f>IF(AND($C19&lt;&gt;"",X$11&lt;&gt;"",$X19=""),TRUE,FALSE)</f>
        <v>0</v>
      </c>
      <c r="BL19" s="160" t="b">
        <f>IF(BM19=TRUE,FALSE,IF(AND(Z19&lt;&gt;"",Z$11=""),TRUE,IF(AND(Z19&lt;&gt;"",Z$11&lt;&gt;"",$R19&lt;&gt;$AP19),TRUE,IF(OR(Z19&lt;0,Z19&gt;$R19),TRUE,FALSE))))</f>
        <v>0</v>
      </c>
      <c r="BM19" s="144" t="b">
        <f>IF(AND($C19&lt;&gt;"",Z$11&lt;&gt;"",$Z19=""),TRUE,FALSE)</f>
        <v>0</v>
      </c>
      <c r="BN19" s="160" t="b">
        <f>IF(BO19=TRUE,FALSE,IF(AND(AB19&lt;&gt;"",AB$11=""),TRUE,IF(AND(AB19&lt;&gt;"",AB$11&lt;&gt;"",$R19&lt;&gt;$AP19),TRUE,IF(OR(AB19&lt;0,AB19&gt;$R19),TRUE,FALSE))))</f>
        <v>0</v>
      </c>
      <c r="BO19" s="144" t="b">
        <f>IF(AND($C19&lt;&gt;"",AB$11&lt;&gt;"",$AB19=""),TRUE,FALSE)</f>
        <v>0</v>
      </c>
      <c r="BP19" s="160" t="b">
        <f>IF(BQ19=TRUE,FALSE,IF(AND(AD19&lt;&gt;"",AD$11=""),TRUE,IF(AND(AD19&lt;&gt;"",AD$11&lt;&gt;"",$R19&lt;&gt;$AP19),TRUE,IF(OR(AD19&lt;0,AD19&gt;$R19),TRUE,FALSE))))</f>
        <v>0</v>
      </c>
      <c r="BQ19" s="144" t="b">
        <f>IF(AND($C19&lt;&gt;"",AD$11&lt;&gt;"",$AD19=""),TRUE,FALSE)</f>
        <v>0</v>
      </c>
      <c r="BR19" s="160" t="b">
        <f>IF(BS19=TRUE,FALSE,IF(AND(AF19&lt;&gt;"",AF$11=""),TRUE,IF(AND(AF19&lt;&gt;"",AF$11&lt;&gt;"",$R19&lt;&gt;$AP19),TRUE,IF(OR(AF19&lt;0,AF19&gt;$R19),TRUE,FALSE))))</f>
        <v>0</v>
      </c>
      <c r="BS19" s="144" t="b">
        <f>IF(AND($C19&lt;&gt;"",AF$11&lt;&gt;"",$AF19=""),TRUE,FALSE)</f>
        <v>0</v>
      </c>
      <c r="BT19" s="160" t="b">
        <f>IF(BU19=TRUE,FALSE,IF(AND(AH19&lt;&gt;"",AH$11=""),TRUE,IF(AND(AH19&lt;&gt;"",AH$11&lt;&gt;"",$R19&lt;&gt;$AP19),TRUE,IF(OR(AH19&lt;0,AH19&gt;$R19),TRUE,FALSE))))</f>
        <v>0</v>
      </c>
      <c r="BU19" s="144" t="b">
        <f>IF(AND($C19&lt;&gt;"",AH$11&lt;&gt;"",$AH19=""),TRUE,FALSE)</f>
        <v>0</v>
      </c>
      <c r="BV19" s="160" t="b">
        <f>IF(BW19=TRUE,FALSE,IF(AND(AJ19&lt;&gt;"",AJ$11=""),TRUE,IF(AND(AJ19&lt;&gt;"",AJ$11&lt;&gt;"",$R19&lt;&gt;$AP19),TRUE,IF(OR(AJ19&lt;0,AJ19&gt;$R19),TRUE,FALSE))))</f>
        <v>0</v>
      </c>
      <c r="BW19" s="144" t="b">
        <f>IF(AND($C19&lt;&gt;"",AJ$11&lt;&gt;"",$AJ19=""),TRUE,FALSE)</f>
        <v>0</v>
      </c>
      <c r="BX19" s="160" t="b">
        <f>IF(BY19=TRUE,FALSE,IF(AND(AL19&lt;&gt;"",AL$11=""),TRUE,IF(AND(AL19&lt;&gt;"",AL$11&lt;&gt;"",$R19&lt;&gt;$AP19),TRUE,IF(OR(AL19&lt;0,AL19&gt;$R19),TRUE,FALSE))))</f>
        <v>0</v>
      </c>
      <c r="BY19" s="144" t="b">
        <f>IF(AND($C19&lt;&gt;"",AL$11&lt;&gt;"",$AL19=""),TRUE,FALSE)</f>
        <v>0</v>
      </c>
      <c r="BZ19" s="160" t="b">
        <f>IF(CA19=TRUE,FALSE,IF(AND(AN19&lt;&gt;"",AN$11=""),TRUE,IF(AND(AN19&lt;&gt;"",AN$11&lt;&gt;"",$R19&lt;&gt;$AP19),TRUE,IF(OR(AN19&lt;0,AN19&gt;$R19),TRUE,FALSE))))</f>
        <v>0</v>
      </c>
      <c r="CA19" s="144" t="b">
        <f>IF(AND($C19&lt;&gt;"",AN$11&lt;&gt;"",$AN19=""),TRUE,FALSE)</f>
        <v>0</v>
      </c>
      <c r="CB19" s="133"/>
      <c r="CC19" s="133"/>
      <c r="CD19" s="133"/>
      <c r="CE19" s="133"/>
      <c r="CF19" s="133"/>
      <c r="CG19" s="133"/>
      <c r="CH19" s="133"/>
      <c r="CI19" s="133"/>
      <c r="CJ19" s="133"/>
      <c r="CK19" s="133"/>
      <c r="CL19" s="133"/>
      <c r="CM19" s="133"/>
      <c r="CN19" s="133"/>
      <c r="CO19" s="133"/>
      <c r="CP19" s="133"/>
      <c r="CQ19" s="133"/>
      <c r="CR19" s="133"/>
      <c r="CS19" s="133"/>
      <c r="CT19" s="133"/>
      <c r="CU19" s="133"/>
      <c r="CV19" s="133"/>
      <c r="CW19" s="134"/>
    </row>
    <row r="20" spans="1:101" ht="6.75" customHeight="1" thickBot="1" x14ac:dyDescent="0.25">
      <c r="A20" s="228"/>
      <c r="B20" s="228"/>
      <c r="C20" s="232"/>
      <c r="D20" s="267"/>
      <c r="I20" s="267"/>
      <c r="K20" s="228"/>
      <c r="M20" s="267"/>
      <c r="O20" s="267"/>
      <c r="Q20" s="267"/>
      <c r="S20" s="267"/>
      <c r="U20" s="267"/>
      <c r="V20" s="283"/>
      <c r="W20" s="267"/>
      <c r="X20" s="283"/>
      <c r="Y20" s="267"/>
      <c r="Z20" s="283"/>
      <c r="AA20" s="267"/>
      <c r="AB20" s="283"/>
      <c r="AC20" s="267"/>
      <c r="AD20" s="283"/>
      <c r="AE20" s="267"/>
      <c r="AF20" s="283"/>
      <c r="AG20" s="267"/>
      <c r="AH20" s="283"/>
      <c r="AI20" s="267"/>
      <c r="AJ20" s="283"/>
      <c r="AK20" s="267"/>
      <c r="AL20" s="283"/>
      <c r="AM20" s="267"/>
      <c r="AN20" s="283"/>
      <c r="AO20" s="267"/>
      <c r="AP20" s="267"/>
      <c r="AQ20" s="267"/>
      <c r="AR20" s="232"/>
      <c r="AY20" s="145"/>
      <c r="AZ20" s="146"/>
      <c r="BA20" s="146"/>
      <c r="BB20" s="146"/>
      <c r="BC20" s="146"/>
      <c r="BD20" s="145"/>
      <c r="BE20" s="146"/>
      <c r="BF20" s="146"/>
      <c r="BG20" s="146"/>
      <c r="BH20" s="145"/>
      <c r="BI20" s="146"/>
      <c r="BJ20" s="145"/>
      <c r="BK20" s="146"/>
      <c r="BL20" s="145"/>
      <c r="BM20" s="146"/>
      <c r="BN20" s="145"/>
      <c r="BO20" s="146"/>
      <c r="BP20" s="145"/>
      <c r="BQ20" s="146"/>
      <c r="BR20" s="145"/>
      <c r="BS20" s="146"/>
      <c r="BT20" s="145"/>
      <c r="BU20" s="146"/>
      <c r="BV20" s="145"/>
      <c r="BW20" s="146"/>
      <c r="BX20" s="145"/>
      <c r="BY20" s="146"/>
      <c r="BZ20" s="145"/>
      <c r="CA20" s="146"/>
    </row>
    <row r="21" spans="1:101" s="101" customFormat="1" ht="12.75" customHeight="1" x14ac:dyDescent="0.2">
      <c r="A21" s="227">
        <f>A19+1</f>
        <v>3</v>
      </c>
      <c r="B21" s="227"/>
      <c r="C21" s="231"/>
      <c r="D21" s="251" t="str">
        <f>IF((C21=""),"Enter Segment "&amp;TEXT(A21,0)&amp;" Name, then Enter Data in Columns "&amp;TEXT($H$2,0)&amp;" - "&amp;TEXT($AN$2,0)&amp;"       ","")</f>
        <v xml:space="preserve">Enter Segment 3 Name, then Enter Data in Columns h - an       </v>
      </c>
      <c r="E21" s="131" t="str">
        <f>IF($AW21="B","N/A",IF(AX21="N","No",IF(AX21="Y","Yes","")))</f>
        <v>N/A</v>
      </c>
      <c r="F21" s="130"/>
      <c r="G21" s="130"/>
      <c r="H21" s="285"/>
      <c r="I21" s="251" t="str">
        <f>IF($C21&lt;&gt;"","Enter Starting Point       ","")</f>
        <v/>
      </c>
      <c r="J21" s="285"/>
      <c r="K21" s="227"/>
      <c r="L21" s="88"/>
      <c r="M21" s="251" t="str">
        <f>IF($C21&lt;&gt;"","Select from Pull-Down List  ","")</f>
        <v/>
      </c>
      <c r="N21" s="88"/>
      <c r="O21" s="251" t="str">
        <f>IF($C21&lt;&gt;"","Select from Pull-Down List  ","")</f>
        <v/>
      </c>
      <c r="P21" s="131"/>
      <c r="Q21" s="251" t="str">
        <f>IF($C21&lt;&gt;"","Dir. Route-Mi?    ","")</f>
        <v/>
      </c>
      <c r="R21" s="131"/>
      <c r="S21" s="251" t="str">
        <f>IF($C21&lt;&gt;"","Trk-Mi?      ","")</f>
        <v/>
      </c>
      <c r="T21" s="131"/>
      <c r="U21" s="251" t="str">
        <f>IF($C21&lt;&gt;"","Trk-Mi?      ","")</f>
        <v/>
      </c>
      <c r="V21" s="284"/>
      <c r="W21" s="278" t="str">
        <f>IF(OR($R21="",V$11=""),"","0 - "&amp;TEXT($R21-$AP21,"0.0")&amp;" Trk-Mi?    ")</f>
        <v/>
      </c>
      <c r="X21" s="284"/>
      <c r="Y21" s="278" t="str">
        <f>IF(OR($R21="",X$11=""),"","0 - "&amp;TEXT($R21-$AP21,"0.0")&amp;" Trk-Mi?    ")</f>
        <v/>
      </c>
      <c r="Z21" s="284"/>
      <c r="AA21" s="278" t="str">
        <f>IF(OR($R21="",Z$11=""),"","0 - "&amp;TEXT($R21-$AP21,"0.0")&amp;" Trk-Mi?    ")</f>
        <v/>
      </c>
      <c r="AB21" s="284"/>
      <c r="AC21" s="278" t="str">
        <f>IF(OR($R21="",AB$11=""),"","0 - "&amp;TEXT($R21-$AP21,"0.0")&amp;" Trk-Mi?    ")</f>
        <v/>
      </c>
      <c r="AD21" s="284"/>
      <c r="AE21" s="278" t="str">
        <f>IF(OR($R21="",AD$11=""),"","0 - "&amp;TEXT($R21-$AP21,"0.0")&amp;" Trk-Mi?    ")</f>
        <v/>
      </c>
      <c r="AF21" s="284"/>
      <c r="AG21" s="278" t="str">
        <f>IF(OR($R21="",AF$11=""),"","0 - "&amp;TEXT($R21-$AP21,"0.0")&amp;" Trk-Mi?    ")</f>
        <v/>
      </c>
      <c r="AH21" s="284"/>
      <c r="AI21" s="278" t="str">
        <f>IF(OR($R21="",AH$11=""),"","0 - "&amp;TEXT($R21-$AP21,"0.0")&amp;" Trk-Mi?    ")</f>
        <v/>
      </c>
      <c r="AJ21" s="284"/>
      <c r="AK21" s="278" t="str">
        <f>IF(OR($R21="",AJ$11=""),"","0 - "&amp;TEXT($R21-$AP21,"0.0")&amp;" Trk-Mi?    ")</f>
        <v/>
      </c>
      <c r="AL21" s="284"/>
      <c r="AM21" s="278" t="str">
        <f>IF(OR($R21="",AL$11=""),"","0 - "&amp;TEXT($R21-$AP21,"0.0")&amp;" Trk-Mi?    ")</f>
        <v/>
      </c>
      <c r="AN21" s="284"/>
      <c r="AO21" s="278" t="str">
        <f>IF(OR($R21="",AN$11=""),"","0 - "&amp;TEXT($R21-$AP21,"0.0")&amp;" Trk-Mi?    ")</f>
        <v/>
      </c>
      <c r="AP21" s="282">
        <f>SUM(V21,X21,Z21,AB21,AD21,AF21,AH21,AJ21,AL21,AN21)</f>
        <v>0</v>
      </c>
      <c r="AQ21" s="278"/>
      <c r="AR21" s="234"/>
      <c r="AS21" s="107"/>
      <c r="AT21" s="107"/>
      <c r="AU21" s="107"/>
      <c r="AW21" s="107" t="str">
        <f>IF(AND($C21="",$H21="",$J21="",$L21="",$N21="",$P21="",$R21=""),"B","NB")</f>
        <v>B</v>
      </c>
      <c r="AX21" s="241" t="str">
        <f>IF(OR($C21="",$H21="",$J21="",$L21="",$N21="",$R21="",$P21="",AND($V$11&lt;&gt;"",$V21=""),AND($X$11&lt;&gt;"",$X21=""),AND($Z$11&lt;&gt;"",$Z21=""),AND($AB$11&lt;&gt;"",$AB21=""),AND($AD$11&lt;&gt;"",$AD21=""),AND($AF$11&lt;&gt;"",$AF21=""),AND($AH$11&lt;&gt;"",$AH21=""),AND($AJ$11&lt;&gt;"",$AJ21=""),AND($AL$11&lt;&gt;"",$AL21=""),AND($AN$11&lt;&gt;"",$AN21="")),"N","Y")</f>
        <v>N</v>
      </c>
      <c r="AY21" s="142" t="b">
        <f>IF(AND($C21="",OR($H21&lt;&gt;"",$J21&lt;&gt;"",$L21&lt;&gt;"",$N21&lt;&gt;"",$R21&lt;&gt;"",$P21&lt;&gt;"",AND($V$11&lt;&gt;"",$V21&lt;&gt;""),AND($X$11&lt;&gt;"",$X21&lt;&gt;""),AND($Z$11&lt;&gt;"",$Z21&lt;&gt;""),AND($AB$11&lt;&gt;"",$AB21&lt;&gt;""),AND($AD$11&lt;&gt;"",$AD21&lt;&gt;""),AND($AF$11&lt;&gt;"",$AF21&lt;&gt;""),AND($AH$11&lt;&gt;"",$AH21&lt;&gt;""),AND($AJ$11&lt;&gt;"",$AJ21&lt;&gt;""),AND($AL$11&lt;&gt;"",$AL21&lt;&gt;""),AND($AN$11&lt;&gt;"",$AN21&lt;&gt;""))),TRUE,FALSE)</f>
        <v>0</v>
      </c>
      <c r="AZ21" s="144" t="b">
        <f>IF(AND($C21&lt;&gt;"",$H21=""),TRUE,FALSE)</f>
        <v>0</v>
      </c>
      <c r="BA21" s="144" t="b">
        <f>IF(AND($C21&lt;&gt;"",$J21=""),TRUE,FALSE)</f>
        <v>0</v>
      </c>
      <c r="BB21" s="144" t="b">
        <f>IF(AND($C21&lt;&gt;"",$L21=""),TRUE,FALSE)</f>
        <v>0</v>
      </c>
      <c r="BC21" s="144" t="b">
        <f>IF(AND($C21&lt;&gt;"",$N21=""),TRUE,FALSE)</f>
        <v>0</v>
      </c>
      <c r="BD21" s="142" t="b">
        <f>IF($BE21=TRUE,FALSE,IF(OR($P21&lt;$BD$5,$P21&gt;$BE$5),TRUE,FALSE))</f>
        <v>0</v>
      </c>
      <c r="BE21" s="144" t="b">
        <f>IF(AND($C21&lt;&gt;"",$P21=""),TRUE,FALSE)</f>
        <v>0</v>
      </c>
      <c r="BF21" s="144" t="b">
        <f>IF($BG21=TRUE,FALSE,IF(OR($R21&lt;$BF$5,$R21&gt;$BG$5),TRUE,FALSE))</f>
        <v>0</v>
      </c>
      <c r="BG21" s="144" t="b">
        <f>IF(AND($C21&lt;&gt;"",$R21=""),TRUE,FALSE)</f>
        <v>0</v>
      </c>
      <c r="BH21" s="160" t="b">
        <f>IF(BI21=TRUE,FALSE,IF(AND(V21&lt;&gt;"",V$11=""),TRUE,IF(AND(V21&lt;&gt;"",V$11&lt;&gt;"",$R21&lt;&gt;$AP21),TRUE,IF(OR(V21&lt;0,V21&gt;$R21),TRUE,FALSE))))</f>
        <v>0</v>
      </c>
      <c r="BI21" s="144" t="b">
        <f>IF(AND($C21&lt;&gt;"",V$11&lt;&gt;"",$V21=""),TRUE,FALSE)</f>
        <v>0</v>
      </c>
      <c r="BJ21" s="160" t="b">
        <f>IF(BK21=TRUE,FALSE,IF(AND(X21&lt;&gt;"",X$11=""),TRUE,IF(AND(X21&lt;&gt;"",X$11&lt;&gt;"",$R21&lt;&gt;$AP21),TRUE,IF(OR(X21&lt;0,X21&gt;$R21),TRUE,FALSE))))</f>
        <v>0</v>
      </c>
      <c r="BK21" s="144" t="b">
        <f>IF(AND($C21&lt;&gt;"",X$11&lt;&gt;"",$X21=""),TRUE,FALSE)</f>
        <v>0</v>
      </c>
      <c r="BL21" s="160" t="b">
        <f>IF(BM21=TRUE,FALSE,IF(AND(Z21&lt;&gt;"",Z$11=""),TRUE,IF(AND(Z21&lt;&gt;"",Z$11&lt;&gt;"",$R21&lt;&gt;$AP21),TRUE,IF(OR(Z21&lt;0,Z21&gt;$R21),TRUE,FALSE))))</f>
        <v>0</v>
      </c>
      <c r="BM21" s="144" t="b">
        <f>IF(AND($C21&lt;&gt;"",Z$11&lt;&gt;"",$Z21=""),TRUE,FALSE)</f>
        <v>0</v>
      </c>
      <c r="BN21" s="160" t="b">
        <f>IF(BO21=TRUE,FALSE,IF(AND(AB21&lt;&gt;"",AB$11=""),TRUE,IF(AND(AB21&lt;&gt;"",AB$11&lt;&gt;"",$R21&lt;&gt;$AP21),TRUE,IF(OR(AB21&lt;0,AB21&gt;$R21),TRUE,FALSE))))</f>
        <v>0</v>
      </c>
      <c r="BO21" s="144" t="b">
        <f>IF(AND($C21&lt;&gt;"",AB$11&lt;&gt;"",$AB21=""),TRUE,FALSE)</f>
        <v>0</v>
      </c>
      <c r="BP21" s="160" t="b">
        <f>IF(BQ21=TRUE,FALSE,IF(AND(AD21&lt;&gt;"",AD$11=""),TRUE,IF(AND(AD21&lt;&gt;"",AD$11&lt;&gt;"",$R21&lt;&gt;$AP21),TRUE,IF(OR(AD21&lt;0,AD21&gt;$R21),TRUE,FALSE))))</f>
        <v>0</v>
      </c>
      <c r="BQ21" s="144" t="b">
        <f>IF(AND($C21&lt;&gt;"",AD$11&lt;&gt;"",$AD21=""),TRUE,FALSE)</f>
        <v>0</v>
      </c>
      <c r="BR21" s="160" t="b">
        <f>IF(BS21=TRUE,FALSE,IF(AND(AF21&lt;&gt;"",AF$11=""),TRUE,IF(AND(AF21&lt;&gt;"",AF$11&lt;&gt;"",$R21&lt;&gt;$AP21),TRUE,IF(OR(AF21&lt;0,AF21&gt;$R21),TRUE,FALSE))))</f>
        <v>0</v>
      </c>
      <c r="BS21" s="144" t="b">
        <f>IF(AND($C21&lt;&gt;"",AF$11&lt;&gt;"",$AF21=""),TRUE,FALSE)</f>
        <v>0</v>
      </c>
      <c r="BT21" s="160" t="b">
        <f>IF(BU21=TRUE,FALSE,IF(AND(AH21&lt;&gt;"",AH$11=""),TRUE,IF(AND(AH21&lt;&gt;"",AH$11&lt;&gt;"",$R21&lt;&gt;$AP21),TRUE,IF(OR(AH21&lt;0,AH21&gt;$R21),TRUE,FALSE))))</f>
        <v>0</v>
      </c>
      <c r="BU21" s="144" t="b">
        <f>IF(AND($C21&lt;&gt;"",AH$11&lt;&gt;"",$AH21=""),TRUE,FALSE)</f>
        <v>0</v>
      </c>
      <c r="BV21" s="160" t="b">
        <f>IF(BW21=TRUE,FALSE,IF(AND(AJ21&lt;&gt;"",AJ$11=""),TRUE,IF(AND(AJ21&lt;&gt;"",AJ$11&lt;&gt;"",$R21&lt;&gt;$AP21),TRUE,IF(OR(AJ21&lt;0,AJ21&gt;$R21),TRUE,FALSE))))</f>
        <v>0</v>
      </c>
      <c r="BW21" s="144" t="b">
        <f>IF(AND($C21&lt;&gt;"",AJ$11&lt;&gt;"",$AJ21=""),TRUE,FALSE)</f>
        <v>0</v>
      </c>
      <c r="BX21" s="160" t="b">
        <f>IF(BY21=TRUE,FALSE,IF(AND(AL21&lt;&gt;"",AL$11=""),TRUE,IF(AND(AL21&lt;&gt;"",AL$11&lt;&gt;"",$R21&lt;&gt;$AP21),TRUE,IF(OR(AL21&lt;0,AL21&gt;$R21),TRUE,FALSE))))</f>
        <v>0</v>
      </c>
      <c r="BY21" s="144" t="b">
        <f>IF(AND($C21&lt;&gt;"",AL$11&lt;&gt;"",$AL21=""),TRUE,FALSE)</f>
        <v>0</v>
      </c>
      <c r="BZ21" s="160" t="b">
        <f>IF(CA21=TRUE,FALSE,IF(AND(AN21&lt;&gt;"",AN$11=""),TRUE,IF(AND(AN21&lt;&gt;"",AN$11&lt;&gt;"",$R21&lt;&gt;$AP21),TRUE,IF(OR(AN21&lt;0,AN21&gt;$R21),TRUE,FALSE))))</f>
        <v>0</v>
      </c>
      <c r="CA21" s="144" t="b">
        <f>IF(AND($C21&lt;&gt;"",AN$11&lt;&gt;"",$AN21=""),TRUE,FALSE)</f>
        <v>0</v>
      </c>
      <c r="CB21" s="133"/>
      <c r="CC21" s="133"/>
      <c r="CD21" s="133"/>
      <c r="CE21" s="133"/>
      <c r="CF21" s="133"/>
      <c r="CG21" s="133"/>
      <c r="CH21" s="133"/>
      <c r="CI21" s="133"/>
      <c r="CJ21" s="133"/>
      <c r="CK21" s="133"/>
      <c r="CL21" s="133"/>
      <c r="CM21" s="133"/>
      <c r="CN21" s="133"/>
      <c r="CO21" s="133"/>
      <c r="CP21" s="133"/>
      <c r="CQ21" s="133"/>
      <c r="CR21" s="133"/>
      <c r="CS21" s="133"/>
      <c r="CT21" s="133"/>
      <c r="CU21" s="133"/>
      <c r="CV21" s="133"/>
      <c r="CW21" s="134"/>
    </row>
    <row r="22" spans="1:101" ht="6.75" customHeight="1" thickBot="1" x14ac:dyDescent="0.25">
      <c r="A22" s="228"/>
      <c r="B22" s="228"/>
      <c r="C22" s="232"/>
      <c r="D22" s="267"/>
      <c r="I22" s="267"/>
      <c r="K22" s="228"/>
      <c r="M22" s="267"/>
      <c r="O22" s="267"/>
      <c r="Q22" s="267"/>
      <c r="S22" s="267"/>
      <c r="U22" s="267"/>
      <c r="V22" s="283"/>
      <c r="W22" s="267"/>
      <c r="X22" s="283"/>
      <c r="Y22" s="267"/>
      <c r="Z22" s="283"/>
      <c r="AA22" s="267"/>
      <c r="AB22" s="283"/>
      <c r="AC22" s="267"/>
      <c r="AD22" s="283"/>
      <c r="AE22" s="267"/>
      <c r="AF22" s="283"/>
      <c r="AG22" s="267"/>
      <c r="AH22" s="283"/>
      <c r="AI22" s="267"/>
      <c r="AJ22" s="283"/>
      <c r="AK22" s="267"/>
      <c r="AL22" s="283"/>
      <c r="AM22" s="267"/>
      <c r="AN22" s="283"/>
      <c r="AO22" s="267"/>
      <c r="AP22" s="280"/>
      <c r="AQ22" s="280"/>
      <c r="AR22" s="235" t="str">
        <f>IF(CJ22&gt;=1,"Bad Data","")</f>
        <v/>
      </c>
      <c r="AY22" s="145"/>
      <c r="AZ22" s="146"/>
      <c r="BA22" s="146"/>
      <c r="BB22" s="146"/>
      <c r="BC22" s="146"/>
      <c r="BD22" s="145"/>
      <c r="BE22" s="146"/>
      <c r="BF22" s="146"/>
      <c r="BG22" s="146"/>
      <c r="BH22" s="145"/>
      <c r="BI22" s="146"/>
      <c r="BJ22" s="145"/>
      <c r="BK22" s="146"/>
      <c r="BL22" s="145"/>
      <c r="BM22" s="146"/>
      <c r="BN22" s="145"/>
      <c r="BO22" s="146"/>
      <c r="BP22" s="145"/>
      <c r="BQ22" s="146"/>
      <c r="BR22" s="145"/>
      <c r="BS22" s="146"/>
      <c r="BT22" s="145"/>
      <c r="BU22" s="146"/>
      <c r="BV22" s="145"/>
      <c r="BW22" s="146"/>
      <c r="BX22" s="145"/>
      <c r="BY22" s="146"/>
      <c r="BZ22" s="145"/>
      <c r="CA22" s="146"/>
    </row>
    <row r="23" spans="1:101" s="101" customFormat="1" ht="12.75" customHeight="1" x14ac:dyDescent="0.2">
      <c r="A23" s="227">
        <f>A21+1</f>
        <v>4</v>
      </c>
      <c r="B23" s="227"/>
      <c r="C23" s="231"/>
      <c r="D23" s="251" t="str">
        <f>IF((C23=""),"Enter Segment "&amp;TEXT(A23,0)&amp;" Name, then Enter Data in Columns "&amp;TEXT($H$2,0)&amp;" - "&amp;TEXT($AN$2,0)&amp;"       ","")</f>
        <v xml:space="preserve">Enter Segment 4 Name, then Enter Data in Columns h - an       </v>
      </c>
      <c r="E23" s="131" t="str">
        <f>IF($AW23="B","N/A",IF(AX23="N","No",IF(AX23="Y","Yes","")))</f>
        <v>N/A</v>
      </c>
      <c r="F23" s="130"/>
      <c r="G23" s="130"/>
      <c r="H23" s="285"/>
      <c r="I23" s="251" t="str">
        <f>IF($C23&lt;&gt;"","Enter Starting Point       ","")</f>
        <v/>
      </c>
      <c r="J23" s="285"/>
      <c r="K23" s="227"/>
      <c r="L23" s="88"/>
      <c r="M23" s="251" t="str">
        <f>IF($C23&lt;&gt;"","Select from Pull-Down List  ","")</f>
        <v/>
      </c>
      <c r="N23" s="88"/>
      <c r="O23" s="251" t="str">
        <f>IF($C23&lt;&gt;"","Select from Pull-Down List  ","")</f>
        <v/>
      </c>
      <c r="P23" s="131"/>
      <c r="Q23" s="251" t="str">
        <f>IF($C23&lt;&gt;"","Dir. Route-Mi?    ","")</f>
        <v/>
      </c>
      <c r="R23" s="131"/>
      <c r="S23" s="251" t="str">
        <f>IF($C23&lt;&gt;"","Trk-Mi?      ","")</f>
        <v/>
      </c>
      <c r="T23" s="131"/>
      <c r="U23" s="251" t="str">
        <f>IF($C23&lt;&gt;"","Trk-Mi?      ","")</f>
        <v/>
      </c>
      <c r="V23" s="284"/>
      <c r="W23" s="278" t="str">
        <f>IF(OR($R23="",V$11=""),"","0 - "&amp;TEXT($R23-$AP23,"0.0")&amp;" Trk-Mi?    ")</f>
        <v/>
      </c>
      <c r="X23" s="284"/>
      <c r="Y23" s="278" t="str">
        <f>IF(OR($R23="",X$11=""),"","0 - "&amp;TEXT($R23-$AP23,"0.0")&amp;" Trk-Mi?    ")</f>
        <v/>
      </c>
      <c r="Z23" s="284"/>
      <c r="AA23" s="278" t="str">
        <f>IF(OR($R23="",Z$11=""),"","0 - "&amp;TEXT($R23-$AP23,"0.0")&amp;" Trk-Mi?    ")</f>
        <v/>
      </c>
      <c r="AB23" s="284"/>
      <c r="AC23" s="278" t="str">
        <f>IF(OR($R23="",AB$11=""),"","0 - "&amp;TEXT($R23-$AP23,"0.0")&amp;" Trk-Mi?    ")</f>
        <v/>
      </c>
      <c r="AD23" s="284"/>
      <c r="AE23" s="278" t="str">
        <f>IF(OR($R23="",AD$11=""),"","0 - "&amp;TEXT($R23-$AP23,"0.0")&amp;" Trk-Mi?    ")</f>
        <v/>
      </c>
      <c r="AF23" s="284"/>
      <c r="AG23" s="278" t="str">
        <f>IF(OR($R23="",AF$11=""),"","0 - "&amp;TEXT($R23-$AP23,"0.0")&amp;" Trk-Mi?    ")</f>
        <v/>
      </c>
      <c r="AH23" s="284"/>
      <c r="AI23" s="278" t="str">
        <f>IF(OR($R23="",AH$11=""),"","0 - "&amp;TEXT($R23-$AP23,"0.0")&amp;" Trk-Mi?    ")</f>
        <v/>
      </c>
      <c r="AJ23" s="284"/>
      <c r="AK23" s="278" t="str">
        <f>IF(OR($R23="",AJ$11=""),"","0 - "&amp;TEXT($R23-$AP23,"0.0")&amp;" Trk-Mi?    ")</f>
        <v/>
      </c>
      <c r="AL23" s="284"/>
      <c r="AM23" s="278" t="str">
        <f>IF(OR($R23="",AL$11=""),"","0 - "&amp;TEXT($R23-$AP23,"0.0")&amp;" Trk-Mi?    ")</f>
        <v/>
      </c>
      <c r="AN23" s="284"/>
      <c r="AO23" s="278" t="str">
        <f>IF(OR($R23="",AN$11=""),"","0 - "&amp;TEXT($R23-$AP23,"0.0")&amp;" Trk-Mi?    ")</f>
        <v/>
      </c>
      <c r="AP23" s="282">
        <f>SUM(V23,X23,Z23,AB23,AD23,AF23,AH23,AJ23,AL23,AN23)</f>
        <v>0</v>
      </c>
      <c r="AQ23" s="278"/>
      <c r="AR23" s="234"/>
      <c r="AS23" s="107"/>
      <c r="AT23" s="107"/>
      <c r="AU23" s="107"/>
      <c r="AW23" s="107" t="str">
        <f>IF(AND($C23="",$H23="",$J23="",$L23="",$N23="",$P23="",$R23=""),"B","NB")</f>
        <v>B</v>
      </c>
      <c r="AX23" s="241" t="str">
        <f>IF(OR($C23="",$H23="",$J23="",$L23="",$N23="",$R23="",$P23="",AND($V$11&lt;&gt;"",$V23=""),AND($X$11&lt;&gt;"",$X23=""),AND($Z$11&lt;&gt;"",$Z23=""),AND($AB$11&lt;&gt;"",$AB23=""),AND($AD$11&lt;&gt;"",$AD23=""),AND($AF$11&lt;&gt;"",$AF23=""),AND($AH$11&lt;&gt;"",$AH23=""),AND($AJ$11&lt;&gt;"",$AJ23=""),AND($AL$11&lt;&gt;"",$AL23=""),AND($AN$11&lt;&gt;"",$AN23="")),"N","Y")</f>
        <v>N</v>
      </c>
      <c r="AY23" s="142" t="b">
        <f>IF(AND($C23="",OR($H23&lt;&gt;"",$J23&lt;&gt;"",$L23&lt;&gt;"",$N23&lt;&gt;"",$R23&lt;&gt;"",$P23&lt;&gt;"",AND($V$11&lt;&gt;"",$V23&lt;&gt;""),AND($X$11&lt;&gt;"",$X23&lt;&gt;""),AND($Z$11&lt;&gt;"",$Z23&lt;&gt;""),AND($AB$11&lt;&gt;"",$AB23&lt;&gt;""),AND($AD$11&lt;&gt;"",$AD23&lt;&gt;""),AND($AF$11&lt;&gt;"",$AF23&lt;&gt;""),AND($AH$11&lt;&gt;"",$AH23&lt;&gt;""),AND($AJ$11&lt;&gt;"",$AJ23&lt;&gt;""),AND($AL$11&lt;&gt;"",$AL23&lt;&gt;""),AND($AN$11&lt;&gt;"",$AN23&lt;&gt;""))),TRUE,FALSE)</f>
        <v>0</v>
      </c>
      <c r="AZ23" s="144" t="b">
        <f>IF(AND($C23&lt;&gt;"",$H23=""),TRUE,FALSE)</f>
        <v>0</v>
      </c>
      <c r="BA23" s="144" t="b">
        <f>IF(AND($C23&lt;&gt;"",$J23=""),TRUE,FALSE)</f>
        <v>0</v>
      </c>
      <c r="BB23" s="144" t="b">
        <f>IF(AND($C23&lt;&gt;"",$L23=""),TRUE,FALSE)</f>
        <v>0</v>
      </c>
      <c r="BC23" s="144" t="b">
        <f>IF(AND($C23&lt;&gt;"",$N23=""),TRUE,FALSE)</f>
        <v>0</v>
      </c>
      <c r="BD23" s="142" t="b">
        <f>IF($BE23=TRUE,FALSE,IF(OR($P23&lt;$BD$5,$P23&gt;$BE$5),TRUE,FALSE))</f>
        <v>0</v>
      </c>
      <c r="BE23" s="144" t="b">
        <f>IF(AND($C23&lt;&gt;"",$P23=""),TRUE,FALSE)</f>
        <v>0</v>
      </c>
      <c r="BF23" s="144" t="b">
        <f>IF($BG23=TRUE,FALSE,IF(OR($R23&lt;$BF$5,$R23&gt;$BG$5),TRUE,FALSE))</f>
        <v>0</v>
      </c>
      <c r="BG23" s="144" t="b">
        <f>IF(AND($C23&lt;&gt;"",$R23=""),TRUE,FALSE)</f>
        <v>0</v>
      </c>
      <c r="BH23" s="160" t="b">
        <f>IF(BI23=TRUE,FALSE,IF(AND(V23&lt;&gt;"",V$11=""),TRUE,IF(AND(V23&lt;&gt;"",V$11&lt;&gt;"",$R23&lt;&gt;$AP23),TRUE,IF(OR(V23&lt;0,V23&gt;$R23),TRUE,FALSE))))</f>
        <v>0</v>
      </c>
      <c r="BI23" s="144" t="b">
        <f>IF(AND($C23&lt;&gt;"",V$11&lt;&gt;"",$V23=""),TRUE,FALSE)</f>
        <v>0</v>
      </c>
      <c r="BJ23" s="160" t="b">
        <f>IF(BK23=TRUE,FALSE,IF(AND(X23&lt;&gt;"",X$11=""),TRUE,IF(AND(X23&lt;&gt;"",X$11&lt;&gt;"",$R23&lt;&gt;$AP23),TRUE,IF(OR(X23&lt;0,X23&gt;$R23),TRUE,FALSE))))</f>
        <v>0</v>
      </c>
      <c r="BK23" s="144" t="b">
        <f>IF(AND($C23&lt;&gt;"",X$11&lt;&gt;"",$X23=""),TRUE,FALSE)</f>
        <v>0</v>
      </c>
      <c r="BL23" s="160" t="b">
        <f>IF(BM23=TRUE,FALSE,IF(AND(Z23&lt;&gt;"",Z$11=""),TRUE,IF(AND(Z23&lt;&gt;"",Z$11&lt;&gt;"",$R23&lt;&gt;$AP23),TRUE,IF(OR(Z23&lt;0,Z23&gt;$R23),TRUE,FALSE))))</f>
        <v>0</v>
      </c>
      <c r="BM23" s="144" t="b">
        <f>IF(AND($C23&lt;&gt;"",Z$11&lt;&gt;"",$Z23=""),TRUE,FALSE)</f>
        <v>0</v>
      </c>
      <c r="BN23" s="160" t="b">
        <f>IF(BO23=TRUE,FALSE,IF(AND(AB23&lt;&gt;"",AB$11=""),TRUE,IF(AND(AB23&lt;&gt;"",AB$11&lt;&gt;"",$R23&lt;&gt;$AP23),TRUE,IF(OR(AB23&lt;0,AB23&gt;$R23),TRUE,FALSE))))</f>
        <v>0</v>
      </c>
      <c r="BO23" s="144" t="b">
        <f>IF(AND($C23&lt;&gt;"",AB$11&lt;&gt;"",$AB23=""),TRUE,FALSE)</f>
        <v>0</v>
      </c>
      <c r="BP23" s="160" t="b">
        <f>IF(BQ23=TRUE,FALSE,IF(AND(AD23&lt;&gt;"",AD$11=""),TRUE,IF(AND(AD23&lt;&gt;"",AD$11&lt;&gt;"",$R23&lt;&gt;$AP23),TRUE,IF(OR(AD23&lt;0,AD23&gt;$R23),TRUE,FALSE))))</f>
        <v>0</v>
      </c>
      <c r="BQ23" s="144" t="b">
        <f>IF(AND($C23&lt;&gt;"",AD$11&lt;&gt;"",$AD23=""),TRUE,FALSE)</f>
        <v>0</v>
      </c>
      <c r="BR23" s="160" t="b">
        <f>IF(BS23=TRUE,FALSE,IF(AND(AF23&lt;&gt;"",AF$11=""),TRUE,IF(AND(AF23&lt;&gt;"",AF$11&lt;&gt;"",$R23&lt;&gt;$AP23),TRUE,IF(OR(AF23&lt;0,AF23&gt;$R23),TRUE,FALSE))))</f>
        <v>0</v>
      </c>
      <c r="BS23" s="144" t="b">
        <f>IF(AND($C23&lt;&gt;"",AF$11&lt;&gt;"",$AF23=""),TRUE,FALSE)</f>
        <v>0</v>
      </c>
      <c r="BT23" s="160" t="b">
        <f>IF(BU23=TRUE,FALSE,IF(AND(AH23&lt;&gt;"",AH$11=""),TRUE,IF(AND(AH23&lt;&gt;"",AH$11&lt;&gt;"",$R23&lt;&gt;$AP23),TRUE,IF(OR(AH23&lt;0,AH23&gt;$R23),TRUE,FALSE))))</f>
        <v>0</v>
      </c>
      <c r="BU23" s="144" t="b">
        <f>IF(AND($C23&lt;&gt;"",AH$11&lt;&gt;"",$AH23=""),TRUE,FALSE)</f>
        <v>0</v>
      </c>
      <c r="BV23" s="160" t="b">
        <f>IF(BW23=TRUE,FALSE,IF(AND(AJ23&lt;&gt;"",AJ$11=""),TRUE,IF(AND(AJ23&lt;&gt;"",AJ$11&lt;&gt;"",$R23&lt;&gt;$AP23),TRUE,IF(OR(AJ23&lt;0,AJ23&gt;$R23),TRUE,FALSE))))</f>
        <v>0</v>
      </c>
      <c r="BW23" s="144" t="b">
        <f>IF(AND($C23&lt;&gt;"",AJ$11&lt;&gt;"",$AJ23=""),TRUE,FALSE)</f>
        <v>0</v>
      </c>
      <c r="BX23" s="160" t="b">
        <f>IF(BY23=TRUE,FALSE,IF(AND(AL23&lt;&gt;"",AL$11=""),TRUE,IF(AND(AL23&lt;&gt;"",AL$11&lt;&gt;"",$R23&lt;&gt;$AP23),TRUE,IF(OR(AL23&lt;0,AL23&gt;$R23),TRUE,FALSE))))</f>
        <v>0</v>
      </c>
      <c r="BY23" s="144" t="b">
        <f>IF(AND($C23&lt;&gt;"",AL$11&lt;&gt;"",$AL23=""),TRUE,FALSE)</f>
        <v>0</v>
      </c>
      <c r="BZ23" s="160" t="b">
        <f>IF(CA23=TRUE,FALSE,IF(AND(AN23&lt;&gt;"",AN$11=""),TRUE,IF(AND(AN23&lt;&gt;"",AN$11&lt;&gt;"",$R23&lt;&gt;$AP23),TRUE,IF(OR(AN23&lt;0,AN23&gt;$R23),TRUE,FALSE))))</f>
        <v>0</v>
      </c>
      <c r="CA23" s="144" t="b">
        <f>IF(AND($C23&lt;&gt;"",AN$11&lt;&gt;"",$AN23=""),TRUE,FALSE)</f>
        <v>0</v>
      </c>
      <c r="CB23" s="133"/>
      <c r="CC23" s="133"/>
      <c r="CD23" s="133"/>
      <c r="CE23" s="133"/>
      <c r="CF23" s="133"/>
      <c r="CG23" s="133"/>
      <c r="CH23" s="133"/>
      <c r="CI23" s="133"/>
      <c r="CJ23" s="133"/>
      <c r="CK23" s="133"/>
      <c r="CL23" s="133"/>
      <c r="CM23" s="133"/>
      <c r="CN23" s="133"/>
      <c r="CO23" s="133"/>
      <c r="CP23" s="133"/>
      <c r="CQ23" s="133"/>
      <c r="CR23" s="133"/>
      <c r="CS23" s="133"/>
      <c r="CT23" s="133"/>
      <c r="CU23" s="133"/>
      <c r="CV23" s="133"/>
      <c r="CW23" s="134"/>
    </row>
    <row r="24" spans="1:101" ht="6.75" customHeight="1" thickBot="1" x14ac:dyDescent="0.25">
      <c r="A24" s="228"/>
      <c r="B24" s="228"/>
      <c r="C24" s="232"/>
      <c r="D24" s="267"/>
      <c r="I24" s="267"/>
      <c r="K24" s="228"/>
      <c r="M24" s="267"/>
      <c r="O24" s="267"/>
      <c r="Q24" s="267"/>
      <c r="S24" s="267"/>
      <c r="U24" s="267"/>
      <c r="V24" s="283"/>
      <c r="W24" s="267"/>
      <c r="X24" s="283"/>
      <c r="Y24" s="267"/>
      <c r="Z24" s="283"/>
      <c r="AA24" s="267"/>
      <c r="AB24" s="283"/>
      <c r="AC24" s="267"/>
      <c r="AD24" s="283"/>
      <c r="AE24" s="267"/>
      <c r="AF24" s="283"/>
      <c r="AG24" s="267"/>
      <c r="AH24" s="283"/>
      <c r="AI24" s="267"/>
      <c r="AJ24" s="283"/>
      <c r="AK24" s="267"/>
      <c r="AL24" s="283"/>
      <c r="AM24" s="267"/>
      <c r="AN24" s="283"/>
      <c r="AO24" s="267"/>
      <c r="AP24" s="267"/>
      <c r="AQ24" s="267"/>
      <c r="AR24" s="236"/>
      <c r="AY24" s="145"/>
      <c r="AZ24" s="146"/>
      <c r="BA24" s="146"/>
      <c r="BB24" s="146"/>
      <c r="BC24" s="146"/>
      <c r="BD24" s="145"/>
      <c r="BE24" s="146"/>
      <c r="BF24" s="146"/>
      <c r="BG24" s="146"/>
      <c r="BH24" s="145"/>
      <c r="BI24" s="146"/>
      <c r="BJ24" s="145"/>
      <c r="BK24" s="146"/>
      <c r="BL24" s="145"/>
      <c r="BM24" s="146"/>
      <c r="BN24" s="145"/>
      <c r="BO24" s="146"/>
      <c r="BP24" s="145"/>
      <c r="BQ24" s="146"/>
      <c r="BR24" s="145"/>
      <c r="BS24" s="146"/>
      <c r="BT24" s="145"/>
      <c r="BU24" s="146"/>
      <c r="BV24" s="145"/>
      <c r="BW24" s="146"/>
      <c r="BX24" s="145"/>
      <c r="BY24" s="146"/>
      <c r="BZ24" s="145"/>
      <c r="CA24" s="146"/>
    </row>
    <row r="25" spans="1:101" s="101" customFormat="1" ht="12.75" customHeight="1" x14ac:dyDescent="0.2">
      <c r="A25" s="227">
        <f>A23+1</f>
        <v>5</v>
      </c>
      <c r="B25" s="227"/>
      <c r="C25" s="231"/>
      <c r="D25" s="251" t="str">
        <f>IF((C25=""),"Enter Segment "&amp;TEXT(A25,0)&amp;" Name, then Enter Data in Columns "&amp;TEXT($H$2,0)&amp;" - "&amp;TEXT($AN$2,0)&amp;"       ","")</f>
        <v xml:space="preserve">Enter Segment 5 Name, then Enter Data in Columns h - an       </v>
      </c>
      <c r="E25" s="131" t="str">
        <f>IF($AW25="B","N/A",IF(AX25="N","No",IF(AX25="Y","Yes","")))</f>
        <v>N/A</v>
      </c>
      <c r="F25" s="130"/>
      <c r="G25" s="130"/>
      <c r="H25" s="285"/>
      <c r="I25" s="251" t="str">
        <f>IF($C25&lt;&gt;"","Enter Starting Point       ","")</f>
        <v/>
      </c>
      <c r="J25" s="285"/>
      <c r="K25" s="227"/>
      <c r="L25" s="88"/>
      <c r="M25" s="251" t="str">
        <f>IF($C25&lt;&gt;"","Select from Pull-Down List  ","")</f>
        <v/>
      </c>
      <c r="N25" s="88"/>
      <c r="O25" s="251" t="str">
        <f>IF($C25&lt;&gt;"","Select from Pull-Down List  ","")</f>
        <v/>
      </c>
      <c r="P25" s="131"/>
      <c r="Q25" s="251" t="str">
        <f>IF($C25&lt;&gt;"","Dir. Route-Mi?    ","")</f>
        <v/>
      </c>
      <c r="R25" s="131"/>
      <c r="S25" s="251" t="str">
        <f>IF($C25&lt;&gt;"","Trk-Mi?      ","")</f>
        <v/>
      </c>
      <c r="T25" s="131"/>
      <c r="U25" s="251" t="str">
        <f>IF($C25&lt;&gt;"","Trk-Mi?      ","")</f>
        <v/>
      </c>
      <c r="V25" s="284"/>
      <c r="W25" s="278" t="str">
        <f>IF(OR($R25="",V$11=""),"","0 - "&amp;TEXT($R25-$AP25,"0.0")&amp;" Trk-Mi?    ")</f>
        <v/>
      </c>
      <c r="X25" s="284"/>
      <c r="Y25" s="278" t="str">
        <f>IF(OR($R25="",X$11=""),"","0 - "&amp;TEXT($R25-$AP25,"0.0")&amp;" Trk-Mi?    ")</f>
        <v/>
      </c>
      <c r="Z25" s="284"/>
      <c r="AA25" s="278" t="str">
        <f>IF(OR($R25="",Z$11=""),"","0 - "&amp;TEXT($R25-$AP25,"0.0")&amp;" Trk-Mi?    ")</f>
        <v/>
      </c>
      <c r="AB25" s="284"/>
      <c r="AC25" s="278" t="str">
        <f>IF(OR($R25="",AB$11=""),"","0 - "&amp;TEXT($R25-$AP25,"0.0")&amp;" Trk-Mi?    ")</f>
        <v/>
      </c>
      <c r="AD25" s="284"/>
      <c r="AE25" s="278" t="str">
        <f>IF(OR($R25="",AD$11=""),"","0 - "&amp;TEXT($R25-$AP25,"0.0")&amp;" Trk-Mi?    ")</f>
        <v/>
      </c>
      <c r="AF25" s="284"/>
      <c r="AG25" s="278" t="str">
        <f>IF(OR($R25="",AF$11=""),"","0 - "&amp;TEXT($R25-$AP25,"0.0")&amp;" Trk-Mi?    ")</f>
        <v/>
      </c>
      <c r="AH25" s="284"/>
      <c r="AI25" s="278" t="str">
        <f>IF(OR($R25="",AH$11=""),"","0 - "&amp;TEXT($R25-$AP25,"0.0")&amp;" Trk-Mi?    ")</f>
        <v/>
      </c>
      <c r="AJ25" s="284"/>
      <c r="AK25" s="278" t="str">
        <f>IF(OR($R25="",AJ$11=""),"","0 - "&amp;TEXT($R25-$AP25,"0.0")&amp;" Trk-Mi?    ")</f>
        <v/>
      </c>
      <c r="AL25" s="284"/>
      <c r="AM25" s="278" t="str">
        <f>IF(OR($R25="",AL$11=""),"","0 - "&amp;TEXT($R25-$AP25,"0.0")&amp;" Trk-Mi?    ")</f>
        <v/>
      </c>
      <c r="AN25" s="284"/>
      <c r="AO25" s="278" t="str">
        <f>IF(OR($R25="",AN$11=""),"","0 - "&amp;TEXT($R25-$AP25,"0.0")&amp;" Trk-Mi?    ")</f>
        <v/>
      </c>
      <c r="AP25" s="282">
        <f>SUM(V25,X25,Z25,AB25,AD25,AF25,AH25,AJ25,AL25,AN25)</f>
        <v>0</v>
      </c>
      <c r="AQ25" s="278"/>
      <c r="AR25" s="234"/>
      <c r="AS25" s="107"/>
      <c r="AT25" s="107"/>
      <c r="AU25" s="107"/>
      <c r="AW25" s="107" t="str">
        <f>IF(AND($C25="",$H25="",$J25="",$L25="",$N25="",$P25="",$R25=""),"B","NB")</f>
        <v>B</v>
      </c>
      <c r="AX25" s="241" t="str">
        <f>IF(OR($C25="",$H25="",$J25="",$L25="",$N25="",$R25="",$P25="",AND($V$11&lt;&gt;"",$V25=""),AND($X$11&lt;&gt;"",$X25=""),AND($Z$11&lt;&gt;"",$Z25=""),AND($AB$11&lt;&gt;"",$AB25=""),AND($AD$11&lt;&gt;"",$AD25=""),AND($AF$11&lt;&gt;"",$AF25=""),AND($AH$11&lt;&gt;"",$AH25=""),AND($AJ$11&lt;&gt;"",$AJ25=""),AND($AL$11&lt;&gt;"",$AL25=""),AND($AN$11&lt;&gt;"",$AN25="")),"N","Y")</f>
        <v>N</v>
      </c>
      <c r="AY25" s="142" t="b">
        <f>IF(AND($C25="",OR($H25&lt;&gt;"",$J25&lt;&gt;"",$L25&lt;&gt;"",$N25&lt;&gt;"",$R25&lt;&gt;"",$P25&lt;&gt;"",AND($V$11&lt;&gt;"",$V25&lt;&gt;""),AND($X$11&lt;&gt;"",$X25&lt;&gt;""),AND($Z$11&lt;&gt;"",$Z25&lt;&gt;""),AND($AB$11&lt;&gt;"",$AB25&lt;&gt;""),AND($AD$11&lt;&gt;"",$AD25&lt;&gt;""),AND($AF$11&lt;&gt;"",$AF25&lt;&gt;""),AND($AH$11&lt;&gt;"",$AH25&lt;&gt;""),AND($AJ$11&lt;&gt;"",$AJ25&lt;&gt;""),AND($AL$11&lt;&gt;"",$AL25&lt;&gt;""),AND($AN$11&lt;&gt;"",$AN25&lt;&gt;""))),TRUE,FALSE)</f>
        <v>0</v>
      </c>
      <c r="AZ25" s="144" t="b">
        <f>IF(AND($C25&lt;&gt;"",$H25=""),TRUE,FALSE)</f>
        <v>0</v>
      </c>
      <c r="BA25" s="144" t="b">
        <f>IF(AND($C25&lt;&gt;"",$J25=""),TRUE,FALSE)</f>
        <v>0</v>
      </c>
      <c r="BB25" s="144" t="b">
        <f>IF(AND($C25&lt;&gt;"",$L25=""),TRUE,FALSE)</f>
        <v>0</v>
      </c>
      <c r="BC25" s="144" t="b">
        <f>IF(AND($C25&lt;&gt;"",$N25=""),TRUE,FALSE)</f>
        <v>0</v>
      </c>
      <c r="BD25" s="142" t="b">
        <f>IF($BE25=TRUE,FALSE,IF(OR($P25&lt;$BD$5,$P25&gt;$BE$5),TRUE,FALSE))</f>
        <v>0</v>
      </c>
      <c r="BE25" s="144" t="b">
        <f>IF(AND($C25&lt;&gt;"",$P25=""),TRUE,FALSE)</f>
        <v>0</v>
      </c>
      <c r="BF25" s="144" t="b">
        <f>IF($BG25=TRUE,FALSE,IF(OR($R25&lt;$BF$5,$R25&gt;$BG$5),TRUE,FALSE))</f>
        <v>0</v>
      </c>
      <c r="BG25" s="144" t="b">
        <f>IF(AND($C25&lt;&gt;"",$R25=""),TRUE,FALSE)</f>
        <v>0</v>
      </c>
      <c r="BH25" s="160" t="b">
        <f>IF(BI25=TRUE,FALSE,IF(AND(V25&lt;&gt;"",V$11=""),TRUE,IF(AND(V25&lt;&gt;"",V$11&lt;&gt;"",$R25&lt;&gt;$AP25),TRUE,IF(OR(V25&lt;0,V25&gt;$R25),TRUE,FALSE))))</f>
        <v>0</v>
      </c>
      <c r="BI25" s="144" t="b">
        <f>IF(AND($C25&lt;&gt;"",V$11&lt;&gt;"",$V25=""),TRUE,FALSE)</f>
        <v>0</v>
      </c>
      <c r="BJ25" s="160" t="b">
        <f>IF(BK25=TRUE,FALSE,IF(AND(X25&lt;&gt;"",X$11=""),TRUE,IF(AND(X25&lt;&gt;"",X$11&lt;&gt;"",$R25&lt;&gt;$AP25),TRUE,IF(OR(X25&lt;0,X25&gt;$R25),TRUE,FALSE))))</f>
        <v>0</v>
      </c>
      <c r="BK25" s="144" t="b">
        <f>IF(AND($C25&lt;&gt;"",X$11&lt;&gt;"",$X25=""),TRUE,FALSE)</f>
        <v>0</v>
      </c>
      <c r="BL25" s="160" t="b">
        <f>IF(BM25=TRUE,FALSE,IF(AND(Z25&lt;&gt;"",Z$11=""),TRUE,IF(AND(Z25&lt;&gt;"",Z$11&lt;&gt;"",$R25&lt;&gt;$AP25),TRUE,IF(OR(Z25&lt;0,Z25&gt;$R25),TRUE,FALSE))))</f>
        <v>0</v>
      </c>
      <c r="BM25" s="144" t="b">
        <f>IF(AND($C25&lt;&gt;"",Z$11&lt;&gt;"",$Z25=""),TRUE,FALSE)</f>
        <v>0</v>
      </c>
      <c r="BN25" s="160" t="b">
        <f>IF(BO25=TRUE,FALSE,IF(AND(AB25&lt;&gt;"",AB$11=""),TRUE,IF(AND(AB25&lt;&gt;"",AB$11&lt;&gt;"",$R25&lt;&gt;$AP25),TRUE,IF(OR(AB25&lt;0,AB25&gt;$R25),TRUE,FALSE))))</f>
        <v>0</v>
      </c>
      <c r="BO25" s="144" t="b">
        <f>IF(AND($C25&lt;&gt;"",AB$11&lt;&gt;"",$AB25=""),TRUE,FALSE)</f>
        <v>0</v>
      </c>
      <c r="BP25" s="160" t="b">
        <f>IF(BQ25=TRUE,FALSE,IF(AND(AD25&lt;&gt;"",AD$11=""),TRUE,IF(AND(AD25&lt;&gt;"",AD$11&lt;&gt;"",$R25&lt;&gt;$AP25),TRUE,IF(OR(AD25&lt;0,AD25&gt;$R25),TRUE,FALSE))))</f>
        <v>0</v>
      </c>
      <c r="BQ25" s="144" t="b">
        <f>IF(AND($C25&lt;&gt;"",AD$11&lt;&gt;"",$AD25=""),TRUE,FALSE)</f>
        <v>0</v>
      </c>
      <c r="BR25" s="160" t="b">
        <f>IF(BS25=TRUE,FALSE,IF(AND(AF25&lt;&gt;"",AF$11=""),TRUE,IF(AND(AF25&lt;&gt;"",AF$11&lt;&gt;"",$R25&lt;&gt;$AP25),TRUE,IF(OR(AF25&lt;0,AF25&gt;$R25),TRUE,FALSE))))</f>
        <v>0</v>
      </c>
      <c r="BS25" s="144" t="b">
        <f>IF(AND($C25&lt;&gt;"",AF$11&lt;&gt;"",$AF25=""),TRUE,FALSE)</f>
        <v>0</v>
      </c>
      <c r="BT25" s="160" t="b">
        <f>IF(BU25=TRUE,FALSE,IF(AND(AH25&lt;&gt;"",AH$11=""),TRUE,IF(AND(AH25&lt;&gt;"",AH$11&lt;&gt;"",$R25&lt;&gt;$AP25),TRUE,IF(OR(AH25&lt;0,AH25&gt;$R25),TRUE,FALSE))))</f>
        <v>0</v>
      </c>
      <c r="BU25" s="144" t="b">
        <f>IF(AND($C25&lt;&gt;"",AH$11&lt;&gt;"",$AH25=""),TRUE,FALSE)</f>
        <v>0</v>
      </c>
      <c r="BV25" s="160" t="b">
        <f>IF(BW25=TRUE,FALSE,IF(AND(AJ25&lt;&gt;"",AJ$11=""),TRUE,IF(AND(AJ25&lt;&gt;"",AJ$11&lt;&gt;"",$R25&lt;&gt;$AP25),TRUE,IF(OR(AJ25&lt;0,AJ25&gt;$R25),TRUE,FALSE))))</f>
        <v>0</v>
      </c>
      <c r="BW25" s="144" t="b">
        <f>IF(AND($C25&lt;&gt;"",AJ$11&lt;&gt;"",$AJ25=""),TRUE,FALSE)</f>
        <v>0</v>
      </c>
      <c r="BX25" s="160" t="b">
        <f>IF(BY25=TRUE,FALSE,IF(AND(AL25&lt;&gt;"",AL$11=""),TRUE,IF(AND(AL25&lt;&gt;"",AL$11&lt;&gt;"",$R25&lt;&gt;$AP25),TRUE,IF(OR(AL25&lt;0,AL25&gt;$R25),TRUE,FALSE))))</f>
        <v>0</v>
      </c>
      <c r="BY25" s="144" t="b">
        <f>IF(AND($C25&lt;&gt;"",AL$11&lt;&gt;"",$AL25=""),TRUE,FALSE)</f>
        <v>0</v>
      </c>
      <c r="BZ25" s="160" t="b">
        <f>IF(CA25=TRUE,FALSE,IF(AND(AN25&lt;&gt;"",AN$11=""),TRUE,IF(AND(AN25&lt;&gt;"",AN$11&lt;&gt;"",$R25&lt;&gt;$AP25),TRUE,IF(OR(AN25&lt;0,AN25&gt;$R25),TRUE,FALSE))))</f>
        <v>0</v>
      </c>
      <c r="CA25" s="144" t="b">
        <f>IF(AND($C25&lt;&gt;"",AN$11&lt;&gt;"",$AN25=""),TRUE,FALSE)</f>
        <v>0</v>
      </c>
      <c r="CB25" s="133"/>
      <c r="CC25" s="133"/>
      <c r="CD25" s="133"/>
      <c r="CE25" s="133"/>
      <c r="CF25" s="133"/>
      <c r="CG25" s="133"/>
      <c r="CH25" s="133"/>
      <c r="CI25" s="133"/>
      <c r="CJ25" s="133"/>
      <c r="CK25" s="133"/>
      <c r="CL25" s="133"/>
      <c r="CM25" s="133"/>
      <c r="CN25" s="133"/>
      <c r="CO25" s="133"/>
      <c r="CP25" s="133"/>
      <c r="CQ25" s="133"/>
      <c r="CR25" s="133"/>
      <c r="CS25" s="133"/>
      <c r="CT25" s="133"/>
      <c r="CU25" s="133"/>
      <c r="CV25" s="133"/>
      <c r="CW25" s="134"/>
    </row>
    <row r="26" spans="1:101" ht="6.75" customHeight="1" thickBot="1" x14ac:dyDescent="0.25">
      <c r="A26" s="228"/>
      <c r="B26" s="228"/>
      <c r="C26" s="232"/>
      <c r="D26" s="267"/>
      <c r="I26" s="267"/>
      <c r="K26" s="228"/>
      <c r="M26" s="267"/>
      <c r="O26" s="267"/>
      <c r="Q26" s="267"/>
      <c r="S26" s="267"/>
      <c r="U26" s="267"/>
      <c r="V26" s="283"/>
      <c r="W26" s="267"/>
      <c r="X26" s="283"/>
      <c r="Y26" s="267"/>
      <c r="Z26" s="283"/>
      <c r="AA26" s="267"/>
      <c r="AB26" s="283"/>
      <c r="AC26" s="267"/>
      <c r="AD26" s="283"/>
      <c r="AE26" s="267"/>
      <c r="AF26" s="283"/>
      <c r="AG26" s="267"/>
      <c r="AH26" s="283"/>
      <c r="AI26" s="267"/>
      <c r="AJ26" s="283"/>
      <c r="AK26" s="267"/>
      <c r="AL26" s="283"/>
      <c r="AM26" s="267"/>
      <c r="AN26" s="283"/>
      <c r="AO26" s="267"/>
      <c r="AP26" s="267"/>
      <c r="AQ26" s="267"/>
      <c r="AR26" s="232"/>
      <c r="AY26" s="145"/>
      <c r="AZ26" s="146"/>
      <c r="BA26" s="146"/>
      <c r="BB26" s="146"/>
      <c r="BC26" s="146"/>
      <c r="BD26" s="145"/>
      <c r="BE26" s="146"/>
      <c r="BF26" s="146"/>
      <c r="BG26" s="146"/>
      <c r="BH26" s="145"/>
      <c r="BI26" s="146"/>
      <c r="BJ26" s="145"/>
      <c r="BK26" s="146"/>
      <c r="BL26" s="145"/>
      <c r="BM26" s="146"/>
      <c r="BN26" s="145"/>
      <c r="BO26" s="146"/>
      <c r="BP26" s="145"/>
      <c r="BQ26" s="146"/>
      <c r="BR26" s="145"/>
      <c r="BS26" s="146"/>
      <c r="BT26" s="145"/>
      <c r="BU26" s="146"/>
      <c r="BV26" s="145"/>
      <c r="BW26" s="146"/>
      <c r="BX26" s="145"/>
      <c r="BY26" s="146"/>
      <c r="BZ26" s="145"/>
      <c r="CA26" s="146"/>
    </row>
    <row r="27" spans="1:101" s="101" customFormat="1" ht="12.75" customHeight="1" x14ac:dyDescent="0.2">
      <c r="A27" s="227">
        <f>A25+1</f>
        <v>6</v>
      </c>
      <c r="B27" s="227"/>
      <c r="C27" s="231"/>
      <c r="D27" s="251" t="str">
        <f>IF((C27=""),"Enter Segment "&amp;TEXT(A27,0)&amp;" Name, then Enter Data in Columns "&amp;TEXT($H$2,0)&amp;" - "&amp;TEXT($AN$2,0)&amp;"       ","")</f>
        <v xml:space="preserve">Enter Segment 6 Name, then Enter Data in Columns h - an       </v>
      </c>
      <c r="E27" s="131" t="str">
        <f>IF($AW27="B","N/A",IF(AX27="N","No",IF(AX27="Y","Yes","")))</f>
        <v>N/A</v>
      </c>
      <c r="F27" s="130"/>
      <c r="G27" s="130"/>
      <c r="H27" s="285"/>
      <c r="I27" s="251" t="str">
        <f>IF($C27&lt;&gt;"","Enter Starting Point       ","")</f>
        <v/>
      </c>
      <c r="J27" s="285"/>
      <c r="K27" s="227"/>
      <c r="L27" s="88"/>
      <c r="M27" s="251" t="str">
        <f>IF($C27&lt;&gt;"","Select from Pull-Down List  ","")</f>
        <v/>
      </c>
      <c r="N27" s="88"/>
      <c r="O27" s="251" t="str">
        <f>IF($C27&lt;&gt;"","Select from Pull-Down List  ","")</f>
        <v/>
      </c>
      <c r="P27" s="131"/>
      <c r="Q27" s="251" t="str">
        <f>IF($C27&lt;&gt;"","Dir. Route-Mi?    ","")</f>
        <v/>
      </c>
      <c r="R27" s="131"/>
      <c r="S27" s="251" t="str">
        <f>IF($C27&lt;&gt;"","Trk-Mi?      ","")</f>
        <v/>
      </c>
      <c r="T27" s="131"/>
      <c r="U27" s="251" t="str">
        <f>IF($C27&lt;&gt;"","Trk-Mi?      ","")</f>
        <v/>
      </c>
      <c r="V27" s="284"/>
      <c r="W27" s="278" t="str">
        <f>IF(OR($R27="",V$11=""),"","0 - "&amp;TEXT($R27-$AP27,"0.0")&amp;" Trk-Mi?    ")</f>
        <v/>
      </c>
      <c r="X27" s="284"/>
      <c r="Y27" s="278" t="str">
        <f>IF(OR($R27="",X$11=""),"","0 - "&amp;TEXT($R27-$AP27,"0.0")&amp;" Trk-Mi?    ")</f>
        <v/>
      </c>
      <c r="Z27" s="284"/>
      <c r="AA27" s="278" t="str">
        <f>IF(OR($R27="",Z$11=""),"","0 - "&amp;TEXT($R27-$AP27,"0.0")&amp;" Trk-Mi?    ")</f>
        <v/>
      </c>
      <c r="AB27" s="284"/>
      <c r="AC27" s="278" t="str">
        <f>IF(OR($R27="",AB$11=""),"","0 - "&amp;TEXT($R27-$AP27,"0.0")&amp;" Trk-Mi?    ")</f>
        <v/>
      </c>
      <c r="AD27" s="284"/>
      <c r="AE27" s="278" t="str">
        <f>IF(OR($R27="",AD$11=""),"","0 - "&amp;TEXT($R27-$AP27,"0.0")&amp;" Trk-Mi?    ")</f>
        <v/>
      </c>
      <c r="AF27" s="284"/>
      <c r="AG27" s="278" t="str">
        <f>IF(OR($R27="",AF$11=""),"","0 - "&amp;TEXT($R27-$AP27,"0.0")&amp;" Trk-Mi?    ")</f>
        <v/>
      </c>
      <c r="AH27" s="284"/>
      <c r="AI27" s="278" t="str">
        <f>IF(OR($R27="",AH$11=""),"","0 - "&amp;TEXT($R27-$AP27,"0.0")&amp;" Trk-Mi?    ")</f>
        <v/>
      </c>
      <c r="AJ27" s="284"/>
      <c r="AK27" s="278" t="str">
        <f>IF(OR($R27="",AJ$11=""),"","0 - "&amp;TEXT($R27-$AP27,"0.0")&amp;" Trk-Mi?    ")</f>
        <v/>
      </c>
      <c r="AL27" s="284"/>
      <c r="AM27" s="278" t="str">
        <f>IF(OR($R27="",AL$11=""),"","0 - "&amp;TEXT($R27-$AP27,"0.0")&amp;" Trk-Mi?    ")</f>
        <v/>
      </c>
      <c r="AN27" s="284"/>
      <c r="AO27" s="278" t="str">
        <f>IF(OR($R27="",AN$11=""),"","0 - "&amp;TEXT($R27-$AP27,"0.0")&amp;" Trk-Mi?    ")</f>
        <v/>
      </c>
      <c r="AP27" s="282">
        <f>SUM(V27,X27,Z27,AB27,AD27,AF27,AH27,AJ27,AL27,AN27)</f>
        <v>0</v>
      </c>
      <c r="AQ27" s="278"/>
      <c r="AR27" s="234"/>
      <c r="AS27" s="107"/>
      <c r="AT27" s="107"/>
      <c r="AU27" s="107"/>
      <c r="AW27" s="107" t="str">
        <f>IF(AND($C27="",$H27="",$J27="",$L27="",$N27="",$P27="",$R27=""),"B","NB")</f>
        <v>B</v>
      </c>
      <c r="AX27" s="241" t="str">
        <f>IF(OR($C27="",$H27="",$J27="",$L27="",$N27="",$R27="",$P27="",AND($V$11&lt;&gt;"",$V27=""),AND($X$11&lt;&gt;"",$X27=""),AND($Z$11&lt;&gt;"",$Z27=""),AND($AB$11&lt;&gt;"",$AB27=""),AND($AD$11&lt;&gt;"",$AD27=""),AND($AF$11&lt;&gt;"",$AF27=""),AND($AH$11&lt;&gt;"",$AH27=""),AND($AJ$11&lt;&gt;"",$AJ27=""),AND($AL$11&lt;&gt;"",$AL27=""),AND($AN$11&lt;&gt;"",$AN27="")),"N","Y")</f>
        <v>N</v>
      </c>
      <c r="AY27" s="142" t="b">
        <f>IF(AND($C27="",OR($H27&lt;&gt;"",$J27&lt;&gt;"",$L27&lt;&gt;"",$N27&lt;&gt;"",$R27&lt;&gt;"",$P27&lt;&gt;"",AND($V$11&lt;&gt;"",$V27&lt;&gt;""),AND($X$11&lt;&gt;"",$X27&lt;&gt;""),AND($Z$11&lt;&gt;"",$Z27&lt;&gt;""),AND($AB$11&lt;&gt;"",$AB27&lt;&gt;""),AND($AD$11&lt;&gt;"",$AD27&lt;&gt;""),AND($AF$11&lt;&gt;"",$AF27&lt;&gt;""),AND($AH$11&lt;&gt;"",$AH27&lt;&gt;""),AND($AJ$11&lt;&gt;"",$AJ27&lt;&gt;""),AND($AL$11&lt;&gt;"",$AL27&lt;&gt;""),AND($AN$11&lt;&gt;"",$AN27&lt;&gt;""))),TRUE,FALSE)</f>
        <v>0</v>
      </c>
      <c r="AZ27" s="144" t="b">
        <f>IF(AND($C27&lt;&gt;"",$H27=""),TRUE,FALSE)</f>
        <v>0</v>
      </c>
      <c r="BA27" s="144" t="b">
        <f>IF(AND($C27&lt;&gt;"",$J27=""),TRUE,FALSE)</f>
        <v>0</v>
      </c>
      <c r="BB27" s="144" t="b">
        <f>IF(AND($C27&lt;&gt;"",$L27=""),TRUE,FALSE)</f>
        <v>0</v>
      </c>
      <c r="BC27" s="144" t="b">
        <f>IF(AND($C27&lt;&gt;"",$N27=""),TRUE,FALSE)</f>
        <v>0</v>
      </c>
      <c r="BD27" s="142" t="b">
        <f>IF($BE27=TRUE,FALSE,IF(OR($P27&lt;$BD$5,$P27&gt;$BE$5),TRUE,FALSE))</f>
        <v>0</v>
      </c>
      <c r="BE27" s="144" t="b">
        <f>IF(AND($C27&lt;&gt;"",$P27=""),TRUE,FALSE)</f>
        <v>0</v>
      </c>
      <c r="BF27" s="144" t="b">
        <f>IF($BG27=TRUE,FALSE,IF(OR($R27&lt;$BF$5,$R27&gt;$BG$5),TRUE,FALSE))</f>
        <v>0</v>
      </c>
      <c r="BG27" s="144" t="b">
        <f>IF(AND($C27&lt;&gt;"",$R27=""),TRUE,FALSE)</f>
        <v>0</v>
      </c>
      <c r="BH27" s="160" t="b">
        <f>IF(BI27=TRUE,FALSE,IF(AND(V27&lt;&gt;"",V$11=""),TRUE,IF(AND(V27&lt;&gt;"",V$11&lt;&gt;"",$R27&lt;&gt;$AP27),TRUE,IF(OR(V27&lt;0,V27&gt;$R27),TRUE,FALSE))))</f>
        <v>0</v>
      </c>
      <c r="BI27" s="144" t="b">
        <f>IF(AND($C27&lt;&gt;"",V$11&lt;&gt;"",$V27=""),TRUE,FALSE)</f>
        <v>0</v>
      </c>
      <c r="BJ27" s="160" t="b">
        <f>IF(BK27=TRUE,FALSE,IF(AND(X27&lt;&gt;"",X$11=""),TRUE,IF(AND(X27&lt;&gt;"",X$11&lt;&gt;"",$R27&lt;&gt;$AP27),TRUE,IF(OR(X27&lt;0,X27&gt;$R27),TRUE,FALSE))))</f>
        <v>0</v>
      </c>
      <c r="BK27" s="144" t="b">
        <f>IF(AND($C27&lt;&gt;"",X$11&lt;&gt;"",$X27=""),TRUE,FALSE)</f>
        <v>0</v>
      </c>
      <c r="BL27" s="160" t="b">
        <f>IF(BM27=TRUE,FALSE,IF(AND(Z27&lt;&gt;"",Z$11=""),TRUE,IF(AND(Z27&lt;&gt;"",Z$11&lt;&gt;"",$R27&lt;&gt;$AP27),TRUE,IF(OR(Z27&lt;0,Z27&gt;$R27),TRUE,FALSE))))</f>
        <v>0</v>
      </c>
      <c r="BM27" s="144" t="b">
        <f>IF(AND($C27&lt;&gt;"",Z$11&lt;&gt;"",$Z27=""),TRUE,FALSE)</f>
        <v>0</v>
      </c>
      <c r="BN27" s="160" t="b">
        <f>IF(BO27=TRUE,FALSE,IF(AND(AB27&lt;&gt;"",AB$11=""),TRUE,IF(AND(AB27&lt;&gt;"",AB$11&lt;&gt;"",$R27&lt;&gt;$AP27),TRUE,IF(OR(AB27&lt;0,AB27&gt;$R27),TRUE,FALSE))))</f>
        <v>0</v>
      </c>
      <c r="BO27" s="144" t="b">
        <f>IF(AND($C27&lt;&gt;"",AB$11&lt;&gt;"",$AB27=""),TRUE,FALSE)</f>
        <v>0</v>
      </c>
      <c r="BP27" s="160" t="b">
        <f>IF(BQ27=TRUE,FALSE,IF(AND(AD27&lt;&gt;"",AD$11=""),TRUE,IF(AND(AD27&lt;&gt;"",AD$11&lt;&gt;"",$R27&lt;&gt;$AP27),TRUE,IF(OR(AD27&lt;0,AD27&gt;$R27),TRUE,FALSE))))</f>
        <v>0</v>
      </c>
      <c r="BQ27" s="144" t="b">
        <f>IF(AND($C27&lt;&gt;"",AD$11&lt;&gt;"",$AD27=""),TRUE,FALSE)</f>
        <v>0</v>
      </c>
      <c r="BR27" s="160" t="b">
        <f>IF(BS27=TRUE,FALSE,IF(AND(AF27&lt;&gt;"",AF$11=""),TRUE,IF(AND(AF27&lt;&gt;"",AF$11&lt;&gt;"",$R27&lt;&gt;$AP27),TRUE,IF(OR(AF27&lt;0,AF27&gt;$R27),TRUE,FALSE))))</f>
        <v>0</v>
      </c>
      <c r="BS27" s="144" t="b">
        <f>IF(AND($C27&lt;&gt;"",AF$11&lt;&gt;"",$AF27=""),TRUE,FALSE)</f>
        <v>0</v>
      </c>
      <c r="BT27" s="160" t="b">
        <f>IF(BU27=TRUE,FALSE,IF(AND(AH27&lt;&gt;"",AH$11=""),TRUE,IF(AND(AH27&lt;&gt;"",AH$11&lt;&gt;"",$R27&lt;&gt;$AP27),TRUE,IF(OR(AH27&lt;0,AH27&gt;$R27),TRUE,FALSE))))</f>
        <v>0</v>
      </c>
      <c r="BU27" s="144" t="b">
        <f>IF(AND($C27&lt;&gt;"",AH$11&lt;&gt;"",$AH27=""),TRUE,FALSE)</f>
        <v>0</v>
      </c>
      <c r="BV27" s="160" t="b">
        <f>IF(BW27=TRUE,FALSE,IF(AND(AJ27&lt;&gt;"",AJ$11=""),TRUE,IF(AND(AJ27&lt;&gt;"",AJ$11&lt;&gt;"",$R27&lt;&gt;$AP27),TRUE,IF(OR(AJ27&lt;0,AJ27&gt;$R27),TRUE,FALSE))))</f>
        <v>0</v>
      </c>
      <c r="BW27" s="144" t="b">
        <f>IF(AND($C27&lt;&gt;"",AJ$11&lt;&gt;"",$AJ27=""),TRUE,FALSE)</f>
        <v>0</v>
      </c>
      <c r="BX27" s="160" t="b">
        <f>IF(BY27=TRUE,FALSE,IF(AND(AL27&lt;&gt;"",AL$11=""),TRUE,IF(AND(AL27&lt;&gt;"",AL$11&lt;&gt;"",$R27&lt;&gt;$AP27),TRUE,IF(OR(AL27&lt;0,AL27&gt;$R27),TRUE,FALSE))))</f>
        <v>0</v>
      </c>
      <c r="BY27" s="144" t="b">
        <f>IF(AND($C27&lt;&gt;"",AL$11&lt;&gt;"",$AL27=""),TRUE,FALSE)</f>
        <v>0</v>
      </c>
      <c r="BZ27" s="160" t="b">
        <f>IF(CA27=TRUE,FALSE,IF(AND(AN27&lt;&gt;"",AN$11=""),TRUE,IF(AND(AN27&lt;&gt;"",AN$11&lt;&gt;"",$R27&lt;&gt;$AP27),TRUE,IF(OR(AN27&lt;0,AN27&gt;$R27),TRUE,FALSE))))</f>
        <v>0</v>
      </c>
      <c r="CA27" s="144" t="b">
        <f>IF(AND($C27&lt;&gt;"",AN$11&lt;&gt;"",$AN27=""),TRUE,FALSE)</f>
        <v>0</v>
      </c>
      <c r="CB27" s="133"/>
      <c r="CC27" s="133"/>
      <c r="CD27" s="133"/>
      <c r="CE27" s="133"/>
      <c r="CF27" s="133"/>
      <c r="CG27" s="133"/>
      <c r="CH27" s="133"/>
      <c r="CI27" s="133"/>
      <c r="CJ27" s="133"/>
      <c r="CK27" s="133"/>
      <c r="CL27" s="133"/>
      <c r="CM27" s="133"/>
      <c r="CN27" s="133"/>
      <c r="CO27" s="133"/>
      <c r="CP27" s="133"/>
      <c r="CQ27" s="133"/>
      <c r="CR27" s="133"/>
      <c r="CS27" s="133"/>
      <c r="CT27" s="133"/>
      <c r="CU27" s="133"/>
      <c r="CV27" s="133"/>
      <c r="CW27" s="134"/>
    </row>
    <row r="28" spans="1:101" ht="6.75" customHeight="1" thickBot="1" x14ac:dyDescent="0.25">
      <c r="A28" s="228"/>
      <c r="B28" s="228"/>
      <c r="C28" s="232"/>
      <c r="D28" s="267"/>
      <c r="I28" s="267"/>
      <c r="K28" s="228"/>
      <c r="M28" s="267"/>
      <c r="O28" s="267"/>
      <c r="Q28" s="267"/>
      <c r="S28" s="267"/>
      <c r="U28" s="267"/>
      <c r="V28" s="283"/>
      <c r="W28" s="267"/>
      <c r="X28" s="283"/>
      <c r="Y28" s="267"/>
      <c r="Z28" s="283"/>
      <c r="AA28" s="267"/>
      <c r="AB28" s="283"/>
      <c r="AC28" s="267"/>
      <c r="AD28" s="283"/>
      <c r="AE28" s="267"/>
      <c r="AF28" s="283"/>
      <c r="AG28" s="267"/>
      <c r="AH28" s="283"/>
      <c r="AI28" s="267"/>
      <c r="AJ28" s="283"/>
      <c r="AK28" s="267"/>
      <c r="AL28" s="283"/>
      <c r="AM28" s="267"/>
      <c r="AN28" s="283"/>
      <c r="AO28" s="267"/>
      <c r="AP28" s="267"/>
      <c r="AQ28" s="267"/>
      <c r="AR28" s="232"/>
      <c r="AY28" s="145"/>
      <c r="AZ28" s="146"/>
      <c r="BA28" s="146"/>
      <c r="BB28" s="146"/>
      <c r="BC28" s="146"/>
      <c r="BD28" s="145"/>
      <c r="BE28" s="146"/>
      <c r="BF28" s="146"/>
      <c r="BG28" s="146"/>
      <c r="BH28" s="145"/>
      <c r="BI28" s="146"/>
      <c r="BJ28" s="145"/>
      <c r="BK28" s="146"/>
      <c r="BL28" s="145"/>
      <c r="BM28" s="146"/>
      <c r="BN28" s="145"/>
      <c r="BO28" s="146"/>
      <c r="BP28" s="145"/>
      <c r="BQ28" s="146"/>
      <c r="BR28" s="145"/>
      <c r="BS28" s="146"/>
      <c r="BT28" s="145"/>
      <c r="BU28" s="146"/>
      <c r="BV28" s="145"/>
      <c r="BW28" s="146"/>
      <c r="BX28" s="145"/>
      <c r="BY28" s="146"/>
      <c r="BZ28" s="145"/>
      <c r="CA28" s="146"/>
    </row>
    <row r="29" spans="1:101" s="101" customFormat="1" ht="12.75" customHeight="1" x14ac:dyDescent="0.2">
      <c r="A29" s="227">
        <f>A27+1</f>
        <v>7</v>
      </c>
      <c r="B29" s="227"/>
      <c r="C29" s="231"/>
      <c r="D29" s="251" t="str">
        <f>IF((C29=""),"Enter Segment "&amp;TEXT(A29,0)&amp;" Name, then Enter Data in Columns "&amp;TEXT($H$2,0)&amp;" - "&amp;TEXT($AN$2,0)&amp;"       ","")</f>
        <v xml:space="preserve">Enter Segment 7 Name, then Enter Data in Columns h - an       </v>
      </c>
      <c r="E29" s="131" t="str">
        <f>IF($AW29="B","N/A",IF(AX29="N","No",IF(AX29="Y","Yes","")))</f>
        <v>N/A</v>
      </c>
      <c r="F29" s="130"/>
      <c r="G29" s="130"/>
      <c r="H29" s="285"/>
      <c r="I29" s="251" t="str">
        <f>IF($C29&lt;&gt;"","Enter Starting Point       ","")</f>
        <v/>
      </c>
      <c r="J29" s="285"/>
      <c r="K29" s="227"/>
      <c r="L29" s="88"/>
      <c r="M29" s="251" t="str">
        <f>IF($C29&lt;&gt;"","Select from Pull-Down List  ","")</f>
        <v/>
      </c>
      <c r="N29" s="88"/>
      <c r="O29" s="251" t="str">
        <f>IF($C29&lt;&gt;"","Select from Pull-Down List  ","")</f>
        <v/>
      </c>
      <c r="P29" s="131"/>
      <c r="Q29" s="251" t="str">
        <f>IF($C29&lt;&gt;"","Dir. Route-Mi?    ","")</f>
        <v/>
      </c>
      <c r="R29" s="131"/>
      <c r="S29" s="251" t="str">
        <f>IF($C29&lt;&gt;"","Trk-Mi?      ","")</f>
        <v/>
      </c>
      <c r="T29" s="131"/>
      <c r="U29" s="251" t="str">
        <f>IF($C29&lt;&gt;"","Trk-Mi?      ","")</f>
        <v/>
      </c>
      <c r="V29" s="284"/>
      <c r="W29" s="278" t="str">
        <f>IF(OR($R29="",V$11=""),"","0 - "&amp;TEXT($R29-$AP29,"0.0")&amp;" Trk-Mi?    ")</f>
        <v/>
      </c>
      <c r="X29" s="284"/>
      <c r="Y29" s="278" t="str">
        <f>IF(OR($R29="",X$11=""),"","0 - "&amp;TEXT($R29-$AP29,"0.0")&amp;" Trk-Mi?    ")</f>
        <v/>
      </c>
      <c r="Z29" s="284"/>
      <c r="AA29" s="278" t="str">
        <f>IF(OR($R29="",Z$11=""),"","0 - "&amp;TEXT($R29-$AP29,"0.0")&amp;" Trk-Mi?    ")</f>
        <v/>
      </c>
      <c r="AB29" s="284"/>
      <c r="AC29" s="278" t="str">
        <f>IF(OR($R29="",AB$11=""),"","0 - "&amp;TEXT($R29-$AP29,"0.0")&amp;" Trk-Mi?    ")</f>
        <v/>
      </c>
      <c r="AD29" s="284"/>
      <c r="AE29" s="278" t="str">
        <f>IF(OR($R29="",AD$11=""),"","0 - "&amp;TEXT($R29-$AP29,"0.0")&amp;" Trk-Mi?    ")</f>
        <v/>
      </c>
      <c r="AF29" s="284"/>
      <c r="AG29" s="278" t="str">
        <f>IF(OR($R29="",AF$11=""),"","0 - "&amp;TEXT($R29-$AP29,"0.0")&amp;" Trk-Mi?    ")</f>
        <v/>
      </c>
      <c r="AH29" s="284"/>
      <c r="AI29" s="278" t="str">
        <f>IF(OR($R29="",AH$11=""),"","0 - "&amp;TEXT($R29-$AP29,"0.0")&amp;" Trk-Mi?    ")</f>
        <v/>
      </c>
      <c r="AJ29" s="284"/>
      <c r="AK29" s="278" t="str">
        <f>IF(OR($R29="",AJ$11=""),"","0 - "&amp;TEXT($R29-$AP29,"0.0")&amp;" Trk-Mi?    ")</f>
        <v/>
      </c>
      <c r="AL29" s="284"/>
      <c r="AM29" s="278" t="str">
        <f>IF(OR($R29="",AL$11=""),"","0 - "&amp;TEXT($R29-$AP29,"0.0")&amp;" Trk-Mi?    ")</f>
        <v/>
      </c>
      <c r="AN29" s="284"/>
      <c r="AO29" s="278" t="str">
        <f>IF(OR($R29="",AN$11=""),"","0 - "&amp;TEXT($R29-$AP29,"0.0")&amp;" Trk-Mi?    ")</f>
        <v/>
      </c>
      <c r="AP29" s="282">
        <f>SUM(V29,X29,Z29,AB29,AD29,AF29,AH29,AJ29,AL29,AN29)</f>
        <v>0</v>
      </c>
      <c r="AQ29" s="278"/>
      <c r="AR29" s="234"/>
      <c r="AS29" s="107"/>
      <c r="AT29" s="107"/>
      <c r="AU29" s="107"/>
      <c r="AW29" s="107" t="str">
        <f>IF(AND($C29="",$H29="",$J29="",$L29="",$N29="",$P29="",$R29=""),"B","NB")</f>
        <v>B</v>
      </c>
      <c r="AX29" s="241" t="str">
        <f>IF(OR($C29="",$H29="",$J29="",$L29="",$N29="",$R29="",$P29="",AND($V$11&lt;&gt;"",$V29=""),AND($X$11&lt;&gt;"",$X29=""),AND($Z$11&lt;&gt;"",$Z29=""),AND($AB$11&lt;&gt;"",$AB29=""),AND($AD$11&lt;&gt;"",$AD29=""),AND($AF$11&lt;&gt;"",$AF29=""),AND($AH$11&lt;&gt;"",$AH29=""),AND($AJ$11&lt;&gt;"",$AJ29=""),AND($AL$11&lt;&gt;"",$AL29=""),AND($AN$11&lt;&gt;"",$AN29="")),"N","Y")</f>
        <v>N</v>
      </c>
      <c r="AY29" s="142" t="b">
        <f>IF(AND($C29="",OR($H29&lt;&gt;"",$J29&lt;&gt;"",$L29&lt;&gt;"",$N29&lt;&gt;"",$R29&lt;&gt;"",$P29&lt;&gt;"",AND($V$11&lt;&gt;"",$V29&lt;&gt;""),AND($X$11&lt;&gt;"",$X29&lt;&gt;""),AND($Z$11&lt;&gt;"",$Z29&lt;&gt;""),AND($AB$11&lt;&gt;"",$AB29&lt;&gt;""),AND($AD$11&lt;&gt;"",$AD29&lt;&gt;""),AND($AF$11&lt;&gt;"",$AF29&lt;&gt;""),AND($AH$11&lt;&gt;"",$AH29&lt;&gt;""),AND($AJ$11&lt;&gt;"",$AJ29&lt;&gt;""),AND($AL$11&lt;&gt;"",$AL29&lt;&gt;""),AND($AN$11&lt;&gt;"",$AN29&lt;&gt;""))),TRUE,FALSE)</f>
        <v>0</v>
      </c>
      <c r="AZ29" s="144" t="b">
        <f>IF(AND($C29&lt;&gt;"",$H29=""),TRUE,FALSE)</f>
        <v>0</v>
      </c>
      <c r="BA29" s="144" t="b">
        <f>IF(AND($C29&lt;&gt;"",$J29=""),TRUE,FALSE)</f>
        <v>0</v>
      </c>
      <c r="BB29" s="144" t="b">
        <f>IF(AND($C29&lt;&gt;"",$L29=""),TRUE,FALSE)</f>
        <v>0</v>
      </c>
      <c r="BC29" s="144" t="b">
        <f>IF(AND($C29&lt;&gt;"",$N29=""),TRUE,FALSE)</f>
        <v>0</v>
      </c>
      <c r="BD29" s="142" t="b">
        <f>IF($BE29=TRUE,FALSE,IF(OR($P29&lt;$BD$5,$P29&gt;$BE$5),TRUE,FALSE))</f>
        <v>0</v>
      </c>
      <c r="BE29" s="144" t="b">
        <f>IF(AND($C29&lt;&gt;"",$P29=""),TRUE,FALSE)</f>
        <v>0</v>
      </c>
      <c r="BF29" s="144" t="b">
        <f>IF($BG29=TRUE,FALSE,IF(OR($R29&lt;$BF$5,$R29&gt;$BG$5),TRUE,FALSE))</f>
        <v>0</v>
      </c>
      <c r="BG29" s="144" t="b">
        <f>IF(AND($C29&lt;&gt;"",$R29=""),TRUE,FALSE)</f>
        <v>0</v>
      </c>
      <c r="BH29" s="160" t="b">
        <f>IF(BI29=TRUE,FALSE,IF(AND(V29&lt;&gt;"",V$11=""),TRUE,IF(AND(V29&lt;&gt;"",V$11&lt;&gt;"",$R29&lt;&gt;$AP29),TRUE,IF(OR(V29&lt;0,V29&gt;$R29),TRUE,FALSE))))</f>
        <v>0</v>
      </c>
      <c r="BI29" s="144" t="b">
        <f>IF(AND($C29&lt;&gt;"",V$11&lt;&gt;"",$V29=""),TRUE,FALSE)</f>
        <v>0</v>
      </c>
      <c r="BJ29" s="160" t="b">
        <f>IF(BK29=TRUE,FALSE,IF(AND(X29&lt;&gt;"",X$11=""),TRUE,IF(AND(X29&lt;&gt;"",X$11&lt;&gt;"",$R29&lt;&gt;$AP29),TRUE,IF(OR(X29&lt;0,X29&gt;$R29),TRUE,FALSE))))</f>
        <v>0</v>
      </c>
      <c r="BK29" s="144" t="b">
        <f>IF(AND($C29&lt;&gt;"",X$11&lt;&gt;"",$X29=""),TRUE,FALSE)</f>
        <v>0</v>
      </c>
      <c r="BL29" s="160" t="b">
        <f>IF(BM29=TRUE,FALSE,IF(AND(Z29&lt;&gt;"",Z$11=""),TRUE,IF(AND(Z29&lt;&gt;"",Z$11&lt;&gt;"",$R29&lt;&gt;$AP29),TRUE,IF(OR(Z29&lt;0,Z29&gt;$R29),TRUE,FALSE))))</f>
        <v>0</v>
      </c>
      <c r="BM29" s="144" t="b">
        <f>IF(AND($C29&lt;&gt;"",Z$11&lt;&gt;"",$Z29=""),TRUE,FALSE)</f>
        <v>0</v>
      </c>
      <c r="BN29" s="160" t="b">
        <f>IF(BO29=TRUE,FALSE,IF(AND(AB29&lt;&gt;"",AB$11=""),TRUE,IF(AND(AB29&lt;&gt;"",AB$11&lt;&gt;"",$R29&lt;&gt;$AP29),TRUE,IF(OR(AB29&lt;0,AB29&gt;$R29),TRUE,FALSE))))</f>
        <v>0</v>
      </c>
      <c r="BO29" s="144" t="b">
        <f>IF(AND($C29&lt;&gt;"",AB$11&lt;&gt;"",$AB29=""),TRUE,FALSE)</f>
        <v>0</v>
      </c>
      <c r="BP29" s="160" t="b">
        <f>IF(BQ29=TRUE,FALSE,IF(AND(AD29&lt;&gt;"",AD$11=""),TRUE,IF(AND(AD29&lt;&gt;"",AD$11&lt;&gt;"",$R29&lt;&gt;$AP29),TRUE,IF(OR(AD29&lt;0,AD29&gt;$R29),TRUE,FALSE))))</f>
        <v>0</v>
      </c>
      <c r="BQ29" s="144" t="b">
        <f>IF(AND($C29&lt;&gt;"",AD$11&lt;&gt;"",$AD29=""),TRUE,FALSE)</f>
        <v>0</v>
      </c>
      <c r="BR29" s="160" t="b">
        <f>IF(BS29=TRUE,FALSE,IF(AND(AF29&lt;&gt;"",AF$11=""),TRUE,IF(AND(AF29&lt;&gt;"",AF$11&lt;&gt;"",$R29&lt;&gt;$AP29),TRUE,IF(OR(AF29&lt;0,AF29&gt;$R29),TRUE,FALSE))))</f>
        <v>0</v>
      </c>
      <c r="BS29" s="144" t="b">
        <f>IF(AND($C29&lt;&gt;"",AF$11&lt;&gt;"",$AF29=""),TRUE,FALSE)</f>
        <v>0</v>
      </c>
      <c r="BT29" s="160" t="b">
        <f>IF(BU29=TRUE,FALSE,IF(AND(AH29&lt;&gt;"",AH$11=""),TRUE,IF(AND(AH29&lt;&gt;"",AH$11&lt;&gt;"",$R29&lt;&gt;$AP29),TRUE,IF(OR(AH29&lt;0,AH29&gt;$R29),TRUE,FALSE))))</f>
        <v>0</v>
      </c>
      <c r="BU29" s="144" t="b">
        <f>IF(AND($C29&lt;&gt;"",AH$11&lt;&gt;"",$AH29=""),TRUE,FALSE)</f>
        <v>0</v>
      </c>
      <c r="BV29" s="160" t="b">
        <f>IF(BW29=TRUE,FALSE,IF(AND(AJ29&lt;&gt;"",AJ$11=""),TRUE,IF(AND(AJ29&lt;&gt;"",AJ$11&lt;&gt;"",$R29&lt;&gt;$AP29),TRUE,IF(OR(AJ29&lt;0,AJ29&gt;$R29),TRUE,FALSE))))</f>
        <v>0</v>
      </c>
      <c r="BW29" s="144" t="b">
        <f>IF(AND($C29&lt;&gt;"",AJ$11&lt;&gt;"",$AJ29=""),TRUE,FALSE)</f>
        <v>0</v>
      </c>
      <c r="BX29" s="160" t="b">
        <f>IF(BY29=TRUE,FALSE,IF(AND(AL29&lt;&gt;"",AL$11=""),TRUE,IF(AND(AL29&lt;&gt;"",AL$11&lt;&gt;"",$R29&lt;&gt;$AP29),TRUE,IF(OR(AL29&lt;0,AL29&gt;$R29),TRUE,FALSE))))</f>
        <v>0</v>
      </c>
      <c r="BY29" s="144" t="b">
        <f>IF(AND($C29&lt;&gt;"",AL$11&lt;&gt;"",$AL29=""),TRUE,FALSE)</f>
        <v>0</v>
      </c>
      <c r="BZ29" s="160" t="b">
        <f>IF(CA29=TRUE,FALSE,IF(AND(AN29&lt;&gt;"",AN$11=""),TRUE,IF(AND(AN29&lt;&gt;"",AN$11&lt;&gt;"",$R29&lt;&gt;$AP29),TRUE,IF(OR(AN29&lt;0,AN29&gt;$R29),TRUE,FALSE))))</f>
        <v>0</v>
      </c>
      <c r="CA29" s="144" t="b">
        <f>IF(AND($C29&lt;&gt;"",AN$11&lt;&gt;"",$AN29=""),TRUE,FALSE)</f>
        <v>0</v>
      </c>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4"/>
    </row>
    <row r="30" spans="1:101" ht="6.75" customHeight="1" thickBot="1" x14ac:dyDescent="0.25">
      <c r="A30" s="228"/>
      <c r="B30" s="228"/>
      <c r="C30" s="232"/>
      <c r="D30" s="267"/>
      <c r="I30" s="267"/>
      <c r="K30" s="228"/>
      <c r="M30" s="267"/>
      <c r="O30" s="267"/>
      <c r="Q30" s="267"/>
      <c r="S30" s="267"/>
      <c r="U30" s="267"/>
      <c r="V30" s="283"/>
      <c r="W30" s="267"/>
      <c r="X30" s="283"/>
      <c r="Y30" s="267"/>
      <c r="Z30" s="283"/>
      <c r="AA30" s="267"/>
      <c r="AB30" s="283"/>
      <c r="AC30" s="267"/>
      <c r="AD30" s="283"/>
      <c r="AE30" s="267"/>
      <c r="AF30" s="283"/>
      <c r="AG30" s="267"/>
      <c r="AH30" s="283"/>
      <c r="AI30" s="267"/>
      <c r="AJ30" s="283"/>
      <c r="AK30" s="267"/>
      <c r="AL30" s="283"/>
      <c r="AM30" s="267"/>
      <c r="AN30" s="283"/>
      <c r="AO30" s="267"/>
      <c r="AP30" s="267"/>
      <c r="AQ30" s="267"/>
      <c r="AR30" s="232"/>
      <c r="AY30" s="145"/>
      <c r="AZ30" s="146"/>
      <c r="BA30" s="146"/>
      <c r="BB30" s="146"/>
      <c r="BC30" s="146"/>
      <c r="BD30" s="145"/>
      <c r="BE30" s="146"/>
      <c r="BF30" s="146"/>
      <c r="BG30" s="146"/>
      <c r="BH30" s="145"/>
      <c r="BI30" s="146"/>
      <c r="BJ30" s="145"/>
      <c r="BK30" s="146"/>
      <c r="BL30" s="145"/>
      <c r="BM30" s="146"/>
      <c r="BN30" s="145"/>
      <c r="BO30" s="146"/>
      <c r="BP30" s="145"/>
      <c r="BQ30" s="146"/>
      <c r="BR30" s="145"/>
      <c r="BS30" s="146"/>
      <c r="BT30" s="145"/>
      <c r="BU30" s="146"/>
      <c r="BV30" s="145"/>
      <c r="BW30" s="146"/>
      <c r="BX30" s="145"/>
      <c r="BY30" s="146"/>
      <c r="BZ30" s="145"/>
      <c r="CA30" s="146"/>
    </row>
    <row r="31" spans="1:101" s="101" customFormat="1" ht="12.75" customHeight="1" x14ac:dyDescent="0.2">
      <c r="A31" s="227">
        <f>A29+1</f>
        <v>8</v>
      </c>
      <c r="B31" s="227"/>
      <c r="C31" s="231"/>
      <c r="D31" s="251" t="str">
        <f>IF((C31=""),"Enter Segment "&amp;TEXT(A31,0)&amp;" Name, then Enter Data in Columns "&amp;TEXT($H$2,0)&amp;" - "&amp;TEXT($AN$2,0)&amp;"       ","")</f>
        <v xml:space="preserve">Enter Segment 8 Name, then Enter Data in Columns h - an       </v>
      </c>
      <c r="E31" s="131" t="str">
        <f>IF($AW31="B","N/A",IF(AX31="N","No",IF(AX31="Y","Yes","")))</f>
        <v>N/A</v>
      </c>
      <c r="F31" s="130"/>
      <c r="G31" s="130"/>
      <c r="H31" s="285"/>
      <c r="I31" s="251" t="str">
        <f>IF($C31&lt;&gt;"","Enter Starting Point       ","")</f>
        <v/>
      </c>
      <c r="J31" s="285"/>
      <c r="K31" s="227"/>
      <c r="L31" s="88"/>
      <c r="M31" s="251" t="str">
        <f>IF($C31&lt;&gt;"","Select from Pull-Down List  ","")</f>
        <v/>
      </c>
      <c r="N31" s="88"/>
      <c r="O31" s="251" t="str">
        <f>IF($C31&lt;&gt;"","Select from Pull-Down List  ","")</f>
        <v/>
      </c>
      <c r="P31" s="131"/>
      <c r="Q31" s="251" t="str">
        <f>IF($C31&lt;&gt;"","Dir. Route-Mi?    ","")</f>
        <v/>
      </c>
      <c r="R31" s="131"/>
      <c r="S31" s="251" t="str">
        <f>IF($C31&lt;&gt;"","Trk-Mi?      ","")</f>
        <v/>
      </c>
      <c r="T31" s="131"/>
      <c r="U31" s="251" t="str">
        <f>IF($C31&lt;&gt;"","Trk-Mi?      ","")</f>
        <v/>
      </c>
      <c r="V31" s="284"/>
      <c r="W31" s="278" t="str">
        <f>IF(OR($R31="",V$11=""),"","0 - "&amp;TEXT($R31-$AP31,"0.0")&amp;" Trk-Mi?    ")</f>
        <v/>
      </c>
      <c r="X31" s="284"/>
      <c r="Y31" s="278" t="str">
        <f>IF(OR($R31="",X$11=""),"","0 - "&amp;TEXT($R31-$AP31,"0.0")&amp;" Trk-Mi?    ")</f>
        <v/>
      </c>
      <c r="Z31" s="284"/>
      <c r="AA31" s="278" t="str">
        <f>IF(OR($R31="",Z$11=""),"","0 - "&amp;TEXT($R31-$AP31,"0.0")&amp;" Trk-Mi?    ")</f>
        <v/>
      </c>
      <c r="AB31" s="284"/>
      <c r="AC31" s="278" t="str">
        <f>IF(OR($R31="",AB$11=""),"","0 - "&amp;TEXT($R31-$AP31,"0.0")&amp;" Trk-Mi?    ")</f>
        <v/>
      </c>
      <c r="AD31" s="284"/>
      <c r="AE31" s="278" t="str">
        <f>IF(OR($R31="",AD$11=""),"","0 - "&amp;TEXT($R31-$AP31,"0.0")&amp;" Trk-Mi?    ")</f>
        <v/>
      </c>
      <c r="AF31" s="284"/>
      <c r="AG31" s="278" t="str">
        <f>IF(OR($R31="",AF$11=""),"","0 - "&amp;TEXT($R31-$AP31,"0.0")&amp;" Trk-Mi?    ")</f>
        <v/>
      </c>
      <c r="AH31" s="284"/>
      <c r="AI31" s="278" t="str">
        <f>IF(OR($R31="",AH$11=""),"","0 - "&amp;TEXT($R31-$AP31,"0.0")&amp;" Trk-Mi?    ")</f>
        <v/>
      </c>
      <c r="AJ31" s="284"/>
      <c r="AK31" s="278" t="str">
        <f>IF(OR($R31="",AJ$11=""),"","0 - "&amp;TEXT($R31-$AP31,"0.0")&amp;" Trk-Mi?    ")</f>
        <v/>
      </c>
      <c r="AL31" s="284"/>
      <c r="AM31" s="278" t="str">
        <f>IF(OR($R31="",AL$11=""),"","0 - "&amp;TEXT($R31-$AP31,"0.0")&amp;" Trk-Mi?    ")</f>
        <v/>
      </c>
      <c r="AN31" s="284"/>
      <c r="AO31" s="278" t="str">
        <f>IF(OR($R31="",AN$11=""),"","0 - "&amp;TEXT($R31-$AP31,"0.0")&amp;" Trk-Mi?    ")</f>
        <v/>
      </c>
      <c r="AP31" s="282">
        <f>SUM(V31,X31,Z31,AB31,AD31,AF31,AH31,AJ31,AL31,AN31)</f>
        <v>0</v>
      </c>
      <c r="AQ31" s="278"/>
      <c r="AR31" s="234"/>
      <c r="AS31" s="107"/>
      <c r="AT31" s="107"/>
      <c r="AU31" s="107"/>
      <c r="AW31" s="107" t="str">
        <f>IF(AND($C31="",$H31="",$J31="",$L31="",$N31="",$P31="",$R31=""),"B","NB")</f>
        <v>B</v>
      </c>
      <c r="AX31" s="241" t="str">
        <f>IF(OR($C31="",$H31="",$J31="",$L31="",$N31="",$R31="",$P31="",AND($V$11&lt;&gt;"",$V31=""),AND($X$11&lt;&gt;"",$X31=""),AND($Z$11&lt;&gt;"",$Z31=""),AND($AB$11&lt;&gt;"",$AB31=""),AND($AD$11&lt;&gt;"",$AD31=""),AND($AF$11&lt;&gt;"",$AF31=""),AND($AH$11&lt;&gt;"",$AH31=""),AND($AJ$11&lt;&gt;"",$AJ31=""),AND($AL$11&lt;&gt;"",$AL31=""),AND($AN$11&lt;&gt;"",$AN31="")),"N","Y")</f>
        <v>N</v>
      </c>
      <c r="AY31" s="142" t="b">
        <f>IF(AND($C31="",OR($H31&lt;&gt;"",$J31&lt;&gt;"",$L31&lt;&gt;"",$N31&lt;&gt;"",$R31&lt;&gt;"",$P31&lt;&gt;"",AND($V$11&lt;&gt;"",$V31&lt;&gt;""),AND($X$11&lt;&gt;"",$X31&lt;&gt;""),AND($Z$11&lt;&gt;"",$Z31&lt;&gt;""),AND($AB$11&lt;&gt;"",$AB31&lt;&gt;""),AND($AD$11&lt;&gt;"",$AD31&lt;&gt;""),AND($AF$11&lt;&gt;"",$AF31&lt;&gt;""),AND($AH$11&lt;&gt;"",$AH31&lt;&gt;""),AND($AJ$11&lt;&gt;"",$AJ31&lt;&gt;""),AND($AL$11&lt;&gt;"",$AL31&lt;&gt;""),AND($AN$11&lt;&gt;"",$AN31&lt;&gt;""))),TRUE,FALSE)</f>
        <v>0</v>
      </c>
      <c r="AZ31" s="144" t="b">
        <f>IF(AND($C31&lt;&gt;"",$H31=""),TRUE,FALSE)</f>
        <v>0</v>
      </c>
      <c r="BA31" s="144" t="b">
        <f>IF(AND($C31&lt;&gt;"",$J31=""),TRUE,FALSE)</f>
        <v>0</v>
      </c>
      <c r="BB31" s="144" t="b">
        <f>IF(AND($C31&lt;&gt;"",$L31=""),TRUE,FALSE)</f>
        <v>0</v>
      </c>
      <c r="BC31" s="144" t="b">
        <f>IF(AND($C31&lt;&gt;"",$N31=""),TRUE,FALSE)</f>
        <v>0</v>
      </c>
      <c r="BD31" s="142" t="b">
        <f>IF($BE31=TRUE,FALSE,IF(OR($P31&lt;$BD$5,$P31&gt;$BE$5),TRUE,FALSE))</f>
        <v>0</v>
      </c>
      <c r="BE31" s="144" t="b">
        <f>IF(AND($C31&lt;&gt;"",$P31=""),TRUE,FALSE)</f>
        <v>0</v>
      </c>
      <c r="BF31" s="144" t="b">
        <f>IF($BG31=TRUE,FALSE,IF(OR($R31&lt;$BF$5,$R31&gt;$BG$5),TRUE,FALSE))</f>
        <v>0</v>
      </c>
      <c r="BG31" s="144" t="b">
        <f>IF(AND($C31&lt;&gt;"",$R31=""),TRUE,FALSE)</f>
        <v>0</v>
      </c>
      <c r="BH31" s="160" t="b">
        <f>IF(BI31=TRUE,FALSE,IF(AND(V31&lt;&gt;"",V$11=""),TRUE,IF(AND(V31&lt;&gt;"",V$11&lt;&gt;"",$R31&lt;&gt;$AP31),TRUE,IF(OR(V31&lt;0,V31&gt;$R31),TRUE,FALSE))))</f>
        <v>0</v>
      </c>
      <c r="BI31" s="144" t="b">
        <f>IF(AND($C31&lt;&gt;"",V$11&lt;&gt;"",$V31=""),TRUE,FALSE)</f>
        <v>0</v>
      </c>
      <c r="BJ31" s="160" t="b">
        <f>IF(BK31=TRUE,FALSE,IF(AND(X31&lt;&gt;"",X$11=""),TRUE,IF(AND(X31&lt;&gt;"",X$11&lt;&gt;"",$R31&lt;&gt;$AP31),TRUE,IF(OR(X31&lt;0,X31&gt;$R31),TRUE,FALSE))))</f>
        <v>0</v>
      </c>
      <c r="BK31" s="144" t="b">
        <f>IF(AND($C31&lt;&gt;"",X$11&lt;&gt;"",$X31=""),TRUE,FALSE)</f>
        <v>0</v>
      </c>
      <c r="BL31" s="160" t="b">
        <f>IF(BM31=TRUE,FALSE,IF(AND(Z31&lt;&gt;"",Z$11=""),TRUE,IF(AND(Z31&lt;&gt;"",Z$11&lt;&gt;"",$R31&lt;&gt;$AP31),TRUE,IF(OR(Z31&lt;0,Z31&gt;$R31),TRUE,FALSE))))</f>
        <v>0</v>
      </c>
      <c r="BM31" s="144" t="b">
        <f>IF(AND($C31&lt;&gt;"",Z$11&lt;&gt;"",$Z31=""),TRUE,FALSE)</f>
        <v>0</v>
      </c>
      <c r="BN31" s="160" t="b">
        <f>IF(BO31=TRUE,FALSE,IF(AND(AB31&lt;&gt;"",AB$11=""),TRUE,IF(AND(AB31&lt;&gt;"",AB$11&lt;&gt;"",$R31&lt;&gt;$AP31),TRUE,IF(OR(AB31&lt;0,AB31&gt;$R31),TRUE,FALSE))))</f>
        <v>0</v>
      </c>
      <c r="BO31" s="144" t="b">
        <f>IF(AND($C31&lt;&gt;"",AB$11&lt;&gt;"",$AB31=""),TRUE,FALSE)</f>
        <v>0</v>
      </c>
      <c r="BP31" s="160" t="b">
        <f>IF(BQ31=TRUE,FALSE,IF(AND(AD31&lt;&gt;"",AD$11=""),TRUE,IF(AND(AD31&lt;&gt;"",AD$11&lt;&gt;"",$R31&lt;&gt;$AP31),TRUE,IF(OR(AD31&lt;0,AD31&gt;$R31),TRUE,FALSE))))</f>
        <v>0</v>
      </c>
      <c r="BQ31" s="144" t="b">
        <f>IF(AND($C31&lt;&gt;"",AD$11&lt;&gt;"",$AD31=""),TRUE,FALSE)</f>
        <v>0</v>
      </c>
      <c r="BR31" s="160" t="b">
        <f>IF(BS31=TRUE,FALSE,IF(AND(AF31&lt;&gt;"",AF$11=""),TRUE,IF(AND(AF31&lt;&gt;"",AF$11&lt;&gt;"",$R31&lt;&gt;$AP31),TRUE,IF(OR(AF31&lt;0,AF31&gt;$R31),TRUE,FALSE))))</f>
        <v>0</v>
      </c>
      <c r="BS31" s="144" t="b">
        <f>IF(AND($C31&lt;&gt;"",AF$11&lt;&gt;"",$AF31=""),TRUE,FALSE)</f>
        <v>0</v>
      </c>
      <c r="BT31" s="160" t="b">
        <f>IF(BU31=TRUE,FALSE,IF(AND(AH31&lt;&gt;"",AH$11=""),TRUE,IF(AND(AH31&lt;&gt;"",AH$11&lt;&gt;"",$R31&lt;&gt;$AP31),TRUE,IF(OR(AH31&lt;0,AH31&gt;$R31),TRUE,FALSE))))</f>
        <v>0</v>
      </c>
      <c r="BU31" s="144" t="b">
        <f>IF(AND($C31&lt;&gt;"",AH$11&lt;&gt;"",$AH31=""),TRUE,FALSE)</f>
        <v>0</v>
      </c>
      <c r="BV31" s="160" t="b">
        <f>IF(BW31=TRUE,FALSE,IF(AND(AJ31&lt;&gt;"",AJ$11=""),TRUE,IF(AND(AJ31&lt;&gt;"",AJ$11&lt;&gt;"",$R31&lt;&gt;$AP31),TRUE,IF(OR(AJ31&lt;0,AJ31&gt;$R31),TRUE,FALSE))))</f>
        <v>0</v>
      </c>
      <c r="BW31" s="144" t="b">
        <f>IF(AND($C31&lt;&gt;"",AJ$11&lt;&gt;"",$AJ31=""),TRUE,FALSE)</f>
        <v>0</v>
      </c>
      <c r="BX31" s="160" t="b">
        <f>IF(BY31=TRUE,FALSE,IF(AND(AL31&lt;&gt;"",AL$11=""),TRUE,IF(AND(AL31&lt;&gt;"",AL$11&lt;&gt;"",$R31&lt;&gt;$AP31),TRUE,IF(OR(AL31&lt;0,AL31&gt;$R31),TRUE,FALSE))))</f>
        <v>0</v>
      </c>
      <c r="BY31" s="144" t="b">
        <f>IF(AND($C31&lt;&gt;"",AL$11&lt;&gt;"",$AL31=""),TRUE,FALSE)</f>
        <v>0</v>
      </c>
      <c r="BZ31" s="160" t="b">
        <f>IF(CA31=TRUE,FALSE,IF(AND(AN31&lt;&gt;"",AN$11=""),TRUE,IF(AND(AN31&lt;&gt;"",AN$11&lt;&gt;"",$R31&lt;&gt;$AP31),TRUE,IF(OR(AN31&lt;0,AN31&gt;$R31),TRUE,FALSE))))</f>
        <v>0</v>
      </c>
      <c r="CA31" s="144" t="b">
        <f>IF(AND($C31&lt;&gt;"",AN$11&lt;&gt;"",$AN31=""),TRUE,FALSE)</f>
        <v>0</v>
      </c>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4"/>
    </row>
    <row r="32" spans="1:101" ht="6.75" customHeight="1" thickBot="1" x14ac:dyDescent="0.25">
      <c r="A32" s="228"/>
      <c r="B32" s="228"/>
      <c r="C32" s="232"/>
      <c r="D32" s="267"/>
      <c r="I32" s="267"/>
      <c r="K32" s="228"/>
      <c r="M32" s="267"/>
      <c r="O32" s="267"/>
      <c r="Q32" s="267"/>
      <c r="S32" s="267"/>
      <c r="U32" s="267"/>
      <c r="V32" s="283"/>
      <c r="W32" s="267"/>
      <c r="X32" s="283"/>
      <c r="Y32" s="267"/>
      <c r="Z32" s="283"/>
      <c r="AA32" s="267"/>
      <c r="AB32" s="283"/>
      <c r="AC32" s="267"/>
      <c r="AD32" s="283"/>
      <c r="AE32" s="267"/>
      <c r="AF32" s="283"/>
      <c r="AG32" s="267"/>
      <c r="AH32" s="283"/>
      <c r="AI32" s="267"/>
      <c r="AJ32" s="283"/>
      <c r="AK32" s="267"/>
      <c r="AL32" s="283"/>
      <c r="AM32" s="267"/>
      <c r="AN32" s="283"/>
      <c r="AO32" s="267"/>
      <c r="AP32" s="267"/>
      <c r="AQ32" s="267"/>
      <c r="AR32" s="232"/>
      <c r="AY32" s="145"/>
      <c r="AZ32" s="146"/>
      <c r="BA32" s="146"/>
      <c r="BB32" s="146"/>
      <c r="BC32" s="146"/>
      <c r="BD32" s="145"/>
      <c r="BE32" s="146"/>
      <c r="BF32" s="146"/>
      <c r="BG32" s="146"/>
      <c r="BH32" s="145"/>
      <c r="BI32" s="146"/>
      <c r="BJ32" s="145"/>
      <c r="BK32" s="146"/>
      <c r="BL32" s="145"/>
      <c r="BM32" s="146"/>
      <c r="BN32" s="145"/>
      <c r="BO32" s="146"/>
      <c r="BP32" s="145"/>
      <c r="BQ32" s="146"/>
      <c r="BR32" s="145"/>
      <c r="BS32" s="146"/>
      <c r="BT32" s="145"/>
      <c r="BU32" s="146"/>
      <c r="BV32" s="145"/>
      <c r="BW32" s="146"/>
      <c r="BX32" s="145"/>
      <c r="BY32" s="146"/>
      <c r="BZ32" s="145"/>
      <c r="CA32" s="146"/>
    </row>
    <row r="33" spans="1:101" s="101" customFormat="1" ht="12.75" customHeight="1" x14ac:dyDescent="0.2">
      <c r="A33" s="227">
        <f>A31+1</f>
        <v>9</v>
      </c>
      <c r="B33" s="227"/>
      <c r="C33" s="231"/>
      <c r="D33" s="251" t="str">
        <f>IF((C33=""),"Enter Segment "&amp;TEXT(A33,0)&amp;" Name, then Enter Data in Columns "&amp;TEXT($H$2,0)&amp;" - "&amp;TEXT($AN$2,0)&amp;"       ","")</f>
        <v xml:space="preserve">Enter Segment 9 Name, then Enter Data in Columns h - an       </v>
      </c>
      <c r="E33" s="131" t="str">
        <f>IF($AW33="B","N/A",IF(AX33="N","No",IF(AX33="Y","Yes","")))</f>
        <v>N/A</v>
      </c>
      <c r="F33" s="130"/>
      <c r="G33" s="130"/>
      <c r="H33" s="285"/>
      <c r="I33" s="251" t="str">
        <f>IF($C33&lt;&gt;"","Enter Starting Point       ","")</f>
        <v/>
      </c>
      <c r="J33" s="285"/>
      <c r="K33" s="227"/>
      <c r="L33" s="88"/>
      <c r="M33" s="251" t="str">
        <f>IF($C33&lt;&gt;"","Select from Pull-Down List  ","")</f>
        <v/>
      </c>
      <c r="N33" s="88"/>
      <c r="O33" s="251" t="str">
        <f>IF($C33&lt;&gt;"","Select from Pull-Down List  ","")</f>
        <v/>
      </c>
      <c r="P33" s="131"/>
      <c r="Q33" s="251" t="str">
        <f>IF($C33&lt;&gt;"","Dir. Route-Mi?    ","")</f>
        <v/>
      </c>
      <c r="R33" s="131"/>
      <c r="S33" s="251" t="str">
        <f>IF($C33&lt;&gt;"","Trk-Mi?      ","")</f>
        <v/>
      </c>
      <c r="T33" s="131"/>
      <c r="U33" s="251" t="str">
        <f>IF($C33&lt;&gt;"","Trk-Mi?      ","")</f>
        <v/>
      </c>
      <c r="V33" s="284"/>
      <c r="W33" s="278" t="str">
        <f>IF(OR($R33="",V$11=""),"","0 - "&amp;TEXT($R33-$AP33,"0.0")&amp;" Trk-Mi?    ")</f>
        <v/>
      </c>
      <c r="X33" s="284"/>
      <c r="Y33" s="278" t="str">
        <f>IF(OR($R33="",X$11=""),"","0 - "&amp;TEXT($R33-$AP33,"0.0")&amp;" Trk-Mi?    ")</f>
        <v/>
      </c>
      <c r="Z33" s="284"/>
      <c r="AA33" s="278" t="str">
        <f>IF(OR($R33="",Z$11=""),"","0 - "&amp;TEXT($R33-$AP33,"0.0")&amp;" Trk-Mi?    ")</f>
        <v/>
      </c>
      <c r="AB33" s="284"/>
      <c r="AC33" s="278" t="str">
        <f>IF(OR($R33="",AB$11=""),"","0 - "&amp;TEXT($R33-$AP33,"0.0")&amp;" Trk-Mi?    ")</f>
        <v/>
      </c>
      <c r="AD33" s="284"/>
      <c r="AE33" s="278" t="str">
        <f>IF(OR($R33="",AD$11=""),"","0 - "&amp;TEXT($R33-$AP33,"0.0")&amp;" Trk-Mi?    ")</f>
        <v/>
      </c>
      <c r="AF33" s="284"/>
      <c r="AG33" s="278" t="str">
        <f>IF(OR($R33="",AF$11=""),"","0 - "&amp;TEXT($R33-$AP33,"0.0")&amp;" Trk-Mi?    ")</f>
        <v/>
      </c>
      <c r="AH33" s="284"/>
      <c r="AI33" s="278" t="str">
        <f>IF(OR($R33="",AH$11=""),"","0 - "&amp;TEXT($R33-$AP33,"0.0")&amp;" Trk-Mi?    ")</f>
        <v/>
      </c>
      <c r="AJ33" s="284"/>
      <c r="AK33" s="278" t="str">
        <f>IF(OR($R33="",AJ$11=""),"","0 - "&amp;TEXT($R33-$AP33,"0.0")&amp;" Trk-Mi?    ")</f>
        <v/>
      </c>
      <c r="AL33" s="284"/>
      <c r="AM33" s="278" t="str">
        <f>IF(OR($R33="",AL$11=""),"","0 - "&amp;TEXT($R33-$AP33,"0.0")&amp;" Trk-Mi?    ")</f>
        <v/>
      </c>
      <c r="AN33" s="284"/>
      <c r="AO33" s="278" t="str">
        <f>IF(OR($R33="",AN$11=""),"","0 - "&amp;TEXT($R33-$AP33,"0.0")&amp;" Trk-Mi?    ")</f>
        <v/>
      </c>
      <c r="AP33" s="282">
        <f>SUM(V33,X33,Z33,AB33,AD33,AF33,AH33,AJ33,AL33,AN33)</f>
        <v>0</v>
      </c>
      <c r="AQ33" s="278"/>
      <c r="AR33" s="234"/>
      <c r="AS33" s="107"/>
      <c r="AT33" s="107"/>
      <c r="AU33" s="107"/>
      <c r="AW33" s="107" t="str">
        <f>IF(AND($C33="",$H33="",$J33="",$L33="",$N33="",$P33="",$R33=""),"B","NB")</f>
        <v>B</v>
      </c>
      <c r="AX33" s="241" t="str">
        <f>IF(OR($C33="",$H33="",$J33="",$L33="",$N33="",$R33="",$P33="",AND($V$11&lt;&gt;"",$V33=""),AND($X$11&lt;&gt;"",$X33=""),AND($Z$11&lt;&gt;"",$Z33=""),AND($AB$11&lt;&gt;"",$AB33=""),AND($AD$11&lt;&gt;"",$AD33=""),AND($AF$11&lt;&gt;"",$AF33=""),AND($AH$11&lt;&gt;"",$AH33=""),AND($AJ$11&lt;&gt;"",$AJ33=""),AND($AL$11&lt;&gt;"",$AL33=""),AND($AN$11&lt;&gt;"",$AN33="")),"N","Y")</f>
        <v>N</v>
      </c>
      <c r="AY33" s="142" t="b">
        <f>IF(AND($C33="",OR($H33&lt;&gt;"",$J33&lt;&gt;"",$L33&lt;&gt;"",$N33&lt;&gt;"",$R33&lt;&gt;"",$P33&lt;&gt;"",AND($V$11&lt;&gt;"",$V33&lt;&gt;""),AND($X$11&lt;&gt;"",$X33&lt;&gt;""),AND($Z$11&lt;&gt;"",$Z33&lt;&gt;""),AND($AB$11&lt;&gt;"",$AB33&lt;&gt;""),AND($AD$11&lt;&gt;"",$AD33&lt;&gt;""),AND($AF$11&lt;&gt;"",$AF33&lt;&gt;""),AND($AH$11&lt;&gt;"",$AH33&lt;&gt;""),AND($AJ$11&lt;&gt;"",$AJ33&lt;&gt;""),AND($AL$11&lt;&gt;"",$AL33&lt;&gt;""),AND($AN$11&lt;&gt;"",$AN33&lt;&gt;""))),TRUE,FALSE)</f>
        <v>0</v>
      </c>
      <c r="AZ33" s="144" t="b">
        <f>IF(AND($C33&lt;&gt;"",$H33=""),TRUE,FALSE)</f>
        <v>0</v>
      </c>
      <c r="BA33" s="144" t="b">
        <f>IF(AND($C33&lt;&gt;"",$J33=""),TRUE,FALSE)</f>
        <v>0</v>
      </c>
      <c r="BB33" s="144" t="b">
        <f>IF(AND($C33&lt;&gt;"",$L33=""),TRUE,FALSE)</f>
        <v>0</v>
      </c>
      <c r="BC33" s="144" t="b">
        <f>IF(AND($C33&lt;&gt;"",$N33=""),TRUE,FALSE)</f>
        <v>0</v>
      </c>
      <c r="BD33" s="142" t="b">
        <f>IF($BE33=TRUE,FALSE,IF(OR($P33&lt;$BD$5,$P33&gt;$BE$5),TRUE,FALSE))</f>
        <v>0</v>
      </c>
      <c r="BE33" s="144" t="b">
        <f>IF(AND($C33&lt;&gt;"",$P33=""),TRUE,FALSE)</f>
        <v>0</v>
      </c>
      <c r="BF33" s="144" t="b">
        <f>IF($BG33=TRUE,FALSE,IF(OR($R33&lt;$BF$5,$R33&gt;$BG$5),TRUE,FALSE))</f>
        <v>0</v>
      </c>
      <c r="BG33" s="144" t="b">
        <f>IF(AND($C33&lt;&gt;"",$R33=""),TRUE,FALSE)</f>
        <v>0</v>
      </c>
      <c r="BH33" s="160" t="b">
        <f>IF(BI33=TRUE,FALSE,IF(AND(V33&lt;&gt;"",V$11=""),TRUE,IF(AND(V33&lt;&gt;"",V$11&lt;&gt;"",$R33&lt;&gt;$AP33),TRUE,IF(OR(V33&lt;0,V33&gt;$R33),TRUE,FALSE))))</f>
        <v>0</v>
      </c>
      <c r="BI33" s="144" t="b">
        <f>IF(AND($C33&lt;&gt;"",V$11&lt;&gt;"",$V33=""),TRUE,FALSE)</f>
        <v>0</v>
      </c>
      <c r="BJ33" s="160" t="b">
        <f>IF(BK33=TRUE,FALSE,IF(AND(X33&lt;&gt;"",X$11=""),TRUE,IF(AND(X33&lt;&gt;"",X$11&lt;&gt;"",$R33&lt;&gt;$AP33),TRUE,IF(OR(X33&lt;0,X33&gt;$R33),TRUE,FALSE))))</f>
        <v>0</v>
      </c>
      <c r="BK33" s="144" t="b">
        <f>IF(AND($C33&lt;&gt;"",X$11&lt;&gt;"",$X33=""),TRUE,FALSE)</f>
        <v>0</v>
      </c>
      <c r="BL33" s="160" t="b">
        <f>IF(BM33=TRUE,FALSE,IF(AND(Z33&lt;&gt;"",Z$11=""),TRUE,IF(AND(Z33&lt;&gt;"",Z$11&lt;&gt;"",$R33&lt;&gt;$AP33),TRUE,IF(OR(Z33&lt;0,Z33&gt;$R33),TRUE,FALSE))))</f>
        <v>0</v>
      </c>
      <c r="BM33" s="144" t="b">
        <f>IF(AND($C33&lt;&gt;"",Z$11&lt;&gt;"",$Z33=""),TRUE,FALSE)</f>
        <v>0</v>
      </c>
      <c r="BN33" s="160" t="b">
        <f>IF(BO33=TRUE,FALSE,IF(AND(AB33&lt;&gt;"",AB$11=""),TRUE,IF(AND(AB33&lt;&gt;"",AB$11&lt;&gt;"",$R33&lt;&gt;$AP33),TRUE,IF(OR(AB33&lt;0,AB33&gt;$R33),TRUE,FALSE))))</f>
        <v>0</v>
      </c>
      <c r="BO33" s="144" t="b">
        <f>IF(AND($C33&lt;&gt;"",AB$11&lt;&gt;"",$AB33=""),TRUE,FALSE)</f>
        <v>0</v>
      </c>
      <c r="BP33" s="160" t="b">
        <f>IF(BQ33=TRUE,FALSE,IF(AND(AD33&lt;&gt;"",AD$11=""),TRUE,IF(AND(AD33&lt;&gt;"",AD$11&lt;&gt;"",$R33&lt;&gt;$AP33),TRUE,IF(OR(AD33&lt;0,AD33&gt;$R33),TRUE,FALSE))))</f>
        <v>0</v>
      </c>
      <c r="BQ33" s="144" t="b">
        <f>IF(AND($C33&lt;&gt;"",AD$11&lt;&gt;"",$AD33=""),TRUE,FALSE)</f>
        <v>0</v>
      </c>
      <c r="BR33" s="160" t="b">
        <f>IF(BS33=TRUE,FALSE,IF(AND(AF33&lt;&gt;"",AF$11=""),TRUE,IF(AND(AF33&lt;&gt;"",AF$11&lt;&gt;"",$R33&lt;&gt;$AP33),TRUE,IF(OR(AF33&lt;0,AF33&gt;$R33),TRUE,FALSE))))</f>
        <v>0</v>
      </c>
      <c r="BS33" s="144" t="b">
        <f>IF(AND($C33&lt;&gt;"",AF$11&lt;&gt;"",$AF33=""),TRUE,FALSE)</f>
        <v>0</v>
      </c>
      <c r="BT33" s="160" t="b">
        <f>IF(BU33=TRUE,FALSE,IF(AND(AH33&lt;&gt;"",AH$11=""),TRUE,IF(AND(AH33&lt;&gt;"",AH$11&lt;&gt;"",$R33&lt;&gt;$AP33),TRUE,IF(OR(AH33&lt;0,AH33&gt;$R33),TRUE,FALSE))))</f>
        <v>0</v>
      </c>
      <c r="BU33" s="144" t="b">
        <f>IF(AND($C33&lt;&gt;"",AH$11&lt;&gt;"",$AH33=""),TRUE,FALSE)</f>
        <v>0</v>
      </c>
      <c r="BV33" s="160" t="b">
        <f>IF(BW33=TRUE,FALSE,IF(AND(AJ33&lt;&gt;"",AJ$11=""),TRUE,IF(AND(AJ33&lt;&gt;"",AJ$11&lt;&gt;"",$R33&lt;&gt;$AP33),TRUE,IF(OR(AJ33&lt;0,AJ33&gt;$R33),TRUE,FALSE))))</f>
        <v>0</v>
      </c>
      <c r="BW33" s="144" t="b">
        <f>IF(AND($C33&lt;&gt;"",AJ$11&lt;&gt;"",$AJ33=""),TRUE,FALSE)</f>
        <v>0</v>
      </c>
      <c r="BX33" s="160" t="b">
        <f>IF(BY33=TRUE,FALSE,IF(AND(AL33&lt;&gt;"",AL$11=""),TRUE,IF(AND(AL33&lt;&gt;"",AL$11&lt;&gt;"",$R33&lt;&gt;$AP33),TRUE,IF(OR(AL33&lt;0,AL33&gt;$R33),TRUE,FALSE))))</f>
        <v>0</v>
      </c>
      <c r="BY33" s="144" t="b">
        <f>IF(AND($C33&lt;&gt;"",AL$11&lt;&gt;"",$AL33=""),TRUE,FALSE)</f>
        <v>0</v>
      </c>
      <c r="BZ33" s="160" t="b">
        <f>IF(CA33=TRUE,FALSE,IF(AND(AN33&lt;&gt;"",AN$11=""),TRUE,IF(AND(AN33&lt;&gt;"",AN$11&lt;&gt;"",$R33&lt;&gt;$AP33),TRUE,IF(OR(AN33&lt;0,AN33&gt;$R33),TRUE,FALSE))))</f>
        <v>0</v>
      </c>
      <c r="CA33" s="144" t="b">
        <f>IF(AND($C33&lt;&gt;"",AN$11&lt;&gt;"",$AN33=""),TRUE,FALSE)</f>
        <v>0</v>
      </c>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4"/>
    </row>
    <row r="34" spans="1:101" ht="6.75" customHeight="1" thickBot="1" x14ac:dyDescent="0.25">
      <c r="A34" s="228"/>
      <c r="B34" s="228"/>
      <c r="C34" s="232"/>
      <c r="D34" s="267"/>
      <c r="I34" s="267"/>
      <c r="K34" s="228"/>
      <c r="M34" s="267"/>
      <c r="O34" s="267"/>
      <c r="Q34" s="267"/>
      <c r="S34" s="267"/>
      <c r="U34" s="267"/>
      <c r="V34" s="283"/>
      <c r="W34" s="267"/>
      <c r="X34" s="283"/>
      <c r="Y34" s="267"/>
      <c r="Z34" s="283"/>
      <c r="AA34" s="267"/>
      <c r="AB34" s="283"/>
      <c r="AC34" s="267"/>
      <c r="AD34" s="283"/>
      <c r="AE34" s="267"/>
      <c r="AF34" s="283"/>
      <c r="AG34" s="267"/>
      <c r="AH34" s="283"/>
      <c r="AI34" s="267"/>
      <c r="AJ34" s="283"/>
      <c r="AK34" s="267"/>
      <c r="AL34" s="283"/>
      <c r="AM34" s="267"/>
      <c r="AN34" s="283"/>
      <c r="AO34" s="267"/>
      <c r="AP34" s="267"/>
      <c r="AQ34" s="267"/>
      <c r="AR34" s="232"/>
      <c r="AY34" s="145"/>
      <c r="AZ34" s="146"/>
      <c r="BA34" s="146"/>
      <c r="BB34" s="146"/>
      <c r="BC34" s="146"/>
      <c r="BD34" s="145"/>
      <c r="BE34" s="146"/>
      <c r="BF34" s="146"/>
      <c r="BG34" s="146"/>
      <c r="BH34" s="145"/>
      <c r="BI34" s="146"/>
      <c r="BJ34" s="145"/>
      <c r="BK34" s="146"/>
      <c r="BL34" s="145"/>
      <c r="BM34" s="146"/>
      <c r="BN34" s="145"/>
      <c r="BO34" s="146"/>
      <c r="BP34" s="145"/>
      <c r="BQ34" s="146"/>
      <c r="BR34" s="145"/>
      <c r="BS34" s="146"/>
      <c r="BT34" s="145"/>
      <c r="BU34" s="146"/>
      <c r="BV34" s="145"/>
      <c r="BW34" s="146"/>
      <c r="BX34" s="145"/>
      <c r="BY34" s="146"/>
      <c r="BZ34" s="145"/>
      <c r="CA34" s="146"/>
    </row>
    <row r="35" spans="1:101" s="101" customFormat="1" ht="12.75" customHeight="1" x14ac:dyDescent="0.2">
      <c r="A35" s="227">
        <f>A33+1</f>
        <v>10</v>
      </c>
      <c r="B35" s="227"/>
      <c r="C35" s="231"/>
      <c r="D35" s="251" t="str">
        <f>IF((C35=""),"Enter Segment "&amp;TEXT(A35,0)&amp;" Name, then Enter Data in Columns "&amp;TEXT($H$2,0)&amp;" - "&amp;TEXT($AN$2,0)&amp;"       ","")</f>
        <v xml:space="preserve">Enter Segment 10 Name, then Enter Data in Columns h - an       </v>
      </c>
      <c r="E35" s="131" t="str">
        <f>IF($AW35="B","N/A",IF(AX35="N","No",IF(AX35="Y","Yes","")))</f>
        <v>N/A</v>
      </c>
      <c r="F35" s="130"/>
      <c r="G35" s="130"/>
      <c r="H35" s="285"/>
      <c r="I35" s="251" t="str">
        <f>IF($C35&lt;&gt;"","Enter Starting Point       ","")</f>
        <v/>
      </c>
      <c r="J35" s="285"/>
      <c r="K35" s="227"/>
      <c r="L35" s="88"/>
      <c r="M35" s="251" t="str">
        <f>IF($C35&lt;&gt;"","Select from Pull-Down List  ","")</f>
        <v/>
      </c>
      <c r="N35" s="88"/>
      <c r="O35" s="251" t="str">
        <f>IF($C35&lt;&gt;"","Select from Pull-Down List  ","")</f>
        <v/>
      </c>
      <c r="P35" s="131"/>
      <c r="Q35" s="251" t="str">
        <f>IF($C35&lt;&gt;"","Dir. Route-Mi?    ","")</f>
        <v/>
      </c>
      <c r="R35" s="131"/>
      <c r="S35" s="251" t="str">
        <f>IF($C35&lt;&gt;"","Trk-Mi?      ","")</f>
        <v/>
      </c>
      <c r="T35" s="131"/>
      <c r="U35" s="251" t="str">
        <f>IF($C35&lt;&gt;"","Trk-Mi?      ","")</f>
        <v/>
      </c>
      <c r="V35" s="284"/>
      <c r="W35" s="278" t="str">
        <f>IF(OR($R35="",V$11=""),"","0 - "&amp;TEXT($R35-$AP35,"0.0")&amp;" Trk-Mi?    ")</f>
        <v/>
      </c>
      <c r="X35" s="284"/>
      <c r="Y35" s="278" t="str">
        <f>IF(OR($R35="",X$11=""),"","0 - "&amp;TEXT($R35-$AP35,"0.0")&amp;" Trk-Mi?    ")</f>
        <v/>
      </c>
      <c r="Z35" s="284"/>
      <c r="AA35" s="278" t="str">
        <f>IF(OR($R35="",Z$11=""),"","0 - "&amp;TEXT($R35-$AP35,"0.0")&amp;" Trk-Mi?    ")</f>
        <v/>
      </c>
      <c r="AB35" s="284"/>
      <c r="AC35" s="278" t="str">
        <f>IF(OR($R35="",AB$11=""),"","0 - "&amp;TEXT($R35-$AP35,"0.0")&amp;" Trk-Mi?    ")</f>
        <v/>
      </c>
      <c r="AD35" s="284"/>
      <c r="AE35" s="278" t="str">
        <f>IF(OR($R35="",AD$11=""),"","0 - "&amp;TEXT($R35-$AP35,"0.0")&amp;" Trk-Mi?    ")</f>
        <v/>
      </c>
      <c r="AF35" s="284"/>
      <c r="AG35" s="278" t="str">
        <f>IF(OR($R35="",AF$11=""),"","0 - "&amp;TEXT($R35-$AP35,"0.0")&amp;" Trk-Mi?    ")</f>
        <v/>
      </c>
      <c r="AH35" s="284"/>
      <c r="AI35" s="278" t="str">
        <f>IF(OR($R35="",AH$11=""),"","0 - "&amp;TEXT($R35-$AP35,"0.0")&amp;" Trk-Mi?    ")</f>
        <v/>
      </c>
      <c r="AJ35" s="284"/>
      <c r="AK35" s="278" t="str">
        <f>IF(OR($R35="",AJ$11=""),"","0 - "&amp;TEXT($R35-$AP35,"0.0")&amp;" Trk-Mi?    ")</f>
        <v/>
      </c>
      <c r="AL35" s="284"/>
      <c r="AM35" s="278" t="str">
        <f>IF(OR($R35="",AL$11=""),"","0 - "&amp;TEXT($R35-$AP35,"0.0")&amp;" Trk-Mi?    ")</f>
        <v/>
      </c>
      <c r="AN35" s="284"/>
      <c r="AO35" s="278" t="str">
        <f>IF(OR($R35="",AN$11=""),"","0 - "&amp;TEXT($R35-$AP35,"0.0")&amp;" Trk-Mi?    ")</f>
        <v/>
      </c>
      <c r="AP35" s="282">
        <f>SUM(V35,X35,Z35,AB35,AD35,AF35,AH35,AJ35,AL35,AN35)</f>
        <v>0</v>
      </c>
      <c r="AQ35" s="278"/>
      <c r="AR35" s="234"/>
      <c r="AS35" s="107"/>
      <c r="AT35" s="107"/>
      <c r="AU35" s="107"/>
      <c r="AW35" s="107" t="str">
        <f>IF(AND($C35="",$H35="",$J35="",$L35="",$N35="",$P35="",$R35=""),"B","NB")</f>
        <v>B</v>
      </c>
      <c r="AX35" s="241" t="str">
        <f>IF(OR($C35="",$H35="",$J35="",$L35="",$N35="",$R35="",$P35="",AND($V$11&lt;&gt;"",$V35=""),AND($X$11&lt;&gt;"",$X35=""),AND($Z$11&lt;&gt;"",$Z35=""),AND($AB$11&lt;&gt;"",$AB35=""),AND($AD$11&lt;&gt;"",$AD35=""),AND($AF$11&lt;&gt;"",$AF35=""),AND($AH$11&lt;&gt;"",$AH35=""),AND($AJ$11&lt;&gt;"",$AJ35=""),AND($AL$11&lt;&gt;"",$AL35=""),AND($AN$11&lt;&gt;"",$AN35="")),"N","Y")</f>
        <v>N</v>
      </c>
      <c r="AY35" s="142" t="b">
        <f>IF(AND($C35="",OR($H35&lt;&gt;"",$J35&lt;&gt;"",$L35&lt;&gt;"",$N35&lt;&gt;"",$R35&lt;&gt;"",$P35&lt;&gt;"",AND($V$11&lt;&gt;"",$V35&lt;&gt;""),AND($X$11&lt;&gt;"",$X35&lt;&gt;""),AND($Z$11&lt;&gt;"",$Z35&lt;&gt;""),AND($AB$11&lt;&gt;"",$AB35&lt;&gt;""),AND($AD$11&lt;&gt;"",$AD35&lt;&gt;""),AND($AF$11&lt;&gt;"",$AF35&lt;&gt;""),AND($AH$11&lt;&gt;"",$AH35&lt;&gt;""),AND($AJ$11&lt;&gt;"",$AJ35&lt;&gt;""),AND($AL$11&lt;&gt;"",$AL35&lt;&gt;""),AND($AN$11&lt;&gt;"",$AN35&lt;&gt;""))),TRUE,FALSE)</f>
        <v>0</v>
      </c>
      <c r="AZ35" s="144" t="b">
        <f>IF(AND($C35&lt;&gt;"",$H35=""),TRUE,FALSE)</f>
        <v>0</v>
      </c>
      <c r="BA35" s="144" t="b">
        <f>IF(AND($C35&lt;&gt;"",$J35=""),TRUE,FALSE)</f>
        <v>0</v>
      </c>
      <c r="BB35" s="144" t="b">
        <f>IF(AND($C35&lt;&gt;"",$L35=""),TRUE,FALSE)</f>
        <v>0</v>
      </c>
      <c r="BC35" s="144" t="b">
        <f>IF(AND($C35&lt;&gt;"",$N35=""),TRUE,FALSE)</f>
        <v>0</v>
      </c>
      <c r="BD35" s="144" t="b">
        <f>IF($BE35=TRUE,FALSE,IF(OR($P35&lt;$BD$5,$P35&gt;$BE$5),TRUE,FALSE))</f>
        <v>0</v>
      </c>
      <c r="BE35" s="144" t="b">
        <f>IF(AND($C35&lt;&gt;"",$P35=""),TRUE,FALSE)</f>
        <v>0</v>
      </c>
      <c r="BF35" s="144" t="b">
        <f>IF($BG35=TRUE,FALSE,IF(OR($R35&lt;$BF$5,$R35&gt;$BG$5),TRUE,FALSE))</f>
        <v>0</v>
      </c>
      <c r="BG35" s="142" t="b">
        <f>IF(AND($C35&lt;&gt;"",$R35=""),TRUE,FALSE)</f>
        <v>0</v>
      </c>
      <c r="BH35" s="160" t="b">
        <f>IF(BI35=TRUE,FALSE,IF(AND(V35&lt;&gt;"",V$11=""),TRUE,IF(AND(V35&lt;&gt;"",V$11&lt;&gt;"",$R35&lt;&gt;$AP35),TRUE,IF(OR(V35&lt;0,V35&gt;$R35),TRUE,FALSE))))</f>
        <v>0</v>
      </c>
      <c r="BI35" s="144" t="b">
        <f>IF(AND($C35&lt;&gt;"",V$11&lt;&gt;"",$V35=""),TRUE,FALSE)</f>
        <v>0</v>
      </c>
      <c r="BJ35" s="160" t="b">
        <f>IF(BK35=TRUE,FALSE,IF(AND(X35&lt;&gt;"",X$11=""),TRUE,IF(AND(X35&lt;&gt;"",X$11&lt;&gt;"",$R35&lt;&gt;$AP35),TRUE,IF(OR(X35&lt;0,X35&gt;$R35),TRUE,FALSE))))</f>
        <v>0</v>
      </c>
      <c r="BK35" s="144" t="b">
        <f>IF(AND($C35&lt;&gt;"",X$11&lt;&gt;"",$X35=""),TRUE,FALSE)</f>
        <v>0</v>
      </c>
      <c r="BL35" s="160" t="b">
        <f>IF(BM35=TRUE,FALSE,IF(AND(Z35&lt;&gt;"",Z$11=""),TRUE,IF(AND(Z35&lt;&gt;"",Z$11&lt;&gt;"",$R35&lt;&gt;$AP35),TRUE,IF(OR(Z35&lt;0,Z35&gt;$R35),TRUE,FALSE))))</f>
        <v>0</v>
      </c>
      <c r="BM35" s="144" t="b">
        <f>IF(AND($C35&lt;&gt;"",Z$11&lt;&gt;"",$Z35=""),TRUE,FALSE)</f>
        <v>0</v>
      </c>
      <c r="BN35" s="160" t="b">
        <f>IF(BO35=TRUE,FALSE,IF(AND(AB35&lt;&gt;"",AB$11=""),TRUE,IF(AND(AB35&lt;&gt;"",AB$11&lt;&gt;"",$R35&lt;&gt;$AP35),TRUE,IF(OR(AB35&lt;0,AB35&gt;$R35),TRUE,FALSE))))</f>
        <v>0</v>
      </c>
      <c r="BO35" s="144" t="b">
        <f>IF(AND($C35&lt;&gt;"",AB$11&lt;&gt;"",$AB35=""),TRUE,FALSE)</f>
        <v>0</v>
      </c>
      <c r="BP35" s="160" t="b">
        <f>IF(BQ35=TRUE,FALSE,IF(AND(AD35&lt;&gt;"",AD$11=""),TRUE,IF(AND(AD35&lt;&gt;"",AD$11&lt;&gt;"",$R35&lt;&gt;$AP35),TRUE,IF(OR(AD35&lt;0,AD35&gt;$R35),TRUE,FALSE))))</f>
        <v>0</v>
      </c>
      <c r="BQ35" s="144" t="b">
        <f>IF(AND($C35&lt;&gt;"",AD$11&lt;&gt;"",$AD35=""),TRUE,FALSE)</f>
        <v>0</v>
      </c>
      <c r="BR35" s="160" t="b">
        <f>IF(BS35=TRUE,FALSE,IF(AND(AF35&lt;&gt;"",AF$11=""),TRUE,IF(AND(AF35&lt;&gt;"",AF$11&lt;&gt;"",$R35&lt;&gt;$AP35),TRUE,IF(OR(AF35&lt;0,AF35&gt;$R35),TRUE,FALSE))))</f>
        <v>0</v>
      </c>
      <c r="BS35" s="144" t="b">
        <f>IF(AND($C35&lt;&gt;"",AF$11&lt;&gt;"",$AF35=""),TRUE,FALSE)</f>
        <v>0</v>
      </c>
      <c r="BT35" s="160" t="b">
        <f>IF(BU35=TRUE,FALSE,IF(AND(AH35&lt;&gt;"",AH$11=""),TRUE,IF(AND(AH35&lt;&gt;"",AH$11&lt;&gt;"",$R35&lt;&gt;$AP35),TRUE,IF(OR(AH35&lt;0,AH35&gt;$R35),TRUE,FALSE))))</f>
        <v>0</v>
      </c>
      <c r="BU35" s="144" t="b">
        <f>IF(AND($C35&lt;&gt;"",AH$11&lt;&gt;"",$AH35=""),TRUE,FALSE)</f>
        <v>0</v>
      </c>
      <c r="BV35" s="160" t="b">
        <f>IF(BW35=TRUE,FALSE,IF(AND(AJ35&lt;&gt;"",AJ$11=""),TRUE,IF(AND(AJ35&lt;&gt;"",AJ$11&lt;&gt;"",$R35&lt;&gt;$AP35),TRUE,IF(OR(AJ35&lt;0,AJ35&gt;$R35),TRUE,FALSE))))</f>
        <v>0</v>
      </c>
      <c r="BW35" s="144" t="b">
        <f>IF(AND($C35&lt;&gt;"",AJ$11&lt;&gt;"",$AJ35=""),TRUE,FALSE)</f>
        <v>0</v>
      </c>
      <c r="BX35" s="160" t="b">
        <f>IF(BY35=TRUE,FALSE,IF(AND(AL35&lt;&gt;"",AL$11=""),TRUE,IF(AND(AL35&lt;&gt;"",AL$11&lt;&gt;"",$R35&lt;&gt;$AP35),TRUE,IF(OR(AL35&lt;0,AL35&gt;$R35),TRUE,FALSE))))</f>
        <v>0</v>
      </c>
      <c r="BY35" s="144" t="b">
        <f>IF(AND($C35&lt;&gt;"",AL$11&lt;&gt;"",$AL35=""),TRUE,FALSE)</f>
        <v>0</v>
      </c>
      <c r="BZ35" s="160" t="b">
        <f>IF(CA35=TRUE,FALSE,IF(AND(AN35&lt;&gt;"",AN$11=""),TRUE,IF(AND(AN35&lt;&gt;"",AN$11&lt;&gt;"",$R35&lt;&gt;$AP35),TRUE,IF(OR(AN35&lt;0,AN35&gt;$R35),TRUE,FALSE))))</f>
        <v>0</v>
      </c>
      <c r="CA35" s="144" t="b">
        <f>IF(AND($C35&lt;&gt;"",AN$11&lt;&gt;"",$AN35=""),TRUE,FALSE)</f>
        <v>0</v>
      </c>
      <c r="CB35" s="133"/>
      <c r="CC35" s="133"/>
      <c r="CD35" s="133"/>
      <c r="CE35" s="133"/>
      <c r="CF35" s="133"/>
      <c r="CG35" s="133"/>
      <c r="CH35" s="133"/>
      <c r="CI35" s="133"/>
      <c r="CJ35" s="133"/>
      <c r="CK35" s="133"/>
      <c r="CL35" s="133"/>
      <c r="CM35" s="133"/>
      <c r="CN35" s="133"/>
      <c r="CO35" s="133"/>
      <c r="CP35" s="133"/>
      <c r="CQ35" s="133"/>
      <c r="CR35" s="133"/>
      <c r="CS35" s="133"/>
      <c r="CT35" s="133"/>
      <c r="CU35" s="133"/>
      <c r="CV35" s="133"/>
      <c r="CW35" s="134"/>
    </row>
    <row r="36" spans="1:101" ht="6.75" customHeight="1" thickBot="1" x14ac:dyDescent="0.25">
      <c r="A36" s="228"/>
      <c r="B36" s="228"/>
      <c r="C36" s="232"/>
      <c r="D36" s="267"/>
      <c r="I36" s="267"/>
      <c r="K36" s="228"/>
      <c r="M36" s="267"/>
      <c r="O36" s="267"/>
      <c r="Q36" s="267"/>
      <c r="S36" s="267"/>
      <c r="U36" s="267"/>
      <c r="V36" s="283"/>
      <c r="W36" s="267"/>
      <c r="X36" s="283"/>
      <c r="Y36" s="267"/>
      <c r="Z36" s="283"/>
      <c r="AA36" s="267"/>
      <c r="AB36" s="283"/>
      <c r="AC36" s="267"/>
      <c r="AD36" s="283"/>
      <c r="AE36" s="267"/>
      <c r="AF36" s="283"/>
      <c r="AG36" s="267"/>
      <c r="AH36" s="283"/>
      <c r="AI36" s="267"/>
      <c r="AJ36" s="283"/>
      <c r="AK36" s="267"/>
      <c r="AL36" s="283"/>
      <c r="AM36" s="267"/>
      <c r="AN36" s="283"/>
      <c r="AO36" s="267"/>
      <c r="AP36" s="267"/>
      <c r="AQ36" s="267"/>
      <c r="AR36" s="232"/>
      <c r="AY36" s="145"/>
      <c r="AZ36" s="146"/>
      <c r="BA36" s="146"/>
      <c r="BB36" s="146"/>
      <c r="BC36" s="146"/>
      <c r="BD36" s="145"/>
      <c r="BE36" s="146"/>
      <c r="BF36" s="146"/>
      <c r="BG36" s="146"/>
      <c r="BH36" s="145"/>
      <c r="BI36" s="146"/>
      <c r="BJ36" s="145"/>
      <c r="BK36" s="146"/>
      <c r="BL36" s="145"/>
      <c r="BM36" s="146"/>
      <c r="BN36" s="145"/>
      <c r="BO36" s="146"/>
      <c r="BP36" s="145"/>
      <c r="BQ36" s="146"/>
      <c r="BR36" s="145"/>
      <c r="BS36" s="146"/>
      <c r="BT36" s="145"/>
      <c r="BU36" s="146"/>
      <c r="BV36" s="145"/>
      <c r="BW36" s="146"/>
      <c r="BX36" s="145"/>
      <c r="BY36" s="146"/>
      <c r="BZ36" s="145"/>
      <c r="CA36" s="146"/>
    </row>
    <row r="37" spans="1:101" s="101" customFormat="1" x14ac:dyDescent="0.2">
      <c r="A37" s="227">
        <f>A35+1</f>
        <v>11</v>
      </c>
      <c r="B37" s="227"/>
      <c r="C37" s="231"/>
      <c r="D37" s="251" t="str">
        <f>IF((C37=""),"Enter Segment "&amp;TEXT(A37,0)&amp;" Name, then Enter Data in Columns "&amp;TEXT($H$2,0)&amp;" - "&amp;TEXT($AN$2,0)&amp;"       ","")</f>
        <v xml:space="preserve">Enter Segment 11 Name, then Enter Data in Columns h - an       </v>
      </c>
      <c r="E37" s="131" t="str">
        <f>IF($AW37="B","N/A",IF(AX37="N","No",IF(AX37="Y","Yes","")))</f>
        <v>N/A</v>
      </c>
      <c r="F37" s="130"/>
      <c r="G37" s="130">
        <v>4</v>
      </c>
      <c r="H37" s="285"/>
      <c r="I37" s="251" t="str">
        <f>IF($C37&lt;&gt;"","Enter Starting Point       ","")</f>
        <v/>
      </c>
      <c r="J37" s="285"/>
      <c r="K37" s="227"/>
      <c r="L37" s="88"/>
      <c r="M37" s="251" t="str">
        <f>IF($C37&lt;&gt;"","Select from Pull-Down List  ","")</f>
        <v/>
      </c>
      <c r="N37" s="88"/>
      <c r="O37" s="251" t="str">
        <f>IF($C37&lt;&gt;"","Select from Pull-Down List  ","")</f>
        <v/>
      </c>
      <c r="P37" s="131"/>
      <c r="Q37" s="251" t="str">
        <f>IF($C37&lt;&gt;"","Dir. Route-Mi?    ","")</f>
        <v/>
      </c>
      <c r="R37" s="131"/>
      <c r="S37" s="251" t="str">
        <f>IF($C37&lt;&gt;"","Trk-Mi?      ","")</f>
        <v/>
      </c>
      <c r="T37" s="131"/>
      <c r="U37" s="251" t="str">
        <f>IF($C37&lt;&gt;"","Trk-Mi?      ","")</f>
        <v/>
      </c>
      <c r="V37" s="284"/>
      <c r="W37" s="278" t="str">
        <f>IF(OR($R37="",V$11=""),"","0 - "&amp;TEXT($R37-$AP37,"0.0")&amp;" Trk-Mi?    ")</f>
        <v/>
      </c>
      <c r="X37" s="284"/>
      <c r="Y37" s="278" t="str">
        <f>IF(OR($R37="",X$11=""),"","0 - "&amp;TEXT($R37-$AP37,"0.0")&amp;" Trk-Mi?    ")</f>
        <v/>
      </c>
      <c r="Z37" s="284"/>
      <c r="AA37" s="278" t="str">
        <f>IF(OR($R37="",Z$11=""),"","0 - "&amp;TEXT($R37-$AP37,"0.0")&amp;" Trk-Mi?    ")</f>
        <v/>
      </c>
      <c r="AB37" s="284"/>
      <c r="AC37" s="278" t="str">
        <f>IF(OR($R37="",AB$11=""),"","0 - "&amp;TEXT($R37-$AP37,"0.0")&amp;" Trk-Mi?    ")</f>
        <v/>
      </c>
      <c r="AD37" s="284"/>
      <c r="AE37" s="278" t="str">
        <f>IF(OR($R37="",AD$11=""),"","0 - "&amp;TEXT($R37-$AP37,"0.0")&amp;" Trk-Mi?    ")</f>
        <v/>
      </c>
      <c r="AF37" s="284"/>
      <c r="AG37" s="278" t="str">
        <f>IF(OR($R37="",AF$11=""),"","0 - "&amp;TEXT($R37-$AP37,"0.0")&amp;" Trk-Mi?    ")</f>
        <v/>
      </c>
      <c r="AH37" s="284"/>
      <c r="AI37" s="278" t="str">
        <f>IF(OR($R37="",AH$11=""),"","0 - "&amp;TEXT($R37-$AP37,"0.0")&amp;" Trk-Mi?    ")</f>
        <v/>
      </c>
      <c r="AJ37" s="284"/>
      <c r="AK37" s="278" t="str">
        <f>IF(OR($R37="",AJ$11=""),"","0 - "&amp;TEXT($R37-$AP37,"0.0")&amp;" Trk-Mi?    ")</f>
        <v/>
      </c>
      <c r="AL37" s="284"/>
      <c r="AM37" s="278" t="str">
        <f>IF(OR($R37="",AL$11=""),"","0 - "&amp;TEXT($R37-$AP37,"0.0")&amp;" Trk-Mi?    ")</f>
        <v/>
      </c>
      <c r="AN37" s="284"/>
      <c r="AO37" s="278" t="str">
        <f>IF(OR($R37="",AN$11=""),"","0 - "&amp;TEXT($R37-$AP37,"0.0")&amp;" Trk-Mi?    ")</f>
        <v/>
      </c>
      <c r="AP37" s="282">
        <f>SUM(V37,X37,Z37,AB37,AD37,AF37,AH37,AJ37,AL37,AN37)</f>
        <v>0</v>
      </c>
      <c r="AQ37" s="278"/>
      <c r="AR37" s="234"/>
      <c r="AS37" s="107"/>
      <c r="AT37" s="107"/>
      <c r="AU37" s="107"/>
      <c r="AW37" s="107" t="str">
        <f>IF(AND($C37="",$H37="",$J37="",$L37="",$N37="",$P37="",$R37=""),"B","NB")</f>
        <v>B</v>
      </c>
      <c r="AX37" s="241" t="str">
        <f>IF(OR($C37="",$H37="",$J37="",$L37="",$N37="",$R37="",$P37="",AND($V$11&lt;&gt;"",$V37=""),AND($X$11&lt;&gt;"",$X37=""),AND($Z$11&lt;&gt;"",$Z37=""),AND($AB$11&lt;&gt;"",$AB37=""),AND($AD$11&lt;&gt;"",$AD37=""),AND($AF$11&lt;&gt;"",$AF37=""),AND($AH$11&lt;&gt;"",$AH37=""),AND($AJ$11&lt;&gt;"",$AJ37=""),AND($AL$11&lt;&gt;"",$AL37=""),AND($AN$11&lt;&gt;"",$AN37="")),"N","Y")</f>
        <v>N</v>
      </c>
      <c r="AY37" s="142" t="b">
        <f>IF(AND($C37="",OR($H37&lt;&gt;"",$J37&lt;&gt;"",$L37&lt;&gt;"",$N37&lt;&gt;"",$R37&lt;&gt;"",$P37&lt;&gt;"",AND($V$11&lt;&gt;"",$V37&lt;&gt;""),AND($X$11&lt;&gt;"",$X37&lt;&gt;""),AND($Z$11&lt;&gt;"",$Z37&lt;&gt;""),AND($AB$11&lt;&gt;"",$AB37&lt;&gt;""),AND($AD$11&lt;&gt;"",$AD37&lt;&gt;""),AND($AF$11&lt;&gt;"",$AF37&lt;&gt;""),AND($AH$11&lt;&gt;"",$AH37&lt;&gt;""),AND($AJ$11&lt;&gt;"",$AJ37&lt;&gt;""),AND($AL$11&lt;&gt;"",$AL37&lt;&gt;""),AND($AN$11&lt;&gt;"",$AN37&lt;&gt;""))),TRUE,FALSE)</f>
        <v>0</v>
      </c>
      <c r="AZ37" s="144" t="b">
        <f>IF(AND($C37&lt;&gt;"",$H37=""),TRUE,FALSE)</f>
        <v>0</v>
      </c>
      <c r="BA37" s="144" t="b">
        <f>IF(AND($C37&lt;&gt;"",$J37=""),TRUE,FALSE)</f>
        <v>0</v>
      </c>
      <c r="BB37" s="144" t="b">
        <f>IF(AND($C37&lt;&gt;"",$L37=""),TRUE,FALSE)</f>
        <v>0</v>
      </c>
      <c r="BC37" s="144" t="b">
        <f>IF(AND($C37&lt;&gt;"",$N37=""),TRUE,FALSE)</f>
        <v>0</v>
      </c>
      <c r="BD37" s="142" t="b">
        <f>IF($BE37=TRUE,FALSE,IF(OR($P37&lt;$BD$5,$P37&gt;$BE$5),TRUE,FALSE))</f>
        <v>0</v>
      </c>
      <c r="BE37" s="144" t="b">
        <f>IF(AND($C37&lt;&gt;"",$P37=""),TRUE,FALSE)</f>
        <v>0</v>
      </c>
      <c r="BF37" s="144" t="b">
        <f>IF($BG37=TRUE,FALSE,IF(OR($R37&lt;$BF$5,$R37&gt;$BG$5),TRUE,FALSE))</f>
        <v>0</v>
      </c>
      <c r="BG37" s="144" t="b">
        <f>IF(AND($C37&lt;&gt;"",$R37=""),TRUE,FALSE)</f>
        <v>0</v>
      </c>
      <c r="BH37" s="160" t="b">
        <f>IF(BI37=TRUE,FALSE,IF(AND(V37&lt;&gt;"",V$11=""),TRUE,IF(AND(V37&lt;&gt;"",V$11&lt;&gt;"",$R37&lt;&gt;$AP37),TRUE,IF(OR(V37&lt;0,V37&gt;$R37),TRUE,FALSE))))</f>
        <v>0</v>
      </c>
      <c r="BI37" s="144" t="b">
        <f>IF(AND($C37&lt;&gt;"",V$11&lt;&gt;"",$V37=""),TRUE,FALSE)</f>
        <v>0</v>
      </c>
      <c r="BJ37" s="160" t="b">
        <f>IF(BK37=TRUE,FALSE,IF(AND(X37&lt;&gt;"",X$11=""),TRUE,IF(AND(X37&lt;&gt;"",X$11&lt;&gt;"",$R37&lt;&gt;$AP37),TRUE,IF(OR(X37&lt;0,X37&gt;$R37),TRUE,FALSE))))</f>
        <v>0</v>
      </c>
      <c r="BK37" s="144" t="b">
        <f>IF(AND($C37&lt;&gt;"",X$11&lt;&gt;"",$X37=""),TRUE,FALSE)</f>
        <v>0</v>
      </c>
      <c r="BL37" s="160" t="b">
        <f>IF(BM37=TRUE,FALSE,IF(AND(Z37&lt;&gt;"",Z$11=""),TRUE,IF(AND(Z37&lt;&gt;"",Z$11&lt;&gt;"",$R37&lt;&gt;$AP37),TRUE,IF(OR(Z37&lt;0,Z37&gt;$R37),TRUE,FALSE))))</f>
        <v>0</v>
      </c>
      <c r="BM37" s="144" t="b">
        <f>IF(AND($C37&lt;&gt;"",Z$11&lt;&gt;"",$Z37=""),TRUE,FALSE)</f>
        <v>0</v>
      </c>
      <c r="BN37" s="160" t="b">
        <f>IF(BO37=TRUE,FALSE,IF(AND(AB37&lt;&gt;"",AB$11=""),TRUE,IF(AND(AB37&lt;&gt;"",AB$11&lt;&gt;"",$R37&lt;&gt;$AP37),TRUE,IF(OR(AB37&lt;0,AB37&gt;$R37),TRUE,FALSE))))</f>
        <v>0</v>
      </c>
      <c r="BO37" s="144" t="b">
        <f>IF(AND($C37&lt;&gt;"",AB$11&lt;&gt;"",$AB37=""),TRUE,FALSE)</f>
        <v>0</v>
      </c>
      <c r="BP37" s="160" t="b">
        <f>IF(BQ37=TRUE,FALSE,IF(AND(AD37&lt;&gt;"",AD$11=""),TRUE,IF(AND(AD37&lt;&gt;"",AD$11&lt;&gt;"",$R37&lt;&gt;$AP37),TRUE,IF(OR(AD37&lt;0,AD37&gt;$R37),TRUE,FALSE))))</f>
        <v>0</v>
      </c>
      <c r="BQ37" s="144" t="b">
        <f>IF(AND($C37&lt;&gt;"",AD$11&lt;&gt;"",$AD37=""),TRUE,FALSE)</f>
        <v>0</v>
      </c>
      <c r="BR37" s="160" t="b">
        <f>IF(BS37=TRUE,FALSE,IF(AND(AF37&lt;&gt;"",AF$11=""),TRUE,IF(AND(AF37&lt;&gt;"",AF$11&lt;&gt;"",$R37&lt;&gt;$AP37),TRUE,IF(OR(AF37&lt;0,AF37&gt;$R37),TRUE,FALSE))))</f>
        <v>0</v>
      </c>
      <c r="BS37" s="144" t="b">
        <f>IF(AND($C37&lt;&gt;"",AF$11&lt;&gt;"",$AF37=""),TRUE,FALSE)</f>
        <v>0</v>
      </c>
      <c r="BT37" s="160" t="b">
        <f>IF(BU37=TRUE,FALSE,IF(AND(AH37&lt;&gt;"",AH$11=""),TRUE,IF(AND(AH37&lt;&gt;"",AH$11&lt;&gt;"",$R37&lt;&gt;$AP37),TRUE,IF(OR(AH37&lt;0,AH37&gt;$R37),TRUE,FALSE))))</f>
        <v>0</v>
      </c>
      <c r="BU37" s="144" t="b">
        <f>IF(AND($C37&lt;&gt;"",AH$11&lt;&gt;"",$AH37=""),TRUE,FALSE)</f>
        <v>0</v>
      </c>
      <c r="BV37" s="160" t="b">
        <f>IF(BW37=TRUE,FALSE,IF(AND(AJ37&lt;&gt;"",AJ$11=""),TRUE,IF(AND(AJ37&lt;&gt;"",AJ$11&lt;&gt;"",$R37&lt;&gt;$AP37),TRUE,IF(OR(AJ37&lt;0,AJ37&gt;$R37),TRUE,FALSE))))</f>
        <v>0</v>
      </c>
      <c r="BW37" s="144" t="b">
        <f>IF(AND($C37&lt;&gt;"",AJ$11&lt;&gt;"",$AJ37=""),TRUE,FALSE)</f>
        <v>0</v>
      </c>
      <c r="BX37" s="160" t="b">
        <f>IF(BY37=TRUE,FALSE,IF(AND(AL37&lt;&gt;"",AL$11=""),TRUE,IF(AND(AL37&lt;&gt;"",AL$11&lt;&gt;"",$R37&lt;&gt;$AP37),TRUE,IF(OR(AL37&lt;0,AL37&gt;$R37),TRUE,FALSE))))</f>
        <v>0</v>
      </c>
      <c r="BY37" s="144" t="b">
        <f>IF(AND($C37&lt;&gt;"",AL$11&lt;&gt;"",$AL37=""),TRUE,FALSE)</f>
        <v>0</v>
      </c>
      <c r="BZ37" s="160" t="b">
        <f>IF(CA37=TRUE,FALSE,IF(AND(AN37&lt;&gt;"",AN$11=""),TRUE,IF(AND(AN37&lt;&gt;"",AN$11&lt;&gt;"",$R37&lt;&gt;$AP37),TRUE,IF(OR(AN37&lt;0,AN37&gt;$R37),TRUE,FALSE))))</f>
        <v>0</v>
      </c>
      <c r="CA37" s="144" t="b">
        <f>IF(AND($C37&lt;&gt;"",AN$11&lt;&gt;"",$AN37=""),TRUE,FALSE)</f>
        <v>0</v>
      </c>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4"/>
    </row>
    <row r="38" spans="1:101" ht="6.75" customHeight="1" thickBot="1" x14ac:dyDescent="0.25">
      <c r="A38" s="228"/>
      <c r="B38" s="228"/>
      <c r="C38" s="232"/>
      <c r="D38" s="251"/>
      <c r="E38" s="132" t="str">
        <f>IF($AW38="B","N/A",IF(AX38="N","No",IF(AX38="Y","Yes","")))</f>
        <v/>
      </c>
      <c r="F38" s="130"/>
      <c r="G38" s="137">
        <v>7</v>
      </c>
      <c r="H38" s="332"/>
      <c r="I38" s="251" t="str">
        <f>IF($C38&lt;&gt;"","Enter Starting Point       ","")</f>
        <v/>
      </c>
      <c r="J38" s="332"/>
      <c r="K38" s="228"/>
      <c r="L38" s="137"/>
      <c r="M38" s="346"/>
      <c r="N38" s="137"/>
      <c r="O38" s="346"/>
      <c r="P38" s="137"/>
      <c r="Q38" s="346"/>
      <c r="R38" s="137"/>
      <c r="S38" s="346"/>
      <c r="T38" s="137"/>
      <c r="U38" s="346"/>
      <c r="V38" s="347"/>
      <c r="W38" s="346"/>
      <c r="X38" s="347"/>
      <c r="Y38" s="346"/>
      <c r="Z38" s="347"/>
      <c r="AA38" s="346"/>
      <c r="AB38" s="347"/>
      <c r="AC38" s="267"/>
      <c r="AD38" s="283"/>
      <c r="AE38" s="267"/>
      <c r="AF38" s="283"/>
      <c r="AG38" s="267"/>
      <c r="AH38" s="283"/>
      <c r="AI38" s="267"/>
      <c r="AJ38" s="283"/>
      <c r="AK38" s="267"/>
      <c r="AL38" s="283"/>
      <c r="AM38" s="267"/>
      <c r="AN38" s="283"/>
      <c r="AO38" s="267"/>
      <c r="AP38" s="267"/>
      <c r="AQ38" s="267"/>
      <c r="AR38" s="236"/>
      <c r="AY38" s="145"/>
      <c r="AZ38" s="146"/>
      <c r="BA38" s="146"/>
      <c r="BB38" s="146"/>
      <c r="BC38" s="146"/>
      <c r="BD38" s="145"/>
      <c r="BE38" s="146"/>
      <c r="BF38" s="146"/>
      <c r="BG38" s="146"/>
      <c r="BH38" s="145"/>
      <c r="BI38" s="146"/>
      <c r="BJ38" s="145"/>
      <c r="BK38" s="146"/>
      <c r="BL38" s="145"/>
      <c r="BM38" s="146"/>
      <c r="BN38" s="145"/>
      <c r="BO38" s="146"/>
      <c r="BP38" s="145"/>
      <c r="BQ38" s="146"/>
      <c r="BR38" s="145"/>
      <c r="BS38" s="146"/>
      <c r="BT38" s="145"/>
      <c r="BU38" s="146"/>
      <c r="BV38" s="145"/>
      <c r="BW38" s="146"/>
      <c r="BX38" s="145"/>
      <c r="BY38" s="146"/>
      <c r="BZ38" s="145"/>
      <c r="CA38" s="146"/>
    </row>
    <row r="39" spans="1:101" s="101" customFormat="1" x14ac:dyDescent="0.2">
      <c r="A39" s="227">
        <f>A37+1</f>
        <v>12</v>
      </c>
      <c r="B39" s="227"/>
      <c r="C39" s="231"/>
      <c r="D39" s="251" t="str">
        <f>IF((C39=""),"Enter Segment "&amp;TEXT(A39,0)&amp;" Name, then Enter Data in Columns "&amp;TEXT($H$2,0)&amp;" - "&amp;TEXT($AN$2,0)&amp;"       ","")</f>
        <v xml:space="preserve">Enter Segment 12 Name, then Enter Data in Columns h - an       </v>
      </c>
      <c r="E39" s="131" t="str">
        <f>IF($AW39="B","N/A",IF(AX39="N","No",IF(AX39="Y","Yes","")))</f>
        <v>N/A</v>
      </c>
      <c r="F39" s="130"/>
      <c r="G39" s="130">
        <v>8</v>
      </c>
      <c r="H39" s="285"/>
      <c r="I39" s="251" t="str">
        <f>IF($C39&lt;&gt;"","Enter Starting Point       ","")</f>
        <v/>
      </c>
      <c r="J39" s="285"/>
      <c r="K39" s="227"/>
      <c r="L39" s="88"/>
      <c r="M39" s="251" t="str">
        <f>IF($C39&lt;&gt;"","Select from Pull-Down List  ","")</f>
        <v/>
      </c>
      <c r="N39" s="88"/>
      <c r="O39" s="251" t="str">
        <f>IF($C39&lt;&gt;"","Select from Pull-Down List  ","")</f>
        <v/>
      </c>
      <c r="P39" s="131"/>
      <c r="Q39" s="251" t="str">
        <f>IF($C39&lt;&gt;"","Dir. Route-Mi?    ","")</f>
        <v/>
      </c>
      <c r="R39" s="131"/>
      <c r="S39" s="251" t="str">
        <f>IF($C39&lt;&gt;"","Trk-Mi?      ","")</f>
        <v/>
      </c>
      <c r="T39" s="131"/>
      <c r="U39" s="251" t="str">
        <f>IF($C39&lt;&gt;"","Trk-Mi?      ","")</f>
        <v/>
      </c>
      <c r="V39" s="284"/>
      <c r="W39" s="278" t="str">
        <f>IF(OR($R39="",V$11=""),"","0 - "&amp;TEXT($R39-$AP39,"0.0")&amp;" Trk-Mi?    ")</f>
        <v/>
      </c>
      <c r="X39" s="284"/>
      <c r="Y39" s="278" t="str">
        <f>IF(OR($R39="",X$11=""),"","0 - "&amp;TEXT($R39-$AP39,"0.0")&amp;" Trk-Mi?    ")</f>
        <v/>
      </c>
      <c r="Z39" s="284"/>
      <c r="AA39" s="278" t="str">
        <f>IF(OR($R39="",Z$11=""),"","0 - "&amp;TEXT($R39-$AP39,"0.0")&amp;" Trk-Mi?    ")</f>
        <v/>
      </c>
      <c r="AB39" s="284"/>
      <c r="AC39" s="278" t="str">
        <f>IF(OR($R39="",AB$11=""),"","0 - "&amp;TEXT($R39-$AP39,"0.0")&amp;" Trk-Mi?    ")</f>
        <v/>
      </c>
      <c r="AD39" s="284"/>
      <c r="AE39" s="278" t="str">
        <f>IF(OR($R39="",AD$11=""),"","0 - "&amp;TEXT($R39-$AP39,"0.0")&amp;" Trk-Mi?    ")</f>
        <v/>
      </c>
      <c r="AF39" s="284"/>
      <c r="AG39" s="278" t="str">
        <f>IF(OR($R39="",AF$11=""),"","0 - "&amp;TEXT($R39-$AP39,"0.0")&amp;" Trk-Mi?    ")</f>
        <v/>
      </c>
      <c r="AH39" s="284"/>
      <c r="AI39" s="278" t="str">
        <f>IF(OR($R39="",AH$11=""),"","0 - "&amp;TEXT($R39-$AP39,"0.0")&amp;" Trk-Mi?    ")</f>
        <v/>
      </c>
      <c r="AJ39" s="284"/>
      <c r="AK39" s="278" t="str">
        <f>IF(OR($R39="",AJ$11=""),"","0 - "&amp;TEXT($R39-$AP39,"0.0")&amp;" Trk-Mi?    ")</f>
        <v/>
      </c>
      <c r="AL39" s="284"/>
      <c r="AM39" s="278" t="str">
        <f>IF(OR($R39="",AL$11=""),"","0 - "&amp;TEXT($R39-$AP39,"0.0")&amp;" Trk-Mi?    ")</f>
        <v/>
      </c>
      <c r="AN39" s="284"/>
      <c r="AO39" s="278" t="str">
        <f>IF(OR($R39="",AN$11=""),"","0 - "&amp;TEXT($R39-$AP39,"0.0")&amp;" Trk-Mi?    ")</f>
        <v/>
      </c>
      <c r="AP39" s="282">
        <f>SUM(V39,X39,Z39,AB39,AD39,AF39,AH39,AJ39,AL39,AN39)</f>
        <v>0</v>
      </c>
      <c r="AQ39" s="278"/>
      <c r="AR39" s="234"/>
      <c r="AS39" s="107"/>
      <c r="AT39" s="107"/>
      <c r="AU39" s="107"/>
      <c r="AW39" s="107" t="str">
        <f>IF(AND($C39="",$H39="",$J39="",$L39="",$N39="",$P39="",$R39=""),"B","NB")</f>
        <v>B</v>
      </c>
      <c r="AX39" s="241" t="str">
        <f>IF(OR($C39="",$H39="",$J39="",$L39="",$N39="",$R39="",$P39="",AND($V$11&lt;&gt;"",$V39=""),AND($X$11&lt;&gt;"",$X39=""),AND($Z$11&lt;&gt;"",$Z39=""),AND($AB$11&lt;&gt;"",$AB39=""),AND($AD$11&lt;&gt;"",$AD39=""),AND($AF$11&lt;&gt;"",$AF39=""),AND($AH$11&lt;&gt;"",$AH39=""),AND($AJ$11&lt;&gt;"",$AJ39=""),AND($AL$11&lt;&gt;"",$AL39=""),AND($AN$11&lt;&gt;"",$AN39="")),"N","Y")</f>
        <v>N</v>
      </c>
      <c r="AY39" s="142" t="b">
        <f>IF(AND($C39="",OR($H39&lt;&gt;"",$J39&lt;&gt;"",$L39&lt;&gt;"",$N39&lt;&gt;"",$R39&lt;&gt;"",$P39&lt;&gt;"",AND($V$11&lt;&gt;"",$V39&lt;&gt;""),AND($X$11&lt;&gt;"",$X39&lt;&gt;""),AND($Z$11&lt;&gt;"",$Z39&lt;&gt;""),AND($AB$11&lt;&gt;"",$AB39&lt;&gt;""),AND($AD$11&lt;&gt;"",$AD39&lt;&gt;""),AND($AF$11&lt;&gt;"",$AF39&lt;&gt;""),AND($AH$11&lt;&gt;"",$AH39&lt;&gt;""),AND($AJ$11&lt;&gt;"",$AJ39&lt;&gt;""),AND($AL$11&lt;&gt;"",$AL39&lt;&gt;""),AND($AN$11&lt;&gt;"",$AN39&lt;&gt;""))),TRUE,FALSE)</f>
        <v>0</v>
      </c>
      <c r="AZ39" s="144" t="b">
        <f>IF(AND($C39&lt;&gt;"",$H39=""),TRUE,FALSE)</f>
        <v>0</v>
      </c>
      <c r="BA39" s="144" t="b">
        <f>IF(AND($C39&lt;&gt;"",$J39=""),TRUE,FALSE)</f>
        <v>0</v>
      </c>
      <c r="BB39" s="144" t="b">
        <f>IF(AND($C39&lt;&gt;"",$L39=""),TRUE,FALSE)</f>
        <v>0</v>
      </c>
      <c r="BC39" s="144" t="b">
        <f>IF(AND($C39&lt;&gt;"",$N39=""),TRUE,FALSE)</f>
        <v>0</v>
      </c>
      <c r="BD39" s="142" t="b">
        <f>IF($BE39=TRUE,FALSE,IF(OR($P39&lt;$BD$5,$P39&gt;$BE$5),TRUE,FALSE))</f>
        <v>0</v>
      </c>
      <c r="BE39" s="144" t="b">
        <f>IF(AND($C39&lt;&gt;"",$P39=""),TRUE,FALSE)</f>
        <v>0</v>
      </c>
      <c r="BF39" s="144" t="b">
        <f>IF($BG39=TRUE,FALSE,IF(OR($R39&lt;$BF$5,$R39&gt;$BG$5),TRUE,FALSE))</f>
        <v>0</v>
      </c>
      <c r="BG39" s="144" t="b">
        <f>IF(AND($C39&lt;&gt;"",$R39=""),TRUE,FALSE)</f>
        <v>0</v>
      </c>
      <c r="BH39" s="160" t="b">
        <f>IF(BI39=TRUE,FALSE,IF(AND(V39&lt;&gt;"",V$11=""),TRUE,IF(AND(V39&lt;&gt;"",V$11&lt;&gt;"",$R39&lt;&gt;$AP39),TRUE,IF(OR(V39&lt;0,V39&gt;$R39),TRUE,FALSE))))</f>
        <v>0</v>
      </c>
      <c r="BI39" s="144" t="b">
        <f>IF(AND($C39&lt;&gt;"",V$11&lt;&gt;"",$V39=""),TRUE,FALSE)</f>
        <v>0</v>
      </c>
      <c r="BJ39" s="160" t="b">
        <f>IF(BK39=TRUE,FALSE,IF(AND(X39&lt;&gt;"",X$11=""),TRUE,IF(AND(X39&lt;&gt;"",X$11&lt;&gt;"",$R39&lt;&gt;$AP39),TRUE,IF(OR(X39&lt;0,X39&gt;$R39),TRUE,FALSE))))</f>
        <v>0</v>
      </c>
      <c r="BK39" s="144" t="b">
        <f>IF(AND($C39&lt;&gt;"",X$11&lt;&gt;"",$X39=""),TRUE,FALSE)</f>
        <v>0</v>
      </c>
      <c r="BL39" s="160" t="b">
        <f>IF(BM39=TRUE,FALSE,IF(AND(Z39&lt;&gt;"",Z$11=""),TRUE,IF(AND(Z39&lt;&gt;"",Z$11&lt;&gt;"",$R39&lt;&gt;$AP39),TRUE,IF(OR(Z39&lt;0,Z39&gt;$R39),TRUE,FALSE))))</f>
        <v>0</v>
      </c>
      <c r="BM39" s="144" t="b">
        <f>IF(AND($C39&lt;&gt;"",Z$11&lt;&gt;"",$Z39=""),TRUE,FALSE)</f>
        <v>0</v>
      </c>
      <c r="BN39" s="160" t="b">
        <f>IF(BO39=TRUE,FALSE,IF(AND(AB39&lt;&gt;"",AB$11=""),TRUE,IF(AND(AB39&lt;&gt;"",AB$11&lt;&gt;"",$R39&lt;&gt;$AP39),TRUE,IF(OR(AB39&lt;0,AB39&gt;$R39),TRUE,FALSE))))</f>
        <v>0</v>
      </c>
      <c r="BO39" s="144" t="b">
        <f>IF(AND($C39&lt;&gt;"",AB$11&lt;&gt;"",$AB39=""),TRUE,FALSE)</f>
        <v>0</v>
      </c>
      <c r="BP39" s="160" t="b">
        <f>IF(BQ39=TRUE,FALSE,IF(AND(AD39&lt;&gt;"",AD$11=""),TRUE,IF(AND(AD39&lt;&gt;"",AD$11&lt;&gt;"",$R39&lt;&gt;$AP39),TRUE,IF(OR(AD39&lt;0,AD39&gt;$R39),TRUE,FALSE))))</f>
        <v>0</v>
      </c>
      <c r="BQ39" s="144" t="b">
        <f>IF(AND($C39&lt;&gt;"",AD$11&lt;&gt;"",$AD39=""),TRUE,FALSE)</f>
        <v>0</v>
      </c>
      <c r="BR39" s="160" t="b">
        <f>IF(BS39=TRUE,FALSE,IF(AND(AF39&lt;&gt;"",AF$11=""),TRUE,IF(AND(AF39&lt;&gt;"",AF$11&lt;&gt;"",$R39&lt;&gt;$AP39),TRUE,IF(OR(AF39&lt;0,AF39&gt;$R39),TRUE,FALSE))))</f>
        <v>0</v>
      </c>
      <c r="BS39" s="144" t="b">
        <f>IF(AND($C39&lt;&gt;"",AF$11&lt;&gt;"",$AF39=""),TRUE,FALSE)</f>
        <v>0</v>
      </c>
      <c r="BT39" s="160" t="b">
        <f>IF(BU39=TRUE,FALSE,IF(AND(AH39&lt;&gt;"",AH$11=""),TRUE,IF(AND(AH39&lt;&gt;"",AH$11&lt;&gt;"",$R39&lt;&gt;$AP39),TRUE,IF(OR(AH39&lt;0,AH39&gt;$R39),TRUE,FALSE))))</f>
        <v>0</v>
      </c>
      <c r="BU39" s="144" t="b">
        <f>IF(AND($C39&lt;&gt;"",AH$11&lt;&gt;"",$AH39=""),TRUE,FALSE)</f>
        <v>0</v>
      </c>
      <c r="BV39" s="160" t="b">
        <f>IF(BW39=TRUE,FALSE,IF(AND(AJ39&lt;&gt;"",AJ$11=""),TRUE,IF(AND(AJ39&lt;&gt;"",AJ$11&lt;&gt;"",$R39&lt;&gt;$AP39),TRUE,IF(OR(AJ39&lt;0,AJ39&gt;$R39),TRUE,FALSE))))</f>
        <v>0</v>
      </c>
      <c r="BW39" s="144" t="b">
        <f>IF(AND($C39&lt;&gt;"",AJ$11&lt;&gt;"",$AJ39=""),TRUE,FALSE)</f>
        <v>0</v>
      </c>
      <c r="BX39" s="160" t="b">
        <f>IF(BY39=TRUE,FALSE,IF(AND(AL39&lt;&gt;"",AL$11=""),TRUE,IF(AND(AL39&lt;&gt;"",AL$11&lt;&gt;"",$R39&lt;&gt;$AP39),TRUE,IF(OR(AL39&lt;0,AL39&gt;$R39),TRUE,FALSE))))</f>
        <v>0</v>
      </c>
      <c r="BY39" s="144" t="b">
        <f>IF(AND($C39&lt;&gt;"",AL$11&lt;&gt;"",$AL39=""),TRUE,FALSE)</f>
        <v>0</v>
      </c>
      <c r="BZ39" s="160" t="b">
        <f>IF(CA39=TRUE,FALSE,IF(AND(AN39&lt;&gt;"",AN$11=""),TRUE,IF(AND(AN39&lt;&gt;"",AN$11&lt;&gt;"",$R39&lt;&gt;$AP39),TRUE,IF(OR(AN39&lt;0,AN39&gt;$R39),TRUE,FALSE))))</f>
        <v>0</v>
      </c>
      <c r="CA39" s="144" t="b">
        <f>IF(AND($C39&lt;&gt;"",AN$11&lt;&gt;"",$AN39=""),TRUE,FALSE)</f>
        <v>0</v>
      </c>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4"/>
    </row>
    <row r="40" spans="1:101" ht="6.75" customHeight="1" thickBot="1" x14ac:dyDescent="0.25">
      <c r="A40" s="228"/>
      <c r="B40" s="228"/>
      <c r="C40" s="232"/>
      <c r="D40" s="251"/>
      <c r="E40" s="132" t="str">
        <f>IF($AW40="B","N/A",IF(AX40="N","No",IF(AX40="Y","Yes","")))</f>
        <v/>
      </c>
      <c r="F40" s="130"/>
      <c r="G40" s="137">
        <v>5</v>
      </c>
      <c r="H40" s="332"/>
      <c r="I40" s="251" t="str">
        <f>IF($C40&lt;&gt;"","Enter Starting Point       ","")</f>
        <v/>
      </c>
      <c r="J40" s="332"/>
      <c r="K40" s="228"/>
      <c r="L40" s="137"/>
      <c r="M40" s="346"/>
      <c r="N40" s="137"/>
      <c r="O40" s="346"/>
      <c r="P40" s="137"/>
      <c r="Q40" s="346"/>
      <c r="R40" s="137"/>
      <c r="S40" s="346"/>
      <c r="T40" s="137"/>
      <c r="U40" s="346"/>
      <c r="V40" s="347"/>
      <c r="W40" s="346"/>
      <c r="X40" s="347"/>
      <c r="Y40" s="346"/>
      <c r="Z40" s="347"/>
      <c r="AA40" s="346"/>
      <c r="AB40" s="283"/>
      <c r="AC40" s="267"/>
      <c r="AD40" s="283"/>
      <c r="AE40" s="267"/>
      <c r="AF40" s="283"/>
      <c r="AG40" s="267"/>
      <c r="AH40" s="283"/>
      <c r="AI40" s="267"/>
      <c r="AJ40" s="283"/>
      <c r="AK40" s="267"/>
      <c r="AL40" s="283"/>
      <c r="AM40" s="267"/>
      <c r="AN40" s="283"/>
      <c r="AO40" s="267"/>
      <c r="AP40" s="267"/>
      <c r="AQ40" s="267"/>
      <c r="AR40" s="232"/>
      <c r="AY40" s="145"/>
      <c r="AZ40" s="146"/>
      <c r="BA40" s="146"/>
      <c r="BB40" s="146"/>
      <c r="BC40" s="146"/>
      <c r="BD40" s="145"/>
      <c r="BE40" s="146"/>
      <c r="BF40" s="146"/>
      <c r="BG40" s="146"/>
      <c r="BH40" s="145"/>
      <c r="BI40" s="146"/>
      <c r="BJ40" s="145"/>
      <c r="BK40" s="146"/>
      <c r="BL40" s="145"/>
      <c r="BM40" s="146"/>
      <c r="BN40" s="145"/>
      <c r="BO40" s="146"/>
      <c r="BP40" s="145"/>
      <c r="BQ40" s="146"/>
      <c r="BR40" s="145"/>
      <c r="BS40" s="146"/>
      <c r="BT40" s="145"/>
      <c r="BU40" s="146"/>
      <c r="BV40" s="145"/>
      <c r="BW40" s="146"/>
      <c r="BX40" s="145"/>
      <c r="BY40" s="146"/>
      <c r="BZ40" s="145"/>
      <c r="CA40" s="146"/>
    </row>
    <row r="41" spans="1:101" s="101" customFormat="1" ht="12.75" customHeight="1" x14ac:dyDescent="0.2">
      <c r="A41" s="227">
        <f>A39+1</f>
        <v>13</v>
      </c>
      <c r="B41" s="227"/>
      <c r="C41" s="231"/>
      <c r="D41" s="251" t="str">
        <f>IF((C41=""),"Enter Segment "&amp;TEXT(A41,0)&amp;" Name, then Enter Data in Columns "&amp;TEXT($H$2,0)&amp;" - "&amp;TEXT($AN$2,0)&amp;"       ","")</f>
        <v xml:space="preserve">Enter Segment 13 Name, then Enter Data in Columns h - an       </v>
      </c>
      <c r="E41" s="131" t="str">
        <f>IF($AW41="B","N/A",IF(AX41="N","No",IF(AX41="Y","Yes","")))</f>
        <v>N/A</v>
      </c>
      <c r="F41" s="130"/>
      <c r="G41" s="130"/>
      <c r="H41" s="285"/>
      <c r="I41" s="251" t="str">
        <f>IF($C41&lt;&gt;"","Enter Starting Point       ","")</f>
        <v/>
      </c>
      <c r="J41" s="285"/>
      <c r="K41" s="227"/>
      <c r="L41" s="88"/>
      <c r="M41" s="251" t="str">
        <f>IF($C41&lt;&gt;"","Select from Pull-Down List  ","")</f>
        <v/>
      </c>
      <c r="N41" s="88"/>
      <c r="O41" s="251" t="str">
        <f>IF($C41&lt;&gt;"","Select from Pull-Down List  ","")</f>
        <v/>
      </c>
      <c r="P41" s="131"/>
      <c r="Q41" s="251" t="str">
        <f>IF($C41&lt;&gt;"","Dir. Route-Mi?    ","")</f>
        <v/>
      </c>
      <c r="R41" s="131"/>
      <c r="S41" s="251" t="str">
        <f>IF($C41&lt;&gt;"","Trk-Mi?      ","")</f>
        <v/>
      </c>
      <c r="T41" s="131"/>
      <c r="U41" s="251" t="str">
        <f>IF($C41&lt;&gt;"","Trk-Mi?      ","")</f>
        <v/>
      </c>
      <c r="V41" s="284"/>
      <c r="W41" s="278" t="str">
        <f>IF(OR($R41="",V$11=""),"","0 - "&amp;TEXT($R41-$AP41,"0.0")&amp;" Trk-Mi?    ")</f>
        <v/>
      </c>
      <c r="X41" s="284"/>
      <c r="Y41" s="278" t="str">
        <f>IF(OR($R41="",X$11=""),"","0 - "&amp;TEXT($R41-$AP41,"0.0")&amp;" Trk-Mi?    ")</f>
        <v/>
      </c>
      <c r="Z41" s="284"/>
      <c r="AA41" s="278" t="str">
        <f>IF(OR($R41="",Z$11=""),"","0 - "&amp;TEXT($R41-$AP41,"0.0")&amp;" Trk-Mi?    ")</f>
        <v/>
      </c>
      <c r="AB41" s="284"/>
      <c r="AC41" s="278" t="str">
        <f>IF(OR($R41="",AB$11=""),"","0 - "&amp;TEXT($R41-$AP41,"0.0")&amp;" Trk-Mi?    ")</f>
        <v/>
      </c>
      <c r="AD41" s="284"/>
      <c r="AE41" s="278" t="str">
        <f>IF(OR($R41="",AD$11=""),"","0 - "&amp;TEXT($R41-$AP41,"0.0")&amp;" Trk-Mi?    ")</f>
        <v/>
      </c>
      <c r="AF41" s="284"/>
      <c r="AG41" s="278" t="str">
        <f>IF(OR($R41="",AF$11=""),"","0 - "&amp;TEXT($R41-$AP41,"0.0")&amp;" Trk-Mi?    ")</f>
        <v/>
      </c>
      <c r="AH41" s="284"/>
      <c r="AI41" s="278" t="str">
        <f>IF(OR($R41="",AH$11=""),"","0 - "&amp;TEXT($R41-$AP41,"0.0")&amp;" Trk-Mi?    ")</f>
        <v/>
      </c>
      <c r="AJ41" s="284"/>
      <c r="AK41" s="278" t="str">
        <f>IF(OR($R41="",AJ$11=""),"","0 - "&amp;TEXT($R41-$AP41,"0.0")&amp;" Trk-Mi?    ")</f>
        <v/>
      </c>
      <c r="AL41" s="284"/>
      <c r="AM41" s="278" t="str">
        <f>IF(OR($R41="",AL$11=""),"","0 - "&amp;TEXT($R41-$AP41,"0.0")&amp;" Trk-Mi?    ")</f>
        <v/>
      </c>
      <c r="AN41" s="284"/>
      <c r="AO41" s="278" t="str">
        <f>IF(OR($R41="",AN$11=""),"","0 - "&amp;TEXT($R41-$AP41,"0.0")&amp;" Trk-Mi?    ")</f>
        <v/>
      </c>
      <c r="AP41" s="282">
        <f>SUM(V41,X41,Z41,AB41,AD41,AF41,AH41,AJ41,AL41,AN41)</f>
        <v>0</v>
      </c>
      <c r="AQ41" s="278"/>
      <c r="AR41" s="234"/>
      <c r="AS41" s="107"/>
      <c r="AT41" s="107"/>
      <c r="AU41" s="107"/>
      <c r="AW41" s="107" t="str">
        <f>IF(AND($C41="",$H41="",$J41="",$L41="",$N41="",$P41="",$R41=""),"B","NB")</f>
        <v>B</v>
      </c>
      <c r="AX41" s="241" t="str">
        <f>IF(OR($C41="",$H41="",$J41="",$L41="",$N41="",$R41="",$P41="",AND($V$11&lt;&gt;"",$V41=""),AND($X$11&lt;&gt;"",$X41=""),AND($Z$11&lt;&gt;"",$Z41=""),AND($AB$11&lt;&gt;"",$AB41=""),AND($AD$11&lt;&gt;"",$AD41=""),AND($AF$11&lt;&gt;"",$AF41=""),AND($AH$11&lt;&gt;"",$AH41=""),AND($AJ$11&lt;&gt;"",$AJ41=""),AND($AL$11&lt;&gt;"",$AL41=""),AND($AN$11&lt;&gt;"",$AN41="")),"N","Y")</f>
        <v>N</v>
      </c>
      <c r="AY41" s="142" t="b">
        <f>IF(AND($C41="",OR($H41&lt;&gt;"",$J41&lt;&gt;"",$L41&lt;&gt;"",$N41&lt;&gt;"",$R41&lt;&gt;"",$P41&lt;&gt;"",AND($V$11&lt;&gt;"",$V41&lt;&gt;""),AND($X$11&lt;&gt;"",$X41&lt;&gt;""),AND($Z$11&lt;&gt;"",$Z41&lt;&gt;""),AND($AB$11&lt;&gt;"",$AB41&lt;&gt;""),AND($AD$11&lt;&gt;"",$AD41&lt;&gt;""),AND($AF$11&lt;&gt;"",$AF41&lt;&gt;""),AND($AH$11&lt;&gt;"",$AH41&lt;&gt;""),AND($AJ$11&lt;&gt;"",$AJ41&lt;&gt;""),AND($AL$11&lt;&gt;"",$AL41&lt;&gt;""),AND($AN$11&lt;&gt;"",$AN41&lt;&gt;""))),TRUE,FALSE)</f>
        <v>0</v>
      </c>
      <c r="AZ41" s="144" t="b">
        <f>IF(AND($C41&lt;&gt;"",$H41=""),TRUE,FALSE)</f>
        <v>0</v>
      </c>
      <c r="BA41" s="144" t="b">
        <f>IF(AND($C41&lt;&gt;"",$J41=""),TRUE,FALSE)</f>
        <v>0</v>
      </c>
      <c r="BB41" s="144" t="b">
        <f>IF(AND($C41&lt;&gt;"",$L41=""),TRUE,FALSE)</f>
        <v>0</v>
      </c>
      <c r="BC41" s="144" t="b">
        <f>IF(AND($C41&lt;&gt;"",$N41=""),TRUE,FALSE)</f>
        <v>0</v>
      </c>
      <c r="BD41" s="142" t="b">
        <f>IF($BE41=TRUE,FALSE,IF(OR($P41&lt;$BD$5,$P41&gt;$BE$5),TRUE,FALSE))</f>
        <v>0</v>
      </c>
      <c r="BE41" s="144" t="b">
        <f>IF(AND($C41&lt;&gt;"",$P41=""),TRUE,FALSE)</f>
        <v>0</v>
      </c>
      <c r="BF41" s="144" t="b">
        <f>IF($BG41=TRUE,FALSE,IF(OR($R41&lt;$BF$5,$R41&gt;$BG$5),TRUE,FALSE))</f>
        <v>0</v>
      </c>
      <c r="BG41" s="144" t="b">
        <f>IF(AND($C41&lt;&gt;"",$R41=""),TRUE,FALSE)</f>
        <v>0</v>
      </c>
      <c r="BH41" s="160" t="b">
        <f>IF(BI41=TRUE,FALSE,IF(AND(V41&lt;&gt;"",V$11=""),TRUE,IF(AND(V41&lt;&gt;"",V$11&lt;&gt;"",$R41&lt;&gt;$AP41),TRUE,IF(OR(V41&lt;0,V41&gt;$R41),TRUE,FALSE))))</f>
        <v>0</v>
      </c>
      <c r="BI41" s="144" t="b">
        <f>IF(AND($C41&lt;&gt;"",V$11&lt;&gt;"",$V41=""),TRUE,FALSE)</f>
        <v>0</v>
      </c>
      <c r="BJ41" s="160" t="b">
        <f>IF(BK41=TRUE,FALSE,IF(AND(X41&lt;&gt;"",X$11=""),TRUE,IF(AND(X41&lt;&gt;"",X$11&lt;&gt;"",$R41&lt;&gt;$AP41),TRUE,IF(OR(X41&lt;0,X41&gt;$R41),TRUE,FALSE))))</f>
        <v>0</v>
      </c>
      <c r="BK41" s="144" t="b">
        <f>IF(AND($C41&lt;&gt;"",X$11&lt;&gt;"",$X41=""),TRUE,FALSE)</f>
        <v>0</v>
      </c>
      <c r="BL41" s="160" t="b">
        <f>IF(BM41=TRUE,FALSE,IF(AND(Z41&lt;&gt;"",Z$11=""),TRUE,IF(AND(Z41&lt;&gt;"",Z$11&lt;&gt;"",$R41&lt;&gt;$AP41),TRUE,IF(OR(Z41&lt;0,Z41&gt;$R41),TRUE,FALSE))))</f>
        <v>0</v>
      </c>
      <c r="BM41" s="144" t="b">
        <f>IF(AND($C41&lt;&gt;"",Z$11&lt;&gt;"",$Z41=""),TRUE,FALSE)</f>
        <v>0</v>
      </c>
      <c r="BN41" s="160" t="b">
        <f>IF(BO41=TRUE,FALSE,IF(AND(AB41&lt;&gt;"",AB$11=""),TRUE,IF(AND(AB41&lt;&gt;"",AB$11&lt;&gt;"",$R41&lt;&gt;$AP41),TRUE,IF(OR(AB41&lt;0,AB41&gt;$R41),TRUE,FALSE))))</f>
        <v>0</v>
      </c>
      <c r="BO41" s="144" t="b">
        <f>IF(AND($C41&lt;&gt;"",AB$11&lt;&gt;"",$AB41=""),TRUE,FALSE)</f>
        <v>0</v>
      </c>
      <c r="BP41" s="160" t="b">
        <f>IF(BQ41=TRUE,FALSE,IF(AND(AD41&lt;&gt;"",AD$11=""),TRUE,IF(AND(AD41&lt;&gt;"",AD$11&lt;&gt;"",$R41&lt;&gt;$AP41),TRUE,IF(OR(AD41&lt;0,AD41&gt;$R41),TRUE,FALSE))))</f>
        <v>0</v>
      </c>
      <c r="BQ41" s="144" t="b">
        <f>IF(AND($C41&lt;&gt;"",AD$11&lt;&gt;"",$AD41=""),TRUE,FALSE)</f>
        <v>0</v>
      </c>
      <c r="BR41" s="160" t="b">
        <f>IF(BS41=TRUE,FALSE,IF(AND(AF41&lt;&gt;"",AF$11=""),TRUE,IF(AND(AF41&lt;&gt;"",AF$11&lt;&gt;"",$R41&lt;&gt;$AP41),TRUE,IF(OR(AF41&lt;0,AF41&gt;$R41),TRUE,FALSE))))</f>
        <v>0</v>
      </c>
      <c r="BS41" s="144" t="b">
        <f>IF(AND($C41&lt;&gt;"",AF$11&lt;&gt;"",$AF41=""),TRUE,FALSE)</f>
        <v>0</v>
      </c>
      <c r="BT41" s="160" t="b">
        <f>IF(BU41=TRUE,FALSE,IF(AND(AH41&lt;&gt;"",AH$11=""),TRUE,IF(AND(AH41&lt;&gt;"",AH$11&lt;&gt;"",$R41&lt;&gt;$AP41),TRUE,IF(OR(AH41&lt;0,AH41&gt;$R41),TRUE,FALSE))))</f>
        <v>0</v>
      </c>
      <c r="BU41" s="144" t="b">
        <f>IF(AND($C41&lt;&gt;"",AH$11&lt;&gt;"",$AH41=""),TRUE,FALSE)</f>
        <v>0</v>
      </c>
      <c r="BV41" s="160" t="b">
        <f>IF(BW41=TRUE,FALSE,IF(AND(AJ41&lt;&gt;"",AJ$11=""),TRUE,IF(AND(AJ41&lt;&gt;"",AJ$11&lt;&gt;"",$R41&lt;&gt;$AP41),TRUE,IF(OR(AJ41&lt;0,AJ41&gt;$R41),TRUE,FALSE))))</f>
        <v>0</v>
      </c>
      <c r="BW41" s="144" t="b">
        <f>IF(AND($C41&lt;&gt;"",AJ$11&lt;&gt;"",$AJ41=""),TRUE,FALSE)</f>
        <v>0</v>
      </c>
      <c r="BX41" s="160" t="b">
        <f>IF(BY41=TRUE,FALSE,IF(AND(AL41&lt;&gt;"",AL$11=""),TRUE,IF(AND(AL41&lt;&gt;"",AL$11&lt;&gt;"",$R41&lt;&gt;$AP41),TRUE,IF(OR(AL41&lt;0,AL41&gt;$R41),TRUE,FALSE))))</f>
        <v>0</v>
      </c>
      <c r="BY41" s="144" t="b">
        <f>IF(AND($C41&lt;&gt;"",AL$11&lt;&gt;"",$AL41=""),TRUE,FALSE)</f>
        <v>0</v>
      </c>
      <c r="BZ41" s="160" t="b">
        <f>IF(CA41=TRUE,FALSE,IF(AND(AN41&lt;&gt;"",AN$11=""),TRUE,IF(AND(AN41&lt;&gt;"",AN$11&lt;&gt;"",$R41&lt;&gt;$AP41),TRUE,IF(OR(AN41&lt;0,AN41&gt;$R41),TRUE,FALSE))))</f>
        <v>0</v>
      </c>
      <c r="CA41" s="144" t="b">
        <f>IF(AND($C41&lt;&gt;"",AN$11&lt;&gt;"",$AN41=""),TRUE,FALSE)</f>
        <v>0</v>
      </c>
      <c r="CB41" s="133"/>
      <c r="CC41" s="133"/>
      <c r="CD41" s="133"/>
      <c r="CE41" s="133"/>
      <c r="CF41" s="133"/>
      <c r="CG41" s="133"/>
      <c r="CH41" s="133"/>
      <c r="CI41" s="133"/>
      <c r="CJ41" s="133"/>
      <c r="CK41" s="133"/>
      <c r="CL41" s="133"/>
      <c r="CM41" s="133"/>
      <c r="CN41" s="133"/>
      <c r="CO41" s="133"/>
      <c r="CP41" s="133"/>
      <c r="CQ41" s="133"/>
      <c r="CR41" s="133"/>
      <c r="CS41" s="133"/>
      <c r="CT41" s="133"/>
      <c r="CU41" s="133"/>
      <c r="CV41" s="133"/>
      <c r="CW41" s="134"/>
    </row>
    <row r="42" spans="1:101" ht="6.75" customHeight="1" thickBot="1" x14ac:dyDescent="0.25">
      <c r="A42" s="228"/>
      <c r="B42" s="228"/>
      <c r="C42" s="232"/>
      <c r="D42" s="267"/>
      <c r="I42" s="267"/>
      <c r="K42" s="228"/>
      <c r="M42" s="267"/>
      <c r="O42" s="267"/>
      <c r="Q42" s="267"/>
      <c r="S42" s="267"/>
      <c r="U42" s="267"/>
      <c r="V42" s="283"/>
      <c r="W42" s="267"/>
      <c r="X42" s="283"/>
      <c r="Y42" s="267"/>
      <c r="Z42" s="283"/>
      <c r="AA42" s="267"/>
      <c r="AB42" s="283"/>
      <c r="AC42" s="267"/>
      <c r="AD42" s="283"/>
      <c r="AE42" s="267"/>
      <c r="AF42" s="283"/>
      <c r="AG42" s="267"/>
      <c r="AH42" s="283"/>
      <c r="AI42" s="267"/>
      <c r="AJ42" s="283"/>
      <c r="AK42" s="267"/>
      <c r="AL42" s="283"/>
      <c r="AM42" s="267"/>
      <c r="AN42" s="283"/>
      <c r="AO42" s="267"/>
      <c r="AP42" s="267"/>
      <c r="AQ42" s="267"/>
      <c r="AR42" s="232"/>
      <c r="AY42" s="145"/>
      <c r="AZ42" s="146"/>
      <c r="BA42" s="146"/>
      <c r="BB42" s="146"/>
      <c r="BC42" s="146"/>
      <c r="BD42" s="145"/>
      <c r="BE42" s="146"/>
      <c r="BF42" s="146"/>
      <c r="BG42" s="146"/>
      <c r="BH42" s="145"/>
      <c r="BI42" s="146"/>
      <c r="BJ42" s="145"/>
      <c r="BK42" s="146"/>
      <c r="BL42" s="145"/>
      <c r="BM42" s="146"/>
      <c r="BN42" s="145"/>
      <c r="BO42" s="146"/>
      <c r="BP42" s="145"/>
      <c r="BQ42" s="146"/>
      <c r="BR42" s="145"/>
      <c r="BS42" s="146"/>
      <c r="BT42" s="145"/>
      <c r="BU42" s="146"/>
      <c r="BV42" s="145"/>
      <c r="BW42" s="146"/>
      <c r="BX42" s="145"/>
      <c r="BY42" s="146"/>
      <c r="BZ42" s="145"/>
      <c r="CA42" s="146"/>
    </row>
    <row r="43" spans="1:101" s="101" customFormat="1" ht="12.75" customHeight="1" x14ac:dyDescent="0.2">
      <c r="A43" s="227">
        <f>A41+1</f>
        <v>14</v>
      </c>
      <c r="B43" s="227"/>
      <c r="C43" s="231"/>
      <c r="D43" s="251" t="str">
        <f>IF((C43=""),"Enter Segment "&amp;TEXT(A43,0)&amp;" Name, then Enter Data in Columns "&amp;TEXT($H$2,0)&amp;" - "&amp;TEXT($AN$2,0)&amp;"       ","")</f>
        <v xml:space="preserve">Enter Segment 14 Name, then Enter Data in Columns h - an       </v>
      </c>
      <c r="E43" s="131" t="str">
        <f>IF($AW43="B","N/A",IF(AX43="N","No",IF(AX43="Y","Yes","")))</f>
        <v>N/A</v>
      </c>
      <c r="F43" s="130"/>
      <c r="G43" s="130"/>
      <c r="H43" s="285"/>
      <c r="I43" s="251" t="str">
        <f>IF($C43&lt;&gt;"","Enter Starting Point       ","")</f>
        <v/>
      </c>
      <c r="J43" s="285"/>
      <c r="K43" s="227"/>
      <c r="L43" s="88"/>
      <c r="M43" s="251" t="str">
        <f>IF($C43&lt;&gt;"","Select from Pull-Down List  ","")</f>
        <v/>
      </c>
      <c r="N43" s="88"/>
      <c r="O43" s="251" t="str">
        <f>IF($C43&lt;&gt;"","Select from Pull-Down List  ","")</f>
        <v/>
      </c>
      <c r="P43" s="131"/>
      <c r="Q43" s="251" t="str">
        <f>IF($C43&lt;&gt;"","Dir. Route-Mi?    ","")</f>
        <v/>
      </c>
      <c r="R43" s="131"/>
      <c r="S43" s="251" t="str">
        <f>IF($C43&lt;&gt;"","Trk-Mi?      ","")</f>
        <v/>
      </c>
      <c r="T43" s="131"/>
      <c r="U43" s="251" t="str">
        <f>IF($C43&lt;&gt;"","Trk-Mi?      ","")</f>
        <v/>
      </c>
      <c r="V43" s="284"/>
      <c r="W43" s="278" t="str">
        <f>IF(OR($R43="",V$11=""),"","0 - "&amp;TEXT($R43-$AP43,"0.0")&amp;" Trk-Mi?    ")</f>
        <v/>
      </c>
      <c r="X43" s="284"/>
      <c r="Y43" s="278" t="str">
        <f>IF(OR($R43="",X$11=""),"","0 - "&amp;TEXT($R43-$AP43,"0.0")&amp;" Trk-Mi?    ")</f>
        <v/>
      </c>
      <c r="Z43" s="284"/>
      <c r="AA43" s="278" t="str">
        <f>IF(OR($R43="",Z$11=""),"","0 - "&amp;TEXT($R43-$AP43,"0.0")&amp;" Trk-Mi?    ")</f>
        <v/>
      </c>
      <c r="AB43" s="284"/>
      <c r="AC43" s="278" t="str">
        <f>IF(OR($R43="",AB$11=""),"","0 - "&amp;TEXT($R43-$AP43,"0.0")&amp;" Trk-Mi?    ")</f>
        <v/>
      </c>
      <c r="AD43" s="284"/>
      <c r="AE43" s="278" t="str">
        <f>IF(OR($R43="",AD$11=""),"","0 - "&amp;TEXT($R43-$AP43,"0.0")&amp;" Trk-Mi?    ")</f>
        <v/>
      </c>
      <c r="AF43" s="284"/>
      <c r="AG43" s="278" t="str">
        <f>IF(OR($R43="",AF$11=""),"","0 - "&amp;TEXT($R43-$AP43,"0.0")&amp;" Trk-Mi?    ")</f>
        <v/>
      </c>
      <c r="AH43" s="284"/>
      <c r="AI43" s="278" t="str">
        <f>IF(OR($R43="",AH$11=""),"","0 - "&amp;TEXT($R43-$AP43,"0.0")&amp;" Trk-Mi?    ")</f>
        <v/>
      </c>
      <c r="AJ43" s="284"/>
      <c r="AK43" s="278" t="str">
        <f>IF(OR($R43="",AJ$11=""),"","0 - "&amp;TEXT($R43-$AP43,"0.0")&amp;" Trk-Mi?    ")</f>
        <v/>
      </c>
      <c r="AL43" s="284"/>
      <c r="AM43" s="278" t="str">
        <f>IF(OR($R43="",AL$11=""),"","0 - "&amp;TEXT($R43-$AP43,"0.0")&amp;" Trk-Mi?    ")</f>
        <v/>
      </c>
      <c r="AN43" s="284"/>
      <c r="AO43" s="278" t="str">
        <f>IF(OR($R43="",AN$11=""),"","0 - "&amp;TEXT($R43-$AP43,"0.0")&amp;" Trk-Mi?    ")</f>
        <v/>
      </c>
      <c r="AP43" s="282">
        <f>SUM(V43,X43,Z43,AB43,AD43,AF43,AH43,AJ43,AL43,AN43)</f>
        <v>0</v>
      </c>
      <c r="AQ43" s="278"/>
      <c r="AR43" s="234"/>
      <c r="AS43" s="107"/>
      <c r="AT43" s="107"/>
      <c r="AU43" s="107"/>
      <c r="AW43" s="107" t="str">
        <f>IF(AND($C43="",$H43="",$J43="",$L43="",$N43="",$P43="",$R43=""),"B","NB")</f>
        <v>B</v>
      </c>
      <c r="AX43" s="241" t="str">
        <f>IF(OR($C43="",$H43="",$J43="",$L43="",$N43="",$R43="",$P43="",AND($V$11&lt;&gt;"",$V43=""),AND($X$11&lt;&gt;"",$X43=""),AND($Z$11&lt;&gt;"",$Z43=""),AND($AB$11&lt;&gt;"",$AB43=""),AND($AD$11&lt;&gt;"",$AD43=""),AND($AF$11&lt;&gt;"",$AF43=""),AND($AH$11&lt;&gt;"",$AH43=""),AND($AJ$11&lt;&gt;"",$AJ43=""),AND($AL$11&lt;&gt;"",$AL43=""),AND($AN$11&lt;&gt;"",$AN43="")),"N","Y")</f>
        <v>N</v>
      </c>
      <c r="AY43" s="142" t="b">
        <f>IF(AND($C43="",OR($H43&lt;&gt;"",$J43&lt;&gt;"",$L43&lt;&gt;"",$N43&lt;&gt;"",$R43&lt;&gt;"",$P43&lt;&gt;"",AND($V$11&lt;&gt;"",$V43&lt;&gt;""),AND($X$11&lt;&gt;"",$X43&lt;&gt;""),AND($Z$11&lt;&gt;"",$Z43&lt;&gt;""),AND($AB$11&lt;&gt;"",$AB43&lt;&gt;""),AND($AD$11&lt;&gt;"",$AD43&lt;&gt;""),AND($AF$11&lt;&gt;"",$AF43&lt;&gt;""),AND($AH$11&lt;&gt;"",$AH43&lt;&gt;""),AND($AJ$11&lt;&gt;"",$AJ43&lt;&gt;""),AND($AL$11&lt;&gt;"",$AL43&lt;&gt;""),AND($AN$11&lt;&gt;"",$AN43&lt;&gt;""))),TRUE,FALSE)</f>
        <v>0</v>
      </c>
      <c r="AZ43" s="144" t="b">
        <f>IF(AND($C43&lt;&gt;"",$H43=""),TRUE,FALSE)</f>
        <v>0</v>
      </c>
      <c r="BA43" s="144" t="b">
        <f>IF(AND($C43&lt;&gt;"",$J43=""),TRUE,FALSE)</f>
        <v>0</v>
      </c>
      <c r="BB43" s="144" t="b">
        <f>IF(AND($C43&lt;&gt;"",$L43=""),TRUE,FALSE)</f>
        <v>0</v>
      </c>
      <c r="BC43" s="144" t="b">
        <f>IF(AND($C43&lt;&gt;"",$N43=""),TRUE,FALSE)</f>
        <v>0</v>
      </c>
      <c r="BD43" s="142" t="b">
        <f>IF($BE43=TRUE,FALSE,IF(OR($P43&lt;$BD$5,$P43&gt;$BE$5),TRUE,FALSE))</f>
        <v>0</v>
      </c>
      <c r="BE43" s="144" t="b">
        <f>IF(AND($C43&lt;&gt;"",$P43=""),TRUE,FALSE)</f>
        <v>0</v>
      </c>
      <c r="BF43" s="144" t="b">
        <f>IF($BG43=TRUE,FALSE,IF(OR($R43&lt;$BF$5,$R43&gt;$BG$5),TRUE,FALSE))</f>
        <v>0</v>
      </c>
      <c r="BG43" s="144" t="b">
        <f>IF(AND($C43&lt;&gt;"",$R43=""),TRUE,FALSE)</f>
        <v>0</v>
      </c>
      <c r="BH43" s="160" t="b">
        <f>IF(BI43=TRUE,FALSE,IF(AND(V43&lt;&gt;"",V$11=""),TRUE,IF(AND(V43&lt;&gt;"",V$11&lt;&gt;"",$R43&lt;&gt;$AP43),TRUE,IF(OR(V43&lt;0,V43&gt;$R43),TRUE,FALSE))))</f>
        <v>0</v>
      </c>
      <c r="BI43" s="144" t="b">
        <f>IF(AND($C43&lt;&gt;"",V$11&lt;&gt;"",$V43=""),TRUE,FALSE)</f>
        <v>0</v>
      </c>
      <c r="BJ43" s="160" t="b">
        <f>IF(BK43=TRUE,FALSE,IF(AND(X43&lt;&gt;"",X$11=""),TRUE,IF(AND(X43&lt;&gt;"",X$11&lt;&gt;"",$R43&lt;&gt;$AP43),TRUE,IF(OR(X43&lt;0,X43&gt;$R43),TRUE,FALSE))))</f>
        <v>0</v>
      </c>
      <c r="BK43" s="144" t="b">
        <f>IF(AND($C43&lt;&gt;"",X$11&lt;&gt;"",$X43=""),TRUE,FALSE)</f>
        <v>0</v>
      </c>
      <c r="BL43" s="160" t="b">
        <f>IF(BM43=TRUE,FALSE,IF(AND(Z43&lt;&gt;"",Z$11=""),TRUE,IF(AND(Z43&lt;&gt;"",Z$11&lt;&gt;"",$R43&lt;&gt;$AP43),TRUE,IF(OR(Z43&lt;0,Z43&gt;$R43),TRUE,FALSE))))</f>
        <v>0</v>
      </c>
      <c r="BM43" s="144" t="b">
        <f>IF(AND($C43&lt;&gt;"",Z$11&lt;&gt;"",$Z43=""),TRUE,FALSE)</f>
        <v>0</v>
      </c>
      <c r="BN43" s="160" t="b">
        <f>IF(BO43=TRUE,FALSE,IF(AND(AB43&lt;&gt;"",AB$11=""),TRUE,IF(AND(AB43&lt;&gt;"",AB$11&lt;&gt;"",$R43&lt;&gt;$AP43),TRUE,IF(OR(AB43&lt;0,AB43&gt;$R43),TRUE,FALSE))))</f>
        <v>0</v>
      </c>
      <c r="BO43" s="144" t="b">
        <f>IF(AND($C43&lt;&gt;"",AB$11&lt;&gt;"",$AB43=""),TRUE,FALSE)</f>
        <v>0</v>
      </c>
      <c r="BP43" s="160" t="b">
        <f>IF(BQ43=TRUE,FALSE,IF(AND(AD43&lt;&gt;"",AD$11=""),TRUE,IF(AND(AD43&lt;&gt;"",AD$11&lt;&gt;"",$R43&lt;&gt;$AP43),TRUE,IF(OR(AD43&lt;0,AD43&gt;$R43),TRUE,FALSE))))</f>
        <v>0</v>
      </c>
      <c r="BQ43" s="144" t="b">
        <f>IF(AND($C43&lt;&gt;"",AD$11&lt;&gt;"",$AD43=""),TRUE,FALSE)</f>
        <v>0</v>
      </c>
      <c r="BR43" s="160" t="b">
        <f>IF(BS43=TRUE,FALSE,IF(AND(AF43&lt;&gt;"",AF$11=""),TRUE,IF(AND(AF43&lt;&gt;"",AF$11&lt;&gt;"",$R43&lt;&gt;$AP43),TRUE,IF(OR(AF43&lt;0,AF43&gt;$R43),TRUE,FALSE))))</f>
        <v>0</v>
      </c>
      <c r="BS43" s="144" t="b">
        <f>IF(AND($C43&lt;&gt;"",AF$11&lt;&gt;"",$AF43=""),TRUE,FALSE)</f>
        <v>0</v>
      </c>
      <c r="BT43" s="160" t="b">
        <f>IF(BU43=TRUE,FALSE,IF(AND(AH43&lt;&gt;"",AH$11=""),TRUE,IF(AND(AH43&lt;&gt;"",AH$11&lt;&gt;"",$R43&lt;&gt;$AP43),TRUE,IF(OR(AH43&lt;0,AH43&gt;$R43),TRUE,FALSE))))</f>
        <v>0</v>
      </c>
      <c r="BU43" s="144" t="b">
        <f>IF(AND($C43&lt;&gt;"",AH$11&lt;&gt;"",$AH43=""),TRUE,FALSE)</f>
        <v>0</v>
      </c>
      <c r="BV43" s="160" t="b">
        <f>IF(BW43=TRUE,FALSE,IF(AND(AJ43&lt;&gt;"",AJ$11=""),TRUE,IF(AND(AJ43&lt;&gt;"",AJ$11&lt;&gt;"",$R43&lt;&gt;$AP43),TRUE,IF(OR(AJ43&lt;0,AJ43&gt;$R43),TRUE,FALSE))))</f>
        <v>0</v>
      </c>
      <c r="BW43" s="144" t="b">
        <f>IF(AND($C43&lt;&gt;"",AJ$11&lt;&gt;"",$AJ43=""),TRUE,FALSE)</f>
        <v>0</v>
      </c>
      <c r="BX43" s="160" t="b">
        <f>IF(BY43=TRUE,FALSE,IF(AND(AL43&lt;&gt;"",AL$11=""),TRUE,IF(AND(AL43&lt;&gt;"",AL$11&lt;&gt;"",$R43&lt;&gt;$AP43),TRUE,IF(OR(AL43&lt;0,AL43&gt;$R43),TRUE,FALSE))))</f>
        <v>0</v>
      </c>
      <c r="BY43" s="144" t="b">
        <f>IF(AND($C43&lt;&gt;"",AL$11&lt;&gt;"",$AL43=""),TRUE,FALSE)</f>
        <v>0</v>
      </c>
      <c r="BZ43" s="160" t="b">
        <f>IF(CA43=TRUE,FALSE,IF(AND(AN43&lt;&gt;"",AN$11=""),TRUE,IF(AND(AN43&lt;&gt;"",AN$11&lt;&gt;"",$R43&lt;&gt;$AP43),TRUE,IF(OR(AN43&lt;0,AN43&gt;$R43),TRUE,FALSE))))</f>
        <v>0</v>
      </c>
      <c r="CA43" s="144" t="b">
        <f>IF(AND($C43&lt;&gt;"",AN$11&lt;&gt;"",$AN43=""),TRUE,FALSE)</f>
        <v>0</v>
      </c>
      <c r="CB43" s="133"/>
      <c r="CC43" s="133"/>
      <c r="CD43" s="133"/>
      <c r="CE43" s="133"/>
      <c r="CF43" s="133"/>
      <c r="CG43" s="133"/>
      <c r="CH43" s="133"/>
      <c r="CI43" s="133"/>
      <c r="CJ43" s="133"/>
      <c r="CK43" s="133"/>
      <c r="CL43" s="133"/>
      <c r="CM43" s="133"/>
      <c r="CN43" s="133"/>
      <c r="CO43" s="133"/>
      <c r="CP43" s="133"/>
      <c r="CQ43" s="133"/>
      <c r="CR43" s="133"/>
      <c r="CS43" s="133"/>
      <c r="CT43" s="133"/>
      <c r="CU43" s="133"/>
      <c r="CV43" s="133"/>
      <c r="CW43" s="134"/>
    </row>
    <row r="44" spans="1:101" ht="6.75" customHeight="1" thickBot="1" x14ac:dyDescent="0.25">
      <c r="A44" s="228"/>
      <c r="B44" s="228"/>
      <c r="C44" s="232"/>
      <c r="D44" s="267"/>
      <c r="I44" s="267"/>
      <c r="K44" s="228"/>
      <c r="M44" s="267"/>
      <c r="O44" s="267"/>
      <c r="Q44" s="267"/>
      <c r="S44" s="267"/>
      <c r="U44" s="267"/>
      <c r="V44" s="283"/>
      <c r="W44" s="267"/>
      <c r="X44" s="283"/>
      <c r="Y44" s="267"/>
      <c r="Z44" s="283"/>
      <c r="AA44" s="267"/>
      <c r="AB44" s="283"/>
      <c r="AC44" s="267"/>
      <c r="AD44" s="283"/>
      <c r="AE44" s="267"/>
      <c r="AF44" s="283"/>
      <c r="AG44" s="267"/>
      <c r="AH44" s="283"/>
      <c r="AI44" s="267"/>
      <c r="AJ44" s="283"/>
      <c r="AK44" s="267"/>
      <c r="AL44" s="283"/>
      <c r="AM44" s="267"/>
      <c r="AN44" s="283"/>
      <c r="AO44" s="267"/>
      <c r="AP44" s="267"/>
      <c r="AQ44" s="267"/>
      <c r="AR44" s="232"/>
      <c r="AY44" s="145"/>
      <c r="AZ44" s="146"/>
      <c r="BA44" s="146"/>
      <c r="BB44" s="146"/>
      <c r="BC44" s="146"/>
      <c r="BD44" s="145"/>
      <c r="BE44" s="146"/>
      <c r="BF44" s="146"/>
      <c r="BG44" s="146"/>
      <c r="BH44" s="145"/>
      <c r="BI44" s="146"/>
      <c r="BJ44" s="145"/>
      <c r="BK44" s="146"/>
      <c r="BL44" s="145"/>
      <c r="BM44" s="146"/>
      <c r="BN44" s="145"/>
      <c r="BO44" s="146"/>
      <c r="BP44" s="145"/>
      <c r="BQ44" s="146"/>
      <c r="BR44" s="145"/>
      <c r="BS44" s="146"/>
      <c r="BT44" s="145"/>
      <c r="BU44" s="146"/>
      <c r="BV44" s="145"/>
      <c r="BW44" s="146"/>
      <c r="BX44" s="145"/>
      <c r="BY44" s="146"/>
      <c r="BZ44" s="145"/>
      <c r="CA44" s="146"/>
    </row>
    <row r="45" spans="1:101" s="101" customFormat="1" ht="12.75" customHeight="1" x14ac:dyDescent="0.2">
      <c r="A45" s="227">
        <f>A43+1</f>
        <v>15</v>
      </c>
      <c r="B45" s="227"/>
      <c r="C45" s="231"/>
      <c r="D45" s="251" t="str">
        <f>IF((C45=""),"Enter Segment "&amp;TEXT(A45,0)&amp;" Name, then Enter Data in Columns "&amp;TEXT($H$2,0)&amp;" - "&amp;TEXT($AN$2,0)&amp;"       ","")</f>
        <v xml:space="preserve">Enter Segment 15 Name, then Enter Data in Columns h - an       </v>
      </c>
      <c r="E45" s="131" t="str">
        <f>IF($AW45="B","N/A",IF(AX45="N","No",IF(AX45="Y","Yes","")))</f>
        <v>N/A</v>
      </c>
      <c r="F45" s="130"/>
      <c r="G45" s="130"/>
      <c r="H45" s="285"/>
      <c r="I45" s="251" t="str">
        <f>IF($C45&lt;&gt;"","Enter Starting Point       ","")</f>
        <v/>
      </c>
      <c r="J45" s="285"/>
      <c r="K45" s="227"/>
      <c r="L45" s="88"/>
      <c r="M45" s="251" t="str">
        <f>IF($C45&lt;&gt;"","Select from Pull-Down List  ","")</f>
        <v/>
      </c>
      <c r="N45" s="88"/>
      <c r="O45" s="251" t="str">
        <f>IF($C45&lt;&gt;"","Select from Pull-Down List  ","")</f>
        <v/>
      </c>
      <c r="P45" s="131"/>
      <c r="Q45" s="251" t="str">
        <f>IF($C45&lt;&gt;"","Dir. Route-Mi?    ","")</f>
        <v/>
      </c>
      <c r="R45" s="131"/>
      <c r="S45" s="251" t="str">
        <f>IF($C45&lt;&gt;"","Trk-Mi?      ","")</f>
        <v/>
      </c>
      <c r="T45" s="131"/>
      <c r="U45" s="251" t="str">
        <f>IF($C45&lt;&gt;"","Trk-Mi?      ","")</f>
        <v/>
      </c>
      <c r="V45" s="284"/>
      <c r="W45" s="278" t="str">
        <f>IF(OR($R45="",V$11=""),"","0 - "&amp;TEXT($R45-$AP45,"0.0")&amp;" Trk-Mi?    ")</f>
        <v/>
      </c>
      <c r="X45" s="284"/>
      <c r="Y45" s="278" t="str">
        <f>IF(OR($R45="",X$11=""),"","0 - "&amp;TEXT($R45-$AP45,"0.0")&amp;" Trk-Mi?    ")</f>
        <v/>
      </c>
      <c r="Z45" s="284"/>
      <c r="AA45" s="278" t="str">
        <f>IF(OR($R45="",Z$11=""),"","0 - "&amp;TEXT($R45-$AP45,"0.0")&amp;" Trk-Mi?    ")</f>
        <v/>
      </c>
      <c r="AB45" s="284"/>
      <c r="AC45" s="278" t="str">
        <f>IF(OR($R45="",AB$11=""),"","0 - "&amp;TEXT($R45-$AP45,"0.0")&amp;" Trk-Mi?    ")</f>
        <v/>
      </c>
      <c r="AD45" s="284"/>
      <c r="AE45" s="278" t="str">
        <f>IF(OR($R45="",AD$11=""),"","0 - "&amp;TEXT($R45-$AP45,"0.0")&amp;" Trk-Mi?    ")</f>
        <v/>
      </c>
      <c r="AF45" s="284"/>
      <c r="AG45" s="278" t="str">
        <f>IF(OR($R45="",AF$11=""),"","0 - "&amp;TEXT($R45-$AP45,"0.0")&amp;" Trk-Mi?    ")</f>
        <v/>
      </c>
      <c r="AH45" s="284"/>
      <c r="AI45" s="278" t="str">
        <f>IF(OR($R45="",AH$11=""),"","0 - "&amp;TEXT($R45-$AP45,"0.0")&amp;" Trk-Mi?    ")</f>
        <v/>
      </c>
      <c r="AJ45" s="284"/>
      <c r="AK45" s="278" t="str">
        <f>IF(OR($R45="",AJ$11=""),"","0 - "&amp;TEXT($R45-$AP45,"0.0")&amp;" Trk-Mi?    ")</f>
        <v/>
      </c>
      <c r="AL45" s="284"/>
      <c r="AM45" s="278" t="str">
        <f>IF(OR($R45="",AL$11=""),"","0 - "&amp;TEXT($R45-$AP45,"0.0")&amp;" Trk-Mi?    ")</f>
        <v/>
      </c>
      <c r="AN45" s="284"/>
      <c r="AO45" s="278" t="str">
        <f>IF(OR($R45="",AN$11=""),"","0 - "&amp;TEXT($R45-$AP45,"0.0")&amp;" Trk-Mi?    ")</f>
        <v/>
      </c>
      <c r="AP45" s="282">
        <f>SUM(V45,X45,Z45,AB45,AD45,AF45,AH45,AJ45,AL45,AN45)</f>
        <v>0</v>
      </c>
      <c r="AQ45" s="278"/>
      <c r="AR45" s="234"/>
      <c r="AS45" s="107"/>
      <c r="AT45" s="107"/>
      <c r="AU45" s="107"/>
      <c r="AW45" s="107" t="str">
        <f>IF(AND($C45="",$H45="",$J45="",$L45="",$N45="",$P45="",$R45=""),"B","NB")</f>
        <v>B</v>
      </c>
      <c r="AX45" s="241" t="str">
        <f>IF(OR($C45="",$H45="",$J45="",$L45="",$N45="",$R45="",$P45="",AND($V$11&lt;&gt;"",$V45=""),AND($X$11&lt;&gt;"",$X45=""),AND($Z$11&lt;&gt;"",$Z45=""),AND($AB$11&lt;&gt;"",$AB45=""),AND($AD$11&lt;&gt;"",$AD45=""),AND($AF$11&lt;&gt;"",$AF45=""),AND($AH$11&lt;&gt;"",$AH45=""),AND($AJ$11&lt;&gt;"",$AJ45=""),AND($AL$11&lt;&gt;"",$AL45=""),AND($AN$11&lt;&gt;"",$AN45="")),"N","Y")</f>
        <v>N</v>
      </c>
      <c r="AY45" s="142" t="b">
        <f>IF(AND($C45="",OR($H45&lt;&gt;"",$J45&lt;&gt;"",$L45&lt;&gt;"",$N45&lt;&gt;"",$R45&lt;&gt;"",$P45&lt;&gt;"",AND($V$11&lt;&gt;"",$V45&lt;&gt;""),AND($X$11&lt;&gt;"",$X45&lt;&gt;""),AND($Z$11&lt;&gt;"",$Z45&lt;&gt;""),AND($AB$11&lt;&gt;"",$AB45&lt;&gt;""),AND($AD$11&lt;&gt;"",$AD45&lt;&gt;""),AND($AF$11&lt;&gt;"",$AF45&lt;&gt;""),AND($AH$11&lt;&gt;"",$AH45&lt;&gt;""),AND($AJ$11&lt;&gt;"",$AJ45&lt;&gt;""),AND($AL$11&lt;&gt;"",$AL45&lt;&gt;""),AND($AN$11&lt;&gt;"",$AN45&lt;&gt;""))),TRUE,FALSE)</f>
        <v>0</v>
      </c>
      <c r="AZ45" s="144" t="b">
        <f>IF(AND($C45&lt;&gt;"",$H45=""),TRUE,FALSE)</f>
        <v>0</v>
      </c>
      <c r="BA45" s="144" t="b">
        <f>IF(AND($C45&lt;&gt;"",$J45=""),TRUE,FALSE)</f>
        <v>0</v>
      </c>
      <c r="BB45" s="144" t="b">
        <f>IF(AND($C45&lt;&gt;"",$L45=""),TRUE,FALSE)</f>
        <v>0</v>
      </c>
      <c r="BC45" s="144" t="b">
        <f>IF(AND($C45&lt;&gt;"",$N45=""),TRUE,FALSE)</f>
        <v>0</v>
      </c>
      <c r="BD45" s="142" t="b">
        <f>IF($BE45=TRUE,FALSE,IF(OR($P45&lt;$BD$5,$P45&gt;$BE$5),TRUE,FALSE))</f>
        <v>0</v>
      </c>
      <c r="BE45" s="144" t="b">
        <f>IF(AND($C45&lt;&gt;"",$P45=""),TRUE,FALSE)</f>
        <v>0</v>
      </c>
      <c r="BF45" s="144" t="b">
        <f>IF($BG45=TRUE,FALSE,IF(OR($R45&lt;$BF$5,$R45&gt;$BG$5),TRUE,FALSE))</f>
        <v>0</v>
      </c>
      <c r="BG45" s="144" t="b">
        <f>IF(AND($C45&lt;&gt;"",$R45=""),TRUE,FALSE)</f>
        <v>0</v>
      </c>
      <c r="BH45" s="160" t="b">
        <f>IF(BI45=TRUE,FALSE,IF(AND(V45&lt;&gt;"",V$11=""),TRUE,IF(AND(V45&lt;&gt;"",V$11&lt;&gt;"",$R45&lt;&gt;$AP45),TRUE,IF(OR(V45&lt;0,V45&gt;$R45),TRUE,FALSE))))</f>
        <v>0</v>
      </c>
      <c r="BI45" s="144" t="b">
        <f>IF(AND($C45&lt;&gt;"",V$11&lt;&gt;"",$V45=""),TRUE,FALSE)</f>
        <v>0</v>
      </c>
      <c r="BJ45" s="160" t="b">
        <f>IF(BK45=TRUE,FALSE,IF(AND(X45&lt;&gt;"",X$11=""),TRUE,IF(AND(X45&lt;&gt;"",X$11&lt;&gt;"",$R45&lt;&gt;$AP45),TRUE,IF(OR(X45&lt;0,X45&gt;$R45),TRUE,FALSE))))</f>
        <v>0</v>
      </c>
      <c r="BK45" s="144" t="b">
        <f>IF(AND($C45&lt;&gt;"",X$11&lt;&gt;"",$X45=""),TRUE,FALSE)</f>
        <v>0</v>
      </c>
      <c r="BL45" s="160" t="b">
        <f>IF(BM45=TRUE,FALSE,IF(AND(Z45&lt;&gt;"",Z$11=""),TRUE,IF(AND(Z45&lt;&gt;"",Z$11&lt;&gt;"",$R45&lt;&gt;$AP45),TRUE,IF(OR(Z45&lt;0,Z45&gt;$R45),TRUE,FALSE))))</f>
        <v>0</v>
      </c>
      <c r="BM45" s="144" t="b">
        <f>IF(AND($C45&lt;&gt;"",Z$11&lt;&gt;"",$Z45=""),TRUE,FALSE)</f>
        <v>0</v>
      </c>
      <c r="BN45" s="160" t="b">
        <f>IF(BO45=TRUE,FALSE,IF(AND(AB45&lt;&gt;"",AB$11=""),TRUE,IF(AND(AB45&lt;&gt;"",AB$11&lt;&gt;"",$R45&lt;&gt;$AP45),TRUE,IF(OR(AB45&lt;0,AB45&gt;$R45),TRUE,FALSE))))</f>
        <v>0</v>
      </c>
      <c r="BO45" s="144" t="b">
        <f>IF(AND($C45&lt;&gt;"",AB$11&lt;&gt;"",$AB45=""),TRUE,FALSE)</f>
        <v>0</v>
      </c>
      <c r="BP45" s="160" t="b">
        <f>IF(BQ45=TRUE,FALSE,IF(AND(AD45&lt;&gt;"",AD$11=""),TRUE,IF(AND(AD45&lt;&gt;"",AD$11&lt;&gt;"",$R45&lt;&gt;$AP45),TRUE,IF(OR(AD45&lt;0,AD45&gt;$R45),TRUE,FALSE))))</f>
        <v>0</v>
      </c>
      <c r="BQ45" s="144" t="b">
        <f>IF(AND($C45&lt;&gt;"",AD$11&lt;&gt;"",$AD45=""),TRUE,FALSE)</f>
        <v>0</v>
      </c>
      <c r="BR45" s="160" t="b">
        <f>IF(BS45=TRUE,FALSE,IF(AND(AF45&lt;&gt;"",AF$11=""),TRUE,IF(AND(AF45&lt;&gt;"",AF$11&lt;&gt;"",$R45&lt;&gt;$AP45),TRUE,IF(OR(AF45&lt;0,AF45&gt;$R45),TRUE,FALSE))))</f>
        <v>0</v>
      </c>
      <c r="BS45" s="144" t="b">
        <f>IF(AND($C45&lt;&gt;"",AF$11&lt;&gt;"",$AF45=""),TRUE,FALSE)</f>
        <v>0</v>
      </c>
      <c r="BT45" s="160" t="b">
        <f>IF(BU45=TRUE,FALSE,IF(AND(AH45&lt;&gt;"",AH$11=""),TRUE,IF(AND(AH45&lt;&gt;"",AH$11&lt;&gt;"",$R45&lt;&gt;$AP45),TRUE,IF(OR(AH45&lt;0,AH45&gt;$R45),TRUE,FALSE))))</f>
        <v>0</v>
      </c>
      <c r="BU45" s="144" t="b">
        <f>IF(AND($C45&lt;&gt;"",AH$11&lt;&gt;"",$AH45=""),TRUE,FALSE)</f>
        <v>0</v>
      </c>
      <c r="BV45" s="160" t="b">
        <f>IF(BW45=TRUE,FALSE,IF(AND(AJ45&lt;&gt;"",AJ$11=""),TRUE,IF(AND(AJ45&lt;&gt;"",AJ$11&lt;&gt;"",$R45&lt;&gt;$AP45),TRUE,IF(OR(AJ45&lt;0,AJ45&gt;$R45),TRUE,FALSE))))</f>
        <v>0</v>
      </c>
      <c r="BW45" s="144" t="b">
        <f>IF(AND($C45&lt;&gt;"",AJ$11&lt;&gt;"",$AJ45=""),TRUE,FALSE)</f>
        <v>0</v>
      </c>
      <c r="BX45" s="160" t="b">
        <f>IF(BY45=TRUE,FALSE,IF(AND(AL45&lt;&gt;"",AL$11=""),TRUE,IF(AND(AL45&lt;&gt;"",AL$11&lt;&gt;"",$R45&lt;&gt;$AP45),TRUE,IF(OR(AL45&lt;0,AL45&gt;$R45),TRUE,FALSE))))</f>
        <v>0</v>
      </c>
      <c r="BY45" s="144" t="b">
        <f>IF(AND($C45&lt;&gt;"",AL$11&lt;&gt;"",$AL45=""),TRUE,FALSE)</f>
        <v>0</v>
      </c>
      <c r="BZ45" s="160" t="b">
        <f>IF(CA45=TRUE,FALSE,IF(AND(AN45&lt;&gt;"",AN$11=""),TRUE,IF(AND(AN45&lt;&gt;"",AN$11&lt;&gt;"",$R45&lt;&gt;$AP45),TRUE,IF(OR(AN45&lt;0,AN45&gt;$R45),TRUE,FALSE))))</f>
        <v>0</v>
      </c>
      <c r="CA45" s="144" t="b">
        <f>IF(AND($C45&lt;&gt;"",AN$11&lt;&gt;"",$AN45=""),TRUE,FALSE)</f>
        <v>0</v>
      </c>
      <c r="CB45" s="133"/>
      <c r="CC45" s="133"/>
      <c r="CD45" s="133"/>
      <c r="CE45" s="133"/>
      <c r="CF45" s="133"/>
      <c r="CG45" s="133"/>
      <c r="CH45" s="133"/>
      <c r="CI45" s="133"/>
      <c r="CJ45" s="133"/>
      <c r="CK45" s="133"/>
      <c r="CL45" s="133"/>
      <c r="CM45" s="133"/>
      <c r="CN45" s="133"/>
      <c r="CO45" s="133"/>
      <c r="CP45" s="133"/>
      <c r="CQ45" s="133"/>
      <c r="CR45" s="133"/>
      <c r="CS45" s="133"/>
      <c r="CT45" s="133"/>
      <c r="CU45" s="133"/>
      <c r="CV45" s="133"/>
      <c r="CW45" s="134"/>
    </row>
    <row r="46" spans="1:101" ht="6.75" customHeight="1" thickBot="1" x14ac:dyDescent="0.25">
      <c r="A46" s="228"/>
      <c r="B46" s="228"/>
      <c r="C46" s="232"/>
      <c r="D46" s="267"/>
      <c r="I46" s="267"/>
      <c r="K46" s="228"/>
      <c r="M46" s="267"/>
      <c r="O46" s="267"/>
      <c r="Q46" s="267"/>
      <c r="S46" s="267"/>
      <c r="U46" s="267"/>
      <c r="V46" s="283"/>
      <c r="W46" s="267"/>
      <c r="X46" s="283"/>
      <c r="Y46" s="267"/>
      <c r="Z46" s="283"/>
      <c r="AA46" s="267"/>
      <c r="AB46" s="283"/>
      <c r="AC46" s="267"/>
      <c r="AD46" s="283"/>
      <c r="AE46" s="267"/>
      <c r="AF46" s="283"/>
      <c r="AG46" s="267"/>
      <c r="AH46" s="283"/>
      <c r="AI46" s="267"/>
      <c r="AJ46" s="283"/>
      <c r="AK46" s="267"/>
      <c r="AL46" s="283"/>
      <c r="AM46" s="267"/>
      <c r="AN46" s="283"/>
      <c r="AO46" s="267"/>
      <c r="AP46" s="267"/>
      <c r="AQ46" s="267"/>
      <c r="AR46" s="232"/>
      <c r="AY46" s="145"/>
      <c r="AZ46" s="146"/>
      <c r="BA46" s="146"/>
      <c r="BB46" s="146"/>
      <c r="BC46" s="146"/>
      <c r="BD46" s="145"/>
      <c r="BE46" s="146"/>
      <c r="BF46" s="146"/>
      <c r="BG46" s="146"/>
      <c r="BH46" s="145"/>
      <c r="BI46" s="146"/>
      <c r="BJ46" s="145"/>
      <c r="BK46" s="146"/>
      <c r="BL46" s="145"/>
      <c r="BM46" s="146"/>
      <c r="BN46" s="145"/>
      <c r="BO46" s="146"/>
      <c r="BP46" s="145"/>
      <c r="BQ46" s="146"/>
      <c r="BR46" s="145"/>
      <c r="BS46" s="146"/>
      <c r="BT46" s="145"/>
      <c r="BU46" s="146"/>
      <c r="BV46" s="145"/>
      <c r="BW46" s="146"/>
      <c r="BX46" s="145"/>
      <c r="BY46" s="146"/>
      <c r="BZ46" s="145"/>
      <c r="CA46" s="146"/>
    </row>
    <row r="47" spans="1:101" s="101" customFormat="1" ht="12.75" customHeight="1" x14ac:dyDescent="0.2">
      <c r="A47" s="227">
        <f>A45+1</f>
        <v>16</v>
      </c>
      <c r="B47" s="227"/>
      <c r="C47" s="231"/>
      <c r="D47" s="251" t="str">
        <f>IF((C47=""),"Enter Segment "&amp;TEXT(A47,0)&amp;" Name, then Enter Data in Columns "&amp;TEXT($H$2,0)&amp;" - "&amp;TEXT($AN$2,0)&amp;"       ","")</f>
        <v xml:space="preserve">Enter Segment 16 Name, then Enter Data in Columns h - an       </v>
      </c>
      <c r="E47" s="131" t="str">
        <f>IF($AW47="B","N/A",IF(AX47="N","No",IF(AX47="Y","Yes","")))</f>
        <v>N/A</v>
      </c>
      <c r="F47" s="130"/>
      <c r="G47" s="130"/>
      <c r="H47" s="285"/>
      <c r="I47" s="251" t="str">
        <f>IF($C47&lt;&gt;"","Enter Starting Point       ","")</f>
        <v/>
      </c>
      <c r="J47" s="285"/>
      <c r="K47" s="227"/>
      <c r="L47" s="88"/>
      <c r="M47" s="251" t="str">
        <f>IF($C47&lt;&gt;"","Select from Pull-Down List  ","")</f>
        <v/>
      </c>
      <c r="N47" s="88"/>
      <c r="O47" s="251" t="str">
        <f>IF($C47&lt;&gt;"","Select from Pull-Down List  ","")</f>
        <v/>
      </c>
      <c r="P47" s="131"/>
      <c r="Q47" s="251" t="str">
        <f>IF($C47&lt;&gt;"","Dir. Route-Mi?    ","")</f>
        <v/>
      </c>
      <c r="R47" s="131"/>
      <c r="S47" s="251" t="str">
        <f>IF($C47&lt;&gt;"","Trk-Mi?      ","")</f>
        <v/>
      </c>
      <c r="T47" s="131"/>
      <c r="U47" s="251" t="str">
        <f>IF($C47&lt;&gt;"","Trk-Mi?      ","")</f>
        <v/>
      </c>
      <c r="V47" s="284"/>
      <c r="W47" s="278" t="str">
        <f>IF(OR($R47="",V$11=""),"","0 - "&amp;TEXT($R47-$AP47,"0.0")&amp;" Trk-Mi?    ")</f>
        <v/>
      </c>
      <c r="X47" s="284"/>
      <c r="Y47" s="278" t="str">
        <f>IF(OR($R47="",X$11=""),"","0 - "&amp;TEXT($R47-$AP47,"0.0")&amp;" Trk-Mi?    ")</f>
        <v/>
      </c>
      <c r="Z47" s="284"/>
      <c r="AA47" s="278" t="str">
        <f>IF(OR($R47="",Z$11=""),"","0 - "&amp;TEXT($R47-$AP47,"0.0")&amp;" Trk-Mi?    ")</f>
        <v/>
      </c>
      <c r="AB47" s="284"/>
      <c r="AC47" s="278" t="str">
        <f>IF(OR($R47="",AB$11=""),"","0 - "&amp;TEXT($R47-$AP47,"0.0")&amp;" Trk-Mi?    ")</f>
        <v/>
      </c>
      <c r="AD47" s="284"/>
      <c r="AE47" s="278" t="str">
        <f>IF(OR($R47="",AD$11=""),"","0 - "&amp;TEXT($R47-$AP47,"0.0")&amp;" Trk-Mi?    ")</f>
        <v/>
      </c>
      <c r="AF47" s="284"/>
      <c r="AG47" s="278" t="str">
        <f>IF(OR($R47="",AF$11=""),"","0 - "&amp;TEXT($R47-$AP47,"0.0")&amp;" Trk-Mi?    ")</f>
        <v/>
      </c>
      <c r="AH47" s="284"/>
      <c r="AI47" s="278" t="str">
        <f>IF(OR($R47="",AH$11=""),"","0 - "&amp;TEXT($R47-$AP47,"0.0")&amp;" Trk-Mi?    ")</f>
        <v/>
      </c>
      <c r="AJ47" s="284"/>
      <c r="AK47" s="278" t="str">
        <f>IF(OR($R47="",AJ$11=""),"","0 - "&amp;TEXT($R47-$AP47,"0.0")&amp;" Trk-Mi?    ")</f>
        <v/>
      </c>
      <c r="AL47" s="284"/>
      <c r="AM47" s="278" t="str">
        <f>IF(OR($R47="",AL$11=""),"","0 - "&amp;TEXT($R47-$AP47,"0.0")&amp;" Trk-Mi?    ")</f>
        <v/>
      </c>
      <c r="AN47" s="284"/>
      <c r="AO47" s="278" t="str">
        <f>IF(OR($R47="",AN$11=""),"","0 - "&amp;TEXT($R47-$AP47,"0.0")&amp;" Trk-Mi?    ")</f>
        <v/>
      </c>
      <c r="AP47" s="282">
        <f>SUM(V47,X47,Z47,AB47,AD47,AF47,AH47,AJ47,AL47,AN47)</f>
        <v>0</v>
      </c>
      <c r="AQ47" s="278"/>
      <c r="AR47" s="234"/>
      <c r="AS47" s="107"/>
      <c r="AT47" s="107"/>
      <c r="AU47" s="107"/>
      <c r="AW47" s="107" t="str">
        <f>IF(AND($C47="",$H47="",$J47="",$L47="",$N47="",$P47="",$R47=""),"B","NB")</f>
        <v>B</v>
      </c>
      <c r="AX47" s="241" t="str">
        <f>IF(OR($C47="",$H47="",$J47="",$L47="",$N47="",$R47="",$P47="",AND($V$11&lt;&gt;"",$V47=""),AND($X$11&lt;&gt;"",$X47=""),AND($Z$11&lt;&gt;"",$Z47=""),AND($AB$11&lt;&gt;"",$AB47=""),AND($AD$11&lt;&gt;"",$AD47=""),AND($AF$11&lt;&gt;"",$AF47=""),AND($AH$11&lt;&gt;"",$AH47=""),AND($AJ$11&lt;&gt;"",$AJ47=""),AND($AL$11&lt;&gt;"",$AL47=""),AND($AN$11&lt;&gt;"",$AN47="")),"N","Y")</f>
        <v>N</v>
      </c>
      <c r="AY47" s="142" t="b">
        <f>IF(AND($C47="",OR($H47&lt;&gt;"",$J47&lt;&gt;"",$L47&lt;&gt;"",$N47&lt;&gt;"",$R47&lt;&gt;"",$P47&lt;&gt;"",AND($V$11&lt;&gt;"",$V47&lt;&gt;""),AND($X$11&lt;&gt;"",$X47&lt;&gt;""),AND($Z$11&lt;&gt;"",$Z47&lt;&gt;""),AND($AB$11&lt;&gt;"",$AB47&lt;&gt;""),AND($AD$11&lt;&gt;"",$AD47&lt;&gt;""),AND($AF$11&lt;&gt;"",$AF47&lt;&gt;""),AND($AH$11&lt;&gt;"",$AH47&lt;&gt;""),AND($AJ$11&lt;&gt;"",$AJ47&lt;&gt;""),AND($AL$11&lt;&gt;"",$AL47&lt;&gt;""),AND($AN$11&lt;&gt;"",$AN47&lt;&gt;""))),TRUE,FALSE)</f>
        <v>0</v>
      </c>
      <c r="AZ47" s="144" t="b">
        <f>IF(AND($C47&lt;&gt;"",$H47=""),TRUE,FALSE)</f>
        <v>0</v>
      </c>
      <c r="BA47" s="144" t="b">
        <f>IF(AND($C47&lt;&gt;"",$J47=""),TRUE,FALSE)</f>
        <v>0</v>
      </c>
      <c r="BB47" s="144" t="b">
        <f>IF(AND($C47&lt;&gt;"",$L47=""),TRUE,FALSE)</f>
        <v>0</v>
      </c>
      <c r="BC47" s="144" t="b">
        <f>IF(AND($C47&lt;&gt;"",$N47=""),TRUE,FALSE)</f>
        <v>0</v>
      </c>
      <c r="BD47" s="142" t="b">
        <f>IF($BE47=TRUE,FALSE,IF(OR($P47&lt;$BD$5,$P47&gt;$BE$5),TRUE,FALSE))</f>
        <v>0</v>
      </c>
      <c r="BE47" s="144" t="b">
        <f>IF(AND($C47&lt;&gt;"",$P47=""),TRUE,FALSE)</f>
        <v>0</v>
      </c>
      <c r="BF47" s="144" t="b">
        <f>IF($BG47=TRUE,FALSE,IF(OR($R47&lt;$BF$5,$R47&gt;$BG$5),TRUE,FALSE))</f>
        <v>0</v>
      </c>
      <c r="BG47" s="144" t="b">
        <f>IF(AND($C47&lt;&gt;"",$R47=""),TRUE,FALSE)</f>
        <v>0</v>
      </c>
      <c r="BH47" s="160" t="b">
        <f>IF(BI47=TRUE,FALSE,IF(AND(V47&lt;&gt;"",V$11=""),TRUE,IF(AND(V47&lt;&gt;"",V$11&lt;&gt;"",$R47&lt;&gt;$AP47),TRUE,IF(OR(V47&lt;0,V47&gt;$R47),TRUE,FALSE))))</f>
        <v>0</v>
      </c>
      <c r="BI47" s="144" t="b">
        <f>IF(AND($C47&lt;&gt;"",V$11&lt;&gt;"",$V47=""),TRUE,FALSE)</f>
        <v>0</v>
      </c>
      <c r="BJ47" s="160" t="b">
        <f>IF(BK47=TRUE,FALSE,IF(AND(X47&lt;&gt;"",X$11=""),TRUE,IF(AND(X47&lt;&gt;"",X$11&lt;&gt;"",$R47&lt;&gt;$AP47),TRUE,IF(OR(X47&lt;0,X47&gt;$R47),TRUE,FALSE))))</f>
        <v>0</v>
      </c>
      <c r="BK47" s="144" t="b">
        <f>IF(AND($C47&lt;&gt;"",X$11&lt;&gt;"",$X47=""),TRUE,FALSE)</f>
        <v>0</v>
      </c>
      <c r="BL47" s="160" t="b">
        <f>IF(BM47=TRUE,FALSE,IF(AND(Z47&lt;&gt;"",Z$11=""),TRUE,IF(AND(Z47&lt;&gt;"",Z$11&lt;&gt;"",$R47&lt;&gt;$AP47),TRUE,IF(OR(Z47&lt;0,Z47&gt;$R47),TRUE,FALSE))))</f>
        <v>0</v>
      </c>
      <c r="BM47" s="144" t="b">
        <f>IF(AND($C47&lt;&gt;"",Z$11&lt;&gt;"",$Z47=""),TRUE,FALSE)</f>
        <v>0</v>
      </c>
      <c r="BN47" s="160" t="b">
        <f>IF(BO47=TRUE,FALSE,IF(AND(AB47&lt;&gt;"",AB$11=""),TRUE,IF(AND(AB47&lt;&gt;"",AB$11&lt;&gt;"",$R47&lt;&gt;$AP47),TRUE,IF(OR(AB47&lt;0,AB47&gt;$R47),TRUE,FALSE))))</f>
        <v>0</v>
      </c>
      <c r="BO47" s="144" t="b">
        <f>IF(AND($C47&lt;&gt;"",AB$11&lt;&gt;"",$AB47=""),TRUE,FALSE)</f>
        <v>0</v>
      </c>
      <c r="BP47" s="160" t="b">
        <f>IF(BQ47=TRUE,FALSE,IF(AND(AD47&lt;&gt;"",AD$11=""),TRUE,IF(AND(AD47&lt;&gt;"",AD$11&lt;&gt;"",$R47&lt;&gt;$AP47),TRUE,IF(OR(AD47&lt;0,AD47&gt;$R47),TRUE,FALSE))))</f>
        <v>0</v>
      </c>
      <c r="BQ47" s="144" t="b">
        <f>IF(AND($C47&lt;&gt;"",AD$11&lt;&gt;"",$AD47=""),TRUE,FALSE)</f>
        <v>0</v>
      </c>
      <c r="BR47" s="160" t="b">
        <f>IF(BS47=TRUE,FALSE,IF(AND(AF47&lt;&gt;"",AF$11=""),TRUE,IF(AND(AF47&lt;&gt;"",AF$11&lt;&gt;"",$R47&lt;&gt;$AP47),TRUE,IF(OR(AF47&lt;0,AF47&gt;$R47),TRUE,FALSE))))</f>
        <v>0</v>
      </c>
      <c r="BS47" s="144" t="b">
        <f>IF(AND($C47&lt;&gt;"",AF$11&lt;&gt;"",$AF47=""),TRUE,FALSE)</f>
        <v>0</v>
      </c>
      <c r="BT47" s="160" t="b">
        <f>IF(BU47=TRUE,FALSE,IF(AND(AH47&lt;&gt;"",AH$11=""),TRUE,IF(AND(AH47&lt;&gt;"",AH$11&lt;&gt;"",$R47&lt;&gt;$AP47),TRUE,IF(OR(AH47&lt;0,AH47&gt;$R47),TRUE,FALSE))))</f>
        <v>0</v>
      </c>
      <c r="BU47" s="144" t="b">
        <f>IF(AND($C47&lt;&gt;"",AH$11&lt;&gt;"",$AH47=""),TRUE,FALSE)</f>
        <v>0</v>
      </c>
      <c r="BV47" s="160" t="b">
        <f>IF(BW47=TRUE,FALSE,IF(AND(AJ47&lt;&gt;"",AJ$11=""),TRUE,IF(AND(AJ47&lt;&gt;"",AJ$11&lt;&gt;"",$R47&lt;&gt;$AP47),TRUE,IF(OR(AJ47&lt;0,AJ47&gt;$R47),TRUE,FALSE))))</f>
        <v>0</v>
      </c>
      <c r="BW47" s="144" t="b">
        <f>IF(AND($C47&lt;&gt;"",AJ$11&lt;&gt;"",$AJ47=""),TRUE,FALSE)</f>
        <v>0</v>
      </c>
      <c r="BX47" s="160" t="b">
        <f>IF(BY47=TRUE,FALSE,IF(AND(AL47&lt;&gt;"",AL$11=""),TRUE,IF(AND(AL47&lt;&gt;"",AL$11&lt;&gt;"",$R47&lt;&gt;$AP47),TRUE,IF(OR(AL47&lt;0,AL47&gt;$R47),TRUE,FALSE))))</f>
        <v>0</v>
      </c>
      <c r="BY47" s="144" t="b">
        <f>IF(AND($C47&lt;&gt;"",AL$11&lt;&gt;"",$AL47=""),TRUE,FALSE)</f>
        <v>0</v>
      </c>
      <c r="BZ47" s="160" t="b">
        <f>IF(CA47=TRUE,FALSE,IF(AND(AN47&lt;&gt;"",AN$11=""),TRUE,IF(AND(AN47&lt;&gt;"",AN$11&lt;&gt;"",$R47&lt;&gt;$AP47),TRUE,IF(OR(AN47&lt;0,AN47&gt;$R47),TRUE,FALSE))))</f>
        <v>0</v>
      </c>
      <c r="CA47" s="144" t="b">
        <f>IF(AND($C47&lt;&gt;"",AN$11&lt;&gt;"",$AN47=""),TRUE,FALSE)</f>
        <v>0</v>
      </c>
      <c r="CB47" s="133"/>
      <c r="CC47" s="133"/>
      <c r="CD47" s="133"/>
      <c r="CE47" s="133"/>
      <c r="CF47" s="133"/>
      <c r="CG47" s="133"/>
      <c r="CH47" s="133"/>
      <c r="CI47" s="133"/>
      <c r="CJ47" s="133"/>
      <c r="CK47" s="133"/>
      <c r="CL47" s="133"/>
      <c r="CM47" s="133"/>
      <c r="CN47" s="133"/>
      <c r="CO47" s="133"/>
      <c r="CP47" s="133"/>
      <c r="CQ47" s="133"/>
      <c r="CR47" s="133"/>
      <c r="CS47" s="133"/>
      <c r="CT47" s="133"/>
      <c r="CU47" s="133"/>
      <c r="CV47" s="133"/>
      <c r="CW47" s="134"/>
    </row>
    <row r="48" spans="1:101" ht="6.75" customHeight="1" thickBot="1" x14ac:dyDescent="0.25">
      <c r="A48" s="228"/>
      <c r="B48" s="228"/>
      <c r="C48" s="232"/>
      <c r="D48" s="267"/>
      <c r="I48" s="267"/>
      <c r="K48" s="228"/>
      <c r="M48" s="267"/>
      <c r="O48" s="267"/>
      <c r="Q48" s="267"/>
      <c r="S48" s="267"/>
      <c r="U48" s="267"/>
      <c r="V48" s="283"/>
      <c r="W48" s="267"/>
      <c r="X48" s="283"/>
      <c r="Y48" s="267"/>
      <c r="Z48" s="283"/>
      <c r="AA48" s="267"/>
      <c r="AB48" s="283"/>
      <c r="AC48" s="267"/>
      <c r="AD48" s="283"/>
      <c r="AE48" s="267"/>
      <c r="AF48" s="283"/>
      <c r="AG48" s="267"/>
      <c r="AH48" s="283"/>
      <c r="AI48" s="267"/>
      <c r="AJ48" s="283"/>
      <c r="AK48" s="267"/>
      <c r="AL48" s="283"/>
      <c r="AM48" s="267"/>
      <c r="AN48" s="283"/>
      <c r="AO48" s="267"/>
      <c r="AP48" s="267"/>
      <c r="AQ48" s="267"/>
      <c r="AR48" s="232"/>
      <c r="AY48" s="145"/>
      <c r="AZ48" s="146"/>
      <c r="BA48" s="146"/>
      <c r="BB48" s="146"/>
      <c r="BC48" s="146"/>
      <c r="BD48" s="145"/>
      <c r="BE48" s="146"/>
      <c r="BF48" s="146"/>
      <c r="BG48" s="146"/>
      <c r="BH48" s="145"/>
      <c r="BI48" s="146"/>
      <c r="BJ48" s="145"/>
      <c r="BK48" s="146"/>
      <c r="BL48" s="145"/>
      <c r="BM48" s="146"/>
      <c r="BN48" s="145"/>
      <c r="BO48" s="146"/>
      <c r="BP48" s="145"/>
      <c r="BQ48" s="146"/>
      <c r="BR48" s="145"/>
      <c r="BS48" s="146"/>
      <c r="BT48" s="145"/>
      <c r="BU48" s="146"/>
      <c r="BV48" s="145"/>
      <c r="BW48" s="146"/>
      <c r="BX48" s="145"/>
      <c r="BY48" s="146"/>
      <c r="BZ48" s="145"/>
      <c r="CA48" s="146"/>
    </row>
    <row r="49" spans="1:101" s="101" customFormat="1" ht="12.75" customHeight="1" x14ac:dyDescent="0.2">
      <c r="A49" s="227">
        <f>A47+1</f>
        <v>17</v>
      </c>
      <c r="B49" s="227"/>
      <c r="C49" s="231"/>
      <c r="D49" s="251" t="str">
        <f>IF((C49=""),"Enter Segment "&amp;TEXT(A49,0)&amp;" Name, then Enter Data in Columns "&amp;TEXT($H$2,0)&amp;" - "&amp;TEXT($AN$2,0)&amp;"       ","")</f>
        <v xml:space="preserve">Enter Segment 17 Name, then Enter Data in Columns h - an       </v>
      </c>
      <c r="E49" s="131" t="str">
        <f>IF($AW49="B","N/A",IF(AX49="N","No",IF(AX49="Y","Yes","")))</f>
        <v>N/A</v>
      </c>
      <c r="F49" s="130"/>
      <c r="G49" s="130"/>
      <c r="H49" s="285"/>
      <c r="I49" s="251" t="str">
        <f>IF($C49&lt;&gt;"","Enter Starting Point       ","")</f>
        <v/>
      </c>
      <c r="J49" s="285"/>
      <c r="K49" s="227"/>
      <c r="L49" s="88"/>
      <c r="M49" s="251" t="str">
        <f>IF($C49&lt;&gt;"","Select from Pull-Down List  ","")</f>
        <v/>
      </c>
      <c r="N49" s="88"/>
      <c r="O49" s="251" t="str">
        <f>IF($C49&lt;&gt;"","Select from Pull-Down List  ","")</f>
        <v/>
      </c>
      <c r="P49" s="131"/>
      <c r="Q49" s="251" t="str">
        <f>IF($C49&lt;&gt;"","Dir. Route-Mi?    ","")</f>
        <v/>
      </c>
      <c r="R49" s="131"/>
      <c r="S49" s="251" t="str">
        <f>IF($C49&lt;&gt;"","Trk-Mi?      ","")</f>
        <v/>
      </c>
      <c r="T49" s="131"/>
      <c r="U49" s="251" t="str">
        <f>IF($C49&lt;&gt;"","Trk-Mi?      ","")</f>
        <v/>
      </c>
      <c r="V49" s="284"/>
      <c r="W49" s="278" t="str">
        <f>IF(OR($R49="",V$11=""),"","0 - "&amp;TEXT($R49-$AP49,"0.0")&amp;" Trk-Mi?    ")</f>
        <v/>
      </c>
      <c r="X49" s="284"/>
      <c r="Y49" s="278" t="str">
        <f>IF(OR($R49="",X$11=""),"","0 - "&amp;TEXT($R49-$AP49,"0.0")&amp;" Trk-Mi?    ")</f>
        <v/>
      </c>
      <c r="Z49" s="284"/>
      <c r="AA49" s="278" t="str">
        <f>IF(OR($R49="",Z$11=""),"","0 - "&amp;TEXT($R49-$AP49,"0.0")&amp;" Trk-Mi?    ")</f>
        <v/>
      </c>
      <c r="AB49" s="284"/>
      <c r="AC49" s="278" t="str">
        <f>IF(OR($R49="",AB$11=""),"","0 - "&amp;TEXT($R49-$AP49,"0.0")&amp;" Trk-Mi?    ")</f>
        <v/>
      </c>
      <c r="AD49" s="284"/>
      <c r="AE49" s="278" t="str">
        <f>IF(OR($R49="",AD$11=""),"","0 - "&amp;TEXT($R49-$AP49,"0.0")&amp;" Trk-Mi?    ")</f>
        <v/>
      </c>
      <c r="AF49" s="284"/>
      <c r="AG49" s="278" t="str">
        <f>IF(OR($R49="",AF$11=""),"","0 - "&amp;TEXT($R49-$AP49,"0.0")&amp;" Trk-Mi?    ")</f>
        <v/>
      </c>
      <c r="AH49" s="284"/>
      <c r="AI49" s="278" t="str">
        <f>IF(OR($R49="",AH$11=""),"","0 - "&amp;TEXT($R49-$AP49,"0.0")&amp;" Trk-Mi?    ")</f>
        <v/>
      </c>
      <c r="AJ49" s="284"/>
      <c r="AK49" s="278" t="str">
        <f>IF(OR($R49="",AJ$11=""),"","0 - "&amp;TEXT($R49-$AP49,"0.0")&amp;" Trk-Mi?    ")</f>
        <v/>
      </c>
      <c r="AL49" s="284"/>
      <c r="AM49" s="278" t="str">
        <f>IF(OR($R49="",AL$11=""),"","0 - "&amp;TEXT($R49-$AP49,"0.0")&amp;" Trk-Mi?    ")</f>
        <v/>
      </c>
      <c r="AN49" s="284"/>
      <c r="AO49" s="278" t="str">
        <f>IF(OR($R49="",AN$11=""),"","0 - "&amp;TEXT($R49-$AP49,"0.0")&amp;" Trk-Mi?    ")</f>
        <v/>
      </c>
      <c r="AP49" s="282">
        <f>SUM(V49,X49,Z49,AB49,AD49,AF49,AH49,AJ49,AL49,AN49)</f>
        <v>0</v>
      </c>
      <c r="AQ49" s="278"/>
      <c r="AR49" s="234"/>
      <c r="AS49" s="107"/>
      <c r="AT49" s="107"/>
      <c r="AU49" s="107"/>
      <c r="AW49" s="107" t="str">
        <f>IF(AND($C49="",$H49="",$J49="",$L49="",$N49="",$P49="",$R49=""),"B","NB")</f>
        <v>B</v>
      </c>
      <c r="AX49" s="241" t="str">
        <f>IF(OR($C49="",$H49="",$J49="",$L49="",$N49="",$R49="",$P49="",AND($V$11&lt;&gt;"",$V49=""),AND($X$11&lt;&gt;"",$X49=""),AND($Z$11&lt;&gt;"",$Z49=""),AND($AB$11&lt;&gt;"",$AB49=""),AND($AD$11&lt;&gt;"",$AD49=""),AND($AF$11&lt;&gt;"",$AF49=""),AND($AH$11&lt;&gt;"",$AH49=""),AND($AJ$11&lt;&gt;"",$AJ49=""),AND($AL$11&lt;&gt;"",$AL49=""),AND($AN$11&lt;&gt;"",$AN49="")),"N","Y")</f>
        <v>N</v>
      </c>
      <c r="AY49" s="142" t="b">
        <f>IF(AND($C49="",OR($H49&lt;&gt;"",$J49&lt;&gt;"",$L49&lt;&gt;"",$N49&lt;&gt;"",$R49&lt;&gt;"",$P49&lt;&gt;"",AND($V$11&lt;&gt;"",$V49&lt;&gt;""),AND($X$11&lt;&gt;"",$X49&lt;&gt;""),AND($Z$11&lt;&gt;"",$Z49&lt;&gt;""),AND($AB$11&lt;&gt;"",$AB49&lt;&gt;""),AND($AD$11&lt;&gt;"",$AD49&lt;&gt;""),AND($AF$11&lt;&gt;"",$AF49&lt;&gt;""),AND($AH$11&lt;&gt;"",$AH49&lt;&gt;""),AND($AJ$11&lt;&gt;"",$AJ49&lt;&gt;""),AND($AL$11&lt;&gt;"",$AL49&lt;&gt;""),AND($AN$11&lt;&gt;"",$AN49&lt;&gt;""))),TRUE,FALSE)</f>
        <v>0</v>
      </c>
      <c r="AZ49" s="144" t="b">
        <f>IF(AND($C49&lt;&gt;"",$H49=""),TRUE,FALSE)</f>
        <v>0</v>
      </c>
      <c r="BA49" s="144" t="b">
        <f>IF(AND($C49&lt;&gt;"",$J49=""),TRUE,FALSE)</f>
        <v>0</v>
      </c>
      <c r="BB49" s="144" t="b">
        <f>IF(AND($C49&lt;&gt;"",$L49=""),TRUE,FALSE)</f>
        <v>0</v>
      </c>
      <c r="BC49" s="144" t="b">
        <f>IF(AND($C49&lt;&gt;"",$N49=""),TRUE,FALSE)</f>
        <v>0</v>
      </c>
      <c r="BD49" s="144" t="b">
        <f>IF($BE49=TRUE,FALSE,IF(OR($P49&lt;$BD$5,$P49&gt;$BE$5),TRUE,FALSE))</f>
        <v>0</v>
      </c>
      <c r="BE49" s="144" t="b">
        <f>IF(AND($C49&lt;&gt;"",$P49=""),TRUE,FALSE)</f>
        <v>0</v>
      </c>
      <c r="BF49" s="144" t="b">
        <f>IF($BG49=TRUE,FALSE,IF(OR($R49&lt;$BF$5,$R49&gt;$BG$5),TRUE,FALSE))</f>
        <v>0</v>
      </c>
      <c r="BG49" s="142" t="b">
        <f>IF(AND($C49&lt;&gt;"",$R49=""),TRUE,FALSE)</f>
        <v>0</v>
      </c>
      <c r="BH49" s="160" t="b">
        <f>IF(BI49=TRUE,FALSE,IF(AND(V49&lt;&gt;"",V$11=""),TRUE,IF(AND(V49&lt;&gt;"",V$11&lt;&gt;"",$R49&lt;&gt;$AP49),TRUE,IF(OR(V49&lt;0,V49&gt;$R49),TRUE,FALSE))))</f>
        <v>0</v>
      </c>
      <c r="BI49" s="144" t="b">
        <f>IF(AND($C49&lt;&gt;"",V$11&lt;&gt;"",$V49=""),TRUE,FALSE)</f>
        <v>0</v>
      </c>
      <c r="BJ49" s="160" t="b">
        <f>IF(BK49=TRUE,FALSE,IF(AND(X49&lt;&gt;"",X$11=""),TRUE,IF(AND(X49&lt;&gt;"",X$11&lt;&gt;"",$R49&lt;&gt;$AP49),TRUE,IF(OR(X49&lt;0,X49&gt;$R49),TRUE,FALSE))))</f>
        <v>0</v>
      </c>
      <c r="BK49" s="144" t="b">
        <f>IF(AND($C49&lt;&gt;"",X$11&lt;&gt;"",$X49=""),TRUE,FALSE)</f>
        <v>0</v>
      </c>
      <c r="BL49" s="160" t="b">
        <f>IF(BM49=TRUE,FALSE,IF(AND(Z49&lt;&gt;"",Z$11=""),TRUE,IF(AND(Z49&lt;&gt;"",Z$11&lt;&gt;"",$R49&lt;&gt;$AP49),TRUE,IF(OR(Z49&lt;0,Z49&gt;$R49),TRUE,FALSE))))</f>
        <v>0</v>
      </c>
      <c r="BM49" s="144" t="b">
        <f>IF(AND($C49&lt;&gt;"",Z$11&lt;&gt;"",$Z49=""),TRUE,FALSE)</f>
        <v>0</v>
      </c>
      <c r="BN49" s="160" t="b">
        <f>IF(BO49=TRUE,FALSE,IF(AND(AB49&lt;&gt;"",AB$11=""),TRUE,IF(AND(AB49&lt;&gt;"",AB$11&lt;&gt;"",$R49&lt;&gt;$AP49),TRUE,IF(OR(AB49&lt;0,AB49&gt;$R49),TRUE,FALSE))))</f>
        <v>0</v>
      </c>
      <c r="BO49" s="144" t="b">
        <f>IF(AND($C49&lt;&gt;"",AB$11&lt;&gt;"",$AB49=""),TRUE,FALSE)</f>
        <v>0</v>
      </c>
      <c r="BP49" s="160" t="b">
        <f>IF(BQ49=TRUE,FALSE,IF(AND(AD49&lt;&gt;"",AD$11=""),TRUE,IF(AND(AD49&lt;&gt;"",AD$11&lt;&gt;"",$R49&lt;&gt;$AP49),TRUE,IF(OR(AD49&lt;0,AD49&gt;$R49),TRUE,FALSE))))</f>
        <v>0</v>
      </c>
      <c r="BQ49" s="144" t="b">
        <f>IF(AND($C49&lt;&gt;"",AD$11&lt;&gt;"",$AD49=""),TRUE,FALSE)</f>
        <v>0</v>
      </c>
      <c r="BR49" s="160" t="b">
        <f>IF(BS49=TRUE,FALSE,IF(AND(AF49&lt;&gt;"",AF$11=""),TRUE,IF(AND(AF49&lt;&gt;"",AF$11&lt;&gt;"",$R49&lt;&gt;$AP49),TRUE,IF(OR(AF49&lt;0,AF49&gt;$R49),TRUE,FALSE))))</f>
        <v>0</v>
      </c>
      <c r="BS49" s="144" t="b">
        <f>IF(AND($C49&lt;&gt;"",AF$11&lt;&gt;"",$AF49=""),TRUE,FALSE)</f>
        <v>0</v>
      </c>
      <c r="BT49" s="160" t="b">
        <f>IF(BU49=TRUE,FALSE,IF(AND(AH49&lt;&gt;"",AH$11=""),TRUE,IF(AND(AH49&lt;&gt;"",AH$11&lt;&gt;"",$R49&lt;&gt;$AP49),TRUE,IF(OR(AH49&lt;0,AH49&gt;$R49),TRUE,FALSE))))</f>
        <v>0</v>
      </c>
      <c r="BU49" s="144" t="b">
        <f>IF(AND($C49&lt;&gt;"",AH$11&lt;&gt;"",$AH49=""),TRUE,FALSE)</f>
        <v>0</v>
      </c>
      <c r="BV49" s="160" t="b">
        <f>IF(BW49=TRUE,FALSE,IF(AND(AJ49&lt;&gt;"",AJ$11=""),TRUE,IF(AND(AJ49&lt;&gt;"",AJ$11&lt;&gt;"",$R49&lt;&gt;$AP49),TRUE,IF(OR(AJ49&lt;0,AJ49&gt;$R49),TRUE,FALSE))))</f>
        <v>0</v>
      </c>
      <c r="BW49" s="144" t="b">
        <f>IF(AND($C49&lt;&gt;"",AJ$11&lt;&gt;"",$AJ49=""),TRUE,FALSE)</f>
        <v>0</v>
      </c>
      <c r="BX49" s="160" t="b">
        <f>IF(BY49=TRUE,FALSE,IF(AND(AL49&lt;&gt;"",AL$11=""),TRUE,IF(AND(AL49&lt;&gt;"",AL$11&lt;&gt;"",$R49&lt;&gt;$AP49),TRUE,IF(OR(AL49&lt;0,AL49&gt;$R49),TRUE,FALSE))))</f>
        <v>0</v>
      </c>
      <c r="BY49" s="144" t="b">
        <f>IF(AND($C49&lt;&gt;"",AL$11&lt;&gt;"",$AL49=""),TRUE,FALSE)</f>
        <v>0</v>
      </c>
      <c r="BZ49" s="160" t="b">
        <f>IF(CA49=TRUE,FALSE,IF(AND(AN49&lt;&gt;"",AN$11=""),TRUE,IF(AND(AN49&lt;&gt;"",AN$11&lt;&gt;"",$R49&lt;&gt;$AP49),TRUE,IF(OR(AN49&lt;0,AN49&gt;$R49),TRUE,FALSE))))</f>
        <v>0</v>
      </c>
      <c r="CA49" s="144" t="b">
        <f>IF(AND($C49&lt;&gt;"",AN$11&lt;&gt;"",$AN49=""),TRUE,FALSE)</f>
        <v>0</v>
      </c>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4"/>
    </row>
    <row r="50" spans="1:101" ht="6.75" customHeight="1" thickBot="1" x14ac:dyDescent="0.25">
      <c r="A50" s="228"/>
      <c r="B50" s="228"/>
      <c r="C50" s="232"/>
      <c r="D50" s="267"/>
      <c r="I50" s="267"/>
      <c r="K50" s="228"/>
      <c r="M50" s="267"/>
      <c r="O50" s="267"/>
      <c r="Q50" s="267"/>
      <c r="S50" s="267"/>
      <c r="U50" s="267"/>
      <c r="V50" s="283"/>
      <c r="W50" s="267"/>
      <c r="X50" s="283"/>
      <c r="Y50" s="267"/>
      <c r="Z50" s="283"/>
      <c r="AA50" s="267"/>
      <c r="AB50" s="283"/>
      <c r="AC50" s="267"/>
      <c r="AD50" s="283"/>
      <c r="AE50" s="267"/>
      <c r="AF50" s="283"/>
      <c r="AG50" s="267"/>
      <c r="AH50" s="283"/>
      <c r="AI50" s="267"/>
      <c r="AJ50" s="283"/>
      <c r="AK50" s="267"/>
      <c r="AL50" s="283"/>
      <c r="AM50" s="267"/>
      <c r="AN50" s="283"/>
      <c r="AO50" s="267"/>
      <c r="AP50" s="267"/>
      <c r="AQ50" s="267"/>
      <c r="AR50" s="232"/>
      <c r="AY50" s="145"/>
      <c r="AZ50" s="146"/>
      <c r="BA50" s="146"/>
      <c r="BB50" s="146"/>
      <c r="BC50" s="146"/>
      <c r="BD50" s="145"/>
      <c r="BE50" s="146"/>
      <c r="BF50" s="146"/>
      <c r="BG50" s="146"/>
      <c r="BH50" s="145"/>
      <c r="BI50" s="146"/>
      <c r="BJ50" s="145"/>
      <c r="BK50" s="146"/>
      <c r="BL50" s="145"/>
      <c r="BM50" s="146"/>
      <c r="BN50" s="145"/>
      <c r="BO50" s="146"/>
      <c r="BP50" s="145"/>
      <c r="BQ50" s="146"/>
      <c r="BR50" s="145"/>
      <c r="BS50" s="146"/>
      <c r="BT50" s="145"/>
      <c r="BU50" s="146"/>
      <c r="BV50" s="145"/>
      <c r="BW50" s="146"/>
      <c r="BX50" s="145"/>
      <c r="BY50" s="146"/>
      <c r="BZ50" s="145"/>
      <c r="CA50" s="146"/>
    </row>
    <row r="51" spans="1:101" s="101" customFormat="1" ht="12.75" customHeight="1" x14ac:dyDescent="0.2">
      <c r="A51" s="227">
        <f>A49+1</f>
        <v>18</v>
      </c>
      <c r="B51" s="227"/>
      <c r="C51" s="231"/>
      <c r="D51" s="251" t="str">
        <f>IF((C51=""),"Enter Segment "&amp;TEXT(A51,0)&amp;" Name, then Enter Data in Columns "&amp;TEXT($H$2,0)&amp;" - "&amp;TEXT($AN$2,0)&amp;"       ","")</f>
        <v xml:space="preserve">Enter Segment 18 Name, then Enter Data in Columns h - an       </v>
      </c>
      <c r="E51" s="131" t="str">
        <f>IF($AW51="B","N/A",IF(AX51="N","No",IF(AX51="Y","Yes","")))</f>
        <v>N/A</v>
      </c>
      <c r="F51" s="130"/>
      <c r="G51" s="130"/>
      <c r="H51" s="285"/>
      <c r="I51" s="251" t="str">
        <f>IF($C51&lt;&gt;"","Enter Starting Point       ","")</f>
        <v/>
      </c>
      <c r="J51" s="285"/>
      <c r="K51" s="227"/>
      <c r="L51" s="88"/>
      <c r="M51" s="251" t="str">
        <f>IF($C51&lt;&gt;"","Select from Pull-Down List  ","")</f>
        <v/>
      </c>
      <c r="N51" s="88"/>
      <c r="O51" s="251" t="str">
        <f>IF($C51&lt;&gt;"","Select from Pull-Down List  ","")</f>
        <v/>
      </c>
      <c r="P51" s="131"/>
      <c r="Q51" s="251" t="str">
        <f>IF($C51&lt;&gt;"","Dir. Route-Mi?    ","")</f>
        <v/>
      </c>
      <c r="R51" s="131"/>
      <c r="S51" s="251" t="str">
        <f>IF($C51&lt;&gt;"","Trk-Mi?      ","")</f>
        <v/>
      </c>
      <c r="T51" s="131"/>
      <c r="U51" s="251" t="str">
        <f>IF($C51&lt;&gt;"","Trk-Mi?      ","")</f>
        <v/>
      </c>
      <c r="V51" s="284"/>
      <c r="W51" s="278" t="str">
        <f>IF(OR($R51="",V$11=""),"","0 - "&amp;TEXT($R51-$AP51,"0.0")&amp;" Trk-Mi?    ")</f>
        <v/>
      </c>
      <c r="X51" s="284"/>
      <c r="Y51" s="278" t="str">
        <f>IF(OR($R51="",X$11=""),"","0 - "&amp;TEXT($R51-$AP51,"0.0")&amp;" Trk-Mi?    ")</f>
        <v/>
      </c>
      <c r="Z51" s="284"/>
      <c r="AA51" s="278" t="str">
        <f>IF(OR($R51="",Z$11=""),"","0 - "&amp;TEXT($R51-$AP51,"0.0")&amp;" Trk-Mi?    ")</f>
        <v/>
      </c>
      <c r="AB51" s="284"/>
      <c r="AC51" s="278" t="str">
        <f>IF(OR($R51="",AB$11=""),"","0 - "&amp;TEXT($R51-$AP51,"0.0")&amp;" Trk-Mi?    ")</f>
        <v/>
      </c>
      <c r="AD51" s="284"/>
      <c r="AE51" s="278" t="str">
        <f>IF(OR($R51="",AD$11=""),"","0 - "&amp;TEXT($R51-$AP51,"0.0")&amp;" Trk-Mi?    ")</f>
        <v/>
      </c>
      <c r="AF51" s="284"/>
      <c r="AG51" s="278" t="str">
        <f>IF(OR($R51="",AF$11=""),"","0 - "&amp;TEXT($R51-$AP51,"0.0")&amp;" Trk-Mi?    ")</f>
        <v/>
      </c>
      <c r="AH51" s="284"/>
      <c r="AI51" s="278" t="str">
        <f>IF(OR($R51="",AH$11=""),"","0 - "&amp;TEXT($R51-$AP51,"0.0")&amp;" Trk-Mi?    ")</f>
        <v/>
      </c>
      <c r="AJ51" s="284"/>
      <c r="AK51" s="278" t="str">
        <f>IF(OR($R51="",AJ$11=""),"","0 - "&amp;TEXT($R51-$AP51,"0.0")&amp;" Trk-Mi?    ")</f>
        <v/>
      </c>
      <c r="AL51" s="284"/>
      <c r="AM51" s="278" t="str">
        <f>IF(OR($R51="",AL$11=""),"","0 - "&amp;TEXT($R51-$AP51,"0.0")&amp;" Trk-Mi?    ")</f>
        <v/>
      </c>
      <c r="AN51" s="284"/>
      <c r="AO51" s="278" t="str">
        <f>IF(OR($R51="",AN$11=""),"","0 - "&amp;TEXT($R51-$AP51,"0.0")&amp;" Trk-Mi?    ")</f>
        <v/>
      </c>
      <c r="AP51" s="282">
        <f>SUM(V51,X51,Z51,AB51,AD51,AF51,AH51,AJ51,AL51,AN51)</f>
        <v>0</v>
      </c>
      <c r="AQ51" s="278"/>
      <c r="AR51" s="234"/>
      <c r="AS51" s="107"/>
      <c r="AT51" s="107"/>
      <c r="AU51" s="107"/>
      <c r="AW51" s="107" t="str">
        <f>IF(AND($C51="",$H51="",$J51="",$L51="",$N51="",$P51="",$R51=""),"B","NB")</f>
        <v>B</v>
      </c>
      <c r="AX51" s="241" t="str">
        <f>IF(OR($C51="",$H51="",$J51="",$L51="",$N51="",$R51="",$P51="",AND($V$11&lt;&gt;"",$V51=""),AND($X$11&lt;&gt;"",$X51=""),AND($Z$11&lt;&gt;"",$Z51=""),AND($AB$11&lt;&gt;"",$AB51=""),AND($AD$11&lt;&gt;"",$AD51=""),AND($AF$11&lt;&gt;"",$AF51=""),AND($AH$11&lt;&gt;"",$AH51=""),AND($AJ$11&lt;&gt;"",$AJ51=""),AND($AL$11&lt;&gt;"",$AL51=""),AND($AN$11&lt;&gt;"",$AN51="")),"N","Y")</f>
        <v>N</v>
      </c>
      <c r="AY51" s="142" t="b">
        <f>IF(AND($C51="",OR($H51&lt;&gt;"",$J51&lt;&gt;"",$L51&lt;&gt;"",$N51&lt;&gt;"",$R51&lt;&gt;"",$P51&lt;&gt;"",AND($V$11&lt;&gt;"",$V51&lt;&gt;""),AND($X$11&lt;&gt;"",$X51&lt;&gt;""),AND($Z$11&lt;&gt;"",$Z51&lt;&gt;""),AND($AB$11&lt;&gt;"",$AB51&lt;&gt;""),AND($AD$11&lt;&gt;"",$AD51&lt;&gt;""),AND($AF$11&lt;&gt;"",$AF51&lt;&gt;""),AND($AH$11&lt;&gt;"",$AH51&lt;&gt;""),AND($AJ$11&lt;&gt;"",$AJ51&lt;&gt;""),AND($AL$11&lt;&gt;"",$AL51&lt;&gt;""),AND($AN$11&lt;&gt;"",$AN51&lt;&gt;""))),TRUE,FALSE)</f>
        <v>0</v>
      </c>
      <c r="AZ51" s="144" t="b">
        <f>IF(AND($C51&lt;&gt;"",$H51=""),TRUE,FALSE)</f>
        <v>0</v>
      </c>
      <c r="BA51" s="144" t="b">
        <f>IF(AND($C51&lt;&gt;"",$J51=""),TRUE,FALSE)</f>
        <v>0</v>
      </c>
      <c r="BB51" s="144" t="b">
        <f>IF(AND($C51&lt;&gt;"",$L51=""),TRUE,FALSE)</f>
        <v>0</v>
      </c>
      <c r="BC51" s="144" t="b">
        <f>IF(AND($C51&lt;&gt;"",$N51=""),TRUE,FALSE)</f>
        <v>0</v>
      </c>
      <c r="BD51" s="142" t="b">
        <f>IF($BE51=TRUE,FALSE,IF(OR($P51&lt;$BD$5,$P51&gt;$BE$5),TRUE,FALSE))</f>
        <v>0</v>
      </c>
      <c r="BE51" s="144" t="b">
        <f>IF(AND($C51&lt;&gt;"",$P51=""),TRUE,FALSE)</f>
        <v>0</v>
      </c>
      <c r="BF51" s="144" t="b">
        <f>IF($BG51=TRUE,FALSE,IF(OR($R51&lt;$BF$5,$R51&gt;$BG$5),TRUE,FALSE))</f>
        <v>0</v>
      </c>
      <c r="BG51" s="144" t="b">
        <f>IF(AND($C51&lt;&gt;"",$R51=""),TRUE,FALSE)</f>
        <v>0</v>
      </c>
      <c r="BH51" s="160" t="b">
        <f>IF(BI51=TRUE,FALSE,IF(AND(V51&lt;&gt;"",V$11=""),TRUE,IF(AND(V51&lt;&gt;"",V$11&lt;&gt;"",$R51&lt;&gt;$AP51),TRUE,IF(OR(V51&lt;0,V51&gt;$R51),TRUE,FALSE))))</f>
        <v>0</v>
      </c>
      <c r="BI51" s="144" t="b">
        <f>IF(AND($C51&lt;&gt;"",V$11&lt;&gt;"",$V51=""),TRUE,FALSE)</f>
        <v>0</v>
      </c>
      <c r="BJ51" s="160" t="b">
        <f>IF(BK51=TRUE,FALSE,IF(AND(X51&lt;&gt;"",X$11=""),TRUE,IF(AND(X51&lt;&gt;"",X$11&lt;&gt;"",$R51&lt;&gt;$AP51),TRUE,IF(OR(X51&lt;0,X51&gt;$R51),TRUE,FALSE))))</f>
        <v>0</v>
      </c>
      <c r="BK51" s="144" t="b">
        <f>IF(AND($C51&lt;&gt;"",X$11&lt;&gt;"",$X51=""),TRUE,FALSE)</f>
        <v>0</v>
      </c>
      <c r="BL51" s="160" t="b">
        <f>IF(BM51=TRUE,FALSE,IF(AND(Z51&lt;&gt;"",Z$11=""),TRUE,IF(AND(Z51&lt;&gt;"",Z$11&lt;&gt;"",$R51&lt;&gt;$AP51),TRUE,IF(OR(Z51&lt;0,Z51&gt;$R51),TRUE,FALSE))))</f>
        <v>0</v>
      </c>
      <c r="BM51" s="144" t="b">
        <f>IF(AND($C51&lt;&gt;"",Z$11&lt;&gt;"",$Z51=""),TRUE,FALSE)</f>
        <v>0</v>
      </c>
      <c r="BN51" s="160" t="b">
        <f>IF(BO51=TRUE,FALSE,IF(AND(AB51&lt;&gt;"",AB$11=""),TRUE,IF(AND(AB51&lt;&gt;"",AB$11&lt;&gt;"",$R51&lt;&gt;$AP51),TRUE,IF(OR(AB51&lt;0,AB51&gt;$R51),TRUE,FALSE))))</f>
        <v>0</v>
      </c>
      <c r="BO51" s="144" t="b">
        <f>IF(AND($C51&lt;&gt;"",AB$11&lt;&gt;"",$AB51=""),TRUE,FALSE)</f>
        <v>0</v>
      </c>
      <c r="BP51" s="160" t="b">
        <f>IF(BQ51=TRUE,FALSE,IF(AND(AD51&lt;&gt;"",AD$11=""),TRUE,IF(AND(AD51&lt;&gt;"",AD$11&lt;&gt;"",$R51&lt;&gt;$AP51),TRUE,IF(OR(AD51&lt;0,AD51&gt;$R51),TRUE,FALSE))))</f>
        <v>0</v>
      </c>
      <c r="BQ51" s="144" t="b">
        <f>IF(AND($C51&lt;&gt;"",AD$11&lt;&gt;"",$AD51=""),TRUE,FALSE)</f>
        <v>0</v>
      </c>
      <c r="BR51" s="160" t="b">
        <f>IF(BS51=TRUE,FALSE,IF(AND(AF51&lt;&gt;"",AF$11=""),TRUE,IF(AND(AF51&lt;&gt;"",AF$11&lt;&gt;"",$R51&lt;&gt;$AP51),TRUE,IF(OR(AF51&lt;0,AF51&gt;$R51),TRUE,FALSE))))</f>
        <v>0</v>
      </c>
      <c r="BS51" s="144" t="b">
        <f>IF(AND($C51&lt;&gt;"",AF$11&lt;&gt;"",$AF51=""),TRUE,FALSE)</f>
        <v>0</v>
      </c>
      <c r="BT51" s="160" t="b">
        <f>IF(BU51=TRUE,FALSE,IF(AND(AH51&lt;&gt;"",AH$11=""),TRUE,IF(AND(AH51&lt;&gt;"",AH$11&lt;&gt;"",$R51&lt;&gt;$AP51),TRUE,IF(OR(AH51&lt;0,AH51&gt;$R51),TRUE,FALSE))))</f>
        <v>0</v>
      </c>
      <c r="BU51" s="144" t="b">
        <f>IF(AND($C51&lt;&gt;"",AH$11&lt;&gt;"",$AH51=""),TRUE,FALSE)</f>
        <v>0</v>
      </c>
      <c r="BV51" s="160" t="b">
        <f>IF(BW51=TRUE,FALSE,IF(AND(AJ51&lt;&gt;"",AJ$11=""),TRUE,IF(AND(AJ51&lt;&gt;"",AJ$11&lt;&gt;"",$R51&lt;&gt;$AP51),TRUE,IF(OR(AJ51&lt;0,AJ51&gt;$R51),TRUE,FALSE))))</f>
        <v>0</v>
      </c>
      <c r="BW51" s="144" t="b">
        <f>IF(AND($C51&lt;&gt;"",AJ$11&lt;&gt;"",$AJ51=""),TRUE,FALSE)</f>
        <v>0</v>
      </c>
      <c r="BX51" s="160" t="b">
        <f>IF(BY51=TRUE,FALSE,IF(AND(AL51&lt;&gt;"",AL$11=""),TRUE,IF(AND(AL51&lt;&gt;"",AL$11&lt;&gt;"",$R51&lt;&gt;$AP51),TRUE,IF(OR(AL51&lt;0,AL51&gt;$R51),TRUE,FALSE))))</f>
        <v>0</v>
      </c>
      <c r="BY51" s="144" t="b">
        <f>IF(AND($C51&lt;&gt;"",AL$11&lt;&gt;"",$AL51=""),TRUE,FALSE)</f>
        <v>0</v>
      </c>
      <c r="BZ51" s="160" t="b">
        <f>IF(CA51=TRUE,FALSE,IF(AND(AN51&lt;&gt;"",AN$11=""),TRUE,IF(AND(AN51&lt;&gt;"",AN$11&lt;&gt;"",$R51&lt;&gt;$AP51),TRUE,IF(OR(AN51&lt;0,AN51&gt;$R51),TRUE,FALSE))))</f>
        <v>0</v>
      </c>
      <c r="CA51" s="144" t="b">
        <f>IF(AND($C51&lt;&gt;"",AN$11&lt;&gt;"",$AN51=""),TRUE,FALSE)</f>
        <v>0</v>
      </c>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4"/>
    </row>
    <row r="52" spans="1:101" ht="6.75" customHeight="1" thickBot="1" x14ac:dyDescent="0.25">
      <c r="A52" s="228"/>
      <c r="B52" s="228"/>
      <c r="C52" s="232"/>
      <c r="D52" s="251"/>
      <c r="E52" s="130"/>
      <c r="F52" s="130"/>
      <c r="G52" s="130"/>
      <c r="I52" s="251"/>
      <c r="K52" s="228"/>
      <c r="M52" s="251"/>
      <c r="O52" s="251"/>
      <c r="P52" s="130"/>
      <c r="Q52" s="251"/>
      <c r="R52" s="130"/>
      <c r="S52" s="251"/>
      <c r="T52" s="130"/>
      <c r="U52" s="251"/>
      <c r="V52" s="283"/>
      <c r="W52" s="278"/>
      <c r="X52" s="283"/>
      <c r="Y52" s="278"/>
      <c r="Z52" s="283"/>
      <c r="AA52" s="278"/>
      <c r="AB52" s="283"/>
      <c r="AC52" s="278"/>
      <c r="AD52" s="283"/>
      <c r="AE52" s="278"/>
      <c r="AF52" s="283"/>
      <c r="AG52" s="278"/>
      <c r="AH52" s="283"/>
      <c r="AI52" s="278"/>
      <c r="AJ52" s="283"/>
      <c r="AK52" s="278"/>
      <c r="AL52" s="283"/>
      <c r="AM52" s="278"/>
      <c r="AN52" s="283"/>
      <c r="AO52" s="278"/>
      <c r="AP52" s="105"/>
      <c r="AQ52" s="253"/>
      <c r="AR52" s="232"/>
      <c r="AY52" s="145"/>
      <c r="AZ52" s="146"/>
      <c r="BA52" s="146"/>
      <c r="BB52" s="146"/>
      <c r="BC52" s="146"/>
      <c r="BD52" s="145"/>
      <c r="BE52" s="146"/>
      <c r="BF52" s="146"/>
      <c r="BG52" s="146"/>
      <c r="BH52" s="145"/>
      <c r="BI52" s="146"/>
      <c r="BJ52" s="145"/>
      <c r="BK52" s="146"/>
      <c r="BL52" s="145"/>
      <c r="BM52" s="146"/>
      <c r="BN52" s="145"/>
      <c r="BO52" s="146"/>
      <c r="BP52" s="145"/>
      <c r="BQ52" s="146"/>
      <c r="BR52" s="145"/>
      <c r="BS52" s="146"/>
      <c r="BT52" s="145"/>
      <c r="BU52" s="146"/>
      <c r="BV52" s="145"/>
      <c r="BW52" s="146"/>
      <c r="BX52" s="145"/>
      <c r="BY52" s="146"/>
      <c r="BZ52" s="145"/>
      <c r="CA52" s="146"/>
    </row>
    <row r="53" spans="1:101" s="101" customFormat="1" ht="12.75" customHeight="1" x14ac:dyDescent="0.2">
      <c r="A53" s="227">
        <f>A51+1</f>
        <v>19</v>
      </c>
      <c r="B53" s="227"/>
      <c r="C53" s="231"/>
      <c r="D53" s="251" t="str">
        <f>IF((C53=""),"Enter Segment "&amp;TEXT(A53,0)&amp;" Name, then Enter Data in Columns "&amp;TEXT($H$2,0)&amp;" - "&amp;TEXT($AN$2,0)&amp;"       ","")</f>
        <v xml:space="preserve">Enter Segment 19 Name, then Enter Data in Columns h - an       </v>
      </c>
      <c r="E53" s="131" t="str">
        <f>IF($AW53="B","N/A",IF(AX53="N","No",IF(AX53="Y","Yes","")))</f>
        <v>N/A</v>
      </c>
      <c r="F53" s="130"/>
      <c r="G53" s="130"/>
      <c r="H53" s="285"/>
      <c r="I53" s="251" t="str">
        <f>IF($C53&lt;&gt;"","Enter Starting Point       ","")</f>
        <v/>
      </c>
      <c r="J53" s="285"/>
      <c r="K53" s="227"/>
      <c r="L53" s="88"/>
      <c r="M53" s="251" t="str">
        <f>IF($C53&lt;&gt;"","Select from Pull-Down List  ","")</f>
        <v/>
      </c>
      <c r="N53" s="88"/>
      <c r="O53" s="251" t="str">
        <f>IF($C53&lt;&gt;"","Select from Pull-Down List  ","")</f>
        <v/>
      </c>
      <c r="P53" s="131"/>
      <c r="Q53" s="251" t="str">
        <f>IF($C53&lt;&gt;"","Dir. Route-Mi?    ","")</f>
        <v/>
      </c>
      <c r="R53" s="131"/>
      <c r="S53" s="251" t="str">
        <f>IF($C53&lt;&gt;"","Trk-Mi?      ","")</f>
        <v/>
      </c>
      <c r="T53" s="131"/>
      <c r="U53" s="251" t="str">
        <f>IF($C53&lt;&gt;"","Trk-Mi?      ","")</f>
        <v/>
      </c>
      <c r="V53" s="284"/>
      <c r="W53" s="278" t="str">
        <f>IF(OR($R53="",V$11=""),"","0 - "&amp;TEXT($R53-$AP53,"0.0")&amp;" Trk-Mi?    ")</f>
        <v/>
      </c>
      <c r="X53" s="284"/>
      <c r="Y53" s="278" t="str">
        <f>IF(OR($R53="",X$11=""),"","0 - "&amp;TEXT($R53-$AP53,"0.0")&amp;" Trk-Mi?    ")</f>
        <v/>
      </c>
      <c r="Z53" s="284"/>
      <c r="AA53" s="278" t="str">
        <f>IF(OR($R53="",Z$11=""),"","0 - "&amp;TEXT($R53-$AP53,"0.0")&amp;" Trk-Mi?    ")</f>
        <v/>
      </c>
      <c r="AB53" s="284"/>
      <c r="AC53" s="278" t="str">
        <f>IF(OR($R53="",AB$11=""),"","0 - "&amp;TEXT($R53-$AP53,"0.0")&amp;" Trk-Mi?    ")</f>
        <v/>
      </c>
      <c r="AD53" s="284"/>
      <c r="AE53" s="278" t="str">
        <f>IF(OR($R53="",AD$11=""),"","0 - "&amp;TEXT($R53-$AP53,"0.0")&amp;" Trk-Mi?    ")</f>
        <v/>
      </c>
      <c r="AF53" s="284"/>
      <c r="AG53" s="278" t="str">
        <f>IF(OR($R53="",AF$11=""),"","0 - "&amp;TEXT($R53-$AP53,"0.0")&amp;" Trk-Mi?    ")</f>
        <v/>
      </c>
      <c r="AH53" s="284"/>
      <c r="AI53" s="278" t="str">
        <f>IF(OR($R53="",AH$11=""),"","0 - "&amp;TEXT($R53-$AP53,"0.0")&amp;" Trk-Mi?    ")</f>
        <v/>
      </c>
      <c r="AJ53" s="284"/>
      <c r="AK53" s="278" t="str">
        <f>IF(OR($R53="",AJ$11=""),"","0 - "&amp;TEXT($R53-$AP53,"0.0")&amp;" Trk-Mi?    ")</f>
        <v/>
      </c>
      <c r="AL53" s="284"/>
      <c r="AM53" s="278" t="str">
        <f>IF(OR($R53="",AL$11=""),"","0 - "&amp;TEXT($R53-$AP53,"0.0")&amp;" Trk-Mi?    ")</f>
        <v/>
      </c>
      <c r="AN53" s="284"/>
      <c r="AO53" s="278" t="str">
        <f>IF(OR($R53="",AN$11=""),"","0 - "&amp;TEXT($R53-$AP53,"0.0")&amp;" Trk-Mi?    ")</f>
        <v/>
      </c>
      <c r="AP53" s="282">
        <f>SUM(V53,X53,Z53,AB53,AD53,AF53,AH53,AJ53,AL53,AN53)</f>
        <v>0</v>
      </c>
      <c r="AQ53" s="278"/>
      <c r="AR53" s="234"/>
      <c r="AS53" s="107"/>
      <c r="AT53" s="107"/>
      <c r="AU53" s="107"/>
      <c r="AW53" s="107" t="str">
        <f>IF(AND($C53="",$H53="",$J53="",$L53="",$N53="",$P53="",$R53=""),"B","NB")</f>
        <v>B</v>
      </c>
      <c r="AX53" s="241" t="str">
        <f>IF(OR($C53="",$H53="",$J53="",$L53="",$N53="",$R53="",$P53="",AND($V$11&lt;&gt;"",$V53=""),AND($X$11&lt;&gt;"",$X53=""),AND($Z$11&lt;&gt;"",$Z53=""),AND($AB$11&lt;&gt;"",$AB53=""),AND($AD$11&lt;&gt;"",$AD53=""),AND($AF$11&lt;&gt;"",$AF53=""),AND($AH$11&lt;&gt;"",$AH53=""),AND($AJ$11&lt;&gt;"",$AJ53=""),AND($AL$11&lt;&gt;"",$AL53=""),AND($AN$11&lt;&gt;"",$AN53="")),"N","Y")</f>
        <v>N</v>
      </c>
      <c r="AY53" s="142" t="b">
        <f>IF(AND($C53="",OR($H53&lt;&gt;"",$J53&lt;&gt;"",$L53&lt;&gt;"",$N53&lt;&gt;"",$R53&lt;&gt;"",$P53&lt;&gt;"",AND($V$11&lt;&gt;"",$V53&lt;&gt;""),AND($X$11&lt;&gt;"",$X53&lt;&gt;""),AND($Z$11&lt;&gt;"",$Z53&lt;&gt;""),AND($AB$11&lt;&gt;"",$AB53&lt;&gt;""),AND($AD$11&lt;&gt;"",$AD53&lt;&gt;""),AND($AF$11&lt;&gt;"",$AF53&lt;&gt;""),AND($AH$11&lt;&gt;"",$AH53&lt;&gt;""),AND($AJ$11&lt;&gt;"",$AJ53&lt;&gt;""),AND($AL$11&lt;&gt;"",$AL53&lt;&gt;""),AND($AN$11&lt;&gt;"",$AN53&lt;&gt;""))),TRUE,FALSE)</f>
        <v>0</v>
      </c>
      <c r="AZ53" s="144" t="b">
        <f>IF(AND($C53&lt;&gt;"",$H53=""),TRUE,FALSE)</f>
        <v>0</v>
      </c>
      <c r="BA53" s="144" t="b">
        <f>IF(AND($C53&lt;&gt;"",$J53=""),TRUE,FALSE)</f>
        <v>0</v>
      </c>
      <c r="BB53" s="144" t="b">
        <f>IF(AND($C53&lt;&gt;"",$L53=""),TRUE,FALSE)</f>
        <v>0</v>
      </c>
      <c r="BC53" s="144" t="b">
        <f>IF(AND($C53&lt;&gt;"",$N53=""),TRUE,FALSE)</f>
        <v>0</v>
      </c>
      <c r="BD53" s="142" t="b">
        <f>IF($BE53=TRUE,FALSE,IF(OR($P53&lt;$BD$5,$P53&gt;$BE$5),TRUE,FALSE))</f>
        <v>0</v>
      </c>
      <c r="BE53" s="144" t="b">
        <f>IF(AND($C53&lt;&gt;"",$P53=""),TRUE,FALSE)</f>
        <v>0</v>
      </c>
      <c r="BF53" s="144" t="b">
        <f>IF($BG53=TRUE,FALSE,IF(OR($R53&lt;$BF$5,$R53&gt;$BG$5),TRUE,FALSE))</f>
        <v>0</v>
      </c>
      <c r="BG53" s="144" t="b">
        <f>IF(AND($C53&lt;&gt;"",$R53=""),TRUE,FALSE)</f>
        <v>0</v>
      </c>
      <c r="BH53" s="160" t="b">
        <f>IF(BI53=TRUE,FALSE,IF(AND(V53&lt;&gt;"",V$11=""),TRUE,IF(AND(V53&lt;&gt;"",V$11&lt;&gt;"",$R53&lt;&gt;$AP53),TRUE,IF(OR(V53&lt;0,V53&gt;$R53),TRUE,FALSE))))</f>
        <v>0</v>
      </c>
      <c r="BI53" s="144" t="b">
        <f>IF(AND($C53&lt;&gt;"",V$11&lt;&gt;"",$V53=""),TRUE,FALSE)</f>
        <v>0</v>
      </c>
      <c r="BJ53" s="160" t="b">
        <f>IF(BK53=TRUE,FALSE,IF(AND(X53&lt;&gt;"",X$11=""),TRUE,IF(AND(X53&lt;&gt;"",X$11&lt;&gt;"",$R53&lt;&gt;$AP53),TRUE,IF(OR(X53&lt;0,X53&gt;$R53),TRUE,FALSE))))</f>
        <v>0</v>
      </c>
      <c r="BK53" s="144" t="b">
        <f>IF(AND($C53&lt;&gt;"",X$11&lt;&gt;"",$X53=""),TRUE,FALSE)</f>
        <v>0</v>
      </c>
      <c r="BL53" s="160" t="b">
        <f>IF(BM53=TRUE,FALSE,IF(AND(Z53&lt;&gt;"",Z$11=""),TRUE,IF(AND(Z53&lt;&gt;"",Z$11&lt;&gt;"",$R53&lt;&gt;$AP53),TRUE,IF(OR(Z53&lt;0,Z53&gt;$R53),TRUE,FALSE))))</f>
        <v>0</v>
      </c>
      <c r="BM53" s="144" t="b">
        <f>IF(AND($C53&lt;&gt;"",Z$11&lt;&gt;"",$Z53=""),TRUE,FALSE)</f>
        <v>0</v>
      </c>
      <c r="BN53" s="160" t="b">
        <f>IF(BO53=TRUE,FALSE,IF(AND(AB53&lt;&gt;"",AB$11=""),TRUE,IF(AND(AB53&lt;&gt;"",AB$11&lt;&gt;"",$R53&lt;&gt;$AP53),TRUE,IF(OR(AB53&lt;0,AB53&gt;$R53),TRUE,FALSE))))</f>
        <v>0</v>
      </c>
      <c r="BO53" s="144" t="b">
        <f>IF(AND($C53&lt;&gt;"",AB$11&lt;&gt;"",$AB53=""),TRUE,FALSE)</f>
        <v>0</v>
      </c>
      <c r="BP53" s="160" t="b">
        <f>IF(BQ53=TRUE,FALSE,IF(AND(AD53&lt;&gt;"",AD$11=""),TRUE,IF(AND(AD53&lt;&gt;"",AD$11&lt;&gt;"",$R53&lt;&gt;$AP53),TRUE,IF(OR(AD53&lt;0,AD53&gt;$R53),TRUE,FALSE))))</f>
        <v>0</v>
      </c>
      <c r="BQ53" s="144" t="b">
        <f>IF(AND($C53&lt;&gt;"",AD$11&lt;&gt;"",$AD53=""),TRUE,FALSE)</f>
        <v>0</v>
      </c>
      <c r="BR53" s="160" t="b">
        <f>IF(BS53=TRUE,FALSE,IF(AND(AF53&lt;&gt;"",AF$11=""),TRUE,IF(AND(AF53&lt;&gt;"",AF$11&lt;&gt;"",$R53&lt;&gt;$AP53),TRUE,IF(OR(AF53&lt;0,AF53&gt;$R53),TRUE,FALSE))))</f>
        <v>0</v>
      </c>
      <c r="BS53" s="144" t="b">
        <f>IF(AND($C53&lt;&gt;"",AF$11&lt;&gt;"",$AF53=""),TRUE,FALSE)</f>
        <v>0</v>
      </c>
      <c r="BT53" s="160" t="b">
        <f>IF(BU53=TRUE,FALSE,IF(AND(AH53&lt;&gt;"",AH$11=""),TRUE,IF(AND(AH53&lt;&gt;"",AH$11&lt;&gt;"",$R53&lt;&gt;$AP53),TRUE,IF(OR(AH53&lt;0,AH53&gt;$R53),TRUE,FALSE))))</f>
        <v>0</v>
      </c>
      <c r="BU53" s="144" t="b">
        <f>IF(AND($C53&lt;&gt;"",AH$11&lt;&gt;"",$AH53=""),TRUE,FALSE)</f>
        <v>0</v>
      </c>
      <c r="BV53" s="160" t="b">
        <f>IF(BW53=TRUE,FALSE,IF(AND(AJ53&lt;&gt;"",AJ$11=""),TRUE,IF(AND(AJ53&lt;&gt;"",AJ$11&lt;&gt;"",$R53&lt;&gt;$AP53),TRUE,IF(OR(AJ53&lt;0,AJ53&gt;$R53),TRUE,FALSE))))</f>
        <v>0</v>
      </c>
      <c r="BW53" s="144" t="b">
        <f>IF(AND($C53&lt;&gt;"",AJ$11&lt;&gt;"",$AJ53=""),TRUE,FALSE)</f>
        <v>0</v>
      </c>
      <c r="BX53" s="160" t="b">
        <f>IF(BY53=TRUE,FALSE,IF(AND(AL53&lt;&gt;"",AL$11=""),TRUE,IF(AND(AL53&lt;&gt;"",AL$11&lt;&gt;"",$R53&lt;&gt;$AP53),TRUE,IF(OR(AL53&lt;0,AL53&gt;$R53),TRUE,FALSE))))</f>
        <v>0</v>
      </c>
      <c r="BY53" s="144" t="b">
        <f>IF(AND($C53&lt;&gt;"",AL$11&lt;&gt;"",$AL53=""),TRUE,FALSE)</f>
        <v>0</v>
      </c>
      <c r="BZ53" s="160" t="b">
        <f>IF(CA53=TRUE,FALSE,IF(AND(AN53&lt;&gt;"",AN$11=""),TRUE,IF(AND(AN53&lt;&gt;"",AN$11&lt;&gt;"",$R53&lt;&gt;$AP53),TRUE,IF(OR(AN53&lt;0,AN53&gt;$R53),TRUE,FALSE))))</f>
        <v>0</v>
      </c>
      <c r="CA53" s="144" t="b">
        <f>IF(AND($C53&lt;&gt;"",AN$11&lt;&gt;"",$AN53=""),TRUE,FALSE)</f>
        <v>0</v>
      </c>
      <c r="CB53" s="133"/>
      <c r="CC53" s="133"/>
      <c r="CD53" s="133"/>
      <c r="CE53" s="133"/>
      <c r="CF53" s="133"/>
      <c r="CG53" s="133"/>
      <c r="CH53" s="133"/>
      <c r="CI53" s="133"/>
      <c r="CJ53" s="133"/>
      <c r="CK53" s="133"/>
      <c r="CL53" s="133"/>
      <c r="CM53" s="133"/>
      <c r="CN53" s="133"/>
      <c r="CO53" s="133"/>
      <c r="CP53" s="133"/>
      <c r="CQ53" s="133"/>
      <c r="CR53" s="133"/>
      <c r="CS53" s="133"/>
      <c r="CT53" s="133"/>
      <c r="CU53" s="133"/>
      <c r="CV53" s="133"/>
      <c r="CW53" s="134"/>
    </row>
    <row r="54" spans="1:101" ht="6.75" customHeight="1" thickBot="1" x14ac:dyDescent="0.25">
      <c r="A54" s="228"/>
      <c r="B54" s="228"/>
      <c r="C54" s="232"/>
      <c r="D54" s="267"/>
      <c r="I54" s="267"/>
      <c r="K54" s="228"/>
      <c r="M54" s="267"/>
      <c r="O54" s="267"/>
      <c r="Q54" s="267"/>
      <c r="S54" s="267"/>
      <c r="U54" s="267"/>
      <c r="V54" s="283"/>
      <c r="W54" s="267"/>
      <c r="X54" s="283"/>
      <c r="Y54" s="267"/>
      <c r="Z54" s="283"/>
      <c r="AA54" s="267"/>
      <c r="AB54" s="283"/>
      <c r="AC54" s="267"/>
      <c r="AD54" s="283"/>
      <c r="AE54" s="267"/>
      <c r="AF54" s="283"/>
      <c r="AG54" s="267"/>
      <c r="AH54" s="283"/>
      <c r="AI54" s="267"/>
      <c r="AJ54" s="283"/>
      <c r="AK54" s="267"/>
      <c r="AL54" s="283"/>
      <c r="AM54" s="267"/>
      <c r="AN54" s="283"/>
      <c r="AO54" s="267"/>
      <c r="AP54" s="267"/>
      <c r="AQ54" s="267"/>
      <c r="AR54" s="232"/>
      <c r="AY54" s="145"/>
      <c r="AZ54" s="146"/>
      <c r="BA54" s="146"/>
      <c r="BB54" s="146"/>
      <c r="BC54" s="146"/>
      <c r="BD54" s="145"/>
      <c r="BE54" s="146"/>
      <c r="BF54" s="146"/>
      <c r="BG54" s="146"/>
      <c r="BH54" s="145"/>
      <c r="BI54" s="146"/>
      <c r="BJ54" s="145"/>
      <c r="BK54" s="146"/>
      <c r="BL54" s="145"/>
      <c r="BM54" s="146"/>
      <c r="BN54" s="145"/>
      <c r="BO54" s="146"/>
      <c r="BP54" s="145"/>
      <c r="BQ54" s="146"/>
      <c r="BR54" s="145"/>
      <c r="BS54" s="146"/>
      <c r="BT54" s="145"/>
      <c r="BU54" s="146"/>
      <c r="BV54" s="145"/>
      <c r="BW54" s="146"/>
      <c r="BX54" s="145"/>
      <c r="BY54" s="146"/>
      <c r="BZ54" s="145"/>
      <c r="CA54" s="146"/>
    </row>
    <row r="55" spans="1:101" s="101" customFormat="1" ht="12.75" customHeight="1" x14ac:dyDescent="0.2">
      <c r="A55" s="227">
        <f>A53+1</f>
        <v>20</v>
      </c>
      <c r="B55" s="227"/>
      <c r="C55" s="231"/>
      <c r="D55" s="251" t="str">
        <f>IF((C55=""),"Enter Segment "&amp;TEXT(A55,0)&amp;" Name, then Enter Data in Columns "&amp;TEXT($H$2,0)&amp;" - "&amp;TEXT($AN$2,0)&amp;"       ","")</f>
        <v xml:space="preserve">Enter Segment 20 Name, then Enter Data in Columns h - an       </v>
      </c>
      <c r="E55" s="131" t="str">
        <f>IF($AW55="B","N/A",IF(AX55="N","No",IF(AX55="Y","Yes","")))</f>
        <v>N/A</v>
      </c>
      <c r="F55" s="130"/>
      <c r="G55" s="130"/>
      <c r="H55" s="285"/>
      <c r="I55" s="251" t="str">
        <f>IF($C55&lt;&gt;"","Enter Starting Point       ","")</f>
        <v/>
      </c>
      <c r="J55" s="285"/>
      <c r="K55" s="227"/>
      <c r="L55" s="88"/>
      <c r="M55" s="251" t="str">
        <f>IF($C55&lt;&gt;"","Select from Pull-Down List  ","")</f>
        <v/>
      </c>
      <c r="N55" s="88"/>
      <c r="O55" s="251" t="str">
        <f>IF($C55&lt;&gt;"","Select from Pull-Down List  ","")</f>
        <v/>
      </c>
      <c r="P55" s="131"/>
      <c r="Q55" s="251" t="str">
        <f>IF($C55&lt;&gt;"","Dir. Route-Mi?    ","")</f>
        <v/>
      </c>
      <c r="R55" s="131"/>
      <c r="S55" s="251" t="str">
        <f>IF($C55&lt;&gt;"","Trk-Mi?      ","")</f>
        <v/>
      </c>
      <c r="T55" s="131"/>
      <c r="U55" s="251" t="str">
        <f>IF($C55&lt;&gt;"","Trk-Mi?      ","")</f>
        <v/>
      </c>
      <c r="V55" s="284"/>
      <c r="W55" s="278" t="str">
        <f>IF(OR($R55="",V$11=""),"","0 - "&amp;TEXT($R55-$AP55,"0.0")&amp;" Trk-Mi?    ")</f>
        <v/>
      </c>
      <c r="X55" s="284"/>
      <c r="Y55" s="278" t="str">
        <f>IF(OR($R55="",X$11=""),"","0 - "&amp;TEXT($R55-$AP55,"0.0")&amp;" Trk-Mi?    ")</f>
        <v/>
      </c>
      <c r="Z55" s="284"/>
      <c r="AA55" s="278" t="str">
        <f>IF(OR($R55="",Z$11=""),"","0 - "&amp;TEXT($R55-$AP55,"0.0")&amp;" Trk-Mi?    ")</f>
        <v/>
      </c>
      <c r="AB55" s="284"/>
      <c r="AC55" s="278" t="str">
        <f>IF(OR($R55="",AB$11=""),"","0 - "&amp;TEXT($R55-$AP55,"0.0")&amp;" Trk-Mi?    ")</f>
        <v/>
      </c>
      <c r="AD55" s="284"/>
      <c r="AE55" s="278" t="str">
        <f>IF(OR($R55="",AD$11=""),"","0 - "&amp;TEXT($R55-$AP55,"0.0")&amp;" Trk-Mi?    ")</f>
        <v/>
      </c>
      <c r="AF55" s="284"/>
      <c r="AG55" s="278" t="str">
        <f>IF(OR($R55="",AF$11=""),"","0 - "&amp;TEXT($R55-$AP55,"0.0")&amp;" Trk-Mi?    ")</f>
        <v/>
      </c>
      <c r="AH55" s="284"/>
      <c r="AI55" s="278" t="str">
        <f>IF(OR($R55="",AH$11=""),"","0 - "&amp;TEXT($R55-$AP55,"0.0")&amp;" Trk-Mi?    ")</f>
        <v/>
      </c>
      <c r="AJ55" s="284"/>
      <c r="AK55" s="278" t="str">
        <f>IF(OR($R55="",AJ$11=""),"","0 - "&amp;TEXT($R55-$AP55,"0.0")&amp;" Trk-Mi?    ")</f>
        <v/>
      </c>
      <c r="AL55" s="284"/>
      <c r="AM55" s="278" t="str">
        <f>IF(OR($R55="",AL$11=""),"","0 - "&amp;TEXT($R55-$AP55,"0.0")&amp;" Trk-Mi?    ")</f>
        <v/>
      </c>
      <c r="AN55" s="284"/>
      <c r="AO55" s="278" t="str">
        <f>IF(OR($R55="",AN$11=""),"","0 - "&amp;TEXT($R55-$AP55,"0.0")&amp;" Trk-Mi?    ")</f>
        <v/>
      </c>
      <c r="AP55" s="282">
        <f>SUM(V55,X55,Z55,AB55,AD55,AF55,AH55,AJ55,AL55,AN55)</f>
        <v>0</v>
      </c>
      <c r="AQ55" s="278"/>
      <c r="AR55" s="234"/>
      <c r="AS55" s="107"/>
      <c r="AT55" s="107"/>
      <c r="AU55" s="107"/>
      <c r="AW55" s="107" t="str">
        <f>IF(AND($C55="",$H55="",$J55="",$L55="",$N55="",$P55="",$R55=""),"B","NB")</f>
        <v>B</v>
      </c>
      <c r="AX55" s="241" t="str">
        <f>IF(OR($C55="",$H55="",$J55="",$L55="",$N55="",$R55="",$P55="",AND($V$11&lt;&gt;"",$V55=""),AND($X$11&lt;&gt;"",$X55=""),AND($Z$11&lt;&gt;"",$Z55=""),AND($AB$11&lt;&gt;"",$AB55=""),AND($AD$11&lt;&gt;"",$AD55=""),AND($AF$11&lt;&gt;"",$AF55=""),AND($AH$11&lt;&gt;"",$AH55=""),AND($AJ$11&lt;&gt;"",$AJ55=""),AND($AL$11&lt;&gt;"",$AL55=""),AND($AN$11&lt;&gt;"",$AN55="")),"N","Y")</f>
        <v>N</v>
      </c>
      <c r="AY55" s="142" t="b">
        <f>IF(AND($C55="",OR($H55&lt;&gt;"",$J55&lt;&gt;"",$L55&lt;&gt;"",$N55&lt;&gt;"",$R55&lt;&gt;"",$P55&lt;&gt;"",AND($V$11&lt;&gt;"",$V55&lt;&gt;""),AND($X$11&lt;&gt;"",$X55&lt;&gt;""),AND($Z$11&lt;&gt;"",$Z55&lt;&gt;""),AND($AB$11&lt;&gt;"",$AB55&lt;&gt;""),AND($AD$11&lt;&gt;"",$AD55&lt;&gt;""),AND($AF$11&lt;&gt;"",$AF55&lt;&gt;""),AND($AH$11&lt;&gt;"",$AH55&lt;&gt;""),AND($AJ$11&lt;&gt;"",$AJ55&lt;&gt;""),AND($AL$11&lt;&gt;"",$AL55&lt;&gt;""),AND($AN$11&lt;&gt;"",$AN55&lt;&gt;""))),TRUE,FALSE)</f>
        <v>0</v>
      </c>
      <c r="AZ55" s="144" t="b">
        <f>IF(AND($C55&lt;&gt;"",$H55=""),TRUE,FALSE)</f>
        <v>0</v>
      </c>
      <c r="BA55" s="144" t="b">
        <f>IF(AND($C55&lt;&gt;"",$J55=""),TRUE,FALSE)</f>
        <v>0</v>
      </c>
      <c r="BB55" s="144" t="b">
        <f>IF(AND($C55&lt;&gt;"",$L55=""),TRUE,FALSE)</f>
        <v>0</v>
      </c>
      <c r="BC55" s="144" t="b">
        <f>IF(AND($C55&lt;&gt;"",$N55=""),TRUE,FALSE)</f>
        <v>0</v>
      </c>
      <c r="BD55" s="142" t="b">
        <f>IF($BE55=TRUE,FALSE,IF(OR($P55&lt;$BD$5,$P55&gt;$BE$5),TRUE,FALSE))</f>
        <v>0</v>
      </c>
      <c r="BE55" s="144" t="b">
        <f>IF(AND($C55&lt;&gt;"",$P55=""),TRUE,FALSE)</f>
        <v>0</v>
      </c>
      <c r="BF55" s="144" t="b">
        <f>IF($BG55=TRUE,FALSE,IF(OR($R55&lt;$BF$5,$R55&gt;$BG$5),TRUE,FALSE))</f>
        <v>0</v>
      </c>
      <c r="BG55" s="144" t="b">
        <f>IF(AND($C55&lt;&gt;"",$R55=""),TRUE,FALSE)</f>
        <v>0</v>
      </c>
      <c r="BH55" s="160" t="b">
        <f>IF(BI55=TRUE,FALSE,IF(AND(V55&lt;&gt;"",V$11=""),TRUE,IF(AND(V55&lt;&gt;"",V$11&lt;&gt;"",$R55&lt;&gt;$AP55),TRUE,IF(OR(V55&lt;0,V55&gt;$R55),TRUE,FALSE))))</f>
        <v>0</v>
      </c>
      <c r="BI55" s="144" t="b">
        <f>IF(AND($C55&lt;&gt;"",V$11&lt;&gt;"",$V55=""),TRUE,FALSE)</f>
        <v>0</v>
      </c>
      <c r="BJ55" s="160" t="b">
        <f>IF(BK55=TRUE,FALSE,IF(AND(X55&lt;&gt;"",X$11=""),TRUE,IF(AND(X55&lt;&gt;"",X$11&lt;&gt;"",$R55&lt;&gt;$AP55),TRUE,IF(OR(X55&lt;0,X55&gt;$R55),TRUE,FALSE))))</f>
        <v>0</v>
      </c>
      <c r="BK55" s="144" t="b">
        <f>IF(AND($C55&lt;&gt;"",X$11&lt;&gt;"",$X55=""),TRUE,FALSE)</f>
        <v>0</v>
      </c>
      <c r="BL55" s="160" t="b">
        <f>IF(BM55=TRUE,FALSE,IF(AND(Z55&lt;&gt;"",Z$11=""),TRUE,IF(AND(Z55&lt;&gt;"",Z$11&lt;&gt;"",$R55&lt;&gt;$AP55),TRUE,IF(OR(Z55&lt;0,Z55&gt;$R55),TRUE,FALSE))))</f>
        <v>0</v>
      </c>
      <c r="BM55" s="144" t="b">
        <f>IF(AND($C55&lt;&gt;"",Z$11&lt;&gt;"",$Z55=""),TRUE,FALSE)</f>
        <v>0</v>
      </c>
      <c r="BN55" s="160" t="b">
        <f>IF(BO55=TRUE,FALSE,IF(AND(AB55&lt;&gt;"",AB$11=""),TRUE,IF(AND(AB55&lt;&gt;"",AB$11&lt;&gt;"",$R55&lt;&gt;$AP55),TRUE,IF(OR(AB55&lt;0,AB55&gt;$R55),TRUE,FALSE))))</f>
        <v>0</v>
      </c>
      <c r="BO55" s="144" t="b">
        <f>IF(AND($C55&lt;&gt;"",AB$11&lt;&gt;"",$AB55=""),TRUE,FALSE)</f>
        <v>0</v>
      </c>
      <c r="BP55" s="160" t="b">
        <f>IF(BQ55=TRUE,FALSE,IF(AND(AD55&lt;&gt;"",AD$11=""),TRUE,IF(AND(AD55&lt;&gt;"",AD$11&lt;&gt;"",$R55&lt;&gt;$AP55),TRUE,IF(OR(AD55&lt;0,AD55&gt;$R55),TRUE,FALSE))))</f>
        <v>0</v>
      </c>
      <c r="BQ55" s="144" t="b">
        <f>IF(AND($C55&lt;&gt;"",AD$11&lt;&gt;"",$AD55=""),TRUE,FALSE)</f>
        <v>0</v>
      </c>
      <c r="BR55" s="160" t="b">
        <f>IF(BS55=TRUE,FALSE,IF(AND(AF55&lt;&gt;"",AF$11=""),TRUE,IF(AND(AF55&lt;&gt;"",AF$11&lt;&gt;"",$R55&lt;&gt;$AP55),TRUE,IF(OR(AF55&lt;0,AF55&gt;$R55),TRUE,FALSE))))</f>
        <v>0</v>
      </c>
      <c r="BS55" s="144" t="b">
        <f>IF(AND($C55&lt;&gt;"",AF$11&lt;&gt;"",$AF55=""),TRUE,FALSE)</f>
        <v>0</v>
      </c>
      <c r="BT55" s="160" t="b">
        <f>IF(BU55=TRUE,FALSE,IF(AND(AH55&lt;&gt;"",AH$11=""),TRUE,IF(AND(AH55&lt;&gt;"",AH$11&lt;&gt;"",$R55&lt;&gt;$AP55),TRUE,IF(OR(AH55&lt;0,AH55&gt;$R55),TRUE,FALSE))))</f>
        <v>0</v>
      </c>
      <c r="BU55" s="144" t="b">
        <f>IF(AND($C55&lt;&gt;"",AH$11&lt;&gt;"",$AH55=""),TRUE,FALSE)</f>
        <v>0</v>
      </c>
      <c r="BV55" s="160" t="b">
        <f>IF(BW55=TRUE,FALSE,IF(AND(AJ55&lt;&gt;"",AJ$11=""),TRUE,IF(AND(AJ55&lt;&gt;"",AJ$11&lt;&gt;"",$R55&lt;&gt;$AP55),TRUE,IF(OR(AJ55&lt;0,AJ55&gt;$R55),TRUE,FALSE))))</f>
        <v>0</v>
      </c>
      <c r="BW55" s="144" t="b">
        <f>IF(AND($C55&lt;&gt;"",AJ$11&lt;&gt;"",$AJ55=""),TRUE,FALSE)</f>
        <v>0</v>
      </c>
      <c r="BX55" s="160" t="b">
        <f>IF(BY55=TRUE,FALSE,IF(AND(AL55&lt;&gt;"",AL$11=""),TRUE,IF(AND(AL55&lt;&gt;"",AL$11&lt;&gt;"",$R55&lt;&gt;$AP55),TRUE,IF(OR(AL55&lt;0,AL55&gt;$R55),TRUE,FALSE))))</f>
        <v>0</v>
      </c>
      <c r="BY55" s="144" t="b">
        <f>IF(AND($C55&lt;&gt;"",AL$11&lt;&gt;"",$AL55=""),TRUE,FALSE)</f>
        <v>0</v>
      </c>
      <c r="BZ55" s="160" t="b">
        <f>IF(CA55=TRUE,FALSE,IF(AND(AN55&lt;&gt;"",AN$11=""),TRUE,IF(AND(AN55&lt;&gt;"",AN$11&lt;&gt;"",$R55&lt;&gt;$AP55),TRUE,IF(OR(AN55&lt;0,AN55&gt;$R55),TRUE,FALSE))))</f>
        <v>0</v>
      </c>
      <c r="CA55" s="144" t="b">
        <f>IF(AND($C55&lt;&gt;"",AN$11&lt;&gt;"",$AN55=""),TRUE,FALSE)</f>
        <v>0</v>
      </c>
      <c r="CB55" s="133"/>
      <c r="CC55" s="133"/>
      <c r="CD55" s="133"/>
      <c r="CE55" s="133"/>
      <c r="CF55" s="133"/>
      <c r="CG55" s="133"/>
      <c r="CH55" s="133"/>
      <c r="CI55" s="133"/>
      <c r="CJ55" s="133"/>
      <c r="CK55" s="133"/>
      <c r="CL55" s="133"/>
      <c r="CM55" s="133"/>
      <c r="CN55" s="133"/>
      <c r="CO55" s="133"/>
      <c r="CP55" s="133"/>
      <c r="CQ55" s="133"/>
      <c r="CR55" s="133"/>
      <c r="CS55" s="133"/>
      <c r="CT55" s="133"/>
      <c r="CU55" s="133"/>
      <c r="CV55" s="133"/>
      <c r="CW55" s="134"/>
    </row>
    <row r="56" spans="1:101" ht="6.75" customHeight="1" thickBot="1" x14ac:dyDescent="0.25">
      <c r="A56" s="228"/>
      <c r="B56" s="228"/>
      <c r="C56" s="232"/>
      <c r="D56" s="267"/>
      <c r="I56" s="267"/>
      <c r="K56" s="228"/>
      <c r="M56" s="267"/>
      <c r="O56" s="267"/>
      <c r="Q56" s="267"/>
      <c r="S56" s="267"/>
      <c r="U56" s="267"/>
      <c r="V56" s="283"/>
      <c r="W56" s="267"/>
      <c r="X56" s="283"/>
      <c r="Y56" s="267"/>
      <c r="Z56" s="283"/>
      <c r="AA56" s="267"/>
      <c r="AB56" s="283"/>
      <c r="AC56" s="267"/>
      <c r="AD56" s="283"/>
      <c r="AE56" s="267"/>
      <c r="AF56" s="283"/>
      <c r="AG56" s="267"/>
      <c r="AH56" s="283"/>
      <c r="AI56" s="267"/>
      <c r="AJ56" s="283"/>
      <c r="AK56" s="267"/>
      <c r="AL56" s="283"/>
      <c r="AM56" s="267"/>
      <c r="AN56" s="283"/>
      <c r="AO56" s="267"/>
      <c r="AP56" s="280"/>
      <c r="AQ56" s="280"/>
      <c r="AR56" s="232"/>
      <c r="AY56" s="145"/>
      <c r="AZ56" s="146"/>
      <c r="BA56" s="146"/>
      <c r="BB56" s="146"/>
      <c r="BC56" s="146"/>
      <c r="BD56" s="145"/>
      <c r="BE56" s="146"/>
      <c r="BF56" s="146"/>
      <c r="BG56" s="146"/>
      <c r="BH56" s="145"/>
      <c r="BI56" s="146"/>
      <c r="BJ56" s="145"/>
      <c r="BK56" s="146"/>
      <c r="BL56" s="145"/>
      <c r="BM56" s="146"/>
      <c r="BN56" s="145"/>
      <c r="BO56" s="146"/>
      <c r="BP56" s="145"/>
      <c r="BQ56" s="146"/>
      <c r="BR56" s="145"/>
      <c r="BS56" s="146"/>
      <c r="BT56" s="145"/>
      <c r="BU56" s="146"/>
      <c r="BV56" s="145"/>
      <c r="BW56" s="146"/>
      <c r="BX56" s="145"/>
      <c r="BY56" s="146"/>
      <c r="BZ56" s="145"/>
      <c r="CA56" s="146"/>
    </row>
    <row r="57" spans="1:101" s="101" customFormat="1" ht="12.75" customHeight="1" x14ac:dyDescent="0.2">
      <c r="A57" s="227">
        <f>A55+1</f>
        <v>21</v>
      </c>
      <c r="B57" s="227"/>
      <c r="C57" s="231"/>
      <c r="D57" s="251" t="str">
        <f>IF((C57=""),"Enter Segment "&amp;TEXT(A57,0)&amp;" Name, then Enter Data in Columns "&amp;TEXT($H$2,0)&amp;" - "&amp;TEXT($AN$2,0)&amp;"       ","")</f>
        <v xml:space="preserve">Enter Segment 21 Name, then Enter Data in Columns h - an       </v>
      </c>
      <c r="E57" s="131" t="str">
        <f>IF($AW57="B","N/A",IF(AX57="N","No",IF(AX57="Y","Yes","")))</f>
        <v>N/A</v>
      </c>
      <c r="F57" s="130"/>
      <c r="G57" s="130"/>
      <c r="H57" s="285"/>
      <c r="I57" s="251" t="str">
        <f>IF($C57&lt;&gt;"","Enter Starting Point       ","")</f>
        <v/>
      </c>
      <c r="J57" s="285"/>
      <c r="K57" s="227"/>
      <c r="L57" s="88"/>
      <c r="M57" s="251" t="str">
        <f>IF($C57&lt;&gt;"","Select from Pull-Down List  ","")</f>
        <v/>
      </c>
      <c r="N57" s="88"/>
      <c r="O57" s="251" t="str">
        <f>IF($C57&lt;&gt;"","Select from Pull-Down List  ","")</f>
        <v/>
      </c>
      <c r="P57" s="131"/>
      <c r="Q57" s="251" t="str">
        <f>IF($C57&lt;&gt;"","Dir. Route-Mi?    ","")</f>
        <v/>
      </c>
      <c r="R57" s="131"/>
      <c r="S57" s="251" t="str">
        <f>IF($C57&lt;&gt;"","Trk-Mi?      ","")</f>
        <v/>
      </c>
      <c r="T57" s="131"/>
      <c r="U57" s="251" t="str">
        <f>IF($C57&lt;&gt;"","Trk-Mi?      ","")</f>
        <v/>
      </c>
      <c r="V57" s="284"/>
      <c r="W57" s="278" t="str">
        <f>IF(OR($R57="",V$11=""),"","0 - "&amp;TEXT($R57-$AP57,"0.0")&amp;" Trk-Mi?    ")</f>
        <v/>
      </c>
      <c r="X57" s="284"/>
      <c r="Y57" s="278" t="str">
        <f>IF(OR($R57="",X$11=""),"","0 - "&amp;TEXT($R57-$AP57,"0.0")&amp;" Trk-Mi?    ")</f>
        <v/>
      </c>
      <c r="Z57" s="284"/>
      <c r="AA57" s="278" t="str">
        <f>IF(OR($R57="",Z$11=""),"","0 - "&amp;TEXT($R57-$AP57,"0.0")&amp;" Trk-Mi?    ")</f>
        <v/>
      </c>
      <c r="AB57" s="284"/>
      <c r="AC57" s="278" t="str">
        <f>IF(OR($R57="",AB$11=""),"","0 - "&amp;TEXT($R57-$AP57,"0.0")&amp;" Trk-Mi?    ")</f>
        <v/>
      </c>
      <c r="AD57" s="284"/>
      <c r="AE57" s="278" t="str">
        <f>IF(OR($R57="",AD$11=""),"","0 - "&amp;TEXT($R57-$AP57,"0.0")&amp;" Trk-Mi?    ")</f>
        <v/>
      </c>
      <c r="AF57" s="284"/>
      <c r="AG57" s="278" t="str">
        <f>IF(OR($R57="",AF$11=""),"","0 - "&amp;TEXT($R57-$AP57,"0.0")&amp;" Trk-Mi?    ")</f>
        <v/>
      </c>
      <c r="AH57" s="284"/>
      <c r="AI57" s="278" t="str">
        <f>IF(OR($R57="",AH$11=""),"","0 - "&amp;TEXT($R57-$AP57,"0.0")&amp;" Trk-Mi?    ")</f>
        <v/>
      </c>
      <c r="AJ57" s="284"/>
      <c r="AK57" s="278" t="str">
        <f>IF(OR($R57="",AJ$11=""),"","0 - "&amp;TEXT($R57-$AP57,"0.0")&amp;" Trk-Mi?    ")</f>
        <v/>
      </c>
      <c r="AL57" s="284"/>
      <c r="AM57" s="278" t="str">
        <f>IF(OR($R57="",AL$11=""),"","0 - "&amp;TEXT($R57-$AP57,"0.0")&amp;" Trk-Mi?    ")</f>
        <v/>
      </c>
      <c r="AN57" s="284"/>
      <c r="AO57" s="278" t="str">
        <f>IF(OR($R57="",AN$11=""),"","0 - "&amp;TEXT($R57-$AP57,"0.0")&amp;" Trk-Mi?    ")</f>
        <v/>
      </c>
      <c r="AP57" s="282">
        <f>SUM(V57,X57,Z57,AB57,AD57,AF57,AH57,AJ57,AL57,AN57)</f>
        <v>0</v>
      </c>
      <c r="AQ57" s="278"/>
      <c r="AR57" s="234"/>
      <c r="AS57" s="107"/>
      <c r="AT57" s="107"/>
      <c r="AU57" s="107"/>
      <c r="AW57" s="107" t="str">
        <f>IF(AND($C57="",$H57="",$J57="",$L57="",$N57="",$P57="",$R57=""),"B","NB")</f>
        <v>B</v>
      </c>
      <c r="AX57" s="241" t="str">
        <f>IF(OR($C57="",$H57="",$J57="",$L57="",$N57="",$R57="",$P57="",AND($V$11&lt;&gt;"",$V57=""),AND($X$11&lt;&gt;"",$X57=""),AND($Z$11&lt;&gt;"",$Z57=""),AND($AB$11&lt;&gt;"",$AB57=""),AND($AD$11&lt;&gt;"",$AD57=""),AND($AF$11&lt;&gt;"",$AF57=""),AND($AH$11&lt;&gt;"",$AH57=""),AND($AJ$11&lt;&gt;"",$AJ57=""),AND($AL$11&lt;&gt;"",$AL57=""),AND($AN$11&lt;&gt;"",$AN57="")),"N","Y")</f>
        <v>N</v>
      </c>
      <c r="AY57" s="142" t="b">
        <f>IF(AND($C57="",OR($H57&lt;&gt;"",$J57&lt;&gt;"",$L57&lt;&gt;"",$N57&lt;&gt;"",$R57&lt;&gt;"",$P57&lt;&gt;"",AND($V$11&lt;&gt;"",$V57&lt;&gt;""),AND($X$11&lt;&gt;"",$X57&lt;&gt;""),AND($Z$11&lt;&gt;"",$Z57&lt;&gt;""),AND($AB$11&lt;&gt;"",$AB57&lt;&gt;""),AND($AD$11&lt;&gt;"",$AD57&lt;&gt;""),AND($AF$11&lt;&gt;"",$AF57&lt;&gt;""),AND($AH$11&lt;&gt;"",$AH57&lt;&gt;""),AND($AJ$11&lt;&gt;"",$AJ57&lt;&gt;""),AND($AL$11&lt;&gt;"",$AL57&lt;&gt;""),AND($AN$11&lt;&gt;"",$AN57&lt;&gt;""))),TRUE,FALSE)</f>
        <v>0</v>
      </c>
      <c r="AZ57" s="144" t="b">
        <f>IF(AND($C57&lt;&gt;"",$H57=""),TRUE,FALSE)</f>
        <v>0</v>
      </c>
      <c r="BA57" s="144" t="b">
        <f>IF(AND($C57&lt;&gt;"",$J57=""),TRUE,FALSE)</f>
        <v>0</v>
      </c>
      <c r="BB57" s="144" t="b">
        <f>IF(AND($C57&lt;&gt;"",$L57=""),TRUE,FALSE)</f>
        <v>0</v>
      </c>
      <c r="BC57" s="144" t="b">
        <f>IF(AND($C57&lt;&gt;"",$N57=""),TRUE,FALSE)</f>
        <v>0</v>
      </c>
      <c r="BD57" s="142" t="b">
        <f>IF($BE57=TRUE,FALSE,IF(OR($P57&lt;$BD$5,$P57&gt;$BE$5),TRUE,FALSE))</f>
        <v>0</v>
      </c>
      <c r="BE57" s="144" t="b">
        <f>IF(AND($C57&lt;&gt;"",$P57=""),TRUE,FALSE)</f>
        <v>0</v>
      </c>
      <c r="BF57" s="144" t="b">
        <f>IF($BG57=TRUE,FALSE,IF(OR($R57&lt;$BF$5,$R57&gt;$BG$5),TRUE,FALSE))</f>
        <v>0</v>
      </c>
      <c r="BG57" s="144" t="b">
        <f>IF(AND($C57&lt;&gt;"",$R57=""),TRUE,FALSE)</f>
        <v>0</v>
      </c>
      <c r="BH57" s="160" t="b">
        <f>IF(BI57=TRUE,FALSE,IF(AND(V57&lt;&gt;"",V$11=""),TRUE,IF(AND(V57&lt;&gt;"",V$11&lt;&gt;"",$R57&lt;&gt;$AP57),TRUE,IF(OR(V57&lt;0,V57&gt;$R57),TRUE,FALSE))))</f>
        <v>0</v>
      </c>
      <c r="BI57" s="144" t="b">
        <f>IF(AND($C57&lt;&gt;"",V$11&lt;&gt;"",$V57=""),TRUE,FALSE)</f>
        <v>0</v>
      </c>
      <c r="BJ57" s="160" t="b">
        <f>IF(BK57=TRUE,FALSE,IF(AND(X57&lt;&gt;"",X$11=""),TRUE,IF(AND(X57&lt;&gt;"",X$11&lt;&gt;"",$R57&lt;&gt;$AP57),TRUE,IF(OR(X57&lt;0,X57&gt;$R57),TRUE,FALSE))))</f>
        <v>0</v>
      </c>
      <c r="BK57" s="144" t="b">
        <f>IF(AND($C57&lt;&gt;"",X$11&lt;&gt;"",$X57=""),TRUE,FALSE)</f>
        <v>0</v>
      </c>
      <c r="BL57" s="160" t="b">
        <f>IF(BM57=TRUE,FALSE,IF(AND(Z57&lt;&gt;"",Z$11=""),TRUE,IF(AND(Z57&lt;&gt;"",Z$11&lt;&gt;"",$R57&lt;&gt;$AP57),TRUE,IF(OR(Z57&lt;0,Z57&gt;$R57),TRUE,FALSE))))</f>
        <v>0</v>
      </c>
      <c r="BM57" s="144" t="b">
        <f>IF(AND($C57&lt;&gt;"",Z$11&lt;&gt;"",$Z57=""),TRUE,FALSE)</f>
        <v>0</v>
      </c>
      <c r="BN57" s="160" t="b">
        <f>IF(BO57=TRUE,FALSE,IF(AND(AB57&lt;&gt;"",AB$11=""),TRUE,IF(AND(AB57&lt;&gt;"",AB$11&lt;&gt;"",$R57&lt;&gt;$AP57),TRUE,IF(OR(AB57&lt;0,AB57&gt;$R57),TRUE,FALSE))))</f>
        <v>0</v>
      </c>
      <c r="BO57" s="144" t="b">
        <f>IF(AND($C57&lt;&gt;"",AB$11&lt;&gt;"",$AB57=""),TRUE,FALSE)</f>
        <v>0</v>
      </c>
      <c r="BP57" s="160" t="b">
        <f>IF(BQ57=TRUE,FALSE,IF(AND(AD57&lt;&gt;"",AD$11=""),TRUE,IF(AND(AD57&lt;&gt;"",AD$11&lt;&gt;"",$R57&lt;&gt;$AP57),TRUE,IF(OR(AD57&lt;0,AD57&gt;$R57),TRUE,FALSE))))</f>
        <v>0</v>
      </c>
      <c r="BQ57" s="144" t="b">
        <f>IF(AND($C57&lt;&gt;"",AD$11&lt;&gt;"",$AD57=""),TRUE,FALSE)</f>
        <v>0</v>
      </c>
      <c r="BR57" s="160" t="b">
        <f>IF(BS57=TRUE,FALSE,IF(AND(AF57&lt;&gt;"",AF$11=""),TRUE,IF(AND(AF57&lt;&gt;"",AF$11&lt;&gt;"",$R57&lt;&gt;$AP57),TRUE,IF(OR(AF57&lt;0,AF57&gt;$R57),TRUE,FALSE))))</f>
        <v>0</v>
      </c>
      <c r="BS57" s="144" t="b">
        <f>IF(AND($C57&lt;&gt;"",AF$11&lt;&gt;"",$AF57=""),TRUE,FALSE)</f>
        <v>0</v>
      </c>
      <c r="BT57" s="160" t="b">
        <f>IF(BU57=TRUE,FALSE,IF(AND(AH57&lt;&gt;"",AH$11=""),TRUE,IF(AND(AH57&lt;&gt;"",AH$11&lt;&gt;"",$R57&lt;&gt;$AP57),TRUE,IF(OR(AH57&lt;0,AH57&gt;$R57),TRUE,FALSE))))</f>
        <v>0</v>
      </c>
      <c r="BU57" s="144" t="b">
        <f>IF(AND($C57&lt;&gt;"",AH$11&lt;&gt;"",$AH57=""),TRUE,FALSE)</f>
        <v>0</v>
      </c>
      <c r="BV57" s="160" t="b">
        <f>IF(BW57=TRUE,FALSE,IF(AND(AJ57&lt;&gt;"",AJ$11=""),TRUE,IF(AND(AJ57&lt;&gt;"",AJ$11&lt;&gt;"",$R57&lt;&gt;$AP57),TRUE,IF(OR(AJ57&lt;0,AJ57&gt;$R57),TRUE,FALSE))))</f>
        <v>0</v>
      </c>
      <c r="BW57" s="144" t="b">
        <f>IF(AND($C57&lt;&gt;"",AJ$11&lt;&gt;"",$AJ57=""),TRUE,FALSE)</f>
        <v>0</v>
      </c>
      <c r="BX57" s="160" t="b">
        <f>IF(BY57=TRUE,FALSE,IF(AND(AL57&lt;&gt;"",AL$11=""),TRUE,IF(AND(AL57&lt;&gt;"",AL$11&lt;&gt;"",$R57&lt;&gt;$AP57),TRUE,IF(OR(AL57&lt;0,AL57&gt;$R57),TRUE,FALSE))))</f>
        <v>0</v>
      </c>
      <c r="BY57" s="144" t="b">
        <f>IF(AND($C57&lt;&gt;"",AL$11&lt;&gt;"",$AL57=""),TRUE,FALSE)</f>
        <v>0</v>
      </c>
      <c r="BZ57" s="160" t="b">
        <f>IF(CA57=TRUE,FALSE,IF(AND(AN57&lt;&gt;"",AN$11=""),TRUE,IF(AND(AN57&lt;&gt;"",AN$11&lt;&gt;"",$R57&lt;&gt;$AP57),TRUE,IF(OR(AN57&lt;0,AN57&gt;$R57),TRUE,FALSE))))</f>
        <v>0</v>
      </c>
      <c r="CA57" s="144" t="b">
        <f>IF(AND($C57&lt;&gt;"",AN$11&lt;&gt;"",$AN57=""),TRUE,FALSE)</f>
        <v>0</v>
      </c>
      <c r="CB57" s="133"/>
      <c r="CC57" s="133"/>
      <c r="CD57" s="133"/>
      <c r="CE57" s="133"/>
      <c r="CF57" s="133"/>
      <c r="CG57" s="133"/>
      <c r="CH57" s="133"/>
      <c r="CI57" s="133"/>
      <c r="CJ57" s="133"/>
      <c r="CK57" s="133"/>
      <c r="CL57" s="133"/>
      <c r="CM57" s="133"/>
      <c r="CN57" s="133"/>
      <c r="CO57" s="133"/>
      <c r="CP57" s="133"/>
      <c r="CQ57" s="133"/>
      <c r="CR57" s="133"/>
      <c r="CS57" s="133"/>
      <c r="CT57" s="133"/>
      <c r="CU57" s="133"/>
      <c r="CV57" s="133"/>
      <c r="CW57" s="134"/>
    </row>
    <row r="58" spans="1:101" ht="6.75" customHeight="1" thickBot="1" x14ac:dyDescent="0.25">
      <c r="A58" s="228"/>
      <c r="B58" s="228"/>
      <c r="C58" s="232"/>
      <c r="D58" s="267"/>
      <c r="I58" s="267"/>
      <c r="K58" s="228"/>
      <c r="M58" s="267"/>
      <c r="O58" s="267"/>
      <c r="Q58" s="267"/>
      <c r="S58" s="267"/>
      <c r="U58" s="267"/>
      <c r="V58" s="283"/>
      <c r="W58" s="267"/>
      <c r="X58" s="283"/>
      <c r="Y58" s="267"/>
      <c r="Z58" s="283"/>
      <c r="AA58" s="267"/>
      <c r="AB58" s="283"/>
      <c r="AC58" s="267"/>
      <c r="AD58" s="283"/>
      <c r="AE58" s="267"/>
      <c r="AF58" s="283"/>
      <c r="AG58" s="267"/>
      <c r="AH58" s="283"/>
      <c r="AI58" s="267"/>
      <c r="AJ58" s="283"/>
      <c r="AK58" s="267"/>
      <c r="AL58" s="283"/>
      <c r="AM58" s="267"/>
      <c r="AN58" s="283"/>
      <c r="AO58" s="267"/>
      <c r="AP58" s="267"/>
      <c r="AQ58" s="267"/>
      <c r="AR58" s="235" t="str">
        <f>IF(CJ58&gt;=1,"Bad Data","")</f>
        <v/>
      </c>
      <c r="AY58" s="145"/>
      <c r="AZ58" s="146"/>
      <c r="BA58" s="146"/>
      <c r="BB58" s="146"/>
      <c r="BC58" s="146"/>
      <c r="BD58" s="145"/>
      <c r="BE58" s="146"/>
      <c r="BF58" s="146"/>
      <c r="BG58" s="146"/>
      <c r="BH58" s="145"/>
      <c r="BI58" s="146"/>
      <c r="BJ58" s="145"/>
      <c r="BK58" s="146"/>
      <c r="BL58" s="145"/>
      <c r="BM58" s="146"/>
      <c r="BN58" s="145"/>
      <c r="BO58" s="146"/>
      <c r="BP58" s="145"/>
      <c r="BQ58" s="146"/>
      <c r="BR58" s="145"/>
      <c r="BS58" s="146"/>
      <c r="BT58" s="145"/>
      <c r="BU58" s="146"/>
      <c r="BV58" s="145"/>
      <c r="BW58" s="146"/>
      <c r="BX58" s="145"/>
      <c r="BY58" s="146"/>
      <c r="BZ58" s="145"/>
      <c r="CA58" s="146"/>
    </row>
    <row r="59" spans="1:101" s="101" customFormat="1" ht="12.75" customHeight="1" x14ac:dyDescent="0.2">
      <c r="A59" s="227">
        <f>A57+1</f>
        <v>22</v>
      </c>
      <c r="B59" s="227"/>
      <c r="C59" s="231"/>
      <c r="D59" s="251" t="str">
        <f>IF((C59=""),"Enter Segment "&amp;TEXT(A59,0)&amp;" Name, then Enter Data in Columns "&amp;TEXT($H$2,0)&amp;" - "&amp;TEXT($AN$2,0)&amp;"       ","")</f>
        <v xml:space="preserve">Enter Segment 22 Name, then Enter Data in Columns h - an       </v>
      </c>
      <c r="E59" s="131" t="str">
        <f>IF($AW59="B","N/A",IF(AX59="N","No",IF(AX59="Y","Yes","")))</f>
        <v>N/A</v>
      </c>
      <c r="F59" s="130"/>
      <c r="G59" s="130"/>
      <c r="H59" s="285"/>
      <c r="I59" s="251" t="str">
        <f>IF($C59&lt;&gt;"","Enter Starting Point       ","")</f>
        <v/>
      </c>
      <c r="J59" s="285"/>
      <c r="K59" s="227"/>
      <c r="L59" s="88"/>
      <c r="M59" s="251" t="str">
        <f>IF($C59&lt;&gt;"","Select from Pull-Down List  ","")</f>
        <v/>
      </c>
      <c r="N59" s="88"/>
      <c r="O59" s="251" t="str">
        <f>IF($C59&lt;&gt;"","Select from Pull-Down List  ","")</f>
        <v/>
      </c>
      <c r="P59" s="131"/>
      <c r="Q59" s="251" t="str">
        <f>IF($C59&lt;&gt;"","Dir. Route-Mi?    ","")</f>
        <v/>
      </c>
      <c r="R59" s="131"/>
      <c r="S59" s="251" t="str">
        <f>IF($C59&lt;&gt;"","Trk-Mi?      ","")</f>
        <v/>
      </c>
      <c r="T59" s="131"/>
      <c r="U59" s="251" t="str">
        <f>IF($C59&lt;&gt;"","Trk-Mi?      ","")</f>
        <v/>
      </c>
      <c r="V59" s="284"/>
      <c r="W59" s="278" t="str">
        <f>IF(OR($R59="",V$11=""),"","0 - "&amp;TEXT($R59-$AP59,"0.0")&amp;" Trk-Mi?    ")</f>
        <v/>
      </c>
      <c r="X59" s="284"/>
      <c r="Y59" s="278" t="str">
        <f>IF(OR($R59="",X$11=""),"","0 - "&amp;TEXT($R59-$AP59,"0.0")&amp;" Trk-Mi?    ")</f>
        <v/>
      </c>
      <c r="Z59" s="284"/>
      <c r="AA59" s="278" t="str">
        <f>IF(OR($R59="",Z$11=""),"","0 - "&amp;TEXT($R59-$AP59,"0.0")&amp;" Trk-Mi?    ")</f>
        <v/>
      </c>
      <c r="AB59" s="284"/>
      <c r="AC59" s="278" t="str">
        <f>IF(OR($R59="",AB$11=""),"","0 - "&amp;TEXT($R59-$AP59,"0.0")&amp;" Trk-Mi?    ")</f>
        <v/>
      </c>
      <c r="AD59" s="284"/>
      <c r="AE59" s="278" t="str">
        <f>IF(OR($R59="",AD$11=""),"","0 - "&amp;TEXT($R59-$AP59,"0.0")&amp;" Trk-Mi?    ")</f>
        <v/>
      </c>
      <c r="AF59" s="284"/>
      <c r="AG59" s="278" t="str">
        <f>IF(OR($R59="",AF$11=""),"","0 - "&amp;TEXT($R59-$AP59,"0.0")&amp;" Trk-Mi?    ")</f>
        <v/>
      </c>
      <c r="AH59" s="284"/>
      <c r="AI59" s="278" t="str">
        <f>IF(OR($R59="",AH$11=""),"","0 - "&amp;TEXT($R59-$AP59,"0.0")&amp;" Trk-Mi?    ")</f>
        <v/>
      </c>
      <c r="AJ59" s="284"/>
      <c r="AK59" s="278" t="str">
        <f>IF(OR($R59="",AJ$11=""),"","0 - "&amp;TEXT($R59-$AP59,"0.0")&amp;" Trk-Mi?    ")</f>
        <v/>
      </c>
      <c r="AL59" s="284"/>
      <c r="AM59" s="278" t="str">
        <f>IF(OR($R59="",AL$11=""),"","0 - "&amp;TEXT($R59-$AP59,"0.0")&amp;" Trk-Mi?    ")</f>
        <v/>
      </c>
      <c r="AN59" s="284"/>
      <c r="AO59" s="278" t="str">
        <f>IF(OR($R59="",AN$11=""),"","0 - "&amp;TEXT($R59-$AP59,"0.0")&amp;" Trk-Mi?    ")</f>
        <v/>
      </c>
      <c r="AP59" s="282">
        <f>SUM(V59,X59,Z59,AB59,AD59,AF59,AH59,AJ59,AL59,AN59)</f>
        <v>0</v>
      </c>
      <c r="AQ59" s="278"/>
      <c r="AR59" s="234"/>
      <c r="AS59" s="107"/>
      <c r="AT59" s="107"/>
      <c r="AU59" s="107"/>
      <c r="AW59" s="107" t="str">
        <f>IF(AND($C59="",$H59="",$J59="",$L59="",$N59="",$P59="",$R59=""),"B","NB")</f>
        <v>B</v>
      </c>
      <c r="AX59" s="241" t="str">
        <f>IF(OR($C59="",$H59="",$J59="",$L59="",$N59="",$R59="",$P59="",AND($V$11&lt;&gt;"",$V59=""),AND($X$11&lt;&gt;"",$X59=""),AND($Z$11&lt;&gt;"",$Z59=""),AND($AB$11&lt;&gt;"",$AB59=""),AND($AD$11&lt;&gt;"",$AD59=""),AND($AF$11&lt;&gt;"",$AF59=""),AND($AH$11&lt;&gt;"",$AH59=""),AND($AJ$11&lt;&gt;"",$AJ59=""),AND($AL$11&lt;&gt;"",$AL59=""),AND($AN$11&lt;&gt;"",$AN59="")),"N","Y")</f>
        <v>N</v>
      </c>
      <c r="AY59" s="142" t="b">
        <f>IF(AND($C59="",OR($H59&lt;&gt;"",$J59&lt;&gt;"",$L59&lt;&gt;"",$N59&lt;&gt;"",$R59&lt;&gt;"",$P59&lt;&gt;"",AND($V$11&lt;&gt;"",$V59&lt;&gt;""),AND($X$11&lt;&gt;"",$X59&lt;&gt;""),AND($Z$11&lt;&gt;"",$Z59&lt;&gt;""),AND($AB$11&lt;&gt;"",$AB59&lt;&gt;""),AND($AD$11&lt;&gt;"",$AD59&lt;&gt;""),AND($AF$11&lt;&gt;"",$AF59&lt;&gt;""),AND($AH$11&lt;&gt;"",$AH59&lt;&gt;""),AND($AJ$11&lt;&gt;"",$AJ59&lt;&gt;""),AND($AL$11&lt;&gt;"",$AL59&lt;&gt;""),AND($AN$11&lt;&gt;"",$AN59&lt;&gt;""))),TRUE,FALSE)</f>
        <v>0</v>
      </c>
      <c r="AZ59" s="144" t="b">
        <f>IF(AND($C59&lt;&gt;"",$H59=""),TRUE,FALSE)</f>
        <v>0</v>
      </c>
      <c r="BA59" s="144" t="b">
        <f>IF(AND($C59&lt;&gt;"",$J59=""),TRUE,FALSE)</f>
        <v>0</v>
      </c>
      <c r="BB59" s="144" t="b">
        <f>IF(AND($C59&lt;&gt;"",$L59=""),TRUE,FALSE)</f>
        <v>0</v>
      </c>
      <c r="BC59" s="144" t="b">
        <f>IF(AND($C59&lt;&gt;"",$N59=""),TRUE,FALSE)</f>
        <v>0</v>
      </c>
      <c r="BD59" s="142" t="b">
        <f>IF($BE59=TRUE,FALSE,IF(OR($P59&lt;$BD$5,$P59&gt;$BE$5),TRUE,FALSE))</f>
        <v>0</v>
      </c>
      <c r="BE59" s="144" t="b">
        <f>IF(AND($C59&lt;&gt;"",$P59=""),TRUE,FALSE)</f>
        <v>0</v>
      </c>
      <c r="BF59" s="144" t="b">
        <f>IF($BG59=TRUE,FALSE,IF(OR($R59&lt;$BF$5,$R59&gt;$BG$5),TRUE,FALSE))</f>
        <v>0</v>
      </c>
      <c r="BG59" s="144" t="b">
        <f>IF(AND($C59&lt;&gt;"",$R59=""),TRUE,FALSE)</f>
        <v>0</v>
      </c>
      <c r="BH59" s="160" t="b">
        <f>IF(BI59=TRUE,FALSE,IF(AND(V59&lt;&gt;"",V$11=""),TRUE,IF(AND(V59&lt;&gt;"",V$11&lt;&gt;"",$R59&lt;&gt;$AP59),TRUE,IF(OR(V59&lt;0,V59&gt;$R59),TRUE,FALSE))))</f>
        <v>0</v>
      </c>
      <c r="BI59" s="144" t="b">
        <f>IF(AND($C59&lt;&gt;"",V$11&lt;&gt;"",$V59=""),TRUE,FALSE)</f>
        <v>0</v>
      </c>
      <c r="BJ59" s="160" t="b">
        <f>IF(BK59=TRUE,FALSE,IF(AND(X59&lt;&gt;"",X$11=""),TRUE,IF(AND(X59&lt;&gt;"",X$11&lt;&gt;"",$R59&lt;&gt;$AP59),TRUE,IF(OR(X59&lt;0,X59&gt;$R59),TRUE,FALSE))))</f>
        <v>0</v>
      </c>
      <c r="BK59" s="144" t="b">
        <f>IF(AND($C59&lt;&gt;"",X$11&lt;&gt;"",$X59=""),TRUE,FALSE)</f>
        <v>0</v>
      </c>
      <c r="BL59" s="160" t="b">
        <f>IF(BM59=TRUE,FALSE,IF(AND(Z59&lt;&gt;"",Z$11=""),TRUE,IF(AND(Z59&lt;&gt;"",Z$11&lt;&gt;"",$R59&lt;&gt;$AP59),TRUE,IF(OR(Z59&lt;0,Z59&gt;$R59),TRUE,FALSE))))</f>
        <v>0</v>
      </c>
      <c r="BM59" s="144" t="b">
        <f>IF(AND($C59&lt;&gt;"",Z$11&lt;&gt;"",$Z59=""),TRUE,FALSE)</f>
        <v>0</v>
      </c>
      <c r="BN59" s="160" t="b">
        <f>IF(BO59=TRUE,FALSE,IF(AND(AB59&lt;&gt;"",AB$11=""),TRUE,IF(AND(AB59&lt;&gt;"",AB$11&lt;&gt;"",$R59&lt;&gt;$AP59),TRUE,IF(OR(AB59&lt;0,AB59&gt;$R59),TRUE,FALSE))))</f>
        <v>0</v>
      </c>
      <c r="BO59" s="144" t="b">
        <f>IF(AND($C59&lt;&gt;"",AB$11&lt;&gt;"",$AB59=""),TRUE,FALSE)</f>
        <v>0</v>
      </c>
      <c r="BP59" s="160" t="b">
        <f>IF(BQ59=TRUE,FALSE,IF(AND(AD59&lt;&gt;"",AD$11=""),TRUE,IF(AND(AD59&lt;&gt;"",AD$11&lt;&gt;"",$R59&lt;&gt;$AP59),TRUE,IF(OR(AD59&lt;0,AD59&gt;$R59),TRUE,FALSE))))</f>
        <v>0</v>
      </c>
      <c r="BQ59" s="144" t="b">
        <f>IF(AND($C59&lt;&gt;"",AD$11&lt;&gt;"",$AD59=""),TRUE,FALSE)</f>
        <v>0</v>
      </c>
      <c r="BR59" s="160" t="b">
        <f>IF(BS59=TRUE,FALSE,IF(AND(AF59&lt;&gt;"",AF$11=""),TRUE,IF(AND(AF59&lt;&gt;"",AF$11&lt;&gt;"",$R59&lt;&gt;$AP59),TRUE,IF(OR(AF59&lt;0,AF59&gt;$R59),TRUE,FALSE))))</f>
        <v>0</v>
      </c>
      <c r="BS59" s="144" t="b">
        <f>IF(AND($C59&lt;&gt;"",AF$11&lt;&gt;"",$AF59=""),TRUE,FALSE)</f>
        <v>0</v>
      </c>
      <c r="BT59" s="160" t="b">
        <f>IF(BU59=TRUE,FALSE,IF(AND(AH59&lt;&gt;"",AH$11=""),TRUE,IF(AND(AH59&lt;&gt;"",AH$11&lt;&gt;"",$R59&lt;&gt;$AP59),TRUE,IF(OR(AH59&lt;0,AH59&gt;$R59),TRUE,FALSE))))</f>
        <v>0</v>
      </c>
      <c r="BU59" s="144" t="b">
        <f>IF(AND($C59&lt;&gt;"",AH$11&lt;&gt;"",$AH59=""),TRUE,FALSE)</f>
        <v>0</v>
      </c>
      <c r="BV59" s="160" t="b">
        <f>IF(BW59=TRUE,FALSE,IF(AND(AJ59&lt;&gt;"",AJ$11=""),TRUE,IF(AND(AJ59&lt;&gt;"",AJ$11&lt;&gt;"",$R59&lt;&gt;$AP59),TRUE,IF(OR(AJ59&lt;0,AJ59&gt;$R59),TRUE,FALSE))))</f>
        <v>0</v>
      </c>
      <c r="BW59" s="144" t="b">
        <f>IF(AND($C59&lt;&gt;"",AJ$11&lt;&gt;"",$AJ59=""),TRUE,FALSE)</f>
        <v>0</v>
      </c>
      <c r="BX59" s="160" t="b">
        <f>IF(BY59=TRUE,FALSE,IF(AND(AL59&lt;&gt;"",AL$11=""),TRUE,IF(AND(AL59&lt;&gt;"",AL$11&lt;&gt;"",$R59&lt;&gt;$AP59),TRUE,IF(OR(AL59&lt;0,AL59&gt;$R59),TRUE,FALSE))))</f>
        <v>0</v>
      </c>
      <c r="BY59" s="144" t="b">
        <f>IF(AND($C59&lt;&gt;"",AL$11&lt;&gt;"",$AL59=""),TRUE,FALSE)</f>
        <v>0</v>
      </c>
      <c r="BZ59" s="160" t="b">
        <f>IF(CA59=TRUE,FALSE,IF(AND(AN59&lt;&gt;"",AN$11=""),TRUE,IF(AND(AN59&lt;&gt;"",AN$11&lt;&gt;"",$R59&lt;&gt;$AP59),TRUE,IF(OR(AN59&lt;0,AN59&gt;$R59),TRUE,FALSE))))</f>
        <v>0</v>
      </c>
      <c r="CA59" s="144" t="b">
        <f>IF(AND($C59&lt;&gt;"",AN$11&lt;&gt;"",$AN59=""),TRUE,FALSE)</f>
        <v>0</v>
      </c>
      <c r="CB59" s="133"/>
      <c r="CC59" s="133"/>
      <c r="CD59" s="133"/>
      <c r="CE59" s="133"/>
      <c r="CF59" s="133"/>
      <c r="CG59" s="133"/>
      <c r="CH59" s="133"/>
      <c r="CI59" s="133"/>
      <c r="CJ59" s="133"/>
      <c r="CK59" s="133"/>
      <c r="CL59" s="133"/>
      <c r="CM59" s="133"/>
      <c r="CN59" s="133"/>
      <c r="CO59" s="133"/>
      <c r="CP59" s="133"/>
      <c r="CQ59" s="133"/>
      <c r="CR59" s="133"/>
      <c r="CS59" s="133"/>
      <c r="CT59" s="133"/>
      <c r="CU59" s="133"/>
      <c r="CV59" s="133"/>
      <c r="CW59" s="134"/>
    </row>
    <row r="60" spans="1:101" ht="6.75" customHeight="1" thickBot="1" x14ac:dyDescent="0.25">
      <c r="A60" s="228"/>
      <c r="B60" s="228"/>
      <c r="C60" s="232"/>
      <c r="D60" s="267"/>
      <c r="I60" s="267"/>
      <c r="K60" s="228"/>
      <c r="M60" s="267"/>
      <c r="O60" s="267"/>
      <c r="Q60" s="267"/>
      <c r="S60" s="267"/>
      <c r="U60" s="267"/>
      <c r="V60" s="283"/>
      <c r="W60" s="267"/>
      <c r="X60" s="283"/>
      <c r="Y60" s="267"/>
      <c r="Z60" s="283"/>
      <c r="AA60" s="267"/>
      <c r="AB60" s="283"/>
      <c r="AC60" s="267"/>
      <c r="AD60" s="283"/>
      <c r="AE60" s="267"/>
      <c r="AF60" s="283"/>
      <c r="AG60" s="267"/>
      <c r="AH60" s="283"/>
      <c r="AI60" s="267"/>
      <c r="AJ60" s="283"/>
      <c r="AK60" s="267"/>
      <c r="AL60" s="283"/>
      <c r="AM60" s="267"/>
      <c r="AN60" s="283"/>
      <c r="AO60" s="267"/>
      <c r="AP60" s="267"/>
      <c r="AQ60" s="267"/>
      <c r="AR60" s="236"/>
      <c r="AY60" s="145"/>
      <c r="AZ60" s="146"/>
      <c r="BA60" s="146"/>
      <c r="BB60" s="146"/>
      <c r="BC60" s="146"/>
      <c r="BD60" s="145"/>
      <c r="BE60" s="146"/>
      <c r="BF60" s="146"/>
      <c r="BG60" s="146"/>
      <c r="BH60" s="145"/>
      <c r="BI60" s="146"/>
      <c r="BJ60" s="145"/>
      <c r="BK60" s="146"/>
      <c r="BL60" s="145"/>
      <c r="BM60" s="146"/>
      <c r="BN60" s="145"/>
      <c r="BO60" s="146"/>
      <c r="BP60" s="145"/>
      <c r="BQ60" s="146"/>
      <c r="BR60" s="145"/>
      <c r="BS60" s="146"/>
      <c r="BT60" s="145"/>
      <c r="BU60" s="146"/>
      <c r="BV60" s="145"/>
      <c r="BW60" s="146"/>
      <c r="BX60" s="145"/>
      <c r="BY60" s="146"/>
      <c r="BZ60" s="145"/>
      <c r="CA60" s="146"/>
    </row>
    <row r="61" spans="1:101" s="101" customFormat="1" ht="12.75" customHeight="1" x14ac:dyDescent="0.2">
      <c r="A61" s="227">
        <f>A59+1</f>
        <v>23</v>
      </c>
      <c r="B61" s="227"/>
      <c r="C61" s="231"/>
      <c r="D61" s="251" t="str">
        <f>IF((C61=""),"Enter Segment "&amp;TEXT(A61,0)&amp;" Name, then Enter Data in Columns "&amp;TEXT($H$2,0)&amp;" - "&amp;TEXT($AN$2,0)&amp;"       ","")</f>
        <v xml:space="preserve">Enter Segment 23 Name, then Enter Data in Columns h - an       </v>
      </c>
      <c r="E61" s="131" t="str">
        <f>IF($AW61="B","N/A",IF(AX61="N","No",IF(AX61="Y","Yes","")))</f>
        <v>N/A</v>
      </c>
      <c r="F61" s="130"/>
      <c r="G61" s="130"/>
      <c r="H61" s="285"/>
      <c r="I61" s="251" t="str">
        <f>IF($C61&lt;&gt;"","Enter Starting Point       ","")</f>
        <v/>
      </c>
      <c r="J61" s="285"/>
      <c r="K61" s="227"/>
      <c r="L61" s="88"/>
      <c r="M61" s="251" t="str">
        <f>IF($C61&lt;&gt;"","Select from Pull-Down List  ","")</f>
        <v/>
      </c>
      <c r="N61" s="88"/>
      <c r="O61" s="251" t="str">
        <f>IF($C61&lt;&gt;"","Select from Pull-Down List  ","")</f>
        <v/>
      </c>
      <c r="P61" s="131"/>
      <c r="Q61" s="251" t="str">
        <f>IF($C61&lt;&gt;"","Dir. Route-Mi?    ","")</f>
        <v/>
      </c>
      <c r="R61" s="131"/>
      <c r="S61" s="251" t="str">
        <f>IF($C61&lt;&gt;"","Trk-Mi?      ","")</f>
        <v/>
      </c>
      <c r="T61" s="131"/>
      <c r="U61" s="251" t="str">
        <f>IF($C61&lt;&gt;"","Trk-Mi?      ","")</f>
        <v/>
      </c>
      <c r="V61" s="284"/>
      <c r="W61" s="278" t="str">
        <f>IF(OR($R61="",V$11=""),"","0 - "&amp;TEXT($R61-$AP61,"0.0")&amp;" Trk-Mi?    ")</f>
        <v/>
      </c>
      <c r="X61" s="284"/>
      <c r="Y61" s="278" t="str">
        <f>IF(OR($R61="",X$11=""),"","0 - "&amp;TEXT($R61-$AP61,"0.0")&amp;" Trk-Mi?    ")</f>
        <v/>
      </c>
      <c r="Z61" s="284"/>
      <c r="AA61" s="278" t="str">
        <f>IF(OR($R61="",Z$11=""),"","0 - "&amp;TEXT($R61-$AP61,"0.0")&amp;" Trk-Mi?    ")</f>
        <v/>
      </c>
      <c r="AB61" s="284"/>
      <c r="AC61" s="278" t="str">
        <f>IF(OR($R61="",AB$11=""),"","0 - "&amp;TEXT($R61-$AP61,"0.0")&amp;" Trk-Mi?    ")</f>
        <v/>
      </c>
      <c r="AD61" s="284"/>
      <c r="AE61" s="278" t="str">
        <f>IF(OR($R61="",AD$11=""),"","0 - "&amp;TEXT($R61-$AP61,"0.0")&amp;" Trk-Mi?    ")</f>
        <v/>
      </c>
      <c r="AF61" s="284"/>
      <c r="AG61" s="278" t="str">
        <f>IF(OR($R61="",AF$11=""),"","0 - "&amp;TEXT($R61-$AP61,"0.0")&amp;" Trk-Mi?    ")</f>
        <v/>
      </c>
      <c r="AH61" s="284"/>
      <c r="AI61" s="278" t="str">
        <f>IF(OR($R61="",AH$11=""),"","0 - "&amp;TEXT($R61-$AP61,"0.0")&amp;" Trk-Mi?    ")</f>
        <v/>
      </c>
      <c r="AJ61" s="284"/>
      <c r="AK61" s="278" t="str">
        <f>IF(OR($R61="",AJ$11=""),"","0 - "&amp;TEXT($R61-$AP61,"0.0")&amp;" Trk-Mi?    ")</f>
        <v/>
      </c>
      <c r="AL61" s="284"/>
      <c r="AM61" s="278" t="str">
        <f>IF(OR($R61="",AL$11=""),"","0 - "&amp;TEXT($R61-$AP61,"0.0")&amp;" Trk-Mi?    ")</f>
        <v/>
      </c>
      <c r="AN61" s="284"/>
      <c r="AO61" s="278" t="str">
        <f>IF(OR($R61="",AN$11=""),"","0 - "&amp;TEXT($R61-$AP61,"0.0")&amp;" Trk-Mi?    ")</f>
        <v/>
      </c>
      <c r="AP61" s="282">
        <f>SUM(V61,X61,Z61,AB61,AD61,AF61,AH61,AJ61,AL61,AN61)</f>
        <v>0</v>
      </c>
      <c r="AQ61" s="278"/>
      <c r="AR61" s="234"/>
      <c r="AS61" s="107"/>
      <c r="AT61" s="107"/>
      <c r="AU61" s="107"/>
      <c r="AW61" s="107" t="str">
        <f>IF(AND($C61="",$H61="",$J61="",$L61="",$N61="",$P61="",$R61=""),"B","NB")</f>
        <v>B</v>
      </c>
      <c r="AX61" s="241" t="str">
        <f>IF(OR($C61="",$H61="",$J61="",$L61="",$N61="",$R61="",$P61="",AND($V$11&lt;&gt;"",$V61=""),AND($X$11&lt;&gt;"",$X61=""),AND($Z$11&lt;&gt;"",$Z61=""),AND($AB$11&lt;&gt;"",$AB61=""),AND($AD$11&lt;&gt;"",$AD61=""),AND($AF$11&lt;&gt;"",$AF61=""),AND($AH$11&lt;&gt;"",$AH61=""),AND($AJ$11&lt;&gt;"",$AJ61=""),AND($AL$11&lt;&gt;"",$AL61=""),AND($AN$11&lt;&gt;"",$AN61="")),"N","Y")</f>
        <v>N</v>
      </c>
      <c r="AY61" s="142" t="b">
        <f>IF(AND($C61="",OR($H61&lt;&gt;"",$J61&lt;&gt;"",$L61&lt;&gt;"",$N61&lt;&gt;"",$R61&lt;&gt;"",$P61&lt;&gt;"",AND($V$11&lt;&gt;"",$V61&lt;&gt;""),AND($X$11&lt;&gt;"",$X61&lt;&gt;""),AND($Z$11&lt;&gt;"",$Z61&lt;&gt;""),AND($AB$11&lt;&gt;"",$AB61&lt;&gt;""),AND($AD$11&lt;&gt;"",$AD61&lt;&gt;""),AND($AF$11&lt;&gt;"",$AF61&lt;&gt;""),AND($AH$11&lt;&gt;"",$AH61&lt;&gt;""),AND($AJ$11&lt;&gt;"",$AJ61&lt;&gt;""),AND($AL$11&lt;&gt;"",$AL61&lt;&gt;""),AND($AN$11&lt;&gt;"",$AN61&lt;&gt;""))),TRUE,FALSE)</f>
        <v>0</v>
      </c>
      <c r="AZ61" s="144" t="b">
        <f>IF(AND($C61&lt;&gt;"",$H61=""),TRUE,FALSE)</f>
        <v>0</v>
      </c>
      <c r="BA61" s="144" t="b">
        <f>IF(AND($C61&lt;&gt;"",$J61=""),TRUE,FALSE)</f>
        <v>0</v>
      </c>
      <c r="BB61" s="144" t="b">
        <f>IF(AND($C61&lt;&gt;"",$L61=""),TRUE,FALSE)</f>
        <v>0</v>
      </c>
      <c r="BC61" s="144" t="b">
        <f>IF(AND($C61&lt;&gt;"",$N61=""),TRUE,FALSE)</f>
        <v>0</v>
      </c>
      <c r="BD61" s="142" t="b">
        <f>IF($BE61=TRUE,FALSE,IF(OR($P61&lt;$BD$5,$P61&gt;$BE$5),TRUE,FALSE))</f>
        <v>0</v>
      </c>
      <c r="BE61" s="144" t="b">
        <f>IF(AND($C61&lt;&gt;"",$P61=""),TRUE,FALSE)</f>
        <v>0</v>
      </c>
      <c r="BF61" s="144" t="b">
        <f>IF($BG61=TRUE,FALSE,IF(OR($R61&lt;$BF$5,$R61&gt;$BG$5),TRUE,FALSE))</f>
        <v>0</v>
      </c>
      <c r="BG61" s="144" t="b">
        <f>IF(AND($C61&lt;&gt;"",$R61=""),TRUE,FALSE)</f>
        <v>0</v>
      </c>
      <c r="BH61" s="160" t="b">
        <f>IF(BI61=TRUE,FALSE,IF(AND(V61&lt;&gt;"",V$11=""),TRUE,IF(AND(V61&lt;&gt;"",V$11&lt;&gt;"",$R61&lt;&gt;$AP61),TRUE,IF(OR(V61&lt;0,V61&gt;$R61),TRUE,FALSE))))</f>
        <v>0</v>
      </c>
      <c r="BI61" s="144" t="b">
        <f>IF(AND($C61&lt;&gt;"",V$11&lt;&gt;"",$V61=""),TRUE,FALSE)</f>
        <v>0</v>
      </c>
      <c r="BJ61" s="160" t="b">
        <f>IF(BK61=TRUE,FALSE,IF(AND(X61&lt;&gt;"",X$11=""),TRUE,IF(AND(X61&lt;&gt;"",X$11&lt;&gt;"",$R61&lt;&gt;$AP61),TRUE,IF(OR(X61&lt;0,X61&gt;$R61),TRUE,FALSE))))</f>
        <v>0</v>
      </c>
      <c r="BK61" s="144" t="b">
        <f>IF(AND($C61&lt;&gt;"",X$11&lt;&gt;"",$X61=""),TRUE,FALSE)</f>
        <v>0</v>
      </c>
      <c r="BL61" s="160" t="b">
        <f>IF(BM61=TRUE,FALSE,IF(AND(Z61&lt;&gt;"",Z$11=""),TRUE,IF(AND(Z61&lt;&gt;"",Z$11&lt;&gt;"",$R61&lt;&gt;$AP61),TRUE,IF(OR(Z61&lt;0,Z61&gt;$R61),TRUE,FALSE))))</f>
        <v>0</v>
      </c>
      <c r="BM61" s="144" t="b">
        <f>IF(AND($C61&lt;&gt;"",Z$11&lt;&gt;"",$Z61=""),TRUE,FALSE)</f>
        <v>0</v>
      </c>
      <c r="BN61" s="160" t="b">
        <f>IF(BO61=TRUE,FALSE,IF(AND(AB61&lt;&gt;"",AB$11=""),TRUE,IF(AND(AB61&lt;&gt;"",AB$11&lt;&gt;"",$R61&lt;&gt;$AP61),TRUE,IF(OR(AB61&lt;0,AB61&gt;$R61),TRUE,FALSE))))</f>
        <v>0</v>
      </c>
      <c r="BO61" s="144" t="b">
        <f>IF(AND($C61&lt;&gt;"",AB$11&lt;&gt;"",$AB61=""),TRUE,FALSE)</f>
        <v>0</v>
      </c>
      <c r="BP61" s="160" t="b">
        <f>IF(BQ61=TRUE,FALSE,IF(AND(AD61&lt;&gt;"",AD$11=""),TRUE,IF(AND(AD61&lt;&gt;"",AD$11&lt;&gt;"",$R61&lt;&gt;$AP61),TRUE,IF(OR(AD61&lt;0,AD61&gt;$R61),TRUE,FALSE))))</f>
        <v>0</v>
      </c>
      <c r="BQ61" s="144" t="b">
        <f>IF(AND($C61&lt;&gt;"",AD$11&lt;&gt;"",$AD61=""),TRUE,FALSE)</f>
        <v>0</v>
      </c>
      <c r="BR61" s="160" t="b">
        <f>IF(BS61=TRUE,FALSE,IF(AND(AF61&lt;&gt;"",AF$11=""),TRUE,IF(AND(AF61&lt;&gt;"",AF$11&lt;&gt;"",$R61&lt;&gt;$AP61),TRUE,IF(OR(AF61&lt;0,AF61&gt;$R61),TRUE,FALSE))))</f>
        <v>0</v>
      </c>
      <c r="BS61" s="144" t="b">
        <f>IF(AND($C61&lt;&gt;"",AF$11&lt;&gt;"",$AF61=""),TRUE,FALSE)</f>
        <v>0</v>
      </c>
      <c r="BT61" s="160" t="b">
        <f>IF(BU61=TRUE,FALSE,IF(AND(AH61&lt;&gt;"",AH$11=""),TRUE,IF(AND(AH61&lt;&gt;"",AH$11&lt;&gt;"",$R61&lt;&gt;$AP61),TRUE,IF(OR(AH61&lt;0,AH61&gt;$R61),TRUE,FALSE))))</f>
        <v>0</v>
      </c>
      <c r="BU61" s="144" t="b">
        <f>IF(AND($C61&lt;&gt;"",AH$11&lt;&gt;"",$AH61=""),TRUE,FALSE)</f>
        <v>0</v>
      </c>
      <c r="BV61" s="160" t="b">
        <f>IF(BW61=TRUE,FALSE,IF(AND(AJ61&lt;&gt;"",AJ$11=""),TRUE,IF(AND(AJ61&lt;&gt;"",AJ$11&lt;&gt;"",$R61&lt;&gt;$AP61),TRUE,IF(OR(AJ61&lt;0,AJ61&gt;$R61),TRUE,FALSE))))</f>
        <v>0</v>
      </c>
      <c r="BW61" s="144" t="b">
        <f>IF(AND($C61&lt;&gt;"",AJ$11&lt;&gt;"",$AJ61=""),TRUE,FALSE)</f>
        <v>0</v>
      </c>
      <c r="BX61" s="160" t="b">
        <f>IF(BY61=TRUE,FALSE,IF(AND(AL61&lt;&gt;"",AL$11=""),TRUE,IF(AND(AL61&lt;&gt;"",AL$11&lt;&gt;"",$R61&lt;&gt;$AP61),TRUE,IF(OR(AL61&lt;0,AL61&gt;$R61),TRUE,FALSE))))</f>
        <v>0</v>
      </c>
      <c r="BY61" s="144" t="b">
        <f>IF(AND($C61&lt;&gt;"",AL$11&lt;&gt;"",$AL61=""),TRUE,FALSE)</f>
        <v>0</v>
      </c>
      <c r="BZ61" s="160" t="b">
        <f>IF(CA61=TRUE,FALSE,IF(AND(AN61&lt;&gt;"",AN$11=""),TRUE,IF(AND(AN61&lt;&gt;"",AN$11&lt;&gt;"",$R61&lt;&gt;$AP61),TRUE,IF(OR(AN61&lt;0,AN61&gt;$R61),TRUE,FALSE))))</f>
        <v>0</v>
      </c>
      <c r="CA61" s="144" t="b">
        <f>IF(AND($C61&lt;&gt;"",AN$11&lt;&gt;"",$AN61=""),TRUE,FALSE)</f>
        <v>0</v>
      </c>
      <c r="CB61" s="133"/>
      <c r="CC61" s="133"/>
      <c r="CD61" s="133"/>
      <c r="CE61" s="133"/>
      <c r="CF61" s="133"/>
      <c r="CG61" s="133"/>
      <c r="CH61" s="133"/>
      <c r="CI61" s="133"/>
      <c r="CJ61" s="133"/>
      <c r="CK61" s="133"/>
      <c r="CL61" s="133"/>
      <c r="CM61" s="133"/>
      <c r="CN61" s="133"/>
      <c r="CO61" s="133"/>
      <c r="CP61" s="133"/>
      <c r="CQ61" s="133"/>
      <c r="CR61" s="133"/>
      <c r="CS61" s="133"/>
      <c r="CT61" s="133"/>
      <c r="CU61" s="133"/>
      <c r="CV61" s="133"/>
      <c r="CW61" s="134"/>
    </row>
    <row r="62" spans="1:101" ht="6.75" customHeight="1" thickBot="1" x14ac:dyDescent="0.25">
      <c r="A62" s="228"/>
      <c r="B62" s="228"/>
      <c r="C62" s="232"/>
      <c r="D62" s="267"/>
      <c r="I62" s="267"/>
      <c r="K62" s="228"/>
      <c r="M62" s="267"/>
      <c r="O62" s="267"/>
      <c r="Q62" s="267"/>
      <c r="S62" s="267"/>
      <c r="U62" s="267"/>
      <c r="V62" s="283"/>
      <c r="W62" s="267"/>
      <c r="X62" s="283"/>
      <c r="Y62" s="267"/>
      <c r="Z62" s="283"/>
      <c r="AA62" s="267"/>
      <c r="AB62" s="283"/>
      <c r="AC62" s="267"/>
      <c r="AD62" s="283"/>
      <c r="AE62" s="267"/>
      <c r="AF62" s="283"/>
      <c r="AG62" s="267"/>
      <c r="AH62" s="283"/>
      <c r="AI62" s="267"/>
      <c r="AJ62" s="283"/>
      <c r="AK62" s="267"/>
      <c r="AL62" s="283"/>
      <c r="AM62" s="267"/>
      <c r="AN62" s="283"/>
      <c r="AO62" s="267"/>
      <c r="AP62" s="267"/>
      <c r="AQ62" s="267"/>
      <c r="AR62" s="232"/>
      <c r="AY62" s="145"/>
      <c r="AZ62" s="146"/>
      <c r="BA62" s="146"/>
      <c r="BB62" s="146"/>
      <c r="BC62" s="146"/>
      <c r="BD62" s="145"/>
      <c r="BE62" s="146"/>
      <c r="BF62" s="146"/>
      <c r="BG62" s="146"/>
      <c r="BH62" s="145"/>
      <c r="BI62" s="146"/>
      <c r="BJ62" s="145"/>
      <c r="BK62" s="146"/>
      <c r="BL62" s="145"/>
      <c r="BM62" s="146"/>
      <c r="BN62" s="145"/>
      <c r="BO62" s="146"/>
      <c r="BP62" s="145"/>
      <c r="BQ62" s="146"/>
      <c r="BR62" s="145"/>
      <c r="BS62" s="146"/>
      <c r="BT62" s="145"/>
      <c r="BU62" s="146"/>
      <c r="BV62" s="145"/>
      <c r="BW62" s="146"/>
      <c r="BX62" s="145"/>
      <c r="BY62" s="146"/>
      <c r="BZ62" s="145"/>
      <c r="CA62" s="146"/>
    </row>
    <row r="63" spans="1:101" s="101" customFormat="1" ht="12.75" customHeight="1" x14ac:dyDescent="0.2">
      <c r="A63" s="227">
        <f>A61+1</f>
        <v>24</v>
      </c>
      <c r="B63" s="227"/>
      <c r="C63" s="231"/>
      <c r="D63" s="251" t="str">
        <f>IF((C63=""),"Enter Segment "&amp;TEXT(A63,0)&amp;" Name, then Enter Data in Columns "&amp;TEXT($H$2,0)&amp;" - "&amp;TEXT($AN$2,0)&amp;"       ","")</f>
        <v xml:space="preserve">Enter Segment 24 Name, then Enter Data in Columns h - an       </v>
      </c>
      <c r="E63" s="131" t="str">
        <f>IF($AW63="B","N/A",IF(AX63="N","No",IF(AX63="Y","Yes","")))</f>
        <v>N/A</v>
      </c>
      <c r="F63" s="130"/>
      <c r="G63" s="130"/>
      <c r="H63" s="285"/>
      <c r="I63" s="251" t="str">
        <f>IF($C63&lt;&gt;"","Enter Starting Point       ","")</f>
        <v/>
      </c>
      <c r="J63" s="285"/>
      <c r="K63" s="227"/>
      <c r="L63" s="88"/>
      <c r="M63" s="251" t="str">
        <f>IF($C63&lt;&gt;"","Select from Pull-Down List  ","")</f>
        <v/>
      </c>
      <c r="N63" s="88"/>
      <c r="O63" s="251" t="str">
        <f>IF($C63&lt;&gt;"","Select from Pull-Down List  ","")</f>
        <v/>
      </c>
      <c r="P63" s="131"/>
      <c r="Q63" s="251" t="str">
        <f>IF($C63&lt;&gt;"","Dir. Route-Mi?    ","")</f>
        <v/>
      </c>
      <c r="R63" s="131"/>
      <c r="S63" s="251" t="str">
        <f>IF($C63&lt;&gt;"","Trk-Mi?      ","")</f>
        <v/>
      </c>
      <c r="T63" s="131"/>
      <c r="U63" s="251" t="str">
        <f>IF($C63&lt;&gt;"","Trk-Mi?      ","")</f>
        <v/>
      </c>
      <c r="V63" s="284"/>
      <c r="W63" s="278" t="str">
        <f>IF(OR($R63="",V$11=""),"","0 - "&amp;TEXT($R63-$AP63,"0.0")&amp;" Trk-Mi?    ")</f>
        <v/>
      </c>
      <c r="X63" s="284"/>
      <c r="Y63" s="278" t="str">
        <f>IF(OR($R63="",X$11=""),"","0 - "&amp;TEXT($R63-$AP63,"0.0")&amp;" Trk-Mi?    ")</f>
        <v/>
      </c>
      <c r="Z63" s="284"/>
      <c r="AA63" s="278" t="str">
        <f>IF(OR($R63="",Z$11=""),"","0 - "&amp;TEXT($R63-$AP63,"0.0")&amp;" Trk-Mi?    ")</f>
        <v/>
      </c>
      <c r="AB63" s="284"/>
      <c r="AC63" s="278" t="str">
        <f>IF(OR($R63="",AB$11=""),"","0 - "&amp;TEXT($R63-$AP63,"0.0")&amp;" Trk-Mi?    ")</f>
        <v/>
      </c>
      <c r="AD63" s="284"/>
      <c r="AE63" s="278" t="str">
        <f>IF(OR($R63="",AD$11=""),"","0 - "&amp;TEXT($R63-$AP63,"0.0")&amp;" Trk-Mi?    ")</f>
        <v/>
      </c>
      <c r="AF63" s="284"/>
      <c r="AG63" s="278" t="str">
        <f>IF(OR($R63="",AF$11=""),"","0 - "&amp;TEXT($R63-$AP63,"0.0")&amp;" Trk-Mi?    ")</f>
        <v/>
      </c>
      <c r="AH63" s="284"/>
      <c r="AI63" s="278" t="str">
        <f>IF(OR($R63="",AH$11=""),"","0 - "&amp;TEXT($R63-$AP63,"0.0")&amp;" Trk-Mi?    ")</f>
        <v/>
      </c>
      <c r="AJ63" s="284"/>
      <c r="AK63" s="278" t="str">
        <f>IF(OR($R63="",AJ$11=""),"","0 - "&amp;TEXT($R63-$AP63,"0.0")&amp;" Trk-Mi?    ")</f>
        <v/>
      </c>
      <c r="AL63" s="284"/>
      <c r="AM63" s="278" t="str">
        <f>IF(OR($R63="",AL$11=""),"","0 - "&amp;TEXT($R63-$AP63,"0.0")&amp;" Trk-Mi?    ")</f>
        <v/>
      </c>
      <c r="AN63" s="284"/>
      <c r="AO63" s="278" t="str">
        <f>IF(OR($R63="",AN$11=""),"","0 - "&amp;TEXT($R63-$AP63,"0.0")&amp;" Trk-Mi?    ")</f>
        <v/>
      </c>
      <c r="AP63" s="282">
        <f>SUM(V63,X63,Z63,AB63,AD63,AF63,AH63,AJ63,AL63,AN63)</f>
        <v>0</v>
      </c>
      <c r="AQ63" s="278"/>
      <c r="AR63" s="234"/>
      <c r="AS63" s="107"/>
      <c r="AT63" s="107"/>
      <c r="AU63" s="107"/>
      <c r="AW63" s="107" t="str">
        <f>IF(AND($C63="",$H63="",$J63="",$L63="",$N63="",$P63="",$R63=""),"B","NB")</f>
        <v>B</v>
      </c>
      <c r="AX63" s="241" t="str">
        <f>IF(OR($C63="",$H63="",$J63="",$L63="",$N63="",$R63="",$P63="",AND($V$11&lt;&gt;"",$V63=""),AND($X$11&lt;&gt;"",$X63=""),AND($Z$11&lt;&gt;"",$Z63=""),AND($AB$11&lt;&gt;"",$AB63=""),AND($AD$11&lt;&gt;"",$AD63=""),AND($AF$11&lt;&gt;"",$AF63=""),AND($AH$11&lt;&gt;"",$AH63=""),AND($AJ$11&lt;&gt;"",$AJ63=""),AND($AL$11&lt;&gt;"",$AL63=""),AND($AN$11&lt;&gt;"",$AN63="")),"N","Y")</f>
        <v>N</v>
      </c>
      <c r="AY63" s="142" t="b">
        <f>IF(AND($C63="",OR($H63&lt;&gt;"",$J63&lt;&gt;"",$L63&lt;&gt;"",$N63&lt;&gt;"",$R63&lt;&gt;"",$P63&lt;&gt;"",AND($V$11&lt;&gt;"",$V63&lt;&gt;""),AND($X$11&lt;&gt;"",$X63&lt;&gt;""),AND($Z$11&lt;&gt;"",$Z63&lt;&gt;""),AND($AB$11&lt;&gt;"",$AB63&lt;&gt;""),AND($AD$11&lt;&gt;"",$AD63&lt;&gt;""),AND($AF$11&lt;&gt;"",$AF63&lt;&gt;""),AND($AH$11&lt;&gt;"",$AH63&lt;&gt;""),AND($AJ$11&lt;&gt;"",$AJ63&lt;&gt;""),AND($AL$11&lt;&gt;"",$AL63&lt;&gt;""),AND($AN$11&lt;&gt;"",$AN63&lt;&gt;""))),TRUE,FALSE)</f>
        <v>0</v>
      </c>
      <c r="AZ63" s="144" t="b">
        <f>IF(AND($C63&lt;&gt;"",$H63=""),TRUE,FALSE)</f>
        <v>0</v>
      </c>
      <c r="BA63" s="144" t="b">
        <f>IF(AND($C63&lt;&gt;"",$J63=""),TRUE,FALSE)</f>
        <v>0</v>
      </c>
      <c r="BB63" s="144" t="b">
        <f>IF(AND($C63&lt;&gt;"",$L63=""),TRUE,FALSE)</f>
        <v>0</v>
      </c>
      <c r="BC63" s="144" t="b">
        <f>IF(AND($C63&lt;&gt;"",$N63=""),TRUE,FALSE)</f>
        <v>0</v>
      </c>
      <c r="BD63" s="142" t="b">
        <f>IF($BE63=TRUE,FALSE,IF(OR($P63&lt;$BD$5,$P63&gt;$BE$5),TRUE,FALSE))</f>
        <v>0</v>
      </c>
      <c r="BE63" s="144" t="b">
        <f>IF(AND($C63&lt;&gt;"",$P63=""),TRUE,FALSE)</f>
        <v>0</v>
      </c>
      <c r="BF63" s="144" t="b">
        <f>IF($BG63=TRUE,FALSE,IF(OR($R63&lt;$BF$5,$R63&gt;$BG$5),TRUE,FALSE))</f>
        <v>0</v>
      </c>
      <c r="BG63" s="144" t="b">
        <f>IF(AND($C63&lt;&gt;"",$R63=""),TRUE,FALSE)</f>
        <v>0</v>
      </c>
      <c r="BH63" s="160" t="b">
        <f>IF(BI63=TRUE,FALSE,IF(AND(V63&lt;&gt;"",V$11=""),TRUE,IF(AND(V63&lt;&gt;"",V$11&lt;&gt;"",$R63&lt;&gt;$AP63),TRUE,IF(OR(V63&lt;0,V63&gt;$R63),TRUE,FALSE))))</f>
        <v>0</v>
      </c>
      <c r="BI63" s="144" t="b">
        <f>IF(AND($C63&lt;&gt;"",V$11&lt;&gt;"",$V63=""),TRUE,FALSE)</f>
        <v>0</v>
      </c>
      <c r="BJ63" s="160" t="b">
        <f>IF(BK63=TRUE,FALSE,IF(AND(X63&lt;&gt;"",X$11=""),TRUE,IF(AND(X63&lt;&gt;"",X$11&lt;&gt;"",$R63&lt;&gt;$AP63),TRUE,IF(OR(X63&lt;0,X63&gt;$R63),TRUE,FALSE))))</f>
        <v>0</v>
      </c>
      <c r="BK63" s="144" t="b">
        <f>IF(AND($C63&lt;&gt;"",X$11&lt;&gt;"",$X63=""),TRUE,FALSE)</f>
        <v>0</v>
      </c>
      <c r="BL63" s="160" t="b">
        <f>IF(BM63=TRUE,FALSE,IF(AND(Z63&lt;&gt;"",Z$11=""),TRUE,IF(AND(Z63&lt;&gt;"",Z$11&lt;&gt;"",$R63&lt;&gt;$AP63),TRUE,IF(OR(Z63&lt;0,Z63&gt;$R63),TRUE,FALSE))))</f>
        <v>0</v>
      </c>
      <c r="BM63" s="144" t="b">
        <f>IF(AND($C63&lt;&gt;"",Z$11&lt;&gt;"",$Z63=""),TRUE,FALSE)</f>
        <v>0</v>
      </c>
      <c r="BN63" s="160" t="b">
        <f>IF(BO63=TRUE,FALSE,IF(AND(AB63&lt;&gt;"",AB$11=""),TRUE,IF(AND(AB63&lt;&gt;"",AB$11&lt;&gt;"",$R63&lt;&gt;$AP63),TRUE,IF(OR(AB63&lt;0,AB63&gt;$R63),TRUE,FALSE))))</f>
        <v>0</v>
      </c>
      <c r="BO63" s="144" t="b">
        <f>IF(AND($C63&lt;&gt;"",AB$11&lt;&gt;"",$AB63=""),TRUE,FALSE)</f>
        <v>0</v>
      </c>
      <c r="BP63" s="160" t="b">
        <f>IF(BQ63=TRUE,FALSE,IF(AND(AD63&lt;&gt;"",AD$11=""),TRUE,IF(AND(AD63&lt;&gt;"",AD$11&lt;&gt;"",$R63&lt;&gt;$AP63),TRUE,IF(OR(AD63&lt;0,AD63&gt;$R63),TRUE,FALSE))))</f>
        <v>0</v>
      </c>
      <c r="BQ63" s="144" t="b">
        <f>IF(AND($C63&lt;&gt;"",AD$11&lt;&gt;"",$AD63=""),TRUE,FALSE)</f>
        <v>0</v>
      </c>
      <c r="BR63" s="160" t="b">
        <f>IF(BS63=TRUE,FALSE,IF(AND(AF63&lt;&gt;"",AF$11=""),TRUE,IF(AND(AF63&lt;&gt;"",AF$11&lt;&gt;"",$R63&lt;&gt;$AP63),TRUE,IF(OR(AF63&lt;0,AF63&gt;$R63),TRUE,FALSE))))</f>
        <v>0</v>
      </c>
      <c r="BS63" s="144" t="b">
        <f>IF(AND($C63&lt;&gt;"",AF$11&lt;&gt;"",$AF63=""),TRUE,FALSE)</f>
        <v>0</v>
      </c>
      <c r="BT63" s="160" t="b">
        <f>IF(BU63=TRUE,FALSE,IF(AND(AH63&lt;&gt;"",AH$11=""),TRUE,IF(AND(AH63&lt;&gt;"",AH$11&lt;&gt;"",$R63&lt;&gt;$AP63),TRUE,IF(OR(AH63&lt;0,AH63&gt;$R63),TRUE,FALSE))))</f>
        <v>0</v>
      </c>
      <c r="BU63" s="144" t="b">
        <f>IF(AND($C63&lt;&gt;"",AH$11&lt;&gt;"",$AH63=""),TRUE,FALSE)</f>
        <v>0</v>
      </c>
      <c r="BV63" s="160" t="b">
        <f>IF(BW63=TRUE,FALSE,IF(AND(AJ63&lt;&gt;"",AJ$11=""),TRUE,IF(AND(AJ63&lt;&gt;"",AJ$11&lt;&gt;"",$R63&lt;&gt;$AP63),TRUE,IF(OR(AJ63&lt;0,AJ63&gt;$R63),TRUE,FALSE))))</f>
        <v>0</v>
      </c>
      <c r="BW63" s="144" t="b">
        <f>IF(AND($C63&lt;&gt;"",AJ$11&lt;&gt;"",$AJ63=""),TRUE,FALSE)</f>
        <v>0</v>
      </c>
      <c r="BX63" s="160" t="b">
        <f>IF(BY63=TRUE,FALSE,IF(AND(AL63&lt;&gt;"",AL$11=""),TRUE,IF(AND(AL63&lt;&gt;"",AL$11&lt;&gt;"",$R63&lt;&gt;$AP63),TRUE,IF(OR(AL63&lt;0,AL63&gt;$R63),TRUE,FALSE))))</f>
        <v>0</v>
      </c>
      <c r="BY63" s="144" t="b">
        <f>IF(AND($C63&lt;&gt;"",AL$11&lt;&gt;"",$AL63=""),TRUE,FALSE)</f>
        <v>0</v>
      </c>
      <c r="BZ63" s="160" t="b">
        <f>IF(CA63=TRUE,FALSE,IF(AND(AN63&lt;&gt;"",AN$11=""),TRUE,IF(AND(AN63&lt;&gt;"",AN$11&lt;&gt;"",$R63&lt;&gt;$AP63),TRUE,IF(OR(AN63&lt;0,AN63&gt;$R63),TRUE,FALSE))))</f>
        <v>0</v>
      </c>
      <c r="CA63" s="144" t="b">
        <f>IF(AND($C63&lt;&gt;"",AN$11&lt;&gt;"",$AN63=""),TRUE,FALSE)</f>
        <v>0</v>
      </c>
      <c r="CB63" s="133"/>
      <c r="CC63" s="133"/>
      <c r="CD63" s="133"/>
      <c r="CE63" s="133"/>
      <c r="CF63" s="133"/>
      <c r="CG63" s="133"/>
      <c r="CH63" s="133"/>
      <c r="CI63" s="133"/>
      <c r="CJ63" s="133"/>
      <c r="CK63" s="133"/>
      <c r="CL63" s="133"/>
      <c r="CM63" s="133"/>
      <c r="CN63" s="133"/>
      <c r="CO63" s="133"/>
      <c r="CP63" s="133"/>
      <c r="CQ63" s="133"/>
      <c r="CR63" s="133"/>
      <c r="CS63" s="133"/>
      <c r="CT63" s="133"/>
      <c r="CU63" s="133"/>
      <c r="CV63" s="133"/>
      <c r="CW63" s="134"/>
    </row>
    <row r="64" spans="1:101" ht="6.75" customHeight="1" thickBot="1" x14ac:dyDescent="0.25">
      <c r="A64" s="228"/>
      <c r="B64" s="228"/>
      <c r="C64" s="232"/>
      <c r="D64" s="267"/>
      <c r="I64" s="267"/>
      <c r="K64" s="228"/>
      <c r="M64" s="267"/>
      <c r="O64" s="267"/>
      <c r="Q64" s="267"/>
      <c r="S64" s="267"/>
      <c r="U64" s="267"/>
      <c r="V64" s="283"/>
      <c r="W64" s="267"/>
      <c r="X64" s="283"/>
      <c r="Y64" s="267"/>
      <c r="Z64" s="283"/>
      <c r="AA64" s="267"/>
      <c r="AB64" s="283"/>
      <c r="AC64" s="267"/>
      <c r="AD64" s="283"/>
      <c r="AE64" s="267"/>
      <c r="AF64" s="283"/>
      <c r="AG64" s="267"/>
      <c r="AH64" s="283"/>
      <c r="AI64" s="267"/>
      <c r="AJ64" s="283"/>
      <c r="AK64" s="267"/>
      <c r="AL64" s="283"/>
      <c r="AM64" s="267"/>
      <c r="AN64" s="283"/>
      <c r="AO64" s="267"/>
      <c r="AP64" s="267"/>
      <c r="AQ64" s="267"/>
      <c r="AR64" s="232"/>
      <c r="AY64" s="145"/>
      <c r="AZ64" s="146"/>
      <c r="BA64" s="146"/>
      <c r="BB64" s="146"/>
      <c r="BC64" s="146"/>
      <c r="BD64" s="145"/>
      <c r="BE64" s="146"/>
      <c r="BF64" s="146"/>
      <c r="BG64" s="146"/>
      <c r="BH64" s="145"/>
      <c r="BI64" s="146"/>
      <c r="BJ64" s="145"/>
      <c r="BK64" s="146"/>
      <c r="BL64" s="145"/>
      <c r="BM64" s="146"/>
      <c r="BN64" s="145"/>
      <c r="BO64" s="146"/>
      <c r="BP64" s="145"/>
      <c r="BQ64" s="146"/>
      <c r="BR64" s="145"/>
      <c r="BS64" s="146"/>
      <c r="BT64" s="145"/>
      <c r="BU64" s="146"/>
      <c r="BV64" s="145"/>
      <c r="BW64" s="146"/>
      <c r="BX64" s="145"/>
      <c r="BY64" s="146"/>
      <c r="BZ64" s="145"/>
      <c r="CA64" s="146"/>
    </row>
    <row r="65" spans="1:101" s="101" customFormat="1" ht="12.75" customHeight="1" x14ac:dyDescent="0.2">
      <c r="A65" s="227">
        <f>A63+1</f>
        <v>25</v>
      </c>
      <c r="B65" s="227"/>
      <c r="C65" s="231"/>
      <c r="D65" s="251" t="str">
        <f>IF((C65=""),"Enter Segment "&amp;TEXT(A65,0)&amp;" Name, then Enter Data in Columns "&amp;TEXT($H$2,0)&amp;" - "&amp;TEXT($AN$2,0)&amp;"       ","")</f>
        <v xml:space="preserve">Enter Segment 25 Name, then Enter Data in Columns h - an       </v>
      </c>
      <c r="E65" s="131" t="str">
        <f>IF($AW65="B","N/A",IF(AX65="N","No",IF(AX65="Y","Yes","")))</f>
        <v>N/A</v>
      </c>
      <c r="F65" s="130"/>
      <c r="G65" s="130"/>
      <c r="H65" s="285"/>
      <c r="I65" s="251" t="str">
        <f>IF($C65&lt;&gt;"","Enter Starting Point       ","")</f>
        <v/>
      </c>
      <c r="J65" s="285"/>
      <c r="K65" s="227"/>
      <c r="L65" s="88"/>
      <c r="M65" s="251" t="str">
        <f>IF($C65&lt;&gt;"","Select from Pull-Down List  ","")</f>
        <v/>
      </c>
      <c r="N65" s="88"/>
      <c r="O65" s="251" t="str">
        <f>IF($C65&lt;&gt;"","Select from Pull-Down List  ","")</f>
        <v/>
      </c>
      <c r="P65" s="131"/>
      <c r="Q65" s="251" t="str">
        <f>IF($C65&lt;&gt;"","Dir. Route-Mi?    ","")</f>
        <v/>
      </c>
      <c r="R65" s="131"/>
      <c r="S65" s="251" t="str">
        <f>IF($C65&lt;&gt;"","Trk-Mi?      ","")</f>
        <v/>
      </c>
      <c r="T65" s="131"/>
      <c r="U65" s="251" t="str">
        <f>IF($C65&lt;&gt;"","Trk-Mi?      ","")</f>
        <v/>
      </c>
      <c r="V65" s="284"/>
      <c r="W65" s="278" t="str">
        <f>IF(OR($R65="",V$11=""),"","0 - "&amp;TEXT($R65-$AP65,"0.0")&amp;" Trk-Mi?    ")</f>
        <v/>
      </c>
      <c r="X65" s="284"/>
      <c r="Y65" s="278" t="str">
        <f>IF(OR($R65="",X$11=""),"","0 - "&amp;TEXT($R65-$AP65,"0.0")&amp;" Trk-Mi?    ")</f>
        <v/>
      </c>
      <c r="Z65" s="284"/>
      <c r="AA65" s="278" t="str">
        <f>IF(OR($R65="",Z$11=""),"","0 - "&amp;TEXT($R65-$AP65,"0.0")&amp;" Trk-Mi?    ")</f>
        <v/>
      </c>
      <c r="AB65" s="284"/>
      <c r="AC65" s="278" t="str">
        <f>IF(OR($R65="",AB$11=""),"","0 - "&amp;TEXT($R65-$AP65,"0.0")&amp;" Trk-Mi?    ")</f>
        <v/>
      </c>
      <c r="AD65" s="284"/>
      <c r="AE65" s="278" t="str">
        <f>IF(OR($R65="",AD$11=""),"","0 - "&amp;TEXT($R65-$AP65,"0.0")&amp;" Trk-Mi?    ")</f>
        <v/>
      </c>
      <c r="AF65" s="284"/>
      <c r="AG65" s="278" t="str">
        <f>IF(OR($R65="",AF$11=""),"","0 - "&amp;TEXT($R65-$AP65,"0.0")&amp;" Trk-Mi?    ")</f>
        <v/>
      </c>
      <c r="AH65" s="284"/>
      <c r="AI65" s="278" t="str">
        <f>IF(OR($R65="",AH$11=""),"","0 - "&amp;TEXT($R65-$AP65,"0.0")&amp;" Trk-Mi?    ")</f>
        <v/>
      </c>
      <c r="AJ65" s="284"/>
      <c r="AK65" s="278" t="str">
        <f>IF(OR($R65="",AJ$11=""),"","0 - "&amp;TEXT($R65-$AP65,"0.0")&amp;" Trk-Mi?    ")</f>
        <v/>
      </c>
      <c r="AL65" s="284"/>
      <c r="AM65" s="278" t="str">
        <f>IF(OR($R65="",AL$11=""),"","0 - "&amp;TEXT($R65-$AP65,"0.0")&amp;" Trk-Mi?    ")</f>
        <v/>
      </c>
      <c r="AN65" s="284"/>
      <c r="AO65" s="278" t="str">
        <f>IF(OR($R65="",AN$11=""),"","0 - "&amp;TEXT($R65-$AP65,"0.0")&amp;" Trk-Mi?    ")</f>
        <v/>
      </c>
      <c r="AP65" s="282">
        <f>SUM(V65,X65,Z65,AB65,AD65,AF65,AH65,AJ65,AL65,AN65)</f>
        <v>0</v>
      </c>
      <c r="AQ65" s="278"/>
      <c r="AR65" s="234"/>
      <c r="AS65" s="107"/>
      <c r="AT65" s="107"/>
      <c r="AU65" s="107"/>
      <c r="AW65" s="107" t="str">
        <f>IF(AND($C65="",$H65="",$J65="",$L65="",$N65="",$P65="",$R65=""),"B","NB")</f>
        <v>B</v>
      </c>
      <c r="AX65" s="241" t="str">
        <f>IF(OR($C65="",$H65="",$J65="",$L65="",$N65="",$R65="",$P65="",AND($V$11&lt;&gt;"",$V65=""),AND($X$11&lt;&gt;"",$X65=""),AND($Z$11&lt;&gt;"",$Z65=""),AND($AB$11&lt;&gt;"",$AB65=""),AND($AD$11&lt;&gt;"",$AD65=""),AND($AF$11&lt;&gt;"",$AF65=""),AND($AH$11&lt;&gt;"",$AH65=""),AND($AJ$11&lt;&gt;"",$AJ65=""),AND($AL$11&lt;&gt;"",$AL65=""),AND($AN$11&lt;&gt;"",$AN65="")),"N","Y")</f>
        <v>N</v>
      </c>
      <c r="AY65" s="142" t="b">
        <f>IF(AND($C65="",OR($H65&lt;&gt;"",$J65&lt;&gt;"",$L65&lt;&gt;"",$N65&lt;&gt;"",$R65&lt;&gt;"",$P65&lt;&gt;"",AND($V$11&lt;&gt;"",$V65&lt;&gt;""),AND($X$11&lt;&gt;"",$X65&lt;&gt;""),AND($Z$11&lt;&gt;"",$Z65&lt;&gt;""),AND($AB$11&lt;&gt;"",$AB65&lt;&gt;""),AND($AD$11&lt;&gt;"",$AD65&lt;&gt;""),AND($AF$11&lt;&gt;"",$AF65&lt;&gt;""),AND($AH$11&lt;&gt;"",$AH65&lt;&gt;""),AND($AJ$11&lt;&gt;"",$AJ65&lt;&gt;""),AND($AL$11&lt;&gt;"",$AL65&lt;&gt;""),AND($AN$11&lt;&gt;"",$AN65&lt;&gt;""))),TRUE,FALSE)</f>
        <v>0</v>
      </c>
      <c r="AZ65" s="144" t="b">
        <f>IF(AND($C65&lt;&gt;"",$H65=""),TRUE,FALSE)</f>
        <v>0</v>
      </c>
      <c r="BA65" s="144" t="b">
        <f>IF(AND($C65&lt;&gt;"",$J65=""),TRUE,FALSE)</f>
        <v>0</v>
      </c>
      <c r="BB65" s="144" t="b">
        <f>IF(AND($C65&lt;&gt;"",$L65=""),TRUE,FALSE)</f>
        <v>0</v>
      </c>
      <c r="BC65" s="144" t="b">
        <f>IF(AND($C65&lt;&gt;"",$N65=""),TRUE,FALSE)</f>
        <v>0</v>
      </c>
      <c r="BD65" s="142" t="b">
        <f>IF($BE65=TRUE,FALSE,IF(OR($P65&lt;$BD$5,$P65&gt;$BE$5),TRUE,FALSE))</f>
        <v>0</v>
      </c>
      <c r="BE65" s="144" t="b">
        <f>IF(AND($C65&lt;&gt;"",$P65=""),TRUE,FALSE)</f>
        <v>0</v>
      </c>
      <c r="BF65" s="144" t="b">
        <f>IF($BG65=TRUE,FALSE,IF(OR($R65&lt;$BF$5,$R65&gt;$BG$5),TRUE,FALSE))</f>
        <v>0</v>
      </c>
      <c r="BG65" s="144" t="b">
        <f>IF(AND($C65&lt;&gt;"",$R65=""),TRUE,FALSE)</f>
        <v>0</v>
      </c>
      <c r="BH65" s="160" t="b">
        <f>IF(BI65=TRUE,FALSE,IF(AND(V65&lt;&gt;"",V$11=""),TRUE,IF(AND(V65&lt;&gt;"",V$11&lt;&gt;"",$R65&lt;&gt;$AP65),TRUE,IF(OR(V65&lt;0,V65&gt;$R65),TRUE,FALSE))))</f>
        <v>0</v>
      </c>
      <c r="BI65" s="144" t="b">
        <f>IF(AND($C65&lt;&gt;"",V$11&lt;&gt;"",$V65=""),TRUE,FALSE)</f>
        <v>0</v>
      </c>
      <c r="BJ65" s="160" t="b">
        <f>IF(BK65=TRUE,FALSE,IF(AND(X65&lt;&gt;"",X$11=""),TRUE,IF(AND(X65&lt;&gt;"",X$11&lt;&gt;"",$R65&lt;&gt;$AP65),TRUE,IF(OR(X65&lt;0,X65&gt;$R65),TRUE,FALSE))))</f>
        <v>0</v>
      </c>
      <c r="BK65" s="144" t="b">
        <f>IF(AND($C65&lt;&gt;"",X$11&lt;&gt;"",$X65=""),TRUE,FALSE)</f>
        <v>0</v>
      </c>
      <c r="BL65" s="160" t="b">
        <f>IF(BM65=TRUE,FALSE,IF(AND(Z65&lt;&gt;"",Z$11=""),TRUE,IF(AND(Z65&lt;&gt;"",Z$11&lt;&gt;"",$R65&lt;&gt;$AP65),TRUE,IF(OR(Z65&lt;0,Z65&gt;$R65),TRUE,FALSE))))</f>
        <v>0</v>
      </c>
      <c r="BM65" s="144" t="b">
        <f>IF(AND($C65&lt;&gt;"",Z$11&lt;&gt;"",$Z65=""),TRUE,FALSE)</f>
        <v>0</v>
      </c>
      <c r="BN65" s="160" t="b">
        <f>IF(BO65=TRUE,FALSE,IF(AND(AB65&lt;&gt;"",AB$11=""),TRUE,IF(AND(AB65&lt;&gt;"",AB$11&lt;&gt;"",$R65&lt;&gt;$AP65),TRUE,IF(OR(AB65&lt;0,AB65&gt;$R65),TRUE,FALSE))))</f>
        <v>0</v>
      </c>
      <c r="BO65" s="144" t="b">
        <f>IF(AND($C65&lt;&gt;"",AB$11&lt;&gt;"",$AB65=""),TRUE,FALSE)</f>
        <v>0</v>
      </c>
      <c r="BP65" s="160" t="b">
        <f>IF(BQ65=TRUE,FALSE,IF(AND(AD65&lt;&gt;"",AD$11=""),TRUE,IF(AND(AD65&lt;&gt;"",AD$11&lt;&gt;"",$R65&lt;&gt;$AP65),TRUE,IF(OR(AD65&lt;0,AD65&gt;$R65),TRUE,FALSE))))</f>
        <v>0</v>
      </c>
      <c r="BQ65" s="144" t="b">
        <f>IF(AND($C65&lt;&gt;"",AD$11&lt;&gt;"",$AD65=""),TRUE,FALSE)</f>
        <v>0</v>
      </c>
      <c r="BR65" s="160" t="b">
        <f>IF(BS65=TRUE,FALSE,IF(AND(AF65&lt;&gt;"",AF$11=""),TRUE,IF(AND(AF65&lt;&gt;"",AF$11&lt;&gt;"",$R65&lt;&gt;$AP65),TRUE,IF(OR(AF65&lt;0,AF65&gt;$R65),TRUE,FALSE))))</f>
        <v>0</v>
      </c>
      <c r="BS65" s="144" t="b">
        <f>IF(AND($C65&lt;&gt;"",AF$11&lt;&gt;"",$AF65=""),TRUE,FALSE)</f>
        <v>0</v>
      </c>
      <c r="BT65" s="160" t="b">
        <f>IF(BU65=TRUE,FALSE,IF(AND(AH65&lt;&gt;"",AH$11=""),TRUE,IF(AND(AH65&lt;&gt;"",AH$11&lt;&gt;"",$R65&lt;&gt;$AP65),TRUE,IF(OR(AH65&lt;0,AH65&gt;$R65),TRUE,FALSE))))</f>
        <v>0</v>
      </c>
      <c r="BU65" s="144" t="b">
        <f>IF(AND($C65&lt;&gt;"",AH$11&lt;&gt;"",$AH65=""),TRUE,FALSE)</f>
        <v>0</v>
      </c>
      <c r="BV65" s="160" t="b">
        <f>IF(BW65=TRUE,FALSE,IF(AND(AJ65&lt;&gt;"",AJ$11=""),TRUE,IF(AND(AJ65&lt;&gt;"",AJ$11&lt;&gt;"",$R65&lt;&gt;$AP65),TRUE,IF(OR(AJ65&lt;0,AJ65&gt;$R65),TRUE,FALSE))))</f>
        <v>0</v>
      </c>
      <c r="BW65" s="144" t="b">
        <f>IF(AND($C65&lt;&gt;"",AJ$11&lt;&gt;"",$AJ65=""),TRUE,FALSE)</f>
        <v>0</v>
      </c>
      <c r="BX65" s="160" t="b">
        <f>IF(BY65=TRUE,FALSE,IF(AND(AL65&lt;&gt;"",AL$11=""),TRUE,IF(AND(AL65&lt;&gt;"",AL$11&lt;&gt;"",$R65&lt;&gt;$AP65),TRUE,IF(OR(AL65&lt;0,AL65&gt;$R65),TRUE,FALSE))))</f>
        <v>0</v>
      </c>
      <c r="BY65" s="144" t="b">
        <f>IF(AND($C65&lt;&gt;"",AL$11&lt;&gt;"",$AL65=""),TRUE,FALSE)</f>
        <v>0</v>
      </c>
      <c r="BZ65" s="160" t="b">
        <f>IF(CA65=TRUE,FALSE,IF(AND(AN65&lt;&gt;"",AN$11=""),TRUE,IF(AND(AN65&lt;&gt;"",AN$11&lt;&gt;"",$R65&lt;&gt;$AP65),TRUE,IF(OR(AN65&lt;0,AN65&gt;$R65),TRUE,FALSE))))</f>
        <v>0</v>
      </c>
      <c r="CA65" s="144" t="b">
        <f>IF(AND($C65&lt;&gt;"",AN$11&lt;&gt;"",$AN65=""),TRUE,FALSE)</f>
        <v>0</v>
      </c>
      <c r="CB65" s="133"/>
      <c r="CC65" s="133"/>
      <c r="CD65" s="133"/>
      <c r="CE65" s="133"/>
      <c r="CF65" s="133"/>
      <c r="CG65" s="133"/>
      <c r="CH65" s="133"/>
      <c r="CI65" s="133"/>
      <c r="CJ65" s="133"/>
      <c r="CK65" s="133"/>
      <c r="CL65" s="133"/>
      <c r="CM65" s="133"/>
      <c r="CN65" s="133"/>
      <c r="CO65" s="133"/>
      <c r="CP65" s="133"/>
      <c r="CQ65" s="133"/>
      <c r="CR65" s="133"/>
      <c r="CS65" s="133"/>
      <c r="CT65" s="133"/>
      <c r="CU65" s="133"/>
      <c r="CV65" s="133"/>
      <c r="CW65" s="134"/>
    </row>
    <row r="66" spans="1:101" ht="6.75" customHeight="1" thickBot="1" x14ac:dyDescent="0.25">
      <c r="A66" s="228"/>
      <c r="B66" s="228"/>
      <c r="C66" s="232"/>
      <c r="D66" s="267"/>
      <c r="I66" s="267"/>
      <c r="K66" s="228"/>
      <c r="M66" s="267"/>
      <c r="O66" s="267"/>
      <c r="Q66" s="267"/>
      <c r="S66" s="267"/>
      <c r="U66" s="267"/>
      <c r="V66" s="283"/>
      <c r="W66" s="267"/>
      <c r="X66" s="283"/>
      <c r="Y66" s="267"/>
      <c r="Z66" s="283"/>
      <c r="AA66" s="267"/>
      <c r="AB66" s="283"/>
      <c r="AC66" s="267"/>
      <c r="AD66" s="283"/>
      <c r="AE66" s="267"/>
      <c r="AF66" s="283"/>
      <c r="AG66" s="267"/>
      <c r="AH66" s="283"/>
      <c r="AI66" s="267"/>
      <c r="AJ66" s="283"/>
      <c r="AK66" s="267"/>
      <c r="AL66" s="283"/>
      <c r="AM66" s="267"/>
      <c r="AN66" s="283"/>
      <c r="AO66" s="267"/>
      <c r="AP66" s="267"/>
      <c r="AQ66" s="267"/>
      <c r="AR66" s="232"/>
      <c r="AY66" s="145"/>
      <c r="AZ66" s="146"/>
      <c r="BA66" s="146"/>
      <c r="BB66" s="146"/>
      <c r="BC66" s="146"/>
      <c r="BD66" s="145"/>
      <c r="BE66" s="146"/>
      <c r="BF66" s="146"/>
      <c r="BG66" s="146"/>
      <c r="BH66" s="145"/>
      <c r="BI66" s="146"/>
      <c r="BJ66" s="145"/>
      <c r="BK66" s="146"/>
      <c r="BL66" s="145"/>
      <c r="BM66" s="146"/>
      <c r="BN66" s="145"/>
      <c r="BO66" s="146"/>
      <c r="BP66" s="145"/>
      <c r="BQ66" s="146"/>
      <c r="BR66" s="145"/>
      <c r="BS66" s="146"/>
      <c r="BT66" s="145"/>
      <c r="BU66" s="146"/>
      <c r="BV66" s="145"/>
      <c r="BW66" s="146"/>
      <c r="BX66" s="145"/>
      <c r="BY66" s="146"/>
      <c r="BZ66" s="145"/>
      <c r="CA66" s="146"/>
    </row>
    <row r="67" spans="1:101" s="101" customFormat="1" ht="12.75" customHeight="1" x14ac:dyDescent="0.2">
      <c r="A67" s="227">
        <f>A65+1</f>
        <v>26</v>
      </c>
      <c r="B67" s="227"/>
      <c r="C67" s="231"/>
      <c r="D67" s="251" t="str">
        <f>IF((C67=""),"Enter Segment "&amp;TEXT(A67,0)&amp;" Name, then Enter Data in Columns "&amp;TEXT($H$2,0)&amp;" - "&amp;TEXT($AN$2,0)&amp;"       ","")</f>
        <v xml:space="preserve">Enter Segment 26 Name, then Enter Data in Columns h - an       </v>
      </c>
      <c r="E67" s="131" t="str">
        <f>IF($AW67="B","N/A",IF(AX67="N","No",IF(AX67="Y","Yes","")))</f>
        <v>N/A</v>
      </c>
      <c r="F67" s="130"/>
      <c r="G67" s="130"/>
      <c r="H67" s="285"/>
      <c r="I67" s="251" t="str">
        <f>IF($C67&lt;&gt;"","Enter Starting Point       ","")</f>
        <v/>
      </c>
      <c r="J67" s="285"/>
      <c r="K67" s="227"/>
      <c r="L67" s="88"/>
      <c r="M67" s="251" t="str">
        <f>IF($C67&lt;&gt;"","Select from Pull-Down List  ","")</f>
        <v/>
      </c>
      <c r="N67" s="88"/>
      <c r="O67" s="251" t="str">
        <f>IF($C67&lt;&gt;"","Select from Pull-Down List  ","")</f>
        <v/>
      </c>
      <c r="P67" s="131"/>
      <c r="Q67" s="251" t="str">
        <f>IF($C67&lt;&gt;"","Dir. Route-Mi?    ","")</f>
        <v/>
      </c>
      <c r="R67" s="131"/>
      <c r="S67" s="251" t="str">
        <f>IF($C67&lt;&gt;"","Trk-Mi?      ","")</f>
        <v/>
      </c>
      <c r="T67" s="131"/>
      <c r="U67" s="251" t="str">
        <f>IF($C67&lt;&gt;"","Trk-Mi?      ","")</f>
        <v/>
      </c>
      <c r="V67" s="284"/>
      <c r="W67" s="278" t="str">
        <f>IF(OR($R67="",V$11=""),"","0 - "&amp;TEXT($R67-$AP67,"0.0")&amp;" Trk-Mi?    ")</f>
        <v/>
      </c>
      <c r="X67" s="284"/>
      <c r="Y67" s="278" t="str">
        <f>IF(OR($R67="",X$11=""),"","0 - "&amp;TEXT($R67-$AP67,"0.0")&amp;" Trk-Mi?    ")</f>
        <v/>
      </c>
      <c r="Z67" s="284"/>
      <c r="AA67" s="278" t="str">
        <f>IF(OR($R67="",Z$11=""),"","0 - "&amp;TEXT($R67-$AP67,"0.0")&amp;" Trk-Mi?    ")</f>
        <v/>
      </c>
      <c r="AB67" s="284"/>
      <c r="AC67" s="278" t="str">
        <f>IF(OR($R67="",AB$11=""),"","0 - "&amp;TEXT($R67-$AP67,"0.0")&amp;" Trk-Mi?    ")</f>
        <v/>
      </c>
      <c r="AD67" s="284"/>
      <c r="AE67" s="278" t="str">
        <f>IF(OR($R67="",AD$11=""),"","0 - "&amp;TEXT($R67-$AP67,"0.0")&amp;" Trk-Mi?    ")</f>
        <v/>
      </c>
      <c r="AF67" s="284"/>
      <c r="AG67" s="278" t="str">
        <f>IF(OR($R67="",AF$11=""),"","0 - "&amp;TEXT($R67-$AP67,"0.0")&amp;" Trk-Mi?    ")</f>
        <v/>
      </c>
      <c r="AH67" s="284"/>
      <c r="AI67" s="278" t="str">
        <f>IF(OR($R67="",AH$11=""),"","0 - "&amp;TEXT($R67-$AP67,"0.0")&amp;" Trk-Mi?    ")</f>
        <v/>
      </c>
      <c r="AJ67" s="284"/>
      <c r="AK67" s="278" t="str">
        <f>IF(OR($R67="",AJ$11=""),"","0 - "&amp;TEXT($R67-$AP67,"0.0")&amp;" Trk-Mi?    ")</f>
        <v/>
      </c>
      <c r="AL67" s="284"/>
      <c r="AM67" s="278" t="str">
        <f>IF(OR($R67="",AL$11=""),"","0 - "&amp;TEXT($R67-$AP67,"0.0")&amp;" Trk-Mi?    ")</f>
        <v/>
      </c>
      <c r="AN67" s="284"/>
      <c r="AO67" s="278" t="str">
        <f>IF(OR($R67="",AN$11=""),"","0 - "&amp;TEXT($R67-$AP67,"0.0")&amp;" Trk-Mi?    ")</f>
        <v/>
      </c>
      <c r="AP67" s="282">
        <f>SUM(V67,X67,Z67,AB67,AD67,AF67,AH67,AJ67,AL67,AN67)</f>
        <v>0</v>
      </c>
      <c r="AQ67" s="278"/>
      <c r="AR67" s="234"/>
      <c r="AS67" s="107"/>
      <c r="AT67" s="107"/>
      <c r="AU67" s="107"/>
      <c r="AW67" s="107" t="str">
        <f>IF(AND($C67="",$H67="",$J67="",$L67="",$N67="",$P67="",$R67=""),"B","NB")</f>
        <v>B</v>
      </c>
      <c r="AX67" s="241" t="str">
        <f>IF(OR($C67="",$H67="",$J67="",$L67="",$N67="",$R67="",$P67="",AND($V$11&lt;&gt;"",$V67=""),AND($X$11&lt;&gt;"",$X67=""),AND($Z$11&lt;&gt;"",$Z67=""),AND($AB$11&lt;&gt;"",$AB67=""),AND($AD$11&lt;&gt;"",$AD67=""),AND($AF$11&lt;&gt;"",$AF67=""),AND($AH$11&lt;&gt;"",$AH67=""),AND($AJ$11&lt;&gt;"",$AJ67=""),AND($AL$11&lt;&gt;"",$AL67=""),AND($AN$11&lt;&gt;"",$AN67="")),"N","Y")</f>
        <v>N</v>
      </c>
      <c r="AY67" s="142" t="b">
        <f>IF(AND($C67="",OR($H67&lt;&gt;"",$J67&lt;&gt;"",$L67&lt;&gt;"",$N67&lt;&gt;"",$R67&lt;&gt;"",$P67&lt;&gt;"",AND($V$11&lt;&gt;"",$V67&lt;&gt;""),AND($X$11&lt;&gt;"",$X67&lt;&gt;""),AND($Z$11&lt;&gt;"",$Z67&lt;&gt;""),AND($AB$11&lt;&gt;"",$AB67&lt;&gt;""),AND($AD$11&lt;&gt;"",$AD67&lt;&gt;""),AND($AF$11&lt;&gt;"",$AF67&lt;&gt;""),AND($AH$11&lt;&gt;"",$AH67&lt;&gt;""),AND($AJ$11&lt;&gt;"",$AJ67&lt;&gt;""),AND($AL$11&lt;&gt;"",$AL67&lt;&gt;""),AND($AN$11&lt;&gt;"",$AN67&lt;&gt;""))),TRUE,FALSE)</f>
        <v>0</v>
      </c>
      <c r="AZ67" s="144" t="b">
        <f>IF(AND($C67&lt;&gt;"",$H67=""),TRUE,FALSE)</f>
        <v>0</v>
      </c>
      <c r="BA67" s="144" t="b">
        <f>IF(AND($C67&lt;&gt;"",$J67=""),TRUE,FALSE)</f>
        <v>0</v>
      </c>
      <c r="BB67" s="144" t="b">
        <f>IF(AND($C67&lt;&gt;"",$L67=""),TRUE,FALSE)</f>
        <v>0</v>
      </c>
      <c r="BC67" s="144" t="b">
        <f>IF(AND($C67&lt;&gt;"",$N67=""),TRUE,FALSE)</f>
        <v>0</v>
      </c>
      <c r="BD67" s="142" t="b">
        <f>IF($BE67=TRUE,FALSE,IF(OR($P67&lt;$BD$5,$P67&gt;$BE$5),TRUE,FALSE))</f>
        <v>0</v>
      </c>
      <c r="BE67" s="144" t="b">
        <f>IF(AND($C67&lt;&gt;"",$P67=""),TRUE,FALSE)</f>
        <v>0</v>
      </c>
      <c r="BF67" s="144" t="b">
        <f>IF($BG67=TRUE,FALSE,IF(OR($R67&lt;$BF$5,$R67&gt;$BG$5),TRUE,FALSE))</f>
        <v>0</v>
      </c>
      <c r="BG67" s="144" t="b">
        <f>IF(AND($C67&lt;&gt;"",$R67=""),TRUE,FALSE)</f>
        <v>0</v>
      </c>
      <c r="BH67" s="160" t="b">
        <f>IF(BI67=TRUE,FALSE,IF(AND(V67&lt;&gt;"",V$11=""),TRUE,IF(AND(V67&lt;&gt;"",V$11&lt;&gt;"",$R67&lt;&gt;$AP67),TRUE,IF(OR(V67&lt;0,V67&gt;$R67),TRUE,FALSE))))</f>
        <v>0</v>
      </c>
      <c r="BI67" s="144" t="b">
        <f>IF(AND($C67&lt;&gt;"",V$11&lt;&gt;"",$V67=""),TRUE,FALSE)</f>
        <v>0</v>
      </c>
      <c r="BJ67" s="160" t="b">
        <f>IF(BK67=TRUE,FALSE,IF(AND(X67&lt;&gt;"",X$11=""),TRUE,IF(AND(X67&lt;&gt;"",X$11&lt;&gt;"",$R67&lt;&gt;$AP67),TRUE,IF(OR(X67&lt;0,X67&gt;$R67),TRUE,FALSE))))</f>
        <v>0</v>
      </c>
      <c r="BK67" s="144" t="b">
        <f>IF(AND($C67&lt;&gt;"",X$11&lt;&gt;"",$X67=""),TRUE,FALSE)</f>
        <v>0</v>
      </c>
      <c r="BL67" s="160" t="b">
        <f>IF(BM67=TRUE,FALSE,IF(AND(Z67&lt;&gt;"",Z$11=""),TRUE,IF(AND(Z67&lt;&gt;"",Z$11&lt;&gt;"",$R67&lt;&gt;$AP67),TRUE,IF(OR(Z67&lt;0,Z67&gt;$R67),TRUE,FALSE))))</f>
        <v>0</v>
      </c>
      <c r="BM67" s="144" t="b">
        <f>IF(AND($C67&lt;&gt;"",Z$11&lt;&gt;"",$Z67=""),TRUE,FALSE)</f>
        <v>0</v>
      </c>
      <c r="BN67" s="160" t="b">
        <f>IF(BO67=TRUE,FALSE,IF(AND(AB67&lt;&gt;"",AB$11=""),TRUE,IF(AND(AB67&lt;&gt;"",AB$11&lt;&gt;"",$R67&lt;&gt;$AP67),TRUE,IF(OR(AB67&lt;0,AB67&gt;$R67),TRUE,FALSE))))</f>
        <v>0</v>
      </c>
      <c r="BO67" s="144" t="b">
        <f>IF(AND($C67&lt;&gt;"",AB$11&lt;&gt;"",$AB67=""),TRUE,FALSE)</f>
        <v>0</v>
      </c>
      <c r="BP67" s="160" t="b">
        <f>IF(BQ67=TRUE,FALSE,IF(AND(AD67&lt;&gt;"",AD$11=""),TRUE,IF(AND(AD67&lt;&gt;"",AD$11&lt;&gt;"",$R67&lt;&gt;$AP67),TRUE,IF(OR(AD67&lt;0,AD67&gt;$R67),TRUE,FALSE))))</f>
        <v>0</v>
      </c>
      <c r="BQ67" s="144" t="b">
        <f>IF(AND($C67&lt;&gt;"",AD$11&lt;&gt;"",$AD67=""),TRUE,FALSE)</f>
        <v>0</v>
      </c>
      <c r="BR67" s="160" t="b">
        <f>IF(BS67=TRUE,FALSE,IF(AND(AF67&lt;&gt;"",AF$11=""),TRUE,IF(AND(AF67&lt;&gt;"",AF$11&lt;&gt;"",$R67&lt;&gt;$AP67),TRUE,IF(OR(AF67&lt;0,AF67&gt;$R67),TRUE,FALSE))))</f>
        <v>0</v>
      </c>
      <c r="BS67" s="144" t="b">
        <f>IF(AND($C67&lt;&gt;"",AF$11&lt;&gt;"",$AF67=""),TRUE,FALSE)</f>
        <v>0</v>
      </c>
      <c r="BT67" s="160" t="b">
        <f>IF(BU67=TRUE,FALSE,IF(AND(AH67&lt;&gt;"",AH$11=""),TRUE,IF(AND(AH67&lt;&gt;"",AH$11&lt;&gt;"",$R67&lt;&gt;$AP67),TRUE,IF(OR(AH67&lt;0,AH67&gt;$R67),TRUE,FALSE))))</f>
        <v>0</v>
      </c>
      <c r="BU67" s="144" t="b">
        <f>IF(AND($C67&lt;&gt;"",AH$11&lt;&gt;"",$AH67=""),TRUE,FALSE)</f>
        <v>0</v>
      </c>
      <c r="BV67" s="160" t="b">
        <f>IF(BW67=TRUE,FALSE,IF(AND(AJ67&lt;&gt;"",AJ$11=""),TRUE,IF(AND(AJ67&lt;&gt;"",AJ$11&lt;&gt;"",$R67&lt;&gt;$AP67),TRUE,IF(OR(AJ67&lt;0,AJ67&gt;$R67),TRUE,FALSE))))</f>
        <v>0</v>
      </c>
      <c r="BW67" s="144" t="b">
        <f>IF(AND($C67&lt;&gt;"",AJ$11&lt;&gt;"",$AJ67=""),TRUE,FALSE)</f>
        <v>0</v>
      </c>
      <c r="BX67" s="160" t="b">
        <f>IF(BY67=TRUE,FALSE,IF(AND(AL67&lt;&gt;"",AL$11=""),TRUE,IF(AND(AL67&lt;&gt;"",AL$11&lt;&gt;"",$R67&lt;&gt;$AP67),TRUE,IF(OR(AL67&lt;0,AL67&gt;$R67),TRUE,FALSE))))</f>
        <v>0</v>
      </c>
      <c r="BY67" s="144" t="b">
        <f>IF(AND($C67&lt;&gt;"",AL$11&lt;&gt;"",$AL67=""),TRUE,FALSE)</f>
        <v>0</v>
      </c>
      <c r="BZ67" s="160" t="b">
        <f>IF(CA67=TRUE,FALSE,IF(AND(AN67&lt;&gt;"",AN$11=""),TRUE,IF(AND(AN67&lt;&gt;"",AN$11&lt;&gt;"",$R67&lt;&gt;$AP67),TRUE,IF(OR(AN67&lt;0,AN67&gt;$R67),TRUE,FALSE))))</f>
        <v>0</v>
      </c>
      <c r="CA67" s="144" t="b">
        <f>IF(AND($C67&lt;&gt;"",AN$11&lt;&gt;"",$AN67=""),TRUE,FALSE)</f>
        <v>0</v>
      </c>
      <c r="CB67" s="133"/>
      <c r="CC67" s="133"/>
      <c r="CD67" s="133"/>
      <c r="CE67" s="133"/>
      <c r="CF67" s="133"/>
      <c r="CG67" s="133"/>
      <c r="CH67" s="133"/>
      <c r="CI67" s="133"/>
      <c r="CJ67" s="133"/>
      <c r="CK67" s="133"/>
      <c r="CL67" s="133"/>
      <c r="CM67" s="133"/>
      <c r="CN67" s="133"/>
      <c r="CO67" s="133"/>
      <c r="CP67" s="133"/>
      <c r="CQ67" s="133"/>
      <c r="CR67" s="133"/>
      <c r="CS67" s="133"/>
      <c r="CT67" s="133"/>
      <c r="CU67" s="133"/>
      <c r="CV67" s="133"/>
      <c r="CW67" s="134"/>
    </row>
    <row r="68" spans="1:101" ht="6.75" customHeight="1" thickBot="1" x14ac:dyDescent="0.25">
      <c r="A68" s="228"/>
      <c r="B68" s="228"/>
      <c r="C68" s="232"/>
      <c r="D68" s="267"/>
      <c r="I68" s="267"/>
      <c r="K68" s="228"/>
      <c r="M68" s="267"/>
      <c r="O68" s="267"/>
      <c r="Q68" s="267"/>
      <c r="S68" s="267"/>
      <c r="U68" s="267"/>
      <c r="V68" s="283"/>
      <c r="W68" s="267"/>
      <c r="X68" s="283"/>
      <c r="Y68" s="267"/>
      <c r="Z68" s="283"/>
      <c r="AA68" s="267"/>
      <c r="AB68" s="283"/>
      <c r="AC68" s="267"/>
      <c r="AD68" s="283"/>
      <c r="AE68" s="267"/>
      <c r="AF68" s="283"/>
      <c r="AG68" s="267"/>
      <c r="AH68" s="283"/>
      <c r="AI68" s="267"/>
      <c r="AJ68" s="283"/>
      <c r="AK68" s="267"/>
      <c r="AL68" s="283"/>
      <c r="AM68" s="267"/>
      <c r="AN68" s="283"/>
      <c r="AO68" s="267"/>
      <c r="AP68" s="267"/>
      <c r="AQ68" s="267"/>
      <c r="AR68" s="232"/>
      <c r="AY68" s="145"/>
      <c r="AZ68" s="146"/>
      <c r="BA68" s="146"/>
      <c r="BB68" s="146"/>
      <c r="BC68" s="146"/>
      <c r="BD68" s="145"/>
      <c r="BE68" s="146"/>
      <c r="BF68" s="146"/>
      <c r="BG68" s="146"/>
      <c r="BH68" s="145"/>
      <c r="BI68" s="146"/>
      <c r="BJ68" s="145"/>
      <c r="BK68" s="146"/>
      <c r="BL68" s="145"/>
      <c r="BM68" s="146"/>
      <c r="BN68" s="145"/>
      <c r="BO68" s="146"/>
      <c r="BP68" s="145"/>
      <c r="BQ68" s="146"/>
      <c r="BR68" s="145"/>
      <c r="BS68" s="146"/>
      <c r="BT68" s="145"/>
      <c r="BU68" s="146"/>
      <c r="BV68" s="145"/>
      <c r="BW68" s="146"/>
      <c r="BX68" s="145"/>
      <c r="BY68" s="146"/>
      <c r="BZ68" s="145"/>
      <c r="CA68" s="146"/>
    </row>
    <row r="69" spans="1:101" s="101" customFormat="1" ht="12.75" customHeight="1" x14ac:dyDescent="0.2">
      <c r="A69" s="227">
        <f>A67+1</f>
        <v>27</v>
      </c>
      <c r="B69" s="227"/>
      <c r="C69" s="231"/>
      <c r="D69" s="251" t="str">
        <f>IF((C69=""),"Enter Segment "&amp;TEXT(A69,0)&amp;" Name, then Enter Data in Columns "&amp;TEXT($H$2,0)&amp;" - "&amp;TEXT($AN$2,0)&amp;"       ","")</f>
        <v xml:space="preserve">Enter Segment 27 Name, then Enter Data in Columns h - an       </v>
      </c>
      <c r="E69" s="131" t="str">
        <f>IF($AW69="B","N/A",IF(AX69="N","No",IF(AX69="Y","Yes","")))</f>
        <v>N/A</v>
      </c>
      <c r="F69" s="130"/>
      <c r="G69" s="130"/>
      <c r="H69" s="285"/>
      <c r="I69" s="251" t="str">
        <f>IF($C69&lt;&gt;"","Enter Starting Point       ","")</f>
        <v/>
      </c>
      <c r="J69" s="285"/>
      <c r="K69" s="227"/>
      <c r="L69" s="88"/>
      <c r="M69" s="251" t="str">
        <f>IF($C69&lt;&gt;"","Select from Pull-Down List  ","")</f>
        <v/>
      </c>
      <c r="N69" s="88"/>
      <c r="O69" s="251" t="str">
        <f>IF($C69&lt;&gt;"","Select from Pull-Down List  ","")</f>
        <v/>
      </c>
      <c r="P69" s="131"/>
      <c r="Q69" s="251" t="str">
        <f>IF($C69&lt;&gt;"","Dir. Route-Mi?    ","")</f>
        <v/>
      </c>
      <c r="R69" s="131"/>
      <c r="S69" s="251" t="str">
        <f>IF($C69&lt;&gt;"","Trk-Mi?      ","")</f>
        <v/>
      </c>
      <c r="T69" s="131"/>
      <c r="U69" s="251" t="str">
        <f>IF($C69&lt;&gt;"","Trk-Mi?      ","")</f>
        <v/>
      </c>
      <c r="V69" s="284"/>
      <c r="W69" s="278" t="str">
        <f>IF(OR($R69="",V$11=""),"","0 - "&amp;TEXT($R69-$AP69,"0.0")&amp;" Trk-Mi?    ")</f>
        <v/>
      </c>
      <c r="X69" s="284"/>
      <c r="Y69" s="278" t="str">
        <f>IF(OR($R69="",X$11=""),"","0 - "&amp;TEXT($R69-$AP69,"0.0")&amp;" Trk-Mi?    ")</f>
        <v/>
      </c>
      <c r="Z69" s="284"/>
      <c r="AA69" s="278" t="str">
        <f>IF(OR($R69="",Z$11=""),"","0 - "&amp;TEXT($R69-$AP69,"0.0")&amp;" Trk-Mi?    ")</f>
        <v/>
      </c>
      <c r="AB69" s="284"/>
      <c r="AC69" s="278" t="str">
        <f>IF(OR($R69="",AB$11=""),"","0 - "&amp;TEXT($R69-$AP69,"0.0")&amp;" Trk-Mi?    ")</f>
        <v/>
      </c>
      <c r="AD69" s="284"/>
      <c r="AE69" s="278" t="str">
        <f>IF(OR($R69="",AD$11=""),"","0 - "&amp;TEXT($R69-$AP69,"0.0")&amp;" Trk-Mi?    ")</f>
        <v/>
      </c>
      <c r="AF69" s="284"/>
      <c r="AG69" s="278" t="str">
        <f>IF(OR($R69="",AF$11=""),"","0 - "&amp;TEXT($R69-$AP69,"0.0")&amp;" Trk-Mi?    ")</f>
        <v/>
      </c>
      <c r="AH69" s="284"/>
      <c r="AI69" s="278" t="str">
        <f>IF(OR($R69="",AH$11=""),"","0 - "&amp;TEXT($R69-$AP69,"0.0")&amp;" Trk-Mi?    ")</f>
        <v/>
      </c>
      <c r="AJ69" s="284"/>
      <c r="AK69" s="278" t="str">
        <f>IF(OR($R69="",AJ$11=""),"","0 - "&amp;TEXT($R69-$AP69,"0.0")&amp;" Trk-Mi?    ")</f>
        <v/>
      </c>
      <c r="AL69" s="284"/>
      <c r="AM69" s="278" t="str">
        <f>IF(OR($R69="",AL$11=""),"","0 - "&amp;TEXT($R69-$AP69,"0.0")&amp;" Trk-Mi?    ")</f>
        <v/>
      </c>
      <c r="AN69" s="284"/>
      <c r="AO69" s="278" t="str">
        <f>IF(OR($R69="",AN$11=""),"","0 - "&amp;TEXT($R69-$AP69,"0.0")&amp;" Trk-Mi?    ")</f>
        <v/>
      </c>
      <c r="AP69" s="282">
        <f>SUM(V69,X69,Z69,AB69,AD69,AF69,AH69,AJ69,AL69,AN69)</f>
        <v>0</v>
      </c>
      <c r="AQ69" s="278"/>
      <c r="AR69" s="234"/>
      <c r="AS69" s="107"/>
      <c r="AT69" s="107"/>
      <c r="AU69" s="107"/>
      <c r="AW69" s="107" t="str">
        <f>IF(AND($C69="",$H69="",$J69="",$L69="",$N69="",$P69="",$R69=""),"B","NB")</f>
        <v>B</v>
      </c>
      <c r="AX69" s="241" t="str">
        <f>IF(OR($C69="",$H69="",$J69="",$L69="",$N69="",$R69="",$P69="",AND($V$11&lt;&gt;"",$V69=""),AND($X$11&lt;&gt;"",$X69=""),AND($Z$11&lt;&gt;"",$Z69=""),AND($AB$11&lt;&gt;"",$AB69=""),AND($AD$11&lt;&gt;"",$AD69=""),AND($AF$11&lt;&gt;"",$AF69=""),AND($AH$11&lt;&gt;"",$AH69=""),AND($AJ$11&lt;&gt;"",$AJ69=""),AND($AL$11&lt;&gt;"",$AL69=""),AND($AN$11&lt;&gt;"",$AN69="")),"N","Y")</f>
        <v>N</v>
      </c>
      <c r="AY69" s="142" t="b">
        <f>IF(AND($C69="",OR($H69&lt;&gt;"",$J69&lt;&gt;"",$L69&lt;&gt;"",$N69&lt;&gt;"",$R69&lt;&gt;"",$P69&lt;&gt;"",AND($V$11&lt;&gt;"",$V69&lt;&gt;""),AND($X$11&lt;&gt;"",$X69&lt;&gt;""),AND($Z$11&lt;&gt;"",$Z69&lt;&gt;""),AND($AB$11&lt;&gt;"",$AB69&lt;&gt;""),AND($AD$11&lt;&gt;"",$AD69&lt;&gt;""),AND($AF$11&lt;&gt;"",$AF69&lt;&gt;""),AND($AH$11&lt;&gt;"",$AH69&lt;&gt;""),AND($AJ$11&lt;&gt;"",$AJ69&lt;&gt;""),AND($AL$11&lt;&gt;"",$AL69&lt;&gt;""),AND($AN$11&lt;&gt;"",$AN69&lt;&gt;""))),TRUE,FALSE)</f>
        <v>0</v>
      </c>
      <c r="AZ69" s="144" t="b">
        <f>IF(AND($C69&lt;&gt;"",$H69=""),TRUE,FALSE)</f>
        <v>0</v>
      </c>
      <c r="BA69" s="144" t="b">
        <f>IF(AND($C69&lt;&gt;"",$J69=""),TRUE,FALSE)</f>
        <v>0</v>
      </c>
      <c r="BB69" s="144" t="b">
        <f>IF(AND($C69&lt;&gt;"",$L69=""),TRUE,FALSE)</f>
        <v>0</v>
      </c>
      <c r="BC69" s="144" t="b">
        <f>IF(AND($C69&lt;&gt;"",$N69=""),TRUE,FALSE)</f>
        <v>0</v>
      </c>
      <c r="BD69" s="144" t="b">
        <f>IF($BE69=TRUE,FALSE,IF(OR($P69&lt;$BD$5,$P69&gt;$BE$5),TRUE,FALSE))</f>
        <v>0</v>
      </c>
      <c r="BE69" s="144" t="b">
        <f>IF(AND($C69&lt;&gt;"",$P69=""),TRUE,FALSE)</f>
        <v>0</v>
      </c>
      <c r="BF69" s="144" t="b">
        <f>IF($BG69=TRUE,FALSE,IF(OR($R69&lt;$BF$5,$R69&gt;$BG$5),TRUE,FALSE))</f>
        <v>0</v>
      </c>
      <c r="BG69" s="142" t="b">
        <f>IF(AND($C69&lt;&gt;"",$R69=""),TRUE,FALSE)</f>
        <v>0</v>
      </c>
      <c r="BH69" s="160" t="b">
        <f>IF(BI69=TRUE,FALSE,IF(AND(V69&lt;&gt;"",V$11=""),TRUE,IF(AND(V69&lt;&gt;"",V$11&lt;&gt;"",$R69&lt;&gt;$AP69),TRUE,IF(OR(V69&lt;0,V69&gt;$R69),TRUE,FALSE))))</f>
        <v>0</v>
      </c>
      <c r="BI69" s="144" t="b">
        <f>IF(AND($C69&lt;&gt;"",V$11&lt;&gt;"",$V69=""),TRUE,FALSE)</f>
        <v>0</v>
      </c>
      <c r="BJ69" s="160" t="b">
        <f>IF(BK69=TRUE,FALSE,IF(AND(X69&lt;&gt;"",X$11=""),TRUE,IF(AND(X69&lt;&gt;"",X$11&lt;&gt;"",$R69&lt;&gt;$AP69),TRUE,IF(OR(X69&lt;0,X69&gt;$R69),TRUE,FALSE))))</f>
        <v>0</v>
      </c>
      <c r="BK69" s="144" t="b">
        <f>IF(AND($C69&lt;&gt;"",X$11&lt;&gt;"",$X69=""),TRUE,FALSE)</f>
        <v>0</v>
      </c>
      <c r="BL69" s="160" t="b">
        <f>IF(BM69=TRUE,FALSE,IF(AND(Z69&lt;&gt;"",Z$11=""),TRUE,IF(AND(Z69&lt;&gt;"",Z$11&lt;&gt;"",$R69&lt;&gt;$AP69),TRUE,IF(OR(Z69&lt;0,Z69&gt;$R69),TRUE,FALSE))))</f>
        <v>0</v>
      </c>
      <c r="BM69" s="144" t="b">
        <f>IF(AND($C69&lt;&gt;"",Z$11&lt;&gt;"",$Z69=""),TRUE,FALSE)</f>
        <v>0</v>
      </c>
      <c r="BN69" s="160" t="b">
        <f>IF(BO69=TRUE,FALSE,IF(AND(AB69&lt;&gt;"",AB$11=""),TRUE,IF(AND(AB69&lt;&gt;"",AB$11&lt;&gt;"",$R69&lt;&gt;$AP69),TRUE,IF(OR(AB69&lt;0,AB69&gt;$R69),TRUE,FALSE))))</f>
        <v>0</v>
      </c>
      <c r="BO69" s="144" t="b">
        <f>IF(AND($C69&lt;&gt;"",AB$11&lt;&gt;"",$AB69=""),TRUE,FALSE)</f>
        <v>0</v>
      </c>
      <c r="BP69" s="160" t="b">
        <f>IF(BQ69=TRUE,FALSE,IF(AND(AD69&lt;&gt;"",AD$11=""),TRUE,IF(AND(AD69&lt;&gt;"",AD$11&lt;&gt;"",$R69&lt;&gt;$AP69),TRUE,IF(OR(AD69&lt;0,AD69&gt;$R69),TRUE,FALSE))))</f>
        <v>0</v>
      </c>
      <c r="BQ69" s="144" t="b">
        <f>IF(AND($C69&lt;&gt;"",AD$11&lt;&gt;"",$AD69=""),TRUE,FALSE)</f>
        <v>0</v>
      </c>
      <c r="BR69" s="160" t="b">
        <f>IF(BS69=TRUE,FALSE,IF(AND(AF69&lt;&gt;"",AF$11=""),TRUE,IF(AND(AF69&lt;&gt;"",AF$11&lt;&gt;"",$R69&lt;&gt;$AP69),TRUE,IF(OR(AF69&lt;0,AF69&gt;$R69),TRUE,FALSE))))</f>
        <v>0</v>
      </c>
      <c r="BS69" s="144" t="b">
        <f>IF(AND($C69&lt;&gt;"",AF$11&lt;&gt;"",$AF69=""),TRUE,FALSE)</f>
        <v>0</v>
      </c>
      <c r="BT69" s="160" t="b">
        <f>IF(BU69=TRUE,FALSE,IF(AND(AH69&lt;&gt;"",AH$11=""),TRUE,IF(AND(AH69&lt;&gt;"",AH$11&lt;&gt;"",$R69&lt;&gt;$AP69),TRUE,IF(OR(AH69&lt;0,AH69&gt;$R69),TRUE,FALSE))))</f>
        <v>0</v>
      </c>
      <c r="BU69" s="144" t="b">
        <f>IF(AND($C69&lt;&gt;"",AH$11&lt;&gt;"",$AH69=""),TRUE,FALSE)</f>
        <v>0</v>
      </c>
      <c r="BV69" s="160" t="b">
        <f>IF(BW69=TRUE,FALSE,IF(AND(AJ69&lt;&gt;"",AJ$11=""),TRUE,IF(AND(AJ69&lt;&gt;"",AJ$11&lt;&gt;"",$R69&lt;&gt;$AP69),TRUE,IF(OR(AJ69&lt;0,AJ69&gt;$R69),TRUE,FALSE))))</f>
        <v>0</v>
      </c>
      <c r="BW69" s="144" t="b">
        <f>IF(AND($C69&lt;&gt;"",AJ$11&lt;&gt;"",$AJ69=""),TRUE,FALSE)</f>
        <v>0</v>
      </c>
      <c r="BX69" s="160" t="b">
        <f>IF(BY69=TRUE,FALSE,IF(AND(AL69&lt;&gt;"",AL$11=""),TRUE,IF(AND(AL69&lt;&gt;"",AL$11&lt;&gt;"",$R69&lt;&gt;$AP69),TRUE,IF(OR(AL69&lt;0,AL69&gt;$R69),TRUE,FALSE))))</f>
        <v>0</v>
      </c>
      <c r="BY69" s="144" t="b">
        <f>IF(AND($C69&lt;&gt;"",AL$11&lt;&gt;"",$AL69=""),TRUE,FALSE)</f>
        <v>0</v>
      </c>
      <c r="BZ69" s="160" t="b">
        <f>IF(CA69=TRUE,FALSE,IF(AND(AN69&lt;&gt;"",AN$11=""),TRUE,IF(AND(AN69&lt;&gt;"",AN$11&lt;&gt;"",$R69&lt;&gt;$AP69),TRUE,IF(OR(AN69&lt;0,AN69&gt;$R69),TRUE,FALSE))))</f>
        <v>0</v>
      </c>
      <c r="CA69" s="144" t="b">
        <f>IF(AND($C69&lt;&gt;"",AN$11&lt;&gt;"",$AN69=""),TRUE,FALSE)</f>
        <v>0</v>
      </c>
      <c r="CB69" s="133"/>
      <c r="CC69" s="133"/>
      <c r="CD69" s="133"/>
      <c r="CE69" s="133"/>
      <c r="CF69" s="133"/>
      <c r="CG69" s="133"/>
      <c r="CH69" s="133"/>
      <c r="CI69" s="133"/>
      <c r="CJ69" s="133"/>
      <c r="CK69" s="133"/>
      <c r="CL69" s="133"/>
      <c r="CM69" s="133"/>
      <c r="CN69" s="133"/>
      <c r="CO69" s="133"/>
      <c r="CP69" s="133"/>
      <c r="CQ69" s="133"/>
      <c r="CR69" s="133"/>
      <c r="CS69" s="133"/>
      <c r="CT69" s="133"/>
      <c r="CU69" s="133"/>
      <c r="CV69" s="133"/>
      <c r="CW69" s="134"/>
    </row>
    <row r="70" spans="1:101" ht="6.75" customHeight="1" thickBot="1" x14ac:dyDescent="0.25">
      <c r="A70" s="228"/>
      <c r="B70" s="228"/>
      <c r="C70" s="232"/>
      <c r="D70" s="267"/>
      <c r="I70" s="267"/>
      <c r="K70" s="228"/>
      <c r="M70" s="267"/>
      <c r="O70" s="267"/>
      <c r="Q70" s="267"/>
      <c r="S70" s="267"/>
      <c r="U70" s="267"/>
      <c r="V70" s="283"/>
      <c r="W70" s="267"/>
      <c r="X70" s="283"/>
      <c r="Y70" s="267"/>
      <c r="Z70" s="283"/>
      <c r="AA70" s="267"/>
      <c r="AB70" s="283"/>
      <c r="AC70" s="267"/>
      <c r="AD70" s="283"/>
      <c r="AE70" s="267"/>
      <c r="AF70" s="283"/>
      <c r="AG70" s="267"/>
      <c r="AH70" s="283"/>
      <c r="AI70" s="267"/>
      <c r="AJ70" s="283"/>
      <c r="AK70" s="267"/>
      <c r="AL70" s="283"/>
      <c r="AM70" s="267"/>
      <c r="AN70" s="283"/>
      <c r="AO70" s="267"/>
      <c r="AP70" s="267"/>
      <c r="AQ70" s="267"/>
      <c r="AR70" s="232"/>
      <c r="AY70" s="145"/>
      <c r="AZ70" s="146"/>
      <c r="BA70" s="146"/>
      <c r="BB70" s="146"/>
      <c r="BC70" s="146"/>
      <c r="BD70" s="145"/>
      <c r="BE70" s="146"/>
      <c r="BF70" s="146"/>
      <c r="BG70" s="146"/>
      <c r="BH70" s="145"/>
      <c r="BI70" s="146"/>
      <c r="BJ70" s="145"/>
      <c r="BK70" s="146"/>
      <c r="BL70" s="145"/>
      <c r="BM70" s="146"/>
      <c r="BN70" s="145"/>
      <c r="BO70" s="146"/>
      <c r="BP70" s="145"/>
      <c r="BQ70" s="146"/>
      <c r="BR70" s="145"/>
      <c r="BS70" s="146"/>
      <c r="BT70" s="145"/>
      <c r="BU70" s="146"/>
      <c r="BV70" s="145"/>
      <c r="BW70" s="146"/>
      <c r="BX70" s="145"/>
      <c r="BY70" s="146"/>
      <c r="BZ70" s="145"/>
      <c r="CA70" s="146"/>
    </row>
    <row r="71" spans="1:101" s="101" customFormat="1" ht="12.75" customHeight="1" x14ac:dyDescent="0.2">
      <c r="A71" s="227">
        <f>A69+1</f>
        <v>28</v>
      </c>
      <c r="B71" s="227"/>
      <c r="C71" s="231"/>
      <c r="D71" s="251" t="str">
        <f>IF((C71=""),"Enter Segment "&amp;TEXT(A71,0)&amp;" Name, then Enter Data in Columns "&amp;TEXT($H$2,0)&amp;" - "&amp;TEXT($AN$2,0)&amp;"       ","")</f>
        <v xml:space="preserve">Enter Segment 28 Name, then Enter Data in Columns h - an       </v>
      </c>
      <c r="E71" s="131" t="str">
        <f>IF($AW71="B","N/A",IF(AX71="N","No",IF(AX71="Y","Yes","")))</f>
        <v>N/A</v>
      </c>
      <c r="F71" s="130"/>
      <c r="G71" s="130"/>
      <c r="H71" s="285"/>
      <c r="I71" s="251" t="str">
        <f>IF($C71&lt;&gt;"","Enter Starting Point       ","")</f>
        <v/>
      </c>
      <c r="J71" s="285"/>
      <c r="K71" s="227"/>
      <c r="L71" s="88"/>
      <c r="M71" s="251" t="str">
        <f>IF($C71&lt;&gt;"","Select from Pull-Down List  ","")</f>
        <v/>
      </c>
      <c r="N71" s="88"/>
      <c r="O71" s="251" t="str">
        <f>IF($C71&lt;&gt;"","Select from Pull-Down List  ","")</f>
        <v/>
      </c>
      <c r="P71" s="131"/>
      <c r="Q71" s="251" t="str">
        <f>IF($C71&lt;&gt;"","Dir. Route-Mi?    ","")</f>
        <v/>
      </c>
      <c r="R71" s="131"/>
      <c r="S71" s="251" t="str">
        <f>IF($C71&lt;&gt;"","Trk-Mi?      ","")</f>
        <v/>
      </c>
      <c r="T71" s="131"/>
      <c r="U71" s="251" t="str">
        <f>IF($C71&lt;&gt;"","Trk-Mi?      ","")</f>
        <v/>
      </c>
      <c r="V71" s="284"/>
      <c r="W71" s="278" t="str">
        <f>IF(OR($R71="",V$11=""),"","0 - "&amp;TEXT($R71-$AP71,"0.0")&amp;" Trk-Mi?    ")</f>
        <v/>
      </c>
      <c r="X71" s="284"/>
      <c r="Y71" s="278" t="str">
        <f>IF(OR($R71="",X$11=""),"","0 - "&amp;TEXT($R71-$AP71,"0.0")&amp;" Trk-Mi?    ")</f>
        <v/>
      </c>
      <c r="Z71" s="284"/>
      <c r="AA71" s="278" t="str">
        <f>IF(OR($R71="",Z$11=""),"","0 - "&amp;TEXT($R71-$AP71,"0.0")&amp;" Trk-Mi?    ")</f>
        <v/>
      </c>
      <c r="AB71" s="284"/>
      <c r="AC71" s="278" t="str">
        <f>IF(OR($R71="",AB$11=""),"","0 - "&amp;TEXT($R71-$AP71,"0.0")&amp;" Trk-Mi?    ")</f>
        <v/>
      </c>
      <c r="AD71" s="284"/>
      <c r="AE71" s="278" t="str">
        <f>IF(OR($R71="",AD$11=""),"","0 - "&amp;TEXT($R71-$AP71,"0.0")&amp;" Trk-Mi?    ")</f>
        <v/>
      </c>
      <c r="AF71" s="284"/>
      <c r="AG71" s="278" t="str">
        <f>IF(OR($R71="",AF$11=""),"","0 - "&amp;TEXT($R71-$AP71,"0.0")&amp;" Trk-Mi?    ")</f>
        <v/>
      </c>
      <c r="AH71" s="284"/>
      <c r="AI71" s="278" t="str">
        <f>IF(OR($R71="",AH$11=""),"","0 - "&amp;TEXT($R71-$AP71,"0.0")&amp;" Trk-Mi?    ")</f>
        <v/>
      </c>
      <c r="AJ71" s="284"/>
      <c r="AK71" s="278" t="str">
        <f>IF(OR($R71="",AJ$11=""),"","0 - "&amp;TEXT($R71-$AP71,"0.0")&amp;" Trk-Mi?    ")</f>
        <v/>
      </c>
      <c r="AL71" s="284"/>
      <c r="AM71" s="278" t="str">
        <f>IF(OR($R71="",AL$11=""),"","0 - "&amp;TEXT($R71-$AP71,"0.0")&amp;" Trk-Mi?    ")</f>
        <v/>
      </c>
      <c r="AN71" s="284"/>
      <c r="AO71" s="278" t="str">
        <f>IF(OR($R71="",AN$11=""),"","0 - "&amp;TEXT($R71-$AP71,"0.0")&amp;" Trk-Mi?    ")</f>
        <v/>
      </c>
      <c r="AP71" s="282">
        <f>SUM(V71,X71,Z71,AB71,AD71,AF71,AH71,AJ71,AL71,AN71)</f>
        <v>0</v>
      </c>
      <c r="AQ71" s="278"/>
      <c r="AR71" s="234"/>
      <c r="AS71" s="107"/>
      <c r="AT71" s="107"/>
      <c r="AU71" s="107"/>
      <c r="AW71" s="107" t="str">
        <f>IF(AND($C71="",$H71="",$J71="",$L71="",$N71="",$P71="",$R71=""),"B","NB")</f>
        <v>B</v>
      </c>
      <c r="AX71" s="241" t="str">
        <f>IF(OR($C71="",$H71="",$J71="",$L71="",$N71="",$R71="",$P71="",AND($V$11&lt;&gt;"",$V71=""),AND($X$11&lt;&gt;"",$X71=""),AND($Z$11&lt;&gt;"",$Z71=""),AND($AB$11&lt;&gt;"",$AB71=""),AND($AD$11&lt;&gt;"",$AD71=""),AND($AF$11&lt;&gt;"",$AF71=""),AND($AH$11&lt;&gt;"",$AH71=""),AND($AJ$11&lt;&gt;"",$AJ71=""),AND($AL$11&lt;&gt;"",$AL71=""),AND($AN$11&lt;&gt;"",$AN71="")),"N","Y")</f>
        <v>N</v>
      </c>
      <c r="AY71" s="142" t="b">
        <f>IF(AND($C71="",OR($H71&lt;&gt;"",$J71&lt;&gt;"",$L71&lt;&gt;"",$N71&lt;&gt;"",$R71&lt;&gt;"",$P71&lt;&gt;"",AND($V$11&lt;&gt;"",$V71&lt;&gt;""),AND($X$11&lt;&gt;"",$X71&lt;&gt;""),AND($Z$11&lt;&gt;"",$Z71&lt;&gt;""),AND($AB$11&lt;&gt;"",$AB71&lt;&gt;""),AND($AD$11&lt;&gt;"",$AD71&lt;&gt;""),AND($AF$11&lt;&gt;"",$AF71&lt;&gt;""),AND($AH$11&lt;&gt;"",$AH71&lt;&gt;""),AND($AJ$11&lt;&gt;"",$AJ71&lt;&gt;""),AND($AL$11&lt;&gt;"",$AL71&lt;&gt;""),AND($AN$11&lt;&gt;"",$AN71&lt;&gt;""))),TRUE,FALSE)</f>
        <v>0</v>
      </c>
      <c r="AZ71" s="144" t="b">
        <f>IF(AND($C71&lt;&gt;"",$H71=""),TRUE,FALSE)</f>
        <v>0</v>
      </c>
      <c r="BA71" s="144" t="b">
        <f>IF(AND($C71&lt;&gt;"",$J71=""),TRUE,FALSE)</f>
        <v>0</v>
      </c>
      <c r="BB71" s="144" t="b">
        <f>IF(AND($C71&lt;&gt;"",$L71=""),TRUE,FALSE)</f>
        <v>0</v>
      </c>
      <c r="BC71" s="144" t="b">
        <f>IF(AND($C71&lt;&gt;"",$N71=""),TRUE,FALSE)</f>
        <v>0</v>
      </c>
      <c r="BD71" s="142" t="b">
        <f>IF($BE71=TRUE,FALSE,IF(OR($P71&lt;$BD$5,$P71&gt;$BE$5),TRUE,FALSE))</f>
        <v>0</v>
      </c>
      <c r="BE71" s="144" t="b">
        <f>IF(AND($C71&lt;&gt;"",$P71=""),TRUE,FALSE)</f>
        <v>0</v>
      </c>
      <c r="BF71" s="144" t="b">
        <f>IF($BG71=TRUE,FALSE,IF(OR($R71&lt;$BF$5,$R71&gt;$BG$5),TRUE,FALSE))</f>
        <v>0</v>
      </c>
      <c r="BG71" s="144" t="b">
        <f>IF(AND($C71&lt;&gt;"",$R71=""),TRUE,FALSE)</f>
        <v>0</v>
      </c>
      <c r="BH71" s="160" t="b">
        <f>IF(BI71=TRUE,FALSE,IF(AND(V71&lt;&gt;"",V$11=""),TRUE,IF(AND(V71&lt;&gt;"",V$11&lt;&gt;"",$R71&lt;&gt;$AP71),TRUE,IF(OR(V71&lt;0,V71&gt;$R71),TRUE,FALSE))))</f>
        <v>0</v>
      </c>
      <c r="BI71" s="144" t="b">
        <f>IF(AND($C71&lt;&gt;"",V$11&lt;&gt;"",$V71=""),TRUE,FALSE)</f>
        <v>0</v>
      </c>
      <c r="BJ71" s="160" t="b">
        <f>IF(BK71=TRUE,FALSE,IF(AND(X71&lt;&gt;"",X$11=""),TRUE,IF(AND(X71&lt;&gt;"",X$11&lt;&gt;"",$R71&lt;&gt;$AP71),TRUE,IF(OR(X71&lt;0,X71&gt;$R71),TRUE,FALSE))))</f>
        <v>0</v>
      </c>
      <c r="BK71" s="144" t="b">
        <f>IF(AND($C71&lt;&gt;"",X$11&lt;&gt;"",$X71=""),TRUE,FALSE)</f>
        <v>0</v>
      </c>
      <c r="BL71" s="160" t="b">
        <f>IF(BM71=TRUE,FALSE,IF(AND(Z71&lt;&gt;"",Z$11=""),TRUE,IF(AND(Z71&lt;&gt;"",Z$11&lt;&gt;"",$R71&lt;&gt;$AP71),TRUE,IF(OR(Z71&lt;0,Z71&gt;$R71),TRUE,FALSE))))</f>
        <v>0</v>
      </c>
      <c r="BM71" s="144" t="b">
        <f>IF(AND($C71&lt;&gt;"",Z$11&lt;&gt;"",$Z71=""),TRUE,FALSE)</f>
        <v>0</v>
      </c>
      <c r="BN71" s="160" t="b">
        <f>IF(BO71=TRUE,FALSE,IF(AND(AB71&lt;&gt;"",AB$11=""),TRUE,IF(AND(AB71&lt;&gt;"",AB$11&lt;&gt;"",$R71&lt;&gt;$AP71),TRUE,IF(OR(AB71&lt;0,AB71&gt;$R71),TRUE,FALSE))))</f>
        <v>0</v>
      </c>
      <c r="BO71" s="144" t="b">
        <f>IF(AND($C71&lt;&gt;"",AB$11&lt;&gt;"",$AB71=""),TRUE,FALSE)</f>
        <v>0</v>
      </c>
      <c r="BP71" s="160" t="b">
        <f>IF(BQ71=TRUE,FALSE,IF(AND(AD71&lt;&gt;"",AD$11=""),TRUE,IF(AND(AD71&lt;&gt;"",AD$11&lt;&gt;"",$R71&lt;&gt;$AP71),TRUE,IF(OR(AD71&lt;0,AD71&gt;$R71),TRUE,FALSE))))</f>
        <v>0</v>
      </c>
      <c r="BQ71" s="144" t="b">
        <f>IF(AND($C71&lt;&gt;"",AD$11&lt;&gt;"",$AD71=""),TRUE,FALSE)</f>
        <v>0</v>
      </c>
      <c r="BR71" s="160" t="b">
        <f>IF(BS71=TRUE,FALSE,IF(AND(AF71&lt;&gt;"",AF$11=""),TRUE,IF(AND(AF71&lt;&gt;"",AF$11&lt;&gt;"",$R71&lt;&gt;$AP71),TRUE,IF(OR(AF71&lt;0,AF71&gt;$R71),TRUE,FALSE))))</f>
        <v>0</v>
      </c>
      <c r="BS71" s="144" t="b">
        <f>IF(AND($C71&lt;&gt;"",AF$11&lt;&gt;"",$AF71=""),TRUE,FALSE)</f>
        <v>0</v>
      </c>
      <c r="BT71" s="160" t="b">
        <f>IF(BU71=TRUE,FALSE,IF(AND(AH71&lt;&gt;"",AH$11=""),TRUE,IF(AND(AH71&lt;&gt;"",AH$11&lt;&gt;"",$R71&lt;&gt;$AP71),TRUE,IF(OR(AH71&lt;0,AH71&gt;$R71),TRUE,FALSE))))</f>
        <v>0</v>
      </c>
      <c r="BU71" s="144" t="b">
        <f>IF(AND($C71&lt;&gt;"",AH$11&lt;&gt;"",$AH71=""),TRUE,FALSE)</f>
        <v>0</v>
      </c>
      <c r="BV71" s="160" t="b">
        <f>IF(BW71=TRUE,FALSE,IF(AND(AJ71&lt;&gt;"",AJ$11=""),TRUE,IF(AND(AJ71&lt;&gt;"",AJ$11&lt;&gt;"",$R71&lt;&gt;$AP71),TRUE,IF(OR(AJ71&lt;0,AJ71&gt;$R71),TRUE,FALSE))))</f>
        <v>0</v>
      </c>
      <c r="BW71" s="144" t="b">
        <f>IF(AND($C71&lt;&gt;"",AJ$11&lt;&gt;"",$AJ71=""),TRUE,FALSE)</f>
        <v>0</v>
      </c>
      <c r="BX71" s="160" t="b">
        <f>IF(BY71=TRUE,FALSE,IF(AND(AL71&lt;&gt;"",AL$11=""),TRUE,IF(AND(AL71&lt;&gt;"",AL$11&lt;&gt;"",$R71&lt;&gt;$AP71),TRUE,IF(OR(AL71&lt;0,AL71&gt;$R71),TRUE,FALSE))))</f>
        <v>0</v>
      </c>
      <c r="BY71" s="144" t="b">
        <f>IF(AND($C71&lt;&gt;"",AL$11&lt;&gt;"",$AL71=""),TRUE,FALSE)</f>
        <v>0</v>
      </c>
      <c r="BZ71" s="160" t="b">
        <f>IF(CA71=TRUE,FALSE,IF(AND(AN71&lt;&gt;"",AN$11=""),TRUE,IF(AND(AN71&lt;&gt;"",AN$11&lt;&gt;"",$R71&lt;&gt;$AP71),TRUE,IF(OR(AN71&lt;0,AN71&gt;$R71),TRUE,FALSE))))</f>
        <v>0</v>
      </c>
      <c r="CA71" s="144" t="b">
        <f>IF(AND($C71&lt;&gt;"",AN$11&lt;&gt;"",$AN71=""),TRUE,FALSE)</f>
        <v>0</v>
      </c>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4"/>
    </row>
    <row r="72" spans="1:101" ht="6.75" customHeight="1" thickBot="1" x14ac:dyDescent="0.25">
      <c r="A72" s="228"/>
      <c r="B72" s="228"/>
      <c r="C72" s="232"/>
      <c r="D72" s="251"/>
      <c r="E72" s="130"/>
      <c r="F72" s="130"/>
      <c r="G72" s="130"/>
      <c r="I72" s="251"/>
      <c r="K72" s="228"/>
      <c r="M72" s="251"/>
      <c r="O72" s="251"/>
      <c r="P72" s="130"/>
      <c r="Q72" s="251"/>
      <c r="R72" s="130"/>
      <c r="S72" s="251"/>
      <c r="T72" s="130"/>
      <c r="U72" s="251"/>
      <c r="V72" s="283"/>
      <c r="W72" s="278"/>
      <c r="X72" s="283"/>
      <c r="Y72" s="278"/>
      <c r="Z72" s="283"/>
      <c r="AA72" s="278"/>
      <c r="AB72" s="283"/>
      <c r="AC72" s="278"/>
      <c r="AD72" s="283"/>
      <c r="AE72" s="278"/>
      <c r="AF72" s="283"/>
      <c r="AG72" s="278"/>
      <c r="AH72" s="283"/>
      <c r="AI72" s="278"/>
      <c r="AJ72" s="283"/>
      <c r="AK72" s="278"/>
      <c r="AL72" s="283"/>
      <c r="AM72" s="278"/>
      <c r="AN72" s="283"/>
      <c r="AO72" s="278"/>
      <c r="AP72" s="105"/>
      <c r="AQ72" s="253"/>
      <c r="AR72" s="232"/>
      <c r="AY72" s="145"/>
      <c r="AZ72" s="146"/>
      <c r="BA72" s="146"/>
      <c r="BB72" s="146"/>
      <c r="BC72" s="146"/>
      <c r="BD72" s="145"/>
      <c r="BE72" s="146"/>
      <c r="BF72" s="146"/>
      <c r="BG72" s="146"/>
      <c r="BH72" s="145"/>
      <c r="BI72" s="146"/>
      <c r="BJ72" s="145"/>
      <c r="BK72" s="146"/>
      <c r="BL72" s="145"/>
      <c r="BM72" s="146"/>
      <c r="BN72" s="145"/>
      <c r="BO72" s="146"/>
      <c r="BP72" s="145"/>
      <c r="BQ72" s="146"/>
      <c r="BR72" s="145"/>
      <c r="BS72" s="146"/>
      <c r="BT72" s="145"/>
      <c r="BU72" s="146"/>
      <c r="BV72" s="145"/>
      <c r="BW72" s="146"/>
      <c r="BX72" s="145"/>
      <c r="BY72" s="146"/>
      <c r="BZ72" s="145"/>
      <c r="CA72" s="146"/>
    </row>
    <row r="73" spans="1:101" s="101" customFormat="1" ht="12.75" customHeight="1" x14ac:dyDescent="0.2">
      <c r="A73" s="227">
        <f>A71+1</f>
        <v>29</v>
      </c>
      <c r="B73" s="227"/>
      <c r="C73" s="231"/>
      <c r="D73" s="251" t="str">
        <f>IF((C73=""),"Enter Segment "&amp;TEXT(A73,0)&amp;" Name, then Enter Data in Columns "&amp;TEXT($H$2,0)&amp;" - "&amp;TEXT($AN$2,0)&amp;"       ","")</f>
        <v xml:space="preserve">Enter Segment 29 Name, then Enter Data in Columns h - an       </v>
      </c>
      <c r="E73" s="131" t="str">
        <f>IF($AW73="B","N/A",IF(AX73="N","No",IF(AX73="Y","Yes","")))</f>
        <v>N/A</v>
      </c>
      <c r="F73" s="130"/>
      <c r="G73" s="130"/>
      <c r="H73" s="285"/>
      <c r="I73" s="251" t="str">
        <f>IF($C73&lt;&gt;"","Enter Starting Point       ","")</f>
        <v/>
      </c>
      <c r="J73" s="285"/>
      <c r="K73" s="227"/>
      <c r="L73" s="88"/>
      <c r="M73" s="251" t="str">
        <f>IF($C73&lt;&gt;"","Select from Pull-Down List  ","")</f>
        <v/>
      </c>
      <c r="N73" s="88"/>
      <c r="O73" s="251" t="str">
        <f>IF($C73&lt;&gt;"","Select from Pull-Down List  ","")</f>
        <v/>
      </c>
      <c r="P73" s="131"/>
      <c r="Q73" s="251" t="str">
        <f>IF($C73&lt;&gt;"","Dir. Route-Mi?    ","")</f>
        <v/>
      </c>
      <c r="R73" s="131"/>
      <c r="S73" s="251" t="str">
        <f>IF($C73&lt;&gt;"","Trk-Mi?      ","")</f>
        <v/>
      </c>
      <c r="T73" s="131"/>
      <c r="U73" s="251" t="str">
        <f>IF($C73&lt;&gt;"","Trk-Mi?      ","")</f>
        <v/>
      </c>
      <c r="V73" s="284"/>
      <c r="W73" s="278" t="str">
        <f>IF(OR($R73="",V$11=""),"","0 - "&amp;TEXT($R73-$AP73,"0.0")&amp;" Trk-Mi?    ")</f>
        <v/>
      </c>
      <c r="X73" s="284"/>
      <c r="Y73" s="278" t="str">
        <f>IF(OR($R73="",X$11=""),"","0 - "&amp;TEXT($R73-$AP73,"0.0")&amp;" Trk-Mi?    ")</f>
        <v/>
      </c>
      <c r="Z73" s="284"/>
      <c r="AA73" s="278" t="str">
        <f>IF(OR($R73="",Z$11=""),"","0 - "&amp;TEXT($R73-$AP73,"0.0")&amp;" Trk-Mi?    ")</f>
        <v/>
      </c>
      <c r="AB73" s="284"/>
      <c r="AC73" s="278" t="str">
        <f>IF(OR($R73="",AB$11=""),"","0 - "&amp;TEXT($R73-$AP73,"0.0")&amp;" Trk-Mi?    ")</f>
        <v/>
      </c>
      <c r="AD73" s="284"/>
      <c r="AE73" s="278" t="str">
        <f>IF(OR($R73="",AD$11=""),"","0 - "&amp;TEXT($R73-$AP73,"0.0")&amp;" Trk-Mi?    ")</f>
        <v/>
      </c>
      <c r="AF73" s="284"/>
      <c r="AG73" s="278" t="str">
        <f>IF(OR($R73="",AF$11=""),"","0 - "&amp;TEXT($R73-$AP73,"0.0")&amp;" Trk-Mi?    ")</f>
        <v/>
      </c>
      <c r="AH73" s="284"/>
      <c r="AI73" s="278" t="str">
        <f>IF(OR($R73="",AH$11=""),"","0 - "&amp;TEXT($R73-$AP73,"0.0")&amp;" Trk-Mi?    ")</f>
        <v/>
      </c>
      <c r="AJ73" s="284"/>
      <c r="AK73" s="278" t="str">
        <f>IF(OR($R73="",AJ$11=""),"","0 - "&amp;TEXT($R73-$AP73,"0.0")&amp;" Trk-Mi?    ")</f>
        <v/>
      </c>
      <c r="AL73" s="284"/>
      <c r="AM73" s="278" t="str">
        <f>IF(OR($R73="",AL$11=""),"","0 - "&amp;TEXT($R73-$AP73,"0.0")&amp;" Trk-Mi?    ")</f>
        <v/>
      </c>
      <c r="AN73" s="284"/>
      <c r="AO73" s="278" t="str">
        <f>IF(OR($R73="",AN$11=""),"","0 - "&amp;TEXT($R73-$AP73,"0.0")&amp;" Trk-Mi?    ")</f>
        <v/>
      </c>
      <c r="AP73" s="282">
        <f>SUM(V73,X73,Z73,AB73,AD73,AF73,AH73,AJ73,AL73,AN73)</f>
        <v>0</v>
      </c>
      <c r="AQ73" s="278"/>
      <c r="AR73" s="234"/>
      <c r="AS73" s="107"/>
      <c r="AT73" s="107"/>
      <c r="AU73" s="107"/>
      <c r="AW73" s="107" t="str">
        <f>IF(AND($C73="",$H73="",$J73="",$L73="",$N73="",$P73="",$R73=""),"B","NB")</f>
        <v>B</v>
      </c>
      <c r="AX73" s="241" t="str">
        <f>IF(OR($C73="",$H73="",$J73="",$L73="",$N73="",$R73="",$P73="",AND($V$11&lt;&gt;"",$V73=""),AND($X$11&lt;&gt;"",$X73=""),AND($Z$11&lt;&gt;"",$Z73=""),AND($AB$11&lt;&gt;"",$AB73=""),AND($AD$11&lt;&gt;"",$AD73=""),AND($AF$11&lt;&gt;"",$AF73=""),AND($AH$11&lt;&gt;"",$AH73=""),AND($AJ$11&lt;&gt;"",$AJ73=""),AND($AL$11&lt;&gt;"",$AL73=""),AND($AN$11&lt;&gt;"",$AN73="")),"N","Y")</f>
        <v>N</v>
      </c>
      <c r="AY73" s="142" t="b">
        <f>IF(AND($C73="",OR($H73&lt;&gt;"",$J73&lt;&gt;"",$L73&lt;&gt;"",$N73&lt;&gt;"",$R73&lt;&gt;"",$P73&lt;&gt;"",AND($V$11&lt;&gt;"",$V73&lt;&gt;""),AND($X$11&lt;&gt;"",$X73&lt;&gt;""),AND($Z$11&lt;&gt;"",$Z73&lt;&gt;""),AND($AB$11&lt;&gt;"",$AB73&lt;&gt;""),AND($AD$11&lt;&gt;"",$AD73&lt;&gt;""),AND($AF$11&lt;&gt;"",$AF73&lt;&gt;""),AND($AH$11&lt;&gt;"",$AH73&lt;&gt;""),AND($AJ$11&lt;&gt;"",$AJ73&lt;&gt;""),AND($AL$11&lt;&gt;"",$AL73&lt;&gt;""),AND($AN$11&lt;&gt;"",$AN73&lt;&gt;""))),TRUE,FALSE)</f>
        <v>0</v>
      </c>
      <c r="AZ73" s="144" t="b">
        <f>IF(AND($C73&lt;&gt;"",$H73=""),TRUE,FALSE)</f>
        <v>0</v>
      </c>
      <c r="BA73" s="144" t="b">
        <f>IF(AND($C73&lt;&gt;"",$J73=""),TRUE,FALSE)</f>
        <v>0</v>
      </c>
      <c r="BB73" s="144" t="b">
        <f>IF(AND($C73&lt;&gt;"",$L73=""),TRUE,FALSE)</f>
        <v>0</v>
      </c>
      <c r="BC73" s="144" t="b">
        <f>IF(AND($C73&lt;&gt;"",$N73=""),TRUE,FALSE)</f>
        <v>0</v>
      </c>
      <c r="BD73" s="142" t="b">
        <f>IF($BE73=TRUE,FALSE,IF(OR($P73&lt;$BD$5,$P73&gt;$BE$5),TRUE,FALSE))</f>
        <v>0</v>
      </c>
      <c r="BE73" s="144" t="b">
        <f>IF(AND($C73&lt;&gt;"",$P73=""),TRUE,FALSE)</f>
        <v>0</v>
      </c>
      <c r="BF73" s="144" t="b">
        <f>IF($BG73=TRUE,FALSE,IF(OR($R73&lt;$BF$5,$R73&gt;$BG$5),TRUE,FALSE))</f>
        <v>0</v>
      </c>
      <c r="BG73" s="144" t="b">
        <f>IF(AND($C73&lt;&gt;"",$R73=""),TRUE,FALSE)</f>
        <v>0</v>
      </c>
      <c r="BH73" s="160" t="b">
        <f>IF(BI73=TRUE,FALSE,IF(AND(V73&lt;&gt;"",V$11=""),TRUE,IF(AND(V73&lt;&gt;"",V$11&lt;&gt;"",$R73&lt;&gt;$AP73),TRUE,IF(OR(V73&lt;0,V73&gt;$R73),TRUE,FALSE))))</f>
        <v>0</v>
      </c>
      <c r="BI73" s="144" t="b">
        <f>IF(AND($C73&lt;&gt;"",V$11&lt;&gt;"",$V73=""),TRUE,FALSE)</f>
        <v>0</v>
      </c>
      <c r="BJ73" s="160" t="b">
        <f>IF(BK73=TRUE,FALSE,IF(AND(X73&lt;&gt;"",X$11=""),TRUE,IF(AND(X73&lt;&gt;"",X$11&lt;&gt;"",$R73&lt;&gt;$AP73),TRUE,IF(OR(X73&lt;0,X73&gt;$R73),TRUE,FALSE))))</f>
        <v>0</v>
      </c>
      <c r="BK73" s="144" t="b">
        <f>IF(AND($C73&lt;&gt;"",X$11&lt;&gt;"",$X73=""),TRUE,FALSE)</f>
        <v>0</v>
      </c>
      <c r="BL73" s="160" t="b">
        <f>IF(BM73=TRUE,FALSE,IF(AND(Z73&lt;&gt;"",Z$11=""),TRUE,IF(AND(Z73&lt;&gt;"",Z$11&lt;&gt;"",$R73&lt;&gt;$AP73),TRUE,IF(OR(Z73&lt;0,Z73&gt;$R73),TRUE,FALSE))))</f>
        <v>0</v>
      </c>
      <c r="BM73" s="144" t="b">
        <f>IF(AND($C73&lt;&gt;"",Z$11&lt;&gt;"",$Z73=""),TRUE,FALSE)</f>
        <v>0</v>
      </c>
      <c r="BN73" s="160" t="b">
        <f>IF(BO73=TRUE,FALSE,IF(AND(AB73&lt;&gt;"",AB$11=""),TRUE,IF(AND(AB73&lt;&gt;"",AB$11&lt;&gt;"",$R73&lt;&gt;$AP73),TRUE,IF(OR(AB73&lt;0,AB73&gt;$R73),TRUE,FALSE))))</f>
        <v>0</v>
      </c>
      <c r="BO73" s="144" t="b">
        <f>IF(AND($C73&lt;&gt;"",AB$11&lt;&gt;"",$AB73=""),TRUE,FALSE)</f>
        <v>0</v>
      </c>
      <c r="BP73" s="160" t="b">
        <f>IF(BQ73=TRUE,FALSE,IF(AND(AD73&lt;&gt;"",AD$11=""),TRUE,IF(AND(AD73&lt;&gt;"",AD$11&lt;&gt;"",$R73&lt;&gt;$AP73),TRUE,IF(OR(AD73&lt;0,AD73&gt;$R73),TRUE,FALSE))))</f>
        <v>0</v>
      </c>
      <c r="BQ73" s="144" t="b">
        <f>IF(AND($C73&lt;&gt;"",AD$11&lt;&gt;"",$AD73=""),TRUE,FALSE)</f>
        <v>0</v>
      </c>
      <c r="BR73" s="160" t="b">
        <f>IF(BS73=TRUE,FALSE,IF(AND(AF73&lt;&gt;"",AF$11=""),TRUE,IF(AND(AF73&lt;&gt;"",AF$11&lt;&gt;"",$R73&lt;&gt;$AP73),TRUE,IF(OR(AF73&lt;0,AF73&gt;$R73),TRUE,FALSE))))</f>
        <v>0</v>
      </c>
      <c r="BS73" s="144" t="b">
        <f>IF(AND($C73&lt;&gt;"",AF$11&lt;&gt;"",$AF73=""),TRUE,FALSE)</f>
        <v>0</v>
      </c>
      <c r="BT73" s="160" t="b">
        <f>IF(BU73=TRUE,FALSE,IF(AND(AH73&lt;&gt;"",AH$11=""),TRUE,IF(AND(AH73&lt;&gt;"",AH$11&lt;&gt;"",$R73&lt;&gt;$AP73),TRUE,IF(OR(AH73&lt;0,AH73&gt;$R73),TRUE,FALSE))))</f>
        <v>0</v>
      </c>
      <c r="BU73" s="144" t="b">
        <f>IF(AND($C73&lt;&gt;"",AH$11&lt;&gt;"",$AH73=""),TRUE,FALSE)</f>
        <v>0</v>
      </c>
      <c r="BV73" s="160" t="b">
        <f>IF(BW73=TRUE,FALSE,IF(AND(AJ73&lt;&gt;"",AJ$11=""),TRUE,IF(AND(AJ73&lt;&gt;"",AJ$11&lt;&gt;"",$R73&lt;&gt;$AP73),TRUE,IF(OR(AJ73&lt;0,AJ73&gt;$R73),TRUE,FALSE))))</f>
        <v>0</v>
      </c>
      <c r="BW73" s="144" t="b">
        <f>IF(AND($C73&lt;&gt;"",AJ$11&lt;&gt;"",$AJ73=""),TRUE,FALSE)</f>
        <v>0</v>
      </c>
      <c r="BX73" s="160" t="b">
        <f>IF(BY73=TRUE,FALSE,IF(AND(AL73&lt;&gt;"",AL$11=""),TRUE,IF(AND(AL73&lt;&gt;"",AL$11&lt;&gt;"",$R73&lt;&gt;$AP73),TRUE,IF(OR(AL73&lt;0,AL73&gt;$R73),TRUE,FALSE))))</f>
        <v>0</v>
      </c>
      <c r="BY73" s="144" t="b">
        <f>IF(AND($C73&lt;&gt;"",AL$11&lt;&gt;"",$AL73=""),TRUE,FALSE)</f>
        <v>0</v>
      </c>
      <c r="BZ73" s="160" t="b">
        <f>IF(CA73=TRUE,FALSE,IF(AND(AN73&lt;&gt;"",AN$11=""),TRUE,IF(AND(AN73&lt;&gt;"",AN$11&lt;&gt;"",$R73&lt;&gt;$AP73),TRUE,IF(OR(AN73&lt;0,AN73&gt;$R73),TRUE,FALSE))))</f>
        <v>0</v>
      </c>
      <c r="CA73" s="144" t="b">
        <f>IF(AND($C73&lt;&gt;"",AN$11&lt;&gt;"",$AN73=""),TRUE,FALSE)</f>
        <v>0</v>
      </c>
      <c r="CB73" s="133"/>
      <c r="CC73" s="133"/>
      <c r="CD73" s="133"/>
      <c r="CE73" s="133"/>
      <c r="CF73" s="133"/>
      <c r="CG73" s="133"/>
      <c r="CH73" s="133"/>
      <c r="CI73" s="133"/>
      <c r="CJ73" s="133"/>
      <c r="CK73" s="133"/>
      <c r="CL73" s="133"/>
      <c r="CM73" s="133"/>
      <c r="CN73" s="133"/>
      <c r="CO73" s="133"/>
      <c r="CP73" s="133"/>
      <c r="CQ73" s="133"/>
      <c r="CR73" s="133"/>
      <c r="CS73" s="133"/>
      <c r="CT73" s="133"/>
      <c r="CU73" s="133"/>
      <c r="CV73" s="133"/>
      <c r="CW73" s="134"/>
    </row>
    <row r="74" spans="1:101" ht="6.75" customHeight="1" thickBot="1" x14ac:dyDescent="0.25">
      <c r="A74" s="228"/>
      <c r="B74" s="228"/>
      <c r="C74" s="232"/>
      <c r="D74" s="267"/>
      <c r="I74" s="267"/>
      <c r="K74" s="228"/>
      <c r="M74" s="267"/>
      <c r="O74" s="267"/>
      <c r="Q74" s="267"/>
      <c r="S74" s="267"/>
      <c r="U74" s="267"/>
      <c r="V74" s="283"/>
      <c r="W74" s="267"/>
      <c r="X74" s="283"/>
      <c r="Y74" s="267"/>
      <c r="Z74" s="283"/>
      <c r="AA74" s="267"/>
      <c r="AB74" s="283"/>
      <c r="AC74" s="267"/>
      <c r="AD74" s="283"/>
      <c r="AE74" s="267"/>
      <c r="AF74" s="283"/>
      <c r="AG74" s="267"/>
      <c r="AH74" s="283"/>
      <c r="AI74" s="267"/>
      <c r="AJ74" s="283"/>
      <c r="AK74" s="267"/>
      <c r="AL74" s="283"/>
      <c r="AM74" s="267"/>
      <c r="AN74" s="283"/>
      <c r="AO74" s="267"/>
      <c r="AP74" s="267"/>
      <c r="AQ74" s="267"/>
      <c r="AR74" s="232"/>
      <c r="AY74" s="145"/>
      <c r="AZ74" s="146"/>
      <c r="BA74" s="146"/>
      <c r="BB74" s="146"/>
      <c r="BC74" s="146"/>
      <c r="BD74" s="145"/>
      <c r="BE74" s="146"/>
      <c r="BF74" s="146"/>
      <c r="BG74" s="146"/>
      <c r="BH74" s="145"/>
      <c r="BI74" s="146"/>
      <c r="BJ74" s="145"/>
      <c r="BK74" s="146"/>
      <c r="BL74" s="145"/>
      <c r="BM74" s="146"/>
      <c r="BN74" s="145"/>
      <c r="BO74" s="146"/>
      <c r="BP74" s="145"/>
      <c r="BQ74" s="146"/>
      <c r="BR74" s="145"/>
      <c r="BS74" s="146"/>
      <c r="BT74" s="145"/>
      <c r="BU74" s="146"/>
      <c r="BV74" s="145"/>
      <c r="BW74" s="146"/>
      <c r="BX74" s="145"/>
      <c r="BY74" s="146"/>
      <c r="BZ74" s="145"/>
      <c r="CA74" s="146"/>
    </row>
    <row r="75" spans="1:101" s="101" customFormat="1" ht="12.75" customHeight="1" x14ac:dyDescent="0.2">
      <c r="A75" s="227">
        <f>A73+1</f>
        <v>30</v>
      </c>
      <c r="B75" s="227"/>
      <c r="C75" s="231"/>
      <c r="D75" s="251" t="str">
        <f>IF((C75=""),"Enter Segment "&amp;TEXT(A75,0)&amp;" Name, then Enter Data in Columns "&amp;TEXT($H$2,0)&amp;" - "&amp;TEXT($AN$2,0)&amp;"       ","")</f>
        <v xml:space="preserve">Enter Segment 30 Name, then Enter Data in Columns h - an       </v>
      </c>
      <c r="E75" s="131" t="str">
        <f>IF($AW75="B","N/A",IF(AX75="N","No",IF(AX75="Y","Yes","")))</f>
        <v>N/A</v>
      </c>
      <c r="F75" s="130"/>
      <c r="G75" s="130"/>
      <c r="H75" s="285"/>
      <c r="I75" s="251" t="str">
        <f>IF($C75&lt;&gt;"","Enter Starting Point       ","")</f>
        <v/>
      </c>
      <c r="J75" s="285"/>
      <c r="K75" s="227"/>
      <c r="L75" s="88"/>
      <c r="M75" s="251" t="str">
        <f>IF($C75&lt;&gt;"","Select from Pull-Down List  ","")</f>
        <v/>
      </c>
      <c r="N75" s="88"/>
      <c r="O75" s="251" t="str">
        <f>IF($C75&lt;&gt;"","Select from Pull-Down List  ","")</f>
        <v/>
      </c>
      <c r="P75" s="131"/>
      <c r="Q75" s="251" t="str">
        <f>IF($C75&lt;&gt;"","Dir. Route-Mi?    ","")</f>
        <v/>
      </c>
      <c r="R75" s="131"/>
      <c r="S75" s="251" t="str">
        <f>IF($C75&lt;&gt;"","Trk-Mi?      ","")</f>
        <v/>
      </c>
      <c r="T75" s="131"/>
      <c r="U75" s="251" t="str">
        <f>IF($C75&lt;&gt;"","Trk-Mi?      ","")</f>
        <v/>
      </c>
      <c r="V75" s="284"/>
      <c r="W75" s="278" t="str">
        <f>IF(OR($R75="",V$11=""),"","0 - "&amp;TEXT($R75-$AP75,"0.0")&amp;" Trk-Mi?    ")</f>
        <v/>
      </c>
      <c r="X75" s="284"/>
      <c r="Y75" s="278" t="str">
        <f>IF(OR($R75="",X$11=""),"","0 - "&amp;TEXT($R75-$AP75,"0.0")&amp;" Trk-Mi?    ")</f>
        <v/>
      </c>
      <c r="Z75" s="284"/>
      <c r="AA75" s="278" t="str">
        <f>IF(OR($R75="",Z$11=""),"","0 - "&amp;TEXT($R75-$AP75,"0.0")&amp;" Trk-Mi?    ")</f>
        <v/>
      </c>
      <c r="AB75" s="284"/>
      <c r="AC75" s="278" t="str">
        <f>IF(OR($R75="",AB$11=""),"","0 - "&amp;TEXT($R75-$AP75,"0.0")&amp;" Trk-Mi?    ")</f>
        <v/>
      </c>
      <c r="AD75" s="284"/>
      <c r="AE75" s="278" t="str">
        <f>IF(OR($R75="",AD$11=""),"","0 - "&amp;TEXT($R75-$AP75,"0.0")&amp;" Trk-Mi?    ")</f>
        <v/>
      </c>
      <c r="AF75" s="284"/>
      <c r="AG75" s="278" t="str">
        <f>IF(OR($R75="",AF$11=""),"","0 - "&amp;TEXT($R75-$AP75,"0.0")&amp;" Trk-Mi?    ")</f>
        <v/>
      </c>
      <c r="AH75" s="284"/>
      <c r="AI75" s="278" t="str">
        <f>IF(OR($R75="",AH$11=""),"","0 - "&amp;TEXT($R75-$AP75,"0.0")&amp;" Trk-Mi?    ")</f>
        <v/>
      </c>
      <c r="AJ75" s="284"/>
      <c r="AK75" s="278" t="str">
        <f>IF(OR($R75="",AJ$11=""),"","0 - "&amp;TEXT($R75-$AP75,"0.0")&amp;" Trk-Mi?    ")</f>
        <v/>
      </c>
      <c r="AL75" s="284"/>
      <c r="AM75" s="278" t="str">
        <f>IF(OR($R75="",AL$11=""),"","0 - "&amp;TEXT($R75-$AP75,"0.0")&amp;" Trk-Mi?    ")</f>
        <v/>
      </c>
      <c r="AN75" s="284"/>
      <c r="AO75" s="278" t="str">
        <f>IF(OR($R75="",AN$11=""),"","0 - "&amp;TEXT($R75-$AP75,"0.0")&amp;" Trk-Mi?    ")</f>
        <v/>
      </c>
      <c r="AP75" s="282">
        <f>SUM(V75,X75,Z75,AB75,AD75,AF75,AH75,AJ75,AL75,AN75)</f>
        <v>0</v>
      </c>
      <c r="AQ75" s="278"/>
      <c r="AR75" s="234"/>
      <c r="AS75" s="107"/>
      <c r="AT75" s="107"/>
      <c r="AU75" s="107"/>
      <c r="AW75" s="107" t="str">
        <f>IF(AND($C75="",$H75="",$J75="",$L75="",$N75="",$P75="",$R75=""),"B","NB")</f>
        <v>B</v>
      </c>
      <c r="AX75" s="241" t="str">
        <f>IF(OR($C75="",$H75="",$J75="",$L75="",$N75="",$R75="",$P75="",AND($V$11&lt;&gt;"",$V75=""),AND($X$11&lt;&gt;"",$X75=""),AND($Z$11&lt;&gt;"",$Z75=""),AND($AB$11&lt;&gt;"",$AB75=""),AND($AD$11&lt;&gt;"",$AD75=""),AND($AF$11&lt;&gt;"",$AF75=""),AND($AH$11&lt;&gt;"",$AH75=""),AND($AJ$11&lt;&gt;"",$AJ75=""),AND($AL$11&lt;&gt;"",$AL75=""),AND($AN$11&lt;&gt;"",$AN75="")),"N","Y")</f>
        <v>N</v>
      </c>
      <c r="AY75" s="142" t="b">
        <f>IF(AND($C75="",OR($H75&lt;&gt;"",$J75&lt;&gt;"",$L75&lt;&gt;"",$N75&lt;&gt;"",$R75&lt;&gt;"",$P75&lt;&gt;"",AND($V$11&lt;&gt;"",$V75&lt;&gt;""),AND($X$11&lt;&gt;"",$X75&lt;&gt;""),AND($Z$11&lt;&gt;"",$Z75&lt;&gt;""),AND($AB$11&lt;&gt;"",$AB75&lt;&gt;""),AND($AD$11&lt;&gt;"",$AD75&lt;&gt;""),AND($AF$11&lt;&gt;"",$AF75&lt;&gt;""),AND($AH$11&lt;&gt;"",$AH75&lt;&gt;""),AND($AJ$11&lt;&gt;"",$AJ75&lt;&gt;""),AND($AL$11&lt;&gt;"",$AL75&lt;&gt;""),AND($AN$11&lt;&gt;"",$AN75&lt;&gt;""))),TRUE,FALSE)</f>
        <v>0</v>
      </c>
      <c r="AZ75" s="144" t="b">
        <f>IF(AND($C75&lt;&gt;"",$H75=""),TRUE,FALSE)</f>
        <v>0</v>
      </c>
      <c r="BA75" s="144" t="b">
        <f>IF(AND($C75&lt;&gt;"",$J75=""),TRUE,FALSE)</f>
        <v>0</v>
      </c>
      <c r="BB75" s="144" t="b">
        <f>IF(AND($C75&lt;&gt;"",$L75=""),TRUE,FALSE)</f>
        <v>0</v>
      </c>
      <c r="BC75" s="144" t="b">
        <f>IF(AND($C75&lt;&gt;"",$N75=""),TRUE,FALSE)</f>
        <v>0</v>
      </c>
      <c r="BD75" s="142" t="b">
        <f>IF($BE75=TRUE,FALSE,IF(OR($P75&lt;$BD$5,$P75&gt;$BE$5),TRUE,FALSE))</f>
        <v>0</v>
      </c>
      <c r="BE75" s="144" t="b">
        <f>IF(AND($C75&lt;&gt;"",$P75=""),TRUE,FALSE)</f>
        <v>0</v>
      </c>
      <c r="BF75" s="144" t="b">
        <f>IF($BG75=TRUE,FALSE,IF(OR($R75&lt;$BF$5,$R75&gt;$BG$5),TRUE,FALSE))</f>
        <v>0</v>
      </c>
      <c r="BG75" s="144" t="b">
        <f>IF(AND($C75&lt;&gt;"",$R75=""),TRUE,FALSE)</f>
        <v>0</v>
      </c>
      <c r="BH75" s="160" t="b">
        <f>IF(BI75=TRUE,FALSE,IF(AND(V75&lt;&gt;"",V$11=""),TRUE,IF(AND(V75&lt;&gt;"",V$11&lt;&gt;"",$R75&lt;&gt;$AP75),TRUE,IF(OR(V75&lt;0,V75&gt;$R75),TRUE,FALSE))))</f>
        <v>0</v>
      </c>
      <c r="BI75" s="144" t="b">
        <f>IF(AND($C75&lt;&gt;"",V$11&lt;&gt;"",$V75=""),TRUE,FALSE)</f>
        <v>0</v>
      </c>
      <c r="BJ75" s="160" t="b">
        <f>IF(BK75=TRUE,FALSE,IF(AND(X75&lt;&gt;"",X$11=""),TRUE,IF(AND(X75&lt;&gt;"",X$11&lt;&gt;"",$R75&lt;&gt;$AP75),TRUE,IF(OR(X75&lt;0,X75&gt;$R75),TRUE,FALSE))))</f>
        <v>0</v>
      </c>
      <c r="BK75" s="144" t="b">
        <f>IF(AND($C75&lt;&gt;"",X$11&lt;&gt;"",$X75=""),TRUE,FALSE)</f>
        <v>0</v>
      </c>
      <c r="BL75" s="160" t="b">
        <f>IF(BM75=TRUE,FALSE,IF(AND(Z75&lt;&gt;"",Z$11=""),TRUE,IF(AND(Z75&lt;&gt;"",Z$11&lt;&gt;"",$R75&lt;&gt;$AP75),TRUE,IF(OR(Z75&lt;0,Z75&gt;$R75),TRUE,FALSE))))</f>
        <v>0</v>
      </c>
      <c r="BM75" s="144" t="b">
        <f>IF(AND($C75&lt;&gt;"",Z$11&lt;&gt;"",$Z75=""),TRUE,FALSE)</f>
        <v>0</v>
      </c>
      <c r="BN75" s="160" t="b">
        <f>IF(BO75=TRUE,FALSE,IF(AND(AB75&lt;&gt;"",AB$11=""),TRUE,IF(AND(AB75&lt;&gt;"",AB$11&lt;&gt;"",$R75&lt;&gt;$AP75),TRUE,IF(OR(AB75&lt;0,AB75&gt;$R75),TRUE,FALSE))))</f>
        <v>0</v>
      </c>
      <c r="BO75" s="144" t="b">
        <f>IF(AND($C75&lt;&gt;"",AB$11&lt;&gt;"",$AB75=""),TRUE,FALSE)</f>
        <v>0</v>
      </c>
      <c r="BP75" s="160" t="b">
        <f>IF(BQ75=TRUE,FALSE,IF(AND(AD75&lt;&gt;"",AD$11=""),TRUE,IF(AND(AD75&lt;&gt;"",AD$11&lt;&gt;"",$R75&lt;&gt;$AP75),TRUE,IF(OR(AD75&lt;0,AD75&gt;$R75),TRUE,FALSE))))</f>
        <v>0</v>
      </c>
      <c r="BQ75" s="144" t="b">
        <f>IF(AND($C75&lt;&gt;"",AD$11&lt;&gt;"",$AD75=""),TRUE,FALSE)</f>
        <v>0</v>
      </c>
      <c r="BR75" s="160" t="b">
        <f>IF(BS75=TRUE,FALSE,IF(AND(AF75&lt;&gt;"",AF$11=""),TRUE,IF(AND(AF75&lt;&gt;"",AF$11&lt;&gt;"",$R75&lt;&gt;$AP75),TRUE,IF(OR(AF75&lt;0,AF75&gt;$R75),TRUE,FALSE))))</f>
        <v>0</v>
      </c>
      <c r="BS75" s="144" t="b">
        <f>IF(AND($C75&lt;&gt;"",AF$11&lt;&gt;"",$AF75=""),TRUE,FALSE)</f>
        <v>0</v>
      </c>
      <c r="BT75" s="160" t="b">
        <f>IF(BU75=TRUE,FALSE,IF(AND(AH75&lt;&gt;"",AH$11=""),TRUE,IF(AND(AH75&lt;&gt;"",AH$11&lt;&gt;"",$R75&lt;&gt;$AP75),TRUE,IF(OR(AH75&lt;0,AH75&gt;$R75),TRUE,FALSE))))</f>
        <v>0</v>
      </c>
      <c r="BU75" s="144" t="b">
        <f>IF(AND($C75&lt;&gt;"",AH$11&lt;&gt;"",$AH75=""),TRUE,FALSE)</f>
        <v>0</v>
      </c>
      <c r="BV75" s="160" t="b">
        <f>IF(BW75=TRUE,FALSE,IF(AND(AJ75&lt;&gt;"",AJ$11=""),TRUE,IF(AND(AJ75&lt;&gt;"",AJ$11&lt;&gt;"",$R75&lt;&gt;$AP75),TRUE,IF(OR(AJ75&lt;0,AJ75&gt;$R75),TRUE,FALSE))))</f>
        <v>0</v>
      </c>
      <c r="BW75" s="144" t="b">
        <f>IF(AND($C75&lt;&gt;"",AJ$11&lt;&gt;"",$AJ75=""),TRUE,FALSE)</f>
        <v>0</v>
      </c>
      <c r="BX75" s="160" t="b">
        <f>IF(BY75=TRUE,FALSE,IF(AND(AL75&lt;&gt;"",AL$11=""),TRUE,IF(AND(AL75&lt;&gt;"",AL$11&lt;&gt;"",$R75&lt;&gt;$AP75),TRUE,IF(OR(AL75&lt;0,AL75&gt;$R75),TRUE,FALSE))))</f>
        <v>0</v>
      </c>
      <c r="BY75" s="144" t="b">
        <f>IF(AND($C75&lt;&gt;"",AL$11&lt;&gt;"",$AL75=""),TRUE,FALSE)</f>
        <v>0</v>
      </c>
      <c r="BZ75" s="160" t="b">
        <f>IF(CA75=TRUE,FALSE,IF(AND(AN75&lt;&gt;"",AN$11=""),TRUE,IF(AND(AN75&lt;&gt;"",AN$11&lt;&gt;"",$R75&lt;&gt;$AP75),TRUE,IF(OR(AN75&lt;0,AN75&gt;$R75),TRUE,FALSE))))</f>
        <v>0</v>
      </c>
      <c r="CA75" s="144" t="b">
        <f>IF(AND($C75&lt;&gt;"",AN$11&lt;&gt;"",$AN75=""),TRUE,FALSE)</f>
        <v>0</v>
      </c>
      <c r="CB75" s="133"/>
      <c r="CC75" s="133"/>
      <c r="CD75" s="133"/>
      <c r="CE75" s="133"/>
      <c r="CF75" s="133"/>
      <c r="CG75" s="133"/>
      <c r="CH75" s="133"/>
      <c r="CI75" s="133"/>
      <c r="CJ75" s="133"/>
      <c r="CK75" s="133"/>
      <c r="CL75" s="133"/>
      <c r="CM75" s="133"/>
      <c r="CN75" s="133"/>
      <c r="CO75" s="133"/>
      <c r="CP75" s="133"/>
      <c r="CQ75" s="133"/>
      <c r="CR75" s="133"/>
      <c r="CS75" s="133"/>
      <c r="CT75" s="133"/>
      <c r="CU75" s="133"/>
      <c r="CV75" s="133"/>
      <c r="CW75" s="134"/>
    </row>
    <row r="76" spans="1:101" ht="6.75" customHeight="1" thickBot="1" x14ac:dyDescent="0.25">
      <c r="A76" s="228"/>
      <c r="B76" s="228"/>
      <c r="C76" s="232"/>
      <c r="D76" s="267"/>
      <c r="I76" s="267"/>
      <c r="K76" s="228"/>
      <c r="M76" s="267"/>
      <c r="O76" s="267"/>
      <c r="Q76" s="267"/>
      <c r="S76" s="267"/>
      <c r="U76" s="267"/>
      <c r="V76" s="283"/>
      <c r="W76" s="267"/>
      <c r="X76" s="283"/>
      <c r="Y76" s="267"/>
      <c r="Z76" s="283"/>
      <c r="AA76" s="267"/>
      <c r="AB76" s="283"/>
      <c r="AC76" s="267"/>
      <c r="AD76" s="283"/>
      <c r="AE76" s="267"/>
      <c r="AF76" s="283"/>
      <c r="AG76" s="267"/>
      <c r="AH76" s="283"/>
      <c r="AI76" s="267"/>
      <c r="AJ76" s="283"/>
      <c r="AK76" s="267"/>
      <c r="AL76" s="283"/>
      <c r="AM76" s="267"/>
      <c r="AN76" s="283"/>
      <c r="AO76" s="267"/>
      <c r="AP76" s="280"/>
      <c r="AQ76" s="280"/>
      <c r="AR76" s="232"/>
      <c r="AY76" s="145"/>
      <c r="AZ76" s="146"/>
      <c r="BA76" s="146"/>
      <c r="BB76" s="146"/>
      <c r="BC76" s="146"/>
      <c r="BD76" s="145"/>
      <c r="BE76" s="146"/>
      <c r="BF76" s="146"/>
      <c r="BG76" s="146"/>
      <c r="BH76" s="145"/>
      <c r="BI76" s="146"/>
      <c r="BJ76" s="145"/>
      <c r="BK76" s="146"/>
      <c r="BL76" s="145"/>
      <c r="BM76" s="146"/>
      <c r="BN76" s="145"/>
      <c r="BO76" s="146"/>
      <c r="BP76" s="145"/>
      <c r="BQ76" s="146"/>
      <c r="BR76" s="145"/>
      <c r="BS76" s="146"/>
      <c r="BT76" s="145"/>
      <c r="BU76" s="146"/>
      <c r="BV76" s="145"/>
      <c r="BW76" s="146"/>
      <c r="BX76" s="145"/>
      <c r="BY76" s="146"/>
      <c r="BZ76" s="145"/>
      <c r="CA76" s="146"/>
    </row>
    <row r="77" spans="1:101" s="101" customFormat="1" ht="12.75" customHeight="1" x14ac:dyDescent="0.2">
      <c r="A77" s="227">
        <f>A75+1</f>
        <v>31</v>
      </c>
      <c r="B77" s="227"/>
      <c r="C77" s="231"/>
      <c r="D77" s="251" t="str">
        <f>IF((C77=""),"Enter Segment "&amp;TEXT(A77,0)&amp;" Name, then Enter Data in Columns "&amp;TEXT($H$2,0)&amp;" - "&amp;TEXT($AN$2,0)&amp;"       ","")</f>
        <v xml:space="preserve">Enter Segment 31 Name, then Enter Data in Columns h - an       </v>
      </c>
      <c r="E77" s="131" t="str">
        <f>IF($AW77="B","N/A",IF(AX77="N","No",IF(AX77="Y","Yes","")))</f>
        <v>N/A</v>
      </c>
      <c r="F77" s="130"/>
      <c r="G77" s="130"/>
      <c r="H77" s="285"/>
      <c r="I77" s="251" t="str">
        <f>IF($C77&lt;&gt;"","Enter Starting Point       ","")</f>
        <v/>
      </c>
      <c r="J77" s="285"/>
      <c r="K77" s="227"/>
      <c r="L77" s="88"/>
      <c r="M77" s="251" t="str">
        <f>IF($C77&lt;&gt;"","Select from Pull-Down List  ","")</f>
        <v/>
      </c>
      <c r="N77" s="88"/>
      <c r="O77" s="251" t="str">
        <f>IF($C77&lt;&gt;"","Select from Pull-Down List  ","")</f>
        <v/>
      </c>
      <c r="P77" s="131"/>
      <c r="Q77" s="251" t="str">
        <f>IF($C77&lt;&gt;"","Dir. Route-Mi?    ","")</f>
        <v/>
      </c>
      <c r="R77" s="131"/>
      <c r="S77" s="251" t="str">
        <f>IF($C77&lt;&gt;"","Trk-Mi?      ","")</f>
        <v/>
      </c>
      <c r="T77" s="131"/>
      <c r="U77" s="251" t="str">
        <f>IF($C77&lt;&gt;"","Trk-Mi?      ","")</f>
        <v/>
      </c>
      <c r="V77" s="284"/>
      <c r="W77" s="278" t="str">
        <f>IF(OR($R77="",V$11=""),"","0 - "&amp;TEXT($R77-$AP77,"0.0")&amp;" Trk-Mi?    ")</f>
        <v/>
      </c>
      <c r="X77" s="284"/>
      <c r="Y77" s="278" t="str">
        <f>IF(OR($R77="",X$11=""),"","0 - "&amp;TEXT($R77-$AP77,"0.0")&amp;" Trk-Mi?    ")</f>
        <v/>
      </c>
      <c r="Z77" s="284"/>
      <c r="AA77" s="278" t="str">
        <f>IF(OR($R77="",Z$11=""),"","0 - "&amp;TEXT($R77-$AP77,"0.0")&amp;" Trk-Mi?    ")</f>
        <v/>
      </c>
      <c r="AB77" s="284"/>
      <c r="AC77" s="278" t="str">
        <f>IF(OR($R77="",AB$11=""),"","0 - "&amp;TEXT($R77-$AP77,"0.0")&amp;" Trk-Mi?    ")</f>
        <v/>
      </c>
      <c r="AD77" s="284"/>
      <c r="AE77" s="278" t="str">
        <f>IF(OR($R77="",AD$11=""),"","0 - "&amp;TEXT($R77-$AP77,"0.0")&amp;" Trk-Mi?    ")</f>
        <v/>
      </c>
      <c r="AF77" s="284"/>
      <c r="AG77" s="278" t="str">
        <f>IF(OR($R77="",AF$11=""),"","0 - "&amp;TEXT($R77-$AP77,"0.0")&amp;" Trk-Mi?    ")</f>
        <v/>
      </c>
      <c r="AH77" s="284"/>
      <c r="AI77" s="278" t="str">
        <f>IF(OR($R77="",AH$11=""),"","0 - "&amp;TEXT($R77-$AP77,"0.0")&amp;" Trk-Mi?    ")</f>
        <v/>
      </c>
      <c r="AJ77" s="284"/>
      <c r="AK77" s="278" t="str">
        <f>IF(OR($R77="",AJ$11=""),"","0 - "&amp;TEXT($R77-$AP77,"0.0")&amp;" Trk-Mi?    ")</f>
        <v/>
      </c>
      <c r="AL77" s="284"/>
      <c r="AM77" s="278" t="str">
        <f>IF(OR($R77="",AL$11=""),"","0 - "&amp;TEXT($R77-$AP77,"0.0")&amp;" Trk-Mi?    ")</f>
        <v/>
      </c>
      <c r="AN77" s="284"/>
      <c r="AO77" s="278" t="str">
        <f>IF(OR($R77="",AN$11=""),"","0 - "&amp;TEXT($R77-$AP77,"0.0")&amp;" Trk-Mi?    ")</f>
        <v/>
      </c>
      <c r="AP77" s="282">
        <f>SUM(V77,X77,Z77,AB77,AD77,AF77,AH77,AJ77,AL77,AN77)</f>
        <v>0</v>
      </c>
      <c r="AQ77" s="278"/>
      <c r="AR77" s="234"/>
      <c r="AS77" s="107"/>
      <c r="AT77" s="107"/>
      <c r="AU77" s="107"/>
      <c r="AW77" s="107" t="str">
        <f>IF(AND($C77="",$H77="",$J77="",$L77="",$N77="",$P77="",$R77=""),"B","NB")</f>
        <v>B</v>
      </c>
      <c r="AX77" s="241" t="str">
        <f>IF(OR($C77="",$H77="",$J77="",$L77="",$N77="",$R77="",$P77="",AND($V$11&lt;&gt;"",$V77=""),AND($X$11&lt;&gt;"",$X77=""),AND($Z$11&lt;&gt;"",$Z77=""),AND($AB$11&lt;&gt;"",$AB77=""),AND($AD$11&lt;&gt;"",$AD77=""),AND($AF$11&lt;&gt;"",$AF77=""),AND($AH$11&lt;&gt;"",$AH77=""),AND($AJ$11&lt;&gt;"",$AJ77=""),AND($AL$11&lt;&gt;"",$AL77=""),AND($AN$11&lt;&gt;"",$AN77="")),"N","Y")</f>
        <v>N</v>
      </c>
      <c r="AY77" s="142" t="b">
        <f>IF(AND($C77="",OR($H77&lt;&gt;"",$J77&lt;&gt;"",$L77&lt;&gt;"",$N77&lt;&gt;"",$R77&lt;&gt;"",$P77&lt;&gt;"",AND($V$11&lt;&gt;"",$V77&lt;&gt;""),AND($X$11&lt;&gt;"",$X77&lt;&gt;""),AND($Z$11&lt;&gt;"",$Z77&lt;&gt;""),AND($AB$11&lt;&gt;"",$AB77&lt;&gt;""),AND($AD$11&lt;&gt;"",$AD77&lt;&gt;""),AND($AF$11&lt;&gt;"",$AF77&lt;&gt;""),AND($AH$11&lt;&gt;"",$AH77&lt;&gt;""),AND($AJ$11&lt;&gt;"",$AJ77&lt;&gt;""),AND($AL$11&lt;&gt;"",$AL77&lt;&gt;""),AND($AN$11&lt;&gt;"",$AN77&lt;&gt;""))),TRUE,FALSE)</f>
        <v>0</v>
      </c>
      <c r="AZ77" s="144" t="b">
        <f>IF(AND($C77&lt;&gt;"",$H77=""),TRUE,FALSE)</f>
        <v>0</v>
      </c>
      <c r="BA77" s="144" t="b">
        <f>IF(AND($C77&lt;&gt;"",$J77=""),TRUE,FALSE)</f>
        <v>0</v>
      </c>
      <c r="BB77" s="144" t="b">
        <f>IF(AND($C77&lt;&gt;"",$L77=""),TRUE,FALSE)</f>
        <v>0</v>
      </c>
      <c r="BC77" s="144" t="b">
        <f>IF(AND($C77&lt;&gt;"",$N77=""),TRUE,FALSE)</f>
        <v>0</v>
      </c>
      <c r="BD77" s="142" t="b">
        <f>IF($BE77=TRUE,FALSE,IF(OR($P77&lt;$BD$5,$P77&gt;$BE$5),TRUE,FALSE))</f>
        <v>0</v>
      </c>
      <c r="BE77" s="144" t="b">
        <f>IF(AND($C77&lt;&gt;"",$P77=""),TRUE,FALSE)</f>
        <v>0</v>
      </c>
      <c r="BF77" s="144" t="b">
        <f>IF($BG77=TRUE,FALSE,IF(OR($R77&lt;$BF$5,$R77&gt;$BG$5),TRUE,FALSE))</f>
        <v>0</v>
      </c>
      <c r="BG77" s="144" t="b">
        <f>IF(AND($C77&lt;&gt;"",$R77=""),TRUE,FALSE)</f>
        <v>0</v>
      </c>
      <c r="BH77" s="160" t="b">
        <f>IF(BI77=TRUE,FALSE,IF(AND(V77&lt;&gt;"",V$11=""),TRUE,IF(AND(V77&lt;&gt;"",V$11&lt;&gt;"",$R77&lt;&gt;$AP77),TRUE,IF(OR(V77&lt;0,V77&gt;$R77),TRUE,FALSE))))</f>
        <v>0</v>
      </c>
      <c r="BI77" s="144" t="b">
        <f>IF(AND($C77&lt;&gt;"",V$11&lt;&gt;"",$V77=""),TRUE,FALSE)</f>
        <v>0</v>
      </c>
      <c r="BJ77" s="160" t="b">
        <f>IF(BK77=TRUE,FALSE,IF(AND(X77&lt;&gt;"",X$11=""),TRUE,IF(AND(X77&lt;&gt;"",X$11&lt;&gt;"",$R77&lt;&gt;$AP77),TRUE,IF(OR(X77&lt;0,X77&gt;$R77),TRUE,FALSE))))</f>
        <v>0</v>
      </c>
      <c r="BK77" s="144" t="b">
        <f>IF(AND($C77&lt;&gt;"",X$11&lt;&gt;"",$X77=""),TRUE,FALSE)</f>
        <v>0</v>
      </c>
      <c r="BL77" s="160" t="b">
        <f>IF(BM77=TRUE,FALSE,IF(AND(Z77&lt;&gt;"",Z$11=""),TRUE,IF(AND(Z77&lt;&gt;"",Z$11&lt;&gt;"",$R77&lt;&gt;$AP77),TRUE,IF(OR(Z77&lt;0,Z77&gt;$R77),TRUE,FALSE))))</f>
        <v>0</v>
      </c>
      <c r="BM77" s="144" t="b">
        <f>IF(AND($C77&lt;&gt;"",Z$11&lt;&gt;"",$Z77=""),TRUE,FALSE)</f>
        <v>0</v>
      </c>
      <c r="BN77" s="160" t="b">
        <f>IF(BO77=TRUE,FALSE,IF(AND(AB77&lt;&gt;"",AB$11=""),TRUE,IF(AND(AB77&lt;&gt;"",AB$11&lt;&gt;"",$R77&lt;&gt;$AP77),TRUE,IF(OR(AB77&lt;0,AB77&gt;$R77),TRUE,FALSE))))</f>
        <v>0</v>
      </c>
      <c r="BO77" s="144" t="b">
        <f>IF(AND($C77&lt;&gt;"",AB$11&lt;&gt;"",$AB77=""),TRUE,FALSE)</f>
        <v>0</v>
      </c>
      <c r="BP77" s="160" t="b">
        <f>IF(BQ77=TRUE,FALSE,IF(AND(AD77&lt;&gt;"",AD$11=""),TRUE,IF(AND(AD77&lt;&gt;"",AD$11&lt;&gt;"",$R77&lt;&gt;$AP77),TRUE,IF(OR(AD77&lt;0,AD77&gt;$R77),TRUE,FALSE))))</f>
        <v>0</v>
      </c>
      <c r="BQ77" s="144" t="b">
        <f>IF(AND($C77&lt;&gt;"",AD$11&lt;&gt;"",$AD77=""),TRUE,FALSE)</f>
        <v>0</v>
      </c>
      <c r="BR77" s="160" t="b">
        <f>IF(BS77=TRUE,FALSE,IF(AND(AF77&lt;&gt;"",AF$11=""),TRUE,IF(AND(AF77&lt;&gt;"",AF$11&lt;&gt;"",$R77&lt;&gt;$AP77),TRUE,IF(OR(AF77&lt;0,AF77&gt;$R77),TRUE,FALSE))))</f>
        <v>0</v>
      </c>
      <c r="BS77" s="144" t="b">
        <f>IF(AND($C77&lt;&gt;"",AF$11&lt;&gt;"",$AF77=""),TRUE,FALSE)</f>
        <v>0</v>
      </c>
      <c r="BT77" s="160" t="b">
        <f>IF(BU77=TRUE,FALSE,IF(AND(AH77&lt;&gt;"",AH$11=""),TRUE,IF(AND(AH77&lt;&gt;"",AH$11&lt;&gt;"",$R77&lt;&gt;$AP77),TRUE,IF(OR(AH77&lt;0,AH77&gt;$R77),TRUE,FALSE))))</f>
        <v>0</v>
      </c>
      <c r="BU77" s="144" t="b">
        <f>IF(AND($C77&lt;&gt;"",AH$11&lt;&gt;"",$AH77=""),TRUE,FALSE)</f>
        <v>0</v>
      </c>
      <c r="BV77" s="160" t="b">
        <f>IF(BW77=TRUE,FALSE,IF(AND(AJ77&lt;&gt;"",AJ$11=""),TRUE,IF(AND(AJ77&lt;&gt;"",AJ$11&lt;&gt;"",$R77&lt;&gt;$AP77),TRUE,IF(OR(AJ77&lt;0,AJ77&gt;$R77),TRUE,FALSE))))</f>
        <v>0</v>
      </c>
      <c r="BW77" s="144" t="b">
        <f>IF(AND($C77&lt;&gt;"",AJ$11&lt;&gt;"",$AJ77=""),TRUE,FALSE)</f>
        <v>0</v>
      </c>
      <c r="BX77" s="160" t="b">
        <f>IF(BY77=TRUE,FALSE,IF(AND(AL77&lt;&gt;"",AL$11=""),TRUE,IF(AND(AL77&lt;&gt;"",AL$11&lt;&gt;"",$R77&lt;&gt;$AP77),TRUE,IF(OR(AL77&lt;0,AL77&gt;$R77),TRUE,FALSE))))</f>
        <v>0</v>
      </c>
      <c r="BY77" s="144" t="b">
        <f>IF(AND($C77&lt;&gt;"",AL$11&lt;&gt;"",$AL77=""),TRUE,FALSE)</f>
        <v>0</v>
      </c>
      <c r="BZ77" s="160" t="b">
        <f>IF(CA77=TRUE,FALSE,IF(AND(AN77&lt;&gt;"",AN$11=""),TRUE,IF(AND(AN77&lt;&gt;"",AN$11&lt;&gt;"",$R77&lt;&gt;$AP77),TRUE,IF(OR(AN77&lt;0,AN77&gt;$R77),TRUE,FALSE))))</f>
        <v>0</v>
      </c>
      <c r="CA77" s="144" t="b">
        <f>IF(AND($C77&lt;&gt;"",AN$11&lt;&gt;"",$AN77=""),TRUE,FALSE)</f>
        <v>0</v>
      </c>
      <c r="CB77" s="133"/>
      <c r="CC77" s="133"/>
      <c r="CD77" s="133"/>
      <c r="CE77" s="133"/>
      <c r="CF77" s="133"/>
      <c r="CG77" s="133"/>
      <c r="CH77" s="133"/>
      <c r="CI77" s="133"/>
      <c r="CJ77" s="133"/>
      <c r="CK77" s="133"/>
      <c r="CL77" s="133"/>
      <c r="CM77" s="133"/>
      <c r="CN77" s="133"/>
      <c r="CO77" s="133"/>
      <c r="CP77" s="133"/>
      <c r="CQ77" s="133"/>
      <c r="CR77" s="133"/>
      <c r="CS77" s="133"/>
      <c r="CT77" s="133"/>
      <c r="CU77" s="133"/>
      <c r="CV77" s="133"/>
      <c r="CW77" s="134"/>
    </row>
    <row r="78" spans="1:101" ht="6.75" customHeight="1" thickBot="1" x14ac:dyDescent="0.25">
      <c r="A78" s="228"/>
      <c r="B78" s="228"/>
      <c r="C78" s="232"/>
      <c r="D78" s="267"/>
      <c r="I78" s="267"/>
      <c r="K78" s="228"/>
      <c r="M78" s="267"/>
      <c r="O78" s="267"/>
      <c r="Q78" s="267"/>
      <c r="S78" s="267"/>
      <c r="U78" s="267"/>
      <c r="V78" s="283"/>
      <c r="W78" s="267"/>
      <c r="X78" s="283"/>
      <c r="Y78" s="267"/>
      <c r="Z78" s="283"/>
      <c r="AA78" s="267"/>
      <c r="AB78" s="283"/>
      <c r="AC78" s="267"/>
      <c r="AD78" s="283"/>
      <c r="AE78" s="267"/>
      <c r="AF78" s="283"/>
      <c r="AG78" s="267"/>
      <c r="AH78" s="283"/>
      <c r="AI78" s="267"/>
      <c r="AJ78" s="283"/>
      <c r="AK78" s="267"/>
      <c r="AL78" s="283"/>
      <c r="AM78" s="267"/>
      <c r="AN78" s="283"/>
      <c r="AO78" s="267"/>
      <c r="AP78" s="267"/>
      <c r="AQ78" s="267"/>
      <c r="AR78" s="232"/>
      <c r="AY78" s="145"/>
      <c r="AZ78" s="146"/>
      <c r="BA78" s="146"/>
      <c r="BB78" s="146"/>
      <c r="BC78" s="146"/>
      <c r="BD78" s="145"/>
      <c r="BE78" s="146"/>
      <c r="BF78" s="146"/>
      <c r="BG78" s="146"/>
      <c r="BH78" s="145"/>
      <c r="BI78" s="146"/>
      <c r="BJ78" s="145"/>
      <c r="BK78" s="146"/>
      <c r="BL78" s="145"/>
      <c r="BM78" s="146"/>
      <c r="BN78" s="145"/>
      <c r="BO78" s="146"/>
      <c r="BP78" s="145"/>
      <c r="BQ78" s="146"/>
      <c r="BR78" s="145"/>
      <c r="BS78" s="146"/>
      <c r="BT78" s="145"/>
      <c r="BU78" s="146"/>
      <c r="BV78" s="145"/>
      <c r="BW78" s="146"/>
      <c r="BX78" s="145"/>
      <c r="BY78" s="146"/>
      <c r="BZ78" s="145"/>
      <c r="CA78" s="146"/>
    </row>
    <row r="79" spans="1:101" s="101" customFormat="1" ht="12.75" customHeight="1" x14ac:dyDescent="0.2">
      <c r="A79" s="227">
        <f>A77+1</f>
        <v>32</v>
      </c>
      <c r="B79" s="227"/>
      <c r="C79" s="231"/>
      <c r="D79" s="251" t="str">
        <f>IF((C79=""),"Enter Segment "&amp;TEXT(A79,0)&amp;" Name, then Enter Data in Columns "&amp;TEXT($H$2,0)&amp;" - "&amp;TEXT($AN$2,0)&amp;"       ","")</f>
        <v xml:space="preserve">Enter Segment 32 Name, then Enter Data in Columns h - an       </v>
      </c>
      <c r="E79" s="131" t="str">
        <f>IF($AW79="B","N/A",IF(AX79="N","No",IF(AX79="Y","Yes","")))</f>
        <v>N/A</v>
      </c>
      <c r="F79" s="130"/>
      <c r="G79" s="130"/>
      <c r="H79" s="285"/>
      <c r="I79" s="251" t="str">
        <f>IF($C79&lt;&gt;"","Enter Starting Point       ","")</f>
        <v/>
      </c>
      <c r="J79" s="285"/>
      <c r="K79" s="227"/>
      <c r="L79" s="88"/>
      <c r="M79" s="251" t="str">
        <f>IF($C79&lt;&gt;"","Select from Pull-Down List  ","")</f>
        <v/>
      </c>
      <c r="N79" s="88"/>
      <c r="O79" s="251" t="str">
        <f>IF($C79&lt;&gt;"","Select from Pull-Down List  ","")</f>
        <v/>
      </c>
      <c r="P79" s="131"/>
      <c r="Q79" s="251" t="str">
        <f>IF($C79&lt;&gt;"","Dir. Route-Mi?    ","")</f>
        <v/>
      </c>
      <c r="R79" s="131"/>
      <c r="S79" s="251" t="str">
        <f>IF($C79&lt;&gt;"","Trk-Mi?      ","")</f>
        <v/>
      </c>
      <c r="T79" s="131"/>
      <c r="U79" s="251" t="str">
        <f>IF($C79&lt;&gt;"","Trk-Mi?      ","")</f>
        <v/>
      </c>
      <c r="V79" s="284"/>
      <c r="W79" s="278" t="str">
        <f>IF(OR($R79="",V$11=""),"","0 - "&amp;TEXT($R79-$AP79,"0.0")&amp;" Trk-Mi?    ")</f>
        <v/>
      </c>
      <c r="X79" s="284"/>
      <c r="Y79" s="278" t="str">
        <f>IF(OR($R79="",X$11=""),"","0 - "&amp;TEXT($R79-$AP79,"0.0")&amp;" Trk-Mi?    ")</f>
        <v/>
      </c>
      <c r="Z79" s="284"/>
      <c r="AA79" s="278" t="str">
        <f>IF(OR($R79="",Z$11=""),"","0 - "&amp;TEXT($R79-$AP79,"0.0")&amp;" Trk-Mi?    ")</f>
        <v/>
      </c>
      <c r="AB79" s="284"/>
      <c r="AC79" s="278" t="str">
        <f>IF(OR($R79="",AB$11=""),"","0 - "&amp;TEXT($R79-$AP79,"0.0")&amp;" Trk-Mi?    ")</f>
        <v/>
      </c>
      <c r="AD79" s="284"/>
      <c r="AE79" s="278" t="str">
        <f>IF(OR($R79="",AD$11=""),"","0 - "&amp;TEXT($R79-$AP79,"0.0")&amp;" Trk-Mi?    ")</f>
        <v/>
      </c>
      <c r="AF79" s="284"/>
      <c r="AG79" s="278" t="str">
        <f>IF(OR($R79="",AF$11=""),"","0 - "&amp;TEXT($R79-$AP79,"0.0")&amp;" Trk-Mi?    ")</f>
        <v/>
      </c>
      <c r="AH79" s="284"/>
      <c r="AI79" s="278" t="str">
        <f>IF(OR($R79="",AH$11=""),"","0 - "&amp;TEXT($R79-$AP79,"0.0")&amp;" Trk-Mi?    ")</f>
        <v/>
      </c>
      <c r="AJ79" s="284"/>
      <c r="AK79" s="278" t="str">
        <f>IF(OR($R79="",AJ$11=""),"","0 - "&amp;TEXT($R79-$AP79,"0.0")&amp;" Trk-Mi?    ")</f>
        <v/>
      </c>
      <c r="AL79" s="284"/>
      <c r="AM79" s="278" t="str">
        <f>IF(OR($R79="",AL$11=""),"","0 - "&amp;TEXT($R79-$AP79,"0.0")&amp;" Trk-Mi?    ")</f>
        <v/>
      </c>
      <c r="AN79" s="284"/>
      <c r="AO79" s="278" t="str">
        <f>IF(OR($R79="",AN$11=""),"","0 - "&amp;TEXT($R79-$AP79,"0.0")&amp;" Trk-Mi?    ")</f>
        <v/>
      </c>
      <c r="AP79" s="282">
        <f>SUM(V79,X79,Z79,AB79,AD79,AF79,AH79,AJ79,AL79,AN79)</f>
        <v>0</v>
      </c>
      <c r="AQ79" s="278"/>
      <c r="AR79" s="234"/>
      <c r="AS79" s="107"/>
      <c r="AT79" s="107"/>
      <c r="AU79" s="107"/>
      <c r="AW79" s="107" t="str">
        <f>IF(AND($C79="",$H79="",$J79="",$L79="",$N79="",$P79="",$R79=""),"B","NB")</f>
        <v>B</v>
      </c>
      <c r="AX79" s="241" t="str">
        <f>IF(OR($C79="",$H79="",$J79="",$L79="",$N79="",$R79="",$P79="",AND($V$11&lt;&gt;"",$V79=""),AND($X$11&lt;&gt;"",$X79=""),AND($Z$11&lt;&gt;"",$Z79=""),AND($AB$11&lt;&gt;"",$AB79=""),AND($AD$11&lt;&gt;"",$AD79=""),AND($AF$11&lt;&gt;"",$AF79=""),AND($AH$11&lt;&gt;"",$AH79=""),AND($AJ$11&lt;&gt;"",$AJ79=""),AND($AL$11&lt;&gt;"",$AL79=""),AND($AN$11&lt;&gt;"",$AN79="")),"N","Y")</f>
        <v>N</v>
      </c>
      <c r="AY79" s="142" t="b">
        <f>IF(AND($C79="",OR($H79&lt;&gt;"",$J79&lt;&gt;"",$L79&lt;&gt;"",$N79&lt;&gt;"",$R79&lt;&gt;"",$P79&lt;&gt;"",AND($V$11&lt;&gt;"",$V79&lt;&gt;""),AND($X$11&lt;&gt;"",$X79&lt;&gt;""),AND($Z$11&lt;&gt;"",$Z79&lt;&gt;""),AND($AB$11&lt;&gt;"",$AB79&lt;&gt;""),AND($AD$11&lt;&gt;"",$AD79&lt;&gt;""),AND($AF$11&lt;&gt;"",$AF79&lt;&gt;""),AND($AH$11&lt;&gt;"",$AH79&lt;&gt;""),AND($AJ$11&lt;&gt;"",$AJ79&lt;&gt;""),AND($AL$11&lt;&gt;"",$AL79&lt;&gt;""),AND($AN$11&lt;&gt;"",$AN79&lt;&gt;""))),TRUE,FALSE)</f>
        <v>0</v>
      </c>
      <c r="AZ79" s="144" t="b">
        <f>IF(AND($C79&lt;&gt;"",$H79=""),TRUE,FALSE)</f>
        <v>0</v>
      </c>
      <c r="BA79" s="144" t="b">
        <f>IF(AND($C79&lt;&gt;"",$J79=""),TRUE,FALSE)</f>
        <v>0</v>
      </c>
      <c r="BB79" s="144" t="b">
        <f>IF(AND($C79&lt;&gt;"",$L79=""),TRUE,FALSE)</f>
        <v>0</v>
      </c>
      <c r="BC79" s="144" t="b">
        <f>IF(AND($C79&lt;&gt;"",$N79=""),TRUE,FALSE)</f>
        <v>0</v>
      </c>
      <c r="BD79" s="142" t="b">
        <f>IF($BE79=TRUE,FALSE,IF(OR($P79&lt;$BD$5,$P79&gt;$BE$5),TRUE,FALSE))</f>
        <v>0</v>
      </c>
      <c r="BE79" s="144" t="b">
        <f>IF(AND($C79&lt;&gt;"",$P79=""),TRUE,FALSE)</f>
        <v>0</v>
      </c>
      <c r="BF79" s="144" t="b">
        <f>IF($BG79=TRUE,FALSE,IF(OR($R79&lt;$BF$5,$R79&gt;$BG$5),TRUE,FALSE))</f>
        <v>0</v>
      </c>
      <c r="BG79" s="144" t="b">
        <f>IF(AND($C79&lt;&gt;"",$R79=""),TRUE,FALSE)</f>
        <v>0</v>
      </c>
      <c r="BH79" s="160" t="b">
        <f>IF(BI79=TRUE,FALSE,IF(AND(V79&lt;&gt;"",V$11=""),TRUE,IF(AND(V79&lt;&gt;"",V$11&lt;&gt;"",$R79&lt;&gt;$AP79),TRUE,IF(OR(V79&lt;0,V79&gt;$R79),TRUE,FALSE))))</f>
        <v>0</v>
      </c>
      <c r="BI79" s="144" t="b">
        <f>IF(AND($C79&lt;&gt;"",V$11&lt;&gt;"",$V79=""),TRUE,FALSE)</f>
        <v>0</v>
      </c>
      <c r="BJ79" s="160" t="b">
        <f>IF(BK79=TRUE,FALSE,IF(AND(X79&lt;&gt;"",X$11=""),TRUE,IF(AND(X79&lt;&gt;"",X$11&lt;&gt;"",$R79&lt;&gt;$AP79),TRUE,IF(OR(X79&lt;0,X79&gt;$R79),TRUE,FALSE))))</f>
        <v>0</v>
      </c>
      <c r="BK79" s="144" t="b">
        <f>IF(AND($C79&lt;&gt;"",X$11&lt;&gt;"",$X79=""),TRUE,FALSE)</f>
        <v>0</v>
      </c>
      <c r="BL79" s="160" t="b">
        <f>IF(BM79=TRUE,FALSE,IF(AND(Z79&lt;&gt;"",Z$11=""),TRUE,IF(AND(Z79&lt;&gt;"",Z$11&lt;&gt;"",$R79&lt;&gt;$AP79),TRUE,IF(OR(Z79&lt;0,Z79&gt;$R79),TRUE,FALSE))))</f>
        <v>0</v>
      </c>
      <c r="BM79" s="144" t="b">
        <f>IF(AND($C79&lt;&gt;"",Z$11&lt;&gt;"",$Z79=""),TRUE,FALSE)</f>
        <v>0</v>
      </c>
      <c r="BN79" s="160" t="b">
        <f>IF(BO79=TRUE,FALSE,IF(AND(AB79&lt;&gt;"",AB$11=""),TRUE,IF(AND(AB79&lt;&gt;"",AB$11&lt;&gt;"",$R79&lt;&gt;$AP79),TRUE,IF(OR(AB79&lt;0,AB79&gt;$R79),TRUE,FALSE))))</f>
        <v>0</v>
      </c>
      <c r="BO79" s="144" t="b">
        <f>IF(AND($C79&lt;&gt;"",AB$11&lt;&gt;"",$AB79=""),TRUE,FALSE)</f>
        <v>0</v>
      </c>
      <c r="BP79" s="160" t="b">
        <f>IF(BQ79=TRUE,FALSE,IF(AND(AD79&lt;&gt;"",AD$11=""),TRUE,IF(AND(AD79&lt;&gt;"",AD$11&lt;&gt;"",$R79&lt;&gt;$AP79),TRUE,IF(OR(AD79&lt;0,AD79&gt;$R79),TRUE,FALSE))))</f>
        <v>0</v>
      </c>
      <c r="BQ79" s="144" t="b">
        <f>IF(AND($C79&lt;&gt;"",AD$11&lt;&gt;"",$AD79=""),TRUE,FALSE)</f>
        <v>0</v>
      </c>
      <c r="BR79" s="160" t="b">
        <f>IF(BS79=TRUE,FALSE,IF(AND(AF79&lt;&gt;"",AF$11=""),TRUE,IF(AND(AF79&lt;&gt;"",AF$11&lt;&gt;"",$R79&lt;&gt;$AP79),TRUE,IF(OR(AF79&lt;0,AF79&gt;$R79),TRUE,FALSE))))</f>
        <v>0</v>
      </c>
      <c r="BS79" s="144" t="b">
        <f>IF(AND($C79&lt;&gt;"",AF$11&lt;&gt;"",$AF79=""),TRUE,FALSE)</f>
        <v>0</v>
      </c>
      <c r="BT79" s="160" t="b">
        <f>IF(BU79=TRUE,FALSE,IF(AND(AH79&lt;&gt;"",AH$11=""),TRUE,IF(AND(AH79&lt;&gt;"",AH$11&lt;&gt;"",$R79&lt;&gt;$AP79),TRUE,IF(OR(AH79&lt;0,AH79&gt;$R79),TRUE,FALSE))))</f>
        <v>0</v>
      </c>
      <c r="BU79" s="144" t="b">
        <f>IF(AND($C79&lt;&gt;"",AH$11&lt;&gt;"",$AH79=""),TRUE,FALSE)</f>
        <v>0</v>
      </c>
      <c r="BV79" s="160" t="b">
        <f>IF(BW79=TRUE,FALSE,IF(AND(AJ79&lt;&gt;"",AJ$11=""),TRUE,IF(AND(AJ79&lt;&gt;"",AJ$11&lt;&gt;"",$R79&lt;&gt;$AP79),TRUE,IF(OR(AJ79&lt;0,AJ79&gt;$R79),TRUE,FALSE))))</f>
        <v>0</v>
      </c>
      <c r="BW79" s="144" t="b">
        <f>IF(AND($C79&lt;&gt;"",AJ$11&lt;&gt;"",$AJ79=""),TRUE,FALSE)</f>
        <v>0</v>
      </c>
      <c r="BX79" s="160" t="b">
        <f>IF(BY79=TRUE,FALSE,IF(AND(AL79&lt;&gt;"",AL$11=""),TRUE,IF(AND(AL79&lt;&gt;"",AL$11&lt;&gt;"",$R79&lt;&gt;$AP79),TRUE,IF(OR(AL79&lt;0,AL79&gt;$R79),TRUE,FALSE))))</f>
        <v>0</v>
      </c>
      <c r="BY79" s="144" t="b">
        <f>IF(AND($C79&lt;&gt;"",AL$11&lt;&gt;"",$AL79=""),TRUE,FALSE)</f>
        <v>0</v>
      </c>
      <c r="BZ79" s="160" t="b">
        <f>IF(CA79=TRUE,FALSE,IF(AND(AN79&lt;&gt;"",AN$11=""),TRUE,IF(AND(AN79&lt;&gt;"",AN$11&lt;&gt;"",$R79&lt;&gt;$AP79),TRUE,IF(OR(AN79&lt;0,AN79&gt;$R79),TRUE,FALSE))))</f>
        <v>0</v>
      </c>
      <c r="CA79" s="144" t="b">
        <f>IF(AND($C79&lt;&gt;"",AN$11&lt;&gt;"",$AN79=""),TRUE,FALSE)</f>
        <v>0</v>
      </c>
      <c r="CB79" s="133"/>
      <c r="CC79" s="133"/>
      <c r="CD79" s="133"/>
      <c r="CE79" s="133"/>
      <c r="CF79" s="133"/>
      <c r="CG79" s="133"/>
      <c r="CH79" s="133"/>
      <c r="CI79" s="133"/>
      <c r="CJ79" s="133"/>
      <c r="CK79" s="133"/>
      <c r="CL79" s="133"/>
      <c r="CM79" s="133"/>
      <c r="CN79" s="133"/>
      <c r="CO79" s="133"/>
      <c r="CP79" s="133"/>
      <c r="CQ79" s="133"/>
      <c r="CR79" s="133"/>
      <c r="CS79" s="133"/>
      <c r="CT79" s="133"/>
      <c r="CU79" s="133"/>
      <c r="CV79" s="133"/>
      <c r="CW79" s="134"/>
    </row>
    <row r="80" spans="1:101" ht="6.75" customHeight="1" thickBot="1" x14ac:dyDescent="0.25">
      <c r="A80" s="228"/>
      <c r="B80" s="228"/>
      <c r="C80" s="232"/>
      <c r="D80" s="267"/>
      <c r="I80" s="267"/>
      <c r="K80" s="228"/>
      <c r="M80" s="267"/>
      <c r="O80" s="267"/>
      <c r="Q80" s="267"/>
      <c r="S80" s="267"/>
      <c r="U80" s="267"/>
      <c r="V80" s="283"/>
      <c r="W80" s="267"/>
      <c r="X80" s="283"/>
      <c r="Y80" s="267"/>
      <c r="Z80" s="283"/>
      <c r="AA80" s="267"/>
      <c r="AB80" s="283"/>
      <c r="AC80" s="267"/>
      <c r="AD80" s="283"/>
      <c r="AE80" s="267"/>
      <c r="AF80" s="283"/>
      <c r="AG80" s="267"/>
      <c r="AH80" s="283"/>
      <c r="AI80" s="267"/>
      <c r="AJ80" s="283"/>
      <c r="AK80" s="267"/>
      <c r="AL80" s="283"/>
      <c r="AM80" s="267"/>
      <c r="AN80" s="283"/>
      <c r="AO80" s="267"/>
      <c r="AP80" s="267"/>
      <c r="AQ80" s="267"/>
      <c r="AR80" s="235" t="str">
        <f>IF(CJ80&gt;=1,"Bad Data","")</f>
        <v/>
      </c>
      <c r="AY80" s="145"/>
      <c r="AZ80" s="146"/>
      <c r="BA80" s="146"/>
      <c r="BB80" s="146"/>
      <c r="BC80" s="146"/>
      <c r="BD80" s="145"/>
      <c r="BE80" s="146"/>
      <c r="BF80" s="146"/>
      <c r="BG80" s="146"/>
      <c r="BH80" s="145"/>
      <c r="BI80" s="146"/>
      <c r="BJ80" s="145"/>
      <c r="BK80" s="146"/>
      <c r="BL80" s="145"/>
      <c r="BM80" s="146"/>
      <c r="BN80" s="145"/>
      <c r="BO80" s="146"/>
      <c r="BP80" s="145"/>
      <c r="BQ80" s="146"/>
      <c r="BR80" s="145"/>
      <c r="BS80" s="146"/>
      <c r="BT80" s="145"/>
      <c r="BU80" s="146"/>
      <c r="BV80" s="145"/>
      <c r="BW80" s="146"/>
      <c r="BX80" s="145"/>
      <c r="BY80" s="146"/>
      <c r="BZ80" s="145"/>
      <c r="CA80" s="146"/>
    </row>
    <row r="81" spans="1:101" s="101" customFormat="1" ht="12.75" customHeight="1" x14ac:dyDescent="0.2">
      <c r="A81" s="227">
        <f>A79+1</f>
        <v>33</v>
      </c>
      <c r="B81" s="227"/>
      <c r="C81" s="231"/>
      <c r="D81" s="251" t="str">
        <f>IF((C81=""),"Enter Segment "&amp;TEXT(A81,0)&amp;" Name, then Enter Data in Columns "&amp;TEXT($H$2,0)&amp;" - "&amp;TEXT($AN$2,0)&amp;"       ","")</f>
        <v xml:space="preserve">Enter Segment 33 Name, then Enter Data in Columns h - an       </v>
      </c>
      <c r="E81" s="131" t="str">
        <f>IF($AW81="B","N/A",IF(AX81="N","No",IF(AX81="Y","Yes","")))</f>
        <v>N/A</v>
      </c>
      <c r="F81" s="130"/>
      <c r="G81" s="130"/>
      <c r="H81" s="285"/>
      <c r="I81" s="251" t="str">
        <f>IF($C81&lt;&gt;"","Enter Starting Point       ","")</f>
        <v/>
      </c>
      <c r="J81" s="285"/>
      <c r="K81" s="227"/>
      <c r="L81" s="88"/>
      <c r="M81" s="251" t="str">
        <f>IF($C81&lt;&gt;"","Select from Pull-Down List  ","")</f>
        <v/>
      </c>
      <c r="N81" s="88"/>
      <c r="O81" s="251" t="str">
        <f>IF($C81&lt;&gt;"","Select from Pull-Down List  ","")</f>
        <v/>
      </c>
      <c r="P81" s="131"/>
      <c r="Q81" s="251" t="str">
        <f>IF($C81&lt;&gt;"","Dir. Route-Mi?    ","")</f>
        <v/>
      </c>
      <c r="R81" s="131"/>
      <c r="S81" s="251" t="str">
        <f>IF($C81&lt;&gt;"","Trk-Mi?      ","")</f>
        <v/>
      </c>
      <c r="T81" s="131"/>
      <c r="U81" s="251" t="str">
        <f>IF($C81&lt;&gt;"","Trk-Mi?      ","")</f>
        <v/>
      </c>
      <c r="V81" s="284"/>
      <c r="W81" s="278" t="str">
        <f>IF(OR($R81="",V$11=""),"","0 - "&amp;TEXT($R81-$AP81,"0.0")&amp;" Trk-Mi?    ")</f>
        <v/>
      </c>
      <c r="X81" s="284"/>
      <c r="Y81" s="278" t="str">
        <f>IF(OR($R81="",X$11=""),"","0 - "&amp;TEXT($R81-$AP81,"0.0")&amp;" Trk-Mi?    ")</f>
        <v/>
      </c>
      <c r="Z81" s="284"/>
      <c r="AA81" s="278" t="str">
        <f>IF(OR($R81="",Z$11=""),"","0 - "&amp;TEXT($R81-$AP81,"0.0")&amp;" Trk-Mi?    ")</f>
        <v/>
      </c>
      <c r="AB81" s="284"/>
      <c r="AC81" s="278" t="str">
        <f>IF(OR($R81="",AB$11=""),"","0 - "&amp;TEXT($R81-$AP81,"0.0")&amp;" Trk-Mi?    ")</f>
        <v/>
      </c>
      <c r="AD81" s="284"/>
      <c r="AE81" s="278" t="str">
        <f>IF(OR($R81="",AD$11=""),"","0 - "&amp;TEXT($R81-$AP81,"0.0")&amp;" Trk-Mi?    ")</f>
        <v/>
      </c>
      <c r="AF81" s="284"/>
      <c r="AG81" s="278" t="str">
        <f>IF(OR($R81="",AF$11=""),"","0 - "&amp;TEXT($R81-$AP81,"0.0")&amp;" Trk-Mi?    ")</f>
        <v/>
      </c>
      <c r="AH81" s="284"/>
      <c r="AI81" s="278" t="str">
        <f>IF(OR($R81="",AH$11=""),"","0 - "&amp;TEXT($R81-$AP81,"0.0")&amp;" Trk-Mi?    ")</f>
        <v/>
      </c>
      <c r="AJ81" s="284"/>
      <c r="AK81" s="278" t="str">
        <f>IF(OR($R81="",AJ$11=""),"","0 - "&amp;TEXT($R81-$AP81,"0.0")&amp;" Trk-Mi?    ")</f>
        <v/>
      </c>
      <c r="AL81" s="284"/>
      <c r="AM81" s="278" t="str">
        <f>IF(OR($R81="",AL$11=""),"","0 - "&amp;TEXT($R81-$AP81,"0.0")&amp;" Trk-Mi?    ")</f>
        <v/>
      </c>
      <c r="AN81" s="284"/>
      <c r="AO81" s="278" t="str">
        <f>IF(OR($R81="",AN$11=""),"","0 - "&amp;TEXT($R81-$AP81,"0.0")&amp;" Trk-Mi?    ")</f>
        <v/>
      </c>
      <c r="AP81" s="282">
        <f>SUM(V81,X81,Z81,AB81,AD81,AF81,AH81,AJ81,AL81,AN81)</f>
        <v>0</v>
      </c>
      <c r="AQ81" s="278"/>
      <c r="AR81" s="234"/>
      <c r="AS81" s="107"/>
      <c r="AT81" s="107"/>
      <c r="AU81" s="107"/>
      <c r="AW81" s="107" t="str">
        <f>IF(AND($C81="",$H81="",$J81="",$L81="",$N81="",$P81="",$R81=""),"B","NB")</f>
        <v>B</v>
      </c>
      <c r="AX81" s="241" t="str">
        <f>IF(OR($C81="",$H81="",$J81="",$L81="",$N81="",$R81="",$P81="",AND($V$11&lt;&gt;"",$V81=""),AND($X$11&lt;&gt;"",$X81=""),AND($Z$11&lt;&gt;"",$Z81=""),AND($AB$11&lt;&gt;"",$AB81=""),AND($AD$11&lt;&gt;"",$AD81=""),AND($AF$11&lt;&gt;"",$AF81=""),AND($AH$11&lt;&gt;"",$AH81=""),AND($AJ$11&lt;&gt;"",$AJ81=""),AND($AL$11&lt;&gt;"",$AL81=""),AND($AN$11&lt;&gt;"",$AN81="")),"N","Y")</f>
        <v>N</v>
      </c>
      <c r="AY81" s="142" t="b">
        <f>IF(AND($C81="",OR($H81&lt;&gt;"",$J81&lt;&gt;"",$L81&lt;&gt;"",$N81&lt;&gt;"",$R81&lt;&gt;"",$P81&lt;&gt;"",AND($V$11&lt;&gt;"",$V81&lt;&gt;""),AND($X$11&lt;&gt;"",$X81&lt;&gt;""),AND($Z$11&lt;&gt;"",$Z81&lt;&gt;""),AND($AB$11&lt;&gt;"",$AB81&lt;&gt;""),AND($AD$11&lt;&gt;"",$AD81&lt;&gt;""),AND($AF$11&lt;&gt;"",$AF81&lt;&gt;""),AND($AH$11&lt;&gt;"",$AH81&lt;&gt;""),AND($AJ$11&lt;&gt;"",$AJ81&lt;&gt;""),AND($AL$11&lt;&gt;"",$AL81&lt;&gt;""),AND($AN$11&lt;&gt;"",$AN81&lt;&gt;""))),TRUE,FALSE)</f>
        <v>0</v>
      </c>
      <c r="AZ81" s="144" t="b">
        <f>IF(AND($C81&lt;&gt;"",$H81=""),TRUE,FALSE)</f>
        <v>0</v>
      </c>
      <c r="BA81" s="144" t="b">
        <f>IF(AND($C81&lt;&gt;"",$J81=""),TRUE,FALSE)</f>
        <v>0</v>
      </c>
      <c r="BB81" s="144" t="b">
        <f>IF(AND($C81&lt;&gt;"",$L81=""),TRUE,FALSE)</f>
        <v>0</v>
      </c>
      <c r="BC81" s="144" t="b">
        <f>IF(AND($C81&lt;&gt;"",$N81=""),TRUE,FALSE)</f>
        <v>0</v>
      </c>
      <c r="BD81" s="142" t="b">
        <f>IF($BE81=TRUE,FALSE,IF(OR($P81&lt;$BD$5,$P81&gt;$BE$5),TRUE,FALSE))</f>
        <v>0</v>
      </c>
      <c r="BE81" s="144" t="b">
        <f>IF(AND($C81&lt;&gt;"",$P81=""),TRUE,FALSE)</f>
        <v>0</v>
      </c>
      <c r="BF81" s="144" t="b">
        <f>IF($BG81=TRUE,FALSE,IF(OR($R81&lt;$BF$5,$R81&gt;$BG$5),TRUE,FALSE))</f>
        <v>0</v>
      </c>
      <c r="BG81" s="144" t="b">
        <f>IF(AND($C81&lt;&gt;"",$R81=""),TRUE,FALSE)</f>
        <v>0</v>
      </c>
      <c r="BH81" s="160" t="b">
        <f>IF(BI81=TRUE,FALSE,IF(AND(V81&lt;&gt;"",V$11=""),TRUE,IF(AND(V81&lt;&gt;"",V$11&lt;&gt;"",$R81&lt;&gt;$AP81),TRUE,IF(OR(V81&lt;0,V81&gt;$R81),TRUE,FALSE))))</f>
        <v>0</v>
      </c>
      <c r="BI81" s="144" t="b">
        <f>IF(AND($C81&lt;&gt;"",V$11&lt;&gt;"",$V81=""),TRUE,FALSE)</f>
        <v>0</v>
      </c>
      <c r="BJ81" s="160" t="b">
        <f>IF(BK81=TRUE,FALSE,IF(AND(X81&lt;&gt;"",X$11=""),TRUE,IF(AND(X81&lt;&gt;"",X$11&lt;&gt;"",$R81&lt;&gt;$AP81),TRUE,IF(OR(X81&lt;0,X81&gt;$R81),TRUE,FALSE))))</f>
        <v>0</v>
      </c>
      <c r="BK81" s="144" t="b">
        <f>IF(AND($C81&lt;&gt;"",X$11&lt;&gt;"",$X81=""),TRUE,FALSE)</f>
        <v>0</v>
      </c>
      <c r="BL81" s="160" t="b">
        <f>IF(BM81=TRUE,FALSE,IF(AND(Z81&lt;&gt;"",Z$11=""),TRUE,IF(AND(Z81&lt;&gt;"",Z$11&lt;&gt;"",$R81&lt;&gt;$AP81),TRUE,IF(OR(Z81&lt;0,Z81&gt;$R81),TRUE,FALSE))))</f>
        <v>0</v>
      </c>
      <c r="BM81" s="144" t="b">
        <f>IF(AND($C81&lt;&gt;"",Z$11&lt;&gt;"",$Z81=""),TRUE,FALSE)</f>
        <v>0</v>
      </c>
      <c r="BN81" s="160" t="b">
        <f>IF(BO81=TRUE,FALSE,IF(AND(AB81&lt;&gt;"",AB$11=""),TRUE,IF(AND(AB81&lt;&gt;"",AB$11&lt;&gt;"",$R81&lt;&gt;$AP81),TRUE,IF(OR(AB81&lt;0,AB81&gt;$R81),TRUE,FALSE))))</f>
        <v>0</v>
      </c>
      <c r="BO81" s="144" t="b">
        <f>IF(AND($C81&lt;&gt;"",AB$11&lt;&gt;"",$AB81=""),TRUE,FALSE)</f>
        <v>0</v>
      </c>
      <c r="BP81" s="160" t="b">
        <f>IF(BQ81=TRUE,FALSE,IF(AND(AD81&lt;&gt;"",AD$11=""),TRUE,IF(AND(AD81&lt;&gt;"",AD$11&lt;&gt;"",$R81&lt;&gt;$AP81),TRUE,IF(OR(AD81&lt;0,AD81&gt;$R81),TRUE,FALSE))))</f>
        <v>0</v>
      </c>
      <c r="BQ81" s="144" t="b">
        <f>IF(AND($C81&lt;&gt;"",AD$11&lt;&gt;"",$AD81=""),TRUE,FALSE)</f>
        <v>0</v>
      </c>
      <c r="BR81" s="160" t="b">
        <f>IF(BS81=TRUE,FALSE,IF(AND(AF81&lt;&gt;"",AF$11=""),TRUE,IF(AND(AF81&lt;&gt;"",AF$11&lt;&gt;"",$R81&lt;&gt;$AP81),TRUE,IF(OR(AF81&lt;0,AF81&gt;$R81),TRUE,FALSE))))</f>
        <v>0</v>
      </c>
      <c r="BS81" s="144" t="b">
        <f>IF(AND($C81&lt;&gt;"",AF$11&lt;&gt;"",$AF81=""),TRUE,FALSE)</f>
        <v>0</v>
      </c>
      <c r="BT81" s="160" t="b">
        <f>IF(BU81=TRUE,FALSE,IF(AND(AH81&lt;&gt;"",AH$11=""),TRUE,IF(AND(AH81&lt;&gt;"",AH$11&lt;&gt;"",$R81&lt;&gt;$AP81),TRUE,IF(OR(AH81&lt;0,AH81&gt;$R81),TRUE,FALSE))))</f>
        <v>0</v>
      </c>
      <c r="BU81" s="144" t="b">
        <f>IF(AND($C81&lt;&gt;"",AH$11&lt;&gt;"",$AH81=""),TRUE,FALSE)</f>
        <v>0</v>
      </c>
      <c r="BV81" s="160" t="b">
        <f>IF(BW81=TRUE,FALSE,IF(AND(AJ81&lt;&gt;"",AJ$11=""),TRUE,IF(AND(AJ81&lt;&gt;"",AJ$11&lt;&gt;"",$R81&lt;&gt;$AP81),TRUE,IF(OR(AJ81&lt;0,AJ81&gt;$R81),TRUE,FALSE))))</f>
        <v>0</v>
      </c>
      <c r="BW81" s="144" t="b">
        <f>IF(AND($C81&lt;&gt;"",AJ$11&lt;&gt;"",$AJ81=""),TRUE,FALSE)</f>
        <v>0</v>
      </c>
      <c r="BX81" s="160" t="b">
        <f>IF(BY81=TRUE,FALSE,IF(AND(AL81&lt;&gt;"",AL$11=""),TRUE,IF(AND(AL81&lt;&gt;"",AL$11&lt;&gt;"",$R81&lt;&gt;$AP81),TRUE,IF(OR(AL81&lt;0,AL81&gt;$R81),TRUE,FALSE))))</f>
        <v>0</v>
      </c>
      <c r="BY81" s="144" t="b">
        <f>IF(AND($C81&lt;&gt;"",AL$11&lt;&gt;"",$AL81=""),TRUE,FALSE)</f>
        <v>0</v>
      </c>
      <c r="BZ81" s="160" t="b">
        <f>IF(CA81=TRUE,FALSE,IF(AND(AN81&lt;&gt;"",AN$11=""),TRUE,IF(AND(AN81&lt;&gt;"",AN$11&lt;&gt;"",$R81&lt;&gt;$AP81),TRUE,IF(OR(AN81&lt;0,AN81&gt;$R81),TRUE,FALSE))))</f>
        <v>0</v>
      </c>
      <c r="CA81" s="144" t="b">
        <f>IF(AND($C81&lt;&gt;"",AN$11&lt;&gt;"",$AN81=""),TRUE,FALSE)</f>
        <v>0</v>
      </c>
      <c r="CB81" s="133"/>
      <c r="CC81" s="133"/>
      <c r="CD81" s="133"/>
      <c r="CE81" s="133"/>
      <c r="CF81" s="133"/>
      <c r="CG81" s="133"/>
      <c r="CH81" s="133"/>
      <c r="CI81" s="133"/>
      <c r="CJ81" s="133"/>
      <c r="CK81" s="133"/>
      <c r="CL81" s="133"/>
      <c r="CM81" s="133"/>
      <c r="CN81" s="133"/>
      <c r="CO81" s="133"/>
      <c r="CP81" s="133"/>
      <c r="CQ81" s="133"/>
      <c r="CR81" s="133"/>
      <c r="CS81" s="133"/>
      <c r="CT81" s="133"/>
      <c r="CU81" s="133"/>
      <c r="CV81" s="133"/>
      <c r="CW81" s="134"/>
    </row>
    <row r="82" spans="1:101" ht="6.75" customHeight="1" thickBot="1" x14ac:dyDescent="0.25">
      <c r="A82" s="228"/>
      <c r="B82" s="228"/>
      <c r="C82" s="232"/>
      <c r="D82" s="267"/>
      <c r="I82" s="267"/>
      <c r="K82" s="228"/>
      <c r="M82" s="267"/>
      <c r="O82" s="267"/>
      <c r="Q82" s="267"/>
      <c r="S82" s="267"/>
      <c r="U82" s="267"/>
      <c r="V82" s="283"/>
      <c r="W82" s="267"/>
      <c r="X82" s="283"/>
      <c r="Y82" s="267"/>
      <c r="Z82" s="283"/>
      <c r="AA82" s="267"/>
      <c r="AB82" s="283"/>
      <c r="AC82" s="267"/>
      <c r="AD82" s="283"/>
      <c r="AE82" s="267"/>
      <c r="AF82" s="283"/>
      <c r="AG82" s="267"/>
      <c r="AH82" s="283"/>
      <c r="AI82" s="267"/>
      <c r="AJ82" s="283"/>
      <c r="AK82" s="267"/>
      <c r="AL82" s="283"/>
      <c r="AM82" s="267"/>
      <c r="AN82" s="283"/>
      <c r="AO82" s="267"/>
      <c r="AP82" s="267"/>
      <c r="AQ82" s="267"/>
      <c r="AR82" s="236"/>
      <c r="AY82" s="145"/>
      <c r="AZ82" s="146"/>
      <c r="BA82" s="146"/>
      <c r="BB82" s="146"/>
      <c r="BC82" s="146"/>
      <c r="BD82" s="145"/>
      <c r="BE82" s="146"/>
      <c r="BF82" s="146"/>
      <c r="BG82" s="146"/>
      <c r="BH82" s="145"/>
      <c r="BI82" s="146"/>
      <c r="BJ82" s="145"/>
      <c r="BK82" s="146"/>
      <c r="BL82" s="145"/>
      <c r="BM82" s="146"/>
      <c r="BN82" s="145"/>
      <c r="BO82" s="146"/>
      <c r="BP82" s="145"/>
      <c r="BQ82" s="146"/>
      <c r="BR82" s="145"/>
      <c r="BS82" s="146"/>
      <c r="BT82" s="145"/>
      <c r="BU82" s="146"/>
      <c r="BV82" s="145"/>
      <c r="BW82" s="146"/>
      <c r="BX82" s="145"/>
      <c r="BY82" s="146"/>
      <c r="BZ82" s="145"/>
      <c r="CA82" s="146"/>
    </row>
    <row r="83" spans="1:101" s="101" customFormat="1" ht="12.75" customHeight="1" x14ac:dyDescent="0.2">
      <c r="A83" s="227">
        <f>A81+1</f>
        <v>34</v>
      </c>
      <c r="B83" s="227"/>
      <c r="C83" s="231"/>
      <c r="D83" s="251" t="str">
        <f>IF((C83=""),"Enter Segment "&amp;TEXT(A83,0)&amp;" Name, then Enter Data in Columns "&amp;TEXT($H$2,0)&amp;" - "&amp;TEXT($AN$2,0)&amp;"       ","")</f>
        <v xml:space="preserve">Enter Segment 34 Name, then Enter Data in Columns h - an       </v>
      </c>
      <c r="E83" s="131" t="str">
        <f>IF($AW83="B","N/A",IF(AX83="N","No",IF(AX83="Y","Yes","")))</f>
        <v>N/A</v>
      </c>
      <c r="F83" s="130"/>
      <c r="G83" s="130"/>
      <c r="H83" s="285"/>
      <c r="I83" s="251" t="str">
        <f>IF($C83&lt;&gt;"","Enter Starting Point       ","")</f>
        <v/>
      </c>
      <c r="J83" s="285"/>
      <c r="K83" s="227"/>
      <c r="L83" s="88"/>
      <c r="M83" s="251" t="str">
        <f>IF($C83&lt;&gt;"","Select from Pull-Down List  ","")</f>
        <v/>
      </c>
      <c r="N83" s="88"/>
      <c r="O83" s="251" t="str">
        <f>IF($C83&lt;&gt;"","Select from Pull-Down List  ","")</f>
        <v/>
      </c>
      <c r="P83" s="131"/>
      <c r="Q83" s="251" t="str">
        <f>IF($C83&lt;&gt;"","Dir. Route-Mi?    ","")</f>
        <v/>
      </c>
      <c r="R83" s="131"/>
      <c r="S83" s="251" t="str">
        <f>IF($C83&lt;&gt;"","Trk-Mi?      ","")</f>
        <v/>
      </c>
      <c r="T83" s="131"/>
      <c r="U83" s="251" t="str">
        <f>IF($C83&lt;&gt;"","Trk-Mi?      ","")</f>
        <v/>
      </c>
      <c r="V83" s="284"/>
      <c r="W83" s="278" t="str">
        <f>IF(OR($R83="",V$11=""),"","0 - "&amp;TEXT($R83-$AP83,"0.0")&amp;" Trk-Mi?    ")</f>
        <v/>
      </c>
      <c r="X83" s="284"/>
      <c r="Y83" s="278" t="str">
        <f>IF(OR($R83="",X$11=""),"","0 - "&amp;TEXT($R83-$AP83,"0.0")&amp;" Trk-Mi?    ")</f>
        <v/>
      </c>
      <c r="Z83" s="284"/>
      <c r="AA83" s="278" t="str">
        <f>IF(OR($R83="",Z$11=""),"","0 - "&amp;TEXT($R83-$AP83,"0.0")&amp;" Trk-Mi?    ")</f>
        <v/>
      </c>
      <c r="AB83" s="284"/>
      <c r="AC83" s="278" t="str">
        <f>IF(OR($R83="",AB$11=""),"","0 - "&amp;TEXT($R83-$AP83,"0.0")&amp;" Trk-Mi?    ")</f>
        <v/>
      </c>
      <c r="AD83" s="284"/>
      <c r="AE83" s="278" t="str">
        <f>IF(OR($R83="",AD$11=""),"","0 - "&amp;TEXT($R83-$AP83,"0.0")&amp;" Trk-Mi?    ")</f>
        <v/>
      </c>
      <c r="AF83" s="284"/>
      <c r="AG83" s="278" t="str">
        <f>IF(OR($R83="",AF$11=""),"","0 - "&amp;TEXT($R83-$AP83,"0.0")&amp;" Trk-Mi?    ")</f>
        <v/>
      </c>
      <c r="AH83" s="284"/>
      <c r="AI83" s="278" t="str">
        <f>IF(OR($R83="",AH$11=""),"","0 - "&amp;TEXT($R83-$AP83,"0.0")&amp;" Trk-Mi?    ")</f>
        <v/>
      </c>
      <c r="AJ83" s="284"/>
      <c r="AK83" s="278" t="str">
        <f>IF(OR($R83="",AJ$11=""),"","0 - "&amp;TEXT($R83-$AP83,"0.0")&amp;" Trk-Mi?    ")</f>
        <v/>
      </c>
      <c r="AL83" s="284"/>
      <c r="AM83" s="278" t="str">
        <f>IF(OR($R83="",AL$11=""),"","0 - "&amp;TEXT($R83-$AP83,"0.0")&amp;" Trk-Mi?    ")</f>
        <v/>
      </c>
      <c r="AN83" s="284"/>
      <c r="AO83" s="278" t="str">
        <f>IF(OR($R83="",AN$11=""),"","0 - "&amp;TEXT($R83-$AP83,"0.0")&amp;" Trk-Mi?    ")</f>
        <v/>
      </c>
      <c r="AP83" s="282">
        <f>SUM(V83,X83,Z83,AB83,AD83,AF83,AH83,AJ83,AL83,AN83)</f>
        <v>0</v>
      </c>
      <c r="AQ83" s="278"/>
      <c r="AR83" s="234"/>
      <c r="AS83" s="107"/>
      <c r="AT83" s="107"/>
      <c r="AU83" s="107"/>
      <c r="AW83" s="107" t="str">
        <f>IF(AND($C83="",$H83="",$J83="",$L83="",$N83="",$P83="",$R83=""),"B","NB")</f>
        <v>B</v>
      </c>
      <c r="AX83" s="241" t="str">
        <f>IF(OR($C83="",$H83="",$J83="",$L83="",$N83="",$R83="",$P83="",AND($V$11&lt;&gt;"",$V83=""),AND($X$11&lt;&gt;"",$X83=""),AND($Z$11&lt;&gt;"",$Z83=""),AND($AB$11&lt;&gt;"",$AB83=""),AND($AD$11&lt;&gt;"",$AD83=""),AND($AF$11&lt;&gt;"",$AF83=""),AND($AH$11&lt;&gt;"",$AH83=""),AND($AJ$11&lt;&gt;"",$AJ83=""),AND($AL$11&lt;&gt;"",$AL83=""),AND($AN$11&lt;&gt;"",$AN83="")),"N","Y")</f>
        <v>N</v>
      </c>
      <c r="AY83" s="142" t="b">
        <f>IF(AND($C83="",OR($H83&lt;&gt;"",$J83&lt;&gt;"",$L83&lt;&gt;"",$N83&lt;&gt;"",$R83&lt;&gt;"",$P83&lt;&gt;"",AND($V$11&lt;&gt;"",$V83&lt;&gt;""),AND($X$11&lt;&gt;"",$X83&lt;&gt;""),AND($Z$11&lt;&gt;"",$Z83&lt;&gt;""),AND($AB$11&lt;&gt;"",$AB83&lt;&gt;""),AND($AD$11&lt;&gt;"",$AD83&lt;&gt;""),AND($AF$11&lt;&gt;"",$AF83&lt;&gt;""),AND($AH$11&lt;&gt;"",$AH83&lt;&gt;""),AND($AJ$11&lt;&gt;"",$AJ83&lt;&gt;""),AND($AL$11&lt;&gt;"",$AL83&lt;&gt;""),AND($AN$11&lt;&gt;"",$AN83&lt;&gt;""))),TRUE,FALSE)</f>
        <v>0</v>
      </c>
      <c r="AZ83" s="144" t="b">
        <f>IF(AND($C83&lt;&gt;"",$H83=""),TRUE,FALSE)</f>
        <v>0</v>
      </c>
      <c r="BA83" s="144" t="b">
        <f>IF(AND($C83&lt;&gt;"",$J83=""),TRUE,FALSE)</f>
        <v>0</v>
      </c>
      <c r="BB83" s="144" t="b">
        <f>IF(AND($C83&lt;&gt;"",$L83=""),TRUE,FALSE)</f>
        <v>0</v>
      </c>
      <c r="BC83" s="144" t="b">
        <f>IF(AND($C83&lt;&gt;"",$N83=""),TRUE,FALSE)</f>
        <v>0</v>
      </c>
      <c r="BD83" s="142" t="b">
        <f>IF($BE83=TRUE,FALSE,IF(OR($P83&lt;$BD$5,$P83&gt;$BE$5),TRUE,FALSE))</f>
        <v>0</v>
      </c>
      <c r="BE83" s="144" t="b">
        <f>IF(AND($C83&lt;&gt;"",$P83=""),TRUE,FALSE)</f>
        <v>0</v>
      </c>
      <c r="BF83" s="144" t="b">
        <f>IF($BG83=TRUE,FALSE,IF(OR($R83&lt;$BF$5,$R83&gt;$BG$5),TRUE,FALSE))</f>
        <v>0</v>
      </c>
      <c r="BG83" s="144" t="b">
        <f>IF(AND($C83&lt;&gt;"",$R83=""),TRUE,FALSE)</f>
        <v>0</v>
      </c>
      <c r="BH83" s="160" t="b">
        <f>IF(BI83=TRUE,FALSE,IF(AND(V83&lt;&gt;"",V$11=""),TRUE,IF(AND(V83&lt;&gt;"",V$11&lt;&gt;"",$R83&lt;&gt;$AP83),TRUE,IF(OR(V83&lt;0,V83&gt;$R83),TRUE,FALSE))))</f>
        <v>0</v>
      </c>
      <c r="BI83" s="144" t="b">
        <f>IF(AND($C83&lt;&gt;"",V$11&lt;&gt;"",$V83=""),TRUE,FALSE)</f>
        <v>0</v>
      </c>
      <c r="BJ83" s="160" t="b">
        <f>IF(BK83=TRUE,FALSE,IF(AND(X83&lt;&gt;"",X$11=""),TRUE,IF(AND(X83&lt;&gt;"",X$11&lt;&gt;"",$R83&lt;&gt;$AP83),TRUE,IF(OR(X83&lt;0,X83&gt;$R83),TRUE,FALSE))))</f>
        <v>0</v>
      </c>
      <c r="BK83" s="144" t="b">
        <f>IF(AND($C83&lt;&gt;"",X$11&lt;&gt;"",$X83=""),TRUE,FALSE)</f>
        <v>0</v>
      </c>
      <c r="BL83" s="160" t="b">
        <f>IF(BM83=TRUE,FALSE,IF(AND(Z83&lt;&gt;"",Z$11=""),TRUE,IF(AND(Z83&lt;&gt;"",Z$11&lt;&gt;"",$R83&lt;&gt;$AP83),TRUE,IF(OR(Z83&lt;0,Z83&gt;$R83),TRUE,FALSE))))</f>
        <v>0</v>
      </c>
      <c r="BM83" s="144" t="b">
        <f>IF(AND($C83&lt;&gt;"",Z$11&lt;&gt;"",$Z83=""),TRUE,FALSE)</f>
        <v>0</v>
      </c>
      <c r="BN83" s="160" t="b">
        <f>IF(BO83=TRUE,FALSE,IF(AND(AB83&lt;&gt;"",AB$11=""),TRUE,IF(AND(AB83&lt;&gt;"",AB$11&lt;&gt;"",$R83&lt;&gt;$AP83),TRUE,IF(OR(AB83&lt;0,AB83&gt;$R83),TRUE,FALSE))))</f>
        <v>0</v>
      </c>
      <c r="BO83" s="144" t="b">
        <f>IF(AND($C83&lt;&gt;"",AB$11&lt;&gt;"",$AB83=""),TRUE,FALSE)</f>
        <v>0</v>
      </c>
      <c r="BP83" s="160" t="b">
        <f>IF(BQ83=TRUE,FALSE,IF(AND(AD83&lt;&gt;"",AD$11=""),TRUE,IF(AND(AD83&lt;&gt;"",AD$11&lt;&gt;"",$R83&lt;&gt;$AP83),TRUE,IF(OR(AD83&lt;0,AD83&gt;$R83),TRUE,FALSE))))</f>
        <v>0</v>
      </c>
      <c r="BQ83" s="144" t="b">
        <f>IF(AND($C83&lt;&gt;"",AD$11&lt;&gt;"",$AD83=""),TRUE,FALSE)</f>
        <v>0</v>
      </c>
      <c r="BR83" s="160" t="b">
        <f>IF(BS83=TRUE,FALSE,IF(AND(AF83&lt;&gt;"",AF$11=""),TRUE,IF(AND(AF83&lt;&gt;"",AF$11&lt;&gt;"",$R83&lt;&gt;$AP83),TRUE,IF(OR(AF83&lt;0,AF83&gt;$R83),TRUE,FALSE))))</f>
        <v>0</v>
      </c>
      <c r="BS83" s="144" t="b">
        <f>IF(AND($C83&lt;&gt;"",AF$11&lt;&gt;"",$AF83=""),TRUE,FALSE)</f>
        <v>0</v>
      </c>
      <c r="BT83" s="160" t="b">
        <f>IF(BU83=TRUE,FALSE,IF(AND(AH83&lt;&gt;"",AH$11=""),TRUE,IF(AND(AH83&lt;&gt;"",AH$11&lt;&gt;"",$R83&lt;&gt;$AP83),TRUE,IF(OR(AH83&lt;0,AH83&gt;$R83),TRUE,FALSE))))</f>
        <v>0</v>
      </c>
      <c r="BU83" s="144" t="b">
        <f>IF(AND($C83&lt;&gt;"",AH$11&lt;&gt;"",$AH83=""),TRUE,FALSE)</f>
        <v>0</v>
      </c>
      <c r="BV83" s="160" t="b">
        <f>IF(BW83=TRUE,FALSE,IF(AND(AJ83&lt;&gt;"",AJ$11=""),TRUE,IF(AND(AJ83&lt;&gt;"",AJ$11&lt;&gt;"",$R83&lt;&gt;$AP83),TRUE,IF(OR(AJ83&lt;0,AJ83&gt;$R83),TRUE,FALSE))))</f>
        <v>0</v>
      </c>
      <c r="BW83" s="144" t="b">
        <f>IF(AND($C83&lt;&gt;"",AJ$11&lt;&gt;"",$AJ83=""),TRUE,FALSE)</f>
        <v>0</v>
      </c>
      <c r="BX83" s="160" t="b">
        <f>IF(BY83=TRUE,FALSE,IF(AND(AL83&lt;&gt;"",AL$11=""),TRUE,IF(AND(AL83&lt;&gt;"",AL$11&lt;&gt;"",$R83&lt;&gt;$AP83),TRUE,IF(OR(AL83&lt;0,AL83&gt;$R83),TRUE,FALSE))))</f>
        <v>0</v>
      </c>
      <c r="BY83" s="144" t="b">
        <f>IF(AND($C83&lt;&gt;"",AL$11&lt;&gt;"",$AL83=""),TRUE,FALSE)</f>
        <v>0</v>
      </c>
      <c r="BZ83" s="160" t="b">
        <f>IF(CA83=TRUE,FALSE,IF(AND(AN83&lt;&gt;"",AN$11=""),TRUE,IF(AND(AN83&lt;&gt;"",AN$11&lt;&gt;"",$R83&lt;&gt;$AP83),TRUE,IF(OR(AN83&lt;0,AN83&gt;$R83),TRUE,FALSE))))</f>
        <v>0</v>
      </c>
      <c r="CA83" s="144" t="b">
        <f>IF(AND($C83&lt;&gt;"",AN$11&lt;&gt;"",$AN83=""),TRUE,FALSE)</f>
        <v>0</v>
      </c>
      <c r="CB83" s="133"/>
      <c r="CC83" s="133"/>
      <c r="CD83" s="133"/>
      <c r="CE83" s="133"/>
      <c r="CF83" s="133"/>
      <c r="CG83" s="133"/>
      <c r="CH83" s="133"/>
      <c r="CI83" s="133"/>
      <c r="CJ83" s="133"/>
      <c r="CK83" s="133"/>
      <c r="CL83" s="133"/>
      <c r="CM83" s="133"/>
      <c r="CN83" s="133"/>
      <c r="CO83" s="133"/>
      <c r="CP83" s="133"/>
      <c r="CQ83" s="133"/>
      <c r="CR83" s="133"/>
      <c r="CS83" s="133"/>
      <c r="CT83" s="133"/>
      <c r="CU83" s="133"/>
      <c r="CV83" s="133"/>
      <c r="CW83" s="134"/>
    </row>
    <row r="84" spans="1:101" ht="6.75" customHeight="1" thickBot="1" x14ac:dyDescent="0.25">
      <c r="A84" s="228"/>
      <c r="B84" s="228"/>
      <c r="C84" s="232"/>
      <c r="D84" s="267"/>
      <c r="I84" s="267"/>
      <c r="K84" s="228"/>
      <c r="M84" s="267"/>
      <c r="O84" s="267"/>
      <c r="Q84" s="267"/>
      <c r="S84" s="267"/>
      <c r="U84" s="267"/>
      <c r="V84" s="283"/>
      <c r="W84" s="267"/>
      <c r="X84" s="283"/>
      <c r="Y84" s="267"/>
      <c r="Z84" s="283"/>
      <c r="AA84" s="267"/>
      <c r="AB84" s="283"/>
      <c r="AC84" s="267"/>
      <c r="AD84" s="283"/>
      <c r="AE84" s="267"/>
      <c r="AF84" s="283"/>
      <c r="AG84" s="267"/>
      <c r="AH84" s="283"/>
      <c r="AI84" s="267"/>
      <c r="AJ84" s="283"/>
      <c r="AK84" s="267"/>
      <c r="AL84" s="283"/>
      <c r="AM84" s="267"/>
      <c r="AN84" s="283"/>
      <c r="AO84" s="267"/>
      <c r="AP84" s="267"/>
      <c r="AQ84" s="267"/>
      <c r="AR84" s="232"/>
      <c r="AY84" s="145"/>
      <c r="AZ84" s="146"/>
      <c r="BA84" s="146"/>
      <c r="BB84" s="146"/>
      <c r="BC84" s="146"/>
      <c r="BD84" s="145"/>
      <c r="BE84" s="146"/>
      <c r="BF84" s="146"/>
      <c r="BG84" s="146"/>
      <c r="BH84" s="145"/>
      <c r="BI84" s="146"/>
      <c r="BJ84" s="145"/>
      <c r="BK84" s="146"/>
      <c r="BL84" s="145"/>
      <c r="BM84" s="146"/>
      <c r="BN84" s="145"/>
      <c r="BO84" s="146"/>
      <c r="BP84" s="145"/>
      <c r="BQ84" s="146"/>
      <c r="BR84" s="145"/>
      <c r="BS84" s="146"/>
      <c r="BT84" s="145"/>
      <c r="BU84" s="146"/>
      <c r="BV84" s="145"/>
      <c r="BW84" s="146"/>
      <c r="BX84" s="145"/>
      <c r="BY84" s="146"/>
      <c r="BZ84" s="145"/>
      <c r="CA84" s="146"/>
    </row>
    <row r="85" spans="1:101" s="101" customFormat="1" ht="12.75" customHeight="1" x14ac:dyDescent="0.2">
      <c r="A85" s="227">
        <f>A83+1</f>
        <v>35</v>
      </c>
      <c r="B85" s="227"/>
      <c r="C85" s="231"/>
      <c r="D85" s="251" t="str">
        <f>IF((C85=""),"Enter Segment "&amp;TEXT(A85,0)&amp;" Name, then Enter Data in Columns "&amp;TEXT($H$2,0)&amp;" - "&amp;TEXT($AN$2,0)&amp;"       ","")</f>
        <v xml:space="preserve">Enter Segment 35 Name, then Enter Data in Columns h - an       </v>
      </c>
      <c r="E85" s="131" t="str">
        <f>IF($AW85="B","N/A",IF(AX85="N","No",IF(AX85="Y","Yes","")))</f>
        <v>N/A</v>
      </c>
      <c r="F85" s="130"/>
      <c r="G85" s="130"/>
      <c r="H85" s="285"/>
      <c r="I85" s="251" t="str">
        <f>IF($C85&lt;&gt;"","Enter Starting Point       ","")</f>
        <v/>
      </c>
      <c r="J85" s="285"/>
      <c r="K85" s="227"/>
      <c r="L85" s="88"/>
      <c r="M85" s="251" t="str">
        <f>IF($C85&lt;&gt;"","Select from Pull-Down List  ","")</f>
        <v/>
      </c>
      <c r="N85" s="88"/>
      <c r="O85" s="251" t="str">
        <f>IF($C85&lt;&gt;"","Select from Pull-Down List  ","")</f>
        <v/>
      </c>
      <c r="P85" s="131"/>
      <c r="Q85" s="251" t="str">
        <f>IF($C85&lt;&gt;"","Dir. Route-Mi?    ","")</f>
        <v/>
      </c>
      <c r="R85" s="131"/>
      <c r="S85" s="251" t="str">
        <f>IF($C85&lt;&gt;"","Trk-Mi?      ","")</f>
        <v/>
      </c>
      <c r="T85" s="131"/>
      <c r="U85" s="251" t="str">
        <f>IF($C85&lt;&gt;"","Trk-Mi?      ","")</f>
        <v/>
      </c>
      <c r="V85" s="284"/>
      <c r="W85" s="278" t="str">
        <f>IF(OR($R85="",V$11=""),"","0 - "&amp;TEXT($R85-$AP85,"0.0")&amp;" Trk-Mi?    ")</f>
        <v/>
      </c>
      <c r="X85" s="284"/>
      <c r="Y85" s="278" t="str">
        <f>IF(OR($R85="",X$11=""),"","0 - "&amp;TEXT($R85-$AP85,"0.0")&amp;" Trk-Mi?    ")</f>
        <v/>
      </c>
      <c r="Z85" s="284"/>
      <c r="AA85" s="278" t="str">
        <f>IF(OR($R85="",Z$11=""),"","0 - "&amp;TEXT($R85-$AP85,"0.0")&amp;" Trk-Mi?    ")</f>
        <v/>
      </c>
      <c r="AB85" s="284"/>
      <c r="AC85" s="278" t="str">
        <f>IF(OR($R85="",AB$11=""),"","0 - "&amp;TEXT($R85-$AP85,"0.0")&amp;" Trk-Mi?    ")</f>
        <v/>
      </c>
      <c r="AD85" s="284"/>
      <c r="AE85" s="278" t="str">
        <f>IF(OR($R85="",AD$11=""),"","0 - "&amp;TEXT($R85-$AP85,"0.0")&amp;" Trk-Mi?    ")</f>
        <v/>
      </c>
      <c r="AF85" s="284"/>
      <c r="AG85" s="278" t="str">
        <f>IF(OR($R85="",AF$11=""),"","0 - "&amp;TEXT($R85-$AP85,"0.0")&amp;" Trk-Mi?    ")</f>
        <v/>
      </c>
      <c r="AH85" s="284"/>
      <c r="AI85" s="278" t="str">
        <f>IF(OR($R85="",AH$11=""),"","0 - "&amp;TEXT($R85-$AP85,"0.0")&amp;" Trk-Mi?    ")</f>
        <v/>
      </c>
      <c r="AJ85" s="284"/>
      <c r="AK85" s="278" t="str">
        <f>IF(OR($R85="",AJ$11=""),"","0 - "&amp;TEXT($R85-$AP85,"0.0")&amp;" Trk-Mi?    ")</f>
        <v/>
      </c>
      <c r="AL85" s="284"/>
      <c r="AM85" s="278" t="str">
        <f>IF(OR($R85="",AL$11=""),"","0 - "&amp;TEXT($R85-$AP85,"0.0")&amp;" Trk-Mi?    ")</f>
        <v/>
      </c>
      <c r="AN85" s="284"/>
      <c r="AO85" s="278" t="str">
        <f>IF(OR($R85="",AN$11=""),"","0 - "&amp;TEXT($R85-$AP85,"0.0")&amp;" Trk-Mi?    ")</f>
        <v/>
      </c>
      <c r="AP85" s="282">
        <f>SUM(V85,X85,Z85,AB85,AD85,AF85,AH85,AJ85,AL85,AN85)</f>
        <v>0</v>
      </c>
      <c r="AQ85" s="278"/>
      <c r="AR85" s="234"/>
      <c r="AS85" s="107"/>
      <c r="AT85" s="107"/>
      <c r="AU85" s="107"/>
      <c r="AW85" s="107" t="str">
        <f>IF(AND($C85="",$H85="",$J85="",$L85="",$N85="",$P85="",$R85=""),"B","NB")</f>
        <v>B</v>
      </c>
      <c r="AX85" s="241" t="str">
        <f>IF(OR($C85="",$H85="",$J85="",$L85="",$N85="",$R85="",$P85="",AND($V$11&lt;&gt;"",$V85=""),AND($X$11&lt;&gt;"",$X85=""),AND($Z$11&lt;&gt;"",$Z85=""),AND($AB$11&lt;&gt;"",$AB85=""),AND($AD$11&lt;&gt;"",$AD85=""),AND($AF$11&lt;&gt;"",$AF85=""),AND($AH$11&lt;&gt;"",$AH85=""),AND($AJ$11&lt;&gt;"",$AJ85=""),AND($AL$11&lt;&gt;"",$AL85=""),AND($AN$11&lt;&gt;"",$AN85="")),"N","Y")</f>
        <v>N</v>
      </c>
      <c r="AY85" s="142" t="b">
        <f>IF(AND($C85="",OR($H85&lt;&gt;"",$J85&lt;&gt;"",$L85&lt;&gt;"",$N85&lt;&gt;"",$R85&lt;&gt;"",$P85&lt;&gt;"",AND($V$11&lt;&gt;"",$V85&lt;&gt;""),AND($X$11&lt;&gt;"",$X85&lt;&gt;""),AND($Z$11&lt;&gt;"",$Z85&lt;&gt;""),AND($AB$11&lt;&gt;"",$AB85&lt;&gt;""),AND($AD$11&lt;&gt;"",$AD85&lt;&gt;""),AND($AF$11&lt;&gt;"",$AF85&lt;&gt;""),AND($AH$11&lt;&gt;"",$AH85&lt;&gt;""),AND($AJ$11&lt;&gt;"",$AJ85&lt;&gt;""),AND($AL$11&lt;&gt;"",$AL85&lt;&gt;""),AND($AN$11&lt;&gt;"",$AN85&lt;&gt;""))),TRUE,FALSE)</f>
        <v>0</v>
      </c>
      <c r="AZ85" s="144" t="b">
        <f>IF(AND($C85&lt;&gt;"",$H85=""),TRUE,FALSE)</f>
        <v>0</v>
      </c>
      <c r="BA85" s="144" t="b">
        <f>IF(AND($C85&lt;&gt;"",$J85=""),TRUE,FALSE)</f>
        <v>0</v>
      </c>
      <c r="BB85" s="144" t="b">
        <f>IF(AND($C85&lt;&gt;"",$L85=""),TRUE,FALSE)</f>
        <v>0</v>
      </c>
      <c r="BC85" s="144" t="b">
        <f>IF(AND($C85&lt;&gt;"",$N85=""),TRUE,FALSE)</f>
        <v>0</v>
      </c>
      <c r="BD85" s="142" t="b">
        <f>IF($BE85=TRUE,FALSE,IF(OR($P85&lt;$BD$5,$P85&gt;$BE$5),TRUE,FALSE))</f>
        <v>0</v>
      </c>
      <c r="BE85" s="144" t="b">
        <f>IF(AND($C85&lt;&gt;"",$P85=""),TRUE,FALSE)</f>
        <v>0</v>
      </c>
      <c r="BF85" s="144" t="b">
        <f>IF($BG85=TRUE,FALSE,IF(OR($R85&lt;$BF$5,$R85&gt;$BG$5),TRUE,FALSE))</f>
        <v>0</v>
      </c>
      <c r="BG85" s="144" t="b">
        <f>IF(AND($C85&lt;&gt;"",$R85=""),TRUE,FALSE)</f>
        <v>0</v>
      </c>
      <c r="BH85" s="160" t="b">
        <f>IF(BI85=TRUE,FALSE,IF(AND(V85&lt;&gt;"",V$11=""),TRUE,IF(AND(V85&lt;&gt;"",V$11&lt;&gt;"",$R85&lt;&gt;$AP85),TRUE,IF(OR(V85&lt;0,V85&gt;$R85),TRUE,FALSE))))</f>
        <v>0</v>
      </c>
      <c r="BI85" s="144" t="b">
        <f>IF(AND($C85&lt;&gt;"",V$11&lt;&gt;"",$V85=""),TRUE,FALSE)</f>
        <v>0</v>
      </c>
      <c r="BJ85" s="160" t="b">
        <f>IF(BK85=TRUE,FALSE,IF(AND(X85&lt;&gt;"",X$11=""),TRUE,IF(AND(X85&lt;&gt;"",X$11&lt;&gt;"",$R85&lt;&gt;$AP85),TRUE,IF(OR(X85&lt;0,X85&gt;$R85),TRUE,FALSE))))</f>
        <v>0</v>
      </c>
      <c r="BK85" s="144" t="b">
        <f>IF(AND($C85&lt;&gt;"",X$11&lt;&gt;"",$X85=""),TRUE,FALSE)</f>
        <v>0</v>
      </c>
      <c r="BL85" s="160" t="b">
        <f>IF(BM85=TRUE,FALSE,IF(AND(Z85&lt;&gt;"",Z$11=""),TRUE,IF(AND(Z85&lt;&gt;"",Z$11&lt;&gt;"",$R85&lt;&gt;$AP85),TRUE,IF(OR(Z85&lt;0,Z85&gt;$R85),TRUE,FALSE))))</f>
        <v>0</v>
      </c>
      <c r="BM85" s="144" t="b">
        <f>IF(AND($C85&lt;&gt;"",Z$11&lt;&gt;"",$Z85=""),TRUE,FALSE)</f>
        <v>0</v>
      </c>
      <c r="BN85" s="160" t="b">
        <f>IF(BO85=TRUE,FALSE,IF(AND(AB85&lt;&gt;"",AB$11=""),TRUE,IF(AND(AB85&lt;&gt;"",AB$11&lt;&gt;"",$R85&lt;&gt;$AP85),TRUE,IF(OR(AB85&lt;0,AB85&gt;$R85),TRUE,FALSE))))</f>
        <v>0</v>
      </c>
      <c r="BO85" s="144" t="b">
        <f>IF(AND($C85&lt;&gt;"",AB$11&lt;&gt;"",$AB85=""),TRUE,FALSE)</f>
        <v>0</v>
      </c>
      <c r="BP85" s="160" t="b">
        <f>IF(BQ85=TRUE,FALSE,IF(AND(AD85&lt;&gt;"",AD$11=""),TRUE,IF(AND(AD85&lt;&gt;"",AD$11&lt;&gt;"",$R85&lt;&gt;$AP85),TRUE,IF(OR(AD85&lt;0,AD85&gt;$R85),TRUE,FALSE))))</f>
        <v>0</v>
      </c>
      <c r="BQ85" s="144" t="b">
        <f>IF(AND($C85&lt;&gt;"",AD$11&lt;&gt;"",$AD85=""),TRUE,FALSE)</f>
        <v>0</v>
      </c>
      <c r="BR85" s="160" t="b">
        <f>IF(BS85=TRUE,FALSE,IF(AND(AF85&lt;&gt;"",AF$11=""),TRUE,IF(AND(AF85&lt;&gt;"",AF$11&lt;&gt;"",$R85&lt;&gt;$AP85),TRUE,IF(OR(AF85&lt;0,AF85&gt;$R85),TRUE,FALSE))))</f>
        <v>0</v>
      </c>
      <c r="BS85" s="144" t="b">
        <f>IF(AND($C85&lt;&gt;"",AF$11&lt;&gt;"",$AF85=""),TRUE,FALSE)</f>
        <v>0</v>
      </c>
      <c r="BT85" s="160" t="b">
        <f>IF(BU85=TRUE,FALSE,IF(AND(AH85&lt;&gt;"",AH$11=""),TRUE,IF(AND(AH85&lt;&gt;"",AH$11&lt;&gt;"",$R85&lt;&gt;$AP85),TRUE,IF(OR(AH85&lt;0,AH85&gt;$R85),TRUE,FALSE))))</f>
        <v>0</v>
      </c>
      <c r="BU85" s="144" t="b">
        <f>IF(AND($C85&lt;&gt;"",AH$11&lt;&gt;"",$AH85=""),TRUE,FALSE)</f>
        <v>0</v>
      </c>
      <c r="BV85" s="160" t="b">
        <f>IF(BW85=TRUE,FALSE,IF(AND(AJ85&lt;&gt;"",AJ$11=""),TRUE,IF(AND(AJ85&lt;&gt;"",AJ$11&lt;&gt;"",$R85&lt;&gt;$AP85),TRUE,IF(OR(AJ85&lt;0,AJ85&gt;$R85),TRUE,FALSE))))</f>
        <v>0</v>
      </c>
      <c r="BW85" s="144" t="b">
        <f>IF(AND($C85&lt;&gt;"",AJ$11&lt;&gt;"",$AJ85=""),TRUE,FALSE)</f>
        <v>0</v>
      </c>
      <c r="BX85" s="160" t="b">
        <f>IF(BY85=TRUE,FALSE,IF(AND(AL85&lt;&gt;"",AL$11=""),TRUE,IF(AND(AL85&lt;&gt;"",AL$11&lt;&gt;"",$R85&lt;&gt;$AP85),TRUE,IF(OR(AL85&lt;0,AL85&gt;$R85),TRUE,FALSE))))</f>
        <v>0</v>
      </c>
      <c r="BY85" s="144" t="b">
        <f>IF(AND($C85&lt;&gt;"",AL$11&lt;&gt;"",$AL85=""),TRUE,FALSE)</f>
        <v>0</v>
      </c>
      <c r="BZ85" s="160" t="b">
        <f>IF(CA85=TRUE,FALSE,IF(AND(AN85&lt;&gt;"",AN$11=""),TRUE,IF(AND(AN85&lt;&gt;"",AN$11&lt;&gt;"",$R85&lt;&gt;$AP85),TRUE,IF(OR(AN85&lt;0,AN85&gt;$R85),TRUE,FALSE))))</f>
        <v>0</v>
      </c>
      <c r="CA85" s="144" t="b">
        <f>IF(AND($C85&lt;&gt;"",AN$11&lt;&gt;"",$AN85=""),TRUE,FALSE)</f>
        <v>0</v>
      </c>
      <c r="CB85" s="133"/>
      <c r="CC85" s="133"/>
      <c r="CD85" s="133"/>
      <c r="CE85" s="133"/>
      <c r="CF85" s="133"/>
      <c r="CG85" s="133"/>
      <c r="CH85" s="133"/>
      <c r="CI85" s="133"/>
      <c r="CJ85" s="133"/>
      <c r="CK85" s="133"/>
      <c r="CL85" s="133"/>
      <c r="CM85" s="133"/>
      <c r="CN85" s="133"/>
      <c r="CO85" s="133"/>
      <c r="CP85" s="133"/>
      <c r="CQ85" s="133"/>
      <c r="CR85" s="133"/>
      <c r="CS85" s="133"/>
      <c r="CT85" s="133"/>
      <c r="CU85" s="133"/>
      <c r="CV85" s="133"/>
      <c r="CW85" s="134"/>
    </row>
    <row r="86" spans="1:101" ht="6.75" customHeight="1" thickBot="1" x14ac:dyDescent="0.25">
      <c r="A86" s="228"/>
      <c r="B86" s="228"/>
      <c r="C86" s="232"/>
      <c r="D86" s="267"/>
      <c r="I86" s="267"/>
      <c r="K86" s="228"/>
      <c r="M86" s="267"/>
      <c r="O86" s="267"/>
      <c r="Q86" s="267"/>
      <c r="S86" s="267"/>
      <c r="U86" s="267"/>
      <c r="V86" s="283"/>
      <c r="W86" s="267"/>
      <c r="X86" s="283"/>
      <c r="Y86" s="267"/>
      <c r="Z86" s="283"/>
      <c r="AA86" s="267"/>
      <c r="AB86" s="283"/>
      <c r="AC86" s="267"/>
      <c r="AD86" s="283"/>
      <c r="AE86" s="267"/>
      <c r="AF86" s="283"/>
      <c r="AG86" s="267"/>
      <c r="AH86" s="283"/>
      <c r="AI86" s="267"/>
      <c r="AJ86" s="283"/>
      <c r="AK86" s="267"/>
      <c r="AL86" s="283"/>
      <c r="AM86" s="267"/>
      <c r="AN86" s="283"/>
      <c r="AO86" s="267"/>
      <c r="AP86" s="267"/>
      <c r="AQ86" s="267"/>
      <c r="AR86" s="232"/>
      <c r="AY86" s="145"/>
      <c r="AZ86" s="146"/>
      <c r="BA86" s="146"/>
      <c r="BB86" s="146"/>
      <c r="BC86" s="146"/>
      <c r="BD86" s="145"/>
      <c r="BE86" s="146"/>
      <c r="BF86" s="146"/>
      <c r="BG86" s="146"/>
      <c r="BH86" s="145"/>
      <c r="BI86" s="146"/>
      <c r="BJ86" s="145"/>
      <c r="BK86" s="146"/>
      <c r="BL86" s="145"/>
      <c r="BM86" s="146"/>
      <c r="BN86" s="145"/>
      <c r="BO86" s="146"/>
      <c r="BP86" s="145"/>
      <c r="BQ86" s="146"/>
      <c r="BR86" s="145"/>
      <c r="BS86" s="146"/>
      <c r="BT86" s="145"/>
      <c r="BU86" s="146"/>
      <c r="BV86" s="145"/>
      <c r="BW86" s="146"/>
      <c r="BX86" s="145"/>
      <c r="BY86" s="146"/>
      <c r="BZ86" s="145"/>
      <c r="CA86" s="146"/>
    </row>
    <row r="87" spans="1:101" s="101" customFormat="1" ht="12.75" customHeight="1" x14ac:dyDescent="0.2">
      <c r="A87" s="227">
        <f>A85+1</f>
        <v>36</v>
      </c>
      <c r="B87" s="227"/>
      <c r="C87" s="231"/>
      <c r="D87" s="251" t="str">
        <f>IF((C87=""),"Enter Segment "&amp;TEXT(A87,0)&amp;" Name, then Enter Data in Columns "&amp;TEXT($H$2,0)&amp;" - "&amp;TEXT($AN$2,0)&amp;"       ","")</f>
        <v xml:space="preserve">Enter Segment 36 Name, then Enter Data in Columns h - an       </v>
      </c>
      <c r="E87" s="131" t="str">
        <f>IF($AW87="B","N/A",IF(AX87="N","No",IF(AX87="Y","Yes","")))</f>
        <v>N/A</v>
      </c>
      <c r="F87" s="130"/>
      <c r="G87" s="130"/>
      <c r="H87" s="285"/>
      <c r="I87" s="251" t="str">
        <f>IF($C87&lt;&gt;"","Enter Starting Point       ","")</f>
        <v/>
      </c>
      <c r="J87" s="285"/>
      <c r="K87" s="227"/>
      <c r="L87" s="88"/>
      <c r="M87" s="251" t="str">
        <f>IF($C87&lt;&gt;"","Select from Pull-Down List  ","")</f>
        <v/>
      </c>
      <c r="N87" s="88"/>
      <c r="O87" s="251" t="str">
        <f>IF($C87&lt;&gt;"","Select from Pull-Down List  ","")</f>
        <v/>
      </c>
      <c r="P87" s="131"/>
      <c r="Q87" s="251" t="str">
        <f>IF($C87&lt;&gt;"","Dir. Route-Mi?    ","")</f>
        <v/>
      </c>
      <c r="R87" s="131"/>
      <c r="S87" s="251" t="str">
        <f>IF($C87&lt;&gt;"","Trk-Mi?      ","")</f>
        <v/>
      </c>
      <c r="T87" s="131"/>
      <c r="U87" s="251" t="str">
        <f>IF($C87&lt;&gt;"","Trk-Mi?      ","")</f>
        <v/>
      </c>
      <c r="V87" s="284"/>
      <c r="W87" s="278" t="str">
        <f>IF(OR($R87="",V$11=""),"","0 - "&amp;TEXT($R87-$AP87,"0.0")&amp;" Trk-Mi?    ")</f>
        <v/>
      </c>
      <c r="X87" s="284"/>
      <c r="Y87" s="278" t="str">
        <f>IF(OR($R87="",X$11=""),"","0 - "&amp;TEXT($R87-$AP87,"0.0")&amp;" Trk-Mi?    ")</f>
        <v/>
      </c>
      <c r="Z87" s="284"/>
      <c r="AA87" s="278" t="str">
        <f>IF(OR($R87="",Z$11=""),"","0 - "&amp;TEXT($R87-$AP87,"0.0")&amp;" Trk-Mi?    ")</f>
        <v/>
      </c>
      <c r="AB87" s="284"/>
      <c r="AC87" s="278" t="str">
        <f>IF(OR($R87="",AB$11=""),"","0 - "&amp;TEXT($R87-$AP87,"0.0")&amp;" Trk-Mi?    ")</f>
        <v/>
      </c>
      <c r="AD87" s="284"/>
      <c r="AE87" s="278" t="str">
        <f>IF(OR($R87="",AD$11=""),"","0 - "&amp;TEXT($R87-$AP87,"0.0")&amp;" Trk-Mi?    ")</f>
        <v/>
      </c>
      <c r="AF87" s="284"/>
      <c r="AG87" s="278" t="str">
        <f>IF(OR($R87="",AF$11=""),"","0 - "&amp;TEXT($R87-$AP87,"0.0")&amp;" Trk-Mi?    ")</f>
        <v/>
      </c>
      <c r="AH87" s="284"/>
      <c r="AI87" s="278" t="str">
        <f>IF(OR($R87="",AH$11=""),"","0 - "&amp;TEXT($R87-$AP87,"0.0")&amp;" Trk-Mi?    ")</f>
        <v/>
      </c>
      <c r="AJ87" s="284"/>
      <c r="AK87" s="278" t="str">
        <f>IF(OR($R87="",AJ$11=""),"","0 - "&amp;TEXT($R87-$AP87,"0.0")&amp;" Trk-Mi?    ")</f>
        <v/>
      </c>
      <c r="AL87" s="284"/>
      <c r="AM87" s="278" t="str">
        <f>IF(OR($R87="",AL$11=""),"","0 - "&amp;TEXT($R87-$AP87,"0.0")&amp;" Trk-Mi?    ")</f>
        <v/>
      </c>
      <c r="AN87" s="284"/>
      <c r="AO87" s="278" t="str">
        <f>IF(OR($R87="",AN$11=""),"","0 - "&amp;TEXT($R87-$AP87,"0.0")&amp;" Trk-Mi?    ")</f>
        <v/>
      </c>
      <c r="AP87" s="282">
        <f>SUM(V87,X87,Z87,AB87,AD87,AF87,AH87,AJ87,AL87,AN87)</f>
        <v>0</v>
      </c>
      <c r="AQ87" s="278"/>
      <c r="AR87" s="234"/>
      <c r="AS87" s="107"/>
      <c r="AT87" s="107"/>
      <c r="AU87" s="107"/>
      <c r="AW87" s="107" t="str">
        <f>IF(AND($C87="",$H87="",$J87="",$L87="",$N87="",$P87="",$R87=""),"B","NB")</f>
        <v>B</v>
      </c>
      <c r="AX87" s="241" t="str">
        <f>IF(OR($C87="",$H87="",$J87="",$L87="",$N87="",$R87="",$P87="",AND($V$11&lt;&gt;"",$V87=""),AND($X$11&lt;&gt;"",$X87=""),AND($Z$11&lt;&gt;"",$Z87=""),AND($AB$11&lt;&gt;"",$AB87=""),AND($AD$11&lt;&gt;"",$AD87=""),AND($AF$11&lt;&gt;"",$AF87=""),AND($AH$11&lt;&gt;"",$AH87=""),AND($AJ$11&lt;&gt;"",$AJ87=""),AND($AL$11&lt;&gt;"",$AL87=""),AND($AN$11&lt;&gt;"",$AN87="")),"N","Y")</f>
        <v>N</v>
      </c>
      <c r="AY87" s="142" t="b">
        <f>IF(AND($C87="",OR($H87&lt;&gt;"",$J87&lt;&gt;"",$L87&lt;&gt;"",$N87&lt;&gt;"",$R87&lt;&gt;"",$P87&lt;&gt;"",AND($V$11&lt;&gt;"",$V87&lt;&gt;""),AND($X$11&lt;&gt;"",$X87&lt;&gt;""),AND($Z$11&lt;&gt;"",$Z87&lt;&gt;""),AND($AB$11&lt;&gt;"",$AB87&lt;&gt;""),AND($AD$11&lt;&gt;"",$AD87&lt;&gt;""),AND($AF$11&lt;&gt;"",$AF87&lt;&gt;""),AND($AH$11&lt;&gt;"",$AH87&lt;&gt;""),AND($AJ$11&lt;&gt;"",$AJ87&lt;&gt;""),AND($AL$11&lt;&gt;"",$AL87&lt;&gt;""),AND($AN$11&lt;&gt;"",$AN87&lt;&gt;""))),TRUE,FALSE)</f>
        <v>0</v>
      </c>
      <c r="AZ87" s="144" t="b">
        <f>IF(AND($C87&lt;&gt;"",$H87=""),TRUE,FALSE)</f>
        <v>0</v>
      </c>
      <c r="BA87" s="144" t="b">
        <f>IF(AND($C87&lt;&gt;"",$J87=""),TRUE,FALSE)</f>
        <v>0</v>
      </c>
      <c r="BB87" s="144" t="b">
        <f>IF(AND($C87&lt;&gt;"",$L87=""),TRUE,FALSE)</f>
        <v>0</v>
      </c>
      <c r="BC87" s="144" t="b">
        <f>IF(AND($C87&lt;&gt;"",$N87=""),TRUE,FALSE)</f>
        <v>0</v>
      </c>
      <c r="BD87" s="142" t="b">
        <f>IF($BE87=TRUE,FALSE,IF(OR($P87&lt;$BD$5,$P87&gt;$BE$5),TRUE,FALSE))</f>
        <v>0</v>
      </c>
      <c r="BE87" s="144" t="b">
        <f>IF(AND($C87&lt;&gt;"",$P87=""),TRUE,FALSE)</f>
        <v>0</v>
      </c>
      <c r="BF87" s="144" t="b">
        <f>IF($BG87=TRUE,FALSE,IF(OR($R87&lt;$BF$5,$R87&gt;$BG$5),TRUE,FALSE))</f>
        <v>0</v>
      </c>
      <c r="BG87" s="144" t="b">
        <f>IF(AND($C87&lt;&gt;"",$R87=""),TRUE,FALSE)</f>
        <v>0</v>
      </c>
      <c r="BH87" s="160" t="b">
        <f>IF(BI87=TRUE,FALSE,IF(AND(V87&lt;&gt;"",V$11=""),TRUE,IF(AND(V87&lt;&gt;"",V$11&lt;&gt;"",$R87&lt;&gt;$AP87),TRUE,IF(OR(V87&lt;0,V87&gt;$R87),TRUE,FALSE))))</f>
        <v>0</v>
      </c>
      <c r="BI87" s="144" t="b">
        <f>IF(AND($C87&lt;&gt;"",V$11&lt;&gt;"",$V87=""),TRUE,FALSE)</f>
        <v>0</v>
      </c>
      <c r="BJ87" s="160" t="b">
        <f>IF(BK87=TRUE,FALSE,IF(AND(X87&lt;&gt;"",X$11=""),TRUE,IF(AND(X87&lt;&gt;"",X$11&lt;&gt;"",$R87&lt;&gt;$AP87),TRUE,IF(OR(X87&lt;0,X87&gt;$R87),TRUE,FALSE))))</f>
        <v>0</v>
      </c>
      <c r="BK87" s="144" t="b">
        <f>IF(AND($C87&lt;&gt;"",X$11&lt;&gt;"",$X87=""),TRUE,FALSE)</f>
        <v>0</v>
      </c>
      <c r="BL87" s="160" t="b">
        <f>IF(BM87=TRUE,FALSE,IF(AND(Z87&lt;&gt;"",Z$11=""),TRUE,IF(AND(Z87&lt;&gt;"",Z$11&lt;&gt;"",$R87&lt;&gt;$AP87),TRUE,IF(OR(Z87&lt;0,Z87&gt;$R87),TRUE,FALSE))))</f>
        <v>0</v>
      </c>
      <c r="BM87" s="144" t="b">
        <f>IF(AND($C87&lt;&gt;"",Z$11&lt;&gt;"",$Z87=""),TRUE,FALSE)</f>
        <v>0</v>
      </c>
      <c r="BN87" s="160" t="b">
        <f>IF(BO87=TRUE,FALSE,IF(AND(AB87&lt;&gt;"",AB$11=""),TRUE,IF(AND(AB87&lt;&gt;"",AB$11&lt;&gt;"",$R87&lt;&gt;$AP87),TRUE,IF(OR(AB87&lt;0,AB87&gt;$R87),TRUE,FALSE))))</f>
        <v>0</v>
      </c>
      <c r="BO87" s="144" t="b">
        <f>IF(AND($C87&lt;&gt;"",AB$11&lt;&gt;"",$AB87=""),TRUE,FALSE)</f>
        <v>0</v>
      </c>
      <c r="BP87" s="160" t="b">
        <f>IF(BQ87=TRUE,FALSE,IF(AND(AD87&lt;&gt;"",AD$11=""),TRUE,IF(AND(AD87&lt;&gt;"",AD$11&lt;&gt;"",$R87&lt;&gt;$AP87),TRUE,IF(OR(AD87&lt;0,AD87&gt;$R87),TRUE,FALSE))))</f>
        <v>0</v>
      </c>
      <c r="BQ87" s="144" t="b">
        <f>IF(AND($C87&lt;&gt;"",AD$11&lt;&gt;"",$AD87=""),TRUE,FALSE)</f>
        <v>0</v>
      </c>
      <c r="BR87" s="160" t="b">
        <f>IF(BS87=TRUE,FALSE,IF(AND(AF87&lt;&gt;"",AF$11=""),TRUE,IF(AND(AF87&lt;&gt;"",AF$11&lt;&gt;"",$R87&lt;&gt;$AP87),TRUE,IF(OR(AF87&lt;0,AF87&gt;$R87),TRUE,FALSE))))</f>
        <v>0</v>
      </c>
      <c r="BS87" s="144" t="b">
        <f>IF(AND($C87&lt;&gt;"",AF$11&lt;&gt;"",$AF87=""),TRUE,FALSE)</f>
        <v>0</v>
      </c>
      <c r="BT87" s="160" t="b">
        <f>IF(BU87=TRUE,FALSE,IF(AND(AH87&lt;&gt;"",AH$11=""),TRUE,IF(AND(AH87&lt;&gt;"",AH$11&lt;&gt;"",$R87&lt;&gt;$AP87),TRUE,IF(OR(AH87&lt;0,AH87&gt;$R87),TRUE,FALSE))))</f>
        <v>0</v>
      </c>
      <c r="BU87" s="144" t="b">
        <f>IF(AND($C87&lt;&gt;"",AH$11&lt;&gt;"",$AH87=""),TRUE,FALSE)</f>
        <v>0</v>
      </c>
      <c r="BV87" s="160" t="b">
        <f>IF(BW87=TRUE,FALSE,IF(AND(AJ87&lt;&gt;"",AJ$11=""),TRUE,IF(AND(AJ87&lt;&gt;"",AJ$11&lt;&gt;"",$R87&lt;&gt;$AP87),TRUE,IF(OR(AJ87&lt;0,AJ87&gt;$R87),TRUE,FALSE))))</f>
        <v>0</v>
      </c>
      <c r="BW87" s="144" t="b">
        <f>IF(AND($C87&lt;&gt;"",AJ$11&lt;&gt;"",$AJ87=""),TRUE,FALSE)</f>
        <v>0</v>
      </c>
      <c r="BX87" s="160" t="b">
        <f>IF(BY87=TRUE,FALSE,IF(AND(AL87&lt;&gt;"",AL$11=""),TRUE,IF(AND(AL87&lt;&gt;"",AL$11&lt;&gt;"",$R87&lt;&gt;$AP87),TRUE,IF(OR(AL87&lt;0,AL87&gt;$R87),TRUE,FALSE))))</f>
        <v>0</v>
      </c>
      <c r="BY87" s="144" t="b">
        <f>IF(AND($C87&lt;&gt;"",AL$11&lt;&gt;"",$AL87=""),TRUE,FALSE)</f>
        <v>0</v>
      </c>
      <c r="BZ87" s="160" t="b">
        <f>IF(CA87=TRUE,FALSE,IF(AND(AN87&lt;&gt;"",AN$11=""),TRUE,IF(AND(AN87&lt;&gt;"",AN$11&lt;&gt;"",$R87&lt;&gt;$AP87),TRUE,IF(OR(AN87&lt;0,AN87&gt;$R87),TRUE,FALSE))))</f>
        <v>0</v>
      </c>
      <c r="CA87" s="144" t="b">
        <f>IF(AND($C87&lt;&gt;"",AN$11&lt;&gt;"",$AN87=""),TRUE,FALSE)</f>
        <v>0</v>
      </c>
      <c r="CB87" s="133"/>
      <c r="CC87" s="133"/>
      <c r="CD87" s="133"/>
      <c r="CE87" s="133"/>
      <c r="CF87" s="133"/>
      <c r="CG87" s="133"/>
      <c r="CH87" s="133"/>
      <c r="CI87" s="133"/>
      <c r="CJ87" s="133"/>
      <c r="CK87" s="133"/>
      <c r="CL87" s="133"/>
      <c r="CM87" s="133"/>
      <c r="CN87" s="133"/>
      <c r="CO87" s="133"/>
      <c r="CP87" s="133"/>
      <c r="CQ87" s="133"/>
      <c r="CR87" s="133"/>
      <c r="CS87" s="133"/>
      <c r="CT87" s="133"/>
      <c r="CU87" s="133"/>
      <c r="CV87" s="133"/>
      <c r="CW87" s="134"/>
    </row>
    <row r="88" spans="1:101" ht="6.75" customHeight="1" thickBot="1" x14ac:dyDescent="0.25">
      <c r="A88" s="228"/>
      <c r="B88" s="228"/>
      <c r="C88" s="232"/>
      <c r="D88" s="267"/>
      <c r="I88" s="267"/>
      <c r="K88" s="228"/>
      <c r="M88" s="267"/>
      <c r="O88" s="267"/>
      <c r="Q88" s="267"/>
      <c r="S88" s="267"/>
      <c r="U88" s="267"/>
      <c r="V88" s="283"/>
      <c r="W88" s="267"/>
      <c r="X88" s="283"/>
      <c r="Y88" s="267"/>
      <c r="Z88" s="283"/>
      <c r="AA88" s="267"/>
      <c r="AB88" s="283"/>
      <c r="AC88" s="267"/>
      <c r="AD88" s="283"/>
      <c r="AE88" s="267"/>
      <c r="AF88" s="283"/>
      <c r="AG88" s="267"/>
      <c r="AH88" s="283"/>
      <c r="AI88" s="267"/>
      <c r="AJ88" s="283"/>
      <c r="AK88" s="267"/>
      <c r="AL88" s="283"/>
      <c r="AM88" s="267"/>
      <c r="AN88" s="283"/>
      <c r="AO88" s="267"/>
      <c r="AP88" s="267"/>
      <c r="AQ88" s="267"/>
      <c r="AR88" s="232"/>
      <c r="AY88" s="145"/>
      <c r="AZ88" s="146"/>
      <c r="BA88" s="146"/>
      <c r="BB88" s="146"/>
      <c r="BC88" s="146"/>
      <c r="BD88" s="145"/>
      <c r="BE88" s="146"/>
      <c r="BF88" s="146"/>
      <c r="BG88" s="146"/>
      <c r="BH88" s="145"/>
      <c r="BI88" s="146"/>
      <c r="BJ88" s="145"/>
      <c r="BK88" s="146"/>
      <c r="BL88" s="145"/>
      <c r="BM88" s="146"/>
      <c r="BN88" s="145"/>
      <c r="BO88" s="146"/>
      <c r="BP88" s="145"/>
      <c r="BQ88" s="146"/>
      <c r="BR88" s="145"/>
      <c r="BS88" s="146"/>
      <c r="BT88" s="145"/>
      <c r="BU88" s="146"/>
      <c r="BV88" s="145"/>
      <c r="BW88" s="146"/>
      <c r="BX88" s="145"/>
      <c r="BY88" s="146"/>
      <c r="BZ88" s="145"/>
      <c r="CA88" s="146"/>
    </row>
    <row r="89" spans="1:101" s="101" customFormat="1" ht="12.75" customHeight="1" x14ac:dyDescent="0.2">
      <c r="A89" s="227">
        <f>A87+1</f>
        <v>37</v>
      </c>
      <c r="B89" s="227"/>
      <c r="C89" s="231"/>
      <c r="D89" s="251" t="str">
        <f>IF((C89=""),"Enter Segment "&amp;TEXT(A89,0)&amp;" Name, then Enter Data in Columns "&amp;TEXT($H$2,0)&amp;" - "&amp;TEXT($AN$2,0)&amp;"       ","")</f>
        <v xml:space="preserve">Enter Segment 37 Name, then Enter Data in Columns h - an       </v>
      </c>
      <c r="E89" s="131" t="str">
        <f>IF($AW89="B","N/A",IF(AX89="N","No",IF(AX89="Y","Yes","")))</f>
        <v>N/A</v>
      </c>
      <c r="F89" s="130"/>
      <c r="G89" s="130"/>
      <c r="H89" s="285"/>
      <c r="I89" s="251" t="str">
        <f>IF($C89&lt;&gt;"","Enter Starting Point       ","")</f>
        <v/>
      </c>
      <c r="J89" s="285"/>
      <c r="K89" s="227"/>
      <c r="L89" s="88"/>
      <c r="M89" s="251" t="str">
        <f>IF($C89&lt;&gt;"","Select from Pull-Down List  ","")</f>
        <v/>
      </c>
      <c r="N89" s="88"/>
      <c r="O89" s="251" t="str">
        <f>IF($C89&lt;&gt;"","Select from Pull-Down List  ","")</f>
        <v/>
      </c>
      <c r="P89" s="131"/>
      <c r="Q89" s="251" t="str">
        <f>IF($C89&lt;&gt;"","Dir. Route-Mi?    ","")</f>
        <v/>
      </c>
      <c r="R89" s="131"/>
      <c r="S89" s="251" t="str">
        <f>IF($C89&lt;&gt;"","Trk-Mi?      ","")</f>
        <v/>
      </c>
      <c r="T89" s="131"/>
      <c r="U89" s="251" t="str">
        <f>IF($C89&lt;&gt;"","Trk-Mi?      ","")</f>
        <v/>
      </c>
      <c r="V89" s="284"/>
      <c r="W89" s="278" t="str">
        <f>IF(OR($R89="",V$11=""),"","0 - "&amp;TEXT($R89-$AP89,"0.0")&amp;" Trk-Mi?    ")</f>
        <v/>
      </c>
      <c r="X89" s="284"/>
      <c r="Y89" s="278" t="str">
        <f>IF(OR($R89="",X$11=""),"","0 - "&amp;TEXT($R89-$AP89,"0.0")&amp;" Trk-Mi?    ")</f>
        <v/>
      </c>
      <c r="Z89" s="284"/>
      <c r="AA89" s="278" t="str">
        <f>IF(OR($R89="",Z$11=""),"","0 - "&amp;TEXT($R89-$AP89,"0.0")&amp;" Trk-Mi?    ")</f>
        <v/>
      </c>
      <c r="AB89" s="284"/>
      <c r="AC89" s="278" t="str">
        <f>IF(OR($R89="",AB$11=""),"","0 - "&amp;TEXT($R89-$AP89,"0.0")&amp;" Trk-Mi?    ")</f>
        <v/>
      </c>
      <c r="AD89" s="284"/>
      <c r="AE89" s="278" t="str">
        <f>IF(OR($R89="",AD$11=""),"","0 - "&amp;TEXT($R89-$AP89,"0.0")&amp;" Trk-Mi?    ")</f>
        <v/>
      </c>
      <c r="AF89" s="284"/>
      <c r="AG89" s="278" t="str">
        <f>IF(OR($R89="",AF$11=""),"","0 - "&amp;TEXT($R89-$AP89,"0.0")&amp;" Trk-Mi?    ")</f>
        <v/>
      </c>
      <c r="AH89" s="284"/>
      <c r="AI89" s="278" t="str">
        <f>IF(OR($R89="",AH$11=""),"","0 - "&amp;TEXT($R89-$AP89,"0.0")&amp;" Trk-Mi?    ")</f>
        <v/>
      </c>
      <c r="AJ89" s="284"/>
      <c r="AK89" s="278" t="str">
        <f>IF(OR($R89="",AJ$11=""),"","0 - "&amp;TEXT($R89-$AP89,"0.0")&amp;" Trk-Mi?    ")</f>
        <v/>
      </c>
      <c r="AL89" s="284"/>
      <c r="AM89" s="278" t="str">
        <f>IF(OR($R89="",AL$11=""),"","0 - "&amp;TEXT($R89-$AP89,"0.0")&amp;" Trk-Mi?    ")</f>
        <v/>
      </c>
      <c r="AN89" s="284"/>
      <c r="AO89" s="278" t="str">
        <f>IF(OR($R89="",AN$11=""),"","0 - "&amp;TEXT($R89-$AP89,"0.0")&amp;" Trk-Mi?    ")</f>
        <v/>
      </c>
      <c r="AP89" s="282">
        <f>SUM(V89,X89,Z89,AB89,AD89,AF89,AH89,AJ89,AL89,AN89)</f>
        <v>0</v>
      </c>
      <c r="AQ89" s="278"/>
      <c r="AR89" s="234"/>
      <c r="AS89" s="107"/>
      <c r="AT89" s="107"/>
      <c r="AU89" s="107"/>
      <c r="AW89" s="107" t="str">
        <f>IF(AND($C89="",$H89="",$J89="",$L89="",$N89="",$P89="",$R89=""),"B","NB")</f>
        <v>B</v>
      </c>
      <c r="AX89" s="241" t="str">
        <f>IF(OR($C89="",$H89="",$J89="",$L89="",$N89="",$R89="",$P89="",AND($V$11&lt;&gt;"",$V89=""),AND($X$11&lt;&gt;"",$X89=""),AND($Z$11&lt;&gt;"",$Z89=""),AND($AB$11&lt;&gt;"",$AB89=""),AND($AD$11&lt;&gt;"",$AD89=""),AND($AF$11&lt;&gt;"",$AF89=""),AND($AH$11&lt;&gt;"",$AH89=""),AND($AJ$11&lt;&gt;"",$AJ89=""),AND($AL$11&lt;&gt;"",$AL89=""),AND($AN$11&lt;&gt;"",$AN89="")),"N","Y")</f>
        <v>N</v>
      </c>
      <c r="AY89" s="142" t="b">
        <f>IF(AND($C89="",OR($H89&lt;&gt;"",$J89&lt;&gt;"",$L89&lt;&gt;"",$N89&lt;&gt;"",$R89&lt;&gt;"",$P89&lt;&gt;"",AND($V$11&lt;&gt;"",$V89&lt;&gt;""),AND($X$11&lt;&gt;"",$X89&lt;&gt;""),AND($Z$11&lt;&gt;"",$Z89&lt;&gt;""),AND($AB$11&lt;&gt;"",$AB89&lt;&gt;""),AND($AD$11&lt;&gt;"",$AD89&lt;&gt;""),AND($AF$11&lt;&gt;"",$AF89&lt;&gt;""),AND($AH$11&lt;&gt;"",$AH89&lt;&gt;""),AND($AJ$11&lt;&gt;"",$AJ89&lt;&gt;""),AND($AL$11&lt;&gt;"",$AL89&lt;&gt;""),AND($AN$11&lt;&gt;"",$AN89&lt;&gt;""))),TRUE,FALSE)</f>
        <v>0</v>
      </c>
      <c r="AZ89" s="144" t="b">
        <f>IF(AND($C89&lt;&gt;"",$H89=""),TRUE,FALSE)</f>
        <v>0</v>
      </c>
      <c r="BA89" s="144" t="b">
        <f>IF(AND($C89&lt;&gt;"",$J89=""),TRUE,FALSE)</f>
        <v>0</v>
      </c>
      <c r="BB89" s="144" t="b">
        <f>IF(AND($C89&lt;&gt;"",$L89=""),TRUE,FALSE)</f>
        <v>0</v>
      </c>
      <c r="BC89" s="144" t="b">
        <f>IF(AND($C89&lt;&gt;"",$N89=""),TRUE,FALSE)</f>
        <v>0</v>
      </c>
      <c r="BD89" s="144" t="b">
        <f>IF($BE89=TRUE,FALSE,IF(OR($P89&lt;$BD$5,$P89&gt;$BE$5),TRUE,FALSE))</f>
        <v>0</v>
      </c>
      <c r="BE89" s="144" t="b">
        <f>IF(AND($C89&lt;&gt;"",$P89=""),TRUE,FALSE)</f>
        <v>0</v>
      </c>
      <c r="BF89" s="144" t="b">
        <f>IF($BG89=TRUE,FALSE,IF(OR($R89&lt;$BF$5,$R89&gt;$BG$5),TRUE,FALSE))</f>
        <v>0</v>
      </c>
      <c r="BG89" s="142" t="b">
        <f>IF(AND($C89&lt;&gt;"",$R89=""),TRUE,FALSE)</f>
        <v>0</v>
      </c>
      <c r="BH89" s="160" t="b">
        <f>IF(BI89=TRUE,FALSE,IF(AND(V89&lt;&gt;"",V$11=""),TRUE,IF(AND(V89&lt;&gt;"",V$11&lt;&gt;"",$R89&lt;&gt;$AP89),TRUE,IF(OR(V89&lt;0,V89&gt;$R89),TRUE,FALSE))))</f>
        <v>0</v>
      </c>
      <c r="BI89" s="144" t="b">
        <f>IF(AND($C89&lt;&gt;"",V$11&lt;&gt;"",$V89=""),TRUE,FALSE)</f>
        <v>0</v>
      </c>
      <c r="BJ89" s="160" t="b">
        <f>IF(BK89=TRUE,FALSE,IF(AND(X89&lt;&gt;"",X$11=""),TRUE,IF(AND(X89&lt;&gt;"",X$11&lt;&gt;"",$R89&lt;&gt;$AP89),TRUE,IF(OR(X89&lt;0,X89&gt;$R89),TRUE,FALSE))))</f>
        <v>0</v>
      </c>
      <c r="BK89" s="144" t="b">
        <f>IF(AND($C89&lt;&gt;"",X$11&lt;&gt;"",$X89=""),TRUE,FALSE)</f>
        <v>0</v>
      </c>
      <c r="BL89" s="160" t="b">
        <f>IF(BM89=TRUE,FALSE,IF(AND(Z89&lt;&gt;"",Z$11=""),TRUE,IF(AND(Z89&lt;&gt;"",Z$11&lt;&gt;"",$R89&lt;&gt;$AP89),TRUE,IF(OR(Z89&lt;0,Z89&gt;$R89),TRUE,FALSE))))</f>
        <v>0</v>
      </c>
      <c r="BM89" s="144" t="b">
        <f>IF(AND($C89&lt;&gt;"",Z$11&lt;&gt;"",$Z89=""),TRUE,FALSE)</f>
        <v>0</v>
      </c>
      <c r="BN89" s="160" t="b">
        <f>IF(BO89=TRUE,FALSE,IF(AND(AB89&lt;&gt;"",AB$11=""),TRUE,IF(AND(AB89&lt;&gt;"",AB$11&lt;&gt;"",$R89&lt;&gt;$AP89),TRUE,IF(OR(AB89&lt;0,AB89&gt;$R89),TRUE,FALSE))))</f>
        <v>0</v>
      </c>
      <c r="BO89" s="144" t="b">
        <f>IF(AND($C89&lt;&gt;"",AB$11&lt;&gt;"",$AB89=""),TRUE,FALSE)</f>
        <v>0</v>
      </c>
      <c r="BP89" s="160" t="b">
        <f>IF(BQ89=TRUE,FALSE,IF(AND(AD89&lt;&gt;"",AD$11=""),TRUE,IF(AND(AD89&lt;&gt;"",AD$11&lt;&gt;"",$R89&lt;&gt;$AP89),TRUE,IF(OR(AD89&lt;0,AD89&gt;$R89),TRUE,FALSE))))</f>
        <v>0</v>
      </c>
      <c r="BQ89" s="144" t="b">
        <f>IF(AND($C89&lt;&gt;"",AD$11&lt;&gt;"",$AD89=""),TRUE,FALSE)</f>
        <v>0</v>
      </c>
      <c r="BR89" s="160" t="b">
        <f>IF(BS89=TRUE,FALSE,IF(AND(AF89&lt;&gt;"",AF$11=""),TRUE,IF(AND(AF89&lt;&gt;"",AF$11&lt;&gt;"",$R89&lt;&gt;$AP89),TRUE,IF(OR(AF89&lt;0,AF89&gt;$R89),TRUE,FALSE))))</f>
        <v>0</v>
      </c>
      <c r="BS89" s="144" t="b">
        <f>IF(AND($C89&lt;&gt;"",AF$11&lt;&gt;"",$AF89=""),TRUE,FALSE)</f>
        <v>0</v>
      </c>
      <c r="BT89" s="160" t="b">
        <f>IF(BU89=TRUE,FALSE,IF(AND(AH89&lt;&gt;"",AH$11=""),TRUE,IF(AND(AH89&lt;&gt;"",AH$11&lt;&gt;"",$R89&lt;&gt;$AP89),TRUE,IF(OR(AH89&lt;0,AH89&gt;$R89),TRUE,FALSE))))</f>
        <v>0</v>
      </c>
      <c r="BU89" s="144" t="b">
        <f>IF(AND($C89&lt;&gt;"",AH$11&lt;&gt;"",$AH89=""),TRUE,FALSE)</f>
        <v>0</v>
      </c>
      <c r="BV89" s="160" t="b">
        <f>IF(BW89=TRUE,FALSE,IF(AND(AJ89&lt;&gt;"",AJ$11=""),TRUE,IF(AND(AJ89&lt;&gt;"",AJ$11&lt;&gt;"",$R89&lt;&gt;$AP89),TRUE,IF(OR(AJ89&lt;0,AJ89&gt;$R89),TRUE,FALSE))))</f>
        <v>0</v>
      </c>
      <c r="BW89" s="144" t="b">
        <f>IF(AND($C89&lt;&gt;"",AJ$11&lt;&gt;"",$AJ89=""),TRUE,FALSE)</f>
        <v>0</v>
      </c>
      <c r="BX89" s="160" t="b">
        <f>IF(BY89=TRUE,FALSE,IF(AND(AL89&lt;&gt;"",AL$11=""),TRUE,IF(AND(AL89&lt;&gt;"",AL$11&lt;&gt;"",$R89&lt;&gt;$AP89),TRUE,IF(OR(AL89&lt;0,AL89&gt;$R89),TRUE,FALSE))))</f>
        <v>0</v>
      </c>
      <c r="BY89" s="144" t="b">
        <f>IF(AND($C89&lt;&gt;"",AL$11&lt;&gt;"",$AL89=""),TRUE,FALSE)</f>
        <v>0</v>
      </c>
      <c r="BZ89" s="160" t="b">
        <f>IF(CA89=TRUE,FALSE,IF(AND(AN89&lt;&gt;"",AN$11=""),TRUE,IF(AND(AN89&lt;&gt;"",AN$11&lt;&gt;"",$R89&lt;&gt;$AP89),TRUE,IF(OR(AN89&lt;0,AN89&gt;$R89),TRUE,FALSE))))</f>
        <v>0</v>
      </c>
      <c r="CA89" s="144" t="b">
        <f>IF(AND($C89&lt;&gt;"",AN$11&lt;&gt;"",$AN89=""),TRUE,FALSE)</f>
        <v>0</v>
      </c>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4"/>
    </row>
    <row r="90" spans="1:101" ht="6.75" customHeight="1" thickBot="1" x14ac:dyDescent="0.25">
      <c r="A90" s="228"/>
      <c r="B90" s="228"/>
      <c r="C90" s="232"/>
      <c r="D90" s="267"/>
      <c r="I90" s="267"/>
      <c r="K90" s="228"/>
      <c r="M90" s="267"/>
      <c r="O90" s="267"/>
      <c r="Q90" s="267"/>
      <c r="S90" s="267"/>
      <c r="U90" s="267"/>
      <c r="V90" s="283"/>
      <c r="W90" s="267"/>
      <c r="X90" s="283"/>
      <c r="Y90" s="267"/>
      <c r="Z90" s="283"/>
      <c r="AA90" s="267"/>
      <c r="AB90" s="283"/>
      <c r="AC90" s="267"/>
      <c r="AD90" s="283"/>
      <c r="AE90" s="267"/>
      <c r="AF90" s="283"/>
      <c r="AG90" s="267"/>
      <c r="AH90" s="283"/>
      <c r="AI90" s="267"/>
      <c r="AJ90" s="283"/>
      <c r="AK90" s="267"/>
      <c r="AL90" s="283"/>
      <c r="AM90" s="267"/>
      <c r="AN90" s="283"/>
      <c r="AO90" s="267"/>
      <c r="AP90" s="267"/>
      <c r="AQ90" s="267"/>
      <c r="AR90" s="232"/>
      <c r="AY90" s="145"/>
      <c r="AZ90" s="146"/>
      <c r="BA90" s="146"/>
      <c r="BB90" s="146"/>
      <c r="BC90" s="146"/>
      <c r="BD90" s="145"/>
      <c r="BE90" s="146"/>
      <c r="BF90" s="146"/>
      <c r="BG90" s="146"/>
      <c r="BH90" s="145"/>
      <c r="BI90" s="146"/>
      <c r="BJ90" s="145"/>
      <c r="BK90" s="146"/>
      <c r="BL90" s="145"/>
      <c r="BM90" s="146"/>
      <c r="BN90" s="145"/>
      <c r="BO90" s="146"/>
      <c r="BP90" s="145"/>
      <c r="BQ90" s="146"/>
      <c r="BR90" s="145"/>
      <c r="BS90" s="146"/>
      <c r="BT90" s="145"/>
      <c r="BU90" s="146"/>
      <c r="BV90" s="145"/>
      <c r="BW90" s="146"/>
      <c r="BX90" s="145"/>
      <c r="BY90" s="146"/>
      <c r="BZ90" s="145"/>
      <c r="CA90" s="146"/>
    </row>
    <row r="91" spans="1:101" s="101" customFormat="1" ht="12.75" customHeight="1" x14ac:dyDescent="0.2">
      <c r="A91" s="227">
        <f>A89+1</f>
        <v>38</v>
      </c>
      <c r="B91" s="227"/>
      <c r="C91" s="231"/>
      <c r="D91" s="251" t="str">
        <f>IF((C91=""),"Enter Segment "&amp;TEXT(A91,0)&amp;" Name, then Enter Data in Columns "&amp;TEXT($H$2,0)&amp;" - "&amp;TEXT($AN$2,0)&amp;"       ","")</f>
        <v xml:space="preserve">Enter Segment 38 Name, then Enter Data in Columns h - an       </v>
      </c>
      <c r="E91" s="131" t="str">
        <f>IF($AW91="B","N/A",IF(AX91="N","No",IF(AX91="Y","Yes","")))</f>
        <v>N/A</v>
      </c>
      <c r="F91" s="130"/>
      <c r="G91" s="130"/>
      <c r="H91" s="285"/>
      <c r="I91" s="251" t="str">
        <f>IF($C91&lt;&gt;"","Enter Starting Point       ","")</f>
        <v/>
      </c>
      <c r="J91" s="285"/>
      <c r="K91" s="227"/>
      <c r="L91" s="88"/>
      <c r="M91" s="251" t="str">
        <f>IF($C91&lt;&gt;"","Select from Pull-Down List  ","")</f>
        <v/>
      </c>
      <c r="N91" s="88"/>
      <c r="O91" s="251" t="str">
        <f>IF($C91&lt;&gt;"","Select from Pull-Down List  ","")</f>
        <v/>
      </c>
      <c r="P91" s="131"/>
      <c r="Q91" s="251" t="str">
        <f>IF($C91&lt;&gt;"","Dir. Route-Mi?    ","")</f>
        <v/>
      </c>
      <c r="R91" s="131"/>
      <c r="S91" s="251" t="str">
        <f>IF($C91&lt;&gt;"","Trk-Mi?      ","")</f>
        <v/>
      </c>
      <c r="T91" s="131"/>
      <c r="U91" s="251" t="str">
        <f>IF($C91&lt;&gt;"","Trk-Mi?      ","")</f>
        <v/>
      </c>
      <c r="V91" s="284"/>
      <c r="W91" s="278" t="str">
        <f>IF(OR($R91="",V$11=""),"","0 - "&amp;TEXT($R91-$AP91,"0.0")&amp;" Trk-Mi?    ")</f>
        <v/>
      </c>
      <c r="X91" s="284"/>
      <c r="Y91" s="278" t="str">
        <f>IF(OR($R91="",X$11=""),"","0 - "&amp;TEXT($R91-$AP91,"0.0")&amp;" Trk-Mi?    ")</f>
        <v/>
      </c>
      <c r="Z91" s="284"/>
      <c r="AA91" s="278" t="str">
        <f>IF(OR($R91="",Z$11=""),"","0 - "&amp;TEXT($R91-$AP91,"0.0")&amp;" Trk-Mi?    ")</f>
        <v/>
      </c>
      <c r="AB91" s="284"/>
      <c r="AC91" s="278" t="str">
        <f>IF(OR($R91="",AB$11=""),"","0 - "&amp;TEXT($R91-$AP91,"0.0")&amp;" Trk-Mi?    ")</f>
        <v/>
      </c>
      <c r="AD91" s="284"/>
      <c r="AE91" s="278" t="str">
        <f>IF(OR($R91="",AD$11=""),"","0 - "&amp;TEXT($R91-$AP91,"0.0")&amp;" Trk-Mi?    ")</f>
        <v/>
      </c>
      <c r="AF91" s="284"/>
      <c r="AG91" s="278" t="str">
        <f>IF(OR($R91="",AF$11=""),"","0 - "&amp;TEXT($R91-$AP91,"0.0")&amp;" Trk-Mi?    ")</f>
        <v/>
      </c>
      <c r="AH91" s="284"/>
      <c r="AI91" s="278" t="str">
        <f>IF(OR($R91="",AH$11=""),"","0 - "&amp;TEXT($R91-$AP91,"0.0")&amp;" Trk-Mi?    ")</f>
        <v/>
      </c>
      <c r="AJ91" s="284"/>
      <c r="AK91" s="278" t="str">
        <f>IF(OR($R91="",AJ$11=""),"","0 - "&amp;TEXT($R91-$AP91,"0.0")&amp;" Trk-Mi?    ")</f>
        <v/>
      </c>
      <c r="AL91" s="284"/>
      <c r="AM91" s="278" t="str">
        <f>IF(OR($R91="",AL$11=""),"","0 - "&amp;TEXT($R91-$AP91,"0.0")&amp;" Trk-Mi?    ")</f>
        <v/>
      </c>
      <c r="AN91" s="284"/>
      <c r="AO91" s="278" t="str">
        <f>IF(OR($R91="",AN$11=""),"","0 - "&amp;TEXT($R91-$AP91,"0.0")&amp;" Trk-Mi?    ")</f>
        <v/>
      </c>
      <c r="AP91" s="282">
        <f>SUM(V91,X91,Z91,AB91,AD91,AF91,AH91,AJ91,AL91,AN91)</f>
        <v>0</v>
      </c>
      <c r="AQ91" s="278"/>
      <c r="AR91" s="234"/>
      <c r="AS91" s="107"/>
      <c r="AT91" s="107"/>
      <c r="AU91" s="107"/>
      <c r="AW91" s="107" t="str">
        <f>IF(AND($C91="",$H91="",$J91="",$L91="",$N91="",$P91="",$R91=""),"B","NB")</f>
        <v>B</v>
      </c>
      <c r="AX91" s="241" t="str">
        <f>IF(OR($C91="",$H91="",$J91="",$L91="",$N91="",$R91="",$P91="",AND($V$11&lt;&gt;"",$V91=""),AND($X$11&lt;&gt;"",$X91=""),AND($Z$11&lt;&gt;"",$Z91=""),AND($AB$11&lt;&gt;"",$AB91=""),AND($AD$11&lt;&gt;"",$AD91=""),AND($AF$11&lt;&gt;"",$AF91=""),AND($AH$11&lt;&gt;"",$AH91=""),AND($AJ$11&lt;&gt;"",$AJ91=""),AND($AL$11&lt;&gt;"",$AL91=""),AND($AN$11&lt;&gt;"",$AN91="")),"N","Y")</f>
        <v>N</v>
      </c>
      <c r="AY91" s="142" t="b">
        <f>IF(AND($C91="",OR($H91&lt;&gt;"",$J91&lt;&gt;"",$L91&lt;&gt;"",$N91&lt;&gt;"",$R91&lt;&gt;"",$P91&lt;&gt;"",AND($V$11&lt;&gt;"",$V91&lt;&gt;""),AND($X$11&lt;&gt;"",$X91&lt;&gt;""),AND($Z$11&lt;&gt;"",$Z91&lt;&gt;""),AND($AB$11&lt;&gt;"",$AB91&lt;&gt;""),AND($AD$11&lt;&gt;"",$AD91&lt;&gt;""),AND($AF$11&lt;&gt;"",$AF91&lt;&gt;""),AND($AH$11&lt;&gt;"",$AH91&lt;&gt;""),AND($AJ$11&lt;&gt;"",$AJ91&lt;&gt;""),AND($AL$11&lt;&gt;"",$AL91&lt;&gt;""),AND($AN$11&lt;&gt;"",$AN91&lt;&gt;""))),TRUE,FALSE)</f>
        <v>0</v>
      </c>
      <c r="AZ91" s="144" t="b">
        <f>IF(AND($C91&lt;&gt;"",$H91=""),TRUE,FALSE)</f>
        <v>0</v>
      </c>
      <c r="BA91" s="144" t="b">
        <f>IF(AND($C91&lt;&gt;"",$J91=""),TRUE,FALSE)</f>
        <v>0</v>
      </c>
      <c r="BB91" s="144" t="b">
        <f>IF(AND($C91&lt;&gt;"",$L91=""),TRUE,FALSE)</f>
        <v>0</v>
      </c>
      <c r="BC91" s="144" t="b">
        <f>IF(AND($C91&lt;&gt;"",$N91=""),TRUE,FALSE)</f>
        <v>0</v>
      </c>
      <c r="BD91" s="142" t="b">
        <f>IF($BE91=TRUE,FALSE,IF(OR($P91&lt;$BD$5,$P91&gt;$BE$5),TRUE,FALSE))</f>
        <v>0</v>
      </c>
      <c r="BE91" s="144" t="b">
        <f>IF(AND($C91&lt;&gt;"",$P91=""),TRUE,FALSE)</f>
        <v>0</v>
      </c>
      <c r="BF91" s="144" t="b">
        <f>IF($BG91=TRUE,FALSE,IF(OR($R91&lt;$BF$5,$R91&gt;$BG$5),TRUE,FALSE))</f>
        <v>0</v>
      </c>
      <c r="BG91" s="144" t="b">
        <f>IF(AND($C91&lt;&gt;"",$R91=""),TRUE,FALSE)</f>
        <v>0</v>
      </c>
      <c r="BH91" s="160" t="b">
        <f>IF(BI91=TRUE,FALSE,IF(AND(V91&lt;&gt;"",V$11=""),TRUE,IF(AND(V91&lt;&gt;"",V$11&lt;&gt;"",$R91&lt;&gt;$AP91),TRUE,IF(OR(V91&lt;0,V91&gt;$R91),TRUE,FALSE))))</f>
        <v>0</v>
      </c>
      <c r="BI91" s="144" t="b">
        <f>IF(AND($C91&lt;&gt;"",V$11&lt;&gt;"",$V91=""),TRUE,FALSE)</f>
        <v>0</v>
      </c>
      <c r="BJ91" s="160" t="b">
        <f>IF(BK91=TRUE,FALSE,IF(AND(X91&lt;&gt;"",X$11=""),TRUE,IF(AND(X91&lt;&gt;"",X$11&lt;&gt;"",$R91&lt;&gt;$AP91),TRUE,IF(OR(X91&lt;0,X91&gt;$R91),TRUE,FALSE))))</f>
        <v>0</v>
      </c>
      <c r="BK91" s="144" t="b">
        <f>IF(AND($C91&lt;&gt;"",X$11&lt;&gt;"",$X91=""),TRUE,FALSE)</f>
        <v>0</v>
      </c>
      <c r="BL91" s="160" t="b">
        <f>IF(BM91=TRUE,FALSE,IF(AND(Z91&lt;&gt;"",Z$11=""),TRUE,IF(AND(Z91&lt;&gt;"",Z$11&lt;&gt;"",$R91&lt;&gt;$AP91),TRUE,IF(OR(Z91&lt;0,Z91&gt;$R91),TRUE,FALSE))))</f>
        <v>0</v>
      </c>
      <c r="BM91" s="144" t="b">
        <f>IF(AND($C91&lt;&gt;"",Z$11&lt;&gt;"",$Z91=""),TRUE,FALSE)</f>
        <v>0</v>
      </c>
      <c r="BN91" s="160" t="b">
        <f>IF(BO91=TRUE,FALSE,IF(AND(AB91&lt;&gt;"",AB$11=""),TRUE,IF(AND(AB91&lt;&gt;"",AB$11&lt;&gt;"",$R91&lt;&gt;$AP91),TRUE,IF(OR(AB91&lt;0,AB91&gt;$R91),TRUE,FALSE))))</f>
        <v>0</v>
      </c>
      <c r="BO91" s="144" t="b">
        <f>IF(AND($C91&lt;&gt;"",AB$11&lt;&gt;"",$AB91=""),TRUE,FALSE)</f>
        <v>0</v>
      </c>
      <c r="BP91" s="160" t="b">
        <f>IF(BQ91=TRUE,FALSE,IF(AND(AD91&lt;&gt;"",AD$11=""),TRUE,IF(AND(AD91&lt;&gt;"",AD$11&lt;&gt;"",$R91&lt;&gt;$AP91),TRUE,IF(OR(AD91&lt;0,AD91&gt;$R91),TRUE,FALSE))))</f>
        <v>0</v>
      </c>
      <c r="BQ91" s="144" t="b">
        <f>IF(AND($C91&lt;&gt;"",AD$11&lt;&gt;"",$AD91=""),TRUE,FALSE)</f>
        <v>0</v>
      </c>
      <c r="BR91" s="160" t="b">
        <f>IF(BS91=TRUE,FALSE,IF(AND(AF91&lt;&gt;"",AF$11=""),TRUE,IF(AND(AF91&lt;&gt;"",AF$11&lt;&gt;"",$R91&lt;&gt;$AP91),TRUE,IF(OR(AF91&lt;0,AF91&gt;$R91),TRUE,FALSE))))</f>
        <v>0</v>
      </c>
      <c r="BS91" s="144" t="b">
        <f>IF(AND($C91&lt;&gt;"",AF$11&lt;&gt;"",$AF91=""),TRUE,FALSE)</f>
        <v>0</v>
      </c>
      <c r="BT91" s="160" t="b">
        <f>IF(BU91=TRUE,FALSE,IF(AND(AH91&lt;&gt;"",AH$11=""),TRUE,IF(AND(AH91&lt;&gt;"",AH$11&lt;&gt;"",$R91&lt;&gt;$AP91),TRUE,IF(OR(AH91&lt;0,AH91&gt;$R91),TRUE,FALSE))))</f>
        <v>0</v>
      </c>
      <c r="BU91" s="144" t="b">
        <f>IF(AND($C91&lt;&gt;"",AH$11&lt;&gt;"",$AH91=""),TRUE,FALSE)</f>
        <v>0</v>
      </c>
      <c r="BV91" s="160" t="b">
        <f>IF(BW91=TRUE,FALSE,IF(AND(AJ91&lt;&gt;"",AJ$11=""),TRUE,IF(AND(AJ91&lt;&gt;"",AJ$11&lt;&gt;"",$R91&lt;&gt;$AP91),TRUE,IF(OR(AJ91&lt;0,AJ91&gt;$R91),TRUE,FALSE))))</f>
        <v>0</v>
      </c>
      <c r="BW91" s="144" t="b">
        <f>IF(AND($C91&lt;&gt;"",AJ$11&lt;&gt;"",$AJ91=""),TRUE,FALSE)</f>
        <v>0</v>
      </c>
      <c r="BX91" s="160" t="b">
        <f>IF(BY91=TRUE,FALSE,IF(AND(AL91&lt;&gt;"",AL$11=""),TRUE,IF(AND(AL91&lt;&gt;"",AL$11&lt;&gt;"",$R91&lt;&gt;$AP91),TRUE,IF(OR(AL91&lt;0,AL91&gt;$R91),TRUE,FALSE))))</f>
        <v>0</v>
      </c>
      <c r="BY91" s="144" t="b">
        <f>IF(AND($C91&lt;&gt;"",AL$11&lt;&gt;"",$AL91=""),TRUE,FALSE)</f>
        <v>0</v>
      </c>
      <c r="BZ91" s="160" t="b">
        <f>IF(CA91=TRUE,FALSE,IF(AND(AN91&lt;&gt;"",AN$11=""),TRUE,IF(AND(AN91&lt;&gt;"",AN$11&lt;&gt;"",$R91&lt;&gt;$AP91),TRUE,IF(OR(AN91&lt;0,AN91&gt;$R91),TRUE,FALSE))))</f>
        <v>0</v>
      </c>
      <c r="CA91" s="144" t="b">
        <f>IF(AND($C91&lt;&gt;"",AN$11&lt;&gt;"",$AN91=""),TRUE,FALSE)</f>
        <v>0</v>
      </c>
      <c r="CB91" s="133"/>
      <c r="CC91" s="133"/>
      <c r="CD91" s="133"/>
      <c r="CE91" s="133"/>
      <c r="CF91" s="133"/>
      <c r="CG91" s="133"/>
      <c r="CH91" s="133"/>
      <c r="CI91" s="133"/>
      <c r="CJ91" s="133"/>
      <c r="CK91" s="133"/>
      <c r="CL91" s="133"/>
      <c r="CM91" s="133"/>
      <c r="CN91" s="133"/>
      <c r="CO91" s="133"/>
      <c r="CP91" s="133"/>
      <c r="CQ91" s="133"/>
      <c r="CR91" s="133"/>
      <c r="CS91" s="133"/>
      <c r="CT91" s="133"/>
      <c r="CU91" s="133"/>
      <c r="CV91" s="133"/>
      <c r="CW91" s="134"/>
    </row>
    <row r="92" spans="1:101" ht="6.75" customHeight="1" thickBot="1" x14ac:dyDescent="0.25">
      <c r="A92" s="228"/>
      <c r="B92" s="228"/>
      <c r="C92" s="232"/>
      <c r="D92" s="251"/>
      <c r="E92" s="130"/>
      <c r="F92" s="130"/>
      <c r="G92" s="130"/>
      <c r="I92" s="251"/>
      <c r="K92" s="228"/>
      <c r="M92" s="251"/>
      <c r="O92" s="251"/>
      <c r="P92" s="130"/>
      <c r="Q92" s="251"/>
      <c r="R92" s="130"/>
      <c r="S92" s="251"/>
      <c r="T92" s="130"/>
      <c r="U92" s="251"/>
      <c r="V92" s="283"/>
      <c r="W92" s="278"/>
      <c r="X92" s="283"/>
      <c r="Y92" s="278"/>
      <c r="Z92" s="283"/>
      <c r="AA92" s="278"/>
      <c r="AB92" s="283"/>
      <c r="AC92" s="278"/>
      <c r="AD92" s="283"/>
      <c r="AE92" s="278"/>
      <c r="AF92" s="283"/>
      <c r="AG92" s="278"/>
      <c r="AH92" s="283"/>
      <c r="AI92" s="278"/>
      <c r="AJ92" s="283"/>
      <c r="AK92" s="278"/>
      <c r="AL92" s="283"/>
      <c r="AM92" s="278"/>
      <c r="AN92" s="283"/>
      <c r="AO92" s="278"/>
      <c r="AP92" s="105"/>
      <c r="AQ92" s="253"/>
      <c r="AR92" s="232"/>
      <c r="AY92" s="145"/>
      <c r="AZ92" s="146"/>
      <c r="BA92" s="146"/>
      <c r="BB92" s="146"/>
      <c r="BC92" s="146"/>
      <c r="BD92" s="145"/>
      <c r="BE92" s="146"/>
      <c r="BF92" s="146"/>
      <c r="BG92" s="146"/>
      <c r="BH92" s="145"/>
      <c r="BI92" s="146"/>
      <c r="BJ92" s="145"/>
      <c r="BK92" s="146"/>
      <c r="BL92" s="145"/>
      <c r="BM92" s="146"/>
      <c r="BN92" s="145"/>
      <c r="BO92" s="146"/>
      <c r="BP92" s="145"/>
      <c r="BQ92" s="146"/>
      <c r="BR92" s="145"/>
      <c r="BS92" s="146"/>
      <c r="BT92" s="145"/>
      <c r="BU92" s="146"/>
      <c r="BV92" s="145"/>
      <c r="BW92" s="146"/>
      <c r="BX92" s="145"/>
      <c r="BY92" s="146"/>
      <c r="BZ92" s="145"/>
      <c r="CA92" s="146"/>
    </row>
    <row r="93" spans="1:101" s="101" customFormat="1" ht="12.75" customHeight="1" x14ac:dyDescent="0.2">
      <c r="A93" s="227">
        <f>A91+1</f>
        <v>39</v>
      </c>
      <c r="B93" s="227"/>
      <c r="C93" s="231"/>
      <c r="D93" s="251" t="str">
        <f>IF((C93=""),"Enter Segment "&amp;TEXT(A93,0)&amp;" Name, then Enter Data in Columns "&amp;TEXT($H$2,0)&amp;" - "&amp;TEXT($AN$2,0)&amp;"       ","")</f>
        <v xml:space="preserve">Enter Segment 39 Name, then Enter Data in Columns h - an       </v>
      </c>
      <c r="E93" s="131" t="str">
        <f>IF($AW93="B","N/A",IF(AX93="N","No",IF(AX93="Y","Yes","")))</f>
        <v>N/A</v>
      </c>
      <c r="F93" s="130"/>
      <c r="G93" s="130"/>
      <c r="H93" s="285"/>
      <c r="I93" s="251" t="str">
        <f>IF($C93&lt;&gt;"","Enter Starting Point       ","")</f>
        <v/>
      </c>
      <c r="J93" s="285"/>
      <c r="K93" s="227"/>
      <c r="L93" s="88"/>
      <c r="M93" s="251" t="str">
        <f>IF($C93&lt;&gt;"","Select from Pull-Down List  ","")</f>
        <v/>
      </c>
      <c r="N93" s="88"/>
      <c r="O93" s="251" t="str">
        <f>IF($C93&lt;&gt;"","Select from Pull-Down List  ","")</f>
        <v/>
      </c>
      <c r="P93" s="131"/>
      <c r="Q93" s="251" t="str">
        <f>IF($C93&lt;&gt;"","Dir. Route-Mi?    ","")</f>
        <v/>
      </c>
      <c r="R93" s="131"/>
      <c r="S93" s="251" t="str">
        <f>IF($C93&lt;&gt;"","Trk-Mi?      ","")</f>
        <v/>
      </c>
      <c r="T93" s="131"/>
      <c r="U93" s="251" t="str">
        <f>IF($C93&lt;&gt;"","Trk-Mi?      ","")</f>
        <v/>
      </c>
      <c r="V93" s="284"/>
      <c r="W93" s="278" t="str">
        <f>IF(OR($R93="",V$11=""),"","0 - "&amp;TEXT($R93-$AP93,"0.0")&amp;" Trk-Mi?    ")</f>
        <v/>
      </c>
      <c r="X93" s="284"/>
      <c r="Y93" s="278" t="str">
        <f>IF(OR($R93="",X$11=""),"","0 - "&amp;TEXT($R93-$AP93,"0.0")&amp;" Trk-Mi?    ")</f>
        <v/>
      </c>
      <c r="Z93" s="284"/>
      <c r="AA93" s="278" t="str">
        <f>IF(OR($R93="",Z$11=""),"","0 - "&amp;TEXT($R93-$AP93,"0.0")&amp;" Trk-Mi?    ")</f>
        <v/>
      </c>
      <c r="AB93" s="284"/>
      <c r="AC93" s="278" t="str">
        <f>IF(OR($R93="",AB$11=""),"","0 - "&amp;TEXT($R93-$AP93,"0.0")&amp;" Trk-Mi?    ")</f>
        <v/>
      </c>
      <c r="AD93" s="284"/>
      <c r="AE93" s="278" t="str">
        <f>IF(OR($R93="",AD$11=""),"","0 - "&amp;TEXT($R93-$AP93,"0.0")&amp;" Trk-Mi?    ")</f>
        <v/>
      </c>
      <c r="AF93" s="284"/>
      <c r="AG93" s="278" t="str">
        <f>IF(OR($R93="",AF$11=""),"","0 - "&amp;TEXT($R93-$AP93,"0.0")&amp;" Trk-Mi?    ")</f>
        <v/>
      </c>
      <c r="AH93" s="284"/>
      <c r="AI93" s="278" t="str">
        <f>IF(OR($R93="",AH$11=""),"","0 - "&amp;TEXT($R93-$AP93,"0.0")&amp;" Trk-Mi?    ")</f>
        <v/>
      </c>
      <c r="AJ93" s="284"/>
      <c r="AK93" s="278" t="str">
        <f>IF(OR($R93="",AJ$11=""),"","0 - "&amp;TEXT($R93-$AP93,"0.0")&amp;" Trk-Mi?    ")</f>
        <v/>
      </c>
      <c r="AL93" s="284"/>
      <c r="AM93" s="278" t="str">
        <f>IF(OR($R93="",AL$11=""),"","0 - "&amp;TEXT($R93-$AP93,"0.0")&amp;" Trk-Mi?    ")</f>
        <v/>
      </c>
      <c r="AN93" s="284"/>
      <c r="AO93" s="278" t="str">
        <f>IF(OR($R93="",AN$11=""),"","0 - "&amp;TEXT($R93-$AP93,"0.0")&amp;" Trk-Mi?    ")</f>
        <v/>
      </c>
      <c r="AP93" s="282">
        <f>SUM(V93,X93,Z93,AB93,AD93,AF93,AH93,AJ93,AL93,AN93)</f>
        <v>0</v>
      </c>
      <c r="AQ93" s="278"/>
      <c r="AR93" s="234"/>
      <c r="AS93" s="107"/>
      <c r="AT93" s="107"/>
      <c r="AU93" s="107"/>
      <c r="AW93" s="107" t="str">
        <f>IF(AND($C93="",$H93="",$J93="",$L93="",$N93="",$P93="",$R93=""),"B","NB")</f>
        <v>B</v>
      </c>
      <c r="AX93" s="241" t="str">
        <f>IF(OR($C93="",$H93="",$J93="",$L93="",$N93="",$R93="",$P93="",AND($V$11&lt;&gt;"",$V93=""),AND($X$11&lt;&gt;"",$X93=""),AND($Z$11&lt;&gt;"",$Z93=""),AND($AB$11&lt;&gt;"",$AB93=""),AND($AD$11&lt;&gt;"",$AD93=""),AND($AF$11&lt;&gt;"",$AF93=""),AND($AH$11&lt;&gt;"",$AH93=""),AND($AJ$11&lt;&gt;"",$AJ93=""),AND($AL$11&lt;&gt;"",$AL93=""),AND($AN$11&lt;&gt;"",$AN93="")),"N","Y")</f>
        <v>N</v>
      </c>
      <c r="AY93" s="142" t="b">
        <f>IF(AND($C93="",OR($H93&lt;&gt;"",$J93&lt;&gt;"",$L93&lt;&gt;"",$N93&lt;&gt;"",$R93&lt;&gt;"",$P93&lt;&gt;"",AND($V$11&lt;&gt;"",$V93&lt;&gt;""),AND($X$11&lt;&gt;"",$X93&lt;&gt;""),AND($Z$11&lt;&gt;"",$Z93&lt;&gt;""),AND($AB$11&lt;&gt;"",$AB93&lt;&gt;""),AND($AD$11&lt;&gt;"",$AD93&lt;&gt;""),AND($AF$11&lt;&gt;"",$AF93&lt;&gt;""),AND($AH$11&lt;&gt;"",$AH93&lt;&gt;""),AND($AJ$11&lt;&gt;"",$AJ93&lt;&gt;""),AND($AL$11&lt;&gt;"",$AL93&lt;&gt;""),AND($AN$11&lt;&gt;"",$AN93&lt;&gt;""))),TRUE,FALSE)</f>
        <v>0</v>
      </c>
      <c r="AZ93" s="144" t="b">
        <f>IF(AND($C93&lt;&gt;"",$H93=""),TRUE,FALSE)</f>
        <v>0</v>
      </c>
      <c r="BA93" s="144" t="b">
        <f>IF(AND($C93&lt;&gt;"",$J93=""),TRUE,FALSE)</f>
        <v>0</v>
      </c>
      <c r="BB93" s="144" t="b">
        <f>IF(AND($C93&lt;&gt;"",$L93=""),TRUE,FALSE)</f>
        <v>0</v>
      </c>
      <c r="BC93" s="144" t="b">
        <f>IF(AND($C93&lt;&gt;"",$N93=""),TRUE,FALSE)</f>
        <v>0</v>
      </c>
      <c r="BD93" s="142" t="b">
        <f>IF($BE93=TRUE,FALSE,IF(OR($P93&lt;$BD$5,$P93&gt;$BE$5),TRUE,FALSE))</f>
        <v>0</v>
      </c>
      <c r="BE93" s="144" t="b">
        <f>IF(AND($C93&lt;&gt;"",$P93=""),TRUE,FALSE)</f>
        <v>0</v>
      </c>
      <c r="BF93" s="144" t="b">
        <f>IF($BG93=TRUE,FALSE,IF(OR($R93&lt;$BF$5,$R93&gt;$BG$5),TRUE,FALSE))</f>
        <v>0</v>
      </c>
      <c r="BG93" s="144" t="b">
        <f>IF(AND($C93&lt;&gt;"",$R93=""),TRUE,FALSE)</f>
        <v>0</v>
      </c>
      <c r="BH93" s="160" t="b">
        <f>IF(BI93=TRUE,FALSE,IF(AND(V93&lt;&gt;"",V$11=""),TRUE,IF(AND(V93&lt;&gt;"",V$11&lt;&gt;"",$R93&lt;&gt;$AP93),TRUE,IF(OR(V93&lt;0,V93&gt;$R93),TRUE,FALSE))))</f>
        <v>0</v>
      </c>
      <c r="BI93" s="144" t="b">
        <f>IF(AND($C93&lt;&gt;"",V$11&lt;&gt;"",$V93=""),TRUE,FALSE)</f>
        <v>0</v>
      </c>
      <c r="BJ93" s="160" t="b">
        <f>IF(BK93=TRUE,FALSE,IF(AND(X93&lt;&gt;"",X$11=""),TRUE,IF(AND(X93&lt;&gt;"",X$11&lt;&gt;"",$R93&lt;&gt;$AP93),TRUE,IF(OR(X93&lt;0,X93&gt;$R93),TRUE,FALSE))))</f>
        <v>0</v>
      </c>
      <c r="BK93" s="144" t="b">
        <f>IF(AND($C93&lt;&gt;"",X$11&lt;&gt;"",$X93=""),TRUE,FALSE)</f>
        <v>0</v>
      </c>
      <c r="BL93" s="160" t="b">
        <f>IF(BM93=TRUE,FALSE,IF(AND(Z93&lt;&gt;"",Z$11=""),TRUE,IF(AND(Z93&lt;&gt;"",Z$11&lt;&gt;"",$R93&lt;&gt;$AP93),TRUE,IF(OR(Z93&lt;0,Z93&gt;$R93),TRUE,FALSE))))</f>
        <v>0</v>
      </c>
      <c r="BM93" s="144" t="b">
        <f>IF(AND($C93&lt;&gt;"",Z$11&lt;&gt;"",$Z93=""),TRUE,FALSE)</f>
        <v>0</v>
      </c>
      <c r="BN93" s="160" t="b">
        <f>IF(BO93=TRUE,FALSE,IF(AND(AB93&lt;&gt;"",AB$11=""),TRUE,IF(AND(AB93&lt;&gt;"",AB$11&lt;&gt;"",$R93&lt;&gt;$AP93),TRUE,IF(OR(AB93&lt;0,AB93&gt;$R93),TRUE,FALSE))))</f>
        <v>0</v>
      </c>
      <c r="BO93" s="144" t="b">
        <f>IF(AND($C93&lt;&gt;"",AB$11&lt;&gt;"",$AB93=""),TRUE,FALSE)</f>
        <v>0</v>
      </c>
      <c r="BP93" s="160" t="b">
        <f>IF(BQ93=TRUE,FALSE,IF(AND(AD93&lt;&gt;"",AD$11=""),TRUE,IF(AND(AD93&lt;&gt;"",AD$11&lt;&gt;"",$R93&lt;&gt;$AP93),TRUE,IF(OR(AD93&lt;0,AD93&gt;$R93),TRUE,FALSE))))</f>
        <v>0</v>
      </c>
      <c r="BQ93" s="144" t="b">
        <f>IF(AND($C93&lt;&gt;"",AD$11&lt;&gt;"",$AD93=""),TRUE,FALSE)</f>
        <v>0</v>
      </c>
      <c r="BR93" s="160" t="b">
        <f>IF(BS93=TRUE,FALSE,IF(AND(AF93&lt;&gt;"",AF$11=""),TRUE,IF(AND(AF93&lt;&gt;"",AF$11&lt;&gt;"",$R93&lt;&gt;$AP93),TRUE,IF(OR(AF93&lt;0,AF93&gt;$R93),TRUE,FALSE))))</f>
        <v>0</v>
      </c>
      <c r="BS93" s="144" t="b">
        <f>IF(AND($C93&lt;&gt;"",AF$11&lt;&gt;"",$AF93=""),TRUE,FALSE)</f>
        <v>0</v>
      </c>
      <c r="BT93" s="160" t="b">
        <f>IF(BU93=TRUE,FALSE,IF(AND(AH93&lt;&gt;"",AH$11=""),TRUE,IF(AND(AH93&lt;&gt;"",AH$11&lt;&gt;"",$R93&lt;&gt;$AP93),TRUE,IF(OR(AH93&lt;0,AH93&gt;$R93),TRUE,FALSE))))</f>
        <v>0</v>
      </c>
      <c r="BU93" s="144" t="b">
        <f>IF(AND($C93&lt;&gt;"",AH$11&lt;&gt;"",$AH93=""),TRUE,FALSE)</f>
        <v>0</v>
      </c>
      <c r="BV93" s="160" t="b">
        <f>IF(BW93=TRUE,FALSE,IF(AND(AJ93&lt;&gt;"",AJ$11=""),TRUE,IF(AND(AJ93&lt;&gt;"",AJ$11&lt;&gt;"",$R93&lt;&gt;$AP93),TRUE,IF(OR(AJ93&lt;0,AJ93&gt;$R93),TRUE,FALSE))))</f>
        <v>0</v>
      </c>
      <c r="BW93" s="144" t="b">
        <f>IF(AND($C93&lt;&gt;"",AJ$11&lt;&gt;"",$AJ93=""),TRUE,FALSE)</f>
        <v>0</v>
      </c>
      <c r="BX93" s="160" t="b">
        <f>IF(BY93=TRUE,FALSE,IF(AND(AL93&lt;&gt;"",AL$11=""),TRUE,IF(AND(AL93&lt;&gt;"",AL$11&lt;&gt;"",$R93&lt;&gt;$AP93),TRUE,IF(OR(AL93&lt;0,AL93&gt;$R93),TRUE,FALSE))))</f>
        <v>0</v>
      </c>
      <c r="BY93" s="144" t="b">
        <f>IF(AND($C93&lt;&gt;"",AL$11&lt;&gt;"",$AL93=""),TRUE,FALSE)</f>
        <v>0</v>
      </c>
      <c r="BZ93" s="160" t="b">
        <f>IF(CA93=TRUE,FALSE,IF(AND(AN93&lt;&gt;"",AN$11=""),TRUE,IF(AND(AN93&lt;&gt;"",AN$11&lt;&gt;"",$R93&lt;&gt;$AP93),TRUE,IF(OR(AN93&lt;0,AN93&gt;$R93),TRUE,FALSE))))</f>
        <v>0</v>
      </c>
      <c r="CA93" s="144" t="b">
        <f>IF(AND($C93&lt;&gt;"",AN$11&lt;&gt;"",$AN93=""),TRUE,FALSE)</f>
        <v>0</v>
      </c>
      <c r="CB93" s="133"/>
      <c r="CC93" s="133"/>
      <c r="CD93" s="133"/>
      <c r="CE93" s="133"/>
      <c r="CF93" s="133"/>
      <c r="CG93" s="133"/>
      <c r="CH93" s="133"/>
      <c r="CI93" s="133"/>
      <c r="CJ93" s="133"/>
      <c r="CK93" s="133"/>
      <c r="CL93" s="133"/>
      <c r="CM93" s="133"/>
      <c r="CN93" s="133"/>
      <c r="CO93" s="133"/>
      <c r="CP93" s="133"/>
      <c r="CQ93" s="133"/>
      <c r="CR93" s="133"/>
      <c r="CS93" s="133"/>
      <c r="CT93" s="133"/>
      <c r="CU93" s="133"/>
      <c r="CV93" s="133"/>
      <c r="CW93" s="134"/>
    </row>
    <row r="94" spans="1:101" ht="6.75" customHeight="1" thickBot="1" x14ac:dyDescent="0.25">
      <c r="A94" s="228"/>
      <c r="B94" s="228"/>
      <c r="C94" s="232"/>
      <c r="D94" s="267"/>
      <c r="I94" s="267"/>
      <c r="K94" s="228"/>
      <c r="M94" s="267"/>
      <c r="O94" s="267"/>
      <c r="Q94" s="267"/>
      <c r="S94" s="267"/>
      <c r="U94" s="267"/>
      <c r="V94" s="283"/>
      <c r="W94" s="267"/>
      <c r="X94" s="283"/>
      <c r="Y94" s="267"/>
      <c r="Z94" s="283"/>
      <c r="AA94" s="267"/>
      <c r="AB94" s="283"/>
      <c r="AC94" s="267"/>
      <c r="AD94" s="283"/>
      <c r="AE94" s="267"/>
      <c r="AF94" s="283"/>
      <c r="AG94" s="267"/>
      <c r="AH94" s="283"/>
      <c r="AI94" s="267"/>
      <c r="AJ94" s="283"/>
      <c r="AK94" s="267"/>
      <c r="AL94" s="283"/>
      <c r="AM94" s="267"/>
      <c r="AN94" s="283"/>
      <c r="AO94" s="267"/>
      <c r="AP94" s="267"/>
      <c r="AQ94" s="267"/>
      <c r="AR94" s="232"/>
      <c r="AY94" s="145"/>
      <c r="AZ94" s="146"/>
      <c r="BA94" s="146"/>
      <c r="BB94" s="146"/>
      <c r="BC94" s="146"/>
      <c r="BD94" s="145"/>
      <c r="BE94" s="146"/>
      <c r="BF94" s="146"/>
      <c r="BG94" s="146"/>
      <c r="BH94" s="145"/>
      <c r="BI94" s="146"/>
      <c r="BJ94" s="145"/>
      <c r="BK94" s="146"/>
      <c r="BL94" s="145"/>
      <c r="BM94" s="146"/>
      <c r="BN94" s="145"/>
      <c r="BO94" s="146"/>
      <c r="BP94" s="145"/>
      <c r="BQ94" s="146"/>
      <c r="BR94" s="145"/>
      <c r="BS94" s="146"/>
      <c r="BT94" s="145"/>
      <c r="BU94" s="146"/>
      <c r="BV94" s="145"/>
      <c r="BW94" s="146"/>
      <c r="BX94" s="145"/>
      <c r="BY94" s="146"/>
      <c r="BZ94" s="145"/>
      <c r="CA94" s="146"/>
    </row>
    <row r="95" spans="1:101" s="101" customFormat="1" ht="12.75" customHeight="1" x14ac:dyDescent="0.2">
      <c r="A95" s="227">
        <f>A93+1</f>
        <v>40</v>
      </c>
      <c r="B95" s="227"/>
      <c r="C95" s="231"/>
      <c r="D95" s="251" t="str">
        <f>IF((C95=""),"Enter Segment "&amp;TEXT(A95,0)&amp;" Name, then Enter Data in Columns "&amp;TEXT($H$2,0)&amp;" - "&amp;TEXT($AN$2,0)&amp;"       ","")</f>
        <v xml:space="preserve">Enter Segment 40 Name, then Enter Data in Columns h - an       </v>
      </c>
      <c r="E95" s="131" t="str">
        <f>IF($AW95="B","N/A",IF(AX95="N","No",IF(AX95="Y","Yes","")))</f>
        <v>N/A</v>
      </c>
      <c r="F95" s="130"/>
      <c r="G95" s="130"/>
      <c r="H95" s="285"/>
      <c r="I95" s="251" t="str">
        <f>IF($C95&lt;&gt;"","Enter Starting Point       ","")</f>
        <v/>
      </c>
      <c r="J95" s="285"/>
      <c r="K95" s="227"/>
      <c r="L95" s="88"/>
      <c r="M95" s="251" t="str">
        <f>IF($C95&lt;&gt;"","Select from Pull-Down List  ","")</f>
        <v/>
      </c>
      <c r="N95" s="88"/>
      <c r="O95" s="251" t="str">
        <f>IF($C95&lt;&gt;"","Select from Pull-Down List  ","")</f>
        <v/>
      </c>
      <c r="P95" s="131"/>
      <c r="Q95" s="251" t="str">
        <f>IF($C95&lt;&gt;"","Dir. Route-Mi?    ","")</f>
        <v/>
      </c>
      <c r="R95" s="131"/>
      <c r="S95" s="251" t="str">
        <f>IF($C95&lt;&gt;"","Trk-Mi?      ","")</f>
        <v/>
      </c>
      <c r="T95" s="131"/>
      <c r="U95" s="251" t="str">
        <f>IF($C95&lt;&gt;"","Trk-Mi?      ","")</f>
        <v/>
      </c>
      <c r="V95" s="284"/>
      <c r="W95" s="278" t="str">
        <f>IF(OR($R95="",V$11=""),"","0 - "&amp;TEXT($R95-$AP95,"0.0")&amp;" Trk-Mi?    ")</f>
        <v/>
      </c>
      <c r="X95" s="284"/>
      <c r="Y95" s="278" t="str">
        <f>IF(OR($R95="",X$11=""),"","0 - "&amp;TEXT($R95-$AP95,"0.0")&amp;" Trk-Mi?    ")</f>
        <v/>
      </c>
      <c r="Z95" s="284"/>
      <c r="AA95" s="278" t="str">
        <f>IF(OR($R95="",Z$11=""),"","0 - "&amp;TEXT($R95-$AP95,"0.0")&amp;" Trk-Mi?    ")</f>
        <v/>
      </c>
      <c r="AB95" s="284"/>
      <c r="AC95" s="278" t="str">
        <f>IF(OR($R95="",AB$11=""),"","0 - "&amp;TEXT($R95-$AP95,"0.0")&amp;" Trk-Mi?    ")</f>
        <v/>
      </c>
      <c r="AD95" s="284"/>
      <c r="AE95" s="278" t="str">
        <f>IF(OR($R95="",AD$11=""),"","0 - "&amp;TEXT($R95-$AP95,"0.0")&amp;" Trk-Mi?    ")</f>
        <v/>
      </c>
      <c r="AF95" s="284"/>
      <c r="AG95" s="278" t="str">
        <f>IF(OR($R95="",AF$11=""),"","0 - "&amp;TEXT($R95-$AP95,"0.0")&amp;" Trk-Mi?    ")</f>
        <v/>
      </c>
      <c r="AH95" s="284"/>
      <c r="AI95" s="278" t="str">
        <f>IF(OR($R95="",AH$11=""),"","0 - "&amp;TEXT($R95-$AP95,"0.0")&amp;" Trk-Mi?    ")</f>
        <v/>
      </c>
      <c r="AJ95" s="284"/>
      <c r="AK95" s="278" t="str">
        <f>IF(OR($R95="",AJ$11=""),"","0 - "&amp;TEXT($R95-$AP95,"0.0")&amp;" Trk-Mi?    ")</f>
        <v/>
      </c>
      <c r="AL95" s="284"/>
      <c r="AM95" s="278" t="str">
        <f>IF(OR($R95="",AL$11=""),"","0 - "&amp;TEXT($R95-$AP95,"0.0")&amp;" Trk-Mi?    ")</f>
        <v/>
      </c>
      <c r="AN95" s="284"/>
      <c r="AO95" s="278" t="str">
        <f>IF(OR($R95="",AN$11=""),"","0 - "&amp;TEXT($R95-$AP95,"0.0")&amp;" Trk-Mi?    ")</f>
        <v/>
      </c>
      <c r="AP95" s="282">
        <f>SUM(V95,X95,Z95,AB95,AD95,AF95,AH95,AJ95,AL95,AN95)</f>
        <v>0</v>
      </c>
      <c r="AQ95" s="278"/>
      <c r="AR95" s="234"/>
      <c r="AS95" s="107"/>
      <c r="AT95" s="107"/>
      <c r="AU95" s="107"/>
      <c r="AW95" s="107" t="str">
        <f>IF(AND($C95="",$H95="",$J95="",$L95="",$N95="",$P95="",$R95=""),"B","NB")</f>
        <v>B</v>
      </c>
      <c r="AX95" s="241" t="str">
        <f>IF(OR($C95="",$H95="",$J95="",$L95="",$N95="",$R95="",$P95="",AND($V$11&lt;&gt;"",$V95=""),AND($X$11&lt;&gt;"",$X95=""),AND($Z$11&lt;&gt;"",$Z95=""),AND($AB$11&lt;&gt;"",$AB95=""),AND($AD$11&lt;&gt;"",$AD95=""),AND($AF$11&lt;&gt;"",$AF95=""),AND($AH$11&lt;&gt;"",$AH95=""),AND($AJ$11&lt;&gt;"",$AJ95=""),AND($AL$11&lt;&gt;"",$AL95=""),AND($AN$11&lt;&gt;"",$AN95="")),"N","Y")</f>
        <v>N</v>
      </c>
      <c r="AY95" s="142" t="b">
        <f>IF(AND($C95="",OR($H95&lt;&gt;"",$J95&lt;&gt;"",$L95&lt;&gt;"",$N95&lt;&gt;"",$R95&lt;&gt;"",$P95&lt;&gt;"",AND($V$11&lt;&gt;"",$V95&lt;&gt;""),AND($X$11&lt;&gt;"",$X95&lt;&gt;""),AND($Z$11&lt;&gt;"",$Z95&lt;&gt;""),AND($AB$11&lt;&gt;"",$AB95&lt;&gt;""),AND($AD$11&lt;&gt;"",$AD95&lt;&gt;""),AND($AF$11&lt;&gt;"",$AF95&lt;&gt;""),AND($AH$11&lt;&gt;"",$AH95&lt;&gt;""),AND($AJ$11&lt;&gt;"",$AJ95&lt;&gt;""),AND($AL$11&lt;&gt;"",$AL95&lt;&gt;""),AND($AN$11&lt;&gt;"",$AN95&lt;&gt;""))),TRUE,FALSE)</f>
        <v>0</v>
      </c>
      <c r="AZ95" s="144" t="b">
        <f>IF(AND($C95&lt;&gt;"",$H95=""),TRUE,FALSE)</f>
        <v>0</v>
      </c>
      <c r="BA95" s="144" t="b">
        <f>IF(AND($C95&lt;&gt;"",$J95=""),TRUE,FALSE)</f>
        <v>0</v>
      </c>
      <c r="BB95" s="144" t="b">
        <f>IF(AND($C95&lt;&gt;"",$L95=""),TRUE,FALSE)</f>
        <v>0</v>
      </c>
      <c r="BC95" s="144" t="b">
        <f>IF(AND($C95&lt;&gt;"",$N95=""),TRUE,FALSE)</f>
        <v>0</v>
      </c>
      <c r="BD95" s="142" t="b">
        <f>IF($BE95=TRUE,FALSE,IF(OR($P95&lt;$BD$5,$P95&gt;$BE$5),TRUE,FALSE))</f>
        <v>0</v>
      </c>
      <c r="BE95" s="144" t="b">
        <f>IF(AND($C95&lt;&gt;"",$P95=""),TRUE,FALSE)</f>
        <v>0</v>
      </c>
      <c r="BF95" s="144" t="b">
        <f>IF($BG95=TRUE,FALSE,IF(OR($R95&lt;$BF$5,$R95&gt;$BG$5),TRUE,FALSE))</f>
        <v>0</v>
      </c>
      <c r="BG95" s="144" t="b">
        <f>IF(AND($C95&lt;&gt;"",$R95=""),TRUE,FALSE)</f>
        <v>0</v>
      </c>
      <c r="BH95" s="160" t="b">
        <f>IF(BI95=TRUE,FALSE,IF(AND(V95&lt;&gt;"",V$11=""),TRUE,IF(AND(V95&lt;&gt;"",V$11&lt;&gt;"",$R95&lt;&gt;$AP95),TRUE,IF(OR(V95&lt;0,V95&gt;$R95),TRUE,FALSE))))</f>
        <v>0</v>
      </c>
      <c r="BI95" s="144" t="b">
        <f>IF(AND($C95&lt;&gt;"",V$11&lt;&gt;"",$V95=""),TRUE,FALSE)</f>
        <v>0</v>
      </c>
      <c r="BJ95" s="160" t="b">
        <f>IF(BK95=TRUE,FALSE,IF(AND(X95&lt;&gt;"",X$11=""),TRUE,IF(AND(X95&lt;&gt;"",X$11&lt;&gt;"",$R95&lt;&gt;$AP95),TRUE,IF(OR(X95&lt;0,X95&gt;$R95),TRUE,FALSE))))</f>
        <v>0</v>
      </c>
      <c r="BK95" s="144" t="b">
        <f>IF(AND($C95&lt;&gt;"",X$11&lt;&gt;"",$X95=""),TRUE,FALSE)</f>
        <v>0</v>
      </c>
      <c r="BL95" s="160" t="b">
        <f>IF(BM95=TRUE,FALSE,IF(AND(Z95&lt;&gt;"",Z$11=""),TRUE,IF(AND(Z95&lt;&gt;"",Z$11&lt;&gt;"",$R95&lt;&gt;$AP95),TRUE,IF(OR(Z95&lt;0,Z95&gt;$R95),TRUE,FALSE))))</f>
        <v>0</v>
      </c>
      <c r="BM95" s="144" t="b">
        <f>IF(AND($C95&lt;&gt;"",Z$11&lt;&gt;"",$Z95=""),TRUE,FALSE)</f>
        <v>0</v>
      </c>
      <c r="BN95" s="160" t="b">
        <f>IF(BO95=TRUE,FALSE,IF(AND(AB95&lt;&gt;"",AB$11=""),TRUE,IF(AND(AB95&lt;&gt;"",AB$11&lt;&gt;"",$R95&lt;&gt;$AP95),TRUE,IF(OR(AB95&lt;0,AB95&gt;$R95),TRUE,FALSE))))</f>
        <v>0</v>
      </c>
      <c r="BO95" s="144" t="b">
        <f>IF(AND($C95&lt;&gt;"",AB$11&lt;&gt;"",$AB95=""),TRUE,FALSE)</f>
        <v>0</v>
      </c>
      <c r="BP95" s="160" t="b">
        <f>IF(BQ95=TRUE,FALSE,IF(AND(AD95&lt;&gt;"",AD$11=""),TRUE,IF(AND(AD95&lt;&gt;"",AD$11&lt;&gt;"",$R95&lt;&gt;$AP95),TRUE,IF(OR(AD95&lt;0,AD95&gt;$R95),TRUE,FALSE))))</f>
        <v>0</v>
      </c>
      <c r="BQ95" s="144" t="b">
        <f>IF(AND($C95&lt;&gt;"",AD$11&lt;&gt;"",$AD95=""),TRUE,FALSE)</f>
        <v>0</v>
      </c>
      <c r="BR95" s="160" t="b">
        <f>IF(BS95=TRUE,FALSE,IF(AND(AF95&lt;&gt;"",AF$11=""),TRUE,IF(AND(AF95&lt;&gt;"",AF$11&lt;&gt;"",$R95&lt;&gt;$AP95),TRUE,IF(OR(AF95&lt;0,AF95&gt;$R95),TRUE,FALSE))))</f>
        <v>0</v>
      </c>
      <c r="BS95" s="144" t="b">
        <f>IF(AND($C95&lt;&gt;"",AF$11&lt;&gt;"",$AF95=""),TRUE,FALSE)</f>
        <v>0</v>
      </c>
      <c r="BT95" s="160" t="b">
        <f>IF(BU95=TRUE,FALSE,IF(AND(AH95&lt;&gt;"",AH$11=""),TRUE,IF(AND(AH95&lt;&gt;"",AH$11&lt;&gt;"",$R95&lt;&gt;$AP95),TRUE,IF(OR(AH95&lt;0,AH95&gt;$R95),TRUE,FALSE))))</f>
        <v>0</v>
      </c>
      <c r="BU95" s="144" t="b">
        <f>IF(AND($C95&lt;&gt;"",AH$11&lt;&gt;"",$AH95=""),TRUE,FALSE)</f>
        <v>0</v>
      </c>
      <c r="BV95" s="160" t="b">
        <f>IF(BW95=TRUE,FALSE,IF(AND(AJ95&lt;&gt;"",AJ$11=""),TRUE,IF(AND(AJ95&lt;&gt;"",AJ$11&lt;&gt;"",$R95&lt;&gt;$AP95),TRUE,IF(OR(AJ95&lt;0,AJ95&gt;$R95),TRUE,FALSE))))</f>
        <v>0</v>
      </c>
      <c r="BW95" s="144" t="b">
        <f>IF(AND($C95&lt;&gt;"",AJ$11&lt;&gt;"",$AJ95=""),TRUE,FALSE)</f>
        <v>0</v>
      </c>
      <c r="BX95" s="160" t="b">
        <f>IF(BY95=TRUE,FALSE,IF(AND(AL95&lt;&gt;"",AL$11=""),TRUE,IF(AND(AL95&lt;&gt;"",AL$11&lt;&gt;"",$R95&lt;&gt;$AP95),TRUE,IF(OR(AL95&lt;0,AL95&gt;$R95),TRUE,FALSE))))</f>
        <v>0</v>
      </c>
      <c r="BY95" s="144" t="b">
        <f>IF(AND($C95&lt;&gt;"",AL$11&lt;&gt;"",$AL95=""),TRUE,FALSE)</f>
        <v>0</v>
      </c>
      <c r="BZ95" s="160" t="b">
        <f>IF(CA95=TRUE,FALSE,IF(AND(AN95&lt;&gt;"",AN$11=""),TRUE,IF(AND(AN95&lt;&gt;"",AN$11&lt;&gt;"",$R95&lt;&gt;$AP95),TRUE,IF(OR(AN95&lt;0,AN95&gt;$R95),TRUE,FALSE))))</f>
        <v>0</v>
      </c>
      <c r="CA95" s="144" t="b">
        <f>IF(AND($C95&lt;&gt;"",AN$11&lt;&gt;"",$AN95=""),TRUE,FALSE)</f>
        <v>0</v>
      </c>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4"/>
    </row>
    <row r="96" spans="1:101" ht="6.75" customHeight="1" thickBot="1" x14ac:dyDescent="0.25">
      <c r="A96" s="228"/>
      <c r="B96" s="228"/>
      <c r="C96" s="232"/>
      <c r="D96" s="267"/>
      <c r="I96" s="267"/>
      <c r="K96" s="228"/>
      <c r="M96" s="267"/>
      <c r="O96" s="267"/>
      <c r="Q96" s="267"/>
      <c r="S96" s="267"/>
      <c r="U96" s="267"/>
      <c r="V96" s="283"/>
      <c r="W96" s="267"/>
      <c r="X96" s="283"/>
      <c r="Y96" s="267"/>
      <c r="Z96" s="283"/>
      <c r="AA96" s="267"/>
      <c r="AB96" s="283"/>
      <c r="AC96" s="267"/>
      <c r="AD96" s="283"/>
      <c r="AE96" s="267"/>
      <c r="AF96" s="283"/>
      <c r="AG96" s="267"/>
      <c r="AH96" s="283"/>
      <c r="AI96" s="267"/>
      <c r="AJ96" s="283"/>
      <c r="AK96" s="267"/>
      <c r="AL96" s="283"/>
      <c r="AM96" s="267"/>
      <c r="AN96" s="283"/>
      <c r="AO96" s="267"/>
      <c r="AP96" s="280"/>
      <c r="AQ96" s="280"/>
      <c r="AR96" s="232"/>
      <c r="AY96" s="145"/>
      <c r="AZ96" s="146"/>
      <c r="BA96" s="146"/>
      <c r="BB96" s="146"/>
      <c r="BC96" s="146"/>
      <c r="BD96" s="145"/>
      <c r="BE96" s="146"/>
      <c r="BF96" s="146"/>
      <c r="BG96" s="146"/>
      <c r="BH96" s="145"/>
      <c r="BI96" s="146"/>
      <c r="BJ96" s="145"/>
      <c r="BK96" s="146"/>
      <c r="BL96" s="145"/>
      <c r="BM96" s="146"/>
      <c r="BN96" s="145"/>
      <c r="BO96" s="146"/>
      <c r="BP96" s="145"/>
      <c r="BQ96" s="146"/>
      <c r="BR96" s="145"/>
      <c r="BS96" s="146"/>
      <c r="BT96" s="145"/>
      <c r="BU96" s="146"/>
      <c r="BV96" s="145"/>
      <c r="BW96" s="146"/>
      <c r="BX96" s="145"/>
      <c r="BY96" s="146"/>
      <c r="BZ96" s="145"/>
      <c r="CA96" s="146"/>
    </row>
    <row r="97" spans="1:101" s="101" customFormat="1" ht="12.75" customHeight="1" x14ac:dyDescent="0.2">
      <c r="A97" s="227">
        <f>A95+1</f>
        <v>41</v>
      </c>
      <c r="B97" s="227"/>
      <c r="C97" s="231"/>
      <c r="D97" s="251" t="str">
        <f>IF((C97=""),"Enter Segment "&amp;TEXT(A97,0)&amp;" Name, then Enter Data in Columns "&amp;TEXT($H$2,0)&amp;" - "&amp;TEXT($AN$2,0)&amp;"       ","")</f>
        <v xml:space="preserve">Enter Segment 41 Name, then Enter Data in Columns h - an       </v>
      </c>
      <c r="E97" s="131" t="str">
        <f>IF($AW97="B","N/A",IF(AX97="N","No",IF(AX97="Y","Yes","")))</f>
        <v>N/A</v>
      </c>
      <c r="F97" s="130"/>
      <c r="G97" s="130"/>
      <c r="H97" s="285"/>
      <c r="I97" s="251" t="str">
        <f>IF($C97&lt;&gt;"","Enter Starting Point       ","")</f>
        <v/>
      </c>
      <c r="J97" s="285"/>
      <c r="K97" s="227"/>
      <c r="L97" s="88"/>
      <c r="M97" s="251" t="str">
        <f>IF($C97&lt;&gt;"","Select from Pull-Down List  ","")</f>
        <v/>
      </c>
      <c r="N97" s="88"/>
      <c r="O97" s="251" t="str">
        <f>IF($C97&lt;&gt;"","Select from Pull-Down List  ","")</f>
        <v/>
      </c>
      <c r="P97" s="131"/>
      <c r="Q97" s="251" t="str">
        <f>IF($C97&lt;&gt;"","Dir. Route-Mi?    ","")</f>
        <v/>
      </c>
      <c r="R97" s="131"/>
      <c r="S97" s="251" t="str">
        <f>IF($C97&lt;&gt;"","Trk-Mi?      ","")</f>
        <v/>
      </c>
      <c r="T97" s="131"/>
      <c r="U97" s="251" t="str">
        <f>IF($C97&lt;&gt;"","Trk-Mi?      ","")</f>
        <v/>
      </c>
      <c r="V97" s="284"/>
      <c r="W97" s="278" t="str">
        <f>IF(OR($R97="",V$11=""),"","0 - "&amp;TEXT($R97-$AP97,"0.0")&amp;" Trk-Mi?    ")</f>
        <v/>
      </c>
      <c r="X97" s="284"/>
      <c r="Y97" s="278" t="str">
        <f>IF(OR($R97="",X$11=""),"","0 - "&amp;TEXT($R97-$AP97,"0.0")&amp;" Trk-Mi?    ")</f>
        <v/>
      </c>
      <c r="Z97" s="284"/>
      <c r="AA97" s="278" t="str">
        <f>IF(OR($R97="",Z$11=""),"","0 - "&amp;TEXT($R97-$AP97,"0.0")&amp;" Trk-Mi?    ")</f>
        <v/>
      </c>
      <c r="AB97" s="284"/>
      <c r="AC97" s="278" t="str">
        <f>IF(OR($R97="",AB$11=""),"","0 - "&amp;TEXT($R97-$AP97,"0.0")&amp;" Trk-Mi?    ")</f>
        <v/>
      </c>
      <c r="AD97" s="284"/>
      <c r="AE97" s="278" t="str">
        <f>IF(OR($R97="",AD$11=""),"","0 - "&amp;TEXT($R97-$AP97,"0.0")&amp;" Trk-Mi?    ")</f>
        <v/>
      </c>
      <c r="AF97" s="284"/>
      <c r="AG97" s="278" t="str">
        <f>IF(OR($R97="",AF$11=""),"","0 - "&amp;TEXT($R97-$AP97,"0.0")&amp;" Trk-Mi?    ")</f>
        <v/>
      </c>
      <c r="AH97" s="284"/>
      <c r="AI97" s="278" t="str">
        <f>IF(OR($R97="",AH$11=""),"","0 - "&amp;TEXT($R97-$AP97,"0.0")&amp;" Trk-Mi?    ")</f>
        <v/>
      </c>
      <c r="AJ97" s="284"/>
      <c r="AK97" s="278" t="str">
        <f>IF(OR($R97="",AJ$11=""),"","0 - "&amp;TEXT($R97-$AP97,"0.0")&amp;" Trk-Mi?    ")</f>
        <v/>
      </c>
      <c r="AL97" s="284"/>
      <c r="AM97" s="278" t="str">
        <f>IF(OR($R97="",AL$11=""),"","0 - "&amp;TEXT($R97-$AP97,"0.0")&amp;" Trk-Mi?    ")</f>
        <v/>
      </c>
      <c r="AN97" s="284"/>
      <c r="AO97" s="278" t="str">
        <f>IF(OR($R97="",AN$11=""),"","0 - "&amp;TEXT($R97-$AP97,"0.0")&amp;" Trk-Mi?    ")</f>
        <v/>
      </c>
      <c r="AP97" s="282">
        <f>SUM(V97,X97,Z97,AB97,AD97,AF97,AH97,AJ97,AL97,AN97)</f>
        <v>0</v>
      </c>
      <c r="AQ97" s="278"/>
      <c r="AR97" s="234"/>
      <c r="AS97" s="107"/>
      <c r="AT97" s="107"/>
      <c r="AU97" s="107"/>
      <c r="AW97" s="107" t="str">
        <f>IF(AND($C97="",$H97="",$J97="",$L97="",$N97="",$P97="",$R97=""),"B","NB")</f>
        <v>B</v>
      </c>
      <c r="AX97" s="241" t="str">
        <f>IF(OR($C97="",$H97="",$J97="",$L97="",$N97="",$R97="",$P97="",AND($V$11&lt;&gt;"",$V97=""),AND($X$11&lt;&gt;"",$X97=""),AND($Z$11&lt;&gt;"",$Z97=""),AND($AB$11&lt;&gt;"",$AB97=""),AND($AD$11&lt;&gt;"",$AD97=""),AND($AF$11&lt;&gt;"",$AF97=""),AND($AH$11&lt;&gt;"",$AH97=""),AND($AJ$11&lt;&gt;"",$AJ97=""),AND($AL$11&lt;&gt;"",$AL97=""),AND($AN$11&lt;&gt;"",$AN97="")),"N","Y")</f>
        <v>N</v>
      </c>
      <c r="AY97" s="142" t="b">
        <f>IF(AND($C97="",OR($H97&lt;&gt;"",$J97&lt;&gt;"",$L97&lt;&gt;"",$N97&lt;&gt;"",$R97&lt;&gt;"",$P97&lt;&gt;"",AND($V$11&lt;&gt;"",$V97&lt;&gt;""),AND($X$11&lt;&gt;"",$X97&lt;&gt;""),AND($Z$11&lt;&gt;"",$Z97&lt;&gt;""),AND($AB$11&lt;&gt;"",$AB97&lt;&gt;""),AND($AD$11&lt;&gt;"",$AD97&lt;&gt;""),AND($AF$11&lt;&gt;"",$AF97&lt;&gt;""),AND($AH$11&lt;&gt;"",$AH97&lt;&gt;""),AND($AJ$11&lt;&gt;"",$AJ97&lt;&gt;""),AND($AL$11&lt;&gt;"",$AL97&lt;&gt;""),AND($AN$11&lt;&gt;"",$AN97&lt;&gt;""))),TRUE,FALSE)</f>
        <v>0</v>
      </c>
      <c r="AZ97" s="144" t="b">
        <f>IF(AND($C97&lt;&gt;"",$H97=""),TRUE,FALSE)</f>
        <v>0</v>
      </c>
      <c r="BA97" s="144" t="b">
        <f>IF(AND($C97&lt;&gt;"",$J97=""),TRUE,FALSE)</f>
        <v>0</v>
      </c>
      <c r="BB97" s="144" t="b">
        <f>IF(AND($C97&lt;&gt;"",$L97=""),TRUE,FALSE)</f>
        <v>0</v>
      </c>
      <c r="BC97" s="144" t="b">
        <f>IF(AND($C97&lt;&gt;"",$N97=""),TRUE,FALSE)</f>
        <v>0</v>
      </c>
      <c r="BD97" s="142" t="b">
        <f>IF($BE97=TRUE,FALSE,IF(OR($P97&lt;$BD$5,$P97&gt;$BE$5),TRUE,FALSE))</f>
        <v>0</v>
      </c>
      <c r="BE97" s="144" t="b">
        <f>IF(AND($C97&lt;&gt;"",$P97=""),TRUE,FALSE)</f>
        <v>0</v>
      </c>
      <c r="BF97" s="144" t="b">
        <f>IF($BG97=TRUE,FALSE,IF(OR($R97&lt;$BF$5,$R97&gt;$BG$5),TRUE,FALSE))</f>
        <v>0</v>
      </c>
      <c r="BG97" s="144" t="b">
        <f>IF(AND($C97&lt;&gt;"",$R97=""),TRUE,FALSE)</f>
        <v>0</v>
      </c>
      <c r="BH97" s="160" t="b">
        <f>IF(BI97=TRUE,FALSE,IF(AND(V97&lt;&gt;"",V$11=""),TRUE,IF(AND(V97&lt;&gt;"",V$11&lt;&gt;"",$R97&lt;&gt;$AP97),TRUE,IF(OR(V97&lt;0,V97&gt;$R97),TRUE,FALSE))))</f>
        <v>0</v>
      </c>
      <c r="BI97" s="144" t="b">
        <f>IF(AND($C97&lt;&gt;"",V$11&lt;&gt;"",$V97=""),TRUE,FALSE)</f>
        <v>0</v>
      </c>
      <c r="BJ97" s="160" t="b">
        <f>IF(BK97=TRUE,FALSE,IF(AND(X97&lt;&gt;"",X$11=""),TRUE,IF(AND(X97&lt;&gt;"",X$11&lt;&gt;"",$R97&lt;&gt;$AP97),TRUE,IF(OR(X97&lt;0,X97&gt;$R97),TRUE,FALSE))))</f>
        <v>0</v>
      </c>
      <c r="BK97" s="144" t="b">
        <f>IF(AND($C97&lt;&gt;"",X$11&lt;&gt;"",$X97=""),TRUE,FALSE)</f>
        <v>0</v>
      </c>
      <c r="BL97" s="160" t="b">
        <f>IF(BM97=TRUE,FALSE,IF(AND(Z97&lt;&gt;"",Z$11=""),TRUE,IF(AND(Z97&lt;&gt;"",Z$11&lt;&gt;"",$R97&lt;&gt;$AP97),TRUE,IF(OR(Z97&lt;0,Z97&gt;$R97),TRUE,FALSE))))</f>
        <v>0</v>
      </c>
      <c r="BM97" s="144" t="b">
        <f>IF(AND($C97&lt;&gt;"",Z$11&lt;&gt;"",$Z97=""),TRUE,FALSE)</f>
        <v>0</v>
      </c>
      <c r="BN97" s="160" t="b">
        <f>IF(BO97=TRUE,FALSE,IF(AND(AB97&lt;&gt;"",AB$11=""),TRUE,IF(AND(AB97&lt;&gt;"",AB$11&lt;&gt;"",$R97&lt;&gt;$AP97),TRUE,IF(OR(AB97&lt;0,AB97&gt;$R97),TRUE,FALSE))))</f>
        <v>0</v>
      </c>
      <c r="BO97" s="144" t="b">
        <f>IF(AND($C97&lt;&gt;"",AB$11&lt;&gt;"",$AB97=""),TRUE,FALSE)</f>
        <v>0</v>
      </c>
      <c r="BP97" s="160" t="b">
        <f>IF(BQ97=TRUE,FALSE,IF(AND(AD97&lt;&gt;"",AD$11=""),TRUE,IF(AND(AD97&lt;&gt;"",AD$11&lt;&gt;"",$R97&lt;&gt;$AP97),TRUE,IF(OR(AD97&lt;0,AD97&gt;$R97),TRUE,FALSE))))</f>
        <v>0</v>
      </c>
      <c r="BQ97" s="144" t="b">
        <f>IF(AND($C97&lt;&gt;"",AD$11&lt;&gt;"",$AD97=""),TRUE,FALSE)</f>
        <v>0</v>
      </c>
      <c r="BR97" s="160" t="b">
        <f>IF(BS97=TRUE,FALSE,IF(AND(AF97&lt;&gt;"",AF$11=""),TRUE,IF(AND(AF97&lt;&gt;"",AF$11&lt;&gt;"",$R97&lt;&gt;$AP97),TRUE,IF(OR(AF97&lt;0,AF97&gt;$R97),TRUE,FALSE))))</f>
        <v>0</v>
      </c>
      <c r="BS97" s="144" t="b">
        <f>IF(AND($C97&lt;&gt;"",AF$11&lt;&gt;"",$AF97=""),TRUE,FALSE)</f>
        <v>0</v>
      </c>
      <c r="BT97" s="160" t="b">
        <f>IF(BU97=TRUE,FALSE,IF(AND(AH97&lt;&gt;"",AH$11=""),TRUE,IF(AND(AH97&lt;&gt;"",AH$11&lt;&gt;"",$R97&lt;&gt;$AP97),TRUE,IF(OR(AH97&lt;0,AH97&gt;$R97),TRUE,FALSE))))</f>
        <v>0</v>
      </c>
      <c r="BU97" s="144" t="b">
        <f>IF(AND($C97&lt;&gt;"",AH$11&lt;&gt;"",$AH97=""),TRUE,FALSE)</f>
        <v>0</v>
      </c>
      <c r="BV97" s="160" t="b">
        <f>IF(BW97=TRUE,FALSE,IF(AND(AJ97&lt;&gt;"",AJ$11=""),TRUE,IF(AND(AJ97&lt;&gt;"",AJ$11&lt;&gt;"",$R97&lt;&gt;$AP97),TRUE,IF(OR(AJ97&lt;0,AJ97&gt;$R97),TRUE,FALSE))))</f>
        <v>0</v>
      </c>
      <c r="BW97" s="144" t="b">
        <f>IF(AND($C97&lt;&gt;"",AJ$11&lt;&gt;"",$AJ97=""),TRUE,FALSE)</f>
        <v>0</v>
      </c>
      <c r="BX97" s="160" t="b">
        <f>IF(BY97=TRUE,FALSE,IF(AND(AL97&lt;&gt;"",AL$11=""),TRUE,IF(AND(AL97&lt;&gt;"",AL$11&lt;&gt;"",$R97&lt;&gt;$AP97),TRUE,IF(OR(AL97&lt;0,AL97&gt;$R97),TRUE,FALSE))))</f>
        <v>0</v>
      </c>
      <c r="BY97" s="144" t="b">
        <f>IF(AND($C97&lt;&gt;"",AL$11&lt;&gt;"",$AL97=""),TRUE,FALSE)</f>
        <v>0</v>
      </c>
      <c r="BZ97" s="160" t="b">
        <f>IF(CA97=TRUE,FALSE,IF(AND(AN97&lt;&gt;"",AN$11=""),TRUE,IF(AND(AN97&lt;&gt;"",AN$11&lt;&gt;"",$R97&lt;&gt;$AP97),TRUE,IF(OR(AN97&lt;0,AN97&gt;$R97),TRUE,FALSE))))</f>
        <v>0</v>
      </c>
      <c r="CA97" s="144" t="b">
        <f>IF(AND($C97&lt;&gt;"",AN$11&lt;&gt;"",$AN97=""),TRUE,FALSE)</f>
        <v>0</v>
      </c>
      <c r="CB97" s="133"/>
      <c r="CC97" s="133"/>
      <c r="CD97" s="133"/>
      <c r="CE97" s="133"/>
      <c r="CF97" s="133"/>
      <c r="CG97" s="133"/>
      <c r="CH97" s="133"/>
      <c r="CI97" s="133"/>
      <c r="CJ97" s="133"/>
      <c r="CK97" s="133"/>
      <c r="CL97" s="133"/>
      <c r="CM97" s="133"/>
      <c r="CN97" s="133"/>
      <c r="CO97" s="133"/>
      <c r="CP97" s="133"/>
      <c r="CQ97" s="133"/>
      <c r="CR97" s="133"/>
      <c r="CS97" s="133"/>
      <c r="CT97" s="133"/>
      <c r="CU97" s="133"/>
      <c r="CV97" s="133"/>
      <c r="CW97" s="134"/>
    </row>
    <row r="98" spans="1:101" ht="6.75" customHeight="1" thickBot="1" x14ac:dyDescent="0.25">
      <c r="A98" s="228"/>
      <c r="B98" s="228"/>
      <c r="C98" s="232"/>
      <c r="D98" s="267"/>
      <c r="I98" s="267"/>
      <c r="K98" s="228"/>
      <c r="M98" s="267"/>
      <c r="O98" s="267"/>
      <c r="Q98" s="267"/>
      <c r="S98" s="267"/>
      <c r="U98" s="267"/>
      <c r="V98" s="283"/>
      <c r="W98" s="267"/>
      <c r="X98" s="283"/>
      <c r="Y98" s="267"/>
      <c r="Z98" s="283"/>
      <c r="AA98" s="267"/>
      <c r="AB98" s="283"/>
      <c r="AC98" s="267"/>
      <c r="AD98" s="283"/>
      <c r="AE98" s="267"/>
      <c r="AF98" s="283"/>
      <c r="AG98" s="267"/>
      <c r="AH98" s="283"/>
      <c r="AI98" s="267"/>
      <c r="AJ98" s="283"/>
      <c r="AK98" s="267"/>
      <c r="AL98" s="283"/>
      <c r="AM98" s="267"/>
      <c r="AN98" s="283"/>
      <c r="AO98" s="267"/>
      <c r="AP98" s="267"/>
      <c r="AQ98" s="267"/>
      <c r="AR98" s="232"/>
      <c r="AY98" s="145"/>
      <c r="AZ98" s="146"/>
      <c r="BA98" s="146"/>
      <c r="BB98" s="146"/>
      <c r="BC98" s="146"/>
      <c r="BD98" s="145"/>
      <c r="BE98" s="146"/>
      <c r="BF98" s="146"/>
      <c r="BG98" s="146"/>
      <c r="BH98" s="145"/>
      <c r="BI98" s="146"/>
      <c r="BJ98" s="145"/>
      <c r="BK98" s="146"/>
      <c r="BL98" s="145"/>
      <c r="BM98" s="146"/>
      <c r="BN98" s="145"/>
      <c r="BO98" s="146"/>
      <c r="BP98" s="145"/>
      <c r="BQ98" s="146"/>
      <c r="BR98" s="145"/>
      <c r="BS98" s="146"/>
      <c r="BT98" s="145"/>
      <c r="BU98" s="146"/>
      <c r="BV98" s="145"/>
      <c r="BW98" s="146"/>
      <c r="BX98" s="145"/>
      <c r="BY98" s="146"/>
      <c r="BZ98" s="145"/>
      <c r="CA98" s="146"/>
    </row>
    <row r="99" spans="1:101" s="101" customFormat="1" ht="12.75" customHeight="1" x14ac:dyDescent="0.2">
      <c r="A99" s="227">
        <f>A97+1</f>
        <v>42</v>
      </c>
      <c r="B99" s="227"/>
      <c r="C99" s="231"/>
      <c r="D99" s="251" t="str">
        <f>IF((C99=""),"Enter Segment "&amp;TEXT(A99,0)&amp;" Name, then Enter Data in Columns "&amp;TEXT($H$2,0)&amp;" - "&amp;TEXT($AN$2,0)&amp;"       ","")</f>
        <v xml:space="preserve">Enter Segment 42 Name, then Enter Data in Columns h - an       </v>
      </c>
      <c r="E99" s="131" t="str">
        <f>IF($AW99="B","N/A",IF(AX99="N","No",IF(AX99="Y","Yes","")))</f>
        <v>N/A</v>
      </c>
      <c r="F99" s="130"/>
      <c r="G99" s="130"/>
      <c r="H99" s="285"/>
      <c r="I99" s="251" t="str">
        <f>IF($C99&lt;&gt;"","Enter Starting Point       ","")</f>
        <v/>
      </c>
      <c r="J99" s="285"/>
      <c r="K99" s="227"/>
      <c r="L99" s="88"/>
      <c r="M99" s="251" t="str">
        <f>IF($C99&lt;&gt;"","Select from Pull-Down List  ","")</f>
        <v/>
      </c>
      <c r="N99" s="88"/>
      <c r="O99" s="251" t="str">
        <f>IF($C99&lt;&gt;"","Select from Pull-Down List  ","")</f>
        <v/>
      </c>
      <c r="P99" s="131"/>
      <c r="Q99" s="251" t="str">
        <f>IF($C99&lt;&gt;"","Dir. Route-Mi?    ","")</f>
        <v/>
      </c>
      <c r="R99" s="131"/>
      <c r="S99" s="251" t="str">
        <f>IF($C99&lt;&gt;"","Trk-Mi?      ","")</f>
        <v/>
      </c>
      <c r="T99" s="131"/>
      <c r="U99" s="251" t="str">
        <f>IF($C99&lt;&gt;"","Trk-Mi?      ","")</f>
        <v/>
      </c>
      <c r="V99" s="284"/>
      <c r="W99" s="278" t="str">
        <f>IF(OR($R99="",V$11=""),"","0 - "&amp;TEXT($R99-$AP99,"0.0")&amp;" Trk-Mi?    ")</f>
        <v/>
      </c>
      <c r="X99" s="284"/>
      <c r="Y99" s="278" t="str">
        <f>IF(OR($R99="",X$11=""),"","0 - "&amp;TEXT($R99-$AP99,"0.0")&amp;" Trk-Mi?    ")</f>
        <v/>
      </c>
      <c r="Z99" s="284"/>
      <c r="AA99" s="278" t="str">
        <f>IF(OR($R99="",Z$11=""),"","0 - "&amp;TEXT($R99-$AP99,"0.0")&amp;" Trk-Mi?    ")</f>
        <v/>
      </c>
      <c r="AB99" s="284"/>
      <c r="AC99" s="278" t="str">
        <f>IF(OR($R99="",AB$11=""),"","0 - "&amp;TEXT($R99-$AP99,"0.0")&amp;" Trk-Mi?    ")</f>
        <v/>
      </c>
      <c r="AD99" s="284"/>
      <c r="AE99" s="278" t="str">
        <f>IF(OR($R99="",AD$11=""),"","0 - "&amp;TEXT($R99-$AP99,"0.0")&amp;" Trk-Mi?    ")</f>
        <v/>
      </c>
      <c r="AF99" s="284"/>
      <c r="AG99" s="278" t="str">
        <f>IF(OR($R99="",AF$11=""),"","0 - "&amp;TEXT($R99-$AP99,"0.0")&amp;" Trk-Mi?    ")</f>
        <v/>
      </c>
      <c r="AH99" s="284"/>
      <c r="AI99" s="278" t="str">
        <f>IF(OR($R99="",AH$11=""),"","0 - "&amp;TEXT($R99-$AP99,"0.0")&amp;" Trk-Mi?    ")</f>
        <v/>
      </c>
      <c r="AJ99" s="284"/>
      <c r="AK99" s="278" t="str">
        <f>IF(OR($R99="",AJ$11=""),"","0 - "&amp;TEXT($R99-$AP99,"0.0")&amp;" Trk-Mi?    ")</f>
        <v/>
      </c>
      <c r="AL99" s="284"/>
      <c r="AM99" s="278" t="str">
        <f>IF(OR($R99="",AL$11=""),"","0 - "&amp;TEXT($R99-$AP99,"0.0")&amp;" Trk-Mi?    ")</f>
        <v/>
      </c>
      <c r="AN99" s="284"/>
      <c r="AO99" s="278" t="str">
        <f>IF(OR($R99="",AN$11=""),"","0 - "&amp;TEXT($R99-$AP99,"0.0")&amp;" Trk-Mi?    ")</f>
        <v/>
      </c>
      <c r="AP99" s="282">
        <f>SUM(V99,X99,Z99,AB99,AD99,AF99,AH99,AJ99,AL99,AN99)</f>
        <v>0</v>
      </c>
      <c r="AQ99" s="278"/>
      <c r="AR99" s="234"/>
      <c r="AS99" s="107"/>
      <c r="AT99" s="107"/>
      <c r="AU99" s="107"/>
      <c r="AW99" s="107" t="str">
        <f>IF(AND($C99="",$H99="",$J99="",$L99="",$N99="",$P99="",$R99=""),"B","NB")</f>
        <v>B</v>
      </c>
      <c r="AX99" s="241" t="str">
        <f>IF(OR($C99="",$H99="",$J99="",$L99="",$N99="",$R99="",$P99="",AND($V$11&lt;&gt;"",$V99=""),AND($X$11&lt;&gt;"",$X99=""),AND($Z$11&lt;&gt;"",$Z99=""),AND($AB$11&lt;&gt;"",$AB99=""),AND($AD$11&lt;&gt;"",$AD99=""),AND($AF$11&lt;&gt;"",$AF99=""),AND($AH$11&lt;&gt;"",$AH99=""),AND($AJ$11&lt;&gt;"",$AJ99=""),AND($AL$11&lt;&gt;"",$AL99=""),AND($AN$11&lt;&gt;"",$AN99="")),"N","Y")</f>
        <v>N</v>
      </c>
      <c r="AY99" s="142" t="b">
        <f>IF(AND($C99="",OR($H99&lt;&gt;"",$J99&lt;&gt;"",$L99&lt;&gt;"",$N99&lt;&gt;"",$R99&lt;&gt;"",$P99&lt;&gt;"",AND($V$11&lt;&gt;"",$V99&lt;&gt;""),AND($X$11&lt;&gt;"",$X99&lt;&gt;""),AND($Z$11&lt;&gt;"",$Z99&lt;&gt;""),AND($AB$11&lt;&gt;"",$AB99&lt;&gt;""),AND($AD$11&lt;&gt;"",$AD99&lt;&gt;""),AND($AF$11&lt;&gt;"",$AF99&lt;&gt;""),AND($AH$11&lt;&gt;"",$AH99&lt;&gt;""),AND($AJ$11&lt;&gt;"",$AJ99&lt;&gt;""),AND($AL$11&lt;&gt;"",$AL99&lt;&gt;""),AND($AN$11&lt;&gt;"",$AN99&lt;&gt;""))),TRUE,FALSE)</f>
        <v>0</v>
      </c>
      <c r="AZ99" s="144" t="b">
        <f>IF(AND($C99&lt;&gt;"",$H99=""),TRUE,FALSE)</f>
        <v>0</v>
      </c>
      <c r="BA99" s="144" t="b">
        <f>IF(AND($C99&lt;&gt;"",$J99=""),TRUE,FALSE)</f>
        <v>0</v>
      </c>
      <c r="BB99" s="144" t="b">
        <f>IF(AND($C99&lt;&gt;"",$L99=""),TRUE,FALSE)</f>
        <v>0</v>
      </c>
      <c r="BC99" s="144" t="b">
        <f>IF(AND($C99&lt;&gt;"",$N99=""),TRUE,FALSE)</f>
        <v>0</v>
      </c>
      <c r="BD99" s="142" t="b">
        <f>IF($BE99=TRUE,FALSE,IF(OR($P99&lt;$BD$5,$P99&gt;$BE$5),TRUE,FALSE))</f>
        <v>0</v>
      </c>
      <c r="BE99" s="144" t="b">
        <f>IF(AND($C99&lt;&gt;"",$P99=""),TRUE,FALSE)</f>
        <v>0</v>
      </c>
      <c r="BF99" s="144" t="b">
        <f>IF($BG99=TRUE,FALSE,IF(OR($R99&lt;$BF$5,$R99&gt;$BG$5),TRUE,FALSE))</f>
        <v>0</v>
      </c>
      <c r="BG99" s="144" t="b">
        <f>IF(AND($C99&lt;&gt;"",$R99=""),TRUE,FALSE)</f>
        <v>0</v>
      </c>
      <c r="BH99" s="160" t="b">
        <f>IF(BI99=TRUE,FALSE,IF(AND(V99&lt;&gt;"",V$11=""),TRUE,IF(AND(V99&lt;&gt;"",V$11&lt;&gt;"",$R99&lt;&gt;$AP99),TRUE,IF(OR(V99&lt;0,V99&gt;$R99),TRUE,FALSE))))</f>
        <v>0</v>
      </c>
      <c r="BI99" s="144" t="b">
        <f>IF(AND($C99&lt;&gt;"",V$11&lt;&gt;"",$V99=""),TRUE,FALSE)</f>
        <v>0</v>
      </c>
      <c r="BJ99" s="160" t="b">
        <f>IF(BK99=TRUE,FALSE,IF(AND(X99&lt;&gt;"",X$11=""),TRUE,IF(AND(X99&lt;&gt;"",X$11&lt;&gt;"",$R99&lt;&gt;$AP99),TRUE,IF(OR(X99&lt;0,X99&gt;$R99),TRUE,FALSE))))</f>
        <v>0</v>
      </c>
      <c r="BK99" s="144" t="b">
        <f>IF(AND($C99&lt;&gt;"",X$11&lt;&gt;"",$X99=""),TRUE,FALSE)</f>
        <v>0</v>
      </c>
      <c r="BL99" s="160" t="b">
        <f>IF(BM99=TRUE,FALSE,IF(AND(Z99&lt;&gt;"",Z$11=""),TRUE,IF(AND(Z99&lt;&gt;"",Z$11&lt;&gt;"",$R99&lt;&gt;$AP99),TRUE,IF(OR(Z99&lt;0,Z99&gt;$R99),TRUE,FALSE))))</f>
        <v>0</v>
      </c>
      <c r="BM99" s="144" t="b">
        <f>IF(AND($C99&lt;&gt;"",Z$11&lt;&gt;"",$Z99=""),TRUE,FALSE)</f>
        <v>0</v>
      </c>
      <c r="BN99" s="160" t="b">
        <f>IF(BO99=TRUE,FALSE,IF(AND(AB99&lt;&gt;"",AB$11=""),TRUE,IF(AND(AB99&lt;&gt;"",AB$11&lt;&gt;"",$R99&lt;&gt;$AP99),TRUE,IF(OR(AB99&lt;0,AB99&gt;$R99),TRUE,FALSE))))</f>
        <v>0</v>
      </c>
      <c r="BO99" s="144" t="b">
        <f>IF(AND($C99&lt;&gt;"",AB$11&lt;&gt;"",$AB99=""),TRUE,FALSE)</f>
        <v>0</v>
      </c>
      <c r="BP99" s="160" t="b">
        <f>IF(BQ99=TRUE,FALSE,IF(AND(AD99&lt;&gt;"",AD$11=""),TRUE,IF(AND(AD99&lt;&gt;"",AD$11&lt;&gt;"",$R99&lt;&gt;$AP99),TRUE,IF(OR(AD99&lt;0,AD99&gt;$R99),TRUE,FALSE))))</f>
        <v>0</v>
      </c>
      <c r="BQ99" s="144" t="b">
        <f>IF(AND($C99&lt;&gt;"",AD$11&lt;&gt;"",$AD99=""),TRUE,FALSE)</f>
        <v>0</v>
      </c>
      <c r="BR99" s="160" t="b">
        <f>IF(BS99=TRUE,FALSE,IF(AND(AF99&lt;&gt;"",AF$11=""),TRUE,IF(AND(AF99&lt;&gt;"",AF$11&lt;&gt;"",$R99&lt;&gt;$AP99),TRUE,IF(OR(AF99&lt;0,AF99&gt;$R99),TRUE,FALSE))))</f>
        <v>0</v>
      </c>
      <c r="BS99" s="144" t="b">
        <f>IF(AND($C99&lt;&gt;"",AF$11&lt;&gt;"",$AF99=""),TRUE,FALSE)</f>
        <v>0</v>
      </c>
      <c r="BT99" s="160" t="b">
        <f>IF(BU99=TRUE,FALSE,IF(AND(AH99&lt;&gt;"",AH$11=""),TRUE,IF(AND(AH99&lt;&gt;"",AH$11&lt;&gt;"",$R99&lt;&gt;$AP99),TRUE,IF(OR(AH99&lt;0,AH99&gt;$R99),TRUE,FALSE))))</f>
        <v>0</v>
      </c>
      <c r="BU99" s="144" t="b">
        <f>IF(AND($C99&lt;&gt;"",AH$11&lt;&gt;"",$AH99=""),TRUE,FALSE)</f>
        <v>0</v>
      </c>
      <c r="BV99" s="160" t="b">
        <f>IF(BW99=TRUE,FALSE,IF(AND(AJ99&lt;&gt;"",AJ$11=""),TRUE,IF(AND(AJ99&lt;&gt;"",AJ$11&lt;&gt;"",$R99&lt;&gt;$AP99),TRUE,IF(OR(AJ99&lt;0,AJ99&gt;$R99),TRUE,FALSE))))</f>
        <v>0</v>
      </c>
      <c r="BW99" s="144" t="b">
        <f>IF(AND($C99&lt;&gt;"",AJ$11&lt;&gt;"",$AJ99=""),TRUE,FALSE)</f>
        <v>0</v>
      </c>
      <c r="BX99" s="160" t="b">
        <f>IF(BY99=TRUE,FALSE,IF(AND(AL99&lt;&gt;"",AL$11=""),TRUE,IF(AND(AL99&lt;&gt;"",AL$11&lt;&gt;"",$R99&lt;&gt;$AP99),TRUE,IF(OR(AL99&lt;0,AL99&gt;$R99),TRUE,FALSE))))</f>
        <v>0</v>
      </c>
      <c r="BY99" s="144" t="b">
        <f>IF(AND($C99&lt;&gt;"",AL$11&lt;&gt;"",$AL99=""),TRUE,FALSE)</f>
        <v>0</v>
      </c>
      <c r="BZ99" s="160" t="b">
        <f>IF(CA99=TRUE,FALSE,IF(AND(AN99&lt;&gt;"",AN$11=""),TRUE,IF(AND(AN99&lt;&gt;"",AN$11&lt;&gt;"",$R99&lt;&gt;$AP99),TRUE,IF(OR(AN99&lt;0,AN99&gt;$R99),TRUE,FALSE))))</f>
        <v>0</v>
      </c>
      <c r="CA99" s="144" t="b">
        <f>IF(AND($C99&lt;&gt;"",AN$11&lt;&gt;"",$AN99=""),TRUE,FALSE)</f>
        <v>0</v>
      </c>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4"/>
    </row>
    <row r="100" spans="1:101" ht="6.75" customHeight="1" thickBot="1" x14ac:dyDescent="0.25">
      <c r="A100" s="228"/>
      <c r="B100" s="228"/>
      <c r="C100" s="232"/>
      <c r="D100" s="267"/>
      <c r="I100" s="267"/>
      <c r="K100" s="228"/>
      <c r="M100" s="267"/>
      <c r="O100" s="267"/>
      <c r="Q100" s="267"/>
      <c r="S100" s="267"/>
      <c r="U100" s="267"/>
      <c r="V100" s="283"/>
      <c r="W100" s="267"/>
      <c r="X100" s="283"/>
      <c r="Y100" s="267"/>
      <c r="Z100" s="283"/>
      <c r="AA100" s="267"/>
      <c r="AB100" s="283"/>
      <c r="AC100" s="267"/>
      <c r="AD100" s="283"/>
      <c r="AE100" s="267"/>
      <c r="AF100" s="283"/>
      <c r="AG100" s="267"/>
      <c r="AH100" s="283"/>
      <c r="AI100" s="267"/>
      <c r="AJ100" s="283"/>
      <c r="AK100" s="267"/>
      <c r="AL100" s="283"/>
      <c r="AM100" s="267"/>
      <c r="AN100" s="283"/>
      <c r="AO100" s="267"/>
      <c r="AP100" s="267"/>
      <c r="AQ100" s="267"/>
      <c r="AR100" s="232"/>
      <c r="AY100" s="145"/>
      <c r="AZ100" s="146"/>
      <c r="BA100" s="146"/>
      <c r="BB100" s="146"/>
      <c r="BC100" s="146"/>
      <c r="BD100" s="145"/>
      <c r="BE100" s="146"/>
      <c r="BF100" s="146"/>
      <c r="BG100" s="146"/>
      <c r="BH100" s="145"/>
      <c r="BI100" s="146"/>
      <c r="BJ100" s="145"/>
      <c r="BK100" s="146"/>
      <c r="BL100" s="145"/>
      <c r="BM100" s="146"/>
      <c r="BN100" s="145"/>
      <c r="BO100" s="146"/>
      <c r="BP100" s="145"/>
      <c r="BQ100" s="146"/>
      <c r="BR100" s="145"/>
      <c r="BS100" s="146"/>
      <c r="BT100" s="145"/>
      <c r="BU100" s="146"/>
      <c r="BV100" s="145"/>
      <c r="BW100" s="146"/>
      <c r="BX100" s="145"/>
      <c r="BY100" s="146"/>
      <c r="BZ100" s="145"/>
      <c r="CA100" s="146"/>
    </row>
    <row r="101" spans="1:101" s="101" customFormat="1" ht="12.75" customHeight="1" x14ac:dyDescent="0.2">
      <c r="A101" s="227">
        <f>A99+1</f>
        <v>43</v>
      </c>
      <c r="B101" s="227"/>
      <c r="C101" s="231"/>
      <c r="D101" s="251" t="str">
        <f>IF((C101=""),"Enter Segment "&amp;TEXT(A101,0)&amp;" Name, then Enter Data in Columns "&amp;TEXT($H$2,0)&amp;" - "&amp;TEXT($AN$2,0)&amp;"       ","")</f>
        <v xml:space="preserve">Enter Segment 43 Name, then Enter Data in Columns h - an       </v>
      </c>
      <c r="E101" s="131" t="str">
        <f>IF($AW101="B","N/A",IF(AX101="N","No",IF(AX101="Y","Yes","")))</f>
        <v>N/A</v>
      </c>
      <c r="F101" s="130"/>
      <c r="G101" s="130"/>
      <c r="H101" s="285"/>
      <c r="I101" s="251" t="str">
        <f>IF($C101&lt;&gt;"","Enter Starting Point       ","")</f>
        <v/>
      </c>
      <c r="J101" s="285"/>
      <c r="K101" s="227"/>
      <c r="L101" s="88"/>
      <c r="M101" s="251" t="str">
        <f>IF($C101&lt;&gt;"","Select from Pull-Down List  ","")</f>
        <v/>
      </c>
      <c r="N101" s="88"/>
      <c r="O101" s="251" t="str">
        <f>IF($C101&lt;&gt;"","Select from Pull-Down List  ","")</f>
        <v/>
      </c>
      <c r="P101" s="131"/>
      <c r="Q101" s="251" t="str">
        <f>IF($C101&lt;&gt;"","Dir. Route-Mi?    ","")</f>
        <v/>
      </c>
      <c r="R101" s="131"/>
      <c r="S101" s="251" t="str">
        <f>IF($C101&lt;&gt;"","Trk-Mi?      ","")</f>
        <v/>
      </c>
      <c r="T101" s="131"/>
      <c r="U101" s="251" t="str">
        <f>IF($C101&lt;&gt;"","Trk-Mi?      ","")</f>
        <v/>
      </c>
      <c r="V101" s="284"/>
      <c r="W101" s="278" t="str">
        <f>IF(OR($R101="",V$11=""),"","0 - "&amp;TEXT($R101-$AP101,"0.0")&amp;" Trk-Mi?    ")</f>
        <v/>
      </c>
      <c r="X101" s="284"/>
      <c r="Y101" s="278" t="str">
        <f>IF(OR($R101="",X$11=""),"","0 - "&amp;TEXT($R101-$AP101,"0.0")&amp;" Trk-Mi?    ")</f>
        <v/>
      </c>
      <c r="Z101" s="284"/>
      <c r="AA101" s="278" t="str">
        <f>IF(OR($R101="",Z$11=""),"","0 - "&amp;TEXT($R101-$AP101,"0.0")&amp;" Trk-Mi?    ")</f>
        <v/>
      </c>
      <c r="AB101" s="284"/>
      <c r="AC101" s="278" t="str">
        <f>IF(OR($R101="",AB$11=""),"","0 - "&amp;TEXT($R101-$AP101,"0.0")&amp;" Trk-Mi?    ")</f>
        <v/>
      </c>
      <c r="AD101" s="284"/>
      <c r="AE101" s="278" t="str">
        <f>IF(OR($R101="",AD$11=""),"","0 - "&amp;TEXT($R101-$AP101,"0.0")&amp;" Trk-Mi?    ")</f>
        <v/>
      </c>
      <c r="AF101" s="284"/>
      <c r="AG101" s="278" t="str">
        <f>IF(OR($R101="",AF$11=""),"","0 - "&amp;TEXT($R101-$AP101,"0.0")&amp;" Trk-Mi?    ")</f>
        <v/>
      </c>
      <c r="AH101" s="284"/>
      <c r="AI101" s="278" t="str">
        <f>IF(OR($R101="",AH$11=""),"","0 - "&amp;TEXT($R101-$AP101,"0.0")&amp;" Trk-Mi?    ")</f>
        <v/>
      </c>
      <c r="AJ101" s="284"/>
      <c r="AK101" s="278" t="str">
        <f>IF(OR($R101="",AJ$11=""),"","0 - "&amp;TEXT($R101-$AP101,"0.0")&amp;" Trk-Mi?    ")</f>
        <v/>
      </c>
      <c r="AL101" s="284"/>
      <c r="AM101" s="278" t="str">
        <f>IF(OR($R101="",AL$11=""),"","0 - "&amp;TEXT($R101-$AP101,"0.0")&amp;" Trk-Mi?    ")</f>
        <v/>
      </c>
      <c r="AN101" s="284"/>
      <c r="AO101" s="278" t="str">
        <f>IF(OR($R101="",AN$11=""),"","0 - "&amp;TEXT($R101-$AP101,"0.0")&amp;" Trk-Mi?    ")</f>
        <v/>
      </c>
      <c r="AP101" s="282">
        <f>SUM(V101,X101,Z101,AB101,AD101,AF101,AH101,AJ101,AL101,AN101)</f>
        <v>0</v>
      </c>
      <c r="AQ101" s="278"/>
      <c r="AR101" s="234"/>
      <c r="AS101" s="107"/>
      <c r="AT101" s="107"/>
      <c r="AU101" s="107"/>
      <c r="AW101" s="107" t="str">
        <f>IF(AND($C101="",$H101="",$J101="",$L101="",$N101="",$P101="",$R101=""),"B","NB")</f>
        <v>B</v>
      </c>
      <c r="AX101" s="241" t="str">
        <f>IF(OR($C101="",$H101="",$J101="",$L101="",$N101="",$R101="",$P101="",AND($V$11&lt;&gt;"",$V101=""),AND($X$11&lt;&gt;"",$X101=""),AND($Z$11&lt;&gt;"",$Z101=""),AND($AB$11&lt;&gt;"",$AB101=""),AND($AD$11&lt;&gt;"",$AD101=""),AND($AF$11&lt;&gt;"",$AF101=""),AND($AH$11&lt;&gt;"",$AH101=""),AND($AJ$11&lt;&gt;"",$AJ101=""),AND($AL$11&lt;&gt;"",$AL101=""),AND($AN$11&lt;&gt;"",$AN101="")),"N","Y")</f>
        <v>N</v>
      </c>
      <c r="AY101" s="142" t="b">
        <f>IF(AND($C101="",OR($H101&lt;&gt;"",$J101&lt;&gt;"",$L101&lt;&gt;"",$N101&lt;&gt;"",$R101&lt;&gt;"",$P101&lt;&gt;"",AND($V$11&lt;&gt;"",$V101&lt;&gt;""),AND($X$11&lt;&gt;"",$X101&lt;&gt;""),AND($Z$11&lt;&gt;"",$Z101&lt;&gt;""),AND($AB$11&lt;&gt;"",$AB101&lt;&gt;""),AND($AD$11&lt;&gt;"",$AD101&lt;&gt;""),AND($AF$11&lt;&gt;"",$AF101&lt;&gt;""),AND($AH$11&lt;&gt;"",$AH101&lt;&gt;""),AND($AJ$11&lt;&gt;"",$AJ101&lt;&gt;""),AND($AL$11&lt;&gt;"",$AL101&lt;&gt;""),AND($AN$11&lt;&gt;"",$AN101&lt;&gt;""))),TRUE,FALSE)</f>
        <v>0</v>
      </c>
      <c r="AZ101" s="144" t="b">
        <f>IF(AND($C101&lt;&gt;"",$H101=""),TRUE,FALSE)</f>
        <v>0</v>
      </c>
      <c r="BA101" s="144" t="b">
        <f>IF(AND($C101&lt;&gt;"",$J101=""),TRUE,FALSE)</f>
        <v>0</v>
      </c>
      <c r="BB101" s="144" t="b">
        <f>IF(AND($C101&lt;&gt;"",$L101=""),TRUE,FALSE)</f>
        <v>0</v>
      </c>
      <c r="BC101" s="144" t="b">
        <f>IF(AND($C101&lt;&gt;"",$N101=""),TRUE,FALSE)</f>
        <v>0</v>
      </c>
      <c r="BD101" s="142" t="b">
        <f>IF($BE101=TRUE,FALSE,IF(OR($P101&lt;$BD$5,$P101&gt;$BE$5),TRUE,FALSE))</f>
        <v>0</v>
      </c>
      <c r="BE101" s="144" t="b">
        <f>IF(AND($C101&lt;&gt;"",$P101=""),TRUE,FALSE)</f>
        <v>0</v>
      </c>
      <c r="BF101" s="144" t="b">
        <f>IF($BG101=TRUE,FALSE,IF(OR($R101&lt;$BF$5,$R101&gt;$BG$5),TRUE,FALSE))</f>
        <v>0</v>
      </c>
      <c r="BG101" s="144" t="b">
        <f>IF(AND($C101&lt;&gt;"",$R101=""),TRUE,FALSE)</f>
        <v>0</v>
      </c>
      <c r="BH101" s="160" t="b">
        <f>IF(BI101=TRUE,FALSE,IF(AND(V101&lt;&gt;"",V$11=""),TRUE,IF(AND(V101&lt;&gt;"",V$11&lt;&gt;"",$R101&lt;&gt;$AP101),TRUE,IF(OR(V101&lt;0,V101&gt;$R101),TRUE,FALSE))))</f>
        <v>0</v>
      </c>
      <c r="BI101" s="144" t="b">
        <f>IF(AND($C101&lt;&gt;"",V$11&lt;&gt;"",$V101=""),TRUE,FALSE)</f>
        <v>0</v>
      </c>
      <c r="BJ101" s="160" t="b">
        <f>IF(BK101=TRUE,FALSE,IF(AND(X101&lt;&gt;"",X$11=""),TRUE,IF(AND(X101&lt;&gt;"",X$11&lt;&gt;"",$R101&lt;&gt;$AP101),TRUE,IF(OR(X101&lt;0,X101&gt;$R101),TRUE,FALSE))))</f>
        <v>0</v>
      </c>
      <c r="BK101" s="144" t="b">
        <f>IF(AND($C101&lt;&gt;"",X$11&lt;&gt;"",$X101=""),TRUE,FALSE)</f>
        <v>0</v>
      </c>
      <c r="BL101" s="160" t="b">
        <f>IF(BM101=TRUE,FALSE,IF(AND(Z101&lt;&gt;"",Z$11=""),TRUE,IF(AND(Z101&lt;&gt;"",Z$11&lt;&gt;"",$R101&lt;&gt;$AP101),TRUE,IF(OR(Z101&lt;0,Z101&gt;$R101),TRUE,FALSE))))</f>
        <v>0</v>
      </c>
      <c r="BM101" s="144" t="b">
        <f>IF(AND($C101&lt;&gt;"",Z$11&lt;&gt;"",$Z101=""),TRUE,FALSE)</f>
        <v>0</v>
      </c>
      <c r="BN101" s="160" t="b">
        <f>IF(BO101=TRUE,FALSE,IF(AND(AB101&lt;&gt;"",AB$11=""),TRUE,IF(AND(AB101&lt;&gt;"",AB$11&lt;&gt;"",$R101&lt;&gt;$AP101),TRUE,IF(OR(AB101&lt;0,AB101&gt;$R101),TRUE,FALSE))))</f>
        <v>0</v>
      </c>
      <c r="BO101" s="144" t="b">
        <f>IF(AND($C101&lt;&gt;"",AB$11&lt;&gt;"",$AB101=""),TRUE,FALSE)</f>
        <v>0</v>
      </c>
      <c r="BP101" s="160" t="b">
        <f>IF(BQ101=TRUE,FALSE,IF(AND(AD101&lt;&gt;"",AD$11=""),TRUE,IF(AND(AD101&lt;&gt;"",AD$11&lt;&gt;"",$R101&lt;&gt;$AP101),TRUE,IF(OR(AD101&lt;0,AD101&gt;$R101),TRUE,FALSE))))</f>
        <v>0</v>
      </c>
      <c r="BQ101" s="144" t="b">
        <f>IF(AND($C101&lt;&gt;"",AD$11&lt;&gt;"",$AD101=""),TRUE,FALSE)</f>
        <v>0</v>
      </c>
      <c r="BR101" s="160" t="b">
        <f>IF(BS101=TRUE,FALSE,IF(AND(AF101&lt;&gt;"",AF$11=""),TRUE,IF(AND(AF101&lt;&gt;"",AF$11&lt;&gt;"",$R101&lt;&gt;$AP101),TRUE,IF(OR(AF101&lt;0,AF101&gt;$R101),TRUE,FALSE))))</f>
        <v>0</v>
      </c>
      <c r="BS101" s="144" t="b">
        <f>IF(AND($C101&lt;&gt;"",AF$11&lt;&gt;"",$AF101=""),TRUE,FALSE)</f>
        <v>0</v>
      </c>
      <c r="BT101" s="160" t="b">
        <f>IF(BU101=TRUE,FALSE,IF(AND(AH101&lt;&gt;"",AH$11=""),TRUE,IF(AND(AH101&lt;&gt;"",AH$11&lt;&gt;"",$R101&lt;&gt;$AP101),TRUE,IF(OR(AH101&lt;0,AH101&gt;$R101),TRUE,FALSE))))</f>
        <v>0</v>
      </c>
      <c r="BU101" s="144" t="b">
        <f>IF(AND($C101&lt;&gt;"",AH$11&lt;&gt;"",$AH101=""),TRUE,FALSE)</f>
        <v>0</v>
      </c>
      <c r="BV101" s="160" t="b">
        <f>IF(BW101=TRUE,FALSE,IF(AND(AJ101&lt;&gt;"",AJ$11=""),TRUE,IF(AND(AJ101&lt;&gt;"",AJ$11&lt;&gt;"",$R101&lt;&gt;$AP101),TRUE,IF(OR(AJ101&lt;0,AJ101&gt;$R101),TRUE,FALSE))))</f>
        <v>0</v>
      </c>
      <c r="BW101" s="144" t="b">
        <f>IF(AND($C101&lt;&gt;"",AJ$11&lt;&gt;"",$AJ101=""),TRUE,FALSE)</f>
        <v>0</v>
      </c>
      <c r="BX101" s="160" t="b">
        <f>IF(BY101=TRUE,FALSE,IF(AND(AL101&lt;&gt;"",AL$11=""),TRUE,IF(AND(AL101&lt;&gt;"",AL$11&lt;&gt;"",$R101&lt;&gt;$AP101),TRUE,IF(OR(AL101&lt;0,AL101&gt;$R101),TRUE,FALSE))))</f>
        <v>0</v>
      </c>
      <c r="BY101" s="144" t="b">
        <f>IF(AND($C101&lt;&gt;"",AL$11&lt;&gt;"",$AL101=""),TRUE,FALSE)</f>
        <v>0</v>
      </c>
      <c r="BZ101" s="160" t="b">
        <f>IF(CA101=TRUE,FALSE,IF(AND(AN101&lt;&gt;"",AN$11=""),TRUE,IF(AND(AN101&lt;&gt;"",AN$11&lt;&gt;"",$R101&lt;&gt;$AP101),TRUE,IF(OR(AN101&lt;0,AN101&gt;$R101),TRUE,FALSE))))</f>
        <v>0</v>
      </c>
      <c r="CA101" s="144" t="b">
        <f>IF(AND($C101&lt;&gt;"",AN$11&lt;&gt;"",$AN101=""),TRUE,FALSE)</f>
        <v>0</v>
      </c>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4"/>
    </row>
    <row r="102" spans="1:101" ht="6.75" customHeight="1" thickBot="1" x14ac:dyDescent="0.25">
      <c r="A102" s="228"/>
      <c r="B102" s="228"/>
      <c r="C102" s="232"/>
      <c r="D102" s="267"/>
      <c r="I102" s="267"/>
      <c r="K102" s="228"/>
      <c r="M102" s="267"/>
      <c r="O102" s="267"/>
      <c r="Q102" s="267"/>
      <c r="S102" s="267"/>
      <c r="U102" s="267"/>
      <c r="V102" s="283"/>
      <c r="W102" s="267"/>
      <c r="X102" s="283"/>
      <c r="Y102" s="267"/>
      <c r="Z102" s="283"/>
      <c r="AA102" s="267"/>
      <c r="AB102" s="283"/>
      <c r="AC102" s="267"/>
      <c r="AD102" s="283"/>
      <c r="AE102" s="267"/>
      <c r="AF102" s="283"/>
      <c r="AG102" s="267"/>
      <c r="AH102" s="283"/>
      <c r="AI102" s="267"/>
      <c r="AJ102" s="283"/>
      <c r="AK102" s="267"/>
      <c r="AL102" s="283"/>
      <c r="AM102" s="267"/>
      <c r="AN102" s="283"/>
      <c r="AO102" s="267"/>
      <c r="AP102" s="267"/>
      <c r="AQ102" s="267"/>
      <c r="AR102" s="235" t="str">
        <f>IF(CJ102&gt;=1,"Bad Data","")</f>
        <v/>
      </c>
      <c r="AY102" s="145"/>
      <c r="AZ102" s="146"/>
      <c r="BA102" s="146"/>
      <c r="BB102" s="146"/>
      <c r="BC102" s="146"/>
      <c r="BD102" s="145"/>
      <c r="BE102" s="146"/>
      <c r="BF102" s="146"/>
      <c r="BG102" s="146"/>
      <c r="BH102" s="145"/>
      <c r="BI102" s="146"/>
      <c r="BJ102" s="145"/>
      <c r="BK102" s="146"/>
      <c r="BL102" s="145"/>
      <c r="BM102" s="146"/>
      <c r="BN102" s="145"/>
      <c r="BO102" s="146"/>
      <c r="BP102" s="145"/>
      <c r="BQ102" s="146"/>
      <c r="BR102" s="145"/>
      <c r="BS102" s="146"/>
      <c r="BT102" s="145"/>
      <c r="BU102" s="146"/>
      <c r="BV102" s="145"/>
      <c r="BW102" s="146"/>
      <c r="BX102" s="145"/>
      <c r="BY102" s="146"/>
      <c r="BZ102" s="145"/>
      <c r="CA102" s="146"/>
    </row>
    <row r="103" spans="1:101" s="101" customFormat="1" ht="12.75" customHeight="1" x14ac:dyDescent="0.2">
      <c r="A103" s="227">
        <f>A101+1</f>
        <v>44</v>
      </c>
      <c r="B103" s="227"/>
      <c r="C103" s="231"/>
      <c r="D103" s="251" t="str">
        <f>IF((C103=""),"Enter Segment "&amp;TEXT(A103,0)&amp;" Name, then Enter Data in Columns "&amp;TEXT($H$2,0)&amp;" - "&amp;TEXT($AN$2,0)&amp;"       ","")</f>
        <v xml:space="preserve">Enter Segment 44 Name, then Enter Data in Columns h - an       </v>
      </c>
      <c r="E103" s="131" t="str">
        <f>IF($AW103="B","N/A",IF(AX103="N","No",IF(AX103="Y","Yes","")))</f>
        <v>N/A</v>
      </c>
      <c r="F103" s="130"/>
      <c r="G103" s="130"/>
      <c r="H103" s="285"/>
      <c r="I103" s="251" t="str">
        <f>IF($C103&lt;&gt;"","Enter Starting Point       ","")</f>
        <v/>
      </c>
      <c r="J103" s="285"/>
      <c r="K103" s="227"/>
      <c r="L103" s="88"/>
      <c r="M103" s="251" t="str">
        <f>IF($C103&lt;&gt;"","Select from Pull-Down List  ","")</f>
        <v/>
      </c>
      <c r="N103" s="88"/>
      <c r="O103" s="251" t="str">
        <f>IF($C103&lt;&gt;"","Select from Pull-Down List  ","")</f>
        <v/>
      </c>
      <c r="P103" s="131"/>
      <c r="Q103" s="251" t="str">
        <f>IF($C103&lt;&gt;"","Dir. Route-Mi?    ","")</f>
        <v/>
      </c>
      <c r="R103" s="131"/>
      <c r="S103" s="251" t="str">
        <f>IF($C103&lt;&gt;"","Trk-Mi?      ","")</f>
        <v/>
      </c>
      <c r="T103" s="131"/>
      <c r="U103" s="251" t="str">
        <f>IF($C103&lt;&gt;"","Trk-Mi?      ","")</f>
        <v/>
      </c>
      <c r="V103" s="284"/>
      <c r="W103" s="278" t="str">
        <f>IF(OR($R103="",V$11=""),"","0 - "&amp;TEXT($R103-$AP103,"0.0")&amp;" Trk-Mi?    ")</f>
        <v/>
      </c>
      <c r="X103" s="284"/>
      <c r="Y103" s="278" t="str">
        <f>IF(OR($R103="",X$11=""),"","0 - "&amp;TEXT($R103-$AP103,"0.0")&amp;" Trk-Mi?    ")</f>
        <v/>
      </c>
      <c r="Z103" s="284"/>
      <c r="AA103" s="278" t="str">
        <f>IF(OR($R103="",Z$11=""),"","0 - "&amp;TEXT($R103-$AP103,"0.0")&amp;" Trk-Mi?    ")</f>
        <v/>
      </c>
      <c r="AB103" s="284"/>
      <c r="AC103" s="278" t="str">
        <f>IF(OR($R103="",AB$11=""),"","0 - "&amp;TEXT($R103-$AP103,"0.0")&amp;" Trk-Mi?    ")</f>
        <v/>
      </c>
      <c r="AD103" s="284"/>
      <c r="AE103" s="278" t="str">
        <f>IF(OR($R103="",AD$11=""),"","0 - "&amp;TEXT($R103-$AP103,"0.0")&amp;" Trk-Mi?    ")</f>
        <v/>
      </c>
      <c r="AF103" s="284"/>
      <c r="AG103" s="278" t="str">
        <f>IF(OR($R103="",AF$11=""),"","0 - "&amp;TEXT($R103-$AP103,"0.0")&amp;" Trk-Mi?    ")</f>
        <v/>
      </c>
      <c r="AH103" s="284"/>
      <c r="AI103" s="278" t="str">
        <f>IF(OR($R103="",AH$11=""),"","0 - "&amp;TEXT($R103-$AP103,"0.0")&amp;" Trk-Mi?    ")</f>
        <v/>
      </c>
      <c r="AJ103" s="284"/>
      <c r="AK103" s="278" t="str">
        <f>IF(OR($R103="",AJ$11=""),"","0 - "&amp;TEXT($R103-$AP103,"0.0")&amp;" Trk-Mi?    ")</f>
        <v/>
      </c>
      <c r="AL103" s="284"/>
      <c r="AM103" s="278" t="str">
        <f>IF(OR($R103="",AL$11=""),"","0 - "&amp;TEXT($R103-$AP103,"0.0")&amp;" Trk-Mi?    ")</f>
        <v/>
      </c>
      <c r="AN103" s="284"/>
      <c r="AO103" s="278" t="str">
        <f>IF(OR($R103="",AN$11=""),"","0 - "&amp;TEXT($R103-$AP103,"0.0")&amp;" Trk-Mi?    ")</f>
        <v/>
      </c>
      <c r="AP103" s="282">
        <f>SUM(V103,X103,Z103,AB103,AD103,AF103,AH103,AJ103,AL103,AN103)</f>
        <v>0</v>
      </c>
      <c r="AQ103" s="278"/>
      <c r="AR103" s="234"/>
      <c r="AS103" s="107"/>
      <c r="AT103" s="107"/>
      <c r="AU103" s="107"/>
      <c r="AW103" s="107" t="str">
        <f>IF(AND($C103="",$H103="",$J103="",$L103="",$N103="",$P103="",$R103=""),"B","NB")</f>
        <v>B</v>
      </c>
      <c r="AX103" s="241" t="str">
        <f>IF(OR($C103="",$H103="",$J103="",$L103="",$N103="",$R103="",$P103="",AND($V$11&lt;&gt;"",$V103=""),AND($X$11&lt;&gt;"",$X103=""),AND($Z$11&lt;&gt;"",$Z103=""),AND($AB$11&lt;&gt;"",$AB103=""),AND($AD$11&lt;&gt;"",$AD103=""),AND($AF$11&lt;&gt;"",$AF103=""),AND($AH$11&lt;&gt;"",$AH103=""),AND($AJ$11&lt;&gt;"",$AJ103=""),AND($AL$11&lt;&gt;"",$AL103=""),AND($AN$11&lt;&gt;"",$AN103="")),"N","Y")</f>
        <v>N</v>
      </c>
      <c r="AY103" s="142" t="b">
        <f>IF(AND($C103="",OR($H103&lt;&gt;"",$J103&lt;&gt;"",$L103&lt;&gt;"",$N103&lt;&gt;"",$R103&lt;&gt;"",$P103&lt;&gt;"",AND($V$11&lt;&gt;"",$V103&lt;&gt;""),AND($X$11&lt;&gt;"",$X103&lt;&gt;""),AND($Z$11&lt;&gt;"",$Z103&lt;&gt;""),AND($AB$11&lt;&gt;"",$AB103&lt;&gt;""),AND($AD$11&lt;&gt;"",$AD103&lt;&gt;""),AND($AF$11&lt;&gt;"",$AF103&lt;&gt;""),AND($AH$11&lt;&gt;"",$AH103&lt;&gt;""),AND($AJ$11&lt;&gt;"",$AJ103&lt;&gt;""),AND($AL$11&lt;&gt;"",$AL103&lt;&gt;""),AND($AN$11&lt;&gt;"",$AN103&lt;&gt;""))),TRUE,FALSE)</f>
        <v>0</v>
      </c>
      <c r="AZ103" s="144" t="b">
        <f>IF(AND($C103&lt;&gt;"",$H103=""),TRUE,FALSE)</f>
        <v>0</v>
      </c>
      <c r="BA103" s="144" t="b">
        <f>IF(AND($C103&lt;&gt;"",$J103=""),TRUE,FALSE)</f>
        <v>0</v>
      </c>
      <c r="BB103" s="144" t="b">
        <f>IF(AND($C103&lt;&gt;"",$L103=""),TRUE,FALSE)</f>
        <v>0</v>
      </c>
      <c r="BC103" s="144" t="b">
        <f>IF(AND($C103&lt;&gt;"",$N103=""),TRUE,FALSE)</f>
        <v>0</v>
      </c>
      <c r="BD103" s="142" t="b">
        <f>IF($BE103=TRUE,FALSE,IF(OR($P103&lt;$BD$5,$P103&gt;$BE$5),TRUE,FALSE))</f>
        <v>0</v>
      </c>
      <c r="BE103" s="144" t="b">
        <f>IF(AND($C103&lt;&gt;"",$P103=""),TRUE,FALSE)</f>
        <v>0</v>
      </c>
      <c r="BF103" s="144" t="b">
        <f>IF($BG103=TRUE,FALSE,IF(OR($R103&lt;$BF$5,$R103&gt;$BG$5),TRUE,FALSE))</f>
        <v>0</v>
      </c>
      <c r="BG103" s="144" t="b">
        <f>IF(AND($C103&lt;&gt;"",$R103=""),TRUE,FALSE)</f>
        <v>0</v>
      </c>
      <c r="BH103" s="160" t="b">
        <f>IF(BI103=TRUE,FALSE,IF(AND(V103&lt;&gt;"",V$11=""),TRUE,IF(AND(V103&lt;&gt;"",V$11&lt;&gt;"",$R103&lt;&gt;$AP103),TRUE,IF(OR(V103&lt;0,V103&gt;$R103),TRUE,FALSE))))</f>
        <v>0</v>
      </c>
      <c r="BI103" s="144" t="b">
        <f>IF(AND($C103&lt;&gt;"",V$11&lt;&gt;"",$V103=""),TRUE,FALSE)</f>
        <v>0</v>
      </c>
      <c r="BJ103" s="160" t="b">
        <f>IF(BK103=TRUE,FALSE,IF(AND(X103&lt;&gt;"",X$11=""),TRUE,IF(AND(X103&lt;&gt;"",X$11&lt;&gt;"",$R103&lt;&gt;$AP103),TRUE,IF(OR(X103&lt;0,X103&gt;$R103),TRUE,FALSE))))</f>
        <v>0</v>
      </c>
      <c r="BK103" s="144" t="b">
        <f>IF(AND($C103&lt;&gt;"",X$11&lt;&gt;"",$X103=""),TRUE,FALSE)</f>
        <v>0</v>
      </c>
      <c r="BL103" s="160" t="b">
        <f>IF(BM103=TRUE,FALSE,IF(AND(Z103&lt;&gt;"",Z$11=""),TRUE,IF(AND(Z103&lt;&gt;"",Z$11&lt;&gt;"",$R103&lt;&gt;$AP103),TRUE,IF(OR(Z103&lt;0,Z103&gt;$R103),TRUE,FALSE))))</f>
        <v>0</v>
      </c>
      <c r="BM103" s="144" t="b">
        <f>IF(AND($C103&lt;&gt;"",Z$11&lt;&gt;"",$Z103=""),TRUE,FALSE)</f>
        <v>0</v>
      </c>
      <c r="BN103" s="160" t="b">
        <f>IF(BO103=TRUE,FALSE,IF(AND(AB103&lt;&gt;"",AB$11=""),TRUE,IF(AND(AB103&lt;&gt;"",AB$11&lt;&gt;"",$R103&lt;&gt;$AP103),TRUE,IF(OR(AB103&lt;0,AB103&gt;$R103),TRUE,FALSE))))</f>
        <v>0</v>
      </c>
      <c r="BO103" s="144" t="b">
        <f>IF(AND($C103&lt;&gt;"",AB$11&lt;&gt;"",$AB103=""),TRUE,FALSE)</f>
        <v>0</v>
      </c>
      <c r="BP103" s="160" t="b">
        <f>IF(BQ103=TRUE,FALSE,IF(AND(AD103&lt;&gt;"",AD$11=""),TRUE,IF(AND(AD103&lt;&gt;"",AD$11&lt;&gt;"",$R103&lt;&gt;$AP103),TRUE,IF(OR(AD103&lt;0,AD103&gt;$R103),TRUE,FALSE))))</f>
        <v>0</v>
      </c>
      <c r="BQ103" s="144" t="b">
        <f>IF(AND($C103&lt;&gt;"",AD$11&lt;&gt;"",$AD103=""),TRUE,FALSE)</f>
        <v>0</v>
      </c>
      <c r="BR103" s="160" t="b">
        <f>IF(BS103=TRUE,FALSE,IF(AND(AF103&lt;&gt;"",AF$11=""),TRUE,IF(AND(AF103&lt;&gt;"",AF$11&lt;&gt;"",$R103&lt;&gt;$AP103),TRUE,IF(OR(AF103&lt;0,AF103&gt;$R103),TRUE,FALSE))))</f>
        <v>0</v>
      </c>
      <c r="BS103" s="144" t="b">
        <f>IF(AND($C103&lt;&gt;"",AF$11&lt;&gt;"",$AF103=""),TRUE,FALSE)</f>
        <v>0</v>
      </c>
      <c r="BT103" s="160" t="b">
        <f>IF(BU103=TRUE,FALSE,IF(AND(AH103&lt;&gt;"",AH$11=""),TRUE,IF(AND(AH103&lt;&gt;"",AH$11&lt;&gt;"",$R103&lt;&gt;$AP103),TRUE,IF(OR(AH103&lt;0,AH103&gt;$R103),TRUE,FALSE))))</f>
        <v>0</v>
      </c>
      <c r="BU103" s="144" t="b">
        <f>IF(AND($C103&lt;&gt;"",AH$11&lt;&gt;"",$AH103=""),TRUE,FALSE)</f>
        <v>0</v>
      </c>
      <c r="BV103" s="160" t="b">
        <f>IF(BW103=TRUE,FALSE,IF(AND(AJ103&lt;&gt;"",AJ$11=""),TRUE,IF(AND(AJ103&lt;&gt;"",AJ$11&lt;&gt;"",$R103&lt;&gt;$AP103),TRUE,IF(OR(AJ103&lt;0,AJ103&gt;$R103),TRUE,FALSE))))</f>
        <v>0</v>
      </c>
      <c r="BW103" s="144" t="b">
        <f>IF(AND($C103&lt;&gt;"",AJ$11&lt;&gt;"",$AJ103=""),TRUE,FALSE)</f>
        <v>0</v>
      </c>
      <c r="BX103" s="160" t="b">
        <f>IF(BY103=TRUE,FALSE,IF(AND(AL103&lt;&gt;"",AL$11=""),TRUE,IF(AND(AL103&lt;&gt;"",AL$11&lt;&gt;"",$R103&lt;&gt;$AP103),TRUE,IF(OR(AL103&lt;0,AL103&gt;$R103),TRUE,FALSE))))</f>
        <v>0</v>
      </c>
      <c r="BY103" s="144" t="b">
        <f>IF(AND($C103&lt;&gt;"",AL$11&lt;&gt;"",$AL103=""),TRUE,FALSE)</f>
        <v>0</v>
      </c>
      <c r="BZ103" s="160" t="b">
        <f>IF(CA103=TRUE,FALSE,IF(AND(AN103&lt;&gt;"",AN$11=""),TRUE,IF(AND(AN103&lt;&gt;"",AN$11&lt;&gt;"",$R103&lt;&gt;$AP103),TRUE,IF(OR(AN103&lt;0,AN103&gt;$R103),TRUE,FALSE))))</f>
        <v>0</v>
      </c>
      <c r="CA103" s="144" t="b">
        <f>IF(AND($C103&lt;&gt;"",AN$11&lt;&gt;"",$AN103=""),TRUE,FALSE)</f>
        <v>0</v>
      </c>
      <c r="CB103" s="133"/>
      <c r="CC103" s="133"/>
      <c r="CD103" s="133"/>
      <c r="CE103" s="133"/>
      <c r="CF103" s="133"/>
      <c r="CG103" s="133"/>
      <c r="CH103" s="133"/>
      <c r="CI103" s="133"/>
      <c r="CJ103" s="133"/>
      <c r="CK103" s="133"/>
      <c r="CL103" s="133"/>
      <c r="CM103" s="133"/>
      <c r="CN103" s="133"/>
      <c r="CO103" s="133"/>
      <c r="CP103" s="133"/>
      <c r="CQ103" s="133"/>
      <c r="CR103" s="133"/>
      <c r="CS103" s="133"/>
      <c r="CT103" s="133"/>
      <c r="CU103" s="133"/>
      <c r="CV103" s="133"/>
      <c r="CW103" s="134"/>
    </row>
    <row r="104" spans="1:101" ht="6.75" customHeight="1" thickBot="1" x14ac:dyDescent="0.25">
      <c r="A104" s="228"/>
      <c r="B104" s="228"/>
      <c r="C104" s="232"/>
      <c r="D104" s="267"/>
      <c r="I104" s="267"/>
      <c r="K104" s="228"/>
      <c r="M104" s="267"/>
      <c r="O104" s="267"/>
      <c r="Q104" s="267"/>
      <c r="S104" s="267"/>
      <c r="U104" s="267"/>
      <c r="V104" s="283"/>
      <c r="W104" s="267"/>
      <c r="X104" s="283"/>
      <c r="Y104" s="267"/>
      <c r="Z104" s="283"/>
      <c r="AA104" s="267"/>
      <c r="AB104" s="283"/>
      <c r="AC104" s="267"/>
      <c r="AD104" s="283"/>
      <c r="AE104" s="267"/>
      <c r="AF104" s="283"/>
      <c r="AG104" s="267"/>
      <c r="AH104" s="283"/>
      <c r="AI104" s="267"/>
      <c r="AJ104" s="283"/>
      <c r="AK104" s="267"/>
      <c r="AL104" s="283"/>
      <c r="AM104" s="267"/>
      <c r="AN104" s="283"/>
      <c r="AO104" s="267"/>
      <c r="AP104" s="267"/>
      <c r="AQ104" s="267"/>
      <c r="AR104" s="236"/>
      <c r="AY104" s="145"/>
      <c r="AZ104" s="146"/>
      <c r="BA104" s="146"/>
      <c r="BB104" s="146"/>
      <c r="BC104" s="146"/>
      <c r="BD104" s="145"/>
      <c r="BE104" s="146"/>
      <c r="BF104" s="146"/>
      <c r="BG104" s="146"/>
      <c r="BH104" s="145"/>
      <c r="BI104" s="146"/>
      <c r="BJ104" s="145"/>
      <c r="BK104" s="146"/>
      <c r="BL104" s="145"/>
      <c r="BM104" s="146"/>
      <c r="BN104" s="145"/>
      <c r="BO104" s="146"/>
      <c r="BP104" s="145"/>
      <c r="BQ104" s="146"/>
      <c r="BR104" s="145"/>
      <c r="BS104" s="146"/>
      <c r="BT104" s="145"/>
      <c r="BU104" s="146"/>
      <c r="BV104" s="145"/>
      <c r="BW104" s="146"/>
      <c r="BX104" s="145"/>
      <c r="BY104" s="146"/>
      <c r="BZ104" s="145"/>
      <c r="CA104" s="146"/>
    </row>
    <row r="105" spans="1:101" s="101" customFormat="1" ht="12.75" customHeight="1" x14ac:dyDescent="0.2">
      <c r="A105" s="227">
        <f>A103+1</f>
        <v>45</v>
      </c>
      <c r="B105" s="227"/>
      <c r="C105" s="231"/>
      <c r="D105" s="251" t="str">
        <f>IF((C105=""),"Enter Segment "&amp;TEXT(A105,0)&amp;" Name, then Enter Data in Columns "&amp;TEXT($H$2,0)&amp;" - "&amp;TEXT($AN$2,0)&amp;"       ","")</f>
        <v xml:space="preserve">Enter Segment 45 Name, then Enter Data in Columns h - an       </v>
      </c>
      <c r="E105" s="131" t="str">
        <f>IF($AW105="B","N/A",IF(AX105="N","No",IF(AX105="Y","Yes","")))</f>
        <v>N/A</v>
      </c>
      <c r="F105" s="130"/>
      <c r="G105" s="130"/>
      <c r="H105" s="285"/>
      <c r="I105" s="251" t="str">
        <f>IF($C105&lt;&gt;"","Enter Starting Point       ","")</f>
        <v/>
      </c>
      <c r="J105" s="285"/>
      <c r="K105" s="227"/>
      <c r="L105" s="88"/>
      <c r="M105" s="251" t="str">
        <f>IF($C105&lt;&gt;"","Select from Pull-Down List  ","")</f>
        <v/>
      </c>
      <c r="N105" s="88"/>
      <c r="O105" s="251" t="str">
        <f>IF($C105&lt;&gt;"","Select from Pull-Down List  ","")</f>
        <v/>
      </c>
      <c r="P105" s="131"/>
      <c r="Q105" s="251" t="str">
        <f>IF($C105&lt;&gt;"","Dir. Route-Mi?    ","")</f>
        <v/>
      </c>
      <c r="R105" s="131"/>
      <c r="S105" s="251" t="str">
        <f>IF($C105&lt;&gt;"","Trk-Mi?      ","")</f>
        <v/>
      </c>
      <c r="T105" s="131"/>
      <c r="U105" s="251" t="str">
        <f>IF($C105&lt;&gt;"","Trk-Mi?      ","")</f>
        <v/>
      </c>
      <c r="V105" s="284"/>
      <c r="W105" s="278" t="str">
        <f>IF(OR($R105="",V$11=""),"","0 - "&amp;TEXT($R105-$AP105,"0.0")&amp;" Trk-Mi?    ")</f>
        <v/>
      </c>
      <c r="X105" s="284"/>
      <c r="Y105" s="278" t="str">
        <f>IF(OR($R105="",X$11=""),"","0 - "&amp;TEXT($R105-$AP105,"0.0")&amp;" Trk-Mi?    ")</f>
        <v/>
      </c>
      <c r="Z105" s="284"/>
      <c r="AA105" s="278" t="str">
        <f>IF(OR($R105="",Z$11=""),"","0 - "&amp;TEXT($R105-$AP105,"0.0")&amp;" Trk-Mi?    ")</f>
        <v/>
      </c>
      <c r="AB105" s="284"/>
      <c r="AC105" s="278" t="str">
        <f>IF(OR($R105="",AB$11=""),"","0 - "&amp;TEXT($R105-$AP105,"0.0")&amp;" Trk-Mi?    ")</f>
        <v/>
      </c>
      <c r="AD105" s="284"/>
      <c r="AE105" s="278" t="str">
        <f>IF(OR($R105="",AD$11=""),"","0 - "&amp;TEXT($R105-$AP105,"0.0")&amp;" Trk-Mi?    ")</f>
        <v/>
      </c>
      <c r="AF105" s="284"/>
      <c r="AG105" s="278" t="str">
        <f>IF(OR($R105="",AF$11=""),"","0 - "&amp;TEXT($R105-$AP105,"0.0")&amp;" Trk-Mi?    ")</f>
        <v/>
      </c>
      <c r="AH105" s="284"/>
      <c r="AI105" s="278" t="str">
        <f>IF(OR($R105="",AH$11=""),"","0 - "&amp;TEXT($R105-$AP105,"0.0")&amp;" Trk-Mi?    ")</f>
        <v/>
      </c>
      <c r="AJ105" s="284"/>
      <c r="AK105" s="278" t="str">
        <f>IF(OR($R105="",AJ$11=""),"","0 - "&amp;TEXT($R105-$AP105,"0.0")&amp;" Trk-Mi?    ")</f>
        <v/>
      </c>
      <c r="AL105" s="284"/>
      <c r="AM105" s="278" t="str">
        <f>IF(OR($R105="",AL$11=""),"","0 - "&amp;TEXT($R105-$AP105,"0.0")&amp;" Trk-Mi?    ")</f>
        <v/>
      </c>
      <c r="AN105" s="284"/>
      <c r="AO105" s="278" t="str">
        <f>IF(OR($R105="",AN$11=""),"","0 - "&amp;TEXT($R105-$AP105,"0.0")&amp;" Trk-Mi?    ")</f>
        <v/>
      </c>
      <c r="AP105" s="282">
        <f>SUM(V105,X105,Z105,AB105,AD105,AF105,AH105,AJ105,AL105,AN105)</f>
        <v>0</v>
      </c>
      <c r="AQ105" s="278"/>
      <c r="AR105" s="234"/>
      <c r="AS105" s="107"/>
      <c r="AT105" s="107"/>
      <c r="AU105" s="107"/>
      <c r="AW105" s="107" t="str">
        <f>IF(AND($C105="",$H105="",$J105="",$L105="",$N105="",$P105="",$R105=""),"B","NB")</f>
        <v>B</v>
      </c>
      <c r="AX105" s="241" t="str">
        <f>IF(OR($C105="",$H105="",$J105="",$L105="",$N105="",$R105="",$P105="",AND($V$11&lt;&gt;"",$V105=""),AND($X$11&lt;&gt;"",$X105=""),AND($Z$11&lt;&gt;"",$Z105=""),AND($AB$11&lt;&gt;"",$AB105=""),AND($AD$11&lt;&gt;"",$AD105=""),AND($AF$11&lt;&gt;"",$AF105=""),AND($AH$11&lt;&gt;"",$AH105=""),AND($AJ$11&lt;&gt;"",$AJ105=""),AND($AL$11&lt;&gt;"",$AL105=""),AND($AN$11&lt;&gt;"",$AN105="")),"N","Y")</f>
        <v>N</v>
      </c>
      <c r="AY105" s="142" t="b">
        <f>IF(AND($C105="",OR($H105&lt;&gt;"",$J105&lt;&gt;"",$L105&lt;&gt;"",$N105&lt;&gt;"",$R105&lt;&gt;"",$P105&lt;&gt;"",AND($V$11&lt;&gt;"",$V105&lt;&gt;""),AND($X$11&lt;&gt;"",$X105&lt;&gt;""),AND($Z$11&lt;&gt;"",$Z105&lt;&gt;""),AND($AB$11&lt;&gt;"",$AB105&lt;&gt;""),AND($AD$11&lt;&gt;"",$AD105&lt;&gt;""),AND($AF$11&lt;&gt;"",$AF105&lt;&gt;""),AND($AH$11&lt;&gt;"",$AH105&lt;&gt;""),AND($AJ$11&lt;&gt;"",$AJ105&lt;&gt;""),AND($AL$11&lt;&gt;"",$AL105&lt;&gt;""),AND($AN$11&lt;&gt;"",$AN105&lt;&gt;""))),TRUE,FALSE)</f>
        <v>0</v>
      </c>
      <c r="AZ105" s="144" t="b">
        <f>IF(AND($C105&lt;&gt;"",$H105=""),TRUE,FALSE)</f>
        <v>0</v>
      </c>
      <c r="BA105" s="144" t="b">
        <f>IF(AND($C105&lt;&gt;"",$J105=""),TRUE,FALSE)</f>
        <v>0</v>
      </c>
      <c r="BB105" s="144" t="b">
        <f>IF(AND($C105&lt;&gt;"",$L105=""),TRUE,FALSE)</f>
        <v>0</v>
      </c>
      <c r="BC105" s="144" t="b">
        <f>IF(AND($C105&lt;&gt;"",$N105=""),TRUE,FALSE)</f>
        <v>0</v>
      </c>
      <c r="BD105" s="142" t="b">
        <f>IF($BE105=TRUE,FALSE,IF(OR($P105&lt;$BD$5,$P105&gt;$BE$5),TRUE,FALSE))</f>
        <v>0</v>
      </c>
      <c r="BE105" s="144" t="b">
        <f>IF(AND($C105&lt;&gt;"",$P105=""),TRUE,FALSE)</f>
        <v>0</v>
      </c>
      <c r="BF105" s="144" t="b">
        <f>IF($BG105=TRUE,FALSE,IF(OR($R105&lt;$BF$5,$R105&gt;$BG$5),TRUE,FALSE))</f>
        <v>0</v>
      </c>
      <c r="BG105" s="144" t="b">
        <f>IF(AND($C105&lt;&gt;"",$R105=""),TRUE,FALSE)</f>
        <v>0</v>
      </c>
      <c r="BH105" s="160" t="b">
        <f>IF(BI105=TRUE,FALSE,IF(AND(V105&lt;&gt;"",V$11=""),TRUE,IF(AND(V105&lt;&gt;"",V$11&lt;&gt;"",$R105&lt;&gt;$AP105),TRUE,IF(OR(V105&lt;0,V105&gt;$R105),TRUE,FALSE))))</f>
        <v>0</v>
      </c>
      <c r="BI105" s="144" t="b">
        <f>IF(AND($C105&lt;&gt;"",V$11&lt;&gt;"",$V105=""),TRUE,FALSE)</f>
        <v>0</v>
      </c>
      <c r="BJ105" s="160" t="b">
        <f>IF(BK105=TRUE,FALSE,IF(AND(X105&lt;&gt;"",X$11=""),TRUE,IF(AND(X105&lt;&gt;"",X$11&lt;&gt;"",$R105&lt;&gt;$AP105),TRUE,IF(OR(X105&lt;0,X105&gt;$R105),TRUE,FALSE))))</f>
        <v>0</v>
      </c>
      <c r="BK105" s="144" t="b">
        <f>IF(AND($C105&lt;&gt;"",X$11&lt;&gt;"",$X105=""),TRUE,FALSE)</f>
        <v>0</v>
      </c>
      <c r="BL105" s="160" t="b">
        <f>IF(BM105=TRUE,FALSE,IF(AND(Z105&lt;&gt;"",Z$11=""),TRUE,IF(AND(Z105&lt;&gt;"",Z$11&lt;&gt;"",$R105&lt;&gt;$AP105),TRUE,IF(OR(Z105&lt;0,Z105&gt;$R105),TRUE,FALSE))))</f>
        <v>0</v>
      </c>
      <c r="BM105" s="144" t="b">
        <f>IF(AND($C105&lt;&gt;"",Z$11&lt;&gt;"",$Z105=""),TRUE,FALSE)</f>
        <v>0</v>
      </c>
      <c r="BN105" s="160" t="b">
        <f>IF(BO105=TRUE,FALSE,IF(AND(AB105&lt;&gt;"",AB$11=""),TRUE,IF(AND(AB105&lt;&gt;"",AB$11&lt;&gt;"",$R105&lt;&gt;$AP105),TRUE,IF(OR(AB105&lt;0,AB105&gt;$R105),TRUE,FALSE))))</f>
        <v>0</v>
      </c>
      <c r="BO105" s="144" t="b">
        <f>IF(AND($C105&lt;&gt;"",AB$11&lt;&gt;"",$AB105=""),TRUE,FALSE)</f>
        <v>0</v>
      </c>
      <c r="BP105" s="160" t="b">
        <f>IF(BQ105=TRUE,FALSE,IF(AND(AD105&lt;&gt;"",AD$11=""),TRUE,IF(AND(AD105&lt;&gt;"",AD$11&lt;&gt;"",$R105&lt;&gt;$AP105),TRUE,IF(OR(AD105&lt;0,AD105&gt;$R105),TRUE,FALSE))))</f>
        <v>0</v>
      </c>
      <c r="BQ105" s="144" t="b">
        <f>IF(AND($C105&lt;&gt;"",AD$11&lt;&gt;"",$AD105=""),TRUE,FALSE)</f>
        <v>0</v>
      </c>
      <c r="BR105" s="160" t="b">
        <f>IF(BS105=TRUE,FALSE,IF(AND(AF105&lt;&gt;"",AF$11=""),TRUE,IF(AND(AF105&lt;&gt;"",AF$11&lt;&gt;"",$R105&lt;&gt;$AP105),TRUE,IF(OR(AF105&lt;0,AF105&gt;$R105),TRUE,FALSE))))</f>
        <v>0</v>
      </c>
      <c r="BS105" s="144" t="b">
        <f>IF(AND($C105&lt;&gt;"",AF$11&lt;&gt;"",$AF105=""),TRUE,FALSE)</f>
        <v>0</v>
      </c>
      <c r="BT105" s="160" t="b">
        <f>IF(BU105=TRUE,FALSE,IF(AND(AH105&lt;&gt;"",AH$11=""),TRUE,IF(AND(AH105&lt;&gt;"",AH$11&lt;&gt;"",$R105&lt;&gt;$AP105),TRUE,IF(OR(AH105&lt;0,AH105&gt;$R105),TRUE,FALSE))))</f>
        <v>0</v>
      </c>
      <c r="BU105" s="144" t="b">
        <f>IF(AND($C105&lt;&gt;"",AH$11&lt;&gt;"",$AH105=""),TRUE,FALSE)</f>
        <v>0</v>
      </c>
      <c r="BV105" s="160" t="b">
        <f>IF(BW105=TRUE,FALSE,IF(AND(AJ105&lt;&gt;"",AJ$11=""),TRUE,IF(AND(AJ105&lt;&gt;"",AJ$11&lt;&gt;"",$R105&lt;&gt;$AP105),TRUE,IF(OR(AJ105&lt;0,AJ105&gt;$R105),TRUE,FALSE))))</f>
        <v>0</v>
      </c>
      <c r="BW105" s="144" t="b">
        <f>IF(AND($C105&lt;&gt;"",AJ$11&lt;&gt;"",$AJ105=""),TRUE,FALSE)</f>
        <v>0</v>
      </c>
      <c r="BX105" s="160" t="b">
        <f>IF(BY105=TRUE,FALSE,IF(AND(AL105&lt;&gt;"",AL$11=""),TRUE,IF(AND(AL105&lt;&gt;"",AL$11&lt;&gt;"",$R105&lt;&gt;$AP105),TRUE,IF(OR(AL105&lt;0,AL105&gt;$R105),TRUE,FALSE))))</f>
        <v>0</v>
      </c>
      <c r="BY105" s="144" t="b">
        <f>IF(AND($C105&lt;&gt;"",AL$11&lt;&gt;"",$AL105=""),TRUE,FALSE)</f>
        <v>0</v>
      </c>
      <c r="BZ105" s="160" t="b">
        <f>IF(CA105=TRUE,FALSE,IF(AND(AN105&lt;&gt;"",AN$11=""),TRUE,IF(AND(AN105&lt;&gt;"",AN$11&lt;&gt;"",$R105&lt;&gt;$AP105),TRUE,IF(OR(AN105&lt;0,AN105&gt;$R105),TRUE,FALSE))))</f>
        <v>0</v>
      </c>
      <c r="CA105" s="144" t="b">
        <f>IF(AND($C105&lt;&gt;"",AN$11&lt;&gt;"",$AN105=""),TRUE,FALSE)</f>
        <v>0</v>
      </c>
      <c r="CB105" s="133"/>
      <c r="CC105" s="133"/>
      <c r="CD105" s="133"/>
      <c r="CE105" s="133"/>
      <c r="CF105" s="133"/>
      <c r="CG105" s="133"/>
      <c r="CH105" s="133"/>
      <c r="CI105" s="133"/>
      <c r="CJ105" s="133"/>
      <c r="CK105" s="133"/>
      <c r="CL105" s="133"/>
      <c r="CM105" s="133"/>
      <c r="CN105" s="133"/>
      <c r="CO105" s="133"/>
      <c r="CP105" s="133"/>
      <c r="CQ105" s="133"/>
      <c r="CR105" s="133"/>
      <c r="CS105" s="133"/>
      <c r="CT105" s="133"/>
      <c r="CU105" s="133"/>
      <c r="CV105" s="133"/>
      <c r="CW105" s="134"/>
    </row>
    <row r="106" spans="1:101" ht="6.75" customHeight="1" thickBot="1" x14ac:dyDescent="0.25">
      <c r="A106" s="228"/>
      <c r="B106" s="228"/>
      <c r="C106" s="232"/>
      <c r="D106" s="267"/>
      <c r="I106" s="267"/>
      <c r="K106" s="228"/>
      <c r="M106" s="267"/>
      <c r="O106" s="267"/>
      <c r="Q106" s="267"/>
      <c r="S106" s="267"/>
      <c r="U106" s="267"/>
      <c r="V106" s="283"/>
      <c r="W106" s="267"/>
      <c r="X106" s="283"/>
      <c r="Y106" s="267"/>
      <c r="Z106" s="283"/>
      <c r="AA106" s="267"/>
      <c r="AB106" s="283"/>
      <c r="AC106" s="267"/>
      <c r="AD106" s="283"/>
      <c r="AE106" s="267"/>
      <c r="AF106" s="283"/>
      <c r="AG106" s="267"/>
      <c r="AH106" s="283"/>
      <c r="AI106" s="267"/>
      <c r="AJ106" s="283"/>
      <c r="AK106" s="267"/>
      <c r="AL106" s="283"/>
      <c r="AM106" s="267"/>
      <c r="AN106" s="283"/>
      <c r="AO106" s="267"/>
      <c r="AP106" s="267"/>
      <c r="AQ106" s="267"/>
      <c r="AR106" s="232"/>
      <c r="AY106" s="145"/>
      <c r="AZ106" s="146"/>
      <c r="BA106" s="146"/>
      <c r="BB106" s="146"/>
      <c r="BC106" s="146"/>
      <c r="BD106" s="145"/>
      <c r="BE106" s="146"/>
      <c r="BF106" s="146"/>
      <c r="BG106" s="146"/>
      <c r="BH106" s="145"/>
      <c r="BI106" s="146"/>
      <c r="BJ106" s="145"/>
      <c r="BK106" s="146"/>
      <c r="BL106" s="145"/>
      <c r="BM106" s="146"/>
      <c r="BN106" s="145"/>
      <c r="BO106" s="146"/>
      <c r="BP106" s="145"/>
      <c r="BQ106" s="146"/>
      <c r="BR106" s="145"/>
      <c r="BS106" s="146"/>
      <c r="BT106" s="145"/>
      <c r="BU106" s="146"/>
      <c r="BV106" s="145"/>
      <c r="BW106" s="146"/>
      <c r="BX106" s="145"/>
      <c r="BY106" s="146"/>
      <c r="BZ106" s="145"/>
      <c r="CA106" s="146"/>
    </row>
    <row r="107" spans="1:101" s="101" customFormat="1" ht="12.75" customHeight="1" x14ac:dyDescent="0.2">
      <c r="A107" s="227">
        <f>A105+1</f>
        <v>46</v>
      </c>
      <c r="B107" s="227"/>
      <c r="C107" s="231"/>
      <c r="D107" s="251" t="str">
        <f>IF((C107=""),"Enter Segment "&amp;TEXT(A107,0)&amp;" Name, then Enter Data in Columns "&amp;TEXT($H$2,0)&amp;" - "&amp;TEXT($AN$2,0)&amp;"       ","")</f>
        <v xml:space="preserve">Enter Segment 46 Name, then Enter Data in Columns h - an       </v>
      </c>
      <c r="E107" s="131" t="str">
        <f>IF($AW107="B","N/A",IF(AX107="N","No",IF(AX107="Y","Yes","")))</f>
        <v>N/A</v>
      </c>
      <c r="F107" s="130"/>
      <c r="G107" s="130"/>
      <c r="H107" s="285"/>
      <c r="I107" s="251" t="str">
        <f>IF($C107&lt;&gt;"","Enter Starting Point       ","")</f>
        <v/>
      </c>
      <c r="J107" s="285"/>
      <c r="K107" s="227"/>
      <c r="L107" s="88"/>
      <c r="M107" s="251" t="str">
        <f>IF($C107&lt;&gt;"","Select from Pull-Down List  ","")</f>
        <v/>
      </c>
      <c r="N107" s="88"/>
      <c r="O107" s="251" t="str">
        <f>IF($C107&lt;&gt;"","Select from Pull-Down List  ","")</f>
        <v/>
      </c>
      <c r="P107" s="131"/>
      <c r="Q107" s="251" t="str">
        <f>IF($C107&lt;&gt;"","Dir. Route-Mi?    ","")</f>
        <v/>
      </c>
      <c r="R107" s="131"/>
      <c r="S107" s="251" t="str">
        <f>IF($C107&lt;&gt;"","Trk-Mi?      ","")</f>
        <v/>
      </c>
      <c r="T107" s="131"/>
      <c r="U107" s="251" t="str">
        <f>IF($C107&lt;&gt;"","Trk-Mi?      ","")</f>
        <v/>
      </c>
      <c r="V107" s="284"/>
      <c r="W107" s="278" t="str">
        <f>IF(OR($R107="",V$11=""),"","0 - "&amp;TEXT($R107-$AP107,"0.0")&amp;" Trk-Mi?    ")</f>
        <v/>
      </c>
      <c r="X107" s="284"/>
      <c r="Y107" s="278" t="str">
        <f>IF(OR($R107="",X$11=""),"","0 - "&amp;TEXT($R107-$AP107,"0.0")&amp;" Trk-Mi?    ")</f>
        <v/>
      </c>
      <c r="Z107" s="284"/>
      <c r="AA107" s="278" t="str">
        <f>IF(OR($R107="",Z$11=""),"","0 - "&amp;TEXT($R107-$AP107,"0.0")&amp;" Trk-Mi?    ")</f>
        <v/>
      </c>
      <c r="AB107" s="284"/>
      <c r="AC107" s="278" t="str">
        <f>IF(OR($R107="",AB$11=""),"","0 - "&amp;TEXT($R107-$AP107,"0.0")&amp;" Trk-Mi?    ")</f>
        <v/>
      </c>
      <c r="AD107" s="284"/>
      <c r="AE107" s="278" t="str">
        <f>IF(OR($R107="",AD$11=""),"","0 - "&amp;TEXT($R107-$AP107,"0.0")&amp;" Trk-Mi?    ")</f>
        <v/>
      </c>
      <c r="AF107" s="284"/>
      <c r="AG107" s="278" t="str">
        <f>IF(OR($R107="",AF$11=""),"","0 - "&amp;TEXT($R107-$AP107,"0.0")&amp;" Trk-Mi?    ")</f>
        <v/>
      </c>
      <c r="AH107" s="284"/>
      <c r="AI107" s="278" t="str">
        <f>IF(OR($R107="",AH$11=""),"","0 - "&amp;TEXT($R107-$AP107,"0.0")&amp;" Trk-Mi?    ")</f>
        <v/>
      </c>
      <c r="AJ107" s="284"/>
      <c r="AK107" s="278" t="str">
        <f>IF(OR($R107="",AJ$11=""),"","0 - "&amp;TEXT($R107-$AP107,"0.0")&amp;" Trk-Mi?    ")</f>
        <v/>
      </c>
      <c r="AL107" s="284"/>
      <c r="AM107" s="278" t="str">
        <f>IF(OR($R107="",AL$11=""),"","0 - "&amp;TEXT($R107-$AP107,"0.0")&amp;" Trk-Mi?    ")</f>
        <v/>
      </c>
      <c r="AN107" s="284"/>
      <c r="AO107" s="278" t="str">
        <f>IF(OR($R107="",AN$11=""),"","0 - "&amp;TEXT($R107-$AP107,"0.0")&amp;" Trk-Mi?    ")</f>
        <v/>
      </c>
      <c r="AP107" s="282">
        <f>SUM(V107,X107,Z107,AB107,AD107,AF107,AH107,AJ107,AL107,AN107)</f>
        <v>0</v>
      </c>
      <c r="AQ107" s="278"/>
      <c r="AR107" s="234"/>
      <c r="AS107" s="107"/>
      <c r="AT107" s="107"/>
      <c r="AU107" s="107"/>
      <c r="AW107" s="107" t="str">
        <f>IF(AND($C107="",$H107="",$J107="",$L107="",$N107="",$P107="",$R107=""),"B","NB")</f>
        <v>B</v>
      </c>
      <c r="AX107" s="241" t="str">
        <f>IF(OR($C107="",$H107="",$J107="",$L107="",$N107="",$R107="",$P107="",AND($V$11&lt;&gt;"",$V107=""),AND($X$11&lt;&gt;"",$X107=""),AND($Z$11&lt;&gt;"",$Z107=""),AND($AB$11&lt;&gt;"",$AB107=""),AND($AD$11&lt;&gt;"",$AD107=""),AND($AF$11&lt;&gt;"",$AF107=""),AND($AH$11&lt;&gt;"",$AH107=""),AND($AJ$11&lt;&gt;"",$AJ107=""),AND($AL$11&lt;&gt;"",$AL107=""),AND($AN$11&lt;&gt;"",$AN107="")),"N","Y")</f>
        <v>N</v>
      </c>
      <c r="AY107" s="142" t="b">
        <f>IF(AND($C107="",OR($H107&lt;&gt;"",$J107&lt;&gt;"",$L107&lt;&gt;"",$N107&lt;&gt;"",$R107&lt;&gt;"",$P107&lt;&gt;"",AND($V$11&lt;&gt;"",$V107&lt;&gt;""),AND($X$11&lt;&gt;"",$X107&lt;&gt;""),AND($Z$11&lt;&gt;"",$Z107&lt;&gt;""),AND($AB$11&lt;&gt;"",$AB107&lt;&gt;""),AND($AD$11&lt;&gt;"",$AD107&lt;&gt;""),AND($AF$11&lt;&gt;"",$AF107&lt;&gt;""),AND($AH$11&lt;&gt;"",$AH107&lt;&gt;""),AND($AJ$11&lt;&gt;"",$AJ107&lt;&gt;""),AND($AL$11&lt;&gt;"",$AL107&lt;&gt;""),AND($AN$11&lt;&gt;"",$AN107&lt;&gt;""))),TRUE,FALSE)</f>
        <v>0</v>
      </c>
      <c r="AZ107" s="144" t="b">
        <f>IF(AND($C107&lt;&gt;"",$H107=""),TRUE,FALSE)</f>
        <v>0</v>
      </c>
      <c r="BA107" s="144" t="b">
        <f>IF(AND($C107&lt;&gt;"",$J107=""),TRUE,FALSE)</f>
        <v>0</v>
      </c>
      <c r="BB107" s="144" t="b">
        <f>IF(AND($C107&lt;&gt;"",$L107=""),TRUE,FALSE)</f>
        <v>0</v>
      </c>
      <c r="BC107" s="144" t="b">
        <f>IF(AND($C107&lt;&gt;"",$N107=""),TRUE,FALSE)</f>
        <v>0</v>
      </c>
      <c r="BD107" s="142" t="b">
        <f>IF($BE107=TRUE,FALSE,IF(OR($P107&lt;$BD$5,$P107&gt;$BE$5),TRUE,FALSE))</f>
        <v>0</v>
      </c>
      <c r="BE107" s="144" t="b">
        <f>IF(AND($C107&lt;&gt;"",$P107=""),TRUE,FALSE)</f>
        <v>0</v>
      </c>
      <c r="BF107" s="144" t="b">
        <f>IF($BG107=TRUE,FALSE,IF(OR($R107&lt;$BF$5,$R107&gt;$BG$5),TRUE,FALSE))</f>
        <v>0</v>
      </c>
      <c r="BG107" s="144" t="b">
        <f>IF(AND($C107&lt;&gt;"",$R107=""),TRUE,FALSE)</f>
        <v>0</v>
      </c>
      <c r="BH107" s="160" t="b">
        <f>IF(BI107=TRUE,FALSE,IF(AND(V107&lt;&gt;"",V$11=""),TRUE,IF(AND(V107&lt;&gt;"",V$11&lt;&gt;"",$R107&lt;&gt;$AP107),TRUE,IF(OR(V107&lt;0,V107&gt;$R107),TRUE,FALSE))))</f>
        <v>0</v>
      </c>
      <c r="BI107" s="144" t="b">
        <f>IF(AND($C107&lt;&gt;"",V$11&lt;&gt;"",$V107=""),TRUE,FALSE)</f>
        <v>0</v>
      </c>
      <c r="BJ107" s="160" t="b">
        <f>IF(BK107=TRUE,FALSE,IF(AND(X107&lt;&gt;"",X$11=""),TRUE,IF(AND(X107&lt;&gt;"",X$11&lt;&gt;"",$R107&lt;&gt;$AP107),TRUE,IF(OR(X107&lt;0,X107&gt;$R107),TRUE,FALSE))))</f>
        <v>0</v>
      </c>
      <c r="BK107" s="144" t="b">
        <f>IF(AND($C107&lt;&gt;"",X$11&lt;&gt;"",$X107=""),TRUE,FALSE)</f>
        <v>0</v>
      </c>
      <c r="BL107" s="160" t="b">
        <f>IF(BM107=TRUE,FALSE,IF(AND(Z107&lt;&gt;"",Z$11=""),TRUE,IF(AND(Z107&lt;&gt;"",Z$11&lt;&gt;"",$R107&lt;&gt;$AP107),TRUE,IF(OR(Z107&lt;0,Z107&gt;$R107),TRUE,FALSE))))</f>
        <v>0</v>
      </c>
      <c r="BM107" s="144" t="b">
        <f>IF(AND($C107&lt;&gt;"",Z$11&lt;&gt;"",$Z107=""),TRUE,FALSE)</f>
        <v>0</v>
      </c>
      <c r="BN107" s="160" t="b">
        <f>IF(BO107=TRUE,FALSE,IF(AND(AB107&lt;&gt;"",AB$11=""),TRUE,IF(AND(AB107&lt;&gt;"",AB$11&lt;&gt;"",$R107&lt;&gt;$AP107),TRUE,IF(OR(AB107&lt;0,AB107&gt;$R107),TRUE,FALSE))))</f>
        <v>0</v>
      </c>
      <c r="BO107" s="144" t="b">
        <f>IF(AND($C107&lt;&gt;"",AB$11&lt;&gt;"",$AB107=""),TRUE,FALSE)</f>
        <v>0</v>
      </c>
      <c r="BP107" s="160" t="b">
        <f>IF(BQ107=TRUE,FALSE,IF(AND(AD107&lt;&gt;"",AD$11=""),TRUE,IF(AND(AD107&lt;&gt;"",AD$11&lt;&gt;"",$R107&lt;&gt;$AP107),TRUE,IF(OR(AD107&lt;0,AD107&gt;$R107),TRUE,FALSE))))</f>
        <v>0</v>
      </c>
      <c r="BQ107" s="144" t="b">
        <f>IF(AND($C107&lt;&gt;"",AD$11&lt;&gt;"",$AD107=""),TRUE,FALSE)</f>
        <v>0</v>
      </c>
      <c r="BR107" s="160" t="b">
        <f>IF(BS107=TRUE,FALSE,IF(AND(AF107&lt;&gt;"",AF$11=""),TRUE,IF(AND(AF107&lt;&gt;"",AF$11&lt;&gt;"",$R107&lt;&gt;$AP107),TRUE,IF(OR(AF107&lt;0,AF107&gt;$R107),TRUE,FALSE))))</f>
        <v>0</v>
      </c>
      <c r="BS107" s="144" t="b">
        <f>IF(AND($C107&lt;&gt;"",AF$11&lt;&gt;"",$AF107=""),TRUE,FALSE)</f>
        <v>0</v>
      </c>
      <c r="BT107" s="160" t="b">
        <f>IF(BU107=TRUE,FALSE,IF(AND(AH107&lt;&gt;"",AH$11=""),TRUE,IF(AND(AH107&lt;&gt;"",AH$11&lt;&gt;"",$R107&lt;&gt;$AP107),TRUE,IF(OR(AH107&lt;0,AH107&gt;$R107),TRUE,FALSE))))</f>
        <v>0</v>
      </c>
      <c r="BU107" s="144" t="b">
        <f>IF(AND($C107&lt;&gt;"",AH$11&lt;&gt;"",$AH107=""),TRUE,FALSE)</f>
        <v>0</v>
      </c>
      <c r="BV107" s="160" t="b">
        <f>IF(BW107=TRUE,FALSE,IF(AND(AJ107&lt;&gt;"",AJ$11=""),TRUE,IF(AND(AJ107&lt;&gt;"",AJ$11&lt;&gt;"",$R107&lt;&gt;$AP107),TRUE,IF(OR(AJ107&lt;0,AJ107&gt;$R107),TRUE,FALSE))))</f>
        <v>0</v>
      </c>
      <c r="BW107" s="144" t="b">
        <f>IF(AND($C107&lt;&gt;"",AJ$11&lt;&gt;"",$AJ107=""),TRUE,FALSE)</f>
        <v>0</v>
      </c>
      <c r="BX107" s="160" t="b">
        <f>IF(BY107=TRUE,FALSE,IF(AND(AL107&lt;&gt;"",AL$11=""),TRUE,IF(AND(AL107&lt;&gt;"",AL$11&lt;&gt;"",$R107&lt;&gt;$AP107),TRUE,IF(OR(AL107&lt;0,AL107&gt;$R107),TRUE,FALSE))))</f>
        <v>0</v>
      </c>
      <c r="BY107" s="144" t="b">
        <f>IF(AND($C107&lt;&gt;"",AL$11&lt;&gt;"",$AL107=""),TRUE,FALSE)</f>
        <v>0</v>
      </c>
      <c r="BZ107" s="160" t="b">
        <f>IF(CA107=TRUE,FALSE,IF(AND(AN107&lt;&gt;"",AN$11=""),TRUE,IF(AND(AN107&lt;&gt;"",AN$11&lt;&gt;"",$R107&lt;&gt;$AP107),TRUE,IF(OR(AN107&lt;0,AN107&gt;$R107),TRUE,FALSE))))</f>
        <v>0</v>
      </c>
      <c r="CA107" s="144" t="b">
        <f>IF(AND($C107&lt;&gt;"",AN$11&lt;&gt;"",$AN107=""),TRUE,FALSE)</f>
        <v>0</v>
      </c>
      <c r="CB107" s="133"/>
      <c r="CC107" s="133"/>
      <c r="CD107" s="133"/>
      <c r="CE107" s="133"/>
      <c r="CF107" s="133"/>
      <c r="CG107" s="133"/>
      <c r="CH107" s="133"/>
      <c r="CI107" s="133"/>
      <c r="CJ107" s="133"/>
      <c r="CK107" s="133"/>
      <c r="CL107" s="133"/>
      <c r="CM107" s="133"/>
      <c r="CN107" s="133"/>
      <c r="CO107" s="133"/>
      <c r="CP107" s="133"/>
      <c r="CQ107" s="133"/>
      <c r="CR107" s="133"/>
      <c r="CS107" s="133"/>
      <c r="CT107" s="133"/>
      <c r="CU107" s="133"/>
      <c r="CV107" s="133"/>
      <c r="CW107" s="134"/>
    </row>
    <row r="108" spans="1:101" ht="6.75" customHeight="1" thickBot="1" x14ac:dyDescent="0.25">
      <c r="A108" s="228"/>
      <c r="B108" s="228"/>
      <c r="C108" s="232"/>
      <c r="D108" s="267"/>
      <c r="I108" s="267"/>
      <c r="K108" s="228"/>
      <c r="M108" s="267"/>
      <c r="O108" s="267"/>
      <c r="Q108" s="267"/>
      <c r="S108" s="267"/>
      <c r="U108" s="267"/>
      <c r="V108" s="283"/>
      <c r="W108" s="267"/>
      <c r="X108" s="283"/>
      <c r="Y108" s="267"/>
      <c r="Z108" s="283"/>
      <c r="AA108" s="267"/>
      <c r="AB108" s="283"/>
      <c r="AC108" s="267"/>
      <c r="AD108" s="283"/>
      <c r="AE108" s="267"/>
      <c r="AF108" s="283"/>
      <c r="AG108" s="267"/>
      <c r="AH108" s="283"/>
      <c r="AI108" s="267"/>
      <c r="AJ108" s="283"/>
      <c r="AK108" s="267"/>
      <c r="AL108" s="283"/>
      <c r="AM108" s="267"/>
      <c r="AN108" s="283"/>
      <c r="AO108" s="267"/>
      <c r="AP108" s="267"/>
      <c r="AQ108" s="267"/>
      <c r="AR108" s="232"/>
      <c r="AY108" s="145"/>
      <c r="AZ108" s="146"/>
      <c r="BA108" s="146"/>
      <c r="BB108" s="146"/>
      <c r="BC108" s="146"/>
      <c r="BD108" s="145"/>
      <c r="BE108" s="146"/>
      <c r="BF108" s="146"/>
      <c r="BG108" s="146"/>
      <c r="BH108" s="145"/>
      <c r="BI108" s="146"/>
      <c r="BJ108" s="145"/>
      <c r="BK108" s="146"/>
      <c r="BL108" s="145"/>
      <c r="BM108" s="146"/>
      <c r="BN108" s="145"/>
      <c r="BO108" s="146"/>
      <c r="BP108" s="145"/>
      <c r="BQ108" s="146"/>
      <c r="BR108" s="145"/>
      <c r="BS108" s="146"/>
      <c r="BT108" s="145"/>
      <c r="BU108" s="146"/>
      <c r="BV108" s="145"/>
      <c r="BW108" s="146"/>
      <c r="BX108" s="145"/>
      <c r="BY108" s="146"/>
      <c r="BZ108" s="145"/>
      <c r="CA108" s="146"/>
    </row>
    <row r="109" spans="1:101" s="101" customFormat="1" ht="12.75" customHeight="1" x14ac:dyDescent="0.2">
      <c r="A109" s="227">
        <f>A107+1</f>
        <v>47</v>
      </c>
      <c r="B109" s="227"/>
      <c r="C109" s="231"/>
      <c r="D109" s="251" t="str">
        <f>IF((C109=""),"Enter Segment "&amp;TEXT(A109,0)&amp;" Name, then Enter Data in Columns "&amp;TEXT($H$2,0)&amp;" - "&amp;TEXT($AN$2,0)&amp;"       ","")</f>
        <v xml:space="preserve">Enter Segment 47 Name, then Enter Data in Columns h - an       </v>
      </c>
      <c r="E109" s="131" t="str">
        <f>IF($AW109="B","N/A",IF(AX109="N","No",IF(AX109="Y","Yes","")))</f>
        <v>N/A</v>
      </c>
      <c r="F109" s="130"/>
      <c r="G109" s="130"/>
      <c r="H109" s="285"/>
      <c r="I109" s="251" t="str">
        <f>IF($C109&lt;&gt;"","Enter Starting Point       ","")</f>
        <v/>
      </c>
      <c r="J109" s="285"/>
      <c r="K109" s="227"/>
      <c r="L109" s="88"/>
      <c r="M109" s="251" t="str">
        <f>IF($C109&lt;&gt;"","Select from Pull-Down List  ","")</f>
        <v/>
      </c>
      <c r="N109" s="88"/>
      <c r="O109" s="251" t="str">
        <f>IF($C109&lt;&gt;"","Select from Pull-Down List  ","")</f>
        <v/>
      </c>
      <c r="P109" s="131"/>
      <c r="Q109" s="251" t="str">
        <f>IF($C109&lt;&gt;"","Dir. Route-Mi?    ","")</f>
        <v/>
      </c>
      <c r="R109" s="131"/>
      <c r="S109" s="251" t="str">
        <f>IF($C109&lt;&gt;"","Trk-Mi?      ","")</f>
        <v/>
      </c>
      <c r="T109" s="131"/>
      <c r="U109" s="251" t="str">
        <f>IF($C109&lt;&gt;"","Trk-Mi?      ","")</f>
        <v/>
      </c>
      <c r="V109" s="284"/>
      <c r="W109" s="278" t="str">
        <f>IF(OR($R109="",V$11=""),"","0 - "&amp;TEXT($R109-$AP109,"0.0")&amp;" Trk-Mi?    ")</f>
        <v/>
      </c>
      <c r="X109" s="284"/>
      <c r="Y109" s="278" t="str">
        <f>IF(OR($R109="",X$11=""),"","0 - "&amp;TEXT($R109-$AP109,"0.0")&amp;" Trk-Mi?    ")</f>
        <v/>
      </c>
      <c r="Z109" s="284"/>
      <c r="AA109" s="278" t="str">
        <f>IF(OR($R109="",Z$11=""),"","0 - "&amp;TEXT($R109-$AP109,"0.0")&amp;" Trk-Mi?    ")</f>
        <v/>
      </c>
      <c r="AB109" s="284"/>
      <c r="AC109" s="278" t="str">
        <f>IF(OR($R109="",AB$11=""),"","0 - "&amp;TEXT($R109-$AP109,"0.0")&amp;" Trk-Mi?    ")</f>
        <v/>
      </c>
      <c r="AD109" s="284"/>
      <c r="AE109" s="278" t="str">
        <f>IF(OR($R109="",AD$11=""),"","0 - "&amp;TEXT($R109-$AP109,"0.0")&amp;" Trk-Mi?    ")</f>
        <v/>
      </c>
      <c r="AF109" s="284"/>
      <c r="AG109" s="278" t="str">
        <f>IF(OR($R109="",AF$11=""),"","0 - "&amp;TEXT($R109-$AP109,"0.0")&amp;" Trk-Mi?    ")</f>
        <v/>
      </c>
      <c r="AH109" s="284"/>
      <c r="AI109" s="278" t="str">
        <f>IF(OR($R109="",AH$11=""),"","0 - "&amp;TEXT($R109-$AP109,"0.0")&amp;" Trk-Mi?    ")</f>
        <v/>
      </c>
      <c r="AJ109" s="284"/>
      <c r="AK109" s="278" t="str">
        <f>IF(OR($R109="",AJ$11=""),"","0 - "&amp;TEXT($R109-$AP109,"0.0")&amp;" Trk-Mi?    ")</f>
        <v/>
      </c>
      <c r="AL109" s="284"/>
      <c r="AM109" s="278" t="str">
        <f>IF(OR($R109="",AL$11=""),"","0 - "&amp;TEXT($R109-$AP109,"0.0")&amp;" Trk-Mi?    ")</f>
        <v/>
      </c>
      <c r="AN109" s="284"/>
      <c r="AO109" s="278" t="str">
        <f>IF(OR($R109="",AN$11=""),"","0 - "&amp;TEXT($R109-$AP109,"0.0")&amp;" Trk-Mi?    ")</f>
        <v/>
      </c>
      <c r="AP109" s="282">
        <f>SUM(V109,X109,Z109,AB109,AD109,AF109,AH109,AJ109,AL109,AN109)</f>
        <v>0</v>
      </c>
      <c r="AQ109" s="278"/>
      <c r="AR109" s="234"/>
      <c r="AS109" s="107"/>
      <c r="AT109" s="107"/>
      <c r="AU109" s="107"/>
      <c r="AW109" s="107" t="str">
        <f>IF(AND($C109="",$H109="",$J109="",$L109="",$N109="",$P109="",$R109=""),"B","NB")</f>
        <v>B</v>
      </c>
      <c r="AX109" s="241" t="str">
        <f>IF(OR($C109="",$H109="",$J109="",$L109="",$N109="",$R109="",$P109="",AND($V$11&lt;&gt;"",$V109=""),AND($X$11&lt;&gt;"",$X109=""),AND($Z$11&lt;&gt;"",$Z109=""),AND($AB$11&lt;&gt;"",$AB109=""),AND($AD$11&lt;&gt;"",$AD109=""),AND($AF$11&lt;&gt;"",$AF109=""),AND($AH$11&lt;&gt;"",$AH109=""),AND($AJ$11&lt;&gt;"",$AJ109=""),AND($AL$11&lt;&gt;"",$AL109=""),AND($AN$11&lt;&gt;"",$AN109="")),"N","Y")</f>
        <v>N</v>
      </c>
      <c r="AY109" s="142" t="b">
        <f>IF(AND($C109="",OR($H109&lt;&gt;"",$J109&lt;&gt;"",$L109&lt;&gt;"",$N109&lt;&gt;"",$R109&lt;&gt;"",$P109&lt;&gt;"",AND($V$11&lt;&gt;"",$V109&lt;&gt;""),AND($X$11&lt;&gt;"",$X109&lt;&gt;""),AND($Z$11&lt;&gt;"",$Z109&lt;&gt;""),AND($AB$11&lt;&gt;"",$AB109&lt;&gt;""),AND($AD$11&lt;&gt;"",$AD109&lt;&gt;""),AND($AF$11&lt;&gt;"",$AF109&lt;&gt;""),AND($AH$11&lt;&gt;"",$AH109&lt;&gt;""),AND($AJ$11&lt;&gt;"",$AJ109&lt;&gt;""),AND($AL$11&lt;&gt;"",$AL109&lt;&gt;""),AND($AN$11&lt;&gt;"",$AN109&lt;&gt;""))),TRUE,FALSE)</f>
        <v>0</v>
      </c>
      <c r="AZ109" s="144" t="b">
        <f>IF(AND($C109&lt;&gt;"",$H109=""),TRUE,FALSE)</f>
        <v>0</v>
      </c>
      <c r="BA109" s="144" t="b">
        <f>IF(AND($C109&lt;&gt;"",$J109=""),TRUE,FALSE)</f>
        <v>0</v>
      </c>
      <c r="BB109" s="144" t="b">
        <f>IF(AND($C109&lt;&gt;"",$L109=""),TRUE,FALSE)</f>
        <v>0</v>
      </c>
      <c r="BC109" s="144" t="b">
        <f>IF(AND($C109&lt;&gt;"",$N109=""),TRUE,FALSE)</f>
        <v>0</v>
      </c>
      <c r="BD109" s="144" t="b">
        <f>IF($BE109=TRUE,FALSE,IF(OR($P109&lt;$BD$5,$P109&gt;$BE$5),TRUE,FALSE))</f>
        <v>0</v>
      </c>
      <c r="BE109" s="144" t="b">
        <f>IF(AND($C109&lt;&gt;"",$P109=""),TRUE,FALSE)</f>
        <v>0</v>
      </c>
      <c r="BF109" s="144" t="b">
        <f>IF($BG109=TRUE,FALSE,IF(OR($R109&lt;$BF$5,$R109&gt;$BG$5),TRUE,FALSE))</f>
        <v>0</v>
      </c>
      <c r="BG109" s="142" t="b">
        <f>IF(AND($C109&lt;&gt;"",$R109=""),TRUE,FALSE)</f>
        <v>0</v>
      </c>
      <c r="BH109" s="160" t="b">
        <f>IF(BI109=TRUE,FALSE,IF(AND(V109&lt;&gt;"",V$11=""),TRUE,IF(AND(V109&lt;&gt;"",V$11&lt;&gt;"",$R109&lt;&gt;$AP109),TRUE,IF(OR(V109&lt;0,V109&gt;$R109),TRUE,FALSE))))</f>
        <v>0</v>
      </c>
      <c r="BI109" s="144" t="b">
        <f>IF(AND($C109&lt;&gt;"",V$11&lt;&gt;"",$V109=""),TRUE,FALSE)</f>
        <v>0</v>
      </c>
      <c r="BJ109" s="160" t="b">
        <f>IF(BK109=TRUE,FALSE,IF(AND(X109&lt;&gt;"",X$11=""),TRUE,IF(AND(X109&lt;&gt;"",X$11&lt;&gt;"",$R109&lt;&gt;$AP109),TRUE,IF(OR(X109&lt;0,X109&gt;$R109),TRUE,FALSE))))</f>
        <v>0</v>
      </c>
      <c r="BK109" s="144" t="b">
        <f>IF(AND($C109&lt;&gt;"",X$11&lt;&gt;"",$X109=""),TRUE,FALSE)</f>
        <v>0</v>
      </c>
      <c r="BL109" s="160" t="b">
        <f>IF(BM109=TRUE,FALSE,IF(AND(Z109&lt;&gt;"",Z$11=""),TRUE,IF(AND(Z109&lt;&gt;"",Z$11&lt;&gt;"",$R109&lt;&gt;$AP109),TRUE,IF(OR(Z109&lt;0,Z109&gt;$R109),TRUE,FALSE))))</f>
        <v>0</v>
      </c>
      <c r="BM109" s="144" t="b">
        <f>IF(AND($C109&lt;&gt;"",Z$11&lt;&gt;"",$Z109=""),TRUE,FALSE)</f>
        <v>0</v>
      </c>
      <c r="BN109" s="160" t="b">
        <f>IF(BO109=TRUE,FALSE,IF(AND(AB109&lt;&gt;"",AB$11=""),TRUE,IF(AND(AB109&lt;&gt;"",AB$11&lt;&gt;"",$R109&lt;&gt;$AP109),TRUE,IF(OR(AB109&lt;0,AB109&gt;$R109),TRUE,FALSE))))</f>
        <v>0</v>
      </c>
      <c r="BO109" s="144" t="b">
        <f>IF(AND($C109&lt;&gt;"",AB$11&lt;&gt;"",$AB109=""),TRUE,FALSE)</f>
        <v>0</v>
      </c>
      <c r="BP109" s="160" t="b">
        <f>IF(BQ109=TRUE,FALSE,IF(AND(AD109&lt;&gt;"",AD$11=""),TRUE,IF(AND(AD109&lt;&gt;"",AD$11&lt;&gt;"",$R109&lt;&gt;$AP109),TRUE,IF(OR(AD109&lt;0,AD109&gt;$R109),TRUE,FALSE))))</f>
        <v>0</v>
      </c>
      <c r="BQ109" s="144" t="b">
        <f>IF(AND($C109&lt;&gt;"",AD$11&lt;&gt;"",$AD109=""),TRUE,FALSE)</f>
        <v>0</v>
      </c>
      <c r="BR109" s="160" t="b">
        <f>IF(BS109=TRUE,FALSE,IF(AND(AF109&lt;&gt;"",AF$11=""),TRUE,IF(AND(AF109&lt;&gt;"",AF$11&lt;&gt;"",$R109&lt;&gt;$AP109),TRUE,IF(OR(AF109&lt;0,AF109&gt;$R109),TRUE,FALSE))))</f>
        <v>0</v>
      </c>
      <c r="BS109" s="144" t="b">
        <f>IF(AND($C109&lt;&gt;"",AF$11&lt;&gt;"",$AF109=""),TRUE,FALSE)</f>
        <v>0</v>
      </c>
      <c r="BT109" s="160" t="b">
        <f>IF(BU109=TRUE,FALSE,IF(AND(AH109&lt;&gt;"",AH$11=""),TRUE,IF(AND(AH109&lt;&gt;"",AH$11&lt;&gt;"",$R109&lt;&gt;$AP109),TRUE,IF(OR(AH109&lt;0,AH109&gt;$R109),TRUE,FALSE))))</f>
        <v>0</v>
      </c>
      <c r="BU109" s="144" t="b">
        <f>IF(AND($C109&lt;&gt;"",AH$11&lt;&gt;"",$AH109=""),TRUE,FALSE)</f>
        <v>0</v>
      </c>
      <c r="BV109" s="160" t="b">
        <f>IF(BW109=TRUE,FALSE,IF(AND(AJ109&lt;&gt;"",AJ$11=""),TRUE,IF(AND(AJ109&lt;&gt;"",AJ$11&lt;&gt;"",$R109&lt;&gt;$AP109),TRUE,IF(OR(AJ109&lt;0,AJ109&gt;$R109),TRUE,FALSE))))</f>
        <v>0</v>
      </c>
      <c r="BW109" s="144" t="b">
        <f>IF(AND($C109&lt;&gt;"",AJ$11&lt;&gt;"",$AJ109=""),TRUE,FALSE)</f>
        <v>0</v>
      </c>
      <c r="BX109" s="160" t="b">
        <f>IF(BY109=TRUE,FALSE,IF(AND(AL109&lt;&gt;"",AL$11=""),TRUE,IF(AND(AL109&lt;&gt;"",AL$11&lt;&gt;"",$R109&lt;&gt;$AP109),TRUE,IF(OR(AL109&lt;0,AL109&gt;$R109),TRUE,FALSE))))</f>
        <v>0</v>
      </c>
      <c r="BY109" s="144" t="b">
        <f>IF(AND($C109&lt;&gt;"",AL$11&lt;&gt;"",$AL109=""),TRUE,FALSE)</f>
        <v>0</v>
      </c>
      <c r="BZ109" s="160" t="b">
        <f>IF(CA109=TRUE,FALSE,IF(AND(AN109&lt;&gt;"",AN$11=""),TRUE,IF(AND(AN109&lt;&gt;"",AN$11&lt;&gt;"",$R109&lt;&gt;$AP109),TRUE,IF(OR(AN109&lt;0,AN109&gt;$R109),TRUE,FALSE))))</f>
        <v>0</v>
      </c>
      <c r="CA109" s="144" t="b">
        <f>IF(AND($C109&lt;&gt;"",AN$11&lt;&gt;"",$AN109=""),TRUE,FALSE)</f>
        <v>0</v>
      </c>
      <c r="CB109" s="133"/>
      <c r="CC109" s="133"/>
      <c r="CD109" s="133"/>
      <c r="CE109" s="133"/>
      <c r="CF109" s="133"/>
      <c r="CG109" s="133"/>
      <c r="CH109" s="133"/>
      <c r="CI109" s="133"/>
      <c r="CJ109" s="133"/>
      <c r="CK109" s="133"/>
      <c r="CL109" s="133"/>
      <c r="CM109" s="133"/>
      <c r="CN109" s="133"/>
      <c r="CO109" s="133"/>
      <c r="CP109" s="133"/>
      <c r="CQ109" s="133"/>
      <c r="CR109" s="133"/>
      <c r="CS109" s="133"/>
      <c r="CT109" s="133"/>
      <c r="CU109" s="133"/>
      <c r="CV109" s="133"/>
      <c r="CW109" s="134"/>
    </row>
    <row r="110" spans="1:101" ht="6.75" customHeight="1" thickBot="1" x14ac:dyDescent="0.25">
      <c r="A110" s="228"/>
      <c r="B110" s="228"/>
      <c r="C110" s="232"/>
      <c r="D110" s="267"/>
      <c r="I110" s="267"/>
      <c r="K110" s="228"/>
      <c r="M110" s="267"/>
      <c r="O110" s="267"/>
      <c r="Q110" s="267"/>
      <c r="S110" s="267"/>
      <c r="U110" s="267"/>
      <c r="V110" s="283"/>
      <c r="W110" s="267"/>
      <c r="X110" s="283"/>
      <c r="Y110" s="267"/>
      <c r="Z110" s="283"/>
      <c r="AA110" s="267"/>
      <c r="AB110" s="283"/>
      <c r="AC110" s="267"/>
      <c r="AD110" s="283"/>
      <c r="AE110" s="267"/>
      <c r="AF110" s="283"/>
      <c r="AG110" s="267"/>
      <c r="AH110" s="283"/>
      <c r="AI110" s="267"/>
      <c r="AJ110" s="283"/>
      <c r="AK110" s="267"/>
      <c r="AL110" s="283"/>
      <c r="AM110" s="267"/>
      <c r="AN110" s="283"/>
      <c r="AO110" s="267"/>
      <c r="AP110" s="267"/>
      <c r="AQ110" s="267"/>
      <c r="AR110" s="232"/>
      <c r="AY110" s="145"/>
      <c r="AZ110" s="146"/>
      <c r="BA110" s="146"/>
      <c r="BB110" s="146"/>
      <c r="BC110" s="146"/>
      <c r="BD110" s="145"/>
      <c r="BE110" s="146"/>
      <c r="BF110" s="146"/>
      <c r="BG110" s="146"/>
      <c r="BH110" s="145"/>
      <c r="BI110" s="146"/>
      <c r="BJ110" s="145"/>
      <c r="BK110" s="146"/>
      <c r="BL110" s="145"/>
      <c r="BM110" s="146"/>
      <c r="BN110" s="145"/>
      <c r="BO110" s="146"/>
      <c r="BP110" s="145"/>
      <c r="BQ110" s="146"/>
      <c r="BR110" s="145"/>
      <c r="BS110" s="146"/>
      <c r="BT110" s="145"/>
      <c r="BU110" s="146"/>
      <c r="BV110" s="145"/>
      <c r="BW110" s="146"/>
      <c r="BX110" s="145"/>
      <c r="BY110" s="146"/>
      <c r="BZ110" s="145"/>
      <c r="CA110" s="146"/>
    </row>
    <row r="111" spans="1:101" s="101" customFormat="1" ht="12.75" customHeight="1" x14ac:dyDescent="0.2">
      <c r="A111" s="227">
        <f>A109+1</f>
        <v>48</v>
      </c>
      <c r="B111" s="227"/>
      <c r="C111" s="231"/>
      <c r="D111" s="251" t="str">
        <f>IF((C111=""),"Enter Segment "&amp;TEXT(A111,0)&amp;" Name, then Enter Data in Columns "&amp;TEXT($H$2,0)&amp;" - "&amp;TEXT($AN$2,0)&amp;"       ","")</f>
        <v xml:space="preserve">Enter Segment 48 Name, then Enter Data in Columns h - an       </v>
      </c>
      <c r="E111" s="131" t="str">
        <f>IF($AW111="B","N/A",IF(AX111="N","No",IF(AX111="Y","Yes","")))</f>
        <v>N/A</v>
      </c>
      <c r="F111" s="130"/>
      <c r="G111" s="130"/>
      <c r="H111" s="285"/>
      <c r="I111" s="251" t="str">
        <f>IF($C111&lt;&gt;"","Enter Starting Point       ","")</f>
        <v/>
      </c>
      <c r="J111" s="285"/>
      <c r="K111" s="227"/>
      <c r="L111" s="88"/>
      <c r="M111" s="251" t="str">
        <f>IF($C111&lt;&gt;"","Select from Pull-Down List  ","")</f>
        <v/>
      </c>
      <c r="N111" s="88"/>
      <c r="O111" s="251" t="str">
        <f>IF($C111&lt;&gt;"","Select from Pull-Down List  ","")</f>
        <v/>
      </c>
      <c r="P111" s="131"/>
      <c r="Q111" s="251" t="str">
        <f>IF($C111&lt;&gt;"","Dir. Route-Mi?    ","")</f>
        <v/>
      </c>
      <c r="R111" s="131"/>
      <c r="S111" s="251" t="str">
        <f>IF($C111&lt;&gt;"","Trk-Mi?      ","")</f>
        <v/>
      </c>
      <c r="T111" s="131"/>
      <c r="U111" s="251" t="str">
        <f>IF($C111&lt;&gt;"","Trk-Mi?      ","")</f>
        <v/>
      </c>
      <c r="V111" s="284"/>
      <c r="W111" s="278" t="str">
        <f>IF(OR($R111="",V$11=""),"","0 - "&amp;TEXT($R111-$AP111,"0.0")&amp;" Trk-Mi?    ")</f>
        <v/>
      </c>
      <c r="X111" s="284"/>
      <c r="Y111" s="278" t="str">
        <f>IF(OR($R111="",X$11=""),"","0 - "&amp;TEXT($R111-$AP111,"0.0")&amp;" Trk-Mi?    ")</f>
        <v/>
      </c>
      <c r="Z111" s="284"/>
      <c r="AA111" s="278" t="str">
        <f>IF(OR($R111="",Z$11=""),"","0 - "&amp;TEXT($R111-$AP111,"0.0")&amp;" Trk-Mi?    ")</f>
        <v/>
      </c>
      <c r="AB111" s="284"/>
      <c r="AC111" s="278" t="str">
        <f>IF(OR($R111="",AB$11=""),"","0 - "&amp;TEXT($R111-$AP111,"0.0")&amp;" Trk-Mi?    ")</f>
        <v/>
      </c>
      <c r="AD111" s="284"/>
      <c r="AE111" s="278" t="str">
        <f>IF(OR($R111="",AD$11=""),"","0 - "&amp;TEXT($R111-$AP111,"0.0")&amp;" Trk-Mi?    ")</f>
        <v/>
      </c>
      <c r="AF111" s="284"/>
      <c r="AG111" s="278" t="str">
        <f>IF(OR($R111="",AF$11=""),"","0 - "&amp;TEXT($R111-$AP111,"0.0")&amp;" Trk-Mi?    ")</f>
        <v/>
      </c>
      <c r="AH111" s="284"/>
      <c r="AI111" s="278" t="str">
        <f>IF(OR($R111="",AH$11=""),"","0 - "&amp;TEXT($R111-$AP111,"0.0")&amp;" Trk-Mi?    ")</f>
        <v/>
      </c>
      <c r="AJ111" s="284"/>
      <c r="AK111" s="278" t="str">
        <f>IF(OR($R111="",AJ$11=""),"","0 - "&amp;TEXT($R111-$AP111,"0.0")&amp;" Trk-Mi?    ")</f>
        <v/>
      </c>
      <c r="AL111" s="284"/>
      <c r="AM111" s="278" t="str">
        <f>IF(OR($R111="",AL$11=""),"","0 - "&amp;TEXT($R111-$AP111,"0.0")&amp;" Trk-Mi?    ")</f>
        <v/>
      </c>
      <c r="AN111" s="284"/>
      <c r="AO111" s="278" t="str">
        <f>IF(OR($R111="",AN$11=""),"","0 - "&amp;TEXT($R111-$AP111,"0.0")&amp;" Trk-Mi?    ")</f>
        <v/>
      </c>
      <c r="AP111" s="282">
        <f>SUM(V111,X111,Z111,AB111,AD111,AF111,AH111,AJ111,AL111,AN111)</f>
        <v>0</v>
      </c>
      <c r="AQ111" s="278"/>
      <c r="AR111" s="234"/>
      <c r="AS111" s="107"/>
      <c r="AT111" s="107"/>
      <c r="AU111" s="107"/>
      <c r="AW111" s="107" t="str">
        <f>IF(AND($C111="",$H111="",$J111="",$L111="",$N111="",$P111="",$R111=""),"B","NB")</f>
        <v>B</v>
      </c>
      <c r="AX111" s="241" t="str">
        <f>IF(OR($C111="",$H111="",$J111="",$L111="",$N111="",$R111="",$P111="",AND($V$11&lt;&gt;"",$V111=""),AND($X$11&lt;&gt;"",$X111=""),AND($Z$11&lt;&gt;"",$Z111=""),AND($AB$11&lt;&gt;"",$AB111=""),AND($AD$11&lt;&gt;"",$AD111=""),AND($AF$11&lt;&gt;"",$AF111=""),AND($AH$11&lt;&gt;"",$AH111=""),AND($AJ$11&lt;&gt;"",$AJ111=""),AND($AL$11&lt;&gt;"",$AL111=""),AND($AN$11&lt;&gt;"",$AN111="")),"N","Y")</f>
        <v>N</v>
      </c>
      <c r="AY111" s="142" t="b">
        <f>IF(AND($C111="",OR($H111&lt;&gt;"",$J111&lt;&gt;"",$L111&lt;&gt;"",$N111&lt;&gt;"",$R111&lt;&gt;"",$P111&lt;&gt;"",AND($V$11&lt;&gt;"",$V111&lt;&gt;""),AND($X$11&lt;&gt;"",$X111&lt;&gt;""),AND($Z$11&lt;&gt;"",$Z111&lt;&gt;""),AND($AB$11&lt;&gt;"",$AB111&lt;&gt;""),AND($AD$11&lt;&gt;"",$AD111&lt;&gt;""),AND($AF$11&lt;&gt;"",$AF111&lt;&gt;""),AND($AH$11&lt;&gt;"",$AH111&lt;&gt;""),AND($AJ$11&lt;&gt;"",$AJ111&lt;&gt;""),AND($AL$11&lt;&gt;"",$AL111&lt;&gt;""),AND($AN$11&lt;&gt;"",$AN111&lt;&gt;""))),TRUE,FALSE)</f>
        <v>0</v>
      </c>
      <c r="AZ111" s="144" t="b">
        <f>IF(AND($C111&lt;&gt;"",$H111=""),TRUE,FALSE)</f>
        <v>0</v>
      </c>
      <c r="BA111" s="144" t="b">
        <f>IF(AND($C111&lt;&gt;"",$J111=""),TRUE,FALSE)</f>
        <v>0</v>
      </c>
      <c r="BB111" s="144" t="b">
        <f>IF(AND($C111&lt;&gt;"",$L111=""),TRUE,FALSE)</f>
        <v>0</v>
      </c>
      <c r="BC111" s="144" t="b">
        <f>IF(AND($C111&lt;&gt;"",$N111=""),TRUE,FALSE)</f>
        <v>0</v>
      </c>
      <c r="BD111" s="142" t="b">
        <f>IF($BE111=TRUE,FALSE,IF(OR($P111&lt;$BD$5,$P111&gt;$BE$5),TRUE,FALSE))</f>
        <v>0</v>
      </c>
      <c r="BE111" s="144" t="b">
        <f>IF(AND($C111&lt;&gt;"",$P111=""),TRUE,FALSE)</f>
        <v>0</v>
      </c>
      <c r="BF111" s="144" t="b">
        <f>IF($BG111=TRUE,FALSE,IF(OR($R111&lt;$BF$5,$R111&gt;$BG$5),TRUE,FALSE))</f>
        <v>0</v>
      </c>
      <c r="BG111" s="144" t="b">
        <f>IF(AND($C111&lt;&gt;"",$R111=""),TRUE,FALSE)</f>
        <v>0</v>
      </c>
      <c r="BH111" s="160" t="b">
        <f>IF(BI111=TRUE,FALSE,IF(AND(V111&lt;&gt;"",V$11=""),TRUE,IF(AND(V111&lt;&gt;"",V$11&lt;&gt;"",$R111&lt;&gt;$AP111),TRUE,IF(OR(V111&lt;0,V111&gt;$R111),TRUE,FALSE))))</f>
        <v>0</v>
      </c>
      <c r="BI111" s="144" t="b">
        <f>IF(AND($C111&lt;&gt;"",V$11&lt;&gt;"",$V111=""),TRUE,FALSE)</f>
        <v>0</v>
      </c>
      <c r="BJ111" s="160" t="b">
        <f>IF(BK111=TRUE,FALSE,IF(AND(X111&lt;&gt;"",X$11=""),TRUE,IF(AND(X111&lt;&gt;"",X$11&lt;&gt;"",$R111&lt;&gt;$AP111),TRUE,IF(OR(X111&lt;0,X111&gt;$R111),TRUE,FALSE))))</f>
        <v>0</v>
      </c>
      <c r="BK111" s="144" t="b">
        <f>IF(AND($C111&lt;&gt;"",X$11&lt;&gt;"",$X111=""),TRUE,FALSE)</f>
        <v>0</v>
      </c>
      <c r="BL111" s="160" t="b">
        <f>IF(BM111=TRUE,FALSE,IF(AND(Z111&lt;&gt;"",Z$11=""),TRUE,IF(AND(Z111&lt;&gt;"",Z$11&lt;&gt;"",$R111&lt;&gt;$AP111),TRUE,IF(OR(Z111&lt;0,Z111&gt;$R111),TRUE,FALSE))))</f>
        <v>0</v>
      </c>
      <c r="BM111" s="144" t="b">
        <f>IF(AND($C111&lt;&gt;"",Z$11&lt;&gt;"",$Z111=""),TRUE,FALSE)</f>
        <v>0</v>
      </c>
      <c r="BN111" s="160" t="b">
        <f>IF(BO111=TRUE,FALSE,IF(AND(AB111&lt;&gt;"",AB$11=""),TRUE,IF(AND(AB111&lt;&gt;"",AB$11&lt;&gt;"",$R111&lt;&gt;$AP111),TRUE,IF(OR(AB111&lt;0,AB111&gt;$R111),TRUE,FALSE))))</f>
        <v>0</v>
      </c>
      <c r="BO111" s="144" t="b">
        <f>IF(AND($C111&lt;&gt;"",AB$11&lt;&gt;"",$AB111=""),TRUE,FALSE)</f>
        <v>0</v>
      </c>
      <c r="BP111" s="160" t="b">
        <f>IF(BQ111=TRUE,FALSE,IF(AND(AD111&lt;&gt;"",AD$11=""),TRUE,IF(AND(AD111&lt;&gt;"",AD$11&lt;&gt;"",$R111&lt;&gt;$AP111),TRUE,IF(OR(AD111&lt;0,AD111&gt;$R111),TRUE,FALSE))))</f>
        <v>0</v>
      </c>
      <c r="BQ111" s="144" t="b">
        <f>IF(AND($C111&lt;&gt;"",AD$11&lt;&gt;"",$AD111=""),TRUE,FALSE)</f>
        <v>0</v>
      </c>
      <c r="BR111" s="160" t="b">
        <f>IF(BS111=TRUE,FALSE,IF(AND(AF111&lt;&gt;"",AF$11=""),TRUE,IF(AND(AF111&lt;&gt;"",AF$11&lt;&gt;"",$R111&lt;&gt;$AP111),TRUE,IF(OR(AF111&lt;0,AF111&gt;$R111),TRUE,FALSE))))</f>
        <v>0</v>
      </c>
      <c r="BS111" s="144" t="b">
        <f>IF(AND($C111&lt;&gt;"",AF$11&lt;&gt;"",$AF111=""),TRUE,FALSE)</f>
        <v>0</v>
      </c>
      <c r="BT111" s="160" t="b">
        <f>IF(BU111=TRUE,FALSE,IF(AND(AH111&lt;&gt;"",AH$11=""),TRUE,IF(AND(AH111&lt;&gt;"",AH$11&lt;&gt;"",$R111&lt;&gt;$AP111),TRUE,IF(OR(AH111&lt;0,AH111&gt;$R111),TRUE,FALSE))))</f>
        <v>0</v>
      </c>
      <c r="BU111" s="144" t="b">
        <f>IF(AND($C111&lt;&gt;"",AH$11&lt;&gt;"",$AH111=""),TRUE,FALSE)</f>
        <v>0</v>
      </c>
      <c r="BV111" s="160" t="b">
        <f>IF(BW111=TRUE,FALSE,IF(AND(AJ111&lt;&gt;"",AJ$11=""),TRUE,IF(AND(AJ111&lt;&gt;"",AJ$11&lt;&gt;"",$R111&lt;&gt;$AP111),TRUE,IF(OR(AJ111&lt;0,AJ111&gt;$R111),TRUE,FALSE))))</f>
        <v>0</v>
      </c>
      <c r="BW111" s="144" t="b">
        <f>IF(AND($C111&lt;&gt;"",AJ$11&lt;&gt;"",$AJ111=""),TRUE,FALSE)</f>
        <v>0</v>
      </c>
      <c r="BX111" s="160" t="b">
        <f>IF(BY111=TRUE,FALSE,IF(AND(AL111&lt;&gt;"",AL$11=""),TRUE,IF(AND(AL111&lt;&gt;"",AL$11&lt;&gt;"",$R111&lt;&gt;$AP111),TRUE,IF(OR(AL111&lt;0,AL111&gt;$R111),TRUE,FALSE))))</f>
        <v>0</v>
      </c>
      <c r="BY111" s="144" t="b">
        <f>IF(AND($C111&lt;&gt;"",AL$11&lt;&gt;"",$AL111=""),TRUE,FALSE)</f>
        <v>0</v>
      </c>
      <c r="BZ111" s="160" t="b">
        <f>IF(CA111=TRUE,FALSE,IF(AND(AN111&lt;&gt;"",AN$11=""),TRUE,IF(AND(AN111&lt;&gt;"",AN$11&lt;&gt;"",$R111&lt;&gt;$AP111),TRUE,IF(OR(AN111&lt;0,AN111&gt;$R111),TRUE,FALSE))))</f>
        <v>0</v>
      </c>
      <c r="CA111" s="144" t="b">
        <f>IF(AND($C111&lt;&gt;"",AN$11&lt;&gt;"",$AN111=""),TRUE,FALSE)</f>
        <v>0</v>
      </c>
      <c r="CB111" s="133"/>
      <c r="CC111" s="133"/>
      <c r="CD111" s="133"/>
      <c r="CE111" s="133"/>
      <c r="CF111" s="133"/>
      <c r="CG111" s="133"/>
      <c r="CH111" s="133"/>
      <c r="CI111" s="133"/>
      <c r="CJ111" s="133"/>
      <c r="CK111" s="133"/>
      <c r="CL111" s="133"/>
      <c r="CM111" s="133"/>
      <c r="CN111" s="133"/>
      <c r="CO111" s="133"/>
      <c r="CP111" s="133"/>
      <c r="CQ111" s="133"/>
      <c r="CR111" s="133"/>
      <c r="CS111" s="133"/>
      <c r="CT111" s="133"/>
      <c r="CU111" s="133"/>
      <c r="CV111" s="133"/>
      <c r="CW111" s="134"/>
    </row>
    <row r="112" spans="1:101" ht="6.75" customHeight="1" thickBot="1" x14ac:dyDescent="0.25">
      <c r="A112" s="228"/>
      <c r="B112" s="228"/>
      <c r="C112" s="232"/>
      <c r="D112" s="251"/>
      <c r="E112" s="130"/>
      <c r="F112" s="130"/>
      <c r="G112" s="130"/>
      <c r="I112" s="251"/>
      <c r="K112" s="228"/>
      <c r="M112" s="251"/>
      <c r="O112" s="251"/>
      <c r="P112" s="130"/>
      <c r="Q112" s="251"/>
      <c r="R112" s="130"/>
      <c r="S112" s="251"/>
      <c r="T112" s="130"/>
      <c r="U112" s="251"/>
      <c r="V112" s="283"/>
      <c r="W112" s="278"/>
      <c r="X112" s="283"/>
      <c r="Y112" s="278"/>
      <c r="Z112" s="283"/>
      <c r="AA112" s="278"/>
      <c r="AB112" s="283"/>
      <c r="AC112" s="278"/>
      <c r="AD112" s="283"/>
      <c r="AE112" s="278"/>
      <c r="AF112" s="283"/>
      <c r="AG112" s="278"/>
      <c r="AH112" s="283"/>
      <c r="AI112" s="278"/>
      <c r="AJ112" s="283"/>
      <c r="AK112" s="278"/>
      <c r="AL112" s="283"/>
      <c r="AM112" s="278"/>
      <c r="AN112" s="283"/>
      <c r="AO112" s="278"/>
      <c r="AP112" s="105"/>
      <c r="AQ112" s="253"/>
      <c r="AR112" s="232"/>
      <c r="AY112" s="145"/>
      <c r="AZ112" s="146"/>
      <c r="BA112" s="146"/>
      <c r="BB112" s="146"/>
      <c r="BC112" s="146"/>
      <c r="BD112" s="145"/>
      <c r="BE112" s="146"/>
      <c r="BF112" s="146"/>
      <c r="BG112" s="146"/>
      <c r="BH112" s="145"/>
      <c r="BI112" s="146"/>
      <c r="BJ112" s="145"/>
      <c r="BK112" s="146"/>
      <c r="BL112" s="145"/>
      <c r="BM112" s="146"/>
      <c r="BN112" s="145"/>
      <c r="BO112" s="146"/>
      <c r="BP112" s="145"/>
      <c r="BQ112" s="146"/>
      <c r="BR112" s="145"/>
      <c r="BS112" s="146"/>
      <c r="BT112" s="145"/>
      <c r="BU112" s="146"/>
      <c r="BV112" s="145"/>
      <c r="BW112" s="146"/>
      <c r="BX112" s="145"/>
      <c r="BY112" s="146"/>
      <c r="BZ112" s="145"/>
      <c r="CA112" s="146"/>
    </row>
    <row r="113" spans="1:101" s="101" customFormat="1" ht="12.75" customHeight="1" x14ac:dyDescent="0.2">
      <c r="A113" s="227">
        <f>A111+1</f>
        <v>49</v>
      </c>
      <c r="B113" s="227"/>
      <c r="C113" s="231"/>
      <c r="D113" s="251" t="str">
        <f>IF((C113=""),"Enter Segment "&amp;TEXT(A113,0)&amp;" Name, then Enter Data in Columns "&amp;TEXT($H$2,0)&amp;" - "&amp;TEXT($AN$2,0)&amp;"       ","")</f>
        <v xml:space="preserve">Enter Segment 49 Name, then Enter Data in Columns h - an       </v>
      </c>
      <c r="E113" s="131" t="str">
        <f>IF($AW113="B","N/A",IF(AX113="N","No",IF(AX113="Y","Yes","")))</f>
        <v>N/A</v>
      </c>
      <c r="F113" s="130"/>
      <c r="G113" s="130"/>
      <c r="H113" s="285"/>
      <c r="I113" s="251" t="str">
        <f>IF($C113&lt;&gt;"","Enter Starting Point       ","")</f>
        <v/>
      </c>
      <c r="J113" s="285"/>
      <c r="K113" s="227"/>
      <c r="L113" s="88"/>
      <c r="M113" s="251" t="str">
        <f>IF($C113&lt;&gt;"","Select from Pull-Down List  ","")</f>
        <v/>
      </c>
      <c r="N113" s="88"/>
      <c r="O113" s="251" t="str">
        <f>IF($C113&lt;&gt;"","Select from Pull-Down List  ","")</f>
        <v/>
      </c>
      <c r="P113" s="131"/>
      <c r="Q113" s="251" t="str">
        <f>IF($C113&lt;&gt;"","Dir. Route-Mi?    ","")</f>
        <v/>
      </c>
      <c r="R113" s="131"/>
      <c r="S113" s="251" t="str">
        <f>IF($C113&lt;&gt;"","Trk-Mi?      ","")</f>
        <v/>
      </c>
      <c r="T113" s="131"/>
      <c r="U113" s="251" t="str">
        <f>IF($C113&lt;&gt;"","Trk-Mi?      ","")</f>
        <v/>
      </c>
      <c r="V113" s="284"/>
      <c r="W113" s="278" t="str">
        <f>IF(OR($R113="",V$11=""),"","0 - "&amp;TEXT($R113-$AP113,"0.0")&amp;" Trk-Mi?    ")</f>
        <v/>
      </c>
      <c r="X113" s="284"/>
      <c r="Y113" s="278" t="str">
        <f>IF(OR($R113="",X$11=""),"","0 - "&amp;TEXT($R113-$AP113,"0.0")&amp;" Trk-Mi?    ")</f>
        <v/>
      </c>
      <c r="Z113" s="284"/>
      <c r="AA113" s="278" t="str">
        <f>IF(OR($R113="",Z$11=""),"","0 - "&amp;TEXT($R113-$AP113,"0.0")&amp;" Trk-Mi?    ")</f>
        <v/>
      </c>
      <c r="AB113" s="284"/>
      <c r="AC113" s="278" t="str">
        <f>IF(OR($R113="",AB$11=""),"","0 - "&amp;TEXT($R113-$AP113,"0.0")&amp;" Trk-Mi?    ")</f>
        <v/>
      </c>
      <c r="AD113" s="284"/>
      <c r="AE113" s="278" t="str">
        <f>IF(OR($R113="",AD$11=""),"","0 - "&amp;TEXT($R113-$AP113,"0.0")&amp;" Trk-Mi?    ")</f>
        <v/>
      </c>
      <c r="AF113" s="284"/>
      <c r="AG113" s="278" t="str">
        <f>IF(OR($R113="",AF$11=""),"","0 - "&amp;TEXT($R113-$AP113,"0.0")&amp;" Trk-Mi?    ")</f>
        <v/>
      </c>
      <c r="AH113" s="284"/>
      <c r="AI113" s="278" t="str">
        <f>IF(OR($R113="",AH$11=""),"","0 - "&amp;TEXT($R113-$AP113,"0.0")&amp;" Trk-Mi?    ")</f>
        <v/>
      </c>
      <c r="AJ113" s="284"/>
      <c r="AK113" s="278" t="str">
        <f>IF(OR($R113="",AJ$11=""),"","0 - "&amp;TEXT($R113-$AP113,"0.0")&amp;" Trk-Mi?    ")</f>
        <v/>
      </c>
      <c r="AL113" s="284"/>
      <c r="AM113" s="278" t="str">
        <f>IF(OR($R113="",AL$11=""),"","0 - "&amp;TEXT($R113-$AP113,"0.0")&amp;" Trk-Mi?    ")</f>
        <v/>
      </c>
      <c r="AN113" s="284"/>
      <c r="AO113" s="278" t="str">
        <f>IF(OR($R113="",AN$11=""),"","0 - "&amp;TEXT($R113-$AP113,"0.0")&amp;" Trk-Mi?    ")</f>
        <v/>
      </c>
      <c r="AP113" s="282">
        <f>SUM(V113,X113,Z113,AB113,AD113,AF113,AH113,AJ113,AL113,AN113)</f>
        <v>0</v>
      </c>
      <c r="AQ113" s="278"/>
      <c r="AR113" s="234"/>
      <c r="AS113" s="107"/>
      <c r="AT113" s="107"/>
      <c r="AU113" s="107"/>
      <c r="AW113" s="107" t="str">
        <f>IF(AND($C113="",$H113="",$J113="",$L113="",$N113="",$P113="",$R113=""),"B","NB")</f>
        <v>B</v>
      </c>
      <c r="AX113" s="241" t="str">
        <f>IF(OR($C113="",$H113="",$J113="",$L113="",$N113="",$R113="",$P113="",AND($V$11&lt;&gt;"",$V113=""),AND($X$11&lt;&gt;"",$X113=""),AND($Z$11&lt;&gt;"",$Z113=""),AND($AB$11&lt;&gt;"",$AB113=""),AND($AD$11&lt;&gt;"",$AD113=""),AND($AF$11&lt;&gt;"",$AF113=""),AND($AH$11&lt;&gt;"",$AH113=""),AND($AJ$11&lt;&gt;"",$AJ113=""),AND($AL$11&lt;&gt;"",$AL113=""),AND($AN$11&lt;&gt;"",$AN113="")),"N","Y")</f>
        <v>N</v>
      </c>
      <c r="AY113" s="142" t="b">
        <f>IF(AND($C113="",OR($H113&lt;&gt;"",$J113&lt;&gt;"",$L113&lt;&gt;"",$N113&lt;&gt;"",$R113&lt;&gt;"",$P113&lt;&gt;"",AND($V$11&lt;&gt;"",$V113&lt;&gt;""),AND($X$11&lt;&gt;"",$X113&lt;&gt;""),AND($Z$11&lt;&gt;"",$Z113&lt;&gt;""),AND($AB$11&lt;&gt;"",$AB113&lt;&gt;""),AND($AD$11&lt;&gt;"",$AD113&lt;&gt;""),AND($AF$11&lt;&gt;"",$AF113&lt;&gt;""),AND($AH$11&lt;&gt;"",$AH113&lt;&gt;""),AND($AJ$11&lt;&gt;"",$AJ113&lt;&gt;""),AND($AL$11&lt;&gt;"",$AL113&lt;&gt;""),AND($AN$11&lt;&gt;"",$AN113&lt;&gt;""))),TRUE,FALSE)</f>
        <v>0</v>
      </c>
      <c r="AZ113" s="144" t="b">
        <f>IF(AND($C113&lt;&gt;"",$H113=""),TRUE,FALSE)</f>
        <v>0</v>
      </c>
      <c r="BA113" s="144" t="b">
        <f>IF(AND($C113&lt;&gt;"",$J113=""),TRUE,FALSE)</f>
        <v>0</v>
      </c>
      <c r="BB113" s="144" t="b">
        <f>IF(AND($C113&lt;&gt;"",$L113=""),TRUE,FALSE)</f>
        <v>0</v>
      </c>
      <c r="BC113" s="144" t="b">
        <f>IF(AND($C113&lt;&gt;"",$N113=""),TRUE,FALSE)</f>
        <v>0</v>
      </c>
      <c r="BD113" s="142" t="b">
        <f>IF($BE113=TRUE,FALSE,IF(OR($P113&lt;$BD$5,$P113&gt;$BE$5),TRUE,FALSE))</f>
        <v>0</v>
      </c>
      <c r="BE113" s="144" t="b">
        <f>IF(AND($C113&lt;&gt;"",$P113=""),TRUE,FALSE)</f>
        <v>0</v>
      </c>
      <c r="BF113" s="144" t="b">
        <f>IF($BG113=TRUE,FALSE,IF(OR($R113&lt;$BF$5,$R113&gt;$BG$5),TRUE,FALSE))</f>
        <v>0</v>
      </c>
      <c r="BG113" s="144" t="b">
        <f>IF(AND($C113&lt;&gt;"",$R113=""),TRUE,FALSE)</f>
        <v>0</v>
      </c>
      <c r="BH113" s="160" t="b">
        <f>IF(BI113=TRUE,FALSE,IF(AND(V113&lt;&gt;"",V$11=""),TRUE,IF(AND(V113&lt;&gt;"",V$11&lt;&gt;"",$R113&lt;&gt;$AP113),TRUE,IF(OR(V113&lt;0,V113&gt;$R113),TRUE,FALSE))))</f>
        <v>0</v>
      </c>
      <c r="BI113" s="144" t="b">
        <f>IF(AND($C113&lt;&gt;"",V$11&lt;&gt;"",$V113=""),TRUE,FALSE)</f>
        <v>0</v>
      </c>
      <c r="BJ113" s="160" t="b">
        <f>IF(BK113=TRUE,FALSE,IF(AND(X113&lt;&gt;"",X$11=""),TRUE,IF(AND(X113&lt;&gt;"",X$11&lt;&gt;"",$R113&lt;&gt;$AP113),TRUE,IF(OR(X113&lt;0,X113&gt;$R113),TRUE,FALSE))))</f>
        <v>0</v>
      </c>
      <c r="BK113" s="144" t="b">
        <f>IF(AND($C113&lt;&gt;"",X$11&lt;&gt;"",$X113=""),TRUE,FALSE)</f>
        <v>0</v>
      </c>
      <c r="BL113" s="160" t="b">
        <f>IF(BM113=TRUE,FALSE,IF(AND(Z113&lt;&gt;"",Z$11=""),TRUE,IF(AND(Z113&lt;&gt;"",Z$11&lt;&gt;"",$R113&lt;&gt;$AP113),TRUE,IF(OR(Z113&lt;0,Z113&gt;$R113),TRUE,FALSE))))</f>
        <v>0</v>
      </c>
      <c r="BM113" s="144" t="b">
        <f>IF(AND($C113&lt;&gt;"",Z$11&lt;&gt;"",$Z113=""),TRUE,FALSE)</f>
        <v>0</v>
      </c>
      <c r="BN113" s="160" t="b">
        <f>IF(BO113=TRUE,FALSE,IF(AND(AB113&lt;&gt;"",AB$11=""),TRUE,IF(AND(AB113&lt;&gt;"",AB$11&lt;&gt;"",$R113&lt;&gt;$AP113),TRUE,IF(OR(AB113&lt;0,AB113&gt;$R113),TRUE,FALSE))))</f>
        <v>0</v>
      </c>
      <c r="BO113" s="144" t="b">
        <f>IF(AND($C113&lt;&gt;"",AB$11&lt;&gt;"",$AB113=""),TRUE,FALSE)</f>
        <v>0</v>
      </c>
      <c r="BP113" s="160" t="b">
        <f>IF(BQ113=TRUE,FALSE,IF(AND(AD113&lt;&gt;"",AD$11=""),TRUE,IF(AND(AD113&lt;&gt;"",AD$11&lt;&gt;"",$R113&lt;&gt;$AP113),TRUE,IF(OR(AD113&lt;0,AD113&gt;$R113),TRUE,FALSE))))</f>
        <v>0</v>
      </c>
      <c r="BQ113" s="144" t="b">
        <f>IF(AND($C113&lt;&gt;"",AD$11&lt;&gt;"",$AD113=""),TRUE,FALSE)</f>
        <v>0</v>
      </c>
      <c r="BR113" s="160" t="b">
        <f>IF(BS113=TRUE,FALSE,IF(AND(AF113&lt;&gt;"",AF$11=""),TRUE,IF(AND(AF113&lt;&gt;"",AF$11&lt;&gt;"",$R113&lt;&gt;$AP113),TRUE,IF(OR(AF113&lt;0,AF113&gt;$R113),TRUE,FALSE))))</f>
        <v>0</v>
      </c>
      <c r="BS113" s="144" t="b">
        <f>IF(AND($C113&lt;&gt;"",AF$11&lt;&gt;"",$AF113=""),TRUE,FALSE)</f>
        <v>0</v>
      </c>
      <c r="BT113" s="160" t="b">
        <f>IF(BU113=TRUE,FALSE,IF(AND(AH113&lt;&gt;"",AH$11=""),TRUE,IF(AND(AH113&lt;&gt;"",AH$11&lt;&gt;"",$R113&lt;&gt;$AP113),TRUE,IF(OR(AH113&lt;0,AH113&gt;$R113),TRUE,FALSE))))</f>
        <v>0</v>
      </c>
      <c r="BU113" s="144" t="b">
        <f>IF(AND($C113&lt;&gt;"",AH$11&lt;&gt;"",$AH113=""),TRUE,FALSE)</f>
        <v>0</v>
      </c>
      <c r="BV113" s="160" t="b">
        <f>IF(BW113=TRUE,FALSE,IF(AND(AJ113&lt;&gt;"",AJ$11=""),TRUE,IF(AND(AJ113&lt;&gt;"",AJ$11&lt;&gt;"",$R113&lt;&gt;$AP113),TRUE,IF(OR(AJ113&lt;0,AJ113&gt;$R113),TRUE,FALSE))))</f>
        <v>0</v>
      </c>
      <c r="BW113" s="144" t="b">
        <f>IF(AND($C113&lt;&gt;"",AJ$11&lt;&gt;"",$AJ113=""),TRUE,FALSE)</f>
        <v>0</v>
      </c>
      <c r="BX113" s="160" t="b">
        <f>IF(BY113=TRUE,FALSE,IF(AND(AL113&lt;&gt;"",AL$11=""),TRUE,IF(AND(AL113&lt;&gt;"",AL$11&lt;&gt;"",$R113&lt;&gt;$AP113),TRUE,IF(OR(AL113&lt;0,AL113&gt;$R113),TRUE,FALSE))))</f>
        <v>0</v>
      </c>
      <c r="BY113" s="144" t="b">
        <f>IF(AND($C113&lt;&gt;"",AL$11&lt;&gt;"",$AL113=""),TRUE,FALSE)</f>
        <v>0</v>
      </c>
      <c r="BZ113" s="160" t="b">
        <f>IF(CA113=TRUE,FALSE,IF(AND(AN113&lt;&gt;"",AN$11=""),TRUE,IF(AND(AN113&lt;&gt;"",AN$11&lt;&gt;"",$R113&lt;&gt;$AP113),TRUE,IF(OR(AN113&lt;0,AN113&gt;$R113),TRUE,FALSE))))</f>
        <v>0</v>
      </c>
      <c r="CA113" s="144" t="b">
        <f>IF(AND($C113&lt;&gt;"",AN$11&lt;&gt;"",$AN113=""),TRUE,FALSE)</f>
        <v>0</v>
      </c>
      <c r="CB113" s="133"/>
      <c r="CC113" s="133"/>
      <c r="CD113" s="133"/>
      <c r="CE113" s="133"/>
      <c r="CF113" s="133"/>
      <c r="CG113" s="133"/>
      <c r="CH113" s="133"/>
      <c r="CI113" s="133"/>
      <c r="CJ113" s="133"/>
      <c r="CK113" s="133"/>
      <c r="CL113" s="133"/>
      <c r="CM113" s="133"/>
      <c r="CN113" s="133"/>
      <c r="CO113" s="133"/>
      <c r="CP113" s="133"/>
      <c r="CQ113" s="133"/>
      <c r="CR113" s="133"/>
      <c r="CS113" s="133"/>
      <c r="CT113" s="133"/>
      <c r="CU113" s="133"/>
      <c r="CV113" s="133"/>
      <c r="CW113" s="134"/>
    </row>
    <row r="114" spans="1:101" ht="6.75" customHeight="1" thickBot="1" x14ac:dyDescent="0.25">
      <c r="A114" s="228"/>
      <c r="B114" s="228"/>
      <c r="C114" s="232"/>
      <c r="D114" s="267"/>
      <c r="I114" s="267"/>
      <c r="K114" s="228"/>
      <c r="M114" s="267"/>
      <c r="O114" s="267"/>
      <c r="Q114" s="267"/>
      <c r="S114" s="267"/>
      <c r="U114" s="267"/>
      <c r="V114" s="283"/>
      <c r="W114" s="267"/>
      <c r="X114" s="283"/>
      <c r="Y114" s="267"/>
      <c r="Z114" s="283"/>
      <c r="AA114" s="267"/>
      <c r="AB114" s="283"/>
      <c r="AC114" s="267"/>
      <c r="AD114" s="283"/>
      <c r="AE114" s="267"/>
      <c r="AF114" s="283"/>
      <c r="AG114" s="267"/>
      <c r="AH114" s="283"/>
      <c r="AI114" s="267"/>
      <c r="AJ114" s="283"/>
      <c r="AK114" s="267"/>
      <c r="AL114" s="283"/>
      <c r="AM114" s="267"/>
      <c r="AN114" s="283"/>
      <c r="AO114" s="267"/>
      <c r="AP114" s="267"/>
      <c r="AQ114" s="267"/>
      <c r="AR114" s="232"/>
      <c r="AY114" s="145"/>
      <c r="AZ114" s="146"/>
      <c r="BA114" s="146"/>
      <c r="BB114" s="146"/>
      <c r="BC114" s="146"/>
      <c r="BD114" s="145"/>
      <c r="BE114" s="146"/>
      <c r="BF114" s="146"/>
      <c r="BG114" s="146"/>
      <c r="BH114" s="145"/>
      <c r="BI114" s="146"/>
      <c r="BJ114" s="145"/>
      <c r="BK114" s="146"/>
      <c r="BL114" s="145"/>
      <c r="BM114" s="146"/>
      <c r="BN114" s="145"/>
      <c r="BO114" s="146"/>
      <c r="BP114" s="145"/>
      <c r="BQ114" s="146"/>
      <c r="BR114" s="145"/>
      <c r="BS114" s="146"/>
      <c r="BT114" s="145"/>
      <c r="BU114" s="146"/>
      <c r="BV114" s="145"/>
      <c r="BW114" s="146"/>
      <c r="BX114" s="145"/>
      <c r="BY114" s="146"/>
      <c r="BZ114" s="145"/>
      <c r="CA114" s="146"/>
    </row>
    <row r="115" spans="1:101" s="101" customFormat="1" ht="12.75" customHeight="1" x14ac:dyDescent="0.2">
      <c r="A115" s="227">
        <f>A113+1</f>
        <v>50</v>
      </c>
      <c r="B115" s="227"/>
      <c r="C115" s="231"/>
      <c r="D115" s="251" t="str">
        <f>IF((C115=""),"Enter Segment "&amp;TEXT(A115,0)&amp;" Name, then Enter Data in Columns "&amp;TEXT($H$2,0)&amp;" - "&amp;TEXT($AN$2,0)&amp;"       ","")</f>
        <v xml:space="preserve">Enter Segment 50 Name, then Enter Data in Columns h - an       </v>
      </c>
      <c r="E115" s="131" t="str">
        <f>IF($AW115="B","N/A",IF(AX115="N","No",IF(AX115="Y","Yes","")))</f>
        <v>N/A</v>
      </c>
      <c r="F115" s="130"/>
      <c r="G115" s="130"/>
      <c r="H115" s="285"/>
      <c r="I115" s="251" t="str">
        <f>IF($C115&lt;&gt;"","Enter Starting Point       ","")</f>
        <v/>
      </c>
      <c r="J115" s="285"/>
      <c r="K115" s="227"/>
      <c r="L115" s="88"/>
      <c r="M115" s="251" t="str">
        <f>IF($C115&lt;&gt;"","Select from Pull-Down List  ","")</f>
        <v/>
      </c>
      <c r="N115" s="88"/>
      <c r="O115" s="251" t="str">
        <f>IF($C115&lt;&gt;"","Select from Pull-Down List  ","")</f>
        <v/>
      </c>
      <c r="P115" s="131"/>
      <c r="Q115" s="251" t="str">
        <f>IF($C115&lt;&gt;"","Dir. Route-Mi?    ","")</f>
        <v/>
      </c>
      <c r="R115" s="131"/>
      <c r="S115" s="251" t="str">
        <f>IF($C115&lt;&gt;"","Trk-Mi?      ","")</f>
        <v/>
      </c>
      <c r="T115" s="131"/>
      <c r="U115" s="251" t="str">
        <f>IF($C115&lt;&gt;"","Trk-Mi?      ","")</f>
        <v/>
      </c>
      <c r="V115" s="284"/>
      <c r="W115" s="278" t="str">
        <f>IF(OR($R115="",V$11=""),"","0 - "&amp;TEXT($R115-$AP115,"0.0")&amp;" Trk-Mi?    ")</f>
        <v/>
      </c>
      <c r="X115" s="284"/>
      <c r="Y115" s="278" t="str">
        <f>IF(OR($R115="",X$11=""),"","0 - "&amp;TEXT($R115-$AP115,"0.0")&amp;" Trk-Mi?    ")</f>
        <v/>
      </c>
      <c r="Z115" s="284"/>
      <c r="AA115" s="278" t="str">
        <f>IF(OR($R115="",Z$11=""),"","0 - "&amp;TEXT($R115-$AP115,"0.0")&amp;" Trk-Mi?    ")</f>
        <v/>
      </c>
      <c r="AB115" s="284"/>
      <c r="AC115" s="278" t="str">
        <f>IF(OR($R115="",AB$11=""),"","0 - "&amp;TEXT($R115-$AP115,"0.0")&amp;" Trk-Mi?    ")</f>
        <v/>
      </c>
      <c r="AD115" s="284"/>
      <c r="AE115" s="278" t="str">
        <f>IF(OR($R115="",AD$11=""),"","0 - "&amp;TEXT($R115-$AP115,"0.0")&amp;" Trk-Mi?    ")</f>
        <v/>
      </c>
      <c r="AF115" s="284"/>
      <c r="AG115" s="278" t="str">
        <f>IF(OR($R115="",AF$11=""),"","0 - "&amp;TEXT($R115-$AP115,"0.0")&amp;" Trk-Mi?    ")</f>
        <v/>
      </c>
      <c r="AH115" s="284"/>
      <c r="AI115" s="278" t="str">
        <f>IF(OR($R115="",AH$11=""),"","0 - "&amp;TEXT($R115-$AP115,"0.0")&amp;" Trk-Mi?    ")</f>
        <v/>
      </c>
      <c r="AJ115" s="284"/>
      <c r="AK115" s="278" t="str">
        <f>IF(OR($R115="",AJ$11=""),"","0 - "&amp;TEXT($R115-$AP115,"0.0")&amp;" Trk-Mi?    ")</f>
        <v/>
      </c>
      <c r="AL115" s="284"/>
      <c r="AM115" s="278" t="str">
        <f>IF(OR($R115="",AL$11=""),"","0 - "&amp;TEXT($R115-$AP115,"0.0")&amp;" Trk-Mi?    ")</f>
        <v/>
      </c>
      <c r="AN115" s="284"/>
      <c r="AO115" s="278" t="str">
        <f>IF(OR($R115="",AN$11=""),"","0 - "&amp;TEXT($R115-$AP115,"0.0")&amp;" Trk-Mi?    ")</f>
        <v/>
      </c>
      <c r="AP115" s="282">
        <f>SUM(V115,X115,Z115,AB115,AD115,AF115,AH115,AJ115,AL115,AN115)</f>
        <v>0</v>
      </c>
      <c r="AQ115" s="278"/>
      <c r="AR115" s="234"/>
      <c r="AS115" s="107"/>
      <c r="AT115" s="107"/>
      <c r="AU115" s="107"/>
      <c r="AW115" s="107" t="str">
        <f>IF(AND($C115="",$H115="",$J115="",$L115="",$N115="",$P115="",$R115=""),"B","NB")</f>
        <v>B</v>
      </c>
      <c r="AX115" s="241" t="str">
        <f>IF(OR($C115="",$H115="",$J115="",$L115="",$N115="",$R115="",$P115="",AND($V$11&lt;&gt;"",$V115=""),AND($X$11&lt;&gt;"",$X115=""),AND($Z$11&lt;&gt;"",$Z115=""),AND($AB$11&lt;&gt;"",$AB115=""),AND($AD$11&lt;&gt;"",$AD115=""),AND($AF$11&lt;&gt;"",$AF115=""),AND($AH$11&lt;&gt;"",$AH115=""),AND($AJ$11&lt;&gt;"",$AJ115=""),AND($AL$11&lt;&gt;"",$AL115=""),AND($AN$11&lt;&gt;"",$AN115="")),"N","Y")</f>
        <v>N</v>
      </c>
      <c r="AY115" s="142" t="b">
        <f>IF(AND($C115="",OR($H115&lt;&gt;"",$J115&lt;&gt;"",$L115&lt;&gt;"",$N115&lt;&gt;"",$R115&lt;&gt;"",$P115&lt;&gt;"",AND($V$11&lt;&gt;"",$V115&lt;&gt;""),AND($X$11&lt;&gt;"",$X115&lt;&gt;""),AND($Z$11&lt;&gt;"",$Z115&lt;&gt;""),AND($AB$11&lt;&gt;"",$AB115&lt;&gt;""),AND($AD$11&lt;&gt;"",$AD115&lt;&gt;""),AND($AF$11&lt;&gt;"",$AF115&lt;&gt;""),AND($AH$11&lt;&gt;"",$AH115&lt;&gt;""),AND($AJ$11&lt;&gt;"",$AJ115&lt;&gt;""),AND($AL$11&lt;&gt;"",$AL115&lt;&gt;""),AND($AN$11&lt;&gt;"",$AN115&lt;&gt;""))),TRUE,FALSE)</f>
        <v>0</v>
      </c>
      <c r="AZ115" s="144" t="b">
        <f>IF(AND($C115&lt;&gt;"",$H115=""),TRUE,FALSE)</f>
        <v>0</v>
      </c>
      <c r="BA115" s="144" t="b">
        <f>IF(AND($C115&lt;&gt;"",$J115=""),TRUE,FALSE)</f>
        <v>0</v>
      </c>
      <c r="BB115" s="144" t="b">
        <f>IF(AND($C115&lt;&gt;"",$L115=""),TRUE,FALSE)</f>
        <v>0</v>
      </c>
      <c r="BC115" s="144" t="b">
        <f>IF(AND($C115&lt;&gt;"",$N115=""),TRUE,FALSE)</f>
        <v>0</v>
      </c>
      <c r="BD115" s="142" t="b">
        <f>IF($BE115=TRUE,FALSE,IF(OR($P115&lt;$BD$5,$P115&gt;$BE$5),TRUE,FALSE))</f>
        <v>0</v>
      </c>
      <c r="BE115" s="144" t="b">
        <f>IF(AND($C115&lt;&gt;"",$P115=""),TRUE,FALSE)</f>
        <v>0</v>
      </c>
      <c r="BF115" s="144" t="b">
        <f>IF($BG115=TRUE,FALSE,IF(OR($R115&lt;$BF$5,$R115&gt;$BG$5),TRUE,FALSE))</f>
        <v>0</v>
      </c>
      <c r="BG115" s="144" t="b">
        <f>IF(AND($C115&lt;&gt;"",$R115=""),TRUE,FALSE)</f>
        <v>0</v>
      </c>
      <c r="BH115" s="160" t="b">
        <f>IF(BI115=TRUE,FALSE,IF(AND(V115&lt;&gt;"",V$11=""),TRUE,IF(AND(V115&lt;&gt;"",V$11&lt;&gt;"",$R115&lt;&gt;$AP115),TRUE,IF(OR(V115&lt;0,V115&gt;$R115),TRUE,FALSE))))</f>
        <v>0</v>
      </c>
      <c r="BI115" s="144" t="b">
        <f>IF(AND($C115&lt;&gt;"",V$11&lt;&gt;"",$V115=""),TRUE,FALSE)</f>
        <v>0</v>
      </c>
      <c r="BJ115" s="160" t="b">
        <f>IF(BK115=TRUE,FALSE,IF(AND(X115&lt;&gt;"",X$11=""),TRUE,IF(AND(X115&lt;&gt;"",X$11&lt;&gt;"",$R115&lt;&gt;$AP115),TRUE,IF(OR(X115&lt;0,X115&gt;$R115),TRUE,FALSE))))</f>
        <v>0</v>
      </c>
      <c r="BK115" s="144" t="b">
        <f>IF(AND($C115&lt;&gt;"",X$11&lt;&gt;"",$X115=""),TRUE,FALSE)</f>
        <v>0</v>
      </c>
      <c r="BL115" s="160" t="b">
        <f>IF(BM115=TRUE,FALSE,IF(AND(Z115&lt;&gt;"",Z$11=""),TRUE,IF(AND(Z115&lt;&gt;"",Z$11&lt;&gt;"",$R115&lt;&gt;$AP115),TRUE,IF(OR(Z115&lt;0,Z115&gt;$R115),TRUE,FALSE))))</f>
        <v>0</v>
      </c>
      <c r="BM115" s="144" t="b">
        <f>IF(AND($C115&lt;&gt;"",Z$11&lt;&gt;"",$Z115=""),TRUE,FALSE)</f>
        <v>0</v>
      </c>
      <c r="BN115" s="160" t="b">
        <f>IF(BO115=TRUE,FALSE,IF(AND(AB115&lt;&gt;"",AB$11=""),TRUE,IF(AND(AB115&lt;&gt;"",AB$11&lt;&gt;"",$R115&lt;&gt;$AP115),TRUE,IF(OR(AB115&lt;0,AB115&gt;$R115),TRUE,FALSE))))</f>
        <v>0</v>
      </c>
      <c r="BO115" s="144" t="b">
        <f>IF(AND($C115&lt;&gt;"",AB$11&lt;&gt;"",$AB115=""),TRUE,FALSE)</f>
        <v>0</v>
      </c>
      <c r="BP115" s="160" t="b">
        <f>IF(BQ115=TRUE,FALSE,IF(AND(AD115&lt;&gt;"",AD$11=""),TRUE,IF(AND(AD115&lt;&gt;"",AD$11&lt;&gt;"",$R115&lt;&gt;$AP115),TRUE,IF(OR(AD115&lt;0,AD115&gt;$R115),TRUE,FALSE))))</f>
        <v>0</v>
      </c>
      <c r="BQ115" s="144" t="b">
        <f>IF(AND($C115&lt;&gt;"",AD$11&lt;&gt;"",$AD115=""),TRUE,FALSE)</f>
        <v>0</v>
      </c>
      <c r="BR115" s="160" t="b">
        <f>IF(BS115=TRUE,FALSE,IF(AND(AF115&lt;&gt;"",AF$11=""),TRUE,IF(AND(AF115&lt;&gt;"",AF$11&lt;&gt;"",$R115&lt;&gt;$AP115),TRUE,IF(OR(AF115&lt;0,AF115&gt;$R115),TRUE,FALSE))))</f>
        <v>0</v>
      </c>
      <c r="BS115" s="144" t="b">
        <f>IF(AND($C115&lt;&gt;"",AF$11&lt;&gt;"",$AF115=""),TRUE,FALSE)</f>
        <v>0</v>
      </c>
      <c r="BT115" s="160" t="b">
        <f>IF(BU115=TRUE,FALSE,IF(AND(AH115&lt;&gt;"",AH$11=""),TRUE,IF(AND(AH115&lt;&gt;"",AH$11&lt;&gt;"",$R115&lt;&gt;$AP115),TRUE,IF(OR(AH115&lt;0,AH115&gt;$R115),TRUE,FALSE))))</f>
        <v>0</v>
      </c>
      <c r="BU115" s="144" t="b">
        <f>IF(AND($C115&lt;&gt;"",AH$11&lt;&gt;"",$AH115=""),TRUE,FALSE)</f>
        <v>0</v>
      </c>
      <c r="BV115" s="160" t="b">
        <f>IF(BW115=TRUE,FALSE,IF(AND(AJ115&lt;&gt;"",AJ$11=""),TRUE,IF(AND(AJ115&lt;&gt;"",AJ$11&lt;&gt;"",$R115&lt;&gt;$AP115),TRUE,IF(OR(AJ115&lt;0,AJ115&gt;$R115),TRUE,FALSE))))</f>
        <v>0</v>
      </c>
      <c r="BW115" s="144" t="b">
        <f>IF(AND($C115&lt;&gt;"",AJ$11&lt;&gt;"",$AJ115=""),TRUE,FALSE)</f>
        <v>0</v>
      </c>
      <c r="BX115" s="160" t="b">
        <f>IF(BY115=TRUE,FALSE,IF(AND(AL115&lt;&gt;"",AL$11=""),TRUE,IF(AND(AL115&lt;&gt;"",AL$11&lt;&gt;"",$R115&lt;&gt;$AP115),TRUE,IF(OR(AL115&lt;0,AL115&gt;$R115),TRUE,FALSE))))</f>
        <v>0</v>
      </c>
      <c r="BY115" s="144" t="b">
        <f>IF(AND($C115&lt;&gt;"",AL$11&lt;&gt;"",$AL115=""),TRUE,FALSE)</f>
        <v>0</v>
      </c>
      <c r="BZ115" s="160" t="b">
        <f>IF(CA115=TRUE,FALSE,IF(AND(AN115&lt;&gt;"",AN$11=""),TRUE,IF(AND(AN115&lt;&gt;"",AN$11&lt;&gt;"",$R115&lt;&gt;$AP115),TRUE,IF(OR(AN115&lt;0,AN115&gt;$R115),TRUE,FALSE))))</f>
        <v>0</v>
      </c>
      <c r="CA115" s="144" t="b">
        <f>IF(AND($C115&lt;&gt;"",AN$11&lt;&gt;"",$AN115=""),TRUE,FALSE)</f>
        <v>0</v>
      </c>
      <c r="CB115" s="133"/>
      <c r="CC115" s="133"/>
      <c r="CD115" s="133"/>
      <c r="CE115" s="133"/>
      <c r="CF115" s="133"/>
      <c r="CG115" s="133"/>
      <c r="CH115" s="133"/>
      <c r="CI115" s="133"/>
      <c r="CJ115" s="133"/>
      <c r="CK115" s="133"/>
      <c r="CL115" s="133"/>
      <c r="CM115" s="133"/>
      <c r="CN115" s="133"/>
      <c r="CO115" s="133"/>
      <c r="CP115" s="133"/>
      <c r="CQ115" s="133"/>
      <c r="CR115" s="133"/>
      <c r="CS115" s="133"/>
      <c r="CT115" s="133"/>
      <c r="CU115" s="133"/>
      <c r="CV115" s="133"/>
      <c r="CW115" s="134"/>
    </row>
    <row r="116" spans="1:101" ht="6.75" customHeight="1" thickBot="1" x14ac:dyDescent="0.25">
      <c r="A116" s="228"/>
      <c r="B116" s="228"/>
      <c r="C116" s="232"/>
      <c r="D116" s="267"/>
      <c r="I116" s="267"/>
      <c r="K116" s="228"/>
      <c r="M116" s="267"/>
      <c r="O116" s="267"/>
      <c r="Q116" s="267"/>
      <c r="S116" s="267"/>
      <c r="U116" s="267"/>
      <c r="V116" s="283"/>
      <c r="W116" s="267"/>
      <c r="X116" s="283"/>
      <c r="Y116" s="267"/>
      <c r="Z116" s="283"/>
      <c r="AA116" s="267"/>
      <c r="AB116" s="283"/>
      <c r="AC116" s="267"/>
      <c r="AD116" s="283"/>
      <c r="AE116" s="267"/>
      <c r="AF116" s="283"/>
      <c r="AG116" s="267"/>
      <c r="AH116" s="283"/>
      <c r="AI116" s="267"/>
      <c r="AJ116" s="283"/>
      <c r="AK116" s="267"/>
      <c r="AL116" s="283"/>
      <c r="AM116" s="267"/>
      <c r="AN116" s="283"/>
      <c r="AO116" s="267"/>
      <c r="AP116" s="280"/>
      <c r="AQ116" s="280"/>
      <c r="AR116" s="232"/>
      <c r="AY116" s="145"/>
      <c r="AZ116" s="146"/>
      <c r="BA116" s="146"/>
      <c r="BB116" s="146"/>
      <c r="BC116" s="146"/>
      <c r="BD116" s="145"/>
      <c r="BE116" s="146"/>
      <c r="BF116" s="146"/>
      <c r="BG116" s="146"/>
      <c r="BH116" s="145"/>
      <c r="BI116" s="146"/>
      <c r="BJ116" s="145"/>
      <c r="BK116" s="146"/>
      <c r="BL116" s="145"/>
      <c r="BM116" s="146"/>
      <c r="BN116" s="145"/>
      <c r="BO116" s="146"/>
      <c r="BP116" s="145"/>
      <c r="BQ116" s="146"/>
      <c r="BR116" s="145"/>
      <c r="BS116" s="146"/>
      <c r="BT116" s="145"/>
      <c r="BU116" s="146"/>
      <c r="BV116" s="145"/>
      <c r="BW116" s="146"/>
      <c r="BX116" s="145"/>
      <c r="BY116" s="146"/>
      <c r="BZ116" s="145"/>
      <c r="CA116" s="146"/>
    </row>
    <row r="117" spans="1:101" s="101" customFormat="1" ht="12.75" customHeight="1" x14ac:dyDescent="0.2">
      <c r="A117" s="227">
        <f>A115+1</f>
        <v>51</v>
      </c>
      <c r="B117" s="227"/>
      <c r="C117" s="231"/>
      <c r="D117" s="251" t="str">
        <f>IF((C117=""),"Enter Segment "&amp;TEXT(A117,0)&amp;" Name, then Enter Data in Columns "&amp;TEXT($H$2,0)&amp;" - "&amp;TEXT($AN$2,0)&amp;"       ","")</f>
        <v xml:space="preserve">Enter Segment 51 Name, then Enter Data in Columns h - an       </v>
      </c>
      <c r="E117" s="131" t="str">
        <f>IF($AW117="B","N/A",IF(AX117="N","No",IF(AX117="Y","Yes","")))</f>
        <v>N/A</v>
      </c>
      <c r="F117" s="130"/>
      <c r="G117" s="130"/>
      <c r="H117" s="285"/>
      <c r="I117" s="251" t="str">
        <f>IF($C117&lt;&gt;"","Enter Starting Point       ","")</f>
        <v/>
      </c>
      <c r="J117" s="285"/>
      <c r="K117" s="227"/>
      <c r="L117" s="88"/>
      <c r="M117" s="251" t="str">
        <f>IF($C117&lt;&gt;"","Select from Pull-Down List  ","")</f>
        <v/>
      </c>
      <c r="N117" s="88"/>
      <c r="O117" s="251" t="str">
        <f>IF($C117&lt;&gt;"","Select from Pull-Down List  ","")</f>
        <v/>
      </c>
      <c r="P117" s="131"/>
      <c r="Q117" s="251" t="str">
        <f>IF($C117&lt;&gt;"","Dir. Route-Mi?    ","")</f>
        <v/>
      </c>
      <c r="R117" s="131"/>
      <c r="S117" s="251" t="str">
        <f>IF($C117&lt;&gt;"","Trk-Mi?      ","")</f>
        <v/>
      </c>
      <c r="T117" s="131"/>
      <c r="U117" s="251" t="str">
        <f>IF($C117&lt;&gt;"","Trk-Mi?      ","")</f>
        <v/>
      </c>
      <c r="V117" s="284"/>
      <c r="W117" s="278" t="str">
        <f>IF(OR($R117="",V$11=""),"","0 - "&amp;TEXT($R117-$AP117,"0.0")&amp;" Trk-Mi?    ")</f>
        <v/>
      </c>
      <c r="X117" s="284"/>
      <c r="Y117" s="278" t="str">
        <f>IF(OR($R117="",X$11=""),"","0 - "&amp;TEXT($R117-$AP117,"0.0")&amp;" Trk-Mi?    ")</f>
        <v/>
      </c>
      <c r="Z117" s="284"/>
      <c r="AA117" s="278" t="str">
        <f>IF(OR($R117="",Z$11=""),"","0 - "&amp;TEXT($R117-$AP117,"0.0")&amp;" Trk-Mi?    ")</f>
        <v/>
      </c>
      <c r="AB117" s="284"/>
      <c r="AC117" s="278" t="str">
        <f>IF(OR($R117="",AB$11=""),"","0 - "&amp;TEXT($R117-$AP117,"0.0")&amp;" Trk-Mi?    ")</f>
        <v/>
      </c>
      <c r="AD117" s="284"/>
      <c r="AE117" s="278" t="str">
        <f>IF(OR($R117="",AD$11=""),"","0 - "&amp;TEXT($R117-$AP117,"0.0")&amp;" Trk-Mi?    ")</f>
        <v/>
      </c>
      <c r="AF117" s="284"/>
      <c r="AG117" s="278" t="str">
        <f>IF(OR($R117="",AF$11=""),"","0 - "&amp;TEXT($R117-$AP117,"0.0")&amp;" Trk-Mi?    ")</f>
        <v/>
      </c>
      <c r="AH117" s="284"/>
      <c r="AI117" s="278" t="str">
        <f>IF(OR($R117="",AH$11=""),"","0 - "&amp;TEXT($R117-$AP117,"0.0")&amp;" Trk-Mi?    ")</f>
        <v/>
      </c>
      <c r="AJ117" s="284"/>
      <c r="AK117" s="278" t="str">
        <f>IF(OR($R117="",AJ$11=""),"","0 - "&amp;TEXT($R117-$AP117,"0.0")&amp;" Trk-Mi?    ")</f>
        <v/>
      </c>
      <c r="AL117" s="284"/>
      <c r="AM117" s="278" t="str">
        <f>IF(OR($R117="",AL$11=""),"","0 - "&amp;TEXT($R117-$AP117,"0.0")&amp;" Trk-Mi?    ")</f>
        <v/>
      </c>
      <c r="AN117" s="284"/>
      <c r="AO117" s="278" t="str">
        <f>IF(OR($R117="",AN$11=""),"","0 - "&amp;TEXT($R117-$AP117,"0.0")&amp;" Trk-Mi?    ")</f>
        <v/>
      </c>
      <c r="AP117" s="282">
        <f>SUM(V117,X117,Z117,AB117,AD117,AF117,AH117,AJ117,AL117,AN117)</f>
        <v>0</v>
      </c>
      <c r="AQ117" s="278"/>
      <c r="AR117" s="234"/>
      <c r="AS117" s="107"/>
      <c r="AT117" s="107"/>
      <c r="AU117" s="107"/>
      <c r="AW117" s="107" t="str">
        <f>IF(AND($C117="",$H117="",$J117="",$L117="",$N117="",$P117="",$R117=""),"B","NB")</f>
        <v>B</v>
      </c>
      <c r="AX117" s="241" t="str">
        <f>IF(OR($C117="",$H117="",$J117="",$L117="",$N117="",$R117="",$P117="",AND($V$11&lt;&gt;"",$V117=""),AND($X$11&lt;&gt;"",$X117=""),AND($Z$11&lt;&gt;"",$Z117=""),AND($AB$11&lt;&gt;"",$AB117=""),AND($AD$11&lt;&gt;"",$AD117=""),AND($AF$11&lt;&gt;"",$AF117=""),AND($AH$11&lt;&gt;"",$AH117=""),AND($AJ$11&lt;&gt;"",$AJ117=""),AND($AL$11&lt;&gt;"",$AL117=""),AND($AN$11&lt;&gt;"",$AN117="")),"N","Y")</f>
        <v>N</v>
      </c>
      <c r="AY117" s="142" t="b">
        <f>IF(AND($C117="",OR($H117&lt;&gt;"",$J117&lt;&gt;"",$L117&lt;&gt;"",$N117&lt;&gt;"",$R117&lt;&gt;"",$P117&lt;&gt;"",AND($V$11&lt;&gt;"",$V117&lt;&gt;""),AND($X$11&lt;&gt;"",$X117&lt;&gt;""),AND($Z$11&lt;&gt;"",$Z117&lt;&gt;""),AND($AB$11&lt;&gt;"",$AB117&lt;&gt;""),AND($AD$11&lt;&gt;"",$AD117&lt;&gt;""),AND($AF$11&lt;&gt;"",$AF117&lt;&gt;""),AND($AH$11&lt;&gt;"",$AH117&lt;&gt;""),AND($AJ$11&lt;&gt;"",$AJ117&lt;&gt;""),AND($AL$11&lt;&gt;"",$AL117&lt;&gt;""),AND($AN$11&lt;&gt;"",$AN117&lt;&gt;""))),TRUE,FALSE)</f>
        <v>0</v>
      </c>
      <c r="AZ117" s="144" t="b">
        <f>IF(AND($C117&lt;&gt;"",$H117=""),TRUE,FALSE)</f>
        <v>0</v>
      </c>
      <c r="BA117" s="144" t="b">
        <f>IF(AND($C117&lt;&gt;"",$J117=""),TRUE,FALSE)</f>
        <v>0</v>
      </c>
      <c r="BB117" s="144" t="b">
        <f>IF(AND($C117&lt;&gt;"",$L117=""),TRUE,FALSE)</f>
        <v>0</v>
      </c>
      <c r="BC117" s="144" t="b">
        <f>IF(AND($C117&lt;&gt;"",$N117=""),TRUE,FALSE)</f>
        <v>0</v>
      </c>
      <c r="BD117" s="142" t="b">
        <f>IF($BE117=TRUE,FALSE,IF(OR($P117&lt;$BD$5,$P117&gt;$BE$5),TRUE,FALSE))</f>
        <v>0</v>
      </c>
      <c r="BE117" s="144" t="b">
        <f>IF(AND($C117&lt;&gt;"",$P117=""),TRUE,FALSE)</f>
        <v>0</v>
      </c>
      <c r="BF117" s="144" t="b">
        <f>IF($BG117=TRUE,FALSE,IF(OR($R117&lt;$BF$5,$R117&gt;$BG$5),TRUE,FALSE))</f>
        <v>0</v>
      </c>
      <c r="BG117" s="144" t="b">
        <f>IF(AND($C117&lt;&gt;"",$R117=""),TRUE,FALSE)</f>
        <v>0</v>
      </c>
      <c r="BH117" s="160" t="b">
        <f>IF(BI117=TRUE,FALSE,IF(AND(V117&lt;&gt;"",V$11=""),TRUE,IF(AND(V117&lt;&gt;"",V$11&lt;&gt;"",$R117&lt;&gt;$AP117),TRUE,IF(OR(V117&lt;0,V117&gt;$R117),TRUE,FALSE))))</f>
        <v>0</v>
      </c>
      <c r="BI117" s="144" t="b">
        <f>IF(AND($C117&lt;&gt;"",V$11&lt;&gt;"",$V117=""),TRUE,FALSE)</f>
        <v>0</v>
      </c>
      <c r="BJ117" s="160" t="b">
        <f>IF(BK117=TRUE,FALSE,IF(AND(X117&lt;&gt;"",X$11=""),TRUE,IF(AND(X117&lt;&gt;"",X$11&lt;&gt;"",$R117&lt;&gt;$AP117),TRUE,IF(OR(X117&lt;0,X117&gt;$R117),TRUE,FALSE))))</f>
        <v>0</v>
      </c>
      <c r="BK117" s="144" t="b">
        <f>IF(AND($C117&lt;&gt;"",X$11&lt;&gt;"",$X117=""),TRUE,FALSE)</f>
        <v>0</v>
      </c>
      <c r="BL117" s="160" t="b">
        <f>IF(BM117=TRUE,FALSE,IF(AND(Z117&lt;&gt;"",Z$11=""),TRUE,IF(AND(Z117&lt;&gt;"",Z$11&lt;&gt;"",$R117&lt;&gt;$AP117),TRUE,IF(OR(Z117&lt;0,Z117&gt;$R117),TRUE,FALSE))))</f>
        <v>0</v>
      </c>
      <c r="BM117" s="144" t="b">
        <f>IF(AND($C117&lt;&gt;"",Z$11&lt;&gt;"",$Z117=""),TRUE,FALSE)</f>
        <v>0</v>
      </c>
      <c r="BN117" s="160" t="b">
        <f>IF(BO117=TRUE,FALSE,IF(AND(AB117&lt;&gt;"",AB$11=""),TRUE,IF(AND(AB117&lt;&gt;"",AB$11&lt;&gt;"",$R117&lt;&gt;$AP117),TRUE,IF(OR(AB117&lt;0,AB117&gt;$R117),TRUE,FALSE))))</f>
        <v>0</v>
      </c>
      <c r="BO117" s="144" t="b">
        <f>IF(AND($C117&lt;&gt;"",AB$11&lt;&gt;"",$AB117=""),TRUE,FALSE)</f>
        <v>0</v>
      </c>
      <c r="BP117" s="160" t="b">
        <f>IF(BQ117=TRUE,FALSE,IF(AND(AD117&lt;&gt;"",AD$11=""),TRUE,IF(AND(AD117&lt;&gt;"",AD$11&lt;&gt;"",$R117&lt;&gt;$AP117),TRUE,IF(OR(AD117&lt;0,AD117&gt;$R117),TRUE,FALSE))))</f>
        <v>0</v>
      </c>
      <c r="BQ117" s="144" t="b">
        <f>IF(AND($C117&lt;&gt;"",AD$11&lt;&gt;"",$AD117=""),TRUE,FALSE)</f>
        <v>0</v>
      </c>
      <c r="BR117" s="160" t="b">
        <f>IF(BS117=TRUE,FALSE,IF(AND(AF117&lt;&gt;"",AF$11=""),TRUE,IF(AND(AF117&lt;&gt;"",AF$11&lt;&gt;"",$R117&lt;&gt;$AP117),TRUE,IF(OR(AF117&lt;0,AF117&gt;$R117),TRUE,FALSE))))</f>
        <v>0</v>
      </c>
      <c r="BS117" s="144" t="b">
        <f>IF(AND($C117&lt;&gt;"",AF$11&lt;&gt;"",$AF117=""),TRUE,FALSE)</f>
        <v>0</v>
      </c>
      <c r="BT117" s="160" t="b">
        <f>IF(BU117=TRUE,FALSE,IF(AND(AH117&lt;&gt;"",AH$11=""),TRUE,IF(AND(AH117&lt;&gt;"",AH$11&lt;&gt;"",$R117&lt;&gt;$AP117),TRUE,IF(OR(AH117&lt;0,AH117&gt;$R117),TRUE,FALSE))))</f>
        <v>0</v>
      </c>
      <c r="BU117" s="144" t="b">
        <f>IF(AND($C117&lt;&gt;"",AH$11&lt;&gt;"",$AH117=""),TRUE,FALSE)</f>
        <v>0</v>
      </c>
      <c r="BV117" s="160" t="b">
        <f>IF(BW117=TRUE,FALSE,IF(AND(AJ117&lt;&gt;"",AJ$11=""),TRUE,IF(AND(AJ117&lt;&gt;"",AJ$11&lt;&gt;"",$R117&lt;&gt;$AP117),TRUE,IF(OR(AJ117&lt;0,AJ117&gt;$R117),TRUE,FALSE))))</f>
        <v>0</v>
      </c>
      <c r="BW117" s="144" t="b">
        <f>IF(AND($C117&lt;&gt;"",AJ$11&lt;&gt;"",$AJ117=""),TRUE,FALSE)</f>
        <v>0</v>
      </c>
      <c r="BX117" s="160" t="b">
        <f>IF(BY117=TRUE,FALSE,IF(AND(AL117&lt;&gt;"",AL$11=""),TRUE,IF(AND(AL117&lt;&gt;"",AL$11&lt;&gt;"",$R117&lt;&gt;$AP117),TRUE,IF(OR(AL117&lt;0,AL117&gt;$R117),TRUE,FALSE))))</f>
        <v>0</v>
      </c>
      <c r="BY117" s="144" t="b">
        <f>IF(AND($C117&lt;&gt;"",AL$11&lt;&gt;"",$AL117=""),TRUE,FALSE)</f>
        <v>0</v>
      </c>
      <c r="BZ117" s="160" t="b">
        <f>IF(CA117=TRUE,FALSE,IF(AND(AN117&lt;&gt;"",AN$11=""),TRUE,IF(AND(AN117&lt;&gt;"",AN$11&lt;&gt;"",$R117&lt;&gt;$AP117),TRUE,IF(OR(AN117&lt;0,AN117&gt;$R117),TRUE,FALSE))))</f>
        <v>0</v>
      </c>
      <c r="CA117" s="144" t="b">
        <f>IF(AND($C117&lt;&gt;"",AN$11&lt;&gt;"",$AN117=""),TRUE,FALSE)</f>
        <v>0</v>
      </c>
      <c r="CB117" s="133"/>
      <c r="CC117" s="133"/>
      <c r="CD117" s="133"/>
      <c r="CE117" s="133"/>
      <c r="CF117" s="133"/>
      <c r="CG117" s="133"/>
      <c r="CH117" s="133"/>
      <c r="CI117" s="133"/>
      <c r="CJ117" s="133"/>
      <c r="CK117" s="133"/>
      <c r="CL117" s="133"/>
      <c r="CM117" s="133"/>
      <c r="CN117" s="133"/>
      <c r="CO117" s="133"/>
      <c r="CP117" s="133"/>
      <c r="CQ117" s="133"/>
      <c r="CR117" s="133"/>
      <c r="CS117" s="133"/>
      <c r="CT117" s="133"/>
      <c r="CU117" s="133"/>
      <c r="CV117" s="133"/>
      <c r="CW117" s="134"/>
    </row>
    <row r="118" spans="1:101" ht="6.75" customHeight="1" thickBot="1" x14ac:dyDescent="0.25">
      <c r="A118" s="228"/>
      <c r="B118" s="228"/>
      <c r="C118" s="232"/>
      <c r="D118" s="267"/>
      <c r="I118" s="267"/>
      <c r="K118" s="228"/>
      <c r="M118" s="267"/>
      <c r="O118" s="267"/>
      <c r="Q118" s="267"/>
      <c r="S118" s="267"/>
      <c r="U118" s="267"/>
      <c r="V118" s="283"/>
      <c r="W118" s="267"/>
      <c r="X118" s="283"/>
      <c r="Y118" s="267"/>
      <c r="Z118" s="283"/>
      <c r="AA118" s="267"/>
      <c r="AB118" s="283"/>
      <c r="AC118" s="267"/>
      <c r="AD118" s="283"/>
      <c r="AE118" s="267"/>
      <c r="AF118" s="283"/>
      <c r="AG118" s="267"/>
      <c r="AH118" s="283"/>
      <c r="AI118" s="267"/>
      <c r="AJ118" s="283"/>
      <c r="AK118" s="267"/>
      <c r="AL118" s="283"/>
      <c r="AM118" s="267"/>
      <c r="AN118" s="283"/>
      <c r="AO118" s="267"/>
      <c r="AP118" s="267"/>
      <c r="AQ118" s="267"/>
      <c r="AR118" s="232"/>
      <c r="AY118" s="145"/>
      <c r="AZ118" s="146"/>
      <c r="BA118" s="146"/>
      <c r="BB118" s="146"/>
      <c r="BC118" s="146"/>
      <c r="BD118" s="145"/>
      <c r="BE118" s="146"/>
      <c r="BF118" s="146"/>
      <c r="BG118" s="146"/>
      <c r="BH118" s="145"/>
      <c r="BI118" s="146"/>
      <c r="BJ118" s="145"/>
      <c r="BK118" s="146"/>
      <c r="BL118" s="145"/>
      <c r="BM118" s="146"/>
      <c r="BN118" s="145"/>
      <c r="BO118" s="146"/>
      <c r="BP118" s="145"/>
      <c r="BQ118" s="146"/>
      <c r="BR118" s="145"/>
      <c r="BS118" s="146"/>
      <c r="BT118" s="145"/>
      <c r="BU118" s="146"/>
      <c r="BV118" s="145"/>
      <c r="BW118" s="146"/>
      <c r="BX118" s="145"/>
      <c r="BY118" s="146"/>
      <c r="BZ118" s="145"/>
      <c r="CA118" s="146"/>
    </row>
    <row r="119" spans="1:101" s="101" customFormat="1" ht="12.75" customHeight="1" x14ac:dyDescent="0.2">
      <c r="A119" s="227">
        <f>A117+1</f>
        <v>52</v>
      </c>
      <c r="B119" s="227"/>
      <c r="C119" s="231"/>
      <c r="D119" s="251" t="str">
        <f>IF((C119=""),"Enter Segment "&amp;TEXT(A119,0)&amp;" Name, then Enter Data in Columns "&amp;TEXT($H$2,0)&amp;" - "&amp;TEXT($AN$2,0)&amp;"       ","")</f>
        <v xml:space="preserve">Enter Segment 52 Name, then Enter Data in Columns h - an       </v>
      </c>
      <c r="E119" s="131" t="str">
        <f>IF($AW119="B","N/A",IF(AX119="N","No",IF(AX119="Y","Yes","")))</f>
        <v>N/A</v>
      </c>
      <c r="F119" s="130"/>
      <c r="G119" s="130"/>
      <c r="H119" s="285"/>
      <c r="I119" s="251" t="str">
        <f>IF($C119&lt;&gt;"","Enter Starting Point       ","")</f>
        <v/>
      </c>
      <c r="J119" s="285"/>
      <c r="K119" s="227"/>
      <c r="L119" s="88"/>
      <c r="M119" s="251" t="str">
        <f>IF($C119&lt;&gt;"","Select from Pull-Down List  ","")</f>
        <v/>
      </c>
      <c r="N119" s="88"/>
      <c r="O119" s="251" t="str">
        <f>IF($C119&lt;&gt;"","Select from Pull-Down List  ","")</f>
        <v/>
      </c>
      <c r="P119" s="131"/>
      <c r="Q119" s="251" t="str">
        <f>IF($C119&lt;&gt;"","Dir. Route-Mi?    ","")</f>
        <v/>
      </c>
      <c r="R119" s="131"/>
      <c r="S119" s="251" t="str">
        <f>IF($C119&lt;&gt;"","Trk-Mi?      ","")</f>
        <v/>
      </c>
      <c r="T119" s="131"/>
      <c r="U119" s="251" t="str">
        <f>IF($C119&lt;&gt;"","Trk-Mi?      ","")</f>
        <v/>
      </c>
      <c r="V119" s="284"/>
      <c r="W119" s="278" t="str">
        <f>IF(OR($R119="",V$11=""),"","0 - "&amp;TEXT($R119-$AP119,"0.0")&amp;" Trk-Mi?    ")</f>
        <v/>
      </c>
      <c r="X119" s="284"/>
      <c r="Y119" s="278" t="str">
        <f>IF(OR($R119="",X$11=""),"","0 - "&amp;TEXT($R119-$AP119,"0.0")&amp;" Trk-Mi?    ")</f>
        <v/>
      </c>
      <c r="Z119" s="284"/>
      <c r="AA119" s="278" t="str">
        <f>IF(OR($R119="",Z$11=""),"","0 - "&amp;TEXT($R119-$AP119,"0.0")&amp;" Trk-Mi?    ")</f>
        <v/>
      </c>
      <c r="AB119" s="284"/>
      <c r="AC119" s="278" t="str">
        <f>IF(OR($R119="",AB$11=""),"","0 - "&amp;TEXT($R119-$AP119,"0.0")&amp;" Trk-Mi?    ")</f>
        <v/>
      </c>
      <c r="AD119" s="284"/>
      <c r="AE119" s="278" t="str">
        <f>IF(OR($R119="",AD$11=""),"","0 - "&amp;TEXT($R119-$AP119,"0.0")&amp;" Trk-Mi?    ")</f>
        <v/>
      </c>
      <c r="AF119" s="284"/>
      <c r="AG119" s="278" t="str">
        <f>IF(OR($R119="",AF$11=""),"","0 - "&amp;TEXT($R119-$AP119,"0.0")&amp;" Trk-Mi?    ")</f>
        <v/>
      </c>
      <c r="AH119" s="284"/>
      <c r="AI119" s="278" t="str">
        <f>IF(OR($R119="",AH$11=""),"","0 - "&amp;TEXT($R119-$AP119,"0.0")&amp;" Trk-Mi?    ")</f>
        <v/>
      </c>
      <c r="AJ119" s="284"/>
      <c r="AK119" s="278" t="str">
        <f>IF(OR($R119="",AJ$11=""),"","0 - "&amp;TEXT($R119-$AP119,"0.0")&amp;" Trk-Mi?    ")</f>
        <v/>
      </c>
      <c r="AL119" s="284"/>
      <c r="AM119" s="278" t="str">
        <f>IF(OR($R119="",AL$11=""),"","0 - "&amp;TEXT($R119-$AP119,"0.0")&amp;" Trk-Mi?    ")</f>
        <v/>
      </c>
      <c r="AN119" s="284"/>
      <c r="AO119" s="278" t="str">
        <f>IF(OR($R119="",AN$11=""),"","0 - "&amp;TEXT($R119-$AP119,"0.0")&amp;" Trk-Mi?    ")</f>
        <v/>
      </c>
      <c r="AP119" s="282">
        <f>SUM(V119,X119,Z119,AB119,AD119,AF119,AH119,AJ119,AL119,AN119)</f>
        <v>0</v>
      </c>
      <c r="AQ119" s="278"/>
      <c r="AR119" s="234"/>
      <c r="AS119" s="107"/>
      <c r="AT119" s="107"/>
      <c r="AU119" s="107"/>
      <c r="AW119" s="107" t="str">
        <f>IF(AND($C119="",$H119="",$J119="",$L119="",$N119="",$P119="",$R119=""),"B","NB")</f>
        <v>B</v>
      </c>
      <c r="AX119" s="241" t="str">
        <f>IF(OR($C119="",$H119="",$J119="",$L119="",$N119="",$R119="",$P119="",AND($V$11&lt;&gt;"",$V119=""),AND($X$11&lt;&gt;"",$X119=""),AND($Z$11&lt;&gt;"",$Z119=""),AND($AB$11&lt;&gt;"",$AB119=""),AND($AD$11&lt;&gt;"",$AD119=""),AND($AF$11&lt;&gt;"",$AF119=""),AND($AH$11&lt;&gt;"",$AH119=""),AND($AJ$11&lt;&gt;"",$AJ119=""),AND($AL$11&lt;&gt;"",$AL119=""),AND($AN$11&lt;&gt;"",$AN119="")),"N","Y")</f>
        <v>N</v>
      </c>
      <c r="AY119" s="142" t="b">
        <f>IF(AND($C119="",OR($H119&lt;&gt;"",$J119&lt;&gt;"",$L119&lt;&gt;"",$N119&lt;&gt;"",$R119&lt;&gt;"",$P119&lt;&gt;"",AND($V$11&lt;&gt;"",$V119&lt;&gt;""),AND($X$11&lt;&gt;"",$X119&lt;&gt;""),AND($Z$11&lt;&gt;"",$Z119&lt;&gt;""),AND($AB$11&lt;&gt;"",$AB119&lt;&gt;""),AND($AD$11&lt;&gt;"",$AD119&lt;&gt;""),AND($AF$11&lt;&gt;"",$AF119&lt;&gt;""),AND($AH$11&lt;&gt;"",$AH119&lt;&gt;""),AND($AJ$11&lt;&gt;"",$AJ119&lt;&gt;""),AND($AL$11&lt;&gt;"",$AL119&lt;&gt;""),AND($AN$11&lt;&gt;"",$AN119&lt;&gt;""))),TRUE,FALSE)</f>
        <v>0</v>
      </c>
      <c r="AZ119" s="144" t="b">
        <f>IF(AND($C119&lt;&gt;"",$H119=""),TRUE,FALSE)</f>
        <v>0</v>
      </c>
      <c r="BA119" s="144" t="b">
        <f>IF(AND($C119&lt;&gt;"",$J119=""),TRUE,FALSE)</f>
        <v>0</v>
      </c>
      <c r="BB119" s="144" t="b">
        <f>IF(AND($C119&lt;&gt;"",$L119=""),TRUE,FALSE)</f>
        <v>0</v>
      </c>
      <c r="BC119" s="144" t="b">
        <f>IF(AND($C119&lt;&gt;"",$N119=""),TRUE,FALSE)</f>
        <v>0</v>
      </c>
      <c r="BD119" s="142" t="b">
        <f>IF($BE119=TRUE,FALSE,IF(OR($P119&lt;$BD$5,$P119&gt;$BE$5),TRUE,FALSE))</f>
        <v>0</v>
      </c>
      <c r="BE119" s="144" t="b">
        <f>IF(AND($C119&lt;&gt;"",$P119=""),TRUE,FALSE)</f>
        <v>0</v>
      </c>
      <c r="BF119" s="144" t="b">
        <f>IF($BG119=TRUE,FALSE,IF(OR($R119&lt;$BF$5,$R119&gt;$BG$5),TRUE,FALSE))</f>
        <v>0</v>
      </c>
      <c r="BG119" s="144" t="b">
        <f>IF(AND($C119&lt;&gt;"",$R119=""),TRUE,FALSE)</f>
        <v>0</v>
      </c>
      <c r="BH119" s="160" t="b">
        <f>IF(BI119=TRUE,FALSE,IF(AND(V119&lt;&gt;"",V$11=""),TRUE,IF(AND(V119&lt;&gt;"",V$11&lt;&gt;"",$R119&lt;&gt;$AP119),TRUE,IF(OR(V119&lt;0,V119&gt;$R119),TRUE,FALSE))))</f>
        <v>0</v>
      </c>
      <c r="BI119" s="144" t="b">
        <f>IF(AND($C119&lt;&gt;"",V$11&lt;&gt;"",$V119=""),TRUE,FALSE)</f>
        <v>0</v>
      </c>
      <c r="BJ119" s="160" t="b">
        <f>IF(BK119=TRUE,FALSE,IF(AND(X119&lt;&gt;"",X$11=""),TRUE,IF(AND(X119&lt;&gt;"",X$11&lt;&gt;"",$R119&lt;&gt;$AP119),TRUE,IF(OR(X119&lt;0,X119&gt;$R119),TRUE,FALSE))))</f>
        <v>0</v>
      </c>
      <c r="BK119" s="144" t="b">
        <f>IF(AND($C119&lt;&gt;"",X$11&lt;&gt;"",$X119=""),TRUE,FALSE)</f>
        <v>0</v>
      </c>
      <c r="BL119" s="160" t="b">
        <f>IF(BM119=TRUE,FALSE,IF(AND(Z119&lt;&gt;"",Z$11=""),TRUE,IF(AND(Z119&lt;&gt;"",Z$11&lt;&gt;"",$R119&lt;&gt;$AP119),TRUE,IF(OR(Z119&lt;0,Z119&gt;$R119),TRUE,FALSE))))</f>
        <v>0</v>
      </c>
      <c r="BM119" s="144" t="b">
        <f>IF(AND($C119&lt;&gt;"",Z$11&lt;&gt;"",$Z119=""),TRUE,FALSE)</f>
        <v>0</v>
      </c>
      <c r="BN119" s="160" t="b">
        <f>IF(BO119=TRUE,FALSE,IF(AND(AB119&lt;&gt;"",AB$11=""),TRUE,IF(AND(AB119&lt;&gt;"",AB$11&lt;&gt;"",$R119&lt;&gt;$AP119),TRUE,IF(OR(AB119&lt;0,AB119&gt;$R119),TRUE,FALSE))))</f>
        <v>0</v>
      </c>
      <c r="BO119" s="144" t="b">
        <f>IF(AND($C119&lt;&gt;"",AB$11&lt;&gt;"",$AB119=""),TRUE,FALSE)</f>
        <v>0</v>
      </c>
      <c r="BP119" s="160" t="b">
        <f>IF(BQ119=TRUE,FALSE,IF(AND(AD119&lt;&gt;"",AD$11=""),TRUE,IF(AND(AD119&lt;&gt;"",AD$11&lt;&gt;"",$R119&lt;&gt;$AP119),TRUE,IF(OR(AD119&lt;0,AD119&gt;$R119),TRUE,FALSE))))</f>
        <v>0</v>
      </c>
      <c r="BQ119" s="144" t="b">
        <f>IF(AND($C119&lt;&gt;"",AD$11&lt;&gt;"",$AD119=""),TRUE,FALSE)</f>
        <v>0</v>
      </c>
      <c r="BR119" s="160" t="b">
        <f>IF(BS119=TRUE,FALSE,IF(AND(AF119&lt;&gt;"",AF$11=""),TRUE,IF(AND(AF119&lt;&gt;"",AF$11&lt;&gt;"",$R119&lt;&gt;$AP119),TRUE,IF(OR(AF119&lt;0,AF119&gt;$R119),TRUE,FALSE))))</f>
        <v>0</v>
      </c>
      <c r="BS119" s="144" t="b">
        <f>IF(AND($C119&lt;&gt;"",AF$11&lt;&gt;"",$AF119=""),TRUE,FALSE)</f>
        <v>0</v>
      </c>
      <c r="BT119" s="160" t="b">
        <f>IF(BU119=TRUE,FALSE,IF(AND(AH119&lt;&gt;"",AH$11=""),TRUE,IF(AND(AH119&lt;&gt;"",AH$11&lt;&gt;"",$R119&lt;&gt;$AP119),TRUE,IF(OR(AH119&lt;0,AH119&gt;$R119),TRUE,FALSE))))</f>
        <v>0</v>
      </c>
      <c r="BU119" s="144" t="b">
        <f>IF(AND($C119&lt;&gt;"",AH$11&lt;&gt;"",$AH119=""),TRUE,FALSE)</f>
        <v>0</v>
      </c>
      <c r="BV119" s="160" t="b">
        <f>IF(BW119=TRUE,FALSE,IF(AND(AJ119&lt;&gt;"",AJ$11=""),TRUE,IF(AND(AJ119&lt;&gt;"",AJ$11&lt;&gt;"",$R119&lt;&gt;$AP119),TRUE,IF(OR(AJ119&lt;0,AJ119&gt;$R119),TRUE,FALSE))))</f>
        <v>0</v>
      </c>
      <c r="BW119" s="144" t="b">
        <f>IF(AND($C119&lt;&gt;"",AJ$11&lt;&gt;"",$AJ119=""),TRUE,FALSE)</f>
        <v>0</v>
      </c>
      <c r="BX119" s="160" t="b">
        <f>IF(BY119=TRUE,FALSE,IF(AND(AL119&lt;&gt;"",AL$11=""),TRUE,IF(AND(AL119&lt;&gt;"",AL$11&lt;&gt;"",$R119&lt;&gt;$AP119),TRUE,IF(OR(AL119&lt;0,AL119&gt;$R119),TRUE,FALSE))))</f>
        <v>0</v>
      </c>
      <c r="BY119" s="144" t="b">
        <f>IF(AND($C119&lt;&gt;"",AL$11&lt;&gt;"",$AL119=""),TRUE,FALSE)</f>
        <v>0</v>
      </c>
      <c r="BZ119" s="160" t="b">
        <f>IF(CA119=TRUE,FALSE,IF(AND(AN119&lt;&gt;"",AN$11=""),TRUE,IF(AND(AN119&lt;&gt;"",AN$11&lt;&gt;"",$R119&lt;&gt;$AP119),TRUE,IF(OR(AN119&lt;0,AN119&gt;$R119),TRUE,FALSE))))</f>
        <v>0</v>
      </c>
      <c r="CA119" s="144" t="b">
        <f>IF(AND($C119&lt;&gt;"",AN$11&lt;&gt;"",$AN119=""),TRUE,FALSE)</f>
        <v>0</v>
      </c>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4"/>
    </row>
    <row r="120" spans="1:101" ht="6.75" customHeight="1" thickBot="1" x14ac:dyDescent="0.25">
      <c r="A120" s="228"/>
      <c r="B120" s="228"/>
      <c r="C120" s="232"/>
      <c r="D120" s="267"/>
      <c r="I120" s="267"/>
      <c r="K120" s="228"/>
      <c r="M120" s="267"/>
      <c r="O120" s="267"/>
      <c r="Q120" s="267"/>
      <c r="S120" s="267"/>
      <c r="U120" s="267"/>
      <c r="V120" s="283"/>
      <c r="W120" s="267"/>
      <c r="X120" s="283"/>
      <c r="Y120" s="267"/>
      <c r="Z120" s="283"/>
      <c r="AA120" s="267"/>
      <c r="AB120" s="283"/>
      <c r="AC120" s="267"/>
      <c r="AD120" s="283"/>
      <c r="AE120" s="267"/>
      <c r="AF120" s="283"/>
      <c r="AG120" s="267"/>
      <c r="AH120" s="283"/>
      <c r="AI120" s="267"/>
      <c r="AJ120" s="283"/>
      <c r="AK120" s="267"/>
      <c r="AL120" s="283"/>
      <c r="AM120" s="267"/>
      <c r="AN120" s="283"/>
      <c r="AO120" s="267"/>
      <c r="AP120" s="267"/>
      <c r="AQ120" s="267"/>
      <c r="AR120" s="232"/>
      <c r="AY120" s="145"/>
      <c r="AZ120" s="146"/>
      <c r="BA120" s="146"/>
      <c r="BB120" s="146"/>
      <c r="BC120" s="146"/>
      <c r="BD120" s="145"/>
      <c r="BE120" s="146"/>
      <c r="BF120" s="146"/>
      <c r="BG120" s="146"/>
      <c r="BH120" s="145"/>
      <c r="BI120" s="146"/>
      <c r="BJ120" s="145"/>
      <c r="BK120" s="146"/>
      <c r="BL120" s="145"/>
      <c r="BM120" s="146"/>
      <c r="BN120" s="145"/>
      <c r="BO120" s="146"/>
      <c r="BP120" s="145"/>
      <c r="BQ120" s="146"/>
      <c r="BR120" s="145"/>
      <c r="BS120" s="146"/>
      <c r="BT120" s="145"/>
      <c r="BU120" s="146"/>
      <c r="BV120" s="145"/>
      <c r="BW120" s="146"/>
      <c r="BX120" s="145"/>
      <c r="BY120" s="146"/>
      <c r="BZ120" s="145"/>
      <c r="CA120" s="146"/>
    </row>
    <row r="121" spans="1:101" s="101" customFormat="1" ht="12.75" customHeight="1" x14ac:dyDescent="0.2">
      <c r="A121" s="227">
        <f>A119+1</f>
        <v>53</v>
      </c>
      <c r="B121" s="227"/>
      <c r="C121" s="231"/>
      <c r="D121" s="251" t="str">
        <f>IF((C121=""),"Enter Segment "&amp;TEXT(A121,0)&amp;" Name, then Enter Data in Columns "&amp;TEXT($H$2,0)&amp;" - "&amp;TEXT($AN$2,0)&amp;"       ","")</f>
        <v xml:space="preserve">Enter Segment 53 Name, then Enter Data in Columns h - an       </v>
      </c>
      <c r="E121" s="131" t="str">
        <f>IF($AW121="B","N/A",IF(AX121="N","No",IF(AX121="Y","Yes","")))</f>
        <v>N/A</v>
      </c>
      <c r="F121" s="130"/>
      <c r="G121" s="130"/>
      <c r="H121" s="285"/>
      <c r="I121" s="251" t="str">
        <f>IF($C121&lt;&gt;"","Enter Starting Point       ","")</f>
        <v/>
      </c>
      <c r="J121" s="285"/>
      <c r="K121" s="227"/>
      <c r="L121" s="88"/>
      <c r="M121" s="251" t="str">
        <f>IF($C121&lt;&gt;"","Select from Pull-Down List  ","")</f>
        <v/>
      </c>
      <c r="N121" s="88"/>
      <c r="O121" s="251" t="str">
        <f>IF($C121&lt;&gt;"","Select from Pull-Down List  ","")</f>
        <v/>
      </c>
      <c r="P121" s="131"/>
      <c r="Q121" s="251" t="str">
        <f>IF($C121&lt;&gt;"","Dir. Route-Mi?    ","")</f>
        <v/>
      </c>
      <c r="R121" s="131"/>
      <c r="S121" s="251" t="str">
        <f>IF($C121&lt;&gt;"","Trk-Mi?      ","")</f>
        <v/>
      </c>
      <c r="T121" s="131"/>
      <c r="U121" s="251" t="str">
        <f>IF($C121&lt;&gt;"","Trk-Mi?      ","")</f>
        <v/>
      </c>
      <c r="V121" s="284"/>
      <c r="W121" s="278" t="str">
        <f>IF(OR($R121="",V$11=""),"","0 - "&amp;TEXT($R121-$AP121,"0.0")&amp;" Trk-Mi?    ")</f>
        <v/>
      </c>
      <c r="X121" s="284"/>
      <c r="Y121" s="278" t="str">
        <f>IF(OR($R121="",X$11=""),"","0 - "&amp;TEXT($R121-$AP121,"0.0")&amp;" Trk-Mi?    ")</f>
        <v/>
      </c>
      <c r="Z121" s="284"/>
      <c r="AA121" s="278" t="str">
        <f>IF(OR($R121="",Z$11=""),"","0 - "&amp;TEXT($R121-$AP121,"0.0")&amp;" Trk-Mi?    ")</f>
        <v/>
      </c>
      <c r="AB121" s="284"/>
      <c r="AC121" s="278" t="str">
        <f>IF(OR($R121="",AB$11=""),"","0 - "&amp;TEXT($R121-$AP121,"0.0")&amp;" Trk-Mi?    ")</f>
        <v/>
      </c>
      <c r="AD121" s="284"/>
      <c r="AE121" s="278" t="str">
        <f>IF(OR($R121="",AD$11=""),"","0 - "&amp;TEXT($R121-$AP121,"0.0")&amp;" Trk-Mi?    ")</f>
        <v/>
      </c>
      <c r="AF121" s="284"/>
      <c r="AG121" s="278" t="str">
        <f>IF(OR($R121="",AF$11=""),"","0 - "&amp;TEXT($R121-$AP121,"0.0")&amp;" Trk-Mi?    ")</f>
        <v/>
      </c>
      <c r="AH121" s="284"/>
      <c r="AI121" s="278" t="str">
        <f>IF(OR($R121="",AH$11=""),"","0 - "&amp;TEXT($R121-$AP121,"0.0")&amp;" Trk-Mi?    ")</f>
        <v/>
      </c>
      <c r="AJ121" s="284"/>
      <c r="AK121" s="278" t="str">
        <f>IF(OR($R121="",AJ$11=""),"","0 - "&amp;TEXT($R121-$AP121,"0.0")&amp;" Trk-Mi?    ")</f>
        <v/>
      </c>
      <c r="AL121" s="284"/>
      <c r="AM121" s="278" t="str">
        <f>IF(OR($R121="",AL$11=""),"","0 - "&amp;TEXT($R121-$AP121,"0.0")&amp;" Trk-Mi?    ")</f>
        <v/>
      </c>
      <c r="AN121" s="284"/>
      <c r="AO121" s="278" t="str">
        <f>IF(OR($R121="",AN$11=""),"","0 - "&amp;TEXT($R121-$AP121,"0.0")&amp;" Trk-Mi?    ")</f>
        <v/>
      </c>
      <c r="AP121" s="282">
        <f>SUM(V121,X121,Z121,AB121,AD121,AF121,AH121,AJ121,AL121,AN121)</f>
        <v>0</v>
      </c>
      <c r="AQ121" s="278"/>
      <c r="AR121" s="234"/>
      <c r="AS121" s="107"/>
      <c r="AT121" s="107"/>
      <c r="AU121" s="107"/>
      <c r="AW121" s="107" t="str">
        <f>IF(AND($C121="",$H121="",$J121="",$L121="",$N121="",$P121="",$R121=""),"B","NB")</f>
        <v>B</v>
      </c>
      <c r="AX121" s="241" t="str">
        <f>IF(OR($C121="",$H121="",$J121="",$L121="",$N121="",$R121="",$P121="",AND($V$11&lt;&gt;"",$V121=""),AND($X$11&lt;&gt;"",$X121=""),AND($Z$11&lt;&gt;"",$Z121=""),AND($AB$11&lt;&gt;"",$AB121=""),AND($AD$11&lt;&gt;"",$AD121=""),AND($AF$11&lt;&gt;"",$AF121=""),AND($AH$11&lt;&gt;"",$AH121=""),AND($AJ$11&lt;&gt;"",$AJ121=""),AND($AL$11&lt;&gt;"",$AL121=""),AND($AN$11&lt;&gt;"",$AN121="")),"N","Y")</f>
        <v>N</v>
      </c>
      <c r="AY121" s="142" t="b">
        <f>IF(AND($C121="",OR($H121&lt;&gt;"",$J121&lt;&gt;"",$L121&lt;&gt;"",$N121&lt;&gt;"",$R121&lt;&gt;"",$P121&lt;&gt;"",AND($V$11&lt;&gt;"",$V121&lt;&gt;""),AND($X$11&lt;&gt;"",$X121&lt;&gt;""),AND($Z$11&lt;&gt;"",$Z121&lt;&gt;""),AND($AB$11&lt;&gt;"",$AB121&lt;&gt;""),AND($AD$11&lt;&gt;"",$AD121&lt;&gt;""),AND($AF$11&lt;&gt;"",$AF121&lt;&gt;""),AND($AH$11&lt;&gt;"",$AH121&lt;&gt;""),AND($AJ$11&lt;&gt;"",$AJ121&lt;&gt;""),AND($AL$11&lt;&gt;"",$AL121&lt;&gt;""),AND($AN$11&lt;&gt;"",$AN121&lt;&gt;""))),TRUE,FALSE)</f>
        <v>0</v>
      </c>
      <c r="AZ121" s="144" t="b">
        <f>IF(AND($C121&lt;&gt;"",$H121=""),TRUE,FALSE)</f>
        <v>0</v>
      </c>
      <c r="BA121" s="144" t="b">
        <f>IF(AND($C121&lt;&gt;"",$J121=""),TRUE,FALSE)</f>
        <v>0</v>
      </c>
      <c r="BB121" s="144" t="b">
        <f>IF(AND($C121&lt;&gt;"",$L121=""),TRUE,FALSE)</f>
        <v>0</v>
      </c>
      <c r="BC121" s="144" t="b">
        <f>IF(AND($C121&lt;&gt;"",$N121=""),TRUE,FALSE)</f>
        <v>0</v>
      </c>
      <c r="BD121" s="142" t="b">
        <f>IF($BE121=TRUE,FALSE,IF(OR($P121&lt;$BD$5,$P121&gt;$BE$5),TRUE,FALSE))</f>
        <v>0</v>
      </c>
      <c r="BE121" s="144" t="b">
        <f>IF(AND($C121&lt;&gt;"",$P121=""),TRUE,FALSE)</f>
        <v>0</v>
      </c>
      <c r="BF121" s="144" t="b">
        <f>IF($BG121=TRUE,FALSE,IF(OR($R121&lt;$BF$5,$R121&gt;$BG$5),TRUE,FALSE))</f>
        <v>0</v>
      </c>
      <c r="BG121" s="144" t="b">
        <f>IF(AND($C121&lt;&gt;"",$R121=""),TRUE,FALSE)</f>
        <v>0</v>
      </c>
      <c r="BH121" s="160" t="b">
        <f>IF(BI121=TRUE,FALSE,IF(AND(V121&lt;&gt;"",V$11=""),TRUE,IF(AND(V121&lt;&gt;"",V$11&lt;&gt;"",$R121&lt;&gt;$AP121),TRUE,IF(OR(V121&lt;0,V121&gt;$R121),TRUE,FALSE))))</f>
        <v>0</v>
      </c>
      <c r="BI121" s="144" t="b">
        <f>IF(AND($C121&lt;&gt;"",V$11&lt;&gt;"",$V121=""),TRUE,FALSE)</f>
        <v>0</v>
      </c>
      <c r="BJ121" s="160" t="b">
        <f>IF(BK121=TRUE,FALSE,IF(AND(X121&lt;&gt;"",X$11=""),TRUE,IF(AND(X121&lt;&gt;"",X$11&lt;&gt;"",$R121&lt;&gt;$AP121),TRUE,IF(OR(X121&lt;0,X121&gt;$R121),TRUE,FALSE))))</f>
        <v>0</v>
      </c>
      <c r="BK121" s="144" t="b">
        <f>IF(AND($C121&lt;&gt;"",X$11&lt;&gt;"",$X121=""),TRUE,FALSE)</f>
        <v>0</v>
      </c>
      <c r="BL121" s="160" t="b">
        <f>IF(BM121=TRUE,FALSE,IF(AND(Z121&lt;&gt;"",Z$11=""),TRUE,IF(AND(Z121&lt;&gt;"",Z$11&lt;&gt;"",$R121&lt;&gt;$AP121),TRUE,IF(OR(Z121&lt;0,Z121&gt;$R121),TRUE,FALSE))))</f>
        <v>0</v>
      </c>
      <c r="BM121" s="144" t="b">
        <f>IF(AND($C121&lt;&gt;"",Z$11&lt;&gt;"",$Z121=""),TRUE,FALSE)</f>
        <v>0</v>
      </c>
      <c r="BN121" s="160" t="b">
        <f>IF(BO121=TRUE,FALSE,IF(AND(AB121&lt;&gt;"",AB$11=""),TRUE,IF(AND(AB121&lt;&gt;"",AB$11&lt;&gt;"",$R121&lt;&gt;$AP121),TRUE,IF(OR(AB121&lt;0,AB121&gt;$R121),TRUE,FALSE))))</f>
        <v>0</v>
      </c>
      <c r="BO121" s="144" t="b">
        <f>IF(AND($C121&lt;&gt;"",AB$11&lt;&gt;"",$AB121=""),TRUE,FALSE)</f>
        <v>0</v>
      </c>
      <c r="BP121" s="160" t="b">
        <f>IF(BQ121=TRUE,FALSE,IF(AND(AD121&lt;&gt;"",AD$11=""),TRUE,IF(AND(AD121&lt;&gt;"",AD$11&lt;&gt;"",$R121&lt;&gt;$AP121),TRUE,IF(OR(AD121&lt;0,AD121&gt;$R121),TRUE,FALSE))))</f>
        <v>0</v>
      </c>
      <c r="BQ121" s="144" t="b">
        <f>IF(AND($C121&lt;&gt;"",AD$11&lt;&gt;"",$AD121=""),TRUE,FALSE)</f>
        <v>0</v>
      </c>
      <c r="BR121" s="160" t="b">
        <f>IF(BS121=TRUE,FALSE,IF(AND(AF121&lt;&gt;"",AF$11=""),TRUE,IF(AND(AF121&lt;&gt;"",AF$11&lt;&gt;"",$R121&lt;&gt;$AP121),TRUE,IF(OR(AF121&lt;0,AF121&gt;$R121),TRUE,FALSE))))</f>
        <v>0</v>
      </c>
      <c r="BS121" s="144" t="b">
        <f>IF(AND($C121&lt;&gt;"",AF$11&lt;&gt;"",$AF121=""),TRUE,FALSE)</f>
        <v>0</v>
      </c>
      <c r="BT121" s="160" t="b">
        <f>IF(BU121=TRUE,FALSE,IF(AND(AH121&lt;&gt;"",AH$11=""),TRUE,IF(AND(AH121&lt;&gt;"",AH$11&lt;&gt;"",$R121&lt;&gt;$AP121),TRUE,IF(OR(AH121&lt;0,AH121&gt;$R121),TRUE,FALSE))))</f>
        <v>0</v>
      </c>
      <c r="BU121" s="144" t="b">
        <f>IF(AND($C121&lt;&gt;"",AH$11&lt;&gt;"",$AH121=""),TRUE,FALSE)</f>
        <v>0</v>
      </c>
      <c r="BV121" s="160" t="b">
        <f>IF(BW121=TRUE,FALSE,IF(AND(AJ121&lt;&gt;"",AJ$11=""),TRUE,IF(AND(AJ121&lt;&gt;"",AJ$11&lt;&gt;"",$R121&lt;&gt;$AP121),TRUE,IF(OR(AJ121&lt;0,AJ121&gt;$R121),TRUE,FALSE))))</f>
        <v>0</v>
      </c>
      <c r="BW121" s="144" t="b">
        <f>IF(AND($C121&lt;&gt;"",AJ$11&lt;&gt;"",$AJ121=""),TRUE,FALSE)</f>
        <v>0</v>
      </c>
      <c r="BX121" s="160" t="b">
        <f>IF(BY121=TRUE,FALSE,IF(AND(AL121&lt;&gt;"",AL$11=""),TRUE,IF(AND(AL121&lt;&gt;"",AL$11&lt;&gt;"",$R121&lt;&gt;$AP121),TRUE,IF(OR(AL121&lt;0,AL121&gt;$R121),TRUE,FALSE))))</f>
        <v>0</v>
      </c>
      <c r="BY121" s="144" t="b">
        <f>IF(AND($C121&lt;&gt;"",AL$11&lt;&gt;"",$AL121=""),TRUE,FALSE)</f>
        <v>0</v>
      </c>
      <c r="BZ121" s="160" t="b">
        <f>IF(CA121=TRUE,FALSE,IF(AND(AN121&lt;&gt;"",AN$11=""),TRUE,IF(AND(AN121&lt;&gt;"",AN$11&lt;&gt;"",$R121&lt;&gt;$AP121),TRUE,IF(OR(AN121&lt;0,AN121&gt;$R121),TRUE,FALSE))))</f>
        <v>0</v>
      </c>
      <c r="CA121" s="144" t="b">
        <f>IF(AND($C121&lt;&gt;"",AN$11&lt;&gt;"",$AN121=""),TRUE,FALSE)</f>
        <v>0</v>
      </c>
      <c r="CB121" s="133"/>
      <c r="CC121" s="133"/>
      <c r="CD121" s="133"/>
      <c r="CE121" s="133"/>
      <c r="CF121" s="133"/>
      <c r="CG121" s="133"/>
      <c r="CH121" s="133"/>
      <c r="CI121" s="133"/>
      <c r="CJ121" s="133"/>
      <c r="CK121" s="133"/>
      <c r="CL121" s="133"/>
      <c r="CM121" s="133"/>
      <c r="CN121" s="133"/>
      <c r="CO121" s="133"/>
      <c r="CP121" s="133"/>
      <c r="CQ121" s="133"/>
      <c r="CR121" s="133"/>
      <c r="CS121" s="133"/>
      <c r="CT121" s="133"/>
      <c r="CU121" s="133"/>
      <c r="CV121" s="133"/>
      <c r="CW121" s="134"/>
    </row>
    <row r="122" spans="1:101" ht="6.75" customHeight="1" thickBot="1" x14ac:dyDescent="0.25">
      <c r="A122" s="228"/>
      <c r="B122" s="228"/>
      <c r="C122" s="232"/>
      <c r="D122" s="267"/>
      <c r="I122" s="267"/>
      <c r="K122" s="228"/>
      <c r="M122" s="267"/>
      <c r="O122" s="267"/>
      <c r="Q122" s="267"/>
      <c r="S122" s="267"/>
      <c r="U122" s="267"/>
      <c r="V122" s="283"/>
      <c r="W122" s="267"/>
      <c r="X122" s="283"/>
      <c r="Y122" s="267"/>
      <c r="Z122" s="283"/>
      <c r="AA122" s="267"/>
      <c r="AB122" s="283"/>
      <c r="AC122" s="267"/>
      <c r="AD122" s="283"/>
      <c r="AE122" s="267"/>
      <c r="AF122" s="283"/>
      <c r="AG122" s="267"/>
      <c r="AH122" s="283"/>
      <c r="AI122" s="267"/>
      <c r="AJ122" s="283"/>
      <c r="AK122" s="267"/>
      <c r="AL122" s="283"/>
      <c r="AM122" s="267"/>
      <c r="AN122" s="283"/>
      <c r="AO122" s="267"/>
      <c r="AP122" s="267"/>
      <c r="AQ122" s="267"/>
      <c r="AR122" s="232"/>
      <c r="AY122" s="145"/>
      <c r="AZ122" s="146"/>
      <c r="BA122" s="146"/>
      <c r="BB122" s="146"/>
      <c r="BC122" s="146"/>
      <c r="BD122" s="145"/>
      <c r="BE122" s="146"/>
      <c r="BF122" s="146"/>
      <c r="BG122" s="146"/>
      <c r="BH122" s="145"/>
      <c r="BI122" s="146"/>
      <c r="BJ122" s="145"/>
      <c r="BK122" s="146"/>
      <c r="BL122" s="145"/>
      <c r="BM122" s="146"/>
      <c r="BN122" s="145"/>
      <c r="BO122" s="146"/>
      <c r="BP122" s="145"/>
      <c r="BQ122" s="146"/>
      <c r="BR122" s="145"/>
      <c r="BS122" s="146"/>
      <c r="BT122" s="145"/>
      <c r="BU122" s="146"/>
      <c r="BV122" s="145"/>
      <c r="BW122" s="146"/>
      <c r="BX122" s="145"/>
      <c r="BY122" s="146"/>
      <c r="BZ122" s="145"/>
      <c r="CA122" s="146"/>
    </row>
    <row r="123" spans="1:101" s="101" customFormat="1" ht="12.75" customHeight="1" x14ac:dyDescent="0.2">
      <c r="A123" s="227">
        <f>A121+1</f>
        <v>54</v>
      </c>
      <c r="B123" s="227"/>
      <c r="C123" s="231"/>
      <c r="D123" s="251" t="str">
        <f>IF((C123=""),"Enter Segment "&amp;TEXT(A123,0)&amp;" Name, then Enter Data in Columns "&amp;TEXT($H$2,0)&amp;" - "&amp;TEXT($AN$2,0)&amp;"       ","")</f>
        <v xml:space="preserve">Enter Segment 54 Name, then Enter Data in Columns h - an       </v>
      </c>
      <c r="E123" s="131" t="str">
        <f>IF($AW123="B","N/A",IF(AX123="N","No",IF(AX123="Y","Yes","")))</f>
        <v>N/A</v>
      </c>
      <c r="F123" s="130"/>
      <c r="G123" s="130"/>
      <c r="H123" s="285"/>
      <c r="I123" s="251" t="str">
        <f>IF($C123&lt;&gt;"","Enter Starting Point       ","")</f>
        <v/>
      </c>
      <c r="J123" s="285"/>
      <c r="K123" s="227"/>
      <c r="L123" s="88"/>
      <c r="M123" s="251" t="str">
        <f>IF($C123&lt;&gt;"","Select from Pull-Down List  ","")</f>
        <v/>
      </c>
      <c r="N123" s="88"/>
      <c r="O123" s="251" t="str">
        <f>IF($C123&lt;&gt;"","Select from Pull-Down List  ","")</f>
        <v/>
      </c>
      <c r="P123" s="131"/>
      <c r="Q123" s="251" t="str">
        <f>IF($C123&lt;&gt;"","Dir. Route-Mi?    ","")</f>
        <v/>
      </c>
      <c r="R123" s="131"/>
      <c r="S123" s="251" t="str">
        <f>IF($C123&lt;&gt;"","Trk-Mi?      ","")</f>
        <v/>
      </c>
      <c r="T123" s="131"/>
      <c r="U123" s="251" t="str">
        <f>IF($C123&lt;&gt;"","Trk-Mi?      ","")</f>
        <v/>
      </c>
      <c r="V123" s="284"/>
      <c r="W123" s="278" t="str">
        <f>IF(OR($R123="",V$11=""),"","0 - "&amp;TEXT($R123-$AP123,"0.0")&amp;" Trk-Mi?    ")</f>
        <v/>
      </c>
      <c r="X123" s="284"/>
      <c r="Y123" s="278" t="str">
        <f>IF(OR($R123="",X$11=""),"","0 - "&amp;TEXT($R123-$AP123,"0.0")&amp;" Trk-Mi?    ")</f>
        <v/>
      </c>
      <c r="Z123" s="284"/>
      <c r="AA123" s="278" t="str">
        <f>IF(OR($R123="",Z$11=""),"","0 - "&amp;TEXT($R123-$AP123,"0.0")&amp;" Trk-Mi?    ")</f>
        <v/>
      </c>
      <c r="AB123" s="284"/>
      <c r="AC123" s="278" t="str">
        <f>IF(OR($R123="",AB$11=""),"","0 - "&amp;TEXT($R123-$AP123,"0.0")&amp;" Trk-Mi?    ")</f>
        <v/>
      </c>
      <c r="AD123" s="284"/>
      <c r="AE123" s="278" t="str">
        <f>IF(OR($R123="",AD$11=""),"","0 - "&amp;TEXT($R123-$AP123,"0.0")&amp;" Trk-Mi?    ")</f>
        <v/>
      </c>
      <c r="AF123" s="284"/>
      <c r="AG123" s="278" t="str">
        <f>IF(OR($R123="",AF$11=""),"","0 - "&amp;TEXT($R123-$AP123,"0.0")&amp;" Trk-Mi?    ")</f>
        <v/>
      </c>
      <c r="AH123" s="284"/>
      <c r="AI123" s="278" t="str">
        <f>IF(OR($R123="",AH$11=""),"","0 - "&amp;TEXT($R123-$AP123,"0.0")&amp;" Trk-Mi?    ")</f>
        <v/>
      </c>
      <c r="AJ123" s="284"/>
      <c r="AK123" s="278" t="str">
        <f>IF(OR($R123="",AJ$11=""),"","0 - "&amp;TEXT($R123-$AP123,"0.0")&amp;" Trk-Mi?    ")</f>
        <v/>
      </c>
      <c r="AL123" s="284"/>
      <c r="AM123" s="278" t="str">
        <f>IF(OR($R123="",AL$11=""),"","0 - "&amp;TEXT($R123-$AP123,"0.0")&amp;" Trk-Mi?    ")</f>
        <v/>
      </c>
      <c r="AN123" s="284"/>
      <c r="AO123" s="278" t="str">
        <f>IF(OR($R123="",AN$11=""),"","0 - "&amp;TEXT($R123-$AP123,"0.0")&amp;" Trk-Mi?    ")</f>
        <v/>
      </c>
      <c r="AP123" s="282">
        <f>SUM(V123,X123,Z123,AB123,AD123,AF123,AH123,AJ123,AL123,AN123)</f>
        <v>0</v>
      </c>
      <c r="AQ123" s="278"/>
      <c r="AR123" s="234"/>
      <c r="AS123" s="107"/>
      <c r="AT123" s="107"/>
      <c r="AU123" s="107"/>
      <c r="AW123" s="107" t="str">
        <f>IF(AND($C123="",$H123="",$J123="",$L123="",$N123="",$P123="",$R123=""),"B","NB")</f>
        <v>B</v>
      </c>
      <c r="AX123" s="241" t="str">
        <f>IF(OR($C123="",$H123="",$J123="",$L123="",$N123="",$R123="",$P123="",AND($V$11&lt;&gt;"",$V123=""),AND($X$11&lt;&gt;"",$X123=""),AND($Z$11&lt;&gt;"",$Z123=""),AND($AB$11&lt;&gt;"",$AB123=""),AND($AD$11&lt;&gt;"",$AD123=""),AND($AF$11&lt;&gt;"",$AF123=""),AND($AH$11&lt;&gt;"",$AH123=""),AND($AJ$11&lt;&gt;"",$AJ123=""),AND($AL$11&lt;&gt;"",$AL123=""),AND($AN$11&lt;&gt;"",$AN123="")),"N","Y")</f>
        <v>N</v>
      </c>
      <c r="AY123" s="142" t="b">
        <f>IF(AND($C123="",OR($H123&lt;&gt;"",$J123&lt;&gt;"",$L123&lt;&gt;"",$N123&lt;&gt;"",$R123&lt;&gt;"",$P123&lt;&gt;"",AND($V$11&lt;&gt;"",$V123&lt;&gt;""),AND($X$11&lt;&gt;"",$X123&lt;&gt;""),AND($Z$11&lt;&gt;"",$Z123&lt;&gt;""),AND($AB$11&lt;&gt;"",$AB123&lt;&gt;""),AND($AD$11&lt;&gt;"",$AD123&lt;&gt;""),AND($AF$11&lt;&gt;"",$AF123&lt;&gt;""),AND($AH$11&lt;&gt;"",$AH123&lt;&gt;""),AND($AJ$11&lt;&gt;"",$AJ123&lt;&gt;""),AND($AL$11&lt;&gt;"",$AL123&lt;&gt;""),AND($AN$11&lt;&gt;"",$AN123&lt;&gt;""))),TRUE,FALSE)</f>
        <v>0</v>
      </c>
      <c r="AZ123" s="144" t="b">
        <f>IF(AND($C123&lt;&gt;"",$H123=""),TRUE,FALSE)</f>
        <v>0</v>
      </c>
      <c r="BA123" s="144" t="b">
        <f>IF(AND($C123&lt;&gt;"",$J123=""),TRUE,FALSE)</f>
        <v>0</v>
      </c>
      <c r="BB123" s="144" t="b">
        <f>IF(AND($C123&lt;&gt;"",$L123=""),TRUE,FALSE)</f>
        <v>0</v>
      </c>
      <c r="BC123" s="144" t="b">
        <f>IF(AND($C123&lt;&gt;"",$N123=""),TRUE,FALSE)</f>
        <v>0</v>
      </c>
      <c r="BD123" s="142" t="b">
        <f>IF($BE123=TRUE,FALSE,IF(OR($P123&lt;$BD$5,$P123&gt;$BE$5),TRUE,FALSE))</f>
        <v>0</v>
      </c>
      <c r="BE123" s="144" t="b">
        <f>IF(AND($C123&lt;&gt;"",$P123=""),TRUE,FALSE)</f>
        <v>0</v>
      </c>
      <c r="BF123" s="144" t="b">
        <f>IF($BG123=TRUE,FALSE,IF(OR($R123&lt;$BF$5,$R123&gt;$BG$5),TRUE,FALSE))</f>
        <v>0</v>
      </c>
      <c r="BG123" s="144" t="b">
        <f>IF(AND($C123&lt;&gt;"",$R123=""),TRUE,FALSE)</f>
        <v>0</v>
      </c>
      <c r="BH123" s="160" t="b">
        <f>IF(BI123=TRUE,FALSE,IF(AND(V123&lt;&gt;"",V$11=""),TRUE,IF(AND(V123&lt;&gt;"",V$11&lt;&gt;"",$R123&lt;&gt;$AP123),TRUE,IF(OR(V123&lt;0,V123&gt;$R123),TRUE,FALSE))))</f>
        <v>0</v>
      </c>
      <c r="BI123" s="144" t="b">
        <f>IF(AND($C123&lt;&gt;"",V$11&lt;&gt;"",$V123=""),TRUE,FALSE)</f>
        <v>0</v>
      </c>
      <c r="BJ123" s="160" t="b">
        <f>IF(BK123=TRUE,FALSE,IF(AND(X123&lt;&gt;"",X$11=""),TRUE,IF(AND(X123&lt;&gt;"",X$11&lt;&gt;"",$R123&lt;&gt;$AP123),TRUE,IF(OR(X123&lt;0,X123&gt;$R123),TRUE,FALSE))))</f>
        <v>0</v>
      </c>
      <c r="BK123" s="144" t="b">
        <f>IF(AND($C123&lt;&gt;"",X$11&lt;&gt;"",$X123=""),TRUE,FALSE)</f>
        <v>0</v>
      </c>
      <c r="BL123" s="160" t="b">
        <f>IF(BM123=TRUE,FALSE,IF(AND(Z123&lt;&gt;"",Z$11=""),TRUE,IF(AND(Z123&lt;&gt;"",Z$11&lt;&gt;"",$R123&lt;&gt;$AP123),TRUE,IF(OR(Z123&lt;0,Z123&gt;$R123),TRUE,FALSE))))</f>
        <v>0</v>
      </c>
      <c r="BM123" s="144" t="b">
        <f>IF(AND($C123&lt;&gt;"",Z$11&lt;&gt;"",$Z123=""),TRUE,FALSE)</f>
        <v>0</v>
      </c>
      <c r="BN123" s="160" t="b">
        <f>IF(BO123=TRUE,FALSE,IF(AND(AB123&lt;&gt;"",AB$11=""),TRUE,IF(AND(AB123&lt;&gt;"",AB$11&lt;&gt;"",$R123&lt;&gt;$AP123),TRUE,IF(OR(AB123&lt;0,AB123&gt;$R123),TRUE,FALSE))))</f>
        <v>0</v>
      </c>
      <c r="BO123" s="144" t="b">
        <f>IF(AND($C123&lt;&gt;"",AB$11&lt;&gt;"",$AB123=""),TRUE,FALSE)</f>
        <v>0</v>
      </c>
      <c r="BP123" s="160" t="b">
        <f>IF(BQ123=TRUE,FALSE,IF(AND(AD123&lt;&gt;"",AD$11=""),TRUE,IF(AND(AD123&lt;&gt;"",AD$11&lt;&gt;"",$R123&lt;&gt;$AP123),TRUE,IF(OR(AD123&lt;0,AD123&gt;$R123),TRUE,FALSE))))</f>
        <v>0</v>
      </c>
      <c r="BQ123" s="144" t="b">
        <f>IF(AND($C123&lt;&gt;"",AD$11&lt;&gt;"",$AD123=""),TRUE,FALSE)</f>
        <v>0</v>
      </c>
      <c r="BR123" s="160" t="b">
        <f>IF(BS123=TRUE,FALSE,IF(AND(AF123&lt;&gt;"",AF$11=""),TRUE,IF(AND(AF123&lt;&gt;"",AF$11&lt;&gt;"",$R123&lt;&gt;$AP123),TRUE,IF(OR(AF123&lt;0,AF123&gt;$R123),TRUE,FALSE))))</f>
        <v>0</v>
      </c>
      <c r="BS123" s="144" t="b">
        <f>IF(AND($C123&lt;&gt;"",AF$11&lt;&gt;"",$AF123=""),TRUE,FALSE)</f>
        <v>0</v>
      </c>
      <c r="BT123" s="160" t="b">
        <f>IF(BU123=TRUE,FALSE,IF(AND(AH123&lt;&gt;"",AH$11=""),TRUE,IF(AND(AH123&lt;&gt;"",AH$11&lt;&gt;"",$R123&lt;&gt;$AP123),TRUE,IF(OR(AH123&lt;0,AH123&gt;$R123),TRUE,FALSE))))</f>
        <v>0</v>
      </c>
      <c r="BU123" s="144" t="b">
        <f>IF(AND($C123&lt;&gt;"",AH$11&lt;&gt;"",$AH123=""),TRUE,FALSE)</f>
        <v>0</v>
      </c>
      <c r="BV123" s="160" t="b">
        <f>IF(BW123=TRUE,FALSE,IF(AND(AJ123&lt;&gt;"",AJ$11=""),TRUE,IF(AND(AJ123&lt;&gt;"",AJ$11&lt;&gt;"",$R123&lt;&gt;$AP123),TRUE,IF(OR(AJ123&lt;0,AJ123&gt;$R123),TRUE,FALSE))))</f>
        <v>0</v>
      </c>
      <c r="BW123" s="144" t="b">
        <f>IF(AND($C123&lt;&gt;"",AJ$11&lt;&gt;"",$AJ123=""),TRUE,FALSE)</f>
        <v>0</v>
      </c>
      <c r="BX123" s="160" t="b">
        <f>IF(BY123=TRUE,FALSE,IF(AND(AL123&lt;&gt;"",AL$11=""),TRUE,IF(AND(AL123&lt;&gt;"",AL$11&lt;&gt;"",$R123&lt;&gt;$AP123),TRUE,IF(OR(AL123&lt;0,AL123&gt;$R123),TRUE,FALSE))))</f>
        <v>0</v>
      </c>
      <c r="BY123" s="144" t="b">
        <f>IF(AND($C123&lt;&gt;"",AL$11&lt;&gt;"",$AL123=""),TRUE,FALSE)</f>
        <v>0</v>
      </c>
      <c r="BZ123" s="160" t="b">
        <f>IF(CA123=TRUE,FALSE,IF(AND(AN123&lt;&gt;"",AN$11=""),TRUE,IF(AND(AN123&lt;&gt;"",AN$11&lt;&gt;"",$R123&lt;&gt;$AP123),TRUE,IF(OR(AN123&lt;0,AN123&gt;$R123),TRUE,FALSE))))</f>
        <v>0</v>
      </c>
      <c r="CA123" s="144" t="b">
        <f>IF(AND($C123&lt;&gt;"",AN$11&lt;&gt;"",$AN123=""),TRUE,FALSE)</f>
        <v>0</v>
      </c>
      <c r="CB123" s="133"/>
      <c r="CC123" s="133"/>
      <c r="CD123" s="133"/>
      <c r="CE123" s="133"/>
      <c r="CF123" s="133"/>
      <c r="CG123" s="133"/>
      <c r="CH123" s="133"/>
      <c r="CI123" s="133"/>
      <c r="CJ123" s="133"/>
      <c r="CK123" s="133"/>
      <c r="CL123" s="133"/>
      <c r="CM123" s="133"/>
      <c r="CN123" s="133"/>
      <c r="CO123" s="133"/>
      <c r="CP123" s="133"/>
      <c r="CQ123" s="133"/>
      <c r="CR123" s="133"/>
      <c r="CS123" s="133"/>
      <c r="CT123" s="133"/>
      <c r="CU123" s="133"/>
      <c r="CV123" s="133"/>
      <c r="CW123" s="134"/>
    </row>
    <row r="124" spans="1:101" ht="6.75" customHeight="1" thickBot="1" x14ac:dyDescent="0.25">
      <c r="A124" s="228"/>
      <c r="B124" s="228"/>
      <c r="C124" s="232"/>
      <c r="D124" s="267"/>
      <c r="I124" s="267"/>
      <c r="K124" s="228"/>
      <c r="M124" s="267"/>
      <c r="O124" s="267"/>
      <c r="Q124" s="267"/>
      <c r="S124" s="267"/>
      <c r="U124" s="267"/>
      <c r="V124" s="283"/>
      <c r="W124" s="267"/>
      <c r="X124" s="283"/>
      <c r="Y124" s="267"/>
      <c r="Z124" s="283"/>
      <c r="AA124" s="267"/>
      <c r="AB124" s="283"/>
      <c r="AC124" s="267"/>
      <c r="AD124" s="283"/>
      <c r="AE124" s="267"/>
      <c r="AF124" s="283"/>
      <c r="AG124" s="267"/>
      <c r="AH124" s="283"/>
      <c r="AI124" s="267"/>
      <c r="AJ124" s="283"/>
      <c r="AK124" s="267"/>
      <c r="AL124" s="283"/>
      <c r="AM124" s="267"/>
      <c r="AN124" s="283"/>
      <c r="AO124" s="267"/>
      <c r="AP124" s="267"/>
      <c r="AQ124" s="267"/>
      <c r="AR124" s="235" t="str">
        <f>IF(CJ124&gt;=1,"Bad Data","")</f>
        <v/>
      </c>
      <c r="AY124" s="145"/>
      <c r="AZ124" s="146"/>
      <c r="BA124" s="146"/>
      <c r="BB124" s="146"/>
      <c r="BC124" s="146"/>
      <c r="BD124" s="145"/>
      <c r="BE124" s="146"/>
      <c r="BF124" s="146"/>
      <c r="BG124" s="146"/>
      <c r="BH124" s="145"/>
      <c r="BI124" s="146"/>
      <c r="BJ124" s="145"/>
      <c r="BK124" s="146"/>
      <c r="BL124" s="145"/>
      <c r="BM124" s="146"/>
      <c r="BN124" s="145"/>
      <c r="BO124" s="146"/>
      <c r="BP124" s="145"/>
      <c r="BQ124" s="146"/>
      <c r="BR124" s="145"/>
      <c r="BS124" s="146"/>
      <c r="BT124" s="145"/>
      <c r="BU124" s="146"/>
      <c r="BV124" s="145"/>
      <c r="BW124" s="146"/>
      <c r="BX124" s="145"/>
      <c r="BY124" s="146"/>
      <c r="BZ124" s="145"/>
      <c r="CA124" s="146"/>
    </row>
    <row r="125" spans="1:101" s="101" customFormat="1" ht="12.75" customHeight="1" x14ac:dyDescent="0.2">
      <c r="A125" s="227">
        <f>A123+1</f>
        <v>55</v>
      </c>
      <c r="B125" s="227"/>
      <c r="C125" s="231"/>
      <c r="D125" s="251" t="str">
        <f>IF((C125=""),"Enter Segment "&amp;TEXT(A125,0)&amp;" Name, then Enter Data in Columns "&amp;TEXT($H$2,0)&amp;" - "&amp;TEXT($AN$2,0)&amp;"       ","")</f>
        <v xml:space="preserve">Enter Segment 55 Name, then Enter Data in Columns h - an       </v>
      </c>
      <c r="E125" s="131" t="str">
        <f>IF($AW125="B","N/A",IF(AX125="N","No",IF(AX125="Y","Yes","")))</f>
        <v>N/A</v>
      </c>
      <c r="F125" s="130"/>
      <c r="G125" s="130"/>
      <c r="H125" s="285"/>
      <c r="I125" s="251" t="str">
        <f>IF($C125&lt;&gt;"","Enter Starting Point       ","")</f>
        <v/>
      </c>
      <c r="J125" s="285"/>
      <c r="K125" s="227"/>
      <c r="L125" s="88"/>
      <c r="M125" s="251" t="str">
        <f>IF($C125&lt;&gt;"","Select from Pull-Down List  ","")</f>
        <v/>
      </c>
      <c r="N125" s="88"/>
      <c r="O125" s="251" t="str">
        <f>IF($C125&lt;&gt;"","Select from Pull-Down List  ","")</f>
        <v/>
      </c>
      <c r="P125" s="131"/>
      <c r="Q125" s="251" t="str">
        <f>IF($C125&lt;&gt;"","Dir. Route-Mi?    ","")</f>
        <v/>
      </c>
      <c r="R125" s="131"/>
      <c r="S125" s="251" t="str">
        <f>IF($C125&lt;&gt;"","Trk-Mi?      ","")</f>
        <v/>
      </c>
      <c r="T125" s="131"/>
      <c r="U125" s="251" t="str">
        <f>IF($C125&lt;&gt;"","Trk-Mi?      ","")</f>
        <v/>
      </c>
      <c r="V125" s="284"/>
      <c r="W125" s="278" t="str">
        <f>IF(OR($R125="",V$11=""),"","0 - "&amp;TEXT($R125-$AP125,"0.0")&amp;" Trk-Mi?    ")</f>
        <v/>
      </c>
      <c r="X125" s="284"/>
      <c r="Y125" s="278" t="str">
        <f>IF(OR($R125="",X$11=""),"","0 - "&amp;TEXT($R125-$AP125,"0.0")&amp;" Trk-Mi?    ")</f>
        <v/>
      </c>
      <c r="Z125" s="284"/>
      <c r="AA125" s="278" t="str">
        <f>IF(OR($R125="",Z$11=""),"","0 - "&amp;TEXT($R125-$AP125,"0.0")&amp;" Trk-Mi?    ")</f>
        <v/>
      </c>
      <c r="AB125" s="284"/>
      <c r="AC125" s="278" t="str">
        <f>IF(OR($R125="",AB$11=""),"","0 - "&amp;TEXT($R125-$AP125,"0.0")&amp;" Trk-Mi?    ")</f>
        <v/>
      </c>
      <c r="AD125" s="284"/>
      <c r="AE125" s="278" t="str">
        <f>IF(OR($R125="",AD$11=""),"","0 - "&amp;TEXT($R125-$AP125,"0.0")&amp;" Trk-Mi?    ")</f>
        <v/>
      </c>
      <c r="AF125" s="284"/>
      <c r="AG125" s="278" t="str">
        <f>IF(OR($R125="",AF$11=""),"","0 - "&amp;TEXT($R125-$AP125,"0.0")&amp;" Trk-Mi?    ")</f>
        <v/>
      </c>
      <c r="AH125" s="284"/>
      <c r="AI125" s="278" t="str">
        <f>IF(OR($R125="",AH$11=""),"","0 - "&amp;TEXT($R125-$AP125,"0.0")&amp;" Trk-Mi?    ")</f>
        <v/>
      </c>
      <c r="AJ125" s="284"/>
      <c r="AK125" s="278" t="str">
        <f>IF(OR($R125="",AJ$11=""),"","0 - "&amp;TEXT($R125-$AP125,"0.0")&amp;" Trk-Mi?    ")</f>
        <v/>
      </c>
      <c r="AL125" s="284"/>
      <c r="AM125" s="278" t="str">
        <f>IF(OR($R125="",AL$11=""),"","0 - "&amp;TEXT($R125-$AP125,"0.0")&amp;" Trk-Mi?    ")</f>
        <v/>
      </c>
      <c r="AN125" s="284"/>
      <c r="AO125" s="278" t="str">
        <f>IF(OR($R125="",AN$11=""),"","0 - "&amp;TEXT($R125-$AP125,"0.0")&amp;" Trk-Mi?    ")</f>
        <v/>
      </c>
      <c r="AP125" s="282">
        <f>SUM(V125,X125,Z125,AB125,AD125,AF125,AH125,AJ125,AL125,AN125)</f>
        <v>0</v>
      </c>
      <c r="AQ125" s="278"/>
      <c r="AR125" s="234"/>
      <c r="AS125" s="107"/>
      <c r="AT125" s="107"/>
      <c r="AU125" s="107"/>
      <c r="AW125" s="107" t="str">
        <f>IF(AND($C125="",$H125="",$J125="",$L125="",$N125="",$P125="",$R125=""),"B","NB")</f>
        <v>B</v>
      </c>
      <c r="AX125" s="241" t="str">
        <f>IF(OR($C125="",$H125="",$J125="",$L125="",$N125="",$R125="",$P125="",AND($V$11&lt;&gt;"",$V125=""),AND($X$11&lt;&gt;"",$X125=""),AND($Z$11&lt;&gt;"",$Z125=""),AND($AB$11&lt;&gt;"",$AB125=""),AND($AD$11&lt;&gt;"",$AD125=""),AND($AF$11&lt;&gt;"",$AF125=""),AND($AH$11&lt;&gt;"",$AH125=""),AND($AJ$11&lt;&gt;"",$AJ125=""),AND($AL$11&lt;&gt;"",$AL125=""),AND($AN$11&lt;&gt;"",$AN125="")),"N","Y")</f>
        <v>N</v>
      </c>
      <c r="AY125" s="142" t="b">
        <f>IF(AND($C125="",OR($H125&lt;&gt;"",$J125&lt;&gt;"",$L125&lt;&gt;"",$N125&lt;&gt;"",$R125&lt;&gt;"",$P125&lt;&gt;"",AND($V$11&lt;&gt;"",$V125&lt;&gt;""),AND($X$11&lt;&gt;"",$X125&lt;&gt;""),AND($Z$11&lt;&gt;"",$Z125&lt;&gt;""),AND($AB$11&lt;&gt;"",$AB125&lt;&gt;""),AND($AD$11&lt;&gt;"",$AD125&lt;&gt;""),AND($AF$11&lt;&gt;"",$AF125&lt;&gt;""),AND($AH$11&lt;&gt;"",$AH125&lt;&gt;""),AND($AJ$11&lt;&gt;"",$AJ125&lt;&gt;""),AND($AL$11&lt;&gt;"",$AL125&lt;&gt;""),AND($AN$11&lt;&gt;"",$AN125&lt;&gt;""))),TRUE,FALSE)</f>
        <v>0</v>
      </c>
      <c r="AZ125" s="144" t="b">
        <f>IF(AND($C125&lt;&gt;"",$H125=""),TRUE,FALSE)</f>
        <v>0</v>
      </c>
      <c r="BA125" s="144" t="b">
        <f>IF(AND($C125&lt;&gt;"",$J125=""),TRUE,FALSE)</f>
        <v>0</v>
      </c>
      <c r="BB125" s="144" t="b">
        <f>IF(AND($C125&lt;&gt;"",$L125=""),TRUE,FALSE)</f>
        <v>0</v>
      </c>
      <c r="BC125" s="144" t="b">
        <f>IF(AND($C125&lt;&gt;"",$N125=""),TRUE,FALSE)</f>
        <v>0</v>
      </c>
      <c r="BD125" s="142" t="b">
        <f>IF($BE125=TRUE,FALSE,IF(OR($P125&lt;$BD$5,$P125&gt;$BE$5),TRUE,FALSE))</f>
        <v>0</v>
      </c>
      <c r="BE125" s="144" t="b">
        <f>IF(AND($C125&lt;&gt;"",$P125=""),TRUE,FALSE)</f>
        <v>0</v>
      </c>
      <c r="BF125" s="144" t="b">
        <f>IF($BG125=TRUE,FALSE,IF(OR($R125&lt;$BF$5,$R125&gt;$BG$5),TRUE,FALSE))</f>
        <v>0</v>
      </c>
      <c r="BG125" s="144" t="b">
        <f>IF(AND($C125&lt;&gt;"",$R125=""),TRUE,FALSE)</f>
        <v>0</v>
      </c>
      <c r="BH125" s="160" t="b">
        <f>IF(BI125=TRUE,FALSE,IF(AND(V125&lt;&gt;"",V$11=""),TRUE,IF(AND(V125&lt;&gt;"",V$11&lt;&gt;"",$R125&lt;&gt;$AP125),TRUE,IF(OR(V125&lt;0,V125&gt;$R125),TRUE,FALSE))))</f>
        <v>0</v>
      </c>
      <c r="BI125" s="144" t="b">
        <f>IF(AND($C125&lt;&gt;"",V$11&lt;&gt;"",$V125=""),TRUE,FALSE)</f>
        <v>0</v>
      </c>
      <c r="BJ125" s="160" t="b">
        <f>IF(BK125=TRUE,FALSE,IF(AND(X125&lt;&gt;"",X$11=""),TRUE,IF(AND(X125&lt;&gt;"",X$11&lt;&gt;"",$R125&lt;&gt;$AP125),TRUE,IF(OR(X125&lt;0,X125&gt;$R125),TRUE,FALSE))))</f>
        <v>0</v>
      </c>
      <c r="BK125" s="144" t="b">
        <f>IF(AND($C125&lt;&gt;"",X$11&lt;&gt;"",$X125=""),TRUE,FALSE)</f>
        <v>0</v>
      </c>
      <c r="BL125" s="160" t="b">
        <f>IF(BM125=TRUE,FALSE,IF(AND(Z125&lt;&gt;"",Z$11=""),TRUE,IF(AND(Z125&lt;&gt;"",Z$11&lt;&gt;"",$R125&lt;&gt;$AP125),TRUE,IF(OR(Z125&lt;0,Z125&gt;$R125),TRUE,FALSE))))</f>
        <v>0</v>
      </c>
      <c r="BM125" s="144" t="b">
        <f>IF(AND($C125&lt;&gt;"",Z$11&lt;&gt;"",$Z125=""),TRUE,FALSE)</f>
        <v>0</v>
      </c>
      <c r="BN125" s="160" t="b">
        <f>IF(BO125=TRUE,FALSE,IF(AND(AB125&lt;&gt;"",AB$11=""),TRUE,IF(AND(AB125&lt;&gt;"",AB$11&lt;&gt;"",$R125&lt;&gt;$AP125),TRUE,IF(OR(AB125&lt;0,AB125&gt;$R125),TRUE,FALSE))))</f>
        <v>0</v>
      </c>
      <c r="BO125" s="144" t="b">
        <f>IF(AND($C125&lt;&gt;"",AB$11&lt;&gt;"",$AB125=""),TRUE,FALSE)</f>
        <v>0</v>
      </c>
      <c r="BP125" s="160" t="b">
        <f>IF(BQ125=TRUE,FALSE,IF(AND(AD125&lt;&gt;"",AD$11=""),TRUE,IF(AND(AD125&lt;&gt;"",AD$11&lt;&gt;"",$R125&lt;&gt;$AP125),TRUE,IF(OR(AD125&lt;0,AD125&gt;$R125),TRUE,FALSE))))</f>
        <v>0</v>
      </c>
      <c r="BQ125" s="144" t="b">
        <f>IF(AND($C125&lt;&gt;"",AD$11&lt;&gt;"",$AD125=""),TRUE,FALSE)</f>
        <v>0</v>
      </c>
      <c r="BR125" s="160" t="b">
        <f>IF(BS125=TRUE,FALSE,IF(AND(AF125&lt;&gt;"",AF$11=""),TRUE,IF(AND(AF125&lt;&gt;"",AF$11&lt;&gt;"",$R125&lt;&gt;$AP125),TRUE,IF(OR(AF125&lt;0,AF125&gt;$R125),TRUE,FALSE))))</f>
        <v>0</v>
      </c>
      <c r="BS125" s="144" t="b">
        <f>IF(AND($C125&lt;&gt;"",AF$11&lt;&gt;"",$AF125=""),TRUE,FALSE)</f>
        <v>0</v>
      </c>
      <c r="BT125" s="160" t="b">
        <f>IF(BU125=TRUE,FALSE,IF(AND(AH125&lt;&gt;"",AH$11=""),TRUE,IF(AND(AH125&lt;&gt;"",AH$11&lt;&gt;"",$R125&lt;&gt;$AP125),TRUE,IF(OR(AH125&lt;0,AH125&gt;$R125),TRUE,FALSE))))</f>
        <v>0</v>
      </c>
      <c r="BU125" s="144" t="b">
        <f>IF(AND($C125&lt;&gt;"",AH$11&lt;&gt;"",$AH125=""),TRUE,FALSE)</f>
        <v>0</v>
      </c>
      <c r="BV125" s="160" t="b">
        <f>IF(BW125=TRUE,FALSE,IF(AND(AJ125&lt;&gt;"",AJ$11=""),TRUE,IF(AND(AJ125&lt;&gt;"",AJ$11&lt;&gt;"",$R125&lt;&gt;$AP125),TRUE,IF(OR(AJ125&lt;0,AJ125&gt;$R125),TRUE,FALSE))))</f>
        <v>0</v>
      </c>
      <c r="BW125" s="144" t="b">
        <f>IF(AND($C125&lt;&gt;"",AJ$11&lt;&gt;"",$AJ125=""),TRUE,FALSE)</f>
        <v>0</v>
      </c>
      <c r="BX125" s="160" t="b">
        <f>IF(BY125=TRUE,FALSE,IF(AND(AL125&lt;&gt;"",AL$11=""),TRUE,IF(AND(AL125&lt;&gt;"",AL$11&lt;&gt;"",$R125&lt;&gt;$AP125),TRUE,IF(OR(AL125&lt;0,AL125&gt;$R125),TRUE,FALSE))))</f>
        <v>0</v>
      </c>
      <c r="BY125" s="144" t="b">
        <f>IF(AND($C125&lt;&gt;"",AL$11&lt;&gt;"",$AL125=""),TRUE,FALSE)</f>
        <v>0</v>
      </c>
      <c r="BZ125" s="160" t="b">
        <f>IF(CA125=TRUE,FALSE,IF(AND(AN125&lt;&gt;"",AN$11=""),TRUE,IF(AND(AN125&lt;&gt;"",AN$11&lt;&gt;"",$R125&lt;&gt;$AP125),TRUE,IF(OR(AN125&lt;0,AN125&gt;$R125),TRUE,FALSE))))</f>
        <v>0</v>
      </c>
      <c r="CA125" s="144" t="b">
        <f>IF(AND($C125&lt;&gt;"",AN$11&lt;&gt;"",$AN125=""),TRUE,FALSE)</f>
        <v>0</v>
      </c>
      <c r="CB125" s="133"/>
      <c r="CC125" s="133"/>
      <c r="CD125" s="133"/>
      <c r="CE125" s="133"/>
      <c r="CF125" s="133"/>
      <c r="CG125" s="133"/>
      <c r="CH125" s="133"/>
      <c r="CI125" s="133"/>
      <c r="CJ125" s="133"/>
      <c r="CK125" s="133"/>
      <c r="CL125" s="133"/>
      <c r="CM125" s="133"/>
      <c r="CN125" s="133"/>
      <c r="CO125" s="133"/>
      <c r="CP125" s="133"/>
      <c r="CQ125" s="133"/>
      <c r="CR125" s="133"/>
      <c r="CS125" s="133"/>
      <c r="CT125" s="133"/>
      <c r="CU125" s="133"/>
      <c r="CV125" s="133"/>
      <c r="CW125" s="134"/>
    </row>
    <row r="126" spans="1:101" ht="6.75" customHeight="1" thickBot="1" x14ac:dyDescent="0.25">
      <c r="A126" s="228"/>
      <c r="B126" s="228"/>
      <c r="C126" s="232"/>
      <c r="D126" s="267"/>
      <c r="I126" s="267"/>
      <c r="K126" s="228"/>
      <c r="M126" s="267"/>
      <c r="O126" s="267"/>
      <c r="Q126" s="267"/>
      <c r="S126" s="267"/>
      <c r="U126" s="267"/>
      <c r="V126" s="283"/>
      <c r="W126" s="267"/>
      <c r="X126" s="283"/>
      <c r="Y126" s="267"/>
      <c r="Z126" s="283"/>
      <c r="AA126" s="267"/>
      <c r="AB126" s="283"/>
      <c r="AC126" s="267"/>
      <c r="AD126" s="283"/>
      <c r="AE126" s="267"/>
      <c r="AF126" s="283"/>
      <c r="AG126" s="267"/>
      <c r="AH126" s="283"/>
      <c r="AI126" s="267"/>
      <c r="AJ126" s="283"/>
      <c r="AK126" s="267"/>
      <c r="AL126" s="283"/>
      <c r="AM126" s="267"/>
      <c r="AN126" s="283"/>
      <c r="AO126" s="267"/>
      <c r="AP126" s="267"/>
      <c r="AQ126" s="267"/>
      <c r="AR126" s="236"/>
      <c r="AY126" s="145"/>
      <c r="AZ126" s="146"/>
      <c r="BA126" s="146"/>
      <c r="BB126" s="146"/>
      <c r="BC126" s="146"/>
      <c r="BD126" s="145"/>
      <c r="BE126" s="146"/>
      <c r="BF126" s="146"/>
      <c r="BG126" s="146"/>
      <c r="BH126" s="145"/>
      <c r="BI126" s="146"/>
      <c r="BJ126" s="145"/>
      <c r="BK126" s="146"/>
      <c r="BL126" s="145"/>
      <c r="BM126" s="146"/>
      <c r="BN126" s="145"/>
      <c r="BO126" s="146"/>
      <c r="BP126" s="145"/>
      <c r="BQ126" s="146"/>
      <c r="BR126" s="145"/>
      <c r="BS126" s="146"/>
      <c r="BT126" s="145"/>
      <c r="BU126" s="146"/>
      <c r="BV126" s="145"/>
      <c r="BW126" s="146"/>
      <c r="BX126" s="145"/>
      <c r="BY126" s="146"/>
      <c r="BZ126" s="145"/>
      <c r="CA126" s="146"/>
    </row>
    <row r="127" spans="1:101" s="101" customFormat="1" ht="12.75" customHeight="1" x14ac:dyDescent="0.2">
      <c r="A127" s="227">
        <f>A125+1</f>
        <v>56</v>
      </c>
      <c r="B127" s="227"/>
      <c r="C127" s="231"/>
      <c r="D127" s="251" t="str">
        <f>IF((C127=""),"Enter Segment "&amp;TEXT(A127,0)&amp;" Name, then Enter Data in Columns "&amp;TEXT($H$2,0)&amp;" - "&amp;TEXT($AN$2,0)&amp;"       ","")</f>
        <v xml:space="preserve">Enter Segment 56 Name, then Enter Data in Columns h - an       </v>
      </c>
      <c r="E127" s="131" t="str">
        <f>IF($AW127="B","N/A",IF(AX127="N","No",IF(AX127="Y","Yes","")))</f>
        <v>N/A</v>
      </c>
      <c r="F127" s="130"/>
      <c r="G127" s="130"/>
      <c r="H127" s="285"/>
      <c r="I127" s="251" t="str">
        <f>IF($C127&lt;&gt;"","Enter Starting Point       ","")</f>
        <v/>
      </c>
      <c r="J127" s="285"/>
      <c r="K127" s="227"/>
      <c r="L127" s="88"/>
      <c r="M127" s="251" t="str">
        <f>IF($C127&lt;&gt;"","Select from Pull-Down List  ","")</f>
        <v/>
      </c>
      <c r="N127" s="88"/>
      <c r="O127" s="251" t="str">
        <f>IF($C127&lt;&gt;"","Select from Pull-Down List  ","")</f>
        <v/>
      </c>
      <c r="P127" s="131"/>
      <c r="Q127" s="251" t="str">
        <f>IF($C127&lt;&gt;"","Dir. Route-Mi?    ","")</f>
        <v/>
      </c>
      <c r="R127" s="131"/>
      <c r="S127" s="251" t="str">
        <f>IF($C127&lt;&gt;"","Trk-Mi?      ","")</f>
        <v/>
      </c>
      <c r="T127" s="131"/>
      <c r="U127" s="251" t="str">
        <f>IF($C127&lt;&gt;"","Trk-Mi?      ","")</f>
        <v/>
      </c>
      <c r="V127" s="284"/>
      <c r="W127" s="278" t="str">
        <f>IF(OR($R127="",V$11=""),"","0 - "&amp;TEXT($R127-$AP127,"0.0")&amp;" Trk-Mi?    ")</f>
        <v/>
      </c>
      <c r="X127" s="284"/>
      <c r="Y127" s="278" t="str">
        <f>IF(OR($R127="",X$11=""),"","0 - "&amp;TEXT($R127-$AP127,"0.0")&amp;" Trk-Mi?    ")</f>
        <v/>
      </c>
      <c r="Z127" s="284"/>
      <c r="AA127" s="278" t="str">
        <f>IF(OR($R127="",Z$11=""),"","0 - "&amp;TEXT($R127-$AP127,"0.0")&amp;" Trk-Mi?    ")</f>
        <v/>
      </c>
      <c r="AB127" s="284"/>
      <c r="AC127" s="278" t="str">
        <f>IF(OR($R127="",AB$11=""),"","0 - "&amp;TEXT($R127-$AP127,"0.0")&amp;" Trk-Mi?    ")</f>
        <v/>
      </c>
      <c r="AD127" s="284"/>
      <c r="AE127" s="278" t="str">
        <f>IF(OR($R127="",AD$11=""),"","0 - "&amp;TEXT($R127-$AP127,"0.0")&amp;" Trk-Mi?    ")</f>
        <v/>
      </c>
      <c r="AF127" s="284"/>
      <c r="AG127" s="278" t="str">
        <f>IF(OR($R127="",AF$11=""),"","0 - "&amp;TEXT($R127-$AP127,"0.0")&amp;" Trk-Mi?    ")</f>
        <v/>
      </c>
      <c r="AH127" s="284"/>
      <c r="AI127" s="278" t="str">
        <f>IF(OR($R127="",AH$11=""),"","0 - "&amp;TEXT($R127-$AP127,"0.0")&amp;" Trk-Mi?    ")</f>
        <v/>
      </c>
      <c r="AJ127" s="284"/>
      <c r="AK127" s="278" t="str">
        <f>IF(OR($R127="",AJ$11=""),"","0 - "&amp;TEXT($R127-$AP127,"0.0")&amp;" Trk-Mi?    ")</f>
        <v/>
      </c>
      <c r="AL127" s="284"/>
      <c r="AM127" s="278" t="str">
        <f>IF(OR($R127="",AL$11=""),"","0 - "&amp;TEXT($R127-$AP127,"0.0")&amp;" Trk-Mi?    ")</f>
        <v/>
      </c>
      <c r="AN127" s="284"/>
      <c r="AO127" s="278" t="str">
        <f>IF(OR($R127="",AN$11=""),"","0 - "&amp;TEXT($R127-$AP127,"0.0")&amp;" Trk-Mi?    ")</f>
        <v/>
      </c>
      <c r="AP127" s="282">
        <f>SUM(V127,X127,Z127,AB127,AD127,AF127,AH127,AJ127,AL127,AN127)</f>
        <v>0</v>
      </c>
      <c r="AQ127" s="278"/>
      <c r="AR127" s="234"/>
      <c r="AS127" s="107"/>
      <c r="AT127" s="107"/>
      <c r="AU127" s="107"/>
      <c r="AW127" s="107" t="str">
        <f>IF(AND($C127="",$H127="",$J127="",$L127="",$N127="",$P127="",$R127=""),"B","NB")</f>
        <v>B</v>
      </c>
      <c r="AX127" s="241" t="str">
        <f>IF(OR($C127="",$H127="",$J127="",$L127="",$N127="",$R127="",$P127="",AND($V$11&lt;&gt;"",$V127=""),AND($X$11&lt;&gt;"",$X127=""),AND($Z$11&lt;&gt;"",$Z127=""),AND($AB$11&lt;&gt;"",$AB127=""),AND($AD$11&lt;&gt;"",$AD127=""),AND($AF$11&lt;&gt;"",$AF127=""),AND($AH$11&lt;&gt;"",$AH127=""),AND($AJ$11&lt;&gt;"",$AJ127=""),AND($AL$11&lt;&gt;"",$AL127=""),AND($AN$11&lt;&gt;"",$AN127="")),"N","Y")</f>
        <v>N</v>
      </c>
      <c r="AY127" s="142" t="b">
        <f>IF(AND($C127="",OR($H127&lt;&gt;"",$J127&lt;&gt;"",$L127&lt;&gt;"",$N127&lt;&gt;"",$R127&lt;&gt;"",$P127&lt;&gt;"",AND($V$11&lt;&gt;"",$V127&lt;&gt;""),AND($X$11&lt;&gt;"",$X127&lt;&gt;""),AND($Z$11&lt;&gt;"",$Z127&lt;&gt;""),AND($AB$11&lt;&gt;"",$AB127&lt;&gt;""),AND($AD$11&lt;&gt;"",$AD127&lt;&gt;""),AND($AF$11&lt;&gt;"",$AF127&lt;&gt;""),AND($AH$11&lt;&gt;"",$AH127&lt;&gt;""),AND($AJ$11&lt;&gt;"",$AJ127&lt;&gt;""),AND($AL$11&lt;&gt;"",$AL127&lt;&gt;""),AND($AN$11&lt;&gt;"",$AN127&lt;&gt;""))),TRUE,FALSE)</f>
        <v>0</v>
      </c>
      <c r="AZ127" s="144" t="b">
        <f>IF(AND($C127&lt;&gt;"",$H127=""),TRUE,FALSE)</f>
        <v>0</v>
      </c>
      <c r="BA127" s="144" t="b">
        <f>IF(AND($C127&lt;&gt;"",$J127=""),TRUE,FALSE)</f>
        <v>0</v>
      </c>
      <c r="BB127" s="144" t="b">
        <f>IF(AND($C127&lt;&gt;"",$L127=""),TRUE,FALSE)</f>
        <v>0</v>
      </c>
      <c r="BC127" s="144" t="b">
        <f>IF(AND($C127&lt;&gt;"",$N127=""),TRUE,FALSE)</f>
        <v>0</v>
      </c>
      <c r="BD127" s="142" t="b">
        <f>IF($BE127=TRUE,FALSE,IF(OR($P127&lt;$BD$5,$P127&gt;$BE$5),TRUE,FALSE))</f>
        <v>0</v>
      </c>
      <c r="BE127" s="144" t="b">
        <f>IF(AND($C127&lt;&gt;"",$P127=""),TRUE,FALSE)</f>
        <v>0</v>
      </c>
      <c r="BF127" s="144" t="b">
        <f>IF($BG127=TRUE,FALSE,IF(OR($R127&lt;$BF$5,$R127&gt;$BG$5),TRUE,FALSE))</f>
        <v>0</v>
      </c>
      <c r="BG127" s="144" t="b">
        <f>IF(AND($C127&lt;&gt;"",$R127=""),TRUE,FALSE)</f>
        <v>0</v>
      </c>
      <c r="BH127" s="160" t="b">
        <f>IF(BI127=TRUE,FALSE,IF(AND(V127&lt;&gt;"",V$11=""),TRUE,IF(AND(V127&lt;&gt;"",V$11&lt;&gt;"",$R127&lt;&gt;$AP127),TRUE,IF(OR(V127&lt;0,V127&gt;$R127),TRUE,FALSE))))</f>
        <v>0</v>
      </c>
      <c r="BI127" s="144" t="b">
        <f>IF(AND($C127&lt;&gt;"",V$11&lt;&gt;"",$V127=""),TRUE,FALSE)</f>
        <v>0</v>
      </c>
      <c r="BJ127" s="160" t="b">
        <f>IF(BK127=TRUE,FALSE,IF(AND(X127&lt;&gt;"",X$11=""),TRUE,IF(AND(X127&lt;&gt;"",X$11&lt;&gt;"",$R127&lt;&gt;$AP127),TRUE,IF(OR(X127&lt;0,X127&gt;$R127),TRUE,FALSE))))</f>
        <v>0</v>
      </c>
      <c r="BK127" s="144" t="b">
        <f>IF(AND($C127&lt;&gt;"",X$11&lt;&gt;"",$X127=""),TRUE,FALSE)</f>
        <v>0</v>
      </c>
      <c r="BL127" s="160" t="b">
        <f>IF(BM127=TRUE,FALSE,IF(AND(Z127&lt;&gt;"",Z$11=""),TRUE,IF(AND(Z127&lt;&gt;"",Z$11&lt;&gt;"",$R127&lt;&gt;$AP127),TRUE,IF(OR(Z127&lt;0,Z127&gt;$R127),TRUE,FALSE))))</f>
        <v>0</v>
      </c>
      <c r="BM127" s="144" t="b">
        <f>IF(AND($C127&lt;&gt;"",Z$11&lt;&gt;"",$Z127=""),TRUE,FALSE)</f>
        <v>0</v>
      </c>
      <c r="BN127" s="160" t="b">
        <f>IF(BO127=TRUE,FALSE,IF(AND(AB127&lt;&gt;"",AB$11=""),TRUE,IF(AND(AB127&lt;&gt;"",AB$11&lt;&gt;"",$R127&lt;&gt;$AP127),TRUE,IF(OR(AB127&lt;0,AB127&gt;$R127),TRUE,FALSE))))</f>
        <v>0</v>
      </c>
      <c r="BO127" s="144" t="b">
        <f>IF(AND($C127&lt;&gt;"",AB$11&lt;&gt;"",$AB127=""),TRUE,FALSE)</f>
        <v>0</v>
      </c>
      <c r="BP127" s="160" t="b">
        <f>IF(BQ127=TRUE,FALSE,IF(AND(AD127&lt;&gt;"",AD$11=""),TRUE,IF(AND(AD127&lt;&gt;"",AD$11&lt;&gt;"",$R127&lt;&gt;$AP127),TRUE,IF(OR(AD127&lt;0,AD127&gt;$R127),TRUE,FALSE))))</f>
        <v>0</v>
      </c>
      <c r="BQ127" s="144" t="b">
        <f>IF(AND($C127&lt;&gt;"",AD$11&lt;&gt;"",$AD127=""),TRUE,FALSE)</f>
        <v>0</v>
      </c>
      <c r="BR127" s="160" t="b">
        <f>IF(BS127=TRUE,FALSE,IF(AND(AF127&lt;&gt;"",AF$11=""),TRUE,IF(AND(AF127&lt;&gt;"",AF$11&lt;&gt;"",$R127&lt;&gt;$AP127),TRUE,IF(OR(AF127&lt;0,AF127&gt;$R127),TRUE,FALSE))))</f>
        <v>0</v>
      </c>
      <c r="BS127" s="144" t="b">
        <f>IF(AND($C127&lt;&gt;"",AF$11&lt;&gt;"",$AF127=""),TRUE,FALSE)</f>
        <v>0</v>
      </c>
      <c r="BT127" s="160" t="b">
        <f>IF(BU127=TRUE,FALSE,IF(AND(AH127&lt;&gt;"",AH$11=""),TRUE,IF(AND(AH127&lt;&gt;"",AH$11&lt;&gt;"",$R127&lt;&gt;$AP127),TRUE,IF(OR(AH127&lt;0,AH127&gt;$R127),TRUE,FALSE))))</f>
        <v>0</v>
      </c>
      <c r="BU127" s="144" t="b">
        <f>IF(AND($C127&lt;&gt;"",AH$11&lt;&gt;"",$AH127=""),TRUE,FALSE)</f>
        <v>0</v>
      </c>
      <c r="BV127" s="160" t="b">
        <f>IF(BW127=TRUE,FALSE,IF(AND(AJ127&lt;&gt;"",AJ$11=""),TRUE,IF(AND(AJ127&lt;&gt;"",AJ$11&lt;&gt;"",$R127&lt;&gt;$AP127),TRUE,IF(OR(AJ127&lt;0,AJ127&gt;$R127),TRUE,FALSE))))</f>
        <v>0</v>
      </c>
      <c r="BW127" s="144" t="b">
        <f>IF(AND($C127&lt;&gt;"",AJ$11&lt;&gt;"",$AJ127=""),TRUE,FALSE)</f>
        <v>0</v>
      </c>
      <c r="BX127" s="160" t="b">
        <f>IF(BY127=TRUE,FALSE,IF(AND(AL127&lt;&gt;"",AL$11=""),TRUE,IF(AND(AL127&lt;&gt;"",AL$11&lt;&gt;"",$R127&lt;&gt;$AP127),TRUE,IF(OR(AL127&lt;0,AL127&gt;$R127),TRUE,FALSE))))</f>
        <v>0</v>
      </c>
      <c r="BY127" s="144" t="b">
        <f>IF(AND($C127&lt;&gt;"",AL$11&lt;&gt;"",$AL127=""),TRUE,FALSE)</f>
        <v>0</v>
      </c>
      <c r="BZ127" s="160" t="b">
        <f>IF(CA127=TRUE,FALSE,IF(AND(AN127&lt;&gt;"",AN$11=""),TRUE,IF(AND(AN127&lt;&gt;"",AN$11&lt;&gt;"",$R127&lt;&gt;$AP127),TRUE,IF(OR(AN127&lt;0,AN127&gt;$R127),TRUE,FALSE))))</f>
        <v>0</v>
      </c>
      <c r="CA127" s="144" t="b">
        <f>IF(AND($C127&lt;&gt;"",AN$11&lt;&gt;"",$AN127=""),TRUE,FALSE)</f>
        <v>0</v>
      </c>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4"/>
    </row>
    <row r="128" spans="1:101" ht="6.75" customHeight="1" thickBot="1" x14ac:dyDescent="0.25">
      <c r="A128" s="228"/>
      <c r="B128" s="228"/>
      <c r="C128" s="232"/>
      <c r="D128" s="267"/>
      <c r="I128" s="267"/>
      <c r="K128" s="228"/>
      <c r="M128" s="267"/>
      <c r="O128" s="267"/>
      <c r="Q128" s="267"/>
      <c r="S128" s="267"/>
      <c r="U128" s="267"/>
      <c r="V128" s="283"/>
      <c r="W128" s="267"/>
      <c r="X128" s="283"/>
      <c r="Y128" s="267"/>
      <c r="Z128" s="283"/>
      <c r="AA128" s="267"/>
      <c r="AB128" s="283"/>
      <c r="AC128" s="267"/>
      <c r="AD128" s="283"/>
      <c r="AE128" s="267"/>
      <c r="AF128" s="283"/>
      <c r="AG128" s="267"/>
      <c r="AH128" s="283"/>
      <c r="AI128" s="267"/>
      <c r="AJ128" s="283"/>
      <c r="AK128" s="267"/>
      <c r="AL128" s="283"/>
      <c r="AM128" s="267"/>
      <c r="AN128" s="283"/>
      <c r="AO128" s="267"/>
      <c r="AP128" s="267"/>
      <c r="AQ128" s="267"/>
      <c r="AR128" s="232"/>
      <c r="AY128" s="145"/>
      <c r="AZ128" s="146"/>
      <c r="BA128" s="146"/>
      <c r="BB128" s="146"/>
      <c r="BC128" s="146"/>
      <c r="BD128" s="145"/>
      <c r="BE128" s="146"/>
      <c r="BF128" s="146"/>
      <c r="BG128" s="146"/>
      <c r="BH128" s="145"/>
      <c r="BI128" s="146"/>
      <c r="BJ128" s="145"/>
      <c r="BK128" s="146"/>
      <c r="BL128" s="145"/>
      <c r="BM128" s="146"/>
      <c r="BN128" s="145"/>
      <c r="BO128" s="146"/>
      <c r="BP128" s="145"/>
      <c r="BQ128" s="146"/>
      <c r="BR128" s="145"/>
      <c r="BS128" s="146"/>
      <c r="BT128" s="145"/>
      <c r="BU128" s="146"/>
      <c r="BV128" s="145"/>
      <c r="BW128" s="146"/>
      <c r="BX128" s="145"/>
      <c r="BY128" s="146"/>
      <c r="BZ128" s="145"/>
      <c r="CA128" s="146"/>
    </row>
    <row r="129" spans="1:101" s="101" customFormat="1" ht="12.75" customHeight="1" x14ac:dyDescent="0.2">
      <c r="A129" s="227">
        <f>A127+1</f>
        <v>57</v>
      </c>
      <c r="B129" s="227"/>
      <c r="C129" s="231"/>
      <c r="D129" s="251" t="str">
        <f>IF((C129=""),"Enter Segment "&amp;TEXT(A129,0)&amp;" Name, then Enter Data in Columns "&amp;TEXT($H$2,0)&amp;" - "&amp;TEXT($AN$2,0)&amp;"       ","")</f>
        <v xml:space="preserve">Enter Segment 57 Name, then Enter Data in Columns h - an       </v>
      </c>
      <c r="E129" s="131" t="str">
        <f>IF($AW129="B","N/A",IF(AX129="N","No",IF(AX129="Y","Yes","")))</f>
        <v>N/A</v>
      </c>
      <c r="F129" s="130"/>
      <c r="G129" s="130"/>
      <c r="H129" s="285"/>
      <c r="I129" s="251" t="str">
        <f>IF($C129&lt;&gt;"","Enter Starting Point       ","")</f>
        <v/>
      </c>
      <c r="J129" s="285"/>
      <c r="K129" s="227"/>
      <c r="L129" s="88"/>
      <c r="M129" s="251" t="str">
        <f>IF($C129&lt;&gt;"","Select from Pull-Down List  ","")</f>
        <v/>
      </c>
      <c r="N129" s="88"/>
      <c r="O129" s="251" t="str">
        <f>IF($C129&lt;&gt;"","Select from Pull-Down List  ","")</f>
        <v/>
      </c>
      <c r="P129" s="131"/>
      <c r="Q129" s="251" t="str">
        <f>IF($C129&lt;&gt;"","Dir. Route-Mi?    ","")</f>
        <v/>
      </c>
      <c r="R129" s="131"/>
      <c r="S129" s="251" t="str">
        <f>IF($C129&lt;&gt;"","Trk-Mi?      ","")</f>
        <v/>
      </c>
      <c r="T129" s="131"/>
      <c r="U129" s="251" t="str">
        <f>IF($C129&lt;&gt;"","Trk-Mi?      ","")</f>
        <v/>
      </c>
      <c r="V129" s="284"/>
      <c r="W129" s="278" t="str">
        <f>IF(OR($R129="",V$11=""),"","0 - "&amp;TEXT($R129-$AP129,"0.0")&amp;" Trk-Mi?    ")</f>
        <v/>
      </c>
      <c r="X129" s="284"/>
      <c r="Y129" s="278" t="str">
        <f>IF(OR($R129="",X$11=""),"","0 - "&amp;TEXT($R129-$AP129,"0.0")&amp;" Trk-Mi?    ")</f>
        <v/>
      </c>
      <c r="Z129" s="284"/>
      <c r="AA129" s="278" t="str">
        <f>IF(OR($R129="",Z$11=""),"","0 - "&amp;TEXT($R129-$AP129,"0.0")&amp;" Trk-Mi?    ")</f>
        <v/>
      </c>
      <c r="AB129" s="284"/>
      <c r="AC129" s="278" t="str">
        <f>IF(OR($R129="",AB$11=""),"","0 - "&amp;TEXT($R129-$AP129,"0.0")&amp;" Trk-Mi?    ")</f>
        <v/>
      </c>
      <c r="AD129" s="284"/>
      <c r="AE129" s="278" t="str">
        <f>IF(OR($R129="",AD$11=""),"","0 - "&amp;TEXT($R129-$AP129,"0.0")&amp;" Trk-Mi?    ")</f>
        <v/>
      </c>
      <c r="AF129" s="284"/>
      <c r="AG129" s="278" t="str">
        <f>IF(OR($R129="",AF$11=""),"","0 - "&amp;TEXT($R129-$AP129,"0.0")&amp;" Trk-Mi?    ")</f>
        <v/>
      </c>
      <c r="AH129" s="284"/>
      <c r="AI129" s="278" t="str">
        <f>IF(OR($R129="",AH$11=""),"","0 - "&amp;TEXT($R129-$AP129,"0.0")&amp;" Trk-Mi?    ")</f>
        <v/>
      </c>
      <c r="AJ129" s="284"/>
      <c r="AK129" s="278" t="str">
        <f>IF(OR($R129="",AJ$11=""),"","0 - "&amp;TEXT($R129-$AP129,"0.0")&amp;" Trk-Mi?    ")</f>
        <v/>
      </c>
      <c r="AL129" s="284"/>
      <c r="AM129" s="278" t="str">
        <f>IF(OR($R129="",AL$11=""),"","0 - "&amp;TEXT($R129-$AP129,"0.0")&amp;" Trk-Mi?    ")</f>
        <v/>
      </c>
      <c r="AN129" s="284"/>
      <c r="AO129" s="278" t="str">
        <f>IF(OR($R129="",AN$11=""),"","0 - "&amp;TEXT($R129-$AP129,"0.0")&amp;" Trk-Mi?    ")</f>
        <v/>
      </c>
      <c r="AP129" s="282">
        <f>SUM(V129,X129,Z129,AB129,AD129,AF129,AH129,AJ129,AL129,AN129)</f>
        <v>0</v>
      </c>
      <c r="AQ129" s="278"/>
      <c r="AR129" s="234"/>
      <c r="AS129" s="107"/>
      <c r="AT129" s="107"/>
      <c r="AU129" s="107"/>
      <c r="AW129" s="107" t="str">
        <f>IF(AND($C129="",$H129="",$J129="",$L129="",$N129="",$P129="",$R129=""),"B","NB")</f>
        <v>B</v>
      </c>
      <c r="AX129" s="241" t="str">
        <f>IF(OR($C129="",$H129="",$J129="",$L129="",$N129="",$R129="",$P129="",AND($V$11&lt;&gt;"",$V129=""),AND($X$11&lt;&gt;"",$X129=""),AND($Z$11&lt;&gt;"",$Z129=""),AND($AB$11&lt;&gt;"",$AB129=""),AND($AD$11&lt;&gt;"",$AD129=""),AND($AF$11&lt;&gt;"",$AF129=""),AND($AH$11&lt;&gt;"",$AH129=""),AND($AJ$11&lt;&gt;"",$AJ129=""),AND($AL$11&lt;&gt;"",$AL129=""),AND($AN$11&lt;&gt;"",$AN129="")),"N","Y")</f>
        <v>N</v>
      </c>
      <c r="AY129" s="142" t="b">
        <f>IF(AND($C129="",OR($H129&lt;&gt;"",$J129&lt;&gt;"",$L129&lt;&gt;"",$N129&lt;&gt;"",$R129&lt;&gt;"",$P129&lt;&gt;"",AND($V$11&lt;&gt;"",$V129&lt;&gt;""),AND($X$11&lt;&gt;"",$X129&lt;&gt;""),AND($Z$11&lt;&gt;"",$Z129&lt;&gt;""),AND($AB$11&lt;&gt;"",$AB129&lt;&gt;""),AND($AD$11&lt;&gt;"",$AD129&lt;&gt;""),AND($AF$11&lt;&gt;"",$AF129&lt;&gt;""),AND($AH$11&lt;&gt;"",$AH129&lt;&gt;""),AND($AJ$11&lt;&gt;"",$AJ129&lt;&gt;""),AND($AL$11&lt;&gt;"",$AL129&lt;&gt;""),AND($AN$11&lt;&gt;"",$AN129&lt;&gt;""))),TRUE,FALSE)</f>
        <v>0</v>
      </c>
      <c r="AZ129" s="144" t="b">
        <f>IF(AND($C129&lt;&gt;"",$H129=""),TRUE,FALSE)</f>
        <v>0</v>
      </c>
      <c r="BA129" s="144" t="b">
        <f>IF(AND($C129&lt;&gt;"",$J129=""),TRUE,FALSE)</f>
        <v>0</v>
      </c>
      <c r="BB129" s="144" t="b">
        <f>IF(AND($C129&lt;&gt;"",$L129=""),TRUE,FALSE)</f>
        <v>0</v>
      </c>
      <c r="BC129" s="144" t="b">
        <f>IF(AND($C129&lt;&gt;"",$N129=""),TRUE,FALSE)</f>
        <v>0</v>
      </c>
      <c r="BD129" s="144" t="b">
        <f>IF($BE129=TRUE,FALSE,IF(OR($P129&lt;$BD$5,$P129&gt;$BE$5),TRUE,FALSE))</f>
        <v>0</v>
      </c>
      <c r="BE129" s="144" t="b">
        <f>IF(AND($C129&lt;&gt;"",$P129=""),TRUE,FALSE)</f>
        <v>0</v>
      </c>
      <c r="BF129" s="144" t="b">
        <f>IF($BG129=TRUE,FALSE,IF(OR($R129&lt;$BF$5,$R129&gt;$BG$5),TRUE,FALSE))</f>
        <v>0</v>
      </c>
      <c r="BG129" s="142" t="b">
        <f>IF(AND($C129&lt;&gt;"",$R129=""),TRUE,FALSE)</f>
        <v>0</v>
      </c>
      <c r="BH129" s="160" t="b">
        <f>IF(BI129=TRUE,FALSE,IF(AND(V129&lt;&gt;"",V$11=""),TRUE,IF(AND(V129&lt;&gt;"",V$11&lt;&gt;"",$R129&lt;&gt;$AP129),TRUE,IF(OR(V129&lt;0,V129&gt;$R129),TRUE,FALSE))))</f>
        <v>0</v>
      </c>
      <c r="BI129" s="144" t="b">
        <f>IF(AND($C129&lt;&gt;"",V$11&lt;&gt;"",$V129=""),TRUE,FALSE)</f>
        <v>0</v>
      </c>
      <c r="BJ129" s="160" t="b">
        <f>IF(BK129=TRUE,FALSE,IF(AND(X129&lt;&gt;"",X$11=""),TRUE,IF(AND(X129&lt;&gt;"",X$11&lt;&gt;"",$R129&lt;&gt;$AP129),TRUE,IF(OR(X129&lt;0,X129&gt;$R129),TRUE,FALSE))))</f>
        <v>0</v>
      </c>
      <c r="BK129" s="144" t="b">
        <f>IF(AND($C129&lt;&gt;"",X$11&lt;&gt;"",$X129=""),TRUE,FALSE)</f>
        <v>0</v>
      </c>
      <c r="BL129" s="160" t="b">
        <f>IF(BM129=TRUE,FALSE,IF(AND(Z129&lt;&gt;"",Z$11=""),TRUE,IF(AND(Z129&lt;&gt;"",Z$11&lt;&gt;"",$R129&lt;&gt;$AP129),TRUE,IF(OR(Z129&lt;0,Z129&gt;$R129),TRUE,FALSE))))</f>
        <v>0</v>
      </c>
      <c r="BM129" s="144" t="b">
        <f>IF(AND($C129&lt;&gt;"",Z$11&lt;&gt;"",$Z129=""),TRUE,FALSE)</f>
        <v>0</v>
      </c>
      <c r="BN129" s="160" t="b">
        <f>IF(BO129=TRUE,FALSE,IF(AND(AB129&lt;&gt;"",AB$11=""),TRUE,IF(AND(AB129&lt;&gt;"",AB$11&lt;&gt;"",$R129&lt;&gt;$AP129),TRUE,IF(OR(AB129&lt;0,AB129&gt;$R129),TRUE,FALSE))))</f>
        <v>0</v>
      </c>
      <c r="BO129" s="144" t="b">
        <f>IF(AND($C129&lt;&gt;"",AB$11&lt;&gt;"",$AB129=""),TRUE,FALSE)</f>
        <v>0</v>
      </c>
      <c r="BP129" s="160" t="b">
        <f>IF(BQ129=TRUE,FALSE,IF(AND(AD129&lt;&gt;"",AD$11=""),TRUE,IF(AND(AD129&lt;&gt;"",AD$11&lt;&gt;"",$R129&lt;&gt;$AP129),TRUE,IF(OR(AD129&lt;0,AD129&gt;$R129),TRUE,FALSE))))</f>
        <v>0</v>
      </c>
      <c r="BQ129" s="144" t="b">
        <f>IF(AND($C129&lt;&gt;"",AD$11&lt;&gt;"",$AD129=""),TRUE,FALSE)</f>
        <v>0</v>
      </c>
      <c r="BR129" s="160" t="b">
        <f>IF(BS129=TRUE,FALSE,IF(AND(AF129&lt;&gt;"",AF$11=""),TRUE,IF(AND(AF129&lt;&gt;"",AF$11&lt;&gt;"",$R129&lt;&gt;$AP129),TRUE,IF(OR(AF129&lt;0,AF129&gt;$R129),TRUE,FALSE))))</f>
        <v>0</v>
      </c>
      <c r="BS129" s="144" t="b">
        <f>IF(AND($C129&lt;&gt;"",AF$11&lt;&gt;"",$AF129=""),TRUE,FALSE)</f>
        <v>0</v>
      </c>
      <c r="BT129" s="160" t="b">
        <f>IF(BU129=TRUE,FALSE,IF(AND(AH129&lt;&gt;"",AH$11=""),TRUE,IF(AND(AH129&lt;&gt;"",AH$11&lt;&gt;"",$R129&lt;&gt;$AP129),TRUE,IF(OR(AH129&lt;0,AH129&gt;$R129),TRUE,FALSE))))</f>
        <v>0</v>
      </c>
      <c r="BU129" s="144" t="b">
        <f>IF(AND($C129&lt;&gt;"",AH$11&lt;&gt;"",$AH129=""),TRUE,FALSE)</f>
        <v>0</v>
      </c>
      <c r="BV129" s="160" t="b">
        <f>IF(BW129=TRUE,FALSE,IF(AND(AJ129&lt;&gt;"",AJ$11=""),TRUE,IF(AND(AJ129&lt;&gt;"",AJ$11&lt;&gt;"",$R129&lt;&gt;$AP129),TRUE,IF(OR(AJ129&lt;0,AJ129&gt;$R129),TRUE,FALSE))))</f>
        <v>0</v>
      </c>
      <c r="BW129" s="144" t="b">
        <f>IF(AND($C129&lt;&gt;"",AJ$11&lt;&gt;"",$AJ129=""),TRUE,FALSE)</f>
        <v>0</v>
      </c>
      <c r="BX129" s="160" t="b">
        <f>IF(BY129=TRUE,FALSE,IF(AND(AL129&lt;&gt;"",AL$11=""),TRUE,IF(AND(AL129&lt;&gt;"",AL$11&lt;&gt;"",$R129&lt;&gt;$AP129),TRUE,IF(OR(AL129&lt;0,AL129&gt;$R129),TRUE,FALSE))))</f>
        <v>0</v>
      </c>
      <c r="BY129" s="144" t="b">
        <f>IF(AND($C129&lt;&gt;"",AL$11&lt;&gt;"",$AL129=""),TRUE,FALSE)</f>
        <v>0</v>
      </c>
      <c r="BZ129" s="160" t="b">
        <f>IF(CA129=TRUE,FALSE,IF(AND(AN129&lt;&gt;"",AN$11=""),TRUE,IF(AND(AN129&lt;&gt;"",AN$11&lt;&gt;"",$R129&lt;&gt;$AP129),TRUE,IF(OR(AN129&lt;0,AN129&gt;$R129),TRUE,FALSE))))</f>
        <v>0</v>
      </c>
      <c r="CA129" s="144" t="b">
        <f>IF(AND($C129&lt;&gt;"",AN$11&lt;&gt;"",$AN129=""),TRUE,FALSE)</f>
        <v>0</v>
      </c>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4"/>
    </row>
    <row r="130" spans="1:101" ht="6.75" customHeight="1" thickBot="1" x14ac:dyDescent="0.25">
      <c r="A130" s="228"/>
      <c r="B130" s="228"/>
      <c r="C130" s="232"/>
      <c r="D130" s="267"/>
      <c r="I130" s="267"/>
      <c r="K130" s="228"/>
      <c r="M130" s="267"/>
      <c r="O130" s="267"/>
      <c r="Q130" s="267"/>
      <c r="S130" s="267"/>
      <c r="U130" s="267"/>
      <c r="V130" s="283"/>
      <c r="W130" s="267"/>
      <c r="X130" s="283"/>
      <c r="Y130" s="267"/>
      <c r="Z130" s="283"/>
      <c r="AA130" s="267"/>
      <c r="AB130" s="283"/>
      <c r="AC130" s="267"/>
      <c r="AD130" s="283"/>
      <c r="AE130" s="267"/>
      <c r="AF130" s="283"/>
      <c r="AG130" s="267"/>
      <c r="AH130" s="283"/>
      <c r="AI130" s="267"/>
      <c r="AJ130" s="283"/>
      <c r="AK130" s="267"/>
      <c r="AL130" s="283"/>
      <c r="AM130" s="267"/>
      <c r="AN130" s="283"/>
      <c r="AO130" s="267"/>
      <c r="AP130" s="267"/>
      <c r="AQ130" s="267"/>
      <c r="AR130" s="232"/>
      <c r="AY130" s="145"/>
      <c r="AZ130" s="146"/>
      <c r="BA130" s="146"/>
      <c r="BB130" s="146"/>
      <c r="BC130" s="146"/>
      <c r="BD130" s="145"/>
      <c r="BE130" s="146"/>
      <c r="BF130" s="146"/>
      <c r="BG130" s="146"/>
      <c r="BH130" s="145"/>
      <c r="BI130" s="146"/>
      <c r="BJ130" s="145"/>
      <c r="BK130" s="146"/>
      <c r="BL130" s="145"/>
      <c r="BM130" s="146"/>
      <c r="BN130" s="145"/>
      <c r="BO130" s="146"/>
      <c r="BP130" s="145"/>
      <c r="BQ130" s="146"/>
      <c r="BR130" s="145"/>
      <c r="BS130" s="146"/>
      <c r="BT130" s="145"/>
      <c r="BU130" s="146"/>
      <c r="BV130" s="145"/>
      <c r="BW130" s="146"/>
      <c r="BX130" s="145"/>
      <c r="BY130" s="146"/>
      <c r="BZ130" s="145"/>
      <c r="CA130" s="146"/>
    </row>
    <row r="131" spans="1:101" s="101" customFormat="1" ht="12.75" customHeight="1" x14ac:dyDescent="0.2">
      <c r="A131" s="227">
        <f>A129+1</f>
        <v>58</v>
      </c>
      <c r="B131" s="227"/>
      <c r="C131" s="231"/>
      <c r="D131" s="251" t="str">
        <f>IF((C131=""),"Enter Segment "&amp;TEXT(A131,0)&amp;" Name, then Enter Data in Columns "&amp;TEXT($H$2,0)&amp;" - "&amp;TEXT($AN$2,0)&amp;"       ","")</f>
        <v xml:space="preserve">Enter Segment 58 Name, then Enter Data in Columns h - an       </v>
      </c>
      <c r="E131" s="131" t="str">
        <f>IF($AW131="B","N/A",IF(AX131="N","No",IF(AX131="Y","Yes","")))</f>
        <v>N/A</v>
      </c>
      <c r="F131" s="130"/>
      <c r="G131" s="130"/>
      <c r="H131" s="285"/>
      <c r="I131" s="251" t="str">
        <f>IF($C131&lt;&gt;"","Enter Starting Point       ","")</f>
        <v/>
      </c>
      <c r="J131" s="285"/>
      <c r="K131" s="227"/>
      <c r="L131" s="88"/>
      <c r="M131" s="251" t="str">
        <f>IF($C131&lt;&gt;"","Select from Pull-Down List  ","")</f>
        <v/>
      </c>
      <c r="N131" s="88"/>
      <c r="O131" s="251" t="str">
        <f>IF($C131&lt;&gt;"","Select from Pull-Down List  ","")</f>
        <v/>
      </c>
      <c r="P131" s="131"/>
      <c r="Q131" s="251" t="str">
        <f>IF($C131&lt;&gt;"","Dir. Route-Mi?    ","")</f>
        <v/>
      </c>
      <c r="R131" s="131"/>
      <c r="S131" s="251" t="str">
        <f>IF($C131&lt;&gt;"","Trk-Mi?      ","")</f>
        <v/>
      </c>
      <c r="T131" s="131"/>
      <c r="U131" s="251" t="str">
        <f>IF($C131&lt;&gt;"","Trk-Mi?      ","")</f>
        <v/>
      </c>
      <c r="V131" s="284"/>
      <c r="W131" s="278" t="str">
        <f>IF(OR($R131="",V$11=""),"","0 - "&amp;TEXT($R131-$AP131,"0.0")&amp;" Trk-Mi?    ")</f>
        <v/>
      </c>
      <c r="X131" s="284"/>
      <c r="Y131" s="278" t="str">
        <f>IF(OR($R131="",X$11=""),"","0 - "&amp;TEXT($R131-$AP131,"0.0")&amp;" Trk-Mi?    ")</f>
        <v/>
      </c>
      <c r="Z131" s="284"/>
      <c r="AA131" s="278" t="str">
        <f>IF(OR($R131="",Z$11=""),"","0 - "&amp;TEXT($R131-$AP131,"0.0")&amp;" Trk-Mi?    ")</f>
        <v/>
      </c>
      <c r="AB131" s="284"/>
      <c r="AC131" s="278" t="str">
        <f>IF(OR($R131="",AB$11=""),"","0 - "&amp;TEXT($R131-$AP131,"0.0")&amp;" Trk-Mi?    ")</f>
        <v/>
      </c>
      <c r="AD131" s="284"/>
      <c r="AE131" s="278" t="str">
        <f>IF(OR($R131="",AD$11=""),"","0 - "&amp;TEXT($R131-$AP131,"0.0")&amp;" Trk-Mi?    ")</f>
        <v/>
      </c>
      <c r="AF131" s="284"/>
      <c r="AG131" s="278" t="str">
        <f>IF(OR($R131="",AF$11=""),"","0 - "&amp;TEXT($R131-$AP131,"0.0")&amp;" Trk-Mi?    ")</f>
        <v/>
      </c>
      <c r="AH131" s="284"/>
      <c r="AI131" s="278" t="str">
        <f>IF(OR($R131="",AH$11=""),"","0 - "&amp;TEXT($R131-$AP131,"0.0")&amp;" Trk-Mi?    ")</f>
        <v/>
      </c>
      <c r="AJ131" s="284"/>
      <c r="AK131" s="278" t="str">
        <f>IF(OR($R131="",AJ$11=""),"","0 - "&amp;TEXT($R131-$AP131,"0.0")&amp;" Trk-Mi?    ")</f>
        <v/>
      </c>
      <c r="AL131" s="284"/>
      <c r="AM131" s="278" t="str">
        <f>IF(OR($R131="",AL$11=""),"","0 - "&amp;TEXT($R131-$AP131,"0.0")&amp;" Trk-Mi?    ")</f>
        <v/>
      </c>
      <c r="AN131" s="284"/>
      <c r="AO131" s="278" t="str">
        <f>IF(OR($R131="",AN$11=""),"","0 - "&amp;TEXT($R131-$AP131,"0.0")&amp;" Trk-Mi?    ")</f>
        <v/>
      </c>
      <c r="AP131" s="282">
        <f>SUM(V131,X131,Z131,AB131,AD131,AF131,AH131,AJ131,AL131,AN131)</f>
        <v>0</v>
      </c>
      <c r="AQ131" s="278"/>
      <c r="AR131" s="234"/>
      <c r="AS131" s="107"/>
      <c r="AT131" s="107"/>
      <c r="AU131" s="107"/>
      <c r="AW131" s="107" t="str">
        <f>IF(AND($C131="",$H131="",$J131="",$L131="",$N131="",$P131="",$R131=""),"B","NB")</f>
        <v>B</v>
      </c>
      <c r="AX131" s="241" t="str">
        <f>IF(OR($C131="",$H131="",$J131="",$L131="",$N131="",$R131="",$P131="",AND($V$11&lt;&gt;"",$V131=""),AND($X$11&lt;&gt;"",$X131=""),AND($Z$11&lt;&gt;"",$Z131=""),AND($AB$11&lt;&gt;"",$AB131=""),AND($AD$11&lt;&gt;"",$AD131=""),AND($AF$11&lt;&gt;"",$AF131=""),AND($AH$11&lt;&gt;"",$AH131=""),AND($AJ$11&lt;&gt;"",$AJ131=""),AND($AL$11&lt;&gt;"",$AL131=""),AND($AN$11&lt;&gt;"",$AN131="")),"N","Y")</f>
        <v>N</v>
      </c>
      <c r="AY131" s="142" t="b">
        <f>IF(AND($C131="",OR($H131&lt;&gt;"",$J131&lt;&gt;"",$L131&lt;&gt;"",$N131&lt;&gt;"",$R131&lt;&gt;"",$P131&lt;&gt;"",AND($V$11&lt;&gt;"",$V131&lt;&gt;""),AND($X$11&lt;&gt;"",$X131&lt;&gt;""),AND($Z$11&lt;&gt;"",$Z131&lt;&gt;""),AND($AB$11&lt;&gt;"",$AB131&lt;&gt;""),AND($AD$11&lt;&gt;"",$AD131&lt;&gt;""),AND($AF$11&lt;&gt;"",$AF131&lt;&gt;""),AND($AH$11&lt;&gt;"",$AH131&lt;&gt;""),AND($AJ$11&lt;&gt;"",$AJ131&lt;&gt;""),AND($AL$11&lt;&gt;"",$AL131&lt;&gt;""),AND($AN$11&lt;&gt;"",$AN131&lt;&gt;""))),TRUE,FALSE)</f>
        <v>0</v>
      </c>
      <c r="AZ131" s="144" t="b">
        <f>IF(AND($C131&lt;&gt;"",$H131=""),TRUE,FALSE)</f>
        <v>0</v>
      </c>
      <c r="BA131" s="144" t="b">
        <f>IF(AND($C131&lt;&gt;"",$J131=""),TRUE,FALSE)</f>
        <v>0</v>
      </c>
      <c r="BB131" s="144" t="b">
        <f>IF(AND($C131&lt;&gt;"",$L131=""),TRUE,FALSE)</f>
        <v>0</v>
      </c>
      <c r="BC131" s="144" t="b">
        <f>IF(AND($C131&lt;&gt;"",$N131=""),TRUE,FALSE)</f>
        <v>0</v>
      </c>
      <c r="BD131" s="142" t="b">
        <f>IF($BE131=TRUE,FALSE,IF(OR($P131&lt;$BD$5,$P131&gt;$BE$5),TRUE,FALSE))</f>
        <v>0</v>
      </c>
      <c r="BE131" s="144" t="b">
        <f>IF(AND($C131&lt;&gt;"",$P131=""),TRUE,FALSE)</f>
        <v>0</v>
      </c>
      <c r="BF131" s="144" t="b">
        <f>IF($BG131=TRUE,FALSE,IF(OR($R131&lt;$BF$5,$R131&gt;$BG$5),TRUE,FALSE))</f>
        <v>0</v>
      </c>
      <c r="BG131" s="144" t="b">
        <f>IF(AND($C131&lt;&gt;"",$R131=""),TRUE,FALSE)</f>
        <v>0</v>
      </c>
      <c r="BH131" s="160" t="b">
        <f>IF(BI131=TRUE,FALSE,IF(AND(V131&lt;&gt;"",V$11=""),TRUE,IF(AND(V131&lt;&gt;"",V$11&lt;&gt;"",$R131&lt;&gt;$AP131),TRUE,IF(OR(V131&lt;0,V131&gt;$R131),TRUE,FALSE))))</f>
        <v>0</v>
      </c>
      <c r="BI131" s="144" t="b">
        <f>IF(AND($C131&lt;&gt;"",V$11&lt;&gt;"",$V131=""),TRUE,FALSE)</f>
        <v>0</v>
      </c>
      <c r="BJ131" s="160" t="b">
        <f>IF(BK131=TRUE,FALSE,IF(AND(X131&lt;&gt;"",X$11=""),TRUE,IF(AND(X131&lt;&gt;"",X$11&lt;&gt;"",$R131&lt;&gt;$AP131),TRUE,IF(OR(X131&lt;0,X131&gt;$R131),TRUE,FALSE))))</f>
        <v>0</v>
      </c>
      <c r="BK131" s="144" t="b">
        <f>IF(AND($C131&lt;&gt;"",X$11&lt;&gt;"",$X131=""),TRUE,FALSE)</f>
        <v>0</v>
      </c>
      <c r="BL131" s="160" t="b">
        <f>IF(BM131=TRUE,FALSE,IF(AND(Z131&lt;&gt;"",Z$11=""),TRUE,IF(AND(Z131&lt;&gt;"",Z$11&lt;&gt;"",$R131&lt;&gt;$AP131),TRUE,IF(OR(Z131&lt;0,Z131&gt;$R131),TRUE,FALSE))))</f>
        <v>0</v>
      </c>
      <c r="BM131" s="144" t="b">
        <f>IF(AND($C131&lt;&gt;"",Z$11&lt;&gt;"",$Z131=""),TRUE,FALSE)</f>
        <v>0</v>
      </c>
      <c r="BN131" s="160" t="b">
        <f>IF(BO131=TRUE,FALSE,IF(AND(AB131&lt;&gt;"",AB$11=""),TRUE,IF(AND(AB131&lt;&gt;"",AB$11&lt;&gt;"",$R131&lt;&gt;$AP131),TRUE,IF(OR(AB131&lt;0,AB131&gt;$R131),TRUE,FALSE))))</f>
        <v>0</v>
      </c>
      <c r="BO131" s="144" t="b">
        <f>IF(AND($C131&lt;&gt;"",AB$11&lt;&gt;"",$AB131=""),TRUE,FALSE)</f>
        <v>0</v>
      </c>
      <c r="BP131" s="160" t="b">
        <f>IF(BQ131=TRUE,FALSE,IF(AND(AD131&lt;&gt;"",AD$11=""),TRUE,IF(AND(AD131&lt;&gt;"",AD$11&lt;&gt;"",$R131&lt;&gt;$AP131),TRUE,IF(OR(AD131&lt;0,AD131&gt;$R131),TRUE,FALSE))))</f>
        <v>0</v>
      </c>
      <c r="BQ131" s="144" t="b">
        <f>IF(AND($C131&lt;&gt;"",AD$11&lt;&gt;"",$AD131=""),TRUE,FALSE)</f>
        <v>0</v>
      </c>
      <c r="BR131" s="160" t="b">
        <f>IF(BS131=TRUE,FALSE,IF(AND(AF131&lt;&gt;"",AF$11=""),TRUE,IF(AND(AF131&lt;&gt;"",AF$11&lt;&gt;"",$R131&lt;&gt;$AP131),TRUE,IF(OR(AF131&lt;0,AF131&gt;$R131),TRUE,FALSE))))</f>
        <v>0</v>
      </c>
      <c r="BS131" s="144" t="b">
        <f>IF(AND($C131&lt;&gt;"",AF$11&lt;&gt;"",$AF131=""),TRUE,FALSE)</f>
        <v>0</v>
      </c>
      <c r="BT131" s="160" t="b">
        <f>IF(BU131=TRUE,FALSE,IF(AND(AH131&lt;&gt;"",AH$11=""),TRUE,IF(AND(AH131&lt;&gt;"",AH$11&lt;&gt;"",$R131&lt;&gt;$AP131),TRUE,IF(OR(AH131&lt;0,AH131&gt;$R131),TRUE,FALSE))))</f>
        <v>0</v>
      </c>
      <c r="BU131" s="144" t="b">
        <f>IF(AND($C131&lt;&gt;"",AH$11&lt;&gt;"",$AH131=""),TRUE,FALSE)</f>
        <v>0</v>
      </c>
      <c r="BV131" s="160" t="b">
        <f>IF(BW131=TRUE,FALSE,IF(AND(AJ131&lt;&gt;"",AJ$11=""),TRUE,IF(AND(AJ131&lt;&gt;"",AJ$11&lt;&gt;"",$R131&lt;&gt;$AP131),TRUE,IF(OR(AJ131&lt;0,AJ131&gt;$R131),TRUE,FALSE))))</f>
        <v>0</v>
      </c>
      <c r="BW131" s="144" t="b">
        <f>IF(AND($C131&lt;&gt;"",AJ$11&lt;&gt;"",$AJ131=""),TRUE,FALSE)</f>
        <v>0</v>
      </c>
      <c r="BX131" s="160" t="b">
        <f>IF(BY131=TRUE,FALSE,IF(AND(AL131&lt;&gt;"",AL$11=""),TRUE,IF(AND(AL131&lt;&gt;"",AL$11&lt;&gt;"",$R131&lt;&gt;$AP131),TRUE,IF(OR(AL131&lt;0,AL131&gt;$R131),TRUE,FALSE))))</f>
        <v>0</v>
      </c>
      <c r="BY131" s="144" t="b">
        <f>IF(AND($C131&lt;&gt;"",AL$11&lt;&gt;"",$AL131=""),TRUE,FALSE)</f>
        <v>0</v>
      </c>
      <c r="BZ131" s="160" t="b">
        <f>IF(CA131=TRUE,FALSE,IF(AND(AN131&lt;&gt;"",AN$11=""),TRUE,IF(AND(AN131&lt;&gt;"",AN$11&lt;&gt;"",$R131&lt;&gt;$AP131),TRUE,IF(OR(AN131&lt;0,AN131&gt;$R131),TRUE,FALSE))))</f>
        <v>0</v>
      </c>
      <c r="CA131" s="144" t="b">
        <f>IF(AND($C131&lt;&gt;"",AN$11&lt;&gt;"",$AN131=""),TRUE,FALSE)</f>
        <v>0</v>
      </c>
      <c r="CB131" s="133"/>
      <c r="CC131" s="133"/>
      <c r="CD131" s="133"/>
      <c r="CE131" s="133"/>
      <c r="CF131" s="133"/>
      <c r="CG131" s="133"/>
      <c r="CH131" s="133"/>
      <c r="CI131" s="133"/>
      <c r="CJ131" s="133"/>
      <c r="CK131" s="133"/>
      <c r="CL131" s="133"/>
      <c r="CM131" s="133"/>
      <c r="CN131" s="133"/>
      <c r="CO131" s="133"/>
      <c r="CP131" s="133"/>
      <c r="CQ131" s="133"/>
      <c r="CR131" s="133"/>
      <c r="CS131" s="133"/>
      <c r="CT131" s="133"/>
      <c r="CU131" s="133"/>
      <c r="CV131" s="133"/>
      <c r="CW131" s="134"/>
    </row>
    <row r="132" spans="1:101" ht="6.75" customHeight="1" thickBot="1" x14ac:dyDescent="0.25">
      <c r="A132" s="228"/>
      <c r="B132" s="228"/>
      <c r="C132" s="232"/>
      <c r="D132" s="251"/>
      <c r="E132" s="130"/>
      <c r="F132" s="130"/>
      <c r="G132" s="130"/>
      <c r="I132" s="251"/>
      <c r="K132" s="228"/>
      <c r="M132" s="251"/>
      <c r="O132" s="251"/>
      <c r="P132" s="130"/>
      <c r="Q132" s="251"/>
      <c r="R132" s="130"/>
      <c r="S132" s="251"/>
      <c r="T132" s="130"/>
      <c r="U132" s="251"/>
      <c r="V132" s="283"/>
      <c r="W132" s="278"/>
      <c r="X132" s="283"/>
      <c r="Y132" s="278"/>
      <c r="Z132" s="283"/>
      <c r="AA132" s="278"/>
      <c r="AB132" s="283"/>
      <c r="AC132" s="278"/>
      <c r="AD132" s="283"/>
      <c r="AE132" s="278"/>
      <c r="AF132" s="283"/>
      <c r="AG132" s="278"/>
      <c r="AH132" s="283"/>
      <c r="AI132" s="278"/>
      <c r="AJ132" s="283"/>
      <c r="AK132" s="278"/>
      <c r="AL132" s="283"/>
      <c r="AM132" s="278"/>
      <c r="AN132" s="283"/>
      <c r="AO132" s="278"/>
      <c r="AP132" s="105"/>
      <c r="AQ132" s="253"/>
      <c r="AR132" s="232"/>
      <c r="AY132" s="145"/>
      <c r="AZ132" s="146"/>
      <c r="BA132" s="146"/>
      <c r="BB132" s="146"/>
      <c r="BC132" s="146"/>
      <c r="BD132" s="145"/>
      <c r="BE132" s="146"/>
      <c r="BF132" s="146"/>
      <c r="BG132" s="146"/>
      <c r="BH132" s="145"/>
      <c r="BI132" s="146"/>
      <c r="BJ132" s="145"/>
      <c r="BK132" s="146"/>
      <c r="BL132" s="145"/>
      <c r="BM132" s="146"/>
      <c r="BN132" s="145"/>
      <c r="BO132" s="146"/>
      <c r="BP132" s="145"/>
      <c r="BQ132" s="146"/>
      <c r="BR132" s="145"/>
      <c r="BS132" s="146"/>
      <c r="BT132" s="145"/>
      <c r="BU132" s="146"/>
      <c r="BV132" s="145"/>
      <c r="BW132" s="146"/>
      <c r="BX132" s="145"/>
      <c r="BY132" s="146"/>
      <c r="BZ132" s="145"/>
      <c r="CA132" s="146"/>
    </row>
    <row r="133" spans="1:101" s="101" customFormat="1" ht="12.75" customHeight="1" x14ac:dyDescent="0.2">
      <c r="A133" s="227">
        <f>A131+1</f>
        <v>59</v>
      </c>
      <c r="B133" s="227"/>
      <c r="C133" s="231"/>
      <c r="D133" s="251" t="str">
        <f>IF((C133=""),"Enter Segment "&amp;TEXT(A133,0)&amp;" Name, then Enter Data in Columns "&amp;TEXT($H$2,0)&amp;" - "&amp;TEXT($AN$2,0)&amp;"       ","")</f>
        <v xml:space="preserve">Enter Segment 59 Name, then Enter Data in Columns h - an       </v>
      </c>
      <c r="E133" s="131" t="str">
        <f>IF($AW133="B","N/A",IF(AX133="N","No",IF(AX133="Y","Yes","")))</f>
        <v>N/A</v>
      </c>
      <c r="F133" s="130"/>
      <c r="G133" s="130"/>
      <c r="H133" s="285"/>
      <c r="I133" s="251" t="str">
        <f>IF($C133&lt;&gt;"","Enter Starting Point       ","")</f>
        <v/>
      </c>
      <c r="J133" s="285"/>
      <c r="K133" s="227"/>
      <c r="L133" s="88"/>
      <c r="M133" s="251" t="str">
        <f>IF($C133&lt;&gt;"","Select from Pull-Down List  ","")</f>
        <v/>
      </c>
      <c r="N133" s="88"/>
      <c r="O133" s="251" t="str">
        <f>IF($C133&lt;&gt;"","Select from Pull-Down List  ","")</f>
        <v/>
      </c>
      <c r="P133" s="131"/>
      <c r="Q133" s="251" t="str">
        <f>IF($C133&lt;&gt;"","Dir. Route-Mi?    ","")</f>
        <v/>
      </c>
      <c r="R133" s="131"/>
      <c r="S133" s="251" t="str">
        <f>IF($C133&lt;&gt;"","Trk-Mi?      ","")</f>
        <v/>
      </c>
      <c r="T133" s="131"/>
      <c r="U133" s="251" t="str">
        <f>IF($C133&lt;&gt;"","Trk-Mi?      ","")</f>
        <v/>
      </c>
      <c r="V133" s="284"/>
      <c r="W133" s="278" t="str">
        <f>IF(OR($R133="",V$11=""),"","0 - "&amp;TEXT($R133-$AP133,"0.0")&amp;" Trk-Mi?    ")</f>
        <v/>
      </c>
      <c r="X133" s="284"/>
      <c r="Y133" s="278" t="str">
        <f>IF(OR($R133="",X$11=""),"","0 - "&amp;TEXT($R133-$AP133,"0.0")&amp;" Trk-Mi?    ")</f>
        <v/>
      </c>
      <c r="Z133" s="284"/>
      <c r="AA133" s="278" t="str">
        <f>IF(OR($R133="",Z$11=""),"","0 - "&amp;TEXT($R133-$AP133,"0.0")&amp;" Trk-Mi?    ")</f>
        <v/>
      </c>
      <c r="AB133" s="284"/>
      <c r="AC133" s="278" t="str">
        <f>IF(OR($R133="",AB$11=""),"","0 - "&amp;TEXT($R133-$AP133,"0.0")&amp;" Trk-Mi?    ")</f>
        <v/>
      </c>
      <c r="AD133" s="284"/>
      <c r="AE133" s="278" t="str">
        <f>IF(OR($R133="",AD$11=""),"","0 - "&amp;TEXT($R133-$AP133,"0.0")&amp;" Trk-Mi?    ")</f>
        <v/>
      </c>
      <c r="AF133" s="284"/>
      <c r="AG133" s="278" t="str">
        <f>IF(OR($R133="",AF$11=""),"","0 - "&amp;TEXT($R133-$AP133,"0.0")&amp;" Trk-Mi?    ")</f>
        <v/>
      </c>
      <c r="AH133" s="284"/>
      <c r="AI133" s="278" t="str">
        <f>IF(OR($R133="",AH$11=""),"","0 - "&amp;TEXT($R133-$AP133,"0.0")&amp;" Trk-Mi?    ")</f>
        <v/>
      </c>
      <c r="AJ133" s="284"/>
      <c r="AK133" s="278" t="str">
        <f>IF(OR($R133="",AJ$11=""),"","0 - "&amp;TEXT($R133-$AP133,"0.0")&amp;" Trk-Mi?    ")</f>
        <v/>
      </c>
      <c r="AL133" s="284"/>
      <c r="AM133" s="278" t="str">
        <f>IF(OR($R133="",AL$11=""),"","0 - "&amp;TEXT($R133-$AP133,"0.0")&amp;" Trk-Mi?    ")</f>
        <v/>
      </c>
      <c r="AN133" s="284"/>
      <c r="AO133" s="278" t="str">
        <f>IF(OR($R133="",AN$11=""),"","0 - "&amp;TEXT($R133-$AP133,"0.0")&amp;" Trk-Mi?    ")</f>
        <v/>
      </c>
      <c r="AP133" s="282">
        <f>SUM(V133,X133,Z133,AB133,AD133,AF133,AH133,AJ133,AL133,AN133)</f>
        <v>0</v>
      </c>
      <c r="AQ133" s="278"/>
      <c r="AR133" s="234"/>
      <c r="AS133" s="107"/>
      <c r="AT133" s="107"/>
      <c r="AU133" s="107"/>
      <c r="AW133" s="107" t="str">
        <f>IF(AND($C133="",$H133="",$J133="",$L133="",$N133="",$P133="",$R133=""),"B","NB")</f>
        <v>B</v>
      </c>
      <c r="AX133" s="241" t="str">
        <f>IF(OR($C133="",$H133="",$J133="",$L133="",$N133="",$R133="",$P133="",AND($V$11&lt;&gt;"",$V133=""),AND($X$11&lt;&gt;"",$X133=""),AND($Z$11&lt;&gt;"",$Z133=""),AND($AB$11&lt;&gt;"",$AB133=""),AND($AD$11&lt;&gt;"",$AD133=""),AND($AF$11&lt;&gt;"",$AF133=""),AND($AH$11&lt;&gt;"",$AH133=""),AND($AJ$11&lt;&gt;"",$AJ133=""),AND($AL$11&lt;&gt;"",$AL133=""),AND($AN$11&lt;&gt;"",$AN133="")),"N","Y")</f>
        <v>N</v>
      </c>
      <c r="AY133" s="142" t="b">
        <f>IF(AND($C133="",OR($H133&lt;&gt;"",$J133&lt;&gt;"",$L133&lt;&gt;"",$N133&lt;&gt;"",$R133&lt;&gt;"",$P133&lt;&gt;"",AND($V$11&lt;&gt;"",$V133&lt;&gt;""),AND($X$11&lt;&gt;"",$X133&lt;&gt;""),AND($Z$11&lt;&gt;"",$Z133&lt;&gt;""),AND($AB$11&lt;&gt;"",$AB133&lt;&gt;""),AND($AD$11&lt;&gt;"",$AD133&lt;&gt;""),AND($AF$11&lt;&gt;"",$AF133&lt;&gt;""),AND($AH$11&lt;&gt;"",$AH133&lt;&gt;""),AND($AJ$11&lt;&gt;"",$AJ133&lt;&gt;""),AND($AL$11&lt;&gt;"",$AL133&lt;&gt;""),AND($AN$11&lt;&gt;"",$AN133&lt;&gt;""))),TRUE,FALSE)</f>
        <v>0</v>
      </c>
      <c r="AZ133" s="144" t="b">
        <f>IF(AND($C133&lt;&gt;"",$H133=""),TRUE,FALSE)</f>
        <v>0</v>
      </c>
      <c r="BA133" s="144" t="b">
        <f>IF(AND($C133&lt;&gt;"",$J133=""),TRUE,FALSE)</f>
        <v>0</v>
      </c>
      <c r="BB133" s="144" t="b">
        <f>IF(AND($C133&lt;&gt;"",$L133=""),TRUE,FALSE)</f>
        <v>0</v>
      </c>
      <c r="BC133" s="144" t="b">
        <f>IF(AND($C133&lt;&gt;"",$N133=""),TRUE,FALSE)</f>
        <v>0</v>
      </c>
      <c r="BD133" s="142" t="b">
        <f>IF($BE133=TRUE,FALSE,IF(OR($P133&lt;$BD$5,$P133&gt;$BE$5),TRUE,FALSE))</f>
        <v>0</v>
      </c>
      <c r="BE133" s="144" t="b">
        <f>IF(AND($C133&lt;&gt;"",$P133=""),TRUE,FALSE)</f>
        <v>0</v>
      </c>
      <c r="BF133" s="144" t="b">
        <f>IF($BG133=TRUE,FALSE,IF(OR($R133&lt;$BF$5,$R133&gt;$BG$5),TRUE,FALSE))</f>
        <v>0</v>
      </c>
      <c r="BG133" s="144" t="b">
        <f>IF(AND($C133&lt;&gt;"",$R133=""),TRUE,FALSE)</f>
        <v>0</v>
      </c>
      <c r="BH133" s="160" t="b">
        <f>IF(BI133=TRUE,FALSE,IF(AND(V133&lt;&gt;"",V$11=""),TRUE,IF(AND(V133&lt;&gt;"",V$11&lt;&gt;"",$R133&lt;&gt;$AP133),TRUE,IF(OR(V133&lt;0,V133&gt;$R133),TRUE,FALSE))))</f>
        <v>0</v>
      </c>
      <c r="BI133" s="144" t="b">
        <f>IF(AND($C133&lt;&gt;"",V$11&lt;&gt;"",$V133=""),TRUE,FALSE)</f>
        <v>0</v>
      </c>
      <c r="BJ133" s="160" t="b">
        <f>IF(BK133=TRUE,FALSE,IF(AND(X133&lt;&gt;"",X$11=""),TRUE,IF(AND(X133&lt;&gt;"",X$11&lt;&gt;"",$R133&lt;&gt;$AP133),TRUE,IF(OR(X133&lt;0,X133&gt;$R133),TRUE,FALSE))))</f>
        <v>0</v>
      </c>
      <c r="BK133" s="144" t="b">
        <f>IF(AND($C133&lt;&gt;"",X$11&lt;&gt;"",$X133=""),TRUE,FALSE)</f>
        <v>0</v>
      </c>
      <c r="BL133" s="160" t="b">
        <f>IF(BM133=TRUE,FALSE,IF(AND(Z133&lt;&gt;"",Z$11=""),TRUE,IF(AND(Z133&lt;&gt;"",Z$11&lt;&gt;"",$R133&lt;&gt;$AP133),TRUE,IF(OR(Z133&lt;0,Z133&gt;$R133),TRUE,FALSE))))</f>
        <v>0</v>
      </c>
      <c r="BM133" s="144" t="b">
        <f>IF(AND($C133&lt;&gt;"",Z$11&lt;&gt;"",$Z133=""),TRUE,FALSE)</f>
        <v>0</v>
      </c>
      <c r="BN133" s="160" t="b">
        <f>IF(BO133=TRUE,FALSE,IF(AND(AB133&lt;&gt;"",AB$11=""),TRUE,IF(AND(AB133&lt;&gt;"",AB$11&lt;&gt;"",$R133&lt;&gt;$AP133),TRUE,IF(OR(AB133&lt;0,AB133&gt;$R133),TRUE,FALSE))))</f>
        <v>0</v>
      </c>
      <c r="BO133" s="144" t="b">
        <f>IF(AND($C133&lt;&gt;"",AB$11&lt;&gt;"",$AB133=""),TRUE,FALSE)</f>
        <v>0</v>
      </c>
      <c r="BP133" s="160" t="b">
        <f>IF(BQ133=TRUE,FALSE,IF(AND(AD133&lt;&gt;"",AD$11=""),TRUE,IF(AND(AD133&lt;&gt;"",AD$11&lt;&gt;"",$R133&lt;&gt;$AP133),TRUE,IF(OR(AD133&lt;0,AD133&gt;$R133),TRUE,FALSE))))</f>
        <v>0</v>
      </c>
      <c r="BQ133" s="144" t="b">
        <f>IF(AND($C133&lt;&gt;"",AD$11&lt;&gt;"",$AD133=""),TRUE,FALSE)</f>
        <v>0</v>
      </c>
      <c r="BR133" s="160" t="b">
        <f>IF(BS133=TRUE,FALSE,IF(AND(AF133&lt;&gt;"",AF$11=""),TRUE,IF(AND(AF133&lt;&gt;"",AF$11&lt;&gt;"",$R133&lt;&gt;$AP133),TRUE,IF(OR(AF133&lt;0,AF133&gt;$R133),TRUE,FALSE))))</f>
        <v>0</v>
      </c>
      <c r="BS133" s="144" t="b">
        <f>IF(AND($C133&lt;&gt;"",AF$11&lt;&gt;"",$AF133=""),TRUE,FALSE)</f>
        <v>0</v>
      </c>
      <c r="BT133" s="160" t="b">
        <f>IF(BU133=TRUE,FALSE,IF(AND(AH133&lt;&gt;"",AH$11=""),TRUE,IF(AND(AH133&lt;&gt;"",AH$11&lt;&gt;"",$R133&lt;&gt;$AP133),TRUE,IF(OR(AH133&lt;0,AH133&gt;$R133),TRUE,FALSE))))</f>
        <v>0</v>
      </c>
      <c r="BU133" s="144" t="b">
        <f>IF(AND($C133&lt;&gt;"",AH$11&lt;&gt;"",$AH133=""),TRUE,FALSE)</f>
        <v>0</v>
      </c>
      <c r="BV133" s="160" t="b">
        <f>IF(BW133=TRUE,FALSE,IF(AND(AJ133&lt;&gt;"",AJ$11=""),TRUE,IF(AND(AJ133&lt;&gt;"",AJ$11&lt;&gt;"",$R133&lt;&gt;$AP133),TRUE,IF(OR(AJ133&lt;0,AJ133&gt;$R133),TRUE,FALSE))))</f>
        <v>0</v>
      </c>
      <c r="BW133" s="144" t="b">
        <f>IF(AND($C133&lt;&gt;"",AJ$11&lt;&gt;"",$AJ133=""),TRUE,FALSE)</f>
        <v>0</v>
      </c>
      <c r="BX133" s="160" t="b">
        <f>IF(BY133=TRUE,FALSE,IF(AND(AL133&lt;&gt;"",AL$11=""),TRUE,IF(AND(AL133&lt;&gt;"",AL$11&lt;&gt;"",$R133&lt;&gt;$AP133),TRUE,IF(OR(AL133&lt;0,AL133&gt;$R133),TRUE,FALSE))))</f>
        <v>0</v>
      </c>
      <c r="BY133" s="144" t="b">
        <f>IF(AND($C133&lt;&gt;"",AL$11&lt;&gt;"",$AL133=""),TRUE,FALSE)</f>
        <v>0</v>
      </c>
      <c r="BZ133" s="160" t="b">
        <f>IF(CA133=TRUE,FALSE,IF(AND(AN133&lt;&gt;"",AN$11=""),TRUE,IF(AND(AN133&lt;&gt;"",AN$11&lt;&gt;"",$R133&lt;&gt;$AP133),TRUE,IF(OR(AN133&lt;0,AN133&gt;$R133),TRUE,FALSE))))</f>
        <v>0</v>
      </c>
      <c r="CA133" s="144" t="b">
        <f>IF(AND($C133&lt;&gt;"",AN$11&lt;&gt;"",$AN133=""),TRUE,FALSE)</f>
        <v>0</v>
      </c>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4"/>
    </row>
    <row r="134" spans="1:101" ht="6.75" customHeight="1" thickBot="1" x14ac:dyDescent="0.25">
      <c r="A134" s="228"/>
      <c r="B134" s="228"/>
      <c r="C134" s="232"/>
      <c r="D134" s="267"/>
      <c r="I134" s="267"/>
      <c r="K134" s="228"/>
      <c r="M134" s="267"/>
      <c r="O134" s="267"/>
      <c r="Q134" s="267"/>
      <c r="S134" s="267"/>
      <c r="U134" s="267"/>
      <c r="V134" s="283"/>
      <c r="W134" s="267"/>
      <c r="X134" s="283"/>
      <c r="Y134" s="267"/>
      <c r="Z134" s="283"/>
      <c r="AA134" s="267"/>
      <c r="AB134" s="283"/>
      <c r="AC134" s="267"/>
      <c r="AD134" s="283"/>
      <c r="AE134" s="267"/>
      <c r="AF134" s="283"/>
      <c r="AG134" s="267"/>
      <c r="AH134" s="283"/>
      <c r="AI134" s="267"/>
      <c r="AJ134" s="283"/>
      <c r="AK134" s="267"/>
      <c r="AL134" s="283"/>
      <c r="AM134" s="267"/>
      <c r="AN134" s="283"/>
      <c r="AO134" s="267"/>
      <c r="AP134" s="267"/>
      <c r="AQ134" s="267"/>
      <c r="AR134" s="232"/>
      <c r="AY134" s="145"/>
      <c r="AZ134" s="146"/>
      <c r="BA134" s="146"/>
      <c r="BB134" s="146"/>
      <c r="BC134" s="146"/>
      <c r="BD134" s="145"/>
      <c r="BE134" s="146"/>
      <c r="BF134" s="146"/>
      <c r="BG134" s="146"/>
      <c r="BH134" s="145"/>
      <c r="BI134" s="146"/>
      <c r="BJ134" s="145"/>
      <c r="BK134" s="146"/>
      <c r="BL134" s="145"/>
      <c r="BM134" s="146"/>
      <c r="BN134" s="145"/>
      <c r="BO134" s="146"/>
      <c r="BP134" s="145"/>
      <c r="BQ134" s="146"/>
      <c r="BR134" s="145"/>
      <c r="BS134" s="146"/>
      <c r="BT134" s="145"/>
      <c r="BU134" s="146"/>
      <c r="BV134" s="145"/>
      <c r="BW134" s="146"/>
      <c r="BX134" s="145"/>
      <c r="BY134" s="146"/>
      <c r="BZ134" s="145"/>
      <c r="CA134" s="146"/>
    </row>
    <row r="135" spans="1:101" s="101" customFormat="1" ht="12.75" customHeight="1" x14ac:dyDescent="0.2">
      <c r="A135" s="227">
        <f>A133+1</f>
        <v>60</v>
      </c>
      <c r="B135" s="227"/>
      <c r="C135" s="231"/>
      <c r="D135" s="251" t="str">
        <f>IF((C135=""),"Enter Segment "&amp;TEXT(A135,0)&amp;" Name, then Enter Data in Columns "&amp;TEXT($H$2,0)&amp;" - "&amp;TEXT($AN$2,0)&amp;"       ","")</f>
        <v xml:space="preserve">Enter Segment 60 Name, then Enter Data in Columns h - an       </v>
      </c>
      <c r="E135" s="131" t="str">
        <f>IF($AW135="B","N/A",IF(AX135="N","No",IF(AX135="Y","Yes","")))</f>
        <v>N/A</v>
      </c>
      <c r="F135" s="130"/>
      <c r="G135" s="130"/>
      <c r="H135" s="285"/>
      <c r="I135" s="251" t="str">
        <f>IF($C135&lt;&gt;"","Enter Starting Point       ","")</f>
        <v/>
      </c>
      <c r="J135" s="285"/>
      <c r="K135" s="227"/>
      <c r="L135" s="88"/>
      <c r="M135" s="251" t="str">
        <f>IF($C135&lt;&gt;"","Select from Pull-Down List  ","")</f>
        <v/>
      </c>
      <c r="N135" s="88"/>
      <c r="O135" s="251" t="str">
        <f>IF($C135&lt;&gt;"","Select from Pull-Down List  ","")</f>
        <v/>
      </c>
      <c r="P135" s="131"/>
      <c r="Q135" s="251" t="str">
        <f>IF($C135&lt;&gt;"","Dir. Route-Mi?    ","")</f>
        <v/>
      </c>
      <c r="R135" s="131"/>
      <c r="S135" s="251" t="str">
        <f>IF($C135&lt;&gt;"","Trk-Mi?      ","")</f>
        <v/>
      </c>
      <c r="T135" s="131"/>
      <c r="U135" s="251" t="str">
        <f>IF($C135&lt;&gt;"","Trk-Mi?      ","")</f>
        <v/>
      </c>
      <c r="V135" s="284"/>
      <c r="W135" s="278" t="str">
        <f>IF(OR($R135="",V$11=""),"","0 - "&amp;TEXT($R135-$AP135,"0.0")&amp;" Trk-Mi?    ")</f>
        <v/>
      </c>
      <c r="X135" s="284"/>
      <c r="Y135" s="278" t="str">
        <f>IF(OR($R135="",X$11=""),"","0 - "&amp;TEXT($R135-$AP135,"0.0")&amp;" Trk-Mi?    ")</f>
        <v/>
      </c>
      <c r="Z135" s="284"/>
      <c r="AA135" s="278" t="str">
        <f>IF(OR($R135="",Z$11=""),"","0 - "&amp;TEXT($R135-$AP135,"0.0")&amp;" Trk-Mi?    ")</f>
        <v/>
      </c>
      <c r="AB135" s="284"/>
      <c r="AC135" s="278" t="str">
        <f>IF(OR($R135="",AB$11=""),"","0 - "&amp;TEXT($R135-$AP135,"0.0")&amp;" Trk-Mi?    ")</f>
        <v/>
      </c>
      <c r="AD135" s="284"/>
      <c r="AE135" s="278" t="str">
        <f>IF(OR($R135="",AD$11=""),"","0 - "&amp;TEXT($R135-$AP135,"0.0")&amp;" Trk-Mi?    ")</f>
        <v/>
      </c>
      <c r="AF135" s="284"/>
      <c r="AG135" s="278" t="str">
        <f>IF(OR($R135="",AF$11=""),"","0 - "&amp;TEXT($R135-$AP135,"0.0")&amp;" Trk-Mi?    ")</f>
        <v/>
      </c>
      <c r="AH135" s="284"/>
      <c r="AI135" s="278" t="str">
        <f>IF(OR($R135="",AH$11=""),"","0 - "&amp;TEXT($R135-$AP135,"0.0")&amp;" Trk-Mi?    ")</f>
        <v/>
      </c>
      <c r="AJ135" s="284"/>
      <c r="AK135" s="278" t="str">
        <f>IF(OR($R135="",AJ$11=""),"","0 - "&amp;TEXT($R135-$AP135,"0.0")&amp;" Trk-Mi?    ")</f>
        <v/>
      </c>
      <c r="AL135" s="284"/>
      <c r="AM135" s="278" t="str">
        <f>IF(OR($R135="",AL$11=""),"","0 - "&amp;TEXT($R135-$AP135,"0.0")&amp;" Trk-Mi?    ")</f>
        <v/>
      </c>
      <c r="AN135" s="284"/>
      <c r="AO135" s="278" t="str">
        <f>IF(OR($R135="",AN$11=""),"","0 - "&amp;TEXT($R135-$AP135,"0.0")&amp;" Trk-Mi?    ")</f>
        <v/>
      </c>
      <c r="AP135" s="282">
        <f>SUM(V135,X135,Z135,AB135,AD135,AF135,AH135,AJ135,AL135,AN135)</f>
        <v>0</v>
      </c>
      <c r="AQ135" s="278"/>
      <c r="AR135" s="234"/>
      <c r="AS135" s="107"/>
      <c r="AT135" s="107"/>
      <c r="AU135" s="107"/>
      <c r="AW135" s="107" t="str">
        <f>IF(AND($C135="",$H135="",$J135="",$L135="",$N135="",$P135="",$R135=""),"B","NB")</f>
        <v>B</v>
      </c>
      <c r="AX135" s="241" t="str">
        <f>IF(OR($C135="",$H135="",$J135="",$L135="",$N135="",$R135="",$P135="",AND($V$11&lt;&gt;"",$V135=""),AND($X$11&lt;&gt;"",$X135=""),AND($Z$11&lt;&gt;"",$Z135=""),AND($AB$11&lt;&gt;"",$AB135=""),AND($AD$11&lt;&gt;"",$AD135=""),AND($AF$11&lt;&gt;"",$AF135=""),AND($AH$11&lt;&gt;"",$AH135=""),AND($AJ$11&lt;&gt;"",$AJ135=""),AND($AL$11&lt;&gt;"",$AL135=""),AND($AN$11&lt;&gt;"",$AN135="")),"N","Y")</f>
        <v>N</v>
      </c>
      <c r="AY135" s="142" t="b">
        <f>IF(AND($C135="",OR($H135&lt;&gt;"",$J135&lt;&gt;"",$L135&lt;&gt;"",$N135&lt;&gt;"",$R135&lt;&gt;"",$P135&lt;&gt;"",AND($V$11&lt;&gt;"",$V135&lt;&gt;""),AND($X$11&lt;&gt;"",$X135&lt;&gt;""),AND($Z$11&lt;&gt;"",$Z135&lt;&gt;""),AND($AB$11&lt;&gt;"",$AB135&lt;&gt;""),AND($AD$11&lt;&gt;"",$AD135&lt;&gt;""),AND($AF$11&lt;&gt;"",$AF135&lt;&gt;""),AND($AH$11&lt;&gt;"",$AH135&lt;&gt;""),AND($AJ$11&lt;&gt;"",$AJ135&lt;&gt;""),AND($AL$11&lt;&gt;"",$AL135&lt;&gt;""),AND($AN$11&lt;&gt;"",$AN135&lt;&gt;""))),TRUE,FALSE)</f>
        <v>0</v>
      </c>
      <c r="AZ135" s="144" t="b">
        <f>IF(AND($C135&lt;&gt;"",$H135=""),TRUE,FALSE)</f>
        <v>0</v>
      </c>
      <c r="BA135" s="144" t="b">
        <f>IF(AND($C135&lt;&gt;"",$J135=""),TRUE,FALSE)</f>
        <v>0</v>
      </c>
      <c r="BB135" s="144" t="b">
        <f>IF(AND($C135&lt;&gt;"",$L135=""),TRUE,FALSE)</f>
        <v>0</v>
      </c>
      <c r="BC135" s="144" t="b">
        <f>IF(AND($C135&lt;&gt;"",$N135=""),TRUE,FALSE)</f>
        <v>0</v>
      </c>
      <c r="BD135" s="142" t="b">
        <f>IF($BE135=TRUE,FALSE,IF(OR($P135&lt;$BD$5,$P135&gt;$BE$5),TRUE,FALSE))</f>
        <v>0</v>
      </c>
      <c r="BE135" s="144" t="b">
        <f>IF(AND($C135&lt;&gt;"",$P135=""),TRUE,FALSE)</f>
        <v>0</v>
      </c>
      <c r="BF135" s="144" t="b">
        <f>IF($BG135=TRUE,FALSE,IF(OR($R135&lt;$BF$5,$R135&gt;$BG$5),TRUE,FALSE))</f>
        <v>0</v>
      </c>
      <c r="BG135" s="144" t="b">
        <f>IF(AND($C135&lt;&gt;"",$R135=""),TRUE,FALSE)</f>
        <v>0</v>
      </c>
      <c r="BH135" s="160" t="b">
        <f>IF(BI135=TRUE,FALSE,IF(AND(V135&lt;&gt;"",V$11=""),TRUE,IF(AND(V135&lt;&gt;"",V$11&lt;&gt;"",$R135&lt;&gt;$AP135),TRUE,IF(OR(V135&lt;0,V135&gt;$R135),TRUE,FALSE))))</f>
        <v>0</v>
      </c>
      <c r="BI135" s="144" t="b">
        <f>IF(AND($C135&lt;&gt;"",V$11&lt;&gt;"",$V135=""),TRUE,FALSE)</f>
        <v>0</v>
      </c>
      <c r="BJ135" s="160" t="b">
        <f>IF(BK135=TRUE,FALSE,IF(AND(X135&lt;&gt;"",X$11=""),TRUE,IF(AND(X135&lt;&gt;"",X$11&lt;&gt;"",$R135&lt;&gt;$AP135),TRUE,IF(OR(X135&lt;0,X135&gt;$R135),TRUE,FALSE))))</f>
        <v>0</v>
      </c>
      <c r="BK135" s="144" t="b">
        <f>IF(AND($C135&lt;&gt;"",X$11&lt;&gt;"",$X135=""),TRUE,FALSE)</f>
        <v>0</v>
      </c>
      <c r="BL135" s="160" t="b">
        <f>IF(BM135=TRUE,FALSE,IF(AND(Z135&lt;&gt;"",Z$11=""),TRUE,IF(AND(Z135&lt;&gt;"",Z$11&lt;&gt;"",$R135&lt;&gt;$AP135),TRUE,IF(OR(Z135&lt;0,Z135&gt;$R135),TRUE,FALSE))))</f>
        <v>0</v>
      </c>
      <c r="BM135" s="144" t="b">
        <f>IF(AND($C135&lt;&gt;"",Z$11&lt;&gt;"",$Z135=""),TRUE,FALSE)</f>
        <v>0</v>
      </c>
      <c r="BN135" s="160" t="b">
        <f>IF(BO135=TRUE,FALSE,IF(AND(AB135&lt;&gt;"",AB$11=""),TRUE,IF(AND(AB135&lt;&gt;"",AB$11&lt;&gt;"",$R135&lt;&gt;$AP135),TRUE,IF(OR(AB135&lt;0,AB135&gt;$R135),TRUE,FALSE))))</f>
        <v>0</v>
      </c>
      <c r="BO135" s="144" t="b">
        <f>IF(AND($C135&lt;&gt;"",AB$11&lt;&gt;"",$AB135=""),TRUE,FALSE)</f>
        <v>0</v>
      </c>
      <c r="BP135" s="160" t="b">
        <f>IF(BQ135=TRUE,FALSE,IF(AND(AD135&lt;&gt;"",AD$11=""),TRUE,IF(AND(AD135&lt;&gt;"",AD$11&lt;&gt;"",$R135&lt;&gt;$AP135),TRUE,IF(OR(AD135&lt;0,AD135&gt;$R135),TRUE,FALSE))))</f>
        <v>0</v>
      </c>
      <c r="BQ135" s="144" t="b">
        <f>IF(AND($C135&lt;&gt;"",AD$11&lt;&gt;"",$AD135=""),TRUE,FALSE)</f>
        <v>0</v>
      </c>
      <c r="BR135" s="160" t="b">
        <f>IF(BS135=TRUE,FALSE,IF(AND(AF135&lt;&gt;"",AF$11=""),TRUE,IF(AND(AF135&lt;&gt;"",AF$11&lt;&gt;"",$R135&lt;&gt;$AP135),TRUE,IF(OR(AF135&lt;0,AF135&gt;$R135),TRUE,FALSE))))</f>
        <v>0</v>
      </c>
      <c r="BS135" s="144" t="b">
        <f>IF(AND($C135&lt;&gt;"",AF$11&lt;&gt;"",$AF135=""),TRUE,FALSE)</f>
        <v>0</v>
      </c>
      <c r="BT135" s="160" t="b">
        <f>IF(BU135=TRUE,FALSE,IF(AND(AH135&lt;&gt;"",AH$11=""),TRUE,IF(AND(AH135&lt;&gt;"",AH$11&lt;&gt;"",$R135&lt;&gt;$AP135),TRUE,IF(OR(AH135&lt;0,AH135&gt;$R135),TRUE,FALSE))))</f>
        <v>0</v>
      </c>
      <c r="BU135" s="144" t="b">
        <f>IF(AND($C135&lt;&gt;"",AH$11&lt;&gt;"",$AH135=""),TRUE,FALSE)</f>
        <v>0</v>
      </c>
      <c r="BV135" s="160" t="b">
        <f>IF(BW135=TRUE,FALSE,IF(AND(AJ135&lt;&gt;"",AJ$11=""),TRUE,IF(AND(AJ135&lt;&gt;"",AJ$11&lt;&gt;"",$R135&lt;&gt;$AP135),TRUE,IF(OR(AJ135&lt;0,AJ135&gt;$R135),TRUE,FALSE))))</f>
        <v>0</v>
      </c>
      <c r="BW135" s="144" t="b">
        <f>IF(AND($C135&lt;&gt;"",AJ$11&lt;&gt;"",$AJ135=""),TRUE,FALSE)</f>
        <v>0</v>
      </c>
      <c r="BX135" s="160" t="b">
        <f>IF(BY135=TRUE,FALSE,IF(AND(AL135&lt;&gt;"",AL$11=""),TRUE,IF(AND(AL135&lt;&gt;"",AL$11&lt;&gt;"",$R135&lt;&gt;$AP135),TRUE,IF(OR(AL135&lt;0,AL135&gt;$R135),TRUE,FALSE))))</f>
        <v>0</v>
      </c>
      <c r="BY135" s="144" t="b">
        <f>IF(AND($C135&lt;&gt;"",AL$11&lt;&gt;"",$AL135=""),TRUE,FALSE)</f>
        <v>0</v>
      </c>
      <c r="BZ135" s="160" t="b">
        <f>IF(CA135=TRUE,FALSE,IF(AND(AN135&lt;&gt;"",AN$11=""),TRUE,IF(AND(AN135&lt;&gt;"",AN$11&lt;&gt;"",$R135&lt;&gt;$AP135),TRUE,IF(OR(AN135&lt;0,AN135&gt;$R135),TRUE,FALSE))))</f>
        <v>0</v>
      </c>
      <c r="CA135" s="144" t="b">
        <f>IF(AND($C135&lt;&gt;"",AN$11&lt;&gt;"",$AN135=""),TRUE,FALSE)</f>
        <v>0</v>
      </c>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4"/>
    </row>
    <row r="136" spans="1:101" ht="6.75" customHeight="1" thickBot="1" x14ac:dyDescent="0.25">
      <c r="A136" s="228"/>
      <c r="B136" s="228"/>
      <c r="C136" s="232"/>
      <c r="D136" s="267"/>
      <c r="I136" s="267"/>
      <c r="K136" s="228"/>
      <c r="M136" s="267"/>
      <c r="O136" s="267"/>
      <c r="Q136" s="267"/>
      <c r="S136" s="267"/>
      <c r="U136" s="267"/>
      <c r="V136" s="283"/>
      <c r="W136" s="267"/>
      <c r="X136" s="283"/>
      <c r="Y136" s="267"/>
      <c r="Z136" s="283"/>
      <c r="AA136" s="267"/>
      <c r="AB136" s="283"/>
      <c r="AC136" s="267"/>
      <c r="AD136" s="283"/>
      <c r="AE136" s="267"/>
      <c r="AF136" s="283"/>
      <c r="AG136" s="267"/>
      <c r="AH136" s="283"/>
      <c r="AI136" s="267"/>
      <c r="AJ136" s="283"/>
      <c r="AK136" s="267"/>
      <c r="AL136" s="283"/>
      <c r="AM136" s="267"/>
      <c r="AN136" s="283"/>
      <c r="AO136" s="267"/>
      <c r="AP136" s="280"/>
      <c r="AQ136" s="280"/>
      <c r="AR136" s="232"/>
      <c r="AY136" s="145"/>
      <c r="AZ136" s="146"/>
      <c r="BA136" s="146"/>
      <c r="BB136" s="146"/>
      <c r="BC136" s="146"/>
      <c r="BD136" s="145"/>
      <c r="BE136" s="146"/>
      <c r="BF136" s="146"/>
      <c r="BG136" s="146"/>
      <c r="BH136" s="145"/>
      <c r="BI136" s="146"/>
      <c r="BJ136" s="145"/>
      <c r="BK136" s="146"/>
      <c r="BL136" s="145"/>
      <c r="BM136" s="146"/>
      <c r="BN136" s="145"/>
      <c r="BO136" s="146"/>
      <c r="BP136" s="145"/>
      <c r="BQ136" s="146"/>
      <c r="BR136" s="145"/>
      <c r="BS136" s="146"/>
      <c r="BT136" s="145"/>
      <c r="BU136" s="146"/>
      <c r="BV136" s="145"/>
      <c r="BW136" s="146"/>
      <c r="BX136" s="145"/>
      <c r="BY136" s="146"/>
      <c r="BZ136" s="145"/>
      <c r="CA136" s="146"/>
    </row>
    <row r="137" spans="1:101" s="101" customFormat="1" ht="12.75" customHeight="1" x14ac:dyDescent="0.2">
      <c r="A137" s="227">
        <f>A135+1</f>
        <v>61</v>
      </c>
      <c r="B137" s="227"/>
      <c r="C137" s="231"/>
      <c r="D137" s="251" t="str">
        <f>IF((C137=""),"Enter Segment "&amp;TEXT(A137,0)&amp;" Name, then Enter Data in Columns "&amp;TEXT($H$2,0)&amp;" - "&amp;TEXT($AN$2,0)&amp;"       ","")</f>
        <v xml:space="preserve">Enter Segment 61 Name, then Enter Data in Columns h - an       </v>
      </c>
      <c r="E137" s="131" t="str">
        <f>IF($AW137="B","N/A",IF(AX137="N","No",IF(AX137="Y","Yes","")))</f>
        <v>N/A</v>
      </c>
      <c r="F137" s="130"/>
      <c r="G137" s="130"/>
      <c r="H137" s="285"/>
      <c r="I137" s="251" t="str">
        <f>IF($C137&lt;&gt;"","Enter Starting Point       ","")</f>
        <v/>
      </c>
      <c r="J137" s="285"/>
      <c r="K137" s="227"/>
      <c r="L137" s="88"/>
      <c r="M137" s="251" t="str">
        <f>IF($C137&lt;&gt;"","Select from Pull-Down List  ","")</f>
        <v/>
      </c>
      <c r="N137" s="88"/>
      <c r="O137" s="251" t="str">
        <f>IF($C137&lt;&gt;"","Select from Pull-Down List  ","")</f>
        <v/>
      </c>
      <c r="P137" s="131"/>
      <c r="Q137" s="251" t="str">
        <f>IF($C137&lt;&gt;"","Dir. Route-Mi?    ","")</f>
        <v/>
      </c>
      <c r="R137" s="131"/>
      <c r="S137" s="251" t="str">
        <f>IF($C137&lt;&gt;"","Trk-Mi?      ","")</f>
        <v/>
      </c>
      <c r="T137" s="131"/>
      <c r="U137" s="251" t="str">
        <f>IF($C137&lt;&gt;"","Trk-Mi?      ","")</f>
        <v/>
      </c>
      <c r="V137" s="284"/>
      <c r="W137" s="278" t="str">
        <f>IF(OR($R137="",V$11=""),"","0 - "&amp;TEXT($R137-$AP137,"0.0")&amp;" Trk-Mi?    ")</f>
        <v/>
      </c>
      <c r="X137" s="284"/>
      <c r="Y137" s="278" t="str">
        <f>IF(OR($R137="",X$11=""),"","0 - "&amp;TEXT($R137-$AP137,"0.0")&amp;" Trk-Mi?    ")</f>
        <v/>
      </c>
      <c r="Z137" s="284"/>
      <c r="AA137" s="278" t="str">
        <f>IF(OR($R137="",Z$11=""),"","0 - "&amp;TEXT($R137-$AP137,"0.0")&amp;" Trk-Mi?    ")</f>
        <v/>
      </c>
      <c r="AB137" s="284"/>
      <c r="AC137" s="278" t="str">
        <f>IF(OR($R137="",AB$11=""),"","0 - "&amp;TEXT($R137-$AP137,"0.0")&amp;" Trk-Mi?    ")</f>
        <v/>
      </c>
      <c r="AD137" s="284"/>
      <c r="AE137" s="278" t="str">
        <f>IF(OR($R137="",AD$11=""),"","0 - "&amp;TEXT($R137-$AP137,"0.0")&amp;" Trk-Mi?    ")</f>
        <v/>
      </c>
      <c r="AF137" s="284"/>
      <c r="AG137" s="278" t="str">
        <f>IF(OR($R137="",AF$11=""),"","0 - "&amp;TEXT($R137-$AP137,"0.0")&amp;" Trk-Mi?    ")</f>
        <v/>
      </c>
      <c r="AH137" s="284"/>
      <c r="AI137" s="278" t="str">
        <f>IF(OR($R137="",AH$11=""),"","0 - "&amp;TEXT($R137-$AP137,"0.0")&amp;" Trk-Mi?    ")</f>
        <v/>
      </c>
      <c r="AJ137" s="284"/>
      <c r="AK137" s="278" t="str">
        <f>IF(OR($R137="",AJ$11=""),"","0 - "&amp;TEXT($R137-$AP137,"0.0")&amp;" Trk-Mi?    ")</f>
        <v/>
      </c>
      <c r="AL137" s="284"/>
      <c r="AM137" s="278" t="str">
        <f>IF(OR($R137="",AL$11=""),"","0 - "&amp;TEXT($R137-$AP137,"0.0")&amp;" Trk-Mi?    ")</f>
        <v/>
      </c>
      <c r="AN137" s="284"/>
      <c r="AO137" s="278" t="str">
        <f>IF(OR($R137="",AN$11=""),"","0 - "&amp;TEXT($R137-$AP137,"0.0")&amp;" Trk-Mi?    ")</f>
        <v/>
      </c>
      <c r="AP137" s="282">
        <f>SUM(V137,X137,Z137,AB137,AD137,AF137,AH137,AJ137,AL137,AN137)</f>
        <v>0</v>
      </c>
      <c r="AQ137" s="278"/>
      <c r="AR137" s="234"/>
      <c r="AS137" s="107"/>
      <c r="AT137" s="107"/>
      <c r="AU137" s="107"/>
      <c r="AW137" s="107" t="str">
        <f>IF(AND($C137="",$H137="",$J137="",$L137="",$N137="",$P137="",$R137=""),"B","NB")</f>
        <v>B</v>
      </c>
      <c r="AX137" s="241" t="str">
        <f>IF(OR($C137="",$H137="",$J137="",$L137="",$N137="",$R137="",$P137="",AND($V$11&lt;&gt;"",$V137=""),AND($X$11&lt;&gt;"",$X137=""),AND($Z$11&lt;&gt;"",$Z137=""),AND($AB$11&lt;&gt;"",$AB137=""),AND($AD$11&lt;&gt;"",$AD137=""),AND($AF$11&lt;&gt;"",$AF137=""),AND($AH$11&lt;&gt;"",$AH137=""),AND($AJ$11&lt;&gt;"",$AJ137=""),AND($AL$11&lt;&gt;"",$AL137=""),AND($AN$11&lt;&gt;"",$AN137="")),"N","Y")</f>
        <v>N</v>
      </c>
      <c r="AY137" s="142" t="b">
        <f>IF(AND($C137="",OR($H137&lt;&gt;"",$J137&lt;&gt;"",$L137&lt;&gt;"",$N137&lt;&gt;"",$R137&lt;&gt;"",$P137&lt;&gt;"",AND($V$11&lt;&gt;"",$V137&lt;&gt;""),AND($X$11&lt;&gt;"",$X137&lt;&gt;""),AND($Z$11&lt;&gt;"",$Z137&lt;&gt;""),AND($AB$11&lt;&gt;"",$AB137&lt;&gt;""),AND($AD$11&lt;&gt;"",$AD137&lt;&gt;""),AND($AF$11&lt;&gt;"",$AF137&lt;&gt;""),AND($AH$11&lt;&gt;"",$AH137&lt;&gt;""),AND($AJ$11&lt;&gt;"",$AJ137&lt;&gt;""),AND($AL$11&lt;&gt;"",$AL137&lt;&gt;""),AND($AN$11&lt;&gt;"",$AN137&lt;&gt;""))),TRUE,FALSE)</f>
        <v>0</v>
      </c>
      <c r="AZ137" s="144" t="b">
        <f>IF(AND($C137&lt;&gt;"",$H137=""),TRUE,FALSE)</f>
        <v>0</v>
      </c>
      <c r="BA137" s="144" t="b">
        <f>IF(AND($C137&lt;&gt;"",$J137=""),TRUE,FALSE)</f>
        <v>0</v>
      </c>
      <c r="BB137" s="144" t="b">
        <f>IF(AND($C137&lt;&gt;"",$L137=""),TRUE,FALSE)</f>
        <v>0</v>
      </c>
      <c r="BC137" s="144" t="b">
        <f>IF(AND($C137&lt;&gt;"",$N137=""),TRUE,FALSE)</f>
        <v>0</v>
      </c>
      <c r="BD137" s="142" t="b">
        <f>IF($BE137=TRUE,FALSE,IF(OR($P137&lt;$BD$5,$P137&gt;$BE$5),TRUE,FALSE))</f>
        <v>0</v>
      </c>
      <c r="BE137" s="144" t="b">
        <f>IF(AND($C137&lt;&gt;"",$P137=""),TRUE,FALSE)</f>
        <v>0</v>
      </c>
      <c r="BF137" s="144" t="b">
        <f>IF($BG137=TRUE,FALSE,IF(OR($R137&lt;$BF$5,$R137&gt;$BG$5),TRUE,FALSE))</f>
        <v>0</v>
      </c>
      <c r="BG137" s="144" t="b">
        <f>IF(AND($C137&lt;&gt;"",$R137=""),TRUE,FALSE)</f>
        <v>0</v>
      </c>
      <c r="BH137" s="160" t="b">
        <f>IF(BI137=TRUE,FALSE,IF(AND(V137&lt;&gt;"",V$11=""),TRUE,IF(AND(V137&lt;&gt;"",V$11&lt;&gt;"",$R137&lt;&gt;$AP137),TRUE,IF(OR(V137&lt;0,V137&gt;$R137),TRUE,FALSE))))</f>
        <v>0</v>
      </c>
      <c r="BI137" s="144" t="b">
        <f>IF(AND($C137&lt;&gt;"",V$11&lt;&gt;"",$V137=""),TRUE,FALSE)</f>
        <v>0</v>
      </c>
      <c r="BJ137" s="160" t="b">
        <f>IF(BK137=TRUE,FALSE,IF(AND(X137&lt;&gt;"",X$11=""),TRUE,IF(AND(X137&lt;&gt;"",X$11&lt;&gt;"",$R137&lt;&gt;$AP137),TRUE,IF(OR(X137&lt;0,X137&gt;$R137),TRUE,FALSE))))</f>
        <v>0</v>
      </c>
      <c r="BK137" s="144" t="b">
        <f>IF(AND($C137&lt;&gt;"",X$11&lt;&gt;"",$X137=""),TRUE,FALSE)</f>
        <v>0</v>
      </c>
      <c r="BL137" s="160" t="b">
        <f>IF(BM137=TRUE,FALSE,IF(AND(Z137&lt;&gt;"",Z$11=""),TRUE,IF(AND(Z137&lt;&gt;"",Z$11&lt;&gt;"",$R137&lt;&gt;$AP137),TRUE,IF(OR(Z137&lt;0,Z137&gt;$R137),TRUE,FALSE))))</f>
        <v>0</v>
      </c>
      <c r="BM137" s="144" t="b">
        <f>IF(AND($C137&lt;&gt;"",Z$11&lt;&gt;"",$Z137=""),TRUE,FALSE)</f>
        <v>0</v>
      </c>
      <c r="BN137" s="160" t="b">
        <f>IF(BO137=TRUE,FALSE,IF(AND(AB137&lt;&gt;"",AB$11=""),TRUE,IF(AND(AB137&lt;&gt;"",AB$11&lt;&gt;"",$R137&lt;&gt;$AP137),TRUE,IF(OR(AB137&lt;0,AB137&gt;$R137),TRUE,FALSE))))</f>
        <v>0</v>
      </c>
      <c r="BO137" s="144" t="b">
        <f>IF(AND($C137&lt;&gt;"",AB$11&lt;&gt;"",$AB137=""),TRUE,FALSE)</f>
        <v>0</v>
      </c>
      <c r="BP137" s="160" t="b">
        <f>IF(BQ137=TRUE,FALSE,IF(AND(AD137&lt;&gt;"",AD$11=""),TRUE,IF(AND(AD137&lt;&gt;"",AD$11&lt;&gt;"",$R137&lt;&gt;$AP137),TRUE,IF(OR(AD137&lt;0,AD137&gt;$R137),TRUE,FALSE))))</f>
        <v>0</v>
      </c>
      <c r="BQ137" s="144" t="b">
        <f>IF(AND($C137&lt;&gt;"",AD$11&lt;&gt;"",$AD137=""),TRUE,FALSE)</f>
        <v>0</v>
      </c>
      <c r="BR137" s="160" t="b">
        <f>IF(BS137=TRUE,FALSE,IF(AND(AF137&lt;&gt;"",AF$11=""),TRUE,IF(AND(AF137&lt;&gt;"",AF$11&lt;&gt;"",$R137&lt;&gt;$AP137),TRUE,IF(OR(AF137&lt;0,AF137&gt;$R137),TRUE,FALSE))))</f>
        <v>0</v>
      </c>
      <c r="BS137" s="144" t="b">
        <f>IF(AND($C137&lt;&gt;"",AF$11&lt;&gt;"",$AF137=""),TRUE,FALSE)</f>
        <v>0</v>
      </c>
      <c r="BT137" s="160" t="b">
        <f>IF(BU137=TRUE,FALSE,IF(AND(AH137&lt;&gt;"",AH$11=""),TRUE,IF(AND(AH137&lt;&gt;"",AH$11&lt;&gt;"",$R137&lt;&gt;$AP137),TRUE,IF(OR(AH137&lt;0,AH137&gt;$R137),TRUE,FALSE))))</f>
        <v>0</v>
      </c>
      <c r="BU137" s="144" t="b">
        <f>IF(AND($C137&lt;&gt;"",AH$11&lt;&gt;"",$AH137=""),TRUE,FALSE)</f>
        <v>0</v>
      </c>
      <c r="BV137" s="160" t="b">
        <f>IF(BW137=TRUE,FALSE,IF(AND(AJ137&lt;&gt;"",AJ$11=""),TRUE,IF(AND(AJ137&lt;&gt;"",AJ$11&lt;&gt;"",$R137&lt;&gt;$AP137),TRUE,IF(OR(AJ137&lt;0,AJ137&gt;$R137),TRUE,FALSE))))</f>
        <v>0</v>
      </c>
      <c r="BW137" s="144" t="b">
        <f>IF(AND($C137&lt;&gt;"",AJ$11&lt;&gt;"",$AJ137=""),TRUE,FALSE)</f>
        <v>0</v>
      </c>
      <c r="BX137" s="160" t="b">
        <f>IF(BY137=TRUE,FALSE,IF(AND(AL137&lt;&gt;"",AL$11=""),TRUE,IF(AND(AL137&lt;&gt;"",AL$11&lt;&gt;"",$R137&lt;&gt;$AP137),TRUE,IF(OR(AL137&lt;0,AL137&gt;$R137),TRUE,FALSE))))</f>
        <v>0</v>
      </c>
      <c r="BY137" s="144" t="b">
        <f>IF(AND($C137&lt;&gt;"",AL$11&lt;&gt;"",$AL137=""),TRUE,FALSE)</f>
        <v>0</v>
      </c>
      <c r="BZ137" s="160" t="b">
        <f>IF(CA137=TRUE,FALSE,IF(AND(AN137&lt;&gt;"",AN$11=""),TRUE,IF(AND(AN137&lt;&gt;"",AN$11&lt;&gt;"",$R137&lt;&gt;$AP137),TRUE,IF(OR(AN137&lt;0,AN137&gt;$R137),TRUE,FALSE))))</f>
        <v>0</v>
      </c>
      <c r="CA137" s="144" t="b">
        <f>IF(AND($C137&lt;&gt;"",AN$11&lt;&gt;"",$AN137=""),TRUE,FALSE)</f>
        <v>0</v>
      </c>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4"/>
    </row>
    <row r="138" spans="1:101" ht="6.75" customHeight="1" thickBot="1" x14ac:dyDescent="0.25">
      <c r="A138" s="228"/>
      <c r="B138" s="228"/>
      <c r="C138" s="232"/>
      <c r="D138" s="267"/>
      <c r="I138" s="267"/>
      <c r="K138" s="228"/>
      <c r="M138" s="267"/>
      <c r="O138" s="267"/>
      <c r="Q138" s="267"/>
      <c r="S138" s="267"/>
      <c r="U138" s="267"/>
      <c r="V138" s="283"/>
      <c r="W138" s="267"/>
      <c r="X138" s="283"/>
      <c r="Y138" s="267"/>
      <c r="Z138" s="283"/>
      <c r="AA138" s="267"/>
      <c r="AB138" s="283"/>
      <c r="AC138" s="267"/>
      <c r="AD138" s="283"/>
      <c r="AE138" s="267"/>
      <c r="AF138" s="283"/>
      <c r="AG138" s="267"/>
      <c r="AH138" s="283"/>
      <c r="AI138" s="267"/>
      <c r="AJ138" s="283"/>
      <c r="AK138" s="267"/>
      <c r="AL138" s="283"/>
      <c r="AM138" s="267"/>
      <c r="AN138" s="283"/>
      <c r="AO138" s="267"/>
      <c r="AP138" s="267"/>
      <c r="AQ138" s="267"/>
      <c r="AR138" s="232"/>
      <c r="AY138" s="145"/>
      <c r="AZ138" s="146"/>
      <c r="BA138" s="146"/>
      <c r="BB138" s="146"/>
      <c r="BC138" s="146"/>
      <c r="BD138" s="145"/>
      <c r="BE138" s="146"/>
      <c r="BF138" s="146"/>
      <c r="BG138" s="146"/>
      <c r="BH138" s="145"/>
      <c r="BI138" s="146"/>
      <c r="BJ138" s="145"/>
      <c r="BK138" s="146"/>
      <c r="BL138" s="145"/>
      <c r="BM138" s="146"/>
      <c r="BN138" s="145"/>
      <c r="BO138" s="146"/>
      <c r="BP138" s="145"/>
      <c r="BQ138" s="146"/>
      <c r="BR138" s="145"/>
      <c r="BS138" s="146"/>
      <c r="BT138" s="145"/>
      <c r="BU138" s="146"/>
      <c r="BV138" s="145"/>
      <c r="BW138" s="146"/>
      <c r="BX138" s="145"/>
      <c r="BY138" s="146"/>
      <c r="BZ138" s="145"/>
      <c r="CA138" s="146"/>
    </row>
    <row r="139" spans="1:101" s="101" customFormat="1" ht="12.75" customHeight="1" x14ac:dyDescent="0.2">
      <c r="A139" s="227">
        <f>A137+1</f>
        <v>62</v>
      </c>
      <c r="B139" s="227"/>
      <c r="C139" s="231"/>
      <c r="D139" s="251" t="str">
        <f>IF((C139=""),"Enter Segment "&amp;TEXT(A139,0)&amp;" Name, then Enter Data in Columns "&amp;TEXT($H$2,0)&amp;" - "&amp;TEXT($AN$2,0)&amp;"       ","")</f>
        <v xml:space="preserve">Enter Segment 62 Name, then Enter Data in Columns h - an       </v>
      </c>
      <c r="E139" s="131" t="str">
        <f>IF($AW139="B","N/A",IF(AX139="N","No",IF(AX139="Y","Yes","")))</f>
        <v>N/A</v>
      </c>
      <c r="F139" s="130"/>
      <c r="G139" s="130"/>
      <c r="H139" s="285"/>
      <c r="I139" s="251" t="str">
        <f>IF($C139&lt;&gt;"","Enter Starting Point       ","")</f>
        <v/>
      </c>
      <c r="J139" s="285"/>
      <c r="K139" s="227"/>
      <c r="L139" s="88"/>
      <c r="M139" s="251" t="str">
        <f>IF($C139&lt;&gt;"","Select from Pull-Down List  ","")</f>
        <v/>
      </c>
      <c r="N139" s="88"/>
      <c r="O139" s="251" t="str">
        <f>IF($C139&lt;&gt;"","Select from Pull-Down List  ","")</f>
        <v/>
      </c>
      <c r="P139" s="131"/>
      <c r="Q139" s="251" t="str">
        <f>IF($C139&lt;&gt;"","Dir. Route-Mi?    ","")</f>
        <v/>
      </c>
      <c r="R139" s="131"/>
      <c r="S139" s="251" t="str">
        <f>IF($C139&lt;&gt;"","Trk-Mi?      ","")</f>
        <v/>
      </c>
      <c r="T139" s="131"/>
      <c r="U139" s="251" t="str">
        <f>IF($C139&lt;&gt;"","Trk-Mi?      ","")</f>
        <v/>
      </c>
      <c r="V139" s="284"/>
      <c r="W139" s="278" t="str">
        <f>IF(OR($R139="",V$11=""),"","0 - "&amp;TEXT($R139-$AP139,"0.0")&amp;" Trk-Mi?    ")</f>
        <v/>
      </c>
      <c r="X139" s="284"/>
      <c r="Y139" s="278" t="str">
        <f>IF(OR($R139="",X$11=""),"","0 - "&amp;TEXT($R139-$AP139,"0.0")&amp;" Trk-Mi?    ")</f>
        <v/>
      </c>
      <c r="Z139" s="284"/>
      <c r="AA139" s="278" t="str">
        <f>IF(OR($R139="",Z$11=""),"","0 - "&amp;TEXT($R139-$AP139,"0.0")&amp;" Trk-Mi?    ")</f>
        <v/>
      </c>
      <c r="AB139" s="284"/>
      <c r="AC139" s="278" t="str">
        <f>IF(OR($R139="",AB$11=""),"","0 - "&amp;TEXT($R139-$AP139,"0.0")&amp;" Trk-Mi?    ")</f>
        <v/>
      </c>
      <c r="AD139" s="284"/>
      <c r="AE139" s="278" t="str">
        <f>IF(OR($R139="",AD$11=""),"","0 - "&amp;TEXT($R139-$AP139,"0.0")&amp;" Trk-Mi?    ")</f>
        <v/>
      </c>
      <c r="AF139" s="284"/>
      <c r="AG139" s="278" t="str">
        <f>IF(OR($R139="",AF$11=""),"","0 - "&amp;TEXT($R139-$AP139,"0.0")&amp;" Trk-Mi?    ")</f>
        <v/>
      </c>
      <c r="AH139" s="284"/>
      <c r="AI139" s="278" t="str">
        <f>IF(OR($R139="",AH$11=""),"","0 - "&amp;TEXT($R139-$AP139,"0.0")&amp;" Trk-Mi?    ")</f>
        <v/>
      </c>
      <c r="AJ139" s="284"/>
      <c r="AK139" s="278" t="str">
        <f>IF(OR($R139="",AJ$11=""),"","0 - "&amp;TEXT($R139-$AP139,"0.0")&amp;" Trk-Mi?    ")</f>
        <v/>
      </c>
      <c r="AL139" s="284"/>
      <c r="AM139" s="278" t="str">
        <f>IF(OR($R139="",AL$11=""),"","0 - "&amp;TEXT($R139-$AP139,"0.0")&amp;" Trk-Mi?    ")</f>
        <v/>
      </c>
      <c r="AN139" s="284"/>
      <c r="AO139" s="278" t="str">
        <f>IF(OR($R139="",AN$11=""),"","0 - "&amp;TEXT($R139-$AP139,"0.0")&amp;" Trk-Mi?    ")</f>
        <v/>
      </c>
      <c r="AP139" s="282">
        <f>SUM(V139,X139,Z139,AB139,AD139,AF139,AH139,AJ139,AL139,AN139)</f>
        <v>0</v>
      </c>
      <c r="AQ139" s="278"/>
      <c r="AR139" s="234"/>
      <c r="AS139" s="107"/>
      <c r="AT139" s="107"/>
      <c r="AU139" s="107"/>
      <c r="AW139" s="107" t="str">
        <f>IF(AND($C139="",$H139="",$J139="",$L139="",$N139="",$P139="",$R139=""),"B","NB")</f>
        <v>B</v>
      </c>
      <c r="AX139" s="241" t="str">
        <f>IF(OR($C139="",$H139="",$J139="",$L139="",$N139="",$R139="",$P139="",AND($V$11&lt;&gt;"",$V139=""),AND($X$11&lt;&gt;"",$X139=""),AND($Z$11&lt;&gt;"",$Z139=""),AND($AB$11&lt;&gt;"",$AB139=""),AND($AD$11&lt;&gt;"",$AD139=""),AND($AF$11&lt;&gt;"",$AF139=""),AND($AH$11&lt;&gt;"",$AH139=""),AND($AJ$11&lt;&gt;"",$AJ139=""),AND($AL$11&lt;&gt;"",$AL139=""),AND($AN$11&lt;&gt;"",$AN139="")),"N","Y")</f>
        <v>N</v>
      </c>
      <c r="AY139" s="142" t="b">
        <f>IF(AND($C139="",OR($H139&lt;&gt;"",$J139&lt;&gt;"",$L139&lt;&gt;"",$N139&lt;&gt;"",$R139&lt;&gt;"",$P139&lt;&gt;"",AND($V$11&lt;&gt;"",$V139&lt;&gt;""),AND($X$11&lt;&gt;"",$X139&lt;&gt;""),AND($Z$11&lt;&gt;"",$Z139&lt;&gt;""),AND($AB$11&lt;&gt;"",$AB139&lt;&gt;""),AND($AD$11&lt;&gt;"",$AD139&lt;&gt;""),AND($AF$11&lt;&gt;"",$AF139&lt;&gt;""),AND($AH$11&lt;&gt;"",$AH139&lt;&gt;""),AND($AJ$11&lt;&gt;"",$AJ139&lt;&gt;""),AND($AL$11&lt;&gt;"",$AL139&lt;&gt;""),AND($AN$11&lt;&gt;"",$AN139&lt;&gt;""))),TRUE,FALSE)</f>
        <v>0</v>
      </c>
      <c r="AZ139" s="144" t="b">
        <f>IF(AND($C139&lt;&gt;"",$H139=""),TRUE,FALSE)</f>
        <v>0</v>
      </c>
      <c r="BA139" s="144" t="b">
        <f>IF(AND($C139&lt;&gt;"",$J139=""),TRUE,FALSE)</f>
        <v>0</v>
      </c>
      <c r="BB139" s="144" t="b">
        <f>IF(AND($C139&lt;&gt;"",$L139=""),TRUE,FALSE)</f>
        <v>0</v>
      </c>
      <c r="BC139" s="144" t="b">
        <f>IF(AND($C139&lt;&gt;"",$N139=""),TRUE,FALSE)</f>
        <v>0</v>
      </c>
      <c r="BD139" s="142" t="b">
        <f>IF($BE139=TRUE,FALSE,IF(OR($P139&lt;$BD$5,$P139&gt;$BE$5),TRUE,FALSE))</f>
        <v>0</v>
      </c>
      <c r="BE139" s="144" t="b">
        <f>IF(AND($C139&lt;&gt;"",$P139=""),TRUE,FALSE)</f>
        <v>0</v>
      </c>
      <c r="BF139" s="144" t="b">
        <f>IF($BG139=TRUE,FALSE,IF(OR($R139&lt;$BF$5,$R139&gt;$BG$5),TRUE,FALSE))</f>
        <v>0</v>
      </c>
      <c r="BG139" s="144" t="b">
        <f>IF(AND($C139&lt;&gt;"",$R139=""),TRUE,FALSE)</f>
        <v>0</v>
      </c>
      <c r="BH139" s="160" t="b">
        <f>IF(BI139=TRUE,FALSE,IF(AND(V139&lt;&gt;"",V$11=""),TRUE,IF(AND(V139&lt;&gt;"",V$11&lt;&gt;"",$R139&lt;&gt;$AP139),TRUE,IF(OR(V139&lt;0,V139&gt;$R139),TRUE,FALSE))))</f>
        <v>0</v>
      </c>
      <c r="BI139" s="144" t="b">
        <f>IF(AND($C139&lt;&gt;"",V$11&lt;&gt;"",$V139=""),TRUE,FALSE)</f>
        <v>0</v>
      </c>
      <c r="BJ139" s="160" t="b">
        <f>IF(BK139=TRUE,FALSE,IF(AND(X139&lt;&gt;"",X$11=""),TRUE,IF(AND(X139&lt;&gt;"",X$11&lt;&gt;"",$R139&lt;&gt;$AP139),TRUE,IF(OR(X139&lt;0,X139&gt;$R139),TRUE,FALSE))))</f>
        <v>0</v>
      </c>
      <c r="BK139" s="144" t="b">
        <f>IF(AND($C139&lt;&gt;"",X$11&lt;&gt;"",$X139=""),TRUE,FALSE)</f>
        <v>0</v>
      </c>
      <c r="BL139" s="160" t="b">
        <f>IF(BM139=TRUE,FALSE,IF(AND(Z139&lt;&gt;"",Z$11=""),TRUE,IF(AND(Z139&lt;&gt;"",Z$11&lt;&gt;"",$R139&lt;&gt;$AP139),TRUE,IF(OR(Z139&lt;0,Z139&gt;$R139),TRUE,FALSE))))</f>
        <v>0</v>
      </c>
      <c r="BM139" s="144" t="b">
        <f>IF(AND($C139&lt;&gt;"",Z$11&lt;&gt;"",$Z139=""),TRUE,FALSE)</f>
        <v>0</v>
      </c>
      <c r="BN139" s="160" t="b">
        <f>IF(BO139=TRUE,FALSE,IF(AND(AB139&lt;&gt;"",AB$11=""),TRUE,IF(AND(AB139&lt;&gt;"",AB$11&lt;&gt;"",$R139&lt;&gt;$AP139),TRUE,IF(OR(AB139&lt;0,AB139&gt;$R139),TRUE,FALSE))))</f>
        <v>0</v>
      </c>
      <c r="BO139" s="144" t="b">
        <f>IF(AND($C139&lt;&gt;"",AB$11&lt;&gt;"",$AB139=""),TRUE,FALSE)</f>
        <v>0</v>
      </c>
      <c r="BP139" s="160" t="b">
        <f>IF(BQ139=TRUE,FALSE,IF(AND(AD139&lt;&gt;"",AD$11=""),TRUE,IF(AND(AD139&lt;&gt;"",AD$11&lt;&gt;"",$R139&lt;&gt;$AP139),TRUE,IF(OR(AD139&lt;0,AD139&gt;$R139),TRUE,FALSE))))</f>
        <v>0</v>
      </c>
      <c r="BQ139" s="144" t="b">
        <f>IF(AND($C139&lt;&gt;"",AD$11&lt;&gt;"",$AD139=""),TRUE,FALSE)</f>
        <v>0</v>
      </c>
      <c r="BR139" s="160" t="b">
        <f>IF(BS139=TRUE,FALSE,IF(AND(AF139&lt;&gt;"",AF$11=""),TRUE,IF(AND(AF139&lt;&gt;"",AF$11&lt;&gt;"",$R139&lt;&gt;$AP139),TRUE,IF(OR(AF139&lt;0,AF139&gt;$R139),TRUE,FALSE))))</f>
        <v>0</v>
      </c>
      <c r="BS139" s="144" t="b">
        <f>IF(AND($C139&lt;&gt;"",AF$11&lt;&gt;"",$AF139=""),TRUE,FALSE)</f>
        <v>0</v>
      </c>
      <c r="BT139" s="160" t="b">
        <f>IF(BU139=TRUE,FALSE,IF(AND(AH139&lt;&gt;"",AH$11=""),TRUE,IF(AND(AH139&lt;&gt;"",AH$11&lt;&gt;"",$R139&lt;&gt;$AP139),TRUE,IF(OR(AH139&lt;0,AH139&gt;$R139),TRUE,FALSE))))</f>
        <v>0</v>
      </c>
      <c r="BU139" s="144" t="b">
        <f>IF(AND($C139&lt;&gt;"",AH$11&lt;&gt;"",$AH139=""),TRUE,FALSE)</f>
        <v>0</v>
      </c>
      <c r="BV139" s="160" t="b">
        <f>IF(BW139=TRUE,FALSE,IF(AND(AJ139&lt;&gt;"",AJ$11=""),TRUE,IF(AND(AJ139&lt;&gt;"",AJ$11&lt;&gt;"",$R139&lt;&gt;$AP139),TRUE,IF(OR(AJ139&lt;0,AJ139&gt;$R139),TRUE,FALSE))))</f>
        <v>0</v>
      </c>
      <c r="BW139" s="144" t="b">
        <f>IF(AND($C139&lt;&gt;"",AJ$11&lt;&gt;"",$AJ139=""),TRUE,FALSE)</f>
        <v>0</v>
      </c>
      <c r="BX139" s="160" t="b">
        <f>IF(BY139=TRUE,FALSE,IF(AND(AL139&lt;&gt;"",AL$11=""),TRUE,IF(AND(AL139&lt;&gt;"",AL$11&lt;&gt;"",$R139&lt;&gt;$AP139),TRUE,IF(OR(AL139&lt;0,AL139&gt;$R139),TRUE,FALSE))))</f>
        <v>0</v>
      </c>
      <c r="BY139" s="144" t="b">
        <f>IF(AND($C139&lt;&gt;"",AL$11&lt;&gt;"",$AL139=""),TRUE,FALSE)</f>
        <v>0</v>
      </c>
      <c r="BZ139" s="160" t="b">
        <f>IF(CA139=TRUE,FALSE,IF(AND(AN139&lt;&gt;"",AN$11=""),TRUE,IF(AND(AN139&lt;&gt;"",AN$11&lt;&gt;"",$R139&lt;&gt;$AP139),TRUE,IF(OR(AN139&lt;0,AN139&gt;$R139),TRUE,FALSE))))</f>
        <v>0</v>
      </c>
      <c r="CA139" s="144" t="b">
        <f>IF(AND($C139&lt;&gt;"",AN$11&lt;&gt;"",$AN139=""),TRUE,FALSE)</f>
        <v>0</v>
      </c>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4"/>
    </row>
    <row r="140" spans="1:101" ht="6.75" customHeight="1" thickBot="1" x14ac:dyDescent="0.25">
      <c r="A140" s="228"/>
      <c r="B140" s="228"/>
      <c r="C140" s="232"/>
      <c r="D140" s="267"/>
      <c r="I140" s="267"/>
      <c r="K140" s="228"/>
      <c r="M140" s="267"/>
      <c r="O140" s="267"/>
      <c r="Q140" s="267"/>
      <c r="S140" s="267"/>
      <c r="U140" s="267"/>
      <c r="V140" s="283"/>
      <c r="W140" s="267"/>
      <c r="X140" s="283"/>
      <c r="Y140" s="267"/>
      <c r="Z140" s="283"/>
      <c r="AA140" s="267"/>
      <c r="AB140" s="283"/>
      <c r="AC140" s="267"/>
      <c r="AD140" s="283"/>
      <c r="AE140" s="267"/>
      <c r="AF140" s="283"/>
      <c r="AG140" s="267"/>
      <c r="AH140" s="283"/>
      <c r="AI140" s="267"/>
      <c r="AJ140" s="283"/>
      <c r="AK140" s="267"/>
      <c r="AL140" s="283"/>
      <c r="AM140" s="267"/>
      <c r="AN140" s="283"/>
      <c r="AO140" s="267"/>
      <c r="AP140" s="267"/>
      <c r="AQ140" s="267"/>
      <c r="AR140" s="232"/>
      <c r="AY140" s="145"/>
      <c r="AZ140" s="146"/>
      <c r="BA140" s="146"/>
      <c r="BB140" s="146"/>
      <c r="BC140" s="146"/>
      <c r="BD140" s="145"/>
      <c r="BE140" s="146"/>
      <c r="BF140" s="146"/>
      <c r="BG140" s="146"/>
      <c r="BH140" s="145"/>
      <c r="BI140" s="146"/>
      <c r="BJ140" s="145"/>
      <c r="BK140" s="146"/>
      <c r="BL140" s="145"/>
      <c r="BM140" s="146"/>
      <c r="BN140" s="145"/>
      <c r="BO140" s="146"/>
      <c r="BP140" s="145"/>
      <c r="BQ140" s="146"/>
      <c r="BR140" s="145"/>
      <c r="BS140" s="146"/>
      <c r="BT140" s="145"/>
      <c r="BU140" s="146"/>
      <c r="BV140" s="145"/>
      <c r="BW140" s="146"/>
      <c r="BX140" s="145"/>
      <c r="BY140" s="146"/>
      <c r="BZ140" s="145"/>
      <c r="CA140" s="146"/>
    </row>
    <row r="141" spans="1:101" s="101" customFormat="1" ht="12.75" customHeight="1" x14ac:dyDescent="0.2">
      <c r="A141" s="227">
        <f>A139+1</f>
        <v>63</v>
      </c>
      <c r="B141" s="227"/>
      <c r="C141" s="231"/>
      <c r="D141" s="251" t="str">
        <f>IF((C141=""),"Enter Segment "&amp;TEXT(A141,0)&amp;" Name, then Enter Data in Columns "&amp;TEXT($H$2,0)&amp;" - "&amp;TEXT($AN$2,0)&amp;"       ","")</f>
        <v xml:space="preserve">Enter Segment 63 Name, then Enter Data in Columns h - an       </v>
      </c>
      <c r="E141" s="131" t="str">
        <f>IF($AW141="B","N/A",IF(AX141="N","No",IF(AX141="Y","Yes","")))</f>
        <v>N/A</v>
      </c>
      <c r="F141" s="130"/>
      <c r="G141" s="130"/>
      <c r="H141" s="285"/>
      <c r="I141" s="251" t="str">
        <f>IF($C141&lt;&gt;"","Enter Starting Point       ","")</f>
        <v/>
      </c>
      <c r="J141" s="285"/>
      <c r="K141" s="227"/>
      <c r="L141" s="88"/>
      <c r="M141" s="251" t="str">
        <f>IF($C141&lt;&gt;"","Select from Pull-Down List  ","")</f>
        <v/>
      </c>
      <c r="N141" s="88"/>
      <c r="O141" s="251" t="str">
        <f>IF($C141&lt;&gt;"","Select from Pull-Down List  ","")</f>
        <v/>
      </c>
      <c r="P141" s="131"/>
      <c r="Q141" s="251" t="str">
        <f>IF($C141&lt;&gt;"","Dir. Route-Mi?    ","")</f>
        <v/>
      </c>
      <c r="R141" s="131"/>
      <c r="S141" s="251" t="str">
        <f>IF($C141&lt;&gt;"","Trk-Mi?      ","")</f>
        <v/>
      </c>
      <c r="T141" s="131"/>
      <c r="U141" s="251" t="str">
        <f>IF($C141&lt;&gt;"","Trk-Mi?      ","")</f>
        <v/>
      </c>
      <c r="V141" s="284"/>
      <c r="W141" s="278" t="str">
        <f>IF(OR($R141="",V$11=""),"","0 - "&amp;TEXT($R141-$AP141,"0.0")&amp;" Trk-Mi?    ")</f>
        <v/>
      </c>
      <c r="X141" s="284"/>
      <c r="Y141" s="278" t="str">
        <f>IF(OR($R141="",X$11=""),"","0 - "&amp;TEXT($R141-$AP141,"0.0")&amp;" Trk-Mi?    ")</f>
        <v/>
      </c>
      <c r="Z141" s="284"/>
      <c r="AA141" s="278" t="str">
        <f>IF(OR($R141="",Z$11=""),"","0 - "&amp;TEXT($R141-$AP141,"0.0")&amp;" Trk-Mi?    ")</f>
        <v/>
      </c>
      <c r="AB141" s="284"/>
      <c r="AC141" s="278" t="str">
        <f>IF(OR($R141="",AB$11=""),"","0 - "&amp;TEXT($R141-$AP141,"0.0")&amp;" Trk-Mi?    ")</f>
        <v/>
      </c>
      <c r="AD141" s="284"/>
      <c r="AE141" s="278" t="str">
        <f>IF(OR($R141="",AD$11=""),"","0 - "&amp;TEXT($R141-$AP141,"0.0")&amp;" Trk-Mi?    ")</f>
        <v/>
      </c>
      <c r="AF141" s="284"/>
      <c r="AG141" s="278" t="str">
        <f>IF(OR($R141="",AF$11=""),"","0 - "&amp;TEXT($R141-$AP141,"0.0")&amp;" Trk-Mi?    ")</f>
        <v/>
      </c>
      <c r="AH141" s="284"/>
      <c r="AI141" s="278" t="str">
        <f>IF(OR($R141="",AH$11=""),"","0 - "&amp;TEXT($R141-$AP141,"0.0")&amp;" Trk-Mi?    ")</f>
        <v/>
      </c>
      <c r="AJ141" s="284"/>
      <c r="AK141" s="278" t="str">
        <f>IF(OR($R141="",AJ$11=""),"","0 - "&amp;TEXT($R141-$AP141,"0.0")&amp;" Trk-Mi?    ")</f>
        <v/>
      </c>
      <c r="AL141" s="284"/>
      <c r="AM141" s="278" t="str">
        <f>IF(OR($R141="",AL$11=""),"","0 - "&amp;TEXT($R141-$AP141,"0.0")&amp;" Trk-Mi?    ")</f>
        <v/>
      </c>
      <c r="AN141" s="284"/>
      <c r="AO141" s="278" t="str">
        <f>IF(OR($R141="",AN$11=""),"","0 - "&amp;TEXT($R141-$AP141,"0.0")&amp;" Trk-Mi?    ")</f>
        <v/>
      </c>
      <c r="AP141" s="282">
        <f>SUM(V141,X141,Z141,AB141,AD141,AF141,AH141,AJ141,AL141,AN141)</f>
        <v>0</v>
      </c>
      <c r="AQ141" s="278"/>
      <c r="AR141" s="234"/>
      <c r="AS141" s="107"/>
      <c r="AT141" s="107"/>
      <c r="AU141" s="107"/>
      <c r="AW141" s="107" t="str">
        <f>IF(AND($C141="",$H141="",$J141="",$L141="",$N141="",$P141="",$R141=""),"B","NB")</f>
        <v>B</v>
      </c>
      <c r="AX141" s="241" t="str">
        <f>IF(OR($C141="",$H141="",$J141="",$L141="",$N141="",$R141="",$P141="",AND($V$11&lt;&gt;"",$V141=""),AND($X$11&lt;&gt;"",$X141=""),AND($Z$11&lt;&gt;"",$Z141=""),AND($AB$11&lt;&gt;"",$AB141=""),AND($AD$11&lt;&gt;"",$AD141=""),AND($AF$11&lt;&gt;"",$AF141=""),AND($AH$11&lt;&gt;"",$AH141=""),AND($AJ$11&lt;&gt;"",$AJ141=""),AND($AL$11&lt;&gt;"",$AL141=""),AND($AN$11&lt;&gt;"",$AN141="")),"N","Y")</f>
        <v>N</v>
      </c>
      <c r="AY141" s="142" t="b">
        <f>IF(AND($C141="",OR($H141&lt;&gt;"",$J141&lt;&gt;"",$L141&lt;&gt;"",$N141&lt;&gt;"",$R141&lt;&gt;"",$P141&lt;&gt;"",AND($V$11&lt;&gt;"",$V141&lt;&gt;""),AND($X$11&lt;&gt;"",$X141&lt;&gt;""),AND($Z$11&lt;&gt;"",$Z141&lt;&gt;""),AND($AB$11&lt;&gt;"",$AB141&lt;&gt;""),AND($AD$11&lt;&gt;"",$AD141&lt;&gt;""),AND($AF$11&lt;&gt;"",$AF141&lt;&gt;""),AND($AH$11&lt;&gt;"",$AH141&lt;&gt;""),AND($AJ$11&lt;&gt;"",$AJ141&lt;&gt;""),AND($AL$11&lt;&gt;"",$AL141&lt;&gt;""),AND($AN$11&lt;&gt;"",$AN141&lt;&gt;""))),TRUE,FALSE)</f>
        <v>0</v>
      </c>
      <c r="AZ141" s="144" t="b">
        <f>IF(AND($C141&lt;&gt;"",$H141=""),TRUE,FALSE)</f>
        <v>0</v>
      </c>
      <c r="BA141" s="144" t="b">
        <f>IF(AND($C141&lt;&gt;"",$J141=""),TRUE,FALSE)</f>
        <v>0</v>
      </c>
      <c r="BB141" s="144" t="b">
        <f>IF(AND($C141&lt;&gt;"",$L141=""),TRUE,FALSE)</f>
        <v>0</v>
      </c>
      <c r="BC141" s="144" t="b">
        <f>IF(AND($C141&lt;&gt;"",$N141=""),TRUE,FALSE)</f>
        <v>0</v>
      </c>
      <c r="BD141" s="142" t="b">
        <f>IF($BE141=TRUE,FALSE,IF(OR($P141&lt;$BD$5,$P141&gt;$BE$5),TRUE,FALSE))</f>
        <v>0</v>
      </c>
      <c r="BE141" s="144" t="b">
        <f>IF(AND($C141&lt;&gt;"",$P141=""),TRUE,FALSE)</f>
        <v>0</v>
      </c>
      <c r="BF141" s="144" t="b">
        <f>IF($BG141=TRUE,FALSE,IF(OR($R141&lt;$BF$5,$R141&gt;$BG$5),TRUE,FALSE))</f>
        <v>0</v>
      </c>
      <c r="BG141" s="144" t="b">
        <f>IF(AND($C141&lt;&gt;"",$R141=""),TRUE,FALSE)</f>
        <v>0</v>
      </c>
      <c r="BH141" s="160" t="b">
        <f>IF(BI141=TRUE,FALSE,IF(AND(V141&lt;&gt;"",V$11=""),TRUE,IF(AND(V141&lt;&gt;"",V$11&lt;&gt;"",$R141&lt;&gt;$AP141),TRUE,IF(OR(V141&lt;0,V141&gt;$R141),TRUE,FALSE))))</f>
        <v>0</v>
      </c>
      <c r="BI141" s="144" t="b">
        <f>IF(AND($C141&lt;&gt;"",V$11&lt;&gt;"",$V141=""),TRUE,FALSE)</f>
        <v>0</v>
      </c>
      <c r="BJ141" s="160" t="b">
        <f>IF(BK141=TRUE,FALSE,IF(AND(X141&lt;&gt;"",X$11=""),TRUE,IF(AND(X141&lt;&gt;"",X$11&lt;&gt;"",$R141&lt;&gt;$AP141),TRUE,IF(OR(X141&lt;0,X141&gt;$R141),TRUE,FALSE))))</f>
        <v>0</v>
      </c>
      <c r="BK141" s="144" t="b">
        <f>IF(AND($C141&lt;&gt;"",X$11&lt;&gt;"",$X141=""),TRUE,FALSE)</f>
        <v>0</v>
      </c>
      <c r="BL141" s="160" t="b">
        <f>IF(BM141=TRUE,FALSE,IF(AND(Z141&lt;&gt;"",Z$11=""),TRUE,IF(AND(Z141&lt;&gt;"",Z$11&lt;&gt;"",$R141&lt;&gt;$AP141),TRUE,IF(OR(Z141&lt;0,Z141&gt;$R141),TRUE,FALSE))))</f>
        <v>0</v>
      </c>
      <c r="BM141" s="144" t="b">
        <f>IF(AND($C141&lt;&gt;"",Z$11&lt;&gt;"",$Z141=""),TRUE,FALSE)</f>
        <v>0</v>
      </c>
      <c r="BN141" s="160" t="b">
        <f>IF(BO141=TRUE,FALSE,IF(AND(AB141&lt;&gt;"",AB$11=""),TRUE,IF(AND(AB141&lt;&gt;"",AB$11&lt;&gt;"",$R141&lt;&gt;$AP141),TRUE,IF(OR(AB141&lt;0,AB141&gt;$R141),TRUE,FALSE))))</f>
        <v>0</v>
      </c>
      <c r="BO141" s="144" t="b">
        <f>IF(AND($C141&lt;&gt;"",AB$11&lt;&gt;"",$AB141=""),TRUE,FALSE)</f>
        <v>0</v>
      </c>
      <c r="BP141" s="160" t="b">
        <f>IF(BQ141=TRUE,FALSE,IF(AND(AD141&lt;&gt;"",AD$11=""),TRUE,IF(AND(AD141&lt;&gt;"",AD$11&lt;&gt;"",$R141&lt;&gt;$AP141),TRUE,IF(OR(AD141&lt;0,AD141&gt;$R141),TRUE,FALSE))))</f>
        <v>0</v>
      </c>
      <c r="BQ141" s="144" t="b">
        <f>IF(AND($C141&lt;&gt;"",AD$11&lt;&gt;"",$AD141=""),TRUE,FALSE)</f>
        <v>0</v>
      </c>
      <c r="BR141" s="160" t="b">
        <f>IF(BS141=TRUE,FALSE,IF(AND(AF141&lt;&gt;"",AF$11=""),TRUE,IF(AND(AF141&lt;&gt;"",AF$11&lt;&gt;"",$R141&lt;&gt;$AP141),TRUE,IF(OR(AF141&lt;0,AF141&gt;$R141),TRUE,FALSE))))</f>
        <v>0</v>
      </c>
      <c r="BS141" s="144" t="b">
        <f>IF(AND($C141&lt;&gt;"",AF$11&lt;&gt;"",$AF141=""),TRUE,FALSE)</f>
        <v>0</v>
      </c>
      <c r="BT141" s="160" t="b">
        <f>IF(BU141=TRUE,FALSE,IF(AND(AH141&lt;&gt;"",AH$11=""),TRUE,IF(AND(AH141&lt;&gt;"",AH$11&lt;&gt;"",$R141&lt;&gt;$AP141),TRUE,IF(OR(AH141&lt;0,AH141&gt;$R141),TRUE,FALSE))))</f>
        <v>0</v>
      </c>
      <c r="BU141" s="144" t="b">
        <f>IF(AND($C141&lt;&gt;"",AH$11&lt;&gt;"",$AH141=""),TRUE,FALSE)</f>
        <v>0</v>
      </c>
      <c r="BV141" s="160" t="b">
        <f>IF(BW141=TRUE,FALSE,IF(AND(AJ141&lt;&gt;"",AJ$11=""),TRUE,IF(AND(AJ141&lt;&gt;"",AJ$11&lt;&gt;"",$R141&lt;&gt;$AP141),TRUE,IF(OR(AJ141&lt;0,AJ141&gt;$R141),TRUE,FALSE))))</f>
        <v>0</v>
      </c>
      <c r="BW141" s="144" t="b">
        <f>IF(AND($C141&lt;&gt;"",AJ$11&lt;&gt;"",$AJ141=""),TRUE,FALSE)</f>
        <v>0</v>
      </c>
      <c r="BX141" s="160" t="b">
        <f>IF(BY141=TRUE,FALSE,IF(AND(AL141&lt;&gt;"",AL$11=""),TRUE,IF(AND(AL141&lt;&gt;"",AL$11&lt;&gt;"",$R141&lt;&gt;$AP141),TRUE,IF(OR(AL141&lt;0,AL141&gt;$R141),TRUE,FALSE))))</f>
        <v>0</v>
      </c>
      <c r="BY141" s="144" t="b">
        <f>IF(AND($C141&lt;&gt;"",AL$11&lt;&gt;"",$AL141=""),TRUE,FALSE)</f>
        <v>0</v>
      </c>
      <c r="BZ141" s="160" t="b">
        <f>IF(CA141=TRUE,FALSE,IF(AND(AN141&lt;&gt;"",AN$11=""),TRUE,IF(AND(AN141&lt;&gt;"",AN$11&lt;&gt;"",$R141&lt;&gt;$AP141),TRUE,IF(OR(AN141&lt;0,AN141&gt;$R141),TRUE,FALSE))))</f>
        <v>0</v>
      </c>
      <c r="CA141" s="144" t="b">
        <f>IF(AND($C141&lt;&gt;"",AN$11&lt;&gt;"",$AN141=""),TRUE,FALSE)</f>
        <v>0</v>
      </c>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4"/>
    </row>
    <row r="142" spans="1:101" ht="6.75" customHeight="1" thickBot="1" x14ac:dyDescent="0.25">
      <c r="A142" s="228"/>
      <c r="B142" s="228"/>
      <c r="C142" s="232"/>
      <c r="D142" s="267"/>
      <c r="I142" s="267"/>
      <c r="K142" s="228"/>
      <c r="M142" s="267"/>
      <c r="O142" s="267"/>
      <c r="Q142" s="267"/>
      <c r="S142" s="267"/>
      <c r="U142" s="267"/>
      <c r="V142" s="283"/>
      <c r="W142" s="267"/>
      <c r="X142" s="283"/>
      <c r="Y142" s="267"/>
      <c r="Z142" s="283"/>
      <c r="AA142" s="267"/>
      <c r="AB142" s="283"/>
      <c r="AC142" s="267"/>
      <c r="AD142" s="283"/>
      <c r="AE142" s="267"/>
      <c r="AF142" s="283"/>
      <c r="AG142" s="267"/>
      <c r="AH142" s="283"/>
      <c r="AI142" s="267"/>
      <c r="AJ142" s="283"/>
      <c r="AK142" s="267"/>
      <c r="AL142" s="283"/>
      <c r="AM142" s="267"/>
      <c r="AN142" s="283"/>
      <c r="AO142" s="267"/>
      <c r="AP142" s="267"/>
      <c r="AQ142" s="267"/>
      <c r="AR142" s="232"/>
      <c r="AY142" s="145"/>
      <c r="AZ142" s="146"/>
      <c r="BA142" s="146"/>
      <c r="BB142" s="146"/>
      <c r="BC142" s="146"/>
      <c r="BD142" s="145"/>
      <c r="BE142" s="146"/>
      <c r="BF142" s="146"/>
      <c r="BG142" s="146"/>
      <c r="BH142" s="145"/>
      <c r="BI142" s="146"/>
      <c r="BJ142" s="145"/>
      <c r="BK142" s="146"/>
      <c r="BL142" s="145"/>
      <c r="BM142" s="146"/>
      <c r="BN142" s="145"/>
      <c r="BO142" s="146"/>
      <c r="BP142" s="145"/>
      <c r="BQ142" s="146"/>
      <c r="BR142" s="145"/>
      <c r="BS142" s="146"/>
      <c r="BT142" s="145"/>
      <c r="BU142" s="146"/>
      <c r="BV142" s="145"/>
      <c r="BW142" s="146"/>
      <c r="BX142" s="145"/>
      <c r="BY142" s="146"/>
      <c r="BZ142" s="145"/>
      <c r="CA142" s="146"/>
    </row>
    <row r="143" spans="1:101" s="101" customFormat="1" ht="12.75" customHeight="1" x14ac:dyDescent="0.2">
      <c r="A143" s="227">
        <f>A141+1</f>
        <v>64</v>
      </c>
      <c r="B143" s="227"/>
      <c r="C143" s="231"/>
      <c r="D143" s="251" t="str">
        <f>IF((C143=""),"Enter Segment "&amp;TEXT(A143,0)&amp;" Name, then Enter Data in Columns "&amp;TEXT($H$2,0)&amp;" - "&amp;TEXT($AN$2,0)&amp;"       ","")</f>
        <v xml:space="preserve">Enter Segment 64 Name, then Enter Data in Columns h - an       </v>
      </c>
      <c r="E143" s="131" t="str">
        <f>IF($AW143="B","N/A",IF(AX143="N","No",IF(AX143="Y","Yes","")))</f>
        <v>N/A</v>
      </c>
      <c r="F143" s="130"/>
      <c r="G143" s="130"/>
      <c r="H143" s="285"/>
      <c r="I143" s="251" t="str">
        <f>IF($C143&lt;&gt;"","Enter Starting Point       ","")</f>
        <v/>
      </c>
      <c r="J143" s="285"/>
      <c r="K143" s="227"/>
      <c r="L143" s="88"/>
      <c r="M143" s="251" t="str">
        <f>IF($C143&lt;&gt;"","Select from Pull-Down List  ","")</f>
        <v/>
      </c>
      <c r="N143" s="88"/>
      <c r="O143" s="251" t="str">
        <f>IF($C143&lt;&gt;"","Select from Pull-Down List  ","")</f>
        <v/>
      </c>
      <c r="P143" s="131"/>
      <c r="Q143" s="251" t="str">
        <f>IF($C143&lt;&gt;"","Dir. Route-Mi?    ","")</f>
        <v/>
      </c>
      <c r="R143" s="131"/>
      <c r="S143" s="251" t="str">
        <f>IF($C143&lt;&gt;"","Trk-Mi?      ","")</f>
        <v/>
      </c>
      <c r="T143" s="131"/>
      <c r="U143" s="251" t="str">
        <f>IF($C143&lt;&gt;"","Trk-Mi?      ","")</f>
        <v/>
      </c>
      <c r="V143" s="284"/>
      <c r="W143" s="278" t="str">
        <f>IF(OR($R143="",V$11=""),"","0 - "&amp;TEXT($R143-$AP143,"0.0")&amp;" Trk-Mi?    ")</f>
        <v/>
      </c>
      <c r="X143" s="284"/>
      <c r="Y143" s="278" t="str">
        <f>IF(OR($R143="",X$11=""),"","0 - "&amp;TEXT($R143-$AP143,"0.0")&amp;" Trk-Mi?    ")</f>
        <v/>
      </c>
      <c r="Z143" s="284"/>
      <c r="AA143" s="278" t="str">
        <f>IF(OR($R143="",Z$11=""),"","0 - "&amp;TEXT($R143-$AP143,"0.0")&amp;" Trk-Mi?    ")</f>
        <v/>
      </c>
      <c r="AB143" s="284"/>
      <c r="AC143" s="278" t="str">
        <f>IF(OR($R143="",AB$11=""),"","0 - "&amp;TEXT($R143-$AP143,"0.0")&amp;" Trk-Mi?    ")</f>
        <v/>
      </c>
      <c r="AD143" s="284"/>
      <c r="AE143" s="278" t="str">
        <f>IF(OR($R143="",AD$11=""),"","0 - "&amp;TEXT($R143-$AP143,"0.0")&amp;" Trk-Mi?    ")</f>
        <v/>
      </c>
      <c r="AF143" s="284"/>
      <c r="AG143" s="278" t="str">
        <f>IF(OR($R143="",AF$11=""),"","0 - "&amp;TEXT($R143-$AP143,"0.0")&amp;" Trk-Mi?    ")</f>
        <v/>
      </c>
      <c r="AH143" s="284"/>
      <c r="AI143" s="278" t="str">
        <f>IF(OR($R143="",AH$11=""),"","0 - "&amp;TEXT($R143-$AP143,"0.0")&amp;" Trk-Mi?    ")</f>
        <v/>
      </c>
      <c r="AJ143" s="284"/>
      <c r="AK143" s="278" t="str">
        <f>IF(OR($R143="",AJ$11=""),"","0 - "&amp;TEXT($R143-$AP143,"0.0")&amp;" Trk-Mi?    ")</f>
        <v/>
      </c>
      <c r="AL143" s="284"/>
      <c r="AM143" s="278" t="str">
        <f>IF(OR($R143="",AL$11=""),"","0 - "&amp;TEXT($R143-$AP143,"0.0")&amp;" Trk-Mi?    ")</f>
        <v/>
      </c>
      <c r="AN143" s="284"/>
      <c r="AO143" s="278" t="str">
        <f>IF(OR($R143="",AN$11=""),"","0 - "&amp;TEXT($R143-$AP143,"0.0")&amp;" Trk-Mi?    ")</f>
        <v/>
      </c>
      <c r="AP143" s="282">
        <f>SUM(V143,X143,Z143,AB143,AD143,AF143,AH143,AJ143,AL143,AN143)</f>
        <v>0</v>
      </c>
      <c r="AQ143" s="278"/>
      <c r="AR143" s="234"/>
      <c r="AS143" s="107"/>
      <c r="AT143" s="107"/>
      <c r="AU143" s="107"/>
      <c r="AW143" s="107" t="str">
        <f>IF(AND($C143="",$H143="",$J143="",$L143="",$N143="",$P143="",$R143=""),"B","NB")</f>
        <v>B</v>
      </c>
      <c r="AX143" s="241" t="str">
        <f>IF(OR($C143="",$H143="",$J143="",$L143="",$N143="",$R143="",$P143="",AND($V$11&lt;&gt;"",$V143=""),AND($X$11&lt;&gt;"",$X143=""),AND($Z$11&lt;&gt;"",$Z143=""),AND($AB$11&lt;&gt;"",$AB143=""),AND($AD$11&lt;&gt;"",$AD143=""),AND($AF$11&lt;&gt;"",$AF143=""),AND($AH$11&lt;&gt;"",$AH143=""),AND($AJ$11&lt;&gt;"",$AJ143=""),AND($AL$11&lt;&gt;"",$AL143=""),AND($AN$11&lt;&gt;"",$AN143="")),"N","Y")</f>
        <v>N</v>
      </c>
      <c r="AY143" s="142" t="b">
        <f>IF(AND($C143="",OR($H143&lt;&gt;"",$J143&lt;&gt;"",$L143&lt;&gt;"",$N143&lt;&gt;"",$R143&lt;&gt;"",$P143&lt;&gt;"",AND($V$11&lt;&gt;"",$V143&lt;&gt;""),AND($X$11&lt;&gt;"",$X143&lt;&gt;""),AND($Z$11&lt;&gt;"",$Z143&lt;&gt;""),AND($AB$11&lt;&gt;"",$AB143&lt;&gt;""),AND($AD$11&lt;&gt;"",$AD143&lt;&gt;""),AND($AF$11&lt;&gt;"",$AF143&lt;&gt;""),AND($AH$11&lt;&gt;"",$AH143&lt;&gt;""),AND($AJ$11&lt;&gt;"",$AJ143&lt;&gt;""),AND($AL$11&lt;&gt;"",$AL143&lt;&gt;""),AND($AN$11&lt;&gt;"",$AN143&lt;&gt;""))),TRUE,FALSE)</f>
        <v>0</v>
      </c>
      <c r="AZ143" s="144" t="b">
        <f>IF(AND($C143&lt;&gt;"",$H143=""),TRUE,FALSE)</f>
        <v>0</v>
      </c>
      <c r="BA143" s="144" t="b">
        <f>IF(AND($C143&lt;&gt;"",$J143=""),TRUE,FALSE)</f>
        <v>0</v>
      </c>
      <c r="BB143" s="144" t="b">
        <f>IF(AND($C143&lt;&gt;"",$L143=""),TRUE,FALSE)</f>
        <v>0</v>
      </c>
      <c r="BC143" s="144" t="b">
        <f>IF(AND($C143&lt;&gt;"",$N143=""),TRUE,FALSE)</f>
        <v>0</v>
      </c>
      <c r="BD143" s="142" t="b">
        <f>IF($BE143=TRUE,FALSE,IF(OR($P143&lt;$BD$5,$P143&gt;$BE$5),TRUE,FALSE))</f>
        <v>0</v>
      </c>
      <c r="BE143" s="144" t="b">
        <f>IF(AND($C143&lt;&gt;"",$P143=""),TRUE,FALSE)</f>
        <v>0</v>
      </c>
      <c r="BF143" s="144" t="b">
        <f>IF($BG143=TRUE,FALSE,IF(OR($R143&lt;$BF$5,$R143&gt;$BG$5),TRUE,FALSE))</f>
        <v>0</v>
      </c>
      <c r="BG143" s="144" t="b">
        <f>IF(AND($C143&lt;&gt;"",$R143=""),TRUE,FALSE)</f>
        <v>0</v>
      </c>
      <c r="BH143" s="160" t="b">
        <f>IF(BI143=TRUE,FALSE,IF(AND(V143&lt;&gt;"",V$11=""),TRUE,IF(AND(V143&lt;&gt;"",V$11&lt;&gt;"",$R143&lt;&gt;$AP143),TRUE,IF(OR(V143&lt;0,V143&gt;$R143),TRUE,FALSE))))</f>
        <v>0</v>
      </c>
      <c r="BI143" s="144" t="b">
        <f>IF(AND($C143&lt;&gt;"",V$11&lt;&gt;"",$V143=""),TRUE,FALSE)</f>
        <v>0</v>
      </c>
      <c r="BJ143" s="160" t="b">
        <f>IF(BK143=TRUE,FALSE,IF(AND(X143&lt;&gt;"",X$11=""),TRUE,IF(AND(X143&lt;&gt;"",X$11&lt;&gt;"",$R143&lt;&gt;$AP143),TRUE,IF(OR(X143&lt;0,X143&gt;$R143),TRUE,FALSE))))</f>
        <v>0</v>
      </c>
      <c r="BK143" s="144" t="b">
        <f>IF(AND($C143&lt;&gt;"",X$11&lt;&gt;"",$X143=""),TRUE,FALSE)</f>
        <v>0</v>
      </c>
      <c r="BL143" s="160" t="b">
        <f>IF(BM143=TRUE,FALSE,IF(AND(Z143&lt;&gt;"",Z$11=""),TRUE,IF(AND(Z143&lt;&gt;"",Z$11&lt;&gt;"",$R143&lt;&gt;$AP143),TRUE,IF(OR(Z143&lt;0,Z143&gt;$R143),TRUE,FALSE))))</f>
        <v>0</v>
      </c>
      <c r="BM143" s="144" t="b">
        <f>IF(AND($C143&lt;&gt;"",Z$11&lt;&gt;"",$Z143=""),TRUE,FALSE)</f>
        <v>0</v>
      </c>
      <c r="BN143" s="160" t="b">
        <f>IF(BO143=TRUE,FALSE,IF(AND(AB143&lt;&gt;"",AB$11=""),TRUE,IF(AND(AB143&lt;&gt;"",AB$11&lt;&gt;"",$R143&lt;&gt;$AP143),TRUE,IF(OR(AB143&lt;0,AB143&gt;$R143),TRUE,FALSE))))</f>
        <v>0</v>
      </c>
      <c r="BO143" s="144" t="b">
        <f>IF(AND($C143&lt;&gt;"",AB$11&lt;&gt;"",$AB143=""),TRUE,FALSE)</f>
        <v>0</v>
      </c>
      <c r="BP143" s="160" t="b">
        <f>IF(BQ143=TRUE,FALSE,IF(AND(AD143&lt;&gt;"",AD$11=""),TRUE,IF(AND(AD143&lt;&gt;"",AD$11&lt;&gt;"",$R143&lt;&gt;$AP143),TRUE,IF(OR(AD143&lt;0,AD143&gt;$R143),TRUE,FALSE))))</f>
        <v>0</v>
      </c>
      <c r="BQ143" s="144" t="b">
        <f>IF(AND($C143&lt;&gt;"",AD$11&lt;&gt;"",$AD143=""),TRUE,FALSE)</f>
        <v>0</v>
      </c>
      <c r="BR143" s="160" t="b">
        <f>IF(BS143=TRUE,FALSE,IF(AND(AF143&lt;&gt;"",AF$11=""),TRUE,IF(AND(AF143&lt;&gt;"",AF$11&lt;&gt;"",$R143&lt;&gt;$AP143),TRUE,IF(OR(AF143&lt;0,AF143&gt;$R143),TRUE,FALSE))))</f>
        <v>0</v>
      </c>
      <c r="BS143" s="144" t="b">
        <f>IF(AND($C143&lt;&gt;"",AF$11&lt;&gt;"",$AF143=""),TRUE,FALSE)</f>
        <v>0</v>
      </c>
      <c r="BT143" s="160" t="b">
        <f>IF(BU143=TRUE,FALSE,IF(AND(AH143&lt;&gt;"",AH$11=""),TRUE,IF(AND(AH143&lt;&gt;"",AH$11&lt;&gt;"",$R143&lt;&gt;$AP143),TRUE,IF(OR(AH143&lt;0,AH143&gt;$R143),TRUE,FALSE))))</f>
        <v>0</v>
      </c>
      <c r="BU143" s="144" t="b">
        <f>IF(AND($C143&lt;&gt;"",AH$11&lt;&gt;"",$AH143=""),TRUE,FALSE)</f>
        <v>0</v>
      </c>
      <c r="BV143" s="160" t="b">
        <f>IF(BW143=TRUE,FALSE,IF(AND(AJ143&lt;&gt;"",AJ$11=""),TRUE,IF(AND(AJ143&lt;&gt;"",AJ$11&lt;&gt;"",$R143&lt;&gt;$AP143),TRUE,IF(OR(AJ143&lt;0,AJ143&gt;$R143),TRUE,FALSE))))</f>
        <v>0</v>
      </c>
      <c r="BW143" s="144" t="b">
        <f>IF(AND($C143&lt;&gt;"",AJ$11&lt;&gt;"",$AJ143=""),TRUE,FALSE)</f>
        <v>0</v>
      </c>
      <c r="BX143" s="160" t="b">
        <f>IF(BY143=TRUE,FALSE,IF(AND(AL143&lt;&gt;"",AL$11=""),TRUE,IF(AND(AL143&lt;&gt;"",AL$11&lt;&gt;"",$R143&lt;&gt;$AP143),TRUE,IF(OR(AL143&lt;0,AL143&gt;$R143),TRUE,FALSE))))</f>
        <v>0</v>
      </c>
      <c r="BY143" s="144" t="b">
        <f>IF(AND($C143&lt;&gt;"",AL$11&lt;&gt;"",$AL143=""),TRUE,FALSE)</f>
        <v>0</v>
      </c>
      <c r="BZ143" s="160" t="b">
        <f>IF(CA143=TRUE,FALSE,IF(AND(AN143&lt;&gt;"",AN$11=""),TRUE,IF(AND(AN143&lt;&gt;"",AN$11&lt;&gt;"",$R143&lt;&gt;$AP143),TRUE,IF(OR(AN143&lt;0,AN143&gt;$R143),TRUE,FALSE))))</f>
        <v>0</v>
      </c>
      <c r="CA143" s="144" t="b">
        <f>IF(AND($C143&lt;&gt;"",AN$11&lt;&gt;"",$AN143=""),TRUE,FALSE)</f>
        <v>0</v>
      </c>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4"/>
    </row>
    <row r="144" spans="1:101" ht="6.75" customHeight="1" thickBot="1" x14ac:dyDescent="0.25">
      <c r="A144" s="228"/>
      <c r="B144" s="228"/>
      <c r="C144" s="232"/>
      <c r="D144" s="267"/>
      <c r="I144" s="267"/>
      <c r="K144" s="228"/>
      <c r="M144" s="267"/>
      <c r="O144" s="267"/>
      <c r="Q144" s="267"/>
      <c r="S144" s="267"/>
      <c r="U144" s="267"/>
      <c r="V144" s="283"/>
      <c r="W144" s="267"/>
      <c r="X144" s="283"/>
      <c r="Y144" s="267"/>
      <c r="Z144" s="283"/>
      <c r="AA144" s="267"/>
      <c r="AB144" s="283"/>
      <c r="AC144" s="267"/>
      <c r="AD144" s="283"/>
      <c r="AE144" s="267"/>
      <c r="AF144" s="283"/>
      <c r="AG144" s="267"/>
      <c r="AH144" s="283"/>
      <c r="AI144" s="267"/>
      <c r="AJ144" s="283"/>
      <c r="AK144" s="267"/>
      <c r="AL144" s="283"/>
      <c r="AM144" s="267"/>
      <c r="AN144" s="283"/>
      <c r="AO144" s="267"/>
      <c r="AP144" s="267"/>
      <c r="AQ144" s="267"/>
      <c r="AR144" s="232"/>
      <c r="AY144" s="145"/>
      <c r="AZ144" s="146"/>
      <c r="BA144" s="146"/>
      <c r="BB144" s="146"/>
      <c r="BC144" s="146"/>
      <c r="BD144" s="145"/>
      <c r="BE144" s="146"/>
      <c r="BF144" s="146"/>
      <c r="BG144" s="146"/>
      <c r="BH144" s="145"/>
      <c r="BI144" s="146"/>
      <c r="BJ144" s="145"/>
      <c r="BK144" s="146"/>
      <c r="BL144" s="145"/>
      <c r="BM144" s="146"/>
      <c r="BN144" s="145"/>
      <c r="BO144" s="146"/>
      <c r="BP144" s="145"/>
      <c r="BQ144" s="146"/>
      <c r="BR144" s="145"/>
      <c r="BS144" s="146"/>
      <c r="BT144" s="145"/>
      <c r="BU144" s="146"/>
      <c r="BV144" s="145"/>
      <c r="BW144" s="146"/>
      <c r="BX144" s="145"/>
      <c r="BY144" s="146"/>
      <c r="BZ144" s="145"/>
      <c r="CA144" s="146"/>
    </row>
    <row r="145" spans="1:101" s="101" customFormat="1" ht="12.75" customHeight="1" x14ac:dyDescent="0.2">
      <c r="A145" s="227">
        <f>A143+1</f>
        <v>65</v>
      </c>
      <c r="B145" s="227"/>
      <c r="C145" s="231"/>
      <c r="D145" s="251" t="str">
        <f>IF((C145=""),"Enter Segment "&amp;TEXT(A145,0)&amp;" Name, then Enter Data in Columns "&amp;TEXT($H$2,0)&amp;" - "&amp;TEXT($AN$2,0)&amp;"       ","")</f>
        <v xml:space="preserve">Enter Segment 65 Name, then Enter Data in Columns h - an       </v>
      </c>
      <c r="E145" s="131" t="str">
        <f>IF($AW145="B","N/A",IF(AX145="N","No",IF(AX145="Y","Yes","")))</f>
        <v>N/A</v>
      </c>
      <c r="F145" s="130"/>
      <c r="G145" s="130"/>
      <c r="H145" s="285"/>
      <c r="I145" s="251" t="str">
        <f>IF($C145&lt;&gt;"","Enter Starting Point       ","")</f>
        <v/>
      </c>
      <c r="J145" s="285"/>
      <c r="K145" s="227"/>
      <c r="L145" s="88"/>
      <c r="M145" s="251" t="str">
        <f>IF($C145&lt;&gt;"","Select from Pull-Down List  ","")</f>
        <v/>
      </c>
      <c r="N145" s="88"/>
      <c r="O145" s="251" t="str">
        <f>IF($C145&lt;&gt;"","Select from Pull-Down List  ","")</f>
        <v/>
      </c>
      <c r="P145" s="131"/>
      <c r="Q145" s="251" t="str">
        <f>IF($C145&lt;&gt;"","Dir. Route-Mi?    ","")</f>
        <v/>
      </c>
      <c r="R145" s="131"/>
      <c r="S145" s="251" t="str">
        <f>IF($C145&lt;&gt;"","Trk-Mi?      ","")</f>
        <v/>
      </c>
      <c r="T145" s="131"/>
      <c r="U145" s="251" t="str">
        <f>IF($C145&lt;&gt;"","Trk-Mi?      ","")</f>
        <v/>
      </c>
      <c r="V145" s="284"/>
      <c r="W145" s="278" t="str">
        <f>IF(OR($R145="",V$11=""),"","0 - "&amp;TEXT($R145-$AP145,"0.0")&amp;" Trk-Mi?    ")</f>
        <v/>
      </c>
      <c r="X145" s="284"/>
      <c r="Y145" s="278" t="str">
        <f>IF(OR($R145="",X$11=""),"","0 - "&amp;TEXT($R145-$AP145,"0.0")&amp;" Trk-Mi?    ")</f>
        <v/>
      </c>
      <c r="Z145" s="284"/>
      <c r="AA145" s="278" t="str">
        <f>IF(OR($R145="",Z$11=""),"","0 - "&amp;TEXT($R145-$AP145,"0.0")&amp;" Trk-Mi?    ")</f>
        <v/>
      </c>
      <c r="AB145" s="284"/>
      <c r="AC145" s="278" t="str">
        <f>IF(OR($R145="",AB$11=""),"","0 - "&amp;TEXT($R145-$AP145,"0.0")&amp;" Trk-Mi?    ")</f>
        <v/>
      </c>
      <c r="AD145" s="284"/>
      <c r="AE145" s="278" t="str">
        <f>IF(OR($R145="",AD$11=""),"","0 - "&amp;TEXT($R145-$AP145,"0.0")&amp;" Trk-Mi?    ")</f>
        <v/>
      </c>
      <c r="AF145" s="284"/>
      <c r="AG145" s="278" t="str">
        <f>IF(OR($R145="",AF$11=""),"","0 - "&amp;TEXT($R145-$AP145,"0.0")&amp;" Trk-Mi?    ")</f>
        <v/>
      </c>
      <c r="AH145" s="284"/>
      <c r="AI145" s="278" t="str">
        <f>IF(OR($R145="",AH$11=""),"","0 - "&amp;TEXT($R145-$AP145,"0.0")&amp;" Trk-Mi?    ")</f>
        <v/>
      </c>
      <c r="AJ145" s="284"/>
      <c r="AK145" s="278" t="str">
        <f>IF(OR($R145="",AJ$11=""),"","0 - "&amp;TEXT($R145-$AP145,"0.0")&amp;" Trk-Mi?    ")</f>
        <v/>
      </c>
      <c r="AL145" s="284"/>
      <c r="AM145" s="278" t="str">
        <f>IF(OR($R145="",AL$11=""),"","0 - "&amp;TEXT($R145-$AP145,"0.0")&amp;" Trk-Mi?    ")</f>
        <v/>
      </c>
      <c r="AN145" s="284"/>
      <c r="AO145" s="278" t="str">
        <f>IF(OR($R145="",AN$11=""),"","0 - "&amp;TEXT($R145-$AP145,"0.0")&amp;" Trk-Mi?    ")</f>
        <v/>
      </c>
      <c r="AP145" s="282">
        <f>SUM(V145,X145,Z145,AB145,AD145,AF145,AH145,AJ145,AL145,AN145)</f>
        <v>0</v>
      </c>
      <c r="AQ145" s="278"/>
      <c r="AR145" s="234"/>
      <c r="AS145" s="107"/>
      <c r="AT145" s="107"/>
      <c r="AU145" s="107"/>
      <c r="AW145" s="107" t="str">
        <f>IF(AND($C145="",$H145="",$J145="",$L145="",$N145="",$P145="",$R145=""),"B","NB")</f>
        <v>B</v>
      </c>
      <c r="AX145" s="241" t="str">
        <f>IF(OR($C145="",$H145="",$J145="",$L145="",$N145="",$R145="",$P145="",AND($V$11&lt;&gt;"",$V145=""),AND($X$11&lt;&gt;"",$X145=""),AND($Z$11&lt;&gt;"",$Z145=""),AND($AB$11&lt;&gt;"",$AB145=""),AND($AD$11&lt;&gt;"",$AD145=""),AND($AF$11&lt;&gt;"",$AF145=""),AND($AH$11&lt;&gt;"",$AH145=""),AND($AJ$11&lt;&gt;"",$AJ145=""),AND($AL$11&lt;&gt;"",$AL145=""),AND($AN$11&lt;&gt;"",$AN145="")),"N","Y")</f>
        <v>N</v>
      </c>
      <c r="AY145" s="142" t="b">
        <f>IF(AND($C145="",OR($H145&lt;&gt;"",$J145&lt;&gt;"",$L145&lt;&gt;"",$N145&lt;&gt;"",$R145&lt;&gt;"",$P145&lt;&gt;"",AND($V$11&lt;&gt;"",$V145&lt;&gt;""),AND($X$11&lt;&gt;"",$X145&lt;&gt;""),AND($Z$11&lt;&gt;"",$Z145&lt;&gt;""),AND($AB$11&lt;&gt;"",$AB145&lt;&gt;""),AND($AD$11&lt;&gt;"",$AD145&lt;&gt;""),AND($AF$11&lt;&gt;"",$AF145&lt;&gt;""),AND($AH$11&lt;&gt;"",$AH145&lt;&gt;""),AND($AJ$11&lt;&gt;"",$AJ145&lt;&gt;""),AND($AL$11&lt;&gt;"",$AL145&lt;&gt;""),AND($AN$11&lt;&gt;"",$AN145&lt;&gt;""))),TRUE,FALSE)</f>
        <v>0</v>
      </c>
      <c r="AZ145" s="144" t="b">
        <f>IF(AND($C145&lt;&gt;"",$H145=""),TRUE,FALSE)</f>
        <v>0</v>
      </c>
      <c r="BA145" s="144" t="b">
        <f>IF(AND($C145&lt;&gt;"",$J145=""),TRUE,FALSE)</f>
        <v>0</v>
      </c>
      <c r="BB145" s="144" t="b">
        <f>IF(AND($C145&lt;&gt;"",$L145=""),TRUE,FALSE)</f>
        <v>0</v>
      </c>
      <c r="BC145" s="144" t="b">
        <f>IF(AND($C145&lt;&gt;"",$N145=""),TRUE,FALSE)</f>
        <v>0</v>
      </c>
      <c r="BD145" s="142" t="b">
        <f>IF($BE145=TRUE,FALSE,IF(OR($P145&lt;$BD$5,$P145&gt;$BE$5),TRUE,FALSE))</f>
        <v>0</v>
      </c>
      <c r="BE145" s="144" t="b">
        <f>IF(AND($C145&lt;&gt;"",$P145=""),TRUE,FALSE)</f>
        <v>0</v>
      </c>
      <c r="BF145" s="144" t="b">
        <f>IF($BG145=TRUE,FALSE,IF(OR($R145&lt;$BF$5,$R145&gt;$BG$5),TRUE,FALSE))</f>
        <v>0</v>
      </c>
      <c r="BG145" s="144" t="b">
        <f>IF(AND($C145&lt;&gt;"",$R145=""),TRUE,FALSE)</f>
        <v>0</v>
      </c>
      <c r="BH145" s="160" t="b">
        <f>IF(BI145=TRUE,FALSE,IF(AND(V145&lt;&gt;"",V$11=""),TRUE,IF(AND(V145&lt;&gt;"",V$11&lt;&gt;"",$R145&lt;&gt;$AP145),TRUE,IF(OR(V145&lt;0,V145&gt;$R145),TRUE,FALSE))))</f>
        <v>0</v>
      </c>
      <c r="BI145" s="144" t="b">
        <f>IF(AND($C145&lt;&gt;"",V$11&lt;&gt;"",$V145=""),TRUE,FALSE)</f>
        <v>0</v>
      </c>
      <c r="BJ145" s="160" t="b">
        <f>IF(BK145=TRUE,FALSE,IF(AND(X145&lt;&gt;"",X$11=""),TRUE,IF(AND(X145&lt;&gt;"",X$11&lt;&gt;"",$R145&lt;&gt;$AP145),TRUE,IF(OR(X145&lt;0,X145&gt;$R145),TRUE,FALSE))))</f>
        <v>0</v>
      </c>
      <c r="BK145" s="144" t="b">
        <f>IF(AND($C145&lt;&gt;"",X$11&lt;&gt;"",$X145=""),TRUE,FALSE)</f>
        <v>0</v>
      </c>
      <c r="BL145" s="160" t="b">
        <f>IF(BM145=TRUE,FALSE,IF(AND(Z145&lt;&gt;"",Z$11=""),TRUE,IF(AND(Z145&lt;&gt;"",Z$11&lt;&gt;"",$R145&lt;&gt;$AP145),TRUE,IF(OR(Z145&lt;0,Z145&gt;$R145),TRUE,FALSE))))</f>
        <v>0</v>
      </c>
      <c r="BM145" s="144" t="b">
        <f>IF(AND($C145&lt;&gt;"",Z$11&lt;&gt;"",$Z145=""),TRUE,FALSE)</f>
        <v>0</v>
      </c>
      <c r="BN145" s="160" t="b">
        <f>IF(BO145=TRUE,FALSE,IF(AND(AB145&lt;&gt;"",AB$11=""),TRUE,IF(AND(AB145&lt;&gt;"",AB$11&lt;&gt;"",$R145&lt;&gt;$AP145),TRUE,IF(OR(AB145&lt;0,AB145&gt;$R145),TRUE,FALSE))))</f>
        <v>0</v>
      </c>
      <c r="BO145" s="144" t="b">
        <f>IF(AND($C145&lt;&gt;"",AB$11&lt;&gt;"",$AB145=""),TRUE,FALSE)</f>
        <v>0</v>
      </c>
      <c r="BP145" s="160" t="b">
        <f>IF(BQ145=TRUE,FALSE,IF(AND(AD145&lt;&gt;"",AD$11=""),TRUE,IF(AND(AD145&lt;&gt;"",AD$11&lt;&gt;"",$R145&lt;&gt;$AP145),TRUE,IF(OR(AD145&lt;0,AD145&gt;$R145),TRUE,FALSE))))</f>
        <v>0</v>
      </c>
      <c r="BQ145" s="144" t="b">
        <f>IF(AND($C145&lt;&gt;"",AD$11&lt;&gt;"",$AD145=""),TRUE,FALSE)</f>
        <v>0</v>
      </c>
      <c r="BR145" s="160" t="b">
        <f>IF(BS145=TRUE,FALSE,IF(AND(AF145&lt;&gt;"",AF$11=""),TRUE,IF(AND(AF145&lt;&gt;"",AF$11&lt;&gt;"",$R145&lt;&gt;$AP145),TRUE,IF(OR(AF145&lt;0,AF145&gt;$R145),TRUE,FALSE))))</f>
        <v>0</v>
      </c>
      <c r="BS145" s="144" t="b">
        <f>IF(AND($C145&lt;&gt;"",AF$11&lt;&gt;"",$AF145=""),TRUE,FALSE)</f>
        <v>0</v>
      </c>
      <c r="BT145" s="160" t="b">
        <f>IF(BU145=TRUE,FALSE,IF(AND(AH145&lt;&gt;"",AH$11=""),TRUE,IF(AND(AH145&lt;&gt;"",AH$11&lt;&gt;"",$R145&lt;&gt;$AP145),TRUE,IF(OR(AH145&lt;0,AH145&gt;$R145),TRUE,FALSE))))</f>
        <v>0</v>
      </c>
      <c r="BU145" s="144" t="b">
        <f>IF(AND($C145&lt;&gt;"",AH$11&lt;&gt;"",$AH145=""),TRUE,FALSE)</f>
        <v>0</v>
      </c>
      <c r="BV145" s="160" t="b">
        <f>IF(BW145=TRUE,FALSE,IF(AND(AJ145&lt;&gt;"",AJ$11=""),TRUE,IF(AND(AJ145&lt;&gt;"",AJ$11&lt;&gt;"",$R145&lt;&gt;$AP145),TRUE,IF(OR(AJ145&lt;0,AJ145&gt;$R145),TRUE,FALSE))))</f>
        <v>0</v>
      </c>
      <c r="BW145" s="144" t="b">
        <f>IF(AND($C145&lt;&gt;"",AJ$11&lt;&gt;"",$AJ145=""),TRUE,FALSE)</f>
        <v>0</v>
      </c>
      <c r="BX145" s="160" t="b">
        <f>IF(BY145=TRUE,FALSE,IF(AND(AL145&lt;&gt;"",AL$11=""),TRUE,IF(AND(AL145&lt;&gt;"",AL$11&lt;&gt;"",$R145&lt;&gt;$AP145),TRUE,IF(OR(AL145&lt;0,AL145&gt;$R145),TRUE,FALSE))))</f>
        <v>0</v>
      </c>
      <c r="BY145" s="144" t="b">
        <f>IF(AND($C145&lt;&gt;"",AL$11&lt;&gt;"",$AL145=""),TRUE,FALSE)</f>
        <v>0</v>
      </c>
      <c r="BZ145" s="160" t="b">
        <f>IF(CA145=TRUE,FALSE,IF(AND(AN145&lt;&gt;"",AN$11=""),TRUE,IF(AND(AN145&lt;&gt;"",AN$11&lt;&gt;"",$R145&lt;&gt;$AP145),TRUE,IF(OR(AN145&lt;0,AN145&gt;$R145),TRUE,FALSE))))</f>
        <v>0</v>
      </c>
      <c r="CA145" s="144" t="b">
        <f>IF(AND($C145&lt;&gt;"",AN$11&lt;&gt;"",$AN145=""),TRUE,FALSE)</f>
        <v>0</v>
      </c>
      <c r="CB145" s="133"/>
      <c r="CC145" s="133"/>
      <c r="CD145" s="133"/>
      <c r="CE145" s="133"/>
      <c r="CF145" s="133"/>
      <c r="CG145" s="133"/>
      <c r="CH145" s="133"/>
      <c r="CI145" s="133"/>
      <c r="CJ145" s="133"/>
      <c r="CK145" s="133"/>
      <c r="CL145" s="133"/>
      <c r="CM145" s="133"/>
      <c r="CN145" s="133"/>
      <c r="CO145" s="133"/>
      <c r="CP145" s="133"/>
      <c r="CQ145" s="133"/>
      <c r="CR145" s="133"/>
      <c r="CS145" s="133"/>
      <c r="CT145" s="133"/>
      <c r="CU145" s="133"/>
      <c r="CV145" s="133"/>
      <c r="CW145" s="134"/>
    </row>
    <row r="146" spans="1:101" ht="6.75" customHeight="1" thickBot="1" x14ac:dyDescent="0.25">
      <c r="A146" s="228"/>
      <c r="B146" s="228"/>
      <c r="C146" s="232"/>
      <c r="D146" s="267"/>
      <c r="I146" s="267"/>
      <c r="K146" s="228"/>
      <c r="M146" s="267"/>
      <c r="O146" s="267"/>
      <c r="Q146" s="267"/>
      <c r="S146" s="267"/>
      <c r="U146" s="267"/>
      <c r="V146" s="283"/>
      <c r="W146" s="267"/>
      <c r="X146" s="283"/>
      <c r="Y146" s="267"/>
      <c r="Z146" s="283"/>
      <c r="AA146" s="267"/>
      <c r="AB146" s="283"/>
      <c r="AC146" s="267"/>
      <c r="AD146" s="283"/>
      <c r="AE146" s="267"/>
      <c r="AF146" s="283"/>
      <c r="AG146" s="267"/>
      <c r="AH146" s="283"/>
      <c r="AI146" s="267"/>
      <c r="AJ146" s="283"/>
      <c r="AK146" s="267"/>
      <c r="AL146" s="283"/>
      <c r="AM146" s="267"/>
      <c r="AN146" s="283"/>
      <c r="AO146" s="267"/>
      <c r="AP146" s="267"/>
      <c r="AQ146" s="267"/>
      <c r="AR146" s="235" t="str">
        <f>IF(CJ146&gt;=1,"Bad Data","")</f>
        <v/>
      </c>
      <c r="AY146" s="145"/>
      <c r="AZ146" s="146"/>
      <c r="BA146" s="146"/>
      <c r="BB146" s="146"/>
      <c r="BC146" s="146"/>
      <c r="BD146" s="145"/>
      <c r="BE146" s="146"/>
      <c r="BF146" s="146"/>
      <c r="BG146" s="146"/>
      <c r="BH146" s="145"/>
      <c r="BI146" s="146"/>
      <c r="BJ146" s="145"/>
      <c r="BK146" s="146"/>
      <c r="BL146" s="145"/>
      <c r="BM146" s="146"/>
      <c r="BN146" s="145"/>
      <c r="BO146" s="146"/>
      <c r="BP146" s="145"/>
      <c r="BQ146" s="146"/>
      <c r="BR146" s="145"/>
      <c r="BS146" s="146"/>
      <c r="BT146" s="145"/>
      <c r="BU146" s="146"/>
      <c r="BV146" s="145"/>
      <c r="BW146" s="146"/>
      <c r="BX146" s="145"/>
      <c r="BY146" s="146"/>
      <c r="BZ146" s="145"/>
      <c r="CA146" s="146"/>
    </row>
    <row r="147" spans="1:101" s="101" customFormat="1" ht="12.75" customHeight="1" x14ac:dyDescent="0.2">
      <c r="A147" s="227">
        <f>A145+1</f>
        <v>66</v>
      </c>
      <c r="B147" s="227"/>
      <c r="C147" s="231"/>
      <c r="D147" s="251" t="str">
        <f>IF((C147=""),"Enter Segment "&amp;TEXT(A147,0)&amp;" Name, then Enter Data in Columns "&amp;TEXT($H$2,0)&amp;" - "&amp;TEXT($AN$2,0)&amp;"       ","")</f>
        <v xml:space="preserve">Enter Segment 66 Name, then Enter Data in Columns h - an       </v>
      </c>
      <c r="E147" s="131" t="str">
        <f>IF($AW147="B","N/A",IF(AX147="N","No",IF(AX147="Y","Yes","")))</f>
        <v>N/A</v>
      </c>
      <c r="F147" s="130"/>
      <c r="G147" s="130"/>
      <c r="H147" s="285"/>
      <c r="I147" s="251" t="str">
        <f>IF($C147&lt;&gt;"","Enter Starting Point       ","")</f>
        <v/>
      </c>
      <c r="J147" s="285"/>
      <c r="K147" s="227"/>
      <c r="L147" s="88"/>
      <c r="M147" s="251" t="str">
        <f>IF($C147&lt;&gt;"","Select from Pull-Down List  ","")</f>
        <v/>
      </c>
      <c r="N147" s="88"/>
      <c r="O147" s="251" t="str">
        <f>IF($C147&lt;&gt;"","Select from Pull-Down List  ","")</f>
        <v/>
      </c>
      <c r="P147" s="131"/>
      <c r="Q147" s="251" t="str">
        <f>IF($C147&lt;&gt;"","Dir. Route-Mi?    ","")</f>
        <v/>
      </c>
      <c r="R147" s="131"/>
      <c r="S147" s="251" t="str">
        <f>IF($C147&lt;&gt;"","Trk-Mi?      ","")</f>
        <v/>
      </c>
      <c r="T147" s="131"/>
      <c r="U147" s="251" t="str">
        <f>IF($C147&lt;&gt;"","Trk-Mi?      ","")</f>
        <v/>
      </c>
      <c r="V147" s="284"/>
      <c r="W147" s="278" t="str">
        <f>IF(OR($R147="",V$11=""),"","0 - "&amp;TEXT($R147-$AP147,"0.0")&amp;" Trk-Mi?    ")</f>
        <v/>
      </c>
      <c r="X147" s="284"/>
      <c r="Y147" s="278" t="str">
        <f>IF(OR($R147="",X$11=""),"","0 - "&amp;TEXT($R147-$AP147,"0.0")&amp;" Trk-Mi?    ")</f>
        <v/>
      </c>
      <c r="Z147" s="284"/>
      <c r="AA147" s="278" t="str">
        <f>IF(OR($R147="",Z$11=""),"","0 - "&amp;TEXT($R147-$AP147,"0.0")&amp;" Trk-Mi?    ")</f>
        <v/>
      </c>
      <c r="AB147" s="284"/>
      <c r="AC147" s="278" t="str">
        <f>IF(OR($R147="",AB$11=""),"","0 - "&amp;TEXT($R147-$AP147,"0.0")&amp;" Trk-Mi?    ")</f>
        <v/>
      </c>
      <c r="AD147" s="284"/>
      <c r="AE147" s="278" t="str">
        <f>IF(OR($R147="",AD$11=""),"","0 - "&amp;TEXT($R147-$AP147,"0.0")&amp;" Trk-Mi?    ")</f>
        <v/>
      </c>
      <c r="AF147" s="284"/>
      <c r="AG147" s="278" t="str">
        <f>IF(OR($R147="",AF$11=""),"","0 - "&amp;TEXT($R147-$AP147,"0.0")&amp;" Trk-Mi?    ")</f>
        <v/>
      </c>
      <c r="AH147" s="284"/>
      <c r="AI147" s="278" t="str">
        <f>IF(OR($R147="",AH$11=""),"","0 - "&amp;TEXT($R147-$AP147,"0.0")&amp;" Trk-Mi?    ")</f>
        <v/>
      </c>
      <c r="AJ147" s="284"/>
      <c r="AK147" s="278" t="str">
        <f>IF(OR($R147="",AJ$11=""),"","0 - "&amp;TEXT($R147-$AP147,"0.0")&amp;" Trk-Mi?    ")</f>
        <v/>
      </c>
      <c r="AL147" s="284"/>
      <c r="AM147" s="278" t="str">
        <f>IF(OR($R147="",AL$11=""),"","0 - "&amp;TEXT($R147-$AP147,"0.0")&amp;" Trk-Mi?    ")</f>
        <v/>
      </c>
      <c r="AN147" s="284"/>
      <c r="AO147" s="278" t="str">
        <f>IF(OR($R147="",AN$11=""),"","0 - "&amp;TEXT($R147-$AP147,"0.0")&amp;" Trk-Mi?    ")</f>
        <v/>
      </c>
      <c r="AP147" s="282">
        <f>SUM(V147,X147,Z147,AB147,AD147,AF147,AH147,AJ147,AL147,AN147)</f>
        <v>0</v>
      </c>
      <c r="AQ147" s="278"/>
      <c r="AR147" s="234"/>
      <c r="AS147" s="107"/>
      <c r="AT147" s="107"/>
      <c r="AU147" s="107"/>
      <c r="AW147" s="107" t="str">
        <f>IF(AND($C147="",$H147="",$J147="",$L147="",$N147="",$P147="",$R147=""),"B","NB")</f>
        <v>B</v>
      </c>
      <c r="AX147" s="241" t="str">
        <f>IF(OR($C147="",$H147="",$J147="",$L147="",$N147="",$R147="",$P147="",AND($V$11&lt;&gt;"",$V147=""),AND($X$11&lt;&gt;"",$X147=""),AND($Z$11&lt;&gt;"",$Z147=""),AND($AB$11&lt;&gt;"",$AB147=""),AND($AD$11&lt;&gt;"",$AD147=""),AND($AF$11&lt;&gt;"",$AF147=""),AND($AH$11&lt;&gt;"",$AH147=""),AND($AJ$11&lt;&gt;"",$AJ147=""),AND($AL$11&lt;&gt;"",$AL147=""),AND($AN$11&lt;&gt;"",$AN147="")),"N","Y")</f>
        <v>N</v>
      </c>
      <c r="AY147" s="142" t="b">
        <f>IF(AND($C147="",OR($H147&lt;&gt;"",$J147&lt;&gt;"",$L147&lt;&gt;"",$N147&lt;&gt;"",$R147&lt;&gt;"",$P147&lt;&gt;"",AND($V$11&lt;&gt;"",$V147&lt;&gt;""),AND($X$11&lt;&gt;"",$X147&lt;&gt;""),AND($Z$11&lt;&gt;"",$Z147&lt;&gt;""),AND($AB$11&lt;&gt;"",$AB147&lt;&gt;""),AND($AD$11&lt;&gt;"",$AD147&lt;&gt;""),AND($AF$11&lt;&gt;"",$AF147&lt;&gt;""),AND($AH$11&lt;&gt;"",$AH147&lt;&gt;""),AND($AJ$11&lt;&gt;"",$AJ147&lt;&gt;""),AND($AL$11&lt;&gt;"",$AL147&lt;&gt;""),AND($AN$11&lt;&gt;"",$AN147&lt;&gt;""))),TRUE,FALSE)</f>
        <v>0</v>
      </c>
      <c r="AZ147" s="144" t="b">
        <f>IF(AND($C147&lt;&gt;"",$H147=""),TRUE,FALSE)</f>
        <v>0</v>
      </c>
      <c r="BA147" s="144" t="b">
        <f>IF(AND($C147&lt;&gt;"",$J147=""),TRUE,FALSE)</f>
        <v>0</v>
      </c>
      <c r="BB147" s="144" t="b">
        <f>IF(AND($C147&lt;&gt;"",$L147=""),TRUE,FALSE)</f>
        <v>0</v>
      </c>
      <c r="BC147" s="144" t="b">
        <f>IF(AND($C147&lt;&gt;"",$N147=""),TRUE,FALSE)</f>
        <v>0</v>
      </c>
      <c r="BD147" s="142" t="b">
        <f>IF($BE147=TRUE,FALSE,IF(OR($P147&lt;$BD$5,$P147&gt;$BE$5),TRUE,FALSE))</f>
        <v>0</v>
      </c>
      <c r="BE147" s="144" t="b">
        <f>IF(AND($C147&lt;&gt;"",$P147=""),TRUE,FALSE)</f>
        <v>0</v>
      </c>
      <c r="BF147" s="144" t="b">
        <f>IF($BG147=TRUE,FALSE,IF(OR($R147&lt;$BF$5,$R147&gt;$BG$5),TRUE,FALSE))</f>
        <v>0</v>
      </c>
      <c r="BG147" s="144" t="b">
        <f>IF(AND($C147&lt;&gt;"",$R147=""),TRUE,FALSE)</f>
        <v>0</v>
      </c>
      <c r="BH147" s="160" t="b">
        <f>IF(BI147=TRUE,FALSE,IF(AND(V147&lt;&gt;"",V$11=""),TRUE,IF(AND(V147&lt;&gt;"",V$11&lt;&gt;"",$R147&lt;&gt;$AP147),TRUE,IF(OR(V147&lt;0,V147&gt;$R147),TRUE,FALSE))))</f>
        <v>0</v>
      </c>
      <c r="BI147" s="144" t="b">
        <f>IF(AND($C147&lt;&gt;"",V$11&lt;&gt;"",$V147=""),TRUE,FALSE)</f>
        <v>0</v>
      </c>
      <c r="BJ147" s="160" t="b">
        <f>IF(BK147=TRUE,FALSE,IF(AND(X147&lt;&gt;"",X$11=""),TRUE,IF(AND(X147&lt;&gt;"",X$11&lt;&gt;"",$R147&lt;&gt;$AP147),TRUE,IF(OR(X147&lt;0,X147&gt;$R147),TRUE,FALSE))))</f>
        <v>0</v>
      </c>
      <c r="BK147" s="144" t="b">
        <f>IF(AND($C147&lt;&gt;"",X$11&lt;&gt;"",$X147=""),TRUE,FALSE)</f>
        <v>0</v>
      </c>
      <c r="BL147" s="160" t="b">
        <f>IF(BM147=TRUE,FALSE,IF(AND(Z147&lt;&gt;"",Z$11=""),TRUE,IF(AND(Z147&lt;&gt;"",Z$11&lt;&gt;"",$R147&lt;&gt;$AP147),TRUE,IF(OR(Z147&lt;0,Z147&gt;$R147),TRUE,FALSE))))</f>
        <v>0</v>
      </c>
      <c r="BM147" s="144" t="b">
        <f>IF(AND($C147&lt;&gt;"",Z$11&lt;&gt;"",$Z147=""),TRUE,FALSE)</f>
        <v>0</v>
      </c>
      <c r="BN147" s="160" t="b">
        <f>IF(BO147=TRUE,FALSE,IF(AND(AB147&lt;&gt;"",AB$11=""),TRUE,IF(AND(AB147&lt;&gt;"",AB$11&lt;&gt;"",$R147&lt;&gt;$AP147),TRUE,IF(OR(AB147&lt;0,AB147&gt;$R147),TRUE,FALSE))))</f>
        <v>0</v>
      </c>
      <c r="BO147" s="144" t="b">
        <f>IF(AND($C147&lt;&gt;"",AB$11&lt;&gt;"",$AB147=""),TRUE,FALSE)</f>
        <v>0</v>
      </c>
      <c r="BP147" s="160" t="b">
        <f>IF(BQ147=TRUE,FALSE,IF(AND(AD147&lt;&gt;"",AD$11=""),TRUE,IF(AND(AD147&lt;&gt;"",AD$11&lt;&gt;"",$R147&lt;&gt;$AP147),TRUE,IF(OR(AD147&lt;0,AD147&gt;$R147),TRUE,FALSE))))</f>
        <v>0</v>
      </c>
      <c r="BQ147" s="144" t="b">
        <f>IF(AND($C147&lt;&gt;"",AD$11&lt;&gt;"",$AD147=""),TRUE,FALSE)</f>
        <v>0</v>
      </c>
      <c r="BR147" s="160" t="b">
        <f>IF(BS147=TRUE,FALSE,IF(AND(AF147&lt;&gt;"",AF$11=""),TRUE,IF(AND(AF147&lt;&gt;"",AF$11&lt;&gt;"",$R147&lt;&gt;$AP147),TRUE,IF(OR(AF147&lt;0,AF147&gt;$R147),TRUE,FALSE))))</f>
        <v>0</v>
      </c>
      <c r="BS147" s="144" t="b">
        <f>IF(AND($C147&lt;&gt;"",AF$11&lt;&gt;"",$AF147=""),TRUE,FALSE)</f>
        <v>0</v>
      </c>
      <c r="BT147" s="160" t="b">
        <f>IF(BU147=TRUE,FALSE,IF(AND(AH147&lt;&gt;"",AH$11=""),TRUE,IF(AND(AH147&lt;&gt;"",AH$11&lt;&gt;"",$R147&lt;&gt;$AP147),TRUE,IF(OR(AH147&lt;0,AH147&gt;$R147),TRUE,FALSE))))</f>
        <v>0</v>
      </c>
      <c r="BU147" s="144" t="b">
        <f>IF(AND($C147&lt;&gt;"",AH$11&lt;&gt;"",$AH147=""),TRUE,FALSE)</f>
        <v>0</v>
      </c>
      <c r="BV147" s="160" t="b">
        <f>IF(BW147=TRUE,FALSE,IF(AND(AJ147&lt;&gt;"",AJ$11=""),TRUE,IF(AND(AJ147&lt;&gt;"",AJ$11&lt;&gt;"",$R147&lt;&gt;$AP147),TRUE,IF(OR(AJ147&lt;0,AJ147&gt;$R147),TRUE,FALSE))))</f>
        <v>0</v>
      </c>
      <c r="BW147" s="144" t="b">
        <f>IF(AND($C147&lt;&gt;"",AJ$11&lt;&gt;"",$AJ147=""),TRUE,FALSE)</f>
        <v>0</v>
      </c>
      <c r="BX147" s="160" t="b">
        <f>IF(BY147=TRUE,FALSE,IF(AND(AL147&lt;&gt;"",AL$11=""),TRUE,IF(AND(AL147&lt;&gt;"",AL$11&lt;&gt;"",$R147&lt;&gt;$AP147),TRUE,IF(OR(AL147&lt;0,AL147&gt;$R147),TRUE,FALSE))))</f>
        <v>0</v>
      </c>
      <c r="BY147" s="144" t="b">
        <f>IF(AND($C147&lt;&gt;"",AL$11&lt;&gt;"",$AL147=""),TRUE,FALSE)</f>
        <v>0</v>
      </c>
      <c r="BZ147" s="160" t="b">
        <f>IF(CA147=TRUE,FALSE,IF(AND(AN147&lt;&gt;"",AN$11=""),TRUE,IF(AND(AN147&lt;&gt;"",AN$11&lt;&gt;"",$R147&lt;&gt;$AP147),TRUE,IF(OR(AN147&lt;0,AN147&gt;$R147),TRUE,FALSE))))</f>
        <v>0</v>
      </c>
      <c r="CA147" s="144" t="b">
        <f>IF(AND($C147&lt;&gt;"",AN$11&lt;&gt;"",$AN147=""),TRUE,FALSE)</f>
        <v>0</v>
      </c>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4"/>
    </row>
    <row r="148" spans="1:101" ht="6.75" customHeight="1" thickBot="1" x14ac:dyDescent="0.25">
      <c r="A148" s="228"/>
      <c r="B148" s="228"/>
      <c r="C148" s="232"/>
      <c r="D148" s="267"/>
      <c r="I148" s="267"/>
      <c r="K148" s="228"/>
      <c r="M148" s="267"/>
      <c r="O148" s="267"/>
      <c r="Q148" s="267"/>
      <c r="S148" s="267"/>
      <c r="U148" s="267"/>
      <c r="V148" s="283"/>
      <c r="W148" s="267"/>
      <c r="X148" s="283"/>
      <c r="Y148" s="267"/>
      <c r="Z148" s="283"/>
      <c r="AA148" s="267"/>
      <c r="AB148" s="283"/>
      <c r="AC148" s="267"/>
      <c r="AD148" s="283"/>
      <c r="AE148" s="267"/>
      <c r="AF148" s="283"/>
      <c r="AG148" s="267"/>
      <c r="AH148" s="283"/>
      <c r="AI148" s="267"/>
      <c r="AJ148" s="283"/>
      <c r="AK148" s="267"/>
      <c r="AL148" s="283"/>
      <c r="AM148" s="267"/>
      <c r="AN148" s="283"/>
      <c r="AO148" s="267"/>
      <c r="AP148" s="267"/>
      <c r="AQ148" s="267"/>
      <c r="AR148" s="236"/>
      <c r="AY148" s="145"/>
      <c r="AZ148" s="146"/>
      <c r="BA148" s="146"/>
      <c r="BB148" s="146"/>
      <c r="BC148" s="146"/>
      <c r="BD148" s="145"/>
      <c r="BE148" s="146"/>
      <c r="BF148" s="146"/>
      <c r="BG148" s="146"/>
      <c r="BH148" s="145"/>
      <c r="BI148" s="146"/>
      <c r="BJ148" s="145"/>
      <c r="BK148" s="146"/>
      <c r="BL148" s="145"/>
      <c r="BM148" s="146"/>
      <c r="BN148" s="145"/>
      <c r="BO148" s="146"/>
      <c r="BP148" s="145"/>
      <c r="BQ148" s="146"/>
      <c r="BR148" s="145"/>
      <c r="BS148" s="146"/>
      <c r="BT148" s="145"/>
      <c r="BU148" s="146"/>
      <c r="BV148" s="145"/>
      <c r="BW148" s="146"/>
      <c r="BX148" s="145"/>
      <c r="BY148" s="146"/>
      <c r="BZ148" s="145"/>
      <c r="CA148" s="146"/>
    </row>
    <row r="149" spans="1:101" s="101" customFormat="1" ht="12.75" customHeight="1" x14ac:dyDescent="0.2">
      <c r="A149" s="227">
        <f>A147+1</f>
        <v>67</v>
      </c>
      <c r="B149" s="227"/>
      <c r="C149" s="231"/>
      <c r="D149" s="251" t="str">
        <f>IF((C149=""),"Enter Segment "&amp;TEXT(A149,0)&amp;" Name, then Enter Data in Columns "&amp;TEXT($H$2,0)&amp;" - "&amp;TEXT($AN$2,0)&amp;"       ","")</f>
        <v xml:space="preserve">Enter Segment 67 Name, then Enter Data in Columns h - an       </v>
      </c>
      <c r="E149" s="131" t="str">
        <f>IF($AW149="B","N/A",IF(AX149="N","No",IF(AX149="Y","Yes","")))</f>
        <v>N/A</v>
      </c>
      <c r="F149" s="130"/>
      <c r="G149" s="130"/>
      <c r="H149" s="285"/>
      <c r="I149" s="251" t="str">
        <f>IF($C149&lt;&gt;"","Enter Starting Point       ","")</f>
        <v/>
      </c>
      <c r="J149" s="285"/>
      <c r="K149" s="227"/>
      <c r="L149" s="88"/>
      <c r="M149" s="251" t="str">
        <f>IF($C149&lt;&gt;"","Select from Pull-Down List  ","")</f>
        <v/>
      </c>
      <c r="N149" s="88"/>
      <c r="O149" s="251" t="str">
        <f>IF($C149&lt;&gt;"","Select from Pull-Down List  ","")</f>
        <v/>
      </c>
      <c r="P149" s="131"/>
      <c r="Q149" s="251" t="str">
        <f>IF($C149&lt;&gt;"","Dir. Route-Mi?    ","")</f>
        <v/>
      </c>
      <c r="R149" s="131"/>
      <c r="S149" s="251" t="str">
        <f>IF($C149&lt;&gt;"","Trk-Mi?      ","")</f>
        <v/>
      </c>
      <c r="T149" s="131"/>
      <c r="U149" s="251" t="str">
        <f>IF($C149&lt;&gt;"","Trk-Mi?      ","")</f>
        <v/>
      </c>
      <c r="V149" s="284"/>
      <c r="W149" s="278" t="str">
        <f>IF(OR($R149="",V$11=""),"","0 - "&amp;TEXT($R149-$AP149,"0.0")&amp;" Trk-Mi?    ")</f>
        <v/>
      </c>
      <c r="X149" s="284"/>
      <c r="Y149" s="278" t="str">
        <f>IF(OR($R149="",X$11=""),"","0 - "&amp;TEXT($R149-$AP149,"0.0")&amp;" Trk-Mi?    ")</f>
        <v/>
      </c>
      <c r="Z149" s="284"/>
      <c r="AA149" s="278" t="str">
        <f>IF(OR($R149="",Z$11=""),"","0 - "&amp;TEXT($R149-$AP149,"0.0")&amp;" Trk-Mi?    ")</f>
        <v/>
      </c>
      <c r="AB149" s="284"/>
      <c r="AC149" s="278" t="str">
        <f>IF(OR($R149="",AB$11=""),"","0 - "&amp;TEXT($R149-$AP149,"0.0")&amp;" Trk-Mi?    ")</f>
        <v/>
      </c>
      <c r="AD149" s="284"/>
      <c r="AE149" s="278" t="str">
        <f>IF(OR($R149="",AD$11=""),"","0 - "&amp;TEXT($R149-$AP149,"0.0")&amp;" Trk-Mi?    ")</f>
        <v/>
      </c>
      <c r="AF149" s="284"/>
      <c r="AG149" s="278" t="str">
        <f>IF(OR($R149="",AF$11=""),"","0 - "&amp;TEXT($R149-$AP149,"0.0")&amp;" Trk-Mi?    ")</f>
        <v/>
      </c>
      <c r="AH149" s="284"/>
      <c r="AI149" s="278" t="str">
        <f>IF(OR($R149="",AH$11=""),"","0 - "&amp;TEXT($R149-$AP149,"0.0")&amp;" Trk-Mi?    ")</f>
        <v/>
      </c>
      <c r="AJ149" s="284"/>
      <c r="AK149" s="278" t="str">
        <f>IF(OR($R149="",AJ$11=""),"","0 - "&amp;TEXT($R149-$AP149,"0.0")&amp;" Trk-Mi?    ")</f>
        <v/>
      </c>
      <c r="AL149" s="284"/>
      <c r="AM149" s="278" t="str">
        <f>IF(OR($R149="",AL$11=""),"","0 - "&amp;TEXT($R149-$AP149,"0.0")&amp;" Trk-Mi?    ")</f>
        <v/>
      </c>
      <c r="AN149" s="284"/>
      <c r="AO149" s="278" t="str">
        <f>IF(OR($R149="",AN$11=""),"","0 - "&amp;TEXT($R149-$AP149,"0.0")&amp;" Trk-Mi?    ")</f>
        <v/>
      </c>
      <c r="AP149" s="282">
        <f>SUM(V149,X149,Z149,AB149,AD149,AF149,AH149,AJ149,AL149,AN149)</f>
        <v>0</v>
      </c>
      <c r="AQ149" s="278"/>
      <c r="AR149" s="234"/>
      <c r="AS149" s="107"/>
      <c r="AT149" s="107"/>
      <c r="AU149" s="107"/>
      <c r="AW149" s="107" t="str">
        <f>IF(AND($C149="",$H149="",$J149="",$L149="",$N149="",$P149="",$R149=""),"B","NB")</f>
        <v>B</v>
      </c>
      <c r="AX149" s="241" t="str">
        <f>IF(OR($C149="",$H149="",$J149="",$L149="",$N149="",$R149="",$P149="",AND($V$11&lt;&gt;"",$V149=""),AND($X$11&lt;&gt;"",$X149=""),AND($Z$11&lt;&gt;"",$Z149=""),AND($AB$11&lt;&gt;"",$AB149=""),AND($AD$11&lt;&gt;"",$AD149=""),AND($AF$11&lt;&gt;"",$AF149=""),AND($AH$11&lt;&gt;"",$AH149=""),AND($AJ$11&lt;&gt;"",$AJ149=""),AND($AL$11&lt;&gt;"",$AL149=""),AND($AN$11&lt;&gt;"",$AN149="")),"N","Y")</f>
        <v>N</v>
      </c>
      <c r="AY149" s="142" t="b">
        <f>IF(AND($C149="",OR($H149&lt;&gt;"",$J149&lt;&gt;"",$L149&lt;&gt;"",$N149&lt;&gt;"",$R149&lt;&gt;"",$P149&lt;&gt;"",AND($V$11&lt;&gt;"",$V149&lt;&gt;""),AND($X$11&lt;&gt;"",$X149&lt;&gt;""),AND($Z$11&lt;&gt;"",$Z149&lt;&gt;""),AND($AB$11&lt;&gt;"",$AB149&lt;&gt;""),AND($AD$11&lt;&gt;"",$AD149&lt;&gt;""),AND($AF$11&lt;&gt;"",$AF149&lt;&gt;""),AND($AH$11&lt;&gt;"",$AH149&lt;&gt;""),AND($AJ$11&lt;&gt;"",$AJ149&lt;&gt;""),AND($AL$11&lt;&gt;"",$AL149&lt;&gt;""),AND($AN$11&lt;&gt;"",$AN149&lt;&gt;""))),TRUE,FALSE)</f>
        <v>0</v>
      </c>
      <c r="AZ149" s="144" t="b">
        <f>IF(AND($C149&lt;&gt;"",$H149=""),TRUE,FALSE)</f>
        <v>0</v>
      </c>
      <c r="BA149" s="144" t="b">
        <f>IF(AND($C149&lt;&gt;"",$J149=""),TRUE,FALSE)</f>
        <v>0</v>
      </c>
      <c r="BB149" s="144" t="b">
        <f>IF(AND($C149&lt;&gt;"",$L149=""),TRUE,FALSE)</f>
        <v>0</v>
      </c>
      <c r="BC149" s="144" t="b">
        <f>IF(AND($C149&lt;&gt;"",$N149=""),TRUE,FALSE)</f>
        <v>0</v>
      </c>
      <c r="BD149" s="144" t="b">
        <f>IF($BE149=TRUE,FALSE,IF(OR($P149&lt;$BD$5,$P149&gt;$BE$5),TRUE,FALSE))</f>
        <v>0</v>
      </c>
      <c r="BE149" s="144" t="b">
        <f>IF(AND($C149&lt;&gt;"",$P149=""),TRUE,FALSE)</f>
        <v>0</v>
      </c>
      <c r="BF149" s="144" t="b">
        <f>IF($BG149=TRUE,FALSE,IF(OR($R149&lt;$BF$5,$R149&gt;$BG$5),TRUE,FALSE))</f>
        <v>0</v>
      </c>
      <c r="BG149" s="142" t="b">
        <f>IF(AND($C149&lt;&gt;"",$R149=""),TRUE,FALSE)</f>
        <v>0</v>
      </c>
      <c r="BH149" s="160" t="b">
        <f>IF(BI149=TRUE,FALSE,IF(AND(V149&lt;&gt;"",V$11=""),TRUE,IF(AND(V149&lt;&gt;"",V$11&lt;&gt;"",$R149&lt;&gt;$AP149),TRUE,IF(OR(V149&lt;0,V149&gt;$R149),TRUE,FALSE))))</f>
        <v>0</v>
      </c>
      <c r="BI149" s="144" t="b">
        <f>IF(AND($C149&lt;&gt;"",V$11&lt;&gt;"",$V149=""),TRUE,FALSE)</f>
        <v>0</v>
      </c>
      <c r="BJ149" s="160" t="b">
        <f>IF(BK149=TRUE,FALSE,IF(AND(X149&lt;&gt;"",X$11=""),TRUE,IF(AND(X149&lt;&gt;"",X$11&lt;&gt;"",$R149&lt;&gt;$AP149),TRUE,IF(OR(X149&lt;0,X149&gt;$R149),TRUE,FALSE))))</f>
        <v>0</v>
      </c>
      <c r="BK149" s="144" t="b">
        <f>IF(AND($C149&lt;&gt;"",X$11&lt;&gt;"",$X149=""),TRUE,FALSE)</f>
        <v>0</v>
      </c>
      <c r="BL149" s="160" t="b">
        <f>IF(BM149=TRUE,FALSE,IF(AND(Z149&lt;&gt;"",Z$11=""),TRUE,IF(AND(Z149&lt;&gt;"",Z$11&lt;&gt;"",$R149&lt;&gt;$AP149),TRUE,IF(OR(Z149&lt;0,Z149&gt;$R149),TRUE,FALSE))))</f>
        <v>0</v>
      </c>
      <c r="BM149" s="144" t="b">
        <f>IF(AND($C149&lt;&gt;"",Z$11&lt;&gt;"",$Z149=""),TRUE,FALSE)</f>
        <v>0</v>
      </c>
      <c r="BN149" s="160" t="b">
        <f>IF(BO149=TRUE,FALSE,IF(AND(AB149&lt;&gt;"",AB$11=""),TRUE,IF(AND(AB149&lt;&gt;"",AB$11&lt;&gt;"",$R149&lt;&gt;$AP149),TRUE,IF(OR(AB149&lt;0,AB149&gt;$R149),TRUE,FALSE))))</f>
        <v>0</v>
      </c>
      <c r="BO149" s="144" t="b">
        <f>IF(AND($C149&lt;&gt;"",AB$11&lt;&gt;"",$AB149=""),TRUE,FALSE)</f>
        <v>0</v>
      </c>
      <c r="BP149" s="160" t="b">
        <f>IF(BQ149=TRUE,FALSE,IF(AND(AD149&lt;&gt;"",AD$11=""),TRUE,IF(AND(AD149&lt;&gt;"",AD$11&lt;&gt;"",$R149&lt;&gt;$AP149),TRUE,IF(OR(AD149&lt;0,AD149&gt;$R149),TRUE,FALSE))))</f>
        <v>0</v>
      </c>
      <c r="BQ149" s="144" t="b">
        <f>IF(AND($C149&lt;&gt;"",AD$11&lt;&gt;"",$AD149=""),TRUE,FALSE)</f>
        <v>0</v>
      </c>
      <c r="BR149" s="160" t="b">
        <f>IF(BS149=TRUE,FALSE,IF(AND(AF149&lt;&gt;"",AF$11=""),TRUE,IF(AND(AF149&lt;&gt;"",AF$11&lt;&gt;"",$R149&lt;&gt;$AP149),TRUE,IF(OR(AF149&lt;0,AF149&gt;$R149),TRUE,FALSE))))</f>
        <v>0</v>
      </c>
      <c r="BS149" s="144" t="b">
        <f>IF(AND($C149&lt;&gt;"",AF$11&lt;&gt;"",$AF149=""),TRUE,FALSE)</f>
        <v>0</v>
      </c>
      <c r="BT149" s="160" t="b">
        <f>IF(BU149=TRUE,FALSE,IF(AND(AH149&lt;&gt;"",AH$11=""),TRUE,IF(AND(AH149&lt;&gt;"",AH$11&lt;&gt;"",$R149&lt;&gt;$AP149),TRUE,IF(OR(AH149&lt;0,AH149&gt;$R149),TRUE,FALSE))))</f>
        <v>0</v>
      </c>
      <c r="BU149" s="144" t="b">
        <f>IF(AND($C149&lt;&gt;"",AH$11&lt;&gt;"",$AH149=""),TRUE,FALSE)</f>
        <v>0</v>
      </c>
      <c r="BV149" s="160" t="b">
        <f>IF(BW149=TRUE,FALSE,IF(AND(AJ149&lt;&gt;"",AJ$11=""),TRUE,IF(AND(AJ149&lt;&gt;"",AJ$11&lt;&gt;"",$R149&lt;&gt;$AP149),TRUE,IF(OR(AJ149&lt;0,AJ149&gt;$R149),TRUE,FALSE))))</f>
        <v>0</v>
      </c>
      <c r="BW149" s="144" t="b">
        <f>IF(AND($C149&lt;&gt;"",AJ$11&lt;&gt;"",$AJ149=""),TRUE,FALSE)</f>
        <v>0</v>
      </c>
      <c r="BX149" s="160" t="b">
        <f>IF(BY149=TRUE,FALSE,IF(AND(AL149&lt;&gt;"",AL$11=""),TRUE,IF(AND(AL149&lt;&gt;"",AL$11&lt;&gt;"",$R149&lt;&gt;$AP149),TRUE,IF(OR(AL149&lt;0,AL149&gt;$R149),TRUE,FALSE))))</f>
        <v>0</v>
      </c>
      <c r="BY149" s="144" t="b">
        <f>IF(AND($C149&lt;&gt;"",AL$11&lt;&gt;"",$AL149=""),TRUE,FALSE)</f>
        <v>0</v>
      </c>
      <c r="BZ149" s="160" t="b">
        <f>IF(CA149=TRUE,FALSE,IF(AND(AN149&lt;&gt;"",AN$11=""),TRUE,IF(AND(AN149&lt;&gt;"",AN$11&lt;&gt;"",$R149&lt;&gt;$AP149),TRUE,IF(OR(AN149&lt;0,AN149&gt;$R149),TRUE,FALSE))))</f>
        <v>0</v>
      </c>
      <c r="CA149" s="144" t="b">
        <f>IF(AND($C149&lt;&gt;"",AN$11&lt;&gt;"",$AN149=""),TRUE,FALSE)</f>
        <v>0</v>
      </c>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4"/>
    </row>
    <row r="150" spans="1:101" ht="6.75" customHeight="1" thickBot="1" x14ac:dyDescent="0.25">
      <c r="A150" s="228"/>
      <c r="B150" s="228"/>
      <c r="C150" s="232"/>
      <c r="D150" s="267"/>
      <c r="I150" s="267"/>
      <c r="K150" s="228"/>
      <c r="M150" s="267"/>
      <c r="O150" s="267"/>
      <c r="Q150" s="267"/>
      <c r="S150" s="267"/>
      <c r="U150" s="267"/>
      <c r="V150" s="283"/>
      <c r="W150" s="267"/>
      <c r="X150" s="283"/>
      <c r="Y150" s="267"/>
      <c r="Z150" s="283"/>
      <c r="AA150" s="267"/>
      <c r="AB150" s="283"/>
      <c r="AC150" s="267"/>
      <c r="AD150" s="283"/>
      <c r="AE150" s="267"/>
      <c r="AF150" s="283"/>
      <c r="AG150" s="267"/>
      <c r="AH150" s="283"/>
      <c r="AI150" s="267"/>
      <c r="AJ150" s="283"/>
      <c r="AK150" s="267"/>
      <c r="AL150" s="283"/>
      <c r="AM150" s="267"/>
      <c r="AN150" s="283"/>
      <c r="AO150" s="267"/>
      <c r="AP150" s="267"/>
      <c r="AQ150" s="267"/>
      <c r="AR150" s="232"/>
      <c r="AY150" s="145"/>
      <c r="AZ150" s="146"/>
      <c r="BA150" s="146"/>
      <c r="BB150" s="146"/>
      <c r="BC150" s="146"/>
      <c r="BD150" s="145"/>
      <c r="BE150" s="146"/>
      <c r="BF150" s="146"/>
      <c r="BG150" s="146"/>
      <c r="BH150" s="145"/>
      <c r="BI150" s="146"/>
      <c r="BJ150" s="145"/>
      <c r="BK150" s="146"/>
      <c r="BL150" s="145"/>
      <c r="BM150" s="146"/>
      <c r="BN150" s="145"/>
      <c r="BO150" s="146"/>
      <c r="BP150" s="145"/>
      <c r="BQ150" s="146"/>
      <c r="BR150" s="145"/>
      <c r="BS150" s="146"/>
      <c r="BT150" s="145"/>
      <c r="BU150" s="146"/>
      <c r="BV150" s="145"/>
      <c r="BW150" s="146"/>
      <c r="BX150" s="145"/>
      <c r="BY150" s="146"/>
      <c r="BZ150" s="145"/>
      <c r="CA150" s="146"/>
    </row>
    <row r="151" spans="1:101" s="101" customFormat="1" ht="12.75" customHeight="1" x14ac:dyDescent="0.2">
      <c r="A151" s="227">
        <f>A149+1</f>
        <v>68</v>
      </c>
      <c r="B151" s="227"/>
      <c r="C151" s="231"/>
      <c r="D151" s="251" t="str">
        <f>IF((C151=""),"Enter Segment "&amp;TEXT(A151,0)&amp;" Name, then Enter Data in Columns "&amp;TEXT($H$2,0)&amp;" - "&amp;TEXT($AN$2,0)&amp;"       ","")</f>
        <v xml:space="preserve">Enter Segment 68 Name, then Enter Data in Columns h - an       </v>
      </c>
      <c r="E151" s="131" t="str">
        <f>IF($AW151="B","N/A",IF(AX151="N","No",IF(AX151="Y","Yes","")))</f>
        <v>N/A</v>
      </c>
      <c r="F151" s="130"/>
      <c r="G151" s="130"/>
      <c r="H151" s="285"/>
      <c r="I151" s="251" t="str">
        <f>IF($C151&lt;&gt;"","Enter Starting Point       ","")</f>
        <v/>
      </c>
      <c r="J151" s="285"/>
      <c r="K151" s="227"/>
      <c r="L151" s="88"/>
      <c r="M151" s="251" t="str">
        <f>IF($C151&lt;&gt;"","Select from Pull-Down List  ","")</f>
        <v/>
      </c>
      <c r="N151" s="88"/>
      <c r="O151" s="251" t="str">
        <f>IF($C151&lt;&gt;"","Select from Pull-Down List  ","")</f>
        <v/>
      </c>
      <c r="P151" s="131"/>
      <c r="Q151" s="251" t="str">
        <f>IF($C151&lt;&gt;"","Dir. Route-Mi?    ","")</f>
        <v/>
      </c>
      <c r="R151" s="131"/>
      <c r="S151" s="251" t="str">
        <f>IF($C151&lt;&gt;"","Trk-Mi?      ","")</f>
        <v/>
      </c>
      <c r="T151" s="131"/>
      <c r="U151" s="251" t="str">
        <f>IF($C151&lt;&gt;"","Trk-Mi?      ","")</f>
        <v/>
      </c>
      <c r="V151" s="284"/>
      <c r="W151" s="278" t="str">
        <f>IF(OR($R151="",V$11=""),"","0 - "&amp;TEXT($R151-$AP151,"0.0")&amp;" Trk-Mi?    ")</f>
        <v/>
      </c>
      <c r="X151" s="284"/>
      <c r="Y151" s="278" t="str">
        <f>IF(OR($R151="",X$11=""),"","0 - "&amp;TEXT($R151-$AP151,"0.0")&amp;" Trk-Mi?    ")</f>
        <v/>
      </c>
      <c r="Z151" s="284"/>
      <c r="AA151" s="278" t="str">
        <f>IF(OR($R151="",Z$11=""),"","0 - "&amp;TEXT($R151-$AP151,"0.0")&amp;" Trk-Mi?    ")</f>
        <v/>
      </c>
      <c r="AB151" s="284"/>
      <c r="AC151" s="278" t="str">
        <f>IF(OR($R151="",AB$11=""),"","0 - "&amp;TEXT($R151-$AP151,"0.0")&amp;" Trk-Mi?    ")</f>
        <v/>
      </c>
      <c r="AD151" s="284"/>
      <c r="AE151" s="278" t="str">
        <f>IF(OR($R151="",AD$11=""),"","0 - "&amp;TEXT($R151-$AP151,"0.0")&amp;" Trk-Mi?    ")</f>
        <v/>
      </c>
      <c r="AF151" s="284"/>
      <c r="AG151" s="278" t="str">
        <f>IF(OR($R151="",AF$11=""),"","0 - "&amp;TEXT($R151-$AP151,"0.0")&amp;" Trk-Mi?    ")</f>
        <v/>
      </c>
      <c r="AH151" s="284"/>
      <c r="AI151" s="278" t="str">
        <f>IF(OR($R151="",AH$11=""),"","0 - "&amp;TEXT($R151-$AP151,"0.0")&amp;" Trk-Mi?    ")</f>
        <v/>
      </c>
      <c r="AJ151" s="284"/>
      <c r="AK151" s="278" t="str">
        <f>IF(OR($R151="",AJ$11=""),"","0 - "&amp;TEXT($R151-$AP151,"0.0")&amp;" Trk-Mi?    ")</f>
        <v/>
      </c>
      <c r="AL151" s="284"/>
      <c r="AM151" s="278" t="str">
        <f>IF(OR($R151="",AL$11=""),"","0 - "&amp;TEXT($R151-$AP151,"0.0")&amp;" Trk-Mi?    ")</f>
        <v/>
      </c>
      <c r="AN151" s="284"/>
      <c r="AO151" s="278" t="str">
        <f>IF(OR($R151="",AN$11=""),"","0 - "&amp;TEXT($R151-$AP151,"0.0")&amp;" Trk-Mi?    ")</f>
        <v/>
      </c>
      <c r="AP151" s="282">
        <f>SUM(V151,X151,Z151,AB151,AD151,AF151,AH151,AJ151,AL151,AN151)</f>
        <v>0</v>
      </c>
      <c r="AQ151" s="278"/>
      <c r="AR151" s="234"/>
      <c r="AS151" s="107"/>
      <c r="AT151" s="107"/>
      <c r="AU151" s="107"/>
      <c r="AW151" s="107" t="str">
        <f>IF(AND($C151="",$H151="",$J151="",$L151="",$N151="",$P151="",$R151=""),"B","NB")</f>
        <v>B</v>
      </c>
      <c r="AX151" s="241" t="str">
        <f>IF(OR($C151="",$H151="",$J151="",$L151="",$N151="",$R151="",$P151="",AND($V$11&lt;&gt;"",$V151=""),AND($X$11&lt;&gt;"",$X151=""),AND($Z$11&lt;&gt;"",$Z151=""),AND($AB$11&lt;&gt;"",$AB151=""),AND($AD$11&lt;&gt;"",$AD151=""),AND($AF$11&lt;&gt;"",$AF151=""),AND($AH$11&lt;&gt;"",$AH151=""),AND($AJ$11&lt;&gt;"",$AJ151=""),AND($AL$11&lt;&gt;"",$AL151=""),AND($AN$11&lt;&gt;"",$AN151="")),"N","Y")</f>
        <v>N</v>
      </c>
      <c r="AY151" s="142" t="b">
        <f>IF(AND($C151="",OR($H151&lt;&gt;"",$J151&lt;&gt;"",$L151&lt;&gt;"",$N151&lt;&gt;"",$R151&lt;&gt;"",$P151&lt;&gt;"",AND($V$11&lt;&gt;"",$V151&lt;&gt;""),AND($X$11&lt;&gt;"",$X151&lt;&gt;""),AND($Z$11&lt;&gt;"",$Z151&lt;&gt;""),AND($AB$11&lt;&gt;"",$AB151&lt;&gt;""),AND($AD$11&lt;&gt;"",$AD151&lt;&gt;""),AND($AF$11&lt;&gt;"",$AF151&lt;&gt;""),AND($AH$11&lt;&gt;"",$AH151&lt;&gt;""),AND($AJ$11&lt;&gt;"",$AJ151&lt;&gt;""),AND($AL$11&lt;&gt;"",$AL151&lt;&gt;""),AND($AN$11&lt;&gt;"",$AN151&lt;&gt;""))),TRUE,FALSE)</f>
        <v>0</v>
      </c>
      <c r="AZ151" s="144" t="b">
        <f>IF(AND($C151&lt;&gt;"",$H151=""),TRUE,FALSE)</f>
        <v>0</v>
      </c>
      <c r="BA151" s="144" t="b">
        <f>IF(AND($C151&lt;&gt;"",$J151=""),TRUE,FALSE)</f>
        <v>0</v>
      </c>
      <c r="BB151" s="144" t="b">
        <f>IF(AND($C151&lt;&gt;"",$L151=""),TRUE,FALSE)</f>
        <v>0</v>
      </c>
      <c r="BC151" s="144" t="b">
        <f>IF(AND($C151&lt;&gt;"",$N151=""),TRUE,FALSE)</f>
        <v>0</v>
      </c>
      <c r="BD151" s="142" t="b">
        <f>IF($BE151=TRUE,FALSE,IF(OR($P151&lt;$BD$5,$P151&gt;$BE$5),TRUE,FALSE))</f>
        <v>0</v>
      </c>
      <c r="BE151" s="144" t="b">
        <f>IF(AND($C151&lt;&gt;"",$P151=""),TRUE,FALSE)</f>
        <v>0</v>
      </c>
      <c r="BF151" s="144" t="b">
        <f>IF($BG151=TRUE,FALSE,IF(OR($R151&lt;$BF$5,$R151&gt;$BG$5),TRUE,FALSE))</f>
        <v>0</v>
      </c>
      <c r="BG151" s="144" t="b">
        <f>IF(AND($C151&lt;&gt;"",$R151=""),TRUE,FALSE)</f>
        <v>0</v>
      </c>
      <c r="BH151" s="160" t="b">
        <f>IF(BI151=TRUE,FALSE,IF(AND(V151&lt;&gt;"",V$11=""),TRUE,IF(AND(V151&lt;&gt;"",V$11&lt;&gt;"",$R151&lt;&gt;$AP151),TRUE,IF(OR(V151&lt;0,V151&gt;$R151),TRUE,FALSE))))</f>
        <v>0</v>
      </c>
      <c r="BI151" s="144" t="b">
        <f>IF(AND($C151&lt;&gt;"",V$11&lt;&gt;"",$V151=""),TRUE,FALSE)</f>
        <v>0</v>
      </c>
      <c r="BJ151" s="160" t="b">
        <f>IF(BK151=TRUE,FALSE,IF(AND(X151&lt;&gt;"",X$11=""),TRUE,IF(AND(X151&lt;&gt;"",X$11&lt;&gt;"",$R151&lt;&gt;$AP151),TRUE,IF(OR(X151&lt;0,X151&gt;$R151),TRUE,FALSE))))</f>
        <v>0</v>
      </c>
      <c r="BK151" s="144" t="b">
        <f>IF(AND($C151&lt;&gt;"",X$11&lt;&gt;"",$X151=""),TRUE,FALSE)</f>
        <v>0</v>
      </c>
      <c r="BL151" s="160" t="b">
        <f>IF(BM151=TRUE,FALSE,IF(AND(Z151&lt;&gt;"",Z$11=""),TRUE,IF(AND(Z151&lt;&gt;"",Z$11&lt;&gt;"",$R151&lt;&gt;$AP151),TRUE,IF(OR(Z151&lt;0,Z151&gt;$R151),TRUE,FALSE))))</f>
        <v>0</v>
      </c>
      <c r="BM151" s="144" t="b">
        <f>IF(AND($C151&lt;&gt;"",Z$11&lt;&gt;"",$Z151=""),TRUE,FALSE)</f>
        <v>0</v>
      </c>
      <c r="BN151" s="160" t="b">
        <f>IF(BO151=TRUE,FALSE,IF(AND(AB151&lt;&gt;"",AB$11=""),TRUE,IF(AND(AB151&lt;&gt;"",AB$11&lt;&gt;"",$R151&lt;&gt;$AP151),TRUE,IF(OR(AB151&lt;0,AB151&gt;$R151),TRUE,FALSE))))</f>
        <v>0</v>
      </c>
      <c r="BO151" s="144" t="b">
        <f>IF(AND($C151&lt;&gt;"",AB$11&lt;&gt;"",$AB151=""),TRUE,FALSE)</f>
        <v>0</v>
      </c>
      <c r="BP151" s="160" t="b">
        <f>IF(BQ151=TRUE,FALSE,IF(AND(AD151&lt;&gt;"",AD$11=""),TRUE,IF(AND(AD151&lt;&gt;"",AD$11&lt;&gt;"",$R151&lt;&gt;$AP151),TRUE,IF(OR(AD151&lt;0,AD151&gt;$R151),TRUE,FALSE))))</f>
        <v>0</v>
      </c>
      <c r="BQ151" s="144" t="b">
        <f>IF(AND($C151&lt;&gt;"",AD$11&lt;&gt;"",$AD151=""),TRUE,FALSE)</f>
        <v>0</v>
      </c>
      <c r="BR151" s="160" t="b">
        <f>IF(BS151=TRUE,FALSE,IF(AND(AF151&lt;&gt;"",AF$11=""),TRUE,IF(AND(AF151&lt;&gt;"",AF$11&lt;&gt;"",$R151&lt;&gt;$AP151),TRUE,IF(OR(AF151&lt;0,AF151&gt;$R151),TRUE,FALSE))))</f>
        <v>0</v>
      </c>
      <c r="BS151" s="144" t="b">
        <f>IF(AND($C151&lt;&gt;"",AF$11&lt;&gt;"",$AF151=""),TRUE,FALSE)</f>
        <v>0</v>
      </c>
      <c r="BT151" s="160" t="b">
        <f>IF(BU151=TRUE,FALSE,IF(AND(AH151&lt;&gt;"",AH$11=""),TRUE,IF(AND(AH151&lt;&gt;"",AH$11&lt;&gt;"",$R151&lt;&gt;$AP151),TRUE,IF(OR(AH151&lt;0,AH151&gt;$R151),TRUE,FALSE))))</f>
        <v>0</v>
      </c>
      <c r="BU151" s="144" t="b">
        <f>IF(AND($C151&lt;&gt;"",AH$11&lt;&gt;"",$AH151=""),TRUE,FALSE)</f>
        <v>0</v>
      </c>
      <c r="BV151" s="160" t="b">
        <f>IF(BW151=TRUE,FALSE,IF(AND(AJ151&lt;&gt;"",AJ$11=""),TRUE,IF(AND(AJ151&lt;&gt;"",AJ$11&lt;&gt;"",$R151&lt;&gt;$AP151),TRUE,IF(OR(AJ151&lt;0,AJ151&gt;$R151),TRUE,FALSE))))</f>
        <v>0</v>
      </c>
      <c r="BW151" s="144" t="b">
        <f>IF(AND($C151&lt;&gt;"",AJ$11&lt;&gt;"",$AJ151=""),TRUE,FALSE)</f>
        <v>0</v>
      </c>
      <c r="BX151" s="160" t="b">
        <f>IF(BY151=TRUE,FALSE,IF(AND(AL151&lt;&gt;"",AL$11=""),TRUE,IF(AND(AL151&lt;&gt;"",AL$11&lt;&gt;"",$R151&lt;&gt;$AP151),TRUE,IF(OR(AL151&lt;0,AL151&gt;$R151),TRUE,FALSE))))</f>
        <v>0</v>
      </c>
      <c r="BY151" s="144" t="b">
        <f>IF(AND($C151&lt;&gt;"",AL$11&lt;&gt;"",$AL151=""),TRUE,FALSE)</f>
        <v>0</v>
      </c>
      <c r="BZ151" s="160" t="b">
        <f>IF(CA151=TRUE,FALSE,IF(AND(AN151&lt;&gt;"",AN$11=""),TRUE,IF(AND(AN151&lt;&gt;"",AN$11&lt;&gt;"",$R151&lt;&gt;$AP151),TRUE,IF(OR(AN151&lt;0,AN151&gt;$R151),TRUE,FALSE))))</f>
        <v>0</v>
      </c>
      <c r="CA151" s="144" t="b">
        <f>IF(AND($C151&lt;&gt;"",AN$11&lt;&gt;"",$AN151=""),TRUE,FALSE)</f>
        <v>0</v>
      </c>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4"/>
    </row>
    <row r="152" spans="1:101" ht="6.75" customHeight="1" thickBot="1" x14ac:dyDescent="0.25">
      <c r="A152" s="228"/>
      <c r="B152" s="228"/>
      <c r="C152" s="232"/>
      <c r="D152" s="251"/>
      <c r="E152" s="130"/>
      <c r="F152" s="130"/>
      <c r="G152" s="130"/>
      <c r="I152" s="251"/>
      <c r="K152" s="228"/>
      <c r="M152" s="251"/>
      <c r="O152" s="251"/>
      <c r="P152" s="130"/>
      <c r="Q152" s="251"/>
      <c r="R152" s="130"/>
      <c r="S152" s="251"/>
      <c r="T152" s="130"/>
      <c r="U152" s="251"/>
      <c r="V152" s="283"/>
      <c r="W152" s="278"/>
      <c r="X152" s="283"/>
      <c r="Y152" s="278"/>
      <c r="Z152" s="283"/>
      <c r="AA152" s="278"/>
      <c r="AB152" s="283"/>
      <c r="AC152" s="278"/>
      <c r="AD152" s="283"/>
      <c r="AE152" s="278"/>
      <c r="AF152" s="283"/>
      <c r="AG152" s="278"/>
      <c r="AH152" s="283"/>
      <c r="AI152" s="278"/>
      <c r="AJ152" s="283"/>
      <c r="AK152" s="278"/>
      <c r="AL152" s="283"/>
      <c r="AM152" s="278"/>
      <c r="AN152" s="283"/>
      <c r="AO152" s="278"/>
      <c r="AP152" s="105"/>
      <c r="AQ152" s="253"/>
      <c r="AR152" s="232"/>
      <c r="AY152" s="145"/>
      <c r="AZ152" s="146"/>
      <c r="BA152" s="146"/>
      <c r="BB152" s="146"/>
      <c r="BC152" s="146"/>
      <c r="BD152" s="145"/>
      <c r="BE152" s="146"/>
      <c r="BF152" s="146"/>
      <c r="BG152" s="146"/>
      <c r="BH152" s="145"/>
      <c r="BI152" s="146"/>
      <c r="BJ152" s="145"/>
      <c r="BK152" s="146"/>
      <c r="BL152" s="145"/>
      <c r="BM152" s="146"/>
      <c r="BN152" s="145"/>
      <c r="BO152" s="146"/>
      <c r="BP152" s="145"/>
      <c r="BQ152" s="146"/>
      <c r="BR152" s="145"/>
      <c r="BS152" s="146"/>
      <c r="BT152" s="145"/>
      <c r="BU152" s="146"/>
      <c r="BV152" s="145"/>
      <c r="BW152" s="146"/>
      <c r="BX152" s="145"/>
      <c r="BY152" s="146"/>
      <c r="BZ152" s="145"/>
      <c r="CA152" s="146"/>
    </row>
    <row r="153" spans="1:101" s="101" customFormat="1" ht="12.75" customHeight="1" x14ac:dyDescent="0.2">
      <c r="A153" s="227">
        <f>A151+1</f>
        <v>69</v>
      </c>
      <c r="B153" s="227"/>
      <c r="C153" s="231"/>
      <c r="D153" s="251" t="str">
        <f>IF((C153=""),"Enter Segment "&amp;TEXT(A153,0)&amp;" Name, then Enter Data in Columns "&amp;TEXT($H$2,0)&amp;" - "&amp;TEXT($AN$2,0)&amp;"       ","")</f>
        <v xml:space="preserve">Enter Segment 69 Name, then Enter Data in Columns h - an       </v>
      </c>
      <c r="E153" s="131" t="str">
        <f>IF($AW153="B","N/A",IF(AX153="N","No",IF(AX153="Y","Yes","")))</f>
        <v>N/A</v>
      </c>
      <c r="F153" s="130"/>
      <c r="G153" s="130"/>
      <c r="H153" s="285"/>
      <c r="I153" s="251" t="str">
        <f>IF($C153&lt;&gt;"","Enter Starting Point       ","")</f>
        <v/>
      </c>
      <c r="J153" s="285"/>
      <c r="K153" s="227"/>
      <c r="L153" s="88"/>
      <c r="M153" s="251" t="str">
        <f>IF($C153&lt;&gt;"","Select from Pull-Down List  ","")</f>
        <v/>
      </c>
      <c r="N153" s="88"/>
      <c r="O153" s="251" t="str">
        <f>IF($C153&lt;&gt;"","Select from Pull-Down List  ","")</f>
        <v/>
      </c>
      <c r="P153" s="131"/>
      <c r="Q153" s="251" t="str">
        <f>IF($C153&lt;&gt;"","Dir. Route-Mi?    ","")</f>
        <v/>
      </c>
      <c r="R153" s="131"/>
      <c r="S153" s="251" t="str">
        <f>IF($C153&lt;&gt;"","Trk-Mi?      ","")</f>
        <v/>
      </c>
      <c r="T153" s="131"/>
      <c r="U153" s="251" t="str">
        <f>IF($C153&lt;&gt;"","Trk-Mi?      ","")</f>
        <v/>
      </c>
      <c r="V153" s="284"/>
      <c r="W153" s="278" t="str">
        <f>IF(OR($R153="",V$11=""),"","0 - "&amp;TEXT($R153-$AP153,"0.0")&amp;" Trk-Mi?    ")</f>
        <v/>
      </c>
      <c r="X153" s="284"/>
      <c r="Y153" s="278" t="str">
        <f>IF(OR($R153="",X$11=""),"","0 - "&amp;TEXT($R153-$AP153,"0.0")&amp;" Trk-Mi?    ")</f>
        <v/>
      </c>
      <c r="Z153" s="284"/>
      <c r="AA153" s="278" t="str">
        <f>IF(OR($R153="",Z$11=""),"","0 - "&amp;TEXT($R153-$AP153,"0.0")&amp;" Trk-Mi?    ")</f>
        <v/>
      </c>
      <c r="AB153" s="284"/>
      <c r="AC153" s="278" t="str">
        <f>IF(OR($R153="",AB$11=""),"","0 - "&amp;TEXT($R153-$AP153,"0.0")&amp;" Trk-Mi?    ")</f>
        <v/>
      </c>
      <c r="AD153" s="284"/>
      <c r="AE153" s="278" t="str">
        <f>IF(OR($R153="",AD$11=""),"","0 - "&amp;TEXT($R153-$AP153,"0.0")&amp;" Trk-Mi?    ")</f>
        <v/>
      </c>
      <c r="AF153" s="284"/>
      <c r="AG153" s="278" t="str">
        <f>IF(OR($R153="",AF$11=""),"","0 - "&amp;TEXT($R153-$AP153,"0.0")&amp;" Trk-Mi?    ")</f>
        <v/>
      </c>
      <c r="AH153" s="284"/>
      <c r="AI153" s="278" t="str">
        <f>IF(OR($R153="",AH$11=""),"","0 - "&amp;TEXT($R153-$AP153,"0.0")&amp;" Trk-Mi?    ")</f>
        <v/>
      </c>
      <c r="AJ153" s="284"/>
      <c r="AK153" s="278" t="str">
        <f>IF(OR($R153="",AJ$11=""),"","0 - "&amp;TEXT($R153-$AP153,"0.0")&amp;" Trk-Mi?    ")</f>
        <v/>
      </c>
      <c r="AL153" s="284"/>
      <c r="AM153" s="278" t="str">
        <f>IF(OR($R153="",AL$11=""),"","0 - "&amp;TEXT($R153-$AP153,"0.0")&amp;" Trk-Mi?    ")</f>
        <v/>
      </c>
      <c r="AN153" s="284"/>
      <c r="AO153" s="278" t="str">
        <f>IF(OR($R153="",AN$11=""),"","0 - "&amp;TEXT($R153-$AP153,"0.0")&amp;" Trk-Mi?    ")</f>
        <v/>
      </c>
      <c r="AP153" s="282">
        <f>SUM(V153,X153,Z153,AB153,AD153,AF153,AH153,AJ153,AL153,AN153)</f>
        <v>0</v>
      </c>
      <c r="AQ153" s="278"/>
      <c r="AR153" s="234"/>
      <c r="AS153" s="107"/>
      <c r="AT153" s="107"/>
      <c r="AU153" s="107"/>
      <c r="AW153" s="107" t="str">
        <f>IF(AND($C153="",$H153="",$J153="",$L153="",$N153="",$P153="",$R153=""),"B","NB")</f>
        <v>B</v>
      </c>
      <c r="AX153" s="241" t="str">
        <f>IF(OR($C153="",$H153="",$J153="",$L153="",$N153="",$R153="",$P153="",AND($V$11&lt;&gt;"",$V153=""),AND($X$11&lt;&gt;"",$X153=""),AND($Z$11&lt;&gt;"",$Z153=""),AND($AB$11&lt;&gt;"",$AB153=""),AND($AD$11&lt;&gt;"",$AD153=""),AND($AF$11&lt;&gt;"",$AF153=""),AND($AH$11&lt;&gt;"",$AH153=""),AND($AJ$11&lt;&gt;"",$AJ153=""),AND($AL$11&lt;&gt;"",$AL153=""),AND($AN$11&lt;&gt;"",$AN153="")),"N","Y")</f>
        <v>N</v>
      </c>
      <c r="AY153" s="142" t="b">
        <f>IF(AND($C153="",OR($H153&lt;&gt;"",$J153&lt;&gt;"",$L153&lt;&gt;"",$N153&lt;&gt;"",$R153&lt;&gt;"",$P153&lt;&gt;"",AND($V$11&lt;&gt;"",$V153&lt;&gt;""),AND($X$11&lt;&gt;"",$X153&lt;&gt;""),AND($Z$11&lt;&gt;"",$Z153&lt;&gt;""),AND($AB$11&lt;&gt;"",$AB153&lt;&gt;""),AND($AD$11&lt;&gt;"",$AD153&lt;&gt;""),AND($AF$11&lt;&gt;"",$AF153&lt;&gt;""),AND($AH$11&lt;&gt;"",$AH153&lt;&gt;""),AND($AJ$11&lt;&gt;"",$AJ153&lt;&gt;""),AND($AL$11&lt;&gt;"",$AL153&lt;&gt;""),AND($AN$11&lt;&gt;"",$AN153&lt;&gt;""))),TRUE,FALSE)</f>
        <v>0</v>
      </c>
      <c r="AZ153" s="144" t="b">
        <f>IF(AND($C153&lt;&gt;"",$H153=""),TRUE,FALSE)</f>
        <v>0</v>
      </c>
      <c r="BA153" s="144" t="b">
        <f>IF(AND($C153&lt;&gt;"",$J153=""),TRUE,FALSE)</f>
        <v>0</v>
      </c>
      <c r="BB153" s="144" t="b">
        <f>IF(AND($C153&lt;&gt;"",$L153=""),TRUE,FALSE)</f>
        <v>0</v>
      </c>
      <c r="BC153" s="144" t="b">
        <f>IF(AND($C153&lt;&gt;"",$N153=""),TRUE,FALSE)</f>
        <v>0</v>
      </c>
      <c r="BD153" s="142" t="b">
        <f>IF($BE153=TRUE,FALSE,IF(OR($P153&lt;$BD$5,$P153&gt;$BE$5),TRUE,FALSE))</f>
        <v>0</v>
      </c>
      <c r="BE153" s="144" t="b">
        <f>IF(AND($C153&lt;&gt;"",$P153=""),TRUE,FALSE)</f>
        <v>0</v>
      </c>
      <c r="BF153" s="144" t="b">
        <f>IF($BG153=TRUE,FALSE,IF(OR($R153&lt;$BF$5,$R153&gt;$BG$5),TRUE,FALSE))</f>
        <v>0</v>
      </c>
      <c r="BG153" s="144" t="b">
        <f>IF(AND($C153&lt;&gt;"",$R153=""),TRUE,FALSE)</f>
        <v>0</v>
      </c>
      <c r="BH153" s="160" t="b">
        <f>IF(BI153=TRUE,FALSE,IF(AND(V153&lt;&gt;"",V$11=""),TRUE,IF(AND(V153&lt;&gt;"",V$11&lt;&gt;"",$R153&lt;&gt;$AP153),TRUE,IF(OR(V153&lt;0,V153&gt;$R153),TRUE,FALSE))))</f>
        <v>0</v>
      </c>
      <c r="BI153" s="144" t="b">
        <f>IF(AND($C153&lt;&gt;"",V$11&lt;&gt;"",$V153=""),TRUE,FALSE)</f>
        <v>0</v>
      </c>
      <c r="BJ153" s="160" t="b">
        <f>IF(BK153=TRUE,FALSE,IF(AND(X153&lt;&gt;"",X$11=""),TRUE,IF(AND(X153&lt;&gt;"",X$11&lt;&gt;"",$R153&lt;&gt;$AP153),TRUE,IF(OR(X153&lt;0,X153&gt;$R153),TRUE,FALSE))))</f>
        <v>0</v>
      </c>
      <c r="BK153" s="144" t="b">
        <f>IF(AND($C153&lt;&gt;"",X$11&lt;&gt;"",$X153=""),TRUE,FALSE)</f>
        <v>0</v>
      </c>
      <c r="BL153" s="160" t="b">
        <f>IF(BM153=TRUE,FALSE,IF(AND(Z153&lt;&gt;"",Z$11=""),TRUE,IF(AND(Z153&lt;&gt;"",Z$11&lt;&gt;"",$R153&lt;&gt;$AP153),TRUE,IF(OR(Z153&lt;0,Z153&gt;$R153),TRUE,FALSE))))</f>
        <v>0</v>
      </c>
      <c r="BM153" s="144" t="b">
        <f>IF(AND($C153&lt;&gt;"",Z$11&lt;&gt;"",$Z153=""),TRUE,FALSE)</f>
        <v>0</v>
      </c>
      <c r="BN153" s="160" t="b">
        <f>IF(BO153=TRUE,FALSE,IF(AND(AB153&lt;&gt;"",AB$11=""),TRUE,IF(AND(AB153&lt;&gt;"",AB$11&lt;&gt;"",$R153&lt;&gt;$AP153),TRUE,IF(OR(AB153&lt;0,AB153&gt;$R153),TRUE,FALSE))))</f>
        <v>0</v>
      </c>
      <c r="BO153" s="144" t="b">
        <f>IF(AND($C153&lt;&gt;"",AB$11&lt;&gt;"",$AB153=""),TRUE,FALSE)</f>
        <v>0</v>
      </c>
      <c r="BP153" s="160" t="b">
        <f>IF(BQ153=TRUE,FALSE,IF(AND(AD153&lt;&gt;"",AD$11=""),TRUE,IF(AND(AD153&lt;&gt;"",AD$11&lt;&gt;"",$R153&lt;&gt;$AP153),TRUE,IF(OR(AD153&lt;0,AD153&gt;$R153),TRUE,FALSE))))</f>
        <v>0</v>
      </c>
      <c r="BQ153" s="144" t="b">
        <f>IF(AND($C153&lt;&gt;"",AD$11&lt;&gt;"",$AD153=""),TRUE,FALSE)</f>
        <v>0</v>
      </c>
      <c r="BR153" s="160" t="b">
        <f>IF(BS153=TRUE,FALSE,IF(AND(AF153&lt;&gt;"",AF$11=""),TRUE,IF(AND(AF153&lt;&gt;"",AF$11&lt;&gt;"",$R153&lt;&gt;$AP153),TRUE,IF(OR(AF153&lt;0,AF153&gt;$R153),TRUE,FALSE))))</f>
        <v>0</v>
      </c>
      <c r="BS153" s="144" t="b">
        <f>IF(AND($C153&lt;&gt;"",AF$11&lt;&gt;"",$AF153=""),TRUE,FALSE)</f>
        <v>0</v>
      </c>
      <c r="BT153" s="160" t="b">
        <f>IF(BU153=TRUE,FALSE,IF(AND(AH153&lt;&gt;"",AH$11=""),TRUE,IF(AND(AH153&lt;&gt;"",AH$11&lt;&gt;"",$R153&lt;&gt;$AP153),TRUE,IF(OR(AH153&lt;0,AH153&gt;$R153),TRUE,FALSE))))</f>
        <v>0</v>
      </c>
      <c r="BU153" s="144" t="b">
        <f>IF(AND($C153&lt;&gt;"",AH$11&lt;&gt;"",$AH153=""),TRUE,FALSE)</f>
        <v>0</v>
      </c>
      <c r="BV153" s="160" t="b">
        <f>IF(BW153=TRUE,FALSE,IF(AND(AJ153&lt;&gt;"",AJ$11=""),TRUE,IF(AND(AJ153&lt;&gt;"",AJ$11&lt;&gt;"",$R153&lt;&gt;$AP153),TRUE,IF(OR(AJ153&lt;0,AJ153&gt;$R153),TRUE,FALSE))))</f>
        <v>0</v>
      </c>
      <c r="BW153" s="144" t="b">
        <f>IF(AND($C153&lt;&gt;"",AJ$11&lt;&gt;"",$AJ153=""),TRUE,FALSE)</f>
        <v>0</v>
      </c>
      <c r="BX153" s="160" t="b">
        <f>IF(BY153=TRUE,FALSE,IF(AND(AL153&lt;&gt;"",AL$11=""),TRUE,IF(AND(AL153&lt;&gt;"",AL$11&lt;&gt;"",$R153&lt;&gt;$AP153),TRUE,IF(OR(AL153&lt;0,AL153&gt;$R153),TRUE,FALSE))))</f>
        <v>0</v>
      </c>
      <c r="BY153" s="144" t="b">
        <f>IF(AND($C153&lt;&gt;"",AL$11&lt;&gt;"",$AL153=""),TRUE,FALSE)</f>
        <v>0</v>
      </c>
      <c r="BZ153" s="160" t="b">
        <f>IF(CA153=TRUE,FALSE,IF(AND(AN153&lt;&gt;"",AN$11=""),TRUE,IF(AND(AN153&lt;&gt;"",AN$11&lt;&gt;"",$R153&lt;&gt;$AP153),TRUE,IF(OR(AN153&lt;0,AN153&gt;$R153),TRUE,FALSE))))</f>
        <v>0</v>
      </c>
      <c r="CA153" s="144" t="b">
        <f>IF(AND($C153&lt;&gt;"",AN$11&lt;&gt;"",$AN153=""),TRUE,FALSE)</f>
        <v>0</v>
      </c>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4"/>
    </row>
    <row r="154" spans="1:101" ht="6.75" customHeight="1" thickBot="1" x14ac:dyDescent="0.25">
      <c r="A154" s="228"/>
      <c r="B154" s="228"/>
      <c r="C154" s="232"/>
      <c r="D154" s="267"/>
      <c r="I154" s="267"/>
      <c r="K154" s="228"/>
      <c r="M154" s="267"/>
      <c r="O154" s="267"/>
      <c r="Q154" s="267"/>
      <c r="S154" s="267"/>
      <c r="U154" s="267"/>
      <c r="V154" s="283"/>
      <c r="W154" s="267"/>
      <c r="X154" s="283"/>
      <c r="Y154" s="267"/>
      <c r="Z154" s="283"/>
      <c r="AA154" s="267"/>
      <c r="AB154" s="283"/>
      <c r="AC154" s="267"/>
      <c r="AD154" s="283"/>
      <c r="AE154" s="267"/>
      <c r="AF154" s="283"/>
      <c r="AG154" s="267"/>
      <c r="AH154" s="283"/>
      <c r="AI154" s="267"/>
      <c r="AJ154" s="283"/>
      <c r="AK154" s="267"/>
      <c r="AL154" s="283"/>
      <c r="AM154" s="267"/>
      <c r="AN154" s="283"/>
      <c r="AO154" s="267"/>
      <c r="AP154" s="267"/>
      <c r="AQ154" s="267"/>
      <c r="AR154" s="232"/>
      <c r="AY154" s="145"/>
      <c r="AZ154" s="146"/>
      <c r="BA154" s="146"/>
      <c r="BB154" s="146"/>
      <c r="BC154" s="146"/>
      <c r="BD154" s="145"/>
      <c r="BE154" s="146"/>
      <c r="BF154" s="146"/>
      <c r="BG154" s="146"/>
      <c r="BH154" s="145"/>
      <c r="BI154" s="146"/>
      <c r="BJ154" s="145"/>
      <c r="BK154" s="146"/>
      <c r="BL154" s="145"/>
      <c r="BM154" s="146"/>
      <c r="BN154" s="145"/>
      <c r="BO154" s="146"/>
      <c r="BP154" s="145"/>
      <c r="BQ154" s="146"/>
      <c r="BR154" s="145"/>
      <c r="BS154" s="146"/>
      <c r="BT154" s="145"/>
      <c r="BU154" s="146"/>
      <c r="BV154" s="145"/>
      <c r="BW154" s="146"/>
      <c r="BX154" s="145"/>
      <c r="BY154" s="146"/>
      <c r="BZ154" s="145"/>
      <c r="CA154" s="146"/>
    </row>
    <row r="155" spans="1:101" s="101" customFormat="1" ht="12.75" customHeight="1" x14ac:dyDescent="0.2">
      <c r="A155" s="227">
        <f>A153+1</f>
        <v>70</v>
      </c>
      <c r="B155" s="227"/>
      <c r="C155" s="231"/>
      <c r="D155" s="251" t="str">
        <f>IF((C155=""),"Enter Segment "&amp;TEXT(A155,0)&amp;" Name, then Enter Data in Columns "&amp;TEXT($H$2,0)&amp;" - "&amp;TEXT($AN$2,0)&amp;"       ","")</f>
        <v xml:space="preserve">Enter Segment 70 Name, then Enter Data in Columns h - an       </v>
      </c>
      <c r="E155" s="131" t="str">
        <f>IF($AW155="B","N/A",IF(AX155="N","No",IF(AX155="Y","Yes","")))</f>
        <v>N/A</v>
      </c>
      <c r="F155" s="130"/>
      <c r="G155" s="130"/>
      <c r="H155" s="285"/>
      <c r="I155" s="251" t="str">
        <f>IF($C155&lt;&gt;"","Enter Starting Point       ","")</f>
        <v/>
      </c>
      <c r="J155" s="285"/>
      <c r="K155" s="227"/>
      <c r="L155" s="88"/>
      <c r="M155" s="251" t="str">
        <f>IF($C155&lt;&gt;"","Select from Pull-Down List  ","")</f>
        <v/>
      </c>
      <c r="N155" s="88"/>
      <c r="O155" s="251" t="str">
        <f>IF($C155&lt;&gt;"","Select from Pull-Down List  ","")</f>
        <v/>
      </c>
      <c r="P155" s="131"/>
      <c r="Q155" s="251" t="str">
        <f>IF($C155&lt;&gt;"","Dir. Route-Mi?    ","")</f>
        <v/>
      </c>
      <c r="R155" s="131"/>
      <c r="S155" s="251" t="str">
        <f>IF($C155&lt;&gt;"","Trk-Mi?      ","")</f>
        <v/>
      </c>
      <c r="T155" s="131"/>
      <c r="U155" s="251" t="str">
        <f>IF($C155&lt;&gt;"","Trk-Mi?      ","")</f>
        <v/>
      </c>
      <c r="V155" s="284"/>
      <c r="W155" s="278" t="str">
        <f>IF(OR($R155="",V$11=""),"","0 - "&amp;TEXT($R155-$AP155,"0.0")&amp;" Trk-Mi?    ")</f>
        <v/>
      </c>
      <c r="X155" s="284"/>
      <c r="Y155" s="278" t="str">
        <f>IF(OR($R155="",X$11=""),"","0 - "&amp;TEXT($R155-$AP155,"0.0")&amp;" Trk-Mi?    ")</f>
        <v/>
      </c>
      <c r="Z155" s="284"/>
      <c r="AA155" s="278" t="str">
        <f>IF(OR($R155="",Z$11=""),"","0 - "&amp;TEXT($R155-$AP155,"0.0")&amp;" Trk-Mi?    ")</f>
        <v/>
      </c>
      <c r="AB155" s="284"/>
      <c r="AC155" s="278" t="str">
        <f>IF(OR($R155="",AB$11=""),"","0 - "&amp;TEXT($R155-$AP155,"0.0")&amp;" Trk-Mi?    ")</f>
        <v/>
      </c>
      <c r="AD155" s="284"/>
      <c r="AE155" s="278" t="str">
        <f>IF(OR($R155="",AD$11=""),"","0 - "&amp;TEXT($R155-$AP155,"0.0")&amp;" Trk-Mi?    ")</f>
        <v/>
      </c>
      <c r="AF155" s="284"/>
      <c r="AG155" s="278" t="str">
        <f>IF(OR($R155="",AF$11=""),"","0 - "&amp;TEXT($R155-$AP155,"0.0")&amp;" Trk-Mi?    ")</f>
        <v/>
      </c>
      <c r="AH155" s="284"/>
      <c r="AI155" s="278" t="str">
        <f>IF(OR($R155="",AH$11=""),"","0 - "&amp;TEXT($R155-$AP155,"0.0")&amp;" Trk-Mi?    ")</f>
        <v/>
      </c>
      <c r="AJ155" s="284"/>
      <c r="AK155" s="278" t="str">
        <f>IF(OR($R155="",AJ$11=""),"","0 - "&amp;TEXT($R155-$AP155,"0.0")&amp;" Trk-Mi?    ")</f>
        <v/>
      </c>
      <c r="AL155" s="284"/>
      <c r="AM155" s="278" t="str">
        <f>IF(OR($R155="",AL$11=""),"","0 - "&amp;TEXT($R155-$AP155,"0.0")&amp;" Trk-Mi?    ")</f>
        <v/>
      </c>
      <c r="AN155" s="284"/>
      <c r="AO155" s="278" t="str">
        <f>IF(OR($R155="",AN$11=""),"","0 - "&amp;TEXT($R155-$AP155,"0.0")&amp;" Trk-Mi?    ")</f>
        <v/>
      </c>
      <c r="AP155" s="282">
        <f>SUM(V155,X155,Z155,AB155,AD155,AF155,AH155,AJ155,AL155,AN155)</f>
        <v>0</v>
      </c>
      <c r="AQ155" s="278"/>
      <c r="AR155" s="234"/>
      <c r="AS155" s="107"/>
      <c r="AT155" s="107"/>
      <c r="AU155" s="107"/>
      <c r="AW155" s="107" t="str">
        <f>IF(AND($C155="",$H155="",$J155="",$L155="",$N155="",$P155="",$R155=""),"B","NB")</f>
        <v>B</v>
      </c>
      <c r="AX155" s="241" t="str">
        <f>IF(OR($C155="",$H155="",$J155="",$L155="",$N155="",$R155="",$P155="",AND($V$11&lt;&gt;"",$V155=""),AND($X$11&lt;&gt;"",$X155=""),AND($Z$11&lt;&gt;"",$Z155=""),AND($AB$11&lt;&gt;"",$AB155=""),AND($AD$11&lt;&gt;"",$AD155=""),AND($AF$11&lt;&gt;"",$AF155=""),AND($AH$11&lt;&gt;"",$AH155=""),AND($AJ$11&lt;&gt;"",$AJ155=""),AND($AL$11&lt;&gt;"",$AL155=""),AND($AN$11&lt;&gt;"",$AN155="")),"N","Y")</f>
        <v>N</v>
      </c>
      <c r="AY155" s="142" t="b">
        <f>IF(AND($C155="",OR($H155&lt;&gt;"",$J155&lt;&gt;"",$L155&lt;&gt;"",$N155&lt;&gt;"",$R155&lt;&gt;"",$P155&lt;&gt;"",AND($V$11&lt;&gt;"",$V155&lt;&gt;""),AND($X$11&lt;&gt;"",$X155&lt;&gt;""),AND($Z$11&lt;&gt;"",$Z155&lt;&gt;""),AND($AB$11&lt;&gt;"",$AB155&lt;&gt;""),AND($AD$11&lt;&gt;"",$AD155&lt;&gt;""),AND($AF$11&lt;&gt;"",$AF155&lt;&gt;""),AND($AH$11&lt;&gt;"",$AH155&lt;&gt;""),AND($AJ$11&lt;&gt;"",$AJ155&lt;&gt;""),AND($AL$11&lt;&gt;"",$AL155&lt;&gt;""),AND($AN$11&lt;&gt;"",$AN155&lt;&gt;""))),TRUE,FALSE)</f>
        <v>0</v>
      </c>
      <c r="AZ155" s="144" t="b">
        <f>IF(AND($C155&lt;&gt;"",$H155=""),TRUE,FALSE)</f>
        <v>0</v>
      </c>
      <c r="BA155" s="144" t="b">
        <f>IF(AND($C155&lt;&gt;"",$J155=""),TRUE,FALSE)</f>
        <v>0</v>
      </c>
      <c r="BB155" s="144" t="b">
        <f>IF(AND($C155&lt;&gt;"",$L155=""),TRUE,FALSE)</f>
        <v>0</v>
      </c>
      <c r="BC155" s="144" t="b">
        <f>IF(AND($C155&lt;&gt;"",$N155=""),TRUE,FALSE)</f>
        <v>0</v>
      </c>
      <c r="BD155" s="142" t="b">
        <f>IF($BE155=TRUE,FALSE,IF(OR($P155&lt;$BD$5,$P155&gt;$BE$5),TRUE,FALSE))</f>
        <v>0</v>
      </c>
      <c r="BE155" s="144" t="b">
        <f>IF(AND($C155&lt;&gt;"",$P155=""),TRUE,FALSE)</f>
        <v>0</v>
      </c>
      <c r="BF155" s="144" t="b">
        <f>IF($BG155=TRUE,FALSE,IF(OR($R155&lt;$BF$5,$R155&gt;$BG$5),TRUE,FALSE))</f>
        <v>0</v>
      </c>
      <c r="BG155" s="144" t="b">
        <f>IF(AND($C155&lt;&gt;"",$R155=""),TRUE,FALSE)</f>
        <v>0</v>
      </c>
      <c r="BH155" s="160" t="b">
        <f>IF(BI155=TRUE,FALSE,IF(AND(V155&lt;&gt;"",V$11=""),TRUE,IF(AND(V155&lt;&gt;"",V$11&lt;&gt;"",$R155&lt;&gt;$AP155),TRUE,IF(OR(V155&lt;0,V155&gt;$R155),TRUE,FALSE))))</f>
        <v>0</v>
      </c>
      <c r="BI155" s="144" t="b">
        <f>IF(AND($C155&lt;&gt;"",V$11&lt;&gt;"",$V155=""),TRUE,FALSE)</f>
        <v>0</v>
      </c>
      <c r="BJ155" s="160" t="b">
        <f>IF(BK155=TRUE,FALSE,IF(AND(X155&lt;&gt;"",X$11=""),TRUE,IF(AND(X155&lt;&gt;"",X$11&lt;&gt;"",$R155&lt;&gt;$AP155),TRUE,IF(OR(X155&lt;0,X155&gt;$R155),TRUE,FALSE))))</f>
        <v>0</v>
      </c>
      <c r="BK155" s="144" t="b">
        <f>IF(AND($C155&lt;&gt;"",X$11&lt;&gt;"",$X155=""),TRUE,FALSE)</f>
        <v>0</v>
      </c>
      <c r="BL155" s="160" t="b">
        <f>IF(BM155=TRUE,FALSE,IF(AND(Z155&lt;&gt;"",Z$11=""),TRUE,IF(AND(Z155&lt;&gt;"",Z$11&lt;&gt;"",$R155&lt;&gt;$AP155),TRUE,IF(OR(Z155&lt;0,Z155&gt;$R155),TRUE,FALSE))))</f>
        <v>0</v>
      </c>
      <c r="BM155" s="144" t="b">
        <f>IF(AND($C155&lt;&gt;"",Z$11&lt;&gt;"",$Z155=""),TRUE,FALSE)</f>
        <v>0</v>
      </c>
      <c r="BN155" s="160" t="b">
        <f>IF(BO155=TRUE,FALSE,IF(AND(AB155&lt;&gt;"",AB$11=""),TRUE,IF(AND(AB155&lt;&gt;"",AB$11&lt;&gt;"",$R155&lt;&gt;$AP155),TRUE,IF(OR(AB155&lt;0,AB155&gt;$R155),TRUE,FALSE))))</f>
        <v>0</v>
      </c>
      <c r="BO155" s="144" t="b">
        <f>IF(AND($C155&lt;&gt;"",AB$11&lt;&gt;"",$AB155=""),TRUE,FALSE)</f>
        <v>0</v>
      </c>
      <c r="BP155" s="160" t="b">
        <f>IF(BQ155=TRUE,FALSE,IF(AND(AD155&lt;&gt;"",AD$11=""),TRUE,IF(AND(AD155&lt;&gt;"",AD$11&lt;&gt;"",$R155&lt;&gt;$AP155),TRUE,IF(OR(AD155&lt;0,AD155&gt;$R155),TRUE,FALSE))))</f>
        <v>0</v>
      </c>
      <c r="BQ155" s="144" t="b">
        <f>IF(AND($C155&lt;&gt;"",AD$11&lt;&gt;"",$AD155=""),TRUE,FALSE)</f>
        <v>0</v>
      </c>
      <c r="BR155" s="160" t="b">
        <f>IF(BS155=TRUE,FALSE,IF(AND(AF155&lt;&gt;"",AF$11=""),TRUE,IF(AND(AF155&lt;&gt;"",AF$11&lt;&gt;"",$R155&lt;&gt;$AP155),TRUE,IF(OR(AF155&lt;0,AF155&gt;$R155),TRUE,FALSE))))</f>
        <v>0</v>
      </c>
      <c r="BS155" s="144" t="b">
        <f>IF(AND($C155&lt;&gt;"",AF$11&lt;&gt;"",$AF155=""),TRUE,FALSE)</f>
        <v>0</v>
      </c>
      <c r="BT155" s="160" t="b">
        <f>IF(BU155=TRUE,FALSE,IF(AND(AH155&lt;&gt;"",AH$11=""),TRUE,IF(AND(AH155&lt;&gt;"",AH$11&lt;&gt;"",$R155&lt;&gt;$AP155),TRUE,IF(OR(AH155&lt;0,AH155&gt;$R155),TRUE,FALSE))))</f>
        <v>0</v>
      </c>
      <c r="BU155" s="144" t="b">
        <f>IF(AND($C155&lt;&gt;"",AH$11&lt;&gt;"",$AH155=""),TRUE,FALSE)</f>
        <v>0</v>
      </c>
      <c r="BV155" s="160" t="b">
        <f>IF(BW155=TRUE,FALSE,IF(AND(AJ155&lt;&gt;"",AJ$11=""),TRUE,IF(AND(AJ155&lt;&gt;"",AJ$11&lt;&gt;"",$R155&lt;&gt;$AP155),TRUE,IF(OR(AJ155&lt;0,AJ155&gt;$R155),TRUE,FALSE))))</f>
        <v>0</v>
      </c>
      <c r="BW155" s="144" t="b">
        <f>IF(AND($C155&lt;&gt;"",AJ$11&lt;&gt;"",$AJ155=""),TRUE,FALSE)</f>
        <v>0</v>
      </c>
      <c r="BX155" s="160" t="b">
        <f>IF(BY155=TRUE,FALSE,IF(AND(AL155&lt;&gt;"",AL$11=""),TRUE,IF(AND(AL155&lt;&gt;"",AL$11&lt;&gt;"",$R155&lt;&gt;$AP155),TRUE,IF(OR(AL155&lt;0,AL155&gt;$R155),TRUE,FALSE))))</f>
        <v>0</v>
      </c>
      <c r="BY155" s="144" t="b">
        <f>IF(AND($C155&lt;&gt;"",AL$11&lt;&gt;"",$AL155=""),TRUE,FALSE)</f>
        <v>0</v>
      </c>
      <c r="BZ155" s="160" t="b">
        <f>IF(CA155=TRUE,FALSE,IF(AND(AN155&lt;&gt;"",AN$11=""),TRUE,IF(AND(AN155&lt;&gt;"",AN$11&lt;&gt;"",$R155&lt;&gt;$AP155),TRUE,IF(OR(AN155&lt;0,AN155&gt;$R155),TRUE,FALSE))))</f>
        <v>0</v>
      </c>
      <c r="CA155" s="144" t="b">
        <f>IF(AND($C155&lt;&gt;"",AN$11&lt;&gt;"",$AN155=""),TRUE,FALSE)</f>
        <v>0</v>
      </c>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4"/>
    </row>
    <row r="156" spans="1:101" ht="6.75" customHeight="1" thickBot="1" x14ac:dyDescent="0.25">
      <c r="A156" s="228"/>
      <c r="B156" s="228"/>
      <c r="C156" s="232"/>
      <c r="D156" s="267"/>
      <c r="I156" s="267"/>
      <c r="K156" s="228"/>
      <c r="M156" s="267"/>
      <c r="O156" s="267"/>
      <c r="Q156" s="267"/>
      <c r="S156" s="267"/>
      <c r="U156" s="267"/>
      <c r="V156" s="283"/>
      <c r="W156" s="267"/>
      <c r="X156" s="283"/>
      <c r="Y156" s="267"/>
      <c r="Z156" s="283"/>
      <c r="AA156" s="267"/>
      <c r="AB156" s="283"/>
      <c r="AC156" s="267"/>
      <c r="AD156" s="283"/>
      <c r="AE156" s="267"/>
      <c r="AF156" s="283"/>
      <c r="AG156" s="267"/>
      <c r="AH156" s="283"/>
      <c r="AI156" s="267"/>
      <c r="AJ156" s="283"/>
      <c r="AK156" s="267"/>
      <c r="AL156" s="283"/>
      <c r="AM156" s="267"/>
      <c r="AN156" s="283"/>
      <c r="AO156" s="267"/>
      <c r="AP156" s="280"/>
      <c r="AQ156" s="280"/>
      <c r="AR156" s="232"/>
      <c r="AY156" s="145"/>
      <c r="AZ156" s="146"/>
      <c r="BA156" s="146"/>
      <c r="BB156" s="146"/>
      <c r="BC156" s="146"/>
      <c r="BD156" s="145"/>
      <c r="BE156" s="146"/>
      <c r="BF156" s="146"/>
      <c r="BG156" s="146"/>
      <c r="BH156" s="145"/>
      <c r="BI156" s="146"/>
      <c r="BJ156" s="145"/>
      <c r="BK156" s="146"/>
      <c r="BL156" s="145"/>
      <c r="BM156" s="146"/>
      <c r="BN156" s="145"/>
      <c r="BO156" s="146"/>
      <c r="BP156" s="145"/>
      <c r="BQ156" s="146"/>
      <c r="BR156" s="145"/>
      <c r="BS156" s="146"/>
      <c r="BT156" s="145"/>
      <c r="BU156" s="146"/>
      <c r="BV156" s="145"/>
      <c r="BW156" s="146"/>
      <c r="BX156" s="145"/>
      <c r="BY156" s="146"/>
      <c r="BZ156" s="145"/>
      <c r="CA156" s="146"/>
    </row>
    <row r="157" spans="1:101" s="101" customFormat="1" ht="12.75" customHeight="1" x14ac:dyDescent="0.2">
      <c r="A157" s="227">
        <f>A155+1</f>
        <v>71</v>
      </c>
      <c r="B157" s="227"/>
      <c r="C157" s="231"/>
      <c r="D157" s="251" t="str">
        <f>IF((C157=""),"Enter Segment "&amp;TEXT(A157,0)&amp;" Name, then Enter Data in Columns "&amp;TEXT($H$2,0)&amp;" - "&amp;TEXT($AN$2,0)&amp;"       ","")</f>
        <v xml:space="preserve">Enter Segment 71 Name, then Enter Data in Columns h - an       </v>
      </c>
      <c r="E157" s="131" t="str">
        <f>IF($AW157="B","N/A",IF(AX157="N","No",IF(AX157="Y","Yes","")))</f>
        <v>N/A</v>
      </c>
      <c r="F157" s="130"/>
      <c r="G157" s="130"/>
      <c r="H157" s="285"/>
      <c r="I157" s="251" t="str">
        <f>IF($C157&lt;&gt;"","Enter Starting Point       ","")</f>
        <v/>
      </c>
      <c r="J157" s="285"/>
      <c r="K157" s="227"/>
      <c r="L157" s="88"/>
      <c r="M157" s="251" t="str">
        <f>IF($C157&lt;&gt;"","Select from Pull-Down List  ","")</f>
        <v/>
      </c>
      <c r="N157" s="88"/>
      <c r="O157" s="251" t="str">
        <f>IF($C157&lt;&gt;"","Select from Pull-Down List  ","")</f>
        <v/>
      </c>
      <c r="P157" s="131"/>
      <c r="Q157" s="251" t="str">
        <f>IF($C157&lt;&gt;"","Dir. Route-Mi?    ","")</f>
        <v/>
      </c>
      <c r="R157" s="131"/>
      <c r="S157" s="251" t="str">
        <f>IF($C157&lt;&gt;"","Trk-Mi?      ","")</f>
        <v/>
      </c>
      <c r="T157" s="131"/>
      <c r="U157" s="251" t="str">
        <f>IF($C157&lt;&gt;"","Trk-Mi?      ","")</f>
        <v/>
      </c>
      <c r="V157" s="284"/>
      <c r="W157" s="278" t="str">
        <f>IF(OR($R157="",V$11=""),"","0 - "&amp;TEXT($R157-$AP157,"0.0")&amp;" Trk-Mi?    ")</f>
        <v/>
      </c>
      <c r="X157" s="284"/>
      <c r="Y157" s="278" t="str">
        <f>IF(OR($R157="",X$11=""),"","0 - "&amp;TEXT($R157-$AP157,"0.0")&amp;" Trk-Mi?    ")</f>
        <v/>
      </c>
      <c r="Z157" s="284"/>
      <c r="AA157" s="278" t="str">
        <f>IF(OR($R157="",Z$11=""),"","0 - "&amp;TEXT($R157-$AP157,"0.0")&amp;" Trk-Mi?    ")</f>
        <v/>
      </c>
      <c r="AB157" s="284"/>
      <c r="AC157" s="278" t="str">
        <f>IF(OR($R157="",AB$11=""),"","0 - "&amp;TEXT($R157-$AP157,"0.0")&amp;" Trk-Mi?    ")</f>
        <v/>
      </c>
      <c r="AD157" s="284"/>
      <c r="AE157" s="278" t="str">
        <f>IF(OR($R157="",AD$11=""),"","0 - "&amp;TEXT($R157-$AP157,"0.0")&amp;" Trk-Mi?    ")</f>
        <v/>
      </c>
      <c r="AF157" s="284"/>
      <c r="AG157" s="278" t="str">
        <f>IF(OR($R157="",AF$11=""),"","0 - "&amp;TEXT($R157-$AP157,"0.0")&amp;" Trk-Mi?    ")</f>
        <v/>
      </c>
      <c r="AH157" s="284"/>
      <c r="AI157" s="278" t="str">
        <f>IF(OR($R157="",AH$11=""),"","0 - "&amp;TEXT($R157-$AP157,"0.0")&amp;" Trk-Mi?    ")</f>
        <v/>
      </c>
      <c r="AJ157" s="284"/>
      <c r="AK157" s="278" t="str">
        <f>IF(OR($R157="",AJ$11=""),"","0 - "&amp;TEXT($R157-$AP157,"0.0")&amp;" Trk-Mi?    ")</f>
        <v/>
      </c>
      <c r="AL157" s="284"/>
      <c r="AM157" s="278" t="str">
        <f>IF(OR($R157="",AL$11=""),"","0 - "&amp;TEXT($R157-$AP157,"0.0")&amp;" Trk-Mi?    ")</f>
        <v/>
      </c>
      <c r="AN157" s="284"/>
      <c r="AO157" s="278" t="str">
        <f>IF(OR($R157="",AN$11=""),"","0 - "&amp;TEXT($R157-$AP157,"0.0")&amp;" Trk-Mi?    ")</f>
        <v/>
      </c>
      <c r="AP157" s="282">
        <f>SUM(V157,X157,Z157,AB157,AD157,AF157,AH157,AJ157,AL157,AN157)</f>
        <v>0</v>
      </c>
      <c r="AQ157" s="278"/>
      <c r="AR157" s="234"/>
      <c r="AS157" s="107"/>
      <c r="AT157" s="107"/>
      <c r="AU157" s="107"/>
      <c r="AW157" s="107" t="str">
        <f>IF(AND($C157="",$H157="",$J157="",$L157="",$N157="",$P157="",$R157=""),"B","NB")</f>
        <v>B</v>
      </c>
      <c r="AX157" s="241" t="str">
        <f>IF(OR($C157="",$H157="",$J157="",$L157="",$N157="",$R157="",$P157="",AND($V$11&lt;&gt;"",$V157=""),AND($X$11&lt;&gt;"",$X157=""),AND($Z$11&lt;&gt;"",$Z157=""),AND($AB$11&lt;&gt;"",$AB157=""),AND($AD$11&lt;&gt;"",$AD157=""),AND($AF$11&lt;&gt;"",$AF157=""),AND($AH$11&lt;&gt;"",$AH157=""),AND($AJ$11&lt;&gt;"",$AJ157=""),AND($AL$11&lt;&gt;"",$AL157=""),AND($AN$11&lt;&gt;"",$AN157="")),"N","Y")</f>
        <v>N</v>
      </c>
      <c r="AY157" s="142" t="b">
        <f>IF(AND($C157="",OR($H157&lt;&gt;"",$J157&lt;&gt;"",$L157&lt;&gt;"",$N157&lt;&gt;"",$R157&lt;&gt;"",$P157&lt;&gt;"",AND($V$11&lt;&gt;"",$V157&lt;&gt;""),AND($X$11&lt;&gt;"",$X157&lt;&gt;""),AND($Z$11&lt;&gt;"",$Z157&lt;&gt;""),AND($AB$11&lt;&gt;"",$AB157&lt;&gt;""),AND($AD$11&lt;&gt;"",$AD157&lt;&gt;""),AND($AF$11&lt;&gt;"",$AF157&lt;&gt;""),AND($AH$11&lt;&gt;"",$AH157&lt;&gt;""),AND($AJ$11&lt;&gt;"",$AJ157&lt;&gt;""),AND($AL$11&lt;&gt;"",$AL157&lt;&gt;""),AND($AN$11&lt;&gt;"",$AN157&lt;&gt;""))),TRUE,FALSE)</f>
        <v>0</v>
      </c>
      <c r="AZ157" s="144" t="b">
        <f>IF(AND($C157&lt;&gt;"",$H157=""),TRUE,FALSE)</f>
        <v>0</v>
      </c>
      <c r="BA157" s="144" t="b">
        <f>IF(AND($C157&lt;&gt;"",$J157=""),TRUE,FALSE)</f>
        <v>0</v>
      </c>
      <c r="BB157" s="144" t="b">
        <f>IF(AND($C157&lt;&gt;"",$L157=""),TRUE,FALSE)</f>
        <v>0</v>
      </c>
      <c r="BC157" s="144" t="b">
        <f>IF(AND($C157&lt;&gt;"",$N157=""),TRUE,FALSE)</f>
        <v>0</v>
      </c>
      <c r="BD157" s="142" t="b">
        <f>IF($BE157=TRUE,FALSE,IF(OR($P157&lt;$BD$5,$P157&gt;$BE$5),TRUE,FALSE))</f>
        <v>0</v>
      </c>
      <c r="BE157" s="144" t="b">
        <f>IF(AND($C157&lt;&gt;"",$P157=""),TRUE,FALSE)</f>
        <v>0</v>
      </c>
      <c r="BF157" s="144" t="b">
        <f>IF($BG157=TRUE,FALSE,IF(OR($R157&lt;$BF$5,$R157&gt;$BG$5),TRUE,FALSE))</f>
        <v>0</v>
      </c>
      <c r="BG157" s="144" t="b">
        <f>IF(AND($C157&lt;&gt;"",$R157=""),TRUE,FALSE)</f>
        <v>0</v>
      </c>
      <c r="BH157" s="160" t="b">
        <f>IF(BI157=TRUE,FALSE,IF(AND(V157&lt;&gt;"",V$11=""),TRUE,IF(AND(V157&lt;&gt;"",V$11&lt;&gt;"",$R157&lt;&gt;$AP157),TRUE,IF(OR(V157&lt;0,V157&gt;$R157),TRUE,FALSE))))</f>
        <v>0</v>
      </c>
      <c r="BI157" s="144" t="b">
        <f>IF(AND($C157&lt;&gt;"",V$11&lt;&gt;"",$V157=""),TRUE,FALSE)</f>
        <v>0</v>
      </c>
      <c r="BJ157" s="160" t="b">
        <f>IF(BK157=TRUE,FALSE,IF(AND(X157&lt;&gt;"",X$11=""),TRUE,IF(AND(X157&lt;&gt;"",X$11&lt;&gt;"",$R157&lt;&gt;$AP157),TRUE,IF(OR(X157&lt;0,X157&gt;$R157),TRUE,FALSE))))</f>
        <v>0</v>
      </c>
      <c r="BK157" s="144" t="b">
        <f>IF(AND($C157&lt;&gt;"",X$11&lt;&gt;"",$X157=""),TRUE,FALSE)</f>
        <v>0</v>
      </c>
      <c r="BL157" s="160" t="b">
        <f>IF(BM157=TRUE,FALSE,IF(AND(Z157&lt;&gt;"",Z$11=""),TRUE,IF(AND(Z157&lt;&gt;"",Z$11&lt;&gt;"",$R157&lt;&gt;$AP157),TRUE,IF(OR(Z157&lt;0,Z157&gt;$R157),TRUE,FALSE))))</f>
        <v>0</v>
      </c>
      <c r="BM157" s="144" t="b">
        <f>IF(AND($C157&lt;&gt;"",Z$11&lt;&gt;"",$Z157=""),TRUE,FALSE)</f>
        <v>0</v>
      </c>
      <c r="BN157" s="160" t="b">
        <f>IF(BO157=TRUE,FALSE,IF(AND(AB157&lt;&gt;"",AB$11=""),TRUE,IF(AND(AB157&lt;&gt;"",AB$11&lt;&gt;"",$R157&lt;&gt;$AP157),TRUE,IF(OR(AB157&lt;0,AB157&gt;$R157),TRUE,FALSE))))</f>
        <v>0</v>
      </c>
      <c r="BO157" s="144" t="b">
        <f>IF(AND($C157&lt;&gt;"",AB$11&lt;&gt;"",$AB157=""),TRUE,FALSE)</f>
        <v>0</v>
      </c>
      <c r="BP157" s="160" t="b">
        <f>IF(BQ157=TRUE,FALSE,IF(AND(AD157&lt;&gt;"",AD$11=""),TRUE,IF(AND(AD157&lt;&gt;"",AD$11&lt;&gt;"",$R157&lt;&gt;$AP157),TRUE,IF(OR(AD157&lt;0,AD157&gt;$R157),TRUE,FALSE))))</f>
        <v>0</v>
      </c>
      <c r="BQ157" s="144" t="b">
        <f>IF(AND($C157&lt;&gt;"",AD$11&lt;&gt;"",$AD157=""),TRUE,FALSE)</f>
        <v>0</v>
      </c>
      <c r="BR157" s="160" t="b">
        <f>IF(BS157=TRUE,FALSE,IF(AND(AF157&lt;&gt;"",AF$11=""),TRUE,IF(AND(AF157&lt;&gt;"",AF$11&lt;&gt;"",$R157&lt;&gt;$AP157),TRUE,IF(OR(AF157&lt;0,AF157&gt;$R157),TRUE,FALSE))))</f>
        <v>0</v>
      </c>
      <c r="BS157" s="144" t="b">
        <f>IF(AND($C157&lt;&gt;"",AF$11&lt;&gt;"",$AF157=""),TRUE,FALSE)</f>
        <v>0</v>
      </c>
      <c r="BT157" s="160" t="b">
        <f>IF(BU157=TRUE,FALSE,IF(AND(AH157&lt;&gt;"",AH$11=""),TRUE,IF(AND(AH157&lt;&gt;"",AH$11&lt;&gt;"",$R157&lt;&gt;$AP157),TRUE,IF(OR(AH157&lt;0,AH157&gt;$R157),TRUE,FALSE))))</f>
        <v>0</v>
      </c>
      <c r="BU157" s="144" t="b">
        <f>IF(AND($C157&lt;&gt;"",AH$11&lt;&gt;"",$AH157=""),TRUE,FALSE)</f>
        <v>0</v>
      </c>
      <c r="BV157" s="160" t="b">
        <f>IF(BW157=TRUE,FALSE,IF(AND(AJ157&lt;&gt;"",AJ$11=""),TRUE,IF(AND(AJ157&lt;&gt;"",AJ$11&lt;&gt;"",$R157&lt;&gt;$AP157),TRUE,IF(OR(AJ157&lt;0,AJ157&gt;$R157),TRUE,FALSE))))</f>
        <v>0</v>
      </c>
      <c r="BW157" s="144" t="b">
        <f>IF(AND($C157&lt;&gt;"",AJ$11&lt;&gt;"",$AJ157=""),TRUE,FALSE)</f>
        <v>0</v>
      </c>
      <c r="BX157" s="160" t="b">
        <f>IF(BY157=TRUE,FALSE,IF(AND(AL157&lt;&gt;"",AL$11=""),TRUE,IF(AND(AL157&lt;&gt;"",AL$11&lt;&gt;"",$R157&lt;&gt;$AP157),TRUE,IF(OR(AL157&lt;0,AL157&gt;$R157),TRUE,FALSE))))</f>
        <v>0</v>
      </c>
      <c r="BY157" s="144" t="b">
        <f>IF(AND($C157&lt;&gt;"",AL$11&lt;&gt;"",$AL157=""),TRUE,FALSE)</f>
        <v>0</v>
      </c>
      <c r="BZ157" s="160" t="b">
        <f>IF(CA157=TRUE,FALSE,IF(AND(AN157&lt;&gt;"",AN$11=""),TRUE,IF(AND(AN157&lt;&gt;"",AN$11&lt;&gt;"",$R157&lt;&gt;$AP157),TRUE,IF(OR(AN157&lt;0,AN157&gt;$R157),TRUE,FALSE))))</f>
        <v>0</v>
      </c>
      <c r="CA157" s="144" t="b">
        <f>IF(AND($C157&lt;&gt;"",AN$11&lt;&gt;"",$AN157=""),TRUE,FALSE)</f>
        <v>0</v>
      </c>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4"/>
    </row>
    <row r="158" spans="1:101" ht="6.75" customHeight="1" thickBot="1" x14ac:dyDescent="0.25">
      <c r="A158" s="228"/>
      <c r="B158" s="228"/>
      <c r="C158" s="232"/>
      <c r="D158" s="267"/>
      <c r="I158" s="267"/>
      <c r="K158" s="228"/>
      <c r="M158" s="267"/>
      <c r="O158" s="267"/>
      <c r="Q158" s="267"/>
      <c r="S158" s="267"/>
      <c r="U158" s="267"/>
      <c r="V158" s="283"/>
      <c r="W158" s="267"/>
      <c r="X158" s="283"/>
      <c r="Y158" s="267"/>
      <c r="Z158" s="283"/>
      <c r="AA158" s="267"/>
      <c r="AB158" s="283"/>
      <c r="AC158" s="267"/>
      <c r="AD158" s="283"/>
      <c r="AE158" s="267"/>
      <c r="AF158" s="283"/>
      <c r="AG158" s="267"/>
      <c r="AH158" s="283"/>
      <c r="AI158" s="267"/>
      <c r="AJ158" s="283"/>
      <c r="AK158" s="267"/>
      <c r="AL158" s="283"/>
      <c r="AM158" s="267"/>
      <c r="AN158" s="283"/>
      <c r="AO158" s="267"/>
      <c r="AP158" s="267"/>
      <c r="AQ158" s="267"/>
      <c r="AR158" s="232"/>
      <c r="AY158" s="145"/>
      <c r="AZ158" s="146"/>
      <c r="BA158" s="146"/>
      <c r="BB158" s="146"/>
      <c r="BC158" s="146"/>
      <c r="BD158" s="145"/>
      <c r="BE158" s="146"/>
      <c r="BF158" s="146"/>
      <c r="BG158" s="146"/>
      <c r="BH158" s="145"/>
      <c r="BI158" s="146"/>
      <c r="BJ158" s="145"/>
      <c r="BK158" s="146"/>
      <c r="BL158" s="145"/>
      <c r="BM158" s="146"/>
      <c r="BN158" s="145"/>
      <c r="BO158" s="146"/>
      <c r="BP158" s="145"/>
      <c r="BQ158" s="146"/>
      <c r="BR158" s="145"/>
      <c r="BS158" s="146"/>
      <c r="BT158" s="145"/>
      <c r="BU158" s="146"/>
      <c r="BV158" s="145"/>
      <c r="BW158" s="146"/>
      <c r="BX158" s="145"/>
      <c r="BY158" s="146"/>
      <c r="BZ158" s="145"/>
      <c r="CA158" s="146"/>
    </row>
    <row r="159" spans="1:101" s="101" customFormat="1" ht="12.75" customHeight="1" x14ac:dyDescent="0.2">
      <c r="A159" s="227">
        <f>A157+1</f>
        <v>72</v>
      </c>
      <c r="B159" s="227"/>
      <c r="C159" s="231"/>
      <c r="D159" s="251" t="str">
        <f>IF((C159=""),"Enter Segment "&amp;TEXT(A159,0)&amp;" Name, then Enter Data in Columns "&amp;TEXT($H$2,0)&amp;" - "&amp;TEXT($AN$2,0)&amp;"       ","")</f>
        <v xml:space="preserve">Enter Segment 72 Name, then Enter Data in Columns h - an       </v>
      </c>
      <c r="E159" s="131" t="str">
        <f>IF($AW159="B","N/A",IF(AX159="N","No",IF(AX159="Y","Yes","")))</f>
        <v>N/A</v>
      </c>
      <c r="F159" s="130"/>
      <c r="G159" s="130"/>
      <c r="H159" s="285"/>
      <c r="I159" s="251" t="str">
        <f>IF($C159&lt;&gt;"","Enter Starting Point       ","")</f>
        <v/>
      </c>
      <c r="J159" s="285"/>
      <c r="K159" s="227"/>
      <c r="L159" s="88"/>
      <c r="M159" s="251" t="str">
        <f>IF($C159&lt;&gt;"","Select from Pull-Down List  ","")</f>
        <v/>
      </c>
      <c r="N159" s="88"/>
      <c r="O159" s="251" t="str">
        <f>IF($C159&lt;&gt;"","Select from Pull-Down List  ","")</f>
        <v/>
      </c>
      <c r="P159" s="131"/>
      <c r="Q159" s="251" t="str">
        <f>IF($C159&lt;&gt;"","Dir. Route-Mi?    ","")</f>
        <v/>
      </c>
      <c r="R159" s="131"/>
      <c r="S159" s="251" t="str">
        <f>IF($C159&lt;&gt;"","Trk-Mi?      ","")</f>
        <v/>
      </c>
      <c r="T159" s="131"/>
      <c r="U159" s="251" t="str">
        <f>IF($C159&lt;&gt;"","Trk-Mi?      ","")</f>
        <v/>
      </c>
      <c r="V159" s="284"/>
      <c r="W159" s="278" t="str">
        <f>IF(OR($R159="",V$11=""),"","0 - "&amp;TEXT($R159-$AP159,"0.0")&amp;" Trk-Mi?    ")</f>
        <v/>
      </c>
      <c r="X159" s="284"/>
      <c r="Y159" s="278" t="str">
        <f>IF(OR($R159="",X$11=""),"","0 - "&amp;TEXT($R159-$AP159,"0.0")&amp;" Trk-Mi?    ")</f>
        <v/>
      </c>
      <c r="Z159" s="284"/>
      <c r="AA159" s="278" t="str">
        <f>IF(OR($R159="",Z$11=""),"","0 - "&amp;TEXT($R159-$AP159,"0.0")&amp;" Trk-Mi?    ")</f>
        <v/>
      </c>
      <c r="AB159" s="284"/>
      <c r="AC159" s="278" t="str">
        <f>IF(OR($R159="",AB$11=""),"","0 - "&amp;TEXT($R159-$AP159,"0.0")&amp;" Trk-Mi?    ")</f>
        <v/>
      </c>
      <c r="AD159" s="284"/>
      <c r="AE159" s="278" t="str">
        <f>IF(OR($R159="",AD$11=""),"","0 - "&amp;TEXT($R159-$AP159,"0.0")&amp;" Trk-Mi?    ")</f>
        <v/>
      </c>
      <c r="AF159" s="284"/>
      <c r="AG159" s="278" t="str">
        <f>IF(OR($R159="",AF$11=""),"","0 - "&amp;TEXT($R159-$AP159,"0.0")&amp;" Trk-Mi?    ")</f>
        <v/>
      </c>
      <c r="AH159" s="284"/>
      <c r="AI159" s="278" t="str">
        <f>IF(OR($R159="",AH$11=""),"","0 - "&amp;TEXT($R159-$AP159,"0.0")&amp;" Trk-Mi?    ")</f>
        <v/>
      </c>
      <c r="AJ159" s="284"/>
      <c r="AK159" s="278" t="str">
        <f>IF(OR($R159="",AJ$11=""),"","0 - "&amp;TEXT($R159-$AP159,"0.0")&amp;" Trk-Mi?    ")</f>
        <v/>
      </c>
      <c r="AL159" s="284"/>
      <c r="AM159" s="278" t="str">
        <f>IF(OR($R159="",AL$11=""),"","0 - "&amp;TEXT($R159-$AP159,"0.0")&amp;" Trk-Mi?    ")</f>
        <v/>
      </c>
      <c r="AN159" s="284"/>
      <c r="AO159" s="278" t="str">
        <f>IF(OR($R159="",AN$11=""),"","0 - "&amp;TEXT($R159-$AP159,"0.0")&amp;" Trk-Mi?    ")</f>
        <v/>
      </c>
      <c r="AP159" s="282">
        <f>SUM(V159,X159,Z159,AB159,AD159,AF159,AH159,AJ159,AL159,AN159)</f>
        <v>0</v>
      </c>
      <c r="AQ159" s="278"/>
      <c r="AR159" s="234"/>
      <c r="AS159" s="107"/>
      <c r="AT159" s="107"/>
      <c r="AU159" s="107"/>
      <c r="AW159" s="107" t="str">
        <f>IF(AND($C159="",$H159="",$J159="",$L159="",$N159="",$P159="",$R159=""),"B","NB")</f>
        <v>B</v>
      </c>
      <c r="AX159" s="241" t="str">
        <f>IF(OR($C159="",$H159="",$J159="",$L159="",$N159="",$R159="",$P159="",AND($V$11&lt;&gt;"",$V159=""),AND($X$11&lt;&gt;"",$X159=""),AND($Z$11&lt;&gt;"",$Z159=""),AND($AB$11&lt;&gt;"",$AB159=""),AND($AD$11&lt;&gt;"",$AD159=""),AND($AF$11&lt;&gt;"",$AF159=""),AND($AH$11&lt;&gt;"",$AH159=""),AND($AJ$11&lt;&gt;"",$AJ159=""),AND($AL$11&lt;&gt;"",$AL159=""),AND($AN$11&lt;&gt;"",$AN159="")),"N","Y")</f>
        <v>N</v>
      </c>
      <c r="AY159" s="142" t="b">
        <f>IF(AND($C159="",OR($H159&lt;&gt;"",$J159&lt;&gt;"",$L159&lt;&gt;"",$N159&lt;&gt;"",$R159&lt;&gt;"",$P159&lt;&gt;"",AND($V$11&lt;&gt;"",$V159&lt;&gt;""),AND($X$11&lt;&gt;"",$X159&lt;&gt;""),AND($Z$11&lt;&gt;"",$Z159&lt;&gt;""),AND($AB$11&lt;&gt;"",$AB159&lt;&gt;""),AND($AD$11&lt;&gt;"",$AD159&lt;&gt;""),AND($AF$11&lt;&gt;"",$AF159&lt;&gt;""),AND($AH$11&lt;&gt;"",$AH159&lt;&gt;""),AND($AJ$11&lt;&gt;"",$AJ159&lt;&gt;""),AND($AL$11&lt;&gt;"",$AL159&lt;&gt;""),AND($AN$11&lt;&gt;"",$AN159&lt;&gt;""))),TRUE,FALSE)</f>
        <v>0</v>
      </c>
      <c r="AZ159" s="144" t="b">
        <f>IF(AND($C159&lt;&gt;"",$H159=""),TRUE,FALSE)</f>
        <v>0</v>
      </c>
      <c r="BA159" s="144" t="b">
        <f>IF(AND($C159&lt;&gt;"",$J159=""),TRUE,FALSE)</f>
        <v>0</v>
      </c>
      <c r="BB159" s="144" t="b">
        <f>IF(AND($C159&lt;&gt;"",$L159=""),TRUE,FALSE)</f>
        <v>0</v>
      </c>
      <c r="BC159" s="144" t="b">
        <f>IF(AND($C159&lt;&gt;"",$N159=""),TRUE,FALSE)</f>
        <v>0</v>
      </c>
      <c r="BD159" s="142" t="b">
        <f>IF($BE159=TRUE,FALSE,IF(OR($P159&lt;$BD$5,$P159&gt;$BE$5),TRUE,FALSE))</f>
        <v>0</v>
      </c>
      <c r="BE159" s="144" t="b">
        <f>IF(AND($C159&lt;&gt;"",$P159=""),TRUE,FALSE)</f>
        <v>0</v>
      </c>
      <c r="BF159" s="144" t="b">
        <f>IF($BG159=TRUE,FALSE,IF(OR($R159&lt;$BF$5,$R159&gt;$BG$5),TRUE,FALSE))</f>
        <v>0</v>
      </c>
      <c r="BG159" s="144" t="b">
        <f>IF(AND($C159&lt;&gt;"",$R159=""),TRUE,FALSE)</f>
        <v>0</v>
      </c>
      <c r="BH159" s="160" t="b">
        <f>IF(BI159=TRUE,FALSE,IF(AND(V159&lt;&gt;"",V$11=""),TRUE,IF(AND(V159&lt;&gt;"",V$11&lt;&gt;"",$R159&lt;&gt;$AP159),TRUE,IF(OR(V159&lt;0,V159&gt;$R159),TRUE,FALSE))))</f>
        <v>0</v>
      </c>
      <c r="BI159" s="144" t="b">
        <f>IF(AND($C159&lt;&gt;"",V$11&lt;&gt;"",$V159=""),TRUE,FALSE)</f>
        <v>0</v>
      </c>
      <c r="BJ159" s="160" t="b">
        <f>IF(BK159=TRUE,FALSE,IF(AND(X159&lt;&gt;"",X$11=""),TRUE,IF(AND(X159&lt;&gt;"",X$11&lt;&gt;"",$R159&lt;&gt;$AP159),TRUE,IF(OR(X159&lt;0,X159&gt;$R159),TRUE,FALSE))))</f>
        <v>0</v>
      </c>
      <c r="BK159" s="144" t="b">
        <f>IF(AND($C159&lt;&gt;"",X$11&lt;&gt;"",$X159=""),TRUE,FALSE)</f>
        <v>0</v>
      </c>
      <c r="BL159" s="160" t="b">
        <f>IF(BM159=TRUE,FALSE,IF(AND(Z159&lt;&gt;"",Z$11=""),TRUE,IF(AND(Z159&lt;&gt;"",Z$11&lt;&gt;"",$R159&lt;&gt;$AP159),TRUE,IF(OR(Z159&lt;0,Z159&gt;$R159),TRUE,FALSE))))</f>
        <v>0</v>
      </c>
      <c r="BM159" s="144" t="b">
        <f>IF(AND($C159&lt;&gt;"",Z$11&lt;&gt;"",$Z159=""),TRUE,FALSE)</f>
        <v>0</v>
      </c>
      <c r="BN159" s="160" t="b">
        <f>IF(BO159=TRUE,FALSE,IF(AND(AB159&lt;&gt;"",AB$11=""),TRUE,IF(AND(AB159&lt;&gt;"",AB$11&lt;&gt;"",$R159&lt;&gt;$AP159),TRUE,IF(OR(AB159&lt;0,AB159&gt;$R159),TRUE,FALSE))))</f>
        <v>0</v>
      </c>
      <c r="BO159" s="144" t="b">
        <f>IF(AND($C159&lt;&gt;"",AB$11&lt;&gt;"",$AB159=""),TRUE,FALSE)</f>
        <v>0</v>
      </c>
      <c r="BP159" s="160" t="b">
        <f>IF(BQ159=TRUE,FALSE,IF(AND(AD159&lt;&gt;"",AD$11=""),TRUE,IF(AND(AD159&lt;&gt;"",AD$11&lt;&gt;"",$R159&lt;&gt;$AP159),TRUE,IF(OR(AD159&lt;0,AD159&gt;$R159),TRUE,FALSE))))</f>
        <v>0</v>
      </c>
      <c r="BQ159" s="144" t="b">
        <f>IF(AND($C159&lt;&gt;"",AD$11&lt;&gt;"",$AD159=""),TRUE,FALSE)</f>
        <v>0</v>
      </c>
      <c r="BR159" s="160" t="b">
        <f>IF(BS159=TRUE,FALSE,IF(AND(AF159&lt;&gt;"",AF$11=""),TRUE,IF(AND(AF159&lt;&gt;"",AF$11&lt;&gt;"",$R159&lt;&gt;$AP159),TRUE,IF(OR(AF159&lt;0,AF159&gt;$R159),TRUE,FALSE))))</f>
        <v>0</v>
      </c>
      <c r="BS159" s="144" t="b">
        <f>IF(AND($C159&lt;&gt;"",AF$11&lt;&gt;"",$AF159=""),TRUE,FALSE)</f>
        <v>0</v>
      </c>
      <c r="BT159" s="160" t="b">
        <f>IF(BU159=TRUE,FALSE,IF(AND(AH159&lt;&gt;"",AH$11=""),TRUE,IF(AND(AH159&lt;&gt;"",AH$11&lt;&gt;"",$R159&lt;&gt;$AP159),TRUE,IF(OR(AH159&lt;0,AH159&gt;$R159),TRUE,FALSE))))</f>
        <v>0</v>
      </c>
      <c r="BU159" s="144" t="b">
        <f>IF(AND($C159&lt;&gt;"",AH$11&lt;&gt;"",$AH159=""),TRUE,FALSE)</f>
        <v>0</v>
      </c>
      <c r="BV159" s="160" t="b">
        <f>IF(BW159=TRUE,FALSE,IF(AND(AJ159&lt;&gt;"",AJ$11=""),TRUE,IF(AND(AJ159&lt;&gt;"",AJ$11&lt;&gt;"",$R159&lt;&gt;$AP159),TRUE,IF(OR(AJ159&lt;0,AJ159&gt;$R159),TRUE,FALSE))))</f>
        <v>0</v>
      </c>
      <c r="BW159" s="144" t="b">
        <f>IF(AND($C159&lt;&gt;"",AJ$11&lt;&gt;"",$AJ159=""),TRUE,FALSE)</f>
        <v>0</v>
      </c>
      <c r="BX159" s="160" t="b">
        <f>IF(BY159=TRUE,FALSE,IF(AND(AL159&lt;&gt;"",AL$11=""),TRUE,IF(AND(AL159&lt;&gt;"",AL$11&lt;&gt;"",$R159&lt;&gt;$AP159),TRUE,IF(OR(AL159&lt;0,AL159&gt;$R159),TRUE,FALSE))))</f>
        <v>0</v>
      </c>
      <c r="BY159" s="144" t="b">
        <f>IF(AND($C159&lt;&gt;"",AL$11&lt;&gt;"",$AL159=""),TRUE,FALSE)</f>
        <v>0</v>
      </c>
      <c r="BZ159" s="160" t="b">
        <f>IF(CA159=TRUE,FALSE,IF(AND(AN159&lt;&gt;"",AN$11=""),TRUE,IF(AND(AN159&lt;&gt;"",AN$11&lt;&gt;"",$R159&lt;&gt;$AP159),TRUE,IF(OR(AN159&lt;0,AN159&gt;$R159),TRUE,FALSE))))</f>
        <v>0</v>
      </c>
      <c r="CA159" s="144" t="b">
        <f>IF(AND($C159&lt;&gt;"",AN$11&lt;&gt;"",$AN159=""),TRUE,FALSE)</f>
        <v>0</v>
      </c>
      <c r="CB159" s="133"/>
      <c r="CC159" s="133"/>
      <c r="CD159" s="133"/>
      <c r="CE159" s="133"/>
      <c r="CF159" s="133"/>
      <c r="CG159" s="133"/>
      <c r="CH159" s="133"/>
      <c r="CI159" s="133"/>
      <c r="CJ159" s="133"/>
      <c r="CK159" s="133"/>
      <c r="CL159" s="133"/>
      <c r="CM159" s="133"/>
      <c r="CN159" s="133"/>
      <c r="CO159" s="133"/>
      <c r="CP159" s="133"/>
      <c r="CQ159" s="133"/>
      <c r="CR159" s="133"/>
      <c r="CS159" s="133"/>
      <c r="CT159" s="133"/>
      <c r="CU159" s="133"/>
      <c r="CV159" s="133"/>
      <c r="CW159" s="134"/>
    </row>
    <row r="160" spans="1:101" ht="6.75" customHeight="1" thickBot="1" x14ac:dyDescent="0.25">
      <c r="A160" s="228"/>
      <c r="B160" s="228"/>
      <c r="C160" s="232"/>
      <c r="D160" s="267"/>
      <c r="I160" s="267"/>
      <c r="K160" s="228"/>
      <c r="M160" s="267"/>
      <c r="O160" s="267"/>
      <c r="Q160" s="267"/>
      <c r="S160" s="267"/>
      <c r="U160" s="267"/>
      <c r="V160" s="283"/>
      <c r="W160" s="267"/>
      <c r="X160" s="283"/>
      <c r="Y160" s="267"/>
      <c r="Z160" s="283"/>
      <c r="AA160" s="267"/>
      <c r="AB160" s="283"/>
      <c r="AC160" s="267"/>
      <c r="AD160" s="283"/>
      <c r="AE160" s="267"/>
      <c r="AF160" s="283"/>
      <c r="AG160" s="267"/>
      <c r="AH160" s="283"/>
      <c r="AI160" s="267"/>
      <c r="AJ160" s="283"/>
      <c r="AK160" s="267"/>
      <c r="AL160" s="283"/>
      <c r="AM160" s="267"/>
      <c r="AN160" s="283"/>
      <c r="AO160" s="267"/>
      <c r="AP160" s="267"/>
      <c r="AQ160" s="267"/>
      <c r="AR160" s="232"/>
      <c r="AY160" s="145"/>
      <c r="AZ160" s="146"/>
      <c r="BA160" s="146"/>
      <c r="BB160" s="146"/>
      <c r="BC160" s="146"/>
      <c r="BD160" s="145"/>
      <c r="BE160" s="146"/>
      <c r="BF160" s="146"/>
      <c r="BG160" s="146"/>
      <c r="BH160" s="145"/>
      <c r="BI160" s="146"/>
      <c r="BJ160" s="145"/>
      <c r="BK160" s="146"/>
      <c r="BL160" s="145"/>
      <c r="BM160" s="146"/>
      <c r="BN160" s="145"/>
      <c r="BO160" s="146"/>
      <c r="BP160" s="145"/>
      <c r="BQ160" s="146"/>
      <c r="BR160" s="145"/>
      <c r="BS160" s="146"/>
      <c r="BT160" s="145"/>
      <c r="BU160" s="146"/>
      <c r="BV160" s="145"/>
      <c r="BW160" s="146"/>
      <c r="BX160" s="145"/>
      <c r="BY160" s="146"/>
      <c r="BZ160" s="145"/>
      <c r="CA160" s="146"/>
    </row>
    <row r="161" spans="1:101" s="101" customFormat="1" ht="12.75" customHeight="1" x14ac:dyDescent="0.2">
      <c r="A161" s="227">
        <f>A159+1</f>
        <v>73</v>
      </c>
      <c r="B161" s="227"/>
      <c r="C161" s="231"/>
      <c r="D161" s="251" t="str">
        <f>IF((C161=""),"Enter Segment "&amp;TEXT(A161,0)&amp;" Name, then Enter Data in Columns "&amp;TEXT($H$2,0)&amp;" - "&amp;TEXT($AN$2,0)&amp;"       ","")</f>
        <v xml:space="preserve">Enter Segment 73 Name, then Enter Data in Columns h - an       </v>
      </c>
      <c r="E161" s="131" t="str">
        <f>IF($AW161="B","N/A",IF(AX161="N","No",IF(AX161="Y","Yes","")))</f>
        <v>N/A</v>
      </c>
      <c r="F161" s="130"/>
      <c r="G161" s="130"/>
      <c r="H161" s="285"/>
      <c r="I161" s="251" t="str">
        <f>IF($C161&lt;&gt;"","Enter Starting Point       ","")</f>
        <v/>
      </c>
      <c r="J161" s="285"/>
      <c r="K161" s="227"/>
      <c r="L161" s="88"/>
      <c r="M161" s="251" t="str">
        <f>IF($C161&lt;&gt;"","Select from Pull-Down List  ","")</f>
        <v/>
      </c>
      <c r="N161" s="88"/>
      <c r="O161" s="251" t="str">
        <f>IF($C161&lt;&gt;"","Select from Pull-Down List  ","")</f>
        <v/>
      </c>
      <c r="P161" s="131"/>
      <c r="Q161" s="251" t="str">
        <f>IF($C161&lt;&gt;"","Dir. Route-Mi?    ","")</f>
        <v/>
      </c>
      <c r="R161" s="131"/>
      <c r="S161" s="251" t="str">
        <f>IF($C161&lt;&gt;"","Trk-Mi?      ","")</f>
        <v/>
      </c>
      <c r="T161" s="131"/>
      <c r="U161" s="251" t="str">
        <f>IF($C161&lt;&gt;"","Trk-Mi?      ","")</f>
        <v/>
      </c>
      <c r="V161" s="284"/>
      <c r="W161" s="278" t="str">
        <f>IF(OR($R161="",V$11=""),"","0 - "&amp;TEXT($R161-$AP161,"0.0")&amp;" Trk-Mi?    ")</f>
        <v/>
      </c>
      <c r="X161" s="284"/>
      <c r="Y161" s="278" t="str">
        <f>IF(OR($R161="",X$11=""),"","0 - "&amp;TEXT($R161-$AP161,"0.0")&amp;" Trk-Mi?    ")</f>
        <v/>
      </c>
      <c r="Z161" s="284"/>
      <c r="AA161" s="278" t="str">
        <f>IF(OR($R161="",Z$11=""),"","0 - "&amp;TEXT($R161-$AP161,"0.0")&amp;" Trk-Mi?    ")</f>
        <v/>
      </c>
      <c r="AB161" s="284"/>
      <c r="AC161" s="278" t="str">
        <f>IF(OR($R161="",AB$11=""),"","0 - "&amp;TEXT($R161-$AP161,"0.0")&amp;" Trk-Mi?    ")</f>
        <v/>
      </c>
      <c r="AD161" s="284"/>
      <c r="AE161" s="278" t="str">
        <f>IF(OR($R161="",AD$11=""),"","0 - "&amp;TEXT($R161-$AP161,"0.0")&amp;" Trk-Mi?    ")</f>
        <v/>
      </c>
      <c r="AF161" s="284"/>
      <c r="AG161" s="278" t="str">
        <f>IF(OR($R161="",AF$11=""),"","0 - "&amp;TEXT($R161-$AP161,"0.0")&amp;" Trk-Mi?    ")</f>
        <v/>
      </c>
      <c r="AH161" s="284"/>
      <c r="AI161" s="278" t="str">
        <f>IF(OR($R161="",AH$11=""),"","0 - "&amp;TEXT($R161-$AP161,"0.0")&amp;" Trk-Mi?    ")</f>
        <v/>
      </c>
      <c r="AJ161" s="284"/>
      <c r="AK161" s="278" t="str">
        <f>IF(OR($R161="",AJ$11=""),"","0 - "&amp;TEXT($R161-$AP161,"0.0")&amp;" Trk-Mi?    ")</f>
        <v/>
      </c>
      <c r="AL161" s="284"/>
      <c r="AM161" s="278" t="str">
        <f>IF(OR($R161="",AL$11=""),"","0 - "&amp;TEXT($R161-$AP161,"0.0")&amp;" Trk-Mi?    ")</f>
        <v/>
      </c>
      <c r="AN161" s="284"/>
      <c r="AO161" s="278" t="str">
        <f>IF(OR($R161="",AN$11=""),"","0 - "&amp;TEXT($R161-$AP161,"0.0")&amp;" Trk-Mi?    ")</f>
        <v/>
      </c>
      <c r="AP161" s="282">
        <f>SUM(V161,X161,Z161,AB161,AD161,AF161,AH161,AJ161,AL161,AN161)</f>
        <v>0</v>
      </c>
      <c r="AQ161" s="278"/>
      <c r="AR161" s="234"/>
      <c r="AS161" s="107"/>
      <c r="AT161" s="107"/>
      <c r="AU161" s="107"/>
      <c r="AW161" s="107" t="str">
        <f>IF(AND($C161="",$H161="",$J161="",$L161="",$N161="",$P161="",$R161=""),"B","NB")</f>
        <v>B</v>
      </c>
      <c r="AX161" s="241" t="str">
        <f>IF(OR($C161="",$H161="",$J161="",$L161="",$N161="",$R161="",$P161="",AND($V$11&lt;&gt;"",$V161=""),AND($X$11&lt;&gt;"",$X161=""),AND($Z$11&lt;&gt;"",$Z161=""),AND($AB$11&lt;&gt;"",$AB161=""),AND($AD$11&lt;&gt;"",$AD161=""),AND($AF$11&lt;&gt;"",$AF161=""),AND($AH$11&lt;&gt;"",$AH161=""),AND($AJ$11&lt;&gt;"",$AJ161=""),AND($AL$11&lt;&gt;"",$AL161=""),AND($AN$11&lt;&gt;"",$AN161="")),"N","Y")</f>
        <v>N</v>
      </c>
      <c r="AY161" s="142" t="b">
        <f>IF(AND($C161="",OR($H161&lt;&gt;"",$J161&lt;&gt;"",$L161&lt;&gt;"",$N161&lt;&gt;"",$R161&lt;&gt;"",$P161&lt;&gt;"",AND($V$11&lt;&gt;"",$V161&lt;&gt;""),AND($X$11&lt;&gt;"",$X161&lt;&gt;""),AND($Z$11&lt;&gt;"",$Z161&lt;&gt;""),AND($AB$11&lt;&gt;"",$AB161&lt;&gt;""),AND($AD$11&lt;&gt;"",$AD161&lt;&gt;""),AND($AF$11&lt;&gt;"",$AF161&lt;&gt;""),AND($AH$11&lt;&gt;"",$AH161&lt;&gt;""),AND($AJ$11&lt;&gt;"",$AJ161&lt;&gt;""),AND($AL$11&lt;&gt;"",$AL161&lt;&gt;""),AND($AN$11&lt;&gt;"",$AN161&lt;&gt;""))),TRUE,FALSE)</f>
        <v>0</v>
      </c>
      <c r="AZ161" s="144" t="b">
        <f>IF(AND($C161&lt;&gt;"",$H161=""),TRUE,FALSE)</f>
        <v>0</v>
      </c>
      <c r="BA161" s="144" t="b">
        <f>IF(AND($C161&lt;&gt;"",$J161=""),TRUE,FALSE)</f>
        <v>0</v>
      </c>
      <c r="BB161" s="144" t="b">
        <f>IF(AND($C161&lt;&gt;"",$L161=""),TRUE,FALSE)</f>
        <v>0</v>
      </c>
      <c r="BC161" s="144" t="b">
        <f>IF(AND($C161&lt;&gt;"",$N161=""),TRUE,FALSE)</f>
        <v>0</v>
      </c>
      <c r="BD161" s="142" t="b">
        <f>IF($BE161=TRUE,FALSE,IF(OR($P161&lt;$BD$5,$P161&gt;$BE$5),TRUE,FALSE))</f>
        <v>0</v>
      </c>
      <c r="BE161" s="144" t="b">
        <f>IF(AND($C161&lt;&gt;"",$P161=""),TRUE,FALSE)</f>
        <v>0</v>
      </c>
      <c r="BF161" s="144" t="b">
        <f>IF($BG161=TRUE,FALSE,IF(OR($R161&lt;$BF$5,$R161&gt;$BG$5),TRUE,FALSE))</f>
        <v>0</v>
      </c>
      <c r="BG161" s="144" t="b">
        <f>IF(AND($C161&lt;&gt;"",$R161=""),TRUE,FALSE)</f>
        <v>0</v>
      </c>
      <c r="BH161" s="160" t="b">
        <f>IF(BI161=TRUE,FALSE,IF(AND(V161&lt;&gt;"",V$11=""),TRUE,IF(AND(V161&lt;&gt;"",V$11&lt;&gt;"",$R161&lt;&gt;$AP161),TRUE,IF(OR(V161&lt;0,V161&gt;$R161),TRUE,FALSE))))</f>
        <v>0</v>
      </c>
      <c r="BI161" s="144" t="b">
        <f>IF(AND($C161&lt;&gt;"",V$11&lt;&gt;"",$V161=""),TRUE,FALSE)</f>
        <v>0</v>
      </c>
      <c r="BJ161" s="160" t="b">
        <f>IF(BK161=TRUE,FALSE,IF(AND(X161&lt;&gt;"",X$11=""),TRUE,IF(AND(X161&lt;&gt;"",X$11&lt;&gt;"",$R161&lt;&gt;$AP161),TRUE,IF(OR(X161&lt;0,X161&gt;$R161),TRUE,FALSE))))</f>
        <v>0</v>
      </c>
      <c r="BK161" s="144" t="b">
        <f>IF(AND($C161&lt;&gt;"",X$11&lt;&gt;"",$X161=""),TRUE,FALSE)</f>
        <v>0</v>
      </c>
      <c r="BL161" s="160" t="b">
        <f>IF(BM161=TRUE,FALSE,IF(AND(Z161&lt;&gt;"",Z$11=""),TRUE,IF(AND(Z161&lt;&gt;"",Z$11&lt;&gt;"",$R161&lt;&gt;$AP161),TRUE,IF(OR(Z161&lt;0,Z161&gt;$R161),TRUE,FALSE))))</f>
        <v>0</v>
      </c>
      <c r="BM161" s="144" t="b">
        <f>IF(AND($C161&lt;&gt;"",Z$11&lt;&gt;"",$Z161=""),TRUE,FALSE)</f>
        <v>0</v>
      </c>
      <c r="BN161" s="160" t="b">
        <f>IF(BO161=TRUE,FALSE,IF(AND(AB161&lt;&gt;"",AB$11=""),TRUE,IF(AND(AB161&lt;&gt;"",AB$11&lt;&gt;"",$R161&lt;&gt;$AP161),TRUE,IF(OR(AB161&lt;0,AB161&gt;$R161),TRUE,FALSE))))</f>
        <v>0</v>
      </c>
      <c r="BO161" s="144" t="b">
        <f>IF(AND($C161&lt;&gt;"",AB$11&lt;&gt;"",$AB161=""),TRUE,FALSE)</f>
        <v>0</v>
      </c>
      <c r="BP161" s="160" t="b">
        <f>IF(BQ161=TRUE,FALSE,IF(AND(AD161&lt;&gt;"",AD$11=""),TRUE,IF(AND(AD161&lt;&gt;"",AD$11&lt;&gt;"",$R161&lt;&gt;$AP161),TRUE,IF(OR(AD161&lt;0,AD161&gt;$R161),TRUE,FALSE))))</f>
        <v>0</v>
      </c>
      <c r="BQ161" s="144" t="b">
        <f>IF(AND($C161&lt;&gt;"",AD$11&lt;&gt;"",$AD161=""),TRUE,FALSE)</f>
        <v>0</v>
      </c>
      <c r="BR161" s="160" t="b">
        <f>IF(BS161=TRUE,FALSE,IF(AND(AF161&lt;&gt;"",AF$11=""),TRUE,IF(AND(AF161&lt;&gt;"",AF$11&lt;&gt;"",$R161&lt;&gt;$AP161),TRUE,IF(OR(AF161&lt;0,AF161&gt;$R161),TRUE,FALSE))))</f>
        <v>0</v>
      </c>
      <c r="BS161" s="144" t="b">
        <f>IF(AND($C161&lt;&gt;"",AF$11&lt;&gt;"",$AF161=""),TRUE,FALSE)</f>
        <v>0</v>
      </c>
      <c r="BT161" s="160" t="b">
        <f>IF(BU161=TRUE,FALSE,IF(AND(AH161&lt;&gt;"",AH$11=""),TRUE,IF(AND(AH161&lt;&gt;"",AH$11&lt;&gt;"",$R161&lt;&gt;$AP161),TRUE,IF(OR(AH161&lt;0,AH161&gt;$R161),TRUE,FALSE))))</f>
        <v>0</v>
      </c>
      <c r="BU161" s="144" t="b">
        <f>IF(AND($C161&lt;&gt;"",AH$11&lt;&gt;"",$AH161=""),TRUE,FALSE)</f>
        <v>0</v>
      </c>
      <c r="BV161" s="160" t="b">
        <f>IF(BW161=TRUE,FALSE,IF(AND(AJ161&lt;&gt;"",AJ$11=""),TRUE,IF(AND(AJ161&lt;&gt;"",AJ$11&lt;&gt;"",$R161&lt;&gt;$AP161),TRUE,IF(OR(AJ161&lt;0,AJ161&gt;$R161),TRUE,FALSE))))</f>
        <v>0</v>
      </c>
      <c r="BW161" s="144" t="b">
        <f>IF(AND($C161&lt;&gt;"",AJ$11&lt;&gt;"",$AJ161=""),TRUE,FALSE)</f>
        <v>0</v>
      </c>
      <c r="BX161" s="160" t="b">
        <f>IF(BY161=TRUE,FALSE,IF(AND(AL161&lt;&gt;"",AL$11=""),TRUE,IF(AND(AL161&lt;&gt;"",AL$11&lt;&gt;"",$R161&lt;&gt;$AP161),TRUE,IF(OR(AL161&lt;0,AL161&gt;$R161),TRUE,FALSE))))</f>
        <v>0</v>
      </c>
      <c r="BY161" s="144" t="b">
        <f>IF(AND($C161&lt;&gt;"",AL$11&lt;&gt;"",$AL161=""),TRUE,FALSE)</f>
        <v>0</v>
      </c>
      <c r="BZ161" s="160" t="b">
        <f>IF(CA161=TRUE,FALSE,IF(AND(AN161&lt;&gt;"",AN$11=""),TRUE,IF(AND(AN161&lt;&gt;"",AN$11&lt;&gt;"",$R161&lt;&gt;$AP161),TRUE,IF(OR(AN161&lt;0,AN161&gt;$R161),TRUE,FALSE))))</f>
        <v>0</v>
      </c>
      <c r="CA161" s="144" t="b">
        <f>IF(AND($C161&lt;&gt;"",AN$11&lt;&gt;"",$AN161=""),TRUE,FALSE)</f>
        <v>0</v>
      </c>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4"/>
    </row>
    <row r="162" spans="1:101" ht="6.75" customHeight="1" thickBot="1" x14ac:dyDescent="0.25">
      <c r="A162" s="228"/>
      <c r="B162" s="228"/>
      <c r="C162" s="232"/>
      <c r="D162" s="267"/>
      <c r="I162" s="267"/>
      <c r="K162" s="228"/>
      <c r="M162" s="267"/>
      <c r="O162" s="267"/>
      <c r="Q162" s="267"/>
      <c r="S162" s="267"/>
      <c r="U162" s="267"/>
      <c r="V162" s="283"/>
      <c r="W162" s="267"/>
      <c r="X162" s="283"/>
      <c r="Y162" s="267"/>
      <c r="Z162" s="283"/>
      <c r="AA162" s="267"/>
      <c r="AB162" s="283"/>
      <c r="AC162" s="267"/>
      <c r="AD162" s="283"/>
      <c r="AE162" s="267"/>
      <c r="AF162" s="283"/>
      <c r="AG162" s="267"/>
      <c r="AH162" s="283"/>
      <c r="AI162" s="267"/>
      <c r="AJ162" s="283"/>
      <c r="AK162" s="267"/>
      <c r="AL162" s="283"/>
      <c r="AM162" s="267"/>
      <c r="AN162" s="283"/>
      <c r="AO162" s="267"/>
      <c r="AP162" s="267"/>
      <c r="AQ162" s="267"/>
      <c r="AR162" s="232"/>
      <c r="AY162" s="145"/>
      <c r="AZ162" s="146"/>
      <c r="BA162" s="146"/>
      <c r="BB162" s="146"/>
      <c r="BC162" s="146"/>
      <c r="BD162" s="145"/>
      <c r="BE162" s="146"/>
      <c r="BF162" s="146"/>
      <c r="BG162" s="146"/>
      <c r="BH162" s="145"/>
      <c r="BI162" s="146"/>
      <c r="BJ162" s="145"/>
      <c r="BK162" s="146"/>
      <c r="BL162" s="145"/>
      <c r="BM162" s="146"/>
      <c r="BN162" s="145"/>
      <c r="BO162" s="146"/>
      <c r="BP162" s="145"/>
      <c r="BQ162" s="146"/>
      <c r="BR162" s="145"/>
      <c r="BS162" s="146"/>
      <c r="BT162" s="145"/>
      <c r="BU162" s="146"/>
      <c r="BV162" s="145"/>
      <c r="BW162" s="146"/>
      <c r="BX162" s="145"/>
      <c r="BY162" s="146"/>
      <c r="BZ162" s="145"/>
      <c r="CA162" s="146"/>
    </row>
    <row r="163" spans="1:101" s="101" customFormat="1" ht="12.75" customHeight="1" x14ac:dyDescent="0.2">
      <c r="A163" s="227">
        <f>A161+1</f>
        <v>74</v>
      </c>
      <c r="B163" s="227"/>
      <c r="C163" s="231"/>
      <c r="D163" s="251" t="str">
        <f>IF((C163=""),"Enter Segment "&amp;TEXT(A163,0)&amp;" Name, then Enter Data in Columns "&amp;TEXT($H$2,0)&amp;" - "&amp;TEXT($AN$2,0)&amp;"       ","")</f>
        <v xml:space="preserve">Enter Segment 74 Name, then Enter Data in Columns h - an       </v>
      </c>
      <c r="E163" s="131" t="str">
        <f>IF($AW163="B","N/A",IF(AX163="N","No",IF(AX163="Y","Yes","")))</f>
        <v>N/A</v>
      </c>
      <c r="F163" s="130"/>
      <c r="G163" s="130"/>
      <c r="H163" s="285"/>
      <c r="I163" s="251" t="str">
        <f>IF($C163&lt;&gt;"","Enter Starting Point       ","")</f>
        <v/>
      </c>
      <c r="J163" s="285"/>
      <c r="K163" s="227"/>
      <c r="L163" s="88"/>
      <c r="M163" s="251" t="str">
        <f>IF($C163&lt;&gt;"","Select from Pull-Down List  ","")</f>
        <v/>
      </c>
      <c r="N163" s="88"/>
      <c r="O163" s="251" t="str">
        <f>IF($C163&lt;&gt;"","Select from Pull-Down List  ","")</f>
        <v/>
      </c>
      <c r="P163" s="131"/>
      <c r="Q163" s="251" t="str">
        <f>IF($C163&lt;&gt;"","Dir. Route-Mi?    ","")</f>
        <v/>
      </c>
      <c r="R163" s="131"/>
      <c r="S163" s="251" t="str">
        <f>IF($C163&lt;&gt;"","Trk-Mi?      ","")</f>
        <v/>
      </c>
      <c r="T163" s="131"/>
      <c r="U163" s="251" t="str">
        <f>IF($C163&lt;&gt;"","Trk-Mi?      ","")</f>
        <v/>
      </c>
      <c r="V163" s="284"/>
      <c r="W163" s="278" t="str">
        <f>IF(OR($R163="",V$11=""),"","0 - "&amp;TEXT($R163-$AP163,"0.0")&amp;" Trk-Mi?    ")</f>
        <v/>
      </c>
      <c r="X163" s="284"/>
      <c r="Y163" s="278" t="str">
        <f>IF(OR($R163="",X$11=""),"","0 - "&amp;TEXT($R163-$AP163,"0.0")&amp;" Trk-Mi?    ")</f>
        <v/>
      </c>
      <c r="Z163" s="284"/>
      <c r="AA163" s="278" t="str">
        <f>IF(OR($R163="",Z$11=""),"","0 - "&amp;TEXT($R163-$AP163,"0.0")&amp;" Trk-Mi?    ")</f>
        <v/>
      </c>
      <c r="AB163" s="284"/>
      <c r="AC163" s="278" t="str">
        <f>IF(OR($R163="",AB$11=""),"","0 - "&amp;TEXT($R163-$AP163,"0.0")&amp;" Trk-Mi?    ")</f>
        <v/>
      </c>
      <c r="AD163" s="284"/>
      <c r="AE163" s="278" t="str">
        <f>IF(OR($R163="",AD$11=""),"","0 - "&amp;TEXT($R163-$AP163,"0.0")&amp;" Trk-Mi?    ")</f>
        <v/>
      </c>
      <c r="AF163" s="284"/>
      <c r="AG163" s="278" t="str">
        <f>IF(OR($R163="",AF$11=""),"","0 - "&amp;TEXT($R163-$AP163,"0.0")&amp;" Trk-Mi?    ")</f>
        <v/>
      </c>
      <c r="AH163" s="284"/>
      <c r="AI163" s="278" t="str">
        <f>IF(OR($R163="",AH$11=""),"","0 - "&amp;TEXT($R163-$AP163,"0.0")&amp;" Trk-Mi?    ")</f>
        <v/>
      </c>
      <c r="AJ163" s="284"/>
      <c r="AK163" s="278" t="str">
        <f>IF(OR($R163="",AJ$11=""),"","0 - "&amp;TEXT($R163-$AP163,"0.0")&amp;" Trk-Mi?    ")</f>
        <v/>
      </c>
      <c r="AL163" s="284"/>
      <c r="AM163" s="278" t="str">
        <f>IF(OR($R163="",AL$11=""),"","0 - "&amp;TEXT($R163-$AP163,"0.0")&amp;" Trk-Mi?    ")</f>
        <v/>
      </c>
      <c r="AN163" s="284"/>
      <c r="AO163" s="278" t="str">
        <f>IF(OR($R163="",AN$11=""),"","0 - "&amp;TEXT($R163-$AP163,"0.0")&amp;" Trk-Mi?    ")</f>
        <v/>
      </c>
      <c r="AP163" s="282">
        <f>SUM(V163,X163,Z163,AB163,AD163,AF163,AH163,AJ163,AL163,AN163)</f>
        <v>0</v>
      </c>
      <c r="AQ163" s="278"/>
      <c r="AR163" s="234"/>
      <c r="AS163" s="107"/>
      <c r="AT163" s="107"/>
      <c r="AU163" s="107"/>
      <c r="AW163" s="107" t="str">
        <f>IF(AND($C163="",$H163="",$J163="",$L163="",$N163="",$P163="",$R163=""),"B","NB")</f>
        <v>B</v>
      </c>
      <c r="AX163" s="241" t="str">
        <f>IF(OR($C163="",$H163="",$J163="",$L163="",$N163="",$R163="",$P163="",AND($V$11&lt;&gt;"",$V163=""),AND($X$11&lt;&gt;"",$X163=""),AND($Z$11&lt;&gt;"",$Z163=""),AND($AB$11&lt;&gt;"",$AB163=""),AND($AD$11&lt;&gt;"",$AD163=""),AND($AF$11&lt;&gt;"",$AF163=""),AND($AH$11&lt;&gt;"",$AH163=""),AND($AJ$11&lt;&gt;"",$AJ163=""),AND($AL$11&lt;&gt;"",$AL163=""),AND($AN$11&lt;&gt;"",$AN163="")),"N","Y")</f>
        <v>N</v>
      </c>
      <c r="AY163" s="142" t="b">
        <f>IF(AND($C163="",OR($H163&lt;&gt;"",$J163&lt;&gt;"",$L163&lt;&gt;"",$N163&lt;&gt;"",$R163&lt;&gt;"",$P163&lt;&gt;"",AND($V$11&lt;&gt;"",$V163&lt;&gt;""),AND($X$11&lt;&gt;"",$X163&lt;&gt;""),AND($Z$11&lt;&gt;"",$Z163&lt;&gt;""),AND($AB$11&lt;&gt;"",$AB163&lt;&gt;""),AND($AD$11&lt;&gt;"",$AD163&lt;&gt;""),AND($AF$11&lt;&gt;"",$AF163&lt;&gt;""),AND($AH$11&lt;&gt;"",$AH163&lt;&gt;""),AND($AJ$11&lt;&gt;"",$AJ163&lt;&gt;""),AND($AL$11&lt;&gt;"",$AL163&lt;&gt;""),AND($AN$11&lt;&gt;"",$AN163&lt;&gt;""))),TRUE,FALSE)</f>
        <v>0</v>
      </c>
      <c r="AZ163" s="144" t="b">
        <f>IF(AND($C163&lt;&gt;"",$H163=""),TRUE,FALSE)</f>
        <v>0</v>
      </c>
      <c r="BA163" s="144" t="b">
        <f>IF(AND($C163&lt;&gt;"",$J163=""),TRUE,FALSE)</f>
        <v>0</v>
      </c>
      <c r="BB163" s="144" t="b">
        <f>IF(AND($C163&lt;&gt;"",$L163=""),TRUE,FALSE)</f>
        <v>0</v>
      </c>
      <c r="BC163" s="144" t="b">
        <f>IF(AND($C163&lt;&gt;"",$N163=""),TRUE,FALSE)</f>
        <v>0</v>
      </c>
      <c r="BD163" s="142" t="b">
        <f>IF($BE163=TRUE,FALSE,IF(OR($P163&lt;$BD$5,$P163&gt;$BE$5),TRUE,FALSE))</f>
        <v>0</v>
      </c>
      <c r="BE163" s="144" t="b">
        <f>IF(AND($C163&lt;&gt;"",$P163=""),TRUE,FALSE)</f>
        <v>0</v>
      </c>
      <c r="BF163" s="144" t="b">
        <f>IF($BG163=TRUE,FALSE,IF(OR($R163&lt;$BF$5,$R163&gt;$BG$5),TRUE,FALSE))</f>
        <v>0</v>
      </c>
      <c r="BG163" s="144" t="b">
        <f>IF(AND($C163&lt;&gt;"",$R163=""),TRUE,FALSE)</f>
        <v>0</v>
      </c>
      <c r="BH163" s="160" t="b">
        <f>IF(BI163=TRUE,FALSE,IF(AND(V163&lt;&gt;"",V$11=""),TRUE,IF(AND(V163&lt;&gt;"",V$11&lt;&gt;"",$R163&lt;&gt;$AP163),TRUE,IF(OR(V163&lt;0,V163&gt;$R163),TRUE,FALSE))))</f>
        <v>0</v>
      </c>
      <c r="BI163" s="144" t="b">
        <f>IF(AND($C163&lt;&gt;"",V$11&lt;&gt;"",$V163=""),TRUE,FALSE)</f>
        <v>0</v>
      </c>
      <c r="BJ163" s="160" t="b">
        <f>IF(BK163=TRUE,FALSE,IF(AND(X163&lt;&gt;"",X$11=""),TRUE,IF(AND(X163&lt;&gt;"",X$11&lt;&gt;"",$R163&lt;&gt;$AP163),TRUE,IF(OR(X163&lt;0,X163&gt;$R163),TRUE,FALSE))))</f>
        <v>0</v>
      </c>
      <c r="BK163" s="144" t="b">
        <f>IF(AND($C163&lt;&gt;"",X$11&lt;&gt;"",$X163=""),TRUE,FALSE)</f>
        <v>0</v>
      </c>
      <c r="BL163" s="160" t="b">
        <f>IF(BM163=TRUE,FALSE,IF(AND(Z163&lt;&gt;"",Z$11=""),TRUE,IF(AND(Z163&lt;&gt;"",Z$11&lt;&gt;"",$R163&lt;&gt;$AP163),TRUE,IF(OR(Z163&lt;0,Z163&gt;$R163),TRUE,FALSE))))</f>
        <v>0</v>
      </c>
      <c r="BM163" s="144" t="b">
        <f>IF(AND($C163&lt;&gt;"",Z$11&lt;&gt;"",$Z163=""),TRUE,FALSE)</f>
        <v>0</v>
      </c>
      <c r="BN163" s="160" t="b">
        <f>IF(BO163=TRUE,FALSE,IF(AND(AB163&lt;&gt;"",AB$11=""),TRUE,IF(AND(AB163&lt;&gt;"",AB$11&lt;&gt;"",$R163&lt;&gt;$AP163),TRUE,IF(OR(AB163&lt;0,AB163&gt;$R163),TRUE,FALSE))))</f>
        <v>0</v>
      </c>
      <c r="BO163" s="144" t="b">
        <f>IF(AND($C163&lt;&gt;"",AB$11&lt;&gt;"",$AB163=""),TRUE,FALSE)</f>
        <v>0</v>
      </c>
      <c r="BP163" s="160" t="b">
        <f>IF(BQ163=TRUE,FALSE,IF(AND(AD163&lt;&gt;"",AD$11=""),TRUE,IF(AND(AD163&lt;&gt;"",AD$11&lt;&gt;"",$R163&lt;&gt;$AP163),TRUE,IF(OR(AD163&lt;0,AD163&gt;$R163),TRUE,FALSE))))</f>
        <v>0</v>
      </c>
      <c r="BQ163" s="144" t="b">
        <f>IF(AND($C163&lt;&gt;"",AD$11&lt;&gt;"",$AD163=""),TRUE,FALSE)</f>
        <v>0</v>
      </c>
      <c r="BR163" s="160" t="b">
        <f>IF(BS163=TRUE,FALSE,IF(AND(AF163&lt;&gt;"",AF$11=""),TRUE,IF(AND(AF163&lt;&gt;"",AF$11&lt;&gt;"",$R163&lt;&gt;$AP163),TRUE,IF(OR(AF163&lt;0,AF163&gt;$R163),TRUE,FALSE))))</f>
        <v>0</v>
      </c>
      <c r="BS163" s="144" t="b">
        <f>IF(AND($C163&lt;&gt;"",AF$11&lt;&gt;"",$AF163=""),TRUE,FALSE)</f>
        <v>0</v>
      </c>
      <c r="BT163" s="160" t="b">
        <f>IF(BU163=TRUE,FALSE,IF(AND(AH163&lt;&gt;"",AH$11=""),TRUE,IF(AND(AH163&lt;&gt;"",AH$11&lt;&gt;"",$R163&lt;&gt;$AP163),TRUE,IF(OR(AH163&lt;0,AH163&gt;$R163),TRUE,FALSE))))</f>
        <v>0</v>
      </c>
      <c r="BU163" s="144" t="b">
        <f>IF(AND($C163&lt;&gt;"",AH$11&lt;&gt;"",$AH163=""),TRUE,FALSE)</f>
        <v>0</v>
      </c>
      <c r="BV163" s="160" t="b">
        <f>IF(BW163=TRUE,FALSE,IF(AND(AJ163&lt;&gt;"",AJ$11=""),TRUE,IF(AND(AJ163&lt;&gt;"",AJ$11&lt;&gt;"",$R163&lt;&gt;$AP163),TRUE,IF(OR(AJ163&lt;0,AJ163&gt;$R163),TRUE,FALSE))))</f>
        <v>0</v>
      </c>
      <c r="BW163" s="144" t="b">
        <f>IF(AND($C163&lt;&gt;"",AJ$11&lt;&gt;"",$AJ163=""),TRUE,FALSE)</f>
        <v>0</v>
      </c>
      <c r="BX163" s="160" t="b">
        <f>IF(BY163=TRUE,FALSE,IF(AND(AL163&lt;&gt;"",AL$11=""),TRUE,IF(AND(AL163&lt;&gt;"",AL$11&lt;&gt;"",$R163&lt;&gt;$AP163),TRUE,IF(OR(AL163&lt;0,AL163&gt;$R163),TRUE,FALSE))))</f>
        <v>0</v>
      </c>
      <c r="BY163" s="144" t="b">
        <f>IF(AND($C163&lt;&gt;"",AL$11&lt;&gt;"",$AL163=""),TRUE,FALSE)</f>
        <v>0</v>
      </c>
      <c r="BZ163" s="160" t="b">
        <f>IF(CA163=TRUE,FALSE,IF(AND(AN163&lt;&gt;"",AN$11=""),TRUE,IF(AND(AN163&lt;&gt;"",AN$11&lt;&gt;"",$R163&lt;&gt;$AP163),TRUE,IF(OR(AN163&lt;0,AN163&gt;$R163),TRUE,FALSE))))</f>
        <v>0</v>
      </c>
      <c r="CA163" s="144" t="b">
        <f>IF(AND($C163&lt;&gt;"",AN$11&lt;&gt;"",$AN163=""),TRUE,FALSE)</f>
        <v>0</v>
      </c>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4"/>
    </row>
    <row r="164" spans="1:101" ht="6.75" customHeight="1" thickBot="1" x14ac:dyDescent="0.25">
      <c r="A164" s="228"/>
      <c r="B164" s="228"/>
      <c r="C164" s="232"/>
      <c r="D164" s="267"/>
      <c r="I164" s="267"/>
      <c r="K164" s="228"/>
      <c r="M164" s="267"/>
      <c r="O164" s="267"/>
      <c r="Q164" s="267"/>
      <c r="S164" s="267"/>
      <c r="U164" s="267"/>
      <c r="V164" s="283"/>
      <c r="W164" s="267"/>
      <c r="X164" s="283"/>
      <c r="Y164" s="267"/>
      <c r="Z164" s="283"/>
      <c r="AA164" s="267"/>
      <c r="AB164" s="283"/>
      <c r="AC164" s="267"/>
      <c r="AD164" s="283"/>
      <c r="AE164" s="267"/>
      <c r="AF164" s="283"/>
      <c r="AG164" s="267"/>
      <c r="AH164" s="283"/>
      <c r="AI164" s="267"/>
      <c r="AJ164" s="283"/>
      <c r="AK164" s="267"/>
      <c r="AL164" s="283"/>
      <c r="AM164" s="267"/>
      <c r="AN164" s="283"/>
      <c r="AO164" s="267"/>
      <c r="AP164" s="267"/>
      <c r="AQ164" s="267"/>
      <c r="AR164" s="232"/>
      <c r="AY164" s="145"/>
      <c r="AZ164" s="146"/>
      <c r="BA164" s="146"/>
      <c r="BB164" s="146"/>
      <c r="BC164" s="146"/>
      <c r="BD164" s="145"/>
      <c r="BE164" s="146"/>
      <c r="BF164" s="146"/>
      <c r="BG164" s="146"/>
      <c r="BH164" s="145"/>
      <c r="BI164" s="146"/>
      <c r="BJ164" s="145"/>
      <c r="BK164" s="146"/>
      <c r="BL164" s="145"/>
      <c r="BM164" s="146"/>
      <c r="BN164" s="145"/>
      <c r="BO164" s="146"/>
      <c r="BP164" s="145"/>
      <c r="BQ164" s="146"/>
      <c r="BR164" s="145"/>
      <c r="BS164" s="146"/>
      <c r="BT164" s="145"/>
      <c r="BU164" s="146"/>
      <c r="BV164" s="145"/>
      <c r="BW164" s="146"/>
      <c r="BX164" s="145"/>
      <c r="BY164" s="146"/>
      <c r="BZ164" s="145"/>
      <c r="CA164" s="146"/>
    </row>
    <row r="165" spans="1:101" s="101" customFormat="1" ht="12.75" customHeight="1" x14ac:dyDescent="0.2">
      <c r="A165" s="227">
        <f>A163+1</f>
        <v>75</v>
      </c>
      <c r="B165" s="227"/>
      <c r="C165" s="231"/>
      <c r="D165" s="251" t="str">
        <f>IF((C165=""),"Enter Segment "&amp;TEXT(A165,0)&amp;" Name, then Enter Data in Columns "&amp;TEXT($H$2,0)&amp;" - "&amp;TEXT($AN$2,0)&amp;"       ","")</f>
        <v xml:space="preserve">Enter Segment 75 Name, then Enter Data in Columns h - an       </v>
      </c>
      <c r="E165" s="131" t="str">
        <f>IF($AW165="B","N/A",IF(AX165="N","No",IF(AX165="Y","Yes","")))</f>
        <v>N/A</v>
      </c>
      <c r="F165" s="130"/>
      <c r="G165" s="130"/>
      <c r="H165" s="285"/>
      <c r="I165" s="251" t="str">
        <f>IF($C165&lt;&gt;"","Enter Starting Point       ","")</f>
        <v/>
      </c>
      <c r="J165" s="285"/>
      <c r="K165" s="227"/>
      <c r="L165" s="88"/>
      <c r="M165" s="251" t="str">
        <f>IF($C165&lt;&gt;"","Select from Pull-Down List  ","")</f>
        <v/>
      </c>
      <c r="N165" s="88"/>
      <c r="O165" s="251" t="str">
        <f>IF($C165&lt;&gt;"","Select from Pull-Down List  ","")</f>
        <v/>
      </c>
      <c r="P165" s="131"/>
      <c r="Q165" s="251" t="str">
        <f>IF($C165&lt;&gt;"","Dir. Route-Mi?    ","")</f>
        <v/>
      </c>
      <c r="R165" s="131"/>
      <c r="S165" s="251" t="str">
        <f>IF($C165&lt;&gt;"","Trk-Mi?      ","")</f>
        <v/>
      </c>
      <c r="T165" s="131"/>
      <c r="U165" s="251" t="str">
        <f>IF($C165&lt;&gt;"","Trk-Mi?      ","")</f>
        <v/>
      </c>
      <c r="V165" s="284"/>
      <c r="W165" s="278" t="str">
        <f>IF(OR($R165="",V$11=""),"","0 - "&amp;TEXT($R165-$AP165,"0.0")&amp;" Trk-Mi?    ")</f>
        <v/>
      </c>
      <c r="X165" s="284"/>
      <c r="Y165" s="278" t="str">
        <f>IF(OR($R165="",X$11=""),"","0 - "&amp;TEXT($R165-$AP165,"0.0")&amp;" Trk-Mi?    ")</f>
        <v/>
      </c>
      <c r="Z165" s="284"/>
      <c r="AA165" s="278" t="str">
        <f>IF(OR($R165="",Z$11=""),"","0 - "&amp;TEXT($R165-$AP165,"0.0")&amp;" Trk-Mi?    ")</f>
        <v/>
      </c>
      <c r="AB165" s="284"/>
      <c r="AC165" s="278" t="str">
        <f>IF(OR($R165="",AB$11=""),"","0 - "&amp;TEXT($R165-$AP165,"0.0")&amp;" Trk-Mi?    ")</f>
        <v/>
      </c>
      <c r="AD165" s="284"/>
      <c r="AE165" s="278" t="str">
        <f>IF(OR($R165="",AD$11=""),"","0 - "&amp;TEXT($R165-$AP165,"0.0")&amp;" Trk-Mi?    ")</f>
        <v/>
      </c>
      <c r="AF165" s="284"/>
      <c r="AG165" s="278" t="str">
        <f>IF(OR($R165="",AF$11=""),"","0 - "&amp;TEXT($R165-$AP165,"0.0")&amp;" Trk-Mi?    ")</f>
        <v/>
      </c>
      <c r="AH165" s="284"/>
      <c r="AI165" s="278" t="str">
        <f>IF(OR($R165="",AH$11=""),"","0 - "&amp;TEXT($R165-$AP165,"0.0")&amp;" Trk-Mi?    ")</f>
        <v/>
      </c>
      <c r="AJ165" s="284"/>
      <c r="AK165" s="278" t="str">
        <f>IF(OR($R165="",AJ$11=""),"","0 - "&amp;TEXT($R165-$AP165,"0.0")&amp;" Trk-Mi?    ")</f>
        <v/>
      </c>
      <c r="AL165" s="284"/>
      <c r="AM165" s="278" t="str">
        <f>IF(OR($R165="",AL$11=""),"","0 - "&amp;TEXT($R165-$AP165,"0.0")&amp;" Trk-Mi?    ")</f>
        <v/>
      </c>
      <c r="AN165" s="284"/>
      <c r="AO165" s="278" t="str">
        <f>IF(OR($R165="",AN$11=""),"","0 - "&amp;TEXT($R165-$AP165,"0.0")&amp;" Trk-Mi?    ")</f>
        <v/>
      </c>
      <c r="AP165" s="282">
        <f>SUM(V165,X165,Z165,AB165,AD165,AF165,AH165,AJ165,AL165,AN165)</f>
        <v>0</v>
      </c>
      <c r="AQ165" s="278"/>
      <c r="AR165" s="234"/>
      <c r="AS165" s="107"/>
      <c r="AT165" s="107"/>
      <c r="AU165" s="107"/>
      <c r="AW165" s="107" t="str">
        <f>IF(AND($C165="",$H165="",$J165="",$L165="",$N165="",$P165="",$R165=""),"B","NB")</f>
        <v>B</v>
      </c>
      <c r="AX165" s="241" t="str">
        <f>IF(OR($C165="",$H165="",$J165="",$L165="",$N165="",$R165="",$P165="",AND($V$11&lt;&gt;"",$V165=""),AND($X$11&lt;&gt;"",$X165=""),AND($Z$11&lt;&gt;"",$Z165=""),AND($AB$11&lt;&gt;"",$AB165=""),AND($AD$11&lt;&gt;"",$AD165=""),AND($AF$11&lt;&gt;"",$AF165=""),AND($AH$11&lt;&gt;"",$AH165=""),AND($AJ$11&lt;&gt;"",$AJ165=""),AND($AL$11&lt;&gt;"",$AL165=""),AND($AN$11&lt;&gt;"",$AN165="")),"N","Y")</f>
        <v>N</v>
      </c>
      <c r="AY165" s="142" t="b">
        <f>IF(AND($C165="",OR($H165&lt;&gt;"",$J165&lt;&gt;"",$L165&lt;&gt;"",$N165&lt;&gt;"",$R165&lt;&gt;"",$P165&lt;&gt;"",AND($V$11&lt;&gt;"",$V165&lt;&gt;""),AND($X$11&lt;&gt;"",$X165&lt;&gt;""),AND($Z$11&lt;&gt;"",$Z165&lt;&gt;""),AND($AB$11&lt;&gt;"",$AB165&lt;&gt;""),AND($AD$11&lt;&gt;"",$AD165&lt;&gt;""),AND($AF$11&lt;&gt;"",$AF165&lt;&gt;""),AND($AH$11&lt;&gt;"",$AH165&lt;&gt;""),AND($AJ$11&lt;&gt;"",$AJ165&lt;&gt;""),AND($AL$11&lt;&gt;"",$AL165&lt;&gt;""),AND($AN$11&lt;&gt;"",$AN165&lt;&gt;""))),TRUE,FALSE)</f>
        <v>0</v>
      </c>
      <c r="AZ165" s="144" t="b">
        <f>IF(AND($C165&lt;&gt;"",$H165=""),TRUE,FALSE)</f>
        <v>0</v>
      </c>
      <c r="BA165" s="144" t="b">
        <f>IF(AND($C165&lt;&gt;"",$J165=""),TRUE,FALSE)</f>
        <v>0</v>
      </c>
      <c r="BB165" s="144" t="b">
        <f>IF(AND($C165&lt;&gt;"",$L165=""),TRUE,FALSE)</f>
        <v>0</v>
      </c>
      <c r="BC165" s="144" t="b">
        <f>IF(AND($C165&lt;&gt;"",$N165=""),TRUE,FALSE)</f>
        <v>0</v>
      </c>
      <c r="BD165" s="142" t="b">
        <f>IF($BE165=TRUE,FALSE,IF(OR($P165&lt;$BD$5,$P165&gt;$BE$5),TRUE,FALSE))</f>
        <v>0</v>
      </c>
      <c r="BE165" s="144" t="b">
        <f>IF(AND($C165&lt;&gt;"",$P165=""),TRUE,FALSE)</f>
        <v>0</v>
      </c>
      <c r="BF165" s="144" t="b">
        <f>IF($BG165=TRUE,FALSE,IF(OR($R165&lt;$BF$5,$R165&gt;$BG$5),TRUE,FALSE))</f>
        <v>0</v>
      </c>
      <c r="BG165" s="144" t="b">
        <f>IF(AND($C165&lt;&gt;"",$R165=""),TRUE,FALSE)</f>
        <v>0</v>
      </c>
      <c r="BH165" s="160" t="b">
        <f>IF(BI165=TRUE,FALSE,IF(AND(V165&lt;&gt;"",V$11=""),TRUE,IF(AND(V165&lt;&gt;"",V$11&lt;&gt;"",$R165&lt;&gt;$AP165),TRUE,IF(OR(V165&lt;0,V165&gt;$R165),TRUE,FALSE))))</f>
        <v>0</v>
      </c>
      <c r="BI165" s="144" t="b">
        <f>IF(AND($C165&lt;&gt;"",V$11&lt;&gt;"",$V165=""),TRUE,FALSE)</f>
        <v>0</v>
      </c>
      <c r="BJ165" s="160" t="b">
        <f>IF(BK165=TRUE,FALSE,IF(AND(X165&lt;&gt;"",X$11=""),TRUE,IF(AND(X165&lt;&gt;"",X$11&lt;&gt;"",$R165&lt;&gt;$AP165),TRUE,IF(OR(X165&lt;0,X165&gt;$R165),TRUE,FALSE))))</f>
        <v>0</v>
      </c>
      <c r="BK165" s="144" t="b">
        <f>IF(AND($C165&lt;&gt;"",X$11&lt;&gt;"",$X165=""),TRUE,FALSE)</f>
        <v>0</v>
      </c>
      <c r="BL165" s="160" t="b">
        <f>IF(BM165=TRUE,FALSE,IF(AND(Z165&lt;&gt;"",Z$11=""),TRUE,IF(AND(Z165&lt;&gt;"",Z$11&lt;&gt;"",$R165&lt;&gt;$AP165),TRUE,IF(OR(Z165&lt;0,Z165&gt;$R165),TRUE,FALSE))))</f>
        <v>0</v>
      </c>
      <c r="BM165" s="144" t="b">
        <f>IF(AND($C165&lt;&gt;"",Z$11&lt;&gt;"",$Z165=""),TRUE,FALSE)</f>
        <v>0</v>
      </c>
      <c r="BN165" s="160" t="b">
        <f>IF(BO165=TRUE,FALSE,IF(AND(AB165&lt;&gt;"",AB$11=""),TRUE,IF(AND(AB165&lt;&gt;"",AB$11&lt;&gt;"",$R165&lt;&gt;$AP165),TRUE,IF(OR(AB165&lt;0,AB165&gt;$R165),TRUE,FALSE))))</f>
        <v>0</v>
      </c>
      <c r="BO165" s="144" t="b">
        <f>IF(AND($C165&lt;&gt;"",AB$11&lt;&gt;"",$AB165=""),TRUE,FALSE)</f>
        <v>0</v>
      </c>
      <c r="BP165" s="160" t="b">
        <f>IF(BQ165=TRUE,FALSE,IF(AND(AD165&lt;&gt;"",AD$11=""),TRUE,IF(AND(AD165&lt;&gt;"",AD$11&lt;&gt;"",$R165&lt;&gt;$AP165),TRUE,IF(OR(AD165&lt;0,AD165&gt;$R165),TRUE,FALSE))))</f>
        <v>0</v>
      </c>
      <c r="BQ165" s="144" t="b">
        <f>IF(AND($C165&lt;&gt;"",AD$11&lt;&gt;"",$AD165=""),TRUE,FALSE)</f>
        <v>0</v>
      </c>
      <c r="BR165" s="160" t="b">
        <f>IF(BS165=TRUE,FALSE,IF(AND(AF165&lt;&gt;"",AF$11=""),TRUE,IF(AND(AF165&lt;&gt;"",AF$11&lt;&gt;"",$R165&lt;&gt;$AP165),TRUE,IF(OR(AF165&lt;0,AF165&gt;$R165),TRUE,FALSE))))</f>
        <v>0</v>
      </c>
      <c r="BS165" s="144" t="b">
        <f>IF(AND($C165&lt;&gt;"",AF$11&lt;&gt;"",$AF165=""),TRUE,FALSE)</f>
        <v>0</v>
      </c>
      <c r="BT165" s="160" t="b">
        <f>IF(BU165=TRUE,FALSE,IF(AND(AH165&lt;&gt;"",AH$11=""),TRUE,IF(AND(AH165&lt;&gt;"",AH$11&lt;&gt;"",$R165&lt;&gt;$AP165),TRUE,IF(OR(AH165&lt;0,AH165&gt;$R165),TRUE,FALSE))))</f>
        <v>0</v>
      </c>
      <c r="BU165" s="144" t="b">
        <f>IF(AND($C165&lt;&gt;"",AH$11&lt;&gt;"",$AH165=""),TRUE,FALSE)</f>
        <v>0</v>
      </c>
      <c r="BV165" s="160" t="b">
        <f>IF(BW165=TRUE,FALSE,IF(AND(AJ165&lt;&gt;"",AJ$11=""),TRUE,IF(AND(AJ165&lt;&gt;"",AJ$11&lt;&gt;"",$R165&lt;&gt;$AP165),TRUE,IF(OR(AJ165&lt;0,AJ165&gt;$R165),TRUE,FALSE))))</f>
        <v>0</v>
      </c>
      <c r="BW165" s="144" t="b">
        <f>IF(AND($C165&lt;&gt;"",AJ$11&lt;&gt;"",$AJ165=""),TRUE,FALSE)</f>
        <v>0</v>
      </c>
      <c r="BX165" s="160" t="b">
        <f>IF(BY165=TRUE,FALSE,IF(AND(AL165&lt;&gt;"",AL$11=""),TRUE,IF(AND(AL165&lt;&gt;"",AL$11&lt;&gt;"",$R165&lt;&gt;$AP165),TRUE,IF(OR(AL165&lt;0,AL165&gt;$R165),TRUE,FALSE))))</f>
        <v>0</v>
      </c>
      <c r="BY165" s="144" t="b">
        <f>IF(AND($C165&lt;&gt;"",AL$11&lt;&gt;"",$AL165=""),TRUE,FALSE)</f>
        <v>0</v>
      </c>
      <c r="BZ165" s="160" t="b">
        <f>IF(CA165=TRUE,FALSE,IF(AND(AN165&lt;&gt;"",AN$11=""),TRUE,IF(AND(AN165&lt;&gt;"",AN$11&lt;&gt;"",$R165&lt;&gt;$AP165),TRUE,IF(OR(AN165&lt;0,AN165&gt;$R165),TRUE,FALSE))))</f>
        <v>0</v>
      </c>
      <c r="CA165" s="144" t="b">
        <f>IF(AND($C165&lt;&gt;"",AN$11&lt;&gt;"",$AN165=""),TRUE,FALSE)</f>
        <v>0</v>
      </c>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4"/>
    </row>
    <row r="166" spans="1:101" ht="6.75" customHeight="1" thickBot="1" x14ac:dyDescent="0.25">
      <c r="A166" s="228"/>
      <c r="B166" s="228"/>
      <c r="C166" s="232"/>
      <c r="D166" s="267"/>
      <c r="I166" s="267"/>
      <c r="K166" s="228"/>
      <c r="M166" s="267"/>
      <c r="O166" s="267"/>
      <c r="Q166" s="267"/>
      <c r="S166" s="267"/>
      <c r="U166" s="267"/>
      <c r="V166" s="283"/>
      <c r="W166" s="267"/>
      <c r="X166" s="283"/>
      <c r="Y166" s="267"/>
      <c r="Z166" s="283"/>
      <c r="AA166" s="267"/>
      <c r="AB166" s="283"/>
      <c r="AC166" s="267"/>
      <c r="AD166" s="283"/>
      <c r="AE166" s="267"/>
      <c r="AF166" s="283"/>
      <c r="AG166" s="267"/>
      <c r="AH166" s="283"/>
      <c r="AI166" s="267"/>
      <c r="AJ166" s="283"/>
      <c r="AK166" s="267"/>
      <c r="AL166" s="283"/>
      <c r="AM166" s="267"/>
      <c r="AN166" s="283"/>
      <c r="AO166" s="267"/>
      <c r="AP166" s="267"/>
      <c r="AQ166" s="267"/>
      <c r="AR166" s="232"/>
      <c r="AY166" s="145"/>
      <c r="AZ166" s="146"/>
      <c r="BA166" s="146"/>
      <c r="BB166" s="146"/>
      <c r="BC166" s="146"/>
      <c r="BD166" s="145"/>
      <c r="BE166" s="146"/>
      <c r="BF166" s="146"/>
      <c r="BG166" s="146"/>
      <c r="BH166" s="145"/>
      <c r="BI166" s="146"/>
      <c r="BJ166" s="145"/>
      <c r="BK166" s="146"/>
      <c r="BL166" s="145"/>
      <c r="BM166" s="146"/>
      <c r="BN166" s="145"/>
      <c r="BO166" s="146"/>
      <c r="BP166" s="145"/>
      <c r="BQ166" s="146"/>
      <c r="BR166" s="145"/>
      <c r="BS166" s="146"/>
      <c r="BT166" s="145"/>
      <c r="BU166" s="146"/>
      <c r="BV166" s="145"/>
      <c r="BW166" s="146"/>
      <c r="BX166" s="145"/>
      <c r="BY166" s="146"/>
      <c r="BZ166" s="145"/>
      <c r="CA166" s="146"/>
    </row>
    <row r="167" spans="1:101" s="101" customFormat="1" ht="12.75" customHeight="1" x14ac:dyDescent="0.2">
      <c r="A167" s="227">
        <f>A165+1</f>
        <v>76</v>
      </c>
      <c r="B167" s="227"/>
      <c r="C167" s="231"/>
      <c r="D167" s="251" t="str">
        <f>IF((C167=""),"Enter Segment "&amp;TEXT(A167,0)&amp;" Name, then Enter Data in Columns "&amp;TEXT($H$2,0)&amp;" - "&amp;TEXT($AN$2,0)&amp;"       ","")</f>
        <v xml:space="preserve">Enter Segment 76 Name, then Enter Data in Columns h - an       </v>
      </c>
      <c r="E167" s="131" t="str">
        <f>IF($AW167="B","N/A",IF(AX167="N","No",IF(AX167="Y","Yes","")))</f>
        <v>N/A</v>
      </c>
      <c r="F167" s="130"/>
      <c r="G167" s="130"/>
      <c r="H167" s="285"/>
      <c r="I167" s="251" t="str">
        <f>IF($C167&lt;&gt;"","Enter Starting Point       ","")</f>
        <v/>
      </c>
      <c r="J167" s="285"/>
      <c r="K167" s="227"/>
      <c r="L167" s="88"/>
      <c r="M167" s="251" t="str">
        <f>IF($C167&lt;&gt;"","Select from Pull-Down List  ","")</f>
        <v/>
      </c>
      <c r="N167" s="88"/>
      <c r="O167" s="251" t="str">
        <f>IF($C167&lt;&gt;"","Select from Pull-Down List  ","")</f>
        <v/>
      </c>
      <c r="P167" s="131"/>
      <c r="Q167" s="251" t="str">
        <f>IF($C167&lt;&gt;"","Dir. Route-Mi?    ","")</f>
        <v/>
      </c>
      <c r="R167" s="131"/>
      <c r="S167" s="251" t="str">
        <f>IF($C167&lt;&gt;"","Trk-Mi?      ","")</f>
        <v/>
      </c>
      <c r="T167" s="131"/>
      <c r="U167" s="251" t="str">
        <f>IF($C167&lt;&gt;"","Trk-Mi?      ","")</f>
        <v/>
      </c>
      <c r="V167" s="284"/>
      <c r="W167" s="278" t="str">
        <f>IF(OR($R167="",V$11=""),"","0 - "&amp;TEXT($R167-$AP167,"0.0")&amp;" Trk-Mi?    ")</f>
        <v/>
      </c>
      <c r="X167" s="284"/>
      <c r="Y167" s="278" t="str">
        <f>IF(OR($R167="",X$11=""),"","0 - "&amp;TEXT($R167-$AP167,"0.0")&amp;" Trk-Mi?    ")</f>
        <v/>
      </c>
      <c r="Z167" s="284"/>
      <c r="AA167" s="278" t="str">
        <f>IF(OR($R167="",Z$11=""),"","0 - "&amp;TEXT($R167-$AP167,"0.0")&amp;" Trk-Mi?    ")</f>
        <v/>
      </c>
      <c r="AB167" s="284"/>
      <c r="AC167" s="278" t="str">
        <f>IF(OR($R167="",AB$11=""),"","0 - "&amp;TEXT($R167-$AP167,"0.0")&amp;" Trk-Mi?    ")</f>
        <v/>
      </c>
      <c r="AD167" s="284"/>
      <c r="AE167" s="278" t="str">
        <f>IF(OR($R167="",AD$11=""),"","0 - "&amp;TEXT($R167-$AP167,"0.0")&amp;" Trk-Mi?    ")</f>
        <v/>
      </c>
      <c r="AF167" s="284"/>
      <c r="AG167" s="278" t="str">
        <f>IF(OR($R167="",AF$11=""),"","0 - "&amp;TEXT($R167-$AP167,"0.0")&amp;" Trk-Mi?    ")</f>
        <v/>
      </c>
      <c r="AH167" s="284"/>
      <c r="AI167" s="278" t="str">
        <f>IF(OR($R167="",AH$11=""),"","0 - "&amp;TEXT($R167-$AP167,"0.0")&amp;" Trk-Mi?    ")</f>
        <v/>
      </c>
      <c r="AJ167" s="284"/>
      <c r="AK167" s="278" t="str">
        <f>IF(OR($R167="",AJ$11=""),"","0 - "&amp;TEXT($R167-$AP167,"0.0")&amp;" Trk-Mi?    ")</f>
        <v/>
      </c>
      <c r="AL167" s="284"/>
      <c r="AM167" s="278" t="str">
        <f>IF(OR($R167="",AL$11=""),"","0 - "&amp;TEXT($R167-$AP167,"0.0")&amp;" Trk-Mi?    ")</f>
        <v/>
      </c>
      <c r="AN167" s="284"/>
      <c r="AO167" s="278" t="str">
        <f>IF(OR($R167="",AN$11=""),"","0 - "&amp;TEXT($R167-$AP167,"0.0")&amp;" Trk-Mi?    ")</f>
        <v/>
      </c>
      <c r="AP167" s="282">
        <f>SUM(V167,X167,Z167,AB167,AD167,AF167,AH167,AJ167,AL167,AN167)</f>
        <v>0</v>
      </c>
      <c r="AQ167" s="278"/>
      <c r="AR167" s="234"/>
      <c r="AS167" s="107"/>
      <c r="AT167" s="107"/>
      <c r="AU167" s="107"/>
      <c r="AW167" s="107" t="str">
        <f>IF(AND($C167="",$H167="",$J167="",$L167="",$N167="",$P167="",$R167=""),"B","NB")</f>
        <v>B</v>
      </c>
      <c r="AX167" s="241" t="str">
        <f>IF(OR($C167="",$H167="",$J167="",$L167="",$N167="",$R167="",$P167="",AND($V$11&lt;&gt;"",$V167=""),AND($X$11&lt;&gt;"",$X167=""),AND($Z$11&lt;&gt;"",$Z167=""),AND($AB$11&lt;&gt;"",$AB167=""),AND($AD$11&lt;&gt;"",$AD167=""),AND($AF$11&lt;&gt;"",$AF167=""),AND($AH$11&lt;&gt;"",$AH167=""),AND($AJ$11&lt;&gt;"",$AJ167=""),AND($AL$11&lt;&gt;"",$AL167=""),AND($AN$11&lt;&gt;"",$AN167="")),"N","Y")</f>
        <v>N</v>
      </c>
      <c r="AY167" s="142" t="b">
        <f>IF(AND($C167="",OR($H167&lt;&gt;"",$J167&lt;&gt;"",$L167&lt;&gt;"",$N167&lt;&gt;"",$R167&lt;&gt;"",$P167&lt;&gt;"",AND($V$11&lt;&gt;"",$V167&lt;&gt;""),AND($X$11&lt;&gt;"",$X167&lt;&gt;""),AND($Z$11&lt;&gt;"",$Z167&lt;&gt;""),AND($AB$11&lt;&gt;"",$AB167&lt;&gt;""),AND($AD$11&lt;&gt;"",$AD167&lt;&gt;""),AND($AF$11&lt;&gt;"",$AF167&lt;&gt;""),AND($AH$11&lt;&gt;"",$AH167&lt;&gt;""),AND($AJ$11&lt;&gt;"",$AJ167&lt;&gt;""),AND($AL$11&lt;&gt;"",$AL167&lt;&gt;""),AND($AN$11&lt;&gt;"",$AN167&lt;&gt;""))),TRUE,FALSE)</f>
        <v>0</v>
      </c>
      <c r="AZ167" s="144" t="b">
        <f>IF(AND($C167&lt;&gt;"",$H167=""),TRUE,FALSE)</f>
        <v>0</v>
      </c>
      <c r="BA167" s="144" t="b">
        <f>IF(AND($C167&lt;&gt;"",$J167=""),TRUE,FALSE)</f>
        <v>0</v>
      </c>
      <c r="BB167" s="144" t="b">
        <f>IF(AND($C167&lt;&gt;"",$L167=""),TRUE,FALSE)</f>
        <v>0</v>
      </c>
      <c r="BC167" s="144" t="b">
        <f>IF(AND($C167&lt;&gt;"",$N167=""),TRUE,FALSE)</f>
        <v>0</v>
      </c>
      <c r="BD167" s="142" t="b">
        <f>IF($BE167=TRUE,FALSE,IF(OR($P167&lt;$BD$5,$P167&gt;$BE$5),TRUE,FALSE))</f>
        <v>0</v>
      </c>
      <c r="BE167" s="144" t="b">
        <f>IF(AND($C167&lt;&gt;"",$P167=""),TRUE,FALSE)</f>
        <v>0</v>
      </c>
      <c r="BF167" s="144" t="b">
        <f>IF($BG167=TRUE,FALSE,IF(OR($R167&lt;$BF$5,$R167&gt;$BG$5),TRUE,FALSE))</f>
        <v>0</v>
      </c>
      <c r="BG167" s="144" t="b">
        <f>IF(AND($C167&lt;&gt;"",$R167=""),TRUE,FALSE)</f>
        <v>0</v>
      </c>
      <c r="BH167" s="160" t="b">
        <f>IF(BI167=TRUE,FALSE,IF(AND(V167&lt;&gt;"",V$11=""),TRUE,IF(AND(V167&lt;&gt;"",V$11&lt;&gt;"",$R167&lt;&gt;$AP167),TRUE,IF(OR(V167&lt;0,V167&gt;$R167),TRUE,FALSE))))</f>
        <v>0</v>
      </c>
      <c r="BI167" s="144" t="b">
        <f>IF(AND($C167&lt;&gt;"",V$11&lt;&gt;"",$V167=""),TRUE,FALSE)</f>
        <v>0</v>
      </c>
      <c r="BJ167" s="160" t="b">
        <f>IF(BK167=TRUE,FALSE,IF(AND(X167&lt;&gt;"",X$11=""),TRUE,IF(AND(X167&lt;&gt;"",X$11&lt;&gt;"",$R167&lt;&gt;$AP167),TRUE,IF(OR(X167&lt;0,X167&gt;$R167),TRUE,FALSE))))</f>
        <v>0</v>
      </c>
      <c r="BK167" s="144" t="b">
        <f>IF(AND($C167&lt;&gt;"",X$11&lt;&gt;"",$X167=""),TRUE,FALSE)</f>
        <v>0</v>
      </c>
      <c r="BL167" s="160" t="b">
        <f>IF(BM167=TRUE,FALSE,IF(AND(Z167&lt;&gt;"",Z$11=""),TRUE,IF(AND(Z167&lt;&gt;"",Z$11&lt;&gt;"",$R167&lt;&gt;$AP167),TRUE,IF(OR(Z167&lt;0,Z167&gt;$R167),TRUE,FALSE))))</f>
        <v>0</v>
      </c>
      <c r="BM167" s="144" t="b">
        <f>IF(AND($C167&lt;&gt;"",Z$11&lt;&gt;"",$Z167=""),TRUE,FALSE)</f>
        <v>0</v>
      </c>
      <c r="BN167" s="160" t="b">
        <f>IF(BO167=TRUE,FALSE,IF(AND(AB167&lt;&gt;"",AB$11=""),TRUE,IF(AND(AB167&lt;&gt;"",AB$11&lt;&gt;"",$R167&lt;&gt;$AP167),TRUE,IF(OR(AB167&lt;0,AB167&gt;$R167),TRUE,FALSE))))</f>
        <v>0</v>
      </c>
      <c r="BO167" s="144" t="b">
        <f>IF(AND($C167&lt;&gt;"",AB$11&lt;&gt;"",$AB167=""),TRUE,FALSE)</f>
        <v>0</v>
      </c>
      <c r="BP167" s="160" t="b">
        <f>IF(BQ167=TRUE,FALSE,IF(AND(AD167&lt;&gt;"",AD$11=""),TRUE,IF(AND(AD167&lt;&gt;"",AD$11&lt;&gt;"",$R167&lt;&gt;$AP167),TRUE,IF(OR(AD167&lt;0,AD167&gt;$R167),TRUE,FALSE))))</f>
        <v>0</v>
      </c>
      <c r="BQ167" s="144" t="b">
        <f>IF(AND($C167&lt;&gt;"",AD$11&lt;&gt;"",$AD167=""),TRUE,FALSE)</f>
        <v>0</v>
      </c>
      <c r="BR167" s="160" t="b">
        <f>IF(BS167=TRUE,FALSE,IF(AND(AF167&lt;&gt;"",AF$11=""),TRUE,IF(AND(AF167&lt;&gt;"",AF$11&lt;&gt;"",$R167&lt;&gt;$AP167),TRUE,IF(OR(AF167&lt;0,AF167&gt;$R167),TRUE,FALSE))))</f>
        <v>0</v>
      </c>
      <c r="BS167" s="144" t="b">
        <f>IF(AND($C167&lt;&gt;"",AF$11&lt;&gt;"",$AF167=""),TRUE,FALSE)</f>
        <v>0</v>
      </c>
      <c r="BT167" s="160" t="b">
        <f>IF(BU167=TRUE,FALSE,IF(AND(AH167&lt;&gt;"",AH$11=""),TRUE,IF(AND(AH167&lt;&gt;"",AH$11&lt;&gt;"",$R167&lt;&gt;$AP167),TRUE,IF(OR(AH167&lt;0,AH167&gt;$R167),TRUE,FALSE))))</f>
        <v>0</v>
      </c>
      <c r="BU167" s="144" t="b">
        <f>IF(AND($C167&lt;&gt;"",AH$11&lt;&gt;"",$AH167=""),TRUE,FALSE)</f>
        <v>0</v>
      </c>
      <c r="BV167" s="160" t="b">
        <f>IF(BW167=TRUE,FALSE,IF(AND(AJ167&lt;&gt;"",AJ$11=""),TRUE,IF(AND(AJ167&lt;&gt;"",AJ$11&lt;&gt;"",$R167&lt;&gt;$AP167),TRUE,IF(OR(AJ167&lt;0,AJ167&gt;$R167),TRUE,FALSE))))</f>
        <v>0</v>
      </c>
      <c r="BW167" s="144" t="b">
        <f>IF(AND($C167&lt;&gt;"",AJ$11&lt;&gt;"",$AJ167=""),TRUE,FALSE)</f>
        <v>0</v>
      </c>
      <c r="BX167" s="160" t="b">
        <f>IF(BY167=TRUE,FALSE,IF(AND(AL167&lt;&gt;"",AL$11=""),TRUE,IF(AND(AL167&lt;&gt;"",AL$11&lt;&gt;"",$R167&lt;&gt;$AP167),TRUE,IF(OR(AL167&lt;0,AL167&gt;$R167),TRUE,FALSE))))</f>
        <v>0</v>
      </c>
      <c r="BY167" s="144" t="b">
        <f>IF(AND($C167&lt;&gt;"",AL$11&lt;&gt;"",$AL167=""),TRUE,FALSE)</f>
        <v>0</v>
      </c>
      <c r="BZ167" s="160" t="b">
        <f>IF(CA167=TRUE,FALSE,IF(AND(AN167&lt;&gt;"",AN$11=""),TRUE,IF(AND(AN167&lt;&gt;"",AN$11&lt;&gt;"",$R167&lt;&gt;$AP167),TRUE,IF(OR(AN167&lt;0,AN167&gt;$R167),TRUE,FALSE))))</f>
        <v>0</v>
      </c>
      <c r="CA167" s="144" t="b">
        <f>IF(AND($C167&lt;&gt;"",AN$11&lt;&gt;"",$AN167=""),TRUE,FALSE)</f>
        <v>0</v>
      </c>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4"/>
    </row>
    <row r="168" spans="1:101" ht="6.75" customHeight="1" thickBot="1" x14ac:dyDescent="0.25">
      <c r="A168" s="228"/>
      <c r="B168" s="228"/>
      <c r="C168" s="232"/>
      <c r="D168" s="267"/>
      <c r="I168" s="267"/>
      <c r="K168" s="228"/>
      <c r="M168" s="267"/>
      <c r="O168" s="267"/>
      <c r="Q168" s="267"/>
      <c r="S168" s="267"/>
      <c r="U168" s="267"/>
      <c r="V168" s="283"/>
      <c r="W168" s="267"/>
      <c r="X168" s="283"/>
      <c r="Y168" s="267"/>
      <c r="Z168" s="283"/>
      <c r="AA168" s="267"/>
      <c r="AB168" s="283"/>
      <c r="AC168" s="267"/>
      <c r="AD168" s="283"/>
      <c r="AE168" s="267"/>
      <c r="AF168" s="283"/>
      <c r="AG168" s="267"/>
      <c r="AH168" s="283"/>
      <c r="AI168" s="267"/>
      <c r="AJ168" s="283"/>
      <c r="AK168" s="267"/>
      <c r="AL168" s="283"/>
      <c r="AM168" s="267"/>
      <c r="AN168" s="283"/>
      <c r="AO168" s="267"/>
      <c r="AP168" s="267"/>
      <c r="AQ168" s="267"/>
      <c r="AR168" s="235" t="str">
        <f>IF(CJ168&gt;=1,"Bad Data","")</f>
        <v/>
      </c>
      <c r="AY168" s="145"/>
      <c r="AZ168" s="146"/>
      <c r="BA168" s="146"/>
      <c r="BB168" s="146"/>
      <c r="BC168" s="146"/>
      <c r="BD168" s="145"/>
      <c r="BE168" s="146"/>
      <c r="BF168" s="146"/>
      <c r="BG168" s="146"/>
      <c r="BH168" s="145"/>
      <c r="BI168" s="146"/>
      <c r="BJ168" s="145"/>
      <c r="BK168" s="146"/>
      <c r="BL168" s="145"/>
      <c r="BM168" s="146"/>
      <c r="BN168" s="145"/>
      <c r="BO168" s="146"/>
      <c r="BP168" s="145"/>
      <c r="BQ168" s="146"/>
      <c r="BR168" s="145"/>
      <c r="BS168" s="146"/>
      <c r="BT168" s="145"/>
      <c r="BU168" s="146"/>
      <c r="BV168" s="145"/>
      <c r="BW168" s="146"/>
      <c r="BX168" s="145"/>
      <c r="BY168" s="146"/>
      <c r="BZ168" s="145"/>
      <c r="CA168" s="146"/>
    </row>
    <row r="169" spans="1:101" s="101" customFormat="1" ht="12.75" customHeight="1" x14ac:dyDescent="0.2">
      <c r="A169" s="227">
        <f>A167+1</f>
        <v>77</v>
      </c>
      <c r="B169" s="227"/>
      <c r="C169" s="231"/>
      <c r="D169" s="251" t="str">
        <f>IF((C169=""),"Enter Segment "&amp;TEXT(A169,0)&amp;" Name, then Enter Data in Columns "&amp;TEXT($H$2,0)&amp;" - "&amp;TEXT($AN$2,0)&amp;"       ","")</f>
        <v xml:space="preserve">Enter Segment 77 Name, then Enter Data in Columns h - an       </v>
      </c>
      <c r="E169" s="131" t="str">
        <f>IF($AW169="B","N/A",IF(AX169="N","No",IF(AX169="Y","Yes","")))</f>
        <v>N/A</v>
      </c>
      <c r="F169" s="130"/>
      <c r="G169" s="130"/>
      <c r="H169" s="285"/>
      <c r="I169" s="251" t="str">
        <f>IF($C169&lt;&gt;"","Enter Starting Point       ","")</f>
        <v/>
      </c>
      <c r="J169" s="285"/>
      <c r="K169" s="227"/>
      <c r="L169" s="88"/>
      <c r="M169" s="251" t="str">
        <f>IF($C169&lt;&gt;"","Select from Pull-Down List  ","")</f>
        <v/>
      </c>
      <c r="N169" s="88"/>
      <c r="O169" s="251" t="str">
        <f>IF($C169&lt;&gt;"","Select from Pull-Down List  ","")</f>
        <v/>
      </c>
      <c r="P169" s="131"/>
      <c r="Q169" s="251" t="str">
        <f>IF($C169&lt;&gt;"","Dir. Route-Mi?    ","")</f>
        <v/>
      </c>
      <c r="R169" s="131"/>
      <c r="S169" s="251" t="str">
        <f>IF($C169&lt;&gt;"","Trk-Mi?      ","")</f>
        <v/>
      </c>
      <c r="T169" s="131"/>
      <c r="U169" s="251" t="str">
        <f>IF($C169&lt;&gt;"","Trk-Mi?      ","")</f>
        <v/>
      </c>
      <c r="V169" s="284"/>
      <c r="W169" s="278" t="str">
        <f>IF(OR($R169="",V$11=""),"","0 - "&amp;TEXT($R169-$AP169,"0.0")&amp;" Trk-Mi?    ")</f>
        <v/>
      </c>
      <c r="X169" s="284"/>
      <c r="Y169" s="278" t="str">
        <f>IF(OR($R169="",X$11=""),"","0 - "&amp;TEXT($R169-$AP169,"0.0")&amp;" Trk-Mi?    ")</f>
        <v/>
      </c>
      <c r="Z169" s="284"/>
      <c r="AA169" s="278" t="str">
        <f>IF(OR($R169="",Z$11=""),"","0 - "&amp;TEXT($R169-$AP169,"0.0")&amp;" Trk-Mi?    ")</f>
        <v/>
      </c>
      <c r="AB169" s="284"/>
      <c r="AC169" s="278" t="str">
        <f>IF(OR($R169="",AB$11=""),"","0 - "&amp;TEXT($R169-$AP169,"0.0")&amp;" Trk-Mi?    ")</f>
        <v/>
      </c>
      <c r="AD169" s="284"/>
      <c r="AE169" s="278" t="str">
        <f>IF(OR($R169="",AD$11=""),"","0 - "&amp;TEXT($R169-$AP169,"0.0")&amp;" Trk-Mi?    ")</f>
        <v/>
      </c>
      <c r="AF169" s="284"/>
      <c r="AG169" s="278" t="str">
        <f>IF(OR($R169="",AF$11=""),"","0 - "&amp;TEXT($R169-$AP169,"0.0")&amp;" Trk-Mi?    ")</f>
        <v/>
      </c>
      <c r="AH169" s="284"/>
      <c r="AI169" s="278" t="str">
        <f>IF(OR($R169="",AH$11=""),"","0 - "&amp;TEXT($R169-$AP169,"0.0")&amp;" Trk-Mi?    ")</f>
        <v/>
      </c>
      <c r="AJ169" s="284"/>
      <c r="AK169" s="278" t="str">
        <f>IF(OR($R169="",AJ$11=""),"","0 - "&amp;TEXT($R169-$AP169,"0.0")&amp;" Trk-Mi?    ")</f>
        <v/>
      </c>
      <c r="AL169" s="284"/>
      <c r="AM169" s="278" t="str">
        <f>IF(OR($R169="",AL$11=""),"","0 - "&amp;TEXT($R169-$AP169,"0.0")&amp;" Trk-Mi?    ")</f>
        <v/>
      </c>
      <c r="AN169" s="284"/>
      <c r="AO169" s="278" t="str">
        <f>IF(OR($R169="",AN$11=""),"","0 - "&amp;TEXT($R169-$AP169,"0.0")&amp;" Trk-Mi?    ")</f>
        <v/>
      </c>
      <c r="AP169" s="282">
        <f>SUM(V169,X169,Z169,AB169,AD169,AF169,AH169,AJ169,AL169,AN169)</f>
        <v>0</v>
      </c>
      <c r="AQ169" s="278"/>
      <c r="AR169" s="234"/>
      <c r="AS169" s="107"/>
      <c r="AT169" s="107"/>
      <c r="AU169" s="107"/>
      <c r="AW169" s="107" t="str">
        <f>IF(AND($C169="",$H169="",$J169="",$L169="",$N169="",$P169="",$R169=""),"B","NB")</f>
        <v>B</v>
      </c>
      <c r="AX169" s="241" t="str">
        <f>IF(OR($C169="",$H169="",$J169="",$L169="",$N169="",$R169="",$P169="",AND($V$11&lt;&gt;"",$V169=""),AND($X$11&lt;&gt;"",$X169=""),AND($Z$11&lt;&gt;"",$Z169=""),AND($AB$11&lt;&gt;"",$AB169=""),AND($AD$11&lt;&gt;"",$AD169=""),AND($AF$11&lt;&gt;"",$AF169=""),AND($AH$11&lt;&gt;"",$AH169=""),AND($AJ$11&lt;&gt;"",$AJ169=""),AND($AL$11&lt;&gt;"",$AL169=""),AND($AN$11&lt;&gt;"",$AN169="")),"N","Y")</f>
        <v>N</v>
      </c>
      <c r="AY169" s="142" t="b">
        <f>IF(AND($C169="",OR($H169&lt;&gt;"",$J169&lt;&gt;"",$L169&lt;&gt;"",$N169&lt;&gt;"",$R169&lt;&gt;"",$P169&lt;&gt;"",AND($V$11&lt;&gt;"",$V169&lt;&gt;""),AND($X$11&lt;&gt;"",$X169&lt;&gt;""),AND($Z$11&lt;&gt;"",$Z169&lt;&gt;""),AND($AB$11&lt;&gt;"",$AB169&lt;&gt;""),AND($AD$11&lt;&gt;"",$AD169&lt;&gt;""),AND($AF$11&lt;&gt;"",$AF169&lt;&gt;""),AND($AH$11&lt;&gt;"",$AH169&lt;&gt;""),AND($AJ$11&lt;&gt;"",$AJ169&lt;&gt;""),AND($AL$11&lt;&gt;"",$AL169&lt;&gt;""),AND($AN$11&lt;&gt;"",$AN169&lt;&gt;""))),TRUE,FALSE)</f>
        <v>0</v>
      </c>
      <c r="AZ169" s="144" t="b">
        <f>IF(AND($C169&lt;&gt;"",$H169=""),TRUE,FALSE)</f>
        <v>0</v>
      </c>
      <c r="BA169" s="144" t="b">
        <f>IF(AND($C169&lt;&gt;"",$J169=""),TRUE,FALSE)</f>
        <v>0</v>
      </c>
      <c r="BB169" s="144" t="b">
        <f>IF(AND($C169&lt;&gt;"",$L169=""),TRUE,FALSE)</f>
        <v>0</v>
      </c>
      <c r="BC169" s="144" t="b">
        <f>IF(AND($C169&lt;&gt;"",$N169=""),TRUE,FALSE)</f>
        <v>0</v>
      </c>
      <c r="BD169" s="144" t="b">
        <f>IF($BE169=TRUE,FALSE,IF(OR($P169&lt;$BD$5,$P169&gt;$BE$5),TRUE,FALSE))</f>
        <v>0</v>
      </c>
      <c r="BE169" s="144" t="b">
        <f>IF(AND($C169&lt;&gt;"",$P169=""),TRUE,FALSE)</f>
        <v>0</v>
      </c>
      <c r="BF169" s="144" t="b">
        <f>IF($BG169=TRUE,FALSE,IF(OR($R169&lt;$BF$5,$R169&gt;$BG$5),TRUE,FALSE))</f>
        <v>0</v>
      </c>
      <c r="BG169" s="142" t="b">
        <f>IF(AND($C169&lt;&gt;"",$R169=""),TRUE,FALSE)</f>
        <v>0</v>
      </c>
      <c r="BH169" s="160" t="b">
        <f>IF(BI169=TRUE,FALSE,IF(AND(V169&lt;&gt;"",V$11=""),TRUE,IF(AND(V169&lt;&gt;"",V$11&lt;&gt;"",$R169&lt;&gt;$AP169),TRUE,IF(OR(V169&lt;0,V169&gt;$R169),TRUE,FALSE))))</f>
        <v>0</v>
      </c>
      <c r="BI169" s="144" t="b">
        <f>IF(AND($C169&lt;&gt;"",V$11&lt;&gt;"",$V169=""),TRUE,FALSE)</f>
        <v>0</v>
      </c>
      <c r="BJ169" s="160" t="b">
        <f>IF(BK169=TRUE,FALSE,IF(AND(X169&lt;&gt;"",X$11=""),TRUE,IF(AND(X169&lt;&gt;"",X$11&lt;&gt;"",$R169&lt;&gt;$AP169),TRUE,IF(OR(X169&lt;0,X169&gt;$R169),TRUE,FALSE))))</f>
        <v>0</v>
      </c>
      <c r="BK169" s="144" t="b">
        <f>IF(AND($C169&lt;&gt;"",X$11&lt;&gt;"",$X169=""),TRUE,FALSE)</f>
        <v>0</v>
      </c>
      <c r="BL169" s="160" t="b">
        <f>IF(BM169=TRUE,FALSE,IF(AND(Z169&lt;&gt;"",Z$11=""),TRUE,IF(AND(Z169&lt;&gt;"",Z$11&lt;&gt;"",$R169&lt;&gt;$AP169),TRUE,IF(OR(Z169&lt;0,Z169&gt;$R169),TRUE,FALSE))))</f>
        <v>0</v>
      </c>
      <c r="BM169" s="144" t="b">
        <f>IF(AND($C169&lt;&gt;"",Z$11&lt;&gt;"",$Z169=""),TRUE,FALSE)</f>
        <v>0</v>
      </c>
      <c r="BN169" s="160" t="b">
        <f>IF(BO169=TRUE,FALSE,IF(AND(AB169&lt;&gt;"",AB$11=""),TRUE,IF(AND(AB169&lt;&gt;"",AB$11&lt;&gt;"",$R169&lt;&gt;$AP169),TRUE,IF(OR(AB169&lt;0,AB169&gt;$R169),TRUE,FALSE))))</f>
        <v>0</v>
      </c>
      <c r="BO169" s="144" t="b">
        <f>IF(AND($C169&lt;&gt;"",AB$11&lt;&gt;"",$AB169=""),TRUE,FALSE)</f>
        <v>0</v>
      </c>
      <c r="BP169" s="160" t="b">
        <f>IF(BQ169=TRUE,FALSE,IF(AND(AD169&lt;&gt;"",AD$11=""),TRUE,IF(AND(AD169&lt;&gt;"",AD$11&lt;&gt;"",$R169&lt;&gt;$AP169),TRUE,IF(OR(AD169&lt;0,AD169&gt;$R169),TRUE,FALSE))))</f>
        <v>0</v>
      </c>
      <c r="BQ169" s="144" t="b">
        <f>IF(AND($C169&lt;&gt;"",AD$11&lt;&gt;"",$AD169=""),TRUE,FALSE)</f>
        <v>0</v>
      </c>
      <c r="BR169" s="160" t="b">
        <f>IF(BS169=TRUE,FALSE,IF(AND(AF169&lt;&gt;"",AF$11=""),TRUE,IF(AND(AF169&lt;&gt;"",AF$11&lt;&gt;"",$R169&lt;&gt;$AP169),TRUE,IF(OR(AF169&lt;0,AF169&gt;$R169),TRUE,FALSE))))</f>
        <v>0</v>
      </c>
      <c r="BS169" s="144" t="b">
        <f>IF(AND($C169&lt;&gt;"",AF$11&lt;&gt;"",$AF169=""),TRUE,FALSE)</f>
        <v>0</v>
      </c>
      <c r="BT169" s="160" t="b">
        <f>IF(BU169=TRUE,FALSE,IF(AND(AH169&lt;&gt;"",AH$11=""),TRUE,IF(AND(AH169&lt;&gt;"",AH$11&lt;&gt;"",$R169&lt;&gt;$AP169),TRUE,IF(OR(AH169&lt;0,AH169&gt;$R169),TRUE,FALSE))))</f>
        <v>0</v>
      </c>
      <c r="BU169" s="144" t="b">
        <f>IF(AND($C169&lt;&gt;"",AH$11&lt;&gt;"",$AH169=""),TRUE,FALSE)</f>
        <v>0</v>
      </c>
      <c r="BV169" s="160" t="b">
        <f>IF(BW169=TRUE,FALSE,IF(AND(AJ169&lt;&gt;"",AJ$11=""),TRUE,IF(AND(AJ169&lt;&gt;"",AJ$11&lt;&gt;"",$R169&lt;&gt;$AP169),TRUE,IF(OR(AJ169&lt;0,AJ169&gt;$R169),TRUE,FALSE))))</f>
        <v>0</v>
      </c>
      <c r="BW169" s="144" t="b">
        <f>IF(AND($C169&lt;&gt;"",AJ$11&lt;&gt;"",$AJ169=""),TRUE,FALSE)</f>
        <v>0</v>
      </c>
      <c r="BX169" s="160" t="b">
        <f>IF(BY169=TRUE,FALSE,IF(AND(AL169&lt;&gt;"",AL$11=""),TRUE,IF(AND(AL169&lt;&gt;"",AL$11&lt;&gt;"",$R169&lt;&gt;$AP169),TRUE,IF(OR(AL169&lt;0,AL169&gt;$R169),TRUE,FALSE))))</f>
        <v>0</v>
      </c>
      <c r="BY169" s="144" t="b">
        <f>IF(AND($C169&lt;&gt;"",AL$11&lt;&gt;"",$AL169=""),TRUE,FALSE)</f>
        <v>0</v>
      </c>
      <c r="BZ169" s="160" t="b">
        <f>IF(CA169=TRUE,FALSE,IF(AND(AN169&lt;&gt;"",AN$11=""),TRUE,IF(AND(AN169&lt;&gt;"",AN$11&lt;&gt;"",$R169&lt;&gt;$AP169),TRUE,IF(OR(AN169&lt;0,AN169&gt;$R169),TRUE,FALSE))))</f>
        <v>0</v>
      </c>
      <c r="CA169" s="144" t="b">
        <f>IF(AND($C169&lt;&gt;"",AN$11&lt;&gt;"",$AN169=""),TRUE,FALSE)</f>
        <v>0</v>
      </c>
      <c r="CB169" s="133"/>
      <c r="CC169" s="133"/>
      <c r="CD169" s="133"/>
      <c r="CE169" s="133"/>
      <c r="CF169" s="133"/>
      <c r="CG169" s="133"/>
      <c r="CH169" s="133"/>
      <c r="CI169" s="133"/>
      <c r="CJ169" s="133"/>
      <c r="CK169" s="133"/>
      <c r="CL169" s="133"/>
      <c r="CM169" s="133"/>
      <c r="CN169" s="133"/>
      <c r="CO169" s="133"/>
      <c r="CP169" s="133"/>
      <c r="CQ169" s="133"/>
      <c r="CR169" s="133"/>
      <c r="CS169" s="133"/>
      <c r="CT169" s="133"/>
      <c r="CU169" s="133"/>
      <c r="CV169" s="133"/>
      <c r="CW169" s="134"/>
    </row>
    <row r="170" spans="1:101" ht="6.75" customHeight="1" thickBot="1" x14ac:dyDescent="0.25">
      <c r="A170" s="228"/>
      <c r="B170" s="228"/>
      <c r="C170" s="232"/>
      <c r="D170" s="267"/>
      <c r="I170" s="267"/>
      <c r="K170" s="228"/>
      <c r="M170" s="267"/>
      <c r="O170" s="267"/>
      <c r="Q170" s="267"/>
      <c r="S170" s="267"/>
      <c r="U170" s="267"/>
      <c r="V170" s="283"/>
      <c r="W170" s="267"/>
      <c r="X170" s="283"/>
      <c r="Y170" s="267"/>
      <c r="Z170" s="283"/>
      <c r="AA170" s="267"/>
      <c r="AB170" s="283"/>
      <c r="AC170" s="267"/>
      <c r="AD170" s="283"/>
      <c r="AE170" s="267"/>
      <c r="AF170" s="283"/>
      <c r="AG170" s="267"/>
      <c r="AH170" s="283"/>
      <c r="AI170" s="267"/>
      <c r="AJ170" s="283"/>
      <c r="AK170" s="267"/>
      <c r="AL170" s="283"/>
      <c r="AM170" s="267"/>
      <c r="AN170" s="283"/>
      <c r="AO170" s="267"/>
      <c r="AP170" s="267"/>
      <c r="AQ170" s="267"/>
      <c r="AR170" s="236"/>
      <c r="AY170" s="145"/>
      <c r="AZ170" s="146"/>
      <c r="BA170" s="146"/>
      <c r="BB170" s="146"/>
      <c r="BC170" s="146"/>
      <c r="BD170" s="145"/>
      <c r="BE170" s="146"/>
      <c r="BF170" s="146"/>
      <c r="BG170" s="146"/>
      <c r="BH170" s="145"/>
      <c r="BI170" s="146"/>
      <c r="BJ170" s="145"/>
      <c r="BK170" s="146"/>
      <c r="BL170" s="145"/>
      <c r="BM170" s="146"/>
      <c r="BN170" s="145"/>
      <c r="BO170" s="146"/>
      <c r="BP170" s="145"/>
      <c r="BQ170" s="146"/>
      <c r="BR170" s="145"/>
      <c r="BS170" s="146"/>
      <c r="BT170" s="145"/>
      <c r="BU170" s="146"/>
      <c r="BV170" s="145"/>
      <c r="BW170" s="146"/>
      <c r="BX170" s="145"/>
      <c r="BY170" s="146"/>
      <c r="BZ170" s="145"/>
      <c r="CA170" s="146"/>
    </row>
    <row r="171" spans="1:101" s="101" customFormat="1" ht="12.75" customHeight="1" x14ac:dyDescent="0.2">
      <c r="A171" s="227">
        <f>A169+1</f>
        <v>78</v>
      </c>
      <c r="B171" s="227"/>
      <c r="C171" s="231"/>
      <c r="D171" s="251" t="str">
        <f>IF((C171=""),"Enter Segment "&amp;TEXT(A171,0)&amp;" Name, then Enter Data in Columns "&amp;TEXT($H$2,0)&amp;" - "&amp;TEXT($AN$2,0)&amp;"       ","")</f>
        <v xml:space="preserve">Enter Segment 78 Name, then Enter Data in Columns h - an       </v>
      </c>
      <c r="E171" s="131" t="str">
        <f>IF($AW171="B","N/A",IF(AX171="N","No",IF(AX171="Y","Yes","")))</f>
        <v>N/A</v>
      </c>
      <c r="F171" s="130"/>
      <c r="G171" s="130"/>
      <c r="H171" s="285"/>
      <c r="I171" s="251" t="str">
        <f>IF($C171&lt;&gt;"","Enter Starting Point       ","")</f>
        <v/>
      </c>
      <c r="J171" s="285"/>
      <c r="K171" s="227"/>
      <c r="L171" s="88"/>
      <c r="M171" s="251" t="str">
        <f>IF($C171&lt;&gt;"","Select from Pull-Down List  ","")</f>
        <v/>
      </c>
      <c r="N171" s="88"/>
      <c r="O171" s="251" t="str">
        <f>IF($C171&lt;&gt;"","Select from Pull-Down List  ","")</f>
        <v/>
      </c>
      <c r="P171" s="131"/>
      <c r="Q171" s="251" t="str">
        <f>IF($C171&lt;&gt;"","Dir. Route-Mi?    ","")</f>
        <v/>
      </c>
      <c r="R171" s="131"/>
      <c r="S171" s="251" t="str">
        <f>IF($C171&lt;&gt;"","Trk-Mi?      ","")</f>
        <v/>
      </c>
      <c r="T171" s="131"/>
      <c r="U171" s="251" t="str">
        <f>IF($C171&lt;&gt;"","Trk-Mi?      ","")</f>
        <v/>
      </c>
      <c r="V171" s="284"/>
      <c r="W171" s="278" t="str">
        <f>IF(OR($R171="",V$11=""),"","0 - "&amp;TEXT($R171-$AP171,"0.0")&amp;" Trk-Mi?    ")</f>
        <v/>
      </c>
      <c r="X171" s="284"/>
      <c r="Y171" s="278" t="str">
        <f>IF(OR($R171="",X$11=""),"","0 - "&amp;TEXT($R171-$AP171,"0.0")&amp;" Trk-Mi?    ")</f>
        <v/>
      </c>
      <c r="Z171" s="284"/>
      <c r="AA171" s="278" t="str">
        <f>IF(OR($R171="",Z$11=""),"","0 - "&amp;TEXT($R171-$AP171,"0.0")&amp;" Trk-Mi?    ")</f>
        <v/>
      </c>
      <c r="AB171" s="284"/>
      <c r="AC171" s="278" t="str">
        <f>IF(OR($R171="",AB$11=""),"","0 - "&amp;TEXT($R171-$AP171,"0.0")&amp;" Trk-Mi?    ")</f>
        <v/>
      </c>
      <c r="AD171" s="284"/>
      <c r="AE171" s="278" t="str">
        <f>IF(OR($R171="",AD$11=""),"","0 - "&amp;TEXT($R171-$AP171,"0.0")&amp;" Trk-Mi?    ")</f>
        <v/>
      </c>
      <c r="AF171" s="284"/>
      <c r="AG171" s="278" t="str">
        <f>IF(OR($R171="",AF$11=""),"","0 - "&amp;TEXT($R171-$AP171,"0.0")&amp;" Trk-Mi?    ")</f>
        <v/>
      </c>
      <c r="AH171" s="284"/>
      <c r="AI171" s="278" t="str">
        <f>IF(OR($R171="",AH$11=""),"","0 - "&amp;TEXT($R171-$AP171,"0.0")&amp;" Trk-Mi?    ")</f>
        <v/>
      </c>
      <c r="AJ171" s="284"/>
      <c r="AK171" s="278" t="str">
        <f>IF(OR($R171="",AJ$11=""),"","0 - "&amp;TEXT($R171-$AP171,"0.0")&amp;" Trk-Mi?    ")</f>
        <v/>
      </c>
      <c r="AL171" s="284"/>
      <c r="AM171" s="278" t="str">
        <f>IF(OR($R171="",AL$11=""),"","0 - "&amp;TEXT($R171-$AP171,"0.0")&amp;" Trk-Mi?    ")</f>
        <v/>
      </c>
      <c r="AN171" s="284"/>
      <c r="AO171" s="278" t="str">
        <f>IF(OR($R171="",AN$11=""),"","0 - "&amp;TEXT($R171-$AP171,"0.0")&amp;" Trk-Mi?    ")</f>
        <v/>
      </c>
      <c r="AP171" s="282">
        <f>SUM(V171,X171,Z171,AB171,AD171,AF171,AH171,AJ171,AL171,AN171)</f>
        <v>0</v>
      </c>
      <c r="AQ171" s="278"/>
      <c r="AR171" s="234"/>
      <c r="AS171" s="107"/>
      <c r="AT171" s="107"/>
      <c r="AU171" s="107"/>
      <c r="AW171" s="107" t="str">
        <f>IF(AND($C171="",$H171="",$J171="",$L171="",$N171="",$P171="",$R171=""),"B","NB")</f>
        <v>B</v>
      </c>
      <c r="AX171" s="241" t="str">
        <f>IF(OR($C171="",$H171="",$J171="",$L171="",$N171="",$R171="",$P171="",AND($V$11&lt;&gt;"",$V171=""),AND($X$11&lt;&gt;"",$X171=""),AND($Z$11&lt;&gt;"",$Z171=""),AND($AB$11&lt;&gt;"",$AB171=""),AND($AD$11&lt;&gt;"",$AD171=""),AND($AF$11&lt;&gt;"",$AF171=""),AND($AH$11&lt;&gt;"",$AH171=""),AND($AJ$11&lt;&gt;"",$AJ171=""),AND($AL$11&lt;&gt;"",$AL171=""),AND($AN$11&lt;&gt;"",$AN171="")),"N","Y")</f>
        <v>N</v>
      </c>
      <c r="AY171" s="142" t="b">
        <f>IF(AND($C171="",OR($H171&lt;&gt;"",$J171&lt;&gt;"",$L171&lt;&gt;"",$N171&lt;&gt;"",$R171&lt;&gt;"",$P171&lt;&gt;"",AND($V$11&lt;&gt;"",$V171&lt;&gt;""),AND($X$11&lt;&gt;"",$X171&lt;&gt;""),AND($Z$11&lt;&gt;"",$Z171&lt;&gt;""),AND($AB$11&lt;&gt;"",$AB171&lt;&gt;""),AND($AD$11&lt;&gt;"",$AD171&lt;&gt;""),AND($AF$11&lt;&gt;"",$AF171&lt;&gt;""),AND($AH$11&lt;&gt;"",$AH171&lt;&gt;""),AND($AJ$11&lt;&gt;"",$AJ171&lt;&gt;""),AND($AL$11&lt;&gt;"",$AL171&lt;&gt;""),AND($AN$11&lt;&gt;"",$AN171&lt;&gt;""))),TRUE,FALSE)</f>
        <v>0</v>
      </c>
      <c r="AZ171" s="144" t="b">
        <f>IF(AND($C171&lt;&gt;"",$H171=""),TRUE,FALSE)</f>
        <v>0</v>
      </c>
      <c r="BA171" s="144" t="b">
        <f>IF(AND($C171&lt;&gt;"",$J171=""),TRUE,FALSE)</f>
        <v>0</v>
      </c>
      <c r="BB171" s="144" t="b">
        <f>IF(AND($C171&lt;&gt;"",$L171=""),TRUE,FALSE)</f>
        <v>0</v>
      </c>
      <c r="BC171" s="144" t="b">
        <f>IF(AND($C171&lt;&gt;"",$N171=""),TRUE,FALSE)</f>
        <v>0</v>
      </c>
      <c r="BD171" s="142" t="b">
        <f>IF($BE171=TRUE,FALSE,IF(OR($P171&lt;$BD$5,$P171&gt;$BE$5),TRUE,FALSE))</f>
        <v>0</v>
      </c>
      <c r="BE171" s="144" t="b">
        <f>IF(AND($C171&lt;&gt;"",$P171=""),TRUE,FALSE)</f>
        <v>0</v>
      </c>
      <c r="BF171" s="144" t="b">
        <f>IF($BG171=TRUE,FALSE,IF(OR($R171&lt;$BF$5,$R171&gt;$BG$5),TRUE,FALSE))</f>
        <v>0</v>
      </c>
      <c r="BG171" s="144" t="b">
        <f>IF(AND($C171&lt;&gt;"",$R171=""),TRUE,FALSE)</f>
        <v>0</v>
      </c>
      <c r="BH171" s="160" t="b">
        <f>IF(BI171=TRUE,FALSE,IF(AND(V171&lt;&gt;"",V$11=""),TRUE,IF(AND(V171&lt;&gt;"",V$11&lt;&gt;"",$R171&lt;&gt;$AP171),TRUE,IF(OR(V171&lt;0,V171&gt;$R171),TRUE,FALSE))))</f>
        <v>0</v>
      </c>
      <c r="BI171" s="144" t="b">
        <f>IF(AND($C171&lt;&gt;"",V$11&lt;&gt;"",$V171=""),TRUE,FALSE)</f>
        <v>0</v>
      </c>
      <c r="BJ171" s="160" t="b">
        <f>IF(BK171=TRUE,FALSE,IF(AND(X171&lt;&gt;"",X$11=""),TRUE,IF(AND(X171&lt;&gt;"",X$11&lt;&gt;"",$R171&lt;&gt;$AP171),TRUE,IF(OR(X171&lt;0,X171&gt;$R171),TRUE,FALSE))))</f>
        <v>0</v>
      </c>
      <c r="BK171" s="144" t="b">
        <f>IF(AND($C171&lt;&gt;"",X$11&lt;&gt;"",$X171=""),TRUE,FALSE)</f>
        <v>0</v>
      </c>
      <c r="BL171" s="160" t="b">
        <f>IF(BM171=TRUE,FALSE,IF(AND(Z171&lt;&gt;"",Z$11=""),TRUE,IF(AND(Z171&lt;&gt;"",Z$11&lt;&gt;"",$R171&lt;&gt;$AP171),TRUE,IF(OR(Z171&lt;0,Z171&gt;$R171),TRUE,FALSE))))</f>
        <v>0</v>
      </c>
      <c r="BM171" s="144" t="b">
        <f>IF(AND($C171&lt;&gt;"",Z$11&lt;&gt;"",$Z171=""),TRUE,FALSE)</f>
        <v>0</v>
      </c>
      <c r="BN171" s="160" t="b">
        <f>IF(BO171=TRUE,FALSE,IF(AND(AB171&lt;&gt;"",AB$11=""),TRUE,IF(AND(AB171&lt;&gt;"",AB$11&lt;&gt;"",$R171&lt;&gt;$AP171),TRUE,IF(OR(AB171&lt;0,AB171&gt;$R171),TRUE,FALSE))))</f>
        <v>0</v>
      </c>
      <c r="BO171" s="144" t="b">
        <f>IF(AND($C171&lt;&gt;"",AB$11&lt;&gt;"",$AB171=""),TRUE,FALSE)</f>
        <v>0</v>
      </c>
      <c r="BP171" s="160" t="b">
        <f>IF(BQ171=TRUE,FALSE,IF(AND(AD171&lt;&gt;"",AD$11=""),TRUE,IF(AND(AD171&lt;&gt;"",AD$11&lt;&gt;"",$R171&lt;&gt;$AP171),TRUE,IF(OR(AD171&lt;0,AD171&gt;$R171),TRUE,FALSE))))</f>
        <v>0</v>
      </c>
      <c r="BQ171" s="144" t="b">
        <f>IF(AND($C171&lt;&gt;"",AD$11&lt;&gt;"",$AD171=""),TRUE,FALSE)</f>
        <v>0</v>
      </c>
      <c r="BR171" s="160" t="b">
        <f>IF(BS171=TRUE,FALSE,IF(AND(AF171&lt;&gt;"",AF$11=""),TRUE,IF(AND(AF171&lt;&gt;"",AF$11&lt;&gt;"",$R171&lt;&gt;$AP171),TRUE,IF(OR(AF171&lt;0,AF171&gt;$R171),TRUE,FALSE))))</f>
        <v>0</v>
      </c>
      <c r="BS171" s="144" t="b">
        <f>IF(AND($C171&lt;&gt;"",AF$11&lt;&gt;"",$AF171=""),TRUE,FALSE)</f>
        <v>0</v>
      </c>
      <c r="BT171" s="160" t="b">
        <f>IF(BU171=TRUE,FALSE,IF(AND(AH171&lt;&gt;"",AH$11=""),TRUE,IF(AND(AH171&lt;&gt;"",AH$11&lt;&gt;"",$R171&lt;&gt;$AP171),TRUE,IF(OR(AH171&lt;0,AH171&gt;$R171),TRUE,FALSE))))</f>
        <v>0</v>
      </c>
      <c r="BU171" s="144" t="b">
        <f>IF(AND($C171&lt;&gt;"",AH$11&lt;&gt;"",$AH171=""),TRUE,FALSE)</f>
        <v>0</v>
      </c>
      <c r="BV171" s="160" t="b">
        <f>IF(BW171=TRUE,FALSE,IF(AND(AJ171&lt;&gt;"",AJ$11=""),TRUE,IF(AND(AJ171&lt;&gt;"",AJ$11&lt;&gt;"",$R171&lt;&gt;$AP171),TRUE,IF(OR(AJ171&lt;0,AJ171&gt;$R171),TRUE,FALSE))))</f>
        <v>0</v>
      </c>
      <c r="BW171" s="144" t="b">
        <f>IF(AND($C171&lt;&gt;"",AJ$11&lt;&gt;"",$AJ171=""),TRUE,FALSE)</f>
        <v>0</v>
      </c>
      <c r="BX171" s="160" t="b">
        <f>IF(BY171=TRUE,FALSE,IF(AND(AL171&lt;&gt;"",AL$11=""),TRUE,IF(AND(AL171&lt;&gt;"",AL$11&lt;&gt;"",$R171&lt;&gt;$AP171),TRUE,IF(OR(AL171&lt;0,AL171&gt;$R171),TRUE,FALSE))))</f>
        <v>0</v>
      </c>
      <c r="BY171" s="144" t="b">
        <f>IF(AND($C171&lt;&gt;"",AL$11&lt;&gt;"",$AL171=""),TRUE,FALSE)</f>
        <v>0</v>
      </c>
      <c r="BZ171" s="160" t="b">
        <f>IF(CA171=TRUE,FALSE,IF(AND(AN171&lt;&gt;"",AN$11=""),TRUE,IF(AND(AN171&lt;&gt;"",AN$11&lt;&gt;"",$R171&lt;&gt;$AP171),TRUE,IF(OR(AN171&lt;0,AN171&gt;$R171),TRUE,FALSE))))</f>
        <v>0</v>
      </c>
      <c r="CA171" s="144" t="b">
        <f>IF(AND($C171&lt;&gt;"",AN$11&lt;&gt;"",$AN171=""),TRUE,FALSE)</f>
        <v>0</v>
      </c>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4"/>
    </row>
    <row r="172" spans="1:101" ht="6.75" customHeight="1" thickBot="1" x14ac:dyDescent="0.25">
      <c r="A172" s="228"/>
      <c r="B172" s="228"/>
      <c r="C172" s="232"/>
      <c r="D172" s="251"/>
      <c r="E172" s="130"/>
      <c r="F172" s="130"/>
      <c r="G172" s="130"/>
      <c r="I172" s="251"/>
      <c r="K172" s="228"/>
      <c r="M172" s="251"/>
      <c r="O172" s="251"/>
      <c r="P172" s="130"/>
      <c r="Q172" s="251"/>
      <c r="R172" s="130"/>
      <c r="S172" s="251"/>
      <c r="T172" s="130"/>
      <c r="U172" s="251"/>
      <c r="V172" s="283"/>
      <c r="W172" s="278"/>
      <c r="X172" s="283"/>
      <c r="Y172" s="278"/>
      <c r="Z172" s="283"/>
      <c r="AA172" s="278"/>
      <c r="AB172" s="283"/>
      <c r="AC172" s="278"/>
      <c r="AD172" s="283"/>
      <c r="AE172" s="278"/>
      <c r="AF172" s="283"/>
      <c r="AG172" s="278"/>
      <c r="AH172" s="283"/>
      <c r="AI172" s="278"/>
      <c r="AJ172" s="283"/>
      <c r="AK172" s="278"/>
      <c r="AL172" s="283"/>
      <c r="AM172" s="278"/>
      <c r="AN172" s="283"/>
      <c r="AO172" s="278"/>
      <c r="AP172" s="105"/>
      <c r="AQ172" s="253"/>
      <c r="AR172" s="232"/>
      <c r="AY172" s="145"/>
      <c r="AZ172" s="146"/>
      <c r="BA172" s="146"/>
      <c r="BB172" s="146"/>
      <c r="BC172" s="146"/>
      <c r="BD172" s="145"/>
      <c r="BE172" s="146"/>
      <c r="BF172" s="146"/>
      <c r="BG172" s="146"/>
      <c r="BH172" s="145"/>
      <c r="BI172" s="146"/>
      <c r="BJ172" s="145"/>
      <c r="BK172" s="146"/>
      <c r="BL172" s="145"/>
      <c r="BM172" s="146"/>
      <c r="BN172" s="145"/>
      <c r="BO172" s="146"/>
      <c r="BP172" s="145"/>
      <c r="BQ172" s="146"/>
      <c r="BR172" s="145"/>
      <c r="BS172" s="146"/>
      <c r="BT172" s="145"/>
      <c r="BU172" s="146"/>
      <c r="BV172" s="145"/>
      <c r="BW172" s="146"/>
      <c r="BX172" s="145"/>
      <c r="BY172" s="146"/>
      <c r="BZ172" s="145"/>
      <c r="CA172" s="146"/>
    </row>
    <row r="173" spans="1:101" s="101" customFormat="1" ht="12.75" customHeight="1" x14ac:dyDescent="0.2">
      <c r="A173" s="227">
        <f>A171+1</f>
        <v>79</v>
      </c>
      <c r="B173" s="227"/>
      <c r="C173" s="231"/>
      <c r="D173" s="251" t="str">
        <f>IF((C173=""),"Enter Segment "&amp;TEXT(A173,0)&amp;" Name, then Enter Data in Columns "&amp;TEXT($H$2,0)&amp;" - "&amp;TEXT($AN$2,0)&amp;"       ","")</f>
        <v xml:space="preserve">Enter Segment 79 Name, then Enter Data in Columns h - an       </v>
      </c>
      <c r="E173" s="131" t="str">
        <f>IF($AW173="B","N/A",IF(AX173="N","No",IF(AX173="Y","Yes","")))</f>
        <v>N/A</v>
      </c>
      <c r="F173" s="130"/>
      <c r="G173" s="130"/>
      <c r="H173" s="285"/>
      <c r="I173" s="251" t="str">
        <f>IF($C173&lt;&gt;"","Enter Starting Point       ","")</f>
        <v/>
      </c>
      <c r="J173" s="285"/>
      <c r="K173" s="227"/>
      <c r="L173" s="88"/>
      <c r="M173" s="251" t="str">
        <f>IF($C173&lt;&gt;"","Select from Pull-Down List  ","")</f>
        <v/>
      </c>
      <c r="N173" s="88"/>
      <c r="O173" s="251" t="str">
        <f>IF($C173&lt;&gt;"","Select from Pull-Down List  ","")</f>
        <v/>
      </c>
      <c r="P173" s="131"/>
      <c r="Q173" s="251" t="str">
        <f>IF($C173&lt;&gt;"","Dir. Route-Mi?    ","")</f>
        <v/>
      </c>
      <c r="R173" s="131"/>
      <c r="S173" s="251" t="str">
        <f>IF($C173&lt;&gt;"","Trk-Mi?      ","")</f>
        <v/>
      </c>
      <c r="T173" s="131"/>
      <c r="U173" s="251" t="str">
        <f>IF($C173&lt;&gt;"","Trk-Mi?      ","")</f>
        <v/>
      </c>
      <c r="V173" s="284"/>
      <c r="W173" s="278" t="str">
        <f>IF(OR($R173="",V$11=""),"","0 - "&amp;TEXT($R173-$AP173,"0.0")&amp;" Trk-Mi?    ")</f>
        <v/>
      </c>
      <c r="X173" s="284"/>
      <c r="Y173" s="278" t="str">
        <f>IF(OR($R173="",X$11=""),"","0 - "&amp;TEXT($R173-$AP173,"0.0")&amp;" Trk-Mi?    ")</f>
        <v/>
      </c>
      <c r="Z173" s="284"/>
      <c r="AA173" s="278" t="str">
        <f>IF(OR($R173="",Z$11=""),"","0 - "&amp;TEXT($R173-$AP173,"0.0")&amp;" Trk-Mi?    ")</f>
        <v/>
      </c>
      <c r="AB173" s="284"/>
      <c r="AC173" s="278" t="str">
        <f>IF(OR($R173="",AB$11=""),"","0 - "&amp;TEXT($R173-$AP173,"0.0")&amp;" Trk-Mi?    ")</f>
        <v/>
      </c>
      <c r="AD173" s="284"/>
      <c r="AE173" s="278" t="str">
        <f>IF(OR($R173="",AD$11=""),"","0 - "&amp;TEXT($R173-$AP173,"0.0")&amp;" Trk-Mi?    ")</f>
        <v/>
      </c>
      <c r="AF173" s="284"/>
      <c r="AG173" s="278" t="str">
        <f>IF(OR($R173="",AF$11=""),"","0 - "&amp;TEXT($R173-$AP173,"0.0")&amp;" Trk-Mi?    ")</f>
        <v/>
      </c>
      <c r="AH173" s="284"/>
      <c r="AI173" s="278" t="str">
        <f>IF(OR($R173="",AH$11=""),"","0 - "&amp;TEXT($R173-$AP173,"0.0")&amp;" Trk-Mi?    ")</f>
        <v/>
      </c>
      <c r="AJ173" s="284"/>
      <c r="AK173" s="278" t="str">
        <f>IF(OR($R173="",AJ$11=""),"","0 - "&amp;TEXT($R173-$AP173,"0.0")&amp;" Trk-Mi?    ")</f>
        <v/>
      </c>
      <c r="AL173" s="284"/>
      <c r="AM173" s="278" t="str">
        <f>IF(OR($R173="",AL$11=""),"","0 - "&amp;TEXT($R173-$AP173,"0.0")&amp;" Trk-Mi?    ")</f>
        <v/>
      </c>
      <c r="AN173" s="284"/>
      <c r="AO173" s="278" t="str">
        <f>IF(OR($R173="",AN$11=""),"","0 - "&amp;TEXT($R173-$AP173,"0.0")&amp;" Trk-Mi?    ")</f>
        <v/>
      </c>
      <c r="AP173" s="282">
        <f>SUM(V173,X173,Z173,AB173,AD173,AF173,AH173,AJ173,AL173,AN173)</f>
        <v>0</v>
      </c>
      <c r="AQ173" s="278"/>
      <c r="AR173" s="234"/>
      <c r="AS173" s="107"/>
      <c r="AT173" s="107"/>
      <c r="AU173" s="107"/>
      <c r="AW173" s="107" t="str">
        <f>IF(AND($C173="",$H173="",$J173="",$L173="",$N173="",$P173="",$R173=""),"B","NB")</f>
        <v>B</v>
      </c>
      <c r="AX173" s="241" t="str">
        <f>IF(OR($C173="",$H173="",$J173="",$L173="",$N173="",$R173="",$P173="",AND($V$11&lt;&gt;"",$V173=""),AND($X$11&lt;&gt;"",$X173=""),AND($Z$11&lt;&gt;"",$Z173=""),AND($AB$11&lt;&gt;"",$AB173=""),AND($AD$11&lt;&gt;"",$AD173=""),AND($AF$11&lt;&gt;"",$AF173=""),AND($AH$11&lt;&gt;"",$AH173=""),AND($AJ$11&lt;&gt;"",$AJ173=""),AND($AL$11&lt;&gt;"",$AL173=""),AND($AN$11&lt;&gt;"",$AN173="")),"N","Y")</f>
        <v>N</v>
      </c>
      <c r="AY173" s="142" t="b">
        <f>IF(AND($C173="",OR($H173&lt;&gt;"",$J173&lt;&gt;"",$L173&lt;&gt;"",$N173&lt;&gt;"",$R173&lt;&gt;"",$P173&lt;&gt;"",AND($V$11&lt;&gt;"",$V173&lt;&gt;""),AND($X$11&lt;&gt;"",$X173&lt;&gt;""),AND($Z$11&lt;&gt;"",$Z173&lt;&gt;""),AND($AB$11&lt;&gt;"",$AB173&lt;&gt;""),AND($AD$11&lt;&gt;"",$AD173&lt;&gt;""),AND($AF$11&lt;&gt;"",$AF173&lt;&gt;""),AND($AH$11&lt;&gt;"",$AH173&lt;&gt;""),AND($AJ$11&lt;&gt;"",$AJ173&lt;&gt;""),AND($AL$11&lt;&gt;"",$AL173&lt;&gt;""),AND($AN$11&lt;&gt;"",$AN173&lt;&gt;""))),TRUE,FALSE)</f>
        <v>0</v>
      </c>
      <c r="AZ173" s="144" t="b">
        <f>IF(AND($C173&lt;&gt;"",$H173=""),TRUE,FALSE)</f>
        <v>0</v>
      </c>
      <c r="BA173" s="144" t="b">
        <f>IF(AND($C173&lt;&gt;"",$J173=""),TRUE,FALSE)</f>
        <v>0</v>
      </c>
      <c r="BB173" s="144" t="b">
        <f>IF(AND($C173&lt;&gt;"",$L173=""),TRUE,FALSE)</f>
        <v>0</v>
      </c>
      <c r="BC173" s="144" t="b">
        <f>IF(AND($C173&lt;&gt;"",$N173=""),TRUE,FALSE)</f>
        <v>0</v>
      </c>
      <c r="BD173" s="142" t="b">
        <f>IF($BE173=TRUE,FALSE,IF(OR($P173&lt;$BD$5,$P173&gt;$BE$5),TRUE,FALSE))</f>
        <v>0</v>
      </c>
      <c r="BE173" s="144" t="b">
        <f>IF(AND($C173&lt;&gt;"",$P173=""),TRUE,FALSE)</f>
        <v>0</v>
      </c>
      <c r="BF173" s="144" t="b">
        <f>IF($BG173=TRUE,FALSE,IF(OR($R173&lt;$BF$5,$R173&gt;$BG$5),TRUE,FALSE))</f>
        <v>0</v>
      </c>
      <c r="BG173" s="144" t="b">
        <f>IF(AND($C173&lt;&gt;"",$R173=""),TRUE,FALSE)</f>
        <v>0</v>
      </c>
      <c r="BH173" s="160" t="b">
        <f>IF(BI173=TRUE,FALSE,IF(AND(V173&lt;&gt;"",V$11=""),TRUE,IF(AND(V173&lt;&gt;"",V$11&lt;&gt;"",$R173&lt;&gt;$AP173),TRUE,IF(OR(V173&lt;0,V173&gt;$R173),TRUE,FALSE))))</f>
        <v>0</v>
      </c>
      <c r="BI173" s="144" t="b">
        <f>IF(AND($C173&lt;&gt;"",V$11&lt;&gt;"",$V173=""),TRUE,FALSE)</f>
        <v>0</v>
      </c>
      <c r="BJ173" s="160" t="b">
        <f>IF(BK173=TRUE,FALSE,IF(AND(X173&lt;&gt;"",X$11=""),TRUE,IF(AND(X173&lt;&gt;"",X$11&lt;&gt;"",$R173&lt;&gt;$AP173),TRUE,IF(OR(X173&lt;0,X173&gt;$R173),TRUE,FALSE))))</f>
        <v>0</v>
      </c>
      <c r="BK173" s="144" t="b">
        <f>IF(AND($C173&lt;&gt;"",X$11&lt;&gt;"",$X173=""),TRUE,FALSE)</f>
        <v>0</v>
      </c>
      <c r="BL173" s="160" t="b">
        <f>IF(BM173=TRUE,FALSE,IF(AND(Z173&lt;&gt;"",Z$11=""),TRUE,IF(AND(Z173&lt;&gt;"",Z$11&lt;&gt;"",$R173&lt;&gt;$AP173),TRUE,IF(OR(Z173&lt;0,Z173&gt;$R173),TRUE,FALSE))))</f>
        <v>0</v>
      </c>
      <c r="BM173" s="144" t="b">
        <f>IF(AND($C173&lt;&gt;"",Z$11&lt;&gt;"",$Z173=""),TRUE,FALSE)</f>
        <v>0</v>
      </c>
      <c r="BN173" s="160" t="b">
        <f>IF(BO173=TRUE,FALSE,IF(AND(AB173&lt;&gt;"",AB$11=""),TRUE,IF(AND(AB173&lt;&gt;"",AB$11&lt;&gt;"",$R173&lt;&gt;$AP173),TRUE,IF(OR(AB173&lt;0,AB173&gt;$R173),TRUE,FALSE))))</f>
        <v>0</v>
      </c>
      <c r="BO173" s="144" t="b">
        <f>IF(AND($C173&lt;&gt;"",AB$11&lt;&gt;"",$AB173=""),TRUE,FALSE)</f>
        <v>0</v>
      </c>
      <c r="BP173" s="160" t="b">
        <f>IF(BQ173=TRUE,FALSE,IF(AND(AD173&lt;&gt;"",AD$11=""),TRUE,IF(AND(AD173&lt;&gt;"",AD$11&lt;&gt;"",$R173&lt;&gt;$AP173),TRUE,IF(OR(AD173&lt;0,AD173&gt;$R173),TRUE,FALSE))))</f>
        <v>0</v>
      </c>
      <c r="BQ173" s="144" t="b">
        <f>IF(AND($C173&lt;&gt;"",AD$11&lt;&gt;"",$AD173=""),TRUE,FALSE)</f>
        <v>0</v>
      </c>
      <c r="BR173" s="160" t="b">
        <f>IF(BS173=TRUE,FALSE,IF(AND(AF173&lt;&gt;"",AF$11=""),TRUE,IF(AND(AF173&lt;&gt;"",AF$11&lt;&gt;"",$R173&lt;&gt;$AP173),TRUE,IF(OR(AF173&lt;0,AF173&gt;$R173),TRUE,FALSE))))</f>
        <v>0</v>
      </c>
      <c r="BS173" s="144" t="b">
        <f>IF(AND($C173&lt;&gt;"",AF$11&lt;&gt;"",$AF173=""),TRUE,FALSE)</f>
        <v>0</v>
      </c>
      <c r="BT173" s="160" t="b">
        <f>IF(BU173=TRUE,FALSE,IF(AND(AH173&lt;&gt;"",AH$11=""),TRUE,IF(AND(AH173&lt;&gt;"",AH$11&lt;&gt;"",$R173&lt;&gt;$AP173),TRUE,IF(OR(AH173&lt;0,AH173&gt;$R173),TRUE,FALSE))))</f>
        <v>0</v>
      </c>
      <c r="BU173" s="144" t="b">
        <f>IF(AND($C173&lt;&gt;"",AH$11&lt;&gt;"",$AH173=""),TRUE,FALSE)</f>
        <v>0</v>
      </c>
      <c r="BV173" s="160" t="b">
        <f>IF(BW173=TRUE,FALSE,IF(AND(AJ173&lt;&gt;"",AJ$11=""),TRUE,IF(AND(AJ173&lt;&gt;"",AJ$11&lt;&gt;"",$R173&lt;&gt;$AP173),TRUE,IF(OR(AJ173&lt;0,AJ173&gt;$R173),TRUE,FALSE))))</f>
        <v>0</v>
      </c>
      <c r="BW173" s="144" t="b">
        <f>IF(AND($C173&lt;&gt;"",AJ$11&lt;&gt;"",$AJ173=""),TRUE,FALSE)</f>
        <v>0</v>
      </c>
      <c r="BX173" s="160" t="b">
        <f>IF(BY173=TRUE,FALSE,IF(AND(AL173&lt;&gt;"",AL$11=""),TRUE,IF(AND(AL173&lt;&gt;"",AL$11&lt;&gt;"",$R173&lt;&gt;$AP173),TRUE,IF(OR(AL173&lt;0,AL173&gt;$R173),TRUE,FALSE))))</f>
        <v>0</v>
      </c>
      <c r="BY173" s="144" t="b">
        <f>IF(AND($C173&lt;&gt;"",AL$11&lt;&gt;"",$AL173=""),TRUE,FALSE)</f>
        <v>0</v>
      </c>
      <c r="BZ173" s="160" t="b">
        <f>IF(CA173=TRUE,FALSE,IF(AND(AN173&lt;&gt;"",AN$11=""),TRUE,IF(AND(AN173&lt;&gt;"",AN$11&lt;&gt;"",$R173&lt;&gt;$AP173),TRUE,IF(OR(AN173&lt;0,AN173&gt;$R173),TRUE,FALSE))))</f>
        <v>0</v>
      </c>
      <c r="CA173" s="144" t="b">
        <f>IF(AND($C173&lt;&gt;"",AN$11&lt;&gt;"",$AN173=""),TRUE,FALSE)</f>
        <v>0</v>
      </c>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4"/>
    </row>
    <row r="174" spans="1:101" ht="6.75" customHeight="1" thickBot="1" x14ac:dyDescent="0.25">
      <c r="A174" s="228"/>
      <c r="B174" s="228"/>
      <c r="C174" s="232"/>
      <c r="D174" s="267"/>
      <c r="I174" s="267"/>
      <c r="K174" s="228"/>
      <c r="M174" s="267"/>
      <c r="O174" s="267"/>
      <c r="Q174" s="267"/>
      <c r="S174" s="267"/>
      <c r="U174" s="267"/>
      <c r="V174" s="283"/>
      <c r="W174" s="267"/>
      <c r="X174" s="283"/>
      <c r="Y174" s="267"/>
      <c r="Z174" s="283"/>
      <c r="AA174" s="267"/>
      <c r="AB174" s="283"/>
      <c r="AC174" s="267"/>
      <c r="AD174" s="283"/>
      <c r="AE174" s="267"/>
      <c r="AF174" s="283"/>
      <c r="AG174" s="267"/>
      <c r="AH174" s="283"/>
      <c r="AI174" s="267"/>
      <c r="AJ174" s="283"/>
      <c r="AK174" s="267"/>
      <c r="AL174" s="283"/>
      <c r="AM174" s="267"/>
      <c r="AN174" s="283"/>
      <c r="AO174" s="267"/>
      <c r="AP174" s="267"/>
      <c r="AQ174" s="267"/>
      <c r="AR174" s="232"/>
      <c r="AY174" s="145"/>
      <c r="AZ174" s="146"/>
      <c r="BA174" s="146"/>
      <c r="BB174" s="146"/>
      <c r="BC174" s="146"/>
      <c r="BD174" s="145"/>
      <c r="BE174" s="146"/>
      <c r="BF174" s="146"/>
      <c r="BG174" s="146"/>
      <c r="BH174" s="145"/>
      <c r="BI174" s="146"/>
      <c r="BJ174" s="145"/>
      <c r="BK174" s="146"/>
      <c r="BL174" s="145"/>
      <c r="BM174" s="146"/>
      <c r="BN174" s="145"/>
      <c r="BO174" s="146"/>
      <c r="BP174" s="145"/>
      <c r="BQ174" s="146"/>
      <c r="BR174" s="145"/>
      <c r="BS174" s="146"/>
      <c r="BT174" s="145"/>
      <c r="BU174" s="146"/>
      <c r="BV174" s="145"/>
      <c r="BW174" s="146"/>
      <c r="BX174" s="145"/>
      <c r="BY174" s="146"/>
      <c r="BZ174" s="145"/>
      <c r="CA174" s="146"/>
    </row>
    <row r="175" spans="1:101" s="101" customFormat="1" ht="12.75" customHeight="1" x14ac:dyDescent="0.2">
      <c r="A175" s="227">
        <f>A173+1</f>
        <v>80</v>
      </c>
      <c r="B175" s="227"/>
      <c r="C175" s="231"/>
      <c r="D175" s="251" t="str">
        <f>IF((C175=""),"Enter Segment "&amp;TEXT(A175,0)&amp;" Name, then Enter Data in Columns "&amp;TEXT($H$2,0)&amp;" - "&amp;TEXT($AN$2,0)&amp;"       ","")</f>
        <v xml:space="preserve">Enter Segment 80 Name, then Enter Data in Columns h - an       </v>
      </c>
      <c r="E175" s="131" t="str">
        <f>IF($AW175="B","N/A",IF(AX175="N","No",IF(AX175="Y","Yes","")))</f>
        <v>N/A</v>
      </c>
      <c r="F175" s="130"/>
      <c r="G175" s="130"/>
      <c r="H175" s="285"/>
      <c r="I175" s="251" t="str">
        <f>IF($C175&lt;&gt;"","Enter Starting Point       ","")</f>
        <v/>
      </c>
      <c r="J175" s="285"/>
      <c r="K175" s="227"/>
      <c r="L175" s="88"/>
      <c r="M175" s="251" t="str">
        <f>IF($C175&lt;&gt;"","Select from Pull-Down List  ","")</f>
        <v/>
      </c>
      <c r="N175" s="88"/>
      <c r="O175" s="251" t="str">
        <f>IF($C175&lt;&gt;"","Select from Pull-Down List  ","")</f>
        <v/>
      </c>
      <c r="P175" s="131"/>
      <c r="Q175" s="251" t="str">
        <f>IF($C175&lt;&gt;"","Dir. Route-Mi?    ","")</f>
        <v/>
      </c>
      <c r="R175" s="131"/>
      <c r="S175" s="251" t="str">
        <f>IF($C175&lt;&gt;"","Trk-Mi?      ","")</f>
        <v/>
      </c>
      <c r="T175" s="131"/>
      <c r="U175" s="251" t="str">
        <f>IF($C175&lt;&gt;"","Trk-Mi?      ","")</f>
        <v/>
      </c>
      <c r="V175" s="284"/>
      <c r="W175" s="278" t="str">
        <f>IF(OR($R175="",V$11=""),"","0 - "&amp;TEXT($R175-$AP175,"0.0")&amp;" Trk-Mi?    ")</f>
        <v/>
      </c>
      <c r="X175" s="284"/>
      <c r="Y175" s="278" t="str">
        <f>IF(OR($R175="",X$11=""),"","0 - "&amp;TEXT($R175-$AP175,"0.0")&amp;" Trk-Mi?    ")</f>
        <v/>
      </c>
      <c r="Z175" s="284"/>
      <c r="AA175" s="278" t="str">
        <f>IF(OR($R175="",Z$11=""),"","0 - "&amp;TEXT($R175-$AP175,"0.0")&amp;" Trk-Mi?    ")</f>
        <v/>
      </c>
      <c r="AB175" s="284"/>
      <c r="AC175" s="278" t="str">
        <f>IF(OR($R175="",AB$11=""),"","0 - "&amp;TEXT($R175-$AP175,"0.0")&amp;" Trk-Mi?    ")</f>
        <v/>
      </c>
      <c r="AD175" s="284"/>
      <c r="AE175" s="278" t="str">
        <f>IF(OR($R175="",AD$11=""),"","0 - "&amp;TEXT($R175-$AP175,"0.0")&amp;" Trk-Mi?    ")</f>
        <v/>
      </c>
      <c r="AF175" s="284"/>
      <c r="AG175" s="278" t="str">
        <f>IF(OR($R175="",AF$11=""),"","0 - "&amp;TEXT($R175-$AP175,"0.0")&amp;" Trk-Mi?    ")</f>
        <v/>
      </c>
      <c r="AH175" s="284"/>
      <c r="AI175" s="278" t="str">
        <f>IF(OR($R175="",AH$11=""),"","0 - "&amp;TEXT($R175-$AP175,"0.0")&amp;" Trk-Mi?    ")</f>
        <v/>
      </c>
      <c r="AJ175" s="284"/>
      <c r="AK175" s="278" t="str">
        <f>IF(OR($R175="",AJ$11=""),"","0 - "&amp;TEXT($R175-$AP175,"0.0")&amp;" Trk-Mi?    ")</f>
        <v/>
      </c>
      <c r="AL175" s="284"/>
      <c r="AM175" s="278" t="str">
        <f>IF(OR($R175="",AL$11=""),"","0 - "&amp;TEXT($R175-$AP175,"0.0")&amp;" Trk-Mi?    ")</f>
        <v/>
      </c>
      <c r="AN175" s="284"/>
      <c r="AO175" s="278" t="str">
        <f>IF(OR($R175="",AN$11=""),"","0 - "&amp;TEXT($R175-$AP175,"0.0")&amp;" Trk-Mi?    ")</f>
        <v/>
      </c>
      <c r="AP175" s="282">
        <f>SUM(V175,X175,Z175,AB175,AD175,AF175,AH175,AJ175,AL175,AN175)</f>
        <v>0</v>
      </c>
      <c r="AQ175" s="278"/>
      <c r="AR175" s="234"/>
      <c r="AS175" s="107"/>
      <c r="AT175" s="107"/>
      <c r="AU175" s="107"/>
      <c r="AW175" s="107" t="str">
        <f>IF(AND($C175="",$H175="",$J175="",$L175="",$N175="",$P175="",$R175=""),"B","NB")</f>
        <v>B</v>
      </c>
      <c r="AX175" s="241" t="str">
        <f>IF(OR($C175="",$H175="",$J175="",$L175="",$N175="",$R175="",$P175="",AND($V$11&lt;&gt;"",$V175=""),AND($X$11&lt;&gt;"",$X175=""),AND($Z$11&lt;&gt;"",$Z175=""),AND($AB$11&lt;&gt;"",$AB175=""),AND($AD$11&lt;&gt;"",$AD175=""),AND($AF$11&lt;&gt;"",$AF175=""),AND($AH$11&lt;&gt;"",$AH175=""),AND($AJ$11&lt;&gt;"",$AJ175=""),AND($AL$11&lt;&gt;"",$AL175=""),AND($AN$11&lt;&gt;"",$AN175="")),"N","Y")</f>
        <v>N</v>
      </c>
      <c r="AY175" s="142" t="b">
        <f>IF(AND($C175="",OR($H175&lt;&gt;"",$J175&lt;&gt;"",$L175&lt;&gt;"",$N175&lt;&gt;"",$R175&lt;&gt;"",$P175&lt;&gt;"",AND($V$11&lt;&gt;"",$V175&lt;&gt;""),AND($X$11&lt;&gt;"",$X175&lt;&gt;""),AND($Z$11&lt;&gt;"",$Z175&lt;&gt;""),AND($AB$11&lt;&gt;"",$AB175&lt;&gt;""),AND($AD$11&lt;&gt;"",$AD175&lt;&gt;""),AND($AF$11&lt;&gt;"",$AF175&lt;&gt;""),AND($AH$11&lt;&gt;"",$AH175&lt;&gt;""),AND($AJ$11&lt;&gt;"",$AJ175&lt;&gt;""),AND($AL$11&lt;&gt;"",$AL175&lt;&gt;""),AND($AN$11&lt;&gt;"",$AN175&lt;&gt;""))),TRUE,FALSE)</f>
        <v>0</v>
      </c>
      <c r="AZ175" s="144" t="b">
        <f>IF(AND($C175&lt;&gt;"",$H175=""),TRUE,FALSE)</f>
        <v>0</v>
      </c>
      <c r="BA175" s="144" t="b">
        <f>IF(AND($C175&lt;&gt;"",$J175=""),TRUE,FALSE)</f>
        <v>0</v>
      </c>
      <c r="BB175" s="144" t="b">
        <f>IF(AND($C175&lt;&gt;"",$L175=""),TRUE,FALSE)</f>
        <v>0</v>
      </c>
      <c r="BC175" s="144" t="b">
        <f>IF(AND($C175&lt;&gt;"",$N175=""),TRUE,FALSE)</f>
        <v>0</v>
      </c>
      <c r="BD175" s="142" t="b">
        <f>IF($BE175=TRUE,FALSE,IF(OR($P175&lt;$BD$5,$P175&gt;$BE$5),TRUE,FALSE))</f>
        <v>0</v>
      </c>
      <c r="BE175" s="144" t="b">
        <f>IF(AND($C175&lt;&gt;"",$P175=""),TRUE,FALSE)</f>
        <v>0</v>
      </c>
      <c r="BF175" s="144" t="b">
        <f>IF($BG175=TRUE,FALSE,IF(OR($R175&lt;$BF$5,$R175&gt;$BG$5),TRUE,FALSE))</f>
        <v>0</v>
      </c>
      <c r="BG175" s="144" t="b">
        <f>IF(AND($C175&lt;&gt;"",$R175=""),TRUE,FALSE)</f>
        <v>0</v>
      </c>
      <c r="BH175" s="160" t="b">
        <f>IF(BI175=TRUE,FALSE,IF(AND(V175&lt;&gt;"",V$11=""),TRUE,IF(AND(V175&lt;&gt;"",V$11&lt;&gt;"",$R175&lt;&gt;$AP175),TRUE,IF(OR(V175&lt;0,V175&gt;$R175),TRUE,FALSE))))</f>
        <v>0</v>
      </c>
      <c r="BI175" s="144" t="b">
        <f>IF(AND($C175&lt;&gt;"",V$11&lt;&gt;"",$V175=""),TRUE,FALSE)</f>
        <v>0</v>
      </c>
      <c r="BJ175" s="160" t="b">
        <f>IF(BK175=TRUE,FALSE,IF(AND(X175&lt;&gt;"",X$11=""),TRUE,IF(AND(X175&lt;&gt;"",X$11&lt;&gt;"",$R175&lt;&gt;$AP175),TRUE,IF(OR(X175&lt;0,X175&gt;$R175),TRUE,FALSE))))</f>
        <v>0</v>
      </c>
      <c r="BK175" s="144" t="b">
        <f>IF(AND($C175&lt;&gt;"",X$11&lt;&gt;"",$X175=""),TRUE,FALSE)</f>
        <v>0</v>
      </c>
      <c r="BL175" s="160" t="b">
        <f>IF(BM175=TRUE,FALSE,IF(AND(Z175&lt;&gt;"",Z$11=""),TRUE,IF(AND(Z175&lt;&gt;"",Z$11&lt;&gt;"",$R175&lt;&gt;$AP175),TRUE,IF(OR(Z175&lt;0,Z175&gt;$R175),TRUE,FALSE))))</f>
        <v>0</v>
      </c>
      <c r="BM175" s="144" t="b">
        <f>IF(AND($C175&lt;&gt;"",Z$11&lt;&gt;"",$Z175=""),TRUE,FALSE)</f>
        <v>0</v>
      </c>
      <c r="BN175" s="160" t="b">
        <f>IF(BO175=TRUE,FALSE,IF(AND(AB175&lt;&gt;"",AB$11=""),TRUE,IF(AND(AB175&lt;&gt;"",AB$11&lt;&gt;"",$R175&lt;&gt;$AP175),TRUE,IF(OR(AB175&lt;0,AB175&gt;$R175),TRUE,FALSE))))</f>
        <v>0</v>
      </c>
      <c r="BO175" s="144" t="b">
        <f>IF(AND($C175&lt;&gt;"",AB$11&lt;&gt;"",$AB175=""),TRUE,FALSE)</f>
        <v>0</v>
      </c>
      <c r="BP175" s="160" t="b">
        <f>IF(BQ175=TRUE,FALSE,IF(AND(AD175&lt;&gt;"",AD$11=""),TRUE,IF(AND(AD175&lt;&gt;"",AD$11&lt;&gt;"",$R175&lt;&gt;$AP175),TRUE,IF(OR(AD175&lt;0,AD175&gt;$R175),TRUE,FALSE))))</f>
        <v>0</v>
      </c>
      <c r="BQ175" s="144" t="b">
        <f>IF(AND($C175&lt;&gt;"",AD$11&lt;&gt;"",$AD175=""),TRUE,FALSE)</f>
        <v>0</v>
      </c>
      <c r="BR175" s="160" t="b">
        <f>IF(BS175=TRUE,FALSE,IF(AND(AF175&lt;&gt;"",AF$11=""),TRUE,IF(AND(AF175&lt;&gt;"",AF$11&lt;&gt;"",$R175&lt;&gt;$AP175),TRUE,IF(OR(AF175&lt;0,AF175&gt;$R175),TRUE,FALSE))))</f>
        <v>0</v>
      </c>
      <c r="BS175" s="144" t="b">
        <f>IF(AND($C175&lt;&gt;"",AF$11&lt;&gt;"",$AF175=""),TRUE,FALSE)</f>
        <v>0</v>
      </c>
      <c r="BT175" s="160" t="b">
        <f>IF(BU175=TRUE,FALSE,IF(AND(AH175&lt;&gt;"",AH$11=""),TRUE,IF(AND(AH175&lt;&gt;"",AH$11&lt;&gt;"",$R175&lt;&gt;$AP175),TRUE,IF(OR(AH175&lt;0,AH175&gt;$R175),TRUE,FALSE))))</f>
        <v>0</v>
      </c>
      <c r="BU175" s="144" t="b">
        <f>IF(AND($C175&lt;&gt;"",AH$11&lt;&gt;"",$AH175=""),TRUE,FALSE)</f>
        <v>0</v>
      </c>
      <c r="BV175" s="160" t="b">
        <f>IF(BW175=TRUE,FALSE,IF(AND(AJ175&lt;&gt;"",AJ$11=""),TRUE,IF(AND(AJ175&lt;&gt;"",AJ$11&lt;&gt;"",$R175&lt;&gt;$AP175),TRUE,IF(OR(AJ175&lt;0,AJ175&gt;$R175),TRUE,FALSE))))</f>
        <v>0</v>
      </c>
      <c r="BW175" s="144" t="b">
        <f>IF(AND($C175&lt;&gt;"",AJ$11&lt;&gt;"",$AJ175=""),TRUE,FALSE)</f>
        <v>0</v>
      </c>
      <c r="BX175" s="160" t="b">
        <f>IF(BY175=TRUE,FALSE,IF(AND(AL175&lt;&gt;"",AL$11=""),TRUE,IF(AND(AL175&lt;&gt;"",AL$11&lt;&gt;"",$R175&lt;&gt;$AP175),TRUE,IF(OR(AL175&lt;0,AL175&gt;$R175),TRUE,FALSE))))</f>
        <v>0</v>
      </c>
      <c r="BY175" s="144" t="b">
        <f>IF(AND($C175&lt;&gt;"",AL$11&lt;&gt;"",$AL175=""),TRUE,FALSE)</f>
        <v>0</v>
      </c>
      <c r="BZ175" s="160" t="b">
        <f>IF(CA175=TRUE,FALSE,IF(AND(AN175&lt;&gt;"",AN$11=""),TRUE,IF(AND(AN175&lt;&gt;"",AN$11&lt;&gt;"",$R175&lt;&gt;$AP175),TRUE,IF(OR(AN175&lt;0,AN175&gt;$R175),TRUE,FALSE))))</f>
        <v>0</v>
      </c>
      <c r="CA175" s="144" t="b">
        <f>IF(AND($C175&lt;&gt;"",AN$11&lt;&gt;"",$AN175=""),TRUE,FALSE)</f>
        <v>0</v>
      </c>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4"/>
    </row>
    <row r="176" spans="1:101" ht="6.75" customHeight="1" thickBot="1" x14ac:dyDescent="0.25">
      <c r="A176" s="228"/>
      <c r="B176" s="228"/>
      <c r="C176" s="232"/>
      <c r="D176" s="267"/>
      <c r="I176" s="267"/>
      <c r="K176" s="228"/>
      <c r="M176" s="267"/>
      <c r="O176" s="267"/>
      <c r="Q176" s="267"/>
      <c r="S176" s="267"/>
      <c r="U176" s="267"/>
      <c r="V176" s="283"/>
      <c r="W176" s="267"/>
      <c r="X176" s="283"/>
      <c r="Y176" s="267"/>
      <c r="Z176" s="283"/>
      <c r="AA176" s="267"/>
      <c r="AB176" s="283"/>
      <c r="AC176" s="267"/>
      <c r="AD176" s="283"/>
      <c r="AE176" s="267"/>
      <c r="AF176" s="283"/>
      <c r="AG176" s="267"/>
      <c r="AH176" s="283"/>
      <c r="AI176" s="267"/>
      <c r="AJ176" s="283"/>
      <c r="AK176" s="267"/>
      <c r="AL176" s="283"/>
      <c r="AM176" s="267"/>
      <c r="AN176" s="283"/>
      <c r="AO176" s="267"/>
      <c r="AP176" s="280"/>
      <c r="AQ176" s="280"/>
      <c r="AR176" s="232"/>
      <c r="AY176" s="145"/>
      <c r="AZ176" s="146"/>
      <c r="BA176" s="146"/>
      <c r="BB176" s="146"/>
      <c r="BC176" s="146"/>
      <c r="BD176" s="145"/>
      <c r="BE176" s="146"/>
      <c r="BF176" s="146"/>
      <c r="BG176" s="146"/>
      <c r="BH176" s="145"/>
      <c r="BI176" s="146"/>
      <c r="BJ176" s="145"/>
      <c r="BK176" s="146"/>
      <c r="BL176" s="145"/>
      <c r="BM176" s="146"/>
      <c r="BN176" s="145"/>
      <c r="BO176" s="146"/>
      <c r="BP176" s="145"/>
      <c r="BQ176" s="146"/>
      <c r="BR176" s="145"/>
      <c r="BS176" s="146"/>
      <c r="BT176" s="145"/>
      <c r="BU176" s="146"/>
      <c r="BV176" s="145"/>
      <c r="BW176" s="146"/>
      <c r="BX176" s="145"/>
      <c r="BY176" s="146"/>
      <c r="BZ176" s="145"/>
      <c r="CA176" s="146"/>
    </row>
    <row r="177" spans="1:101" s="101" customFormat="1" ht="12.75" customHeight="1" x14ac:dyDescent="0.2">
      <c r="A177" s="227">
        <f>A175+1</f>
        <v>81</v>
      </c>
      <c r="B177" s="227"/>
      <c r="C177" s="231"/>
      <c r="D177" s="251" t="str">
        <f>IF((C177=""),"Enter Segment "&amp;TEXT(A177,0)&amp;" Name, then Enter Data in Columns "&amp;TEXT($H$2,0)&amp;" - "&amp;TEXT($AN$2,0)&amp;"       ","")</f>
        <v xml:space="preserve">Enter Segment 81 Name, then Enter Data in Columns h - an       </v>
      </c>
      <c r="E177" s="131" t="str">
        <f>IF($AW177="B","N/A",IF(AX177="N","No",IF(AX177="Y","Yes","")))</f>
        <v>N/A</v>
      </c>
      <c r="F177" s="130"/>
      <c r="G177" s="130"/>
      <c r="H177" s="285"/>
      <c r="I177" s="251" t="str">
        <f>IF($C177&lt;&gt;"","Enter Starting Point       ","")</f>
        <v/>
      </c>
      <c r="J177" s="285"/>
      <c r="K177" s="227"/>
      <c r="L177" s="88"/>
      <c r="M177" s="251" t="str">
        <f>IF($C177&lt;&gt;"","Select from Pull-Down List  ","")</f>
        <v/>
      </c>
      <c r="N177" s="88"/>
      <c r="O177" s="251" t="str">
        <f>IF($C177&lt;&gt;"","Select from Pull-Down List  ","")</f>
        <v/>
      </c>
      <c r="P177" s="131"/>
      <c r="Q177" s="251" t="str">
        <f>IF($C177&lt;&gt;"","Dir. Route-Mi?    ","")</f>
        <v/>
      </c>
      <c r="R177" s="131"/>
      <c r="S177" s="251" t="str">
        <f>IF($C177&lt;&gt;"","Trk-Mi?      ","")</f>
        <v/>
      </c>
      <c r="T177" s="131"/>
      <c r="U177" s="251" t="str">
        <f>IF($C177&lt;&gt;"","Trk-Mi?      ","")</f>
        <v/>
      </c>
      <c r="V177" s="284"/>
      <c r="W177" s="278" t="str">
        <f>IF(OR($R177="",V$11=""),"","0 - "&amp;TEXT($R177-$AP177,"0.0")&amp;" Trk-Mi?    ")</f>
        <v/>
      </c>
      <c r="X177" s="284"/>
      <c r="Y177" s="278" t="str">
        <f>IF(OR($R177="",X$11=""),"","0 - "&amp;TEXT($R177-$AP177,"0.0")&amp;" Trk-Mi?    ")</f>
        <v/>
      </c>
      <c r="Z177" s="284"/>
      <c r="AA177" s="278" t="str">
        <f>IF(OR($R177="",Z$11=""),"","0 - "&amp;TEXT($R177-$AP177,"0.0")&amp;" Trk-Mi?    ")</f>
        <v/>
      </c>
      <c r="AB177" s="284"/>
      <c r="AC177" s="278" t="str">
        <f>IF(OR($R177="",AB$11=""),"","0 - "&amp;TEXT($R177-$AP177,"0.0")&amp;" Trk-Mi?    ")</f>
        <v/>
      </c>
      <c r="AD177" s="284"/>
      <c r="AE177" s="278" t="str">
        <f>IF(OR($R177="",AD$11=""),"","0 - "&amp;TEXT($R177-$AP177,"0.0")&amp;" Trk-Mi?    ")</f>
        <v/>
      </c>
      <c r="AF177" s="284"/>
      <c r="AG177" s="278" t="str">
        <f>IF(OR($R177="",AF$11=""),"","0 - "&amp;TEXT($R177-$AP177,"0.0")&amp;" Trk-Mi?    ")</f>
        <v/>
      </c>
      <c r="AH177" s="284"/>
      <c r="AI177" s="278" t="str">
        <f>IF(OR($R177="",AH$11=""),"","0 - "&amp;TEXT($R177-$AP177,"0.0")&amp;" Trk-Mi?    ")</f>
        <v/>
      </c>
      <c r="AJ177" s="284"/>
      <c r="AK177" s="278" t="str">
        <f>IF(OR($R177="",AJ$11=""),"","0 - "&amp;TEXT($R177-$AP177,"0.0")&amp;" Trk-Mi?    ")</f>
        <v/>
      </c>
      <c r="AL177" s="284"/>
      <c r="AM177" s="278" t="str">
        <f>IF(OR($R177="",AL$11=""),"","0 - "&amp;TEXT($R177-$AP177,"0.0")&amp;" Trk-Mi?    ")</f>
        <v/>
      </c>
      <c r="AN177" s="284"/>
      <c r="AO177" s="278" t="str">
        <f>IF(OR($R177="",AN$11=""),"","0 - "&amp;TEXT($R177-$AP177,"0.0")&amp;" Trk-Mi?    ")</f>
        <v/>
      </c>
      <c r="AP177" s="282">
        <f>SUM(V177,X177,Z177,AB177,AD177,AF177,AH177,AJ177,AL177,AN177)</f>
        <v>0</v>
      </c>
      <c r="AQ177" s="278"/>
      <c r="AR177" s="234"/>
      <c r="AS177" s="107"/>
      <c r="AT177" s="107"/>
      <c r="AU177" s="107"/>
      <c r="AW177" s="107" t="str">
        <f>IF(AND($C177="",$H177="",$J177="",$L177="",$N177="",$P177="",$R177=""),"B","NB")</f>
        <v>B</v>
      </c>
      <c r="AX177" s="241" t="str">
        <f>IF(OR($C177="",$H177="",$J177="",$L177="",$N177="",$R177="",$P177="",AND($V$11&lt;&gt;"",$V177=""),AND($X$11&lt;&gt;"",$X177=""),AND($Z$11&lt;&gt;"",$Z177=""),AND($AB$11&lt;&gt;"",$AB177=""),AND($AD$11&lt;&gt;"",$AD177=""),AND($AF$11&lt;&gt;"",$AF177=""),AND($AH$11&lt;&gt;"",$AH177=""),AND($AJ$11&lt;&gt;"",$AJ177=""),AND($AL$11&lt;&gt;"",$AL177=""),AND($AN$11&lt;&gt;"",$AN177="")),"N","Y")</f>
        <v>N</v>
      </c>
      <c r="AY177" s="142" t="b">
        <f>IF(AND($C177="",OR($H177&lt;&gt;"",$J177&lt;&gt;"",$L177&lt;&gt;"",$N177&lt;&gt;"",$R177&lt;&gt;"",$P177&lt;&gt;"",AND($V$11&lt;&gt;"",$V177&lt;&gt;""),AND($X$11&lt;&gt;"",$X177&lt;&gt;""),AND($Z$11&lt;&gt;"",$Z177&lt;&gt;""),AND($AB$11&lt;&gt;"",$AB177&lt;&gt;""),AND($AD$11&lt;&gt;"",$AD177&lt;&gt;""),AND($AF$11&lt;&gt;"",$AF177&lt;&gt;""),AND($AH$11&lt;&gt;"",$AH177&lt;&gt;""),AND($AJ$11&lt;&gt;"",$AJ177&lt;&gt;""),AND($AL$11&lt;&gt;"",$AL177&lt;&gt;""),AND($AN$11&lt;&gt;"",$AN177&lt;&gt;""))),TRUE,FALSE)</f>
        <v>0</v>
      </c>
      <c r="AZ177" s="144" t="b">
        <f>IF(AND($C177&lt;&gt;"",$H177=""),TRUE,FALSE)</f>
        <v>0</v>
      </c>
      <c r="BA177" s="144" t="b">
        <f>IF(AND($C177&lt;&gt;"",$J177=""),TRUE,FALSE)</f>
        <v>0</v>
      </c>
      <c r="BB177" s="144" t="b">
        <f>IF(AND($C177&lt;&gt;"",$L177=""),TRUE,FALSE)</f>
        <v>0</v>
      </c>
      <c r="BC177" s="144" t="b">
        <f>IF(AND($C177&lt;&gt;"",$N177=""),TRUE,FALSE)</f>
        <v>0</v>
      </c>
      <c r="BD177" s="142" t="b">
        <f>IF($BE177=TRUE,FALSE,IF(OR($P177&lt;$BD$5,$P177&gt;$BE$5),TRUE,FALSE))</f>
        <v>0</v>
      </c>
      <c r="BE177" s="144" t="b">
        <f>IF(AND($C177&lt;&gt;"",$P177=""),TRUE,FALSE)</f>
        <v>0</v>
      </c>
      <c r="BF177" s="144" t="b">
        <f>IF($BG177=TRUE,FALSE,IF(OR($R177&lt;$BF$5,$R177&gt;$BG$5),TRUE,FALSE))</f>
        <v>0</v>
      </c>
      <c r="BG177" s="144" t="b">
        <f>IF(AND($C177&lt;&gt;"",$R177=""),TRUE,FALSE)</f>
        <v>0</v>
      </c>
      <c r="BH177" s="160" t="b">
        <f>IF(BI177=TRUE,FALSE,IF(AND(V177&lt;&gt;"",V$11=""),TRUE,IF(AND(V177&lt;&gt;"",V$11&lt;&gt;"",$R177&lt;&gt;$AP177),TRUE,IF(OR(V177&lt;0,V177&gt;$R177),TRUE,FALSE))))</f>
        <v>0</v>
      </c>
      <c r="BI177" s="144" t="b">
        <f>IF(AND($C177&lt;&gt;"",V$11&lt;&gt;"",$V177=""),TRUE,FALSE)</f>
        <v>0</v>
      </c>
      <c r="BJ177" s="160" t="b">
        <f>IF(BK177=TRUE,FALSE,IF(AND(X177&lt;&gt;"",X$11=""),TRUE,IF(AND(X177&lt;&gt;"",X$11&lt;&gt;"",$R177&lt;&gt;$AP177),TRUE,IF(OR(X177&lt;0,X177&gt;$R177),TRUE,FALSE))))</f>
        <v>0</v>
      </c>
      <c r="BK177" s="144" t="b">
        <f>IF(AND($C177&lt;&gt;"",X$11&lt;&gt;"",$X177=""),TRUE,FALSE)</f>
        <v>0</v>
      </c>
      <c r="BL177" s="160" t="b">
        <f>IF(BM177=TRUE,FALSE,IF(AND(Z177&lt;&gt;"",Z$11=""),TRUE,IF(AND(Z177&lt;&gt;"",Z$11&lt;&gt;"",$R177&lt;&gt;$AP177),TRUE,IF(OR(Z177&lt;0,Z177&gt;$R177),TRUE,FALSE))))</f>
        <v>0</v>
      </c>
      <c r="BM177" s="144" t="b">
        <f>IF(AND($C177&lt;&gt;"",Z$11&lt;&gt;"",$Z177=""),TRUE,FALSE)</f>
        <v>0</v>
      </c>
      <c r="BN177" s="160" t="b">
        <f>IF(BO177=TRUE,FALSE,IF(AND(AB177&lt;&gt;"",AB$11=""),TRUE,IF(AND(AB177&lt;&gt;"",AB$11&lt;&gt;"",$R177&lt;&gt;$AP177),TRUE,IF(OR(AB177&lt;0,AB177&gt;$R177),TRUE,FALSE))))</f>
        <v>0</v>
      </c>
      <c r="BO177" s="144" t="b">
        <f>IF(AND($C177&lt;&gt;"",AB$11&lt;&gt;"",$AB177=""),TRUE,FALSE)</f>
        <v>0</v>
      </c>
      <c r="BP177" s="160" t="b">
        <f>IF(BQ177=TRUE,FALSE,IF(AND(AD177&lt;&gt;"",AD$11=""),TRUE,IF(AND(AD177&lt;&gt;"",AD$11&lt;&gt;"",$R177&lt;&gt;$AP177),TRUE,IF(OR(AD177&lt;0,AD177&gt;$R177),TRUE,FALSE))))</f>
        <v>0</v>
      </c>
      <c r="BQ177" s="144" t="b">
        <f>IF(AND($C177&lt;&gt;"",AD$11&lt;&gt;"",$AD177=""),TRUE,FALSE)</f>
        <v>0</v>
      </c>
      <c r="BR177" s="160" t="b">
        <f>IF(BS177=TRUE,FALSE,IF(AND(AF177&lt;&gt;"",AF$11=""),TRUE,IF(AND(AF177&lt;&gt;"",AF$11&lt;&gt;"",$R177&lt;&gt;$AP177),TRUE,IF(OR(AF177&lt;0,AF177&gt;$R177),TRUE,FALSE))))</f>
        <v>0</v>
      </c>
      <c r="BS177" s="144" t="b">
        <f>IF(AND($C177&lt;&gt;"",AF$11&lt;&gt;"",$AF177=""),TRUE,FALSE)</f>
        <v>0</v>
      </c>
      <c r="BT177" s="160" t="b">
        <f>IF(BU177=TRUE,FALSE,IF(AND(AH177&lt;&gt;"",AH$11=""),TRUE,IF(AND(AH177&lt;&gt;"",AH$11&lt;&gt;"",$R177&lt;&gt;$AP177),TRUE,IF(OR(AH177&lt;0,AH177&gt;$R177),TRUE,FALSE))))</f>
        <v>0</v>
      </c>
      <c r="BU177" s="144" t="b">
        <f>IF(AND($C177&lt;&gt;"",AH$11&lt;&gt;"",$AH177=""),TRUE,FALSE)</f>
        <v>0</v>
      </c>
      <c r="BV177" s="160" t="b">
        <f>IF(BW177=TRUE,FALSE,IF(AND(AJ177&lt;&gt;"",AJ$11=""),TRUE,IF(AND(AJ177&lt;&gt;"",AJ$11&lt;&gt;"",$R177&lt;&gt;$AP177),TRUE,IF(OR(AJ177&lt;0,AJ177&gt;$R177),TRUE,FALSE))))</f>
        <v>0</v>
      </c>
      <c r="BW177" s="144" t="b">
        <f>IF(AND($C177&lt;&gt;"",AJ$11&lt;&gt;"",$AJ177=""),TRUE,FALSE)</f>
        <v>0</v>
      </c>
      <c r="BX177" s="160" t="b">
        <f>IF(BY177=TRUE,FALSE,IF(AND(AL177&lt;&gt;"",AL$11=""),TRUE,IF(AND(AL177&lt;&gt;"",AL$11&lt;&gt;"",$R177&lt;&gt;$AP177),TRUE,IF(OR(AL177&lt;0,AL177&gt;$R177),TRUE,FALSE))))</f>
        <v>0</v>
      </c>
      <c r="BY177" s="144" t="b">
        <f>IF(AND($C177&lt;&gt;"",AL$11&lt;&gt;"",$AL177=""),TRUE,FALSE)</f>
        <v>0</v>
      </c>
      <c r="BZ177" s="160" t="b">
        <f>IF(CA177=TRUE,FALSE,IF(AND(AN177&lt;&gt;"",AN$11=""),TRUE,IF(AND(AN177&lt;&gt;"",AN$11&lt;&gt;"",$R177&lt;&gt;$AP177),TRUE,IF(OR(AN177&lt;0,AN177&gt;$R177),TRUE,FALSE))))</f>
        <v>0</v>
      </c>
      <c r="CA177" s="144" t="b">
        <f>IF(AND($C177&lt;&gt;"",AN$11&lt;&gt;"",$AN177=""),TRUE,FALSE)</f>
        <v>0</v>
      </c>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4"/>
    </row>
    <row r="178" spans="1:101" ht="6.75" customHeight="1" thickBot="1" x14ac:dyDescent="0.25">
      <c r="A178" s="228"/>
      <c r="B178" s="228"/>
      <c r="C178" s="232"/>
      <c r="D178" s="267"/>
      <c r="I178" s="267"/>
      <c r="K178" s="228"/>
      <c r="M178" s="267"/>
      <c r="O178" s="267"/>
      <c r="Q178" s="267"/>
      <c r="S178" s="267"/>
      <c r="U178" s="267"/>
      <c r="V178" s="283"/>
      <c r="W178" s="267"/>
      <c r="X178" s="283"/>
      <c r="Y178" s="267"/>
      <c r="Z178" s="283"/>
      <c r="AA178" s="267"/>
      <c r="AB178" s="283"/>
      <c r="AC178" s="267"/>
      <c r="AD178" s="283"/>
      <c r="AE178" s="267"/>
      <c r="AF178" s="283"/>
      <c r="AG178" s="267"/>
      <c r="AH178" s="283"/>
      <c r="AI178" s="267"/>
      <c r="AJ178" s="283"/>
      <c r="AK178" s="267"/>
      <c r="AL178" s="283"/>
      <c r="AM178" s="267"/>
      <c r="AN178" s="283"/>
      <c r="AO178" s="267"/>
      <c r="AP178" s="267"/>
      <c r="AQ178" s="267"/>
      <c r="AR178" s="232"/>
      <c r="AY178" s="145"/>
      <c r="AZ178" s="146"/>
      <c r="BA178" s="146"/>
      <c r="BB178" s="146"/>
      <c r="BC178" s="146"/>
      <c r="BD178" s="145"/>
      <c r="BE178" s="146"/>
      <c r="BF178" s="146"/>
      <c r="BG178" s="146"/>
      <c r="BH178" s="145"/>
      <c r="BI178" s="146"/>
      <c r="BJ178" s="145"/>
      <c r="BK178" s="146"/>
      <c r="BL178" s="145"/>
      <c r="BM178" s="146"/>
      <c r="BN178" s="145"/>
      <c r="BO178" s="146"/>
      <c r="BP178" s="145"/>
      <c r="BQ178" s="146"/>
      <c r="BR178" s="145"/>
      <c r="BS178" s="146"/>
      <c r="BT178" s="145"/>
      <c r="BU178" s="146"/>
      <c r="BV178" s="145"/>
      <c r="BW178" s="146"/>
      <c r="BX178" s="145"/>
      <c r="BY178" s="146"/>
      <c r="BZ178" s="145"/>
      <c r="CA178" s="146"/>
    </row>
    <row r="179" spans="1:101" s="101" customFormat="1" ht="12.75" customHeight="1" x14ac:dyDescent="0.2">
      <c r="A179" s="227">
        <f>A177+1</f>
        <v>82</v>
      </c>
      <c r="B179" s="227"/>
      <c r="C179" s="231"/>
      <c r="D179" s="251" t="str">
        <f>IF((C179=""),"Enter Segment "&amp;TEXT(A179,0)&amp;" Name, then Enter Data in Columns "&amp;TEXT($H$2,0)&amp;" - "&amp;TEXT($AN$2,0)&amp;"       ","")</f>
        <v xml:space="preserve">Enter Segment 82 Name, then Enter Data in Columns h - an       </v>
      </c>
      <c r="E179" s="131" t="str">
        <f>IF($AW179="B","N/A",IF(AX179="N","No",IF(AX179="Y","Yes","")))</f>
        <v>N/A</v>
      </c>
      <c r="F179" s="130"/>
      <c r="G179" s="130"/>
      <c r="H179" s="285"/>
      <c r="I179" s="251" t="str">
        <f>IF($C179&lt;&gt;"","Enter Starting Point       ","")</f>
        <v/>
      </c>
      <c r="J179" s="285"/>
      <c r="K179" s="227"/>
      <c r="L179" s="88"/>
      <c r="M179" s="251" t="str">
        <f>IF($C179&lt;&gt;"","Select from Pull-Down List  ","")</f>
        <v/>
      </c>
      <c r="N179" s="88"/>
      <c r="O179" s="251" t="str">
        <f>IF($C179&lt;&gt;"","Select from Pull-Down List  ","")</f>
        <v/>
      </c>
      <c r="P179" s="131"/>
      <c r="Q179" s="251" t="str">
        <f>IF($C179&lt;&gt;"","Dir. Route-Mi?    ","")</f>
        <v/>
      </c>
      <c r="R179" s="131"/>
      <c r="S179" s="251" t="str">
        <f>IF($C179&lt;&gt;"","Trk-Mi?      ","")</f>
        <v/>
      </c>
      <c r="T179" s="131"/>
      <c r="U179" s="251" t="str">
        <f>IF($C179&lt;&gt;"","Trk-Mi?      ","")</f>
        <v/>
      </c>
      <c r="V179" s="284"/>
      <c r="W179" s="278" t="str">
        <f>IF(OR($R179="",V$11=""),"","0 - "&amp;TEXT($R179-$AP179,"0.0")&amp;" Trk-Mi?    ")</f>
        <v/>
      </c>
      <c r="X179" s="284"/>
      <c r="Y179" s="278" t="str">
        <f>IF(OR($R179="",X$11=""),"","0 - "&amp;TEXT($R179-$AP179,"0.0")&amp;" Trk-Mi?    ")</f>
        <v/>
      </c>
      <c r="Z179" s="284"/>
      <c r="AA179" s="278" t="str">
        <f>IF(OR($R179="",Z$11=""),"","0 - "&amp;TEXT($R179-$AP179,"0.0")&amp;" Trk-Mi?    ")</f>
        <v/>
      </c>
      <c r="AB179" s="284"/>
      <c r="AC179" s="278" t="str">
        <f>IF(OR($R179="",AB$11=""),"","0 - "&amp;TEXT($R179-$AP179,"0.0")&amp;" Trk-Mi?    ")</f>
        <v/>
      </c>
      <c r="AD179" s="284"/>
      <c r="AE179" s="278" t="str">
        <f>IF(OR($R179="",AD$11=""),"","0 - "&amp;TEXT($R179-$AP179,"0.0")&amp;" Trk-Mi?    ")</f>
        <v/>
      </c>
      <c r="AF179" s="284"/>
      <c r="AG179" s="278" t="str">
        <f>IF(OR($R179="",AF$11=""),"","0 - "&amp;TEXT($R179-$AP179,"0.0")&amp;" Trk-Mi?    ")</f>
        <v/>
      </c>
      <c r="AH179" s="284"/>
      <c r="AI179" s="278" t="str">
        <f>IF(OR($R179="",AH$11=""),"","0 - "&amp;TEXT($R179-$AP179,"0.0")&amp;" Trk-Mi?    ")</f>
        <v/>
      </c>
      <c r="AJ179" s="284"/>
      <c r="AK179" s="278" t="str">
        <f>IF(OR($R179="",AJ$11=""),"","0 - "&amp;TEXT($R179-$AP179,"0.0")&amp;" Trk-Mi?    ")</f>
        <v/>
      </c>
      <c r="AL179" s="284"/>
      <c r="AM179" s="278" t="str">
        <f>IF(OR($R179="",AL$11=""),"","0 - "&amp;TEXT($R179-$AP179,"0.0")&amp;" Trk-Mi?    ")</f>
        <v/>
      </c>
      <c r="AN179" s="284"/>
      <c r="AO179" s="278" t="str">
        <f>IF(OR($R179="",AN$11=""),"","0 - "&amp;TEXT($R179-$AP179,"0.0")&amp;" Trk-Mi?    ")</f>
        <v/>
      </c>
      <c r="AP179" s="282">
        <f>SUM(V179,X179,Z179,AB179,AD179,AF179,AH179,AJ179,AL179,AN179)</f>
        <v>0</v>
      </c>
      <c r="AQ179" s="278"/>
      <c r="AR179" s="234"/>
      <c r="AS179" s="107"/>
      <c r="AT179" s="107"/>
      <c r="AU179" s="107"/>
      <c r="AW179" s="107" t="str">
        <f>IF(AND($C179="",$H179="",$J179="",$L179="",$N179="",$P179="",$R179=""),"B","NB")</f>
        <v>B</v>
      </c>
      <c r="AX179" s="241" t="str">
        <f>IF(OR($C179="",$H179="",$J179="",$L179="",$N179="",$R179="",$P179="",AND($V$11&lt;&gt;"",$V179=""),AND($X$11&lt;&gt;"",$X179=""),AND($Z$11&lt;&gt;"",$Z179=""),AND($AB$11&lt;&gt;"",$AB179=""),AND($AD$11&lt;&gt;"",$AD179=""),AND($AF$11&lt;&gt;"",$AF179=""),AND($AH$11&lt;&gt;"",$AH179=""),AND($AJ$11&lt;&gt;"",$AJ179=""),AND($AL$11&lt;&gt;"",$AL179=""),AND($AN$11&lt;&gt;"",$AN179="")),"N","Y")</f>
        <v>N</v>
      </c>
      <c r="AY179" s="142" t="b">
        <f>IF(AND($C179="",OR($H179&lt;&gt;"",$J179&lt;&gt;"",$L179&lt;&gt;"",$N179&lt;&gt;"",$R179&lt;&gt;"",$P179&lt;&gt;"",AND($V$11&lt;&gt;"",$V179&lt;&gt;""),AND($X$11&lt;&gt;"",$X179&lt;&gt;""),AND($Z$11&lt;&gt;"",$Z179&lt;&gt;""),AND($AB$11&lt;&gt;"",$AB179&lt;&gt;""),AND($AD$11&lt;&gt;"",$AD179&lt;&gt;""),AND($AF$11&lt;&gt;"",$AF179&lt;&gt;""),AND($AH$11&lt;&gt;"",$AH179&lt;&gt;""),AND($AJ$11&lt;&gt;"",$AJ179&lt;&gt;""),AND($AL$11&lt;&gt;"",$AL179&lt;&gt;""),AND($AN$11&lt;&gt;"",$AN179&lt;&gt;""))),TRUE,FALSE)</f>
        <v>0</v>
      </c>
      <c r="AZ179" s="144" t="b">
        <f>IF(AND($C179&lt;&gt;"",$H179=""),TRUE,FALSE)</f>
        <v>0</v>
      </c>
      <c r="BA179" s="144" t="b">
        <f>IF(AND($C179&lt;&gt;"",$J179=""),TRUE,FALSE)</f>
        <v>0</v>
      </c>
      <c r="BB179" s="144" t="b">
        <f>IF(AND($C179&lt;&gt;"",$L179=""),TRUE,FALSE)</f>
        <v>0</v>
      </c>
      <c r="BC179" s="144" t="b">
        <f>IF(AND($C179&lt;&gt;"",$N179=""),TRUE,FALSE)</f>
        <v>0</v>
      </c>
      <c r="BD179" s="142" t="b">
        <f>IF($BE179=TRUE,FALSE,IF(OR($P179&lt;$BD$5,$P179&gt;$BE$5),TRUE,FALSE))</f>
        <v>0</v>
      </c>
      <c r="BE179" s="144" t="b">
        <f>IF(AND($C179&lt;&gt;"",$P179=""),TRUE,FALSE)</f>
        <v>0</v>
      </c>
      <c r="BF179" s="144" t="b">
        <f>IF($BG179=TRUE,FALSE,IF(OR($R179&lt;$BF$5,$R179&gt;$BG$5),TRUE,FALSE))</f>
        <v>0</v>
      </c>
      <c r="BG179" s="144" t="b">
        <f>IF(AND($C179&lt;&gt;"",$R179=""),TRUE,FALSE)</f>
        <v>0</v>
      </c>
      <c r="BH179" s="160" t="b">
        <f>IF(BI179=TRUE,FALSE,IF(AND(V179&lt;&gt;"",V$11=""),TRUE,IF(AND(V179&lt;&gt;"",V$11&lt;&gt;"",$R179&lt;&gt;$AP179),TRUE,IF(OR(V179&lt;0,V179&gt;$R179),TRUE,FALSE))))</f>
        <v>0</v>
      </c>
      <c r="BI179" s="144" t="b">
        <f>IF(AND($C179&lt;&gt;"",V$11&lt;&gt;"",$V179=""),TRUE,FALSE)</f>
        <v>0</v>
      </c>
      <c r="BJ179" s="160" t="b">
        <f>IF(BK179=TRUE,FALSE,IF(AND(X179&lt;&gt;"",X$11=""),TRUE,IF(AND(X179&lt;&gt;"",X$11&lt;&gt;"",$R179&lt;&gt;$AP179),TRUE,IF(OR(X179&lt;0,X179&gt;$R179),TRUE,FALSE))))</f>
        <v>0</v>
      </c>
      <c r="BK179" s="144" t="b">
        <f>IF(AND($C179&lt;&gt;"",X$11&lt;&gt;"",$X179=""),TRUE,FALSE)</f>
        <v>0</v>
      </c>
      <c r="BL179" s="160" t="b">
        <f>IF(BM179=TRUE,FALSE,IF(AND(Z179&lt;&gt;"",Z$11=""),TRUE,IF(AND(Z179&lt;&gt;"",Z$11&lt;&gt;"",$R179&lt;&gt;$AP179),TRUE,IF(OR(Z179&lt;0,Z179&gt;$R179),TRUE,FALSE))))</f>
        <v>0</v>
      </c>
      <c r="BM179" s="144" t="b">
        <f>IF(AND($C179&lt;&gt;"",Z$11&lt;&gt;"",$Z179=""),TRUE,FALSE)</f>
        <v>0</v>
      </c>
      <c r="BN179" s="160" t="b">
        <f>IF(BO179=TRUE,FALSE,IF(AND(AB179&lt;&gt;"",AB$11=""),TRUE,IF(AND(AB179&lt;&gt;"",AB$11&lt;&gt;"",$R179&lt;&gt;$AP179),TRUE,IF(OR(AB179&lt;0,AB179&gt;$R179),TRUE,FALSE))))</f>
        <v>0</v>
      </c>
      <c r="BO179" s="144" t="b">
        <f>IF(AND($C179&lt;&gt;"",AB$11&lt;&gt;"",$AB179=""),TRUE,FALSE)</f>
        <v>0</v>
      </c>
      <c r="BP179" s="160" t="b">
        <f>IF(BQ179=TRUE,FALSE,IF(AND(AD179&lt;&gt;"",AD$11=""),TRUE,IF(AND(AD179&lt;&gt;"",AD$11&lt;&gt;"",$R179&lt;&gt;$AP179),TRUE,IF(OR(AD179&lt;0,AD179&gt;$R179),TRUE,FALSE))))</f>
        <v>0</v>
      </c>
      <c r="BQ179" s="144" t="b">
        <f>IF(AND($C179&lt;&gt;"",AD$11&lt;&gt;"",$AD179=""),TRUE,FALSE)</f>
        <v>0</v>
      </c>
      <c r="BR179" s="160" t="b">
        <f>IF(BS179=TRUE,FALSE,IF(AND(AF179&lt;&gt;"",AF$11=""),TRUE,IF(AND(AF179&lt;&gt;"",AF$11&lt;&gt;"",$R179&lt;&gt;$AP179),TRUE,IF(OR(AF179&lt;0,AF179&gt;$R179),TRUE,FALSE))))</f>
        <v>0</v>
      </c>
      <c r="BS179" s="144" t="b">
        <f>IF(AND($C179&lt;&gt;"",AF$11&lt;&gt;"",$AF179=""),TRUE,FALSE)</f>
        <v>0</v>
      </c>
      <c r="BT179" s="160" t="b">
        <f>IF(BU179=TRUE,FALSE,IF(AND(AH179&lt;&gt;"",AH$11=""),TRUE,IF(AND(AH179&lt;&gt;"",AH$11&lt;&gt;"",$R179&lt;&gt;$AP179),TRUE,IF(OR(AH179&lt;0,AH179&gt;$R179),TRUE,FALSE))))</f>
        <v>0</v>
      </c>
      <c r="BU179" s="144" t="b">
        <f>IF(AND($C179&lt;&gt;"",AH$11&lt;&gt;"",$AH179=""),TRUE,FALSE)</f>
        <v>0</v>
      </c>
      <c r="BV179" s="160" t="b">
        <f>IF(BW179=TRUE,FALSE,IF(AND(AJ179&lt;&gt;"",AJ$11=""),TRUE,IF(AND(AJ179&lt;&gt;"",AJ$11&lt;&gt;"",$R179&lt;&gt;$AP179),TRUE,IF(OR(AJ179&lt;0,AJ179&gt;$R179),TRUE,FALSE))))</f>
        <v>0</v>
      </c>
      <c r="BW179" s="144" t="b">
        <f>IF(AND($C179&lt;&gt;"",AJ$11&lt;&gt;"",$AJ179=""),TRUE,FALSE)</f>
        <v>0</v>
      </c>
      <c r="BX179" s="160" t="b">
        <f>IF(BY179=TRUE,FALSE,IF(AND(AL179&lt;&gt;"",AL$11=""),TRUE,IF(AND(AL179&lt;&gt;"",AL$11&lt;&gt;"",$R179&lt;&gt;$AP179),TRUE,IF(OR(AL179&lt;0,AL179&gt;$R179),TRUE,FALSE))))</f>
        <v>0</v>
      </c>
      <c r="BY179" s="144" t="b">
        <f>IF(AND($C179&lt;&gt;"",AL$11&lt;&gt;"",$AL179=""),TRUE,FALSE)</f>
        <v>0</v>
      </c>
      <c r="BZ179" s="160" t="b">
        <f>IF(CA179=TRUE,FALSE,IF(AND(AN179&lt;&gt;"",AN$11=""),TRUE,IF(AND(AN179&lt;&gt;"",AN$11&lt;&gt;"",$R179&lt;&gt;$AP179),TRUE,IF(OR(AN179&lt;0,AN179&gt;$R179),TRUE,FALSE))))</f>
        <v>0</v>
      </c>
      <c r="CA179" s="144" t="b">
        <f>IF(AND($C179&lt;&gt;"",AN$11&lt;&gt;"",$AN179=""),TRUE,FALSE)</f>
        <v>0</v>
      </c>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4"/>
    </row>
    <row r="180" spans="1:101" ht="6.75" customHeight="1" thickBot="1" x14ac:dyDescent="0.25">
      <c r="A180" s="228"/>
      <c r="B180" s="228"/>
      <c r="C180" s="232"/>
      <c r="D180" s="267"/>
      <c r="I180" s="267"/>
      <c r="K180" s="228"/>
      <c r="M180" s="267"/>
      <c r="O180" s="267"/>
      <c r="Q180" s="267"/>
      <c r="S180" s="267"/>
      <c r="U180" s="267"/>
      <c r="V180" s="283"/>
      <c r="W180" s="267"/>
      <c r="X180" s="283"/>
      <c r="Y180" s="267"/>
      <c r="Z180" s="283"/>
      <c r="AA180" s="267"/>
      <c r="AB180" s="283"/>
      <c r="AC180" s="267"/>
      <c r="AD180" s="283"/>
      <c r="AE180" s="267"/>
      <c r="AF180" s="283"/>
      <c r="AG180" s="267"/>
      <c r="AH180" s="283"/>
      <c r="AI180" s="267"/>
      <c r="AJ180" s="283"/>
      <c r="AK180" s="267"/>
      <c r="AL180" s="283"/>
      <c r="AM180" s="267"/>
      <c r="AN180" s="283"/>
      <c r="AO180" s="267"/>
      <c r="AP180" s="267"/>
      <c r="AQ180" s="267"/>
      <c r="AR180" s="232"/>
      <c r="AY180" s="145"/>
      <c r="AZ180" s="146"/>
      <c r="BA180" s="146"/>
      <c r="BB180" s="146"/>
      <c r="BC180" s="146"/>
      <c r="BD180" s="145"/>
      <c r="BE180" s="146"/>
      <c r="BF180" s="146"/>
      <c r="BG180" s="146"/>
      <c r="BH180" s="145"/>
      <c r="BI180" s="146"/>
      <c r="BJ180" s="145"/>
      <c r="BK180" s="146"/>
      <c r="BL180" s="145"/>
      <c r="BM180" s="146"/>
      <c r="BN180" s="145"/>
      <c r="BO180" s="146"/>
      <c r="BP180" s="145"/>
      <c r="BQ180" s="146"/>
      <c r="BR180" s="145"/>
      <c r="BS180" s="146"/>
      <c r="BT180" s="145"/>
      <c r="BU180" s="146"/>
      <c r="BV180" s="145"/>
      <c r="BW180" s="146"/>
      <c r="BX180" s="145"/>
      <c r="BY180" s="146"/>
      <c r="BZ180" s="145"/>
      <c r="CA180" s="146"/>
    </row>
    <row r="181" spans="1:101" s="101" customFormat="1" ht="12.75" customHeight="1" x14ac:dyDescent="0.2">
      <c r="A181" s="227">
        <f>A179+1</f>
        <v>83</v>
      </c>
      <c r="B181" s="227"/>
      <c r="C181" s="231"/>
      <c r="D181" s="251" t="str">
        <f>IF((C181=""),"Enter Segment "&amp;TEXT(A181,0)&amp;" Name, then Enter Data in Columns "&amp;TEXT($H$2,0)&amp;" - "&amp;TEXT($AN$2,0)&amp;"       ","")</f>
        <v xml:space="preserve">Enter Segment 83 Name, then Enter Data in Columns h - an       </v>
      </c>
      <c r="E181" s="131" t="str">
        <f>IF($AW181="B","N/A",IF(AX181="N","No",IF(AX181="Y","Yes","")))</f>
        <v>N/A</v>
      </c>
      <c r="F181" s="130"/>
      <c r="G181" s="130"/>
      <c r="H181" s="285"/>
      <c r="I181" s="251" t="str">
        <f>IF($C181&lt;&gt;"","Enter Starting Point       ","")</f>
        <v/>
      </c>
      <c r="J181" s="285"/>
      <c r="K181" s="227"/>
      <c r="L181" s="88"/>
      <c r="M181" s="251" t="str">
        <f>IF($C181&lt;&gt;"","Select from Pull-Down List  ","")</f>
        <v/>
      </c>
      <c r="N181" s="88"/>
      <c r="O181" s="251" t="str">
        <f>IF($C181&lt;&gt;"","Select from Pull-Down List  ","")</f>
        <v/>
      </c>
      <c r="P181" s="131"/>
      <c r="Q181" s="251" t="str">
        <f>IF($C181&lt;&gt;"","Dir. Route-Mi?    ","")</f>
        <v/>
      </c>
      <c r="R181" s="131"/>
      <c r="S181" s="251" t="str">
        <f>IF($C181&lt;&gt;"","Trk-Mi?      ","")</f>
        <v/>
      </c>
      <c r="T181" s="131"/>
      <c r="U181" s="251" t="str">
        <f>IF($C181&lt;&gt;"","Trk-Mi?      ","")</f>
        <v/>
      </c>
      <c r="V181" s="284"/>
      <c r="W181" s="278" t="str">
        <f>IF(OR($R181="",V$11=""),"","0 - "&amp;TEXT($R181-$AP181,"0.0")&amp;" Trk-Mi?    ")</f>
        <v/>
      </c>
      <c r="X181" s="284"/>
      <c r="Y181" s="278" t="str">
        <f>IF(OR($R181="",X$11=""),"","0 - "&amp;TEXT($R181-$AP181,"0.0")&amp;" Trk-Mi?    ")</f>
        <v/>
      </c>
      <c r="Z181" s="284"/>
      <c r="AA181" s="278" t="str">
        <f>IF(OR($R181="",Z$11=""),"","0 - "&amp;TEXT($R181-$AP181,"0.0")&amp;" Trk-Mi?    ")</f>
        <v/>
      </c>
      <c r="AB181" s="284"/>
      <c r="AC181" s="278" t="str">
        <f>IF(OR($R181="",AB$11=""),"","0 - "&amp;TEXT($R181-$AP181,"0.0")&amp;" Trk-Mi?    ")</f>
        <v/>
      </c>
      <c r="AD181" s="284"/>
      <c r="AE181" s="278" t="str">
        <f>IF(OR($R181="",AD$11=""),"","0 - "&amp;TEXT($R181-$AP181,"0.0")&amp;" Trk-Mi?    ")</f>
        <v/>
      </c>
      <c r="AF181" s="284"/>
      <c r="AG181" s="278" t="str">
        <f>IF(OR($R181="",AF$11=""),"","0 - "&amp;TEXT($R181-$AP181,"0.0")&amp;" Trk-Mi?    ")</f>
        <v/>
      </c>
      <c r="AH181" s="284"/>
      <c r="AI181" s="278" t="str">
        <f>IF(OR($R181="",AH$11=""),"","0 - "&amp;TEXT($R181-$AP181,"0.0")&amp;" Trk-Mi?    ")</f>
        <v/>
      </c>
      <c r="AJ181" s="284"/>
      <c r="AK181" s="278" t="str">
        <f>IF(OR($R181="",AJ$11=""),"","0 - "&amp;TEXT($R181-$AP181,"0.0")&amp;" Trk-Mi?    ")</f>
        <v/>
      </c>
      <c r="AL181" s="284"/>
      <c r="AM181" s="278" t="str">
        <f>IF(OR($R181="",AL$11=""),"","0 - "&amp;TEXT($R181-$AP181,"0.0")&amp;" Trk-Mi?    ")</f>
        <v/>
      </c>
      <c r="AN181" s="284"/>
      <c r="AO181" s="278" t="str">
        <f>IF(OR($R181="",AN$11=""),"","0 - "&amp;TEXT($R181-$AP181,"0.0")&amp;" Trk-Mi?    ")</f>
        <v/>
      </c>
      <c r="AP181" s="282">
        <f>SUM(V181,X181,Z181,AB181,AD181,AF181,AH181,AJ181,AL181,AN181)</f>
        <v>0</v>
      </c>
      <c r="AQ181" s="278"/>
      <c r="AR181" s="234"/>
      <c r="AS181" s="107"/>
      <c r="AT181" s="107"/>
      <c r="AU181" s="107"/>
      <c r="AW181" s="107" t="str">
        <f>IF(AND($C181="",$H181="",$J181="",$L181="",$N181="",$P181="",$R181=""),"B","NB")</f>
        <v>B</v>
      </c>
      <c r="AX181" s="241" t="str">
        <f>IF(OR($C181="",$H181="",$J181="",$L181="",$N181="",$R181="",$P181="",AND($V$11&lt;&gt;"",$V181=""),AND($X$11&lt;&gt;"",$X181=""),AND($Z$11&lt;&gt;"",$Z181=""),AND($AB$11&lt;&gt;"",$AB181=""),AND($AD$11&lt;&gt;"",$AD181=""),AND($AF$11&lt;&gt;"",$AF181=""),AND($AH$11&lt;&gt;"",$AH181=""),AND($AJ$11&lt;&gt;"",$AJ181=""),AND($AL$11&lt;&gt;"",$AL181=""),AND($AN$11&lt;&gt;"",$AN181="")),"N","Y")</f>
        <v>N</v>
      </c>
      <c r="AY181" s="142" t="b">
        <f>IF(AND($C181="",OR($H181&lt;&gt;"",$J181&lt;&gt;"",$L181&lt;&gt;"",$N181&lt;&gt;"",$R181&lt;&gt;"",$P181&lt;&gt;"",AND($V$11&lt;&gt;"",$V181&lt;&gt;""),AND($X$11&lt;&gt;"",$X181&lt;&gt;""),AND($Z$11&lt;&gt;"",$Z181&lt;&gt;""),AND($AB$11&lt;&gt;"",$AB181&lt;&gt;""),AND($AD$11&lt;&gt;"",$AD181&lt;&gt;""),AND($AF$11&lt;&gt;"",$AF181&lt;&gt;""),AND($AH$11&lt;&gt;"",$AH181&lt;&gt;""),AND($AJ$11&lt;&gt;"",$AJ181&lt;&gt;""),AND($AL$11&lt;&gt;"",$AL181&lt;&gt;""),AND($AN$11&lt;&gt;"",$AN181&lt;&gt;""))),TRUE,FALSE)</f>
        <v>0</v>
      </c>
      <c r="AZ181" s="144" t="b">
        <f>IF(AND($C181&lt;&gt;"",$H181=""),TRUE,FALSE)</f>
        <v>0</v>
      </c>
      <c r="BA181" s="144" t="b">
        <f>IF(AND($C181&lt;&gt;"",$J181=""),TRUE,FALSE)</f>
        <v>0</v>
      </c>
      <c r="BB181" s="144" t="b">
        <f>IF(AND($C181&lt;&gt;"",$L181=""),TRUE,FALSE)</f>
        <v>0</v>
      </c>
      <c r="BC181" s="144" t="b">
        <f>IF(AND($C181&lt;&gt;"",$N181=""),TRUE,FALSE)</f>
        <v>0</v>
      </c>
      <c r="BD181" s="142" t="b">
        <f>IF($BE181=TRUE,FALSE,IF(OR($P181&lt;$BD$5,$P181&gt;$BE$5),TRUE,FALSE))</f>
        <v>0</v>
      </c>
      <c r="BE181" s="144" t="b">
        <f>IF(AND($C181&lt;&gt;"",$P181=""),TRUE,FALSE)</f>
        <v>0</v>
      </c>
      <c r="BF181" s="144" t="b">
        <f>IF($BG181=TRUE,FALSE,IF(OR($R181&lt;$BF$5,$R181&gt;$BG$5),TRUE,FALSE))</f>
        <v>0</v>
      </c>
      <c r="BG181" s="144" t="b">
        <f>IF(AND($C181&lt;&gt;"",$R181=""),TRUE,FALSE)</f>
        <v>0</v>
      </c>
      <c r="BH181" s="160" t="b">
        <f>IF(BI181=TRUE,FALSE,IF(AND(V181&lt;&gt;"",V$11=""),TRUE,IF(AND(V181&lt;&gt;"",V$11&lt;&gt;"",$R181&lt;&gt;$AP181),TRUE,IF(OR(V181&lt;0,V181&gt;$R181),TRUE,FALSE))))</f>
        <v>0</v>
      </c>
      <c r="BI181" s="144" t="b">
        <f>IF(AND($C181&lt;&gt;"",V$11&lt;&gt;"",$V181=""),TRUE,FALSE)</f>
        <v>0</v>
      </c>
      <c r="BJ181" s="160" t="b">
        <f>IF(BK181=TRUE,FALSE,IF(AND(X181&lt;&gt;"",X$11=""),TRUE,IF(AND(X181&lt;&gt;"",X$11&lt;&gt;"",$R181&lt;&gt;$AP181),TRUE,IF(OR(X181&lt;0,X181&gt;$R181),TRUE,FALSE))))</f>
        <v>0</v>
      </c>
      <c r="BK181" s="144" t="b">
        <f>IF(AND($C181&lt;&gt;"",X$11&lt;&gt;"",$X181=""),TRUE,FALSE)</f>
        <v>0</v>
      </c>
      <c r="BL181" s="160" t="b">
        <f>IF(BM181=TRUE,FALSE,IF(AND(Z181&lt;&gt;"",Z$11=""),TRUE,IF(AND(Z181&lt;&gt;"",Z$11&lt;&gt;"",$R181&lt;&gt;$AP181),TRUE,IF(OR(Z181&lt;0,Z181&gt;$R181),TRUE,FALSE))))</f>
        <v>0</v>
      </c>
      <c r="BM181" s="144" t="b">
        <f>IF(AND($C181&lt;&gt;"",Z$11&lt;&gt;"",$Z181=""),TRUE,FALSE)</f>
        <v>0</v>
      </c>
      <c r="BN181" s="160" t="b">
        <f>IF(BO181=TRUE,FALSE,IF(AND(AB181&lt;&gt;"",AB$11=""),TRUE,IF(AND(AB181&lt;&gt;"",AB$11&lt;&gt;"",$R181&lt;&gt;$AP181),TRUE,IF(OR(AB181&lt;0,AB181&gt;$R181),TRUE,FALSE))))</f>
        <v>0</v>
      </c>
      <c r="BO181" s="144" t="b">
        <f>IF(AND($C181&lt;&gt;"",AB$11&lt;&gt;"",$AB181=""),TRUE,FALSE)</f>
        <v>0</v>
      </c>
      <c r="BP181" s="160" t="b">
        <f>IF(BQ181=TRUE,FALSE,IF(AND(AD181&lt;&gt;"",AD$11=""),TRUE,IF(AND(AD181&lt;&gt;"",AD$11&lt;&gt;"",$R181&lt;&gt;$AP181),TRUE,IF(OR(AD181&lt;0,AD181&gt;$R181),TRUE,FALSE))))</f>
        <v>0</v>
      </c>
      <c r="BQ181" s="144" t="b">
        <f>IF(AND($C181&lt;&gt;"",AD$11&lt;&gt;"",$AD181=""),TRUE,FALSE)</f>
        <v>0</v>
      </c>
      <c r="BR181" s="160" t="b">
        <f>IF(BS181=TRUE,FALSE,IF(AND(AF181&lt;&gt;"",AF$11=""),TRUE,IF(AND(AF181&lt;&gt;"",AF$11&lt;&gt;"",$R181&lt;&gt;$AP181),TRUE,IF(OR(AF181&lt;0,AF181&gt;$R181),TRUE,FALSE))))</f>
        <v>0</v>
      </c>
      <c r="BS181" s="144" t="b">
        <f>IF(AND($C181&lt;&gt;"",AF$11&lt;&gt;"",$AF181=""),TRUE,FALSE)</f>
        <v>0</v>
      </c>
      <c r="BT181" s="160" t="b">
        <f>IF(BU181=TRUE,FALSE,IF(AND(AH181&lt;&gt;"",AH$11=""),TRUE,IF(AND(AH181&lt;&gt;"",AH$11&lt;&gt;"",$R181&lt;&gt;$AP181),TRUE,IF(OR(AH181&lt;0,AH181&gt;$R181),TRUE,FALSE))))</f>
        <v>0</v>
      </c>
      <c r="BU181" s="144" t="b">
        <f>IF(AND($C181&lt;&gt;"",AH$11&lt;&gt;"",$AH181=""),TRUE,FALSE)</f>
        <v>0</v>
      </c>
      <c r="BV181" s="160" t="b">
        <f>IF(BW181=TRUE,FALSE,IF(AND(AJ181&lt;&gt;"",AJ$11=""),TRUE,IF(AND(AJ181&lt;&gt;"",AJ$11&lt;&gt;"",$R181&lt;&gt;$AP181),TRUE,IF(OR(AJ181&lt;0,AJ181&gt;$R181),TRUE,FALSE))))</f>
        <v>0</v>
      </c>
      <c r="BW181" s="144" t="b">
        <f>IF(AND($C181&lt;&gt;"",AJ$11&lt;&gt;"",$AJ181=""),TRUE,FALSE)</f>
        <v>0</v>
      </c>
      <c r="BX181" s="160" t="b">
        <f>IF(BY181=TRUE,FALSE,IF(AND(AL181&lt;&gt;"",AL$11=""),TRUE,IF(AND(AL181&lt;&gt;"",AL$11&lt;&gt;"",$R181&lt;&gt;$AP181),TRUE,IF(OR(AL181&lt;0,AL181&gt;$R181),TRUE,FALSE))))</f>
        <v>0</v>
      </c>
      <c r="BY181" s="144" t="b">
        <f>IF(AND($C181&lt;&gt;"",AL$11&lt;&gt;"",$AL181=""),TRUE,FALSE)</f>
        <v>0</v>
      </c>
      <c r="BZ181" s="160" t="b">
        <f>IF(CA181=TRUE,FALSE,IF(AND(AN181&lt;&gt;"",AN$11=""),TRUE,IF(AND(AN181&lt;&gt;"",AN$11&lt;&gt;"",$R181&lt;&gt;$AP181),TRUE,IF(OR(AN181&lt;0,AN181&gt;$R181),TRUE,FALSE))))</f>
        <v>0</v>
      </c>
      <c r="CA181" s="144" t="b">
        <f>IF(AND($C181&lt;&gt;"",AN$11&lt;&gt;"",$AN181=""),TRUE,FALSE)</f>
        <v>0</v>
      </c>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4"/>
    </row>
    <row r="182" spans="1:101" ht="6.75" customHeight="1" thickBot="1" x14ac:dyDescent="0.25">
      <c r="A182" s="228"/>
      <c r="B182" s="228"/>
      <c r="C182" s="232"/>
      <c r="D182" s="267"/>
      <c r="I182" s="267"/>
      <c r="K182" s="228"/>
      <c r="M182" s="267"/>
      <c r="O182" s="267"/>
      <c r="Q182" s="267"/>
      <c r="S182" s="267"/>
      <c r="U182" s="267"/>
      <c r="V182" s="283"/>
      <c r="W182" s="267"/>
      <c r="X182" s="283"/>
      <c r="Y182" s="267"/>
      <c r="Z182" s="283"/>
      <c r="AA182" s="267"/>
      <c r="AB182" s="283"/>
      <c r="AC182" s="267"/>
      <c r="AD182" s="283"/>
      <c r="AE182" s="267"/>
      <c r="AF182" s="283"/>
      <c r="AG182" s="267"/>
      <c r="AH182" s="283"/>
      <c r="AI182" s="267"/>
      <c r="AJ182" s="283"/>
      <c r="AK182" s="267"/>
      <c r="AL182" s="283"/>
      <c r="AM182" s="267"/>
      <c r="AN182" s="283"/>
      <c r="AO182" s="267"/>
      <c r="AP182" s="267"/>
      <c r="AQ182" s="267"/>
      <c r="AR182" s="232"/>
      <c r="AY182" s="145"/>
      <c r="AZ182" s="146"/>
      <c r="BA182" s="146"/>
      <c r="BB182" s="146"/>
      <c r="BC182" s="146"/>
      <c r="BD182" s="145"/>
      <c r="BE182" s="146"/>
      <c r="BF182" s="146"/>
      <c r="BG182" s="146"/>
      <c r="BH182" s="145"/>
      <c r="BI182" s="146"/>
      <c r="BJ182" s="145"/>
      <c r="BK182" s="146"/>
      <c r="BL182" s="145"/>
      <c r="BM182" s="146"/>
      <c r="BN182" s="145"/>
      <c r="BO182" s="146"/>
      <c r="BP182" s="145"/>
      <c r="BQ182" s="146"/>
      <c r="BR182" s="145"/>
      <c r="BS182" s="146"/>
      <c r="BT182" s="145"/>
      <c r="BU182" s="146"/>
      <c r="BV182" s="145"/>
      <c r="BW182" s="146"/>
      <c r="BX182" s="145"/>
      <c r="BY182" s="146"/>
      <c r="BZ182" s="145"/>
      <c r="CA182" s="146"/>
    </row>
    <row r="183" spans="1:101" s="101" customFormat="1" ht="12.75" customHeight="1" x14ac:dyDescent="0.2">
      <c r="A183" s="227">
        <f>A181+1</f>
        <v>84</v>
      </c>
      <c r="B183" s="227"/>
      <c r="C183" s="231"/>
      <c r="D183" s="251" t="str">
        <f>IF((C183=""),"Enter Segment "&amp;TEXT(A183,0)&amp;" Name, then Enter Data in Columns "&amp;TEXT($H$2,0)&amp;" - "&amp;TEXT($AN$2,0)&amp;"       ","")</f>
        <v xml:space="preserve">Enter Segment 84 Name, then Enter Data in Columns h - an       </v>
      </c>
      <c r="E183" s="131" t="str">
        <f>IF($AW183="B","N/A",IF(AX183="N","No",IF(AX183="Y","Yes","")))</f>
        <v>N/A</v>
      </c>
      <c r="F183" s="130"/>
      <c r="G183" s="130"/>
      <c r="H183" s="285"/>
      <c r="I183" s="251" t="str">
        <f>IF($C183&lt;&gt;"","Enter Starting Point       ","")</f>
        <v/>
      </c>
      <c r="J183" s="285"/>
      <c r="K183" s="227"/>
      <c r="L183" s="88"/>
      <c r="M183" s="251" t="str">
        <f>IF($C183&lt;&gt;"","Select from Pull-Down List  ","")</f>
        <v/>
      </c>
      <c r="N183" s="88"/>
      <c r="O183" s="251" t="str">
        <f>IF($C183&lt;&gt;"","Select from Pull-Down List  ","")</f>
        <v/>
      </c>
      <c r="P183" s="131"/>
      <c r="Q183" s="251" t="str">
        <f>IF($C183&lt;&gt;"","Dir. Route-Mi?    ","")</f>
        <v/>
      </c>
      <c r="R183" s="131"/>
      <c r="S183" s="251" t="str">
        <f>IF($C183&lt;&gt;"","Trk-Mi?      ","")</f>
        <v/>
      </c>
      <c r="T183" s="131"/>
      <c r="U183" s="251" t="str">
        <f>IF($C183&lt;&gt;"","Trk-Mi?      ","")</f>
        <v/>
      </c>
      <c r="V183" s="284"/>
      <c r="W183" s="278" t="str">
        <f>IF(OR($R183="",V$11=""),"","0 - "&amp;TEXT($R183-$AP183,"0.0")&amp;" Trk-Mi?    ")</f>
        <v/>
      </c>
      <c r="X183" s="284"/>
      <c r="Y183" s="278" t="str">
        <f>IF(OR($R183="",X$11=""),"","0 - "&amp;TEXT($R183-$AP183,"0.0")&amp;" Trk-Mi?    ")</f>
        <v/>
      </c>
      <c r="Z183" s="284"/>
      <c r="AA183" s="278" t="str">
        <f>IF(OR($R183="",Z$11=""),"","0 - "&amp;TEXT($R183-$AP183,"0.0")&amp;" Trk-Mi?    ")</f>
        <v/>
      </c>
      <c r="AB183" s="284"/>
      <c r="AC183" s="278" t="str">
        <f>IF(OR($R183="",AB$11=""),"","0 - "&amp;TEXT($R183-$AP183,"0.0")&amp;" Trk-Mi?    ")</f>
        <v/>
      </c>
      <c r="AD183" s="284"/>
      <c r="AE183" s="278" t="str">
        <f>IF(OR($R183="",AD$11=""),"","0 - "&amp;TEXT($R183-$AP183,"0.0")&amp;" Trk-Mi?    ")</f>
        <v/>
      </c>
      <c r="AF183" s="284"/>
      <c r="AG183" s="278" t="str">
        <f>IF(OR($R183="",AF$11=""),"","0 - "&amp;TEXT($R183-$AP183,"0.0")&amp;" Trk-Mi?    ")</f>
        <v/>
      </c>
      <c r="AH183" s="284"/>
      <c r="AI183" s="278" t="str">
        <f>IF(OR($R183="",AH$11=""),"","0 - "&amp;TEXT($R183-$AP183,"0.0")&amp;" Trk-Mi?    ")</f>
        <v/>
      </c>
      <c r="AJ183" s="284"/>
      <c r="AK183" s="278" t="str">
        <f>IF(OR($R183="",AJ$11=""),"","0 - "&amp;TEXT($R183-$AP183,"0.0")&amp;" Trk-Mi?    ")</f>
        <v/>
      </c>
      <c r="AL183" s="284"/>
      <c r="AM183" s="278" t="str">
        <f>IF(OR($R183="",AL$11=""),"","0 - "&amp;TEXT($R183-$AP183,"0.0")&amp;" Trk-Mi?    ")</f>
        <v/>
      </c>
      <c r="AN183" s="284"/>
      <c r="AO183" s="278" t="str">
        <f>IF(OR($R183="",AN$11=""),"","0 - "&amp;TEXT($R183-$AP183,"0.0")&amp;" Trk-Mi?    ")</f>
        <v/>
      </c>
      <c r="AP183" s="282">
        <f>SUM(V183,X183,Z183,AB183,AD183,AF183,AH183,AJ183,AL183,AN183)</f>
        <v>0</v>
      </c>
      <c r="AQ183" s="278"/>
      <c r="AR183" s="234"/>
      <c r="AS183" s="107"/>
      <c r="AT183" s="107"/>
      <c r="AU183" s="107"/>
      <c r="AW183" s="107" t="str">
        <f>IF(AND($C183="",$H183="",$J183="",$L183="",$N183="",$P183="",$R183=""),"B","NB")</f>
        <v>B</v>
      </c>
      <c r="AX183" s="241" t="str">
        <f>IF(OR($C183="",$H183="",$J183="",$L183="",$N183="",$R183="",$P183="",AND($V$11&lt;&gt;"",$V183=""),AND($X$11&lt;&gt;"",$X183=""),AND($Z$11&lt;&gt;"",$Z183=""),AND($AB$11&lt;&gt;"",$AB183=""),AND($AD$11&lt;&gt;"",$AD183=""),AND($AF$11&lt;&gt;"",$AF183=""),AND($AH$11&lt;&gt;"",$AH183=""),AND($AJ$11&lt;&gt;"",$AJ183=""),AND($AL$11&lt;&gt;"",$AL183=""),AND($AN$11&lt;&gt;"",$AN183="")),"N","Y")</f>
        <v>N</v>
      </c>
      <c r="AY183" s="142" t="b">
        <f>IF(AND($C183="",OR($H183&lt;&gt;"",$J183&lt;&gt;"",$L183&lt;&gt;"",$N183&lt;&gt;"",$R183&lt;&gt;"",$P183&lt;&gt;"",AND($V$11&lt;&gt;"",$V183&lt;&gt;""),AND($X$11&lt;&gt;"",$X183&lt;&gt;""),AND($Z$11&lt;&gt;"",$Z183&lt;&gt;""),AND($AB$11&lt;&gt;"",$AB183&lt;&gt;""),AND($AD$11&lt;&gt;"",$AD183&lt;&gt;""),AND($AF$11&lt;&gt;"",$AF183&lt;&gt;""),AND($AH$11&lt;&gt;"",$AH183&lt;&gt;""),AND($AJ$11&lt;&gt;"",$AJ183&lt;&gt;""),AND($AL$11&lt;&gt;"",$AL183&lt;&gt;""),AND($AN$11&lt;&gt;"",$AN183&lt;&gt;""))),TRUE,FALSE)</f>
        <v>0</v>
      </c>
      <c r="AZ183" s="144" t="b">
        <f>IF(AND($C183&lt;&gt;"",$H183=""),TRUE,FALSE)</f>
        <v>0</v>
      </c>
      <c r="BA183" s="144" t="b">
        <f>IF(AND($C183&lt;&gt;"",$J183=""),TRUE,FALSE)</f>
        <v>0</v>
      </c>
      <c r="BB183" s="144" t="b">
        <f>IF(AND($C183&lt;&gt;"",$L183=""),TRUE,FALSE)</f>
        <v>0</v>
      </c>
      <c r="BC183" s="144" t="b">
        <f>IF(AND($C183&lt;&gt;"",$N183=""),TRUE,FALSE)</f>
        <v>0</v>
      </c>
      <c r="BD183" s="142" t="b">
        <f>IF($BE183=TRUE,FALSE,IF(OR($P183&lt;$BD$5,$P183&gt;$BE$5),TRUE,FALSE))</f>
        <v>0</v>
      </c>
      <c r="BE183" s="144" t="b">
        <f>IF(AND($C183&lt;&gt;"",$P183=""),TRUE,FALSE)</f>
        <v>0</v>
      </c>
      <c r="BF183" s="144" t="b">
        <f>IF($BG183=TRUE,FALSE,IF(OR($R183&lt;$BF$5,$R183&gt;$BG$5),TRUE,FALSE))</f>
        <v>0</v>
      </c>
      <c r="BG183" s="144" t="b">
        <f>IF(AND($C183&lt;&gt;"",$R183=""),TRUE,FALSE)</f>
        <v>0</v>
      </c>
      <c r="BH183" s="160" t="b">
        <f>IF(BI183=TRUE,FALSE,IF(AND(V183&lt;&gt;"",V$11=""),TRUE,IF(AND(V183&lt;&gt;"",V$11&lt;&gt;"",$R183&lt;&gt;$AP183),TRUE,IF(OR(V183&lt;0,V183&gt;$R183),TRUE,FALSE))))</f>
        <v>0</v>
      </c>
      <c r="BI183" s="144" t="b">
        <f>IF(AND($C183&lt;&gt;"",V$11&lt;&gt;"",$V183=""),TRUE,FALSE)</f>
        <v>0</v>
      </c>
      <c r="BJ183" s="160" t="b">
        <f>IF(BK183=TRUE,FALSE,IF(AND(X183&lt;&gt;"",X$11=""),TRUE,IF(AND(X183&lt;&gt;"",X$11&lt;&gt;"",$R183&lt;&gt;$AP183),TRUE,IF(OR(X183&lt;0,X183&gt;$R183),TRUE,FALSE))))</f>
        <v>0</v>
      </c>
      <c r="BK183" s="144" t="b">
        <f>IF(AND($C183&lt;&gt;"",X$11&lt;&gt;"",$X183=""),TRUE,FALSE)</f>
        <v>0</v>
      </c>
      <c r="BL183" s="160" t="b">
        <f>IF(BM183=TRUE,FALSE,IF(AND(Z183&lt;&gt;"",Z$11=""),TRUE,IF(AND(Z183&lt;&gt;"",Z$11&lt;&gt;"",$R183&lt;&gt;$AP183),TRUE,IF(OR(Z183&lt;0,Z183&gt;$R183),TRUE,FALSE))))</f>
        <v>0</v>
      </c>
      <c r="BM183" s="144" t="b">
        <f>IF(AND($C183&lt;&gt;"",Z$11&lt;&gt;"",$Z183=""),TRUE,FALSE)</f>
        <v>0</v>
      </c>
      <c r="BN183" s="160" t="b">
        <f>IF(BO183=TRUE,FALSE,IF(AND(AB183&lt;&gt;"",AB$11=""),TRUE,IF(AND(AB183&lt;&gt;"",AB$11&lt;&gt;"",$R183&lt;&gt;$AP183),TRUE,IF(OR(AB183&lt;0,AB183&gt;$R183),TRUE,FALSE))))</f>
        <v>0</v>
      </c>
      <c r="BO183" s="144" t="b">
        <f>IF(AND($C183&lt;&gt;"",AB$11&lt;&gt;"",$AB183=""),TRUE,FALSE)</f>
        <v>0</v>
      </c>
      <c r="BP183" s="160" t="b">
        <f>IF(BQ183=TRUE,FALSE,IF(AND(AD183&lt;&gt;"",AD$11=""),TRUE,IF(AND(AD183&lt;&gt;"",AD$11&lt;&gt;"",$R183&lt;&gt;$AP183),TRUE,IF(OR(AD183&lt;0,AD183&gt;$R183),TRUE,FALSE))))</f>
        <v>0</v>
      </c>
      <c r="BQ183" s="144" t="b">
        <f>IF(AND($C183&lt;&gt;"",AD$11&lt;&gt;"",$AD183=""),TRUE,FALSE)</f>
        <v>0</v>
      </c>
      <c r="BR183" s="160" t="b">
        <f>IF(BS183=TRUE,FALSE,IF(AND(AF183&lt;&gt;"",AF$11=""),TRUE,IF(AND(AF183&lt;&gt;"",AF$11&lt;&gt;"",$R183&lt;&gt;$AP183),TRUE,IF(OR(AF183&lt;0,AF183&gt;$R183),TRUE,FALSE))))</f>
        <v>0</v>
      </c>
      <c r="BS183" s="144" t="b">
        <f>IF(AND($C183&lt;&gt;"",AF$11&lt;&gt;"",$AF183=""),TRUE,FALSE)</f>
        <v>0</v>
      </c>
      <c r="BT183" s="160" t="b">
        <f>IF(BU183=TRUE,FALSE,IF(AND(AH183&lt;&gt;"",AH$11=""),TRUE,IF(AND(AH183&lt;&gt;"",AH$11&lt;&gt;"",$R183&lt;&gt;$AP183),TRUE,IF(OR(AH183&lt;0,AH183&gt;$R183),TRUE,FALSE))))</f>
        <v>0</v>
      </c>
      <c r="BU183" s="144" t="b">
        <f>IF(AND($C183&lt;&gt;"",AH$11&lt;&gt;"",$AH183=""),TRUE,FALSE)</f>
        <v>0</v>
      </c>
      <c r="BV183" s="160" t="b">
        <f>IF(BW183=TRUE,FALSE,IF(AND(AJ183&lt;&gt;"",AJ$11=""),TRUE,IF(AND(AJ183&lt;&gt;"",AJ$11&lt;&gt;"",$R183&lt;&gt;$AP183),TRUE,IF(OR(AJ183&lt;0,AJ183&gt;$R183),TRUE,FALSE))))</f>
        <v>0</v>
      </c>
      <c r="BW183" s="144" t="b">
        <f>IF(AND($C183&lt;&gt;"",AJ$11&lt;&gt;"",$AJ183=""),TRUE,FALSE)</f>
        <v>0</v>
      </c>
      <c r="BX183" s="160" t="b">
        <f>IF(BY183=TRUE,FALSE,IF(AND(AL183&lt;&gt;"",AL$11=""),TRUE,IF(AND(AL183&lt;&gt;"",AL$11&lt;&gt;"",$R183&lt;&gt;$AP183),TRUE,IF(OR(AL183&lt;0,AL183&gt;$R183),TRUE,FALSE))))</f>
        <v>0</v>
      </c>
      <c r="BY183" s="144" t="b">
        <f>IF(AND($C183&lt;&gt;"",AL$11&lt;&gt;"",$AL183=""),TRUE,FALSE)</f>
        <v>0</v>
      </c>
      <c r="BZ183" s="160" t="b">
        <f>IF(CA183=TRUE,FALSE,IF(AND(AN183&lt;&gt;"",AN$11=""),TRUE,IF(AND(AN183&lt;&gt;"",AN$11&lt;&gt;"",$R183&lt;&gt;$AP183),TRUE,IF(OR(AN183&lt;0,AN183&gt;$R183),TRUE,FALSE))))</f>
        <v>0</v>
      </c>
      <c r="CA183" s="144" t="b">
        <f>IF(AND($C183&lt;&gt;"",AN$11&lt;&gt;"",$AN183=""),TRUE,FALSE)</f>
        <v>0</v>
      </c>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4"/>
    </row>
    <row r="184" spans="1:101" ht="6.75" customHeight="1" thickBot="1" x14ac:dyDescent="0.25">
      <c r="A184" s="228"/>
      <c r="B184" s="228"/>
      <c r="C184" s="232"/>
      <c r="D184" s="267"/>
      <c r="I184" s="267"/>
      <c r="K184" s="228"/>
      <c r="M184" s="267"/>
      <c r="O184" s="267"/>
      <c r="Q184" s="267"/>
      <c r="S184" s="267"/>
      <c r="U184" s="267"/>
      <c r="V184" s="283"/>
      <c r="W184" s="267"/>
      <c r="X184" s="283"/>
      <c r="Y184" s="267"/>
      <c r="Z184" s="283"/>
      <c r="AA184" s="267"/>
      <c r="AB184" s="283"/>
      <c r="AC184" s="267"/>
      <c r="AD184" s="283"/>
      <c r="AE184" s="267"/>
      <c r="AF184" s="283"/>
      <c r="AG184" s="267"/>
      <c r="AH184" s="283"/>
      <c r="AI184" s="267"/>
      <c r="AJ184" s="283"/>
      <c r="AK184" s="267"/>
      <c r="AL184" s="283"/>
      <c r="AM184" s="267"/>
      <c r="AN184" s="283"/>
      <c r="AO184" s="267"/>
      <c r="AP184" s="267"/>
      <c r="AQ184" s="267"/>
      <c r="AR184" s="232"/>
      <c r="AY184" s="145"/>
      <c r="AZ184" s="146"/>
      <c r="BA184" s="146"/>
      <c r="BB184" s="146"/>
      <c r="BC184" s="146"/>
      <c r="BD184" s="145"/>
      <c r="BE184" s="146"/>
      <c r="BF184" s="146"/>
      <c r="BG184" s="146"/>
      <c r="BH184" s="145"/>
      <c r="BI184" s="146"/>
      <c r="BJ184" s="145"/>
      <c r="BK184" s="146"/>
      <c r="BL184" s="145"/>
      <c r="BM184" s="146"/>
      <c r="BN184" s="145"/>
      <c r="BO184" s="146"/>
      <c r="BP184" s="145"/>
      <c r="BQ184" s="146"/>
      <c r="BR184" s="145"/>
      <c r="BS184" s="146"/>
      <c r="BT184" s="145"/>
      <c r="BU184" s="146"/>
      <c r="BV184" s="145"/>
      <c r="BW184" s="146"/>
      <c r="BX184" s="145"/>
      <c r="BY184" s="146"/>
      <c r="BZ184" s="145"/>
      <c r="CA184" s="146"/>
    </row>
    <row r="185" spans="1:101" s="101" customFormat="1" ht="12.75" customHeight="1" x14ac:dyDescent="0.2">
      <c r="A185" s="227">
        <f>A183+1</f>
        <v>85</v>
      </c>
      <c r="B185" s="227"/>
      <c r="C185" s="231"/>
      <c r="D185" s="251" t="str">
        <f>IF((C185=""),"Enter Segment "&amp;TEXT(A185,0)&amp;" Name, then Enter Data in Columns "&amp;TEXT($H$2,0)&amp;" - "&amp;TEXT($AN$2,0)&amp;"       ","")</f>
        <v xml:space="preserve">Enter Segment 85 Name, then Enter Data in Columns h - an       </v>
      </c>
      <c r="E185" s="131" t="str">
        <f>IF($AW185="B","N/A",IF(AX185="N","No",IF(AX185="Y","Yes","")))</f>
        <v>N/A</v>
      </c>
      <c r="F185" s="130"/>
      <c r="G185" s="130"/>
      <c r="H185" s="285"/>
      <c r="I185" s="251" t="str">
        <f>IF($C185&lt;&gt;"","Enter Starting Point       ","")</f>
        <v/>
      </c>
      <c r="J185" s="285"/>
      <c r="K185" s="227"/>
      <c r="L185" s="88"/>
      <c r="M185" s="251" t="str">
        <f>IF($C185&lt;&gt;"","Select from Pull-Down List  ","")</f>
        <v/>
      </c>
      <c r="N185" s="88"/>
      <c r="O185" s="251" t="str">
        <f>IF($C185&lt;&gt;"","Select from Pull-Down List  ","")</f>
        <v/>
      </c>
      <c r="P185" s="131"/>
      <c r="Q185" s="251" t="str">
        <f>IF($C185&lt;&gt;"","Dir. Route-Mi?    ","")</f>
        <v/>
      </c>
      <c r="R185" s="131"/>
      <c r="S185" s="251" t="str">
        <f>IF($C185&lt;&gt;"","Trk-Mi?      ","")</f>
        <v/>
      </c>
      <c r="T185" s="131"/>
      <c r="U185" s="251" t="str">
        <f>IF($C185&lt;&gt;"","Trk-Mi?      ","")</f>
        <v/>
      </c>
      <c r="V185" s="284"/>
      <c r="W185" s="278" t="str">
        <f>IF(OR($R185="",V$11=""),"","0 - "&amp;TEXT($R185-$AP185,"0.0")&amp;" Trk-Mi?    ")</f>
        <v/>
      </c>
      <c r="X185" s="284"/>
      <c r="Y185" s="278" t="str">
        <f>IF(OR($R185="",X$11=""),"","0 - "&amp;TEXT($R185-$AP185,"0.0")&amp;" Trk-Mi?    ")</f>
        <v/>
      </c>
      <c r="Z185" s="284"/>
      <c r="AA185" s="278" t="str">
        <f>IF(OR($R185="",Z$11=""),"","0 - "&amp;TEXT($R185-$AP185,"0.0")&amp;" Trk-Mi?    ")</f>
        <v/>
      </c>
      <c r="AB185" s="284"/>
      <c r="AC185" s="278" t="str">
        <f>IF(OR($R185="",AB$11=""),"","0 - "&amp;TEXT($R185-$AP185,"0.0")&amp;" Trk-Mi?    ")</f>
        <v/>
      </c>
      <c r="AD185" s="284"/>
      <c r="AE185" s="278" t="str">
        <f>IF(OR($R185="",AD$11=""),"","0 - "&amp;TEXT($R185-$AP185,"0.0")&amp;" Trk-Mi?    ")</f>
        <v/>
      </c>
      <c r="AF185" s="284"/>
      <c r="AG185" s="278" t="str">
        <f>IF(OR($R185="",AF$11=""),"","0 - "&amp;TEXT($R185-$AP185,"0.0")&amp;" Trk-Mi?    ")</f>
        <v/>
      </c>
      <c r="AH185" s="284"/>
      <c r="AI185" s="278" t="str">
        <f>IF(OR($R185="",AH$11=""),"","0 - "&amp;TEXT($R185-$AP185,"0.0")&amp;" Trk-Mi?    ")</f>
        <v/>
      </c>
      <c r="AJ185" s="284"/>
      <c r="AK185" s="278" t="str">
        <f>IF(OR($R185="",AJ$11=""),"","0 - "&amp;TEXT($R185-$AP185,"0.0")&amp;" Trk-Mi?    ")</f>
        <v/>
      </c>
      <c r="AL185" s="284"/>
      <c r="AM185" s="278" t="str">
        <f>IF(OR($R185="",AL$11=""),"","0 - "&amp;TEXT($R185-$AP185,"0.0")&amp;" Trk-Mi?    ")</f>
        <v/>
      </c>
      <c r="AN185" s="284"/>
      <c r="AO185" s="278" t="str">
        <f>IF(OR($R185="",AN$11=""),"","0 - "&amp;TEXT($R185-$AP185,"0.0")&amp;" Trk-Mi?    ")</f>
        <v/>
      </c>
      <c r="AP185" s="282">
        <f>SUM(V185,X185,Z185,AB185,AD185,AF185,AH185,AJ185,AL185,AN185)</f>
        <v>0</v>
      </c>
      <c r="AQ185" s="278"/>
      <c r="AR185" s="234"/>
      <c r="AS185" s="107"/>
      <c r="AT185" s="107"/>
      <c r="AU185" s="107"/>
      <c r="AW185" s="107" t="str">
        <f>IF(AND($C185="",$H185="",$J185="",$L185="",$N185="",$P185="",$R185=""),"B","NB")</f>
        <v>B</v>
      </c>
      <c r="AX185" s="241" t="str">
        <f>IF(OR($C185="",$H185="",$J185="",$L185="",$N185="",$R185="",$P185="",AND($V$11&lt;&gt;"",$V185=""),AND($X$11&lt;&gt;"",$X185=""),AND($Z$11&lt;&gt;"",$Z185=""),AND($AB$11&lt;&gt;"",$AB185=""),AND($AD$11&lt;&gt;"",$AD185=""),AND($AF$11&lt;&gt;"",$AF185=""),AND($AH$11&lt;&gt;"",$AH185=""),AND($AJ$11&lt;&gt;"",$AJ185=""),AND($AL$11&lt;&gt;"",$AL185=""),AND($AN$11&lt;&gt;"",$AN185="")),"N","Y")</f>
        <v>N</v>
      </c>
      <c r="AY185" s="142" t="b">
        <f>IF(AND($C185="",OR($H185&lt;&gt;"",$J185&lt;&gt;"",$L185&lt;&gt;"",$N185&lt;&gt;"",$R185&lt;&gt;"",$P185&lt;&gt;"",AND($V$11&lt;&gt;"",$V185&lt;&gt;""),AND($X$11&lt;&gt;"",$X185&lt;&gt;""),AND($Z$11&lt;&gt;"",$Z185&lt;&gt;""),AND($AB$11&lt;&gt;"",$AB185&lt;&gt;""),AND($AD$11&lt;&gt;"",$AD185&lt;&gt;""),AND($AF$11&lt;&gt;"",$AF185&lt;&gt;""),AND($AH$11&lt;&gt;"",$AH185&lt;&gt;""),AND($AJ$11&lt;&gt;"",$AJ185&lt;&gt;""),AND($AL$11&lt;&gt;"",$AL185&lt;&gt;""),AND($AN$11&lt;&gt;"",$AN185&lt;&gt;""))),TRUE,FALSE)</f>
        <v>0</v>
      </c>
      <c r="AZ185" s="144" t="b">
        <f>IF(AND($C185&lt;&gt;"",$H185=""),TRUE,FALSE)</f>
        <v>0</v>
      </c>
      <c r="BA185" s="144" t="b">
        <f>IF(AND($C185&lt;&gt;"",$J185=""),TRUE,FALSE)</f>
        <v>0</v>
      </c>
      <c r="BB185" s="144" t="b">
        <f>IF(AND($C185&lt;&gt;"",$L185=""),TRUE,FALSE)</f>
        <v>0</v>
      </c>
      <c r="BC185" s="144" t="b">
        <f>IF(AND($C185&lt;&gt;"",$N185=""),TRUE,FALSE)</f>
        <v>0</v>
      </c>
      <c r="BD185" s="142" t="b">
        <f>IF($BE185=TRUE,FALSE,IF(OR($P185&lt;$BD$5,$P185&gt;$BE$5),TRUE,FALSE))</f>
        <v>0</v>
      </c>
      <c r="BE185" s="144" t="b">
        <f>IF(AND($C185&lt;&gt;"",$P185=""),TRUE,FALSE)</f>
        <v>0</v>
      </c>
      <c r="BF185" s="144" t="b">
        <f>IF($BG185=TRUE,FALSE,IF(OR($R185&lt;$BF$5,$R185&gt;$BG$5),TRUE,FALSE))</f>
        <v>0</v>
      </c>
      <c r="BG185" s="144" t="b">
        <f>IF(AND($C185&lt;&gt;"",$R185=""),TRUE,FALSE)</f>
        <v>0</v>
      </c>
      <c r="BH185" s="160" t="b">
        <f>IF(BI185=TRUE,FALSE,IF(AND(V185&lt;&gt;"",V$11=""),TRUE,IF(AND(V185&lt;&gt;"",V$11&lt;&gt;"",$R185&lt;&gt;$AP185),TRUE,IF(OR(V185&lt;0,V185&gt;$R185),TRUE,FALSE))))</f>
        <v>0</v>
      </c>
      <c r="BI185" s="144" t="b">
        <f>IF(AND($C185&lt;&gt;"",V$11&lt;&gt;"",$V185=""),TRUE,FALSE)</f>
        <v>0</v>
      </c>
      <c r="BJ185" s="160" t="b">
        <f>IF(BK185=TRUE,FALSE,IF(AND(X185&lt;&gt;"",X$11=""),TRUE,IF(AND(X185&lt;&gt;"",X$11&lt;&gt;"",$R185&lt;&gt;$AP185),TRUE,IF(OR(X185&lt;0,X185&gt;$R185),TRUE,FALSE))))</f>
        <v>0</v>
      </c>
      <c r="BK185" s="144" t="b">
        <f>IF(AND($C185&lt;&gt;"",X$11&lt;&gt;"",$X185=""),TRUE,FALSE)</f>
        <v>0</v>
      </c>
      <c r="BL185" s="160" t="b">
        <f>IF(BM185=TRUE,FALSE,IF(AND(Z185&lt;&gt;"",Z$11=""),TRUE,IF(AND(Z185&lt;&gt;"",Z$11&lt;&gt;"",$R185&lt;&gt;$AP185),TRUE,IF(OR(Z185&lt;0,Z185&gt;$R185),TRUE,FALSE))))</f>
        <v>0</v>
      </c>
      <c r="BM185" s="144" t="b">
        <f>IF(AND($C185&lt;&gt;"",Z$11&lt;&gt;"",$Z185=""),TRUE,FALSE)</f>
        <v>0</v>
      </c>
      <c r="BN185" s="160" t="b">
        <f>IF(BO185=TRUE,FALSE,IF(AND(AB185&lt;&gt;"",AB$11=""),TRUE,IF(AND(AB185&lt;&gt;"",AB$11&lt;&gt;"",$R185&lt;&gt;$AP185),TRUE,IF(OR(AB185&lt;0,AB185&gt;$R185),TRUE,FALSE))))</f>
        <v>0</v>
      </c>
      <c r="BO185" s="144" t="b">
        <f>IF(AND($C185&lt;&gt;"",AB$11&lt;&gt;"",$AB185=""),TRUE,FALSE)</f>
        <v>0</v>
      </c>
      <c r="BP185" s="160" t="b">
        <f>IF(BQ185=TRUE,FALSE,IF(AND(AD185&lt;&gt;"",AD$11=""),TRUE,IF(AND(AD185&lt;&gt;"",AD$11&lt;&gt;"",$R185&lt;&gt;$AP185),TRUE,IF(OR(AD185&lt;0,AD185&gt;$R185),TRUE,FALSE))))</f>
        <v>0</v>
      </c>
      <c r="BQ185" s="144" t="b">
        <f>IF(AND($C185&lt;&gt;"",AD$11&lt;&gt;"",$AD185=""),TRUE,FALSE)</f>
        <v>0</v>
      </c>
      <c r="BR185" s="160" t="b">
        <f>IF(BS185=TRUE,FALSE,IF(AND(AF185&lt;&gt;"",AF$11=""),TRUE,IF(AND(AF185&lt;&gt;"",AF$11&lt;&gt;"",$R185&lt;&gt;$AP185),TRUE,IF(OR(AF185&lt;0,AF185&gt;$R185),TRUE,FALSE))))</f>
        <v>0</v>
      </c>
      <c r="BS185" s="144" t="b">
        <f>IF(AND($C185&lt;&gt;"",AF$11&lt;&gt;"",$AF185=""),TRUE,FALSE)</f>
        <v>0</v>
      </c>
      <c r="BT185" s="160" t="b">
        <f>IF(BU185=TRUE,FALSE,IF(AND(AH185&lt;&gt;"",AH$11=""),TRUE,IF(AND(AH185&lt;&gt;"",AH$11&lt;&gt;"",$R185&lt;&gt;$AP185),TRUE,IF(OR(AH185&lt;0,AH185&gt;$R185),TRUE,FALSE))))</f>
        <v>0</v>
      </c>
      <c r="BU185" s="144" t="b">
        <f>IF(AND($C185&lt;&gt;"",AH$11&lt;&gt;"",$AH185=""),TRUE,FALSE)</f>
        <v>0</v>
      </c>
      <c r="BV185" s="160" t="b">
        <f>IF(BW185=TRUE,FALSE,IF(AND(AJ185&lt;&gt;"",AJ$11=""),TRUE,IF(AND(AJ185&lt;&gt;"",AJ$11&lt;&gt;"",$R185&lt;&gt;$AP185),TRUE,IF(OR(AJ185&lt;0,AJ185&gt;$R185),TRUE,FALSE))))</f>
        <v>0</v>
      </c>
      <c r="BW185" s="144" t="b">
        <f>IF(AND($C185&lt;&gt;"",AJ$11&lt;&gt;"",$AJ185=""),TRUE,FALSE)</f>
        <v>0</v>
      </c>
      <c r="BX185" s="160" t="b">
        <f>IF(BY185=TRUE,FALSE,IF(AND(AL185&lt;&gt;"",AL$11=""),TRUE,IF(AND(AL185&lt;&gt;"",AL$11&lt;&gt;"",$R185&lt;&gt;$AP185),TRUE,IF(OR(AL185&lt;0,AL185&gt;$R185),TRUE,FALSE))))</f>
        <v>0</v>
      </c>
      <c r="BY185" s="144" t="b">
        <f>IF(AND($C185&lt;&gt;"",AL$11&lt;&gt;"",$AL185=""),TRUE,FALSE)</f>
        <v>0</v>
      </c>
      <c r="BZ185" s="160" t="b">
        <f>IF(CA185=TRUE,FALSE,IF(AND(AN185&lt;&gt;"",AN$11=""),TRUE,IF(AND(AN185&lt;&gt;"",AN$11&lt;&gt;"",$R185&lt;&gt;$AP185),TRUE,IF(OR(AN185&lt;0,AN185&gt;$R185),TRUE,FALSE))))</f>
        <v>0</v>
      </c>
      <c r="CA185" s="144" t="b">
        <f>IF(AND($C185&lt;&gt;"",AN$11&lt;&gt;"",$AN185=""),TRUE,FALSE)</f>
        <v>0</v>
      </c>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4"/>
    </row>
    <row r="186" spans="1:101" ht="6.75" customHeight="1" thickBot="1" x14ac:dyDescent="0.25">
      <c r="A186" s="228"/>
      <c r="B186" s="228"/>
      <c r="C186" s="232"/>
      <c r="D186" s="267"/>
      <c r="I186" s="267"/>
      <c r="K186" s="228"/>
      <c r="M186" s="267"/>
      <c r="O186" s="267"/>
      <c r="Q186" s="267"/>
      <c r="S186" s="267"/>
      <c r="U186" s="267"/>
      <c r="V186" s="283"/>
      <c r="W186" s="267"/>
      <c r="X186" s="283"/>
      <c r="Y186" s="267"/>
      <c r="Z186" s="283"/>
      <c r="AA186" s="267"/>
      <c r="AB186" s="283"/>
      <c r="AC186" s="267"/>
      <c r="AD186" s="283"/>
      <c r="AE186" s="267"/>
      <c r="AF186" s="283"/>
      <c r="AG186" s="267"/>
      <c r="AH186" s="283"/>
      <c r="AI186" s="267"/>
      <c r="AJ186" s="283"/>
      <c r="AK186" s="267"/>
      <c r="AL186" s="283"/>
      <c r="AM186" s="267"/>
      <c r="AN186" s="283"/>
      <c r="AO186" s="267"/>
      <c r="AP186" s="267"/>
      <c r="AQ186" s="267"/>
      <c r="AR186" s="232"/>
      <c r="AY186" s="145"/>
      <c r="AZ186" s="146"/>
      <c r="BA186" s="146"/>
      <c r="BB186" s="146"/>
      <c r="BC186" s="146"/>
      <c r="BD186" s="145"/>
      <c r="BE186" s="146"/>
      <c r="BF186" s="146"/>
      <c r="BG186" s="146"/>
      <c r="BH186" s="145"/>
      <c r="BI186" s="146"/>
      <c r="BJ186" s="145"/>
      <c r="BK186" s="146"/>
      <c r="BL186" s="145"/>
      <c r="BM186" s="146"/>
      <c r="BN186" s="145"/>
      <c r="BO186" s="146"/>
      <c r="BP186" s="145"/>
      <c r="BQ186" s="146"/>
      <c r="BR186" s="145"/>
      <c r="BS186" s="146"/>
      <c r="BT186" s="145"/>
      <c r="BU186" s="146"/>
      <c r="BV186" s="145"/>
      <c r="BW186" s="146"/>
      <c r="BX186" s="145"/>
      <c r="BY186" s="146"/>
      <c r="BZ186" s="145"/>
      <c r="CA186" s="146"/>
    </row>
    <row r="187" spans="1:101" s="101" customFormat="1" ht="12.75" customHeight="1" x14ac:dyDescent="0.2">
      <c r="A187" s="227">
        <f>A185+1</f>
        <v>86</v>
      </c>
      <c r="B187" s="227"/>
      <c r="C187" s="231"/>
      <c r="D187" s="251" t="str">
        <f>IF((C187=""),"Enter Segment "&amp;TEXT(A187,0)&amp;" Name, then Enter Data in Columns "&amp;TEXT($H$2,0)&amp;" - "&amp;TEXT($AN$2,0)&amp;"       ","")</f>
        <v xml:space="preserve">Enter Segment 86 Name, then Enter Data in Columns h - an       </v>
      </c>
      <c r="E187" s="131" t="str">
        <f>IF($AW187="B","N/A",IF(AX187="N","No",IF(AX187="Y","Yes","")))</f>
        <v>N/A</v>
      </c>
      <c r="F187" s="130"/>
      <c r="G187" s="130"/>
      <c r="H187" s="285"/>
      <c r="I187" s="251" t="str">
        <f>IF($C187&lt;&gt;"","Enter Starting Point       ","")</f>
        <v/>
      </c>
      <c r="J187" s="285"/>
      <c r="K187" s="227"/>
      <c r="L187" s="88"/>
      <c r="M187" s="251" t="str">
        <f>IF($C187&lt;&gt;"","Select from Pull-Down List  ","")</f>
        <v/>
      </c>
      <c r="N187" s="88"/>
      <c r="O187" s="251" t="str">
        <f>IF($C187&lt;&gt;"","Select from Pull-Down List  ","")</f>
        <v/>
      </c>
      <c r="P187" s="131"/>
      <c r="Q187" s="251" t="str">
        <f>IF($C187&lt;&gt;"","Dir. Route-Mi?    ","")</f>
        <v/>
      </c>
      <c r="R187" s="131"/>
      <c r="S187" s="251" t="str">
        <f>IF($C187&lt;&gt;"","Trk-Mi?      ","")</f>
        <v/>
      </c>
      <c r="T187" s="131"/>
      <c r="U187" s="251" t="str">
        <f>IF($C187&lt;&gt;"","Trk-Mi?      ","")</f>
        <v/>
      </c>
      <c r="V187" s="284"/>
      <c r="W187" s="278" t="str">
        <f>IF(OR($R187="",V$11=""),"","0 - "&amp;TEXT($R187-$AP187,"0.0")&amp;" Trk-Mi?    ")</f>
        <v/>
      </c>
      <c r="X187" s="284"/>
      <c r="Y187" s="278" t="str">
        <f>IF(OR($R187="",X$11=""),"","0 - "&amp;TEXT($R187-$AP187,"0.0")&amp;" Trk-Mi?    ")</f>
        <v/>
      </c>
      <c r="Z187" s="284"/>
      <c r="AA187" s="278" t="str">
        <f>IF(OR($R187="",Z$11=""),"","0 - "&amp;TEXT($R187-$AP187,"0.0")&amp;" Trk-Mi?    ")</f>
        <v/>
      </c>
      <c r="AB187" s="284"/>
      <c r="AC187" s="278" t="str">
        <f>IF(OR($R187="",AB$11=""),"","0 - "&amp;TEXT($R187-$AP187,"0.0")&amp;" Trk-Mi?    ")</f>
        <v/>
      </c>
      <c r="AD187" s="284"/>
      <c r="AE187" s="278" t="str">
        <f>IF(OR($R187="",AD$11=""),"","0 - "&amp;TEXT($R187-$AP187,"0.0")&amp;" Trk-Mi?    ")</f>
        <v/>
      </c>
      <c r="AF187" s="284"/>
      <c r="AG187" s="278" t="str">
        <f>IF(OR($R187="",AF$11=""),"","0 - "&amp;TEXT($R187-$AP187,"0.0")&amp;" Trk-Mi?    ")</f>
        <v/>
      </c>
      <c r="AH187" s="284"/>
      <c r="AI187" s="278" t="str">
        <f>IF(OR($R187="",AH$11=""),"","0 - "&amp;TEXT($R187-$AP187,"0.0")&amp;" Trk-Mi?    ")</f>
        <v/>
      </c>
      <c r="AJ187" s="284"/>
      <c r="AK187" s="278" t="str">
        <f>IF(OR($R187="",AJ$11=""),"","0 - "&amp;TEXT($R187-$AP187,"0.0")&amp;" Trk-Mi?    ")</f>
        <v/>
      </c>
      <c r="AL187" s="284"/>
      <c r="AM187" s="278" t="str">
        <f>IF(OR($R187="",AL$11=""),"","0 - "&amp;TEXT($R187-$AP187,"0.0")&amp;" Trk-Mi?    ")</f>
        <v/>
      </c>
      <c r="AN187" s="284"/>
      <c r="AO187" s="278" t="str">
        <f>IF(OR($R187="",AN$11=""),"","0 - "&amp;TEXT($R187-$AP187,"0.0")&amp;" Trk-Mi?    ")</f>
        <v/>
      </c>
      <c r="AP187" s="282">
        <f>SUM(V187,X187,Z187,AB187,AD187,AF187,AH187,AJ187,AL187,AN187)</f>
        <v>0</v>
      </c>
      <c r="AQ187" s="278"/>
      <c r="AR187" s="234"/>
      <c r="AS187" s="107"/>
      <c r="AT187" s="107"/>
      <c r="AU187" s="107"/>
      <c r="AW187" s="107" t="str">
        <f>IF(AND($C187="",$H187="",$J187="",$L187="",$N187="",$P187="",$R187=""),"B","NB")</f>
        <v>B</v>
      </c>
      <c r="AX187" s="241" t="str">
        <f>IF(OR($C187="",$H187="",$J187="",$L187="",$N187="",$R187="",$P187="",AND($V$11&lt;&gt;"",$V187=""),AND($X$11&lt;&gt;"",$X187=""),AND($Z$11&lt;&gt;"",$Z187=""),AND($AB$11&lt;&gt;"",$AB187=""),AND($AD$11&lt;&gt;"",$AD187=""),AND($AF$11&lt;&gt;"",$AF187=""),AND($AH$11&lt;&gt;"",$AH187=""),AND($AJ$11&lt;&gt;"",$AJ187=""),AND($AL$11&lt;&gt;"",$AL187=""),AND($AN$11&lt;&gt;"",$AN187="")),"N","Y")</f>
        <v>N</v>
      </c>
      <c r="AY187" s="142" t="b">
        <f>IF(AND($C187="",OR($H187&lt;&gt;"",$J187&lt;&gt;"",$L187&lt;&gt;"",$N187&lt;&gt;"",$R187&lt;&gt;"",$P187&lt;&gt;"",AND($V$11&lt;&gt;"",$V187&lt;&gt;""),AND($X$11&lt;&gt;"",$X187&lt;&gt;""),AND($Z$11&lt;&gt;"",$Z187&lt;&gt;""),AND($AB$11&lt;&gt;"",$AB187&lt;&gt;""),AND($AD$11&lt;&gt;"",$AD187&lt;&gt;""),AND($AF$11&lt;&gt;"",$AF187&lt;&gt;""),AND($AH$11&lt;&gt;"",$AH187&lt;&gt;""),AND($AJ$11&lt;&gt;"",$AJ187&lt;&gt;""),AND($AL$11&lt;&gt;"",$AL187&lt;&gt;""),AND($AN$11&lt;&gt;"",$AN187&lt;&gt;""))),TRUE,FALSE)</f>
        <v>0</v>
      </c>
      <c r="AZ187" s="144" t="b">
        <f>IF(AND($C187&lt;&gt;"",$H187=""),TRUE,FALSE)</f>
        <v>0</v>
      </c>
      <c r="BA187" s="144" t="b">
        <f>IF(AND($C187&lt;&gt;"",$J187=""),TRUE,FALSE)</f>
        <v>0</v>
      </c>
      <c r="BB187" s="144" t="b">
        <f>IF(AND($C187&lt;&gt;"",$L187=""),TRUE,FALSE)</f>
        <v>0</v>
      </c>
      <c r="BC187" s="144" t="b">
        <f>IF(AND($C187&lt;&gt;"",$N187=""),TRUE,FALSE)</f>
        <v>0</v>
      </c>
      <c r="BD187" s="142" t="b">
        <f>IF($BE187=TRUE,FALSE,IF(OR($P187&lt;$BD$5,$P187&gt;$BE$5),TRUE,FALSE))</f>
        <v>0</v>
      </c>
      <c r="BE187" s="144" t="b">
        <f>IF(AND($C187&lt;&gt;"",$P187=""),TRUE,FALSE)</f>
        <v>0</v>
      </c>
      <c r="BF187" s="144" t="b">
        <f>IF($BG187=TRUE,FALSE,IF(OR($R187&lt;$BF$5,$R187&gt;$BG$5),TRUE,FALSE))</f>
        <v>0</v>
      </c>
      <c r="BG187" s="144" t="b">
        <f>IF(AND($C187&lt;&gt;"",$R187=""),TRUE,FALSE)</f>
        <v>0</v>
      </c>
      <c r="BH187" s="160" t="b">
        <f>IF(BI187=TRUE,FALSE,IF(AND(V187&lt;&gt;"",V$11=""),TRUE,IF(AND(V187&lt;&gt;"",V$11&lt;&gt;"",$R187&lt;&gt;$AP187),TRUE,IF(OR(V187&lt;0,V187&gt;$R187),TRUE,FALSE))))</f>
        <v>0</v>
      </c>
      <c r="BI187" s="144" t="b">
        <f>IF(AND($C187&lt;&gt;"",V$11&lt;&gt;"",$V187=""),TRUE,FALSE)</f>
        <v>0</v>
      </c>
      <c r="BJ187" s="160" t="b">
        <f>IF(BK187=TRUE,FALSE,IF(AND(X187&lt;&gt;"",X$11=""),TRUE,IF(AND(X187&lt;&gt;"",X$11&lt;&gt;"",$R187&lt;&gt;$AP187),TRUE,IF(OR(X187&lt;0,X187&gt;$R187),TRUE,FALSE))))</f>
        <v>0</v>
      </c>
      <c r="BK187" s="144" t="b">
        <f>IF(AND($C187&lt;&gt;"",X$11&lt;&gt;"",$X187=""),TRUE,FALSE)</f>
        <v>0</v>
      </c>
      <c r="BL187" s="160" t="b">
        <f>IF(BM187=TRUE,FALSE,IF(AND(Z187&lt;&gt;"",Z$11=""),TRUE,IF(AND(Z187&lt;&gt;"",Z$11&lt;&gt;"",$R187&lt;&gt;$AP187),TRUE,IF(OR(Z187&lt;0,Z187&gt;$R187),TRUE,FALSE))))</f>
        <v>0</v>
      </c>
      <c r="BM187" s="144" t="b">
        <f>IF(AND($C187&lt;&gt;"",Z$11&lt;&gt;"",$Z187=""),TRUE,FALSE)</f>
        <v>0</v>
      </c>
      <c r="BN187" s="160" t="b">
        <f>IF(BO187=TRUE,FALSE,IF(AND(AB187&lt;&gt;"",AB$11=""),TRUE,IF(AND(AB187&lt;&gt;"",AB$11&lt;&gt;"",$R187&lt;&gt;$AP187),TRUE,IF(OR(AB187&lt;0,AB187&gt;$R187),TRUE,FALSE))))</f>
        <v>0</v>
      </c>
      <c r="BO187" s="144" t="b">
        <f>IF(AND($C187&lt;&gt;"",AB$11&lt;&gt;"",$AB187=""),TRUE,FALSE)</f>
        <v>0</v>
      </c>
      <c r="BP187" s="160" t="b">
        <f>IF(BQ187=TRUE,FALSE,IF(AND(AD187&lt;&gt;"",AD$11=""),TRUE,IF(AND(AD187&lt;&gt;"",AD$11&lt;&gt;"",$R187&lt;&gt;$AP187),TRUE,IF(OR(AD187&lt;0,AD187&gt;$R187),TRUE,FALSE))))</f>
        <v>0</v>
      </c>
      <c r="BQ187" s="144" t="b">
        <f>IF(AND($C187&lt;&gt;"",AD$11&lt;&gt;"",$AD187=""),TRUE,FALSE)</f>
        <v>0</v>
      </c>
      <c r="BR187" s="160" t="b">
        <f>IF(BS187=TRUE,FALSE,IF(AND(AF187&lt;&gt;"",AF$11=""),TRUE,IF(AND(AF187&lt;&gt;"",AF$11&lt;&gt;"",$R187&lt;&gt;$AP187),TRUE,IF(OR(AF187&lt;0,AF187&gt;$R187),TRUE,FALSE))))</f>
        <v>0</v>
      </c>
      <c r="BS187" s="144" t="b">
        <f>IF(AND($C187&lt;&gt;"",AF$11&lt;&gt;"",$AF187=""),TRUE,FALSE)</f>
        <v>0</v>
      </c>
      <c r="BT187" s="160" t="b">
        <f>IF(BU187=TRUE,FALSE,IF(AND(AH187&lt;&gt;"",AH$11=""),TRUE,IF(AND(AH187&lt;&gt;"",AH$11&lt;&gt;"",$R187&lt;&gt;$AP187),TRUE,IF(OR(AH187&lt;0,AH187&gt;$R187),TRUE,FALSE))))</f>
        <v>0</v>
      </c>
      <c r="BU187" s="144" t="b">
        <f>IF(AND($C187&lt;&gt;"",AH$11&lt;&gt;"",$AH187=""),TRUE,FALSE)</f>
        <v>0</v>
      </c>
      <c r="BV187" s="160" t="b">
        <f>IF(BW187=TRUE,FALSE,IF(AND(AJ187&lt;&gt;"",AJ$11=""),TRUE,IF(AND(AJ187&lt;&gt;"",AJ$11&lt;&gt;"",$R187&lt;&gt;$AP187),TRUE,IF(OR(AJ187&lt;0,AJ187&gt;$R187),TRUE,FALSE))))</f>
        <v>0</v>
      </c>
      <c r="BW187" s="144" t="b">
        <f>IF(AND($C187&lt;&gt;"",AJ$11&lt;&gt;"",$AJ187=""),TRUE,FALSE)</f>
        <v>0</v>
      </c>
      <c r="BX187" s="160" t="b">
        <f>IF(BY187=TRUE,FALSE,IF(AND(AL187&lt;&gt;"",AL$11=""),TRUE,IF(AND(AL187&lt;&gt;"",AL$11&lt;&gt;"",$R187&lt;&gt;$AP187),TRUE,IF(OR(AL187&lt;0,AL187&gt;$R187),TRUE,FALSE))))</f>
        <v>0</v>
      </c>
      <c r="BY187" s="144" t="b">
        <f>IF(AND($C187&lt;&gt;"",AL$11&lt;&gt;"",$AL187=""),TRUE,FALSE)</f>
        <v>0</v>
      </c>
      <c r="BZ187" s="160" t="b">
        <f>IF(CA187=TRUE,FALSE,IF(AND(AN187&lt;&gt;"",AN$11=""),TRUE,IF(AND(AN187&lt;&gt;"",AN$11&lt;&gt;"",$R187&lt;&gt;$AP187),TRUE,IF(OR(AN187&lt;0,AN187&gt;$R187),TRUE,FALSE))))</f>
        <v>0</v>
      </c>
      <c r="CA187" s="144" t="b">
        <f>IF(AND($C187&lt;&gt;"",AN$11&lt;&gt;"",$AN187=""),TRUE,FALSE)</f>
        <v>0</v>
      </c>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4"/>
    </row>
    <row r="188" spans="1:101" ht="6.75" customHeight="1" thickBot="1" x14ac:dyDescent="0.25">
      <c r="A188" s="228"/>
      <c r="B188" s="228"/>
      <c r="C188" s="232"/>
      <c r="D188" s="267"/>
      <c r="I188" s="267"/>
      <c r="K188" s="228"/>
      <c r="M188" s="267"/>
      <c r="O188" s="267"/>
      <c r="Q188" s="267"/>
      <c r="S188" s="267"/>
      <c r="U188" s="267"/>
      <c r="V188" s="283"/>
      <c r="W188" s="267"/>
      <c r="X188" s="283"/>
      <c r="Y188" s="267"/>
      <c r="Z188" s="283"/>
      <c r="AA188" s="267"/>
      <c r="AB188" s="283"/>
      <c r="AC188" s="267"/>
      <c r="AD188" s="283"/>
      <c r="AE188" s="267"/>
      <c r="AF188" s="283"/>
      <c r="AG188" s="267"/>
      <c r="AH188" s="283"/>
      <c r="AI188" s="267"/>
      <c r="AJ188" s="283"/>
      <c r="AK188" s="267"/>
      <c r="AL188" s="283"/>
      <c r="AM188" s="267"/>
      <c r="AN188" s="283"/>
      <c r="AO188" s="267"/>
      <c r="AP188" s="267"/>
      <c r="AQ188" s="267"/>
      <c r="AR188" s="232"/>
      <c r="AY188" s="145"/>
      <c r="AZ188" s="146"/>
      <c r="BA188" s="146"/>
      <c r="BB188" s="146"/>
      <c r="BC188" s="146"/>
      <c r="BD188" s="145"/>
      <c r="BE188" s="146"/>
      <c r="BF188" s="146"/>
      <c r="BG188" s="146"/>
      <c r="BH188" s="145"/>
      <c r="BI188" s="146"/>
      <c r="BJ188" s="145"/>
      <c r="BK188" s="146"/>
      <c r="BL188" s="145"/>
      <c r="BM188" s="146"/>
      <c r="BN188" s="145"/>
      <c r="BO188" s="146"/>
      <c r="BP188" s="145"/>
      <c r="BQ188" s="146"/>
      <c r="BR188" s="145"/>
      <c r="BS188" s="146"/>
      <c r="BT188" s="145"/>
      <c r="BU188" s="146"/>
      <c r="BV188" s="145"/>
      <c r="BW188" s="146"/>
      <c r="BX188" s="145"/>
      <c r="BY188" s="146"/>
      <c r="BZ188" s="145"/>
      <c r="CA188" s="146"/>
    </row>
    <row r="189" spans="1:101" s="101" customFormat="1" ht="12.75" customHeight="1" x14ac:dyDescent="0.2">
      <c r="A189" s="227">
        <f>A187+1</f>
        <v>87</v>
      </c>
      <c r="B189" s="227"/>
      <c r="C189" s="231"/>
      <c r="D189" s="251" t="str">
        <f>IF((C189=""),"Enter Segment "&amp;TEXT(A189,0)&amp;" Name, then Enter Data in Columns "&amp;TEXT($H$2,0)&amp;" - "&amp;TEXT($AN$2,0)&amp;"       ","")</f>
        <v xml:space="preserve">Enter Segment 87 Name, then Enter Data in Columns h - an       </v>
      </c>
      <c r="E189" s="131" t="str">
        <f>IF($AW189="B","N/A",IF(AX189="N","No",IF(AX189="Y","Yes","")))</f>
        <v>N/A</v>
      </c>
      <c r="F189" s="130"/>
      <c r="G189" s="130"/>
      <c r="H189" s="285"/>
      <c r="I189" s="251" t="str">
        <f>IF($C189&lt;&gt;"","Enter Starting Point       ","")</f>
        <v/>
      </c>
      <c r="J189" s="285"/>
      <c r="K189" s="227"/>
      <c r="L189" s="88"/>
      <c r="M189" s="251" t="str">
        <f>IF($C189&lt;&gt;"","Select from Pull-Down List  ","")</f>
        <v/>
      </c>
      <c r="N189" s="88"/>
      <c r="O189" s="251" t="str">
        <f>IF($C189&lt;&gt;"","Select from Pull-Down List  ","")</f>
        <v/>
      </c>
      <c r="P189" s="131"/>
      <c r="Q189" s="251" t="str">
        <f>IF($C189&lt;&gt;"","Dir. Route-Mi?    ","")</f>
        <v/>
      </c>
      <c r="R189" s="131"/>
      <c r="S189" s="251" t="str">
        <f>IF($C189&lt;&gt;"","Trk-Mi?      ","")</f>
        <v/>
      </c>
      <c r="T189" s="131"/>
      <c r="U189" s="251" t="str">
        <f>IF($C189&lt;&gt;"","Trk-Mi?      ","")</f>
        <v/>
      </c>
      <c r="V189" s="284"/>
      <c r="W189" s="278" t="str">
        <f>IF(OR($R189="",V$11=""),"","0 - "&amp;TEXT($R189-$AP189,"0.0")&amp;" Trk-Mi?    ")</f>
        <v/>
      </c>
      <c r="X189" s="284"/>
      <c r="Y189" s="278" t="str">
        <f>IF(OR($R189="",X$11=""),"","0 - "&amp;TEXT($R189-$AP189,"0.0")&amp;" Trk-Mi?    ")</f>
        <v/>
      </c>
      <c r="Z189" s="284"/>
      <c r="AA189" s="278" t="str">
        <f>IF(OR($R189="",Z$11=""),"","0 - "&amp;TEXT($R189-$AP189,"0.0")&amp;" Trk-Mi?    ")</f>
        <v/>
      </c>
      <c r="AB189" s="284"/>
      <c r="AC189" s="278" t="str">
        <f>IF(OR($R189="",AB$11=""),"","0 - "&amp;TEXT($R189-$AP189,"0.0")&amp;" Trk-Mi?    ")</f>
        <v/>
      </c>
      <c r="AD189" s="284"/>
      <c r="AE189" s="278" t="str">
        <f>IF(OR($R189="",AD$11=""),"","0 - "&amp;TEXT($R189-$AP189,"0.0")&amp;" Trk-Mi?    ")</f>
        <v/>
      </c>
      <c r="AF189" s="284"/>
      <c r="AG189" s="278" t="str">
        <f>IF(OR($R189="",AF$11=""),"","0 - "&amp;TEXT($R189-$AP189,"0.0")&amp;" Trk-Mi?    ")</f>
        <v/>
      </c>
      <c r="AH189" s="284"/>
      <c r="AI189" s="278" t="str">
        <f>IF(OR($R189="",AH$11=""),"","0 - "&amp;TEXT($R189-$AP189,"0.0")&amp;" Trk-Mi?    ")</f>
        <v/>
      </c>
      <c r="AJ189" s="284"/>
      <c r="AK189" s="278" t="str">
        <f>IF(OR($R189="",AJ$11=""),"","0 - "&amp;TEXT($R189-$AP189,"0.0")&amp;" Trk-Mi?    ")</f>
        <v/>
      </c>
      <c r="AL189" s="284"/>
      <c r="AM189" s="278" t="str">
        <f>IF(OR($R189="",AL$11=""),"","0 - "&amp;TEXT($R189-$AP189,"0.0")&amp;" Trk-Mi?    ")</f>
        <v/>
      </c>
      <c r="AN189" s="284"/>
      <c r="AO189" s="278" t="str">
        <f>IF(OR($R189="",AN$11=""),"","0 - "&amp;TEXT($R189-$AP189,"0.0")&amp;" Trk-Mi?    ")</f>
        <v/>
      </c>
      <c r="AP189" s="282">
        <f>SUM(V189,X189,Z189,AB189,AD189,AF189,AH189,AJ189,AL189,AN189)</f>
        <v>0</v>
      </c>
      <c r="AQ189" s="278"/>
      <c r="AR189" s="234"/>
      <c r="AS189" s="107"/>
      <c r="AT189" s="107"/>
      <c r="AU189" s="107"/>
      <c r="AW189" s="107" t="str">
        <f>IF(AND($C189="",$H189="",$J189="",$L189="",$N189="",$P189="",$R189=""),"B","NB")</f>
        <v>B</v>
      </c>
      <c r="AX189" s="241" t="str">
        <f>IF(OR($C189="",$H189="",$J189="",$L189="",$N189="",$R189="",$P189="",AND($V$11&lt;&gt;"",$V189=""),AND($X$11&lt;&gt;"",$X189=""),AND($Z$11&lt;&gt;"",$Z189=""),AND($AB$11&lt;&gt;"",$AB189=""),AND($AD$11&lt;&gt;"",$AD189=""),AND($AF$11&lt;&gt;"",$AF189=""),AND($AH$11&lt;&gt;"",$AH189=""),AND($AJ$11&lt;&gt;"",$AJ189=""),AND($AL$11&lt;&gt;"",$AL189=""),AND($AN$11&lt;&gt;"",$AN189="")),"N","Y")</f>
        <v>N</v>
      </c>
      <c r="AY189" s="142" t="b">
        <f>IF(AND($C189="",OR($H189&lt;&gt;"",$J189&lt;&gt;"",$L189&lt;&gt;"",$N189&lt;&gt;"",$R189&lt;&gt;"",$P189&lt;&gt;"",AND($V$11&lt;&gt;"",$V189&lt;&gt;""),AND($X$11&lt;&gt;"",$X189&lt;&gt;""),AND($Z$11&lt;&gt;"",$Z189&lt;&gt;""),AND($AB$11&lt;&gt;"",$AB189&lt;&gt;""),AND($AD$11&lt;&gt;"",$AD189&lt;&gt;""),AND($AF$11&lt;&gt;"",$AF189&lt;&gt;""),AND($AH$11&lt;&gt;"",$AH189&lt;&gt;""),AND($AJ$11&lt;&gt;"",$AJ189&lt;&gt;""),AND($AL$11&lt;&gt;"",$AL189&lt;&gt;""),AND($AN$11&lt;&gt;"",$AN189&lt;&gt;""))),TRUE,FALSE)</f>
        <v>0</v>
      </c>
      <c r="AZ189" s="144" t="b">
        <f>IF(AND($C189&lt;&gt;"",$H189=""),TRUE,FALSE)</f>
        <v>0</v>
      </c>
      <c r="BA189" s="144" t="b">
        <f>IF(AND($C189&lt;&gt;"",$J189=""),TRUE,FALSE)</f>
        <v>0</v>
      </c>
      <c r="BB189" s="144" t="b">
        <f>IF(AND($C189&lt;&gt;"",$L189=""),TRUE,FALSE)</f>
        <v>0</v>
      </c>
      <c r="BC189" s="144" t="b">
        <f>IF(AND($C189&lt;&gt;"",$N189=""),TRUE,FALSE)</f>
        <v>0</v>
      </c>
      <c r="BD189" s="144" t="b">
        <f>IF($BE189=TRUE,FALSE,IF(OR($P189&lt;$BD$5,$P189&gt;$BE$5),TRUE,FALSE))</f>
        <v>0</v>
      </c>
      <c r="BE189" s="144" t="b">
        <f>IF(AND($C189&lt;&gt;"",$P189=""),TRUE,FALSE)</f>
        <v>0</v>
      </c>
      <c r="BF189" s="144" t="b">
        <f>IF($BG189=TRUE,FALSE,IF(OR($R189&lt;$BF$5,$R189&gt;$BG$5),TRUE,FALSE))</f>
        <v>0</v>
      </c>
      <c r="BG189" s="142" t="b">
        <f>IF(AND($C189&lt;&gt;"",$R189=""),TRUE,FALSE)</f>
        <v>0</v>
      </c>
      <c r="BH189" s="160" t="b">
        <f>IF(BI189=TRUE,FALSE,IF(AND(V189&lt;&gt;"",V$11=""),TRUE,IF(AND(V189&lt;&gt;"",V$11&lt;&gt;"",$R189&lt;&gt;$AP189),TRUE,IF(OR(V189&lt;0,V189&gt;$R189),TRUE,FALSE))))</f>
        <v>0</v>
      </c>
      <c r="BI189" s="144" t="b">
        <f>IF(AND($C189&lt;&gt;"",V$11&lt;&gt;"",$V189=""),TRUE,FALSE)</f>
        <v>0</v>
      </c>
      <c r="BJ189" s="160" t="b">
        <f>IF(BK189=TRUE,FALSE,IF(AND(X189&lt;&gt;"",X$11=""),TRUE,IF(AND(X189&lt;&gt;"",X$11&lt;&gt;"",$R189&lt;&gt;$AP189),TRUE,IF(OR(X189&lt;0,X189&gt;$R189),TRUE,FALSE))))</f>
        <v>0</v>
      </c>
      <c r="BK189" s="144" t="b">
        <f>IF(AND($C189&lt;&gt;"",X$11&lt;&gt;"",$X189=""),TRUE,FALSE)</f>
        <v>0</v>
      </c>
      <c r="BL189" s="160" t="b">
        <f>IF(BM189=TRUE,FALSE,IF(AND(Z189&lt;&gt;"",Z$11=""),TRUE,IF(AND(Z189&lt;&gt;"",Z$11&lt;&gt;"",$R189&lt;&gt;$AP189),TRUE,IF(OR(Z189&lt;0,Z189&gt;$R189),TRUE,FALSE))))</f>
        <v>0</v>
      </c>
      <c r="BM189" s="144" t="b">
        <f>IF(AND($C189&lt;&gt;"",Z$11&lt;&gt;"",$Z189=""),TRUE,FALSE)</f>
        <v>0</v>
      </c>
      <c r="BN189" s="160" t="b">
        <f>IF(BO189=TRUE,FALSE,IF(AND(AB189&lt;&gt;"",AB$11=""),TRUE,IF(AND(AB189&lt;&gt;"",AB$11&lt;&gt;"",$R189&lt;&gt;$AP189),TRUE,IF(OR(AB189&lt;0,AB189&gt;$R189),TRUE,FALSE))))</f>
        <v>0</v>
      </c>
      <c r="BO189" s="144" t="b">
        <f>IF(AND($C189&lt;&gt;"",AB$11&lt;&gt;"",$AB189=""),TRUE,FALSE)</f>
        <v>0</v>
      </c>
      <c r="BP189" s="160" t="b">
        <f>IF(BQ189=TRUE,FALSE,IF(AND(AD189&lt;&gt;"",AD$11=""),TRUE,IF(AND(AD189&lt;&gt;"",AD$11&lt;&gt;"",$R189&lt;&gt;$AP189),TRUE,IF(OR(AD189&lt;0,AD189&gt;$R189),TRUE,FALSE))))</f>
        <v>0</v>
      </c>
      <c r="BQ189" s="144" t="b">
        <f>IF(AND($C189&lt;&gt;"",AD$11&lt;&gt;"",$AD189=""),TRUE,FALSE)</f>
        <v>0</v>
      </c>
      <c r="BR189" s="160" t="b">
        <f>IF(BS189=TRUE,FALSE,IF(AND(AF189&lt;&gt;"",AF$11=""),TRUE,IF(AND(AF189&lt;&gt;"",AF$11&lt;&gt;"",$R189&lt;&gt;$AP189),TRUE,IF(OR(AF189&lt;0,AF189&gt;$R189),TRUE,FALSE))))</f>
        <v>0</v>
      </c>
      <c r="BS189" s="144" t="b">
        <f>IF(AND($C189&lt;&gt;"",AF$11&lt;&gt;"",$AF189=""),TRUE,FALSE)</f>
        <v>0</v>
      </c>
      <c r="BT189" s="160" t="b">
        <f>IF(BU189=TRUE,FALSE,IF(AND(AH189&lt;&gt;"",AH$11=""),TRUE,IF(AND(AH189&lt;&gt;"",AH$11&lt;&gt;"",$R189&lt;&gt;$AP189),TRUE,IF(OR(AH189&lt;0,AH189&gt;$R189),TRUE,FALSE))))</f>
        <v>0</v>
      </c>
      <c r="BU189" s="144" t="b">
        <f>IF(AND($C189&lt;&gt;"",AH$11&lt;&gt;"",$AH189=""),TRUE,FALSE)</f>
        <v>0</v>
      </c>
      <c r="BV189" s="160" t="b">
        <f>IF(BW189=TRUE,FALSE,IF(AND(AJ189&lt;&gt;"",AJ$11=""),TRUE,IF(AND(AJ189&lt;&gt;"",AJ$11&lt;&gt;"",$R189&lt;&gt;$AP189),TRUE,IF(OR(AJ189&lt;0,AJ189&gt;$R189),TRUE,FALSE))))</f>
        <v>0</v>
      </c>
      <c r="BW189" s="144" t="b">
        <f>IF(AND($C189&lt;&gt;"",AJ$11&lt;&gt;"",$AJ189=""),TRUE,FALSE)</f>
        <v>0</v>
      </c>
      <c r="BX189" s="160" t="b">
        <f>IF(BY189=TRUE,FALSE,IF(AND(AL189&lt;&gt;"",AL$11=""),TRUE,IF(AND(AL189&lt;&gt;"",AL$11&lt;&gt;"",$R189&lt;&gt;$AP189),TRUE,IF(OR(AL189&lt;0,AL189&gt;$R189),TRUE,FALSE))))</f>
        <v>0</v>
      </c>
      <c r="BY189" s="144" t="b">
        <f>IF(AND($C189&lt;&gt;"",AL$11&lt;&gt;"",$AL189=""),TRUE,FALSE)</f>
        <v>0</v>
      </c>
      <c r="BZ189" s="160" t="b">
        <f>IF(CA189=TRUE,FALSE,IF(AND(AN189&lt;&gt;"",AN$11=""),TRUE,IF(AND(AN189&lt;&gt;"",AN$11&lt;&gt;"",$R189&lt;&gt;$AP189),TRUE,IF(OR(AN189&lt;0,AN189&gt;$R189),TRUE,FALSE))))</f>
        <v>0</v>
      </c>
      <c r="CA189" s="144" t="b">
        <f>IF(AND($C189&lt;&gt;"",AN$11&lt;&gt;"",$AN189=""),TRUE,FALSE)</f>
        <v>0</v>
      </c>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4"/>
    </row>
    <row r="190" spans="1:101" ht="6.75" customHeight="1" thickBot="1" x14ac:dyDescent="0.25">
      <c r="A190" s="228"/>
      <c r="B190" s="228"/>
      <c r="C190" s="232"/>
      <c r="D190" s="267"/>
      <c r="I190" s="267"/>
      <c r="K190" s="228"/>
      <c r="M190" s="267"/>
      <c r="O190" s="267"/>
      <c r="Q190" s="267"/>
      <c r="S190" s="267"/>
      <c r="U190" s="267"/>
      <c r="V190" s="283"/>
      <c r="W190" s="267"/>
      <c r="X190" s="283"/>
      <c r="Y190" s="267"/>
      <c r="Z190" s="283"/>
      <c r="AA190" s="267"/>
      <c r="AB190" s="283"/>
      <c r="AC190" s="267"/>
      <c r="AD190" s="283"/>
      <c r="AE190" s="267"/>
      <c r="AF190" s="283"/>
      <c r="AG190" s="267"/>
      <c r="AH190" s="283"/>
      <c r="AI190" s="267"/>
      <c r="AJ190" s="283"/>
      <c r="AK190" s="267"/>
      <c r="AL190" s="283"/>
      <c r="AM190" s="267"/>
      <c r="AN190" s="283"/>
      <c r="AO190" s="267"/>
      <c r="AP190" s="280"/>
      <c r="AQ190" s="280"/>
      <c r="AR190" s="235" t="str">
        <f>IF(CJ190&gt;=1,"Bad Data","")</f>
        <v/>
      </c>
      <c r="AY190" s="145"/>
      <c r="AZ190" s="146"/>
      <c r="BA190" s="146"/>
      <c r="BB190" s="146"/>
      <c r="BC190" s="146"/>
      <c r="BD190" s="145"/>
      <c r="BE190" s="146"/>
      <c r="BF190" s="146"/>
      <c r="BG190" s="146"/>
      <c r="BH190" s="145"/>
      <c r="BI190" s="146"/>
      <c r="BJ190" s="145"/>
      <c r="BK190" s="146"/>
      <c r="BL190" s="145"/>
      <c r="BM190" s="146"/>
      <c r="BN190" s="145"/>
      <c r="BO190" s="146"/>
      <c r="BP190" s="145"/>
      <c r="BQ190" s="146"/>
      <c r="BR190" s="145"/>
      <c r="BS190" s="146"/>
      <c r="BT190" s="145"/>
      <c r="BU190" s="146"/>
      <c r="BV190" s="145"/>
      <c r="BW190" s="146"/>
      <c r="BX190" s="145"/>
      <c r="BY190" s="146"/>
      <c r="BZ190" s="145"/>
      <c r="CA190" s="146"/>
    </row>
    <row r="191" spans="1:101" s="101" customFormat="1" ht="12.75" customHeight="1" x14ac:dyDescent="0.2">
      <c r="A191" s="227">
        <f>A189+1</f>
        <v>88</v>
      </c>
      <c r="B191" s="227"/>
      <c r="C191" s="231"/>
      <c r="D191" s="251" t="str">
        <f>IF((C191=""),"Enter Segment "&amp;TEXT(A191,0)&amp;" Name, then Enter Data in Columns "&amp;TEXT($H$2,0)&amp;" - "&amp;TEXT($AN$2,0)&amp;"       ","")</f>
        <v xml:space="preserve">Enter Segment 88 Name, then Enter Data in Columns h - an       </v>
      </c>
      <c r="E191" s="131" t="str">
        <f>IF($AW191="B","N/A",IF(AX191="N","No",IF(AX191="Y","Yes","")))</f>
        <v>N/A</v>
      </c>
      <c r="F191" s="130"/>
      <c r="G191" s="130"/>
      <c r="H191" s="285"/>
      <c r="I191" s="251" t="str">
        <f>IF($C191&lt;&gt;"","Enter Starting Point       ","")</f>
        <v/>
      </c>
      <c r="J191" s="285"/>
      <c r="K191" s="227"/>
      <c r="L191" s="88"/>
      <c r="M191" s="251" t="str">
        <f>IF($C191&lt;&gt;"","Select from Pull-Down List  ","")</f>
        <v/>
      </c>
      <c r="N191" s="88"/>
      <c r="O191" s="251" t="str">
        <f>IF($C191&lt;&gt;"","Select from Pull-Down List  ","")</f>
        <v/>
      </c>
      <c r="P191" s="131"/>
      <c r="Q191" s="251" t="str">
        <f>IF($C191&lt;&gt;"","Dir. Route-Mi?    ","")</f>
        <v/>
      </c>
      <c r="R191" s="131"/>
      <c r="S191" s="251" t="str">
        <f>IF($C191&lt;&gt;"","Trk-Mi?      ","")</f>
        <v/>
      </c>
      <c r="T191" s="131"/>
      <c r="U191" s="251" t="str">
        <f>IF($C191&lt;&gt;"","Trk-Mi?      ","")</f>
        <v/>
      </c>
      <c r="V191" s="284"/>
      <c r="W191" s="278" t="str">
        <f>IF(OR($R191="",V$11=""),"","0 - "&amp;TEXT($R191-$AP191,"0.0")&amp;" Trk-Mi?    ")</f>
        <v/>
      </c>
      <c r="X191" s="284"/>
      <c r="Y191" s="278" t="str">
        <f>IF(OR($R191="",X$11=""),"","0 - "&amp;TEXT($R191-$AP191,"0.0")&amp;" Trk-Mi?    ")</f>
        <v/>
      </c>
      <c r="Z191" s="284"/>
      <c r="AA191" s="278" t="str">
        <f>IF(OR($R191="",Z$11=""),"","0 - "&amp;TEXT($R191-$AP191,"0.0")&amp;" Trk-Mi?    ")</f>
        <v/>
      </c>
      <c r="AB191" s="284"/>
      <c r="AC191" s="278" t="str">
        <f>IF(OR($R191="",AB$11=""),"","0 - "&amp;TEXT($R191-$AP191,"0.0")&amp;" Trk-Mi?    ")</f>
        <v/>
      </c>
      <c r="AD191" s="284"/>
      <c r="AE191" s="278" t="str">
        <f>IF(OR($R191="",AD$11=""),"","0 - "&amp;TEXT($R191-$AP191,"0.0")&amp;" Trk-Mi?    ")</f>
        <v/>
      </c>
      <c r="AF191" s="284"/>
      <c r="AG191" s="278" t="str">
        <f>IF(OR($R191="",AF$11=""),"","0 - "&amp;TEXT($R191-$AP191,"0.0")&amp;" Trk-Mi?    ")</f>
        <v/>
      </c>
      <c r="AH191" s="284"/>
      <c r="AI191" s="278" t="str">
        <f>IF(OR($R191="",AH$11=""),"","0 - "&amp;TEXT($R191-$AP191,"0.0")&amp;" Trk-Mi?    ")</f>
        <v/>
      </c>
      <c r="AJ191" s="284"/>
      <c r="AK191" s="278" t="str">
        <f>IF(OR($R191="",AJ$11=""),"","0 - "&amp;TEXT($R191-$AP191,"0.0")&amp;" Trk-Mi?    ")</f>
        <v/>
      </c>
      <c r="AL191" s="284"/>
      <c r="AM191" s="278" t="str">
        <f>IF(OR($R191="",AL$11=""),"","0 - "&amp;TEXT($R191-$AP191,"0.0")&amp;" Trk-Mi?    ")</f>
        <v/>
      </c>
      <c r="AN191" s="284"/>
      <c r="AO191" s="278" t="str">
        <f>IF(OR($R191="",AN$11=""),"","0 - "&amp;TEXT($R191-$AP191,"0.0")&amp;" Trk-Mi?    ")</f>
        <v/>
      </c>
      <c r="AP191" s="282">
        <f>SUM(V191,X191,Z191,AB191,AD191,AF191,AH191,AJ191,AL191,AN191)</f>
        <v>0</v>
      </c>
      <c r="AQ191" s="278"/>
      <c r="AR191" s="234"/>
      <c r="AS191" s="107"/>
      <c r="AT191" s="107"/>
      <c r="AU191" s="107"/>
      <c r="AW191" s="107" t="str">
        <f>IF(AND($C191="",$H191="",$J191="",$L191="",$N191="",$P191="",$R191=""),"B","NB")</f>
        <v>B</v>
      </c>
      <c r="AX191" s="241" t="str">
        <f>IF(OR($C191="",$H191="",$J191="",$L191="",$N191="",$R191="",$P191="",AND($V$11&lt;&gt;"",$V191=""),AND($X$11&lt;&gt;"",$X191=""),AND($Z$11&lt;&gt;"",$Z191=""),AND($AB$11&lt;&gt;"",$AB191=""),AND($AD$11&lt;&gt;"",$AD191=""),AND($AF$11&lt;&gt;"",$AF191=""),AND($AH$11&lt;&gt;"",$AH191=""),AND($AJ$11&lt;&gt;"",$AJ191=""),AND($AL$11&lt;&gt;"",$AL191=""),AND($AN$11&lt;&gt;"",$AN191="")),"N","Y")</f>
        <v>N</v>
      </c>
      <c r="AY191" s="142" t="b">
        <f>IF(AND($C191="",OR($H191&lt;&gt;"",$J191&lt;&gt;"",$L191&lt;&gt;"",$N191&lt;&gt;"",$R191&lt;&gt;"",$P191&lt;&gt;"",AND($V$11&lt;&gt;"",$V191&lt;&gt;""),AND($X$11&lt;&gt;"",$X191&lt;&gt;""),AND($Z$11&lt;&gt;"",$Z191&lt;&gt;""),AND($AB$11&lt;&gt;"",$AB191&lt;&gt;""),AND($AD$11&lt;&gt;"",$AD191&lt;&gt;""),AND($AF$11&lt;&gt;"",$AF191&lt;&gt;""),AND($AH$11&lt;&gt;"",$AH191&lt;&gt;""),AND($AJ$11&lt;&gt;"",$AJ191&lt;&gt;""),AND($AL$11&lt;&gt;"",$AL191&lt;&gt;""),AND($AN$11&lt;&gt;"",$AN191&lt;&gt;""))),TRUE,FALSE)</f>
        <v>0</v>
      </c>
      <c r="AZ191" s="144" t="b">
        <f>IF(AND($C191&lt;&gt;"",$H191=""),TRUE,FALSE)</f>
        <v>0</v>
      </c>
      <c r="BA191" s="144" t="b">
        <f>IF(AND($C191&lt;&gt;"",$J191=""),TRUE,FALSE)</f>
        <v>0</v>
      </c>
      <c r="BB191" s="144" t="b">
        <f>IF(AND($C191&lt;&gt;"",$L191=""),TRUE,FALSE)</f>
        <v>0</v>
      </c>
      <c r="BC191" s="144" t="b">
        <f>IF(AND($C191&lt;&gt;"",$N191=""),TRUE,FALSE)</f>
        <v>0</v>
      </c>
      <c r="BD191" s="142" t="b">
        <f>IF($BE191=TRUE,FALSE,IF(OR($P191&lt;$BD$5,$P191&gt;$BE$5),TRUE,FALSE))</f>
        <v>0</v>
      </c>
      <c r="BE191" s="144" t="b">
        <f>IF(AND($C191&lt;&gt;"",$P191=""),TRUE,FALSE)</f>
        <v>0</v>
      </c>
      <c r="BF191" s="144" t="b">
        <f>IF($BG191=TRUE,FALSE,IF(OR($R191&lt;$BF$5,$R191&gt;$BG$5),TRUE,FALSE))</f>
        <v>0</v>
      </c>
      <c r="BG191" s="144" t="b">
        <f>IF(AND($C191&lt;&gt;"",$R191=""),TRUE,FALSE)</f>
        <v>0</v>
      </c>
      <c r="BH191" s="160" t="b">
        <f>IF(BI191=TRUE,FALSE,IF(AND(V191&lt;&gt;"",V$11=""),TRUE,IF(AND(V191&lt;&gt;"",V$11&lt;&gt;"",$R191&lt;&gt;$AP191),TRUE,IF(OR(V191&lt;0,V191&gt;$R191),TRUE,FALSE))))</f>
        <v>0</v>
      </c>
      <c r="BI191" s="144" t="b">
        <f>IF(AND($C191&lt;&gt;"",V$11&lt;&gt;"",$V191=""),TRUE,FALSE)</f>
        <v>0</v>
      </c>
      <c r="BJ191" s="160" t="b">
        <f>IF(BK191=TRUE,FALSE,IF(AND(X191&lt;&gt;"",X$11=""),TRUE,IF(AND(X191&lt;&gt;"",X$11&lt;&gt;"",$R191&lt;&gt;$AP191),TRUE,IF(OR(X191&lt;0,X191&gt;$R191),TRUE,FALSE))))</f>
        <v>0</v>
      </c>
      <c r="BK191" s="144" t="b">
        <f>IF(AND($C191&lt;&gt;"",X$11&lt;&gt;"",$X191=""),TRUE,FALSE)</f>
        <v>0</v>
      </c>
      <c r="BL191" s="160" t="b">
        <f>IF(BM191=TRUE,FALSE,IF(AND(Z191&lt;&gt;"",Z$11=""),TRUE,IF(AND(Z191&lt;&gt;"",Z$11&lt;&gt;"",$R191&lt;&gt;$AP191),TRUE,IF(OR(Z191&lt;0,Z191&gt;$R191),TRUE,FALSE))))</f>
        <v>0</v>
      </c>
      <c r="BM191" s="144" t="b">
        <f>IF(AND($C191&lt;&gt;"",Z$11&lt;&gt;"",$Z191=""),TRUE,FALSE)</f>
        <v>0</v>
      </c>
      <c r="BN191" s="160" t="b">
        <f>IF(BO191=TRUE,FALSE,IF(AND(AB191&lt;&gt;"",AB$11=""),TRUE,IF(AND(AB191&lt;&gt;"",AB$11&lt;&gt;"",$R191&lt;&gt;$AP191),TRUE,IF(OR(AB191&lt;0,AB191&gt;$R191),TRUE,FALSE))))</f>
        <v>0</v>
      </c>
      <c r="BO191" s="144" t="b">
        <f>IF(AND($C191&lt;&gt;"",AB$11&lt;&gt;"",$AB191=""),TRUE,FALSE)</f>
        <v>0</v>
      </c>
      <c r="BP191" s="160" t="b">
        <f>IF(BQ191=TRUE,FALSE,IF(AND(AD191&lt;&gt;"",AD$11=""),TRUE,IF(AND(AD191&lt;&gt;"",AD$11&lt;&gt;"",$R191&lt;&gt;$AP191),TRUE,IF(OR(AD191&lt;0,AD191&gt;$R191),TRUE,FALSE))))</f>
        <v>0</v>
      </c>
      <c r="BQ191" s="144" t="b">
        <f>IF(AND($C191&lt;&gt;"",AD$11&lt;&gt;"",$AD191=""),TRUE,FALSE)</f>
        <v>0</v>
      </c>
      <c r="BR191" s="160" t="b">
        <f>IF(BS191=TRUE,FALSE,IF(AND(AF191&lt;&gt;"",AF$11=""),TRUE,IF(AND(AF191&lt;&gt;"",AF$11&lt;&gt;"",$R191&lt;&gt;$AP191),TRUE,IF(OR(AF191&lt;0,AF191&gt;$R191),TRUE,FALSE))))</f>
        <v>0</v>
      </c>
      <c r="BS191" s="144" t="b">
        <f>IF(AND($C191&lt;&gt;"",AF$11&lt;&gt;"",$AF191=""),TRUE,FALSE)</f>
        <v>0</v>
      </c>
      <c r="BT191" s="160" t="b">
        <f>IF(BU191=TRUE,FALSE,IF(AND(AH191&lt;&gt;"",AH$11=""),TRUE,IF(AND(AH191&lt;&gt;"",AH$11&lt;&gt;"",$R191&lt;&gt;$AP191),TRUE,IF(OR(AH191&lt;0,AH191&gt;$R191),TRUE,FALSE))))</f>
        <v>0</v>
      </c>
      <c r="BU191" s="144" t="b">
        <f>IF(AND($C191&lt;&gt;"",AH$11&lt;&gt;"",$AH191=""),TRUE,FALSE)</f>
        <v>0</v>
      </c>
      <c r="BV191" s="160" t="b">
        <f>IF(BW191=TRUE,FALSE,IF(AND(AJ191&lt;&gt;"",AJ$11=""),TRUE,IF(AND(AJ191&lt;&gt;"",AJ$11&lt;&gt;"",$R191&lt;&gt;$AP191),TRUE,IF(OR(AJ191&lt;0,AJ191&gt;$R191),TRUE,FALSE))))</f>
        <v>0</v>
      </c>
      <c r="BW191" s="144" t="b">
        <f>IF(AND($C191&lt;&gt;"",AJ$11&lt;&gt;"",$AJ191=""),TRUE,FALSE)</f>
        <v>0</v>
      </c>
      <c r="BX191" s="160" t="b">
        <f>IF(BY191=TRUE,FALSE,IF(AND(AL191&lt;&gt;"",AL$11=""),TRUE,IF(AND(AL191&lt;&gt;"",AL$11&lt;&gt;"",$R191&lt;&gt;$AP191),TRUE,IF(OR(AL191&lt;0,AL191&gt;$R191),TRUE,FALSE))))</f>
        <v>0</v>
      </c>
      <c r="BY191" s="144" t="b">
        <f>IF(AND($C191&lt;&gt;"",AL$11&lt;&gt;"",$AL191=""),TRUE,FALSE)</f>
        <v>0</v>
      </c>
      <c r="BZ191" s="160" t="b">
        <f>IF(CA191=TRUE,FALSE,IF(AND(AN191&lt;&gt;"",AN$11=""),TRUE,IF(AND(AN191&lt;&gt;"",AN$11&lt;&gt;"",$R191&lt;&gt;$AP191),TRUE,IF(OR(AN191&lt;0,AN191&gt;$R191),TRUE,FALSE))))</f>
        <v>0</v>
      </c>
      <c r="CA191" s="144" t="b">
        <f>IF(AND($C191&lt;&gt;"",AN$11&lt;&gt;"",$AN191=""),TRUE,FALSE)</f>
        <v>0</v>
      </c>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4"/>
    </row>
    <row r="192" spans="1:101" ht="6.75" customHeight="1" thickBot="1" x14ac:dyDescent="0.25">
      <c r="A192" s="228"/>
      <c r="B192" s="228"/>
      <c r="C192" s="232"/>
      <c r="D192" s="251"/>
      <c r="E192" s="130"/>
      <c r="F192" s="130"/>
      <c r="G192" s="130"/>
      <c r="I192" s="251"/>
      <c r="K192" s="228"/>
      <c r="M192" s="251"/>
      <c r="O192" s="251"/>
      <c r="P192" s="130"/>
      <c r="Q192" s="251"/>
      <c r="R192" s="130"/>
      <c r="S192" s="251"/>
      <c r="T192" s="130"/>
      <c r="U192" s="251"/>
      <c r="V192" s="283"/>
      <c r="W192" s="278"/>
      <c r="X192" s="283"/>
      <c r="Y192" s="278"/>
      <c r="Z192" s="283"/>
      <c r="AA192" s="278"/>
      <c r="AB192" s="283"/>
      <c r="AC192" s="278"/>
      <c r="AD192" s="283"/>
      <c r="AE192" s="278"/>
      <c r="AF192" s="283"/>
      <c r="AG192" s="278"/>
      <c r="AH192" s="283"/>
      <c r="AI192" s="278"/>
      <c r="AJ192" s="283"/>
      <c r="AK192" s="278"/>
      <c r="AL192" s="283"/>
      <c r="AM192" s="278"/>
      <c r="AN192" s="283"/>
      <c r="AO192" s="278"/>
      <c r="AP192" s="105"/>
      <c r="AQ192" s="253"/>
      <c r="AR192" s="236"/>
      <c r="AY192" s="145"/>
      <c r="AZ192" s="146"/>
      <c r="BA192" s="146"/>
      <c r="BB192" s="146"/>
      <c r="BC192" s="146"/>
      <c r="BD192" s="145"/>
      <c r="BE192" s="146"/>
      <c r="BF192" s="146"/>
      <c r="BG192" s="146"/>
      <c r="BH192" s="145"/>
      <c r="BI192" s="146"/>
      <c r="BJ192" s="145"/>
      <c r="BK192" s="146"/>
      <c r="BL192" s="145"/>
      <c r="BM192" s="146"/>
      <c r="BN192" s="145"/>
      <c r="BO192" s="146"/>
      <c r="BP192" s="145"/>
      <c r="BQ192" s="146"/>
      <c r="BR192" s="145"/>
      <c r="BS192" s="146"/>
      <c r="BT192" s="145"/>
      <c r="BU192" s="146"/>
      <c r="BV192" s="145"/>
      <c r="BW192" s="146"/>
      <c r="BX192" s="145"/>
      <c r="BY192" s="146"/>
      <c r="BZ192" s="145"/>
      <c r="CA192" s="146"/>
    </row>
    <row r="193" spans="1:101" s="101" customFormat="1" ht="12.75" customHeight="1" x14ac:dyDescent="0.2">
      <c r="A193" s="227">
        <f>A191+1</f>
        <v>89</v>
      </c>
      <c r="B193" s="227"/>
      <c r="C193" s="231"/>
      <c r="D193" s="251" t="str">
        <f>IF((C193=""),"Enter Segment "&amp;TEXT(A193,0)&amp;" Name, then Enter Data in Columns "&amp;TEXT($H$2,0)&amp;" - "&amp;TEXT($AN$2,0)&amp;"       ","")</f>
        <v xml:space="preserve">Enter Segment 89 Name, then Enter Data in Columns h - an       </v>
      </c>
      <c r="E193" s="131" t="str">
        <f>IF($AW193="B","N/A",IF(AX193="N","No",IF(AX193="Y","Yes","")))</f>
        <v>N/A</v>
      </c>
      <c r="F193" s="130"/>
      <c r="G193" s="130"/>
      <c r="H193" s="285"/>
      <c r="I193" s="251" t="str">
        <f>IF($C193&lt;&gt;"","Enter Starting Point       ","")</f>
        <v/>
      </c>
      <c r="J193" s="285"/>
      <c r="K193" s="227"/>
      <c r="L193" s="88"/>
      <c r="M193" s="251" t="str">
        <f>IF($C193&lt;&gt;"","Select from Pull-Down List  ","")</f>
        <v/>
      </c>
      <c r="N193" s="88"/>
      <c r="O193" s="251" t="str">
        <f>IF($C193&lt;&gt;"","Select from Pull-Down List  ","")</f>
        <v/>
      </c>
      <c r="P193" s="131"/>
      <c r="Q193" s="251" t="str">
        <f>IF($C193&lt;&gt;"","Dir. Route-Mi?    ","")</f>
        <v/>
      </c>
      <c r="R193" s="131"/>
      <c r="S193" s="251" t="str">
        <f>IF($C193&lt;&gt;"","Trk-Mi?      ","")</f>
        <v/>
      </c>
      <c r="T193" s="131"/>
      <c r="U193" s="251" t="str">
        <f>IF($C193&lt;&gt;"","Trk-Mi?      ","")</f>
        <v/>
      </c>
      <c r="V193" s="284"/>
      <c r="W193" s="278" t="str">
        <f>IF(OR($R193="",V$11=""),"","0 - "&amp;TEXT($R193-$AP193,"0.0")&amp;" Trk-Mi?    ")</f>
        <v/>
      </c>
      <c r="X193" s="284"/>
      <c r="Y193" s="278" t="str">
        <f>IF(OR($R193="",X$11=""),"","0 - "&amp;TEXT($R193-$AP193,"0.0")&amp;" Trk-Mi?    ")</f>
        <v/>
      </c>
      <c r="Z193" s="284"/>
      <c r="AA193" s="278" t="str">
        <f>IF(OR($R193="",Z$11=""),"","0 - "&amp;TEXT($R193-$AP193,"0.0")&amp;" Trk-Mi?    ")</f>
        <v/>
      </c>
      <c r="AB193" s="284"/>
      <c r="AC193" s="278" t="str">
        <f>IF(OR($R193="",AB$11=""),"","0 - "&amp;TEXT($R193-$AP193,"0.0")&amp;" Trk-Mi?    ")</f>
        <v/>
      </c>
      <c r="AD193" s="284"/>
      <c r="AE193" s="278" t="str">
        <f>IF(OR($R193="",AD$11=""),"","0 - "&amp;TEXT($R193-$AP193,"0.0")&amp;" Trk-Mi?    ")</f>
        <v/>
      </c>
      <c r="AF193" s="284"/>
      <c r="AG193" s="278" t="str">
        <f>IF(OR($R193="",AF$11=""),"","0 - "&amp;TEXT($R193-$AP193,"0.0")&amp;" Trk-Mi?    ")</f>
        <v/>
      </c>
      <c r="AH193" s="284"/>
      <c r="AI193" s="278" t="str">
        <f>IF(OR($R193="",AH$11=""),"","0 - "&amp;TEXT($R193-$AP193,"0.0")&amp;" Trk-Mi?    ")</f>
        <v/>
      </c>
      <c r="AJ193" s="284"/>
      <c r="AK193" s="278" t="str">
        <f>IF(OR($R193="",AJ$11=""),"","0 - "&amp;TEXT($R193-$AP193,"0.0")&amp;" Trk-Mi?    ")</f>
        <v/>
      </c>
      <c r="AL193" s="284"/>
      <c r="AM193" s="278" t="str">
        <f>IF(OR($R193="",AL$11=""),"","0 - "&amp;TEXT($R193-$AP193,"0.0")&amp;" Trk-Mi?    ")</f>
        <v/>
      </c>
      <c r="AN193" s="284"/>
      <c r="AO193" s="278" t="str">
        <f>IF(OR($R193="",AN$11=""),"","0 - "&amp;TEXT($R193-$AP193,"0.0")&amp;" Trk-Mi?    ")</f>
        <v/>
      </c>
      <c r="AP193" s="282">
        <f>SUM(V193,X193,Z193,AB193,AD193,AF193,AH193,AJ193,AL193,AN193)</f>
        <v>0</v>
      </c>
      <c r="AQ193" s="278"/>
      <c r="AR193" s="234"/>
      <c r="AS193" s="107"/>
      <c r="AT193" s="107"/>
      <c r="AU193" s="107"/>
      <c r="AW193" s="107" t="str">
        <f>IF(AND($C193="",$H193="",$J193="",$L193="",$N193="",$P193="",$R193=""),"B","NB")</f>
        <v>B</v>
      </c>
      <c r="AX193" s="241" t="str">
        <f>IF(OR($C193="",$H193="",$J193="",$L193="",$N193="",$R193="",$P193="",AND($V$11&lt;&gt;"",$V193=""),AND($X$11&lt;&gt;"",$X193=""),AND($Z$11&lt;&gt;"",$Z193=""),AND($AB$11&lt;&gt;"",$AB193=""),AND($AD$11&lt;&gt;"",$AD193=""),AND($AF$11&lt;&gt;"",$AF193=""),AND($AH$11&lt;&gt;"",$AH193=""),AND($AJ$11&lt;&gt;"",$AJ193=""),AND($AL$11&lt;&gt;"",$AL193=""),AND($AN$11&lt;&gt;"",$AN193="")),"N","Y")</f>
        <v>N</v>
      </c>
      <c r="AY193" s="142" t="b">
        <f>IF(AND($C193="",OR($H193&lt;&gt;"",$J193&lt;&gt;"",$L193&lt;&gt;"",$N193&lt;&gt;"",$R193&lt;&gt;"",$P193&lt;&gt;"",AND($V$11&lt;&gt;"",$V193&lt;&gt;""),AND($X$11&lt;&gt;"",$X193&lt;&gt;""),AND($Z$11&lt;&gt;"",$Z193&lt;&gt;""),AND($AB$11&lt;&gt;"",$AB193&lt;&gt;""),AND($AD$11&lt;&gt;"",$AD193&lt;&gt;""),AND($AF$11&lt;&gt;"",$AF193&lt;&gt;""),AND($AH$11&lt;&gt;"",$AH193&lt;&gt;""),AND($AJ$11&lt;&gt;"",$AJ193&lt;&gt;""),AND($AL$11&lt;&gt;"",$AL193&lt;&gt;""),AND($AN$11&lt;&gt;"",$AN193&lt;&gt;""))),TRUE,FALSE)</f>
        <v>0</v>
      </c>
      <c r="AZ193" s="144" t="b">
        <f>IF(AND($C193&lt;&gt;"",$H193=""),TRUE,FALSE)</f>
        <v>0</v>
      </c>
      <c r="BA193" s="144" t="b">
        <f>IF(AND($C193&lt;&gt;"",$J193=""),TRUE,FALSE)</f>
        <v>0</v>
      </c>
      <c r="BB193" s="144" t="b">
        <f>IF(AND($C193&lt;&gt;"",$L193=""),TRUE,FALSE)</f>
        <v>0</v>
      </c>
      <c r="BC193" s="144" t="b">
        <f>IF(AND($C193&lt;&gt;"",$N193=""),TRUE,FALSE)</f>
        <v>0</v>
      </c>
      <c r="BD193" s="142" t="b">
        <f>IF($BE193=TRUE,FALSE,IF(OR($P193&lt;$BD$5,$P193&gt;$BE$5),TRUE,FALSE))</f>
        <v>0</v>
      </c>
      <c r="BE193" s="144" t="b">
        <f>IF(AND($C193&lt;&gt;"",$P193=""),TRUE,FALSE)</f>
        <v>0</v>
      </c>
      <c r="BF193" s="144" t="b">
        <f>IF($BG193=TRUE,FALSE,IF(OR($R193&lt;$BF$5,$R193&gt;$BG$5),TRUE,FALSE))</f>
        <v>0</v>
      </c>
      <c r="BG193" s="144" t="b">
        <f>IF(AND($C193&lt;&gt;"",$R193=""),TRUE,FALSE)</f>
        <v>0</v>
      </c>
      <c r="BH193" s="160" t="b">
        <f>IF(BI193=TRUE,FALSE,IF(AND(V193&lt;&gt;"",V$11=""),TRUE,IF(AND(V193&lt;&gt;"",V$11&lt;&gt;"",$R193&lt;&gt;$AP193),TRUE,IF(OR(V193&lt;0,V193&gt;$R193),TRUE,FALSE))))</f>
        <v>0</v>
      </c>
      <c r="BI193" s="144" t="b">
        <f>IF(AND($C193&lt;&gt;"",V$11&lt;&gt;"",$V193=""),TRUE,FALSE)</f>
        <v>0</v>
      </c>
      <c r="BJ193" s="160" t="b">
        <f>IF(BK193=TRUE,FALSE,IF(AND(X193&lt;&gt;"",X$11=""),TRUE,IF(AND(X193&lt;&gt;"",X$11&lt;&gt;"",$R193&lt;&gt;$AP193),TRUE,IF(OR(X193&lt;0,X193&gt;$R193),TRUE,FALSE))))</f>
        <v>0</v>
      </c>
      <c r="BK193" s="144" t="b">
        <f>IF(AND($C193&lt;&gt;"",X$11&lt;&gt;"",$X193=""),TRUE,FALSE)</f>
        <v>0</v>
      </c>
      <c r="BL193" s="160" t="b">
        <f>IF(BM193=TRUE,FALSE,IF(AND(Z193&lt;&gt;"",Z$11=""),TRUE,IF(AND(Z193&lt;&gt;"",Z$11&lt;&gt;"",$R193&lt;&gt;$AP193),TRUE,IF(OR(Z193&lt;0,Z193&gt;$R193),TRUE,FALSE))))</f>
        <v>0</v>
      </c>
      <c r="BM193" s="144" t="b">
        <f>IF(AND($C193&lt;&gt;"",Z$11&lt;&gt;"",$Z193=""),TRUE,FALSE)</f>
        <v>0</v>
      </c>
      <c r="BN193" s="160" t="b">
        <f>IF(BO193=TRUE,FALSE,IF(AND(AB193&lt;&gt;"",AB$11=""),TRUE,IF(AND(AB193&lt;&gt;"",AB$11&lt;&gt;"",$R193&lt;&gt;$AP193),TRUE,IF(OR(AB193&lt;0,AB193&gt;$R193),TRUE,FALSE))))</f>
        <v>0</v>
      </c>
      <c r="BO193" s="144" t="b">
        <f>IF(AND($C193&lt;&gt;"",AB$11&lt;&gt;"",$AB193=""),TRUE,FALSE)</f>
        <v>0</v>
      </c>
      <c r="BP193" s="160" t="b">
        <f>IF(BQ193=TRUE,FALSE,IF(AND(AD193&lt;&gt;"",AD$11=""),TRUE,IF(AND(AD193&lt;&gt;"",AD$11&lt;&gt;"",$R193&lt;&gt;$AP193),TRUE,IF(OR(AD193&lt;0,AD193&gt;$R193),TRUE,FALSE))))</f>
        <v>0</v>
      </c>
      <c r="BQ193" s="144" t="b">
        <f>IF(AND($C193&lt;&gt;"",AD$11&lt;&gt;"",$AD193=""),TRUE,FALSE)</f>
        <v>0</v>
      </c>
      <c r="BR193" s="160" t="b">
        <f>IF(BS193=TRUE,FALSE,IF(AND(AF193&lt;&gt;"",AF$11=""),TRUE,IF(AND(AF193&lt;&gt;"",AF$11&lt;&gt;"",$R193&lt;&gt;$AP193),TRUE,IF(OR(AF193&lt;0,AF193&gt;$R193),TRUE,FALSE))))</f>
        <v>0</v>
      </c>
      <c r="BS193" s="144" t="b">
        <f>IF(AND($C193&lt;&gt;"",AF$11&lt;&gt;"",$AF193=""),TRUE,FALSE)</f>
        <v>0</v>
      </c>
      <c r="BT193" s="160" t="b">
        <f>IF(BU193=TRUE,FALSE,IF(AND(AH193&lt;&gt;"",AH$11=""),TRUE,IF(AND(AH193&lt;&gt;"",AH$11&lt;&gt;"",$R193&lt;&gt;$AP193),TRUE,IF(OR(AH193&lt;0,AH193&gt;$R193),TRUE,FALSE))))</f>
        <v>0</v>
      </c>
      <c r="BU193" s="144" t="b">
        <f>IF(AND($C193&lt;&gt;"",AH$11&lt;&gt;"",$AH193=""),TRUE,FALSE)</f>
        <v>0</v>
      </c>
      <c r="BV193" s="160" t="b">
        <f>IF(BW193=TRUE,FALSE,IF(AND(AJ193&lt;&gt;"",AJ$11=""),TRUE,IF(AND(AJ193&lt;&gt;"",AJ$11&lt;&gt;"",$R193&lt;&gt;$AP193),TRUE,IF(OR(AJ193&lt;0,AJ193&gt;$R193),TRUE,FALSE))))</f>
        <v>0</v>
      </c>
      <c r="BW193" s="144" t="b">
        <f>IF(AND($C193&lt;&gt;"",AJ$11&lt;&gt;"",$AJ193=""),TRUE,FALSE)</f>
        <v>0</v>
      </c>
      <c r="BX193" s="160" t="b">
        <f>IF(BY193=TRUE,FALSE,IF(AND(AL193&lt;&gt;"",AL$11=""),TRUE,IF(AND(AL193&lt;&gt;"",AL$11&lt;&gt;"",$R193&lt;&gt;$AP193),TRUE,IF(OR(AL193&lt;0,AL193&gt;$R193),TRUE,FALSE))))</f>
        <v>0</v>
      </c>
      <c r="BY193" s="144" t="b">
        <f>IF(AND($C193&lt;&gt;"",AL$11&lt;&gt;"",$AL193=""),TRUE,FALSE)</f>
        <v>0</v>
      </c>
      <c r="BZ193" s="160" t="b">
        <f>IF(CA193=TRUE,FALSE,IF(AND(AN193&lt;&gt;"",AN$11=""),TRUE,IF(AND(AN193&lt;&gt;"",AN$11&lt;&gt;"",$R193&lt;&gt;$AP193),TRUE,IF(OR(AN193&lt;0,AN193&gt;$R193),TRUE,FALSE))))</f>
        <v>0</v>
      </c>
      <c r="CA193" s="144" t="b">
        <f>IF(AND($C193&lt;&gt;"",AN$11&lt;&gt;"",$AN193=""),TRUE,FALSE)</f>
        <v>0</v>
      </c>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4"/>
    </row>
    <row r="194" spans="1:101" ht="6.75" customHeight="1" thickBot="1" x14ac:dyDescent="0.25">
      <c r="A194" s="228"/>
      <c r="B194" s="228"/>
      <c r="C194" s="232"/>
      <c r="D194" s="267"/>
      <c r="I194" s="267"/>
      <c r="K194" s="228"/>
      <c r="M194" s="267"/>
      <c r="O194" s="267"/>
      <c r="Q194" s="267"/>
      <c r="S194" s="267"/>
      <c r="U194" s="267"/>
      <c r="V194" s="283"/>
      <c r="W194" s="267"/>
      <c r="X194" s="283"/>
      <c r="Y194" s="267"/>
      <c r="Z194" s="283"/>
      <c r="AA194" s="267"/>
      <c r="AB194" s="283"/>
      <c r="AC194" s="267"/>
      <c r="AD194" s="283"/>
      <c r="AE194" s="267"/>
      <c r="AF194" s="283"/>
      <c r="AG194" s="267"/>
      <c r="AH194" s="283"/>
      <c r="AI194" s="267"/>
      <c r="AJ194" s="283"/>
      <c r="AK194" s="267"/>
      <c r="AL194" s="283"/>
      <c r="AM194" s="267"/>
      <c r="AN194" s="283"/>
      <c r="AO194" s="267"/>
      <c r="AP194" s="267"/>
      <c r="AQ194" s="267"/>
      <c r="AR194" s="232"/>
      <c r="AY194" s="145"/>
      <c r="AZ194" s="146"/>
      <c r="BA194" s="146"/>
      <c r="BB194" s="146"/>
      <c r="BC194" s="146"/>
      <c r="BD194" s="145"/>
      <c r="BE194" s="146"/>
      <c r="BF194" s="146"/>
      <c r="BG194" s="146"/>
      <c r="BH194" s="145"/>
      <c r="BI194" s="146"/>
      <c r="BJ194" s="145"/>
      <c r="BK194" s="146"/>
      <c r="BL194" s="145"/>
      <c r="BM194" s="146"/>
      <c r="BN194" s="145"/>
      <c r="BO194" s="146"/>
      <c r="BP194" s="145"/>
      <c r="BQ194" s="146"/>
      <c r="BR194" s="145"/>
      <c r="BS194" s="146"/>
      <c r="BT194" s="145"/>
      <c r="BU194" s="146"/>
      <c r="BV194" s="145"/>
      <c r="BW194" s="146"/>
      <c r="BX194" s="145"/>
      <c r="BY194" s="146"/>
      <c r="BZ194" s="145"/>
      <c r="CA194" s="146"/>
    </row>
    <row r="195" spans="1:101" s="101" customFormat="1" ht="12.75" customHeight="1" x14ac:dyDescent="0.2">
      <c r="A195" s="227">
        <f>A193+1</f>
        <v>90</v>
      </c>
      <c r="B195" s="227"/>
      <c r="C195" s="231"/>
      <c r="D195" s="251" t="str">
        <f>IF((C195=""),"Enter Segment "&amp;TEXT(A195,0)&amp;" Name, then Enter Data in Columns "&amp;TEXT($H$2,0)&amp;" - "&amp;TEXT($AN$2,0)&amp;"       ","")</f>
        <v xml:space="preserve">Enter Segment 90 Name, then Enter Data in Columns h - an       </v>
      </c>
      <c r="E195" s="131" t="str">
        <f>IF($AW195="B","N/A",IF(AX195="N","No",IF(AX195="Y","Yes","")))</f>
        <v>N/A</v>
      </c>
      <c r="F195" s="130"/>
      <c r="G195" s="130"/>
      <c r="H195" s="285"/>
      <c r="I195" s="251" t="str">
        <f>IF($C195&lt;&gt;"","Enter Starting Point       ","")</f>
        <v/>
      </c>
      <c r="J195" s="285"/>
      <c r="K195" s="227"/>
      <c r="L195" s="88"/>
      <c r="M195" s="251" t="str">
        <f>IF($C195&lt;&gt;"","Select from Pull-Down List  ","")</f>
        <v/>
      </c>
      <c r="N195" s="88"/>
      <c r="O195" s="251" t="str">
        <f>IF($C195&lt;&gt;"","Select from Pull-Down List  ","")</f>
        <v/>
      </c>
      <c r="P195" s="131"/>
      <c r="Q195" s="251" t="str">
        <f>IF($C195&lt;&gt;"","Dir. Route-Mi?    ","")</f>
        <v/>
      </c>
      <c r="R195" s="131"/>
      <c r="S195" s="251" t="str">
        <f>IF($C195&lt;&gt;"","Trk-Mi?      ","")</f>
        <v/>
      </c>
      <c r="T195" s="131"/>
      <c r="U195" s="251" t="str">
        <f>IF($C195&lt;&gt;"","Trk-Mi?      ","")</f>
        <v/>
      </c>
      <c r="V195" s="284"/>
      <c r="W195" s="278" t="str">
        <f>IF(OR($R195="",V$11=""),"","0 - "&amp;TEXT($R195-$AP195,"0.0")&amp;" Trk-Mi?    ")</f>
        <v/>
      </c>
      <c r="X195" s="284"/>
      <c r="Y195" s="278" t="str">
        <f>IF(OR($R195="",X$11=""),"","0 - "&amp;TEXT($R195-$AP195,"0.0")&amp;" Trk-Mi?    ")</f>
        <v/>
      </c>
      <c r="Z195" s="284"/>
      <c r="AA195" s="278" t="str">
        <f>IF(OR($R195="",Z$11=""),"","0 - "&amp;TEXT($R195-$AP195,"0.0")&amp;" Trk-Mi?    ")</f>
        <v/>
      </c>
      <c r="AB195" s="284"/>
      <c r="AC195" s="278" t="str">
        <f>IF(OR($R195="",AB$11=""),"","0 - "&amp;TEXT($R195-$AP195,"0.0")&amp;" Trk-Mi?    ")</f>
        <v/>
      </c>
      <c r="AD195" s="284"/>
      <c r="AE195" s="278" t="str">
        <f>IF(OR($R195="",AD$11=""),"","0 - "&amp;TEXT($R195-$AP195,"0.0")&amp;" Trk-Mi?    ")</f>
        <v/>
      </c>
      <c r="AF195" s="284"/>
      <c r="AG195" s="278" t="str">
        <f>IF(OR($R195="",AF$11=""),"","0 - "&amp;TEXT($R195-$AP195,"0.0")&amp;" Trk-Mi?    ")</f>
        <v/>
      </c>
      <c r="AH195" s="284"/>
      <c r="AI195" s="278" t="str">
        <f>IF(OR($R195="",AH$11=""),"","0 - "&amp;TEXT($R195-$AP195,"0.0")&amp;" Trk-Mi?    ")</f>
        <v/>
      </c>
      <c r="AJ195" s="284"/>
      <c r="AK195" s="278" t="str">
        <f>IF(OR($R195="",AJ$11=""),"","0 - "&amp;TEXT($R195-$AP195,"0.0")&amp;" Trk-Mi?    ")</f>
        <v/>
      </c>
      <c r="AL195" s="284"/>
      <c r="AM195" s="278" t="str">
        <f>IF(OR($R195="",AL$11=""),"","0 - "&amp;TEXT($R195-$AP195,"0.0")&amp;" Trk-Mi?    ")</f>
        <v/>
      </c>
      <c r="AN195" s="284"/>
      <c r="AO195" s="278" t="str">
        <f>IF(OR($R195="",AN$11=""),"","0 - "&amp;TEXT($R195-$AP195,"0.0")&amp;" Trk-Mi?    ")</f>
        <v/>
      </c>
      <c r="AP195" s="282">
        <f>SUM(V195,X195,Z195,AB195,AD195,AF195,AH195,AJ195,AL195,AN195)</f>
        <v>0</v>
      </c>
      <c r="AQ195" s="278"/>
      <c r="AR195" s="234"/>
      <c r="AS195" s="107"/>
      <c r="AT195" s="107"/>
      <c r="AU195" s="107"/>
      <c r="AW195" s="107" t="str">
        <f>IF(AND($C195="",$H195="",$J195="",$L195="",$N195="",$P195="",$R195=""),"B","NB")</f>
        <v>B</v>
      </c>
      <c r="AX195" s="241" t="str">
        <f>IF(OR($C195="",$H195="",$J195="",$L195="",$N195="",$R195="",$P195="",AND($V$11&lt;&gt;"",$V195=""),AND($X$11&lt;&gt;"",$X195=""),AND($Z$11&lt;&gt;"",$Z195=""),AND($AB$11&lt;&gt;"",$AB195=""),AND($AD$11&lt;&gt;"",$AD195=""),AND($AF$11&lt;&gt;"",$AF195=""),AND($AH$11&lt;&gt;"",$AH195=""),AND($AJ$11&lt;&gt;"",$AJ195=""),AND($AL$11&lt;&gt;"",$AL195=""),AND($AN$11&lt;&gt;"",$AN195="")),"N","Y")</f>
        <v>N</v>
      </c>
      <c r="AY195" s="142" t="b">
        <f>IF(AND($C195="",OR($H195&lt;&gt;"",$J195&lt;&gt;"",$L195&lt;&gt;"",$N195&lt;&gt;"",$R195&lt;&gt;"",$P195&lt;&gt;"",AND($V$11&lt;&gt;"",$V195&lt;&gt;""),AND($X$11&lt;&gt;"",$X195&lt;&gt;""),AND($Z$11&lt;&gt;"",$Z195&lt;&gt;""),AND($AB$11&lt;&gt;"",$AB195&lt;&gt;""),AND($AD$11&lt;&gt;"",$AD195&lt;&gt;""),AND($AF$11&lt;&gt;"",$AF195&lt;&gt;""),AND($AH$11&lt;&gt;"",$AH195&lt;&gt;""),AND($AJ$11&lt;&gt;"",$AJ195&lt;&gt;""),AND($AL$11&lt;&gt;"",$AL195&lt;&gt;""),AND($AN$11&lt;&gt;"",$AN195&lt;&gt;""))),TRUE,FALSE)</f>
        <v>0</v>
      </c>
      <c r="AZ195" s="144" t="b">
        <f>IF(AND($C195&lt;&gt;"",$H195=""),TRUE,FALSE)</f>
        <v>0</v>
      </c>
      <c r="BA195" s="144" t="b">
        <f>IF(AND($C195&lt;&gt;"",$J195=""),TRUE,FALSE)</f>
        <v>0</v>
      </c>
      <c r="BB195" s="144" t="b">
        <f>IF(AND($C195&lt;&gt;"",$L195=""),TRUE,FALSE)</f>
        <v>0</v>
      </c>
      <c r="BC195" s="144" t="b">
        <f>IF(AND($C195&lt;&gt;"",$N195=""),TRUE,FALSE)</f>
        <v>0</v>
      </c>
      <c r="BD195" s="142" t="b">
        <f>IF($BE195=TRUE,FALSE,IF(OR($P195&lt;$BD$5,$P195&gt;$BE$5),TRUE,FALSE))</f>
        <v>0</v>
      </c>
      <c r="BE195" s="144" t="b">
        <f>IF(AND($C195&lt;&gt;"",$P195=""),TRUE,FALSE)</f>
        <v>0</v>
      </c>
      <c r="BF195" s="144" t="b">
        <f>IF($BG195=TRUE,FALSE,IF(OR($R195&lt;$BF$5,$R195&gt;$BG$5),TRUE,FALSE))</f>
        <v>0</v>
      </c>
      <c r="BG195" s="144" t="b">
        <f>IF(AND($C195&lt;&gt;"",$R195=""),TRUE,FALSE)</f>
        <v>0</v>
      </c>
      <c r="BH195" s="160" t="b">
        <f>IF(BI195=TRUE,FALSE,IF(AND(V195&lt;&gt;"",V$11=""),TRUE,IF(AND(V195&lt;&gt;"",V$11&lt;&gt;"",$R195&lt;&gt;$AP195),TRUE,IF(OR(V195&lt;0,V195&gt;$R195),TRUE,FALSE))))</f>
        <v>0</v>
      </c>
      <c r="BI195" s="144" t="b">
        <f>IF(AND($C195&lt;&gt;"",V$11&lt;&gt;"",$V195=""),TRUE,FALSE)</f>
        <v>0</v>
      </c>
      <c r="BJ195" s="160" t="b">
        <f>IF(BK195=TRUE,FALSE,IF(AND(X195&lt;&gt;"",X$11=""),TRUE,IF(AND(X195&lt;&gt;"",X$11&lt;&gt;"",$R195&lt;&gt;$AP195),TRUE,IF(OR(X195&lt;0,X195&gt;$R195),TRUE,FALSE))))</f>
        <v>0</v>
      </c>
      <c r="BK195" s="144" t="b">
        <f>IF(AND($C195&lt;&gt;"",X$11&lt;&gt;"",$X195=""),TRUE,FALSE)</f>
        <v>0</v>
      </c>
      <c r="BL195" s="160" t="b">
        <f>IF(BM195=TRUE,FALSE,IF(AND(Z195&lt;&gt;"",Z$11=""),TRUE,IF(AND(Z195&lt;&gt;"",Z$11&lt;&gt;"",$R195&lt;&gt;$AP195),TRUE,IF(OR(Z195&lt;0,Z195&gt;$R195),TRUE,FALSE))))</f>
        <v>0</v>
      </c>
      <c r="BM195" s="144" t="b">
        <f>IF(AND($C195&lt;&gt;"",Z$11&lt;&gt;"",$Z195=""),TRUE,FALSE)</f>
        <v>0</v>
      </c>
      <c r="BN195" s="160" t="b">
        <f>IF(BO195=TRUE,FALSE,IF(AND(AB195&lt;&gt;"",AB$11=""),TRUE,IF(AND(AB195&lt;&gt;"",AB$11&lt;&gt;"",$R195&lt;&gt;$AP195),TRUE,IF(OR(AB195&lt;0,AB195&gt;$R195),TRUE,FALSE))))</f>
        <v>0</v>
      </c>
      <c r="BO195" s="144" t="b">
        <f>IF(AND($C195&lt;&gt;"",AB$11&lt;&gt;"",$AB195=""),TRUE,FALSE)</f>
        <v>0</v>
      </c>
      <c r="BP195" s="160" t="b">
        <f>IF(BQ195=TRUE,FALSE,IF(AND(AD195&lt;&gt;"",AD$11=""),TRUE,IF(AND(AD195&lt;&gt;"",AD$11&lt;&gt;"",$R195&lt;&gt;$AP195),TRUE,IF(OR(AD195&lt;0,AD195&gt;$R195),TRUE,FALSE))))</f>
        <v>0</v>
      </c>
      <c r="BQ195" s="144" t="b">
        <f>IF(AND($C195&lt;&gt;"",AD$11&lt;&gt;"",$AD195=""),TRUE,FALSE)</f>
        <v>0</v>
      </c>
      <c r="BR195" s="160" t="b">
        <f>IF(BS195=TRUE,FALSE,IF(AND(AF195&lt;&gt;"",AF$11=""),TRUE,IF(AND(AF195&lt;&gt;"",AF$11&lt;&gt;"",$R195&lt;&gt;$AP195),TRUE,IF(OR(AF195&lt;0,AF195&gt;$R195),TRUE,FALSE))))</f>
        <v>0</v>
      </c>
      <c r="BS195" s="144" t="b">
        <f>IF(AND($C195&lt;&gt;"",AF$11&lt;&gt;"",$AF195=""),TRUE,FALSE)</f>
        <v>0</v>
      </c>
      <c r="BT195" s="160" t="b">
        <f>IF(BU195=TRUE,FALSE,IF(AND(AH195&lt;&gt;"",AH$11=""),TRUE,IF(AND(AH195&lt;&gt;"",AH$11&lt;&gt;"",$R195&lt;&gt;$AP195),TRUE,IF(OR(AH195&lt;0,AH195&gt;$R195),TRUE,FALSE))))</f>
        <v>0</v>
      </c>
      <c r="BU195" s="144" t="b">
        <f>IF(AND($C195&lt;&gt;"",AH$11&lt;&gt;"",$AH195=""),TRUE,FALSE)</f>
        <v>0</v>
      </c>
      <c r="BV195" s="160" t="b">
        <f>IF(BW195=TRUE,FALSE,IF(AND(AJ195&lt;&gt;"",AJ$11=""),TRUE,IF(AND(AJ195&lt;&gt;"",AJ$11&lt;&gt;"",$R195&lt;&gt;$AP195),TRUE,IF(OR(AJ195&lt;0,AJ195&gt;$R195),TRUE,FALSE))))</f>
        <v>0</v>
      </c>
      <c r="BW195" s="144" t="b">
        <f>IF(AND($C195&lt;&gt;"",AJ$11&lt;&gt;"",$AJ195=""),TRUE,FALSE)</f>
        <v>0</v>
      </c>
      <c r="BX195" s="160" t="b">
        <f>IF(BY195=TRUE,FALSE,IF(AND(AL195&lt;&gt;"",AL$11=""),TRUE,IF(AND(AL195&lt;&gt;"",AL$11&lt;&gt;"",$R195&lt;&gt;$AP195),TRUE,IF(OR(AL195&lt;0,AL195&gt;$R195),TRUE,FALSE))))</f>
        <v>0</v>
      </c>
      <c r="BY195" s="144" t="b">
        <f>IF(AND($C195&lt;&gt;"",AL$11&lt;&gt;"",$AL195=""),TRUE,FALSE)</f>
        <v>0</v>
      </c>
      <c r="BZ195" s="160" t="b">
        <f>IF(CA195=TRUE,FALSE,IF(AND(AN195&lt;&gt;"",AN$11=""),TRUE,IF(AND(AN195&lt;&gt;"",AN$11&lt;&gt;"",$R195&lt;&gt;$AP195),TRUE,IF(OR(AN195&lt;0,AN195&gt;$R195),TRUE,FALSE))))</f>
        <v>0</v>
      </c>
      <c r="CA195" s="144" t="b">
        <f>IF(AND($C195&lt;&gt;"",AN$11&lt;&gt;"",$AN195=""),TRUE,FALSE)</f>
        <v>0</v>
      </c>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4"/>
    </row>
    <row r="196" spans="1:101" ht="6.75" customHeight="1" thickBot="1" x14ac:dyDescent="0.25">
      <c r="A196" s="228"/>
      <c r="B196" s="228"/>
      <c r="C196" s="232"/>
      <c r="D196" s="267"/>
      <c r="I196" s="267"/>
      <c r="K196" s="228"/>
      <c r="M196" s="267"/>
      <c r="O196" s="267"/>
      <c r="Q196" s="267"/>
      <c r="S196" s="267"/>
      <c r="U196" s="267"/>
      <c r="V196" s="283"/>
      <c r="W196" s="267"/>
      <c r="X196" s="283"/>
      <c r="Y196" s="267"/>
      <c r="Z196" s="283"/>
      <c r="AA196" s="267"/>
      <c r="AB196" s="283"/>
      <c r="AC196" s="267"/>
      <c r="AD196" s="283"/>
      <c r="AE196" s="267"/>
      <c r="AF196" s="283"/>
      <c r="AG196" s="267"/>
      <c r="AH196" s="283"/>
      <c r="AI196" s="267"/>
      <c r="AJ196" s="283"/>
      <c r="AK196" s="267"/>
      <c r="AL196" s="283"/>
      <c r="AM196" s="267"/>
      <c r="AN196" s="283"/>
      <c r="AO196" s="267"/>
      <c r="AP196" s="280"/>
      <c r="AQ196" s="280"/>
      <c r="AR196" s="232"/>
      <c r="AY196" s="145"/>
      <c r="AZ196" s="146"/>
      <c r="BA196" s="146"/>
      <c r="BB196" s="146"/>
      <c r="BC196" s="146"/>
      <c r="BD196" s="145"/>
      <c r="BE196" s="146"/>
      <c r="BF196" s="146"/>
      <c r="BG196" s="146"/>
      <c r="BH196" s="145"/>
      <c r="BI196" s="146"/>
      <c r="BJ196" s="145"/>
      <c r="BK196" s="146"/>
      <c r="BL196" s="145"/>
      <c r="BM196" s="146"/>
      <c r="BN196" s="145"/>
      <c r="BO196" s="146"/>
      <c r="BP196" s="145"/>
      <c r="BQ196" s="146"/>
      <c r="BR196" s="145"/>
      <c r="BS196" s="146"/>
      <c r="BT196" s="145"/>
      <c r="BU196" s="146"/>
      <c r="BV196" s="145"/>
      <c r="BW196" s="146"/>
      <c r="BX196" s="145"/>
      <c r="BY196" s="146"/>
      <c r="BZ196" s="145"/>
      <c r="CA196" s="146"/>
    </row>
    <row r="197" spans="1:101" s="101" customFormat="1" ht="12.75" customHeight="1" x14ac:dyDescent="0.2">
      <c r="A197" s="227">
        <f>A195+1</f>
        <v>91</v>
      </c>
      <c r="B197" s="227"/>
      <c r="C197" s="231"/>
      <c r="D197" s="251" t="str">
        <f>IF((C197=""),"Enter Segment "&amp;TEXT(A197,0)&amp;" Name, then Enter Data in Columns "&amp;TEXT($H$2,0)&amp;" - "&amp;TEXT($AN$2,0)&amp;"       ","")</f>
        <v xml:space="preserve">Enter Segment 91 Name, then Enter Data in Columns h - an       </v>
      </c>
      <c r="E197" s="131" t="str">
        <f>IF($AW197="B","N/A",IF(AX197="N","No",IF(AX197="Y","Yes","")))</f>
        <v>N/A</v>
      </c>
      <c r="F197" s="130"/>
      <c r="G197" s="130"/>
      <c r="H197" s="285"/>
      <c r="I197" s="251" t="str">
        <f>IF($C197&lt;&gt;"","Enter Starting Point       ","")</f>
        <v/>
      </c>
      <c r="J197" s="285"/>
      <c r="K197" s="227"/>
      <c r="L197" s="88"/>
      <c r="M197" s="251" t="str">
        <f>IF($C197&lt;&gt;"","Select from Pull-Down List  ","")</f>
        <v/>
      </c>
      <c r="N197" s="88"/>
      <c r="O197" s="251" t="str">
        <f>IF($C197&lt;&gt;"","Select from Pull-Down List  ","")</f>
        <v/>
      </c>
      <c r="P197" s="131"/>
      <c r="Q197" s="251" t="str">
        <f>IF($C197&lt;&gt;"","Dir. Route-Mi?    ","")</f>
        <v/>
      </c>
      <c r="R197" s="131"/>
      <c r="S197" s="251" t="str">
        <f>IF($C197&lt;&gt;"","Trk-Mi?      ","")</f>
        <v/>
      </c>
      <c r="T197" s="131"/>
      <c r="U197" s="251" t="str">
        <f>IF($C197&lt;&gt;"","Trk-Mi?      ","")</f>
        <v/>
      </c>
      <c r="V197" s="284"/>
      <c r="W197" s="278" t="str">
        <f>IF(OR($R197="",V$11=""),"","0 - "&amp;TEXT($R197-$AP197,"0.0")&amp;" Trk-Mi?    ")</f>
        <v/>
      </c>
      <c r="X197" s="284"/>
      <c r="Y197" s="278" t="str">
        <f>IF(OR($R197="",X$11=""),"","0 - "&amp;TEXT($R197-$AP197,"0.0")&amp;" Trk-Mi?    ")</f>
        <v/>
      </c>
      <c r="Z197" s="284"/>
      <c r="AA197" s="278" t="str">
        <f>IF(OR($R197="",Z$11=""),"","0 - "&amp;TEXT($R197-$AP197,"0.0")&amp;" Trk-Mi?    ")</f>
        <v/>
      </c>
      <c r="AB197" s="284"/>
      <c r="AC197" s="278" t="str">
        <f>IF(OR($R197="",AB$11=""),"","0 - "&amp;TEXT($R197-$AP197,"0.0")&amp;" Trk-Mi?    ")</f>
        <v/>
      </c>
      <c r="AD197" s="284"/>
      <c r="AE197" s="278" t="str">
        <f>IF(OR($R197="",AD$11=""),"","0 - "&amp;TEXT($R197-$AP197,"0.0")&amp;" Trk-Mi?    ")</f>
        <v/>
      </c>
      <c r="AF197" s="284"/>
      <c r="AG197" s="278" t="str">
        <f>IF(OR($R197="",AF$11=""),"","0 - "&amp;TEXT($R197-$AP197,"0.0")&amp;" Trk-Mi?    ")</f>
        <v/>
      </c>
      <c r="AH197" s="284"/>
      <c r="AI197" s="278" t="str">
        <f>IF(OR($R197="",AH$11=""),"","0 - "&amp;TEXT($R197-$AP197,"0.0")&amp;" Trk-Mi?    ")</f>
        <v/>
      </c>
      <c r="AJ197" s="284"/>
      <c r="AK197" s="278" t="str">
        <f>IF(OR($R197="",AJ$11=""),"","0 - "&amp;TEXT($R197-$AP197,"0.0")&amp;" Trk-Mi?    ")</f>
        <v/>
      </c>
      <c r="AL197" s="284"/>
      <c r="AM197" s="278" t="str">
        <f>IF(OR($R197="",AL$11=""),"","0 - "&amp;TEXT($R197-$AP197,"0.0")&amp;" Trk-Mi?    ")</f>
        <v/>
      </c>
      <c r="AN197" s="284"/>
      <c r="AO197" s="278" t="str">
        <f>IF(OR($R197="",AN$11=""),"","0 - "&amp;TEXT($R197-$AP197,"0.0")&amp;" Trk-Mi?    ")</f>
        <v/>
      </c>
      <c r="AP197" s="282">
        <f>SUM(V197,X197,Z197,AB197,AD197,AF197,AH197,AJ197,AL197,AN197)</f>
        <v>0</v>
      </c>
      <c r="AQ197" s="278"/>
      <c r="AR197" s="234"/>
      <c r="AS197" s="107"/>
      <c r="AT197" s="107"/>
      <c r="AU197" s="107"/>
      <c r="AW197" s="107" t="str">
        <f>IF(AND($C197="",$H197="",$J197="",$L197="",$N197="",$P197="",$R197=""),"B","NB")</f>
        <v>B</v>
      </c>
      <c r="AX197" s="241" t="str">
        <f>IF(OR($C197="",$H197="",$J197="",$L197="",$N197="",$R197="",$P197="",AND($V$11&lt;&gt;"",$V197=""),AND($X$11&lt;&gt;"",$X197=""),AND($Z$11&lt;&gt;"",$Z197=""),AND($AB$11&lt;&gt;"",$AB197=""),AND($AD$11&lt;&gt;"",$AD197=""),AND($AF$11&lt;&gt;"",$AF197=""),AND($AH$11&lt;&gt;"",$AH197=""),AND($AJ$11&lt;&gt;"",$AJ197=""),AND($AL$11&lt;&gt;"",$AL197=""),AND($AN$11&lt;&gt;"",$AN197="")),"N","Y")</f>
        <v>N</v>
      </c>
      <c r="AY197" s="142" t="b">
        <f>IF(AND($C197="",OR($H197&lt;&gt;"",$J197&lt;&gt;"",$L197&lt;&gt;"",$N197&lt;&gt;"",$R197&lt;&gt;"",$P197&lt;&gt;"",AND($V$11&lt;&gt;"",$V197&lt;&gt;""),AND($X$11&lt;&gt;"",$X197&lt;&gt;""),AND($Z$11&lt;&gt;"",$Z197&lt;&gt;""),AND($AB$11&lt;&gt;"",$AB197&lt;&gt;""),AND($AD$11&lt;&gt;"",$AD197&lt;&gt;""),AND($AF$11&lt;&gt;"",$AF197&lt;&gt;""),AND($AH$11&lt;&gt;"",$AH197&lt;&gt;""),AND($AJ$11&lt;&gt;"",$AJ197&lt;&gt;""),AND($AL$11&lt;&gt;"",$AL197&lt;&gt;""),AND($AN$11&lt;&gt;"",$AN197&lt;&gt;""))),TRUE,FALSE)</f>
        <v>0</v>
      </c>
      <c r="AZ197" s="144" t="b">
        <f>IF(AND($C197&lt;&gt;"",$H197=""),TRUE,FALSE)</f>
        <v>0</v>
      </c>
      <c r="BA197" s="144" t="b">
        <f>IF(AND($C197&lt;&gt;"",$J197=""),TRUE,FALSE)</f>
        <v>0</v>
      </c>
      <c r="BB197" s="144" t="b">
        <f>IF(AND($C197&lt;&gt;"",$L197=""),TRUE,FALSE)</f>
        <v>0</v>
      </c>
      <c r="BC197" s="144" t="b">
        <f>IF(AND($C197&lt;&gt;"",$N197=""),TRUE,FALSE)</f>
        <v>0</v>
      </c>
      <c r="BD197" s="142" t="b">
        <f>IF($BE197=TRUE,FALSE,IF(OR($P197&lt;$BD$5,$P197&gt;$BE$5),TRUE,FALSE))</f>
        <v>0</v>
      </c>
      <c r="BE197" s="144" t="b">
        <f>IF(AND($C197&lt;&gt;"",$P197=""),TRUE,FALSE)</f>
        <v>0</v>
      </c>
      <c r="BF197" s="144" t="b">
        <f>IF($BG197=TRUE,FALSE,IF(OR($R197&lt;$BF$5,$R197&gt;$BG$5),TRUE,FALSE))</f>
        <v>0</v>
      </c>
      <c r="BG197" s="144" t="b">
        <f>IF(AND($C197&lt;&gt;"",$R197=""),TRUE,FALSE)</f>
        <v>0</v>
      </c>
      <c r="BH197" s="160" t="b">
        <f>IF(BI197=TRUE,FALSE,IF(AND(V197&lt;&gt;"",V$11=""),TRUE,IF(AND(V197&lt;&gt;"",V$11&lt;&gt;"",$R197&lt;&gt;$AP197),TRUE,IF(OR(V197&lt;0,V197&gt;$R197),TRUE,FALSE))))</f>
        <v>0</v>
      </c>
      <c r="BI197" s="144" t="b">
        <f>IF(AND($C197&lt;&gt;"",V$11&lt;&gt;"",$V197=""),TRUE,FALSE)</f>
        <v>0</v>
      </c>
      <c r="BJ197" s="160" t="b">
        <f>IF(BK197=TRUE,FALSE,IF(AND(X197&lt;&gt;"",X$11=""),TRUE,IF(AND(X197&lt;&gt;"",X$11&lt;&gt;"",$R197&lt;&gt;$AP197),TRUE,IF(OR(X197&lt;0,X197&gt;$R197),TRUE,FALSE))))</f>
        <v>0</v>
      </c>
      <c r="BK197" s="144" t="b">
        <f>IF(AND($C197&lt;&gt;"",X$11&lt;&gt;"",$X197=""),TRUE,FALSE)</f>
        <v>0</v>
      </c>
      <c r="BL197" s="160" t="b">
        <f>IF(BM197=TRUE,FALSE,IF(AND(Z197&lt;&gt;"",Z$11=""),TRUE,IF(AND(Z197&lt;&gt;"",Z$11&lt;&gt;"",$R197&lt;&gt;$AP197),TRUE,IF(OR(Z197&lt;0,Z197&gt;$R197),TRUE,FALSE))))</f>
        <v>0</v>
      </c>
      <c r="BM197" s="144" t="b">
        <f>IF(AND($C197&lt;&gt;"",Z$11&lt;&gt;"",$Z197=""),TRUE,FALSE)</f>
        <v>0</v>
      </c>
      <c r="BN197" s="160" t="b">
        <f>IF(BO197=TRUE,FALSE,IF(AND(AB197&lt;&gt;"",AB$11=""),TRUE,IF(AND(AB197&lt;&gt;"",AB$11&lt;&gt;"",$R197&lt;&gt;$AP197),TRUE,IF(OR(AB197&lt;0,AB197&gt;$R197),TRUE,FALSE))))</f>
        <v>0</v>
      </c>
      <c r="BO197" s="144" t="b">
        <f>IF(AND($C197&lt;&gt;"",AB$11&lt;&gt;"",$AB197=""),TRUE,FALSE)</f>
        <v>0</v>
      </c>
      <c r="BP197" s="160" t="b">
        <f>IF(BQ197=TRUE,FALSE,IF(AND(AD197&lt;&gt;"",AD$11=""),TRUE,IF(AND(AD197&lt;&gt;"",AD$11&lt;&gt;"",$R197&lt;&gt;$AP197),TRUE,IF(OR(AD197&lt;0,AD197&gt;$R197),TRUE,FALSE))))</f>
        <v>0</v>
      </c>
      <c r="BQ197" s="144" t="b">
        <f>IF(AND($C197&lt;&gt;"",AD$11&lt;&gt;"",$AD197=""),TRUE,FALSE)</f>
        <v>0</v>
      </c>
      <c r="BR197" s="160" t="b">
        <f>IF(BS197=TRUE,FALSE,IF(AND(AF197&lt;&gt;"",AF$11=""),TRUE,IF(AND(AF197&lt;&gt;"",AF$11&lt;&gt;"",$R197&lt;&gt;$AP197),TRUE,IF(OR(AF197&lt;0,AF197&gt;$R197),TRUE,FALSE))))</f>
        <v>0</v>
      </c>
      <c r="BS197" s="144" t="b">
        <f>IF(AND($C197&lt;&gt;"",AF$11&lt;&gt;"",$AF197=""),TRUE,FALSE)</f>
        <v>0</v>
      </c>
      <c r="BT197" s="160" t="b">
        <f>IF(BU197=TRUE,FALSE,IF(AND(AH197&lt;&gt;"",AH$11=""),TRUE,IF(AND(AH197&lt;&gt;"",AH$11&lt;&gt;"",$R197&lt;&gt;$AP197),TRUE,IF(OR(AH197&lt;0,AH197&gt;$R197),TRUE,FALSE))))</f>
        <v>0</v>
      </c>
      <c r="BU197" s="144" t="b">
        <f>IF(AND($C197&lt;&gt;"",AH$11&lt;&gt;"",$AH197=""),TRUE,FALSE)</f>
        <v>0</v>
      </c>
      <c r="BV197" s="160" t="b">
        <f>IF(BW197=TRUE,FALSE,IF(AND(AJ197&lt;&gt;"",AJ$11=""),TRUE,IF(AND(AJ197&lt;&gt;"",AJ$11&lt;&gt;"",$R197&lt;&gt;$AP197),TRUE,IF(OR(AJ197&lt;0,AJ197&gt;$R197),TRUE,FALSE))))</f>
        <v>0</v>
      </c>
      <c r="BW197" s="144" t="b">
        <f>IF(AND($C197&lt;&gt;"",AJ$11&lt;&gt;"",$AJ197=""),TRUE,FALSE)</f>
        <v>0</v>
      </c>
      <c r="BX197" s="160" t="b">
        <f>IF(BY197=TRUE,FALSE,IF(AND(AL197&lt;&gt;"",AL$11=""),TRUE,IF(AND(AL197&lt;&gt;"",AL$11&lt;&gt;"",$R197&lt;&gt;$AP197),TRUE,IF(OR(AL197&lt;0,AL197&gt;$R197),TRUE,FALSE))))</f>
        <v>0</v>
      </c>
      <c r="BY197" s="144" t="b">
        <f>IF(AND($C197&lt;&gt;"",AL$11&lt;&gt;"",$AL197=""),TRUE,FALSE)</f>
        <v>0</v>
      </c>
      <c r="BZ197" s="160" t="b">
        <f>IF(CA197=TRUE,FALSE,IF(AND(AN197&lt;&gt;"",AN$11=""),TRUE,IF(AND(AN197&lt;&gt;"",AN$11&lt;&gt;"",$R197&lt;&gt;$AP197),TRUE,IF(OR(AN197&lt;0,AN197&gt;$R197),TRUE,FALSE))))</f>
        <v>0</v>
      </c>
      <c r="CA197" s="144" t="b">
        <f>IF(AND($C197&lt;&gt;"",AN$11&lt;&gt;"",$AN197=""),TRUE,FALSE)</f>
        <v>0</v>
      </c>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4"/>
    </row>
    <row r="198" spans="1:101" ht="6.75" customHeight="1" thickBot="1" x14ac:dyDescent="0.25">
      <c r="A198" s="228"/>
      <c r="B198" s="228"/>
      <c r="C198" s="232"/>
      <c r="D198" s="267"/>
      <c r="I198" s="267"/>
      <c r="K198" s="228"/>
      <c r="M198" s="267"/>
      <c r="O198" s="267"/>
      <c r="Q198" s="267"/>
      <c r="S198" s="267"/>
      <c r="U198" s="267"/>
      <c r="V198" s="283"/>
      <c r="W198" s="267"/>
      <c r="X198" s="283"/>
      <c r="Y198" s="267"/>
      <c r="Z198" s="283"/>
      <c r="AA198" s="267"/>
      <c r="AB198" s="283"/>
      <c r="AC198" s="267"/>
      <c r="AD198" s="283"/>
      <c r="AE198" s="267"/>
      <c r="AF198" s="283"/>
      <c r="AG198" s="267"/>
      <c r="AH198" s="283"/>
      <c r="AI198" s="267"/>
      <c r="AJ198" s="283"/>
      <c r="AK198" s="267"/>
      <c r="AL198" s="283"/>
      <c r="AM198" s="267"/>
      <c r="AN198" s="283"/>
      <c r="AO198" s="267"/>
      <c r="AP198" s="267"/>
      <c r="AQ198" s="267"/>
      <c r="AR198" s="232"/>
      <c r="AY198" s="145"/>
      <c r="AZ198" s="146"/>
      <c r="BA198" s="146"/>
      <c r="BB198" s="146"/>
      <c r="BC198" s="146"/>
      <c r="BD198" s="145"/>
      <c r="BE198" s="146"/>
      <c r="BF198" s="146"/>
      <c r="BG198" s="146"/>
      <c r="BH198" s="145"/>
      <c r="BI198" s="146"/>
      <c r="BJ198" s="145"/>
      <c r="BK198" s="146"/>
      <c r="BL198" s="145"/>
      <c r="BM198" s="146"/>
      <c r="BN198" s="145"/>
      <c r="BO198" s="146"/>
      <c r="BP198" s="145"/>
      <c r="BQ198" s="146"/>
      <c r="BR198" s="145"/>
      <c r="BS198" s="146"/>
      <c r="BT198" s="145"/>
      <c r="BU198" s="146"/>
      <c r="BV198" s="145"/>
      <c r="BW198" s="146"/>
      <c r="BX198" s="145"/>
      <c r="BY198" s="146"/>
      <c r="BZ198" s="145"/>
      <c r="CA198" s="146"/>
    </row>
    <row r="199" spans="1:101" s="101" customFormat="1" ht="12.75" customHeight="1" x14ac:dyDescent="0.2">
      <c r="A199" s="227">
        <f>A197+1</f>
        <v>92</v>
      </c>
      <c r="B199" s="227"/>
      <c r="C199" s="231"/>
      <c r="D199" s="251" t="str">
        <f>IF((C199=""),"Enter Segment "&amp;TEXT(A199,0)&amp;" Name, then Enter Data in Columns "&amp;TEXT($H$2,0)&amp;" - "&amp;TEXT($AN$2,0)&amp;"       ","")</f>
        <v xml:space="preserve">Enter Segment 92 Name, then Enter Data in Columns h - an       </v>
      </c>
      <c r="E199" s="131" t="str">
        <f>IF($AW199="B","N/A",IF(AX199="N","No",IF(AX199="Y","Yes","")))</f>
        <v>N/A</v>
      </c>
      <c r="F199" s="130"/>
      <c r="G199" s="130"/>
      <c r="H199" s="285"/>
      <c r="I199" s="251" t="str">
        <f>IF($C199&lt;&gt;"","Enter Starting Point       ","")</f>
        <v/>
      </c>
      <c r="J199" s="285"/>
      <c r="K199" s="227"/>
      <c r="L199" s="88"/>
      <c r="M199" s="251" t="str">
        <f>IF($C199&lt;&gt;"","Select from Pull-Down List  ","")</f>
        <v/>
      </c>
      <c r="N199" s="88"/>
      <c r="O199" s="251" t="str">
        <f>IF($C199&lt;&gt;"","Select from Pull-Down List  ","")</f>
        <v/>
      </c>
      <c r="P199" s="131"/>
      <c r="Q199" s="251" t="str">
        <f>IF($C199&lt;&gt;"","Dir. Route-Mi?    ","")</f>
        <v/>
      </c>
      <c r="R199" s="131"/>
      <c r="S199" s="251" t="str">
        <f>IF($C199&lt;&gt;"","Trk-Mi?      ","")</f>
        <v/>
      </c>
      <c r="T199" s="131"/>
      <c r="U199" s="251" t="str">
        <f>IF($C199&lt;&gt;"","Trk-Mi?      ","")</f>
        <v/>
      </c>
      <c r="V199" s="284"/>
      <c r="W199" s="278" t="str">
        <f>IF(OR($R199="",V$11=""),"","0 - "&amp;TEXT($R199-$AP199,"0.0")&amp;" Trk-Mi?    ")</f>
        <v/>
      </c>
      <c r="X199" s="284"/>
      <c r="Y199" s="278" t="str">
        <f>IF(OR($R199="",X$11=""),"","0 - "&amp;TEXT($R199-$AP199,"0.0")&amp;" Trk-Mi?    ")</f>
        <v/>
      </c>
      <c r="Z199" s="284"/>
      <c r="AA199" s="278" t="str">
        <f>IF(OR($R199="",Z$11=""),"","0 - "&amp;TEXT($R199-$AP199,"0.0")&amp;" Trk-Mi?    ")</f>
        <v/>
      </c>
      <c r="AB199" s="284"/>
      <c r="AC199" s="278" t="str">
        <f>IF(OR($R199="",AB$11=""),"","0 - "&amp;TEXT($R199-$AP199,"0.0")&amp;" Trk-Mi?    ")</f>
        <v/>
      </c>
      <c r="AD199" s="284"/>
      <c r="AE199" s="278" t="str">
        <f>IF(OR($R199="",AD$11=""),"","0 - "&amp;TEXT($R199-$AP199,"0.0")&amp;" Trk-Mi?    ")</f>
        <v/>
      </c>
      <c r="AF199" s="284"/>
      <c r="AG199" s="278" t="str">
        <f>IF(OR($R199="",AF$11=""),"","0 - "&amp;TEXT($R199-$AP199,"0.0")&amp;" Trk-Mi?    ")</f>
        <v/>
      </c>
      <c r="AH199" s="284"/>
      <c r="AI199" s="278" t="str">
        <f>IF(OR($R199="",AH$11=""),"","0 - "&amp;TEXT($R199-$AP199,"0.0")&amp;" Trk-Mi?    ")</f>
        <v/>
      </c>
      <c r="AJ199" s="284"/>
      <c r="AK199" s="278" t="str">
        <f>IF(OR($R199="",AJ$11=""),"","0 - "&amp;TEXT($R199-$AP199,"0.0")&amp;" Trk-Mi?    ")</f>
        <v/>
      </c>
      <c r="AL199" s="284"/>
      <c r="AM199" s="278" t="str">
        <f>IF(OR($R199="",AL$11=""),"","0 - "&amp;TEXT($R199-$AP199,"0.0")&amp;" Trk-Mi?    ")</f>
        <v/>
      </c>
      <c r="AN199" s="284"/>
      <c r="AO199" s="278" t="str">
        <f>IF(OR($R199="",AN$11=""),"","0 - "&amp;TEXT($R199-$AP199,"0.0")&amp;" Trk-Mi?    ")</f>
        <v/>
      </c>
      <c r="AP199" s="282">
        <f>SUM(V199,X199,Z199,AB199,AD199,AF199,AH199,AJ199,AL199,AN199)</f>
        <v>0</v>
      </c>
      <c r="AQ199" s="278"/>
      <c r="AR199" s="234"/>
      <c r="AS199" s="107"/>
      <c r="AT199" s="107"/>
      <c r="AU199" s="107"/>
      <c r="AW199" s="107" t="str">
        <f>IF(AND($C199="",$H199="",$J199="",$L199="",$N199="",$P199="",$R199=""),"B","NB")</f>
        <v>B</v>
      </c>
      <c r="AX199" s="241" t="str">
        <f>IF(OR($C199="",$H199="",$J199="",$L199="",$N199="",$R199="",$P199="",AND($V$11&lt;&gt;"",$V199=""),AND($X$11&lt;&gt;"",$X199=""),AND($Z$11&lt;&gt;"",$Z199=""),AND($AB$11&lt;&gt;"",$AB199=""),AND($AD$11&lt;&gt;"",$AD199=""),AND($AF$11&lt;&gt;"",$AF199=""),AND($AH$11&lt;&gt;"",$AH199=""),AND($AJ$11&lt;&gt;"",$AJ199=""),AND($AL$11&lt;&gt;"",$AL199=""),AND($AN$11&lt;&gt;"",$AN199="")),"N","Y")</f>
        <v>N</v>
      </c>
      <c r="AY199" s="142" t="b">
        <f>IF(AND($C199="",OR($H199&lt;&gt;"",$J199&lt;&gt;"",$L199&lt;&gt;"",$N199&lt;&gt;"",$R199&lt;&gt;"",$P199&lt;&gt;"",AND($V$11&lt;&gt;"",$V199&lt;&gt;""),AND($X$11&lt;&gt;"",$X199&lt;&gt;""),AND($Z$11&lt;&gt;"",$Z199&lt;&gt;""),AND($AB$11&lt;&gt;"",$AB199&lt;&gt;""),AND($AD$11&lt;&gt;"",$AD199&lt;&gt;""),AND($AF$11&lt;&gt;"",$AF199&lt;&gt;""),AND($AH$11&lt;&gt;"",$AH199&lt;&gt;""),AND($AJ$11&lt;&gt;"",$AJ199&lt;&gt;""),AND($AL$11&lt;&gt;"",$AL199&lt;&gt;""),AND($AN$11&lt;&gt;"",$AN199&lt;&gt;""))),TRUE,FALSE)</f>
        <v>0</v>
      </c>
      <c r="AZ199" s="144" t="b">
        <f>IF(AND($C199&lt;&gt;"",$H199=""),TRUE,FALSE)</f>
        <v>0</v>
      </c>
      <c r="BA199" s="144" t="b">
        <f>IF(AND($C199&lt;&gt;"",$J199=""),TRUE,FALSE)</f>
        <v>0</v>
      </c>
      <c r="BB199" s="144" t="b">
        <f>IF(AND($C199&lt;&gt;"",$L199=""),TRUE,FALSE)</f>
        <v>0</v>
      </c>
      <c r="BC199" s="144" t="b">
        <f>IF(AND($C199&lt;&gt;"",$N199=""),TRUE,FALSE)</f>
        <v>0</v>
      </c>
      <c r="BD199" s="142" t="b">
        <f>IF($BE199=TRUE,FALSE,IF(OR($P199&lt;$BD$5,$P199&gt;$BE$5),TRUE,FALSE))</f>
        <v>0</v>
      </c>
      <c r="BE199" s="144" t="b">
        <f>IF(AND($C199&lt;&gt;"",$P199=""),TRUE,FALSE)</f>
        <v>0</v>
      </c>
      <c r="BF199" s="144" t="b">
        <f>IF($BG199=TRUE,FALSE,IF(OR($R199&lt;$BF$5,$R199&gt;$BG$5),TRUE,FALSE))</f>
        <v>0</v>
      </c>
      <c r="BG199" s="144" t="b">
        <f>IF(AND($C199&lt;&gt;"",$R199=""),TRUE,FALSE)</f>
        <v>0</v>
      </c>
      <c r="BH199" s="160" t="b">
        <f>IF(BI199=TRUE,FALSE,IF(AND(V199&lt;&gt;"",V$11=""),TRUE,IF(AND(V199&lt;&gt;"",V$11&lt;&gt;"",$R199&lt;&gt;$AP199),TRUE,IF(OR(V199&lt;0,V199&gt;$R199),TRUE,FALSE))))</f>
        <v>0</v>
      </c>
      <c r="BI199" s="144" t="b">
        <f>IF(AND($C199&lt;&gt;"",V$11&lt;&gt;"",$V199=""),TRUE,FALSE)</f>
        <v>0</v>
      </c>
      <c r="BJ199" s="160" t="b">
        <f>IF(BK199=TRUE,FALSE,IF(AND(X199&lt;&gt;"",X$11=""),TRUE,IF(AND(X199&lt;&gt;"",X$11&lt;&gt;"",$R199&lt;&gt;$AP199),TRUE,IF(OR(X199&lt;0,X199&gt;$R199),TRUE,FALSE))))</f>
        <v>0</v>
      </c>
      <c r="BK199" s="144" t="b">
        <f>IF(AND($C199&lt;&gt;"",X$11&lt;&gt;"",$X199=""),TRUE,FALSE)</f>
        <v>0</v>
      </c>
      <c r="BL199" s="160" t="b">
        <f>IF(BM199=TRUE,FALSE,IF(AND(Z199&lt;&gt;"",Z$11=""),TRUE,IF(AND(Z199&lt;&gt;"",Z$11&lt;&gt;"",$R199&lt;&gt;$AP199),TRUE,IF(OR(Z199&lt;0,Z199&gt;$R199),TRUE,FALSE))))</f>
        <v>0</v>
      </c>
      <c r="BM199" s="144" t="b">
        <f>IF(AND($C199&lt;&gt;"",Z$11&lt;&gt;"",$Z199=""),TRUE,FALSE)</f>
        <v>0</v>
      </c>
      <c r="BN199" s="160" t="b">
        <f>IF(BO199=TRUE,FALSE,IF(AND(AB199&lt;&gt;"",AB$11=""),TRUE,IF(AND(AB199&lt;&gt;"",AB$11&lt;&gt;"",$R199&lt;&gt;$AP199),TRUE,IF(OR(AB199&lt;0,AB199&gt;$R199),TRUE,FALSE))))</f>
        <v>0</v>
      </c>
      <c r="BO199" s="144" t="b">
        <f>IF(AND($C199&lt;&gt;"",AB$11&lt;&gt;"",$AB199=""),TRUE,FALSE)</f>
        <v>0</v>
      </c>
      <c r="BP199" s="160" t="b">
        <f>IF(BQ199=TRUE,FALSE,IF(AND(AD199&lt;&gt;"",AD$11=""),TRUE,IF(AND(AD199&lt;&gt;"",AD$11&lt;&gt;"",$R199&lt;&gt;$AP199),TRUE,IF(OR(AD199&lt;0,AD199&gt;$R199),TRUE,FALSE))))</f>
        <v>0</v>
      </c>
      <c r="BQ199" s="144" t="b">
        <f>IF(AND($C199&lt;&gt;"",AD$11&lt;&gt;"",$AD199=""),TRUE,FALSE)</f>
        <v>0</v>
      </c>
      <c r="BR199" s="160" t="b">
        <f>IF(BS199=TRUE,FALSE,IF(AND(AF199&lt;&gt;"",AF$11=""),TRUE,IF(AND(AF199&lt;&gt;"",AF$11&lt;&gt;"",$R199&lt;&gt;$AP199),TRUE,IF(OR(AF199&lt;0,AF199&gt;$R199),TRUE,FALSE))))</f>
        <v>0</v>
      </c>
      <c r="BS199" s="144" t="b">
        <f>IF(AND($C199&lt;&gt;"",AF$11&lt;&gt;"",$AF199=""),TRUE,FALSE)</f>
        <v>0</v>
      </c>
      <c r="BT199" s="160" t="b">
        <f>IF(BU199=TRUE,FALSE,IF(AND(AH199&lt;&gt;"",AH$11=""),TRUE,IF(AND(AH199&lt;&gt;"",AH$11&lt;&gt;"",$R199&lt;&gt;$AP199),TRUE,IF(OR(AH199&lt;0,AH199&gt;$R199),TRUE,FALSE))))</f>
        <v>0</v>
      </c>
      <c r="BU199" s="144" t="b">
        <f>IF(AND($C199&lt;&gt;"",AH$11&lt;&gt;"",$AH199=""),TRUE,FALSE)</f>
        <v>0</v>
      </c>
      <c r="BV199" s="160" t="b">
        <f>IF(BW199=TRUE,FALSE,IF(AND(AJ199&lt;&gt;"",AJ$11=""),TRUE,IF(AND(AJ199&lt;&gt;"",AJ$11&lt;&gt;"",$R199&lt;&gt;$AP199),TRUE,IF(OR(AJ199&lt;0,AJ199&gt;$R199),TRUE,FALSE))))</f>
        <v>0</v>
      </c>
      <c r="BW199" s="144" t="b">
        <f>IF(AND($C199&lt;&gt;"",AJ$11&lt;&gt;"",$AJ199=""),TRUE,FALSE)</f>
        <v>0</v>
      </c>
      <c r="BX199" s="160" t="b">
        <f>IF(BY199=TRUE,FALSE,IF(AND(AL199&lt;&gt;"",AL$11=""),TRUE,IF(AND(AL199&lt;&gt;"",AL$11&lt;&gt;"",$R199&lt;&gt;$AP199),TRUE,IF(OR(AL199&lt;0,AL199&gt;$R199),TRUE,FALSE))))</f>
        <v>0</v>
      </c>
      <c r="BY199" s="144" t="b">
        <f>IF(AND($C199&lt;&gt;"",AL$11&lt;&gt;"",$AL199=""),TRUE,FALSE)</f>
        <v>0</v>
      </c>
      <c r="BZ199" s="160" t="b">
        <f>IF(CA199=TRUE,FALSE,IF(AND(AN199&lt;&gt;"",AN$11=""),TRUE,IF(AND(AN199&lt;&gt;"",AN$11&lt;&gt;"",$R199&lt;&gt;$AP199),TRUE,IF(OR(AN199&lt;0,AN199&gt;$R199),TRUE,FALSE))))</f>
        <v>0</v>
      </c>
      <c r="CA199" s="144" t="b">
        <f>IF(AND($C199&lt;&gt;"",AN$11&lt;&gt;"",$AN199=""),TRUE,FALSE)</f>
        <v>0</v>
      </c>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4"/>
    </row>
    <row r="200" spans="1:101" ht="6.75" customHeight="1" thickBot="1" x14ac:dyDescent="0.25">
      <c r="A200" s="228"/>
      <c r="B200" s="228"/>
      <c r="C200" s="232"/>
      <c r="D200" s="267"/>
      <c r="I200" s="267"/>
      <c r="K200" s="228"/>
      <c r="M200" s="267"/>
      <c r="O200" s="267"/>
      <c r="Q200" s="267"/>
      <c r="S200" s="267"/>
      <c r="U200" s="267"/>
      <c r="V200" s="283"/>
      <c r="W200" s="267"/>
      <c r="X200" s="283"/>
      <c r="Y200" s="267"/>
      <c r="Z200" s="283"/>
      <c r="AA200" s="267"/>
      <c r="AB200" s="283"/>
      <c r="AC200" s="267"/>
      <c r="AD200" s="283"/>
      <c r="AE200" s="267"/>
      <c r="AF200" s="283"/>
      <c r="AG200" s="267"/>
      <c r="AH200" s="283"/>
      <c r="AI200" s="267"/>
      <c r="AJ200" s="283"/>
      <c r="AK200" s="267"/>
      <c r="AL200" s="283"/>
      <c r="AM200" s="267"/>
      <c r="AN200" s="283"/>
      <c r="AO200" s="267"/>
      <c r="AP200" s="267"/>
      <c r="AQ200" s="267"/>
      <c r="AR200" s="232"/>
      <c r="AY200" s="145"/>
      <c r="AZ200" s="146"/>
      <c r="BA200" s="146"/>
      <c r="BB200" s="146"/>
      <c r="BC200" s="146"/>
      <c r="BD200" s="145"/>
      <c r="BE200" s="146"/>
      <c r="BF200" s="146"/>
      <c r="BG200" s="146"/>
      <c r="BH200" s="145"/>
      <c r="BI200" s="146"/>
      <c r="BJ200" s="145"/>
      <c r="BK200" s="146"/>
      <c r="BL200" s="145"/>
      <c r="BM200" s="146"/>
      <c r="BN200" s="145"/>
      <c r="BO200" s="146"/>
      <c r="BP200" s="145"/>
      <c r="BQ200" s="146"/>
      <c r="BR200" s="145"/>
      <c r="BS200" s="146"/>
      <c r="BT200" s="145"/>
      <c r="BU200" s="146"/>
      <c r="BV200" s="145"/>
      <c r="BW200" s="146"/>
      <c r="BX200" s="145"/>
      <c r="BY200" s="146"/>
      <c r="BZ200" s="145"/>
      <c r="CA200" s="146"/>
    </row>
    <row r="201" spans="1:101" s="101" customFormat="1" ht="12.75" customHeight="1" x14ac:dyDescent="0.2">
      <c r="A201" s="227">
        <f>A199+1</f>
        <v>93</v>
      </c>
      <c r="B201" s="227"/>
      <c r="C201" s="231"/>
      <c r="D201" s="251" t="str">
        <f>IF((C201=""),"Enter Segment "&amp;TEXT(A201,0)&amp;" Name, then Enter Data in Columns "&amp;TEXT($H$2,0)&amp;" - "&amp;TEXT($AN$2,0)&amp;"       ","")</f>
        <v xml:space="preserve">Enter Segment 93 Name, then Enter Data in Columns h - an       </v>
      </c>
      <c r="E201" s="131" t="str">
        <f>IF($AW201="B","N/A",IF(AX201="N","No",IF(AX201="Y","Yes","")))</f>
        <v>N/A</v>
      </c>
      <c r="F201" s="130"/>
      <c r="G201" s="130"/>
      <c r="H201" s="285"/>
      <c r="I201" s="251" t="str">
        <f>IF($C201&lt;&gt;"","Enter Starting Point       ","")</f>
        <v/>
      </c>
      <c r="J201" s="285"/>
      <c r="K201" s="227"/>
      <c r="L201" s="88"/>
      <c r="M201" s="251" t="str">
        <f>IF($C201&lt;&gt;"","Select from Pull-Down List  ","")</f>
        <v/>
      </c>
      <c r="N201" s="88"/>
      <c r="O201" s="251" t="str">
        <f>IF($C201&lt;&gt;"","Select from Pull-Down List  ","")</f>
        <v/>
      </c>
      <c r="P201" s="131"/>
      <c r="Q201" s="251" t="str">
        <f>IF($C201&lt;&gt;"","Dir. Route-Mi?    ","")</f>
        <v/>
      </c>
      <c r="R201" s="131"/>
      <c r="S201" s="251" t="str">
        <f>IF($C201&lt;&gt;"","Trk-Mi?      ","")</f>
        <v/>
      </c>
      <c r="T201" s="131"/>
      <c r="U201" s="251" t="str">
        <f>IF($C201&lt;&gt;"","Trk-Mi?      ","")</f>
        <v/>
      </c>
      <c r="V201" s="284"/>
      <c r="W201" s="278" t="str">
        <f>IF(OR($R201="",V$11=""),"","0 - "&amp;TEXT($R201-$AP201,"0.0")&amp;" Trk-Mi?    ")</f>
        <v/>
      </c>
      <c r="X201" s="284"/>
      <c r="Y201" s="278" t="str">
        <f>IF(OR($R201="",X$11=""),"","0 - "&amp;TEXT($R201-$AP201,"0.0")&amp;" Trk-Mi?    ")</f>
        <v/>
      </c>
      <c r="Z201" s="284"/>
      <c r="AA201" s="278" t="str">
        <f>IF(OR($R201="",Z$11=""),"","0 - "&amp;TEXT($R201-$AP201,"0.0")&amp;" Trk-Mi?    ")</f>
        <v/>
      </c>
      <c r="AB201" s="284"/>
      <c r="AC201" s="278" t="str">
        <f>IF(OR($R201="",AB$11=""),"","0 - "&amp;TEXT($R201-$AP201,"0.0")&amp;" Trk-Mi?    ")</f>
        <v/>
      </c>
      <c r="AD201" s="284"/>
      <c r="AE201" s="278" t="str">
        <f>IF(OR($R201="",AD$11=""),"","0 - "&amp;TEXT($R201-$AP201,"0.0")&amp;" Trk-Mi?    ")</f>
        <v/>
      </c>
      <c r="AF201" s="284"/>
      <c r="AG201" s="278" t="str">
        <f>IF(OR($R201="",AF$11=""),"","0 - "&amp;TEXT($R201-$AP201,"0.0")&amp;" Trk-Mi?    ")</f>
        <v/>
      </c>
      <c r="AH201" s="284"/>
      <c r="AI201" s="278" t="str">
        <f>IF(OR($R201="",AH$11=""),"","0 - "&amp;TEXT($R201-$AP201,"0.0")&amp;" Trk-Mi?    ")</f>
        <v/>
      </c>
      <c r="AJ201" s="284"/>
      <c r="AK201" s="278" t="str">
        <f>IF(OR($R201="",AJ$11=""),"","0 - "&amp;TEXT($R201-$AP201,"0.0")&amp;" Trk-Mi?    ")</f>
        <v/>
      </c>
      <c r="AL201" s="284"/>
      <c r="AM201" s="278" t="str">
        <f>IF(OR($R201="",AL$11=""),"","0 - "&amp;TEXT($R201-$AP201,"0.0")&amp;" Trk-Mi?    ")</f>
        <v/>
      </c>
      <c r="AN201" s="284"/>
      <c r="AO201" s="278" t="str">
        <f>IF(OR($R201="",AN$11=""),"","0 - "&amp;TEXT($R201-$AP201,"0.0")&amp;" Trk-Mi?    ")</f>
        <v/>
      </c>
      <c r="AP201" s="282">
        <f>SUM(V201,X201,Z201,AB201,AD201,AF201,AH201,AJ201,AL201,AN201)</f>
        <v>0</v>
      </c>
      <c r="AQ201" s="278"/>
      <c r="AR201" s="234"/>
      <c r="AS201" s="107"/>
      <c r="AT201" s="107"/>
      <c r="AU201" s="107"/>
      <c r="AW201" s="107" t="str">
        <f>IF(AND($C201="",$H201="",$J201="",$L201="",$N201="",$P201="",$R201=""),"B","NB")</f>
        <v>B</v>
      </c>
      <c r="AX201" s="241" t="str">
        <f>IF(OR($C201="",$H201="",$J201="",$L201="",$N201="",$R201="",$P201="",AND($V$11&lt;&gt;"",$V201=""),AND($X$11&lt;&gt;"",$X201=""),AND($Z$11&lt;&gt;"",$Z201=""),AND($AB$11&lt;&gt;"",$AB201=""),AND($AD$11&lt;&gt;"",$AD201=""),AND($AF$11&lt;&gt;"",$AF201=""),AND($AH$11&lt;&gt;"",$AH201=""),AND($AJ$11&lt;&gt;"",$AJ201=""),AND($AL$11&lt;&gt;"",$AL201=""),AND($AN$11&lt;&gt;"",$AN201="")),"N","Y")</f>
        <v>N</v>
      </c>
      <c r="AY201" s="142" t="b">
        <f>IF(AND($C201="",OR($H201&lt;&gt;"",$J201&lt;&gt;"",$L201&lt;&gt;"",$N201&lt;&gt;"",$R201&lt;&gt;"",$P201&lt;&gt;"",AND($V$11&lt;&gt;"",$V201&lt;&gt;""),AND($X$11&lt;&gt;"",$X201&lt;&gt;""),AND($Z$11&lt;&gt;"",$Z201&lt;&gt;""),AND($AB$11&lt;&gt;"",$AB201&lt;&gt;""),AND($AD$11&lt;&gt;"",$AD201&lt;&gt;""),AND($AF$11&lt;&gt;"",$AF201&lt;&gt;""),AND($AH$11&lt;&gt;"",$AH201&lt;&gt;""),AND($AJ$11&lt;&gt;"",$AJ201&lt;&gt;""),AND($AL$11&lt;&gt;"",$AL201&lt;&gt;""),AND($AN$11&lt;&gt;"",$AN201&lt;&gt;""))),TRUE,FALSE)</f>
        <v>0</v>
      </c>
      <c r="AZ201" s="144" t="b">
        <f>IF(AND($C201&lt;&gt;"",$H201=""),TRUE,FALSE)</f>
        <v>0</v>
      </c>
      <c r="BA201" s="144" t="b">
        <f>IF(AND($C201&lt;&gt;"",$J201=""),TRUE,FALSE)</f>
        <v>0</v>
      </c>
      <c r="BB201" s="144" t="b">
        <f>IF(AND($C201&lt;&gt;"",$L201=""),TRUE,FALSE)</f>
        <v>0</v>
      </c>
      <c r="BC201" s="144" t="b">
        <f>IF(AND($C201&lt;&gt;"",$N201=""),TRUE,FALSE)</f>
        <v>0</v>
      </c>
      <c r="BD201" s="142" t="b">
        <f>IF($BE201=TRUE,FALSE,IF(OR($P201&lt;$BD$5,$P201&gt;$BE$5),TRUE,FALSE))</f>
        <v>0</v>
      </c>
      <c r="BE201" s="144" t="b">
        <f>IF(AND($C201&lt;&gt;"",$P201=""),TRUE,FALSE)</f>
        <v>0</v>
      </c>
      <c r="BF201" s="144" t="b">
        <f>IF($BG201=TRUE,FALSE,IF(OR($R201&lt;$BF$5,$R201&gt;$BG$5),TRUE,FALSE))</f>
        <v>0</v>
      </c>
      <c r="BG201" s="144" t="b">
        <f>IF(AND($C201&lt;&gt;"",$R201=""),TRUE,FALSE)</f>
        <v>0</v>
      </c>
      <c r="BH201" s="160" t="b">
        <f>IF(BI201=TRUE,FALSE,IF(AND(V201&lt;&gt;"",V$11=""),TRUE,IF(AND(V201&lt;&gt;"",V$11&lt;&gt;"",$R201&lt;&gt;$AP201),TRUE,IF(OR(V201&lt;0,V201&gt;$R201),TRUE,FALSE))))</f>
        <v>0</v>
      </c>
      <c r="BI201" s="144" t="b">
        <f>IF(AND($C201&lt;&gt;"",V$11&lt;&gt;"",$V201=""),TRUE,FALSE)</f>
        <v>0</v>
      </c>
      <c r="BJ201" s="160" t="b">
        <f>IF(BK201=TRUE,FALSE,IF(AND(X201&lt;&gt;"",X$11=""),TRUE,IF(AND(X201&lt;&gt;"",X$11&lt;&gt;"",$R201&lt;&gt;$AP201),TRUE,IF(OR(X201&lt;0,X201&gt;$R201),TRUE,FALSE))))</f>
        <v>0</v>
      </c>
      <c r="BK201" s="144" t="b">
        <f>IF(AND($C201&lt;&gt;"",X$11&lt;&gt;"",$X201=""),TRUE,FALSE)</f>
        <v>0</v>
      </c>
      <c r="BL201" s="160" t="b">
        <f>IF(BM201=TRUE,FALSE,IF(AND(Z201&lt;&gt;"",Z$11=""),TRUE,IF(AND(Z201&lt;&gt;"",Z$11&lt;&gt;"",$R201&lt;&gt;$AP201),TRUE,IF(OR(Z201&lt;0,Z201&gt;$R201),TRUE,FALSE))))</f>
        <v>0</v>
      </c>
      <c r="BM201" s="144" t="b">
        <f>IF(AND($C201&lt;&gt;"",Z$11&lt;&gt;"",$Z201=""),TRUE,FALSE)</f>
        <v>0</v>
      </c>
      <c r="BN201" s="160" t="b">
        <f>IF(BO201=TRUE,FALSE,IF(AND(AB201&lt;&gt;"",AB$11=""),TRUE,IF(AND(AB201&lt;&gt;"",AB$11&lt;&gt;"",$R201&lt;&gt;$AP201),TRUE,IF(OR(AB201&lt;0,AB201&gt;$R201),TRUE,FALSE))))</f>
        <v>0</v>
      </c>
      <c r="BO201" s="144" t="b">
        <f>IF(AND($C201&lt;&gt;"",AB$11&lt;&gt;"",$AB201=""),TRUE,FALSE)</f>
        <v>0</v>
      </c>
      <c r="BP201" s="160" t="b">
        <f>IF(BQ201=TRUE,FALSE,IF(AND(AD201&lt;&gt;"",AD$11=""),TRUE,IF(AND(AD201&lt;&gt;"",AD$11&lt;&gt;"",$R201&lt;&gt;$AP201),TRUE,IF(OR(AD201&lt;0,AD201&gt;$R201),TRUE,FALSE))))</f>
        <v>0</v>
      </c>
      <c r="BQ201" s="144" t="b">
        <f>IF(AND($C201&lt;&gt;"",AD$11&lt;&gt;"",$AD201=""),TRUE,FALSE)</f>
        <v>0</v>
      </c>
      <c r="BR201" s="160" t="b">
        <f>IF(BS201=TRUE,FALSE,IF(AND(AF201&lt;&gt;"",AF$11=""),TRUE,IF(AND(AF201&lt;&gt;"",AF$11&lt;&gt;"",$R201&lt;&gt;$AP201),TRUE,IF(OR(AF201&lt;0,AF201&gt;$R201),TRUE,FALSE))))</f>
        <v>0</v>
      </c>
      <c r="BS201" s="144" t="b">
        <f>IF(AND($C201&lt;&gt;"",AF$11&lt;&gt;"",$AF201=""),TRUE,FALSE)</f>
        <v>0</v>
      </c>
      <c r="BT201" s="160" t="b">
        <f>IF(BU201=TRUE,FALSE,IF(AND(AH201&lt;&gt;"",AH$11=""),TRUE,IF(AND(AH201&lt;&gt;"",AH$11&lt;&gt;"",$R201&lt;&gt;$AP201),TRUE,IF(OR(AH201&lt;0,AH201&gt;$R201),TRUE,FALSE))))</f>
        <v>0</v>
      </c>
      <c r="BU201" s="144" t="b">
        <f>IF(AND($C201&lt;&gt;"",AH$11&lt;&gt;"",$AH201=""),TRUE,FALSE)</f>
        <v>0</v>
      </c>
      <c r="BV201" s="160" t="b">
        <f>IF(BW201=TRUE,FALSE,IF(AND(AJ201&lt;&gt;"",AJ$11=""),TRUE,IF(AND(AJ201&lt;&gt;"",AJ$11&lt;&gt;"",$R201&lt;&gt;$AP201),TRUE,IF(OR(AJ201&lt;0,AJ201&gt;$R201),TRUE,FALSE))))</f>
        <v>0</v>
      </c>
      <c r="BW201" s="144" t="b">
        <f>IF(AND($C201&lt;&gt;"",AJ$11&lt;&gt;"",$AJ201=""),TRUE,FALSE)</f>
        <v>0</v>
      </c>
      <c r="BX201" s="160" t="b">
        <f>IF(BY201=TRUE,FALSE,IF(AND(AL201&lt;&gt;"",AL$11=""),TRUE,IF(AND(AL201&lt;&gt;"",AL$11&lt;&gt;"",$R201&lt;&gt;$AP201),TRUE,IF(OR(AL201&lt;0,AL201&gt;$R201),TRUE,FALSE))))</f>
        <v>0</v>
      </c>
      <c r="BY201" s="144" t="b">
        <f>IF(AND($C201&lt;&gt;"",AL$11&lt;&gt;"",$AL201=""),TRUE,FALSE)</f>
        <v>0</v>
      </c>
      <c r="BZ201" s="160" t="b">
        <f>IF(CA201=TRUE,FALSE,IF(AND(AN201&lt;&gt;"",AN$11=""),TRUE,IF(AND(AN201&lt;&gt;"",AN$11&lt;&gt;"",$R201&lt;&gt;$AP201),TRUE,IF(OR(AN201&lt;0,AN201&gt;$R201),TRUE,FALSE))))</f>
        <v>0</v>
      </c>
      <c r="CA201" s="144" t="b">
        <f>IF(AND($C201&lt;&gt;"",AN$11&lt;&gt;"",$AN201=""),TRUE,FALSE)</f>
        <v>0</v>
      </c>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4"/>
    </row>
    <row r="202" spans="1:101" ht="6.75" customHeight="1" thickBot="1" x14ac:dyDescent="0.25">
      <c r="A202" s="228"/>
      <c r="B202" s="228"/>
      <c r="C202" s="232"/>
      <c r="D202" s="267"/>
      <c r="I202" s="267"/>
      <c r="K202" s="228"/>
      <c r="M202" s="267"/>
      <c r="O202" s="267"/>
      <c r="Q202" s="267"/>
      <c r="S202" s="267"/>
      <c r="U202" s="267"/>
      <c r="V202" s="283"/>
      <c r="W202" s="267"/>
      <c r="X202" s="283"/>
      <c r="Y202" s="267"/>
      <c r="Z202" s="283"/>
      <c r="AA202" s="267"/>
      <c r="AB202" s="283"/>
      <c r="AC202" s="267"/>
      <c r="AD202" s="283"/>
      <c r="AE202" s="267"/>
      <c r="AF202" s="283"/>
      <c r="AG202" s="267"/>
      <c r="AH202" s="283"/>
      <c r="AI202" s="267"/>
      <c r="AJ202" s="283"/>
      <c r="AK202" s="267"/>
      <c r="AL202" s="283"/>
      <c r="AM202" s="267"/>
      <c r="AN202" s="283"/>
      <c r="AO202" s="267"/>
      <c r="AP202" s="267"/>
      <c r="AQ202" s="267"/>
      <c r="AR202" s="232"/>
      <c r="AY202" s="145"/>
      <c r="AZ202" s="146"/>
      <c r="BA202" s="146"/>
      <c r="BB202" s="146"/>
      <c r="BC202" s="146"/>
      <c r="BD202" s="145"/>
      <c r="BE202" s="146"/>
      <c r="BF202" s="146"/>
      <c r="BG202" s="146"/>
      <c r="BH202" s="145"/>
      <c r="BI202" s="146"/>
      <c r="BJ202" s="145"/>
      <c r="BK202" s="146"/>
      <c r="BL202" s="145"/>
      <c r="BM202" s="146"/>
      <c r="BN202" s="145"/>
      <c r="BO202" s="146"/>
      <c r="BP202" s="145"/>
      <c r="BQ202" s="146"/>
      <c r="BR202" s="145"/>
      <c r="BS202" s="146"/>
      <c r="BT202" s="145"/>
      <c r="BU202" s="146"/>
      <c r="BV202" s="145"/>
      <c r="BW202" s="146"/>
      <c r="BX202" s="145"/>
      <c r="BY202" s="146"/>
      <c r="BZ202" s="145"/>
      <c r="CA202" s="146"/>
    </row>
    <row r="203" spans="1:101" s="101" customFormat="1" ht="12.75" customHeight="1" x14ac:dyDescent="0.2">
      <c r="A203" s="227">
        <f>A201+1</f>
        <v>94</v>
      </c>
      <c r="B203" s="227"/>
      <c r="C203" s="231"/>
      <c r="D203" s="251" t="str">
        <f>IF((C203=""),"Enter Segment "&amp;TEXT(A203,0)&amp;" Name, then Enter Data in Columns "&amp;TEXT($H$2,0)&amp;" - "&amp;TEXT($AN$2,0)&amp;"       ","")</f>
        <v xml:space="preserve">Enter Segment 94 Name, then Enter Data in Columns h - an       </v>
      </c>
      <c r="E203" s="131" t="str">
        <f>IF($AW203="B","N/A",IF(AX203="N","No",IF(AX203="Y","Yes","")))</f>
        <v>N/A</v>
      </c>
      <c r="F203" s="130"/>
      <c r="G203" s="130"/>
      <c r="H203" s="285"/>
      <c r="I203" s="251" t="str">
        <f>IF($C203&lt;&gt;"","Enter Starting Point       ","")</f>
        <v/>
      </c>
      <c r="J203" s="285"/>
      <c r="K203" s="227"/>
      <c r="L203" s="88"/>
      <c r="M203" s="251" t="str">
        <f>IF($C203&lt;&gt;"","Select from Pull-Down List  ","")</f>
        <v/>
      </c>
      <c r="N203" s="88"/>
      <c r="O203" s="251" t="str">
        <f>IF($C203&lt;&gt;"","Select from Pull-Down List  ","")</f>
        <v/>
      </c>
      <c r="P203" s="131"/>
      <c r="Q203" s="251" t="str">
        <f>IF($C203&lt;&gt;"","Dir. Route-Mi?    ","")</f>
        <v/>
      </c>
      <c r="R203" s="131"/>
      <c r="S203" s="251" t="str">
        <f>IF($C203&lt;&gt;"","Trk-Mi?      ","")</f>
        <v/>
      </c>
      <c r="T203" s="131"/>
      <c r="U203" s="251" t="str">
        <f>IF($C203&lt;&gt;"","Trk-Mi?      ","")</f>
        <v/>
      </c>
      <c r="V203" s="284"/>
      <c r="W203" s="278" t="str">
        <f>IF(OR($R203="",V$11=""),"","0 - "&amp;TEXT($R203-$AP203,"0.0")&amp;" Trk-Mi?    ")</f>
        <v/>
      </c>
      <c r="X203" s="284"/>
      <c r="Y203" s="278" t="str">
        <f>IF(OR($R203="",X$11=""),"","0 - "&amp;TEXT($R203-$AP203,"0.0")&amp;" Trk-Mi?    ")</f>
        <v/>
      </c>
      <c r="Z203" s="284"/>
      <c r="AA203" s="278" t="str">
        <f>IF(OR($R203="",Z$11=""),"","0 - "&amp;TEXT($R203-$AP203,"0.0")&amp;" Trk-Mi?    ")</f>
        <v/>
      </c>
      <c r="AB203" s="284"/>
      <c r="AC203" s="278" t="str">
        <f>IF(OR($R203="",AB$11=""),"","0 - "&amp;TEXT($R203-$AP203,"0.0")&amp;" Trk-Mi?    ")</f>
        <v/>
      </c>
      <c r="AD203" s="284"/>
      <c r="AE203" s="278" t="str">
        <f>IF(OR($R203="",AD$11=""),"","0 - "&amp;TEXT($R203-$AP203,"0.0")&amp;" Trk-Mi?    ")</f>
        <v/>
      </c>
      <c r="AF203" s="284"/>
      <c r="AG203" s="278" t="str">
        <f>IF(OR($R203="",AF$11=""),"","0 - "&amp;TEXT($R203-$AP203,"0.0")&amp;" Trk-Mi?    ")</f>
        <v/>
      </c>
      <c r="AH203" s="284"/>
      <c r="AI203" s="278" t="str">
        <f>IF(OR($R203="",AH$11=""),"","0 - "&amp;TEXT($R203-$AP203,"0.0")&amp;" Trk-Mi?    ")</f>
        <v/>
      </c>
      <c r="AJ203" s="284"/>
      <c r="AK203" s="278" t="str">
        <f>IF(OR($R203="",AJ$11=""),"","0 - "&amp;TEXT($R203-$AP203,"0.0")&amp;" Trk-Mi?    ")</f>
        <v/>
      </c>
      <c r="AL203" s="284"/>
      <c r="AM203" s="278" t="str">
        <f>IF(OR($R203="",AL$11=""),"","0 - "&amp;TEXT($R203-$AP203,"0.0")&amp;" Trk-Mi?    ")</f>
        <v/>
      </c>
      <c r="AN203" s="284"/>
      <c r="AO203" s="278" t="str">
        <f>IF(OR($R203="",AN$11=""),"","0 - "&amp;TEXT($R203-$AP203,"0.0")&amp;" Trk-Mi?    ")</f>
        <v/>
      </c>
      <c r="AP203" s="282">
        <f>SUM(V203,X203,Z203,AB203,AD203,AF203,AH203,AJ203,AL203,AN203)</f>
        <v>0</v>
      </c>
      <c r="AQ203" s="278"/>
      <c r="AR203" s="234"/>
      <c r="AS203" s="107"/>
      <c r="AT203" s="107"/>
      <c r="AU203" s="107"/>
      <c r="AW203" s="107" t="str">
        <f>IF(AND($C203="",$H203="",$J203="",$L203="",$N203="",$P203="",$R203=""),"B","NB")</f>
        <v>B</v>
      </c>
      <c r="AX203" s="241" t="str">
        <f>IF(OR($C203="",$H203="",$J203="",$L203="",$N203="",$R203="",$P203="",AND($V$11&lt;&gt;"",$V203=""),AND($X$11&lt;&gt;"",$X203=""),AND($Z$11&lt;&gt;"",$Z203=""),AND($AB$11&lt;&gt;"",$AB203=""),AND($AD$11&lt;&gt;"",$AD203=""),AND($AF$11&lt;&gt;"",$AF203=""),AND($AH$11&lt;&gt;"",$AH203=""),AND($AJ$11&lt;&gt;"",$AJ203=""),AND($AL$11&lt;&gt;"",$AL203=""),AND($AN$11&lt;&gt;"",$AN203="")),"N","Y")</f>
        <v>N</v>
      </c>
      <c r="AY203" s="142" t="b">
        <f>IF(AND($C203="",OR($H203&lt;&gt;"",$J203&lt;&gt;"",$L203&lt;&gt;"",$N203&lt;&gt;"",$R203&lt;&gt;"",$P203&lt;&gt;"",AND($V$11&lt;&gt;"",$V203&lt;&gt;""),AND($X$11&lt;&gt;"",$X203&lt;&gt;""),AND($Z$11&lt;&gt;"",$Z203&lt;&gt;""),AND($AB$11&lt;&gt;"",$AB203&lt;&gt;""),AND($AD$11&lt;&gt;"",$AD203&lt;&gt;""),AND($AF$11&lt;&gt;"",$AF203&lt;&gt;""),AND($AH$11&lt;&gt;"",$AH203&lt;&gt;""),AND($AJ$11&lt;&gt;"",$AJ203&lt;&gt;""),AND($AL$11&lt;&gt;"",$AL203&lt;&gt;""),AND($AN$11&lt;&gt;"",$AN203&lt;&gt;""))),TRUE,FALSE)</f>
        <v>0</v>
      </c>
      <c r="AZ203" s="144" t="b">
        <f>IF(AND($C203&lt;&gt;"",$H203=""),TRUE,FALSE)</f>
        <v>0</v>
      </c>
      <c r="BA203" s="144" t="b">
        <f>IF(AND($C203&lt;&gt;"",$J203=""),TRUE,FALSE)</f>
        <v>0</v>
      </c>
      <c r="BB203" s="144" t="b">
        <f>IF(AND($C203&lt;&gt;"",$L203=""),TRUE,FALSE)</f>
        <v>0</v>
      </c>
      <c r="BC203" s="144" t="b">
        <f>IF(AND($C203&lt;&gt;"",$N203=""),TRUE,FALSE)</f>
        <v>0</v>
      </c>
      <c r="BD203" s="142" t="b">
        <f>IF($BE203=TRUE,FALSE,IF(OR($P203&lt;$BD$5,$P203&gt;$BE$5),TRUE,FALSE))</f>
        <v>0</v>
      </c>
      <c r="BE203" s="144" t="b">
        <f>IF(AND($C203&lt;&gt;"",$P203=""),TRUE,FALSE)</f>
        <v>0</v>
      </c>
      <c r="BF203" s="144" t="b">
        <f>IF($BG203=TRUE,FALSE,IF(OR($R203&lt;$BF$5,$R203&gt;$BG$5),TRUE,FALSE))</f>
        <v>0</v>
      </c>
      <c r="BG203" s="144" t="b">
        <f>IF(AND($C203&lt;&gt;"",$R203=""),TRUE,FALSE)</f>
        <v>0</v>
      </c>
      <c r="BH203" s="160" t="b">
        <f>IF(BI203=TRUE,FALSE,IF(AND(V203&lt;&gt;"",V$11=""),TRUE,IF(AND(V203&lt;&gt;"",V$11&lt;&gt;"",$R203&lt;&gt;$AP203),TRUE,IF(OR(V203&lt;0,V203&gt;$R203),TRUE,FALSE))))</f>
        <v>0</v>
      </c>
      <c r="BI203" s="144" t="b">
        <f>IF(AND($C203&lt;&gt;"",V$11&lt;&gt;"",$V203=""),TRUE,FALSE)</f>
        <v>0</v>
      </c>
      <c r="BJ203" s="160" t="b">
        <f>IF(BK203=TRUE,FALSE,IF(AND(X203&lt;&gt;"",X$11=""),TRUE,IF(AND(X203&lt;&gt;"",X$11&lt;&gt;"",$R203&lt;&gt;$AP203),TRUE,IF(OR(X203&lt;0,X203&gt;$R203),TRUE,FALSE))))</f>
        <v>0</v>
      </c>
      <c r="BK203" s="144" t="b">
        <f>IF(AND($C203&lt;&gt;"",X$11&lt;&gt;"",$X203=""),TRUE,FALSE)</f>
        <v>0</v>
      </c>
      <c r="BL203" s="160" t="b">
        <f>IF(BM203=TRUE,FALSE,IF(AND(Z203&lt;&gt;"",Z$11=""),TRUE,IF(AND(Z203&lt;&gt;"",Z$11&lt;&gt;"",$R203&lt;&gt;$AP203),TRUE,IF(OR(Z203&lt;0,Z203&gt;$R203),TRUE,FALSE))))</f>
        <v>0</v>
      </c>
      <c r="BM203" s="144" t="b">
        <f>IF(AND($C203&lt;&gt;"",Z$11&lt;&gt;"",$Z203=""),TRUE,FALSE)</f>
        <v>0</v>
      </c>
      <c r="BN203" s="160" t="b">
        <f>IF(BO203=TRUE,FALSE,IF(AND(AB203&lt;&gt;"",AB$11=""),TRUE,IF(AND(AB203&lt;&gt;"",AB$11&lt;&gt;"",$R203&lt;&gt;$AP203),TRUE,IF(OR(AB203&lt;0,AB203&gt;$R203),TRUE,FALSE))))</f>
        <v>0</v>
      </c>
      <c r="BO203" s="144" t="b">
        <f>IF(AND($C203&lt;&gt;"",AB$11&lt;&gt;"",$AB203=""),TRUE,FALSE)</f>
        <v>0</v>
      </c>
      <c r="BP203" s="160" t="b">
        <f>IF(BQ203=TRUE,FALSE,IF(AND(AD203&lt;&gt;"",AD$11=""),TRUE,IF(AND(AD203&lt;&gt;"",AD$11&lt;&gt;"",$R203&lt;&gt;$AP203),TRUE,IF(OR(AD203&lt;0,AD203&gt;$R203),TRUE,FALSE))))</f>
        <v>0</v>
      </c>
      <c r="BQ203" s="144" t="b">
        <f>IF(AND($C203&lt;&gt;"",AD$11&lt;&gt;"",$AD203=""),TRUE,FALSE)</f>
        <v>0</v>
      </c>
      <c r="BR203" s="160" t="b">
        <f>IF(BS203=TRUE,FALSE,IF(AND(AF203&lt;&gt;"",AF$11=""),TRUE,IF(AND(AF203&lt;&gt;"",AF$11&lt;&gt;"",$R203&lt;&gt;$AP203),TRUE,IF(OR(AF203&lt;0,AF203&gt;$R203),TRUE,FALSE))))</f>
        <v>0</v>
      </c>
      <c r="BS203" s="144" t="b">
        <f>IF(AND($C203&lt;&gt;"",AF$11&lt;&gt;"",$AF203=""),TRUE,FALSE)</f>
        <v>0</v>
      </c>
      <c r="BT203" s="160" t="b">
        <f>IF(BU203=TRUE,FALSE,IF(AND(AH203&lt;&gt;"",AH$11=""),TRUE,IF(AND(AH203&lt;&gt;"",AH$11&lt;&gt;"",$R203&lt;&gt;$AP203),TRUE,IF(OR(AH203&lt;0,AH203&gt;$R203),TRUE,FALSE))))</f>
        <v>0</v>
      </c>
      <c r="BU203" s="144" t="b">
        <f>IF(AND($C203&lt;&gt;"",AH$11&lt;&gt;"",$AH203=""),TRUE,FALSE)</f>
        <v>0</v>
      </c>
      <c r="BV203" s="160" t="b">
        <f>IF(BW203=TRUE,FALSE,IF(AND(AJ203&lt;&gt;"",AJ$11=""),TRUE,IF(AND(AJ203&lt;&gt;"",AJ$11&lt;&gt;"",$R203&lt;&gt;$AP203),TRUE,IF(OR(AJ203&lt;0,AJ203&gt;$R203),TRUE,FALSE))))</f>
        <v>0</v>
      </c>
      <c r="BW203" s="144" t="b">
        <f>IF(AND($C203&lt;&gt;"",AJ$11&lt;&gt;"",$AJ203=""),TRUE,FALSE)</f>
        <v>0</v>
      </c>
      <c r="BX203" s="160" t="b">
        <f>IF(BY203=TRUE,FALSE,IF(AND(AL203&lt;&gt;"",AL$11=""),TRUE,IF(AND(AL203&lt;&gt;"",AL$11&lt;&gt;"",$R203&lt;&gt;$AP203),TRUE,IF(OR(AL203&lt;0,AL203&gt;$R203),TRUE,FALSE))))</f>
        <v>0</v>
      </c>
      <c r="BY203" s="144" t="b">
        <f>IF(AND($C203&lt;&gt;"",AL$11&lt;&gt;"",$AL203=""),TRUE,FALSE)</f>
        <v>0</v>
      </c>
      <c r="BZ203" s="160" t="b">
        <f>IF(CA203=TRUE,FALSE,IF(AND(AN203&lt;&gt;"",AN$11=""),TRUE,IF(AND(AN203&lt;&gt;"",AN$11&lt;&gt;"",$R203&lt;&gt;$AP203),TRUE,IF(OR(AN203&lt;0,AN203&gt;$R203),TRUE,FALSE))))</f>
        <v>0</v>
      </c>
      <c r="CA203" s="144" t="b">
        <f>IF(AND($C203&lt;&gt;"",AN$11&lt;&gt;"",$AN203=""),TRUE,FALSE)</f>
        <v>0</v>
      </c>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4"/>
    </row>
    <row r="204" spans="1:101" ht="6.75" customHeight="1" thickBot="1" x14ac:dyDescent="0.25">
      <c r="A204" s="228"/>
      <c r="B204" s="228"/>
      <c r="C204" s="232"/>
      <c r="D204" s="267"/>
      <c r="I204" s="267"/>
      <c r="K204" s="228"/>
      <c r="M204" s="267"/>
      <c r="O204" s="267"/>
      <c r="Q204" s="267"/>
      <c r="S204" s="267"/>
      <c r="U204" s="267"/>
      <c r="V204" s="283"/>
      <c r="W204" s="267"/>
      <c r="X204" s="283"/>
      <c r="Y204" s="267"/>
      <c r="Z204" s="283"/>
      <c r="AA204" s="267"/>
      <c r="AB204" s="283"/>
      <c r="AC204" s="267"/>
      <c r="AD204" s="283"/>
      <c r="AE204" s="267"/>
      <c r="AF204" s="283"/>
      <c r="AG204" s="267"/>
      <c r="AH204" s="283"/>
      <c r="AI204" s="267"/>
      <c r="AJ204" s="283"/>
      <c r="AK204" s="267"/>
      <c r="AL204" s="283"/>
      <c r="AM204" s="267"/>
      <c r="AN204" s="283"/>
      <c r="AO204" s="267"/>
      <c r="AP204" s="267"/>
      <c r="AQ204" s="267"/>
      <c r="AR204" s="232"/>
      <c r="AY204" s="145"/>
      <c r="AZ204" s="146"/>
      <c r="BA204" s="146"/>
      <c r="BB204" s="146"/>
      <c r="BC204" s="146"/>
      <c r="BD204" s="145"/>
      <c r="BE204" s="146"/>
      <c r="BF204" s="146"/>
      <c r="BG204" s="146"/>
      <c r="BH204" s="145"/>
      <c r="BI204" s="146"/>
      <c r="BJ204" s="145"/>
      <c r="BK204" s="146"/>
      <c r="BL204" s="145"/>
      <c r="BM204" s="146"/>
      <c r="BN204" s="145"/>
      <c r="BO204" s="146"/>
      <c r="BP204" s="145"/>
      <c r="BQ204" s="146"/>
      <c r="BR204" s="145"/>
      <c r="BS204" s="146"/>
      <c r="BT204" s="145"/>
      <c r="BU204" s="146"/>
      <c r="BV204" s="145"/>
      <c r="BW204" s="146"/>
      <c r="BX204" s="145"/>
      <c r="BY204" s="146"/>
      <c r="BZ204" s="145"/>
      <c r="CA204" s="146"/>
    </row>
    <row r="205" spans="1:101" s="101" customFormat="1" ht="12.75" customHeight="1" x14ac:dyDescent="0.2">
      <c r="A205" s="227">
        <f>A203+1</f>
        <v>95</v>
      </c>
      <c r="B205" s="227"/>
      <c r="C205" s="231"/>
      <c r="D205" s="251" t="str">
        <f>IF((C205=""),"Enter Segment "&amp;TEXT(A205,0)&amp;" Name, then Enter Data in Columns "&amp;TEXT($H$2,0)&amp;" - "&amp;TEXT($AN$2,0)&amp;"       ","")</f>
        <v xml:space="preserve">Enter Segment 95 Name, then Enter Data in Columns h - an       </v>
      </c>
      <c r="E205" s="131" t="str">
        <f>IF($AW205="B","N/A",IF(AX205="N","No",IF(AX205="Y","Yes","")))</f>
        <v>N/A</v>
      </c>
      <c r="F205" s="130"/>
      <c r="G205" s="130"/>
      <c r="H205" s="285"/>
      <c r="I205" s="251" t="str">
        <f>IF($C205&lt;&gt;"","Enter Starting Point       ","")</f>
        <v/>
      </c>
      <c r="J205" s="285"/>
      <c r="K205" s="227"/>
      <c r="L205" s="88"/>
      <c r="M205" s="251" t="str">
        <f>IF($C205&lt;&gt;"","Select from Pull-Down List  ","")</f>
        <v/>
      </c>
      <c r="N205" s="88"/>
      <c r="O205" s="251" t="str">
        <f>IF($C205&lt;&gt;"","Select from Pull-Down List  ","")</f>
        <v/>
      </c>
      <c r="P205" s="131"/>
      <c r="Q205" s="251" t="str">
        <f>IF($C205&lt;&gt;"","Dir. Route-Mi?    ","")</f>
        <v/>
      </c>
      <c r="R205" s="131"/>
      <c r="S205" s="251" t="str">
        <f>IF($C205&lt;&gt;"","Trk-Mi?      ","")</f>
        <v/>
      </c>
      <c r="T205" s="131"/>
      <c r="U205" s="251" t="str">
        <f>IF($C205&lt;&gt;"","Trk-Mi?      ","")</f>
        <v/>
      </c>
      <c r="V205" s="284"/>
      <c r="W205" s="278" t="str">
        <f>IF(OR($R205="",V$11=""),"","0 - "&amp;TEXT($R205-$AP205,"0.0")&amp;" Trk-Mi?    ")</f>
        <v/>
      </c>
      <c r="X205" s="284"/>
      <c r="Y205" s="278" t="str">
        <f>IF(OR($R205="",X$11=""),"","0 - "&amp;TEXT($R205-$AP205,"0.0")&amp;" Trk-Mi?    ")</f>
        <v/>
      </c>
      <c r="Z205" s="284"/>
      <c r="AA205" s="278" t="str">
        <f>IF(OR($R205="",Z$11=""),"","0 - "&amp;TEXT($R205-$AP205,"0.0")&amp;" Trk-Mi?    ")</f>
        <v/>
      </c>
      <c r="AB205" s="284"/>
      <c r="AC205" s="278" t="str">
        <f>IF(OR($R205="",AB$11=""),"","0 - "&amp;TEXT($R205-$AP205,"0.0")&amp;" Trk-Mi?    ")</f>
        <v/>
      </c>
      <c r="AD205" s="284"/>
      <c r="AE205" s="278" t="str">
        <f>IF(OR($R205="",AD$11=""),"","0 - "&amp;TEXT($R205-$AP205,"0.0")&amp;" Trk-Mi?    ")</f>
        <v/>
      </c>
      <c r="AF205" s="284"/>
      <c r="AG205" s="278" t="str">
        <f>IF(OR($R205="",AF$11=""),"","0 - "&amp;TEXT($R205-$AP205,"0.0")&amp;" Trk-Mi?    ")</f>
        <v/>
      </c>
      <c r="AH205" s="284"/>
      <c r="AI205" s="278" t="str">
        <f>IF(OR($R205="",AH$11=""),"","0 - "&amp;TEXT($R205-$AP205,"0.0")&amp;" Trk-Mi?    ")</f>
        <v/>
      </c>
      <c r="AJ205" s="284"/>
      <c r="AK205" s="278" t="str">
        <f>IF(OR($R205="",AJ$11=""),"","0 - "&amp;TEXT($R205-$AP205,"0.0")&amp;" Trk-Mi?    ")</f>
        <v/>
      </c>
      <c r="AL205" s="284"/>
      <c r="AM205" s="278" t="str">
        <f>IF(OR($R205="",AL$11=""),"","0 - "&amp;TEXT($R205-$AP205,"0.0")&amp;" Trk-Mi?    ")</f>
        <v/>
      </c>
      <c r="AN205" s="284"/>
      <c r="AO205" s="278" t="str">
        <f>IF(OR($R205="",AN$11=""),"","0 - "&amp;TEXT($R205-$AP205,"0.0")&amp;" Trk-Mi?    ")</f>
        <v/>
      </c>
      <c r="AP205" s="282">
        <f>SUM(V205,X205,Z205,AB205,AD205,AF205,AH205,AJ205,AL205,AN205)</f>
        <v>0</v>
      </c>
      <c r="AQ205" s="278"/>
      <c r="AR205" s="234"/>
      <c r="AS205" s="107"/>
      <c r="AT205" s="107"/>
      <c r="AU205" s="107"/>
      <c r="AW205" s="107" t="str">
        <f>IF(AND($C205="",$H205="",$J205="",$L205="",$N205="",$P205="",$R205=""),"B","NB")</f>
        <v>B</v>
      </c>
      <c r="AX205" s="241" t="str">
        <f>IF(OR($C205="",$H205="",$J205="",$L205="",$N205="",$R205="",$P205="",AND($V$11&lt;&gt;"",$V205=""),AND($X$11&lt;&gt;"",$X205=""),AND($Z$11&lt;&gt;"",$Z205=""),AND($AB$11&lt;&gt;"",$AB205=""),AND($AD$11&lt;&gt;"",$AD205=""),AND($AF$11&lt;&gt;"",$AF205=""),AND($AH$11&lt;&gt;"",$AH205=""),AND($AJ$11&lt;&gt;"",$AJ205=""),AND($AL$11&lt;&gt;"",$AL205=""),AND($AN$11&lt;&gt;"",$AN205="")),"N","Y")</f>
        <v>N</v>
      </c>
      <c r="AY205" s="142" t="b">
        <f>IF(AND($C205="",OR($H205&lt;&gt;"",$J205&lt;&gt;"",$L205&lt;&gt;"",$N205&lt;&gt;"",$R205&lt;&gt;"",$P205&lt;&gt;"",AND($V$11&lt;&gt;"",$V205&lt;&gt;""),AND($X$11&lt;&gt;"",$X205&lt;&gt;""),AND($Z$11&lt;&gt;"",$Z205&lt;&gt;""),AND($AB$11&lt;&gt;"",$AB205&lt;&gt;""),AND($AD$11&lt;&gt;"",$AD205&lt;&gt;""),AND($AF$11&lt;&gt;"",$AF205&lt;&gt;""),AND($AH$11&lt;&gt;"",$AH205&lt;&gt;""),AND($AJ$11&lt;&gt;"",$AJ205&lt;&gt;""),AND($AL$11&lt;&gt;"",$AL205&lt;&gt;""),AND($AN$11&lt;&gt;"",$AN205&lt;&gt;""))),TRUE,FALSE)</f>
        <v>0</v>
      </c>
      <c r="AZ205" s="144" t="b">
        <f>IF(AND($C205&lt;&gt;"",$H205=""),TRUE,FALSE)</f>
        <v>0</v>
      </c>
      <c r="BA205" s="144" t="b">
        <f>IF(AND($C205&lt;&gt;"",$J205=""),TRUE,FALSE)</f>
        <v>0</v>
      </c>
      <c r="BB205" s="144" t="b">
        <f>IF(AND($C205&lt;&gt;"",$L205=""),TRUE,FALSE)</f>
        <v>0</v>
      </c>
      <c r="BC205" s="144" t="b">
        <f>IF(AND($C205&lt;&gt;"",$N205=""),TRUE,FALSE)</f>
        <v>0</v>
      </c>
      <c r="BD205" s="142" t="b">
        <f>IF($BE205=TRUE,FALSE,IF(OR($P205&lt;$BD$5,$P205&gt;$BE$5),TRUE,FALSE))</f>
        <v>0</v>
      </c>
      <c r="BE205" s="144" t="b">
        <f>IF(AND($C205&lt;&gt;"",$P205=""),TRUE,FALSE)</f>
        <v>0</v>
      </c>
      <c r="BF205" s="144" t="b">
        <f>IF($BG205=TRUE,FALSE,IF(OR($R205&lt;$BF$5,$R205&gt;$BG$5),TRUE,FALSE))</f>
        <v>0</v>
      </c>
      <c r="BG205" s="144" t="b">
        <f>IF(AND($C205&lt;&gt;"",$R205=""),TRUE,FALSE)</f>
        <v>0</v>
      </c>
      <c r="BH205" s="160" t="b">
        <f>IF(BI205=TRUE,FALSE,IF(AND(V205&lt;&gt;"",V$11=""),TRUE,IF(AND(V205&lt;&gt;"",V$11&lt;&gt;"",$R205&lt;&gt;$AP205),TRUE,IF(OR(V205&lt;0,V205&gt;$R205),TRUE,FALSE))))</f>
        <v>0</v>
      </c>
      <c r="BI205" s="144" t="b">
        <f>IF(AND($C205&lt;&gt;"",V$11&lt;&gt;"",$V205=""),TRUE,FALSE)</f>
        <v>0</v>
      </c>
      <c r="BJ205" s="160" t="b">
        <f>IF(BK205=TRUE,FALSE,IF(AND(X205&lt;&gt;"",X$11=""),TRUE,IF(AND(X205&lt;&gt;"",X$11&lt;&gt;"",$R205&lt;&gt;$AP205),TRUE,IF(OR(X205&lt;0,X205&gt;$R205),TRUE,FALSE))))</f>
        <v>0</v>
      </c>
      <c r="BK205" s="144" t="b">
        <f>IF(AND($C205&lt;&gt;"",X$11&lt;&gt;"",$X205=""),TRUE,FALSE)</f>
        <v>0</v>
      </c>
      <c r="BL205" s="160" t="b">
        <f>IF(BM205=TRUE,FALSE,IF(AND(Z205&lt;&gt;"",Z$11=""),TRUE,IF(AND(Z205&lt;&gt;"",Z$11&lt;&gt;"",$R205&lt;&gt;$AP205),TRUE,IF(OR(Z205&lt;0,Z205&gt;$R205),TRUE,FALSE))))</f>
        <v>0</v>
      </c>
      <c r="BM205" s="144" t="b">
        <f>IF(AND($C205&lt;&gt;"",Z$11&lt;&gt;"",$Z205=""),TRUE,FALSE)</f>
        <v>0</v>
      </c>
      <c r="BN205" s="160" t="b">
        <f>IF(BO205=TRUE,FALSE,IF(AND(AB205&lt;&gt;"",AB$11=""),TRUE,IF(AND(AB205&lt;&gt;"",AB$11&lt;&gt;"",$R205&lt;&gt;$AP205),TRUE,IF(OR(AB205&lt;0,AB205&gt;$R205),TRUE,FALSE))))</f>
        <v>0</v>
      </c>
      <c r="BO205" s="144" t="b">
        <f>IF(AND($C205&lt;&gt;"",AB$11&lt;&gt;"",$AB205=""),TRUE,FALSE)</f>
        <v>0</v>
      </c>
      <c r="BP205" s="160" t="b">
        <f>IF(BQ205=TRUE,FALSE,IF(AND(AD205&lt;&gt;"",AD$11=""),TRUE,IF(AND(AD205&lt;&gt;"",AD$11&lt;&gt;"",$R205&lt;&gt;$AP205),TRUE,IF(OR(AD205&lt;0,AD205&gt;$R205),TRUE,FALSE))))</f>
        <v>0</v>
      </c>
      <c r="BQ205" s="144" t="b">
        <f>IF(AND($C205&lt;&gt;"",AD$11&lt;&gt;"",$AD205=""),TRUE,FALSE)</f>
        <v>0</v>
      </c>
      <c r="BR205" s="160" t="b">
        <f>IF(BS205=TRUE,FALSE,IF(AND(AF205&lt;&gt;"",AF$11=""),TRUE,IF(AND(AF205&lt;&gt;"",AF$11&lt;&gt;"",$R205&lt;&gt;$AP205),TRUE,IF(OR(AF205&lt;0,AF205&gt;$R205),TRUE,FALSE))))</f>
        <v>0</v>
      </c>
      <c r="BS205" s="144" t="b">
        <f>IF(AND($C205&lt;&gt;"",AF$11&lt;&gt;"",$AF205=""),TRUE,FALSE)</f>
        <v>0</v>
      </c>
      <c r="BT205" s="160" t="b">
        <f>IF(BU205=TRUE,FALSE,IF(AND(AH205&lt;&gt;"",AH$11=""),TRUE,IF(AND(AH205&lt;&gt;"",AH$11&lt;&gt;"",$R205&lt;&gt;$AP205),TRUE,IF(OR(AH205&lt;0,AH205&gt;$R205),TRUE,FALSE))))</f>
        <v>0</v>
      </c>
      <c r="BU205" s="144" t="b">
        <f>IF(AND($C205&lt;&gt;"",AH$11&lt;&gt;"",$AH205=""),TRUE,FALSE)</f>
        <v>0</v>
      </c>
      <c r="BV205" s="160" t="b">
        <f>IF(BW205=TRUE,FALSE,IF(AND(AJ205&lt;&gt;"",AJ$11=""),TRUE,IF(AND(AJ205&lt;&gt;"",AJ$11&lt;&gt;"",$R205&lt;&gt;$AP205),TRUE,IF(OR(AJ205&lt;0,AJ205&gt;$R205),TRUE,FALSE))))</f>
        <v>0</v>
      </c>
      <c r="BW205" s="144" t="b">
        <f>IF(AND($C205&lt;&gt;"",AJ$11&lt;&gt;"",$AJ205=""),TRUE,FALSE)</f>
        <v>0</v>
      </c>
      <c r="BX205" s="160" t="b">
        <f>IF(BY205=TRUE,FALSE,IF(AND(AL205&lt;&gt;"",AL$11=""),TRUE,IF(AND(AL205&lt;&gt;"",AL$11&lt;&gt;"",$R205&lt;&gt;$AP205),TRUE,IF(OR(AL205&lt;0,AL205&gt;$R205),TRUE,FALSE))))</f>
        <v>0</v>
      </c>
      <c r="BY205" s="144" t="b">
        <f>IF(AND($C205&lt;&gt;"",AL$11&lt;&gt;"",$AL205=""),TRUE,FALSE)</f>
        <v>0</v>
      </c>
      <c r="BZ205" s="160" t="b">
        <f>IF(CA205=TRUE,FALSE,IF(AND(AN205&lt;&gt;"",AN$11=""),TRUE,IF(AND(AN205&lt;&gt;"",AN$11&lt;&gt;"",$R205&lt;&gt;$AP205),TRUE,IF(OR(AN205&lt;0,AN205&gt;$R205),TRUE,FALSE))))</f>
        <v>0</v>
      </c>
      <c r="CA205" s="144" t="b">
        <f>IF(AND($C205&lt;&gt;"",AN$11&lt;&gt;"",$AN205=""),TRUE,FALSE)</f>
        <v>0</v>
      </c>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4"/>
    </row>
    <row r="206" spans="1:101" ht="6.75" customHeight="1" thickBot="1" x14ac:dyDescent="0.25">
      <c r="A206" s="228"/>
      <c r="B206" s="228"/>
      <c r="C206" s="232"/>
      <c r="D206" s="267"/>
      <c r="I206" s="267"/>
      <c r="K206" s="228"/>
      <c r="M206" s="267"/>
      <c r="O206" s="267"/>
      <c r="Q206" s="267"/>
      <c r="S206" s="267"/>
      <c r="U206" s="267"/>
      <c r="V206" s="283"/>
      <c r="W206" s="267"/>
      <c r="X206" s="283"/>
      <c r="Y206" s="267"/>
      <c r="Z206" s="283"/>
      <c r="AA206" s="267"/>
      <c r="AB206" s="283"/>
      <c r="AC206" s="267"/>
      <c r="AD206" s="283"/>
      <c r="AE206" s="267"/>
      <c r="AF206" s="283"/>
      <c r="AG206" s="267"/>
      <c r="AH206" s="283"/>
      <c r="AI206" s="267"/>
      <c r="AJ206" s="283"/>
      <c r="AK206" s="267"/>
      <c r="AL206" s="283"/>
      <c r="AM206" s="267"/>
      <c r="AN206" s="283"/>
      <c r="AO206" s="267"/>
      <c r="AP206" s="267"/>
      <c r="AQ206" s="267"/>
      <c r="AR206" s="232"/>
      <c r="AY206" s="145"/>
      <c r="AZ206" s="146"/>
      <c r="BA206" s="146"/>
      <c r="BB206" s="146"/>
      <c r="BC206" s="146"/>
      <c r="BD206" s="145"/>
      <c r="BE206" s="146"/>
      <c r="BF206" s="146"/>
      <c r="BG206" s="146"/>
      <c r="BH206" s="145"/>
      <c r="BI206" s="146"/>
      <c r="BJ206" s="145"/>
      <c r="BK206" s="146"/>
      <c r="BL206" s="145"/>
      <c r="BM206" s="146"/>
      <c r="BN206" s="145"/>
      <c r="BO206" s="146"/>
      <c r="BP206" s="145"/>
      <c r="BQ206" s="146"/>
      <c r="BR206" s="145"/>
      <c r="BS206" s="146"/>
      <c r="BT206" s="145"/>
      <c r="BU206" s="146"/>
      <c r="BV206" s="145"/>
      <c r="BW206" s="146"/>
      <c r="BX206" s="145"/>
      <c r="BY206" s="146"/>
      <c r="BZ206" s="145"/>
      <c r="CA206" s="146"/>
    </row>
    <row r="207" spans="1:101" s="101" customFormat="1" ht="12.75" customHeight="1" x14ac:dyDescent="0.2">
      <c r="A207" s="227">
        <f>A205+1</f>
        <v>96</v>
      </c>
      <c r="B207" s="227"/>
      <c r="C207" s="231"/>
      <c r="D207" s="251" t="str">
        <f>IF((C207=""),"Enter Segment "&amp;TEXT(A207,0)&amp;" Name, then Enter Data in Columns "&amp;TEXT($H$2,0)&amp;" - "&amp;TEXT($AN$2,0)&amp;"       ","")</f>
        <v xml:space="preserve">Enter Segment 96 Name, then Enter Data in Columns h - an       </v>
      </c>
      <c r="E207" s="131" t="str">
        <f>IF($AW207="B","N/A",IF(AX207="N","No",IF(AX207="Y","Yes","")))</f>
        <v>N/A</v>
      </c>
      <c r="F207" s="130"/>
      <c r="G207" s="130"/>
      <c r="H207" s="285"/>
      <c r="I207" s="251" t="str">
        <f>IF($C207&lt;&gt;"","Enter Starting Point       ","")</f>
        <v/>
      </c>
      <c r="J207" s="285"/>
      <c r="K207" s="227"/>
      <c r="L207" s="88"/>
      <c r="M207" s="251" t="str">
        <f>IF($C207&lt;&gt;"","Select from Pull-Down List  ","")</f>
        <v/>
      </c>
      <c r="N207" s="88"/>
      <c r="O207" s="251" t="str">
        <f>IF($C207&lt;&gt;"","Select from Pull-Down List  ","")</f>
        <v/>
      </c>
      <c r="P207" s="131"/>
      <c r="Q207" s="251" t="str">
        <f>IF($C207&lt;&gt;"","Dir. Route-Mi?    ","")</f>
        <v/>
      </c>
      <c r="R207" s="131"/>
      <c r="S207" s="251" t="str">
        <f>IF($C207&lt;&gt;"","Trk-Mi?      ","")</f>
        <v/>
      </c>
      <c r="T207" s="131"/>
      <c r="U207" s="251" t="str">
        <f>IF($C207&lt;&gt;"","Trk-Mi?      ","")</f>
        <v/>
      </c>
      <c r="V207" s="284"/>
      <c r="W207" s="278" t="str">
        <f>IF(OR($R207="",V$11=""),"","0 - "&amp;TEXT($R207-$AP207,"0.0")&amp;" Trk-Mi?    ")</f>
        <v/>
      </c>
      <c r="X207" s="284"/>
      <c r="Y207" s="278" t="str">
        <f>IF(OR($R207="",X$11=""),"","0 - "&amp;TEXT($R207-$AP207,"0.0")&amp;" Trk-Mi?    ")</f>
        <v/>
      </c>
      <c r="Z207" s="284"/>
      <c r="AA207" s="278" t="str">
        <f>IF(OR($R207="",Z$11=""),"","0 - "&amp;TEXT($R207-$AP207,"0.0")&amp;" Trk-Mi?    ")</f>
        <v/>
      </c>
      <c r="AB207" s="284"/>
      <c r="AC207" s="278" t="str">
        <f>IF(OR($R207="",AB$11=""),"","0 - "&amp;TEXT($R207-$AP207,"0.0")&amp;" Trk-Mi?    ")</f>
        <v/>
      </c>
      <c r="AD207" s="284"/>
      <c r="AE207" s="278" t="str">
        <f>IF(OR($R207="",AD$11=""),"","0 - "&amp;TEXT($R207-$AP207,"0.0")&amp;" Trk-Mi?    ")</f>
        <v/>
      </c>
      <c r="AF207" s="284"/>
      <c r="AG207" s="278" t="str">
        <f>IF(OR($R207="",AF$11=""),"","0 - "&amp;TEXT($R207-$AP207,"0.0")&amp;" Trk-Mi?    ")</f>
        <v/>
      </c>
      <c r="AH207" s="284"/>
      <c r="AI207" s="278" t="str">
        <f>IF(OR($R207="",AH$11=""),"","0 - "&amp;TEXT($R207-$AP207,"0.0")&amp;" Trk-Mi?    ")</f>
        <v/>
      </c>
      <c r="AJ207" s="284"/>
      <c r="AK207" s="278" t="str">
        <f>IF(OR($R207="",AJ$11=""),"","0 - "&amp;TEXT($R207-$AP207,"0.0")&amp;" Trk-Mi?    ")</f>
        <v/>
      </c>
      <c r="AL207" s="284"/>
      <c r="AM207" s="278" t="str">
        <f>IF(OR($R207="",AL$11=""),"","0 - "&amp;TEXT($R207-$AP207,"0.0")&amp;" Trk-Mi?    ")</f>
        <v/>
      </c>
      <c r="AN207" s="284"/>
      <c r="AO207" s="278" t="str">
        <f>IF(OR($R207="",AN$11=""),"","0 - "&amp;TEXT($R207-$AP207,"0.0")&amp;" Trk-Mi?    ")</f>
        <v/>
      </c>
      <c r="AP207" s="282">
        <f>SUM(V207,X207,Z207,AB207,AD207,AF207,AH207,AJ207,AL207,AN207)</f>
        <v>0</v>
      </c>
      <c r="AQ207" s="278"/>
      <c r="AR207" s="234"/>
      <c r="AS207" s="107"/>
      <c r="AT207" s="107"/>
      <c r="AU207" s="107"/>
      <c r="AW207" s="107" t="str">
        <f>IF(AND($C207="",$H207="",$J207="",$L207="",$N207="",$P207="",$R207=""),"B","NB")</f>
        <v>B</v>
      </c>
      <c r="AX207" s="241" t="str">
        <f>IF(OR($C207="",$H207="",$J207="",$L207="",$N207="",$R207="",$P207="",AND($V$11&lt;&gt;"",$V207=""),AND($X$11&lt;&gt;"",$X207=""),AND($Z$11&lt;&gt;"",$Z207=""),AND($AB$11&lt;&gt;"",$AB207=""),AND($AD$11&lt;&gt;"",$AD207=""),AND($AF$11&lt;&gt;"",$AF207=""),AND($AH$11&lt;&gt;"",$AH207=""),AND($AJ$11&lt;&gt;"",$AJ207=""),AND($AL$11&lt;&gt;"",$AL207=""),AND($AN$11&lt;&gt;"",$AN207="")),"N","Y")</f>
        <v>N</v>
      </c>
      <c r="AY207" s="142" t="b">
        <f>IF(AND($C207="",OR($H207&lt;&gt;"",$J207&lt;&gt;"",$L207&lt;&gt;"",$N207&lt;&gt;"",$R207&lt;&gt;"",$P207&lt;&gt;"",AND($V$11&lt;&gt;"",$V207&lt;&gt;""),AND($X$11&lt;&gt;"",$X207&lt;&gt;""),AND($Z$11&lt;&gt;"",$Z207&lt;&gt;""),AND($AB$11&lt;&gt;"",$AB207&lt;&gt;""),AND($AD$11&lt;&gt;"",$AD207&lt;&gt;""),AND($AF$11&lt;&gt;"",$AF207&lt;&gt;""),AND($AH$11&lt;&gt;"",$AH207&lt;&gt;""),AND($AJ$11&lt;&gt;"",$AJ207&lt;&gt;""),AND($AL$11&lt;&gt;"",$AL207&lt;&gt;""),AND($AN$11&lt;&gt;"",$AN207&lt;&gt;""))),TRUE,FALSE)</f>
        <v>0</v>
      </c>
      <c r="AZ207" s="144" t="b">
        <f>IF(AND($C207&lt;&gt;"",$H207=""),TRUE,FALSE)</f>
        <v>0</v>
      </c>
      <c r="BA207" s="144" t="b">
        <f>IF(AND($C207&lt;&gt;"",$J207=""),TRUE,FALSE)</f>
        <v>0</v>
      </c>
      <c r="BB207" s="144" t="b">
        <f>IF(AND($C207&lt;&gt;"",$L207=""),TRUE,FALSE)</f>
        <v>0</v>
      </c>
      <c r="BC207" s="144" t="b">
        <f>IF(AND($C207&lt;&gt;"",$N207=""),TRUE,FALSE)</f>
        <v>0</v>
      </c>
      <c r="BD207" s="142" t="b">
        <f>IF($BE207=TRUE,FALSE,IF(OR($P207&lt;$BD$5,$P207&gt;$BE$5),TRUE,FALSE))</f>
        <v>0</v>
      </c>
      <c r="BE207" s="144" t="b">
        <f>IF(AND($C207&lt;&gt;"",$P207=""),TRUE,FALSE)</f>
        <v>0</v>
      </c>
      <c r="BF207" s="144" t="b">
        <f>IF($BG207=TRUE,FALSE,IF(OR($R207&lt;$BF$5,$R207&gt;$BG$5),TRUE,FALSE))</f>
        <v>0</v>
      </c>
      <c r="BG207" s="144" t="b">
        <f>IF(AND($C207&lt;&gt;"",$R207=""),TRUE,FALSE)</f>
        <v>0</v>
      </c>
      <c r="BH207" s="160" t="b">
        <f>IF(BI207=TRUE,FALSE,IF(AND(V207&lt;&gt;"",V$11=""),TRUE,IF(AND(V207&lt;&gt;"",V$11&lt;&gt;"",$R207&lt;&gt;$AP207),TRUE,IF(OR(V207&lt;0,V207&gt;$R207),TRUE,FALSE))))</f>
        <v>0</v>
      </c>
      <c r="BI207" s="144" t="b">
        <f>IF(AND($C207&lt;&gt;"",V$11&lt;&gt;"",$V207=""),TRUE,FALSE)</f>
        <v>0</v>
      </c>
      <c r="BJ207" s="160" t="b">
        <f>IF(BK207=TRUE,FALSE,IF(AND(X207&lt;&gt;"",X$11=""),TRUE,IF(AND(X207&lt;&gt;"",X$11&lt;&gt;"",$R207&lt;&gt;$AP207),TRUE,IF(OR(X207&lt;0,X207&gt;$R207),TRUE,FALSE))))</f>
        <v>0</v>
      </c>
      <c r="BK207" s="144" t="b">
        <f>IF(AND($C207&lt;&gt;"",X$11&lt;&gt;"",$X207=""),TRUE,FALSE)</f>
        <v>0</v>
      </c>
      <c r="BL207" s="160" t="b">
        <f>IF(BM207=TRUE,FALSE,IF(AND(Z207&lt;&gt;"",Z$11=""),TRUE,IF(AND(Z207&lt;&gt;"",Z$11&lt;&gt;"",$R207&lt;&gt;$AP207),TRUE,IF(OR(Z207&lt;0,Z207&gt;$R207),TRUE,FALSE))))</f>
        <v>0</v>
      </c>
      <c r="BM207" s="144" t="b">
        <f>IF(AND($C207&lt;&gt;"",Z$11&lt;&gt;"",$Z207=""),TRUE,FALSE)</f>
        <v>0</v>
      </c>
      <c r="BN207" s="160" t="b">
        <f>IF(BO207=TRUE,FALSE,IF(AND(AB207&lt;&gt;"",AB$11=""),TRUE,IF(AND(AB207&lt;&gt;"",AB$11&lt;&gt;"",$R207&lt;&gt;$AP207),TRUE,IF(OR(AB207&lt;0,AB207&gt;$R207),TRUE,FALSE))))</f>
        <v>0</v>
      </c>
      <c r="BO207" s="144" t="b">
        <f>IF(AND($C207&lt;&gt;"",AB$11&lt;&gt;"",$AB207=""),TRUE,FALSE)</f>
        <v>0</v>
      </c>
      <c r="BP207" s="160" t="b">
        <f>IF(BQ207=TRUE,FALSE,IF(AND(AD207&lt;&gt;"",AD$11=""),TRUE,IF(AND(AD207&lt;&gt;"",AD$11&lt;&gt;"",$R207&lt;&gt;$AP207),TRUE,IF(OR(AD207&lt;0,AD207&gt;$R207),TRUE,FALSE))))</f>
        <v>0</v>
      </c>
      <c r="BQ207" s="144" t="b">
        <f>IF(AND($C207&lt;&gt;"",AD$11&lt;&gt;"",$AD207=""),TRUE,FALSE)</f>
        <v>0</v>
      </c>
      <c r="BR207" s="160" t="b">
        <f>IF(BS207=TRUE,FALSE,IF(AND(AF207&lt;&gt;"",AF$11=""),TRUE,IF(AND(AF207&lt;&gt;"",AF$11&lt;&gt;"",$R207&lt;&gt;$AP207),TRUE,IF(OR(AF207&lt;0,AF207&gt;$R207),TRUE,FALSE))))</f>
        <v>0</v>
      </c>
      <c r="BS207" s="144" t="b">
        <f>IF(AND($C207&lt;&gt;"",AF$11&lt;&gt;"",$AF207=""),TRUE,FALSE)</f>
        <v>0</v>
      </c>
      <c r="BT207" s="160" t="b">
        <f>IF(BU207=TRUE,FALSE,IF(AND(AH207&lt;&gt;"",AH$11=""),TRUE,IF(AND(AH207&lt;&gt;"",AH$11&lt;&gt;"",$R207&lt;&gt;$AP207),TRUE,IF(OR(AH207&lt;0,AH207&gt;$R207),TRUE,FALSE))))</f>
        <v>0</v>
      </c>
      <c r="BU207" s="144" t="b">
        <f>IF(AND($C207&lt;&gt;"",AH$11&lt;&gt;"",$AH207=""),TRUE,FALSE)</f>
        <v>0</v>
      </c>
      <c r="BV207" s="160" t="b">
        <f>IF(BW207=TRUE,FALSE,IF(AND(AJ207&lt;&gt;"",AJ$11=""),TRUE,IF(AND(AJ207&lt;&gt;"",AJ$11&lt;&gt;"",$R207&lt;&gt;$AP207),TRUE,IF(OR(AJ207&lt;0,AJ207&gt;$R207),TRUE,FALSE))))</f>
        <v>0</v>
      </c>
      <c r="BW207" s="144" t="b">
        <f>IF(AND($C207&lt;&gt;"",AJ$11&lt;&gt;"",$AJ207=""),TRUE,FALSE)</f>
        <v>0</v>
      </c>
      <c r="BX207" s="160" t="b">
        <f>IF(BY207=TRUE,FALSE,IF(AND(AL207&lt;&gt;"",AL$11=""),TRUE,IF(AND(AL207&lt;&gt;"",AL$11&lt;&gt;"",$R207&lt;&gt;$AP207),TRUE,IF(OR(AL207&lt;0,AL207&gt;$R207),TRUE,FALSE))))</f>
        <v>0</v>
      </c>
      <c r="BY207" s="144" t="b">
        <f>IF(AND($C207&lt;&gt;"",AL$11&lt;&gt;"",$AL207=""),TRUE,FALSE)</f>
        <v>0</v>
      </c>
      <c r="BZ207" s="160" t="b">
        <f>IF(CA207=TRUE,FALSE,IF(AND(AN207&lt;&gt;"",AN$11=""),TRUE,IF(AND(AN207&lt;&gt;"",AN$11&lt;&gt;"",$R207&lt;&gt;$AP207),TRUE,IF(OR(AN207&lt;0,AN207&gt;$R207),TRUE,FALSE))))</f>
        <v>0</v>
      </c>
      <c r="CA207" s="144" t="b">
        <f>IF(AND($C207&lt;&gt;"",AN$11&lt;&gt;"",$AN207=""),TRUE,FALSE)</f>
        <v>0</v>
      </c>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4"/>
    </row>
    <row r="208" spans="1:101" ht="6.75" customHeight="1" thickBot="1" x14ac:dyDescent="0.25">
      <c r="A208" s="228"/>
      <c r="B208" s="228"/>
      <c r="C208" s="232"/>
      <c r="D208" s="267"/>
      <c r="E208" s="130"/>
      <c r="I208" s="267"/>
      <c r="K208" s="228"/>
      <c r="M208" s="267"/>
      <c r="O208" s="267"/>
      <c r="Q208" s="267"/>
      <c r="S208" s="267"/>
      <c r="U208" s="267"/>
      <c r="V208" s="283"/>
      <c r="W208" s="267"/>
      <c r="X208" s="283"/>
      <c r="Y208" s="267"/>
      <c r="Z208" s="283"/>
      <c r="AA208" s="267"/>
      <c r="AB208" s="283"/>
      <c r="AC208" s="267"/>
      <c r="AD208" s="283"/>
      <c r="AE208" s="267"/>
      <c r="AF208" s="283"/>
      <c r="AG208" s="267"/>
      <c r="AH208" s="283"/>
      <c r="AI208" s="267"/>
      <c r="AJ208" s="283"/>
      <c r="AK208" s="267"/>
      <c r="AL208" s="283"/>
      <c r="AM208" s="267"/>
      <c r="AN208" s="283"/>
      <c r="AO208" s="267"/>
      <c r="AP208" s="267"/>
      <c r="AQ208" s="267"/>
      <c r="AR208" s="232"/>
      <c r="AY208" s="145"/>
      <c r="AZ208" s="146"/>
      <c r="BA208" s="146"/>
      <c r="BB208" s="146"/>
      <c r="BC208" s="146"/>
      <c r="BD208" s="145"/>
      <c r="BE208" s="146"/>
      <c r="BF208" s="146"/>
      <c r="BG208" s="146"/>
      <c r="BH208" s="145"/>
      <c r="BI208" s="146"/>
      <c r="BJ208" s="145"/>
      <c r="BK208" s="146"/>
      <c r="BL208" s="145"/>
      <c r="BM208" s="146"/>
      <c r="BN208" s="145"/>
      <c r="BO208" s="146"/>
      <c r="BP208" s="145"/>
      <c r="BQ208" s="146"/>
      <c r="BR208" s="145"/>
      <c r="BS208" s="146"/>
      <c r="BT208" s="145"/>
      <c r="BU208" s="146"/>
      <c r="BV208" s="145"/>
      <c r="BW208" s="146"/>
      <c r="BX208" s="145"/>
      <c r="BY208" s="146"/>
      <c r="BZ208" s="145"/>
      <c r="CA208" s="146"/>
    </row>
    <row r="209" spans="1:101" s="101" customFormat="1" ht="12.75" customHeight="1" x14ac:dyDescent="0.2">
      <c r="A209" s="227">
        <f>A207+1</f>
        <v>97</v>
      </c>
      <c r="B209" s="227"/>
      <c r="C209" s="231"/>
      <c r="D209" s="251" t="str">
        <f>IF((C209=""),"Enter Segment "&amp;TEXT(A209,0)&amp;" Name, then Enter Data in Columns "&amp;TEXT($H$2,0)&amp;" - "&amp;TEXT($AN$2,0)&amp;"       ","")</f>
        <v xml:space="preserve">Enter Segment 97 Name, then Enter Data in Columns h - an       </v>
      </c>
      <c r="E209" s="131" t="str">
        <f>IF($AW209="B","N/A",IF(AX209="N","No",IF(AX209="Y","Yes","")))</f>
        <v>N/A</v>
      </c>
      <c r="F209" s="130"/>
      <c r="G209" s="130"/>
      <c r="H209" s="285"/>
      <c r="I209" s="251" t="str">
        <f>IF($C209&lt;&gt;"","Enter Starting Point       ","")</f>
        <v/>
      </c>
      <c r="J209" s="285"/>
      <c r="K209" s="227"/>
      <c r="L209" s="88"/>
      <c r="M209" s="251" t="str">
        <f>IF($C209&lt;&gt;"","Select from Pull-Down List  ","")</f>
        <v/>
      </c>
      <c r="N209" s="88"/>
      <c r="O209" s="251" t="str">
        <f>IF($C209&lt;&gt;"","Select from Pull-Down List  ","")</f>
        <v/>
      </c>
      <c r="P209" s="131"/>
      <c r="Q209" s="251" t="str">
        <f>IF($C209&lt;&gt;"","Dir. Route-Mi?    ","")</f>
        <v/>
      </c>
      <c r="R209" s="131"/>
      <c r="S209" s="251" t="str">
        <f>IF($C209&lt;&gt;"","Trk-Mi?      ","")</f>
        <v/>
      </c>
      <c r="T209" s="131"/>
      <c r="U209" s="251" t="str">
        <f>IF($C209&lt;&gt;"","Trk-Mi?      ","")</f>
        <v/>
      </c>
      <c r="V209" s="284"/>
      <c r="W209" s="278" t="str">
        <f>IF(OR($R209="",V$11=""),"","0 - "&amp;TEXT($R209-$AP209,"0.0")&amp;" Trk-Mi?    ")</f>
        <v/>
      </c>
      <c r="X209" s="284"/>
      <c r="Y209" s="278" t="str">
        <f>IF(OR($R209="",X$11=""),"","0 - "&amp;TEXT($R209-$AP209,"0.0")&amp;" Trk-Mi?    ")</f>
        <v/>
      </c>
      <c r="Z209" s="284"/>
      <c r="AA209" s="278" t="str">
        <f>IF(OR($R209="",Z$11=""),"","0 - "&amp;TEXT($R209-$AP209,"0.0")&amp;" Trk-Mi?    ")</f>
        <v/>
      </c>
      <c r="AB209" s="284"/>
      <c r="AC209" s="278" t="str">
        <f>IF(OR($R209="",AB$11=""),"","0 - "&amp;TEXT($R209-$AP209,"0.0")&amp;" Trk-Mi?    ")</f>
        <v/>
      </c>
      <c r="AD209" s="284"/>
      <c r="AE209" s="278" t="str">
        <f>IF(OR($R209="",AD$11=""),"","0 - "&amp;TEXT($R209-$AP209,"0.0")&amp;" Trk-Mi?    ")</f>
        <v/>
      </c>
      <c r="AF209" s="284"/>
      <c r="AG209" s="278" t="str">
        <f>IF(OR($R209="",AF$11=""),"","0 - "&amp;TEXT($R209-$AP209,"0.0")&amp;" Trk-Mi?    ")</f>
        <v/>
      </c>
      <c r="AH209" s="284"/>
      <c r="AI209" s="278" t="str">
        <f>IF(OR($R209="",AH$11=""),"","0 - "&amp;TEXT($R209-$AP209,"0.0")&amp;" Trk-Mi?    ")</f>
        <v/>
      </c>
      <c r="AJ209" s="284"/>
      <c r="AK209" s="278" t="str">
        <f>IF(OR($R209="",AJ$11=""),"","0 - "&amp;TEXT($R209-$AP209,"0.0")&amp;" Trk-Mi?    ")</f>
        <v/>
      </c>
      <c r="AL209" s="284"/>
      <c r="AM209" s="278" t="str">
        <f>IF(OR($R209="",AL$11=""),"","0 - "&amp;TEXT($R209-$AP209,"0.0")&amp;" Trk-Mi?    ")</f>
        <v/>
      </c>
      <c r="AN209" s="284"/>
      <c r="AO209" s="278" t="str">
        <f>IF(OR($R209="",AN$11=""),"","0 - "&amp;TEXT($R209-$AP209,"0.0")&amp;" Trk-Mi?    ")</f>
        <v/>
      </c>
      <c r="AP209" s="282">
        <f>SUM(V209,X209,Z209,AB209,AD209,AF209,AH209,AJ209,AL209,AN209)</f>
        <v>0</v>
      </c>
      <c r="AQ209" s="278"/>
      <c r="AR209" s="234"/>
      <c r="AS209" s="107"/>
      <c r="AT209" s="107"/>
      <c r="AU209" s="107"/>
      <c r="AW209" s="107" t="str">
        <f>IF(AND($C209="",$H209="",$J209="",$L209="",$N209="",$P209="",$R209=""),"B","NB")</f>
        <v>B</v>
      </c>
      <c r="AX209" s="241" t="str">
        <f>IF(OR($C209="",$H209="",$J209="",$L209="",$N209="",$R209="",$P209="",AND($V$11&lt;&gt;"",$V209=""),AND($X$11&lt;&gt;"",$X209=""),AND($Z$11&lt;&gt;"",$Z209=""),AND($AB$11&lt;&gt;"",$AB209=""),AND($AD$11&lt;&gt;"",$AD209=""),AND($AF$11&lt;&gt;"",$AF209=""),AND($AH$11&lt;&gt;"",$AH209=""),AND($AJ$11&lt;&gt;"",$AJ209=""),AND($AL$11&lt;&gt;"",$AL209=""),AND($AN$11&lt;&gt;"",$AN209="")),"N","Y")</f>
        <v>N</v>
      </c>
      <c r="AY209" s="142" t="b">
        <f>IF(AND($C209="",OR($H209&lt;&gt;"",$J209&lt;&gt;"",$L209&lt;&gt;"",$N209&lt;&gt;"",$R209&lt;&gt;"",$P209&lt;&gt;"",AND($V$11&lt;&gt;"",$V209&lt;&gt;""),AND($X$11&lt;&gt;"",$X209&lt;&gt;""),AND($Z$11&lt;&gt;"",$Z209&lt;&gt;""),AND($AB$11&lt;&gt;"",$AB209&lt;&gt;""),AND($AD$11&lt;&gt;"",$AD209&lt;&gt;""),AND($AF$11&lt;&gt;"",$AF209&lt;&gt;""),AND($AH$11&lt;&gt;"",$AH209&lt;&gt;""),AND($AJ$11&lt;&gt;"",$AJ209&lt;&gt;""),AND($AL$11&lt;&gt;"",$AL209&lt;&gt;""),AND($AN$11&lt;&gt;"",$AN209&lt;&gt;""))),TRUE,FALSE)</f>
        <v>0</v>
      </c>
      <c r="AZ209" s="144" t="b">
        <f>IF(AND($C209&lt;&gt;"",$H209=""),TRUE,FALSE)</f>
        <v>0</v>
      </c>
      <c r="BA209" s="144" t="b">
        <f>IF(AND($C209&lt;&gt;"",$J209=""),TRUE,FALSE)</f>
        <v>0</v>
      </c>
      <c r="BB209" s="144" t="b">
        <f>IF(AND($C209&lt;&gt;"",$L209=""),TRUE,FALSE)</f>
        <v>0</v>
      </c>
      <c r="BC209" s="144" t="b">
        <f>IF(AND($C209&lt;&gt;"",$N209=""),TRUE,FALSE)</f>
        <v>0</v>
      </c>
      <c r="BD209" s="144" t="b">
        <f>IF($BE209=TRUE,FALSE,IF(OR($P209&lt;$BD$5,$P209&gt;$BE$5),TRUE,FALSE))</f>
        <v>0</v>
      </c>
      <c r="BE209" s="144" t="b">
        <f>IF(AND($C209&lt;&gt;"",$P209=""),TRUE,FALSE)</f>
        <v>0</v>
      </c>
      <c r="BF209" s="144" t="b">
        <f>IF($BG209=TRUE,FALSE,IF(OR($R209&lt;$BF$5,$R209&gt;$BG$5),TRUE,FALSE))</f>
        <v>0</v>
      </c>
      <c r="BG209" s="142" t="b">
        <f>IF(AND($C209&lt;&gt;"",$R209=""),TRUE,FALSE)</f>
        <v>0</v>
      </c>
      <c r="BH209" s="160" t="b">
        <f>IF(BI209=TRUE,FALSE,IF(AND(V209&lt;&gt;"",V$11=""),TRUE,IF(AND(V209&lt;&gt;"",V$11&lt;&gt;"",$R209&lt;&gt;$AP209),TRUE,IF(OR(V209&lt;0,V209&gt;$R209),TRUE,FALSE))))</f>
        <v>0</v>
      </c>
      <c r="BI209" s="144" t="b">
        <f>IF(AND($C209&lt;&gt;"",V$11&lt;&gt;"",$V209=""),TRUE,FALSE)</f>
        <v>0</v>
      </c>
      <c r="BJ209" s="160" t="b">
        <f>IF(BK209=TRUE,FALSE,IF(AND(X209&lt;&gt;"",X$11=""),TRUE,IF(AND(X209&lt;&gt;"",X$11&lt;&gt;"",$R209&lt;&gt;$AP209),TRUE,IF(OR(X209&lt;0,X209&gt;$R209),TRUE,FALSE))))</f>
        <v>0</v>
      </c>
      <c r="BK209" s="144" t="b">
        <f>IF(AND($C209&lt;&gt;"",X$11&lt;&gt;"",$X209=""),TRUE,FALSE)</f>
        <v>0</v>
      </c>
      <c r="BL209" s="160" t="b">
        <f>IF(BM209=TRUE,FALSE,IF(AND(Z209&lt;&gt;"",Z$11=""),TRUE,IF(AND(Z209&lt;&gt;"",Z$11&lt;&gt;"",$R209&lt;&gt;$AP209),TRUE,IF(OR(Z209&lt;0,Z209&gt;$R209),TRUE,FALSE))))</f>
        <v>0</v>
      </c>
      <c r="BM209" s="144" t="b">
        <f>IF(AND($C209&lt;&gt;"",Z$11&lt;&gt;"",$Z209=""),TRUE,FALSE)</f>
        <v>0</v>
      </c>
      <c r="BN209" s="160" t="b">
        <f>IF(BO209=TRUE,FALSE,IF(AND(AB209&lt;&gt;"",AB$11=""),TRUE,IF(AND(AB209&lt;&gt;"",AB$11&lt;&gt;"",$R209&lt;&gt;$AP209),TRUE,IF(OR(AB209&lt;0,AB209&gt;$R209),TRUE,FALSE))))</f>
        <v>0</v>
      </c>
      <c r="BO209" s="144" t="b">
        <f>IF(AND($C209&lt;&gt;"",AB$11&lt;&gt;"",$AB209=""),TRUE,FALSE)</f>
        <v>0</v>
      </c>
      <c r="BP209" s="160" t="b">
        <f>IF(BQ209=TRUE,FALSE,IF(AND(AD209&lt;&gt;"",AD$11=""),TRUE,IF(AND(AD209&lt;&gt;"",AD$11&lt;&gt;"",$R209&lt;&gt;$AP209),TRUE,IF(OR(AD209&lt;0,AD209&gt;$R209),TRUE,FALSE))))</f>
        <v>0</v>
      </c>
      <c r="BQ209" s="144" t="b">
        <f>IF(AND($C209&lt;&gt;"",AD$11&lt;&gt;"",$AD209=""),TRUE,FALSE)</f>
        <v>0</v>
      </c>
      <c r="BR209" s="160" t="b">
        <f>IF(BS209=TRUE,FALSE,IF(AND(AF209&lt;&gt;"",AF$11=""),TRUE,IF(AND(AF209&lt;&gt;"",AF$11&lt;&gt;"",$R209&lt;&gt;$AP209),TRUE,IF(OR(AF209&lt;0,AF209&gt;$R209),TRUE,FALSE))))</f>
        <v>0</v>
      </c>
      <c r="BS209" s="144" t="b">
        <f>IF(AND($C209&lt;&gt;"",AF$11&lt;&gt;"",$AF209=""),TRUE,FALSE)</f>
        <v>0</v>
      </c>
      <c r="BT209" s="160" t="b">
        <f>IF(BU209=TRUE,FALSE,IF(AND(AH209&lt;&gt;"",AH$11=""),TRUE,IF(AND(AH209&lt;&gt;"",AH$11&lt;&gt;"",$R209&lt;&gt;$AP209),TRUE,IF(OR(AH209&lt;0,AH209&gt;$R209),TRUE,FALSE))))</f>
        <v>0</v>
      </c>
      <c r="BU209" s="144" t="b">
        <f>IF(AND($C209&lt;&gt;"",AH$11&lt;&gt;"",$AH209=""),TRUE,FALSE)</f>
        <v>0</v>
      </c>
      <c r="BV209" s="160" t="b">
        <f>IF(BW209=TRUE,FALSE,IF(AND(AJ209&lt;&gt;"",AJ$11=""),TRUE,IF(AND(AJ209&lt;&gt;"",AJ$11&lt;&gt;"",$R209&lt;&gt;$AP209),TRUE,IF(OR(AJ209&lt;0,AJ209&gt;$R209),TRUE,FALSE))))</f>
        <v>0</v>
      </c>
      <c r="BW209" s="144" t="b">
        <f>IF(AND($C209&lt;&gt;"",AJ$11&lt;&gt;"",$AJ209=""),TRUE,FALSE)</f>
        <v>0</v>
      </c>
      <c r="BX209" s="160" t="b">
        <f>IF(BY209=TRUE,FALSE,IF(AND(AL209&lt;&gt;"",AL$11=""),TRUE,IF(AND(AL209&lt;&gt;"",AL$11&lt;&gt;"",$R209&lt;&gt;$AP209),TRUE,IF(OR(AL209&lt;0,AL209&gt;$R209),TRUE,FALSE))))</f>
        <v>0</v>
      </c>
      <c r="BY209" s="144" t="b">
        <f>IF(AND($C209&lt;&gt;"",AL$11&lt;&gt;"",$AL209=""),TRUE,FALSE)</f>
        <v>0</v>
      </c>
      <c r="BZ209" s="160" t="b">
        <f>IF(CA209=TRUE,FALSE,IF(AND(AN209&lt;&gt;"",AN$11=""),TRUE,IF(AND(AN209&lt;&gt;"",AN$11&lt;&gt;"",$R209&lt;&gt;$AP209),TRUE,IF(OR(AN209&lt;0,AN209&gt;$R209),TRUE,FALSE))))</f>
        <v>0</v>
      </c>
      <c r="CA209" s="144" t="b">
        <f>IF(AND($C209&lt;&gt;"",AN$11&lt;&gt;"",$AN209=""),TRUE,FALSE)</f>
        <v>0</v>
      </c>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4"/>
    </row>
    <row r="210" spans="1:101" ht="6.75" customHeight="1" x14ac:dyDescent="0.2">
      <c r="A210" s="228"/>
      <c r="B210" s="228"/>
      <c r="I210" s="267"/>
      <c r="K210" s="228"/>
      <c r="M210" s="267"/>
      <c r="O210" s="267"/>
      <c r="Q210" s="267"/>
      <c r="S210" s="267"/>
      <c r="U210" s="267"/>
      <c r="W210" s="267"/>
      <c r="Y210" s="267"/>
      <c r="AA210" s="267"/>
      <c r="AC210" s="267"/>
      <c r="AE210" s="267"/>
      <c r="AG210" s="267"/>
      <c r="AI210" s="267"/>
      <c r="AK210" s="267"/>
      <c r="AM210" s="267"/>
      <c r="AO210" s="267"/>
      <c r="AP210" s="267"/>
      <c r="AQ210" s="267"/>
      <c r="AY210" s="145"/>
      <c r="AZ210" s="146"/>
      <c r="BA210" s="146"/>
      <c r="BB210" s="146"/>
      <c r="BC210" s="146"/>
      <c r="BD210" s="145"/>
      <c r="BE210" s="146"/>
      <c r="BF210" s="146"/>
      <c r="BG210" s="146"/>
      <c r="BH210" s="145"/>
      <c r="BI210" s="146"/>
      <c r="BJ210" s="145"/>
      <c r="BK210" s="146"/>
      <c r="BL210" s="145"/>
      <c r="BM210" s="146"/>
      <c r="BN210" s="145"/>
      <c r="BO210" s="146"/>
      <c r="BP210" s="145"/>
      <c r="BQ210" s="146"/>
      <c r="BR210" s="145"/>
      <c r="BS210" s="146"/>
      <c r="BT210" s="145"/>
      <c r="BU210" s="146"/>
      <c r="BV210" s="145"/>
      <c r="BW210" s="146"/>
      <c r="BX210" s="145"/>
      <c r="BY210" s="146"/>
      <c r="BZ210" s="145"/>
      <c r="CA210" s="146"/>
    </row>
    <row r="211" spans="1:101" x14ac:dyDescent="0.2">
      <c r="A211" s="227"/>
      <c r="B211" s="227"/>
      <c r="I211" s="267"/>
      <c r="K211" s="227"/>
      <c r="M211" s="267"/>
      <c r="O211" s="267"/>
      <c r="Q211" s="267"/>
      <c r="S211" s="267"/>
      <c r="U211" s="267"/>
      <c r="W211" s="267"/>
      <c r="Y211" s="267"/>
      <c r="AA211" s="267"/>
      <c r="AC211" s="267"/>
      <c r="AE211" s="267"/>
      <c r="AG211" s="267"/>
      <c r="AI211" s="267"/>
      <c r="AK211" s="267"/>
      <c r="AM211" s="267"/>
      <c r="AO211" s="267"/>
      <c r="AP211" s="267"/>
      <c r="AQ211" s="267"/>
    </row>
    <row r="212" spans="1:101" x14ac:dyDescent="0.2">
      <c r="M212" s="267"/>
      <c r="O212" s="267"/>
      <c r="Q212" s="267"/>
      <c r="S212" s="267"/>
      <c r="U212" s="267"/>
      <c r="W212" s="267"/>
      <c r="AA212" s="267"/>
      <c r="AC212" s="267"/>
      <c r="AE212" s="267"/>
      <c r="AG212" s="267"/>
      <c r="AI212" s="267"/>
      <c r="AO212" s="267"/>
      <c r="AP212" s="267"/>
      <c r="AQ212" s="267"/>
    </row>
    <row r="213" spans="1:101" x14ac:dyDescent="0.2">
      <c r="AA213" s="267"/>
      <c r="AC213" s="267"/>
      <c r="AE213" s="267"/>
    </row>
  </sheetData>
  <sheetProtection algorithmName="SHA-512" hashValue="B9ZtrzMxal8rptgxa4NXu2xpV8M+OLq+QuLS9oeclkEg8vTkKbeITS1PC9vbsESRPcO2GhjpTZQKK8Dx+0RDrg==" saltValue="srU+B5/F3bAKcBe5WrNmgw==" spinCount="100000" sheet="1" objects="1" scenarios="1" formatCells="0" formatColumns="0" formatRows="0" selectLockedCells="1" sort="0" autoFilter="0"/>
  <mergeCells count="14">
    <mergeCell ref="L10:M10"/>
    <mergeCell ref="N10:O10"/>
    <mergeCell ref="V11:V14"/>
    <mergeCell ref="X11:X14"/>
    <mergeCell ref="Z11:Z14"/>
    <mergeCell ref="AH11:AH14"/>
    <mergeCell ref="AJ11:AJ14"/>
    <mergeCell ref="AL11:AL14"/>
    <mergeCell ref="AN11:AN14"/>
    <mergeCell ref="V8:AN8"/>
    <mergeCell ref="AE9:AG9"/>
    <mergeCell ref="AB11:AB14"/>
    <mergeCell ref="AD11:AD14"/>
    <mergeCell ref="AF11:AF14"/>
  </mergeCells>
  <conditionalFormatting sqref="C17:C1048576">
    <cfRule type="expression" dxfId="1031" priority="15">
      <formula>AY17</formula>
    </cfRule>
  </conditionalFormatting>
  <conditionalFormatting sqref="E210:E1048576">
    <cfRule type="expression" dxfId="1030" priority="13">
      <formula>AW210="Y"</formula>
    </cfRule>
    <cfRule type="expression" dxfId="1029" priority="14">
      <formula>AW210="N"</formula>
    </cfRule>
  </conditionalFormatting>
  <conditionalFormatting sqref="V17:V1048576 X17:X1048576 AH17:AH1048576 AJ17:AJ1048576 AL17:AL1048576 AN17:AN1048576 Z17:Z1048576 AB17:AB1048576 AD17:AD1048576 AF17:AF1048576">
    <cfRule type="expression" dxfId="1028" priority="12">
      <formula>BH17</formula>
    </cfRule>
  </conditionalFormatting>
  <conditionalFormatting sqref="AH19">
    <cfRule type="expression" dxfId="1027" priority="11">
      <formula>BT19</formula>
    </cfRule>
  </conditionalFormatting>
  <conditionalFormatting sqref="AJ19">
    <cfRule type="expression" dxfId="1026" priority="10">
      <formula>BV19</formula>
    </cfRule>
  </conditionalFormatting>
  <conditionalFormatting sqref="AL19">
    <cfRule type="expression" dxfId="1025" priority="9">
      <formula>BX19</formula>
    </cfRule>
  </conditionalFormatting>
  <conditionalFormatting sqref="AN19">
    <cfRule type="expression" dxfId="1024" priority="8">
      <formula>BZ19</formula>
    </cfRule>
  </conditionalFormatting>
  <conditionalFormatting sqref="E17:E1048576">
    <cfRule type="expression" dxfId="1023" priority="2">
      <formula>E17="N/A"</formula>
    </cfRule>
    <cfRule type="expression" dxfId="1022" priority="3">
      <formula>E17="Yes"</formula>
    </cfRule>
    <cfRule type="expression" dxfId="1021" priority="4">
      <formula>E17="No"</formula>
    </cfRule>
  </conditionalFormatting>
  <conditionalFormatting sqref="P17:P1048576 R17:R1048576">
    <cfRule type="expression" dxfId="1020" priority="16">
      <formula>BD17</formula>
    </cfRule>
  </conditionalFormatting>
  <conditionalFormatting sqref="T17:T1048576">
    <cfRule type="expression" dxfId="1019" priority="1">
      <formula>BH17</formula>
    </cfRule>
  </conditionalFormatting>
  <conditionalFormatting sqref="C4">
    <cfRule type="expression" dxfId="1018" priority="22">
      <formula>$AX$11&gt;0</formula>
    </cfRule>
  </conditionalFormatting>
  <conditionalFormatting sqref="C3">
    <cfRule type="expression" dxfId="1017" priority="23">
      <formula>$AX$10&gt;0</formula>
    </cfRule>
  </conditionalFormatting>
  <dataValidations count="2">
    <dataValidation type="list" allowBlank="1" showInputMessage="1" showErrorMessage="1" sqref="N189 N41 N185 N183 N181 N179 N177 N175 N173 N151 N169 N167 N165 N163 N161 N159 N157 N155 N153 N131 N149 N147 N145 N143 N141 N139 N137 N135 N133 N111 N129 N127 N125 N123 N121 N119 N117 N115 N113 N91 N109 N107 N105 N103 N101 N99 N97 N95 N93 N71 N89 N87 N85 N83 N81 N79 N77 N75 N73 N51 N69 N67 N65 N63 N61 N59 N57 N55 N53 N49 N47 N45 N43 N39 N37 N187 N193 N171 N191 N209 N207 N205 N203 N201 N199 N197 N195 N35 N19 N21 N25 N27 N29 N31 N33 N23 N17">
      <formula1>Ownership</formula1>
    </dataValidation>
    <dataValidation type="list" allowBlank="1" showInputMessage="1" showErrorMessage="1" sqref="L189 L41 L185 L183 L181 L179 L177 L175 L173 L151 L169 L167 L165 L163 L161 L159 L157 L155 L153 L131 L149 L147 L145 L143 L141 L139 L17 L135 L133 L111 L129 L127 L125 L123 L121 L119 L117 L115 L113 L91 L109 L107 L105 L103 L101 L99 L97 L95 L93 L71 L89 L87 L85 L83 L81 L79 L77 L75 L73 L51 L69 L67 L65 L63 L61 L59 L57 L55 L53 L49 L47 L45 L43 L39 L37 L187 L193 L171 L191 L209 L207 L205 L203 L201 L199 L197 L195 L35 L19 L21 L25 L27 L29 L31 L33 L23 L137">
      <formula1>NonRail</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5:FA3016"/>
  <sheetViews>
    <sheetView topLeftCell="A4" zoomScaleNormal="100" workbookViewId="0">
      <pane xSplit="1" ySplit="12" topLeftCell="B16" activePane="bottomRight" state="frozen"/>
      <selection activeCell="C40" sqref="C40"/>
      <selection pane="topRight" activeCell="C40" sqref="C40"/>
      <selection pane="bottomLeft" activeCell="C40" sqref="C40"/>
      <selection pane="bottomRight"/>
    </sheetView>
  </sheetViews>
  <sheetFormatPr defaultColWidth="9.140625" defaultRowHeight="12.75" x14ac:dyDescent="0.2"/>
  <cols>
    <col min="1" max="1" width="16" style="380" bestFit="1" customWidth="1"/>
    <col min="2" max="2" width="29.7109375" style="380" customWidth="1"/>
    <col min="3" max="8" width="15.7109375" style="380" customWidth="1"/>
    <col min="9" max="9" width="2.42578125" style="380" customWidth="1"/>
    <col min="10" max="10" width="31" style="380" bestFit="1" customWidth="1"/>
    <col min="11" max="15" width="15.7109375" style="380" customWidth="1"/>
    <col min="16" max="16" width="2.42578125" style="380" customWidth="1"/>
    <col min="17" max="17" width="31" style="380" bestFit="1" customWidth="1"/>
    <col min="18" max="20" width="15.7109375" style="380" customWidth="1"/>
    <col min="21" max="21" width="2.42578125" style="380" customWidth="1"/>
    <col min="22" max="22" width="30.85546875" style="380" bestFit="1" customWidth="1"/>
    <col min="23" max="28" width="15.7109375" style="380" customWidth="1"/>
    <col min="29" max="29" width="2.42578125" style="380" customWidth="1"/>
    <col min="30" max="35" width="15.7109375" style="380" customWidth="1"/>
    <col min="36" max="36" width="2.42578125" style="380" customWidth="1"/>
    <col min="37" max="40" width="15.7109375" style="380" customWidth="1"/>
    <col min="41" max="41" width="2.42578125" style="380" customWidth="1"/>
    <col min="42" max="42" width="10.85546875" style="380" bestFit="1" customWidth="1"/>
    <col min="43" max="44" width="19.42578125" style="380" customWidth="1"/>
    <col min="45" max="56" width="15.7109375" style="380" customWidth="1"/>
    <col min="57" max="57" width="9" style="380" bestFit="1" customWidth="1"/>
    <col min="58" max="58" width="8.140625" style="380" bestFit="1" customWidth="1"/>
    <col min="59" max="59" width="11.28515625" style="380" customWidth="1"/>
    <col min="60" max="72" width="15.7109375" style="380" customWidth="1"/>
    <col min="73" max="73" width="16.7109375" style="380" customWidth="1"/>
    <col min="74" max="76" width="15.7109375" style="380" customWidth="1"/>
    <col min="77" max="79" width="9.140625" style="380"/>
    <col min="80" max="80" width="27" style="380" customWidth="1"/>
    <col min="81" max="81" width="41.7109375" style="380" bestFit="1" customWidth="1"/>
    <col min="82" max="99" width="15.7109375" style="380" customWidth="1"/>
    <col min="100" max="100" width="3.5703125" style="380" bestFit="1" customWidth="1"/>
    <col min="101" max="101" width="8.85546875" style="380" bestFit="1" customWidth="1"/>
    <col min="102" max="102" width="9.140625" style="380"/>
    <col min="103" max="103" width="21.5703125" style="380" customWidth="1"/>
    <col min="104" max="104" width="28" style="380" customWidth="1"/>
    <col min="105" max="110" width="15.7109375" style="380" customWidth="1"/>
    <col min="111" max="113" width="9.140625" style="380"/>
    <col min="114" max="114" width="9.5703125" style="380" bestFit="1" customWidth="1"/>
    <col min="115" max="115" width="13.5703125" style="380" customWidth="1"/>
    <col min="116" max="123" width="15.7109375" style="380" customWidth="1"/>
    <col min="124" max="124" width="9.140625" style="380"/>
    <col min="125" max="125" width="8.7109375" style="380" bestFit="1" customWidth="1"/>
    <col min="126" max="126" width="7.28515625" style="380" bestFit="1" customWidth="1"/>
    <col min="127" max="127" width="14" style="380" customWidth="1"/>
    <col min="128" max="128" width="22.28515625" style="380" customWidth="1"/>
    <col min="129" max="129" width="21.5703125" style="380" bestFit="1" customWidth="1"/>
    <col min="130" max="130" width="13.5703125" style="380" bestFit="1" customWidth="1"/>
    <col min="131" max="131" width="10.85546875" style="380" bestFit="1" customWidth="1"/>
    <col min="132" max="132" width="8.5703125" style="380" bestFit="1" customWidth="1"/>
    <col min="133" max="133" width="9.5703125" style="380" bestFit="1" customWidth="1"/>
    <col min="134" max="134" width="16" style="380" customWidth="1"/>
    <col min="135" max="135" width="14.5703125" style="380" bestFit="1" customWidth="1"/>
    <col min="136" max="136" width="9.140625" style="380"/>
    <col min="137" max="138" width="14.5703125" style="380" bestFit="1" customWidth="1"/>
    <col min="139" max="139" width="26.7109375" style="380" bestFit="1" customWidth="1"/>
    <col min="140" max="140" width="13.7109375" style="380" bestFit="1" customWidth="1"/>
    <col min="141" max="141" width="8.140625" style="380" bestFit="1" customWidth="1"/>
    <col min="142" max="142" width="9.5703125" style="380" bestFit="1" customWidth="1"/>
    <col min="143" max="143" width="26.7109375" style="380" bestFit="1" customWidth="1"/>
    <col min="144" max="144" width="14.28515625" style="380" bestFit="1" customWidth="1"/>
    <col min="145" max="145" width="19.5703125" style="380" bestFit="1" customWidth="1"/>
    <col min="146" max="146" width="10" style="380" bestFit="1" customWidth="1"/>
    <col min="147" max="147" width="8.140625" style="380" bestFit="1" customWidth="1"/>
    <col min="148" max="148" width="14.28515625" style="380" bestFit="1" customWidth="1"/>
    <col min="149" max="149" width="6.5703125" style="380" bestFit="1" customWidth="1"/>
    <col min="150" max="150" width="8.85546875" style="380" bestFit="1" customWidth="1"/>
    <col min="151" max="151" width="9.42578125" style="380" bestFit="1" customWidth="1"/>
    <col min="152" max="152" width="9.42578125" style="380" customWidth="1"/>
    <col min="153" max="153" width="19.85546875" style="380" bestFit="1" customWidth="1"/>
    <col min="154" max="154" width="25.5703125" style="380" bestFit="1" customWidth="1"/>
    <col min="155" max="155" width="15.5703125" style="380" bestFit="1" customWidth="1"/>
    <col min="156" max="156" width="8.28515625" style="380" customWidth="1"/>
    <col min="157" max="16384" width="9.140625" style="380"/>
  </cols>
  <sheetData>
    <row r="5" spans="1:157" x14ac:dyDescent="0.2">
      <c r="B5" s="381" t="s">
        <v>639</v>
      </c>
      <c r="C5" s="381" t="s">
        <v>639</v>
      </c>
      <c r="E5" s="381" t="s">
        <v>639</v>
      </c>
      <c r="CD5" s="447" t="s">
        <v>852</v>
      </c>
      <c r="CE5" s="447" t="s">
        <v>852</v>
      </c>
      <c r="CF5" s="447"/>
      <c r="DA5" s="447" t="s">
        <v>852</v>
      </c>
      <c r="DB5" s="447" t="s">
        <v>852</v>
      </c>
    </row>
    <row r="6" spans="1:157" ht="19.5" x14ac:dyDescent="0.3">
      <c r="B6" s="382"/>
      <c r="C6" s="382"/>
      <c r="E6" s="382" t="str">
        <f ca="1">MID(CELL("filename",'A-60 SvcVehInv'!$A$1),FIND("]",CELL("filename",'A-60 SvcVehInv'!$A$1))+1,256)</f>
        <v>A-60 SvcVehInv</v>
      </c>
      <c r="CD6" s="447" t="s">
        <v>853</v>
      </c>
      <c r="CE6" s="447" t="s">
        <v>854</v>
      </c>
      <c r="CF6" s="447"/>
      <c r="CI6" s="1476" t="s">
        <v>2365</v>
      </c>
      <c r="CJ6" s="1477"/>
      <c r="CK6" s="1477"/>
      <c r="CL6" s="1477"/>
      <c r="DA6" s="447" t="s">
        <v>853</v>
      </c>
      <c r="DB6" s="447" t="s">
        <v>854</v>
      </c>
      <c r="DD6" s="1476" t="s">
        <v>2365</v>
      </c>
      <c r="DE6" s="1477"/>
      <c r="DF6" s="1477"/>
      <c r="DG6" s="1477"/>
      <c r="DH6" s="1478"/>
      <c r="DI6" s="1478"/>
      <c r="DJ6" s="1478"/>
    </row>
    <row r="7" spans="1:157" x14ac:dyDescent="0.2">
      <c r="B7" s="382" t="str">
        <f ca="1">MID(CELL("filename",'A-10 M&amp;A FacInv'!$A$1),FIND("]",CELL("filename",'A-10 M&amp;A FacInv'!$A$1))+1,256)</f>
        <v>A-10 M&amp;A FacInv</v>
      </c>
      <c r="C7" s="382" t="str">
        <f ca="1">MID(CELL("filename",'A-50 FGRailInv'!$A$1),FIND("]",CELL("filename",'A-50 FGRailInv'!$A$1))+1,256)</f>
        <v>A-50 FGRailInv</v>
      </c>
      <c r="E7" s="382" t="str">
        <f ca="1">MID(CELL("filename",'A-70 RevVehInv'!$A$1),FIND("]",CELL("filename",'A-70 RevVehInv'!$A$1))+1,256)</f>
        <v>A-70 RevVehInv</v>
      </c>
      <c r="CC7" s="448" t="s">
        <v>856</v>
      </c>
      <c r="CD7" s="207">
        <f>ROW('A-50 FGRailInv'!$C$69)-ROW('A-50 FGRailInv'!$C$13)</f>
        <v>56</v>
      </c>
      <c r="CE7" s="445">
        <f>ROW('A-50 FGRailInv'!$C$73)-ROW('A-50 FGRailInv'!$C$70)</f>
        <v>3</v>
      </c>
      <c r="CF7" s="380" t="s">
        <v>855</v>
      </c>
      <c r="CZ7" s="448" t="s">
        <v>856</v>
      </c>
      <c r="DA7" s="207">
        <f>ROW('A-55 TrackInv'!$C$44)-ROW('A-55 TrackInv'!$C$13)</f>
        <v>31</v>
      </c>
      <c r="DB7" s="445">
        <f>ROW('A-55 TrackInv'!$C$21)-ROW('A-55 TrackInv'!$C$19)</f>
        <v>2</v>
      </c>
      <c r="DC7" s="380" t="s">
        <v>855</v>
      </c>
    </row>
    <row r="8" spans="1:157" x14ac:dyDescent="0.2">
      <c r="B8" s="382" t="str">
        <f ca="1">MID(CELL("filename",'A-20 PassFacInv'!$A$1),FIND("]",CELL("filename",'A-20 PassFacInv'!$A$1))+1,256)</f>
        <v>A-20 PassFacInv</v>
      </c>
      <c r="C8" s="382" t="str">
        <f ca="1">MID(CELL("filename",'FGNonRailSegment-Basics (A20)'!$A$1),FIND("]",CELL("filename",'FGNonRailSegment-Basics (A20)'!$A$1))+1,256)</f>
        <v>FGNonRailSegment-Basics (A20)</v>
      </c>
      <c r="CE8" s="445">
        <f>ROW('A-50 FGRailInv'!$C$46)-ROW('A-50 FGRailInv'!$C$41)</f>
        <v>5</v>
      </c>
      <c r="CF8" s="380" t="s">
        <v>855</v>
      </c>
      <c r="DB8" s="380">
        <f>ROW('A-55 TrackInv'!H27)-ROW('A-55 TrackInv'!H21)</f>
        <v>6</v>
      </c>
      <c r="DN8" s="207"/>
      <c r="DO8" s="207"/>
      <c r="DP8" s="207"/>
      <c r="DQ8" s="207"/>
      <c r="DR8" s="207"/>
      <c r="DS8" s="207"/>
    </row>
    <row r="9" spans="1:157" x14ac:dyDescent="0.2">
      <c r="C9" s="382"/>
      <c r="CE9" s="381">
        <f>ROW('A-50 FGRailInv'!$C$73)-ROW('A-50 FGRailInv'!$C$58)</f>
        <v>15</v>
      </c>
      <c r="CF9" s="380" t="s">
        <v>855</v>
      </c>
      <c r="DB9" s="445">
        <f>ROW('A-55 TrackInv'!$E$50)-ROW('A-55 TrackInv'!$E$35)</f>
        <v>15</v>
      </c>
      <c r="DC9" s="380" t="s">
        <v>855</v>
      </c>
      <c r="DL9" s="383"/>
      <c r="DM9" s="383"/>
      <c r="DN9" s="207"/>
      <c r="DO9" s="207"/>
      <c r="DP9" s="207"/>
      <c r="DQ9" s="207"/>
      <c r="DR9" s="207"/>
      <c r="DS9" s="207"/>
    </row>
    <row r="10" spans="1:157" x14ac:dyDescent="0.2">
      <c r="C10" s="382"/>
      <c r="AQ10" s="384" t="s">
        <v>640</v>
      </c>
      <c r="AR10" s="384"/>
      <c r="AU10" s="380" t="s">
        <v>486</v>
      </c>
      <c r="AW10" s="380" t="s">
        <v>486</v>
      </c>
      <c r="AX10" s="380" t="s">
        <v>486</v>
      </c>
      <c r="BH10" s="380" t="s">
        <v>742</v>
      </c>
      <c r="BL10" s="380" t="s">
        <v>486</v>
      </c>
      <c r="BP10" s="380" t="s">
        <v>486</v>
      </c>
      <c r="BQ10" s="380" t="s">
        <v>486</v>
      </c>
      <c r="CE10" s="207"/>
      <c r="CF10" s="207"/>
      <c r="CG10" s="207" t="s">
        <v>10</v>
      </c>
      <c r="CH10" s="780" t="s">
        <v>2278</v>
      </c>
      <c r="CI10" s="207"/>
      <c r="CJ10" s="207"/>
      <c r="CK10" s="207" t="s">
        <v>2293</v>
      </c>
      <c r="CL10" s="207"/>
      <c r="CM10" s="207"/>
      <c r="CN10" s="207"/>
      <c r="CO10" s="207"/>
      <c r="CP10" s="207"/>
      <c r="CQ10" s="207"/>
      <c r="CR10" s="207"/>
      <c r="CS10" s="207"/>
      <c r="CT10" s="207" t="s">
        <v>149</v>
      </c>
      <c r="CU10" s="207"/>
      <c r="DA10" s="721"/>
      <c r="DB10" s="1230"/>
      <c r="DC10" s="1230"/>
      <c r="DD10" s="1231" t="s">
        <v>10</v>
      </c>
      <c r="DE10" s="737" t="s">
        <v>149</v>
      </c>
      <c r="DF10" s="760"/>
      <c r="DL10" s="383"/>
      <c r="DM10" s="383"/>
      <c r="DN10" s="207" t="s">
        <v>10</v>
      </c>
      <c r="DO10" s="207"/>
      <c r="DP10" s="207" t="s">
        <v>149</v>
      </c>
      <c r="DQ10" s="207"/>
      <c r="DR10" s="207"/>
      <c r="DS10" s="207"/>
    </row>
    <row r="11" spans="1:157" x14ac:dyDescent="0.2">
      <c r="AQ11" s="385"/>
      <c r="AR11" s="715" t="s">
        <v>2324</v>
      </c>
      <c r="AS11" s="386"/>
      <c r="AT11" s="387"/>
      <c r="AU11" s="387"/>
      <c r="AV11" s="388"/>
      <c r="AW11" s="389"/>
      <c r="AX11" s="390"/>
      <c r="AY11" s="391" t="s">
        <v>98</v>
      </c>
      <c r="AZ11" s="392"/>
      <c r="BA11" s="391" t="s">
        <v>200</v>
      </c>
      <c r="BB11" s="392"/>
      <c r="BC11" s="392"/>
      <c r="BD11" s="393"/>
      <c r="BH11" s="385"/>
      <c r="BI11" s="715" t="s">
        <v>2324</v>
      </c>
      <c r="BJ11" s="386"/>
      <c r="BK11" s="387"/>
      <c r="BL11" s="387"/>
      <c r="BM11" s="388"/>
      <c r="BN11" s="388"/>
      <c r="BO11" s="388"/>
      <c r="BP11" s="389"/>
      <c r="BQ11" s="390"/>
      <c r="BR11" s="391" t="s">
        <v>98</v>
      </c>
      <c r="BS11" s="392"/>
      <c r="BT11" s="392"/>
      <c r="BU11" s="391" t="s">
        <v>200</v>
      </c>
      <c r="BV11" s="392"/>
      <c r="BW11" s="392"/>
      <c r="BX11" s="393"/>
      <c r="CD11" s="207"/>
      <c r="CE11" s="207"/>
      <c r="CF11" s="207"/>
      <c r="CG11" s="207" t="s">
        <v>0</v>
      </c>
      <c r="CH11" s="780" t="s">
        <v>2277</v>
      </c>
      <c r="CI11" s="207"/>
      <c r="CJ11" s="207"/>
      <c r="CK11" s="207"/>
      <c r="CL11" s="207"/>
      <c r="CM11" s="207" t="s">
        <v>533</v>
      </c>
      <c r="CN11" s="207"/>
      <c r="CO11" s="207"/>
      <c r="CP11" s="207"/>
      <c r="CQ11" s="207"/>
      <c r="CR11" s="207"/>
      <c r="CS11" s="207"/>
      <c r="CT11" s="207" t="s">
        <v>200</v>
      </c>
      <c r="CU11" s="207"/>
      <c r="DA11" s="721" t="str">
        <f>""</f>
        <v/>
      </c>
      <c r="DB11" s="1232"/>
      <c r="DC11" s="1232"/>
      <c r="DD11" s="1231" t="s">
        <v>0</v>
      </c>
      <c r="DE11" s="737" t="s">
        <v>200</v>
      </c>
      <c r="DF11" s="760"/>
      <c r="DL11" s="383"/>
      <c r="DM11" s="383"/>
      <c r="DN11" s="207" t="s">
        <v>0</v>
      </c>
      <c r="DO11" s="207"/>
      <c r="DP11" s="207" t="s">
        <v>200</v>
      </c>
      <c r="DQ11" s="207"/>
      <c r="DR11" s="207"/>
      <c r="DS11" s="207"/>
      <c r="DV11" s="207"/>
      <c r="DW11" s="207"/>
      <c r="DX11" s="207"/>
      <c r="DY11" s="207" t="s">
        <v>308</v>
      </c>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row>
    <row r="12" spans="1:157" ht="12.75" customHeight="1" x14ac:dyDescent="0.2">
      <c r="AQ12" s="397"/>
      <c r="AR12" s="715" t="s">
        <v>2325</v>
      </c>
      <c r="AS12" s="398"/>
      <c r="AT12" s="399"/>
      <c r="AU12" s="399"/>
      <c r="AV12" s="400"/>
      <c r="AW12" s="401"/>
      <c r="AX12" s="402"/>
      <c r="AY12" s="403" t="s">
        <v>97</v>
      </c>
      <c r="AZ12" s="404"/>
      <c r="BA12" s="403" t="s">
        <v>25</v>
      </c>
      <c r="BB12" s="402"/>
      <c r="BC12" s="403" t="s">
        <v>268</v>
      </c>
      <c r="BD12" s="405"/>
      <c r="BH12" s="397"/>
      <c r="BI12" s="715" t="s">
        <v>2325</v>
      </c>
      <c r="BJ12" s="398"/>
      <c r="BK12" s="399"/>
      <c r="BL12" s="399"/>
      <c r="BM12" s="400"/>
      <c r="BN12" s="400"/>
      <c r="BO12" s="400"/>
      <c r="BP12" s="401"/>
      <c r="BQ12" s="402"/>
      <c r="BR12" s="403" t="s">
        <v>97</v>
      </c>
      <c r="BS12" s="412" t="s">
        <v>99</v>
      </c>
      <c r="BT12" s="404"/>
      <c r="BU12" s="403" t="s">
        <v>25</v>
      </c>
      <c r="BV12" s="402"/>
      <c r="BW12" s="403" t="s">
        <v>268</v>
      </c>
      <c r="BX12" s="405"/>
      <c r="CD12" s="207"/>
      <c r="CE12" s="207" t="s">
        <v>142</v>
      </c>
      <c r="CF12" s="207" t="s">
        <v>142</v>
      </c>
      <c r="CG12" s="207" t="s">
        <v>8</v>
      </c>
      <c r="CH12" s="780" t="s">
        <v>2363</v>
      </c>
      <c r="CI12" s="2013" t="s">
        <v>2292</v>
      </c>
      <c r="CJ12" s="2011" t="s">
        <v>2282</v>
      </c>
      <c r="CK12" s="2011" t="s">
        <v>2283</v>
      </c>
      <c r="CL12" s="2011" t="s">
        <v>2284</v>
      </c>
      <c r="CM12" s="2011" t="s">
        <v>2285</v>
      </c>
      <c r="CN12" s="2011" t="s">
        <v>2286</v>
      </c>
      <c r="CO12" s="2011" t="s">
        <v>2287</v>
      </c>
      <c r="CP12" s="2011" t="s">
        <v>2288</v>
      </c>
      <c r="CQ12" s="2011" t="s">
        <v>2289</v>
      </c>
      <c r="CR12" s="2015" t="s">
        <v>2291</v>
      </c>
      <c r="CS12" s="207" t="s">
        <v>103</v>
      </c>
      <c r="CT12" s="207" t="s">
        <v>25</v>
      </c>
      <c r="CU12" s="207"/>
      <c r="DA12" s="1228"/>
      <c r="DB12" s="1231" t="s">
        <v>142</v>
      </c>
      <c r="DC12" s="819"/>
      <c r="DD12" s="1231" t="s">
        <v>8</v>
      </c>
      <c r="DE12" s="737" t="s">
        <v>25</v>
      </c>
      <c r="DF12" s="760"/>
      <c r="DL12" s="383"/>
      <c r="DM12" s="207"/>
      <c r="DN12" s="207" t="s">
        <v>8</v>
      </c>
      <c r="DO12" s="207"/>
      <c r="DP12" s="207" t="s">
        <v>25</v>
      </c>
      <c r="DQ12" s="207"/>
      <c r="DR12" s="207"/>
      <c r="DS12" s="207"/>
      <c r="DV12" s="207"/>
      <c r="DW12" s="207"/>
      <c r="DX12" s="207"/>
      <c r="DY12" s="207" t="s">
        <v>535</v>
      </c>
      <c r="DZ12" s="207" t="s">
        <v>308</v>
      </c>
      <c r="EA12" s="207"/>
      <c r="EB12" s="207"/>
      <c r="EC12" s="207"/>
      <c r="ED12" s="207"/>
      <c r="EE12" s="207"/>
      <c r="EF12" s="207"/>
      <c r="EG12" s="207"/>
      <c r="EH12" s="207"/>
      <c r="EI12" s="207"/>
      <c r="EJ12" s="207" t="s">
        <v>268</v>
      </c>
      <c r="EK12" s="207"/>
      <c r="EL12" s="207"/>
      <c r="EM12" s="207"/>
      <c r="EN12" s="207" t="s">
        <v>268</v>
      </c>
      <c r="EO12" s="207" t="s">
        <v>421</v>
      </c>
      <c r="EP12" s="207"/>
      <c r="EQ12" s="207"/>
      <c r="ER12" s="207"/>
      <c r="ES12" s="207"/>
      <c r="ET12" s="207"/>
      <c r="EU12" s="207"/>
      <c r="EV12" s="207"/>
      <c r="EW12" s="207"/>
      <c r="EX12" s="207"/>
      <c r="EY12" s="207"/>
      <c r="EZ12" s="207"/>
    </row>
    <row r="13" spans="1:157" ht="25.5" x14ac:dyDescent="0.2">
      <c r="C13" s="381"/>
      <c r="D13" s="381"/>
      <c r="E13" s="381"/>
      <c r="F13" s="381"/>
      <c r="G13" s="381"/>
      <c r="H13" s="381"/>
      <c r="AQ13" s="397"/>
      <c r="AR13" s="715" t="s">
        <v>2326</v>
      </c>
      <c r="AS13" s="408"/>
      <c r="AT13" s="409"/>
      <c r="AU13" s="409"/>
      <c r="AV13" s="410"/>
      <c r="AW13" s="401"/>
      <c r="AX13" s="411"/>
      <c r="AY13" s="403" t="s">
        <v>493</v>
      </c>
      <c r="AZ13" s="412"/>
      <c r="BA13" s="403" t="s">
        <v>148</v>
      </c>
      <c r="BB13" s="402"/>
      <c r="BC13" s="403" t="s">
        <v>531</v>
      </c>
      <c r="BD13" s="405"/>
      <c r="BH13" s="397"/>
      <c r="BI13" s="715" t="s">
        <v>2326</v>
      </c>
      <c r="BJ13" s="408"/>
      <c r="BK13" s="409"/>
      <c r="BL13" s="409"/>
      <c r="BM13" s="410"/>
      <c r="BN13" s="410"/>
      <c r="BO13" s="410"/>
      <c r="BP13" s="401"/>
      <c r="BQ13" s="411"/>
      <c r="BR13" s="403" t="s">
        <v>493</v>
      </c>
      <c r="BS13" s="412" t="s">
        <v>1688</v>
      </c>
      <c r="BT13" s="412"/>
      <c r="BU13" s="403" t="s">
        <v>148</v>
      </c>
      <c r="BV13" s="402"/>
      <c r="BW13" s="403" t="s">
        <v>531</v>
      </c>
      <c r="BX13" s="405"/>
      <c r="CD13" s="207"/>
      <c r="CE13" s="207" t="s">
        <v>2274</v>
      </c>
      <c r="CF13" s="207" t="s">
        <v>2362</v>
      </c>
      <c r="CG13" s="207" t="s">
        <v>9</v>
      </c>
      <c r="CH13" s="780" t="s">
        <v>2364</v>
      </c>
      <c r="CI13" s="2014"/>
      <c r="CJ13" s="2012"/>
      <c r="CK13" s="2012"/>
      <c r="CL13" s="2012"/>
      <c r="CM13" s="2012"/>
      <c r="CN13" s="2012"/>
      <c r="CO13" s="2012"/>
      <c r="CP13" s="2012"/>
      <c r="CQ13" s="2012"/>
      <c r="CR13" s="2016"/>
      <c r="CS13" s="207" t="s">
        <v>168</v>
      </c>
      <c r="CT13" s="207" t="s">
        <v>148</v>
      </c>
      <c r="CU13" s="207"/>
      <c r="DA13" s="760"/>
      <c r="DB13" s="1234" t="s">
        <v>2182</v>
      </c>
      <c r="DC13" s="1236"/>
      <c r="DD13" s="1231" t="s">
        <v>9</v>
      </c>
      <c r="DE13" s="737" t="s">
        <v>148</v>
      </c>
      <c r="DF13" s="1219"/>
      <c r="DL13" s="383"/>
      <c r="DM13" s="403" t="s">
        <v>2357</v>
      </c>
      <c r="DN13" s="207" t="s">
        <v>9</v>
      </c>
      <c r="DO13" s="207"/>
      <c r="DP13" s="207" t="s">
        <v>148</v>
      </c>
      <c r="DQ13" s="207"/>
      <c r="DR13" s="207"/>
      <c r="DS13" s="207"/>
      <c r="DV13" s="207"/>
      <c r="DW13" s="207" t="s">
        <v>308</v>
      </c>
      <c r="DX13" s="207"/>
      <c r="DY13" s="207" t="s">
        <v>536</v>
      </c>
      <c r="DZ13" s="207" t="s">
        <v>325</v>
      </c>
      <c r="EA13" s="207"/>
      <c r="EB13" s="207" t="s">
        <v>313</v>
      </c>
      <c r="EC13" s="207"/>
      <c r="ED13" s="207"/>
      <c r="EE13" s="207"/>
      <c r="EF13" s="207"/>
      <c r="EG13" s="207"/>
      <c r="EH13" s="207"/>
      <c r="EI13" s="207" t="s">
        <v>348</v>
      </c>
      <c r="EJ13" s="207" t="s">
        <v>269</v>
      </c>
      <c r="EK13" s="207" t="s">
        <v>238</v>
      </c>
      <c r="EL13" s="207" t="s">
        <v>344</v>
      </c>
      <c r="EM13" s="207" t="s">
        <v>261</v>
      </c>
      <c r="EN13" s="207" t="s">
        <v>269</v>
      </c>
      <c r="EO13" s="207" t="s">
        <v>107</v>
      </c>
      <c r="EP13" s="207"/>
      <c r="EQ13" s="207" t="s">
        <v>238</v>
      </c>
      <c r="ER13" s="207" t="s">
        <v>270</v>
      </c>
      <c r="ES13" s="207" t="s">
        <v>328</v>
      </c>
      <c r="ET13" s="207" t="s">
        <v>313</v>
      </c>
      <c r="EU13" s="207"/>
      <c r="EV13" s="207"/>
      <c r="EW13" s="207" t="s">
        <v>333</v>
      </c>
      <c r="EX13" s="207"/>
      <c r="EY13" s="207"/>
      <c r="EZ13" s="207"/>
    </row>
    <row r="14" spans="1:157" x14ac:dyDescent="0.2">
      <c r="B14" s="384" t="s">
        <v>637</v>
      </c>
      <c r="D14" s="413"/>
      <c r="E14" s="413"/>
      <c r="F14" s="413"/>
      <c r="G14" s="413"/>
      <c r="H14" s="381"/>
      <c r="J14" s="384" t="s">
        <v>637</v>
      </c>
      <c r="Q14" s="384" t="s">
        <v>637</v>
      </c>
      <c r="V14" s="414" t="s">
        <v>638</v>
      </c>
      <c r="AD14" s="414" t="s">
        <v>638</v>
      </c>
      <c r="AK14" s="414" t="s">
        <v>638</v>
      </c>
      <c r="AQ14" s="415"/>
      <c r="AR14" s="715" t="s">
        <v>2327</v>
      </c>
      <c r="AS14" s="416"/>
      <c r="AT14" s="417"/>
      <c r="AU14" s="417"/>
      <c r="AV14" s="418"/>
      <c r="AW14" s="419" t="s">
        <v>162</v>
      </c>
      <c r="AX14" s="420" t="s">
        <v>275</v>
      </c>
      <c r="AY14" s="403" t="s">
        <v>494</v>
      </c>
      <c r="AZ14" s="403" t="s">
        <v>99</v>
      </c>
      <c r="BA14" s="403" t="s">
        <v>501</v>
      </c>
      <c r="BB14" s="421" t="s">
        <v>282</v>
      </c>
      <c r="BC14" s="403" t="s">
        <v>270</v>
      </c>
      <c r="BD14" s="405"/>
      <c r="BH14" s="415"/>
      <c r="BI14" s="715" t="s">
        <v>2327</v>
      </c>
      <c r="BJ14" s="416"/>
      <c r="BK14" s="417"/>
      <c r="BL14" s="417"/>
      <c r="BM14" s="418"/>
      <c r="BN14" s="418"/>
      <c r="BO14" s="418"/>
      <c r="BP14" s="419" t="s">
        <v>162</v>
      </c>
      <c r="BQ14" s="420" t="s">
        <v>275</v>
      </c>
      <c r="BR14" s="403" t="s">
        <v>494</v>
      </c>
      <c r="BS14" s="403" t="s">
        <v>509</v>
      </c>
      <c r="BT14" s="403"/>
      <c r="BU14" s="403" t="s">
        <v>501</v>
      </c>
      <c r="BV14" s="421" t="s">
        <v>282</v>
      </c>
      <c r="BW14" s="403" t="s">
        <v>270</v>
      </c>
      <c r="BX14" s="405"/>
      <c r="CD14" s="207"/>
      <c r="CE14" s="207"/>
      <c r="CF14" s="207"/>
      <c r="CG14" s="207" t="s">
        <v>7</v>
      </c>
      <c r="CH14" s="1226" t="s">
        <v>2280</v>
      </c>
      <c r="CI14" s="207"/>
      <c r="CJ14" s="207"/>
      <c r="CK14" s="207"/>
      <c r="CL14" s="207"/>
      <c r="CM14" s="207"/>
      <c r="CN14" s="207"/>
      <c r="CO14" s="207"/>
      <c r="CP14" s="207"/>
      <c r="CQ14" s="207"/>
      <c r="CR14" s="207"/>
      <c r="CS14" s="207" t="s">
        <v>142</v>
      </c>
      <c r="CT14" s="207" t="s">
        <v>147</v>
      </c>
      <c r="CU14" s="207"/>
      <c r="DA14" s="258"/>
      <c r="DB14" s="1238" t="s">
        <v>2181</v>
      </c>
      <c r="DC14" s="1239"/>
      <c r="DD14" s="1240" t="s">
        <v>7</v>
      </c>
      <c r="DE14" s="737" t="s">
        <v>147</v>
      </c>
      <c r="DF14" s="1219"/>
      <c r="DL14" s="383"/>
      <c r="DM14" s="207"/>
      <c r="DN14" s="207" t="s">
        <v>7</v>
      </c>
      <c r="DO14" s="207" t="s">
        <v>316</v>
      </c>
      <c r="DP14" s="207" t="s">
        <v>147</v>
      </c>
      <c r="DQ14" s="207"/>
      <c r="DR14" s="207"/>
      <c r="DS14" s="207"/>
      <c r="DV14" s="207"/>
      <c r="DW14" s="207" t="s">
        <v>309</v>
      </c>
      <c r="DX14" s="207" t="s">
        <v>321</v>
      </c>
      <c r="DY14" s="207" t="s">
        <v>323</v>
      </c>
      <c r="DZ14" s="207" t="s">
        <v>326</v>
      </c>
      <c r="EA14" s="207" t="s">
        <v>311</v>
      </c>
      <c r="EB14" s="207" t="s">
        <v>101</v>
      </c>
      <c r="EC14" s="207" t="s">
        <v>314</v>
      </c>
      <c r="ED14" s="207" t="s">
        <v>316</v>
      </c>
      <c r="EE14" s="207" t="s">
        <v>318</v>
      </c>
      <c r="EF14" s="207" t="s">
        <v>319</v>
      </c>
      <c r="EG14" s="207" t="s">
        <v>316</v>
      </c>
      <c r="EH14" s="207" t="s">
        <v>343</v>
      </c>
      <c r="EI14" s="207" t="s">
        <v>262</v>
      </c>
      <c r="EJ14" s="207" t="s">
        <v>344</v>
      </c>
      <c r="EK14" s="207">
        <v>2011</v>
      </c>
      <c r="EL14" s="207" t="s">
        <v>169</v>
      </c>
      <c r="EM14" s="207" t="s">
        <v>262</v>
      </c>
      <c r="EN14" s="207" t="s">
        <v>270</v>
      </c>
      <c r="EO14" s="207" t="s">
        <v>422</v>
      </c>
      <c r="EP14" s="207"/>
      <c r="EQ14" s="207">
        <v>2011</v>
      </c>
      <c r="ER14" s="207" t="s">
        <v>169</v>
      </c>
      <c r="ES14" s="207" t="s">
        <v>329</v>
      </c>
      <c r="ET14" s="207" t="s">
        <v>92</v>
      </c>
      <c r="EU14" s="207" t="s">
        <v>331</v>
      </c>
      <c r="EV14" s="207" t="s">
        <v>2193</v>
      </c>
      <c r="EW14" s="207" t="s">
        <v>334</v>
      </c>
      <c r="EX14" s="207" t="s">
        <v>336</v>
      </c>
      <c r="EY14" s="207" t="s">
        <v>338</v>
      </c>
      <c r="EZ14" s="207"/>
    </row>
    <row r="15" spans="1:157" s="435" customFormat="1" ht="68.25" customHeight="1" x14ac:dyDescent="0.2">
      <c r="B15" s="427" t="s">
        <v>746</v>
      </c>
      <c r="C15" s="436" t="str">
        <f>Codes!$L$20</f>
        <v>Bus Transfer Center</v>
      </c>
      <c r="D15" s="436" t="str">
        <f>Codes!$L$21</f>
        <v>Elevated Fixed Guideway Station</v>
      </c>
      <c r="E15" s="436" t="str">
        <f>Codes!$L$22</f>
        <v>At-Grade Fixed Guideway Station</v>
      </c>
      <c r="F15" s="436" t="str">
        <f>Codes!$L$23</f>
        <v>Underground Fixed Guideway Station</v>
      </c>
      <c r="G15" s="436" t="str">
        <f>Codes!$L$24</f>
        <v>Simple At-Grade Platform Station</v>
      </c>
      <c r="H15" s="436" t="str">
        <f>Codes!$L$25</f>
        <v>Exclusive Grade-Separated Platform Station</v>
      </c>
      <c r="J15" s="427" t="s">
        <v>746</v>
      </c>
      <c r="K15" s="436" t="str">
        <f>Codes!$G$7</f>
        <v>Maintenance Facility (Service and Inspection)</v>
      </c>
      <c r="L15" s="436" t="str">
        <f>Codes!$G$8</f>
        <v>Heavy Maintenance &amp; Overhaul (Backshop)</v>
      </c>
      <c r="M15" s="436" t="str">
        <f>Codes!$G$9</f>
        <v>General Purpose Maintenance Facility/Depot</v>
      </c>
      <c r="N15" s="436" t="str">
        <f>Codes!$G$14</f>
        <v>Administrative Office / Sales Office</v>
      </c>
      <c r="O15" s="436" t="str">
        <f>Codes!$G$15</f>
        <v>Revenue Collection Facility</v>
      </c>
      <c r="Q15" s="427"/>
      <c r="R15" s="436" t="str">
        <f>Codes!$L$26</f>
        <v>Surface Parking Lot</v>
      </c>
      <c r="S15" s="436" t="str">
        <f>Codes!$L$27</f>
        <v>Parking Structure</v>
      </c>
      <c r="T15" s="436" t="str">
        <f>Codes!$L$28</f>
        <v>Other (describe in Notes)</v>
      </c>
      <c r="V15" s="427"/>
      <c r="W15" s="436" t="str">
        <f>Codes!$L$20</f>
        <v>Bus Transfer Center</v>
      </c>
      <c r="X15" s="436" t="str">
        <f>Codes!$L$21</f>
        <v>Elevated Fixed Guideway Station</v>
      </c>
      <c r="Y15" s="436" t="str">
        <f>Codes!$L$22</f>
        <v>At-Grade Fixed Guideway Station</v>
      </c>
      <c r="Z15" s="436" t="str">
        <f>Codes!$L$23</f>
        <v>Underground Fixed Guideway Station</v>
      </c>
      <c r="AA15" s="436" t="str">
        <f>Codes!$L$24</f>
        <v>Simple At-Grade Platform Station</v>
      </c>
      <c r="AB15" s="436" t="str">
        <f>Codes!$L$25</f>
        <v>Exclusive Grade-Separated Platform Station</v>
      </c>
      <c r="AD15" s="427"/>
      <c r="AE15" s="436" t="str">
        <f>Codes!$G$7</f>
        <v>Maintenance Facility (Service and Inspection)</v>
      </c>
      <c r="AF15" s="436" t="str">
        <f>Codes!$G$8</f>
        <v>Heavy Maintenance &amp; Overhaul (Backshop)</v>
      </c>
      <c r="AG15" s="436" t="str">
        <f>Codes!$G$9</f>
        <v>General Purpose Maintenance Facility/Depot</v>
      </c>
      <c r="AH15" s="436" t="str">
        <f>Codes!$G$14</f>
        <v>Administrative Office / Sales Office</v>
      </c>
      <c r="AI15" s="436" t="str">
        <f>Codes!$G$15</f>
        <v>Revenue Collection Facility</v>
      </c>
      <c r="AK15" s="427"/>
      <c r="AL15" s="436" t="str">
        <f>Codes!$L$26</f>
        <v>Surface Parking Lot</v>
      </c>
      <c r="AM15" s="436" t="str">
        <f>Codes!$L$27</f>
        <v>Parking Structure</v>
      </c>
      <c r="AN15" s="436" t="str">
        <f>Codes!$L$28</f>
        <v>Other (describe in Notes)</v>
      </c>
      <c r="AQ15" s="437" t="s">
        <v>82</v>
      </c>
      <c r="AR15" s="715" t="s">
        <v>2328</v>
      </c>
      <c r="AS15" s="438" t="s">
        <v>18</v>
      </c>
      <c r="AT15" s="439" t="s">
        <v>19</v>
      </c>
      <c r="AU15" s="439" t="s">
        <v>425</v>
      </c>
      <c r="AV15" s="438" t="s">
        <v>483</v>
      </c>
      <c r="AW15" s="440" t="s">
        <v>276</v>
      </c>
      <c r="AX15" s="441" t="s">
        <v>101</v>
      </c>
      <c r="AY15" s="442" t="s">
        <v>505</v>
      </c>
      <c r="AZ15" s="442" t="s">
        <v>100</v>
      </c>
      <c r="BA15" s="442" t="s">
        <v>146</v>
      </c>
      <c r="BB15" s="443" t="s">
        <v>107</v>
      </c>
      <c r="BC15" s="442" t="s">
        <v>198</v>
      </c>
      <c r="BD15" s="444" t="s">
        <v>140</v>
      </c>
      <c r="BH15" s="437" t="s">
        <v>82</v>
      </c>
      <c r="BI15" s="715" t="s">
        <v>2328</v>
      </c>
      <c r="BJ15" s="438" t="s">
        <v>18</v>
      </c>
      <c r="BK15" s="439" t="s">
        <v>19</v>
      </c>
      <c r="BL15" s="439" t="s">
        <v>425</v>
      </c>
      <c r="BM15" s="438" t="s">
        <v>483</v>
      </c>
      <c r="BN15" s="438" t="s">
        <v>2240</v>
      </c>
      <c r="BO15" s="438" t="s">
        <v>2241</v>
      </c>
      <c r="BP15" s="440" t="s">
        <v>276</v>
      </c>
      <c r="BQ15" s="441" t="s">
        <v>101</v>
      </c>
      <c r="BR15" s="442" t="s">
        <v>505</v>
      </c>
      <c r="BS15" s="442" t="s">
        <v>143</v>
      </c>
      <c r="BT15" s="442" t="s">
        <v>169</v>
      </c>
      <c r="BU15" s="442" t="s">
        <v>146</v>
      </c>
      <c r="BV15" s="443" t="s">
        <v>107</v>
      </c>
      <c r="BW15" s="442" t="s">
        <v>198</v>
      </c>
      <c r="BX15" s="444" t="s">
        <v>140</v>
      </c>
      <c r="CD15" s="403" t="s">
        <v>2294</v>
      </c>
      <c r="CE15" s="403"/>
      <c r="CF15" s="403"/>
      <c r="CG15" s="403" t="s">
        <v>6</v>
      </c>
      <c r="CH15" s="780" t="s">
        <v>2279</v>
      </c>
      <c r="CI15" s="403"/>
      <c r="CJ15" s="403"/>
      <c r="CK15" s="403" t="s">
        <v>537</v>
      </c>
      <c r="CL15" s="403"/>
      <c r="CM15" s="403"/>
      <c r="CN15" s="403"/>
      <c r="CO15" s="403"/>
      <c r="CP15" s="403"/>
      <c r="CQ15" s="403"/>
      <c r="CR15" s="403"/>
      <c r="CS15" s="403" t="s">
        <v>747</v>
      </c>
      <c r="CT15" s="403" t="s">
        <v>146</v>
      </c>
      <c r="CU15" s="403" t="s">
        <v>140</v>
      </c>
      <c r="DA15" s="628" t="s">
        <v>2294</v>
      </c>
      <c r="DB15" s="1238" t="s">
        <v>2180</v>
      </c>
      <c r="DC15" s="1241" t="s">
        <v>114</v>
      </c>
      <c r="DD15" s="1231" t="s">
        <v>6</v>
      </c>
      <c r="DE15" s="737" t="s">
        <v>146</v>
      </c>
      <c r="DF15" s="1244" t="s">
        <v>140</v>
      </c>
      <c r="DK15" s="403" t="s">
        <v>2361</v>
      </c>
      <c r="DL15" s="403" t="s">
        <v>2356</v>
      </c>
      <c r="DM15" s="403" t="s">
        <v>2358</v>
      </c>
      <c r="DN15" s="403" t="s">
        <v>6</v>
      </c>
      <c r="DO15" s="403" t="s">
        <v>317</v>
      </c>
      <c r="DP15" s="403" t="s">
        <v>146</v>
      </c>
      <c r="DQ15" s="403" t="s">
        <v>2359</v>
      </c>
      <c r="DR15" s="403" t="s">
        <v>2360</v>
      </c>
      <c r="DS15" s="403" t="s">
        <v>140</v>
      </c>
      <c r="DV15" s="403" t="s">
        <v>307</v>
      </c>
      <c r="DW15" s="403" t="s">
        <v>310</v>
      </c>
      <c r="DX15" s="403" t="s">
        <v>322</v>
      </c>
      <c r="DY15" s="403" t="s">
        <v>324</v>
      </c>
      <c r="DZ15" s="403" t="s">
        <v>327</v>
      </c>
      <c r="EA15" s="403" t="s">
        <v>312</v>
      </c>
      <c r="EB15" s="403" t="s">
        <v>201</v>
      </c>
      <c r="EC15" s="403" t="s">
        <v>315</v>
      </c>
      <c r="ED15" s="403" t="s">
        <v>317</v>
      </c>
      <c r="EE15" s="403" t="s">
        <v>201</v>
      </c>
      <c r="EF15" s="403" t="s">
        <v>320</v>
      </c>
      <c r="EG15" s="403" t="s">
        <v>342</v>
      </c>
      <c r="EH15" s="403" t="s">
        <v>342</v>
      </c>
      <c r="EI15" s="403" t="s">
        <v>263</v>
      </c>
      <c r="EJ15" s="403" t="s">
        <v>198</v>
      </c>
      <c r="EK15" s="403" t="s">
        <v>106</v>
      </c>
      <c r="EL15" s="403" t="s">
        <v>198</v>
      </c>
      <c r="EM15" s="403" t="s">
        <v>263</v>
      </c>
      <c r="EN15" s="403" t="s">
        <v>198</v>
      </c>
      <c r="EO15" s="403" t="s">
        <v>419</v>
      </c>
      <c r="EP15" s="403" t="s">
        <v>420</v>
      </c>
      <c r="EQ15" s="403" t="s">
        <v>106</v>
      </c>
      <c r="ER15" s="403" t="s">
        <v>198</v>
      </c>
      <c r="ES15" s="403" t="s">
        <v>201</v>
      </c>
      <c r="ET15" s="403" t="s">
        <v>330</v>
      </c>
      <c r="EU15" s="403" t="s">
        <v>332</v>
      </c>
      <c r="EV15" s="403" t="s">
        <v>332</v>
      </c>
      <c r="EW15" s="403" t="s">
        <v>335</v>
      </c>
      <c r="EX15" s="403" t="s">
        <v>337</v>
      </c>
      <c r="EY15" s="403" t="s">
        <v>339</v>
      </c>
      <c r="EZ15" s="403" t="s">
        <v>140</v>
      </c>
    </row>
    <row r="16" spans="1:157" ht="18" customHeight="1" x14ac:dyDescent="0.3">
      <c r="A16" s="424" t="s">
        <v>745</v>
      </c>
      <c r="B16" s="425"/>
      <c r="C16" s="425" t="e">
        <f>COLUMN(#REF!)</f>
        <v>#REF!</v>
      </c>
      <c r="D16" s="425" t="e">
        <f>COLUMN(#REF!)</f>
        <v>#REF!</v>
      </c>
      <c r="E16" s="425" t="e">
        <f>COLUMN(#REF!)</f>
        <v>#REF!</v>
      </c>
      <c r="F16" s="425" t="e">
        <f>COLUMN(#REF!)</f>
        <v>#REF!</v>
      </c>
      <c r="G16" s="425" t="e">
        <f>COLUMN(#REF!)</f>
        <v>#REF!</v>
      </c>
      <c r="H16" s="425" t="e">
        <f>COLUMN(#REF!)</f>
        <v>#REF!</v>
      </c>
      <c r="J16" s="426"/>
      <c r="K16" s="427" t="e">
        <f>COLUMN(#REF!)</f>
        <v>#REF!</v>
      </c>
      <c r="L16" s="427" t="e">
        <f>COLUMN(#REF!)</f>
        <v>#REF!</v>
      </c>
      <c r="M16" s="427" t="e">
        <f>COLUMN(#REF!)</f>
        <v>#REF!</v>
      </c>
      <c r="N16" s="427" t="e">
        <f>COLUMN(#REF!)</f>
        <v>#REF!</v>
      </c>
      <c r="O16" s="427" t="e">
        <f>COLUMN(#REF!)</f>
        <v>#REF!</v>
      </c>
      <c r="Q16" s="426"/>
      <c r="R16" s="427" t="e">
        <f>COLUMN(#REF!)</f>
        <v>#REF!</v>
      </c>
      <c r="S16" s="427" t="e">
        <f>COLUMN(#REF!)</f>
        <v>#REF!</v>
      </c>
      <c r="T16" s="427" t="e">
        <f>COLUMN(#REF!)</f>
        <v>#REF!</v>
      </c>
      <c r="V16" s="426"/>
      <c r="W16" s="425" t="e">
        <f>COLUMN(#REF!)</f>
        <v>#REF!</v>
      </c>
      <c r="X16" s="425" t="e">
        <f>COLUMN(#REF!)</f>
        <v>#REF!</v>
      </c>
      <c r="Y16" s="425" t="e">
        <f>COLUMN(#REF!)</f>
        <v>#REF!</v>
      </c>
      <c r="Z16" s="425" t="e">
        <f>COLUMN(#REF!)</f>
        <v>#REF!</v>
      </c>
      <c r="AA16" s="425" t="e">
        <f>COLUMN(#REF!)</f>
        <v>#REF!</v>
      </c>
      <c r="AB16" s="425" t="e">
        <f>COLUMN(#REF!)</f>
        <v>#REF!</v>
      </c>
      <c r="AD16" s="426"/>
      <c r="AE16" s="425" t="e">
        <f>COLUMN(#REF!)</f>
        <v>#REF!</v>
      </c>
      <c r="AF16" s="425" t="e">
        <f>COLUMN(#REF!)</f>
        <v>#REF!</v>
      </c>
      <c r="AG16" s="425" t="e">
        <f>COLUMN(#REF!)</f>
        <v>#REF!</v>
      </c>
      <c r="AH16" s="425" t="e">
        <f>COLUMN(#REF!)</f>
        <v>#REF!</v>
      </c>
      <c r="AI16" s="425" t="e">
        <f>COLUMN(#REF!)</f>
        <v>#REF!</v>
      </c>
      <c r="AK16" s="426"/>
      <c r="AL16" s="425" t="e">
        <f>COLUMN(#REF!)</f>
        <v>#REF!</v>
      </c>
      <c r="AM16" s="425" t="e">
        <f>COLUMN(#REF!)</f>
        <v>#REF!</v>
      </c>
      <c r="AN16" s="425" t="e">
        <f>COLUMN(#REF!)</f>
        <v>#REF!</v>
      </c>
      <c r="AQ16" s="428">
        <f>COLUMN('A-10 M&amp;A FacInv'!$C$10)</f>
        <v>3</v>
      </c>
      <c r="AR16" s="428">
        <f>COLUMN('A-10 M&amp;A FacInv'!$H$10)</f>
        <v>8</v>
      </c>
      <c r="AS16" s="429">
        <f>COLUMN('A-10 M&amp;A FacInv'!$J$2)</f>
        <v>10</v>
      </c>
      <c r="AT16" s="429">
        <f t="shared" ref="AT16:BC16" si="0">AS16+2</f>
        <v>12</v>
      </c>
      <c r="AU16" s="429">
        <f t="shared" si="0"/>
        <v>14</v>
      </c>
      <c r="AV16" s="429">
        <f t="shared" si="0"/>
        <v>16</v>
      </c>
      <c r="AW16" s="429">
        <f t="shared" si="0"/>
        <v>18</v>
      </c>
      <c r="AX16" s="429">
        <f t="shared" si="0"/>
        <v>20</v>
      </c>
      <c r="AY16" s="429">
        <f t="shared" si="0"/>
        <v>22</v>
      </c>
      <c r="AZ16" s="429">
        <f t="shared" si="0"/>
        <v>24</v>
      </c>
      <c r="BA16" s="429">
        <f t="shared" si="0"/>
        <v>26</v>
      </c>
      <c r="BB16" s="429">
        <f t="shared" si="0"/>
        <v>28</v>
      </c>
      <c r="BC16" s="429">
        <f t="shared" si="0"/>
        <v>30</v>
      </c>
      <c r="BD16" s="430">
        <f>BC16+6</f>
        <v>36</v>
      </c>
      <c r="BE16" s="380">
        <f>COLUMN('A-10 M&amp;A FacInv'!$AH$10)</f>
        <v>34</v>
      </c>
      <c r="BF16" s="380" t="s">
        <v>641</v>
      </c>
      <c r="BH16" s="428">
        <f>COLUMN('A-20 PassFacInv'!$C$10)</f>
        <v>3</v>
      </c>
      <c r="BI16" s="428">
        <f>COLUMN('A-20 PassFacInv'!$H$10)</f>
        <v>8</v>
      </c>
      <c r="BJ16" s="429">
        <f>COLUMN('A-20 PassFacInv'!$J$10)</f>
        <v>10</v>
      </c>
      <c r="BK16" s="429">
        <f>BJ16+2</f>
        <v>12</v>
      </c>
      <c r="BL16" s="429">
        <f t="shared" ref="BL16:BW16" si="1">BK16+2</f>
        <v>14</v>
      </c>
      <c r="BM16" s="429">
        <f t="shared" si="1"/>
        <v>16</v>
      </c>
      <c r="BN16" s="429">
        <f t="shared" si="1"/>
        <v>18</v>
      </c>
      <c r="BO16" s="429">
        <f t="shared" si="1"/>
        <v>20</v>
      </c>
      <c r="BP16" s="429">
        <f t="shared" si="1"/>
        <v>22</v>
      </c>
      <c r="BQ16" s="429">
        <f>BP16+2</f>
        <v>24</v>
      </c>
      <c r="BR16" s="429">
        <f t="shared" si="1"/>
        <v>26</v>
      </c>
      <c r="BS16" s="429">
        <f t="shared" si="1"/>
        <v>28</v>
      </c>
      <c r="BT16" s="429">
        <f t="shared" si="1"/>
        <v>30</v>
      </c>
      <c r="BU16" s="429">
        <f t="shared" si="1"/>
        <v>32</v>
      </c>
      <c r="BV16" s="429">
        <f t="shared" si="1"/>
        <v>34</v>
      </c>
      <c r="BW16" s="429">
        <f t="shared" si="1"/>
        <v>36</v>
      </c>
      <c r="BX16" s="429">
        <f>BW16+6</f>
        <v>42</v>
      </c>
      <c r="BY16" s="380">
        <f>COLUMN('A-20 PassFacInv'!AN10)</f>
        <v>40</v>
      </c>
      <c r="BZ16" s="380" t="s">
        <v>743</v>
      </c>
      <c r="CB16" s="425">
        <v>1</v>
      </c>
      <c r="CC16" s="425"/>
      <c r="CD16" s="425">
        <f>COLUMN('A-50 FGRailInv'!$C$10)</f>
        <v>3</v>
      </c>
      <c r="CE16" s="425">
        <f>COLUMN('A-50 FGRailInv'!$H$10)</f>
        <v>8</v>
      </c>
      <c r="CF16" s="425">
        <f t="shared" ref="CF16:CL16" si="2">CE16+2</f>
        <v>10</v>
      </c>
      <c r="CG16" s="425">
        <f t="shared" si="2"/>
        <v>12</v>
      </c>
      <c r="CH16" s="425">
        <f t="shared" si="2"/>
        <v>14</v>
      </c>
      <c r="CI16" s="425">
        <f t="shared" si="2"/>
        <v>16</v>
      </c>
      <c r="CJ16" s="425">
        <f t="shared" si="2"/>
        <v>18</v>
      </c>
      <c r="CK16" s="425">
        <f t="shared" si="2"/>
        <v>20</v>
      </c>
      <c r="CL16" s="425">
        <f t="shared" si="2"/>
        <v>22</v>
      </c>
      <c r="CM16" s="425">
        <f t="shared" ref="CM16:CU16" si="3">CL16+2</f>
        <v>24</v>
      </c>
      <c r="CN16" s="425">
        <f t="shared" si="3"/>
        <v>26</v>
      </c>
      <c r="CO16" s="425">
        <f t="shared" si="3"/>
        <v>28</v>
      </c>
      <c r="CP16" s="425">
        <f t="shared" si="3"/>
        <v>30</v>
      </c>
      <c r="CQ16" s="425">
        <f t="shared" si="3"/>
        <v>32</v>
      </c>
      <c r="CR16" s="425">
        <f t="shared" si="3"/>
        <v>34</v>
      </c>
      <c r="CS16" s="425">
        <f t="shared" si="3"/>
        <v>36</v>
      </c>
      <c r="CT16" s="425">
        <f t="shared" si="3"/>
        <v>38</v>
      </c>
      <c r="CU16" s="425">
        <f t="shared" si="3"/>
        <v>40</v>
      </c>
      <c r="CV16" s="380">
        <f>COLUMN('A-50 FGRailInv'!$AP$10)</f>
        <v>42</v>
      </c>
      <c r="CW16" s="380" t="s">
        <v>641</v>
      </c>
      <c r="CY16" s="425">
        <v>1</v>
      </c>
      <c r="CZ16" s="425"/>
      <c r="DA16" s="425">
        <f>COLUMN('A-55 TrackInv'!$C$13)</f>
        <v>3</v>
      </c>
      <c r="DB16" s="425">
        <f>COLUMN('A-55 TrackInv'!$H$19)</f>
        <v>8</v>
      </c>
      <c r="DC16" s="425">
        <f>DB16+2</f>
        <v>10</v>
      </c>
      <c r="DD16" s="425">
        <f>DC16+2</f>
        <v>12</v>
      </c>
      <c r="DE16" s="425">
        <f>DD16+2</f>
        <v>14</v>
      </c>
      <c r="DF16" s="425">
        <f>COLUMN('A-55 TrackInv'!$R$19)</f>
        <v>18</v>
      </c>
      <c r="DG16" s="380">
        <f>COLUMN('A-55 TrackInv'!$R$10)</f>
        <v>18</v>
      </c>
      <c r="DK16" s="425">
        <f>COLUMN('A-60 SvcVehInv'!$C$10)</f>
        <v>3</v>
      </c>
      <c r="DL16" s="425">
        <f>COLUMN('A-60 SvcVehInv'!$H$10)</f>
        <v>8</v>
      </c>
      <c r="DM16" s="425">
        <f t="shared" ref="DM16:DR16" si="4">DL16+2</f>
        <v>10</v>
      </c>
      <c r="DN16" s="425">
        <f t="shared" si="4"/>
        <v>12</v>
      </c>
      <c r="DO16" s="425">
        <f t="shared" si="4"/>
        <v>14</v>
      </c>
      <c r="DP16" s="425">
        <f t="shared" si="4"/>
        <v>16</v>
      </c>
      <c r="DQ16" s="425">
        <f t="shared" si="4"/>
        <v>18</v>
      </c>
      <c r="DR16" s="425">
        <f t="shared" si="4"/>
        <v>20</v>
      </c>
      <c r="DS16" s="425">
        <f>COLUMN('A-60 SvcVehInv'!$AF$10)</f>
        <v>32</v>
      </c>
      <c r="DV16" s="425">
        <f>COLUMN('A-70 RevVehInv'!C10)</f>
        <v>3</v>
      </c>
      <c r="DW16" s="425">
        <f>COLUMN('A-70 RevVehInv'!I10)</f>
        <v>9</v>
      </c>
      <c r="DX16" s="425">
        <f>COLUMN('A-70 RevVehInv'!K10)</f>
        <v>11</v>
      </c>
      <c r="DY16" s="425">
        <f>DX16+2</f>
        <v>13</v>
      </c>
      <c r="DZ16" s="425">
        <f t="shared" ref="DZ16:EZ16" si="5">DY16+2</f>
        <v>15</v>
      </c>
      <c r="EA16" s="425">
        <f t="shared" si="5"/>
        <v>17</v>
      </c>
      <c r="EB16" s="425">
        <f t="shared" si="5"/>
        <v>19</v>
      </c>
      <c r="EC16" s="425">
        <f t="shared" si="5"/>
        <v>21</v>
      </c>
      <c r="ED16" s="425">
        <f t="shared" si="5"/>
        <v>23</v>
      </c>
      <c r="EE16" s="425">
        <f t="shared" si="5"/>
        <v>25</v>
      </c>
      <c r="EF16" s="425">
        <f t="shared" si="5"/>
        <v>27</v>
      </c>
      <c r="EG16" s="425">
        <f t="shared" si="5"/>
        <v>29</v>
      </c>
      <c r="EH16" s="425">
        <f t="shared" si="5"/>
        <v>31</v>
      </c>
      <c r="EI16" s="425">
        <f t="shared" si="5"/>
        <v>33</v>
      </c>
      <c r="EJ16" s="425">
        <f t="shared" si="5"/>
        <v>35</v>
      </c>
      <c r="EK16" s="425">
        <f t="shared" si="5"/>
        <v>37</v>
      </c>
      <c r="EL16" s="425">
        <f t="shared" si="5"/>
        <v>39</v>
      </c>
      <c r="EM16" s="425">
        <f t="shared" si="5"/>
        <v>41</v>
      </c>
      <c r="EN16" s="425">
        <f t="shared" si="5"/>
        <v>43</v>
      </c>
      <c r="EO16" s="425">
        <f t="shared" si="5"/>
        <v>45</v>
      </c>
      <c r="EP16" s="425">
        <f t="shared" si="5"/>
        <v>47</v>
      </c>
      <c r="EQ16" s="425">
        <f t="shared" si="5"/>
        <v>49</v>
      </c>
      <c r="ER16" s="425">
        <f t="shared" si="5"/>
        <v>51</v>
      </c>
      <c r="ES16" s="425">
        <f t="shared" si="5"/>
        <v>53</v>
      </c>
      <c r="ET16" s="425">
        <f t="shared" si="5"/>
        <v>55</v>
      </c>
      <c r="EU16" s="425">
        <f t="shared" si="5"/>
        <v>57</v>
      </c>
      <c r="EV16" s="425">
        <f t="shared" si="5"/>
        <v>59</v>
      </c>
      <c r="EW16" s="425">
        <f t="shared" si="5"/>
        <v>61</v>
      </c>
      <c r="EX16" s="425">
        <f t="shared" si="5"/>
        <v>63</v>
      </c>
      <c r="EY16" s="425">
        <f t="shared" si="5"/>
        <v>65</v>
      </c>
      <c r="EZ16" s="425">
        <f t="shared" si="5"/>
        <v>67</v>
      </c>
      <c r="FA16" s="380">
        <f>COLUMN('A-70 RevVehInv'!BC10)</f>
        <v>55</v>
      </c>
    </row>
    <row r="17" spans="1:156" ht="16.5" customHeight="1" x14ac:dyDescent="0.3">
      <c r="A17" s="424" t="s">
        <v>744</v>
      </c>
      <c r="B17" s="427" t="str">
        <f>Valid!$B$27</f>
        <v>Building</v>
      </c>
      <c r="C17" s="425" t="e">
        <f>ROW(#REF!)</f>
        <v>#REF!</v>
      </c>
      <c r="D17" s="425" t="e">
        <f>ROW(#REF!)</f>
        <v>#REF!</v>
      </c>
      <c r="E17" s="425" t="e">
        <f>ROW(#REF!)</f>
        <v>#REF!</v>
      </c>
      <c r="F17" s="425" t="e">
        <f>ROW(#REF!)</f>
        <v>#REF!</v>
      </c>
      <c r="G17" s="425" t="e">
        <f>ROW(#REF!)</f>
        <v>#REF!</v>
      </c>
      <c r="H17" s="425" t="e">
        <f>ROW(#REF!)</f>
        <v>#REF!</v>
      </c>
      <c r="J17" s="425" t="str">
        <f>Valid!$B$53</f>
        <v>Building</v>
      </c>
      <c r="K17" s="425" t="e">
        <f>ROW(#REF!)</f>
        <v>#REF!</v>
      </c>
      <c r="L17" s="425" t="e">
        <f>ROW(#REF!)</f>
        <v>#REF!</v>
      </c>
      <c r="M17" s="425" t="e">
        <f>ROW(#REF!)</f>
        <v>#REF!</v>
      </c>
      <c r="N17" s="425" t="e">
        <f>ROW(#REF!)</f>
        <v>#REF!</v>
      </c>
      <c r="O17" s="425" t="e">
        <f>ROW(#REF!)</f>
        <v>#REF!</v>
      </c>
      <c r="Q17" s="425" t="str">
        <f>Valid!$B$41</f>
        <v>Building</v>
      </c>
      <c r="R17" s="425" t="e">
        <f>ROW(#REF!)</f>
        <v>#REF!</v>
      </c>
      <c r="S17" s="425" t="e">
        <f>ROW(#REF!)</f>
        <v>#REF!</v>
      </c>
      <c r="T17" s="425" t="e">
        <f>ROW(#REF!)</f>
        <v>#REF!</v>
      </c>
      <c r="V17" s="423" t="str">
        <f>Valid!B27</f>
        <v>Building</v>
      </c>
      <c r="W17" s="425" t="e">
        <f>ROW(#REF!)</f>
        <v>#REF!</v>
      </c>
      <c r="X17" s="425" t="e">
        <f>ROW(#REF!)</f>
        <v>#REF!</v>
      </c>
      <c r="Y17" s="425" t="e">
        <f>ROW(#REF!)</f>
        <v>#REF!</v>
      </c>
      <c r="Z17" s="425" t="e">
        <f>ROW(#REF!)</f>
        <v>#REF!</v>
      </c>
      <c r="AA17" s="425" t="e">
        <f>ROW(#REF!)</f>
        <v>#REF!</v>
      </c>
      <c r="AB17" s="425" t="e">
        <f>ROW(#REF!)</f>
        <v>#REF!</v>
      </c>
      <c r="AD17" s="425" t="str">
        <f>Valid!B53</f>
        <v>Building</v>
      </c>
      <c r="AE17" s="425" t="e">
        <f>ROW(#REF!)</f>
        <v>#REF!</v>
      </c>
      <c r="AF17" s="425" t="e">
        <f>ROW(#REF!)</f>
        <v>#REF!</v>
      </c>
      <c r="AG17" s="425" t="e">
        <f>ROW(#REF!)</f>
        <v>#REF!</v>
      </c>
      <c r="AH17" s="425" t="e">
        <f>ROW(#REF!)</f>
        <v>#REF!</v>
      </c>
      <c r="AI17" s="425" t="e">
        <f>ROW(#REF!)</f>
        <v>#REF!</v>
      </c>
      <c r="AK17" s="425" t="str">
        <f>Valid!B41</f>
        <v>Building</v>
      </c>
      <c r="AL17" s="425" t="e">
        <f>ROW(#REF!)</f>
        <v>#REF!</v>
      </c>
      <c r="AM17" s="425" t="e">
        <f>ROW(#REF!)</f>
        <v>#REF!</v>
      </c>
      <c r="AN17" s="425" t="e">
        <f>ROW(#REF!)</f>
        <v>#REF!</v>
      </c>
      <c r="AP17" s="380" t="s">
        <v>642</v>
      </c>
      <c r="AQ17" s="394">
        <f>ROW('A-10 M&amp;A FacInv'!$C$13)</f>
        <v>13</v>
      </c>
      <c r="AR17" s="394">
        <f>ROW('A-10 M&amp;A FacInv'!$C$13)</f>
        <v>13</v>
      </c>
      <c r="AS17" s="395">
        <f>ROW('A-10 M&amp;A FacInv'!$C$13)</f>
        <v>13</v>
      </c>
      <c r="AT17" s="395">
        <f>ROW('A-10 M&amp;A FacInv'!$C$13)</f>
        <v>13</v>
      </c>
      <c r="AU17" s="395">
        <f>ROW('A-10 M&amp;A FacInv'!$C$13)</f>
        <v>13</v>
      </c>
      <c r="AV17" s="395">
        <f>ROW('A-10 M&amp;A FacInv'!$C$13)</f>
        <v>13</v>
      </c>
      <c r="AW17" s="395">
        <f>ROW('A-10 M&amp;A FacInv'!$C$13)</f>
        <v>13</v>
      </c>
      <c r="AX17" s="395">
        <f>ROW('A-10 M&amp;A FacInv'!$C$13)</f>
        <v>13</v>
      </c>
      <c r="AY17" s="395">
        <f>ROW('A-10 M&amp;A FacInv'!$C$13)</f>
        <v>13</v>
      </c>
      <c r="AZ17" s="395">
        <f>ROW('A-10 M&amp;A FacInv'!$C$13)</f>
        <v>13</v>
      </c>
      <c r="BA17" s="395">
        <f>ROW('A-10 M&amp;A FacInv'!$C$13)</f>
        <v>13</v>
      </c>
      <c r="BB17" s="395">
        <f>ROW('A-10 M&amp;A FacInv'!$C$13)</f>
        <v>13</v>
      </c>
      <c r="BC17" s="395">
        <f>ROW('A-10 M&amp;A FacInv'!$C$13)</f>
        <v>13</v>
      </c>
      <c r="BD17" s="396">
        <f>ROW('A-10 M&amp;A FacInv'!$C$13)</f>
        <v>13</v>
      </c>
      <c r="BG17" s="380" t="s">
        <v>642</v>
      </c>
      <c r="BH17" s="394">
        <f>ROW('A-20 PassFacInv'!$A$13)</f>
        <v>13</v>
      </c>
      <c r="BI17" s="394">
        <f>ROW('A-20 PassFacInv'!$A$13)</f>
        <v>13</v>
      </c>
      <c r="BJ17" s="395">
        <f>ROW('A-20 PassFacInv'!$A$13)</f>
        <v>13</v>
      </c>
      <c r="BK17" s="395">
        <f>ROW('A-20 PassFacInv'!$A$13)</f>
        <v>13</v>
      </c>
      <c r="BL17" s="395">
        <f>ROW('A-20 PassFacInv'!$A$13)</f>
        <v>13</v>
      </c>
      <c r="BM17" s="395">
        <f>ROW('A-20 PassFacInv'!$A$13)</f>
        <v>13</v>
      </c>
      <c r="BN17" s="395">
        <f>ROW('A-20 PassFacInv'!$A$13)</f>
        <v>13</v>
      </c>
      <c r="BO17" s="395">
        <f>ROW('A-20 PassFacInv'!$A$13)</f>
        <v>13</v>
      </c>
      <c r="BP17" s="395">
        <f>ROW('A-20 PassFacInv'!$A$13)</f>
        <v>13</v>
      </c>
      <c r="BQ17" s="395">
        <f>ROW('A-20 PassFacInv'!$A$13)</f>
        <v>13</v>
      </c>
      <c r="BR17" s="395">
        <f>ROW('A-20 PassFacInv'!$A$13)</f>
        <v>13</v>
      </c>
      <c r="BS17" s="395">
        <f>ROW('A-20 PassFacInv'!$A$13)</f>
        <v>13</v>
      </c>
      <c r="BT17" s="395">
        <f>ROW('A-20 PassFacInv'!$A$13)</f>
        <v>13</v>
      </c>
      <c r="BU17" s="395">
        <f>ROW('A-20 PassFacInv'!$A$13)</f>
        <v>13</v>
      </c>
      <c r="BV17" s="395">
        <f>ROW('A-20 PassFacInv'!$A$13)</f>
        <v>13</v>
      </c>
      <c r="BW17" s="395">
        <f>ROW('A-20 PassFacInv'!$A$13)</f>
        <v>13</v>
      </c>
      <c r="BX17" s="396">
        <f>ROW('A-20 PassFacInv'!$A$13)</f>
        <v>13</v>
      </c>
      <c r="CA17" s="448" t="s">
        <v>857</v>
      </c>
      <c r="CB17" s="425">
        <f>'A-50 FGRailInv'!$C$13</f>
        <v>0</v>
      </c>
      <c r="CC17" s="425" t="str">
        <f>Valid!$B$71</f>
        <v>At-Grade/Ballast (including expressway)</v>
      </c>
      <c r="CD17" s="446">
        <f>ROW('A-50 FGRailInv'!$C$13)</f>
        <v>13</v>
      </c>
      <c r="CE17" s="446">
        <f>ROW('A-50 FGRailInv'!$C$17)</f>
        <v>17</v>
      </c>
      <c r="CF17" s="446">
        <f>CE17</f>
        <v>17</v>
      </c>
      <c r="CG17" s="446">
        <f t="shared" ref="CG17:CU17" si="6">$CE17</f>
        <v>17</v>
      </c>
      <c r="CH17" s="446">
        <f t="shared" si="6"/>
        <v>17</v>
      </c>
      <c r="CI17" s="446">
        <f t="shared" si="6"/>
        <v>17</v>
      </c>
      <c r="CJ17" s="446">
        <f t="shared" si="6"/>
        <v>17</v>
      </c>
      <c r="CK17" s="446">
        <f t="shared" si="6"/>
        <v>17</v>
      </c>
      <c r="CL17" s="446">
        <f t="shared" si="6"/>
        <v>17</v>
      </c>
      <c r="CM17" s="446">
        <f t="shared" si="6"/>
        <v>17</v>
      </c>
      <c r="CN17" s="446">
        <f t="shared" si="6"/>
        <v>17</v>
      </c>
      <c r="CO17" s="446">
        <f t="shared" si="6"/>
        <v>17</v>
      </c>
      <c r="CP17" s="446">
        <f t="shared" si="6"/>
        <v>17</v>
      </c>
      <c r="CQ17" s="446">
        <f t="shared" si="6"/>
        <v>17</v>
      </c>
      <c r="CR17" s="446">
        <f t="shared" si="6"/>
        <v>17</v>
      </c>
      <c r="CS17" s="446">
        <f t="shared" ref="CS17:CS25" si="7">$CE17</f>
        <v>17</v>
      </c>
      <c r="CT17" s="446">
        <f t="shared" si="6"/>
        <v>17</v>
      </c>
      <c r="CU17" s="446">
        <f t="shared" si="6"/>
        <v>17</v>
      </c>
      <c r="CX17" s="380">
        <v>1</v>
      </c>
      <c r="CY17" s="425">
        <f>'A-55 TrackInv'!$C$13</f>
        <v>0</v>
      </c>
      <c r="CZ17" s="425" t="str">
        <f>Valid!$B$80</f>
        <v>Tangent</v>
      </c>
      <c r="DA17" s="425">
        <f>ROW('A-55 TrackInv'!$C$13)</f>
        <v>13</v>
      </c>
      <c r="DB17" s="425">
        <f>ROW('A-55 TrackInv'!$H$19)</f>
        <v>19</v>
      </c>
      <c r="DC17" s="425">
        <f t="shared" ref="DC17:DC33" si="8">$DB17</f>
        <v>19</v>
      </c>
      <c r="DD17" s="425">
        <f t="shared" ref="DD17:DF32" si="9">$DB17</f>
        <v>19</v>
      </c>
      <c r="DE17" s="425">
        <f t="shared" si="9"/>
        <v>19</v>
      </c>
      <c r="DF17" s="425">
        <f t="shared" si="9"/>
        <v>19</v>
      </c>
      <c r="DJ17" s="380" t="s">
        <v>748</v>
      </c>
      <c r="DK17" s="425">
        <f>ROW('A-60 SvcVehInv'!$C$13)</f>
        <v>13</v>
      </c>
      <c r="DL17" s="425">
        <f t="shared" ref="DL17:DS19" si="10">DK17</f>
        <v>13</v>
      </c>
      <c r="DM17" s="425">
        <f t="shared" si="10"/>
        <v>13</v>
      </c>
      <c r="DN17" s="425">
        <f t="shared" si="10"/>
        <v>13</v>
      </c>
      <c r="DO17" s="425">
        <f t="shared" si="10"/>
        <v>13</v>
      </c>
      <c r="DP17" s="425">
        <f t="shared" si="10"/>
        <v>13</v>
      </c>
      <c r="DQ17" s="425">
        <f t="shared" si="10"/>
        <v>13</v>
      </c>
      <c r="DR17" s="425">
        <f t="shared" si="10"/>
        <v>13</v>
      </c>
      <c r="DS17" s="425">
        <f t="shared" si="10"/>
        <v>13</v>
      </c>
      <c r="DU17" s="380" t="s">
        <v>748</v>
      </c>
      <c r="DV17" s="425">
        <f>ROW('A-70 RevVehInv'!A13)</f>
        <v>13</v>
      </c>
      <c r="DW17" s="425">
        <f>ROW('A-70 RevVehInv'!B13)</f>
        <v>13</v>
      </c>
      <c r="DX17" s="425">
        <f>ROW('A-70 RevVehInv'!C13)</f>
        <v>13</v>
      </c>
      <c r="DY17" s="425">
        <f>ROW('A-70 RevVehInv'!D13)</f>
        <v>13</v>
      </c>
      <c r="DZ17" s="425">
        <f>ROW('A-70 RevVehInv'!E13)</f>
        <v>13</v>
      </c>
      <c r="EA17" s="425">
        <f>ROW('A-70 RevVehInv'!F13)</f>
        <v>13</v>
      </c>
      <c r="EB17" s="425">
        <f>ROW('A-70 RevVehInv'!G13)</f>
        <v>13</v>
      </c>
      <c r="EC17" s="425">
        <f>ROW('A-70 RevVehInv'!I13)</f>
        <v>13</v>
      </c>
      <c r="ED17" s="425">
        <f>ROW('A-70 RevVehInv'!J13)</f>
        <v>13</v>
      </c>
      <c r="EE17" s="425">
        <f>ROW('A-70 RevVehInv'!K13)</f>
        <v>13</v>
      </c>
      <c r="EF17" s="425">
        <f>ROW('A-70 RevVehInv'!L13)</f>
        <v>13</v>
      </c>
      <c r="EG17" s="425">
        <f>ROW('A-70 RevVehInv'!M13)</f>
        <v>13</v>
      </c>
      <c r="EH17" s="425">
        <f>ROW('A-70 RevVehInv'!N13)</f>
        <v>13</v>
      </c>
      <c r="EI17" s="425">
        <f>ROW('A-70 RevVehInv'!O13)</f>
        <v>13</v>
      </c>
      <c r="EJ17" s="425">
        <f>ROW('A-70 RevVehInv'!P13)</f>
        <v>13</v>
      </c>
      <c r="EK17" s="425">
        <f>ROW('A-70 RevVehInv'!Q13)</f>
        <v>13</v>
      </c>
      <c r="EL17" s="425">
        <f>ROW('A-70 RevVehInv'!R13)</f>
        <v>13</v>
      </c>
      <c r="EM17" s="425">
        <f>ROW('A-70 RevVehInv'!S13)</f>
        <v>13</v>
      </c>
      <c r="EN17" s="425">
        <f>ROW('A-70 RevVehInv'!T13)</f>
        <v>13</v>
      </c>
      <c r="EO17" s="425">
        <f>ROW('A-70 RevVehInv'!U13)</f>
        <v>13</v>
      </c>
      <c r="EP17" s="425">
        <f>ROW('A-70 RevVehInv'!V13)</f>
        <v>13</v>
      </c>
      <c r="EQ17" s="425">
        <f>ROW('A-70 RevVehInv'!AA13)</f>
        <v>13</v>
      </c>
      <c r="ER17" s="425">
        <f>ROW('A-70 RevVehInv'!AB13)</f>
        <v>13</v>
      </c>
      <c r="ES17" s="425">
        <f>ROW('A-70 RevVehInv'!AG13)</f>
        <v>13</v>
      </c>
      <c r="ET17" s="425">
        <f>ROW('A-70 RevVehInv'!AH13)</f>
        <v>13</v>
      </c>
      <c r="EU17" s="425">
        <f>ROW('A-70 RevVehInv'!AI13)</f>
        <v>13</v>
      </c>
      <c r="EV17" s="425">
        <f>ROW('A-70 RevVehInv'!AJ13)</f>
        <v>13</v>
      </c>
      <c r="EW17" s="425">
        <f>ROW('A-70 RevVehInv'!AJ13)</f>
        <v>13</v>
      </c>
      <c r="EX17" s="425">
        <f>ROW('A-70 RevVehInv'!AK13)</f>
        <v>13</v>
      </c>
      <c r="EY17" s="425">
        <f>ROW('A-70 RevVehInv'!AL13)</f>
        <v>13</v>
      </c>
      <c r="EZ17" s="425">
        <f>ROW('A-70 RevVehInv'!AM13)</f>
        <v>13</v>
      </c>
    </row>
    <row r="18" spans="1:156" ht="12.75" customHeight="1" x14ac:dyDescent="0.2">
      <c r="B18" s="427" t="str">
        <f>Valid!B28</f>
        <v xml:space="preserve">Electrical Rough-In &amp; Finishes </v>
      </c>
      <c r="C18" s="425" t="e">
        <f>C17+2</f>
        <v>#REF!</v>
      </c>
      <c r="D18" s="425" t="e">
        <f t="shared" ref="D18:H28" si="11">D17+2</f>
        <v>#REF!</v>
      </c>
      <c r="E18" s="425" t="e">
        <f t="shared" si="11"/>
        <v>#REF!</v>
      </c>
      <c r="F18" s="425" t="e">
        <f t="shared" si="11"/>
        <v>#REF!</v>
      </c>
      <c r="G18" s="425" t="e">
        <f t="shared" si="11"/>
        <v>#REF!</v>
      </c>
      <c r="H18" s="425" t="e">
        <f t="shared" si="11"/>
        <v>#REF!</v>
      </c>
      <c r="J18" s="425" t="str">
        <f>Valid!B54</f>
        <v xml:space="preserve">Building Exterior </v>
      </c>
      <c r="K18" s="425" t="e">
        <f>K17+2</f>
        <v>#REF!</v>
      </c>
      <c r="L18" s="425" t="e">
        <f t="shared" ref="L18:O26" si="12">L17+2</f>
        <v>#REF!</v>
      </c>
      <c r="M18" s="425" t="e">
        <f t="shared" si="12"/>
        <v>#REF!</v>
      </c>
      <c r="N18" s="425" t="e">
        <f t="shared" si="12"/>
        <v>#REF!</v>
      </c>
      <c r="O18" s="425" t="e">
        <f t="shared" si="12"/>
        <v>#REF!</v>
      </c>
      <c r="Q18" s="425" t="str">
        <f>Valid!B42</f>
        <v xml:space="preserve">Building Exterior </v>
      </c>
      <c r="R18" s="425" t="e">
        <f>R17+2</f>
        <v>#REF!</v>
      </c>
      <c r="S18" s="425" t="e">
        <f t="shared" ref="S18:T26" si="13">S17+2</f>
        <v>#REF!</v>
      </c>
      <c r="T18" s="425" t="e">
        <f t="shared" si="13"/>
        <v>#REF!</v>
      </c>
      <c r="V18" s="423" t="str">
        <f>Valid!B28</f>
        <v xml:space="preserve">Electrical Rough-In &amp; Finishes </v>
      </c>
      <c r="W18" s="425" t="e">
        <f>W17+2</f>
        <v>#REF!</v>
      </c>
      <c r="X18" s="425" t="e">
        <f t="shared" ref="X18:X28" si="14">X17+2</f>
        <v>#REF!</v>
      </c>
      <c r="Y18" s="425" t="e">
        <f t="shared" ref="Y18:Y28" si="15">Y17+2</f>
        <v>#REF!</v>
      </c>
      <c r="Z18" s="425" t="e">
        <f t="shared" ref="Z18:Z28" si="16">Z17+2</f>
        <v>#REF!</v>
      </c>
      <c r="AA18" s="425" t="e">
        <f t="shared" ref="AA18:AA28" si="17">AA17+2</f>
        <v>#REF!</v>
      </c>
      <c r="AB18" s="425" t="e">
        <f t="shared" ref="AB18:AB28" si="18">AB17+2</f>
        <v>#REF!</v>
      </c>
      <c r="AD18" s="425" t="str">
        <f>Valid!B54</f>
        <v xml:space="preserve">Building Exterior </v>
      </c>
      <c r="AE18" s="425" t="e">
        <f>AE17+2</f>
        <v>#REF!</v>
      </c>
      <c r="AF18" s="425" t="e">
        <f t="shared" ref="AF18:AF26" si="19">AF17+2</f>
        <v>#REF!</v>
      </c>
      <c r="AG18" s="425" t="e">
        <f t="shared" ref="AG18:AG26" si="20">AG17+2</f>
        <v>#REF!</v>
      </c>
      <c r="AH18" s="425" t="e">
        <f t="shared" ref="AH18:AH26" si="21">AH17+2</f>
        <v>#REF!</v>
      </c>
      <c r="AI18" s="425" t="e">
        <f t="shared" ref="AI18:AI26" si="22">AI17+2</f>
        <v>#REF!</v>
      </c>
      <c r="AK18" s="425" t="str">
        <f>Valid!B42</f>
        <v xml:space="preserve">Building Exterior </v>
      </c>
      <c r="AL18" s="425" t="e">
        <f>AL17+2</f>
        <v>#REF!</v>
      </c>
      <c r="AM18" s="425" t="e">
        <f t="shared" ref="AM18:AM26" si="23">AM17+2</f>
        <v>#REF!</v>
      </c>
      <c r="AN18" s="425" t="e">
        <f t="shared" ref="AN18:AN26" si="24">AN17+2</f>
        <v>#REF!</v>
      </c>
      <c r="AP18" s="380" t="s">
        <v>643</v>
      </c>
      <c r="AQ18" s="406">
        <f>AQ17+2</f>
        <v>15</v>
      </c>
      <c r="AR18" s="406">
        <f>AR17+2</f>
        <v>15</v>
      </c>
      <c r="AS18" s="380">
        <f t="shared" ref="AS18:BC18" si="25">AS17+2</f>
        <v>15</v>
      </c>
      <c r="AT18" s="380">
        <f t="shared" si="25"/>
        <v>15</v>
      </c>
      <c r="AU18" s="380">
        <f t="shared" si="25"/>
        <v>15</v>
      </c>
      <c r="AV18" s="380">
        <f t="shared" si="25"/>
        <v>15</v>
      </c>
      <c r="AW18" s="380">
        <f t="shared" si="25"/>
        <v>15</v>
      </c>
      <c r="AX18" s="380">
        <f t="shared" si="25"/>
        <v>15</v>
      </c>
      <c r="AY18" s="380">
        <f t="shared" si="25"/>
        <v>15</v>
      </c>
      <c r="AZ18" s="380">
        <f t="shared" si="25"/>
        <v>15</v>
      </c>
      <c r="BA18" s="380">
        <f t="shared" si="25"/>
        <v>15</v>
      </c>
      <c r="BB18" s="380">
        <f t="shared" si="25"/>
        <v>15</v>
      </c>
      <c r="BC18" s="380">
        <f t="shared" si="25"/>
        <v>15</v>
      </c>
      <c r="BD18" s="407">
        <f>BD17+2</f>
        <v>15</v>
      </c>
      <c r="BG18" s="380" t="s">
        <v>643</v>
      </c>
      <c r="BH18" s="406">
        <f>BH17+2</f>
        <v>15</v>
      </c>
      <c r="BI18" s="406">
        <f>BI17+2</f>
        <v>15</v>
      </c>
      <c r="BJ18" s="380">
        <f t="shared" ref="BJ18:BW18" si="26">BJ17+2</f>
        <v>15</v>
      </c>
      <c r="BK18" s="380">
        <f t="shared" si="26"/>
        <v>15</v>
      </c>
      <c r="BL18" s="380">
        <f t="shared" si="26"/>
        <v>15</v>
      </c>
      <c r="BM18" s="380">
        <f t="shared" si="26"/>
        <v>15</v>
      </c>
      <c r="BN18" s="380">
        <f>BN17+2</f>
        <v>15</v>
      </c>
      <c r="BO18" s="380">
        <f>BO17+2</f>
        <v>15</v>
      </c>
      <c r="BP18" s="380">
        <f t="shared" si="26"/>
        <v>15</v>
      </c>
      <c r="BQ18" s="380">
        <f t="shared" si="26"/>
        <v>15</v>
      </c>
      <c r="BR18" s="380">
        <f t="shared" si="26"/>
        <v>15</v>
      </c>
      <c r="BS18" s="380">
        <f t="shared" si="26"/>
        <v>15</v>
      </c>
      <c r="BT18" s="380">
        <f>BT17+2</f>
        <v>15</v>
      </c>
      <c r="BU18" s="380">
        <f t="shared" si="26"/>
        <v>15</v>
      </c>
      <c r="BV18" s="380">
        <f t="shared" si="26"/>
        <v>15</v>
      </c>
      <c r="BW18" s="380">
        <f t="shared" si="26"/>
        <v>15</v>
      </c>
      <c r="BX18" s="407">
        <f t="shared" ref="BX18:BX49" si="27">BX17+2</f>
        <v>15</v>
      </c>
      <c r="CA18" s="448"/>
      <c r="CB18" s="425">
        <f>'A-50 FGRailInv'!$C$13</f>
        <v>0</v>
      </c>
      <c r="CC18" s="425" t="str">
        <f>Valid!$B$72</f>
        <v>At-Grade/In-Street/Embedded</v>
      </c>
      <c r="CD18" s="446">
        <f>CD17</f>
        <v>13</v>
      </c>
      <c r="CE18" s="1199">
        <f t="shared" ref="CE18:CE25" si="28">CE17+$CE$7</f>
        <v>20</v>
      </c>
      <c r="CF18" s="446">
        <f t="shared" ref="CF18:CF81" si="29">CE18</f>
        <v>20</v>
      </c>
      <c r="CG18" s="446">
        <f t="shared" ref="CG18:CR25" si="30">$CE18</f>
        <v>20</v>
      </c>
      <c r="CH18" s="446">
        <f t="shared" si="30"/>
        <v>20</v>
      </c>
      <c r="CI18" s="446">
        <f t="shared" si="30"/>
        <v>20</v>
      </c>
      <c r="CJ18" s="446">
        <f t="shared" si="30"/>
        <v>20</v>
      </c>
      <c r="CK18" s="446">
        <f t="shared" si="30"/>
        <v>20</v>
      </c>
      <c r="CL18" s="446">
        <f t="shared" si="30"/>
        <v>20</v>
      </c>
      <c r="CM18" s="446">
        <f t="shared" si="30"/>
        <v>20</v>
      </c>
      <c r="CN18" s="446">
        <f t="shared" si="30"/>
        <v>20</v>
      </c>
      <c r="CO18" s="446">
        <f t="shared" si="30"/>
        <v>20</v>
      </c>
      <c r="CP18" s="446">
        <f t="shared" si="30"/>
        <v>20</v>
      </c>
      <c r="CQ18" s="446">
        <f t="shared" si="30"/>
        <v>20</v>
      </c>
      <c r="CR18" s="446">
        <f t="shared" si="30"/>
        <v>20</v>
      </c>
      <c r="CS18" s="446">
        <f t="shared" si="7"/>
        <v>20</v>
      </c>
      <c r="CT18" s="446">
        <f t="shared" ref="CT18:CU25" si="31">$CE18</f>
        <v>20</v>
      </c>
      <c r="CU18" s="446">
        <f t="shared" si="31"/>
        <v>20</v>
      </c>
      <c r="CY18" s="425">
        <f>'A-55 TrackInv'!$C$13</f>
        <v>0</v>
      </c>
      <c r="CZ18" s="425" t="str">
        <f>Valid!$B$81</f>
        <v>Curve</v>
      </c>
      <c r="DA18" s="425">
        <f>ROW('A-55 TrackInv'!$C$13)</f>
        <v>13</v>
      </c>
      <c r="DB18" s="1283">
        <f t="shared" ref="DB18:DB23" si="32">DB17+$DB$7</f>
        <v>21</v>
      </c>
      <c r="DC18" s="425">
        <f t="shared" si="8"/>
        <v>21</v>
      </c>
      <c r="DD18" s="425">
        <f t="shared" si="9"/>
        <v>21</v>
      </c>
      <c r="DE18" s="425">
        <f t="shared" si="9"/>
        <v>21</v>
      </c>
      <c r="DF18" s="425">
        <f t="shared" si="9"/>
        <v>21</v>
      </c>
      <c r="DJ18" s="380" t="s">
        <v>749</v>
      </c>
      <c r="DK18" s="425">
        <f>DK17+2</f>
        <v>15</v>
      </c>
      <c r="DL18" s="425">
        <f t="shared" si="10"/>
        <v>15</v>
      </c>
      <c r="DM18" s="425">
        <f t="shared" si="10"/>
        <v>15</v>
      </c>
      <c r="DN18" s="425">
        <f t="shared" si="10"/>
        <v>15</v>
      </c>
      <c r="DO18" s="425">
        <f t="shared" si="10"/>
        <v>15</v>
      </c>
      <c r="DP18" s="425">
        <f t="shared" si="10"/>
        <v>15</v>
      </c>
      <c r="DQ18" s="425">
        <f t="shared" si="10"/>
        <v>15</v>
      </c>
      <c r="DR18" s="425">
        <f t="shared" si="10"/>
        <v>15</v>
      </c>
      <c r="DS18" s="425">
        <f t="shared" si="10"/>
        <v>15</v>
      </c>
      <c r="DU18" s="380" t="s">
        <v>749</v>
      </c>
      <c r="DV18" s="425">
        <f>DV17+2</f>
        <v>15</v>
      </c>
      <c r="DW18" s="425">
        <f t="shared" ref="DW18:EZ26" si="33">DW17+2</f>
        <v>15</v>
      </c>
      <c r="DX18" s="425">
        <f t="shared" si="33"/>
        <v>15</v>
      </c>
      <c r="DY18" s="425">
        <f t="shared" si="33"/>
        <v>15</v>
      </c>
      <c r="DZ18" s="425">
        <f t="shared" si="33"/>
        <v>15</v>
      </c>
      <c r="EA18" s="425">
        <f t="shared" si="33"/>
        <v>15</v>
      </c>
      <c r="EB18" s="425">
        <f t="shared" si="33"/>
        <v>15</v>
      </c>
      <c r="EC18" s="425">
        <f t="shared" si="33"/>
        <v>15</v>
      </c>
      <c r="ED18" s="425">
        <f t="shared" si="33"/>
        <v>15</v>
      </c>
      <c r="EE18" s="425">
        <f t="shared" si="33"/>
        <v>15</v>
      </c>
      <c r="EF18" s="425">
        <f t="shared" si="33"/>
        <v>15</v>
      </c>
      <c r="EG18" s="425">
        <f t="shared" si="33"/>
        <v>15</v>
      </c>
      <c r="EH18" s="425">
        <f t="shared" si="33"/>
        <v>15</v>
      </c>
      <c r="EI18" s="425">
        <f t="shared" si="33"/>
        <v>15</v>
      </c>
      <c r="EJ18" s="425">
        <f t="shared" si="33"/>
        <v>15</v>
      </c>
      <c r="EK18" s="425">
        <f t="shared" si="33"/>
        <v>15</v>
      </c>
      <c r="EL18" s="425">
        <f t="shared" si="33"/>
        <v>15</v>
      </c>
      <c r="EM18" s="425">
        <f t="shared" si="33"/>
        <v>15</v>
      </c>
      <c r="EN18" s="425">
        <f t="shared" si="33"/>
        <v>15</v>
      </c>
      <c r="EO18" s="425">
        <f t="shared" si="33"/>
        <v>15</v>
      </c>
      <c r="EP18" s="425">
        <f t="shared" si="33"/>
        <v>15</v>
      </c>
      <c r="EQ18" s="425">
        <f t="shared" si="33"/>
        <v>15</v>
      </c>
      <c r="ER18" s="425">
        <f t="shared" si="33"/>
        <v>15</v>
      </c>
      <c r="ES18" s="425">
        <f t="shared" si="33"/>
        <v>15</v>
      </c>
      <c r="ET18" s="425">
        <f t="shared" si="33"/>
        <v>15</v>
      </c>
      <c r="EU18" s="425">
        <f t="shared" si="33"/>
        <v>15</v>
      </c>
      <c r="EV18" s="425">
        <f t="shared" ref="EV18:EV25" si="34">EV17+2</f>
        <v>15</v>
      </c>
      <c r="EW18" s="425">
        <f t="shared" si="33"/>
        <v>15</v>
      </c>
      <c r="EX18" s="425">
        <f t="shared" si="33"/>
        <v>15</v>
      </c>
      <c r="EY18" s="425">
        <f t="shared" si="33"/>
        <v>15</v>
      </c>
      <c r="EZ18" s="425">
        <f t="shared" si="33"/>
        <v>15</v>
      </c>
    </row>
    <row r="19" spans="1:156" x14ac:dyDescent="0.2">
      <c r="B19" s="427" t="str">
        <f>Valid!B29</f>
        <v>Plumbing Rough-In &amp; Finishes</v>
      </c>
      <c r="C19" s="425" t="e">
        <f t="shared" ref="C19:C28" si="35">C18+2</f>
        <v>#REF!</v>
      </c>
      <c r="D19" s="425" t="e">
        <f t="shared" si="11"/>
        <v>#REF!</v>
      </c>
      <c r="E19" s="425" t="e">
        <f t="shared" si="11"/>
        <v>#REF!</v>
      </c>
      <c r="F19" s="425" t="e">
        <f t="shared" si="11"/>
        <v>#REF!</v>
      </c>
      <c r="G19" s="425" t="e">
        <f t="shared" si="11"/>
        <v>#REF!</v>
      </c>
      <c r="H19" s="425" t="e">
        <f t="shared" si="11"/>
        <v>#REF!</v>
      </c>
      <c r="J19" s="425" t="str">
        <f>Valid!B55</f>
        <v xml:space="preserve">Building Interiors </v>
      </c>
      <c r="K19" s="425" t="e">
        <f t="shared" ref="K19:K26" si="36">K18+2</f>
        <v>#REF!</v>
      </c>
      <c r="L19" s="425" t="e">
        <f t="shared" si="12"/>
        <v>#REF!</v>
      </c>
      <c r="M19" s="425" t="e">
        <f t="shared" si="12"/>
        <v>#REF!</v>
      </c>
      <c r="N19" s="425" t="e">
        <f t="shared" si="12"/>
        <v>#REF!</v>
      </c>
      <c r="O19" s="425" t="e">
        <f t="shared" si="12"/>
        <v>#REF!</v>
      </c>
      <c r="Q19" s="425" t="str">
        <f>Valid!B43</f>
        <v xml:space="preserve">Building Interiors </v>
      </c>
      <c r="R19" s="425" t="e">
        <f t="shared" ref="R19:R26" si="37">R18+2</f>
        <v>#REF!</v>
      </c>
      <c r="S19" s="425" t="e">
        <f t="shared" si="13"/>
        <v>#REF!</v>
      </c>
      <c r="T19" s="425" t="e">
        <f t="shared" si="13"/>
        <v>#REF!</v>
      </c>
      <c r="V19" s="423" t="str">
        <f>Valid!B29</f>
        <v>Plumbing Rough-In &amp; Finishes</v>
      </c>
      <c r="W19" s="425" t="e">
        <f t="shared" ref="W19:W28" si="38">W18+2</f>
        <v>#REF!</v>
      </c>
      <c r="X19" s="425" t="e">
        <f t="shared" si="14"/>
        <v>#REF!</v>
      </c>
      <c r="Y19" s="425" t="e">
        <f t="shared" si="15"/>
        <v>#REF!</v>
      </c>
      <c r="Z19" s="425" t="e">
        <f t="shared" si="16"/>
        <v>#REF!</v>
      </c>
      <c r="AA19" s="425" t="e">
        <f t="shared" si="17"/>
        <v>#REF!</v>
      </c>
      <c r="AB19" s="425" t="e">
        <f t="shared" si="18"/>
        <v>#REF!</v>
      </c>
      <c r="AD19" s="425" t="str">
        <f>Valid!B55</f>
        <v xml:space="preserve">Building Interiors </v>
      </c>
      <c r="AE19" s="425" t="e">
        <f t="shared" ref="AE19:AE26" si="39">AE18+2</f>
        <v>#REF!</v>
      </c>
      <c r="AF19" s="425" t="e">
        <f t="shared" si="19"/>
        <v>#REF!</v>
      </c>
      <c r="AG19" s="425" t="e">
        <f t="shared" si="20"/>
        <v>#REF!</v>
      </c>
      <c r="AH19" s="425" t="e">
        <f t="shared" si="21"/>
        <v>#REF!</v>
      </c>
      <c r="AI19" s="425" t="e">
        <f t="shared" si="22"/>
        <v>#REF!</v>
      </c>
      <c r="AK19" s="425" t="str">
        <f>Valid!B43</f>
        <v xml:space="preserve">Building Interiors </v>
      </c>
      <c r="AL19" s="425" t="e">
        <f t="shared" ref="AL19:AL26" si="40">AL18+2</f>
        <v>#REF!</v>
      </c>
      <c r="AM19" s="425" t="e">
        <f t="shared" si="23"/>
        <v>#REF!</v>
      </c>
      <c r="AN19" s="425" t="e">
        <f t="shared" si="24"/>
        <v>#REF!</v>
      </c>
      <c r="AP19" s="380" t="s">
        <v>644</v>
      </c>
      <c r="AQ19" s="406">
        <f t="shared" ref="AQ19:AR82" si="41">AQ18+2</f>
        <v>17</v>
      </c>
      <c r="AR19" s="406">
        <f t="shared" si="41"/>
        <v>17</v>
      </c>
      <c r="AS19" s="380">
        <f t="shared" ref="AS19:AS82" si="42">AS18+2</f>
        <v>17</v>
      </c>
      <c r="AT19" s="380">
        <f t="shared" ref="AT19:AT82" si="43">AT18+2</f>
        <v>17</v>
      </c>
      <c r="AU19" s="380">
        <f t="shared" ref="AU19:AU82" si="44">AU18+2</f>
        <v>17</v>
      </c>
      <c r="AV19" s="380">
        <f t="shared" ref="AV19:AV82" si="45">AV18+2</f>
        <v>17</v>
      </c>
      <c r="AW19" s="380">
        <f t="shared" ref="AW19:AW82" si="46">AW18+2</f>
        <v>17</v>
      </c>
      <c r="AX19" s="380">
        <f t="shared" ref="AX19:AX82" si="47">AX18+2</f>
        <v>17</v>
      </c>
      <c r="AY19" s="380">
        <f t="shared" ref="AY19:AY82" si="48">AY18+2</f>
        <v>17</v>
      </c>
      <c r="AZ19" s="380">
        <f t="shared" ref="AZ19:AZ82" si="49">AZ18+2</f>
        <v>17</v>
      </c>
      <c r="BA19" s="380">
        <f t="shared" ref="BA19:BA82" si="50">BA18+2</f>
        <v>17</v>
      </c>
      <c r="BB19" s="380">
        <f t="shared" ref="BB19:BB82" si="51">BB18+2</f>
        <v>17</v>
      </c>
      <c r="BC19" s="380">
        <f t="shared" ref="BC19:BD82" si="52">BC18+2</f>
        <v>17</v>
      </c>
      <c r="BD19" s="407">
        <f t="shared" si="52"/>
        <v>17</v>
      </c>
      <c r="BG19" s="380" t="s">
        <v>644</v>
      </c>
      <c r="BH19" s="406">
        <f t="shared" ref="BH19:BI82" si="53">BH18+2</f>
        <v>17</v>
      </c>
      <c r="BI19" s="406">
        <f t="shared" si="53"/>
        <v>17</v>
      </c>
      <c r="BJ19" s="380">
        <f t="shared" ref="BJ19:BJ82" si="54">BJ18+2</f>
        <v>17</v>
      </c>
      <c r="BK19" s="380">
        <f t="shared" ref="BK19:BK82" si="55">BK18+2</f>
        <v>17</v>
      </c>
      <c r="BL19" s="380">
        <f t="shared" ref="BL19:BL82" si="56">BL18+2</f>
        <v>17</v>
      </c>
      <c r="BM19" s="380">
        <f t="shared" ref="BM19:BN82" si="57">BM18+2</f>
        <v>17</v>
      </c>
      <c r="BN19" s="380">
        <f t="shared" si="57"/>
        <v>17</v>
      </c>
      <c r="BO19" s="380">
        <f t="shared" ref="BO19:BO50" si="58">BO18+2</f>
        <v>17</v>
      </c>
      <c r="BP19" s="380">
        <f t="shared" ref="BP19:BP82" si="59">BP18+2</f>
        <v>17</v>
      </c>
      <c r="BQ19" s="380">
        <f t="shared" ref="BQ19:BQ82" si="60">BQ18+2</f>
        <v>17</v>
      </c>
      <c r="BR19" s="380">
        <f t="shared" ref="BR19:BR82" si="61">BR18+2</f>
        <v>17</v>
      </c>
      <c r="BS19" s="380">
        <f t="shared" ref="BS19:BT82" si="62">BS18+2</f>
        <v>17</v>
      </c>
      <c r="BT19" s="380">
        <f t="shared" si="62"/>
        <v>17</v>
      </c>
      <c r="BU19" s="380">
        <f t="shared" ref="BU19:BU82" si="63">BU18+2</f>
        <v>17</v>
      </c>
      <c r="BV19" s="380">
        <f t="shared" ref="BV19:BV82" si="64">BV18+2</f>
        <v>17</v>
      </c>
      <c r="BW19" s="380">
        <f t="shared" ref="BW19:BW82" si="65">BW18+2</f>
        <v>17</v>
      </c>
      <c r="BX19" s="407">
        <f t="shared" si="27"/>
        <v>17</v>
      </c>
      <c r="CA19" s="448"/>
      <c r="CB19" s="425">
        <f>'A-50 FGRailInv'!$C$13</f>
        <v>0</v>
      </c>
      <c r="CC19" s="425" t="str">
        <f>Valid!$B$73</f>
        <v>Elevated/Retained Fill</v>
      </c>
      <c r="CD19" s="446">
        <f>CD17</f>
        <v>13</v>
      </c>
      <c r="CE19" s="446">
        <f t="shared" si="28"/>
        <v>23</v>
      </c>
      <c r="CF19" s="446">
        <f t="shared" si="29"/>
        <v>23</v>
      </c>
      <c r="CG19" s="446">
        <f t="shared" si="30"/>
        <v>23</v>
      </c>
      <c r="CH19" s="446">
        <f t="shared" si="30"/>
        <v>23</v>
      </c>
      <c r="CI19" s="446">
        <f t="shared" si="30"/>
        <v>23</v>
      </c>
      <c r="CJ19" s="446">
        <f t="shared" si="30"/>
        <v>23</v>
      </c>
      <c r="CK19" s="446">
        <f t="shared" si="30"/>
        <v>23</v>
      </c>
      <c r="CL19" s="446">
        <f t="shared" si="30"/>
        <v>23</v>
      </c>
      <c r="CM19" s="446">
        <f t="shared" si="30"/>
        <v>23</v>
      </c>
      <c r="CN19" s="446">
        <f t="shared" si="30"/>
        <v>23</v>
      </c>
      <c r="CO19" s="446">
        <f t="shared" si="30"/>
        <v>23</v>
      </c>
      <c r="CP19" s="446">
        <f t="shared" si="30"/>
        <v>23</v>
      </c>
      <c r="CQ19" s="446">
        <f t="shared" si="30"/>
        <v>23</v>
      </c>
      <c r="CR19" s="446">
        <f t="shared" si="30"/>
        <v>23</v>
      </c>
      <c r="CS19" s="446">
        <f t="shared" si="7"/>
        <v>23</v>
      </c>
      <c r="CT19" s="446">
        <f t="shared" si="31"/>
        <v>23</v>
      </c>
      <c r="CU19" s="446">
        <f t="shared" si="31"/>
        <v>23</v>
      </c>
      <c r="CY19" s="425">
        <f>'A-55 TrackInv'!$C$13</f>
        <v>0</v>
      </c>
      <c r="CZ19" s="425" t="str">
        <f>Valid!$B$82</f>
        <v>Double Diamond Crossover</v>
      </c>
      <c r="DA19" s="425">
        <f>ROW('A-55 TrackInv'!$C$13)</f>
        <v>13</v>
      </c>
      <c r="DB19" s="1283">
        <f t="shared" si="32"/>
        <v>23</v>
      </c>
      <c r="DC19" s="425">
        <f t="shared" si="8"/>
        <v>23</v>
      </c>
      <c r="DD19" s="425">
        <f t="shared" si="9"/>
        <v>23</v>
      </c>
      <c r="DE19" s="425">
        <f t="shared" si="9"/>
        <v>23</v>
      </c>
      <c r="DF19" s="425">
        <f t="shared" si="9"/>
        <v>23</v>
      </c>
      <c r="DJ19" s="380" t="s">
        <v>750</v>
      </c>
      <c r="DK19" s="425">
        <f>DK18+2</f>
        <v>17</v>
      </c>
      <c r="DL19" s="425">
        <f t="shared" si="10"/>
        <v>17</v>
      </c>
      <c r="DM19" s="425">
        <f t="shared" si="10"/>
        <v>17</v>
      </c>
      <c r="DN19" s="425">
        <f t="shared" si="10"/>
        <v>17</v>
      </c>
      <c r="DO19" s="425">
        <f t="shared" si="10"/>
        <v>17</v>
      </c>
      <c r="DP19" s="425">
        <f t="shared" si="10"/>
        <v>17</v>
      </c>
      <c r="DQ19" s="425">
        <f t="shared" si="10"/>
        <v>17</v>
      </c>
      <c r="DR19" s="425">
        <f t="shared" si="10"/>
        <v>17</v>
      </c>
      <c r="DS19" s="425">
        <f t="shared" si="10"/>
        <v>17</v>
      </c>
      <c r="DU19" s="380" t="s">
        <v>750</v>
      </c>
      <c r="DV19" s="425">
        <f t="shared" ref="DV19:DV82" si="66">DV18+2</f>
        <v>17</v>
      </c>
      <c r="DW19" s="425">
        <f t="shared" si="33"/>
        <v>17</v>
      </c>
      <c r="DX19" s="425">
        <f t="shared" si="33"/>
        <v>17</v>
      </c>
      <c r="DY19" s="425">
        <f t="shared" si="33"/>
        <v>17</v>
      </c>
      <c r="DZ19" s="425">
        <f t="shared" si="33"/>
        <v>17</v>
      </c>
      <c r="EA19" s="425">
        <f t="shared" si="33"/>
        <v>17</v>
      </c>
      <c r="EB19" s="425">
        <f t="shared" si="33"/>
        <v>17</v>
      </c>
      <c r="EC19" s="425">
        <f t="shared" si="33"/>
        <v>17</v>
      </c>
      <c r="ED19" s="425">
        <f t="shared" si="33"/>
        <v>17</v>
      </c>
      <c r="EE19" s="425">
        <f t="shared" si="33"/>
        <v>17</v>
      </c>
      <c r="EF19" s="425">
        <f t="shared" si="33"/>
        <v>17</v>
      </c>
      <c r="EG19" s="425">
        <f t="shared" si="33"/>
        <v>17</v>
      </c>
      <c r="EH19" s="425">
        <f t="shared" si="33"/>
        <v>17</v>
      </c>
      <c r="EI19" s="425">
        <f t="shared" si="33"/>
        <v>17</v>
      </c>
      <c r="EJ19" s="425">
        <f t="shared" si="33"/>
        <v>17</v>
      </c>
      <c r="EK19" s="425">
        <f t="shared" si="33"/>
        <v>17</v>
      </c>
      <c r="EL19" s="425">
        <f t="shared" si="33"/>
        <v>17</v>
      </c>
      <c r="EM19" s="425">
        <f t="shared" si="33"/>
        <v>17</v>
      </c>
      <c r="EN19" s="425">
        <f t="shared" si="33"/>
        <v>17</v>
      </c>
      <c r="EO19" s="425">
        <f t="shared" si="33"/>
        <v>17</v>
      </c>
      <c r="EP19" s="425">
        <f t="shared" si="33"/>
        <v>17</v>
      </c>
      <c r="EQ19" s="425">
        <f t="shared" si="33"/>
        <v>17</v>
      </c>
      <c r="ER19" s="425">
        <f t="shared" si="33"/>
        <v>17</v>
      </c>
      <c r="ES19" s="425">
        <f t="shared" si="33"/>
        <v>17</v>
      </c>
      <c r="ET19" s="425">
        <f t="shared" si="33"/>
        <v>17</v>
      </c>
      <c r="EU19" s="425">
        <f t="shared" si="33"/>
        <v>17</v>
      </c>
      <c r="EV19" s="425">
        <f t="shared" si="34"/>
        <v>17</v>
      </c>
      <c r="EW19" s="425">
        <f t="shared" si="33"/>
        <v>17</v>
      </c>
      <c r="EX19" s="425">
        <f t="shared" si="33"/>
        <v>17</v>
      </c>
      <c r="EY19" s="425">
        <f t="shared" si="33"/>
        <v>17</v>
      </c>
      <c r="EZ19" s="425">
        <f t="shared" si="33"/>
        <v>17</v>
      </c>
    </row>
    <row r="20" spans="1:156" x14ac:dyDescent="0.2">
      <c r="B20" s="427" t="str">
        <f>Valid!B30</f>
        <v xml:space="preserve">HVAC System </v>
      </c>
      <c r="C20" s="425" t="e">
        <f t="shared" si="35"/>
        <v>#REF!</v>
      </c>
      <c r="D20" s="425" t="e">
        <f t="shared" si="11"/>
        <v>#REF!</v>
      </c>
      <c r="E20" s="425" t="e">
        <f t="shared" si="11"/>
        <v>#REF!</v>
      </c>
      <c r="F20" s="425" t="e">
        <f t="shared" si="11"/>
        <v>#REF!</v>
      </c>
      <c r="G20" s="425" t="e">
        <f t="shared" si="11"/>
        <v>#REF!</v>
      </c>
      <c r="H20" s="425" t="e">
        <f t="shared" si="11"/>
        <v>#REF!</v>
      </c>
      <c r="J20" s="425" t="str">
        <f>Valid!B56</f>
        <v xml:space="preserve">Built-in Equipment and Specialties </v>
      </c>
      <c r="K20" s="425" t="e">
        <f t="shared" si="36"/>
        <v>#REF!</v>
      </c>
      <c r="L20" s="425" t="e">
        <f t="shared" si="12"/>
        <v>#REF!</v>
      </c>
      <c r="M20" s="425" t="e">
        <f t="shared" si="12"/>
        <v>#REF!</v>
      </c>
      <c r="N20" s="425" t="e">
        <f t="shared" si="12"/>
        <v>#REF!</v>
      </c>
      <c r="O20" s="425" t="e">
        <f t="shared" si="12"/>
        <v>#REF!</v>
      </c>
      <c r="Q20" s="425" t="str">
        <f>Valid!B44</f>
        <v xml:space="preserve">Built-in Equipment and Specialties </v>
      </c>
      <c r="R20" s="425" t="e">
        <f t="shared" si="37"/>
        <v>#REF!</v>
      </c>
      <c r="S20" s="425" t="e">
        <f t="shared" si="13"/>
        <v>#REF!</v>
      </c>
      <c r="T20" s="425" t="e">
        <f t="shared" si="13"/>
        <v>#REF!</v>
      </c>
      <c r="V20" s="423" t="str">
        <f>Valid!B30</f>
        <v xml:space="preserve">HVAC System </v>
      </c>
      <c r="W20" s="425" t="e">
        <f t="shared" si="38"/>
        <v>#REF!</v>
      </c>
      <c r="X20" s="425" t="e">
        <f t="shared" si="14"/>
        <v>#REF!</v>
      </c>
      <c r="Y20" s="425" t="e">
        <f t="shared" si="15"/>
        <v>#REF!</v>
      </c>
      <c r="Z20" s="425" t="e">
        <f t="shared" si="16"/>
        <v>#REF!</v>
      </c>
      <c r="AA20" s="425" t="e">
        <f t="shared" si="17"/>
        <v>#REF!</v>
      </c>
      <c r="AB20" s="425" t="e">
        <f t="shared" si="18"/>
        <v>#REF!</v>
      </c>
      <c r="AD20" s="425" t="str">
        <f>Valid!B56</f>
        <v xml:space="preserve">Built-in Equipment and Specialties </v>
      </c>
      <c r="AE20" s="425" t="e">
        <f t="shared" si="39"/>
        <v>#REF!</v>
      </c>
      <c r="AF20" s="425" t="e">
        <f t="shared" si="19"/>
        <v>#REF!</v>
      </c>
      <c r="AG20" s="425" t="e">
        <f t="shared" si="20"/>
        <v>#REF!</v>
      </c>
      <c r="AH20" s="425" t="e">
        <f t="shared" si="21"/>
        <v>#REF!</v>
      </c>
      <c r="AI20" s="425" t="e">
        <f t="shared" si="22"/>
        <v>#REF!</v>
      </c>
      <c r="AK20" s="425" t="str">
        <f>Valid!B44</f>
        <v xml:space="preserve">Built-in Equipment and Specialties </v>
      </c>
      <c r="AL20" s="425" t="e">
        <f t="shared" si="40"/>
        <v>#REF!</v>
      </c>
      <c r="AM20" s="425" t="e">
        <f t="shared" si="23"/>
        <v>#REF!</v>
      </c>
      <c r="AN20" s="425" t="e">
        <f t="shared" si="24"/>
        <v>#REF!</v>
      </c>
      <c r="AP20" s="380" t="s">
        <v>645</v>
      </c>
      <c r="AQ20" s="406">
        <f t="shared" si="41"/>
        <v>19</v>
      </c>
      <c r="AR20" s="406">
        <f t="shared" si="41"/>
        <v>19</v>
      </c>
      <c r="AS20" s="380">
        <f t="shared" si="42"/>
        <v>19</v>
      </c>
      <c r="AT20" s="380">
        <f t="shared" si="43"/>
        <v>19</v>
      </c>
      <c r="AU20" s="380">
        <f t="shared" si="44"/>
        <v>19</v>
      </c>
      <c r="AV20" s="380">
        <f t="shared" si="45"/>
        <v>19</v>
      </c>
      <c r="AW20" s="380">
        <f t="shared" si="46"/>
        <v>19</v>
      </c>
      <c r="AX20" s="380">
        <f t="shared" si="47"/>
        <v>19</v>
      </c>
      <c r="AY20" s="380">
        <f t="shared" si="48"/>
        <v>19</v>
      </c>
      <c r="AZ20" s="380">
        <f t="shared" si="49"/>
        <v>19</v>
      </c>
      <c r="BA20" s="380">
        <f t="shared" si="50"/>
        <v>19</v>
      </c>
      <c r="BB20" s="380">
        <f t="shared" si="51"/>
        <v>19</v>
      </c>
      <c r="BC20" s="380">
        <f t="shared" si="52"/>
        <v>19</v>
      </c>
      <c r="BD20" s="407">
        <f t="shared" si="52"/>
        <v>19</v>
      </c>
      <c r="BG20" s="380" t="s">
        <v>645</v>
      </c>
      <c r="BH20" s="406">
        <f t="shared" si="53"/>
        <v>19</v>
      </c>
      <c r="BI20" s="406">
        <f t="shared" si="53"/>
        <v>19</v>
      </c>
      <c r="BJ20" s="380">
        <f t="shared" si="54"/>
        <v>19</v>
      </c>
      <c r="BK20" s="380">
        <f t="shared" si="55"/>
        <v>19</v>
      </c>
      <c r="BL20" s="380">
        <f t="shared" si="56"/>
        <v>19</v>
      </c>
      <c r="BM20" s="380">
        <f t="shared" si="57"/>
        <v>19</v>
      </c>
      <c r="BN20" s="380">
        <f t="shared" si="57"/>
        <v>19</v>
      </c>
      <c r="BO20" s="380">
        <f t="shared" si="58"/>
        <v>19</v>
      </c>
      <c r="BP20" s="380">
        <f t="shared" si="59"/>
        <v>19</v>
      </c>
      <c r="BQ20" s="380">
        <f t="shared" si="60"/>
        <v>19</v>
      </c>
      <c r="BR20" s="380">
        <f t="shared" si="61"/>
        <v>19</v>
      </c>
      <c r="BS20" s="380">
        <f t="shared" si="62"/>
        <v>19</v>
      </c>
      <c r="BT20" s="380">
        <f t="shared" si="62"/>
        <v>19</v>
      </c>
      <c r="BU20" s="380">
        <f t="shared" si="63"/>
        <v>19</v>
      </c>
      <c r="BV20" s="380">
        <f t="shared" si="64"/>
        <v>19</v>
      </c>
      <c r="BW20" s="380">
        <f t="shared" si="65"/>
        <v>19</v>
      </c>
      <c r="BX20" s="407">
        <f t="shared" si="27"/>
        <v>19</v>
      </c>
      <c r="CA20" s="448"/>
      <c r="CB20" s="425">
        <f>'A-50 FGRailInv'!$C$13</f>
        <v>0</v>
      </c>
      <c r="CC20" s="425" t="str">
        <f>Valid!$B$74</f>
        <v>Elevated/Concrete</v>
      </c>
      <c r="CD20" s="446">
        <f>CD17</f>
        <v>13</v>
      </c>
      <c r="CE20" s="446">
        <f t="shared" si="28"/>
        <v>26</v>
      </c>
      <c r="CF20" s="446">
        <f t="shared" si="29"/>
        <v>26</v>
      </c>
      <c r="CG20" s="446">
        <f t="shared" si="30"/>
        <v>26</v>
      </c>
      <c r="CH20" s="446">
        <f t="shared" si="30"/>
        <v>26</v>
      </c>
      <c r="CI20" s="446">
        <f t="shared" si="30"/>
        <v>26</v>
      </c>
      <c r="CJ20" s="446">
        <f t="shared" si="30"/>
        <v>26</v>
      </c>
      <c r="CK20" s="446">
        <f t="shared" si="30"/>
        <v>26</v>
      </c>
      <c r="CL20" s="446">
        <f t="shared" si="30"/>
        <v>26</v>
      </c>
      <c r="CM20" s="446">
        <f t="shared" si="30"/>
        <v>26</v>
      </c>
      <c r="CN20" s="446">
        <f t="shared" si="30"/>
        <v>26</v>
      </c>
      <c r="CO20" s="446">
        <f t="shared" si="30"/>
        <v>26</v>
      </c>
      <c r="CP20" s="446">
        <f t="shared" si="30"/>
        <v>26</v>
      </c>
      <c r="CQ20" s="446">
        <f t="shared" si="30"/>
        <v>26</v>
      </c>
      <c r="CR20" s="446">
        <f t="shared" si="30"/>
        <v>26</v>
      </c>
      <c r="CS20" s="446">
        <f t="shared" si="7"/>
        <v>26</v>
      </c>
      <c r="CT20" s="446">
        <f t="shared" si="31"/>
        <v>26</v>
      </c>
      <c r="CU20" s="446">
        <f t="shared" si="31"/>
        <v>26</v>
      </c>
      <c r="CY20" s="425">
        <f>'A-55 TrackInv'!$C$13</f>
        <v>0</v>
      </c>
      <c r="CZ20" s="425" t="str">
        <f>Valid!$B$83</f>
        <v>Single Crossover</v>
      </c>
      <c r="DA20" s="425">
        <f>ROW('A-55 TrackInv'!$C$13)</f>
        <v>13</v>
      </c>
      <c r="DB20" s="1283">
        <f>DB19+$DB$8</f>
        <v>29</v>
      </c>
      <c r="DC20" s="425">
        <f t="shared" si="8"/>
        <v>29</v>
      </c>
      <c r="DD20" s="425">
        <f t="shared" si="9"/>
        <v>29</v>
      </c>
      <c r="DE20" s="425">
        <f t="shared" si="9"/>
        <v>29</v>
      </c>
      <c r="DF20" s="425">
        <f t="shared" si="9"/>
        <v>29</v>
      </c>
      <c r="DJ20" s="380" t="s">
        <v>751</v>
      </c>
      <c r="DK20" s="425">
        <f t="shared" ref="DK20:DK83" si="67">DK19+2</f>
        <v>19</v>
      </c>
      <c r="DL20" s="425">
        <f t="shared" ref="DL20:DS20" si="68">DK20</f>
        <v>19</v>
      </c>
      <c r="DM20" s="425">
        <f t="shared" si="68"/>
        <v>19</v>
      </c>
      <c r="DN20" s="425">
        <f t="shared" si="68"/>
        <v>19</v>
      </c>
      <c r="DO20" s="425">
        <f t="shared" si="68"/>
        <v>19</v>
      </c>
      <c r="DP20" s="425">
        <f t="shared" si="68"/>
        <v>19</v>
      </c>
      <c r="DQ20" s="425">
        <f t="shared" si="68"/>
        <v>19</v>
      </c>
      <c r="DR20" s="425">
        <f t="shared" si="68"/>
        <v>19</v>
      </c>
      <c r="DS20" s="425">
        <f t="shared" si="68"/>
        <v>19</v>
      </c>
      <c r="DU20" s="380" t="s">
        <v>751</v>
      </c>
      <c r="DV20" s="425">
        <f t="shared" si="66"/>
        <v>19</v>
      </c>
      <c r="DW20" s="425">
        <f t="shared" si="33"/>
        <v>19</v>
      </c>
      <c r="DX20" s="425">
        <f t="shared" si="33"/>
        <v>19</v>
      </c>
      <c r="DY20" s="425">
        <f t="shared" si="33"/>
        <v>19</v>
      </c>
      <c r="DZ20" s="425">
        <f t="shared" si="33"/>
        <v>19</v>
      </c>
      <c r="EA20" s="425">
        <f t="shared" si="33"/>
        <v>19</v>
      </c>
      <c r="EB20" s="425">
        <f t="shared" si="33"/>
        <v>19</v>
      </c>
      <c r="EC20" s="425">
        <f t="shared" si="33"/>
        <v>19</v>
      </c>
      <c r="ED20" s="425">
        <f t="shared" si="33"/>
        <v>19</v>
      </c>
      <c r="EE20" s="425">
        <f t="shared" si="33"/>
        <v>19</v>
      </c>
      <c r="EF20" s="425">
        <f t="shared" si="33"/>
        <v>19</v>
      </c>
      <c r="EG20" s="425">
        <f t="shared" si="33"/>
        <v>19</v>
      </c>
      <c r="EH20" s="425">
        <f t="shared" si="33"/>
        <v>19</v>
      </c>
      <c r="EI20" s="425">
        <f t="shared" si="33"/>
        <v>19</v>
      </c>
      <c r="EJ20" s="425">
        <f t="shared" si="33"/>
        <v>19</v>
      </c>
      <c r="EK20" s="425">
        <f t="shared" si="33"/>
        <v>19</v>
      </c>
      <c r="EL20" s="425">
        <f t="shared" si="33"/>
        <v>19</v>
      </c>
      <c r="EM20" s="425">
        <f t="shared" si="33"/>
        <v>19</v>
      </c>
      <c r="EN20" s="425">
        <f t="shared" si="33"/>
        <v>19</v>
      </c>
      <c r="EO20" s="425">
        <f t="shared" si="33"/>
        <v>19</v>
      </c>
      <c r="EP20" s="425">
        <f t="shared" si="33"/>
        <v>19</v>
      </c>
      <c r="EQ20" s="425">
        <f t="shared" si="33"/>
        <v>19</v>
      </c>
      <c r="ER20" s="425">
        <f t="shared" si="33"/>
        <v>19</v>
      </c>
      <c r="ES20" s="425">
        <f t="shared" si="33"/>
        <v>19</v>
      </c>
      <c r="ET20" s="425">
        <f t="shared" si="33"/>
        <v>19</v>
      </c>
      <c r="EU20" s="425">
        <f t="shared" si="33"/>
        <v>19</v>
      </c>
      <c r="EV20" s="425">
        <f t="shared" si="34"/>
        <v>19</v>
      </c>
      <c r="EW20" s="425">
        <f t="shared" si="33"/>
        <v>19</v>
      </c>
      <c r="EX20" s="425">
        <f t="shared" si="33"/>
        <v>19</v>
      </c>
      <c r="EY20" s="425">
        <f t="shared" si="33"/>
        <v>19</v>
      </c>
      <c r="EZ20" s="425">
        <f t="shared" si="33"/>
        <v>19</v>
      </c>
    </row>
    <row r="21" spans="1:156" x14ac:dyDescent="0.2">
      <c r="B21" s="427" t="str">
        <f>Valid!B31</f>
        <v>Fire protection systems</v>
      </c>
      <c r="C21" s="425" t="e">
        <f t="shared" si="35"/>
        <v>#REF!</v>
      </c>
      <c r="D21" s="425" t="e">
        <f t="shared" si="11"/>
        <v>#REF!</v>
      </c>
      <c r="E21" s="425" t="e">
        <f t="shared" si="11"/>
        <v>#REF!</v>
      </c>
      <c r="F21" s="425" t="e">
        <f t="shared" si="11"/>
        <v>#REF!</v>
      </c>
      <c r="G21" s="425" t="e">
        <f t="shared" si="11"/>
        <v>#REF!</v>
      </c>
      <c r="H21" s="425" t="e">
        <f t="shared" si="11"/>
        <v>#REF!</v>
      </c>
      <c r="J21" s="425" t="str">
        <f>Valid!B57</f>
        <v xml:space="preserve">Electrical Rough-In &amp; Finishes </v>
      </c>
      <c r="K21" s="425" t="e">
        <f t="shared" si="36"/>
        <v>#REF!</v>
      </c>
      <c r="L21" s="425" t="e">
        <f t="shared" si="12"/>
        <v>#REF!</v>
      </c>
      <c r="M21" s="425" t="e">
        <f t="shared" si="12"/>
        <v>#REF!</v>
      </c>
      <c r="N21" s="425" t="e">
        <f t="shared" si="12"/>
        <v>#REF!</v>
      </c>
      <c r="O21" s="425" t="e">
        <f t="shared" si="12"/>
        <v>#REF!</v>
      </c>
      <c r="Q21" s="425" t="str">
        <f>Valid!B45</f>
        <v xml:space="preserve">Electrical Rough-In &amp; Finishes </v>
      </c>
      <c r="R21" s="425" t="e">
        <f t="shared" si="37"/>
        <v>#REF!</v>
      </c>
      <c r="S21" s="425" t="e">
        <f t="shared" si="13"/>
        <v>#REF!</v>
      </c>
      <c r="T21" s="425" t="e">
        <f t="shared" si="13"/>
        <v>#REF!</v>
      </c>
      <c r="V21" s="423" t="str">
        <f>Valid!B31</f>
        <v>Fire protection systems</v>
      </c>
      <c r="W21" s="425" t="e">
        <f t="shared" si="38"/>
        <v>#REF!</v>
      </c>
      <c r="X21" s="425" t="e">
        <f t="shared" si="14"/>
        <v>#REF!</v>
      </c>
      <c r="Y21" s="425" t="e">
        <f t="shared" si="15"/>
        <v>#REF!</v>
      </c>
      <c r="Z21" s="425" t="e">
        <f t="shared" si="16"/>
        <v>#REF!</v>
      </c>
      <c r="AA21" s="425" t="e">
        <f t="shared" si="17"/>
        <v>#REF!</v>
      </c>
      <c r="AB21" s="425" t="e">
        <f t="shared" si="18"/>
        <v>#REF!</v>
      </c>
      <c r="AD21" s="425" t="str">
        <f>Valid!B57</f>
        <v xml:space="preserve">Electrical Rough-In &amp; Finishes </v>
      </c>
      <c r="AE21" s="425" t="e">
        <f t="shared" si="39"/>
        <v>#REF!</v>
      </c>
      <c r="AF21" s="425" t="e">
        <f t="shared" si="19"/>
        <v>#REF!</v>
      </c>
      <c r="AG21" s="425" t="e">
        <f t="shared" si="20"/>
        <v>#REF!</v>
      </c>
      <c r="AH21" s="425" t="e">
        <f t="shared" si="21"/>
        <v>#REF!</v>
      </c>
      <c r="AI21" s="425" t="e">
        <f t="shared" si="22"/>
        <v>#REF!</v>
      </c>
      <c r="AK21" s="425" t="str">
        <f>Valid!B45</f>
        <v xml:space="preserve">Electrical Rough-In &amp; Finishes </v>
      </c>
      <c r="AL21" s="425" t="e">
        <f t="shared" si="40"/>
        <v>#REF!</v>
      </c>
      <c r="AM21" s="425" t="e">
        <f t="shared" si="23"/>
        <v>#REF!</v>
      </c>
      <c r="AN21" s="425" t="e">
        <f t="shared" si="24"/>
        <v>#REF!</v>
      </c>
      <c r="AP21" s="380" t="s">
        <v>646</v>
      </c>
      <c r="AQ21" s="406">
        <f t="shared" si="41"/>
        <v>21</v>
      </c>
      <c r="AR21" s="406">
        <f t="shared" si="41"/>
        <v>21</v>
      </c>
      <c r="AS21" s="380">
        <f t="shared" si="42"/>
        <v>21</v>
      </c>
      <c r="AT21" s="380">
        <f t="shared" si="43"/>
        <v>21</v>
      </c>
      <c r="AU21" s="380">
        <f t="shared" si="44"/>
        <v>21</v>
      </c>
      <c r="AV21" s="380">
        <f t="shared" si="45"/>
        <v>21</v>
      </c>
      <c r="AW21" s="380">
        <f t="shared" si="46"/>
        <v>21</v>
      </c>
      <c r="AX21" s="380">
        <f t="shared" si="47"/>
        <v>21</v>
      </c>
      <c r="AY21" s="380">
        <f t="shared" si="48"/>
        <v>21</v>
      </c>
      <c r="AZ21" s="380">
        <f t="shared" si="49"/>
        <v>21</v>
      </c>
      <c r="BA21" s="380">
        <f t="shared" si="50"/>
        <v>21</v>
      </c>
      <c r="BB21" s="380">
        <f t="shared" si="51"/>
        <v>21</v>
      </c>
      <c r="BC21" s="380">
        <f t="shared" si="52"/>
        <v>21</v>
      </c>
      <c r="BD21" s="407">
        <f t="shared" si="52"/>
        <v>21</v>
      </c>
      <c r="BG21" s="380" t="s">
        <v>646</v>
      </c>
      <c r="BH21" s="406">
        <f t="shared" si="53"/>
        <v>21</v>
      </c>
      <c r="BI21" s="406">
        <f t="shared" si="53"/>
        <v>21</v>
      </c>
      <c r="BJ21" s="380">
        <f t="shared" si="54"/>
        <v>21</v>
      </c>
      <c r="BK21" s="380">
        <f t="shared" si="55"/>
        <v>21</v>
      </c>
      <c r="BL21" s="380">
        <f t="shared" si="56"/>
        <v>21</v>
      </c>
      <c r="BM21" s="380">
        <f t="shared" si="57"/>
        <v>21</v>
      </c>
      <c r="BN21" s="380">
        <f t="shared" si="57"/>
        <v>21</v>
      </c>
      <c r="BO21" s="380">
        <f t="shared" si="58"/>
        <v>21</v>
      </c>
      <c r="BP21" s="380">
        <f t="shared" si="59"/>
        <v>21</v>
      </c>
      <c r="BQ21" s="380">
        <f t="shared" si="60"/>
        <v>21</v>
      </c>
      <c r="BR21" s="380">
        <f t="shared" si="61"/>
        <v>21</v>
      </c>
      <c r="BS21" s="380">
        <f t="shared" si="62"/>
        <v>21</v>
      </c>
      <c r="BT21" s="380">
        <f t="shared" si="62"/>
        <v>21</v>
      </c>
      <c r="BU21" s="380">
        <f t="shared" si="63"/>
        <v>21</v>
      </c>
      <c r="BV21" s="380">
        <f t="shared" si="64"/>
        <v>21</v>
      </c>
      <c r="BW21" s="380">
        <f t="shared" si="65"/>
        <v>21</v>
      </c>
      <c r="BX21" s="407">
        <f t="shared" si="27"/>
        <v>21</v>
      </c>
      <c r="CA21" s="448"/>
      <c r="CB21" s="425">
        <f>'A-50 FGRailInv'!$C$13</f>
        <v>0</v>
      </c>
      <c r="CC21" s="425" t="str">
        <f>Valid!$B$75</f>
        <v>Elevated/Steel Viaduct or Bridge</v>
      </c>
      <c r="CD21" s="446">
        <f>CD17</f>
        <v>13</v>
      </c>
      <c r="CE21" s="446">
        <f t="shared" si="28"/>
        <v>29</v>
      </c>
      <c r="CF21" s="446">
        <f t="shared" si="29"/>
        <v>29</v>
      </c>
      <c r="CG21" s="446">
        <f t="shared" si="30"/>
        <v>29</v>
      </c>
      <c r="CH21" s="446">
        <f t="shared" si="30"/>
        <v>29</v>
      </c>
      <c r="CI21" s="446">
        <f t="shared" si="30"/>
        <v>29</v>
      </c>
      <c r="CJ21" s="446">
        <f t="shared" si="30"/>
        <v>29</v>
      </c>
      <c r="CK21" s="446">
        <f t="shared" si="30"/>
        <v>29</v>
      </c>
      <c r="CL21" s="446">
        <f t="shared" si="30"/>
        <v>29</v>
      </c>
      <c r="CM21" s="446">
        <f t="shared" si="30"/>
        <v>29</v>
      </c>
      <c r="CN21" s="446">
        <f t="shared" si="30"/>
        <v>29</v>
      </c>
      <c r="CO21" s="446">
        <f t="shared" si="30"/>
        <v>29</v>
      </c>
      <c r="CP21" s="446">
        <f t="shared" si="30"/>
        <v>29</v>
      </c>
      <c r="CQ21" s="446">
        <f t="shared" si="30"/>
        <v>29</v>
      </c>
      <c r="CR21" s="446">
        <f t="shared" si="30"/>
        <v>29</v>
      </c>
      <c r="CS21" s="446">
        <f t="shared" si="7"/>
        <v>29</v>
      </c>
      <c r="CT21" s="446">
        <f t="shared" si="31"/>
        <v>29</v>
      </c>
      <c r="CU21" s="446">
        <f t="shared" si="31"/>
        <v>29</v>
      </c>
      <c r="CY21" s="425">
        <f>'A-55 TrackInv'!$C$13</f>
        <v>0</v>
      </c>
      <c r="CZ21" s="425" t="str">
        <f>Valid!$B$84</f>
        <v>Half Grand Union</v>
      </c>
      <c r="DA21" s="425">
        <f>ROW('A-55 TrackInv'!$C$13)</f>
        <v>13</v>
      </c>
      <c r="DB21" s="1283">
        <f t="shared" si="32"/>
        <v>31</v>
      </c>
      <c r="DC21" s="425">
        <f t="shared" si="8"/>
        <v>31</v>
      </c>
      <c r="DD21" s="425">
        <f t="shared" si="9"/>
        <v>31</v>
      </c>
      <c r="DE21" s="425">
        <f t="shared" si="9"/>
        <v>31</v>
      </c>
      <c r="DF21" s="425">
        <f t="shared" si="9"/>
        <v>31</v>
      </c>
      <c r="DJ21" s="380" t="s">
        <v>752</v>
      </c>
      <c r="DK21" s="425">
        <f t="shared" si="67"/>
        <v>21</v>
      </c>
      <c r="DL21" s="425">
        <f t="shared" ref="DL21:DS21" si="69">DK21</f>
        <v>21</v>
      </c>
      <c r="DM21" s="425">
        <f t="shared" si="69"/>
        <v>21</v>
      </c>
      <c r="DN21" s="425">
        <f t="shared" si="69"/>
        <v>21</v>
      </c>
      <c r="DO21" s="425">
        <f t="shared" si="69"/>
        <v>21</v>
      </c>
      <c r="DP21" s="425">
        <f t="shared" si="69"/>
        <v>21</v>
      </c>
      <c r="DQ21" s="425">
        <f t="shared" si="69"/>
        <v>21</v>
      </c>
      <c r="DR21" s="425">
        <f t="shared" si="69"/>
        <v>21</v>
      </c>
      <c r="DS21" s="425">
        <f t="shared" si="69"/>
        <v>21</v>
      </c>
      <c r="DU21" s="380" t="s">
        <v>752</v>
      </c>
      <c r="DV21" s="425">
        <f t="shared" si="66"/>
        <v>21</v>
      </c>
      <c r="DW21" s="425">
        <f t="shared" si="33"/>
        <v>21</v>
      </c>
      <c r="DX21" s="425">
        <f t="shared" si="33"/>
        <v>21</v>
      </c>
      <c r="DY21" s="425">
        <f t="shared" si="33"/>
        <v>21</v>
      </c>
      <c r="DZ21" s="425">
        <f t="shared" si="33"/>
        <v>21</v>
      </c>
      <c r="EA21" s="425">
        <f t="shared" si="33"/>
        <v>21</v>
      </c>
      <c r="EB21" s="425">
        <f t="shared" si="33"/>
        <v>21</v>
      </c>
      <c r="EC21" s="425">
        <f t="shared" si="33"/>
        <v>21</v>
      </c>
      <c r="ED21" s="425">
        <f t="shared" si="33"/>
        <v>21</v>
      </c>
      <c r="EE21" s="425">
        <f t="shared" si="33"/>
        <v>21</v>
      </c>
      <c r="EF21" s="425">
        <f t="shared" si="33"/>
        <v>21</v>
      </c>
      <c r="EG21" s="425">
        <f t="shared" si="33"/>
        <v>21</v>
      </c>
      <c r="EH21" s="425">
        <f t="shared" si="33"/>
        <v>21</v>
      </c>
      <c r="EI21" s="425">
        <f t="shared" si="33"/>
        <v>21</v>
      </c>
      <c r="EJ21" s="425">
        <f t="shared" si="33"/>
        <v>21</v>
      </c>
      <c r="EK21" s="425">
        <f t="shared" si="33"/>
        <v>21</v>
      </c>
      <c r="EL21" s="425">
        <f t="shared" si="33"/>
        <v>21</v>
      </c>
      <c r="EM21" s="425">
        <f t="shared" si="33"/>
        <v>21</v>
      </c>
      <c r="EN21" s="425">
        <f t="shared" si="33"/>
        <v>21</v>
      </c>
      <c r="EO21" s="425">
        <f t="shared" si="33"/>
        <v>21</v>
      </c>
      <c r="EP21" s="425">
        <f t="shared" si="33"/>
        <v>21</v>
      </c>
      <c r="EQ21" s="425">
        <f t="shared" si="33"/>
        <v>21</v>
      </c>
      <c r="ER21" s="425">
        <f t="shared" si="33"/>
        <v>21</v>
      </c>
      <c r="ES21" s="425">
        <f t="shared" si="33"/>
        <v>21</v>
      </c>
      <c r="ET21" s="425">
        <f t="shared" si="33"/>
        <v>21</v>
      </c>
      <c r="EU21" s="425">
        <f t="shared" si="33"/>
        <v>21</v>
      </c>
      <c r="EV21" s="425">
        <f t="shared" si="34"/>
        <v>21</v>
      </c>
      <c r="EW21" s="425">
        <f t="shared" si="33"/>
        <v>21</v>
      </c>
      <c r="EX21" s="425">
        <f t="shared" si="33"/>
        <v>21</v>
      </c>
      <c r="EY21" s="425">
        <f t="shared" si="33"/>
        <v>21</v>
      </c>
      <c r="EZ21" s="425">
        <f t="shared" si="33"/>
        <v>21</v>
      </c>
    </row>
    <row r="22" spans="1:156" x14ac:dyDescent="0.2">
      <c r="B22" s="427" t="str">
        <f>Valid!B32</f>
        <v>Built-in equipment and specialties</v>
      </c>
      <c r="C22" s="425" t="e">
        <f t="shared" si="35"/>
        <v>#REF!</v>
      </c>
      <c r="D22" s="425" t="e">
        <f t="shared" si="11"/>
        <v>#REF!</v>
      </c>
      <c r="E22" s="425" t="e">
        <f t="shared" si="11"/>
        <v>#REF!</v>
      </c>
      <c r="F22" s="425" t="e">
        <f t="shared" si="11"/>
        <v>#REF!</v>
      </c>
      <c r="G22" s="425" t="e">
        <f t="shared" si="11"/>
        <v>#REF!</v>
      </c>
      <c r="H22" s="425" t="e">
        <f t="shared" si="11"/>
        <v>#REF!</v>
      </c>
      <c r="J22" s="425" t="str">
        <f>Valid!B58</f>
        <v>Elevators and Conveying Systems</v>
      </c>
      <c r="K22" s="425" t="e">
        <f t="shared" si="36"/>
        <v>#REF!</v>
      </c>
      <c r="L22" s="425" t="e">
        <f t="shared" si="12"/>
        <v>#REF!</v>
      </c>
      <c r="M22" s="425" t="e">
        <f t="shared" si="12"/>
        <v>#REF!</v>
      </c>
      <c r="N22" s="425" t="e">
        <f t="shared" si="12"/>
        <v>#REF!</v>
      </c>
      <c r="O22" s="425" t="e">
        <f t="shared" si="12"/>
        <v>#REF!</v>
      </c>
      <c r="Q22" s="425" t="str">
        <f>Valid!B46</f>
        <v>Elevators and Conveying Systems</v>
      </c>
      <c r="R22" s="425" t="e">
        <f t="shared" si="37"/>
        <v>#REF!</v>
      </c>
      <c r="S22" s="425" t="e">
        <f t="shared" si="13"/>
        <v>#REF!</v>
      </c>
      <c r="T22" s="425" t="e">
        <f t="shared" si="13"/>
        <v>#REF!</v>
      </c>
      <c r="V22" s="423" t="str">
        <f>Valid!B32</f>
        <v>Built-in equipment and specialties</v>
      </c>
      <c r="W22" s="425" t="e">
        <f t="shared" si="38"/>
        <v>#REF!</v>
      </c>
      <c r="X22" s="425" t="e">
        <f t="shared" si="14"/>
        <v>#REF!</v>
      </c>
      <c r="Y22" s="425" t="e">
        <f t="shared" si="15"/>
        <v>#REF!</v>
      </c>
      <c r="Z22" s="425" t="e">
        <f t="shared" si="16"/>
        <v>#REF!</v>
      </c>
      <c r="AA22" s="425" t="e">
        <f t="shared" si="17"/>
        <v>#REF!</v>
      </c>
      <c r="AB22" s="425" t="e">
        <f t="shared" si="18"/>
        <v>#REF!</v>
      </c>
      <c r="AD22" s="425" t="str">
        <f>Valid!B58</f>
        <v>Elevators and Conveying Systems</v>
      </c>
      <c r="AE22" s="425" t="e">
        <f t="shared" si="39"/>
        <v>#REF!</v>
      </c>
      <c r="AF22" s="425" t="e">
        <f t="shared" si="19"/>
        <v>#REF!</v>
      </c>
      <c r="AG22" s="425" t="e">
        <f t="shared" si="20"/>
        <v>#REF!</v>
      </c>
      <c r="AH22" s="425" t="e">
        <f t="shared" si="21"/>
        <v>#REF!</v>
      </c>
      <c r="AI22" s="425" t="e">
        <f t="shared" si="22"/>
        <v>#REF!</v>
      </c>
      <c r="AK22" s="425" t="str">
        <f>Valid!B46</f>
        <v>Elevators and Conveying Systems</v>
      </c>
      <c r="AL22" s="425" t="e">
        <f t="shared" si="40"/>
        <v>#REF!</v>
      </c>
      <c r="AM22" s="425" t="e">
        <f t="shared" si="23"/>
        <v>#REF!</v>
      </c>
      <c r="AN22" s="425" t="e">
        <f t="shared" si="24"/>
        <v>#REF!</v>
      </c>
      <c r="AP22" s="380" t="s">
        <v>647</v>
      </c>
      <c r="AQ22" s="406">
        <f t="shared" si="41"/>
        <v>23</v>
      </c>
      <c r="AR22" s="406">
        <f t="shared" si="41"/>
        <v>23</v>
      </c>
      <c r="AS22" s="380">
        <f t="shared" si="42"/>
        <v>23</v>
      </c>
      <c r="AT22" s="380">
        <f t="shared" si="43"/>
        <v>23</v>
      </c>
      <c r="AU22" s="380">
        <f t="shared" si="44"/>
        <v>23</v>
      </c>
      <c r="AV22" s="380">
        <f t="shared" si="45"/>
        <v>23</v>
      </c>
      <c r="AW22" s="380">
        <f t="shared" si="46"/>
        <v>23</v>
      </c>
      <c r="AX22" s="380">
        <f t="shared" si="47"/>
        <v>23</v>
      </c>
      <c r="AY22" s="380">
        <f t="shared" si="48"/>
        <v>23</v>
      </c>
      <c r="AZ22" s="380">
        <f t="shared" si="49"/>
        <v>23</v>
      </c>
      <c r="BA22" s="380">
        <f t="shared" si="50"/>
        <v>23</v>
      </c>
      <c r="BB22" s="380">
        <f t="shared" si="51"/>
        <v>23</v>
      </c>
      <c r="BC22" s="380">
        <f t="shared" si="52"/>
        <v>23</v>
      </c>
      <c r="BD22" s="407">
        <f t="shared" si="52"/>
        <v>23</v>
      </c>
      <c r="BG22" s="380" t="s">
        <v>647</v>
      </c>
      <c r="BH22" s="406">
        <f t="shared" si="53"/>
        <v>23</v>
      </c>
      <c r="BI22" s="406">
        <f t="shared" si="53"/>
        <v>23</v>
      </c>
      <c r="BJ22" s="380">
        <f t="shared" si="54"/>
        <v>23</v>
      </c>
      <c r="BK22" s="380">
        <f t="shared" si="55"/>
        <v>23</v>
      </c>
      <c r="BL22" s="380">
        <f t="shared" si="56"/>
        <v>23</v>
      </c>
      <c r="BM22" s="380">
        <f t="shared" si="57"/>
        <v>23</v>
      </c>
      <c r="BN22" s="380">
        <f t="shared" si="57"/>
        <v>23</v>
      </c>
      <c r="BO22" s="380">
        <f t="shared" si="58"/>
        <v>23</v>
      </c>
      <c r="BP22" s="380">
        <f t="shared" si="59"/>
        <v>23</v>
      </c>
      <c r="BQ22" s="380">
        <f t="shared" si="60"/>
        <v>23</v>
      </c>
      <c r="BR22" s="380">
        <f t="shared" si="61"/>
        <v>23</v>
      </c>
      <c r="BS22" s="380">
        <f t="shared" si="62"/>
        <v>23</v>
      </c>
      <c r="BT22" s="380">
        <f t="shared" si="62"/>
        <v>23</v>
      </c>
      <c r="BU22" s="380">
        <f t="shared" si="63"/>
        <v>23</v>
      </c>
      <c r="BV22" s="380">
        <f t="shared" si="64"/>
        <v>23</v>
      </c>
      <c r="BW22" s="380">
        <f t="shared" si="65"/>
        <v>23</v>
      </c>
      <c r="BX22" s="407">
        <f t="shared" si="27"/>
        <v>23</v>
      </c>
      <c r="CA22" s="448"/>
      <c r="CB22" s="425">
        <f>'A-50 FGRailInv'!$C$13</f>
        <v>0</v>
      </c>
      <c r="CC22" s="425" t="str">
        <f>Valid!$B$76</f>
        <v>Below-Grade/Retained Cut</v>
      </c>
      <c r="CD22" s="446">
        <f>CD17</f>
        <v>13</v>
      </c>
      <c r="CE22" s="1199">
        <f t="shared" si="28"/>
        <v>32</v>
      </c>
      <c r="CF22" s="446">
        <f t="shared" si="29"/>
        <v>32</v>
      </c>
      <c r="CG22" s="446">
        <f t="shared" si="30"/>
        <v>32</v>
      </c>
      <c r="CH22" s="446">
        <f t="shared" si="30"/>
        <v>32</v>
      </c>
      <c r="CI22" s="446">
        <f t="shared" si="30"/>
        <v>32</v>
      </c>
      <c r="CJ22" s="446">
        <f t="shared" si="30"/>
        <v>32</v>
      </c>
      <c r="CK22" s="446">
        <f t="shared" si="30"/>
        <v>32</v>
      </c>
      <c r="CL22" s="446">
        <f t="shared" si="30"/>
        <v>32</v>
      </c>
      <c r="CM22" s="446">
        <f t="shared" si="30"/>
        <v>32</v>
      </c>
      <c r="CN22" s="446">
        <f t="shared" si="30"/>
        <v>32</v>
      </c>
      <c r="CO22" s="446">
        <f t="shared" si="30"/>
        <v>32</v>
      </c>
      <c r="CP22" s="446">
        <f t="shared" si="30"/>
        <v>32</v>
      </c>
      <c r="CQ22" s="446">
        <f t="shared" si="30"/>
        <v>32</v>
      </c>
      <c r="CR22" s="446">
        <f t="shared" si="30"/>
        <v>32</v>
      </c>
      <c r="CS22" s="446">
        <f t="shared" si="7"/>
        <v>32</v>
      </c>
      <c r="CT22" s="446">
        <f t="shared" si="31"/>
        <v>32</v>
      </c>
      <c r="CU22" s="446">
        <f t="shared" si="31"/>
        <v>32</v>
      </c>
      <c r="CY22" s="425">
        <f>'A-55 TrackInv'!$C$13</f>
        <v>0</v>
      </c>
      <c r="CZ22" s="425" t="str">
        <f>Valid!$B$85</f>
        <v>Single Turnout</v>
      </c>
      <c r="DA22" s="425">
        <f>ROW('A-55 TrackInv'!$C$13)</f>
        <v>13</v>
      </c>
      <c r="DB22" s="1283">
        <f t="shared" si="32"/>
        <v>33</v>
      </c>
      <c r="DC22" s="425">
        <f t="shared" si="8"/>
        <v>33</v>
      </c>
      <c r="DD22" s="425">
        <f t="shared" si="9"/>
        <v>33</v>
      </c>
      <c r="DE22" s="425">
        <f t="shared" si="9"/>
        <v>33</v>
      </c>
      <c r="DF22" s="425">
        <f t="shared" si="9"/>
        <v>33</v>
      </c>
      <c r="DJ22" s="380" t="s">
        <v>753</v>
      </c>
      <c r="DK22" s="425">
        <f t="shared" si="67"/>
        <v>23</v>
      </c>
      <c r="DL22" s="425">
        <f t="shared" ref="DL22:DS22" si="70">DK22</f>
        <v>23</v>
      </c>
      <c r="DM22" s="425">
        <f t="shared" si="70"/>
        <v>23</v>
      </c>
      <c r="DN22" s="425">
        <f t="shared" si="70"/>
        <v>23</v>
      </c>
      <c r="DO22" s="425">
        <f t="shared" si="70"/>
        <v>23</v>
      </c>
      <c r="DP22" s="425">
        <f t="shared" si="70"/>
        <v>23</v>
      </c>
      <c r="DQ22" s="425">
        <f t="shared" si="70"/>
        <v>23</v>
      </c>
      <c r="DR22" s="425">
        <f t="shared" si="70"/>
        <v>23</v>
      </c>
      <c r="DS22" s="425">
        <f t="shared" si="70"/>
        <v>23</v>
      </c>
      <c r="DU22" s="380" t="s">
        <v>753</v>
      </c>
      <c r="DV22" s="425">
        <f t="shared" si="66"/>
        <v>23</v>
      </c>
      <c r="DW22" s="425">
        <f t="shared" si="33"/>
        <v>23</v>
      </c>
      <c r="DX22" s="425">
        <f t="shared" si="33"/>
        <v>23</v>
      </c>
      <c r="DY22" s="425">
        <f t="shared" si="33"/>
        <v>23</v>
      </c>
      <c r="DZ22" s="425">
        <f t="shared" si="33"/>
        <v>23</v>
      </c>
      <c r="EA22" s="425">
        <f t="shared" si="33"/>
        <v>23</v>
      </c>
      <c r="EB22" s="425">
        <f t="shared" si="33"/>
        <v>23</v>
      </c>
      <c r="EC22" s="425">
        <f t="shared" si="33"/>
        <v>23</v>
      </c>
      <c r="ED22" s="425">
        <f t="shared" si="33"/>
        <v>23</v>
      </c>
      <c r="EE22" s="425">
        <f t="shared" si="33"/>
        <v>23</v>
      </c>
      <c r="EF22" s="425">
        <f t="shared" si="33"/>
        <v>23</v>
      </c>
      <c r="EG22" s="425">
        <f t="shared" si="33"/>
        <v>23</v>
      </c>
      <c r="EH22" s="425">
        <f t="shared" si="33"/>
        <v>23</v>
      </c>
      <c r="EI22" s="425">
        <f t="shared" si="33"/>
        <v>23</v>
      </c>
      <c r="EJ22" s="425">
        <f t="shared" si="33"/>
        <v>23</v>
      </c>
      <c r="EK22" s="425">
        <f t="shared" si="33"/>
        <v>23</v>
      </c>
      <c r="EL22" s="425">
        <f t="shared" si="33"/>
        <v>23</v>
      </c>
      <c r="EM22" s="425">
        <f t="shared" si="33"/>
        <v>23</v>
      </c>
      <c r="EN22" s="425">
        <f t="shared" si="33"/>
        <v>23</v>
      </c>
      <c r="EO22" s="425">
        <f t="shared" si="33"/>
        <v>23</v>
      </c>
      <c r="EP22" s="425">
        <f t="shared" si="33"/>
        <v>23</v>
      </c>
      <c r="EQ22" s="425">
        <f t="shared" si="33"/>
        <v>23</v>
      </c>
      <c r="ER22" s="425">
        <f t="shared" si="33"/>
        <v>23</v>
      </c>
      <c r="ES22" s="425">
        <f t="shared" si="33"/>
        <v>23</v>
      </c>
      <c r="ET22" s="425">
        <f t="shared" si="33"/>
        <v>23</v>
      </c>
      <c r="EU22" s="425">
        <f t="shared" si="33"/>
        <v>23</v>
      </c>
      <c r="EV22" s="425">
        <f t="shared" si="34"/>
        <v>23</v>
      </c>
      <c r="EW22" s="425">
        <f t="shared" si="33"/>
        <v>23</v>
      </c>
      <c r="EX22" s="425">
        <f t="shared" si="33"/>
        <v>23</v>
      </c>
      <c r="EY22" s="425">
        <f t="shared" si="33"/>
        <v>23</v>
      </c>
      <c r="EZ22" s="425">
        <f t="shared" si="33"/>
        <v>23</v>
      </c>
    </row>
    <row r="23" spans="1:156" x14ac:dyDescent="0.2">
      <c r="B23" s="427" t="str">
        <f>Valid!B33</f>
        <v>Escalators</v>
      </c>
      <c r="C23" s="425" t="e">
        <f t="shared" si="35"/>
        <v>#REF!</v>
      </c>
      <c r="D23" s="425" t="e">
        <f t="shared" si="11"/>
        <v>#REF!</v>
      </c>
      <c r="E23" s="425" t="e">
        <f t="shared" si="11"/>
        <v>#REF!</v>
      </c>
      <c r="F23" s="425" t="e">
        <f t="shared" si="11"/>
        <v>#REF!</v>
      </c>
      <c r="G23" s="425" t="e">
        <f t="shared" si="11"/>
        <v>#REF!</v>
      </c>
      <c r="H23" s="425" t="e">
        <f t="shared" si="11"/>
        <v>#REF!</v>
      </c>
      <c r="J23" s="425" t="str">
        <f>Valid!B59</f>
        <v>Fire Protection Systems</v>
      </c>
      <c r="K23" s="425" t="e">
        <f t="shared" si="36"/>
        <v>#REF!</v>
      </c>
      <c r="L23" s="425" t="e">
        <f t="shared" si="12"/>
        <v>#REF!</v>
      </c>
      <c r="M23" s="425" t="e">
        <f t="shared" si="12"/>
        <v>#REF!</v>
      </c>
      <c r="N23" s="425" t="e">
        <f t="shared" si="12"/>
        <v>#REF!</v>
      </c>
      <c r="O23" s="425" t="e">
        <f t="shared" si="12"/>
        <v>#REF!</v>
      </c>
      <c r="Q23" s="425" t="str">
        <f>Valid!B47</f>
        <v>Fire Protection Systems</v>
      </c>
      <c r="R23" s="425" t="e">
        <f t="shared" si="37"/>
        <v>#REF!</v>
      </c>
      <c r="S23" s="425" t="e">
        <f t="shared" si="13"/>
        <v>#REF!</v>
      </c>
      <c r="T23" s="425" t="e">
        <f t="shared" si="13"/>
        <v>#REF!</v>
      </c>
      <c r="V23" s="423" t="str">
        <f>Valid!B33</f>
        <v>Escalators</v>
      </c>
      <c r="W23" s="425" t="e">
        <f t="shared" si="38"/>
        <v>#REF!</v>
      </c>
      <c r="X23" s="425" t="e">
        <f t="shared" si="14"/>
        <v>#REF!</v>
      </c>
      <c r="Y23" s="425" t="e">
        <f t="shared" si="15"/>
        <v>#REF!</v>
      </c>
      <c r="Z23" s="425" t="e">
        <f t="shared" si="16"/>
        <v>#REF!</v>
      </c>
      <c r="AA23" s="425" t="e">
        <f t="shared" si="17"/>
        <v>#REF!</v>
      </c>
      <c r="AB23" s="425" t="e">
        <f t="shared" si="18"/>
        <v>#REF!</v>
      </c>
      <c r="AD23" s="425" t="str">
        <f>Valid!B59</f>
        <v>Fire Protection Systems</v>
      </c>
      <c r="AE23" s="425" t="e">
        <f t="shared" si="39"/>
        <v>#REF!</v>
      </c>
      <c r="AF23" s="425" t="e">
        <f t="shared" si="19"/>
        <v>#REF!</v>
      </c>
      <c r="AG23" s="425" t="e">
        <f t="shared" si="20"/>
        <v>#REF!</v>
      </c>
      <c r="AH23" s="425" t="e">
        <f t="shared" si="21"/>
        <v>#REF!</v>
      </c>
      <c r="AI23" s="425" t="e">
        <f t="shared" si="22"/>
        <v>#REF!</v>
      </c>
      <c r="AK23" s="425" t="str">
        <f>Valid!B47</f>
        <v>Fire Protection Systems</v>
      </c>
      <c r="AL23" s="425" t="e">
        <f t="shared" si="40"/>
        <v>#REF!</v>
      </c>
      <c r="AM23" s="425" t="e">
        <f t="shared" si="23"/>
        <v>#REF!</v>
      </c>
      <c r="AN23" s="425" t="e">
        <f t="shared" si="24"/>
        <v>#REF!</v>
      </c>
      <c r="AP23" s="380" t="s">
        <v>648</v>
      </c>
      <c r="AQ23" s="406">
        <f t="shared" si="41"/>
        <v>25</v>
      </c>
      <c r="AR23" s="406">
        <f t="shared" si="41"/>
        <v>25</v>
      </c>
      <c r="AS23" s="380">
        <f t="shared" si="42"/>
        <v>25</v>
      </c>
      <c r="AT23" s="380">
        <f t="shared" si="43"/>
        <v>25</v>
      </c>
      <c r="AU23" s="380">
        <f t="shared" si="44"/>
        <v>25</v>
      </c>
      <c r="AV23" s="380">
        <f t="shared" si="45"/>
        <v>25</v>
      </c>
      <c r="AW23" s="380">
        <f t="shared" si="46"/>
        <v>25</v>
      </c>
      <c r="AX23" s="380">
        <f t="shared" si="47"/>
        <v>25</v>
      </c>
      <c r="AY23" s="380">
        <f t="shared" si="48"/>
        <v>25</v>
      </c>
      <c r="AZ23" s="380">
        <f t="shared" si="49"/>
        <v>25</v>
      </c>
      <c r="BA23" s="380">
        <f t="shared" si="50"/>
        <v>25</v>
      </c>
      <c r="BB23" s="380">
        <f t="shared" si="51"/>
        <v>25</v>
      </c>
      <c r="BC23" s="380">
        <f t="shared" si="52"/>
        <v>25</v>
      </c>
      <c r="BD23" s="407">
        <f t="shared" si="52"/>
        <v>25</v>
      </c>
      <c r="BG23" s="380" t="s">
        <v>648</v>
      </c>
      <c r="BH23" s="406">
        <f t="shared" si="53"/>
        <v>25</v>
      </c>
      <c r="BI23" s="406">
        <f t="shared" si="53"/>
        <v>25</v>
      </c>
      <c r="BJ23" s="380">
        <f t="shared" si="54"/>
        <v>25</v>
      </c>
      <c r="BK23" s="380">
        <f t="shared" si="55"/>
        <v>25</v>
      </c>
      <c r="BL23" s="380">
        <f t="shared" si="56"/>
        <v>25</v>
      </c>
      <c r="BM23" s="380">
        <f t="shared" si="57"/>
        <v>25</v>
      </c>
      <c r="BN23" s="380">
        <f t="shared" si="57"/>
        <v>25</v>
      </c>
      <c r="BO23" s="380">
        <f t="shared" si="58"/>
        <v>25</v>
      </c>
      <c r="BP23" s="380">
        <f t="shared" si="59"/>
        <v>25</v>
      </c>
      <c r="BQ23" s="380">
        <f t="shared" si="60"/>
        <v>25</v>
      </c>
      <c r="BR23" s="380">
        <f t="shared" si="61"/>
        <v>25</v>
      </c>
      <c r="BS23" s="380">
        <f t="shared" si="62"/>
        <v>25</v>
      </c>
      <c r="BT23" s="380">
        <f t="shared" si="62"/>
        <v>25</v>
      </c>
      <c r="BU23" s="380">
        <f t="shared" si="63"/>
        <v>25</v>
      </c>
      <c r="BV23" s="380">
        <f t="shared" si="64"/>
        <v>25</v>
      </c>
      <c r="BW23" s="380">
        <f t="shared" si="65"/>
        <v>25</v>
      </c>
      <c r="BX23" s="407">
        <f t="shared" si="27"/>
        <v>25</v>
      </c>
      <c r="CA23" s="448"/>
      <c r="CB23" s="425">
        <f>'A-50 FGRailInv'!$C$13</f>
        <v>0</v>
      </c>
      <c r="CC23" s="425" t="str">
        <f>Valid!$B$77</f>
        <v>Below-Grade/Cut-and-Cover Tunnel</v>
      </c>
      <c r="CD23" s="446">
        <f>CD17</f>
        <v>13</v>
      </c>
      <c r="CE23" s="446">
        <f t="shared" si="28"/>
        <v>35</v>
      </c>
      <c r="CF23" s="446">
        <f t="shared" si="29"/>
        <v>35</v>
      </c>
      <c r="CG23" s="446">
        <f t="shared" si="30"/>
        <v>35</v>
      </c>
      <c r="CH23" s="446">
        <f t="shared" si="30"/>
        <v>35</v>
      </c>
      <c r="CI23" s="446">
        <f t="shared" si="30"/>
        <v>35</v>
      </c>
      <c r="CJ23" s="446">
        <f t="shared" si="30"/>
        <v>35</v>
      </c>
      <c r="CK23" s="446">
        <f t="shared" si="30"/>
        <v>35</v>
      </c>
      <c r="CL23" s="446">
        <f>$CE23</f>
        <v>35</v>
      </c>
      <c r="CM23" s="446">
        <f t="shared" si="30"/>
        <v>35</v>
      </c>
      <c r="CN23" s="446">
        <f t="shared" si="30"/>
        <v>35</v>
      </c>
      <c r="CO23" s="446">
        <f t="shared" si="30"/>
        <v>35</v>
      </c>
      <c r="CP23" s="446">
        <f t="shared" si="30"/>
        <v>35</v>
      </c>
      <c r="CQ23" s="446">
        <f t="shared" si="30"/>
        <v>35</v>
      </c>
      <c r="CR23" s="446">
        <f t="shared" si="30"/>
        <v>35</v>
      </c>
      <c r="CS23" s="446">
        <f t="shared" si="7"/>
        <v>35</v>
      </c>
      <c r="CT23" s="446">
        <f t="shared" si="31"/>
        <v>35</v>
      </c>
      <c r="CU23" s="446">
        <f t="shared" si="31"/>
        <v>35</v>
      </c>
      <c r="CY23" s="425">
        <f>'A-55 TrackInv'!$C$13</f>
        <v>0</v>
      </c>
      <c r="CZ23" s="425" t="str">
        <f>Valid!$B$86</f>
        <v>Grade Crossings</v>
      </c>
      <c r="DA23" s="425">
        <f>ROW('A-55 TrackInv'!$C$13)</f>
        <v>13</v>
      </c>
      <c r="DB23" s="1283">
        <f t="shared" si="32"/>
        <v>35</v>
      </c>
      <c r="DC23" s="425">
        <f t="shared" si="8"/>
        <v>35</v>
      </c>
      <c r="DD23" s="425">
        <f t="shared" si="9"/>
        <v>35</v>
      </c>
      <c r="DE23" s="425">
        <f t="shared" si="9"/>
        <v>35</v>
      </c>
      <c r="DF23" s="425">
        <f t="shared" si="9"/>
        <v>35</v>
      </c>
      <c r="DJ23" s="380" t="s">
        <v>754</v>
      </c>
      <c r="DK23" s="425">
        <f t="shared" si="67"/>
        <v>25</v>
      </c>
      <c r="DL23" s="425">
        <f t="shared" ref="DL23:DS23" si="71">DK23</f>
        <v>25</v>
      </c>
      <c r="DM23" s="425">
        <f t="shared" si="71"/>
        <v>25</v>
      </c>
      <c r="DN23" s="425">
        <f t="shared" si="71"/>
        <v>25</v>
      </c>
      <c r="DO23" s="425">
        <f t="shared" si="71"/>
        <v>25</v>
      </c>
      <c r="DP23" s="425">
        <f t="shared" si="71"/>
        <v>25</v>
      </c>
      <c r="DQ23" s="425">
        <f t="shared" si="71"/>
        <v>25</v>
      </c>
      <c r="DR23" s="425">
        <f t="shared" si="71"/>
        <v>25</v>
      </c>
      <c r="DS23" s="425">
        <f t="shared" si="71"/>
        <v>25</v>
      </c>
      <c r="DU23" s="380" t="s">
        <v>754</v>
      </c>
      <c r="DV23" s="425">
        <f t="shared" si="66"/>
        <v>25</v>
      </c>
      <c r="DW23" s="425">
        <f t="shared" si="33"/>
        <v>25</v>
      </c>
      <c r="DX23" s="425">
        <f t="shared" si="33"/>
        <v>25</v>
      </c>
      <c r="DY23" s="425">
        <f t="shared" si="33"/>
        <v>25</v>
      </c>
      <c r="DZ23" s="425">
        <f t="shared" si="33"/>
        <v>25</v>
      </c>
      <c r="EA23" s="425">
        <f t="shared" si="33"/>
        <v>25</v>
      </c>
      <c r="EB23" s="425">
        <f t="shared" si="33"/>
        <v>25</v>
      </c>
      <c r="EC23" s="425">
        <f t="shared" si="33"/>
        <v>25</v>
      </c>
      <c r="ED23" s="425">
        <f t="shared" si="33"/>
        <v>25</v>
      </c>
      <c r="EE23" s="425">
        <f t="shared" si="33"/>
        <v>25</v>
      </c>
      <c r="EF23" s="425">
        <f t="shared" si="33"/>
        <v>25</v>
      </c>
      <c r="EG23" s="425">
        <f t="shared" si="33"/>
        <v>25</v>
      </c>
      <c r="EH23" s="425">
        <f t="shared" si="33"/>
        <v>25</v>
      </c>
      <c r="EI23" s="425">
        <f t="shared" si="33"/>
        <v>25</v>
      </c>
      <c r="EJ23" s="425">
        <f t="shared" si="33"/>
        <v>25</v>
      </c>
      <c r="EK23" s="425">
        <f t="shared" si="33"/>
        <v>25</v>
      </c>
      <c r="EL23" s="425">
        <f t="shared" si="33"/>
        <v>25</v>
      </c>
      <c r="EM23" s="425">
        <f t="shared" si="33"/>
        <v>25</v>
      </c>
      <c r="EN23" s="425">
        <f t="shared" si="33"/>
        <v>25</v>
      </c>
      <c r="EO23" s="425">
        <f t="shared" si="33"/>
        <v>25</v>
      </c>
      <c r="EP23" s="425">
        <f t="shared" si="33"/>
        <v>25</v>
      </c>
      <c r="EQ23" s="425">
        <f t="shared" si="33"/>
        <v>25</v>
      </c>
      <c r="ER23" s="425">
        <f t="shared" si="33"/>
        <v>25</v>
      </c>
      <c r="ES23" s="425">
        <f t="shared" si="33"/>
        <v>25</v>
      </c>
      <c r="ET23" s="425">
        <f t="shared" si="33"/>
        <v>25</v>
      </c>
      <c r="EU23" s="425">
        <f t="shared" si="33"/>
        <v>25</v>
      </c>
      <c r="EV23" s="425">
        <f t="shared" si="34"/>
        <v>25</v>
      </c>
      <c r="EW23" s="425">
        <f t="shared" si="33"/>
        <v>25</v>
      </c>
      <c r="EX23" s="425">
        <f t="shared" si="33"/>
        <v>25</v>
      </c>
      <c r="EY23" s="425">
        <f t="shared" si="33"/>
        <v>25</v>
      </c>
      <c r="EZ23" s="425">
        <f t="shared" si="33"/>
        <v>25</v>
      </c>
    </row>
    <row r="24" spans="1:156" x14ac:dyDescent="0.2">
      <c r="B24" s="427" t="str">
        <f>Valid!B34</f>
        <v>Elevators</v>
      </c>
      <c r="C24" s="425" t="e">
        <f t="shared" si="35"/>
        <v>#REF!</v>
      </c>
      <c r="D24" s="425" t="e">
        <f t="shared" si="11"/>
        <v>#REF!</v>
      </c>
      <c r="E24" s="425" t="e">
        <f t="shared" si="11"/>
        <v>#REF!</v>
      </c>
      <c r="F24" s="425" t="e">
        <f t="shared" si="11"/>
        <v>#REF!</v>
      </c>
      <c r="G24" s="425" t="e">
        <f t="shared" si="11"/>
        <v>#REF!</v>
      </c>
      <c r="H24" s="425" t="e">
        <f t="shared" si="11"/>
        <v>#REF!</v>
      </c>
      <c r="J24" s="425" t="str">
        <f>Valid!B60</f>
        <v xml:space="preserve">HVAC System </v>
      </c>
      <c r="K24" s="425" t="e">
        <f t="shared" si="36"/>
        <v>#REF!</v>
      </c>
      <c r="L24" s="425" t="e">
        <f t="shared" si="12"/>
        <v>#REF!</v>
      </c>
      <c r="M24" s="425" t="e">
        <f t="shared" si="12"/>
        <v>#REF!</v>
      </c>
      <c r="N24" s="425" t="e">
        <f t="shared" si="12"/>
        <v>#REF!</v>
      </c>
      <c r="O24" s="425" t="e">
        <f t="shared" si="12"/>
        <v>#REF!</v>
      </c>
      <c r="Q24" s="425" t="str">
        <f>Valid!B48</f>
        <v xml:space="preserve">HVAC System </v>
      </c>
      <c r="R24" s="425" t="e">
        <f t="shared" si="37"/>
        <v>#REF!</v>
      </c>
      <c r="S24" s="425" t="e">
        <f t="shared" si="13"/>
        <v>#REF!</v>
      </c>
      <c r="T24" s="425" t="e">
        <f t="shared" si="13"/>
        <v>#REF!</v>
      </c>
      <c r="V24" s="423" t="str">
        <f>Valid!B34</f>
        <v>Elevators</v>
      </c>
      <c r="W24" s="425" t="e">
        <f t="shared" si="38"/>
        <v>#REF!</v>
      </c>
      <c r="X24" s="425" t="e">
        <f t="shared" si="14"/>
        <v>#REF!</v>
      </c>
      <c r="Y24" s="425" t="e">
        <f t="shared" si="15"/>
        <v>#REF!</v>
      </c>
      <c r="Z24" s="425" t="e">
        <f t="shared" si="16"/>
        <v>#REF!</v>
      </c>
      <c r="AA24" s="425" t="e">
        <f t="shared" si="17"/>
        <v>#REF!</v>
      </c>
      <c r="AB24" s="425" t="e">
        <f t="shared" si="18"/>
        <v>#REF!</v>
      </c>
      <c r="AD24" s="425" t="str">
        <f>Valid!B60</f>
        <v xml:space="preserve">HVAC System </v>
      </c>
      <c r="AE24" s="425" t="e">
        <f t="shared" si="39"/>
        <v>#REF!</v>
      </c>
      <c r="AF24" s="425" t="e">
        <f t="shared" si="19"/>
        <v>#REF!</v>
      </c>
      <c r="AG24" s="425" t="e">
        <f t="shared" si="20"/>
        <v>#REF!</v>
      </c>
      <c r="AH24" s="425" t="e">
        <f t="shared" si="21"/>
        <v>#REF!</v>
      </c>
      <c r="AI24" s="425" t="e">
        <f t="shared" si="22"/>
        <v>#REF!</v>
      </c>
      <c r="AK24" s="425" t="str">
        <f>Valid!B48</f>
        <v xml:space="preserve">HVAC System </v>
      </c>
      <c r="AL24" s="425" t="e">
        <f t="shared" si="40"/>
        <v>#REF!</v>
      </c>
      <c r="AM24" s="425" t="e">
        <f t="shared" si="23"/>
        <v>#REF!</v>
      </c>
      <c r="AN24" s="425" t="e">
        <f t="shared" si="24"/>
        <v>#REF!</v>
      </c>
      <c r="AP24" s="380" t="s">
        <v>649</v>
      </c>
      <c r="AQ24" s="406">
        <f t="shared" si="41"/>
        <v>27</v>
      </c>
      <c r="AR24" s="406">
        <f t="shared" si="41"/>
        <v>27</v>
      </c>
      <c r="AS24" s="380">
        <f t="shared" si="42"/>
        <v>27</v>
      </c>
      <c r="AT24" s="380">
        <f t="shared" si="43"/>
        <v>27</v>
      </c>
      <c r="AU24" s="380">
        <f t="shared" si="44"/>
        <v>27</v>
      </c>
      <c r="AV24" s="380">
        <f t="shared" si="45"/>
        <v>27</v>
      </c>
      <c r="AW24" s="380">
        <f t="shared" si="46"/>
        <v>27</v>
      </c>
      <c r="AX24" s="380">
        <f t="shared" si="47"/>
        <v>27</v>
      </c>
      <c r="AY24" s="380">
        <f t="shared" si="48"/>
        <v>27</v>
      </c>
      <c r="AZ24" s="380">
        <f t="shared" si="49"/>
        <v>27</v>
      </c>
      <c r="BA24" s="380">
        <f t="shared" si="50"/>
        <v>27</v>
      </c>
      <c r="BB24" s="380">
        <f t="shared" si="51"/>
        <v>27</v>
      </c>
      <c r="BC24" s="380">
        <f t="shared" si="52"/>
        <v>27</v>
      </c>
      <c r="BD24" s="407">
        <f t="shared" si="52"/>
        <v>27</v>
      </c>
      <c r="BG24" s="380" t="s">
        <v>649</v>
      </c>
      <c r="BH24" s="406">
        <f t="shared" si="53"/>
        <v>27</v>
      </c>
      <c r="BI24" s="406">
        <f t="shared" si="53"/>
        <v>27</v>
      </c>
      <c r="BJ24" s="380">
        <f t="shared" si="54"/>
        <v>27</v>
      </c>
      <c r="BK24" s="380">
        <f t="shared" si="55"/>
        <v>27</v>
      </c>
      <c r="BL24" s="380">
        <f t="shared" si="56"/>
        <v>27</v>
      </c>
      <c r="BM24" s="380">
        <f t="shared" si="57"/>
        <v>27</v>
      </c>
      <c r="BN24" s="380">
        <f t="shared" si="57"/>
        <v>27</v>
      </c>
      <c r="BO24" s="380">
        <f t="shared" si="58"/>
        <v>27</v>
      </c>
      <c r="BP24" s="380">
        <f t="shared" si="59"/>
        <v>27</v>
      </c>
      <c r="BQ24" s="380">
        <f t="shared" si="60"/>
        <v>27</v>
      </c>
      <c r="BR24" s="380">
        <f t="shared" si="61"/>
        <v>27</v>
      </c>
      <c r="BS24" s="380">
        <f t="shared" si="62"/>
        <v>27</v>
      </c>
      <c r="BT24" s="380">
        <f t="shared" si="62"/>
        <v>27</v>
      </c>
      <c r="BU24" s="380">
        <f t="shared" si="63"/>
        <v>27</v>
      </c>
      <c r="BV24" s="380">
        <f t="shared" si="64"/>
        <v>27</v>
      </c>
      <c r="BW24" s="380">
        <f t="shared" si="65"/>
        <v>27</v>
      </c>
      <c r="BX24" s="407">
        <f t="shared" si="27"/>
        <v>27</v>
      </c>
      <c r="CA24" s="448"/>
      <c r="CB24" s="425">
        <f>'A-50 FGRailInv'!$C$13</f>
        <v>0</v>
      </c>
      <c r="CC24" s="425" t="str">
        <f>Valid!$B$78</f>
        <v>Below-Grade/Bored or Blasted Tunnel</v>
      </c>
      <c r="CD24" s="446">
        <f>CD17</f>
        <v>13</v>
      </c>
      <c r="CE24" s="446">
        <f t="shared" si="28"/>
        <v>38</v>
      </c>
      <c r="CF24" s="446">
        <f t="shared" si="29"/>
        <v>38</v>
      </c>
      <c r="CG24" s="446">
        <f t="shared" si="30"/>
        <v>38</v>
      </c>
      <c r="CH24" s="446">
        <f t="shared" si="30"/>
        <v>38</v>
      </c>
      <c r="CI24" s="446">
        <f t="shared" si="30"/>
        <v>38</v>
      </c>
      <c r="CJ24" s="446">
        <f t="shared" si="30"/>
        <v>38</v>
      </c>
      <c r="CK24" s="446">
        <f t="shared" si="30"/>
        <v>38</v>
      </c>
      <c r="CL24" s="446">
        <f t="shared" si="30"/>
        <v>38</v>
      </c>
      <c r="CM24" s="446">
        <f t="shared" si="30"/>
        <v>38</v>
      </c>
      <c r="CN24" s="446">
        <f t="shared" si="30"/>
        <v>38</v>
      </c>
      <c r="CO24" s="446">
        <f t="shared" si="30"/>
        <v>38</v>
      </c>
      <c r="CP24" s="446">
        <f t="shared" si="30"/>
        <v>38</v>
      </c>
      <c r="CQ24" s="446">
        <f t="shared" si="30"/>
        <v>38</v>
      </c>
      <c r="CR24" s="446">
        <f t="shared" si="30"/>
        <v>38</v>
      </c>
      <c r="CS24" s="446">
        <f t="shared" si="7"/>
        <v>38</v>
      </c>
      <c r="CT24" s="446">
        <f t="shared" si="31"/>
        <v>38</v>
      </c>
      <c r="CU24" s="446">
        <f t="shared" si="31"/>
        <v>38</v>
      </c>
      <c r="CX24" s="380">
        <f>CX17+1</f>
        <v>2</v>
      </c>
      <c r="CY24" s="425">
        <f>'A-55 TrackInv'!$C$44</f>
        <v>0</v>
      </c>
      <c r="CZ24" s="425" t="str">
        <f>Valid!$B$80</f>
        <v>Tangent</v>
      </c>
      <c r="DA24" s="425">
        <f>DA18+$DA$7</f>
        <v>44</v>
      </c>
      <c r="DB24" s="1283">
        <f>DB23+$DB$9</f>
        <v>50</v>
      </c>
      <c r="DC24" s="425">
        <f t="shared" si="8"/>
        <v>50</v>
      </c>
      <c r="DD24" s="425">
        <f t="shared" si="9"/>
        <v>50</v>
      </c>
      <c r="DE24" s="425">
        <f t="shared" si="9"/>
        <v>50</v>
      </c>
      <c r="DF24" s="425">
        <f t="shared" si="9"/>
        <v>50</v>
      </c>
      <c r="DJ24" s="380" t="s">
        <v>755</v>
      </c>
      <c r="DK24" s="425">
        <f t="shared" si="67"/>
        <v>27</v>
      </c>
      <c r="DL24" s="425">
        <f t="shared" ref="DL24:DS24" si="72">DK24</f>
        <v>27</v>
      </c>
      <c r="DM24" s="425">
        <f t="shared" si="72"/>
        <v>27</v>
      </c>
      <c r="DN24" s="425">
        <f t="shared" si="72"/>
        <v>27</v>
      </c>
      <c r="DO24" s="425">
        <f t="shared" si="72"/>
        <v>27</v>
      </c>
      <c r="DP24" s="425">
        <f t="shared" si="72"/>
        <v>27</v>
      </c>
      <c r="DQ24" s="425">
        <f t="shared" si="72"/>
        <v>27</v>
      </c>
      <c r="DR24" s="425">
        <f t="shared" si="72"/>
        <v>27</v>
      </c>
      <c r="DS24" s="425">
        <f t="shared" si="72"/>
        <v>27</v>
      </c>
      <c r="DU24" s="380" t="s">
        <v>755</v>
      </c>
      <c r="DV24" s="425">
        <f t="shared" si="66"/>
        <v>27</v>
      </c>
      <c r="DW24" s="425">
        <f t="shared" si="33"/>
        <v>27</v>
      </c>
      <c r="DX24" s="425">
        <f t="shared" si="33"/>
        <v>27</v>
      </c>
      <c r="DY24" s="425">
        <f t="shared" si="33"/>
        <v>27</v>
      </c>
      <c r="DZ24" s="425">
        <f t="shared" si="33"/>
        <v>27</v>
      </c>
      <c r="EA24" s="425">
        <f t="shared" si="33"/>
        <v>27</v>
      </c>
      <c r="EB24" s="425">
        <f t="shared" si="33"/>
        <v>27</v>
      </c>
      <c r="EC24" s="425">
        <f t="shared" si="33"/>
        <v>27</v>
      </c>
      <c r="ED24" s="425">
        <f t="shared" si="33"/>
        <v>27</v>
      </c>
      <c r="EE24" s="425">
        <f t="shared" si="33"/>
        <v>27</v>
      </c>
      <c r="EF24" s="425">
        <f t="shared" si="33"/>
        <v>27</v>
      </c>
      <c r="EG24" s="425">
        <f t="shared" si="33"/>
        <v>27</v>
      </c>
      <c r="EH24" s="425">
        <f t="shared" si="33"/>
        <v>27</v>
      </c>
      <c r="EI24" s="425">
        <f t="shared" si="33"/>
        <v>27</v>
      </c>
      <c r="EJ24" s="425">
        <f t="shared" si="33"/>
        <v>27</v>
      </c>
      <c r="EK24" s="425">
        <f t="shared" si="33"/>
        <v>27</v>
      </c>
      <c r="EL24" s="425">
        <f t="shared" si="33"/>
        <v>27</v>
      </c>
      <c r="EM24" s="425">
        <f t="shared" si="33"/>
        <v>27</v>
      </c>
      <c r="EN24" s="425">
        <f t="shared" si="33"/>
        <v>27</v>
      </c>
      <c r="EO24" s="425">
        <f t="shared" si="33"/>
        <v>27</v>
      </c>
      <c r="EP24" s="425">
        <f t="shared" si="33"/>
        <v>27</v>
      </c>
      <c r="EQ24" s="425">
        <f t="shared" si="33"/>
        <v>27</v>
      </c>
      <c r="ER24" s="425">
        <f t="shared" si="33"/>
        <v>27</v>
      </c>
      <c r="ES24" s="425">
        <f t="shared" si="33"/>
        <v>27</v>
      </c>
      <c r="ET24" s="425">
        <f t="shared" si="33"/>
        <v>27</v>
      </c>
      <c r="EU24" s="425">
        <f t="shared" si="33"/>
        <v>27</v>
      </c>
      <c r="EV24" s="425">
        <f t="shared" si="34"/>
        <v>27</v>
      </c>
      <c r="EW24" s="425">
        <f t="shared" si="33"/>
        <v>27</v>
      </c>
      <c r="EX24" s="425">
        <f t="shared" si="33"/>
        <v>27</v>
      </c>
      <c r="EY24" s="425">
        <f t="shared" si="33"/>
        <v>27</v>
      </c>
      <c r="EZ24" s="425">
        <f t="shared" si="33"/>
        <v>27</v>
      </c>
    </row>
    <row r="25" spans="1:156" x14ac:dyDescent="0.2">
      <c r="B25" s="427" t="str">
        <f>Valid!B35</f>
        <v>Paving and sidewalks</v>
      </c>
      <c r="C25" s="425" t="e">
        <f t="shared" si="35"/>
        <v>#REF!</v>
      </c>
      <c r="D25" s="425" t="e">
        <f t="shared" si="11"/>
        <v>#REF!</v>
      </c>
      <c r="E25" s="425" t="e">
        <f t="shared" si="11"/>
        <v>#REF!</v>
      </c>
      <c r="F25" s="425" t="e">
        <f t="shared" si="11"/>
        <v>#REF!</v>
      </c>
      <c r="G25" s="425" t="e">
        <f t="shared" si="11"/>
        <v>#REF!</v>
      </c>
      <c r="H25" s="425" t="e">
        <f t="shared" si="11"/>
        <v>#REF!</v>
      </c>
      <c r="J25" s="425" t="str">
        <f>Valid!B61</f>
        <v>Plumbing Rough-In &amp; Finishes</v>
      </c>
      <c r="K25" s="425" t="e">
        <f t="shared" si="36"/>
        <v>#REF!</v>
      </c>
      <c r="L25" s="425" t="e">
        <f t="shared" si="12"/>
        <v>#REF!</v>
      </c>
      <c r="M25" s="425" t="e">
        <f t="shared" si="12"/>
        <v>#REF!</v>
      </c>
      <c r="N25" s="425" t="e">
        <f t="shared" si="12"/>
        <v>#REF!</v>
      </c>
      <c r="O25" s="425" t="e">
        <f t="shared" si="12"/>
        <v>#REF!</v>
      </c>
      <c r="Q25" s="425" t="str">
        <f>Valid!B49</f>
        <v>Plumbing Rough-In &amp; Finishes</v>
      </c>
      <c r="R25" s="425" t="e">
        <f t="shared" si="37"/>
        <v>#REF!</v>
      </c>
      <c r="S25" s="425" t="e">
        <f t="shared" si="13"/>
        <v>#REF!</v>
      </c>
      <c r="T25" s="425" t="e">
        <f t="shared" si="13"/>
        <v>#REF!</v>
      </c>
      <c r="V25" s="423" t="str">
        <f>Valid!B35</f>
        <v>Paving and sidewalks</v>
      </c>
      <c r="W25" s="425" t="e">
        <f t="shared" si="38"/>
        <v>#REF!</v>
      </c>
      <c r="X25" s="425" t="e">
        <f t="shared" si="14"/>
        <v>#REF!</v>
      </c>
      <c r="Y25" s="425" t="e">
        <f t="shared" si="15"/>
        <v>#REF!</v>
      </c>
      <c r="Z25" s="425" t="e">
        <f t="shared" si="16"/>
        <v>#REF!</v>
      </c>
      <c r="AA25" s="425" t="e">
        <f t="shared" si="17"/>
        <v>#REF!</v>
      </c>
      <c r="AB25" s="425" t="e">
        <f t="shared" si="18"/>
        <v>#REF!</v>
      </c>
      <c r="AD25" s="425" t="str">
        <f>Valid!B61</f>
        <v>Plumbing Rough-In &amp; Finishes</v>
      </c>
      <c r="AE25" s="425" t="e">
        <f t="shared" si="39"/>
        <v>#REF!</v>
      </c>
      <c r="AF25" s="425" t="e">
        <f t="shared" si="19"/>
        <v>#REF!</v>
      </c>
      <c r="AG25" s="425" t="e">
        <f t="shared" si="20"/>
        <v>#REF!</v>
      </c>
      <c r="AH25" s="425" t="e">
        <f t="shared" si="21"/>
        <v>#REF!</v>
      </c>
      <c r="AI25" s="425" t="e">
        <f t="shared" si="22"/>
        <v>#REF!</v>
      </c>
      <c r="AK25" s="425" t="str">
        <f>Valid!B49</f>
        <v>Plumbing Rough-In &amp; Finishes</v>
      </c>
      <c r="AL25" s="425" t="e">
        <f t="shared" si="40"/>
        <v>#REF!</v>
      </c>
      <c r="AM25" s="425" t="e">
        <f t="shared" si="23"/>
        <v>#REF!</v>
      </c>
      <c r="AN25" s="425" t="e">
        <f t="shared" si="24"/>
        <v>#REF!</v>
      </c>
      <c r="AP25" s="380" t="s">
        <v>650</v>
      </c>
      <c r="AQ25" s="406">
        <f t="shared" si="41"/>
        <v>29</v>
      </c>
      <c r="AR25" s="406">
        <f t="shared" si="41"/>
        <v>29</v>
      </c>
      <c r="AS25" s="380">
        <f t="shared" si="42"/>
        <v>29</v>
      </c>
      <c r="AT25" s="380">
        <f t="shared" si="43"/>
        <v>29</v>
      </c>
      <c r="AU25" s="380">
        <f t="shared" si="44"/>
        <v>29</v>
      </c>
      <c r="AV25" s="380">
        <f t="shared" si="45"/>
        <v>29</v>
      </c>
      <c r="AW25" s="380">
        <f t="shared" si="46"/>
        <v>29</v>
      </c>
      <c r="AX25" s="380">
        <f t="shared" si="47"/>
        <v>29</v>
      </c>
      <c r="AY25" s="380">
        <f t="shared" si="48"/>
        <v>29</v>
      </c>
      <c r="AZ25" s="380">
        <f t="shared" si="49"/>
        <v>29</v>
      </c>
      <c r="BA25" s="380">
        <f t="shared" si="50"/>
        <v>29</v>
      </c>
      <c r="BB25" s="380">
        <f t="shared" si="51"/>
        <v>29</v>
      </c>
      <c r="BC25" s="380">
        <f t="shared" si="52"/>
        <v>29</v>
      </c>
      <c r="BD25" s="407">
        <f t="shared" si="52"/>
        <v>29</v>
      </c>
      <c r="BG25" s="380" t="s">
        <v>650</v>
      </c>
      <c r="BH25" s="406">
        <f t="shared" si="53"/>
        <v>29</v>
      </c>
      <c r="BI25" s="406">
        <f t="shared" si="53"/>
        <v>29</v>
      </c>
      <c r="BJ25" s="380">
        <f t="shared" si="54"/>
        <v>29</v>
      </c>
      <c r="BK25" s="380">
        <f t="shared" si="55"/>
        <v>29</v>
      </c>
      <c r="BL25" s="380">
        <f t="shared" si="56"/>
        <v>29</v>
      </c>
      <c r="BM25" s="380">
        <f t="shared" si="57"/>
        <v>29</v>
      </c>
      <c r="BN25" s="380">
        <f t="shared" si="57"/>
        <v>29</v>
      </c>
      <c r="BO25" s="380">
        <f t="shared" si="58"/>
        <v>29</v>
      </c>
      <c r="BP25" s="380">
        <f t="shared" si="59"/>
        <v>29</v>
      </c>
      <c r="BQ25" s="380">
        <f t="shared" si="60"/>
        <v>29</v>
      </c>
      <c r="BR25" s="380">
        <f t="shared" si="61"/>
        <v>29</v>
      </c>
      <c r="BS25" s="380">
        <f t="shared" si="62"/>
        <v>29</v>
      </c>
      <c r="BT25" s="380">
        <f t="shared" si="62"/>
        <v>29</v>
      </c>
      <c r="BU25" s="380">
        <f t="shared" si="63"/>
        <v>29</v>
      </c>
      <c r="BV25" s="380">
        <f t="shared" si="64"/>
        <v>29</v>
      </c>
      <c r="BW25" s="380">
        <f t="shared" si="65"/>
        <v>29</v>
      </c>
      <c r="BX25" s="407">
        <f t="shared" si="27"/>
        <v>29</v>
      </c>
      <c r="CA25" s="448"/>
      <c r="CB25" s="425">
        <f>'A-50 FGRailInv'!$C$13</f>
        <v>0</v>
      </c>
      <c r="CC25" s="425" t="str">
        <f>Valid!$B$79</f>
        <v>Below-Grade/Submerged Tube</v>
      </c>
      <c r="CD25" s="446">
        <f>CD17</f>
        <v>13</v>
      </c>
      <c r="CE25" s="446">
        <f t="shared" si="28"/>
        <v>41</v>
      </c>
      <c r="CF25" s="446">
        <f t="shared" si="29"/>
        <v>41</v>
      </c>
      <c r="CG25" s="446">
        <f t="shared" si="30"/>
        <v>41</v>
      </c>
      <c r="CH25" s="446">
        <f t="shared" si="30"/>
        <v>41</v>
      </c>
      <c r="CI25" s="446">
        <f t="shared" si="30"/>
        <v>41</v>
      </c>
      <c r="CJ25" s="446">
        <f t="shared" si="30"/>
        <v>41</v>
      </c>
      <c r="CK25" s="446">
        <f t="shared" si="30"/>
        <v>41</v>
      </c>
      <c r="CL25" s="446">
        <f t="shared" si="30"/>
        <v>41</v>
      </c>
      <c r="CM25" s="446">
        <f t="shared" si="30"/>
        <v>41</v>
      </c>
      <c r="CN25" s="446">
        <f t="shared" si="30"/>
        <v>41</v>
      </c>
      <c r="CO25" s="446">
        <f t="shared" si="30"/>
        <v>41</v>
      </c>
      <c r="CP25" s="446">
        <f t="shared" si="30"/>
        <v>41</v>
      </c>
      <c r="CQ25" s="446">
        <f t="shared" si="30"/>
        <v>41</v>
      </c>
      <c r="CR25" s="446">
        <f t="shared" si="30"/>
        <v>41</v>
      </c>
      <c r="CS25" s="446">
        <f t="shared" si="7"/>
        <v>41</v>
      </c>
      <c r="CT25" s="446">
        <f t="shared" si="31"/>
        <v>41</v>
      </c>
      <c r="CU25" s="446">
        <f t="shared" si="31"/>
        <v>41</v>
      </c>
      <c r="CY25" s="425">
        <f>'A-55 TrackInv'!$C$44</f>
        <v>0</v>
      </c>
      <c r="CZ25" s="425" t="str">
        <f>Valid!$B$81</f>
        <v>Curve</v>
      </c>
      <c r="DA25" s="425">
        <f t="shared" ref="DA25:DA30" si="73">DA18+$DA$7</f>
        <v>44</v>
      </c>
      <c r="DB25" s="1283">
        <f>DB24+$DB$7</f>
        <v>52</v>
      </c>
      <c r="DC25" s="425">
        <f t="shared" si="8"/>
        <v>52</v>
      </c>
      <c r="DD25" s="425">
        <f t="shared" si="9"/>
        <v>52</v>
      </c>
      <c r="DE25" s="425">
        <f t="shared" si="9"/>
        <v>52</v>
      </c>
      <c r="DF25" s="425">
        <f t="shared" si="9"/>
        <v>52</v>
      </c>
      <c r="DJ25" s="380" t="s">
        <v>756</v>
      </c>
      <c r="DK25" s="425">
        <f t="shared" si="67"/>
        <v>29</v>
      </c>
      <c r="DL25" s="425">
        <f t="shared" ref="DL25:DS25" si="74">DK25</f>
        <v>29</v>
      </c>
      <c r="DM25" s="425">
        <f t="shared" si="74"/>
        <v>29</v>
      </c>
      <c r="DN25" s="425">
        <f t="shared" si="74"/>
        <v>29</v>
      </c>
      <c r="DO25" s="425">
        <f t="shared" si="74"/>
        <v>29</v>
      </c>
      <c r="DP25" s="425">
        <f t="shared" si="74"/>
        <v>29</v>
      </c>
      <c r="DQ25" s="425">
        <f t="shared" si="74"/>
        <v>29</v>
      </c>
      <c r="DR25" s="425">
        <f t="shared" si="74"/>
        <v>29</v>
      </c>
      <c r="DS25" s="425">
        <f t="shared" si="74"/>
        <v>29</v>
      </c>
      <c r="DU25" s="380" t="s">
        <v>756</v>
      </c>
      <c r="DV25" s="425">
        <f t="shared" si="66"/>
        <v>29</v>
      </c>
      <c r="DW25" s="425">
        <f t="shared" si="33"/>
        <v>29</v>
      </c>
      <c r="DX25" s="425">
        <f t="shared" si="33"/>
        <v>29</v>
      </c>
      <c r="DY25" s="425">
        <f t="shared" si="33"/>
        <v>29</v>
      </c>
      <c r="DZ25" s="425">
        <f t="shared" si="33"/>
        <v>29</v>
      </c>
      <c r="EA25" s="425">
        <f t="shared" si="33"/>
        <v>29</v>
      </c>
      <c r="EB25" s="425">
        <f t="shared" si="33"/>
        <v>29</v>
      </c>
      <c r="EC25" s="425">
        <f t="shared" si="33"/>
        <v>29</v>
      </c>
      <c r="ED25" s="425">
        <f t="shared" si="33"/>
        <v>29</v>
      </c>
      <c r="EE25" s="425">
        <f t="shared" si="33"/>
        <v>29</v>
      </c>
      <c r="EF25" s="425">
        <f t="shared" si="33"/>
        <v>29</v>
      </c>
      <c r="EG25" s="425">
        <f t="shared" si="33"/>
        <v>29</v>
      </c>
      <c r="EH25" s="425">
        <f t="shared" si="33"/>
        <v>29</v>
      </c>
      <c r="EI25" s="425">
        <f t="shared" si="33"/>
        <v>29</v>
      </c>
      <c r="EJ25" s="425">
        <f t="shared" si="33"/>
        <v>29</v>
      </c>
      <c r="EK25" s="425">
        <f t="shared" si="33"/>
        <v>29</v>
      </c>
      <c r="EL25" s="425">
        <f t="shared" si="33"/>
        <v>29</v>
      </c>
      <c r="EM25" s="425">
        <f t="shared" si="33"/>
        <v>29</v>
      </c>
      <c r="EN25" s="425">
        <f t="shared" si="33"/>
        <v>29</v>
      </c>
      <c r="EO25" s="425">
        <f t="shared" si="33"/>
        <v>29</v>
      </c>
      <c r="EP25" s="425">
        <f t="shared" si="33"/>
        <v>29</v>
      </c>
      <c r="EQ25" s="425">
        <f t="shared" si="33"/>
        <v>29</v>
      </c>
      <c r="ER25" s="425">
        <f t="shared" si="33"/>
        <v>29</v>
      </c>
      <c r="ES25" s="425">
        <f t="shared" si="33"/>
        <v>29</v>
      </c>
      <c r="ET25" s="425">
        <f t="shared" si="33"/>
        <v>29</v>
      </c>
      <c r="EU25" s="425">
        <f t="shared" si="33"/>
        <v>29</v>
      </c>
      <c r="EV25" s="425">
        <f t="shared" si="34"/>
        <v>29</v>
      </c>
      <c r="EW25" s="425">
        <f t="shared" si="33"/>
        <v>29</v>
      </c>
      <c r="EX25" s="425">
        <f t="shared" si="33"/>
        <v>29</v>
      </c>
      <c r="EY25" s="425">
        <f t="shared" si="33"/>
        <v>29</v>
      </c>
      <c r="EZ25" s="425">
        <f t="shared" si="33"/>
        <v>29</v>
      </c>
    </row>
    <row r="26" spans="1:156" x14ac:dyDescent="0.2">
      <c r="B26" s="427" t="str">
        <f>Valid!B36</f>
        <v>Canopy</v>
      </c>
      <c r="C26" s="425" t="e">
        <f t="shared" si="35"/>
        <v>#REF!</v>
      </c>
      <c r="D26" s="425" t="e">
        <f t="shared" si="11"/>
        <v>#REF!</v>
      </c>
      <c r="E26" s="425" t="e">
        <f t="shared" si="11"/>
        <v>#REF!</v>
      </c>
      <c r="F26" s="425" t="e">
        <f t="shared" si="11"/>
        <v>#REF!</v>
      </c>
      <c r="G26" s="425" t="e">
        <f t="shared" si="11"/>
        <v>#REF!</v>
      </c>
      <c r="H26" s="425" t="e">
        <f t="shared" si="11"/>
        <v>#REF!</v>
      </c>
      <c r="J26" s="425" t="str">
        <f>Valid!B62</f>
        <v xml:space="preserve">Roofing </v>
      </c>
      <c r="K26" s="425" t="e">
        <f t="shared" si="36"/>
        <v>#REF!</v>
      </c>
      <c r="L26" s="425" t="e">
        <f t="shared" si="12"/>
        <v>#REF!</v>
      </c>
      <c r="M26" s="425" t="e">
        <f t="shared" si="12"/>
        <v>#REF!</v>
      </c>
      <c r="N26" s="425" t="e">
        <f t="shared" si="12"/>
        <v>#REF!</v>
      </c>
      <c r="O26" s="425" t="e">
        <f t="shared" si="12"/>
        <v>#REF!</v>
      </c>
      <c r="Q26" s="425" t="str">
        <f>Valid!B50</f>
        <v xml:space="preserve">Roofing </v>
      </c>
      <c r="R26" s="425" t="e">
        <f t="shared" si="37"/>
        <v>#REF!</v>
      </c>
      <c r="S26" s="425" t="e">
        <f t="shared" si="13"/>
        <v>#REF!</v>
      </c>
      <c r="T26" s="425" t="e">
        <f t="shared" si="13"/>
        <v>#REF!</v>
      </c>
      <c r="V26" s="423" t="str">
        <f>Valid!B36</f>
        <v>Canopy</v>
      </c>
      <c r="W26" s="425" t="e">
        <f t="shared" si="38"/>
        <v>#REF!</v>
      </c>
      <c r="X26" s="425" t="e">
        <f t="shared" si="14"/>
        <v>#REF!</v>
      </c>
      <c r="Y26" s="425" t="e">
        <f t="shared" si="15"/>
        <v>#REF!</v>
      </c>
      <c r="Z26" s="425" t="e">
        <f t="shared" si="16"/>
        <v>#REF!</v>
      </c>
      <c r="AA26" s="425" t="e">
        <f t="shared" si="17"/>
        <v>#REF!</v>
      </c>
      <c r="AB26" s="425" t="e">
        <f t="shared" si="18"/>
        <v>#REF!</v>
      </c>
      <c r="AD26" s="425" t="str">
        <f>Valid!B62</f>
        <v xml:space="preserve">Roofing </v>
      </c>
      <c r="AE26" s="425" t="e">
        <f t="shared" si="39"/>
        <v>#REF!</v>
      </c>
      <c r="AF26" s="425" t="e">
        <f t="shared" si="19"/>
        <v>#REF!</v>
      </c>
      <c r="AG26" s="425" t="e">
        <f t="shared" si="20"/>
        <v>#REF!</v>
      </c>
      <c r="AH26" s="425" t="e">
        <f t="shared" si="21"/>
        <v>#REF!</v>
      </c>
      <c r="AI26" s="425" t="e">
        <f t="shared" si="22"/>
        <v>#REF!</v>
      </c>
      <c r="AK26" s="425" t="str">
        <f>Valid!B50</f>
        <v xml:space="preserve">Roofing </v>
      </c>
      <c r="AL26" s="425" t="e">
        <f t="shared" si="40"/>
        <v>#REF!</v>
      </c>
      <c r="AM26" s="425" t="e">
        <f t="shared" si="23"/>
        <v>#REF!</v>
      </c>
      <c r="AN26" s="425" t="e">
        <f t="shared" si="24"/>
        <v>#REF!</v>
      </c>
      <c r="AP26" s="380" t="s">
        <v>651</v>
      </c>
      <c r="AQ26" s="406">
        <f t="shared" si="41"/>
        <v>31</v>
      </c>
      <c r="AR26" s="406">
        <f t="shared" si="41"/>
        <v>31</v>
      </c>
      <c r="AS26" s="380">
        <f t="shared" si="42"/>
        <v>31</v>
      </c>
      <c r="AT26" s="380">
        <f t="shared" si="43"/>
        <v>31</v>
      </c>
      <c r="AU26" s="380">
        <f t="shared" si="44"/>
        <v>31</v>
      </c>
      <c r="AV26" s="380">
        <f t="shared" si="45"/>
        <v>31</v>
      </c>
      <c r="AW26" s="380">
        <f t="shared" si="46"/>
        <v>31</v>
      </c>
      <c r="AX26" s="380">
        <f t="shared" si="47"/>
        <v>31</v>
      </c>
      <c r="AY26" s="380">
        <f t="shared" si="48"/>
        <v>31</v>
      </c>
      <c r="AZ26" s="380">
        <f t="shared" si="49"/>
        <v>31</v>
      </c>
      <c r="BA26" s="380">
        <f t="shared" si="50"/>
        <v>31</v>
      </c>
      <c r="BB26" s="380">
        <f t="shared" si="51"/>
        <v>31</v>
      </c>
      <c r="BC26" s="380">
        <f t="shared" si="52"/>
        <v>31</v>
      </c>
      <c r="BD26" s="407">
        <f t="shared" si="52"/>
        <v>31</v>
      </c>
      <c r="BG26" s="380" t="s">
        <v>651</v>
      </c>
      <c r="BH26" s="406">
        <f t="shared" si="53"/>
        <v>31</v>
      </c>
      <c r="BI26" s="406">
        <f t="shared" si="53"/>
        <v>31</v>
      </c>
      <c r="BJ26" s="380">
        <f t="shared" si="54"/>
        <v>31</v>
      </c>
      <c r="BK26" s="380">
        <f t="shared" si="55"/>
        <v>31</v>
      </c>
      <c r="BL26" s="380">
        <f t="shared" si="56"/>
        <v>31</v>
      </c>
      <c r="BM26" s="380">
        <f t="shared" si="57"/>
        <v>31</v>
      </c>
      <c r="BN26" s="380">
        <f t="shared" si="57"/>
        <v>31</v>
      </c>
      <c r="BO26" s="380">
        <f t="shared" si="58"/>
        <v>31</v>
      </c>
      <c r="BP26" s="380">
        <f t="shared" si="59"/>
        <v>31</v>
      </c>
      <c r="BQ26" s="380">
        <f t="shared" si="60"/>
        <v>31</v>
      </c>
      <c r="BR26" s="380">
        <f t="shared" si="61"/>
        <v>31</v>
      </c>
      <c r="BS26" s="380">
        <f t="shared" si="62"/>
        <v>31</v>
      </c>
      <c r="BT26" s="380">
        <f t="shared" si="62"/>
        <v>31</v>
      </c>
      <c r="BU26" s="380">
        <f t="shared" si="63"/>
        <v>31</v>
      </c>
      <c r="BV26" s="380">
        <f t="shared" si="64"/>
        <v>31</v>
      </c>
      <c r="BW26" s="380">
        <f t="shared" si="65"/>
        <v>31</v>
      </c>
      <c r="BX26" s="407">
        <f t="shared" si="27"/>
        <v>31</v>
      </c>
      <c r="CA26" s="448"/>
      <c r="CB26" s="425">
        <f>'A-50 FGRailInv'!$C$13</f>
        <v>0</v>
      </c>
      <c r="CC26" s="425" t="str">
        <f>Valid!$B$87</f>
        <v>Substation Building</v>
      </c>
      <c r="CD26" s="446">
        <f>CD17</f>
        <v>13</v>
      </c>
      <c r="CE26" s="1199">
        <f>CE25+$CE$8</f>
        <v>46</v>
      </c>
      <c r="CF26" s="446">
        <f t="shared" si="29"/>
        <v>46</v>
      </c>
      <c r="CG26" s="446">
        <f t="shared" ref="CG26:CO35" si="75">$CE26</f>
        <v>46</v>
      </c>
      <c r="CH26" s="446">
        <f t="shared" si="75"/>
        <v>46</v>
      </c>
      <c r="CI26" s="446">
        <f t="shared" si="75"/>
        <v>46</v>
      </c>
      <c r="CJ26" s="446">
        <f t="shared" si="75"/>
        <v>46</v>
      </c>
      <c r="CK26" s="446">
        <f t="shared" si="75"/>
        <v>46</v>
      </c>
      <c r="CL26" s="446">
        <f t="shared" si="75"/>
        <v>46</v>
      </c>
      <c r="CM26" s="446">
        <f t="shared" si="75"/>
        <v>46</v>
      </c>
      <c r="CN26" s="446">
        <f t="shared" si="75"/>
        <v>46</v>
      </c>
      <c r="CO26" s="446">
        <f t="shared" si="75"/>
        <v>46</v>
      </c>
      <c r="CP26" s="446">
        <f t="shared" ref="CP26:CU35" si="76">$CE26</f>
        <v>46</v>
      </c>
      <c r="CQ26" s="446">
        <f t="shared" si="76"/>
        <v>46</v>
      </c>
      <c r="CR26" s="446">
        <f t="shared" si="76"/>
        <v>46</v>
      </c>
      <c r="CS26" s="446">
        <f t="shared" si="76"/>
        <v>46</v>
      </c>
      <c r="CT26" s="446">
        <f t="shared" si="76"/>
        <v>46</v>
      </c>
      <c r="CU26" s="446">
        <f t="shared" si="76"/>
        <v>46</v>
      </c>
      <c r="CY26" s="425">
        <f>'A-55 TrackInv'!$C$44</f>
        <v>0</v>
      </c>
      <c r="CZ26" s="425" t="str">
        <f>Valid!$B$82</f>
        <v>Double Diamond Crossover</v>
      </c>
      <c r="DA26" s="425">
        <f t="shared" si="73"/>
        <v>44</v>
      </c>
      <c r="DB26" s="1283">
        <f>DB25+DB8</f>
        <v>58</v>
      </c>
      <c r="DC26" s="425">
        <f t="shared" si="8"/>
        <v>58</v>
      </c>
      <c r="DD26" s="425">
        <f t="shared" si="9"/>
        <v>58</v>
      </c>
      <c r="DE26" s="425">
        <f t="shared" si="9"/>
        <v>58</v>
      </c>
      <c r="DF26" s="425">
        <f t="shared" si="9"/>
        <v>58</v>
      </c>
      <c r="DJ26" s="380" t="s">
        <v>757</v>
      </c>
      <c r="DK26" s="425">
        <f t="shared" si="67"/>
        <v>31</v>
      </c>
      <c r="DL26" s="425">
        <f t="shared" ref="DL26:DS26" si="77">DK26</f>
        <v>31</v>
      </c>
      <c r="DM26" s="425">
        <f t="shared" si="77"/>
        <v>31</v>
      </c>
      <c r="DN26" s="425">
        <f t="shared" si="77"/>
        <v>31</v>
      </c>
      <c r="DO26" s="425">
        <f t="shared" si="77"/>
        <v>31</v>
      </c>
      <c r="DP26" s="425">
        <f t="shared" si="77"/>
        <v>31</v>
      </c>
      <c r="DQ26" s="425">
        <f t="shared" si="77"/>
        <v>31</v>
      </c>
      <c r="DR26" s="425">
        <f t="shared" si="77"/>
        <v>31</v>
      </c>
      <c r="DS26" s="425">
        <f t="shared" si="77"/>
        <v>31</v>
      </c>
      <c r="DU26" s="380" t="s">
        <v>757</v>
      </c>
      <c r="DV26" s="425">
        <f t="shared" si="66"/>
        <v>31</v>
      </c>
      <c r="DW26" s="425">
        <f t="shared" si="33"/>
        <v>31</v>
      </c>
      <c r="DX26" s="425">
        <f t="shared" si="33"/>
        <v>31</v>
      </c>
      <c r="DY26" s="425">
        <f t="shared" si="33"/>
        <v>31</v>
      </c>
      <c r="DZ26" s="425">
        <f t="shared" si="33"/>
        <v>31</v>
      </c>
      <c r="EA26" s="425">
        <f t="shared" si="33"/>
        <v>31</v>
      </c>
      <c r="EB26" s="425">
        <f t="shared" si="33"/>
        <v>31</v>
      </c>
      <c r="EC26" s="425">
        <f t="shared" si="33"/>
        <v>31</v>
      </c>
      <c r="ED26" s="425">
        <f t="shared" si="33"/>
        <v>31</v>
      </c>
      <c r="EE26" s="425">
        <f t="shared" si="33"/>
        <v>31</v>
      </c>
      <c r="EF26" s="425">
        <f t="shared" si="33"/>
        <v>31</v>
      </c>
      <c r="EG26" s="425">
        <f t="shared" si="33"/>
        <v>31</v>
      </c>
      <c r="EH26" s="425">
        <f t="shared" si="33"/>
        <v>31</v>
      </c>
      <c r="EI26" s="425">
        <f t="shared" si="33"/>
        <v>31</v>
      </c>
      <c r="EJ26" s="425">
        <f t="shared" si="33"/>
        <v>31</v>
      </c>
      <c r="EK26" s="425">
        <f t="shared" ref="EK26:EK89" si="78">EK25+2</f>
        <v>31</v>
      </c>
      <c r="EL26" s="425">
        <f t="shared" ref="EL26:EL89" si="79">EL25+2</f>
        <v>31</v>
      </c>
      <c r="EM26" s="425">
        <f t="shared" ref="EM26:EM89" si="80">EM25+2</f>
        <v>31</v>
      </c>
      <c r="EN26" s="425">
        <f t="shared" ref="EN26:EN89" si="81">EN25+2</f>
        <v>31</v>
      </c>
      <c r="EO26" s="425">
        <f t="shared" ref="EO26:EO89" si="82">EO25+2</f>
        <v>31</v>
      </c>
      <c r="EP26" s="425">
        <f t="shared" ref="EP26:EP89" si="83">EP25+2</f>
        <v>31</v>
      </c>
      <c r="EQ26" s="425">
        <f t="shared" ref="EQ26:EQ89" si="84">EQ25+2</f>
        <v>31</v>
      </c>
      <c r="ER26" s="425">
        <f t="shared" ref="ER26:ER89" si="85">ER25+2</f>
        <v>31</v>
      </c>
      <c r="ES26" s="425">
        <f t="shared" ref="ES26:ES89" si="86">ES25+2</f>
        <v>31</v>
      </c>
      <c r="ET26" s="425">
        <f t="shared" ref="ET26:ET89" si="87">ET25+2</f>
        <v>31</v>
      </c>
      <c r="EU26" s="425">
        <f t="shared" ref="EU26:EV89" si="88">EU25+2</f>
        <v>31</v>
      </c>
      <c r="EV26" s="425">
        <f t="shared" si="88"/>
        <v>31</v>
      </c>
      <c r="EW26" s="425">
        <f t="shared" ref="EW26:EW89" si="89">EW25+2</f>
        <v>31</v>
      </c>
      <c r="EX26" s="425">
        <f t="shared" ref="EX26:EX89" si="90">EX25+2</f>
        <v>31</v>
      </c>
      <c r="EY26" s="425">
        <f t="shared" ref="EY26:EY89" si="91">EY25+2</f>
        <v>31</v>
      </c>
      <c r="EZ26" s="425">
        <f t="shared" ref="EZ26:EZ89" si="92">EZ25+2</f>
        <v>31</v>
      </c>
    </row>
    <row r="27" spans="1:156" x14ac:dyDescent="0.2">
      <c r="B27" s="427" t="str">
        <f>Valid!B37</f>
        <v>Platform</v>
      </c>
      <c r="C27" s="425" t="e">
        <f t="shared" si="35"/>
        <v>#REF!</v>
      </c>
      <c r="D27" s="425" t="e">
        <f t="shared" si="11"/>
        <v>#REF!</v>
      </c>
      <c r="E27" s="425" t="e">
        <f t="shared" si="11"/>
        <v>#REF!</v>
      </c>
      <c r="F27" s="425" t="e">
        <f t="shared" si="11"/>
        <v>#REF!</v>
      </c>
      <c r="G27" s="425" t="e">
        <f t="shared" si="11"/>
        <v>#REF!</v>
      </c>
      <c r="H27" s="425" t="e">
        <f t="shared" si="11"/>
        <v>#REF!</v>
      </c>
      <c r="V27" s="423" t="str">
        <f>Valid!B37</f>
        <v>Platform</v>
      </c>
      <c r="W27" s="425" t="e">
        <f t="shared" si="38"/>
        <v>#REF!</v>
      </c>
      <c r="X27" s="425" t="e">
        <f t="shared" si="14"/>
        <v>#REF!</v>
      </c>
      <c r="Y27" s="425" t="e">
        <f t="shared" si="15"/>
        <v>#REF!</v>
      </c>
      <c r="Z27" s="425" t="e">
        <f t="shared" si="16"/>
        <v>#REF!</v>
      </c>
      <c r="AA27" s="425" t="e">
        <f t="shared" si="17"/>
        <v>#REF!</v>
      </c>
      <c r="AB27" s="425" t="e">
        <f t="shared" si="18"/>
        <v>#REF!</v>
      </c>
      <c r="AP27" s="380" t="s">
        <v>652</v>
      </c>
      <c r="AQ27" s="406">
        <f t="shared" si="41"/>
        <v>33</v>
      </c>
      <c r="AR27" s="406">
        <f t="shared" si="41"/>
        <v>33</v>
      </c>
      <c r="AS27" s="380">
        <f t="shared" si="42"/>
        <v>33</v>
      </c>
      <c r="AT27" s="380">
        <f t="shared" si="43"/>
        <v>33</v>
      </c>
      <c r="AU27" s="380">
        <f t="shared" si="44"/>
        <v>33</v>
      </c>
      <c r="AV27" s="380">
        <f t="shared" si="45"/>
        <v>33</v>
      </c>
      <c r="AW27" s="380">
        <f t="shared" si="46"/>
        <v>33</v>
      </c>
      <c r="AX27" s="380">
        <f t="shared" si="47"/>
        <v>33</v>
      </c>
      <c r="AY27" s="380">
        <f t="shared" si="48"/>
        <v>33</v>
      </c>
      <c r="AZ27" s="380">
        <f t="shared" si="49"/>
        <v>33</v>
      </c>
      <c r="BA27" s="380">
        <f t="shared" si="50"/>
        <v>33</v>
      </c>
      <c r="BB27" s="380">
        <f t="shared" si="51"/>
        <v>33</v>
      </c>
      <c r="BC27" s="380">
        <f t="shared" si="52"/>
        <v>33</v>
      </c>
      <c r="BD27" s="407">
        <f t="shared" si="52"/>
        <v>33</v>
      </c>
      <c r="BG27" s="380" t="s">
        <v>652</v>
      </c>
      <c r="BH27" s="406">
        <f t="shared" si="53"/>
        <v>33</v>
      </c>
      <c r="BI27" s="406">
        <f t="shared" si="53"/>
        <v>33</v>
      </c>
      <c r="BJ27" s="380">
        <f t="shared" si="54"/>
        <v>33</v>
      </c>
      <c r="BK27" s="380">
        <f t="shared" si="55"/>
        <v>33</v>
      </c>
      <c r="BL27" s="380">
        <f t="shared" si="56"/>
        <v>33</v>
      </c>
      <c r="BM27" s="380">
        <f t="shared" si="57"/>
        <v>33</v>
      </c>
      <c r="BN27" s="380">
        <f t="shared" si="57"/>
        <v>33</v>
      </c>
      <c r="BO27" s="380">
        <f t="shared" si="58"/>
        <v>33</v>
      </c>
      <c r="BP27" s="380">
        <f t="shared" si="59"/>
        <v>33</v>
      </c>
      <c r="BQ27" s="380">
        <f t="shared" si="60"/>
        <v>33</v>
      </c>
      <c r="BR27" s="380">
        <f t="shared" si="61"/>
        <v>33</v>
      </c>
      <c r="BS27" s="380">
        <f t="shared" si="62"/>
        <v>33</v>
      </c>
      <c r="BT27" s="380">
        <f t="shared" si="62"/>
        <v>33</v>
      </c>
      <c r="BU27" s="380">
        <f t="shared" si="63"/>
        <v>33</v>
      </c>
      <c r="BV27" s="380">
        <f t="shared" si="64"/>
        <v>33</v>
      </c>
      <c r="BW27" s="380">
        <f t="shared" si="65"/>
        <v>33</v>
      </c>
      <c r="BX27" s="407">
        <f t="shared" si="27"/>
        <v>33</v>
      </c>
      <c r="CA27" s="448"/>
      <c r="CB27" s="425">
        <f>'A-50 FGRailInv'!$C$13</f>
        <v>0</v>
      </c>
      <c r="CC27" s="425" t="str">
        <f>Valid!$B$88</f>
        <v>Substation Equipment</v>
      </c>
      <c r="CD27" s="446">
        <f>CD18</f>
        <v>13</v>
      </c>
      <c r="CE27" s="446">
        <f>CE26+$CE$7</f>
        <v>49</v>
      </c>
      <c r="CF27" s="446">
        <f t="shared" si="29"/>
        <v>49</v>
      </c>
      <c r="CG27" s="446">
        <f t="shared" si="75"/>
        <v>49</v>
      </c>
      <c r="CH27" s="446">
        <f t="shared" si="75"/>
        <v>49</v>
      </c>
      <c r="CI27" s="446">
        <f t="shared" si="75"/>
        <v>49</v>
      </c>
      <c r="CJ27" s="446">
        <f t="shared" si="75"/>
        <v>49</v>
      </c>
      <c r="CK27" s="446">
        <f t="shared" si="75"/>
        <v>49</v>
      </c>
      <c r="CL27" s="446">
        <f t="shared" si="75"/>
        <v>49</v>
      </c>
      <c r="CM27" s="446">
        <f t="shared" si="75"/>
        <v>49</v>
      </c>
      <c r="CN27" s="446">
        <f t="shared" si="75"/>
        <v>49</v>
      </c>
      <c r="CO27" s="446">
        <f t="shared" si="75"/>
        <v>49</v>
      </c>
      <c r="CP27" s="446">
        <f t="shared" si="76"/>
        <v>49</v>
      </c>
      <c r="CQ27" s="446">
        <f t="shared" si="76"/>
        <v>49</v>
      </c>
      <c r="CR27" s="446">
        <f t="shared" si="76"/>
        <v>49</v>
      </c>
      <c r="CS27" s="446">
        <f t="shared" si="76"/>
        <v>49</v>
      </c>
      <c r="CT27" s="446">
        <f t="shared" si="76"/>
        <v>49</v>
      </c>
      <c r="CU27" s="446">
        <f t="shared" si="76"/>
        <v>49</v>
      </c>
      <c r="CY27" s="425">
        <f>'A-55 TrackInv'!$C$44</f>
        <v>0</v>
      </c>
      <c r="CZ27" s="425" t="str">
        <f>Valid!$B$83</f>
        <v>Single Crossover</v>
      </c>
      <c r="DA27" s="425">
        <f t="shared" si="73"/>
        <v>44</v>
      </c>
      <c r="DB27" s="1283">
        <f>DB26+$DB$7</f>
        <v>60</v>
      </c>
      <c r="DC27" s="425">
        <f t="shared" si="8"/>
        <v>60</v>
      </c>
      <c r="DD27" s="425">
        <f t="shared" si="9"/>
        <v>60</v>
      </c>
      <c r="DE27" s="425">
        <f t="shared" si="9"/>
        <v>60</v>
      </c>
      <c r="DF27" s="425">
        <f t="shared" si="9"/>
        <v>60</v>
      </c>
      <c r="DJ27" s="380" t="s">
        <v>758</v>
      </c>
      <c r="DK27" s="425">
        <f t="shared" si="67"/>
        <v>33</v>
      </c>
      <c r="DL27" s="425">
        <f t="shared" ref="DL27:DS27" si="93">DK27</f>
        <v>33</v>
      </c>
      <c r="DM27" s="425">
        <f t="shared" si="93"/>
        <v>33</v>
      </c>
      <c r="DN27" s="425">
        <f t="shared" si="93"/>
        <v>33</v>
      </c>
      <c r="DO27" s="425">
        <f t="shared" si="93"/>
        <v>33</v>
      </c>
      <c r="DP27" s="425">
        <f t="shared" si="93"/>
        <v>33</v>
      </c>
      <c r="DQ27" s="425">
        <f t="shared" si="93"/>
        <v>33</v>
      </c>
      <c r="DR27" s="425">
        <f t="shared" si="93"/>
        <v>33</v>
      </c>
      <c r="DS27" s="425">
        <f t="shared" si="93"/>
        <v>33</v>
      </c>
      <c r="DU27" s="380" t="s">
        <v>758</v>
      </c>
      <c r="DV27" s="425">
        <f t="shared" si="66"/>
        <v>33</v>
      </c>
      <c r="DW27" s="425">
        <f t="shared" ref="DW27:DW90" si="94">DW26+2</f>
        <v>33</v>
      </c>
      <c r="DX27" s="425">
        <f t="shared" ref="DX27:DX90" si="95">DX26+2</f>
        <v>33</v>
      </c>
      <c r="DY27" s="425">
        <f t="shared" ref="DY27:DY90" si="96">DY26+2</f>
        <v>33</v>
      </c>
      <c r="DZ27" s="425">
        <f t="shared" ref="DZ27:DZ90" si="97">DZ26+2</f>
        <v>33</v>
      </c>
      <c r="EA27" s="425">
        <f t="shared" ref="EA27:EA90" si="98">EA26+2</f>
        <v>33</v>
      </c>
      <c r="EB27" s="425">
        <f t="shared" ref="EB27:EB90" si="99">EB26+2</f>
        <v>33</v>
      </c>
      <c r="EC27" s="425">
        <f t="shared" ref="EC27:EC90" si="100">EC26+2</f>
        <v>33</v>
      </c>
      <c r="ED27" s="425">
        <f t="shared" ref="ED27:ED90" si="101">ED26+2</f>
        <v>33</v>
      </c>
      <c r="EE27" s="425">
        <f t="shared" ref="EE27:EE90" si="102">EE26+2</f>
        <v>33</v>
      </c>
      <c r="EF27" s="425">
        <f t="shared" ref="EF27:EF90" si="103">EF26+2</f>
        <v>33</v>
      </c>
      <c r="EG27" s="425">
        <f t="shared" ref="EG27:EG90" si="104">EG26+2</f>
        <v>33</v>
      </c>
      <c r="EH27" s="425">
        <f t="shared" ref="EH27:EH90" si="105">EH26+2</f>
        <v>33</v>
      </c>
      <c r="EI27" s="425">
        <f t="shared" ref="EI27:EI90" si="106">EI26+2</f>
        <v>33</v>
      </c>
      <c r="EJ27" s="425">
        <f t="shared" ref="EJ27:EJ90" si="107">EJ26+2</f>
        <v>33</v>
      </c>
      <c r="EK27" s="425">
        <f t="shared" si="78"/>
        <v>33</v>
      </c>
      <c r="EL27" s="425">
        <f t="shared" si="79"/>
        <v>33</v>
      </c>
      <c r="EM27" s="425">
        <f t="shared" si="80"/>
        <v>33</v>
      </c>
      <c r="EN27" s="425">
        <f t="shared" si="81"/>
        <v>33</v>
      </c>
      <c r="EO27" s="425">
        <f t="shared" si="82"/>
        <v>33</v>
      </c>
      <c r="EP27" s="425">
        <f t="shared" si="83"/>
        <v>33</v>
      </c>
      <c r="EQ27" s="425">
        <f t="shared" si="84"/>
        <v>33</v>
      </c>
      <c r="ER27" s="425">
        <f t="shared" si="85"/>
        <v>33</v>
      </c>
      <c r="ES27" s="425">
        <f t="shared" si="86"/>
        <v>33</v>
      </c>
      <c r="ET27" s="425">
        <f t="shared" si="87"/>
        <v>33</v>
      </c>
      <c r="EU27" s="425">
        <f t="shared" si="88"/>
        <v>33</v>
      </c>
      <c r="EV27" s="425">
        <f t="shared" si="88"/>
        <v>33</v>
      </c>
      <c r="EW27" s="425">
        <f t="shared" si="89"/>
        <v>33</v>
      </c>
      <c r="EX27" s="425">
        <f t="shared" si="90"/>
        <v>33</v>
      </c>
      <c r="EY27" s="425">
        <f t="shared" si="91"/>
        <v>33</v>
      </c>
      <c r="EZ27" s="425">
        <f t="shared" si="92"/>
        <v>33</v>
      </c>
    </row>
    <row r="28" spans="1:156" x14ac:dyDescent="0.2">
      <c r="B28" s="427" t="str">
        <f>Valid!B38</f>
        <v>Elevated Pedestrian Walkway</v>
      </c>
      <c r="C28" s="425" t="e">
        <f t="shared" si="35"/>
        <v>#REF!</v>
      </c>
      <c r="D28" s="425" t="e">
        <f t="shared" si="11"/>
        <v>#REF!</v>
      </c>
      <c r="E28" s="425" t="e">
        <f t="shared" si="11"/>
        <v>#REF!</v>
      </c>
      <c r="F28" s="425" t="e">
        <f t="shared" si="11"/>
        <v>#REF!</v>
      </c>
      <c r="G28" s="425" t="e">
        <f t="shared" si="11"/>
        <v>#REF!</v>
      </c>
      <c r="H28" s="425" t="e">
        <f t="shared" si="11"/>
        <v>#REF!</v>
      </c>
      <c r="V28" s="423" t="str">
        <f>Valid!B38</f>
        <v>Elevated Pedestrian Walkway</v>
      </c>
      <c r="W28" s="425" t="e">
        <f t="shared" si="38"/>
        <v>#REF!</v>
      </c>
      <c r="X28" s="425" t="e">
        <f t="shared" si="14"/>
        <v>#REF!</v>
      </c>
      <c r="Y28" s="425" t="e">
        <f t="shared" si="15"/>
        <v>#REF!</v>
      </c>
      <c r="Z28" s="425" t="e">
        <f t="shared" si="16"/>
        <v>#REF!</v>
      </c>
      <c r="AA28" s="425" t="e">
        <f t="shared" si="17"/>
        <v>#REF!</v>
      </c>
      <c r="AB28" s="425" t="e">
        <f t="shared" si="18"/>
        <v>#REF!</v>
      </c>
      <c r="AP28" s="380" t="s">
        <v>653</v>
      </c>
      <c r="AQ28" s="406">
        <f t="shared" si="41"/>
        <v>35</v>
      </c>
      <c r="AR28" s="406">
        <f t="shared" si="41"/>
        <v>35</v>
      </c>
      <c r="AS28" s="380">
        <f t="shared" si="42"/>
        <v>35</v>
      </c>
      <c r="AT28" s="380">
        <f t="shared" si="43"/>
        <v>35</v>
      </c>
      <c r="AU28" s="380">
        <f t="shared" si="44"/>
        <v>35</v>
      </c>
      <c r="AV28" s="380">
        <f t="shared" si="45"/>
        <v>35</v>
      </c>
      <c r="AW28" s="380">
        <f t="shared" si="46"/>
        <v>35</v>
      </c>
      <c r="AX28" s="380">
        <f t="shared" si="47"/>
        <v>35</v>
      </c>
      <c r="AY28" s="380">
        <f t="shared" si="48"/>
        <v>35</v>
      </c>
      <c r="AZ28" s="380">
        <f t="shared" si="49"/>
        <v>35</v>
      </c>
      <c r="BA28" s="380">
        <f t="shared" si="50"/>
        <v>35</v>
      </c>
      <c r="BB28" s="380">
        <f t="shared" si="51"/>
        <v>35</v>
      </c>
      <c r="BC28" s="380">
        <f t="shared" si="52"/>
        <v>35</v>
      </c>
      <c r="BD28" s="407">
        <f t="shared" si="52"/>
        <v>35</v>
      </c>
      <c r="BG28" s="380" t="s">
        <v>653</v>
      </c>
      <c r="BH28" s="406">
        <f t="shared" si="53"/>
        <v>35</v>
      </c>
      <c r="BI28" s="406">
        <f t="shared" si="53"/>
        <v>35</v>
      </c>
      <c r="BJ28" s="380">
        <f t="shared" si="54"/>
        <v>35</v>
      </c>
      <c r="BK28" s="380">
        <f t="shared" si="55"/>
        <v>35</v>
      </c>
      <c r="BL28" s="380">
        <f t="shared" si="56"/>
        <v>35</v>
      </c>
      <c r="BM28" s="380">
        <f t="shared" si="57"/>
        <v>35</v>
      </c>
      <c r="BN28" s="380">
        <f t="shared" si="57"/>
        <v>35</v>
      </c>
      <c r="BO28" s="380">
        <f t="shared" si="58"/>
        <v>35</v>
      </c>
      <c r="BP28" s="380">
        <f t="shared" si="59"/>
        <v>35</v>
      </c>
      <c r="BQ28" s="380">
        <f t="shared" si="60"/>
        <v>35</v>
      </c>
      <c r="BR28" s="380">
        <f t="shared" si="61"/>
        <v>35</v>
      </c>
      <c r="BS28" s="380">
        <f t="shared" si="62"/>
        <v>35</v>
      </c>
      <c r="BT28" s="380">
        <f t="shared" si="62"/>
        <v>35</v>
      </c>
      <c r="BU28" s="380">
        <f t="shared" si="63"/>
        <v>35</v>
      </c>
      <c r="BV28" s="380">
        <f t="shared" si="64"/>
        <v>35</v>
      </c>
      <c r="BW28" s="380">
        <f t="shared" si="65"/>
        <v>35</v>
      </c>
      <c r="BX28" s="407">
        <f t="shared" si="27"/>
        <v>35</v>
      </c>
      <c r="CA28" s="448"/>
      <c r="CB28" s="425">
        <f>'A-50 FGRailInv'!$C$13</f>
        <v>0</v>
      </c>
      <c r="CC28" s="425" t="str">
        <f>Valid!$B$89</f>
        <v>Third Rail/Power Distribution</v>
      </c>
      <c r="CD28" s="446">
        <f>CD19</f>
        <v>13</v>
      </c>
      <c r="CE28" s="446">
        <f>CE27+$CE$7</f>
        <v>52</v>
      </c>
      <c r="CF28" s="446">
        <f t="shared" si="29"/>
        <v>52</v>
      </c>
      <c r="CG28" s="446">
        <f t="shared" si="75"/>
        <v>52</v>
      </c>
      <c r="CH28" s="446">
        <f t="shared" si="75"/>
        <v>52</v>
      </c>
      <c r="CI28" s="446">
        <f t="shared" si="75"/>
        <v>52</v>
      </c>
      <c r="CJ28" s="446">
        <f t="shared" si="75"/>
        <v>52</v>
      </c>
      <c r="CK28" s="446">
        <f t="shared" si="75"/>
        <v>52</v>
      </c>
      <c r="CL28" s="446">
        <f t="shared" si="75"/>
        <v>52</v>
      </c>
      <c r="CM28" s="446">
        <f t="shared" si="75"/>
        <v>52</v>
      </c>
      <c r="CN28" s="446">
        <f t="shared" si="75"/>
        <v>52</v>
      </c>
      <c r="CO28" s="446">
        <f t="shared" si="75"/>
        <v>52</v>
      </c>
      <c r="CP28" s="446">
        <f t="shared" si="76"/>
        <v>52</v>
      </c>
      <c r="CQ28" s="446">
        <f t="shared" si="76"/>
        <v>52</v>
      </c>
      <c r="CR28" s="446">
        <f t="shared" si="76"/>
        <v>52</v>
      </c>
      <c r="CS28" s="446">
        <f t="shared" si="76"/>
        <v>52</v>
      </c>
      <c r="CT28" s="446">
        <f t="shared" si="76"/>
        <v>52</v>
      </c>
      <c r="CU28" s="446">
        <f t="shared" si="76"/>
        <v>52</v>
      </c>
      <c r="CY28" s="425">
        <f>'A-55 TrackInv'!$C$44</f>
        <v>0</v>
      </c>
      <c r="CZ28" s="425" t="str">
        <f>Valid!$B$84</f>
        <v>Half Grand Union</v>
      </c>
      <c r="DA28" s="425">
        <f t="shared" si="73"/>
        <v>44</v>
      </c>
      <c r="DB28" s="1283">
        <f>DB27+$DB$7</f>
        <v>62</v>
      </c>
      <c r="DC28" s="425">
        <f t="shared" si="8"/>
        <v>62</v>
      </c>
      <c r="DD28" s="425">
        <f t="shared" si="9"/>
        <v>62</v>
      </c>
      <c r="DE28" s="425">
        <f t="shared" si="9"/>
        <v>62</v>
      </c>
      <c r="DF28" s="425">
        <f t="shared" si="9"/>
        <v>62</v>
      </c>
      <c r="DJ28" s="380" t="s">
        <v>759</v>
      </c>
      <c r="DK28" s="425">
        <f t="shared" si="67"/>
        <v>35</v>
      </c>
      <c r="DL28" s="425">
        <f t="shared" ref="DL28:DS28" si="108">DK28</f>
        <v>35</v>
      </c>
      <c r="DM28" s="425">
        <f t="shared" si="108"/>
        <v>35</v>
      </c>
      <c r="DN28" s="425">
        <f t="shared" si="108"/>
        <v>35</v>
      </c>
      <c r="DO28" s="425">
        <f t="shared" si="108"/>
        <v>35</v>
      </c>
      <c r="DP28" s="425">
        <f t="shared" si="108"/>
        <v>35</v>
      </c>
      <c r="DQ28" s="425">
        <f t="shared" si="108"/>
        <v>35</v>
      </c>
      <c r="DR28" s="425">
        <f t="shared" si="108"/>
        <v>35</v>
      </c>
      <c r="DS28" s="425">
        <f t="shared" si="108"/>
        <v>35</v>
      </c>
      <c r="DU28" s="380" t="s">
        <v>759</v>
      </c>
      <c r="DV28" s="425">
        <f t="shared" si="66"/>
        <v>35</v>
      </c>
      <c r="DW28" s="425">
        <f t="shared" si="94"/>
        <v>35</v>
      </c>
      <c r="DX28" s="425">
        <f t="shared" si="95"/>
        <v>35</v>
      </c>
      <c r="DY28" s="425">
        <f t="shared" si="96"/>
        <v>35</v>
      </c>
      <c r="DZ28" s="425">
        <f t="shared" si="97"/>
        <v>35</v>
      </c>
      <c r="EA28" s="425">
        <f t="shared" si="98"/>
        <v>35</v>
      </c>
      <c r="EB28" s="425">
        <f t="shared" si="99"/>
        <v>35</v>
      </c>
      <c r="EC28" s="425">
        <f t="shared" si="100"/>
        <v>35</v>
      </c>
      <c r="ED28" s="425">
        <f t="shared" si="101"/>
        <v>35</v>
      </c>
      <c r="EE28" s="425">
        <f t="shared" si="102"/>
        <v>35</v>
      </c>
      <c r="EF28" s="425">
        <f t="shared" si="103"/>
        <v>35</v>
      </c>
      <c r="EG28" s="425">
        <f t="shared" si="104"/>
        <v>35</v>
      </c>
      <c r="EH28" s="425">
        <f t="shared" si="105"/>
        <v>35</v>
      </c>
      <c r="EI28" s="425">
        <f t="shared" si="106"/>
        <v>35</v>
      </c>
      <c r="EJ28" s="425">
        <f t="shared" si="107"/>
        <v>35</v>
      </c>
      <c r="EK28" s="425">
        <f t="shared" si="78"/>
        <v>35</v>
      </c>
      <c r="EL28" s="425">
        <f t="shared" si="79"/>
        <v>35</v>
      </c>
      <c r="EM28" s="425">
        <f t="shared" si="80"/>
        <v>35</v>
      </c>
      <c r="EN28" s="425">
        <f t="shared" si="81"/>
        <v>35</v>
      </c>
      <c r="EO28" s="425">
        <f t="shared" si="82"/>
        <v>35</v>
      </c>
      <c r="EP28" s="425">
        <f t="shared" si="83"/>
        <v>35</v>
      </c>
      <c r="EQ28" s="425">
        <f t="shared" si="84"/>
        <v>35</v>
      </c>
      <c r="ER28" s="425">
        <f t="shared" si="85"/>
        <v>35</v>
      </c>
      <c r="ES28" s="425">
        <f t="shared" si="86"/>
        <v>35</v>
      </c>
      <c r="ET28" s="425">
        <f t="shared" si="87"/>
        <v>35</v>
      </c>
      <c r="EU28" s="425">
        <f t="shared" si="88"/>
        <v>35</v>
      </c>
      <c r="EV28" s="425">
        <f t="shared" si="88"/>
        <v>35</v>
      </c>
      <c r="EW28" s="425">
        <f t="shared" si="89"/>
        <v>35</v>
      </c>
      <c r="EX28" s="425">
        <f t="shared" si="90"/>
        <v>35</v>
      </c>
      <c r="EY28" s="425">
        <f t="shared" si="91"/>
        <v>35</v>
      </c>
      <c r="EZ28" s="425">
        <f t="shared" si="92"/>
        <v>35</v>
      </c>
    </row>
    <row r="29" spans="1:156" x14ac:dyDescent="0.2">
      <c r="AP29" s="380" t="s">
        <v>654</v>
      </c>
      <c r="AQ29" s="406">
        <f t="shared" si="41"/>
        <v>37</v>
      </c>
      <c r="AR29" s="406">
        <f t="shared" si="41"/>
        <v>37</v>
      </c>
      <c r="AS29" s="380">
        <f t="shared" si="42"/>
        <v>37</v>
      </c>
      <c r="AT29" s="380">
        <f t="shared" si="43"/>
        <v>37</v>
      </c>
      <c r="AU29" s="380">
        <f t="shared" si="44"/>
        <v>37</v>
      </c>
      <c r="AV29" s="380">
        <f t="shared" si="45"/>
        <v>37</v>
      </c>
      <c r="AW29" s="380">
        <f t="shared" si="46"/>
        <v>37</v>
      </c>
      <c r="AX29" s="380">
        <f t="shared" si="47"/>
        <v>37</v>
      </c>
      <c r="AY29" s="380">
        <f t="shared" si="48"/>
        <v>37</v>
      </c>
      <c r="AZ29" s="380">
        <f t="shared" si="49"/>
        <v>37</v>
      </c>
      <c r="BA29" s="380">
        <f t="shared" si="50"/>
        <v>37</v>
      </c>
      <c r="BB29" s="380">
        <f t="shared" si="51"/>
        <v>37</v>
      </c>
      <c r="BC29" s="380">
        <f t="shared" si="52"/>
        <v>37</v>
      </c>
      <c r="BD29" s="407">
        <f t="shared" si="52"/>
        <v>37</v>
      </c>
      <c r="BG29" s="380" t="s">
        <v>654</v>
      </c>
      <c r="BH29" s="406">
        <f t="shared" si="53"/>
        <v>37</v>
      </c>
      <c r="BI29" s="406">
        <f t="shared" si="53"/>
        <v>37</v>
      </c>
      <c r="BJ29" s="380">
        <f t="shared" si="54"/>
        <v>37</v>
      </c>
      <c r="BK29" s="380">
        <f t="shared" si="55"/>
        <v>37</v>
      </c>
      <c r="BL29" s="380">
        <f t="shared" si="56"/>
        <v>37</v>
      </c>
      <c r="BM29" s="380">
        <f t="shared" si="57"/>
        <v>37</v>
      </c>
      <c r="BN29" s="380">
        <f t="shared" si="57"/>
        <v>37</v>
      </c>
      <c r="BO29" s="380">
        <f t="shared" si="58"/>
        <v>37</v>
      </c>
      <c r="BP29" s="380">
        <f t="shared" si="59"/>
        <v>37</v>
      </c>
      <c r="BQ29" s="380">
        <f t="shared" si="60"/>
        <v>37</v>
      </c>
      <c r="BR29" s="380">
        <f t="shared" si="61"/>
        <v>37</v>
      </c>
      <c r="BS29" s="380">
        <f t="shared" si="62"/>
        <v>37</v>
      </c>
      <c r="BT29" s="380">
        <f t="shared" si="62"/>
        <v>37</v>
      </c>
      <c r="BU29" s="380">
        <f t="shared" si="63"/>
        <v>37</v>
      </c>
      <c r="BV29" s="380">
        <f t="shared" si="64"/>
        <v>37</v>
      </c>
      <c r="BW29" s="380">
        <f t="shared" si="65"/>
        <v>37</v>
      </c>
      <c r="BX29" s="407">
        <f t="shared" si="27"/>
        <v>37</v>
      </c>
      <c r="CA29" s="448"/>
      <c r="CB29" s="425">
        <f>'A-50 FGRailInv'!$C$13</f>
        <v>0</v>
      </c>
      <c r="CC29" s="425" t="str">
        <f>Valid!$B$90</f>
        <v>Overhead Contact System/Power Distribution</v>
      </c>
      <c r="CD29" s="446">
        <f>CD20</f>
        <v>13</v>
      </c>
      <c r="CE29" s="446">
        <f>CE28+$CE$7</f>
        <v>55</v>
      </c>
      <c r="CF29" s="446">
        <f t="shared" si="29"/>
        <v>55</v>
      </c>
      <c r="CG29" s="446">
        <f t="shared" si="75"/>
        <v>55</v>
      </c>
      <c r="CH29" s="446">
        <f t="shared" si="75"/>
        <v>55</v>
      </c>
      <c r="CI29" s="446">
        <f t="shared" si="75"/>
        <v>55</v>
      </c>
      <c r="CJ29" s="446">
        <f t="shared" si="75"/>
        <v>55</v>
      </c>
      <c r="CK29" s="446">
        <f t="shared" si="75"/>
        <v>55</v>
      </c>
      <c r="CL29" s="446">
        <f t="shared" si="75"/>
        <v>55</v>
      </c>
      <c r="CM29" s="446">
        <f t="shared" si="75"/>
        <v>55</v>
      </c>
      <c r="CN29" s="446">
        <f t="shared" si="75"/>
        <v>55</v>
      </c>
      <c r="CO29" s="446">
        <f t="shared" si="75"/>
        <v>55</v>
      </c>
      <c r="CP29" s="446">
        <f t="shared" si="76"/>
        <v>55</v>
      </c>
      <c r="CQ29" s="446">
        <f t="shared" si="76"/>
        <v>55</v>
      </c>
      <c r="CR29" s="446">
        <f t="shared" si="76"/>
        <v>55</v>
      </c>
      <c r="CS29" s="446">
        <f t="shared" si="76"/>
        <v>55</v>
      </c>
      <c r="CT29" s="446">
        <f t="shared" si="76"/>
        <v>55</v>
      </c>
      <c r="CU29" s="446">
        <f t="shared" si="76"/>
        <v>55</v>
      </c>
      <c r="CY29" s="425">
        <f>'A-55 TrackInv'!$C$44</f>
        <v>0</v>
      </c>
      <c r="CZ29" s="425" t="str">
        <f>Valid!$B$85</f>
        <v>Single Turnout</v>
      </c>
      <c r="DA29" s="425">
        <f t="shared" si="73"/>
        <v>44</v>
      </c>
      <c r="DB29" s="1283">
        <f>DB28+$DB$7</f>
        <v>64</v>
      </c>
      <c r="DC29" s="425">
        <f t="shared" si="8"/>
        <v>64</v>
      </c>
      <c r="DD29" s="425">
        <f t="shared" si="9"/>
        <v>64</v>
      </c>
      <c r="DE29" s="425">
        <f t="shared" si="9"/>
        <v>64</v>
      </c>
      <c r="DF29" s="425">
        <f t="shared" si="9"/>
        <v>64</v>
      </c>
      <c r="DJ29" s="380" t="s">
        <v>760</v>
      </c>
      <c r="DK29" s="425">
        <f t="shared" si="67"/>
        <v>37</v>
      </c>
      <c r="DL29" s="425">
        <f t="shared" ref="DL29:DS29" si="109">DK29</f>
        <v>37</v>
      </c>
      <c r="DM29" s="425">
        <f t="shared" si="109"/>
        <v>37</v>
      </c>
      <c r="DN29" s="425">
        <f t="shared" si="109"/>
        <v>37</v>
      </c>
      <c r="DO29" s="425">
        <f t="shared" si="109"/>
        <v>37</v>
      </c>
      <c r="DP29" s="425">
        <f t="shared" si="109"/>
        <v>37</v>
      </c>
      <c r="DQ29" s="425">
        <f t="shared" si="109"/>
        <v>37</v>
      </c>
      <c r="DR29" s="425">
        <f t="shared" si="109"/>
        <v>37</v>
      </c>
      <c r="DS29" s="425">
        <f t="shared" si="109"/>
        <v>37</v>
      </c>
      <c r="DU29" s="380" t="s">
        <v>760</v>
      </c>
      <c r="DV29" s="425">
        <f t="shared" si="66"/>
        <v>37</v>
      </c>
      <c r="DW29" s="425">
        <f t="shared" si="94"/>
        <v>37</v>
      </c>
      <c r="DX29" s="425">
        <f t="shared" si="95"/>
        <v>37</v>
      </c>
      <c r="DY29" s="425">
        <f t="shared" si="96"/>
        <v>37</v>
      </c>
      <c r="DZ29" s="425">
        <f t="shared" si="97"/>
        <v>37</v>
      </c>
      <c r="EA29" s="425">
        <f t="shared" si="98"/>
        <v>37</v>
      </c>
      <c r="EB29" s="425">
        <f t="shared" si="99"/>
        <v>37</v>
      </c>
      <c r="EC29" s="425">
        <f t="shared" si="100"/>
        <v>37</v>
      </c>
      <c r="ED29" s="425">
        <f t="shared" si="101"/>
        <v>37</v>
      </c>
      <c r="EE29" s="425">
        <f t="shared" si="102"/>
        <v>37</v>
      </c>
      <c r="EF29" s="425">
        <f t="shared" si="103"/>
        <v>37</v>
      </c>
      <c r="EG29" s="425">
        <f t="shared" si="104"/>
        <v>37</v>
      </c>
      <c r="EH29" s="425">
        <f t="shared" si="105"/>
        <v>37</v>
      </c>
      <c r="EI29" s="425">
        <f t="shared" si="106"/>
        <v>37</v>
      </c>
      <c r="EJ29" s="425">
        <f t="shared" si="107"/>
        <v>37</v>
      </c>
      <c r="EK29" s="425">
        <f t="shared" si="78"/>
        <v>37</v>
      </c>
      <c r="EL29" s="425">
        <f t="shared" si="79"/>
        <v>37</v>
      </c>
      <c r="EM29" s="425">
        <f t="shared" si="80"/>
        <v>37</v>
      </c>
      <c r="EN29" s="425">
        <f t="shared" si="81"/>
        <v>37</v>
      </c>
      <c r="EO29" s="425">
        <f t="shared" si="82"/>
        <v>37</v>
      </c>
      <c r="EP29" s="425">
        <f t="shared" si="83"/>
        <v>37</v>
      </c>
      <c r="EQ29" s="425">
        <f t="shared" si="84"/>
        <v>37</v>
      </c>
      <c r="ER29" s="425">
        <f t="shared" si="85"/>
        <v>37</v>
      </c>
      <c r="ES29" s="425">
        <f t="shared" si="86"/>
        <v>37</v>
      </c>
      <c r="ET29" s="425">
        <f t="shared" si="87"/>
        <v>37</v>
      </c>
      <c r="EU29" s="425">
        <f t="shared" si="88"/>
        <v>37</v>
      </c>
      <c r="EV29" s="425">
        <f t="shared" si="88"/>
        <v>37</v>
      </c>
      <c r="EW29" s="425">
        <f t="shared" si="89"/>
        <v>37</v>
      </c>
      <c r="EX29" s="425">
        <f t="shared" si="90"/>
        <v>37</v>
      </c>
      <c r="EY29" s="425">
        <f t="shared" si="91"/>
        <v>37</v>
      </c>
      <c r="EZ29" s="425">
        <f t="shared" si="92"/>
        <v>37</v>
      </c>
    </row>
    <row r="30" spans="1:156" x14ac:dyDescent="0.2">
      <c r="AP30" s="380" t="s">
        <v>655</v>
      </c>
      <c r="AQ30" s="406">
        <f t="shared" si="41"/>
        <v>39</v>
      </c>
      <c r="AR30" s="406">
        <f t="shared" si="41"/>
        <v>39</v>
      </c>
      <c r="AS30" s="380">
        <f t="shared" si="42"/>
        <v>39</v>
      </c>
      <c r="AT30" s="380">
        <f t="shared" si="43"/>
        <v>39</v>
      </c>
      <c r="AU30" s="380">
        <f t="shared" si="44"/>
        <v>39</v>
      </c>
      <c r="AV30" s="380">
        <f t="shared" si="45"/>
        <v>39</v>
      </c>
      <c r="AW30" s="380">
        <f t="shared" si="46"/>
        <v>39</v>
      </c>
      <c r="AX30" s="380">
        <f t="shared" si="47"/>
        <v>39</v>
      </c>
      <c r="AY30" s="380">
        <f t="shared" si="48"/>
        <v>39</v>
      </c>
      <c r="AZ30" s="380">
        <f t="shared" si="49"/>
        <v>39</v>
      </c>
      <c r="BA30" s="380">
        <f t="shared" si="50"/>
        <v>39</v>
      </c>
      <c r="BB30" s="380">
        <f t="shared" si="51"/>
        <v>39</v>
      </c>
      <c r="BC30" s="380">
        <f t="shared" si="52"/>
        <v>39</v>
      </c>
      <c r="BD30" s="407">
        <f t="shared" si="52"/>
        <v>39</v>
      </c>
      <c r="BG30" s="380" t="s">
        <v>655</v>
      </c>
      <c r="BH30" s="406">
        <f t="shared" si="53"/>
        <v>39</v>
      </c>
      <c r="BI30" s="406">
        <f t="shared" si="53"/>
        <v>39</v>
      </c>
      <c r="BJ30" s="380">
        <f t="shared" si="54"/>
        <v>39</v>
      </c>
      <c r="BK30" s="380">
        <f t="shared" si="55"/>
        <v>39</v>
      </c>
      <c r="BL30" s="380">
        <f t="shared" si="56"/>
        <v>39</v>
      </c>
      <c r="BM30" s="380">
        <f t="shared" si="57"/>
        <v>39</v>
      </c>
      <c r="BN30" s="380">
        <f t="shared" si="57"/>
        <v>39</v>
      </c>
      <c r="BO30" s="380">
        <f t="shared" si="58"/>
        <v>39</v>
      </c>
      <c r="BP30" s="380">
        <f t="shared" si="59"/>
        <v>39</v>
      </c>
      <c r="BQ30" s="380">
        <f t="shared" si="60"/>
        <v>39</v>
      </c>
      <c r="BR30" s="380">
        <f t="shared" si="61"/>
        <v>39</v>
      </c>
      <c r="BS30" s="380">
        <f t="shared" si="62"/>
        <v>39</v>
      </c>
      <c r="BT30" s="380">
        <f t="shared" si="62"/>
        <v>39</v>
      </c>
      <c r="BU30" s="380">
        <f t="shared" si="63"/>
        <v>39</v>
      </c>
      <c r="BV30" s="380">
        <f t="shared" si="64"/>
        <v>39</v>
      </c>
      <c r="BW30" s="380">
        <f t="shared" si="65"/>
        <v>39</v>
      </c>
      <c r="BX30" s="407">
        <f t="shared" si="27"/>
        <v>39</v>
      </c>
      <c r="CA30" s="448"/>
      <c r="CB30" s="425">
        <f>'A-50 FGRailInv'!$C$13</f>
        <v>0</v>
      </c>
      <c r="CC30" s="425" t="str">
        <f>Valid!$B$91</f>
        <v>Train Control &amp; Signaling</v>
      </c>
      <c r="CD30" s="446">
        <f>CD21</f>
        <v>13</v>
      </c>
      <c r="CE30" s="446">
        <f>CE29+$CE$7</f>
        <v>58</v>
      </c>
      <c r="CF30" s="446">
        <f t="shared" si="29"/>
        <v>58</v>
      </c>
      <c r="CG30" s="446">
        <f t="shared" si="75"/>
        <v>58</v>
      </c>
      <c r="CH30" s="446">
        <f t="shared" si="75"/>
        <v>58</v>
      </c>
      <c r="CI30" s="446">
        <f t="shared" si="75"/>
        <v>58</v>
      </c>
      <c r="CJ30" s="446">
        <f t="shared" si="75"/>
        <v>58</v>
      </c>
      <c r="CK30" s="446">
        <f t="shared" si="75"/>
        <v>58</v>
      </c>
      <c r="CL30" s="446">
        <f t="shared" si="75"/>
        <v>58</v>
      </c>
      <c r="CM30" s="446">
        <f t="shared" si="75"/>
        <v>58</v>
      </c>
      <c r="CN30" s="446">
        <f t="shared" si="75"/>
        <v>58</v>
      </c>
      <c r="CO30" s="446">
        <f t="shared" si="75"/>
        <v>58</v>
      </c>
      <c r="CP30" s="446">
        <f t="shared" si="76"/>
        <v>58</v>
      </c>
      <c r="CQ30" s="446">
        <f t="shared" si="76"/>
        <v>58</v>
      </c>
      <c r="CR30" s="446">
        <f t="shared" si="76"/>
        <v>58</v>
      </c>
      <c r="CS30" s="446">
        <f t="shared" si="76"/>
        <v>58</v>
      </c>
      <c r="CT30" s="446">
        <f t="shared" si="76"/>
        <v>58</v>
      </c>
      <c r="CU30" s="446">
        <f t="shared" si="76"/>
        <v>58</v>
      </c>
      <c r="CY30" s="425">
        <f>'A-55 TrackInv'!$C$44</f>
        <v>0</v>
      </c>
      <c r="CZ30" s="425" t="str">
        <f>Valid!$B$86</f>
        <v>Grade Crossings</v>
      </c>
      <c r="DA30" s="425">
        <f t="shared" si="73"/>
        <v>44</v>
      </c>
      <c r="DB30" s="1283">
        <f>DB29+$DB$7</f>
        <v>66</v>
      </c>
      <c r="DC30" s="425">
        <f t="shared" si="8"/>
        <v>66</v>
      </c>
      <c r="DD30" s="425">
        <f t="shared" si="9"/>
        <v>66</v>
      </c>
      <c r="DE30" s="425">
        <f t="shared" si="9"/>
        <v>66</v>
      </c>
      <c r="DF30" s="425">
        <f t="shared" si="9"/>
        <v>66</v>
      </c>
      <c r="DJ30" s="380" t="s">
        <v>761</v>
      </c>
      <c r="DK30" s="425">
        <f t="shared" si="67"/>
        <v>39</v>
      </c>
      <c r="DL30" s="425">
        <f t="shared" ref="DL30:DS30" si="110">DK30</f>
        <v>39</v>
      </c>
      <c r="DM30" s="425">
        <f t="shared" si="110"/>
        <v>39</v>
      </c>
      <c r="DN30" s="425">
        <f t="shared" si="110"/>
        <v>39</v>
      </c>
      <c r="DO30" s="425">
        <f t="shared" si="110"/>
        <v>39</v>
      </c>
      <c r="DP30" s="425">
        <f t="shared" si="110"/>
        <v>39</v>
      </c>
      <c r="DQ30" s="425">
        <f t="shared" si="110"/>
        <v>39</v>
      </c>
      <c r="DR30" s="425">
        <f t="shared" si="110"/>
        <v>39</v>
      </c>
      <c r="DS30" s="425">
        <f t="shared" si="110"/>
        <v>39</v>
      </c>
      <c r="DU30" s="380" t="s">
        <v>761</v>
      </c>
      <c r="DV30" s="425">
        <f t="shared" si="66"/>
        <v>39</v>
      </c>
      <c r="DW30" s="425">
        <f t="shared" si="94"/>
        <v>39</v>
      </c>
      <c r="DX30" s="425">
        <f t="shared" si="95"/>
        <v>39</v>
      </c>
      <c r="DY30" s="425">
        <f t="shared" si="96"/>
        <v>39</v>
      </c>
      <c r="DZ30" s="425">
        <f t="shared" si="97"/>
        <v>39</v>
      </c>
      <c r="EA30" s="425">
        <f t="shared" si="98"/>
        <v>39</v>
      </c>
      <c r="EB30" s="425">
        <f t="shared" si="99"/>
        <v>39</v>
      </c>
      <c r="EC30" s="425">
        <f t="shared" si="100"/>
        <v>39</v>
      </c>
      <c r="ED30" s="425">
        <f t="shared" si="101"/>
        <v>39</v>
      </c>
      <c r="EE30" s="425">
        <f t="shared" si="102"/>
        <v>39</v>
      </c>
      <c r="EF30" s="425">
        <f t="shared" si="103"/>
        <v>39</v>
      </c>
      <c r="EG30" s="425">
        <f t="shared" si="104"/>
        <v>39</v>
      </c>
      <c r="EH30" s="425">
        <f t="shared" si="105"/>
        <v>39</v>
      </c>
      <c r="EI30" s="425">
        <f t="shared" si="106"/>
        <v>39</v>
      </c>
      <c r="EJ30" s="425">
        <f t="shared" si="107"/>
        <v>39</v>
      </c>
      <c r="EK30" s="425">
        <f t="shared" si="78"/>
        <v>39</v>
      </c>
      <c r="EL30" s="425">
        <f t="shared" si="79"/>
        <v>39</v>
      </c>
      <c r="EM30" s="425">
        <f t="shared" si="80"/>
        <v>39</v>
      </c>
      <c r="EN30" s="425">
        <f t="shared" si="81"/>
        <v>39</v>
      </c>
      <c r="EO30" s="425">
        <f t="shared" si="82"/>
        <v>39</v>
      </c>
      <c r="EP30" s="425">
        <f t="shared" si="83"/>
        <v>39</v>
      </c>
      <c r="EQ30" s="425">
        <f t="shared" si="84"/>
        <v>39</v>
      </c>
      <c r="ER30" s="425">
        <f t="shared" si="85"/>
        <v>39</v>
      </c>
      <c r="ES30" s="425">
        <f t="shared" si="86"/>
        <v>39</v>
      </c>
      <c r="ET30" s="425">
        <f t="shared" si="87"/>
        <v>39</v>
      </c>
      <c r="EU30" s="425">
        <f t="shared" si="88"/>
        <v>39</v>
      </c>
      <c r="EV30" s="425">
        <f t="shared" si="88"/>
        <v>39</v>
      </c>
      <c r="EW30" s="425">
        <f t="shared" si="89"/>
        <v>39</v>
      </c>
      <c r="EX30" s="425">
        <f t="shared" si="90"/>
        <v>39</v>
      </c>
      <c r="EY30" s="425">
        <f t="shared" si="91"/>
        <v>39</v>
      </c>
      <c r="EZ30" s="425">
        <f t="shared" si="92"/>
        <v>39</v>
      </c>
    </row>
    <row r="31" spans="1:156" x14ac:dyDescent="0.2">
      <c r="AP31" s="380" t="s">
        <v>656</v>
      </c>
      <c r="AQ31" s="406">
        <f t="shared" si="41"/>
        <v>41</v>
      </c>
      <c r="AR31" s="406">
        <f t="shared" si="41"/>
        <v>41</v>
      </c>
      <c r="AS31" s="380">
        <f t="shared" si="42"/>
        <v>41</v>
      </c>
      <c r="AT31" s="380">
        <f t="shared" si="43"/>
        <v>41</v>
      </c>
      <c r="AU31" s="380">
        <f t="shared" si="44"/>
        <v>41</v>
      </c>
      <c r="AV31" s="380">
        <f t="shared" si="45"/>
        <v>41</v>
      </c>
      <c r="AW31" s="380">
        <f t="shared" si="46"/>
        <v>41</v>
      </c>
      <c r="AX31" s="380">
        <f t="shared" si="47"/>
        <v>41</v>
      </c>
      <c r="AY31" s="380">
        <f t="shared" si="48"/>
        <v>41</v>
      </c>
      <c r="AZ31" s="380">
        <f t="shared" si="49"/>
        <v>41</v>
      </c>
      <c r="BA31" s="380">
        <f t="shared" si="50"/>
        <v>41</v>
      </c>
      <c r="BB31" s="380">
        <f t="shared" si="51"/>
        <v>41</v>
      </c>
      <c r="BC31" s="380">
        <f t="shared" si="52"/>
        <v>41</v>
      </c>
      <c r="BD31" s="407">
        <f t="shared" si="52"/>
        <v>41</v>
      </c>
      <c r="BG31" s="380" t="s">
        <v>656</v>
      </c>
      <c r="BH31" s="406">
        <f t="shared" si="53"/>
        <v>41</v>
      </c>
      <c r="BI31" s="406">
        <f t="shared" si="53"/>
        <v>41</v>
      </c>
      <c r="BJ31" s="380">
        <f t="shared" si="54"/>
        <v>41</v>
      </c>
      <c r="BK31" s="380">
        <f t="shared" si="55"/>
        <v>41</v>
      </c>
      <c r="BL31" s="380">
        <f t="shared" si="56"/>
        <v>41</v>
      </c>
      <c r="BM31" s="380">
        <f t="shared" si="57"/>
        <v>41</v>
      </c>
      <c r="BN31" s="380">
        <f t="shared" si="57"/>
        <v>41</v>
      </c>
      <c r="BO31" s="380">
        <f t="shared" si="58"/>
        <v>41</v>
      </c>
      <c r="BP31" s="380">
        <f t="shared" si="59"/>
        <v>41</v>
      </c>
      <c r="BQ31" s="380">
        <f t="shared" si="60"/>
        <v>41</v>
      </c>
      <c r="BR31" s="380">
        <f t="shared" si="61"/>
        <v>41</v>
      </c>
      <c r="BS31" s="380">
        <f t="shared" si="62"/>
        <v>41</v>
      </c>
      <c r="BT31" s="380">
        <f t="shared" si="62"/>
        <v>41</v>
      </c>
      <c r="BU31" s="380">
        <f t="shared" si="63"/>
        <v>41</v>
      </c>
      <c r="BV31" s="380">
        <f t="shared" si="64"/>
        <v>41</v>
      </c>
      <c r="BW31" s="380">
        <f t="shared" si="65"/>
        <v>41</v>
      </c>
      <c r="BX31" s="407">
        <f t="shared" si="27"/>
        <v>41</v>
      </c>
      <c r="CA31" s="448"/>
      <c r="CB31" s="425">
        <f>'A-50 FGRailInv'!$C$69</f>
        <v>0</v>
      </c>
      <c r="CC31" s="425" t="str">
        <f>Valid!$B$71</f>
        <v>At-Grade/Ballast (including expressway)</v>
      </c>
      <c r="CD31" s="425">
        <f>CD17+$CD$7</f>
        <v>69</v>
      </c>
      <c r="CE31" s="446">
        <f>CE30+$CE$9</f>
        <v>73</v>
      </c>
      <c r="CF31" s="446">
        <f t="shared" si="29"/>
        <v>73</v>
      </c>
      <c r="CG31" s="425">
        <f t="shared" si="75"/>
        <v>73</v>
      </c>
      <c r="CH31" s="425">
        <f t="shared" si="75"/>
        <v>73</v>
      </c>
      <c r="CI31" s="425">
        <f t="shared" si="75"/>
        <v>73</v>
      </c>
      <c r="CJ31" s="425">
        <f t="shared" si="75"/>
        <v>73</v>
      </c>
      <c r="CK31" s="425">
        <f t="shared" si="75"/>
        <v>73</v>
      </c>
      <c r="CL31" s="425">
        <f t="shared" si="75"/>
        <v>73</v>
      </c>
      <c r="CM31" s="425">
        <f t="shared" si="75"/>
        <v>73</v>
      </c>
      <c r="CN31" s="425">
        <f t="shared" si="75"/>
        <v>73</v>
      </c>
      <c r="CO31" s="425">
        <f t="shared" si="75"/>
        <v>73</v>
      </c>
      <c r="CP31" s="425">
        <f t="shared" si="76"/>
        <v>73</v>
      </c>
      <c r="CQ31" s="425">
        <f t="shared" si="76"/>
        <v>73</v>
      </c>
      <c r="CR31" s="425">
        <f t="shared" si="76"/>
        <v>73</v>
      </c>
      <c r="CS31" s="425">
        <f t="shared" si="76"/>
        <v>73</v>
      </c>
      <c r="CT31" s="425">
        <f t="shared" si="76"/>
        <v>73</v>
      </c>
      <c r="CU31" s="425">
        <f t="shared" si="76"/>
        <v>73</v>
      </c>
      <c r="CX31" s="380">
        <f>CX24+1</f>
        <v>3</v>
      </c>
      <c r="CY31" s="425">
        <f>'A-55 TrackInv'!$C$75</f>
        <v>0</v>
      </c>
      <c r="CZ31" s="425" t="str">
        <f>Valid!$B$80</f>
        <v>Tangent</v>
      </c>
      <c r="DA31" s="425">
        <f>DA25+$DA$7</f>
        <v>75</v>
      </c>
      <c r="DB31" s="1283">
        <f>DB30+$DB$9</f>
        <v>81</v>
      </c>
      <c r="DC31" s="425">
        <f t="shared" si="8"/>
        <v>81</v>
      </c>
      <c r="DD31" s="425">
        <f t="shared" si="9"/>
        <v>81</v>
      </c>
      <c r="DE31" s="425">
        <f t="shared" si="9"/>
        <v>81</v>
      </c>
      <c r="DF31" s="425">
        <f t="shared" si="9"/>
        <v>81</v>
      </c>
      <c r="DJ31" s="380" t="s">
        <v>762</v>
      </c>
      <c r="DK31" s="425">
        <f t="shared" si="67"/>
        <v>41</v>
      </c>
      <c r="DL31" s="425">
        <f t="shared" ref="DL31:DS31" si="111">DK31</f>
        <v>41</v>
      </c>
      <c r="DM31" s="425">
        <f t="shared" si="111"/>
        <v>41</v>
      </c>
      <c r="DN31" s="425">
        <f t="shared" si="111"/>
        <v>41</v>
      </c>
      <c r="DO31" s="425">
        <f t="shared" si="111"/>
        <v>41</v>
      </c>
      <c r="DP31" s="425">
        <f t="shared" si="111"/>
        <v>41</v>
      </c>
      <c r="DQ31" s="425">
        <f t="shared" si="111"/>
        <v>41</v>
      </c>
      <c r="DR31" s="425">
        <f t="shared" si="111"/>
        <v>41</v>
      </c>
      <c r="DS31" s="425">
        <f t="shared" si="111"/>
        <v>41</v>
      </c>
      <c r="DU31" s="380" t="s">
        <v>762</v>
      </c>
      <c r="DV31" s="425">
        <f t="shared" si="66"/>
        <v>41</v>
      </c>
      <c r="DW31" s="425">
        <f t="shared" si="94"/>
        <v>41</v>
      </c>
      <c r="DX31" s="425">
        <f t="shared" si="95"/>
        <v>41</v>
      </c>
      <c r="DY31" s="425">
        <f t="shared" si="96"/>
        <v>41</v>
      </c>
      <c r="DZ31" s="425">
        <f t="shared" si="97"/>
        <v>41</v>
      </c>
      <c r="EA31" s="425">
        <f t="shared" si="98"/>
        <v>41</v>
      </c>
      <c r="EB31" s="425">
        <f t="shared" si="99"/>
        <v>41</v>
      </c>
      <c r="EC31" s="425">
        <f t="shared" si="100"/>
        <v>41</v>
      </c>
      <c r="ED31" s="425">
        <f t="shared" si="101"/>
        <v>41</v>
      </c>
      <c r="EE31" s="425">
        <f t="shared" si="102"/>
        <v>41</v>
      </c>
      <c r="EF31" s="425">
        <f t="shared" si="103"/>
        <v>41</v>
      </c>
      <c r="EG31" s="425">
        <f t="shared" si="104"/>
        <v>41</v>
      </c>
      <c r="EH31" s="425">
        <f t="shared" si="105"/>
        <v>41</v>
      </c>
      <c r="EI31" s="425">
        <f t="shared" si="106"/>
        <v>41</v>
      </c>
      <c r="EJ31" s="425">
        <f t="shared" si="107"/>
        <v>41</v>
      </c>
      <c r="EK31" s="425">
        <f t="shared" si="78"/>
        <v>41</v>
      </c>
      <c r="EL31" s="425">
        <f t="shared" si="79"/>
        <v>41</v>
      </c>
      <c r="EM31" s="425">
        <f t="shared" si="80"/>
        <v>41</v>
      </c>
      <c r="EN31" s="425">
        <f t="shared" si="81"/>
        <v>41</v>
      </c>
      <c r="EO31" s="425">
        <f t="shared" si="82"/>
        <v>41</v>
      </c>
      <c r="EP31" s="425">
        <f t="shared" si="83"/>
        <v>41</v>
      </c>
      <c r="EQ31" s="425">
        <f t="shared" si="84"/>
        <v>41</v>
      </c>
      <c r="ER31" s="425">
        <f t="shared" si="85"/>
        <v>41</v>
      </c>
      <c r="ES31" s="425">
        <f t="shared" si="86"/>
        <v>41</v>
      </c>
      <c r="ET31" s="425">
        <f t="shared" si="87"/>
        <v>41</v>
      </c>
      <c r="EU31" s="425">
        <f t="shared" si="88"/>
        <v>41</v>
      </c>
      <c r="EV31" s="425">
        <f t="shared" si="88"/>
        <v>41</v>
      </c>
      <c r="EW31" s="425">
        <f t="shared" si="89"/>
        <v>41</v>
      </c>
      <c r="EX31" s="425">
        <f t="shared" si="90"/>
        <v>41</v>
      </c>
      <c r="EY31" s="425">
        <f t="shared" si="91"/>
        <v>41</v>
      </c>
      <c r="EZ31" s="425">
        <f t="shared" si="92"/>
        <v>41</v>
      </c>
    </row>
    <row r="32" spans="1:156" x14ac:dyDescent="0.2">
      <c r="AP32" s="380" t="s">
        <v>657</v>
      </c>
      <c r="AQ32" s="406">
        <f t="shared" si="41"/>
        <v>43</v>
      </c>
      <c r="AR32" s="406">
        <f t="shared" si="41"/>
        <v>43</v>
      </c>
      <c r="AS32" s="380">
        <f t="shared" si="42"/>
        <v>43</v>
      </c>
      <c r="AT32" s="380">
        <f t="shared" si="43"/>
        <v>43</v>
      </c>
      <c r="AU32" s="380">
        <f t="shared" si="44"/>
        <v>43</v>
      </c>
      <c r="AV32" s="380">
        <f t="shared" si="45"/>
        <v>43</v>
      </c>
      <c r="AW32" s="380">
        <f t="shared" si="46"/>
        <v>43</v>
      </c>
      <c r="AX32" s="380">
        <f t="shared" si="47"/>
        <v>43</v>
      </c>
      <c r="AY32" s="380">
        <f t="shared" si="48"/>
        <v>43</v>
      </c>
      <c r="AZ32" s="380">
        <f t="shared" si="49"/>
        <v>43</v>
      </c>
      <c r="BA32" s="380">
        <f t="shared" si="50"/>
        <v>43</v>
      </c>
      <c r="BB32" s="380">
        <f t="shared" si="51"/>
        <v>43</v>
      </c>
      <c r="BC32" s="380">
        <f t="shared" si="52"/>
        <v>43</v>
      </c>
      <c r="BD32" s="407">
        <f t="shared" si="52"/>
        <v>43</v>
      </c>
      <c r="BG32" s="380" t="s">
        <v>657</v>
      </c>
      <c r="BH32" s="406">
        <f t="shared" si="53"/>
        <v>43</v>
      </c>
      <c r="BI32" s="406">
        <f t="shared" si="53"/>
        <v>43</v>
      </c>
      <c r="BJ32" s="380">
        <f t="shared" si="54"/>
        <v>43</v>
      </c>
      <c r="BK32" s="380">
        <f t="shared" si="55"/>
        <v>43</v>
      </c>
      <c r="BL32" s="380">
        <f t="shared" si="56"/>
        <v>43</v>
      </c>
      <c r="BM32" s="380">
        <f t="shared" si="57"/>
        <v>43</v>
      </c>
      <c r="BN32" s="380">
        <f t="shared" si="57"/>
        <v>43</v>
      </c>
      <c r="BO32" s="380">
        <f t="shared" si="58"/>
        <v>43</v>
      </c>
      <c r="BP32" s="380">
        <f t="shared" si="59"/>
        <v>43</v>
      </c>
      <c r="BQ32" s="380">
        <f t="shared" si="60"/>
        <v>43</v>
      </c>
      <c r="BR32" s="380">
        <f t="shared" si="61"/>
        <v>43</v>
      </c>
      <c r="BS32" s="380">
        <f t="shared" si="62"/>
        <v>43</v>
      </c>
      <c r="BT32" s="380">
        <f t="shared" si="62"/>
        <v>43</v>
      </c>
      <c r="BU32" s="380">
        <f t="shared" si="63"/>
        <v>43</v>
      </c>
      <c r="BV32" s="380">
        <f t="shared" si="64"/>
        <v>43</v>
      </c>
      <c r="BW32" s="380">
        <f t="shared" si="65"/>
        <v>43</v>
      </c>
      <c r="BX32" s="407">
        <f t="shared" si="27"/>
        <v>43</v>
      </c>
      <c r="CA32" s="448"/>
      <c r="CB32" s="425">
        <f>'A-50 FGRailInv'!$C$69</f>
        <v>0</v>
      </c>
      <c r="CC32" s="425" t="str">
        <f>Valid!$B$72</f>
        <v>At-Grade/In-Street/Embedded</v>
      </c>
      <c r="CD32" s="425">
        <f>CD31</f>
        <v>69</v>
      </c>
      <c r="CE32" s="1199">
        <f t="shared" ref="CE32:CE39" si="112">CE31+$CE$7</f>
        <v>76</v>
      </c>
      <c r="CF32" s="446">
        <f t="shared" si="29"/>
        <v>76</v>
      </c>
      <c r="CG32" s="425">
        <f t="shared" si="75"/>
        <v>76</v>
      </c>
      <c r="CH32" s="425">
        <f t="shared" si="75"/>
        <v>76</v>
      </c>
      <c r="CI32" s="425">
        <f t="shared" si="75"/>
        <v>76</v>
      </c>
      <c r="CJ32" s="425">
        <f t="shared" si="75"/>
        <v>76</v>
      </c>
      <c r="CK32" s="425">
        <f t="shared" si="75"/>
        <v>76</v>
      </c>
      <c r="CL32" s="425">
        <f t="shared" si="75"/>
        <v>76</v>
      </c>
      <c r="CM32" s="425">
        <f t="shared" si="75"/>
        <v>76</v>
      </c>
      <c r="CN32" s="425">
        <f t="shared" si="75"/>
        <v>76</v>
      </c>
      <c r="CO32" s="425">
        <f t="shared" si="75"/>
        <v>76</v>
      </c>
      <c r="CP32" s="425">
        <f t="shared" si="76"/>
        <v>76</v>
      </c>
      <c r="CQ32" s="425">
        <f t="shared" si="76"/>
        <v>76</v>
      </c>
      <c r="CR32" s="425">
        <f t="shared" si="76"/>
        <v>76</v>
      </c>
      <c r="CS32" s="425">
        <f t="shared" si="76"/>
        <v>76</v>
      </c>
      <c r="CT32" s="425">
        <f t="shared" si="76"/>
        <v>76</v>
      </c>
      <c r="CU32" s="425">
        <f t="shared" si="76"/>
        <v>76</v>
      </c>
      <c r="CY32" s="425">
        <f>'A-55 TrackInv'!$C$75</f>
        <v>0</v>
      </c>
      <c r="CZ32" s="425" t="str">
        <f>Valid!$B$81</f>
        <v>Curve</v>
      </c>
      <c r="DA32" s="425">
        <f t="shared" ref="DA32:DA37" si="113">DA25+$DA$7</f>
        <v>75</v>
      </c>
      <c r="DB32" s="1283">
        <f>DB31+$DB$7</f>
        <v>83</v>
      </c>
      <c r="DC32" s="425">
        <f t="shared" si="8"/>
        <v>83</v>
      </c>
      <c r="DD32" s="425">
        <f t="shared" si="9"/>
        <v>83</v>
      </c>
      <c r="DE32" s="425">
        <f t="shared" si="9"/>
        <v>83</v>
      </c>
      <c r="DF32" s="425">
        <f t="shared" si="9"/>
        <v>83</v>
      </c>
      <c r="DJ32" s="380" t="s">
        <v>763</v>
      </c>
      <c r="DK32" s="425">
        <f t="shared" si="67"/>
        <v>43</v>
      </c>
      <c r="DL32" s="425">
        <f t="shared" ref="DL32:DS32" si="114">DK32</f>
        <v>43</v>
      </c>
      <c r="DM32" s="425">
        <f t="shared" si="114"/>
        <v>43</v>
      </c>
      <c r="DN32" s="425">
        <f t="shared" si="114"/>
        <v>43</v>
      </c>
      <c r="DO32" s="425">
        <f t="shared" si="114"/>
        <v>43</v>
      </c>
      <c r="DP32" s="425">
        <f t="shared" si="114"/>
        <v>43</v>
      </c>
      <c r="DQ32" s="425">
        <f t="shared" si="114"/>
        <v>43</v>
      </c>
      <c r="DR32" s="425">
        <f t="shared" si="114"/>
        <v>43</v>
      </c>
      <c r="DS32" s="425">
        <f t="shared" si="114"/>
        <v>43</v>
      </c>
      <c r="DU32" s="380" t="s">
        <v>763</v>
      </c>
      <c r="DV32" s="425">
        <f t="shared" si="66"/>
        <v>43</v>
      </c>
      <c r="DW32" s="425">
        <f t="shared" si="94"/>
        <v>43</v>
      </c>
      <c r="DX32" s="425">
        <f t="shared" si="95"/>
        <v>43</v>
      </c>
      <c r="DY32" s="425">
        <f t="shared" si="96"/>
        <v>43</v>
      </c>
      <c r="DZ32" s="425">
        <f t="shared" si="97"/>
        <v>43</v>
      </c>
      <c r="EA32" s="425">
        <f t="shared" si="98"/>
        <v>43</v>
      </c>
      <c r="EB32" s="425">
        <f t="shared" si="99"/>
        <v>43</v>
      </c>
      <c r="EC32" s="425">
        <f t="shared" si="100"/>
        <v>43</v>
      </c>
      <c r="ED32" s="425">
        <f t="shared" si="101"/>
        <v>43</v>
      </c>
      <c r="EE32" s="425">
        <f t="shared" si="102"/>
        <v>43</v>
      </c>
      <c r="EF32" s="425">
        <f t="shared" si="103"/>
        <v>43</v>
      </c>
      <c r="EG32" s="425">
        <f t="shared" si="104"/>
        <v>43</v>
      </c>
      <c r="EH32" s="425">
        <f t="shared" si="105"/>
        <v>43</v>
      </c>
      <c r="EI32" s="425">
        <f t="shared" si="106"/>
        <v>43</v>
      </c>
      <c r="EJ32" s="425">
        <f t="shared" si="107"/>
        <v>43</v>
      </c>
      <c r="EK32" s="425">
        <f t="shared" si="78"/>
        <v>43</v>
      </c>
      <c r="EL32" s="425">
        <f t="shared" si="79"/>
        <v>43</v>
      </c>
      <c r="EM32" s="425">
        <f t="shared" si="80"/>
        <v>43</v>
      </c>
      <c r="EN32" s="425">
        <f t="shared" si="81"/>
        <v>43</v>
      </c>
      <c r="EO32" s="425">
        <f t="shared" si="82"/>
        <v>43</v>
      </c>
      <c r="EP32" s="425">
        <f t="shared" si="83"/>
        <v>43</v>
      </c>
      <c r="EQ32" s="425">
        <f t="shared" si="84"/>
        <v>43</v>
      </c>
      <c r="ER32" s="425">
        <f t="shared" si="85"/>
        <v>43</v>
      </c>
      <c r="ES32" s="425">
        <f t="shared" si="86"/>
        <v>43</v>
      </c>
      <c r="ET32" s="425">
        <f t="shared" si="87"/>
        <v>43</v>
      </c>
      <c r="EU32" s="425">
        <f t="shared" si="88"/>
        <v>43</v>
      </c>
      <c r="EV32" s="425">
        <f t="shared" si="88"/>
        <v>43</v>
      </c>
      <c r="EW32" s="425">
        <f t="shared" si="89"/>
        <v>43</v>
      </c>
      <c r="EX32" s="425">
        <f t="shared" si="90"/>
        <v>43</v>
      </c>
      <c r="EY32" s="425">
        <f t="shared" si="91"/>
        <v>43</v>
      </c>
      <c r="EZ32" s="425">
        <f t="shared" si="92"/>
        <v>43</v>
      </c>
    </row>
    <row r="33" spans="42:156" ht="12.75" customHeight="1" x14ac:dyDescent="0.2">
      <c r="AP33" s="380" t="s">
        <v>658</v>
      </c>
      <c r="AQ33" s="406">
        <f t="shared" si="41"/>
        <v>45</v>
      </c>
      <c r="AR33" s="406">
        <f t="shared" si="41"/>
        <v>45</v>
      </c>
      <c r="AS33" s="380">
        <f t="shared" si="42"/>
        <v>45</v>
      </c>
      <c r="AT33" s="380">
        <f t="shared" si="43"/>
        <v>45</v>
      </c>
      <c r="AU33" s="380">
        <f t="shared" si="44"/>
        <v>45</v>
      </c>
      <c r="AV33" s="380">
        <f t="shared" si="45"/>
        <v>45</v>
      </c>
      <c r="AW33" s="380">
        <f t="shared" si="46"/>
        <v>45</v>
      </c>
      <c r="AX33" s="380">
        <f t="shared" si="47"/>
        <v>45</v>
      </c>
      <c r="AY33" s="380">
        <f t="shared" si="48"/>
        <v>45</v>
      </c>
      <c r="AZ33" s="380">
        <f t="shared" si="49"/>
        <v>45</v>
      </c>
      <c r="BA33" s="380">
        <f t="shared" si="50"/>
        <v>45</v>
      </c>
      <c r="BB33" s="380">
        <f t="shared" si="51"/>
        <v>45</v>
      </c>
      <c r="BC33" s="380">
        <f t="shared" si="52"/>
        <v>45</v>
      </c>
      <c r="BD33" s="407">
        <f t="shared" si="52"/>
        <v>45</v>
      </c>
      <c r="BG33" s="380" t="s">
        <v>658</v>
      </c>
      <c r="BH33" s="406">
        <f t="shared" si="53"/>
        <v>45</v>
      </c>
      <c r="BI33" s="406">
        <f t="shared" si="53"/>
        <v>45</v>
      </c>
      <c r="BJ33" s="380">
        <f t="shared" si="54"/>
        <v>45</v>
      </c>
      <c r="BK33" s="380">
        <f t="shared" si="55"/>
        <v>45</v>
      </c>
      <c r="BL33" s="380">
        <f t="shared" si="56"/>
        <v>45</v>
      </c>
      <c r="BM33" s="380">
        <f t="shared" si="57"/>
        <v>45</v>
      </c>
      <c r="BN33" s="380">
        <f t="shared" si="57"/>
        <v>45</v>
      </c>
      <c r="BO33" s="380">
        <f t="shared" si="58"/>
        <v>45</v>
      </c>
      <c r="BP33" s="380">
        <f t="shared" si="59"/>
        <v>45</v>
      </c>
      <c r="BQ33" s="380">
        <f t="shared" si="60"/>
        <v>45</v>
      </c>
      <c r="BR33" s="380">
        <f t="shared" si="61"/>
        <v>45</v>
      </c>
      <c r="BS33" s="380">
        <f t="shared" si="62"/>
        <v>45</v>
      </c>
      <c r="BT33" s="380">
        <f t="shared" si="62"/>
        <v>45</v>
      </c>
      <c r="BU33" s="380">
        <f t="shared" si="63"/>
        <v>45</v>
      </c>
      <c r="BV33" s="380">
        <f t="shared" si="64"/>
        <v>45</v>
      </c>
      <c r="BW33" s="380">
        <f t="shared" si="65"/>
        <v>45</v>
      </c>
      <c r="BX33" s="407">
        <f t="shared" si="27"/>
        <v>45</v>
      </c>
      <c r="CA33" s="448"/>
      <c r="CB33" s="425">
        <f>'A-50 FGRailInv'!$C$69</f>
        <v>0</v>
      </c>
      <c r="CC33" s="425" t="str">
        <f>Valid!$B$73</f>
        <v>Elevated/Retained Fill</v>
      </c>
      <c r="CD33" s="425">
        <f>CD31</f>
        <v>69</v>
      </c>
      <c r="CE33" s="446">
        <f t="shared" si="112"/>
        <v>79</v>
      </c>
      <c r="CF33" s="446">
        <f t="shared" si="29"/>
        <v>79</v>
      </c>
      <c r="CG33" s="425">
        <f t="shared" si="75"/>
        <v>79</v>
      </c>
      <c r="CH33" s="425">
        <f t="shared" si="75"/>
        <v>79</v>
      </c>
      <c r="CI33" s="425">
        <f t="shared" si="75"/>
        <v>79</v>
      </c>
      <c r="CJ33" s="425">
        <f t="shared" si="75"/>
        <v>79</v>
      </c>
      <c r="CK33" s="425">
        <f t="shared" si="75"/>
        <v>79</v>
      </c>
      <c r="CL33" s="425">
        <f t="shared" si="75"/>
        <v>79</v>
      </c>
      <c r="CM33" s="425">
        <f t="shared" si="75"/>
        <v>79</v>
      </c>
      <c r="CN33" s="425">
        <f t="shared" si="75"/>
        <v>79</v>
      </c>
      <c r="CO33" s="425">
        <f t="shared" si="75"/>
        <v>79</v>
      </c>
      <c r="CP33" s="425">
        <f t="shared" si="76"/>
        <v>79</v>
      </c>
      <c r="CQ33" s="425">
        <f t="shared" si="76"/>
        <v>79</v>
      </c>
      <c r="CR33" s="425">
        <f t="shared" si="76"/>
        <v>79</v>
      </c>
      <c r="CS33" s="425">
        <f t="shared" si="76"/>
        <v>79</v>
      </c>
      <c r="CT33" s="425">
        <f t="shared" si="76"/>
        <v>79</v>
      </c>
      <c r="CU33" s="425">
        <f t="shared" si="76"/>
        <v>79</v>
      </c>
      <c r="CY33" s="425">
        <f>'A-55 TrackInv'!$C$75</f>
        <v>0</v>
      </c>
      <c r="CZ33" s="425" t="str">
        <f>Valid!$B$82</f>
        <v>Double Diamond Crossover</v>
      </c>
      <c r="DA33" s="425">
        <f t="shared" si="113"/>
        <v>75</v>
      </c>
      <c r="DB33" s="1283">
        <f>DB32+DB8</f>
        <v>89</v>
      </c>
      <c r="DC33" s="425">
        <f t="shared" si="8"/>
        <v>89</v>
      </c>
      <c r="DD33" s="425">
        <f>$DB33</f>
        <v>89</v>
      </c>
      <c r="DE33" s="425">
        <f>$DB33</f>
        <v>89</v>
      </c>
      <c r="DF33" s="425">
        <f>$DB33</f>
        <v>89</v>
      </c>
      <c r="DJ33" s="380" t="s">
        <v>764</v>
      </c>
      <c r="DK33" s="425">
        <f t="shared" si="67"/>
        <v>45</v>
      </c>
      <c r="DL33" s="425">
        <f t="shared" ref="DL33:DS33" si="115">DK33</f>
        <v>45</v>
      </c>
      <c r="DM33" s="425">
        <f t="shared" si="115"/>
        <v>45</v>
      </c>
      <c r="DN33" s="425">
        <f t="shared" si="115"/>
        <v>45</v>
      </c>
      <c r="DO33" s="425">
        <f t="shared" si="115"/>
        <v>45</v>
      </c>
      <c r="DP33" s="425">
        <f t="shared" si="115"/>
        <v>45</v>
      </c>
      <c r="DQ33" s="425">
        <f t="shared" si="115"/>
        <v>45</v>
      </c>
      <c r="DR33" s="425">
        <f t="shared" si="115"/>
        <v>45</v>
      </c>
      <c r="DS33" s="425">
        <f t="shared" si="115"/>
        <v>45</v>
      </c>
      <c r="DU33" s="380" t="s">
        <v>764</v>
      </c>
      <c r="DV33" s="425">
        <f t="shared" si="66"/>
        <v>45</v>
      </c>
      <c r="DW33" s="425">
        <f t="shared" si="94"/>
        <v>45</v>
      </c>
      <c r="DX33" s="425">
        <f t="shared" si="95"/>
        <v>45</v>
      </c>
      <c r="DY33" s="425">
        <f t="shared" si="96"/>
        <v>45</v>
      </c>
      <c r="DZ33" s="425">
        <f t="shared" si="97"/>
        <v>45</v>
      </c>
      <c r="EA33" s="425">
        <f t="shared" si="98"/>
        <v>45</v>
      </c>
      <c r="EB33" s="425">
        <f t="shared" si="99"/>
        <v>45</v>
      </c>
      <c r="EC33" s="425">
        <f t="shared" si="100"/>
        <v>45</v>
      </c>
      <c r="ED33" s="425">
        <f t="shared" si="101"/>
        <v>45</v>
      </c>
      <c r="EE33" s="425">
        <f t="shared" si="102"/>
        <v>45</v>
      </c>
      <c r="EF33" s="425">
        <f t="shared" si="103"/>
        <v>45</v>
      </c>
      <c r="EG33" s="425">
        <f t="shared" si="104"/>
        <v>45</v>
      </c>
      <c r="EH33" s="425">
        <f t="shared" si="105"/>
        <v>45</v>
      </c>
      <c r="EI33" s="425">
        <f t="shared" si="106"/>
        <v>45</v>
      </c>
      <c r="EJ33" s="425">
        <f t="shared" si="107"/>
        <v>45</v>
      </c>
      <c r="EK33" s="425">
        <f t="shared" si="78"/>
        <v>45</v>
      </c>
      <c r="EL33" s="425">
        <f t="shared" si="79"/>
        <v>45</v>
      </c>
      <c r="EM33" s="425">
        <f t="shared" si="80"/>
        <v>45</v>
      </c>
      <c r="EN33" s="425">
        <f t="shared" si="81"/>
        <v>45</v>
      </c>
      <c r="EO33" s="425">
        <f t="shared" si="82"/>
        <v>45</v>
      </c>
      <c r="EP33" s="425">
        <f t="shared" si="83"/>
        <v>45</v>
      </c>
      <c r="EQ33" s="425">
        <f t="shared" si="84"/>
        <v>45</v>
      </c>
      <c r="ER33" s="425">
        <f t="shared" si="85"/>
        <v>45</v>
      </c>
      <c r="ES33" s="425">
        <f t="shared" si="86"/>
        <v>45</v>
      </c>
      <c r="ET33" s="425">
        <f t="shared" si="87"/>
        <v>45</v>
      </c>
      <c r="EU33" s="425">
        <f t="shared" si="88"/>
        <v>45</v>
      </c>
      <c r="EV33" s="425">
        <f t="shared" si="88"/>
        <v>45</v>
      </c>
      <c r="EW33" s="425">
        <f t="shared" si="89"/>
        <v>45</v>
      </c>
      <c r="EX33" s="425">
        <f t="shared" si="90"/>
        <v>45</v>
      </c>
      <c r="EY33" s="425">
        <f t="shared" si="91"/>
        <v>45</v>
      </c>
      <c r="EZ33" s="425">
        <f t="shared" si="92"/>
        <v>45</v>
      </c>
    </row>
    <row r="34" spans="42:156" x14ac:dyDescent="0.2">
      <c r="AP34" s="380" t="s">
        <v>659</v>
      </c>
      <c r="AQ34" s="406">
        <f t="shared" si="41"/>
        <v>47</v>
      </c>
      <c r="AR34" s="406">
        <f t="shared" si="41"/>
        <v>47</v>
      </c>
      <c r="AS34" s="380">
        <f t="shared" si="42"/>
        <v>47</v>
      </c>
      <c r="AT34" s="380">
        <f t="shared" si="43"/>
        <v>47</v>
      </c>
      <c r="AU34" s="380">
        <f t="shared" si="44"/>
        <v>47</v>
      </c>
      <c r="AV34" s="380">
        <f t="shared" si="45"/>
        <v>47</v>
      </c>
      <c r="AW34" s="380">
        <f t="shared" si="46"/>
        <v>47</v>
      </c>
      <c r="AX34" s="380">
        <f t="shared" si="47"/>
        <v>47</v>
      </c>
      <c r="AY34" s="380">
        <f t="shared" si="48"/>
        <v>47</v>
      </c>
      <c r="AZ34" s="380">
        <f t="shared" si="49"/>
        <v>47</v>
      </c>
      <c r="BA34" s="380">
        <f t="shared" si="50"/>
        <v>47</v>
      </c>
      <c r="BB34" s="380">
        <f t="shared" si="51"/>
        <v>47</v>
      </c>
      <c r="BC34" s="380">
        <f t="shared" si="52"/>
        <v>47</v>
      </c>
      <c r="BD34" s="407">
        <f t="shared" si="52"/>
        <v>47</v>
      </c>
      <c r="BG34" s="380" t="s">
        <v>659</v>
      </c>
      <c r="BH34" s="406">
        <f t="shared" si="53"/>
        <v>47</v>
      </c>
      <c r="BI34" s="406">
        <f t="shared" si="53"/>
        <v>47</v>
      </c>
      <c r="BJ34" s="380">
        <f t="shared" si="54"/>
        <v>47</v>
      </c>
      <c r="BK34" s="380">
        <f t="shared" si="55"/>
        <v>47</v>
      </c>
      <c r="BL34" s="380">
        <f t="shared" si="56"/>
        <v>47</v>
      </c>
      <c r="BM34" s="380">
        <f t="shared" si="57"/>
        <v>47</v>
      </c>
      <c r="BN34" s="380">
        <f t="shared" si="57"/>
        <v>47</v>
      </c>
      <c r="BO34" s="380">
        <f t="shared" si="58"/>
        <v>47</v>
      </c>
      <c r="BP34" s="380">
        <f t="shared" si="59"/>
        <v>47</v>
      </c>
      <c r="BQ34" s="380">
        <f t="shared" si="60"/>
        <v>47</v>
      </c>
      <c r="BR34" s="380">
        <f t="shared" si="61"/>
        <v>47</v>
      </c>
      <c r="BS34" s="380">
        <f t="shared" si="62"/>
        <v>47</v>
      </c>
      <c r="BT34" s="380">
        <f t="shared" si="62"/>
        <v>47</v>
      </c>
      <c r="BU34" s="380">
        <f t="shared" si="63"/>
        <v>47</v>
      </c>
      <c r="BV34" s="380">
        <f t="shared" si="64"/>
        <v>47</v>
      </c>
      <c r="BW34" s="380">
        <f t="shared" si="65"/>
        <v>47</v>
      </c>
      <c r="BX34" s="407">
        <f t="shared" si="27"/>
        <v>47</v>
      </c>
      <c r="CA34" s="448"/>
      <c r="CB34" s="425">
        <f>'A-50 FGRailInv'!$C$69</f>
        <v>0</v>
      </c>
      <c r="CC34" s="425" t="str">
        <f>Valid!$B$74</f>
        <v>Elevated/Concrete</v>
      </c>
      <c r="CD34" s="425">
        <f>CD31</f>
        <v>69</v>
      </c>
      <c r="CE34" s="446">
        <f t="shared" si="112"/>
        <v>82</v>
      </c>
      <c r="CF34" s="446">
        <f t="shared" si="29"/>
        <v>82</v>
      </c>
      <c r="CG34" s="425">
        <f t="shared" si="75"/>
        <v>82</v>
      </c>
      <c r="CH34" s="425">
        <f t="shared" si="75"/>
        <v>82</v>
      </c>
      <c r="CI34" s="425">
        <f t="shared" si="75"/>
        <v>82</v>
      </c>
      <c r="CJ34" s="425">
        <f t="shared" si="75"/>
        <v>82</v>
      </c>
      <c r="CK34" s="425">
        <f t="shared" si="75"/>
        <v>82</v>
      </c>
      <c r="CL34" s="425">
        <f t="shared" si="75"/>
        <v>82</v>
      </c>
      <c r="CM34" s="425">
        <f t="shared" si="75"/>
        <v>82</v>
      </c>
      <c r="CN34" s="425">
        <f t="shared" si="75"/>
        <v>82</v>
      </c>
      <c r="CO34" s="425">
        <f t="shared" si="75"/>
        <v>82</v>
      </c>
      <c r="CP34" s="425">
        <f t="shared" si="76"/>
        <v>82</v>
      </c>
      <c r="CQ34" s="425">
        <f t="shared" si="76"/>
        <v>82</v>
      </c>
      <c r="CR34" s="425">
        <f t="shared" si="76"/>
        <v>82</v>
      </c>
      <c r="CS34" s="425">
        <f t="shared" si="76"/>
        <v>82</v>
      </c>
      <c r="CT34" s="425">
        <f t="shared" si="76"/>
        <v>82</v>
      </c>
      <c r="CU34" s="425">
        <f t="shared" si="76"/>
        <v>82</v>
      </c>
      <c r="CY34" s="425">
        <f>'A-55 TrackInv'!$C$75</f>
        <v>0</v>
      </c>
      <c r="CZ34" s="425" t="str">
        <f>Valid!$B$83</f>
        <v>Single Crossover</v>
      </c>
      <c r="DA34" s="425">
        <f t="shared" si="113"/>
        <v>75</v>
      </c>
      <c r="DB34" s="1283">
        <f>DB33+$DB$7</f>
        <v>91</v>
      </c>
      <c r="DC34" s="425">
        <f t="shared" ref="DC34:DF49" si="116">$DB34</f>
        <v>91</v>
      </c>
      <c r="DD34" s="425">
        <f t="shared" si="116"/>
        <v>91</v>
      </c>
      <c r="DE34" s="425">
        <f t="shared" si="116"/>
        <v>91</v>
      </c>
      <c r="DF34" s="425">
        <f t="shared" si="116"/>
        <v>91</v>
      </c>
      <c r="DJ34" s="380" t="s">
        <v>765</v>
      </c>
      <c r="DK34" s="425">
        <f t="shared" si="67"/>
        <v>47</v>
      </c>
      <c r="DL34" s="425">
        <f t="shared" ref="DL34:DS34" si="117">DK34</f>
        <v>47</v>
      </c>
      <c r="DM34" s="425">
        <f t="shared" si="117"/>
        <v>47</v>
      </c>
      <c r="DN34" s="425">
        <f t="shared" si="117"/>
        <v>47</v>
      </c>
      <c r="DO34" s="425">
        <f t="shared" si="117"/>
        <v>47</v>
      </c>
      <c r="DP34" s="425">
        <f t="shared" si="117"/>
        <v>47</v>
      </c>
      <c r="DQ34" s="425">
        <f t="shared" si="117"/>
        <v>47</v>
      </c>
      <c r="DR34" s="425">
        <f t="shared" si="117"/>
        <v>47</v>
      </c>
      <c r="DS34" s="425">
        <f t="shared" si="117"/>
        <v>47</v>
      </c>
      <c r="DU34" s="380" t="s">
        <v>765</v>
      </c>
      <c r="DV34" s="425">
        <f t="shared" si="66"/>
        <v>47</v>
      </c>
      <c r="DW34" s="425">
        <f t="shared" si="94"/>
        <v>47</v>
      </c>
      <c r="DX34" s="425">
        <f t="shared" si="95"/>
        <v>47</v>
      </c>
      <c r="DY34" s="425">
        <f t="shared" si="96"/>
        <v>47</v>
      </c>
      <c r="DZ34" s="425">
        <f t="shared" si="97"/>
        <v>47</v>
      </c>
      <c r="EA34" s="425">
        <f t="shared" si="98"/>
        <v>47</v>
      </c>
      <c r="EB34" s="425">
        <f t="shared" si="99"/>
        <v>47</v>
      </c>
      <c r="EC34" s="425">
        <f t="shared" si="100"/>
        <v>47</v>
      </c>
      <c r="ED34" s="425">
        <f t="shared" si="101"/>
        <v>47</v>
      </c>
      <c r="EE34" s="425">
        <f t="shared" si="102"/>
        <v>47</v>
      </c>
      <c r="EF34" s="425">
        <f t="shared" si="103"/>
        <v>47</v>
      </c>
      <c r="EG34" s="425">
        <f t="shared" si="104"/>
        <v>47</v>
      </c>
      <c r="EH34" s="425">
        <f t="shared" si="105"/>
        <v>47</v>
      </c>
      <c r="EI34" s="425">
        <f t="shared" si="106"/>
        <v>47</v>
      </c>
      <c r="EJ34" s="425">
        <f t="shared" si="107"/>
        <v>47</v>
      </c>
      <c r="EK34" s="425">
        <f t="shared" si="78"/>
        <v>47</v>
      </c>
      <c r="EL34" s="425">
        <f t="shared" si="79"/>
        <v>47</v>
      </c>
      <c r="EM34" s="425">
        <f t="shared" si="80"/>
        <v>47</v>
      </c>
      <c r="EN34" s="425">
        <f t="shared" si="81"/>
        <v>47</v>
      </c>
      <c r="EO34" s="425">
        <f t="shared" si="82"/>
        <v>47</v>
      </c>
      <c r="EP34" s="425">
        <f t="shared" si="83"/>
        <v>47</v>
      </c>
      <c r="EQ34" s="425">
        <f t="shared" si="84"/>
        <v>47</v>
      </c>
      <c r="ER34" s="425">
        <f t="shared" si="85"/>
        <v>47</v>
      </c>
      <c r="ES34" s="425">
        <f t="shared" si="86"/>
        <v>47</v>
      </c>
      <c r="ET34" s="425">
        <f t="shared" si="87"/>
        <v>47</v>
      </c>
      <c r="EU34" s="425">
        <f t="shared" si="88"/>
        <v>47</v>
      </c>
      <c r="EV34" s="425">
        <f t="shared" si="88"/>
        <v>47</v>
      </c>
      <c r="EW34" s="425">
        <f t="shared" si="89"/>
        <v>47</v>
      </c>
      <c r="EX34" s="425">
        <f t="shared" si="90"/>
        <v>47</v>
      </c>
      <c r="EY34" s="425">
        <f t="shared" si="91"/>
        <v>47</v>
      </c>
      <c r="EZ34" s="425">
        <f t="shared" si="92"/>
        <v>47</v>
      </c>
    </row>
    <row r="35" spans="42:156" x14ac:dyDescent="0.2">
      <c r="AP35" s="380" t="s">
        <v>660</v>
      </c>
      <c r="AQ35" s="406">
        <f t="shared" si="41"/>
        <v>49</v>
      </c>
      <c r="AR35" s="406">
        <f t="shared" si="41"/>
        <v>49</v>
      </c>
      <c r="AS35" s="380">
        <f t="shared" si="42"/>
        <v>49</v>
      </c>
      <c r="AT35" s="380">
        <f t="shared" si="43"/>
        <v>49</v>
      </c>
      <c r="AU35" s="380">
        <f t="shared" si="44"/>
        <v>49</v>
      </c>
      <c r="AV35" s="380">
        <f t="shared" si="45"/>
        <v>49</v>
      </c>
      <c r="AW35" s="380">
        <f t="shared" si="46"/>
        <v>49</v>
      </c>
      <c r="AX35" s="380">
        <f t="shared" si="47"/>
        <v>49</v>
      </c>
      <c r="AY35" s="380">
        <f t="shared" si="48"/>
        <v>49</v>
      </c>
      <c r="AZ35" s="380">
        <f t="shared" si="49"/>
        <v>49</v>
      </c>
      <c r="BA35" s="380">
        <f t="shared" si="50"/>
        <v>49</v>
      </c>
      <c r="BB35" s="380">
        <f t="shared" si="51"/>
        <v>49</v>
      </c>
      <c r="BC35" s="380">
        <f t="shared" si="52"/>
        <v>49</v>
      </c>
      <c r="BD35" s="407">
        <f t="shared" si="52"/>
        <v>49</v>
      </c>
      <c r="BG35" s="380" t="s">
        <v>660</v>
      </c>
      <c r="BH35" s="406">
        <f t="shared" si="53"/>
        <v>49</v>
      </c>
      <c r="BI35" s="406">
        <f t="shared" si="53"/>
        <v>49</v>
      </c>
      <c r="BJ35" s="380">
        <f t="shared" si="54"/>
        <v>49</v>
      </c>
      <c r="BK35" s="380">
        <f t="shared" si="55"/>
        <v>49</v>
      </c>
      <c r="BL35" s="380">
        <f t="shared" si="56"/>
        <v>49</v>
      </c>
      <c r="BM35" s="380">
        <f t="shared" si="57"/>
        <v>49</v>
      </c>
      <c r="BN35" s="380">
        <f t="shared" si="57"/>
        <v>49</v>
      </c>
      <c r="BO35" s="380">
        <f t="shared" si="58"/>
        <v>49</v>
      </c>
      <c r="BP35" s="380">
        <f t="shared" si="59"/>
        <v>49</v>
      </c>
      <c r="BQ35" s="380">
        <f t="shared" si="60"/>
        <v>49</v>
      </c>
      <c r="BR35" s="380">
        <f t="shared" si="61"/>
        <v>49</v>
      </c>
      <c r="BS35" s="380">
        <f t="shared" si="62"/>
        <v>49</v>
      </c>
      <c r="BT35" s="380">
        <f t="shared" si="62"/>
        <v>49</v>
      </c>
      <c r="BU35" s="380">
        <f t="shared" si="63"/>
        <v>49</v>
      </c>
      <c r="BV35" s="380">
        <f t="shared" si="64"/>
        <v>49</v>
      </c>
      <c r="BW35" s="380">
        <f t="shared" si="65"/>
        <v>49</v>
      </c>
      <c r="BX35" s="407">
        <f t="shared" si="27"/>
        <v>49</v>
      </c>
      <c r="CA35" s="448"/>
      <c r="CB35" s="425">
        <f>'A-50 FGRailInv'!$C$69</f>
        <v>0</v>
      </c>
      <c r="CC35" s="425" t="str">
        <f>Valid!$B$75</f>
        <v>Elevated/Steel Viaduct or Bridge</v>
      </c>
      <c r="CD35" s="425">
        <f>CD31</f>
        <v>69</v>
      </c>
      <c r="CE35" s="446">
        <f t="shared" si="112"/>
        <v>85</v>
      </c>
      <c r="CF35" s="446">
        <f t="shared" si="29"/>
        <v>85</v>
      </c>
      <c r="CG35" s="425">
        <f t="shared" si="75"/>
        <v>85</v>
      </c>
      <c r="CH35" s="425">
        <f t="shared" si="75"/>
        <v>85</v>
      </c>
      <c r="CI35" s="425">
        <f t="shared" si="75"/>
        <v>85</v>
      </c>
      <c r="CJ35" s="425">
        <f t="shared" si="75"/>
        <v>85</v>
      </c>
      <c r="CK35" s="425">
        <f t="shared" si="75"/>
        <v>85</v>
      </c>
      <c r="CL35" s="425">
        <f t="shared" si="75"/>
        <v>85</v>
      </c>
      <c r="CM35" s="425">
        <f t="shared" si="75"/>
        <v>85</v>
      </c>
      <c r="CN35" s="425">
        <f t="shared" si="75"/>
        <v>85</v>
      </c>
      <c r="CO35" s="425">
        <f t="shared" si="75"/>
        <v>85</v>
      </c>
      <c r="CP35" s="425">
        <f t="shared" si="76"/>
        <v>85</v>
      </c>
      <c r="CQ35" s="425">
        <f t="shared" si="76"/>
        <v>85</v>
      </c>
      <c r="CR35" s="425">
        <f t="shared" si="76"/>
        <v>85</v>
      </c>
      <c r="CS35" s="425">
        <f t="shared" si="76"/>
        <v>85</v>
      </c>
      <c r="CT35" s="425">
        <f t="shared" si="76"/>
        <v>85</v>
      </c>
      <c r="CU35" s="425">
        <f t="shared" si="76"/>
        <v>85</v>
      </c>
      <c r="CY35" s="425">
        <f>'A-55 TrackInv'!$C$75</f>
        <v>0</v>
      </c>
      <c r="CZ35" s="425" t="str">
        <f>Valid!$B$84</f>
        <v>Half Grand Union</v>
      </c>
      <c r="DA35" s="425">
        <f t="shared" si="113"/>
        <v>75</v>
      </c>
      <c r="DB35" s="1283">
        <f>DB34+$DB$7</f>
        <v>93</v>
      </c>
      <c r="DC35" s="425">
        <f t="shared" si="116"/>
        <v>93</v>
      </c>
      <c r="DD35" s="425">
        <f t="shared" si="116"/>
        <v>93</v>
      </c>
      <c r="DE35" s="425">
        <f t="shared" si="116"/>
        <v>93</v>
      </c>
      <c r="DF35" s="425">
        <f t="shared" si="116"/>
        <v>93</v>
      </c>
      <c r="DJ35" s="380" t="s">
        <v>766</v>
      </c>
      <c r="DK35" s="425">
        <f t="shared" si="67"/>
        <v>49</v>
      </c>
      <c r="DL35" s="425">
        <f t="shared" ref="DL35:DS35" si="118">DK35</f>
        <v>49</v>
      </c>
      <c r="DM35" s="425">
        <f t="shared" si="118"/>
        <v>49</v>
      </c>
      <c r="DN35" s="425">
        <f t="shared" si="118"/>
        <v>49</v>
      </c>
      <c r="DO35" s="425">
        <f t="shared" si="118"/>
        <v>49</v>
      </c>
      <c r="DP35" s="425">
        <f t="shared" si="118"/>
        <v>49</v>
      </c>
      <c r="DQ35" s="425">
        <f t="shared" si="118"/>
        <v>49</v>
      </c>
      <c r="DR35" s="425">
        <f t="shared" si="118"/>
        <v>49</v>
      </c>
      <c r="DS35" s="425">
        <f t="shared" si="118"/>
        <v>49</v>
      </c>
      <c r="DU35" s="380" t="s">
        <v>766</v>
      </c>
      <c r="DV35" s="425">
        <f t="shared" si="66"/>
        <v>49</v>
      </c>
      <c r="DW35" s="425">
        <f t="shared" si="94"/>
        <v>49</v>
      </c>
      <c r="DX35" s="425">
        <f t="shared" si="95"/>
        <v>49</v>
      </c>
      <c r="DY35" s="425">
        <f t="shared" si="96"/>
        <v>49</v>
      </c>
      <c r="DZ35" s="425">
        <f t="shared" si="97"/>
        <v>49</v>
      </c>
      <c r="EA35" s="425">
        <f t="shared" si="98"/>
        <v>49</v>
      </c>
      <c r="EB35" s="425">
        <f t="shared" si="99"/>
        <v>49</v>
      </c>
      <c r="EC35" s="425">
        <f t="shared" si="100"/>
        <v>49</v>
      </c>
      <c r="ED35" s="425">
        <f t="shared" si="101"/>
        <v>49</v>
      </c>
      <c r="EE35" s="425">
        <f t="shared" si="102"/>
        <v>49</v>
      </c>
      <c r="EF35" s="425">
        <f t="shared" si="103"/>
        <v>49</v>
      </c>
      <c r="EG35" s="425">
        <f t="shared" si="104"/>
        <v>49</v>
      </c>
      <c r="EH35" s="425">
        <f t="shared" si="105"/>
        <v>49</v>
      </c>
      <c r="EI35" s="425">
        <f t="shared" si="106"/>
        <v>49</v>
      </c>
      <c r="EJ35" s="425">
        <f t="shared" si="107"/>
        <v>49</v>
      </c>
      <c r="EK35" s="425">
        <f t="shared" si="78"/>
        <v>49</v>
      </c>
      <c r="EL35" s="425">
        <f t="shared" si="79"/>
        <v>49</v>
      </c>
      <c r="EM35" s="425">
        <f t="shared" si="80"/>
        <v>49</v>
      </c>
      <c r="EN35" s="425">
        <f t="shared" si="81"/>
        <v>49</v>
      </c>
      <c r="EO35" s="425">
        <f t="shared" si="82"/>
        <v>49</v>
      </c>
      <c r="EP35" s="425">
        <f t="shared" si="83"/>
        <v>49</v>
      </c>
      <c r="EQ35" s="425">
        <f t="shared" si="84"/>
        <v>49</v>
      </c>
      <c r="ER35" s="425">
        <f t="shared" si="85"/>
        <v>49</v>
      </c>
      <c r="ES35" s="425">
        <f t="shared" si="86"/>
        <v>49</v>
      </c>
      <c r="ET35" s="425">
        <f t="shared" si="87"/>
        <v>49</v>
      </c>
      <c r="EU35" s="425">
        <f t="shared" si="88"/>
        <v>49</v>
      </c>
      <c r="EV35" s="425">
        <f t="shared" si="88"/>
        <v>49</v>
      </c>
      <c r="EW35" s="425">
        <f t="shared" si="89"/>
        <v>49</v>
      </c>
      <c r="EX35" s="425">
        <f t="shared" si="90"/>
        <v>49</v>
      </c>
      <c r="EY35" s="425">
        <f t="shared" si="91"/>
        <v>49</v>
      </c>
      <c r="EZ35" s="425">
        <f t="shared" si="92"/>
        <v>49</v>
      </c>
    </row>
    <row r="36" spans="42:156" x14ac:dyDescent="0.2">
      <c r="AP36" s="380" t="s">
        <v>661</v>
      </c>
      <c r="AQ36" s="406">
        <f t="shared" si="41"/>
        <v>51</v>
      </c>
      <c r="AR36" s="406">
        <f t="shared" si="41"/>
        <v>51</v>
      </c>
      <c r="AS36" s="380">
        <f t="shared" si="42"/>
        <v>51</v>
      </c>
      <c r="AT36" s="380">
        <f t="shared" si="43"/>
        <v>51</v>
      </c>
      <c r="AU36" s="380">
        <f t="shared" si="44"/>
        <v>51</v>
      </c>
      <c r="AV36" s="380">
        <f t="shared" si="45"/>
        <v>51</v>
      </c>
      <c r="AW36" s="380">
        <f t="shared" si="46"/>
        <v>51</v>
      </c>
      <c r="AX36" s="380">
        <f t="shared" si="47"/>
        <v>51</v>
      </c>
      <c r="AY36" s="380">
        <f t="shared" si="48"/>
        <v>51</v>
      </c>
      <c r="AZ36" s="380">
        <f t="shared" si="49"/>
        <v>51</v>
      </c>
      <c r="BA36" s="380">
        <f t="shared" si="50"/>
        <v>51</v>
      </c>
      <c r="BB36" s="380">
        <f t="shared" si="51"/>
        <v>51</v>
      </c>
      <c r="BC36" s="380">
        <f t="shared" si="52"/>
        <v>51</v>
      </c>
      <c r="BD36" s="407">
        <f t="shared" si="52"/>
        <v>51</v>
      </c>
      <c r="BG36" s="380" t="s">
        <v>661</v>
      </c>
      <c r="BH36" s="406">
        <f t="shared" si="53"/>
        <v>51</v>
      </c>
      <c r="BI36" s="406">
        <f t="shared" si="53"/>
        <v>51</v>
      </c>
      <c r="BJ36" s="380">
        <f t="shared" si="54"/>
        <v>51</v>
      </c>
      <c r="BK36" s="380">
        <f t="shared" si="55"/>
        <v>51</v>
      </c>
      <c r="BL36" s="380">
        <f t="shared" si="56"/>
        <v>51</v>
      </c>
      <c r="BM36" s="380">
        <f t="shared" si="57"/>
        <v>51</v>
      </c>
      <c r="BN36" s="380">
        <f t="shared" si="57"/>
        <v>51</v>
      </c>
      <c r="BO36" s="380">
        <f t="shared" si="58"/>
        <v>51</v>
      </c>
      <c r="BP36" s="380">
        <f t="shared" si="59"/>
        <v>51</v>
      </c>
      <c r="BQ36" s="380">
        <f t="shared" si="60"/>
        <v>51</v>
      </c>
      <c r="BR36" s="380">
        <f t="shared" si="61"/>
        <v>51</v>
      </c>
      <c r="BS36" s="380">
        <f t="shared" si="62"/>
        <v>51</v>
      </c>
      <c r="BT36" s="380">
        <f t="shared" si="62"/>
        <v>51</v>
      </c>
      <c r="BU36" s="380">
        <f t="shared" si="63"/>
        <v>51</v>
      </c>
      <c r="BV36" s="380">
        <f t="shared" si="64"/>
        <v>51</v>
      </c>
      <c r="BW36" s="380">
        <f t="shared" si="65"/>
        <v>51</v>
      </c>
      <c r="BX36" s="407">
        <f t="shared" si="27"/>
        <v>51</v>
      </c>
      <c r="CA36" s="448">
        <f>CA17+1</f>
        <v>2</v>
      </c>
      <c r="CB36" s="425">
        <f>'A-50 FGRailInv'!$C$69</f>
        <v>0</v>
      </c>
      <c r="CC36" s="425" t="str">
        <f>Valid!$B$76</f>
        <v>Below-Grade/Retained Cut</v>
      </c>
      <c r="CD36" s="425">
        <f>CD31</f>
        <v>69</v>
      </c>
      <c r="CE36" s="1199">
        <f t="shared" si="112"/>
        <v>88</v>
      </c>
      <c r="CF36" s="446">
        <f t="shared" si="29"/>
        <v>88</v>
      </c>
      <c r="CG36" s="425">
        <f t="shared" ref="CG36:CO45" si="119">$CE36</f>
        <v>88</v>
      </c>
      <c r="CH36" s="425">
        <f t="shared" si="119"/>
        <v>88</v>
      </c>
      <c r="CI36" s="425">
        <f t="shared" si="119"/>
        <v>88</v>
      </c>
      <c r="CJ36" s="425">
        <f t="shared" si="119"/>
        <v>88</v>
      </c>
      <c r="CK36" s="425">
        <f t="shared" si="119"/>
        <v>88</v>
      </c>
      <c r="CL36" s="425">
        <f t="shared" si="119"/>
        <v>88</v>
      </c>
      <c r="CM36" s="425">
        <f t="shared" si="119"/>
        <v>88</v>
      </c>
      <c r="CN36" s="425">
        <f t="shared" si="119"/>
        <v>88</v>
      </c>
      <c r="CO36" s="425">
        <f t="shared" si="119"/>
        <v>88</v>
      </c>
      <c r="CP36" s="425">
        <f t="shared" ref="CP36:CU45" si="120">$CE36</f>
        <v>88</v>
      </c>
      <c r="CQ36" s="425">
        <f t="shared" si="120"/>
        <v>88</v>
      </c>
      <c r="CR36" s="425">
        <f t="shared" si="120"/>
        <v>88</v>
      </c>
      <c r="CS36" s="425">
        <f t="shared" si="120"/>
        <v>88</v>
      </c>
      <c r="CT36" s="425">
        <f t="shared" si="120"/>
        <v>88</v>
      </c>
      <c r="CU36" s="425">
        <f t="shared" si="120"/>
        <v>88</v>
      </c>
      <c r="CY36" s="425">
        <f>'A-55 TrackInv'!$C$75</f>
        <v>0</v>
      </c>
      <c r="CZ36" s="425" t="str">
        <f>Valid!$B$85</f>
        <v>Single Turnout</v>
      </c>
      <c r="DA36" s="425">
        <f t="shared" si="113"/>
        <v>75</v>
      </c>
      <c r="DB36" s="1283">
        <f>DB35+$DB$7</f>
        <v>95</v>
      </c>
      <c r="DC36" s="425">
        <f t="shared" si="116"/>
        <v>95</v>
      </c>
      <c r="DD36" s="425">
        <f t="shared" si="116"/>
        <v>95</v>
      </c>
      <c r="DE36" s="425">
        <f t="shared" si="116"/>
        <v>95</v>
      </c>
      <c r="DF36" s="425">
        <f t="shared" si="116"/>
        <v>95</v>
      </c>
      <c r="DJ36" s="380" t="s">
        <v>767</v>
      </c>
      <c r="DK36" s="425">
        <f t="shared" si="67"/>
        <v>51</v>
      </c>
      <c r="DL36" s="425">
        <f t="shared" ref="DL36:DS36" si="121">DK36</f>
        <v>51</v>
      </c>
      <c r="DM36" s="425">
        <f t="shared" si="121"/>
        <v>51</v>
      </c>
      <c r="DN36" s="425">
        <f t="shared" si="121"/>
        <v>51</v>
      </c>
      <c r="DO36" s="425">
        <f t="shared" si="121"/>
        <v>51</v>
      </c>
      <c r="DP36" s="425">
        <f t="shared" si="121"/>
        <v>51</v>
      </c>
      <c r="DQ36" s="425">
        <f t="shared" si="121"/>
        <v>51</v>
      </c>
      <c r="DR36" s="425">
        <f t="shared" si="121"/>
        <v>51</v>
      </c>
      <c r="DS36" s="425">
        <f t="shared" si="121"/>
        <v>51</v>
      </c>
      <c r="DU36" s="380" t="s">
        <v>767</v>
      </c>
      <c r="DV36" s="425">
        <f t="shared" si="66"/>
        <v>51</v>
      </c>
      <c r="DW36" s="425">
        <f t="shared" si="94"/>
        <v>51</v>
      </c>
      <c r="DX36" s="425">
        <f t="shared" si="95"/>
        <v>51</v>
      </c>
      <c r="DY36" s="425">
        <f t="shared" si="96"/>
        <v>51</v>
      </c>
      <c r="DZ36" s="425">
        <f t="shared" si="97"/>
        <v>51</v>
      </c>
      <c r="EA36" s="425">
        <f t="shared" si="98"/>
        <v>51</v>
      </c>
      <c r="EB36" s="425">
        <f t="shared" si="99"/>
        <v>51</v>
      </c>
      <c r="EC36" s="425">
        <f t="shared" si="100"/>
        <v>51</v>
      </c>
      <c r="ED36" s="425">
        <f t="shared" si="101"/>
        <v>51</v>
      </c>
      <c r="EE36" s="425">
        <f t="shared" si="102"/>
        <v>51</v>
      </c>
      <c r="EF36" s="425">
        <f t="shared" si="103"/>
        <v>51</v>
      </c>
      <c r="EG36" s="425">
        <f t="shared" si="104"/>
        <v>51</v>
      </c>
      <c r="EH36" s="425">
        <f t="shared" si="105"/>
        <v>51</v>
      </c>
      <c r="EI36" s="425">
        <f t="shared" si="106"/>
        <v>51</v>
      </c>
      <c r="EJ36" s="425">
        <f t="shared" si="107"/>
        <v>51</v>
      </c>
      <c r="EK36" s="425">
        <f t="shared" si="78"/>
        <v>51</v>
      </c>
      <c r="EL36" s="425">
        <f t="shared" si="79"/>
        <v>51</v>
      </c>
      <c r="EM36" s="425">
        <f t="shared" si="80"/>
        <v>51</v>
      </c>
      <c r="EN36" s="425">
        <f t="shared" si="81"/>
        <v>51</v>
      </c>
      <c r="EO36" s="425">
        <f t="shared" si="82"/>
        <v>51</v>
      </c>
      <c r="EP36" s="425">
        <f t="shared" si="83"/>
        <v>51</v>
      </c>
      <c r="EQ36" s="425">
        <f t="shared" si="84"/>
        <v>51</v>
      </c>
      <c r="ER36" s="425">
        <f t="shared" si="85"/>
        <v>51</v>
      </c>
      <c r="ES36" s="425">
        <f t="shared" si="86"/>
        <v>51</v>
      </c>
      <c r="ET36" s="425">
        <f t="shared" si="87"/>
        <v>51</v>
      </c>
      <c r="EU36" s="425">
        <f t="shared" si="88"/>
        <v>51</v>
      </c>
      <c r="EV36" s="425">
        <f t="shared" si="88"/>
        <v>51</v>
      </c>
      <c r="EW36" s="425">
        <f t="shared" si="89"/>
        <v>51</v>
      </c>
      <c r="EX36" s="425">
        <f t="shared" si="90"/>
        <v>51</v>
      </c>
      <c r="EY36" s="425">
        <f t="shared" si="91"/>
        <v>51</v>
      </c>
      <c r="EZ36" s="425">
        <f t="shared" si="92"/>
        <v>51</v>
      </c>
    </row>
    <row r="37" spans="42:156" x14ac:dyDescent="0.2">
      <c r="AP37" s="380" t="s">
        <v>662</v>
      </c>
      <c r="AQ37" s="406">
        <f t="shared" si="41"/>
        <v>53</v>
      </c>
      <c r="AR37" s="406">
        <f t="shared" si="41"/>
        <v>53</v>
      </c>
      <c r="AS37" s="380">
        <f t="shared" si="42"/>
        <v>53</v>
      </c>
      <c r="AT37" s="380">
        <f t="shared" si="43"/>
        <v>53</v>
      </c>
      <c r="AU37" s="380">
        <f t="shared" si="44"/>
        <v>53</v>
      </c>
      <c r="AV37" s="380">
        <f t="shared" si="45"/>
        <v>53</v>
      </c>
      <c r="AW37" s="380">
        <f t="shared" si="46"/>
        <v>53</v>
      </c>
      <c r="AX37" s="380">
        <f t="shared" si="47"/>
        <v>53</v>
      </c>
      <c r="AY37" s="380">
        <f t="shared" si="48"/>
        <v>53</v>
      </c>
      <c r="AZ37" s="380">
        <f t="shared" si="49"/>
        <v>53</v>
      </c>
      <c r="BA37" s="380">
        <f t="shared" si="50"/>
        <v>53</v>
      </c>
      <c r="BB37" s="380">
        <f t="shared" si="51"/>
        <v>53</v>
      </c>
      <c r="BC37" s="380">
        <f t="shared" si="52"/>
        <v>53</v>
      </c>
      <c r="BD37" s="407">
        <f t="shared" si="52"/>
        <v>53</v>
      </c>
      <c r="BG37" s="380" t="s">
        <v>662</v>
      </c>
      <c r="BH37" s="406">
        <f t="shared" si="53"/>
        <v>53</v>
      </c>
      <c r="BI37" s="406">
        <f t="shared" si="53"/>
        <v>53</v>
      </c>
      <c r="BJ37" s="380">
        <f t="shared" si="54"/>
        <v>53</v>
      </c>
      <c r="BK37" s="380">
        <f t="shared" si="55"/>
        <v>53</v>
      </c>
      <c r="BL37" s="380">
        <f t="shared" si="56"/>
        <v>53</v>
      </c>
      <c r="BM37" s="380">
        <f t="shared" si="57"/>
        <v>53</v>
      </c>
      <c r="BN37" s="380">
        <f t="shared" si="57"/>
        <v>53</v>
      </c>
      <c r="BO37" s="380">
        <f t="shared" si="58"/>
        <v>53</v>
      </c>
      <c r="BP37" s="380">
        <f t="shared" si="59"/>
        <v>53</v>
      </c>
      <c r="BQ37" s="380">
        <f t="shared" si="60"/>
        <v>53</v>
      </c>
      <c r="BR37" s="380">
        <f t="shared" si="61"/>
        <v>53</v>
      </c>
      <c r="BS37" s="380">
        <f t="shared" si="62"/>
        <v>53</v>
      </c>
      <c r="BT37" s="380">
        <f t="shared" si="62"/>
        <v>53</v>
      </c>
      <c r="BU37" s="380">
        <f t="shared" si="63"/>
        <v>53</v>
      </c>
      <c r="BV37" s="380">
        <f t="shared" si="64"/>
        <v>53</v>
      </c>
      <c r="BW37" s="380">
        <f t="shared" si="65"/>
        <v>53</v>
      </c>
      <c r="BX37" s="407">
        <f t="shared" si="27"/>
        <v>53</v>
      </c>
      <c r="CA37" s="448"/>
      <c r="CB37" s="425">
        <f>'A-50 FGRailInv'!$C$69</f>
        <v>0</v>
      </c>
      <c r="CC37" s="425" t="str">
        <f>Valid!$B$77</f>
        <v>Below-Grade/Cut-and-Cover Tunnel</v>
      </c>
      <c r="CD37" s="425">
        <f>CD31</f>
        <v>69</v>
      </c>
      <c r="CE37" s="446">
        <f t="shared" si="112"/>
        <v>91</v>
      </c>
      <c r="CF37" s="446">
        <f t="shared" si="29"/>
        <v>91</v>
      </c>
      <c r="CG37" s="425">
        <f t="shared" si="119"/>
        <v>91</v>
      </c>
      <c r="CH37" s="425">
        <f t="shared" si="119"/>
        <v>91</v>
      </c>
      <c r="CI37" s="425">
        <f t="shared" si="119"/>
        <v>91</v>
      </c>
      <c r="CJ37" s="425">
        <f t="shared" si="119"/>
        <v>91</v>
      </c>
      <c r="CK37" s="425">
        <f t="shared" si="119"/>
        <v>91</v>
      </c>
      <c r="CL37" s="425">
        <f t="shared" si="119"/>
        <v>91</v>
      </c>
      <c r="CM37" s="425">
        <f t="shared" si="119"/>
        <v>91</v>
      </c>
      <c r="CN37" s="425">
        <f t="shared" si="119"/>
        <v>91</v>
      </c>
      <c r="CO37" s="425">
        <f t="shared" si="119"/>
        <v>91</v>
      </c>
      <c r="CP37" s="425">
        <f t="shared" si="120"/>
        <v>91</v>
      </c>
      <c r="CQ37" s="425">
        <f t="shared" si="120"/>
        <v>91</v>
      </c>
      <c r="CR37" s="425">
        <f t="shared" si="120"/>
        <v>91</v>
      </c>
      <c r="CS37" s="425">
        <f t="shared" si="120"/>
        <v>91</v>
      </c>
      <c r="CT37" s="425">
        <f t="shared" si="120"/>
        <v>91</v>
      </c>
      <c r="CU37" s="425">
        <f t="shared" si="120"/>
        <v>91</v>
      </c>
      <c r="CY37" s="425">
        <f>'A-55 TrackInv'!$C$75</f>
        <v>0</v>
      </c>
      <c r="CZ37" s="425" t="str">
        <f>Valid!$B$86</f>
        <v>Grade Crossings</v>
      </c>
      <c r="DA37" s="425">
        <f t="shared" si="113"/>
        <v>75</v>
      </c>
      <c r="DB37" s="1283">
        <f>DB36+$DB$7</f>
        <v>97</v>
      </c>
      <c r="DC37" s="425">
        <f t="shared" si="116"/>
        <v>97</v>
      </c>
      <c r="DD37" s="425">
        <f t="shared" si="116"/>
        <v>97</v>
      </c>
      <c r="DE37" s="425">
        <f t="shared" si="116"/>
        <v>97</v>
      </c>
      <c r="DF37" s="425">
        <f t="shared" si="116"/>
        <v>97</v>
      </c>
      <c r="DJ37" s="380" t="s">
        <v>768</v>
      </c>
      <c r="DK37" s="425">
        <f t="shared" si="67"/>
        <v>53</v>
      </c>
      <c r="DL37" s="425">
        <f t="shared" ref="DL37:DS37" si="122">DK37</f>
        <v>53</v>
      </c>
      <c r="DM37" s="425">
        <f t="shared" si="122"/>
        <v>53</v>
      </c>
      <c r="DN37" s="425">
        <f t="shared" si="122"/>
        <v>53</v>
      </c>
      <c r="DO37" s="425">
        <f t="shared" si="122"/>
        <v>53</v>
      </c>
      <c r="DP37" s="425">
        <f t="shared" si="122"/>
        <v>53</v>
      </c>
      <c r="DQ37" s="425">
        <f t="shared" si="122"/>
        <v>53</v>
      </c>
      <c r="DR37" s="425">
        <f t="shared" si="122"/>
        <v>53</v>
      </c>
      <c r="DS37" s="425">
        <f t="shared" si="122"/>
        <v>53</v>
      </c>
      <c r="DU37" s="380" t="s">
        <v>768</v>
      </c>
      <c r="DV37" s="425">
        <f t="shared" si="66"/>
        <v>53</v>
      </c>
      <c r="DW37" s="425">
        <f t="shared" si="94"/>
        <v>53</v>
      </c>
      <c r="DX37" s="425">
        <f t="shared" si="95"/>
        <v>53</v>
      </c>
      <c r="DY37" s="425">
        <f t="shared" si="96"/>
        <v>53</v>
      </c>
      <c r="DZ37" s="425">
        <f t="shared" si="97"/>
        <v>53</v>
      </c>
      <c r="EA37" s="425">
        <f t="shared" si="98"/>
        <v>53</v>
      </c>
      <c r="EB37" s="425">
        <f t="shared" si="99"/>
        <v>53</v>
      </c>
      <c r="EC37" s="425">
        <f t="shared" si="100"/>
        <v>53</v>
      </c>
      <c r="ED37" s="425">
        <f t="shared" si="101"/>
        <v>53</v>
      </c>
      <c r="EE37" s="425">
        <f t="shared" si="102"/>
        <v>53</v>
      </c>
      <c r="EF37" s="425">
        <f t="shared" si="103"/>
        <v>53</v>
      </c>
      <c r="EG37" s="425">
        <f t="shared" si="104"/>
        <v>53</v>
      </c>
      <c r="EH37" s="425">
        <f t="shared" si="105"/>
        <v>53</v>
      </c>
      <c r="EI37" s="425">
        <f t="shared" si="106"/>
        <v>53</v>
      </c>
      <c r="EJ37" s="425">
        <f t="shared" si="107"/>
        <v>53</v>
      </c>
      <c r="EK37" s="425">
        <f t="shared" si="78"/>
        <v>53</v>
      </c>
      <c r="EL37" s="425">
        <f t="shared" si="79"/>
        <v>53</v>
      </c>
      <c r="EM37" s="425">
        <f t="shared" si="80"/>
        <v>53</v>
      </c>
      <c r="EN37" s="425">
        <f t="shared" si="81"/>
        <v>53</v>
      </c>
      <c r="EO37" s="425">
        <f t="shared" si="82"/>
        <v>53</v>
      </c>
      <c r="EP37" s="425">
        <f t="shared" si="83"/>
        <v>53</v>
      </c>
      <c r="EQ37" s="425">
        <f t="shared" si="84"/>
        <v>53</v>
      </c>
      <c r="ER37" s="425">
        <f t="shared" si="85"/>
        <v>53</v>
      </c>
      <c r="ES37" s="425">
        <f t="shared" si="86"/>
        <v>53</v>
      </c>
      <c r="ET37" s="425">
        <f t="shared" si="87"/>
        <v>53</v>
      </c>
      <c r="EU37" s="425">
        <f t="shared" si="88"/>
        <v>53</v>
      </c>
      <c r="EV37" s="425">
        <f t="shared" si="88"/>
        <v>53</v>
      </c>
      <c r="EW37" s="425">
        <f t="shared" si="89"/>
        <v>53</v>
      </c>
      <c r="EX37" s="425">
        <f t="shared" si="90"/>
        <v>53</v>
      </c>
      <c r="EY37" s="425">
        <f t="shared" si="91"/>
        <v>53</v>
      </c>
      <c r="EZ37" s="425">
        <f t="shared" si="92"/>
        <v>53</v>
      </c>
    </row>
    <row r="38" spans="42:156" x14ac:dyDescent="0.2">
      <c r="AP38" s="380" t="s">
        <v>663</v>
      </c>
      <c r="AQ38" s="406">
        <f t="shared" si="41"/>
        <v>55</v>
      </c>
      <c r="AR38" s="406">
        <f t="shared" si="41"/>
        <v>55</v>
      </c>
      <c r="AS38" s="380">
        <f t="shared" si="42"/>
        <v>55</v>
      </c>
      <c r="AT38" s="380">
        <f t="shared" si="43"/>
        <v>55</v>
      </c>
      <c r="AU38" s="380">
        <f t="shared" si="44"/>
        <v>55</v>
      </c>
      <c r="AV38" s="380">
        <f t="shared" si="45"/>
        <v>55</v>
      </c>
      <c r="AW38" s="380">
        <f t="shared" si="46"/>
        <v>55</v>
      </c>
      <c r="AX38" s="380">
        <f t="shared" si="47"/>
        <v>55</v>
      </c>
      <c r="AY38" s="380">
        <f t="shared" si="48"/>
        <v>55</v>
      </c>
      <c r="AZ38" s="380">
        <f t="shared" si="49"/>
        <v>55</v>
      </c>
      <c r="BA38" s="380">
        <f t="shared" si="50"/>
        <v>55</v>
      </c>
      <c r="BB38" s="380">
        <f t="shared" si="51"/>
        <v>55</v>
      </c>
      <c r="BC38" s="380">
        <f t="shared" si="52"/>
        <v>55</v>
      </c>
      <c r="BD38" s="407">
        <f t="shared" si="52"/>
        <v>55</v>
      </c>
      <c r="BG38" s="380" t="s">
        <v>663</v>
      </c>
      <c r="BH38" s="406">
        <f t="shared" si="53"/>
        <v>55</v>
      </c>
      <c r="BI38" s="406">
        <f t="shared" si="53"/>
        <v>55</v>
      </c>
      <c r="BJ38" s="380">
        <f t="shared" si="54"/>
        <v>55</v>
      </c>
      <c r="BK38" s="380">
        <f t="shared" si="55"/>
        <v>55</v>
      </c>
      <c r="BL38" s="380">
        <f t="shared" si="56"/>
        <v>55</v>
      </c>
      <c r="BM38" s="380">
        <f t="shared" si="57"/>
        <v>55</v>
      </c>
      <c r="BN38" s="380">
        <f t="shared" si="57"/>
        <v>55</v>
      </c>
      <c r="BO38" s="380">
        <f t="shared" si="58"/>
        <v>55</v>
      </c>
      <c r="BP38" s="380">
        <f t="shared" si="59"/>
        <v>55</v>
      </c>
      <c r="BQ38" s="380">
        <f t="shared" si="60"/>
        <v>55</v>
      </c>
      <c r="BR38" s="380">
        <f t="shared" si="61"/>
        <v>55</v>
      </c>
      <c r="BS38" s="380">
        <f t="shared" si="62"/>
        <v>55</v>
      </c>
      <c r="BT38" s="380">
        <f t="shared" si="62"/>
        <v>55</v>
      </c>
      <c r="BU38" s="380">
        <f t="shared" si="63"/>
        <v>55</v>
      </c>
      <c r="BV38" s="380">
        <f t="shared" si="64"/>
        <v>55</v>
      </c>
      <c r="BW38" s="380">
        <f t="shared" si="65"/>
        <v>55</v>
      </c>
      <c r="BX38" s="407">
        <f t="shared" si="27"/>
        <v>55</v>
      </c>
      <c r="CA38" s="448"/>
      <c r="CB38" s="425">
        <f>'A-50 FGRailInv'!$C$69</f>
        <v>0</v>
      </c>
      <c r="CC38" s="425" t="str">
        <f>Valid!$B$78</f>
        <v>Below-Grade/Bored or Blasted Tunnel</v>
      </c>
      <c r="CD38" s="425">
        <f>CD31</f>
        <v>69</v>
      </c>
      <c r="CE38" s="446">
        <f t="shared" si="112"/>
        <v>94</v>
      </c>
      <c r="CF38" s="446">
        <f t="shared" si="29"/>
        <v>94</v>
      </c>
      <c r="CG38" s="425">
        <f t="shared" si="119"/>
        <v>94</v>
      </c>
      <c r="CH38" s="425">
        <f t="shared" si="119"/>
        <v>94</v>
      </c>
      <c r="CI38" s="425">
        <f t="shared" si="119"/>
        <v>94</v>
      </c>
      <c r="CJ38" s="425">
        <f t="shared" si="119"/>
        <v>94</v>
      </c>
      <c r="CK38" s="425">
        <f t="shared" si="119"/>
        <v>94</v>
      </c>
      <c r="CL38" s="425">
        <f t="shared" si="119"/>
        <v>94</v>
      </c>
      <c r="CM38" s="425">
        <f t="shared" si="119"/>
        <v>94</v>
      </c>
      <c r="CN38" s="425">
        <f t="shared" si="119"/>
        <v>94</v>
      </c>
      <c r="CO38" s="425">
        <f t="shared" si="119"/>
        <v>94</v>
      </c>
      <c r="CP38" s="425">
        <f t="shared" si="120"/>
        <v>94</v>
      </c>
      <c r="CQ38" s="425">
        <f t="shared" si="120"/>
        <v>94</v>
      </c>
      <c r="CR38" s="425">
        <f t="shared" si="120"/>
        <v>94</v>
      </c>
      <c r="CS38" s="425">
        <f t="shared" si="120"/>
        <v>94</v>
      </c>
      <c r="CT38" s="425">
        <f t="shared" si="120"/>
        <v>94</v>
      </c>
      <c r="CU38" s="425">
        <f t="shared" si="120"/>
        <v>94</v>
      </c>
      <c r="CX38" s="380">
        <f>CX31+1</f>
        <v>4</v>
      </c>
      <c r="CY38" s="425">
        <f>'A-55 TrackInv'!$C$106</f>
        <v>0</v>
      </c>
      <c r="CZ38" s="425" t="str">
        <f>Valid!$B$80</f>
        <v>Tangent</v>
      </c>
      <c r="DA38" s="425">
        <f>DA32+$DA$7</f>
        <v>106</v>
      </c>
      <c r="DB38" s="1283">
        <f>DB37+$DB$9</f>
        <v>112</v>
      </c>
      <c r="DC38" s="425">
        <f t="shared" si="116"/>
        <v>112</v>
      </c>
      <c r="DD38" s="425">
        <f t="shared" si="116"/>
        <v>112</v>
      </c>
      <c r="DE38" s="425">
        <f t="shared" si="116"/>
        <v>112</v>
      </c>
      <c r="DF38" s="425">
        <f t="shared" si="116"/>
        <v>112</v>
      </c>
      <c r="DJ38" s="380" t="s">
        <v>769</v>
      </c>
      <c r="DK38" s="425">
        <f t="shared" si="67"/>
        <v>55</v>
      </c>
      <c r="DL38" s="425">
        <f t="shared" ref="DL38:DS38" si="123">DK38</f>
        <v>55</v>
      </c>
      <c r="DM38" s="425">
        <f t="shared" si="123"/>
        <v>55</v>
      </c>
      <c r="DN38" s="425">
        <f t="shared" si="123"/>
        <v>55</v>
      </c>
      <c r="DO38" s="425">
        <f t="shared" si="123"/>
        <v>55</v>
      </c>
      <c r="DP38" s="425">
        <f t="shared" si="123"/>
        <v>55</v>
      </c>
      <c r="DQ38" s="425">
        <f t="shared" si="123"/>
        <v>55</v>
      </c>
      <c r="DR38" s="425">
        <f t="shared" si="123"/>
        <v>55</v>
      </c>
      <c r="DS38" s="425">
        <f t="shared" si="123"/>
        <v>55</v>
      </c>
      <c r="DU38" s="380" t="s">
        <v>769</v>
      </c>
      <c r="DV38" s="425">
        <f t="shared" si="66"/>
        <v>55</v>
      </c>
      <c r="DW38" s="425">
        <f t="shared" si="94"/>
        <v>55</v>
      </c>
      <c r="DX38" s="425">
        <f t="shared" si="95"/>
        <v>55</v>
      </c>
      <c r="DY38" s="425">
        <f t="shared" si="96"/>
        <v>55</v>
      </c>
      <c r="DZ38" s="425">
        <f t="shared" si="97"/>
        <v>55</v>
      </c>
      <c r="EA38" s="425">
        <f t="shared" si="98"/>
        <v>55</v>
      </c>
      <c r="EB38" s="425">
        <f t="shared" si="99"/>
        <v>55</v>
      </c>
      <c r="EC38" s="425">
        <f t="shared" si="100"/>
        <v>55</v>
      </c>
      <c r="ED38" s="425">
        <f t="shared" si="101"/>
        <v>55</v>
      </c>
      <c r="EE38" s="425">
        <f t="shared" si="102"/>
        <v>55</v>
      </c>
      <c r="EF38" s="425">
        <f t="shared" si="103"/>
        <v>55</v>
      </c>
      <c r="EG38" s="425">
        <f t="shared" si="104"/>
        <v>55</v>
      </c>
      <c r="EH38" s="425">
        <f t="shared" si="105"/>
        <v>55</v>
      </c>
      <c r="EI38" s="425">
        <f t="shared" si="106"/>
        <v>55</v>
      </c>
      <c r="EJ38" s="425">
        <f t="shared" si="107"/>
        <v>55</v>
      </c>
      <c r="EK38" s="425">
        <f t="shared" si="78"/>
        <v>55</v>
      </c>
      <c r="EL38" s="425">
        <f t="shared" si="79"/>
        <v>55</v>
      </c>
      <c r="EM38" s="425">
        <f t="shared" si="80"/>
        <v>55</v>
      </c>
      <c r="EN38" s="425">
        <f t="shared" si="81"/>
        <v>55</v>
      </c>
      <c r="EO38" s="425">
        <f t="shared" si="82"/>
        <v>55</v>
      </c>
      <c r="EP38" s="425">
        <f t="shared" si="83"/>
        <v>55</v>
      </c>
      <c r="EQ38" s="425">
        <f t="shared" si="84"/>
        <v>55</v>
      </c>
      <c r="ER38" s="425">
        <f t="shared" si="85"/>
        <v>55</v>
      </c>
      <c r="ES38" s="425">
        <f t="shared" si="86"/>
        <v>55</v>
      </c>
      <c r="ET38" s="425">
        <f t="shared" si="87"/>
        <v>55</v>
      </c>
      <c r="EU38" s="425">
        <f t="shared" si="88"/>
        <v>55</v>
      </c>
      <c r="EV38" s="425">
        <f t="shared" si="88"/>
        <v>55</v>
      </c>
      <c r="EW38" s="425">
        <f t="shared" si="89"/>
        <v>55</v>
      </c>
      <c r="EX38" s="425">
        <f t="shared" si="90"/>
        <v>55</v>
      </c>
      <c r="EY38" s="425">
        <f t="shared" si="91"/>
        <v>55</v>
      </c>
      <c r="EZ38" s="425">
        <f t="shared" si="92"/>
        <v>55</v>
      </c>
    </row>
    <row r="39" spans="42:156" x14ac:dyDescent="0.2">
      <c r="AP39" s="380" t="s">
        <v>664</v>
      </c>
      <c r="AQ39" s="406">
        <f t="shared" si="41"/>
        <v>57</v>
      </c>
      <c r="AR39" s="406">
        <f t="shared" si="41"/>
        <v>57</v>
      </c>
      <c r="AS39" s="380">
        <f t="shared" si="42"/>
        <v>57</v>
      </c>
      <c r="AT39" s="380">
        <f t="shared" si="43"/>
        <v>57</v>
      </c>
      <c r="AU39" s="380">
        <f t="shared" si="44"/>
        <v>57</v>
      </c>
      <c r="AV39" s="380">
        <f t="shared" si="45"/>
        <v>57</v>
      </c>
      <c r="AW39" s="380">
        <f t="shared" si="46"/>
        <v>57</v>
      </c>
      <c r="AX39" s="380">
        <f t="shared" si="47"/>
        <v>57</v>
      </c>
      <c r="AY39" s="380">
        <f t="shared" si="48"/>
        <v>57</v>
      </c>
      <c r="AZ39" s="380">
        <f t="shared" si="49"/>
        <v>57</v>
      </c>
      <c r="BA39" s="380">
        <f t="shared" si="50"/>
        <v>57</v>
      </c>
      <c r="BB39" s="380">
        <f t="shared" si="51"/>
        <v>57</v>
      </c>
      <c r="BC39" s="380">
        <f t="shared" si="52"/>
        <v>57</v>
      </c>
      <c r="BD39" s="407">
        <f t="shared" si="52"/>
        <v>57</v>
      </c>
      <c r="BG39" s="380" t="s">
        <v>664</v>
      </c>
      <c r="BH39" s="406">
        <f t="shared" si="53"/>
        <v>57</v>
      </c>
      <c r="BI39" s="406">
        <f t="shared" si="53"/>
        <v>57</v>
      </c>
      <c r="BJ39" s="380">
        <f t="shared" si="54"/>
        <v>57</v>
      </c>
      <c r="BK39" s="380">
        <f t="shared" si="55"/>
        <v>57</v>
      </c>
      <c r="BL39" s="380">
        <f t="shared" si="56"/>
        <v>57</v>
      </c>
      <c r="BM39" s="380">
        <f t="shared" si="57"/>
        <v>57</v>
      </c>
      <c r="BN39" s="380">
        <f t="shared" si="57"/>
        <v>57</v>
      </c>
      <c r="BO39" s="380">
        <f t="shared" si="58"/>
        <v>57</v>
      </c>
      <c r="BP39" s="380">
        <f t="shared" si="59"/>
        <v>57</v>
      </c>
      <c r="BQ39" s="380">
        <f t="shared" si="60"/>
        <v>57</v>
      </c>
      <c r="BR39" s="380">
        <f t="shared" si="61"/>
        <v>57</v>
      </c>
      <c r="BS39" s="380">
        <f t="shared" si="62"/>
        <v>57</v>
      </c>
      <c r="BT39" s="380">
        <f t="shared" si="62"/>
        <v>57</v>
      </c>
      <c r="BU39" s="380">
        <f t="shared" si="63"/>
        <v>57</v>
      </c>
      <c r="BV39" s="380">
        <f t="shared" si="64"/>
        <v>57</v>
      </c>
      <c r="BW39" s="380">
        <f t="shared" si="65"/>
        <v>57</v>
      </c>
      <c r="BX39" s="407">
        <f t="shared" si="27"/>
        <v>57</v>
      </c>
      <c r="CA39" s="448"/>
      <c r="CB39" s="425">
        <f>'A-50 FGRailInv'!$C$69</f>
        <v>0</v>
      </c>
      <c r="CC39" s="425" t="str">
        <f>Valid!$B$79</f>
        <v>Below-Grade/Submerged Tube</v>
      </c>
      <c r="CD39" s="425">
        <f>CD31</f>
        <v>69</v>
      </c>
      <c r="CE39" s="1199">
        <f t="shared" si="112"/>
        <v>97</v>
      </c>
      <c r="CF39" s="446">
        <f t="shared" si="29"/>
        <v>97</v>
      </c>
      <c r="CG39" s="425">
        <f t="shared" si="119"/>
        <v>97</v>
      </c>
      <c r="CH39" s="425">
        <f t="shared" si="119"/>
        <v>97</v>
      </c>
      <c r="CI39" s="425">
        <f t="shared" si="119"/>
        <v>97</v>
      </c>
      <c r="CJ39" s="425">
        <f t="shared" si="119"/>
        <v>97</v>
      </c>
      <c r="CK39" s="425">
        <f t="shared" si="119"/>
        <v>97</v>
      </c>
      <c r="CL39" s="425">
        <f t="shared" si="119"/>
        <v>97</v>
      </c>
      <c r="CM39" s="425">
        <f t="shared" si="119"/>
        <v>97</v>
      </c>
      <c r="CN39" s="425">
        <f t="shared" si="119"/>
        <v>97</v>
      </c>
      <c r="CO39" s="425">
        <f t="shared" si="119"/>
        <v>97</v>
      </c>
      <c r="CP39" s="425">
        <f t="shared" si="120"/>
        <v>97</v>
      </c>
      <c r="CQ39" s="425">
        <f t="shared" si="120"/>
        <v>97</v>
      </c>
      <c r="CR39" s="425">
        <f t="shared" si="120"/>
        <v>97</v>
      </c>
      <c r="CS39" s="425">
        <f t="shared" si="120"/>
        <v>97</v>
      </c>
      <c r="CT39" s="425">
        <f t="shared" si="120"/>
        <v>97</v>
      </c>
      <c r="CU39" s="425">
        <f t="shared" si="120"/>
        <v>97</v>
      </c>
      <c r="CY39" s="425">
        <f>'A-55 TrackInv'!$C$106</f>
        <v>0</v>
      </c>
      <c r="CZ39" s="425" t="str">
        <f>Valid!$B$81</f>
        <v>Curve</v>
      </c>
      <c r="DA39" s="425">
        <f t="shared" ref="DA39:DA44" si="124">DA32+$DA$7</f>
        <v>106</v>
      </c>
      <c r="DB39" s="1283">
        <f t="shared" ref="DB39:DB44" si="125">DB38+$DB$7</f>
        <v>114</v>
      </c>
      <c r="DC39" s="425">
        <f t="shared" si="116"/>
        <v>114</v>
      </c>
      <c r="DD39" s="425">
        <f t="shared" si="116"/>
        <v>114</v>
      </c>
      <c r="DE39" s="425">
        <f t="shared" si="116"/>
        <v>114</v>
      </c>
      <c r="DF39" s="425">
        <f t="shared" si="116"/>
        <v>114</v>
      </c>
      <c r="DJ39" s="380" t="s">
        <v>770</v>
      </c>
      <c r="DK39" s="425">
        <f t="shared" si="67"/>
        <v>57</v>
      </c>
      <c r="DL39" s="425">
        <f t="shared" ref="DL39:DS39" si="126">DK39</f>
        <v>57</v>
      </c>
      <c r="DM39" s="425">
        <f t="shared" si="126"/>
        <v>57</v>
      </c>
      <c r="DN39" s="425">
        <f t="shared" si="126"/>
        <v>57</v>
      </c>
      <c r="DO39" s="425">
        <f t="shared" si="126"/>
        <v>57</v>
      </c>
      <c r="DP39" s="425">
        <f t="shared" si="126"/>
        <v>57</v>
      </c>
      <c r="DQ39" s="425">
        <f t="shared" si="126"/>
        <v>57</v>
      </c>
      <c r="DR39" s="425">
        <f t="shared" si="126"/>
        <v>57</v>
      </c>
      <c r="DS39" s="425">
        <f t="shared" si="126"/>
        <v>57</v>
      </c>
      <c r="DU39" s="380" t="s">
        <v>770</v>
      </c>
      <c r="DV39" s="425">
        <f t="shared" si="66"/>
        <v>57</v>
      </c>
      <c r="DW39" s="425">
        <f t="shared" si="94"/>
        <v>57</v>
      </c>
      <c r="DX39" s="425">
        <f t="shared" si="95"/>
        <v>57</v>
      </c>
      <c r="DY39" s="425">
        <f t="shared" si="96"/>
        <v>57</v>
      </c>
      <c r="DZ39" s="425">
        <f t="shared" si="97"/>
        <v>57</v>
      </c>
      <c r="EA39" s="425">
        <f t="shared" si="98"/>
        <v>57</v>
      </c>
      <c r="EB39" s="425">
        <f t="shared" si="99"/>
        <v>57</v>
      </c>
      <c r="EC39" s="425">
        <f t="shared" si="100"/>
        <v>57</v>
      </c>
      <c r="ED39" s="425">
        <f t="shared" si="101"/>
        <v>57</v>
      </c>
      <c r="EE39" s="425">
        <f t="shared" si="102"/>
        <v>57</v>
      </c>
      <c r="EF39" s="425">
        <f t="shared" si="103"/>
        <v>57</v>
      </c>
      <c r="EG39" s="425">
        <f t="shared" si="104"/>
        <v>57</v>
      </c>
      <c r="EH39" s="425">
        <f t="shared" si="105"/>
        <v>57</v>
      </c>
      <c r="EI39" s="425">
        <f t="shared" si="106"/>
        <v>57</v>
      </c>
      <c r="EJ39" s="425">
        <f t="shared" si="107"/>
        <v>57</v>
      </c>
      <c r="EK39" s="425">
        <f t="shared" si="78"/>
        <v>57</v>
      </c>
      <c r="EL39" s="425">
        <f t="shared" si="79"/>
        <v>57</v>
      </c>
      <c r="EM39" s="425">
        <f t="shared" si="80"/>
        <v>57</v>
      </c>
      <c r="EN39" s="425">
        <f t="shared" si="81"/>
        <v>57</v>
      </c>
      <c r="EO39" s="425">
        <f t="shared" si="82"/>
        <v>57</v>
      </c>
      <c r="EP39" s="425">
        <f t="shared" si="83"/>
        <v>57</v>
      </c>
      <c r="EQ39" s="425">
        <f t="shared" si="84"/>
        <v>57</v>
      </c>
      <c r="ER39" s="425">
        <f t="shared" si="85"/>
        <v>57</v>
      </c>
      <c r="ES39" s="425">
        <f t="shared" si="86"/>
        <v>57</v>
      </c>
      <c r="ET39" s="425">
        <f t="shared" si="87"/>
        <v>57</v>
      </c>
      <c r="EU39" s="425">
        <f t="shared" si="88"/>
        <v>57</v>
      </c>
      <c r="EV39" s="425">
        <f t="shared" si="88"/>
        <v>57</v>
      </c>
      <c r="EW39" s="425">
        <f t="shared" si="89"/>
        <v>57</v>
      </c>
      <c r="EX39" s="425">
        <f t="shared" si="90"/>
        <v>57</v>
      </c>
      <c r="EY39" s="425">
        <f t="shared" si="91"/>
        <v>57</v>
      </c>
      <c r="EZ39" s="425">
        <f t="shared" si="92"/>
        <v>57</v>
      </c>
    </row>
    <row r="40" spans="42:156" x14ac:dyDescent="0.2">
      <c r="AP40" s="380" t="s">
        <v>665</v>
      </c>
      <c r="AQ40" s="406">
        <f t="shared" si="41"/>
        <v>59</v>
      </c>
      <c r="AR40" s="406">
        <f t="shared" si="41"/>
        <v>59</v>
      </c>
      <c r="AS40" s="380">
        <f t="shared" si="42"/>
        <v>59</v>
      </c>
      <c r="AT40" s="380">
        <f t="shared" si="43"/>
        <v>59</v>
      </c>
      <c r="AU40" s="380">
        <f t="shared" si="44"/>
        <v>59</v>
      </c>
      <c r="AV40" s="380">
        <f t="shared" si="45"/>
        <v>59</v>
      </c>
      <c r="AW40" s="380">
        <f t="shared" si="46"/>
        <v>59</v>
      </c>
      <c r="AX40" s="380">
        <f t="shared" si="47"/>
        <v>59</v>
      </c>
      <c r="AY40" s="380">
        <f t="shared" si="48"/>
        <v>59</v>
      </c>
      <c r="AZ40" s="380">
        <f t="shared" si="49"/>
        <v>59</v>
      </c>
      <c r="BA40" s="380">
        <f t="shared" si="50"/>
        <v>59</v>
      </c>
      <c r="BB40" s="380">
        <f t="shared" si="51"/>
        <v>59</v>
      </c>
      <c r="BC40" s="380">
        <f t="shared" si="52"/>
        <v>59</v>
      </c>
      <c r="BD40" s="407">
        <f t="shared" si="52"/>
        <v>59</v>
      </c>
      <c r="BG40" s="380" t="s">
        <v>665</v>
      </c>
      <c r="BH40" s="406">
        <f t="shared" si="53"/>
        <v>59</v>
      </c>
      <c r="BI40" s="406">
        <f t="shared" si="53"/>
        <v>59</v>
      </c>
      <c r="BJ40" s="380">
        <f t="shared" si="54"/>
        <v>59</v>
      </c>
      <c r="BK40" s="380">
        <f t="shared" si="55"/>
        <v>59</v>
      </c>
      <c r="BL40" s="380">
        <f t="shared" si="56"/>
        <v>59</v>
      </c>
      <c r="BM40" s="380">
        <f t="shared" si="57"/>
        <v>59</v>
      </c>
      <c r="BN40" s="380">
        <f t="shared" si="57"/>
        <v>59</v>
      </c>
      <c r="BO40" s="380">
        <f t="shared" si="58"/>
        <v>59</v>
      </c>
      <c r="BP40" s="380">
        <f t="shared" si="59"/>
        <v>59</v>
      </c>
      <c r="BQ40" s="380">
        <f t="shared" si="60"/>
        <v>59</v>
      </c>
      <c r="BR40" s="380">
        <f t="shared" si="61"/>
        <v>59</v>
      </c>
      <c r="BS40" s="380">
        <f t="shared" si="62"/>
        <v>59</v>
      </c>
      <c r="BT40" s="380">
        <f t="shared" si="62"/>
        <v>59</v>
      </c>
      <c r="BU40" s="380">
        <f t="shared" si="63"/>
        <v>59</v>
      </c>
      <c r="BV40" s="380">
        <f t="shared" si="64"/>
        <v>59</v>
      </c>
      <c r="BW40" s="380">
        <f t="shared" si="65"/>
        <v>59</v>
      </c>
      <c r="BX40" s="407">
        <f t="shared" si="27"/>
        <v>59</v>
      </c>
      <c r="CA40" s="448"/>
      <c r="CB40" s="425">
        <f>'A-50 FGRailInv'!$C$69</f>
        <v>0</v>
      </c>
      <c r="CC40" s="425" t="str">
        <f>Valid!$B$87</f>
        <v>Substation Building</v>
      </c>
      <c r="CD40" s="425">
        <f>CD32</f>
        <v>69</v>
      </c>
      <c r="CE40" s="1199">
        <f>CE39+$CE$8</f>
        <v>102</v>
      </c>
      <c r="CF40" s="446">
        <f t="shared" si="29"/>
        <v>102</v>
      </c>
      <c r="CG40" s="425">
        <f t="shared" si="119"/>
        <v>102</v>
      </c>
      <c r="CH40" s="425">
        <f t="shared" si="119"/>
        <v>102</v>
      </c>
      <c r="CI40" s="425">
        <f t="shared" si="119"/>
        <v>102</v>
      </c>
      <c r="CJ40" s="425">
        <f t="shared" si="119"/>
        <v>102</v>
      </c>
      <c r="CK40" s="425">
        <f t="shared" si="119"/>
        <v>102</v>
      </c>
      <c r="CL40" s="425">
        <f t="shared" si="119"/>
        <v>102</v>
      </c>
      <c r="CM40" s="425">
        <f t="shared" si="119"/>
        <v>102</v>
      </c>
      <c r="CN40" s="425">
        <f t="shared" si="119"/>
        <v>102</v>
      </c>
      <c r="CO40" s="425">
        <f t="shared" si="119"/>
        <v>102</v>
      </c>
      <c r="CP40" s="425">
        <f t="shared" si="120"/>
        <v>102</v>
      </c>
      <c r="CQ40" s="425">
        <f t="shared" si="120"/>
        <v>102</v>
      </c>
      <c r="CR40" s="425">
        <f t="shared" si="120"/>
        <v>102</v>
      </c>
      <c r="CS40" s="425">
        <f t="shared" si="120"/>
        <v>102</v>
      </c>
      <c r="CT40" s="425">
        <f t="shared" si="120"/>
        <v>102</v>
      </c>
      <c r="CU40" s="425">
        <f t="shared" si="120"/>
        <v>102</v>
      </c>
      <c r="CY40" s="425">
        <f>'A-55 TrackInv'!$C$106</f>
        <v>0</v>
      </c>
      <c r="CZ40" s="425" t="str">
        <f>Valid!$B$82</f>
        <v>Double Diamond Crossover</v>
      </c>
      <c r="DA40" s="425">
        <f t="shared" si="124"/>
        <v>106</v>
      </c>
      <c r="DB40" s="1283">
        <f>DB39+DB8</f>
        <v>120</v>
      </c>
      <c r="DC40" s="425">
        <f t="shared" si="116"/>
        <v>120</v>
      </c>
      <c r="DD40" s="425">
        <f t="shared" si="116"/>
        <v>120</v>
      </c>
      <c r="DE40" s="425">
        <f t="shared" si="116"/>
        <v>120</v>
      </c>
      <c r="DF40" s="425">
        <f t="shared" si="116"/>
        <v>120</v>
      </c>
      <c r="DJ40" s="380" t="s">
        <v>771</v>
      </c>
      <c r="DK40" s="425">
        <f t="shared" si="67"/>
        <v>59</v>
      </c>
      <c r="DL40" s="425">
        <f t="shared" ref="DL40:DS40" si="127">DK40</f>
        <v>59</v>
      </c>
      <c r="DM40" s="425">
        <f t="shared" si="127"/>
        <v>59</v>
      </c>
      <c r="DN40" s="425">
        <f t="shared" si="127"/>
        <v>59</v>
      </c>
      <c r="DO40" s="425">
        <f t="shared" si="127"/>
        <v>59</v>
      </c>
      <c r="DP40" s="425">
        <f t="shared" si="127"/>
        <v>59</v>
      </c>
      <c r="DQ40" s="425">
        <f t="shared" si="127"/>
        <v>59</v>
      </c>
      <c r="DR40" s="425">
        <f t="shared" si="127"/>
        <v>59</v>
      </c>
      <c r="DS40" s="425">
        <f t="shared" si="127"/>
        <v>59</v>
      </c>
      <c r="DU40" s="380" t="s">
        <v>771</v>
      </c>
      <c r="DV40" s="425">
        <f t="shared" si="66"/>
        <v>59</v>
      </c>
      <c r="DW40" s="425">
        <f t="shared" si="94"/>
        <v>59</v>
      </c>
      <c r="DX40" s="425">
        <f t="shared" si="95"/>
        <v>59</v>
      </c>
      <c r="DY40" s="425">
        <f t="shared" si="96"/>
        <v>59</v>
      </c>
      <c r="DZ40" s="425">
        <f t="shared" si="97"/>
        <v>59</v>
      </c>
      <c r="EA40" s="425">
        <f t="shared" si="98"/>
        <v>59</v>
      </c>
      <c r="EB40" s="425">
        <f t="shared" si="99"/>
        <v>59</v>
      </c>
      <c r="EC40" s="425">
        <f t="shared" si="100"/>
        <v>59</v>
      </c>
      <c r="ED40" s="425">
        <f t="shared" si="101"/>
        <v>59</v>
      </c>
      <c r="EE40" s="425">
        <f t="shared" si="102"/>
        <v>59</v>
      </c>
      <c r="EF40" s="425">
        <f t="shared" si="103"/>
        <v>59</v>
      </c>
      <c r="EG40" s="425">
        <f t="shared" si="104"/>
        <v>59</v>
      </c>
      <c r="EH40" s="425">
        <f t="shared" si="105"/>
        <v>59</v>
      </c>
      <c r="EI40" s="425">
        <f t="shared" si="106"/>
        <v>59</v>
      </c>
      <c r="EJ40" s="425">
        <f t="shared" si="107"/>
        <v>59</v>
      </c>
      <c r="EK40" s="425">
        <f t="shared" si="78"/>
        <v>59</v>
      </c>
      <c r="EL40" s="425">
        <f t="shared" si="79"/>
        <v>59</v>
      </c>
      <c r="EM40" s="425">
        <f t="shared" si="80"/>
        <v>59</v>
      </c>
      <c r="EN40" s="425">
        <f t="shared" si="81"/>
        <v>59</v>
      </c>
      <c r="EO40" s="425">
        <f t="shared" si="82"/>
        <v>59</v>
      </c>
      <c r="EP40" s="425">
        <f t="shared" si="83"/>
        <v>59</v>
      </c>
      <c r="EQ40" s="425">
        <f t="shared" si="84"/>
        <v>59</v>
      </c>
      <c r="ER40" s="425">
        <f t="shared" si="85"/>
        <v>59</v>
      </c>
      <c r="ES40" s="425">
        <f t="shared" si="86"/>
        <v>59</v>
      </c>
      <c r="ET40" s="425">
        <f t="shared" si="87"/>
        <v>59</v>
      </c>
      <c r="EU40" s="425">
        <f t="shared" si="88"/>
        <v>59</v>
      </c>
      <c r="EV40" s="425">
        <f t="shared" si="88"/>
        <v>59</v>
      </c>
      <c r="EW40" s="425">
        <f t="shared" si="89"/>
        <v>59</v>
      </c>
      <c r="EX40" s="425">
        <f t="shared" si="90"/>
        <v>59</v>
      </c>
      <c r="EY40" s="425">
        <f t="shared" si="91"/>
        <v>59</v>
      </c>
      <c r="EZ40" s="425">
        <f t="shared" si="92"/>
        <v>59</v>
      </c>
    </row>
    <row r="41" spans="42:156" x14ac:dyDescent="0.2">
      <c r="AP41" s="380" t="s">
        <v>666</v>
      </c>
      <c r="AQ41" s="406">
        <f t="shared" si="41"/>
        <v>61</v>
      </c>
      <c r="AR41" s="406">
        <f t="shared" si="41"/>
        <v>61</v>
      </c>
      <c r="AS41" s="380">
        <f t="shared" si="42"/>
        <v>61</v>
      </c>
      <c r="AT41" s="380">
        <f t="shared" si="43"/>
        <v>61</v>
      </c>
      <c r="AU41" s="380">
        <f t="shared" si="44"/>
        <v>61</v>
      </c>
      <c r="AV41" s="380">
        <f t="shared" si="45"/>
        <v>61</v>
      </c>
      <c r="AW41" s="380">
        <f t="shared" si="46"/>
        <v>61</v>
      </c>
      <c r="AX41" s="380">
        <f t="shared" si="47"/>
        <v>61</v>
      </c>
      <c r="AY41" s="380">
        <f t="shared" si="48"/>
        <v>61</v>
      </c>
      <c r="AZ41" s="380">
        <f t="shared" si="49"/>
        <v>61</v>
      </c>
      <c r="BA41" s="380">
        <f t="shared" si="50"/>
        <v>61</v>
      </c>
      <c r="BB41" s="380">
        <f t="shared" si="51"/>
        <v>61</v>
      </c>
      <c r="BC41" s="380">
        <f t="shared" si="52"/>
        <v>61</v>
      </c>
      <c r="BD41" s="407">
        <f t="shared" si="52"/>
        <v>61</v>
      </c>
      <c r="BG41" s="380" t="s">
        <v>666</v>
      </c>
      <c r="BH41" s="406">
        <f t="shared" si="53"/>
        <v>61</v>
      </c>
      <c r="BI41" s="406">
        <f t="shared" si="53"/>
        <v>61</v>
      </c>
      <c r="BJ41" s="380">
        <f t="shared" si="54"/>
        <v>61</v>
      </c>
      <c r="BK41" s="380">
        <f t="shared" si="55"/>
        <v>61</v>
      </c>
      <c r="BL41" s="380">
        <f t="shared" si="56"/>
        <v>61</v>
      </c>
      <c r="BM41" s="380">
        <f t="shared" si="57"/>
        <v>61</v>
      </c>
      <c r="BN41" s="380">
        <f t="shared" si="57"/>
        <v>61</v>
      </c>
      <c r="BO41" s="380">
        <f t="shared" si="58"/>
        <v>61</v>
      </c>
      <c r="BP41" s="380">
        <f t="shared" si="59"/>
        <v>61</v>
      </c>
      <c r="BQ41" s="380">
        <f t="shared" si="60"/>
        <v>61</v>
      </c>
      <c r="BR41" s="380">
        <f t="shared" si="61"/>
        <v>61</v>
      </c>
      <c r="BS41" s="380">
        <f t="shared" si="62"/>
        <v>61</v>
      </c>
      <c r="BT41" s="380">
        <f t="shared" si="62"/>
        <v>61</v>
      </c>
      <c r="BU41" s="380">
        <f t="shared" si="63"/>
        <v>61</v>
      </c>
      <c r="BV41" s="380">
        <f t="shared" si="64"/>
        <v>61</v>
      </c>
      <c r="BW41" s="380">
        <f t="shared" si="65"/>
        <v>61</v>
      </c>
      <c r="BX41" s="407">
        <f t="shared" si="27"/>
        <v>61</v>
      </c>
      <c r="CA41" s="448"/>
      <c r="CB41" s="425">
        <f>'A-50 FGRailInv'!$C$69</f>
        <v>0</v>
      </c>
      <c r="CC41" s="425" t="str">
        <f>Valid!$B$88</f>
        <v>Substation Equipment</v>
      </c>
      <c r="CD41" s="425">
        <f>CD32</f>
        <v>69</v>
      </c>
      <c r="CE41" s="446">
        <f>CE40+$CE$7</f>
        <v>105</v>
      </c>
      <c r="CF41" s="446">
        <f t="shared" si="29"/>
        <v>105</v>
      </c>
      <c r="CG41" s="425">
        <f t="shared" si="119"/>
        <v>105</v>
      </c>
      <c r="CH41" s="425">
        <f t="shared" si="119"/>
        <v>105</v>
      </c>
      <c r="CI41" s="425">
        <f t="shared" si="119"/>
        <v>105</v>
      </c>
      <c r="CJ41" s="425">
        <f t="shared" si="119"/>
        <v>105</v>
      </c>
      <c r="CK41" s="425">
        <f t="shared" si="119"/>
        <v>105</v>
      </c>
      <c r="CL41" s="425">
        <f t="shared" si="119"/>
        <v>105</v>
      </c>
      <c r="CM41" s="425">
        <f t="shared" si="119"/>
        <v>105</v>
      </c>
      <c r="CN41" s="425">
        <f t="shared" si="119"/>
        <v>105</v>
      </c>
      <c r="CO41" s="425">
        <f t="shared" si="119"/>
        <v>105</v>
      </c>
      <c r="CP41" s="425">
        <f t="shared" si="120"/>
        <v>105</v>
      </c>
      <c r="CQ41" s="425">
        <f t="shared" si="120"/>
        <v>105</v>
      </c>
      <c r="CR41" s="425">
        <f t="shared" si="120"/>
        <v>105</v>
      </c>
      <c r="CS41" s="425">
        <f t="shared" si="120"/>
        <v>105</v>
      </c>
      <c r="CT41" s="425">
        <f t="shared" si="120"/>
        <v>105</v>
      </c>
      <c r="CU41" s="425">
        <f t="shared" si="120"/>
        <v>105</v>
      </c>
      <c r="CY41" s="425">
        <f>'A-55 TrackInv'!$C$106</f>
        <v>0</v>
      </c>
      <c r="CZ41" s="425" t="str">
        <f>Valid!$B$83</f>
        <v>Single Crossover</v>
      </c>
      <c r="DA41" s="425">
        <f t="shared" si="124"/>
        <v>106</v>
      </c>
      <c r="DB41" s="1283">
        <f t="shared" si="125"/>
        <v>122</v>
      </c>
      <c r="DC41" s="425">
        <f t="shared" si="116"/>
        <v>122</v>
      </c>
      <c r="DD41" s="425">
        <f t="shared" si="116"/>
        <v>122</v>
      </c>
      <c r="DE41" s="425">
        <f t="shared" si="116"/>
        <v>122</v>
      </c>
      <c r="DF41" s="425">
        <f t="shared" si="116"/>
        <v>122</v>
      </c>
      <c r="DJ41" s="380" t="s">
        <v>772</v>
      </c>
      <c r="DK41" s="425">
        <f t="shared" si="67"/>
        <v>61</v>
      </c>
      <c r="DL41" s="425">
        <f t="shared" ref="DL41:DS41" si="128">DK41</f>
        <v>61</v>
      </c>
      <c r="DM41" s="425">
        <f t="shared" si="128"/>
        <v>61</v>
      </c>
      <c r="DN41" s="425">
        <f t="shared" si="128"/>
        <v>61</v>
      </c>
      <c r="DO41" s="425">
        <f t="shared" si="128"/>
        <v>61</v>
      </c>
      <c r="DP41" s="425">
        <f t="shared" si="128"/>
        <v>61</v>
      </c>
      <c r="DQ41" s="425">
        <f t="shared" si="128"/>
        <v>61</v>
      </c>
      <c r="DR41" s="425">
        <f t="shared" si="128"/>
        <v>61</v>
      </c>
      <c r="DS41" s="425">
        <f t="shared" si="128"/>
        <v>61</v>
      </c>
      <c r="DU41" s="380" t="s">
        <v>772</v>
      </c>
      <c r="DV41" s="425">
        <f t="shared" si="66"/>
        <v>61</v>
      </c>
      <c r="DW41" s="425">
        <f t="shared" si="94"/>
        <v>61</v>
      </c>
      <c r="DX41" s="425">
        <f t="shared" si="95"/>
        <v>61</v>
      </c>
      <c r="DY41" s="425">
        <f t="shared" si="96"/>
        <v>61</v>
      </c>
      <c r="DZ41" s="425">
        <f t="shared" si="97"/>
        <v>61</v>
      </c>
      <c r="EA41" s="425">
        <f t="shared" si="98"/>
        <v>61</v>
      </c>
      <c r="EB41" s="425">
        <f t="shared" si="99"/>
        <v>61</v>
      </c>
      <c r="EC41" s="425">
        <f t="shared" si="100"/>
        <v>61</v>
      </c>
      <c r="ED41" s="425">
        <f t="shared" si="101"/>
        <v>61</v>
      </c>
      <c r="EE41" s="425">
        <f t="shared" si="102"/>
        <v>61</v>
      </c>
      <c r="EF41" s="425">
        <f t="shared" si="103"/>
        <v>61</v>
      </c>
      <c r="EG41" s="425">
        <f t="shared" si="104"/>
        <v>61</v>
      </c>
      <c r="EH41" s="425">
        <f t="shared" si="105"/>
        <v>61</v>
      </c>
      <c r="EI41" s="425">
        <f t="shared" si="106"/>
        <v>61</v>
      </c>
      <c r="EJ41" s="425">
        <f t="shared" si="107"/>
        <v>61</v>
      </c>
      <c r="EK41" s="425">
        <f t="shared" si="78"/>
        <v>61</v>
      </c>
      <c r="EL41" s="425">
        <f t="shared" si="79"/>
        <v>61</v>
      </c>
      <c r="EM41" s="425">
        <f t="shared" si="80"/>
        <v>61</v>
      </c>
      <c r="EN41" s="425">
        <f t="shared" si="81"/>
        <v>61</v>
      </c>
      <c r="EO41" s="425">
        <f t="shared" si="82"/>
        <v>61</v>
      </c>
      <c r="EP41" s="425">
        <f t="shared" si="83"/>
        <v>61</v>
      </c>
      <c r="EQ41" s="425">
        <f t="shared" si="84"/>
        <v>61</v>
      </c>
      <c r="ER41" s="425">
        <f t="shared" si="85"/>
        <v>61</v>
      </c>
      <c r="ES41" s="425">
        <f t="shared" si="86"/>
        <v>61</v>
      </c>
      <c r="ET41" s="425">
        <f t="shared" si="87"/>
        <v>61</v>
      </c>
      <c r="EU41" s="425">
        <f t="shared" si="88"/>
        <v>61</v>
      </c>
      <c r="EV41" s="425">
        <f t="shared" si="88"/>
        <v>61</v>
      </c>
      <c r="EW41" s="425">
        <f t="shared" si="89"/>
        <v>61</v>
      </c>
      <c r="EX41" s="425">
        <f t="shared" si="90"/>
        <v>61</v>
      </c>
      <c r="EY41" s="425">
        <f t="shared" si="91"/>
        <v>61</v>
      </c>
      <c r="EZ41" s="425">
        <f t="shared" si="92"/>
        <v>61</v>
      </c>
    </row>
    <row r="42" spans="42:156" x14ac:dyDescent="0.2">
      <c r="AP42" s="380" t="s">
        <v>667</v>
      </c>
      <c r="AQ42" s="406">
        <f t="shared" si="41"/>
        <v>63</v>
      </c>
      <c r="AR42" s="406">
        <f t="shared" si="41"/>
        <v>63</v>
      </c>
      <c r="AS42" s="380">
        <f t="shared" si="42"/>
        <v>63</v>
      </c>
      <c r="AT42" s="380">
        <f t="shared" si="43"/>
        <v>63</v>
      </c>
      <c r="AU42" s="380">
        <f t="shared" si="44"/>
        <v>63</v>
      </c>
      <c r="AV42" s="380">
        <f t="shared" si="45"/>
        <v>63</v>
      </c>
      <c r="AW42" s="380">
        <f t="shared" si="46"/>
        <v>63</v>
      </c>
      <c r="AX42" s="380">
        <f t="shared" si="47"/>
        <v>63</v>
      </c>
      <c r="AY42" s="380">
        <f t="shared" si="48"/>
        <v>63</v>
      </c>
      <c r="AZ42" s="380">
        <f t="shared" si="49"/>
        <v>63</v>
      </c>
      <c r="BA42" s="380">
        <f t="shared" si="50"/>
        <v>63</v>
      </c>
      <c r="BB42" s="380">
        <f t="shared" si="51"/>
        <v>63</v>
      </c>
      <c r="BC42" s="380">
        <f t="shared" si="52"/>
        <v>63</v>
      </c>
      <c r="BD42" s="407">
        <f t="shared" si="52"/>
        <v>63</v>
      </c>
      <c r="BG42" s="380" t="s">
        <v>667</v>
      </c>
      <c r="BH42" s="406">
        <f t="shared" si="53"/>
        <v>63</v>
      </c>
      <c r="BI42" s="406">
        <f t="shared" si="53"/>
        <v>63</v>
      </c>
      <c r="BJ42" s="380">
        <f t="shared" si="54"/>
        <v>63</v>
      </c>
      <c r="BK42" s="380">
        <f t="shared" si="55"/>
        <v>63</v>
      </c>
      <c r="BL42" s="380">
        <f t="shared" si="56"/>
        <v>63</v>
      </c>
      <c r="BM42" s="380">
        <f t="shared" si="57"/>
        <v>63</v>
      </c>
      <c r="BN42" s="380">
        <f t="shared" si="57"/>
        <v>63</v>
      </c>
      <c r="BO42" s="380">
        <f t="shared" si="58"/>
        <v>63</v>
      </c>
      <c r="BP42" s="380">
        <f t="shared" si="59"/>
        <v>63</v>
      </c>
      <c r="BQ42" s="380">
        <f t="shared" si="60"/>
        <v>63</v>
      </c>
      <c r="BR42" s="380">
        <f t="shared" si="61"/>
        <v>63</v>
      </c>
      <c r="BS42" s="380">
        <f t="shared" si="62"/>
        <v>63</v>
      </c>
      <c r="BT42" s="380">
        <f t="shared" si="62"/>
        <v>63</v>
      </c>
      <c r="BU42" s="380">
        <f t="shared" si="63"/>
        <v>63</v>
      </c>
      <c r="BV42" s="380">
        <f t="shared" si="64"/>
        <v>63</v>
      </c>
      <c r="BW42" s="380">
        <f t="shared" si="65"/>
        <v>63</v>
      </c>
      <c r="BX42" s="407">
        <f t="shared" si="27"/>
        <v>63</v>
      </c>
      <c r="CA42" s="448"/>
      <c r="CB42" s="425">
        <f>'A-50 FGRailInv'!$C$69</f>
        <v>0</v>
      </c>
      <c r="CC42" s="425" t="str">
        <f>Valid!$B$89</f>
        <v>Third Rail/Power Distribution</v>
      </c>
      <c r="CD42" s="425">
        <f>CD33</f>
        <v>69</v>
      </c>
      <c r="CE42" s="446">
        <f>CE41+$CE$7</f>
        <v>108</v>
      </c>
      <c r="CF42" s="446">
        <f t="shared" si="29"/>
        <v>108</v>
      </c>
      <c r="CG42" s="425">
        <f t="shared" si="119"/>
        <v>108</v>
      </c>
      <c r="CH42" s="425">
        <f t="shared" si="119"/>
        <v>108</v>
      </c>
      <c r="CI42" s="425">
        <f t="shared" si="119"/>
        <v>108</v>
      </c>
      <c r="CJ42" s="425">
        <f t="shared" si="119"/>
        <v>108</v>
      </c>
      <c r="CK42" s="425">
        <f t="shared" si="119"/>
        <v>108</v>
      </c>
      <c r="CL42" s="425">
        <f t="shared" si="119"/>
        <v>108</v>
      </c>
      <c r="CM42" s="425">
        <f t="shared" si="119"/>
        <v>108</v>
      </c>
      <c r="CN42" s="425">
        <f t="shared" si="119"/>
        <v>108</v>
      </c>
      <c r="CO42" s="425">
        <f t="shared" si="119"/>
        <v>108</v>
      </c>
      <c r="CP42" s="425">
        <f t="shared" si="120"/>
        <v>108</v>
      </c>
      <c r="CQ42" s="425">
        <f t="shared" si="120"/>
        <v>108</v>
      </c>
      <c r="CR42" s="425">
        <f t="shared" si="120"/>
        <v>108</v>
      </c>
      <c r="CS42" s="425">
        <f t="shared" si="120"/>
        <v>108</v>
      </c>
      <c r="CT42" s="425">
        <f t="shared" si="120"/>
        <v>108</v>
      </c>
      <c r="CU42" s="425">
        <f t="shared" si="120"/>
        <v>108</v>
      </c>
      <c r="CY42" s="425">
        <f>'A-55 TrackInv'!$C$106</f>
        <v>0</v>
      </c>
      <c r="CZ42" s="425" t="str">
        <f>Valid!$B$84</f>
        <v>Half Grand Union</v>
      </c>
      <c r="DA42" s="425">
        <f t="shared" si="124"/>
        <v>106</v>
      </c>
      <c r="DB42" s="1283">
        <f t="shared" si="125"/>
        <v>124</v>
      </c>
      <c r="DC42" s="425">
        <f t="shared" si="116"/>
        <v>124</v>
      </c>
      <c r="DD42" s="425">
        <f t="shared" si="116"/>
        <v>124</v>
      </c>
      <c r="DE42" s="425">
        <f t="shared" si="116"/>
        <v>124</v>
      </c>
      <c r="DF42" s="425">
        <f t="shared" si="116"/>
        <v>124</v>
      </c>
      <c r="DJ42" s="380" t="s">
        <v>773</v>
      </c>
      <c r="DK42" s="425">
        <f t="shared" si="67"/>
        <v>63</v>
      </c>
      <c r="DL42" s="425">
        <f t="shared" ref="DL42:DS42" si="129">DK42</f>
        <v>63</v>
      </c>
      <c r="DM42" s="425">
        <f t="shared" si="129"/>
        <v>63</v>
      </c>
      <c r="DN42" s="425">
        <f t="shared" si="129"/>
        <v>63</v>
      </c>
      <c r="DO42" s="425">
        <f t="shared" si="129"/>
        <v>63</v>
      </c>
      <c r="DP42" s="425">
        <f t="shared" si="129"/>
        <v>63</v>
      </c>
      <c r="DQ42" s="425">
        <f t="shared" si="129"/>
        <v>63</v>
      </c>
      <c r="DR42" s="425">
        <f t="shared" si="129"/>
        <v>63</v>
      </c>
      <c r="DS42" s="425">
        <f t="shared" si="129"/>
        <v>63</v>
      </c>
      <c r="DU42" s="380" t="s">
        <v>773</v>
      </c>
      <c r="DV42" s="425">
        <f t="shared" si="66"/>
        <v>63</v>
      </c>
      <c r="DW42" s="425">
        <f t="shared" si="94"/>
        <v>63</v>
      </c>
      <c r="DX42" s="425">
        <f t="shared" si="95"/>
        <v>63</v>
      </c>
      <c r="DY42" s="425">
        <f t="shared" si="96"/>
        <v>63</v>
      </c>
      <c r="DZ42" s="425">
        <f t="shared" si="97"/>
        <v>63</v>
      </c>
      <c r="EA42" s="425">
        <f t="shared" si="98"/>
        <v>63</v>
      </c>
      <c r="EB42" s="425">
        <f t="shared" si="99"/>
        <v>63</v>
      </c>
      <c r="EC42" s="425">
        <f t="shared" si="100"/>
        <v>63</v>
      </c>
      <c r="ED42" s="425">
        <f t="shared" si="101"/>
        <v>63</v>
      </c>
      <c r="EE42" s="425">
        <f t="shared" si="102"/>
        <v>63</v>
      </c>
      <c r="EF42" s="425">
        <f t="shared" si="103"/>
        <v>63</v>
      </c>
      <c r="EG42" s="425">
        <f t="shared" si="104"/>
        <v>63</v>
      </c>
      <c r="EH42" s="425">
        <f t="shared" si="105"/>
        <v>63</v>
      </c>
      <c r="EI42" s="425">
        <f t="shared" si="106"/>
        <v>63</v>
      </c>
      <c r="EJ42" s="425">
        <f t="shared" si="107"/>
        <v>63</v>
      </c>
      <c r="EK42" s="425">
        <f t="shared" si="78"/>
        <v>63</v>
      </c>
      <c r="EL42" s="425">
        <f t="shared" si="79"/>
        <v>63</v>
      </c>
      <c r="EM42" s="425">
        <f t="shared" si="80"/>
        <v>63</v>
      </c>
      <c r="EN42" s="425">
        <f t="shared" si="81"/>
        <v>63</v>
      </c>
      <c r="EO42" s="425">
        <f t="shared" si="82"/>
        <v>63</v>
      </c>
      <c r="EP42" s="425">
        <f t="shared" si="83"/>
        <v>63</v>
      </c>
      <c r="EQ42" s="425">
        <f t="shared" si="84"/>
        <v>63</v>
      </c>
      <c r="ER42" s="425">
        <f t="shared" si="85"/>
        <v>63</v>
      </c>
      <c r="ES42" s="425">
        <f t="shared" si="86"/>
        <v>63</v>
      </c>
      <c r="ET42" s="425">
        <f t="shared" si="87"/>
        <v>63</v>
      </c>
      <c r="EU42" s="425">
        <f t="shared" si="88"/>
        <v>63</v>
      </c>
      <c r="EV42" s="425">
        <f t="shared" si="88"/>
        <v>63</v>
      </c>
      <c r="EW42" s="425">
        <f t="shared" si="89"/>
        <v>63</v>
      </c>
      <c r="EX42" s="425">
        <f t="shared" si="90"/>
        <v>63</v>
      </c>
      <c r="EY42" s="425">
        <f t="shared" si="91"/>
        <v>63</v>
      </c>
      <c r="EZ42" s="425">
        <f t="shared" si="92"/>
        <v>63</v>
      </c>
    </row>
    <row r="43" spans="42:156" x14ac:dyDescent="0.2">
      <c r="AP43" s="380" t="s">
        <v>668</v>
      </c>
      <c r="AQ43" s="406">
        <f t="shared" si="41"/>
        <v>65</v>
      </c>
      <c r="AR43" s="406">
        <f t="shared" si="41"/>
        <v>65</v>
      </c>
      <c r="AS43" s="380">
        <f t="shared" si="42"/>
        <v>65</v>
      </c>
      <c r="AT43" s="380">
        <f t="shared" si="43"/>
        <v>65</v>
      </c>
      <c r="AU43" s="380">
        <f t="shared" si="44"/>
        <v>65</v>
      </c>
      <c r="AV43" s="380">
        <f t="shared" si="45"/>
        <v>65</v>
      </c>
      <c r="AW43" s="380">
        <f t="shared" si="46"/>
        <v>65</v>
      </c>
      <c r="AX43" s="380">
        <f t="shared" si="47"/>
        <v>65</v>
      </c>
      <c r="AY43" s="380">
        <f t="shared" si="48"/>
        <v>65</v>
      </c>
      <c r="AZ43" s="380">
        <f t="shared" si="49"/>
        <v>65</v>
      </c>
      <c r="BA43" s="380">
        <f t="shared" si="50"/>
        <v>65</v>
      </c>
      <c r="BB43" s="380">
        <f t="shared" si="51"/>
        <v>65</v>
      </c>
      <c r="BC43" s="380">
        <f t="shared" si="52"/>
        <v>65</v>
      </c>
      <c r="BD43" s="407">
        <f t="shared" si="52"/>
        <v>65</v>
      </c>
      <c r="BG43" s="380" t="s">
        <v>668</v>
      </c>
      <c r="BH43" s="406">
        <f t="shared" si="53"/>
        <v>65</v>
      </c>
      <c r="BI43" s="406">
        <f t="shared" si="53"/>
        <v>65</v>
      </c>
      <c r="BJ43" s="380">
        <f t="shared" si="54"/>
        <v>65</v>
      </c>
      <c r="BK43" s="380">
        <f t="shared" si="55"/>
        <v>65</v>
      </c>
      <c r="BL43" s="380">
        <f t="shared" si="56"/>
        <v>65</v>
      </c>
      <c r="BM43" s="380">
        <f t="shared" si="57"/>
        <v>65</v>
      </c>
      <c r="BN43" s="380">
        <f t="shared" si="57"/>
        <v>65</v>
      </c>
      <c r="BO43" s="380">
        <f t="shared" si="58"/>
        <v>65</v>
      </c>
      <c r="BP43" s="380">
        <f t="shared" si="59"/>
        <v>65</v>
      </c>
      <c r="BQ43" s="380">
        <f t="shared" si="60"/>
        <v>65</v>
      </c>
      <c r="BR43" s="380">
        <f t="shared" si="61"/>
        <v>65</v>
      </c>
      <c r="BS43" s="380">
        <f t="shared" si="62"/>
        <v>65</v>
      </c>
      <c r="BT43" s="380">
        <f t="shared" si="62"/>
        <v>65</v>
      </c>
      <c r="BU43" s="380">
        <f t="shared" si="63"/>
        <v>65</v>
      </c>
      <c r="BV43" s="380">
        <f t="shared" si="64"/>
        <v>65</v>
      </c>
      <c r="BW43" s="380">
        <f t="shared" si="65"/>
        <v>65</v>
      </c>
      <c r="BX43" s="407">
        <f t="shared" si="27"/>
        <v>65</v>
      </c>
      <c r="CA43" s="448"/>
      <c r="CB43" s="425">
        <f>'A-50 FGRailInv'!$C$69</f>
        <v>0</v>
      </c>
      <c r="CC43" s="425" t="str">
        <f>Valid!$B$90</f>
        <v>Overhead Contact System/Power Distribution</v>
      </c>
      <c r="CD43" s="425">
        <f>CD34</f>
        <v>69</v>
      </c>
      <c r="CE43" s="446">
        <f>CE42+$CE$7</f>
        <v>111</v>
      </c>
      <c r="CF43" s="446">
        <f t="shared" si="29"/>
        <v>111</v>
      </c>
      <c r="CG43" s="425">
        <f t="shared" si="119"/>
        <v>111</v>
      </c>
      <c r="CH43" s="425">
        <f t="shared" si="119"/>
        <v>111</v>
      </c>
      <c r="CI43" s="425">
        <f t="shared" si="119"/>
        <v>111</v>
      </c>
      <c r="CJ43" s="425">
        <f t="shared" si="119"/>
        <v>111</v>
      </c>
      <c r="CK43" s="425">
        <f t="shared" si="119"/>
        <v>111</v>
      </c>
      <c r="CL43" s="425">
        <f t="shared" si="119"/>
        <v>111</v>
      </c>
      <c r="CM43" s="425">
        <f t="shared" si="119"/>
        <v>111</v>
      </c>
      <c r="CN43" s="425">
        <f t="shared" si="119"/>
        <v>111</v>
      </c>
      <c r="CO43" s="425">
        <f t="shared" si="119"/>
        <v>111</v>
      </c>
      <c r="CP43" s="425">
        <f t="shared" si="120"/>
        <v>111</v>
      </c>
      <c r="CQ43" s="425">
        <f t="shared" si="120"/>
        <v>111</v>
      </c>
      <c r="CR43" s="425">
        <f t="shared" si="120"/>
        <v>111</v>
      </c>
      <c r="CS43" s="425">
        <f t="shared" si="120"/>
        <v>111</v>
      </c>
      <c r="CT43" s="425">
        <f t="shared" si="120"/>
        <v>111</v>
      </c>
      <c r="CU43" s="425">
        <f t="shared" si="120"/>
        <v>111</v>
      </c>
      <c r="CY43" s="425">
        <f>'A-55 TrackInv'!$C$106</f>
        <v>0</v>
      </c>
      <c r="CZ43" s="425" t="str">
        <f>Valid!$B$85</f>
        <v>Single Turnout</v>
      </c>
      <c r="DA43" s="425">
        <f t="shared" si="124"/>
        <v>106</v>
      </c>
      <c r="DB43" s="1283">
        <f t="shared" si="125"/>
        <v>126</v>
      </c>
      <c r="DC43" s="425">
        <f t="shared" si="116"/>
        <v>126</v>
      </c>
      <c r="DD43" s="425">
        <f t="shared" si="116"/>
        <v>126</v>
      </c>
      <c r="DE43" s="425">
        <f t="shared" si="116"/>
        <v>126</v>
      </c>
      <c r="DF43" s="425">
        <f t="shared" si="116"/>
        <v>126</v>
      </c>
      <c r="DJ43" s="380" t="s">
        <v>774</v>
      </c>
      <c r="DK43" s="425">
        <f t="shared" si="67"/>
        <v>65</v>
      </c>
      <c r="DL43" s="425">
        <f t="shared" ref="DL43:DS43" si="130">DK43</f>
        <v>65</v>
      </c>
      <c r="DM43" s="425">
        <f t="shared" si="130"/>
        <v>65</v>
      </c>
      <c r="DN43" s="425">
        <f t="shared" si="130"/>
        <v>65</v>
      </c>
      <c r="DO43" s="425">
        <f t="shared" si="130"/>
        <v>65</v>
      </c>
      <c r="DP43" s="425">
        <f t="shared" si="130"/>
        <v>65</v>
      </c>
      <c r="DQ43" s="425">
        <f t="shared" si="130"/>
        <v>65</v>
      </c>
      <c r="DR43" s="425">
        <f t="shared" si="130"/>
        <v>65</v>
      </c>
      <c r="DS43" s="425">
        <f t="shared" si="130"/>
        <v>65</v>
      </c>
      <c r="DU43" s="380" t="s">
        <v>774</v>
      </c>
      <c r="DV43" s="425">
        <f t="shared" si="66"/>
        <v>65</v>
      </c>
      <c r="DW43" s="425">
        <f t="shared" si="94"/>
        <v>65</v>
      </c>
      <c r="DX43" s="425">
        <f t="shared" si="95"/>
        <v>65</v>
      </c>
      <c r="DY43" s="425">
        <f t="shared" si="96"/>
        <v>65</v>
      </c>
      <c r="DZ43" s="425">
        <f t="shared" si="97"/>
        <v>65</v>
      </c>
      <c r="EA43" s="425">
        <f t="shared" si="98"/>
        <v>65</v>
      </c>
      <c r="EB43" s="425">
        <f t="shared" si="99"/>
        <v>65</v>
      </c>
      <c r="EC43" s="425">
        <f t="shared" si="100"/>
        <v>65</v>
      </c>
      <c r="ED43" s="425">
        <f t="shared" si="101"/>
        <v>65</v>
      </c>
      <c r="EE43" s="425">
        <f t="shared" si="102"/>
        <v>65</v>
      </c>
      <c r="EF43" s="425">
        <f t="shared" si="103"/>
        <v>65</v>
      </c>
      <c r="EG43" s="425">
        <f t="shared" si="104"/>
        <v>65</v>
      </c>
      <c r="EH43" s="425">
        <f t="shared" si="105"/>
        <v>65</v>
      </c>
      <c r="EI43" s="425">
        <f t="shared" si="106"/>
        <v>65</v>
      </c>
      <c r="EJ43" s="425">
        <f t="shared" si="107"/>
        <v>65</v>
      </c>
      <c r="EK43" s="425">
        <f t="shared" si="78"/>
        <v>65</v>
      </c>
      <c r="EL43" s="425">
        <f t="shared" si="79"/>
        <v>65</v>
      </c>
      <c r="EM43" s="425">
        <f t="shared" si="80"/>
        <v>65</v>
      </c>
      <c r="EN43" s="425">
        <f t="shared" si="81"/>
        <v>65</v>
      </c>
      <c r="EO43" s="425">
        <f t="shared" si="82"/>
        <v>65</v>
      </c>
      <c r="EP43" s="425">
        <f t="shared" si="83"/>
        <v>65</v>
      </c>
      <c r="EQ43" s="425">
        <f t="shared" si="84"/>
        <v>65</v>
      </c>
      <c r="ER43" s="425">
        <f t="shared" si="85"/>
        <v>65</v>
      </c>
      <c r="ES43" s="425">
        <f t="shared" si="86"/>
        <v>65</v>
      </c>
      <c r="ET43" s="425">
        <f t="shared" si="87"/>
        <v>65</v>
      </c>
      <c r="EU43" s="425">
        <f t="shared" si="88"/>
        <v>65</v>
      </c>
      <c r="EV43" s="425">
        <f t="shared" si="88"/>
        <v>65</v>
      </c>
      <c r="EW43" s="425">
        <f t="shared" si="89"/>
        <v>65</v>
      </c>
      <c r="EX43" s="425">
        <f t="shared" si="90"/>
        <v>65</v>
      </c>
      <c r="EY43" s="425">
        <f t="shared" si="91"/>
        <v>65</v>
      </c>
      <c r="EZ43" s="425">
        <f t="shared" si="92"/>
        <v>65</v>
      </c>
    </row>
    <row r="44" spans="42:156" x14ac:dyDescent="0.2">
      <c r="AP44" s="380" t="s">
        <v>669</v>
      </c>
      <c r="AQ44" s="406">
        <f t="shared" si="41"/>
        <v>67</v>
      </c>
      <c r="AR44" s="406">
        <f t="shared" si="41"/>
        <v>67</v>
      </c>
      <c r="AS44" s="380">
        <f t="shared" si="42"/>
        <v>67</v>
      </c>
      <c r="AT44" s="380">
        <f t="shared" si="43"/>
        <v>67</v>
      </c>
      <c r="AU44" s="380">
        <f t="shared" si="44"/>
        <v>67</v>
      </c>
      <c r="AV44" s="380">
        <f t="shared" si="45"/>
        <v>67</v>
      </c>
      <c r="AW44" s="380">
        <f t="shared" si="46"/>
        <v>67</v>
      </c>
      <c r="AX44" s="380">
        <f t="shared" si="47"/>
        <v>67</v>
      </c>
      <c r="AY44" s="380">
        <f t="shared" si="48"/>
        <v>67</v>
      </c>
      <c r="AZ44" s="380">
        <f t="shared" si="49"/>
        <v>67</v>
      </c>
      <c r="BA44" s="380">
        <f t="shared" si="50"/>
        <v>67</v>
      </c>
      <c r="BB44" s="380">
        <f t="shared" si="51"/>
        <v>67</v>
      </c>
      <c r="BC44" s="380">
        <f t="shared" si="52"/>
        <v>67</v>
      </c>
      <c r="BD44" s="407">
        <f t="shared" si="52"/>
        <v>67</v>
      </c>
      <c r="BG44" s="380" t="s">
        <v>669</v>
      </c>
      <c r="BH44" s="406">
        <f t="shared" si="53"/>
        <v>67</v>
      </c>
      <c r="BI44" s="406">
        <f t="shared" si="53"/>
        <v>67</v>
      </c>
      <c r="BJ44" s="380">
        <f t="shared" si="54"/>
        <v>67</v>
      </c>
      <c r="BK44" s="380">
        <f t="shared" si="55"/>
        <v>67</v>
      </c>
      <c r="BL44" s="380">
        <f t="shared" si="56"/>
        <v>67</v>
      </c>
      <c r="BM44" s="380">
        <f t="shared" si="57"/>
        <v>67</v>
      </c>
      <c r="BN44" s="380">
        <f t="shared" si="57"/>
        <v>67</v>
      </c>
      <c r="BO44" s="380">
        <f t="shared" si="58"/>
        <v>67</v>
      </c>
      <c r="BP44" s="380">
        <f t="shared" si="59"/>
        <v>67</v>
      </c>
      <c r="BQ44" s="380">
        <f t="shared" si="60"/>
        <v>67</v>
      </c>
      <c r="BR44" s="380">
        <f t="shared" si="61"/>
        <v>67</v>
      </c>
      <c r="BS44" s="380">
        <f t="shared" si="62"/>
        <v>67</v>
      </c>
      <c r="BT44" s="380">
        <f t="shared" si="62"/>
        <v>67</v>
      </c>
      <c r="BU44" s="380">
        <f t="shared" si="63"/>
        <v>67</v>
      </c>
      <c r="BV44" s="380">
        <f t="shared" si="64"/>
        <v>67</v>
      </c>
      <c r="BW44" s="380">
        <f t="shared" si="65"/>
        <v>67</v>
      </c>
      <c r="BX44" s="407">
        <f t="shared" si="27"/>
        <v>67</v>
      </c>
      <c r="CA44" s="448"/>
      <c r="CB44" s="425">
        <f>'A-50 FGRailInv'!$C$69</f>
        <v>0</v>
      </c>
      <c r="CC44" s="425" t="str">
        <f>Valid!$B$91</f>
        <v>Train Control &amp; Signaling</v>
      </c>
      <c r="CD44" s="425">
        <f>CD35</f>
        <v>69</v>
      </c>
      <c r="CE44" s="446">
        <f>CE43+$CE$7</f>
        <v>114</v>
      </c>
      <c r="CF44" s="446">
        <f t="shared" si="29"/>
        <v>114</v>
      </c>
      <c r="CG44" s="425">
        <f t="shared" si="119"/>
        <v>114</v>
      </c>
      <c r="CH44" s="425">
        <f t="shared" si="119"/>
        <v>114</v>
      </c>
      <c r="CI44" s="425">
        <f t="shared" si="119"/>
        <v>114</v>
      </c>
      <c r="CJ44" s="425">
        <f t="shared" si="119"/>
        <v>114</v>
      </c>
      <c r="CK44" s="425">
        <f t="shared" si="119"/>
        <v>114</v>
      </c>
      <c r="CL44" s="425">
        <f t="shared" si="119"/>
        <v>114</v>
      </c>
      <c r="CM44" s="425">
        <f t="shared" si="119"/>
        <v>114</v>
      </c>
      <c r="CN44" s="425">
        <f t="shared" si="119"/>
        <v>114</v>
      </c>
      <c r="CO44" s="425">
        <f t="shared" si="119"/>
        <v>114</v>
      </c>
      <c r="CP44" s="425">
        <f t="shared" si="120"/>
        <v>114</v>
      </c>
      <c r="CQ44" s="425">
        <f t="shared" si="120"/>
        <v>114</v>
      </c>
      <c r="CR44" s="425">
        <f t="shared" si="120"/>
        <v>114</v>
      </c>
      <c r="CS44" s="425">
        <f t="shared" si="120"/>
        <v>114</v>
      </c>
      <c r="CT44" s="425">
        <f t="shared" si="120"/>
        <v>114</v>
      </c>
      <c r="CU44" s="425">
        <f t="shared" si="120"/>
        <v>114</v>
      </c>
      <c r="CY44" s="425">
        <f>'A-55 TrackInv'!$C$106</f>
        <v>0</v>
      </c>
      <c r="CZ44" s="425" t="str">
        <f>Valid!$B$86</f>
        <v>Grade Crossings</v>
      </c>
      <c r="DA44" s="425">
        <f t="shared" si="124"/>
        <v>106</v>
      </c>
      <c r="DB44" s="1283">
        <f t="shared" si="125"/>
        <v>128</v>
      </c>
      <c r="DC44" s="425">
        <f t="shared" si="116"/>
        <v>128</v>
      </c>
      <c r="DD44" s="425">
        <f t="shared" si="116"/>
        <v>128</v>
      </c>
      <c r="DE44" s="425">
        <f t="shared" si="116"/>
        <v>128</v>
      </c>
      <c r="DF44" s="425">
        <f t="shared" si="116"/>
        <v>128</v>
      </c>
      <c r="DJ44" s="380" t="s">
        <v>775</v>
      </c>
      <c r="DK44" s="425">
        <f t="shared" si="67"/>
        <v>67</v>
      </c>
      <c r="DL44" s="425">
        <f t="shared" ref="DL44:DS44" si="131">DK44</f>
        <v>67</v>
      </c>
      <c r="DM44" s="425">
        <f t="shared" si="131"/>
        <v>67</v>
      </c>
      <c r="DN44" s="425">
        <f t="shared" si="131"/>
        <v>67</v>
      </c>
      <c r="DO44" s="425">
        <f t="shared" si="131"/>
        <v>67</v>
      </c>
      <c r="DP44" s="425">
        <f t="shared" si="131"/>
        <v>67</v>
      </c>
      <c r="DQ44" s="425">
        <f t="shared" si="131"/>
        <v>67</v>
      </c>
      <c r="DR44" s="425">
        <f t="shared" si="131"/>
        <v>67</v>
      </c>
      <c r="DS44" s="425">
        <f t="shared" si="131"/>
        <v>67</v>
      </c>
      <c r="DU44" s="380" t="s">
        <v>775</v>
      </c>
      <c r="DV44" s="425">
        <f t="shared" si="66"/>
        <v>67</v>
      </c>
      <c r="DW44" s="425">
        <f t="shared" si="94"/>
        <v>67</v>
      </c>
      <c r="DX44" s="425">
        <f t="shared" si="95"/>
        <v>67</v>
      </c>
      <c r="DY44" s="425">
        <f t="shared" si="96"/>
        <v>67</v>
      </c>
      <c r="DZ44" s="425">
        <f t="shared" si="97"/>
        <v>67</v>
      </c>
      <c r="EA44" s="425">
        <f t="shared" si="98"/>
        <v>67</v>
      </c>
      <c r="EB44" s="425">
        <f t="shared" si="99"/>
        <v>67</v>
      </c>
      <c r="EC44" s="425">
        <f t="shared" si="100"/>
        <v>67</v>
      </c>
      <c r="ED44" s="425">
        <f t="shared" si="101"/>
        <v>67</v>
      </c>
      <c r="EE44" s="425">
        <f t="shared" si="102"/>
        <v>67</v>
      </c>
      <c r="EF44" s="425">
        <f t="shared" si="103"/>
        <v>67</v>
      </c>
      <c r="EG44" s="425">
        <f t="shared" si="104"/>
        <v>67</v>
      </c>
      <c r="EH44" s="425">
        <f t="shared" si="105"/>
        <v>67</v>
      </c>
      <c r="EI44" s="425">
        <f t="shared" si="106"/>
        <v>67</v>
      </c>
      <c r="EJ44" s="425">
        <f t="shared" si="107"/>
        <v>67</v>
      </c>
      <c r="EK44" s="425">
        <f t="shared" si="78"/>
        <v>67</v>
      </c>
      <c r="EL44" s="425">
        <f t="shared" si="79"/>
        <v>67</v>
      </c>
      <c r="EM44" s="425">
        <f t="shared" si="80"/>
        <v>67</v>
      </c>
      <c r="EN44" s="425">
        <f t="shared" si="81"/>
        <v>67</v>
      </c>
      <c r="EO44" s="425">
        <f t="shared" si="82"/>
        <v>67</v>
      </c>
      <c r="EP44" s="425">
        <f t="shared" si="83"/>
        <v>67</v>
      </c>
      <c r="EQ44" s="425">
        <f t="shared" si="84"/>
        <v>67</v>
      </c>
      <c r="ER44" s="425">
        <f t="shared" si="85"/>
        <v>67</v>
      </c>
      <c r="ES44" s="425">
        <f t="shared" si="86"/>
        <v>67</v>
      </c>
      <c r="ET44" s="425">
        <f t="shared" si="87"/>
        <v>67</v>
      </c>
      <c r="EU44" s="425">
        <f t="shared" si="88"/>
        <v>67</v>
      </c>
      <c r="EV44" s="425">
        <f t="shared" si="88"/>
        <v>67</v>
      </c>
      <c r="EW44" s="425">
        <f t="shared" si="89"/>
        <v>67</v>
      </c>
      <c r="EX44" s="425">
        <f t="shared" si="90"/>
        <v>67</v>
      </c>
      <c r="EY44" s="425">
        <f t="shared" si="91"/>
        <v>67</v>
      </c>
      <c r="EZ44" s="425">
        <f t="shared" si="92"/>
        <v>67</v>
      </c>
    </row>
    <row r="45" spans="42:156" x14ac:dyDescent="0.2">
      <c r="AP45" s="380" t="s">
        <v>670</v>
      </c>
      <c r="AQ45" s="406">
        <f t="shared" si="41"/>
        <v>69</v>
      </c>
      <c r="AR45" s="406">
        <f t="shared" si="41"/>
        <v>69</v>
      </c>
      <c r="AS45" s="380">
        <f t="shared" si="42"/>
        <v>69</v>
      </c>
      <c r="AT45" s="380">
        <f t="shared" si="43"/>
        <v>69</v>
      </c>
      <c r="AU45" s="380">
        <f t="shared" si="44"/>
        <v>69</v>
      </c>
      <c r="AV45" s="380">
        <f t="shared" si="45"/>
        <v>69</v>
      </c>
      <c r="AW45" s="380">
        <f t="shared" si="46"/>
        <v>69</v>
      </c>
      <c r="AX45" s="380">
        <f t="shared" si="47"/>
        <v>69</v>
      </c>
      <c r="AY45" s="380">
        <f t="shared" si="48"/>
        <v>69</v>
      </c>
      <c r="AZ45" s="380">
        <f t="shared" si="49"/>
        <v>69</v>
      </c>
      <c r="BA45" s="380">
        <f t="shared" si="50"/>
        <v>69</v>
      </c>
      <c r="BB45" s="380">
        <f t="shared" si="51"/>
        <v>69</v>
      </c>
      <c r="BC45" s="380">
        <f t="shared" si="52"/>
        <v>69</v>
      </c>
      <c r="BD45" s="407">
        <f t="shared" si="52"/>
        <v>69</v>
      </c>
      <c r="BG45" s="380" t="s">
        <v>670</v>
      </c>
      <c r="BH45" s="406">
        <f t="shared" si="53"/>
        <v>69</v>
      </c>
      <c r="BI45" s="406">
        <f t="shared" si="53"/>
        <v>69</v>
      </c>
      <c r="BJ45" s="380">
        <f t="shared" si="54"/>
        <v>69</v>
      </c>
      <c r="BK45" s="380">
        <f t="shared" si="55"/>
        <v>69</v>
      </c>
      <c r="BL45" s="380">
        <f t="shared" si="56"/>
        <v>69</v>
      </c>
      <c r="BM45" s="380">
        <f t="shared" si="57"/>
        <v>69</v>
      </c>
      <c r="BN45" s="380">
        <f t="shared" si="57"/>
        <v>69</v>
      </c>
      <c r="BO45" s="380">
        <f t="shared" si="58"/>
        <v>69</v>
      </c>
      <c r="BP45" s="380">
        <f t="shared" si="59"/>
        <v>69</v>
      </c>
      <c r="BQ45" s="380">
        <f t="shared" si="60"/>
        <v>69</v>
      </c>
      <c r="BR45" s="380">
        <f t="shared" si="61"/>
        <v>69</v>
      </c>
      <c r="BS45" s="380">
        <f t="shared" si="62"/>
        <v>69</v>
      </c>
      <c r="BT45" s="380">
        <f t="shared" si="62"/>
        <v>69</v>
      </c>
      <c r="BU45" s="380">
        <f t="shared" si="63"/>
        <v>69</v>
      </c>
      <c r="BV45" s="380">
        <f t="shared" si="64"/>
        <v>69</v>
      </c>
      <c r="BW45" s="380">
        <f t="shared" si="65"/>
        <v>69</v>
      </c>
      <c r="BX45" s="407">
        <f t="shared" si="27"/>
        <v>69</v>
      </c>
      <c r="CA45" s="448"/>
      <c r="CB45" s="425">
        <f>'A-50 FGRailInv'!$C$69</f>
        <v>0</v>
      </c>
      <c r="CC45" s="425" t="str">
        <f>Valid!$B$71</f>
        <v>At-Grade/Ballast (including expressway)</v>
      </c>
      <c r="CD45" s="425">
        <f>CD31+$CD$7</f>
        <v>125</v>
      </c>
      <c r="CE45" s="446">
        <f>CE44+$CE$9</f>
        <v>129</v>
      </c>
      <c r="CF45" s="446">
        <f t="shared" si="29"/>
        <v>129</v>
      </c>
      <c r="CG45" s="425">
        <f t="shared" si="119"/>
        <v>129</v>
      </c>
      <c r="CH45" s="425">
        <f t="shared" si="119"/>
        <v>129</v>
      </c>
      <c r="CI45" s="425">
        <f t="shared" si="119"/>
        <v>129</v>
      </c>
      <c r="CJ45" s="425">
        <f t="shared" si="119"/>
        <v>129</v>
      </c>
      <c r="CK45" s="425">
        <f t="shared" si="119"/>
        <v>129</v>
      </c>
      <c r="CL45" s="425">
        <f t="shared" si="119"/>
        <v>129</v>
      </c>
      <c r="CM45" s="425">
        <f t="shared" si="119"/>
        <v>129</v>
      </c>
      <c r="CN45" s="425">
        <f t="shared" si="119"/>
        <v>129</v>
      </c>
      <c r="CO45" s="425">
        <f t="shared" si="119"/>
        <v>129</v>
      </c>
      <c r="CP45" s="425">
        <f t="shared" si="120"/>
        <v>129</v>
      </c>
      <c r="CQ45" s="425">
        <f t="shared" si="120"/>
        <v>129</v>
      </c>
      <c r="CR45" s="425">
        <f t="shared" si="120"/>
        <v>129</v>
      </c>
      <c r="CS45" s="425">
        <f t="shared" si="120"/>
        <v>129</v>
      </c>
      <c r="CT45" s="425">
        <f t="shared" si="120"/>
        <v>129</v>
      </c>
      <c r="CU45" s="425">
        <f t="shared" si="120"/>
        <v>129</v>
      </c>
      <c r="CX45" s="380">
        <f>CX38+1</f>
        <v>5</v>
      </c>
      <c r="CY45" s="425">
        <f>'A-55 TrackInv'!$C$137</f>
        <v>0</v>
      </c>
      <c r="CZ45" s="425" t="str">
        <f>Valid!$B$80</f>
        <v>Tangent</v>
      </c>
      <c r="DA45" s="425">
        <f>DA39+$DA$7</f>
        <v>137</v>
      </c>
      <c r="DB45" s="1283">
        <f>DB44+$DB$9</f>
        <v>143</v>
      </c>
      <c r="DC45" s="425">
        <f t="shared" si="116"/>
        <v>143</v>
      </c>
      <c r="DD45" s="425">
        <f t="shared" si="116"/>
        <v>143</v>
      </c>
      <c r="DE45" s="425">
        <f t="shared" si="116"/>
        <v>143</v>
      </c>
      <c r="DF45" s="425">
        <f t="shared" si="116"/>
        <v>143</v>
      </c>
      <c r="DJ45" s="380" t="s">
        <v>776</v>
      </c>
      <c r="DK45" s="425">
        <f t="shared" si="67"/>
        <v>69</v>
      </c>
      <c r="DL45" s="425">
        <f t="shared" ref="DL45:DS45" si="132">DK45</f>
        <v>69</v>
      </c>
      <c r="DM45" s="425">
        <f t="shared" si="132"/>
        <v>69</v>
      </c>
      <c r="DN45" s="425">
        <f t="shared" si="132"/>
        <v>69</v>
      </c>
      <c r="DO45" s="425">
        <f t="shared" si="132"/>
        <v>69</v>
      </c>
      <c r="DP45" s="425">
        <f t="shared" si="132"/>
        <v>69</v>
      </c>
      <c r="DQ45" s="425">
        <f t="shared" si="132"/>
        <v>69</v>
      </c>
      <c r="DR45" s="425">
        <f t="shared" si="132"/>
        <v>69</v>
      </c>
      <c r="DS45" s="425">
        <f t="shared" si="132"/>
        <v>69</v>
      </c>
      <c r="DU45" s="380" t="s">
        <v>776</v>
      </c>
      <c r="DV45" s="425">
        <f t="shared" si="66"/>
        <v>69</v>
      </c>
      <c r="DW45" s="425">
        <f t="shared" si="94"/>
        <v>69</v>
      </c>
      <c r="DX45" s="425">
        <f t="shared" si="95"/>
        <v>69</v>
      </c>
      <c r="DY45" s="425">
        <f t="shared" si="96"/>
        <v>69</v>
      </c>
      <c r="DZ45" s="425">
        <f t="shared" si="97"/>
        <v>69</v>
      </c>
      <c r="EA45" s="425">
        <f t="shared" si="98"/>
        <v>69</v>
      </c>
      <c r="EB45" s="425">
        <f t="shared" si="99"/>
        <v>69</v>
      </c>
      <c r="EC45" s="425">
        <f t="shared" si="100"/>
        <v>69</v>
      </c>
      <c r="ED45" s="425">
        <f t="shared" si="101"/>
        <v>69</v>
      </c>
      <c r="EE45" s="425">
        <f t="shared" si="102"/>
        <v>69</v>
      </c>
      <c r="EF45" s="425">
        <f t="shared" si="103"/>
        <v>69</v>
      </c>
      <c r="EG45" s="425">
        <f t="shared" si="104"/>
        <v>69</v>
      </c>
      <c r="EH45" s="425">
        <f t="shared" si="105"/>
        <v>69</v>
      </c>
      <c r="EI45" s="425">
        <f t="shared" si="106"/>
        <v>69</v>
      </c>
      <c r="EJ45" s="425">
        <f t="shared" si="107"/>
        <v>69</v>
      </c>
      <c r="EK45" s="425">
        <f t="shared" si="78"/>
        <v>69</v>
      </c>
      <c r="EL45" s="425">
        <f t="shared" si="79"/>
        <v>69</v>
      </c>
      <c r="EM45" s="425">
        <f t="shared" si="80"/>
        <v>69</v>
      </c>
      <c r="EN45" s="425">
        <f t="shared" si="81"/>
        <v>69</v>
      </c>
      <c r="EO45" s="425">
        <f t="shared" si="82"/>
        <v>69</v>
      </c>
      <c r="EP45" s="425">
        <f t="shared" si="83"/>
        <v>69</v>
      </c>
      <c r="EQ45" s="425">
        <f t="shared" si="84"/>
        <v>69</v>
      </c>
      <c r="ER45" s="425">
        <f t="shared" si="85"/>
        <v>69</v>
      </c>
      <c r="ES45" s="425">
        <f t="shared" si="86"/>
        <v>69</v>
      </c>
      <c r="ET45" s="425">
        <f t="shared" si="87"/>
        <v>69</v>
      </c>
      <c r="EU45" s="425">
        <f t="shared" si="88"/>
        <v>69</v>
      </c>
      <c r="EV45" s="425">
        <f t="shared" si="88"/>
        <v>69</v>
      </c>
      <c r="EW45" s="425">
        <f t="shared" si="89"/>
        <v>69</v>
      </c>
      <c r="EX45" s="425">
        <f t="shared" si="90"/>
        <v>69</v>
      </c>
      <c r="EY45" s="425">
        <f t="shared" si="91"/>
        <v>69</v>
      </c>
      <c r="EZ45" s="425">
        <f t="shared" si="92"/>
        <v>69</v>
      </c>
    </row>
    <row r="46" spans="42:156" x14ac:dyDescent="0.2">
      <c r="AP46" s="380" t="s">
        <v>671</v>
      </c>
      <c r="AQ46" s="406">
        <f t="shared" si="41"/>
        <v>71</v>
      </c>
      <c r="AR46" s="406">
        <f t="shared" si="41"/>
        <v>71</v>
      </c>
      <c r="AS46" s="380">
        <f t="shared" si="42"/>
        <v>71</v>
      </c>
      <c r="AT46" s="380">
        <f t="shared" si="43"/>
        <v>71</v>
      </c>
      <c r="AU46" s="380">
        <f t="shared" si="44"/>
        <v>71</v>
      </c>
      <c r="AV46" s="380">
        <f t="shared" si="45"/>
        <v>71</v>
      </c>
      <c r="AW46" s="380">
        <f t="shared" si="46"/>
        <v>71</v>
      </c>
      <c r="AX46" s="380">
        <f t="shared" si="47"/>
        <v>71</v>
      </c>
      <c r="AY46" s="380">
        <f t="shared" si="48"/>
        <v>71</v>
      </c>
      <c r="AZ46" s="380">
        <f t="shared" si="49"/>
        <v>71</v>
      </c>
      <c r="BA46" s="380">
        <f t="shared" si="50"/>
        <v>71</v>
      </c>
      <c r="BB46" s="380">
        <f t="shared" si="51"/>
        <v>71</v>
      </c>
      <c r="BC46" s="380">
        <f t="shared" si="52"/>
        <v>71</v>
      </c>
      <c r="BD46" s="407">
        <f t="shared" si="52"/>
        <v>71</v>
      </c>
      <c r="BG46" s="380" t="s">
        <v>671</v>
      </c>
      <c r="BH46" s="406">
        <f t="shared" si="53"/>
        <v>71</v>
      </c>
      <c r="BI46" s="406">
        <f t="shared" si="53"/>
        <v>71</v>
      </c>
      <c r="BJ46" s="380">
        <f t="shared" si="54"/>
        <v>71</v>
      </c>
      <c r="BK46" s="380">
        <f t="shared" si="55"/>
        <v>71</v>
      </c>
      <c r="BL46" s="380">
        <f t="shared" si="56"/>
        <v>71</v>
      </c>
      <c r="BM46" s="380">
        <f t="shared" si="57"/>
        <v>71</v>
      </c>
      <c r="BN46" s="380">
        <f t="shared" si="57"/>
        <v>71</v>
      </c>
      <c r="BO46" s="380">
        <f t="shared" si="58"/>
        <v>71</v>
      </c>
      <c r="BP46" s="380">
        <f t="shared" si="59"/>
        <v>71</v>
      </c>
      <c r="BQ46" s="380">
        <f t="shared" si="60"/>
        <v>71</v>
      </c>
      <c r="BR46" s="380">
        <f t="shared" si="61"/>
        <v>71</v>
      </c>
      <c r="BS46" s="380">
        <f t="shared" si="62"/>
        <v>71</v>
      </c>
      <c r="BT46" s="380">
        <f t="shared" si="62"/>
        <v>71</v>
      </c>
      <c r="BU46" s="380">
        <f t="shared" si="63"/>
        <v>71</v>
      </c>
      <c r="BV46" s="380">
        <f t="shared" si="64"/>
        <v>71</v>
      </c>
      <c r="BW46" s="380">
        <f t="shared" si="65"/>
        <v>71</v>
      </c>
      <c r="BX46" s="407">
        <f t="shared" si="27"/>
        <v>71</v>
      </c>
      <c r="CA46" s="448"/>
      <c r="CB46" s="425">
        <f>'A-50 FGRailInv'!$C$69</f>
        <v>0</v>
      </c>
      <c r="CC46" s="425" t="str">
        <f>Valid!$B$72</f>
        <v>At-Grade/In-Street/Embedded</v>
      </c>
      <c r="CD46" s="425">
        <f>CD45</f>
        <v>125</v>
      </c>
      <c r="CE46" s="1199">
        <f t="shared" ref="CE46:CE53" si="133">CE45+$CE$7</f>
        <v>132</v>
      </c>
      <c r="CF46" s="446">
        <f t="shared" si="29"/>
        <v>132</v>
      </c>
      <c r="CG46" s="425">
        <f t="shared" ref="CG46:CO55" si="134">$CE46</f>
        <v>132</v>
      </c>
      <c r="CH46" s="425">
        <f t="shared" si="134"/>
        <v>132</v>
      </c>
      <c r="CI46" s="425">
        <f t="shared" si="134"/>
        <v>132</v>
      </c>
      <c r="CJ46" s="425">
        <f t="shared" si="134"/>
        <v>132</v>
      </c>
      <c r="CK46" s="425">
        <f t="shared" si="134"/>
        <v>132</v>
      </c>
      <c r="CL46" s="425">
        <f t="shared" si="134"/>
        <v>132</v>
      </c>
      <c r="CM46" s="425">
        <f t="shared" si="134"/>
        <v>132</v>
      </c>
      <c r="CN46" s="425">
        <f t="shared" si="134"/>
        <v>132</v>
      </c>
      <c r="CO46" s="425">
        <f t="shared" si="134"/>
        <v>132</v>
      </c>
      <c r="CP46" s="425">
        <f t="shared" ref="CP46:CU55" si="135">$CE46</f>
        <v>132</v>
      </c>
      <c r="CQ46" s="425">
        <f t="shared" si="135"/>
        <v>132</v>
      </c>
      <c r="CR46" s="425">
        <f t="shared" si="135"/>
        <v>132</v>
      </c>
      <c r="CS46" s="425">
        <f t="shared" si="135"/>
        <v>132</v>
      </c>
      <c r="CT46" s="425">
        <f t="shared" si="135"/>
        <v>132</v>
      </c>
      <c r="CU46" s="425">
        <f t="shared" si="135"/>
        <v>132</v>
      </c>
      <c r="CY46" s="425">
        <f>'A-55 TrackInv'!$C$137</f>
        <v>0</v>
      </c>
      <c r="CZ46" s="425" t="str">
        <f>Valid!$B$81</f>
        <v>Curve</v>
      </c>
      <c r="DA46" s="425">
        <f t="shared" ref="DA46:DA51" si="136">DA39+$DA$7</f>
        <v>137</v>
      </c>
      <c r="DB46" s="1283">
        <f t="shared" ref="DB46:DB51" si="137">DB45+$DB$7</f>
        <v>145</v>
      </c>
      <c r="DC46" s="425">
        <f t="shared" si="116"/>
        <v>145</v>
      </c>
      <c r="DD46" s="425">
        <f t="shared" si="116"/>
        <v>145</v>
      </c>
      <c r="DE46" s="425">
        <f t="shared" si="116"/>
        <v>145</v>
      </c>
      <c r="DF46" s="425">
        <f t="shared" si="116"/>
        <v>145</v>
      </c>
      <c r="DJ46" s="380" t="s">
        <v>777</v>
      </c>
      <c r="DK46" s="425">
        <f t="shared" si="67"/>
        <v>71</v>
      </c>
      <c r="DL46" s="425">
        <f t="shared" ref="DL46:DS46" si="138">DK46</f>
        <v>71</v>
      </c>
      <c r="DM46" s="425">
        <f t="shared" si="138"/>
        <v>71</v>
      </c>
      <c r="DN46" s="425">
        <f t="shared" si="138"/>
        <v>71</v>
      </c>
      <c r="DO46" s="425">
        <f t="shared" si="138"/>
        <v>71</v>
      </c>
      <c r="DP46" s="425">
        <f t="shared" si="138"/>
        <v>71</v>
      </c>
      <c r="DQ46" s="425">
        <f t="shared" si="138"/>
        <v>71</v>
      </c>
      <c r="DR46" s="425">
        <f t="shared" si="138"/>
        <v>71</v>
      </c>
      <c r="DS46" s="425">
        <f t="shared" si="138"/>
        <v>71</v>
      </c>
      <c r="DU46" s="380" t="s">
        <v>777</v>
      </c>
      <c r="DV46" s="425">
        <f t="shared" si="66"/>
        <v>71</v>
      </c>
      <c r="DW46" s="425">
        <f t="shared" si="94"/>
        <v>71</v>
      </c>
      <c r="DX46" s="425">
        <f t="shared" si="95"/>
        <v>71</v>
      </c>
      <c r="DY46" s="425">
        <f t="shared" si="96"/>
        <v>71</v>
      </c>
      <c r="DZ46" s="425">
        <f t="shared" si="97"/>
        <v>71</v>
      </c>
      <c r="EA46" s="425">
        <f t="shared" si="98"/>
        <v>71</v>
      </c>
      <c r="EB46" s="425">
        <f t="shared" si="99"/>
        <v>71</v>
      </c>
      <c r="EC46" s="425">
        <f t="shared" si="100"/>
        <v>71</v>
      </c>
      <c r="ED46" s="425">
        <f t="shared" si="101"/>
        <v>71</v>
      </c>
      <c r="EE46" s="425">
        <f t="shared" si="102"/>
        <v>71</v>
      </c>
      <c r="EF46" s="425">
        <f t="shared" si="103"/>
        <v>71</v>
      </c>
      <c r="EG46" s="425">
        <f t="shared" si="104"/>
        <v>71</v>
      </c>
      <c r="EH46" s="425">
        <f t="shared" si="105"/>
        <v>71</v>
      </c>
      <c r="EI46" s="425">
        <f t="shared" si="106"/>
        <v>71</v>
      </c>
      <c r="EJ46" s="425">
        <f t="shared" si="107"/>
        <v>71</v>
      </c>
      <c r="EK46" s="425">
        <f t="shared" si="78"/>
        <v>71</v>
      </c>
      <c r="EL46" s="425">
        <f t="shared" si="79"/>
        <v>71</v>
      </c>
      <c r="EM46" s="425">
        <f t="shared" si="80"/>
        <v>71</v>
      </c>
      <c r="EN46" s="425">
        <f t="shared" si="81"/>
        <v>71</v>
      </c>
      <c r="EO46" s="425">
        <f t="shared" si="82"/>
        <v>71</v>
      </c>
      <c r="EP46" s="425">
        <f t="shared" si="83"/>
        <v>71</v>
      </c>
      <c r="EQ46" s="425">
        <f t="shared" si="84"/>
        <v>71</v>
      </c>
      <c r="ER46" s="425">
        <f t="shared" si="85"/>
        <v>71</v>
      </c>
      <c r="ES46" s="425">
        <f t="shared" si="86"/>
        <v>71</v>
      </c>
      <c r="ET46" s="425">
        <f t="shared" si="87"/>
        <v>71</v>
      </c>
      <c r="EU46" s="425">
        <f t="shared" si="88"/>
        <v>71</v>
      </c>
      <c r="EV46" s="425">
        <f t="shared" si="88"/>
        <v>71</v>
      </c>
      <c r="EW46" s="425">
        <f t="shared" si="89"/>
        <v>71</v>
      </c>
      <c r="EX46" s="425">
        <f t="shared" si="90"/>
        <v>71</v>
      </c>
      <c r="EY46" s="425">
        <f t="shared" si="91"/>
        <v>71</v>
      </c>
      <c r="EZ46" s="425">
        <f t="shared" si="92"/>
        <v>71</v>
      </c>
    </row>
    <row r="47" spans="42:156" ht="12.75" customHeight="1" x14ac:dyDescent="0.2">
      <c r="AP47" s="380" t="s">
        <v>672</v>
      </c>
      <c r="AQ47" s="406">
        <f t="shared" si="41"/>
        <v>73</v>
      </c>
      <c r="AR47" s="406">
        <f t="shared" si="41"/>
        <v>73</v>
      </c>
      <c r="AS47" s="380">
        <f t="shared" si="42"/>
        <v>73</v>
      </c>
      <c r="AT47" s="380">
        <f t="shared" si="43"/>
        <v>73</v>
      </c>
      <c r="AU47" s="380">
        <f t="shared" si="44"/>
        <v>73</v>
      </c>
      <c r="AV47" s="380">
        <f t="shared" si="45"/>
        <v>73</v>
      </c>
      <c r="AW47" s="380">
        <f t="shared" si="46"/>
        <v>73</v>
      </c>
      <c r="AX47" s="380">
        <f t="shared" si="47"/>
        <v>73</v>
      </c>
      <c r="AY47" s="380">
        <f t="shared" si="48"/>
        <v>73</v>
      </c>
      <c r="AZ47" s="380">
        <f t="shared" si="49"/>
        <v>73</v>
      </c>
      <c r="BA47" s="380">
        <f t="shared" si="50"/>
        <v>73</v>
      </c>
      <c r="BB47" s="380">
        <f t="shared" si="51"/>
        <v>73</v>
      </c>
      <c r="BC47" s="380">
        <f t="shared" si="52"/>
        <v>73</v>
      </c>
      <c r="BD47" s="407">
        <f t="shared" si="52"/>
        <v>73</v>
      </c>
      <c r="BG47" s="380" t="s">
        <v>672</v>
      </c>
      <c r="BH47" s="406">
        <f t="shared" si="53"/>
        <v>73</v>
      </c>
      <c r="BI47" s="406">
        <f t="shared" si="53"/>
        <v>73</v>
      </c>
      <c r="BJ47" s="380">
        <f t="shared" si="54"/>
        <v>73</v>
      </c>
      <c r="BK47" s="380">
        <f t="shared" si="55"/>
        <v>73</v>
      </c>
      <c r="BL47" s="380">
        <f t="shared" si="56"/>
        <v>73</v>
      </c>
      <c r="BM47" s="380">
        <f t="shared" si="57"/>
        <v>73</v>
      </c>
      <c r="BN47" s="380">
        <f t="shared" si="57"/>
        <v>73</v>
      </c>
      <c r="BO47" s="380">
        <f t="shared" si="58"/>
        <v>73</v>
      </c>
      <c r="BP47" s="380">
        <f t="shared" si="59"/>
        <v>73</v>
      </c>
      <c r="BQ47" s="380">
        <f t="shared" si="60"/>
        <v>73</v>
      </c>
      <c r="BR47" s="380">
        <f t="shared" si="61"/>
        <v>73</v>
      </c>
      <c r="BS47" s="380">
        <f t="shared" si="62"/>
        <v>73</v>
      </c>
      <c r="BT47" s="380">
        <f t="shared" si="62"/>
        <v>73</v>
      </c>
      <c r="BU47" s="380">
        <f t="shared" si="63"/>
        <v>73</v>
      </c>
      <c r="BV47" s="380">
        <f t="shared" si="64"/>
        <v>73</v>
      </c>
      <c r="BW47" s="380">
        <f t="shared" si="65"/>
        <v>73</v>
      </c>
      <c r="BX47" s="407">
        <f t="shared" si="27"/>
        <v>73</v>
      </c>
      <c r="CB47" s="425">
        <f>'A-50 FGRailInv'!$C$69</f>
        <v>0</v>
      </c>
      <c r="CC47" s="425" t="str">
        <f>Valid!$B$73</f>
        <v>Elevated/Retained Fill</v>
      </c>
      <c r="CD47" s="425">
        <f>CD45</f>
        <v>125</v>
      </c>
      <c r="CE47" s="446">
        <f t="shared" si="133"/>
        <v>135</v>
      </c>
      <c r="CF47" s="446">
        <f t="shared" si="29"/>
        <v>135</v>
      </c>
      <c r="CG47" s="425">
        <f t="shared" si="134"/>
        <v>135</v>
      </c>
      <c r="CH47" s="425">
        <f t="shared" si="134"/>
        <v>135</v>
      </c>
      <c r="CI47" s="425">
        <f t="shared" si="134"/>
        <v>135</v>
      </c>
      <c r="CJ47" s="425">
        <f t="shared" si="134"/>
        <v>135</v>
      </c>
      <c r="CK47" s="425">
        <f t="shared" si="134"/>
        <v>135</v>
      </c>
      <c r="CL47" s="425">
        <f t="shared" si="134"/>
        <v>135</v>
      </c>
      <c r="CM47" s="425">
        <f t="shared" si="134"/>
        <v>135</v>
      </c>
      <c r="CN47" s="425">
        <f t="shared" si="134"/>
        <v>135</v>
      </c>
      <c r="CO47" s="425">
        <f t="shared" si="134"/>
        <v>135</v>
      </c>
      <c r="CP47" s="425">
        <f t="shared" si="135"/>
        <v>135</v>
      </c>
      <c r="CQ47" s="425">
        <f t="shared" si="135"/>
        <v>135</v>
      </c>
      <c r="CR47" s="425">
        <f t="shared" si="135"/>
        <v>135</v>
      </c>
      <c r="CS47" s="425">
        <f t="shared" si="135"/>
        <v>135</v>
      </c>
      <c r="CT47" s="425">
        <f t="shared" si="135"/>
        <v>135</v>
      </c>
      <c r="CU47" s="425">
        <f t="shared" si="135"/>
        <v>135</v>
      </c>
      <c r="CY47" s="425">
        <f>'A-55 TrackInv'!$C$137</f>
        <v>0</v>
      </c>
      <c r="CZ47" s="425" t="str">
        <f>Valid!$B$82</f>
        <v>Double Diamond Crossover</v>
      </c>
      <c r="DA47" s="425">
        <f t="shared" si="136"/>
        <v>137</v>
      </c>
      <c r="DB47" s="1283">
        <f>DB46+DB8</f>
        <v>151</v>
      </c>
      <c r="DC47" s="425">
        <f t="shared" si="116"/>
        <v>151</v>
      </c>
      <c r="DD47" s="425">
        <f t="shared" si="116"/>
        <v>151</v>
      </c>
      <c r="DE47" s="425">
        <f t="shared" si="116"/>
        <v>151</v>
      </c>
      <c r="DF47" s="425">
        <f t="shared" si="116"/>
        <v>151</v>
      </c>
      <c r="DJ47" s="380" t="s">
        <v>778</v>
      </c>
      <c r="DK47" s="425">
        <f t="shared" si="67"/>
        <v>73</v>
      </c>
      <c r="DL47" s="425">
        <f t="shared" ref="DL47:DS47" si="139">DK47</f>
        <v>73</v>
      </c>
      <c r="DM47" s="425">
        <f t="shared" si="139"/>
        <v>73</v>
      </c>
      <c r="DN47" s="425">
        <f t="shared" si="139"/>
        <v>73</v>
      </c>
      <c r="DO47" s="425">
        <f t="shared" si="139"/>
        <v>73</v>
      </c>
      <c r="DP47" s="425">
        <f t="shared" si="139"/>
        <v>73</v>
      </c>
      <c r="DQ47" s="425">
        <f t="shared" si="139"/>
        <v>73</v>
      </c>
      <c r="DR47" s="425">
        <f t="shared" si="139"/>
        <v>73</v>
      </c>
      <c r="DS47" s="425">
        <f t="shared" si="139"/>
        <v>73</v>
      </c>
      <c r="DU47" s="380" t="s">
        <v>778</v>
      </c>
      <c r="DV47" s="425">
        <f t="shared" si="66"/>
        <v>73</v>
      </c>
      <c r="DW47" s="425">
        <f t="shared" si="94"/>
        <v>73</v>
      </c>
      <c r="DX47" s="425">
        <f t="shared" si="95"/>
        <v>73</v>
      </c>
      <c r="DY47" s="425">
        <f t="shared" si="96"/>
        <v>73</v>
      </c>
      <c r="DZ47" s="425">
        <f t="shared" si="97"/>
        <v>73</v>
      </c>
      <c r="EA47" s="425">
        <f t="shared" si="98"/>
        <v>73</v>
      </c>
      <c r="EB47" s="425">
        <f t="shared" si="99"/>
        <v>73</v>
      </c>
      <c r="EC47" s="425">
        <f t="shared" si="100"/>
        <v>73</v>
      </c>
      <c r="ED47" s="425">
        <f t="shared" si="101"/>
        <v>73</v>
      </c>
      <c r="EE47" s="425">
        <f t="shared" si="102"/>
        <v>73</v>
      </c>
      <c r="EF47" s="425">
        <f t="shared" si="103"/>
        <v>73</v>
      </c>
      <c r="EG47" s="425">
        <f t="shared" si="104"/>
        <v>73</v>
      </c>
      <c r="EH47" s="425">
        <f t="shared" si="105"/>
        <v>73</v>
      </c>
      <c r="EI47" s="425">
        <f t="shared" si="106"/>
        <v>73</v>
      </c>
      <c r="EJ47" s="425">
        <f t="shared" si="107"/>
        <v>73</v>
      </c>
      <c r="EK47" s="425">
        <f t="shared" si="78"/>
        <v>73</v>
      </c>
      <c r="EL47" s="425">
        <f t="shared" si="79"/>
        <v>73</v>
      </c>
      <c r="EM47" s="425">
        <f t="shared" si="80"/>
        <v>73</v>
      </c>
      <c r="EN47" s="425">
        <f t="shared" si="81"/>
        <v>73</v>
      </c>
      <c r="EO47" s="425">
        <f t="shared" si="82"/>
        <v>73</v>
      </c>
      <c r="EP47" s="425">
        <f t="shared" si="83"/>
        <v>73</v>
      </c>
      <c r="EQ47" s="425">
        <f t="shared" si="84"/>
        <v>73</v>
      </c>
      <c r="ER47" s="425">
        <f t="shared" si="85"/>
        <v>73</v>
      </c>
      <c r="ES47" s="425">
        <f t="shared" si="86"/>
        <v>73</v>
      </c>
      <c r="ET47" s="425">
        <f t="shared" si="87"/>
        <v>73</v>
      </c>
      <c r="EU47" s="425">
        <f t="shared" si="88"/>
        <v>73</v>
      </c>
      <c r="EV47" s="425">
        <f t="shared" si="88"/>
        <v>73</v>
      </c>
      <c r="EW47" s="425">
        <f t="shared" si="89"/>
        <v>73</v>
      </c>
      <c r="EX47" s="425">
        <f t="shared" si="90"/>
        <v>73</v>
      </c>
      <c r="EY47" s="425">
        <f t="shared" si="91"/>
        <v>73</v>
      </c>
      <c r="EZ47" s="425">
        <f t="shared" si="92"/>
        <v>73</v>
      </c>
    </row>
    <row r="48" spans="42:156" x14ac:dyDescent="0.2">
      <c r="AP48" s="380" t="s">
        <v>673</v>
      </c>
      <c r="AQ48" s="406">
        <f t="shared" si="41"/>
        <v>75</v>
      </c>
      <c r="AR48" s="406">
        <f t="shared" si="41"/>
        <v>75</v>
      </c>
      <c r="AS48" s="380">
        <f t="shared" si="42"/>
        <v>75</v>
      </c>
      <c r="AT48" s="380">
        <f t="shared" si="43"/>
        <v>75</v>
      </c>
      <c r="AU48" s="380">
        <f t="shared" si="44"/>
        <v>75</v>
      </c>
      <c r="AV48" s="380">
        <f t="shared" si="45"/>
        <v>75</v>
      </c>
      <c r="AW48" s="380">
        <f t="shared" si="46"/>
        <v>75</v>
      </c>
      <c r="AX48" s="380">
        <f t="shared" si="47"/>
        <v>75</v>
      </c>
      <c r="AY48" s="380">
        <f t="shared" si="48"/>
        <v>75</v>
      </c>
      <c r="AZ48" s="380">
        <f t="shared" si="49"/>
        <v>75</v>
      </c>
      <c r="BA48" s="380">
        <f t="shared" si="50"/>
        <v>75</v>
      </c>
      <c r="BB48" s="380">
        <f t="shared" si="51"/>
        <v>75</v>
      </c>
      <c r="BC48" s="380">
        <f t="shared" si="52"/>
        <v>75</v>
      </c>
      <c r="BD48" s="407">
        <f t="shared" si="52"/>
        <v>75</v>
      </c>
      <c r="BG48" s="380" t="s">
        <v>673</v>
      </c>
      <c r="BH48" s="406">
        <f t="shared" si="53"/>
        <v>75</v>
      </c>
      <c r="BI48" s="406">
        <f t="shared" si="53"/>
        <v>75</v>
      </c>
      <c r="BJ48" s="380">
        <f t="shared" si="54"/>
        <v>75</v>
      </c>
      <c r="BK48" s="380">
        <f t="shared" si="55"/>
        <v>75</v>
      </c>
      <c r="BL48" s="380">
        <f t="shared" si="56"/>
        <v>75</v>
      </c>
      <c r="BM48" s="380">
        <f t="shared" si="57"/>
        <v>75</v>
      </c>
      <c r="BN48" s="380">
        <f t="shared" si="57"/>
        <v>75</v>
      </c>
      <c r="BO48" s="380">
        <f t="shared" si="58"/>
        <v>75</v>
      </c>
      <c r="BP48" s="380">
        <f t="shared" si="59"/>
        <v>75</v>
      </c>
      <c r="BQ48" s="380">
        <f t="shared" si="60"/>
        <v>75</v>
      </c>
      <c r="BR48" s="380">
        <f t="shared" si="61"/>
        <v>75</v>
      </c>
      <c r="BS48" s="380">
        <f t="shared" si="62"/>
        <v>75</v>
      </c>
      <c r="BT48" s="380">
        <f t="shared" si="62"/>
        <v>75</v>
      </c>
      <c r="BU48" s="380">
        <f t="shared" si="63"/>
        <v>75</v>
      </c>
      <c r="BV48" s="380">
        <f t="shared" si="64"/>
        <v>75</v>
      </c>
      <c r="BW48" s="380">
        <f t="shared" si="65"/>
        <v>75</v>
      </c>
      <c r="BX48" s="407">
        <f t="shared" si="27"/>
        <v>75</v>
      </c>
      <c r="CB48" s="425">
        <f>'A-50 FGRailInv'!$C$69</f>
        <v>0</v>
      </c>
      <c r="CC48" s="425" t="str">
        <f>Valid!$B$74</f>
        <v>Elevated/Concrete</v>
      </c>
      <c r="CD48" s="425">
        <f>CD45</f>
        <v>125</v>
      </c>
      <c r="CE48" s="446">
        <f t="shared" si="133"/>
        <v>138</v>
      </c>
      <c r="CF48" s="446">
        <f t="shared" si="29"/>
        <v>138</v>
      </c>
      <c r="CG48" s="425">
        <f t="shared" si="134"/>
        <v>138</v>
      </c>
      <c r="CH48" s="425">
        <f t="shared" si="134"/>
        <v>138</v>
      </c>
      <c r="CI48" s="425">
        <f t="shared" si="134"/>
        <v>138</v>
      </c>
      <c r="CJ48" s="425">
        <f t="shared" si="134"/>
        <v>138</v>
      </c>
      <c r="CK48" s="425">
        <f t="shared" si="134"/>
        <v>138</v>
      </c>
      <c r="CL48" s="425">
        <f t="shared" si="134"/>
        <v>138</v>
      </c>
      <c r="CM48" s="425">
        <f t="shared" si="134"/>
        <v>138</v>
      </c>
      <c r="CN48" s="425">
        <f t="shared" si="134"/>
        <v>138</v>
      </c>
      <c r="CO48" s="425">
        <f t="shared" si="134"/>
        <v>138</v>
      </c>
      <c r="CP48" s="425">
        <f t="shared" si="135"/>
        <v>138</v>
      </c>
      <c r="CQ48" s="425">
        <f t="shared" si="135"/>
        <v>138</v>
      </c>
      <c r="CR48" s="425">
        <f t="shared" si="135"/>
        <v>138</v>
      </c>
      <c r="CS48" s="425">
        <f t="shared" si="135"/>
        <v>138</v>
      </c>
      <c r="CT48" s="425">
        <f t="shared" si="135"/>
        <v>138</v>
      </c>
      <c r="CU48" s="425">
        <f t="shared" si="135"/>
        <v>138</v>
      </c>
      <c r="CY48" s="425">
        <f>'A-55 TrackInv'!$C$137</f>
        <v>0</v>
      </c>
      <c r="CZ48" s="425" t="str">
        <f>Valid!$B$83</f>
        <v>Single Crossover</v>
      </c>
      <c r="DA48" s="425">
        <f t="shared" si="136"/>
        <v>137</v>
      </c>
      <c r="DB48" s="1283">
        <f t="shared" si="137"/>
        <v>153</v>
      </c>
      <c r="DC48" s="425">
        <f t="shared" si="116"/>
        <v>153</v>
      </c>
      <c r="DD48" s="425">
        <f t="shared" si="116"/>
        <v>153</v>
      </c>
      <c r="DE48" s="425">
        <f t="shared" si="116"/>
        <v>153</v>
      </c>
      <c r="DF48" s="425">
        <f t="shared" si="116"/>
        <v>153</v>
      </c>
      <c r="DJ48" s="380" t="s">
        <v>779</v>
      </c>
      <c r="DK48" s="425">
        <f t="shared" si="67"/>
        <v>75</v>
      </c>
      <c r="DL48" s="425">
        <f t="shared" ref="DL48:DS48" si="140">DK48</f>
        <v>75</v>
      </c>
      <c r="DM48" s="425">
        <f t="shared" si="140"/>
        <v>75</v>
      </c>
      <c r="DN48" s="425">
        <f t="shared" si="140"/>
        <v>75</v>
      </c>
      <c r="DO48" s="425">
        <f t="shared" si="140"/>
        <v>75</v>
      </c>
      <c r="DP48" s="425">
        <f t="shared" si="140"/>
        <v>75</v>
      </c>
      <c r="DQ48" s="425">
        <f t="shared" si="140"/>
        <v>75</v>
      </c>
      <c r="DR48" s="425">
        <f t="shared" si="140"/>
        <v>75</v>
      </c>
      <c r="DS48" s="425">
        <f t="shared" si="140"/>
        <v>75</v>
      </c>
      <c r="DU48" s="380" t="s">
        <v>779</v>
      </c>
      <c r="DV48" s="425">
        <f t="shared" si="66"/>
        <v>75</v>
      </c>
      <c r="DW48" s="425">
        <f t="shared" si="94"/>
        <v>75</v>
      </c>
      <c r="DX48" s="425">
        <f t="shared" si="95"/>
        <v>75</v>
      </c>
      <c r="DY48" s="425">
        <f t="shared" si="96"/>
        <v>75</v>
      </c>
      <c r="DZ48" s="425">
        <f t="shared" si="97"/>
        <v>75</v>
      </c>
      <c r="EA48" s="425">
        <f t="shared" si="98"/>
        <v>75</v>
      </c>
      <c r="EB48" s="425">
        <f t="shared" si="99"/>
        <v>75</v>
      </c>
      <c r="EC48" s="425">
        <f t="shared" si="100"/>
        <v>75</v>
      </c>
      <c r="ED48" s="425">
        <f t="shared" si="101"/>
        <v>75</v>
      </c>
      <c r="EE48" s="425">
        <f t="shared" si="102"/>
        <v>75</v>
      </c>
      <c r="EF48" s="425">
        <f t="shared" si="103"/>
        <v>75</v>
      </c>
      <c r="EG48" s="425">
        <f t="shared" si="104"/>
        <v>75</v>
      </c>
      <c r="EH48" s="425">
        <f t="shared" si="105"/>
        <v>75</v>
      </c>
      <c r="EI48" s="425">
        <f t="shared" si="106"/>
        <v>75</v>
      </c>
      <c r="EJ48" s="425">
        <f t="shared" si="107"/>
        <v>75</v>
      </c>
      <c r="EK48" s="425">
        <f t="shared" si="78"/>
        <v>75</v>
      </c>
      <c r="EL48" s="425">
        <f t="shared" si="79"/>
        <v>75</v>
      </c>
      <c r="EM48" s="425">
        <f t="shared" si="80"/>
        <v>75</v>
      </c>
      <c r="EN48" s="425">
        <f t="shared" si="81"/>
        <v>75</v>
      </c>
      <c r="EO48" s="425">
        <f t="shared" si="82"/>
        <v>75</v>
      </c>
      <c r="EP48" s="425">
        <f t="shared" si="83"/>
        <v>75</v>
      </c>
      <c r="EQ48" s="425">
        <f t="shared" si="84"/>
        <v>75</v>
      </c>
      <c r="ER48" s="425">
        <f t="shared" si="85"/>
        <v>75</v>
      </c>
      <c r="ES48" s="425">
        <f t="shared" si="86"/>
        <v>75</v>
      </c>
      <c r="ET48" s="425">
        <f t="shared" si="87"/>
        <v>75</v>
      </c>
      <c r="EU48" s="425">
        <f t="shared" si="88"/>
        <v>75</v>
      </c>
      <c r="EV48" s="425">
        <f t="shared" si="88"/>
        <v>75</v>
      </c>
      <c r="EW48" s="425">
        <f t="shared" si="89"/>
        <v>75</v>
      </c>
      <c r="EX48" s="425">
        <f t="shared" si="90"/>
        <v>75</v>
      </c>
      <c r="EY48" s="425">
        <f t="shared" si="91"/>
        <v>75</v>
      </c>
      <c r="EZ48" s="425">
        <f t="shared" si="92"/>
        <v>75</v>
      </c>
    </row>
    <row r="49" spans="42:156" x14ac:dyDescent="0.2">
      <c r="AP49" s="380" t="s">
        <v>674</v>
      </c>
      <c r="AQ49" s="406">
        <f t="shared" si="41"/>
        <v>77</v>
      </c>
      <c r="AR49" s="406">
        <f t="shared" si="41"/>
        <v>77</v>
      </c>
      <c r="AS49" s="380">
        <f t="shared" si="42"/>
        <v>77</v>
      </c>
      <c r="AT49" s="380">
        <f t="shared" si="43"/>
        <v>77</v>
      </c>
      <c r="AU49" s="380">
        <f t="shared" si="44"/>
        <v>77</v>
      </c>
      <c r="AV49" s="380">
        <f t="shared" si="45"/>
        <v>77</v>
      </c>
      <c r="AW49" s="380">
        <f t="shared" si="46"/>
        <v>77</v>
      </c>
      <c r="AX49" s="380">
        <f t="shared" si="47"/>
        <v>77</v>
      </c>
      <c r="AY49" s="380">
        <f t="shared" si="48"/>
        <v>77</v>
      </c>
      <c r="AZ49" s="380">
        <f t="shared" si="49"/>
        <v>77</v>
      </c>
      <c r="BA49" s="380">
        <f t="shared" si="50"/>
        <v>77</v>
      </c>
      <c r="BB49" s="380">
        <f t="shared" si="51"/>
        <v>77</v>
      </c>
      <c r="BC49" s="380">
        <f t="shared" si="52"/>
        <v>77</v>
      </c>
      <c r="BD49" s="407">
        <f t="shared" si="52"/>
        <v>77</v>
      </c>
      <c r="BG49" s="380" t="s">
        <v>674</v>
      </c>
      <c r="BH49" s="406">
        <f t="shared" si="53"/>
        <v>77</v>
      </c>
      <c r="BI49" s="406">
        <f t="shared" si="53"/>
        <v>77</v>
      </c>
      <c r="BJ49" s="380">
        <f t="shared" si="54"/>
        <v>77</v>
      </c>
      <c r="BK49" s="380">
        <f t="shared" si="55"/>
        <v>77</v>
      </c>
      <c r="BL49" s="380">
        <f t="shared" si="56"/>
        <v>77</v>
      </c>
      <c r="BM49" s="380">
        <f t="shared" si="57"/>
        <v>77</v>
      </c>
      <c r="BN49" s="380">
        <f t="shared" si="57"/>
        <v>77</v>
      </c>
      <c r="BO49" s="380">
        <f t="shared" si="58"/>
        <v>77</v>
      </c>
      <c r="BP49" s="380">
        <f t="shared" si="59"/>
        <v>77</v>
      </c>
      <c r="BQ49" s="380">
        <f t="shared" si="60"/>
        <v>77</v>
      </c>
      <c r="BR49" s="380">
        <f t="shared" si="61"/>
        <v>77</v>
      </c>
      <c r="BS49" s="380">
        <f t="shared" si="62"/>
        <v>77</v>
      </c>
      <c r="BT49" s="380">
        <f t="shared" si="62"/>
        <v>77</v>
      </c>
      <c r="BU49" s="380">
        <f t="shared" si="63"/>
        <v>77</v>
      </c>
      <c r="BV49" s="380">
        <f t="shared" si="64"/>
        <v>77</v>
      </c>
      <c r="BW49" s="380">
        <f t="shared" si="65"/>
        <v>77</v>
      </c>
      <c r="BX49" s="407">
        <f t="shared" si="27"/>
        <v>77</v>
      </c>
      <c r="CA49" s="448"/>
      <c r="CB49" s="425">
        <f>'A-50 FGRailInv'!$C$69</f>
        <v>0</v>
      </c>
      <c r="CC49" s="425" t="str">
        <f>Valid!$B$75</f>
        <v>Elevated/Steel Viaduct or Bridge</v>
      </c>
      <c r="CD49" s="425">
        <f>CD45</f>
        <v>125</v>
      </c>
      <c r="CE49" s="446">
        <f t="shared" si="133"/>
        <v>141</v>
      </c>
      <c r="CF49" s="446">
        <f t="shared" si="29"/>
        <v>141</v>
      </c>
      <c r="CG49" s="425">
        <f t="shared" si="134"/>
        <v>141</v>
      </c>
      <c r="CH49" s="425">
        <f t="shared" si="134"/>
        <v>141</v>
      </c>
      <c r="CI49" s="425">
        <f t="shared" si="134"/>
        <v>141</v>
      </c>
      <c r="CJ49" s="425">
        <f t="shared" si="134"/>
        <v>141</v>
      </c>
      <c r="CK49" s="425">
        <f t="shared" si="134"/>
        <v>141</v>
      </c>
      <c r="CL49" s="425">
        <f t="shared" si="134"/>
        <v>141</v>
      </c>
      <c r="CM49" s="425">
        <f t="shared" si="134"/>
        <v>141</v>
      </c>
      <c r="CN49" s="425">
        <f t="shared" si="134"/>
        <v>141</v>
      </c>
      <c r="CO49" s="425">
        <f t="shared" si="134"/>
        <v>141</v>
      </c>
      <c r="CP49" s="425">
        <f t="shared" si="135"/>
        <v>141</v>
      </c>
      <c r="CQ49" s="425">
        <f t="shared" si="135"/>
        <v>141</v>
      </c>
      <c r="CR49" s="425">
        <f t="shared" si="135"/>
        <v>141</v>
      </c>
      <c r="CS49" s="425">
        <f t="shared" si="135"/>
        <v>141</v>
      </c>
      <c r="CT49" s="425">
        <f t="shared" si="135"/>
        <v>141</v>
      </c>
      <c r="CU49" s="425">
        <f t="shared" si="135"/>
        <v>141</v>
      </c>
      <c r="CY49" s="425">
        <f>'A-55 TrackInv'!$C$137</f>
        <v>0</v>
      </c>
      <c r="CZ49" s="425" t="str">
        <f>Valid!$B$84</f>
        <v>Half Grand Union</v>
      </c>
      <c r="DA49" s="425">
        <f t="shared" si="136"/>
        <v>137</v>
      </c>
      <c r="DB49" s="1283">
        <f t="shared" si="137"/>
        <v>155</v>
      </c>
      <c r="DC49" s="425">
        <f t="shared" si="116"/>
        <v>155</v>
      </c>
      <c r="DD49" s="425">
        <f t="shared" si="116"/>
        <v>155</v>
      </c>
      <c r="DE49" s="425">
        <f t="shared" si="116"/>
        <v>155</v>
      </c>
      <c r="DF49" s="425">
        <f t="shared" si="116"/>
        <v>155</v>
      </c>
      <c r="DJ49" s="380" t="s">
        <v>780</v>
      </c>
      <c r="DK49" s="425">
        <f t="shared" si="67"/>
        <v>77</v>
      </c>
      <c r="DL49" s="425">
        <f t="shared" ref="DL49:DS49" si="141">DK49</f>
        <v>77</v>
      </c>
      <c r="DM49" s="425">
        <f t="shared" si="141"/>
        <v>77</v>
      </c>
      <c r="DN49" s="425">
        <f t="shared" si="141"/>
        <v>77</v>
      </c>
      <c r="DO49" s="425">
        <f t="shared" si="141"/>
        <v>77</v>
      </c>
      <c r="DP49" s="425">
        <f t="shared" si="141"/>
        <v>77</v>
      </c>
      <c r="DQ49" s="425">
        <f t="shared" si="141"/>
        <v>77</v>
      </c>
      <c r="DR49" s="425">
        <f t="shared" si="141"/>
        <v>77</v>
      </c>
      <c r="DS49" s="425">
        <f t="shared" si="141"/>
        <v>77</v>
      </c>
      <c r="DU49" s="380" t="s">
        <v>780</v>
      </c>
      <c r="DV49" s="425">
        <f t="shared" si="66"/>
        <v>77</v>
      </c>
      <c r="DW49" s="425">
        <f t="shared" si="94"/>
        <v>77</v>
      </c>
      <c r="DX49" s="425">
        <f t="shared" si="95"/>
        <v>77</v>
      </c>
      <c r="DY49" s="425">
        <f t="shared" si="96"/>
        <v>77</v>
      </c>
      <c r="DZ49" s="425">
        <f t="shared" si="97"/>
        <v>77</v>
      </c>
      <c r="EA49" s="425">
        <f t="shared" si="98"/>
        <v>77</v>
      </c>
      <c r="EB49" s="425">
        <f t="shared" si="99"/>
        <v>77</v>
      </c>
      <c r="EC49" s="425">
        <f t="shared" si="100"/>
        <v>77</v>
      </c>
      <c r="ED49" s="425">
        <f t="shared" si="101"/>
        <v>77</v>
      </c>
      <c r="EE49" s="425">
        <f t="shared" si="102"/>
        <v>77</v>
      </c>
      <c r="EF49" s="425">
        <f t="shared" si="103"/>
        <v>77</v>
      </c>
      <c r="EG49" s="425">
        <f t="shared" si="104"/>
        <v>77</v>
      </c>
      <c r="EH49" s="425">
        <f t="shared" si="105"/>
        <v>77</v>
      </c>
      <c r="EI49" s="425">
        <f t="shared" si="106"/>
        <v>77</v>
      </c>
      <c r="EJ49" s="425">
        <f t="shared" si="107"/>
        <v>77</v>
      </c>
      <c r="EK49" s="425">
        <f t="shared" si="78"/>
        <v>77</v>
      </c>
      <c r="EL49" s="425">
        <f t="shared" si="79"/>
        <v>77</v>
      </c>
      <c r="EM49" s="425">
        <f t="shared" si="80"/>
        <v>77</v>
      </c>
      <c r="EN49" s="425">
        <f t="shared" si="81"/>
        <v>77</v>
      </c>
      <c r="EO49" s="425">
        <f t="shared" si="82"/>
        <v>77</v>
      </c>
      <c r="EP49" s="425">
        <f t="shared" si="83"/>
        <v>77</v>
      </c>
      <c r="EQ49" s="425">
        <f t="shared" si="84"/>
        <v>77</v>
      </c>
      <c r="ER49" s="425">
        <f t="shared" si="85"/>
        <v>77</v>
      </c>
      <c r="ES49" s="425">
        <f t="shared" si="86"/>
        <v>77</v>
      </c>
      <c r="ET49" s="425">
        <f t="shared" si="87"/>
        <v>77</v>
      </c>
      <c r="EU49" s="425">
        <f t="shared" si="88"/>
        <v>77</v>
      </c>
      <c r="EV49" s="425">
        <f t="shared" si="88"/>
        <v>77</v>
      </c>
      <c r="EW49" s="425">
        <f t="shared" si="89"/>
        <v>77</v>
      </c>
      <c r="EX49" s="425">
        <f t="shared" si="90"/>
        <v>77</v>
      </c>
      <c r="EY49" s="425">
        <f t="shared" si="91"/>
        <v>77</v>
      </c>
      <c r="EZ49" s="425">
        <f t="shared" si="92"/>
        <v>77</v>
      </c>
    </row>
    <row r="50" spans="42:156" x14ac:dyDescent="0.2">
      <c r="AP50" s="380" t="s">
        <v>675</v>
      </c>
      <c r="AQ50" s="406">
        <f t="shared" si="41"/>
        <v>79</v>
      </c>
      <c r="AR50" s="406">
        <f t="shared" si="41"/>
        <v>79</v>
      </c>
      <c r="AS50" s="380">
        <f t="shared" si="42"/>
        <v>79</v>
      </c>
      <c r="AT50" s="380">
        <f t="shared" si="43"/>
        <v>79</v>
      </c>
      <c r="AU50" s="380">
        <f t="shared" si="44"/>
        <v>79</v>
      </c>
      <c r="AV50" s="380">
        <f t="shared" si="45"/>
        <v>79</v>
      </c>
      <c r="AW50" s="380">
        <f t="shared" si="46"/>
        <v>79</v>
      </c>
      <c r="AX50" s="380">
        <f t="shared" si="47"/>
        <v>79</v>
      </c>
      <c r="AY50" s="380">
        <f t="shared" si="48"/>
        <v>79</v>
      </c>
      <c r="AZ50" s="380">
        <f t="shared" si="49"/>
        <v>79</v>
      </c>
      <c r="BA50" s="380">
        <f t="shared" si="50"/>
        <v>79</v>
      </c>
      <c r="BB50" s="380">
        <f t="shared" si="51"/>
        <v>79</v>
      </c>
      <c r="BC50" s="380">
        <f t="shared" si="52"/>
        <v>79</v>
      </c>
      <c r="BD50" s="407">
        <f t="shared" si="52"/>
        <v>79</v>
      </c>
      <c r="BG50" s="380" t="s">
        <v>675</v>
      </c>
      <c r="BH50" s="406">
        <f t="shared" si="53"/>
        <v>79</v>
      </c>
      <c r="BI50" s="406">
        <f t="shared" si="53"/>
        <v>79</v>
      </c>
      <c r="BJ50" s="380">
        <f t="shared" si="54"/>
        <v>79</v>
      </c>
      <c r="BK50" s="380">
        <f t="shared" si="55"/>
        <v>79</v>
      </c>
      <c r="BL50" s="380">
        <f t="shared" si="56"/>
        <v>79</v>
      </c>
      <c r="BM50" s="380">
        <f t="shared" si="57"/>
        <v>79</v>
      </c>
      <c r="BN50" s="380">
        <f t="shared" si="57"/>
        <v>79</v>
      </c>
      <c r="BO50" s="380">
        <f t="shared" si="58"/>
        <v>79</v>
      </c>
      <c r="BP50" s="380">
        <f t="shared" si="59"/>
        <v>79</v>
      </c>
      <c r="BQ50" s="380">
        <f t="shared" si="60"/>
        <v>79</v>
      </c>
      <c r="BR50" s="380">
        <f t="shared" si="61"/>
        <v>79</v>
      </c>
      <c r="BS50" s="380">
        <f t="shared" si="62"/>
        <v>79</v>
      </c>
      <c r="BT50" s="380">
        <f t="shared" si="62"/>
        <v>79</v>
      </c>
      <c r="BU50" s="380">
        <f t="shared" si="63"/>
        <v>79</v>
      </c>
      <c r="BV50" s="380">
        <f t="shared" si="64"/>
        <v>79</v>
      </c>
      <c r="BW50" s="380">
        <f t="shared" si="65"/>
        <v>79</v>
      </c>
      <c r="BX50" s="407">
        <f t="shared" ref="BX50:BX81" si="142">BX49+2</f>
        <v>79</v>
      </c>
      <c r="CA50" s="448"/>
      <c r="CB50" s="425">
        <f>'A-50 FGRailInv'!$C$69</f>
        <v>0</v>
      </c>
      <c r="CC50" s="425" t="str">
        <f>Valid!$B$76</f>
        <v>Below-Grade/Retained Cut</v>
      </c>
      <c r="CD50" s="425">
        <f>CD45</f>
        <v>125</v>
      </c>
      <c r="CE50" s="1199">
        <f t="shared" si="133"/>
        <v>144</v>
      </c>
      <c r="CF50" s="446">
        <f t="shared" si="29"/>
        <v>144</v>
      </c>
      <c r="CG50" s="425">
        <f t="shared" si="134"/>
        <v>144</v>
      </c>
      <c r="CH50" s="425">
        <f t="shared" si="134"/>
        <v>144</v>
      </c>
      <c r="CI50" s="425">
        <f t="shared" si="134"/>
        <v>144</v>
      </c>
      <c r="CJ50" s="425">
        <f t="shared" si="134"/>
        <v>144</v>
      </c>
      <c r="CK50" s="425">
        <f t="shared" si="134"/>
        <v>144</v>
      </c>
      <c r="CL50" s="425">
        <f t="shared" si="134"/>
        <v>144</v>
      </c>
      <c r="CM50" s="425">
        <f t="shared" si="134"/>
        <v>144</v>
      </c>
      <c r="CN50" s="425">
        <f t="shared" si="134"/>
        <v>144</v>
      </c>
      <c r="CO50" s="425">
        <f t="shared" si="134"/>
        <v>144</v>
      </c>
      <c r="CP50" s="425">
        <f t="shared" si="135"/>
        <v>144</v>
      </c>
      <c r="CQ50" s="425">
        <f t="shared" si="135"/>
        <v>144</v>
      </c>
      <c r="CR50" s="425">
        <f t="shared" si="135"/>
        <v>144</v>
      </c>
      <c r="CS50" s="425">
        <f t="shared" si="135"/>
        <v>144</v>
      </c>
      <c r="CT50" s="425">
        <f t="shared" si="135"/>
        <v>144</v>
      </c>
      <c r="CU50" s="425">
        <f t="shared" si="135"/>
        <v>144</v>
      </c>
      <c r="CY50" s="425">
        <f>'A-55 TrackInv'!$C$137</f>
        <v>0</v>
      </c>
      <c r="CZ50" s="425" t="str">
        <f>Valid!$B$85</f>
        <v>Single Turnout</v>
      </c>
      <c r="DA50" s="425">
        <f t="shared" si="136"/>
        <v>137</v>
      </c>
      <c r="DB50" s="1283">
        <f t="shared" si="137"/>
        <v>157</v>
      </c>
      <c r="DC50" s="425">
        <f t="shared" ref="DC50:DF65" si="143">$DB50</f>
        <v>157</v>
      </c>
      <c r="DD50" s="425">
        <f t="shared" si="143"/>
        <v>157</v>
      </c>
      <c r="DE50" s="425">
        <f t="shared" si="143"/>
        <v>157</v>
      </c>
      <c r="DF50" s="425">
        <f t="shared" si="143"/>
        <v>157</v>
      </c>
      <c r="DJ50" s="380" t="s">
        <v>781</v>
      </c>
      <c r="DK50" s="425">
        <f t="shared" si="67"/>
        <v>79</v>
      </c>
      <c r="DL50" s="425">
        <f t="shared" ref="DL50:DS50" si="144">DK50</f>
        <v>79</v>
      </c>
      <c r="DM50" s="425">
        <f t="shared" si="144"/>
        <v>79</v>
      </c>
      <c r="DN50" s="425">
        <f t="shared" si="144"/>
        <v>79</v>
      </c>
      <c r="DO50" s="425">
        <f t="shared" si="144"/>
        <v>79</v>
      </c>
      <c r="DP50" s="425">
        <f t="shared" si="144"/>
        <v>79</v>
      </c>
      <c r="DQ50" s="425">
        <f t="shared" si="144"/>
        <v>79</v>
      </c>
      <c r="DR50" s="425">
        <f t="shared" si="144"/>
        <v>79</v>
      </c>
      <c r="DS50" s="425">
        <f t="shared" si="144"/>
        <v>79</v>
      </c>
      <c r="DU50" s="380" t="s">
        <v>781</v>
      </c>
      <c r="DV50" s="425">
        <f t="shared" si="66"/>
        <v>79</v>
      </c>
      <c r="DW50" s="425">
        <f t="shared" si="94"/>
        <v>79</v>
      </c>
      <c r="DX50" s="425">
        <f t="shared" si="95"/>
        <v>79</v>
      </c>
      <c r="DY50" s="425">
        <f t="shared" si="96"/>
        <v>79</v>
      </c>
      <c r="DZ50" s="425">
        <f t="shared" si="97"/>
        <v>79</v>
      </c>
      <c r="EA50" s="425">
        <f t="shared" si="98"/>
        <v>79</v>
      </c>
      <c r="EB50" s="425">
        <f t="shared" si="99"/>
        <v>79</v>
      </c>
      <c r="EC50" s="425">
        <f t="shared" si="100"/>
        <v>79</v>
      </c>
      <c r="ED50" s="425">
        <f t="shared" si="101"/>
        <v>79</v>
      </c>
      <c r="EE50" s="425">
        <f t="shared" si="102"/>
        <v>79</v>
      </c>
      <c r="EF50" s="425">
        <f t="shared" si="103"/>
        <v>79</v>
      </c>
      <c r="EG50" s="425">
        <f t="shared" si="104"/>
        <v>79</v>
      </c>
      <c r="EH50" s="425">
        <f t="shared" si="105"/>
        <v>79</v>
      </c>
      <c r="EI50" s="425">
        <f t="shared" si="106"/>
        <v>79</v>
      </c>
      <c r="EJ50" s="425">
        <f t="shared" si="107"/>
        <v>79</v>
      </c>
      <c r="EK50" s="425">
        <f t="shared" si="78"/>
        <v>79</v>
      </c>
      <c r="EL50" s="425">
        <f t="shared" si="79"/>
        <v>79</v>
      </c>
      <c r="EM50" s="425">
        <f t="shared" si="80"/>
        <v>79</v>
      </c>
      <c r="EN50" s="425">
        <f t="shared" si="81"/>
        <v>79</v>
      </c>
      <c r="EO50" s="425">
        <f t="shared" si="82"/>
        <v>79</v>
      </c>
      <c r="EP50" s="425">
        <f t="shared" si="83"/>
        <v>79</v>
      </c>
      <c r="EQ50" s="425">
        <f t="shared" si="84"/>
        <v>79</v>
      </c>
      <c r="ER50" s="425">
        <f t="shared" si="85"/>
        <v>79</v>
      </c>
      <c r="ES50" s="425">
        <f t="shared" si="86"/>
        <v>79</v>
      </c>
      <c r="ET50" s="425">
        <f t="shared" si="87"/>
        <v>79</v>
      </c>
      <c r="EU50" s="425">
        <f t="shared" si="88"/>
        <v>79</v>
      </c>
      <c r="EV50" s="425">
        <f t="shared" si="88"/>
        <v>79</v>
      </c>
      <c r="EW50" s="425">
        <f t="shared" si="89"/>
        <v>79</v>
      </c>
      <c r="EX50" s="425">
        <f t="shared" si="90"/>
        <v>79</v>
      </c>
      <c r="EY50" s="425">
        <f t="shared" si="91"/>
        <v>79</v>
      </c>
      <c r="EZ50" s="425">
        <f t="shared" si="92"/>
        <v>79</v>
      </c>
    </row>
    <row r="51" spans="42:156" x14ac:dyDescent="0.2">
      <c r="AP51" s="380" t="s">
        <v>676</v>
      </c>
      <c r="AQ51" s="406">
        <f t="shared" si="41"/>
        <v>81</v>
      </c>
      <c r="AR51" s="406">
        <f t="shared" si="41"/>
        <v>81</v>
      </c>
      <c r="AS51" s="380">
        <f t="shared" si="42"/>
        <v>81</v>
      </c>
      <c r="AT51" s="380">
        <f t="shared" si="43"/>
        <v>81</v>
      </c>
      <c r="AU51" s="380">
        <f t="shared" si="44"/>
        <v>81</v>
      </c>
      <c r="AV51" s="380">
        <f t="shared" si="45"/>
        <v>81</v>
      </c>
      <c r="AW51" s="380">
        <f t="shared" si="46"/>
        <v>81</v>
      </c>
      <c r="AX51" s="380">
        <f t="shared" si="47"/>
        <v>81</v>
      </c>
      <c r="AY51" s="380">
        <f t="shared" si="48"/>
        <v>81</v>
      </c>
      <c r="AZ51" s="380">
        <f t="shared" si="49"/>
        <v>81</v>
      </c>
      <c r="BA51" s="380">
        <f t="shared" si="50"/>
        <v>81</v>
      </c>
      <c r="BB51" s="380">
        <f t="shared" si="51"/>
        <v>81</v>
      </c>
      <c r="BC51" s="380">
        <f t="shared" si="52"/>
        <v>81</v>
      </c>
      <c r="BD51" s="407">
        <f t="shared" si="52"/>
        <v>81</v>
      </c>
      <c r="BG51" s="380" t="s">
        <v>676</v>
      </c>
      <c r="BH51" s="406">
        <f t="shared" si="53"/>
        <v>81</v>
      </c>
      <c r="BI51" s="406">
        <f t="shared" si="53"/>
        <v>81</v>
      </c>
      <c r="BJ51" s="380">
        <f t="shared" si="54"/>
        <v>81</v>
      </c>
      <c r="BK51" s="380">
        <f t="shared" si="55"/>
        <v>81</v>
      </c>
      <c r="BL51" s="380">
        <f t="shared" si="56"/>
        <v>81</v>
      </c>
      <c r="BM51" s="380">
        <f t="shared" si="57"/>
        <v>81</v>
      </c>
      <c r="BN51" s="380">
        <f t="shared" si="57"/>
        <v>81</v>
      </c>
      <c r="BO51" s="380">
        <f t="shared" ref="BO51:BO82" si="145">BO50+2</f>
        <v>81</v>
      </c>
      <c r="BP51" s="380">
        <f t="shared" si="59"/>
        <v>81</v>
      </c>
      <c r="BQ51" s="380">
        <f t="shared" si="60"/>
        <v>81</v>
      </c>
      <c r="BR51" s="380">
        <f t="shared" si="61"/>
        <v>81</v>
      </c>
      <c r="BS51" s="380">
        <f t="shared" si="62"/>
        <v>81</v>
      </c>
      <c r="BT51" s="380">
        <f t="shared" si="62"/>
        <v>81</v>
      </c>
      <c r="BU51" s="380">
        <f t="shared" si="63"/>
        <v>81</v>
      </c>
      <c r="BV51" s="380">
        <f t="shared" si="64"/>
        <v>81</v>
      </c>
      <c r="BW51" s="380">
        <f t="shared" si="65"/>
        <v>81</v>
      </c>
      <c r="BX51" s="407">
        <f t="shared" si="142"/>
        <v>81</v>
      </c>
      <c r="CA51" s="448"/>
      <c r="CB51" s="425">
        <f>'A-50 FGRailInv'!$C$69</f>
        <v>0</v>
      </c>
      <c r="CC51" s="425" t="str">
        <f>Valid!$B$77</f>
        <v>Below-Grade/Cut-and-Cover Tunnel</v>
      </c>
      <c r="CD51" s="425">
        <f>CD45</f>
        <v>125</v>
      </c>
      <c r="CE51" s="446">
        <f t="shared" si="133"/>
        <v>147</v>
      </c>
      <c r="CF51" s="446">
        <f t="shared" si="29"/>
        <v>147</v>
      </c>
      <c r="CG51" s="425">
        <f t="shared" si="134"/>
        <v>147</v>
      </c>
      <c r="CH51" s="425">
        <f t="shared" si="134"/>
        <v>147</v>
      </c>
      <c r="CI51" s="425">
        <f t="shared" si="134"/>
        <v>147</v>
      </c>
      <c r="CJ51" s="425">
        <f t="shared" si="134"/>
        <v>147</v>
      </c>
      <c r="CK51" s="425">
        <f t="shared" si="134"/>
        <v>147</v>
      </c>
      <c r="CL51" s="425">
        <f t="shared" si="134"/>
        <v>147</v>
      </c>
      <c r="CM51" s="425">
        <f t="shared" si="134"/>
        <v>147</v>
      </c>
      <c r="CN51" s="425">
        <f t="shared" si="134"/>
        <v>147</v>
      </c>
      <c r="CO51" s="425">
        <f t="shared" si="134"/>
        <v>147</v>
      </c>
      <c r="CP51" s="425">
        <f t="shared" si="135"/>
        <v>147</v>
      </c>
      <c r="CQ51" s="425">
        <f t="shared" si="135"/>
        <v>147</v>
      </c>
      <c r="CR51" s="425">
        <f t="shared" si="135"/>
        <v>147</v>
      </c>
      <c r="CS51" s="425">
        <f t="shared" si="135"/>
        <v>147</v>
      </c>
      <c r="CT51" s="425">
        <f t="shared" si="135"/>
        <v>147</v>
      </c>
      <c r="CU51" s="425">
        <f t="shared" si="135"/>
        <v>147</v>
      </c>
      <c r="CY51" s="425">
        <f>'A-55 TrackInv'!$C$137</f>
        <v>0</v>
      </c>
      <c r="CZ51" s="425" t="str">
        <f>Valid!$B$86</f>
        <v>Grade Crossings</v>
      </c>
      <c r="DA51" s="425">
        <f t="shared" si="136"/>
        <v>137</v>
      </c>
      <c r="DB51" s="1283">
        <f t="shared" si="137"/>
        <v>159</v>
      </c>
      <c r="DC51" s="425">
        <f t="shared" si="143"/>
        <v>159</v>
      </c>
      <c r="DD51" s="425">
        <f t="shared" si="143"/>
        <v>159</v>
      </c>
      <c r="DE51" s="425">
        <f t="shared" si="143"/>
        <v>159</v>
      </c>
      <c r="DF51" s="425">
        <f t="shared" si="143"/>
        <v>159</v>
      </c>
      <c r="DJ51" s="380" t="s">
        <v>782</v>
      </c>
      <c r="DK51" s="425">
        <f t="shared" si="67"/>
        <v>81</v>
      </c>
      <c r="DL51" s="425">
        <f t="shared" ref="DL51:DS51" si="146">DK51</f>
        <v>81</v>
      </c>
      <c r="DM51" s="425">
        <f t="shared" si="146"/>
        <v>81</v>
      </c>
      <c r="DN51" s="425">
        <f t="shared" si="146"/>
        <v>81</v>
      </c>
      <c r="DO51" s="425">
        <f t="shared" si="146"/>
        <v>81</v>
      </c>
      <c r="DP51" s="425">
        <f t="shared" si="146"/>
        <v>81</v>
      </c>
      <c r="DQ51" s="425">
        <f t="shared" si="146"/>
        <v>81</v>
      </c>
      <c r="DR51" s="425">
        <f t="shared" si="146"/>
        <v>81</v>
      </c>
      <c r="DS51" s="425">
        <f t="shared" si="146"/>
        <v>81</v>
      </c>
      <c r="DU51" s="380" t="s">
        <v>782</v>
      </c>
      <c r="DV51" s="425">
        <f t="shared" si="66"/>
        <v>81</v>
      </c>
      <c r="DW51" s="425">
        <f t="shared" si="94"/>
        <v>81</v>
      </c>
      <c r="DX51" s="425">
        <f t="shared" si="95"/>
        <v>81</v>
      </c>
      <c r="DY51" s="425">
        <f t="shared" si="96"/>
        <v>81</v>
      </c>
      <c r="DZ51" s="425">
        <f t="shared" si="97"/>
        <v>81</v>
      </c>
      <c r="EA51" s="425">
        <f t="shared" si="98"/>
        <v>81</v>
      </c>
      <c r="EB51" s="425">
        <f t="shared" si="99"/>
        <v>81</v>
      </c>
      <c r="EC51" s="425">
        <f t="shared" si="100"/>
        <v>81</v>
      </c>
      <c r="ED51" s="425">
        <f t="shared" si="101"/>
        <v>81</v>
      </c>
      <c r="EE51" s="425">
        <f t="shared" si="102"/>
        <v>81</v>
      </c>
      <c r="EF51" s="425">
        <f t="shared" si="103"/>
        <v>81</v>
      </c>
      <c r="EG51" s="425">
        <f t="shared" si="104"/>
        <v>81</v>
      </c>
      <c r="EH51" s="425">
        <f t="shared" si="105"/>
        <v>81</v>
      </c>
      <c r="EI51" s="425">
        <f t="shared" si="106"/>
        <v>81</v>
      </c>
      <c r="EJ51" s="425">
        <f t="shared" si="107"/>
        <v>81</v>
      </c>
      <c r="EK51" s="425">
        <f t="shared" si="78"/>
        <v>81</v>
      </c>
      <c r="EL51" s="425">
        <f t="shared" si="79"/>
        <v>81</v>
      </c>
      <c r="EM51" s="425">
        <f t="shared" si="80"/>
        <v>81</v>
      </c>
      <c r="EN51" s="425">
        <f t="shared" si="81"/>
        <v>81</v>
      </c>
      <c r="EO51" s="425">
        <f t="shared" si="82"/>
        <v>81</v>
      </c>
      <c r="EP51" s="425">
        <f t="shared" si="83"/>
        <v>81</v>
      </c>
      <c r="EQ51" s="425">
        <f t="shared" si="84"/>
        <v>81</v>
      </c>
      <c r="ER51" s="425">
        <f t="shared" si="85"/>
        <v>81</v>
      </c>
      <c r="ES51" s="425">
        <f t="shared" si="86"/>
        <v>81</v>
      </c>
      <c r="ET51" s="425">
        <f t="shared" si="87"/>
        <v>81</v>
      </c>
      <c r="EU51" s="425">
        <f t="shared" si="88"/>
        <v>81</v>
      </c>
      <c r="EV51" s="425">
        <f t="shared" si="88"/>
        <v>81</v>
      </c>
      <c r="EW51" s="425">
        <f t="shared" si="89"/>
        <v>81</v>
      </c>
      <c r="EX51" s="425">
        <f t="shared" si="90"/>
        <v>81</v>
      </c>
      <c r="EY51" s="425">
        <f t="shared" si="91"/>
        <v>81</v>
      </c>
      <c r="EZ51" s="425">
        <f t="shared" si="92"/>
        <v>81</v>
      </c>
    </row>
    <row r="52" spans="42:156" x14ac:dyDescent="0.2">
      <c r="AP52" s="380" t="s">
        <v>677</v>
      </c>
      <c r="AQ52" s="406">
        <f t="shared" si="41"/>
        <v>83</v>
      </c>
      <c r="AR52" s="406">
        <f t="shared" si="41"/>
        <v>83</v>
      </c>
      <c r="AS52" s="380">
        <f t="shared" si="42"/>
        <v>83</v>
      </c>
      <c r="AT52" s="380">
        <f t="shared" si="43"/>
        <v>83</v>
      </c>
      <c r="AU52" s="380">
        <f t="shared" si="44"/>
        <v>83</v>
      </c>
      <c r="AV52" s="380">
        <f t="shared" si="45"/>
        <v>83</v>
      </c>
      <c r="AW52" s="380">
        <f t="shared" si="46"/>
        <v>83</v>
      </c>
      <c r="AX52" s="380">
        <f t="shared" si="47"/>
        <v>83</v>
      </c>
      <c r="AY52" s="380">
        <f t="shared" si="48"/>
        <v>83</v>
      </c>
      <c r="AZ52" s="380">
        <f t="shared" si="49"/>
        <v>83</v>
      </c>
      <c r="BA52" s="380">
        <f t="shared" si="50"/>
        <v>83</v>
      </c>
      <c r="BB52" s="380">
        <f t="shared" si="51"/>
        <v>83</v>
      </c>
      <c r="BC52" s="380">
        <f t="shared" si="52"/>
        <v>83</v>
      </c>
      <c r="BD52" s="407">
        <f t="shared" si="52"/>
        <v>83</v>
      </c>
      <c r="BG52" s="380" t="s">
        <v>677</v>
      </c>
      <c r="BH52" s="406">
        <f t="shared" si="53"/>
        <v>83</v>
      </c>
      <c r="BI52" s="406">
        <f t="shared" si="53"/>
        <v>83</v>
      </c>
      <c r="BJ52" s="380">
        <f t="shared" si="54"/>
        <v>83</v>
      </c>
      <c r="BK52" s="380">
        <f t="shared" si="55"/>
        <v>83</v>
      </c>
      <c r="BL52" s="380">
        <f t="shared" si="56"/>
        <v>83</v>
      </c>
      <c r="BM52" s="380">
        <f t="shared" si="57"/>
        <v>83</v>
      </c>
      <c r="BN52" s="380">
        <f t="shared" si="57"/>
        <v>83</v>
      </c>
      <c r="BO52" s="380">
        <f t="shared" si="145"/>
        <v>83</v>
      </c>
      <c r="BP52" s="380">
        <f t="shared" si="59"/>
        <v>83</v>
      </c>
      <c r="BQ52" s="380">
        <f t="shared" si="60"/>
        <v>83</v>
      </c>
      <c r="BR52" s="380">
        <f t="shared" si="61"/>
        <v>83</v>
      </c>
      <c r="BS52" s="380">
        <f t="shared" si="62"/>
        <v>83</v>
      </c>
      <c r="BT52" s="380">
        <f t="shared" si="62"/>
        <v>83</v>
      </c>
      <c r="BU52" s="380">
        <f t="shared" si="63"/>
        <v>83</v>
      </c>
      <c r="BV52" s="380">
        <f t="shared" si="64"/>
        <v>83</v>
      </c>
      <c r="BW52" s="380">
        <f t="shared" si="65"/>
        <v>83</v>
      </c>
      <c r="BX52" s="407">
        <f t="shared" si="142"/>
        <v>83</v>
      </c>
      <c r="CB52" s="425">
        <f>'A-50 FGRailInv'!$C$69</f>
        <v>0</v>
      </c>
      <c r="CC52" s="425" t="str">
        <f>Valid!$B$78</f>
        <v>Below-Grade/Bored or Blasted Tunnel</v>
      </c>
      <c r="CD52" s="425">
        <f>CD45</f>
        <v>125</v>
      </c>
      <c r="CE52" s="446">
        <f t="shared" si="133"/>
        <v>150</v>
      </c>
      <c r="CF52" s="446">
        <f t="shared" si="29"/>
        <v>150</v>
      </c>
      <c r="CG52" s="425">
        <f t="shared" si="134"/>
        <v>150</v>
      </c>
      <c r="CH52" s="425">
        <f t="shared" si="134"/>
        <v>150</v>
      </c>
      <c r="CI52" s="425">
        <f t="shared" si="134"/>
        <v>150</v>
      </c>
      <c r="CJ52" s="425">
        <f t="shared" si="134"/>
        <v>150</v>
      </c>
      <c r="CK52" s="425">
        <f t="shared" si="134"/>
        <v>150</v>
      </c>
      <c r="CL52" s="425">
        <f t="shared" si="134"/>
        <v>150</v>
      </c>
      <c r="CM52" s="425">
        <f t="shared" si="134"/>
        <v>150</v>
      </c>
      <c r="CN52" s="425">
        <f t="shared" si="134"/>
        <v>150</v>
      </c>
      <c r="CO52" s="425">
        <f t="shared" si="134"/>
        <v>150</v>
      </c>
      <c r="CP52" s="425">
        <f t="shared" si="135"/>
        <v>150</v>
      </c>
      <c r="CQ52" s="425">
        <f t="shared" si="135"/>
        <v>150</v>
      </c>
      <c r="CR52" s="425">
        <f t="shared" si="135"/>
        <v>150</v>
      </c>
      <c r="CS52" s="425">
        <f t="shared" si="135"/>
        <v>150</v>
      </c>
      <c r="CT52" s="425">
        <f t="shared" si="135"/>
        <v>150</v>
      </c>
      <c r="CU52" s="425">
        <f t="shared" si="135"/>
        <v>150</v>
      </c>
      <c r="CX52" s="380">
        <f>CX45+1</f>
        <v>6</v>
      </c>
      <c r="CY52" s="425">
        <f>'A-55 TrackInv'!$C$168</f>
        <v>0</v>
      </c>
      <c r="CZ52" s="425" t="str">
        <f>Valid!$B$80</f>
        <v>Tangent</v>
      </c>
      <c r="DA52" s="425">
        <f>DA46+$DA$7</f>
        <v>168</v>
      </c>
      <c r="DB52" s="1283">
        <f>DB51+$DB$9</f>
        <v>174</v>
      </c>
      <c r="DC52" s="425">
        <f t="shared" si="143"/>
        <v>174</v>
      </c>
      <c r="DD52" s="425">
        <f t="shared" si="143"/>
        <v>174</v>
      </c>
      <c r="DE52" s="425">
        <f t="shared" si="143"/>
        <v>174</v>
      </c>
      <c r="DF52" s="425">
        <f t="shared" si="143"/>
        <v>174</v>
      </c>
      <c r="DJ52" s="380" t="s">
        <v>783</v>
      </c>
      <c r="DK52" s="425">
        <f t="shared" si="67"/>
        <v>83</v>
      </c>
      <c r="DL52" s="425">
        <f t="shared" ref="DL52:DS52" si="147">DK52</f>
        <v>83</v>
      </c>
      <c r="DM52" s="425">
        <f t="shared" si="147"/>
        <v>83</v>
      </c>
      <c r="DN52" s="425">
        <f t="shared" si="147"/>
        <v>83</v>
      </c>
      <c r="DO52" s="425">
        <f t="shared" si="147"/>
        <v>83</v>
      </c>
      <c r="DP52" s="425">
        <f t="shared" si="147"/>
        <v>83</v>
      </c>
      <c r="DQ52" s="425">
        <f t="shared" si="147"/>
        <v>83</v>
      </c>
      <c r="DR52" s="425">
        <f t="shared" si="147"/>
        <v>83</v>
      </c>
      <c r="DS52" s="425">
        <f t="shared" si="147"/>
        <v>83</v>
      </c>
      <c r="DU52" s="380" t="s">
        <v>783</v>
      </c>
      <c r="DV52" s="425">
        <f t="shared" si="66"/>
        <v>83</v>
      </c>
      <c r="DW52" s="425">
        <f t="shared" si="94"/>
        <v>83</v>
      </c>
      <c r="DX52" s="425">
        <f t="shared" si="95"/>
        <v>83</v>
      </c>
      <c r="DY52" s="425">
        <f t="shared" si="96"/>
        <v>83</v>
      </c>
      <c r="DZ52" s="425">
        <f t="shared" si="97"/>
        <v>83</v>
      </c>
      <c r="EA52" s="425">
        <f t="shared" si="98"/>
        <v>83</v>
      </c>
      <c r="EB52" s="425">
        <f t="shared" si="99"/>
        <v>83</v>
      </c>
      <c r="EC52" s="425">
        <f t="shared" si="100"/>
        <v>83</v>
      </c>
      <c r="ED52" s="425">
        <f t="shared" si="101"/>
        <v>83</v>
      </c>
      <c r="EE52" s="425">
        <f t="shared" si="102"/>
        <v>83</v>
      </c>
      <c r="EF52" s="425">
        <f t="shared" si="103"/>
        <v>83</v>
      </c>
      <c r="EG52" s="425">
        <f t="shared" si="104"/>
        <v>83</v>
      </c>
      <c r="EH52" s="425">
        <f t="shared" si="105"/>
        <v>83</v>
      </c>
      <c r="EI52" s="425">
        <f t="shared" si="106"/>
        <v>83</v>
      </c>
      <c r="EJ52" s="425">
        <f t="shared" si="107"/>
        <v>83</v>
      </c>
      <c r="EK52" s="425">
        <f t="shared" si="78"/>
        <v>83</v>
      </c>
      <c r="EL52" s="425">
        <f t="shared" si="79"/>
        <v>83</v>
      </c>
      <c r="EM52" s="425">
        <f t="shared" si="80"/>
        <v>83</v>
      </c>
      <c r="EN52" s="425">
        <f t="shared" si="81"/>
        <v>83</v>
      </c>
      <c r="EO52" s="425">
        <f t="shared" si="82"/>
        <v>83</v>
      </c>
      <c r="EP52" s="425">
        <f t="shared" si="83"/>
        <v>83</v>
      </c>
      <c r="EQ52" s="425">
        <f t="shared" si="84"/>
        <v>83</v>
      </c>
      <c r="ER52" s="425">
        <f t="shared" si="85"/>
        <v>83</v>
      </c>
      <c r="ES52" s="425">
        <f t="shared" si="86"/>
        <v>83</v>
      </c>
      <c r="ET52" s="425">
        <f t="shared" si="87"/>
        <v>83</v>
      </c>
      <c r="EU52" s="425">
        <f t="shared" si="88"/>
        <v>83</v>
      </c>
      <c r="EV52" s="425">
        <f t="shared" si="88"/>
        <v>83</v>
      </c>
      <c r="EW52" s="425">
        <f t="shared" si="89"/>
        <v>83</v>
      </c>
      <c r="EX52" s="425">
        <f t="shared" si="90"/>
        <v>83</v>
      </c>
      <c r="EY52" s="425">
        <f t="shared" si="91"/>
        <v>83</v>
      </c>
      <c r="EZ52" s="425">
        <f t="shared" si="92"/>
        <v>83</v>
      </c>
    </row>
    <row r="53" spans="42:156" x14ac:dyDescent="0.2">
      <c r="AP53" s="380" t="s">
        <v>678</v>
      </c>
      <c r="AQ53" s="406">
        <f t="shared" si="41"/>
        <v>85</v>
      </c>
      <c r="AR53" s="406">
        <f t="shared" si="41"/>
        <v>85</v>
      </c>
      <c r="AS53" s="380">
        <f t="shared" si="42"/>
        <v>85</v>
      </c>
      <c r="AT53" s="380">
        <f t="shared" si="43"/>
        <v>85</v>
      </c>
      <c r="AU53" s="380">
        <f t="shared" si="44"/>
        <v>85</v>
      </c>
      <c r="AV53" s="380">
        <f t="shared" si="45"/>
        <v>85</v>
      </c>
      <c r="AW53" s="380">
        <f t="shared" si="46"/>
        <v>85</v>
      </c>
      <c r="AX53" s="380">
        <f t="shared" si="47"/>
        <v>85</v>
      </c>
      <c r="AY53" s="380">
        <f t="shared" si="48"/>
        <v>85</v>
      </c>
      <c r="AZ53" s="380">
        <f t="shared" si="49"/>
        <v>85</v>
      </c>
      <c r="BA53" s="380">
        <f t="shared" si="50"/>
        <v>85</v>
      </c>
      <c r="BB53" s="380">
        <f t="shared" si="51"/>
        <v>85</v>
      </c>
      <c r="BC53" s="380">
        <f t="shared" si="52"/>
        <v>85</v>
      </c>
      <c r="BD53" s="407">
        <f t="shared" si="52"/>
        <v>85</v>
      </c>
      <c r="BG53" s="380" t="s">
        <v>678</v>
      </c>
      <c r="BH53" s="406">
        <f t="shared" si="53"/>
        <v>85</v>
      </c>
      <c r="BI53" s="406">
        <f t="shared" si="53"/>
        <v>85</v>
      </c>
      <c r="BJ53" s="380">
        <f t="shared" si="54"/>
        <v>85</v>
      </c>
      <c r="BK53" s="380">
        <f t="shared" si="55"/>
        <v>85</v>
      </c>
      <c r="BL53" s="380">
        <f t="shared" si="56"/>
        <v>85</v>
      </c>
      <c r="BM53" s="380">
        <f t="shared" si="57"/>
        <v>85</v>
      </c>
      <c r="BN53" s="380">
        <f t="shared" si="57"/>
        <v>85</v>
      </c>
      <c r="BO53" s="380">
        <f t="shared" si="145"/>
        <v>85</v>
      </c>
      <c r="BP53" s="380">
        <f t="shared" si="59"/>
        <v>85</v>
      </c>
      <c r="BQ53" s="380">
        <f t="shared" si="60"/>
        <v>85</v>
      </c>
      <c r="BR53" s="380">
        <f t="shared" si="61"/>
        <v>85</v>
      </c>
      <c r="BS53" s="380">
        <f t="shared" si="62"/>
        <v>85</v>
      </c>
      <c r="BT53" s="380">
        <f t="shared" si="62"/>
        <v>85</v>
      </c>
      <c r="BU53" s="380">
        <f t="shared" si="63"/>
        <v>85</v>
      </c>
      <c r="BV53" s="380">
        <f t="shared" si="64"/>
        <v>85</v>
      </c>
      <c r="BW53" s="380">
        <f t="shared" si="65"/>
        <v>85</v>
      </c>
      <c r="BX53" s="407">
        <f t="shared" si="142"/>
        <v>85</v>
      </c>
      <c r="CA53" s="448"/>
      <c r="CB53" s="425">
        <f>'A-50 FGRailInv'!$C$69</f>
        <v>0</v>
      </c>
      <c r="CC53" s="425" t="str">
        <f>Valid!$B$79</f>
        <v>Below-Grade/Submerged Tube</v>
      </c>
      <c r="CD53" s="425">
        <f>CD45</f>
        <v>125</v>
      </c>
      <c r="CE53" s="1199">
        <f t="shared" si="133"/>
        <v>153</v>
      </c>
      <c r="CF53" s="446">
        <f t="shared" si="29"/>
        <v>153</v>
      </c>
      <c r="CG53" s="425">
        <f t="shared" si="134"/>
        <v>153</v>
      </c>
      <c r="CH53" s="425">
        <f t="shared" si="134"/>
        <v>153</v>
      </c>
      <c r="CI53" s="425">
        <f t="shared" si="134"/>
        <v>153</v>
      </c>
      <c r="CJ53" s="425">
        <f t="shared" si="134"/>
        <v>153</v>
      </c>
      <c r="CK53" s="425">
        <f t="shared" si="134"/>
        <v>153</v>
      </c>
      <c r="CL53" s="425">
        <f t="shared" si="134"/>
        <v>153</v>
      </c>
      <c r="CM53" s="425">
        <f t="shared" si="134"/>
        <v>153</v>
      </c>
      <c r="CN53" s="425">
        <f t="shared" si="134"/>
        <v>153</v>
      </c>
      <c r="CO53" s="425">
        <f t="shared" si="134"/>
        <v>153</v>
      </c>
      <c r="CP53" s="425">
        <f t="shared" si="135"/>
        <v>153</v>
      </c>
      <c r="CQ53" s="425">
        <f t="shared" si="135"/>
        <v>153</v>
      </c>
      <c r="CR53" s="425">
        <f t="shared" si="135"/>
        <v>153</v>
      </c>
      <c r="CS53" s="425">
        <f t="shared" si="135"/>
        <v>153</v>
      </c>
      <c r="CT53" s="425">
        <f t="shared" si="135"/>
        <v>153</v>
      </c>
      <c r="CU53" s="425">
        <f t="shared" si="135"/>
        <v>153</v>
      </c>
      <c r="CY53" s="425">
        <f>'A-55 TrackInv'!$C$168</f>
        <v>0</v>
      </c>
      <c r="CZ53" s="425" t="str">
        <f>Valid!$B$81</f>
        <v>Curve</v>
      </c>
      <c r="DA53" s="425">
        <f t="shared" ref="DA53:DA58" si="148">DA46+$DA$7</f>
        <v>168</v>
      </c>
      <c r="DB53" s="1283">
        <f>DB52+$DB$7</f>
        <v>176</v>
      </c>
      <c r="DC53" s="425">
        <f t="shared" si="143"/>
        <v>176</v>
      </c>
      <c r="DD53" s="425">
        <f t="shared" si="143"/>
        <v>176</v>
      </c>
      <c r="DE53" s="425">
        <f t="shared" si="143"/>
        <v>176</v>
      </c>
      <c r="DF53" s="425">
        <f t="shared" si="143"/>
        <v>176</v>
      </c>
      <c r="DJ53" s="380" t="s">
        <v>784</v>
      </c>
      <c r="DK53" s="425">
        <f t="shared" si="67"/>
        <v>85</v>
      </c>
      <c r="DL53" s="425">
        <f t="shared" ref="DL53:DS53" si="149">DK53</f>
        <v>85</v>
      </c>
      <c r="DM53" s="425">
        <f t="shared" si="149"/>
        <v>85</v>
      </c>
      <c r="DN53" s="425">
        <f t="shared" si="149"/>
        <v>85</v>
      </c>
      <c r="DO53" s="425">
        <f t="shared" si="149"/>
        <v>85</v>
      </c>
      <c r="DP53" s="425">
        <f t="shared" si="149"/>
        <v>85</v>
      </c>
      <c r="DQ53" s="425">
        <f t="shared" si="149"/>
        <v>85</v>
      </c>
      <c r="DR53" s="425">
        <f t="shared" si="149"/>
        <v>85</v>
      </c>
      <c r="DS53" s="425">
        <f t="shared" si="149"/>
        <v>85</v>
      </c>
      <c r="DU53" s="380" t="s">
        <v>784</v>
      </c>
      <c r="DV53" s="425">
        <f t="shared" si="66"/>
        <v>85</v>
      </c>
      <c r="DW53" s="425">
        <f t="shared" si="94"/>
        <v>85</v>
      </c>
      <c r="DX53" s="425">
        <f t="shared" si="95"/>
        <v>85</v>
      </c>
      <c r="DY53" s="425">
        <f t="shared" si="96"/>
        <v>85</v>
      </c>
      <c r="DZ53" s="425">
        <f t="shared" si="97"/>
        <v>85</v>
      </c>
      <c r="EA53" s="425">
        <f t="shared" si="98"/>
        <v>85</v>
      </c>
      <c r="EB53" s="425">
        <f t="shared" si="99"/>
        <v>85</v>
      </c>
      <c r="EC53" s="425">
        <f t="shared" si="100"/>
        <v>85</v>
      </c>
      <c r="ED53" s="425">
        <f t="shared" si="101"/>
        <v>85</v>
      </c>
      <c r="EE53" s="425">
        <f t="shared" si="102"/>
        <v>85</v>
      </c>
      <c r="EF53" s="425">
        <f t="shared" si="103"/>
        <v>85</v>
      </c>
      <c r="EG53" s="425">
        <f t="shared" si="104"/>
        <v>85</v>
      </c>
      <c r="EH53" s="425">
        <f t="shared" si="105"/>
        <v>85</v>
      </c>
      <c r="EI53" s="425">
        <f t="shared" si="106"/>
        <v>85</v>
      </c>
      <c r="EJ53" s="425">
        <f t="shared" si="107"/>
        <v>85</v>
      </c>
      <c r="EK53" s="425">
        <f t="shared" si="78"/>
        <v>85</v>
      </c>
      <c r="EL53" s="425">
        <f t="shared" si="79"/>
        <v>85</v>
      </c>
      <c r="EM53" s="425">
        <f t="shared" si="80"/>
        <v>85</v>
      </c>
      <c r="EN53" s="425">
        <f t="shared" si="81"/>
        <v>85</v>
      </c>
      <c r="EO53" s="425">
        <f t="shared" si="82"/>
        <v>85</v>
      </c>
      <c r="EP53" s="425">
        <f t="shared" si="83"/>
        <v>85</v>
      </c>
      <c r="EQ53" s="425">
        <f t="shared" si="84"/>
        <v>85</v>
      </c>
      <c r="ER53" s="425">
        <f t="shared" si="85"/>
        <v>85</v>
      </c>
      <c r="ES53" s="425">
        <f t="shared" si="86"/>
        <v>85</v>
      </c>
      <c r="ET53" s="425">
        <f t="shared" si="87"/>
        <v>85</v>
      </c>
      <c r="EU53" s="425">
        <f t="shared" si="88"/>
        <v>85</v>
      </c>
      <c r="EV53" s="425">
        <f t="shared" si="88"/>
        <v>85</v>
      </c>
      <c r="EW53" s="425">
        <f t="shared" si="89"/>
        <v>85</v>
      </c>
      <c r="EX53" s="425">
        <f t="shared" si="90"/>
        <v>85</v>
      </c>
      <c r="EY53" s="425">
        <f t="shared" si="91"/>
        <v>85</v>
      </c>
      <c r="EZ53" s="425">
        <f t="shared" si="92"/>
        <v>85</v>
      </c>
    </row>
    <row r="54" spans="42:156" x14ac:dyDescent="0.2">
      <c r="AP54" s="380" t="s">
        <v>679</v>
      </c>
      <c r="AQ54" s="406">
        <f t="shared" si="41"/>
        <v>87</v>
      </c>
      <c r="AR54" s="406">
        <f t="shared" si="41"/>
        <v>87</v>
      </c>
      <c r="AS54" s="380">
        <f t="shared" si="42"/>
        <v>87</v>
      </c>
      <c r="AT54" s="380">
        <f t="shared" si="43"/>
        <v>87</v>
      </c>
      <c r="AU54" s="380">
        <f t="shared" si="44"/>
        <v>87</v>
      </c>
      <c r="AV54" s="380">
        <f t="shared" si="45"/>
        <v>87</v>
      </c>
      <c r="AW54" s="380">
        <f t="shared" si="46"/>
        <v>87</v>
      </c>
      <c r="AX54" s="380">
        <f t="shared" si="47"/>
        <v>87</v>
      </c>
      <c r="AY54" s="380">
        <f t="shared" si="48"/>
        <v>87</v>
      </c>
      <c r="AZ54" s="380">
        <f t="shared" si="49"/>
        <v>87</v>
      </c>
      <c r="BA54" s="380">
        <f t="shared" si="50"/>
        <v>87</v>
      </c>
      <c r="BB54" s="380">
        <f t="shared" si="51"/>
        <v>87</v>
      </c>
      <c r="BC54" s="380">
        <f t="shared" si="52"/>
        <v>87</v>
      </c>
      <c r="BD54" s="407">
        <f t="shared" si="52"/>
        <v>87</v>
      </c>
      <c r="BG54" s="380" t="s">
        <v>679</v>
      </c>
      <c r="BH54" s="406">
        <f t="shared" si="53"/>
        <v>87</v>
      </c>
      <c r="BI54" s="406">
        <f t="shared" si="53"/>
        <v>87</v>
      </c>
      <c r="BJ54" s="380">
        <f t="shared" si="54"/>
        <v>87</v>
      </c>
      <c r="BK54" s="380">
        <f t="shared" si="55"/>
        <v>87</v>
      </c>
      <c r="BL54" s="380">
        <f t="shared" si="56"/>
        <v>87</v>
      </c>
      <c r="BM54" s="380">
        <f t="shared" si="57"/>
        <v>87</v>
      </c>
      <c r="BN54" s="380">
        <f t="shared" si="57"/>
        <v>87</v>
      </c>
      <c r="BO54" s="380">
        <f t="shared" si="145"/>
        <v>87</v>
      </c>
      <c r="BP54" s="380">
        <f t="shared" si="59"/>
        <v>87</v>
      </c>
      <c r="BQ54" s="380">
        <f t="shared" si="60"/>
        <v>87</v>
      </c>
      <c r="BR54" s="380">
        <f t="shared" si="61"/>
        <v>87</v>
      </c>
      <c r="BS54" s="380">
        <f t="shared" si="62"/>
        <v>87</v>
      </c>
      <c r="BT54" s="380">
        <f t="shared" si="62"/>
        <v>87</v>
      </c>
      <c r="BU54" s="380">
        <f t="shared" si="63"/>
        <v>87</v>
      </c>
      <c r="BV54" s="380">
        <f t="shared" si="64"/>
        <v>87</v>
      </c>
      <c r="BW54" s="380">
        <f t="shared" si="65"/>
        <v>87</v>
      </c>
      <c r="BX54" s="407">
        <f t="shared" si="142"/>
        <v>87</v>
      </c>
      <c r="CA54" s="448"/>
      <c r="CB54" s="425">
        <f>'A-50 FGRailInv'!$C$69</f>
        <v>0</v>
      </c>
      <c r="CC54" s="425" t="str">
        <f>Valid!$B$87</f>
        <v>Substation Building</v>
      </c>
      <c r="CD54" s="425">
        <f>CD46</f>
        <v>125</v>
      </c>
      <c r="CE54" s="1199">
        <f>CE53+$CE$8</f>
        <v>158</v>
      </c>
      <c r="CF54" s="446">
        <f t="shared" si="29"/>
        <v>158</v>
      </c>
      <c r="CG54" s="425">
        <f t="shared" si="134"/>
        <v>158</v>
      </c>
      <c r="CH54" s="425">
        <f t="shared" si="134"/>
        <v>158</v>
      </c>
      <c r="CI54" s="425">
        <f t="shared" si="134"/>
        <v>158</v>
      </c>
      <c r="CJ54" s="425">
        <f t="shared" si="134"/>
        <v>158</v>
      </c>
      <c r="CK54" s="425">
        <f t="shared" si="134"/>
        <v>158</v>
      </c>
      <c r="CL54" s="425">
        <f t="shared" si="134"/>
        <v>158</v>
      </c>
      <c r="CM54" s="425">
        <f t="shared" si="134"/>
        <v>158</v>
      </c>
      <c r="CN54" s="425">
        <f t="shared" si="134"/>
        <v>158</v>
      </c>
      <c r="CO54" s="425">
        <f t="shared" si="134"/>
        <v>158</v>
      </c>
      <c r="CP54" s="425">
        <f t="shared" si="135"/>
        <v>158</v>
      </c>
      <c r="CQ54" s="425">
        <f t="shared" si="135"/>
        <v>158</v>
      </c>
      <c r="CR54" s="425">
        <f t="shared" si="135"/>
        <v>158</v>
      </c>
      <c r="CS54" s="425">
        <f t="shared" si="135"/>
        <v>158</v>
      </c>
      <c r="CT54" s="425">
        <f t="shared" si="135"/>
        <v>158</v>
      </c>
      <c r="CU54" s="425">
        <f t="shared" si="135"/>
        <v>158</v>
      </c>
      <c r="CY54" s="425">
        <f>'A-55 TrackInv'!$C$168</f>
        <v>0</v>
      </c>
      <c r="CZ54" s="425" t="str">
        <f>Valid!$B$82</f>
        <v>Double Diamond Crossover</v>
      </c>
      <c r="DA54" s="425">
        <f t="shared" si="148"/>
        <v>168</v>
      </c>
      <c r="DB54" s="1283">
        <f>DB53+DB8</f>
        <v>182</v>
      </c>
      <c r="DC54" s="425">
        <f t="shared" si="143"/>
        <v>182</v>
      </c>
      <c r="DD54" s="425">
        <f t="shared" si="143"/>
        <v>182</v>
      </c>
      <c r="DE54" s="425">
        <f t="shared" si="143"/>
        <v>182</v>
      </c>
      <c r="DF54" s="425">
        <f t="shared" si="143"/>
        <v>182</v>
      </c>
      <c r="DJ54" s="380" t="s">
        <v>785</v>
      </c>
      <c r="DK54" s="425">
        <f t="shared" si="67"/>
        <v>87</v>
      </c>
      <c r="DL54" s="425">
        <f t="shared" ref="DL54:DS54" si="150">DK54</f>
        <v>87</v>
      </c>
      <c r="DM54" s="425">
        <f t="shared" si="150"/>
        <v>87</v>
      </c>
      <c r="DN54" s="425">
        <f t="shared" si="150"/>
        <v>87</v>
      </c>
      <c r="DO54" s="425">
        <f t="shared" si="150"/>
        <v>87</v>
      </c>
      <c r="DP54" s="425">
        <f t="shared" si="150"/>
        <v>87</v>
      </c>
      <c r="DQ54" s="425">
        <f t="shared" si="150"/>
        <v>87</v>
      </c>
      <c r="DR54" s="425">
        <f t="shared" si="150"/>
        <v>87</v>
      </c>
      <c r="DS54" s="425">
        <f t="shared" si="150"/>
        <v>87</v>
      </c>
      <c r="DU54" s="380" t="s">
        <v>785</v>
      </c>
      <c r="DV54" s="425">
        <f t="shared" si="66"/>
        <v>87</v>
      </c>
      <c r="DW54" s="425">
        <f t="shared" si="94"/>
        <v>87</v>
      </c>
      <c r="DX54" s="425">
        <f t="shared" si="95"/>
        <v>87</v>
      </c>
      <c r="DY54" s="425">
        <f t="shared" si="96"/>
        <v>87</v>
      </c>
      <c r="DZ54" s="425">
        <f t="shared" si="97"/>
        <v>87</v>
      </c>
      <c r="EA54" s="425">
        <f t="shared" si="98"/>
        <v>87</v>
      </c>
      <c r="EB54" s="425">
        <f t="shared" si="99"/>
        <v>87</v>
      </c>
      <c r="EC54" s="425">
        <f t="shared" si="100"/>
        <v>87</v>
      </c>
      <c r="ED54" s="425">
        <f t="shared" si="101"/>
        <v>87</v>
      </c>
      <c r="EE54" s="425">
        <f t="shared" si="102"/>
        <v>87</v>
      </c>
      <c r="EF54" s="425">
        <f t="shared" si="103"/>
        <v>87</v>
      </c>
      <c r="EG54" s="425">
        <f t="shared" si="104"/>
        <v>87</v>
      </c>
      <c r="EH54" s="425">
        <f t="shared" si="105"/>
        <v>87</v>
      </c>
      <c r="EI54" s="425">
        <f t="shared" si="106"/>
        <v>87</v>
      </c>
      <c r="EJ54" s="425">
        <f t="shared" si="107"/>
        <v>87</v>
      </c>
      <c r="EK54" s="425">
        <f t="shared" si="78"/>
        <v>87</v>
      </c>
      <c r="EL54" s="425">
        <f t="shared" si="79"/>
        <v>87</v>
      </c>
      <c r="EM54" s="425">
        <f t="shared" si="80"/>
        <v>87</v>
      </c>
      <c r="EN54" s="425">
        <f t="shared" si="81"/>
        <v>87</v>
      </c>
      <c r="EO54" s="425">
        <f t="shared" si="82"/>
        <v>87</v>
      </c>
      <c r="EP54" s="425">
        <f t="shared" si="83"/>
        <v>87</v>
      </c>
      <c r="EQ54" s="425">
        <f t="shared" si="84"/>
        <v>87</v>
      </c>
      <c r="ER54" s="425">
        <f t="shared" si="85"/>
        <v>87</v>
      </c>
      <c r="ES54" s="425">
        <f t="shared" si="86"/>
        <v>87</v>
      </c>
      <c r="ET54" s="425">
        <f t="shared" si="87"/>
        <v>87</v>
      </c>
      <c r="EU54" s="425">
        <f t="shared" si="88"/>
        <v>87</v>
      </c>
      <c r="EV54" s="425">
        <f t="shared" si="88"/>
        <v>87</v>
      </c>
      <c r="EW54" s="425">
        <f t="shared" si="89"/>
        <v>87</v>
      </c>
      <c r="EX54" s="425">
        <f t="shared" si="90"/>
        <v>87</v>
      </c>
      <c r="EY54" s="425">
        <f t="shared" si="91"/>
        <v>87</v>
      </c>
      <c r="EZ54" s="425">
        <f t="shared" si="92"/>
        <v>87</v>
      </c>
    </row>
    <row r="55" spans="42:156" x14ac:dyDescent="0.2">
      <c r="AP55" s="380" t="s">
        <v>680</v>
      </c>
      <c r="AQ55" s="406">
        <f t="shared" si="41"/>
        <v>89</v>
      </c>
      <c r="AR55" s="406">
        <f t="shared" si="41"/>
        <v>89</v>
      </c>
      <c r="AS55" s="380">
        <f t="shared" si="42"/>
        <v>89</v>
      </c>
      <c r="AT55" s="380">
        <f t="shared" si="43"/>
        <v>89</v>
      </c>
      <c r="AU55" s="380">
        <f t="shared" si="44"/>
        <v>89</v>
      </c>
      <c r="AV55" s="380">
        <f t="shared" si="45"/>
        <v>89</v>
      </c>
      <c r="AW55" s="380">
        <f t="shared" si="46"/>
        <v>89</v>
      </c>
      <c r="AX55" s="380">
        <f t="shared" si="47"/>
        <v>89</v>
      </c>
      <c r="AY55" s="380">
        <f t="shared" si="48"/>
        <v>89</v>
      </c>
      <c r="AZ55" s="380">
        <f t="shared" si="49"/>
        <v>89</v>
      </c>
      <c r="BA55" s="380">
        <f t="shared" si="50"/>
        <v>89</v>
      </c>
      <c r="BB55" s="380">
        <f t="shared" si="51"/>
        <v>89</v>
      </c>
      <c r="BC55" s="380">
        <f t="shared" si="52"/>
        <v>89</v>
      </c>
      <c r="BD55" s="407">
        <f t="shared" si="52"/>
        <v>89</v>
      </c>
      <c r="BG55" s="380" t="s">
        <v>680</v>
      </c>
      <c r="BH55" s="406">
        <f t="shared" si="53"/>
        <v>89</v>
      </c>
      <c r="BI55" s="406">
        <f t="shared" si="53"/>
        <v>89</v>
      </c>
      <c r="BJ55" s="380">
        <f t="shared" si="54"/>
        <v>89</v>
      </c>
      <c r="BK55" s="380">
        <f t="shared" si="55"/>
        <v>89</v>
      </c>
      <c r="BL55" s="380">
        <f t="shared" si="56"/>
        <v>89</v>
      </c>
      <c r="BM55" s="380">
        <f t="shared" si="57"/>
        <v>89</v>
      </c>
      <c r="BN55" s="380">
        <f t="shared" si="57"/>
        <v>89</v>
      </c>
      <c r="BO55" s="380">
        <f t="shared" si="145"/>
        <v>89</v>
      </c>
      <c r="BP55" s="380">
        <f t="shared" si="59"/>
        <v>89</v>
      </c>
      <c r="BQ55" s="380">
        <f t="shared" si="60"/>
        <v>89</v>
      </c>
      <c r="BR55" s="380">
        <f t="shared" si="61"/>
        <v>89</v>
      </c>
      <c r="BS55" s="380">
        <f t="shared" si="62"/>
        <v>89</v>
      </c>
      <c r="BT55" s="380">
        <f t="shared" si="62"/>
        <v>89</v>
      </c>
      <c r="BU55" s="380">
        <f t="shared" si="63"/>
        <v>89</v>
      </c>
      <c r="BV55" s="380">
        <f t="shared" si="64"/>
        <v>89</v>
      </c>
      <c r="BW55" s="380">
        <f t="shared" si="65"/>
        <v>89</v>
      </c>
      <c r="BX55" s="407">
        <f t="shared" si="142"/>
        <v>89</v>
      </c>
      <c r="CA55" s="448">
        <f>CA36+1</f>
        <v>3</v>
      </c>
      <c r="CB55" s="425">
        <f>'A-50 FGRailInv'!$C$69</f>
        <v>0</v>
      </c>
      <c r="CC55" s="425" t="str">
        <f>Valid!$B$88</f>
        <v>Substation Equipment</v>
      </c>
      <c r="CD55" s="425">
        <f>CD46</f>
        <v>125</v>
      </c>
      <c r="CE55" s="446">
        <f>CE54+$CE$7</f>
        <v>161</v>
      </c>
      <c r="CF55" s="446">
        <f t="shared" si="29"/>
        <v>161</v>
      </c>
      <c r="CG55" s="425">
        <f t="shared" si="134"/>
        <v>161</v>
      </c>
      <c r="CH55" s="425">
        <f t="shared" si="134"/>
        <v>161</v>
      </c>
      <c r="CI55" s="425">
        <f t="shared" si="134"/>
        <v>161</v>
      </c>
      <c r="CJ55" s="425">
        <f t="shared" si="134"/>
        <v>161</v>
      </c>
      <c r="CK55" s="425">
        <f t="shared" si="134"/>
        <v>161</v>
      </c>
      <c r="CL55" s="425">
        <f t="shared" si="134"/>
        <v>161</v>
      </c>
      <c r="CM55" s="425">
        <f t="shared" si="134"/>
        <v>161</v>
      </c>
      <c r="CN55" s="425">
        <f t="shared" si="134"/>
        <v>161</v>
      </c>
      <c r="CO55" s="425">
        <f t="shared" si="134"/>
        <v>161</v>
      </c>
      <c r="CP55" s="425">
        <f t="shared" si="135"/>
        <v>161</v>
      </c>
      <c r="CQ55" s="425">
        <f t="shared" si="135"/>
        <v>161</v>
      </c>
      <c r="CR55" s="425">
        <f t="shared" si="135"/>
        <v>161</v>
      </c>
      <c r="CS55" s="425">
        <f t="shared" si="135"/>
        <v>161</v>
      </c>
      <c r="CT55" s="425">
        <f t="shared" si="135"/>
        <v>161</v>
      </c>
      <c r="CU55" s="425">
        <f t="shared" si="135"/>
        <v>161</v>
      </c>
      <c r="CY55" s="425">
        <f>'A-55 TrackInv'!$C$168</f>
        <v>0</v>
      </c>
      <c r="CZ55" s="425" t="str">
        <f>Valid!$B$83</f>
        <v>Single Crossover</v>
      </c>
      <c r="DA55" s="425">
        <f t="shared" si="148"/>
        <v>168</v>
      </c>
      <c r="DB55" s="1283">
        <f>DB54+$DB$7</f>
        <v>184</v>
      </c>
      <c r="DC55" s="425">
        <f t="shared" si="143"/>
        <v>184</v>
      </c>
      <c r="DD55" s="425">
        <f t="shared" si="143"/>
        <v>184</v>
      </c>
      <c r="DE55" s="425">
        <f t="shared" si="143"/>
        <v>184</v>
      </c>
      <c r="DF55" s="425">
        <f t="shared" si="143"/>
        <v>184</v>
      </c>
      <c r="DJ55" s="380" t="s">
        <v>786</v>
      </c>
      <c r="DK55" s="425">
        <f t="shared" si="67"/>
        <v>89</v>
      </c>
      <c r="DL55" s="425">
        <f t="shared" ref="DL55:DS55" si="151">DK55</f>
        <v>89</v>
      </c>
      <c r="DM55" s="425">
        <f t="shared" si="151"/>
        <v>89</v>
      </c>
      <c r="DN55" s="425">
        <f t="shared" si="151"/>
        <v>89</v>
      </c>
      <c r="DO55" s="425">
        <f t="shared" si="151"/>
        <v>89</v>
      </c>
      <c r="DP55" s="425">
        <f t="shared" si="151"/>
        <v>89</v>
      </c>
      <c r="DQ55" s="425">
        <f t="shared" si="151"/>
        <v>89</v>
      </c>
      <c r="DR55" s="425">
        <f t="shared" si="151"/>
        <v>89</v>
      </c>
      <c r="DS55" s="425">
        <f t="shared" si="151"/>
        <v>89</v>
      </c>
      <c r="DU55" s="380" t="s">
        <v>786</v>
      </c>
      <c r="DV55" s="425">
        <f t="shared" si="66"/>
        <v>89</v>
      </c>
      <c r="DW55" s="425">
        <f t="shared" si="94"/>
        <v>89</v>
      </c>
      <c r="DX55" s="425">
        <f t="shared" si="95"/>
        <v>89</v>
      </c>
      <c r="DY55" s="425">
        <f t="shared" si="96"/>
        <v>89</v>
      </c>
      <c r="DZ55" s="425">
        <f t="shared" si="97"/>
        <v>89</v>
      </c>
      <c r="EA55" s="425">
        <f t="shared" si="98"/>
        <v>89</v>
      </c>
      <c r="EB55" s="425">
        <f t="shared" si="99"/>
        <v>89</v>
      </c>
      <c r="EC55" s="425">
        <f t="shared" si="100"/>
        <v>89</v>
      </c>
      <c r="ED55" s="425">
        <f t="shared" si="101"/>
        <v>89</v>
      </c>
      <c r="EE55" s="425">
        <f t="shared" si="102"/>
        <v>89</v>
      </c>
      <c r="EF55" s="425">
        <f t="shared" si="103"/>
        <v>89</v>
      </c>
      <c r="EG55" s="425">
        <f t="shared" si="104"/>
        <v>89</v>
      </c>
      <c r="EH55" s="425">
        <f t="shared" si="105"/>
        <v>89</v>
      </c>
      <c r="EI55" s="425">
        <f t="shared" si="106"/>
        <v>89</v>
      </c>
      <c r="EJ55" s="425">
        <f t="shared" si="107"/>
        <v>89</v>
      </c>
      <c r="EK55" s="425">
        <f t="shared" si="78"/>
        <v>89</v>
      </c>
      <c r="EL55" s="425">
        <f t="shared" si="79"/>
        <v>89</v>
      </c>
      <c r="EM55" s="425">
        <f t="shared" si="80"/>
        <v>89</v>
      </c>
      <c r="EN55" s="425">
        <f t="shared" si="81"/>
        <v>89</v>
      </c>
      <c r="EO55" s="425">
        <f t="shared" si="82"/>
        <v>89</v>
      </c>
      <c r="EP55" s="425">
        <f t="shared" si="83"/>
        <v>89</v>
      </c>
      <c r="EQ55" s="425">
        <f t="shared" si="84"/>
        <v>89</v>
      </c>
      <c r="ER55" s="425">
        <f t="shared" si="85"/>
        <v>89</v>
      </c>
      <c r="ES55" s="425">
        <f t="shared" si="86"/>
        <v>89</v>
      </c>
      <c r="ET55" s="425">
        <f t="shared" si="87"/>
        <v>89</v>
      </c>
      <c r="EU55" s="425">
        <f t="shared" si="88"/>
        <v>89</v>
      </c>
      <c r="EV55" s="425">
        <f t="shared" si="88"/>
        <v>89</v>
      </c>
      <c r="EW55" s="425">
        <f t="shared" si="89"/>
        <v>89</v>
      </c>
      <c r="EX55" s="425">
        <f t="shared" si="90"/>
        <v>89</v>
      </c>
      <c r="EY55" s="425">
        <f t="shared" si="91"/>
        <v>89</v>
      </c>
      <c r="EZ55" s="425">
        <f t="shared" si="92"/>
        <v>89</v>
      </c>
    </row>
    <row r="56" spans="42:156" x14ac:dyDescent="0.2">
      <c r="AP56" s="380" t="s">
        <v>681</v>
      </c>
      <c r="AQ56" s="406">
        <f t="shared" si="41"/>
        <v>91</v>
      </c>
      <c r="AR56" s="406">
        <f t="shared" si="41"/>
        <v>91</v>
      </c>
      <c r="AS56" s="380">
        <f t="shared" si="42"/>
        <v>91</v>
      </c>
      <c r="AT56" s="380">
        <f t="shared" si="43"/>
        <v>91</v>
      </c>
      <c r="AU56" s="380">
        <f t="shared" si="44"/>
        <v>91</v>
      </c>
      <c r="AV56" s="380">
        <f t="shared" si="45"/>
        <v>91</v>
      </c>
      <c r="AW56" s="380">
        <f t="shared" si="46"/>
        <v>91</v>
      </c>
      <c r="AX56" s="380">
        <f t="shared" si="47"/>
        <v>91</v>
      </c>
      <c r="AY56" s="380">
        <f t="shared" si="48"/>
        <v>91</v>
      </c>
      <c r="AZ56" s="380">
        <f t="shared" si="49"/>
        <v>91</v>
      </c>
      <c r="BA56" s="380">
        <f t="shared" si="50"/>
        <v>91</v>
      </c>
      <c r="BB56" s="380">
        <f t="shared" si="51"/>
        <v>91</v>
      </c>
      <c r="BC56" s="380">
        <f t="shared" si="52"/>
        <v>91</v>
      </c>
      <c r="BD56" s="407">
        <f t="shared" si="52"/>
        <v>91</v>
      </c>
      <c r="BG56" s="380" t="s">
        <v>681</v>
      </c>
      <c r="BH56" s="406">
        <f t="shared" si="53"/>
        <v>91</v>
      </c>
      <c r="BI56" s="406">
        <f t="shared" si="53"/>
        <v>91</v>
      </c>
      <c r="BJ56" s="380">
        <f t="shared" si="54"/>
        <v>91</v>
      </c>
      <c r="BK56" s="380">
        <f t="shared" si="55"/>
        <v>91</v>
      </c>
      <c r="BL56" s="380">
        <f t="shared" si="56"/>
        <v>91</v>
      </c>
      <c r="BM56" s="380">
        <f t="shared" si="57"/>
        <v>91</v>
      </c>
      <c r="BN56" s="380">
        <f t="shared" si="57"/>
        <v>91</v>
      </c>
      <c r="BO56" s="380">
        <f t="shared" si="145"/>
        <v>91</v>
      </c>
      <c r="BP56" s="380">
        <f t="shared" si="59"/>
        <v>91</v>
      </c>
      <c r="BQ56" s="380">
        <f t="shared" si="60"/>
        <v>91</v>
      </c>
      <c r="BR56" s="380">
        <f t="shared" si="61"/>
        <v>91</v>
      </c>
      <c r="BS56" s="380">
        <f t="shared" si="62"/>
        <v>91</v>
      </c>
      <c r="BT56" s="380">
        <f t="shared" si="62"/>
        <v>91</v>
      </c>
      <c r="BU56" s="380">
        <f t="shared" si="63"/>
        <v>91</v>
      </c>
      <c r="BV56" s="380">
        <f t="shared" si="64"/>
        <v>91</v>
      </c>
      <c r="BW56" s="380">
        <f t="shared" si="65"/>
        <v>91</v>
      </c>
      <c r="BX56" s="407">
        <f t="shared" si="142"/>
        <v>91</v>
      </c>
      <c r="CA56" s="448"/>
      <c r="CB56" s="425">
        <f>'A-50 FGRailInv'!$C$69</f>
        <v>0</v>
      </c>
      <c r="CC56" s="425" t="str">
        <f>Valid!$B$89</f>
        <v>Third Rail/Power Distribution</v>
      </c>
      <c r="CD56" s="425">
        <f>CD47</f>
        <v>125</v>
      </c>
      <c r="CE56" s="446">
        <f>CE55+$CE$7</f>
        <v>164</v>
      </c>
      <c r="CF56" s="446">
        <f t="shared" si="29"/>
        <v>164</v>
      </c>
      <c r="CG56" s="425">
        <f t="shared" ref="CG56:CO65" si="152">$CE56</f>
        <v>164</v>
      </c>
      <c r="CH56" s="425">
        <f t="shared" si="152"/>
        <v>164</v>
      </c>
      <c r="CI56" s="425">
        <f t="shared" si="152"/>
        <v>164</v>
      </c>
      <c r="CJ56" s="425">
        <f t="shared" si="152"/>
        <v>164</v>
      </c>
      <c r="CK56" s="425">
        <f t="shared" si="152"/>
        <v>164</v>
      </c>
      <c r="CL56" s="425">
        <f t="shared" si="152"/>
        <v>164</v>
      </c>
      <c r="CM56" s="425">
        <f t="shared" si="152"/>
        <v>164</v>
      </c>
      <c r="CN56" s="425">
        <f t="shared" si="152"/>
        <v>164</v>
      </c>
      <c r="CO56" s="425">
        <f t="shared" si="152"/>
        <v>164</v>
      </c>
      <c r="CP56" s="425">
        <f t="shared" ref="CP56:CU65" si="153">$CE56</f>
        <v>164</v>
      </c>
      <c r="CQ56" s="425">
        <f t="shared" si="153"/>
        <v>164</v>
      </c>
      <c r="CR56" s="425">
        <f t="shared" si="153"/>
        <v>164</v>
      </c>
      <c r="CS56" s="425">
        <f t="shared" si="153"/>
        <v>164</v>
      </c>
      <c r="CT56" s="425">
        <f t="shared" si="153"/>
        <v>164</v>
      </c>
      <c r="CU56" s="425">
        <f t="shared" si="153"/>
        <v>164</v>
      </c>
      <c r="CY56" s="425">
        <f>'A-55 TrackInv'!$C$168</f>
        <v>0</v>
      </c>
      <c r="CZ56" s="425" t="str">
        <f>Valid!$B$84</f>
        <v>Half Grand Union</v>
      </c>
      <c r="DA56" s="425">
        <f t="shared" si="148"/>
        <v>168</v>
      </c>
      <c r="DB56" s="1283">
        <f>DB55+$DB$7</f>
        <v>186</v>
      </c>
      <c r="DC56" s="425">
        <f t="shared" si="143"/>
        <v>186</v>
      </c>
      <c r="DD56" s="425">
        <f t="shared" si="143"/>
        <v>186</v>
      </c>
      <c r="DE56" s="425">
        <f t="shared" si="143"/>
        <v>186</v>
      </c>
      <c r="DF56" s="425">
        <f t="shared" si="143"/>
        <v>186</v>
      </c>
      <c r="DJ56" s="380" t="s">
        <v>787</v>
      </c>
      <c r="DK56" s="425">
        <f t="shared" si="67"/>
        <v>91</v>
      </c>
      <c r="DL56" s="425">
        <f t="shared" ref="DL56:DS56" si="154">DK56</f>
        <v>91</v>
      </c>
      <c r="DM56" s="425">
        <f t="shared" si="154"/>
        <v>91</v>
      </c>
      <c r="DN56" s="425">
        <f t="shared" si="154"/>
        <v>91</v>
      </c>
      <c r="DO56" s="425">
        <f t="shared" si="154"/>
        <v>91</v>
      </c>
      <c r="DP56" s="425">
        <f t="shared" si="154"/>
        <v>91</v>
      </c>
      <c r="DQ56" s="425">
        <f t="shared" si="154"/>
        <v>91</v>
      </c>
      <c r="DR56" s="425">
        <f t="shared" si="154"/>
        <v>91</v>
      </c>
      <c r="DS56" s="425">
        <f t="shared" si="154"/>
        <v>91</v>
      </c>
      <c r="DU56" s="380" t="s">
        <v>787</v>
      </c>
      <c r="DV56" s="425">
        <f t="shared" si="66"/>
        <v>91</v>
      </c>
      <c r="DW56" s="425">
        <f t="shared" si="94"/>
        <v>91</v>
      </c>
      <c r="DX56" s="425">
        <f t="shared" si="95"/>
        <v>91</v>
      </c>
      <c r="DY56" s="425">
        <f t="shared" si="96"/>
        <v>91</v>
      </c>
      <c r="DZ56" s="425">
        <f t="shared" si="97"/>
        <v>91</v>
      </c>
      <c r="EA56" s="425">
        <f t="shared" si="98"/>
        <v>91</v>
      </c>
      <c r="EB56" s="425">
        <f t="shared" si="99"/>
        <v>91</v>
      </c>
      <c r="EC56" s="425">
        <f t="shared" si="100"/>
        <v>91</v>
      </c>
      <c r="ED56" s="425">
        <f t="shared" si="101"/>
        <v>91</v>
      </c>
      <c r="EE56" s="425">
        <f t="shared" si="102"/>
        <v>91</v>
      </c>
      <c r="EF56" s="425">
        <f t="shared" si="103"/>
        <v>91</v>
      </c>
      <c r="EG56" s="425">
        <f t="shared" si="104"/>
        <v>91</v>
      </c>
      <c r="EH56" s="425">
        <f t="shared" si="105"/>
        <v>91</v>
      </c>
      <c r="EI56" s="425">
        <f t="shared" si="106"/>
        <v>91</v>
      </c>
      <c r="EJ56" s="425">
        <f t="shared" si="107"/>
        <v>91</v>
      </c>
      <c r="EK56" s="425">
        <f t="shared" si="78"/>
        <v>91</v>
      </c>
      <c r="EL56" s="425">
        <f t="shared" si="79"/>
        <v>91</v>
      </c>
      <c r="EM56" s="425">
        <f t="shared" si="80"/>
        <v>91</v>
      </c>
      <c r="EN56" s="425">
        <f t="shared" si="81"/>
        <v>91</v>
      </c>
      <c r="EO56" s="425">
        <f t="shared" si="82"/>
        <v>91</v>
      </c>
      <c r="EP56" s="425">
        <f t="shared" si="83"/>
        <v>91</v>
      </c>
      <c r="EQ56" s="425">
        <f t="shared" si="84"/>
        <v>91</v>
      </c>
      <c r="ER56" s="425">
        <f t="shared" si="85"/>
        <v>91</v>
      </c>
      <c r="ES56" s="425">
        <f t="shared" si="86"/>
        <v>91</v>
      </c>
      <c r="ET56" s="425">
        <f t="shared" si="87"/>
        <v>91</v>
      </c>
      <c r="EU56" s="425">
        <f t="shared" si="88"/>
        <v>91</v>
      </c>
      <c r="EV56" s="425">
        <f t="shared" si="88"/>
        <v>91</v>
      </c>
      <c r="EW56" s="425">
        <f t="shared" si="89"/>
        <v>91</v>
      </c>
      <c r="EX56" s="425">
        <f t="shared" si="90"/>
        <v>91</v>
      </c>
      <c r="EY56" s="425">
        <f t="shared" si="91"/>
        <v>91</v>
      </c>
      <c r="EZ56" s="425">
        <f t="shared" si="92"/>
        <v>91</v>
      </c>
    </row>
    <row r="57" spans="42:156" x14ac:dyDescent="0.2">
      <c r="AP57" s="380" t="s">
        <v>682</v>
      </c>
      <c r="AQ57" s="406">
        <f t="shared" si="41"/>
        <v>93</v>
      </c>
      <c r="AR57" s="406">
        <f t="shared" si="41"/>
        <v>93</v>
      </c>
      <c r="AS57" s="380">
        <f t="shared" si="42"/>
        <v>93</v>
      </c>
      <c r="AT57" s="380">
        <f t="shared" si="43"/>
        <v>93</v>
      </c>
      <c r="AU57" s="380">
        <f t="shared" si="44"/>
        <v>93</v>
      </c>
      <c r="AV57" s="380">
        <f t="shared" si="45"/>
        <v>93</v>
      </c>
      <c r="AW57" s="380">
        <f t="shared" si="46"/>
        <v>93</v>
      </c>
      <c r="AX57" s="380">
        <f t="shared" si="47"/>
        <v>93</v>
      </c>
      <c r="AY57" s="380">
        <f t="shared" si="48"/>
        <v>93</v>
      </c>
      <c r="AZ57" s="380">
        <f t="shared" si="49"/>
        <v>93</v>
      </c>
      <c r="BA57" s="380">
        <f t="shared" si="50"/>
        <v>93</v>
      </c>
      <c r="BB57" s="380">
        <f t="shared" si="51"/>
        <v>93</v>
      </c>
      <c r="BC57" s="380">
        <f t="shared" si="52"/>
        <v>93</v>
      </c>
      <c r="BD57" s="407">
        <f t="shared" si="52"/>
        <v>93</v>
      </c>
      <c r="BG57" s="380" t="s">
        <v>682</v>
      </c>
      <c r="BH57" s="406">
        <f t="shared" si="53"/>
        <v>93</v>
      </c>
      <c r="BI57" s="406">
        <f t="shared" si="53"/>
        <v>93</v>
      </c>
      <c r="BJ57" s="380">
        <f t="shared" si="54"/>
        <v>93</v>
      </c>
      <c r="BK57" s="380">
        <f t="shared" si="55"/>
        <v>93</v>
      </c>
      <c r="BL57" s="380">
        <f t="shared" si="56"/>
        <v>93</v>
      </c>
      <c r="BM57" s="380">
        <f t="shared" si="57"/>
        <v>93</v>
      </c>
      <c r="BN57" s="380">
        <f t="shared" si="57"/>
        <v>93</v>
      </c>
      <c r="BO57" s="380">
        <f t="shared" si="145"/>
        <v>93</v>
      </c>
      <c r="BP57" s="380">
        <f t="shared" si="59"/>
        <v>93</v>
      </c>
      <c r="BQ57" s="380">
        <f t="shared" si="60"/>
        <v>93</v>
      </c>
      <c r="BR57" s="380">
        <f t="shared" si="61"/>
        <v>93</v>
      </c>
      <c r="BS57" s="380">
        <f t="shared" si="62"/>
        <v>93</v>
      </c>
      <c r="BT57" s="380">
        <f t="shared" si="62"/>
        <v>93</v>
      </c>
      <c r="BU57" s="380">
        <f t="shared" si="63"/>
        <v>93</v>
      </c>
      <c r="BV57" s="380">
        <f t="shared" si="64"/>
        <v>93</v>
      </c>
      <c r="BW57" s="380">
        <f t="shared" si="65"/>
        <v>93</v>
      </c>
      <c r="BX57" s="407">
        <f t="shared" si="142"/>
        <v>93</v>
      </c>
      <c r="CA57" s="448"/>
      <c r="CB57" s="425">
        <f>'A-50 FGRailInv'!$C$69</f>
        <v>0</v>
      </c>
      <c r="CC57" s="425" t="str">
        <f>Valid!$B$90</f>
        <v>Overhead Contact System/Power Distribution</v>
      </c>
      <c r="CD57" s="425">
        <f>CD48</f>
        <v>125</v>
      </c>
      <c r="CE57" s="446">
        <f>CE56+$CE$7</f>
        <v>167</v>
      </c>
      <c r="CF57" s="446">
        <f t="shared" si="29"/>
        <v>167</v>
      </c>
      <c r="CG57" s="425">
        <f t="shared" si="152"/>
        <v>167</v>
      </c>
      <c r="CH57" s="425">
        <f t="shared" si="152"/>
        <v>167</v>
      </c>
      <c r="CI57" s="425">
        <f t="shared" si="152"/>
        <v>167</v>
      </c>
      <c r="CJ57" s="425">
        <f t="shared" si="152"/>
        <v>167</v>
      </c>
      <c r="CK57" s="425">
        <f t="shared" si="152"/>
        <v>167</v>
      </c>
      <c r="CL57" s="425">
        <f t="shared" si="152"/>
        <v>167</v>
      </c>
      <c r="CM57" s="425">
        <f t="shared" si="152"/>
        <v>167</v>
      </c>
      <c r="CN57" s="425">
        <f t="shared" si="152"/>
        <v>167</v>
      </c>
      <c r="CO57" s="425">
        <f t="shared" si="152"/>
        <v>167</v>
      </c>
      <c r="CP57" s="425">
        <f t="shared" si="153"/>
        <v>167</v>
      </c>
      <c r="CQ57" s="425">
        <f t="shared" si="153"/>
        <v>167</v>
      </c>
      <c r="CR57" s="425">
        <f t="shared" si="153"/>
        <v>167</v>
      </c>
      <c r="CS57" s="425">
        <f t="shared" si="153"/>
        <v>167</v>
      </c>
      <c r="CT57" s="425">
        <f t="shared" si="153"/>
        <v>167</v>
      </c>
      <c r="CU57" s="425">
        <f t="shared" si="153"/>
        <v>167</v>
      </c>
      <c r="CY57" s="425">
        <f>'A-55 TrackInv'!$C$168</f>
        <v>0</v>
      </c>
      <c r="CZ57" s="425" t="str">
        <f>Valid!$B$85</f>
        <v>Single Turnout</v>
      </c>
      <c r="DA57" s="425">
        <f t="shared" si="148"/>
        <v>168</v>
      </c>
      <c r="DB57" s="1283">
        <f>DB56+$DB$7</f>
        <v>188</v>
      </c>
      <c r="DC57" s="425">
        <f t="shared" si="143"/>
        <v>188</v>
      </c>
      <c r="DD57" s="425">
        <f t="shared" si="143"/>
        <v>188</v>
      </c>
      <c r="DE57" s="425">
        <f t="shared" si="143"/>
        <v>188</v>
      </c>
      <c r="DF57" s="425">
        <f t="shared" si="143"/>
        <v>188</v>
      </c>
      <c r="DJ57" s="380" t="s">
        <v>788</v>
      </c>
      <c r="DK57" s="425">
        <f t="shared" si="67"/>
        <v>93</v>
      </c>
      <c r="DL57" s="425">
        <f t="shared" ref="DL57:DS57" si="155">DK57</f>
        <v>93</v>
      </c>
      <c r="DM57" s="425">
        <f t="shared" si="155"/>
        <v>93</v>
      </c>
      <c r="DN57" s="425">
        <f t="shared" si="155"/>
        <v>93</v>
      </c>
      <c r="DO57" s="425">
        <f t="shared" si="155"/>
        <v>93</v>
      </c>
      <c r="DP57" s="425">
        <f t="shared" si="155"/>
        <v>93</v>
      </c>
      <c r="DQ57" s="425">
        <f t="shared" si="155"/>
        <v>93</v>
      </c>
      <c r="DR57" s="425">
        <f t="shared" si="155"/>
        <v>93</v>
      </c>
      <c r="DS57" s="425">
        <f t="shared" si="155"/>
        <v>93</v>
      </c>
      <c r="DU57" s="380" t="s">
        <v>788</v>
      </c>
      <c r="DV57" s="425">
        <f t="shared" si="66"/>
        <v>93</v>
      </c>
      <c r="DW57" s="425">
        <f t="shared" si="94"/>
        <v>93</v>
      </c>
      <c r="DX57" s="425">
        <f t="shared" si="95"/>
        <v>93</v>
      </c>
      <c r="DY57" s="425">
        <f t="shared" si="96"/>
        <v>93</v>
      </c>
      <c r="DZ57" s="425">
        <f t="shared" si="97"/>
        <v>93</v>
      </c>
      <c r="EA57" s="425">
        <f t="shared" si="98"/>
        <v>93</v>
      </c>
      <c r="EB57" s="425">
        <f t="shared" si="99"/>
        <v>93</v>
      </c>
      <c r="EC57" s="425">
        <f t="shared" si="100"/>
        <v>93</v>
      </c>
      <c r="ED57" s="425">
        <f t="shared" si="101"/>
        <v>93</v>
      </c>
      <c r="EE57" s="425">
        <f t="shared" si="102"/>
        <v>93</v>
      </c>
      <c r="EF57" s="425">
        <f t="shared" si="103"/>
        <v>93</v>
      </c>
      <c r="EG57" s="425">
        <f t="shared" si="104"/>
        <v>93</v>
      </c>
      <c r="EH57" s="425">
        <f t="shared" si="105"/>
        <v>93</v>
      </c>
      <c r="EI57" s="425">
        <f t="shared" si="106"/>
        <v>93</v>
      </c>
      <c r="EJ57" s="425">
        <f t="shared" si="107"/>
        <v>93</v>
      </c>
      <c r="EK57" s="425">
        <f t="shared" si="78"/>
        <v>93</v>
      </c>
      <c r="EL57" s="425">
        <f t="shared" si="79"/>
        <v>93</v>
      </c>
      <c r="EM57" s="425">
        <f t="shared" si="80"/>
        <v>93</v>
      </c>
      <c r="EN57" s="425">
        <f t="shared" si="81"/>
        <v>93</v>
      </c>
      <c r="EO57" s="425">
        <f t="shared" si="82"/>
        <v>93</v>
      </c>
      <c r="EP57" s="425">
        <f t="shared" si="83"/>
        <v>93</v>
      </c>
      <c r="EQ57" s="425">
        <f t="shared" si="84"/>
        <v>93</v>
      </c>
      <c r="ER57" s="425">
        <f t="shared" si="85"/>
        <v>93</v>
      </c>
      <c r="ES57" s="425">
        <f t="shared" si="86"/>
        <v>93</v>
      </c>
      <c r="ET57" s="425">
        <f t="shared" si="87"/>
        <v>93</v>
      </c>
      <c r="EU57" s="425">
        <f t="shared" si="88"/>
        <v>93</v>
      </c>
      <c r="EV57" s="425">
        <f t="shared" si="88"/>
        <v>93</v>
      </c>
      <c r="EW57" s="425">
        <f t="shared" si="89"/>
        <v>93</v>
      </c>
      <c r="EX57" s="425">
        <f t="shared" si="90"/>
        <v>93</v>
      </c>
      <c r="EY57" s="425">
        <f t="shared" si="91"/>
        <v>93</v>
      </c>
      <c r="EZ57" s="425">
        <f t="shared" si="92"/>
        <v>93</v>
      </c>
    </row>
    <row r="58" spans="42:156" x14ac:dyDescent="0.2">
      <c r="AP58" s="380" t="s">
        <v>683</v>
      </c>
      <c r="AQ58" s="406">
        <f t="shared" si="41"/>
        <v>95</v>
      </c>
      <c r="AR58" s="406">
        <f t="shared" si="41"/>
        <v>95</v>
      </c>
      <c r="AS58" s="380">
        <f t="shared" si="42"/>
        <v>95</v>
      </c>
      <c r="AT58" s="380">
        <f t="shared" si="43"/>
        <v>95</v>
      </c>
      <c r="AU58" s="380">
        <f t="shared" si="44"/>
        <v>95</v>
      </c>
      <c r="AV58" s="380">
        <f t="shared" si="45"/>
        <v>95</v>
      </c>
      <c r="AW58" s="380">
        <f t="shared" si="46"/>
        <v>95</v>
      </c>
      <c r="AX58" s="380">
        <f t="shared" si="47"/>
        <v>95</v>
      </c>
      <c r="AY58" s="380">
        <f t="shared" si="48"/>
        <v>95</v>
      </c>
      <c r="AZ58" s="380">
        <f t="shared" si="49"/>
        <v>95</v>
      </c>
      <c r="BA58" s="380">
        <f t="shared" si="50"/>
        <v>95</v>
      </c>
      <c r="BB58" s="380">
        <f t="shared" si="51"/>
        <v>95</v>
      </c>
      <c r="BC58" s="380">
        <f t="shared" si="52"/>
        <v>95</v>
      </c>
      <c r="BD58" s="407">
        <f t="shared" si="52"/>
        <v>95</v>
      </c>
      <c r="BG58" s="380" t="s">
        <v>683</v>
      </c>
      <c r="BH58" s="406">
        <f t="shared" si="53"/>
        <v>95</v>
      </c>
      <c r="BI58" s="406">
        <f t="shared" si="53"/>
        <v>95</v>
      </c>
      <c r="BJ58" s="380">
        <f t="shared" si="54"/>
        <v>95</v>
      </c>
      <c r="BK58" s="380">
        <f t="shared" si="55"/>
        <v>95</v>
      </c>
      <c r="BL58" s="380">
        <f t="shared" si="56"/>
        <v>95</v>
      </c>
      <c r="BM58" s="380">
        <f t="shared" si="57"/>
        <v>95</v>
      </c>
      <c r="BN58" s="380">
        <f t="shared" si="57"/>
        <v>95</v>
      </c>
      <c r="BO58" s="380">
        <f t="shared" si="145"/>
        <v>95</v>
      </c>
      <c r="BP58" s="380">
        <f t="shared" si="59"/>
        <v>95</v>
      </c>
      <c r="BQ58" s="380">
        <f t="shared" si="60"/>
        <v>95</v>
      </c>
      <c r="BR58" s="380">
        <f t="shared" si="61"/>
        <v>95</v>
      </c>
      <c r="BS58" s="380">
        <f t="shared" si="62"/>
        <v>95</v>
      </c>
      <c r="BT58" s="380">
        <f t="shared" si="62"/>
        <v>95</v>
      </c>
      <c r="BU58" s="380">
        <f t="shared" si="63"/>
        <v>95</v>
      </c>
      <c r="BV58" s="380">
        <f t="shared" si="64"/>
        <v>95</v>
      </c>
      <c r="BW58" s="380">
        <f t="shared" si="65"/>
        <v>95</v>
      </c>
      <c r="BX58" s="407">
        <f t="shared" si="142"/>
        <v>95</v>
      </c>
      <c r="CA58" s="448"/>
      <c r="CB58" s="425">
        <f>'A-50 FGRailInv'!$C$69</f>
        <v>0</v>
      </c>
      <c r="CC58" s="425" t="str">
        <f>Valid!$B$91</f>
        <v>Train Control &amp; Signaling</v>
      </c>
      <c r="CD58" s="425">
        <f>CD49</f>
        <v>125</v>
      </c>
      <c r="CE58" s="446">
        <f>CE57+$CE$7</f>
        <v>170</v>
      </c>
      <c r="CF58" s="446">
        <f t="shared" si="29"/>
        <v>170</v>
      </c>
      <c r="CG58" s="425">
        <f t="shared" si="152"/>
        <v>170</v>
      </c>
      <c r="CH58" s="425">
        <f t="shared" si="152"/>
        <v>170</v>
      </c>
      <c r="CI58" s="425">
        <f t="shared" si="152"/>
        <v>170</v>
      </c>
      <c r="CJ58" s="425">
        <f t="shared" si="152"/>
        <v>170</v>
      </c>
      <c r="CK58" s="425">
        <f t="shared" si="152"/>
        <v>170</v>
      </c>
      <c r="CL58" s="425">
        <f t="shared" si="152"/>
        <v>170</v>
      </c>
      <c r="CM58" s="425">
        <f t="shared" si="152"/>
        <v>170</v>
      </c>
      <c r="CN58" s="425">
        <f t="shared" si="152"/>
        <v>170</v>
      </c>
      <c r="CO58" s="425">
        <f t="shared" si="152"/>
        <v>170</v>
      </c>
      <c r="CP58" s="425">
        <f t="shared" si="153"/>
        <v>170</v>
      </c>
      <c r="CQ58" s="425">
        <f t="shared" si="153"/>
        <v>170</v>
      </c>
      <c r="CR58" s="425">
        <f t="shared" si="153"/>
        <v>170</v>
      </c>
      <c r="CS58" s="425">
        <f t="shared" si="153"/>
        <v>170</v>
      </c>
      <c r="CT58" s="425">
        <f t="shared" si="153"/>
        <v>170</v>
      </c>
      <c r="CU58" s="425">
        <f t="shared" si="153"/>
        <v>170</v>
      </c>
      <c r="CY58" s="425">
        <f>'A-55 TrackInv'!$C$168</f>
        <v>0</v>
      </c>
      <c r="CZ58" s="425" t="str">
        <f>Valid!$B$86</f>
        <v>Grade Crossings</v>
      </c>
      <c r="DA58" s="425">
        <f t="shared" si="148"/>
        <v>168</v>
      </c>
      <c r="DB58" s="1283">
        <f>DB57+$DB$7</f>
        <v>190</v>
      </c>
      <c r="DC58" s="425">
        <f t="shared" si="143"/>
        <v>190</v>
      </c>
      <c r="DD58" s="425">
        <f t="shared" si="143"/>
        <v>190</v>
      </c>
      <c r="DE58" s="425">
        <f t="shared" si="143"/>
        <v>190</v>
      </c>
      <c r="DF58" s="425">
        <f t="shared" si="143"/>
        <v>190</v>
      </c>
      <c r="DJ58" s="380" t="s">
        <v>789</v>
      </c>
      <c r="DK58" s="425">
        <f t="shared" si="67"/>
        <v>95</v>
      </c>
      <c r="DL58" s="425">
        <f t="shared" ref="DL58:DS58" si="156">DK58</f>
        <v>95</v>
      </c>
      <c r="DM58" s="425">
        <f t="shared" si="156"/>
        <v>95</v>
      </c>
      <c r="DN58" s="425">
        <f t="shared" si="156"/>
        <v>95</v>
      </c>
      <c r="DO58" s="425">
        <f t="shared" si="156"/>
        <v>95</v>
      </c>
      <c r="DP58" s="425">
        <f t="shared" si="156"/>
        <v>95</v>
      </c>
      <c r="DQ58" s="425">
        <f t="shared" si="156"/>
        <v>95</v>
      </c>
      <c r="DR58" s="425">
        <f t="shared" si="156"/>
        <v>95</v>
      </c>
      <c r="DS58" s="425">
        <f t="shared" si="156"/>
        <v>95</v>
      </c>
      <c r="DU58" s="380" t="s">
        <v>789</v>
      </c>
      <c r="DV58" s="425">
        <f t="shared" si="66"/>
        <v>95</v>
      </c>
      <c r="DW58" s="425">
        <f t="shared" si="94"/>
        <v>95</v>
      </c>
      <c r="DX58" s="425">
        <f t="shared" si="95"/>
        <v>95</v>
      </c>
      <c r="DY58" s="425">
        <f t="shared" si="96"/>
        <v>95</v>
      </c>
      <c r="DZ58" s="425">
        <f t="shared" si="97"/>
        <v>95</v>
      </c>
      <c r="EA58" s="425">
        <f t="shared" si="98"/>
        <v>95</v>
      </c>
      <c r="EB58" s="425">
        <f t="shared" si="99"/>
        <v>95</v>
      </c>
      <c r="EC58" s="425">
        <f t="shared" si="100"/>
        <v>95</v>
      </c>
      <c r="ED58" s="425">
        <f t="shared" si="101"/>
        <v>95</v>
      </c>
      <c r="EE58" s="425">
        <f t="shared" si="102"/>
        <v>95</v>
      </c>
      <c r="EF58" s="425">
        <f t="shared" si="103"/>
        <v>95</v>
      </c>
      <c r="EG58" s="425">
        <f t="shared" si="104"/>
        <v>95</v>
      </c>
      <c r="EH58" s="425">
        <f t="shared" si="105"/>
        <v>95</v>
      </c>
      <c r="EI58" s="425">
        <f t="shared" si="106"/>
        <v>95</v>
      </c>
      <c r="EJ58" s="425">
        <f t="shared" si="107"/>
        <v>95</v>
      </c>
      <c r="EK58" s="425">
        <f t="shared" si="78"/>
        <v>95</v>
      </c>
      <c r="EL58" s="425">
        <f t="shared" si="79"/>
        <v>95</v>
      </c>
      <c r="EM58" s="425">
        <f t="shared" si="80"/>
        <v>95</v>
      </c>
      <c r="EN58" s="425">
        <f t="shared" si="81"/>
        <v>95</v>
      </c>
      <c r="EO58" s="425">
        <f t="shared" si="82"/>
        <v>95</v>
      </c>
      <c r="EP58" s="425">
        <f t="shared" si="83"/>
        <v>95</v>
      </c>
      <c r="EQ58" s="425">
        <f t="shared" si="84"/>
        <v>95</v>
      </c>
      <c r="ER58" s="425">
        <f t="shared" si="85"/>
        <v>95</v>
      </c>
      <c r="ES58" s="425">
        <f t="shared" si="86"/>
        <v>95</v>
      </c>
      <c r="ET58" s="425">
        <f t="shared" si="87"/>
        <v>95</v>
      </c>
      <c r="EU58" s="425">
        <f t="shared" si="88"/>
        <v>95</v>
      </c>
      <c r="EV58" s="425">
        <f t="shared" si="88"/>
        <v>95</v>
      </c>
      <c r="EW58" s="425">
        <f t="shared" si="89"/>
        <v>95</v>
      </c>
      <c r="EX58" s="425">
        <f t="shared" si="90"/>
        <v>95</v>
      </c>
      <c r="EY58" s="425">
        <f t="shared" si="91"/>
        <v>95</v>
      </c>
      <c r="EZ58" s="425">
        <f t="shared" si="92"/>
        <v>95</v>
      </c>
    </row>
    <row r="59" spans="42:156" x14ac:dyDescent="0.2">
      <c r="AP59" s="380" t="s">
        <v>684</v>
      </c>
      <c r="AQ59" s="406">
        <f t="shared" si="41"/>
        <v>97</v>
      </c>
      <c r="AR59" s="406">
        <f t="shared" si="41"/>
        <v>97</v>
      </c>
      <c r="AS59" s="380">
        <f t="shared" si="42"/>
        <v>97</v>
      </c>
      <c r="AT59" s="380">
        <f t="shared" si="43"/>
        <v>97</v>
      </c>
      <c r="AU59" s="380">
        <f t="shared" si="44"/>
        <v>97</v>
      </c>
      <c r="AV59" s="380">
        <f t="shared" si="45"/>
        <v>97</v>
      </c>
      <c r="AW59" s="380">
        <f t="shared" si="46"/>
        <v>97</v>
      </c>
      <c r="AX59" s="380">
        <f t="shared" si="47"/>
        <v>97</v>
      </c>
      <c r="AY59" s="380">
        <f t="shared" si="48"/>
        <v>97</v>
      </c>
      <c r="AZ59" s="380">
        <f t="shared" si="49"/>
        <v>97</v>
      </c>
      <c r="BA59" s="380">
        <f t="shared" si="50"/>
        <v>97</v>
      </c>
      <c r="BB59" s="380">
        <f t="shared" si="51"/>
        <v>97</v>
      </c>
      <c r="BC59" s="380">
        <f t="shared" si="52"/>
        <v>97</v>
      </c>
      <c r="BD59" s="407">
        <f t="shared" si="52"/>
        <v>97</v>
      </c>
      <c r="BG59" s="380" t="s">
        <v>684</v>
      </c>
      <c r="BH59" s="406">
        <f t="shared" si="53"/>
        <v>97</v>
      </c>
      <c r="BI59" s="406">
        <f t="shared" si="53"/>
        <v>97</v>
      </c>
      <c r="BJ59" s="380">
        <f t="shared" si="54"/>
        <v>97</v>
      </c>
      <c r="BK59" s="380">
        <f t="shared" si="55"/>
        <v>97</v>
      </c>
      <c r="BL59" s="380">
        <f t="shared" si="56"/>
        <v>97</v>
      </c>
      <c r="BM59" s="380">
        <f t="shared" si="57"/>
        <v>97</v>
      </c>
      <c r="BN59" s="380">
        <f t="shared" si="57"/>
        <v>97</v>
      </c>
      <c r="BO59" s="380">
        <f t="shared" si="145"/>
        <v>97</v>
      </c>
      <c r="BP59" s="380">
        <f t="shared" si="59"/>
        <v>97</v>
      </c>
      <c r="BQ59" s="380">
        <f t="shared" si="60"/>
        <v>97</v>
      </c>
      <c r="BR59" s="380">
        <f t="shared" si="61"/>
        <v>97</v>
      </c>
      <c r="BS59" s="380">
        <f t="shared" si="62"/>
        <v>97</v>
      </c>
      <c r="BT59" s="380">
        <f t="shared" si="62"/>
        <v>97</v>
      </c>
      <c r="BU59" s="380">
        <f t="shared" si="63"/>
        <v>97</v>
      </c>
      <c r="BV59" s="380">
        <f t="shared" si="64"/>
        <v>97</v>
      </c>
      <c r="BW59" s="380">
        <f t="shared" si="65"/>
        <v>97</v>
      </c>
      <c r="BX59" s="407">
        <f t="shared" si="142"/>
        <v>97</v>
      </c>
      <c r="CA59" s="448"/>
      <c r="CB59" s="425">
        <f>'A-50 FGRailInv'!$C$69</f>
        <v>0</v>
      </c>
      <c r="CC59" s="425" t="str">
        <f>Valid!$B$71</f>
        <v>At-Grade/Ballast (including expressway)</v>
      </c>
      <c r="CD59" s="425">
        <f>CD45+$CD$7</f>
        <v>181</v>
      </c>
      <c r="CE59" s="446">
        <f>CE58+$CE$9</f>
        <v>185</v>
      </c>
      <c r="CF59" s="446">
        <f t="shared" si="29"/>
        <v>185</v>
      </c>
      <c r="CG59" s="425">
        <f t="shared" si="152"/>
        <v>185</v>
      </c>
      <c r="CH59" s="425">
        <f t="shared" si="152"/>
        <v>185</v>
      </c>
      <c r="CI59" s="425">
        <f t="shared" si="152"/>
        <v>185</v>
      </c>
      <c r="CJ59" s="425">
        <f t="shared" si="152"/>
        <v>185</v>
      </c>
      <c r="CK59" s="425">
        <f t="shared" si="152"/>
        <v>185</v>
      </c>
      <c r="CL59" s="425">
        <f t="shared" si="152"/>
        <v>185</v>
      </c>
      <c r="CM59" s="425">
        <f t="shared" si="152"/>
        <v>185</v>
      </c>
      <c r="CN59" s="425">
        <f t="shared" si="152"/>
        <v>185</v>
      </c>
      <c r="CO59" s="425">
        <f t="shared" si="152"/>
        <v>185</v>
      </c>
      <c r="CP59" s="425">
        <f t="shared" si="153"/>
        <v>185</v>
      </c>
      <c r="CQ59" s="425">
        <f t="shared" si="153"/>
        <v>185</v>
      </c>
      <c r="CR59" s="425">
        <f t="shared" si="153"/>
        <v>185</v>
      </c>
      <c r="CS59" s="425">
        <f t="shared" si="153"/>
        <v>185</v>
      </c>
      <c r="CT59" s="425">
        <f t="shared" si="153"/>
        <v>185</v>
      </c>
      <c r="CU59" s="425">
        <f t="shared" si="153"/>
        <v>185</v>
      </c>
      <c r="CX59" s="380">
        <f>CX52+1</f>
        <v>7</v>
      </c>
      <c r="CY59" s="425">
        <f>'A-55 TrackInv'!$C$199</f>
        <v>0</v>
      </c>
      <c r="CZ59" s="425" t="str">
        <f>Valid!$B$80</f>
        <v>Tangent</v>
      </c>
      <c r="DA59" s="425">
        <f>DA53+$DA$7</f>
        <v>199</v>
      </c>
      <c r="DB59" s="1283">
        <f>DB58+$DB$9</f>
        <v>205</v>
      </c>
      <c r="DC59" s="425">
        <f t="shared" si="143"/>
        <v>205</v>
      </c>
      <c r="DD59" s="425">
        <f t="shared" si="143"/>
        <v>205</v>
      </c>
      <c r="DE59" s="425">
        <f t="shared" si="143"/>
        <v>205</v>
      </c>
      <c r="DF59" s="425">
        <f t="shared" si="143"/>
        <v>205</v>
      </c>
      <c r="DJ59" s="380" t="s">
        <v>790</v>
      </c>
      <c r="DK59" s="425">
        <f t="shared" si="67"/>
        <v>97</v>
      </c>
      <c r="DL59" s="425">
        <f t="shared" ref="DL59:DS59" si="157">DK59</f>
        <v>97</v>
      </c>
      <c r="DM59" s="425">
        <f t="shared" si="157"/>
        <v>97</v>
      </c>
      <c r="DN59" s="425">
        <f t="shared" si="157"/>
        <v>97</v>
      </c>
      <c r="DO59" s="425">
        <f t="shared" si="157"/>
        <v>97</v>
      </c>
      <c r="DP59" s="425">
        <f t="shared" si="157"/>
        <v>97</v>
      </c>
      <c r="DQ59" s="425">
        <f t="shared" si="157"/>
        <v>97</v>
      </c>
      <c r="DR59" s="425">
        <f t="shared" si="157"/>
        <v>97</v>
      </c>
      <c r="DS59" s="425">
        <f t="shared" si="157"/>
        <v>97</v>
      </c>
      <c r="DU59" s="380" t="s">
        <v>790</v>
      </c>
      <c r="DV59" s="425">
        <f t="shared" si="66"/>
        <v>97</v>
      </c>
      <c r="DW59" s="425">
        <f t="shared" si="94"/>
        <v>97</v>
      </c>
      <c r="DX59" s="425">
        <f t="shared" si="95"/>
        <v>97</v>
      </c>
      <c r="DY59" s="425">
        <f t="shared" si="96"/>
        <v>97</v>
      </c>
      <c r="DZ59" s="425">
        <f t="shared" si="97"/>
        <v>97</v>
      </c>
      <c r="EA59" s="425">
        <f t="shared" si="98"/>
        <v>97</v>
      </c>
      <c r="EB59" s="425">
        <f t="shared" si="99"/>
        <v>97</v>
      </c>
      <c r="EC59" s="425">
        <f t="shared" si="100"/>
        <v>97</v>
      </c>
      <c r="ED59" s="425">
        <f t="shared" si="101"/>
        <v>97</v>
      </c>
      <c r="EE59" s="425">
        <f t="shared" si="102"/>
        <v>97</v>
      </c>
      <c r="EF59" s="425">
        <f t="shared" si="103"/>
        <v>97</v>
      </c>
      <c r="EG59" s="425">
        <f t="shared" si="104"/>
        <v>97</v>
      </c>
      <c r="EH59" s="425">
        <f t="shared" si="105"/>
        <v>97</v>
      </c>
      <c r="EI59" s="425">
        <f t="shared" si="106"/>
        <v>97</v>
      </c>
      <c r="EJ59" s="425">
        <f t="shared" si="107"/>
        <v>97</v>
      </c>
      <c r="EK59" s="425">
        <f t="shared" si="78"/>
        <v>97</v>
      </c>
      <c r="EL59" s="425">
        <f t="shared" si="79"/>
        <v>97</v>
      </c>
      <c r="EM59" s="425">
        <f t="shared" si="80"/>
        <v>97</v>
      </c>
      <c r="EN59" s="425">
        <f t="shared" si="81"/>
        <v>97</v>
      </c>
      <c r="EO59" s="425">
        <f t="shared" si="82"/>
        <v>97</v>
      </c>
      <c r="EP59" s="425">
        <f t="shared" si="83"/>
        <v>97</v>
      </c>
      <c r="EQ59" s="425">
        <f t="shared" si="84"/>
        <v>97</v>
      </c>
      <c r="ER59" s="425">
        <f t="shared" si="85"/>
        <v>97</v>
      </c>
      <c r="ES59" s="425">
        <f t="shared" si="86"/>
        <v>97</v>
      </c>
      <c r="ET59" s="425">
        <f t="shared" si="87"/>
        <v>97</v>
      </c>
      <c r="EU59" s="425">
        <f t="shared" si="88"/>
        <v>97</v>
      </c>
      <c r="EV59" s="425">
        <f t="shared" si="88"/>
        <v>97</v>
      </c>
      <c r="EW59" s="425">
        <f t="shared" si="89"/>
        <v>97</v>
      </c>
      <c r="EX59" s="425">
        <f t="shared" si="90"/>
        <v>97</v>
      </c>
      <c r="EY59" s="425">
        <f t="shared" si="91"/>
        <v>97</v>
      </c>
      <c r="EZ59" s="425">
        <f t="shared" si="92"/>
        <v>97</v>
      </c>
    </row>
    <row r="60" spans="42:156" x14ac:dyDescent="0.2">
      <c r="AP60" s="380" t="s">
        <v>685</v>
      </c>
      <c r="AQ60" s="406">
        <f t="shared" si="41"/>
        <v>99</v>
      </c>
      <c r="AR60" s="406">
        <f t="shared" si="41"/>
        <v>99</v>
      </c>
      <c r="AS60" s="380">
        <f t="shared" si="42"/>
        <v>99</v>
      </c>
      <c r="AT60" s="380">
        <f t="shared" si="43"/>
        <v>99</v>
      </c>
      <c r="AU60" s="380">
        <f t="shared" si="44"/>
        <v>99</v>
      </c>
      <c r="AV60" s="380">
        <f t="shared" si="45"/>
        <v>99</v>
      </c>
      <c r="AW60" s="380">
        <f t="shared" si="46"/>
        <v>99</v>
      </c>
      <c r="AX60" s="380">
        <f t="shared" si="47"/>
        <v>99</v>
      </c>
      <c r="AY60" s="380">
        <f t="shared" si="48"/>
        <v>99</v>
      </c>
      <c r="AZ60" s="380">
        <f t="shared" si="49"/>
        <v>99</v>
      </c>
      <c r="BA60" s="380">
        <f t="shared" si="50"/>
        <v>99</v>
      </c>
      <c r="BB60" s="380">
        <f t="shared" si="51"/>
        <v>99</v>
      </c>
      <c r="BC60" s="380">
        <f t="shared" si="52"/>
        <v>99</v>
      </c>
      <c r="BD60" s="407">
        <f t="shared" si="52"/>
        <v>99</v>
      </c>
      <c r="BG60" s="380" t="s">
        <v>685</v>
      </c>
      <c r="BH60" s="406">
        <f t="shared" si="53"/>
        <v>99</v>
      </c>
      <c r="BI60" s="406">
        <f t="shared" si="53"/>
        <v>99</v>
      </c>
      <c r="BJ60" s="380">
        <f t="shared" si="54"/>
        <v>99</v>
      </c>
      <c r="BK60" s="380">
        <f t="shared" si="55"/>
        <v>99</v>
      </c>
      <c r="BL60" s="380">
        <f t="shared" si="56"/>
        <v>99</v>
      </c>
      <c r="BM60" s="380">
        <f t="shared" si="57"/>
        <v>99</v>
      </c>
      <c r="BN60" s="380">
        <f t="shared" si="57"/>
        <v>99</v>
      </c>
      <c r="BO60" s="380">
        <f t="shared" si="145"/>
        <v>99</v>
      </c>
      <c r="BP60" s="380">
        <f t="shared" si="59"/>
        <v>99</v>
      </c>
      <c r="BQ60" s="380">
        <f t="shared" si="60"/>
        <v>99</v>
      </c>
      <c r="BR60" s="380">
        <f t="shared" si="61"/>
        <v>99</v>
      </c>
      <c r="BS60" s="380">
        <f t="shared" si="62"/>
        <v>99</v>
      </c>
      <c r="BT60" s="380">
        <f t="shared" si="62"/>
        <v>99</v>
      </c>
      <c r="BU60" s="380">
        <f t="shared" si="63"/>
        <v>99</v>
      </c>
      <c r="BV60" s="380">
        <f t="shared" si="64"/>
        <v>99</v>
      </c>
      <c r="BW60" s="380">
        <f t="shared" si="65"/>
        <v>99</v>
      </c>
      <c r="BX60" s="407">
        <f t="shared" si="142"/>
        <v>99</v>
      </c>
      <c r="CA60" s="448"/>
      <c r="CB60" s="425">
        <f>'A-50 FGRailInv'!$C$69</f>
        <v>0</v>
      </c>
      <c r="CC60" s="425" t="str">
        <f>Valid!$B$72</f>
        <v>At-Grade/In-Street/Embedded</v>
      </c>
      <c r="CD60" s="425">
        <f>CD59</f>
        <v>181</v>
      </c>
      <c r="CE60" s="1199">
        <f t="shared" ref="CE60:CE67" si="158">CE59+$CE$7</f>
        <v>188</v>
      </c>
      <c r="CF60" s="446">
        <f t="shared" si="29"/>
        <v>188</v>
      </c>
      <c r="CG60" s="425">
        <f t="shared" si="152"/>
        <v>188</v>
      </c>
      <c r="CH60" s="425">
        <f t="shared" si="152"/>
        <v>188</v>
      </c>
      <c r="CI60" s="425">
        <f t="shared" si="152"/>
        <v>188</v>
      </c>
      <c r="CJ60" s="425">
        <f t="shared" si="152"/>
        <v>188</v>
      </c>
      <c r="CK60" s="425">
        <f t="shared" si="152"/>
        <v>188</v>
      </c>
      <c r="CL60" s="425">
        <f t="shared" si="152"/>
        <v>188</v>
      </c>
      <c r="CM60" s="425">
        <f t="shared" si="152"/>
        <v>188</v>
      </c>
      <c r="CN60" s="425">
        <f t="shared" si="152"/>
        <v>188</v>
      </c>
      <c r="CO60" s="425">
        <f t="shared" si="152"/>
        <v>188</v>
      </c>
      <c r="CP60" s="425">
        <f t="shared" si="153"/>
        <v>188</v>
      </c>
      <c r="CQ60" s="425">
        <f t="shared" si="153"/>
        <v>188</v>
      </c>
      <c r="CR60" s="425">
        <f t="shared" si="153"/>
        <v>188</v>
      </c>
      <c r="CS60" s="425">
        <f t="shared" si="153"/>
        <v>188</v>
      </c>
      <c r="CT60" s="425">
        <f t="shared" si="153"/>
        <v>188</v>
      </c>
      <c r="CU60" s="425">
        <f t="shared" si="153"/>
        <v>188</v>
      </c>
      <c r="CY60" s="425">
        <f>'A-55 TrackInv'!$C$199</f>
        <v>0</v>
      </c>
      <c r="CZ60" s="425" t="str">
        <f>Valid!$B$81</f>
        <v>Curve</v>
      </c>
      <c r="DA60" s="425">
        <f t="shared" ref="DA60:DA65" si="159">DA53+$DA$7</f>
        <v>199</v>
      </c>
      <c r="DB60" s="1283">
        <f>DB59+$DB$7</f>
        <v>207</v>
      </c>
      <c r="DC60" s="425">
        <f t="shared" si="143"/>
        <v>207</v>
      </c>
      <c r="DD60" s="425">
        <f t="shared" si="143"/>
        <v>207</v>
      </c>
      <c r="DE60" s="425">
        <f t="shared" si="143"/>
        <v>207</v>
      </c>
      <c r="DF60" s="425">
        <f t="shared" si="143"/>
        <v>207</v>
      </c>
      <c r="DJ60" s="380" t="s">
        <v>791</v>
      </c>
      <c r="DK60" s="425">
        <f t="shared" si="67"/>
        <v>99</v>
      </c>
      <c r="DL60" s="425">
        <f t="shared" ref="DL60:DS60" si="160">DK60</f>
        <v>99</v>
      </c>
      <c r="DM60" s="425">
        <f t="shared" si="160"/>
        <v>99</v>
      </c>
      <c r="DN60" s="425">
        <f t="shared" si="160"/>
        <v>99</v>
      </c>
      <c r="DO60" s="425">
        <f t="shared" si="160"/>
        <v>99</v>
      </c>
      <c r="DP60" s="425">
        <f t="shared" si="160"/>
        <v>99</v>
      </c>
      <c r="DQ60" s="425">
        <f t="shared" si="160"/>
        <v>99</v>
      </c>
      <c r="DR60" s="425">
        <f t="shared" si="160"/>
        <v>99</v>
      </c>
      <c r="DS60" s="425">
        <f t="shared" si="160"/>
        <v>99</v>
      </c>
      <c r="DU60" s="380" t="s">
        <v>791</v>
      </c>
      <c r="DV60" s="425">
        <f t="shared" si="66"/>
        <v>99</v>
      </c>
      <c r="DW60" s="425">
        <f t="shared" si="94"/>
        <v>99</v>
      </c>
      <c r="DX60" s="425">
        <f t="shared" si="95"/>
        <v>99</v>
      </c>
      <c r="DY60" s="425">
        <f t="shared" si="96"/>
        <v>99</v>
      </c>
      <c r="DZ60" s="425">
        <f t="shared" si="97"/>
        <v>99</v>
      </c>
      <c r="EA60" s="425">
        <f t="shared" si="98"/>
        <v>99</v>
      </c>
      <c r="EB60" s="425">
        <f t="shared" si="99"/>
        <v>99</v>
      </c>
      <c r="EC60" s="425">
        <f t="shared" si="100"/>
        <v>99</v>
      </c>
      <c r="ED60" s="425">
        <f t="shared" si="101"/>
        <v>99</v>
      </c>
      <c r="EE60" s="425">
        <f t="shared" si="102"/>
        <v>99</v>
      </c>
      <c r="EF60" s="425">
        <f t="shared" si="103"/>
        <v>99</v>
      </c>
      <c r="EG60" s="425">
        <f t="shared" si="104"/>
        <v>99</v>
      </c>
      <c r="EH60" s="425">
        <f t="shared" si="105"/>
        <v>99</v>
      </c>
      <c r="EI60" s="425">
        <f t="shared" si="106"/>
        <v>99</v>
      </c>
      <c r="EJ60" s="425">
        <f t="shared" si="107"/>
        <v>99</v>
      </c>
      <c r="EK60" s="425">
        <f t="shared" si="78"/>
        <v>99</v>
      </c>
      <c r="EL60" s="425">
        <f t="shared" si="79"/>
        <v>99</v>
      </c>
      <c r="EM60" s="425">
        <f t="shared" si="80"/>
        <v>99</v>
      </c>
      <c r="EN60" s="425">
        <f t="shared" si="81"/>
        <v>99</v>
      </c>
      <c r="EO60" s="425">
        <f t="shared" si="82"/>
        <v>99</v>
      </c>
      <c r="EP60" s="425">
        <f t="shared" si="83"/>
        <v>99</v>
      </c>
      <c r="EQ60" s="425">
        <f t="shared" si="84"/>
        <v>99</v>
      </c>
      <c r="ER60" s="425">
        <f t="shared" si="85"/>
        <v>99</v>
      </c>
      <c r="ES60" s="425">
        <f t="shared" si="86"/>
        <v>99</v>
      </c>
      <c r="ET60" s="425">
        <f t="shared" si="87"/>
        <v>99</v>
      </c>
      <c r="EU60" s="425">
        <f t="shared" si="88"/>
        <v>99</v>
      </c>
      <c r="EV60" s="425">
        <f t="shared" si="88"/>
        <v>99</v>
      </c>
      <c r="EW60" s="425">
        <f t="shared" si="89"/>
        <v>99</v>
      </c>
      <c r="EX60" s="425">
        <f t="shared" si="90"/>
        <v>99</v>
      </c>
      <c r="EY60" s="425">
        <f t="shared" si="91"/>
        <v>99</v>
      </c>
      <c r="EZ60" s="425">
        <f t="shared" si="92"/>
        <v>99</v>
      </c>
    </row>
    <row r="61" spans="42:156" x14ac:dyDescent="0.2">
      <c r="AP61" s="380" t="s">
        <v>686</v>
      </c>
      <c r="AQ61" s="406">
        <f t="shared" si="41"/>
        <v>101</v>
      </c>
      <c r="AR61" s="406">
        <f t="shared" si="41"/>
        <v>101</v>
      </c>
      <c r="AS61" s="380">
        <f t="shared" si="42"/>
        <v>101</v>
      </c>
      <c r="AT61" s="380">
        <f t="shared" si="43"/>
        <v>101</v>
      </c>
      <c r="AU61" s="380">
        <f t="shared" si="44"/>
        <v>101</v>
      </c>
      <c r="AV61" s="380">
        <f t="shared" si="45"/>
        <v>101</v>
      </c>
      <c r="AW61" s="380">
        <f t="shared" si="46"/>
        <v>101</v>
      </c>
      <c r="AX61" s="380">
        <f t="shared" si="47"/>
        <v>101</v>
      </c>
      <c r="AY61" s="380">
        <f t="shared" si="48"/>
        <v>101</v>
      </c>
      <c r="AZ61" s="380">
        <f t="shared" si="49"/>
        <v>101</v>
      </c>
      <c r="BA61" s="380">
        <f t="shared" si="50"/>
        <v>101</v>
      </c>
      <c r="BB61" s="380">
        <f t="shared" si="51"/>
        <v>101</v>
      </c>
      <c r="BC61" s="380">
        <f t="shared" si="52"/>
        <v>101</v>
      </c>
      <c r="BD61" s="407">
        <f t="shared" si="52"/>
        <v>101</v>
      </c>
      <c r="BG61" s="380" t="s">
        <v>686</v>
      </c>
      <c r="BH61" s="406">
        <f t="shared" si="53"/>
        <v>101</v>
      </c>
      <c r="BI61" s="406">
        <f t="shared" si="53"/>
        <v>101</v>
      </c>
      <c r="BJ61" s="380">
        <f t="shared" si="54"/>
        <v>101</v>
      </c>
      <c r="BK61" s="380">
        <f t="shared" si="55"/>
        <v>101</v>
      </c>
      <c r="BL61" s="380">
        <f t="shared" si="56"/>
        <v>101</v>
      </c>
      <c r="BM61" s="380">
        <f t="shared" si="57"/>
        <v>101</v>
      </c>
      <c r="BN61" s="380">
        <f t="shared" si="57"/>
        <v>101</v>
      </c>
      <c r="BO61" s="380">
        <f t="shared" si="145"/>
        <v>101</v>
      </c>
      <c r="BP61" s="380">
        <f t="shared" si="59"/>
        <v>101</v>
      </c>
      <c r="BQ61" s="380">
        <f t="shared" si="60"/>
        <v>101</v>
      </c>
      <c r="BR61" s="380">
        <f t="shared" si="61"/>
        <v>101</v>
      </c>
      <c r="BS61" s="380">
        <f t="shared" si="62"/>
        <v>101</v>
      </c>
      <c r="BT61" s="380">
        <f t="shared" si="62"/>
        <v>101</v>
      </c>
      <c r="BU61" s="380">
        <f t="shared" si="63"/>
        <v>101</v>
      </c>
      <c r="BV61" s="380">
        <f t="shared" si="64"/>
        <v>101</v>
      </c>
      <c r="BW61" s="380">
        <f t="shared" si="65"/>
        <v>101</v>
      </c>
      <c r="BX61" s="407">
        <f t="shared" si="142"/>
        <v>101</v>
      </c>
      <c r="CA61" s="448"/>
      <c r="CB61" s="425">
        <f>'A-50 FGRailInv'!$C$69</f>
        <v>0</v>
      </c>
      <c r="CC61" s="425" t="str">
        <f>Valid!$B$73</f>
        <v>Elevated/Retained Fill</v>
      </c>
      <c r="CD61" s="425">
        <f>CD59</f>
        <v>181</v>
      </c>
      <c r="CE61" s="446">
        <f t="shared" si="158"/>
        <v>191</v>
      </c>
      <c r="CF61" s="446">
        <f t="shared" si="29"/>
        <v>191</v>
      </c>
      <c r="CG61" s="425">
        <f t="shared" si="152"/>
        <v>191</v>
      </c>
      <c r="CH61" s="425">
        <f t="shared" si="152"/>
        <v>191</v>
      </c>
      <c r="CI61" s="425">
        <f t="shared" si="152"/>
        <v>191</v>
      </c>
      <c r="CJ61" s="425">
        <f t="shared" si="152"/>
        <v>191</v>
      </c>
      <c r="CK61" s="425">
        <f t="shared" si="152"/>
        <v>191</v>
      </c>
      <c r="CL61" s="425">
        <f t="shared" si="152"/>
        <v>191</v>
      </c>
      <c r="CM61" s="425">
        <f t="shared" si="152"/>
        <v>191</v>
      </c>
      <c r="CN61" s="425">
        <f t="shared" si="152"/>
        <v>191</v>
      </c>
      <c r="CO61" s="425">
        <f t="shared" si="152"/>
        <v>191</v>
      </c>
      <c r="CP61" s="425">
        <f t="shared" si="153"/>
        <v>191</v>
      </c>
      <c r="CQ61" s="425">
        <f t="shared" si="153"/>
        <v>191</v>
      </c>
      <c r="CR61" s="425">
        <f t="shared" si="153"/>
        <v>191</v>
      </c>
      <c r="CS61" s="425">
        <f t="shared" si="153"/>
        <v>191</v>
      </c>
      <c r="CT61" s="425">
        <f t="shared" si="153"/>
        <v>191</v>
      </c>
      <c r="CU61" s="425">
        <f t="shared" si="153"/>
        <v>191</v>
      </c>
      <c r="CY61" s="425">
        <f>'A-55 TrackInv'!$C$199</f>
        <v>0</v>
      </c>
      <c r="CZ61" s="425" t="str">
        <f>Valid!$B$82</f>
        <v>Double Diamond Crossover</v>
      </c>
      <c r="DA61" s="425">
        <f t="shared" si="159"/>
        <v>199</v>
      </c>
      <c r="DB61" s="1283">
        <f>DB60+DB8</f>
        <v>213</v>
      </c>
      <c r="DC61" s="425">
        <f t="shared" si="143"/>
        <v>213</v>
      </c>
      <c r="DD61" s="425">
        <f t="shared" si="143"/>
        <v>213</v>
      </c>
      <c r="DE61" s="425">
        <f t="shared" si="143"/>
        <v>213</v>
      </c>
      <c r="DF61" s="425">
        <f t="shared" si="143"/>
        <v>213</v>
      </c>
      <c r="DJ61" s="380" t="s">
        <v>792</v>
      </c>
      <c r="DK61" s="425">
        <f t="shared" si="67"/>
        <v>101</v>
      </c>
      <c r="DL61" s="425">
        <f t="shared" ref="DL61:DS61" si="161">DK61</f>
        <v>101</v>
      </c>
      <c r="DM61" s="425">
        <f t="shared" si="161"/>
        <v>101</v>
      </c>
      <c r="DN61" s="425">
        <f t="shared" si="161"/>
        <v>101</v>
      </c>
      <c r="DO61" s="425">
        <f t="shared" si="161"/>
        <v>101</v>
      </c>
      <c r="DP61" s="425">
        <f t="shared" si="161"/>
        <v>101</v>
      </c>
      <c r="DQ61" s="425">
        <f t="shared" si="161"/>
        <v>101</v>
      </c>
      <c r="DR61" s="425">
        <f t="shared" si="161"/>
        <v>101</v>
      </c>
      <c r="DS61" s="425">
        <f t="shared" si="161"/>
        <v>101</v>
      </c>
      <c r="DU61" s="380" t="s">
        <v>792</v>
      </c>
      <c r="DV61" s="425">
        <f t="shared" si="66"/>
        <v>101</v>
      </c>
      <c r="DW61" s="425">
        <f t="shared" si="94"/>
        <v>101</v>
      </c>
      <c r="DX61" s="425">
        <f t="shared" si="95"/>
        <v>101</v>
      </c>
      <c r="DY61" s="425">
        <f t="shared" si="96"/>
        <v>101</v>
      </c>
      <c r="DZ61" s="425">
        <f t="shared" si="97"/>
        <v>101</v>
      </c>
      <c r="EA61" s="425">
        <f t="shared" si="98"/>
        <v>101</v>
      </c>
      <c r="EB61" s="425">
        <f t="shared" si="99"/>
        <v>101</v>
      </c>
      <c r="EC61" s="425">
        <f t="shared" si="100"/>
        <v>101</v>
      </c>
      <c r="ED61" s="425">
        <f t="shared" si="101"/>
        <v>101</v>
      </c>
      <c r="EE61" s="425">
        <f t="shared" si="102"/>
        <v>101</v>
      </c>
      <c r="EF61" s="425">
        <f t="shared" si="103"/>
        <v>101</v>
      </c>
      <c r="EG61" s="425">
        <f t="shared" si="104"/>
        <v>101</v>
      </c>
      <c r="EH61" s="425">
        <f t="shared" si="105"/>
        <v>101</v>
      </c>
      <c r="EI61" s="425">
        <f t="shared" si="106"/>
        <v>101</v>
      </c>
      <c r="EJ61" s="425">
        <f t="shared" si="107"/>
        <v>101</v>
      </c>
      <c r="EK61" s="425">
        <f t="shared" si="78"/>
        <v>101</v>
      </c>
      <c r="EL61" s="425">
        <f t="shared" si="79"/>
        <v>101</v>
      </c>
      <c r="EM61" s="425">
        <f t="shared" si="80"/>
        <v>101</v>
      </c>
      <c r="EN61" s="425">
        <f t="shared" si="81"/>
        <v>101</v>
      </c>
      <c r="EO61" s="425">
        <f t="shared" si="82"/>
        <v>101</v>
      </c>
      <c r="EP61" s="425">
        <f t="shared" si="83"/>
        <v>101</v>
      </c>
      <c r="EQ61" s="425">
        <f t="shared" si="84"/>
        <v>101</v>
      </c>
      <c r="ER61" s="425">
        <f t="shared" si="85"/>
        <v>101</v>
      </c>
      <c r="ES61" s="425">
        <f t="shared" si="86"/>
        <v>101</v>
      </c>
      <c r="ET61" s="425">
        <f t="shared" si="87"/>
        <v>101</v>
      </c>
      <c r="EU61" s="425">
        <f t="shared" si="88"/>
        <v>101</v>
      </c>
      <c r="EV61" s="425">
        <f t="shared" si="88"/>
        <v>101</v>
      </c>
      <c r="EW61" s="425">
        <f t="shared" si="89"/>
        <v>101</v>
      </c>
      <c r="EX61" s="425">
        <f t="shared" si="90"/>
        <v>101</v>
      </c>
      <c r="EY61" s="425">
        <f t="shared" si="91"/>
        <v>101</v>
      </c>
      <c r="EZ61" s="425">
        <f t="shared" si="92"/>
        <v>101</v>
      </c>
    </row>
    <row r="62" spans="42:156" ht="15" customHeight="1" x14ac:dyDescent="0.2">
      <c r="AP62" s="380" t="s">
        <v>687</v>
      </c>
      <c r="AQ62" s="406">
        <f t="shared" si="41"/>
        <v>103</v>
      </c>
      <c r="AR62" s="406">
        <f t="shared" si="41"/>
        <v>103</v>
      </c>
      <c r="AS62" s="380">
        <f t="shared" si="42"/>
        <v>103</v>
      </c>
      <c r="AT62" s="380">
        <f t="shared" si="43"/>
        <v>103</v>
      </c>
      <c r="AU62" s="380">
        <f t="shared" si="44"/>
        <v>103</v>
      </c>
      <c r="AV62" s="380">
        <f t="shared" si="45"/>
        <v>103</v>
      </c>
      <c r="AW62" s="380">
        <f t="shared" si="46"/>
        <v>103</v>
      </c>
      <c r="AX62" s="380">
        <f t="shared" si="47"/>
        <v>103</v>
      </c>
      <c r="AY62" s="380">
        <f t="shared" si="48"/>
        <v>103</v>
      </c>
      <c r="AZ62" s="380">
        <f t="shared" si="49"/>
        <v>103</v>
      </c>
      <c r="BA62" s="380">
        <f t="shared" si="50"/>
        <v>103</v>
      </c>
      <c r="BB62" s="380">
        <f t="shared" si="51"/>
        <v>103</v>
      </c>
      <c r="BC62" s="380">
        <f t="shared" si="52"/>
        <v>103</v>
      </c>
      <c r="BD62" s="407">
        <f t="shared" si="52"/>
        <v>103</v>
      </c>
      <c r="BG62" s="380" t="s">
        <v>687</v>
      </c>
      <c r="BH62" s="406">
        <f t="shared" si="53"/>
        <v>103</v>
      </c>
      <c r="BI62" s="406">
        <f t="shared" si="53"/>
        <v>103</v>
      </c>
      <c r="BJ62" s="380">
        <f t="shared" si="54"/>
        <v>103</v>
      </c>
      <c r="BK62" s="380">
        <f t="shared" si="55"/>
        <v>103</v>
      </c>
      <c r="BL62" s="380">
        <f t="shared" si="56"/>
        <v>103</v>
      </c>
      <c r="BM62" s="380">
        <f t="shared" si="57"/>
        <v>103</v>
      </c>
      <c r="BN62" s="380">
        <f t="shared" si="57"/>
        <v>103</v>
      </c>
      <c r="BO62" s="380">
        <f t="shared" si="145"/>
        <v>103</v>
      </c>
      <c r="BP62" s="380">
        <f t="shared" si="59"/>
        <v>103</v>
      </c>
      <c r="BQ62" s="380">
        <f t="shared" si="60"/>
        <v>103</v>
      </c>
      <c r="BR62" s="380">
        <f t="shared" si="61"/>
        <v>103</v>
      </c>
      <c r="BS62" s="380">
        <f t="shared" si="62"/>
        <v>103</v>
      </c>
      <c r="BT62" s="380">
        <f t="shared" si="62"/>
        <v>103</v>
      </c>
      <c r="BU62" s="380">
        <f t="shared" si="63"/>
        <v>103</v>
      </c>
      <c r="BV62" s="380">
        <f t="shared" si="64"/>
        <v>103</v>
      </c>
      <c r="BW62" s="380">
        <f t="shared" si="65"/>
        <v>103</v>
      </c>
      <c r="BX62" s="407">
        <f t="shared" si="142"/>
        <v>103</v>
      </c>
      <c r="CA62" s="448"/>
      <c r="CB62" s="425">
        <f>'A-50 FGRailInv'!$C$69</f>
        <v>0</v>
      </c>
      <c r="CC62" s="425" t="str">
        <f>Valid!$B$74</f>
        <v>Elevated/Concrete</v>
      </c>
      <c r="CD62" s="425">
        <f>CD59</f>
        <v>181</v>
      </c>
      <c r="CE62" s="446">
        <f t="shared" si="158"/>
        <v>194</v>
      </c>
      <c r="CF62" s="446">
        <f t="shared" si="29"/>
        <v>194</v>
      </c>
      <c r="CG62" s="425">
        <f t="shared" si="152"/>
        <v>194</v>
      </c>
      <c r="CH62" s="425">
        <f t="shared" si="152"/>
        <v>194</v>
      </c>
      <c r="CI62" s="425">
        <f t="shared" si="152"/>
        <v>194</v>
      </c>
      <c r="CJ62" s="425">
        <f t="shared" si="152"/>
        <v>194</v>
      </c>
      <c r="CK62" s="425">
        <f t="shared" si="152"/>
        <v>194</v>
      </c>
      <c r="CL62" s="425">
        <f t="shared" si="152"/>
        <v>194</v>
      </c>
      <c r="CM62" s="425">
        <f t="shared" si="152"/>
        <v>194</v>
      </c>
      <c r="CN62" s="425">
        <f t="shared" si="152"/>
        <v>194</v>
      </c>
      <c r="CO62" s="425">
        <f t="shared" si="152"/>
        <v>194</v>
      </c>
      <c r="CP62" s="425">
        <f t="shared" si="153"/>
        <v>194</v>
      </c>
      <c r="CQ62" s="425">
        <f t="shared" si="153"/>
        <v>194</v>
      </c>
      <c r="CR62" s="425">
        <f t="shared" si="153"/>
        <v>194</v>
      </c>
      <c r="CS62" s="425">
        <f t="shared" si="153"/>
        <v>194</v>
      </c>
      <c r="CT62" s="425">
        <f t="shared" si="153"/>
        <v>194</v>
      </c>
      <c r="CU62" s="425">
        <f t="shared" si="153"/>
        <v>194</v>
      </c>
      <c r="CY62" s="425">
        <f>'A-55 TrackInv'!$C$199</f>
        <v>0</v>
      </c>
      <c r="CZ62" s="425" t="str">
        <f>Valid!$B$83</f>
        <v>Single Crossover</v>
      </c>
      <c r="DA62" s="425">
        <f t="shared" si="159"/>
        <v>199</v>
      </c>
      <c r="DB62" s="1283">
        <f>DB61+$DB$7</f>
        <v>215</v>
      </c>
      <c r="DC62" s="425">
        <f t="shared" si="143"/>
        <v>215</v>
      </c>
      <c r="DD62" s="425">
        <f t="shared" si="143"/>
        <v>215</v>
      </c>
      <c r="DE62" s="425">
        <f t="shared" si="143"/>
        <v>215</v>
      </c>
      <c r="DF62" s="425">
        <f t="shared" si="143"/>
        <v>215</v>
      </c>
      <c r="DJ62" s="380" t="s">
        <v>793</v>
      </c>
      <c r="DK62" s="425">
        <f t="shared" si="67"/>
        <v>103</v>
      </c>
      <c r="DL62" s="425">
        <f t="shared" ref="DL62:DS62" si="162">DK62</f>
        <v>103</v>
      </c>
      <c r="DM62" s="425">
        <f t="shared" si="162"/>
        <v>103</v>
      </c>
      <c r="DN62" s="425">
        <f t="shared" si="162"/>
        <v>103</v>
      </c>
      <c r="DO62" s="425">
        <f t="shared" si="162"/>
        <v>103</v>
      </c>
      <c r="DP62" s="425">
        <f t="shared" si="162"/>
        <v>103</v>
      </c>
      <c r="DQ62" s="425">
        <f t="shared" si="162"/>
        <v>103</v>
      </c>
      <c r="DR62" s="425">
        <f t="shared" si="162"/>
        <v>103</v>
      </c>
      <c r="DS62" s="425">
        <f t="shared" si="162"/>
        <v>103</v>
      </c>
      <c r="DU62" s="380" t="s">
        <v>793</v>
      </c>
      <c r="DV62" s="425">
        <f t="shared" si="66"/>
        <v>103</v>
      </c>
      <c r="DW62" s="425">
        <f t="shared" si="94"/>
        <v>103</v>
      </c>
      <c r="DX62" s="425">
        <f t="shared" si="95"/>
        <v>103</v>
      </c>
      <c r="DY62" s="425">
        <f t="shared" si="96"/>
        <v>103</v>
      </c>
      <c r="DZ62" s="425">
        <f t="shared" si="97"/>
        <v>103</v>
      </c>
      <c r="EA62" s="425">
        <f t="shared" si="98"/>
        <v>103</v>
      </c>
      <c r="EB62" s="425">
        <f t="shared" si="99"/>
        <v>103</v>
      </c>
      <c r="EC62" s="425">
        <f t="shared" si="100"/>
        <v>103</v>
      </c>
      <c r="ED62" s="425">
        <f t="shared" si="101"/>
        <v>103</v>
      </c>
      <c r="EE62" s="425">
        <f t="shared" si="102"/>
        <v>103</v>
      </c>
      <c r="EF62" s="425">
        <f t="shared" si="103"/>
        <v>103</v>
      </c>
      <c r="EG62" s="425">
        <f t="shared" si="104"/>
        <v>103</v>
      </c>
      <c r="EH62" s="425">
        <f t="shared" si="105"/>
        <v>103</v>
      </c>
      <c r="EI62" s="425">
        <f t="shared" si="106"/>
        <v>103</v>
      </c>
      <c r="EJ62" s="425">
        <f t="shared" si="107"/>
        <v>103</v>
      </c>
      <c r="EK62" s="425">
        <f t="shared" si="78"/>
        <v>103</v>
      </c>
      <c r="EL62" s="425">
        <f t="shared" si="79"/>
        <v>103</v>
      </c>
      <c r="EM62" s="425">
        <f t="shared" si="80"/>
        <v>103</v>
      </c>
      <c r="EN62" s="425">
        <f t="shared" si="81"/>
        <v>103</v>
      </c>
      <c r="EO62" s="425">
        <f t="shared" si="82"/>
        <v>103</v>
      </c>
      <c r="EP62" s="425">
        <f t="shared" si="83"/>
        <v>103</v>
      </c>
      <c r="EQ62" s="425">
        <f t="shared" si="84"/>
        <v>103</v>
      </c>
      <c r="ER62" s="425">
        <f t="shared" si="85"/>
        <v>103</v>
      </c>
      <c r="ES62" s="425">
        <f t="shared" si="86"/>
        <v>103</v>
      </c>
      <c r="ET62" s="425">
        <f t="shared" si="87"/>
        <v>103</v>
      </c>
      <c r="EU62" s="425">
        <f t="shared" si="88"/>
        <v>103</v>
      </c>
      <c r="EV62" s="425">
        <f t="shared" si="88"/>
        <v>103</v>
      </c>
      <c r="EW62" s="425">
        <f t="shared" si="89"/>
        <v>103</v>
      </c>
      <c r="EX62" s="425">
        <f t="shared" si="90"/>
        <v>103</v>
      </c>
      <c r="EY62" s="425">
        <f t="shared" si="91"/>
        <v>103</v>
      </c>
      <c r="EZ62" s="425">
        <f t="shared" si="92"/>
        <v>103</v>
      </c>
    </row>
    <row r="63" spans="42:156" x14ac:dyDescent="0.2">
      <c r="AP63" s="380" t="s">
        <v>688</v>
      </c>
      <c r="AQ63" s="406">
        <f t="shared" si="41"/>
        <v>105</v>
      </c>
      <c r="AR63" s="406">
        <f t="shared" si="41"/>
        <v>105</v>
      </c>
      <c r="AS63" s="380">
        <f t="shared" si="42"/>
        <v>105</v>
      </c>
      <c r="AT63" s="380">
        <f t="shared" si="43"/>
        <v>105</v>
      </c>
      <c r="AU63" s="380">
        <f t="shared" si="44"/>
        <v>105</v>
      </c>
      <c r="AV63" s="380">
        <f t="shared" si="45"/>
        <v>105</v>
      </c>
      <c r="AW63" s="380">
        <f t="shared" si="46"/>
        <v>105</v>
      </c>
      <c r="AX63" s="380">
        <f t="shared" si="47"/>
        <v>105</v>
      </c>
      <c r="AY63" s="380">
        <f t="shared" si="48"/>
        <v>105</v>
      </c>
      <c r="AZ63" s="380">
        <f t="shared" si="49"/>
        <v>105</v>
      </c>
      <c r="BA63" s="380">
        <f t="shared" si="50"/>
        <v>105</v>
      </c>
      <c r="BB63" s="380">
        <f t="shared" si="51"/>
        <v>105</v>
      </c>
      <c r="BC63" s="380">
        <f t="shared" si="52"/>
        <v>105</v>
      </c>
      <c r="BD63" s="407">
        <f t="shared" si="52"/>
        <v>105</v>
      </c>
      <c r="BG63" s="380" t="s">
        <v>688</v>
      </c>
      <c r="BH63" s="406">
        <f t="shared" si="53"/>
        <v>105</v>
      </c>
      <c r="BI63" s="406">
        <f t="shared" si="53"/>
        <v>105</v>
      </c>
      <c r="BJ63" s="380">
        <f t="shared" si="54"/>
        <v>105</v>
      </c>
      <c r="BK63" s="380">
        <f t="shared" si="55"/>
        <v>105</v>
      </c>
      <c r="BL63" s="380">
        <f t="shared" si="56"/>
        <v>105</v>
      </c>
      <c r="BM63" s="380">
        <f t="shared" si="57"/>
        <v>105</v>
      </c>
      <c r="BN63" s="380">
        <f t="shared" si="57"/>
        <v>105</v>
      </c>
      <c r="BO63" s="380">
        <f t="shared" si="145"/>
        <v>105</v>
      </c>
      <c r="BP63" s="380">
        <f t="shared" si="59"/>
        <v>105</v>
      </c>
      <c r="BQ63" s="380">
        <f t="shared" si="60"/>
        <v>105</v>
      </c>
      <c r="BR63" s="380">
        <f t="shared" si="61"/>
        <v>105</v>
      </c>
      <c r="BS63" s="380">
        <f t="shared" si="62"/>
        <v>105</v>
      </c>
      <c r="BT63" s="380">
        <f t="shared" si="62"/>
        <v>105</v>
      </c>
      <c r="BU63" s="380">
        <f t="shared" si="63"/>
        <v>105</v>
      </c>
      <c r="BV63" s="380">
        <f t="shared" si="64"/>
        <v>105</v>
      </c>
      <c r="BW63" s="380">
        <f t="shared" si="65"/>
        <v>105</v>
      </c>
      <c r="BX63" s="407">
        <f t="shared" si="142"/>
        <v>105</v>
      </c>
      <c r="CA63" s="448"/>
      <c r="CB63" s="425">
        <f>'A-50 FGRailInv'!$C$69</f>
        <v>0</v>
      </c>
      <c r="CC63" s="425" t="str">
        <f>Valid!$B$75</f>
        <v>Elevated/Steel Viaduct or Bridge</v>
      </c>
      <c r="CD63" s="425">
        <f>CD59</f>
        <v>181</v>
      </c>
      <c r="CE63" s="446">
        <f t="shared" si="158"/>
        <v>197</v>
      </c>
      <c r="CF63" s="446">
        <f t="shared" si="29"/>
        <v>197</v>
      </c>
      <c r="CG63" s="425">
        <f t="shared" si="152"/>
        <v>197</v>
      </c>
      <c r="CH63" s="425">
        <f t="shared" si="152"/>
        <v>197</v>
      </c>
      <c r="CI63" s="425">
        <f t="shared" si="152"/>
        <v>197</v>
      </c>
      <c r="CJ63" s="425">
        <f t="shared" si="152"/>
        <v>197</v>
      </c>
      <c r="CK63" s="425">
        <f t="shared" si="152"/>
        <v>197</v>
      </c>
      <c r="CL63" s="425">
        <f t="shared" si="152"/>
        <v>197</v>
      </c>
      <c r="CM63" s="425">
        <f t="shared" si="152"/>
        <v>197</v>
      </c>
      <c r="CN63" s="425">
        <f t="shared" si="152"/>
        <v>197</v>
      </c>
      <c r="CO63" s="425">
        <f t="shared" si="152"/>
        <v>197</v>
      </c>
      <c r="CP63" s="425">
        <f t="shared" si="153"/>
        <v>197</v>
      </c>
      <c r="CQ63" s="425">
        <f t="shared" si="153"/>
        <v>197</v>
      </c>
      <c r="CR63" s="425">
        <f t="shared" si="153"/>
        <v>197</v>
      </c>
      <c r="CS63" s="425">
        <f t="shared" si="153"/>
        <v>197</v>
      </c>
      <c r="CT63" s="425">
        <f t="shared" si="153"/>
        <v>197</v>
      </c>
      <c r="CU63" s="425">
        <f t="shared" si="153"/>
        <v>197</v>
      </c>
      <c r="CY63" s="425">
        <f>'A-55 TrackInv'!$C$199</f>
        <v>0</v>
      </c>
      <c r="CZ63" s="425" t="str">
        <f>Valid!$B$84</f>
        <v>Half Grand Union</v>
      </c>
      <c r="DA63" s="425">
        <f t="shared" si="159"/>
        <v>199</v>
      </c>
      <c r="DB63" s="1283">
        <f>DB62+$DB$7</f>
        <v>217</v>
      </c>
      <c r="DC63" s="425">
        <f t="shared" si="143"/>
        <v>217</v>
      </c>
      <c r="DD63" s="425">
        <f t="shared" si="143"/>
        <v>217</v>
      </c>
      <c r="DE63" s="425">
        <f t="shared" si="143"/>
        <v>217</v>
      </c>
      <c r="DF63" s="425">
        <f t="shared" si="143"/>
        <v>217</v>
      </c>
      <c r="DJ63" s="380" t="s">
        <v>794</v>
      </c>
      <c r="DK63" s="425">
        <f t="shared" si="67"/>
        <v>105</v>
      </c>
      <c r="DL63" s="425">
        <f t="shared" ref="DL63:DS63" si="163">DK63</f>
        <v>105</v>
      </c>
      <c r="DM63" s="425">
        <f t="shared" si="163"/>
        <v>105</v>
      </c>
      <c r="DN63" s="425">
        <f t="shared" si="163"/>
        <v>105</v>
      </c>
      <c r="DO63" s="425">
        <f t="shared" si="163"/>
        <v>105</v>
      </c>
      <c r="DP63" s="425">
        <f t="shared" si="163"/>
        <v>105</v>
      </c>
      <c r="DQ63" s="425">
        <f t="shared" si="163"/>
        <v>105</v>
      </c>
      <c r="DR63" s="425">
        <f t="shared" si="163"/>
        <v>105</v>
      </c>
      <c r="DS63" s="425">
        <f t="shared" si="163"/>
        <v>105</v>
      </c>
      <c r="DU63" s="380" t="s">
        <v>794</v>
      </c>
      <c r="DV63" s="425">
        <f t="shared" si="66"/>
        <v>105</v>
      </c>
      <c r="DW63" s="425">
        <f t="shared" si="94"/>
        <v>105</v>
      </c>
      <c r="DX63" s="425">
        <f t="shared" si="95"/>
        <v>105</v>
      </c>
      <c r="DY63" s="425">
        <f t="shared" si="96"/>
        <v>105</v>
      </c>
      <c r="DZ63" s="425">
        <f t="shared" si="97"/>
        <v>105</v>
      </c>
      <c r="EA63" s="425">
        <f t="shared" si="98"/>
        <v>105</v>
      </c>
      <c r="EB63" s="425">
        <f t="shared" si="99"/>
        <v>105</v>
      </c>
      <c r="EC63" s="425">
        <f t="shared" si="100"/>
        <v>105</v>
      </c>
      <c r="ED63" s="425">
        <f t="shared" si="101"/>
        <v>105</v>
      </c>
      <c r="EE63" s="425">
        <f t="shared" si="102"/>
        <v>105</v>
      </c>
      <c r="EF63" s="425">
        <f t="shared" si="103"/>
        <v>105</v>
      </c>
      <c r="EG63" s="425">
        <f t="shared" si="104"/>
        <v>105</v>
      </c>
      <c r="EH63" s="425">
        <f t="shared" si="105"/>
        <v>105</v>
      </c>
      <c r="EI63" s="425">
        <f t="shared" si="106"/>
        <v>105</v>
      </c>
      <c r="EJ63" s="425">
        <f t="shared" si="107"/>
        <v>105</v>
      </c>
      <c r="EK63" s="425">
        <f t="shared" si="78"/>
        <v>105</v>
      </c>
      <c r="EL63" s="425">
        <f t="shared" si="79"/>
        <v>105</v>
      </c>
      <c r="EM63" s="425">
        <f t="shared" si="80"/>
        <v>105</v>
      </c>
      <c r="EN63" s="425">
        <f t="shared" si="81"/>
        <v>105</v>
      </c>
      <c r="EO63" s="425">
        <f t="shared" si="82"/>
        <v>105</v>
      </c>
      <c r="EP63" s="425">
        <f t="shared" si="83"/>
        <v>105</v>
      </c>
      <c r="EQ63" s="425">
        <f t="shared" si="84"/>
        <v>105</v>
      </c>
      <c r="ER63" s="425">
        <f t="shared" si="85"/>
        <v>105</v>
      </c>
      <c r="ES63" s="425">
        <f t="shared" si="86"/>
        <v>105</v>
      </c>
      <c r="ET63" s="425">
        <f t="shared" si="87"/>
        <v>105</v>
      </c>
      <c r="EU63" s="425">
        <f t="shared" si="88"/>
        <v>105</v>
      </c>
      <c r="EV63" s="425">
        <f t="shared" si="88"/>
        <v>105</v>
      </c>
      <c r="EW63" s="425">
        <f t="shared" si="89"/>
        <v>105</v>
      </c>
      <c r="EX63" s="425">
        <f t="shared" si="90"/>
        <v>105</v>
      </c>
      <c r="EY63" s="425">
        <f t="shared" si="91"/>
        <v>105</v>
      </c>
      <c r="EZ63" s="425">
        <f t="shared" si="92"/>
        <v>105</v>
      </c>
    </row>
    <row r="64" spans="42:156" x14ac:dyDescent="0.2">
      <c r="AP64" s="380" t="s">
        <v>689</v>
      </c>
      <c r="AQ64" s="406">
        <f t="shared" si="41"/>
        <v>107</v>
      </c>
      <c r="AR64" s="406">
        <f t="shared" si="41"/>
        <v>107</v>
      </c>
      <c r="AS64" s="380">
        <f t="shared" si="42"/>
        <v>107</v>
      </c>
      <c r="AT64" s="380">
        <f t="shared" si="43"/>
        <v>107</v>
      </c>
      <c r="AU64" s="380">
        <f t="shared" si="44"/>
        <v>107</v>
      </c>
      <c r="AV64" s="380">
        <f t="shared" si="45"/>
        <v>107</v>
      </c>
      <c r="AW64" s="380">
        <f t="shared" si="46"/>
        <v>107</v>
      </c>
      <c r="AX64" s="380">
        <f t="shared" si="47"/>
        <v>107</v>
      </c>
      <c r="AY64" s="380">
        <f t="shared" si="48"/>
        <v>107</v>
      </c>
      <c r="AZ64" s="380">
        <f t="shared" si="49"/>
        <v>107</v>
      </c>
      <c r="BA64" s="380">
        <f t="shared" si="50"/>
        <v>107</v>
      </c>
      <c r="BB64" s="380">
        <f t="shared" si="51"/>
        <v>107</v>
      </c>
      <c r="BC64" s="380">
        <f t="shared" si="52"/>
        <v>107</v>
      </c>
      <c r="BD64" s="407">
        <f t="shared" si="52"/>
        <v>107</v>
      </c>
      <c r="BG64" s="380" t="s">
        <v>689</v>
      </c>
      <c r="BH64" s="406">
        <f t="shared" si="53"/>
        <v>107</v>
      </c>
      <c r="BI64" s="406">
        <f t="shared" si="53"/>
        <v>107</v>
      </c>
      <c r="BJ64" s="380">
        <f t="shared" si="54"/>
        <v>107</v>
      </c>
      <c r="BK64" s="380">
        <f t="shared" si="55"/>
        <v>107</v>
      </c>
      <c r="BL64" s="380">
        <f t="shared" si="56"/>
        <v>107</v>
      </c>
      <c r="BM64" s="380">
        <f t="shared" si="57"/>
        <v>107</v>
      </c>
      <c r="BN64" s="380">
        <f t="shared" si="57"/>
        <v>107</v>
      </c>
      <c r="BO64" s="380">
        <f t="shared" si="145"/>
        <v>107</v>
      </c>
      <c r="BP64" s="380">
        <f t="shared" si="59"/>
        <v>107</v>
      </c>
      <c r="BQ64" s="380">
        <f t="shared" si="60"/>
        <v>107</v>
      </c>
      <c r="BR64" s="380">
        <f t="shared" si="61"/>
        <v>107</v>
      </c>
      <c r="BS64" s="380">
        <f t="shared" si="62"/>
        <v>107</v>
      </c>
      <c r="BT64" s="380">
        <f t="shared" si="62"/>
        <v>107</v>
      </c>
      <c r="BU64" s="380">
        <f t="shared" si="63"/>
        <v>107</v>
      </c>
      <c r="BV64" s="380">
        <f t="shared" si="64"/>
        <v>107</v>
      </c>
      <c r="BW64" s="380">
        <f t="shared" si="65"/>
        <v>107</v>
      </c>
      <c r="BX64" s="407">
        <f t="shared" si="142"/>
        <v>107</v>
      </c>
      <c r="CA64" s="448"/>
      <c r="CB64" s="425">
        <f>'A-50 FGRailInv'!$C$69</f>
        <v>0</v>
      </c>
      <c r="CC64" s="425" t="str">
        <f>Valid!$B$76</f>
        <v>Below-Grade/Retained Cut</v>
      </c>
      <c r="CD64" s="425">
        <f>CD59</f>
        <v>181</v>
      </c>
      <c r="CE64" s="1199">
        <f t="shared" si="158"/>
        <v>200</v>
      </c>
      <c r="CF64" s="446">
        <f t="shared" si="29"/>
        <v>200</v>
      </c>
      <c r="CG64" s="425">
        <f t="shared" si="152"/>
        <v>200</v>
      </c>
      <c r="CH64" s="425">
        <f t="shared" si="152"/>
        <v>200</v>
      </c>
      <c r="CI64" s="425">
        <f t="shared" si="152"/>
        <v>200</v>
      </c>
      <c r="CJ64" s="425">
        <f t="shared" si="152"/>
        <v>200</v>
      </c>
      <c r="CK64" s="425">
        <f t="shared" si="152"/>
        <v>200</v>
      </c>
      <c r="CL64" s="425">
        <f t="shared" si="152"/>
        <v>200</v>
      </c>
      <c r="CM64" s="425">
        <f t="shared" si="152"/>
        <v>200</v>
      </c>
      <c r="CN64" s="425">
        <f t="shared" si="152"/>
        <v>200</v>
      </c>
      <c r="CO64" s="425">
        <f t="shared" si="152"/>
        <v>200</v>
      </c>
      <c r="CP64" s="425">
        <f t="shared" si="153"/>
        <v>200</v>
      </c>
      <c r="CQ64" s="425">
        <f t="shared" si="153"/>
        <v>200</v>
      </c>
      <c r="CR64" s="425">
        <f t="shared" si="153"/>
        <v>200</v>
      </c>
      <c r="CS64" s="425">
        <f t="shared" si="153"/>
        <v>200</v>
      </c>
      <c r="CT64" s="425">
        <f t="shared" si="153"/>
        <v>200</v>
      </c>
      <c r="CU64" s="425">
        <f t="shared" si="153"/>
        <v>200</v>
      </c>
      <c r="CY64" s="425">
        <f>'A-55 TrackInv'!$C$199</f>
        <v>0</v>
      </c>
      <c r="CZ64" s="425" t="str">
        <f>Valid!$B$85</f>
        <v>Single Turnout</v>
      </c>
      <c r="DA64" s="425">
        <f t="shared" si="159"/>
        <v>199</v>
      </c>
      <c r="DB64" s="1283">
        <f>DB63+$DB$7</f>
        <v>219</v>
      </c>
      <c r="DC64" s="425">
        <f t="shared" si="143"/>
        <v>219</v>
      </c>
      <c r="DD64" s="425">
        <f t="shared" si="143"/>
        <v>219</v>
      </c>
      <c r="DE64" s="425">
        <f t="shared" si="143"/>
        <v>219</v>
      </c>
      <c r="DF64" s="425">
        <f t="shared" si="143"/>
        <v>219</v>
      </c>
      <c r="DJ64" s="380" t="s">
        <v>795</v>
      </c>
      <c r="DK64" s="425">
        <f t="shared" si="67"/>
        <v>107</v>
      </c>
      <c r="DL64" s="425">
        <f t="shared" ref="DL64:DS64" si="164">DK64</f>
        <v>107</v>
      </c>
      <c r="DM64" s="425">
        <f t="shared" si="164"/>
        <v>107</v>
      </c>
      <c r="DN64" s="425">
        <f t="shared" si="164"/>
        <v>107</v>
      </c>
      <c r="DO64" s="425">
        <f t="shared" si="164"/>
        <v>107</v>
      </c>
      <c r="DP64" s="425">
        <f t="shared" si="164"/>
        <v>107</v>
      </c>
      <c r="DQ64" s="425">
        <f t="shared" si="164"/>
        <v>107</v>
      </c>
      <c r="DR64" s="425">
        <f t="shared" si="164"/>
        <v>107</v>
      </c>
      <c r="DS64" s="425">
        <f t="shared" si="164"/>
        <v>107</v>
      </c>
      <c r="DU64" s="380" t="s">
        <v>795</v>
      </c>
      <c r="DV64" s="425">
        <f t="shared" si="66"/>
        <v>107</v>
      </c>
      <c r="DW64" s="425">
        <f t="shared" si="94"/>
        <v>107</v>
      </c>
      <c r="DX64" s="425">
        <f t="shared" si="95"/>
        <v>107</v>
      </c>
      <c r="DY64" s="425">
        <f t="shared" si="96"/>
        <v>107</v>
      </c>
      <c r="DZ64" s="425">
        <f t="shared" si="97"/>
        <v>107</v>
      </c>
      <c r="EA64" s="425">
        <f t="shared" si="98"/>
        <v>107</v>
      </c>
      <c r="EB64" s="425">
        <f t="shared" si="99"/>
        <v>107</v>
      </c>
      <c r="EC64" s="425">
        <f t="shared" si="100"/>
        <v>107</v>
      </c>
      <c r="ED64" s="425">
        <f t="shared" si="101"/>
        <v>107</v>
      </c>
      <c r="EE64" s="425">
        <f t="shared" si="102"/>
        <v>107</v>
      </c>
      <c r="EF64" s="425">
        <f t="shared" si="103"/>
        <v>107</v>
      </c>
      <c r="EG64" s="425">
        <f t="shared" si="104"/>
        <v>107</v>
      </c>
      <c r="EH64" s="425">
        <f t="shared" si="105"/>
        <v>107</v>
      </c>
      <c r="EI64" s="425">
        <f t="shared" si="106"/>
        <v>107</v>
      </c>
      <c r="EJ64" s="425">
        <f t="shared" si="107"/>
        <v>107</v>
      </c>
      <c r="EK64" s="425">
        <f t="shared" si="78"/>
        <v>107</v>
      </c>
      <c r="EL64" s="425">
        <f t="shared" si="79"/>
        <v>107</v>
      </c>
      <c r="EM64" s="425">
        <f t="shared" si="80"/>
        <v>107</v>
      </c>
      <c r="EN64" s="425">
        <f t="shared" si="81"/>
        <v>107</v>
      </c>
      <c r="EO64" s="425">
        <f t="shared" si="82"/>
        <v>107</v>
      </c>
      <c r="EP64" s="425">
        <f t="shared" si="83"/>
        <v>107</v>
      </c>
      <c r="EQ64" s="425">
        <f t="shared" si="84"/>
        <v>107</v>
      </c>
      <c r="ER64" s="425">
        <f t="shared" si="85"/>
        <v>107</v>
      </c>
      <c r="ES64" s="425">
        <f t="shared" si="86"/>
        <v>107</v>
      </c>
      <c r="ET64" s="425">
        <f t="shared" si="87"/>
        <v>107</v>
      </c>
      <c r="EU64" s="425">
        <f t="shared" si="88"/>
        <v>107</v>
      </c>
      <c r="EV64" s="425">
        <f t="shared" si="88"/>
        <v>107</v>
      </c>
      <c r="EW64" s="425">
        <f t="shared" si="89"/>
        <v>107</v>
      </c>
      <c r="EX64" s="425">
        <f t="shared" si="90"/>
        <v>107</v>
      </c>
      <c r="EY64" s="425">
        <f t="shared" si="91"/>
        <v>107</v>
      </c>
      <c r="EZ64" s="425">
        <f t="shared" si="92"/>
        <v>107</v>
      </c>
    </row>
    <row r="65" spans="2:156" x14ac:dyDescent="0.2">
      <c r="AP65" s="380" t="s">
        <v>690</v>
      </c>
      <c r="AQ65" s="406">
        <f t="shared" si="41"/>
        <v>109</v>
      </c>
      <c r="AR65" s="406">
        <f t="shared" si="41"/>
        <v>109</v>
      </c>
      <c r="AS65" s="380">
        <f t="shared" si="42"/>
        <v>109</v>
      </c>
      <c r="AT65" s="380">
        <f t="shared" si="43"/>
        <v>109</v>
      </c>
      <c r="AU65" s="380">
        <f t="shared" si="44"/>
        <v>109</v>
      </c>
      <c r="AV65" s="380">
        <f t="shared" si="45"/>
        <v>109</v>
      </c>
      <c r="AW65" s="380">
        <f t="shared" si="46"/>
        <v>109</v>
      </c>
      <c r="AX65" s="380">
        <f t="shared" si="47"/>
        <v>109</v>
      </c>
      <c r="AY65" s="380">
        <f t="shared" si="48"/>
        <v>109</v>
      </c>
      <c r="AZ65" s="380">
        <f t="shared" si="49"/>
        <v>109</v>
      </c>
      <c r="BA65" s="380">
        <f t="shared" si="50"/>
        <v>109</v>
      </c>
      <c r="BB65" s="380">
        <f t="shared" si="51"/>
        <v>109</v>
      </c>
      <c r="BC65" s="380">
        <f t="shared" si="52"/>
        <v>109</v>
      </c>
      <c r="BD65" s="407">
        <f t="shared" si="52"/>
        <v>109</v>
      </c>
      <c r="BG65" s="380" t="s">
        <v>690</v>
      </c>
      <c r="BH65" s="406">
        <f t="shared" si="53"/>
        <v>109</v>
      </c>
      <c r="BI65" s="406">
        <f t="shared" si="53"/>
        <v>109</v>
      </c>
      <c r="BJ65" s="380">
        <f t="shared" si="54"/>
        <v>109</v>
      </c>
      <c r="BK65" s="380">
        <f t="shared" si="55"/>
        <v>109</v>
      </c>
      <c r="BL65" s="380">
        <f t="shared" si="56"/>
        <v>109</v>
      </c>
      <c r="BM65" s="380">
        <f t="shared" si="57"/>
        <v>109</v>
      </c>
      <c r="BN65" s="380">
        <f t="shared" si="57"/>
        <v>109</v>
      </c>
      <c r="BO65" s="380">
        <f t="shared" si="145"/>
        <v>109</v>
      </c>
      <c r="BP65" s="380">
        <f t="shared" si="59"/>
        <v>109</v>
      </c>
      <c r="BQ65" s="380">
        <f t="shared" si="60"/>
        <v>109</v>
      </c>
      <c r="BR65" s="380">
        <f t="shared" si="61"/>
        <v>109</v>
      </c>
      <c r="BS65" s="380">
        <f t="shared" si="62"/>
        <v>109</v>
      </c>
      <c r="BT65" s="380">
        <f t="shared" si="62"/>
        <v>109</v>
      </c>
      <c r="BU65" s="380">
        <f t="shared" si="63"/>
        <v>109</v>
      </c>
      <c r="BV65" s="380">
        <f t="shared" si="64"/>
        <v>109</v>
      </c>
      <c r="BW65" s="380">
        <f t="shared" si="65"/>
        <v>109</v>
      </c>
      <c r="BX65" s="407">
        <f t="shared" si="142"/>
        <v>109</v>
      </c>
      <c r="CA65" s="448"/>
      <c r="CB65" s="425">
        <f>'A-50 FGRailInv'!$C$69</f>
        <v>0</v>
      </c>
      <c r="CC65" s="425" t="str">
        <f>Valid!$B$77</f>
        <v>Below-Grade/Cut-and-Cover Tunnel</v>
      </c>
      <c r="CD65" s="425">
        <f>CD59</f>
        <v>181</v>
      </c>
      <c r="CE65" s="446">
        <f t="shared" si="158"/>
        <v>203</v>
      </c>
      <c r="CF65" s="446">
        <f t="shared" si="29"/>
        <v>203</v>
      </c>
      <c r="CG65" s="425">
        <f t="shared" si="152"/>
        <v>203</v>
      </c>
      <c r="CH65" s="425">
        <f t="shared" si="152"/>
        <v>203</v>
      </c>
      <c r="CI65" s="425">
        <f t="shared" si="152"/>
        <v>203</v>
      </c>
      <c r="CJ65" s="425">
        <f t="shared" si="152"/>
        <v>203</v>
      </c>
      <c r="CK65" s="425">
        <f t="shared" si="152"/>
        <v>203</v>
      </c>
      <c r="CL65" s="425">
        <f t="shared" si="152"/>
        <v>203</v>
      </c>
      <c r="CM65" s="425">
        <f t="shared" si="152"/>
        <v>203</v>
      </c>
      <c r="CN65" s="425">
        <f t="shared" si="152"/>
        <v>203</v>
      </c>
      <c r="CO65" s="425">
        <f t="shared" si="152"/>
        <v>203</v>
      </c>
      <c r="CP65" s="425">
        <f t="shared" si="153"/>
        <v>203</v>
      </c>
      <c r="CQ65" s="425">
        <f t="shared" si="153"/>
        <v>203</v>
      </c>
      <c r="CR65" s="425">
        <f t="shared" si="153"/>
        <v>203</v>
      </c>
      <c r="CS65" s="425">
        <f t="shared" si="153"/>
        <v>203</v>
      </c>
      <c r="CT65" s="425">
        <f t="shared" si="153"/>
        <v>203</v>
      </c>
      <c r="CU65" s="425">
        <f t="shared" si="153"/>
        <v>203</v>
      </c>
      <c r="CY65" s="425">
        <f>'A-55 TrackInv'!$C$199</f>
        <v>0</v>
      </c>
      <c r="CZ65" s="425" t="str">
        <f>Valid!$B$86</f>
        <v>Grade Crossings</v>
      </c>
      <c r="DA65" s="425">
        <f t="shared" si="159"/>
        <v>199</v>
      </c>
      <c r="DB65" s="1283">
        <f>DB64+$DB$7</f>
        <v>221</v>
      </c>
      <c r="DC65" s="425">
        <f t="shared" si="143"/>
        <v>221</v>
      </c>
      <c r="DD65" s="425">
        <f t="shared" si="143"/>
        <v>221</v>
      </c>
      <c r="DE65" s="425">
        <f t="shared" si="143"/>
        <v>221</v>
      </c>
      <c r="DF65" s="425">
        <f t="shared" si="143"/>
        <v>221</v>
      </c>
      <c r="DJ65" s="380" t="s">
        <v>796</v>
      </c>
      <c r="DK65" s="425">
        <f t="shared" si="67"/>
        <v>109</v>
      </c>
      <c r="DL65" s="425">
        <f t="shared" ref="DL65:DS65" si="165">DK65</f>
        <v>109</v>
      </c>
      <c r="DM65" s="425">
        <f t="shared" si="165"/>
        <v>109</v>
      </c>
      <c r="DN65" s="425">
        <f t="shared" si="165"/>
        <v>109</v>
      </c>
      <c r="DO65" s="425">
        <f t="shared" si="165"/>
        <v>109</v>
      </c>
      <c r="DP65" s="425">
        <f t="shared" si="165"/>
        <v>109</v>
      </c>
      <c r="DQ65" s="425">
        <f t="shared" si="165"/>
        <v>109</v>
      </c>
      <c r="DR65" s="425">
        <f t="shared" si="165"/>
        <v>109</v>
      </c>
      <c r="DS65" s="425">
        <f t="shared" si="165"/>
        <v>109</v>
      </c>
      <c r="DU65" s="380" t="s">
        <v>796</v>
      </c>
      <c r="DV65" s="425">
        <f t="shared" si="66"/>
        <v>109</v>
      </c>
      <c r="DW65" s="425">
        <f t="shared" si="94"/>
        <v>109</v>
      </c>
      <c r="DX65" s="425">
        <f t="shared" si="95"/>
        <v>109</v>
      </c>
      <c r="DY65" s="425">
        <f t="shared" si="96"/>
        <v>109</v>
      </c>
      <c r="DZ65" s="425">
        <f t="shared" si="97"/>
        <v>109</v>
      </c>
      <c r="EA65" s="425">
        <f t="shared" si="98"/>
        <v>109</v>
      </c>
      <c r="EB65" s="425">
        <f t="shared" si="99"/>
        <v>109</v>
      </c>
      <c r="EC65" s="425">
        <f t="shared" si="100"/>
        <v>109</v>
      </c>
      <c r="ED65" s="425">
        <f t="shared" si="101"/>
        <v>109</v>
      </c>
      <c r="EE65" s="425">
        <f t="shared" si="102"/>
        <v>109</v>
      </c>
      <c r="EF65" s="425">
        <f t="shared" si="103"/>
        <v>109</v>
      </c>
      <c r="EG65" s="425">
        <f t="shared" si="104"/>
        <v>109</v>
      </c>
      <c r="EH65" s="425">
        <f t="shared" si="105"/>
        <v>109</v>
      </c>
      <c r="EI65" s="425">
        <f t="shared" si="106"/>
        <v>109</v>
      </c>
      <c r="EJ65" s="425">
        <f t="shared" si="107"/>
        <v>109</v>
      </c>
      <c r="EK65" s="425">
        <f t="shared" si="78"/>
        <v>109</v>
      </c>
      <c r="EL65" s="425">
        <f t="shared" si="79"/>
        <v>109</v>
      </c>
      <c r="EM65" s="425">
        <f t="shared" si="80"/>
        <v>109</v>
      </c>
      <c r="EN65" s="425">
        <f t="shared" si="81"/>
        <v>109</v>
      </c>
      <c r="EO65" s="425">
        <f t="shared" si="82"/>
        <v>109</v>
      </c>
      <c r="EP65" s="425">
        <f t="shared" si="83"/>
        <v>109</v>
      </c>
      <c r="EQ65" s="425">
        <f t="shared" si="84"/>
        <v>109</v>
      </c>
      <c r="ER65" s="425">
        <f t="shared" si="85"/>
        <v>109</v>
      </c>
      <c r="ES65" s="425">
        <f t="shared" si="86"/>
        <v>109</v>
      </c>
      <c r="ET65" s="425">
        <f t="shared" si="87"/>
        <v>109</v>
      </c>
      <c r="EU65" s="425">
        <f t="shared" si="88"/>
        <v>109</v>
      </c>
      <c r="EV65" s="425">
        <f t="shared" si="88"/>
        <v>109</v>
      </c>
      <c r="EW65" s="425">
        <f t="shared" si="89"/>
        <v>109</v>
      </c>
      <c r="EX65" s="425">
        <f t="shared" si="90"/>
        <v>109</v>
      </c>
      <c r="EY65" s="425">
        <f t="shared" si="91"/>
        <v>109</v>
      </c>
      <c r="EZ65" s="425">
        <f t="shared" si="92"/>
        <v>109</v>
      </c>
    </row>
    <row r="66" spans="2:156" x14ac:dyDescent="0.2">
      <c r="AP66" s="380" t="s">
        <v>691</v>
      </c>
      <c r="AQ66" s="406">
        <f t="shared" si="41"/>
        <v>111</v>
      </c>
      <c r="AR66" s="406">
        <f t="shared" si="41"/>
        <v>111</v>
      </c>
      <c r="AS66" s="380">
        <f t="shared" si="42"/>
        <v>111</v>
      </c>
      <c r="AT66" s="380">
        <f t="shared" si="43"/>
        <v>111</v>
      </c>
      <c r="AU66" s="380">
        <f t="shared" si="44"/>
        <v>111</v>
      </c>
      <c r="AV66" s="380">
        <f t="shared" si="45"/>
        <v>111</v>
      </c>
      <c r="AW66" s="380">
        <f t="shared" si="46"/>
        <v>111</v>
      </c>
      <c r="AX66" s="380">
        <f t="shared" si="47"/>
        <v>111</v>
      </c>
      <c r="AY66" s="380">
        <f t="shared" si="48"/>
        <v>111</v>
      </c>
      <c r="AZ66" s="380">
        <f t="shared" si="49"/>
        <v>111</v>
      </c>
      <c r="BA66" s="380">
        <f t="shared" si="50"/>
        <v>111</v>
      </c>
      <c r="BB66" s="380">
        <f t="shared" si="51"/>
        <v>111</v>
      </c>
      <c r="BC66" s="380">
        <f t="shared" si="52"/>
        <v>111</v>
      </c>
      <c r="BD66" s="407">
        <f t="shared" si="52"/>
        <v>111</v>
      </c>
      <c r="BG66" s="380" t="s">
        <v>691</v>
      </c>
      <c r="BH66" s="406">
        <f t="shared" si="53"/>
        <v>111</v>
      </c>
      <c r="BI66" s="406">
        <f t="shared" si="53"/>
        <v>111</v>
      </c>
      <c r="BJ66" s="380">
        <f t="shared" si="54"/>
        <v>111</v>
      </c>
      <c r="BK66" s="380">
        <f t="shared" si="55"/>
        <v>111</v>
      </c>
      <c r="BL66" s="380">
        <f t="shared" si="56"/>
        <v>111</v>
      </c>
      <c r="BM66" s="380">
        <f t="shared" si="57"/>
        <v>111</v>
      </c>
      <c r="BN66" s="380">
        <f t="shared" si="57"/>
        <v>111</v>
      </c>
      <c r="BO66" s="380">
        <f t="shared" si="145"/>
        <v>111</v>
      </c>
      <c r="BP66" s="380">
        <f t="shared" si="59"/>
        <v>111</v>
      </c>
      <c r="BQ66" s="380">
        <f t="shared" si="60"/>
        <v>111</v>
      </c>
      <c r="BR66" s="380">
        <f t="shared" si="61"/>
        <v>111</v>
      </c>
      <c r="BS66" s="380">
        <f t="shared" si="62"/>
        <v>111</v>
      </c>
      <c r="BT66" s="380">
        <f t="shared" si="62"/>
        <v>111</v>
      </c>
      <c r="BU66" s="380">
        <f t="shared" si="63"/>
        <v>111</v>
      </c>
      <c r="BV66" s="380">
        <f t="shared" si="64"/>
        <v>111</v>
      </c>
      <c r="BW66" s="380">
        <f t="shared" si="65"/>
        <v>111</v>
      </c>
      <c r="BX66" s="407">
        <f t="shared" si="142"/>
        <v>111</v>
      </c>
      <c r="CA66" s="448"/>
      <c r="CB66" s="425">
        <f>'A-50 FGRailInv'!$C$69</f>
        <v>0</v>
      </c>
      <c r="CC66" s="425" t="str">
        <f>Valid!$B$78</f>
        <v>Below-Grade/Bored or Blasted Tunnel</v>
      </c>
      <c r="CD66" s="425">
        <f>CD59</f>
        <v>181</v>
      </c>
      <c r="CE66" s="446">
        <f t="shared" si="158"/>
        <v>206</v>
      </c>
      <c r="CF66" s="446">
        <f t="shared" si="29"/>
        <v>206</v>
      </c>
      <c r="CG66" s="425">
        <f t="shared" ref="CG66:CO75" si="166">$CE66</f>
        <v>206</v>
      </c>
      <c r="CH66" s="425">
        <f t="shared" si="166"/>
        <v>206</v>
      </c>
      <c r="CI66" s="425">
        <f t="shared" si="166"/>
        <v>206</v>
      </c>
      <c r="CJ66" s="425">
        <f t="shared" si="166"/>
        <v>206</v>
      </c>
      <c r="CK66" s="425">
        <f t="shared" si="166"/>
        <v>206</v>
      </c>
      <c r="CL66" s="425">
        <f t="shared" si="166"/>
        <v>206</v>
      </c>
      <c r="CM66" s="425">
        <f t="shared" si="166"/>
        <v>206</v>
      </c>
      <c r="CN66" s="425">
        <f t="shared" si="166"/>
        <v>206</v>
      </c>
      <c r="CO66" s="425">
        <f t="shared" si="166"/>
        <v>206</v>
      </c>
      <c r="CP66" s="425">
        <f t="shared" ref="CP66:CU75" si="167">$CE66</f>
        <v>206</v>
      </c>
      <c r="CQ66" s="425">
        <f t="shared" si="167"/>
        <v>206</v>
      </c>
      <c r="CR66" s="425">
        <f t="shared" si="167"/>
        <v>206</v>
      </c>
      <c r="CS66" s="425">
        <f t="shared" si="167"/>
        <v>206</v>
      </c>
      <c r="CT66" s="425">
        <f t="shared" si="167"/>
        <v>206</v>
      </c>
      <c r="CU66" s="425">
        <f t="shared" si="167"/>
        <v>206</v>
      </c>
      <c r="CX66" s="380">
        <f>CX59+1</f>
        <v>8</v>
      </c>
      <c r="CY66" s="425">
        <f>'A-55 TrackInv'!$C$230</f>
        <v>0</v>
      </c>
      <c r="CZ66" s="425" t="str">
        <f>Valid!$B$80</f>
        <v>Tangent</v>
      </c>
      <c r="DA66" s="425">
        <f>DA60+$DA$7</f>
        <v>230</v>
      </c>
      <c r="DB66" s="1283">
        <f>DB65+$DB$9</f>
        <v>236</v>
      </c>
      <c r="DC66" s="425">
        <f t="shared" ref="DC66:DF81" si="168">$DB66</f>
        <v>236</v>
      </c>
      <c r="DD66" s="425">
        <f t="shared" si="168"/>
        <v>236</v>
      </c>
      <c r="DE66" s="425">
        <f t="shared" si="168"/>
        <v>236</v>
      </c>
      <c r="DF66" s="425">
        <f t="shared" si="168"/>
        <v>236</v>
      </c>
      <c r="DJ66" s="380" t="s">
        <v>797</v>
      </c>
      <c r="DK66" s="425">
        <f t="shared" si="67"/>
        <v>111</v>
      </c>
      <c r="DL66" s="425">
        <f t="shared" ref="DL66:DS66" si="169">DK66</f>
        <v>111</v>
      </c>
      <c r="DM66" s="425">
        <f t="shared" si="169"/>
        <v>111</v>
      </c>
      <c r="DN66" s="425">
        <f t="shared" si="169"/>
        <v>111</v>
      </c>
      <c r="DO66" s="425">
        <f t="shared" si="169"/>
        <v>111</v>
      </c>
      <c r="DP66" s="425">
        <f t="shared" si="169"/>
        <v>111</v>
      </c>
      <c r="DQ66" s="425">
        <f t="shared" si="169"/>
        <v>111</v>
      </c>
      <c r="DR66" s="425">
        <f t="shared" si="169"/>
        <v>111</v>
      </c>
      <c r="DS66" s="425">
        <f t="shared" si="169"/>
        <v>111</v>
      </c>
      <c r="DU66" s="380" t="s">
        <v>797</v>
      </c>
      <c r="DV66" s="425">
        <f t="shared" si="66"/>
        <v>111</v>
      </c>
      <c r="DW66" s="425">
        <f t="shared" si="94"/>
        <v>111</v>
      </c>
      <c r="DX66" s="425">
        <f t="shared" si="95"/>
        <v>111</v>
      </c>
      <c r="DY66" s="425">
        <f t="shared" si="96"/>
        <v>111</v>
      </c>
      <c r="DZ66" s="425">
        <f t="shared" si="97"/>
        <v>111</v>
      </c>
      <c r="EA66" s="425">
        <f t="shared" si="98"/>
        <v>111</v>
      </c>
      <c r="EB66" s="425">
        <f t="shared" si="99"/>
        <v>111</v>
      </c>
      <c r="EC66" s="425">
        <f t="shared" si="100"/>
        <v>111</v>
      </c>
      <c r="ED66" s="425">
        <f t="shared" si="101"/>
        <v>111</v>
      </c>
      <c r="EE66" s="425">
        <f t="shared" si="102"/>
        <v>111</v>
      </c>
      <c r="EF66" s="425">
        <f t="shared" si="103"/>
        <v>111</v>
      </c>
      <c r="EG66" s="425">
        <f t="shared" si="104"/>
        <v>111</v>
      </c>
      <c r="EH66" s="425">
        <f t="shared" si="105"/>
        <v>111</v>
      </c>
      <c r="EI66" s="425">
        <f t="shared" si="106"/>
        <v>111</v>
      </c>
      <c r="EJ66" s="425">
        <f t="shared" si="107"/>
        <v>111</v>
      </c>
      <c r="EK66" s="425">
        <f t="shared" si="78"/>
        <v>111</v>
      </c>
      <c r="EL66" s="425">
        <f t="shared" si="79"/>
        <v>111</v>
      </c>
      <c r="EM66" s="425">
        <f t="shared" si="80"/>
        <v>111</v>
      </c>
      <c r="EN66" s="425">
        <f t="shared" si="81"/>
        <v>111</v>
      </c>
      <c r="EO66" s="425">
        <f t="shared" si="82"/>
        <v>111</v>
      </c>
      <c r="EP66" s="425">
        <f t="shared" si="83"/>
        <v>111</v>
      </c>
      <c r="EQ66" s="425">
        <f t="shared" si="84"/>
        <v>111</v>
      </c>
      <c r="ER66" s="425">
        <f t="shared" si="85"/>
        <v>111</v>
      </c>
      <c r="ES66" s="425">
        <f t="shared" si="86"/>
        <v>111</v>
      </c>
      <c r="ET66" s="425">
        <f t="shared" si="87"/>
        <v>111</v>
      </c>
      <c r="EU66" s="425">
        <f t="shared" si="88"/>
        <v>111</v>
      </c>
      <c r="EV66" s="425">
        <f t="shared" si="88"/>
        <v>111</v>
      </c>
      <c r="EW66" s="425">
        <f t="shared" si="89"/>
        <v>111</v>
      </c>
      <c r="EX66" s="425">
        <f t="shared" si="90"/>
        <v>111</v>
      </c>
      <c r="EY66" s="425">
        <f t="shared" si="91"/>
        <v>111</v>
      </c>
      <c r="EZ66" s="425">
        <f t="shared" si="92"/>
        <v>111</v>
      </c>
    </row>
    <row r="67" spans="2:156" x14ac:dyDescent="0.2">
      <c r="AP67" s="380" t="s">
        <v>692</v>
      </c>
      <c r="AQ67" s="406">
        <f t="shared" si="41"/>
        <v>113</v>
      </c>
      <c r="AR67" s="406">
        <f t="shared" si="41"/>
        <v>113</v>
      </c>
      <c r="AS67" s="380">
        <f t="shared" si="42"/>
        <v>113</v>
      </c>
      <c r="AT67" s="380">
        <f t="shared" si="43"/>
        <v>113</v>
      </c>
      <c r="AU67" s="380">
        <f t="shared" si="44"/>
        <v>113</v>
      </c>
      <c r="AV67" s="380">
        <f t="shared" si="45"/>
        <v>113</v>
      </c>
      <c r="AW67" s="380">
        <f t="shared" si="46"/>
        <v>113</v>
      </c>
      <c r="AX67" s="380">
        <f t="shared" si="47"/>
        <v>113</v>
      </c>
      <c r="AY67" s="380">
        <f t="shared" si="48"/>
        <v>113</v>
      </c>
      <c r="AZ67" s="380">
        <f t="shared" si="49"/>
        <v>113</v>
      </c>
      <c r="BA67" s="380">
        <f t="shared" si="50"/>
        <v>113</v>
      </c>
      <c r="BB67" s="380">
        <f t="shared" si="51"/>
        <v>113</v>
      </c>
      <c r="BC67" s="380">
        <f t="shared" si="52"/>
        <v>113</v>
      </c>
      <c r="BD67" s="407">
        <f t="shared" si="52"/>
        <v>113</v>
      </c>
      <c r="BG67" s="380" t="s">
        <v>692</v>
      </c>
      <c r="BH67" s="406">
        <f t="shared" si="53"/>
        <v>113</v>
      </c>
      <c r="BI67" s="406">
        <f t="shared" si="53"/>
        <v>113</v>
      </c>
      <c r="BJ67" s="380">
        <f t="shared" si="54"/>
        <v>113</v>
      </c>
      <c r="BK67" s="380">
        <f t="shared" si="55"/>
        <v>113</v>
      </c>
      <c r="BL67" s="380">
        <f t="shared" si="56"/>
        <v>113</v>
      </c>
      <c r="BM67" s="380">
        <f t="shared" si="57"/>
        <v>113</v>
      </c>
      <c r="BN67" s="380">
        <f t="shared" si="57"/>
        <v>113</v>
      </c>
      <c r="BO67" s="380">
        <f t="shared" si="145"/>
        <v>113</v>
      </c>
      <c r="BP67" s="380">
        <f t="shared" si="59"/>
        <v>113</v>
      </c>
      <c r="BQ67" s="380">
        <f t="shared" si="60"/>
        <v>113</v>
      </c>
      <c r="BR67" s="380">
        <f t="shared" si="61"/>
        <v>113</v>
      </c>
      <c r="BS67" s="380">
        <f t="shared" si="62"/>
        <v>113</v>
      </c>
      <c r="BT67" s="380">
        <f t="shared" si="62"/>
        <v>113</v>
      </c>
      <c r="BU67" s="380">
        <f t="shared" si="63"/>
        <v>113</v>
      </c>
      <c r="BV67" s="380">
        <f t="shared" si="64"/>
        <v>113</v>
      </c>
      <c r="BW67" s="380">
        <f t="shared" si="65"/>
        <v>113</v>
      </c>
      <c r="BX67" s="407">
        <f t="shared" si="142"/>
        <v>113</v>
      </c>
      <c r="CA67" s="448"/>
      <c r="CB67" s="425">
        <f>'A-50 FGRailInv'!$C$69</f>
        <v>0</v>
      </c>
      <c r="CC67" s="425" t="str">
        <f>Valid!$B$79</f>
        <v>Below-Grade/Submerged Tube</v>
      </c>
      <c r="CD67" s="425">
        <f>CD59</f>
        <v>181</v>
      </c>
      <c r="CE67" s="1199">
        <f t="shared" si="158"/>
        <v>209</v>
      </c>
      <c r="CF67" s="446">
        <f t="shared" si="29"/>
        <v>209</v>
      </c>
      <c r="CG67" s="425">
        <f t="shared" si="166"/>
        <v>209</v>
      </c>
      <c r="CH67" s="425">
        <f t="shared" si="166"/>
        <v>209</v>
      </c>
      <c r="CI67" s="425">
        <f t="shared" si="166"/>
        <v>209</v>
      </c>
      <c r="CJ67" s="425">
        <f t="shared" si="166"/>
        <v>209</v>
      </c>
      <c r="CK67" s="425">
        <f t="shared" si="166"/>
        <v>209</v>
      </c>
      <c r="CL67" s="425">
        <f t="shared" si="166"/>
        <v>209</v>
      </c>
      <c r="CM67" s="425">
        <f t="shared" si="166"/>
        <v>209</v>
      </c>
      <c r="CN67" s="425">
        <f t="shared" si="166"/>
        <v>209</v>
      </c>
      <c r="CO67" s="425">
        <f t="shared" si="166"/>
        <v>209</v>
      </c>
      <c r="CP67" s="425">
        <f t="shared" si="167"/>
        <v>209</v>
      </c>
      <c r="CQ67" s="425">
        <f t="shared" si="167"/>
        <v>209</v>
      </c>
      <c r="CR67" s="425">
        <f t="shared" si="167"/>
        <v>209</v>
      </c>
      <c r="CS67" s="425">
        <f t="shared" si="167"/>
        <v>209</v>
      </c>
      <c r="CT67" s="425">
        <f t="shared" si="167"/>
        <v>209</v>
      </c>
      <c r="CU67" s="425">
        <f t="shared" si="167"/>
        <v>209</v>
      </c>
      <c r="CY67" s="425">
        <f>'A-55 TrackInv'!$C$230</f>
        <v>0</v>
      </c>
      <c r="CZ67" s="425" t="str">
        <f>Valid!$B$81</f>
        <v>Curve</v>
      </c>
      <c r="DA67" s="425">
        <f t="shared" ref="DA67:DA72" si="170">DA60+$DA$7</f>
        <v>230</v>
      </c>
      <c r="DB67" s="1283">
        <f>DB66+$DB$7</f>
        <v>238</v>
      </c>
      <c r="DC67" s="425">
        <f t="shared" si="168"/>
        <v>238</v>
      </c>
      <c r="DD67" s="425">
        <f t="shared" si="168"/>
        <v>238</v>
      </c>
      <c r="DE67" s="425">
        <f t="shared" si="168"/>
        <v>238</v>
      </c>
      <c r="DF67" s="425">
        <f t="shared" si="168"/>
        <v>238</v>
      </c>
      <c r="DJ67" s="380" t="s">
        <v>798</v>
      </c>
      <c r="DK67" s="425">
        <f t="shared" si="67"/>
        <v>113</v>
      </c>
      <c r="DL67" s="425">
        <f t="shared" ref="DL67:DS67" si="171">DK67</f>
        <v>113</v>
      </c>
      <c r="DM67" s="425">
        <f t="shared" si="171"/>
        <v>113</v>
      </c>
      <c r="DN67" s="425">
        <f t="shared" si="171"/>
        <v>113</v>
      </c>
      <c r="DO67" s="425">
        <f t="shared" si="171"/>
        <v>113</v>
      </c>
      <c r="DP67" s="425">
        <f t="shared" si="171"/>
        <v>113</v>
      </c>
      <c r="DQ67" s="425">
        <f t="shared" si="171"/>
        <v>113</v>
      </c>
      <c r="DR67" s="425">
        <f t="shared" si="171"/>
        <v>113</v>
      </c>
      <c r="DS67" s="425">
        <f t="shared" si="171"/>
        <v>113</v>
      </c>
      <c r="DU67" s="380" t="s">
        <v>798</v>
      </c>
      <c r="DV67" s="425">
        <f t="shared" si="66"/>
        <v>113</v>
      </c>
      <c r="DW67" s="425">
        <f t="shared" si="94"/>
        <v>113</v>
      </c>
      <c r="DX67" s="425">
        <f t="shared" si="95"/>
        <v>113</v>
      </c>
      <c r="DY67" s="425">
        <f t="shared" si="96"/>
        <v>113</v>
      </c>
      <c r="DZ67" s="425">
        <f t="shared" si="97"/>
        <v>113</v>
      </c>
      <c r="EA67" s="425">
        <f t="shared" si="98"/>
        <v>113</v>
      </c>
      <c r="EB67" s="425">
        <f t="shared" si="99"/>
        <v>113</v>
      </c>
      <c r="EC67" s="425">
        <f t="shared" si="100"/>
        <v>113</v>
      </c>
      <c r="ED67" s="425">
        <f t="shared" si="101"/>
        <v>113</v>
      </c>
      <c r="EE67" s="425">
        <f t="shared" si="102"/>
        <v>113</v>
      </c>
      <c r="EF67" s="425">
        <f t="shared" si="103"/>
        <v>113</v>
      </c>
      <c r="EG67" s="425">
        <f t="shared" si="104"/>
        <v>113</v>
      </c>
      <c r="EH67" s="425">
        <f t="shared" si="105"/>
        <v>113</v>
      </c>
      <c r="EI67" s="425">
        <f t="shared" si="106"/>
        <v>113</v>
      </c>
      <c r="EJ67" s="425">
        <f t="shared" si="107"/>
        <v>113</v>
      </c>
      <c r="EK67" s="425">
        <f t="shared" si="78"/>
        <v>113</v>
      </c>
      <c r="EL67" s="425">
        <f t="shared" si="79"/>
        <v>113</v>
      </c>
      <c r="EM67" s="425">
        <f t="shared" si="80"/>
        <v>113</v>
      </c>
      <c r="EN67" s="425">
        <f t="shared" si="81"/>
        <v>113</v>
      </c>
      <c r="EO67" s="425">
        <f t="shared" si="82"/>
        <v>113</v>
      </c>
      <c r="EP67" s="425">
        <f t="shared" si="83"/>
        <v>113</v>
      </c>
      <c r="EQ67" s="425">
        <f t="shared" si="84"/>
        <v>113</v>
      </c>
      <c r="ER67" s="425">
        <f t="shared" si="85"/>
        <v>113</v>
      </c>
      <c r="ES67" s="425">
        <f t="shared" si="86"/>
        <v>113</v>
      </c>
      <c r="ET67" s="425">
        <f t="shared" si="87"/>
        <v>113</v>
      </c>
      <c r="EU67" s="425">
        <f t="shared" si="88"/>
        <v>113</v>
      </c>
      <c r="EV67" s="425">
        <f t="shared" si="88"/>
        <v>113</v>
      </c>
      <c r="EW67" s="425">
        <f t="shared" si="89"/>
        <v>113</v>
      </c>
      <c r="EX67" s="425">
        <f t="shared" si="90"/>
        <v>113</v>
      </c>
      <c r="EY67" s="425">
        <f t="shared" si="91"/>
        <v>113</v>
      </c>
      <c r="EZ67" s="425">
        <f t="shared" si="92"/>
        <v>113</v>
      </c>
    </row>
    <row r="68" spans="2:156" x14ac:dyDescent="0.2">
      <c r="AP68" s="380" t="s">
        <v>693</v>
      </c>
      <c r="AQ68" s="406">
        <f t="shared" si="41"/>
        <v>115</v>
      </c>
      <c r="AR68" s="406">
        <f t="shared" si="41"/>
        <v>115</v>
      </c>
      <c r="AS68" s="380">
        <f t="shared" si="42"/>
        <v>115</v>
      </c>
      <c r="AT68" s="380">
        <f t="shared" si="43"/>
        <v>115</v>
      </c>
      <c r="AU68" s="380">
        <f t="shared" si="44"/>
        <v>115</v>
      </c>
      <c r="AV68" s="380">
        <f t="shared" si="45"/>
        <v>115</v>
      </c>
      <c r="AW68" s="380">
        <f t="shared" si="46"/>
        <v>115</v>
      </c>
      <c r="AX68" s="380">
        <f t="shared" si="47"/>
        <v>115</v>
      </c>
      <c r="AY68" s="380">
        <f t="shared" si="48"/>
        <v>115</v>
      </c>
      <c r="AZ68" s="380">
        <f t="shared" si="49"/>
        <v>115</v>
      </c>
      <c r="BA68" s="380">
        <f t="shared" si="50"/>
        <v>115</v>
      </c>
      <c r="BB68" s="380">
        <f t="shared" si="51"/>
        <v>115</v>
      </c>
      <c r="BC68" s="380">
        <f t="shared" si="52"/>
        <v>115</v>
      </c>
      <c r="BD68" s="407">
        <f t="shared" si="52"/>
        <v>115</v>
      </c>
      <c r="BG68" s="380" t="s">
        <v>693</v>
      </c>
      <c r="BH68" s="406">
        <f t="shared" si="53"/>
        <v>115</v>
      </c>
      <c r="BI68" s="406">
        <f t="shared" si="53"/>
        <v>115</v>
      </c>
      <c r="BJ68" s="380">
        <f t="shared" si="54"/>
        <v>115</v>
      </c>
      <c r="BK68" s="380">
        <f t="shared" si="55"/>
        <v>115</v>
      </c>
      <c r="BL68" s="380">
        <f t="shared" si="56"/>
        <v>115</v>
      </c>
      <c r="BM68" s="380">
        <f t="shared" si="57"/>
        <v>115</v>
      </c>
      <c r="BN68" s="380">
        <f t="shared" si="57"/>
        <v>115</v>
      </c>
      <c r="BO68" s="380">
        <f t="shared" si="145"/>
        <v>115</v>
      </c>
      <c r="BP68" s="380">
        <f t="shared" si="59"/>
        <v>115</v>
      </c>
      <c r="BQ68" s="380">
        <f t="shared" si="60"/>
        <v>115</v>
      </c>
      <c r="BR68" s="380">
        <f t="shared" si="61"/>
        <v>115</v>
      </c>
      <c r="BS68" s="380">
        <f t="shared" si="62"/>
        <v>115</v>
      </c>
      <c r="BT68" s="380">
        <f t="shared" si="62"/>
        <v>115</v>
      </c>
      <c r="BU68" s="380">
        <f t="shared" si="63"/>
        <v>115</v>
      </c>
      <c r="BV68" s="380">
        <f t="shared" si="64"/>
        <v>115</v>
      </c>
      <c r="BW68" s="380">
        <f t="shared" si="65"/>
        <v>115</v>
      </c>
      <c r="BX68" s="407">
        <f t="shared" si="142"/>
        <v>115</v>
      </c>
      <c r="CA68" s="448"/>
      <c r="CB68" s="425">
        <f>'A-50 FGRailInv'!$C$69</f>
        <v>0</v>
      </c>
      <c r="CC68" s="425" t="str">
        <f>Valid!$B$87</f>
        <v>Substation Building</v>
      </c>
      <c r="CD68" s="425">
        <f>CD59</f>
        <v>181</v>
      </c>
      <c r="CE68" s="1199">
        <f>CE67+$CE$8</f>
        <v>214</v>
      </c>
      <c r="CF68" s="446">
        <f t="shared" si="29"/>
        <v>214</v>
      </c>
      <c r="CG68" s="425">
        <f t="shared" si="166"/>
        <v>214</v>
      </c>
      <c r="CH68" s="425">
        <f t="shared" si="166"/>
        <v>214</v>
      </c>
      <c r="CI68" s="425">
        <f t="shared" si="166"/>
        <v>214</v>
      </c>
      <c r="CJ68" s="425">
        <f t="shared" si="166"/>
        <v>214</v>
      </c>
      <c r="CK68" s="425">
        <f t="shared" si="166"/>
        <v>214</v>
      </c>
      <c r="CL68" s="425">
        <f t="shared" si="166"/>
        <v>214</v>
      </c>
      <c r="CM68" s="425">
        <f t="shared" si="166"/>
        <v>214</v>
      </c>
      <c r="CN68" s="425">
        <f t="shared" si="166"/>
        <v>214</v>
      </c>
      <c r="CO68" s="425">
        <f t="shared" si="166"/>
        <v>214</v>
      </c>
      <c r="CP68" s="425">
        <f t="shared" si="167"/>
        <v>214</v>
      </c>
      <c r="CQ68" s="425">
        <f t="shared" si="167"/>
        <v>214</v>
      </c>
      <c r="CR68" s="425">
        <f t="shared" si="167"/>
        <v>214</v>
      </c>
      <c r="CS68" s="425">
        <f t="shared" si="167"/>
        <v>214</v>
      </c>
      <c r="CT68" s="425">
        <f t="shared" si="167"/>
        <v>214</v>
      </c>
      <c r="CU68" s="425">
        <f t="shared" si="167"/>
        <v>214</v>
      </c>
      <c r="CY68" s="425">
        <f>'A-55 TrackInv'!$C$230</f>
        <v>0</v>
      </c>
      <c r="CZ68" s="425" t="str">
        <f>Valid!$B$82</f>
        <v>Double Diamond Crossover</v>
      </c>
      <c r="DA68" s="425">
        <f t="shared" si="170"/>
        <v>230</v>
      </c>
      <c r="DB68" s="1283">
        <f>DB67+DB8</f>
        <v>244</v>
      </c>
      <c r="DC68" s="425">
        <f t="shared" si="168"/>
        <v>244</v>
      </c>
      <c r="DD68" s="425">
        <f t="shared" si="168"/>
        <v>244</v>
      </c>
      <c r="DE68" s="425">
        <f t="shared" si="168"/>
        <v>244</v>
      </c>
      <c r="DF68" s="425">
        <f t="shared" si="168"/>
        <v>244</v>
      </c>
      <c r="DJ68" s="380" t="s">
        <v>799</v>
      </c>
      <c r="DK68" s="425">
        <f t="shared" si="67"/>
        <v>115</v>
      </c>
      <c r="DL68" s="425">
        <f t="shared" ref="DL68:DS68" si="172">DK68</f>
        <v>115</v>
      </c>
      <c r="DM68" s="425">
        <f t="shared" si="172"/>
        <v>115</v>
      </c>
      <c r="DN68" s="425">
        <f t="shared" si="172"/>
        <v>115</v>
      </c>
      <c r="DO68" s="425">
        <f t="shared" si="172"/>
        <v>115</v>
      </c>
      <c r="DP68" s="425">
        <f t="shared" si="172"/>
        <v>115</v>
      </c>
      <c r="DQ68" s="425">
        <f t="shared" si="172"/>
        <v>115</v>
      </c>
      <c r="DR68" s="425">
        <f t="shared" si="172"/>
        <v>115</v>
      </c>
      <c r="DS68" s="425">
        <f t="shared" si="172"/>
        <v>115</v>
      </c>
      <c r="DU68" s="380" t="s">
        <v>799</v>
      </c>
      <c r="DV68" s="425">
        <f t="shared" si="66"/>
        <v>115</v>
      </c>
      <c r="DW68" s="425">
        <f t="shared" si="94"/>
        <v>115</v>
      </c>
      <c r="DX68" s="425">
        <f t="shared" si="95"/>
        <v>115</v>
      </c>
      <c r="DY68" s="425">
        <f t="shared" si="96"/>
        <v>115</v>
      </c>
      <c r="DZ68" s="425">
        <f t="shared" si="97"/>
        <v>115</v>
      </c>
      <c r="EA68" s="425">
        <f t="shared" si="98"/>
        <v>115</v>
      </c>
      <c r="EB68" s="425">
        <f t="shared" si="99"/>
        <v>115</v>
      </c>
      <c r="EC68" s="425">
        <f t="shared" si="100"/>
        <v>115</v>
      </c>
      <c r="ED68" s="425">
        <f t="shared" si="101"/>
        <v>115</v>
      </c>
      <c r="EE68" s="425">
        <f t="shared" si="102"/>
        <v>115</v>
      </c>
      <c r="EF68" s="425">
        <f t="shared" si="103"/>
        <v>115</v>
      </c>
      <c r="EG68" s="425">
        <f t="shared" si="104"/>
        <v>115</v>
      </c>
      <c r="EH68" s="425">
        <f t="shared" si="105"/>
        <v>115</v>
      </c>
      <c r="EI68" s="425">
        <f t="shared" si="106"/>
        <v>115</v>
      </c>
      <c r="EJ68" s="425">
        <f t="shared" si="107"/>
        <v>115</v>
      </c>
      <c r="EK68" s="425">
        <f t="shared" si="78"/>
        <v>115</v>
      </c>
      <c r="EL68" s="425">
        <f t="shared" si="79"/>
        <v>115</v>
      </c>
      <c r="EM68" s="425">
        <f t="shared" si="80"/>
        <v>115</v>
      </c>
      <c r="EN68" s="425">
        <f t="shared" si="81"/>
        <v>115</v>
      </c>
      <c r="EO68" s="425">
        <f t="shared" si="82"/>
        <v>115</v>
      </c>
      <c r="EP68" s="425">
        <f t="shared" si="83"/>
        <v>115</v>
      </c>
      <c r="EQ68" s="425">
        <f t="shared" si="84"/>
        <v>115</v>
      </c>
      <c r="ER68" s="425">
        <f t="shared" si="85"/>
        <v>115</v>
      </c>
      <c r="ES68" s="425">
        <f t="shared" si="86"/>
        <v>115</v>
      </c>
      <c r="ET68" s="425">
        <f t="shared" si="87"/>
        <v>115</v>
      </c>
      <c r="EU68" s="425">
        <f t="shared" si="88"/>
        <v>115</v>
      </c>
      <c r="EV68" s="425">
        <f t="shared" si="88"/>
        <v>115</v>
      </c>
      <c r="EW68" s="425">
        <f t="shared" si="89"/>
        <v>115</v>
      </c>
      <c r="EX68" s="425">
        <f t="shared" si="90"/>
        <v>115</v>
      </c>
      <c r="EY68" s="425">
        <f t="shared" si="91"/>
        <v>115</v>
      </c>
      <c r="EZ68" s="425">
        <f t="shared" si="92"/>
        <v>115</v>
      </c>
    </row>
    <row r="69" spans="2:156" x14ac:dyDescent="0.2">
      <c r="AP69" s="380" t="s">
        <v>694</v>
      </c>
      <c r="AQ69" s="406">
        <f t="shared" si="41"/>
        <v>117</v>
      </c>
      <c r="AR69" s="406">
        <f t="shared" si="41"/>
        <v>117</v>
      </c>
      <c r="AS69" s="380">
        <f t="shared" si="42"/>
        <v>117</v>
      </c>
      <c r="AT69" s="380">
        <f t="shared" si="43"/>
        <v>117</v>
      </c>
      <c r="AU69" s="380">
        <f t="shared" si="44"/>
        <v>117</v>
      </c>
      <c r="AV69" s="380">
        <f t="shared" si="45"/>
        <v>117</v>
      </c>
      <c r="AW69" s="380">
        <f t="shared" si="46"/>
        <v>117</v>
      </c>
      <c r="AX69" s="380">
        <f t="shared" si="47"/>
        <v>117</v>
      </c>
      <c r="AY69" s="380">
        <f t="shared" si="48"/>
        <v>117</v>
      </c>
      <c r="AZ69" s="380">
        <f t="shared" si="49"/>
        <v>117</v>
      </c>
      <c r="BA69" s="380">
        <f t="shared" si="50"/>
        <v>117</v>
      </c>
      <c r="BB69" s="380">
        <f t="shared" si="51"/>
        <v>117</v>
      </c>
      <c r="BC69" s="380">
        <f t="shared" si="52"/>
        <v>117</v>
      </c>
      <c r="BD69" s="407">
        <f t="shared" si="52"/>
        <v>117</v>
      </c>
      <c r="BG69" s="380" t="s">
        <v>694</v>
      </c>
      <c r="BH69" s="406">
        <f t="shared" si="53"/>
        <v>117</v>
      </c>
      <c r="BI69" s="406">
        <f t="shared" si="53"/>
        <v>117</v>
      </c>
      <c r="BJ69" s="380">
        <f t="shared" si="54"/>
        <v>117</v>
      </c>
      <c r="BK69" s="380">
        <f t="shared" si="55"/>
        <v>117</v>
      </c>
      <c r="BL69" s="380">
        <f t="shared" si="56"/>
        <v>117</v>
      </c>
      <c r="BM69" s="380">
        <f t="shared" si="57"/>
        <v>117</v>
      </c>
      <c r="BN69" s="380">
        <f t="shared" si="57"/>
        <v>117</v>
      </c>
      <c r="BO69" s="380">
        <f t="shared" si="145"/>
        <v>117</v>
      </c>
      <c r="BP69" s="380">
        <f t="shared" si="59"/>
        <v>117</v>
      </c>
      <c r="BQ69" s="380">
        <f t="shared" si="60"/>
        <v>117</v>
      </c>
      <c r="BR69" s="380">
        <f t="shared" si="61"/>
        <v>117</v>
      </c>
      <c r="BS69" s="380">
        <f t="shared" si="62"/>
        <v>117</v>
      </c>
      <c r="BT69" s="380">
        <f t="shared" si="62"/>
        <v>117</v>
      </c>
      <c r="BU69" s="380">
        <f t="shared" si="63"/>
        <v>117</v>
      </c>
      <c r="BV69" s="380">
        <f t="shared" si="64"/>
        <v>117</v>
      </c>
      <c r="BW69" s="380">
        <f t="shared" si="65"/>
        <v>117</v>
      </c>
      <c r="BX69" s="407">
        <f t="shared" si="142"/>
        <v>117</v>
      </c>
      <c r="CA69" s="448"/>
      <c r="CB69" s="425">
        <f>'A-50 FGRailInv'!$C$69</f>
        <v>0</v>
      </c>
      <c r="CC69" s="425" t="str">
        <f>Valid!$B$88</f>
        <v>Substation Equipment</v>
      </c>
      <c r="CD69" s="425">
        <f>CD60</f>
        <v>181</v>
      </c>
      <c r="CE69" s="446">
        <f>CE68+$CE$7</f>
        <v>217</v>
      </c>
      <c r="CF69" s="446">
        <f t="shared" si="29"/>
        <v>217</v>
      </c>
      <c r="CG69" s="425">
        <f t="shared" si="166"/>
        <v>217</v>
      </c>
      <c r="CH69" s="425">
        <f t="shared" si="166"/>
        <v>217</v>
      </c>
      <c r="CI69" s="425">
        <f t="shared" si="166"/>
        <v>217</v>
      </c>
      <c r="CJ69" s="425">
        <f t="shared" si="166"/>
        <v>217</v>
      </c>
      <c r="CK69" s="425">
        <f t="shared" si="166"/>
        <v>217</v>
      </c>
      <c r="CL69" s="425">
        <f t="shared" si="166"/>
        <v>217</v>
      </c>
      <c r="CM69" s="425">
        <f t="shared" si="166"/>
        <v>217</v>
      </c>
      <c r="CN69" s="425">
        <f t="shared" si="166"/>
        <v>217</v>
      </c>
      <c r="CO69" s="425">
        <f t="shared" si="166"/>
        <v>217</v>
      </c>
      <c r="CP69" s="425">
        <f t="shared" si="167"/>
        <v>217</v>
      </c>
      <c r="CQ69" s="425">
        <f t="shared" si="167"/>
        <v>217</v>
      </c>
      <c r="CR69" s="425">
        <f t="shared" si="167"/>
        <v>217</v>
      </c>
      <c r="CS69" s="425">
        <f t="shared" si="167"/>
        <v>217</v>
      </c>
      <c r="CT69" s="425">
        <f t="shared" si="167"/>
        <v>217</v>
      </c>
      <c r="CU69" s="425">
        <f t="shared" si="167"/>
        <v>217</v>
      </c>
      <c r="CY69" s="425">
        <f>'A-55 TrackInv'!$C$230</f>
        <v>0</v>
      </c>
      <c r="CZ69" s="425" t="str">
        <f>Valid!$B$83</f>
        <v>Single Crossover</v>
      </c>
      <c r="DA69" s="425">
        <f t="shared" si="170"/>
        <v>230</v>
      </c>
      <c r="DB69" s="1283">
        <f>DB68+$DB$7</f>
        <v>246</v>
      </c>
      <c r="DC69" s="425">
        <f t="shared" si="168"/>
        <v>246</v>
      </c>
      <c r="DD69" s="425">
        <f t="shared" si="168"/>
        <v>246</v>
      </c>
      <c r="DE69" s="425">
        <f t="shared" si="168"/>
        <v>246</v>
      </c>
      <c r="DF69" s="425">
        <f t="shared" si="168"/>
        <v>246</v>
      </c>
      <c r="DJ69" s="380" t="s">
        <v>800</v>
      </c>
      <c r="DK69" s="425">
        <f t="shared" si="67"/>
        <v>117</v>
      </c>
      <c r="DL69" s="425">
        <f t="shared" ref="DL69:DS69" si="173">DK69</f>
        <v>117</v>
      </c>
      <c r="DM69" s="425">
        <f t="shared" si="173"/>
        <v>117</v>
      </c>
      <c r="DN69" s="425">
        <f t="shared" si="173"/>
        <v>117</v>
      </c>
      <c r="DO69" s="425">
        <f t="shared" si="173"/>
        <v>117</v>
      </c>
      <c r="DP69" s="425">
        <f t="shared" si="173"/>
        <v>117</v>
      </c>
      <c r="DQ69" s="425">
        <f t="shared" si="173"/>
        <v>117</v>
      </c>
      <c r="DR69" s="425">
        <f t="shared" si="173"/>
        <v>117</v>
      </c>
      <c r="DS69" s="425">
        <f t="shared" si="173"/>
        <v>117</v>
      </c>
      <c r="DU69" s="380" t="s">
        <v>800</v>
      </c>
      <c r="DV69" s="425">
        <f t="shared" si="66"/>
        <v>117</v>
      </c>
      <c r="DW69" s="425">
        <f t="shared" si="94"/>
        <v>117</v>
      </c>
      <c r="DX69" s="425">
        <f t="shared" si="95"/>
        <v>117</v>
      </c>
      <c r="DY69" s="425">
        <f t="shared" si="96"/>
        <v>117</v>
      </c>
      <c r="DZ69" s="425">
        <f t="shared" si="97"/>
        <v>117</v>
      </c>
      <c r="EA69" s="425">
        <f t="shared" si="98"/>
        <v>117</v>
      </c>
      <c r="EB69" s="425">
        <f t="shared" si="99"/>
        <v>117</v>
      </c>
      <c r="EC69" s="425">
        <f t="shared" si="100"/>
        <v>117</v>
      </c>
      <c r="ED69" s="425">
        <f t="shared" si="101"/>
        <v>117</v>
      </c>
      <c r="EE69" s="425">
        <f t="shared" si="102"/>
        <v>117</v>
      </c>
      <c r="EF69" s="425">
        <f t="shared" si="103"/>
        <v>117</v>
      </c>
      <c r="EG69" s="425">
        <f t="shared" si="104"/>
        <v>117</v>
      </c>
      <c r="EH69" s="425">
        <f t="shared" si="105"/>
        <v>117</v>
      </c>
      <c r="EI69" s="425">
        <f t="shared" si="106"/>
        <v>117</v>
      </c>
      <c r="EJ69" s="425">
        <f t="shared" si="107"/>
        <v>117</v>
      </c>
      <c r="EK69" s="425">
        <f t="shared" si="78"/>
        <v>117</v>
      </c>
      <c r="EL69" s="425">
        <f t="shared" si="79"/>
        <v>117</v>
      </c>
      <c r="EM69" s="425">
        <f t="shared" si="80"/>
        <v>117</v>
      </c>
      <c r="EN69" s="425">
        <f t="shared" si="81"/>
        <v>117</v>
      </c>
      <c r="EO69" s="425">
        <f t="shared" si="82"/>
        <v>117</v>
      </c>
      <c r="EP69" s="425">
        <f t="shared" si="83"/>
        <v>117</v>
      </c>
      <c r="EQ69" s="425">
        <f t="shared" si="84"/>
        <v>117</v>
      </c>
      <c r="ER69" s="425">
        <f t="shared" si="85"/>
        <v>117</v>
      </c>
      <c r="ES69" s="425">
        <f t="shared" si="86"/>
        <v>117</v>
      </c>
      <c r="ET69" s="425">
        <f t="shared" si="87"/>
        <v>117</v>
      </c>
      <c r="EU69" s="425">
        <f t="shared" si="88"/>
        <v>117</v>
      </c>
      <c r="EV69" s="425">
        <f t="shared" si="88"/>
        <v>117</v>
      </c>
      <c r="EW69" s="425">
        <f t="shared" si="89"/>
        <v>117</v>
      </c>
      <c r="EX69" s="425">
        <f t="shared" si="90"/>
        <v>117</v>
      </c>
      <c r="EY69" s="425">
        <f t="shared" si="91"/>
        <v>117</v>
      </c>
      <c r="EZ69" s="425">
        <f t="shared" si="92"/>
        <v>117</v>
      </c>
    </row>
    <row r="70" spans="2:156" x14ac:dyDescent="0.2">
      <c r="AP70" s="380" t="s">
        <v>695</v>
      </c>
      <c r="AQ70" s="406">
        <f t="shared" si="41"/>
        <v>119</v>
      </c>
      <c r="AR70" s="406">
        <f t="shared" si="41"/>
        <v>119</v>
      </c>
      <c r="AS70" s="380">
        <f t="shared" si="42"/>
        <v>119</v>
      </c>
      <c r="AT70" s="380">
        <f t="shared" si="43"/>
        <v>119</v>
      </c>
      <c r="AU70" s="380">
        <f t="shared" si="44"/>
        <v>119</v>
      </c>
      <c r="AV70" s="380">
        <f t="shared" si="45"/>
        <v>119</v>
      </c>
      <c r="AW70" s="380">
        <f t="shared" si="46"/>
        <v>119</v>
      </c>
      <c r="AX70" s="380">
        <f t="shared" si="47"/>
        <v>119</v>
      </c>
      <c r="AY70" s="380">
        <f t="shared" si="48"/>
        <v>119</v>
      </c>
      <c r="AZ70" s="380">
        <f t="shared" si="49"/>
        <v>119</v>
      </c>
      <c r="BA70" s="380">
        <f t="shared" si="50"/>
        <v>119</v>
      </c>
      <c r="BB70" s="380">
        <f t="shared" si="51"/>
        <v>119</v>
      </c>
      <c r="BC70" s="380">
        <f t="shared" si="52"/>
        <v>119</v>
      </c>
      <c r="BD70" s="407">
        <f t="shared" si="52"/>
        <v>119</v>
      </c>
      <c r="BG70" s="380" t="s">
        <v>695</v>
      </c>
      <c r="BH70" s="406">
        <f t="shared" si="53"/>
        <v>119</v>
      </c>
      <c r="BI70" s="406">
        <f t="shared" si="53"/>
        <v>119</v>
      </c>
      <c r="BJ70" s="380">
        <f t="shared" si="54"/>
        <v>119</v>
      </c>
      <c r="BK70" s="380">
        <f t="shared" si="55"/>
        <v>119</v>
      </c>
      <c r="BL70" s="380">
        <f t="shared" si="56"/>
        <v>119</v>
      </c>
      <c r="BM70" s="380">
        <f t="shared" si="57"/>
        <v>119</v>
      </c>
      <c r="BN70" s="380">
        <f t="shared" si="57"/>
        <v>119</v>
      </c>
      <c r="BO70" s="380">
        <f t="shared" si="145"/>
        <v>119</v>
      </c>
      <c r="BP70" s="380">
        <f t="shared" si="59"/>
        <v>119</v>
      </c>
      <c r="BQ70" s="380">
        <f t="shared" si="60"/>
        <v>119</v>
      </c>
      <c r="BR70" s="380">
        <f t="shared" si="61"/>
        <v>119</v>
      </c>
      <c r="BS70" s="380">
        <f t="shared" si="62"/>
        <v>119</v>
      </c>
      <c r="BT70" s="380">
        <f t="shared" si="62"/>
        <v>119</v>
      </c>
      <c r="BU70" s="380">
        <f t="shared" si="63"/>
        <v>119</v>
      </c>
      <c r="BV70" s="380">
        <f t="shared" si="64"/>
        <v>119</v>
      </c>
      <c r="BW70" s="380">
        <f t="shared" si="65"/>
        <v>119</v>
      </c>
      <c r="BX70" s="407">
        <f t="shared" si="142"/>
        <v>119</v>
      </c>
      <c r="CA70" s="448"/>
      <c r="CB70" s="425">
        <f>'A-50 FGRailInv'!$C$69</f>
        <v>0</v>
      </c>
      <c r="CC70" s="425" t="str">
        <f>Valid!$B$89</f>
        <v>Third Rail/Power Distribution</v>
      </c>
      <c r="CD70" s="425">
        <f>CD61</f>
        <v>181</v>
      </c>
      <c r="CE70" s="446">
        <f>CE69+$CE$7</f>
        <v>220</v>
      </c>
      <c r="CF70" s="446">
        <f t="shared" si="29"/>
        <v>220</v>
      </c>
      <c r="CG70" s="425">
        <f t="shared" si="166"/>
        <v>220</v>
      </c>
      <c r="CH70" s="425">
        <f t="shared" si="166"/>
        <v>220</v>
      </c>
      <c r="CI70" s="425">
        <f t="shared" si="166"/>
        <v>220</v>
      </c>
      <c r="CJ70" s="425">
        <f t="shared" si="166"/>
        <v>220</v>
      </c>
      <c r="CK70" s="425">
        <f t="shared" si="166"/>
        <v>220</v>
      </c>
      <c r="CL70" s="425">
        <f t="shared" si="166"/>
        <v>220</v>
      </c>
      <c r="CM70" s="425">
        <f t="shared" si="166"/>
        <v>220</v>
      </c>
      <c r="CN70" s="425">
        <f t="shared" si="166"/>
        <v>220</v>
      </c>
      <c r="CO70" s="425">
        <f t="shared" si="166"/>
        <v>220</v>
      </c>
      <c r="CP70" s="425">
        <f t="shared" si="167"/>
        <v>220</v>
      </c>
      <c r="CQ70" s="425">
        <f t="shared" si="167"/>
        <v>220</v>
      </c>
      <c r="CR70" s="425">
        <f t="shared" si="167"/>
        <v>220</v>
      </c>
      <c r="CS70" s="425">
        <f t="shared" si="167"/>
        <v>220</v>
      </c>
      <c r="CT70" s="425">
        <f t="shared" si="167"/>
        <v>220</v>
      </c>
      <c r="CU70" s="425">
        <f t="shared" si="167"/>
        <v>220</v>
      </c>
      <c r="CY70" s="425">
        <f>'A-55 TrackInv'!$C$230</f>
        <v>0</v>
      </c>
      <c r="CZ70" s="425" t="str">
        <f>Valid!$B$84</f>
        <v>Half Grand Union</v>
      </c>
      <c r="DA70" s="425">
        <f t="shared" si="170"/>
        <v>230</v>
      </c>
      <c r="DB70" s="1283">
        <f>DB69+$DB$7</f>
        <v>248</v>
      </c>
      <c r="DC70" s="425">
        <f t="shared" si="168"/>
        <v>248</v>
      </c>
      <c r="DD70" s="425">
        <f t="shared" si="168"/>
        <v>248</v>
      </c>
      <c r="DE70" s="425">
        <f t="shared" si="168"/>
        <v>248</v>
      </c>
      <c r="DF70" s="425">
        <f t="shared" si="168"/>
        <v>248</v>
      </c>
      <c r="DJ70" s="380" t="s">
        <v>801</v>
      </c>
      <c r="DK70" s="425">
        <f t="shared" si="67"/>
        <v>119</v>
      </c>
      <c r="DL70" s="425">
        <f t="shared" ref="DL70:DS70" si="174">DK70</f>
        <v>119</v>
      </c>
      <c r="DM70" s="425">
        <f t="shared" si="174"/>
        <v>119</v>
      </c>
      <c r="DN70" s="425">
        <f t="shared" si="174"/>
        <v>119</v>
      </c>
      <c r="DO70" s="425">
        <f t="shared" si="174"/>
        <v>119</v>
      </c>
      <c r="DP70" s="425">
        <f t="shared" si="174"/>
        <v>119</v>
      </c>
      <c r="DQ70" s="425">
        <f t="shared" si="174"/>
        <v>119</v>
      </c>
      <c r="DR70" s="425">
        <f t="shared" si="174"/>
        <v>119</v>
      </c>
      <c r="DS70" s="425">
        <f t="shared" si="174"/>
        <v>119</v>
      </c>
      <c r="DU70" s="380" t="s">
        <v>801</v>
      </c>
      <c r="DV70" s="425">
        <f t="shared" si="66"/>
        <v>119</v>
      </c>
      <c r="DW70" s="425">
        <f t="shared" si="94"/>
        <v>119</v>
      </c>
      <c r="DX70" s="425">
        <f t="shared" si="95"/>
        <v>119</v>
      </c>
      <c r="DY70" s="425">
        <f t="shared" si="96"/>
        <v>119</v>
      </c>
      <c r="DZ70" s="425">
        <f t="shared" si="97"/>
        <v>119</v>
      </c>
      <c r="EA70" s="425">
        <f t="shared" si="98"/>
        <v>119</v>
      </c>
      <c r="EB70" s="425">
        <f t="shared" si="99"/>
        <v>119</v>
      </c>
      <c r="EC70" s="425">
        <f t="shared" si="100"/>
        <v>119</v>
      </c>
      <c r="ED70" s="425">
        <f t="shared" si="101"/>
        <v>119</v>
      </c>
      <c r="EE70" s="425">
        <f t="shared" si="102"/>
        <v>119</v>
      </c>
      <c r="EF70" s="425">
        <f t="shared" si="103"/>
        <v>119</v>
      </c>
      <c r="EG70" s="425">
        <f t="shared" si="104"/>
        <v>119</v>
      </c>
      <c r="EH70" s="425">
        <f t="shared" si="105"/>
        <v>119</v>
      </c>
      <c r="EI70" s="425">
        <f t="shared" si="106"/>
        <v>119</v>
      </c>
      <c r="EJ70" s="425">
        <f t="shared" si="107"/>
        <v>119</v>
      </c>
      <c r="EK70" s="425">
        <f t="shared" si="78"/>
        <v>119</v>
      </c>
      <c r="EL70" s="425">
        <f t="shared" si="79"/>
        <v>119</v>
      </c>
      <c r="EM70" s="425">
        <f t="shared" si="80"/>
        <v>119</v>
      </c>
      <c r="EN70" s="425">
        <f t="shared" si="81"/>
        <v>119</v>
      </c>
      <c r="EO70" s="425">
        <f t="shared" si="82"/>
        <v>119</v>
      </c>
      <c r="EP70" s="425">
        <f t="shared" si="83"/>
        <v>119</v>
      </c>
      <c r="EQ70" s="425">
        <f t="shared" si="84"/>
        <v>119</v>
      </c>
      <c r="ER70" s="425">
        <f t="shared" si="85"/>
        <v>119</v>
      </c>
      <c r="ES70" s="425">
        <f t="shared" si="86"/>
        <v>119</v>
      </c>
      <c r="ET70" s="425">
        <f t="shared" si="87"/>
        <v>119</v>
      </c>
      <c r="EU70" s="425">
        <f t="shared" si="88"/>
        <v>119</v>
      </c>
      <c r="EV70" s="425">
        <f t="shared" si="88"/>
        <v>119</v>
      </c>
      <c r="EW70" s="425">
        <f t="shared" si="89"/>
        <v>119</v>
      </c>
      <c r="EX70" s="425">
        <f t="shared" si="90"/>
        <v>119</v>
      </c>
      <c r="EY70" s="425">
        <f t="shared" si="91"/>
        <v>119</v>
      </c>
      <c r="EZ70" s="425">
        <f t="shared" si="92"/>
        <v>119</v>
      </c>
    </row>
    <row r="71" spans="2:156" x14ac:dyDescent="0.2">
      <c r="AP71" s="380" t="s">
        <v>696</v>
      </c>
      <c r="AQ71" s="406">
        <f t="shared" si="41"/>
        <v>121</v>
      </c>
      <c r="AR71" s="406">
        <f t="shared" si="41"/>
        <v>121</v>
      </c>
      <c r="AS71" s="380">
        <f t="shared" si="42"/>
        <v>121</v>
      </c>
      <c r="AT71" s="380">
        <f t="shared" si="43"/>
        <v>121</v>
      </c>
      <c r="AU71" s="380">
        <f t="shared" si="44"/>
        <v>121</v>
      </c>
      <c r="AV71" s="380">
        <f t="shared" si="45"/>
        <v>121</v>
      </c>
      <c r="AW71" s="380">
        <f t="shared" si="46"/>
        <v>121</v>
      </c>
      <c r="AX71" s="380">
        <f t="shared" si="47"/>
        <v>121</v>
      </c>
      <c r="AY71" s="380">
        <f t="shared" si="48"/>
        <v>121</v>
      </c>
      <c r="AZ71" s="380">
        <f t="shared" si="49"/>
        <v>121</v>
      </c>
      <c r="BA71" s="380">
        <f t="shared" si="50"/>
        <v>121</v>
      </c>
      <c r="BB71" s="380">
        <f t="shared" si="51"/>
        <v>121</v>
      </c>
      <c r="BC71" s="380">
        <f t="shared" si="52"/>
        <v>121</v>
      </c>
      <c r="BD71" s="407">
        <f t="shared" si="52"/>
        <v>121</v>
      </c>
      <c r="BG71" s="380" t="s">
        <v>696</v>
      </c>
      <c r="BH71" s="406">
        <f t="shared" si="53"/>
        <v>121</v>
      </c>
      <c r="BI71" s="406">
        <f t="shared" si="53"/>
        <v>121</v>
      </c>
      <c r="BJ71" s="380">
        <f t="shared" si="54"/>
        <v>121</v>
      </c>
      <c r="BK71" s="380">
        <f t="shared" si="55"/>
        <v>121</v>
      </c>
      <c r="BL71" s="380">
        <f t="shared" si="56"/>
        <v>121</v>
      </c>
      <c r="BM71" s="380">
        <f t="shared" si="57"/>
        <v>121</v>
      </c>
      <c r="BN71" s="380">
        <f t="shared" si="57"/>
        <v>121</v>
      </c>
      <c r="BO71" s="380">
        <f t="shared" si="145"/>
        <v>121</v>
      </c>
      <c r="BP71" s="380">
        <f t="shared" si="59"/>
        <v>121</v>
      </c>
      <c r="BQ71" s="380">
        <f t="shared" si="60"/>
        <v>121</v>
      </c>
      <c r="BR71" s="380">
        <f t="shared" si="61"/>
        <v>121</v>
      </c>
      <c r="BS71" s="380">
        <f t="shared" si="62"/>
        <v>121</v>
      </c>
      <c r="BT71" s="380">
        <f t="shared" si="62"/>
        <v>121</v>
      </c>
      <c r="BU71" s="380">
        <f t="shared" si="63"/>
        <v>121</v>
      </c>
      <c r="BV71" s="380">
        <f t="shared" si="64"/>
        <v>121</v>
      </c>
      <c r="BW71" s="380">
        <f t="shared" si="65"/>
        <v>121</v>
      </c>
      <c r="BX71" s="407">
        <f t="shared" si="142"/>
        <v>121</v>
      </c>
      <c r="CA71" s="448"/>
      <c r="CB71" s="425">
        <f>'A-50 FGRailInv'!$C$69</f>
        <v>0</v>
      </c>
      <c r="CC71" s="425" t="str">
        <f>Valid!$B$90</f>
        <v>Overhead Contact System/Power Distribution</v>
      </c>
      <c r="CD71" s="425">
        <f>CD62</f>
        <v>181</v>
      </c>
      <c r="CE71" s="446">
        <f>CE70+$CE$7</f>
        <v>223</v>
      </c>
      <c r="CF71" s="446">
        <f t="shared" si="29"/>
        <v>223</v>
      </c>
      <c r="CG71" s="425">
        <f t="shared" si="166"/>
        <v>223</v>
      </c>
      <c r="CH71" s="425">
        <f t="shared" si="166"/>
        <v>223</v>
      </c>
      <c r="CI71" s="425">
        <f t="shared" si="166"/>
        <v>223</v>
      </c>
      <c r="CJ71" s="425">
        <f t="shared" si="166"/>
        <v>223</v>
      </c>
      <c r="CK71" s="425">
        <f t="shared" si="166"/>
        <v>223</v>
      </c>
      <c r="CL71" s="425">
        <f t="shared" si="166"/>
        <v>223</v>
      </c>
      <c r="CM71" s="425">
        <f t="shared" si="166"/>
        <v>223</v>
      </c>
      <c r="CN71" s="425">
        <f t="shared" si="166"/>
        <v>223</v>
      </c>
      <c r="CO71" s="425">
        <f t="shared" si="166"/>
        <v>223</v>
      </c>
      <c r="CP71" s="425">
        <f t="shared" si="167"/>
        <v>223</v>
      </c>
      <c r="CQ71" s="425">
        <f t="shared" si="167"/>
        <v>223</v>
      </c>
      <c r="CR71" s="425">
        <f t="shared" si="167"/>
        <v>223</v>
      </c>
      <c r="CS71" s="425">
        <f t="shared" si="167"/>
        <v>223</v>
      </c>
      <c r="CT71" s="425">
        <f t="shared" si="167"/>
        <v>223</v>
      </c>
      <c r="CU71" s="425">
        <f t="shared" si="167"/>
        <v>223</v>
      </c>
      <c r="CY71" s="425">
        <f>'A-55 TrackInv'!$C$230</f>
        <v>0</v>
      </c>
      <c r="CZ71" s="425" t="str">
        <f>Valid!$B$85</f>
        <v>Single Turnout</v>
      </c>
      <c r="DA71" s="425">
        <f t="shared" si="170"/>
        <v>230</v>
      </c>
      <c r="DB71" s="1283">
        <f>DB70+$DB$7</f>
        <v>250</v>
      </c>
      <c r="DC71" s="425">
        <f t="shared" si="168"/>
        <v>250</v>
      </c>
      <c r="DD71" s="425">
        <f t="shared" si="168"/>
        <v>250</v>
      </c>
      <c r="DE71" s="425">
        <f t="shared" si="168"/>
        <v>250</v>
      </c>
      <c r="DF71" s="425">
        <f t="shared" si="168"/>
        <v>250</v>
      </c>
      <c r="DJ71" s="380" t="s">
        <v>802</v>
      </c>
      <c r="DK71" s="425">
        <f t="shared" si="67"/>
        <v>121</v>
      </c>
      <c r="DL71" s="425">
        <f t="shared" ref="DL71:DS71" si="175">DK71</f>
        <v>121</v>
      </c>
      <c r="DM71" s="425">
        <f t="shared" si="175"/>
        <v>121</v>
      </c>
      <c r="DN71" s="425">
        <f t="shared" si="175"/>
        <v>121</v>
      </c>
      <c r="DO71" s="425">
        <f t="shared" si="175"/>
        <v>121</v>
      </c>
      <c r="DP71" s="425">
        <f t="shared" si="175"/>
        <v>121</v>
      </c>
      <c r="DQ71" s="425">
        <f t="shared" si="175"/>
        <v>121</v>
      </c>
      <c r="DR71" s="425">
        <f t="shared" si="175"/>
        <v>121</v>
      </c>
      <c r="DS71" s="425">
        <f t="shared" si="175"/>
        <v>121</v>
      </c>
      <c r="DU71" s="380" t="s">
        <v>802</v>
      </c>
      <c r="DV71" s="425">
        <f t="shared" si="66"/>
        <v>121</v>
      </c>
      <c r="DW71" s="425">
        <f t="shared" si="94"/>
        <v>121</v>
      </c>
      <c r="DX71" s="425">
        <f t="shared" si="95"/>
        <v>121</v>
      </c>
      <c r="DY71" s="425">
        <f t="shared" si="96"/>
        <v>121</v>
      </c>
      <c r="DZ71" s="425">
        <f t="shared" si="97"/>
        <v>121</v>
      </c>
      <c r="EA71" s="425">
        <f t="shared" si="98"/>
        <v>121</v>
      </c>
      <c r="EB71" s="425">
        <f t="shared" si="99"/>
        <v>121</v>
      </c>
      <c r="EC71" s="425">
        <f t="shared" si="100"/>
        <v>121</v>
      </c>
      <c r="ED71" s="425">
        <f t="shared" si="101"/>
        <v>121</v>
      </c>
      <c r="EE71" s="425">
        <f t="shared" si="102"/>
        <v>121</v>
      </c>
      <c r="EF71" s="425">
        <f t="shared" si="103"/>
        <v>121</v>
      </c>
      <c r="EG71" s="425">
        <f t="shared" si="104"/>
        <v>121</v>
      </c>
      <c r="EH71" s="425">
        <f t="shared" si="105"/>
        <v>121</v>
      </c>
      <c r="EI71" s="425">
        <f t="shared" si="106"/>
        <v>121</v>
      </c>
      <c r="EJ71" s="425">
        <f t="shared" si="107"/>
        <v>121</v>
      </c>
      <c r="EK71" s="425">
        <f t="shared" si="78"/>
        <v>121</v>
      </c>
      <c r="EL71" s="425">
        <f t="shared" si="79"/>
        <v>121</v>
      </c>
      <c r="EM71" s="425">
        <f t="shared" si="80"/>
        <v>121</v>
      </c>
      <c r="EN71" s="425">
        <f t="shared" si="81"/>
        <v>121</v>
      </c>
      <c r="EO71" s="425">
        <f t="shared" si="82"/>
        <v>121</v>
      </c>
      <c r="EP71" s="425">
        <f t="shared" si="83"/>
        <v>121</v>
      </c>
      <c r="EQ71" s="425">
        <f t="shared" si="84"/>
        <v>121</v>
      </c>
      <c r="ER71" s="425">
        <f t="shared" si="85"/>
        <v>121</v>
      </c>
      <c r="ES71" s="425">
        <f t="shared" si="86"/>
        <v>121</v>
      </c>
      <c r="ET71" s="425">
        <f t="shared" si="87"/>
        <v>121</v>
      </c>
      <c r="EU71" s="425">
        <f t="shared" si="88"/>
        <v>121</v>
      </c>
      <c r="EV71" s="425">
        <f t="shared" si="88"/>
        <v>121</v>
      </c>
      <c r="EW71" s="425">
        <f t="shared" si="89"/>
        <v>121</v>
      </c>
      <c r="EX71" s="425">
        <f t="shared" si="90"/>
        <v>121</v>
      </c>
      <c r="EY71" s="425">
        <f t="shared" si="91"/>
        <v>121</v>
      </c>
      <c r="EZ71" s="425">
        <f t="shared" si="92"/>
        <v>121</v>
      </c>
    </row>
    <row r="72" spans="2:156" x14ac:dyDescent="0.2">
      <c r="AP72" s="380" t="s">
        <v>697</v>
      </c>
      <c r="AQ72" s="406">
        <f t="shared" si="41"/>
        <v>123</v>
      </c>
      <c r="AR72" s="406">
        <f t="shared" si="41"/>
        <v>123</v>
      </c>
      <c r="AS72" s="380">
        <f t="shared" si="42"/>
        <v>123</v>
      </c>
      <c r="AT72" s="380">
        <f t="shared" si="43"/>
        <v>123</v>
      </c>
      <c r="AU72" s="380">
        <f t="shared" si="44"/>
        <v>123</v>
      </c>
      <c r="AV72" s="380">
        <f t="shared" si="45"/>
        <v>123</v>
      </c>
      <c r="AW72" s="380">
        <f t="shared" si="46"/>
        <v>123</v>
      </c>
      <c r="AX72" s="380">
        <f t="shared" si="47"/>
        <v>123</v>
      </c>
      <c r="AY72" s="380">
        <f t="shared" si="48"/>
        <v>123</v>
      </c>
      <c r="AZ72" s="380">
        <f t="shared" si="49"/>
        <v>123</v>
      </c>
      <c r="BA72" s="380">
        <f t="shared" si="50"/>
        <v>123</v>
      </c>
      <c r="BB72" s="380">
        <f t="shared" si="51"/>
        <v>123</v>
      </c>
      <c r="BC72" s="380">
        <f t="shared" si="52"/>
        <v>123</v>
      </c>
      <c r="BD72" s="407">
        <f t="shared" si="52"/>
        <v>123</v>
      </c>
      <c r="BG72" s="380" t="s">
        <v>697</v>
      </c>
      <c r="BH72" s="406">
        <f t="shared" si="53"/>
        <v>123</v>
      </c>
      <c r="BI72" s="406">
        <f t="shared" si="53"/>
        <v>123</v>
      </c>
      <c r="BJ72" s="380">
        <f t="shared" si="54"/>
        <v>123</v>
      </c>
      <c r="BK72" s="380">
        <f t="shared" si="55"/>
        <v>123</v>
      </c>
      <c r="BL72" s="380">
        <f t="shared" si="56"/>
        <v>123</v>
      </c>
      <c r="BM72" s="380">
        <f t="shared" si="57"/>
        <v>123</v>
      </c>
      <c r="BN72" s="380">
        <f t="shared" si="57"/>
        <v>123</v>
      </c>
      <c r="BO72" s="380">
        <f t="shared" si="145"/>
        <v>123</v>
      </c>
      <c r="BP72" s="380">
        <f t="shared" si="59"/>
        <v>123</v>
      </c>
      <c r="BQ72" s="380">
        <f t="shared" si="60"/>
        <v>123</v>
      </c>
      <c r="BR72" s="380">
        <f t="shared" si="61"/>
        <v>123</v>
      </c>
      <c r="BS72" s="380">
        <f t="shared" si="62"/>
        <v>123</v>
      </c>
      <c r="BT72" s="380">
        <f t="shared" si="62"/>
        <v>123</v>
      </c>
      <c r="BU72" s="380">
        <f t="shared" si="63"/>
        <v>123</v>
      </c>
      <c r="BV72" s="380">
        <f t="shared" si="64"/>
        <v>123</v>
      </c>
      <c r="BW72" s="380">
        <f t="shared" si="65"/>
        <v>123</v>
      </c>
      <c r="BX72" s="407">
        <f t="shared" si="142"/>
        <v>123</v>
      </c>
      <c r="CA72" s="448"/>
      <c r="CB72" s="425">
        <f>'A-50 FGRailInv'!$C$69</f>
        <v>0</v>
      </c>
      <c r="CC72" s="425" t="str">
        <f>Valid!$B$91</f>
        <v>Train Control &amp; Signaling</v>
      </c>
      <c r="CD72" s="425">
        <f>CD63</f>
        <v>181</v>
      </c>
      <c r="CE72" s="446">
        <f>CE71+$CE$7</f>
        <v>226</v>
      </c>
      <c r="CF72" s="446">
        <f t="shared" si="29"/>
        <v>226</v>
      </c>
      <c r="CG72" s="425">
        <f t="shared" si="166"/>
        <v>226</v>
      </c>
      <c r="CH72" s="425">
        <f t="shared" si="166"/>
        <v>226</v>
      </c>
      <c r="CI72" s="425">
        <f t="shared" si="166"/>
        <v>226</v>
      </c>
      <c r="CJ72" s="425">
        <f t="shared" si="166"/>
        <v>226</v>
      </c>
      <c r="CK72" s="425">
        <f t="shared" si="166"/>
        <v>226</v>
      </c>
      <c r="CL72" s="425">
        <f t="shared" si="166"/>
        <v>226</v>
      </c>
      <c r="CM72" s="425">
        <f t="shared" si="166"/>
        <v>226</v>
      </c>
      <c r="CN72" s="425">
        <f t="shared" si="166"/>
        <v>226</v>
      </c>
      <c r="CO72" s="425">
        <f t="shared" si="166"/>
        <v>226</v>
      </c>
      <c r="CP72" s="425">
        <f t="shared" si="167"/>
        <v>226</v>
      </c>
      <c r="CQ72" s="425">
        <f t="shared" si="167"/>
        <v>226</v>
      </c>
      <c r="CR72" s="425">
        <f t="shared" si="167"/>
        <v>226</v>
      </c>
      <c r="CS72" s="425">
        <f t="shared" si="167"/>
        <v>226</v>
      </c>
      <c r="CT72" s="425">
        <f t="shared" si="167"/>
        <v>226</v>
      </c>
      <c r="CU72" s="425">
        <f t="shared" si="167"/>
        <v>226</v>
      </c>
      <c r="CY72" s="425">
        <f>'A-55 TrackInv'!$C$230</f>
        <v>0</v>
      </c>
      <c r="CZ72" s="425" t="str">
        <f>Valid!$B$86</f>
        <v>Grade Crossings</v>
      </c>
      <c r="DA72" s="425">
        <f t="shared" si="170"/>
        <v>230</v>
      </c>
      <c r="DB72" s="1283">
        <f>DB71+$DB$7</f>
        <v>252</v>
      </c>
      <c r="DC72" s="425">
        <f t="shared" si="168"/>
        <v>252</v>
      </c>
      <c r="DD72" s="425">
        <f t="shared" si="168"/>
        <v>252</v>
      </c>
      <c r="DE72" s="425">
        <f t="shared" si="168"/>
        <v>252</v>
      </c>
      <c r="DF72" s="425">
        <f t="shared" si="168"/>
        <v>252</v>
      </c>
      <c r="DJ72" s="380" t="s">
        <v>803</v>
      </c>
      <c r="DK72" s="425">
        <f t="shared" si="67"/>
        <v>123</v>
      </c>
      <c r="DL72" s="425">
        <f t="shared" ref="DL72:DS72" si="176">DK72</f>
        <v>123</v>
      </c>
      <c r="DM72" s="425">
        <f t="shared" si="176"/>
        <v>123</v>
      </c>
      <c r="DN72" s="425">
        <f t="shared" si="176"/>
        <v>123</v>
      </c>
      <c r="DO72" s="425">
        <f t="shared" si="176"/>
        <v>123</v>
      </c>
      <c r="DP72" s="425">
        <f t="shared" si="176"/>
        <v>123</v>
      </c>
      <c r="DQ72" s="425">
        <f t="shared" si="176"/>
        <v>123</v>
      </c>
      <c r="DR72" s="425">
        <f t="shared" si="176"/>
        <v>123</v>
      </c>
      <c r="DS72" s="425">
        <f t="shared" si="176"/>
        <v>123</v>
      </c>
      <c r="DU72" s="380" t="s">
        <v>803</v>
      </c>
      <c r="DV72" s="425">
        <f t="shared" si="66"/>
        <v>123</v>
      </c>
      <c r="DW72" s="425">
        <f t="shared" si="94"/>
        <v>123</v>
      </c>
      <c r="DX72" s="425">
        <f t="shared" si="95"/>
        <v>123</v>
      </c>
      <c r="DY72" s="425">
        <f t="shared" si="96"/>
        <v>123</v>
      </c>
      <c r="DZ72" s="425">
        <f t="shared" si="97"/>
        <v>123</v>
      </c>
      <c r="EA72" s="425">
        <f t="shared" si="98"/>
        <v>123</v>
      </c>
      <c r="EB72" s="425">
        <f t="shared" si="99"/>
        <v>123</v>
      </c>
      <c r="EC72" s="425">
        <f t="shared" si="100"/>
        <v>123</v>
      </c>
      <c r="ED72" s="425">
        <f t="shared" si="101"/>
        <v>123</v>
      </c>
      <c r="EE72" s="425">
        <f t="shared" si="102"/>
        <v>123</v>
      </c>
      <c r="EF72" s="425">
        <f t="shared" si="103"/>
        <v>123</v>
      </c>
      <c r="EG72" s="425">
        <f t="shared" si="104"/>
        <v>123</v>
      </c>
      <c r="EH72" s="425">
        <f t="shared" si="105"/>
        <v>123</v>
      </c>
      <c r="EI72" s="425">
        <f t="shared" si="106"/>
        <v>123</v>
      </c>
      <c r="EJ72" s="425">
        <f t="shared" si="107"/>
        <v>123</v>
      </c>
      <c r="EK72" s="425">
        <f t="shared" si="78"/>
        <v>123</v>
      </c>
      <c r="EL72" s="425">
        <f t="shared" si="79"/>
        <v>123</v>
      </c>
      <c r="EM72" s="425">
        <f t="shared" si="80"/>
        <v>123</v>
      </c>
      <c r="EN72" s="425">
        <f t="shared" si="81"/>
        <v>123</v>
      </c>
      <c r="EO72" s="425">
        <f t="shared" si="82"/>
        <v>123</v>
      </c>
      <c r="EP72" s="425">
        <f t="shared" si="83"/>
        <v>123</v>
      </c>
      <c r="EQ72" s="425">
        <f t="shared" si="84"/>
        <v>123</v>
      </c>
      <c r="ER72" s="425">
        <f t="shared" si="85"/>
        <v>123</v>
      </c>
      <c r="ES72" s="425">
        <f t="shared" si="86"/>
        <v>123</v>
      </c>
      <c r="ET72" s="425">
        <f t="shared" si="87"/>
        <v>123</v>
      </c>
      <c r="EU72" s="425">
        <f t="shared" si="88"/>
        <v>123</v>
      </c>
      <c r="EV72" s="425">
        <f t="shared" si="88"/>
        <v>123</v>
      </c>
      <c r="EW72" s="425">
        <f t="shared" si="89"/>
        <v>123</v>
      </c>
      <c r="EX72" s="425">
        <f t="shared" si="90"/>
        <v>123</v>
      </c>
      <c r="EY72" s="425">
        <f t="shared" si="91"/>
        <v>123</v>
      </c>
      <c r="EZ72" s="425">
        <f t="shared" si="92"/>
        <v>123</v>
      </c>
    </row>
    <row r="73" spans="2:156" x14ac:dyDescent="0.2">
      <c r="AP73" s="380" t="s">
        <v>698</v>
      </c>
      <c r="AQ73" s="406">
        <f t="shared" si="41"/>
        <v>125</v>
      </c>
      <c r="AR73" s="406">
        <f t="shared" si="41"/>
        <v>125</v>
      </c>
      <c r="AS73" s="380">
        <f t="shared" si="42"/>
        <v>125</v>
      </c>
      <c r="AT73" s="380">
        <f t="shared" si="43"/>
        <v>125</v>
      </c>
      <c r="AU73" s="380">
        <f t="shared" si="44"/>
        <v>125</v>
      </c>
      <c r="AV73" s="380">
        <f t="shared" si="45"/>
        <v>125</v>
      </c>
      <c r="AW73" s="380">
        <f t="shared" si="46"/>
        <v>125</v>
      </c>
      <c r="AX73" s="380">
        <f t="shared" si="47"/>
        <v>125</v>
      </c>
      <c r="AY73" s="380">
        <f t="shared" si="48"/>
        <v>125</v>
      </c>
      <c r="AZ73" s="380">
        <f t="shared" si="49"/>
        <v>125</v>
      </c>
      <c r="BA73" s="380">
        <f t="shared" si="50"/>
        <v>125</v>
      </c>
      <c r="BB73" s="380">
        <f t="shared" si="51"/>
        <v>125</v>
      </c>
      <c r="BC73" s="380">
        <f t="shared" si="52"/>
        <v>125</v>
      </c>
      <c r="BD73" s="407">
        <f t="shared" si="52"/>
        <v>125</v>
      </c>
      <c r="BG73" s="380" t="s">
        <v>698</v>
      </c>
      <c r="BH73" s="406">
        <f t="shared" si="53"/>
        <v>125</v>
      </c>
      <c r="BI73" s="406">
        <f t="shared" si="53"/>
        <v>125</v>
      </c>
      <c r="BJ73" s="380">
        <f t="shared" si="54"/>
        <v>125</v>
      </c>
      <c r="BK73" s="380">
        <f t="shared" si="55"/>
        <v>125</v>
      </c>
      <c r="BL73" s="380">
        <f t="shared" si="56"/>
        <v>125</v>
      </c>
      <c r="BM73" s="380">
        <f t="shared" si="57"/>
        <v>125</v>
      </c>
      <c r="BN73" s="380">
        <f t="shared" si="57"/>
        <v>125</v>
      </c>
      <c r="BO73" s="380">
        <f t="shared" si="145"/>
        <v>125</v>
      </c>
      <c r="BP73" s="380">
        <f t="shared" si="59"/>
        <v>125</v>
      </c>
      <c r="BQ73" s="380">
        <f t="shared" si="60"/>
        <v>125</v>
      </c>
      <c r="BR73" s="380">
        <f t="shared" si="61"/>
        <v>125</v>
      </c>
      <c r="BS73" s="380">
        <f t="shared" si="62"/>
        <v>125</v>
      </c>
      <c r="BT73" s="380">
        <f t="shared" si="62"/>
        <v>125</v>
      </c>
      <c r="BU73" s="380">
        <f t="shared" si="63"/>
        <v>125</v>
      </c>
      <c r="BV73" s="380">
        <f t="shared" si="64"/>
        <v>125</v>
      </c>
      <c r="BW73" s="380">
        <f t="shared" si="65"/>
        <v>125</v>
      </c>
      <c r="BX73" s="407">
        <f t="shared" si="142"/>
        <v>125</v>
      </c>
      <c r="CA73" s="448"/>
      <c r="CB73" s="425">
        <f>'A-50 FGRailInv'!$C$69</f>
        <v>0</v>
      </c>
      <c r="CC73" s="425" t="str">
        <f>Valid!$B$71</f>
        <v>At-Grade/Ballast (including expressway)</v>
      </c>
      <c r="CD73" s="425">
        <f>CD59+$CD$7</f>
        <v>237</v>
      </c>
      <c r="CE73" s="446">
        <f>CE72+$CE$9</f>
        <v>241</v>
      </c>
      <c r="CF73" s="446">
        <f t="shared" si="29"/>
        <v>241</v>
      </c>
      <c r="CG73" s="425">
        <f t="shared" si="166"/>
        <v>241</v>
      </c>
      <c r="CH73" s="425">
        <f t="shared" si="166"/>
        <v>241</v>
      </c>
      <c r="CI73" s="425">
        <f t="shared" si="166"/>
        <v>241</v>
      </c>
      <c r="CJ73" s="425">
        <f t="shared" si="166"/>
        <v>241</v>
      </c>
      <c r="CK73" s="425">
        <f t="shared" si="166"/>
        <v>241</v>
      </c>
      <c r="CL73" s="425">
        <f t="shared" si="166"/>
        <v>241</v>
      </c>
      <c r="CM73" s="425">
        <f t="shared" si="166"/>
        <v>241</v>
      </c>
      <c r="CN73" s="425">
        <f t="shared" si="166"/>
        <v>241</v>
      </c>
      <c r="CO73" s="425">
        <f t="shared" si="166"/>
        <v>241</v>
      </c>
      <c r="CP73" s="425">
        <f t="shared" si="167"/>
        <v>241</v>
      </c>
      <c r="CQ73" s="425">
        <f t="shared" si="167"/>
        <v>241</v>
      </c>
      <c r="CR73" s="425">
        <f t="shared" si="167"/>
        <v>241</v>
      </c>
      <c r="CS73" s="425">
        <f t="shared" si="167"/>
        <v>241</v>
      </c>
      <c r="CT73" s="425">
        <f t="shared" si="167"/>
        <v>241</v>
      </c>
      <c r="CU73" s="425">
        <f t="shared" si="167"/>
        <v>241</v>
      </c>
      <c r="CX73" s="380">
        <f>CX66+1</f>
        <v>9</v>
      </c>
      <c r="CY73" s="425">
        <f>'A-55 TrackInv'!$C$261</f>
        <v>0</v>
      </c>
      <c r="CZ73" s="425" t="str">
        <f>Valid!$B$80</f>
        <v>Tangent</v>
      </c>
      <c r="DA73" s="425">
        <f>DA67+$DA$7</f>
        <v>261</v>
      </c>
      <c r="DB73" s="1283">
        <f>DB72+$DB$9</f>
        <v>267</v>
      </c>
      <c r="DC73" s="425">
        <f t="shared" si="168"/>
        <v>267</v>
      </c>
      <c r="DD73" s="425">
        <f t="shared" si="168"/>
        <v>267</v>
      </c>
      <c r="DE73" s="425">
        <f t="shared" si="168"/>
        <v>267</v>
      </c>
      <c r="DF73" s="425">
        <f t="shared" si="168"/>
        <v>267</v>
      </c>
      <c r="DJ73" s="380" t="s">
        <v>804</v>
      </c>
      <c r="DK73" s="425">
        <f t="shared" si="67"/>
        <v>125</v>
      </c>
      <c r="DL73" s="425">
        <f t="shared" ref="DL73:DS73" si="177">DK73</f>
        <v>125</v>
      </c>
      <c r="DM73" s="425">
        <f t="shared" si="177"/>
        <v>125</v>
      </c>
      <c r="DN73" s="425">
        <f t="shared" si="177"/>
        <v>125</v>
      </c>
      <c r="DO73" s="425">
        <f t="shared" si="177"/>
        <v>125</v>
      </c>
      <c r="DP73" s="425">
        <f t="shared" si="177"/>
        <v>125</v>
      </c>
      <c r="DQ73" s="425">
        <f t="shared" si="177"/>
        <v>125</v>
      </c>
      <c r="DR73" s="425">
        <f t="shared" si="177"/>
        <v>125</v>
      </c>
      <c r="DS73" s="425">
        <f t="shared" si="177"/>
        <v>125</v>
      </c>
      <c r="DU73" s="380" t="s">
        <v>804</v>
      </c>
      <c r="DV73" s="425">
        <f t="shared" si="66"/>
        <v>125</v>
      </c>
      <c r="DW73" s="425">
        <f t="shared" si="94"/>
        <v>125</v>
      </c>
      <c r="DX73" s="425">
        <f t="shared" si="95"/>
        <v>125</v>
      </c>
      <c r="DY73" s="425">
        <f t="shared" si="96"/>
        <v>125</v>
      </c>
      <c r="DZ73" s="425">
        <f t="shared" si="97"/>
        <v>125</v>
      </c>
      <c r="EA73" s="425">
        <f t="shared" si="98"/>
        <v>125</v>
      </c>
      <c r="EB73" s="425">
        <f t="shared" si="99"/>
        <v>125</v>
      </c>
      <c r="EC73" s="425">
        <f t="shared" si="100"/>
        <v>125</v>
      </c>
      <c r="ED73" s="425">
        <f t="shared" si="101"/>
        <v>125</v>
      </c>
      <c r="EE73" s="425">
        <f t="shared" si="102"/>
        <v>125</v>
      </c>
      <c r="EF73" s="425">
        <f t="shared" si="103"/>
        <v>125</v>
      </c>
      <c r="EG73" s="425">
        <f t="shared" si="104"/>
        <v>125</v>
      </c>
      <c r="EH73" s="425">
        <f t="shared" si="105"/>
        <v>125</v>
      </c>
      <c r="EI73" s="425">
        <f t="shared" si="106"/>
        <v>125</v>
      </c>
      <c r="EJ73" s="425">
        <f t="shared" si="107"/>
        <v>125</v>
      </c>
      <c r="EK73" s="425">
        <f t="shared" si="78"/>
        <v>125</v>
      </c>
      <c r="EL73" s="425">
        <f t="shared" si="79"/>
        <v>125</v>
      </c>
      <c r="EM73" s="425">
        <f t="shared" si="80"/>
        <v>125</v>
      </c>
      <c r="EN73" s="425">
        <f t="shared" si="81"/>
        <v>125</v>
      </c>
      <c r="EO73" s="425">
        <f t="shared" si="82"/>
        <v>125</v>
      </c>
      <c r="EP73" s="425">
        <f t="shared" si="83"/>
        <v>125</v>
      </c>
      <c r="EQ73" s="425">
        <f t="shared" si="84"/>
        <v>125</v>
      </c>
      <c r="ER73" s="425">
        <f t="shared" si="85"/>
        <v>125</v>
      </c>
      <c r="ES73" s="425">
        <f t="shared" si="86"/>
        <v>125</v>
      </c>
      <c r="ET73" s="425">
        <f t="shared" si="87"/>
        <v>125</v>
      </c>
      <c r="EU73" s="425">
        <f t="shared" si="88"/>
        <v>125</v>
      </c>
      <c r="EV73" s="425">
        <f t="shared" si="88"/>
        <v>125</v>
      </c>
      <c r="EW73" s="425">
        <f t="shared" si="89"/>
        <v>125</v>
      </c>
      <c r="EX73" s="425">
        <f t="shared" si="90"/>
        <v>125</v>
      </c>
      <c r="EY73" s="425">
        <f t="shared" si="91"/>
        <v>125</v>
      </c>
      <c r="EZ73" s="425">
        <f t="shared" si="92"/>
        <v>125</v>
      </c>
    </row>
    <row r="74" spans="2:156" x14ac:dyDescent="0.2">
      <c r="B74" s="422"/>
      <c r="AP74" s="380" t="s">
        <v>699</v>
      </c>
      <c r="AQ74" s="406">
        <f t="shared" si="41"/>
        <v>127</v>
      </c>
      <c r="AR74" s="406">
        <f t="shared" si="41"/>
        <v>127</v>
      </c>
      <c r="AS74" s="380">
        <f t="shared" si="42"/>
        <v>127</v>
      </c>
      <c r="AT74" s="380">
        <f t="shared" si="43"/>
        <v>127</v>
      </c>
      <c r="AU74" s="380">
        <f t="shared" si="44"/>
        <v>127</v>
      </c>
      <c r="AV74" s="380">
        <f t="shared" si="45"/>
        <v>127</v>
      </c>
      <c r="AW74" s="380">
        <f t="shared" si="46"/>
        <v>127</v>
      </c>
      <c r="AX74" s="380">
        <f t="shared" si="47"/>
        <v>127</v>
      </c>
      <c r="AY74" s="380">
        <f t="shared" si="48"/>
        <v>127</v>
      </c>
      <c r="AZ74" s="380">
        <f t="shared" si="49"/>
        <v>127</v>
      </c>
      <c r="BA74" s="380">
        <f t="shared" si="50"/>
        <v>127</v>
      </c>
      <c r="BB74" s="380">
        <f t="shared" si="51"/>
        <v>127</v>
      </c>
      <c r="BC74" s="380">
        <f t="shared" si="52"/>
        <v>127</v>
      </c>
      <c r="BD74" s="407">
        <f t="shared" si="52"/>
        <v>127</v>
      </c>
      <c r="BG74" s="380" t="s">
        <v>699</v>
      </c>
      <c r="BH74" s="406">
        <f t="shared" si="53"/>
        <v>127</v>
      </c>
      <c r="BI74" s="406">
        <f t="shared" si="53"/>
        <v>127</v>
      </c>
      <c r="BJ74" s="380">
        <f t="shared" si="54"/>
        <v>127</v>
      </c>
      <c r="BK74" s="380">
        <f t="shared" si="55"/>
        <v>127</v>
      </c>
      <c r="BL74" s="380">
        <f t="shared" si="56"/>
        <v>127</v>
      </c>
      <c r="BM74" s="380">
        <f t="shared" si="57"/>
        <v>127</v>
      </c>
      <c r="BN74" s="380">
        <f t="shared" si="57"/>
        <v>127</v>
      </c>
      <c r="BO74" s="380">
        <f t="shared" si="145"/>
        <v>127</v>
      </c>
      <c r="BP74" s="380">
        <f t="shared" si="59"/>
        <v>127</v>
      </c>
      <c r="BQ74" s="380">
        <f t="shared" si="60"/>
        <v>127</v>
      </c>
      <c r="BR74" s="380">
        <f t="shared" si="61"/>
        <v>127</v>
      </c>
      <c r="BS74" s="380">
        <f t="shared" si="62"/>
        <v>127</v>
      </c>
      <c r="BT74" s="380">
        <f t="shared" si="62"/>
        <v>127</v>
      </c>
      <c r="BU74" s="380">
        <f t="shared" si="63"/>
        <v>127</v>
      </c>
      <c r="BV74" s="380">
        <f t="shared" si="64"/>
        <v>127</v>
      </c>
      <c r="BW74" s="380">
        <f t="shared" si="65"/>
        <v>127</v>
      </c>
      <c r="BX74" s="407">
        <f t="shared" si="142"/>
        <v>127</v>
      </c>
      <c r="CA74" s="448">
        <f>CA55+1</f>
        <v>4</v>
      </c>
      <c r="CB74" s="425">
        <f>'A-50 FGRailInv'!$C$69</f>
        <v>0</v>
      </c>
      <c r="CC74" s="425" t="str">
        <f>Valid!$B$72</f>
        <v>At-Grade/In-Street/Embedded</v>
      </c>
      <c r="CD74" s="425">
        <f>CD73</f>
        <v>237</v>
      </c>
      <c r="CE74" s="1199">
        <f t="shared" ref="CE74:CE81" si="178">CE73+$CE$7</f>
        <v>244</v>
      </c>
      <c r="CF74" s="446">
        <f t="shared" si="29"/>
        <v>244</v>
      </c>
      <c r="CG74" s="425">
        <f t="shared" si="166"/>
        <v>244</v>
      </c>
      <c r="CH74" s="425">
        <f t="shared" si="166"/>
        <v>244</v>
      </c>
      <c r="CI74" s="425">
        <f t="shared" si="166"/>
        <v>244</v>
      </c>
      <c r="CJ74" s="425">
        <f t="shared" si="166"/>
        <v>244</v>
      </c>
      <c r="CK74" s="425">
        <f t="shared" si="166"/>
        <v>244</v>
      </c>
      <c r="CL74" s="425">
        <f t="shared" si="166"/>
        <v>244</v>
      </c>
      <c r="CM74" s="425">
        <f t="shared" si="166"/>
        <v>244</v>
      </c>
      <c r="CN74" s="425">
        <f t="shared" si="166"/>
        <v>244</v>
      </c>
      <c r="CO74" s="425">
        <f t="shared" si="166"/>
        <v>244</v>
      </c>
      <c r="CP74" s="425">
        <f t="shared" si="167"/>
        <v>244</v>
      </c>
      <c r="CQ74" s="425">
        <f t="shared" si="167"/>
        <v>244</v>
      </c>
      <c r="CR74" s="425">
        <f t="shared" si="167"/>
        <v>244</v>
      </c>
      <c r="CS74" s="425">
        <f t="shared" si="167"/>
        <v>244</v>
      </c>
      <c r="CT74" s="425">
        <f t="shared" si="167"/>
        <v>244</v>
      </c>
      <c r="CU74" s="425">
        <f t="shared" si="167"/>
        <v>244</v>
      </c>
      <c r="CY74" s="425">
        <f>'A-55 TrackInv'!$C$261</f>
        <v>0</v>
      </c>
      <c r="CZ74" s="425" t="str">
        <f>Valid!$B$81</f>
        <v>Curve</v>
      </c>
      <c r="DA74" s="425">
        <f t="shared" ref="DA74:DA79" si="179">DA67+$DA$7</f>
        <v>261</v>
      </c>
      <c r="DB74" s="1283">
        <f>DB73+$DB$7</f>
        <v>269</v>
      </c>
      <c r="DC74" s="425">
        <f t="shared" si="168"/>
        <v>269</v>
      </c>
      <c r="DD74" s="425">
        <f t="shared" si="168"/>
        <v>269</v>
      </c>
      <c r="DE74" s="425">
        <f t="shared" si="168"/>
        <v>269</v>
      </c>
      <c r="DF74" s="425">
        <f t="shared" si="168"/>
        <v>269</v>
      </c>
      <c r="DJ74" s="380" t="s">
        <v>805</v>
      </c>
      <c r="DK74" s="425">
        <f t="shared" si="67"/>
        <v>127</v>
      </c>
      <c r="DL74" s="425">
        <f t="shared" ref="DL74:DS74" si="180">DK74</f>
        <v>127</v>
      </c>
      <c r="DM74" s="425">
        <f t="shared" si="180"/>
        <v>127</v>
      </c>
      <c r="DN74" s="425">
        <f t="shared" si="180"/>
        <v>127</v>
      </c>
      <c r="DO74" s="425">
        <f t="shared" si="180"/>
        <v>127</v>
      </c>
      <c r="DP74" s="425">
        <f t="shared" si="180"/>
        <v>127</v>
      </c>
      <c r="DQ74" s="425">
        <f t="shared" si="180"/>
        <v>127</v>
      </c>
      <c r="DR74" s="425">
        <f t="shared" si="180"/>
        <v>127</v>
      </c>
      <c r="DS74" s="425">
        <f t="shared" si="180"/>
        <v>127</v>
      </c>
      <c r="DU74" s="380" t="s">
        <v>805</v>
      </c>
      <c r="DV74" s="425">
        <f t="shared" si="66"/>
        <v>127</v>
      </c>
      <c r="DW74" s="425">
        <f t="shared" si="94"/>
        <v>127</v>
      </c>
      <c r="DX74" s="425">
        <f t="shared" si="95"/>
        <v>127</v>
      </c>
      <c r="DY74" s="425">
        <f t="shared" si="96"/>
        <v>127</v>
      </c>
      <c r="DZ74" s="425">
        <f t="shared" si="97"/>
        <v>127</v>
      </c>
      <c r="EA74" s="425">
        <f t="shared" si="98"/>
        <v>127</v>
      </c>
      <c r="EB74" s="425">
        <f t="shared" si="99"/>
        <v>127</v>
      </c>
      <c r="EC74" s="425">
        <f t="shared" si="100"/>
        <v>127</v>
      </c>
      <c r="ED74" s="425">
        <f t="shared" si="101"/>
        <v>127</v>
      </c>
      <c r="EE74" s="425">
        <f t="shared" si="102"/>
        <v>127</v>
      </c>
      <c r="EF74" s="425">
        <f t="shared" si="103"/>
        <v>127</v>
      </c>
      <c r="EG74" s="425">
        <f t="shared" si="104"/>
        <v>127</v>
      </c>
      <c r="EH74" s="425">
        <f t="shared" si="105"/>
        <v>127</v>
      </c>
      <c r="EI74" s="425">
        <f t="shared" si="106"/>
        <v>127</v>
      </c>
      <c r="EJ74" s="425">
        <f t="shared" si="107"/>
        <v>127</v>
      </c>
      <c r="EK74" s="425">
        <f t="shared" si="78"/>
        <v>127</v>
      </c>
      <c r="EL74" s="425">
        <f t="shared" si="79"/>
        <v>127</v>
      </c>
      <c r="EM74" s="425">
        <f t="shared" si="80"/>
        <v>127</v>
      </c>
      <c r="EN74" s="425">
        <f t="shared" si="81"/>
        <v>127</v>
      </c>
      <c r="EO74" s="425">
        <f t="shared" si="82"/>
        <v>127</v>
      </c>
      <c r="EP74" s="425">
        <f t="shared" si="83"/>
        <v>127</v>
      </c>
      <c r="EQ74" s="425">
        <f t="shared" si="84"/>
        <v>127</v>
      </c>
      <c r="ER74" s="425">
        <f t="shared" si="85"/>
        <v>127</v>
      </c>
      <c r="ES74" s="425">
        <f t="shared" si="86"/>
        <v>127</v>
      </c>
      <c r="ET74" s="425">
        <f t="shared" si="87"/>
        <v>127</v>
      </c>
      <c r="EU74" s="425">
        <f t="shared" si="88"/>
        <v>127</v>
      </c>
      <c r="EV74" s="425">
        <f t="shared" si="88"/>
        <v>127</v>
      </c>
      <c r="EW74" s="425">
        <f t="shared" si="89"/>
        <v>127</v>
      </c>
      <c r="EX74" s="425">
        <f t="shared" si="90"/>
        <v>127</v>
      </c>
      <c r="EY74" s="425">
        <f t="shared" si="91"/>
        <v>127</v>
      </c>
      <c r="EZ74" s="425">
        <f t="shared" si="92"/>
        <v>127</v>
      </c>
    </row>
    <row r="75" spans="2:156" x14ac:dyDescent="0.2">
      <c r="AP75" s="380" t="s">
        <v>700</v>
      </c>
      <c r="AQ75" s="406">
        <f t="shared" si="41"/>
        <v>129</v>
      </c>
      <c r="AR75" s="406">
        <f t="shared" si="41"/>
        <v>129</v>
      </c>
      <c r="AS75" s="380">
        <f t="shared" si="42"/>
        <v>129</v>
      </c>
      <c r="AT75" s="380">
        <f t="shared" si="43"/>
        <v>129</v>
      </c>
      <c r="AU75" s="380">
        <f t="shared" si="44"/>
        <v>129</v>
      </c>
      <c r="AV75" s="380">
        <f t="shared" si="45"/>
        <v>129</v>
      </c>
      <c r="AW75" s="380">
        <f t="shared" si="46"/>
        <v>129</v>
      </c>
      <c r="AX75" s="380">
        <f t="shared" si="47"/>
        <v>129</v>
      </c>
      <c r="AY75" s="380">
        <f t="shared" si="48"/>
        <v>129</v>
      </c>
      <c r="AZ75" s="380">
        <f t="shared" si="49"/>
        <v>129</v>
      </c>
      <c r="BA75" s="380">
        <f t="shared" si="50"/>
        <v>129</v>
      </c>
      <c r="BB75" s="380">
        <f t="shared" si="51"/>
        <v>129</v>
      </c>
      <c r="BC75" s="380">
        <f t="shared" si="52"/>
        <v>129</v>
      </c>
      <c r="BD75" s="407">
        <f t="shared" si="52"/>
        <v>129</v>
      </c>
      <c r="BG75" s="380" t="s">
        <v>700</v>
      </c>
      <c r="BH75" s="406">
        <f t="shared" si="53"/>
        <v>129</v>
      </c>
      <c r="BI75" s="406">
        <f t="shared" si="53"/>
        <v>129</v>
      </c>
      <c r="BJ75" s="380">
        <f t="shared" si="54"/>
        <v>129</v>
      </c>
      <c r="BK75" s="380">
        <f t="shared" si="55"/>
        <v>129</v>
      </c>
      <c r="BL75" s="380">
        <f t="shared" si="56"/>
        <v>129</v>
      </c>
      <c r="BM75" s="380">
        <f t="shared" si="57"/>
        <v>129</v>
      </c>
      <c r="BN75" s="380">
        <f t="shared" si="57"/>
        <v>129</v>
      </c>
      <c r="BO75" s="380">
        <f t="shared" si="145"/>
        <v>129</v>
      </c>
      <c r="BP75" s="380">
        <f t="shared" si="59"/>
        <v>129</v>
      </c>
      <c r="BQ75" s="380">
        <f t="shared" si="60"/>
        <v>129</v>
      </c>
      <c r="BR75" s="380">
        <f t="shared" si="61"/>
        <v>129</v>
      </c>
      <c r="BS75" s="380">
        <f t="shared" si="62"/>
        <v>129</v>
      </c>
      <c r="BT75" s="380">
        <f t="shared" si="62"/>
        <v>129</v>
      </c>
      <c r="BU75" s="380">
        <f t="shared" si="63"/>
        <v>129</v>
      </c>
      <c r="BV75" s="380">
        <f t="shared" si="64"/>
        <v>129</v>
      </c>
      <c r="BW75" s="380">
        <f t="shared" si="65"/>
        <v>129</v>
      </c>
      <c r="BX75" s="407">
        <f t="shared" si="142"/>
        <v>129</v>
      </c>
      <c r="CA75" s="448"/>
      <c r="CB75" s="425">
        <f>'A-50 FGRailInv'!$C$69</f>
        <v>0</v>
      </c>
      <c r="CC75" s="425" t="str">
        <f>Valid!$B$73</f>
        <v>Elevated/Retained Fill</v>
      </c>
      <c r="CD75" s="425">
        <f>CD73</f>
        <v>237</v>
      </c>
      <c r="CE75" s="446">
        <f t="shared" si="178"/>
        <v>247</v>
      </c>
      <c r="CF75" s="446">
        <f t="shared" si="29"/>
        <v>247</v>
      </c>
      <c r="CG75" s="425">
        <f t="shared" si="166"/>
        <v>247</v>
      </c>
      <c r="CH75" s="425">
        <f t="shared" si="166"/>
        <v>247</v>
      </c>
      <c r="CI75" s="425">
        <f t="shared" si="166"/>
        <v>247</v>
      </c>
      <c r="CJ75" s="425">
        <f t="shared" si="166"/>
        <v>247</v>
      </c>
      <c r="CK75" s="425">
        <f t="shared" si="166"/>
        <v>247</v>
      </c>
      <c r="CL75" s="425">
        <f t="shared" si="166"/>
        <v>247</v>
      </c>
      <c r="CM75" s="425">
        <f t="shared" si="166"/>
        <v>247</v>
      </c>
      <c r="CN75" s="425">
        <f t="shared" si="166"/>
        <v>247</v>
      </c>
      <c r="CO75" s="425">
        <f t="shared" si="166"/>
        <v>247</v>
      </c>
      <c r="CP75" s="425">
        <f t="shared" si="167"/>
        <v>247</v>
      </c>
      <c r="CQ75" s="425">
        <f t="shared" si="167"/>
        <v>247</v>
      </c>
      <c r="CR75" s="425">
        <f t="shared" si="167"/>
        <v>247</v>
      </c>
      <c r="CS75" s="425">
        <f t="shared" si="167"/>
        <v>247</v>
      </c>
      <c r="CT75" s="425">
        <f t="shared" si="167"/>
        <v>247</v>
      </c>
      <c r="CU75" s="425">
        <f t="shared" si="167"/>
        <v>247</v>
      </c>
      <c r="CY75" s="425">
        <f>'A-55 TrackInv'!$C$261</f>
        <v>0</v>
      </c>
      <c r="CZ75" s="425" t="str">
        <f>Valid!$B$82</f>
        <v>Double Diamond Crossover</v>
      </c>
      <c r="DA75" s="425">
        <f t="shared" si="179"/>
        <v>261</v>
      </c>
      <c r="DB75" s="1283">
        <f>DB74+DB8</f>
        <v>275</v>
      </c>
      <c r="DC75" s="425">
        <f t="shared" si="168"/>
        <v>275</v>
      </c>
      <c r="DD75" s="425">
        <f t="shared" si="168"/>
        <v>275</v>
      </c>
      <c r="DE75" s="425">
        <f t="shared" si="168"/>
        <v>275</v>
      </c>
      <c r="DF75" s="425">
        <f t="shared" si="168"/>
        <v>275</v>
      </c>
      <c r="DJ75" s="380" t="s">
        <v>806</v>
      </c>
      <c r="DK75" s="425">
        <f t="shared" si="67"/>
        <v>129</v>
      </c>
      <c r="DL75" s="425">
        <f t="shared" ref="DL75:DS75" si="181">DK75</f>
        <v>129</v>
      </c>
      <c r="DM75" s="425">
        <f t="shared" si="181"/>
        <v>129</v>
      </c>
      <c r="DN75" s="425">
        <f t="shared" si="181"/>
        <v>129</v>
      </c>
      <c r="DO75" s="425">
        <f t="shared" si="181"/>
        <v>129</v>
      </c>
      <c r="DP75" s="425">
        <f t="shared" si="181"/>
        <v>129</v>
      </c>
      <c r="DQ75" s="425">
        <f t="shared" si="181"/>
        <v>129</v>
      </c>
      <c r="DR75" s="425">
        <f t="shared" si="181"/>
        <v>129</v>
      </c>
      <c r="DS75" s="425">
        <f t="shared" si="181"/>
        <v>129</v>
      </c>
      <c r="DU75" s="380" t="s">
        <v>806</v>
      </c>
      <c r="DV75" s="425">
        <f t="shared" si="66"/>
        <v>129</v>
      </c>
      <c r="DW75" s="425">
        <f t="shared" si="94"/>
        <v>129</v>
      </c>
      <c r="DX75" s="425">
        <f t="shared" si="95"/>
        <v>129</v>
      </c>
      <c r="DY75" s="425">
        <f t="shared" si="96"/>
        <v>129</v>
      </c>
      <c r="DZ75" s="425">
        <f t="shared" si="97"/>
        <v>129</v>
      </c>
      <c r="EA75" s="425">
        <f t="shared" si="98"/>
        <v>129</v>
      </c>
      <c r="EB75" s="425">
        <f t="shared" si="99"/>
        <v>129</v>
      </c>
      <c r="EC75" s="425">
        <f t="shared" si="100"/>
        <v>129</v>
      </c>
      <c r="ED75" s="425">
        <f t="shared" si="101"/>
        <v>129</v>
      </c>
      <c r="EE75" s="425">
        <f t="shared" si="102"/>
        <v>129</v>
      </c>
      <c r="EF75" s="425">
        <f t="shared" si="103"/>
        <v>129</v>
      </c>
      <c r="EG75" s="425">
        <f t="shared" si="104"/>
        <v>129</v>
      </c>
      <c r="EH75" s="425">
        <f t="shared" si="105"/>
        <v>129</v>
      </c>
      <c r="EI75" s="425">
        <f t="shared" si="106"/>
        <v>129</v>
      </c>
      <c r="EJ75" s="425">
        <f t="shared" si="107"/>
        <v>129</v>
      </c>
      <c r="EK75" s="425">
        <f t="shared" si="78"/>
        <v>129</v>
      </c>
      <c r="EL75" s="425">
        <f t="shared" si="79"/>
        <v>129</v>
      </c>
      <c r="EM75" s="425">
        <f t="shared" si="80"/>
        <v>129</v>
      </c>
      <c r="EN75" s="425">
        <f t="shared" si="81"/>
        <v>129</v>
      </c>
      <c r="EO75" s="425">
        <f t="shared" si="82"/>
        <v>129</v>
      </c>
      <c r="EP75" s="425">
        <f t="shared" si="83"/>
        <v>129</v>
      </c>
      <c r="EQ75" s="425">
        <f t="shared" si="84"/>
        <v>129</v>
      </c>
      <c r="ER75" s="425">
        <f t="shared" si="85"/>
        <v>129</v>
      </c>
      <c r="ES75" s="425">
        <f t="shared" si="86"/>
        <v>129</v>
      </c>
      <c r="ET75" s="425">
        <f t="shared" si="87"/>
        <v>129</v>
      </c>
      <c r="EU75" s="425">
        <f t="shared" si="88"/>
        <v>129</v>
      </c>
      <c r="EV75" s="425">
        <f t="shared" si="88"/>
        <v>129</v>
      </c>
      <c r="EW75" s="425">
        <f t="shared" si="89"/>
        <v>129</v>
      </c>
      <c r="EX75" s="425">
        <f t="shared" si="90"/>
        <v>129</v>
      </c>
      <c r="EY75" s="425">
        <f t="shared" si="91"/>
        <v>129</v>
      </c>
      <c r="EZ75" s="425">
        <f t="shared" si="92"/>
        <v>129</v>
      </c>
    </row>
    <row r="76" spans="2:156" x14ac:dyDescent="0.2">
      <c r="H76" s="431"/>
      <c r="AP76" s="380" t="s">
        <v>701</v>
      </c>
      <c r="AQ76" s="406">
        <f t="shared" si="41"/>
        <v>131</v>
      </c>
      <c r="AR76" s="406">
        <f t="shared" si="41"/>
        <v>131</v>
      </c>
      <c r="AS76" s="380">
        <f t="shared" si="42"/>
        <v>131</v>
      </c>
      <c r="AT76" s="380">
        <f t="shared" si="43"/>
        <v>131</v>
      </c>
      <c r="AU76" s="380">
        <f t="shared" si="44"/>
        <v>131</v>
      </c>
      <c r="AV76" s="380">
        <f t="shared" si="45"/>
        <v>131</v>
      </c>
      <c r="AW76" s="380">
        <f t="shared" si="46"/>
        <v>131</v>
      </c>
      <c r="AX76" s="380">
        <f t="shared" si="47"/>
        <v>131</v>
      </c>
      <c r="AY76" s="380">
        <f t="shared" si="48"/>
        <v>131</v>
      </c>
      <c r="AZ76" s="380">
        <f t="shared" si="49"/>
        <v>131</v>
      </c>
      <c r="BA76" s="380">
        <f t="shared" si="50"/>
        <v>131</v>
      </c>
      <c r="BB76" s="380">
        <f t="shared" si="51"/>
        <v>131</v>
      </c>
      <c r="BC76" s="380">
        <f t="shared" si="52"/>
        <v>131</v>
      </c>
      <c r="BD76" s="407">
        <f t="shared" si="52"/>
        <v>131</v>
      </c>
      <c r="BG76" s="380" t="s">
        <v>701</v>
      </c>
      <c r="BH76" s="406">
        <f t="shared" si="53"/>
        <v>131</v>
      </c>
      <c r="BI76" s="406">
        <f t="shared" si="53"/>
        <v>131</v>
      </c>
      <c r="BJ76" s="380">
        <f t="shared" si="54"/>
        <v>131</v>
      </c>
      <c r="BK76" s="380">
        <f t="shared" si="55"/>
        <v>131</v>
      </c>
      <c r="BL76" s="380">
        <f t="shared" si="56"/>
        <v>131</v>
      </c>
      <c r="BM76" s="380">
        <f t="shared" si="57"/>
        <v>131</v>
      </c>
      <c r="BN76" s="380">
        <f t="shared" si="57"/>
        <v>131</v>
      </c>
      <c r="BO76" s="380">
        <f t="shared" si="145"/>
        <v>131</v>
      </c>
      <c r="BP76" s="380">
        <f t="shared" si="59"/>
        <v>131</v>
      </c>
      <c r="BQ76" s="380">
        <f t="shared" si="60"/>
        <v>131</v>
      </c>
      <c r="BR76" s="380">
        <f t="shared" si="61"/>
        <v>131</v>
      </c>
      <c r="BS76" s="380">
        <f t="shared" si="62"/>
        <v>131</v>
      </c>
      <c r="BT76" s="380">
        <f t="shared" si="62"/>
        <v>131</v>
      </c>
      <c r="BU76" s="380">
        <f t="shared" si="63"/>
        <v>131</v>
      </c>
      <c r="BV76" s="380">
        <f t="shared" si="64"/>
        <v>131</v>
      </c>
      <c r="BW76" s="380">
        <f t="shared" si="65"/>
        <v>131</v>
      </c>
      <c r="BX76" s="407">
        <f t="shared" si="142"/>
        <v>131</v>
      </c>
      <c r="CA76" s="448"/>
      <c r="CB76" s="425">
        <f>'A-50 FGRailInv'!$C$69</f>
        <v>0</v>
      </c>
      <c r="CC76" s="425" t="str">
        <f>Valid!$B$74</f>
        <v>Elevated/Concrete</v>
      </c>
      <c r="CD76" s="425">
        <f>CD73</f>
        <v>237</v>
      </c>
      <c r="CE76" s="446">
        <f t="shared" si="178"/>
        <v>250</v>
      </c>
      <c r="CF76" s="446">
        <f t="shared" si="29"/>
        <v>250</v>
      </c>
      <c r="CG76" s="425">
        <f t="shared" ref="CG76:CO85" si="182">$CE76</f>
        <v>250</v>
      </c>
      <c r="CH76" s="425">
        <f t="shared" si="182"/>
        <v>250</v>
      </c>
      <c r="CI76" s="425">
        <f t="shared" si="182"/>
        <v>250</v>
      </c>
      <c r="CJ76" s="425">
        <f t="shared" si="182"/>
        <v>250</v>
      </c>
      <c r="CK76" s="425">
        <f t="shared" si="182"/>
        <v>250</v>
      </c>
      <c r="CL76" s="425">
        <f t="shared" si="182"/>
        <v>250</v>
      </c>
      <c r="CM76" s="425">
        <f t="shared" si="182"/>
        <v>250</v>
      </c>
      <c r="CN76" s="425">
        <f t="shared" si="182"/>
        <v>250</v>
      </c>
      <c r="CO76" s="425">
        <f t="shared" si="182"/>
        <v>250</v>
      </c>
      <c r="CP76" s="425">
        <f t="shared" ref="CP76:CU85" si="183">$CE76</f>
        <v>250</v>
      </c>
      <c r="CQ76" s="425">
        <f t="shared" si="183"/>
        <v>250</v>
      </c>
      <c r="CR76" s="425">
        <f t="shared" si="183"/>
        <v>250</v>
      </c>
      <c r="CS76" s="425">
        <f t="shared" si="183"/>
        <v>250</v>
      </c>
      <c r="CT76" s="425">
        <f t="shared" si="183"/>
        <v>250</v>
      </c>
      <c r="CU76" s="425">
        <f t="shared" si="183"/>
        <v>250</v>
      </c>
      <c r="CY76" s="425">
        <f>'A-55 TrackInv'!$C$261</f>
        <v>0</v>
      </c>
      <c r="CZ76" s="425" t="str">
        <f>Valid!$B$83</f>
        <v>Single Crossover</v>
      </c>
      <c r="DA76" s="425">
        <f t="shared" si="179"/>
        <v>261</v>
      </c>
      <c r="DB76" s="1283">
        <f>DB75+$DB$7</f>
        <v>277</v>
      </c>
      <c r="DC76" s="425">
        <f t="shared" si="168"/>
        <v>277</v>
      </c>
      <c r="DD76" s="425">
        <f t="shared" si="168"/>
        <v>277</v>
      </c>
      <c r="DE76" s="425">
        <f t="shared" si="168"/>
        <v>277</v>
      </c>
      <c r="DF76" s="425">
        <f t="shared" si="168"/>
        <v>277</v>
      </c>
      <c r="DJ76" s="380" t="s">
        <v>807</v>
      </c>
      <c r="DK76" s="425">
        <f t="shared" si="67"/>
        <v>131</v>
      </c>
      <c r="DL76" s="425">
        <f t="shared" ref="DL76:DS76" si="184">DK76</f>
        <v>131</v>
      </c>
      <c r="DM76" s="425">
        <f t="shared" si="184"/>
        <v>131</v>
      </c>
      <c r="DN76" s="425">
        <f t="shared" si="184"/>
        <v>131</v>
      </c>
      <c r="DO76" s="425">
        <f t="shared" si="184"/>
        <v>131</v>
      </c>
      <c r="DP76" s="425">
        <f t="shared" si="184"/>
        <v>131</v>
      </c>
      <c r="DQ76" s="425">
        <f t="shared" si="184"/>
        <v>131</v>
      </c>
      <c r="DR76" s="425">
        <f t="shared" si="184"/>
        <v>131</v>
      </c>
      <c r="DS76" s="425">
        <f t="shared" si="184"/>
        <v>131</v>
      </c>
      <c r="DU76" s="380" t="s">
        <v>807</v>
      </c>
      <c r="DV76" s="425">
        <f t="shared" si="66"/>
        <v>131</v>
      </c>
      <c r="DW76" s="425">
        <f t="shared" si="94"/>
        <v>131</v>
      </c>
      <c r="DX76" s="425">
        <f t="shared" si="95"/>
        <v>131</v>
      </c>
      <c r="DY76" s="425">
        <f t="shared" si="96"/>
        <v>131</v>
      </c>
      <c r="DZ76" s="425">
        <f t="shared" si="97"/>
        <v>131</v>
      </c>
      <c r="EA76" s="425">
        <f t="shared" si="98"/>
        <v>131</v>
      </c>
      <c r="EB76" s="425">
        <f t="shared" si="99"/>
        <v>131</v>
      </c>
      <c r="EC76" s="425">
        <f t="shared" si="100"/>
        <v>131</v>
      </c>
      <c r="ED76" s="425">
        <f t="shared" si="101"/>
        <v>131</v>
      </c>
      <c r="EE76" s="425">
        <f t="shared" si="102"/>
        <v>131</v>
      </c>
      <c r="EF76" s="425">
        <f t="shared" si="103"/>
        <v>131</v>
      </c>
      <c r="EG76" s="425">
        <f t="shared" si="104"/>
        <v>131</v>
      </c>
      <c r="EH76" s="425">
        <f t="shared" si="105"/>
        <v>131</v>
      </c>
      <c r="EI76" s="425">
        <f t="shared" si="106"/>
        <v>131</v>
      </c>
      <c r="EJ76" s="425">
        <f t="shared" si="107"/>
        <v>131</v>
      </c>
      <c r="EK76" s="425">
        <f t="shared" si="78"/>
        <v>131</v>
      </c>
      <c r="EL76" s="425">
        <f t="shared" si="79"/>
        <v>131</v>
      </c>
      <c r="EM76" s="425">
        <f t="shared" si="80"/>
        <v>131</v>
      </c>
      <c r="EN76" s="425">
        <f t="shared" si="81"/>
        <v>131</v>
      </c>
      <c r="EO76" s="425">
        <f t="shared" si="82"/>
        <v>131</v>
      </c>
      <c r="EP76" s="425">
        <f t="shared" si="83"/>
        <v>131</v>
      </c>
      <c r="EQ76" s="425">
        <f t="shared" si="84"/>
        <v>131</v>
      </c>
      <c r="ER76" s="425">
        <f t="shared" si="85"/>
        <v>131</v>
      </c>
      <c r="ES76" s="425">
        <f t="shared" si="86"/>
        <v>131</v>
      </c>
      <c r="ET76" s="425">
        <f t="shared" si="87"/>
        <v>131</v>
      </c>
      <c r="EU76" s="425">
        <f t="shared" si="88"/>
        <v>131</v>
      </c>
      <c r="EV76" s="425">
        <f t="shared" si="88"/>
        <v>131</v>
      </c>
      <c r="EW76" s="425">
        <f t="shared" si="89"/>
        <v>131</v>
      </c>
      <c r="EX76" s="425">
        <f t="shared" si="90"/>
        <v>131</v>
      </c>
      <c r="EY76" s="425">
        <f t="shared" si="91"/>
        <v>131</v>
      </c>
      <c r="EZ76" s="425">
        <f t="shared" si="92"/>
        <v>131</v>
      </c>
    </row>
    <row r="77" spans="2:156" x14ac:dyDescent="0.2">
      <c r="AP77" s="380" t="s">
        <v>702</v>
      </c>
      <c r="AQ77" s="406">
        <f t="shared" si="41"/>
        <v>133</v>
      </c>
      <c r="AR77" s="406">
        <f t="shared" si="41"/>
        <v>133</v>
      </c>
      <c r="AS77" s="380">
        <f t="shared" si="42"/>
        <v>133</v>
      </c>
      <c r="AT77" s="380">
        <f t="shared" si="43"/>
        <v>133</v>
      </c>
      <c r="AU77" s="380">
        <f t="shared" si="44"/>
        <v>133</v>
      </c>
      <c r="AV77" s="380">
        <f t="shared" si="45"/>
        <v>133</v>
      </c>
      <c r="AW77" s="380">
        <f t="shared" si="46"/>
        <v>133</v>
      </c>
      <c r="AX77" s="380">
        <f t="shared" si="47"/>
        <v>133</v>
      </c>
      <c r="AY77" s="380">
        <f t="shared" si="48"/>
        <v>133</v>
      </c>
      <c r="AZ77" s="380">
        <f t="shared" si="49"/>
        <v>133</v>
      </c>
      <c r="BA77" s="380">
        <f t="shared" si="50"/>
        <v>133</v>
      </c>
      <c r="BB77" s="380">
        <f t="shared" si="51"/>
        <v>133</v>
      </c>
      <c r="BC77" s="380">
        <f t="shared" si="52"/>
        <v>133</v>
      </c>
      <c r="BD77" s="407">
        <f t="shared" si="52"/>
        <v>133</v>
      </c>
      <c r="BG77" s="380" t="s">
        <v>702</v>
      </c>
      <c r="BH77" s="406">
        <f t="shared" si="53"/>
        <v>133</v>
      </c>
      <c r="BI77" s="406">
        <f t="shared" si="53"/>
        <v>133</v>
      </c>
      <c r="BJ77" s="380">
        <f t="shared" si="54"/>
        <v>133</v>
      </c>
      <c r="BK77" s="380">
        <f t="shared" si="55"/>
        <v>133</v>
      </c>
      <c r="BL77" s="380">
        <f t="shared" si="56"/>
        <v>133</v>
      </c>
      <c r="BM77" s="380">
        <f t="shared" si="57"/>
        <v>133</v>
      </c>
      <c r="BN77" s="380">
        <f t="shared" si="57"/>
        <v>133</v>
      </c>
      <c r="BO77" s="380">
        <f t="shared" si="145"/>
        <v>133</v>
      </c>
      <c r="BP77" s="380">
        <f t="shared" si="59"/>
        <v>133</v>
      </c>
      <c r="BQ77" s="380">
        <f t="shared" si="60"/>
        <v>133</v>
      </c>
      <c r="BR77" s="380">
        <f t="shared" si="61"/>
        <v>133</v>
      </c>
      <c r="BS77" s="380">
        <f t="shared" si="62"/>
        <v>133</v>
      </c>
      <c r="BT77" s="380">
        <f t="shared" si="62"/>
        <v>133</v>
      </c>
      <c r="BU77" s="380">
        <f t="shared" si="63"/>
        <v>133</v>
      </c>
      <c r="BV77" s="380">
        <f t="shared" si="64"/>
        <v>133</v>
      </c>
      <c r="BW77" s="380">
        <f t="shared" si="65"/>
        <v>133</v>
      </c>
      <c r="BX77" s="407">
        <f t="shared" si="142"/>
        <v>133</v>
      </c>
      <c r="CB77" s="425">
        <f>'A-50 FGRailInv'!$C$69</f>
        <v>0</v>
      </c>
      <c r="CC77" s="425" t="str">
        <f>Valid!$B$75</f>
        <v>Elevated/Steel Viaduct or Bridge</v>
      </c>
      <c r="CD77" s="425">
        <f>CD73</f>
        <v>237</v>
      </c>
      <c r="CE77" s="446">
        <f t="shared" si="178"/>
        <v>253</v>
      </c>
      <c r="CF77" s="446">
        <f t="shared" si="29"/>
        <v>253</v>
      </c>
      <c r="CG77" s="425">
        <f t="shared" si="182"/>
        <v>253</v>
      </c>
      <c r="CH77" s="425">
        <f t="shared" si="182"/>
        <v>253</v>
      </c>
      <c r="CI77" s="425">
        <f t="shared" si="182"/>
        <v>253</v>
      </c>
      <c r="CJ77" s="425">
        <f t="shared" si="182"/>
        <v>253</v>
      </c>
      <c r="CK77" s="425">
        <f t="shared" si="182"/>
        <v>253</v>
      </c>
      <c r="CL77" s="425">
        <f t="shared" si="182"/>
        <v>253</v>
      </c>
      <c r="CM77" s="425">
        <f t="shared" si="182"/>
        <v>253</v>
      </c>
      <c r="CN77" s="425">
        <f t="shared" si="182"/>
        <v>253</v>
      </c>
      <c r="CO77" s="425">
        <f t="shared" si="182"/>
        <v>253</v>
      </c>
      <c r="CP77" s="425">
        <f t="shared" si="183"/>
        <v>253</v>
      </c>
      <c r="CQ77" s="425">
        <f t="shared" si="183"/>
        <v>253</v>
      </c>
      <c r="CR77" s="425">
        <f t="shared" si="183"/>
        <v>253</v>
      </c>
      <c r="CS77" s="425">
        <f t="shared" si="183"/>
        <v>253</v>
      </c>
      <c r="CT77" s="425">
        <f t="shared" si="183"/>
        <v>253</v>
      </c>
      <c r="CU77" s="425">
        <f t="shared" si="183"/>
        <v>253</v>
      </c>
      <c r="CY77" s="425">
        <f>'A-55 TrackInv'!$C$261</f>
        <v>0</v>
      </c>
      <c r="CZ77" s="425" t="str">
        <f>Valid!$B$84</f>
        <v>Half Grand Union</v>
      </c>
      <c r="DA77" s="425">
        <f t="shared" si="179"/>
        <v>261</v>
      </c>
      <c r="DB77" s="1283">
        <f>DB76+$DB$7</f>
        <v>279</v>
      </c>
      <c r="DC77" s="425">
        <f t="shared" si="168"/>
        <v>279</v>
      </c>
      <c r="DD77" s="425">
        <f t="shared" si="168"/>
        <v>279</v>
      </c>
      <c r="DE77" s="425">
        <f t="shared" si="168"/>
        <v>279</v>
      </c>
      <c r="DF77" s="425">
        <f t="shared" si="168"/>
        <v>279</v>
      </c>
      <c r="DJ77" s="380" t="s">
        <v>808</v>
      </c>
      <c r="DK77" s="425">
        <f t="shared" si="67"/>
        <v>133</v>
      </c>
      <c r="DL77" s="425">
        <f t="shared" ref="DL77:DS77" si="185">DK77</f>
        <v>133</v>
      </c>
      <c r="DM77" s="425">
        <f t="shared" si="185"/>
        <v>133</v>
      </c>
      <c r="DN77" s="425">
        <f t="shared" si="185"/>
        <v>133</v>
      </c>
      <c r="DO77" s="425">
        <f t="shared" si="185"/>
        <v>133</v>
      </c>
      <c r="DP77" s="425">
        <f t="shared" si="185"/>
        <v>133</v>
      </c>
      <c r="DQ77" s="425">
        <f t="shared" si="185"/>
        <v>133</v>
      </c>
      <c r="DR77" s="425">
        <f t="shared" si="185"/>
        <v>133</v>
      </c>
      <c r="DS77" s="425">
        <f t="shared" si="185"/>
        <v>133</v>
      </c>
      <c r="DU77" s="380" t="s">
        <v>808</v>
      </c>
      <c r="DV77" s="425">
        <f t="shared" si="66"/>
        <v>133</v>
      </c>
      <c r="DW77" s="425">
        <f t="shared" si="94"/>
        <v>133</v>
      </c>
      <c r="DX77" s="425">
        <f t="shared" si="95"/>
        <v>133</v>
      </c>
      <c r="DY77" s="425">
        <f t="shared" si="96"/>
        <v>133</v>
      </c>
      <c r="DZ77" s="425">
        <f t="shared" si="97"/>
        <v>133</v>
      </c>
      <c r="EA77" s="425">
        <f t="shared" si="98"/>
        <v>133</v>
      </c>
      <c r="EB77" s="425">
        <f t="shared" si="99"/>
        <v>133</v>
      </c>
      <c r="EC77" s="425">
        <f t="shared" si="100"/>
        <v>133</v>
      </c>
      <c r="ED77" s="425">
        <f t="shared" si="101"/>
        <v>133</v>
      </c>
      <c r="EE77" s="425">
        <f t="shared" si="102"/>
        <v>133</v>
      </c>
      <c r="EF77" s="425">
        <f t="shared" si="103"/>
        <v>133</v>
      </c>
      <c r="EG77" s="425">
        <f t="shared" si="104"/>
        <v>133</v>
      </c>
      <c r="EH77" s="425">
        <f t="shared" si="105"/>
        <v>133</v>
      </c>
      <c r="EI77" s="425">
        <f t="shared" si="106"/>
        <v>133</v>
      </c>
      <c r="EJ77" s="425">
        <f t="shared" si="107"/>
        <v>133</v>
      </c>
      <c r="EK77" s="425">
        <f t="shared" si="78"/>
        <v>133</v>
      </c>
      <c r="EL77" s="425">
        <f t="shared" si="79"/>
        <v>133</v>
      </c>
      <c r="EM77" s="425">
        <f t="shared" si="80"/>
        <v>133</v>
      </c>
      <c r="EN77" s="425">
        <f t="shared" si="81"/>
        <v>133</v>
      </c>
      <c r="EO77" s="425">
        <f t="shared" si="82"/>
        <v>133</v>
      </c>
      <c r="EP77" s="425">
        <f t="shared" si="83"/>
        <v>133</v>
      </c>
      <c r="EQ77" s="425">
        <f t="shared" si="84"/>
        <v>133</v>
      </c>
      <c r="ER77" s="425">
        <f t="shared" si="85"/>
        <v>133</v>
      </c>
      <c r="ES77" s="425">
        <f t="shared" si="86"/>
        <v>133</v>
      </c>
      <c r="ET77" s="425">
        <f t="shared" si="87"/>
        <v>133</v>
      </c>
      <c r="EU77" s="425">
        <f t="shared" si="88"/>
        <v>133</v>
      </c>
      <c r="EV77" s="425">
        <f t="shared" si="88"/>
        <v>133</v>
      </c>
      <c r="EW77" s="425">
        <f t="shared" si="89"/>
        <v>133</v>
      </c>
      <c r="EX77" s="425">
        <f t="shared" si="90"/>
        <v>133</v>
      </c>
      <c r="EY77" s="425">
        <f t="shared" si="91"/>
        <v>133</v>
      </c>
      <c r="EZ77" s="425">
        <f t="shared" si="92"/>
        <v>133</v>
      </c>
    </row>
    <row r="78" spans="2:156" ht="30.75" customHeight="1" x14ac:dyDescent="0.2">
      <c r="AP78" s="380" t="s">
        <v>703</v>
      </c>
      <c r="AQ78" s="406">
        <f t="shared" si="41"/>
        <v>135</v>
      </c>
      <c r="AR78" s="406">
        <f t="shared" si="41"/>
        <v>135</v>
      </c>
      <c r="AS78" s="380">
        <f t="shared" si="42"/>
        <v>135</v>
      </c>
      <c r="AT78" s="380">
        <f t="shared" si="43"/>
        <v>135</v>
      </c>
      <c r="AU78" s="380">
        <f t="shared" si="44"/>
        <v>135</v>
      </c>
      <c r="AV78" s="380">
        <f t="shared" si="45"/>
        <v>135</v>
      </c>
      <c r="AW78" s="380">
        <f t="shared" si="46"/>
        <v>135</v>
      </c>
      <c r="AX78" s="380">
        <f t="shared" si="47"/>
        <v>135</v>
      </c>
      <c r="AY78" s="380">
        <f t="shared" si="48"/>
        <v>135</v>
      </c>
      <c r="AZ78" s="380">
        <f t="shared" si="49"/>
        <v>135</v>
      </c>
      <c r="BA78" s="380">
        <f t="shared" si="50"/>
        <v>135</v>
      </c>
      <c r="BB78" s="380">
        <f t="shared" si="51"/>
        <v>135</v>
      </c>
      <c r="BC78" s="380">
        <f t="shared" si="52"/>
        <v>135</v>
      </c>
      <c r="BD78" s="407">
        <f t="shared" si="52"/>
        <v>135</v>
      </c>
      <c r="BG78" s="380" t="s">
        <v>703</v>
      </c>
      <c r="BH78" s="406">
        <f t="shared" si="53"/>
        <v>135</v>
      </c>
      <c r="BI78" s="406">
        <f t="shared" si="53"/>
        <v>135</v>
      </c>
      <c r="BJ78" s="380">
        <f t="shared" si="54"/>
        <v>135</v>
      </c>
      <c r="BK78" s="380">
        <f t="shared" si="55"/>
        <v>135</v>
      </c>
      <c r="BL78" s="380">
        <f t="shared" si="56"/>
        <v>135</v>
      </c>
      <c r="BM78" s="380">
        <f t="shared" si="57"/>
        <v>135</v>
      </c>
      <c r="BN78" s="380">
        <f t="shared" si="57"/>
        <v>135</v>
      </c>
      <c r="BO78" s="380">
        <f t="shared" si="145"/>
        <v>135</v>
      </c>
      <c r="BP78" s="380">
        <f t="shared" si="59"/>
        <v>135</v>
      </c>
      <c r="BQ78" s="380">
        <f t="shared" si="60"/>
        <v>135</v>
      </c>
      <c r="BR78" s="380">
        <f t="shared" si="61"/>
        <v>135</v>
      </c>
      <c r="BS78" s="380">
        <f t="shared" si="62"/>
        <v>135</v>
      </c>
      <c r="BT78" s="380">
        <f t="shared" si="62"/>
        <v>135</v>
      </c>
      <c r="BU78" s="380">
        <f t="shared" si="63"/>
        <v>135</v>
      </c>
      <c r="BV78" s="380">
        <f t="shared" si="64"/>
        <v>135</v>
      </c>
      <c r="BW78" s="380">
        <f t="shared" si="65"/>
        <v>135</v>
      </c>
      <c r="BX78" s="407">
        <f t="shared" si="142"/>
        <v>135</v>
      </c>
      <c r="CA78" s="448"/>
      <c r="CB78" s="425">
        <f>'A-50 FGRailInv'!$C$69</f>
        <v>0</v>
      </c>
      <c r="CC78" s="425" t="str">
        <f>Valid!$B$76</f>
        <v>Below-Grade/Retained Cut</v>
      </c>
      <c r="CD78" s="425">
        <f>CD73</f>
        <v>237</v>
      </c>
      <c r="CE78" s="1199">
        <f t="shared" si="178"/>
        <v>256</v>
      </c>
      <c r="CF78" s="446">
        <f t="shared" si="29"/>
        <v>256</v>
      </c>
      <c r="CG78" s="425">
        <f t="shared" si="182"/>
        <v>256</v>
      </c>
      <c r="CH78" s="425">
        <f t="shared" si="182"/>
        <v>256</v>
      </c>
      <c r="CI78" s="425">
        <f t="shared" si="182"/>
        <v>256</v>
      </c>
      <c r="CJ78" s="425">
        <f t="shared" si="182"/>
        <v>256</v>
      </c>
      <c r="CK78" s="425">
        <f t="shared" si="182"/>
        <v>256</v>
      </c>
      <c r="CL78" s="425">
        <f t="shared" si="182"/>
        <v>256</v>
      </c>
      <c r="CM78" s="425">
        <f t="shared" si="182"/>
        <v>256</v>
      </c>
      <c r="CN78" s="425">
        <f t="shared" si="182"/>
        <v>256</v>
      </c>
      <c r="CO78" s="425">
        <f t="shared" si="182"/>
        <v>256</v>
      </c>
      <c r="CP78" s="425">
        <f t="shared" si="183"/>
        <v>256</v>
      </c>
      <c r="CQ78" s="425">
        <f t="shared" si="183"/>
        <v>256</v>
      </c>
      <c r="CR78" s="425">
        <f t="shared" si="183"/>
        <v>256</v>
      </c>
      <c r="CS78" s="425">
        <f t="shared" si="183"/>
        <v>256</v>
      </c>
      <c r="CT78" s="425">
        <f t="shared" si="183"/>
        <v>256</v>
      </c>
      <c r="CU78" s="425">
        <f t="shared" si="183"/>
        <v>256</v>
      </c>
      <c r="CY78" s="425">
        <f>'A-55 TrackInv'!$C$261</f>
        <v>0</v>
      </c>
      <c r="CZ78" s="425" t="str">
        <f>Valid!$B$85</f>
        <v>Single Turnout</v>
      </c>
      <c r="DA78" s="425">
        <f t="shared" si="179"/>
        <v>261</v>
      </c>
      <c r="DB78" s="1283">
        <f>DB77+$DB$7</f>
        <v>281</v>
      </c>
      <c r="DC78" s="425">
        <f t="shared" si="168"/>
        <v>281</v>
      </c>
      <c r="DD78" s="425">
        <f t="shared" si="168"/>
        <v>281</v>
      </c>
      <c r="DE78" s="425">
        <f t="shared" si="168"/>
        <v>281</v>
      </c>
      <c r="DF78" s="425">
        <f t="shared" si="168"/>
        <v>281</v>
      </c>
      <c r="DJ78" s="380" t="s">
        <v>809</v>
      </c>
      <c r="DK78" s="425">
        <f t="shared" si="67"/>
        <v>135</v>
      </c>
      <c r="DL78" s="425">
        <f t="shared" ref="DL78:DS78" si="186">DK78</f>
        <v>135</v>
      </c>
      <c r="DM78" s="425">
        <f t="shared" si="186"/>
        <v>135</v>
      </c>
      <c r="DN78" s="425">
        <f t="shared" si="186"/>
        <v>135</v>
      </c>
      <c r="DO78" s="425">
        <f t="shared" si="186"/>
        <v>135</v>
      </c>
      <c r="DP78" s="425">
        <f t="shared" si="186"/>
        <v>135</v>
      </c>
      <c r="DQ78" s="425">
        <f t="shared" si="186"/>
        <v>135</v>
      </c>
      <c r="DR78" s="425">
        <f t="shared" si="186"/>
        <v>135</v>
      </c>
      <c r="DS78" s="425">
        <f t="shared" si="186"/>
        <v>135</v>
      </c>
      <c r="DU78" s="380" t="s">
        <v>809</v>
      </c>
      <c r="DV78" s="425">
        <f t="shared" si="66"/>
        <v>135</v>
      </c>
      <c r="DW78" s="425">
        <f t="shared" si="94"/>
        <v>135</v>
      </c>
      <c r="DX78" s="425">
        <f t="shared" si="95"/>
        <v>135</v>
      </c>
      <c r="DY78" s="425">
        <f t="shared" si="96"/>
        <v>135</v>
      </c>
      <c r="DZ78" s="425">
        <f t="shared" si="97"/>
        <v>135</v>
      </c>
      <c r="EA78" s="425">
        <f t="shared" si="98"/>
        <v>135</v>
      </c>
      <c r="EB78" s="425">
        <f t="shared" si="99"/>
        <v>135</v>
      </c>
      <c r="EC78" s="425">
        <f t="shared" si="100"/>
        <v>135</v>
      </c>
      <c r="ED78" s="425">
        <f t="shared" si="101"/>
        <v>135</v>
      </c>
      <c r="EE78" s="425">
        <f t="shared" si="102"/>
        <v>135</v>
      </c>
      <c r="EF78" s="425">
        <f t="shared" si="103"/>
        <v>135</v>
      </c>
      <c r="EG78" s="425">
        <f t="shared" si="104"/>
        <v>135</v>
      </c>
      <c r="EH78" s="425">
        <f t="shared" si="105"/>
        <v>135</v>
      </c>
      <c r="EI78" s="425">
        <f t="shared" si="106"/>
        <v>135</v>
      </c>
      <c r="EJ78" s="425">
        <f t="shared" si="107"/>
        <v>135</v>
      </c>
      <c r="EK78" s="425">
        <f t="shared" si="78"/>
        <v>135</v>
      </c>
      <c r="EL78" s="425">
        <f t="shared" si="79"/>
        <v>135</v>
      </c>
      <c r="EM78" s="425">
        <f t="shared" si="80"/>
        <v>135</v>
      </c>
      <c r="EN78" s="425">
        <f t="shared" si="81"/>
        <v>135</v>
      </c>
      <c r="EO78" s="425">
        <f t="shared" si="82"/>
        <v>135</v>
      </c>
      <c r="EP78" s="425">
        <f t="shared" si="83"/>
        <v>135</v>
      </c>
      <c r="EQ78" s="425">
        <f t="shared" si="84"/>
        <v>135</v>
      </c>
      <c r="ER78" s="425">
        <f t="shared" si="85"/>
        <v>135</v>
      </c>
      <c r="ES78" s="425">
        <f t="shared" si="86"/>
        <v>135</v>
      </c>
      <c r="ET78" s="425">
        <f t="shared" si="87"/>
        <v>135</v>
      </c>
      <c r="EU78" s="425">
        <f t="shared" si="88"/>
        <v>135</v>
      </c>
      <c r="EV78" s="425">
        <f t="shared" si="88"/>
        <v>135</v>
      </c>
      <c r="EW78" s="425">
        <f t="shared" si="89"/>
        <v>135</v>
      </c>
      <c r="EX78" s="425">
        <f t="shared" si="90"/>
        <v>135</v>
      </c>
      <c r="EY78" s="425">
        <f t="shared" si="91"/>
        <v>135</v>
      </c>
      <c r="EZ78" s="425">
        <f t="shared" si="92"/>
        <v>135</v>
      </c>
    </row>
    <row r="79" spans="2:156" x14ac:dyDescent="0.2">
      <c r="AP79" s="380" t="s">
        <v>704</v>
      </c>
      <c r="AQ79" s="406">
        <f t="shared" si="41"/>
        <v>137</v>
      </c>
      <c r="AR79" s="406">
        <f t="shared" si="41"/>
        <v>137</v>
      </c>
      <c r="AS79" s="380">
        <f t="shared" si="42"/>
        <v>137</v>
      </c>
      <c r="AT79" s="380">
        <f t="shared" si="43"/>
        <v>137</v>
      </c>
      <c r="AU79" s="380">
        <f t="shared" si="44"/>
        <v>137</v>
      </c>
      <c r="AV79" s="380">
        <f t="shared" si="45"/>
        <v>137</v>
      </c>
      <c r="AW79" s="380">
        <f t="shared" si="46"/>
        <v>137</v>
      </c>
      <c r="AX79" s="380">
        <f t="shared" si="47"/>
        <v>137</v>
      </c>
      <c r="AY79" s="380">
        <f t="shared" si="48"/>
        <v>137</v>
      </c>
      <c r="AZ79" s="380">
        <f t="shared" si="49"/>
        <v>137</v>
      </c>
      <c r="BA79" s="380">
        <f t="shared" si="50"/>
        <v>137</v>
      </c>
      <c r="BB79" s="380">
        <f t="shared" si="51"/>
        <v>137</v>
      </c>
      <c r="BC79" s="380">
        <f t="shared" si="52"/>
        <v>137</v>
      </c>
      <c r="BD79" s="407">
        <f t="shared" si="52"/>
        <v>137</v>
      </c>
      <c r="BG79" s="380" t="s">
        <v>704</v>
      </c>
      <c r="BH79" s="406">
        <f t="shared" si="53"/>
        <v>137</v>
      </c>
      <c r="BI79" s="406">
        <f t="shared" si="53"/>
        <v>137</v>
      </c>
      <c r="BJ79" s="380">
        <f t="shared" si="54"/>
        <v>137</v>
      </c>
      <c r="BK79" s="380">
        <f t="shared" si="55"/>
        <v>137</v>
      </c>
      <c r="BL79" s="380">
        <f t="shared" si="56"/>
        <v>137</v>
      </c>
      <c r="BM79" s="380">
        <f t="shared" si="57"/>
        <v>137</v>
      </c>
      <c r="BN79" s="380">
        <f t="shared" si="57"/>
        <v>137</v>
      </c>
      <c r="BO79" s="380">
        <f t="shared" si="145"/>
        <v>137</v>
      </c>
      <c r="BP79" s="380">
        <f t="shared" si="59"/>
        <v>137</v>
      </c>
      <c r="BQ79" s="380">
        <f t="shared" si="60"/>
        <v>137</v>
      </c>
      <c r="BR79" s="380">
        <f t="shared" si="61"/>
        <v>137</v>
      </c>
      <c r="BS79" s="380">
        <f t="shared" si="62"/>
        <v>137</v>
      </c>
      <c r="BT79" s="380">
        <f t="shared" si="62"/>
        <v>137</v>
      </c>
      <c r="BU79" s="380">
        <f t="shared" si="63"/>
        <v>137</v>
      </c>
      <c r="BV79" s="380">
        <f t="shared" si="64"/>
        <v>137</v>
      </c>
      <c r="BW79" s="380">
        <f t="shared" si="65"/>
        <v>137</v>
      </c>
      <c r="BX79" s="407">
        <f t="shared" si="142"/>
        <v>137</v>
      </c>
      <c r="CA79" s="448"/>
      <c r="CB79" s="425">
        <f>'A-50 FGRailInv'!$C$69</f>
        <v>0</v>
      </c>
      <c r="CC79" s="425" t="str">
        <f>Valid!$B$77</f>
        <v>Below-Grade/Cut-and-Cover Tunnel</v>
      </c>
      <c r="CD79" s="425">
        <f>CD73</f>
        <v>237</v>
      </c>
      <c r="CE79" s="446">
        <f t="shared" si="178"/>
        <v>259</v>
      </c>
      <c r="CF79" s="446">
        <f t="shared" si="29"/>
        <v>259</v>
      </c>
      <c r="CG79" s="425">
        <f t="shared" si="182"/>
        <v>259</v>
      </c>
      <c r="CH79" s="425">
        <f t="shared" si="182"/>
        <v>259</v>
      </c>
      <c r="CI79" s="425">
        <f t="shared" si="182"/>
        <v>259</v>
      </c>
      <c r="CJ79" s="425">
        <f t="shared" si="182"/>
        <v>259</v>
      </c>
      <c r="CK79" s="425">
        <f t="shared" si="182"/>
        <v>259</v>
      </c>
      <c r="CL79" s="425">
        <f t="shared" si="182"/>
        <v>259</v>
      </c>
      <c r="CM79" s="425">
        <f t="shared" si="182"/>
        <v>259</v>
      </c>
      <c r="CN79" s="425">
        <f t="shared" si="182"/>
        <v>259</v>
      </c>
      <c r="CO79" s="425">
        <f t="shared" si="182"/>
        <v>259</v>
      </c>
      <c r="CP79" s="425">
        <f t="shared" si="183"/>
        <v>259</v>
      </c>
      <c r="CQ79" s="425">
        <f t="shared" si="183"/>
        <v>259</v>
      </c>
      <c r="CR79" s="425">
        <f t="shared" si="183"/>
        <v>259</v>
      </c>
      <c r="CS79" s="425">
        <f t="shared" si="183"/>
        <v>259</v>
      </c>
      <c r="CT79" s="425">
        <f t="shared" si="183"/>
        <v>259</v>
      </c>
      <c r="CU79" s="425">
        <f t="shared" si="183"/>
        <v>259</v>
      </c>
      <c r="CY79" s="425">
        <f>'A-55 TrackInv'!$C$261</f>
        <v>0</v>
      </c>
      <c r="CZ79" s="425" t="str">
        <f>Valid!$B$86</f>
        <v>Grade Crossings</v>
      </c>
      <c r="DA79" s="425">
        <f t="shared" si="179"/>
        <v>261</v>
      </c>
      <c r="DB79" s="1283">
        <f>DB78+$DB$7</f>
        <v>283</v>
      </c>
      <c r="DC79" s="425">
        <f t="shared" si="168"/>
        <v>283</v>
      </c>
      <c r="DD79" s="425">
        <f t="shared" si="168"/>
        <v>283</v>
      </c>
      <c r="DE79" s="425">
        <f t="shared" si="168"/>
        <v>283</v>
      </c>
      <c r="DF79" s="425">
        <f t="shared" si="168"/>
        <v>283</v>
      </c>
      <c r="DJ79" s="380" t="s">
        <v>810</v>
      </c>
      <c r="DK79" s="425">
        <f t="shared" si="67"/>
        <v>137</v>
      </c>
      <c r="DL79" s="425">
        <f t="shared" ref="DL79:DS79" si="187">DK79</f>
        <v>137</v>
      </c>
      <c r="DM79" s="425">
        <f t="shared" si="187"/>
        <v>137</v>
      </c>
      <c r="DN79" s="425">
        <f t="shared" si="187"/>
        <v>137</v>
      </c>
      <c r="DO79" s="425">
        <f t="shared" si="187"/>
        <v>137</v>
      </c>
      <c r="DP79" s="425">
        <f t="shared" si="187"/>
        <v>137</v>
      </c>
      <c r="DQ79" s="425">
        <f t="shared" si="187"/>
        <v>137</v>
      </c>
      <c r="DR79" s="425">
        <f t="shared" si="187"/>
        <v>137</v>
      </c>
      <c r="DS79" s="425">
        <f t="shared" si="187"/>
        <v>137</v>
      </c>
      <c r="DU79" s="380" t="s">
        <v>810</v>
      </c>
      <c r="DV79" s="425">
        <f t="shared" si="66"/>
        <v>137</v>
      </c>
      <c r="DW79" s="425">
        <f t="shared" si="94"/>
        <v>137</v>
      </c>
      <c r="DX79" s="425">
        <f t="shared" si="95"/>
        <v>137</v>
      </c>
      <c r="DY79" s="425">
        <f t="shared" si="96"/>
        <v>137</v>
      </c>
      <c r="DZ79" s="425">
        <f t="shared" si="97"/>
        <v>137</v>
      </c>
      <c r="EA79" s="425">
        <f t="shared" si="98"/>
        <v>137</v>
      </c>
      <c r="EB79" s="425">
        <f t="shared" si="99"/>
        <v>137</v>
      </c>
      <c r="EC79" s="425">
        <f t="shared" si="100"/>
        <v>137</v>
      </c>
      <c r="ED79" s="425">
        <f t="shared" si="101"/>
        <v>137</v>
      </c>
      <c r="EE79" s="425">
        <f t="shared" si="102"/>
        <v>137</v>
      </c>
      <c r="EF79" s="425">
        <f t="shared" si="103"/>
        <v>137</v>
      </c>
      <c r="EG79" s="425">
        <f t="shared" si="104"/>
        <v>137</v>
      </c>
      <c r="EH79" s="425">
        <f t="shared" si="105"/>
        <v>137</v>
      </c>
      <c r="EI79" s="425">
        <f t="shared" si="106"/>
        <v>137</v>
      </c>
      <c r="EJ79" s="425">
        <f t="shared" si="107"/>
        <v>137</v>
      </c>
      <c r="EK79" s="425">
        <f t="shared" si="78"/>
        <v>137</v>
      </c>
      <c r="EL79" s="425">
        <f t="shared" si="79"/>
        <v>137</v>
      </c>
      <c r="EM79" s="425">
        <f t="shared" si="80"/>
        <v>137</v>
      </c>
      <c r="EN79" s="425">
        <f t="shared" si="81"/>
        <v>137</v>
      </c>
      <c r="EO79" s="425">
        <f t="shared" si="82"/>
        <v>137</v>
      </c>
      <c r="EP79" s="425">
        <f t="shared" si="83"/>
        <v>137</v>
      </c>
      <c r="EQ79" s="425">
        <f t="shared" si="84"/>
        <v>137</v>
      </c>
      <c r="ER79" s="425">
        <f t="shared" si="85"/>
        <v>137</v>
      </c>
      <c r="ES79" s="425">
        <f t="shared" si="86"/>
        <v>137</v>
      </c>
      <c r="ET79" s="425">
        <f t="shared" si="87"/>
        <v>137</v>
      </c>
      <c r="EU79" s="425">
        <f t="shared" si="88"/>
        <v>137</v>
      </c>
      <c r="EV79" s="425">
        <f t="shared" si="88"/>
        <v>137</v>
      </c>
      <c r="EW79" s="425">
        <f t="shared" si="89"/>
        <v>137</v>
      </c>
      <c r="EX79" s="425">
        <f t="shared" si="90"/>
        <v>137</v>
      </c>
      <c r="EY79" s="425">
        <f t="shared" si="91"/>
        <v>137</v>
      </c>
      <c r="EZ79" s="425">
        <f t="shared" si="92"/>
        <v>137</v>
      </c>
    </row>
    <row r="80" spans="2:156" x14ac:dyDescent="0.2">
      <c r="AP80" s="380" t="s">
        <v>705</v>
      </c>
      <c r="AQ80" s="406">
        <f t="shared" si="41"/>
        <v>139</v>
      </c>
      <c r="AR80" s="406">
        <f t="shared" si="41"/>
        <v>139</v>
      </c>
      <c r="AS80" s="380">
        <f t="shared" si="42"/>
        <v>139</v>
      </c>
      <c r="AT80" s="380">
        <f t="shared" si="43"/>
        <v>139</v>
      </c>
      <c r="AU80" s="380">
        <f t="shared" si="44"/>
        <v>139</v>
      </c>
      <c r="AV80" s="380">
        <f t="shared" si="45"/>
        <v>139</v>
      </c>
      <c r="AW80" s="380">
        <f t="shared" si="46"/>
        <v>139</v>
      </c>
      <c r="AX80" s="380">
        <f t="shared" si="47"/>
        <v>139</v>
      </c>
      <c r="AY80" s="380">
        <f t="shared" si="48"/>
        <v>139</v>
      </c>
      <c r="AZ80" s="380">
        <f t="shared" si="49"/>
        <v>139</v>
      </c>
      <c r="BA80" s="380">
        <f t="shared" si="50"/>
        <v>139</v>
      </c>
      <c r="BB80" s="380">
        <f t="shared" si="51"/>
        <v>139</v>
      </c>
      <c r="BC80" s="380">
        <f t="shared" si="52"/>
        <v>139</v>
      </c>
      <c r="BD80" s="407">
        <f t="shared" si="52"/>
        <v>139</v>
      </c>
      <c r="BG80" s="380" t="s">
        <v>705</v>
      </c>
      <c r="BH80" s="406">
        <f t="shared" si="53"/>
        <v>139</v>
      </c>
      <c r="BI80" s="406">
        <f t="shared" si="53"/>
        <v>139</v>
      </c>
      <c r="BJ80" s="380">
        <f t="shared" si="54"/>
        <v>139</v>
      </c>
      <c r="BK80" s="380">
        <f t="shared" si="55"/>
        <v>139</v>
      </c>
      <c r="BL80" s="380">
        <f t="shared" si="56"/>
        <v>139</v>
      </c>
      <c r="BM80" s="380">
        <f t="shared" si="57"/>
        <v>139</v>
      </c>
      <c r="BN80" s="380">
        <f t="shared" si="57"/>
        <v>139</v>
      </c>
      <c r="BO80" s="380">
        <f t="shared" si="145"/>
        <v>139</v>
      </c>
      <c r="BP80" s="380">
        <f t="shared" si="59"/>
        <v>139</v>
      </c>
      <c r="BQ80" s="380">
        <f t="shared" si="60"/>
        <v>139</v>
      </c>
      <c r="BR80" s="380">
        <f t="shared" si="61"/>
        <v>139</v>
      </c>
      <c r="BS80" s="380">
        <f t="shared" si="62"/>
        <v>139</v>
      </c>
      <c r="BT80" s="380">
        <f t="shared" si="62"/>
        <v>139</v>
      </c>
      <c r="BU80" s="380">
        <f t="shared" si="63"/>
        <v>139</v>
      </c>
      <c r="BV80" s="380">
        <f t="shared" si="64"/>
        <v>139</v>
      </c>
      <c r="BW80" s="380">
        <f t="shared" si="65"/>
        <v>139</v>
      </c>
      <c r="BX80" s="407">
        <f t="shared" si="142"/>
        <v>139</v>
      </c>
      <c r="CA80" s="448"/>
      <c r="CB80" s="425">
        <f>'A-50 FGRailInv'!$C$69</f>
        <v>0</v>
      </c>
      <c r="CC80" s="425" t="str">
        <f>Valid!$B$78</f>
        <v>Below-Grade/Bored or Blasted Tunnel</v>
      </c>
      <c r="CD80" s="425">
        <f>CD73</f>
        <v>237</v>
      </c>
      <c r="CE80" s="446">
        <f t="shared" si="178"/>
        <v>262</v>
      </c>
      <c r="CF80" s="446">
        <f t="shared" si="29"/>
        <v>262</v>
      </c>
      <c r="CG80" s="425">
        <f t="shared" si="182"/>
        <v>262</v>
      </c>
      <c r="CH80" s="425">
        <f t="shared" si="182"/>
        <v>262</v>
      </c>
      <c r="CI80" s="425">
        <f t="shared" si="182"/>
        <v>262</v>
      </c>
      <c r="CJ80" s="425">
        <f t="shared" si="182"/>
        <v>262</v>
      </c>
      <c r="CK80" s="425">
        <f t="shared" si="182"/>
        <v>262</v>
      </c>
      <c r="CL80" s="425">
        <f t="shared" si="182"/>
        <v>262</v>
      </c>
      <c r="CM80" s="425">
        <f t="shared" si="182"/>
        <v>262</v>
      </c>
      <c r="CN80" s="425">
        <f t="shared" si="182"/>
        <v>262</v>
      </c>
      <c r="CO80" s="425">
        <f t="shared" si="182"/>
        <v>262</v>
      </c>
      <c r="CP80" s="425">
        <f t="shared" si="183"/>
        <v>262</v>
      </c>
      <c r="CQ80" s="425">
        <f t="shared" si="183"/>
        <v>262</v>
      </c>
      <c r="CR80" s="425">
        <f t="shared" si="183"/>
        <v>262</v>
      </c>
      <c r="CS80" s="425">
        <f t="shared" si="183"/>
        <v>262</v>
      </c>
      <c r="CT80" s="425">
        <f t="shared" si="183"/>
        <v>262</v>
      </c>
      <c r="CU80" s="425">
        <f t="shared" si="183"/>
        <v>262</v>
      </c>
      <c r="CX80" s="380">
        <f>CX73+1</f>
        <v>10</v>
      </c>
      <c r="CY80" s="425">
        <f>'A-55 TrackInv'!$C$292</f>
        <v>0</v>
      </c>
      <c r="CZ80" s="425" t="str">
        <f>Valid!$B$80</f>
        <v>Tangent</v>
      </c>
      <c r="DA80" s="425">
        <f>DA74+$DA$7</f>
        <v>292</v>
      </c>
      <c r="DB80" s="1283">
        <f>DB79+$DB$9</f>
        <v>298</v>
      </c>
      <c r="DC80" s="425">
        <f t="shared" si="168"/>
        <v>298</v>
      </c>
      <c r="DD80" s="425">
        <f t="shared" si="168"/>
        <v>298</v>
      </c>
      <c r="DE80" s="425">
        <f t="shared" si="168"/>
        <v>298</v>
      </c>
      <c r="DF80" s="425">
        <f t="shared" si="168"/>
        <v>298</v>
      </c>
      <c r="DJ80" s="380" t="s">
        <v>811</v>
      </c>
      <c r="DK80" s="425">
        <f t="shared" si="67"/>
        <v>139</v>
      </c>
      <c r="DL80" s="425">
        <f t="shared" ref="DL80:DS80" si="188">DK80</f>
        <v>139</v>
      </c>
      <c r="DM80" s="425">
        <f t="shared" si="188"/>
        <v>139</v>
      </c>
      <c r="DN80" s="425">
        <f t="shared" si="188"/>
        <v>139</v>
      </c>
      <c r="DO80" s="425">
        <f t="shared" si="188"/>
        <v>139</v>
      </c>
      <c r="DP80" s="425">
        <f t="shared" si="188"/>
        <v>139</v>
      </c>
      <c r="DQ80" s="425">
        <f t="shared" si="188"/>
        <v>139</v>
      </c>
      <c r="DR80" s="425">
        <f t="shared" si="188"/>
        <v>139</v>
      </c>
      <c r="DS80" s="425">
        <f t="shared" si="188"/>
        <v>139</v>
      </c>
      <c r="DU80" s="380" t="s">
        <v>811</v>
      </c>
      <c r="DV80" s="425">
        <f t="shared" si="66"/>
        <v>139</v>
      </c>
      <c r="DW80" s="425">
        <f t="shared" si="94"/>
        <v>139</v>
      </c>
      <c r="DX80" s="425">
        <f t="shared" si="95"/>
        <v>139</v>
      </c>
      <c r="DY80" s="425">
        <f t="shared" si="96"/>
        <v>139</v>
      </c>
      <c r="DZ80" s="425">
        <f t="shared" si="97"/>
        <v>139</v>
      </c>
      <c r="EA80" s="425">
        <f t="shared" si="98"/>
        <v>139</v>
      </c>
      <c r="EB80" s="425">
        <f t="shared" si="99"/>
        <v>139</v>
      </c>
      <c r="EC80" s="425">
        <f t="shared" si="100"/>
        <v>139</v>
      </c>
      <c r="ED80" s="425">
        <f t="shared" si="101"/>
        <v>139</v>
      </c>
      <c r="EE80" s="425">
        <f t="shared" si="102"/>
        <v>139</v>
      </c>
      <c r="EF80" s="425">
        <f t="shared" si="103"/>
        <v>139</v>
      </c>
      <c r="EG80" s="425">
        <f t="shared" si="104"/>
        <v>139</v>
      </c>
      <c r="EH80" s="425">
        <f t="shared" si="105"/>
        <v>139</v>
      </c>
      <c r="EI80" s="425">
        <f t="shared" si="106"/>
        <v>139</v>
      </c>
      <c r="EJ80" s="425">
        <f t="shared" si="107"/>
        <v>139</v>
      </c>
      <c r="EK80" s="425">
        <f t="shared" si="78"/>
        <v>139</v>
      </c>
      <c r="EL80" s="425">
        <f t="shared" si="79"/>
        <v>139</v>
      </c>
      <c r="EM80" s="425">
        <f t="shared" si="80"/>
        <v>139</v>
      </c>
      <c r="EN80" s="425">
        <f t="shared" si="81"/>
        <v>139</v>
      </c>
      <c r="EO80" s="425">
        <f t="shared" si="82"/>
        <v>139</v>
      </c>
      <c r="EP80" s="425">
        <f t="shared" si="83"/>
        <v>139</v>
      </c>
      <c r="EQ80" s="425">
        <f t="shared" si="84"/>
        <v>139</v>
      </c>
      <c r="ER80" s="425">
        <f t="shared" si="85"/>
        <v>139</v>
      </c>
      <c r="ES80" s="425">
        <f t="shared" si="86"/>
        <v>139</v>
      </c>
      <c r="ET80" s="425">
        <f t="shared" si="87"/>
        <v>139</v>
      </c>
      <c r="EU80" s="425">
        <f t="shared" si="88"/>
        <v>139</v>
      </c>
      <c r="EV80" s="425">
        <f t="shared" si="88"/>
        <v>139</v>
      </c>
      <c r="EW80" s="425">
        <f t="shared" si="89"/>
        <v>139</v>
      </c>
      <c r="EX80" s="425">
        <f t="shared" si="90"/>
        <v>139</v>
      </c>
      <c r="EY80" s="425">
        <f t="shared" si="91"/>
        <v>139</v>
      </c>
      <c r="EZ80" s="425">
        <f t="shared" si="92"/>
        <v>139</v>
      </c>
    </row>
    <row r="81" spans="42:156" x14ac:dyDescent="0.2">
      <c r="AP81" s="380" t="s">
        <v>706</v>
      </c>
      <c r="AQ81" s="406">
        <f t="shared" si="41"/>
        <v>141</v>
      </c>
      <c r="AR81" s="406">
        <f t="shared" si="41"/>
        <v>141</v>
      </c>
      <c r="AS81" s="380">
        <f t="shared" si="42"/>
        <v>141</v>
      </c>
      <c r="AT81" s="380">
        <f t="shared" si="43"/>
        <v>141</v>
      </c>
      <c r="AU81" s="380">
        <f t="shared" si="44"/>
        <v>141</v>
      </c>
      <c r="AV81" s="380">
        <f t="shared" si="45"/>
        <v>141</v>
      </c>
      <c r="AW81" s="380">
        <f t="shared" si="46"/>
        <v>141</v>
      </c>
      <c r="AX81" s="380">
        <f t="shared" si="47"/>
        <v>141</v>
      </c>
      <c r="AY81" s="380">
        <f t="shared" si="48"/>
        <v>141</v>
      </c>
      <c r="AZ81" s="380">
        <f t="shared" si="49"/>
        <v>141</v>
      </c>
      <c r="BA81" s="380">
        <f t="shared" si="50"/>
        <v>141</v>
      </c>
      <c r="BB81" s="380">
        <f t="shared" si="51"/>
        <v>141</v>
      </c>
      <c r="BC81" s="380">
        <f t="shared" si="52"/>
        <v>141</v>
      </c>
      <c r="BD81" s="407">
        <f t="shared" si="52"/>
        <v>141</v>
      </c>
      <c r="BG81" s="380" t="s">
        <v>706</v>
      </c>
      <c r="BH81" s="406">
        <f t="shared" si="53"/>
        <v>141</v>
      </c>
      <c r="BI81" s="406">
        <f t="shared" si="53"/>
        <v>141</v>
      </c>
      <c r="BJ81" s="380">
        <f t="shared" si="54"/>
        <v>141</v>
      </c>
      <c r="BK81" s="380">
        <f t="shared" si="55"/>
        <v>141</v>
      </c>
      <c r="BL81" s="380">
        <f t="shared" si="56"/>
        <v>141</v>
      </c>
      <c r="BM81" s="380">
        <f t="shared" si="57"/>
        <v>141</v>
      </c>
      <c r="BN81" s="380">
        <f t="shared" si="57"/>
        <v>141</v>
      </c>
      <c r="BO81" s="380">
        <f t="shared" si="145"/>
        <v>141</v>
      </c>
      <c r="BP81" s="380">
        <f t="shared" si="59"/>
        <v>141</v>
      </c>
      <c r="BQ81" s="380">
        <f t="shared" si="60"/>
        <v>141</v>
      </c>
      <c r="BR81" s="380">
        <f t="shared" si="61"/>
        <v>141</v>
      </c>
      <c r="BS81" s="380">
        <f t="shared" si="62"/>
        <v>141</v>
      </c>
      <c r="BT81" s="380">
        <f t="shared" si="62"/>
        <v>141</v>
      </c>
      <c r="BU81" s="380">
        <f t="shared" si="63"/>
        <v>141</v>
      </c>
      <c r="BV81" s="380">
        <f t="shared" si="64"/>
        <v>141</v>
      </c>
      <c r="BW81" s="380">
        <f t="shared" si="65"/>
        <v>141</v>
      </c>
      <c r="BX81" s="407">
        <f t="shared" si="142"/>
        <v>141</v>
      </c>
      <c r="CB81" s="425">
        <f>'A-50 FGRailInv'!$C$69</f>
        <v>0</v>
      </c>
      <c r="CC81" s="425" t="str">
        <f>Valid!$B$79</f>
        <v>Below-Grade/Submerged Tube</v>
      </c>
      <c r="CD81" s="425">
        <f>CD73</f>
        <v>237</v>
      </c>
      <c r="CE81" s="1199">
        <f t="shared" si="178"/>
        <v>265</v>
      </c>
      <c r="CF81" s="446">
        <f t="shared" si="29"/>
        <v>265</v>
      </c>
      <c r="CG81" s="425">
        <f t="shared" si="182"/>
        <v>265</v>
      </c>
      <c r="CH81" s="425">
        <f t="shared" si="182"/>
        <v>265</v>
      </c>
      <c r="CI81" s="425">
        <f t="shared" si="182"/>
        <v>265</v>
      </c>
      <c r="CJ81" s="425">
        <f t="shared" si="182"/>
        <v>265</v>
      </c>
      <c r="CK81" s="425">
        <f t="shared" si="182"/>
        <v>265</v>
      </c>
      <c r="CL81" s="425">
        <f t="shared" si="182"/>
        <v>265</v>
      </c>
      <c r="CM81" s="425">
        <f t="shared" si="182"/>
        <v>265</v>
      </c>
      <c r="CN81" s="425">
        <f t="shared" si="182"/>
        <v>265</v>
      </c>
      <c r="CO81" s="425">
        <f t="shared" si="182"/>
        <v>265</v>
      </c>
      <c r="CP81" s="425">
        <f t="shared" si="183"/>
        <v>265</v>
      </c>
      <c r="CQ81" s="425">
        <f t="shared" si="183"/>
        <v>265</v>
      </c>
      <c r="CR81" s="425">
        <f t="shared" si="183"/>
        <v>265</v>
      </c>
      <c r="CS81" s="425">
        <f t="shared" si="183"/>
        <v>265</v>
      </c>
      <c r="CT81" s="425">
        <f t="shared" si="183"/>
        <v>265</v>
      </c>
      <c r="CU81" s="425">
        <f t="shared" si="183"/>
        <v>265</v>
      </c>
      <c r="CY81" s="425">
        <f>'A-55 TrackInv'!$C$292</f>
        <v>0</v>
      </c>
      <c r="CZ81" s="425" t="str">
        <f>Valid!$B$81</f>
        <v>Curve</v>
      </c>
      <c r="DA81" s="425">
        <f t="shared" ref="DA81:DA86" si="189">DA74+$DA$7</f>
        <v>292</v>
      </c>
      <c r="DB81" s="1283">
        <f>DB80+$DB$7</f>
        <v>300</v>
      </c>
      <c r="DC81" s="425">
        <f t="shared" si="168"/>
        <v>300</v>
      </c>
      <c r="DD81" s="425">
        <f t="shared" si="168"/>
        <v>300</v>
      </c>
      <c r="DE81" s="425">
        <f t="shared" si="168"/>
        <v>300</v>
      </c>
      <c r="DF81" s="425">
        <f t="shared" si="168"/>
        <v>300</v>
      </c>
      <c r="DJ81" s="380" t="s">
        <v>812</v>
      </c>
      <c r="DK81" s="425">
        <f t="shared" si="67"/>
        <v>141</v>
      </c>
      <c r="DL81" s="425">
        <f t="shared" ref="DL81:DS81" si="190">DK81</f>
        <v>141</v>
      </c>
      <c r="DM81" s="425">
        <f t="shared" si="190"/>
        <v>141</v>
      </c>
      <c r="DN81" s="425">
        <f t="shared" si="190"/>
        <v>141</v>
      </c>
      <c r="DO81" s="425">
        <f t="shared" si="190"/>
        <v>141</v>
      </c>
      <c r="DP81" s="425">
        <f t="shared" si="190"/>
        <v>141</v>
      </c>
      <c r="DQ81" s="425">
        <f t="shared" si="190"/>
        <v>141</v>
      </c>
      <c r="DR81" s="425">
        <f t="shared" si="190"/>
        <v>141</v>
      </c>
      <c r="DS81" s="425">
        <f t="shared" si="190"/>
        <v>141</v>
      </c>
      <c r="DU81" s="380" t="s">
        <v>812</v>
      </c>
      <c r="DV81" s="425">
        <f t="shared" si="66"/>
        <v>141</v>
      </c>
      <c r="DW81" s="425">
        <f t="shared" si="94"/>
        <v>141</v>
      </c>
      <c r="DX81" s="425">
        <f t="shared" si="95"/>
        <v>141</v>
      </c>
      <c r="DY81" s="425">
        <f t="shared" si="96"/>
        <v>141</v>
      </c>
      <c r="DZ81" s="425">
        <f t="shared" si="97"/>
        <v>141</v>
      </c>
      <c r="EA81" s="425">
        <f t="shared" si="98"/>
        <v>141</v>
      </c>
      <c r="EB81" s="425">
        <f t="shared" si="99"/>
        <v>141</v>
      </c>
      <c r="EC81" s="425">
        <f t="shared" si="100"/>
        <v>141</v>
      </c>
      <c r="ED81" s="425">
        <f t="shared" si="101"/>
        <v>141</v>
      </c>
      <c r="EE81" s="425">
        <f t="shared" si="102"/>
        <v>141</v>
      </c>
      <c r="EF81" s="425">
        <f t="shared" si="103"/>
        <v>141</v>
      </c>
      <c r="EG81" s="425">
        <f t="shared" si="104"/>
        <v>141</v>
      </c>
      <c r="EH81" s="425">
        <f t="shared" si="105"/>
        <v>141</v>
      </c>
      <c r="EI81" s="425">
        <f t="shared" si="106"/>
        <v>141</v>
      </c>
      <c r="EJ81" s="425">
        <f t="shared" si="107"/>
        <v>141</v>
      </c>
      <c r="EK81" s="425">
        <f t="shared" si="78"/>
        <v>141</v>
      </c>
      <c r="EL81" s="425">
        <f t="shared" si="79"/>
        <v>141</v>
      </c>
      <c r="EM81" s="425">
        <f t="shared" si="80"/>
        <v>141</v>
      </c>
      <c r="EN81" s="425">
        <f t="shared" si="81"/>
        <v>141</v>
      </c>
      <c r="EO81" s="425">
        <f t="shared" si="82"/>
        <v>141</v>
      </c>
      <c r="EP81" s="425">
        <f t="shared" si="83"/>
        <v>141</v>
      </c>
      <c r="EQ81" s="425">
        <f t="shared" si="84"/>
        <v>141</v>
      </c>
      <c r="ER81" s="425">
        <f t="shared" si="85"/>
        <v>141</v>
      </c>
      <c r="ES81" s="425">
        <f t="shared" si="86"/>
        <v>141</v>
      </c>
      <c r="ET81" s="425">
        <f t="shared" si="87"/>
        <v>141</v>
      </c>
      <c r="EU81" s="425">
        <f t="shared" si="88"/>
        <v>141</v>
      </c>
      <c r="EV81" s="425">
        <f t="shared" si="88"/>
        <v>141</v>
      </c>
      <c r="EW81" s="425">
        <f t="shared" si="89"/>
        <v>141</v>
      </c>
      <c r="EX81" s="425">
        <f t="shared" si="90"/>
        <v>141</v>
      </c>
      <c r="EY81" s="425">
        <f t="shared" si="91"/>
        <v>141</v>
      </c>
      <c r="EZ81" s="425">
        <f t="shared" si="92"/>
        <v>141</v>
      </c>
    </row>
    <row r="82" spans="42:156" x14ac:dyDescent="0.2">
      <c r="AP82" s="380" t="s">
        <v>707</v>
      </c>
      <c r="AQ82" s="406">
        <f t="shared" si="41"/>
        <v>143</v>
      </c>
      <c r="AR82" s="406">
        <f t="shared" si="41"/>
        <v>143</v>
      </c>
      <c r="AS82" s="380">
        <f t="shared" si="42"/>
        <v>143</v>
      </c>
      <c r="AT82" s="380">
        <f t="shared" si="43"/>
        <v>143</v>
      </c>
      <c r="AU82" s="380">
        <f t="shared" si="44"/>
        <v>143</v>
      </c>
      <c r="AV82" s="380">
        <f t="shared" si="45"/>
        <v>143</v>
      </c>
      <c r="AW82" s="380">
        <f t="shared" si="46"/>
        <v>143</v>
      </c>
      <c r="AX82" s="380">
        <f t="shared" si="47"/>
        <v>143</v>
      </c>
      <c r="AY82" s="380">
        <f t="shared" si="48"/>
        <v>143</v>
      </c>
      <c r="AZ82" s="380">
        <f t="shared" si="49"/>
        <v>143</v>
      </c>
      <c r="BA82" s="380">
        <f t="shared" si="50"/>
        <v>143</v>
      </c>
      <c r="BB82" s="380">
        <f t="shared" si="51"/>
        <v>143</v>
      </c>
      <c r="BC82" s="380">
        <f t="shared" si="52"/>
        <v>143</v>
      </c>
      <c r="BD82" s="407">
        <f t="shared" si="52"/>
        <v>143</v>
      </c>
      <c r="BG82" s="380" t="s">
        <v>707</v>
      </c>
      <c r="BH82" s="406">
        <f t="shared" si="53"/>
        <v>143</v>
      </c>
      <c r="BI82" s="406">
        <f t="shared" si="53"/>
        <v>143</v>
      </c>
      <c r="BJ82" s="380">
        <f t="shared" si="54"/>
        <v>143</v>
      </c>
      <c r="BK82" s="380">
        <f t="shared" si="55"/>
        <v>143</v>
      </c>
      <c r="BL82" s="380">
        <f t="shared" si="56"/>
        <v>143</v>
      </c>
      <c r="BM82" s="380">
        <f t="shared" si="57"/>
        <v>143</v>
      </c>
      <c r="BN82" s="380">
        <f t="shared" si="57"/>
        <v>143</v>
      </c>
      <c r="BO82" s="380">
        <f t="shared" si="145"/>
        <v>143</v>
      </c>
      <c r="BP82" s="380">
        <f t="shared" si="59"/>
        <v>143</v>
      </c>
      <c r="BQ82" s="380">
        <f t="shared" si="60"/>
        <v>143</v>
      </c>
      <c r="BR82" s="380">
        <f t="shared" si="61"/>
        <v>143</v>
      </c>
      <c r="BS82" s="380">
        <f t="shared" si="62"/>
        <v>143</v>
      </c>
      <c r="BT82" s="380">
        <f t="shared" si="62"/>
        <v>143</v>
      </c>
      <c r="BU82" s="380">
        <f t="shared" si="63"/>
        <v>143</v>
      </c>
      <c r="BV82" s="380">
        <f t="shared" si="64"/>
        <v>143</v>
      </c>
      <c r="BW82" s="380">
        <f t="shared" si="65"/>
        <v>143</v>
      </c>
      <c r="BX82" s="407">
        <f t="shared" ref="BX82:BX116" si="191">BX81+2</f>
        <v>143</v>
      </c>
      <c r="CB82" s="425">
        <f>'A-50 FGRailInv'!$C$69</f>
        <v>0</v>
      </c>
      <c r="CC82" s="425" t="str">
        <f>Valid!$B$87</f>
        <v>Substation Building</v>
      </c>
      <c r="CD82" s="425">
        <f>CD74</f>
        <v>237</v>
      </c>
      <c r="CE82" s="1199">
        <f>CE81+$CE$8</f>
        <v>270</v>
      </c>
      <c r="CF82" s="446">
        <f t="shared" ref="CF82:CF145" si="192">CE82</f>
        <v>270</v>
      </c>
      <c r="CG82" s="425">
        <f t="shared" si="182"/>
        <v>270</v>
      </c>
      <c r="CH82" s="425">
        <f t="shared" si="182"/>
        <v>270</v>
      </c>
      <c r="CI82" s="425">
        <f t="shared" si="182"/>
        <v>270</v>
      </c>
      <c r="CJ82" s="425">
        <f t="shared" si="182"/>
        <v>270</v>
      </c>
      <c r="CK82" s="425">
        <f t="shared" si="182"/>
        <v>270</v>
      </c>
      <c r="CL82" s="425">
        <f t="shared" si="182"/>
        <v>270</v>
      </c>
      <c r="CM82" s="425">
        <f t="shared" si="182"/>
        <v>270</v>
      </c>
      <c r="CN82" s="425">
        <f t="shared" si="182"/>
        <v>270</v>
      </c>
      <c r="CO82" s="425">
        <f t="shared" si="182"/>
        <v>270</v>
      </c>
      <c r="CP82" s="425">
        <f t="shared" si="183"/>
        <v>270</v>
      </c>
      <c r="CQ82" s="425">
        <f t="shared" si="183"/>
        <v>270</v>
      </c>
      <c r="CR82" s="425">
        <f t="shared" si="183"/>
        <v>270</v>
      </c>
      <c r="CS82" s="425">
        <f t="shared" si="183"/>
        <v>270</v>
      </c>
      <c r="CT82" s="425">
        <f t="shared" si="183"/>
        <v>270</v>
      </c>
      <c r="CU82" s="425">
        <f t="shared" si="183"/>
        <v>270</v>
      </c>
      <c r="CY82" s="425">
        <f>'A-55 TrackInv'!$C$292</f>
        <v>0</v>
      </c>
      <c r="CZ82" s="425" t="str">
        <f>Valid!$B$82</f>
        <v>Double Diamond Crossover</v>
      </c>
      <c r="DA82" s="425">
        <f t="shared" si="189"/>
        <v>292</v>
      </c>
      <c r="DB82" s="1283">
        <f>DB81+DB8</f>
        <v>306</v>
      </c>
      <c r="DC82" s="425">
        <f t="shared" ref="DC82:DF86" si="193">$DB82</f>
        <v>306</v>
      </c>
      <c r="DD82" s="425">
        <f t="shared" si="193"/>
        <v>306</v>
      </c>
      <c r="DE82" s="425">
        <f t="shared" si="193"/>
        <v>306</v>
      </c>
      <c r="DF82" s="425">
        <f t="shared" si="193"/>
        <v>306</v>
      </c>
      <c r="DJ82" s="380" t="s">
        <v>813</v>
      </c>
      <c r="DK82" s="425">
        <f t="shared" si="67"/>
        <v>143</v>
      </c>
      <c r="DL82" s="425">
        <f t="shared" ref="DL82:DS82" si="194">DK82</f>
        <v>143</v>
      </c>
      <c r="DM82" s="425">
        <f t="shared" si="194"/>
        <v>143</v>
      </c>
      <c r="DN82" s="425">
        <f t="shared" si="194"/>
        <v>143</v>
      </c>
      <c r="DO82" s="425">
        <f t="shared" si="194"/>
        <v>143</v>
      </c>
      <c r="DP82" s="425">
        <f t="shared" si="194"/>
        <v>143</v>
      </c>
      <c r="DQ82" s="425">
        <f t="shared" si="194"/>
        <v>143</v>
      </c>
      <c r="DR82" s="425">
        <f t="shared" si="194"/>
        <v>143</v>
      </c>
      <c r="DS82" s="425">
        <f t="shared" si="194"/>
        <v>143</v>
      </c>
      <c r="DU82" s="380" t="s">
        <v>813</v>
      </c>
      <c r="DV82" s="425">
        <f t="shared" si="66"/>
        <v>143</v>
      </c>
      <c r="DW82" s="425">
        <f t="shared" si="94"/>
        <v>143</v>
      </c>
      <c r="DX82" s="425">
        <f t="shared" si="95"/>
        <v>143</v>
      </c>
      <c r="DY82" s="425">
        <f t="shared" si="96"/>
        <v>143</v>
      </c>
      <c r="DZ82" s="425">
        <f t="shared" si="97"/>
        <v>143</v>
      </c>
      <c r="EA82" s="425">
        <f t="shared" si="98"/>
        <v>143</v>
      </c>
      <c r="EB82" s="425">
        <f t="shared" si="99"/>
        <v>143</v>
      </c>
      <c r="EC82" s="425">
        <f t="shared" si="100"/>
        <v>143</v>
      </c>
      <c r="ED82" s="425">
        <f t="shared" si="101"/>
        <v>143</v>
      </c>
      <c r="EE82" s="425">
        <f t="shared" si="102"/>
        <v>143</v>
      </c>
      <c r="EF82" s="425">
        <f t="shared" si="103"/>
        <v>143</v>
      </c>
      <c r="EG82" s="425">
        <f t="shared" si="104"/>
        <v>143</v>
      </c>
      <c r="EH82" s="425">
        <f t="shared" si="105"/>
        <v>143</v>
      </c>
      <c r="EI82" s="425">
        <f t="shared" si="106"/>
        <v>143</v>
      </c>
      <c r="EJ82" s="425">
        <f t="shared" si="107"/>
        <v>143</v>
      </c>
      <c r="EK82" s="425">
        <f t="shared" si="78"/>
        <v>143</v>
      </c>
      <c r="EL82" s="425">
        <f t="shared" si="79"/>
        <v>143</v>
      </c>
      <c r="EM82" s="425">
        <f t="shared" si="80"/>
        <v>143</v>
      </c>
      <c r="EN82" s="425">
        <f t="shared" si="81"/>
        <v>143</v>
      </c>
      <c r="EO82" s="425">
        <f t="shared" si="82"/>
        <v>143</v>
      </c>
      <c r="EP82" s="425">
        <f t="shared" si="83"/>
        <v>143</v>
      </c>
      <c r="EQ82" s="425">
        <f t="shared" si="84"/>
        <v>143</v>
      </c>
      <c r="ER82" s="425">
        <f t="shared" si="85"/>
        <v>143</v>
      </c>
      <c r="ES82" s="425">
        <f t="shared" si="86"/>
        <v>143</v>
      </c>
      <c r="ET82" s="425">
        <f t="shared" si="87"/>
        <v>143</v>
      </c>
      <c r="EU82" s="425">
        <f t="shared" si="88"/>
        <v>143</v>
      </c>
      <c r="EV82" s="425">
        <f t="shared" si="88"/>
        <v>143</v>
      </c>
      <c r="EW82" s="425">
        <f t="shared" si="89"/>
        <v>143</v>
      </c>
      <c r="EX82" s="425">
        <f t="shared" si="90"/>
        <v>143</v>
      </c>
      <c r="EY82" s="425">
        <f t="shared" si="91"/>
        <v>143</v>
      </c>
      <c r="EZ82" s="425">
        <f t="shared" si="92"/>
        <v>143</v>
      </c>
    </row>
    <row r="83" spans="42:156" x14ac:dyDescent="0.2">
      <c r="AP83" s="380" t="s">
        <v>708</v>
      </c>
      <c r="AQ83" s="406">
        <f t="shared" ref="AQ83:AR116" si="195">AQ82+2</f>
        <v>145</v>
      </c>
      <c r="AR83" s="406">
        <f t="shared" si="195"/>
        <v>145</v>
      </c>
      <c r="AS83" s="380">
        <f t="shared" ref="AS83:AS116" si="196">AS82+2</f>
        <v>145</v>
      </c>
      <c r="AT83" s="380">
        <f t="shared" ref="AT83:AT116" si="197">AT82+2</f>
        <v>145</v>
      </c>
      <c r="AU83" s="380">
        <f t="shared" ref="AU83:AU116" si="198">AU82+2</f>
        <v>145</v>
      </c>
      <c r="AV83" s="380">
        <f t="shared" ref="AV83:AV116" si="199">AV82+2</f>
        <v>145</v>
      </c>
      <c r="AW83" s="380">
        <f t="shared" ref="AW83:AW116" si="200">AW82+2</f>
        <v>145</v>
      </c>
      <c r="AX83" s="380">
        <f t="shared" ref="AX83:AX116" si="201">AX82+2</f>
        <v>145</v>
      </c>
      <c r="AY83" s="380">
        <f t="shared" ref="AY83:AY116" si="202">AY82+2</f>
        <v>145</v>
      </c>
      <c r="AZ83" s="380">
        <f t="shared" ref="AZ83:AZ116" si="203">AZ82+2</f>
        <v>145</v>
      </c>
      <c r="BA83" s="380">
        <f t="shared" ref="BA83:BA116" si="204">BA82+2</f>
        <v>145</v>
      </c>
      <c r="BB83" s="380">
        <f t="shared" ref="BB83:BB116" si="205">BB82+2</f>
        <v>145</v>
      </c>
      <c r="BC83" s="380">
        <f t="shared" ref="BC83:BD116" si="206">BC82+2</f>
        <v>145</v>
      </c>
      <c r="BD83" s="407">
        <f t="shared" si="206"/>
        <v>145</v>
      </c>
      <c r="BG83" s="380" t="s">
        <v>708</v>
      </c>
      <c r="BH83" s="406">
        <f t="shared" ref="BH83:BI116" si="207">BH82+2</f>
        <v>145</v>
      </c>
      <c r="BI83" s="406">
        <f t="shared" si="207"/>
        <v>145</v>
      </c>
      <c r="BJ83" s="380">
        <f t="shared" ref="BJ83:BJ116" si="208">BJ82+2</f>
        <v>145</v>
      </c>
      <c r="BK83" s="380">
        <f t="shared" ref="BK83:BK116" si="209">BK82+2</f>
        <v>145</v>
      </c>
      <c r="BL83" s="380">
        <f t="shared" ref="BL83:BL116" si="210">BL82+2</f>
        <v>145</v>
      </c>
      <c r="BM83" s="380">
        <f t="shared" ref="BM83:BN116" si="211">BM82+2</f>
        <v>145</v>
      </c>
      <c r="BN83" s="380">
        <f t="shared" si="211"/>
        <v>145</v>
      </c>
      <c r="BO83" s="380">
        <f t="shared" ref="BO83:BO116" si="212">BO82+2</f>
        <v>145</v>
      </c>
      <c r="BP83" s="380">
        <f t="shared" ref="BP83:BP116" si="213">BP82+2</f>
        <v>145</v>
      </c>
      <c r="BQ83" s="380">
        <f t="shared" ref="BQ83:BQ116" si="214">BQ82+2</f>
        <v>145</v>
      </c>
      <c r="BR83" s="380">
        <f t="shared" ref="BR83:BR116" si="215">BR82+2</f>
        <v>145</v>
      </c>
      <c r="BS83" s="380">
        <f t="shared" ref="BS83:BT116" si="216">BS82+2</f>
        <v>145</v>
      </c>
      <c r="BT83" s="380">
        <f t="shared" si="216"/>
        <v>145</v>
      </c>
      <c r="BU83" s="380">
        <f t="shared" ref="BU83:BU116" si="217">BU82+2</f>
        <v>145</v>
      </c>
      <c r="BV83" s="380">
        <f t="shared" ref="BV83:BV116" si="218">BV82+2</f>
        <v>145</v>
      </c>
      <c r="BW83" s="380">
        <f t="shared" ref="BW83:BW116" si="219">BW82+2</f>
        <v>145</v>
      </c>
      <c r="BX83" s="407">
        <f t="shared" si="191"/>
        <v>145</v>
      </c>
      <c r="CB83" s="425">
        <f>'A-50 FGRailInv'!$C$69</f>
        <v>0</v>
      </c>
      <c r="CC83" s="425" t="str">
        <f>Valid!$B$88</f>
        <v>Substation Equipment</v>
      </c>
      <c r="CD83" s="425">
        <f>CD74</f>
        <v>237</v>
      </c>
      <c r="CE83" s="446">
        <f>CE82+$CE$7</f>
        <v>273</v>
      </c>
      <c r="CF83" s="446">
        <f t="shared" si="192"/>
        <v>273</v>
      </c>
      <c r="CG83" s="425">
        <f t="shared" si="182"/>
        <v>273</v>
      </c>
      <c r="CH83" s="425">
        <f t="shared" si="182"/>
        <v>273</v>
      </c>
      <c r="CI83" s="425">
        <f t="shared" si="182"/>
        <v>273</v>
      </c>
      <c r="CJ83" s="425">
        <f t="shared" si="182"/>
        <v>273</v>
      </c>
      <c r="CK83" s="425">
        <f t="shared" si="182"/>
        <v>273</v>
      </c>
      <c r="CL83" s="425">
        <f t="shared" si="182"/>
        <v>273</v>
      </c>
      <c r="CM83" s="425">
        <f t="shared" si="182"/>
        <v>273</v>
      </c>
      <c r="CN83" s="425">
        <f t="shared" si="182"/>
        <v>273</v>
      </c>
      <c r="CO83" s="425">
        <f t="shared" si="182"/>
        <v>273</v>
      </c>
      <c r="CP83" s="425">
        <f t="shared" si="183"/>
        <v>273</v>
      </c>
      <c r="CQ83" s="425">
        <f t="shared" si="183"/>
        <v>273</v>
      </c>
      <c r="CR83" s="425">
        <f t="shared" si="183"/>
        <v>273</v>
      </c>
      <c r="CS83" s="425">
        <f t="shared" si="183"/>
        <v>273</v>
      </c>
      <c r="CT83" s="425">
        <f t="shared" si="183"/>
        <v>273</v>
      </c>
      <c r="CU83" s="425">
        <f t="shared" si="183"/>
        <v>273</v>
      </c>
      <c r="CY83" s="425">
        <f>'A-55 TrackInv'!$C$292</f>
        <v>0</v>
      </c>
      <c r="CZ83" s="425" t="str">
        <f>Valid!$B$83</f>
        <v>Single Crossover</v>
      </c>
      <c r="DA83" s="425">
        <f t="shared" si="189"/>
        <v>292</v>
      </c>
      <c r="DB83" s="1283">
        <f>DB82+$DB$7</f>
        <v>308</v>
      </c>
      <c r="DC83" s="425">
        <f t="shared" si="193"/>
        <v>308</v>
      </c>
      <c r="DD83" s="425">
        <f t="shared" si="193"/>
        <v>308</v>
      </c>
      <c r="DE83" s="425">
        <f t="shared" si="193"/>
        <v>308</v>
      </c>
      <c r="DF83" s="425">
        <f t="shared" si="193"/>
        <v>308</v>
      </c>
      <c r="DJ83" s="380" t="s">
        <v>814</v>
      </c>
      <c r="DK83" s="425">
        <f t="shared" si="67"/>
        <v>145</v>
      </c>
      <c r="DL83" s="425">
        <f t="shared" ref="DL83:DS83" si="220">DK83</f>
        <v>145</v>
      </c>
      <c r="DM83" s="425">
        <f t="shared" si="220"/>
        <v>145</v>
      </c>
      <c r="DN83" s="425">
        <f t="shared" si="220"/>
        <v>145</v>
      </c>
      <c r="DO83" s="425">
        <f t="shared" si="220"/>
        <v>145</v>
      </c>
      <c r="DP83" s="425">
        <f t="shared" si="220"/>
        <v>145</v>
      </c>
      <c r="DQ83" s="425">
        <f t="shared" si="220"/>
        <v>145</v>
      </c>
      <c r="DR83" s="425">
        <f t="shared" si="220"/>
        <v>145</v>
      </c>
      <c r="DS83" s="425">
        <f t="shared" si="220"/>
        <v>145</v>
      </c>
      <c r="DU83" s="380" t="s">
        <v>814</v>
      </c>
      <c r="DV83" s="425">
        <f t="shared" ref="DV83:DV116" si="221">DV82+2</f>
        <v>145</v>
      </c>
      <c r="DW83" s="425">
        <f t="shared" si="94"/>
        <v>145</v>
      </c>
      <c r="DX83" s="425">
        <f t="shared" si="95"/>
        <v>145</v>
      </c>
      <c r="DY83" s="425">
        <f t="shared" si="96"/>
        <v>145</v>
      </c>
      <c r="DZ83" s="425">
        <f t="shared" si="97"/>
        <v>145</v>
      </c>
      <c r="EA83" s="425">
        <f t="shared" si="98"/>
        <v>145</v>
      </c>
      <c r="EB83" s="425">
        <f t="shared" si="99"/>
        <v>145</v>
      </c>
      <c r="EC83" s="425">
        <f t="shared" si="100"/>
        <v>145</v>
      </c>
      <c r="ED83" s="425">
        <f t="shared" si="101"/>
        <v>145</v>
      </c>
      <c r="EE83" s="425">
        <f t="shared" si="102"/>
        <v>145</v>
      </c>
      <c r="EF83" s="425">
        <f t="shared" si="103"/>
        <v>145</v>
      </c>
      <c r="EG83" s="425">
        <f t="shared" si="104"/>
        <v>145</v>
      </c>
      <c r="EH83" s="425">
        <f t="shared" si="105"/>
        <v>145</v>
      </c>
      <c r="EI83" s="425">
        <f t="shared" si="106"/>
        <v>145</v>
      </c>
      <c r="EJ83" s="425">
        <f t="shared" si="107"/>
        <v>145</v>
      </c>
      <c r="EK83" s="425">
        <f t="shared" si="78"/>
        <v>145</v>
      </c>
      <c r="EL83" s="425">
        <f t="shared" si="79"/>
        <v>145</v>
      </c>
      <c r="EM83" s="425">
        <f t="shared" si="80"/>
        <v>145</v>
      </c>
      <c r="EN83" s="425">
        <f t="shared" si="81"/>
        <v>145</v>
      </c>
      <c r="EO83" s="425">
        <f t="shared" si="82"/>
        <v>145</v>
      </c>
      <c r="EP83" s="425">
        <f t="shared" si="83"/>
        <v>145</v>
      </c>
      <c r="EQ83" s="425">
        <f t="shared" si="84"/>
        <v>145</v>
      </c>
      <c r="ER83" s="425">
        <f t="shared" si="85"/>
        <v>145</v>
      </c>
      <c r="ES83" s="425">
        <f t="shared" si="86"/>
        <v>145</v>
      </c>
      <c r="ET83" s="425">
        <f t="shared" si="87"/>
        <v>145</v>
      </c>
      <c r="EU83" s="425">
        <f t="shared" si="88"/>
        <v>145</v>
      </c>
      <c r="EV83" s="425">
        <f t="shared" si="88"/>
        <v>145</v>
      </c>
      <c r="EW83" s="425">
        <f t="shared" si="89"/>
        <v>145</v>
      </c>
      <c r="EX83" s="425">
        <f t="shared" si="90"/>
        <v>145</v>
      </c>
      <c r="EY83" s="425">
        <f t="shared" si="91"/>
        <v>145</v>
      </c>
      <c r="EZ83" s="425">
        <f t="shared" si="92"/>
        <v>145</v>
      </c>
    </row>
    <row r="84" spans="42:156" x14ac:dyDescent="0.2">
      <c r="AP84" s="380" t="s">
        <v>709</v>
      </c>
      <c r="AQ84" s="406">
        <f t="shared" si="195"/>
        <v>147</v>
      </c>
      <c r="AR84" s="406">
        <f t="shared" si="195"/>
        <v>147</v>
      </c>
      <c r="AS84" s="380">
        <f t="shared" si="196"/>
        <v>147</v>
      </c>
      <c r="AT84" s="380">
        <f t="shared" si="197"/>
        <v>147</v>
      </c>
      <c r="AU84" s="380">
        <f t="shared" si="198"/>
        <v>147</v>
      </c>
      <c r="AV84" s="380">
        <f t="shared" si="199"/>
        <v>147</v>
      </c>
      <c r="AW84" s="380">
        <f t="shared" si="200"/>
        <v>147</v>
      </c>
      <c r="AX84" s="380">
        <f t="shared" si="201"/>
        <v>147</v>
      </c>
      <c r="AY84" s="380">
        <f t="shared" si="202"/>
        <v>147</v>
      </c>
      <c r="AZ84" s="380">
        <f t="shared" si="203"/>
        <v>147</v>
      </c>
      <c r="BA84" s="380">
        <f t="shared" si="204"/>
        <v>147</v>
      </c>
      <c r="BB84" s="380">
        <f t="shared" si="205"/>
        <v>147</v>
      </c>
      <c r="BC84" s="380">
        <f t="shared" si="206"/>
        <v>147</v>
      </c>
      <c r="BD84" s="407">
        <f t="shared" si="206"/>
        <v>147</v>
      </c>
      <c r="BG84" s="380" t="s">
        <v>709</v>
      </c>
      <c r="BH84" s="406">
        <f t="shared" si="207"/>
        <v>147</v>
      </c>
      <c r="BI84" s="406">
        <f t="shared" si="207"/>
        <v>147</v>
      </c>
      <c r="BJ84" s="380">
        <f t="shared" si="208"/>
        <v>147</v>
      </c>
      <c r="BK84" s="380">
        <f t="shared" si="209"/>
        <v>147</v>
      </c>
      <c r="BL84" s="380">
        <f t="shared" si="210"/>
        <v>147</v>
      </c>
      <c r="BM84" s="380">
        <f t="shared" si="211"/>
        <v>147</v>
      </c>
      <c r="BN84" s="380">
        <f t="shared" si="211"/>
        <v>147</v>
      </c>
      <c r="BO84" s="380">
        <f t="shared" si="212"/>
        <v>147</v>
      </c>
      <c r="BP84" s="380">
        <f t="shared" si="213"/>
        <v>147</v>
      </c>
      <c r="BQ84" s="380">
        <f t="shared" si="214"/>
        <v>147</v>
      </c>
      <c r="BR84" s="380">
        <f t="shared" si="215"/>
        <v>147</v>
      </c>
      <c r="BS84" s="380">
        <f t="shared" si="216"/>
        <v>147</v>
      </c>
      <c r="BT84" s="380">
        <f t="shared" si="216"/>
        <v>147</v>
      </c>
      <c r="BU84" s="380">
        <f t="shared" si="217"/>
        <v>147</v>
      </c>
      <c r="BV84" s="380">
        <f t="shared" si="218"/>
        <v>147</v>
      </c>
      <c r="BW84" s="380">
        <f t="shared" si="219"/>
        <v>147</v>
      </c>
      <c r="BX84" s="407">
        <f t="shared" si="191"/>
        <v>147</v>
      </c>
      <c r="CB84" s="425">
        <f>'A-50 FGRailInv'!$C$69</f>
        <v>0</v>
      </c>
      <c r="CC84" s="425" t="str">
        <f>Valid!$B$89</f>
        <v>Third Rail/Power Distribution</v>
      </c>
      <c r="CD84" s="425">
        <f>CD75</f>
        <v>237</v>
      </c>
      <c r="CE84" s="446">
        <f>CE83+$CE$7</f>
        <v>276</v>
      </c>
      <c r="CF84" s="446">
        <f t="shared" si="192"/>
        <v>276</v>
      </c>
      <c r="CG84" s="425">
        <f t="shared" si="182"/>
        <v>276</v>
      </c>
      <c r="CH84" s="425">
        <f t="shared" si="182"/>
        <v>276</v>
      </c>
      <c r="CI84" s="425">
        <f t="shared" si="182"/>
        <v>276</v>
      </c>
      <c r="CJ84" s="425">
        <f t="shared" si="182"/>
        <v>276</v>
      </c>
      <c r="CK84" s="425">
        <f t="shared" si="182"/>
        <v>276</v>
      </c>
      <c r="CL84" s="425">
        <f t="shared" si="182"/>
        <v>276</v>
      </c>
      <c r="CM84" s="425">
        <f t="shared" si="182"/>
        <v>276</v>
      </c>
      <c r="CN84" s="425">
        <f t="shared" si="182"/>
        <v>276</v>
      </c>
      <c r="CO84" s="425">
        <f t="shared" si="182"/>
        <v>276</v>
      </c>
      <c r="CP84" s="425">
        <f t="shared" si="183"/>
        <v>276</v>
      </c>
      <c r="CQ84" s="425">
        <f t="shared" si="183"/>
        <v>276</v>
      </c>
      <c r="CR84" s="425">
        <f t="shared" si="183"/>
        <v>276</v>
      </c>
      <c r="CS84" s="425">
        <f t="shared" si="183"/>
        <v>276</v>
      </c>
      <c r="CT84" s="425">
        <f t="shared" si="183"/>
        <v>276</v>
      </c>
      <c r="CU84" s="425">
        <f t="shared" si="183"/>
        <v>276</v>
      </c>
      <c r="CY84" s="425">
        <f>'A-55 TrackInv'!$C$292</f>
        <v>0</v>
      </c>
      <c r="CZ84" s="425" t="str">
        <f>Valid!$B$84</f>
        <v>Half Grand Union</v>
      </c>
      <c r="DA84" s="425">
        <f t="shared" si="189"/>
        <v>292</v>
      </c>
      <c r="DB84" s="1283">
        <f>DB83+$DB$7</f>
        <v>310</v>
      </c>
      <c r="DC84" s="425">
        <f t="shared" si="193"/>
        <v>310</v>
      </c>
      <c r="DD84" s="425">
        <f t="shared" si="193"/>
        <v>310</v>
      </c>
      <c r="DE84" s="425">
        <f t="shared" si="193"/>
        <v>310</v>
      </c>
      <c r="DF84" s="425">
        <f t="shared" si="193"/>
        <v>310</v>
      </c>
      <c r="DJ84" s="380" t="s">
        <v>815</v>
      </c>
      <c r="DK84" s="425">
        <f t="shared" ref="DK84:DK116" si="222">DK83+2</f>
        <v>147</v>
      </c>
      <c r="DL84" s="425">
        <f t="shared" ref="DL84:DS84" si="223">DK84</f>
        <v>147</v>
      </c>
      <c r="DM84" s="425">
        <f t="shared" si="223"/>
        <v>147</v>
      </c>
      <c r="DN84" s="425">
        <f t="shared" si="223"/>
        <v>147</v>
      </c>
      <c r="DO84" s="425">
        <f t="shared" si="223"/>
        <v>147</v>
      </c>
      <c r="DP84" s="425">
        <f t="shared" si="223"/>
        <v>147</v>
      </c>
      <c r="DQ84" s="425">
        <f t="shared" si="223"/>
        <v>147</v>
      </c>
      <c r="DR84" s="425">
        <f t="shared" si="223"/>
        <v>147</v>
      </c>
      <c r="DS84" s="425">
        <f t="shared" si="223"/>
        <v>147</v>
      </c>
      <c r="DU84" s="380" t="s">
        <v>815</v>
      </c>
      <c r="DV84" s="425">
        <f t="shared" si="221"/>
        <v>147</v>
      </c>
      <c r="DW84" s="425">
        <f t="shared" si="94"/>
        <v>147</v>
      </c>
      <c r="DX84" s="425">
        <f t="shared" si="95"/>
        <v>147</v>
      </c>
      <c r="DY84" s="425">
        <f t="shared" si="96"/>
        <v>147</v>
      </c>
      <c r="DZ84" s="425">
        <f t="shared" si="97"/>
        <v>147</v>
      </c>
      <c r="EA84" s="425">
        <f t="shared" si="98"/>
        <v>147</v>
      </c>
      <c r="EB84" s="425">
        <f t="shared" si="99"/>
        <v>147</v>
      </c>
      <c r="EC84" s="425">
        <f t="shared" si="100"/>
        <v>147</v>
      </c>
      <c r="ED84" s="425">
        <f t="shared" si="101"/>
        <v>147</v>
      </c>
      <c r="EE84" s="425">
        <f t="shared" si="102"/>
        <v>147</v>
      </c>
      <c r="EF84" s="425">
        <f t="shared" si="103"/>
        <v>147</v>
      </c>
      <c r="EG84" s="425">
        <f t="shared" si="104"/>
        <v>147</v>
      </c>
      <c r="EH84" s="425">
        <f t="shared" si="105"/>
        <v>147</v>
      </c>
      <c r="EI84" s="425">
        <f t="shared" si="106"/>
        <v>147</v>
      </c>
      <c r="EJ84" s="425">
        <f t="shared" si="107"/>
        <v>147</v>
      </c>
      <c r="EK84" s="425">
        <f t="shared" si="78"/>
        <v>147</v>
      </c>
      <c r="EL84" s="425">
        <f t="shared" si="79"/>
        <v>147</v>
      </c>
      <c r="EM84" s="425">
        <f t="shared" si="80"/>
        <v>147</v>
      </c>
      <c r="EN84" s="425">
        <f t="shared" si="81"/>
        <v>147</v>
      </c>
      <c r="EO84" s="425">
        <f t="shared" si="82"/>
        <v>147</v>
      </c>
      <c r="EP84" s="425">
        <f t="shared" si="83"/>
        <v>147</v>
      </c>
      <c r="EQ84" s="425">
        <f t="shared" si="84"/>
        <v>147</v>
      </c>
      <c r="ER84" s="425">
        <f t="shared" si="85"/>
        <v>147</v>
      </c>
      <c r="ES84" s="425">
        <f t="shared" si="86"/>
        <v>147</v>
      </c>
      <c r="ET84" s="425">
        <f t="shared" si="87"/>
        <v>147</v>
      </c>
      <c r="EU84" s="425">
        <f t="shared" si="88"/>
        <v>147</v>
      </c>
      <c r="EV84" s="425">
        <f t="shared" si="88"/>
        <v>147</v>
      </c>
      <c r="EW84" s="425">
        <f t="shared" si="89"/>
        <v>147</v>
      </c>
      <c r="EX84" s="425">
        <f t="shared" si="90"/>
        <v>147</v>
      </c>
      <c r="EY84" s="425">
        <f t="shared" si="91"/>
        <v>147</v>
      </c>
      <c r="EZ84" s="425">
        <f t="shared" si="92"/>
        <v>147</v>
      </c>
    </row>
    <row r="85" spans="42:156" x14ac:dyDescent="0.2">
      <c r="AP85" s="380" t="s">
        <v>710</v>
      </c>
      <c r="AQ85" s="406">
        <f t="shared" si="195"/>
        <v>149</v>
      </c>
      <c r="AR85" s="406">
        <f t="shared" si="195"/>
        <v>149</v>
      </c>
      <c r="AS85" s="380">
        <f t="shared" si="196"/>
        <v>149</v>
      </c>
      <c r="AT85" s="380">
        <f t="shared" si="197"/>
        <v>149</v>
      </c>
      <c r="AU85" s="380">
        <f t="shared" si="198"/>
        <v>149</v>
      </c>
      <c r="AV85" s="380">
        <f t="shared" si="199"/>
        <v>149</v>
      </c>
      <c r="AW85" s="380">
        <f t="shared" si="200"/>
        <v>149</v>
      </c>
      <c r="AX85" s="380">
        <f t="shared" si="201"/>
        <v>149</v>
      </c>
      <c r="AY85" s="380">
        <f t="shared" si="202"/>
        <v>149</v>
      </c>
      <c r="AZ85" s="380">
        <f t="shared" si="203"/>
        <v>149</v>
      </c>
      <c r="BA85" s="380">
        <f t="shared" si="204"/>
        <v>149</v>
      </c>
      <c r="BB85" s="380">
        <f t="shared" si="205"/>
        <v>149</v>
      </c>
      <c r="BC85" s="380">
        <f t="shared" si="206"/>
        <v>149</v>
      </c>
      <c r="BD85" s="407">
        <f t="shared" si="206"/>
        <v>149</v>
      </c>
      <c r="BG85" s="380" t="s">
        <v>710</v>
      </c>
      <c r="BH85" s="406">
        <f t="shared" si="207"/>
        <v>149</v>
      </c>
      <c r="BI85" s="406">
        <f t="shared" si="207"/>
        <v>149</v>
      </c>
      <c r="BJ85" s="380">
        <f t="shared" si="208"/>
        <v>149</v>
      </c>
      <c r="BK85" s="380">
        <f t="shared" si="209"/>
        <v>149</v>
      </c>
      <c r="BL85" s="380">
        <f t="shared" si="210"/>
        <v>149</v>
      </c>
      <c r="BM85" s="380">
        <f t="shared" si="211"/>
        <v>149</v>
      </c>
      <c r="BN85" s="380">
        <f t="shared" si="211"/>
        <v>149</v>
      </c>
      <c r="BO85" s="380">
        <f t="shared" si="212"/>
        <v>149</v>
      </c>
      <c r="BP85" s="380">
        <f t="shared" si="213"/>
        <v>149</v>
      </c>
      <c r="BQ85" s="380">
        <f t="shared" si="214"/>
        <v>149</v>
      </c>
      <c r="BR85" s="380">
        <f t="shared" si="215"/>
        <v>149</v>
      </c>
      <c r="BS85" s="380">
        <f t="shared" si="216"/>
        <v>149</v>
      </c>
      <c r="BT85" s="380">
        <f t="shared" si="216"/>
        <v>149</v>
      </c>
      <c r="BU85" s="380">
        <f t="shared" si="217"/>
        <v>149</v>
      </c>
      <c r="BV85" s="380">
        <f t="shared" si="218"/>
        <v>149</v>
      </c>
      <c r="BW85" s="380">
        <f t="shared" si="219"/>
        <v>149</v>
      </c>
      <c r="BX85" s="407">
        <f t="shared" si="191"/>
        <v>149</v>
      </c>
      <c r="CB85" s="425">
        <f>'A-50 FGRailInv'!$C$69</f>
        <v>0</v>
      </c>
      <c r="CC85" s="425" t="str">
        <f>Valid!$B$90</f>
        <v>Overhead Contact System/Power Distribution</v>
      </c>
      <c r="CD85" s="425">
        <f>CD76</f>
        <v>237</v>
      </c>
      <c r="CE85" s="446">
        <f>CE84+$CE$7</f>
        <v>279</v>
      </c>
      <c r="CF85" s="446">
        <f t="shared" si="192"/>
        <v>279</v>
      </c>
      <c r="CG85" s="425">
        <f t="shared" si="182"/>
        <v>279</v>
      </c>
      <c r="CH85" s="425">
        <f t="shared" si="182"/>
        <v>279</v>
      </c>
      <c r="CI85" s="425">
        <f t="shared" si="182"/>
        <v>279</v>
      </c>
      <c r="CJ85" s="425">
        <f t="shared" si="182"/>
        <v>279</v>
      </c>
      <c r="CK85" s="425">
        <f t="shared" si="182"/>
        <v>279</v>
      </c>
      <c r="CL85" s="425">
        <f t="shared" si="182"/>
        <v>279</v>
      </c>
      <c r="CM85" s="425">
        <f t="shared" si="182"/>
        <v>279</v>
      </c>
      <c r="CN85" s="425">
        <f t="shared" si="182"/>
        <v>279</v>
      </c>
      <c r="CO85" s="425">
        <f t="shared" si="182"/>
        <v>279</v>
      </c>
      <c r="CP85" s="425">
        <f t="shared" si="183"/>
        <v>279</v>
      </c>
      <c r="CQ85" s="425">
        <f t="shared" si="183"/>
        <v>279</v>
      </c>
      <c r="CR85" s="425">
        <f t="shared" si="183"/>
        <v>279</v>
      </c>
      <c r="CS85" s="425">
        <f t="shared" si="183"/>
        <v>279</v>
      </c>
      <c r="CT85" s="425">
        <f t="shared" si="183"/>
        <v>279</v>
      </c>
      <c r="CU85" s="425">
        <f t="shared" si="183"/>
        <v>279</v>
      </c>
      <c r="CY85" s="425">
        <f>'A-55 TrackInv'!$C$292</f>
        <v>0</v>
      </c>
      <c r="CZ85" s="425" t="str">
        <f>Valid!$B$85</f>
        <v>Single Turnout</v>
      </c>
      <c r="DA85" s="425">
        <f t="shared" si="189"/>
        <v>292</v>
      </c>
      <c r="DB85" s="1283">
        <f>DB84+$DB$7</f>
        <v>312</v>
      </c>
      <c r="DC85" s="425">
        <f t="shared" si="193"/>
        <v>312</v>
      </c>
      <c r="DD85" s="425">
        <f t="shared" si="193"/>
        <v>312</v>
      </c>
      <c r="DE85" s="425">
        <f t="shared" si="193"/>
        <v>312</v>
      </c>
      <c r="DF85" s="425">
        <f t="shared" si="193"/>
        <v>312</v>
      </c>
      <c r="DJ85" s="380" t="s">
        <v>816</v>
      </c>
      <c r="DK85" s="425">
        <f t="shared" si="222"/>
        <v>149</v>
      </c>
      <c r="DL85" s="425">
        <f t="shared" ref="DL85:DS85" si="224">DK85</f>
        <v>149</v>
      </c>
      <c r="DM85" s="425">
        <f t="shared" si="224"/>
        <v>149</v>
      </c>
      <c r="DN85" s="425">
        <f t="shared" si="224"/>
        <v>149</v>
      </c>
      <c r="DO85" s="425">
        <f t="shared" si="224"/>
        <v>149</v>
      </c>
      <c r="DP85" s="425">
        <f t="shared" si="224"/>
        <v>149</v>
      </c>
      <c r="DQ85" s="425">
        <f t="shared" si="224"/>
        <v>149</v>
      </c>
      <c r="DR85" s="425">
        <f t="shared" si="224"/>
        <v>149</v>
      </c>
      <c r="DS85" s="425">
        <f t="shared" si="224"/>
        <v>149</v>
      </c>
      <c r="DU85" s="380" t="s">
        <v>816</v>
      </c>
      <c r="DV85" s="425">
        <f t="shared" si="221"/>
        <v>149</v>
      </c>
      <c r="DW85" s="425">
        <f t="shared" si="94"/>
        <v>149</v>
      </c>
      <c r="DX85" s="425">
        <f t="shared" si="95"/>
        <v>149</v>
      </c>
      <c r="DY85" s="425">
        <f t="shared" si="96"/>
        <v>149</v>
      </c>
      <c r="DZ85" s="425">
        <f t="shared" si="97"/>
        <v>149</v>
      </c>
      <c r="EA85" s="425">
        <f t="shared" si="98"/>
        <v>149</v>
      </c>
      <c r="EB85" s="425">
        <f t="shared" si="99"/>
        <v>149</v>
      </c>
      <c r="EC85" s="425">
        <f t="shared" si="100"/>
        <v>149</v>
      </c>
      <c r="ED85" s="425">
        <f t="shared" si="101"/>
        <v>149</v>
      </c>
      <c r="EE85" s="425">
        <f t="shared" si="102"/>
        <v>149</v>
      </c>
      <c r="EF85" s="425">
        <f t="shared" si="103"/>
        <v>149</v>
      </c>
      <c r="EG85" s="425">
        <f t="shared" si="104"/>
        <v>149</v>
      </c>
      <c r="EH85" s="425">
        <f t="shared" si="105"/>
        <v>149</v>
      </c>
      <c r="EI85" s="425">
        <f t="shared" si="106"/>
        <v>149</v>
      </c>
      <c r="EJ85" s="425">
        <f t="shared" si="107"/>
        <v>149</v>
      </c>
      <c r="EK85" s="425">
        <f t="shared" si="78"/>
        <v>149</v>
      </c>
      <c r="EL85" s="425">
        <f t="shared" si="79"/>
        <v>149</v>
      </c>
      <c r="EM85" s="425">
        <f t="shared" si="80"/>
        <v>149</v>
      </c>
      <c r="EN85" s="425">
        <f t="shared" si="81"/>
        <v>149</v>
      </c>
      <c r="EO85" s="425">
        <f t="shared" si="82"/>
        <v>149</v>
      </c>
      <c r="EP85" s="425">
        <f t="shared" si="83"/>
        <v>149</v>
      </c>
      <c r="EQ85" s="425">
        <f t="shared" si="84"/>
        <v>149</v>
      </c>
      <c r="ER85" s="425">
        <f t="shared" si="85"/>
        <v>149</v>
      </c>
      <c r="ES85" s="425">
        <f t="shared" si="86"/>
        <v>149</v>
      </c>
      <c r="ET85" s="425">
        <f t="shared" si="87"/>
        <v>149</v>
      </c>
      <c r="EU85" s="425">
        <f t="shared" si="88"/>
        <v>149</v>
      </c>
      <c r="EV85" s="425">
        <f t="shared" si="88"/>
        <v>149</v>
      </c>
      <c r="EW85" s="425">
        <f t="shared" si="89"/>
        <v>149</v>
      </c>
      <c r="EX85" s="425">
        <f t="shared" si="90"/>
        <v>149</v>
      </c>
      <c r="EY85" s="425">
        <f t="shared" si="91"/>
        <v>149</v>
      </c>
      <c r="EZ85" s="425">
        <f t="shared" si="92"/>
        <v>149</v>
      </c>
    </row>
    <row r="86" spans="42:156" x14ac:dyDescent="0.2">
      <c r="AP86" s="380" t="s">
        <v>711</v>
      </c>
      <c r="AQ86" s="406">
        <f t="shared" si="195"/>
        <v>151</v>
      </c>
      <c r="AR86" s="406">
        <f t="shared" si="195"/>
        <v>151</v>
      </c>
      <c r="AS86" s="380">
        <f t="shared" si="196"/>
        <v>151</v>
      </c>
      <c r="AT86" s="380">
        <f t="shared" si="197"/>
        <v>151</v>
      </c>
      <c r="AU86" s="380">
        <f t="shared" si="198"/>
        <v>151</v>
      </c>
      <c r="AV86" s="380">
        <f t="shared" si="199"/>
        <v>151</v>
      </c>
      <c r="AW86" s="380">
        <f t="shared" si="200"/>
        <v>151</v>
      </c>
      <c r="AX86" s="380">
        <f t="shared" si="201"/>
        <v>151</v>
      </c>
      <c r="AY86" s="380">
        <f t="shared" si="202"/>
        <v>151</v>
      </c>
      <c r="AZ86" s="380">
        <f t="shared" si="203"/>
        <v>151</v>
      </c>
      <c r="BA86" s="380">
        <f t="shared" si="204"/>
        <v>151</v>
      </c>
      <c r="BB86" s="380">
        <f t="shared" si="205"/>
        <v>151</v>
      </c>
      <c r="BC86" s="380">
        <f t="shared" si="206"/>
        <v>151</v>
      </c>
      <c r="BD86" s="407">
        <f t="shared" si="206"/>
        <v>151</v>
      </c>
      <c r="BG86" s="380" t="s">
        <v>711</v>
      </c>
      <c r="BH86" s="406">
        <f t="shared" si="207"/>
        <v>151</v>
      </c>
      <c r="BI86" s="406">
        <f t="shared" si="207"/>
        <v>151</v>
      </c>
      <c r="BJ86" s="380">
        <f t="shared" si="208"/>
        <v>151</v>
      </c>
      <c r="BK86" s="380">
        <f t="shared" si="209"/>
        <v>151</v>
      </c>
      <c r="BL86" s="380">
        <f t="shared" si="210"/>
        <v>151</v>
      </c>
      <c r="BM86" s="380">
        <f t="shared" si="211"/>
        <v>151</v>
      </c>
      <c r="BN86" s="380">
        <f t="shared" si="211"/>
        <v>151</v>
      </c>
      <c r="BO86" s="380">
        <f t="shared" si="212"/>
        <v>151</v>
      </c>
      <c r="BP86" s="380">
        <f t="shared" si="213"/>
        <v>151</v>
      </c>
      <c r="BQ86" s="380">
        <f t="shared" si="214"/>
        <v>151</v>
      </c>
      <c r="BR86" s="380">
        <f t="shared" si="215"/>
        <v>151</v>
      </c>
      <c r="BS86" s="380">
        <f t="shared" si="216"/>
        <v>151</v>
      </c>
      <c r="BT86" s="380">
        <f t="shared" si="216"/>
        <v>151</v>
      </c>
      <c r="BU86" s="380">
        <f t="shared" si="217"/>
        <v>151</v>
      </c>
      <c r="BV86" s="380">
        <f t="shared" si="218"/>
        <v>151</v>
      </c>
      <c r="BW86" s="380">
        <f t="shared" si="219"/>
        <v>151</v>
      </c>
      <c r="BX86" s="407">
        <f t="shared" si="191"/>
        <v>151</v>
      </c>
      <c r="CB86" s="425">
        <f>'A-50 FGRailInv'!$C$69</f>
        <v>0</v>
      </c>
      <c r="CC86" s="425" t="str">
        <f>Valid!$B$91</f>
        <v>Train Control &amp; Signaling</v>
      </c>
      <c r="CD86" s="425">
        <f>CD77</f>
        <v>237</v>
      </c>
      <c r="CE86" s="446">
        <f>CE85+$CE$7</f>
        <v>282</v>
      </c>
      <c r="CF86" s="446">
        <f t="shared" si="192"/>
        <v>282</v>
      </c>
      <c r="CG86" s="425">
        <f t="shared" ref="CG86:CO95" si="225">$CE86</f>
        <v>282</v>
      </c>
      <c r="CH86" s="425">
        <f t="shared" si="225"/>
        <v>282</v>
      </c>
      <c r="CI86" s="425">
        <f t="shared" si="225"/>
        <v>282</v>
      </c>
      <c r="CJ86" s="425">
        <f t="shared" si="225"/>
        <v>282</v>
      </c>
      <c r="CK86" s="425">
        <f t="shared" si="225"/>
        <v>282</v>
      </c>
      <c r="CL86" s="425">
        <f t="shared" si="225"/>
        <v>282</v>
      </c>
      <c r="CM86" s="425">
        <f t="shared" si="225"/>
        <v>282</v>
      </c>
      <c r="CN86" s="425">
        <f t="shared" si="225"/>
        <v>282</v>
      </c>
      <c r="CO86" s="425">
        <f t="shared" si="225"/>
        <v>282</v>
      </c>
      <c r="CP86" s="425">
        <f t="shared" ref="CP86:CU95" si="226">$CE86</f>
        <v>282</v>
      </c>
      <c r="CQ86" s="425">
        <f t="shared" si="226"/>
        <v>282</v>
      </c>
      <c r="CR86" s="425">
        <f t="shared" si="226"/>
        <v>282</v>
      </c>
      <c r="CS86" s="425">
        <f t="shared" si="226"/>
        <v>282</v>
      </c>
      <c r="CT86" s="425">
        <f t="shared" si="226"/>
        <v>282</v>
      </c>
      <c r="CU86" s="425">
        <f t="shared" si="226"/>
        <v>282</v>
      </c>
      <c r="CY86" s="425">
        <f>'A-55 TrackInv'!$C$292</f>
        <v>0</v>
      </c>
      <c r="CZ86" s="425" t="str">
        <f>Valid!$B$86</f>
        <v>Grade Crossings</v>
      </c>
      <c r="DA86" s="425">
        <f t="shared" si="189"/>
        <v>292</v>
      </c>
      <c r="DB86" s="1283">
        <f>DB85+$DB$7</f>
        <v>314</v>
      </c>
      <c r="DC86" s="425">
        <f t="shared" si="193"/>
        <v>314</v>
      </c>
      <c r="DD86" s="425">
        <f t="shared" si="193"/>
        <v>314</v>
      </c>
      <c r="DE86" s="425">
        <f t="shared" si="193"/>
        <v>314</v>
      </c>
      <c r="DF86" s="425">
        <f t="shared" si="193"/>
        <v>314</v>
      </c>
      <c r="DJ86" s="380" t="s">
        <v>817</v>
      </c>
      <c r="DK86" s="425">
        <f t="shared" si="222"/>
        <v>151</v>
      </c>
      <c r="DL86" s="425">
        <f t="shared" ref="DL86:DS86" si="227">DK86</f>
        <v>151</v>
      </c>
      <c r="DM86" s="425">
        <f t="shared" si="227"/>
        <v>151</v>
      </c>
      <c r="DN86" s="425">
        <f t="shared" si="227"/>
        <v>151</v>
      </c>
      <c r="DO86" s="425">
        <f t="shared" si="227"/>
        <v>151</v>
      </c>
      <c r="DP86" s="425">
        <f t="shared" si="227"/>
        <v>151</v>
      </c>
      <c r="DQ86" s="425">
        <f t="shared" si="227"/>
        <v>151</v>
      </c>
      <c r="DR86" s="425">
        <f t="shared" si="227"/>
        <v>151</v>
      </c>
      <c r="DS86" s="425">
        <f t="shared" si="227"/>
        <v>151</v>
      </c>
      <c r="DU86" s="380" t="s">
        <v>817</v>
      </c>
      <c r="DV86" s="425">
        <f t="shared" si="221"/>
        <v>151</v>
      </c>
      <c r="DW86" s="425">
        <f t="shared" si="94"/>
        <v>151</v>
      </c>
      <c r="DX86" s="425">
        <f t="shared" si="95"/>
        <v>151</v>
      </c>
      <c r="DY86" s="425">
        <f t="shared" si="96"/>
        <v>151</v>
      </c>
      <c r="DZ86" s="425">
        <f t="shared" si="97"/>
        <v>151</v>
      </c>
      <c r="EA86" s="425">
        <f t="shared" si="98"/>
        <v>151</v>
      </c>
      <c r="EB86" s="425">
        <f t="shared" si="99"/>
        <v>151</v>
      </c>
      <c r="EC86" s="425">
        <f t="shared" si="100"/>
        <v>151</v>
      </c>
      <c r="ED86" s="425">
        <f t="shared" si="101"/>
        <v>151</v>
      </c>
      <c r="EE86" s="425">
        <f t="shared" si="102"/>
        <v>151</v>
      </c>
      <c r="EF86" s="425">
        <f t="shared" si="103"/>
        <v>151</v>
      </c>
      <c r="EG86" s="425">
        <f t="shared" si="104"/>
        <v>151</v>
      </c>
      <c r="EH86" s="425">
        <f t="shared" si="105"/>
        <v>151</v>
      </c>
      <c r="EI86" s="425">
        <f t="shared" si="106"/>
        <v>151</v>
      </c>
      <c r="EJ86" s="425">
        <f t="shared" si="107"/>
        <v>151</v>
      </c>
      <c r="EK86" s="425">
        <f t="shared" si="78"/>
        <v>151</v>
      </c>
      <c r="EL86" s="425">
        <f t="shared" si="79"/>
        <v>151</v>
      </c>
      <c r="EM86" s="425">
        <f t="shared" si="80"/>
        <v>151</v>
      </c>
      <c r="EN86" s="425">
        <f t="shared" si="81"/>
        <v>151</v>
      </c>
      <c r="EO86" s="425">
        <f t="shared" si="82"/>
        <v>151</v>
      </c>
      <c r="EP86" s="425">
        <f t="shared" si="83"/>
        <v>151</v>
      </c>
      <c r="EQ86" s="425">
        <f t="shared" si="84"/>
        <v>151</v>
      </c>
      <c r="ER86" s="425">
        <f t="shared" si="85"/>
        <v>151</v>
      </c>
      <c r="ES86" s="425">
        <f t="shared" si="86"/>
        <v>151</v>
      </c>
      <c r="ET86" s="425">
        <f t="shared" si="87"/>
        <v>151</v>
      </c>
      <c r="EU86" s="425">
        <f t="shared" si="88"/>
        <v>151</v>
      </c>
      <c r="EV86" s="425">
        <f t="shared" si="88"/>
        <v>151</v>
      </c>
      <c r="EW86" s="425">
        <f t="shared" si="89"/>
        <v>151</v>
      </c>
      <c r="EX86" s="425">
        <f t="shared" si="90"/>
        <v>151</v>
      </c>
      <c r="EY86" s="425">
        <f t="shared" si="91"/>
        <v>151</v>
      </c>
      <c r="EZ86" s="425">
        <f t="shared" si="92"/>
        <v>151</v>
      </c>
    </row>
    <row r="87" spans="42:156" x14ac:dyDescent="0.2">
      <c r="AP87" s="380" t="s">
        <v>712</v>
      </c>
      <c r="AQ87" s="406">
        <f t="shared" si="195"/>
        <v>153</v>
      </c>
      <c r="AR87" s="406">
        <f t="shared" si="195"/>
        <v>153</v>
      </c>
      <c r="AS87" s="380">
        <f t="shared" si="196"/>
        <v>153</v>
      </c>
      <c r="AT87" s="380">
        <f t="shared" si="197"/>
        <v>153</v>
      </c>
      <c r="AU87" s="380">
        <f t="shared" si="198"/>
        <v>153</v>
      </c>
      <c r="AV87" s="380">
        <f t="shared" si="199"/>
        <v>153</v>
      </c>
      <c r="AW87" s="380">
        <f t="shared" si="200"/>
        <v>153</v>
      </c>
      <c r="AX87" s="380">
        <f t="shared" si="201"/>
        <v>153</v>
      </c>
      <c r="AY87" s="380">
        <f t="shared" si="202"/>
        <v>153</v>
      </c>
      <c r="AZ87" s="380">
        <f t="shared" si="203"/>
        <v>153</v>
      </c>
      <c r="BA87" s="380">
        <f t="shared" si="204"/>
        <v>153</v>
      </c>
      <c r="BB87" s="380">
        <f t="shared" si="205"/>
        <v>153</v>
      </c>
      <c r="BC87" s="380">
        <f t="shared" si="206"/>
        <v>153</v>
      </c>
      <c r="BD87" s="407">
        <f t="shared" si="206"/>
        <v>153</v>
      </c>
      <c r="BG87" s="380" t="s">
        <v>712</v>
      </c>
      <c r="BH87" s="406">
        <f t="shared" si="207"/>
        <v>153</v>
      </c>
      <c r="BI87" s="406">
        <f t="shared" si="207"/>
        <v>153</v>
      </c>
      <c r="BJ87" s="380">
        <f t="shared" si="208"/>
        <v>153</v>
      </c>
      <c r="BK87" s="380">
        <f t="shared" si="209"/>
        <v>153</v>
      </c>
      <c r="BL87" s="380">
        <f t="shared" si="210"/>
        <v>153</v>
      </c>
      <c r="BM87" s="380">
        <f t="shared" si="211"/>
        <v>153</v>
      </c>
      <c r="BN87" s="380">
        <f t="shared" si="211"/>
        <v>153</v>
      </c>
      <c r="BO87" s="380">
        <f t="shared" si="212"/>
        <v>153</v>
      </c>
      <c r="BP87" s="380">
        <f t="shared" si="213"/>
        <v>153</v>
      </c>
      <c r="BQ87" s="380">
        <f t="shared" si="214"/>
        <v>153</v>
      </c>
      <c r="BR87" s="380">
        <f t="shared" si="215"/>
        <v>153</v>
      </c>
      <c r="BS87" s="380">
        <f t="shared" si="216"/>
        <v>153</v>
      </c>
      <c r="BT87" s="380">
        <f t="shared" si="216"/>
        <v>153</v>
      </c>
      <c r="BU87" s="380">
        <f t="shared" si="217"/>
        <v>153</v>
      </c>
      <c r="BV87" s="380">
        <f t="shared" si="218"/>
        <v>153</v>
      </c>
      <c r="BW87" s="380">
        <f t="shared" si="219"/>
        <v>153</v>
      </c>
      <c r="BX87" s="407">
        <f t="shared" si="191"/>
        <v>153</v>
      </c>
      <c r="CA87" s="448"/>
      <c r="CB87" s="425">
        <f>'A-50 FGRailInv'!$C$69</f>
        <v>0</v>
      </c>
      <c r="CC87" s="425" t="str">
        <f>Valid!$B$71</f>
        <v>At-Grade/Ballast (including expressway)</v>
      </c>
      <c r="CD87" s="425">
        <f>CD73+$CD$7</f>
        <v>293</v>
      </c>
      <c r="CE87" s="446">
        <f>CE86+$CE$9</f>
        <v>297</v>
      </c>
      <c r="CF87" s="446">
        <f t="shared" si="192"/>
        <v>297</v>
      </c>
      <c r="CG87" s="425">
        <f t="shared" si="225"/>
        <v>297</v>
      </c>
      <c r="CH87" s="425">
        <f t="shared" si="225"/>
        <v>297</v>
      </c>
      <c r="CI87" s="425">
        <f t="shared" si="225"/>
        <v>297</v>
      </c>
      <c r="CJ87" s="425">
        <f t="shared" si="225"/>
        <v>297</v>
      </c>
      <c r="CK87" s="425">
        <f t="shared" si="225"/>
        <v>297</v>
      </c>
      <c r="CL87" s="425">
        <f t="shared" si="225"/>
        <v>297</v>
      </c>
      <c r="CM87" s="425">
        <f t="shared" si="225"/>
        <v>297</v>
      </c>
      <c r="CN87" s="425">
        <f t="shared" si="225"/>
        <v>297</v>
      </c>
      <c r="CO87" s="425">
        <f t="shared" si="225"/>
        <v>297</v>
      </c>
      <c r="CP87" s="425">
        <f t="shared" si="226"/>
        <v>297</v>
      </c>
      <c r="CQ87" s="425">
        <f t="shared" si="226"/>
        <v>297</v>
      </c>
      <c r="CR87" s="425">
        <f t="shared" si="226"/>
        <v>297</v>
      </c>
      <c r="CS87" s="425">
        <f t="shared" si="226"/>
        <v>297</v>
      </c>
      <c r="CT87" s="425">
        <f t="shared" si="226"/>
        <v>297</v>
      </c>
      <c r="CU87" s="425">
        <f t="shared" si="226"/>
        <v>297</v>
      </c>
      <c r="DJ87" s="380" t="s">
        <v>818</v>
      </c>
      <c r="DK87" s="425">
        <f t="shared" si="222"/>
        <v>153</v>
      </c>
      <c r="DL87" s="425">
        <f t="shared" ref="DL87:DS87" si="228">DK87</f>
        <v>153</v>
      </c>
      <c r="DM87" s="425">
        <f t="shared" si="228"/>
        <v>153</v>
      </c>
      <c r="DN87" s="425">
        <f t="shared" si="228"/>
        <v>153</v>
      </c>
      <c r="DO87" s="425">
        <f t="shared" si="228"/>
        <v>153</v>
      </c>
      <c r="DP87" s="425">
        <f t="shared" si="228"/>
        <v>153</v>
      </c>
      <c r="DQ87" s="425">
        <f t="shared" si="228"/>
        <v>153</v>
      </c>
      <c r="DR87" s="425">
        <f t="shared" si="228"/>
        <v>153</v>
      </c>
      <c r="DS87" s="425">
        <f t="shared" si="228"/>
        <v>153</v>
      </c>
      <c r="DU87" s="380" t="s">
        <v>818</v>
      </c>
      <c r="DV87" s="425">
        <f t="shared" si="221"/>
        <v>153</v>
      </c>
      <c r="DW87" s="425">
        <f t="shared" si="94"/>
        <v>153</v>
      </c>
      <c r="DX87" s="425">
        <f t="shared" si="95"/>
        <v>153</v>
      </c>
      <c r="DY87" s="425">
        <f t="shared" si="96"/>
        <v>153</v>
      </c>
      <c r="DZ87" s="425">
        <f t="shared" si="97"/>
        <v>153</v>
      </c>
      <c r="EA87" s="425">
        <f t="shared" si="98"/>
        <v>153</v>
      </c>
      <c r="EB87" s="425">
        <f t="shared" si="99"/>
        <v>153</v>
      </c>
      <c r="EC87" s="425">
        <f t="shared" si="100"/>
        <v>153</v>
      </c>
      <c r="ED87" s="425">
        <f t="shared" si="101"/>
        <v>153</v>
      </c>
      <c r="EE87" s="425">
        <f t="shared" si="102"/>
        <v>153</v>
      </c>
      <c r="EF87" s="425">
        <f t="shared" si="103"/>
        <v>153</v>
      </c>
      <c r="EG87" s="425">
        <f t="shared" si="104"/>
        <v>153</v>
      </c>
      <c r="EH87" s="425">
        <f t="shared" si="105"/>
        <v>153</v>
      </c>
      <c r="EI87" s="425">
        <f t="shared" si="106"/>
        <v>153</v>
      </c>
      <c r="EJ87" s="425">
        <f t="shared" si="107"/>
        <v>153</v>
      </c>
      <c r="EK87" s="425">
        <f t="shared" si="78"/>
        <v>153</v>
      </c>
      <c r="EL87" s="425">
        <f t="shared" si="79"/>
        <v>153</v>
      </c>
      <c r="EM87" s="425">
        <f t="shared" si="80"/>
        <v>153</v>
      </c>
      <c r="EN87" s="425">
        <f t="shared" si="81"/>
        <v>153</v>
      </c>
      <c r="EO87" s="425">
        <f t="shared" si="82"/>
        <v>153</v>
      </c>
      <c r="EP87" s="425">
        <f t="shared" si="83"/>
        <v>153</v>
      </c>
      <c r="EQ87" s="425">
        <f t="shared" si="84"/>
        <v>153</v>
      </c>
      <c r="ER87" s="425">
        <f t="shared" si="85"/>
        <v>153</v>
      </c>
      <c r="ES87" s="425">
        <f t="shared" si="86"/>
        <v>153</v>
      </c>
      <c r="ET87" s="425">
        <f t="shared" si="87"/>
        <v>153</v>
      </c>
      <c r="EU87" s="425">
        <f t="shared" si="88"/>
        <v>153</v>
      </c>
      <c r="EV87" s="425">
        <f t="shared" si="88"/>
        <v>153</v>
      </c>
      <c r="EW87" s="425">
        <f t="shared" si="89"/>
        <v>153</v>
      </c>
      <c r="EX87" s="425">
        <f t="shared" si="90"/>
        <v>153</v>
      </c>
      <c r="EY87" s="425">
        <f t="shared" si="91"/>
        <v>153</v>
      </c>
      <c r="EZ87" s="425">
        <f t="shared" si="92"/>
        <v>153</v>
      </c>
    </row>
    <row r="88" spans="42:156" x14ac:dyDescent="0.2">
      <c r="AP88" s="380" t="s">
        <v>713</v>
      </c>
      <c r="AQ88" s="406">
        <f t="shared" si="195"/>
        <v>155</v>
      </c>
      <c r="AR88" s="406">
        <f t="shared" si="195"/>
        <v>155</v>
      </c>
      <c r="AS88" s="380">
        <f t="shared" si="196"/>
        <v>155</v>
      </c>
      <c r="AT88" s="380">
        <f t="shared" si="197"/>
        <v>155</v>
      </c>
      <c r="AU88" s="380">
        <f t="shared" si="198"/>
        <v>155</v>
      </c>
      <c r="AV88" s="380">
        <f t="shared" si="199"/>
        <v>155</v>
      </c>
      <c r="AW88" s="380">
        <f t="shared" si="200"/>
        <v>155</v>
      </c>
      <c r="AX88" s="380">
        <f t="shared" si="201"/>
        <v>155</v>
      </c>
      <c r="AY88" s="380">
        <f t="shared" si="202"/>
        <v>155</v>
      </c>
      <c r="AZ88" s="380">
        <f t="shared" si="203"/>
        <v>155</v>
      </c>
      <c r="BA88" s="380">
        <f t="shared" si="204"/>
        <v>155</v>
      </c>
      <c r="BB88" s="380">
        <f t="shared" si="205"/>
        <v>155</v>
      </c>
      <c r="BC88" s="380">
        <f t="shared" si="206"/>
        <v>155</v>
      </c>
      <c r="BD88" s="407">
        <f t="shared" si="206"/>
        <v>155</v>
      </c>
      <c r="BG88" s="380" t="s">
        <v>713</v>
      </c>
      <c r="BH88" s="406">
        <f t="shared" si="207"/>
        <v>155</v>
      </c>
      <c r="BI88" s="406">
        <f t="shared" si="207"/>
        <v>155</v>
      </c>
      <c r="BJ88" s="380">
        <f t="shared" si="208"/>
        <v>155</v>
      </c>
      <c r="BK88" s="380">
        <f t="shared" si="209"/>
        <v>155</v>
      </c>
      <c r="BL88" s="380">
        <f t="shared" si="210"/>
        <v>155</v>
      </c>
      <c r="BM88" s="380">
        <f t="shared" si="211"/>
        <v>155</v>
      </c>
      <c r="BN88" s="380">
        <f t="shared" si="211"/>
        <v>155</v>
      </c>
      <c r="BO88" s="380">
        <f t="shared" si="212"/>
        <v>155</v>
      </c>
      <c r="BP88" s="380">
        <f t="shared" si="213"/>
        <v>155</v>
      </c>
      <c r="BQ88" s="380">
        <f t="shared" si="214"/>
        <v>155</v>
      </c>
      <c r="BR88" s="380">
        <f t="shared" si="215"/>
        <v>155</v>
      </c>
      <c r="BS88" s="380">
        <f t="shared" si="216"/>
        <v>155</v>
      </c>
      <c r="BT88" s="380">
        <f t="shared" si="216"/>
        <v>155</v>
      </c>
      <c r="BU88" s="380">
        <f t="shared" si="217"/>
        <v>155</v>
      </c>
      <c r="BV88" s="380">
        <f t="shared" si="218"/>
        <v>155</v>
      </c>
      <c r="BW88" s="380">
        <f t="shared" si="219"/>
        <v>155</v>
      </c>
      <c r="BX88" s="407">
        <f t="shared" si="191"/>
        <v>155</v>
      </c>
      <c r="CA88" s="448"/>
      <c r="CB88" s="425">
        <f>'A-50 FGRailInv'!$C$69</f>
        <v>0</v>
      </c>
      <c r="CC88" s="425" t="str">
        <f>Valid!$B$72</f>
        <v>At-Grade/In-Street/Embedded</v>
      </c>
      <c r="CD88" s="425">
        <f>CD87</f>
        <v>293</v>
      </c>
      <c r="CE88" s="1199">
        <f t="shared" ref="CE88:CE95" si="229">CE87+$CE$7</f>
        <v>300</v>
      </c>
      <c r="CF88" s="446">
        <f t="shared" si="192"/>
        <v>300</v>
      </c>
      <c r="CG88" s="425">
        <f t="shared" si="225"/>
        <v>300</v>
      </c>
      <c r="CH88" s="425">
        <f t="shared" si="225"/>
        <v>300</v>
      </c>
      <c r="CI88" s="425">
        <f t="shared" si="225"/>
        <v>300</v>
      </c>
      <c r="CJ88" s="425">
        <f t="shared" si="225"/>
        <v>300</v>
      </c>
      <c r="CK88" s="425">
        <f t="shared" si="225"/>
        <v>300</v>
      </c>
      <c r="CL88" s="425">
        <f t="shared" si="225"/>
        <v>300</v>
      </c>
      <c r="CM88" s="425">
        <f t="shared" si="225"/>
        <v>300</v>
      </c>
      <c r="CN88" s="425">
        <f t="shared" si="225"/>
        <v>300</v>
      </c>
      <c r="CO88" s="425">
        <f t="shared" si="225"/>
        <v>300</v>
      </c>
      <c r="CP88" s="425">
        <f t="shared" si="226"/>
        <v>300</v>
      </c>
      <c r="CQ88" s="425">
        <f t="shared" si="226"/>
        <v>300</v>
      </c>
      <c r="CR88" s="425">
        <f t="shared" si="226"/>
        <v>300</v>
      </c>
      <c r="CS88" s="425">
        <f t="shared" si="226"/>
        <v>300</v>
      </c>
      <c r="CT88" s="425">
        <f t="shared" si="226"/>
        <v>300</v>
      </c>
      <c r="CU88" s="425">
        <f t="shared" si="226"/>
        <v>300</v>
      </c>
      <c r="DJ88" s="380" t="s">
        <v>819</v>
      </c>
      <c r="DK88" s="425">
        <f t="shared" si="222"/>
        <v>155</v>
      </c>
      <c r="DL88" s="425">
        <f t="shared" ref="DL88:DS88" si="230">DK88</f>
        <v>155</v>
      </c>
      <c r="DM88" s="425">
        <f t="shared" si="230"/>
        <v>155</v>
      </c>
      <c r="DN88" s="425">
        <f t="shared" si="230"/>
        <v>155</v>
      </c>
      <c r="DO88" s="425">
        <f t="shared" si="230"/>
        <v>155</v>
      </c>
      <c r="DP88" s="425">
        <f t="shared" si="230"/>
        <v>155</v>
      </c>
      <c r="DQ88" s="425">
        <f t="shared" si="230"/>
        <v>155</v>
      </c>
      <c r="DR88" s="425">
        <f t="shared" si="230"/>
        <v>155</v>
      </c>
      <c r="DS88" s="425">
        <f t="shared" si="230"/>
        <v>155</v>
      </c>
      <c r="DU88" s="380" t="s">
        <v>819</v>
      </c>
      <c r="DV88" s="425">
        <f t="shared" si="221"/>
        <v>155</v>
      </c>
      <c r="DW88" s="425">
        <f t="shared" si="94"/>
        <v>155</v>
      </c>
      <c r="DX88" s="425">
        <f t="shared" si="95"/>
        <v>155</v>
      </c>
      <c r="DY88" s="425">
        <f t="shared" si="96"/>
        <v>155</v>
      </c>
      <c r="DZ88" s="425">
        <f t="shared" si="97"/>
        <v>155</v>
      </c>
      <c r="EA88" s="425">
        <f t="shared" si="98"/>
        <v>155</v>
      </c>
      <c r="EB88" s="425">
        <f t="shared" si="99"/>
        <v>155</v>
      </c>
      <c r="EC88" s="425">
        <f t="shared" si="100"/>
        <v>155</v>
      </c>
      <c r="ED88" s="425">
        <f t="shared" si="101"/>
        <v>155</v>
      </c>
      <c r="EE88" s="425">
        <f t="shared" si="102"/>
        <v>155</v>
      </c>
      <c r="EF88" s="425">
        <f t="shared" si="103"/>
        <v>155</v>
      </c>
      <c r="EG88" s="425">
        <f t="shared" si="104"/>
        <v>155</v>
      </c>
      <c r="EH88" s="425">
        <f t="shared" si="105"/>
        <v>155</v>
      </c>
      <c r="EI88" s="425">
        <f t="shared" si="106"/>
        <v>155</v>
      </c>
      <c r="EJ88" s="425">
        <f t="shared" si="107"/>
        <v>155</v>
      </c>
      <c r="EK88" s="425">
        <f t="shared" si="78"/>
        <v>155</v>
      </c>
      <c r="EL88" s="425">
        <f t="shared" si="79"/>
        <v>155</v>
      </c>
      <c r="EM88" s="425">
        <f t="shared" si="80"/>
        <v>155</v>
      </c>
      <c r="EN88" s="425">
        <f t="shared" si="81"/>
        <v>155</v>
      </c>
      <c r="EO88" s="425">
        <f t="shared" si="82"/>
        <v>155</v>
      </c>
      <c r="EP88" s="425">
        <f t="shared" si="83"/>
        <v>155</v>
      </c>
      <c r="EQ88" s="425">
        <f t="shared" si="84"/>
        <v>155</v>
      </c>
      <c r="ER88" s="425">
        <f t="shared" si="85"/>
        <v>155</v>
      </c>
      <c r="ES88" s="425">
        <f t="shared" si="86"/>
        <v>155</v>
      </c>
      <c r="ET88" s="425">
        <f t="shared" si="87"/>
        <v>155</v>
      </c>
      <c r="EU88" s="425">
        <f t="shared" si="88"/>
        <v>155</v>
      </c>
      <c r="EV88" s="425">
        <f t="shared" si="88"/>
        <v>155</v>
      </c>
      <c r="EW88" s="425">
        <f t="shared" si="89"/>
        <v>155</v>
      </c>
      <c r="EX88" s="425">
        <f t="shared" si="90"/>
        <v>155</v>
      </c>
      <c r="EY88" s="425">
        <f t="shared" si="91"/>
        <v>155</v>
      </c>
      <c r="EZ88" s="425">
        <f t="shared" si="92"/>
        <v>155</v>
      </c>
    </row>
    <row r="89" spans="42:156" x14ac:dyDescent="0.2">
      <c r="AP89" s="380" t="s">
        <v>714</v>
      </c>
      <c r="AQ89" s="406">
        <f t="shared" si="195"/>
        <v>157</v>
      </c>
      <c r="AR89" s="406">
        <f t="shared" si="195"/>
        <v>157</v>
      </c>
      <c r="AS89" s="380">
        <f t="shared" si="196"/>
        <v>157</v>
      </c>
      <c r="AT89" s="380">
        <f t="shared" si="197"/>
        <v>157</v>
      </c>
      <c r="AU89" s="380">
        <f t="shared" si="198"/>
        <v>157</v>
      </c>
      <c r="AV89" s="380">
        <f t="shared" si="199"/>
        <v>157</v>
      </c>
      <c r="AW89" s="380">
        <f t="shared" si="200"/>
        <v>157</v>
      </c>
      <c r="AX89" s="380">
        <f t="shared" si="201"/>
        <v>157</v>
      </c>
      <c r="AY89" s="380">
        <f t="shared" si="202"/>
        <v>157</v>
      </c>
      <c r="AZ89" s="380">
        <f t="shared" si="203"/>
        <v>157</v>
      </c>
      <c r="BA89" s="380">
        <f t="shared" si="204"/>
        <v>157</v>
      </c>
      <c r="BB89" s="380">
        <f t="shared" si="205"/>
        <v>157</v>
      </c>
      <c r="BC89" s="380">
        <f t="shared" si="206"/>
        <v>157</v>
      </c>
      <c r="BD89" s="407">
        <f t="shared" si="206"/>
        <v>157</v>
      </c>
      <c r="BG89" s="380" t="s">
        <v>714</v>
      </c>
      <c r="BH89" s="406">
        <f t="shared" si="207"/>
        <v>157</v>
      </c>
      <c r="BI89" s="406">
        <f t="shared" si="207"/>
        <v>157</v>
      </c>
      <c r="BJ89" s="380">
        <f t="shared" si="208"/>
        <v>157</v>
      </c>
      <c r="BK89" s="380">
        <f t="shared" si="209"/>
        <v>157</v>
      </c>
      <c r="BL89" s="380">
        <f t="shared" si="210"/>
        <v>157</v>
      </c>
      <c r="BM89" s="380">
        <f t="shared" si="211"/>
        <v>157</v>
      </c>
      <c r="BN89" s="380">
        <f t="shared" si="211"/>
        <v>157</v>
      </c>
      <c r="BO89" s="380">
        <f t="shared" si="212"/>
        <v>157</v>
      </c>
      <c r="BP89" s="380">
        <f t="shared" si="213"/>
        <v>157</v>
      </c>
      <c r="BQ89" s="380">
        <f t="shared" si="214"/>
        <v>157</v>
      </c>
      <c r="BR89" s="380">
        <f t="shared" si="215"/>
        <v>157</v>
      </c>
      <c r="BS89" s="380">
        <f t="shared" si="216"/>
        <v>157</v>
      </c>
      <c r="BT89" s="380">
        <f t="shared" si="216"/>
        <v>157</v>
      </c>
      <c r="BU89" s="380">
        <f t="shared" si="217"/>
        <v>157</v>
      </c>
      <c r="BV89" s="380">
        <f t="shared" si="218"/>
        <v>157</v>
      </c>
      <c r="BW89" s="380">
        <f t="shared" si="219"/>
        <v>157</v>
      </c>
      <c r="BX89" s="407">
        <f t="shared" si="191"/>
        <v>157</v>
      </c>
      <c r="CA89" s="448"/>
      <c r="CB89" s="425">
        <f>'A-50 FGRailInv'!$C$69</f>
        <v>0</v>
      </c>
      <c r="CC89" s="425" t="str">
        <f>Valid!$B$73</f>
        <v>Elevated/Retained Fill</v>
      </c>
      <c r="CD89" s="425">
        <f>CD87</f>
        <v>293</v>
      </c>
      <c r="CE89" s="446">
        <f t="shared" si="229"/>
        <v>303</v>
      </c>
      <c r="CF89" s="446">
        <f t="shared" si="192"/>
        <v>303</v>
      </c>
      <c r="CG89" s="425">
        <f t="shared" si="225"/>
        <v>303</v>
      </c>
      <c r="CH89" s="425">
        <f t="shared" si="225"/>
        <v>303</v>
      </c>
      <c r="CI89" s="425">
        <f t="shared" si="225"/>
        <v>303</v>
      </c>
      <c r="CJ89" s="425">
        <f t="shared" si="225"/>
        <v>303</v>
      </c>
      <c r="CK89" s="425">
        <f t="shared" si="225"/>
        <v>303</v>
      </c>
      <c r="CL89" s="425">
        <f t="shared" si="225"/>
        <v>303</v>
      </c>
      <c r="CM89" s="425">
        <f t="shared" si="225"/>
        <v>303</v>
      </c>
      <c r="CN89" s="425">
        <f t="shared" si="225"/>
        <v>303</v>
      </c>
      <c r="CO89" s="425">
        <f t="shared" si="225"/>
        <v>303</v>
      </c>
      <c r="CP89" s="425">
        <f t="shared" si="226"/>
        <v>303</v>
      </c>
      <c r="CQ89" s="425">
        <f t="shared" si="226"/>
        <v>303</v>
      </c>
      <c r="CR89" s="425">
        <f t="shared" si="226"/>
        <v>303</v>
      </c>
      <c r="CS89" s="425">
        <f t="shared" si="226"/>
        <v>303</v>
      </c>
      <c r="CT89" s="425">
        <f t="shared" si="226"/>
        <v>303</v>
      </c>
      <c r="CU89" s="425">
        <f t="shared" si="226"/>
        <v>303</v>
      </c>
      <c r="DJ89" s="380" t="s">
        <v>820</v>
      </c>
      <c r="DK89" s="425">
        <f t="shared" si="222"/>
        <v>157</v>
      </c>
      <c r="DL89" s="425">
        <f t="shared" ref="DL89:DS89" si="231">DK89</f>
        <v>157</v>
      </c>
      <c r="DM89" s="425">
        <f t="shared" si="231"/>
        <v>157</v>
      </c>
      <c r="DN89" s="425">
        <f t="shared" si="231"/>
        <v>157</v>
      </c>
      <c r="DO89" s="425">
        <f t="shared" si="231"/>
        <v>157</v>
      </c>
      <c r="DP89" s="425">
        <f t="shared" si="231"/>
        <v>157</v>
      </c>
      <c r="DQ89" s="425">
        <f t="shared" si="231"/>
        <v>157</v>
      </c>
      <c r="DR89" s="425">
        <f t="shared" si="231"/>
        <v>157</v>
      </c>
      <c r="DS89" s="425">
        <f t="shared" si="231"/>
        <v>157</v>
      </c>
      <c r="DU89" s="380" t="s">
        <v>820</v>
      </c>
      <c r="DV89" s="425">
        <f t="shared" si="221"/>
        <v>157</v>
      </c>
      <c r="DW89" s="425">
        <f t="shared" si="94"/>
        <v>157</v>
      </c>
      <c r="DX89" s="425">
        <f t="shared" si="95"/>
        <v>157</v>
      </c>
      <c r="DY89" s="425">
        <f t="shared" si="96"/>
        <v>157</v>
      </c>
      <c r="DZ89" s="425">
        <f t="shared" si="97"/>
        <v>157</v>
      </c>
      <c r="EA89" s="425">
        <f t="shared" si="98"/>
        <v>157</v>
      </c>
      <c r="EB89" s="425">
        <f t="shared" si="99"/>
        <v>157</v>
      </c>
      <c r="EC89" s="425">
        <f t="shared" si="100"/>
        <v>157</v>
      </c>
      <c r="ED89" s="425">
        <f t="shared" si="101"/>
        <v>157</v>
      </c>
      <c r="EE89" s="425">
        <f t="shared" si="102"/>
        <v>157</v>
      </c>
      <c r="EF89" s="425">
        <f t="shared" si="103"/>
        <v>157</v>
      </c>
      <c r="EG89" s="425">
        <f t="shared" si="104"/>
        <v>157</v>
      </c>
      <c r="EH89" s="425">
        <f t="shared" si="105"/>
        <v>157</v>
      </c>
      <c r="EI89" s="425">
        <f t="shared" si="106"/>
        <v>157</v>
      </c>
      <c r="EJ89" s="425">
        <f t="shared" si="107"/>
        <v>157</v>
      </c>
      <c r="EK89" s="425">
        <f t="shared" si="78"/>
        <v>157</v>
      </c>
      <c r="EL89" s="425">
        <f t="shared" si="79"/>
        <v>157</v>
      </c>
      <c r="EM89" s="425">
        <f t="shared" si="80"/>
        <v>157</v>
      </c>
      <c r="EN89" s="425">
        <f t="shared" si="81"/>
        <v>157</v>
      </c>
      <c r="EO89" s="425">
        <f t="shared" si="82"/>
        <v>157</v>
      </c>
      <c r="EP89" s="425">
        <f t="shared" si="83"/>
        <v>157</v>
      </c>
      <c r="EQ89" s="425">
        <f t="shared" si="84"/>
        <v>157</v>
      </c>
      <c r="ER89" s="425">
        <f t="shared" si="85"/>
        <v>157</v>
      </c>
      <c r="ES89" s="425">
        <f t="shared" si="86"/>
        <v>157</v>
      </c>
      <c r="ET89" s="425">
        <f t="shared" si="87"/>
        <v>157</v>
      </c>
      <c r="EU89" s="425">
        <f t="shared" si="88"/>
        <v>157</v>
      </c>
      <c r="EV89" s="425">
        <f t="shared" si="88"/>
        <v>157</v>
      </c>
      <c r="EW89" s="425">
        <f t="shared" si="89"/>
        <v>157</v>
      </c>
      <c r="EX89" s="425">
        <f t="shared" si="90"/>
        <v>157</v>
      </c>
      <c r="EY89" s="425">
        <f t="shared" si="91"/>
        <v>157</v>
      </c>
      <c r="EZ89" s="425">
        <f t="shared" si="92"/>
        <v>157</v>
      </c>
    </row>
    <row r="90" spans="42:156" x14ac:dyDescent="0.2">
      <c r="AP90" s="380" t="s">
        <v>715</v>
      </c>
      <c r="AQ90" s="406">
        <f t="shared" si="195"/>
        <v>159</v>
      </c>
      <c r="AR90" s="406">
        <f t="shared" si="195"/>
        <v>159</v>
      </c>
      <c r="AS90" s="380">
        <f t="shared" si="196"/>
        <v>159</v>
      </c>
      <c r="AT90" s="380">
        <f t="shared" si="197"/>
        <v>159</v>
      </c>
      <c r="AU90" s="380">
        <f t="shared" si="198"/>
        <v>159</v>
      </c>
      <c r="AV90" s="380">
        <f t="shared" si="199"/>
        <v>159</v>
      </c>
      <c r="AW90" s="380">
        <f t="shared" si="200"/>
        <v>159</v>
      </c>
      <c r="AX90" s="380">
        <f t="shared" si="201"/>
        <v>159</v>
      </c>
      <c r="AY90" s="380">
        <f t="shared" si="202"/>
        <v>159</v>
      </c>
      <c r="AZ90" s="380">
        <f t="shared" si="203"/>
        <v>159</v>
      </c>
      <c r="BA90" s="380">
        <f t="shared" si="204"/>
        <v>159</v>
      </c>
      <c r="BB90" s="380">
        <f t="shared" si="205"/>
        <v>159</v>
      </c>
      <c r="BC90" s="380">
        <f t="shared" si="206"/>
        <v>159</v>
      </c>
      <c r="BD90" s="407">
        <f t="shared" si="206"/>
        <v>159</v>
      </c>
      <c r="BG90" s="380" t="s">
        <v>715</v>
      </c>
      <c r="BH90" s="406">
        <f t="shared" si="207"/>
        <v>159</v>
      </c>
      <c r="BI90" s="406">
        <f t="shared" si="207"/>
        <v>159</v>
      </c>
      <c r="BJ90" s="380">
        <f t="shared" si="208"/>
        <v>159</v>
      </c>
      <c r="BK90" s="380">
        <f t="shared" si="209"/>
        <v>159</v>
      </c>
      <c r="BL90" s="380">
        <f t="shared" si="210"/>
        <v>159</v>
      </c>
      <c r="BM90" s="380">
        <f t="shared" si="211"/>
        <v>159</v>
      </c>
      <c r="BN90" s="380">
        <f t="shared" si="211"/>
        <v>159</v>
      </c>
      <c r="BO90" s="380">
        <f t="shared" si="212"/>
        <v>159</v>
      </c>
      <c r="BP90" s="380">
        <f t="shared" si="213"/>
        <v>159</v>
      </c>
      <c r="BQ90" s="380">
        <f t="shared" si="214"/>
        <v>159</v>
      </c>
      <c r="BR90" s="380">
        <f t="shared" si="215"/>
        <v>159</v>
      </c>
      <c r="BS90" s="380">
        <f t="shared" si="216"/>
        <v>159</v>
      </c>
      <c r="BT90" s="380">
        <f t="shared" si="216"/>
        <v>159</v>
      </c>
      <c r="BU90" s="380">
        <f t="shared" si="217"/>
        <v>159</v>
      </c>
      <c r="BV90" s="380">
        <f t="shared" si="218"/>
        <v>159</v>
      </c>
      <c r="BW90" s="380">
        <f t="shared" si="219"/>
        <v>159</v>
      </c>
      <c r="BX90" s="407">
        <f t="shared" si="191"/>
        <v>159</v>
      </c>
      <c r="CA90" s="448"/>
      <c r="CB90" s="425">
        <f>'A-50 FGRailInv'!$C$69</f>
        <v>0</v>
      </c>
      <c r="CC90" s="425" t="str">
        <f>Valid!$B$74</f>
        <v>Elevated/Concrete</v>
      </c>
      <c r="CD90" s="425">
        <f>CD87</f>
        <v>293</v>
      </c>
      <c r="CE90" s="446">
        <f t="shared" si="229"/>
        <v>306</v>
      </c>
      <c r="CF90" s="446">
        <f t="shared" si="192"/>
        <v>306</v>
      </c>
      <c r="CG90" s="425">
        <f t="shared" si="225"/>
        <v>306</v>
      </c>
      <c r="CH90" s="425">
        <f t="shared" si="225"/>
        <v>306</v>
      </c>
      <c r="CI90" s="425">
        <f t="shared" si="225"/>
        <v>306</v>
      </c>
      <c r="CJ90" s="425">
        <f t="shared" si="225"/>
        <v>306</v>
      </c>
      <c r="CK90" s="425">
        <f t="shared" si="225"/>
        <v>306</v>
      </c>
      <c r="CL90" s="425">
        <f t="shared" si="225"/>
        <v>306</v>
      </c>
      <c r="CM90" s="425">
        <f t="shared" si="225"/>
        <v>306</v>
      </c>
      <c r="CN90" s="425">
        <f t="shared" si="225"/>
        <v>306</v>
      </c>
      <c r="CO90" s="425">
        <f t="shared" si="225"/>
        <v>306</v>
      </c>
      <c r="CP90" s="425">
        <f t="shared" si="226"/>
        <v>306</v>
      </c>
      <c r="CQ90" s="425">
        <f t="shared" si="226"/>
        <v>306</v>
      </c>
      <c r="CR90" s="425">
        <f t="shared" si="226"/>
        <v>306</v>
      </c>
      <c r="CS90" s="425">
        <f t="shared" si="226"/>
        <v>306</v>
      </c>
      <c r="CT90" s="425">
        <f t="shared" si="226"/>
        <v>306</v>
      </c>
      <c r="CU90" s="425">
        <f t="shared" si="226"/>
        <v>306</v>
      </c>
      <c r="DJ90" s="380" t="s">
        <v>821</v>
      </c>
      <c r="DK90" s="425">
        <f t="shared" si="222"/>
        <v>159</v>
      </c>
      <c r="DL90" s="425">
        <f t="shared" ref="DL90:DS90" si="232">DK90</f>
        <v>159</v>
      </c>
      <c r="DM90" s="425">
        <f t="shared" si="232"/>
        <v>159</v>
      </c>
      <c r="DN90" s="425">
        <f t="shared" si="232"/>
        <v>159</v>
      </c>
      <c r="DO90" s="425">
        <f t="shared" si="232"/>
        <v>159</v>
      </c>
      <c r="DP90" s="425">
        <f t="shared" si="232"/>
        <v>159</v>
      </c>
      <c r="DQ90" s="425">
        <f t="shared" si="232"/>
        <v>159</v>
      </c>
      <c r="DR90" s="425">
        <f t="shared" si="232"/>
        <v>159</v>
      </c>
      <c r="DS90" s="425">
        <f t="shared" si="232"/>
        <v>159</v>
      </c>
      <c r="DU90" s="380" t="s">
        <v>821</v>
      </c>
      <c r="DV90" s="425">
        <f t="shared" si="221"/>
        <v>159</v>
      </c>
      <c r="DW90" s="425">
        <f t="shared" si="94"/>
        <v>159</v>
      </c>
      <c r="DX90" s="425">
        <f t="shared" si="95"/>
        <v>159</v>
      </c>
      <c r="DY90" s="425">
        <f t="shared" si="96"/>
        <v>159</v>
      </c>
      <c r="DZ90" s="425">
        <f t="shared" si="97"/>
        <v>159</v>
      </c>
      <c r="EA90" s="425">
        <f t="shared" si="98"/>
        <v>159</v>
      </c>
      <c r="EB90" s="425">
        <f t="shared" si="99"/>
        <v>159</v>
      </c>
      <c r="EC90" s="425">
        <f t="shared" si="100"/>
        <v>159</v>
      </c>
      <c r="ED90" s="425">
        <f t="shared" si="101"/>
        <v>159</v>
      </c>
      <c r="EE90" s="425">
        <f t="shared" si="102"/>
        <v>159</v>
      </c>
      <c r="EF90" s="425">
        <f t="shared" si="103"/>
        <v>159</v>
      </c>
      <c r="EG90" s="425">
        <f t="shared" si="104"/>
        <v>159</v>
      </c>
      <c r="EH90" s="425">
        <f t="shared" si="105"/>
        <v>159</v>
      </c>
      <c r="EI90" s="425">
        <f t="shared" si="106"/>
        <v>159</v>
      </c>
      <c r="EJ90" s="425">
        <f t="shared" si="107"/>
        <v>159</v>
      </c>
      <c r="EK90" s="425">
        <f t="shared" ref="EK90:EK116" si="233">EK89+2</f>
        <v>159</v>
      </c>
      <c r="EL90" s="425">
        <f t="shared" ref="EL90:EL116" si="234">EL89+2</f>
        <v>159</v>
      </c>
      <c r="EM90" s="425">
        <f t="shared" ref="EM90:EM116" si="235">EM89+2</f>
        <v>159</v>
      </c>
      <c r="EN90" s="425">
        <f t="shared" ref="EN90:EN116" si="236">EN89+2</f>
        <v>159</v>
      </c>
      <c r="EO90" s="425">
        <f t="shared" ref="EO90:EO116" si="237">EO89+2</f>
        <v>159</v>
      </c>
      <c r="EP90" s="425">
        <f t="shared" ref="EP90:EP116" si="238">EP89+2</f>
        <v>159</v>
      </c>
      <c r="EQ90" s="425">
        <f t="shared" ref="EQ90:EQ116" si="239">EQ89+2</f>
        <v>159</v>
      </c>
      <c r="ER90" s="425">
        <f t="shared" ref="ER90:ER116" si="240">ER89+2</f>
        <v>159</v>
      </c>
      <c r="ES90" s="425">
        <f t="shared" ref="ES90:ES116" si="241">ES89+2</f>
        <v>159</v>
      </c>
      <c r="ET90" s="425">
        <f t="shared" ref="ET90:ET116" si="242">ET89+2</f>
        <v>159</v>
      </c>
      <c r="EU90" s="425">
        <f t="shared" ref="EU90:EV116" si="243">EU89+2</f>
        <v>159</v>
      </c>
      <c r="EV90" s="425">
        <f t="shared" si="243"/>
        <v>159</v>
      </c>
      <c r="EW90" s="425">
        <f t="shared" ref="EW90:EW116" si="244">EW89+2</f>
        <v>159</v>
      </c>
      <c r="EX90" s="425">
        <f t="shared" ref="EX90:EX116" si="245">EX89+2</f>
        <v>159</v>
      </c>
      <c r="EY90" s="425">
        <f t="shared" ref="EY90:EY116" si="246">EY89+2</f>
        <v>159</v>
      </c>
      <c r="EZ90" s="425">
        <f t="shared" ref="EZ90:EZ116" si="247">EZ89+2</f>
        <v>159</v>
      </c>
    </row>
    <row r="91" spans="42:156" x14ac:dyDescent="0.2">
      <c r="AP91" s="380" t="s">
        <v>716</v>
      </c>
      <c r="AQ91" s="406">
        <f t="shared" si="195"/>
        <v>161</v>
      </c>
      <c r="AR91" s="406">
        <f t="shared" si="195"/>
        <v>161</v>
      </c>
      <c r="AS91" s="380">
        <f t="shared" si="196"/>
        <v>161</v>
      </c>
      <c r="AT91" s="380">
        <f t="shared" si="197"/>
        <v>161</v>
      </c>
      <c r="AU91" s="380">
        <f t="shared" si="198"/>
        <v>161</v>
      </c>
      <c r="AV91" s="380">
        <f t="shared" si="199"/>
        <v>161</v>
      </c>
      <c r="AW91" s="380">
        <f t="shared" si="200"/>
        <v>161</v>
      </c>
      <c r="AX91" s="380">
        <f t="shared" si="201"/>
        <v>161</v>
      </c>
      <c r="AY91" s="380">
        <f t="shared" si="202"/>
        <v>161</v>
      </c>
      <c r="AZ91" s="380">
        <f t="shared" si="203"/>
        <v>161</v>
      </c>
      <c r="BA91" s="380">
        <f t="shared" si="204"/>
        <v>161</v>
      </c>
      <c r="BB91" s="380">
        <f t="shared" si="205"/>
        <v>161</v>
      </c>
      <c r="BC91" s="380">
        <f t="shared" si="206"/>
        <v>161</v>
      </c>
      <c r="BD91" s="407">
        <f t="shared" si="206"/>
        <v>161</v>
      </c>
      <c r="BG91" s="380" t="s">
        <v>716</v>
      </c>
      <c r="BH91" s="406">
        <f t="shared" si="207"/>
        <v>161</v>
      </c>
      <c r="BI91" s="406">
        <f t="shared" si="207"/>
        <v>161</v>
      </c>
      <c r="BJ91" s="380">
        <f t="shared" si="208"/>
        <v>161</v>
      </c>
      <c r="BK91" s="380">
        <f t="shared" si="209"/>
        <v>161</v>
      </c>
      <c r="BL91" s="380">
        <f t="shared" si="210"/>
        <v>161</v>
      </c>
      <c r="BM91" s="380">
        <f t="shared" si="211"/>
        <v>161</v>
      </c>
      <c r="BN91" s="380">
        <f t="shared" si="211"/>
        <v>161</v>
      </c>
      <c r="BO91" s="380">
        <f t="shared" si="212"/>
        <v>161</v>
      </c>
      <c r="BP91" s="380">
        <f t="shared" si="213"/>
        <v>161</v>
      </c>
      <c r="BQ91" s="380">
        <f t="shared" si="214"/>
        <v>161</v>
      </c>
      <c r="BR91" s="380">
        <f t="shared" si="215"/>
        <v>161</v>
      </c>
      <c r="BS91" s="380">
        <f t="shared" si="216"/>
        <v>161</v>
      </c>
      <c r="BT91" s="380">
        <f t="shared" si="216"/>
        <v>161</v>
      </c>
      <c r="BU91" s="380">
        <f t="shared" si="217"/>
        <v>161</v>
      </c>
      <c r="BV91" s="380">
        <f t="shared" si="218"/>
        <v>161</v>
      </c>
      <c r="BW91" s="380">
        <f t="shared" si="219"/>
        <v>161</v>
      </c>
      <c r="BX91" s="407">
        <f t="shared" si="191"/>
        <v>161</v>
      </c>
      <c r="CA91" s="448"/>
      <c r="CB91" s="425">
        <f>'A-50 FGRailInv'!$C$69</f>
        <v>0</v>
      </c>
      <c r="CC91" s="425" t="str">
        <f>Valid!$B$75</f>
        <v>Elevated/Steel Viaduct or Bridge</v>
      </c>
      <c r="CD91" s="425">
        <f>CD87</f>
        <v>293</v>
      </c>
      <c r="CE91" s="446">
        <f t="shared" si="229"/>
        <v>309</v>
      </c>
      <c r="CF91" s="446">
        <f t="shared" si="192"/>
        <v>309</v>
      </c>
      <c r="CG91" s="425">
        <f t="shared" si="225"/>
        <v>309</v>
      </c>
      <c r="CH91" s="425">
        <f t="shared" si="225"/>
        <v>309</v>
      </c>
      <c r="CI91" s="425">
        <f t="shared" si="225"/>
        <v>309</v>
      </c>
      <c r="CJ91" s="425">
        <f t="shared" si="225"/>
        <v>309</v>
      </c>
      <c r="CK91" s="425">
        <f t="shared" si="225"/>
        <v>309</v>
      </c>
      <c r="CL91" s="425">
        <f t="shared" si="225"/>
        <v>309</v>
      </c>
      <c r="CM91" s="425">
        <f t="shared" si="225"/>
        <v>309</v>
      </c>
      <c r="CN91" s="425">
        <f t="shared" si="225"/>
        <v>309</v>
      </c>
      <c r="CO91" s="425">
        <f t="shared" si="225"/>
        <v>309</v>
      </c>
      <c r="CP91" s="425">
        <f t="shared" si="226"/>
        <v>309</v>
      </c>
      <c r="CQ91" s="425">
        <f t="shared" si="226"/>
        <v>309</v>
      </c>
      <c r="CR91" s="425">
        <f t="shared" si="226"/>
        <v>309</v>
      </c>
      <c r="CS91" s="425">
        <f t="shared" si="226"/>
        <v>309</v>
      </c>
      <c r="CT91" s="425">
        <f t="shared" si="226"/>
        <v>309</v>
      </c>
      <c r="CU91" s="425">
        <f t="shared" si="226"/>
        <v>309</v>
      </c>
      <c r="DJ91" s="380" t="s">
        <v>822</v>
      </c>
      <c r="DK91" s="425">
        <f t="shared" si="222"/>
        <v>161</v>
      </c>
      <c r="DL91" s="425">
        <f t="shared" ref="DL91:DS91" si="248">DK91</f>
        <v>161</v>
      </c>
      <c r="DM91" s="425">
        <f t="shared" si="248"/>
        <v>161</v>
      </c>
      <c r="DN91" s="425">
        <f t="shared" si="248"/>
        <v>161</v>
      </c>
      <c r="DO91" s="425">
        <f t="shared" si="248"/>
        <v>161</v>
      </c>
      <c r="DP91" s="425">
        <f t="shared" si="248"/>
        <v>161</v>
      </c>
      <c r="DQ91" s="425">
        <f t="shared" si="248"/>
        <v>161</v>
      </c>
      <c r="DR91" s="425">
        <f t="shared" si="248"/>
        <v>161</v>
      </c>
      <c r="DS91" s="425">
        <f t="shared" si="248"/>
        <v>161</v>
      </c>
      <c r="DU91" s="380" t="s">
        <v>822</v>
      </c>
      <c r="DV91" s="425">
        <f t="shared" si="221"/>
        <v>161</v>
      </c>
      <c r="DW91" s="425">
        <f t="shared" ref="DW91:DW116" si="249">DW90+2</f>
        <v>161</v>
      </c>
      <c r="DX91" s="425">
        <f t="shared" ref="DX91:DX116" si="250">DX90+2</f>
        <v>161</v>
      </c>
      <c r="DY91" s="425">
        <f t="shared" ref="DY91:DY116" si="251">DY90+2</f>
        <v>161</v>
      </c>
      <c r="DZ91" s="425">
        <f t="shared" ref="DZ91:DZ116" si="252">DZ90+2</f>
        <v>161</v>
      </c>
      <c r="EA91" s="425">
        <f t="shared" ref="EA91:EA116" si="253">EA90+2</f>
        <v>161</v>
      </c>
      <c r="EB91" s="425">
        <f t="shared" ref="EB91:EB116" si="254">EB90+2</f>
        <v>161</v>
      </c>
      <c r="EC91" s="425">
        <f t="shared" ref="EC91:EC116" si="255">EC90+2</f>
        <v>161</v>
      </c>
      <c r="ED91" s="425">
        <f t="shared" ref="ED91:ED116" si="256">ED90+2</f>
        <v>161</v>
      </c>
      <c r="EE91" s="425">
        <f t="shared" ref="EE91:EE116" si="257">EE90+2</f>
        <v>161</v>
      </c>
      <c r="EF91" s="425">
        <f t="shared" ref="EF91:EF116" si="258">EF90+2</f>
        <v>161</v>
      </c>
      <c r="EG91" s="425">
        <f t="shared" ref="EG91:EG116" si="259">EG90+2</f>
        <v>161</v>
      </c>
      <c r="EH91" s="425">
        <f t="shared" ref="EH91:EH116" si="260">EH90+2</f>
        <v>161</v>
      </c>
      <c r="EI91" s="425">
        <f t="shared" ref="EI91:EI116" si="261">EI90+2</f>
        <v>161</v>
      </c>
      <c r="EJ91" s="425">
        <f t="shared" ref="EJ91:EJ116" si="262">EJ90+2</f>
        <v>161</v>
      </c>
      <c r="EK91" s="425">
        <f t="shared" si="233"/>
        <v>161</v>
      </c>
      <c r="EL91" s="425">
        <f t="shared" si="234"/>
        <v>161</v>
      </c>
      <c r="EM91" s="425">
        <f t="shared" si="235"/>
        <v>161</v>
      </c>
      <c r="EN91" s="425">
        <f t="shared" si="236"/>
        <v>161</v>
      </c>
      <c r="EO91" s="425">
        <f t="shared" si="237"/>
        <v>161</v>
      </c>
      <c r="EP91" s="425">
        <f t="shared" si="238"/>
        <v>161</v>
      </c>
      <c r="EQ91" s="425">
        <f t="shared" si="239"/>
        <v>161</v>
      </c>
      <c r="ER91" s="425">
        <f t="shared" si="240"/>
        <v>161</v>
      </c>
      <c r="ES91" s="425">
        <f t="shared" si="241"/>
        <v>161</v>
      </c>
      <c r="ET91" s="425">
        <f t="shared" si="242"/>
        <v>161</v>
      </c>
      <c r="EU91" s="425">
        <f t="shared" si="243"/>
        <v>161</v>
      </c>
      <c r="EV91" s="425">
        <f t="shared" si="243"/>
        <v>161</v>
      </c>
      <c r="EW91" s="425">
        <f t="shared" si="244"/>
        <v>161</v>
      </c>
      <c r="EX91" s="425">
        <f t="shared" si="245"/>
        <v>161</v>
      </c>
      <c r="EY91" s="425">
        <f t="shared" si="246"/>
        <v>161</v>
      </c>
      <c r="EZ91" s="425">
        <f t="shared" si="247"/>
        <v>161</v>
      </c>
    </row>
    <row r="92" spans="42:156" ht="30.75" customHeight="1" x14ac:dyDescent="0.2">
      <c r="AP92" s="380" t="s">
        <v>717</v>
      </c>
      <c r="AQ92" s="406">
        <f t="shared" si="195"/>
        <v>163</v>
      </c>
      <c r="AR92" s="406">
        <f t="shared" si="195"/>
        <v>163</v>
      </c>
      <c r="AS92" s="380">
        <f t="shared" si="196"/>
        <v>163</v>
      </c>
      <c r="AT92" s="380">
        <f t="shared" si="197"/>
        <v>163</v>
      </c>
      <c r="AU92" s="380">
        <f t="shared" si="198"/>
        <v>163</v>
      </c>
      <c r="AV92" s="380">
        <f t="shared" si="199"/>
        <v>163</v>
      </c>
      <c r="AW92" s="380">
        <f t="shared" si="200"/>
        <v>163</v>
      </c>
      <c r="AX92" s="380">
        <f t="shared" si="201"/>
        <v>163</v>
      </c>
      <c r="AY92" s="380">
        <f t="shared" si="202"/>
        <v>163</v>
      </c>
      <c r="AZ92" s="380">
        <f t="shared" si="203"/>
        <v>163</v>
      </c>
      <c r="BA92" s="380">
        <f t="shared" si="204"/>
        <v>163</v>
      </c>
      <c r="BB92" s="380">
        <f t="shared" si="205"/>
        <v>163</v>
      </c>
      <c r="BC92" s="380">
        <f t="shared" si="206"/>
        <v>163</v>
      </c>
      <c r="BD92" s="407">
        <f t="shared" si="206"/>
        <v>163</v>
      </c>
      <c r="BG92" s="380" t="s">
        <v>717</v>
      </c>
      <c r="BH92" s="406">
        <f t="shared" si="207"/>
        <v>163</v>
      </c>
      <c r="BI92" s="406">
        <f t="shared" si="207"/>
        <v>163</v>
      </c>
      <c r="BJ92" s="380">
        <f t="shared" si="208"/>
        <v>163</v>
      </c>
      <c r="BK92" s="380">
        <f t="shared" si="209"/>
        <v>163</v>
      </c>
      <c r="BL92" s="380">
        <f t="shared" si="210"/>
        <v>163</v>
      </c>
      <c r="BM92" s="380">
        <f t="shared" si="211"/>
        <v>163</v>
      </c>
      <c r="BN92" s="380">
        <f t="shared" si="211"/>
        <v>163</v>
      </c>
      <c r="BO92" s="380">
        <f t="shared" si="212"/>
        <v>163</v>
      </c>
      <c r="BP92" s="380">
        <f t="shared" si="213"/>
        <v>163</v>
      </c>
      <c r="BQ92" s="380">
        <f t="shared" si="214"/>
        <v>163</v>
      </c>
      <c r="BR92" s="380">
        <f t="shared" si="215"/>
        <v>163</v>
      </c>
      <c r="BS92" s="380">
        <f t="shared" si="216"/>
        <v>163</v>
      </c>
      <c r="BT92" s="380">
        <f t="shared" si="216"/>
        <v>163</v>
      </c>
      <c r="BU92" s="380">
        <f t="shared" si="217"/>
        <v>163</v>
      </c>
      <c r="BV92" s="380">
        <f t="shared" si="218"/>
        <v>163</v>
      </c>
      <c r="BW92" s="380">
        <f t="shared" si="219"/>
        <v>163</v>
      </c>
      <c r="BX92" s="407">
        <f t="shared" si="191"/>
        <v>163</v>
      </c>
      <c r="CA92" s="448"/>
      <c r="CB92" s="425">
        <f>'A-50 FGRailInv'!$C$69</f>
        <v>0</v>
      </c>
      <c r="CC92" s="425" t="str">
        <f>Valid!$B$76</f>
        <v>Below-Grade/Retained Cut</v>
      </c>
      <c r="CD92" s="425">
        <f>CD87</f>
        <v>293</v>
      </c>
      <c r="CE92" s="1199">
        <f t="shared" si="229"/>
        <v>312</v>
      </c>
      <c r="CF92" s="446">
        <f t="shared" si="192"/>
        <v>312</v>
      </c>
      <c r="CG92" s="425">
        <f t="shared" si="225"/>
        <v>312</v>
      </c>
      <c r="CH92" s="425">
        <f t="shared" si="225"/>
        <v>312</v>
      </c>
      <c r="CI92" s="425">
        <f t="shared" si="225"/>
        <v>312</v>
      </c>
      <c r="CJ92" s="425">
        <f t="shared" si="225"/>
        <v>312</v>
      </c>
      <c r="CK92" s="425">
        <f t="shared" si="225"/>
        <v>312</v>
      </c>
      <c r="CL92" s="425">
        <f t="shared" si="225"/>
        <v>312</v>
      </c>
      <c r="CM92" s="425">
        <f t="shared" si="225"/>
        <v>312</v>
      </c>
      <c r="CN92" s="425">
        <f t="shared" si="225"/>
        <v>312</v>
      </c>
      <c r="CO92" s="425">
        <f t="shared" si="225"/>
        <v>312</v>
      </c>
      <c r="CP92" s="425">
        <f t="shared" si="226"/>
        <v>312</v>
      </c>
      <c r="CQ92" s="425">
        <f t="shared" si="226"/>
        <v>312</v>
      </c>
      <c r="CR92" s="425">
        <f t="shared" si="226"/>
        <v>312</v>
      </c>
      <c r="CS92" s="425">
        <f t="shared" si="226"/>
        <v>312</v>
      </c>
      <c r="CT92" s="425">
        <f t="shared" si="226"/>
        <v>312</v>
      </c>
      <c r="CU92" s="425">
        <f t="shared" si="226"/>
        <v>312</v>
      </c>
      <c r="DJ92" s="380" t="s">
        <v>823</v>
      </c>
      <c r="DK92" s="425">
        <f t="shared" si="222"/>
        <v>163</v>
      </c>
      <c r="DL92" s="425">
        <f t="shared" ref="DL92:DS92" si="263">DK92</f>
        <v>163</v>
      </c>
      <c r="DM92" s="425">
        <f t="shared" si="263"/>
        <v>163</v>
      </c>
      <c r="DN92" s="425">
        <f t="shared" si="263"/>
        <v>163</v>
      </c>
      <c r="DO92" s="425">
        <f t="shared" si="263"/>
        <v>163</v>
      </c>
      <c r="DP92" s="425">
        <f t="shared" si="263"/>
        <v>163</v>
      </c>
      <c r="DQ92" s="425">
        <f t="shared" si="263"/>
        <v>163</v>
      </c>
      <c r="DR92" s="425">
        <f t="shared" si="263"/>
        <v>163</v>
      </c>
      <c r="DS92" s="425">
        <f t="shared" si="263"/>
        <v>163</v>
      </c>
      <c r="DU92" s="380" t="s">
        <v>823</v>
      </c>
      <c r="DV92" s="425">
        <f t="shared" si="221"/>
        <v>163</v>
      </c>
      <c r="DW92" s="425">
        <f t="shared" si="249"/>
        <v>163</v>
      </c>
      <c r="DX92" s="425">
        <f t="shared" si="250"/>
        <v>163</v>
      </c>
      <c r="DY92" s="425">
        <f t="shared" si="251"/>
        <v>163</v>
      </c>
      <c r="DZ92" s="425">
        <f t="shared" si="252"/>
        <v>163</v>
      </c>
      <c r="EA92" s="425">
        <f t="shared" si="253"/>
        <v>163</v>
      </c>
      <c r="EB92" s="425">
        <f t="shared" si="254"/>
        <v>163</v>
      </c>
      <c r="EC92" s="425">
        <f t="shared" si="255"/>
        <v>163</v>
      </c>
      <c r="ED92" s="425">
        <f t="shared" si="256"/>
        <v>163</v>
      </c>
      <c r="EE92" s="425">
        <f t="shared" si="257"/>
        <v>163</v>
      </c>
      <c r="EF92" s="425">
        <f t="shared" si="258"/>
        <v>163</v>
      </c>
      <c r="EG92" s="425">
        <f t="shared" si="259"/>
        <v>163</v>
      </c>
      <c r="EH92" s="425">
        <f t="shared" si="260"/>
        <v>163</v>
      </c>
      <c r="EI92" s="425">
        <f t="shared" si="261"/>
        <v>163</v>
      </c>
      <c r="EJ92" s="425">
        <f t="shared" si="262"/>
        <v>163</v>
      </c>
      <c r="EK92" s="425">
        <f t="shared" si="233"/>
        <v>163</v>
      </c>
      <c r="EL92" s="425">
        <f t="shared" si="234"/>
        <v>163</v>
      </c>
      <c r="EM92" s="425">
        <f t="shared" si="235"/>
        <v>163</v>
      </c>
      <c r="EN92" s="425">
        <f t="shared" si="236"/>
        <v>163</v>
      </c>
      <c r="EO92" s="425">
        <f t="shared" si="237"/>
        <v>163</v>
      </c>
      <c r="EP92" s="425">
        <f t="shared" si="238"/>
        <v>163</v>
      </c>
      <c r="EQ92" s="425">
        <f t="shared" si="239"/>
        <v>163</v>
      </c>
      <c r="ER92" s="425">
        <f t="shared" si="240"/>
        <v>163</v>
      </c>
      <c r="ES92" s="425">
        <f t="shared" si="241"/>
        <v>163</v>
      </c>
      <c r="ET92" s="425">
        <f t="shared" si="242"/>
        <v>163</v>
      </c>
      <c r="EU92" s="425">
        <f t="shared" si="243"/>
        <v>163</v>
      </c>
      <c r="EV92" s="425">
        <f t="shared" si="243"/>
        <v>163</v>
      </c>
      <c r="EW92" s="425">
        <f t="shared" si="244"/>
        <v>163</v>
      </c>
      <c r="EX92" s="425">
        <f t="shared" si="245"/>
        <v>163</v>
      </c>
      <c r="EY92" s="425">
        <f t="shared" si="246"/>
        <v>163</v>
      </c>
      <c r="EZ92" s="425">
        <f t="shared" si="247"/>
        <v>163</v>
      </c>
    </row>
    <row r="93" spans="42:156" x14ac:dyDescent="0.2">
      <c r="AP93" s="380" t="s">
        <v>718</v>
      </c>
      <c r="AQ93" s="406">
        <f t="shared" si="195"/>
        <v>165</v>
      </c>
      <c r="AR93" s="406">
        <f t="shared" si="195"/>
        <v>165</v>
      </c>
      <c r="AS93" s="380">
        <f t="shared" si="196"/>
        <v>165</v>
      </c>
      <c r="AT93" s="380">
        <f t="shared" si="197"/>
        <v>165</v>
      </c>
      <c r="AU93" s="380">
        <f t="shared" si="198"/>
        <v>165</v>
      </c>
      <c r="AV93" s="380">
        <f t="shared" si="199"/>
        <v>165</v>
      </c>
      <c r="AW93" s="380">
        <f t="shared" si="200"/>
        <v>165</v>
      </c>
      <c r="AX93" s="380">
        <f t="shared" si="201"/>
        <v>165</v>
      </c>
      <c r="AY93" s="380">
        <f t="shared" si="202"/>
        <v>165</v>
      </c>
      <c r="AZ93" s="380">
        <f t="shared" si="203"/>
        <v>165</v>
      </c>
      <c r="BA93" s="380">
        <f t="shared" si="204"/>
        <v>165</v>
      </c>
      <c r="BB93" s="380">
        <f t="shared" si="205"/>
        <v>165</v>
      </c>
      <c r="BC93" s="380">
        <f t="shared" si="206"/>
        <v>165</v>
      </c>
      <c r="BD93" s="407">
        <f t="shared" si="206"/>
        <v>165</v>
      </c>
      <c r="BG93" s="380" t="s">
        <v>718</v>
      </c>
      <c r="BH93" s="406">
        <f t="shared" si="207"/>
        <v>165</v>
      </c>
      <c r="BI93" s="406">
        <f t="shared" si="207"/>
        <v>165</v>
      </c>
      <c r="BJ93" s="380">
        <f t="shared" si="208"/>
        <v>165</v>
      </c>
      <c r="BK93" s="380">
        <f t="shared" si="209"/>
        <v>165</v>
      </c>
      <c r="BL93" s="380">
        <f t="shared" si="210"/>
        <v>165</v>
      </c>
      <c r="BM93" s="380">
        <f t="shared" si="211"/>
        <v>165</v>
      </c>
      <c r="BN93" s="380">
        <f t="shared" si="211"/>
        <v>165</v>
      </c>
      <c r="BO93" s="380">
        <f t="shared" si="212"/>
        <v>165</v>
      </c>
      <c r="BP93" s="380">
        <f t="shared" si="213"/>
        <v>165</v>
      </c>
      <c r="BQ93" s="380">
        <f t="shared" si="214"/>
        <v>165</v>
      </c>
      <c r="BR93" s="380">
        <f t="shared" si="215"/>
        <v>165</v>
      </c>
      <c r="BS93" s="380">
        <f t="shared" si="216"/>
        <v>165</v>
      </c>
      <c r="BT93" s="380">
        <f t="shared" si="216"/>
        <v>165</v>
      </c>
      <c r="BU93" s="380">
        <f t="shared" si="217"/>
        <v>165</v>
      </c>
      <c r="BV93" s="380">
        <f t="shared" si="218"/>
        <v>165</v>
      </c>
      <c r="BW93" s="380">
        <f t="shared" si="219"/>
        <v>165</v>
      </c>
      <c r="BX93" s="407">
        <f t="shared" si="191"/>
        <v>165</v>
      </c>
      <c r="CA93" s="448">
        <f>CA74+1</f>
        <v>5</v>
      </c>
      <c r="CB93" s="425">
        <f>'A-50 FGRailInv'!$C$69</f>
        <v>0</v>
      </c>
      <c r="CC93" s="425" t="str">
        <f>Valid!$B$77</f>
        <v>Below-Grade/Cut-and-Cover Tunnel</v>
      </c>
      <c r="CD93" s="425">
        <f>CD87</f>
        <v>293</v>
      </c>
      <c r="CE93" s="446">
        <f t="shared" si="229"/>
        <v>315</v>
      </c>
      <c r="CF93" s="446">
        <f t="shared" si="192"/>
        <v>315</v>
      </c>
      <c r="CG93" s="425">
        <f t="shared" si="225"/>
        <v>315</v>
      </c>
      <c r="CH93" s="425">
        <f t="shared" si="225"/>
        <v>315</v>
      </c>
      <c r="CI93" s="425">
        <f t="shared" si="225"/>
        <v>315</v>
      </c>
      <c r="CJ93" s="425">
        <f t="shared" si="225"/>
        <v>315</v>
      </c>
      <c r="CK93" s="425">
        <f t="shared" si="225"/>
        <v>315</v>
      </c>
      <c r="CL93" s="425">
        <f t="shared" si="225"/>
        <v>315</v>
      </c>
      <c r="CM93" s="425">
        <f t="shared" si="225"/>
        <v>315</v>
      </c>
      <c r="CN93" s="425">
        <f t="shared" si="225"/>
        <v>315</v>
      </c>
      <c r="CO93" s="425">
        <f t="shared" si="225"/>
        <v>315</v>
      </c>
      <c r="CP93" s="425">
        <f t="shared" si="226"/>
        <v>315</v>
      </c>
      <c r="CQ93" s="425">
        <f t="shared" si="226"/>
        <v>315</v>
      </c>
      <c r="CR93" s="425">
        <f t="shared" si="226"/>
        <v>315</v>
      </c>
      <c r="CS93" s="425">
        <f t="shared" si="226"/>
        <v>315</v>
      </c>
      <c r="CT93" s="425">
        <f t="shared" si="226"/>
        <v>315</v>
      </c>
      <c r="CU93" s="425">
        <f t="shared" si="226"/>
        <v>315</v>
      </c>
      <c r="DJ93" s="380" t="s">
        <v>824</v>
      </c>
      <c r="DK93" s="425">
        <f t="shared" si="222"/>
        <v>165</v>
      </c>
      <c r="DL93" s="425">
        <f t="shared" ref="DL93:DS93" si="264">DK93</f>
        <v>165</v>
      </c>
      <c r="DM93" s="425">
        <f t="shared" si="264"/>
        <v>165</v>
      </c>
      <c r="DN93" s="425">
        <f t="shared" si="264"/>
        <v>165</v>
      </c>
      <c r="DO93" s="425">
        <f t="shared" si="264"/>
        <v>165</v>
      </c>
      <c r="DP93" s="425">
        <f t="shared" si="264"/>
        <v>165</v>
      </c>
      <c r="DQ93" s="425">
        <f t="shared" si="264"/>
        <v>165</v>
      </c>
      <c r="DR93" s="425">
        <f t="shared" si="264"/>
        <v>165</v>
      </c>
      <c r="DS93" s="425">
        <f t="shared" si="264"/>
        <v>165</v>
      </c>
      <c r="DU93" s="380" t="s">
        <v>824</v>
      </c>
      <c r="DV93" s="425">
        <f t="shared" si="221"/>
        <v>165</v>
      </c>
      <c r="DW93" s="425">
        <f t="shared" si="249"/>
        <v>165</v>
      </c>
      <c r="DX93" s="425">
        <f t="shared" si="250"/>
        <v>165</v>
      </c>
      <c r="DY93" s="425">
        <f t="shared" si="251"/>
        <v>165</v>
      </c>
      <c r="DZ93" s="425">
        <f t="shared" si="252"/>
        <v>165</v>
      </c>
      <c r="EA93" s="425">
        <f t="shared" si="253"/>
        <v>165</v>
      </c>
      <c r="EB93" s="425">
        <f t="shared" si="254"/>
        <v>165</v>
      </c>
      <c r="EC93" s="425">
        <f t="shared" si="255"/>
        <v>165</v>
      </c>
      <c r="ED93" s="425">
        <f t="shared" si="256"/>
        <v>165</v>
      </c>
      <c r="EE93" s="425">
        <f t="shared" si="257"/>
        <v>165</v>
      </c>
      <c r="EF93" s="425">
        <f t="shared" si="258"/>
        <v>165</v>
      </c>
      <c r="EG93" s="425">
        <f t="shared" si="259"/>
        <v>165</v>
      </c>
      <c r="EH93" s="425">
        <f t="shared" si="260"/>
        <v>165</v>
      </c>
      <c r="EI93" s="425">
        <f t="shared" si="261"/>
        <v>165</v>
      </c>
      <c r="EJ93" s="425">
        <f t="shared" si="262"/>
        <v>165</v>
      </c>
      <c r="EK93" s="425">
        <f t="shared" si="233"/>
        <v>165</v>
      </c>
      <c r="EL93" s="425">
        <f t="shared" si="234"/>
        <v>165</v>
      </c>
      <c r="EM93" s="425">
        <f t="shared" si="235"/>
        <v>165</v>
      </c>
      <c r="EN93" s="425">
        <f t="shared" si="236"/>
        <v>165</v>
      </c>
      <c r="EO93" s="425">
        <f t="shared" si="237"/>
        <v>165</v>
      </c>
      <c r="EP93" s="425">
        <f t="shared" si="238"/>
        <v>165</v>
      </c>
      <c r="EQ93" s="425">
        <f t="shared" si="239"/>
        <v>165</v>
      </c>
      <c r="ER93" s="425">
        <f t="shared" si="240"/>
        <v>165</v>
      </c>
      <c r="ES93" s="425">
        <f t="shared" si="241"/>
        <v>165</v>
      </c>
      <c r="ET93" s="425">
        <f t="shared" si="242"/>
        <v>165</v>
      </c>
      <c r="EU93" s="425">
        <f t="shared" si="243"/>
        <v>165</v>
      </c>
      <c r="EV93" s="425">
        <f t="shared" si="243"/>
        <v>165</v>
      </c>
      <c r="EW93" s="425">
        <f t="shared" si="244"/>
        <v>165</v>
      </c>
      <c r="EX93" s="425">
        <f t="shared" si="245"/>
        <v>165</v>
      </c>
      <c r="EY93" s="425">
        <f t="shared" si="246"/>
        <v>165</v>
      </c>
      <c r="EZ93" s="425">
        <f t="shared" si="247"/>
        <v>165</v>
      </c>
    </row>
    <row r="94" spans="42:156" x14ac:dyDescent="0.2">
      <c r="AP94" s="380" t="s">
        <v>719</v>
      </c>
      <c r="AQ94" s="406">
        <f t="shared" si="195"/>
        <v>167</v>
      </c>
      <c r="AR94" s="406">
        <f t="shared" si="195"/>
        <v>167</v>
      </c>
      <c r="AS94" s="380">
        <f t="shared" si="196"/>
        <v>167</v>
      </c>
      <c r="AT94" s="380">
        <f t="shared" si="197"/>
        <v>167</v>
      </c>
      <c r="AU94" s="380">
        <f t="shared" si="198"/>
        <v>167</v>
      </c>
      <c r="AV94" s="380">
        <f t="shared" si="199"/>
        <v>167</v>
      </c>
      <c r="AW94" s="380">
        <f t="shared" si="200"/>
        <v>167</v>
      </c>
      <c r="AX94" s="380">
        <f t="shared" si="201"/>
        <v>167</v>
      </c>
      <c r="AY94" s="380">
        <f t="shared" si="202"/>
        <v>167</v>
      </c>
      <c r="AZ94" s="380">
        <f t="shared" si="203"/>
        <v>167</v>
      </c>
      <c r="BA94" s="380">
        <f t="shared" si="204"/>
        <v>167</v>
      </c>
      <c r="BB94" s="380">
        <f t="shared" si="205"/>
        <v>167</v>
      </c>
      <c r="BC94" s="380">
        <f t="shared" si="206"/>
        <v>167</v>
      </c>
      <c r="BD94" s="407">
        <f t="shared" si="206"/>
        <v>167</v>
      </c>
      <c r="BG94" s="380" t="s">
        <v>719</v>
      </c>
      <c r="BH94" s="406">
        <f t="shared" si="207"/>
        <v>167</v>
      </c>
      <c r="BI94" s="406">
        <f t="shared" si="207"/>
        <v>167</v>
      </c>
      <c r="BJ94" s="380">
        <f t="shared" si="208"/>
        <v>167</v>
      </c>
      <c r="BK94" s="380">
        <f t="shared" si="209"/>
        <v>167</v>
      </c>
      <c r="BL94" s="380">
        <f t="shared" si="210"/>
        <v>167</v>
      </c>
      <c r="BM94" s="380">
        <f t="shared" si="211"/>
        <v>167</v>
      </c>
      <c r="BN94" s="380">
        <f t="shared" si="211"/>
        <v>167</v>
      </c>
      <c r="BO94" s="380">
        <f t="shared" si="212"/>
        <v>167</v>
      </c>
      <c r="BP94" s="380">
        <f t="shared" si="213"/>
        <v>167</v>
      </c>
      <c r="BQ94" s="380">
        <f t="shared" si="214"/>
        <v>167</v>
      </c>
      <c r="BR94" s="380">
        <f t="shared" si="215"/>
        <v>167</v>
      </c>
      <c r="BS94" s="380">
        <f t="shared" si="216"/>
        <v>167</v>
      </c>
      <c r="BT94" s="380">
        <f t="shared" si="216"/>
        <v>167</v>
      </c>
      <c r="BU94" s="380">
        <f t="shared" si="217"/>
        <v>167</v>
      </c>
      <c r="BV94" s="380">
        <f t="shared" si="218"/>
        <v>167</v>
      </c>
      <c r="BW94" s="380">
        <f t="shared" si="219"/>
        <v>167</v>
      </c>
      <c r="BX94" s="407">
        <f t="shared" si="191"/>
        <v>167</v>
      </c>
      <c r="CA94" s="448"/>
      <c r="CB94" s="425">
        <f>'A-50 FGRailInv'!$C$69</f>
        <v>0</v>
      </c>
      <c r="CC94" s="425" t="str">
        <f>Valid!$B$78</f>
        <v>Below-Grade/Bored or Blasted Tunnel</v>
      </c>
      <c r="CD94" s="425">
        <f>CD87</f>
        <v>293</v>
      </c>
      <c r="CE94" s="446">
        <f t="shared" si="229"/>
        <v>318</v>
      </c>
      <c r="CF94" s="446">
        <f t="shared" si="192"/>
        <v>318</v>
      </c>
      <c r="CG94" s="425">
        <f t="shared" si="225"/>
        <v>318</v>
      </c>
      <c r="CH94" s="425">
        <f t="shared" si="225"/>
        <v>318</v>
      </c>
      <c r="CI94" s="425">
        <f t="shared" si="225"/>
        <v>318</v>
      </c>
      <c r="CJ94" s="425">
        <f t="shared" si="225"/>
        <v>318</v>
      </c>
      <c r="CK94" s="425">
        <f t="shared" si="225"/>
        <v>318</v>
      </c>
      <c r="CL94" s="425">
        <f t="shared" si="225"/>
        <v>318</v>
      </c>
      <c r="CM94" s="425">
        <f t="shared" si="225"/>
        <v>318</v>
      </c>
      <c r="CN94" s="425">
        <f t="shared" si="225"/>
        <v>318</v>
      </c>
      <c r="CO94" s="425">
        <f t="shared" si="225"/>
        <v>318</v>
      </c>
      <c r="CP94" s="425">
        <f t="shared" si="226"/>
        <v>318</v>
      </c>
      <c r="CQ94" s="425">
        <f t="shared" si="226"/>
        <v>318</v>
      </c>
      <c r="CR94" s="425">
        <f t="shared" si="226"/>
        <v>318</v>
      </c>
      <c r="CS94" s="425">
        <f t="shared" si="226"/>
        <v>318</v>
      </c>
      <c r="CT94" s="425">
        <f t="shared" si="226"/>
        <v>318</v>
      </c>
      <c r="CU94" s="425">
        <f t="shared" si="226"/>
        <v>318</v>
      </c>
      <c r="DJ94" s="380" t="s">
        <v>825</v>
      </c>
      <c r="DK94" s="425">
        <f t="shared" si="222"/>
        <v>167</v>
      </c>
      <c r="DL94" s="425">
        <f t="shared" ref="DL94:DS94" si="265">DK94</f>
        <v>167</v>
      </c>
      <c r="DM94" s="425">
        <f t="shared" si="265"/>
        <v>167</v>
      </c>
      <c r="DN94" s="425">
        <f t="shared" si="265"/>
        <v>167</v>
      </c>
      <c r="DO94" s="425">
        <f t="shared" si="265"/>
        <v>167</v>
      </c>
      <c r="DP94" s="425">
        <f t="shared" si="265"/>
        <v>167</v>
      </c>
      <c r="DQ94" s="425">
        <f t="shared" si="265"/>
        <v>167</v>
      </c>
      <c r="DR94" s="425">
        <f t="shared" si="265"/>
        <v>167</v>
      </c>
      <c r="DS94" s="425">
        <f t="shared" si="265"/>
        <v>167</v>
      </c>
      <c r="DU94" s="380" t="s">
        <v>825</v>
      </c>
      <c r="DV94" s="425">
        <f t="shared" si="221"/>
        <v>167</v>
      </c>
      <c r="DW94" s="425">
        <f t="shared" si="249"/>
        <v>167</v>
      </c>
      <c r="DX94" s="425">
        <f t="shared" si="250"/>
        <v>167</v>
      </c>
      <c r="DY94" s="425">
        <f t="shared" si="251"/>
        <v>167</v>
      </c>
      <c r="DZ94" s="425">
        <f t="shared" si="252"/>
        <v>167</v>
      </c>
      <c r="EA94" s="425">
        <f t="shared" si="253"/>
        <v>167</v>
      </c>
      <c r="EB94" s="425">
        <f t="shared" si="254"/>
        <v>167</v>
      </c>
      <c r="EC94" s="425">
        <f t="shared" si="255"/>
        <v>167</v>
      </c>
      <c r="ED94" s="425">
        <f t="shared" si="256"/>
        <v>167</v>
      </c>
      <c r="EE94" s="425">
        <f t="shared" si="257"/>
        <v>167</v>
      </c>
      <c r="EF94" s="425">
        <f t="shared" si="258"/>
        <v>167</v>
      </c>
      <c r="EG94" s="425">
        <f t="shared" si="259"/>
        <v>167</v>
      </c>
      <c r="EH94" s="425">
        <f t="shared" si="260"/>
        <v>167</v>
      </c>
      <c r="EI94" s="425">
        <f t="shared" si="261"/>
        <v>167</v>
      </c>
      <c r="EJ94" s="425">
        <f t="shared" si="262"/>
        <v>167</v>
      </c>
      <c r="EK94" s="425">
        <f t="shared" si="233"/>
        <v>167</v>
      </c>
      <c r="EL94" s="425">
        <f t="shared" si="234"/>
        <v>167</v>
      </c>
      <c r="EM94" s="425">
        <f t="shared" si="235"/>
        <v>167</v>
      </c>
      <c r="EN94" s="425">
        <f t="shared" si="236"/>
        <v>167</v>
      </c>
      <c r="EO94" s="425">
        <f t="shared" si="237"/>
        <v>167</v>
      </c>
      <c r="EP94" s="425">
        <f t="shared" si="238"/>
        <v>167</v>
      </c>
      <c r="EQ94" s="425">
        <f t="shared" si="239"/>
        <v>167</v>
      </c>
      <c r="ER94" s="425">
        <f t="shared" si="240"/>
        <v>167</v>
      </c>
      <c r="ES94" s="425">
        <f t="shared" si="241"/>
        <v>167</v>
      </c>
      <c r="ET94" s="425">
        <f t="shared" si="242"/>
        <v>167</v>
      </c>
      <c r="EU94" s="425">
        <f t="shared" si="243"/>
        <v>167</v>
      </c>
      <c r="EV94" s="425">
        <f t="shared" si="243"/>
        <v>167</v>
      </c>
      <c r="EW94" s="425">
        <f t="shared" si="244"/>
        <v>167</v>
      </c>
      <c r="EX94" s="425">
        <f t="shared" si="245"/>
        <v>167</v>
      </c>
      <c r="EY94" s="425">
        <f t="shared" si="246"/>
        <v>167</v>
      </c>
      <c r="EZ94" s="425">
        <f t="shared" si="247"/>
        <v>167</v>
      </c>
    </row>
    <row r="95" spans="42:156" x14ac:dyDescent="0.2">
      <c r="AP95" s="380" t="s">
        <v>720</v>
      </c>
      <c r="AQ95" s="406">
        <f t="shared" si="195"/>
        <v>169</v>
      </c>
      <c r="AR95" s="406">
        <f t="shared" si="195"/>
        <v>169</v>
      </c>
      <c r="AS95" s="380">
        <f t="shared" si="196"/>
        <v>169</v>
      </c>
      <c r="AT95" s="380">
        <f t="shared" si="197"/>
        <v>169</v>
      </c>
      <c r="AU95" s="380">
        <f t="shared" si="198"/>
        <v>169</v>
      </c>
      <c r="AV95" s="380">
        <f t="shared" si="199"/>
        <v>169</v>
      </c>
      <c r="AW95" s="380">
        <f t="shared" si="200"/>
        <v>169</v>
      </c>
      <c r="AX95" s="380">
        <f t="shared" si="201"/>
        <v>169</v>
      </c>
      <c r="AY95" s="380">
        <f t="shared" si="202"/>
        <v>169</v>
      </c>
      <c r="AZ95" s="380">
        <f t="shared" si="203"/>
        <v>169</v>
      </c>
      <c r="BA95" s="380">
        <f t="shared" si="204"/>
        <v>169</v>
      </c>
      <c r="BB95" s="380">
        <f t="shared" si="205"/>
        <v>169</v>
      </c>
      <c r="BC95" s="380">
        <f t="shared" si="206"/>
        <v>169</v>
      </c>
      <c r="BD95" s="407">
        <f t="shared" si="206"/>
        <v>169</v>
      </c>
      <c r="BG95" s="380" t="s">
        <v>720</v>
      </c>
      <c r="BH95" s="406">
        <f t="shared" si="207"/>
        <v>169</v>
      </c>
      <c r="BI95" s="406">
        <f t="shared" si="207"/>
        <v>169</v>
      </c>
      <c r="BJ95" s="380">
        <f t="shared" si="208"/>
        <v>169</v>
      </c>
      <c r="BK95" s="380">
        <f t="shared" si="209"/>
        <v>169</v>
      </c>
      <c r="BL95" s="380">
        <f t="shared" si="210"/>
        <v>169</v>
      </c>
      <c r="BM95" s="380">
        <f t="shared" si="211"/>
        <v>169</v>
      </c>
      <c r="BN95" s="380">
        <f t="shared" si="211"/>
        <v>169</v>
      </c>
      <c r="BO95" s="380">
        <f t="shared" si="212"/>
        <v>169</v>
      </c>
      <c r="BP95" s="380">
        <f t="shared" si="213"/>
        <v>169</v>
      </c>
      <c r="BQ95" s="380">
        <f t="shared" si="214"/>
        <v>169</v>
      </c>
      <c r="BR95" s="380">
        <f t="shared" si="215"/>
        <v>169</v>
      </c>
      <c r="BS95" s="380">
        <f t="shared" si="216"/>
        <v>169</v>
      </c>
      <c r="BT95" s="380">
        <f t="shared" si="216"/>
        <v>169</v>
      </c>
      <c r="BU95" s="380">
        <f t="shared" si="217"/>
        <v>169</v>
      </c>
      <c r="BV95" s="380">
        <f t="shared" si="218"/>
        <v>169</v>
      </c>
      <c r="BW95" s="380">
        <f t="shared" si="219"/>
        <v>169</v>
      </c>
      <c r="BX95" s="407">
        <f t="shared" si="191"/>
        <v>169</v>
      </c>
      <c r="CA95" s="448"/>
      <c r="CB95" s="425">
        <f>'A-50 FGRailInv'!$C$69</f>
        <v>0</v>
      </c>
      <c r="CC95" s="425" t="str">
        <f>Valid!$B$79</f>
        <v>Below-Grade/Submerged Tube</v>
      </c>
      <c r="CD95" s="425">
        <f>CD87</f>
        <v>293</v>
      </c>
      <c r="CE95" s="1199">
        <f t="shared" si="229"/>
        <v>321</v>
      </c>
      <c r="CF95" s="446">
        <f t="shared" si="192"/>
        <v>321</v>
      </c>
      <c r="CG95" s="425">
        <f t="shared" si="225"/>
        <v>321</v>
      </c>
      <c r="CH95" s="425">
        <f t="shared" si="225"/>
        <v>321</v>
      </c>
      <c r="CI95" s="425">
        <f t="shared" si="225"/>
        <v>321</v>
      </c>
      <c r="CJ95" s="425">
        <f t="shared" si="225"/>
        <v>321</v>
      </c>
      <c r="CK95" s="425">
        <f t="shared" si="225"/>
        <v>321</v>
      </c>
      <c r="CL95" s="425">
        <f t="shared" si="225"/>
        <v>321</v>
      </c>
      <c r="CM95" s="425">
        <f t="shared" si="225"/>
        <v>321</v>
      </c>
      <c r="CN95" s="425">
        <f t="shared" si="225"/>
        <v>321</v>
      </c>
      <c r="CO95" s="425">
        <f t="shared" si="225"/>
        <v>321</v>
      </c>
      <c r="CP95" s="425">
        <f t="shared" si="226"/>
        <v>321</v>
      </c>
      <c r="CQ95" s="425">
        <f t="shared" si="226"/>
        <v>321</v>
      </c>
      <c r="CR95" s="425">
        <f t="shared" si="226"/>
        <v>321</v>
      </c>
      <c r="CS95" s="425">
        <f t="shared" si="226"/>
        <v>321</v>
      </c>
      <c r="CT95" s="425">
        <f t="shared" si="226"/>
        <v>321</v>
      </c>
      <c r="CU95" s="425">
        <f t="shared" si="226"/>
        <v>321</v>
      </c>
      <c r="DJ95" s="380" t="s">
        <v>826</v>
      </c>
      <c r="DK95" s="425">
        <f t="shared" si="222"/>
        <v>169</v>
      </c>
      <c r="DL95" s="425">
        <f t="shared" ref="DL95:DS95" si="266">DK95</f>
        <v>169</v>
      </c>
      <c r="DM95" s="425">
        <f t="shared" si="266"/>
        <v>169</v>
      </c>
      <c r="DN95" s="425">
        <f t="shared" si="266"/>
        <v>169</v>
      </c>
      <c r="DO95" s="425">
        <f t="shared" si="266"/>
        <v>169</v>
      </c>
      <c r="DP95" s="425">
        <f t="shared" si="266"/>
        <v>169</v>
      </c>
      <c r="DQ95" s="425">
        <f t="shared" si="266"/>
        <v>169</v>
      </c>
      <c r="DR95" s="425">
        <f t="shared" si="266"/>
        <v>169</v>
      </c>
      <c r="DS95" s="425">
        <f t="shared" si="266"/>
        <v>169</v>
      </c>
      <c r="DU95" s="380" t="s">
        <v>826</v>
      </c>
      <c r="DV95" s="425">
        <f t="shared" si="221"/>
        <v>169</v>
      </c>
      <c r="DW95" s="425">
        <f t="shared" si="249"/>
        <v>169</v>
      </c>
      <c r="DX95" s="425">
        <f t="shared" si="250"/>
        <v>169</v>
      </c>
      <c r="DY95" s="425">
        <f t="shared" si="251"/>
        <v>169</v>
      </c>
      <c r="DZ95" s="425">
        <f t="shared" si="252"/>
        <v>169</v>
      </c>
      <c r="EA95" s="425">
        <f t="shared" si="253"/>
        <v>169</v>
      </c>
      <c r="EB95" s="425">
        <f t="shared" si="254"/>
        <v>169</v>
      </c>
      <c r="EC95" s="425">
        <f t="shared" si="255"/>
        <v>169</v>
      </c>
      <c r="ED95" s="425">
        <f t="shared" si="256"/>
        <v>169</v>
      </c>
      <c r="EE95" s="425">
        <f t="shared" si="257"/>
        <v>169</v>
      </c>
      <c r="EF95" s="425">
        <f t="shared" si="258"/>
        <v>169</v>
      </c>
      <c r="EG95" s="425">
        <f t="shared" si="259"/>
        <v>169</v>
      </c>
      <c r="EH95" s="425">
        <f t="shared" si="260"/>
        <v>169</v>
      </c>
      <c r="EI95" s="425">
        <f t="shared" si="261"/>
        <v>169</v>
      </c>
      <c r="EJ95" s="425">
        <f t="shared" si="262"/>
        <v>169</v>
      </c>
      <c r="EK95" s="425">
        <f t="shared" si="233"/>
        <v>169</v>
      </c>
      <c r="EL95" s="425">
        <f t="shared" si="234"/>
        <v>169</v>
      </c>
      <c r="EM95" s="425">
        <f t="shared" si="235"/>
        <v>169</v>
      </c>
      <c r="EN95" s="425">
        <f t="shared" si="236"/>
        <v>169</v>
      </c>
      <c r="EO95" s="425">
        <f t="shared" si="237"/>
        <v>169</v>
      </c>
      <c r="EP95" s="425">
        <f t="shared" si="238"/>
        <v>169</v>
      </c>
      <c r="EQ95" s="425">
        <f t="shared" si="239"/>
        <v>169</v>
      </c>
      <c r="ER95" s="425">
        <f t="shared" si="240"/>
        <v>169</v>
      </c>
      <c r="ES95" s="425">
        <f t="shared" si="241"/>
        <v>169</v>
      </c>
      <c r="ET95" s="425">
        <f t="shared" si="242"/>
        <v>169</v>
      </c>
      <c r="EU95" s="425">
        <f t="shared" si="243"/>
        <v>169</v>
      </c>
      <c r="EV95" s="425">
        <f t="shared" si="243"/>
        <v>169</v>
      </c>
      <c r="EW95" s="425">
        <f t="shared" si="244"/>
        <v>169</v>
      </c>
      <c r="EX95" s="425">
        <f t="shared" si="245"/>
        <v>169</v>
      </c>
      <c r="EY95" s="425">
        <f t="shared" si="246"/>
        <v>169</v>
      </c>
      <c r="EZ95" s="425">
        <f t="shared" si="247"/>
        <v>169</v>
      </c>
    </row>
    <row r="96" spans="42:156" x14ac:dyDescent="0.2">
      <c r="AP96" s="380" t="s">
        <v>721</v>
      </c>
      <c r="AQ96" s="406">
        <f t="shared" si="195"/>
        <v>171</v>
      </c>
      <c r="AR96" s="406">
        <f t="shared" si="195"/>
        <v>171</v>
      </c>
      <c r="AS96" s="380">
        <f t="shared" si="196"/>
        <v>171</v>
      </c>
      <c r="AT96" s="380">
        <f t="shared" si="197"/>
        <v>171</v>
      </c>
      <c r="AU96" s="380">
        <f t="shared" si="198"/>
        <v>171</v>
      </c>
      <c r="AV96" s="380">
        <f t="shared" si="199"/>
        <v>171</v>
      </c>
      <c r="AW96" s="380">
        <f t="shared" si="200"/>
        <v>171</v>
      </c>
      <c r="AX96" s="380">
        <f t="shared" si="201"/>
        <v>171</v>
      </c>
      <c r="AY96" s="380">
        <f t="shared" si="202"/>
        <v>171</v>
      </c>
      <c r="AZ96" s="380">
        <f t="shared" si="203"/>
        <v>171</v>
      </c>
      <c r="BA96" s="380">
        <f t="shared" si="204"/>
        <v>171</v>
      </c>
      <c r="BB96" s="380">
        <f t="shared" si="205"/>
        <v>171</v>
      </c>
      <c r="BC96" s="380">
        <f t="shared" si="206"/>
        <v>171</v>
      </c>
      <c r="BD96" s="407">
        <f t="shared" si="206"/>
        <v>171</v>
      </c>
      <c r="BG96" s="380" t="s">
        <v>721</v>
      </c>
      <c r="BH96" s="406">
        <f t="shared" si="207"/>
        <v>171</v>
      </c>
      <c r="BI96" s="406">
        <f t="shared" si="207"/>
        <v>171</v>
      </c>
      <c r="BJ96" s="380">
        <f t="shared" si="208"/>
        <v>171</v>
      </c>
      <c r="BK96" s="380">
        <f t="shared" si="209"/>
        <v>171</v>
      </c>
      <c r="BL96" s="380">
        <f t="shared" si="210"/>
        <v>171</v>
      </c>
      <c r="BM96" s="380">
        <f t="shared" si="211"/>
        <v>171</v>
      </c>
      <c r="BN96" s="380">
        <f t="shared" si="211"/>
        <v>171</v>
      </c>
      <c r="BO96" s="380">
        <f t="shared" si="212"/>
        <v>171</v>
      </c>
      <c r="BP96" s="380">
        <f t="shared" si="213"/>
        <v>171</v>
      </c>
      <c r="BQ96" s="380">
        <f t="shared" si="214"/>
        <v>171</v>
      </c>
      <c r="BR96" s="380">
        <f t="shared" si="215"/>
        <v>171</v>
      </c>
      <c r="BS96" s="380">
        <f t="shared" si="216"/>
        <v>171</v>
      </c>
      <c r="BT96" s="380">
        <f t="shared" si="216"/>
        <v>171</v>
      </c>
      <c r="BU96" s="380">
        <f t="shared" si="217"/>
        <v>171</v>
      </c>
      <c r="BV96" s="380">
        <f t="shared" si="218"/>
        <v>171</v>
      </c>
      <c r="BW96" s="380">
        <f t="shared" si="219"/>
        <v>171</v>
      </c>
      <c r="BX96" s="407">
        <f t="shared" si="191"/>
        <v>171</v>
      </c>
      <c r="CA96" s="448"/>
      <c r="CB96" s="425">
        <f>'A-50 FGRailInv'!$C$69</f>
        <v>0</v>
      </c>
      <c r="CC96" s="425" t="str">
        <f>Valid!$B$87</f>
        <v>Substation Building</v>
      </c>
      <c r="CD96" s="425">
        <f>CD88</f>
        <v>293</v>
      </c>
      <c r="CE96" s="1199">
        <f>CE95+$CE$8</f>
        <v>326</v>
      </c>
      <c r="CF96" s="446">
        <f t="shared" si="192"/>
        <v>326</v>
      </c>
      <c r="CG96" s="425">
        <f t="shared" ref="CG96:CO105" si="267">$CE96</f>
        <v>326</v>
      </c>
      <c r="CH96" s="425">
        <f t="shared" si="267"/>
        <v>326</v>
      </c>
      <c r="CI96" s="425">
        <f t="shared" si="267"/>
        <v>326</v>
      </c>
      <c r="CJ96" s="425">
        <f t="shared" si="267"/>
        <v>326</v>
      </c>
      <c r="CK96" s="425">
        <f t="shared" si="267"/>
        <v>326</v>
      </c>
      <c r="CL96" s="425">
        <f t="shared" si="267"/>
        <v>326</v>
      </c>
      <c r="CM96" s="425">
        <f t="shared" si="267"/>
        <v>326</v>
      </c>
      <c r="CN96" s="425">
        <f t="shared" si="267"/>
        <v>326</v>
      </c>
      <c r="CO96" s="425">
        <f t="shared" si="267"/>
        <v>326</v>
      </c>
      <c r="CP96" s="425">
        <f t="shared" ref="CP96:CU105" si="268">$CE96</f>
        <v>326</v>
      </c>
      <c r="CQ96" s="425">
        <f t="shared" si="268"/>
        <v>326</v>
      </c>
      <c r="CR96" s="425">
        <f t="shared" si="268"/>
        <v>326</v>
      </c>
      <c r="CS96" s="425">
        <f t="shared" si="268"/>
        <v>326</v>
      </c>
      <c r="CT96" s="425">
        <f t="shared" si="268"/>
        <v>326</v>
      </c>
      <c r="CU96" s="425">
        <f t="shared" si="268"/>
        <v>326</v>
      </c>
      <c r="DJ96" s="380" t="s">
        <v>827</v>
      </c>
      <c r="DK96" s="425">
        <f t="shared" si="222"/>
        <v>171</v>
      </c>
      <c r="DL96" s="425">
        <f t="shared" ref="DL96:DS96" si="269">DK96</f>
        <v>171</v>
      </c>
      <c r="DM96" s="425">
        <f t="shared" si="269"/>
        <v>171</v>
      </c>
      <c r="DN96" s="425">
        <f t="shared" si="269"/>
        <v>171</v>
      </c>
      <c r="DO96" s="425">
        <f t="shared" si="269"/>
        <v>171</v>
      </c>
      <c r="DP96" s="425">
        <f t="shared" si="269"/>
        <v>171</v>
      </c>
      <c r="DQ96" s="425">
        <f t="shared" si="269"/>
        <v>171</v>
      </c>
      <c r="DR96" s="425">
        <f t="shared" si="269"/>
        <v>171</v>
      </c>
      <c r="DS96" s="425">
        <f t="shared" si="269"/>
        <v>171</v>
      </c>
      <c r="DU96" s="380" t="s">
        <v>827</v>
      </c>
      <c r="DV96" s="425">
        <f t="shared" si="221"/>
        <v>171</v>
      </c>
      <c r="DW96" s="425">
        <f t="shared" si="249"/>
        <v>171</v>
      </c>
      <c r="DX96" s="425">
        <f t="shared" si="250"/>
        <v>171</v>
      </c>
      <c r="DY96" s="425">
        <f t="shared" si="251"/>
        <v>171</v>
      </c>
      <c r="DZ96" s="425">
        <f t="shared" si="252"/>
        <v>171</v>
      </c>
      <c r="EA96" s="425">
        <f t="shared" si="253"/>
        <v>171</v>
      </c>
      <c r="EB96" s="425">
        <f t="shared" si="254"/>
        <v>171</v>
      </c>
      <c r="EC96" s="425">
        <f t="shared" si="255"/>
        <v>171</v>
      </c>
      <c r="ED96" s="425">
        <f t="shared" si="256"/>
        <v>171</v>
      </c>
      <c r="EE96" s="425">
        <f t="shared" si="257"/>
        <v>171</v>
      </c>
      <c r="EF96" s="425">
        <f t="shared" si="258"/>
        <v>171</v>
      </c>
      <c r="EG96" s="425">
        <f t="shared" si="259"/>
        <v>171</v>
      </c>
      <c r="EH96" s="425">
        <f t="shared" si="260"/>
        <v>171</v>
      </c>
      <c r="EI96" s="425">
        <f t="shared" si="261"/>
        <v>171</v>
      </c>
      <c r="EJ96" s="425">
        <f t="shared" si="262"/>
        <v>171</v>
      </c>
      <c r="EK96" s="425">
        <f t="shared" si="233"/>
        <v>171</v>
      </c>
      <c r="EL96" s="425">
        <f t="shared" si="234"/>
        <v>171</v>
      </c>
      <c r="EM96" s="425">
        <f t="shared" si="235"/>
        <v>171</v>
      </c>
      <c r="EN96" s="425">
        <f t="shared" si="236"/>
        <v>171</v>
      </c>
      <c r="EO96" s="425">
        <f t="shared" si="237"/>
        <v>171</v>
      </c>
      <c r="EP96" s="425">
        <f t="shared" si="238"/>
        <v>171</v>
      </c>
      <c r="EQ96" s="425">
        <f t="shared" si="239"/>
        <v>171</v>
      </c>
      <c r="ER96" s="425">
        <f t="shared" si="240"/>
        <v>171</v>
      </c>
      <c r="ES96" s="425">
        <f t="shared" si="241"/>
        <v>171</v>
      </c>
      <c r="ET96" s="425">
        <f t="shared" si="242"/>
        <v>171</v>
      </c>
      <c r="EU96" s="425">
        <f t="shared" si="243"/>
        <v>171</v>
      </c>
      <c r="EV96" s="425">
        <f t="shared" si="243"/>
        <v>171</v>
      </c>
      <c r="EW96" s="425">
        <f t="shared" si="244"/>
        <v>171</v>
      </c>
      <c r="EX96" s="425">
        <f t="shared" si="245"/>
        <v>171</v>
      </c>
      <c r="EY96" s="425">
        <f t="shared" si="246"/>
        <v>171</v>
      </c>
      <c r="EZ96" s="425">
        <f t="shared" si="247"/>
        <v>171</v>
      </c>
    </row>
    <row r="97" spans="42:156" x14ac:dyDescent="0.2">
      <c r="AP97" s="380" t="s">
        <v>722</v>
      </c>
      <c r="AQ97" s="406">
        <f t="shared" si="195"/>
        <v>173</v>
      </c>
      <c r="AR97" s="406">
        <f t="shared" si="195"/>
        <v>173</v>
      </c>
      <c r="AS97" s="380">
        <f t="shared" si="196"/>
        <v>173</v>
      </c>
      <c r="AT97" s="380">
        <f t="shared" si="197"/>
        <v>173</v>
      </c>
      <c r="AU97" s="380">
        <f t="shared" si="198"/>
        <v>173</v>
      </c>
      <c r="AV97" s="380">
        <f t="shared" si="199"/>
        <v>173</v>
      </c>
      <c r="AW97" s="380">
        <f t="shared" si="200"/>
        <v>173</v>
      </c>
      <c r="AX97" s="380">
        <f t="shared" si="201"/>
        <v>173</v>
      </c>
      <c r="AY97" s="380">
        <f t="shared" si="202"/>
        <v>173</v>
      </c>
      <c r="AZ97" s="380">
        <f t="shared" si="203"/>
        <v>173</v>
      </c>
      <c r="BA97" s="380">
        <f t="shared" si="204"/>
        <v>173</v>
      </c>
      <c r="BB97" s="380">
        <f t="shared" si="205"/>
        <v>173</v>
      </c>
      <c r="BC97" s="380">
        <f t="shared" si="206"/>
        <v>173</v>
      </c>
      <c r="BD97" s="407">
        <f t="shared" si="206"/>
        <v>173</v>
      </c>
      <c r="BG97" s="380" t="s">
        <v>722</v>
      </c>
      <c r="BH97" s="406">
        <f t="shared" si="207"/>
        <v>173</v>
      </c>
      <c r="BI97" s="406">
        <f t="shared" si="207"/>
        <v>173</v>
      </c>
      <c r="BJ97" s="380">
        <f t="shared" si="208"/>
        <v>173</v>
      </c>
      <c r="BK97" s="380">
        <f t="shared" si="209"/>
        <v>173</v>
      </c>
      <c r="BL97" s="380">
        <f t="shared" si="210"/>
        <v>173</v>
      </c>
      <c r="BM97" s="380">
        <f t="shared" si="211"/>
        <v>173</v>
      </c>
      <c r="BN97" s="380">
        <f t="shared" si="211"/>
        <v>173</v>
      </c>
      <c r="BO97" s="380">
        <f t="shared" si="212"/>
        <v>173</v>
      </c>
      <c r="BP97" s="380">
        <f t="shared" si="213"/>
        <v>173</v>
      </c>
      <c r="BQ97" s="380">
        <f t="shared" si="214"/>
        <v>173</v>
      </c>
      <c r="BR97" s="380">
        <f t="shared" si="215"/>
        <v>173</v>
      </c>
      <c r="BS97" s="380">
        <f t="shared" si="216"/>
        <v>173</v>
      </c>
      <c r="BT97" s="380">
        <f t="shared" si="216"/>
        <v>173</v>
      </c>
      <c r="BU97" s="380">
        <f t="shared" si="217"/>
        <v>173</v>
      </c>
      <c r="BV97" s="380">
        <f t="shared" si="218"/>
        <v>173</v>
      </c>
      <c r="BW97" s="380">
        <f t="shared" si="219"/>
        <v>173</v>
      </c>
      <c r="BX97" s="407">
        <f t="shared" si="191"/>
        <v>173</v>
      </c>
      <c r="CA97" s="448"/>
      <c r="CB97" s="425">
        <f>'A-50 FGRailInv'!$C$69</f>
        <v>0</v>
      </c>
      <c r="CC97" s="425" t="str">
        <f>Valid!$B$88</f>
        <v>Substation Equipment</v>
      </c>
      <c r="CD97" s="425">
        <f>CD88</f>
        <v>293</v>
      </c>
      <c r="CE97" s="446">
        <f>CE96+$CE$7</f>
        <v>329</v>
      </c>
      <c r="CF97" s="446">
        <f t="shared" si="192"/>
        <v>329</v>
      </c>
      <c r="CG97" s="425">
        <f t="shared" si="267"/>
        <v>329</v>
      </c>
      <c r="CH97" s="425">
        <f t="shared" si="267"/>
        <v>329</v>
      </c>
      <c r="CI97" s="425">
        <f t="shared" si="267"/>
        <v>329</v>
      </c>
      <c r="CJ97" s="425">
        <f t="shared" si="267"/>
        <v>329</v>
      </c>
      <c r="CK97" s="425">
        <f t="shared" si="267"/>
        <v>329</v>
      </c>
      <c r="CL97" s="425">
        <f t="shared" si="267"/>
        <v>329</v>
      </c>
      <c r="CM97" s="425">
        <f t="shared" si="267"/>
        <v>329</v>
      </c>
      <c r="CN97" s="425">
        <f t="shared" si="267"/>
        <v>329</v>
      </c>
      <c r="CO97" s="425">
        <f t="shared" si="267"/>
        <v>329</v>
      </c>
      <c r="CP97" s="425">
        <f t="shared" si="268"/>
        <v>329</v>
      </c>
      <c r="CQ97" s="425">
        <f t="shared" si="268"/>
        <v>329</v>
      </c>
      <c r="CR97" s="425">
        <f t="shared" si="268"/>
        <v>329</v>
      </c>
      <c r="CS97" s="425">
        <f t="shared" si="268"/>
        <v>329</v>
      </c>
      <c r="CT97" s="425">
        <f t="shared" si="268"/>
        <v>329</v>
      </c>
      <c r="CU97" s="425">
        <f t="shared" si="268"/>
        <v>329</v>
      </c>
      <c r="DJ97" s="380" t="s">
        <v>828</v>
      </c>
      <c r="DK97" s="425">
        <f t="shared" si="222"/>
        <v>173</v>
      </c>
      <c r="DL97" s="425">
        <f t="shared" ref="DL97:DS97" si="270">DK97</f>
        <v>173</v>
      </c>
      <c r="DM97" s="425">
        <f t="shared" si="270"/>
        <v>173</v>
      </c>
      <c r="DN97" s="425">
        <f t="shared" si="270"/>
        <v>173</v>
      </c>
      <c r="DO97" s="425">
        <f t="shared" si="270"/>
        <v>173</v>
      </c>
      <c r="DP97" s="425">
        <f t="shared" si="270"/>
        <v>173</v>
      </c>
      <c r="DQ97" s="425">
        <f t="shared" si="270"/>
        <v>173</v>
      </c>
      <c r="DR97" s="425">
        <f t="shared" si="270"/>
        <v>173</v>
      </c>
      <c r="DS97" s="425">
        <f t="shared" si="270"/>
        <v>173</v>
      </c>
      <c r="DU97" s="380" t="s">
        <v>828</v>
      </c>
      <c r="DV97" s="425">
        <f t="shared" si="221"/>
        <v>173</v>
      </c>
      <c r="DW97" s="425">
        <f t="shared" si="249"/>
        <v>173</v>
      </c>
      <c r="DX97" s="425">
        <f t="shared" si="250"/>
        <v>173</v>
      </c>
      <c r="DY97" s="425">
        <f t="shared" si="251"/>
        <v>173</v>
      </c>
      <c r="DZ97" s="425">
        <f t="shared" si="252"/>
        <v>173</v>
      </c>
      <c r="EA97" s="425">
        <f t="shared" si="253"/>
        <v>173</v>
      </c>
      <c r="EB97" s="425">
        <f t="shared" si="254"/>
        <v>173</v>
      </c>
      <c r="EC97" s="425">
        <f t="shared" si="255"/>
        <v>173</v>
      </c>
      <c r="ED97" s="425">
        <f t="shared" si="256"/>
        <v>173</v>
      </c>
      <c r="EE97" s="425">
        <f t="shared" si="257"/>
        <v>173</v>
      </c>
      <c r="EF97" s="425">
        <f t="shared" si="258"/>
        <v>173</v>
      </c>
      <c r="EG97" s="425">
        <f t="shared" si="259"/>
        <v>173</v>
      </c>
      <c r="EH97" s="425">
        <f t="shared" si="260"/>
        <v>173</v>
      </c>
      <c r="EI97" s="425">
        <f t="shared" si="261"/>
        <v>173</v>
      </c>
      <c r="EJ97" s="425">
        <f t="shared" si="262"/>
        <v>173</v>
      </c>
      <c r="EK97" s="425">
        <f t="shared" si="233"/>
        <v>173</v>
      </c>
      <c r="EL97" s="425">
        <f t="shared" si="234"/>
        <v>173</v>
      </c>
      <c r="EM97" s="425">
        <f t="shared" si="235"/>
        <v>173</v>
      </c>
      <c r="EN97" s="425">
        <f t="shared" si="236"/>
        <v>173</v>
      </c>
      <c r="EO97" s="425">
        <f t="shared" si="237"/>
        <v>173</v>
      </c>
      <c r="EP97" s="425">
        <f t="shared" si="238"/>
        <v>173</v>
      </c>
      <c r="EQ97" s="425">
        <f t="shared" si="239"/>
        <v>173</v>
      </c>
      <c r="ER97" s="425">
        <f t="shared" si="240"/>
        <v>173</v>
      </c>
      <c r="ES97" s="425">
        <f t="shared" si="241"/>
        <v>173</v>
      </c>
      <c r="ET97" s="425">
        <f t="shared" si="242"/>
        <v>173</v>
      </c>
      <c r="EU97" s="425">
        <f t="shared" si="243"/>
        <v>173</v>
      </c>
      <c r="EV97" s="425">
        <f t="shared" si="243"/>
        <v>173</v>
      </c>
      <c r="EW97" s="425">
        <f t="shared" si="244"/>
        <v>173</v>
      </c>
      <c r="EX97" s="425">
        <f t="shared" si="245"/>
        <v>173</v>
      </c>
      <c r="EY97" s="425">
        <f t="shared" si="246"/>
        <v>173</v>
      </c>
      <c r="EZ97" s="425">
        <f t="shared" si="247"/>
        <v>173</v>
      </c>
    </row>
    <row r="98" spans="42:156" x14ac:dyDescent="0.2">
      <c r="AP98" s="380" t="s">
        <v>723</v>
      </c>
      <c r="AQ98" s="406">
        <f t="shared" si="195"/>
        <v>175</v>
      </c>
      <c r="AR98" s="406">
        <f t="shared" si="195"/>
        <v>175</v>
      </c>
      <c r="AS98" s="380">
        <f t="shared" si="196"/>
        <v>175</v>
      </c>
      <c r="AT98" s="380">
        <f t="shared" si="197"/>
        <v>175</v>
      </c>
      <c r="AU98" s="380">
        <f t="shared" si="198"/>
        <v>175</v>
      </c>
      <c r="AV98" s="380">
        <f t="shared" si="199"/>
        <v>175</v>
      </c>
      <c r="AW98" s="380">
        <f t="shared" si="200"/>
        <v>175</v>
      </c>
      <c r="AX98" s="380">
        <f t="shared" si="201"/>
        <v>175</v>
      </c>
      <c r="AY98" s="380">
        <f t="shared" si="202"/>
        <v>175</v>
      </c>
      <c r="AZ98" s="380">
        <f t="shared" si="203"/>
        <v>175</v>
      </c>
      <c r="BA98" s="380">
        <f t="shared" si="204"/>
        <v>175</v>
      </c>
      <c r="BB98" s="380">
        <f t="shared" si="205"/>
        <v>175</v>
      </c>
      <c r="BC98" s="380">
        <f t="shared" si="206"/>
        <v>175</v>
      </c>
      <c r="BD98" s="407">
        <f t="shared" si="206"/>
        <v>175</v>
      </c>
      <c r="BG98" s="380" t="s">
        <v>723</v>
      </c>
      <c r="BH98" s="406">
        <f t="shared" si="207"/>
        <v>175</v>
      </c>
      <c r="BI98" s="406">
        <f t="shared" si="207"/>
        <v>175</v>
      </c>
      <c r="BJ98" s="380">
        <f t="shared" si="208"/>
        <v>175</v>
      </c>
      <c r="BK98" s="380">
        <f t="shared" si="209"/>
        <v>175</v>
      </c>
      <c r="BL98" s="380">
        <f t="shared" si="210"/>
        <v>175</v>
      </c>
      <c r="BM98" s="380">
        <f t="shared" si="211"/>
        <v>175</v>
      </c>
      <c r="BN98" s="380">
        <f t="shared" si="211"/>
        <v>175</v>
      </c>
      <c r="BO98" s="380">
        <f t="shared" si="212"/>
        <v>175</v>
      </c>
      <c r="BP98" s="380">
        <f t="shared" si="213"/>
        <v>175</v>
      </c>
      <c r="BQ98" s="380">
        <f t="shared" si="214"/>
        <v>175</v>
      </c>
      <c r="BR98" s="380">
        <f t="shared" si="215"/>
        <v>175</v>
      </c>
      <c r="BS98" s="380">
        <f t="shared" si="216"/>
        <v>175</v>
      </c>
      <c r="BT98" s="380">
        <f t="shared" si="216"/>
        <v>175</v>
      </c>
      <c r="BU98" s="380">
        <f t="shared" si="217"/>
        <v>175</v>
      </c>
      <c r="BV98" s="380">
        <f t="shared" si="218"/>
        <v>175</v>
      </c>
      <c r="BW98" s="380">
        <f t="shared" si="219"/>
        <v>175</v>
      </c>
      <c r="BX98" s="407">
        <f t="shared" si="191"/>
        <v>175</v>
      </c>
      <c r="CA98" s="448"/>
      <c r="CB98" s="425">
        <f>'A-50 FGRailInv'!$C$69</f>
        <v>0</v>
      </c>
      <c r="CC98" s="425" t="str">
        <f>Valid!$B$89</f>
        <v>Third Rail/Power Distribution</v>
      </c>
      <c r="CD98" s="425">
        <f>CD89</f>
        <v>293</v>
      </c>
      <c r="CE98" s="446">
        <f>CE97+$CE$7</f>
        <v>332</v>
      </c>
      <c r="CF98" s="446">
        <f t="shared" si="192"/>
        <v>332</v>
      </c>
      <c r="CG98" s="425">
        <f t="shared" si="267"/>
        <v>332</v>
      </c>
      <c r="CH98" s="425">
        <f t="shared" si="267"/>
        <v>332</v>
      </c>
      <c r="CI98" s="425">
        <f t="shared" si="267"/>
        <v>332</v>
      </c>
      <c r="CJ98" s="425">
        <f t="shared" si="267"/>
        <v>332</v>
      </c>
      <c r="CK98" s="425">
        <f t="shared" si="267"/>
        <v>332</v>
      </c>
      <c r="CL98" s="425">
        <f t="shared" si="267"/>
        <v>332</v>
      </c>
      <c r="CM98" s="425">
        <f t="shared" si="267"/>
        <v>332</v>
      </c>
      <c r="CN98" s="425">
        <f t="shared" si="267"/>
        <v>332</v>
      </c>
      <c r="CO98" s="425">
        <f t="shared" si="267"/>
        <v>332</v>
      </c>
      <c r="CP98" s="425">
        <f t="shared" si="268"/>
        <v>332</v>
      </c>
      <c r="CQ98" s="425">
        <f t="shared" si="268"/>
        <v>332</v>
      </c>
      <c r="CR98" s="425">
        <f t="shared" si="268"/>
        <v>332</v>
      </c>
      <c r="CS98" s="425">
        <f t="shared" si="268"/>
        <v>332</v>
      </c>
      <c r="CT98" s="425">
        <f t="shared" si="268"/>
        <v>332</v>
      </c>
      <c r="CU98" s="425">
        <f t="shared" si="268"/>
        <v>332</v>
      </c>
      <c r="DJ98" s="380" t="s">
        <v>829</v>
      </c>
      <c r="DK98" s="425">
        <f t="shared" si="222"/>
        <v>175</v>
      </c>
      <c r="DL98" s="425">
        <f t="shared" ref="DL98:DS98" si="271">DK98</f>
        <v>175</v>
      </c>
      <c r="DM98" s="425">
        <f t="shared" si="271"/>
        <v>175</v>
      </c>
      <c r="DN98" s="425">
        <f t="shared" si="271"/>
        <v>175</v>
      </c>
      <c r="DO98" s="425">
        <f t="shared" si="271"/>
        <v>175</v>
      </c>
      <c r="DP98" s="425">
        <f t="shared" si="271"/>
        <v>175</v>
      </c>
      <c r="DQ98" s="425">
        <f t="shared" si="271"/>
        <v>175</v>
      </c>
      <c r="DR98" s="425">
        <f t="shared" si="271"/>
        <v>175</v>
      </c>
      <c r="DS98" s="425">
        <f t="shared" si="271"/>
        <v>175</v>
      </c>
      <c r="DU98" s="380" t="s">
        <v>829</v>
      </c>
      <c r="DV98" s="425">
        <f t="shared" si="221"/>
        <v>175</v>
      </c>
      <c r="DW98" s="425">
        <f t="shared" si="249"/>
        <v>175</v>
      </c>
      <c r="DX98" s="425">
        <f t="shared" si="250"/>
        <v>175</v>
      </c>
      <c r="DY98" s="425">
        <f t="shared" si="251"/>
        <v>175</v>
      </c>
      <c r="DZ98" s="425">
        <f t="shared" si="252"/>
        <v>175</v>
      </c>
      <c r="EA98" s="425">
        <f t="shared" si="253"/>
        <v>175</v>
      </c>
      <c r="EB98" s="425">
        <f t="shared" si="254"/>
        <v>175</v>
      </c>
      <c r="EC98" s="425">
        <f t="shared" si="255"/>
        <v>175</v>
      </c>
      <c r="ED98" s="425">
        <f t="shared" si="256"/>
        <v>175</v>
      </c>
      <c r="EE98" s="425">
        <f t="shared" si="257"/>
        <v>175</v>
      </c>
      <c r="EF98" s="425">
        <f t="shared" si="258"/>
        <v>175</v>
      </c>
      <c r="EG98" s="425">
        <f t="shared" si="259"/>
        <v>175</v>
      </c>
      <c r="EH98" s="425">
        <f t="shared" si="260"/>
        <v>175</v>
      </c>
      <c r="EI98" s="425">
        <f t="shared" si="261"/>
        <v>175</v>
      </c>
      <c r="EJ98" s="425">
        <f t="shared" si="262"/>
        <v>175</v>
      </c>
      <c r="EK98" s="425">
        <f t="shared" si="233"/>
        <v>175</v>
      </c>
      <c r="EL98" s="425">
        <f t="shared" si="234"/>
        <v>175</v>
      </c>
      <c r="EM98" s="425">
        <f t="shared" si="235"/>
        <v>175</v>
      </c>
      <c r="EN98" s="425">
        <f t="shared" si="236"/>
        <v>175</v>
      </c>
      <c r="EO98" s="425">
        <f t="shared" si="237"/>
        <v>175</v>
      </c>
      <c r="EP98" s="425">
        <f t="shared" si="238"/>
        <v>175</v>
      </c>
      <c r="EQ98" s="425">
        <f t="shared" si="239"/>
        <v>175</v>
      </c>
      <c r="ER98" s="425">
        <f t="shared" si="240"/>
        <v>175</v>
      </c>
      <c r="ES98" s="425">
        <f t="shared" si="241"/>
        <v>175</v>
      </c>
      <c r="ET98" s="425">
        <f t="shared" si="242"/>
        <v>175</v>
      </c>
      <c r="EU98" s="425">
        <f t="shared" si="243"/>
        <v>175</v>
      </c>
      <c r="EV98" s="425">
        <f t="shared" si="243"/>
        <v>175</v>
      </c>
      <c r="EW98" s="425">
        <f t="shared" si="244"/>
        <v>175</v>
      </c>
      <c r="EX98" s="425">
        <f t="shared" si="245"/>
        <v>175</v>
      </c>
      <c r="EY98" s="425">
        <f t="shared" si="246"/>
        <v>175</v>
      </c>
      <c r="EZ98" s="425">
        <f t="shared" si="247"/>
        <v>175</v>
      </c>
    </row>
    <row r="99" spans="42:156" x14ac:dyDescent="0.2">
      <c r="AP99" s="380" t="s">
        <v>724</v>
      </c>
      <c r="AQ99" s="406">
        <f t="shared" si="195"/>
        <v>177</v>
      </c>
      <c r="AR99" s="406">
        <f t="shared" si="195"/>
        <v>177</v>
      </c>
      <c r="AS99" s="380">
        <f t="shared" si="196"/>
        <v>177</v>
      </c>
      <c r="AT99" s="380">
        <f t="shared" si="197"/>
        <v>177</v>
      </c>
      <c r="AU99" s="380">
        <f t="shared" si="198"/>
        <v>177</v>
      </c>
      <c r="AV99" s="380">
        <f t="shared" si="199"/>
        <v>177</v>
      </c>
      <c r="AW99" s="380">
        <f t="shared" si="200"/>
        <v>177</v>
      </c>
      <c r="AX99" s="380">
        <f t="shared" si="201"/>
        <v>177</v>
      </c>
      <c r="AY99" s="380">
        <f t="shared" si="202"/>
        <v>177</v>
      </c>
      <c r="AZ99" s="380">
        <f t="shared" si="203"/>
        <v>177</v>
      </c>
      <c r="BA99" s="380">
        <f t="shared" si="204"/>
        <v>177</v>
      </c>
      <c r="BB99" s="380">
        <f t="shared" si="205"/>
        <v>177</v>
      </c>
      <c r="BC99" s="380">
        <f t="shared" si="206"/>
        <v>177</v>
      </c>
      <c r="BD99" s="407">
        <f t="shared" si="206"/>
        <v>177</v>
      </c>
      <c r="BG99" s="380" t="s">
        <v>724</v>
      </c>
      <c r="BH99" s="406">
        <f t="shared" si="207"/>
        <v>177</v>
      </c>
      <c r="BI99" s="406">
        <f t="shared" si="207"/>
        <v>177</v>
      </c>
      <c r="BJ99" s="380">
        <f t="shared" si="208"/>
        <v>177</v>
      </c>
      <c r="BK99" s="380">
        <f t="shared" si="209"/>
        <v>177</v>
      </c>
      <c r="BL99" s="380">
        <f t="shared" si="210"/>
        <v>177</v>
      </c>
      <c r="BM99" s="380">
        <f t="shared" si="211"/>
        <v>177</v>
      </c>
      <c r="BN99" s="380">
        <f t="shared" si="211"/>
        <v>177</v>
      </c>
      <c r="BO99" s="380">
        <f t="shared" si="212"/>
        <v>177</v>
      </c>
      <c r="BP99" s="380">
        <f t="shared" si="213"/>
        <v>177</v>
      </c>
      <c r="BQ99" s="380">
        <f t="shared" si="214"/>
        <v>177</v>
      </c>
      <c r="BR99" s="380">
        <f t="shared" si="215"/>
        <v>177</v>
      </c>
      <c r="BS99" s="380">
        <f t="shared" si="216"/>
        <v>177</v>
      </c>
      <c r="BT99" s="380">
        <f t="shared" si="216"/>
        <v>177</v>
      </c>
      <c r="BU99" s="380">
        <f t="shared" si="217"/>
        <v>177</v>
      </c>
      <c r="BV99" s="380">
        <f t="shared" si="218"/>
        <v>177</v>
      </c>
      <c r="BW99" s="380">
        <f t="shared" si="219"/>
        <v>177</v>
      </c>
      <c r="BX99" s="407">
        <f t="shared" si="191"/>
        <v>177</v>
      </c>
      <c r="CA99" s="448"/>
      <c r="CB99" s="425">
        <f>'A-50 FGRailInv'!$C$69</f>
        <v>0</v>
      </c>
      <c r="CC99" s="425" t="str">
        <f>Valid!$B$90</f>
        <v>Overhead Contact System/Power Distribution</v>
      </c>
      <c r="CD99" s="425">
        <f>CD90</f>
        <v>293</v>
      </c>
      <c r="CE99" s="446">
        <f>CE98+$CE$7</f>
        <v>335</v>
      </c>
      <c r="CF99" s="446">
        <f t="shared" si="192"/>
        <v>335</v>
      </c>
      <c r="CG99" s="425">
        <f t="shared" si="267"/>
        <v>335</v>
      </c>
      <c r="CH99" s="425">
        <f t="shared" si="267"/>
        <v>335</v>
      </c>
      <c r="CI99" s="425">
        <f t="shared" si="267"/>
        <v>335</v>
      </c>
      <c r="CJ99" s="425">
        <f t="shared" si="267"/>
        <v>335</v>
      </c>
      <c r="CK99" s="425">
        <f t="shared" si="267"/>
        <v>335</v>
      </c>
      <c r="CL99" s="425">
        <f t="shared" si="267"/>
        <v>335</v>
      </c>
      <c r="CM99" s="425">
        <f t="shared" si="267"/>
        <v>335</v>
      </c>
      <c r="CN99" s="425">
        <f t="shared" si="267"/>
        <v>335</v>
      </c>
      <c r="CO99" s="425">
        <f t="shared" si="267"/>
        <v>335</v>
      </c>
      <c r="CP99" s="425">
        <f t="shared" si="268"/>
        <v>335</v>
      </c>
      <c r="CQ99" s="425">
        <f t="shared" si="268"/>
        <v>335</v>
      </c>
      <c r="CR99" s="425">
        <f t="shared" si="268"/>
        <v>335</v>
      </c>
      <c r="CS99" s="425">
        <f t="shared" si="268"/>
        <v>335</v>
      </c>
      <c r="CT99" s="425">
        <f t="shared" si="268"/>
        <v>335</v>
      </c>
      <c r="CU99" s="425">
        <f t="shared" si="268"/>
        <v>335</v>
      </c>
      <c r="DJ99" s="380" t="s">
        <v>830</v>
      </c>
      <c r="DK99" s="425">
        <f t="shared" si="222"/>
        <v>177</v>
      </c>
      <c r="DL99" s="425">
        <f t="shared" ref="DL99:DS99" si="272">DK99</f>
        <v>177</v>
      </c>
      <c r="DM99" s="425">
        <f t="shared" si="272"/>
        <v>177</v>
      </c>
      <c r="DN99" s="425">
        <f t="shared" si="272"/>
        <v>177</v>
      </c>
      <c r="DO99" s="425">
        <f t="shared" si="272"/>
        <v>177</v>
      </c>
      <c r="DP99" s="425">
        <f t="shared" si="272"/>
        <v>177</v>
      </c>
      <c r="DQ99" s="425">
        <f t="shared" si="272"/>
        <v>177</v>
      </c>
      <c r="DR99" s="425">
        <f t="shared" si="272"/>
        <v>177</v>
      </c>
      <c r="DS99" s="425">
        <f t="shared" si="272"/>
        <v>177</v>
      </c>
      <c r="DU99" s="380" t="s">
        <v>830</v>
      </c>
      <c r="DV99" s="425">
        <f t="shared" si="221"/>
        <v>177</v>
      </c>
      <c r="DW99" s="425">
        <f t="shared" si="249"/>
        <v>177</v>
      </c>
      <c r="DX99" s="425">
        <f t="shared" si="250"/>
        <v>177</v>
      </c>
      <c r="DY99" s="425">
        <f t="shared" si="251"/>
        <v>177</v>
      </c>
      <c r="DZ99" s="425">
        <f t="shared" si="252"/>
        <v>177</v>
      </c>
      <c r="EA99" s="425">
        <f t="shared" si="253"/>
        <v>177</v>
      </c>
      <c r="EB99" s="425">
        <f t="shared" si="254"/>
        <v>177</v>
      </c>
      <c r="EC99" s="425">
        <f t="shared" si="255"/>
        <v>177</v>
      </c>
      <c r="ED99" s="425">
        <f t="shared" si="256"/>
        <v>177</v>
      </c>
      <c r="EE99" s="425">
        <f t="shared" si="257"/>
        <v>177</v>
      </c>
      <c r="EF99" s="425">
        <f t="shared" si="258"/>
        <v>177</v>
      </c>
      <c r="EG99" s="425">
        <f t="shared" si="259"/>
        <v>177</v>
      </c>
      <c r="EH99" s="425">
        <f t="shared" si="260"/>
        <v>177</v>
      </c>
      <c r="EI99" s="425">
        <f t="shared" si="261"/>
        <v>177</v>
      </c>
      <c r="EJ99" s="425">
        <f t="shared" si="262"/>
        <v>177</v>
      </c>
      <c r="EK99" s="425">
        <f t="shared" si="233"/>
        <v>177</v>
      </c>
      <c r="EL99" s="425">
        <f t="shared" si="234"/>
        <v>177</v>
      </c>
      <c r="EM99" s="425">
        <f t="shared" si="235"/>
        <v>177</v>
      </c>
      <c r="EN99" s="425">
        <f t="shared" si="236"/>
        <v>177</v>
      </c>
      <c r="EO99" s="425">
        <f t="shared" si="237"/>
        <v>177</v>
      </c>
      <c r="EP99" s="425">
        <f t="shared" si="238"/>
        <v>177</v>
      </c>
      <c r="EQ99" s="425">
        <f t="shared" si="239"/>
        <v>177</v>
      </c>
      <c r="ER99" s="425">
        <f t="shared" si="240"/>
        <v>177</v>
      </c>
      <c r="ES99" s="425">
        <f t="shared" si="241"/>
        <v>177</v>
      </c>
      <c r="ET99" s="425">
        <f t="shared" si="242"/>
        <v>177</v>
      </c>
      <c r="EU99" s="425">
        <f t="shared" si="243"/>
        <v>177</v>
      </c>
      <c r="EV99" s="425">
        <f t="shared" si="243"/>
        <v>177</v>
      </c>
      <c r="EW99" s="425">
        <f t="shared" si="244"/>
        <v>177</v>
      </c>
      <c r="EX99" s="425">
        <f t="shared" si="245"/>
        <v>177</v>
      </c>
      <c r="EY99" s="425">
        <f t="shared" si="246"/>
        <v>177</v>
      </c>
      <c r="EZ99" s="425">
        <f t="shared" si="247"/>
        <v>177</v>
      </c>
    </row>
    <row r="100" spans="42:156" x14ac:dyDescent="0.2">
      <c r="AP100" s="380" t="s">
        <v>725</v>
      </c>
      <c r="AQ100" s="406">
        <f t="shared" si="195"/>
        <v>179</v>
      </c>
      <c r="AR100" s="406">
        <f t="shared" si="195"/>
        <v>179</v>
      </c>
      <c r="AS100" s="380">
        <f t="shared" si="196"/>
        <v>179</v>
      </c>
      <c r="AT100" s="380">
        <f t="shared" si="197"/>
        <v>179</v>
      </c>
      <c r="AU100" s="380">
        <f t="shared" si="198"/>
        <v>179</v>
      </c>
      <c r="AV100" s="380">
        <f t="shared" si="199"/>
        <v>179</v>
      </c>
      <c r="AW100" s="380">
        <f t="shared" si="200"/>
        <v>179</v>
      </c>
      <c r="AX100" s="380">
        <f t="shared" si="201"/>
        <v>179</v>
      </c>
      <c r="AY100" s="380">
        <f t="shared" si="202"/>
        <v>179</v>
      </c>
      <c r="AZ100" s="380">
        <f t="shared" si="203"/>
        <v>179</v>
      </c>
      <c r="BA100" s="380">
        <f t="shared" si="204"/>
        <v>179</v>
      </c>
      <c r="BB100" s="380">
        <f t="shared" si="205"/>
        <v>179</v>
      </c>
      <c r="BC100" s="380">
        <f t="shared" si="206"/>
        <v>179</v>
      </c>
      <c r="BD100" s="407">
        <f t="shared" si="206"/>
        <v>179</v>
      </c>
      <c r="BG100" s="380" t="s">
        <v>725</v>
      </c>
      <c r="BH100" s="406">
        <f t="shared" si="207"/>
        <v>179</v>
      </c>
      <c r="BI100" s="406">
        <f t="shared" si="207"/>
        <v>179</v>
      </c>
      <c r="BJ100" s="380">
        <f t="shared" si="208"/>
        <v>179</v>
      </c>
      <c r="BK100" s="380">
        <f t="shared" si="209"/>
        <v>179</v>
      </c>
      <c r="BL100" s="380">
        <f t="shared" si="210"/>
        <v>179</v>
      </c>
      <c r="BM100" s="380">
        <f t="shared" si="211"/>
        <v>179</v>
      </c>
      <c r="BN100" s="380">
        <f t="shared" si="211"/>
        <v>179</v>
      </c>
      <c r="BO100" s="380">
        <f t="shared" si="212"/>
        <v>179</v>
      </c>
      <c r="BP100" s="380">
        <f t="shared" si="213"/>
        <v>179</v>
      </c>
      <c r="BQ100" s="380">
        <f t="shared" si="214"/>
        <v>179</v>
      </c>
      <c r="BR100" s="380">
        <f t="shared" si="215"/>
        <v>179</v>
      </c>
      <c r="BS100" s="380">
        <f t="shared" si="216"/>
        <v>179</v>
      </c>
      <c r="BT100" s="380">
        <f t="shared" si="216"/>
        <v>179</v>
      </c>
      <c r="BU100" s="380">
        <f t="shared" si="217"/>
        <v>179</v>
      </c>
      <c r="BV100" s="380">
        <f t="shared" si="218"/>
        <v>179</v>
      </c>
      <c r="BW100" s="380">
        <f t="shared" si="219"/>
        <v>179</v>
      </c>
      <c r="BX100" s="407">
        <f t="shared" si="191"/>
        <v>179</v>
      </c>
      <c r="CA100" s="448"/>
      <c r="CB100" s="425">
        <f>'A-50 FGRailInv'!$C$69</f>
        <v>0</v>
      </c>
      <c r="CC100" s="425" t="str">
        <f>Valid!$B$91</f>
        <v>Train Control &amp; Signaling</v>
      </c>
      <c r="CD100" s="425">
        <f>CD91</f>
        <v>293</v>
      </c>
      <c r="CE100" s="446">
        <f>CE99+$CE$7</f>
        <v>338</v>
      </c>
      <c r="CF100" s="446">
        <f t="shared" si="192"/>
        <v>338</v>
      </c>
      <c r="CG100" s="425">
        <f t="shared" si="267"/>
        <v>338</v>
      </c>
      <c r="CH100" s="425">
        <f t="shared" si="267"/>
        <v>338</v>
      </c>
      <c r="CI100" s="425">
        <f t="shared" si="267"/>
        <v>338</v>
      </c>
      <c r="CJ100" s="425">
        <f t="shared" si="267"/>
        <v>338</v>
      </c>
      <c r="CK100" s="425">
        <f t="shared" si="267"/>
        <v>338</v>
      </c>
      <c r="CL100" s="425">
        <f t="shared" si="267"/>
        <v>338</v>
      </c>
      <c r="CM100" s="425">
        <f t="shared" si="267"/>
        <v>338</v>
      </c>
      <c r="CN100" s="425">
        <f t="shared" si="267"/>
        <v>338</v>
      </c>
      <c r="CO100" s="425">
        <f t="shared" si="267"/>
        <v>338</v>
      </c>
      <c r="CP100" s="425">
        <f t="shared" si="268"/>
        <v>338</v>
      </c>
      <c r="CQ100" s="425">
        <f t="shared" si="268"/>
        <v>338</v>
      </c>
      <c r="CR100" s="425">
        <f t="shared" si="268"/>
        <v>338</v>
      </c>
      <c r="CS100" s="425">
        <f t="shared" si="268"/>
        <v>338</v>
      </c>
      <c r="CT100" s="425">
        <f t="shared" si="268"/>
        <v>338</v>
      </c>
      <c r="CU100" s="425">
        <f t="shared" si="268"/>
        <v>338</v>
      </c>
      <c r="DJ100" s="380" t="s">
        <v>831</v>
      </c>
      <c r="DK100" s="425">
        <f t="shared" si="222"/>
        <v>179</v>
      </c>
      <c r="DL100" s="425">
        <f t="shared" ref="DL100:DS100" si="273">DK100</f>
        <v>179</v>
      </c>
      <c r="DM100" s="425">
        <f t="shared" si="273"/>
        <v>179</v>
      </c>
      <c r="DN100" s="425">
        <f t="shared" si="273"/>
        <v>179</v>
      </c>
      <c r="DO100" s="425">
        <f t="shared" si="273"/>
        <v>179</v>
      </c>
      <c r="DP100" s="425">
        <f t="shared" si="273"/>
        <v>179</v>
      </c>
      <c r="DQ100" s="425">
        <f t="shared" si="273"/>
        <v>179</v>
      </c>
      <c r="DR100" s="425">
        <f t="shared" si="273"/>
        <v>179</v>
      </c>
      <c r="DS100" s="425">
        <f t="shared" si="273"/>
        <v>179</v>
      </c>
      <c r="DU100" s="380" t="s">
        <v>831</v>
      </c>
      <c r="DV100" s="425">
        <f t="shared" si="221"/>
        <v>179</v>
      </c>
      <c r="DW100" s="425">
        <f t="shared" si="249"/>
        <v>179</v>
      </c>
      <c r="DX100" s="425">
        <f t="shared" si="250"/>
        <v>179</v>
      </c>
      <c r="DY100" s="425">
        <f t="shared" si="251"/>
        <v>179</v>
      </c>
      <c r="DZ100" s="425">
        <f t="shared" si="252"/>
        <v>179</v>
      </c>
      <c r="EA100" s="425">
        <f t="shared" si="253"/>
        <v>179</v>
      </c>
      <c r="EB100" s="425">
        <f t="shared" si="254"/>
        <v>179</v>
      </c>
      <c r="EC100" s="425">
        <f t="shared" si="255"/>
        <v>179</v>
      </c>
      <c r="ED100" s="425">
        <f t="shared" si="256"/>
        <v>179</v>
      </c>
      <c r="EE100" s="425">
        <f t="shared" si="257"/>
        <v>179</v>
      </c>
      <c r="EF100" s="425">
        <f t="shared" si="258"/>
        <v>179</v>
      </c>
      <c r="EG100" s="425">
        <f t="shared" si="259"/>
        <v>179</v>
      </c>
      <c r="EH100" s="425">
        <f t="shared" si="260"/>
        <v>179</v>
      </c>
      <c r="EI100" s="425">
        <f t="shared" si="261"/>
        <v>179</v>
      </c>
      <c r="EJ100" s="425">
        <f t="shared" si="262"/>
        <v>179</v>
      </c>
      <c r="EK100" s="425">
        <f t="shared" si="233"/>
        <v>179</v>
      </c>
      <c r="EL100" s="425">
        <f t="shared" si="234"/>
        <v>179</v>
      </c>
      <c r="EM100" s="425">
        <f t="shared" si="235"/>
        <v>179</v>
      </c>
      <c r="EN100" s="425">
        <f t="shared" si="236"/>
        <v>179</v>
      </c>
      <c r="EO100" s="425">
        <f t="shared" si="237"/>
        <v>179</v>
      </c>
      <c r="EP100" s="425">
        <f t="shared" si="238"/>
        <v>179</v>
      </c>
      <c r="EQ100" s="425">
        <f t="shared" si="239"/>
        <v>179</v>
      </c>
      <c r="ER100" s="425">
        <f t="shared" si="240"/>
        <v>179</v>
      </c>
      <c r="ES100" s="425">
        <f t="shared" si="241"/>
        <v>179</v>
      </c>
      <c r="ET100" s="425">
        <f t="shared" si="242"/>
        <v>179</v>
      </c>
      <c r="EU100" s="425">
        <f t="shared" si="243"/>
        <v>179</v>
      </c>
      <c r="EV100" s="425">
        <f t="shared" si="243"/>
        <v>179</v>
      </c>
      <c r="EW100" s="425">
        <f t="shared" si="244"/>
        <v>179</v>
      </c>
      <c r="EX100" s="425">
        <f t="shared" si="245"/>
        <v>179</v>
      </c>
      <c r="EY100" s="425">
        <f t="shared" si="246"/>
        <v>179</v>
      </c>
      <c r="EZ100" s="425">
        <f t="shared" si="247"/>
        <v>179</v>
      </c>
    </row>
    <row r="101" spans="42:156" x14ac:dyDescent="0.2">
      <c r="AP101" s="380" t="s">
        <v>726</v>
      </c>
      <c r="AQ101" s="406">
        <f t="shared" si="195"/>
        <v>181</v>
      </c>
      <c r="AR101" s="406">
        <f t="shared" si="195"/>
        <v>181</v>
      </c>
      <c r="AS101" s="380">
        <f t="shared" si="196"/>
        <v>181</v>
      </c>
      <c r="AT101" s="380">
        <f t="shared" si="197"/>
        <v>181</v>
      </c>
      <c r="AU101" s="380">
        <f t="shared" si="198"/>
        <v>181</v>
      </c>
      <c r="AV101" s="380">
        <f t="shared" si="199"/>
        <v>181</v>
      </c>
      <c r="AW101" s="380">
        <f t="shared" si="200"/>
        <v>181</v>
      </c>
      <c r="AX101" s="380">
        <f t="shared" si="201"/>
        <v>181</v>
      </c>
      <c r="AY101" s="380">
        <f t="shared" si="202"/>
        <v>181</v>
      </c>
      <c r="AZ101" s="380">
        <f t="shared" si="203"/>
        <v>181</v>
      </c>
      <c r="BA101" s="380">
        <f t="shared" si="204"/>
        <v>181</v>
      </c>
      <c r="BB101" s="380">
        <f t="shared" si="205"/>
        <v>181</v>
      </c>
      <c r="BC101" s="380">
        <f t="shared" si="206"/>
        <v>181</v>
      </c>
      <c r="BD101" s="407">
        <f t="shared" si="206"/>
        <v>181</v>
      </c>
      <c r="BG101" s="380" t="s">
        <v>726</v>
      </c>
      <c r="BH101" s="406">
        <f t="shared" si="207"/>
        <v>181</v>
      </c>
      <c r="BI101" s="406">
        <f t="shared" si="207"/>
        <v>181</v>
      </c>
      <c r="BJ101" s="380">
        <f t="shared" si="208"/>
        <v>181</v>
      </c>
      <c r="BK101" s="380">
        <f t="shared" si="209"/>
        <v>181</v>
      </c>
      <c r="BL101" s="380">
        <f t="shared" si="210"/>
        <v>181</v>
      </c>
      <c r="BM101" s="380">
        <f t="shared" si="211"/>
        <v>181</v>
      </c>
      <c r="BN101" s="380">
        <f t="shared" si="211"/>
        <v>181</v>
      </c>
      <c r="BO101" s="380">
        <f t="shared" si="212"/>
        <v>181</v>
      </c>
      <c r="BP101" s="380">
        <f t="shared" si="213"/>
        <v>181</v>
      </c>
      <c r="BQ101" s="380">
        <f t="shared" si="214"/>
        <v>181</v>
      </c>
      <c r="BR101" s="380">
        <f t="shared" si="215"/>
        <v>181</v>
      </c>
      <c r="BS101" s="380">
        <f t="shared" si="216"/>
        <v>181</v>
      </c>
      <c r="BT101" s="380">
        <f t="shared" si="216"/>
        <v>181</v>
      </c>
      <c r="BU101" s="380">
        <f t="shared" si="217"/>
        <v>181</v>
      </c>
      <c r="BV101" s="380">
        <f t="shared" si="218"/>
        <v>181</v>
      </c>
      <c r="BW101" s="380">
        <f t="shared" si="219"/>
        <v>181</v>
      </c>
      <c r="BX101" s="407">
        <f t="shared" si="191"/>
        <v>181</v>
      </c>
      <c r="CA101" s="448"/>
      <c r="CB101" s="425">
        <f>'A-50 FGRailInv'!$C$69</f>
        <v>0</v>
      </c>
      <c r="CC101" s="425" t="str">
        <f>Valid!$B$71</f>
        <v>At-Grade/Ballast (including expressway)</v>
      </c>
      <c r="CD101" s="425">
        <f>CD87+$CD$7</f>
        <v>349</v>
      </c>
      <c r="CE101" s="446">
        <f>CE100+$CE$9</f>
        <v>353</v>
      </c>
      <c r="CF101" s="446">
        <f t="shared" si="192"/>
        <v>353</v>
      </c>
      <c r="CG101" s="425">
        <f t="shared" si="267"/>
        <v>353</v>
      </c>
      <c r="CH101" s="425">
        <f t="shared" si="267"/>
        <v>353</v>
      </c>
      <c r="CI101" s="425">
        <f t="shared" si="267"/>
        <v>353</v>
      </c>
      <c r="CJ101" s="425">
        <f t="shared" si="267"/>
        <v>353</v>
      </c>
      <c r="CK101" s="425">
        <f t="shared" si="267"/>
        <v>353</v>
      </c>
      <c r="CL101" s="425">
        <f t="shared" si="267"/>
        <v>353</v>
      </c>
      <c r="CM101" s="425">
        <f t="shared" si="267"/>
        <v>353</v>
      </c>
      <c r="CN101" s="425">
        <f t="shared" si="267"/>
        <v>353</v>
      </c>
      <c r="CO101" s="425">
        <f t="shared" si="267"/>
        <v>353</v>
      </c>
      <c r="CP101" s="425">
        <f t="shared" si="268"/>
        <v>353</v>
      </c>
      <c r="CQ101" s="425">
        <f t="shared" si="268"/>
        <v>353</v>
      </c>
      <c r="CR101" s="425">
        <f t="shared" si="268"/>
        <v>353</v>
      </c>
      <c r="CS101" s="425">
        <f t="shared" si="268"/>
        <v>353</v>
      </c>
      <c r="CT101" s="425">
        <f t="shared" si="268"/>
        <v>353</v>
      </c>
      <c r="CU101" s="425">
        <f t="shared" si="268"/>
        <v>353</v>
      </c>
      <c r="DJ101" s="380" t="s">
        <v>832</v>
      </c>
      <c r="DK101" s="425">
        <f t="shared" si="222"/>
        <v>181</v>
      </c>
      <c r="DL101" s="425">
        <f t="shared" ref="DL101:DS101" si="274">DK101</f>
        <v>181</v>
      </c>
      <c r="DM101" s="425">
        <f t="shared" si="274"/>
        <v>181</v>
      </c>
      <c r="DN101" s="425">
        <f t="shared" si="274"/>
        <v>181</v>
      </c>
      <c r="DO101" s="425">
        <f t="shared" si="274"/>
        <v>181</v>
      </c>
      <c r="DP101" s="425">
        <f t="shared" si="274"/>
        <v>181</v>
      </c>
      <c r="DQ101" s="425">
        <f t="shared" si="274"/>
        <v>181</v>
      </c>
      <c r="DR101" s="425">
        <f t="shared" si="274"/>
        <v>181</v>
      </c>
      <c r="DS101" s="425">
        <f t="shared" si="274"/>
        <v>181</v>
      </c>
      <c r="DU101" s="380" t="s">
        <v>832</v>
      </c>
      <c r="DV101" s="425">
        <f t="shared" si="221"/>
        <v>181</v>
      </c>
      <c r="DW101" s="425">
        <f t="shared" si="249"/>
        <v>181</v>
      </c>
      <c r="DX101" s="425">
        <f t="shared" si="250"/>
        <v>181</v>
      </c>
      <c r="DY101" s="425">
        <f t="shared" si="251"/>
        <v>181</v>
      </c>
      <c r="DZ101" s="425">
        <f t="shared" si="252"/>
        <v>181</v>
      </c>
      <c r="EA101" s="425">
        <f t="shared" si="253"/>
        <v>181</v>
      </c>
      <c r="EB101" s="425">
        <f t="shared" si="254"/>
        <v>181</v>
      </c>
      <c r="EC101" s="425">
        <f t="shared" si="255"/>
        <v>181</v>
      </c>
      <c r="ED101" s="425">
        <f t="shared" si="256"/>
        <v>181</v>
      </c>
      <c r="EE101" s="425">
        <f t="shared" si="257"/>
        <v>181</v>
      </c>
      <c r="EF101" s="425">
        <f t="shared" si="258"/>
        <v>181</v>
      </c>
      <c r="EG101" s="425">
        <f t="shared" si="259"/>
        <v>181</v>
      </c>
      <c r="EH101" s="425">
        <f t="shared" si="260"/>
        <v>181</v>
      </c>
      <c r="EI101" s="425">
        <f t="shared" si="261"/>
        <v>181</v>
      </c>
      <c r="EJ101" s="425">
        <f t="shared" si="262"/>
        <v>181</v>
      </c>
      <c r="EK101" s="425">
        <f t="shared" si="233"/>
        <v>181</v>
      </c>
      <c r="EL101" s="425">
        <f t="shared" si="234"/>
        <v>181</v>
      </c>
      <c r="EM101" s="425">
        <f t="shared" si="235"/>
        <v>181</v>
      </c>
      <c r="EN101" s="425">
        <f t="shared" si="236"/>
        <v>181</v>
      </c>
      <c r="EO101" s="425">
        <f t="shared" si="237"/>
        <v>181</v>
      </c>
      <c r="EP101" s="425">
        <f t="shared" si="238"/>
        <v>181</v>
      </c>
      <c r="EQ101" s="425">
        <f t="shared" si="239"/>
        <v>181</v>
      </c>
      <c r="ER101" s="425">
        <f t="shared" si="240"/>
        <v>181</v>
      </c>
      <c r="ES101" s="425">
        <f t="shared" si="241"/>
        <v>181</v>
      </c>
      <c r="ET101" s="425">
        <f t="shared" si="242"/>
        <v>181</v>
      </c>
      <c r="EU101" s="425">
        <f t="shared" si="243"/>
        <v>181</v>
      </c>
      <c r="EV101" s="425">
        <f t="shared" si="243"/>
        <v>181</v>
      </c>
      <c r="EW101" s="425">
        <f t="shared" si="244"/>
        <v>181</v>
      </c>
      <c r="EX101" s="425">
        <f t="shared" si="245"/>
        <v>181</v>
      </c>
      <c r="EY101" s="425">
        <f t="shared" si="246"/>
        <v>181</v>
      </c>
      <c r="EZ101" s="425">
        <f t="shared" si="247"/>
        <v>181</v>
      </c>
    </row>
    <row r="102" spans="42:156" x14ac:dyDescent="0.2">
      <c r="AP102" s="380" t="s">
        <v>727</v>
      </c>
      <c r="AQ102" s="406">
        <f t="shared" si="195"/>
        <v>183</v>
      </c>
      <c r="AR102" s="406">
        <f t="shared" si="195"/>
        <v>183</v>
      </c>
      <c r="AS102" s="380">
        <f t="shared" si="196"/>
        <v>183</v>
      </c>
      <c r="AT102" s="380">
        <f t="shared" si="197"/>
        <v>183</v>
      </c>
      <c r="AU102" s="380">
        <f t="shared" si="198"/>
        <v>183</v>
      </c>
      <c r="AV102" s="380">
        <f t="shared" si="199"/>
        <v>183</v>
      </c>
      <c r="AW102" s="380">
        <f t="shared" si="200"/>
        <v>183</v>
      </c>
      <c r="AX102" s="380">
        <f t="shared" si="201"/>
        <v>183</v>
      </c>
      <c r="AY102" s="380">
        <f t="shared" si="202"/>
        <v>183</v>
      </c>
      <c r="AZ102" s="380">
        <f t="shared" si="203"/>
        <v>183</v>
      </c>
      <c r="BA102" s="380">
        <f t="shared" si="204"/>
        <v>183</v>
      </c>
      <c r="BB102" s="380">
        <f t="shared" si="205"/>
        <v>183</v>
      </c>
      <c r="BC102" s="380">
        <f t="shared" si="206"/>
        <v>183</v>
      </c>
      <c r="BD102" s="407">
        <f t="shared" si="206"/>
        <v>183</v>
      </c>
      <c r="BG102" s="380" t="s">
        <v>727</v>
      </c>
      <c r="BH102" s="406">
        <f t="shared" si="207"/>
        <v>183</v>
      </c>
      <c r="BI102" s="406">
        <f t="shared" si="207"/>
        <v>183</v>
      </c>
      <c r="BJ102" s="380">
        <f t="shared" si="208"/>
        <v>183</v>
      </c>
      <c r="BK102" s="380">
        <f t="shared" si="209"/>
        <v>183</v>
      </c>
      <c r="BL102" s="380">
        <f t="shared" si="210"/>
        <v>183</v>
      </c>
      <c r="BM102" s="380">
        <f t="shared" si="211"/>
        <v>183</v>
      </c>
      <c r="BN102" s="380">
        <f t="shared" si="211"/>
        <v>183</v>
      </c>
      <c r="BO102" s="380">
        <f t="shared" si="212"/>
        <v>183</v>
      </c>
      <c r="BP102" s="380">
        <f t="shared" si="213"/>
        <v>183</v>
      </c>
      <c r="BQ102" s="380">
        <f t="shared" si="214"/>
        <v>183</v>
      </c>
      <c r="BR102" s="380">
        <f t="shared" si="215"/>
        <v>183</v>
      </c>
      <c r="BS102" s="380">
        <f t="shared" si="216"/>
        <v>183</v>
      </c>
      <c r="BT102" s="380">
        <f t="shared" si="216"/>
        <v>183</v>
      </c>
      <c r="BU102" s="380">
        <f t="shared" si="217"/>
        <v>183</v>
      </c>
      <c r="BV102" s="380">
        <f t="shared" si="218"/>
        <v>183</v>
      </c>
      <c r="BW102" s="380">
        <f t="shared" si="219"/>
        <v>183</v>
      </c>
      <c r="BX102" s="407">
        <f t="shared" si="191"/>
        <v>183</v>
      </c>
      <c r="CA102" s="448"/>
      <c r="CB102" s="425">
        <f>'A-50 FGRailInv'!$C$69</f>
        <v>0</v>
      </c>
      <c r="CC102" s="425" t="str">
        <f>Valid!$B$72</f>
        <v>At-Grade/In-Street/Embedded</v>
      </c>
      <c r="CD102" s="425">
        <f>CD101</f>
        <v>349</v>
      </c>
      <c r="CE102" s="1199">
        <f t="shared" ref="CE102:CE109" si="275">CE101+$CE$7</f>
        <v>356</v>
      </c>
      <c r="CF102" s="446">
        <f t="shared" si="192"/>
        <v>356</v>
      </c>
      <c r="CG102" s="425">
        <f t="shared" si="267"/>
        <v>356</v>
      </c>
      <c r="CH102" s="425">
        <f t="shared" si="267"/>
        <v>356</v>
      </c>
      <c r="CI102" s="425">
        <f t="shared" si="267"/>
        <v>356</v>
      </c>
      <c r="CJ102" s="425">
        <f t="shared" si="267"/>
        <v>356</v>
      </c>
      <c r="CK102" s="425">
        <f t="shared" si="267"/>
        <v>356</v>
      </c>
      <c r="CL102" s="425">
        <f t="shared" si="267"/>
        <v>356</v>
      </c>
      <c r="CM102" s="425">
        <f t="shared" si="267"/>
        <v>356</v>
      </c>
      <c r="CN102" s="425">
        <f t="shared" si="267"/>
        <v>356</v>
      </c>
      <c r="CO102" s="425">
        <f t="shared" si="267"/>
        <v>356</v>
      </c>
      <c r="CP102" s="425">
        <f t="shared" si="268"/>
        <v>356</v>
      </c>
      <c r="CQ102" s="425">
        <f t="shared" si="268"/>
        <v>356</v>
      </c>
      <c r="CR102" s="425">
        <f t="shared" si="268"/>
        <v>356</v>
      </c>
      <c r="CS102" s="425">
        <f t="shared" si="268"/>
        <v>356</v>
      </c>
      <c r="CT102" s="425">
        <f t="shared" si="268"/>
        <v>356</v>
      </c>
      <c r="CU102" s="425">
        <f t="shared" si="268"/>
        <v>356</v>
      </c>
      <c r="DJ102" s="380" t="s">
        <v>833</v>
      </c>
      <c r="DK102" s="425">
        <f t="shared" si="222"/>
        <v>183</v>
      </c>
      <c r="DL102" s="425">
        <f t="shared" ref="DL102:DS102" si="276">DK102</f>
        <v>183</v>
      </c>
      <c r="DM102" s="425">
        <f t="shared" si="276"/>
        <v>183</v>
      </c>
      <c r="DN102" s="425">
        <f t="shared" si="276"/>
        <v>183</v>
      </c>
      <c r="DO102" s="425">
        <f t="shared" si="276"/>
        <v>183</v>
      </c>
      <c r="DP102" s="425">
        <f t="shared" si="276"/>
        <v>183</v>
      </c>
      <c r="DQ102" s="425">
        <f t="shared" si="276"/>
        <v>183</v>
      </c>
      <c r="DR102" s="425">
        <f t="shared" si="276"/>
        <v>183</v>
      </c>
      <c r="DS102" s="425">
        <f t="shared" si="276"/>
        <v>183</v>
      </c>
      <c r="DU102" s="380" t="s">
        <v>833</v>
      </c>
      <c r="DV102" s="425">
        <f t="shared" si="221"/>
        <v>183</v>
      </c>
      <c r="DW102" s="425">
        <f t="shared" si="249"/>
        <v>183</v>
      </c>
      <c r="DX102" s="425">
        <f t="shared" si="250"/>
        <v>183</v>
      </c>
      <c r="DY102" s="425">
        <f t="shared" si="251"/>
        <v>183</v>
      </c>
      <c r="DZ102" s="425">
        <f t="shared" si="252"/>
        <v>183</v>
      </c>
      <c r="EA102" s="425">
        <f t="shared" si="253"/>
        <v>183</v>
      </c>
      <c r="EB102" s="425">
        <f t="shared" si="254"/>
        <v>183</v>
      </c>
      <c r="EC102" s="425">
        <f t="shared" si="255"/>
        <v>183</v>
      </c>
      <c r="ED102" s="425">
        <f t="shared" si="256"/>
        <v>183</v>
      </c>
      <c r="EE102" s="425">
        <f t="shared" si="257"/>
        <v>183</v>
      </c>
      <c r="EF102" s="425">
        <f t="shared" si="258"/>
        <v>183</v>
      </c>
      <c r="EG102" s="425">
        <f t="shared" si="259"/>
        <v>183</v>
      </c>
      <c r="EH102" s="425">
        <f t="shared" si="260"/>
        <v>183</v>
      </c>
      <c r="EI102" s="425">
        <f t="shared" si="261"/>
        <v>183</v>
      </c>
      <c r="EJ102" s="425">
        <f t="shared" si="262"/>
        <v>183</v>
      </c>
      <c r="EK102" s="425">
        <f t="shared" si="233"/>
        <v>183</v>
      </c>
      <c r="EL102" s="425">
        <f t="shared" si="234"/>
        <v>183</v>
      </c>
      <c r="EM102" s="425">
        <f t="shared" si="235"/>
        <v>183</v>
      </c>
      <c r="EN102" s="425">
        <f t="shared" si="236"/>
        <v>183</v>
      </c>
      <c r="EO102" s="425">
        <f t="shared" si="237"/>
        <v>183</v>
      </c>
      <c r="EP102" s="425">
        <f t="shared" si="238"/>
        <v>183</v>
      </c>
      <c r="EQ102" s="425">
        <f t="shared" si="239"/>
        <v>183</v>
      </c>
      <c r="ER102" s="425">
        <f t="shared" si="240"/>
        <v>183</v>
      </c>
      <c r="ES102" s="425">
        <f t="shared" si="241"/>
        <v>183</v>
      </c>
      <c r="ET102" s="425">
        <f t="shared" si="242"/>
        <v>183</v>
      </c>
      <c r="EU102" s="425">
        <f t="shared" si="243"/>
        <v>183</v>
      </c>
      <c r="EV102" s="425">
        <f t="shared" si="243"/>
        <v>183</v>
      </c>
      <c r="EW102" s="425">
        <f t="shared" si="244"/>
        <v>183</v>
      </c>
      <c r="EX102" s="425">
        <f t="shared" si="245"/>
        <v>183</v>
      </c>
      <c r="EY102" s="425">
        <f t="shared" si="246"/>
        <v>183</v>
      </c>
      <c r="EZ102" s="425">
        <f t="shared" si="247"/>
        <v>183</v>
      </c>
    </row>
    <row r="103" spans="42:156" x14ac:dyDescent="0.2">
      <c r="AP103" s="380" t="s">
        <v>728</v>
      </c>
      <c r="AQ103" s="406">
        <f t="shared" si="195"/>
        <v>185</v>
      </c>
      <c r="AR103" s="406">
        <f t="shared" si="195"/>
        <v>185</v>
      </c>
      <c r="AS103" s="380">
        <f t="shared" si="196"/>
        <v>185</v>
      </c>
      <c r="AT103" s="380">
        <f t="shared" si="197"/>
        <v>185</v>
      </c>
      <c r="AU103" s="380">
        <f t="shared" si="198"/>
        <v>185</v>
      </c>
      <c r="AV103" s="380">
        <f t="shared" si="199"/>
        <v>185</v>
      </c>
      <c r="AW103" s="380">
        <f t="shared" si="200"/>
        <v>185</v>
      </c>
      <c r="AX103" s="380">
        <f t="shared" si="201"/>
        <v>185</v>
      </c>
      <c r="AY103" s="380">
        <f t="shared" si="202"/>
        <v>185</v>
      </c>
      <c r="AZ103" s="380">
        <f t="shared" si="203"/>
        <v>185</v>
      </c>
      <c r="BA103" s="380">
        <f t="shared" si="204"/>
        <v>185</v>
      </c>
      <c r="BB103" s="380">
        <f t="shared" si="205"/>
        <v>185</v>
      </c>
      <c r="BC103" s="380">
        <f t="shared" si="206"/>
        <v>185</v>
      </c>
      <c r="BD103" s="407">
        <f t="shared" si="206"/>
        <v>185</v>
      </c>
      <c r="BG103" s="380" t="s">
        <v>728</v>
      </c>
      <c r="BH103" s="406">
        <f t="shared" si="207"/>
        <v>185</v>
      </c>
      <c r="BI103" s="406">
        <f t="shared" si="207"/>
        <v>185</v>
      </c>
      <c r="BJ103" s="380">
        <f t="shared" si="208"/>
        <v>185</v>
      </c>
      <c r="BK103" s="380">
        <f t="shared" si="209"/>
        <v>185</v>
      </c>
      <c r="BL103" s="380">
        <f t="shared" si="210"/>
        <v>185</v>
      </c>
      <c r="BM103" s="380">
        <f t="shared" si="211"/>
        <v>185</v>
      </c>
      <c r="BN103" s="380">
        <f t="shared" si="211"/>
        <v>185</v>
      </c>
      <c r="BO103" s="380">
        <f t="shared" si="212"/>
        <v>185</v>
      </c>
      <c r="BP103" s="380">
        <f t="shared" si="213"/>
        <v>185</v>
      </c>
      <c r="BQ103" s="380">
        <f t="shared" si="214"/>
        <v>185</v>
      </c>
      <c r="BR103" s="380">
        <f t="shared" si="215"/>
        <v>185</v>
      </c>
      <c r="BS103" s="380">
        <f t="shared" si="216"/>
        <v>185</v>
      </c>
      <c r="BT103" s="380">
        <f t="shared" si="216"/>
        <v>185</v>
      </c>
      <c r="BU103" s="380">
        <f t="shared" si="217"/>
        <v>185</v>
      </c>
      <c r="BV103" s="380">
        <f t="shared" si="218"/>
        <v>185</v>
      </c>
      <c r="BW103" s="380">
        <f t="shared" si="219"/>
        <v>185</v>
      </c>
      <c r="BX103" s="407">
        <f t="shared" si="191"/>
        <v>185</v>
      </c>
      <c r="CA103" s="448"/>
      <c r="CB103" s="425">
        <f>'A-50 FGRailInv'!$C$69</f>
        <v>0</v>
      </c>
      <c r="CC103" s="425" t="str">
        <f>Valid!$B$73</f>
        <v>Elevated/Retained Fill</v>
      </c>
      <c r="CD103" s="425">
        <f>CD101</f>
        <v>349</v>
      </c>
      <c r="CE103" s="446">
        <f t="shared" si="275"/>
        <v>359</v>
      </c>
      <c r="CF103" s="446">
        <f t="shared" si="192"/>
        <v>359</v>
      </c>
      <c r="CG103" s="425">
        <f t="shared" si="267"/>
        <v>359</v>
      </c>
      <c r="CH103" s="425">
        <f t="shared" si="267"/>
        <v>359</v>
      </c>
      <c r="CI103" s="425">
        <f t="shared" si="267"/>
        <v>359</v>
      </c>
      <c r="CJ103" s="425">
        <f t="shared" si="267"/>
        <v>359</v>
      </c>
      <c r="CK103" s="425">
        <f t="shared" si="267"/>
        <v>359</v>
      </c>
      <c r="CL103" s="425">
        <f t="shared" si="267"/>
        <v>359</v>
      </c>
      <c r="CM103" s="425">
        <f t="shared" si="267"/>
        <v>359</v>
      </c>
      <c r="CN103" s="425">
        <f t="shared" si="267"/>
        <v>359</v>
      </c>
      <c r="CO103" s="425">
        <f t="shared" si="267"/>
        <v>359</v>
      </c>
      <c r="CP103" s="425">
        <f t="shared" si="268"/>
        <v>359</v>
      </c>
      <c r="CQ103" s="425">
        <f t="shared" si="268"/>
        <v>359</v>
      </c>
      <c r="CR103" s="425">
        <f t="shared" si="268"/>
        <v>359</v>
      </c>
      <c r="CS103" s="425">
        <f t="shared" si="268"/>
        <v>359</v>
      </c>
      <c r="CT103" s="425">
        <f t="shared" si="268"/>
        <v>359</v>
      </c>
      <c r="CU103" s="425">
        <f t="shared" si="268"/>
        <v>359</v>
      </c>
      <c r="DJ103" s="380" t="s">
        <v>834</v>
      </c>
      <c r="DK103" s="425">
        <f t="shared" si="222"/>
        <v>185</v>
      </c>
      <c r="DL103" s="425">
        <f t="shared" ref="DL103:DS103" si="277">DK103</f>
        <v>185</v>
      </c>
      <c r="DM103" s="425">
        <f t="shared" si="277"/>
        <v>185</v>
      </c>
      <c r="DN103" s="425">
        <f t="shared" si="277"/>
        <v>185</v>
      </c>
      <c r="DO103" s="425">
        <f t="shared" si="277"/>
        <v>185</v>
      </c>
      <c r="DP103" s="425">
        <f t="shared" si="277"/>
        <v>185</v>
      </c>
      <c r="DQ103" s="425">
        <f t="shared" si="277"/>
        <v>185</v>
      </c>
      <c r="DR103" s="425">
        <f t="shared" si="277"/>
        <v>185</v>
      </c>
      <c r="DS103" s="425">
        <f t="shared" si="277"/>
        <v>185</v>
      </c>
      <c r="DU103" s="380" t="s">
        <v>834</v>
      </c>
      <c r="DV103" s="425">
        <f t="shared" si="221"/>
        <v>185</v>
      </c>
      <c r="DW103" s="425">
        <f t="shared" si="249"/>
        <v>185</v>
      </c>
      <c r="DX103" s="425">
        <f t="shared" si="250"/>
        <v>185</v>
      </c>
      <c r="DY103" s="425">
        <f t="shared" si="251"/>
        <v>185</v>
      </c>
      <c r="DZ103" s="425">
        <f t="shared" si="252"/>
        <v>185</v>
      </c>
      <c r="EA103" s="425">
        <f t="shared" si="253"/>
        <v>185</v>
      </c>
      <c r="EB103" s="425">
        <f t="shared" si="254"/>
        <v>185</v>
      </c>
      <c r="EC103" s="425">
        <f t="shared" si="255"/>
        <v>185</v>
      </c>
      <c r="ED103" s="425">
        <f t="shared" si="256"/>
        <v>185</v>
      </c>
      <c r="EE103" s="425">
        <f t="shared" si="257"/>
        <v>185</v>
      </c>
      <c r="EF103" s="425">
        <f t="shared" si="258"/>
        <v>185</v>
      </c>
      <c r="EG103" s="425">
        <f t="shared" si="259"/>
        <v>185</v>
      </c>
      <c r="EH103" s="425">
        <f t="shared" si="260"/>
        <v>185</v>
      </c>
      <c r="EI103" s="425">
        <f t="shared" si="261"/>
        <v>185</v>
      </c>
      <c r="EJ103" s="425">
        <f t="shared" si="262"/>
        <v>185</v>
      </c>
      <c r="EK103" s="425">
        <f t="shared" si="233"/>
        <v>185</v>
      </c>
      <c r="EL103" s="425">
        <f t="shared" si="234"/>
        <v>185</v>
      </c>
      <c r="EM103" s="425">
        <f t="shared" si="235"/>
        <v>185</v>
      </c>
      <c r="EN103" s="425">
        <f t="shared" si="236"/>
        <v>185</v>
      </c>
      <c r="EO103" s="425">
        <f t="shared" si="237"/>
        <v>185</v>
      </c>
      <c r="EP103" s="425">
        <f t="shared" si="238"/>
        <v>185</v>
      </c>
      <c r="EQ103" s="425">
        <f t="shared" si="239"/>
        <v>185</v>
      </c>
      <c r="ER103" s="425">
        <f t="shared" si="240"/>
        <v>185</v>
      </c>
      <c r="ES103" s="425">
        <f t="shared" si="241"/>
        <v>185</v>
      </c>
      <c r="ET103" s="425">
        <f t="shared" si="242"/>
        <v>185</v>
      </c>
      <c r="EU103" s="425">
        <f t="shared" si="243"/>
        <v>185</v>
      </c>
      <c r="EV103" s="425">
        <f t="shared" si="243"/>
        <v>185</v>
      </c>
      <c r="EW103" s="425">
        <f t="shared" si="244"/>
        <v>185</v>
      </c>
      <c r="EX103" s="425">
        <f t="shared" si="245"/>
        <v>185</v>
      </c>
      <c r="EY103" s="425">
        <f t="shared" si="246"/>
        <v>185</v>
      </c>
      <c r="EZ103" s="425">
        <f t="shared" si="247"/>
        <v>185</v>
      </c>
    </row>
    <row r="104" spans="42:156" x14ac:dyDescent="0.2">
      <c r="AP104" s="380" t="s">
        <v>729</v>
      </c>
      <c r="AQ104" s="406">
        <f t="shared" si="195"/>
        <v>187</v>
      </c>
      <c r="AR104" s="406">
        <f t="shared" si="195"/>
        <v>187</v>
      </c>
      <c r="AS104" s="380">
        <f t="shared" si="196"/>
        <v>187</v>
      </c>
      <c r="AT104" s="380">
        <f t="shared" si="197"/>
        <v>187</v>
      </c>
      <c r="AU104" s="380">
        <f t="shared" si="198"/>
        <v>187</v>
      </c>
      <c r="AV104" s="380">
        <f t="shared" si="199"/>
        <v>187</v>
      </c>
      <c r="AW104" s="380">
        <f t="shared" si="200"/>
        <v>187</v>
      </c>
      <c r="AX104" s="380">
        <f t="shared" si="201"/>
        <v>187</v>
      </c>
      <c r="AY104" s="380">
        <f t="shared" si="202"/>
        <v>187</v>
      </c>
      <c r="AZ104" s="380">
        <f t="shared" si="203"/>
        <v>187</v>
      </c>
      <c r="BA104" s="380">
        <f t="shared" si="204"/>
        <v>187</v>
      </c>
      <c r="BB104" s="380">
        <f t="shared" si="205"/>
        <v>187</v>
      </c>
      <c r="BC104" s="380">
        <f t="shared" si="206"/>
        <v>187</v>
      </c>
      <c r="BD104" s="407">
        <f t="shared" si="206"/>
        <v>187</v>
      </c>
      <c r="BG104" s="380" t="s">
        <v>729</v>
      </c>
      <c r="BH104" s="406">
        <f t="shared" si="207"/>
        <v>187</v>
      </c>
      <c r="BI104" s="406">
        <f t="shared" si="207"/>
        <v>187</v>
      </c>
      <c r="BJ104" s="380">
        <f t="shared" si="208"/>
        <v>187</v>
      </c>
      <c r="BK104" s="380">
        <f t="shared" si="209"/>
        <v>187</v>
      </c>
      <c r="BL104" s="380">
        <f t="shared" si="210"/>
        <v>187</v>
      </c>
      <c r="BM104" s="380">
        <f t="shared" si="211"/>
        <v>187</v>
      </c>
      <c r="BN104" s="380">
        <f t="shared" si="211"/>
        <v>187</v>
      </c>
      <c r="BO104" s="380">
        <f t="shared" si="212"/>
        <v>187</v>
      </c>
      <c r="BP104" s="380">
        <f t="shared" si="213"/>
        <v>187</v>
      </c>
      <c r="BQ104" s="380">
        <f t="shared" si="214"/>
        <v>187</v>
      </c>
      <c r="BR104" s="380">
        <f t="shared" si="215"/>
        <v>187</v>
      </c>
      <c r="BS104" s="380">
        <f t="shared" si="216"/>
        <v>187</v>
      </c>
      <c r="BT104" s="380">
        <f t="shared" si="216"/>
        <v>187</v>
      </c>
      <c r="BU104" s="380">
        <f t="shared" si="217"/>
        <v>187</v>
      </c>
      <c r="BV104" s="380">
        <f t="shared" si="218"/>
        <v>187</v>
      </c>
      <c r="BW104" s="380">
        <f t="shared" si="219"/>
        <v>187</v>
      </c>
      <c r="BX104" s="407">
        <f t="shared" si="191"/>
        <v>187</v>
      </c>
      <c r="CA104" s="448"/>
      <c r="CB104" s="425">
        <f>'A-50 FGRailInv'!$C$69</f>
        <v>0</v>
      </c>
      <c r="CC104" s="425" t="str">
        <f>Valid!$B$74</f>
        <v>Elevated/Concrete</v>
      </c>
      <c r="CD104" s="425">
        <f>CD101</f>
        <v>349</v>
      </c>
      <c r="CE104" s="446">
        <f t="shared" si="275"/>
        <v>362</v>
      </c>
      <c r="CF104" s="446">
        <f t="shared" si="192"/>
        <v>362</v>
      </c>
      <c r="CG104" s="425">
        <f t="shared" si="267"/>
        <v>362</v>
      </c>
      <c r="CH104" s="425">
        <f t="shared" si="267"/>
        <v>362</v>
      </c>
      <c r="CI104" s="425">
        <f t="shared" si="267"/>
        <v>362</v>
      </c>
      <c r="CJ104" s="425">
        <f t="shared" si="267"/>
        <v>362</v>
      </c>
      <c r="CK104" s="425">
        <f t="shared" si="267"/>
        <v>362</v>
      </c>
      <c r="CL104" s="425">
        <f t="shared" si="267"/>
        <v>362</v>
      </c>
      <c r="CM104" s="425">
        <f t="shared" si="267"/>
        <v>362</v>
      </c>
      <c r="CN104" s="425">
        <f t="shared" si="267"/>
        <v>362</v>
      </c>
      <c r="CO104" s="425">
        <f t="shared" si="267"/>
        <v>362</v>
      </c>
      <c r="CP104" s="425">
        <f t="shared" si="268"/>
        <v>362</v>
      </c>
      <c r="CQ104" s="425">
        <f t="shared" si="268"/>
        <v>362</v>
      </c>
      <c r="CR104" s="425">
        <f t="shared" si="268"/>
        <v>362</v>
      </c>
      <c r="CS104" s="425">
        <f t="shared" si="268"/>
        <v>362</v>
      </c>
      <c r="CT104" s="425">
        <f t="shared" si="268"/>
        <v>362</v>
      </c>
      <c r="CU104" s="425">
        <f t="shared" si="268"/>
        <v>362</v>
      </c>
      <c r="DJ104" s="380" t="s">
        <v>835</v>
      </c>
      <c r="DK104" s="425">
        <f t="shared" si="222"/>
        <v>187</v>
      </c>
      <c r="DL104" s="425">
        <f t="shared" ref="DL104:DS104" si="278">DK104</f>
        <v>187</v>
      </c>
      <c r="DM104" s="425">
        <f t="shared" si="278"/>
        <v>187</v>
      </c>
      <c r="DN104" s="425">
        <f t="shared" si="278"/>
        <v>187</v>
      </c>
      <c r="DO104" s="425">
        <f t="shared" si="278"/>
        <v>187</v>
      </c>
      <c r="DP104" s="425">
        <f t="shared" si="278"/>
        <v>187</v>
      </c>
      <c r="DQ104" s="425">
        <f t="shared" si="278"/>
        <v>187</v>
      </c>
      <c r="DR104" s="425">
        <f t="shared" si="278"/>
        <v>187</v>
      </c>
      <c r="DS104" s="425">
        <f t="shared" si="278"/>
        <v>187</v>
      </c>
      <c r="DU104" s="380" t="s">
        <v>835</v>
      </c>
      <c r="DV104" s="425">
        <f t="shared" si="221"/>
        <v>187</v>
      </c>
      <c r="DW104" s="425">
        <f t="shared" si="249"/>
        <v>187</v>
      </c>
      <c r="DX104" s="425">
        <f t="shared" si="250"/>
        <v>187</v>
      </c>
      <c r="DY104" s="425">
        <f t="shared" si="251"/>
        <v>187</v>
      </c>
      <c r="DZ104" s="425">
        <f t="shared" si="252"/>
        <v>187</v>
      </c>
      <c r="EA104" s="425">
        <f t="shared" si="253"/>
        <v>187</v>
      </c>
      <c r="EB104" s="425">
        <f t="shared" si="254"/>
        <v>187</v>
      </c>
      <c r="EC104" s="425">
        <f t="shared" si="255"/>
        <v>187</v>
      </c>
      <c r="ED104" s="425">
        <f t="shared" si="256"/>
        <v>187</v>
      </c>
      <c r="EE104" s="425">
        <f t="shared" si="257"/>
        <v>187</v>
      </c>
      <c r="EF104" s="425">
        <f t="shared" si="258"/>
        <v>187</v>
      </c>
      <c r="EG104" s="425">
        <f t="shared" si="259"/>
        <v>187</v>
      </c>
      <c r="EH104" s="425">
        <f t="shared" si="260"/>
        <v>187</v>
      </c>
      <c r="EI104" s="425">
        <f t="shared" si="261"/>
        <v>187</v>
      </c>
      <c r="EJ104" s="425">
        <f t="shared" si="262"/>
        <v>187</v>
      </c>
      <c r="EK104" s="425">
        <f t="shared" si="233"/>
        <v>187</v>
      </c>
      <c r="EL104" s="425">
        <f t="shared" si="234"/>
        <v>187</v>
      </c>
      <c r="EM104" s="425">
        <f t="shared" si="235"/>
        <v>187</v>
      </c>
      <c r="EN104" s="425">
        <f t="shared" si="236"/>
        <v>187</v>
      </c>
      <c r="EO104" s="425">
        <f t="shared" si="237"/>
        <v>187</v>
      </c>
      <c r="EP104" s="425">
        <f t="shared" si="238"/>
        <v>187</v>
      </c>
      <c r="EQ104" s="425">
        <f t="shared" si="239"/>
        <v>187</v>
      </c>
      <c r="ER104" s="425">
        <f t="shared" si="240"/>
        <v>187</v>
      </c>
      <c r="ES104" s="425">
        <f t="shared" si="241"/>
        <v>187</v>
      </c>
      <c r="ET104" s="425">
        <f t="shared" si="242"/>
        <v>187</v>
      </c>
      <c r="EU104" s="425">
        <f t="shared" si="243"/>
        <v>187</v>
      </c>
      <c r="EV104" s="425">
        <f t="shared" si="243"/>
        <v>187</v>
      </c>
      <c r="EW104" s="425">
        <f t="shared" si="244"/>
        <v>187</v>
      </c>
      <c r="EX104" s="425">
        <f t="shared" si="245"/>
        <v>187</v>
      </c>
      <c r="EY104" s="425">
        <f t="shared" si="246"/>
        <v>187</v>
      </c>
      <c r="EZ104" s="425">
        <f t="shared" si="247"/>
        <v>187</v>
      </c>
    </row>
    <row r="105" spans="42:156" x14ac:dyDescent="0.2">
      <c r="AP105" s="380" t="s">
        <v>730</v>
      </c>
      <c r="AQ105" s="406">
        <f t="shared" si="195"/>
        <v>189</v>
      </c>
      <c r="AR105" s="406">
        <f t="shared" si="195"/>
        <v>189</v>
      </c>
      <c r="AS105" s="380">
        <f t="shared" si="196"/>
        <v>189</v>
      </c>
      <c r="AT105" s="380">
        <f t="shared" si="197"/>
        <v>189</v>
      </c>
      <c r="AU105" s="380">
        <f t="shared" si="198"/>
        <v>189</v>
      </c>
      <c r="AV105" s="380">
        <f t="shared" si="199"/>
        <v>189</v>
      </c>
      <c r="AW105" s="380">
        <f t="shared" si="200"/>
        <v>189</v>
      </c>
      <c r="AX105" s="380">
        <f t="shared" si="201"/>
        <v>189</v>
      </c>
      <c r="AY105" s="380">
        <f t="shared" si="202"/>
        <v>189</v>
      </c>
      <c r="AZ105" s="380">
        <f t="shared" si="203"/>
        <v>189</v>
      </c>
      <c r="BA105" s="380">
        <f t="shared" si="204"/>
        <v>189</v>
      </c>
      <c r="BB105" s="380">
        <f t="shared" si="205"/>
        <v>189</v>
      </c>
      <c r="BC105" s="380">
        <f t="shared" si="206"/>
        <v>189</v>
      </c>
      <c r="BD105" s="407">
        <f t="shared" si="206"/>
        <v>189</v>
      </c>
      <c r="BG105" s="380" t="s">
        <v>730</v>
      </c>
      <c r="BH105" s="406">
        <f t="shared" si="207"/>
        <v>189</v>
      </c>
      <c r="BI105" s="406">
        <f t="shared" si="207"/>
        <v>189</v>
      </c>
      <c r="BJ105" s="380">
        <f t="shared" si="208"/>
        <v>189</v>
      </c>
      <c r="BK105" s="380">
        <f t="shared" si="209"/>
        <v>189</v>
      </c>
      <c r="BL105" s="380">
        <f t="shared" si="210"/>
        <v>189</v>
      </c>
      <c r="BM105" s="380">
        <f t="shared" si="211"/>
        <v>189</v>
      </c>
      <c r="BN105" s="380">
        <f t="shared" si="211"/>
        <v>189</v>
      </c>
      <c r="BO105" s="380">
        <f t="shared" si="212"/>
        <v>189</v>
      </c>
      <c r="BP105" s="380">
        <f t="shared" si="213"/>
        <v>189</v>
      </c>
      <c r="BQ105" s="380">
        <f t="shared" si="214"/>
        <v>189</v>
      </c>
      <c r="BR105" s="380">
        <f t="shared" si="215"/>
        <v>189</v>
      </c>
      <c r="BS105" s="380">
        <f t="shared" si="216"/>
        <v>189</v>
      </c>
      <c r="BT105" s="380">
        <f t="shared" si="216"/>
        <v>189</v>
      </c>
      <c r="BU105" s="380">
        <f t="shared" si="217"/>
        <v>189</v>
      </c>
      <c r="BV105" s="380">
        <f t="shared" si="218"/>
        <v>189</v>
      </c>
      <c r="BW105" s="380">
        <f t="shared" si="219"/>
        <v>189</v>
      </c>
      <c r="BX105" s="407">
        <f t="shared" si="191"/>
        <v>189</v>
      </c>
      <c r="CA105" s="448"/>
      <c r="CB105" s="425">
        <f>'A-50 FGRailInv'!$C$69</f>
        <v>0</v>
      </c>
      <c r="CC105" s="425" t="str">
        <f>Valid!$B$75</f>
        <v>Elevated/Steel Viaduct or Bridge</v>
      </c>
      <c r="CD105" s="425">
        <f>CD101</f>
        <v>349</v>
      </c>
      <c r="CE105" s="446">
        <f t="shared" si="275"/>
        <v>365</v>
      </c>
      <c r="CF105" s="446">
        <f t="shared" si="192"/>
        <v>365</v>
      </c>
      <c r="CG105" s="425">
        <f t="shared" si="267"/>
        <v>365</v>
      </c>
      <c r="CH105" s="425">
        <f t="shared" si="267"/>
        <v>365</v>
      </c>
      <c r="CI105" s="425">
        <f t="shared" si="267"/>
        <v>365</v>
      </c>
      <c r="CJ105" s="425">
        <f t="shared" si="267"/>
        <v>365</v>
      </c>
      <c r="CK105" s="425">
        <f t="shared" si="267"/>
        <v>365</v>
      </c>
      <c r="CL105" s="425">
        <f t="shared" si="267"/>
        <v>365</v>
      </c>
      <c r="CM105" s="425">
        <f t="shared" si="267"/>
        <v>365</v>
      </c>
      <c r="CN105" s="425">
        <f t="shared" si="267"/>
        <v>365</v>
      </c>
      <c r="CO105" s="425">
        <f t="shared" si="267"/>
        <v>365</v>
      </c>
      <c r="CP105" s="425">
        <f t="shared" si="268"/>
        <v>365</v>
      </c>
      <c r="CQ105" s="425">
        <f t="shared" si="268"/>
        <v>365</v>
      </c>
      <c r="CR105" s="425">
        <f t="shared" si="268"/>
        <v>365</v>
      </c>
      <c r="CS105" s="425">
        <f t="shared" si="268"/>
        <v>365</v>
      </c>
      <c r="CT105" s="425">
        <f t="shared" si="268"/>
        <v>365</v>
      </c>
      <c r="CU105" s="425">
        <f t="shared" si="268"/>
        <v>365</v>
      </c>
      <c r="DJ105" s="380" t="s">
        <v>836</v>
      </c>
      <c r="DK105" s="425">
        <f t="shared" si="222"/>
        <v>189</v>
      </c>
      <c r="DL105" s="425">
        <f t="shared" ref="DL105:DS105" si="279">DK105</f>
        <v>189</v>
      </c>
      <c r="DM105" s="425">
        <f t="shared" si="279"/>
        <v>189</v>
      </c>
      <c r="DN105" s="425">
        <f t="shared" si="279"/>
        <v>189</v>
      </c>
      <c r="DO105" s="425">
        <f t="shared" si="279"/>
        <v>189</v>
      </c>
      <c r="DP105" s="425">
        <f t="shared" si="279"/>
        <v>189</v>
      </c>
      <c r="DQ105" s="425">
        <f t="shared" si="279"/>
        <v>189</v>
      </c>
      <c r="DR105" s="425">
        <f t="shared" si="279"/>
        <v>189</v>
      </c>
      <c r="DS105" s="425">
        <f t="shared" si="279"/>
        <v>189</v>
      </c>
      <c r="DU105" s="380" t="s">
        <v>836</v>
      </c>
      <c r="DV105" s="425">
        <f t="shared" si="221"/>
        <v>189</v>
      </c>
      <c r="DW105" s="425">
        <f t="shared" si="249"/>
        <v>189</v>
      </c>
      <c r="DX105" s="425">
        <f t="shared" si="250"/>
        <v>189</v>
      </c>
      <c r="DY105" s="425">
        <f t="shared" si="251"/>
        <v>189</v>
      </c>
      <c r="DZ105" s="425">
        <f t="shared" si="252"/>
        <v>189</v>
      </c>
      <c r="EA105" s="425">
        <f t="shared" si="253"/>
        <v>189</v>
      </c>
      <c r="EB105" s="425">
        <f t="shared" si="254"/>
        <v>189</v>
      </c>
      <c r="EC105" s="425">
        <f t="shared" si="255"/>
        <v>189</v>
      </c>
      <c r="ED105" s="425">
        <f t="shared" si="256"/>
        <v>189</v>
      </c>
      <c r="EE105" s="425">
        <f t="shared" si="257"/>
        <v>189</v>
      </c>
      <c r="EF105" s="425">
        <f t="shared" si="258"/>
        <v>189</v>
      </c>
      <c r="EG105" s="425">
        <f t="shared" si="259"/>
        <v>189</v>
      </c>
      <c r="EH105" s="425">
        <f t="shared" si="260"/>
        <v>189</v>
      </c>
      <c r="EI105" s="425">
        <f t="shared" si="261"/>
        <v>189</v>
      </c>
      <c r="EJ105" s="425">
        <f t="shared" si="262"/>
        <v>189</v>
      </c>
      <c r="EK105" s="425">
        <f t="shared" si="233"/>
        <v>189</v>
      </c>
      <c r="EL105" s="425">
        <f t="shared" si="234"/>
        <v>189</v>
      </c>
      <c r="EM105" s="425">
        <f t="shared" si="235"/>
        <v>189</v>
      </c>
      <c r="EN105" s="425">
        <f t="shared" si="236"/>
        <v>189</v>
      </c>
      <c r="EO105" s="425">
        <f t="shared" si="237"/>
        <v>189</v>
      </c>
      <c r="EP105" s="425">
        <f t="shared" si="238"/>
        <v>189</v>
      </c>
      <c r="EQ105" s="425">
        <f t="shared" si="239"/>
        <v>189</v>
      </c>
      <c r="ER105" s="425">
        <f t="shared" si="240"/>
        <v>189</v>
      </c>
      <c r="ES105" s="425">
        <f t="shared" si="241"/>
        <v>189</v>
      </c>
      <c r="ET105" s="425">
        <f t="shared" si="242"/>
        <v>189</v>
      </c>
      <c r="EU105" s="425">
        <f t="shared" si="243"/>
        <v>189</v>
      </c>
      <c r="EV105" s="425">
        <f t="shared" si="243"/>
        <v>189</v>
      </c>
      <c r="EW105" s="425">
        <f t="shared" si="244"/>
        <v>189</v>
      </c>
      <c r="EX105" s="425">
        <f t="shared" si="245"/>
        <v>189</v>
      </c>
      <c r="EY105" s="425">
        <f t="shared" si="246"/>
        <v>189</v>
      </c>
      <c r="EZ105" s="425">
        <f t="shared" si="247"/>
        <v>189</v>
      </c>
    </row>
    <row r="106" spans="42:156" x14ac:dyDescent="0.2">
      <c r="AP106" s="380" t="s">
        <v>731</v>
      </c>
      <c r="AQ106" s="406">
        <f t="shared" si="195"/>
        <v>191</v>
      </c>
      <c r="AR106" s="406">
        <f t="shared" si="195"/>
        <v>191</v>
      </c>
      <c r="AS106" s="380">
        <f t="shared" si="196"/>
        <v>191</v>
      </c>
      <c r="AT106" s="380">
        <f t="shared" si="197"/>
        <v>191</v>
      </c>
      <c r="AU106" s="380">
        <f t="shared" si="198"/>
        <v>191</v>
      </c>
      <c r="AV106" s="380">
        <f t="shared" si="199"/>
        <v>191</v>
      </c>
      <c r="AW106" s="380">
        <f t="shared" si="200"/>
        <v>191</v>
      </c>
      <c r="AX106" s="380">
        <f t="shared" si="201"/>
        <v>191</v>
      </c>
      <c r="AY106" s="380">
        <f t="shared" si="202"/>
        <v>191</v>
      </c>
      <c r="AZ106" s="380">
        <f t="shared" si="203"/>
        <v>191</v>
      </c>
      <c r="BA106" s="380">
        <f t="shared" si="204"/>
        <v>191</v>
      </c>
      <c r="BB106" s="380">
        <f t="shared" si="205"/>
        <v>191</v>
      </c>
      <c r="BC106" s="380">
        <f t="shared" si="206"/>
        <v>191</v>
      </c>
      <c r="BD106" s="407">
        <f t="shared" si="206"/>
        <v>191</v>
      </c>
      <c r="BG106" s="380" t="s">
        <v>731</v>
      </c>
      <c r="BH106" s="406">
        <f t="shared" si="207"/>
        <v>191</v>
      </c>
      <c r="BI106" s="406">
        <f t="shared" si="207"/>
        <v>191</v>
      </c>
      <c r="BJ106" s="380">
        <f t="shared" si="208"/>
        <v>191</v>
      </c>
      <c r="BK106" s="380">
        <f t="shared" si="209"/>
        <v>191</v>
      </c>
      <c r="BL106" s="380">
        <f t="shared" si="210"/>
        <v>191</v>
      </c>
      <c r="BM106" s="380">
        <f t="shared" si="211"/>
        <v>191</v>
      </c>
      <c r="BN106" s="380">
        <f t="shared" si="211"/>
        <v>191</v>
      </c>
      <c r="BO106" s="380">
        <f t="shared" si="212"/>
        <v>191</v>
      </c>
      <c r="BP106" s="380">
        <f t="shared" si="213"/>
        <v>191</v>
      </c>
      <c r="BQ106" s="380">
        <f t="shared" si="214"/>
        <v>191</v>
      </c>
      <c r="BR106" s="380">
        <f t="shared" si="215"/>
        <v>191</v>
      </c>
      <c r="BS106" s="380">
        <f t="shared" si="216"/>
        <v>191</v>
      </c>
      <c r="BT106" s="380">
        <f t="shared" si="216"/>
        <v>191</v>
      </c>
      <c r="BU106" s="380">
        <f t="shared" si="217"/>
        <v>191</v>
      </c>
      <c r="BV106" s="380">
        <f t="shared" si="218"/>
        <v>191</v>
      </c>
      <c r="BW106" s="380">
        <f t="shared" si="219"/>
        <v>191</v>
      </c>
      <c r="BX106" s="407">
        <f t="shared" si="191"/>
        <v>191</v>
      </c>
      <c r="CA106" s="448"/>
      <c r="CB106" s="425">
        <f>'A-50 FGRailInv'!$C$69</f>
        <v>0</v>
      </c>
      <c r="CC106" s="425" t="str">
        <f>Valid!$B$76</f>
        <v>Below-Grade/Retained Cut</v>
      </c>
      <c r="CD106" s="425">
        <f>CD101</f>
        <v>349</v>
      </c>
      <c r="CE106" s="1199">
        <f t="shared" si="275"/>
        <v>368</v>
      </c>
      <c r="CF106" s="446">
        <f t="shared" si="192"/>
        <v>368</v>
      </c>
      <c r="CG106" s="425">
        <f t="shared" ref="CG106:CO115" si="280">$CE106</f>
        <v>368</v>
      </c>
      <c r="CH106" s="425">
        <f t="shared" si="280"/>
        <v>368</v>
      </c>
      <c r="CI106" s="425">
        <f t="shared" si="280"/>
        <v>368</v>
      </c>
      <c r="CJ106" s="425">
        <f t="shared" si="280"/>
        <v>368</v>
      </c>
      <c r="CK106" s="425">
        <f t="shared" si="280"/>
        <v>368</v>
      </c>
      <c r="CL106" s="425">
        <f t="shared" si="280"/>
        <v>368</v>
      </c>
      <c r="CM106" s="425">
        <f t="shared" si="280"/>
        <v>368</v>
      </c>
      <c r="CN106" s="425">
        <f t="shared" si="280"/>
        <v>368</v>
      </c>
      <c r="CO106" s="425">
        <f t="shared" si="280"/>
        <v>368</v>
      </c>
      <c r="CP106" s="425">
        <f t="shared" ref="CP106:CU115" si="281">$CE106</f>
        <v>368</v>
      </c>
      <c r="CQ106" s="425">
        <f t="shared" si="281"/>
        <v>368</v>
      </c>
      <c r="CR106" s="425">
        <f t="shared" si="281"/>
        <v>368</v>
      </c>
      <c r="CS106" s="425">
        <f t="shared" si="281"/>
        <v>368</v>
      </c>
      <c r="CT106" s="425">
        <f t="shared" si="281"/>
        <v>368</v>
      </c>
      <c r="CU106" s="425">
        <f t="shared" si="281"/>
        <v>368</v>
      </c>
      <c r="DJ106" s="380" t="s">
        <v>837</v>
      </c>
      <c r="DK106" s="425">
        <f t="shared" si="222"/>
        <v>191</v>
      </c>
      <c r="DL106" s="425">
        <f t="shared" ref="DL106:DS106" si="282">DK106</f>
        <v>191</v>
      </c>
      <c r="DM106" s="425">
        <f t="shared" si="282"/>
        <v>191</v>
      </c>
      <c r="DN106" s="425">
        <f t="shared" si="282"/>
        <v>191</v>
      </c>
      <c r="DO106" s="425">
        <f t="shared" si="282"/>
        <v>191</v>
      </c>
      <c r="DP106" s="425">
        <f t="shared" si="282"/>
        <v>191</v>
      </c>
      <c r="DQ106" s="425">
        <f t="shared" si="282"/>
        <v>191</v>
      </c>
      <c r="DR106" s="425">
        <f t="shared" si="282"/>
        <v>191</v>
      </c>
      <c r="DS106" s="425">
        <f t="shared" si="282"/>
        <v>191</v>
      </c>
      <c r="DU106" s="380" t="s">
        <v>837</v>
      </c>
      <c r="DV106" s="425">
        <f t="shared" si="221"/>
        <v>191</v>
      </c>
      <c r="DW106" s="425">
        <f t="shared" si="249"/>
        <v>191</v>
      </c>
      <c r="DX106" s="425">
        <f t="shared" si="250"/>
        <v>191</v>
      </c>
      <c r="DY106" s="425">
        <f t="shared" si="251"/>
        <v>191</v>
      </c>
      <c r="DZ106" s="425">
        <f t="shared" si="252"/>
        <v>191</v>
      </c>
      <c r="EA106" s="425">
        <f t="shared" si="253"/>
        <v>191</v>
      </c>
      <c r="EB106" s="425">
        <f t="shared" si="254"/>
        <v>191</v>
      </c>
      <c r="EC106" s="425">
        <f t="shared" si="255"/>
        <v>191</v>
      </c>
      <c r="ED106" s="425">
        <f t="shared" si="256"/>
        <v>191</v>
      </c>
      <c r="EE106" s="425">
        <f t="shared" si="257"/>
        <v>191</v>
      </c>
      <c r="EF106" s="425">
        <f t="shared" si="258"/>
        <v>191</v>
      </c>
      <c r="EG106" s="425">
        <f t="shared" si="259"/>
        <v>191</v>
      </c>
      <c r="EH106" s="425">
        <f t="shared" si="260"/>
        <v>191</v>
      </c>
      <c r="EI106" s="425">
        <f t="shared" si="261"/>
        <v>191</v>
      </c>
      <c r="EJ106" s="425">
        <f t="shared" si="262"/>
        <v>191</v>
      </c>
      <c r="EK106" s="425">
        <f t="shared" si="233"/>
        <v>191</v>
      </c>
      <c r="EL106" s="425">
        <f t="shared" si="234"/>
        <v>191</v>
      </c>
      <c r="EM106" s="425">
        <f t="shared" si="235"/>
        <v>191</v>
      </c>
      <c r="EN106" s="425">
        <f t="shared" si="236"/>
        <v>191</v>
      </c>
      <c r="EO106" s="425">
        <f t="shared" si="237"/>
        <v>191</v>
      </c>
      <c r="EP106" s="425">
        <f t="shared" si="238"/>
        <v>191</v>
      </c>
      <c r="EQ106" s="425">
        <f t="shared" si="239"/>
        <v>191</v>
      </c>
      <c r="ER106" s="425">
        <f t="shared" si="240"/>
        <v>191</v>
      </c>
      <c r="ES106" s="425">
        <f t="shared" si="241"/>
        <v>191</v>
      </c>
      <c r="ET106" s="425">
        <f t="shared" si="242"/>
        <v>191</v>
      </c>
      <c r="EU106" s="425">
        <f t="shared" si="243"/>
        <v>191</v>
      </c>
      <c r="EV106" s="425">
        <f t="shared" si="243"/>
        <v>191</v>
      </c>
      <c r="EW106" s="425">
        <f t="shared" si="244"/>
        <v>191</v>
      </c>
      <c r="EX106" s="425">
        <f t="shared" si="245"/>
        <v>191</v>
      </c>
      <c r="EY106" s="425">
        <f t="shared" si="246"/>
        <v>191</v>
      </c>
      <c r="EZ106" s="425">
        <f t="shared" si="247"/>
        <v>191</v>
      </c>
    </row>
    <row r="107" spans="42:156" x14ac:dyDescent="0.2">
      <c r="AP107" s="380" t="s">
        <v>732</v>
      </c>
      <c r="AQ107" s="406">
        <f t="shared" si="195"/>
        <v>193</v>
      </c>
      <c r="AR107" s="406">
        <f t="shared" si="195"/>
        <v>193</v>
      </c>
      <c r="AS107" s="380">
        <f t="shared" si="196"/>
        <v>193</v>
      </c>
      <c r="AT107" s="380">
        <f t="shared" si="197"/>
        <v>193</v>
      </c>
      <c r="AU107" s="380">
        <f t="shared" si="198"/>
        <v>193</v>
      </c>
      <c r="AV107" s="380">
        <f t="shared" si="199"/>
        <v>193</v>
      </c>
      <c r="AW107" s="380">
        <f t="shared" si="200"/>
        <v>193</v>
      </c>
      <c r="AX107" s="380">
        <f t="shared" si="201"/>
        <v>193</v>
      </c>
      <c r="AY107" s="380">
        <f t="shared" si="202"/>
        <v>193</v>
      </c>
      <c r="AZ107" s="380">
        <f t="shared" si="203"/>
        <v>193</v>
      </c>
      <c r="BA107" s="380">
        <f t="shared" si="204"/>
        <v>193</v>
      </c>
      <c r="BB107" s="380">
        <f t="shared" si="205"/>
        <v>193</v>
      </c>
      <c r="BC107" s="380">
        <f t="shared" si="206"/>
        <v>193</v>
      </c>
      <c r="BD107" s="407">
        <f t="shared" si="206"/>
        <v>193</v>
      </c>
      <c r="BG107" s="380" t="s">
        <v>732</v>
      </c>
      <c r="BH107" s="406">
        <f t="shared" si="207"/>
        <v>193</v>
      </c>
      <c r="BI107" s="406">
        <f t="shared" si="207"/>
        <v>193</v>
      </c>
      <c r="BJ107" s="380">
        <f t="shared" si="208"/>
        <v>193</v>
      </c>
      <c r="BK107" s="380">
        <f t="shared" si="209"/>
        <v>193</v>
      </c>
      <c r="BL107" s="380">
        <f t="shared" si="210"/>
        <v>193</v>
      </c>
      <c r="BM107" s="380">
        <f t="shared" si="211"/>
        <v>193</v>
      </c>
      <c r="BN107" s="380">
        <f t="shared" si="211"/>
        <v>193</v>
      </c>
      <c r="BO107" s="380">
        <f t="shared" si="212"/>
        <v>193</v>
      </c>
      <c r="BP107" s="380">
        <f t="shared" si="213"/>
        <v>193</v>
      </c>
      <c r="BQ107" s="380">
        <f t="shared" si="214"/>
        <v>193</v>
      </c>
      <c r="BR107" s="380">
        <f t="shared" si="215"/>
        <v>193</v>
      </c>
      <c r="BS107" s="380">
        <f t="shared" si="216"/>
        <v>193</v>
      </c>
      <c r="BT107" s="380">
        <f t="shared" si="216"/>
        <v>193</v>
      </c>
      <c r="BU107" s="380">
        <f t="shared" si="217"/>
        <v>193</v>
      </c>
      <c r="BV107" s="380">
        <f t="shared" si="218"/>
        <v>193</v>
      </c>
      <c r="BW107" s="380">
        <f t="shared" si="219"/>
        <v>193</v>
      </c>
      <c r="BX107" s="407">
        <f t="shared" si="191"/>
        <v>193</v>
      </c>
      <c r="CA107" s="448"/>
      <c r="CB107" s="425">
        <f>'A-50 FGRailInv'!$C$69</f>
        <v>0</v>
      </c>
      <c r="CC107" s="425" t="str">
        <f>Valid!$B$77</f>
        <v>Below-Grade/Cut-and-Cover Tunnel</v>
      </c>
      <c r="CD107" s="425">
        <f>CD101</f>
        <v>349</v>
      </c>
      <c r="CE107" s="446">
        <f t="shared" si="275"/>
        <v>371</v>
      </c>
      <c r="CF107" s="446">
        <f t="shared" si="192"/>
        <v>371</v>
      </c>
      <c r="CG107" s="425">
        <f t="shared" si="280"/>
        <v>371</v>
      </c>
      <c r="CH107" s="425">
        <f t="shared" si="280"/>
        <v>371</v>
      </c>
      <c r="CI107" s="425">
        <f t="shared" si="280"/>
        <v>371</v>
      </c>
      <c r="CJ107" s="425">
        <f t="shared" si="280"/>
        <v>371</v>
      </c>
      <c r="CK107" s="425">
        <f t="shared" si="280"/>
        <v>371</v>
      </c>
      <c r="CL107" s="425">
        <f t="shared" si="280"/>
        <v>371</v>
      </c>
      <c r="CM107" s="425">
        <f t="shared" si="280"/>
        <v>371</v>
      </c>
      <c r="CN107" s="425">
        <f t="shared" si="280"/>
        <v>371</v>
      </c>
      <c r="CO107" s="425">
        <f t="shared" si="280"/>
        <v>371</v>
      </c>
      <c r="CP107" s="425">
        <f t="shared" si="281"/>
        <v>371</v>
      </c>
      <c r="CQ107" s="425">
        <f t="shared" si="281"/>
        <v>371</v>
      </c>
      <c r="CR107" s="425">
        <f t="shared" si="281"/>
        <v>371</v>
      </c>
      <c r="CS107" s="425">
        <f t="shared" si="281"/>
        <v>371</v>
      </c>
      <c r="CT107" s="425">
        <f t="shared" si="281"/>
        <v>371</v>
      </c>
      <c r="CU107" s="425">
        <f t="shared" si="281"/>
        <v>371</v>
      </c>
      <c r="DJ107" s="380" t="s">
        <v>838</v>
      </c>
      <c r="DK107" s="425">
        <f t="shared" si="222"/>
        <v>193</v>
      </c>
      <c r="DL107" s="425">
        <f t="shared" ref="DL107:DS107" si="283">DK107</f>
        <v>193</v>
      </c>
      <c r="DM107" s="425">
        <f t="shared" si="283"/>
        <v>193</v>
      </c>
      <c r="DN107" s="425">
        <f t="shared" si="283"/>
        <v>193</v>
      </c>
      <c r="DO107" s="425">
        <f t="shared" si="283"/>
        <v>193</v>
      </c>
      <c r="DP107" s="425">
        <f t="shared" si="283"/>
        <v>193</v>
      </c>
      <c r="DQ107" s="425">
        <f t="shared" si="283"/>
        <v>193</v>
      </c>
      <c r="DR107" s="425">
        <f t="shared" si="283"/>
        <v>193</v>
      </c>
      <c r="DS107" s="425">
        <f t="shared" si="283"/>
        <v>193</v>
      </c>
      <c r="DU107" s="380" t="s">
        <v>838</v>
      </c>
      <c r="DV107" s="425">
        <f t="shared" si="221"/>
        <v>193</v>
      </c>
      <c r="DW107" s="425">
        <f t="shared" si="249"/>
        <v>193</v>
      </c>
      <c r="DX107" s="425">
        <f t="shared" si="250"/>
        <v>193</v>
      </c>
      <c r="DY107" s="425">
        <f t="shared" si="251"/>
        <v>193</v>
      </c>
      <c r="DZ107" s="425">
        <f t="shared" si="252"/>
        <v>193</v>
      </c>
      <c r="EA107" s="425">
        <f t="shared" si="253"/>
        <v>193</v>
      </c>
      <c r="EB107" s="425">
        <f t="shared" si="254"/>
        <v>193</v>
      </c>
      <c r="EC107" s="425">
        <f t="shared" si="255"/>
        <v>193</v>
      </c>
      <c r="ED107" s="425">
        <f t="shared" si="256"/>
        <v>193</v>
      </c>
      <c r="EE107" s="425">
        <f t="shared" si="257"/>
        <v>193</v>
      </c>
      <c r="EF107" s="425">
        <f t="shared" si="258"/>
        <v>193</v>
      </c>
      <c r="EG107" s="425">
        <f t="shared" si="259"/>
        <v>193</v>
      </c>
      <c r="EH107" s="425">
        <f t="shared" si="260"/>
        <v>193</v>
      </c>
      <c r="EI107" s="425">
        <f t="shared" si="261"/>
        <v>193</v>
      </c>
      <c r="EJ107" s="425">
        <f t="shared" si="262"/>
        <v>193</v>
      </c>
      <c r="EK107" s="425">
        <f t="shared" si="233"/>
        <v>193</v>
      </c>
      <c r="EL107" s="425">
        <f t="shared" si="234"/>
        <v>193</v>
      </c>
      <c r="EM107" s="425">
        <f t="shared" si="235"/>
        <v>193</v>
      </c>
      <c r="EN107" s="425">
        <f t="shared" si="236"/>
        <v>193</v>
      </c>
      <c r="EO107" s="425">
        <f t="shared" si="237"/>
        <v>193</v>
      </c>
      <c r="EP107" s="425">
        <f t="shared" si="238"/>
        <v>193</v>
      </c>
      <c r="EQ107" s="425">
        <f t="shared" si="239"/>
        <v>193</v>
      </c>
      <c r="ER107" s="425">
        <f t="shared" si="240"/>
        <v>193</v>
      </c>
      <c r="ES107" s="425">
        <f t="shared" si="241"/>
        <v>193</v>
      </c>
      <c r="ET107" s="425">
        <f t="shared" si="242"/>
        <v>193</v>
      </c>
      <c r="EU107" s="425">
        <f t="shared" si="243"/>
        <v>193</v>
      </c>
      <c r="EV107" s="425">
        <f t="shared" si="243"/>
        <v>193</v>
      </c>
      <c r="EW107" s="425">
        <f t="shared" si="244"/>
        <v>193</v>
      </c>
      <c r="EX107" s="425">
        <f t="shared" si="245"/>
        <v>193</v>
      </c>
      <c r="EY107" s="425">
        <f t="shared" si="246"/>
        <v>193</v>
      </c>
      <c r="EZ107" s="425">
        <f t="shared" si="247"/>
        <v>193</v>
      </c>
    </row>
    <row r="108" spans="42:156" x14ac:dyDescent="0.2">
      <c r="AP108" s="380" t="s">
        <v>733</v>
      </c>
      <c r="AQ108" s="406">
        <f t="shared" si="195"/>
        <v>195</v>
      </c>
      <c r="AR108" s="406">
        <f t="shared" si="195"/>
        <v>195</v>
      </c>
      <c r="AS108" s="380">
        <f t="shared" si="196"/>
        <v>195</v>
      </c>
      <c r="AT108" s="380">
        <f t="shared" si="197"/>
        <v>195</v>
      </c>
      <c r="AU108" s="380">
        <f t="shared" si="198"/>
        <v>195</v>
      </c>
      <c r="AV108" s="380">
        <f t="shared" si="199"/>
        <v>195</v>
      </c>
      <c r="AW108" s="380">
        <f t="shared" si="200"/>
        <v>195</v>
      </c>
      <c r="AX108" s="380">
        <f t="shared" si="201"/>
        <v>195</v>
      </c>
      <c r="AY108" s="380">
        <f t="shared" si="202"/>
        <v>195</v>
      </c>
      <c r="AZ108" s="380">
        <f t="shared" si="203"/>
        <v>195</v>
      </c>
      <c r="BA108" s="380">
        <f t="shared" si="204"/>
        <v>195</v>
      </c>
      <c r="BB108" s="380">
        <f t="shared" si="205"/>
        <v>195</v>
      </c>
      <c r="BC108" s="380">
        <f t="shared" si="206"/>
        <v>195</v>
      </c>
      <c r="BD108" s="407">
        <f t="shared" si="206"/>
        <v>195</v>
      </c>
      <c r="BG108" s="380" t="s">
        <v>733</v>
      </c>
      <c r="BH108" s="406">
        <f t="shared" si="207"/>
        <v>195</v>
      </c>
      <c r="BI108" s="406">
        <f t="shared" si="207"/>
        <v>195</v>
      </c>
      <c r="BJ108" s="380">
        <f t="shared" si="208"/>
        <v>195</v>
      </c>
      <c r="BK108" s="380">
        <f t="shared" si="209"/>
        <v>195</v>
      </c>
      <c r="BL108" s="380">
        <f t="shared" si="210"/>
        <v>195</v>
      </c>
      <c r="BM108" s="380">
        <f t="shared" si="211"/>
        <v>195</v>
      </c>
      <c r="BN108" s="380">
        <f t="shared" si="211"/>
        <v>195</v>
      </c>
      <c r="BO108" s="380">
        <f t="shared" si="212"/>
        <v>195</v>
      </c>
      <c r="BP108" s="380">
        <f t="shared" si="213"/>
        <v>195</v>
      </c>
      <c r="BQ108" s="380">
        <f t="shared" si="214"/>
        <v>195</v>
      </c>
      <c r="BR108" s="380">
        <f t="shared" si="215"/>
        <v>195</v>
      </c>
      <c r="BS108" s="380">
        <f t="shared" si="216"/>
        <v>195</v>
      </c>
      <c r="BT108" s="380">
        <f t="shared" si="216"/>
        <v>195</v>
      </c>
      <c r="BU108" s="380">
        <f t="shared" si="217"/>
        <v>195</v>
      </c>
      <c r="BV108" s="380">
        <f t="shared" si="218"/>
        <v>195</v>
      </c>
      <c r="BW108" s="380">
        <f t="shared" si="219"/>
        <v>195</v>
      </c>
      <c r="BX108" s="407">
        <f t="shared" si="191"/>
        <v>195</v>
      </c>
      <c r="CA108" s="448"/>
      <c r="CB108" s="425">
        <f>'A-50 FGRailInv'!$C$69</f>
        <v>0</v>
      </c>
      <c r="CC108" s="425" t="str">
        <f>Valid!$B$78</f>
        <v>Below-Grade/Bored or Blasted Tunnel</v>
      </c>
      <c r="CD108" s="425">
        <f>CD101</f>
        <v>349</v>
      </c>
      <c r="CE108" s="446">
        <f t="shared" si="275"/>
        <v>374</v>
      </c>
      <c r="CF108" s="446">
        <f t="shared" si="192"/>
        <v>374</v>
      </c>
      <c r="CG108" s="425">
        <f t="shared" si="280"/>
        <v>374</v>
      </c>
      <c r="CH108" s="425">
        <f t="shared" si="280"/>
        <v>374</v>
      </c>
      <c r="CI108" s="425">
        <f t="shared" si="280"/>
        <v>374</v>
      </c>
      <c r="CJ108" s="425">
        <f t="shared" si="280"/>
        <v>374</v>
      </c>
      <c r="CK108" s="425">
        <f t="shared" si="280"/>
        <v>374</v>
      </c>
      <c r="CL108" s="425">
        <f t="shared" si="280"/>
        <v>374</v>
      </c>
      <c r="CM108" s="425">
        <f t="shared" si="280"/>
        <v>374</v>
      </c>
      <c r="CN108" s="425">
        <f t="shared" si="280"/>
        <v>374</v>
      </c>
      <c r="CO108" s="425">
        <f t="shared" si="280"/>
        <v>374</v>
      </c>
      <c r="CP108" s="425">
        <f t="shared" si="281"/>
        <v>374</v>
      </c>
      <c r="CQ108" s="425">
        <f t="shared" si="281"/>
        <v>374</v>
      </c>
      <c r="CR108" s="425">
        <f t="shared" si="281"/>
        <v>374</v>
      </c>
      <c r="CS108" s="425">
        <f t="shared" si="281"/>
        <v>374</v>
      </c>
      <c r="CT108" s="425">
        <f t="shared" si="281"/>
        <v>374</v>
      </c>
      <c r="CU108" s="425">
        <f t="shared" si="281"/>
        <v>374</v>
      </c>
      <c r="DJ108" s="380" t="s">
        <v>839</v>
      </c>
      <c r="DK108" s="425">
        <f t="shared" si="222"/>
        <v>195</v>
      </c>
      <c r="DL108" s="425">
        <f t="shared" ref="DL108:DS108" si="284">DK108</f>
        <v>195</v>
      </c>
      <c r="DM108" s="425">
        <f t="shared" si="284"/>
        <v>195</v>
      </c>
      <c r="DN108" s="425">
        <f t="shared" si="284"/>
        <v>195</v>
      </c>
      <c r="DO108" s="425">
        <f t="shared" si="284"/>
        <v>195</v>
      </c>
      <c r="DP108" s="425">
        <f t="shared" si="284"/>
        <v>195</v>
      </c>
      <c r="DQ108" s="425">
        <f t="shared" si="284"/>
        <v>195</v>
      </c>
      <c r="DR108" s="425">
        <f t="shared" si="284"/>
        <v>195</v>
      </c>
      <c r="DS108" s="425">
        <f t="shared" si="284"/>
        <v>195</v>
      </c>
      <c r="DU108" s="380" t="s">
        <v>839</v>
      </c>
      <c r="DV108" s="425">
        <f t="shared" si="221"/>
        <v>195</v>
      </c>
      <c r="DW108" s="425">
        <f t="shared" si="249"/>
        <v>195</v>
      </c>
      <c r="DX108" s="425">
        <f t="shared" si="250"/>
        <v>195</v>
      </c>
      <c r="DY108" s="425">
        <f t="shared" si="251"/>
        <v>195</v>
      </c>
      <c r="DZ108" s="425">
        <f t="shared" si="252"/>
        <v>195</v>
      </c>
      <c r="EA108" s="425">
        <f t="shared" si="253"/>
        <v>195</v>
      </c>
      <c r="EB108" s="425">
        <f t="shared" si="254"/>
        <v>195</v>
      </c>
      <c r="EC108" s="425">
        <f t="shared" si="255"/>
        <v>195</v>
      </c>
      <c r="ED108" s="425">
        <f t="shared" si="256"/>
        <v>195</v>
      </c>
      <c r="EE108" s="425">
        <f t="shared" si="257"/>
        <v>195</v>
      </c>
      <c r="EF108" s="425">
        <f t="shared" si="258"/>
        <v>195</v>
      </c>
      <c r="EG108" s="425">
        <f t="shared" si="259"/>
        <v>195</v>
      </c>
      <c r="EH108" s="425">
        <f t="shared" si="260"/>
        <v>195</v>
      </c>
      <c r="EI108" s="425">
        <f t="shared" si="261"/>
        <v>195</v>
      </c>
      <c r="EJ108" s="425">
        <f t="shared" si="262"/>
        <v>195</v>
      </c>
      <c r="EK108" s="425">
        <f t="shared" si="233"/>
        <v>195</v>
      </c>
      <c r="EL108" s="425">
        <f t="shared" si="234"/>
        <v>195</v>
      </c>
      <c r="EM108" s="425">
        <f t="shared" si="235"/>
        <v>195</v>
      </c>
      <c r="EN108" s="425">
        <f t="shared" si="236"/>
        <v>195</v>
      </c>
      <c r="EO108" s="425">
        <f t="shared" si="237"/>
        <v>195</v>
      </c>
      <c r="EP108" s="425">
        <f t="shared" si="238"/>
        <v>195</v>
      </c>
      <c r="EQ108" s="425">
        <f t="shared" si="239"/>
        <v>195</v>
      </c>
      <c r="ER108" s="425">
        <f t="shared" si="240"/>
        <v>195</v>
      </c>
      <c r="ES108" s="425">
        <f t="shared" si="241"/>
        <v>195</v>
      </c>
      <c r="ET108" s="425">
        <f t="shared" si="242"/>
        <v>195</v>
      </c>
      <c r="EU108" s="425">
        <f t="shared" si="243"/>
        <v>195</v>
      </c>
      <c r="EV108" s="425">
        <f t="shared" si="243"/>
        <v>195</v>
      </c>
      <c r="EW108" s="425">
        <f t="shared" si="244"/>
        <v>195</v>
      </c>
      <c r="EX108" s="425">
        <f t="shared" si="245"/>
        <v>195</v>
      </c>
      <c r="EY108" s="425">
        <f t="shared" si="246"/>
        <v>195</v>
      </c>
      <c r="EZ108" s="425">
        <f t="shared" si="247"/>
        <v>195</v>
      </c>
    </row>
    <row r="109" spans="42:156" x14ac:dyDescent="0.2">
      <c r="AP109" s="380" t="s">
        <v>734</v>
      </c>
      <c r="AQ109" s="406">
        <f t="shared" si="195"/>
        <v>197</v>
      </c>
      <c r="AR109" s="406">
        <f t="shared" si="195"/>
        <v>197</v>
      </c>
      <c r="AS109" s="380">
        <f t="shared" si="196"/>
        <v>197</v>
      </c>
      <c r="AT109" s="380">
        <f t="shared" si="197"/>
        <v>197</v>
      </c>
      <c r="AU109" s="380">
        <f t="shared" si="198"/>
        <v>197</v>
      </c>
      <c r="AV109" s="380">
        <f t="shared" si="199"/>
        <v>197</v>
      </c>
      <c r="AW109" s="380">
        <f t="shared" si="200"/>
        <v>197</v>
      </c>
      <c r="AX109" s="380">
        <f t="shared" si="201"/>
        <v>197</v>
      </c>
      <c r="AY109" s="380">
        <f t="shared" si="202"/>
        <v>197</v>
      </c>
      <c r="AZ109" s="380">
        <f t="shared" si="203"/>
        <v>197</v>
      </c>
      <c r="BA109" s="380">
        <f t="shared" si="204"/>
        <v>197</v>
      </c>
      <c r="BB109" s="380">
        <f t="shared" si="205"/>
        <v>197</v>
      </c>
      <c r="BC109" s="380">
        <f t="shared" si="206"/>
        <v>197</v>
      </c>
      <c r="BD109" s="407">
        <f t="shared" si="206"/>
        <v>197</v>
      </c>
      <c r="BG109" s="380" t="s">
        <v>734</v>
      </c>
      <c r="BH109" s="406">
        <f t="shared" si="207"/>
        <v>197</v>
      </c>
      <c r="BI109" s="406">
        <f t="shared" si="207"/>
        <v>197</v>
      </c>
      <c r="BJ109" s="380">
        <f t="shared" si="208"/>
        <v>197</v>
      </c>
      <c r="BK109" s="380">
        <f t="shared" si="209"/>
        <v>197</v>
      </c>
      <c r="BL109" s="380">
        <f t="shared" si="210"/>
        <v>197</v>
      </c>
      <c r="BM109" s="380">
        <f t="shared" si="211"/>
        <v>197</v>
      </c>
      <c r="BN109" s="380">
        <f t="shared" si="211"/>
        <v>197</v>
      </c>
      <c r="BO109" s="380">
        <f t="shared" si="212"/>
        <v>197</v>
      </c>
      <c r="BP109" s="380">
        <f t="shared" si="213"/>
        <v>197</v>
      </c>
      <c r="BQ109" s="380">
        <f t="shared" si="214"/>
        <v>197</v>
      </c>
      <c r="BR109" s="380">
        <f t="shared" si="215"/>
        <v>197</v>
      </c>
      <c r="BS109" s="380">
        <f t="shared" si="216"/>
        <v>197</v>
      </c>
      <c r="BT109" s="380">
        <f t="shared" si="216"/>
        <v>197</v>
      </c>
      <c r="BU109" s="380">
        <f t="shared" si="217"/>
        <v>197</v>
      </c>
      <c r="BV109" s="380">
        <f t="shared" si="218"/>
        <v>197</v>
      </c>
      <c r="BW109" s="380">
        <f t="shared" si="219"/>
        <v>197</v>
      </c>
      <c r="BX109" s="407">
        <f t="shared" si="191"/>
        <v>197</v>
      </c>
      <c r="CA109" s="448"/>
      <c r="CB109" s="425">
        <f>'A-50 FGRailInv'!$C$69</f>
        <v>0</v>
      </c>
      <c r="CC109" s="425" t="str">
        <f>Valid!$B$79</f>
        <v>Below-Grade/Submerged Tube</v>
      </c>
      <c r="CD109" s="425">
        <f>CD101</f>
        <v>349</v>
      </c>
      <c r="CE109" s="1199">
        <f t="shared" si="275"/>
        <v>377</v>
      </c>
      <c r="CF109" s="446">
        <f t="shared" si="192"/>
        <v>377</v>
      </c>
      <c r="CG109" s="425">
        <f t="shared" si="280"/>
        <v>377</v>
      </c>
      <c r="CH109" s="425">
        <f t="shared" si="280"/>
        <v>377</v>
      </c>
      <c r="CI109" s="425">
        <f t="shared" si="280"/>
        <v>377</v>
      </c>
      <c r="CJ109" s="425">
        <f t="shared" si="280"/>
        <v>377</v>
      </c>
      <c r="CK109" s="425">
        <f t="shared" si="280"/>
        <v>377</v>
      </c>
      <c r="CL109" s="425">
        <f t="shared" si="280"/>
        <v>377</v>
      </c>
      <c r="CM109" s="425">
        <f t="shared" si="280"/>
        <v>377</v>
      </c>
      <c r="CN109" s="425">
        <f t="shared" si="280"/>
        <v>377</v>
      </c>
      <c r="CO109" s="425">
        <f t="shared" si="280"/>
        <v>377</v>
      </c>
      <c r="CP109" s="425">
        <f t="shared" si="281"/>
        <v>377</v>
      </c>
      <c r="CQ109" s="425">
        <f t="shared" si="281"/>
        <v>377</v>
      </c>
      <c r="CR109" s="425">
        <f t="shared" si="281"/>
        <v>377</v>
      </c>
      <c r="CS109" s="425">
        <f t="shared" si="281"/>
        <v>377</v>
      </c>
      <c r="CT109" s="425">
        <f t="shared" si="281"/>
        <v>377</v>
      </c>
      <c r="CU109" s="425">
        <f t="shared" si="281"/>
        <v>377</v>
      </c>
      <c r="DJ109" s="380" t="s">
        <v>840</v>
      </c>
      <c r="DK109" s="425">
        <f t="shared" si="222"/>
        <v>197</v>
      </c>
      <c r="DL109" s="425">
        <f t="shared" ref="DL109:DS109" si="285">DK109</f>
        <v>197</v>
      </c>
      <c r="DM109" s="425">
        <f t="shared" si="285"/>
        <v>197</v>
      </c>
      <c r="DN109" s="425">
        <f t="shared" si="285"/>
        <v>197</v>
      </c>
      <c r="DO109" s="425">
        <f t="shared" si="285"/>
        <v>197</v>
      </c>
      <c r="DP109" s="425">
        <f t="shared" si="285"/>
        <v>197</v>
      </c>
      <c r="DQ109" s="425">
        <f t="shared" si="285"/>
        <v>197</v>
      </c>
      <c r="DR109" s="425">
        <f t="shared" si="285"/>
        <v>197</v>
      </c>
      <c r="DS109" s="425">
        <f t="shared" si="285"/>
        <v>197</v>
      </c>
      <c r="DU109" s="380" t="s">
        <v>840</v>
      </c>
      <c r="DV109" s="425">
        <f t="shared" si="221"/>
        <v>197</v>
      </c>
      <c r="DW109" s="425">
        <f t="shared" si="249"/>
        <v>197</v>
      </c>
      <c r="DX109" s="425">
        <f t="shared" si="250"/>
        <v>197</v>
      </c>
      <c r="DY109" s="425">
        <f t="shared" si="251"/>
        <v>197</v>
      </c>
      <c r="DZ109" s="425">
        <f t="shared" si="252"/>
        <v>197</v>
      </c>
      <c r="EA109" s="425">
        <f t="shared" si="253"/>
        <v>197</v>
      </c>
      <c r="EB109" s="425">
        <f t="shared" si="254"/>
        <v>197</v>
      </c>
      <c r="EC109" s="425">
        <f t="shared" si="255"/>
        <v>197</v>
      </c>
      <c r="ED109" s="425">
        <f t="shared" si="256"/>
        <v>197</v>
      </c>
      <c r="EE109" s="425">
        <f t="shared" si="257"/>
        <v>197</v>
      </c>
      <c r="EF109" s="425">
        <f t="shared" si="258"/>
        <v>197</v>
      </c>
      <c r="EG109" s="425">
        <f t="shared" si="259"/>
        <v>197</v>
      </c>
      <c r="EH109" s="425">
        <f t="shared" si="260"/>
        <v>197</v>
      </c>
      <c r="EI109" s="425">
        <f t="shared" si="261"/>
        <v>197</v>
      </c>
      <c r="EJ109" s="425">
        <f t="shared" si="262"/>
        <v>197</v>
      </c>
      <c r="EK109" s="425">
        <f t="shared" si="233"/>
        <v>197</v>
      </c>
      <c r="EL109" s="425">
        <f t="shared" si="234"/>
        <v>197</v>
      </c>
      <c r="EM109" s="425">
        <f t="shared" si="235"/>
        <v>197</v>
      </c>
      <c r="EN109" s="425">
        <f t="shared" si="236"/>
        <v>197</v>
      </c>
      <c r="EO109" s="425">
        <f t="shared" si="237"/>
        <v>197</v>
      </c>
      <c r="EP109" s="425">
        <f t="shared" si="238"/>
        <v>197</v>
      </c>
      <c r="EQ109" s="425">
        <f t="shared" si="239"/>
        <v>197</v>
      </c>
      <c r="ER109" s="425">
        <f t="shared" si="240"/>
        <v>197</v>
      </c>
      <c r="ES109" s="425">
        <f t="shared" si="241"/>
        <v>197</v>
      </c>
      <c r="ET109" s="425">
        <f t="shared" si="242"/>
        <v>197</v>
      </c>
      <c r="EU109" s="425">
        <f t="shared" si="243"/>
        <v>197</v>
      </c>
      <c r="EV109" s="425">
        <f t="shared" si="243"/>
        <v>197</v>
      </c>
      <c r="EW109" s="425">
        <f t="shared" si="244"/>
        <v>197</v>
      </c>
      <c r="EX109" s="425">
        <f t="shared" si="245"/>
        <v>197</v>
      </c>
      <c r="EY109" s="425">
        <f t="shared" si="246"/>
        <v>197</v>
      </c>
      <c r="EZ109" s="425">
        <f t="shared" si="247"/>
        <v>197</v>
      </c>
    </row>
    <row r="110" spans="42:156" x14ac:dyDescent="0.2">
      <c r="AP110" s="380" t="s">
        <v>735</v>
      </c>
      <c r="AQ110" s="406">
        <f t="shared" si="195"/>
        <v>199</v>
      </c>
      <c r="AR110" s="406">
        <f t="shared" si="195"/>
        <v>199</v>
      </c>
      <c r="AS110" s="380">
        <f t="shared" si="196"/>
        <v>199</v>
      </c>
      <c r="AT110" s="380">
        <f t="shared" si="197"/>
        <v>199</v>
      </c>
      <c r="AU110" s="380">
        <f t="shared" si="198"/>
        <v>199</v>
      </c>
      <c r="AV110" s="380">
        <f t="shared" si="199"/>
        <v>199</v>
      </c>
      <c r="AW110" s="380">
        <f t="shared" si="200"/>
        <v>199</v>
      </c>
      <c r="AX110" s="380">
        <f t="shared" si="201"/>
        <v>199</v>
      </c>
      <c r="AY110" s="380">
        <f t="shared" si="202"/>
        <v>199</v>
      </c>
      <c r="AZ110" s="380">
        <f t="shared" si="203"/>
        <v>199</v>
      </c>
      <c r="BA110" s="380">
        <f t="shared" si="204"/>
        <v>199</v>
      </c>
      <c r="BB110" s="380">
        <f t="shared" si="205"/>
        <v>199</v>
      </c>
      <c r="BC110" s="380">
        <f t="shared" si="206"/>
        <v>199</v>
      </c>
      <c r="BD110" s="407">
        <f t="shared" si="206"/>
        <v>199</v>
      </c>
      <c r="BG110" s="380" t="s">
        <v>735</v>
      </c>
      <c r="BH110" s="406">
        <f t="shared" si="207"/>
        <v>199</v>
      </c>
      <c r="BI110" s="406">
        <f t="shared" si="207"/>
        <v>199</v>
      </c>
      <c r="BJ110" s="380">
        <f t="shared" si="208"/>
        <v>199</v>
      </c>
      <c r="BK110" s="380">
        <f t="shared" si="209"/>
        <v>199</v>
      </c>
      <c r="BL110" s="380">
        <f t="shared" si="210"/>
        <v>199</v>
      </c>
      <c r="BM110" s="380">
        <f t="shared" si="211"/>
        <v>199</v>
      </c>
      <c r="BN110" s="380">
        <f t="shared" si="211"/>
        <v>199</v>
      </c>
      <c r="BO110" s="380">
        <f t="shared" si="212"/>
        <v>199</v>
      </c>
      <c r="BP110" s="380">
        <f t="shared" si="213"/>
        <v>199</v>
      </c>
      <c r="BQ110" s="380">
        <f t="shared" si="214"/>
        <v>199</v>
      </c>
      <c r="BR110" s="380">
        <f t="shared" si="215"/>
        <v>199</v>
      </c>
      <c r="BS110" s="380">
        <f t="shared" si="216"/>
        <v>199</v>
      </c>
      <c r="BT110" s="380">
        <f t="shared" si="216"/>
        <v>199</v>
      </c>
      <c r="BU110" s="380">
        <f t="shared" si="217"/>
        <v>199</v>
      </c>
      <c r="BV110" s="380">
        <f t="shared" si="218"/>
        <v>199</v>
      </c>
      <c r="BW110" s="380">
        <f t="shared" si="219"/>
        <v>199</v>
      </c>
      <c r="BX110" s="407">
        <f t="shared" si="191"/>
        <v>199</v>
      </c>
      <c r="CA110" s="448"/>
      <c r="CB110" s="425">
        <f>'A-50 FGRailInv'!$C$69</f>
        <v>0</v>
      </c>
      <c r="CC110" s="425" t="str">
        <f>Valid!$B$87</f>
        <v>Substation Building</v>
      </c>
      <c r="CD110" s="425">
        <f>CD102</f>
        <v>349</v>
      </c>
      <c r="CE110" s="1199">
        <f>CE109+$CE$8</f>
        <v>382</v>
      </c>
      <c r="CF110" s="446">
        <f t="shared" si="192"/>
        <v>382</v>
      </c>
      <c r="CG110" s="425">
        <f t="shared" si="280"/>
        <v>382</v>
      </c>
      <c r="CH110" s="425">
        <f t="shared" si="280"/>
        <v>382</v>
      </c>
      <c r="CI110" s="425">
        <f t="shared" si="280"/>
        <v>382</v>
      </c>
      <c r="CJ110" s="425">
        <f t="shared" si="280"/>
        <v>382</v>
      </c>
      <c r="CK110" s="425">
        <f t="shared" si="280"/>
        <v>382</v>
      </c>
      <c r="CL110" s="425">
        <f t="shared" si="280"/>
        <v>382</v>
      </c>
      <c r="CM110" s="425">
        <f t="shared" si="280"/>
        <v>382</v>
      </c>
      <c r="CN110" s="425">
        <f t="shared" si="280"/>
        <v>382</v>
      </c>
      <c r="CO110" s="425">
        <f t="shared" si="280"/>
        <v>382</v>
      </c>
      <c r="CP110" s="425">
        <f t="shared" si="281"/>
        <v>382</v>
      </c>
      <c r="CQ110" s="425">
        <f t="shared" si="281"/>
        <v>382</v>
      </c>
      <c r="CR110" s="425">
        <f t="shared" si="281"/>
        <v>382</v>
      </c>
      <c r="CS110" s="425">
        <f t="shared" si="281"/>
        <v>382</v>
      </c>
      <c r="CT110" s="425">
        <f t="shared" si="281"/>
        <v>382</v>
      </c>
      <c r="CU110" s="425">
        <f t="shared" si="281"/>
        <v>382</v>
      </c>
      <c r="DJ110" s="380" t="s">
        <v>841</v>
      </c>
      <c r="DK110" s="425">
        <f t="shared" si="222"/>
        <v>199</v>
      </c>
      <c r="DL110" s="425">
        <f t="shared" ref="DL110:DS110" si="286">DK110</f>
        <v>199</v>
      </c>
      <c r="DM110" s="425">
        <f t="shared" si="286"/>
        <v>199</v>
      </c>
      <c r="DN110" s="425">
        <f t="shared" si="286"/>
        <v>199</v>
      </c>
      <c r="DO110" s="425">
        <f t="shared" si="286"/>
        <v>199</v>
      </c>
      <c r="DP110" s="425">
        <f t="shared" si="286"/>
        <v>199</v>
      </c>
      <c r="DQ110" s="425">
        <f t="shared" si="286"/>
        <v>199</v>
      </c>
      <c r="DR110" s="425">
        <f t="shared" si="286"/>
        <v>199</v>
      </c>
      <c r="DS110" s="425">
        <f t="shared" si="286"/>
        <v>199</v>
      </c>
      <c r="DU110" s="380" t="s">
        <v>841</v>
      </c>
      <c r="DV110" s="425">
        <f t="shared" si="221"/>
        <v>199</v>
      </c>
      <c r="DW110" s="425">
        <f t="shared" si="249"/>
        <v>199</v>
      </c>
      <c r="DX110" s="425">
        <f t="shared" si="250"/>
        <v>199</v>
      </c>
      <c r="DY110" s="425">
        <f t="shared" si="251"/>
        <v>199</v>
      </c>
      <c r="DZ110" s="425">
        <f t="shared" si="252"/>
        <v>199</v>
      </c>
      <c r="EA110" s="425">
        <f t="shared" si="253"/>
        <v>199</v>
      </c>
      <c r="EB110" s="425">
        <f t="shared" si="254"/>
        <v>199</v>
      </c>
      <c r="EC110" s="425">
        <f t="shared" si="255"/>
        <v>199</v>
      </c>
      <c r="ED110" s="425">
        <f t="shared" si="256"/>
        <v>199</v>
      </c>
      <c r="EE110" s="425">
        <f t="shared" si="257"/>
        <v>199</v>
      </c>
      <c r="EF110" s="425">
        <f t="shared" si="258"/>
        <v>199</v>
      </c>
      <c r="EG110" s="425">
        <f t="shared" si="259"/>
        <v>199</v>
      </c>
      <c r="EH110" s="425">
        <f t="shared" si="260"/>
        <v>199</v>
      </c>
      <c r="EI110" s="425">
        <f t="shared" si="261"/>
        <v>199</v>
      </c>
      <c r="EJ110" s="425">
        <f t="shared" si="262"/>
        <v>199</v>
      </c>
      <c r="EK110" s="425">
        <f t="shared" si="233"/>
        <v>199</v>
      </c>
      <c r="EL110" s="425">
        <f t="shared" si="234"/>
        <v>199</v>
      </c>
      <c r="EM110" s="425">
        <f t="shared" si="235"/>
        <v>199</v>
      </c>
      <c r="EN110" s="425">
        <f t="shared" si="236"/>
        <v>199</v>
      </c>
      <c r="EO110" s="425">
        <f t="shared" si="237"/>
        <v>199</v>
      </c>
      <c r="EP110" s="425">
        <f t="shared" si="238"/>
        <v>199</v>
      </c>
      <c r="EQ110" s="425">
        <f t="shared" si="239"/>
        <v>199</v>
      </c>
      <c r="ER110" s="425">
        <f t="shared" si="240"/>
        <v>199</v>
      </c>
      <c r="ES110" s="425">
        <f t="shared" si="241"/>
        <v>199</v>
      </c>
      <c r="ET110" s="425">
        <f t="shared" si="242"/>
        <v>199</v>
      </c>
      <c r="EU110" s="425">
        <f t="shared" si="243"/>
        <v>199</v>
      </c>
      <c r="EV110" s="425">
        <f t="shared" si="243"/>
        <v>199</v>
      </c>
      <c r="EW110" s="425">
        <f t="shared" si="244"/>
        <v>199</v>
      </c>
      <c r="EX110" s="425">
        <f t="shared" si="245"/>
        <v>199</v>
      </c>
      <c r="EY110" s="425">
        <f t="shared" si="246"/>
        <v>199</v>
      </c>
      <c r="EZ110" s="425">
        <f t="shared" si="247"/>
        <v>199</v>
      </c>
    </row>
    <row r="111" spans="42:156" x14ac:dyDescent="0.2">
      <c r="AP111" s="380" t="s">
        <v>736</v>
      </c>
      <c r="AQ111" s="406">
        <f t="shared" si="195"/>
        <v>201</v>
      </c>
      <c r="AR111" s="406">
        <f t="shared" si="195"/>
        <v>201</v>
      </c>
      <c r="AS111" s="380">
        <f t="shared" si="196"/>
        <v>201</v>
      </c>
      <c r="AT111" s="380">
        <f t="shared" si="197"/>
        <v>201</v>
      </c>
      <c r="AU111" s="380">
        <f t="shared" si="198"/>
        <v>201</v>
      </c>
      <c r="AV111" s="380">
        <f t="shared" si="199"/>
        <v>201</v>
      </c>
      <c r="AW111" s="380">
        <f t="shared" si="200"/>
        <v>201</v>
      </c>
      <c r="AX111" s="380">
        <f t="shared" si="201"/>
        <v>201</v>
      </c>
      <c r="AY111" s="380">
        <f t="shared" si="202"/>
        <v>201</v>
      </c>
      <c r="AZ111" s="380">
        <f t="shared" si="203"/>
        <v>201</v>
      </c>
      <c r="BA111" s="380">
        <f t="shared" si="204"/>
        <v>201</v>
      </c>
      <c r="BB111" s="380">
        <f t="shared" si="205"/>
        <v>201</v>
      </c>
      <c r="BC111" s="380">
        <f t="shared" si="206"/>
        <v>201</v>
      </c>
      <c r="BD111" s="407">
        <f t="shared" si="206"/>
        <v>201</v>
      </c>
      <c r="BG111" s="380" t="s">
        <v>736</v>
      </c>
      <c r="BH111" s="406">
        <f t="shared" si="207"/>
        <v>201</v>
      </c>
      <c r="BI111" s="406">
        <f t="shared" si="207"/>
        <v>201</v>
      </c>
      <c r="BJ111" s="380">
        <f t="shared" si="208"/>
        <v>201</v>
      </c>
      <c r="BK111" s="380">
        <f t="shared" si="209"/>
        <v>201</v>
      </c>
      <c r="BL111" s="380">
        <f t="shared" si="210"/>
        <v>201</v>
      </c>
      <c r="BM111" s="380">
        <f t="shared" si="211"/>
        <v>201</v>
      </c>
      <c r="BN111" s="380">
        <f t="shared" si="211"/>
        <v>201</v>
      </c>
      <c r="BO111" s="380">
        <f t="shared" si="212"/>
        <v>201</v>
      </c>
      <c r="BP111" s="380">
        <f t="shared" si="213"/>
        <v>201</v>
      </c>
      <c r="BQ111" s="380">
        <f t="shared" si="214"/>
        <v>201</v>
      </c>
      <c r="BR111" s="380">
        <f t="shared" si="215"/>
        <v>201</v>
      </c>
      <c r="BS111" s="380">
        <f t="shared" si="216"/>
        <v>201</v>
      </c>
      <c r="BT111" s="380">
        <f t="shared" si="216"/>
        <v>201</v>
      </c>
      <c r="BU111" s="380">
        <f t="shared" si="217"/>
        <v>201</v>
      </c>
      <c r="BV111" s="380">
        <f t="shared" si="218"/>
        <v>201</v>
      </c>
      <c r="BW111" s="380">
        <f t="shared" si="219"/>
        <v>201</v>
      </c>
      <c r="BX111" s="407">
        <f t="shared" si="191"/>
        <v>201</v>
      </c>
      <c r="CA111" s="448"/>
      <c r="CB111" s="425">
        <f>'A-50 FGRailInv'!$C$69</f>
        <v>0</v>
      </c>
      <c r="CC111" s="425" t="str">
        <f>Valid!$B$88</f>
        <v>Substation Equipment</v>
      </c>
      <c r="CD111" s="425">
        <f>CD102</f>
        <v>349</v>
      </c>
      <c r="CE111" s="446">
        <f>CE110+$CE$7</f>
        <v>385</v>
      </c>
      <c r="CF111" s="446">
        <f t="shared" si="192"/>
        <v>385</v>
      </c>
      <c r="CG111" s="425">
        <f t="shared" si="280"/>
        <v>385</v>
      </c>
      <c r="CH111" s="425">
        <f t="shared" si="280"/>
        <v>385</v>
      </c>
      <c r="CI111" s="425">
        <f t="shared" si="280"/>
        <v>385</v>
      </c>
      <c r="CJ111" s="425">
        <f t="shared" si="280"/>
        <v>385</v>
      </c>
      <c r="CK111" s="425">
        <f t="shared" si="280"/>
        <v>385</v>
      </c>
      <c r="CL111" s="425">
        <f t="shared" si="280"/>
        <v>385</v>
      </c>
      <c r="CM111" s="425">
        <f t="shared" si="280"/>
        <v>385</v>
      </c>
      <c r="CN111" s="425">
        <f t="shared" si="280"/>
        <v>385</v>
      </c>
      <c r="CO111" s="425">
        <f t="shared" si="280"/>
        <v>385</v>
      </c>
      <c r="CP111" s="425">
        <f t="shared" si="281"/>
        <v>385</v>
      </c>
      <c r="CQ111" s="425">
        <f t="shared" si="281"/>
        <v>385</v>
      </c>
      <c r="CR111" s="425">
        <f t="shared" si="281"/>
        <v>385</v>
      </c>
      <c r="CS111" s="425">
        <f t="shared" si="281"/>
        <v>385</v>
      </c>
      <c r="CT111" s="425">
        <f t="shared" si="281"/>
        <v>385</v>
      </c>
      <c r="CU111" s="425">
        <f t="shared" si="281"/>
        <v>385</v>
      </c>
      <c r="DJ111" s="380" t="s">
        <v>842</v>
      </c>
      <c r="DK111" s="425">
        <f t="shared" si="222"/>
        <v>201</v>
      </c>
      <c r="DL111" s="425">
        <f t="shared" ref="DL111:DS111" si="287">DK111</f>
        <v>201</v>
      </c>
      <c r="DM111" s="425">
        <f t="shared" si="287"/>
        <v>201</v>
      </c>
      <c r="DN111" s="425">
        <f t="shared" si="287"/>
        <v>201</v>
      </c>
      <c r="DO111" s="425">
        <f t="shared" si="287"/>
        <v>201</v>
      </c>
      <c r="DP111" s="425">
        <f t="shared" si="287"/>
        <v>201</v>
      </c>
      <c r="DQ111" s="425">
        <f t="shared" si="287"/>
        <v>201</v>
      </c>
      <c r="DR111" s="425">
        <f t="shared" si="287"/>
        <v>201</v>
      </c>
      <c r="DS111" s="425">
        <f t="shared" si="287"/>
        <v>201</v>
      </c>
      <c r="DU111" s="380" t="s">
        <v>842</v>
      </c>
      <c r="DV111" s="425">
        <f t="shared" si="221"/>
        <v>201</v>
      </c>
      <c r="DW111" s="425">
        <f t="shared" si="249"/>
        <v>201</v>
      </c>
      <c r="DX111" s="425">
        <f t="shared" si="250"/>
        <v>201</v>
      </c>
      <c r="DY111" s="425">
        <f t="shared" si="251"/>
        <v>201</v>
      </c>
      <c r="DZ111" s="425">
        <f t="shared" si="252"/>
        <v>201</v>
      </c>
      <c r="EA111" s="425">
        <f t="shared" si="253"/>
        <v>201</v>
      </c>
      <c r="EB111" s="425">
        <f t="shared" si="254"/>
        <v>201</v>
      </c>
      <c r="EC111" s="425">
        <f t="shared" si="255"/>
        <v>201</v>
      </c>
      <c r="ED111" s="425">
        <f t="shared" si="256"/>
        <v>201</v>
      </c>
      <c r="EE111" s="425">
        <f t="shared" si="257"/>
        <v>201</v>
      </c>
      <c r="EF111" s="425">
        <f t="shared" si="258"/>
        <v>201</v>
      </c>
      <c r="EG111" s="425">
        <f t="shared" si="259"/>
        <v>201</v>
      </c>
      <c r="EH111" s="425">
        <f t="shared" si="260"/>
        <v>201</v>
      </c>
      <c r="EI111" s="425">
        <f t="shared" si="261"/>
        <v>201</v>
      </c>
      <c r="EJ111" s="425">
        <f t="shared" si="262"/>
        <v>201</v>
      </c>
      <c r="EK111" s="425">
        <f t="shared" si="233"/>
        <v>201</v>
      </c>
      <c r="EL111" s="425">
        <f t="shared" si="234"/>
        <v>201</v>
      </c>
      <c r="EM111" s="425">
        <f t="shared" si="235"/>
        <v>201</v>
      </c>
      <c r="EN111" s="425">
        <f t="shared" si="236"/>
        <v>201</v>
      </c>
      <c r="EO111" s="425">
        <f t="shared" si="237"/>
        <v>201</v>
      </c>
      <c r="EP111" s="425">
        <f t="shared" si="238"/>
        <v>201</v>
      </c>
      <c r="EQ111" s="425">
        <f t="shared" si="239"/>
        <v>201</v>
      </c>
      <c r="ER111" s="425">
        <f t="shared" si="240"/>
        <v>201</v>
      </c>
      <c r="ES111" s="425">
        <f t="shared" si="241"/>
        <v>201</v>
      </c>
      <c r="ET111" s="425">
        <f t="shared" si="242"/>
        <v>201</v>
      </c>
      <c r="EU111" s="425">
        <f t="shared" si="243"/>
        <v>201</v>
      </c>
      <c r="EV111" s="425">
        <f t="shared" si="243"/>
        <v>201</v>
      </c>
      <c r="EW111" s="425">
        <f t="shared" si="244"/>
        <v>201</v>
      </c>
      <c r="EX111" s="425">
        <f t="shared" si="245"/>
        <v>201</v>
      </c>
      <c r="EY111" s="425">
        <f t="shared" si="246"/>
        <v>201</v>
      </c>
      <c r="EZ111" s="425">
        <f t="shared" si="247"/>
        <v>201</v>
      </c>
    </row>
    <row r="112" spans="42:156" x14ac:dyDescent="0.2">
      <c r="AP112" s="380" t="s">
        <v>737</v>
      </c>
      <c r="AQ112" s="406">
        <f t="shared" si="195"/>
        <v>203</v>
      </c>
      <c r="AR112" s="406">
        <f t="shared" si="195"/>
        <v>203</v>
      </c>
      <c r="AS112" s="380">
        <f t="shared" si="196"/>
        <v>203</v>
      </c>
      <c r="AT112" s="380">
        <f t="shared" si="197"/>
        <v>203</v>
      </c>
      <c r="AU112" s="380">
        <f t="shared" si="198"/>
        <v>203</v>
      </c>
      <c r="AV112" s="380">
        <f t="shared" si="199"/>
        <v>203</v>
      </c>
      <c r="AW112" s="380">
        <f t="shared" si="200"/>
        <v>203</v>
      </c>
      <c r="AX112" s="380">
        <f t="shared" si="201"/>
        <v>203</v>
      </c>
      <c r="AY112" s="380">
        <f t="shared" si="202"/>
        <v>203</v>
      </c>
      <c r="AZ112" s="380">
        <f t="shared" si="203"/>
        <v>203</v>
      </c>
      <c r="BA112" s="380">
        <f t="shared" si="204"/>
        <v>203</v>
      </c>
      <c r="BB112" s="380">
        <f t="shared" si="205"/>
        <v>203</v>
      </c>
      <c r="BC112" s="380">
        <f t="shared" si="206"/>
        <v>203</v>
      </c>
      <c r="BD112" s="407">
        <f t="shared" si="206"/>
        <v>203</v>
      </c>
      <c r="BG112" s="380" t="s">
        <v>737</v>
      </c>
      <c r="BH112" s="406">
        <f t="shared" si="207"/>
        <v>203</v>
      </c>
      <c r="BI112" s="406">
        <f t="shared" si="207"/>
        <v>203</v>
      </c>
      <c r="BJ112" s="380">
        <f t="shared" si="208"/>
        <v>203</v>
      </c>
      <c r="BK112" s="380">
        <f t="shared" si="209"/>
        <v>203</v>
      </c>
      <c r="BL112" s="380">
        <f t="shared" si="210"/>
        <v>203</v>
      </c>
      <c r="BM112" s="380">
        <f t="shared" si="211"/>
        <v>203</v>
      </c>
      <c r="BN112" s="380">
        <f t="shared" si="211"/>
        <v>203</v>
      </c>
      <c r="BO112" s="380">
        <f t="shared" si="212"/>
        <v>203</v>
      </c>
      <c r="BP112" s="380">
        <f t="shared" si="213"/>
        <v>203</v>
      </c>
      <c r="BQ112" s="380">
        <f t="shared" si="214"/>
        <v>203</v>
      </c>
      <c r="BR112" s="380">
        <f t="shared" si="215"/>
        <v>203</v>
      </c>
      <c r="BS112" s="380">
        <f t="shared" si="216"/>
        <v>203</v>
      </c>
      <c r="BT112" s="380">
        <f t="shared" si="216"/>
        <v>203</v>
      </c>
      <c r="BU112" s="380">
        <f t="shared" si="217"/>
        <v>203</v>
      </c>
      <c r="BV112" s="380">
        <f t="shared" si="218"/>
        <v>203</v>
      </c>
      <c r="BW112" s="380">
        <f t="shared" si="219"/>
        <v>203</v>
      </c>
      <c r="BX112" s="407">
        <f t="shared" si="191"/>
        <v>203</v>
      </c>
      <c r="CA112" s="448">
        <f>CA93+1</f>
        <v>6</v>
      </c>
      <c r="CB112" s="425">
        <f>'A-50 FGRailInv'!$C$69</f>
        <v>0</v>
      </c>
      <c r="CC112" s="425" t="str">
        <f>Valid!$B$89</f>
        <v>Third Rail/Power Distribution</v>
      </c>
      <c r="CD112" s="425">
        <f>CD103</f>
        <v>349</v>
      </c>
      <c r="CE112" s="446">
        <f>CE111+$CE$7</f>
        <v>388</v>
      </c>
      <c r="CF112" s="446">
        <f t="shared" si="192"/>
        <v>388</v>
      </c>
      <c r="CG112" s="425">
        <f t="shared" si="280"/>
        <v>388</v>
      </c>
      <c r="CH112" s="425">
        <f t="shared" si="280"/>
        <v>388</v>
      </c>
      <c r="CI112" s="425">
        <f t="shared" si="280"/>
        <v>388</v>
      </c>
      <c r="CJ112" s="425">
        <f t="shared" si="280"/>
        <v>388</v>
      </c>
      <c r="CK112" s="425">
        <f t="shared" si="280"/>
        <v>388</v>
      </c>
      <c r="CL112" s="425">
        <f t="shared" si="280"/>
        <v>388</v>
      </c>
      <c r="CM112" s="425">
        <f t="shared" si="280"/>
        <v>388</v>
      </c>
      <c r="CN112" s="425">
        <f t="shared" si="280"/>
        <v>388</v>
      </c>
      <c r="CO112" s="425">
        <f t="shared" si="280"/>
        <v>388</v>
      </c>
      <c r="CP112" s="425">
        <f t="shared" si="281"/>
        <v>388</v>
      </c>
      <c r="CQ112" s="425">
        <f t="shared" si="281"/>
        <v>388</v>
      </c>
      <c r="CR112" s="425">
        <f t="shared" si="281"/>
        <v>388</v>
      </c>
      <c r="CS112" s="425">
        <f t="shared" si="281"/>
        <v>388</v>
      </c>
      <c r="CT112" s="425">
        <f t="shared" si="281"/>
        <v>388</v>
      </c>
      <c r="CU112" s="425">
        <f t="shared" si="281"/>
        <v>388</v>
      </c>
      <c r="DJ112" s="380" t="s">
        <v>843</v>
      </c>
      <c r="DK112" s="425">
        <f t="shared" si="222"/>
        <v>203</v>
      </c>
      <c r="DL112" s="425">
        <f t="shared" ref="DL112:DS112" si="288">DK112</f>
        <v>203</v>
      </c>
      <c r="DM112" s="425">
        <f t="shared" si="288"/>
        <v>203</v>
      </c>
      <c r="DN112" s="425">
        <f t="shared" si="288"/>
        <v>203</v>
      </c>
      <c r="DO112" s="425">
        <f t="shared" si="288"/>
        <v>203</v>
      </c>
      <c r="DP112" s="425">
        <f t="shared" si="288"/>
        <v>203</v>
      </c>
      <c r="DQ112" s="425">
        <f t="shared" si="288"/>
        <v>203</v>
      </c>
      <c r="DR112" s="425">
        <f t="shared" si="288"/>
        <v>203</v>
      </c>
      <c r="DS112" s="425">
        <f t="shared" si="288"/>
        <v>203</v>
      </c>
      <c r="DU112" s="380" t="s">
        <v>843</v>
      </c>
      <c r="DV112" s="425">
        <f t="shared" si="221"/>
        <v>203</v>
      </c>
      <c r="DW112" s="425">
        <f t="shared" si="249"/>
        <v>203</v>
      </c>
      <c r="DX112" s="425">
        <f t="shared" si="250"/>
        <v>203</v>
      </c>
      <c r="DY112" s="425">
        <f t="shared" si="251"/>
        <v>203</v>
      </c>
      <c r="DZ112" s="425">
        <f t="shared" si="252"/>
        <v>203</v>
      </c>
      <c r="EA112" s="425">
        <f t="shared" si="253"/>
        <v>203</v>
      </c>
      <c r="EB112" s="425">
        <f t="shared" si="254"/>
        <v>203</v>
      </c>
      <c r="EC112" s="425">
        <f t="shared" si="255"/>
        <v>203</v>
      </c>
      <c r="ED112" s="425">
        <f t="shared" si="256"/>
        <v>203</v>
      </c>
      <c r="EE112" s="425">
        <f t="shared" si="257"/>
        <v>203</v>
      </c>
      <c r="EF112" s="425">
        <f t="shared" si="258"/>
        <v>203</v>
      </c>
      <c r="EG112" s="425">
        <f t="shared" si="259"/>
        <v>203</v>
      </c>
      <c r="EH112" s="425">
        <f t="shared" si="260"/>
        <v>203</v>
      </c>
      <c r="EI112" s="425">
        <f t="shared" si="261"/>
        <v>203</v>
      </c>
      <c r="EJ112" s="425">
        <f t="shared" si="262"/>
        <v>203</v>
      </c>
      <c r="EK112" s="425">
        <f t="shared" si="233"/>
        <v>203</v>
      </c>
      <c r="EL112" s="425">
        <f t="shared" si="234"/>
        <v>203</v>
      </c>
      <c r="EM112" s="425">
        <f t="shared" si="235"/>
        <v>203</v>
      </c>
      <c r="EN112" s="425">
        <f t="shared" si="236"/>
        <v>203</v>
      </c>
      <c r="EO112" s="425">
        <f t="shared" si="237"/>
        <v>203</v>
      </c>
      <c r="EP112" s="425">
        <f t="shared" si="238"/>
        <v>203</v>
      </c>
      <c r="EQ112" s="425">
        <f t="shared" si="239"/>
        <v>203</v>
      </c>
      <c r="ER112" s="425">
        <f t="shared" si="240"/>
        <v>203</v>
      </c>
      <c r="ES112" s="425">
        <f t="shared" si="241"/>
        <v>203</v>
      </c>
      <c r="ET112" s="425">
        <f t="shared" si="242"/>
        <v>203</v>
      </c>
      <c r="EU112" s="425">
        <f t="shared" si="243"/>
        <v>203</v>
      </c>
      <c r="EV112" s="425">
        <f t="shared" si="243"/>
        <v>203</v>
      </c>
      <c r="EW112" s="425">
        <f t="shared" si="244"/>
        <v>203</v>
      </c>
      <c r="EX112" s="425">
        <f t="shared" si="245"/>
        <v>203</v>
      </c>
      <c r="EY112" s="425">
        <f t="shared" si="246"/>
        <v>203</v>
      </c>
      <c r="EZ112" s="425">
        <f t="shared" si="247"/>
        <v>203</v>
      </c>
    </row>
    <row r="113" spans="42:156" x14ac:dyDescent="0.2">
      <c r="AP113" s="380" t="s">
        <v>738</v>
      </c>
      <c r="AQ113" s="406">
        <f t="shared" si="195"/>
        <v>205</v>
      </c>
      <c r="AR113" s="406">
        <f t="shared" si="195"/>
        <v>205</v>
      </c>
      <c r="AS113" s="380">
        <f t="shared" si="196"/>
        <v>205</v>
      </c>
      <c r="AT113" s="380">
        <f t="shared" si="197"/>
        <v>205</v>
      </c>
      <c r="AU113" s="380">
        <f t="shared" si="198"/>
        <v>205</v>
      </c>
      <c r="AV113" s="380">
        <f t="shared" si="199"/>
        <v>205</v>
      </c>
      <c r="AW113" s="380">
        <f t="shared" si="200"/>
        <v>205</v>
      </c>
      <c r="AX113" s="380">
        <f t="shared" si="201"/>
        <v>205</v>
      </c>
      <c r="AY113" s="380">
        <f t="shared" si="202"/>
        <v>205</v>
      </c>
      <c r="AZ113" s="380">
        <f t="shared" si="203"/>
        <v>205</v>
      </c>
      <c r="BA113" s="380">
        <f t="shared" si="204"/>
        <v>205</v>
      </c>
      <c r="BB113" s="380">
        <f t="shared" si="205"/>
        <v>205</v>
      </c>
      <c r="BC113" s="380">
        <f t="shared" si="206"/>
        <v>205</v>
      </c>
      <c r="BD113" s="407">
        <f t="shared" si="206"/>
        <v>205</v>
      </c>
      <c r="BG113" s="380" t="s">
        <v>738</v>
      </c>
      <c r="BH113" s="406">
        <f t="shared" si="207"/>
        <v>205</v>
      </c>
      <c r="BI113" s="406">
        <f t="shared" si="207"/>
        <v>205</v>
      </c>
      <c r="BJ113" s="380">
        <f t="shared" si="208"/>
        <v>205</v>
      </c>
      <c r="BK113" s="380">
        <f t="shared" si="209"/>
        <v>205</v>
      </c>
      <c r="BL113" s="380">
        <f t="shared" si="210"/>
        <v>205</v>
      </c>
      <c r="BM113" s="380">
        <f t="shared" si="211"/>
        <v>205</v>
      </c>
      <c r="BN113" s="380">
        <f t="shared" si="211"/>
        <v>205</v>
      </c>
      <c r="BO113" s="380">
        <f t="shared" si="212"/>
        <v>205</v>
      </c>
      <c r="BP113" s="380">
        <f t="shared" si="213"/>
        <v>205</v>
      </c>
      <c r="BQ113" s="380">
        <f t="shared" si="214"/>
        <v>205</v>
      </c>
      <c r="BR113" s="380">
        <f t="shared" si="215"/>
        <v>205</v>
      </c>
      <c r="BS113" s="380">
        <f t="shared" si="216"/>
        <v>205</v>
      </c>
      <c r="BT113" s="380">
        <f t="shared" si="216"/>
        <v>205</v>
      </c>
      <c r="BU113" s="380">
        <f t="shared" si="217"/>
        <v>205</v>
      </c>
      <c r="BV113" s="380">
        <f t="shared" si="218"/>
        <v>205</v>
      </c>
      <c r="BW113" s="380">
        <f t="shared" si="219"/>
        <v>205</v>
      </c>
      <c r="BX113" s="407">
        <f t="shared" si="191"/>
        <v>205</v>
      </c>
      <c r="CA113" s="448"/>
      <c r="CB113" s="425">
        <f>'A-50 FGRailInv'!$C$69</f>
        <v>0</v>
      </c>
      <c r="CC113" s="425" t="str">
        <f>Valid!$B$90</f>
        <v>Overhead Contact System/Power Distribution</v>
      </c>
      <c r="CD113" s="425">
        <f>CD104</f>
        <v>349</v>
      </c>
      <c r="CE113" s="446">
        <f>CE112+$CE$7</f>
        <v>391</v>
      </c>
      <c r="CF113" s="446">
        <f t="shared" si="192"/>
        <v>391</v>
      </c>
      <c r="CG113" s="425">
        <f t="shared" si="280"/>
        <v>391</v>
      </c>
      <c r="CH113" s="425">
        <f t="shared" si="280"/>
        <v>391</v>
      </c>
      <c r="CI113" s="425">
        <f t="shared" si="280"/>
        <v>391</v>
      </c>
      <c r="CJ113" s="425">
        <f t="shared" si="280"/>
        <v>391</v>
      </c>
      <c r="CK113" s="425">
        <f t="shared" si="280"/>
        <v>391</v>
      </c>
      <c r="CL113" s="425">
        <f t="shared" si="280"/>
        <v>391</v>
      </c>
      <c r="CM113" s="425">
        <f t="shared" si="280"/>
        <v>391</v>
      </c>
      <c r="CN113" s="425">
        <f t="shared" si="280"/>
        <v>391</v>
      </c>
      <c r="CO113" s="425">
        <f t="shared" si="280"/>
        <v>391</v>
      </c>
      <c r="CP113" s="425">
        <f t="shared" si="281"/>
        <v>391</v>
      </c>
      <c r="CQ113" s="425">
        <f t="shared" si="281"/>
        <v>391</v>
      </c>
      <c r="CR113" s="425">
        <f t="shared" si="281"/>
        <v>391</v>
      </c>
      <c r="CS113" s="425">
        <f t="shared" si="281"/>
        <v>391</v>
      </c>
      <c r="CT113" s="425">
        <f t="shared" si="281"/>
        <v>391</v>
      </c>
      <c r="CU113" s="425">
        <f t="shared" si="281"/>
        <v>391</v>
      </c>
      <c r="DJ113" s="380" t="s">
        <v>844</v>
      </c>
      <c r="DK113" s="425">
        <f t="shared" si="222"/>
        <v>205</v>
      </c>
      <c r="DL113" s="425">
        <f t="shared" ref="DL113:DS113" si="289">DK113</f>
        <v>205</v>
      </c>
      <c r="DM113" s="425">
        <f t="shared" si="289"/>
        <v>205</v>
      </c>
      <c r="DN113" s="425">
        <f t="shared" si="289"/>
        <v>205</v>
      </c>
      <c r="DO113" s="425">
        <f t="shared" si="289"/>
        <v>205</v>
      </c>
      <c r="DP113" s="425">
        <f t="shared" si="289"/>
        <v>205</v>
      </c>
      <c r="DQ113" s="425">
        <f t="shared" si="289"/>
        <v>205</v>
      </c>
      <c r="DR113" s="425">
        <f t="shared" si="289"/>
        <v>205</v>
      </c>
      <c r="DS113" s="425">
        <f t="shared" si="289"/>
        <v>205</v>
      </c>
      <c r="DU113" s="380" t="s">
        <v>844</v>
      </c>
      <c r="DV113" s="425">
        <f t="shared" si="221"/>
        <v>205</v>
      </c>
      <c r="DW113" s="425">
        <f t="shared" si="249"/>
        <v>205</v>
      </c>
      <c r="DX113" s="425">
        <f t="shared" si="250"/>
        <v>205</v>
      </c>
      <c r="DY113" s="425">
        <f t="shared" si="251"/>
        <v>205</v>
      </c>
      <c r="DZ113" s="425">
        <f t="shared" si="252"/>
        <v>205</v>
      </c>
      <c r="EA113" s="425">
        <f t="shared" si="253"/>
        <v>205</v>
      </c>
      <c r="EB113" s="425">
        <f t="shared" si="254"/>
        <v>205</v>
      </c>
      <c r="EC113" s="425">
        <f t="shared" si="255"/>
        <v>205</v>
      </c>
      <c r="ED113" s="425">
        <f t="shared" si="256"/>
        <v>205</v>
      </c>
      <c r="EE113" s="425">
        <f t="shared" si="257"/>
        <v>205</v>
      </c>
      <c r="EF113" s="425">
        <f t="shared" si="258"/>
        <v>205</v>
      </c>
      <c r="EG113" s="425">
        <f t="shared" si="259"/>
        <v>205</v>
      </c>
      <c r="EH113" s="425">
        <f t="shared" si="260"/>
        <v>205</v>
      </c>
      <c r="EI113" s="425">
        <f t="shared" si="261"/>
        <v>205</v>
      </c>
      <c r="EJ113" s="425">
        <f t="shared" si="262"/>
        <v>205</v>
      </c>
      <c r="EK113" s="425">
        <f t="shared" si="233"/>
        <v>205</v>
      </c>
      <c r="EL113" s="425">
        <f t="shared" si="234"/>
        <v>205</v>
      </c>
      <c r="EM113" s="425">
        <f t="shared" si="235"/>
        <v>205</v>
      </c>
      <c r="EN113" s="425">
        <f t="shared" si="236"/>
        <v>205</v>
      </c>
      <c r="EO113" s="425">
        <f t="shared" si="237"/>
        <v>205</v>
      </c>
      <c r="EP113" s="425">
        <f t="shared" si="238"/>
        <v>205</v>
      </c>
      <c r="EQ113" s="425">
        <f t="shared" si="239"/>
        <v>205</v>
      </c>
      <c r="ER113" s="425">
        <f t="shared" si="240"/>
        <v>205</v>
      </c>
      <c r="ES113" s="425">
        <f t="shared" si="241"/>
        <v>205</v>
      </c>
      <c r="ET113" s="425">
        <f t="shared" si="242"/>
        <v>205</v>
      </c>
      <c r="EU113" s="425">
        <f t="shared" si="243"/>
        <v>205</v>
      </c>
      <c r="EV113" s="425">
        <f t="shared" si="243"/>
        <v>205</v>
      </c>
      <c r="EW113" s="425">
        <f t="shared" si="244"/>
        <v>205</v>
      </c>
      <c r="EX113" s="425">
        <f t="shared" si="245"/>
        <v>205</v>
      </c>
      <c r="EY113" s="425">
        <f t="shared" si="246"/>
        <v>205</v>
      </c>
      <c r="EZ113" s="425">
        <f t="shared" si="247"/>
        <v>205</v>
      </c>
    </row>
    <row r="114" spans="42:156" x14ac:dyDescent="0.2">
      <c r="AP114" s="380" t="s">
        <v>739</v>
      </c>
      <c r="AQ114" s="406">
        <f t="shared" si="195"/>
        <v>207</v>
      </c>
      <c r="AR114" s="406">
        <f t="shared" si="195"/>
        <v>207</v>
      </c>
      <c r="AS114" s="380">
        <f t="shared" si="196"/>
        <v>207</v>
      </c>
      <c r="AT114" s="380">
        <f t="shared" si="197"/>
        <v>207</v>
      </c>
      <c r="AU114" s="380">
        <f t="shared" si="198"/>
        <v>207</v>
      </c>
      <c r="AV114" s="380">
        <f t="shared" si="199"/>
        <v>207</v>
      </c>
      <c r="AW114" s="380">
        <f t="shared" si="200"/>
        <v>207</v>
      </c>
      <c r="AX114" s="380">
        <f t="shared" si="201"/>
        <v>207</v>
      </c>
      <c r="AY114" s="380">
        <f t="shared" si="202"/>
        <v>207</v>
      </c>
      <c r="AZ114" s="380">
        <f t="shared" si="203"/>
        <v>207</v>
      </c>
      <c r="BA114" s="380">
        <f t="shared" si="204"/>
        <v>207</v>
      </c>
      <c r="BB114" s="380">
        <f t="shared" si="205"/>
        <v>207</v>
      </c>
      <c r="BC114" s="380">
        <f t="shared" si="206"/>
        <v>207</v>
      </c>
      <c r="BD114" s="407">
        <f t="shared" si="206"/>
        <v>207</v>
      </c>
      <c r="BG114" s="380" t="s">
        <v>739</v>
      </c>
      <c r="BH114" s="406">
        <f t="shared" si="207"/>
        <v>207</v>
      </c>
      <c r="BI114" s="406">
        <f t="shared" si="207"/>
        <v>207</v>
      </c>
      <c r="BJ114" s="380">
        <f t="shared" si="208"/>
        <v>207</v>
      </c>
      <c r="BK114" s="380">
        <f t="shared" si="209"/>
        <v>207</v>
      </c>
      <c r="BL114" s="380">
        <f t="shared" si="210"/>
        <v>207</v>
      </c>
      <c r="BM114" s="380">
        <f t="shared" si="211"/>
        <v>207</v>
      </c>
      <c r="BN114" s="380">
        <f t="shared" si="211"/>
        <v>207</v>
      </c>
      <c r="BO114" s="380">
        <f t="shared" si="212"/>
        <v>207</v>
      </c>
      <c r="BP114" s="380">
        <f t="shared" si="213"/>
        <v>207</v>
      </c>
      <c r="BQ114" s="380">
        <f t="shared" si="214"/>
        <v>207</v>
      </c>
      <c r="BR114" s="380">
        <f t="shared" si="215"/>
        <v>207</v>
      </c>
      <c r="BS114" s="380">
        <f t="shared" si="216"/>
        <v>207</v>
      </c>
      <c r="BT114" s="380">
        <f t="shared" si="216"/>
        <v>207</v>
      </c>
      <c r="BU114" s="380">
        <f t="shared" si="217"/>
        <v>207</v>
      </c>
      <c r="BV114" s="380">
        <f t="shared" si="218"/>
        <v>207</v>
      </c>
      <c r="BW114" s="380">
        <f t="shared" si="219"/>
        <v>207</v>
      </c>
      <c r="BX114" s="407">
        <f t="shared" si="191"/>
        <v>207</v>
      </c>
      <c r="CA114" s="448"/>
      <c r="CB114" s="425">
        <f>'A-50 FGRailInv'!$C$69</f>
        <v>0</v>
      </c>
      <c r="CC114" s="425" t="str">
        <f>Valid!$B$91</f>
        <v>Train Control &amp; Signaling</v>
      </c>
      <c r="CD114" s="425">
        <f>CD105</f>
        <v>349</v>
      </c>
      <c r="CE114" s="446">
        <f>CE113+$CE$7</f>
        <v>394</v>
      </c>
      <c r="CF114" s="446">
        <f t="shared" si="192"/>
        <v>394</v>
      </c>
      <c r="CG114" s="425">
        <f t="shared" si="280"/>
        <v>394</v>
      </c>
      <c r="CH114" s="425">
        <f t="shared" si="280"/>
        <v>394</v>
      </c>
      <c r="CI114" s="425">
        <f t="shared" si="280"/>
        <v>394</v>
      </c>
      <c r="CJ114" s="425">
        <f t="shared" si="280"/>
        <v>394</v>
      </c>
      <c r="CK114" s="425">
        <f t="shared" si="280"/>
        <v>394</v>
      </c>
      <c r="CL114" s="425">
        <f t="shared" si="280"/>
        <v>394</v>
      </c>
      <c r="CM114" s="425">
        <f t="shared" si="280"/>
        <v>394</v>
      </c>
      <c r="CN114" s="425">
        <f t="shared" si="280"/>
        <v>394</v>
      </c>
      <c r="CO114" s="425">
        <f t="shared" si="280"/>
        <v>394</v>
      </c>
      <c r="CP114" s="425">
        <f t="shared" si="281"/>
        <v>394</v>
      </c>
      <c r="CQ114" s="425">
        <f t="shared" si="281"/>
        <v>394</v>
      </c>
      <c r="CR114" s="425">
        <f t="shared" si="281"/>
        <v>394</v>
      </c>
      <c r="CS114" s="425">
        <f t="shared" si="281"/>
        <v>394</v>
      </c>
      <c r="CT114" s="425">
        <f t="shared" si="281"/>
        <v>394</v>
      </c>
      <c r="CU114" s="425">
        <f t="shared" si="281"/>
        <v>394</v>
      </c>
      <c r="DJ114" s="380" t="s">
        <v>845</v>
      </c>
      <c r="DK114" s="425">
        <f t="shared" si="222"/>
        <v>207</v>
      </c>
      <c r="DL114" s="425">
        <f t="shared" ref="DL114:DS114" si="290">DK114</f>
        <v>207</v>
      </c>
      <c r="DM114" s="425">
        <f t="shared" si="290"/>
        <v>207</v>
      </c>
      <c r="DN114" s="425">
        <f t="shared" si="290"/>
        <v>207</v>
      </c>
      <c r="DO114" s="425">
        <f t="shared" si="290"/>
        <v>207</v>
      </c>
      <c r="DP114" s="425">
        <f t="shared" si="290"/>
        <v>207</v>
      </c>
      <c r="DQ114" s="425">
        <f t="shared" si="290"/>
        <v>207</v>
      </c>
      <c r="DR114" s="425">
        <f t="shared" si="290"/>
        <v>207</v>
      </c>
      <c r="DS114" s="425">
        <f t="shared" si="290"/>
        <v>207</v>
      </c>
      <c r="DU114" s="380" t="s">
        <v>845</v>
      </c>
      <c r="DV114" s="425">
        <f t="shared" si="221"/>
        <v>207</v>
      </c>
      <c r="DW114" s="425">
        <f t="shared" si="249"/>
        <v>207</v>
      </c>
      <c r="DX114" s="425">
        <f t="shared" si="250"/>
        <v>207</v>
      </c>
      <c r="DY114" s="425">
        <f t="shared" si="251"/>
        <v>207</v>
      </c>
      <c r="DZ114" s="425">
        <f t="shared" si="252"/>
        <v>207</v>
      </c>
      <c r="EA114" s="425">
        <f t="shared" si="253"/>
        <v>207</v>
      </c>
      <c r="EB114" s="425">
        <f t="shared" si="254"/>
        <v>207</v>
      </c>
      <c r="EC114" s="425">
        <f t="shared" si="255"/>
        <v>207</v>
      </c>
      <c r="ED114" s="425">
        <f t="shared" si="256"/>
        <v>207</v>
      </c>
      <c r="EE114" s="425">
        <f t="shared" si="257"/>
        <v>207</v>
      </c>
      <c r="EF114" s="425">
        <f t="shared" si="258"/>
        <v>207</v>
      </c>
      <c r="EG114" s="425">
        <f t="shared" si="259"/>
        <v>207</v>
      </c>
      <c r="EH114" s="425">
        <f t="shared" si="260"/>
        <v>207</v>
      </c>
      <c r="EI114" s="425">
        <f t="shared" si="261"/>
        <v>207</v>
      </c>
      <c r="EJ114" s="425">
        <f t="shared" si="262"/>
        <v>207</v>
      </c>
      <c r="EK114" s="425">
        <f t="shared" si="233"/>
        <v>207</v>
      </c>
      <c r="EL114" s="425">
        <f t="shared" si="234"/>
        <v>207</v>
      </c>
      <c r="EM114" s="425">
        <f t="shared" si="235"/>
        <v>207</v>
      </c>
      <c r="EN114" s="425">
        <f t="shared" si="236"/>
        <v>207</v>
      </c>
      <c r="EO114" s="425">
        <f t="shared" si="237"/>
        <v>207</v>
      </c>
      <c r="EP114" s="425">
        <f t="shared" si="238"/>
        <v>207</v>
      </c>
      <c r="EQ114" s="425">
        <f t="shared" si="239"/>
        <v>207</v>
      </c>
      <c r="ER114" s="425">
        <f t="shared" si="240"/>
        <v>207</v>
      </c>
      <c r="ES114" s="425">
        <f t="shared" si="241"/>
        <v>207</v>
      </c>
      <c r="ET114" s="425">
        <f t="shared" si="242"/>
        <v>207</v>
      </c>
      <c r="EU114" s="425">
        <f t="shared" si="243"/>
        <v>207</v>
      </c>
      <c r="EV114" s="425">
        <f t="shared" si="243"/>
        <v>207</v>
      </c>
      <c r="EW114" s="425">
        <f t="shared" si="244"/>
        <v>207</v>
      </c>
      <c r="EX114" s="425">
        <f t="shared" si="245"/>
        <v>207</v>
      </c>
      <c r="EY114" s="425">
        <f t="shared" si="246"/>
        <v>207</v>
      </c>
      <c r="EZ114" s="425">
        <f t="shared" si="247"/>
        <v>207</v>
      </c>
    </row>
    <row r="115" spans="42:156" x14ac:dyDescent="0.2">
      <c r="AP115" s="380" t="s">
        <v>740</v>
      </c>
      <c r="AQ115" s="406">
        <f t="shared" si="195"/>
        <v>209</v>
      </c>
      <c r="AR115" s="406">
        <f t="shared" si="195"/>
        <v>209</v>
      </c>
      <c r="AS115" s="380">
        <f t="shared" si="196"/>
        <v>209</v>
      </c>
      <c r="AT115" s="380">
        <f t="shared" si="197"/>
        <v>209</v>
      </c>
      <c r="AU115" s="380">
        <f t="shared" si="198"/>
        <v>209</v>
      </c>
      <c r="AV115" s="380">
        <f t="shared" si="199"/>
        <v>209</v>
      </c>
      <c r="AW115" s="380">
        <f t="shared" si="200"/>
        <v>209</v>
      </c>
      <c r="AX115" s="380">
        <f t="shared" si="201"/>
        <v>209</v>
      </c>
      <c r="AY115" s="380">
        <f t="shared" si="202"/>
        <v>209</v>
      </c>
      <c r="AZ115" s="380">
        <f t="shared" si="203"/>
        <v>209</v>
      </c>
      <c r="BA115" s="380">
        <f t="shared" si="204"/>
        <v>209</v>
      </c>
      <c r="BB115" s="380">
        <f t="shared" si="205"/>
        <v>209</v>
      </c>
      <c r="BC115" s="380">
        <f t="shared" si="206"/>
        <v>209</v>
      </c>
      <c r="BD115" s="407">
        <f t="shared" si="206"/>
        <v>209</v>
      </c>
      <c r="BG115" s="380" t="s">
        <v>740</v>
      </c>
      <c r="BH115" s="406">
        <f t="shared" si="207"/>
        <v>209</v>
      </c>
      <c r="BI115" s="406">
        <f t="shared" si="207"/>
        <v>209</v>
      </c>
      <c r="BJ115" s="380">
        <f t="shared" si="208"/>
        <v>209</v>
      </c>
      <c r="BK115" s="380">
        <f t="shared" si="209"/>
        <v>209</v>
      </c>
      <c r="BL115" s="380">
        <f t="shared" si="210"/>
        <v>209</v>
      </c>
      <c r="BM115" s="380">
        <f t="shared" si="211"/>
        <v>209</v>
      </c>
      <c r="BN115" s="380">
        <f t="shared" si="211"/>
        <v>209</v>
      </c>
      <c r="BO115" s="380">
        <f t="shared" si="212"/>
        <v>209</v>
      </c>
      <c r="BP115" s="380">
        <f t="shared" si="213"/>
        <v>209</v>
      </c>
      <c r="BQ115" s="380">
        <f t="shared" si="214"/>
        <v>209</v>
      </c>
      <c r="BR115" s="380">
        <f t="shared" si="215"/>
        <v>209</v>
      </c>
      <c r="BS115" s="380">
        <f t="shared" si="216"/>
        <v>209</v>
      </c>
      <c r="BT115" s="380">
        <f t="shared" si="216"/>
        <v>209</v>
      </c>
      <c r="BU115" s="380">
        <f t="shared" si="217"/>
        <v>209</v>
      </c>
      <c r="BV115" s="380">
        <f t="shared" si="218"/>
        <v>209</v>
      </c>
      <c r="BW115" s="380">
        <f t="shared" si="219"/>
        <v>209</v>
      </c>
      <c r="BX115" s="407">
        <f t="shared" si="191"/>
        <v>209</v>
      </c>
      <c r="CA115" s="448"/>
      <c r="CB115" s="425">
        <f>'A-50 FGRailInv'!$C$69</f>
        <v>0</v>
      </c>
      <c r="CC115" s="425" t="str">
        <f>Valid!$B$71</f>
        <v>At-Grade/Ballast (including expressway)</v>
      </c>
      <c r="CD115" s="425">
        <f>CD101+$CD$7</f>
        <v>405</v>
      </c>
      <c r="CE115" s="446">
        <f>CE114+$CE$9</f>
        <v>409</v>
      </c>
      <c r="CF115" s="446">
        <f t="shared" si="192"/>
        <v>409</v>
      </c>
      <c r="CG115" s="425">
        <f t="shared" si="280"/>
        <v>409</v>
      </c>
      <c r="CH115" s="425">
        <f t="shared" si="280"/>
        <v>409</v>
      </c>
      <c r="CI115" s="425">
        <f t="shared" si="280"/>
        <v>409</v>
      </c>
      <c r="CJ115" s="425">
        <f t="shared" si="280"/>
        <v>409</v>
      </c>
      <c r="CK115" s="425">
        <f t="shared" si="280"/>
        <v>409</v>
      </c>
      <c r="CL115" s="425">
        <f t="shared" si="280"/>
        <v>409</v>
      </c>
      <c r="CM115" s="425">
        <f t="shared" si="280"/>
        <v>409</v>
      </c>
      <c r="CN115" s="425">
        <f t="shared" si="280"/>
        <v>409</v>
      </c>
      <c r="CO115" s="425">
        <f t="shared" si="280"/>
        <v>409</v>
      </c>
      <c r="CP115" s="425">
        <f t="shared" si="281"/>
        <v>409</v>
      </c>
      <c r="CQ115" s="425">
        <f t="shared" si="281"/>
        <v>409</v>
      </c>
      <c r="CR115" s="425">
        <f t="shared" si="281"/>
        <v>409</v>
      </c>
      <c r="CS115" s="425">
        <f t="shared" si="281"/>
        <v>409</v>
      </c>
      <c r="CT115" s="425">
        <f t="shared" si="281"/>
        <v>409</v>
      </c>
      <c r="CU115" s="425">
        <f t="shared" si="281"/>
        <v>409</v>
      </c>
      <c r="DJ115" s="380" t="s">
        <v>846</v>
      </c>
      <c r="DK115" s="425">
        <f t="shared" si="222"/>
        <v>209</v>
      </c>
      <c r="DL115" s="425">
        <f t="shared" ref="DL115:DS115" si="291">DK115</f>
        <v>209</v>
      </c>
      <c r="DM115" s="425">
        <f t="shared" si="291"/>
        <v>209</v>
      </c>
      <c r="DN115" s="425">
        <f t="shared" si="291"/>
        <v>209</v>
      </c>
      <c r="DO115" s="425">
        <f t="shared" si="291"/>
        <v>209</v>
      </c>
      <c r="DP115" s="425">
        <f t="shared" si="291"/>
        <v>209</v>
      </c>
      <c r="DQ115" s="425">
        <f t="shared" si="291"/>
        <v>209</v>
      </c>
      <c r="DR115" s="425">
        <f t="shared" si="291"/>
        <v>209</v>
      </c>
      <c r="DS115" s="425">
        <f t="shared" si="291"/>
        <v>209</v>
      </c>
      <c r="DU115" s="380" t="s">
        <v>846</v>
      </c>
      <c r="DV115" s="425">
        <f t="shared" si="221"/>
        <v>209</v>
      </c>
      <c r="DW115" s="425">
        <f t="shared" si="249"/>
        <v>209</v>
      </c>
      <c r="DX115" s="425">
        <f t="shared" si="250"/>
        <v>209</v>
      </c>
      <c r="DY115" s="425">
        <f t="shared" si="251"/>
        <v>209</v>
      </c>
      <c r="DZ115" s="425">
        <f t="shared" si="252"/>
        <v>209</v>
      </c>
      <c r="EA115" s="425">
        <f t="shared" si="253"/>
        <v>209</v>
      </c>
      <c r="EB115" s="425">
        <f t="shared" si="254"/>
        <v>209</v>
      </c>
      <c r="EC115" s="425">
        <f t="shared" si="255"/>
        <v>209</v>
      </c>
      <c r="ED115" s="425">
        <f t="shared" si="256"/>
        <v>209</v>
      </c>
      <c r="EE115" s="425">
        <f t="shared" si="257"/>
        <v>209</v>
      </c>
      <c r="EF115" s="425">
        <f t="shared" si="258"/>
        <v>209</v>
      </c>
      <c r="EG115" s="425">
        <f t="shared" si="259"/>
        <v>209</v>
      </c>
      <c r="EH115" s="425">
        <f t="shared" si="260"/>
        <v>209</v>
      </c>
      <c r="EI115" s="425">
        <f t="shared" si="261"/>
        <v>209</v>
      </c>
      <c r="EJ115" s="425">
        <f t="shared" si="262"/>
        <v>209</v>
      </c>
      <c r="EK115" s="425">
        <f t="shared" si="233"/>
        <v>209</v>
      </c>
      <c r="EL115" s="425">
        <f t="shared" si="234"/>
        <v>209</v>
      </c>
      <c r="EM115" s="425">
        <f t="shared" si="235"/>
        <v>209</v>
      </c>
      <c r="EN115" s="425">
        <f t="shared" si="236"/>
        <v>209</v>
      </c>
      <c r="EO115" s="425">
        <f t="shared" si="237"/>
        <v>209</v>
      </c>
      <c r="EP115" s="425">
        <f t="shared" si="238"/>
        <v>209</v>
      </c>
      <c r="EQ115" s="425">
        <f t="shared" si="239"/>
        <v>209</v>
      </c>
      <c r="ER115" s="425">
        <f t="shared" si="240"/>
        <v>209</v>
      </c>
      <c r="ES115" s="425">
        <f t="shared" si="241"/>
        <v>209</v>
      </c>
      <c r="ET115" s="425">
        <f t="shared" si="242"/>
        <v>209</v>
      </c>
      <c r="EU115" s="425">
        <f t="shared" si="243"/>
        <v>209</v>
      </c>
      <c r="EV115" s="425">
        <f t="shared" si="243"/>
        <v>209</v>
      </c>
      <c r="EW115" s="425">
        <f t="shared" si="244"/>
        <v>209</v>
      </c>
      <c r="EX115" s="425">
        <f t="shared" si="245"/>
        <v>209</v>
      </c>
      <c r="EY115" s="425">
        <f t="shared" si="246"/>
        <v>209</v>
      </c>
      <c r="EZ115" s="425">
        <f t="shared" si="247"/>
        <v>209</v>
      </c>
    </row>
    <row r="116" spans="42:156" x14ac:dyDescent="0.2">
      <c r="AP116" s="380" t="s">
        <v>741</v>
      </c>
      <c r="AQ116" s="432">
        <f t="shared" si="195"/>
        <v>211</v>
      </c>
      <c r="AR116" s="432">
        <f t="shared" si="195"/>
        <v>211</v>
      </c>
      <c r="AS116" s="433">
        <f t="shared" si="196"/>
        <v>211</v>
      </c>
      <c r="AT116" s="433">
        <f t="shared" si="197"/>
        <v>211</v>
      </c>
      <c r="AU116" s="433">
        <f t="shared" si="198"/>
        <v>211</v>
      </c>
      <c r="AV116" s="433">
        <f t="shared" si="199"/>
        <v>211</v>
      </c>
      <c r="AW116" s="433">
        <f t="shared" si="200"/>
        <v>211</v>
      </c>
      <c r="AX116" s="433">
        <f t="shared" si="201"/>
        <v>211</v>
      </c>
      <c r="AY116" s="433">
        <f t="shared" si="202"/>
        <v>211</v>
      </c>
      <c r="AZ116" s="433">
        <f t="shared" si="203"/>
        <v>211</v>
      </c>
      <c r="BA116" s="433">
        <f t="shared" si="204"/>
        <v>211</v>
      </c>
      <c r="BB116" s="433">
        <f t="shared" si="205"/>
        <v>211</v>
      </c>
      <c r="BC116" s="433">
        <f t="shared" si="206"/>
        <v>211</v>
      </c>
      <c r="BD116" s="434">
        <f t="shared" si="206"/>
        <v>211</v>
      </c>
      <c r="BG116" s="380" t="s">
        <v>741</v>
      </c>
      <c r="BH116" s="432">
        <f t="shared" si="207"/>
        <v>211</v>
      </c>
      <c r="BI116" s="432">
        <f t="shared" si="207"/>
        <v>211</v>
      </c>
      <c r="BJ116" s="433">
        <f t="shared" si="208"/>
        <v>211</v>
      </c>
      <c r="BK116" s="433">
        <f t="shared" si="209"/>
        <v>211</v>
      </c>
      <c r="BL116" s="433">
        <f t="shared" si="210"/>
        <v>211</v>
      </c>
      <c r="BM116" s="433">
        <f t="shared" si="211"/>
        <v>211</v>
      </c>
      <c r="BN116" s="433">
        <f t="shared" si="211"/>
        <v>211</v>
      </c>
      <c r="BO116" s="433">
        <f t="shared" si="212"/>
        <v>211</v>
      </c>
      <c r="BP116" s="433">
        <f t="shared" si="213"/>
        <v>211</v>
      </c>
      <c r="BQ116" s="433">
        <f t="shared" si="214"/>
        <v>211</v>
      </c>
      <c r="BR116" s="433">
        <f t="shared" si="215"/>
        <v>211</v>
      </c>
      <c r="BS116" s="433">
        <f t="shared" si="216"/>
        <v>211</v>
      </c>
      <c r="BT116" s="433">
        <f t="shared" si="216"/>
        <v>211</v>
      </c>
      <c r="BU116" s="433">
        <f t="shared" si="217"/>
        <v>211</v>
      </c>
      <c r="BV116" s="433">
        <f t="shared" si="218"/>
        <v>211</v>
      </c>
      <c r="BW116" s="433">
        <f t="shared" si="219"/>
        <v>211</v>
      </c>
      <c r="BX116" s="434">
        <f t="shared" si="191"/>
        <v>211</v>
      </c>
      <c r="CA116" s="448"/>
      <c r="CB116" s="425">
        <f>'A-50 FGRailInv'!$C$69</f>
        <v>0</v>
      </c>
      <c r="CC116" s="425" t="str">
        <f>Valid!$B$72</f>
        <v>At-Grade/In-Street/Embedded</v>
      </c>
      <c r="CD116" s="425">
        <f>CD115</f>
        <v>405</v>
      </c>
      <c r="CE116" s="1199">
        <f t="shared" ref="CE116:CE123" si="292">CE115+$CE$7</f>
        <v>412</v>
      </c>
      <c r="CF116" s="446">
        <f t="shared" si="192"/>
        <v>412</v>
      </c>
      <c r="CG116" s="425">
        <f t="shared" ref="CG116:CO125" si="293">$CE116</f>
        <v>412</v>
      </c>
      <c r="CH116" s="425">
        <f t="shared" si="293"/>
        <v>412</v>
      </c>
      <c r="CI116" s="425">
        <f t="shared" si="293"/>
        <v>412</v>
      </c>
      <c r="CJ116" s="425">
        <f t="shared" si="293"/>
        <v>412</v>
      </c>
      <c r="CK116" s="425">
        <f t="shared" si="293"/>
        <v>412</v>
      </c>
      <c r="CL116" s="425">
        <f t="shared" si="293"/>
        <v>412</v>
      </c>
      <c r="CM116" s="425">
        <f t="shared" si="293"/>
        <v>412</v>
      </c>
      <c r="CN116" s="425">
        <f t="shared" si="293"/>
        <v>412</v>
      </c>
      <c r="CO116" s="425">
        <f t="shared" si="293"/>
        <v>412</v>
      </c>
      <c r="CP116" s="425">
        <f t="shared" ref="CP116:CU125" si="294">$CE116</f>
        <v>412</v>
      </c>
      <c r="CQ116" s="425">
        <f t="shared" si="294"/>
        <v>412</v>
      </c>
      <c r="CR116" s="425">
        <f t="shared" si="294"/>
        <v>412</v>
      </c>
      <c r="CS116" s="425">
        <f t="shared" si="294"/>
        <v>412</v>
      </c>
      <c r="CT116" s="425">
        <f t="shared" si="294"/>
        <v>412</v>
      </c>
      <c r="CU116" s="425">
        <f t="shared" si="294"/>
        <v>412</v>
      </c>
      <c r="DJ116" s="380" t="s">
        <v>847</v>
      </c>
      <c r="DK116" s="1457">
        <f t="shared" si="222"/>
        <v>211</v>
      </c>
      <c r="DL116" s="1457">
        <f t="shared" ref="DL116:DS116" si="295">DK116</f>
        <v>211</v>
      </c>
      <c r="DM116" s="1457">
        <f t="shared" si="295"/>
        <v>211</v>
      </c>
      <c r="DN116" s="1457">
        <f t="shared" si="295"/>
        <v>211</v>
      </c>
      <c r="DO116" s="1457">
        <f t="shared" si="295"/>
        <v>211</v>
      </c>
      <c r="DP116" s="1457">
        <f t="shared" si="295"/>
        <v>211</v>
      </c>
      <c r="DQ116" s="1457">
        <f t="shared" si="295"/>
        <v>211</v>
      </c>
      <c r="DR116" s="1457">
        <f t="shared" si="295"/>
        <v>211</v>
      </c>
      <c r="DS116" s="1457">
        <f t="shared" si="295"/>
        <v>211</v>
      </c>
      <c r="DU116" s="380" t="s">
        <v>847</v>
      </c>
      <c r="DV116" s="425">
        <f t="shared" si="221"/>
        <v>211</v>
      </c>
      <c r="DW116" s="425">
        <f t="shared" si="249"/>
        <v>211</v>
      </c>
      <c r="DX116" s="425">
        <f t="shared" si="250"/>
        <v>211</v>
      </c>
      <c r="DY116" s="425">
        <f t="shared" si="251"/>
        <v>211</v>
      </c>
      <c r="DZ116" s="425">
        <f t="shared" si="252"/>
        <v>211</v>
      </c>
      <c r="EA116" s="425">
        <f t="shared" si="253"/>
        <v>211</v>
      </c>
      <c r="EB116" s="425">
        <f t="shared" si="254"/>
        <v>211</v>
      </c>
      <c r="EC116" s="425">
        <f t="shared" si="255"/>
        <v>211</v>
      </c>
      <c r="ED116" s="425">
        <f t="shared" si="256"/>
        <v>211</v>
      </c>
      <c r="EE116" s="425">
        <f t="shared" si="257"/>
        <v>211</v>
      </c>
      <c r="EF116" s="425">
        <f t="shared" si="258"/>
        <v>211</v>
      </c>
      <c r="EG116" s="425">
        <f t="shared" si="259"/>
        <v>211</v>
      </c>
      <c r="EH116" s="425">
        <f t="shared" si="260"/>
        <v>211</v>
      </c>
      <c r="EI116" s="425">
        <f t="shared" si="261"/>
        <v>211</v>
      </c>
      <c r="EJ116" s="425">
        <f t="shared" si="262"/>
        <v>211</v>
      </c>
      <c r="EK116" s="425">
        <f t="shared" si="233"/>
        <v>211</v>
      </c>
      <c r="EL116" s="425">
        <f t="shared" si="234"/>
        <v>211</v>
      </c>
      <c r="EM116" s="425">
        <f t="shared" si="235"/>
        <v>211</v>
      </c>
      <c r="EN116" s="425">
        <f t="shared" si="236"/>
        <v>211</v>
      </c>
      <c r="EO116" s="425">
        <f t="shared" si="237"/>
        <v>211</v>
      </c>
      <c r="EP116" s="425">
        <f t="shared" si="238"/>
        <v>211</v>
      </c>
      <c r="EQ116" s="425">
        <f t="shared" si="239"/>
        <v>211</v>
      </c>
      <c r="ER116" s="425">
        <f t="shared" si="240"/>
        <v>211</v>
      </c>
      <c r="ES116" s="425">
        <f t="shared" si="241"/>
        <v>211</v>
      </c>
      <c r="ET116" s="425">
        <f t="shared" si="242"/>
        <v>211</v>
      </c>
      <c r="EU116" s="425">
        <f t="shared" si="243"/>
        <v>211</v>
      </c>
      <c r="EV116" s="425">
        <f t="shared" si="243"/>
        <v>211</v>
      </c>
      <c r="EW116" s="425">
        <f t="shared" si="244"/>
        <v>211</v>
      </c>
      <c r="EX116" s="425">
        <f t="shared" si="245"/>
        <v>211</v>
      </c>
      <c r="EY116" s="425">
        <f t="shared" si="246"/>
        <v>211</v>
      </c>
      <c r="EZ116" s="425">
        <f t="shared" si="247"/>
        <v>211</v>
      </c>
    </row>
    <row r="117" spans="42:156" x14ac:dyDescent="0.2">
      <c r="CB117" s="425">
        <f>'A-50 FGRailInv'!$C$69</f>
        <v>0</v>
      </c>
      <c r="CC117" s="425" t="str">
        <f>Valid!$B$73</f>
        <v>Elevated/Retained Fill</v>
      </c>
      <c r="CD117" s="425">
        <f>CD115</f>
        <v>405</v>
      </c>
      <c r="CE117" s="446">
        <f t="shared" si="292"/>
        <v>415</v>
      </c>
      <c r="CF117" s="446">
        <f t="shared" si="192"/>
        <v>415</v>
      </c>
      <c r="CG117" s="425">
        <f t="shared" si="293"/>
        <v>415</v>
      </c>
      <c r="CH117" s="425">
        <f t="shared" si="293"/>
        <v>415</v>
      </c>
      <c r="CI117" s="425">
        <f t="shared" si="293"/>
        <v>415</v>
      </c>
      <c r="CJ117" s="425">
        <f t="shared" si="293"/>
        <v>415</v>
      </c>
      <c r="CK117" s="425">
        <f t="shared" si="293"/>
        <v>415</v>
      </c>
      <c r="CL117" s="425">
        <f t="shared" si="293"/>
        <v>415</v>
      </c>
      <c r="CM117" s="425">
        <f t="shared" si="293"/>
        <v>415</v>
      </c>
      <c r="CN117" s="425">
        <f t="shared" si="293"/>
        <v>415</v>
      </c>
      <c r="CO117" s="425">
        <f t="shared" si="293"/>
        <v>415</v>
      </c>
      <c r="CP117" s="425">
        <f t="shared" si="294"/>
        <v>415</v>
      </c>
      <c r="CQ117" s="425">
        <f t="shared" si="294"/>
        <v>415</v>
      </c>
      <c r="CR117" s="425">
        <f t="shared" si="294"/>
        <v>415</v>
      </c>
      <c r="CS117" s="425">
        <f t="shared" si="294"/>
        <v>415</v>
      </c>
      <c r="CT117" s="425">
        <f t="shared" si="294"/>
        <v>415</v>
      </c>
      <c r="CU117" s="425">
        <f t="shared" si="294"/>
        <v>415</v>
      </c>
      <c r="DK117" s="395"/>
      <c r="DL117" s="395"/>
      <c r="DM117" s="395"/>
      <c r="DN117" s="395"/>
      <c r="DO117" s="395"/>
      <c r="DP117" s="395"/>
      <c r="DQ117" s="395"/>
      <c r="DR117" s="395"/>
      <c r="DS117" s="395"/>
    </row>
    <row r="118" spans="42:156" x14ac:dyDescent="0.2">
      <c r="CB118" s="425">
        <f>'A-50 FGRailInv'!$C$69</f>
        <v>0</v>
      </c>
      <c r="CC118" s="425" t="str">
        <f>Valid!$B$74</f>
        <v>Elevated/Concrete</v>
      </c>
      <c r="CD118" s="425">
        <f>CD115</f>
        <v>405</v>
      </c>
      <c r="CE118" s="446">
        <f t="shared" si="292"/>
        <v>418</v>
      </c>
      <c r="CF118" s="446">
        <f t="shared" si="192"/>
        <v>418</v>
      </c>
      <c r="CG118" s="425">
        <f t="shared" si="293"/>
        <v>418</v>
      </c>
      <c r="CH118" s="425">
        <f t="shared" si="293"/>
        <v>418</v>
      </c>
      <c r="CI118" s="425">
        <f t="shared" si="293"/>
        <v>418</v>
      </c>
      <c r="CJ118" s="425">
        <f t="shared" si="293"/>
        <v>418</v>
      </c>
      <c r="CK118" s="425">
        <f t="shared" si="293"/>
        <v>418</v>
      </c>
      <c r="CL118" s="425">
        <f t="shared" si="293"/>
        <v>418</v>
      </c>
      <c r="CM118" s="425">
        <f t="shared" si="293"/>
        <v>418</v>
      </c>
      <c r="CN118" s="425">
        <f t="shared" si="293"/>
        <v>418</v>
      </c>
      <c r="CO118" s="425">
        <f t="shared" si="293"/>
        <v>418</v>
      </c>
      <c r="CP118" s="425">
        <f t="shared" si="294"/>
        <v>418</v>
      </c>
      <c r="CQ118" s="425">
        <f t="shared" si="294"/>
        <v>418</v>
      </c>
      <c r="CR118" s="425">
        <f t="shared" si="294"/>
        <v>418</v>
      </c>
      <c r="CS118" s="425">
        <f t="shared" si="294"/>
        <v>418</v>
      </c>
      <c r="CT118" s="425">
        <f t="shared" si="294"/>
        <v>418</v>
      </c>
      <c r="CU118" s="425">
        <f t="shared" si="294"/>
        <v>418</v>
      </c>
    </row>
    <row r="119" spans="42:156" x14ac:dyDescent="0.2">
      <c r="CB119" s="425">
        <f>'A-50 FGRailInv'!$C$69</f>
        <v>0</v>
      </c>
      <c r="CC119" s="425" t="str">
        <f>Valid!$B$75</f>
        <v>Elevated/Steel Viaduct or Bridge</v>
      </c>
      <c r="CD119" s="425">
        <f>CD115</f>
        <v>405</v>
      </c>
      <c r="CE119" s="446">
        <f t="shared" si="292"/>
        <v>421</v>
      </c>
      <c r="CF119" s="446">
        <f t="shared" si="192"/>
        <v>421</v>
      </c>
      <c r="CG119" s="425">
        <f t="shared" si="293"/>
        <v>421</v>
      </c>
      <c r="CH119" s="425">
        <f t="shared" si="293"/>
        <v>421</v>
      </c>
      <c r="CI119" s="425">
        <f t="shared" si="293"/>
        <v>421</v>
      </c>
      <c r="CJ119" s="425">
        <f t="shared" si="293"/>
        <v>421</v>
      </c>
      <c r="CK119" s="425">
        <f t="shared" si="293"/>
        <v>421</v>
      </c>
      <c r="CL119" s="425">
        <f t="shared" si="293"/>
        <v>421</v>
      </c>
      <c r="CM119" s="425">
        <f t="shared" si="293"/>
        <v>421</v>
      </c>
      <c r="CN119" s="425">
        <f t="shared" si="293"/>
        <v>421</v>
      </c>
      <c r="CO119" s="425">
        <f t="shared" si="293"/>
        <v>421</v>
      </c>
      <c r="CP119" s="425">
        <f t="shared" si="294"/>
        <v>421</v>
      </c>
      <c r="CQ119" s="425">
        <f t="shared" si="294"/>
        <v>421</v>
      </c>
      <c r="CR119" s="425">
        <f t="shared" si="294"/>
        <v>421</v>
      </c>
      <c r="CS119" s="425">
        <f t="shared" si="294"/>
        <v>421</v>
      </c>
      <c r="CT119" s="425">
        <f t="shared" si="294"/>
        <v>421</v>
      </c>
      <c r="CU119" s="425">
        <f t="shared" si="294"/>
        <v>421</v>
      </c>
    </row>
    <row r="120" spans="42:156" x14ac:dyDescent="0.2">
      <c r="CB120" s="425">
        <f>'A-50 FGRailInv'!$C$69</f>
        <v>0</v>
      </c>
      <c r="CC120" s="425" t="str">
        <f>Valid!$B$76</f>
        <v>Below-Grade/Retained Cut</v>
      </c>
      <c r="CD120" s="425">
        <f>CD115</f>
        <v>405</v>
      </c>
      <c r="CE120" s="1199">
        <f t="shared" si="292"/>
        <v>424</v>
      </c>
      <c r="CF120" s="446">
        <f t="shared" si="192"/>
        <v>424</v>
      </c>
      <c r="CG120" s="425">
        <f t="shared" si="293"/>
        <v>424</v>
      </c>
      <c r="CH120" s="425">
        <f t="shared" si="293"/>
        <v>424</v>
      </c>
      <c r="CI120" s="425">
        <f t="shared" si="293"/>
        <v>424</v>
      </c>
      <c r="CJ120" s="425">
        <f t="shared" si="293"/>
        <v>424</v>
      </c>
      <c r="CK120" s="425">
        <f t="shared" si="293"/>
        <v>424</v>
      </c>
      <c r="CL120" s="425">
        <f t="shared" si="293"/>
        <v>424</v>
      </c>
      <c r="CM120" s="425">
        <f t="shared" si="293"/>
        <v>424</v>
      </c>
      <c r="CN120" s="425">
        <f t="shared" si="293"/>
        <v>424</v>
      </c>
      <c r="CO120" s="425">
        <f t="shared" si="293"/>
        <v>424</v>
      </c>
      <c r="CP120" s="425">
        <f t="shared" si="294"/>
        <v>424</v>
      </c>
      <c r="CQ120" s="425">
        <f t="shared" si="294"/>
        <v>424</v>
      </c>
      <c r="CR120" s="425">
        <f t="shared" si="294"/>
        <v>424</v>
      </c>
      <c r="CS120" s="425">
        <f t="shared" si="294"/>
        <v>424</v>
      </c>
      <c r="CT120" s="425">
        <f t="shared" si="294"/>
        <v>424</v>
      </c>
      <c r="CU120" s="425">
        <f t="shared" si="294"/>
        <v>424</v>
      </c>
    </row>
    <row r="121" spans="42:156" x14ac:dyDescent="0.2">
      <c r="CB121" s="425">
        <f>'A-50 FGRailInv'!$C$69</f>
        <v>0</v>
      </c>
      <c r="CC121" s="425" t="str">
        <f>Valid!$B$77</f>
        <v>Below-Grade/Cut-and-Cover Tunnel</v>
      </c>
      <c r="CD121" s="425">
        <f>CD115</f>
        <v>405</v>
      </c>
      <c r="CE121" s="446">
        <f t="shared" si="292"/>
        <v>427</v>
      </c>
      <c r="CF121" s="446">
        <f t="shared" si="192"/>
        <v>427</v>
      </c>
      <c r="CG121" s="425">
        <f t="shared" si="293"/>
        <v>427</v>
      </c>
      <c r="CH121" s="425">
        <f t="shared" si="293"/>
        <v>427</v>
      </c>
      <c r="CI121" s="425">
        <f t="shared" si="293"/>
        <v>427</v>
      </c>
      <c r="CJ121" s="425">
        <f t="shared" si="293"/>
        <v>427</v>
      </c>
      <c r="CK121" s="425">
        <f t="shared" si="293"/>
        <v>427</v>
      </c>
      <c r="CL121" s="425">
        <f t="shared" si="293"/>
        <v>427</v>
      </c>
      <c r="CM121" s="425">
        <f t="shared" si="293"/>
        <v>427</v>
      </c>
      <c r="CN121" s="425">
        <f t="shared" si="293"/>
        <v>427</v>
      </c>
      <c r="CO121" s="425">
        <f t="shared" si="293"/>
        <v>427</v>
      </c>
      <c r="CP121" s="425">
        <f t="shared" si="294"/>
        <v>427</v>
      </c>
      <c r="CQ121" s="425">
        <f t="shared" si="294"/>
        <v>427</v>
      </c>
      <c r="CR121" s="425">
        <f t="shared" si="294"/>
        <v>427</v>
      </c>
      <c r="CS121" s="425">
        <f t="shared" si="294"/>
        <v>427</v>
      </c>
      <c r="CT121" s="425">
        <f t="shared" si="294"/>
        <v>427</v>
      </c>
      <c r="CU121" s="425">
        <f t="shared" si="294"/>
        <v>427</v>
      </c>
    </row>
    <row r="122" spans="42:156" x14ac:dyDescent="0.2">
      <c r="CA122" s="448"/>
      <c r="CB122" s="425">
        <f>'A-50 FGRailInv'!$C$69</f>
        <v>0</v>
      </c>
      <c r="CC122" s="425" t="str">
        <f>Valid!$B$78</f>
        <v>Below-Grade/Bored or Blasted Tunnel</v>
      </c>
      <c r="CD122" s="425">
        <f>CD115</f>
        <v>405</v>
      </c>
      <c r="CE122" s="446">
        <f t="shared" si="292"/>
        <v>430</v>
      </c>
      <c r="CF122" s="446">
        <f t="shared" si="192"/>
        <v>430</v>
      </c>
      <c r="CG122" s="425">
        <f t="shared" si="293"/>
        <v>430</v>
      </c>
      <c r="CH122" s="425">
        <f t="shared" si="293"/>
        <v>430</v>
      </c>
      <c r="CI122" s="425">
        <f t="shared" si="293"/>
        <v>430</v>
      </c>
      <c r="CJ122" s="425">
        <f t="shared" si="293"/>
        <v>430</v>
      </c>
      <c r="CK122" s="425">
        <f t="shared" si="293"/>
        <v>430</v>
      </c>
      <c r="CL122" s="425">
        <f t="shared" si="293"/>
        <v>430</v>
      </c>
      <c r="CM122" s="425">
        <f t="shared" si="293"/>
        <v>430</v>
      </c>
      <c r="CN122" s="425">
        <f t="shared" si="293"/>
        <v>430</v>
      </c>
      <c r="CO122" s="425">
        <f t="shared" si="293"/>
        <v>430</v>
      </c>
      <c r="CP122" s="425">
        <f t="shared" si="294"/>
        <v>430</v>
      </c>
      <c r="CQ122" s="425">
        <f t="shared" si="294"/>
        <v>430</v>
      </c>
      <c r="CR122" s="425">
        <f t="shared" si="294"/>
        <v>430</v>
      </c>
      <c r="CS122" s="425">
        <f t="shared" si="294"/>
        <v>430</v>
      </c>
      <c r="CT122" s="425">
        <f t="shared" si="294"/>
        <v>430</v>
      </c>
      <c r="CU122" s="425">
        <f t="shared" si="294"/>
        <v>430</v>
      </c>
    </row>
    <row r="123" spans="42:156" x14ac:dyDescent="0.2">
      <c r="CB123" s="425">
        <f>'A-50 FGRailInv'!$C$69</f>
        <v>0</v>
      </c>
      <c r="CC123" s="425" t="str">
        <f>Valid!$B$79</f>
        <v>Below-Grade/Submerged Tube</v>
      </c>
      <c r="CD123" s="425">
        <f>CD115</f>
        <v>405</v>
      </c>
      <c r="CE123" s="1199">
        <f t="shared" si="292"/>
        <v>433</v>
      </c>
      <c r="CF123" s="446">
        <f t="shared" si="192"/>
        <v>433</v>
      </c>
      <c r="CG123" s="425">
        <f t="shared" si="293"/>
        <v>433</v>
      </c>
      <c r="CH123" s="425">
        <f t="shared" si="293"/>
        <v>433</v>
      </c>
      <c r="CI123" s="425">
        <f t="shared" si="293"/>
        <v>433</v>
      </c>
      <c r="CJ123" s="425">
        <f t="shared" si="293"/>
        <v>433</v>
      </c>
      <c r="CK123" s="425">
        <f t="shared" si="293"/>
        <v>433</v>
      </c>
      <c r="CL123" s="425">
        <f t="shared" si="293"/>
        <v>433</v>
      </c>
      <c r="CM123" s="425">
        <f t="shared" si="293"/>
        <v>433</v>
      </c>
      <c r="CN123" s="425">
        <f t="shared" si="293"/>
        <v>433</v>
      </c>
      <c r="CO123" s="425">
        <f t="shared" si="293"/>
        <v>433</v>
      </c>
      <c r="CP123" s="425">
        <f t="shared" si="294"/>
        <v>433</v>
      </c>
      <c r="CQ123" s="425">
        <f t="shared" si="294"/>
        <v>433</v>
      </c>
      <c r="CR123" s="425">
        <f t="shared" si="294"/>
        <v>433</v>
      </c>
      <c r="CS123" s="425">
        <f t="shared" si="294"/>
        <v>433</v>
      </c>
      <c r="CT123" s="425">
        <f t="shared" si="294"/>
        <v>433</v>
      </c>
      <c r="CU123" s="425">
        <f t="shared" si="294"/>
        <v>433</v>
      </c>
    </row>
    <row r="124" spans="42:156" x14ac:dyDescent="0.2">
      <c r="CA124" s="448"/>
      <c r="CB124" s="425">
        <f>'A-50 FGRailInv'!$C$69</f>
        <v>0</v>
      </c>
      <c r="CC124" s="425" t="str">
        <f>Valid!$B$87</f>
        <v>Substation Building</v>
      </c>
      <c r="CD124" s="425">
        <f>CD116</f>
        <v>405</v>
      </c>
      <c r="CE124" s="1199">
        <f>CE123+$CE$8</f>
        <v>438</v>
      </c>
      <c r="CF124" s="446">
        <f t="shared" si="192"/>
        <v>438</v>
      </c>
      <c r="CG124" s="425">
        <f t="shared" si="293"/>
        <v>438</v>
      </c>
      <c r="CH124" s="425">
        <f t="shared" si="293"/>
        <v>438</v>
      </c>
      <c r="CI124" s="425">
        <f t="shared" si="293"/>
        <v>438</v>
      </c>
      <c r="CJ124" s="425">
        <f t="shared" si="293"/>
        <v>438</v>
      </c>
      <c r="CK124" s="425">
        <f t="shared" si="293"/>
        <v>438</v>
      </c>
      <c r="CL124" s="425">
        <f t="shared" si="293"/>
        <v>438</v>
      </c>
      <c r="CM124" s="425">
        <f t="shared" si="293"/>
        <v>438</v>
      </c>
      <c r="CN124" s="425">
        <f t="shared" si="293"/>
        <v>438</v>
      </c>
      <c r="CO124" s="425">
        <f t="shared" si="293"/>
        <v>438</v>
      </c>
      <c r="CP124" s="425">
        <f t="shared" si="294"/>
        <v>438</v>
      </c>
      <c r="CQ124" s="425">
        <f t="shared" si="294"/>
        <v>438</v>
      </c>
      <c r="CR124" s="425">
        <f t="shared" si="294"/>
        <v>438</v>
      </c>
      <c r="CS124" s="425">
        <f t="shared" si="294"/>
        <v>438</v>
      </c>
      <c r="CT124" s="425">
        <f t="shared" si="294"/>
        <v>438</v>
      </c>
      <c r="CU124" s="425">
        <f t="shared" si="294"/>
        <v>438</v>
      </c>
    </row>
    <row r="125" spans="42:156" x14ac:dyDescent="0.2">
      <c r="CA125" s="448"/>
      <c r="CB125" s="425">
        <f>'A-50 FGRailInv'!$C$69</f>
        <v>0</v>
      </c>
      <c r="CC125" s="425" t="str">
        <f>Valid!$B$88</f>
        <v>Substation Equipment</v>
      </c>
      <c r="CD125" s="425">
        <f>CD116</f>
        <v>405</v>
      </c>
      <c r="CE125" s="446">
        <f>CE124+$CE$7</f>
        <v>441</v>
      </c>
      <c r="CF125" s="446">
        <f t="shared" si="192"/>
        <v>441</v>
      </c>
      <c r="CG125" s="425">
        <f t="shared" si="293"/>
        <v>441</v>
      </c>
      <c r="CH125" s="425">
        <f t="shared" si="293"/>
        <v>441</v>
      </c>
      <c r="CI125" s="425">
        <f t="shared" si="293"/>
        <v>441</v>
      </c>
      <c r="CJ125" s="425">
        <f t="shared" si="293"/>
        <v>441</v>
      </c>
      <c r="CK125" s="425">
        <f t="shared" si="293"/>
        <v>441</v>
      </c>
      <c r="CL125" s="425">
        <f t="shared" si="293"/>
        <v>441</v>
      </c>
      <c r="CM125" s="425">
        <f t="shared" si="293"/>
        <v>441</v>
      </c>
      <c r="CN125" s="425">
        <f t="shared" si="293"/>
        <v>441</v>
      </c>
      <c r="CO125" s="425">
        <f t="shared" si="293"/>
        <v>441</v>
      </c>
      <c r="CP125" s="425">
        <f t="shared" si="294"/>
        <v>441</v>
      </c>
      <c r="CQ125" s="425">
        <f t="shared" si="294"/>
        <v>441</v>
      </c>
      <c r="CR125" s="425">
        <f t="shared" si="294"/>
        <v>441</v>
      </c>
      <c r="CS125" s="425">
        <f t="shared" si="294"/>
        <v>441</v>
      </c>
      <c r="CT125" s="425">
        <f t="shared" si="294"/>
        <v>441</v>
      </c>
      <c r="CU125" s="425">
        <f t="shared" si="294"/>
        <v>441</v>
      </c>
    </row>
    <row r="126" spans="42:156" x14ac:dyDescent="0.2">
      <c r="CA126" s="448"/>
      <c r="CB126" s="425">
        <f>'A-50 FGRailInv'!$C$69</f>
        <v>0</v>
      </c>
      <c r="CC126" s="425" t="str">
        <f>Valid!$B$89</f>
        <v>Third Rail/Power Distribution</v>
      </c>
      <c r="CD126" s="425">
        <f>CD117</f>
        <v>405</v>
      </c>
      <c r="CE126" s="446">
        <f>CE125+$CE$7</f>
        <v>444</v>
      </c>
      <c r="CF126" s="446">
        <f t="shared" si="192"/>
        <v>444</v>
      </c>
      <c r="CG126" s="425">
        <f t="shared" ref="CG126:CO135" si="296">$CE126</f>
        <v>444</v>
      </c>
      <c r="CH126" s="425">
        <f t="shared" si="296"/>
        <v>444</v>
      </c>
      <c r="CI126" s="425">
        <f t="shared" si="296"/>
        <v>444</v>
      </c>
      <c r="CJ126" s="425">
        <f t="shared" si="296"/>
        <v>444</v>
      </c>
      <c r="CK126" s="425">
        <f t="shared" si="296"/>
        <v>444</v>
      </c>
      <c r="CL126" s="425">
        <f t="shared" si="296"/>
        <v>444</v>
      </c>
      <c r="CM126" s="425">
        <f t="shared" si="296"/>
        <v>444</v>
      </c>
      <c r="CN126" s="425">
        <f t="shared" si="296"/>
        <v>444</v>
      </c>
      <c r="CO126" s="425">
        <f t="shared" si="296"/>
        <v>444</v>
      </c>
      <c r="CP126" s="425">
        <f t="shared" ref="CP126:CU135" si="297">$CE126</f>
        <v>444</v>
      </c>
      <c r="CQ126" s="425">
        <f t="shared" si="297"/>
        <v>444</v>
      </c>
      <c r="CR126" s="425">
        <f t="shared" si="297"/>
        <v>444</v>
      </c>
      <c r="CS126" s="425">
        <f t="shared" si="297"/>
        <v>444</v>
      </c>
      <c r="CT126" s="425">
        <f t="shared" si="297"/>
        <v>444</v>
      </c>
      <c r="CU126" s="425">
        <f t="shared" si="297"/>
        <v>444</v>
      </c>
    </row>
    <row r="127" spans="42:156" x14ac:dyDescent="0.2">
      <c r="CA127" s="448"/>
      <c r="CB127" s="425">
        <f>'A-50 FGRailInv'!$C$69</f>
        <v>0</v>
      </c>
      <c r="CC127" s="425" t="str">
        <f>Valid!$B$90</f>
        <v>Overhead Contact System/Power Distribution</v>
      </c>
      <c r="CD127" s="425">
        <f>CD118</f>
        <v>405</v>
      </c>
      <c r="CE127" s="446">
        <f>CE126+$CE$7</f>
        <v>447</v>
      </c>
      <c r="CF127" s="446">
        <f t="shared" si="192"/>
        <v>447</v>
      </c>
      <c r="CG127" s="425">
        <f t="shared" si="296"/>
        <v>447</v>
      </c>
      <c r="CH127" s="425">
        <f t="shared" si="296"/>
        <v>447</v>
      </c>
      <c r="CI127" s="425">
        <f t="shared" si="296"/>
        <v>447</v>
      </c>
      <c r="CJ127" s="425">
        <f t="shared" si="296"/>
        <v>447</v>
      </c>
      <c r="CK127" s="425">
        <f t="shared" si="296"/>
        <v>447</v>
      </c>
      <c r="CL127" s="425">
        <f t="shared" si="296"/>
        <v>447</v>
      </c>
      <c r="CM127" s="425">
        <f t="shared" si="296"/>
        <v>447</v>
      </c>
      <c r="CN127" s="425">
        <f t="shared" si="296"/>
        <v>447</v>
      </c>
      <c r="CO127" s="425">
        <f t="shared" si="296"/>
        <v>447</v>
      </c>
      <c r="CP127" s="425">
        <f t="shared" si="297"/>
        <v>447</v>
      </c>
      <c r="CQ127" s="425">
        <f t="shared" si="297"/>
        <v>447</v>
      </c>
      <c r="CR127" s="425">
        <f t="shared" si="297"/>
        <v>447</v>
      </c>
      <c r="CS127" s="425">
        <f t="shared" si="297"/>
        <v>447</v>
      </c>
      <c r="CT127" s="425">
        <f t="shared" si="297"/>
        <v>447</v>
      </c>
      <c r="CU127" s="425">
        <f t="shared" si="297"/>
        <v>447</v>
      </c>
    </row>
    <row r="128" spans="42:156" x14ac:dyDescent="0.2">
      <c r="CA128" s="448"/>
      <c r="CB128" s="425">
        <f>'A-50 FGRailInv'!$C$69</f>
        <v>0</v>
      </c>
      <c r="CC128" s="425" t="str">
        <f>Valid!$B$91</f>
        <v>Train Control &amp; Signaling</v>
      </c>
      <c r="CD128" s="425">
        <f>CD119</f>
        <v>405</v>
      </c>
      <c r="CE128" s="446">
        <f>CE127+$CE$7</f>
        <v>450</v>
      </c>
      <c r="CF128" s="446">
        <f t="shared" si="192"/>
        <v>450</v>
      </c>
      <c r="CG128" s="425">
        <f t="shared" si="296"/>
        <v>450</v>
      </c>
      <c r="CH128" s="425">
        <f t="shared" si="296"/>
        <v>450</v>
      </c>
      <c r="CI128" s="425">
        <f t="shared" si="296"/>
        <v>450</v>
      </c>
      <c r="CJ128" s="425">
        <f t="shared" si="296"/>
        <v>450</v>
      </c>
      <c r="CK128" s="425">
        <f t="shared" si="296"/>
        <v>450</v>
      </c>
      <c r="CL128" s="425">
        <f t="shared" si="296"/>
        <v>450</v>
      </c>
      <c r="CM128" s="425">
        <f t="shared" si="296"/>
        <v>450</v>
      </c>
      <c r="CN128" s="425">
        <f t="shared" si="296"/>
        <v>450</v>
      </c>
      <c r="CO128" s="425">
        <f t="shared" si="296"/>
        <v>450</v>
      </c>
      <c r="CP128" s="425">
        <f t="shared" si="297"/>
        <v>450</v>
      </c>
      <c r="CQ128" s="425">
        <f t="shared" si="297"/>
        <v>450</v>
      </c>
      <c r="CR128" s="425">
        <f t="shared" si="297"/>
        <v>450</v>
      </c>
      <c r="CS128" s="425">
        <f t="shared" si="297"/>
        <v>450</v>
      </c>
      <c r="CT128" s="425">
        <f t="shared" si="297"/>
        <v>450</v>
      </c>
      <c r="CU128" s="425">
        <f t="shared" si="297"/>
        <v>450</v>
      </c>
    </row>
    <row r="129" spans="79:99" x14ac:dyDescent="0.2">
      <c r="CA129" s="448"/>
      <c r="CB129" s="425">
        <f>'A-50 FGRailInv'!$C$69</f>
        <v>0</v>
      </c>
      <c r="CC129" s="425" t="str">
        <f>Valid!$B$71</f>
        <v>At-Grade/Ballast (including expressway)</v>
      </c>
      <c r="CD129" s="425">
        <f>CD115+$CD$7</f>
        <v>461</v>
      </c>
      <c r="CE129" s="446">
        <f>CE128+$CE$9</f>
        <v>465</v>
      </c>
      <c r="CF129" s="446">
        <f t="shared" si="192"/>
        <v>465</v>
      </c>
      <c r="CG129" s="425">
        <f t="shared" si="296"/>
        <v>465</v>
      </c>
      <c r="CH129" s="425">
        <f t="shared" si="296"/>
        <v>465</v>
      </c>
      <c r="CI129" s="425">
        <f t="shared" si="296"/>
        <v>465</v>
      </c>
      <c r="CJ129" s="425">
        <f t="shared" si="296"/>
        <v>465</v>
      </c>
      <c r="CK129" s="425">
        <f t="shared" si="296"/>
        <v>465</v>
      </c>
      <c r="CL129" s="425">
        <f t="shared" si="296"/>
        <v>465</v>
      </c>
      <c r="CM129" s="425">
        <f t="shared" si="296"/>
        <v>465</v>
      </c>
      <c r="CN129" s="425">
        <f t="shared" si="296"/>
        <v>465</v>
      </c>
      <c r="CO129" s="425">
        <f t="shared" si="296"/>
        <v>465</v>
      </c>
      <c r="CP129" s="425">
        <f t="shared" si="297"/>
        <v>465</v>
      </c>
      <c r="CQ129" s="425">
        <f t="shared" si="297"/>
        <v>465</v>
      </c>
      <c r="CR129" s="425">
        <f t="shared" si="297"/>
        <v>465</v>
      </c>
      <c r="CS129" s="425">
        <f t="shared" si="297"/>
        <v>465</v>
      </c>
      <c r="CT129" s="425">
        <f t="shared" si="297"/>
        <v>465</v>
      </c>
      <c r="CU129" s="425">
        <f t="shared" si="297"/>
        <v>465</v>
      </c>
    </row>
    <row r="130" spans="79:99" x14ac:dyDescent="0.2">
      <c r="CA130" s="448"/>
      <c r="CB130" s="425">
        <f>'A-50 FGRailInv'!$C$69</f>
        <v>0</v>
      </c>
      <c r="CC130" s="425" t="str">
        <f>Valid!$B$72</f>
        <v>At-Grade/In-Street/Embedded</v>
      </c>
      <c r="CD130" s="425">
        <f>CD129</f>
        <v>461</v>
      </c>
      <c r="CE130" s="1199">
        <f t="shared" ref="CE130:CE137" si="298">CE129+$CE$7</f>
        <v>468</v>
      </c>
      <c r="CF130" s="446">
        <f t="shared" si="192"/>
        <v>468</v>
      </c>
      <c r="CG130" s="425">
        <f t="shared" si="296"/>
        <v>468</v>
      </c>
      <c r="CH130" s="425">
        <f t="shared" si="296"/>
        <v>468</v>
      </c>
      <c r="CI130" s="425">
        <f t="shared" si="296"/>
        <v>468</v>
      </c>
      <c r="CJ130" s="425">
        <f t="shared" si="296"/>
        <v>468</v>
      </c>
      <c r="CK130" s="425">
        <f t="shared" si="296"/>
        <v>468</v>
      </c>
      <c r="CL130" s="425">
        <f t="shared" si="296"/>
        <v>468</v>
      </c>
      <c r="CM130" s="425">
        <f t="shared" si="296"/>
        <v>468</v>
      </c>
      <c r="CN130" s="425">
        <f t="shared" si="296"/>
        <v>468</v>
      </c>
      <c r="CO130" s="425">
        <f t="shared" si="296"/>
        <v>468</v>
      </c>
      <c r="CP130" s="425">
        <f t="shared" si="297"/>
        <v>468</v>
      </c>
      <c r="CQ130" s="425">
        <f t="shared" si="297"/>
        <v>468</v>
      </c>
      <c r="CR130" s="425">
        <f t="shared" si="297"/>
        <v>468</v>
      </c>
      <c r="CS130" s="425">
        <f t="shared" si="297"/>
        <v>468</v>
      </c>
      <c r="CT130" s="425">
        <f t="shared" si="297"/>
        <v>468</v>
      </c>
      <c r="CU130" s="425">
        <f t="shared" si="297"/>
        <v>468</v>
      </c>
    </row>
    <row r="131" spans="79:99" x14ac:dyDescent="0.2">
      <c r="CA131" s="448">
        <f>CA112+1</f>
        <v>7</v>
      </c>
      <c r="CB131" s="425">
        <f>'A-50 FGRailInv'!$C$69</f>
        <v>0</v>
      </c>
      <c r="CC131" s="425" t="str">
        <f>Valid!$B$73</f>
        <v>Elevated/Retained Fill</v>
      </c>
      <c r="CD131" s="425">
        <f>CD129</f>
        <v>461</v>
      </c>
      <c r="CE131" s="446">
        <f t="shared" si="298"/>
        <v>471</v>
      </c>
      <c r="CF131" s="446">
        <f t="shared" si="192"/>
        <v>471</v>
      </c>
      <c r="CG131" s="425">
        <f t="shared" si="296"/>
        <v>471</v>
      </c>
      <c r="CH131" s="425">
        <f t="shared" si="296"/>
        <v>471</v>
      </c>
      <c r="CI131" s="425">
        <f t="shared" si="296"/>
        <v>471</v>
      </c>
      <c r="CJ131" s="425">
        <f t="shared" si="296"/>
        <v>471</v>
      </c>
      <c r="CK131" s="425">
        <f t="shared" si="296"/>
        <v>471</v>
      </c>
      <c r="CL131" s="425">
        <f t="shared" si="296"/>
        <v>471</v>
      </c>
      <c r="CM131" s="425">
        <f t="shared" si="296"/>
        <v>471</v>
      </c>
      <c r="CN131" s="425">
        <f t="shared" si="296"/>
        <v>471</v>
      </c>
      <c r="CO131" s="425">
        <f t="shared" si="296"/>
        <v>471</v>
      </c>
      <c r="CP131" s="425">
        <f t="shared" si="297"/>
        <v>471</v>
      </c>
      <c r="CQ131" s="425">
        <f t="shared" si="297"/>
        <v>471</v>
      </c>
      <c r="CR131" s="425">
        <f t="shared" si="297"/>
        <v>471</v>
      </c>
      <c r="CS131" s="425">
        <f t="shared" si="297"/>
        <v>471</v>
      </c>
      <c r="CT131" s="425">
        <f t="shared" si="297"/>
        <v>471</v>
      </c>
      <c r="CU131" s="425">
        <f t="shared" si="297"/>
        <v>471</v>
      </c>
    </row>
    <row r="132" spans="79:99" x14ac:dyDescent="0.2">
      <c r="CA132" s="448"/>
      <c r="CB132" s="425">
        <f>'A-50 FGRailInv'!$C$69</f>
        <v>0</v>
      </c>
      <c r="CC132" s="425" t="str">
        <f>Valid!$B$74</f>
        <v>Elevated/Concrete</v>
      </c>
      <c r="CD132" s="425">
        <f>CD129</f>
        <v>461</v>
      </c>
      <c r="CE132" s="446">
        <f t="shared" si="298"/>
        <v>474</v>
      </c>
      <c r="CF132" s="446">
        <f t="shared" si="192"/>
        <v>474</v>
      </c>
      <c r="CG132" s="425">
        <f t="shared" si="296"/>
        <v>474</v>
      </c>
      <c r="CH132" s="425">
        <f t="shared" si="296"/>
        <v>474</v>
      </c>
      <c r="CI132" s="425">
        <f t="shared" si="296"/>
        <v>474</v>
      </c>
      <c r="CJ132" s="425">
        <f t="shared" si="296"/>
        <v>474</v>
      </c>
      <c r="CK132" s="425">
        <f t="shared" si="296"/>
        <v>474</v>
      </c>
      <c r="CL132" s="425">
        <f t="shared" si="296"/>
        <v>474</v>
      </c>
      <c r="CM132" s="425">
        <f t="shared" si="296"/>
        <v>474</v>
      </c>
      <c r="CN132" s="425">
        <f t="shared" si="296"/>
        <v>474</v>
      </c>
      <c r="CO132" s="425">
        <f t="shared" si="296"/>
        <v>474</v>
      </c>
      <c r="CP132" s="425">
        <f t="shared" si="297"/>
        <v>474</v>
      </c>
      <c r="CQ132" s="425">
        <f t="shared" si="297"/>
        <v>474</v>
      </c>
      <c r="CR132" s="425">
        <f t="shared" si="297"/>
        <v>474</v>
      </c>
      <c r="CS132" s="425">
        <f t="shared" si="297"/>
        <v>474</v>
      </c>
      <c r="CT132" s="425">
        <f t="shared" si="297"/>
        <v>474</v>
      </c>
      <c r="CU132" s="425">
        <f t="shared" si="297"/>
        <v>474</v>
      </c>
    </row>
    <row r="133" spans="79:99" x14ac:dyDescent="0.2">
      <c r="CA133" s="448"/>
      <c r="CB133" s="425">
        <f>'A-50 FGRailInv'!$C$69</f>
        <v>0</v>
      </c>
      <c r="CC133" s="425" t="str">
        <f>Valid!$B$75</f>
        <v>Elevated/Steel Viaduct or Bridge</v>
      </c>
      <c r="CD133" s="425">
        <f>CD129</f>
        <v>461</v>
      </c>
      <c r="CE133" s="446">
        <f t="shared" si="298"/>
        <v>477</v>
      </c>
      <c r="CF133" s="446">
        <f t="shared" si="192"/>
        <v>477</v>
      </c>
      <c r="CG133" s="425">
        <f t="shared" si="296"/>
        <v>477</v>
      </c>
      <c r="CH133" s="425">
        <f t="shared" si="296"/>
        <v>477</v>
      </c>
      <c r="CI133" s="425">
        <f t="shared" si="296"/>
        <v>477</v>
      </c>
      <c r="CJ133" s="425">
        <f t="shared" si="296"/>
        <v>477</v>
      </c>
      <c r="CK133" s="425">
        <f t="shared" si="296"/>
        <v>477</v>
      </c>
      <c r="CL133" s="425">
        <f t="shared" si="296"/>
        <v>477</v>
      </c>
      <c r="CM133" s="425">
        <f t="shared" si="296"/>
        <v>477</v>
      </c>
      <c r="CN133" s="425">
        <f t="shared" si="296"/>
        <v>477</v>
      </c>
      <c r="CO133" s="425">
        <f t="shared" si="296"/>
        <v>477</v>
      </c>
      <c r="CP133" s="425">
        <f t="shared" si="297"/>
        <v>477</v>
      </c>
      <c r="CQ133" s="425">
        <f t="shared" si="297"/>
        <v>477</v>
      </c>
      <c r="CR133" s="425">
        <f t="shared" si="297"/>
        <v>477</v>
      </c>
      <c r="CS133" s="425">
        <f t="shared" si="297"/>
        <v>477</v>
      </c>
      <c r="CT133" s="425">
        <f t="shared" si="297"/>
        <v>477</v>
      </c>
      <c r="CU133" s="425">
        <f t="shared" si="297"/>
        <v>477</v>
      </c>
    </row>
    <row r="134" spans="79:99" x14ac:dyDescent="0.2">
      <c r="CA134" s="448"/>
      <c r="CB134" s="425">
        <f>'A-50 FGRailInv'!$C$69</f>
        <v>0</v>
      </c>
      <c r="CC134" s="425" t="str">
        <f>Valid!$B$76</f>
        <v>Below-Grade/Retained Cut</v>
      </c>
      <c r="CD134" s="425">
        <f>CD129</f>
        <v>461</v>
      </c>
      <c r="CE134" s="1199">
        <f t="shared" si="298"/>
        <v>480</v>
      </c>
      <c r="CF134" s="446">
        <f t="shared" si="192"/>
        <v>480</v>
      </c>
      <c r="CG134" s="425">
        <f t="shared" si="296"/>
        <v>480</v>
      </c>
      <c r="CH134" s="425">
        <f t="shared" si="296"/>
        <v>480</v>
      </c>
      <c r="CI134" s="425">
        <f t="shared" si="296"/>
        <v>480</v>
      </c>
      <c r="CJ134" s="425">
        <f t="shared" si="296"/>
        <v>480</v>
      </c>
      <c r="CK134" s="425">
        <f t="shared" si="296"/>
        <v>480</v>
      </c>
      <c r="CL134" s="425">
        <f t="shared" si="296"/>
        <v>480</v>
      </c>
      <c r="CM134" s="425">
        <f t="shared" si="296"/>
        <v>480</v>
      </c>
      <c r="CN134" s="425">
        <f t="shared" si="296"/>
        <v>480</v>
      </c>
      <c r="CO134" s="425">
        <f t="shared" si="296"/>
        <v>480</v>
      </c>
      <c r="CP134" s="425">
        <f t="shared" si="297"/>
        <v>480</v>
      </c>
      <c r="CQ134" s="425">
        <f t="shared" si="297"/>
        <v>480</v>
      </c>
      <c r="CR134" s="425">
        <f t="shared" si="297"/>
        <v>480</v>
      </c>
      <c r="CS134" s="425">
        <f t="shared" si="297"/>
        <v>480</v>
      </c>
      <c r="CT134" s="425">
        <f t="shared" si="297"/>
        <v>480</v>
      </c>
      <c r="CU134" s="425">
        <f t="shared" si="297"/>
        <v>480</v>
      </c>
    </row>
    <row r="135" spans="79:99" x14ac:dyDescent="0.2">
      <c r="CA135" s="448"/>
      <c r="CB135" s="425">
        <f>'A-50 FGRailInv'!$C$69</f>
        <v>0</v>
      </c>
      <c r="CC135" s="425" t="str">
        <f>Valid!$B$77</f>
        <v>Below-Grade/Cut-and-Cover Tunnel</v>
      </c>
      <c r="CD135" s="425">
        <f>CD129</f>
        <v>461</v>
      </c>
      <c r="CE135" s="446">
        <f t="shared" si="298"/>
        <v>483</v>
      </c>
      <c r="CF135" s="446">
        <f t="shared" si="192"/>
        <v>483</v>
      </c>
      <c r="CG135" s="425">
        <f t="shared" si="296"/>
        <v>483</v>
      </c>
      <c r="CH135" s="425">
        <f t="shared" si="296"/>
        <v>483</v>
      </c>
      <c r="CI135" s="425">
        <f t="shared" si="296"/>
        <v>483</v>
      </c>
      <c r="CJ135" s="425">
        <f t="shared" si="296"/>
        <v>483</v>
      </c>
      <c r="CK135" s="425">
        <f t="shared" si="296"/>
        <v>483</v>
      </c>
      <c r="CL135" s="425">
        <f t="shared" si="296"/>
        <v>483</v>
      </c>
      <c r="CM135" s="425">
        <f t="shared" si="296"/>
        <v>483</v>
      </c>
      <c r="CN135" s="425">
        <f t="shared" si="296"/>
        <v>483</v>
      </c>
      <c r="CO135" s="425">
        <f t="shared" si="296"/>
        <v>483</v>
      </c>
      <c r="CP135" s="425">
        <f t="shared" si="297"/>
        <v>483</v>
      </c>
      <c r="CQ135" s="425">
        <f t="shared" si="297"/>
        <v>483</v>
      </c>
      <c r="CR135" s="425">
        <f t="shared" si="297"/>
        <v>483</v>
      </c>
      <c r="CS135" s="425">
        <f t="shared" si="297"/>
        <v>483</v>
      </c>
      <c r="CT135" s="425">
        <f t="shared" si="297"/>
        <v>483</v>
      </c>
      <c r="CU135" s="425">
        <f t="shared" si="297"/>
        <v>483</v>
      </c>
    </row>
    <row r="136" spans="79:99" x14ac:dyDescent="0.2">
      <c r="CA136" s="448"/>
      <c r="CB136" s="425">
        <f>'A-50 FGRailInv'!$C$69</f>
        <v>0</v>
      </c>
      <c r="CC136" s="425" t="str">
        <f>Valid!$B$78</f>
        <v>Below-Grade/Bored or Blasted Tunnel</v>
      </c>
      <c r="CD136" s="425">
        <f>CD129</f>
        <v>461</v>
      </c>
      <c r="CE136" s="446">
        <f t="shared" si="298"/>
        <v>486</v>
      </c>
      <c r="CF136" s="446">
        <f t="shared" si="192"/>
        <v>486</v>
      </c>
      <c r="CG136" s="425">
        <f t="shared" ref="CG136:CO145" si="299">$CE136</f>
        <v>486</v>
      </c>
      <c r="CH136" s="425">
        <f t="shared" si="299"/>
        <v>486</v>
      </c>
      <c r="CI136" s="425">
        <f t="shared" si="299"/>
        <v>486</v>
      </c>
      <c r="CJ136" s="425">
        <f t="shared" si="299"/>
        <v>486</v>
      </c>
      <c r="CK136" s="425">
        <f t="shared" si="299"/>
        <v>486</v>
      </c>
      <c r="CL136" s="425">
        <f t="shared" si="299"/>
        <v>486</v>
      </c>
      <c r="CM136" s="425">
        <f t="shared" si="299"/>
        <v>486</v>
      </c>
      <c r="CN136" s="425">
        <f t="shared" si="299"/>
        <v>486</v>
      </c>
      <c r="CO136" s="425">
        <f t="shared" si="299"/>
        <v>486</v>
      </c>
      <c r="CP136" s="425">
        <f t="shared" ref="CP136:CU145" si="300">$CE136</f>
        <v>486</v>
      </c>
      <c r="CQ136" s="425">
        <f t="shared" si="300"/>
        <v>486</v>
      </c>
      <c r="CR136" s="425">
        <f t="shared" si="300"/>
        <v>486</v>
      </c>
      <c r="CS136" s="425">
        <f t="shared" si="300"/>
        <v>486</v>
      </c>
      <c r="CT136" s="425">
        <f t="shared" si="300"/>
        <v>486</v>
      </c>
      <c r="CU136" s="425">
        <f t="shared" si="300"/>
        <v>486</v>
      </c>
    </row>
    <row r="137" spans="79:99" x14ac:dyDescent="0.2">
      <c r="CA137" s="448"/>
      <c r="CB137" s="425">
        <f>'A-50 FGRailInv'!$C$69</f>
        <v>0</v>
      </c>
      <c r="CC137" s="425" t="str">
        <f>Valid!$B$79</f>
        <v>Below-Grade/Submerged Tube</v>
      </c>
      <c r="CD137" s="425">
        <f>CD129</f>
        <v>461</v>
      </c>
      <c r="CE137" s="1199">
        <f t="shared" si="298"/>
        <v>489</v>
      </c>
      <c r="CF137" s="446">
        <f t="shared" si="192"/>
        <v>489</v>
      </c>
      <c r="CG137" s="425">
        <f t="shared" si="299"/>
        <v>489</v>
      </c>
      <c r="CH137" s="425">
        <f t="shared" si="299"/>
        <v>489</v>
      </c>
      <c r="CI137" s="425">
        <f t="shared" si="299"/>
        <v>489</v>
      </c>
      <c r="CJ137" s="425">
        <f t="shared" si="299"/>
        <v>489</v>
      </c>
      <c r="CK137" s="425">
        <f t="shared" si="299"/>
        <v>489</v>
      </c>
      <c r="CL137" s="425">
        <f t="shared" si="299"/>
        <v>489</v>
      </c>
      <c r="CM137" s="425">
        <f t="shared" si="299"/>
        <v>489</v>
      </c>
      <c r="CN137" s="425">
        <f t="shared" si="299"/>
        <v>489</v>
      </c>
      <c r="CO137" s="425">
        <f t="shared" si="299"/>
        <v>489</v>
      </c>
      <c r="CP137" s="425">
        <f t="shared" si="300"/>
        <v>489</v>
      </c>
      <c r="CQ137" s="425">
        <f t="shared" si="300"/>
        <v>489</v>
      </c>
      <c r="CR137" s="425">
        <f t="shared" si="300"/>
        <v>489</v>
      </c>
      <c r="CS137" s="425">
        <f t="shared" si="300"/>
        <v>489</v>
      </c>
      <c r="CT137" s="425">
        <f t="shared" si="300"/>
        <v>489</v>
      </c>
      <c r="CU137" s="425">
        <f t="shared" si="300"/>
        <v>489</v>
      </c>
    </row>
    <row r="138" spans="79:99" x14ac:dyDescent="0.2">
      <c r="CA138" s="448"/>
      <c r="CB138" s="425">
        <f>'A-50 FGRailInv'!$C$69</f>
        <v>0</v>
      </c>
      <c r="CC138" s="425" t="str">
        <f>Valid!$B$87</f>
        <v>Substation Building</v>
      </c>
      <c r="CD138" s="425">
        <f>CD129</f>
        <v>461</v>
      </c>
      <c r="CE138" s="1199">
        <f>CE137+$CE$8</f>
        <v>494</v>
      </c>
      <c r="CF138" s="446">
        <f t="shared" si="192"/>
        <v>494</v>
      </c>
      <c r="CG138" s="425">
        <f t="shared" si="299"/>
        <v>494</v>
      </c>
      <c r="CH138" s="425">
        <f t="shared" si="299"/>
        <v>494</v>
      </c>
      <c r="CI138" s="425">
        <f t="shared" si="299"/>
        <v>494</v>
      </c>
      <c r="CJ138" s="425">
        <f t="shared" si="299"/>
        <v>494</v>
      </c>
      <c r="CK138" s="425">
        <f t="shared" si="299"/>
        <v>494</v>
      </c>
      <c r="CL138" s="425">
        <f t="shared" si="299"/>
        <v>494</v>
      </c>
      <c r="CM138" s="425">
        <f t="shared" si="299"/>
        <v>494</v>
      </c>
      <c r="CN138" s="425">
        <f t="shared" si="299"/>
        <v>494</v>
      </c>
      <c r="CO138" s="425">
        <f t="shared" si="299"/>
        <v>494</v>
      </c>
      <c r="CP138" s="425">
        <f t="shared" si="300"/>
        <v>494</v>
      </c>
      <c r="CQ138" s="425">
        <f t="shared" si="300"/>
        <v>494</v>
      </c>
      <c r="CR138" s="425">
        <f t="shared" si="300"/>
        <v>494</v>
      </c>
      <c r="CS138" s="425">
        <f t="shared" si="300"/>
        <v>494</v>
      </c>
      <c r="CT138" s="425">
        <f t="shared" si="300"/>
        <v>494</v>
      </c>
      <c r="CU138" s="425">
        <f t="shared" si="300"/>
        <v>494</v>
      </c>
    </row>
    <row r="139" spans="79:99" x14ac:dyDescent="0.2">
      <c r="CA139" s="448"/>
      <c r="CB139" s="425">
        <f>'A-50 FGRailInv'!$C$69</f>
        <v>0</v>
      </c>
      <c r="CC139" s="425" t="str">
        <f>Valid!$B$88</f>
        <v>Substation Equipment</v>
      </c>
      <c r="CD139" s="425">
        <f>CD130</f>
        <v>461</v>
      </c>
      <c r="CE139" s="446">
        <f>CE138+$CE$7</f>
        <v>497</v>
      </c>
      <c r="CF139" s="446">
        <f t="shared" si="192"/>
        <v>497</v>
      </c>
      <c r="CG139" s="425">
        <f t="shared" si="299"/>
        <v>497</v>
      </c>
      <c r="CH139" s="425">
        <f t="shared" si="299"/>
        <v>497</v>
      </c>
      <c r="CI139" s="425">
        <f t="shared" si="299"/>
        <v>497</v>
      </c>
      <c r="CJ139" s="425">
        <f t="shared" si="299"/>
        <v>497</v>
      </c>
      <c r="CK139" s="425">
        <f t="shared" si="299"/>
        <v>497</v>
      </c>
      <c r="CL139" s="425">
        <f t="shared" si="299"/>
        <v>497</v>
      </c>
      <c r="CM139" s="425">
        <f t="shared" si="299"/>
        <v>497</v>
      </c>
      <c r="CN139" s="425">
        <f t="shared" si="299"/>
        <v>497</v>
      </c>
      <c r="CO139" s="425">
        <f t="shared" si="299"/>
        <v>497</v>
      </c>
      <c r="CP139" s="425">
        <f t="shared" si="300"/>
        <v>497</v>
      </c>
      <c r="CQ139" s="425">
        <f t="shared" si="300"/>
        <v>497</v>
      </c>
      <c r="CR139" s="425">
        <f t="shared" si="300"/>
        <v>497</v>
      </c>
      <c r="CS139" s="425">
        <f t="shared" si="300"/>
        <v>497</v>
      </c>
      <c r="CT139" s="425">
        <f t="shared" si="300"/>
        <v>497</v>
      </c>
      <c r="CU139" s="425">
        <f t="shared" si="300"/>
        <v>497</v>
      </c>
    </row>
    <row r="140" spans="79:99" x14ac:dyDescent="0.2">
      <c r="CA140" s="448"/>
      <c r="CB140" s="425">
        <f>'A-50 FGRailInv'!$C$69</f>
        <v>0</v>
      </c>
      <c r="CC140" s="425" t="str">
        <f>Valid!$B$89</f>
        <v>Third Rail/Power Distribution</v>
      </c>
      <c r="CD140" s="425">
        <f>CD131</f>
        <v>461</v>
      </c>
      <c r="CE140" s="446">
        <f>CE139+$CE$7</f>
        <v>500</v>
      </c>
      <c r="CF140" s="446">
        <f t="shared" si="192"/>
        <v>500</v>
      </c>
      <c r="CG140" s="425">
        <f t="shared" si="299"/>
        <v>500</v>
      </c>
      <c r="CH140" s="425">
        <f t="shared" si="299"/>
        <v>500</v>
      </c>
      <c r="CI140" s="425">
        <f t="shared" si="299"/>
        <v>500</v>
      </c>
      <c r="CJ140" s="425">
        <f t="shared" si="299"/>
        <v>500</v>
      </c>
      <c r="CK140" s="425">
        <f t="shared" si="299"/>
        <v>500</v>
      </c>
      <c r="CL140" s="425">
        <f t="shared" si="299"/>
        <v>500</v>
      </c>
      <c r="CM140" s="425">
        <f t="shared" si="299"/>
        <v>500</v>
      </c>
      <c r="CN140" s="425">
        <f t="shared" si="299"/>
        <v>500</v>
      </c>
      <c r="CO140" s="425">
        <f t="shared" si="299"/>
        <v>500</v>
      </c>
      <c r="CP140" s="425">
        <f t="shared" si="300"/>
        <v>500</v>
      </c>
      <c r="CQ140" s="425">
        <f t="shared" si="300"/>
        <v>500</v>
      </c>
      <c r="CR140" s="425">
        <f t="shared" si="300"/>
        <v>500</v>
      </c>
      <c r="CS140" s="425">
        <f t="shared" si="300"/>
        <v>500</v>
      </c>
      <c r="CT140" s="425">
        <f t="shared" si="300"/>
        <v>500</v>
      </c>
      <c r="CU140" s="425">
        <f t="shared" si="300"/>
        <v>500</v>
      </c>
    </row>
    <row r="141" spans="79:99" x14ac:dyDescent="0.2">
      <c r="CA141" s="448"/>
      <c r="CB141" s="425">
        <f>'A-50 FGRailInv'!$C$69</f>
        <v>0</v>
      </c>
      <c r="CC141" s="425" t="str">
        <f>Valid!$B$90</f>
        <v>Overhead Contact System/Power Distribution</v>
      </c>
      <c r="CD141" s="425">
        <f>CD132</f>
        <v>461</v>
      </c>
      <c r="CE141" s="446">
        <f>CE140+$CE$7</f>
        <v>503</v>
      </c>
      <c r="CF141" s="446">
        <f t="shared" si="192"/>
        <v>503</v>
      </c>
      <c r="CG141" s="425">
        <f t="shared" si="299"/>
        <v>503</v>
      </c>
      <c r="CH141" s="425">
        <f t="shared" si="299"/>
        <v>503</v>
      </c>
      <c r="CI141" s="425">
        <f t="shared" si="299"/>
        <v>503</v>
      </c>
      <c r="CJ141" s="425">
        <f t="shared" si="299"/>
        <v>503</v>
      </c>
      <c r="CK141" s="425">
        <f t="shared" si="299"/>
        <v>503</v>
      </c>
      <c r="CL141" s="425">
        <f t="shared" si="299"/>
        <v>503</v>
      </c>
      <c r="CM141" s="425">
        <f t="shared" si="299"/>
        <v>503</v>
      </c>
      <c r="CN141" s="425">
        <f t="shared" si="299"/>
        <v>503</v>
      </c>
      <c r="CO141" s="425">
        <f t="shared" si="299"/>
        <v>503</v>
      </c>
      <c r="CP141" s="425">
        <f t="shared" si="300"/>
        <v>503</v>
      </c>
      <c r="CQ141" s="425">
        <f t="shared" si="300"/>
        <v>503</v>
      </c>
      <c r="CR141" s="425">
        <f t="shared" si="300"/>
        <v>503</v>
      </c>
      <c r="CS141" s="425">
        <f t="shared" si="300"/>
        <v>503</v>
      </c>
      <c r="CT141" s="425">
        <f t="shared" si="300"/>
        <v>503</v>
      </c>
      <c r="CU141" s="425">
        <f t="shared" si="300"/>
        <v>503</v>
      </c>
    </row>
    <row r="142" spans="79:99" x14ac:dyDescent="0.2">
      <c r="CA142" s="448"/>
      <c r="CB142" s="425">
        <f>'A-50 FGRailInv'!$C$69</f>
        <v>0</v>
      </c>
      <c r="CC142" s="425" t="str">
        <f>Valid!$B$91</f>
        <v>Train Control &amp; Signaling</v>
      </c>
      <c r="CD142" s="425">
        <f>CD133</f>
        <v>461</v>
      </c>
      <c r="CE142" s="446">
        <f>CE141+$CE$7</f>
        <v>506</v>
      </c>
      <c r="CF142" s="446">
        <f t="shared" si="192"/>
        <v>506</v>
      </c>
      <c r="CG142" s="425">
        <f t="shared" si="299"/>
        <v>506</v>
      </c>
      <c r="CH142" s="425">
        <f t="shared" si="299"/>
        <v>506</v>
      </c>
      <c r="CI142" s="425">
        <f t="shared" si="299"/>
        <v>506</v>
      </c>
      <c r="CJ142" s="425">
        <f t="shared" si="299"/>
        <v>506</v>
      </c>
      <c r="CK142" s="425">
        <f t="shared" si="299"/>
        <v>506</v>
      </c>
      <c r="CL142" s="425">
        <f t="shared" si="299"/>
        <v>506</v>
      </c>
      <c r="CM142" s="425">
        <f t="shared" si="299"/>
        <v>506</v>
      </c>
      <c r="CN142" s="425">
        <f t="shared" si="299"/>
        <v>506</v>
      </c>
      <c r="CO142" s="425">
        <f t="shared" si="299"/>
        <v>506</v>
      </c>
      <c r="CP142" s="425">
        <f t="shared" si="300"/>
        <v>506</v>
      </c>
      <c r="CQ142" s="425">
        <f t="shared" si="300"/>
        <v>506</v>
      </c>
      <c r="CR142" s="425">
        <f t="shared" si="300"/>
        <v>506</v>
      </c>
      <c r="CS142" s="425">
        <f t="shared" si="300"/>
        <v>506</v>
      </c>
      <c r="CT142" s="425">
        <f t="shared" si="300"/>
        <v>506</v>
      </c>
      <c r="CU142" s="425">
        <f t="shared" si="300"/>
        <v>506</v>
      </c>
    </row>
    <row r="143" spans="79:99" x14ac:dyDescent="0.2">
      <c r="CA143" s="448"/>
      <c r="CB143" s="425">
        <f>'A-50 FGRailInv'!$C$69</f>
        <v>0</v>
      </c>
      <c r="CC143" s="425" t="str">
        <f>Valid!$B$71</f>
        <v>At-Grade/Ballast (including expressway)</v>
      </c>
      <c r="CD143" s="425">
        <f>CD129+$CD$7</f>
        <v>517</v>
      </c>
      <c r="CE143" s="446">
        <f>CE142+$CE$9</f>
        <v>521</v>
      </c>
      <c r="CF143" s="446">
        <f t="shared" si="192"/>
        <v>521</v>
      </c>
      <c r="CG143" s="425">
        <f t="shared" si="299"/>
        <v>521</v>
      </c>
      <c r="CH143" s="425">
        <f t="shared" si="299"/>
        <v>521</v>
      </c>
      <c r="CI143" s="425">
        <f t="shared" si="299"/>
        <v>521</v>
      </c>
      <c r="CJ143" s="425">
        <f t="shared" si="299"/>
        <v>521</v>
      </c>
      <c r="CK143" s="425">
        <f t="shared" si="299"/>
        <v>521</v>
      </c>
      <c r="CL143" s="425">
        <f t="shared" si="299"/>
        <v>521</v>
      </c>
      <c r="CM143" s="425">
        <f t="shared" si="299"/>
        <v>521</v>
      </c>
      <c r="CN143" s="425">
        <f t="shared" si="299"/>
        <v>521</v>
      </c>
      <c r="CO143" s="425">
        <f t="shared" si="299"/>
        <v>521</v>
      </c>
      <c r="CP143" s="425">
        <f t="shared" si="300"/>
        <v>521</v>
      </c>
      <c r="CQ143" s="425">
        <f t="shared" si="300"/>
        <v>521</v>
      </c>
      <c r="CR143" s="425">
        <f t="shared" si="300"/>
        <v>521</v>
      </c>
      <c r="CS143" s="425">
        <f t="shared" si="300"/>
        <v>521</v>
      </c>
      <c r="CT143" s="425">
        <f t="shared" si="300"/>
        <v>521</v>
      </c>
      <c r="CU143" s="425">
        <f t="shared" si="300"/>
        <v>521</v>
      </c>
    </row>
    <row r="144" spans="79:99" x14ac:dyDescent="0.2">
      <c r="CA144" s="448"/>
      <c r="CB144" s="425">
        <f>'A-50 FGRailInv'!$C$69</f>
        <v>0</v>
      </c>
      <c r="CC144" s="425" t="str">
        <f>Valid!$B$72</f>
        <v>At-Grade/In-Street/Embedded</v>
      </c>
      <c r="CD144" s="425">
        <f>CD143</f>
        <v>517</v>
      </c>
      <c r="CE144" s="1199">
        <f t="shared" ref="CE144:CE151" si="301">CE143+$CE$7</f>
        <v>524</v>
      </c>
      <c r="CF144" s="446">
        <f t="shared" si="192"/>
        <v>524</v>
      </c>
      <c r="CG144" s="425">
        <f t="shared" si="299"/>
        <v>524</v>
      </c>
      <c r="CH144" s="425">
        <f t="shared" si="299"/>
        <v>524</v>
      </c>
      <c r="CI144" s="425">
        <f t="shared" si="299"/>
        <v>524</v>
      </c>
      <c r="CJ144" s="425">
        <f t="shared" si="299"/>
        <v>524</v>
      </c>
      <c r="CK144" s="425">
        <f t="shared" si="299"/>
        <v>524</v>
      </c>
      <c r="CL144" s="425">
        <f t="shared" si="299"/>
        <v>524</v>
      </c>
      <c r="CM144" s="425">
        <f t="shared" si="299"/>
        <v>524</v>
      </c>
      <c r="CN144" s="425">
        <f t="shared" si="299"/>
        <v>524</v>
      </c>
      <c r="CO144" s="425">
        <f t="shared" si="299"/>
        <v>524</v>
      </c>
      <c r="CP144" s="425">
        <f t="shared" si="300"/>
        <v>524</v>
      </c>
      <c r="CQ144" s="425">
        <f t="shared" si="300"/>
        <v>524</v>
      </c>
      <c r="CR144" s="425">
        <f t="shared" si="300"/>
        <v>524</v>
      </c>
      <c r="CS144" s="425">
        <f t="shared" si="300"/>
        <v>524</v>
      </c>
      <c r="CT144" s="425">
        <f t="shared" si="300"/>
        <v>524</v>
      </c>
      <c r="CU144" s="425">
        <f t="shared" si="300"/>
        <v>524</v>
      </c>
    </row>
    <row r="145" spans="79:99" x14ac:dyDescent="0.2">
      <c r="CA145" s="448"/>
      <c r="CB145" s="425">
        <f>'A-50 FGRailInv'!$C$69</f>
        <v>0</v>
      </c>
      <c r="CC145" s="425" t="str">
        <f>Valid!$B$73</f>
        <v>Elevated/Retained Fill</v>
      </c>
      <c r="CD145" s="425">
        <f>CD143</f>
        <v>517</v>
      </c>
      <c r="CE145" s="446">
        <f t="shared" si="301"/>
        <v>527</v>
      </c>
      <c r="CF145" s="446">
        <f t="shared" si="192"/>
        <v>527</v>
      </c>
      <c r="CG145" s="425">
        <f t="shared" si="299"/>
        <v>527</v>
      </c>
      <c r="CH145" s="425">
        <f t="shared" si="299"/>
        <v>527</v>
      </c>
      <c r="CI145" s="425">
        <f t="shared" si="299"/>
        <v>527</v>
      </c>
      <c r="CJ145" s="425">
        <f t="shared" si="299"/>
        <v>527</v>
      </c>
      <c r="CK145" s="425">
        <f t="shared" si="299"/>
        <v>527</v>
      </c>
      <c r="CL145" s="425">
        <f t="shared" si="299"/>
        <v>527</v>
      </c>
      <c r="CM145" s="425">
        <f t="shared" si="299"/>
        <v>527</v>
      </c>
      <c r="CN145" s="425">
        <f t="shared" si="299"/>
        <v>527</v>
      </c>
      <c r="CO145" s="425">
        <f t="shared" si="299"/>
        <v>527</v>
      </c>
      <c r="CP145" s="425">
        <f t="shared" si="300"/>
        <v>527</v>
      </c>
      <c r="CQ145" s="425">
        <f t="shared" si="300"/>
        <v>527</v>
      </c>
      <c r="CR145" s="425">
        <f t="shared" si="300"/>
        <v>527</v>
      </c>
      <c r="CS145" s="425">
        <f t="shared" si="300"/>
        <v>527</v>
      </c>
      <c r="CT145" s="425">
        <f t="shared" si="300"/>
        <v>527</v>
      </c>
      <c r="CU145" s="425">
        <f t="shared" si="300"/>
        <v>527</v>
      </c>
    </row>
    <row r="146" spans="79:99" x14ac:dyDescent="0.2">
      <c r="CA146" s="448"/>
      <c r="CB146" s="425">
        <f>'A-50 FGRailInv'!$C$69</f>
        <v>0</v>
      </c>
      <c r="CC146" s="425" t="str">
        <f>Valid!$B$74</f>
        <v>Elevated/Concrete</v>
      </c>
      <c r="CD146" s="425">
        <f>CD143</f>
        <v>517</v>
      </c>
      <c r="CE146" s="446">
        <f t="shared" si="301"/>
        <v>530</v>
      </c>
      <c r="CF146" s="446">
        <f t="shared" ref="CF146:CF156" si="302">CE146</f>
        <v>530</v>
      </c>
      <c r="CG146" s="425">
        <f t="shared" ref="CG146:CO156" si="303">$CE146</f>
        <v>530</v>
      </c>
      <c r="CH146" s="425">
        <f t="shared" si="303"/>
        <v>530</v>
      </c>
      <c r="CI146" s="425">
        <f t="shared" si="303"/>
        <v>530</v>
      </c>
      <c r="CJ146" s="425">
        <f t="shared" si="303"/>
        <v>530</v>
      </c>
      <c r="CK146" s="425">
        <f t="shared" si="303"/>
        <v>530</v>
      </c>
      <c r="CL146" s="425">
        <f t="shared" si="303"/>
        <v>530</v>
      </c>
      <c r="CM146" s="425">
        <f t="shared" si="303"/>
        <v>530</v>
      </c>
      <c r="CN146" s="425">
        <f t="shared" si="303"/>
        <v>530</v>
      </c>
      <c r="CO146" s="425">
        <f t="shared" si="303"/>
        <v>530</v>
      </c>
      <c r="CP146" s="425">
        <f t="shared" ref="CP146:CU156" si="304">$CE146</f>
        <v>530</v>
      </c>
      <c r="CQ146" s="425">
        <f t="shared" si="304"/>
        <v>530</v>
      </c>
      <c r="CR146" s="425">
        <f t="shared" si="304"/>
        <v>530</v>
      </c>
      <c r="CS146" s="425">
        <f t="shared" si="304"/>
        <v>530</v>
      </c>
      <c r="CT146" s="425">
        <f t="shared" si="304"/>
        <v>530</v>
      </c>
      <c r="CU146" s="425">
        <f t="shared" si="304"/>
        <v>530</v>
      </c>
    </row>
    <row r="147" spans="79:99" x14ac:dyDescent="0.2">
      <c r="CB147" s="425">
        <f>'A-50 FGRailInv'!$C$69</f>
        <v>0</v>
      </c>
      <c r="CC147" s="425" t="str">
        <f>Valid!$B$75</f>
        <v>Elevated/Steel Viaduct or Bridge</v>
      </c>
      <c r="CD147" s="425">
        <f>CD143</f>
        <v>517</v>
      </c>
      <c r="CE147" s="446">
        <f t="shared" si="301"/>
        <v>533</v>
      </c>
      <c r="CF147" s="446">
        <f t="shared" si="302"/>
        <v>533</v>
      </c>
      <c r="CG147" s="425">
        <f t="shared" si="303"/>
        <v>533</v>
      </c>
      <c r="CH147" s="425">
        <f t="shared" si="303"/>
        <v>533</v>
      </c>
      <c r="CI147" s="425">
        <f t="shared" si="303"/>
        <v>533</v>
      </c>
      <c r="CJ147" s="425">
        <f t="shared" si="303"/>
        <v>533</v>
      </c>
      <c r="CK147" s="425">
        <f t="shared" si="303"/>
        <v>533</v>
      </c>
      <c r="CL147" s="425">
        <f t="shared" si="303"/>
        <v>533</v>
      </c>
      <c r="CM147" s="425">
        <f t="shared" si="303"/>
        <v>533</v>
      </c>
      <c r="CN147" s="425">
        <f t="shared" si="303"/>
        <v>533</v>
      </c>
      <c r="CO147" s="425">
        <f t="shared" si="303"/>
        <v>533</v>
      </c>
      <c r="CP147" s="425">
        <f t="shared" si="304"/>
        <v>533</v>
      </c>
      <c r="CQ147" s="425">
        <f t="shared" si="304"/>
        <v>533</v>
      </c>
      <c r="CR147" s="425">
        <f t="shared" si="304"/>
        <v>533</v>
      </c>
      <c r="CS147" s="425">
        <f t="shared" si="304"/>
        <v>533</v>
      </c>
      <c r="CT147" s="425">
        <f t="shared" si="304"/>
        <v>533</v>
      </c>
      <c r="CU147" s="425">
        <f t="shared" si="304"/>
        <v>533</v>
      </c>
    </row>
    <row r="148" spans="79:99" x14ac:dyDescent="0.2">
      <c r="CA148" s="448"/>
      <c r="CB148" s="425">
        <f>'A-50 FGRailInv'!$C$69</f>
        <v>0</v>
      </c>
      <c r="CC148" s="425" t="str">
        <f>Valid!$B$76</f>
        <v>Below-Grade/Retained Cut</v>
      </c>
      <c r="CD148" s="425">
        <f>CD143</f>
        <v>517</v>
      </c>
      <c r="CE148" s="1199">
        <f t="shared" si="301"/>
        <v>536</v>
      </c>
      <c r="CF148" s="446">
        <f t="shared" si="302"/>
        <v>536</v>
      </c>
      <c r="CG148" s="425">
        <f t="shared" si="303"/>
        <v>536</v>
      </c>
      <c r="CH148" s="425">
        <f t="shared" si="303"/>
        <v>536</v>
      </c>
      <c r="CI148" s="425">
        <f t="shared" si="303"/>
        <v>536</v>
      </c>
      <c r="CJ148" s="425">
        <f t="shared" si="303"/>
        <v>536</v>
      </c>
      <c r="CK148" s="425">
        <f t="shared" si="303"/>
        <v>536</v>
      </c>
      <c r="CL148" s="425">
        <f t="shared" si="303"/>
        <v>536</v>
      </c>
      <c r="CM148" s="425">
        <f t="shared" si="303"/>
        <v>536</v>
      </c>
      <c r="CN148" s="425">
        <f t="shared" si="303"/>
        <v>536</v>
      </c>
      <c r="CO148" s="425">
        <f t="shared" si="303"/>
        <v>536</v>
      </c>
      <c r="CP148" s="425">
        <f t="shared" si="304"/>
        <v>536</v>
      </c>
      <c r="CQ148" s="425">
        <f t="shared" si="304"/>
        <v>536</v>
      </c>
      <c r="CR148" s="425">
        <f t="shared" si="304"/>
        <v>536</v>
      </c>
      <c r="CS148" s="425">
        <f t="shared" si="304"/>
        <v>536</v>
      </c>
      <c r="CT148" s="425">
        <f t="shared" si="304"/>
        <v>536</v>
      </c>
      <c r="CU148" s="425">
        <f t="shared" si="304"/>
        <v>536</v>
      </c>
    </row>
    <row r="149" spans="79:99" x14ac:dyDescent="0.2">
      <c r="CA149" s="448"/>
      <c r="CB149" s="425">
        <f>'A-50 FGRailInv'!$C$69</f>
        <v>0</v>
      </c>
      <c r="CC149" s="425" t="str">
        <f>Valid!$B$77</f>
        <v>Below-Grade/Cut-and-Cover Tunnel</v>
      </c>
      <c r="CD149" s="425">
        <f>CD143</f>
        <v>517</v>
      </c>
      <c r="CE149" s="446">
        <f t="shared" si="301"/>
        <v>539</v>
      </c>
      <c r="CF149" s="446">
        <f t="shared" si="302"/>
        <v>539</v>
      </c>
      <c r="CG149" s="425">
        <f t="shared" si="303"/>
        <v>539</v>
      </c>
      <c r="CH149" s="425">
        <f t="shared" si="303"/>
        <v>539</v>
      </c>
      <c r="CI149" s="425">
        <f t="shared" si="303"/>
        <v>539</v>
      </c>
      <c r="CJ149" s="425">
        <f t="shared" si="303"/>
        <v>539</v>
      </c>
      <c r="CK149" s="425">
        <f t="shared" si="303"/>
        <v>539</v>
      </c>
      <c r="CL149" s="425">
        <f t="shared" si="303"/>
        <v>539</v>
      </c>
      <c r="CM149" s="425">
        <f t="shared" si="303"/>
        <v>539</v>
      </c>
      <c r="CN149" s="425">
        <f t="shared" si="303"/>
        <v>539</v>
      </c>
      <c r="CO149" s="425">
        <f t="shared" si="303"/>
        <v>539</v>
      </c>
      <c r="CP149" s="425">
        <f t="shared" si="304"/>
        <v>539</v>
      </c>
      <c r="CQ149" s="425">
        <f t="shared" si="304"/>
        <v>539</v>
      </c>
      <c r="CR149" s="425">
        <f t="shared" si="304"/>
        <v>539</v>
      </c>
      <c r="CS149" s="425">
        <f t="shared" si="304"/>
        <v>539</v>
      </c>
      <c r="CT149" s="425">
        <f t="shared" si="304"/>
        <v>539</v>
      </c>
      <c r="CU149" s="425">
        <f t="shared" si="304"/>
        <v>539</v>
      </c>
    </row>
    <row r="150" spans="79:99" x14ac:dyDescent="0.2">
      <c r="CA150" s="448">
        <f>CA131+1</f>
        <v>8</v>
      </c>
      <c r="CB150" s="425">
        <f>'A-50 FGRailInv'!$C$69</f>
        <v>0</v>
      </c>
      <c r="CC150" s="425" t="str">
        <f>Valid!$B$78</f>
        <v>Below-Grade/Bored or Blasted Tunnel</v>
      </c>
      <c r="CD150" s="425">
        <f>CD143</f>
        <v>517</v>
      </c>
      <c r="CE150" s="446">
        <f t="shared" si="301"/>
        <v>542</v>
      </c>
      <c r="CF150" s="446">
        <f t="shared" si="302"/>
        <v>542</v>
      </c>
      <c r="CG150" s="425">
        <f t="shared" si="303"/>
        <v>542</v>
      </c>
      <c r="CH150" s="425">
        <f t="shared" si="303"/>
        <v>542</v>
      </c>
      <c r="CI150" s="425">
        <f t="shared" si="303"/>
        <v>542</v>
      </c>
      <c r="CJ150" s="425">
        <f t="shared" si="303"/>
        <v>542</v>
      </c>
      <c r="CK150" s="425">
        <f t="shared" si="303"/>
        <v>542</v>
      </c>
      <c r="CL150" s="425">
        <f t="shared" si="303"/>
        <v>542</v>
      </c>
      <c r="CM150" s="425">
        <f t="shared" si="303"/>
        <v>542</v>
      </c>
      <c r="CN150" s="425">
        <f t="shared" si="303"/>
        <v>542</v>
      </c>
      <c r="CO150" s="425">
        <f t="shared" si="303"/>
        <v>542</v>
      </c>
      <c r="CP150" s="425">
        <f t="shared" si="304"/>
        <v>542</v>
      </c>
      <c r="CQ150" s="425">
        <f t="shared" si="304"/>
        <v>542</v>
      </c>
      <c r="CR150" s="425">
        <f t="shared" si="304"/>
        <v>542</v>
      </c>
      <c r="CS150" s="425">
        <f t="shared" si="304"/>
        <v>542</v>
      </c>
      <c r="CT150" s="425">
        <f t="shared" si="304"/>
        <v>542</v>
      </c>
      <c r="CU150" s="425">
        <f t="shared" si="304"/>
        <v>542</v>
      </c>
    </row>
    <row r="151" spans="79:99" x14ac:dyDescent="0.2">
      <c r="CA151" s="448"/>
      <c r="CB151" s="425">
        <f>'A-50 FGRailInv'!$C$69</f>
        <v>0</v>
      </c>
      <c r="CC151" s="425" t="str">
        <f>Valid!$B$79</f>
        <v>Below-Grade/Submerged Tube</v>
      </c>
      <c r="CD151" s="425">
        <f>CD143</f>
        <v>517</v>
      </c>
      <c r="CE151" s="1199">
        <f t="shared" si="301"/>
        <v>545</v>
      </c>
      <c r="CF151" s="446">
        <f t="shared" si="302"/>
        <v>545</v>
      </c>
      <c r="CG151" s="425">
        <f t="shared" si="303"/>
        <v>545</v>
      </c>
      <c r="CH151" s="425">
        <f t="shared" si="303"/>
        <v>545</v>
      </c>
      <c r="CI151" s="425">
        <f t="shared" si="303"/>
        <v>545</v>
      </c>
      <c r="CJ151" s="425">
        <f t="shared" si="303"/>
        <v>545</v>
      </c>
      <c r="CK151" s="425">
        <f t="shared" si="303"/>
        <v>545</v>
      </c>
      <c r="CL151" s="425">
        <f t="shared" si="303"/>
        <v>545</v>
      </c>
      <c r="CM151" s="425">
        <f t="shared" si="303"/>
        <v>545</v>
      </c>
      <c r="CN151" s="425">
        <f t="shared" si="303"/>
        <v>545</v>
      </c>
      <c r="CO151" s="425">
        <f t="shared" si="303"/>
        <v>545</v>
      </c>
      <c r="CP151" s="425">
        <f t="shared" si="304"/>
        <v>545</v>
      </c>
      <c r="CQ151" s="425">
        <f t="shared" si="304"/>
        <v>545</v>
      </c>
      <c r="CR151" s="425">
        <f t="shared" si="304"/>
        <v>545</v>
      </c>
      <c r="CS151" s="425">
        <f t="shared" si="304"/>
        <v>545</v>
      </c>
      <c r="CT151" s="425">
        <f t="shared" si="304"/>
        <v>545</v>
      </c>
      <c r="CU151" s="425">
        <f t="shared" si="304"/>
        <v>545</v>
      </c>
    </row>
    <row r="152" spans="79:99" x14ac:dyDescent="0.2">
      <c r="CB152" s="425">
        <f>'A-50 FGRailInv'!$C$69</f>
        <v>0</v>
      </c>
      <c r="CC152" s="425" t="str">
        <f>Valid!$B$87</f>
        <v>Substation Building</v>
      </c>
      <c r="CD152" s="425">
        <f>CD144</f>
        <v>517</v>
      </c>
      <c r="CE152" s="1199">
        <f>CE151+$CE$8</f>
        <v>550</v>
      </c>
      <c r="CF152" s="446">
        <f t="shared" si="302"/>
        <v>550</v>
      </c>
      <c r="CG152" s="425">
        <f t="shared" si="303"/>
        <v>550</v>
      </c>
      <c r="CH152" s="425">
        <f t="shared" si="303"/>
        <v>550</v>
      </c>
      <c r="CI152" s="425">
        <f t="shared" si="303"/>
        <v>550</v>
      </c>
      <c r="CJ152" s="425">
        <f t="shared" si="303"/>
        <v>550</v>
      </c>
      <c r="CK152" s="425">
        <f t="shared" si="303"/>
        <v>550</v>
      </c>
      <c r="CL152" s="425">
        <f t="shared" si="303"/>
        <v>550</v>
      </c>
      <c r="CM152" s="425">
        <f t="shared" si="303"/>
        <v>550</v>
      </c>
      <c r="CN152" s="425">
        <f t="shared" si="303"/>
        <v>550</v>
      </c>
      <c r="CO152" s="425">
        <f t="shared" si="303"/>
        <v>550</v>
      </c>
      <c r="CP152" s="425">
        <f t="shared" si="304"/>
        <v>550</v>
      </c>
      <c r="CQ152" s="425">
        <f t="shared" si="304"/>
        <v>550</v>
      </c>
      <c r="CR152" s="425">
        <f t="shared" si="304"/>
        <v>550</v>
      </c>
      <c r="CS152" s="425">
        <f t="shared" si="304"/>
        <v>550</v>
      </c>
      <c r="CT152" s="425">
        <f t="shared" si="304"/>
        <v>550</v>
      </c>
      <c r="CU152" s="425">
        <f t="shared" si="304"/>
        <v>550</v>
      </c>
    </row>
    <row r="153" spans="79:99" x14ac:dyDescent="0.2">
      <c r="CB153" s="425">
        <f>'A-50 FGRailInv'!$C$69</f>
        <v>0</v>
      </c>
      <c r="CC153" s="425" t="str">
        <f>Valid!$B$88</f>
        <v>Substation Equipment</v>
      </c>
      <c r="CD153" s="425">
        <f>CD144</f>
        <v>517</v>
      </c>
      <c r="CE153" s="446">
        <f>CE152+$CE$7</f>
        <v>553</v>
      </c>
      <c r="CF153" s="446">
        <f t="shared" si="302"/>
        <v>553</v>
      </c>
      <c r="CG153" s="425">
        <f t="shared" si="303"/>
        <v>553</v>
      </c>
      <c r="CH153" s="425">
        <f t="shared" si="303"/>
        <v>553</v>
      </c>
      <c r="CI153" s="425">
        <f t="shared" si="303"/>
        <v>553</v>
      </c>
      <c r="CJ153" s="425">
        <f t="shared" si="303"/>
        <v>553</v>
      </c>
      <c r="CK153" s="425">
        <f t="shared" si="303"/>
        <v>553</v>
      </c>
      <c r="CL153" s="425">
        <f t="shared" si="303"/>
        <v>553</v>
      </c>
      <c r="CM153" s="425">
        <f t="shared" si="303"/>
        <v>553</v>
      </c>
      <c r="CN153" s="425">
        <f t="shared" si="303"/>
        <v>553</v>
      </c>
      <c r="CO153" s="425">
        <f t="shared" si="303"/>
        <v>553</v>
      </c>
      <c r="CP153" s="425">
        <f t="shared" si="304"/>
        <v>553</v>
      </c>
      <c r="CQ153" s="425">
        <f t="shared" si="304"/>
        <v>553</v>
      </c>
      <c r="CR153" s="425">
        <f t="shared" si="304"/>
        <v>553</v>
      </c>
      <c r="CS153" s="425">
        <f t="shared" si="304"/>
        <v>553</v>
      </c>
      <c r="CT153" s="425">
        <f t="shared" si="304"/>
        <v>553</v>
      </c>
      <c r="CU153" s="425">
        <f t="shared" si="304"/>
        <v>553</v>
      </c>
    </row>
    <row r="154" spans="79:99" x14ac:dyDescent="0.2">
      <c r="CB154" s="425">
        <f>'A-50 FGRailInv'!$C$69</f>
        <v>0</v>
      </c>
      <c r="CC154" s="425" t="str">
        <f>Valid!$B$89</f>
        <v>Third Rail/Power Distribution</v>
      </c>
      <c r="CD154" s="425">
        <f>CD145</f>
        <v>517</v>
      </c>
      <c r="CE154" s="446">
        <f>CE153+$CE$7</f>
        <v>556</v>
      </c>
      <c r="CF154" s="446">
        <f t="shared" si="302"/>
        <v>556</v>
      </c>
      <c r="CG154" s="425">
        <f t="shared" si="303"/>
        <v>556</v>
      </c>
      <c r="CH154" s="425">
        <f t="shared" si="303"/>
        <v>556</v>
      </c>
      <c r="CI154" s="425">
        <f t="shared" si="303"/>
        <v>556</v>
      </c>
      <c r="CJ154" s="425">
        <f t="shared" si="303"/>
        <v>556</v>
      </c>
      <c r="CK154" s="425">
        <f t="shared" si="303"/>
        <v>556</v>
      </c>
      <c r="CL154" s="425">
        <f t="shared" si="303"/>
        <v>556</v>
      </c>
      <c r="CM154" s="425">
        <f t="shared" si="303"/>
        <v>556</v>
      </c>
      <c r="CN154" s="425">
        <f t="shared" si="303"/>
        <v>556</v>
      </c>
      <c r="CO154" s="425">
        <f t="shared" si="303"/>
        <v>556</v>
      </c>
      <c r="CP154" s="425">
        <f t="shared" si="304"/>
        <v>556</v>
      </c>
      <c r="CQ154" s="425">
        <f t="shared" si="304"/>
        <v>556</v>
      </c>
      <c r="CR154" s="425">
        <f t="shared" si="304"/>
        <v>556</v>
      </c>
      <c r="CS154" s="425">
        <f t="shared" si="304"/>
        <v>556</v>
      </c>
      <c r="CT154" s="425">
        <f t="shared" si="304"/>
        <v>556</v>
      </c>
      <c r="CU154" s="425">
        <f t="shared" si="304"/>
        <v>556</v>
      </c>
    </row>
    <row r="155" spans="79:99" x14ac:dyDescent="0.2">
      <c r="CB155" s="425">
        <f>'A-50 FGRailInv'!$C$69</f>
        <v>0</v>
      </c>
      <c r="CC155" s="425" t="str">
        <f>Valid!$B$90</f>
        <v>Overhead Contact System/Power Distribution</v>
      </c>
      <c r="CD155" s="425">
        <f>CD146</f>
        <v>517</v>
      </c>
      <c r="CE155" s="446">
        <f>CE154+$CE$7</f>
        <v>559</v>
      </c>
      <c r="CF155" s="446">
        <f t="shared" si="302"/>
        <v>559</v>
      </c>
      <c r="CG155" s="425">
        <f t="shared" si="303"/>
        <v>559</v>
      </c>
      <c r="CH155" s="425">
        <f t="shared" si="303"/>
        <v>559</v>
      </c>
      <c r="CI155" s="425">
        <f t="shared" si="303"/>
        <v>559</v>
      </c>
      <c r="CJ155" s="425">
        <f t="shared" si="303"/>
        <v>559</v>
      </c>
      <c r="CK155" s="425">
        <f t="shared" si="303"/>
        <v>559</v>
      </c>
      <c r="CL155" s="425">
        <f t="shared" si="303"/>
        <v>559</v>
      </c>
      <c r="CM155" s="425">
        <f t="shared" si="303"/>
        <v>559</v>
      </c>
      <c r="CN155" s="425">
        <f t="shared" si="303"/>
        <v>559</v>
      </c>
      <c r="CO155" s="425">
        <f t="shared" si="303"/>
        <v>559</v>
      </c>
      <c r="CP155" s="425">
        <f t="shared" si="304"/>
        <v>559</v>
      </c>
      <c r="CQ155" s="425">
        <f t="shared" si="304"/>
        <v>559</v>
      </c>
      <c r="CR155" s="425">
        <f t="shared" si="304"/>
        <v>559</v>
      </c>
      <c r="CS155" s="425">
        <f t="shared" si="304"/>
        <v>559</v>
      </c>
      <c r="CT155" s="425">
        <f t="shared" si="304"/>
        <v>559</v>
      </c>
      <c r="CU155" s="425">
        <f t="shared" si="304"/>
        <v>559</v>
      </c>
    </row>
    <row r="156" spans="79:99" x14ac:dyDescent="0.2">
      <c r="CB156" s="425">
        <f>'A-50 FGRailInv'!$C$69</f>
        <v>0</v>
      </c>
      <c r="CC156" s="425" t="str">
        <f>Valid!$B$91</f>
        <v>Train Control &amp; Signaling</v>
      </c>
      <c r="CD156" s="425">
        <f>CD147</f>
        <v>517</v>
      </c>
      <c r="CE156" s="446">
        <f>CE155+$CE$7</f>
        <v>562</v>
      </c>
      <c r="CF156" s="446">
        <f t="shared" si="302"/>
        <v>562</v>
      </c>
      <c r="CG156" s="425">
        <f t="shared" si="303"/>
        <v>562</v>
      </c>
      <c r="CH156" s="425">
        <f t="shared" si="303"/>
        <v>562</v>
      </c>
      <c r="CI156" s="425">
        <f t="shared" si="303"/>
        <v>562</v>
      </c>
      <c r="CJ156" s="425">
        <f t="shared" si="303"/>
        <v>562</v>
      </c>
      <c r="CK156" s="425">
        <f t="shared" si="303"/>
        <v>562</v>
      </c>
      <c r="CL156" s="425">
        <f t="shared" si="303"/>
        <v>562</v>
      </c>
      <c r="CM156" s="425">
        <f t="shared" si="303"/>
        <v>562</v>
      </c>
      <c r="CN156" s="425">
        <f t="shared" si="303"/>
        <v>562</v>
      </c>
      <c r="CO156" s="425">
        <f t="shared" si="303"/>
        <v>562</v>
      </c>
      <c r="CP156" s="425">
        <f t="shared" si="304"/>
        <v>562</v>
      </c>
      <c r="CQ156" s="425">
        <f t="shared" si="304"/>
        <v>562</v>
      </c>
      <c r="CR156" s="425">
        <f t="shared" si="304"/>
        <v>562</v>
      </c>
      <c r="CS156" s="425">
        <f t="shared" si="304"/>
        <v>562</v>
      </c>
      <c r="CT156" s="425">
        <f t="shared" si="304"/>
        <v>562</v>
      </c>
      <c r="CU156" s="425">
        <f t="shared" si="304"/>
        <v>562</v>
      </c>
    </row>
    <row r="157" spans="79:99" x14ac:dyDescent="0.2">
      <c r="CA157" s="448"/>
    </row>
    <row r="158" spans="79:99" x14ac:dyDescent="0.2">
      <c r="CA158" s="448"/>
    </row>
    <row r="159" spans="79:99" x14ac:dyDescent="0.2">
      <c r="CA159" s="448"/>
      <c r="CD159" s="1474"/>
      <c r="CE159" s="1475"/>
      <c r="CF159" s="1475"/>
      <c r="CG159" s="1474"/>
      <c r="CH159" s="1474"/>
      <c r="CI159" s="1474"/>
      <c r="CJ159" s="1474"/>
      <c r="CK159" s="1474"/>
      <c r="CL159" s="1474"/>
      <c r="CM159" s="1474"/>
      <c r="CN159" s="1474"/>
      <c r="CO159" s="1474"/>
      <c r="CP159" s="1474"/>
      <c r="CQ159" s="1474"/>
      <c r="CR159" s="1474"/>
      <c r="CS159" s="1474"/>
      <c r="CT159" s="1474"/>
      <c r="CU159" s="1474"/>
    </row>
    <row r="160" spans="79:99" x14ac:dyDescent="0.2">
      <c r="CA160" s="448"/>
      <c r="CD160" s="1474"/>
      <c r="CE160" s="1475"/>
      <c r="CF160" s="1475"/>
      <c r="CG160" s="1474"/>
      <c r="CH160" s="1474"/>
      <c r="CI160" s="1474"/>
      <c r="CJ160" s="1474"/>
      <c r="CK160" s="1474"/>
      <c r="CL160" s="1474"/>
      <c r="CM160" s="1474"/>
      <c r="CN160" s="1474"/>
      <c r="CO160" s="1474"/>
      <c r="CP160" s="1474"/>
      <c r="CQ160" s="1474"/>
      <c r="CR160" s="1474"/>
      <c r="CS160" s="1474"/>
      <c r="CT160" s="1474"/>
      <c r="CU160" s="1474"/>
    </row>
    <row r="161" spans="79:99" x14ac:dyDescent="0.2">
      <c r="CA161" s="448"/>
      <c r="CD161" s="1474"/>
      <c r="CE161" s="1475"/>
      <c r="CF161" s="1475"/>
      <c r="CG161" s="1474"/>
      <c r="CH161" s="1474"/>
      <c r="CI161" s="1474"/>
      <c r="CJ161" s="1474"/>
      <c r="CK161" s="1474"/>
      <c r="CL161" s="1474"/>
      <c r="CM161" s="1474"/>
      <c r="CN161" s="1474"/>
      <c r="CO161" s="1474"/>
      <c r="CP161" s="1474"/>
      <c r="CQ161" s="1474"/>
      <c r="CR161" s="1474"/>
      <c r="CS161" s="1474"/>
      <c r="CT161" s="1474"/>
      <c r="CU161" s="1474"/>
    </row>
    <row r="162" spans="79:99" x14ac:dyDescent="0.2">
      <c r="CA162" s="448"/>
      <c r="CD162" s="1474"/>
      <c r="CE162" s="1475"/>
      <c r="CF162" s="1475"/>
      <c r="CG162" s="1474"/>
      <c r="CH162" s="1474"/>
      <c r="CI162" s="1474"/>
      <c r="CJ162" s="1474"/>
      <c r="CK162" s="1474"/>
      <c r="CL162" s="1474"/>
      <c r="CM162" s="1474"/>
      <c r="CN162" s="1474"/>
      <c r="CO162" s="1474"/>
      <c r="CP162" s="1474"/>
      <c r="CQ162" s="1474"/>
      <c r="CR162" s="1474"/>
      <c r="CS162" s="1474"/>
      <c r="CT162" s="1474"/>
      <c r="CU162" s="1474"/>
    </row>
    <row r="163" spans="79:99" x14ac:dyDescent="0.2">
      <c r="CA163" s="448"/>
      <c r="CD163" s="1474"/>
      <c r="CE163" s="1475"/>
      <c r="CF163" s="1475"/>
      <c r="CG163" s="1474"/>
      <c r="CH163" s="1474"/>
      <c r="CI163" s="1474"/>
      <c r="CJ163" s="1474"/>
      <c r="CK163" s="1474"/>
      <c r="CL163" s="1474"/>
      <c r="CM163" s="1474"/>
      <c r="CN163" s="1474"/>
      <c r="CO163" s="1474"/>
      <c r="CP163" s="1474"/>
      <c r="CQ163" s="1474"/>
      <c r="CR163" s="1474"/>
      <c r="CS163" s="1474"/>
      <c r="CT163" s="1474"/>
      <c r="CU163" s="1474"/>
    </row>
    <row r="164" spans="79:99" x14ac:dyDescent="0.2">
      <c r="CA164" s="448"/>
    </row>
    <row r="165" spans="79:99" x14ac:dyDescent="0.2">
      <c r="CA165" s="448"/>
    </row>
    <row r="166" spans="79:99" x14ac:dyDescent="0.2">
      <c r="CA166" s="448"/>
    </row>
    <row r="167" spans="79:99" x14ac:dyDescent="0.2">
      <c r="CA167" s="448"/>
    </row>
    <row r="168" spans="79:99" x14ac:dyDescent="0.2">
      <c r="CA168" s="448"/>
    </row>
    <row r="169" spans="79:99" x14ac:dyDescent="0.2">
      <c r="CA169" s="448">
        <f>CA150+1</f>
        <v>9</v>
      </c>
    </row>
    <row r="170" spans="79:99" x14ac:dyDescent="0.2">
      <c r="CA170" s="448"/>
    </row>
    <row r="171" spans="79:99" x14ac:dyDescent="0.2">
      <c r="CA171" s="448"/>
    </row>
    <row r="172" spans="79:99" x14ac:dyDescent="0.2">
      <c r="CA172" s="448"/>
    </row>
    <row r="173" spans="79:99" x14ac:dyDescent="0.2">
      <c r="CA173" s="448"/>
    </row>
    <row r="174" spans="79:99" x14ac:dyDescent="0.2">
      <c r="CA174" s="448"/>
    </row>
    <row r="175" spans="79:99" x14ac:dyDescent="0.2">
      <c r="CA175" s="448"/>
    </row>
    <row r="176" spans="79:99" x14ac:dyDescent="0.2">
      <c r="CA176" s="448"/>
    </row>
    <row r="177" spans="79:99" x14ac:dyDescent="0.2">
      <c r="CA177" s="448"/>
    </row>
    <row r="178" spans="79:99" x14ac:dyDescent="0.2">
      <c r="CA178" s="448"/>
      <c r="CD178" s="1474"/>
      <c r="CE178" s="1475"/>
      <c r="CF178" s="1475"/>
      <c r="CG178" s="1474"/>
      <c r="CH178" s="1474"/>
      <c r="CI178" s="1474"/>
      <c r="CJ178" s="1474"/>
      <c r="CK178" s="1474"/>
      <c r="CL178" s="1474"/>
      <c r="CM178" s="1474"/>
      <c r="CN178" s="1474"/>
      <c r="CO178" s="1474"/>
      <c r="CP178" s="1474"/>
      <c r="CQ178" s="1474"/>
      <c r="CR178" s="1474"/>
      <c r="CS178" s="1474"/>
      <c r="CT178" s="1474"/>
      <c r="CU178" s="1474"/>
    </row>
    <row r="179" spans="79:99" x14ac:dyDescent="0.2">
      <c r="CA179" s="448"/>
      <c r="CD179" s="1474"/>
      <c r="CE179" s="1475"/>
      <c r="CF179" s="1475"/>
      <c r="CG179" s="1474"/>
      <c r="CH179" s="1474"/>
      <c r="CI179" s="1474"/>
      <c r="CJ179" s="1474"/>
      <c r="CK179" s="1474"/>
      <c r="CL179" s="1474"/>
      <c r="CM179" s="1474"/>
      <c r="CN179" s="1474"/>
      <c r="CO179" s="1474"/>
      <c r="CP179" s="1474"/>
      <c r="CQ179" s="1474"/>
      <c r="CR179" s="1474"/>
      <c r="CS179" s="1474"/>
      <c r="CT179" s="1474"/>
      <c r="CU179" s="1474"/>
    </row>
    <row r="180" spans="79:99" x14ac:dyDescent="0.2">
      <c r="CA180" s="448"/>
      <c r="CD180" s="1474"/>
      <c r="CE180" s="1475"/>
      <c r="CF180" s="1475"/>
      <c r="CG180" s="1474"/>
      <c r="CH180" s="1474"/>
      <c r="CI180" s="1474"/>
      <c r="CJ180" s="1474"/>
      <c r="CK180" s="1474"/>
      <c r="CL180" s="1474"/>
      <c r="CM180" s="1474"/>
      <c r="CN180" s="1474"/>
      <c r="CO180" s="1474"/>
      <c r="CP180" s="1474"/>
      <c r="CQ180" s="1474"/>
      <c r="CR180" s="1474"/>
      <c r="CS180" s="1474"/>
      <c r="CT180" s="1474"/>
      <c r="CU180" s="1474"/>
    </row>
    <row r="181" spans="79:99" x14ac:dyDescent="0.2">
      <c r="CA181" s="448"/>
      <c r="CD181" s="1474"/>
      <c r="CE181" s="1475"/>
      <c r="CF181" s="1475"/>
      <c r="CG181" s="1474"/>
      <c r="CH181" s="1474"/>
      <c r="CI181" s="1474"/>
      <c r="CJ181" s="1474"/>
      <c r="CK181" s="1474"/>
      <c r="CL181" s="1474"/>
      <c r="CM181" s="1474"/>
      <c r="CN181" s="1474"/>
      <c r="CO181" s="1474"/>
      <c r="CP181" s="1474"/>
      <c r="CQ181" s="1474"/>
      <c r="CR181" s="1474"/>
      <c r="CS181" s="1474"/>
      <c r="CT181" s="1474"/>
      <c r="CU181" s="1474"/>
    </row>
    <row r="182" spans="79:99" x14ac:dyDescent="0.2">
      <c r="CD182" s="1474"/>
      <c r="CE182" s="1475"/>
      <c r="CF182" s="1475"/>
      <c r="CG182" s="1474"/>
      <c r="CH182" s="1474"/>
      <c r="CI182" s="1474"/>
      <c r="CJ182" s="1474"/>
      <c r="CK182" s="1474"/>
      <c r="CL182" s="1474"/>
      <c r="CM182" s="1474"/>
      <c r="CN182" s="1474"/>
      <c r="CO182" s="1474"/>
      <c r="CP182" s="1474"/>
      <c r="CQ182" s="1474"/>
      <c r="CR182" s="1474"/>
      <c r="CS182" s="1474"/>
      <c r="CT182" s="1474"/>
      <c r="CU182" s="1474"/>
    </row>
    <row r="183" spans="79:99" x14ac:dyDescent="0.2">
      <c r="CA183" s="448"/>
    </row>
    <row r="184" spans="79:99" x14ac:dyDescent="0.2">
      <c r="CA184" s="448"/>
    </row>
    <row r="185" spans="79:99" x14ac:dyDescent="0.2">
      <c r="CA185" s="448"/>
    </row>
    <row r="186" spans="79:99" x14ac:dyDescent="0.2">
      <c r="CA186" s="448"/>
    </row>
    <row r="188" spans="79:99" x14ac:dyDescent="0.2">
      <c r="CA188" s="448">
        <f>CA169+1</f>
        <v>10</v>
      </c>
    </row>
    <row r="192" spans="79:99" x14ac:dyDescent="0.2">
      <c r="CA192" s="448"/>
    </row>
    <row r="193" spans="79:99" x14ac:dyDescent="0.2">
      <c r="CA193" s="448"/>
    </row>
    <row r="194" spans="79:99" x14ac:dyDescent="0.2">
      <c r="CA194" s="448"/>
    </row>
    <row r="195" spans="79:99" x14ac:dyDescent="0.2">
      <c r="CA195" s="448"/>
    </row>
    <row r="196" spans="79:99" x14ac:dyDescent="0.2">
      <c r="CA196" s="448"/>
    </row>
    <row r="197" spans="79:99" x14ac:dyDescent="0.2">
      <c r="CA197" s="448"/>
      <c r="CD197" s="1474"/>
      <c r="CE197" s="1475"/>
      <c r="CF197" s="1475"/>
      <c r="CG197" s="1474"/>
      <c r="CH197" s="1474"/>
      <c r="CI197" s="1474"/>
      <c r="CJ197" s="1474"/>
      <c r="CK197" s="1474"/>
      <c r="CL197" s="1474"/>
      <c r="CM197" s="1474"/>
      <c r="CN197" s="1474"/>
      <c r="CO197" s="1474"/>
      <c r="CP197" s="1474"/>
      <c r="CQ197" s="1474"/>
      <c r="CR197" s="1474"/>
      <c r="CS197" s="1474"/>
      <c r="CT197" s="1474"/>
      <c r="CU197" s="1474"/>
    </row>
    <row r="198" spans="79:99" x14ac:dyDescent="0.2">
      <c r="CA198" s="448"/>
      <c r="CD198" s="1474"/>
      <c r="CE198" s="1475"/>
      <c r="CF198" s="1475"/>
      <c r="CG198" s="1474"/>
      <c r="CH198" s="1474"/>
      <c r="CI198" s="1474"/>
      <c r="CJ198" s="1474"/>
      <c r="CK198" s="1474"/>
      <c r="CL198" s="1474"/>
      <c r="CM198" s="1474"/>
      <c r="CN198" s="1474"/>
      <c r="CO198" s="1474"/>
      <c r="CP198" s="1474"/>
      <c r="CQ198" s="1474"/>
      <c r="CR198" s="1474"/>
      <c r="CS198" s="1474"/>
      <c r="CT198" s="1474"/>
      <c r="CU198" s="1474"/>
    </row>
    <row r="199" spans="79:99" x14ac:dyDescent="0.2">
      <c r="CA199" s="448"/>
      <c r="CD199" s="1474"/>
      <c r="CE199" s="1475"/>
      <c r="CF199" s="1475"/>
      <c r="CG199" s="1474"/>
      <c r="CH199" s="1474"/>
      <c r="CI199" s="1474"/>
      <c r="CJ199" s="1474"/>
      <c r="CK199" s="1474"/>
      <c r="CL199" s="1474"/>
      <c r="CM199" s="1474"/>
      <c r="CN199" s="1474"/>
      <c r="CO199" s="1474"/>
      <c r="CP199" s="1474"/>
      <c r="CQ199" s="1474"/>
      <c r="CR199" s="1474"/>
      <c r="CS199" s="1474"/>
      <c r="CT199" s="1474"/>
      <c r="CU199" s="1474"/>
    </row>
    <row r="200" spans="79:99" x14ac:dyDescent="0.2">
      <c r="CA200" s="448"/>
      <c r="CD200" s="1474"/>
      <c r="CE200" s="1475"/>
      <c r="CF200" s="1475"/>
      <c r="CG200" s="1474"/>
      <c r="CH200" s="1474"/>
      <c r="CI200" s="1474"/>
      <c r="CJ200" s="1474"/>
      <c r="CK200" s="1474"/>
      <c r="CL200" s="1474"/>
      <c r="CM200" s="1474"/>
      <c r="CN200" s="1474"/>
      <c r="CO200" s="1474"/>
      <c r="CP200" s="1474"/>
      <c r="CQ200" s="1474"/>
      <c r="CR200" s="1474"/>
      <c r="CS200" s="1474"/>
      <c r="CT200" s="1474"/>
      <c r="CU200" s="1474"/>
    </row>
    <row r="201" spans="79:99" x14ac:dyDescent="0.2">
      <c r="CA201" s="448"/>
      <c r="CD201" s="1474"/>
      <c r="CE201" s="1475"/>
      <c r="CF201" s="1475"/>
      <c r="CG201" s="1474"/>
      <c r="CH201" s="1474"/>
      <c r="CI201" s="1474"/>
      <c r="CJ201" s="1474"/>
      <c r="CK201" s="1474"/>
      <c r="CL201" s="1474"/>
      <c r="CM201" s="1474"/>
      <c r="CN201" s="1474"/>
      <c r="CO201" s="1474"/>
      <c r="CP201" s="1474"/>
      <c r="CQ201" s="1474"/>
      <c r="CR201" s="1474"/>
      <c r="CS201" s="1474"/>
      <c r="CT201" s="1474"/>
      <c r="CU201" s="1474"/>
    </row>
    <row r="202" spans="79:99" x14ac:dyDescent="0.2">
      <c r="CA202" s="448"/>
    </row>
    <row r="203" spans="79:99" x14ac:dyDescent="0.2">
      <c r="CA203" s="448"/>
    </row>
    <row r="204" spans="79:99" x14ac:dyDescent="0.2">
      <c r="CA204" s="448"/>
    </row>
    <row r="205" spans="79:99" x14ac:dyDescent="0.2">
      <c r="CA205" s="448"/>
    </row>
    <row r="206" spans="79:99" x14ac:dyDescent="0.2">
      <c r="CA206" s="448"/>
    </row>
    <row r="207" spans="79:99" x14ac:dyDescent="0.2">
      <c r="CA207" s="448"/>
      <c r="CE207" s="1474"/>
      <c r="CF207" s="1474"/>
    </row>
    <row r="208" spans="79:99" x14ac:dyDescent="0.2">
      <c r="CA208" s="448"/>
      <c r="CE208" s="1475"/>
      <c r="CF208" s="1475"/>
    </row>
    <row r="209" spans="79:84" x14ac:dyDescent="0.2">
      <c r="CA209" s="448"/>
      <c r="CE209" s="1474"/>
      <c r="CF209" s="1474"/>
    </row>
    <row r="210" spans="79:84" x14ac:dyDescent="0.2">
      <c r="CA210" s="448"/>
      <c r="CE210" s="1474"/>
      <c r="CF210" s="1474"/>
    </row>
    <row r="211" spans="79:84" x14ac:dyDescent="0.2">
      <c r="CA211" s="448"/>
      <c r="CE211" s="1474"/>
      <c r="CF211" s="1474"/>
    </row>
    <row r="212" spans="79:84" x14ac:dyDescent="0.2">
      <c r="CA212" s="448"/>
      <c r="CE212" s="1475"/>
      <c r="CF212" s="1475"/>
    </row>
    <row r="213" spans="79:84" x14ac:dyDescent="0.2">
      <c r="CA213" s="448"/>
      <c r="CE213" s="1474"/>
      <c r="CF213" s="1474"/>
    </row>
    <row r="214" spans="79:84" x14ac:dyDescent="0.2">
      <c r="CA214" s="448"/>
      <c r="CE214" s="1474"/>
      <c r="CF214" s="1474"/>
    </row>
    <row r="215" spans="79:84" x14ac:dyDescent="0.2">
      <c r="CA215" s="448"/>
      <c r="CE215" s="1475"/>
      <c r="CF215" s="1475"/>
    </row>
    <row r="216" spans="79:84" x14ac:dyDescent="0.2">
      <c r="CA216" s="448"/>
      <c r="CE216" s="1475"/>
      <c r="CF216" s="1475"/>
    </row>
    <row r="217" spans="79:84" x14ac:dyDescent="0.2">
      <c r="CE217" s="1475"/>
      <c r="CF217" s="1475"/>
    </row>
    <row r="218" spans="79:84" x14ac:dyDescent="0.2">
      <c r="CA218" s="448"/>
      <c r="CE218" s="1475"/>
      <c r="CF218" s="1475"/>
    </row>
    <row r="219" spans="79:84" x14ac:dyDescent="0.2">
      <c r="CA219" s="448"/>
      <c r="CE219" s="1475"/>
      <c r="CF219" s="1475"/>
    </row>
    <row r="220" spans="79:84" x14ac:dyDescent="0.2">
      <c r="CA220" s="448"/>
      <c r="CE220" s="1475"/>
      <c r="CF220" s="1475"/>
    </row>
    <row r="221" spans="79:84" x14ac:dyDescent="0.2">
      <c r="CA221" s="448"/>
      <c r="CE221" s="1474"/>
      <c r="CF221" s="1474"/>
    </row>
    <row r="222" spans="79:84" x14ac:dyDescent="0.2">
      <c r="CE222" s="1474"/>
      <c r="CF222" s="1474"/>
    </row>
    <row r="223" spans="79:84" x14ac:dyDescent="0.2">
      <c r="CE223" s="1474"/>
      <c r="CF223" s="1474"/>
    </row>
    <row r="224" spans="79:84" x14ac:dyDescent="0.2">
      <c r="CE224" s="1474"/>
      <c r="CF224" s="1474"/>
    </row>
    <row r="225" spans="79:99" x14ac:dyDescent="0.2">
      <c r="CE225" s="1474"/>
      <c r="CF225" s="1474"/>
    </row>
    <row r="227" spans="79:99" x14ac:dyDescent="0.2">
      <c r="CA227" s="448" t="s">
        <v>858</v>
      </c>
    </row>
    <row r="228" spans="79:99" x14ac:dyDescent="0.2">
      <c r="CA228" s="448"/>
      <c r="CD228" s="1474"/>
      <c r="CE228" s="1474"/>
      <c r="CF228" s="1474"/>
      <c r="CG228" s="1474"/>
      <c r="CH228" s="1474"/>
      <c r="CI228" s="1474"/>
      <c r="CJ228" s="1474"/>
      <c r="CK228" s="1474"/>
      <c r="CL228" s="1474"/>
      <c r="CM228" s="1474"/>
      <c r="CN228" s="1474"/>
      <c r="CO228" s="1474"/>
      <c r="CP228" s="1474"/>
      <c r="CQ228" s="1474"/>
      <c r="CR228" s="1474"/>
      <c r="CS228" s="1474"/>
      <c r="CT228" s="1474"/>
      <c r="CU228" s="1474"/>
    </row>
    <row r="229" spans="79:99" x14ac:dyDescent="0.2">
      <c r="CA229" s="448"/>
    </row>
    <row r="230" spans="79:99" x14ac:dyDescent="0.2">
      <c r="CA230" s="448"/>
    </row>
    <row r="231" spans="79:99" x14ac:dyDescent="0.2">
      <c r="CA231" s="448"/>
    </row>
    <row r="232" spans="79:99" x14ac:dyDescent="0.2">
      <c r="CA232" s="448"/>
    </row>
    <row r="233" spans="79:99" x14ac:dyDescent="0.2">
      <c r="CA233" s="448"/>
      <c r="CD233" s="1474"/>
      <c r="CE233" s="1474"/>
      <c r="CF233" s="1474"/>
      <c r="CG233" s="1474"/>
      <c r="CH233" s="1474"/>
      <c r="CI233" s="1474"/>
      <c r="CJ233" s="1474"/>
      <c r="CK233" s="1474"/>
      <c r="CL233" s="1474"/>
      <c r="CM233" s="1474"/>
      <c r="CN233" s="1474"/>
      <c r="CO233" s="1474"/>
      <c r="CP233" s="1474"/>
      <c r="CQ233" s="1474"/>
      <c r="CR233" s="1474"/>
      <c r="CS233" s="1474"/>
      <c r="CT233" s="1474"/>
      <c r="CU233" s="1474"/>
    </row>
    <row r="234" spans="79:99" x14ac:dyDescent="0.2">
      <c r="CA234" s="448"/>
    </row>
    <row r="235" spans="79:99" x14ac:dyDescent="0.2">
      <c r="CA235" s="448"/>
    </row>
    <row r="236" spans="79:99" x14ac:dyDescent="0.2">
      <c r="CA236" s="448"/>
    </row>
    <row r="237" spans="79:99" x14ac:dyDescent="0.2">
      <c r="CA237" s="448"/>
    </row>
    <row r="238" spans="79:99" x14ac:dyDescent="0.2">
      <c r="CA238" s="448"/>
      <c r="CD238" s="1474"/>
      <c r="CE238" s="1474"/>
      <c r="CF238" s="1474"/>
      <c r="CG238" s="1474"/>
      <c r="CH238" s="1474"/>
      <c r="CI238" s="1474"/>
      <c r="CJ238" s="1474"/>
      <c r="CK238" s="1474"/>
      <c r="CL238" s="1474"/>
      <c r="CM238" s="1474"/>
      <c r="CN238" s="1474"/>
      <c r="CO238" s="1474"/>
      <c r="CP238" s="1474"/>
      <c r="CQ238" s="1474"/>
      <c r="CR238" s="1474"/>
      <c r="CS238" s="1474"/>
      <c r="CT238" s="1474"/>
      <c r="CU238" s="1474"/>
    </row>
    <row r="239" spans="79:99" x14ac:dyDescent="0.2">
      <c r="CA239" s="448"/>
      <c r="CD239" s="1474"/>
      <c r="CE239" s="1474"/>
      <c r="CF239" s="1474"/>
      <c r="CG239" s="1474"/>
      <c r="CH239" s="1474"/>
      <c r="CI239" s="1474"/>
      <c r="CJ239" s="1474"/>
      <c r="CK239" s="1474"/>
      <c r="CL239" s="1474"/>
      <c r="CM239" s="1474"/>
      <c r="CN239" s="1474"/>
      <c r="CO239" s="1474"/>
      <c r="CP239" s="1474"/>
      <c r="CQ239" s="1474"/>
      <c r="CR239" s="1474"/>
      <c r="CS239" s="1474"/>
      <c r="CT239" s="1474"/>
      <c r="CU239" s="1474"/>
    </row>
    <row r="240" spans="79:99" x14ac:dyDescent="0.2">
      <c r="CA240" s="448"/>
      <c r="CD240" s="1474"/>
      <c r="CE240" s="1474"/>
      <c r="CF240" s="1474"/>
      <c r="CG240" s="1474"/>
      <c r="CH240" s="1474"/>
      <c r="CI240" s="1474"/>
      <c r="CJ240" s="1474"/>
      <c r="CK240" s="1474"/>
      <c r="CL240" s="1474"/>
      <c r="CM240" s="1474"/>
      <c r="CN240" s="1474"/>
      <c r="CO240" s="1474"/>
      <c r="CP240" s="1474"/>
      <c r="CQ240" s="1474"/>
      <c r="CR240" s="1474"/>
      <c r="CS240" s="1474"/>
      <c r="CT240" s="1474"/>
      <c r="CU240" s="1474"/>
    </row>
    <row r="241" spans="79:99" x14ac:dyDescent="0.2">
      <c r="CA241" s="448"/>
      <c r="CD241" s="1474"/>
      <c r="CE241" s="1474"/>
      <c r="CF241" s="1474"/>
      <c r="CG241" s="1474"/>
      <c r="CH241" s="1474"/>
      <c r="CI241" s="1474"/>
      <c r="CJ241" s="1474"/>
      <c r="CK241" s="1474"/>
      <c r="CL241" s="1474"/>
      <c r="CM241" s="1474"/>
      <c r="CN241" s="1474"/>
      <c r="CO241" s="1474"/>
      <c r="CP241" s="1474"/>
      <c r="CQ241" s="1474"/>
      <c r="CR241" s="1474"/>
      <c r="CS241" s="1474"/>
      <c r="CT241" s="1474"/>
      <c r="CU241" s="1474"/>
    </row>
    <row r="242" spans="79:99" x14ac:dyDescent="0.2">
      <c r="CA242" s="448"/>
      <c r="CD242" s="1474"/>
      <c r="CE242" s="1474"/>
      <c r="CF242" s="1474"/>
      <c r="CG242" s="1474"/>
      <c r="CH242" s="1474"/>
      <c r="CI242" s="1474"/>
      <c r="CJ242" s="1474"/>
      <c r="CK242" s="1474"/>
      <c r="CL242" s="1474"/>
      <c r="CM242" s="1474"/>
      <c r="CN242" s="1474"/>
      <c r="CO242" s="1474"/>
      <c r="CP242" s="1474"/>
      <c r="CQ242" s="1474"/>
      <c r="CR242" s="1474"/>
      <c r="CS242" s="1474"/>
      <c r="CT242" s="1474"/>
      <c r="CU242" s="1474"/>
    </row>
    <row r="243" spans="79:99" x14ac:dyDescent="0.2">
      <c r="CA243" s="448"/>
      <c r="CD243" s="1474"/>
      <c r="CE243" s="1474"/>
      <c r="CF243" s="1474"/>
      <c r="CG243" s="1474"/>
      <c r="CH243" s="1474"/>
      <c r="CI243" s="1474"/>
      <c r="CJ243" s="1474"/>
      <c r="CK243" s="1474"/>
      <c r="CL243" s="1474"/>
      <c r="CM243" s="1474"/>
      <c r="CN243" s="1474"/>
      <c r="CO243" s="1474"/>
      <c r="CP243" s="1474"/>
      <c r="CQ243" s="1474"/>
      <c r="CR243" s="1474"/>
      <c r="CS243" s="1474"/>
      <c r="CT243" s="1474"/>
      <c r="CU243" s="1474"/>
    </row>
    <row r="244" spans="79:99" x14ac:dyDescent="0.2">
      <c r="CA244" s="448"/>
      <c r="CD244" s="1474"/>
      <c r="CE244" s="1474"/>
      <c r="CF244" s="1474"/>
      <c r="CG244" s="1474"/>
      <c r="CH244" s="1474"/>
      <c r="CI244" s="1474"/>
      <c r="CJ244" s="1474"/>
      <c r="CK244" s="1474"/>
      <c r="CL244" s="1474"/>
      <c r="CM244" s="1474"/>
      <c r="CN244" s="1474"/>
      <c r="CO244" s="1474"/>
      <c r="CP244" s="1474"/>
      <c r="CQ244" s="1474"/>
      <c r="CR244" s="1474"/>
      <c r="CS244" s="1474"/>
      <c r="CT244" s="1474"/>
      <c r="CU244" s="1474"/>
    </row>
    <row r="245" spans="79:99" x14ac:dyDescent="0.2">
      <c r="CA245" s="448"/>
      <c r="CD245" s="1474"/>
      <c r="CE245" s="1474"/>
      <c r="CF245" s="1474"/>
      <c r="CG245" s="1474"/>
      <c r="CH245" s="1474"/>
      <c r="CI245" s="1474"/>
      <c r="CJ245" s="1474"/>
      <c r="CK245" s="1474"/>
      <c r="CL245" s="1474"/>
      <c r="CM245" s="1474"/>
      <c r="CN245" s="1474"/>
      <c r="CO245" s="1474"/>
      <c r="CP245" s="1474"/>
      <c r="CQ245" s="1474"/>
      <c r="CR245" s="1474"/>
      <c r="CS245" s="1474"/>
      <c r="CT245" s="1474"/>
      <c r="CU245" s="1474"/>
    </row>
    <row r="246" spans="79:99" x14ac:dyDescent="0.2">
      <c r="CA246" s="448"/>
      <c r="CD246" s="1474"/>
      <c r="CE246" s="1474"/>
      <c r="CF246" s="1474"/>
      <c r="CG246" s="1474"/>
      <c r="CH246" s="1474"/>
      <c r="CI246" s="1474"/>
      <c r="CJ246" s="1474"/>
      <c r="CK246" s="1474"/>
      <c r="CL246" s="1474"/>
      <c r="CM246" s="1474"/>
      <c r="CN246" s="1474"/>
      <c r="CO246" s="1474"/>
      <c r="CP246" s="1474"/>
      <c r="CQ246" s="1474"/>
      <c r="CR246" s="1474"/>
      <c r="CS246" s="1474"/>
      <c r="CT246" s="1474"/>
      <c r="CU246" s="1474"/>
    </row>
    <row r="247" spans="79:99" x14ac:dyDescent="0.2">
      <c r="CA247" s="448"/>
      <c r="CD247" s="1474"/>
      <c r="CE247" s="1474"/>
      <c r="CF247" s="1474"/>
      <c r="CG247" s="1474"/>
      <c r="CH247" s="1474"/>
      <c r="CI247" s="1474"/>
      <c r="CJ247" s="1474"/>
      <c r="CK247" s="1474"/>
      <c r="CL247" s="1474"/>
      <c r="CM247" s="1474"/>
      <c r="CN247" s="1474"/>
      <c r="CO247" s="1474"/>
      <c r="CP247" s="1474"/>
      <c r="CQ247" s="1474"/>
      <c r="CR247" s="1474"/>
      <c r="CS247" s="1474"/>
      <c r="CT247" s="1474"/>
      <c r="CU247" s="1474"/>
    </row>
    <row r="248" spans="79:99" x14ac:dyDescent="0.2">
      <c r="CA248" s="448"/>
    </row>
    <row r="249" spans="79:99" x14ac:dyDescent="0.2">
      <c r="CA249" s="448"/>
      <c r="CD249" s="1474"/>
      <c r="CE249" s="1474"/>
      <c r="CF249" s="1474"/>
      <c r="CG249" s="1474"/>
      <c r="CH249" s="1474"/>
      <c r="CI249" s="1474"/>
      <c r="CJ249" s="1474"/>
      <c r="CK249" s="1474"/>
      <c r="CL249" s="1474"/>
      <c r="CM249" s="1474"/>
      <c r="CN249" s="1474"/>
      <c r="CO249" s="1474"/>
      <c r="CP249" s="1474"/>
      <c r="CQ249" s="1474"/>
      <c r="CR249" s="1474"/>
      <c r="CS249" s="1474"/>
      <c r="CT249" s="1474"/>
      <c r="CU249" s="1474"/>
    </row>
    <row r="250" spans="79:99" x14ac:dyDescent="0.2">
      <c r="CA250" s="448"/>
    </row>
    <row r="251" spans="79:99" x14ac:dyDescent="0.2">
      <c r="CA251" s="448"/>
      <c r="CD251" s="1474"/>
      <c r="CE251" s="1474"/>
      <c r="CF251" s="1474"/>
      <c r="CG251" s="1474"/>
      <c r="CH251" s="1474"/>
      <c r="CI251" s="1474"/>
      <c r="CJ251" s="1474"/>
      <c r="CK251" s="1474"/>
      <c r="CL251" s="1474"/>
      <c r="CM251" s="1474"/>
      <c r="CN251" s="1474"/>
      <c r="CO251" s="1474"/>
      <c r="CP251" s="1474"/>
      <c r="CQ251" s="1474"/>
      <c r="CR251" s="1474"/>
      <c r="CS251" s="1474"/>
      <c r="CT251" s="1474"/>
      <c r="CU251" s="1474"/>
    </row>
    <row r="253" spans="79:99" x14ac:dyDescent="0.2">
      <c r="CA253" s="448"/>
      <c r="CD253" s="1474"/>
      <c r="CE253" s="1474"/>
      <c r="CF253" s="1474"/>
      <c r="CG253" s="1474"/>
      <c r="CH253" s="1474"/>
      <c r="CI253" s="1474"/>
      <c r="CJ253" s="1474"/>
      <c r="CK253" s="1474"/>
      <c r="CL253" s="1474"/>
      <c r="CM253" s="1474"/>
      <c r="CN253" s="1474"/>
      <c r="CO253" s="1474"/>
      <c r="CP253" s="1474"/>
      <c r="CQ253" s="1474"/>
      <c r="CR253" s="1474"/>
      <c r="CS253" s="1474"/>
      <c r="CT253" s="1474"/>
      <c r="CU253" s="1474"/>
    </row>
    <row r="254" spans="79:99" x14ac:dyDescent="0.2">
      <c r="CA254" s="448"/>
    </row>
    <row r="255" spans="79:99" x14ac:dyDescent="0.2">
      <c r="CA255" s="448"/>
      <c r="CD255" s="1474"/>
      <c r="CE255" s="1474"/>
      <c r="CF255" s="1474"/>
      <c r="CG255" s="1474"/>
      <c r="CH255" s="1474"/>
      <c r="CI255" s="1474"/>
      <c r="CJ255" s="1474"/>
      <c r="CK255" s="1474"/>
      <c r="CL255" s="1474"/>
      <c r="CM255" s="1474"/>
      <c r="CN255" s="1474"/>
      <c r="CO255" s="1474"/>
      <c r="CP255" s="1474"/>
      <c r="CQ255" s="1474"/>
      <c r="CR255" s="1474"/>
      <c r="CS255" s="1474"/>
      <c r="CT255" s="1474"/>
      <c r="CU255" s="1474"/>
    </row>
    <row r="256" spans="79:99" x14ac:dyDescent="0.2">
      <c r="CA256" s="448"/>
    </row>
    <row r="262" spans="79:99" x14ac:dyDescent="0.2">
      <c r="CA262" s="448" t="s">
        <v>859</v>
      </c>
    </row>
    <row r="263" spans="79:99" x14ac:dyDescent="0.2">
      <c r="CA263" s="448"/>
      <c r="CD263" s="1474"/>
      <c r="CE263" s="1474"/>
      <c r="CF263" s="1474"/>
      <c r="CG263" s="1474"/>
      <c r="CH263" s="1474"/>
      <c r="CI263" s="1474"/>
      <c r="CJ263" s="1474"/>
      <c r="CK263" s="1474"/>
      <c r="CL263" s="1474"/>
      <c r="CM263" s="1474"/>
      <c r="CN263" s="1474"/>
      <c r="CO263" s="1474"/>
      <c r="CP263" s="1474"/>
      <c r="CQ263" s="1474"/>
      <c r="CR263" s="1474"/>
      <c r="CS263" s="1474"/>
      <c r="CT263" s="1474"/>
      <c r="CU263" s="1474"/>
    </row>
    <row r="264" spans="79:99" x14ac:dyDescent="0.2">
      <c r="CA264" s="448"/>
    </row>
    <row r="265" spans="79:99" x14ac:dyDescent="0.2">
      <c r="CA265" s="448"/>
    </row>
    <row r="266" spans="79:99" x14ac:dyDescent="0.2">
      <c r="CA266" s="448"/>
    </row>
    <row r="267" spans="79:99" x14ac:dyDescent="0.2">
      <c r="CA267" s="448"/>
    </row>
    <row r="268" spans="79:99" x14ac:dyDescent="0.2">
      <c r="CA268" s="448"/>
      <c r="CD268" s="1474"/>
      <c r="CE268" s="1474"/>
      <c r="CF268" s="1474"/>
      <c r="CG268" s="1474"/>
      <c r="CH268" s="1474"/>
      <c r="CI268" s="1474"/>
      <c r="CJ268" s="1474"/>
      <c r="CK268" s="1474"/>
      <c r="CL268" s="1474"/>
      <c r="CM268" s="1474"/>
      <c r="CN268" s="1474"/>
      <c r="CO268" s="1474"/>
      <c r="CP268" s="1474"/>
      <c r="CQ268" s="1474"/>
      <c r="CR268" s="1474"/>
      <c r="CS268" s="1474"/>
      <c r="CT268" s="1474"/>
      <c r="CU268" s="1474"/>
    </row>
    <row r="269" spans="79:99" x14ac:dyDescent="0.2">
      <c r="CA269" s="448"/>
    </row>
    <row r="270" spans="79:99" x14ac:dyDescent="0.2">
      <c r="CA270" s="448"/>
    </row>
    <row r="271" spans="79:99" x14ac:dyDescent="0.2">
      <c r="CA271" s="448"/>
    </row>
    <row r="272" spans="79:99" x14ac:dyDescent="0.2">
      <c r="CA272" s="448"/>
    </row>
    <row r="273" spans="79:99" x14ac:dyDescent="0.2">
      <c r="CA273" s="448"/>
      <c r="CD273" s="1474"/>
      <c r="CE273" s="1474"/>
      <c r="CF273" s="1474"/>
      <c r="CG273" s="1474"/>
      <c r="CH273" s="1474"/>
      <c r="CI273" s="1474"/>
      <c r="CJ273" s="1474"/>
      <c r="CK273" s="1474"/>
      <c r="CL273" s="1474"/>
      <c r="CM273" s="1474"/>
      <c r="CN273" s="1474"/>
      <c r="CO273" s="1474"/>
      <c r="CP273" s="1474"/>
      <c r="CQ273" s="1474"/>
      <c r="CR273" s="1474"/>
      <c r="CS273" s="1474"/>
      <c r="CT273" s="1474"/>
      <c r="CU273" s="1474"/>
    </row>
    <row r="274" spans="79:99" x14ac:dyDescent="0.2">
      <c r="CA274" s="448"/>
      <c r="CD274" s="1474"/>
      <c r="CE274" s="1474"/>
      <c r="CF274" s="1474"/>
      <c r="CG274" s="1474"/>
      <c r="CH274" s="1474"/>
      <c r="CI274" s="1474"/>
      <c r="CJ274" s="1474"/>
      <c r="CK274" s="1474"/>
      <c r="CL274" s="1474"/>
      <c r="CM274" s="1474"/>
      <c r="CN274" s="1474"/>
      <c r="CO274" s="1474"/>
      <c r="CP274" s="1474"/>
      <c r="CQ274" s="1474"/>
      <c r="CR274" s="1474"/>
      <c r="CS274" s="1474"/>
      <c r="CT274" s="1474"/>
      <c r="CU274" s="1474"/>
    </row>
    <row r="275" spans="79:99" x14ac:dyDescent="0.2">
      <c r="CA275" s="448"/>
      <c r="CD275" s="1474"/>
      <c r="CE275" s="1474"/>
      <c r="CF275" s="1474"/>
      <c r="CG275" s="1474"/>
      <c r="CH275" s="1474"/>
      <c r="CI275" s="1474"/>
      <c r="CJ275" s="1474"/>
      <c r="CK275" s="1474"/>
      <c r="CL275" s="1474"/>
      <c r="CM275" s="1474"/>
      <c r="CN275" s="1474"/>
      <c r="CO275" s="1474"/>
      <c r="CP275" s="1474"/>
      <c r="CQ275" s="1474"/>
      <c r="CR275" s="1474"/>
      <c r="CS275" s="1474"/>
      <c r="CT275" s="1474"/>
      <c r="CU275" s="1474"/>
    </row>
    <row r="276" spans="79:99" x14ac:dyDescent="0.2">
      <c r="CA276" s="448"/>
      <c r="CD276" s="1474"/>
      <c r="CE276" s="1474"/>
      <c r="CF276" s="1474"/>
      <c r="CG276" s="1474"/>
      <c r="CH276" s="1474"/>
      <c r="CI276" s="1474"/>
      <c r="CJ276" s="1474"/>
      <c r="CK276" s="1474"/>
      <c r="CL276" s="1474"/>
      <c r="CM276" s="1474"/>
      <c r="CN276" s="1474"/>
      <c r="CO276" s="1474"/>
      <c r="CP276" s="1474"/>
      <c r="CQ276" s="1474"/>
      <c r="CR276" s="1474"/>
      <c r="CS276" s="1474"/>
      <c r="CT276" s="1474"/>
      <c r="CU276" s="1474"/>
    </row>
    <row r="277" spans="79:99" x14ac:dyDescent="0.2">
      <c r="CA277" s="448"/>
      <c r="CD277" s="1474"/>
      <c r="CE277" s="1474"/>
      <c r="CF277" s="1474"/>
      <c r="CG277" s="1474"/>
      <c r="CH277" s="1474"/>
      <c r="CI277" s="1474"/>
      <c r="CJ277" s="1474"/>
      <c r="CK277" s="1474"/>
      <c r="CL277" s="1474"/>
      <c r="CM277" s="1474"/>
      <c r="CN277" s="1474"/>
      <c r="CO277" s="1474"/>
      <c r="CP277" s="1474"/>
      <c r="CQ277" s="1474"/>
      <c r="CR277" s="1474"/>
      <c r="CS277" s="1474"/>
      <c r="CT277" s="1474"/>
      <c r="CU277" s="1474"/>
    </row>
    <row r="278" spans="79:99" x14ac:dyDescent="0.2">
      <c r="CA278" s="448"/>
      <c r="CD278" s="1474"/>
      <c r="CE278" s="1474"/>
      <c r="CF278" s="1474"/>
      <c r="CG278" s="1474"/>
      <c r="CH278" s="1474"/>
      <c r="CI278" s="1474"/>
      <c r="CJ278" s="1474"/>
      <c r="CK278" s="1474"/>
      <c r="CL278" s="1474"/>
      <c r="CM278" s="1474"/>
      <c r="CN278" s="1474"/>
      <c r="CO278" s="1474"/>
      <c r="CP278" s="1474"/>
      <c r="CQ278" s="1474"/>
      <c r="CR278" s="1474"/>
      <c r="CS278" s="1474"/>
      <c r="CT278" s="1474"/>
      <c r="CU278" s="1474"/>
    </row>
    <row r="279" spans="79:99" x14ac:dyDescent="0.2">
      <c r="CA279" s="448"/>
      <c r="CD279" s="1474"/>
      <c r="CE279" s="1474"/>
      <c r="CF279" s="1474"/>
      <c r="CG279" s="1474"/>
      <c r="CH279" s="1474"/>
      <c r="CI279" s="1474"/>
      <c r="CJ279" s="1474"/>
      <c r="CK279" s="1474"/>
      <c r="CL279" s="1474"/>
      <c r="CM279" s="1474"/>
      <c r="CN279" s="1474"/>
      <c r="CO279" s="1474"/>
      <c r="CP279" s="1474"/>
      <c r="CQ279" s="1474"/>
      <c r="CR279" s="1474"/>
      <c r="CS279" s="1474"/>
      <c r="CT279" s="1474"/>
      <c r="CU279" s="1474"/>
    </row>
    <row r="280" spans="79:99" x14ac:dyDescent="0.2">
      <c r="CA280" s="448"/>
      <c r="CD280" s="1474"/>
      <c r="CE280" s="1474"/>
      <c r="CF280" s="1474"/>
      <c r="CG280" s="1474"/>
      <c r="CH280" s="1474"/>
      <c r="CI280" s="1474"/>
      <c r="CJ280" s="1474"/>
      <c r="CK280" s="1474"/>
      <c r="CL280" s="1474"/>
      <c r="CM280" s="1474"/>
      <c r="CN280" s="1474"/>
      <c r="CO280" s="1474"/>
      <c r="CP280" s="1474"/>
      <c r="CQ280" s="1474"/>
      <c r="CR280" s="1474"/>
      <c r="CS280" s="1474"/>
      <c r="CT280" s="1474"/>
      <c r="CU280" s="1474"/>
    </row>
    <row r="281" spans="79:99" x14ac:dyDescent="0.2">
      <c r="CA281" s="448"/>
      <c r="CD281" s="1474"/>
      <c r="CE281" s="1474"/>
      <c r="CF281" s="1474"/>
      <c r="CG281" s="1474"/>
      <c r="CH281" s="1474"/>
      <c r="CI281" s="1474"/>
      <c r="CJ281" s="1474"/>
      <c r="CK281" s="1474"/>
      <c r="CL281" s="1474"/>
      <c r="CM281" s="1474"/>
      <c r="CN281" s="1474"/>
      <c r="CO281" s="1474"/>
      <c r="CP281" s="1474"/>
      <c r="CQ281" s="1474"/>
      <c r="CR281" s="1474"/>
      <c r="CS281" s="1474"/>
      <c r="CT281" s="1474"/>
      <c r="CU281" s="1474"/>
    </row>
    <row r="282" spans="79:99" x14ac:dyDescent="0.2">
      <c r="CA282" s="448"/>
      <c r="CD282" s="1474"/>
      <c r="CE282" s="1474"/>
      <c r="CF282" s="1474"/>
      <c r="CG282" s="1474"/>
      <c r="CH282" s="1474"/>
      <c r="CI282" s="1474"/>
      <c r="CJ282" s="1474"/>
      <c r="CK282" s="1474"/>
      <c r="CL282" s="1474"/>
      <c r="CM282" s="1474"/>
      <c r="CN282" s="1474"/>
      <c r="CO282" s="1474"/>
      <c r="CP282" s="1474"/>
      <c r="CQ282" s="1474"/>
      <c r="CR282" s="1474"/>
      <c r="CS282" s="1474"/>
      <c r="CT282" s="1474"/>
      <c r="CU282" s="1474"/>
    </row>
    <row r="283" spans="79:99" x14ac:dyDescent="0.2">
      <c r="CA283" s="448"/>
    </row>
    <row r="284" spans="79:99" x14ac:dyDescent="0.2">
      <c r="CA284" s="448"/>
      <c r="CD284" s="1474"/>
      <c r="CE284" s="1474"/>
      <c r="CF284" s="1474"/>
      <c r="CG284" s="1474"/>
      <c r="CH284" s="1474"/>
      <c r="CI284" s="1474"/>
      <c r="CJ284" s="1474"/>
      <c r="CK284" s="1474"/>
      <c r="CL284" s="1474"/>
      <c r="CM284" s="1474"/>
      <c r="CN284" s="1474"/>
      <c r="CO284" s="1474"/>
      <c r="CP284" s="1474"/>
      <c r="CQ284" s="1474"/>
      <c r="CR284" s="1474"/>
      <c r="CS284" s="1474"/>
      <c r="CT284" s="1474"/>
      <c r="CU284" s="1474"/>
    </row>
    <row r="285" spans="79:99" x14ac:dyDescent="0.2">
      <c r="CA285" s="448"/>
    </row>
    <row r="286" spans="79:99" x14ac:dyDescent="0.2">
      <c r="CA286" s="448"/>
      <c r="CD286" s="1474"/>
      <c r="CE286" s="1474"/>
      <c r="CF286" s="1474"/>
      <c r="CG286" s="1474"/>
      <c r="CH286" s="1474"/>
      <c r="CI286" s="1474"/>
      <c r="CJ286" s="1474"/>
      <c r="CK286" s="1474"/>
      <c r="CL286" s="1474"/>
      <c r="CM286" s="1474"/>
      <c r="CN286" s="1474"/>
      <c r="CO286" s="1474"/>
      <c r="CP286" s="1474"/>
      <c r="CQ286" s="1474"/>
      <c r="CR286" s="1474"/>
      <c r="CS286" s="1474"/>
      <c r="CT286" s="1474"/>
      <c r="CU286" s="1474"/>
    </row>
    <row r="288" spans="79:99" x14ac:dyDescent="0.2">
      <c r="CA288" s="448"/>
      <c r="CD288" s="1474"/>
      <c r="CE288" s="1474"/>
      <c r="CF288" s="1474"/>
      <c r="CG288" s="1474"/>
      <c r="CH288" s="1474"/>
      <c r="CI288" s="1474"/>
      <c r="CJ288" s="1474"/>
      <c r="CK288" s="1474"/>
      <c r="CL288" s="1474"/>
      <c r="CM288" s="1474"/>
      <c r="CN288" s="1474"/>
      <c r="CO288" s="1474"/>
      <c r="CP288" s="1474"/>
      <c r="CQ288" s="1474"/>
      <c r="CR288" s="1474"/>
      <c r="CS288" s="1474"/>
      <c r="CT288" s="1474"/>
      <c r="CU288" s="1474"/>
    </row>
    <row r="289" spans="79:99" x14ac:dyDescent="0.2">
      <c r="CA289" s="448"/>
    </row>
    <row r="290" spans="79:99" x14ac:dyDescent="0.2">
      <c r="CA290" s="448"/>
      <c r="CD290" s="1474"/>
      <c r="CE290" s="1474"/>
      <c r="CF290" s="1474"/>
      <c r="CG290" s="1474"/>
      <c r="CH290" s="1474"/>
      <c r="CI290" s="1474"/>
      <c r="CJ290" s="1474"/>
      <c r="CK290" s="1474"/>
      <c r="CL290" s="1474"/>
      <c r="CM290" s="1474"/>
      <c r="CN290" s="1474"/>
      <c r="CO290" s="1474"/>
      <c r="CP290" s="1474"/>
      <c r="CQ290" s="1474"/>
      <c r="CR290" s="1474"/>
      <c r="CS290" s="1474"/>
      <c r="CT290" s="1474"/>
      <c r="CU290" s="1474"/>
    </row>
    <row r="291" spans="79:99" x14ac:dyDescent="0.2">
      <c r="CA291" s="448"/>
    </row>
    <row r="297" spans="79:99" x14ac:dyDescent="0.2">
      <c r="CA297" s="448" t="s">
        <v>860</v>
      </c>
    </row>
    <row r="298" spans="79:99" x14ac:dyDescent="0.2">
      <c r="CA298" s="448"/>
      <c r="CD298" s="1474"/>
      <c r="CE298" s="1474"/>
      <c r="CF298" s="1474"/>
      <c r="CG298" s="1474"/>
      <c r="CH298" s="1474"/>
      <c r="CI298" s="1474"/>
      <c r="CJ298" s="1474"/>
      <c r="CK298" s="1474"/>
      <c r="CL298" s="1474"/>
      <c r="CM298" s="1474"/>
      <c r="CN298" s="1474"/>
      <c r="CO298" s="1474"/>
      <c r="CP298" s="1474"/>
      <c r="CQ298" s="1474"/>
      <c r="CR298" s="1474"/>
      <c r="CS298" s="1474"/>
      <c r="CT298" s="1474"/>
      <c r="CU298" s="1474"/>
    </row>
    <row r="299" spans="79:99" x14ac:dyDescent="0.2">
      <c r="CA299" s="448"/>
    </row>
    <row r="300" spans="79:99" x14ac:dyDescent="0.2">
      <c r="CA300" s="448"/>
    </row>
    <row r="301" spans="79:99" x14ac:dyDescent="0.2">
      <c r="CA301" s="448"/>
    </row>
    <row r="302" spans="79:99" x14ac:dyDescent="0.2">
      <c r="CA302" s="448"/>
    </row>
    <row r="303" spans="79:99" x14ac:dyDescent="0.2">
      <c r="CA303" s="448"/>
      <c r="CD303" s="1474"/>
      <c r="CE303" s="1474"/>
      <c r="CF303" s="1474"/>
      <c r="CG303" s="1474"/>
      <c r="CH303" s="1474"/>
      <c r="CI303" s="1474"/>
      <c r="CJ303" s="1474"/>
      <c r="CK303" s="1474"/>
      <c r="CL303" s="1474"/>
      <c r="CM303" s="1474"/>
      <c r="CN303" s="1474"/>
      <c r="CO303" s="1474"/>
      <c r="CP303" s="1474"/>
      <c r="CQ303" s="1474"/>
      <c r="CR303" s="1474"/>
      <c r="CS303" s="1474"/>
      <c r="CT303" s="1474"/>
      <c r="CU303" s="1474"/>
    </row>
    <row r="304" spans="79:99" x14ac:dyDescent="0.2">
      <c r="CA304" s="448"/>
    </row>
    <row r="305" spans="79:99" x14ac:dyDescent="0.2">
      <c r="CA305" s="448"/>
    </row>
    <row r="306" spans="79:99" x14ac:dyDescent="0.2">
      <c r="CA306" s="448"/>
    </row>
    <row r="307" spans="79:99" x14ac:dyDescent="0.2">
      <c r="CA307" s="448"/>
    </row>
    <row r="308" spans="79:99" x14ac:dyDescent="0.2">
      <c r="CA308" s="448"/>
      <c r="CD308" s="1474"/>
      <c r="CE308" s="1474"/>
      <c r="CF308" s="1474"/>
      <c r="CG308" s="1474"/>
      <c r="CH308" s="1474"/>
      <c r="CI308" s="1474"/>
      <c r="CJ308" s="1474"/>
      <c r="CK308" s="1474"/>
      <c r="CL308" s="1474"/>
      <c r="CM308" s="1474"/>
      <c r="CN308" s="1474"/>
      <c r="CO308" s="1474"/>
      <c r="CP308" s="1474"/>
      <c r="CQ308" s="1474"/>
      <c r="CR308" s="1474"/>
      <c r="CS308" s="1474"/>
      <c r="CT308" s="1474"/>
      <c r="CU308" s="1474"/>
    </row>
    <row r="309" spans="79:99" x14ac:dyDescent="0.2">
      <c r="CA309" s="448"/>
      <c r="CD309" s="1474"/>
      <c r="CE309" s="1474"/>
      <c r="CF309" s="1474"/>
      <c r="CG309" s="1474"/>
      <c r="CH309" s="1474"/>
      <c r="CI309" s="1474"/>
      <c r="CJ309" s="1474"/>
      <c r="CK309" s="1474"/>
      <c r="CL309" s="1474"/>
      <c r="CM309" s="1474"/>
      <c r="CN309" s="1474"/>
      <c r="CO309" s="1474"/>
      <c r="CP309" s="1474"/>
      <c r="CQ309" s="1474"/>
      <c r="CR309" s="1474"/>
      <c r="CS309" s="1474"/>
      <c r="CT309" s="1474"/>
      <c r="CU309" s="1474"/>
    </row>
    <row r="310" spans="79:99" x14ac:dyDescent="0.2">
      <c r="CA310" s="448"/>
      <c r="CD310" s="1474"/>
      <c r="CE310" s="1474"/>
      <c r="CF310" s="1474"/>
      <c r="CG310" s="1474"/>
      <c r="CH310" s="1474"/>
      <c r="CI310" s="1474"/>
      <c r="CJ310" s="1474"/>
      <c r="CK310" s="1474"/>
      <c r="CL310" s="1474"/>
      <c r="CM310" s="1474"/>
      <c r="CN310" s="1474"/>
      <c r="CO310" s="1474"/>
      <c r="CP310" s="1474"/>
      <c r="CQ310" s="1474"/>
      <c r="CR310" s="1474"/>
      <c r="CS310" s="1474"/>
      <c r="CT310" s="1474"/>
      <c r="CU310" s="1474"/>
    </row>
    <row r="311" spans="79:99" x14ac:dyDescent="0.2">
      <c r="CA311" s="448"/>
      <c r="CD311" s="1474"/>
      <c r="CE311" s="1474"/>
      <c r="CF311" s="1474"/>
      <c r="CG311" s="1474"/>
      <c r="CH311" s="1474"/>
      <c r="CI311" s="1474"/>
      <c r="CJ311" s="1474"/>
      <c r="CK311" s="1474"/>
      <c r="CL311" s="1474"/>
      <c r="CM311" s="1474"/>
      <c r="CN311" s="1474"/>
      <c r="CO311" s="1474"/>
      <c r="CP311" s="1474"/>
      <c r="CQ311" s="1474"/>
      <c r="CR311" s="1474"/>
      <c r="CS311" s="1474"/>
      <c r="CT311" s="1474"/>
      <c r="CU311" s="1474"/>
    </row>
    <row r="312" spans="79:99" x14ac:dyDescent="0.2">
      <c r="CA312" s="448"/>
      <c r="CD312" s="1474"/>
      <c r="CE312" s="1474"/>
      <c r="CF312" s="1474"/>
      <c r="CG312" s="1474"/>
      <c r="CH312" s="1474"/>
      <c r="CI312" s="1474"/>
      <c r="CJ312" s="1474"/>
      <c r="CK312" s="1474"/>
      <c r="CL312" s="1474"/>
      <c r="CM312" s="1474"/>
      <c r="CN312" s="1474"/>
      <c r="CO312" s="1474"/>
      <c r="CP312" s="1474"/>
      <c r="CQ312" s="1474"/>
      <c r="CR312" s="1474"/>
      <c r="CS312" s="1474"/>
      <c r="CT312" s="1474"/>
      <c r="CU312" s="1474"/>
    </row>
    <row r="313" spans="79:99" x14ac:dyDescent="0.2">
      <c r="CA313" s="448"/>
      <c r="CD313" s="1474"/>
      <c r="CE313" s="1474"/>
      <c r="CF313" s="1474"/>
      <c r="CG313" s="1474"/>
      <c r="CH313" s="1474"/>
      <c r="CI313" s="1474"/>
      <c r="CJ313" s="1474"/>
      <c r="CK313" s="1474"/>
      <c r="CL313" s="1474"/>
      <c r="CM313" s="1474"/>
      <c r="CN313" s="1474"/>
      <c r="CO313" s="1474"/>
      <c r="CP313" s="1474"/>
      <c r="CQ313" s="1474"/>
      <c r="CR313" s="1474"/>
      <c r="CS313" s="1474"/>
      <c r="CT313" s="1474"/>
      <c r="CU313" s="1474"/>
    </row>
    <row r="314" spans="79:99" x14ac:dyDescent="0.2">
      <c r="CA314" s="448"/>
      <c r="CD314" s="1474"/>
      <c r="CE314" s="1474"/>
      <c r="CF314" s="1474"/>
      <c r="CG314" s="1474"/>
      <c r="CH314" s="1474"/>
      <c r="CI314" s="1474"/>
      <c r="CJ314" s="1474"/>
      <c r="CK314" s="1474"/>
      <c r="CL314" s="1474"/>
      <c r="CM314" s="1474"/>
      <c r="CN314" s="1474"/>
      <c r="CO314" s="1474"/>
      <c r="CP314" s="1474"/>
      <c r="CQ314" s="1474"/>
      <c r="CR314" s="1474"/>
      <c r="CS314" s="1474"/>
      <c r="CT314" s="1474"/>
      <c r="CU314" s="1474"/>
    </row>
    <row r="315" spans="79:99" x14ac:dyDescent="0.2">
      <c r="CA315" s="448"/>
      <c r="CD315" s="1474"/>
      <c r="CE315" s="1474"/>
      <c r="CF315" s="1474"/>
      <c r="CG315" s="1474"/>
      <c r="CH315" s="1474"/>
      <c r="CI315" s="1474"/>
      <c r="CJ315" s="1474"/>
      <c r="CK315" s="1474"/>
      <c r="CL315" s="1474"/>
      <c r="CM315" s="1474"/>
      <c r="CN315" s="1474"/>
      <c r="CO315" s="1474"/>
      <c r="CP315" s="1474"/>
      <c r="CQ315" s="1474"/>
      <c r="CR315" s="1474"/>
      <c r="CS315" s="1474"/>
      <c r="CT315" s="1474"/>
      <c r="CU315" s="1474"/>
    </row>
    <row r="316" spans="79:99" x14ac:dyDescent="0.2">
      <c r="CA316" s="448"/>
      <c r="CD316" s="1474"/>
      <c r="CE316" s="1474"/>
      <c r="CF316" s="1474"/>
      <c r="CG316" s="1474"/>
      <c r="CH316" s="1474"/>
      <c r="CI316" s="1474"/>
      <c r="CJ316" s="1474"/>
      <c r="CK316" s="1474"/>
      <c r="CL316" s="1474"/>
      <c r="CM316" s="1474"/>
      <c r="CN316" s="1474"/>
      <c r="CO316" s="1474"/>
      <c r="CP316" s="1474"/>
      <c r="CQ316" s="1474"/>
      <c r="CR316" s="1474"/>
      <c r="CS316" s="1474"/>
      <c r="CT316" s="1474"/>
      <c r="CU316" s="1474"/>
    </row>
    <row r="317" spans="79:99" x14ac:dyDescent="0.2">
      <c r="CA317" s="448"/>
      <c r="CD317" s="1474"/>
      <c r="CE317" s="1474"/>
      <c r="CF317" s="1474"/>
      <c r="CG317" s="1474"/>
      <c r="CH317" s="1474"/>
      <c r="CI317" s="1474"/>
      <c r="CJ317" s="1474"/>
      <c r="CK317" s="1474"/>
      <c r="CL317" s="1474"/>
      <c r="CM317" s="1474"/>
      <c r="CN317" s="1474"/>
      <c r="CO317" s="1474"/>
      <c r="CP317" s="1474"/>
      <c r="CQ317" s="1474"/>
      <c r="CR317" s="1474"/>
      <c r="CS317" s="1474"/>
      <c r="CT317" s="1474"/>
      <c r="CU317" s="1474"/>
    </row>
    <row r="318" spans="79:99" x14ac:dyDescent="0.2">
      <c r="CA318" s="448"/>
    </row>
    <row r="319" spans="79:99" x14ac:dyDescent="0.2">
      <c r="CA319" s="448"/>
      <c r="CD319" s="1474"/>
      <c r="CE319" s="1474"/>
      <c r="CF319" s="1474"/>
      <c r="CG319" s="1474"/>
      <c r="CH319" s="1474"/>
      <c r="CI319" s="1474"/>
      <c r="CJ319" s="1474"/>
      <c r="CK319" s="1474"/>
      <c r="CL319" s="1474"/>
      <c r="CM319" s="1474"/>
      <c r="CN319" s="1474"/>
      <c r="CO319" s="1474"/>
      <c r="CP319" s="1474"/>
      <c r="CQ319" s="1474"/>
      <c r="CR319" s="1474"/>
      <c r="CS319" s="1474"/>
      <c r="CT319" s="1474"/>
      <c r="CU319" s="1474"/>
    </row>
    <row r="320" spans="79:99" x14ac:dyDescent="0.2">
      <c r="CA320" s="448"/>
    </row>
    <row r="321" spans="79:99" x14ac:dyDescent="0.2">
      <c r="CA321" s="448"/>
      <c r="CD321" s="1474"/>
      <c r="CE321" s="1474"/>
      <c r="CF321" s="1474"/>
      <c r="CG321" s="1474"/>
      <c r="CH321" s="1474"/>
      <c r="CI321" s="1474"/>
      <c r="CJ321" s="1474"/>
      <c r="CK321" s="1474"/>
      <c r="CL321" s="1474"/>
      <c r="CM321" s="1474"/>
      <c r="CN321" s="1474"/>
      <c r="CO321" s="1474"/>
      <c r="CP321" s="1474"/>
      <c r="CQ321" s="1474"/>
      <c r="CR321" s="1474"/>
      <c r="CS321" s="1474"/>
      <c r="CT321" s="1474"/>
      <c r="CU321" s="1474"/>
    </row>
    <row r="323" spans="79:99" x14ac:dyDescent="0.2">
      <c r="CA323" s="448"/>
      <c r="CD323" s="1474"/>
      <c r="CE323" s="1474"/>
      <c r="CF323" s="1474"/>
      <c r="CG323" s="1474"/>
      <c r="CH323" s="1474"/>
      <c r="CI323" s="1474"/>
      <c r="CJ323" s="1474"/>
      <c r="CK323" s="1474"/>
      <c r="CL323" s="1474"/>
      <c r="CM323" s="1474"/>
      <c r="CN323" s="1474"/>
      <c r="CO323" s="1474"/>
      <c r="CP323" s="1474"/>
      <c r="CQ323" s="1474"/>
      <c r="CR323" s="1474"/>
      <c r="CS323" s="1474"/>
      <c r="CT323" s="1474"/>
      <c r="CU323" s="1474"/>
    </row>
    <row r="324" spans="79:99" x14ac:dyDescent="0.2">
      <c r="CA324" s="448"/>
    </row>
    <row r="325" spans="79:99" x14ac:dyDescent="0.2">
      <c r="CA325" s="448"/>
      <c r="CD325" s="1474"/>
      <c r="CE325" s="1474"/>
      <c r="CF325" s="1474"/>
      <c r="CG325" s="1474"/>
      <c r="CH325" s="1474"/>
      <c r="CI325" s="1474"/>
      <c r="CJ325" s="1474"/>
      <c r="CK325" s="1474"/>
      <c r="CL325" s="1474"/>
      <c r="CM325" s="1474"/>
      <c r="CN325" s="1474"/>
      <c r="CO325" s="1474"/>
      <c r="CP325" s="1474"/>
      <c r="CQ325" s="1474"/>
      <c r="CR325" s="1474"/>
      <c r="CS325" s="1474"/>
      <c r="CT325" s="1474"/>
      <c r="CU325" s="1474"/>
    </row>
    <row r="326" spans="79:99" x14ac:dyDescent="0.2">
      <c r="CA326" s="448"/>
    </row>
    <row r="332" spans="79:99" x14ac:dyDescent="0.2">
      <c r="CA332" s="448" t="s">
        <v>861</v>
      </c>
    </row>
    <row r="333" spans="79:99" x14ac:dyDescent="0.2">
      <c r="CA333" s="448"/>
      <c r="CD333" s="1474"/>
      <c r="CE333" s="1474"/>
      <c r="CF333" s="1474"/>
      <c r="CG333" s="1474"/>
      <c r="CH333" s="1474"/>
      <c r="CI333" s="1474"/>
      <c r="CJ333" s="1474"/>
      <c r="CK333" s="1474"/>
      <c r="CL333" s="1474"/>
      <c r="CM333" s="1474"/>
      <c r="CN333" s="1474"/>
      <c r="CO333" s="1474"/>
      <c r="CP333" s="1474"/>
      <c r="CQ333" s="1474"/>
      <c r="CR333" s="1474"/>
      <c r="CS333" s="1474"/>
      <c r="CT333" s="1474"/>
      <c r="CU333" s="1474"/>
    </row>
    <row r="334" spans="79:99" x14ac:dyDescent="0.2">
      <c r="CA334" s="448"/>
    </row>
    <row r="335" spans="79:99" x14ac:dyDescent="0.2">
      <c r="CA335" s="448"/>
    </row>
    <row r="336" spans="79:99" x14ac:dyDescent="0.2">
      <c r="CA336" s="448"/>
    </row>
    <row r="337" spans="79:99" x14ac:dyDescent="0.2">
      <c r="CA337" s="448"/>
    </row>
    <row r="338" spans="79:99" x14ac:dyDescent="0.2">
      <c r="CA338" s="448"/>
      <c r="CD338" s="1474"/>
      <c r="CE338" s="1474"/>
      <c r="CF338" s="1474"/>
      <c r="CG338" s="1474"/>
      <c r="CH338" s="1474"/>
      <c r="CI338" s="1474"/>
      <c r="CJ338" s="1474"/>
      <c r="CK338" s="1474"/>
      <c r="CL338" s="1474"/>
      <c r="CM338" s="1474"/>
      <c r="CN338" s="1474"/>
      <c r="CO338" s="1474"/>
      <c r="CP338" s="1474"/>
      <c r="CQ338" s="1474"/>
      <c r="CR338" s="1474"/>
      <c r="CS338" s="1474"/>
      <c r="CT338" s="1474"/>
      <c r="CU338" s="1474"/>
    </row>
    <row r="339" spans="79:99" x14ac:dyDescent="0.2">
      <c r="CA339" s="448"/>
    </row>
    <row r="340" spans="79:99" x14ac:dyDescent="0.2">
      <c r="CA340" s="448"/>
    </row>
    <row r="341" spans="79:99" x14ac:dyDescent="0.2">
      <c r="CA341" s="448"/>
    </row>
    <row r="342" spans="79:99" x14ac:dyDescent="0.2">
      <c r="CA342" s="448"/>
    </row>
    <row r="343" spans="79:99" x14ac:dyDescent="0.2">
      <c r="CA343" s="448"/>
      <c r="CD343" s="1474"/>
      <c r="CE343" s="1474"/>
      <c r="CF343" s="1474"/>
      <c r="CG343" s="1474"/>
      <c r="CH343" s="1474"/>
      <c r="CI343" s="1474"/>
      <c r="CJ343" s="1474"/>
      <c r="CK343" s="1474"/>
      <c r="CL343" s="1474"/>
      <c r="CM343" s="1474"/>
      <c r="CN343" s="1474"/>
      <c r="CO343" s="1474"/>
      <c r="CP343" s="1474"/>
      <c r="CQ343" s="1474"/>
      <c r="CR343" s="1474"/>
      <c r="CS343" s="1474"/>
      <c r="CT343" s="1474"/>
      <c r="CU343" s="1474"/>
    </row>
    <row r="344" spans="79:99" x14ac:dyDescent="0.2">
      <c r="CA344" s="448"/>
      <c r="CD344" s="1474"/>
      <c r="CE344" s="1474"/>
      <c r="CF344" s="1474"/>
      <c r="CG344" s="1474"/>
      <c r="CH344" s="1474"/>
      <c r="CI344" s="1474"/>
      <c r="CJ344" s="1474"/>
      <c r="CK344" s="1474"/>
      <c r="CL344" s="1474"/>
      <c r="CM344" s="1474"/>
      <c r="CN344" s="1474"/>
      <c r="CO344" s="1474"/>
      <c r="CP344" s="1474"/>
      <c r="CQ344" s="1474"/>
      <c r="CR344" s="1474"/>
      <c r="CS344" s="1474"/>
      <c r="CT344" s="1474"/>
      <c r="CU344" s="1474"/>
    </row>
    <row r="345" spans="79:99" x14ac:dyDescent="0.2">
      <c r="CA345" s="448"/>
      <c r="CD345" s="1474"/>
      <c r="CE345" s="1474"/>
      <c r="CF345" s="1474"/>
      <c r="CG345" s="1474"/>
      <c r="CH345" s="1474"/>
      <c r="CI345" s="1474"/>
      <c r="CJ345" s="1474"/>
      <c r="CK345" s="1474"/>
      <c r="CL345" s="1474"/>
      <c r="CM345" s="1474"/>
      <c r="CN345" s="1474"/>
      <c r="CO345" s="1474"/>
      <c r="CP345" s="1474"/>
      <c r="CQ345" s="1474"/>
      <c r="CR345" s="1474"/>
      <c r="CS345" s="1474"/>
      <c r="CT345" s="1474"/>
      <c r="CU345" s="1474"/>
    </row>
    <row r="346" spans="79:99" x14ac:dyDescent="0.2">
      <c r="CA346" s="448"/>
      <c r="CD346" s="1474"/>
      <c r="CE346" s="1474"/>
      <c r="CF346" s="1474"/>
      <c r="CG346" s="1474"/>
      <c r="CH346" s="1474"/>
      <c r="CI346" s="1474"/>
      <c r="CJ346" s="1474"/>
      <c r="CK346" s="1474"/>
      <c r="CL346" s="1474"/>
      <c r="CM346" s="1474"/>
      <c r="CN346" s="1474"/>
      <c r="CO346" s="1474"/>
      <c r="CP346" s="1474"/>
      <c r="CQ346" s="1474"/>
      <c r="CR346" s="1474"/>
      <c r="CS346" s="1474"/>
      <c r="CT346" s="1474"/>
      <c r="CU346" s="1474"/>
    </row>
    <row r="347" spans="79:99" x14ac:dyDescent="0.2">
      <c r="CA347" s="448"/>
      <c r="CD347" s="1474"/>
      <c r="CE347" s="1474"/>
      <c r="CF347" s="1474"/>
      <c r="CG347" s="1474"/>
      <c r="CH347" s="1474"/>
      <c r="CI347" s="1474"/>
      <c r="CJ347" s="1474"/>
      <c r="CK347" s="1474"/>
      <c r="CL347" s="1474"/>
      <c r="CM347" s="1474"/>
      <c r="CN347" s="1474"/>
      <c r="CO347" s="1474"/>
      <c r="CP347" s="1474"/>
      <c r="CQ347" s="1474"/>
      <c r="CR347" s="1474"/>
      <c r="CS347" s="1474"/>
      <c r="CT347" s="1474"/>
      <c r="CU347" s="1474"/>
    </row>
    <row r="348" spans="79:99" x14ac:dyDescent="0.2">
      <c r="CA348" s="448"/>
      <c r="CD348" s="1474"/>
      <c r="CE348" s="1474"/>
      <c r="CF348" s="1474"/>
      <c r="CG348" s="1474"/>
      <c r="CH348" s="1474"/>
      <c r="CI348" s="1474"/>
      <c r="CJ348" s="1474"/>
      <c r="CK348" s="1474"/>
      <c r="CL348" s="1474"/>
      <c r="CM348" s="1474"/>
      <c r="CN348" s="1474"/>
      <c r="CO348" s="1474"/>
      <c r="CP348" s="1474"/>
      <c r="CQ348" s="1474"/>
      <c r="CR348" s="1474"/>
      <c r="CS348" s="1474"/>
      <c r="CT348" s="1474"/>
      <c r="CU348" s="1474"/>
    </row>
    <row r="349" spans="79:99" x14ac:dyDescent="0.2">
      <c r="CA349" s="448"/>
      <c r="CD349" s="1474"/>
      <c r="CE349" s="1474"/>
      <c r="CF349" s="1474"/>
      <c r="CG349" s="1474"/>
      <c r="CH349" s="1474"/>
      <c r="CI349" s="1474"/>
      <c r="CJ349" s="1474"/>
      <c r="CK349" s="1474"/>
      <c r="CL349" s="1474"/>
      <c r="CM349" s="1474"/>
      <c r="CN349" s="1474"/>
      <c r="CO349" s="1474"/>
      <c r="CP349" s="1474"/>
      <c r="CQ349" s="1474"/>
      <c r="CR349" s="1474"/>
      <c r="CS349" s="1474"/>
      <c r="CT349" s="1474"/>
      <c r="CU349" s="1474"/>
    </row>
    <row r="350" spans="79:99" x14ac:dyDescent="0.2">
      <c r="CA350" s="448"/>
      <c r="CD350" s="1474"/>
      <c r="CE350" s="1474"/>
      <c r="CF350" s="1474"/>
      <c r="CG350" s="1474"/>
      <c r="CH350" s="1474"/>
      <c r="CI350" s="1474"/>
      <c r="CJ350" s="1474"/>
      <c r="CK350" s="1474"/>
      <c r="CL350" s="1474"/>
      <c r="CM350" s="1474"/>
      <c r="CN350" s="1474"/>
      <c r="CO350" s="1474"/>
      <c r="CP350" s="1474"/>
      <c r="CQ350" s="1474"/>
      <c r="CR350" s="1474"/>
      <c r="CS350" s="1474"/>
      <c r="CT350" s="1474"/>
      <c r="CU350" s="1474"/>
    </row>
    <row r="351" spans="79:99" x14ac:dyDescent="0.2">
      <c r="CA351" s="448"/>
      <c r="CD351" s="1474"/>
      <c r="CE351" s="1474"/>
      <c r="CF351" s="1474"/>
      <c r="CG351" s="1474"/>
      <c r="CH351" s="1474"/>
      <c r="CI351" s="1474"/>
      <c r="CJ351" s="1474"/>
      <c r="CK351" s="1474"/>
      <c r="CL351" s="1474"/>
      <c r="CM351" s="1474"/>
      <c r="CN351" s="1474"/>
      <c r="CO351" s="1474"/>
      <c r="CP351" s="1474"/>
      <c r="CQ351" s="1474"/>
      <c r="CR351" s="1474"/>
      <c r="CS351" s="1474"/>
      <c r="CT351" s="1474"/>
      <c r="CU351" s="1474"/>
    </row>
    <row r="352" spans="79:99" x14ac:dyDescent="0.2">
      <c r="CA352" s="448"/>
      <c r="CD352" s="1474"/>
      <c r="CE352" s="1474"/>
      <c r="CF352" s="1474"/>
      <c r="CG352" s="1474"/>
      <c r="CH352" s="1474"/>
      <c r="CI352" s="1474"/>
      <c r="CJ352" s="1474"/>
      <c r="CK352" s="1474"/>
      <c r="CL352" s="1474"/>
      <c r="CM352" s="1474"/>
      <c r="CN352" s="1474"/>
      <c r="CO352" s="1474"/>
      <c r="CP352" s="1474"/>
      <c r="CQ352" s="1474"/>
      <c r="CR352" s="1474"/>
      <c r="CS352" s="1474"/>
      <c r="CT352" s="1474"/>
      <c r="CU352" s="1474"/>
    </row>
    <row r="353" spans="79:99" x14ac:dyDescent="0.2">
      <c r="CA353" s="448"/>
    </row>
    <row r="354" spans="79:99" x14ac:dyDescent="0.2">
      <c r="CA354" s="448"/>
      <c r="CD354" s="1474"/>
      <c r="CE354" s="1474"/>
      <c r="CF354" s="1474"/>
      <c r="CG354" s="1474"/>
      <c r="CH354" s="1474"/>
      <c r="CI354" s="1474"/>
      <c r="CJ354" s="1474"/>
      <c r="CK354" s="1474"/>
      <c r="CL354" s="1474"/>
      <c r="CM354" s="1474"/>
      <c r="CN354" s="1474"/>
      <c r="CO354" s="1474"/>
      <c r="CP354" s="1474"/>
      <c r="CQ354" s="1474"/>
      <c r="CR354" s="1474"/>
      <c r="CS354" s="1474"/>
      <c r="CT354" s="1474"/>
      <c r="CU354" s="1474"/>
    </row>
    <row r="355" spans="79:99" x14ac:dyDescent="0.2">
      <c r="CA355" s="448"/>
    </row>
    <row r="356" spans="79:99" x14ac:dyDescent="0.2">
      <c r="CA356" s="448"/>
      <c r="CD356" s="1474"/>
      <c r="CE356" s="1474"/>
      <c r="CF356" s="1474"/>
      <c r="CG356" s="1474"/>
      <c r="CH356" s="1474"/>
      <c r="CI356" s="1474"/>
      <c r="CJ356" s="1474"/>
      <c r="CK356" s="1474"/>
      <c r="CL356" s="1474"/>
      <c r="CM356" s="1474"/>
      <c r="CN356" s="1474"/>
      <c r="CO356" s="1474"/>
      <c r="CP356" s="1474"/>
      <c r="CQ356" s="1474"/>
      <c r="CR356" s="1474"/>
      <c r="CS356" s="1474"/>
      <c r="CT356" s="1474"/>
      <c r="CU356" s="1474"/>
    </row>
    <row r="357" spans="79:99" x14ac:dyDescent="0.2">
      <c r="CA357" s="448"/>
    </row>
    <row r="358" spans="79:99" x14ac:dyDescent="0.2">
      <c r="CA358" s="448"/>
      <c r="CD358" s="1474"/>
      <c r="CE358" s="1474"/>
      <c r="CF358" s="1474"/>
      <c r="CG358" s="1474"/>
      <c r="CH358" s="1474"/>
      <c r="CI358" s="1474"/>
      <c r="CJ358" s="1474"/>
      <c r="CK358" s="1474"/>
      <c r="CL358" s="1474"/>
      <c r="CM358" s="1474"/>
      <c r="CN358" s="1474"/>
      <c r="CO358" s="1474"/>
      <c r="CP358" s="1474"/>
      <c r="CQ358" s="1474"/>
      <c r="CR358" s="1474"/>
      <c r="CS358" s="1474"/>
      <c r="CT358" s="1474"/>
      <c r="CU358" s="1474"/>
    </row>
    <row r="359" spans="79:99" x14ac:dyDescent="0.2">
      <c r="CA359" s="448"/>
    </row>
    <row r="360" spans="79:99" x14ac:dyDescent="0.2">
      <c r="CA360" s="448"/>
      <c r="CD360" s="1474"/>
      <c r="CE360" s="1474"/>
      <c r="CF360" s="1474"/>
      <c r="CG360" s="1474"/>
      <c r="CH360" s="1474"/>
      <c r="CI360" s="1474"/>
      <c r="CJ360" s="1474"/>
      <c r="CK360" s="1474"/>
      <c r="CL360" s="1474"/>
      <c r="CM360" s="1474"/>
      <c r="CN360" s="1474"/>
      <c r="CO360" s="1474"/>
      <c r="CP360" s="1474"/>
      <c r="CQ360" s="1474"/>
      <c r="CR360" s="1474"/>
      <c r="CS360" s="1474"/>
      <c r="CT360" s="1474"/>
      <c r="CU360" s="1474"/>
    </row>
    <row r="361" spans="79:99" x14ac:dyDescent="0.2">
      <c r="CA361" s="448"/>
    </row>
    <row r="362" spans="79:99" x14ac:dyDescent="0.2">
      <c r="CA362" s="448"/>
    </row>
    <row r="363" spans="79:99" x14ac:dyDescent="0.2">
      <c r="CA363" s="448"/>
    </row>
    <row r="364" spans="79:99" x14ac:dyDescent="0.2">
      <c r="CA364" s="448"/>
    </row>
    <row r="365" spans="79:99" x14ac:dyDescent="0.2">
      <c r="CA365" s="448"/>
    </row>
    <row r="366" spans="79:99" x14ac:dyDescent="0.2">
      <c r="CA366" s="448"/>
    </row>
    <row r="367" spans="79:99" x14ac:dyDescent="0.2">
      <c r="CA367" s="448"/>
    </row>
    <row r="368" spans="79:99" x14ac:dyDescent="0.2">
      <c r="CA368" s="448"/>
    </row>
    <row r="369" spans="79:79" x14ac:dyDescent="0.2">
      <c r="CA369" s="448"/>
    </row>
    <row r="370" spans="79:79" x14ac:dyDescent="0.2">
      <c r="CA370" s="448"/>
    </row>
    <row r="371" spans="79:79" x14ac:dyDescent="0.2">
      <c r="CA371" s="448"/>
    </row>
    <row r="372" spans="79:79" x14ac:dyDescent="0.2">
      <c r="CA372" s="448"/>
    </row>
    <row r="373" spans="79:79" x14ac:dyDescent="0.2">
      <c r="CA373" s="448"/>
    </row>
    <row r="374" spans="79:79" x14ac:dyDescent="0.2">
      <c r="CA374" s="448"/>
    </row>
    <row r="375" spans="79:79" x14ac:dyDescent="0.2">
      <c r="CA375" s="448"/>
    </row>
    <row r="376" spans="79:79" x14ac:dyDescent="0.2">
      <c r="CA376" s="448"/>
    </row>
    <row r="377" spans="79:79" x14ac:dyDescent="0.2">
      <c r="CA377" s="448"/>
    </row>
    <row r="378" spans="79:79" x14ac:dyDescent="0.2">
      <c r="CA378" s="448"/>
    </row>
    <row r="379" spans="79:79" x14ac:dyDescent="0.2">
      <c r="CA379" s="448"/>
    </row>
    <row r="380" spans="79:79" x14ac:dyDescent="0.2">
      <c r="CA380" s="448"/>
    </row>
    <row r="381" spans="79:79" x14ac:dyDescent="0.2">
      <c r="CA381" s="448"/>
    </row>
    <row r="382" spans="79:79" x14ac:dyDescent="0.2">
      <c r="CA382" s="448"/>
    </row>
    <row r="383" spans="79:79" x14ac:dyDescent="0.2">
      <c r="CA383" s="448"/>
    </row>
    <row r="384" spans="79:79" x14ac:dyDescent="0.2">
      <c r="CA384" s="448"/>
    </row>
    <row r="385" spans="79:79" x14ac:dyDescent="0.2">
      <c r="CA385" s="448"/>
    </row>
    <row r="386" spans="79:79" x14ac:dyDescent="0.2">
      <c r="CA386" s="448"/>
    </row>
    <row r="387" spans="79:79" x14ac:dyDescent="0.2">
      <c r="CA387" s="448"/>
    </row>
    <row r="388" spans="79:79" x14ac:dyDescent="0.2">
      <c r="CA388" s="448"/>
    </row>
    <row r="389" spans="79:79" x14ac:dyDescent="0.2">
      <c r="CA389" s="448"/>
    </row>
    <row r="390" spans="79:79" x14ac:dyDescent="0.2">
      <c r="CA390" s="448"/>
    </row>
    <row r="391" spans="79:79" x14ac:dyDescent="0.2">
      <c r="CA391" s="448"/>
    </row>
    <row r="392" spans="79:79" x14ac:dyDescent="0.2">
      <c r="CA392" s="448"/>
    </row>
    <row r="393" spans="79:79" x14ac:dyDescent="0.2">
      <c r="CA393" s="448"/>
    </row>
    <row r="394" spans="79:79" x14ac:dyDescent="0.2">
      <c r="CA394" s="448"/>
    </row>
    <row r="395" spans="79:79" x14ac:dyDescent="0.2">
      <c r="CA395" s="448"/>
    </row>
    <row r="396" spans="79:79" x14ac:dyDescent="0.2">
      <c r="CA396" s="448"/>
    </row>
    <row r="397" spans="79:79" x14ac:dyDescent="0.2">
      <c r="CA397" s="448"/>
    </row>
    <row r="398" spans="79:79" x14ac:dyDescent="0.2">
      <c r="CA398" s="448"/>
    </row>
    <row r="399" spans="79:79" x14ac:dyDescent="0.2">
      <c r="CA399" s="448"/>
    </row>
    <row r="400" spans="79:79" x14ac:dyDescent="0.2">
      <c r="CA400" s="448"/>
    </row>
    <row r="401" spans="79:79" x14ac:dyDescent="0.2">
      <c r="CA401" s="448"/>
    </row>
    <row r="402" spans="79:79" x14ac:dyDescent="0.2">
      <c r="CA402" s="448"/>
    </row>
    <row r="403" spans="79:79" x14ac:dyDescent="0.2">
      <c r="CA403" s="448"/>
    </row>
    <row r="404" spans="79:79" x14ac:dyDescent="0.2">
      <c r="CA404" s="448"/>
    </row>
    <row r="405" spans="79:79" x14ac:dyDescent="0.2">
      <c r="CA405" s="448"/>
    </row>
    <row r="406" spans="79:79" x14ac:dyDescent="0.2">
      <c r="CA406" s="448"/>
    </row>
    <row r="407" spans="79:79" x14ac:dyDescent="0.2">
      <c r="CA407" s="448"/>
    </row>
    <row r="408" spans="79:79" x14ac:dyDescent="0.2">
      <c r="CA408" s="448"/>
    </row>
    <row r="409" spans="79:79" x14ac:dyDescent="0.2">
      <c r="CA409" s="448"/>
    </row>
    <row r="410" spans="79:79" x14ac:dyDescent="0.2">
      <c r="CA410" s="448"/>
    </row>
    <row r="411" spans="79:79" x14ac:dyDescent="0.2">
      <c r="CA411" s="448"/>
    </row>
    <row r="412" spans="79:79" x14ac:dyDescent="0.2">
      <c r="CA412" s="448"/>
    </row>
    <row r="413" spans="79:79" x14ac:dyDescent="0.2">
      <c r="CA413" s="448"/>
    </row>
    <row r="414" spans="79:79" x14ac:dyDescent="0.2">
      <c r="CA414" s="448"/>
    </row>
    <row r="415" spans="79:79" x14ac:dyDescent="0.2">
      <c r="CA415" s="448"/>
    </row>
    <row r="416" spans="79:79" x14ac:dyDescent="0.2">
      <c r="CA416" s="448"/>
    </row>
    <row r="417" spans="79:79" x14ac:dyDescent="0.2">
      <c r="CA417" s="448"/>
    </row>
    <row r="418" spans="79:79" x14ac:dyDescent="0.2">
      <c r="CA418" s="448"/>
    </row>
    <row r="419" spans="79:79" x14ac:dyDescent="0.2">
      <c r="CA419" s="448"/>
    </row>
    <row r="420" spans="79:79" x14ac:dyDescent="0.2">
      <c r="CA420" s="448"/>
    </row>
    <row r="421" spans="79:79" x14ac:dyDescent="0.2">
      <c r="CA421" s="448"/>
    </row>
    <row r="422" spans="79:79" x14ac:dyDescent="0.2">
      <c r="CA422" s="448"/>
    </row>
    <row r="423" spans="79:79" x14ac:dyDescent="0.2">
      <c r="CA423" s="448"/>
    </row>
    <row r="424" spans="79:79" x14ac:dyDescent="0.2">
      <c r="CA424" s="448"/>
    </row>
    <row r="425" spans="79:79" x14ac:dyDescent="0.2">
      <c r="CA425" s="448"/>
    </row>
    <row r="426" spans="79:79" x14ac:dyDescent="0.2">
      <c r="CA426" s="448"/>
    </row>
    <row r="427" spans="79:79" x14ac:dyDescent="0.2">
      <c r="CA427" s="448"/>
    </row>
    <row r="428" spans="79:79" x14ac:dyDescent="0.2">
      <c r="CA428" s="448"/>
    </row>
    <row r="429" spans="79:79" x14ac:dyDescent="0.2">
      <c r="CA429" s="448"/>
    </row>
    <row r="430" spans="79:79" x14ac:dyDescent="0.2">
      <c r="CA430" s="448"/>
    </row>
    <row r="431" spans="79:79" x14ac:dyDescent="0.2">
      <c r="CA431" s="448"/>
    </row>
    <row r="432" spans="79:79" x14ac:dyDescent="0.2">
      <c r="CA432" s="448"/>
    </row>
    <row r="433" spans="79:79" x14ac:dyDescent="0.2">
      <c r="CA433" s="448"/>
    </row>
    <row r="434" spans="79:79" x14ac:dyDescent="0.2">
      <c r="CA434" s="448"/>
    </row>
    <row r="435" spans="79:79" x14ac:dyDescent="0.2">
      <c r="CA435" s="448"/>
    </row>
    <row r="436" spans="79:79" x14ac:dyDescent="0.2">
      <c r="CA436" s="448"/>
    </row>
    <row r="437" spans="79:79" x14ac:dyDescent="0.2">
      <c r="CA437" s="448"/>
    </row>
    <row r="438" spans="79:79" x14ac:dyDescent="0.2">
      <c r="CA438" s="448"/>
    </row>
    <row r="439" spans="79:79" x14ac:dyDescent="0.2">
      <c r="CA439" s="448"/>
    </row>
    <row r="440" spans="79:79" x14ac:dyDescent="0.2">
      <c r="CA440" s="448"/>
    </row>
    <row r="441" spans="79:79" x14ac:dyDescent="0.2">
      <c r="CA441" s="448"/>
    </row>
    <row r="442" spans="79:79" x14ac:dyDescent="0.2">
      <c r="CA442" s="448"/>
    </row>
    <row r="443" spans="79:79" x14ac:dyDescent="0.2">
      <c r="CA443" s="448"/>
    </row>
    <row r="444" spans="79:79" x14ac:dyDescent="0.2">
      <c r="CA444" s="448"/>
    </row>
    <row r="445" spans="79:79" x14ac:dyDescent="0.2">
      <c r="CA445" s="448"/>
    </row>
    <row r="446" spans="79:79" x14ac:dyDescent="0.2">
      <c r="CA446" s="448"/>
    </row>
    <row r="447" spans="79:79" x14ac:dyDescent="0.2">
      <c r="CA447" s="448"/>
    </row>
    <row r="448" spans="79:79" x14ac:dyDescent="0.2">
      <c r="CA448" s="448"/>
    </row>
    <row r="449" spans="79:79" x14ac:dyDescent="0.2">
      <c r="CA449" s="448"/>
    </row>
    <row r="450" spans="79:79" x14ac:dyDescent="0.2">
      <c r="CA450" s="448"/>
    </row>
    <row r="451" spans="79:79" x14ac:dyDescent="0.2">
      <c r="CA451" s="448"/>
    </row>
    <row r="452" spans="79:79" x14ac:dyDescent="0.2">
      <c r="CA452" s="448"/>
    </row>
    <row r="453" spans="79:79" x14ac:dyDescent="0.2">
      <c r="CA453" s="448"/>
    </row>
    <row r="454" spans="79:79" x14ac:dyDescent="0.2">
      <c r="CA454" s="448"/>
    </row>
    <row r="455" spans="79:79" x14ac:dyDescent="0.2">
      <c r="CA455" s="448"/>
    </row>
    <row r="456" spans="79:79" x14ac:dyDescent="0.2">
      <c r="CA456" s="448"/>
    </row>
    <row r="457" spans="79:79" x14ac:dyDescent="0.2">
      <c r="CA457" s="448"/>
    </row>
    <row r="458" spans="79:79" x14ac:dyDescent="0.2">
      <c r="CA458" s="448"/>
    </row>
    <row r="459" spans="79:79" x14ac:dyDescent="0.2">
      <c r="CA459" s="448"/>
    </row>
    <row r="460" spans="79:79" x14ac:dyDescent="0.2">
      <c r="CA460" s="448"/>
    </row>
    <row r="461" spans="79:79" x14ac:dyDescent="0.2">
      <c r="CA461" s="448"/>
    </row>
    <row r="462" spans="79:79" x14ac:dyDescent="0.2">
      <c r="CA462" s="448"/>
    </row>
    <row r="463" spans="79:79" x14ac:dyDescent="0.2">
      <c r="CA463" s="448"/>
    </row>
    <row r="464" spans="79:79" x14ac:dyDescent="0.2">
      <c r="CA464" s="448"/>
    </row>
    <row r="465" spans="79:79" x14ac:dyDescent="0.2">
      <c r="CA465" s="448"/>
    </row>
    <row r="466" spans="79:79" x14ac:dyDescent="0.2">
      <c r="CA466" s="448"/>
    </row>
    <row r="467" spans="79:79" x14ac:dyDescent="0.2">
      <c r="CA467" s="448"/>
    </row>
    <row r="468" spans="79:79" x14ac:dyDescent="0.2">
      <c r="CA468" s="448"/>
    </row>
    <row r="469" spans="79:79" x14ac:dyDescent="0.2">
      <c r="CA469" s="448"/>
    </row>
    <row r="470" spans="79:79" x14ac:dyDescent="0.2">
      <c r="CA470" s="448"/>
    </row>
    <row r="471" spans="79:79" x14ac:dyDescent="0.2">
      <c r="CA471" s="448"/>
    </row>
    <row r="472" spans="79:79" x14ac:dyDescent="0.2">
      <c r="CA472" s="448"/>
    </row>
    <row r="473" spans="79:79" x14ac:dyDescent="0.2">
      <c r="CA473" s="448"/>
    </row>
    <row r="474" spans="79:79" x14ac:dyDescent="0.2">
      <c r="CA474" s="448"/>
    </row>
    <row r="475" spans="79:79" x14ac:dyDescent="0.2">
      <c r="CA475" s="448"/>
    </row>
    <row r="476" spans="79:79" x14ac:dyDescent="0.2">
      <c r="CA476" s="448"/>
    </row>
    <row r="477" spans="79:79" x14ac:dyDescent="0.2">
      <c r="CA477" s="448"/>
    </row>
    <row r="478" spans="79:79" x14ac:dyDescent="0.2">
      <c r="CA478" s="448"/>
    </row>
    <row r="479" spans="79:79" x14ac:dyDescent="0.2">
      <c r="CA479" s="448"/>
    </row>
    <row r="480" spans="79:79" x14ac:dyDescent="0.2">
      <c r="CA480" s="448"/>
    </row>
    <row r="481" spans="79:79" x14ac:dyDescent="0.2">
      <c r="CA481" s="448"/>
    </row>
    <row r="482" spans="79:79" x14ac:dyDescent="0.2">
      <c r="CA482" s="448"/>
    </row>
    <row r="483" spans="79:79" x14ac:dyDescent="0.2">
      <c r="CA483" s="448"/>
    </row>
    <row r="484" spans="79:79" x14ac:dyDescent="0.2">
      <c r="CA484" s="448"/>
    </row>
    <row r="485" spans="79:79" x14ac:dyDescent="0.2">
      <c r="CA485" s="448"/>
    </row>
    <row r="486" spans="79:79" x14ac:dyDescent="0.2">
      <c r="CA486" s="448"/>
    </row>
    <row r="487" spans="79:79" x14ac:dyDescent="0.2">
      <c r="CA487" s="448"/>
    </row>
    <row r="488" spans="79:79" x14ac:dyDescent="0.2">
      <c r="CA488" s="448"/>
    </row>
    <row r="489" spans="79:79" x14ac:dyDescent="0.2">
      <c r="CA489" s="448"/>
    </row>
    <row r="490" spans="79:79" x14ac:dyDescent="0.2">
      <c r="CA490" s="448"/>
    </row>
    <row r="491" spans="79:79" x14ac:dyDescent="0.2">
      <c r="CA491" s="448"/>
    </row>
    <row r="492" spans="79:79" x14ac:dyDescent="0.2">
      <c r="CA492" s="448"/>
    </row>
    <row r="493" spans="79:79" x14ac:dyDescent="0.2">
      <c r="CA493" s="448"/>
    </row>
    <row r="494" spans="79:79" x14ac:dyDescent="0.2">
      <c r="CA494" s="448"/>
    </row>
    <row r="495" spans="79:79" x14ac:dyDescent="0.2">
      <c r="CA495" s="448"/>
    </row>
    <row r="496" spans="79:79" x14ac:dyDescent="0.2">
      <c r="CA496" s="448"/>
    </row>
    <row r="497" spans="79:79" x14ac:dyDescent="0.2">
      <c r="CA497" s="448"/>
    </row>
    <row r="498" spans="79:79" x14ac:dyDescent="0.2">
      <c r="CA498" s="448"/>
    </row>
    <row r="499" spans="79:79" x14ac:dyDescent="0.2">
      <c r="CA499" s="448"/>
    </row>
    <row r="500" spans="79:79" x14ac:dyDescent="0.2">
      <c r="CA500" s="448"/>
    </row>
    <row r="501" spans="79:79" x14ac:dyDescent="0.2">
      <c r="CA501" s="448"/>
    </row>
    <row r="502" spans="79:79" x14ac:dyDescent="0.2">
      <c r="CA502" s="448"/>
    </row>
    <row r="503" spans="79:79" x14ac:dyDescent="0.2">
      <c r="CA503" s="448"/>
    </row>
    <row r="504" spans="79:79" x14ac:dyDescent="0.2">
      <c r="CA504" s="448"/>
    </row>
    <row r="505" spans="79:79" x14ac:dyDescent="0.2">
      <c r="CA505" s="448"/>
    </row>
    <row r="506" spans="79:79" x14ac:dyDescent="0.2">
      <c r="CA506" s="448"/>
    </row>
    <row r="507" spans="79:79" x14ac:dyDescent="0.2">
      <c r="CA507" s="448"/>
    </row>
    <row r="508" spans="79:79" x14ac:dyDescent="0.2">
      <c r="CA508" s="448"/>
    </row>
    <row r="509" spans="79:79" x14ac:dyDescent="0.2">
      <c r="CA509" s="448"/>
    </row>
    <row r="510" spans="79:79" x14ac:dyDescent="0.2">
      <c r="CA510" s="448"/>
    </row>
    <row r="511" spans="79:79" x14ac:dyDescent="0.2">
      <c r="CA511" s="448"/>
    </row>
    <row r="512" spans="79:79" x14ac:dyDescent="0.2">
      <c r="CA512" s="448"/>
    </row>
    <row r="513" spans="79:79" x14ac:dyDescent="0.2">
      <c r="CA513" s="448"/>
    </row>
    <row r="514" spans="79:79" x14ac:dyDescent="0.2">
      <c r="CA514" s="448"/>
    </row>
    <row r="515" spans="79:79" x14ac:dyDescent="0.2">
      <c r="CA515" s="448"/>
    </row>
    <row r="516" spans="79:79" x14ac:dyDescent="0.2">
      <c r="CA516" s="448"/>
    </row>
    <row r="517" spans="79:79" x14ac:dyDescent="0.2">
      <c r="CA517" s="448"/>
    </row>
    <row r="518" spans="79:79" x14ac:dyDescent="0.2">
      <c r="CA518" s="448"/>
    </row>
    <row r="519" spans="79:79" x14ac:dyDescent="0.2">
      <c r="CA519" s="448"/>
    </row>
    <row r="520" spans="79:79" x14ac:dyDescent="0.2">
      <c r="CA520" s="448"/>
    </row>
    <row r="521" spans="79:79" x14ac:dyDescent="0.2">
      <c r="CA521" s="448"/>
    </row>
    <row r="522" spans="79:79" x14ac:dyDescent="0.2">
      <c r="CA522" s="448"/>
    </row>
    <row r="523" spans="79:79" x14ac:dyDescent="0.2">
      <c r="CA523" s="448"/>
    </row>
    <row r="524" spans="79:79" x14ac:dyDescent="0.2">
      <c r="CA524" s="448"/>
    </row>
    <row r="525" spans="79:79" x14ac:dyDescent="0.2">
      <c r="CA525" s="448"/>
    </row>
    <row r="526" spans="79:79" x14ac:dyDescent="0.2">
      <c r="CA526" s="448"/>
    </row>
    <row r="527" spans="79:79" x14ac:dyDescent="0.2">
      <c r="CA527" s="448"/>
    </row>
    <row r="528" spans="79:79" x14ac:dyDescent="0.2">
      <c r="CA528" s="448"/>
    </row>
    <row r="529" spans="79:79" x14ac:dyDescent="0.2">
      <c r="CA529" s="448"/>
    </row>
    <row r="530" spans="79:79" x14ac:dyDescent="0.2">
      <c r="CA530" s="448"/>
    </row>
    <row r="531" spans="79:79" x14ac:dyDescent="0.2">
      <c r="CA531" s="448"/>
    </row>
    <row r="532" spans="79:79" x14ac:dyDescent="0.2">
      <c r="CA532" s="448"/>
    </row>
    <row r="533" spans="79:79" x14ac:dyDescent="0.2">
      <c r="CA533" s="448"/>
    </row>
    <row r="534" spans="79:79" x14ac:dyDescent="0.2">
      <c r="CA534" s="448"/>
    </row>
    <row r="535" spans="79:79" x14ac:dyDescent="0.2">
      <c r="CA535" s="448"/>
    </row>
    <row r="536" spans="79:79" x14ac:dyDescent="0.2">
      <c r="CA536" s="448"/>
    </row>
    <row r="537" spans="79:79" x14ac:dyDescent="0.2">
      <c r="CA537" s="448"/>
    </row>
    <row r="538" spans="79:79" x14ac:dyDescent="0.2">
      <c r="CA538" s="448"/>
    </row>
    <row r="539" spans="79:79" x14ac:dyDescent="0.2">
      <c r="CA539" s="448"/>
    </row>
    <row r="540" spans="79:79" x14ac:dyDescent="0.2">
      <c r="CA540" s="448"/>
    </row>
    <row r="541" spans="79:79" x14ac:dyDescent="0.2">
      <c r="CA541" s="448"/>
    </row>
    <row r="542" spans="79:79" x14ac:dyDescent="0.2">
      <c r="CA542" s="448"/>
    </row>
    <row r="543" spans="79:79" x14ac:dyDescent="0.2">
      <c r="CA543" s="448"/>
    </row>
    <row r="544" spans="79:79" x14ac:dyDescent="0.2">
      <c r="CA544" s="448"/>
    </row>
    <row r="545" spans="79:79" x14ac:dyDescent="0.2">
      <c r="CA545" s="448"/>
    </row>
    <row r="546" spans="79:79" x14ac:dyDescent="0.2">
      <c r="CA546" s="448"/>
    </row>
    <row r="547" spans="79:79" x14ac:dyDescent="0.2">
      <c r="CA547" s="448"/>
    </row>
    <row r="548" spans="79:79" x14ac:dyDescent="0.2">
      <c r="CA548" s="448"/>
    </row>
    <row r="549" spans="79:79" x14ac:dyDescent="0.2">
      <c r="CA549" s="448"/>
    </row>
    <row r="550" spans="79:79" x14ac:dyDescent="0.2">
      <c r="CA550" s="448"/>
    </row>
    <row r="551" spans="79:79" x14ac:dyDescent="0.2">
      <c r="CA551" s="448"/>
    </row>
    <row r="552" spans="79:79" x14ac:dyDescent="0.2">
      <c r="CA552" s="448"/>
    </row>
    <row r="553" spans="79:79" x14ac:dyDescent="0.2">
      <c r="CA553" s="448"/>
    </row>
    <row r="554" spans="79:79" x14ac:dyDescent="0.2">
      <c r="CA554" s="448"/>
    </row>
    <row r="555" spans="79:79" x14ac:dyDescent="0.2">
      <c r="CA555" s="448"/>
    </row>
    <row r="556" spans="79:79" x14ac:dyDescent="0.2">
      <c r="CA556" s="448"/>
    </row>
    <row r="557" spans="79:79" x14ac:dyDescent="0.2">
      <c r="CA557" s="448"/>
    </row>
    <row r="558" spans="79:79" x14ac:dyDescent="0.2">
      <c r="CA558" s="448"/>
    </row>
    <row r="559" spans="79:79" x14ac:dyDescent="0.2">
      <c r="CA559" s="448"/>
    </row>
    <row r="560" spans="79:79" x14ac:dyDescent="0.2">
      <c r="CA560" s="448"/>
    </row>
    <row r="561" spans="79:79" x14ac:dyDescent="0.2">
      <c r="CA561" s="448"/>
    </row>
    <row r="562" spans="79:79" x14ac:dyDescent="0.2">
      <c r="CA562" s="448"/>
    </row>
    <row r="563" spans="79:79" x14ac:dyDescent="0.2">
      <c r="CA563" s="448"/>
    </row>
    <row r="564" spans="79:79" x14ac:dyDescent="0.2">
      <c r="CA564" s="448"/>
    </row>
    <row r="565" spans="79:79" x14ac:dyDescent="0.2">
      <c r="CA565" s="448"/>
    </row>
    <row r="566" spans="79:79" x14ac:dyDescent="0.2">
      <c r="CA566" s="448"/>
    </row>
    <row r="567" spans="79:79" x14ac:dyDescent="0.2">
      <c r="CA567" s="448"/>
    </row>
    <row r="568" spans="79:79" x14ac:dyDescent="0.2">
      <c r="CA568" s="448"/>
    </row>
    <row r="569" spans="79:79" x14ac:dyDescent="0.2">
      <c r="CA569" s="448"/>
    </row>
    <row r="570" spans="79:79" x14ac:dyDescent="0.2">
      <c r="CA570" s="448"/>
    </row>
    <row r="571" spans="79:79" x14ac:dyDescent="0.2">
      <c r="CA571" s="448"/>
    </row>
    <row r="572" spans="79:79" x14ac:dyDescent="0.2">
      <c r="CA572" s="448"/>
    </row>
    <row r="573" spans="79:79" x14ac:dyDescent="0.2">
      <c r="CA573" s="448"/>
    </row>
    <row r="574" spans="79:79" x14ac:dyDescent="0.2">
      <c r="CA574" s="448"/>
    </row>
    <row r="575" spans="79:79" x14ac:dyDescent="0.2">
      <c r="CA575" s="448"/>
    </row>
    <row r="576" spans="79:79" x14ac:dyDescent="0.2">
      <c r="CA576" s="448"/>
    </row>
    <row r="577" spans="79:79" x14ac:dyDescent="0.2">
      <c r="CA577" s="448"/>
    </row>
    <row r="578" spans="79:79" x14ac:dyDescent="0.2">
      <c r="CA578" s="448"/>
    </row>
    <row r="579" spans="79:79" x14ac:dyDescent="0.2">
      <c r="CA579" s="448"/>
    </row>
    <row r="580" spans="79:79" x14ac:dyDescent="0.2">
      <c r="CA580" s="448"/>
    </row>
    <row r="581" spans="79:79" x14ac:dyDescent="0.2">
      <c r="CA581" s="448"/>
    </row>
    <row r="582" spans="79:79" x14ac:dyDescent="0.2">
      <c r="CA582" s="448"/>
    </row>
    <row r="583" spans="79:79" x14ac:dyDescent="0.2">
      <c r="CA583" s="448"/>
    </row>
    <row r="584" spans="79:79" x14ac:dyDescent="0.2">
      <c r="CA584" s="448"/>
    </row>
    <row r="585" spans="79:79" x14ac:dyDescent="0.2">
      <c r="CA585" s="448"/>
    </row>
    <row r="586" spans="79:79" x14ac:dyDescent="0.2">
      <c r="CA586" s="448"/>
    </row>
    <row r="587" spans="79:79" x14ac:dyDescent="0.2">
      <c r="CA587" s="448"/>
    </row>
    <row r="588" spans="79:79" x14ac:dyDescent="0.2">
      <c r="CA588" s="448"/>
    </row>
    <row r="589" spans="79:79" x14ac:dyDescent="0.2">
      <c r="CA589" s="448"/>
    </row>
    <row r="590" spans="79:79" x14ac:dyDescent="0.2">
      <c r="CA590" s="448"/>
    </row>
    <row r="591" spans="79:79" x14ac:dyDescent="0.2">
      <c r="CA591" s="448"/>
    </row>
    <row r="592" spans="79:79" x14ac:dyDescent="0.2">
      <c r="CA592" s="448"/>
    </row>
    <row r="593" spans="79:79" x14ac:dyDescent="0.2">
      <c r="CA593" s="448"/>
    </row>
    <row r="594" spans="79:79" x14ac:dyDescent="0.2">
      <c r="CA594" s="448"/>
    </row>
    <row r="595" spans="79:79" x14ac:dyDescent="0.2">
      <c r="CA595" s="448"/>
    </row>
    <row r="596" spans="79:79" x14ac:dyDescent="0.2">
      <c r="CA596" s="448"/>
    </row>
    <row r="597" spans="79:79" x14ac:dyDescent="0.2">
      <c r="CA597" s="448"/>
    </row>
    <row r="598" spans="79:79" x14ac:dyDescent="0.2">
      <c r="CA598" s="448"/>
    </row>
    <row r="599" spans="79:79" x14ac:dyDescent="0.2">
      <c r="CA599" s="448"/>
    </row>
    <row r="600" spans="79:79" x14ac:dyDescent="0.2">
      <c r="CA600" s="448"/>
    </row>
    <row r="601" spans="79:79" x14ac:dyDescent="0.2">
      <c r="CA601" s="448"/>
    </row>
    <row r="602" spans="79:79" x14ac:dyDescent="0.2">
      <c r="CA602" s="448"/>
    </row>
    <row r="603" spans="79:79" x14ac:dyDescent="0.2">
      <c r="CA603" s="448"/>
    </row>
    <row r="604" spans="79:79" x14ac:dyDescent="0.2">
      <c r="CA604" s="448"/>
    </row>
    <row r="605" spans="79:79" x14ac:dyDescent="0.2">
      <c r="CA605" s="448"/>
    </row>
    <row r="606" spans="79:79" x14ac:dyDescent="0.2">
      <c r="CA606" s="448"/>
    </row>
    <row r="607" spans="79:79" x14ac:dyDescent="0.2">
      <c r="CA607" s="448"/>
    </row>
    <row r="608" spans="79:79" x14ac:dyDescent="0.2">
      <c r="CA608" s="448"/>
    </row>
    <row r="609" spans="79:79" x14ac:dyDescent="0.2">
      <c r="CA609" s="448"/>
    </row>
    <row r="610" spans="79:79" x14ac:dyDescent="0.2">
      <c r="CA610" s="448"/>
    </row>
    <row r="611" spans="79:79" x14ac:dyDescent="0.2">
      <c r="CA611" s="448"/>
    </row>
    <row r="612" spans="79:79" x14ac:dyDescent="0.2">
      <c r="CA612" s="448"/>
    </row>
    <row r="613" spans="79:79" x14ac:dyDescent="0.2">
      <c r="CA613" s="448"/>
    </row>
    <row r="614" spans="79:79" x14ac:dyDescent="0.2">
      <c r="CA614" s="448"/>
    </row>
    <row r="615" spans="79:79" x14ac:dyDescent="0.2">
      <c r="CA615" s="448"/>
    </row>
    <row r="616" spans="79:79" x14ac:dyDescent="0.2">
      <c r="CA616" s="448"/>
    </row>
    <row r="617" spans="79:79" x14ac:dyDescent="0.2">
      <c r="CA617" s="448"/>
    </row>
    <row r="618" spans="79:79" x14ac:dyDescent="0.2">
      <c r="CA618" s="448"/>
    </row>
    <row r="619" spans="79:79" x14ac:dyDescent="0.2">
      <c r="CA619" s="448"/>
    </row>
    <row r="620" spans="79:79" x14ac:dyDescent="0.2">
      <c r="CA620" s="448"/>
    </row>
    <row r="621" spans="79:79" x14ac:dyDescent="0.2">
      <c r="CA621" s="448"/>
    </row>
    <row r="622" spans="79:79" x14ac:dyDescent="0.2">
      <c r="CA622" s="448"/>
    </row>
    <row r="623" spans="79:79" x14ac:dyDescent="0.2">
      <c r="CA623" s="448"/>
    </row>
    <row r="624" spans="79:79" x14ac:dyDescent="0.2">
      <c r="CA624" s="448"/>
    </row>
    <row r="625" spans="79:79" x14ac:dyDescent="0.2">
      <c r="CA625" s="448"/>
    </row>
    <row r="626" spans="79:79" x14ac:dyDescent="0.2">
      <c r="CA626" s="448"/>
    </row>
    <row r="627" spans="79:79" x14ac:dyDescent="0.2">
      <c r="CA627" s="448"/>
    </row>
    <row r="628" spans="79:79" x14ac:dyDescent="0.2">
      <c r="CA628" s="448"/>
    </row>
    <row r="629" spans="79:79" x14ac:dyDescent="0.2">
      <c r="CA629" s="448"/>
    </row>
    <row r="630" spans="79:79" x14ac:dyDescent="0.2">
      <c r="CA630" s="448"/>
    </row>
    <row r="631" spans="79:79" x14ac:dyDescent="0.2">
      <c r="CA631" s="448"/>
    </row>
    <row r="632" spans="79:79" x14ac:dyDescent="0.2">
      <c r="CA632" s="448"/>
    </row>
    <row r="633" spans="79:79" x14ac:dyDescent="0.2">
      <c r="CA633" s="448"/>
    </row>
    <row r="634" spans="79:79" x14ac:dyDescent="0.2">
      <c r="CA634" s="448"/>
    </row>
    <row r="635" spans="79:79" x14ac:dyDescent="0.2">
      <c r="CA635" s="448"/>
    </row>
    <row r="636" spans="79:79" x14ac:dyDescent="0.2">
      <c r="CA636" s="448"/>
    </row>
    <row r="637" spans="79:79" x14ac:dyDescent="0.2">
      <c r="CA637" s="448"/>
    </row>
    <row r="638" spans="79:79" x14ac:dyDescent="0.2">
      <c r="CA638" s="448"/>
    </row>
    <row r="639" spans="79:79" x14ac:dyDescent="0.2">
      <c r="CA639" s="448"/>
    </row>
    <row r="640" spans="79:79" x14ac:dyDescent="0.2">
      <c r="CA640" s="448"/>
    </row>
    <row r="641" spans="79:79" x14ac:dyDescent="0.2">
      <c r="CA641" s="448"/>
    </row>
    <row r="642" spans="79:79" x14ac:dyDescent="0.2">
      <c r="CA642" s="448"/>
    </row>
    <row r="643" spans="79:79" x14ac:dyDescent="0.2">
      <c r="CA643" s="448"/>
    </row>
    <row r="644" spans="79:79" x14ac:dyDescent="0.2">
      <c r="CA644" s="448"/>
    </row>
    <row r="645" spans="79:79" x14ac:dyDescent="0.2">
      <c r="CA645" s="448"/>
    </row>
    <row r="646" spans="79:79" x14ac:dyDescent="0.2">
      <c r="CA646" s="448"/>
    </row>
    <row r="647" spans="79:79" x14ac:dyDescent="0.2">
      <c r="CA647" s="448"/>
    </row>
    <row r="648" spans="79:79" x14ac:dyDescent="0.2">
      <c r="CA648" s="448"/>
    </row>
    <row r="649" spans="79:79" x14ac:dyDescent="0.2">
      <c r="CA649" s="448"/>
    </row>
    <row r="650" spans="79:79" x14ac:dyDescent="0.2">
      <c r="CA650" s="448"/>
    </row>
    <row r="651" spans="79:79" x14ac:dyDescent="0.2">
      <c r="CA651" s="448"/>
    </row>
    <row r="652" spans="79:79" x14ac:dyDescent="0.2">
      <c r="CA652" s="448"/>
    </row>
    <row r="653" spans="79:79" x14ac:dyDescent="0.2">
      <c r="CA653" s="448"/>
    </row>
    <row r="654" spans="79:79" x14ac:dyDescent="0.2">
      <c r="CA654" s="448"/>
    </row>
    <row r="655" spans="79:79" x14ac:dyDescent="0.2">
      <c r="CA655" s="448"/>
    </row>
    <row r="656" spans="79:79" x14ac:dyDescent="0.2">
      <c r="CA656" s="448"/>
    </row>
    <row r="657" spans="79:79" x14ac:dyDescent="0.2">
      <c r="CA657" s="448"/>
    </row>
    <row r="658" spans="79:79" x14ac:dyDescent="0.2">
      <c r="CA658" s="448"/>
    </row>
    <row r="659" spans="79:79" x14ac:dyDescent="0.2">
      <c r="CA659" s="448"/>
    </row>
    <row r="660" spans="79:79" x14ac:dyDescent="0.2">
      <c r="CA660" s="448"/>
    </row>
    <row r="661" spans="79:79" x14ac:dyDescent="0.2">
      <c r="CA661" s="448"/>
    </row>
    <row r="662" spans="79:79" x14ac:dyDescent="0.2">
      <c r="CA662" s="448"/>
    </row>
    <row r="663" spans="79:79" x14ac:dyDescent="0.2">
      <c r="CA663" s="448"/>
    </row>
    <row r="664" spans="79:79" x14ac:dyDescent="0.2">
      <c r="CA664" s="448"/>
    </row>
    <row r="665" spans="79:79" x14ac:dyDescent="0.2">
      <c r="CA665" s="448"/>
    </row>
    <row r="666" spans="79:79" x14ac:dyDescent="0.2">
      <c r="CA666" s="448"/>
    </row>
    <row r="667" spans="79:79" x14ac:dyDescent="0.2">
      <c r="CA667" s="448"/>
    </row>
    <row r="668" spans="79:79" x14ac:dyDescent="0.2">
      <c r="CA668" s="448"/>
    </row>
    <row r="669" spans="79:79" x14ac:dyDescent="0.2">
      <c r="CA669" s="448"/>
    </row>
    <row r="670" spans="79:79" x14ac:dyDescent="0.2">
      <c r="CA670" s="448"/>
    </row>
    <row r="671" spans="79:79" x14ac:dyDescent="0.2">
      <c r="CA671" s="448"/>
    </row>
    <row r="672" spans="79:79" x14ac:dyDescent="0.2">
      <c r="CA672" s="448"/>
    </row>
    <row r="673" spans="79:79" x14ac:dyDescent="0.2">
      <c r="CA673" s="448"/>
    </row>
    <row r="674" spans="79:79" x14ac:dyDescent="0.2">
      <c r="CA674" s="448"/>
    </row>
    <row r="675" spans="79:79" x14ac:dyDescent="0.2">
      <c r="CA675" s="448"/>
    </row>
    <row r="676" spans="79:79" x14ac:dyDescent="0.2">
      <c r="CA676" s="448"/>
    </row>
    <row r="677" spans="79:79" x14ac:dyDescent="0.2">
      <c r="CA677" s="448"/>
    </row>
    <row r="678" spans="79:79" x14ac:dyDescent="0.2">
      <c r="CA678" s="448"/>
    </row>
    <row r="679" spans="79:79" x14ac:dyDescent="0.2">
      <c r="CA679" s="448"/>
    </row>
    <row r="680" spans="79:79" x14ac:dyDescent="0.2">
      <c r="CA680" s="448"/>
    </row>
    <row r="681" spans="79:79" x14ac:dyDescent="0.2">
      <c r="CA681" s="448"/>
    </row>
    <row r="682" spans="79:79" x14ac:dyDescent="0.2">
      <c r="CA682" s="448"/>
    </row>
    <row r="683" spans="79:79" x14ac:dyDescent="0.2">
      <c r="CA683" s="448"/>
    </row>
    <row r="684" spans="79:79" x14ac:dyDescent="0.2">
      <c r="CA684" s="448"/>
    </row>
    <row r="685" spans="79:79" x14ac:dyDescent="0.2">
      <c r="CA685" s="448"/>
    </row>
    <row r="686" spans="79:79" x14ac:dyDescent="0.2">
      <c r="CA686" s="448"/>
    </row>
    <row r="687" spans="79:79" x14ac:dyDescent="0.2">
      <c r="CA687" s="448"/>
    </row>
    <row r="688" spans="79:79" x14ac:dyDescent="0.2">
      <c r="CA688" s="448"/>
    </row>
    <row r="689" spans="79:79" x14ac:dyDescent="0.2">
      <c r="CA689" s="448"/>
    </row>
    <row r="690" spans="79:79" x14ac:dyDescent="0.2">
      <c r="CA690" s="448"/>
    </row>
    <row r="691" spans="79:79" x14ac:dyDescent="0.2">
      <c r="CA691" s="448"/>
    </row>
    <row r="692" spans="79:79" x14ac:dyDescent="0.2">
      <c r="CA692" s="448"/>
    </row>
    <row r="693" spans="79:79" x14ac:dyDescent="0.2">
      <c r="CA693" s="448"/>
    </row>
    <row r="694" spans="79:79" x14ac:dyDescent="0.2">
      <c r="CA694" s="448"/>
    </row>
    <row r="695" spans="79:79" x14ac:dyDescent="0.2">
      <c r="CA695" s="448"/>
    </row>
    <row r="696" spans="79:79" x14ac:dyDescent="0.2">
      <c r="CA696" s="448"/>
    </row>
    <row r="697" spans="79:79" x14ac:dyDescent="0.2">
      <c r="CA697" s="448"/>
    </row>
    <row r="698" spans="79:79" x14ac:dyDescent="0.2">
      <c r="CA698" s="448"/>
    </row>
    <row r="699" spans="79:79" x14ac:dyDescent="0.2">
      <c r="CA699" s="448"/>
    </row>
    <row r="700" spans="79:79" x14ac:dyDescent="0.2">
      <c r="CA700" s="448"/>
    </row>
    <row r="701" spans="79:79" x14ac:dyDescent="0.2">
      <c r="CA701" s="448"/>
    </row>
    <row r="702" spans="79:79" x14ac:dyDescent="0.2">
      <c r="CA702" s="448"/>
    </row>
    <row r="703" spans="79:79" x14ac:dyDescent="0.2">
      <c r="CA703" s="448"/>
    </row>
    <row r="704" spans="79:79" x14ac:dyDescent="0.2">
      <c r="CA704" s="448"/>
    </row>
    <row r="705" spans="79:79" x14ac:dyDescent="0.2">
      <c r="CA705" s="448"/>
    </row>
    <row r="706" spans="79:79" x14ac:dyDescent="0.2">
      <c r="CA706" s="448"/>
    </row>
    <row r="707" spans="79:79" x14ac:dyDescent="0.2">
      <c r="CA707" s="448"/>
    </row>
    <row r="708" spans="79:79" x14ac:dyDescent="0.2">
      <c r="CA708" s="448"/>
    </row>
    <row r="709" spans="79:79" x14ac:dyDescent="0.2">
      <c r="CA709" s="448"/>
    </row>
    <row r="710" spans="79:79" x14ac:dyDescent="0.2">
      <c r="CA710" s="448"/>
    </row>
    <row r="711" spans="79:79" x14ac:dyDescent="0.2">
      <c r="CA711" s="448"/>
    </row>
    <row r="712" spans="79:79" x14ac:dyDescent="0.2">
      <c r="CA712" s="448"/>
    </row>
    <row r="713" spans="79:79" x14ac:dyDescent="0.2">
      <c r="CA713" s="448"/>
    </row>
    <row r="714" spans="79:79" x14ac:dyDescent="0.2">
      <c r="CA714" s="448"/>
    </row>
    <row r="715" spans="79:79" x14ac:dyDescent="0.2">
      <c r="CA715" s="448"/>
    </row>
    <row r="716" spans="79:79" x14ac:dyDescent="0.2">
      <c r="CA716" s="448"/>
    </row>
    <row r="717" spans="79:79" x14ac:dyDescent="0.2">
      <c r="CA717" s="448"/>
    </row>
    <row r="718" spans="79:79" x14ac:dyDescent="0.2">
      <c r="CA718" s="448"/>
    </row>
    <row r="719" spans="79:79" x14ac:dyDescent="0.2">
      <c r="CA719" s="448"/>
    </row>
    <row r="720" spans="79:79" x14ac:dyDescent="0.2">
      <c r="CA720" s="448"/>
    </row>
    <row r="721" spans="79:79" x14ac:dyDescent="0.2">
      <c r="CA721" s="448"/>
    </row>
    <row r="722" spans="79:79" x14ac:dyDescent="0.2">
      <c r="CA722" s="448"/>
    </row>
    <row r="723" spans="79:79" x14ac:dyDescent="0.2">
      <c r="CA723" s="448"/>
    </row>
    <row r="724" spans="79:79" x14ac:dyDescent="0.2">
      <c r="CA724" s="448"/>
    </row>
    <row r="725" spans="79:79" x14ac:dyDescent="0.2">
      <c r="CA725" s="448"/>
    </row>
    <row r="726" spans="79:79" x14ac:dyDescent="0.2">
      <c r="CA726" s="448"/>
    </row>
    <row r="727" spans="79:79" x14ac:dyDescent="0.2">
      <c r="CA727" s="448"/>
    </row>
    <row r="728" spans="79:79" x14ac:dyDescent="0.2">
      <c r="CA728" s="448"/>
    </row>
    <row r="729" spans="79:79" x14ac:dyDescent="0.2">
      <c r="CA729" s="448"/>
    </row>
    <row r="730" spans="79:79" x14ac:dyDescent="0.2">
      <c r="CA730" s="448"/>
    </row>
    <row r="731" spans="79:79" x14ac:dyDescent="0.2">
      <c r="CA731" s="448"/>
    </row>
    <row r="732" spans="79:79" x14ac:dyDescent="0.2">
      <c r="CA732" s="448"/>
    </row>
    <row r="733" spans="79:79" x14ac:dyDescent="0.2">
      <c r="CA733" s="448"/>
    </row>
    <row r="734" spans="79:79" x14ac:dyDescent="0.2">
      <c r="CA734" s="448"/>
    </row>
    <row r="735" spans="79:79" x14ac:dyDescent="0.2">
      <c r="CA735" s="448"/>
    </row>
    <row r="736" spans="79:79" x14ac:dyDescent="0.2">
      <c r="CA736" s="448"/>
    </row>
    <row r="737" spans="79:79" x14ac:dyDescent="0.2">
      <c r="CA737" s="448"/>
    </row>
    <row r="738" spans="79:79" x14ac:dyDescent="0.2">
      <c r="CA738" s="448"/>
    </row>
    <row r="739" spans="79:79" x14ac:dyDescent="0.2">
      <c r="CA739" s="448"/>
    </row>
    <row r="740" spans="79:79" x14ac:dyDescent="0.2">
      <c r="CA740" s="448"/>
    </row>
    <row r="741" spans="79:79" x14ac:dyDescent="0.2">
      <c r="CA741" s="448"/>
    </row>
    <row r="742" spans="79:79" x14ac:dyDescent="0.2">
      <c r="CA742" s="448"/>
    </row>
    <row r="743" spans="79:79" x14ac:dyDescent="0.2">
      <c r="CA743" s="448"/>
    </row>
    <row r="744" spans="79:79" x14ac:dyDescent="0.2">
      <c r="CA744" s="448"/>
    </row>
    <row r="745" spans="79:79" x14ac:dyDescent="0.2">
      <c r="CA745" s="448"/>
    </row>
    <row r="746" spans="79:79" x14ac:dyDescent="0.2">
      <c r="CA746" s="448"/>
    </row>
    <row r="747" spans="79:79" x14ac:dyDescent="0.2">
      <c r="CA747" s="448"/>
    </row>
    <row r="748" spans="79:79" x14ac:dyDescent="0.2">
      <c r="CA748" s="448"/>
    </row>
    <row r="749" spans="79:79" x14ac:dyDescent="0.2">
      <c r="CA749" s="448"/>
    </row>
    <row r="750" spans="79:79" x14ac:dyDescent="0.2">
      <c r="CA750" s="448"/>
    </row>
    <row r="751" spans="79:79" x14ac:dyDescent="0.2">
      <c r="CA751" s="448"/>
    </row>
    <row r="752" spans="79:79" x14ac:dyDescent="0.2">
      <c r="CA752" s="448"/>
    </row>
    <row r="753" spans="79:79" x14ac:dyDescent="0.2">
      <c r="CA753" s="448"/>
    </row>
    <row r="754" spans="79:79" x14ac:dyDescent="0.2">
      <c r="CA754" s="448"/>
    </row>
    <row r="755" spans="79:79" x14ac:dyDescent="0.2">
      <c r="CA755" s="448"/>
    </row>
    <row r="756" spans="79:79" x14ac:dyDescent="0.2">
      <c r="CA756" s="448"/>
    </row>
    <row r="757" spans="79:79" x14ac:dyDescent="0.2">
      <c r="CA757" s="448"/>
    </row>
    <row r="758" spans="79:79" x14ac:dyDescent="0.2">
      <c r="CA758" s="448"/>
    </row>
    <row r="759" spans="79:79" x14ac:dyDescent="0.2">
      <c r="CA759" s="448"/>
    </row>
    <row r="760" spans="79:79" x14ac:dyDescent="0.2">
      <c r="CA760" s="448"/>
    </row>
    <row r="761" spans="79:79" x14ac:dyDescent="0.2">
      <c r="CA761" s="448"/>
    </row>
    <row r="762" spans="79:79" x14ac:dyDescent="0.2">
      <c r="CA762" s="448"/>
    </row>
    <row r="763" spans="79:79" x14ac:dyDescent="0.2">
      <c r="CA763" s="448"/>
    </row>
    <row r="764" spans="79:79" x14ac:dyDescent="0.2">
      <c r="CA764" s="448"/>
    </row>
    <row r="765" spans="79:79" x14ac:dyDescent="0.2">
      <c r="CA765" s="448"/>
    </row>
    <row r="766" spans="79:79" x14ac:dyDescent="0.2">
      <c r="CA766" s="448"/>
    </row>
    <row r="767" spans="79:79" x14ac:dyDescent="0.2">
      <c r="CA767" s="448"/>
    </row>
    <row r="768" spans="79:79" x14ac:dyDescent="0.2">
      <c r="CA768" s="448"/>
    </row>
    <row r="769" spans="79:79" x14ac:dyDescent="0.2">
      <c r="CA769" s="448"/>
    </row>
    <row r="770" spans="79:79" x14ac:dyDescent="0.2">
      <c r="CA770" s="448"/>
    </row>
    <row r="771" spans="79:79" x14ac:dyDescent="0.2">
      <c r="CA771" s="448"/>
    </row>
    <row r="772" spans="79:79" x14ac:dyDescent="0.2">
      <c r="CA772" s="448"/>
    </row>
    <row r="773" spans="79:79" x14ac:dyDescent="0.2">
      <c r="CA773" s="448"/>
    </row>
    <row r="774" spans="79:79" x14ac:dyDescent="0.2">
      <c r="CA774" s="448"/>
    </row>
    <row r="775" spans="79:79" x14ac:dyDescent="0.2">
      <c r="CA775" s="448"/>
    </row>
    <row r="776" spans="79:79" x14ac:dyDescent="0.2">
      <c r="CA776" s="448"/>
    </row>
    <row r="777" spans="79:79" x14ac:dyDescent="0.2">
      <c r="CA777" s="448"/>
    </row>
    <row r="778" spans="79:79" x14ac:dyDescent="0.2">
      <c r="CA778" s="448"/>
    </row>
    <row r="779" spans="79:79" x14ac:dyDescent="0.2">
      <c r="CA779" s="448"/>
    </row>
    <row r="780" spans="79:79" x14ac:dyDescent="0.2">
      <c r="CA780" s="448"/>
    </row>
    <row r="781" spans="79:79" x14ac:dyDescent="0.2">
      <c r="CA781" s="448"/>
    </row>
    <row r="782" spans="79:79" x14ac:dyDescent="0.2">
      <c r="CA782" s="448"/>
    </row>
    <row r="783" spans="79:79" x14ac:dyDescent="0.2">
      <c r="CA783" s="448"/>
    </row>
    <row r="784" spans="79:79" x14ac:dyDescent="0.2">
      <c r="CA784" s="448"/>
    </row>
    <row r="785" spans="79:79" x14ac:dyDescent="0.2">
      <c r="CA785" s="448"/>
    </row>
    <row r="786" spans="79:79" x14ac:dyDescent="0.2">
      <c r="CA786" s="448"/>
    </row>
    <row r="787" spans="79:79" x14ac:dyDescent="0.2">
      <c r="CA787" s="448"/>
    </row>
    <row r="788" spans="79:79" x14ac:dyDescent="0.2">
      <c r="CA788" s="448"/>
    </row>
    <row r="789" spans="79:79" x14ac:dyDescent="0.2">
      <c r="CA789" s="448"/>
    </row>
    <row r="790" spans="79:79" x14ac:dyDescent="0.2">
      <c r="CA790" s="448"/>
    </row>
    <row r="791" spans="79:79" x14ac:dyDescent="0.2">
      <c r="CA791" s="448"/>
    </row>
    <row r="792" spans="79:79" x14ac:dyDescent="0.2">
      <c r="CA792" s="448"/>
    </row>
    <row r="793" spans="79:79" x14ac:dyDescent="0.2">
      <c r="CA793" s="448"/>
    </row>
    <row r="794" spans="79:79" x14ac:dyDescent="0.2">
      <c r="CA794" s="448"/>
    </row>
    <row r="795" spans="79:79" x14ac:dyDescent="0.2">
      <c r="CA795" s="448"/>
    </row>
    <row r="796" spans="79:79" x14ac:dyDescent="0.2">
      <c r="CA796" s="448"/>
    </row>
    <row r="797" spans="79:79" x14ac:dyDescent="0.2">
      <c r="CA797" s="448"/>
    </row>
    <row r="798" spans="79:79" x14ac:dyDescent="0.2">
      <c r="CA798" s="448"/>
    </row>
    <row r="799" spans="79:79" x14ac:dyDescent="0.2">
      <c r="CA799" s="448"/>
    </row>
    <row r="800" spans="79:79" x14ac:dyDescent="0.2">
      <c r="CA800" s="448"/>
    </row>
    <row r="801" spans="79:79" x14ac:dyDescent="0.2">
      <c r="CA801" s="448"/>
    </row>
    <row r="802" spans="79:79" x14ac:dyDescent="0.2">
      <c r="CA802" s="448"/>
    </row>
    <row r="803" spans="79:79" x14ac:dyDescent="0.2">
      <c r="CA803" s="448"/>
    </row>
    <row r="804" spans="79:79" x14ac:dyDescent="0.2">
      <c r="CA804" s="448"/>
    </row>
    <row r="805" spans="79:79" x14ac:dyDescent="0.2">
      <c r="CA805" s="448"/>
    </row>
    <row r="806" spans="79:79" x14ac:dyDescent="0.2">
      <c r="CA806" s="448"/>
    </row>
    <row r="807" spans="79:79" x14ac:dyDescent="0.2">
      <c r="CA807" s="448"/>
    </row>
    <row r="808" spans="79:79" x14ac:dyDescent="0.2">
      <c r="CA808" s="448"/>
    </row>
    <row r="809" spans="79:79" x14ac:dyDescent="0.2">
      <c r="CA809" s="448"/>
    </row>
    <row r="810" spans="79:79" x14ac:dyDescent="0.2">
      <c r="CA810" s="448"/>
    </row>
    <row r="811" spans="79:79" x14ac:dyDescent="0.2">
      <c r="CA811" s="448"/>
    </row>
    <row r="812" spans="79:79" x14ac:dyDescent="0.2">
      <c r="CA812" s="448"/>
    </row>
    <row r="813" spans="79:79" x14ac:dyDescent="0.2">
      <c r="CA813" s="448"/>
    </row>
    <row r="814" spans="79:79" x14ac:dyDescent="0.2">
      <c r="CA814" s="448"/>
    </row>
    <row r="815" spans="79:79" x14ac:dyDescent="0.2">
      <c r="CA815" s="448"/>
    </row>
    <row r="816" spans="79:79" x14ac:dyDescent="0.2">
      <c r="CA816" s="448"/>
    </row>
    <row r="817" spans="79:79" x14ac:dyDescent="0.2">
      <c r="CA817" s="448"/>
    </row>
    <row r="818" spans="79:79" x14ac:dyDescent="0.2">
      <c r="CA818" s="448"/>
    </row>
    <row r="819" spans="79:79" x14ac:dyDescent="0.2">
      <c r="CA819" s="448"/>
    </row>
    <row r="820" spans="79:79" x14ac:dyDescent="0.2">
      <c r="CA820" s="448"/>
    </row>
    <row r="821" spans="79:79" x14ac:dyDescent="0.2">
      <c r="CA821" s="448"/>
    </row>
    <row r="822" spans="79:79" x14ac:dyDescent="0.2">
      <c r="CA822" s="448"/>
    </row>
    <row r="823" spans="79:79" x14ac:dyDescent="0.2">
      <c r="CA823" s="448"/>
    </row>
    <row r="824" spans="79:79" x14ac:dyDescent="0.2">
      <c r="CA824" s="448"/>
    </row>
    <row r="825" spans="79:79" x14ac:dyDescent="0.2">
      <c r="CA825" s="448"/>
    </row>
    <row r="826" spans="79:79" x14ac:dyDescent="0.2">
      <c r="CA826" s="448"/>
    </row>
    <row r="827" spans="79:79" x14ac:dyDescent="0.2">
      <c r="CA827" s="448"/>
    </row>
    <row r="828" spans="79:79" x14ac:dyDescent="0.2">
      <c r="CA828" s="448"/>
    </row>
    <row r="829" spans="79:79" x14ac:dyDescent="0.2">
      <c r="CA829" s="448"/>
    </row>
    <row r="830" spans="79:79" x14ac:dyDescent="0.2">
      <c r="CA830" s="448"/>
    </row>
    <row r="831" spans="79:79" x14ac:dyDescent="0.2">
      <c r="CA831" s="448"/>
    </row>
    <row r="832" spans="79:79" x14ac:dyDescent="0.2">
      <c r="CA832" s="448"/>
    </row>
    <row r="833" spans="79:79" x14ac:dyDescent="0.2">
      <c r="CA833" s="448"/>
    </row>
    <row r="834" spans="79:79" x14ac:dyDescent="0.2">
      <c r="CA834" s="448"/>
    </row>
    <row r="835" spans="79:79" x14ac:dyDescent="0.2">
      <c r="CA835" s="448"/>
    </row>
    <row r="836" spans="79:79" x14ac:dyDescent="0.2">
      <c r="CA836" s="448"/>
    </row>
    <row r="837" spans="79:79" x14ac:dyDescent="0.2">
      <c r="CA837" s="448"/>
    </row>
    <row r="838" spans="79:79" x14ac:dyDescent="0.2">
      <c r="CA838" s="448"/>
    </row>
    <row r="839" spans="79:79" x14ac:dyDescent="0.2">
      <c r="CA839" s="448"/>
    </row>
    <row r="840" spans="79:79" x14ac:dyDescent="0.2">
      <c r="CA840" s="448"/>
    </row>
    <row r="841" spans="79:79" x14ac:dyDescent="0.2">
      <c r="CA841" s="448"/>
    </row>
    <row r="842" spans="79:79" x14ac:dyDescent="0.2">
      <c r="CA842" s="448"/>
    </row>
    <row r="843" spans="79:79" x14ac:dyDescent="0.2">
      <c r="CA843" s="448"/>
    </row>
    <row r="844" spans="79:79" x14ac:dyDescent="0.2">
      <c r="CA844" s="448"/>
    </row>
    <row r="845" spans="79:79" x14ac:dyDescent="0.2">
      <c r="CA845" s="448"/>
    </row>
    <row r="846" spans="79:79" x14ac:dyDescent="0.2">
      <c r="CA846" s="448"/>
    </row>
    <row r="847" spans="79:79" x14ac:dyDescent="0.2">
      <c r="CA847" s="448"/>
    </row>
    <row r="848" spans="79:79" x14ac:dyDescent="0.2">
      <c r="CA848" s="448"/>
    </row>
    <row r="849" spans="79:79" x14ac:dyDescent="0.2">
      <c r="CA849" s="448"/>
    </row>
    <row r="850" spans="79:79" x14ac:dyDescent="0.2">
      <c r="CA850" s="448"/>
    </row>
    <row r="851" spans="79:79" x14ac:dyDescent="0.2">
      <c r="CA851" s="448"/>
    </row>
    <row r="852" spans="79:79" x14ac:dyDescent="0.2">
      <c r="CA852" s="448"/>
    </row>
    <row r="853" spans="79:79" x14ac:dyDescent="0.2">
      <c r="CA853" s="448"/>
    </row>
    <row r="854" spans="79:79" x14ac:dyDescent="0.2">
      <c r="CA854" s="448"/>
    </row>
    <row r="855" spans="79:79" x14ac:dyDescent="0.2">
      <c r="CA855" s="448"/>
    </row>
    <row r="856" spans="79:79" x14ac:dyDescent="0.2">
      <c r="CA856" s="448"/>
    </row>
    <row r="857" spans="79:79" x14ac:dyDescent="0.2">
      <c r="CA857" s="448"/>
    </row>
    <row r="858" spans="79:79" x14ac:dyDescent="0.2">
      <c r="CA858" s="448"/>
    </row>
    <row r="859" spans="79:79" x14ac:dyDescent="0.2">
      <c r="CA859" s="448"/>
    </row>
    <row r="860" spans="79:79" x14ac:dyDescent="0.2">
      <c r="CA860" s="448"/>
    </row>
    <row r="861" spans="79:79" x14ac:dyDescent="0.2">
      <c r="CA861" s="448"/>
    </row>
    <row r="862" spans="79:79" x14ac:dyDescent="0.2">
      <c r="CA862" s="448"/>
    </row>
    <row r="863" spans="79:79" x14ac:dyDescent="0.2">
      <c r="CA863" s="448"/>
    </row>
    <row r="864" spans="79:79" x14ac:dyDescent="0.2">
      <c r="CA864" s="448"/>
    </row>
    <row r="865" spans="79:79" x14ac:dyDescent="0.2">
      <c r="CA865" s="448"/>
    </row>
    <row r="866" spans="79:79" x14ac:dyDescent="0.2">
      <c r="CA866" s="448"/>
    </row>
    <row r="867" spans="79:79" x14ac:dyDescent="0.2">
      <c r="CA867" s="448"/>
    </row>
    <row r="868" spans="79:79" x14ac:dyDescent="0.2">
      <c r="CA868" s="448"/>
    </row>
    <row r="869" spans="79:79" x14ac:dyDescent="0.2">
      <c r="CA869" s="448"/>
    </row>
    <row r="870" spans="79:79" x14ac:dyDescent="0.2">
      <c r="CA870" s="448"/>
    </row>
    <row r="871" spans="79:79" x14ac:dyDescent="0.2">
      <c r="CA871" s="448"/>
    </row>
    <row r="872" spans="79:79" x14ac:dyDescent="0.2">
      <c r="CA872" s="448"/>
    </row>
    <row r="873" spans="79:79" x14ac:dyDescent="0.2">
      <c r="CA873" s="448"/>
    </row>
    <row r="874" spans="79:79" x14ac:dyDescent="0.2">
      <c r="CA874" s="448"/>
    </row>
    <row r="875" spans="79:79" x14ac:dyDescent="0.2">
      <c r="CA875" s="448"/>
    </row>
    <row r="876" spans="79:79" x14ac:dyDescent="0.2">
      <c r="CA876" s="448"/>
    </row>
    <row r="877" spans="79:79" x14ac:dyDescent="0.2">
      <c r="CA877" s="448"/>
    </row>
    <row r="878" spans="79:79" x14ac:dyDescent="0.2">
      <c r="CA878" s="448"/>
    </row>
    <row r="879" spans="79:79" x14ac:dyDescent="0.2">
      <c r="CA879" s="448"/>
    </row>
    <row r="880" spans="79:79" x14ac:dyDescent="0.2">
      <c r="CA880" s="448"/>
    </row>
    <row r="881" spans="79:79" x14ac:dyDescent="0.2">
      <c r="CA881" s="448"/>
    </row>
    <row r="882" spans="79:79" x14ac:dyDescent="0.2">
      <c r="CA882" s="448"/>
    </row>
    <row r="883" spans="79:79" x14ac:dyDescent="0.2">
      <c r="CA883" s="448"/>
    </row>
    <row r="884" spans="79:79" x14ac:dyDescent="0.2">
      <c r="CA884" s="448"/>
    </row>
    <row r="885" spans="79:79" x14ac:dyDescent="0.2">
      <c r="CA885" s="448"/>
    </row>
    <row r="886" spans="79:79" x14ac:dyDescent="0.2">
      <c r="CA886" s="448"/>
    </row>
    <row r="887" spans="79:79" x14ac:dyDescent="0.2">
      <c r="CA887" s="448"/>
    </row>
    <row r="888" spans="79:79" x14ac:dyDescent="0.2">
      <c r="CA888" s="448"/>
    </row>
    <row r="889" spans="79:79" x14ac:dyDescent="0.2">
      <c r="CA889" s="448"/>
    </row>
    <row r="890" spans="79:79" x14ac:dyDescent="0.2">
      <c r="CA890" s="448"/>
    </row>
    <row r="891" spans="79:79" x14ac:dyDescent="0.2">
      <c r="CA891" s="448"/>
    </row>
    <row r="892" spans="79:79" x14ac:dyDescent="0.2">
      <c r="CA892" s="448"/>
    </row>
    <row r="893" spans="79:79" x14ac:dyDescent="0.2">
      <c r="CA893" s="448"/>
    </row>
    <row r="894" spans="79:79" x14ac:dyDescent="0.2">
      <c r="CA894" s="448"/>
    </row>
    <row r="895" spans="79:79" x14ac:dyDescent="0.2">
      <c r="CA895" s="448"/>
    </row>
    <row r="896" spans="79:79" x14ac:dyDescent="0.2">
      <c r="CA896" s="448"/>
    </row>
    <row r="897" spans="79:79" x14ac:dyDescent="0.2">
      <c r="CA897" s="448"/>
    </row>
    <row r="898" spans="79:79" x14ac:dyDescent="0.2">
      <c r="CA898" s="448"/>
    </row>
    <row r="899" spans="79:79" x14ac:dyDescent="0.2">
      <c r="CA899" s="448"/>
    </row>
    <row r="900" spans="79:79" x14ac:dyDescent="0.2">
      <c r="CA900" s="448"/>
    </row>
    <row r="901" spans="79:79" x14ac:dyDescent="0.2">
      <c r="CA901" s="448"/>
    </row>
    <row r="902" spans="79:79" x14ac:dyDescent="0.2">
      <c r="CA902" s="448"/>
    </row>
    <row r="903" spans="79:79" x14ac:dyDescent="0.2">
      <c r="CA903" s="448"/>
    </row>
    <row r="904" spans="79:79" x14ac:dyDescent="0.2">
      <c r="CA904" s="448"/>
    </row>
    <row r="905" spans="79:79" x14ac:dyDescent="0.2">
      <c r="CA905" s="448"/>
    </row>
    <row r="906" spans="79:79" x14ac:dyDescent="0.2">
      <c r="CA906" s="448"/>
    </row>
    <row r="907" spans="79:79" x14ac:dyDescent="0.2">
      <c r="CA907" s="448"/>
    </row>
    <row r="908" spans="79:79" x14ac:dyDescent="0.2">
      <c r="CA908" s="448"/>
    </row>
    <row r="909" spans="79:79" x14ac:dyDescent="0.2">
      <c r="CA909" s="448"/>
    </row>
    <row r="910" spans="79:79" x14ac:dyDescent="0.2">
      <c r="CA910" s="448"/>
    </row>
    <row r="911" spans="79:79" x14ac:dyDescent="0.2">
      <c r="CA911" s="448"/>
    </row>
    <row r="912" spans="79:79" x14ac:dyDescent="0.2">
      <c r="CA912" s="448"/>
    </row>
    <row r="913" spans="79:79" x14ac:dyDescent="0.2">
      <c r="CA913" s="448"/>
    </row>
    <row r="914" spans="79:79" x14ac:dyDescent="0.2">
      <c r="CA914" s="448"/>
    </row>
    <row r="915" spans="79:79" x14ac:dyDescent="0.2">
      <c r="CA915" s="448"/>
    </row>
    <row r="916" spans="79:79" x14ac:dyDescent="0.2">
      <c r="CA916" s="448"/>
    </row>
    <row r="917" spans="79:79" x14ac:dyDescent="0.2">
      <c r="CA917" s="448"/>
    </row>
    <row r="918" spans="79:79" x14ac:dyDescent="0.2">
      <c r="CA918" s="448"/>
    </row>
    <row r="919" spans="79:79" x14ac:dyDescent="0.2">
      <c r="CA919" s="448"/>
    </row>
    <row r="920" spans="79:79" x14ac:dyDescent="0.2">
      <c r="CA920" s="448"/>
    </row>
    <row r="921" spans="79:79" x14ac:dyDescent="0.2">
      <c r="CA921" s="448"/>
    </row>
    <row r="922" spans="79:79" x14ac:dyDescent="0.2">
      <c r="CA922" s="448"/>
    </row>
    <row r="923" spans="79:79" x14ac:dyDescent="0.2">
      <c r="CA923" s="448"/>
    </row>
    <row r="924" spans="79:79" x14ac:dyDescent="0.2">
      <c r="CA924" s="448"/>
    </row>
    <row r="925" spans="79:79" x14ac:dyDescent="0.2">
      <c r="CA925" s="448"/>
    </row>
    <row r="926" spans="79:79" x14ac:dyDescent="0.2">
      <c r="CA926" s="448"/>
    </row>
    <row r="927" spans="79:79" x14ac:dyDescent="0.2">
      <c r="CA927" s="448"/>
    </row>
    <row r="928" spans="79:79" x14ac:dyDescent="0.2">
      <c r="CA928" s="448"/>
    </row>
    <row r="929" spans="79:79" x14ac:dyDescent="0.2">
      <c r="CA929" s="448"/>
    </row>
    <row r="930" spans="79:79" x14ac:dyDescent="0.2">
      <c r="CA930" s="448"/>
    </row>
    <row r="931" spans="79:79" x14ac:dyDescent="0.2">
      <c r="CA931" s="448"/>
    </row>
    <row r="932" spans="79:79" x14ac:dyDescent="0.2">
      <c r="CA932" s="448"/>
    </row>
    <row r="933" spans="79:79" x14ac:dyDescent="0.2">
      <c r="CA933" s="448"/>
    </row>
    <row r="934" spans="79:79" x14ac:dyDescent="0.2">
      <c r="CA934" s="448"/>
    </row>
    <row r="935" spans="79:79" x14ac:dyDescent="0.2">
      <c r="CA935" s="448"/>
    </row>
    <row r="936" spans="79:79" x14ac:dyDescent="0.2">
      <c r="CA936" s="448"/>
    </row>
    <row r="937" spans="79:79" x14ac:dyDescent="0.2">
      <c r="CA937" s="448"/>
    </row>
    <row r="938" spans="79:79" x14ac:dyDescent="0.2">
      <c r="CA938" s="448"/>
    </row>
    <row r="939" spans="79:79" x14ac:dyDescent="0.2">
      <c r="CA939" s="448"/>
    </row>
    <row r="940" spans="79:79" x14ac:dyDescent="0.2">
      <c r="CA940" s="448"/>
    </row>
    <row r="941" spans="79:79" x14ac:dyDescent="0.2">
      <c r="CA941" s="448"/>
    </row>
    <row r="942" spans="79:79" x14ac:dyDescent="0.2">
      <c r="CA942" s="448"/>
    </row>
    <row r="943" spans="79:79" x14ac:dyDescent="0.2">
      <c r="CA943" s="448"/>
    </row>
    <row r="944" spans="79:79" x14ac:dyDescent="0.2">
      <c r="CA944" s="448"/>
    </row>
    <row r="945" spans="79:79" x14ac:dyDescent="0.2">
      <c r="CA945" s="448"/>
    </row>
    <row r="946" spans="79:79" x14ac:dyDescent="0.2">
      <c r="CA946" s="448"/>
    </row>
    <row r="947" spans="79:79" x14ac:dyDescent="0.2">
      <c r="CA947" s="448"/>
    </row>
    <row r="948" spans="79:79" x14ac:dyDescent="0.2">
      <c r="CA948" s="448"/>
    </row>
    <row r="949" spans="79:79" x14ac:dyDescent="0.2">
      <c r="CA949" s="448"/>
    </row>
    <row r="950" spans="79:79" x14ac:dyDescent="0.2">
      <c r="CA950" s="448"/>
    </row>
    <row r="951" spans="79:79" x14ac:dyDescent="0.2">
      <c r="CA951" s="448"/>
    </row>
    <row r="952" spans="79:79" x14ac:dyDescent="0.2">
      <c r="CA952" s="448"/>
    </row>
    <row r="953" spans="79:79" x14ac:dyDescent="0.2">
      <c r="CA953" s="448"/>
    </row>
    <row r="954" spans="79:79" x14ac:dyDescent="0.2">
      <c r="CA954" s="448"/>
    </row>
    <row r="955" spans="79:79" x14ac:dyDescent="0.2">
      <c r="CA955" s="448"/>
    </row>
    <row r="956" spans="79:79" x14ac:dyDescent="0.2">
      <c r="CA956" s="448"/>
    </row>
    <row r="957" spans="79:79" x14ac:dyDescent="0.2">
      <c r="CA957" s="448"/>
    </row>
    <row r="958" spans="79:79" x14ac:dyDescent="0.2">
      <c r="CA958" s="448"/>
    </row>
    <row r="959" spans="79:79" x14ac:dyDescent="0.2">
      <c r="CA959" s="448"/>
    </row>
    <row r="960" spans="79:79" x14ac:dyDescent="0.2">
      <c r="CA960" s="448"/>
    </row>
    <row r="961" spans="79:79" x14ac:dyDescent="0.2">
      <c r="CA961" s="448"/>
    </row>
    <row r="962" spans="79:79" x14ac:dyDescent="0.2">
      <c r="CA962" s="448"/>
    </row>
    <row r="963" spans="79:79" x14ac:dyDescent="0.2">
      <c r="CA963" s="448"/>
    </row>
    <row r="964" spans="79:79" x14ac:dyDescent="0.2">
      <c r="CA964" s="448"/>
    </row>
    <row r="965" spans="79:79" x14ac:dyDescent="0.2">
      <c r="CA965" s="448"/>
    </row>
    <row r="966" spans="79:79" x14ac:dyDescent="0.2">
      <c r="CA966" s="448"/>
    </row>
    <row r="967" spans="79:79" x14ac:dyDescent="0.2">
      <c r="CA967" s="448"/>
    </row>
    <row r="968" spans="79:79" x14ac:dyDescent="0.2">
      <c r="CA968" s="448"/>
    </row>
    <row r="969" spans="79:79" x14ac:dyDescent="0.2">
      <c r="CA969" s="448"/>
    </row>
    <row r="970" spans="79:79" x14ac:dyDescent="0.2">
      <c r="CA970" s="448"/>
    </row>
    <row r="971" spans="79:79" x14ac:dyDescent="0.2">
      <c r="CA971" s="448"/>
    </row>
    <row r="972" spans="79:79" x14ac:dyDescent="0.2">
      <c r="CA972" s="448"/>
    </row>
    <row r="973" spans="79:79" x14ac:dyDescent="0.2">
      <c r="CA973" s="448"/>
    </row>
    <row r="974" spans="79:79" x14ac:dyDescent="0.2">
      <c r="CA974" s="448"/>
    </row>
    <row r="975" spans="79:79" x14ac:dyDescent="0.2">
      <c r="CA975" s="448"/>
    </row>
    <row r="976" spans="79:79" x14ac:dyDescent="0.2">
      <c r="CA976" s="448"/>
    </row>
    <row r="977" spans="79:79" x14ac:dyDescent="0.2">
      <c r="CA977" s="448"/>
    </row>
    <row r="978" spans="79:79" x14ac:dyDescent="0.2">
      <c r="CA978" s="448"/>
    </row>
    <row r="979" spans="79:79" x14ac:dyDescent="0.2">
      <c r="CA979" s="448"/>
    </row>
    <row r="980" spans="79:79" x14ac:dyDescent="0.2">
      <c r="CA980" s="448"/>
    </row>
    <row r="981" spans="79:79" x14ac:dyDescent="0.2">
      <c r="CA981" s="448"/>
    </row>
    <row r="982" spans="79:79" x14ac:dyDescent="0.2">
      <c r="CA982" s="448"/>
    </row>
    <row r="983" spans="79:79" x14ac:dyDescent="0.2">
      <c r="CA983" s="448"/>
    </row>
    <row r="984" spans="79:79" x14ac:dyDescent="0.2">
      <c r="CA984" s="448"/>
    </row>
    <row r="985" spans="79:79" x14ac:dyDescent="0.2">
      <c r="CA985" s="448"/>
    </row>
    <row r="986" spans="79:79" x14ac:dyDescent="0.2">
      <c r="CA986" s="448"/>
    </row>
    <row r="987" spans="79:79" x14ac:dyDescent="0.2">
      <c r="CA987" s="448"/>
    </row>
    <row r="988" spans="79:79" x14ac:dyDescent="0.2">
      <c r="CA988" s="448"/>
    </row>
    <row r="989" spans="79:79" x14ac:dyDescent="0.2">
      <c r="CA989" s="448"/>
    </row>
    <row r="990" spans="79:79" x14ac:dyDescent="0.2">
      <c r="CA990" s="448"/>
    </row>
    <row r="991" spans="79:79" x14ac:dyDescent="0.2">
      <c r="CA991" s="448"/>
    </row>
    <row r="992" spans="79:79" x14ac:dyDescent="0.2">
      <c r="CA992" s="448"/>
    </row>
    <row r="993" spans="79:79" x14ac:dyDescent="0.2">
      <c r="CA993" s="448"/>
    </row>
    <row r="994" spans="79:79" x14ac:dyDescent="0.2">
      <c r="CA994" s="448"/>
    </row>
    <row r="995" spans="79:79" x14ac:dyDescent="0.2">
      <c r="CA995" s="448"/>
    </row>
    <row r="996" spans="79:79" x14ac:dyDescent="0.2">
      <c r="CA996" s="448"/>
    </row>
    <row r="997" spans="79:79" x14ac:dyDescent="0.2">
      <c r="CA997" s="448"/>
    </row>
    <row r="998" spans="79:79" x14ac:dyDescent="0.2">
      <c r="CA998" s="448"/>
    </row>
    <row r="999" spans="79:79" x14ac:dyDescent="0.2">
      <c r="CA999" s="448"/>
    </row>
    <row r="1000" spans="79:79" x14ac:dyDescent="0.2">
      <c r="CA1000" s="448"/>
    </row>
    <row r="1001" spans="79:79" x14ac:dyDescent="0.2">
      <c r="CA1001" s="448"/>
    </row>
    <row r="1002" spans="79:79" x14ac:dyDescent="0.2">
      <c r="CA1002" s="448"/>
    </row>
    <row r="1003" spans="79:79" x14ac:dyDescent="0.2">
      <c r="CA1003" s="448"/>
    </row>
    <row r="1004" spans="79:79" x14ac:dyDescent="0.2">
      <c r="CA1004" s="448"/>
    </row>
    <row r="1005" spans="79:79" x14ac:dyDescent="0.2">
      <c r="CA1005" s="448"/>
    </row>
    <row r="1006" spans="79:79" x14ac:dyDescent="0.2">
      <c r="CA1006" s="448"/>
    </row>
    <row r="1007" spans="79:79" x14ac:dyDescent="0.2">
      <c r="CA1007" s="448"/>
    </row>
    <row r="1008" spans="79:79" x14ac:dyDescent="0.2">
      <c r="CA1008" s="448"/>
    </row>
    <row r="1009" spans="79:79" x14ac:dyDescent="0.2">
      <c r="CA1009" s="448"/>
    </row>
    <row r="1010" spans="79:79" x14ac:dyDescent="0.2">
      <c r="CA1010" s="448"/>
    </row>
    <row r="1011" spans="79:79" x14ac:dyDescent="0.2">
      <c r="CA1011" s="448"/>
    </row>
    <row r="1012" spans="79:79" x14ac:dyDescent="0.2">
      <c r="CA1012" s="448"/>
    </row>
    <row r="1013" spans="79:79" x14ac:dyDescent="0.2">
      <c r="CA1013" s="448"/>
    </row>
    <row r="1014" spans="79:79" x14ac:dyDescent="0.2">
      <c r="CA1014" s="448"/>
    </row>
    <row r="1015" spans="79:79" x14ac:dyDescent="0.2">
      <c r="CA1015" s="448"/>
    </row>
    <row r="1016" spans="79:79" x14ac:dyDescent="0.2">
      <c r="CA1016" s="448"/>
    </row>
    <row r="1017" spans="79:79" x14ac:dyDescent="0.2">
      <c r="CA1017" s="448"/>
    </row>
    <row r="1018" spans="79:79" x14ac:dyDescent="0.2">
      <c r="CA1018" s="448"/>
    </row>
    <row r="1019" spans="79:79" x14ac:dyDescent="0.2">
      <c r="CA1019" s="448"/>
    </row>
    <row r="1020" spans="79:79" x14ac:dyDescent="0.2">
      <c r="CA1020" s="448"/>
    </row>
    <row r="1021" spans="79:79" x14ac:dyDescent="0.2">
      <c r="CA1021" s="448"/>
    </row>
    <row r="1022" spans="79:79" x14ac:dyDescent="0.2">
      <c r="CA1022" s="448"/>
    </row>
    <row r="1023" spans="79:79" x14ac:dyDescent="0.2">
      <c r="CA1023" s="448"/>
    </row>
    <row r="1024" spans="79:79" x14ac:dyDescent="0.2">
      <c r="CA1024" s="448"/>
    </row>
    <row r="1025" spans="79:79" x14ac:dyDescent="0.2">
      <c r="CA1025" s="448"/>
    </row>
    <row r="1026" spans="79:79" x14ac:dyDescent="0.2">
      <c r="CA1026" s="448"/>
    </row>
    <row r="1027" spans="79:79" x14ac:dyDescent="0.2">
      <c r="CA1027" s="448"/>
    </row>
    <row r="1028" spans="79:79" x14ac:dyDescent="0.2">
      <c r="CA1028" s="448"/>
    </row>
    <row r="1029" spans="79:79" x14ac:dyDescent="0.2">
      <c r="CA1029" s="448"/>
    </row>
    <row r="1030" spans="79:79" x14ac:dyDescent="0.2">
      <c r="CA1030" s="448"/>
    </row>
    <row r="1031" spans="79:79" x14ac:dyDescent="0.2">
      <c r="CA1031" s="448"/>
    </row>
    <row r="1032" spans="79:79" x14ac:dyDescent="0.2">
      <c r="CA1032" s="448"/>
    </row>
    <row r="1033" spans="79:79" x14ac:dyDescent="0.2">
      <c r="CA1033" s="448"/>
    </row>
    <row r="1034" spans="79:79" x14ac:dyDescent="0.2">
      <c r="CA1034" s="448"/>
    </row>
    <row r="1035" spans="79:79" x14ac:dyDescent="0.2">
      <c r="CA1035" s="448"/>
    </row>
    <row r="1036" spans="79:79" x14ac:dyDescent="0.2">
      <c r="CA1036" s="448"/>
    </row>
    <row r="1037" spans="79:79" x14ac:dyDescent="0.2">
      <c r="CA1037" s="448"/>
    </row>
    <row r="1038" spans="79:79" x14ac:dyDescent="0.2">
      <c r="CA1038" s="448"/>
    </row>
    <row r="1039" spans="79:79" x14ac:dyDescent="0.2">
      <c r="CA1039" s="448"/>
    </row>
    <row r="1040" spans="79:79" x14ac:dyDescent="0.2">
      <c r="CA1040" s="448"/>
    </row>
    <row r="1041" spans="79:79" x14ac:dyDescent="0.2">
      <c r="CA1041" s="448"/>
    </row>
    <row r="1042" spans="79:79" x14ac:dyDescent="0.2">
      <c r="CA1042" s="448"/>
    </row>
    <row r="1043" spans="79:79" x14ac:dyDescent="0.2">
      <c r="CA1043" s="448"/>
    </row>
    <row r="1044" spans="79:79" x14ac:dyDescent="0.2">
      <c r="CA1044" s="448"/>
    </row>
    <row r="1045" spans="79:79" x14ac:dyDescent="0.2">
      <c r="CA1045" s="448"/>
    </row>
    <row r="1046" spans="79:79" x14ac:dyDescent="0.2">
      <c r="CA1046" s="448"/>
    </row>
    <row r="1047" spans="79:79" x14ac:dyDescent="0.2">
      <c r="CA1047" s="448"/>
    </row>
    <row r="1048" spans="79:79" x14ac:dyDescent="0.2">
      <c r="CA1048" s="448"/>
    </row>
    <row r="1049" spans="79:79" x14ac:dyDescent="0.2">
      <c r="CA1049" s="448"/>
    </row>
    <row r="1050" spans="79:79" x14ac:dyDescent="0.2">
      <c r="CA1050" s="448"/>
    </row>
    <row r="1051" spans="79:79" x14ac:dyDescent="0.2">
      <c r="CA1051" s="448"/>
    </row>
    <row r="1052" spans="79:79" x14ac:dyDescent="0.2">
      <c r="CA1052" s="448"/>
    </row>
    <row r="1053" spans="79:79" x14ac:dyDescent="0.2">
      <c r="CA1053" s="448"/>
    </row>
    <row r="1054" spans="79:79" x14ac:dyDescent="0.2">
      <c r="CA1054" s="448"/>
    </row>
    <row r="1055" spans="79:79" x14ac:dyDescent="0.2">
      <c r="CA1055" s="448"/>
    </row>
    <row r="1056" spans="79:79" x14ac:dyDescent="0.2">
      <c r="CA1056" s="448"/>
    </row>
    <row r="1057" spans="79:79" x14ac:dyDescent="0.2">
      <c r="CA1057" s="448"/>
    </row>
    <row r="1058" spans="79:79" x14ac:dyDescent="0.2">
      <c r="CA1058" s="448"/>
    </row>
    <row r="1059" spans="79:79" x14ac:dyDescent="0.2">
      <c r="CA1059" s="448"/>
    </row>
    <row r="1060" spans="79:79" x14ac:dyDescent="0.2">
      <c r="CA1060" s="448"/>
    </row>
    <row r="1061" spans="79:79" x14ac:dyDescent="0.2">
      <c r="CA1061" s="448"/>
    </row>
    <row r="1062" spans="79:79" x14ac:dyDescent="0.2">
      <c r="CA1062" s="448"/>
    </row>
    <row r="1063" spans="79:79" x14ac:dyDescent="0.2">
      <c r="CA1063" s="448"/>
    </row>
    <row r="1064" spans="79:79" x14ac:dyDescent="0.2">
      <c r="CA1064" s="448"/>
    </row>
    <row r="1065" spans="79:79" x14ac:dyDescent="0.2">
      <c r="CA1065" s="448"/>
    </row>
    <row r="1066" spans="79:79" x14ac:dyDescent="0.2">
      <c r="CA1066" s="448"/>
    </row>
    <row r="1067" spans="79:79" x14ac:dyDescent="0.2">
      <c r="CA1067" s="448"/>
    </row>
    <row r="1068" spans="79:79" x14ac:dyDescent="0.2">
      <c r="CA1068" s="448"/>
    </row>
    <row r="1069" spans="79:79" x14ac:dyDescent="0.2">
      <c r="CA1069" s="448"/>
    </row>
    <row r="1070" spans="79:79" x14ac:dyDescent="0.2">
      <c r="CA1070" s="448"/>
    </row>
    <row r="1071" spans="79:79" x14ac:dyDescent="0.2">
      <c r="CA1071" s="448"/>
    </row>
    <row r="1072" spans="79:79" x14ac:dyDescent="0.2">
      <c r="CA1072" s="448"/>
    </row>
    <row r="1073" spans="79:79" x14ac:dyDescent="0.2">
      <c r="CA1073" s="448"/>
    </row>
    <row r="1074" spans="79:79" x14ac:dyDescent="0.2">
      <c r="CA1074" s="448"/>
    </row>
    <row r="1075" spans="79:79" x14ac:dyDescent="0.2">
      <c r="CA1075" s="448"/>
    </row>
    <row r="1076" spans="79:79" x14ac:dyDescent="0.2">
      <c r="CA1076" s="448"/>
    </row>
    <row r="1077" spans="79:79" x14ac:dyDescent="0.2">
      <c r="CA1077" s="448"/>
    </row>
    <row r="1078" spans="79:79" x14ac:dyDescent="0.2">
      <c r="CA1078" s="448"/>
    </row>
    <row r="1079" spans="79:79" x14ac:dyDescent="0.2">
      <c r="CA1079" s="448"/>
    </row>
    <row r="1080" spans="79:79" x14ac:dyDescent="0.2">
      <c r="CA1080" s="448"/>
    </row>
    <row r="1081" spans="79:79" x14ac:dyDescent="0.2">
      <c r="CA1081" s="448"/>
    </row>
    <row r="1082" spans="79:79" x14ac:dyDescent="0.2">
      <c r="CA1082" s="448"/>
    </row>
    <row r="1083" spans="79:79" x14ac:dyDescent="0.2">
      <c r="CA1083" s="448"/>
    </row>
    <row r="1084" spans="79:79" x14ac:dyDescent="0.2">
      <c r="CA1084" s="448"/>
    </row>
    <row r="1085" spans="79:79" x14ac:dyDescent="0.2">
      <c r="CA1085" s="448"/>
    </row>
    <row r="1086" spans="79:79" x14ac:dyDescent="0.2">
      <c r="CA1086" s="448"/>
    </row>
    <row r="1087" spans="79:79" x14ac:dyDescent="0.2">
      <c r="CA1087" s="448"/>
    </row>
    <row r="1088" spans="79:79" x14ac:dyDescent="0.2">
      <c r="CA1088" s="448"/>
    </row>
    <row r="1089" spans="79:79" x14ac:dyDescent="0.2">
      <c r="CA1089" s="448"/>
    </row>
    <row r="1090" spans="79:79" x14ac:dyDescent="0.2">
      <c r="CA1090" s="448"/>
    </row>
    <row r="1091" spans="79:79" x14ac:dyDescent="0.2">
      <c r="CA1091" s="448"/>
    </row>
    <row r="1092" spans="79:79" x14ac:dyDescent="0.2">
      <c r="CA1092" s="448"/>
    </row>
    <row r="1093" spans="79:79" x14ac:dyDescent="0.2">
      <c r="CA1093" s="448"/>
    </row>
    <row r="1094" spans="79:79" x14ac:dyDescent="0.2">
      <c r="CA1094" s="448"/>
    </row>
    <row r="1095" spans="79:79" x14ac:dyDescent="0.2">
      <c r="CA1095" s="448"/>
    </row>
    <row r="1096" spans="79:79" x14ac:dyDescent="0.2">
      <c r="CA1096" s="448"/>
    </row>
    <row r="1097" spans="79:79" x14ac:dyDescent="0.2">
      <c r="CA1097" s="448"/>
    </row>
    <row r="1098" spans="79:79" x14ac:dyDescent="0.2">
      <c r="CA1098" s="448"/>
    </row>
    <row r="1099" spans="79:79" x14ac:dyDescent="0.2">
      <c r="CA1099" s="448"/>
    </row>
    <row r="1100" spans="79:79" x14ac:dyDescent="0.2">
      <c r="CA1100" s="448"/>
    </row>
    <row r="1101" spans="79:79" x14ac:dyDescent="0.2">
      <c r="CA1101" s="448"/>
    </row>
    <row r="1102" spans="79:79" x14ac:dyDescent="0.2">
      <c r="CA1102" s="448"/>
    </row>
    <row r="1103" spans="79:79" x14ac:dyDescent="0.2">
      <c r="CA1103" s="448"/>
    </row>
    <row r="1104" spans="79:79" x14ac:dyDescent="0.2">
      <c r="CA1104" s="448"/>
    </row>
    <row r="1105" spans="79:79" x14ac:dyDescent="0.2">
      <c r="CA1105" s="448"/>
    </row>
    <row r="1106" spans="79:79" x14ac:dyDescent="0.2">
      <c r="CA1106" s="448"/>
    </row>
    <row r="1107" spans="79:79" x14ac:dyDescent="0.2">
      <c r="CA1107" s="448"/>
    </row>
    <row r="1108" spans="79:79" x14ac:dyDescent="0.2">
      <c r="CA1108" s="448"/>
    </row>
    <row r="1109" spans="79:79" x14ac:dyDescent="0.2">
      <c r="CA1109" s="448"/>
    </row>
    <row r="1110" spans="79:79" x14ac:dyDescent="0.2">
      <c r="CA1110" s="448"/>
    </row>
    <row r="1111" spans="79:79" x14ac:dyDescent="0.2">
      <c r="CA1111" s="448"/>
    </row>
    <row r="1112" spans="79:79" x14ac:dyDescent="0.2">
      <c r="CA1112" s="448"/>
    </row>
    <row r="1113" spans="79:79" x14ac:dyDescent="0.2">
      <c r="CA1113" s="448"/>
    </row>
    <row r="1114" spans="79:79" x14ac:dyDescent="0.2">
      <c r="CA1114" s="448"/>
    </row>
    <row r="1115" spans="79:79" x14ac:dyDescent="0.2">
      <c r="CA1115" s="448"/>
    </row>
    <row r="1116" spans="79:79" x14ac:dyDescent="0.2">
      <c r="CA1116" s="448"/>
    </row>
    <row r="1117" spans="79:79" x14ac:dyDescent="0.2">
      <c r="CA1117" s="448"/>
    </row>
    <row r="1118" spans="79:79" x14ac:dyDescent="0.2">
      <c r="CA1118" s="448"/>
    </row>
    <row r="1119" spans="79:79" x14ac:dyDescent="0.2">
      <c r="CA1119" s="448"/>
    </row>
    <row r="1120" spans="79:79" x14ac:dyDescent="0.2">
      <c r="CA1120" s="448"/>
    </row>
    <row r="1121" spans="79:79" x14ac:dyDescent="0.2">
      <c r="CA1121" s="448"/>
    </row>
    <row r="1122" spans="79:79" x14ac:dyDescent="0.2">
      <c r="CA1122" s="448"/>
    </row>
    <row r="1123" spans="79:79" x14ac:dyDescent="0.2">
      <c r="CA1123" s="448"/>
    </row>
    <row r="1124" spans="79:79" x14ac:dyDescent="0.2">
      <c r="CA1124" s="448"/>
    </row>
    <row r="1125" spans="79:79" x14ac:dyDescent="0.2">
      <c r="CA1125" s="448"/>
    </row>
    <row r="1126" spans="79:79" x14ac:dyDescent="0.2">
      <c r="CA1126" s="448"/>
    </row>
    <row r="1127" spans="79:79" x14ac:dyDescent="0.2">
      <c r="CA1127" s="448"/>
    </row>
    <row r="1128" spans="79:79" x14ac:dyDescent="0.2">
      <c r="CA1128" s="448"/>
    </row>
    <row r="1129" spans="79:79" x14ac:dyDescent="0.2">
      <c r="CA1129" s="448"/>
    </row>
    <row r="1130" spans="79:79" x14ac:dyDescent="0.2">
      <c r="CA1130" s="448"/>
    </row>
    <row r="1131" spans="79:79" x14ac:dyDescent="0.2">
      <c r="CA1131" s="448"/>
    </row>
    <row r="1132" spans="79:79" x14ac:dyDescent="0.2">
      <c r="CA1132" s="448"/>
    </row>
    <row r="1133" spans="79:79" x14ac:dyDescent="0.2">
      <c r="CA1133" s="448"/>
    </row>
    <row r="1134" spans="79:79" x14ac:dyDescent="0.2">
      <c r="CA1134" s="448"/>
    </row>
    <row r="1135" spans="79:79" x14ac:dyDescent="0.2">
      <c r="CA1135" s="448"/>
    </row>
    <row r="1136" spans="79:79" x14ac:dyDescent="0.2">
      <c r="CA1136" s="448"/>
    </row>
    <row r="1137" spans="79:79" x14ac:dyDescent="0.2">
      <c r="CA1137" s="448"/>
    </row>
    <row r="1138" spans="79:79" x14ac:dyDescent="0.2">
      <c r="CA1138" s="448"/>
    </row>
    <row r="1139" spans="79:79" x14ac:dyDescent="0.2">
      <c r="CA1139" s="448"/>
    </row>
    <row r="1140" spans="79:79" x14ac:dyDescent="0.2">
      <c r="CA1140" s="448"/>
    </row>
    <row r="1141" spans="79:79" x14ac:dyDescent="0.2">
      <c r="CA1141" s="448"/>
    </row>
    <row r="1142" spans="79:79" x14ac:dyDescent="0.2">
      <c r="CA1142" s="448"/>
    </row>
    <row r="1143" spans="79:79" x14ac:dyDescent="0.2">
      <c r="CA1143" s="448"/>
    </row>
    <row r="1144" spans="79:79" x14ac:dyDescent="0.2">
      <c r="CA1144" s="448"/>
    </row>
    <row r="1145" spans="79:79" x14ac:dyDescent="0.2">
      <c r="CA1145" s="448"/>
    </row>
    <row r="1146" spans="79:79" x14ac:dyDescent="0.2">
      <c r="CA1146" s="448"/>
    </row>
    <row r="1147" spans="79:79" x14ac:dyDescent="0.2">
      <c r="CA1147" s="448"/>
    </row>
    <row r="1148" spans="79:79" x14ac:dyDescent="0.2">
      <c r="CA1148" s="448"/>
    </row>
    <row r="1149" spans="79:79" x14ac:dyDescent="0.2">
      <c r="CA1149" s="448"/>
    </row>
    <row r="1150" spans="79:79" x14ac:dyDescent="0.2">
      <c r="CA1150" s="448"/>
    </row>
    <row r="1151" spans="79:79" x14ac:dyDescent="0.2">
      <c r="CA1151" s="448"/>
    </row>
    <row r="1152" spans="79:79" x14ac:dyDescent="0.2">
      <c r="CA1152" s="448"/>
    </row>
    <row r="1153" spans="79:79" x14ac:dyDescent="0.2">
      <c r="CA1153" s="448"/>
    </row>
    <row r="1154" spans="79:79" x14ac:dyDescent="0.2">
      <c r="CA1154" s="448"/>
    </row>
    <row r="1155" spans="79:79" x14ac:dyDescent="0.2">
      <c r="CA1155" s="448"/>
    </row>
    <row r="1156" spans="79:79" x14ac:dyDescent="0.2">
      <c r="CA1156" s="448"/>
    </row>
    <row r="1157" spans="79:79" x14ac:dyDescent="0.2">
      <c r="CA1157" s="448"/>
    </row>
    <row r="1158" spans="79:79" x14ac:dyDescent="0.2">
      <c r="CA1158" s="448"/>
    </row>
    <row r="1159" spans="79:79" x14ac:dyDescent="0.2">
      <c r="CA1159" s="448"/>
    </row>
    <row r="1160" spans="79:79" x14ac:dyDescent="0.2">
      <c r="CA1160" s="448"/>
    </row>
    <row r="1161" spans="79:79" x14ac:dyDescent="0.2">
      <c r="CA1161" s="448"/>
    </row>
    <row r="1162" spans="79:79" x14ac:dyDescent="0.2">
      <c r="CA1162" s="448"/>
    </row>
    <row r="1163" spans="79:79" x14ac:dyDescent="0.2">
      <c r="CA1163" s="448"/>
    </row>
    <row r="1164" spans="79:79" x14ac:dyDescent="0.2">
      <c r="CA1164" s="448"/>
    </row>
    <row r="1165" spans="79:79" x14ac:dyDescent="0.2">
      <c r="CA1165" s="448"/>
    </row>
    <row r="1166" spans="79:79" x14ac:dyDescent="0.2">
      <c r="CA1166" s="448"/>
    </row>
    <row r="1167" spans="79:79" x14ac:dyDescent="0.2">
      <c r="CA1167" s="448"/>
    </row>
    <row r="1168" spans="79:79" x14ac:dyDescent="0.2">
      <c r="CA1168" s="448"/>
    </row>
    <row r="1169" spans="79:79" x14ac:dyDescent="0.2">
      <c r="CA1169" s="448"/>
    </row>
    <row r="1170" spans="79:79" x14ac:dyDescent="0.2">
      <c r="CA1170" s="448"/>
    </row>
    <row r="1171" spans="79:79" x14ac:dyDescent="0.2">
      <c r="CA1171" s="448"/>
    </row>
    <row r="1172" spans="79:79" x14ac:dyDescent="0.2">
      <c r="CA1172" s="448"/>
    </row>
    <row r="1173" spans="79:79" x14ac:dyDescent="0.2">
      <c r="CA1173" s="448"/>
    </row>
    <row r="1174" spans="79:79" x14ac:dyDescent="0.2">
      <c r="CA1174" s="448"/>
    </row>
    <row r="1175" spans="79:79" x14ac:dyDescent="0.2">
      <c r="CA1175" s="448"/>
    </row>
    <row r="1176" spans="79:79" x14ac:dyDescent="0.2">
      <c r="CA1176" s="448"/>
    </row>
    <row r="1177" spans="79:79" x14ac:dyDescent="0.2">
      <c r="CA1177" s="448"/>
    </row>
    <row r="1178" spans="79:79" x14ac:dyDescent="0.2">
      <c r="CA1178" s="448"/>
    </row>
    <row r="1179" spans="79:79" x14ac:dyDescent="0.2">
      <c r="CA1179" s="448"/>
    </row>
    <row r="1180" spans="79:79" x14ac:dyDescent="0.2">
      <c r="CA1180" s="448"/>
    </row>
    <row r="1181" spans="79:79" x14ac:dyDescent="0.2">
      <c r="CA1181" s="448"/>
    </row>
    <row r="1182" spans="79:79" x14ac:dyDescent="0.2">
      <c r="CA1182" s="448"/>
    </row>
    <row r="1183" spans="79:79" x14ac:dyDescent="0.2">
      <c r="CA1183" s="448"/>
    </row>
    <row r="1184" spans="79:79" x14ac:dyDescent="0.2">
      <c r="CA1184" s="448"/>
    </row>
    <row r="1185" spans="79:79" x14ac:dyDescent="0.2">
      <c r="CA1185" s="448"/>
    </row>
    <row r="1186" spans="79:79" x14ac:dyDescent="0.2">
      <c r="CA1186" s="448"/>
    </row>
    <row r="1187" spans="79:79" x14ac:dyDescent="0.2">
      <c r="CA1187" s="448"/>
    </row>
    <row r="1188" spans="79:79" x14ac:dyDescent="0.2">
      <c r="CA1188" s="448"/>
    </row>
    <row r="1189" spans="79:79" x14ac:dyDescent="0.2">
      <c r="CA1189" s="448"/>
    </row>
    <row r="1190" spans="79:79" x14ac:dyDescent="0.2">
      <c r="CA1190" s="448"/>
    </row>
    <row r="1191" spans="79:79" x14ac:dyDescent="0.2">
      <c r="CA1191" s="448"/>
    </row>
    <row r="1192" spans="79:79" x14ac:dyDescent="0.2">
      <c r="CA1192" s="448"/>
    </row>
    <row r="1193" spans="79:79" x14ac:dyDescent="0.2">
      <c r="CA1193" s="448"/>
    </row>
    <row r="1194" spans="79:79" x14ac:dyDescent="0.2">
      <c r="CA1194" s="448"/>
    </row>
    <row r="1195" spans="79:79" x14ac:dyDescent="0.2">
      <c r="CA1195" s="448"/>
    </row>
    <row r="1196" spans="79:79" x14ac:dyDescent="0.2">
      <c r="CA1196" s="448"/>
    </row>
    <row r="1197" spans="79:79" x14ac:dyDescent="0.2">
      <c r="CA1197" s="448"/>
    </row>
    <row r="1198" spans="79:79" x14ac:dyDescent="0.2">
      <c r="CA1198" s="448"/>
    </row>
    <row r="1199" spans="79:79" x14ac:dyDescent="0.2">
      <c r="CA1199" s="448"/>
    </row>
    <row r="1200" spans="79:79" x14ac:dyDescent="0.2">
      <c r="CA1200" s="448"/>
    </row>
    <row r="1201" spans="79:79" x14ac:dyDescent="0.2">
      <c r="CA1201" s="448"/>
    </row>
    <row r="1202" spans="79:79" x14ac:dyDescent="0.2">
      <c r="CA1202" s="448"/>
    </row>
    <row r="1203" spans="79:79" x14ac:dyDescent="0.2">
      <c r="CA1203" s="448"/>
    </row>
    <row r="1204" spans="79:79" x14ac:dyDescent="0.2">
      <c r="CA1204" s="448"/>
    </row>
    <row r="1205" spans="79:79" x14ac:dyDescent="0.2">
      <c r="CA1205" s="448"/>
    </row>
    <row r="1206" spans="79:79" x14ac:dyDescent="0.2">
      <c r="CA1206" s="448"/>
    </row>
    <row r="1207" spans="79:79" x14ac:dyDescent="0.2">
      <c r="CA1207" s="448"/>
    </row>
    <row r="1208" spans="79:79" x14ac:dyDescent="0.2">
      <c r="CA1208" s="448"/>
    </row>
    <row r="1209" spans="79:79" x14ac:dyDescent="0.2">
      <c r="CA1209" s="448"/>
    </row>
    <row r="1210" spans="79:79" x14ac:dyDescent="0.2">
      <c r="CA1210" s="448"/>
    </row>
    <row r="1211" spans="79:79" x14ac:dyDescent="0.2">
      <c r="CA1211" s="448"/>
    </row>
    <row r="1212" spans="79:79" x14ac:dyDescent="0.2">
      <c r="CA1212" s="448"/>
    </row>
    <row r="1213" spans="79:79" x14ac:dyDescent="0.2">
      <c r="CA1213" s="448"/>
    </row>
    <row r="1214" spans="79:79" x14ac:dyDescent="0.2">
      <c r="CA1214" s="448"/>
    </row>
    <row r="1215" spans="79:79" x14ac:dyDescent="0.2">
      <c r="CA1215" s="448"/>
    </row>
    <row r="1216" spans="79:79" x14ac:dyDescent="0.2">
      <c r="CA1216" s="448"/>
    </row>
    <row r="1217" spans="79:79" x14ac:dyDescent="0.2">
      <c r="CA1217" s="448"/>
    </row>
    <row r="1218" spans="79:79" x14ac:dyDescent="0.2">
      <c r="CA1218" s="448"/>
    </row>
    <row r="1219" spans="79:79" x14ac:dyDescent="0.2">
      <c r="CA1219" s="448"/>
    </row>
    <row r="1220" spans="79:79" x14ac:dyDescent="0.2">
      <c r="CA1220" s="448"/>
    </row>
    <row r="1221" spans="79:79" x14ac:dyDescent="0.2">
      <c r="CA1221" s="448"/>
    </row>
    <row r="1222" spans="79:79" x14ac:dyDescent="0.2">
      <c r="CA1222" s="448"/>
    </row>
    <row r="1223" spans="79:79" x14ac:dyDescent="0.2">
      <c r="CA1223" s="448"/>
    </row>
    <row r="1224" spans="79:79" x14ac:dyDescent="0.2">
      <c r="CA1224" s="448"/>
    </row>
    <row r="1225" spans="79:79" x14ac:dyDescent="0.2">
      <c r="CA1225" s="448"/>
    </row>
    <row r="1226" spans="79:79" x14ac:dyDescent="0.2">
      <c r="CA1226" s="448"/>
    </row>
    <row r="1227" spans="79:79" x14ac:dyDescent="0.2">
      <c r="CA1227" s="448"/>
    </row>
    <row r="1228" spans="79:79" x14ac:dyDescent="0.2">
      <c r="CA1228" s="448"/>
    </row>
    <row r="1229" spans="79:79" x14ac:dyDescent="0.2">
      <c r="CA1229" s="448"/>
    </row>
    <row r="1230" spans="79:79" x14ac:dyDescent="0.2">
      <c r="CA1230" s="448"/>
    </row>
    <row r="1231" spans="79:79" x14ac:dyDescent="0.2">
      <c r="CA1231" s="448"/>
    </row>
    <row r="1232" spans="79:79" x14ac:dyDescent="0.2">
      <c r="CA1232" s="448"/>
    </row>
    <row r="1233" spans="79:79" x14ac:dyDescent="0.2">
      <c r="CA1233" s="448"/>
    </row>
    <row r="1234" spans="79:79" x14ac:dyDescent="0.2">
      <c r="CA1234" s="448"/>
    </row>
    <row r="1235" spans="79:79" x14ac:dyDescent="0.2">
      <c r="CA1235" s="448"/>
    </row>
    <row r="1236" spans="79:79" x14ac:dyDescent="0.2">
      <c r="CA1236" s="448"/>
    </row>
    <row r="1237" spans="79:79" x14ac:dyDescent="0.2">
      <c r="CA1237" s="448"/>
    </row>
    <row r="1238" spans="79:79" x14ac:dyDescent="0.2">
      <c r="CA1238" s="448"/>
    </row>
    <row r="1239" spans="79:79" x14ac:dyDescent="0.2">
      <c r="CA1239" s="448"/>
    </row>
    <row r="1240" spans="79:79" x14ac:dyDescent="0.2">
      <c r="CA1240" s="448"/>
    </row>
    <row r="1241" spans="79:79" x14ac:dyDescent="0.2">
      <c r="CA1241" s="448"/>
    </row>
    <row r="1242" spans="79:79" x14ac:dyDescent="0.2">
      <c r="CA1242" s="448"/>
    </row>
    <row r="1243" spans="79:79" x14ac:dyDescent="0.2">
      <c r="CA1243" s="448"/>
    </row>
    <row r="1244" spans="79:79" x14ac:dyDescent="0.2">
      <c r="CA1244" s="448"/>
    </row>
    <row r="1245" spans="79:79" x14ac:dyDescent="0.2">
      <c r="CA1245" s="448"/>
    </row>
    <row r="1246" spans="79:79" x14ac:dyDescent="0.2">
      <c r="CA1246" s="448"/>
    </row>
    <row r="1247" spans="79:79" x14ac:dyDescent="0.2">
      <c r="CA1247" s="448"/>
    </row>
    <row r="1248" spans="79:79" x14ac:dyDescent="0.2">
      <c r="CA1248" s="448"/>
    </row>
    <row r="1249" spans="79:79" x14ac:dyDescent="0.2">
      <c r="CA1249" s="448"/>
    </row>
    <row r="1250" spans="79:79" x14ac:dyDescent="0.2">
      <c r="CA1250" s="448"/>
    </row>
    <row r="1251" spans="79:79" x14ac:dyDescent="0.2">
      <c r="CA1251" s="448"/>
    </row>
    <row r="1252" spans="79:79" x14ac:dyDescent="0.2">
      <c r="CA1252" s="448"/>
    </row>
    <row r="1253" spans="79:79" x14ac:dyDescent="0.2">
      <c r="CA1253" s="448"/>
    </row>
    <row r="1254" spans="79:79" x14ac:dyDescent="0.2">
      <c r="CA1254" s="448"/>
    </row>
    <row r="1255" spans="79:79" x14ac:dyDescent="0.2">
      <c r="CA1255" s="448"/>
    </row>
    <row r="1256" spans="79:79" x14ac:dyDescent="0.2">
      <c r="CA1256" s="448"/>
    </row>
    <row r="1257" spans="79:79" x14ac:dyDescent="0.2">
      <c r="CA1257" s="448"/>
    </row>
    <row r="1258" spans="79:79" x14ac:dyDescent="0.2">
      <c r="CA1258" s="448"/>
    </row>
    <row r="1259" spans="79:79" x14ac:dyDescent="0.2">
      <c r="CA1259" s="448"/>
    </row>
    <row r="1260" spans="79:79" x14ac:dyDescent="0.2">
      <c r="CA1260" s="448"/>
    </row>
    <row r="1261" spans="79:79" x14ac:dyDescent="0.2">
      <c r="CA1261" s="448"/>
    </row>
    <row r="1262" spans="79:79" x14ac:dyDescent="0.2">
      <c r="CA1262" s="448"/>
    </row>
    <row r="1263" spans="79:79" x14ac:dyDescent="0.2">
      <c r="CA1263" s="448"/>
    </row>
    <row r="1264" spans="79:79" x14ac:dyDescent="0.2">
      <c r="CA1264" s="448"/>
    </row>
    <row r="1265" spans="79:79" x14ac:dyDescent="0.2">
      <c r="CA1265" s="448"/>
    </row>
    <row r="1266" spans="79:79" x14ac:dyDescent="0.2">
      <c r="CA1266" s="448"/>
    </row>
    <row r="1267" spans="79:79" x14ac:dyDescent="0.2">
      <c r="CA1267" s="448"/>
    </row>
    <row r="1268" spans="79:79" x14ac:dyDescent="0.2">
      <c r="CA1268" s="448"/>
    </row>
    <row r="1269" spans="79:79" x14ac:dyDescent="0.2">
      <c r="CA1269" s="448"/>
    </row>
    <row r="1270" spans="79:79" x14ac:dyDescent="0.2">
      <c r="CA1270" s="448"/>
    </row>
    <row r="1271" spans="79:79" x14ac:dyDescent="0.2">
      <c r="CA1271" s="448"/>
    </row>
    <row r="1272" spans="79:79" x14ac:dyDescent="0.2">
      <c r="CA1272" s="448"/>
    </row>
    <row r="1273" spans="79:79" x14ac:dyDescent="0.2">
      <c r="CA1273" s="448"/>
    </row>
    <row r="1274" spans="79:79" x14ac:dyDescent="0.2">
      <c r="CA1274" s="448"/>
    </row>
    <row r="1275" spans="79:79" x14ac:dyDescent="0.2">
      <c r="CA1275" s="448"/>
    </row>
    <row r="1276" spans="79:79" x14ac:dyDescent="0.2">
      <c r="CA1276" s="448"/>
    </row>
    <row r="1277" spans="79:79" x14ac:dyDescent="0.2">
      <c r="CA1277" s="448"/>
    </row>
    <row r="1278" spans="79:79" x14ac:dyDescent="0.2">
      <c r="CA1278" s="448"/>
    </row>
    <row r="1279" spans="79:79" x14ac:dyDescent="0.2">
      <c r="CA1279" s="448"/>
    </row>
    <row r="1280" spans="79:79" x14ac:dyDescent="0.2">
      <c r="CA1280" s="448"/>
    </row>
    <row r="1281" spans="79:79" x14ac:dyDescent="0.2">
      <c r="CA1281" s="448"/>
    </row>
    <row r="1282" spans="79:79" x14ac:dyDescent="0.2">
      <c r="CA1282" s="448"/>
    </row>
    <row r="1283" spans="79:79" x14ac:dyDescent="0.2">
      <c r="CA1283" s="448"/>
    </row>
    <row r="1284" spans="79:79" x14ac:dyDescent="0.2">
      <c r="CA1284" s="448"/>
    </row>
    <row r="1285" spans="79:79" x14ac:dyDescent="0.2">
      <c r="CA1285" s="448"/>
    </row>
    <row r="1286" spans="79:79" x14ac:dyDescent="0.2">
      <c r="CA1286" s="448"/>
    </row>
    <row r="1287" spans="79:79" x14ac:dyDescent="0.2">
      <c r="CA1287" s="448"/>
    </row>
    <row r="1288" spans="79:79" x14ac:dyDescent="0.2">
      <c r="CA1288" s="448"/>
    </row>
    <row r="1289" spans="79:79" x14ac:dyDescent="0.2">
      <c r="CA1289" s="448"/>
    </row>
    <row r="1290" spans="79:79" x14ac:dyDescent="0.2">
      <c r="CA1290" s="448"/>
    </row>
    <row r="1291" spans="79:79" x14ac:dyDescent="0.2">
      <c r="CA1291" s="448"/>
    </row>
    <row r="1292" spans="79:79" x14ac:dyDescent="0.2">
      <c r="CA1292" s="448"/>
    </row>
    <row r="1293" spans="79:79" x14ac:dyDescent="0.2">
      <c r="CA1293" s="448"/>
    </row>
    <row r="1294" spans="79:79" x14ac:dyDescent="0.2">
      <c r="CA1294" s="448"/>
    </row>
    <row r="1295" spans="79:79" x14ac:dyDescent="0.2">
      <c r="CA1295" s="448"/>
    </row>
    <row r="1296" spans="79:79" x14ac:dyDescent="0.2">
      <c r="CA1296" s="448"/>
    </row>
    <row r="1297" spans="79:79" x14ac:dyDescent="0.2">
      <c r="CA1297" s="448"/>
    </row>
    <row r="1298" spans="79:79" x14ac:dyDescent="0.2">
      <c r="CA1298" s="448"/>
    </row>
    <row r="1299" spans="79:79" x14ac:dyDescent="0.2">
      <c r="CA1299" s="448"/>
    </row>
    <row r="1300" spans="79:79" x14ac:dyDescent="0.2">
      <c r="CA1300" s="448"/>
    </row>
    <row r="1301" spans="79:79" x14ac:dyDescent="0.2">
      <c r="CA1301" s="448"/>
    </row>
    <row r="1302" spans="79:79" x14ac:dyDescent="0.2">
      <c r="CA1302" s="448"/>
    </row>
    <row r="1303" spans="79:79" x14ac:dyDescent="0.2">
      <c r="CA1303" s="448"/>
    </row>
    <row r="1304" spans="79:79" x14ac:dyDescent="0.2">
      <c r="CA1304" s="448"/>
    </row>
    <row r="1305" spans="79:79" x14ac:dyDescent="0.2">
      <c r="CA1305" s="448"/>
    </row>
    <row r="1306" spans="79:79" x14ac:dyDescent="0.2">
      <c r="CA1306" s="448"/>
    </row>
    <row r="1307" spans="79:79" x14ac:dyDescent="0.2">
      <c r="CA1307" s="448"/>
    </row>
    <row r="1308" spans="79:79" x14ac:dyDescent="0.2">
      <c r="CA1308" s="448"/>
    </row>
    <row r="1309" spans="79:79" x14ac:dyDescent="0.2">
      <c r="CA1309" s="448"/>
    </row>
    <row r="1310" spans="79:79" x14ac:dyDescent="0.2">
      <c r="CA1310" s="448"/>
    </row>
    <row r="1311" spans="79:79" x14ac:dyDescent="0.2">
      <c r="CA1311" s="448"/>
    </row>
    <row r="1312" spans="79:79" x14ac:dyDescent="0.2">
      <c r="CA1312" s="448"/>
    </row>
    <row r="1313" spans="79:79" x14ac:dyDescent="0.2">
      <c r="CA1313" s="448"/>
    </row>
    <row r="1314" spans="79:79" x14ac:dyDescent="0.2">
      <c r="CA1314" s="448"/>
    </row>
    <row r="1315" spans="79:79" x14ac:dyDescent="0.2">
      <c r="CA1315" s="448"/>
    </row>
    <row r="1316" spans="79:79" x14ac:dyDescent="0.2">
      <c r="CA1316" s="448"/>
    </row>
    <row r="1317" spans="79:79" x14ac:dyDescent="0.2">
      <c r="CA1317" s="448"/>
    </row>
    <row r="1318" spans="79:79" x14ac:dyDescent="0.2">
      <c r="CA1318" s="448"/>
    </row>
    <row r="1319" spans="79:79" x14ac:dyDescent="0.2">
      <c r="CA1319" s="448"/>
    </row>
    <row r="1320" spans="79:79" x14ac:dyDescent="0.2">
      <c r="CA1320" s="448"/>
    </row>
    <row r="1321" spans="79:79" x14ac:dyDescent="0.2">
      <c r="CA1321" s="448"/>
    </row>
    <row r="1322" spans="79:79" x14ac:dyDescent="0.2">
      <c r="CA1322" s="448"/>
    </row>
    <row r="1323" spans="79:79" x14ac:dyDescent="0.2">
      <c r="CA1323" s="448"/>
    </row>
    <row r="1324" spans="79:79" x14ac:dyDescent="0.2">
      <c r="CA1324" s="448"/>
    </row>
    <row r="1325" spans="79:79" x14ac:dyDescent="0.2">
      <c r="CA1325" s="448"/>
    </row>
    <row r="1326" spans="79:79" x14ac:dyDescent="0.2">
      <c r="CA1326" s="448"/>
    </row>
    <row r="1327" spans="79:79" x14ac:dyDescent="0.2">
      <c r="CA1327" s="448"/>
    </row>
    <row r="1328" spans="79:79" x14ac:dyDescent="0.2">
      <c r="CA1328" s="448"/>
    </row>
    <row r="1329" spans="79:79" x14ac:dyDescent="0.2">
      <c r="CA1329" s="448"/>
    </row>
    <row r="1330" spans="79:79" x14ac:dyDescent="0.2">
      <c r="CA1330" s="448"/>
    </row>
    <row r="1331" spans="79:79" x14ac:dyDescent="0.2">
      <c r="CA1331" s="448"/>
    </row>
    <row r="1332" spans="79:79" x14ac:dyDescent="0.2">
      <c r="CA1332" s="448"/>
    </row>
    <row r="1333" spans="79:79" x14ac:dyDescent="0.2">
      <c r="CA1333" s="448"/>
    </row>
    <row r="1334" spans="79:79" x14ac:dyDescent="0.2">
      <c r="CA1334" s="448"/>
    </row>
    <row r="1335" spans="79:79" x14ac:dyDescent="0.2">
      <c r="CA1335" s="448"/>
    </row>
    <row r="1336" spans="79:79" x14ac:dyDescent="0.2">
      <c r="CA1336" s="448"/>
    </row>
    <row r="1337" spans="79:79" x14ac:dyDescent="0.2">
      <c r="CA1337" s="448"/>
    </row>
    <row r="1338" spans="79:79" x14ac:dyDescent="0.2">
      <c r="CA1338" s="448"/>
    </row>
    <row r="1339" spans="79:79" x14ac:dyDescent="0.2">
      <c r="CA1339" s="448"/>
    </row>
    <row r="1340" spans="79:79" x14ac:dyDescent="0.2">
      <c r="CA1340" s="448"/>
    </row>
    <row r="1341" spans="79:79" x14ac:dyDescent="0.2">
      <c r="CA1341" s="448"/>
    </row>
    <row r="1342" spans="79:79" x14ac:dyDescent="0.2">
      <c r="CA1342" s="448"/>
    </row>
    <row r="1343" spans="79:79" x14ac:dyDescent="0.2">
      <c r="CA1343" s="448"/>
    </row>
    <row r="1344" spans="79:79" x14ac:dyDescent="0.2">
      <c r="CA1344" s="448"/>
    </row>
    <row r="1345" spans="79:79" x14ac:dyDescent="0.2">
      <c r="CA1345" s="448"/>
    </row>
    <row r="1346" spans="79:79" x14ac:dyDescent="0.2">
      <c r="CA1346" s="448"/>
    </row>
    <row r="1347" spans="79:79" x14ac:dyDescent="0.2">
      <c r="CA1347" s="448"/>
    </row>
    <row r="1348" spans="79:79" x14ac:dyDescent="0.2">
      <c r="CA1348" s="448"/>
    </row>
    <row r="1349" spans="79:79" x14ac:dyDescent="0.2">
      <c r="CA1349" s="448"/>
    </row>
    <row r="1350" spans="79:79" x14ac:dyDescent="0.2">
      <c r="CA1350" s="448"/>
    </row>
    <row r="1351" spans="79:79" x14ac:dyDescent="0.2">
      <c r="CA1351" s="448"/>
    </row>
    <row r="1352" spans="79:79" x14ac:dyDescent="0.2">
      <c r="CA1352" s="448"/>
    </row>
    <row r="1353" spans="79:79" x14ac:dyDescent="0.2">
      <c r="CA1353" s="448"/>
    </row>
    <row r="1354" spans="79:79" x14ac:dyDescent="0.2">
      <c r="CA1354" s="448"/>
    </row>
    <row r="1355" spans="79:79" x14ac:dyDescent="0.2">
      <c r="CA1355" s="448"/>
    </row>
    <row r="1356" spans="79:79" x14ac:dyDescent="0.2">
      <c r="CA1356" s="448"/>
    </row>
    <row r="1357" spans="79:79" x14ac:dyDescent="0.2">
      <c r="CA1357" s="448"/>
    </row>
    <row r="1358" spans="79:79" x14ac:dyDescent="0.2">
      <c r="CA1358" s="448"/>
    </row>
    <row r="1359" spans="79:79" x14ac:dyDescent="0.2">
      <c r="CA1359" s="448"/>
    </row>
    <row r="1360" spans="79:79" x14ac:dyDescent="0.2">
      <c r="CA1360" s="448"/>
    </row>
    <row r="1361" spans="79:79" x14ac:dyDescent="0.2">
      <c r="CA1361" s="448"/>
    </row>
    <row r="1362" spans="79:79" x14ac:dyDescent="0.2">
      <c r="CA1362" s="448"/>
    </row>
    <row r="1363" spans="79:79" x14ac:dyDescent="0.2">
      <c r="CA1363" s="448"/>
    </row>
    <row r="1364" spans="79:79" x14ac:dyDescent="0.2">
      <c r="CA1364" s="448"/>
    </row>
    <row r="1365" spans="79:79" x14ac:dyDescent="0.2">
      <c r="CA1365" s="448"/>
    </row>
    <row r="1366" spans="79:79" x14ac:dyDescent="0.2">
      <c r="CA1366" s="448"/>
    </row>
    <row r="1367" spans="79:79" x14ac:dyDescent="0.2">
      <c r="CA1367" s="448"/>
    </row>
    <row r="1368" spans="79:79" x14ac:dyDescent="0.2">
      <c r="CA1368" s="448"/>
    </row>
    <row r="1369" spans="79:79" x14ac:dyDescent="0.2">
      <c r="CA1369" s="448"/>
    </row>
    <row r="1370" spans="79:79" x14ac:dyDescent="0.2">
      <c r="CA1370" s="448"/>
    </row>
    <row r="1371" spans="79:79" x14ac:dyDescent="0.2">
      <c r="CA1371" s="448"/>
    </row>
    <row r="1372" spans="79:79" x14ac:dyDescent="0.2">
      <c r="CA1372" s="448"/>
    </row>
    <row r="1373" spans="79:79" x14ac:dyDescent="0.2">
      <c r="CA1373" s="448"/>
    </row>
    <row r="1374" spans="79:79" x14ac:dyDescent="0.2">
      <c r="CA1374" s="448"/>
    </row>
    <row r="1375" spans="79:79" x14ac:dyDescent="0.2">
      <c r="CA1375" s="448"/>
    </row>
    <row r="1376" spans="79:79" x14ac:dyDescent="0.2">
      <c r="CA1376" s="448"/>
    </row>
    <row r="1377" spans="79:79" x14ac:dyDescent="0.2">
      <c r="CA1377" s="448"/>
    </row>
    <row r="1378" spans="79:79" x14ac:dyDescent="0.2">
      <c r="CA1378" s="448"/>
    </row>
    <row r="1379" spans="79:79" x14ac:dyDescent="0.2">
      <c r="CA1379" s="448"/>
    </row>
    <row r="1380" spans="79:79" x14ac:dyDescent="0.2">
      <c r="CA1380" s="448"/>
    </row>
    <row r="1381" spans="79:79" x14ac:dyDescent="0.2">
      <c r="CA1381" s="448"/>
    </row>
    <row r="1382" spans="79:79" x14ac:dyDescent="0.2">
      <c r="CA1382" s="448"/>
    </row>
    <row r="1383" spans="79:79" x14ac:dyDescent="0.2">
      <c r="CA1383" s="448"/>
    </row>
    <row r="1384" spans="79:79" x14ac:dyDescent="0.2">
      <c r="CA1384" s="448"/>
    </row>
    <row r="1385" spans="79:79" x14ac:dyDescent="0.2">
      <c r="CA1385" s="448"/>
    </row>
    <row r="1386" spans="79:79" x14ac:dyDescent="0.2">
      <c r="CA1386" s="448"/>
    </row>
    <row r="1387" spans="79:79" x14ac:dyDescent="0.2">
      <c r="CA1387" s="448"/>
    </row>
    <row r="1388" spans="79:79" x14ac:dyDescent="0.2">
      <c r="CA1388" s="448"/>
    </row>
    <row r="1389" spans="79:79" x14ac:dyDescent="0.2">
      <c r="CA1389" s="448"/>
    </row>
    <row r="1390" spans="79:79" x14ac:dyDescent="0.2">
      <c r="CA1390" s="448"/>
    </row>
    <row r="1391" spans="79:79" x14ac:dyDescent="0.2">
      <c r="CA1391" s="448"/>
    </row>
    <row r="1392" spans="79:79" x14ac:dyDescent="0.2">
      <c r="CA1392" s="448"/>
    </row>
    <row r="1393" spans="79:79" x14ac:dyDescent="0.2">
      <c r="CA1393" s="448"/>
    </row>
    <row r="1394" spans="79:79" x14ac:dyDescent="0.2">
      <c r="CA1394" s="448"/>
    </row>
    <row r="1395" spans="79:79" x14ac:dyDescent="0.2">
      <c r="CA1395" s="448"/>
    </row>
    <row r="1396" spans="79:79" x14ac:dyDescent="0.2">
      <c r="CA1396" s="448"/>
    </row>
    <row r="1397" spans="79:79" x14ac:dyDescent="0.2">
      <c r="CA1397" s="448"/>
    </row>
    <row r="1398" spans="79:79" x14ac:dyDescent="0.2">
      <c r="CA1398" s="448"/>
    </row>
    <row r="1399" spans="79:79" x14ac:dyDescent="0.2">
      <c r="CA1399" s="448"/>
    </row>
    <row r="1400" spans="79:79" x14ac:dyDescent="0.2">
      <c r="CA1400" s="448"/>
    </row>
    <row r="1401" spans="79:79" x14ac:dyDescent="0.2">
      <c r="CA1401" s="448"/>
    </row>
    <row r="1402" spans="79:79" x14ac:dyDescent="0.2">
      <c r="CA1402" s="448"/>
    </row>
    <row r="1403" spans="79:79" x14ac:dyDescent="0.2">
      <c r="CA1403" s="448"/>
    </row>
    <row r="1404" spans="79:79" x14ac:dyDescent="0.2">
      <c r="CA1404" s="448"/>
    </row>
    <row r="1405" spans="79:79" x14ac:dyDescent="0.2">
      <c r="CA1405" s="448"/>
    </row>
    <row r="1406" spans="79:79" x14ac:dyDescent="0.2">
      <c r="CA1406" s="448"/>
    </row>
    <row r="1407" spans="79:79" x14ac:dyDescent="0.2">
      <c r="CA1407" s="448"/>
    </row>
    <row r="1408" spans="79:79" x14ac:dyDescent="0.2">
      <c r="CA1408" s="448"/>
    </row>
    <row r="1409" spans="79:79" x14ac:dyDescent="0.2">
      <c r="CA1409" s="448"/>
    </row>
    <row r="1410" spans="79:79" x14ac:dyDescent="0.2">
      <c r="CA1410" s="448"/>
    </row>
    <row r="1411" spans="79:79" x14ac:dyDescent="0.2">
      <c r="CA1411" s="448"/>
    </row>
    <row r="1412" spans="79:79" x14ac:dyDescent="0.2">
      <c r="CA1412" s="448"/>
    </row>
    <row r="1413" spans="79:79" x14ac:dyDescent="0.2">
      <c r="CA1413" s="448"/>
    </row>
    <row r="1414" spans="79:79" x14ac:dyDescent="0.2">
      <c r="CA1414" s="448"/>
    </row>
    <row r="1415" spans="79:79" x14ac:dyDescent="0.2">
      <c r="CA1415" s="448"/>
    </row>
    <row r="1416" spans="79:79" x14ac:dyDescent="0.2">
      <c r="CA1416" s="448"/>
    </row>
    <row r="1417" spans="79:79" x14ac:dyDescent="0.2">
      <c r="CA1417" s="448"/>
    </row>
    <row r="1418" spans="79:79" x14ac:dyDescent="0.2">
      <c r="CA1418" s="448"/>
    </row>
    <row r="1419" spans="79:79" x14ac:dyDescent="0.2">
      <c r="CA1419" s="448"/>
    </row>
    <row r="1420" spans="79:79" x14ac:dyDescent="0.2">
      <c r="CA1420" s="448"/>
    </row>
    <row r="1421" spans="79:79" x14ac:dyDescent="0.2">
      <c r="CA1421" s="448"/>
    </row>
    <row r="1422" spans="79:79" x14ac:dyDescent="0.2">
      <c r="CA1422" s="448"/>
    </row>
    <row r="1423" spans="79:79" x14ac:dyDescent="0.2">
      <c r="CA1423" s="448"/>
    </row>
    <row r="1424" spans="79:79" x14ac:dyDescent="0.2">
      <c r="CA1424" s="448"/>
    </row>
    <row r="1425" spans="79:79" x14ac:dyDescent="0.2">
      <c r="CA1425" s="448"/>
    </row>
    <row r="1426" spans="79:79" x14ac:dyDescent="0.2">
      <c r="CA1426" s="448"/>
    </row>
    <row r="1427" spans="79:79" x14ac:dyDescent="0.2">
      <c r="CA1427" s="448"/>
    </row>
    <row r="1428" spans="79:79" x14ac:dyDescent="0.2">
      <c r="CA1428" s="448"/>
    </row>
    <row r="1429" spans="79:79" x14ac:dyDescent="0.2">
      <c r="CA1429" s="448"/>
    </row>
    <row r="1430" spans="79:79" x14ac:dyDescent="0.2">
      <c r="CA1430" s="448"/>
    </row>
    <row r="1431" spans="79:79" x14ac:dyDescent="0.2">
      <c r="CA1431" s="448"/>
    </row>
    <row r="1432" spans="79:79" x14ac:dyDescent="0.2">
      <c r="CA1432" s="448"/>
    </row>
    <row r="1433" spans="79:79" x14ac:dyDescent="0.2">
      <c r="CA1433" s="448"/>
    </row>
    <row r="1434" spans="79:79" x14ac:dyDescent="0.2">
      <c r="CA1434" s="448"/>
    </row>
    <row r="1435" spans="79:79" x14ac:dyDescent="0.2">
      <c r="CA1435" s="448"/>
    </row>
    <row r="1436" spans="79:79" x14ac:dyDescent="0.2">
      <c r="CA1436" s="448"/>
    </row>
    <row r="1437" spans="79:79" x14ac:dyDescent="0.2">
      <c r="CA1437" s="448"/>
    </row>
    <row r="1438" spans="79:79" x14ac:dyDescent="0.2">
      <c r="CA1438" s="448"/>
    </row>
    <row r="1439" spans="79:79" x14ac:dyDescent="0.2">
      <c r="CA1439" s="448"/>
    </row>
    <row r="1440" spans="79:79" x14ac:dyDescent="0.2">
      <c r="CA1440" s="448"/>
    </row>
    <row r="1441" spans="79:79" x14ac:dyDescent="0.2">
      <c r="CA1441" s="448"/>
    </row>
    <row r="1442" spans="79:79" x14ac:dyDescent="0.2">
      <c r="CA1442" s="448"/>
    </row>
    <row r="1443" spans="79:79" x14ac:dyDescent="0.2">
      <c r="CA1443" s="448"/>
    </row>
    <row r="1444" spans="79:79" x14ac:dyDescent="0.2">
      <c r="CA1444" s="448"/>
    </row>
    <row r="1445" spans="79:79" x14ac:dyDescent="0.2">
      <c r="CA1445" s="448"/>
    </row>
    <row r="1446" spans="79:79" x14ac:dyDescent="0.2">
      <c r="CA1446" s="448"/>
    </row>
    <row r="1447" spans="79:79" x14ac:dyDescent="0.2">
      <c r="CA1447" s="448"/>
    </row>
    <row r="1448" spans="79:79" x14ac:dyDescent="0.2">
      <c r="CA1448" s="448"/>
    </row>
    <row r="1449" spans="79:79" x14ac:dyDescent="0.2">
      <c r="CA1449" s="448"/>
    </row>
    <row r="1450" spans="79:79" x14ac:dyDescent="0.2">
      <c r="CA1450" s="448"/>
    </row>
    <row r="1451" spans="79:79" x14ac:dyDescent="0.2">
      <c r="CA1451" s="448"/>
    </row>
    <row r="1452" spans="79:79" x14ac:dyDescent="0.2">
      <c r="CA1452" s="448"/>
    </row>
    <row r="1453" spans="79:79" x14ac:dyDescent="0.2">
      <c r="CA1453" s="448"/>
    </row>
    <row r="1454" spans="79:79" x14ac:dyDescent="0.2">
      <c r="CA1454" s="448"/>
    </row>
    <row r="1455" spans="79:79" x14ac:dyDescent="0.2">
      <c r="CA1455" s="448"/>
    </row>
    <row r="1456" spans="79:79" x14ac:dyDescent="0.2">
      <c r="CA1456" s="448"/>
    </row>
    <row r="1457" spans="79:79" x14ac:dyDescent="0.2">
      <c r="CA1457" s="448"/>
    </row>
    <row r="1458" spans="79:79" x14ac:dyDescent="0.2">
      <c r="CA1458" s="448"/>
    </row>
    <row r="1459" spans="79:79" x14ac:dyDescent="0.2">
      <c r="CA1459" s="448"/>
    </row>
    <row r="1460" spans="79:79" x14ac:dyDescent="0.2">
      <c r="CA1460" s="448"/>
    </row>
    <row r="1461" spans="79:79" x14ac:dyDescent="0.2">
      <c r="CA1461" s="448"/>
    </row>
    <row r="1462" spans="79:79" x14ac:dyDescent="0.2">
      <c r="CA1462" s="448"/>
    </row>
    <row r="1463" spans="79:79" x14ac:dyDescent="0.2">
      <c r="CA1463" s="448"/>
    </row>
    <row r="1464" spans="79:79" x14ac:dyDescent="0.2">
      <c r="CA1464" s="448"/>
    </row>
    <row r="1465" spans="79:79" x14ac:dyDescent="0.2">
      <c r="CA1465" s="448"/>
    </row>
    <row r="1466" spans="79:79" x14ac:dyDescent="0.2">
      <c r="CA1466" s="448"/>
    </row>
    <row r="1467" spans="79:79" x14ac:dyDescent="0.2">
      <c r="CA1467" s="448"/>
    </row>
    <row r="1468" spans="79:79" x14ac:dyDescent="0.2">
      <c r="CA1468" s="448"/>
    </row>
    <row r="1469" spans="79:79" x14ac:dyDescent="0.2">
      <c r="CA1469" s="448"/>
    </row>
    <row r="1470" spans="79:79" x14ac:dyDescent="0.2">
      <c r="CA1470" s="448"/>
    </row>
    <row r="1471" spans="79:79" x14ac:dyDescent="0.2">
      <c r="CA1471" s="448"/>
    </row>
    <row r="1472" spans="79:79" x14ac:dyDescent="0.2">
      <c r="CA1472" s="448"/>
    </row>
    <row r="1473" spans="79:79" x14ac:dyDescent="0.2">
      <c r="CA1473" s="448"/>
    </row>
    <row r="1474" spans="79:79" x14ac:dyDescent="0.2">
      <c r="CA1474" s="448"/>
    </row>
    <row r="1475" spans="79:79" x14ac:dyDescent="0.2">
      <c r="CA1475" s="448"/>
    </row>
    <row r="1476" spans="79:79" x14ac:dyDescent="0.2">
      <c r="CA1476" s="448"/>
    </row>
    <row r="1477" spans="79:79" x14ac:dyDescent="0.2">
      <c r="CA1477" s="448"/>
    </row>
    <row r="1478" spans="79:79" x14ac:dyDescent="0.2">
      <c r="CA1478" s="448"/>
    </row>
    <row r="1479" spans="79:79" x14ac:dyDescent="0.2">
      <c r="CA1479" s="448"/>
    </row>
    <row r="1480" spans="79:79" x14ac:dyDescent="0.2">
      <c r="CA1480" s="448"/>
    </row>
    <row r="1481" spans="79:79" x14ac:dyDescent="0.2">
      <c r="CA1481" s="448"/>
    </row>
    <row r="1482" spans="79:79" x14ac:dyDescent="0.2">
      <c r="CA1482" s="448"/>
    </row>
    <row r="1483" spans="79:79" x14ac:dyDescent="0.2">
      <c r="CA1483" s="448"/>
    </row>
    <row r="1484" spans="79:79" x14ac:dyDescent="0.2">
      <c r="CA1484" s="448"/>
    </row>
    <row r="1485" spans="79:79" x14ac:dyDescent="0.2">
      <c r="CA1485" s="448"/>
    </row>
    <row r="1486" spans="79:79" x14ac:dyDescent="0.2">
      <c r="CA1486" s="448"/>
    </row>
    <row r="1487" spans="79:79" x14ac:dyDescent="0.2">
      <c r="CA1487" s="448"/>
    </row>
    <row r="1488" spans="79:79" x14ac:dyDescent="0.2">
      <c r="CA1488" s="448"/>
    </row>
    <row r="1489" spans="79:79" x14ac:dyDescent="0.2">
      <c r="CA1489" s="448"/>
    </row>
    <row r="1490" spans="79:79" x14ac:dyDescent="0.2">
      <c r="CA1490" s="448"/>
    </row>
    <row r="1491" spans="79:79" x14ac:dyDescent="0.2">
      <c r="CA1491" s="448"/>
    </row>
    <row r="1492" spans="79:79" x14ac:dyDescent="0.2">
      <c r="CA1492" s="448"/>
    </row>
    <row r="1493" spans="79:79" x14ac:dyDescent="0.2">
      <c r="CA1493" s="448"/>
    </row>
    <row r="1494" spans="79:79" x14ac:dyDescent="0.2">
      <c r="CA1494" s="448"/>
    </row>
    <row r="1495" spans="79:79" x14ac:dyDescent="0.2">
      <c r="CA1495" s="448"/>
    </row>
    <row r="1496" spans="79:79" x14ac:dyDescent="0.2">
      <c r="CA1496" s="448"/>
    </row>
    <row r="1497" spans="79:79" x14ac:dyDescent="0.2">
      <c r="CA1497" s="448"/>
    </row>
    <row r="1498" spans="79:79" x14ac:dyDescent="0.2">
      <c r="CA1498" s="448"/>
    </row>
    <row r="1499" spans="79:79" x14ac:dyDescent="0.2">
      <c r="CA1499" s="448"/>
    </row>
    <row r="1500" spans="79:79" x14ac:dyDescent="0.2">
      <c r="CA1500" s="448"/>
    </row>
    <row r="1501" spans="79:79" x14ac:dyDescent="0.2">
      <c r="CA1501" s="448"/>
    </row>
    <row r="1502" spans="79:79" x14ac:dyDescent="0.2">
      <c r="CA1502" s="448"/>
    </row>
    <row r="1503" spans="79:79" x14ac:dyDescent="0.2">
      <c r="CA1503" s="448"/>
    </row>
    <row r="1504" spans="79:79" x14ac:dyDescent="0.2">
      <c r="CA1504" s="448"/>
    </row>
    <row r="1505" spans="79:79" x14ac:dyDescent="0.2">
      <c r="CA1505" s="448"/>
    </row>
    <row r="1506" spans="79:79" x14ac:dyDescent="0.2">
      <c r="CA1506" s="448"/>
    </row>
    <row r="1507" spans="79:79" x14ac:dyDescent="0.2">
      <c r="CA1507" s="448"/>
    </row>
    <row r="1508" spans="79:79" x14ac:dyDescent="0.2">
      <c r="CA1508" s="448"/>
    </row>
    <row r="1509" spans="79:79" x14ac:dyDescent="0.2">
      <c r="CA1509" s="448"/>
    </row>
    <row r="1510" spans="79:79" x14ac:dyDescent="0.2">
      <c r="CA1510" s="448"/>
    </row>
    <row r="1511" spans="79:79" x14ac:dyDescent="0.2">
      <c r="CA1511" s="448"/>
    </row>
    <row r="1512" spans="79:79" x14ac:dyDescent="0.2">
      <c r="CA1512" s="448"/>
    </row>
    <row r="1513" spans="79:79" x14ac:dyDescent="0.2">
      <c r="CA1513" s="448"/>
    </row>
    <row r="1514" spans="79:79" x14ac:dyDescent="0.2">
      <c r="CA1514" s="448"/>
    </row>
    <row r="1515" spans="79:79" x14ac:dyDescent="0.2">
      <c r="CA1515" s="448"/>
    </row>
    <row r="1516" spans="79:79" x14ac:dyDescent="0.2">
      <c r="CA1516" s="449"/>
    </row>
    <row r="1517" spans="79:79" x14ac:dyDescent="0.2">
      <c r="CA1517" s="448"/>
    </row>
    <row r="1518" spans="79:79" x14ac:dyDescent="0.2">
      <c r="CA1518" s="448"/>
    </row>
    <row r="1519" spans="79:79" x14ac:dyDescent="0.2">
      <c r="CA1519" s="448"/>
    </row>
    <row r="1520" spans="79:79" x14ac:dyDescent="0.2">
      <c r="CA1520" s="448"/>
    </row>
    <row r="1521" spans="79:79" x14ac:dyDescent="0.2">
      <c r="CA1521" s="448"/>
    </row>
    <row r="1522" spans="79:79" x14ac:dyDescent="0.2">
      <c r="CA1522" s="448"/>
    </row>
    <row r="1523" spans="79:79" x14ac:dyDescent="0.2">
      <c r="CA1523" s="448"/>
    </row>
    <row r="1524" spans="79:79" x14ac:dyDescent="0.2">
      <c r="CA1524" s="448"/>
    </row>
    <row r="1525" spans="79:79" x14ac:dyDescent="0.2">
      <c r="CA1525" s="448"/>
    </row>
    <row r="1526" spans="79:79" x14ac:dyDescent="0.2">
      <c r="CA1526" s="448"/>
    </row>
    <row r="1527" spans="79:79" x14ac:dyDescent="0.2">
      <c r="CA1527" s="448"/>
    </row>
    <row r="1528" spans="79:79" x14ac:dyDescent="0.2">
      <c r="CA1528" s="448"/>
    </row>
    <row r="1529" spans="79:79" x14ac:dyDescent="0.2">
      <c r="CA1529" s="448"/>
    </row>
    <row r="1530" spans="79:79" x14ac:dyDescent="0.2">
      <c r="CA1530" s="448"/>
    </row>
    <row r="1531" spans="79:79" x14ac:dyDescent="0.2">
      <c r="CA1531" s="448"/>
    </row>
    <row r="1532" spans="79:79" x14ac:dyDescent="0.2">
      <c r="CA1532" s="448"/>
    </row>
    <row r="1533" spans="79:79" x14ac:dyDescent="0.2">
      <c r="CA1533" s="448"/>
    </row>
    <row r="1534" spans="79:79" x14ac:dyDescent="0.2">
      <c r="CA1534" s="448"/>
    </row>
    <row r="1535" spans="79:79" x14ac:dyDescent="0.2">
      <c r="CA1535" s="448"/>
    </row>
    <row r="1536" spans="79:79" x14ac:dyDescent="0.2">
      <c r="CA1536" s="448"/>
    </row>
    <row r="1537" spans="79:79" x14ac:dyDescent="0.2">
      <c r="CA1537" s="448"/>
    </row>
    <row r="1538" spans="79:79" x14ac:dyDescent="0.2">
      <c r="CA1538" s="448"/>
    </row>
    <row r="1539" spans="79:79" x14ac:dyDescent="0.2">
      <c r="CA1539" s="448"/>
    </row>
    <row r="1540" spans="79:79" x14ac:dyDescent="0.2">
      <c r="CA1540" s="448"/>
    </row>
    <row r="1541" spans="79:79" x14ac:dyDescent="0.2">
      <c r="CA1541" s="448"/>
    </row>
    <row r="1542" spans="79:79" x14ac:dyDescent="0.2">
      <c r="CA1542" s="448"/>
    </row>
    <row r="1543" spans="79:79" x14ac:dyDescent="0.2">
      <c r="CA1543" s="448"/>
    </row>
    <row r="1544" spans="79:79" x14ac:dyDescent="0.2">
      <c r="CA1544" s="448"/>
    </row>
    <row r="1545" spans="79:79" x14ac:dyDescent="0.2">
      <c r="CA1545" s="448"/>
    </row>
    <row r="1546" spans="79:79" x14ac:dyDescent="0.2">
      <c r="CA1546" s="448"/>
    </row>
    <row r="1547" spans="79:79" x14ac:dyDescent="0.2">
      <c r="CA1547" s="448"/>
    </row>
    <row r="1548" spans="79:79" x14ac:dyDescent="0.2">
      <c r="CA1548" s="448"/>
    </row>
    <row r="1549" spans="79:79" x14ac:dyDescent="0.2">
      <c r="CA1549" s="448"/>
    </row>
    <row r="1550" spans="79:79" x14ac:dyDescent="0.2">
      <c r="CA1550" s="448"/>
    </row>
    <row r="1551" spans="79:79" x14ac:dyDescent="0.2">
      <c r="CA1551" s="448"/>
    </row>
    <row r="1552" spans="79:79" x14ac:dyDescent="0.2">
      <c r="CA1552" s="448"/>
    </row>
    <row r="1553" spans="79:79" x14ac:dyDescent="0.2">
      <c r="CA1553" s="448"/>
    </row>
    <row r="1554" spans="79:79" x14ac:dyDescent="0.2">
      <c r="CA1554" s="448"/>
    </row>
    <row r="1555" spans="79:79" x14ac:dyDescent="0.2">
      <c r="CA1555" s="448"/>
    </row>
    <row r="1556" spans="79:79" x14ac:dyDescent="0.2">
      <c r="CA1556" s="448"/>
    </row>
    <row r="1557" spans="79:79" x14ac:dyDescent="0.2">
      <c r="CA1557" s="448"/>
    </row>
    <row r="1558" spans="79:79" x14ac:dyDescent="0.2">
      <c r="CA1558" s="448"/>
    </row>
    <row r="1559" spans="79:79" x14ac:dyDescent="0.2">
      <c r="CA1559" s="448"/>
    </row>
    <row r="1560" spans="79:79" x14ac:dyDescent="0.2">
      <c r="CA1560" s="448"/>
    </row>
    <row r="1561" spans="79:79" x14ac:dyDescent="0.2">
      <c r="CA1561" s="448"/>
    </row>
    <row r="1562" spans="79:79" x14ac:dyDescent="0.2">
      <c r="CA1562" s="448"/>
    </row>
    <row r="1563" spans="79:79" x14ac:dyDescent="0.2">
      <c r="CA1563" s="448"/>
    </row>
    <row r="1564" spans="79:79" x14ac:dyDescent="0.2">
      <c r="CA1564" s="448"/>
    </row>
    <row r="1565" spans="79:79" x14ac:dyDescent="0.2">
      <c r="CA1565" s="448"/>
    </row>
    <row r="1566" spans="79:79" x14ac:dyDescent="0.2">
      <c r="CA1566" s="448"/>
    </row>
    <row r="1567" spans="79:79" x14ac:dyDescent="0.2">
      <c r="CA1567" s="448"/>
    </row>
    <row r="1568" spans="79:79" x14ac:dyDescent="0.2">
      <c r="CA1568" s="448"/>
    </row>
    <row r="1569" spans="79:79" x14ac:dyDescent="0.2">
      <c r="CA1569" s="448"/>
    </row>
    <row r="1570" spans="79:79" x14ac:dyDescent="0.2">
      <c r="CA1570" s="448"/>
    </row>
    <row r="1571" spans="79:79" x14ac:dyDescent="0.2">
      <c r="CA1571" s="448"/>
    </row>
    <row r="1572" spans="79:79" x14ac:dyDescent="0.2">
      <c r="CA1572" s="448"/>
    </row>
    <row r="1573" spans="79:79" x14ac:dyDescent="0.2">
      <c r="CA1573" s="448"/>
    </row>
    <row r="1574" spans="79:79" x14ac:dyDescent="0.2">
      <c r="CA1574" s="448"/>
    </row>
    <row r="1575" spans="79:79" x14ac:dyDescent="0.2">
      <c r="CA1575" s="448"/>
    </row>
    <row r="1576" spans="79:79" x14ac:dyDescent="0.2">
      <c r="CA1576" s="448"/>
    </row>
    <row r="1577" spans="79:79" x14ac:dyDescent="0.2">
      <c r="CA1577" s="448"/>
    </row>
    <row r="1578" spans="79:79" x14ac:dyDescent="0.2">
      <c r="CA1578" s="448"/>
    </row>
    <row r="1579" spans="79:79" x14ac:dyDescent="0.2">
      <c r="CA1579" s="448"/>
    </row>
    <row r="1580" spans="79:79" x14ac:dyDescent="0.2">
      <c r="CA1580" s="448"/>
    </row>
    <row r="1581" spans="79:79" x14ac:dyDescent="0.2">
      <c r="CA1581" s="448"/>
    </row>
    <row r="1582" spans="79:79" x14ac:dyDescent="0.2">
      <c r="CA1582" s="448"/>
    </row>
    <row r="1583" spans="79:79" x14ac:dyDescent="0.2">
      <c r="CA1583" s="448"/>
    </row>
    <row r="1584" spans="79:79" x14ac:dyDescent="0.2">
      <c r="CA1584" s="448"/>
    </row>
    <row r="1585" spans="79:79" x14ac:dyDescent="0.2">
      <c r="CA1585" s="448"/>
    </row>
    <row r="1586" spans="79:79" x14ac:dyDescent="0.2">
      <c r="CA1586" s="448"/>
    </row>
    <row r="1587" spans="79:79" x14ac:dyDescent="0.2">
      <c r="CA1587" s="448"/>
    </row>
    <row r="1588" spans="79:79" x14ac:dyDescent="0.2">
      <c r="CA1588" s="448"/>
    </row>
    <row r="1589" spans="79:79" x14ac:dyDescent="0.2">
      <c r="CA1589" s="448"/>
    </row>
    <row r="1590" spans="79:79" x14ac:dyDescent="0.2">
      <c r="CA1590" s="448"/>
    </row>
    <row r="1591" spans="79:79" x14ac:dyDescent="0.2">
      <c r="CA1591" s="448"/>
    </row>
    <row r="1592" spans="79:79" x14ac:dyDescent="0.2">
      <c r="CA1592" s="448"/>
    </row>
    <row r="1593" spans="79:79" x14ac:dyDescent="0.2">
      <c r="CA1593" s="448"/>
    </row>
    <row r="1594" spans="79:79" x14ac:dyDescent="0.2">
      <c r="CA1594" s="448"/>
    </row>
    <row r="1595" spans="79:79" x14ac:dyDescent="0.2">
      <c r="CA1595" s="448"/>
    </row>
    <row r="1596" spans="79:79" x14ac:dyDescent="0.2">
      <c r="CA1596" s="448"/>
    </row>
    <row r="1597" spans="79:79" x14ac:dyDescent="0.2">
      <c r="CA1597" s="448"/>
    </row>
    <row r="1598" spans="79:79" x14ac:dyDescent="0.2">
      <c r="CA1598" s="448"/>
    </row>
    <row r="1599" spans="79:79" x14ac:dyDescent="0.2">
      <c r="CA1599" s="448"/>
    </row>
    <row r="1600" spans="79:79" x14ac:dyDescent="0.2">
      <c r="CA1600" s="448"/>
    </row>
    <row r="1601" spans="79:79" x14ac:dyDescent="0.2">
      <c r="CA1601" s="448"/>
    </row>
    <row r="1602" spans="79:79" x14ac:dyDescent="0.2">
      <c r="CA1602" s="448"/>
    </row>
    <row r="1603" spans="79:79" x14ac:dyDescent="0.2">
      <c r="CA1603" s="448"/>
    </row>
    <row r="1604" spans="79:79" x14ac:dyDescent="0.2">
      <c r="CA1604" s="448"/>
    </row>
    <row r="1605" spans="79:79" x14ac:dyDescent="0.2">
      <c r="CA1605" s="448"/>
    </row>
    <row r="1606" spans="79:79" x14ac:dyDescent="0.2">
      <c r="CA1606" s="448"/>
    </row>
    <row r="1607" spans="79:79" x14ac:dyDescent="0.2">
      <c r="CA1607" s="448"/>
    </row>
    <row r="1608" spans="79:79" x14ac:dyDescent="0.2">
      <c r="CA1608" s="448"/>
    </row>
    <row r="1609" spans="79:79" x14ac:dyDescent="0.2">
      <c r="CA1609" s="448"/>
    </row>
    <row r="1610" spans="79:79" x14ac:dyDescent="0.2">
      <c r="CA1610" s="448"/>
    </row>
    <row r="1611" spans="79:79" x14ac:dyDescent="0.2">
      <c r="CA1611" s="448"/>
    </row>
    <row r="1612" spans="79:79" x14ac:dyDescent="0.2">
      <c r="CA1612" s="448"/>
    </row>
    <row r="1613" spans="79:79" x14ac:dyDescent="0.2">
      <c r="CA1613" s="448"/>
    </row>
    <row r="1614" spans="79:79" x14ac:dyDescent="0.2">
      <c r="CA1614" s="448"/>
    </row>
    <row r="1615" spans="79:79" x14ac:dyDescent="0.2">
      <c r="CA1615" s="448"/>
    </row>
    <row r="1616" spans="79:79" x14ac:dyDescent="0.2">
      <c r="CA1616" s="448"/>
    </row>
    <row r="1617" spans="79:79" x14ac:dyDescent="0.2">
      <c r="CA1617" s="448"/>
    </row>
    <row r="1618" spans="79:79" x14ac:dyDescent="0.2">
      <c r="CA1618" s="448"/>
    </row>
    <row r="1619" spans="79:79" x14ac:dyDescent="0.2">
      <c r="CA1619" s="448"/>
    </row>
    <row r="1620" spans="79:79" x14ac:dyDescent="0.2">
      <c r="CA1620" s="448"/>
    </row>
    <row r="1621" spans="79:79" x14ac:dyDescent="0.2">
      <c r="CA1621" s="448"/>
    </row>
    <row r="1622" spans="79:79" x14ac:dyDescent="0.2">
      <c r="CA1622" s="448"/>
    </row>
    <row r="1623" spans="79:79" x14ac:dyDescent="0.2">
      <c r="CA1623" s="448"/>
    </row>
    <row r="1624" spans="79:79" x14ac:dyDescent="0.2">
      <c r="CA1624" s="448"/>
    </row>
    <row r="1625" spans="79:79" x14ac:dyDescent="0.2">
      <c r="CA1625" s="448"/>
    </row>
    <row r="1626" spans="79:79" x14ac:dyDescent="0.2">
      <c r="CA1626" s="448"/>
    </row>
    <row r="1627" spans="79:79" x14ac:dyDescent="0.2">
      <c r="CA1627" s="448"/>
    </row>
    <row r="1628" spans="79:79" x14ac:dyDescent="0.2">
      <c r="CA1628" s="448"/>
    </row>
    <row r="1629" spans="79:79" x14ac:dyDescent="0.2">
      <c r="CA1629" s="448"/>
    </row>
    <row r="1630" spans="79:79" x14ac:dyDescent="0.2">
      <c r="CA1630" s="448"/>
    </row>
    <row r="1631" spans="79:79" x14ac:dyDescent="0.2">
      <c r="CA1631" s="448"/>
    </row>
    <row r="1632" spans="79:79" x14ac:dyDescent="0.2">
      <c r="CA1632" s="448"/>
    </row>
    <row r="1633" spans="79:79" x14ac:dyDescent="0.2">
      <c r="CA1633" s="448"/>
    </row>
    <row r="1634" spans="79:79" x14ac:dyDescent="0.2">
      <c r="CA1634" s="448"/>
    </row>
    <row r="1635" spans="79:79" x14ac:dyDescent="0.2">
      <c r="CA1635" s="448"/>
    </row>
    <row r="1636" spans="79:79" x14ac:dyDescent="0.2">
      <c r="CA1636" s="448"/>
    </row>
    <row r="1637" spans="79:79" x14ac:dyDescent="0.2">
      <c r="CA1637" s="448"/>
    </row>
    <row r="1638" spans="79:79" x14ac:dyDescent="0.2">
      <c r="CA1638" s="448"/>
    </row>
    <row r="1639" spans="79:79" x14ac:dyDescent="0.2">
      <c r="CA1639" s="448"/>
    </row>
    <row r="1640" spans="79:79" x14ac:dyDescent="0.2">
      <c r="CA1640" s="448"/>
    </row>
    <row r="1641" spans="79:79" x14ac:dyDescent="0.2">
      <c r="CA1641" s="448"/>
    </row>
    <row r="1642" spans="79:79" x14ac:dyDescent="0.2">
      <c r="CA1642" s="448"/>
    </row>
    <row r="1643" spans="79:79" x14ac:dyDescent="0.2">
      <c r="CA1643" s="448"/>
    </row>
    <row r="1644" spans="79:79" x14ac:dyDescent="0.2">
      <c r="CA1644" s="448"/>
    </row>
    <row r="1645" spans="79:79" x14ac:dyDescent="0.2">
      <c r="CA1645" s="448"/>
    </row>
    <row r="1646" spans="79:79" x14ac:dyDescent="0.2">
      <c r="CA1646" s="448"/>
    </row>
    <row r="1647" spans="79:79" x14ac:dyDescent="0.2">
      <c r="CA1647" s="448"/>
    </row>
    <row r="1648" spans="79:79" x14ac:dyDescent="0.2">
      <c r="CA1648" s="448"/>
    </row>
    <row r="1649" spans="79:79" x14ac:dyDescent="0.2">
      <c r="CA1649" s="448"/>
    </row>
    <row r="1650" spans="79:79" x14ac:dyDescent="0.2">
      <c r="CA1650" s="448"/>
    </row>
    <row r="1651" spans="79:79" x14ac:dyDescent="0.2">
      <c r="CA1651" s="448"/>
    </row>
    <row r="1652" spans="79:79" x14ac:dyDescent="0.2">
      <c r="CA1652" s="448"/>
    </row>
    <row r="1653" spans="79:79" x14ac:dyDescent="0.2">
      <c r="CA1653" s="448"/>
    </row>
    <row r="1654" spans="79:79" x14ac:dyDescent="0.2">
      <c r="CA1654" s="448"/>
    </row>
    <row r="1655" spans="79:79" x14ac:dyDescent="0.2">
      <c r="CA1655" s="448"/>
    </row>
    <row r="1656" spans="79:79" x14ac:dyDescent="0.2">
      <c r="CA1656" s="448"/>
    </row>
    <row r="1657" spans="79:79" x14ac:dyDescent="0.2">
      <c r="CA1657" s="448"/>
    </row>
    <row r="1658" spans="79:79" x14ac:dyDescent="0.2">
      <c r="CA1658" s="448"/>
    </row>
    <row r="1659" spans="79:79" x14ac:dyDescent="0.2">
      <c r="CA1659" s="448"/>
    </row>
    <row r="1660" spans="79:79" x14ac:dyDescent="0.2">
      <c r="CA1660" s="448"/>
    </row>
    <row r="1661" spans="79:79" x14ac:dyDescent="0.2">
      <c r="CA1661" s="448"/>
    </row>
    <row r="1662" spans="79:79" x14ac:dyDescent="0.2">
      <c r="CA1662" s="448"/>
    </row>
    <row r="1663" spans="79:79" x14ac:dyDescent="0.2">
      <c r="CA1663" s="448"/>
    </row>
    <row r="1664" spans="79:79" x14ac:dyDescent="0.2">
      <c r="CA1664" s="448"/>
    </row>
    <row r="1665" spans="79:79" x14ac:dyDescent="0.2">
      <c r="CA1665" s="448"/>
    </row>
    <row r="1666" spans="79:79" x14ac:dyDescent="0.2">
      <c r="CA1666" s="448"/>
    </row>
    <row r="1667" spans="79:79" x14ac:dyDescent="0.2">
      <c r="CA1667" s="448"/>
    </row>
    <row r="1668" spans="79:79" x14ac:dyDescent="0.2">
      <c r="CA1668" s="448"/>
    </row>
    <row r="1669" spans="79:79" x14ac:dyDescent="0.2">
      <c r="CA1669" s="448"/>
    </row>
    <row r="1670" spans="79:79" x14ac:dyDescent="0.2">
      <c r="CA1670" s="448"/>
    </row>
    <row r="1671" spans="79:79" x14ac:dyDescent="0.2">
      <c r="CA1671" s="448"/>
    </row>
    <row r="1672" spans="79:79" x14ac:dyDescent="0.2">
      <c r="CA1672" s="448"/>
    </row>
    <row r="1673" spans="79:79" x14ac:dyDescent="0.2">
      <c r="CA1673" s="448"/>
    </row>
    <row r="1674" spans="79:79" x14ac:dyDescent="0.2">
      <c r="CA1674" s="448"/>
    </row>
    <row r="1675" spans="79:79" x14ac:dyDescent="0.2">
      <c r="CA1675" s="448"/>
    </row>
    <row r="1676" spans="79:79" x14ac:dyDescent="0.2">
      <c r="CA1676" s="448"/>
    </row>
    <row r="1677" spans="79:79" x14ac:dyDescent="0.2">
      <c r="CA1677" s="448"/>
    </row>
    <row r="1678" spans="79:79" x14ac:dyDescent="0.2">
      <c r="CA1678" s="448"/>
    </row>
    <row r="1679" spans="79:79" x14ac:dyDescent="0.2">
      <c r="CA1679" s="448"/>
    </row>
    <row r="1680" spans="79:79" x14ac:dyDescent="0.2">
      <c r="CA1680" s="448"/>
    </row>
    <row r="1681" spans="79:79" x14ac:dyDescent="0.2">
      <c r="CA1681" s="448"/>
    </row>
    <row r="1682" spans="79:79" x14ac:dyDescent="0.2">
      <c r="CA1682" s="448"/>
    </row>
    <row r="1683" spans="79:79" x14ac:dyDescent="0.2">
      <c r="CA1683" s="448"/>
    </row>
    <row r="1684" spans="79:79" x14ac:dyDescent="0.2">
      <c r="CA1684" s="448"/>
    </row>
    <row r="1685" spans="79:79" x14ac:dyDescent="0.2">
      <c r="CA1685" s="448"/>
    </row>
    <row r="1686" spans="79:79" x14ac:dyDescent="0.2">
      <c r="CA1686" s="448"/>
    </row>
    <row r="1687" spans="79:79" x14ac:dyDescent="0.2">
      <c r="CA1687" s="448"/>
    </row>
    <row r="1688" spans="79:79" x14ac:dyDescent="0.2">
      <c r="CA1688" s="448"/>
    </row>
    <row r="1689" spans="79:79" x14ac:dyDescent="0.2">
      <c r="CA1689" s="448"/>
    </row>
    <row r="1690" spans="79:79" x14ac:dyDescent="0.2">
      <c r="CA1690" s="448"/>
    </row>
    <row r="1691" spans="79:79" x14ac:dyDescent="0.2">
      <c r="CA1691" s="448"/>
    </row>
    <row r="1692" spans="79:79" x14ac:dyDescent="0.2">
      <c r="CA1692" s="448"/>
    </row>
    <row r="1693" spans="79:79" x14ac:dyDescent="0.2">
      <c r="CA1693" s="448"/>
    </row>
    <row r="1694" spans="79:79" x14ac:dyDescent="0.2">
      <c r="CA1694" s="448"/>
    </row>
    <row r="1695" spans="79:79" x14ac:dyDescent="0.2">
      <c r="CA1695" s="448"/>
    </row>
    <row r="1696" spans="79:79" x14ac:dyDescent="0.2">
      <c r="CA1696" s="448"/>
    </row>
    <row r="1697" spans="79:79" x14ac:dyDescent="0.2">
      <c r="CA1697" s="448"/>
    </row>
    <row r="1698" spans="79:79" x14ac:dyDescent="0.2">
      <c r="CA1698" s="448"/>
    </row>
    <row r="1699" spans="79:79" x14ac:dyDescent="0.2">
      <c r="CA1699" s="448"/>
    </row>
    <row r="1700" spans="79:79" x14ac:dyDescent="0.2">
      <c r="CA1700" s="448"/>
    </row>
    <row r="1701" spans="79:79" x14ac:dyDescent="0.2">
      <c r="CA1701" s="448"/>
    </row>
    <row r="1702" spans="79:79" x14ac:dyDescent="0.2">
      <c r="CA1702" s="448"/>
    </row>
    <row r="1703" spans="79:79" x14ac:dyDescent="0.2">
      <c r="CA1703" s="448"/>
    </row>
    <row r="1704" spans="79:79" x14ac:dyDescent="0.2">
      <c r="CA1704" s="448"/>
    </row>
    <row r="1705" spans="79:79" x14ac:dyDescent="0.2">
      <c r="CA1705" s="448"/>
    </row>
    <row r="1706" spans="79:79" x14ac:dyDescent="0.2">
      <c r="CA1706" s="448"/>
    </row>
    <row r="1707" spans="79:79" x14ac:dyDescent="0.2">
      <c r="CA1707" s="448"/>
    </row>
    <row r="1708" spans="79:79" x14ac:dyDescent="0.2">
      <c r="CA1708" s="448"/>
    </row>
    <row r="1709" spans="79:79" x14ac:dyDescent="0.2">
      <c r="CA1709" s="448"/>
    </row>
    <row r="1710" spans="79:79" x14ac:dyDescent="0.2">
      <c r="CA1710" s="448"/>
    </row>
    <row r="1711" spans="79:79" x14ac:dyDescent="0.2">
      <c r="CA1711" s="448"/>
    </row>
    <row r="1712" spans="79:79" x14ac:dyDescent="0.2">
      <c r="CA1712" s="448"/>
    </row>
    <row r="1713" spans="79:79" x14ac:dyDescent="0.2">
      <c r="CA1713" s="448"/>
    </row>
    <row r="1714" spans="79:79" x14ac:dyDescent="0.2">
      <c r="CA1714" s="448"/>
    </row>
    <row r="1715" spans="79:79" x14ac:dyDescent="0.2">
      <c r="CA1715" s="448"/>
    </row>
    <row r="1716" spans="79:79" x14ac:dyDescent="0.2">
      <c r="CA1716" s="448"/>
    </row>
    <row r="1717" spans="79:79" x14ac:dyDescent="0.2">
      <c r="CA1717" s="448"/>
    </row>
    <row r="1718" spans="79:79" x14ac:dyDescent="0.2">
      <c r="CA1718" s="448"/>
    </row>
    <row r="1719" spans="79:79" x14ac:dyDescent="0.2">
      <c r="CA1719" s="448"/>
    </row>
    <row r="1720" spans="79:79" x14ac:dyDescent="0.2">
      <c r="CA1720" s="448"/>
    </row>
    <row r="1721" spans="79:79" x14ac:dyDescent="0.2">
      <c r="CA1721" s="448"/>
    </row>
    <row r="1722" spans="79:79" x14ac:dyDescent="0.2">
      <c r="CA1722" s="448"/>
    </row>
    <row r="1723" spans="79:79" x14ac:dyDescent="0.2">
      <c r="CA1723" s="448"/>
    </row>
    <row r="1724" spans="79:79" x14ac:dyDescent="0.2">
      <c r="CA1724" s="448"/>
    </row>
    <row r="1725" spans="79:79" x14ac:dyDescent="0.2">
      <c r="CA1725" s="448"/>
    </row>
    <row r="1726" spans="79:79" x14ac:dyDescent="0.2">
      <c r="CA1726" s="448"/>
    </row>
    <row r="1727" spans="79:79" x14ac:dyDescent="0.2">
      <c r="CA1727" s="448"/>
    </row>
    <row r="1728" spans="79:79" x14ac:dyDescent="0.2">
      <c r="CA1728" s="448"/>
    </row>
    <row r="1729" spans="79:79" x14ac:dyDescent="0.2">
      <c r="CA1729" s="448"/>
    </row>
    <row r="1730" spans="79:79" x14ac:dyDescent="0.2">
      <c r="CA1730" s="448"/>
    </row>
    <row r="1731" spans="79:79" x14ac:dyDescent="0.2">
      <c r="CA1731" s="448"/>
    </row>
    <row r="1732" spans="79:79" x14ac:dyDescent="0.2">
      <c r="CA1732" s="448"/>
    </row>
    <row r="1733" spans="79:79" x14ac:dyDescent="0.2">
      <c r="CA1733" s="448"/>
    </row>
    <row r="1734" spans="79:79" x14ac:dyDescent="0.2">
      <c r="CA1734" s="448"/>
    </row>
    <row r="1735" spans="79:79" x14ac:dyDescent="0.2">
      <c r="CA1735" s="448"/>
    </row>
    <row r="1736" spans="79:79" x14ac:dyDescent="0.2">
      <c r="CA1736" s="448"/>
    </row>
    <row r="1737" spans="79:79" x14ac:dyDescent="0.2">
      <c r="CA1737" s="448"/>
    </row>
    <row r="1738" spans="79:79" x14ac:dyDescent="0.2">
      <c r="CA1738" s="448"/>
    </row>
    <row r="1739" spans="79:79" x14ac:dyDescent="0.2">
      <c r="CA1739" s="448"/>
    </row>
    <row r="1740" spans="79:79" x14ac:dyDescent="0.2">
      <c r="CA1740" s="448"/>
    </row>
    <row r="1741" spans="79:79" x14ac:dyDescent="0.2">
      <c r="CA1741" s="448"/>
    </row>
    <row r="1742" spans="79:79" x14ac:dyDescent="0.2">
      <c r="CA1742" s="448"/>
    </row>
    <row r="1743" spans="79:79" x14ac:dyDescent="0.2">
      <c r="CA1743" s="448"/>
    </row>
    <row r="1744" spans="79:79" x14ac:dyDescent="0.2">
      <c r="CA1744" s="448"/>
    </row>
    <row r="1745" spans="79:79" x14ac:dyDescent="0.2">
      <c r="CA1745" s="448"/>
    </row>
    <row r="1746" spans="79:79" x14ac:dyDescent="0.2">
      <c r="CA1746" s="448"/>
    </row>
    <row r="1747" spans="79:79" x14ac:dyDescent="0.2">
      <c r="CA1747" s="448"/>
    </row>
    <row r="1748" spans="79:79" x14ac:dyDescent="0.2">
      <c r="CA1748" s="448"/>
    </row>
    <row r="1749" spans="79:79" x14ac:dyDescent="0.2">
      <c r="CA1749" s="448"/>
    </row>
    <row r="1750" spans="79:79" x14ac:dyDescent="0.2">
      <c r="CA1750" s="448"/>
    </row>
    <row r="1751" spans="79:79" x14ac:dyDescent="0.2">
      <c r="CA1751" s="448"/>
    </row>
    <row r="1752" spans="79:79" x14ac:dyDescent="0.2">
      <c r="CA1752" s="448"/>
    </row>
    <row r="1753" spans="79:79" x14ac:dyDescent="0.2">
      <c r="CA1753" s="448"/>
    </row>
    <row r="1754" spans="79:79" x14ac:dyDescent="0.2">
      <c r="CA1754" s="448"/>
    </row>
    <row r="1755" spans="79:79" x14ac:dyDescent="0.2">
      <c r="CA1755" s="448"/>
    </row>
    <row r="1756" spans="79:79" x14ac:dyDescent="0.2">
      <c r="CA1756" s="448"/>
    </row>
    <row r="1757" spans="79:79" x14ac:dyDescent="0.2">
      <c r="CA1757" s="448"/>
    </row>
    <row r="1758" spans="79:79" x14ac:dyDescent="0.2">
      <c r="CA1758" s="448"/>
    </row>
    <row r="1759" spans="79:79" x14ac:dyDescent="0.2">
      <c r="CA1759" s="448"/>
    </row>
    <row r="1760" spans="79:79" x14ac:dyDescent="0.2">
      <c r="CA1760" s="448"/>
    </row>
    <row r="1761" spans="79:79" x14ac:dyDescent="0.2">
      <c r="CA1761" s="448"/>
    </row>
    <row r="1762" spans="79:79" x14ac:dyDescent="0.2">
      <c r="CA1762" s="448"/>
    </row>
    <row r="1763" spans="79:79" x14ac:dyDescent="0.2">
      <c r="CA1763" s="448"/>
    </row>
    <row r="1764" spans="79:79" x14ac:dyDescent="0.2">
      <c r="CA1764" s="448"/>
    </row>
    <row r="1765" spans="79:79" x14ac:dyDescent="0.2">
      <c r="CA1765" s="448"/>
    </row>
    <row r="1766" spans="79:79" x14ac:dyDescent="0.2">
      <c r="CA1766" s="448"/>
    </row>
    <row r="1767" spans="79:79" x14ac:dyDescent="0.2">
      <c r="CA1767" s="448"/>
    </row>
    <row r="1768" spans="79:79" x14ac:dyDescent="0.2">
      <c r="CA1768" s="448"/>
    </row>
    <row r="1769" spans="79:79" x14ac:dyDescent="0.2">
      <c r="CA1769" s="448"/>
    </row>
    <row r="1770" spans="79:79" x14ac:dyDescent="0.2">
      <c r="CA1770" s="448"/>
    </row>
    <row r="1771" spans="79:79" x14ac:dyDescent="0.2">
      <c r="CA1771" s="448"/>
    </row>
    <row r="1772" spans="79:79" x14ac:dyDescent="0.2">
      <c r="CA1772" s="448"/>
    </row>
    <row r="1773" spans="79:79" x14ac:dyDescent="0.2">
      <c r="CA1773" s="448"/>
    </row>
    <row r="1774" spans="79:79" x14ac:dyDescent="0.2">
      <c r="CA1774" s="448"/>
    </row>
    <row r="1775" spans="79:79" x14ac:dyDescent="0.2">
      <c r="CA1775" s="448"/>
    </row>
    <row r="1776" spans="79:79" x14ac:dyDescent="0.2">
      <c r="CA1776" s="448"/>
    </row>
    <row r="1777" spans="79:79" x14ac:dyDescent="0.2">
      <c r="CA1777" s="448"/>
    </row>
    <row r="1778" spans="79:79" x14ac:dyDescent="0.2">
      <c r="CA1778" s="448"/>
    </row>
    <row r="1779" spans="79:79" x14ac:dyDescent="0.2">
      <c r="CA1779" s="448"/>
    </row>
    <row r="1780" spans="79:79" x14ac:dyDescent="0.2">
      <c r="CA1780" s="448"/>
    </row>
    <row r="1781" spans="79:79" x14ac:dyDescent="0.2">
      <c r="CA1781" s="448"/>
    </row>
    <row r="1782" spans="79:79" x14ac:dyDescent="0.2">
      <c r="CA1782" s="448"/>
    </row>
    <row r="1783" spans="79:79" x14ac:dyDescent="0.2">
      <c r="CA1783" s="448"/>
    </row>
    <row r="1784" spans="79:79" x14ac:dyDescent="0.2">
      <c r="CA1784" s="448"/>
    </row>
    <row r="1785" spans="79:79" x14ac:dyDescent="0.2">
      <c r="CA1785" s="448"/>
    </row>
    <row r="1786" spans="79:79" x14ac:dyDescent="0.2">
      <c r="CA1786" s="448"/>
    </row>
    <row r="1787" spans="79:79" x14ac:dyDescent="0.2">
      <c r="CA1787" s="448"/>
    </row>
    <row r="1788" spans="79:79" x14ac:dyDescent="0.2">
      <c r="CA1788" s="448"/>
    </row>
    <row r="1789" spans="79:79" x14ac:dyDescent="0.2">
      <c r="CA1789" s="448"/>
    </row>
    <row r="1790" spans="79:79" x14ac:dyDescent="0.2">
      <c r="CA1790" s="448"/>
    </row>
    <row r="1791" spans="79:79" x14ac:dyDescent="0.2">
      <c r="CA1791" s="448"/>
    </row>
    <row r="1792" spans="79:79" x14ac:dyDescent="0.2">
      <c r="CA1792" s="448"/>
    </row>
    <row r="1793" spans="79:79" x14ac:dyDescent="0.2">
      <c r="CA1793" s="448"/>
    </row>
    <row r="1794" spans="79:79" x14ac:dyDescent="0.2">
      <c r="CA1794" s="448"/>
    </row>
    <row r="1795" spans="79:79" x14ac:dyDescent="0.2">
      <c r="CA1795" s="448"/>
    </row>
    <row r="1796" spans="79:79" x14ac:dyDescent="0.2">
      <c r="CA1796" s="448"/>
    </row>
    <row r="1797" spans="79:79" x14ac:dyDescent="0.2">
      <c r="CA1797" s="448"/>
    </row>
    <row r="1798" spans="79:79" x14ac:dyDescent="0.2">
      <c r="CA1798" s="448"/>
    </row>
    <row r="1799" spans="79:79" x14ac:dyDescent="0.2">
      <c r="CA1799" s="448"/>
    </row>
    <row r="1800" spans="79:79" x14ac:dyDescent="0.2">
      <c r="CA1800" s="448"/>
    </row>
    <row r="1801" spans="79:79" x14ac:dyDescent="0.2">
      <c r="CA1801" s="448"/>
    </row>
    <row r="1802" spans="79:79" x14ac:dyDescent="0.2">
      <c r="CA1802" s="448"/>
    </row>
    <row r="1803" spans="79:79" x14ac:dyDescent="0.2">
      <c r="CA1803" s="448"/>
    </row>
    <row r="1804" spans="79:79" x14ac:dyDescent="0.2">
      <c r="CA1804" s="448"/>
    </row>
    <row r="1805" spans="79:79" x14ac:dyDescent="0.2">
      <c r="CA1805" s="448"/>
    </row>
    <row r="1806" spans="79:79" x14ac:dyDescent="0.2">
      <c r="CA1806" s="448"/>
    </row>
    <row r="1807" spans="79:79" x14ac:dyDescent="0.2">
      <c r="CA1807" s="448"/>
    </row>
    <row r="1808" spans="79:79" x14ac:dyDescent="0.2">
      <c r="CA1808" s="448"/>
    </row>
    <row r="1809" spans="79:79" x14ac:dyDescent="0.2">
      <c r="CA1809" s="448"/>
    </row>
    <row r="1810" spans="79:79" x14ac:dyDescent="0.2">
      <c r="CA1810" s="448"/>
    </row>
    <row r="1811" spans="79:79" x14ac:dyDescent="0.2">
      <c r="CA1811" s="448"/>
    </row>
    <row r="1812" spans="79:79" x14ac:dyDescent="0.2">
      <c r="CA1812" s="448"/>
    </row>
    <row r="1813" spans="79:79" x14ac:dyDescent="0.2">
      <c r="CA1813" s="448"/>
    </row>
    <row r="1814" spans="79:79" x14ac:dyDescent="0.2">
      <c r="CA1814" s="448"/>
    </row>
    <row r="1815" spans="79:79" x14ac:dyDescent="0.2">
      <c r="CA1815" s="448"/>
    </row>
    <row r="1816" spans="79:79" x14ac:dyDescent="0.2">
      <c r="CA1816" s="448"/>
    </row>
    <row r="1817" spans="79:79" x14ac:dyDescent="0.2">
      <c r="CA1817" s="448"/>
    </row>
    <row r="1818" spans="79:79" x14ac:dyDescent="0.2">
      <c r="CA1818" s="448"/>
    </row>
    <row r="1819" spans="79:79" x14ac:dyDescent="0.2">
      <c r="CA1819" s="448"/>
    </row>
    <row r="1820" spans="79:79" x14ac:dyDescent="0.2">
      <c r="CA1820" s="448"/>
    </row>
    <row r="1821" spans="79:79" x14ac:dyDescent="0.2">
      <c r="CA1821" s="448"/>
    </row>
    <row r="1822" spans="79:79" x14ac:dyDescent="0.2">
      <c r="CA1822" s="448"/>
    </row>
    <row r="1823" spans="79:79" x14ac:dyDescent="0.2">
      <c r="CA1823" s="448"/>
    </row>
    <row r="1824" spans="79:79" x14ac:dyDescent="0.2">
      <c r="CA1824" s="448"/>
    </row>
    <row r="1825" spans="79:79" x14ac:dyDescent="0.2">
      <c r="CA1825" s="448"/>
    </row>
    <row r="1826" spans="79:79" x14ac:dyDescent="0.2">
      <c r="CA1826" s="448"/>
    </row>
    <row r="1827" spans="79:79" x14ac:dyDescent="0.2">
      <c r="CA1827" s="448"/>
    </row>
    <row r="1828" spans="79:79" x14ac:dyDescent="0.2">
      <c r="CA1828" s="448"/>
    </row>
    <row r="1829" spans="79:79" x14ac:dyDescent="0.2">
      <c r="CA1829" s="448"/>
    </row>
    <row r="1830" spans="79:79" x14ac:dyDescent="0.2">
      <c r="CA1830" s="448"/>
    </row>
    <row r="1831" spans="79:79" x14ac:dyDescent="0.2">
      <c r="CA1831" s="448"/>
    </row>
    <row r="1832" spans="79:79" x14ac:dyDescent="0.2">
      <c r="CA1832" s="448"/>
    </row>
    <row r="1833" spans="79:79" x14ac:dyDescent="0.2">
      <c r="CA1833" s="448"/>
    </row>
    <row r="1834" spans="79:79" x14ac:dyDescent="0.2">
      <c r="CA1834" s="448"/>
    </row>
    <row r="1835" spans="79:79" x14ac:dyDescent="0.2">
      <c r="CA1835" s="448"/>
    </row>
    <row r="1836" spans="79:79" x14ac:dyDescent="0.2">
      <c r="CA1836" s="448"/>
    </row>
    <row r="1837" spans="79:79" x14ac:dyDescent="0.2">
      <c r="CA1837" s="448"/>
    </row>
    <row r="1838" spans="79:79" x14ac:dyDescent="0.2">
      <c r="CA1838" s="448"/>
    </row>
    <row r="1839" spans="79:79" x14ac:dyDescent="0.2">
      <c r="CA1839" s="448"/>
    </row>
    <row r="1840" spans="79:79" x14ac:dyDescent="0.2">
      <c r="CA1840" s="448"/>
    </row>
    <row r="1841" spans="79:79" x14ac:dyDescent="0.2">
      <c r="CA1841" s="448"/>
    </row>
    <row r="1842" spans="79:79" x14ac:dyDescent="0.2">
      <c r="CA1842" s="448"/>
    </row>
    <row r="1843" spans="79:79" x14ac:dyDescent="0.2">
      <c r="CA1843" s="448"/>
    </row>
    <row r="1844" spans="79:79" x14ac:dyDescent="0.2">
      <c r="CA1844" s="448"/>
    </row>
    <row r="1845" spans="79:79" x14ac:dyDescent="0.2">
      <c r="CA1845" s="448"/>
    </row>
    <row r="1846" spans="79:79" x14ac:dyDescent="0.2">
      <c r="CA1846" s="448"/>
    </row>
    <row r="1847" spans="79:79" x14ac:dyDescent="0.2">
      <c r="CA1847" s="448"/>
    </row>
    <row r="1848" spans="79:79" x14ac:dyDescent="0.2">
      <c r="CA1848" s="448"/>
    </row>
    <row r="1849" spans="79:79" x14ac:dyDescent="0.2">
      <c r="CA1849" s="448"/>
    </row>
    <row r="1850" spans="79:79" x14ac:dyDescent="0.2">
      <c r="CA1850" s="448"/>
    </row>
    <row r="1851" spans="79:79" x14ac:dyDescent="0.2">
      <c r="CA1851" s="448"/>
    </row>
    <row r="1852" spans="79:79" x14ac:dyDescent="0.2">
      <c r="CA1852" s="448"/>
    </row>
    <row r="1853" spans="79:79" x14ac:dyDescent="0.2">
      <c r="CA1853" s="448"/>
    </row>
    <row r="1854" spans="79:79" x14ac:dyDescent="0.2">
      <c r="CA1854" s="448"/>
    </row>
    <row r="1855" spans="79:79" x14ac:dyDescent="0.2">
      <c r="CA1855" s="448"/>
    </row>
    <row r="1856" spans="79:79" x14ac:dyDescent="0.2">
      <c r="CA1856" s="448"/>
    </row>
    <row r="1857" spans="79:79" x14ac:dyDescent="0.2">
      <c r="CA1857" s="448"/>
    </row>
    <row r="1858" spans="79:79" x14ac:dyDescent="0.2">
      <c r="CA1858" s="448"/>
    </row>
    <row r="1859" spans="79:79" x14ac:dyDescent="0.2">
      <c r="CA1859" s="448"/>
    </row>
    <row r="1860" spans="79:79" x14ac:dyDescent="0.2">
      <c r="CA1860" s="448"/>
    </row>
    <row r="1861" spans="79:79" x14ac:dyDescent="0.2">
      <c r="CA1861" s="448"/>
    </row>
    <row r="1862" spans="79:79" x14ac:dyDescent="0.2">
      <c r="CA1862" s="448"/>
    </row>
    <row r="1863" spans="79:79" x14ac:dyDescent="0.2">
      <c r="CA1863" s="448"/>
    </row>
    <row r="1864" spans="79:79" x14ac:dyDescent="0.2">
      <c r="CA1864" s="448"/>
    </row>
    <row r="1865" spans="79:79" x14ac:dyDescent="0.2">
      <c r="CA1865" s="448"/>
    </row>
    <row r="1866" spans="79:79" x14ac:dyDescent="0.2">
      <c r="CA1866" s="448"/>
    </row>
    <row r="1867" spans="79:79" x14ac:dyDescent="0.2">
      <c r="CA1867" s="448"/>
    </row>
    <row r="1868" spans="79:79" x14ac:dyDescent="0.2">
      <c r="CA1868" s="448"/>
    </row>
    <row r="1869" spans="79:79" x14ac:dyDescent="0.2">
      <c r="CA1869" s="448"/>
    </row>
    <row r="1870" spans="79:79" x14ac:dyDescent="0.2">
      <c r="CA1870" s="448"/>
    </row>
    <row r="1871" spans="79:79" x14ac:dyDescent="0.2">
      <c r="CA1871" s="448"/>
    </row>
    <row r="1872" spans="79:79" x14ac:dyDescent="0.2">
      <c r="CA1872" s="448"/>
    </row>
    <row r="1873" spans="79:79" x14ac:dyDescent="0.2">
      <c r="CA1873" s="448"/>
    </row>
    <row r="1874" spans="79:79" x14ac:dyDescent="0.2">
      <c r="CA1874" s="448"/>
    </row>
    <row r="1875" spans="79:79" x14ac:dyDescent="0.2">
      <c r="CA1875" s="448"/>
    </row>
    <row r="1876" spans="79:79" x14ac:dyDescent="0.2">
      <c r="CA1876" s="448"/>
    </row>
    <row r="1877" spans="79:79" x14ac:dyDescent="0.2">
      <c r="CA1877" s="448"/>
    </row>
    <row r="1878" spans="79:79" x14ac:dyDescent="0.2">
      <c r="CA1878" s="448"/>
    </row>
    <row r="1879" spans="79:79" x14ac:dyDescent="0.2">
      <c r="CA1879" s="448"/>
    </row>
    <row r="1880" spans="79:79" x14ac:dyDescent="0.2">
      <c r="CA1880" s="448"/>
    </row>
    <row r="1881" spans="79:79" x14ac:dyDescent="0.2">
      <c r="CA1881" s="448"/>
    </row>
    <row r="1882" spans="79:79" x14ac:dyDescent="0.2">
      <c r="CA1882" s="448"/>
    </row>
    <row r="1883" spans="79:79" x14ac:dyDescent="0.2">
      <c r="CA1883" s="448"/>
    </row>
    <row r="1884" spans="79:79" x14ac:dyDescent="0.2">
      <c r="CA1884" s="448"/>
    </row>
    <row r="1885" spans="79:79" x14ac:dyDescent="0.2">
      <c r="CA1885" s="448"/>
    </row>
    <row r="1886" spans="79:79" x14ac:dyDescent="0.2">
      <c r="CA1886" s="448"/>
    </row>
    <row r="1887" spans="79:79" x14ac:dyDescent="0.2">
      <c r="CA1887" s="448"/>
    </row>
    <row r="1888" spans="79:79" x14ac:dyDescent="0.2">
      <c r="CA1888" s="448"/>
    </row>
    <row r="1889" spans="79:79" x14ac:dyDescent="0.2">
      <c r="CA1889" s="448"/>
    </row>
    <row r="1890" spans="79:79" x14ac:dyDescent="0.2">
      <c r="CA1890" s="448"/>
    </row>
    <row r="1891" spans="79:79" x14ac:dyDescent="0.2">
      <c r="CA1891" s="448"/>
    </row>
    <row r="1892" spans="79:79" x14ac:dyDescent="0.2">
      <c r="CA1892" s="448"/>
    </row>
    <row r="1893" spans="79:79" x14ac:dyDescent="0.2">
      <c r="CA1893" s="448"/>
    </row>
    <row r="1894" spans="79:79" x14ac:dyDescent="0.2">
      <c r="CA1894" s="448"/>
    </row>
    <row r="1895" spans="79:79" x14ac:dyDescent="0.2">
      <c r="CA1895" s="448"/>
    </row>
    <row r="1896" spans="79:79" x14ac:dyDescent="0.2">
      <c r="CA1896" s="448"/>
    </row>
    <row r="1897" spans="79:79" x14ac:dyDescent="0.2">
      <c r="CA1897" s="448"/>
    </row>
    <row r="1898" spans="79:79" x14ac:dyDescent="0.2">
      <c r="CA1898" s="448"/>
    </row>
    <row r="1899" spans="79:79" x14ac:dyDescent="0.2">
      <c r="CA1899" s="448"/>
    </row>
    <row r="1900" spans="79:79" x14ac:dyDescent="0.2">
      <c r="CA1900" s="448"/>
    </row>
    <row r="1901" spans="79:79" x14ac:dyDescent="0.2">
      <c r="CA1901" s="448"/>
    </row>
    <row r="1902" spans="79:79" x14ac:dyDescent="0.2">
      <c r="CA1902" s="448"/>
    </row>
    <row r="1903" spans="79:79" x14ac:dyDescent="0.2">
      <c r="CA1903" s="448"/>
    </row>
    <row r="1904" spans="79:79" x14ac:dyDescent="0.2">
      <c r="CA1904" s="448"/>
    </row>
    <row r="1905" spans="79:79" x14ac:dyDescent="0.2">
      <c r="CA1905" s="448"/>
    </row>
    <row r="1906" spans="79:79" x14ac:dyDescent="0.2">
      <c r="CA1906" s="448"/>
    </row>
    <row r="1907" spans="79:79" x14ac:dyDescent="0.2">
      <c r="CA1907" s="448"/>
    </row>
    <row r="1908" spans="79:79" x14ac:dyDescent="0.2">
      <c r="CA1908" s="448"/>
    </row>
    <row r="1909" spans="79:79" x14ac:dyDescent="0.2">
      <c r="CA1909" s="448"/>
    </row>
    <row r="1910" spans="79:79" x14ac:dyDescent="0.2">
      <c r="CA1910" s="448"/>
    </row>
    <row r="1911" spans="79:79" x14ac:dyDescent="0.2">
      <c r="CA1911" s="448"/>
    </row>
    <row r="1912" spans="79:79" x14ac:dyDescent="0.2">
      <c r="CA1912" s="448"/>
    </row>
    <row r="1913" spans="79:79" x14ac:dyDescent="0.2">
      <c r="CA1913" s="448"/>
    </row>
    <row r="1914" spans="79:79" x14ac:dyDescent="0.2">
      <c r="CA1914" s="448"/>
    </row>
    <row r="1915" spans="79:79" x14ac:dyDescent="0.2">
      <c r="CA1915" s="448"/>
    </row>
    <row r="1916" spans="79:79" x14ac:dyDescent="0.2">
      <c r="CA1916" s="448"/>
    </row>
    <row r="1917" spans="79:79" x14ac:dyDescent="0.2">
      <c r="CA1917" s="448"/>
    </row>
    <row r="1918" spans="79:79" x14ac:dyDescent="0.2">
      <c r="CA1918" s="448"/>
    </row>
    <row r="1919" spans="79:79" x14ac:dyDescent="0.2">
      <c r="CA1919" s="448"/>
    </row>
    <row r="1920" spans="79:79" x14ac:dyDescent="0.2">
      <c r="CA1920" s="448"/>
    </row>
    <row r="1921" spans="79:79" x14ac:dyDescent="0.2">
      <c r="CA1921" s="448"/>
    </row>
    <row r="1922" spans="79:79" x14ac:dyDescent="0.2">
      <c r="CA1922" s="448"/>
    </row>
    <row r="1923" spans="79:79" x14ac:dyDescent="0.2">
      <c r="CA1923" s="448"/>
    </row>
    <row r="1924" spans="79:79" x14ac:dyDescent="0.2">
      <c r="CA1924" s="448"/>
    </row>
    <row r="1925" spans="79:79" x14ac:dyDescent="0.2">
      <c r="CA1925" s="448"/>
    </row>
    <row r="1926" spans="79:79" x14ac:dyDescent="0.2">
      <c r="CA1926" s="448"/>
    </row>
    <row r="1927" spans="79:79" x14ac:dyDescent="0.2">
      <c r="CA1927" s="448"/>
    </row>
    <row r="1928" spans="79:79" x14ac:dyDescent="0.2">
      <c r="CA1928" s="448"/>
    </row>
    <row r="1929" spans="79:79" x14ac:dyDescent="0.2">
      <c r="CA1929" s="448"/>
    </row>
    <row r="1930" spans="79:79" x14ac:dyDescent="0.2">
      <c r="CA1930" s="448"/>
    </row>
    <row r="1931" spans="79:79" x14ac:dyDescent="0.2">
      <c r="CA1931" s="448"/>
    </row>
    <row r="1932" spans="79:79" x14ac:dyDescent="0.2">
      <c r="CA1932" s="448"/>
    </row>
    <row r="1933" spans="79:79" x14ac:dyDescent="0.2">
      <c r="CA1933" s="448"/>
    </row>
    <row r="1934" spans="79:79" x14ac:dyDescent="0.2">
      <c r="CA1934" s="448"/>
    </row>
    <row r="1935" spans="79:79" x14ac:dyDescent="0.2">
      <c r="CA1935" s="448"/>
    </row>
    <row r="1936" spans="79:79" x14ac:dyDescent="0.2">
      <c r="CA1936" s="448"/>
    </row>
    <row r="1937" spans="79:79" x14ac:dyDescent="0.2">
      <c r="CA1937" s="448"/>
    </row>
    <row r="1938" spans="79:79" x14ac:dyDescent="0.2">
      <c r="CA1938" s="448"/>
    </row>
    <row r="1939" spans="79:79" x14ac:dyDescent="0.2">
      <c r="CA1939" s="448"/>
    </row>
    <row r="1940" spans="79:79" x14ac:dyDescent="0.2">
      <c r="CA1940" s="448"/>
    </row>
    <row r="1941" spans="79:79" x14ac:dyDescent="0.2">
      <c r="CA1941" s="448"/>
    </row>
    <row r="1942" spans="79:79" x14ac:dyDescent="0.2">
      <c r="CA1942" s="448"/>
    </row>
    <row r="1943" spans="79:79" x14ac:dyDescent="0.2">
      <c r="CA1943" s="448"/>
    </row>
    <row r="1944" spans="79:79" x14ac:dyDescent="0.2">
      <c r="CA1944" s="448"/>
    </row>
    <row r="1945" spans="79:79" x14ac:dyDescent="0.2">
      <c r="CA1945" s="448"/>
    </row>
    <row r="1946" spans="79:79" x14ac:dyDescent="0.2">
      <c r="CA1946" s="448"/>
    </row>
    <row r="1947" spans="79:79" x14ac:dyDescent="0.2">
      <c r="CA1947" s="448"/>
    </row>
    <row r="1948" spans="79:79" x14ac:dyDescent="0.2">
      <c r="CA1948" s="448"/>
    </row>
    <row r="1949" spans="79:79" x14ac:dyDescent="0.2">
      <c r="CA1949" s="448"/>
    </row>
    <row r="1950" spans="79:79" x14ac:dyDescent="0.2">
      <c r="CA1950" s="448"/>
    </row>
    <row r="1951" spans="79:79" x14ac:dyDescent="0.2">
      <c r="CA1951" s="448"/>
    </row>
    <row r="1952" spans="79:79" x14ac:dyDescent="0.2">
      <c r="CA1952" s="448"/>
    </row>
    <row r="1953" spans="79:79" x14ac:dyDescent="0.2">
      <c r="CA1953" s="448"/>
    </row>
    <row r="1954" spans="79:79" x14ac:dyDescent="0.2">
      <c r="CA1954" s="448"/>
    </row>
    <row r="1955" spans="79:79" x14ac:dyDescent="0.2">
      <c r="CA1955" s="448"/>
    </row>
    <row r="1956" spans="79:79" x14ac:dyDescent="0.2">
      <c r="CA1956" s="448"/>
    </row>
    <row r="1957" spans="79:79" x14ac:dyDescent="0.2">
      <c r="CA1957" s="448"/>
    </row>
    <row r="1958" spans="79:79" x14ac:dyDescent="0.2">
      <c r="CA1958" s="448"/>
    </row>
    <row r="1959" spans="79:79" x14ac:dyDescent="0.2">
      <c r="CA1959" s="448"/>
    </row>
    <row r="1960" spans="79:79" x14ac:dyDescent="0.2">
      <c r="CA1960" s="448"/>
    </row>
    <row r="1961" spans="79:79" x14ac:dyDescent="0.2">
      <c r="CA1961" s="448"/>
    </row>
    <row r="1962" spans="79:79" x14ac:dyDescent="0.2">
      <c r="CA1962" s="448"/>
    </row>
    <row r="1963" spans="79:79" x14ac:dyDescent="0.2">
      <c r="CA1963" s="448"/>
    </row>
    <row r="1964" spans="79:79" x14ac:dyDescent="0.2">
      <c r="CA1964" s="448"/>
    </row>
    <row r="1965" spans="79:79" x14ac:dyDescent="0.2">
      <c r="CA1965" s="448"/>
    </row>
    <row r="1966" spans="79:79" x14ac:dyDescent="0.2">
      <c r="CA1966" s="448"/>
    </row>
    <row r="1967" spans="79:79" x14ac:dyDescent="0.2">
      <c r="CA1967" s="448"/>
    </row>
    <row r="1968" spans="79:79" x14ac:dyDescent="0.2">
      <c r="CA1968" s="448"/>
    </row>
    <row r="1969" spans="79:79" x14ac:dyDescent="0.2">
      <c r="CA1969" s="448"/>
    </row>
    <row r="1970" spans="79:79" x14ac:dyDescent="0.2">
      <c r="CA1970" s="448"/>
    </row>
    <row r="1971" spans="79:79" x14ac:dyDescent="0.2">
      <c r="CA1971" s="448"/>
    </row>
    <row r="1972" spans="79:79" x14ac:dyDescent="0.2">
      <c r="CA1972" s="448"/>
    </row>
    <row r="1973" spans="79:79" x14ac:dyDescent="0.2">
      <c r="CA1973" s="448"/>
    </row>
    <row r="1974" spans="79:79" x14ac:dyDescent="0.2">
      <c r="CA1974" s="448"/>
    </row>
    <row r="1975" spans="79:79" x14ac:dyDescent="0.2">
      <c r="CA1975" s="448"/>
    </row>
    <row r="1976" spans="79:79" x14ac:dyDescent="0.2">
      <c r="CA1976" s="448"/>
    </row>
    <row r="1977" spans="79:79" x14ac:dyDescent="0.2">
      <c r="CA1977" s="448"/>
    </row>
    <row r="1978" spans="79:79" x14ac:dyDescent="0.2">
      <c r="CA1978" s="448"/>
    </row>
    <row r="1979" spans="79:79" x14ac:dyDescent="0.2">
      <c r="CA1979" s="448"/>
    </row>
    <row r="1980" spans="79:79" x14ac:dyDescent="0.2">
      <c r="CA1980" s="448"/>
    </row>
    <row r="1981" spans="79:79" x14ac:dyDescent="0.2">
      <c r="CA1981" s="448"/>
    </row>
    <row r="1982" spans="79:79" x14ac:dyDescent="0.2">
      <c r="CA1982" s="448"/>
    </row>
    <row r="1983" spans="79:79" x14ac:dyDescent="0.2">
      <c r="CA1983" s="448"/>
    </row>
    <row r="1984" spans="79:79" x14ac:dyDescent="0.2">
      <c r="CA1984" s="448"/>
    </row>
    <row r="1985" spans="79:79" x14ac:dyDescent="0.2">
      <c r="CA1985" s="448"/>
    </row>
    <row r="1986" spans="79:79" x14ac:dyDescent="0.2">
      <c r="CA1986" s="448"/>
    </row>
    <row r="1987" spans="79:79" x14ac:dyDescent="0.2">
      <c r="CA1987" s="448"/>
    </row>
    <row r="1988" spans="79:79" x14ac:dyDescent="0.2">
      <c r="CA1988" s="448"/>
    </row>
    <row r="1989" spans="79:79" x14ac:dyDescent="0.2">
      <c r="CA1989" s="448"/>
    </row>
    <row r="1990" spans="79:79" x14ac:dyDescent="0.2">
      <c r="CA1990" s="448"/>
    </row>
    <row r="1991" spans="79:79" x14ac:dyDescent="0.2">
      <c r="CA1991" s="448"/>
    </row>
    <row r="1992" spans="79:79" x14ac:dyDescent="0.2">
      <c r="CA1992" s="448"/>
    </row>
    <row r="1993" spans="79:79" x14ac:dyDescent="0.2">
      <c r="CA1993" s="448"/>
    </row>
    <row r="1994" spans="79:79" x14ac:dyDescent="0.2">
      <c r="CA1994" s="448"/>
    </row>
    <row r="1995" spans="79:79" x14ac:dyDescent="0.2">
      <c r="CA1995" s="448"/>
    </row>
    <row r="1996" spans="79:79" x14ac:dyDescent="0.2">
      <c r="CA1996" s="448"/>
    </row>
    <row r="1997" spans="79:79" x14ac:dyDescent="0.2">
      <c r="CA1997" s="448"/>
    </row>
    <row r="1998" spans="79:79" x14ac:dyDescent="0.2">
      <c r="CA1998" s="448"/>
    </row>
    <row r="1999" spans="79:79" x14ac:dyDescent="0.2">
      <c r="CA1999" s="448"/>
    </row>
    <row r="2000" spans="79:79" x14ac:dyDescent="0.2">
      <c r="CA2000" s="448"/>
    </row>
    <row r="2001" spans="79:79" x14ac:dyDescent="0.2">
      <c r="CA2001" s="448"/>
    </row>
    <row r="2002" spans="79:79" x14ac:dyDescent="0.2">
      <c r="CA2002" s="448"/>
    </row>
    <row r="2003" spans="79:79" x14ac:dyDescent="0.2">
      <c r="CA2003" s="448"/>
    </row>
    <row r="2004" spans="79:79" x14ac:dyDescent="0.2">
      <c r="CA2004" s="448"/>
    </row>
    <row r="2005" spans="79:79" x14ac:dyDescent="0.2">
      <c r="CA2005" s="448"/>
    </row>
    <row r="2006" spans="79:79" x14ac:dyDescent="0.2">
      <c r="CA2006" s="448"/>
    </row>
    <row r="2007" spans="79:79" x14ac:dyDescent="0.2">
      <c r="CA2007" s="448"/>
    </row>
    <row r="2008" spans="79:79" x14ac:dyDescent="0.2">
      <c r="CA2008" s="448"/>
    </row>
    <row r="2009" spans="79:79" x14ac:dyDescent="0.2">
      <c r="CA2009" s="448"/>
    </row>
    <row r="2010" spans="79:79" x14ac:dyDescent="0.2">
      <c r="CA2010" s="448"/>
    </row>
    <row r="2011" spans="79:79" x14ac:dyDescent="0.2">
      <c r="CA2011" s="448"/>
    </row>
    <row r="2012" spans="79:79" x14ac:dyDescent="0.2">
      <c r="CA2012" s="448"/>
    </row>
    <row r="2013" spans="79:79" x14ac:dyDescent="0.2">
      <c r="CA2013" s="448"/>
    </row>
    <row r="2014" spans="79:79" x14ac:dyDescent="0.2">
      <c r="CA2014" s="448"/>
    </row>
    <row r="2015" spans="79:79" x14ac:dyDescent="0.2">
      <c r="CA2015" s="448"/>
    </row>
    <row r="2016" spans="79:79" x14ac:dyDescent="0.2">
      <c r="CA2016" s="448"/>
    </row>
    <row r="2017" spans="79:79" x14ac:dyDescent="0.2">
      <c r="CA2017" s="448"/>
    </row>
    <row r="2018" spans="79:79" x14ac:dyDescent="0.2">
      <c r="CA2018" s="448"/>
    </row>
    <row r="2019" spans="79:79" x14ac:dyDescent="0.2">
      <c r="CA2019" s="448"/>
    </row>
    <row r="2020" spans="79:79" x14ac:dyDescent="0.2">
      <c r="CA2020" s="448"/>
    </row>
    <row r="2021" spans="79:79" x14ac:dyDescent="0.2">
      <c r="CA2021" s="448"/>
    </row>
    <row r="2022" spans="79:79" x14ac:dyDescent="0.2">
      <c r="CA2022" s="448"/>
    </row>
    <row r="2023" spans="79:79" x14ac:dyDescent="0.2">
      <c r="CA2023" s="448"/>
    </row>
    <row r="2024" spans="79:79" x14ac:dyDescent="0.2">
      <c r="CA2024" s="448"/>
    </row>
    <row r="2025" spans="79:79" x14ac:dyDescent="0.2">
      <c r="CA2025" s="448"/>
    </row>
    <row r="2026" spans="79:79" x14ac:dyDescent="0.2">
      <c r="CA2026" s="448"/>
    </row>
    <row r="2027" spans="79:79" x14ac:dyDescent="0.2">
      <c r="CA2027" s="448"/>
    </row>
    <row r="2028" spans="79:79" x14ac:dyDescent="0.2">
      <c r="CA2028" s="448"/>
    </row>
    <row r="2029" spans="79:79" x14ac:dyDescent="0.2">
      <c r="CA2029" s="448"/>
    </row>
    <row r="2030" spans="79:79" x14ac:dyDescent="0.2">
      <c r="CA2030" s="448"/>
    </row>
    <row r="2031" spans="79:79" x14ac:dyDescent="0.2">
      <c r="CA2031" s="448"/>
    </row>
    <row r="2032" spans="79:79" x14ac:dyDescent="0.2">
      <c r="CA2032" s="448"/>
    </row>
    <row r="2033" spans="79:79" x14ac:dyDescent="0.2">
      <c r="CA2033" s="448"/>
    </row>
    <row r="2034" spans="79:79" x14ac:dyDescent="0.2">
      <c r="CA2034" s="448"/>
    </row>
    <row r="2035" spans="79:79" x14ac:dyDescent="0.2">
      <c r="CA2035" s="448"/>
    </row>
    <row r="2036" spans="79:79" x14ac:dyDescent="0.2">
      <c r="CA2036" s="448"/>
    </row>
    <row r="2037" spans="79:79" x14ac:dyDescent="0.2">
      <c r="CA2037" s="448"/>
    </row>
    <row r="2038" spans="79:79" x14ac:dyDescent="0.2">
      <c r="CA2038" s="448"/>
    </row>
    <row r="2039" spans="79:79" x14ac:dyDescent="0.2">
      <c r="CA2039" s="448"/>
    </row>
    <row r="2040" spans="79:79" x14ac:dyDescent="0.2">
      <c r="CA2040" s="448"/>
    </row>
    <row r="2041" spans="79:79" x14ac:dyDescent="0.2">
      <c r="CA2041" s="448"/>
    </row>
    <row r="2042" spans="79:79" x14ac:dyDescent="0.2">
      <c r="CA2042" s="448"/>
    </row>
    <row r="2043" spans="79:79" x14ac:dyDescent="0.2">
      <c r="CA2043" s="448"/>
    </row>
    <row r="2044" spans="79:79" x14ac:dyDescent="0.2">
      <c r="CA2044" s="448"/>
    </row>
    <row r="2045" spans="79:79" x14ac:dyDescent="0.2">
      <c r="CA2045" s="448"/>
    </row>
    <row r="2046" spans="79:79" x14ac:dyDescent="0.2">
      <c r="CA2046" s="448"/>
    </row>
    <row r="2047" spans="79:79" x14ac:dyDescent="0.2">
      <c r="CA2047" s="448"/>
    </row>
    <row r="2048" spans="79:79" x14ac:dyDescent="0.2">
      <c r="CA2048" s="448"/>
    </row>
    <row r="2049" spans="79:79" x14ac:dyDescent="0.2">
      <c r="CA2049" s="448"/>
    </row>
    <row r="2050" spans="79:79" x14ac:dyDescent="0.2">
      <c r="CA2050" s="448"/>
    </row>
    <row r="2051" spans="79:79" x14ac:dyDescent="0.2">
      <c r="CA2051" s="448"/>
    </row>
    <row r="2052" spans="79:79" x14ac:dyDescent="0.2">
      <c r="CA2052" s="448"/>
    </row>
    <row r="2053" spans="79:79" x14ac:dyDescent="0.2">
      <c r="CA2053" s="448"/>
    </row>
    <row r="2054" spans="79:79" x14ac:dyDescent="0.2">
      <c r="CA2054" s="448"/>
    </row>
    <row r="2055" spans="79:79" x14ac:dyDescent="0.2">
      <c r="CA2055" s="448"/>
    </row>
    <row r="2056" spans="79:79" x14ac:dyDescent="0.2">
      <c r="CA2056" s="448"/>
    </row>
    <row r="2057" spans="79:79" x14ac:dyDescent="0.2">
      <c r="CA2057" s="448"/>
    </row>
    <row r="2058" spans="79:79" x14ac:dyDescent="0.2">
      <c r="CA2058" s="448"/>
    </row>
    <row r="2059" spans="79:79" x14ac:dyDescent="0.2">
      <c r="CA2059" s="448"/>
    </row>
    <row r="2060" spans="79:79" x14ac:dyDescent="0.2">
      <c r="CA2060" s="448"/>
    </row>
    <row r="2061" spans="79:79" x14ac:dyDescent="0.2">
      <c r="CA2061" s="448"/>
    </row>
    <row r="2062" spans="79:79" x14ac:dyDescent="0.2">
      <c r="CA2062" s="448"/>
    </row>
    <row r="2063" spans="79:79" x14ac:dyDescent="0.2">
      <c r="CA2063" s="448"/>
    </row>
    <row r="2064" spans="79:79" x14ac:dyDescent="0.2">
      <c r="CA2064" s="448"/>
    </row>
    <row r="2065" spans="79:79" x14ac:dyDescent="0.2">
      <c r="CA2065" s="448"/>
    </row>
    <row r="2066" spans="79:79" x14ac:dyDescent="0.2">
      <c r="CA2066" s="448"/>
    </row>
    <row r="2067" spans="79:79" x14ac:dyDescent="0.2">
      <c r="CA2067" s="448"/>
    </row>
    <row r="2068" spans="79:79" x14ac:dyDescent="0.2">
      <c r="CA2068" s="448"/>
    </row>
    <row r="2069" spans="79:79" x14ac:dyDescent="0.2">
      <c r="CA2069" s="448"/>
    </row>
    <row r="2070" spans="79:79" x14ac:dyDescent="0.2">
      <c r="CA2070" s="448"/>
    </row>
    <row r="2071" spans="79:79" x14ac:dyDescent="0.2">
      <c r="CA2071" s="448"/>
    </row>
    <row r="2072" spans="79:79" x14ac:dyDescent="0.2">
      <c r="CA2072" s="448"/>
    </row>
    <row r="2073" spans="79:79" x14ac:dyDescent="0.2">
      <c r="CA2073" s="448"/>
    </row>
    <row r="2074" spans="79:79" x14ac:dyDescent="0.2">
      <c r="CA2074" s="448"/>
    </row>
    <row r="2075" spans="79:79" x14ac:dyDescent="0.2">
      <c r="CA2075" s="448"/>
    </row>
    <row r="2076" spans="79:79" x14ac:dyDescent="0.2">
      <c r="CA2076" s="448"/>
    </row>
    <row r="2077" spans="79:79" x14ac:dyDescent="0.2">
      <c r="CA2077" s="448"/>
    </row>
    <row r="2078" spans="79:79" x14ac:dyDescent="0.2">
      <c r="CA2078" s="448"/>
    </row>
    <row r="2079" spans="79:79" x14ac:dyDescent="0.2">
      <c r="CA2079" s="448"/>
    </row>
    <row r="2080" spans="79:79" x14ac:dyDescent="0.2">
      <c r="CA2080" s="448"/>
    </row>
    <row r="2081" spans="79:79" x14ac:dyDescent="0.2">
      <c r="CA2081" s="448"/>
    </row>
    <row r="2082" spans="79:79" x14ac:dyDescent="0.2">
      <c r="CA2082" s="448"/>
    </row>
    <row r="2083" spans="79:79" x14ac:dyDescent="0.2">
      <c r="CA2083" s="448"/>
    </row>
    <row r="2084" spans="79:79" x14ac:dyDescent="0.2">
      <c r="CA2084" s="448"/>
    </row>
    <row r="2085" spans="79:79" x14ac:dyDescent="0.2">
      <c r="CA2085" s="448"/>
    </row>
    <row r="2086" spans="79:79" x14ac:dyDescent="0.2">
      <c r="CA2086" s="448"/>
    </row>
    <row r="2087" spans="79:79" x14ac:dyDescent="0.2">
      <c r="CA2087" s="448"/>
    </row>
    <row r="2088" spans="79:79" x14ac:dyDescent="0.2">
      <c r="CA2088" s="448"/>
    </row>
    <row r="2089" spans="79:79" x14ac:dyDescent="0.2">
      <c r="CA2089" s="448"/>
    </row>
    <row r="2090" spans="79:79" x14ac:dyDescent="0.2">
      <c r="CA2090" s="448"/>
    </row>
    <row r="2091" spans="79:79" x14ac:dyDescent="0.2">
      <c r="CA2091" s="448"/>
    </row>
    <row r="2092" spans="79:79" x14ac:dyDescent="0.2">
      <c r="CA2092" s="448"/>
    </row>
    <row r="2093" spans="79:79" x14ac:dyDescent="0.2">
      <c r="CA2093" s="448"/>
    </row>
    <row r="2094" spans="79:79" x14ac:dyDescent="0.2">
      <c r="CA2094" s="448"/>
    </row>
    <row r="2095" spans="79:79" x14ac:dyDescent="0.2">
      <c r="CA2095" s="448"/>
    </row>
    <row r="2096" spans="79:79" x14ac:dyDescent="0.2">
      <c r="CA2096" s="448"/>
    </row>
    <row r="2097" spans="79:79" x14ac:dyDescent="0.2">
      <c r="CA2097" s="448"/>
    </row>
    <row r="2098" spans="79:79" x14ac:dyDescent="0.2">
      <c r="CA2098" s="448"/>
    </row>
    <row r="2099" spans="79:79" x14ac:dyDescent="0.2">
      <c r="CA2099" s="448"/>
    </row>
    <row r="2100" spans="79:79" x14ac:dyDescent="0.2">
      <c r="CA2100" s="448"/>
    </row>
    <row r="2101" spans="79:79" x14ac:dyDescent="0.2">
      <c r="CA2101" s="448"/>
    </row>
    <row r="2102" spans="79:79" x14ac:dyDescent="0.2">
      <c r="CA2102" s="448"/>
    </row>
    <row r="2103" spans="79:79" x14ac:dyDescent="0.2">
      <c r="CA2103" s="448"/>
    </row>
    <row r="2104" spans="79:79" x14ac:dyDescent="0.2">
      <c r="CA2104" s="448"/>
    </row>
    <row r="2105" spans="79:79" x14ac:dyDescent="0.2">
      <c r="CA2105" s="448"/>
    </row>
    <row r="2106" spans="79:79" x14ac:dyDescent="0.2">
      <c r="CA2106" s="448"/>
    </row>
    <row r="2107" spans="79:79" x14ac:dyDescent="0.2">
      <c r="CA2107" s="448"/>
    </row>
    <row r="2108" spans="79:79" x14ac:dyDescent="0.2">
      <c r="CA2108" s="448"/>
    </row>
    <row r="2109" spans="79:79" x14ac:dyDescent="0.2">
      <c r="CA2109" s="448"/>
    </row>
    <row r="2110" spans="79:79" x14ac:dyDescent="0.2">
      <c r="CA2110" s="448"/>
    </row>
    <row r="2111" spans="79:79" x14ac:dyDescent="0.2">
      <c r="CA2111" s="448"/>
    </row>
    <row r="2112" spans="79:79" x14ac:dyDescent="0.2">
      <c r="CA2112" s="448"/>
    </row>
    <row r="2113" spans="79:79" x14ac:dyDescent="0.2">
      <c r="CA2113" s="448"/>
    </row>
    <row r="2114" spans="79:79" x14ac:dyDescent="0.2">
      <c r="CA2114" s="448"/>
    </row>
    <row r="2115" spans="79:79" x14ac:dyDescent="0.2">
      <c r="CA2115" s="448"/>
    </row>
    <row r="2116" spans="79:79" x14ac:dyDescent="0.2">
      <c r="CA2116" s="448"/>
    </row>
    <row r="2117" spans="79:79" x14ac:dyDescent="0.2">
      <c r="CA2117" s="448"/>
    </row>
    <row r="2118" spans="79:79" x14ac:dyDescent="0.2">
      <c r="CA2118" s="448"/>
    </row>
    <row r="2119" spans="79:79" x14ac:dyDescent="0.2">
      <c r="CA2119" s="448"/>
    </row>
    <row r="2120" spans="79:79" x14ac:dyDescent="0.2">
      <c r="CA2120" s="448"/>
    </row>
    <row r="2121" spans="79:79" x14ac:dyDescent="0.2">
      <c r="CA2121" s="448"/>
    </row>
    <row r="2122" spans="79:79" x14ac:dyDescent="0.2">
      <c r="CA2122" s="448"/>
    </row>
    <row r="2123" spans="79:79" x14ac:dyDescent="0.2">
      <c r="CA2123" s="448"/>
    </row>
    <row r="2124" spans="79:79" x14ac:dyDescent="0.2">
      <c r="CA2124" s="448"/>
    </row>
    <row r="2125" spans="79:79" x14ac:dyDescent="0.2">
      <c r="CA2125" s="448"/>
    </row>
    <row r="2126" spans="79:79" x14ac:dyDescent="0.2">
      <c r="CA2126" s="448"/>
    </row>
    <row r="2127" spans="79:79" x14ac:dyDescent="0.2">
      <c r="CA2127" s="448"/>
    </row>
    <row r="2128" spans="79:79" x14ac:dyDescent="0.2">
      <c r="CA2128" s="448"/>
    </row>
    <row r="2129" spans="79:79" x14ac:dyDescent="0.2">
      <c r="CA2129" s="448"/>
    </row>
    <row r="2130" spans="79:79" x14ac:dyDescent="0.2">
      <c r="CA2130" s="448"/>
    </row>
    <row r="2131" spans="79:79" x14ac:dyDescent="0.2">
      <c r="CA2131" s="448"/>
    </row>
    <row r="2132" spans="79:79" x14ac:dyDescent="0.2">
      <c r="CA2132" s="448"/>
    </row>
    <row r="2133" spans="79:79" x14ac:dyDescent="0.2">
      <c r="CA2133" s="448"/>
    </row>
    <row r="2134" spans="79:79" x14ac:dyDescent="0.2">
      <c r="CA2134" s="448"/>
    </row>
    <row r="2135" spans="79:79" x14ac:dyDescent="0.2">
      <c r="CA2135" s="448"/>
    </row>
    <row r="2136" spans="79:79" x14ac:dyDescent="0.2">
      <c r="CA2136" s="448"/>
    </row>
    <row r="2137" spans="79:79" x14ac:dyDescent="0.2">
      <c r="CA2137" s="448"/>
    </row>
    <row r="2138" spans="79:79" x14ac:dyDescent="0.2">
      <c r="CA2138" s="448"/>
    </row>
    <row r="2139" spans="79:79" x14ac:dyDescent="0.2">
      <c r="CA2139" s="448"/>
    </row>
    <row r="2140" spans="79:79" x14ac:dyDescent="0.2">
      <c r="CA2140" s="448"/>
    </row>
    <row r="2141" spans="79:79" x14ac:dyDescent="0.2">
      <c r="CA2141" s="448"/>
    </row>
    <row r="2142" spans="79:79" x14ac:dyDescent="0.2">
      <c r="CA2142" s="448"/>
    </row>
    <row r="2143" spans="79:79" x14ac:dyDescent="0.2">
      <c r="CA2143" s="448"/>
    </row>
    <row r="2144" spans="79:79" x14ac:dyDescent="0.2">
      <c r="CA2144" s="448"/>
    </row>
    <row r="2145" spans="79:79" x14ac:dyDescent="0.2">
      <c r="CA2145" s="448"/>
    </row>
    <row r="2146" spans="79:79" x14ac:dyDescent="0.2">
      <c r="CA2146" s="448"/>
    </row>
    <row r="2147" spans="79:79" x14ac:dyDescent="0.2">
      <c r="CA2147" s="448"/>
    </row>
    <row r="2148" spans="79:79" x14ac:dyDescent="0.2">
      <c r="CA2148" s="448"/>
    </row>
    <row r="2149" spans="79:79" x14ac:dyDescent="0.2">
      <c r="CA2149" s="448"/>
    </row>
    <row r="2150" spans="79:79" x14ac:dyDescent="0.2">
      <c r="CA2150" s="448"/>
    </row>
    <row r="2151" spans="79:79" x14ac:dyDescent="0.2">
      <c r="CA2151" s="448"/>
    </row>
    <row r="2152" spans="79:79" x14ac:dyDescent="0.2">
      <c r="CA2152" s="448"/>
    </row>
    <row r="2153" spans="79:79" x14ac:dyDescent="0.2">
      <c r="CA2153" s="448"/>
    </row>
    <row r="2154" spans="79:79" x14ac:dyDescent="0.2">
      <c r="CA2154" s="448"/>
    </row>
    <row r="2155" spans="79:79" x14ac:dyDescent="0.2">
      <c r="CA2155" s="448"/>
    </row>
    <row r="2156" spans="79:79" x14ac:dyDescent="0.2">
      <c r="CA2156" s="448"/>
    </row>
    <row r="2157" spans="79:79" x14ac:dyDescent="0.2">
      <c r="CA2157" s="448"/>
    </row>
    <row r="2158" spans="79:79" x14ac:dyDescent="0.2">
      <c r="CA2158" s="448"/>
    </row>
    <row r="2159" spans="79:79" x14ac:dyDescent="0.2">
      <c r="CA2159" s="448"/>
    </row>
    <row r="2160" spans="79:79" x14ac:dyDescent="0.2">
      <c r="CA2160" s="448"/>
    </row>
    <row r="2161" spans="79:79" x14ac:dyDescent="0.2">
      <c r="CA2161" s="448"/>
    </row>
    <row r="2162" spans="79:79" x14ac:dyDescent="0.2">
      <c r="CA2162" s="448"/>
    </row>
    <row r="2163" spans="79:79" x14ac:dyDescent="0.2">
      <c r="CA2163" s="448"/>
    </row>
    <row r="2164" spans="79:79" x14ac:dyDescent="0.2">
      <c r="CA2164" s="448"/>
    </row>
    <row r="2165" spans="79:79" x14ac:dyDescent="0.2">
      <c r="CA2165" s="448"/>
    </row>
    <row r="2166" spans="79:79" x14ac:dyDescent="0.2">
      <c r="CA2166" s="448"/>
    </row>
    <row r="2167" spans="79:79" x14ac:dyDescent="0.2">
      <c r="CA2167" s="448"/>
    </row>
    <row r="2168" spans="79:79" x14ac:dyDescent="0.2">
      <c r="CA2168" s="448"/>
    </row>
    <row r="2169" spans="79:79" x14ac:dyDescent="0.2">
      <c r="CA2169" s="448"/>
    </row>
    <row r="2170" spans="79:79" x14ac:dyDescent="0.2">
      <c r="CA2170" s="448"/>
    </row>
    <row r="2171" spans="79:79" x14ac:dyDescent="0.2">
      <c r="CA2171" s="448"/>
    </row>
    <row r="2172" spans="79:79" x14ac:dyDescent="0.2">
      <c r="CA2172" s="448"/>
    </row>
    <row r="2173" spans="79:79" x14ac:dyDescent="0.2">
      <c r="CA2173" s="448"/>
    </row>
    <row r="2174" spans="79:79" x14ac:dyDescent="0.2">
      <c r="CA2174" s="448"/>
    </row>
    <row r="2175" spans="79:79" x14ac:dyDescent="0.2">
      <c r="CA2175" s="448"/>
    </row>
    <row r="2176" spans="79:79" x14ac:dyDescent="0.2">
      <c r="CA2176" s="448"/>
    </row>
    <row r="2177" spans="79:79" x14ac:dyDescent="0.2">
      <c r="CA2177" s="448"/>
    </row>
    <row r="2178" spans="79:79" x14ac:dyDescent="0.2">
      <c r="CA2178" s="448"/>
    </row>
    <row r="2179" spans="79:79" x14ac:dyDescent="0.2">
      <c r="CA2179" s="448"/>
    </row>
    <row r="2180" spans="79:79" x14ac:dyDescent="0.2">
      <c r="CA2180" s="448"/>
    </row>
    <row r="2181" spans="79:79" x14ac:dyDescent="0.2">
      <c r="CA2181" s="448"/>
    </row>
    <row r="2182" spans="79:79" x14ac:dyDescent="0.2">
      <c r="CA2182" s="448"/>
    </row>
    <row r="2183" spans="79:79" x14ac:dyDescent="0.2">
      <c r="CA2183" s="448"/>
    </row>
    <row r="2184" spans="79:79" x14ac:dyDescent="0.2">
      <c r="CA2184" s="448"/>
    </row>
    <row r="2185" spans="79:79" x14ac:dyDescent="0.2">
      <c r="CA2185" s="448"/>
    </row>
    <row r="2186" spans="79:79" x14ac:dyDescent="0.2">
      <c r="CA2186" s="448"/>
    </row>
    <row r="2187" spans="79:79" x14ac:dyDescent="0.2">
      <c r="CA2187" s="448"/>
    </row>
    <row r="2188" spans="79:79" x14ac:dyDescent="0.2">
      <c r="CA2188" s="448"/>
    </row>
    <row r="2189" spans="79:79" x14ac:dyDescent="0.2">
      <c r="CA2189" s="448"/>
    </row>
    <row r="2190" spans="79:79" x14ac:dyDescent="0.2">
      <c r="CA2190" s="448"/>
    </row>
    <row r="2191" spans="79:79" x14ac:dyDescent="0.2">
      <c r="CA2191" s="448"/>
    </row>
    <row r="2192" spans="79:79" x14ac:dyDescent="0.2">
      <c r="CA2192" s="448"/>
    </row>
    <row r="2193" spans="79:79" x14ac:dyDescent="0.2">
      <c r="CA2193" s="448"/>
    </row>
    <row r="2194" spans="79:79" x14ac:dyDescent="0.2">
      <c r="CA2194" s="448"/>
    </row>
    <row r="2195" spans="79:79" x14ac:dyDescent="0.2">
      <c r="CA2195" s="448"/>
    </row>
    <row r="2196" spans="79:79" x14ac:dyDescent="0.2">
      <c r="CA2196" s="448"/>
    </row>
    <row r="2197" spans="79:79" x14ac:dyDescent="0.2">
      <c r="CA2197" s="448"/>
    </row>
    <row r="2198" spans="79:79" x14ac:dyDescent="0.2">
      <c r="CA2198" s="448"/>
    </row>
    <row r="2199" spans="79:79" x14ac:dyDescent="0.2">
      <c r="CA2199" s="448"/>
    </row>
    <row r="2200" spans="79:79" x14ac:dyDescent="0.2">
      <c r="CA2200" s="448"/>
    </row>
    <row r="2201" spans="79:79" x14ac:dyDescent="0.2">
      <c r="CA2201" s="448"/>
    </row>
    <row r="2202" spans="79:79" x14ac:dyDescent="0.2">
      <c r="CA2202" s="448"/>
    </row>
    <row r="2203" spans="79:79" x14ac:dyDescent="0.2">
      <c r="CA2203" s="448"/>
    </row>
    <row r="2204" spans="79:79" x14ac:dyDescent="0.2">
      <c r="CA2204" s="448"/>
    </row>
    <row r="2205" spans="79:79" x14ac:dyDescent="0.2">
      <c r="CA2205" s="448"/>
    </row>
    <row r="2206" spans="79:79" x14ac:dyDescent="0.2">
      <c r="CA2206" s="448"/>
    </row>
    <row r="2207" spans="79:79" x14ac:dyDescent="0.2">
      <c r="CA2207" s="448"/>
    </row>
    <row r="2208" spans="79:79" x14ac:dyDescent="0.2">
      <c r="CA2208" s="448"/>
    </row>
    <row r="2209" spans="79:79" x14ac:dyDescent="0.2">
      <c r="CA2209" s="448"/>
    </row>
    <row r="2210" spans="79:79" x14ac:dyDescent="0.2">
      <c r="CA2210" s="448"/>
    </row>
    <row r="2211" spans="79:79" x14ac:dyDescent="0.2">
      <c r="CA2211" s="448"/>
    </row>
    <row r="2212" spans="79:79" x14ac:dyDescent="0.2">
      <c r="CA2212" s="448"/>
    </row>
    <row r="2213" spans="79:79" x14ac:dyDescent="0.2">
      <c r="CA2213" s="448"/>
    </row>
    <row r="2214" spans="79:79" x14ac:dyDescent="0.2">
      <c r="CA2214" s="448"/>
    </row>
    <row r="2215" spans="79:79" x14ac:dyDescent="0.2">
      <c r="CA2215" s="448"/>
    </row>
    <row r="2216" spans="79:79" x14ac:dyDescent="0.2">
      <c r="CA2216" s="448"/>
    </row>
    <row r="2217" spans="79:79" x14ac:dyDescent="0.2">
      <c r="CA2217" s="448"/>
    </row>
    <row r="2218" spans="79:79" x14ac:dyDescent="0.2">
      <c r="CA2218" s="448"/>
    </row>
    <row r="2219" spans="79:79" x14ac:dyDescent="0.2">
      <c r="CA2219" s="448"/>
    </row>
    <row r="2220" spans="79:79" x14ac:dyDescent="0.2">
      <c r="CA2220" s="448"/>
    </row>
    <row r="2221" spans="79:79" x14ac:dyDescent="0.2">
      <c r="CA2221" s="448"/>
    </row>
    <row r="2222" spans="79:79" x14ac:dyDescent="0.2">
      <c r="CA2222" s="448"/>
    </row>
    <row r="2223" spans="79:79" x14ac:dyDescent="0.2">
      <c r="CA2223" s="448"/>
    </row>
    <row r="2224" spans="79:79" x14ac:dyDescent="0.2">
      <c r="CA2224" s="448"/>
    </row>
    <row r="2225" spans="79:79" x14ac:dyDescent="0.2">
      <c r="CA2225" s="448"/>
    </row>
    <row r="2226" spans="79:79" x14ac:dyDescent="0.2">
      <c r="CA2226" s="448"/>
    </row>
    <row r="2227" spans="79:79" x14ac:dyDescent="0.2">
      <c r="CA2227" s="448"/>
    </row>
    <row r="2228" spans="79:79" x14ac:dyDescent="0.2">
      <c r="CA2228" s="448"/>
    </row>
    <row r="2229" spans="79:79" x14ac:dyDescent="0.2">
      <c r="CA2229" s="448"/>
    </row>
    <row r="2230" spans="79:79" x14ac:dyDescent="0.2">
      <c r="CA2230" s="448"/>
    </row>
    <row r="2231" spans="79:79" x14ac:dyDescent="0.2">
      <c r="CA2231" s="448"/>
    </row>
    <row r="2232" spans="79:79" x14ac:dyDescent="0.2">
      <c r="CA2232" s="448"/>
    </row>
    <row r="2233" spans="79:79" x14ac:dyDescent="0.2">
      <c r="CA2233" s="448"/>
    </row>
    <row r="2234" spans="79:79" x14ac:dyDescent="0.2">
      <c r="CA2234" s="448"/>
    </row>
    <row r="2235" spans="79:79" x14ac:dyDescent="0.2">
      <c r="CA2235" s="448"/>
    </row>
    <row r="2236" spans="79:79" x14ac:dyDescent="0.2">
      <c r="CA2236" s="448"/>
    </row>
    <row r="2237" spans="79:79" x14ac:dyDescent="0.2">
      <c r="CA2237" s="448"/>
    </row>
    <row r="2238" spans="79:79" x14ac:dyDescent="0.2">
      <c r="CA2238" s="448"/>
    </row>
    <row r="2239" spans="79:79" x14ac:dyDescent="0.2">
      <c r="CA2239" s="448"/>
    </row>
    <row r="2240" spans="79:79" x14ac:dyDescent="0.2">
      <c r="CA2240" s="448"/>
    </row>
    <row r="2241" spans="79:79" x14ac:dyDescent="0.2">
      <c r="CA2241" s="448"/>
    </row>
    <row r="2242" spans="79:79" x14ac:dyDescent="0.2">
      <c r="CA2242" s="448"/>
    </row>
    <row r="2243" spans="79:79" x14ac:dyDescent="0.2">
      <c r="CA2243" s="448"/>
    </row>
    <row r="2244" spans="79:79" x14ac:dyDescent="0.2">
      <c r="CA2244" s="448"/>
    </row>
    <row r="2245" spans="79:79" x14ac:dyDescent="0.2">
      <c r="CA2245" s="448"/>
    </row>
    <row r="2246" spans="79:79" x14ac:dyDescent="0.2">
      <c r="CA2246" s="448"/>
    </row>
    <row r="2247" spans="79:79" x14ac:dyDescent="0.2">
      <c r="CA2247" s="448"/>
    </row>
    <row r="2248" spans="79:79" x14ac:dyDescent="0.2">
      <c r="CA2248" s="448"/>
    </row>
    <row r="2249" spans="79:79" x14ac:dyDescent="0.2">
      <c r="CA2249" s="448"/>
    </row>
    <row r="2250" spans="79:79" x14ac:dyDescent="0.2">
      <c r="CA2250" s="448"/>
    </row>
    <row r="2251" spans="79:79" x14ac:dyDescent="0.2">
      <c r="CA2251" s="448"/>
    </row>
    <row r="2252" spans="79:79" x14ac:dyDescent="0.2">
      <c r="CA2252" s="448"/>
    </row>
    <row r="2253" spans="79:79" x14ac:dyDescent="0.2">
      <c r="CA2253" s="448"/>
    </row>
    <row r="2254" spans="79:79" x14ac:dyDescent="0.2">
      <c r="CA2254" s="448"/>
    </row>
    <row r="2255" spans="79:79" x14ac:dyDescent="0.2">
      <c r="CA2255" s="448"/>
    </row>
    <row r="2256" spans="79:79" x14ac:dyDescent="0.2">
      <c r="CA2256" s="448"/>
    </row>
    <row r="2257" spans="79:79" x14ac:dyDescent="0.2">
      <c r="CA2257" s="448"/>
    </row>
    <row r="2258" spans="79:79" x14ac:dyDescent="0.2">
      <c r="CA2258" s="448"/>
    </row>
    <row r="2259" spans="79:79" x14ac:dyDescent="0.2">
      <c r="CA2259" s="448"/>
    </row>
    <row r="2260" spans="79:79" x14ac:dyDescent="0.2">
      <c r="CA2260" s="448"/>
    </row>
    <row r="2261" spans="79:79" x14ac:dyDescent="0.2">
      <c r="CA2261" s="448"/>
    </row>
    <row r="2262" spans="79:79" x14ac:dyDescent="0.2">
      <c r="CA2262" s="448"/>
    </row>
    <row r="2263" spans="79:79" x14ac:dyDescent="0.2">
      <c r="CA2263" s="448"/>
    </row>
    <row r="2264" spans="79:79" x14ac:dyDescent="0.2">
      <c r="CA2264" s="448"/>
    </row>
    <row r="2265" spans="79:79" x14ac:dyDescent="0.2">
      <c r="CA2265" s="448"/>
    </row>
    <row r="2266" spans="79:79" x14ac:dyDescent="0.2">
      <c r="CA2266" s="448"/>
    </row>
    <row r="2267" spans="79:79" x14ac:dyDescent="0.2">
      <c r="CA2267" s="448"/>
    </row>
    <row r="2268" spans="79:79" x14ac:dyDescent="0.2">
      <c r="CA2268" s="448"/>
    </row>
    <row r="2269" spans="79:79" x14ac:dyDescent="0.2">
      <c r="CA2269" s="448"/>
    </row>
    <row r="2270" spans="79:79" x14ac:dyDescent="0.2">
      <c r="CA2270" s="448"/>
    </row>
    <row r="2271" spans="79:79" x14ac:dyDescent="0.2">
      <c r="CA2271" s="448"/>
    </row>
    <row r="2272" spans="79:79" x14ac:dyDescent="0.2">
      <c r="CA2272" s="448"/>
    </row>
    <row r="2273" spans="79:79" x14ac:dyDescent="0.2">
      <c r="CA2273" s="448"/>
    </row>
    <row r="2274" spans="79:79" x14ac:dyDescent="0.2">
      <c r="CA2274" s="448"/>
    </row>
    <row r="2275" spans="79:79" x14ac:dyDescent="0.2">
      <c r="CA2275" s="448"/>
    </row>
    <row r="2276" spans="79:79" x14ac:dyDescent="0.2">
      <c r="CA2276" s="448"/>
    </row>
    <row r="2277" spans="79:79" x14ac:dyDescent="0.2">
      <c r="CA2277" s="448"/>
    </row>
    <row r="2278" spans="79:79" x14ac:dyDescent="0.2">
      <c r="CA2278" s="448"/>
    </row>
    <row r="2279" spans="79:79" x14ac:dyDescent="0.2">
      <c r="CA2279" s="448"/>
    </row>
    <row r="2280" spans="79:79" x14ac:dyDescent="0.2">
      <c r="CA2280" s="448"/>
    </row>
    <row r="2281" spans="79:79" x14ac:dyDescent="0.2">
      <c r="CA2281" s="448"/>
    </row>
    <row r="2282" spans="79:79" x14ac:dyDescent="0.2">
      <c r="CA2282" s="448"/>
    </row>
    <row r="2283" spans="79:79" x14ac:dyDescent="0.2">
      <c r="CA2283" s="448"/>
    </row>
    <row r="2284" spans="79:79" x14ac:dyDescent="0.2">
      <c r="CA2284" s="448"/>
    </row>
    <row r="2285" spans="79:79" x14ac:dyDescent="0.2">
      <c r="CA2285" s="448"/>
    </row>
    <row r="2286" spans="79:79" x14ac:dyDescent="0.2">
      <c r="CA2286" s="448"/>
    </row>
    <row r="2287" spans="79:79" x14ac:dyDescent="0.2">
      <c r="CA2287" s="448"/>
    </row>
    <row r="2288" spans="79:79" x14ac:dyDescent="0.2">
      <c r="CA2288" s="448"/>
    </row>
    <row r="2289" spans="79:79" x14ac:dyDescent="0.2">
      <c r="CA2289" s="448"/>
    </row>
    <row r="2290" spans="79:79" x14ac:dyDescent="0.2">
      <c r="CA2290" s="448"/>
    </row>
    <row r="2291" spans="79:79" x14ac:dyDescent="0.2">
      <c r="CA2291" s="448"/>
    </row>
    <row r="2292" spans="79:79" x14ac:dyDescent="0.2">
      <c r="CA2292" s="448"/>
    </row>
    <row r="2293" spans="79:79" x14ac:dyDescent="0.2">
      <c r="CA2293" s="448"/>
    </row>
    <row r="2294" spans="79:79" x14ac:dyDescent="0.2">
      <c r="CA2294" s="448"/>
    </row>
    <row r="2295" spans="79:79" x14ac:dyDescent="0.2">
      <c r="CA2295" s="448"/>
    </row>
    <row r="2296" spans="79:79" x14ac:dyDescent="0.2">
      <c r="CA2296" s="448"/>
    </row>
    <row r="2297" spans="79:79" x14ac:dyDescent="0.2">
      <c r="CA2297" s="448"/>
    </row>
    <row r="2298" spans="79:79" x14ac:dyDescent="0.2">
      <c r="CA2298" s="448"/>
    </row>
    <row r="2299" spans="79:79" x14ac:dyDescent="0.2">
      <c r="CA2299" s="448"/>
    </row>
    <row r="2300" spans="79:79" x14ac:dyDescent="0.2">
      <c r="CA2300" s="448"/>
    </row>
    <row r="2301" spans="79:79" x14ac:dyDescent="0.2">
      <c r="CA2301" s="448"/>
    </row>
    <row r="2302" spans="79:79" x14ac:dyDescent="0.2">
      <c r="CA2302" s="448"/>
    </row>
    <row r="2303" spans="79:79" x14ac:dyDescent="0.2">
      <c r="CA2303" s="448"/>
    </row>
    <row r="2304" spans="79:79" x14ac:dyDescent="0.2">
      <c r="CA2304" s="448"/>
    </row>
    <row r="2305" spans="79:79" x14ac:dyDescent="0.2">
      <c r="CA2305" s="448"/>
    </row>
    <row r="2306" spans="79:79" x14ac:dyDescent="0.2">
      <c r="CA2306" s="448"/>
    </row>
    <row r="2307" spans="79:79" x14ac:dyDescent="0.2">
      <c r="CA2307" s="448"/>
    </row>
    <row r="2308" spans="79:79" x14ac:dyDescent="0.2">
      <c r="CA2308" s="448"/>
    </row>
    <row r="2309" spans="79:79" x14ac:dyDescent="0.2">
      <c r="CA2309" s="448"/>
    </row>
    <row r="2310" spans="79:79" x14ac:dyDescent="0.2">
      <c r="CA2310" s="448"/>
    </row>
    <row r="2311" spans="79:79" x14ac:dyDescent="0.2">
      <c r="CA2311" s="448"/>
    </row>
    <row r="2312" spans="79:79" x14ac:dyDescent="0.2">
      <c r="CA2312" s="448"/>
    </row>
    <row r="2313" spans="79:79" x14ac:dyDescent="0.2">
      <c r="CA2313" s="448"/>
    </row>
    <row r="2314" spans="79:79" x14ac:dyDescent="0.2">
      <c r="CA2314" s="448"/>
    </row>
    <row r="2315" spans="79:79" x14ac:dyDescent="0.2">
      <c r="CA2315" s="448"/>
    </row>
    <row r="2316" spans="79:79" x14ac:dyDescent="0.2">
      <c r="CA2316" s="448"/>
    </row>
    <row r="2317" spans="79:79" x14ac:dyDescent="0.2">
      <c r="CA2317" s="448"/>
    </row>
    <row r="2318" spans="79:79" x14ac:dyDescent="0.2">
      <c r="CA2318" s="448"/>
    </row>
    <row r="2319" spans="79:79" x14ac:dyDescent="0.2">
      <c r="CA2319" s="448"/>
    </row>
    <row r="2320" spans="79:79" x14ac:dyDescent="0.2">
      <c r="CA2320" s="448"/>
    </row>
    <row r="2321" spans="79:79" x14ac:dyDescent="0.2">
      <c r="CA2321" s="448"/>
    </row>
    <row r="2322" spans="79:79" x14ac:dyDescent="0.2">
      <c r="CA2322" s="448"/>
    </row>
    <row r="2323" spans="79:79" x14ac:dyDescent="0.2">
      <c r="CA2323" s="448"/>
    </row>
    <row r="2324" spans="79:79" x14ac:dyDescent="0.2">
      <c r="CA2324" s="448"/>
    </row>
    <row r="2325" spans="79:79" x14ac:dyDescent="0.2">
      <c r="CA2325" s="448"/>
    </row>
    <row r="2326" spans="79:79" x14ac:dyDescent="0.2">
      <c r="CA2326" s="448"/>
    </row>
    <row r="2327" spans="79:79" x14ac:dyDescent="0.2">
      <c r="CA2327" s="448"/>
    </row>
    <row r="2328" spans="79:79" x14ac:dyDescent="0.2">
      <c r="CA2328" s="448"/>
    </row>
    <row r="2329" spans="79:79" x14ac:dyDescent="0.2">
      <c r="CA2329" s="448"/>
    </row>
    <row r="2330" spans="79:79" x14ac:dyDescent="0.2">
      <c r="CA2330" s="448"/>
    </row>
    <row r="2331" spans="79:79" x14ac:dyDescent="0.2">
      <c r="CA2331" s="448"/>
    </row>
    <row r="2332" spans="79:79" x14ac:dyDescent="0.2">
      <c r="CA2332" s="448"/>
    </row>
    <row r="2333" spans="79:79" x14ac:dyDescent="0.2">
      <c r="CA2333" s="448"/>
    </row>
    <row r="2334" spans="79:79" x14ac:dyDescent="0.2">
      <c r="CA2334" s="448"/>
    </row>
    <row r="2335" spans="79:79" x14ac:dyDescent="0.2">
      <c r="CA2335" s="448"/>
    </row>
    <row r="2336" spans="79:79" x14ac:dyDescent="0.2">
      <c r="CA2336" s="448"/>
    </row>
    <row r="2337" spans="79:79" x14ac:dyDescent="0.2">
      <c r="CA2337" s="448"/>
    </row>
    <row r="2338" spans="79:79" x14ac:dyDescent="0.2">
      <c r="CA2338" s="448"/>
    </row>
    <row r="2339" spans="79:79" x14ac:dyDescent="0.2">
      <c r="CA2339" s="448"/>
    </row>
    <row r="2340" spans="79:79" x14ac:dyDescent="0.2">
      <c r="CA2340" s="448"/>
    </row>
    <row r="2341" spans="79:79" x14ac:dyDescent="0.2">
      <c r="CA2341" s="448"/>
    </row>
    <row r="2342" spans="79:79" x14ac:dyDescent="0.2">
      <c r="CA2342" s="448"/>
    </row>
    <row r="2343" spans="79:79" x14ac:dyDescent="0.2">
      <c r="CA2343" s="448"/>
    </row>
    <row r="2344" spans="79:79" x14ac:dyDescent="0.2">
      <c r="CA2344" s="448"/>
    </row>
    <row r="2345" spans="79:79" x14ac:dyDescent="0.2">
      <c r="CA2345" s="448"/>
    </row>
    <row r="2346" spans="79:79" x14ac:dyDescent="0.2">
      <c r="CA2346" s="448"/>
    </row>
    <row r="2347" spans="79:79" x14ac:dyDescent="0.2">
      <c r="CA2347" s="448"/>
    </row>
    <row r="2348" spans="79:79" x14ac:dyDescent="0.2">
      <c r="CA2348" s="448"/>
    </row>
    <row r="2349" spans="79:79" x14ac:dyDescent="0.2">
      <c r="CA2349" s="448"/>
    </row>
    <row r="2350" spans="79:79" x14ac:dyDescent="0.2">
      <c r="CA2350" s="448"/>
    </row>
    <row r="2351" spans="79:79" x14ac:dyDescent="0.2">
      <c r="CA2351" s="448"/>
    </row>
    <row r="2352" spans="79:79" x14ac:dyDescent="0.2">
      <c r="CA2352" s="448"/>
    </row>
    <row r="2353" spans="79:79" x14ac:dyDescent="0.2">
      <c r="CA2353" s="448"/>
    </row>
    <row r="2354" spans="79:79" x14ac:dyDescent="0.2">
      <c r="CA2354" s="448"/>
    </row>
    <row r="2355" spans="79:79" x14ac:dyDescent="0.2">
      <c r="CA2355" s="448"/>
    </row>
    <row r="2356" spans="79:79" x14ac:dyDescent="0.2">
      <c r="CA2356" s="448"/>
    </row>
    <row r="2357" spans="79:79" x14ac:dyDescent="0.2">
      <c r="CA2357" s="448"/>
    </row>
    <row r="2358" spans="79:79" x14ac:dyDescent="0.2">
      <c r="CA2358" s="448"/>
    </row>
    <row r="2359" spans="79:79" x14ac:dyDescent="0.2">
      <c r="CA2359" s="448"/>
    </row>
    <row r="2360" spans="79:79" x14ac:dyDescent="0.2">
      <c r="CA2360" s="448"/>
    </row>
    <row r="2361" spans="79:79" x14ac:dyDescent="0.2">
      <c r="CA2361" s="448"/>
    </row>
    <row r="2362" spans="79:79" x14ac:dyDescent="0.2">
      <c r="CA2362" s="448"/>
    </row>
    <row r="2363" spans="79:79" x14ac:dyDescent="0.2">
      <c r="CA2363" s="448"/>
    </row>
    <row r="2364" spans="79:79" x14ac:dyDescent="0.2">
      <c r="CA2364" s="448"/>
    </row>
    <row r="2365" spans="79:79" x14ac:dyDescent="0.2">
      <c r="CA2365" s="448"/>
    </row>
    <row r="2366" spans="79:79" x14ac:dyDescent="0.2">
      <c r="CA2366" s="448"/>
    </row>
    <row r="2367" spans="79:79" x14ac:dyDescent="0.2">
      <c r="CA2367" s="448"/>
    </row>
    <row r="2368" spans="79:79" x14ac:dyDescent="0.2">
      <c r="CA2368" s="448"/>
    </row>
    <row r="2369" spans="79:79" x14ac:dyDescent="0.2">
      <c r="CA2369" s="448"/>
    </row>
    <row r="2370" spans="79:79" x14ac:dyDescent="0.2">
      <c r="CA2370" s="448"/>
    </row>
    <row r="2371" spans="79:79" x14ac:dyDescent="0.2">
      <c r="CA2371" s="448"/>
    </row>
    <row r="2372" spans="79:79" x14ac:dyDescent="0.2">
      <c r="CA2372" s="448"/>
    </row>
    <row r="2373" spans="79:79" x14ac:dyDescent="0.2">
      <c r="CA2373" s="448"/>
    </row>
    <row r="2374" spans="79:79" x14ac:dyDescent="0.2">
      <c r="CA2374" s="448"/>
    </row>
    <row r="2375" spans="79:79" x14ac:dyDescent="0.2">
      <c r="CA2375" s="448"/>
    </row>
    <row r="2376" spans="79:79" x14ac:dyDescent="0.2">
      <c r="CA2376" s="448"/>
    </row>
    <row r="2377" spans="79:79" x14ac:dyDescent="0.2">
      <c r="CA2377" s="448"/>
    </row>
    <row r="2378" spans="79:79" x14ac:dyDescent="0.2">
      <c r="CA2378" s="448"/>
    </row>
    <row r="2379" spans="79:79" x14ac:dyDescent="0.2">
      <c r="CA2379" s="448"/>
    </row>
    <row r="2380" spans="79:79" x14ac:dyDescent="0.2">
      <c r="CA2380" s="448"/>
    </row>
    <row r="2381" spans="79:79" x14ac:dyDescent="0.2">
      <c r="CA2381" s="448"/>
    </row>
    <row r="2382" spans="79:79" x14ac:dyDescent="0.2">
      <c r="CA2382" s="448"/>
    </row>
    <row r="2383" spans="79:79" x14ac:dyDescent="0.2">
      <c r="CA2383" s="448"/>
    </row>
    <row r="2384" spans="79:79" x14ac:dyDescent="0.2">
      <c r="CA2384" s="448"/>
    </row>
    <row r="2385" spans="79:79" x14ac:dyDescent="0.2">
      <c r="CA2385" s="448"/>
    </row>
    <row r="2386" spans="79:79" x14ac:dyDescent="0.2">
      <c r="CA2386" s="448"/>
    </row>
    <row r="2387" spans="79:79" x14ac:dyDescent="0.2">
      <c r="CA2387" s="448"/>
    </row>
    <row r="2388" spans="79:79" x14ac:dyDescent="0.2">
      <c r="CA2388" s="448"/>
    </row>
    <row r="2389" spans="79:79" x14ac:dyDescent="0.2">
      <c r="CA2389" s="448"/>
    </row>
    <row r="2390" spans="79:79" x14ac:dyDescent="0.2">
      <c r="CA2390" s="448"/>
    </row>
    <row r="2391" spans="79:79" x14ac:dyDescent="0.2">
      <c r="CA2391" s="448"/>
    </row>
    <row r="2392" spans="79:79" x14ac:dyDescent="0.2">
      <c r="CA2392" s="448"/>
    </row>
    <row r="2393" spans="79:79" x14ac:dyDescent="0.2">
      <c r="CA2393" s="448"/>
    </row>
    <row r="2394" spans="79:79" x14ac:dyDescent="0.2">
      <c r="CA2394" s="448"/>
    </row>
    <row r="2395" spans="79:79" x14ac:dyDescent="0.2">
      <c r="CA2395" s="448"/>
    </row>
    <row r="2396" spans="79:79" x14ac:dyDescent="0.2">
      <c r="CA2396" s="448"/>
    </row>
    <row r="2397" spans="79:79" x14ac:dyDescent="0.2">
      <c r="CA2397" s="448"/>
    </row>
    <row r="2398" spans="79:79" x14ac:dyDescent="0.2">
      <c r="CA2398" s="448"/>
    </row>
    <row r="2399" spans="79:79" x14ac:dyDescent="0.2">
      <c r="CA2399" s="448"/>
    </row>
    <row r="2400" spans="79:79" x14ac:dyDescent="0.2">
      <c r="CA2400" s="448"/>
    </row>
    <row r="2401" spans="79:79" x14ac:dyDescent="0.2">
      <c r="CA2401" s="448"/>
    </row>
    <row r="2402" spans="79:79" x14ac:dyDescent="0.2">
      <c r="CA2402" s="448"/>
    </row>
    <row r="2403" spans="79:79" x14ac:dyDescent="0.2">
      <c r="CA2403" s="448"/>
    </row>
    <row r="2404" spans="79:79" x14ac:dyDescent="0.2">
      <c r="CA2404" s="448"/>
    </row>
    <row r="2405" spans="79:79" x14ac:dyDescent="0.2">
      <c r="CA2405" s="448"/>
    </row>
    <row r="2406" spans="79:79" x14ac:dyDescent="0.2">
      <c r="CA2406" s="448"/>
    </row>
    <row r="2407" spans="79:79" x14ac:dyDescent="0.2">
      <c r="CA2407" s="448"/>
    </row>
    <row r="2408" spans="79:79" x14ac:dyDescent="0.2">
      <c r="CA2408" s="448"/>
    </row>
    <row r="2409" spans="79:79" x14ac:dyDescent="0.2">
      <c r="CA2409" s="448"/>
    </row>
    <row r="2410" spans="79:79" x14ac:dyDescent="0.2">
      <c r="CA2410" s="448"/>
    </row>
    <row r="2411" spans="79:79" x14ac:dyDescent="0.2">
      <c r="CA2411" s="448"/>
    </row>
    <row r="2412" spans="79:79" x14ac:dyDescent="0.2">
      <c r="CA2412" s="448"/>
    </row>
    <row r="2413" spans="79:79" x14ac:dyDescent="0.2">
      <c r="CA2413" s="448"/>
    </row>
    <row r="2414" spans="79:79" x14ac:dyDescent="0.2">
      <c r="CA2414" s="448"/>
    </row>
    <row r="2415" spans="79:79" x14ac:dyDescent="0.2">
      <c r="CA2415" s="448"/>
    </row>
    <row r="2416" spans="79:79" x14ac:dyDescent="0.2">
      <c r="CA2416" s="448"/>
    </row>
    <row r="2417" spans="79:79" x14ac:dyDescent="0.2">
      <c r="CA2417" s="448"/>
    </row>
    <row r="2418" spans="79:79" x14ac:dyDescent="0.2">
      <c r="CA2418" s="448"/>
    </row>
    <row r="2419" spans="79:79" x14ac:dyDescent="0.2">
      <c r="CA2419" s="448"/>
    </row>
    <row r="2420" spans="79:79" x14ac:dyDescent="0.2">
      <c r="CA2420" s="448"/>
    </row>
    <row r="2421" spans="79:79" x14ac:dyDescent="0.2">
      <c r="CA2421" s="448"/>
    </row>
    <row r="2422" spans="79:79" x14ac:dyDescent="0.2">
      <c r="CA2422" s="448"/>
    </row>
    <row r="2423" spans="79:79" x14ac:dyDescent="0.2">
      <c r="CA2423" s="448"/>
    </row>
    <row r="2424" spans="79:79" x14ac:dyDescent="0.2">
      <c r="CA2424" s="448"/>
    </row>
    <row r="2425" spans="79:79" x14ac:dyDescent="0.2">
      <c r="CA2425" s="448"/>
    </row>
    <row r="2426" spans="79:79" x14ac:dyDescent="0.2">
      <c r="CA2426" s="448"/>
    </row>
    <row r="2427" spans="79:79" x14ac:dyDescent="0.2">
      <c r="CA2427" s="448"/>
    </row>
    <row r="2428" spans="79:79" x14ac:dyDescent="0.2">
      <c r="CA2428" s="448"/>
    </row>
    <row r="2429" spans="79:79" x14ac:dyDescent="0.2">
      <c r="CA2429" s="448"/>
    </row>
    <row r="2430" spans="79:79" x14ac:dyDescent="0.2">
      <c r="CA2430" s="448"/>
    </row>
    <row r="2431" spans="79:79" x14ac:dyDescent="0.2">
      <c r="CA2431" s="448"/>
    </row>
    <row r="2432" spans="79:79" x14ac:dyDescent="0.2">
      <c r="CA2432" s="448"/>
    </row>
    <row r="2433" spans="79:79" x14ac:dyDescent="0.2">
      <c r="CA2433" s="448"/>
    </row>
    <row r="2434" spans="79:79" x14ac:dyDescent="0.2">
      <c r="CA2434" s="448"/>
    </row>
    <row r="2435" spans="79:79" x14ac:dyDescent="0.2">
      <c r="CA2435" s="448"/>
    </row>
    <row r="2436" spans="79:79" x14ac:dyDescent="0.2">
      <c r="CA2436" s="448"/>
    </row>
    <row r="2437" spans="79:79" x14ac:dyDescent="0.2">
      <c r="CA2437" s="448"/>
    </row>
    <row r="2438" spans="79:79" x14ac:dyDescent="0.2">
      <c r="CA2438" s="448"/>
    </row>
    <row r="2439" spans="79:79" x14ac:dyDescent="0.2">
      <c r="CA2439" s="448"/>
    </row>
    <row r="2440" spans="79:79" x14ac:dyDescent="0.2">
      <c r="CA2440" s="448"/>
    </row>
    <row r="2441" spans="79:79" x14ac:dyDescent="0.2">
      <c r="CA2441" s="448"/>
    </row>
    <row r="2442" spans="79:79" x14ac:dyDescent="0.2">
      <c r="CA2442" s="448"/>
    </row>
    <row r="2443" spans="79:79" x14ac:dyDescent="0.2">
      <c r="CA2443" s="448"/>
    </row>
    <row r="2444" spans="79:79" x14ac:dyDescent="0.2">
      <c r="CA2444" s="448"/>
    </row>
    <row r="2445" spans="79:79" x14ac:dyDescent="0.2">
      <c r="CA2445" s="448"/>
    </row>
    <row r="2446" spans="79:79" x14ac:dyDescent="0.2">
      <c r="CA2446" s="448"/>
    </row>
    <row r="2447" spans="79:79" x14ac:dyDescent="0.2">
      <c r="CA2447" s="448"/>
    </row>
    <row r="2448" spans="79:79" x14ac:dyDescent="0.2">
      <c r="CA2448" s="448"/>
    </row>
    <row r="2449" spans="79:79" x14ac:dyDescent="0.2">
      <c r="CA2449" s="448"/>
    </row>
    <row r="2450" spans="79:79" x14ac:dyDescent="0.2">
      <c r="CA2450" s="448"/>
    </row>
    <row r="2451" spans="79:79" x14ac:dyDescent="0.2">
      <c r="CA2451" s="448"/>
    </row>
    <row r="2452" spans="79:79" x14ac:dyDescent="0.2">
      <c r="CA2452" s="448"/>
    </row>
    <row r="2453" spans="79:79" x14ac:dyDescent="0.2">
      <c r="CA2453" s="448"/>
    </row>
    <row r="2454" spans="79:79" x14ac:dyDescent="0.2">
      <c r="CA2454" s="448"/>
    </row>
    <row r="2455" spans="79:79" x14ac:dyDescent="0.2">
      <c r="CA2455" s="448"/>
    </row>
    <row r="2456" spans="79:79" x14ac:dyDescent="0.2">
      <c r="CA2456" s="448"/>
    </row>
    <row r="2457" spans="79:79" x14ac:dyDescent="0.2">
      <c r="CA2457" s="448"/>
    </row>
    <row r="2458" spans="79:79" x14ac:dyDescent="0.2">
      <c r="CA2458" s="448"/>
    </row>
    <row r="2459" spans="79:79" x14ac:dyDescent="0.2">
      <c r="CA2459" s="448"/>
    </row>
    <row r="2460" spans="79:79" x14ac:dyDescent="0.2">
      <c r="CA2460" s="448"/>
    </row>
    <row r="2461" spans="79:79" x14ac:dyDescent="0.2">
      <c r="CA2461" s="448"/>
    </row>
    <row r="2462" spans="79:79" x14ac:dyDescent="0.2">
      <c r="CA2462" s="448"/>
    </row>
    <row r="2463" spans="79:79" x14ac:dyDescent="0.2">
      <c r="CA2463" s="448"/>
    </row>
    <row r="2464" spans="79:79" x14ac:dyDescent="0.2">
      <c r="CA2464" s="448"/>
    </row>
    <row r="2465" spans="79:79" x14ac:dyDescent="0.2">
      <c r="CA2465" s="448"/>
    </row>
    <row r="2466" spans="79:79" x14ac:dyDescent="0.2">
      <c r="CA2466" s="448"/>
    </row>
    <row r="2467" spans="79:79" x14ac:dyDescent="0.2">
      <c r="CA2467" s="448"/>
    </row>
    <row r="2468" spans="79:79" x14ac:dyDescent="0.2">
      <c r="CA2468" s="448"/>
    </row>
    <row r="2469" spans="79:79" x14ac:dyDescent="0.2">
      <c r="CA2469" s="448"/>
    </row>
    <row r="2470" spans="79:79" x14ac:dyDescent="0.2">
      <c r="CA2470" s="448"/>
    </row>
    <row r="2471" spans="79:79" x14ac:dyDescent="0.2">
      <c r="CA2471" s="448"/>
    </row>
    <row r="2472" spans="79:79" x14ac:dyDescent="0.2">
      <c r="CA2472" s="448"/>
    </row>
    <row r="2473" spans="79:79" x14ac:dyDescent="0.2">
      <c r="CA2473" s="448"/>
    </row>
    <row r="2474" spans="79:79" x14ac:dyDescent="0.2">
      <c r="CA2474" s="448"/>
    </row>
    <row r="2475" spans="79:79" x14ac:dyDescent="0.2">
      <c r="CA2475" s="448"/>
    </row>
    <row r="2476" spans="79:79" x14ac:dyDescent="0.2">
      <c r="CA2476" s="448"/>
    </row>
    <row r="2477" spans="79:79" x14ac:dyDescent="0.2">
      <c r="CA2477" s="448"/>
    </row>
    <row r="2478" spans="79:79" x14ac:dyDescent="0.2">
      <c r="CA2478" s="448"/>
    </row>
    <row r="2479" spans="79:79" x14ac:dyDescent="0.2">
      <c r="CA2479" s="448"/>
    </row>
    <row r="2480" spans="79:79" x14ac:dyDescent="0.2">
      <c r="CA2480" s="448"/>
    </row>
    <row r="2481" spans="79:79" x14ac:dyDescent="0.2">
      <c r="CA2481" s="448"/>
    </row>
    <row r="2482" spans="79:79" x14ac:dyDescent="0.2">
      <c r="CA2482" s="448"/>
    </row>
    <row r="2483" spans="79:79" x14ac:dyDescent="0.2">
      <c r="CA2483" s="448"/>
    </row>
    <row r="2484" spans="79:79" x14ac:dyDescent="0.2">
      <c r="CA2484" s="448"/>
    </row>
    <row r="2485" spans="79:79" x14ac:dyDescent="0.2">
      <c r="CA2485" s="448"/>
    </row>
    <row r="2486" spans="79:79" x14ac:dyDescent="0.2">
      <c r="CA2486" s="448"/>
    </row>
    <row r="2487" spans="79:79" x14ac:dyDescent="0.2">
      <c r="CA2487" s="448"/>
    </row>
    <row r="2488" spans="79:79" x14ac:dyDescent="0.2">
      <c r="CA2488" s="448"/>
    </row>
    <row r="2489" spans="79:79" x14ac:dyDescent="0.2">
      <c r="CA2489" s="448"/>
    </row>
    <row r="2490" spans="79:79" x14ac:dyDescent="0.2">
      <c r="CA2490" s="448"/>
    </row>
    <row r="2491" spans="79:79" x14ac:dyDescent="0.2">
      <c r="CA2491" s="448"/>
    </row>
    <row r="2492" spans="79:79" x14ac:dyDescent="0.2">
      <c r="CA2492" s="448"/>
    </row>
    <row r="2493" spans="79:79" x14ac:dyDescent="0.2">
      <c r="CA2493" s="448"/>
    </row>
    <row r="2494" spans="79:79" x14ac:dyDescent="0.2">
      <c r="CA2494" s="448"/>
    </row>
    <row r="2495" spans="79:79" x14ac:dyDescent="0.2">
      <c r="CA2495" s="448"/>
    </row>
    <row r="2496" spans="79:79" x14ac:dyDescent="0.2">
      <c r="CA2496" s="448"/>
    </row>
    <row r="2497" spans="79:79" x14ac:dyDescent="0.2">
      <c r="CA2497" s="448"/>
    </row>
    <row r="2498" spans="79:79" x14ac:dyDescent="0.2">
      <c r="CA2498" s="448"/>
    </row>
    <row r="2499" spans="79:79" x14ac:dyDescent="0.2">
      <c r="CA2499" s="448"/>
    </row>
    <row r="2500" spans="79:79" x14ac:dyDescent="0.2">
      <c r="CA2500" s="448"/>
    </row>
    <row r="2501" spans="79:79" x14ac:dyDescent="0.2">
      <c r="CA2501" s="448"/>
    </row>
    <row r="2502" spans="79:79" x14ac:dyDescent="0.2">
      <c r="CA2502" s="448"/>
    </row>
    <row r="2503" spans="79:79" x14ac:dyDescent="0.2">
      <c r="CA2503" s="448"/>
    </row>
    <row r="2504" spans="79:79" x14ac:dyDescent="0.2">
      <c r="CA2504" s="448"/>
    </row>
    <row r="2505" spans="79:79" x14ac:dyDescent="0.2">
      <c r="CA2505" s="448"/>
    </row>
    <row r="2506" spans="79:79" x14ac:dyDescent="0.2">
      <c r="CA2506" s="448"/>
    </row>
    <row r="2507" spans="79:79" x14ac:dyDescent="0.2">
      <c r="CA2507" s="448"/>
    </row>
    <row r="2508" spans="79:79" x14ac:dyDescent="0.2">
      <c r="CA2508" s="448"/>
    </row>
    <row r="2509" spans="79:79" x14ac:dyDescent="0.2">
      <c r="CA2509" s="448"/>
    </row>
    <row r="2510" spans="79:79" x14ac:dyDescent="0.2">
      <c r="CA2510" s="448"/>
    </row>
    <row r="2511" spans="79:79" x14ac:dyDescent="0.2">
      <c r="CA2511" s="448"/>
    </row>
    <row r="2512" spans="79:79" x14ac:dyDescent="0.2">
      <c r="CA2512" s="448"/>
    </row>
    <row r="2513" spans="79:79" x14ac:dyDescent="0.2">
      <c r="CA2513" s="448"/>
    </row>
    <row r="2514" spans="79:79" x14ac:dyDescent="0.2">
      <c r="CA2514" s="448"/>
    </row>
    <row r="2515" spans="79:79" x14ac:dyDescent="0.2">
      <c r="CA2515" s="448"/>
    </row>
    <row r="2516" spans="79:79" x14ac:dyDescent="0.2">
      <c r="CA2516" s="448"/>
    </row>
    <row r="2517" spans="79:79" x14ac:dyDescent="0.2">
      <c r="CA2517" s="448"/>
    </row>
    <row r="2518" spans="79:79" x14ac:dyDescent="0.2">
      <c r="CA2518" s="448"/>
    </row>
    <row r="2519" spans="79:79" x14ac:dyDescent="0.2">
      <c r="CA2519" s="448"/>
    </row>
    <row r="2520" spans="79:79" x14ac:dyDescent="0.2">
      <c r="CA2520" s="448"/>
    </row>
    <row r="2521" spans="79:79" x14ac:dyDescent="0.2">
      <c r="CA2521" s="448"/>
    </row>
    <row r="2522" spans="79:79" x14ac:dyDescent="0.2">
      <c r="CA2522" s="448"/>
    </row>
    <row r="2523" spans="79:79" x14ac:dyDescent="0.2">
      <c r="CA2523" s="448"/>
    </row>
    <row r="2524" spans="79:79" x14ac:dyDescent="0.2">
      <c r="CA2524" s="448"/>
    </row>
    <row r="2525" spans="79:79" x14ac:dyDescent="0.2">
      <c r="CA2525" s="448"/>
    </row>
    <row r="2526" spans="79:79" x14ac:dyDescent="0.2">
      <c r="CA2526" s="448"/>
    </row>
    <row r="2527" spans="79:79" x14ac:dyDescent="0.2">
      <c r="CA2527" s="448"/>
    </row>
    <row r="2528" spans="79:79" x14ac:dyDescent="0.2">
      <c r="CA2528" s="448"/>
    </row>
    <row r="2529" spans="79:79" x14ac:dyDescent="0.2">
      <c r="CA2529" s="448"/>
    </row>
    <row r="2530" spans="79:79" x14ac:dyDescent="0.2">
      <c r="CA2530" s="448"/>
    </row>
    <row r="2531" spans="79:79" x14ac:dyDescent="0.2">
      <c r="CA2531" s="448"/>
    </row>
    <row r="2532" spans="79:79" x14ac:dyDescent="0.2">
      <c r="CA2532" s="448"/>
    </row>
    <row r="2533" spans="79:79" x14ac:dyDescent="0.2">
      <c r="CA2533" s="448"/>
    </row>
    <row r="2534" spans="79:79" x14ac:dyDescent="0.2">
      <c r="CA2534" s="448"/>
    </row>
    <row r="2535" spans="79:79" x14ac:dyDescent="0.2">
      <c r="CA2535" s="448"/>
    </row>
    <row r="2536" spans="79:79" x14ac:dyDescent="0.2">
      <c r="CA2536" s="448"/>
    </row>
    <row r="2537" spans="79:79" x14ac:dyDescent="0.2">
      <c r="CA2537" s="448"/>
    </row>
    <row r="2538" spans="79:79" x14ac:dyDescent="0.2">
      <c r="CA2538" s="448"/>
    </row>
    <row r="2539" spans="79:79" x14ac:dyDescent="0.2">
      <c r="CA2539" s="448"/>
    </row>
    <row r="2540" spans="79:79" x14ac:dyDescent="0.2">
      <c r="CA2540" s="448"/>
    </row>
    <row r="2541" spans="79:79" x14ac:dyDescent="0.2">
      <c r="CA2541" s="448"/>
    </row>
    <row r="2542" spans="79:79" x14ac:dyDescent="0.2">
      <c r="CA2542" s="448"/>
    </row>
    <row r="2543" spans="79:79" x14ac:dyDescent="0.2">
      <c r="CA2543" s="448"/>
    </row>
    <row r="2544" spans="79:79" x14ac:dyDescent="0.2">
      <c r="CA2544" s="448"/>
    </row>
    <row r="2545" spans="79:79" x14ac:dyDescent="0.2">
      <c r="CA2545" s="448"/>
    </row>
    <row r="2546" spans="79:79" x14ac:dyDescent="0.2">
      <c r="CA2546" s="448"/>
    </row>
    <row r="2547" spans="79:79" x14ac:dyDescent="0.2">
      <c r="CA2547" s="448"/>
    </row>
    <row r="2548" spans="79:79" x14ac:dyDescent="0.2">
      <c r="CA2548" s="448"/>
    </row>
    <row r="2549" spans="79:79" x14ac:dyDescent="0.2">
      <c r="CA2549" s="448"/>
    </row>
    <row r="2550" spans="79:79" x14ac:dyDescent="0.2">
      <c r="CA2550" s="448"/>
    </row>
    <row r="2551" spans="79:79" x14ac:dyDescent="0.2">
      <c r="CA2551" s="448"/>
    </row>
    <row r="2552" spans="79:79" x14ac:dyDescent="0.2">
      <c r="CA2552" s="448"/>
    </row>
    <row r="2553" spans="79:79" x14ac:dyDescent="0.2">
      <c r="CA2553" s="448"/>
    </row>
    <row r="2554" spans="79:79" x14ac:dyDescent="0.2">
      <c r="CA2554" s="448"/>
    </row>
    <row r="2555" spans="79:79" x14ac:dyDescent="0.2">
      <c r="CA2555" s="448"/>
    </row>
    <row r="2556" spans="79:79" x14ac:dyDescent="0.2">
      <c r="CA2556" s="448"/>
    </row>
    <row r="2557" spans="79:79" x14ac:dyDescent="0.2">
      <c r="CA2557" s="448"/>
    </row>
    <row r="2558" spans="79:79" x14ac:dyDescent="0.2">
      <c r="CA2558" s="448"/>
    </row>
    <row r="2559" spans="79:79" x14ac:dyDescent="0.2">
      <c r="CA2559" s="448"/>
    </row>
    <row r="2560" spans="79:79" x14ac:dyDescent="0.2">
      <c r="CA2560" s="448"/>
    </row>
    <row r="2561" spans="79:79" x14ac:dyDescent="0.2">
      <c r="CA2561" s="448"/>
    </row>
    <row r="2562" spans="79:79" x14ac:dyDescent="0.2">
      <c r="CA2562" s="448"/>
    </row>
    <row r="2563" spans="79:79" x14ac:dyDescent="0.2">
      <c r="CA2563" s="448"/>
    </row>
    <row r="2564" spans="79:79" x14ac:dyDescent="0.2">
      <c r="CA2564" s="448"/>
    </row>
    <row r="2565" spans="79:79" x14ac:dyDescent="0.2">
      <c r="CA2565" s="448"/>
    </row>
    <row r="2566" spans="79:79" x14ac:dyDescent="0.2">
      <c r="CA2566" s="448"/>
    </row>
    <row r="2567" spans="79:79" x14ac:dyDescent="0.2">
      <c r="CA2567" s="448"/>
    </row>
    <row r="2568" spans="79:79" x14ac:dyDescent="0.2">
      <c r="CA2568" s="448"/>
    </row>
    <row r="2569" spans="79:79" x14ac:dyDescent="0.2">
      <c r="CA2569" s="448"/>
    </row>
    <row r="2570" spans="79:79" x14ac:dyDescent="0.2">
      <c r="CA2570" s="448"/>
    </row>
    <row r="2571" spans="79:79" x14ac:dyDescent="0.2">
      <c r="CA2571" s="448"/>
    </row>
    <row r="2572" spans="79:79" x14ac:dyDescent="0.2">
      <c r="CA2572" s="448"/>
    </row>
    <row r="2573" spans="79:79" x14ac:dyDescent="0.2">
      <c r="CA2573" s="448"/>
    </row>
    <row r="2574" spans="79:79" x14ac:dyDescent="0.2">
      <c r="CA2574" s="448"/>
    </row>
    <row r="2575" spans="79:79" x14ac:dyDescent="0.2">
      <c r="CA2575" s="448"/>
    </row>
    <row r="2576" spans="79:79" x14ac:dyDescent="0.2">
      <c r="CA2576" s="448"/>
    </row>
    <row r="2577" spans="79:79" x14ac:dyDescent="0.2">
      <c r="CA2577" s="448"/>
    </row>
    <row r="2578" spans="79:79" x14ac:dyDescent="0.2">
      <c r="CA2578" s="448"/>
    </row>
    <row r="2579" spans="79:79" x14ac:dyDescent="0.2">
      <c r="CA2579" s="448"/>
    </row>
    <row r="2580" spans="79:79" x14ac:dyDescent="0.2">
      <c r="CA2580" s="448"/>
    </row>
    <row r="2581" spans="79:79" x14ac:dyDescent="0.2">
      <c r="CA2581" s="448"/>
    </row>
    <row r="2582" spans="79:79" x14ac:dyDescent="0.2">
      <c r="CA2582" s="448"/>
    </row>
    <row r="2583" spans="79:79" x14ac:dyDescent="0.2">
      <c r="CA2583" s="448"/>
    </row>
    <row r="2584" spans="79:79" x14ac:dyDescent="0.2">
      <c r="CA2584" s="448"/>
    </row>
    <row r="2585" spans="79:79" x14ac:dyDescent="0.2">
      <c r="CA2585" s="448"/>
    </row>
    <row r="2586" spans="79:79" x14ac:dyDescent="0.2">
      <c r="CA2586" s="448"/>
    </row>
    <row r="2587" spans="79:79" x14ac:dyDescent="0.2">
      <c r="CA2587" s="448"/>
    </row>
    <row r="2588" spans="79:79" x14ac:dyDescent="0.2">
      <c r="CA2588" s="448"/>
    </row>
    <row r="2589" spans="79:79" x14ac:dyDescent="0.2">
      <c r="CA2589" s="448"/>
    </row>
    <row r="2590" spans="79:79" x14ac:dyDescent="0.2">
      <c r="CA2590" s="448"/>
    </row>
    <row r="2591" spans="79:79" x14ac:dyDescent="0.2">
      <c r="CA2591" s="448"/>
    </row>
    <row r="2592" spans="79:79" x14ac:dyDescent="0.2">
      <c r="CA2592" s="448"/>
    </row>
    <row r="2593" spans="79:79" x14ac:dyDescent="0.2">
      <c r="CA2593" s="448"/>
    </row>
    <row r="2594" spans="79:79" x14ac:dyDescent="0.2">
      <c r="CA2594" s="448"/>
    </row>
    <row r="2595" spans="79:79" x14ac:dyDescent="0.2">
      <c r="CA2595" s="448"/>
    </row>
    <row r="2596" spans="79:79" x14ac:dyDescent="0.2">
      <c r="CA2596" s="448"/>
    </row>
    <row r="2597" spans="79:79" x14ac:dyDescent="0.2">
      <c r="CA2597" s="448"/>
    </row>
    <row r="2598" spans="79:79" x14ac:dyDescent="0.2">
      <c r="CA2598" s="448"/>
    </row>
    <row r="2599" spans="79:79" x14ac:dyDescent="0.2">
      <c r="CA2599" s="448"/>
    </row>
    <row r="2600" spans="79:79" x14ac:dyDescent="0.2">
      <c r="CA2600" s="448"/>
    </row>
    <row r="2601" spans="79:79" x14ac:dyDescent="0.2">
      <c r="CA2601" s="448"/>
    </row>
    <row r="2602" spans="79:79" x14ac:dyDescent="0.2">
      <c r="CA2602" s="448"/>
    </row>
    <row r="2603" spans="79:79" x14ac:dyDescent="0.2">
      <c r="CA2603" s="448"/>
    </row>
    <row r="2604" spans="79:79" x14ac:dyDescent="0.2">
      <c r="CA2604" s="448"/>
    </row>
    <row r="2605" spans="79:79" x14ac:dyDescent="0.2">
      <c r="CA2605" s="448"/>
    </row>
    <row r="2606" spans="79:79" x14ac:dyDescent="0.2">
      <c r="CA2606" s="448"/>
    </row>
    <row r="2607" spans="79:79" x14ac:dyDescent="0.2">
      <c r="CA2607" s="448"/>
    </row>
    <row r="2608" spans="79:79" x14ac:dyDescent="0.2">
      <c r="CA2608" s="448"/>
    </row>
    <row r="2609" spans="79:79" x14ac:dyDescent="0.2">
      <c r="CA2609" s="448"/>
    </row>
    <row r="2610" spans="79:79" x14ac:dyDescent="0.2">
      <c r="CA2610" s="448"/>
    </row>
    <row r="2611" spans="79:79" x14ac:dyDescent="0.2">
      <c r="CA2611" s="448"/>
    </row>
    <row r="2612" spans="79:79" x14ac:dyDescent="0.2">
      <c r="CA2612" s="448"/>
    </row>
    <row r="2613" spans="79:79" x14ac:dyDescent="0.2">
      <c r="CA2613" s="448"/>
    </row>
    <row r="2614" spans="79:79" x14ac:dyDescent="0.2">
      <c r="CA2614" s="448"/>
    </row>
    <row r="2615" spans="79:79" x14ac:dyDescent="0.2">
      <c r="CA2615" s="448"/>
    </row>
    <row r="2616" spans="79:79" x14ac:dyDescent="0.2">
      <c r="CA2616" s="448"/>
    </row>
    <row r="2617" spans="79:79" x14ac:dyDescent="0.2">
      <c r="CA2617" s="448"/>
    </row>
    <row r="2618" spans="79:79" x14ac:dyDescent="0.2">
      <c r="CA2618" s="448"/>
    </row>
    <row r="2619" spans="79:79" x14ac:dyDescent="0.2">
      <c r="CA2619" s="448"/>
    </row>
    <row r="2620" spans="79:79" x14ac:dyDescent="0.2">
      <c r="CA2620" s="448"/>
    </row>
    <row r="2621" spans="79:79" x14ac:dyDescent="0.2">
      <c r="CA2621" s="448"/>
    </row>
    <row r="2622" spans="79:79" x14ac:dyDescent="0.2">
      <c r="CA2622" s="448"/>
    </row>
    <row r="2623" spans="79:79" x14ac:dyDescent="0.2">
      <c r="CA2623" s="448"/>
    </row>
    <row r="2624" spans="79:79" x14ac:dyDescent="0.2">
      <c r="CA2624" s="448"/>
    </row>
    <row r="2625" spans="79:79" x14ac:dyDescent="0.2">
      <c r="CA2625" s="448"/>
    </row>
    <row r="2626" spans="79:79" x14ac:dyDescent="0.2">
      <c r="CA2626" s="448"/>
    </row>
    <row r="2627" spans="79:79" x14ac:dyDescent="0.2">
      <c r="CA2627" s="448"/>
    </row>
    <row r="2628" spans="79:79" x14ac:dyDescent="0.2">
      <c r="CA2628" s="448"/>
    </row>
    <row r="2629" spans="79:79" x14ac:dyDescent="0.2">
      <c r="CA2629" s="448"/>
    </row>
    <row r="2630" spans="79:79" x14ac:dyDescent="0.2">
      <c r="CA2630" s="448"/>
    </row>
    <row r="2631" spans="79:79" x14ac:dyDescent="0.2">
      <c r="CA2631" s="448"/>
    </row>
    <row r="2632" spans="79:79" x14ac:dyDescent="0.2">
      <c r="CA2632" s="448"/>
    </row>
    <row r="2633" spans="79:79" x14ac:dyDescent="0.2">
      <c r="CA2633" s="448"/>
    </row>
    <row r="2634" spans="79:79" x14ac:dyDescent="0.2">
      <c r="CA2634" s="448"/>
    </row>
    <row r="2635" spans="79:79" x14ac:dyDescent="0.2">
      <c r="CA2635" s="448"/>
    </row>
    <row r="2636" spans="79:79" x14ac:dyDescent="0.2">
      <c r="CA2636" s="448"/>
    </row>
    <row r="2637" spans="79:79" x14ac:dyDescent="0.2">
      <c r="CA2637" s="448"/>
    </row>
    <row r="2638" spans="79:79" x14ac:dyDescent="0.2">
      <c r="CA2638" s="448"/>
    </row>
    <row r="2639" spans="79:79" x14ac:dyDescent="0.2">
      <c r="CA2639" s="448"/>
    </row>
    <row r="2640" spans="79:79" x14ac:dyDescent="0.2">
      <c r="CA2640" s="448"/>
    </row>
    <row r="2641" spans="79:79" x14ac:dyDescent="0.2">
      <c r="CA2641" s="448"/>
    </row>
    <row r="2642" spans="79:79" x14ac:dyDescent="0.2">
      <c r="CA2642" s="448"/>
    </row>
    <row r="2643" spans="79:79" x14ac:dyDescent="0.2">
      <c r="CA2643" s="448"/>
    </row>
    <row r="2644" spans="79:79" x14ac:dyDescent="0.2">
      <c r="CA2644" s="448"/>
    </row>
    <row r="2645" spans="79:79" x14ac:dyDescent="0.2">
      <c r="CA2645" s="448"/>
    </row>
    <row r="2646" spans="79:79" x14ac:dyDescent="0.2">
      <c r="CA2646" s="448"/>
    </row>
    <row r="2647" spans="79:79" x14ac:dyDescent="0.2">
      <c r="CA2647" s="448"/>
    </row>
    <row r="2648" spans="79:79" x14ac:dyDescent="0.2">
      <c r="CA2648" s="448"/>
    </row>
    <row r="2649" spans="79:79" x14ac:dyDescent="0.2">
      <c r="CA2649" s="448"/>
    </row>
    <row r="2650" spans="79:79" x14ac:dyDescent="0.2">
      <c r="CA2650" s="448"/>
    </row>
    <row r="2651" spans="79:79" x14ac:dyDescent="0.2">
      <c r="CA2651" s="448"/>
    </row>
    <row r="2652" spans="79:79" x14ac:dyDescent="0.2">
      <c r="CA2652" s="448"/>
    </row>
    <row r="2653" spans="79:79" x14ac:dyDescent="0.2">
      <c r="CA2653" s="448"/>
    </row>
    <row r="2654" spans="79:79" x14ac:dyDescent="0.2">
      <c r="CA2654" s="448"/>
    </row>
    <row r="2655" spans="79:79" x14ac:dyDescent="0.2">
      <c r="CA2655" s="448"/>
    </row>
    <row r="2656" spans="79:79" x14ac:dyDescent="0.2">
      <c r="CA2656" s="448"/>
    </row>
    <row r="2657" spans="79:79" x14ac:dyDescent="0.2">
      <c r="CA2657" s="448"/>
    </row>
    <row r="2658" spans="79:79" x14ac:dyDescent="0.2">
      <c r="CA2658" s="448"/>
    </row>
    <row r="2659" spans="79:79" x14ac:dyDescent="0.2">
      <c r="CA2659" s="448"/>
    </row>
    <row r="2660" spans="79:79" x14ac:dyDescent="0.2">
      <c r="CA2660" s="448"/>
    </row>
    <row r="2661" spans="79:79" x14ac:dyDescent="0.2">
      <c r="CA2661" s="448"/>
    </row>
    <row r="2662" spans="79:79" x14ac:dyDescent="0.2">
      <c r="CA2662" s="448"/>
    </row>
    <row r="2663" spans="79:79" x14ac:dyDescent="0.2">
      <c r="CA2663" s="448"/>
    </row>
    <row r="2664" spans="79:79" x14ac:dyDescent="0.2">
      <c r="CA2664" s="448"/>
    </row>
    <row r="2665" spans="79:79" x14ac:dyDescent="0.2">
      <c r="CA2665" s="448"/>
    </row>
    <row r="2666" spans="79:79" x14ac:dyDescent="0.2">
      <c r="CA2666" s="448"/>
    </row>
    <row r="2667" spans="79:79" x14ac:dyDescent="0.2">
      <c r="CA2667" s="448"/>
    </row>
    <row r="2668" spans="79:79" x14ac:dyDescent="0.2">
      <c r="CA2668" s="448"/>
    </row>
    <row r="2669" spans="79:79" x14ac:dyDescent="0.2">
      <c r="CA2669" s="448"/>
    </row>
    <row r="2670" spans="79:79" x14ac:dyDescent="0.2">
      <c r="CA2670" s="448"/>
    </row>
    <row r="2671" spans="79:79" x14ac:dyDescent="0.2">
      <c r="CA2671" s="448"/>
    </row>
    <row r="2672" spans="79:79" x14ac:dyDescent="0.2">
      <c r="CA2672" s="448"/>
    </row>
    <row r="2673" spans="79:79" x14ac:dyDescent="0.2">
      <c r="CA2673" s="448"/>
    </row>
    <row r="2674" spans="79:79" x14ac:dyDescent="0.2">
      <c r="CA2674" s="448"/>
    </row>
    <row r="2675" spans="79:79" x14ac:dyDescent="0.2">
      <c r="CA2675" s="448"/>
    </row>
    <row r="2676" spans="79:79" x14ac:dyDescent="0.2">
      <c r="CA2676" s="448"/>
    </row>
    <row r="2677" spans="79:79" x14ac:dyDescent="0.2">
      <c r="CA2677" s="448"/>
    </row>
    <row r="2678" spans="79:79" x14ac:dyDescent="0.2">
      <c r="CA2678" s="448"/>
    </row>
    <row r="2679" spans="79:79" x14ac:dyDescent="0.2">
      <c r="CA2679" s="448"/>
    </row>
    <row r="2680" spans="79:79" x14ac:dyDescent="0.2">
      <c r="CA2680" s="448"/>
    </row>
    <row r="2681" spans="79:79" x14ac:dyDescent="0.2">
      <c r="CA2681" s="448"/>
    </row>
    <row r="2682" spans="79:79" x14ac:dyDescent="0.2">
      <c r="CA2682" s="448"/>
    </row>
    <row r="2683" spans="79:79" x14ac:dyDescent="0.2">
      <c r="CA2683" s="448"/>
    </row>
    <row r="2684" spans="79:79" x14ac:dyDescent="0.2">
      <c r="CA2684" s="448"/>
    </row>
    <row r="2685" spans="79:79" x14ac:dyDescent="0.2">
      <c r="CA2685" s="448"/>
    </row>
    <row r="2686" spans="79:79" x14ac:dyDescent="0.2">
      <c r="CA2686" s="448"/>
    </row>
    <row r="2687" spans="79:79" x14ac:dyDescent="0.2">
      <c r="CA2687" s="448"/>
    </row>
    <row r="2688" spans="79:79" x14ac:dyDescent="0.2">
      <c r="CA2688" s="448"/>
    </row>
    <row r="2689" spans="79:79" x14ac:dyDescent="0.2">
      <c r="CA2689" s="448"/>
    </row>
    <row r="2690" spans="79:79" x14ac:dyDescent="0.2">
      <c r="CA2690" s="448"/>
    </row>
    <row r="2691" spans="79:79" x14ac:dyDescent="0.2">
      <c r="CA2691" s="448"/>
    </row>
    <row r="2692" spans="79:79" x14ac:dyDescent="0.2">
      <c r="CA2692" s="448"/>
    </row>
    <row r="2693" spans="79:79" x14ac:dyDescent="0.2">
      <c r="CA2693" s="448"/>
    </row>
    <row r="2694" spans="79:79" x14ac:dyDescent="0.2">
      <c r="CA2694" s="448"/>
    </row>
    <row r="2695" spans="79:79" x14ac:dyDescent="0.2">
      <c r="CA2695" s="448"/>
    </row>
    <row r="2696" spans="79:79" x14ac:dyDescent="0.2">
      <c r="CA2696" s="448"/>
    </row>
    <row r="2697" spans="79:79" x14ac:dyDescent="0.2">
      <c r="CA2697" s="448"/>
    </row>
    <row r="2698" spans="79:79" x14ac:dyDescent="0.2">
      <c r="CA2698" s="448"/>
    </row>
    <row r="2699" spans="79:79" x14ac:dyDescent="0.2">
      <c r="CA2699" s="448"/>
    </row>
    <row r="2700" spans="79:79" x14ac:dyDescent="0.2">
      <c r="CA2700" s="448"/>
    </row>
    <row r="2701" spans="79:79" x14ac:dyDescent="0.2">
      <c r="CA2701" s="448"/>
    </row>
    <row r="2702" spans="79:79" x14ac:dyDescent="0.2">
      <c r="CA2702" s="448"/>
    </row>
    <row r="2703" spans="79:79" x14ac:dyDescent="0.2">
      <c r="CA2703" s="448"/>
    </row>
    <row r="2704" spans="79:79" x14ac:dyDescent="0.2">
      <c r="CA2704" s="448"/>
    </row>
    <row r="2705" spans="79:79" x14ac:dyDescent="0.2">
      <c r="CA2705" s="448"/>
    </row>
    <row r="2706" spans="79:79" x14ac:dyDescent="0.2">
      <c r="CA2706" s="448"/>
    </row>
    <row r="2707" spans="79:79" x14ac:dyDescent="0.2">
      <c r="CA2707" s="448"/>
    </row>
    <row r="2708" spans="79:79" x14ac:dyDescent="0.2">
      <c r="CA2708" s="448"/>
    </row>
    <row r="2709" spans="79:79" x14ac:dyDescent="0.2">
      <c r="CA2709" s="448"/>
    </row>
    <row r="2710" spans="79:79" x14ac:dyDescent="0.2">
      <c r="CA2710" s="448"/>
    </row>
    <row r="2711" spans="79:79" x14ac:dyDescent="0.2">
      <c r="CA2711" s="448"/>
    </row>
    <row r="2712" spans="79:79" x14ac:dyDescent="0.2">
      <c r="CA2712" s="448"/>
    </row>
    <row r="2713" spans="79:79" x14ac:dyDescent="0.2">
      <c r="CA2713" s="448"/>
    </row>
    <row r="2714" spans="79:79" x14ac:dyDescent="0.2">
      <c r="CA2714" s="448"/>
    </row>
    <row r="2715" spans="79:79" x14ac:dyDescent="0.2">
      <c r="CA2715" s="448"/>
    </row>
    <row r="2716" spans="79:79" x14ac:dyDescent="0.2">
      <c r="CA2716" s="448"/>
    </row>
    <row r="2717" spans="79:79" x14ac:dyDescent="0.2">
      <c r="CA2717" s="448"/>
    </row>
    <row r="2718" spans="79:79" x14ac:dyDescent="0.2">
      <c r="CA2718" s="448"/>
    </row>
    <row r="2719" spans="79:79" x14ac:dyDescent="0.2">
      <c r="CA2719" s="448"/>
    </row>
    <row r="2720" spans="79:79" x14ac:dyDescent="0.2">
      <c r="CA2720" s="448"/>
    </row>
    <row r="2721" spans="79:79" x14ac:dyDescent="0.2">
      <c r="CA2721" s="448"/>
    </row>
    <row r="2722" spans="79:79" x14ac:dyDescent="0.2">
      <c r="CA2722" s="448"/>
    </row>
    <row r="2723" spans="79:79" x14ac:dyDescent="0.2">
      <c r="CA2723" s="448"/>
    </row>
    <row r="2724" spans="79:79" x14ac:dyDescent="0.2">
      <c r="CA2724" s="448"/>
    </row>
    <row r="2725" spans="79:79" x14ac:dyDescent="0.2">
      <c r="CA2725" s="448"/>
    </row>
    <row r="2726" spans="79:79" x14ac:dyDescent="0.2">
      <c r="CA2726" s="448"/>
    </row>
    <row r="2727" spans="79:79" x14ac:dyDescent="0.2">
      <c r="CA2727" s="448"/>
    </row>
    <row r="2728" spans="79:79" x14ac:dyDescent="0.2">
      <c r="CA2728" s="448"/>
    </row>
    <row r="2729" spans="79:79" x14ac:dyDescent="0.2">
      <c r="CA2729" s="448"/>
    </row>
    <row r="2730" spans="79:79" x14ac:dyDescent="0.2">
      <c r="CA2730" s="448"/>
    </row>
    <row r="2731" spans="79:79" x14ac:dyDescent="0.2">
      <c r="CA2731" s="448"/>
    </row>
    <row r="2732" spans="79:79" x14ac:dyDescent="0.2">
      <c r="CA2732" s="448"/>
    </row>
    <row r="2733" spans="79:79" x14ac:dyDescent="0.2">
      <c r="CA2733" s="448"/>
    </row>
    <row r="2734" spans="79:79" x14ac:dyDescent="0.2">
      <c r="CA2734" s="448"/>
    </row>
    <row r="2735" spans="79:79" x14ac:dyDescent="0.2">
      <c r="CA2735" s="448"/>
    </row>
    <row r="2736" spans="79:79" x14ac:dyDescent="0.2">
      <c r="CA2736" s="448"/>
    </row>
    <row r="2737" spans="79:79" x14ac:dyDescent="0.2">
      <c r="CA2737" s="448"/>
    </row>
    <row r="2738" spans="79:79" x14ac:dyDescent="0.2">
      <c r="CA2738" s="448"/>
    </row>
    <row r="2739" spans="79:79" x14ac:dyDescent="0.2">
      <c r="CA2739" s="448"/>
    </row>
    <row r="2740" spans="79:79" x14ac:dyDescent="0.2">
      <c r="CA2740" s="448"/>
    </row>
    <row r="2741" spans="79:79" x14ac:dyDescent="0.2">
      <c r="CA2741" s="448"/>
    </row>
    <row r="2742" spans="79:79" x14ac:dyDescent="0.2">
      <c r="CA2742" s="448"/>
    </row>
    <row r="2743" spans="79:79" x14ac:dyDescent="0.2">
      <c r="CA2743" s="448"/>
    </row>
    <row r="2744" spans="79:79" x14ac:dyDescent="0.2">
      <c r="CA2744" s="448"/>
    </row>
    <row r="2745" spans="79:79" x14ac:dyDescent="0.2">
      <c r="CA2745" s="448"/>
    </row>
    <row r="2746" spans="79:79" x14ac:dyDescent="0.2">
      <c r="CA2746" s="448"/>
    </row>
    <row r="2747" spans="79:79" x14ac:dyDescent="0.2">
      <c r="CA2747" s="448"/>
    </row>
    <row r="2748" spans="79:79" x14ac:dyDescent="0.2">
      <c r="CA2748" s="448"/>
    </row>
    <row r="2749" spans="79:79" x14ac:dyDescent="0.2">
      <c r="CA2749" s="448"/>
    </row>
    <row r="2750" spans="79:79" x14ac:dyDescent="0.2">
      <c r="CA2750" s="448"/>
    </row>
    <row r="2751" spans="79:79" x14ac:dyDescent="0.2">
      <c r="CA2751" s="448"/>
    </row>
    <row r="2752" spans="79:79" x14ac:dyDescent="0.2">
      <c r="CA2752" s="448"/>
    </row>
    <row r="2753" spans="79:79" x14ac:dyDescent="0.2">
      <c r="CA2753" s="448"/>
    </row>
    <row r="2754" spans="79:79" x14ac:dyDescent="0.2">
      <c r="CA2754" s="448"/>
    </row>
    <row r="2755" spans="79:79" x14ac:dyDescent="0.2">
      <c r="CA2755" s="448"/>
    </row>
    <row r="2756" spans="79:79" x14ac:dyDescent="0.2">
      <c r="CA2756" s="448"/>
    </row>
    <row r="2757" spans="79:79" x14ac:dyDescent="0.2">
      <c r="CA2757" s="448"/>
    </row>
    <row r="2758" spans="79:79" x14ac:dyDescent="0.2">
      <c r="CA2758" s="448"/>
    </row>
    <row r="2759" spans="79:79" x14ac:dyDescent="0.2">
      <c r="CA2759" s="448"/>
    </row>
    <row r="2760" spans="79:79" x14ac:dyDescent="0.2">
      <c r="CA2760" s="448"/>
    </row>
    <row r="2761" spans="79:79" x14ac:dyDescent="0.2">
      <c r="CA2761" s="448"/>
    </row>
    <row r="2762" spans="79:79" x14ac:dyDescent="0.2">
      <c r="CA2762" s="448"/>
    </row>
    <row r="2763" spans="79:79" x14ac:dyDescent="0.2">
      <c r="CA2763" s="448"/>
    </row>
    <row r="2764" spans="79:79" x14ac:dyDescent="0.2">
      <c r="CA2764" s="448"/>
    </row>
    <row r="2765" spans="79:79" x14ac:dyDescent="0.2">
      <c r="CA2765" s="448"/>
    </row>
    <row r="2766" spans="79:79" x14ac:dyDescent="0.2">
      <c r="CA2766" s="448"/>
    </row>
    <row r="2767" spans="79:79" x14ac:dyDescent="0.2">
      <c r="CA2767" s="448"/>
    </row>
    <row r="2768" spans="79:79" x14ac:dyDescent="0.2">
      <c r="CA2768" s="448"/>
    </row>
    <row r="2769" spans="79:79" x14ac:dyDescent="0.2">
      <c r="CA2769" s="448"/>
    </row>
    <row r="2770" spans="79:79" x14ac:dyDescent="0.2">
      <c r="CA2770" s="448"/>
    </row>
    <row r="2771" spans="79:79" x14ac:dyDescent="0.2">
      <c r="CA2771" s="448"/>
    </row>
    <row r="2772" spans="79:79" x14ac:dyDescent="0.2">
      <c r="CA2772" s="448"/>
    </row>
    <row r="2773" spans="79:79" x14ac:dyDescent="0.2">
      <c r="CA2773" s="448"/>
    </row>
    <row r="2774" spans="79:79" x14ac:dyDescent="0.2">
      <c r="CA2774" s="448"/>
    </row>
    <row r="2775" spans="79:79" x14ac:dyDescent="0.2">
      <c r="CA2775" s="448"/>
    </row>
    <row r="2776" spans="79:79" x14ac:dyDescent="0.2">
      <c r="CA2776" s="448"/>
    </row>
    <row r="2777" spans="79:79" x14ac:dyDescent="0.2">
      <c r="CA2777" s="448"/>
    </row>
    <row r="2778" spans="79:79" x14ac:dyDescent="0.2">
      <c r="CA2778" s="448"/>
    </row>
    <row r="2779" spans="79:79" x14ac:dyDescent="0.2">
      <c r="CA2779" s="448"/>
    </row>
    <row r="2780" spans="79:79" x14ac:dyDescent="0.2">
      <c r="CA2780" s="448"/>
    </row>
    <row r="2781" spans="79:79" x14ac:dyDescent="0.2">
      <c r="CA2781" s="448"/>
    </row>
    <row r="2782" spans="79:79" x14ac:dyDescent="0.2">
      <c r="CA2782" s="448"/>
    </row>
    <row r="2783" spans="79:79" x14ac:dyDescent="0.2">
      <c r="CA2783" s="448"/>
    </row>
    <row r="2784" spans="79:79" x14ac:dyDescent="0.2">
      <c r="CA2784" s="448"/>
    </row>
    <row r="2785" spans="79:79" x14ac:dyDescent="0.2">
      <c r="CA2785" s="448"/>
    </row>
    <row r="2786" spans="79:79" x14ac:dyDescent="0.2">
      <c r="CA2786" s="448"/>
    </row>
    <row r="2787" spans="79:79" x14ac:dyDescent="0.2">
      <c r="CA2787" s="448"/>
    </row>
    <row r="2788" spans="79:79" x14ac:dyDescent="0.2">
      <c r="CA2788" s="448"/>
    </row>
    <row r="2789" spans="79:79" x14ac:dyDescent="0.2">
      <c r="CA2789" s="448"/>
    </row>
    <row r="2790" spans="79:79" x14ac:dyDescent="0.2">
      <c r="CA2790" s="448"/>
    </row>
    <row r="2791" spans="79:79" x14ac:dyDescent="0.2">
      <c r="CA2791" s="448"/>
    </row>
    <row r="2792" spans="79:79" x14ac:dyDescent="0.2">
      <c r="CA2792" s="448"/>
    </row>
    <row r="2793" spans="79:79" x14ac:dyDescent="0.2">
      <c r="CA2793" s="448"/>
    </row>
    <row r="2794" spans="79:79" x14ac:dyDescent="0.2">
      <c r="CA2794" s="448"/>
    </row>
    <row r="2795" spans="79:79" x14ac:dyDescent="0.2">
      <c r="CA2795" s="448"/>
    </row>
    <row r="2796" spans="79:79" x14ac:dyDescent="0.2">
      <c r="CA2796" s="448"/>
    </row>
    <row r="2797" spans="79:79" x14ac:dyDescent="0.2">
      <c r="CA2797" s="448"/>
    </row>
    <row r="2798" spans="79:79" x14ac:dyDescent="0.2">
      <c r="CA2798" s="448"/>
    </row>
    <row r="2799" spans="79:79" x14ac:dyDescent="0.2">
      <c r="CA2799" s="448"/>
    </row>
    <row r="2800" spans="79:79" x14ac:dyDescent="0.2">
      <c r="CA2800" s="448"/>
    </row>
    <row r="2801" spans="79:79" x14ac:dyDescent="0.2">
      <c r="CA2801" s="448"/>
    </row>
    <row r="2802" spans="79:79" x14ac:dyDescent="0.2">
      <c r="CA2802" s="448"/>
    </row>
    <row r="2803" spans="79:79" x14ac:dyDescent="0.2">
      <c r="CA2803" s="448"/>
    </row>
    <row r="2804" spans="79:79" x14ac:dyDescent="0.2">
      <c r="CA2804" s="448"/>
    </row>
    <row r="2805" spans="79:79" x14ac:dyDescent="0.2">
      <c r="CA2805" s="448"/>
    </row>
    <row r="2806" spans="79:79" x14ac:dyDescent="0.2">
      <c r="CA2806" s="448"/>
    </row>
    <row r="2807" spans="79:79" x14ac:dyDescent="0.2">
      <c r="CA2807" s="448"/>
    </row>
    <row r="2808" spans="79:79" x14ac:dyDescent="0.2">
      <c r="CA2808" s="448"/>
    </row>
    <row r="2809" spans="79:79" x14ac:dyDescent="0.2">
      <c r="CA2809" s="448"/>
    </row>
    <row r="2810" spans="79:79" x14ac:dyDescent="0.2">
      <c r="CA2810" s="448"/>
    </row>
    <row r="2811" spans="79:79" x14ac:dyDescent="0.2">
      <c r="CA2811" s="448"/>
    </row>
    <row r="2812" spans="79:79" x14ac:dyDescent="0.2">
      <c r="CA2812" s="448"/>
    </row>
    <row r="2813" spans="79:79" x14ac:dyDescent="0.2">
      <c r="CA2813" s="448"/>
    </row>
    <row r="2814" spans="79:79" x14ac:dyDescent="0.2">
      <c r="CA2814" s="448"/>
    </row>
    <row r="2815" spans="79:79" x14ac:dyDescent="0.2">
      <c r="CA2815" s="448"/>
    </row>
    <row r="2816" spans="79:79" x14ac:dyDescent="0.2">
      <c r="CA2816" s="448"/>
    </row>
    <row r="2817" spans="79:79" x14ac:dyDescent="0.2">
      <c r="CA2817" s="448"/>
    </row>
    <row r="2818" spans="79:79" x14ac:dyDescent="0.2">
      <c r="CA2818" s="448"/>
    </row>
    <row r="2819" spans="79:79" x14ac:dyDescent="0.2">
      <c r="CA2819" s="448"/>
    </row>
    <row r="2820" spans="79:79" x14ac:dyDescent="0.2">
      <c r="CA2820" s="448"/>
    </row>
    <row r="2821" spans="79:79" x14ac:dyDescent="0.2">
      <c r="CA2821" s="448"/>
    </row>
    <row r="2822" spans="79:79" x14ac:dyDescent="0.2">
      <c r="CA2822" s="448"/>
    </row>
    <row r="2823" spans="79:79" x14ac:dyDescent="0.2">
      <c r="CA2823" s="448"/>
    </row>
    <row r="2824" spans="79:79" x14ac:dyDescent="0.2">
      <c r="CA2824" s="448"/>
    </row>
    <row r="2825" spans="79:79" x14ac:dyDescent="0.2">
      <c r="CA2825" s="448"/>
    </row>
    <row r="2826" spans="79:79" x14ac:dyDescent="0.2">
      <c r="CA2826" s="448"/>
    </row>
    <row r="2827" spans="79:79" x14ac:dyDescent="0.2">
      <c r="CA2827" s="448"/>
    </row>
    <row r="2828" spans="79:79" x14ac:dyDescent="0.2">
      <c r="CA2828" s="448"/>
    </row>
    <row r="2829" spans="79:79" x14ac:dyDescent="0.2">
      <c r="CA2829" s="448"/>
    </row>
    <row r="2830" spans="79:79" x14ac:dyDescent="0.2">
      <c r="CA2830" s="448"/>
    </row>
    <row r="2831" spans="79:79" x14ac:dyDescent="0.2">
      <c r="CA2831" s="448"/>
    </row>
    <row r="2832" spans="79:79" x14ac:dyDescent="0.2">
      <c r="CA2832" s="448"/>
    </row>
    <row r="2833" spans="79:79" x14ac:dyDescent="0.2">
      <c r="CA2833" s="448"/>
    </row>
    <row r="2834" spans="79:79" x14ac:dyDescent="0.2">
      <c r="CA2834" s="448"/>
    </row>
    <row r="2835" spans="79:79" x14ac:dyDescent="0.2">
      <c r="CA2835" s="448"/>
    </row>
    <row r="2836" spans="79:79" x14ac:dyDescent="0.2">
      <c r="CA2836" s="448"/>
    </row>
    <row r="2837" spans="79:79" x14ac:dyDescent="0.2">
      <c r="CA2837" s="448"/>
    </row>
    <row r="2838" spans="79:79" x14ac:dyDescent="0.2">
      <c r="CA2838" s="448"/>
    </row>
    <row r="2839" spans="79:79" x14ac:dyDescent="0.2">
      <c r="CA2839" s="448"/>
    </row>
    <row r="2840" spans="79:79" x14ac:dyDescent="0.2">
      <c r="CA2840" s="448"/>
    </row>
    <row r="2841" spans="79:79" x14ac:dyDescent="0.2">
      <c r="CA2841" s="448"/>
    </row>
    <row r="2842" spans="79:79" x14ac:dyDescent="0.2">
      <c r="CA2842" s="448"/>
    </row>
    <row r="2843" spans="79:79" x14ac:dyDescent="0.2">
      <c r="CA2843" s="448"/>
    </row>
    <row r="2844" spans="79:79" x14ac:dyDescent="0.2">
      <c r="CA2844" s="448"/>
    </row>
    <row r="2845" spans="79:79" x14ac:dyDescent="0.2">
      <c r="CA2845" s="448"/>
    </row>
    <row r="2846" spans="79:79" x14ac:dyDescent="0.2">
      <c r="CA2846" s="448"/>
    </row>
    <row r="2847" spans="79:79" x14ac:dyDescent="0.2">
      <c r="CA2847" s="448"/>
    </row>
    <row r="2848" spans="79:79" x14ac:dyDescent="0.2">
      <c r="CA2848" s="448"/>
    </row>
    <row r="2849" spans="79:79" x14ac:dyDescent="0.2">
      <c r="CA2849" s="448"/>
    </row>
    <row r="2850" spans="79:79" x14ac:dyDescent="0.2">
      <c r="CA2850" s="448"/>
    </row>
    <row r="2851" spans="79:79" x14ac:dyDescent="0.2">
      <c r="CA2851" s="448"/>
    </row>
    <row r="2852" spans="79:79" x14ac:dyDescent="0.2">
      <c r="CA2852" s="448"/>
    </row>
    <row r="2853" spans="79:79" x14ac:dyDescent="0.2">
      <c r="CA2853" s="448"/>
    </row>
    <row r="2854" spans="79:79" x14ac:dyDescent="0.2">
      <c r="CA2854" s="448"/>
    </row>
    <row r="2855" spans="79:79" x14ac:dyDescent="0.2">
      <c r="CA2855" s="448"/>
    </row>
    <row r="2856" spans="79:79" x14ac:dyDescent="0.2">
      <c r="CA2856" s="448"/>
    </row>
    <row r="2857" spans="79:79" x14ac:dyDescent="0.2">
      <c r="CA2857" s="448"/>
    </row>
    <row r="2858" spans="79:79" x14ac:dyDescent="0.2">
      <c r="CA2858" s="448"/>
    </row>
    <row r="2859" spans="79:79" x14ac:dyDescent="0.2">
      <c r="CA2859" s="448"/>
    </row>
    <row r="2860" spans="79:79" x14ac:dyDescent="0.2">
      <c r="CA2860" s="448"/>
    </row>
    <row r="2861" spans="79:79" x14ac:dyDescent="0.2">
      <c r="CA2861" s="448"/>
    </row>
    <row r="2862" spans="79:79" x14ac:dyDescent="0.2">
      <c r="CA2862" s="448"/>
    </row>
    <row r="2863" spans="79:79" x14ac:dyDescent="0.2">
      <c r="CA2863" s="448"/>
    </row>
    <row r="2864" spans="79:79" x14ac:dyDescent="0.2">
      <c r="CA2864" s="448"/>
    </row>
    <row r="2865" spans="79:79" x14ac:dyDescent="0.2">
      <c r="CA2865" s="448"/>
    </row>
    <row r="2866" spans="79:79" x14ac:dyDescent="0.2">
      <c r="CA2866" s="448"/>
    </row>
    <row r="2867" spans="79:79" x14ac:dyDescent="0.2">
      <c r="CA2867" s="448"/>
    </row>
    <row r="2868" spans="79:79" x14ac:dyDescent="0.2">
      <c r="CA2868" s="448"/>
    </row>
    <row r="2869" spans="79:79" x14ac:dyDescent="0.2">
      <c r="CA2869" s="448"/>
    </row>
    <row r="2870" spans="79:79" x14ac:dyDescent="0.2">
      <c r="CA2870" s="448"/>
    </row>
    <row r="2871" spans="79:79" x14ac:dyDescent="0.2">
      <c r="CA2871" s="448"/>
    </row>
    <row r="2872" spans="79:79" x14ac:dyDescent="0.2">
      <c r="CA2872" s="448"/>
    </row>
    <row r="2873" spans="79:79" x14ac:dyDescent="0.2">
      <c r="CA2873" s="448"/>
    </row>
    <row r="2874" spans="79:79" x14ac:dyDescent="0.2">
      <c r="CA2874" s="448"/>
    </row>
    <row r="2875" spans="79:79" x14ac:dyDescent="0.2">
      <c r="CA2875" s="448"/>
    </row>
    <row r="2876" spans="79:79" x14ac:dyDescent="0.2">
      <c r="CA2876" s="448"/>
    </row>
    <row r="2877" spans="79:79" x14ac:dyDescent="0.2">
      <c r="CA2877" s="448"/>
    </row>
    <row r="2878" spans="79:79" x14ac:dyDescent="0.2">
      <c r="CA2878" s="448"/>
    </row>
    <row r="2879" spans="79:79" x14ac:dyDescent="0.2">
      <c r="CA2879" s="448"/>
    </row>
    <row r="2880" spans="79:79" x14ac:dyDescent="0.2">
      <c r="CA2880" s="448"/>
    </row>
    <row r="2881" spans="79:79" x14ac:dyDescent="0.2">
      <c r="CA2881" s="448"/>
    </row>
    <row r="2882" spans="79:79" x14ac:dyDescent="0.2">
      <c r="CA2882" s="448"/>
    </row>
    <row r="2883" spans="79:79" x14ac:dyDescent="0.2">
      <c r="CA2883" s="448"/>
    </row>
    <row r="2884" spans="79:79" x14ac:dyDescent="0.2">
      <c r="CA2884" s="448"/>
    </row>
    <row r="2885" spans="79:79" x14ac:dyDescent="0.2">
      <c r="CA2885" s="448"/>
    </row>
    <row r="2886" spans="79:79" x14ac:dyDescent="0.2">
      <c r="CA2886" s="448"/>
    </row>
    <row r="2887" spans="79:79" x14ac:dyDescent="0.2">
      <c r="CA2887" s="448"/>
    </row>
    <row r="2888" spans="79:79" x14ac:dyDescent="0.2">
      <c r="CA2888" s="448"/>
    </row>
    <row r="2889" spans="79:79" x14ac:dyDescent="0.2">
      <c r="CA2889" s="448"/>
    </row>
    <row r="2890" spans="79:79" x14ac:dyDescent="0.2">
      <c r="CA2890" s="448"/>
    </row>
    <row r="2891" spans="79:79" x14ac:dyDescent="0.2">
      <c r="CA2891" s="448"/>
    </row>
    <row r="2892" spans="79:79" x14ac:dyDescent="0.2">
      <c r="CA2892" s="448"/>
    </row>
    <row r="2893" spans="79:79" x14ac:dyDescent="0.2">
      <c r="CA2893" s="448"/>
    </row>
    <row r="2894" spans="79:79" x14ac:dyDescent="0.2">
      <c r="CA2894" s="448"/>
    </row>
    <row r="2895" spans="79:79" x14ac:dyDescent="0.2">
      <c r="CA2895" s="448"/>
    </row>
    <row r="2896" spans="79:79" x14ac:dyDescent="0.2">
      <c r="CA2896" s="448"/>
    </row>
    <row r="2897" spans="79:79" x14ac:dyDescent="0.2">
      <c r="CA2897" s="448"/>
    </row>
    <row r="2898" spans="79:79" x14ac:dyDescent="0.2">
      <c r="CA2898" s="448"/>
    </row>
    <row r="2899" spans="79:79" x14ac:dyDescent="0.2">
      <c r="CA2899" s="448"/>
    </row>
    <row r="2900" spans="79:79" x14ac:dyDescent="0.2">
      <c r="CA2900" s="448"/>
    </row>
    <row r="2901" spans="79:79" x14ac:dyDescent="0.2">
      <c r="CA2901" s="448"/>
    </row>
    <row r="2902" spans="79:79" x14ac:dyDescent="0.2">
      <c r="CA2902" s="448"/>
    </row>
    <row r="2903" spans="79:79" x14ac:dyDescent="0.2">
      <c r="CA2903" s="448"/>
    </row>
    <row r="2904" spans="79:79" x14ac:dyDescent="0.2">
      <c r="CA2904" s="448"/>
    </row>
    <row r="2905" spans="79:79" x14ac:dyDescent="0.2">
      <c r="CA2905" s="448"/>
    </row>
    <row r="2906" spans="79:79" x14ac:dyDescent="0.2">
      <c r="CA2906" s="448"/>
    </row>
    <row r="2907" spans="79:79" x14ac:dyDescent="0.2">
      <c r="CA2907" s="448"/>
    </row>
    <row r="2908" spans="79:79" x14ac:dyDescent="0.2">
      <c r="CA2908" s="448"/>
    </row>
    <row r="2909" spans="79:79" x14ac:dyDescent="0.2">
      <c r="CA2909" s="448"/>
    </row>
    <row r="2910" spans="79:79" x14ac:dyDescent="0.2">
      <c r="CA2910" s="448"/>
    </row>
    <row r="2911" spans="79:79" x14ac:dyDescent="0.2">
      <c r="CA2911" s="448"/>
    </row>
    <row r="2912" spans="79:79" x14ac:dyDescent="0.2">
      <c r="CA2912" s="448"/>
    </row>
    <row r="2913" spans="79:79" x14ac:dyDescent="0.2">
      <c r="CA2913" s="448"/>
    </row>
    <row r="2914" spans="79:79" x14ac:dyDescent="0.2">
      <c r="CA2914" s="448"/>
    </row>
    <row r="2915" spans="79:79" x14ac:dyDescent="0.2">
      <c r="CA2915" s="448"/>
    </row>
    <row r="2916" spans="79:79" x14ac:dyDescent="0.2">
      <c r="CA2916" s="448"/>
    </row>
    <row r="2917" spans="79:79" x14ac:dyDescent="0.2">
      <c r="CA2917" s="448"/>
    </row>
    <row r="2918" spans="79:79" x14ac:dyDescent="0.2">
      <c r="CA2918" s="448"/>
    </row>
    <row r="2919" spans="79:79" x14ac:dyDescent="0.2">
      <c r="CA2919" s="448"/>
    </row>
    <row r="2920" spans="79:79" x14ac:dyDescent="0.2">
      <c r="CA2920" s="448"/>
    </row>
    <row r="2921" spans="79:79" x14ac:dyDescent="0.2">
      <c r="CA2921" s="448"/>
    </row>
    <row r="2922" spans="79:79" x14ac:dyDescent="0.2">
      <c r="CA2922" s="448"/>
    </row>
    <row r="2923" spans="79:79" x14ac:dyDescent="0.2">
      <c r="CA2923" s="448"/>
    </row>
    <row r="2924" spans="79:79" x14ac:dyDescent="0.2">
      <c r="CA2924" s="448"/>
    </row>
    <row r="2925" spans="79:79" x14ac:dyDescent="0.2">
      <c r="CA2925" s="448"/>
    </row>
    <row r="2926" spans="79:79" x14ac:dyDescent="0.2">
      <c r="CA2926" s="448"/>
    </row>
    <row r="2927" spans="79:79" x14ac:dyDescent="0.2">
      <c r="CA2927" s="448"/>
    </row>
    <row r="2928" spans="79:79" x14ac:dyDescent="0.2">
      <c r="CA2928" s="448"/>
    </row>
    <row r="2929" spans="79:79" x14ac:dyDescent="0.2">
      <c r="CA2929" s="448"/>
    </row>
    <row r="2930" spans="79:79" x14ac:dyDescent="0.2">
      <c r="CA2930" s="448"/>
    </row>
    <row r="2931" spans="79:79" x14ac:dyDescent="0.2">
      <c r="CA2931" s="448"/>
    </row>
    <row r="2932" spans="79:79" x14ac:dyDescent="0.2">
      <c r="CA2932" s="448"/>
    </row>
    <row r="2933" spans="79:79" x14ac:dyDescent="0.2">
      <c r="CA2933" s="448"/>
    </row>
    <row r="2934" spans="79:79" x14ac:dyDescent="0.2">
      <c r="CA2934" s="448"/>
    </row>
    <row r="2935" spans="79:79" x14ac:dyDescent="0.2">
      <c r="CA2935" s="448"/>
    </row>
    <row r="2936" spans="79:79" x14ac:dyDescent="0.2">
      <c r="CA2936" s="448"/>
    </row>
    <row r="2937" spans="79:79" x14ac:dyDescent="0.2">
      <c r="CA2937" s="448"/>
    </row>
    <row r="2938" spans="79:79" x14ac:dyDescent="0.2">
      <c r="CA2938" s="448"/>
    </row>
    <row r="2939" spans="79:79" x14ac:dyDescent="0.2">
      <c r="CA2939" s="448"/>
    </row>
    <row r="2940" spans="79:79" x14ac:dyDescent="0.2">
      <c r="CA2940" s="448"/>
    </row>
    <row r="2941" spans="79:79" x14ac:dyDescent="0.2">
      <c r="CA2941" s="448"/>
    </row>
    <row r="2942" spans="79:79" x14ac:dyDescent="0.2">
      <c r="CA2942" s="448"/>
    </row>
    <row r="2943" spans="79:79" x14ac:dyDescent="0.2">
      <c r="CA2943" s="448"/>
    </row>
    <row r="2944" spans="79:79" x14ac:dyDescent="0.2">
      <c r="CA2944" s="448"/>
    </row>
    <row r="2945" spans="79:79" x14ac:dyDescent="0.2">
      <c r="CA2945" s="448"/>
    </row>
    <row r="2946" spans="79:79" x14ac:dyDescent="0.2">
      <c r="CA2946" s="448"/>
    </row>
    <row r="2947" spans="79:79" x14ac:dyDescent="0.2">
      <c r="CA2947" s="448"/>
    </row>
    <row r="2948" spans="79:79" x14ac:dyDescent="0.2">
      <c r="CA2948" s="448"/>
    </row>
    <row r="2949" spans="79:79" x14ac:dyDescent="0.2">
      <c r="CA2949" s="448"/>
    </row>
    <row r="2950" spans="79:79" x14ac:dyDescent="0.2">
      <c r="CA2950" s="448"/>
    </row>
    <row r="2951" spans="79:79" x14ac:dyDescent="0.2">
      <c r="CA2951" s="448"/>
    </row>
    <row r="2952" spans="79:79" x14ac:dyDescent="0.2">
      <c r="CA2952" s="448"/>
    </row>
    <row r="2953" spans="79:79" x14ac:dyDescent="0.2">
      <c r="CA2953" s="448"/>
    </row>
    <row r="2954" spans="79:79" x14ac:dyDescent="0.2">
      <c r="CA2954" s="448"/>
    </row>
    <row r="2955" spans="79:79" x14ac:dyDescent="0.2">
      <c r="CA2955" s="448"/>
    </row>
    <row r="2956" spans="79:79" x14ac:dyDescent="0.2">
      <c r="CA2956" s="448"/>
    </row>
    <row r="2957" spans="79:79" x14ac:dyDescent="0.2">
      <c r="CA2957" s="448"/>
    </row>
    <row r="2958" spans="79:79" x14ac:dyDescent="0.2">
      <c r="CA2958" s="448"/>
    </row>
    <row r="2959" spans="79:79" x14ac:dyDescent="0.2">
      <c r="CA2959" s="448"/>
    </row>
    <row r="2960" spans="79:79" x14ac:dyDescent="0.2">
      <c r="CA2960" s="448"/>
    </row>
    <row r="2961" spans="79:79" x14ac:dyDescent="0.2">
      <c r="CA2961" s="448"/>
    </row>
    <row r="2962" spans="79:79" x14ac:dyDescent="0.2">
      <c r="CA2962" s="448"/>
    </row>
    <row r="2963" spans="79:79" x14ac:dyDescent="0.2">
      <c r="CA2963" s="448"/>
    </row>
    <row r="2964" spans="79:79" x14ac:dyDescent="0.2">
      <c r="CA2964" s="448"/>
    </row>
    <row r="2965" spans="79:79" x14ac:dyDescent="0.2">
      <c r="CA2965" s="448"/>
    </row>
    <row r="2966" spans="79:79" x14ac:dyDescent="0.2">
      <c r="CA2966" s="448"/>
    </row>
    <row r="2967" spans="79:79" x14ac:dyDescent="0.2">
      <c r="CA2967" s="448"/>
    </row>
    <row r="2968" spans="79:79" x14ac:dyDescent="0.2">
      <c r="CA2968" s="448"/>
    </row>
    <row r="2969" spans="79:79" x14ac:dyDescent="0.2">
      <c r="CA2969" s="448"/>
    </row>
    <row r="2970" spans="79:79" x14ac:dyDescent="0.2">
      <c r="CA2970" s="448"/>
    </row>
    <row r="2971" spans="79:79" x14ac:dyDescent="0.2">
      <c r="CA2971" s="448"/>
    </row>
    <row r="2972" spans="79:79" x14ac:dyDescent="0.2">
      <c r="CA2972" s="448"/>
    </row>
    <row r="2973" spans="79:79" x14ac:dyDescent="0.2">
      <c r="CA2973" s="448"/>
    </row>
    <row r="2974" spans="79:79" x14ac:dyDescent="0.2">
      <c r="CA2974" s="448"/>
    </row>
    <row r="2975" spans="79:79" x14ac:dyDescent="0.2">
      <c r="CA2975" s="448"/>
    </row>
    <row r="2976" spans="79:79" x14ac:dyDescent="0.2">
      <c r="CA2976" s="448"/>
    </row>
    <row r="2977" spans="79:79" x14ac:dyDescent="0.2">
      <c r="CA2977" s="448"/>
    </row>
    <row r="2978" spans="79:79" x14ac:dyDescent="0.2">
      <c r="CA2978" s="448"/>
    </row>
    <row r="2979" spans="79:79" x14ac:dyDescent="0.2">
      <c r="CA2979" s="448"/>
    </row>
    <row r="2980" spans="79:79" x14ac:dyDescent="0.2">
      <c r="CA2980" s="448"/>
    </row>
    <row r="2981" spans="79:79" x14ac:dyDescent="0.2">
      <c r="CA2981" s="448"/>
    </row>
    <row r="2982" spans="79:79" x14ac:dyDescent="0.2">
      <c r="CA2982" s="448"/>
    </row>
    <row r="2983" spans="79:79" x14ac:dyDescent="0.2">
      <c r="CA2983" s="448"/>
    </row>
    <row r="2984" spans="79:79" x14ac:dyDescent="0.2">
      <c r="CA2984" s="448"/>
    </row>
    <row r="2985" spans="79:79" x14ac:dyDescent="0.2">
      <c r="CA2985" s="448"/>
    </row>
    <row r="2986" spans="79:79" x14ac:dyDescent="0.2">
      <c r="CA2986" s="448"/>
    </row>
    <row r="2987" spans="79:79" x14ac:dyDescent="0.2">
      <c r="CA2987" s="448"/>
    </row>
    <row r="2988" spans="79:79" x14ac:dyDescent="0.2">
      <c r="CA2988" s="448"/>
    </row>
    <row r="2989" spans="79:79" x14ac:dyDescent="0.2">
      <c r="CA2989" s="448"/>
    </row>
    <row r="2990" spans="79:79" x14ac:dyDescent="0.2">
      <c r="CA2990" s="448"/>
    </row>
    <row r="2991" spans="79:79" x14ac:dyDescent="0.2">
      <c r="CA2991" s="448"/>
    </row>
    <row r="2992" spans="79:79" x14ac:dyDescent="0.2">
      <c r="CA2992" s="448"/>
    </row>
    <row r="2993" spans="79:79" x14ac:dyDescent="0.2">
      <c r="CA2993" s="448"/>
    </row>
    <row r="2994" spans="79:79" x14ac:dyDescent="0.2">
      <c r="CA2994" s="448"/>
    </row>
    <row r="2995" spans="79:79" x14ac:dyDescent="0.2">
      <c r="CA2995" s="448"/>
    </row>
    <row r="2996" spans="79:79" x14ac:dyDescent="0.2">
      <c r="CA2996" s="448"/>
    </row>
    <row r="2997" spans="79:79" x14ac:dyDescent="0.2">
      <c r="CA2997" s="448"/>
    </row>
    <row r="2998" spans="79:79" x14ac:dyDescent="0.2">
      <c r="CA2998" s="448"/>
    </row>
    <row r="2999" spans="79:79" x14ac:dyDescent="0.2">
      <c r="CA2999" s="448"/>
    </row>
    <row r="3000" spans="79:79" x14ac:dyDescent="0.2">
      <c r="CA3000" s="448"/>
    </row>
    <row r="3001" spans="79:79" x14ac:dyDescent="0.2">
      <c r="CA3001" s="448"/>
    </row>
    <row r="3002" spans="79:79" x14ac:dyDescent="0.2">
      <c r="CA3002" s="448"/>
    </row>
    <row r="3003" spans="79:79" x14ac:dyDescent="0.2">
      <c r="CA3003" s="448"/>
    </row>
    <row r="3004" spans="79:79" x14ac:dyDescent="0.2">
      <c r="CA3004" s="448"/>
    </row>
    <row r="3005" spans="79:79" x14ac:dyDescent="0.2">
      <c r="CA3005" s="448"/>
    </row>
    <row r="3006" spans="79:79" x14ac:dyDescent="0.2">
      <c r="CA3006" s="448"/>
    </row>
    <row r="3007" spans="79:79" x14ac:dyDescent="0.2">
      <c r="CA3007" s="448"/>
    </row>
    <row r="3008" spans="79:79" x14ac:dyDescent="0.2">
      <c r="CA3008" s="448"/>
    </row>
    <row r="3009" spans="79:79" x14ac:dyDescent="0.2">
      <c r="CA3009" s="448"/>
    </row>
    <row r="3010" spans="79:79" x14ac:dyDescent="0.2">
      <c r="CA3010" s="448"/>
    </row>
    <row r="3011" spans="79:79" x14ac:dyDescent="0.2">
      <c r="CA3011" s="448"/>
    </row>
    <row r="3012" spans="79:79" x14ac:dyDescent="0.2">
      <c r="CA3012" s="448"/>
    </row>
    <row r="3013" spans="79:79" x14ac:dyDescent="0.2">
      <c r="CA3013" s="448"/>
    </row>
    <row r="3014" spans="79:79" x14ac:dyDescent="0.2">
      <c r="CA3014" s="448"/>
    </row>
    <row r="3015" spans="79:79" x14ac:dyDescent="0.2">
      <c r="CA3015" s="448"/>
    </row>
    <row r="3016" spans="79:79" x14ac:dyDescent="0.2">
      <c r="CA3016" s="448"/>
    </row>
  </sheetData>
  <sheetProtection algorithmName="SHA-512" hashValue="pbX035o9EjKNdUAne9FNYeHEmDpOLgJ57bza5XxiQtF6FqfycMEeci2XBLgKfWdawbQuEQwJl6e3A/pNFi2W8w==" saltValue="uTxJ1snOfUVXT/9GXjNXmA==" spinCount="100000" sheet="1" objects="1" scenarios="1" formatCells="0" formatColumns="0" formatRows="0" selectLockedCells="1" sort="0" autoFilter="0"/>
  <mergeCells count="10">
    <mergeCell ref="CL12:CL13"/>
    <mergeCell ref="CK12:CK13"/>
    <mergeCell ref="CJ12:CJ13"/>
    <mergeCell ref="CI12:CI13"/>
    <mergeCell ref="CR12:CR13"/>
    <mergeCell ref="CQ12:CQ13"/>
    <mergeCell ref="CP12:CP13"/>
    <mergeCell ref="CO12:CO13"/>
    <mergeCell ref="CN12:CN13"/>
    <mergeCell ref="CM12:CM13"/>
  </mergeCells>
  <pageMargins left="0.7" right="0.7" top="0.75" bottom="0.75" header="0.3" footer="0.3"/>
  <pageSetup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B3:AD263"/>
  <sheetViews>
    <sheetView topLeftCell="A40" zoomScale="80" zoomScaleNormal="80" workbookViewId="0">
      <selection activeCell="C12" sqref="C12"/>
    </sheetView>
  </sheetViews>
  <sheetFormatPr defaultColWidth="9.140625" defaultRowHeight="12.75" x14ac:dyDescent="0.2"/>
  <cols>
    <col min="1" max="1" width="9.140625" style="1180"/>
    <col min="2" max="2" width="23.28515625" style="1180" customWidth="1"/>
    <col min="3" max="3" width="53.42578125" style="1285" bestFit="1" customWidth="1"/>
    <col min="4" max="21" width="15.85546875" style="1180" customWidth="1"/>
    <col min="22" max="23" width="9.140625" style="1180"/>
    <col min="24" max="24" width="34.28515625" style="1180" customWidth="1"/>
    <col min="25" max="25" width="27.7109375" style="1180" bestFit="1" customWidth="1"/>
    <col min="26" max="26" width="24" style="1180" customWidth="1"/>
    <col min="27" max="27" width="12.42578125" style="1180" bestFit="1" customWidth="1"/>
    <col min="28" max="28" width="13" style="1180" bestFit="1" customWidth="1"/>
    <col min="29" max="29" width="15" style="1180" bestFit="1" customWidth="1"/>
    <col min="30" max="30" width="35.28515625" style="1180" customWidth="1"/>
    <col min="31" max="16384" width="9.140625" style="1180"/>
  </cols>
  <sheetData>
    <row r="3" spans="2:30" x14ac:dyDescent="0.2">
      <c r="Z3" s="1180" t="s">
        <v>29</v>
      </c>
    </row>
    <row r="4" spans="2:30" x14ac:dyDescent="0.2">
      <c r="D4" s="769"/>
      <c r="E4" s="769"/>
      <c r="F4" s="769"/>
      <c r="G4" s="770"/>
      <c r="H4" s="770"/>
      <c r="I4" s="702"/>
      <c r="J4" s="702"/>
      <c r="K4" s="702"/>
      <c r="L4" s="702"/>
      <c r="M4" s="702"/>
      <c r="N4" s="702"/>
      <c r="O4" s="702"/>
      <c r="P4" s="702"/>
      <c r="Q4" s="702"/>
      <c r="R4" s="702"/>
      <c r="S4" s="702"/>
      <c r="T4" s="702"/>
      <c r="U4" s="768"/>
    </row>
    <row r="5" spans="2:30" x14ac:dyDescent="0.2">
      <c r="D5" s="774"/>
      <c r="E5" s="774"/>
      <c r="F5" s="774"/>
      <c r="G5" s="778" t="s">
        <v>10</v>
      </c>
      <c r="H5" s="780" t="s">
        <v>2278</v>
      </c>
      <c r="I5" s="796"/>
      <c r="J5" s="797"/>
      <c r="K5" s="798"/>
      <c r="L5" s="1300" t="s">
        <v>2293</v>
      </c>
      <c r="M5" s="1301"/>
      <c r="N5" s="1301"/>
      <c r="O5" s="1301"/>
      <c r="P5" s="1301"/>
      <c r="Q5" s="1301"/>
      <c r="R5" s="799"/>
      <c r="S5" s="800"/>
      <c r="T5" s="703" t="s">
        <v>149</v>
      </c>
      <c r="U5" s="773"/>
    </row>
    <row r="6" spans="2:30" x14ac:dyDescent="0.2">
      <c r="D6" s="780" t="s">
        <v>2333</v>
      </c>
      <c r="E6" s="780"/>
      <c r="F6" s="775"/>
      <c r="G6" s="778" t="s">
        <v>0</v>
      </c>
      <c r="H6" s="780" t="s">
        <v>2277</v>
      </c>
      <c r="I6" s="1302"/>
      <c r="J6" s="807"/>
      <c r="K6" s="807"/>
      <c r="L6" s="807"/>
      <c r="M6" s="807"/>
      <c r="N6" s="807"/>
      <c r="O6" s="807"/>
      <c r="P6" s="807"/>
      <c r="Q6" s="807"/>
      <c r="R6" s="808"/>
      <c r="S6" s="773"/>
      <c r="T6" s="703" t="s">
        <v>200</v>
      </c>
      <c r="U6" s="773"/>
    </row>
    <row r="7" spans="2:30" x14ac:dyDescent="0.2">
      <c r="D7" s="780" t="s">
        <v>2334</v>
      </c>
      <c r="E7" s="780"/>
      <c r="F7" s="803"/>
      <c r="G7" s="778" t="s">
        <v>8</v>
      </c>
      <c r="H7" s="780" t="s">
        <v>2274</v>
      </c>
      <c r="I7" s="2019" t="s">
        <v>2292</v>
      </c>
      <c r="J7" s="2017" t="s">
        <v>2282</v>
      </c>
      <c r="K7" s="2017" t="s">
        <v>2283</v>
      </c>
      <c r="L7" s="2017" t="s">
        <v>2284</v>
      </c>
      <c r="M7" s="2017" t="s">
        <v>2285</v>
      </c>
      <c r="N7" s="2017" t="s">
        <v>2286</v>
      </c>
      <c r="O7" s="2017" t="s">
        <v>2287</v>
      </c>
      <c r="P7" s="2017" t="s">
        <v>2288</v>
      </c>
      <c r="Q7" s="2017" t="s">
        <v>2289</v>
      </c>
      <c r="R7" s="2018" t="s">
        <v>2291</v>
      </c>
      <c r="S7" s="776" t="s">
        <v>103</v>
      </c>
      <c r="T7" s="703" t="s">
        <v>25</v>
      </c>
      <c r="U7" s="773"/>
      <c r="Z7" s="1231" t="s">
        <v>142</v>
      </c>
    </row>
    <row r="8" spans="2:30" x14ac:dyDescent="0.2">
      <c r="D8" s="805"/>
      <c r="E8" s="805"/>
      <c r="F8" s="806"/>
      <c r="G8" s="778" t="s">
        <v>9</v>
      </c>
      <c r="H8" s="780" t="s">
        <v>493</v>
      </c>
      <c r="I8" s="2014"/>
      <c r="J8" s="2012"/>
      <c r="K8" s="2012"/>
      <c r="L8" s="2012"/>
      <c r="M8" s="2012"/>
      <c r="N8" s="2012"/>
      <c r="O8" s="2012"/>
      <c r="P8" s="2012"/>
      <c r="Q8" s="2012"/>
      <c r="R8" s="2016"/>
      <c r="S8" s="776" t="s">
        <v>168</v>
      </c>
      <c r="T8" s="703" t="s">
        <v>148</v>
      </c>
      <c r="U8" s="809"/>
      <c r="Z8" s="1234" t="s">
        <v>2182</v>
      </c>
    </row>
    <row r="9" spans="2:30" x14ac:dyDescent="0.2">
      <c r="D9" s="812"/>
      <c r="E9" s="812"/>
      <c r="F9" s="813"/>
      <c r="G9" s="814" t="s">
        <v>7</v>
      </c>
      <c r="H9" s="1226" t="s">
        <v>2280</v>
      </c>
      <c r="I9" s="773"/>
      <c r="J9" s="773"/>
      <c r="K9" s="773"/>
      <c r="L9" s="773"/>
      <c r="M9" s="773"/>
      <c r="N9" s="773"/>
      <c r="O9" s="773"/>
      <c r="P9" s="773"/>
      <c r="Q9" s="773"/>
      <c r="R9" s="773"/>
      <c r="S9" s="779" t="s">
        <v>142</v>
      </c>
      <c r="T9" s="703" t="s">
        <v>147</v>
      </c>
      <c r="U9" s="809"/>
      <c r="Y9" s="736" t="s">
        <v>2297</v>
      </c>
      <c r="Z9" s="1238" t="s">
        <v>2181</v>
      </c>
      <c r="AB9" s="1180" t="s">
        <v>2299</v>
      </c>
      <c r="AC9" s="1180" t="s">
        <v>2301</v>
      </c>
      <c r="AD9" s="1180" t="s">
        <v>2302</v>
      </c>
    </row>
    <row r="10" spans="2:30" x14ac:dyDescent="0.2">
      <c r="D10" s="812" t="s">
        <v>2274</v>
      </c>
      <c r="E10" s="812"/>
      <c r="F10" s="780" t="s">
        <v>1149</v>
      </c>
      <c r="G10" s="778" t="s">
        <v>6</v>
      </c>
      <c r="H10" s="780" t="s">
        <v>2279</v>
      </c>
      <c r="I10" s="773"/>
      <c r="J10" s="773"/>
      <c r="K10" s="815" t="s">
        <v>537</v>
      </c>
      <c r="L10" s="773"/>
      <c r="M10" s="773"/>
      <c r="N10" s="773"/>
      <c r="O10" s="773"/>
      <c r="P10" s="773"/>
      <c r="Q10" s="773"/>
      <c r="R10" s="773"/>
      <c r="S10" s="779" t="e">
        <f>"in Column "&amp;#REF!</f>
        <v>#REF!</v>
      </c>
      <c r="T10" s="703" t="s">
        <v>146</v>
      </c>
      <c r="U10" s="1284" t="s">
        <v>140</v>
      </c>
      <c r="Y10" s="736" t="s">
        <v>2298</v>
      </c>
      <c r="Z10" s="1238" t="s">
        <v>2180</v>
      </c>
      <c r="AA10" s="1180" t="s">
        <v>114</v>
      </c>
      <c r="AB10" s="1180" t="s">
        <v>2300</v>
      </c>
    </row>
    <row r="11" spans="2:30" ht="13.5" thickBot="1" x14ac:dyDescent="0.25"/>
    <row r="12" spans="2:30" x14ac:dyDescent="0.2">
      <c r="B12" s="1180">
        <f>'A-50 FGRailInv'!$C$13</f>
        <v>0</v>
      </c>
      <c r="C12" s="1288" t="str">
        <f>'A-50 FGRailInv'!C17</f>
        <v>At-Grade/Ballast (including expressway)</v>
      </c>
      <c r="D12" s="1289">
        <f>'A-50 FGRailInv'!H17</f>
        <v>0</v>
      </c>
      <c r="E12" s="1289"/>
      <c r="F12" s="1289">
        <f>'A-50 FGRailInv'!J17</f>
        <v>0</v>
      </c>
      <c r="G12" s="1289">
        <f>'A-50 FGRailInv'!L17</f>
        <v>0</v>
      </c>
      <c r="H12" s="1289">
        <f>'A-50 FGRailInv'!N17</f>
        <v>0</v>
      </c>
      <c r="I12" s="1289">
        <f>'A-50 FGRailInv'!P17</f>
        <v>0</v>
      </c>
      <c r="J12" s="1289">
        <f>'A-50 FGRailInv'!R17</f>
        <v>0</v>
      </c>
      <c r="K12" s="1289">
        <f>'A-50 FGRailInv'!T17</f>
        <v>0</v>
      </c>
      <c r="L12" s="1289">
        <f>'A-50 FGRailInv'!V17</f>
        <v>0</v>
      </c>
      <c r="M12" s="1289">
        <f>'A-50 FGRailInv'!X17</f>
        <v>0</v>
      </c>
      <c r="N12" s="1289">
        <f>'A-50 FGRailInv'!Z17</f>
        <v>0</v>
      </c>
      <c r="O12" s="1289">
        <f>'A-50 FGRailInv'!AB17</f>
        <v>0</v>
      </c>
      <c r="P12" s="1289">
        <f>'A-50 FGRailInv'!AD17</f>
        <v>0</v>
      </c>
      <c r="Q12" s="1289">
        <f>'A-50 FGRailInv'!AF17</f>
        <v>0</v>
      </c>
      <c r="R12" s="1289">
        <f>'A-50 FGRailInv'!AH17</f>
        <v>0</v>
      </c>
      <c r="S12" s="1289">
        <f>'A-50 FGRailInv'!AJ17</f>
        <v>0</v>
      </c>
      <c r="T12" s="1289">
        <f>'A-50 FGRailInv'!AL17</f>
        <v>0</v>
      </c>
      <c r="U12" s="1290">
        <f>'A-50 FGRailInv'!AP17</f>
        <v>0</v>
      </c>
      <c r="X12" s="1380">
        <f>'A-55 TrackInv'!$C$13</f>
        <v>0</v>
      </c>
      <c r="Y12" s="1381" t="str">
        <f>'A-55 TrackInv'!C19</f>
        <v>Tangent</v>
      </c>
      <c r="Z12" s="1381">
        <f>'A-55 TrackInv'!H19</f>
        <v>0</v>
      </c>
      <c r="AA12" s="1381" t="str">
        <f>'A-55 TrackInv'!J19</f>
        <v>Track Feet</v>
      </c>
      <c r="AB12" s="1381">
        <f>'A-55 TrackInv'!L19</f>
        <v>0</v>
      </c>
      <c r="AC12" s="1381">
        <f>'A-55 TrackInv'!N19</f>
        <v>0</v>
      </c>
      <c r="AD12" s="1381">
        <f>'A-55 TrackInv'!R19</f>
        <v>0</v>
      </c>
    </row>
    <row r="13" spans="2:30" x14ac:dyDescent="0.2">
      <c r="B13" s="1180">
        <f>'A-50 FGRailInv'!$C$13</f>
        <v>0</v>
      </c>
      <c r="C13" s="1291" t="str">
        <f>'A-50 FGRailInv'!C20</f>
        <v>At-Grade/In-Street/Embedded</v>
      </c>
      <c r="D13" s="1081">
        <f>'A-50 FGRailInv'!H20</f>
        <v>0</v>
      </c>
      <c r="E13" s="1081"/>
      <c r="F13" s="1081">
        <f>'A-50 FGRailInv'!J20</f>
        <v>0</v>
      </c>
      <c r="G13" s="1081">
        <f>'A-50 FGRailInv'!L20</f>
        <v>0</v>
      </c>
      <c r="H13" s="1081">
        <f>'A-50 FGRailInv'!N20</f>
        <v>0</v>
      </c>
      <c r="I13" s="1081">
        <f>'A-50 FGRailInv'!P20</f>
        <v>0</v>
      </c>
      <c r="J13" s="1081">
        <f>'A-50 FGRailInv'!R20</f>
        <v>0</v>
      </c>
      <c r="K13" s="1081">
        <f>'A-50 FGRailInv'!T20</f>
        <v>0</v>
      </c>
      <c r="L13" s="1081">
        <f>'A-50 FGRailInv'!V20</f>
        <v>0</v>
      </c>
      <c r="M13" s="1081">
        <f>'A-50 FGRailInv'!X20</f>
        <v>0</v>
      </c>
      <c r="N13" s="1081">
        <f>'A-50 FGRailInv'!Z20</f>
        <v>0</v>
      </c>
      <c r="O13" s="1081">
        <f>'A-50 FGRailInv'!AB20</f>
        <v>0</v>
      </c>
      <c r="P13" s="1081">
        <f>'A-50 FGRailInv'!AD20</f>
        <v>0</v>
      </c>
      <c r="Q13" s="1081">
        <f>'A-50 FGRailInv'!AF20</f>
        <v>0</v>
      </c>
      <c r="R13" s="1081">
        <f>'A-50 FGRailInv'!AH20</f>
        <v>0</v>
      </c>
      <c r="S13" s="1081">
        <f>'A-50 FGRailInv'!AJ20</f>
        <v>0</v>
      </c>
      <c r="T13" s="1081">
        <f>'A-50 FGRailInv'!AL20</f>
        <v>0</v>
      </c>
      <c r="U13" s="1292">
        <f>'A-50 FGRailInv'!AP20</f>
        <v>0</v>
      </c>
      <c r="X13" s="1380">
        <f>'A-55 TrackInv'!$C$13</f>
        <v>0</v>
      </c>
      <c r="Y13" s="1381" t="str">
        <f>'A-55 TrackInv'!C21</f>
        <v>Curve</v>
      </c>
      <c r="Z13" s="1381">
        <f>'A-55 TrackInv'!H21</f>
        <v>0</v>
      </c>
      <c r="AA13" s="1381" t="str">
        <f>'A-55 TrackInv'!J21</f>
        <v>Track Feet</v>
      </c>
      <c r="AB13" s="1381">
        <f>'A-55 TrackInv'!L21</f>
        <v>0</v>
      </c>
      <c r="AC13" s="1381">
        <f>'A-55 TrackInv'!N21</f>
        <v>0</v>
      </c>
      <c r="AD13" s="1381">
        <f>'A-55 TrackInv'!R21</f>
        <v>0</v>
      </c>
    </row>
    <row r="14" spans="2:30" x14ac:dyDescent="0.2">
      <c r="B14" s="1180">
        <f>'A-50 FGRailInv'!$C$13</f>
        <v>0</v>
      </c>
      <c r="C14" s="1291" t="str">
        <f>'A-50 FGRailInv'!C23</f>
        <v>Elevated/Retained Fill</v>
      </c>
      <c r="D14" s="1081">
        <f>'A-50 FGRailInv'!H23</f>
        <v>0</v>
      </c>
      <c r="E14" s="1081"/>
      <c r="F14" s="1081">
        <f>'A-50 FGRailInv'!J23</f>
        <v>0</v>
      </c>
      <c r="G14" s="1081">
        <f>'A-50 FGRailInv'!L23</f>
        <v>0</v>
      </c>
      <c r="H14" s="1081">
        <f>'A-50 FGRailInv'!N23</f>
        <v>0</v>
      </c>
      <c r="I14" s="1081">
        <f>'A-50 FGRailInv'!P23</f>
        <v>0</v>
      </c>
      <c r="J14" s="1081">
        <f>'A-50 FGRailInv'!R23</f>
        <v>0</v>
      </c>
      <c r="K14" s="1081">
        <f>'A-50 FGRailInv'!T23</f>
        <v>0</v>
      </c>
      <c r="L14" s="1081">
        <f>'A-50 FGRailInv'!V23</f>
        <v>0</v>
      </c>
      <c r="M14" s="1081">
        <f>'A-50 FGRailInv'!X23</f>
        <v>0</v>
      </c>
      <c r="N14" s="1081">
        <f>'A-50 FGRailInv'!Z23</f>
        <v>0</v>
      </c>
      <c r="O14" s="1081">
        <f>'A-50 FGRailInv'!AB23</f>
        <v>0</v>
      </c>
      <c r="P14" s="1081">
        <f>'A-50 FGRailInv'!AD23</f>
        <v>0</v>
      </c>
      <c r="Q14" s="1081">
        <f>'A-50 FGRailInv'!AF23</f>
        <v>0</v>
      </c>
      <c r="R14" s="1081">
        <f>'A-50 FGRailInv'!AH23</f>
        <v>0</v>
      </c>
      <c r="S14" s="1081">
        <f>'A-50 FGRailInv'!AJ23</f>
        <v>0</v>
      </c>
      <c r="T14" s="1081">
        <f>'A-50 FGRailInv'!AL23</f>
        <v>0</v>
      </c>
      <c r="U14" s="1292">
        <f>'A-50 FGRailInv'!AP23</f>
        <v>0</v>
      </c>
      <c r="X14" s="1380">
        <f>'A-55 TrackInv'!$C$13</f>
        <v>0</v>
      </c>
      <c r="Y14" s="1381" t="str">
        <f>'A-55 TrackInv'!C27</f>
        <v>Double Diamond Crossover</v>
      </c>
      <c r="Z14" s="1381">
        <f>'A-55 TrackInv'!H27</f>
        <v>0</v>
      </c>
      <c r="AA14" s="1381" t="str">
        <f>'A-55 TrackInv'!J27</f>
        <v>Each</v>
      </c>
      <c r="AB14" s="1381">
        <f>'A-55 TrackInv'!L27</f>
        <v>0</v>
      </c>
      <c r="AC14" s="1381">
        <f>'A-55 TrackInv'!N27</f>
        <v>0</v>
      </c>
      <c r="AD14" s="1381">
        <f>'A-55 TrackInv'!R27</f>
        <v>0</v>
      </c>
    </row>
    <row r="15" spans="2:30" x14ac:dyDescent="0.2">
      <c r="B15" s="1180">
        <f>'A-50 FGRailInv'!$C$13</f>
        <v>0</v>
      </c>
      <c r="C15" s="1291" t="str">
        <f>'A-50 FGRailInv'!C26</f>
        <v>Elevated/Concrete</v>
      </c>
      <c r="D15" s="1081">
        <f>'A-50 FGRailInv'!H26</f>
        <v>0</v>
      </c>
      <c r="E15" s="1081"/>
      <c r="F15" s="1081">
        <f>'A-50 FGRailInv'!J26</f>
        <v>0</v>
      </c>
      <c r="G15" s="1081">
        <f>'A-50 FGRailInv'!L26</f>
        <v>0</v>
      </c>
      <c r="H15" s="1081">
        <f>'A-50 FGRailInv'!N26</f>
        <v>0</v>
      </c>
      <c r="I15" s="1081">
        <f>'A-50 FGRailInv'!P26</f>
        <v>0</v>
      </c>
      <c r="J15" s="1081">
        <f>'A-50 FGRailInv'!R26</f>
        <v>0</v>
      </c>
      <c r="K15" s="1081">
        <f>'A-50 FGRailInv'!T26</f>
        <v>0</v>
      </c>
      <c r="L15" s="1081">
        <f>'A-50 FGRailInv'!V26</f>
        <v>0</v>
      </c>
      <c r="M15" s="1081">
        <f>'A-50 FGRailInv'!X26</f>
        <v>0</v>
      </c>
      <c r="N15" s="1081">
        <f>'A-50 FGRailInv'!Z26</f>
        <v>0</v>
      </c>
      <c r="O15" s="1081">
        <f>'A-50 FGRailInv'!AB26</f>
        <v>0</v>
      </c>
      <c r="P15" s="1081">
        <f>'A-50 FGRailInv'!AD26</f>
        <v>0</v>
      </c>
      <c r="Q15" s="1081">
        <f>'A-50 FGRailInv'!AF26</f>
        <v>0</v>
      </c>
      <c r="R15" s="1081">
        <f>'A-50 FGRailInv'!AH26</f>
        <v>0</v>
      </c>
      <c r="S15" s="1081">
        <f>'A-50 FGRailInv'!AJ26</f>
        <v>0</v>
      </c>
      <c r="T15" s="1081">
        <f>'A-50 FGRailInv'!AL26</f>
        <v>0</v>
      </c>
      <c r="U15" s="1292">
        <f>'A-50 FGRailInv'!AP26</f>
        <v>0</v>
      </c>
      <c r="X15" s="1380">
        <f>'A-55 TrackInv'!$C$13</f>
        <v>0</v>
      </c>
      <c r="Y15" s="1381" t="str">
        <f>'A-55 TrackInv'!C29</f>
        <v>Single Crossover</v>
      </c>
      <c r="Z15" s="1381">
        <f>'A-55 TrackInv'!H29</f>
        <v>0</v>
      </c>
      <c r="AA15" s="1381" t="str">
        <f>'A-55 TrackInv'!J29</f>
        <v>Each</v>
      </c>
      <c r="AB15" s="1381">
        <f>'A-55 TrackInv'!L29</f>
        <v>0</v>
      </c>
      <c r="AC15" s="1381">
        <f>'A-55 TrackInv'!N29</f>
        <v>0</v>
      </c>
      <c r="AD15" s="1381">
        <f>'A-55 TrackInv'!R29</f>
        <v>0</v>
      </c>
    </row>
    <row r="16" spans="2:30" x14ac:dyDescent="0.2">
      <c r="B16" s="1180">
        <f>'A-50 FGRailInv'!$C$13</f>
        <v>0</v>
      </c>
      <c r="C16" s="1291" t="str">
        <f>'A-50 FGRailInv'!C29</f>
        <v>Elevated/Steel Viaduct or Bridge</v>
      </c>
      <c r="D16" s="1081">
        <f>'A-50 FGRailInv'!H29</f>
        <v>0</v>
      </c>
      <c r="E16" s="1081"/>
      <c r="F16" s="1081">
        <f>'A-50 FGRailInv'!J29</f>
        <v>0</v>
      </c>
      <c r="G16" s="1081">
        <f>'A-50 FGRailInv'!L29</f>
        <v>0</v>
      </c>
      <c r="H16" s="1081">
        <f>'A-50 FGRailInv'!N29</f>
        <v>0</v>
      </c>
      <c r="I16" s="1081">
        <f>'A-50 FGRailInv'!P29</f>
        <v>0</v>
      </c>
      <c r="J16" s="1081">
        <f>'A-50 FGRailInv'!R29</f>
        <v>0</v>
      </c>
      <c r="K16" s="1081">
        <f>'A-50 FGRailInv'!T29</f>
        <v>0</v>
      </c>
      <c r="L16" s="1081">
        <f>'A-50 FGRailInv'!V29</f>
        <v>0</v>
      </c>
      <c r="M16" s="1081">
        <f>'A-50 FGRailInv'!X29</f>
        <v>0</v>
      </c>
      <c r="N16" s="1081">
        <f>'A-50 FGRailInv'!Z29</f>
        <v>0</v>
      </c>
      <c r="O16" s="1081">
        <f>'A-50 FGRailInv'!AB29</f>
        <v>0</v>
      </c>
      <c r="P16" s="1081">
        <f>'A-50 FGRailInv'!AD29</f>
        <v>0</v>
      </c>
      <c r="Q16" s="1081">
        <f>'A-50 FGRailInv'!AF29</f>
        <v>0</v>
      </c>
      <c r="R16" s="1081">
        <f>'A-50 FGRailInv'!AH29</f>
        <v>0</v>
      </c>
      <c r="S16" s="1081">
        <f>'A-50 FGRailInv'!AJ29</f>
        <v>0</v>
      </c>
      <c r="T16" s="1081">
        <f>'A-50 FGRailInv'!AL29</f>
        <v>0</v>
      </c>
      <c r="U16" s="1292">
        <f>'A-50 FGRailInv'!AP29</f>
        <v>0</v>
      </c>
      <c r="X16" s="1380">
        <f>'A-55 TrackInv'!$C$13</f>
        <v>0</v>
      </c>
      <c r="Y16" s="1381" t="str">
        <f>'A-55 TrackInv'!C31</f>
        <v>Half Grand Union</v>
      </c>
      <c r="Z16" s="1381">
        <f>'A-55 TrackInv'!H31</f>
        <v>0</v>
      </c>
      <c r="AA16" s="1381" t="str">
        <f>'A-55 TrackInv'!J31</f>
        <v>Each</v>
      </c>
      <c r="AB16" s="1381">
        <f>'A-55 TrackInv'!L31</f>
        <v>0</v>
      </c>
      <c r="AC16" s="1381">
        <f>'A-55 TrackInv'!N31</f>
        <v>0</v>
      </c>
      <c r="AD16" s="1381">
        <f>'A-55 TrackInv'!R31</f>
        <v>0</v>
      </c>
    </row>
    <row r="17" spans="2:30" x14ac:dyDescent="0.2">
      <c r="B17" s="1180">
        <f>'A-50 FGRailInv'!$C$13</f>
        <v>0</v>
      </c>
      <c r="C17" s="1291" t="str">
        <f>'A-50 FGRailInv'!C32</f>
        <v>Below-Grade/Retained Cut</v>
      </c>
      <c r="D17" s="1081">
        <f>'A-50 FGRailInv'!H32</f>
        <v>0</v>
      </c>
      <c r="E17" s="1081"/>
      <c r="F17" s="1081">
        <f>'A-50 FGRailInv'!J32</f>
        <v>0</v>
      </c>
      <c r="G17" s="1081">
        <f>'A-50 FGRailInv'!L32</f>
        <v>0</v>
      </c>
      <c r="H17" s="1081">
        <f>'A-50 FGRailInv'!N32</f>
        <v>0</v>
      </c>
      <c r="I17" s="1081">
        <f>'A-50 FGRailInv'!P32</f>
        <v>0</v>
      </c>
      <c r="J17" s="1081">
        <f>'A-50 FGRailInv'!R32</f>
        <v>0</v>
      </c>
      <c r="K17" s="1081">
        <f>'A-50 FGRailInv'!T32</f>
        <v>0</v>
      </c>
      <c r="L17" s="1081">
        <f>'A-50 FGRailInv'!V32</f>
        <v>0</v>
      </c>
      <c r="M17" s="1081">
        <f>'A-50 FGRailInv'!X32</f>
        <v>0</v>
      </c>
      <c r="N17" s="1081">
        <f>'A-50 FGRailInv'!Z32</f>
        <v>0</v>
      </c>
      <c r="O17" s="1081">
        <f>'A-50 FGRailInv'!AB32</f>
        <v>0</v>
      </c>
      <c r="P17" s="1081">
        <f>'A-50 FGRailInv'!AD32</f>
        <v>0</v>
      </c>
      <c r="Q17" s="1081">
        <f>'A-50 FGRailInv'!AF32</f>
        <v>0</v>
      </c>
      <c r="R17" s="1081">
        <f>'A-50 FGRailInv'!AH32</f>
        <v>0</v>
      </c>
      <c r="S17" s="1081">
        <f>'A-50 FGRailInv'!AJ32</f>
        <v>0</v>
      </c>
      <c r="T17" s="1081">
        <f>'A-50 FGRailInv'!AL32</f>
        <v>0</v>
      </c>
      <c r="U17" s="1292">
        <f>'A-50 FGRailInv'!AP32</f>
        <v>0</v>
      </c>
      <c r="X17" s="1380">
        <f>'A-55 TrackInv'!$C$13</f>
        <v>0</v>
      </c>
      <c r="Y17" s="1381" t="str">
        <f>'A-55 TrackInv'!C33</f>
        <v>Single Turnout</v>
      </c>
      <c r="Z17" s="1381">
        <f>'A-55 TrackInv'!H33</f>
        <v>0</v>
      </c>
      <c r="AA17" s="1381" t="str">
        <f>'A-55 TrackInv'!J33</f>
        <v>Each</v>
      </c>
      <c r="AB17" s="1381">
        <f>'A-55 TrackInv'!L33</f>
        <v>0</v>
      </c>
      <c r="AC17" s="1381">
        <f>'A-55 TrackInv'!N33</f>
        <v>0</v>
      </c>
      <c r="AD17" s="1381">
        <f>'A-55 TrackInv'!R33</f>
        <v>0</v>
      </c>
    </row>
    <row r="18" spans="2:30" x14ac:dyDescent="0.2">
      <c r="B18" s="1180">
        <f>'A-50 FGRailInv'!$C$13</f>
        <v>0</v>
      </c>
      <c r="C18" s="1291" t="str">
        <f>'A-50 FGRailInv'!C35</f>
        <v>Below-Grade/Cut-and-Cover Tunnel</v>
      </c>
      <c r="D18" s="1081">
        <f>'A-50 FGRailInv'!H35</f>
        <v>0</v>
      </c>
      <c r="E18" s="1081"/>
      <c r="F18" s="1081">
        <f>'A-50 FGRailInv'!J35</f>
        <v>0</v>
      </c>
      <c r="G18" s="1081">
        <f>'A-50 FGRailInv'!L35</f>
        <v>0</v>
      </c>
      <c r="H18" s="1081">
        <f>'A-50 FGRailInv'!N35</f>
        <v>0</v>
      </c>
      <c r="I18" s="1081">
        <f>'A-50 FGRailInv'!P35</f>
        <v>0</v>
      </c>
      <c r="J18" s="1081">
        <f>'A-50 FGRailInv'!R35</f>
        <v>0</v>
      </c>
      <c r="K18" s="1081">
        <f>'A-50 FGRailInv'!T35</f>
        <v>0</v>
      </c>
      <c r="L18" s="1081">
        <f>'A-50 FGRailInv'!V35</f>
        <v>0</v>
      </c>
      <c r="M18" s="1081">
        <f>'A-50 FGRailInv'!X35</f>
        <v>0</v>
      </c>
      <c r="N18" s="1081">
        <f>'A-50 FGRailInv'!Z35</f>
        <v>0</v>
      </c>
      <c r="O18" s="1081">
        <f>'A-50 FGRailInv'!AB35</f>
        <v>0</v>
      </c>
      <c r="P18" s="1081">
        <f>'A-50 FGRailInv'!AD35</f>
        <v>0</v>
      </c>
      <c r="Q18" s="1081">
        <f>'A-50 FGRailInv'!AF35</f>
        <v>0</v>
      </c>
      <c r="R18" s="1081">
        <f>'A-50 FGRailInv'!AH35</f>
        <v>0</v>
      </c>
      <c r="S18" s="1081">
        <f>'A-50 FGRailInv'!AJ35</f>
        <v>0</v>
      </c>
      <c r="T18" s="1081">
        <f>'A-50 FGRailInv'!AL35</f>
        <v>0</v>
      </c>
      <c r="U18" s="1292">
        <f>'A-50 FGRailInv'!AP35</f>
        <v>0</v>
      </c>
      <c r="X18" s="1380">
        <f>'A-55 TrackInv'!$C$13</f>
        <v>0</v>
      </c>
      <c r="Y18" s="1381" t="str">
        <f>'A-55 TrackInv'!C35</f>
        <v>Grade Crossings</v>
      </c>
      <c r="Z18" s="1381">
        <f>'A-55 TrackInv'!H35</f>
        <v>0</v>
      </c>
      <c r="AA18" s="1381" t="str">
        <f>'A-55 TrackInv'!J35</f>
        <v>Each</v>
      </c>
      <c r="AB18" s="1381">
        <f>'A-55 TrackInv'!L35</f>
        <v>0</v>
      </c>
      <c r="AC18" s="1381">
        <f>'A-55 TrackInv'!N35</f>
        <v>0</v>
      </c>
      <c r="AD18" s="1381">
        <f>'A-55 TrackInv'!R35</f>
        <v>0</v>
      </c>
    </row>
    <row r="19" spans="2:30" x14ac:dyDescent="0.2">
      <c r="B19" s="1180">
        <f>'A-50 FGRailInv'!$C$13</f>
        <v>0</v>
      </c>
      <c r="C19" s="1291" t="str">
        <f>'A-50 FGRailInv'!C38</f>
        <v>Below-Grade/Bored or Blasted Tunnel</v>
      </c>
      <c r="D19" s="1081">
        <f>'A-50 FGRailInv'!H38</f>
        <v>0</v>
      </c>
      <c r="E19" s="1081"/>
      <c r="F19" s="1081">
        <f>'A-50 FGRailInv'!J38</f>
        <v>0</v>
      </c>
      <c r="G19" s="1081">
        <f>'A-50 FGRailInv'!L38</f>
        <v>0</v>
      </c>
      <c r="H19" s="1081">
        <f>'A-50 FGRailInv'!N38</f>
        <v>0</v>
      </c>
      <c r="I19" s="1081">
        <f>'A-50 FGRailInv'!P38</f>
        <v>0</v>
      </c>
      <c r="J19" s="1081">
        <f>'A-50 FGRailInv'!R38</f>
        <v>0</v>
      </c>
      <c r="K19" s="1081">
        <f>'A-50 FGRailInv'!T38</f>
        <v>0</v>
      </c>
      <c r="L19" s="1081">
        <f>'A-50 FGRailInv'!V38</f>
        <v>0</v>
      </c>
      <c r="M19" s="1081">
        <f>'A-50 FGRailInv'!X38</f>
        <v>0</v>
      </c>
      <c r="N19" s="1081">
        <f>'A-50 FGRailInv'!Z38</f>
        <v>0</v>
      </c>
      <c r="O19" s="1081">
        <f>'A-50 FGRailInv'!AB38</f>
        <v>0</v>
      </c>
      <c r="P19" s="1081">
        <f>'A-50 FGRailInv'!AD38</f>
        <v>0</v>
      </c>
      <c r="Q19" s="1081">
        <f>'A-50 FGRailInv'!AF38</f>
        <v>0</v>
      </c>
      <c r="R19" s="1081">
        <f>'A-50 FGRailInv'!AH38</f>
        <v>0</v>
      </c>
      <c r="S19" s="1081">
        <f>'A-50 FGRailInv'!AJ38</f>
        <v>0</v>
      </c>
      <c r="T19" s="1081">
        <f>'A-50 FGRailInv'!AL38</f>
        <v>0</v>
      </c>
      <c r="U19" s="1292">
        <f>'A-50 FGRailInv'!AP38</f>
        <v>0</v>
      </c>
      <c r="X19" s="1380">
        <f>'A-55 TrackInv'!$C$44</f>
        <v>0</v>
      </c>
      <c r="Y19" s="1381" t="str">
        <f>'A-55 TrackInv'!C50</f>
        <v>Tangent</v>
      </c>
      <c r="Z19" s="1381">
        <f>'A-55 TrackInv'!H50</f>
        <v>0</v>
      </c>
      <c r="AA19" s="1381" t="str">
        <f>'A-55 TrackInv'!J50</f>
        <v>Track Feet</v>
      </c>
      <c r="AB19" s="1381">
        <f>'A-55 TrackInv'!L50</f>
        <v>0</v>
      </c>
      <c r="AC19" s="1381">
        <f>'A-55 TrackInv'!N50</f>
        <v>0</v>
      </c>
      <c r="AD19" s="1381">
        <f>'A-55 TrackInv'!R50</f>
        <v>0</v>
      </c>
    </row>
    <row r="20" spans="2:30" x14ac:dyDescent="0.2">
      <c r="B20" s="1180">
        <f>'A-50 FGRailInv'!$C$13</f>
        <v>0</v>
      </c>
      <c r="C20" s="1293" t="str">
        <f>'A-50 FGRailInv'!C41</f>
        <v>Below-Grade/Submerged Tube</v>
      </c>
      <c r="D20" s="1287">
        <f>'A-50 FGRailInv'!H41</f>
        <v>0</v>
      </c>
      <c r="E20" s="1287"/>
      <c r="F20" s="1287">
        <f>'A-50 FGRailInv'!J41</f>
        <v>0</v>
      </c>
      <c r="G20" s="1287">
        <f>'A-50 FGRailInv'!L41</f>
        <v>0</v>
      </c>
      <c r="H20" s="1287">
        <f>'A-50 FGRailInv'!N41</f>
        <v>0</v>
      </c>
      <c r="I20" s="1287">
        <f>'A-50 FGRailInv'!P41</f>
        <v>0</v>
      </c>
      <c r="J20" s="1287">
        <f>'A-50 FGRailInv'!R41</f>
        <v>0</v>
      </c>
      <c r="K20" s="1287">
        <f>'A-50 FGRailInv'!T41</f>
        <v>0</v>
      </c>
      <c r="L20" s="1287">
        <f>'A-50 FGRailInv'!V41</f>
        <v>0</v>
      </c>
      <c r="M20" s="1287">
        <f>'A-50 FGRailInv'!X41</f>
        <v>0</v>
      </c>
      <c r="N20" s="1287">
        <f>'A-50 FGRailInv'!Z41</f>
        <v>0</v>
      </c>
      <c r="O20" s="1287">
        <f>'A-50 FGRailInv'!AB41</f>
        <v>0</v>
      </c>
      <c r="P20" s="1287">
        <f>'A-50 FGRailInv'!AD41</f>
        <v>0</v>
      </c>
      <c r="Q20" s="1287">
        <f>'A-50 FGRailInv'!AF41</f>
        <v>0</v>
      </c>
      <c r="R20" s="1287">
        <f>'A-50 FGRailInv'!AH41</f>
        <v>0</v>
      </c>
      <c r="S20" s="1287">
        <f>'A-50 FGRailInv'!AJ41</f>
        <v>0</v>
      </c>
      <c r="T20" s="1287">
        <f>'A-50 FGRailInv'!AL41</f>
        <v>0</v>
      </c>
      <c r="U20" s="1294">
        <f>'A-50 FGRailInv'!AP41</f>
        <v>0</v>
      </c>
      <c r="X20" s="1380">
        <f>'A-55 TrackInv'!$C$44</f>
        <v>0</v>
      </c>
      <c r="Y20" s="1381" t="str">
        <f>'A-55 TrackInv'!C52</f>
        <v>Curve</v>
      </c>
      <c r="Z20" s="1381">
        <f>'A-55 TrackInv'!H52</f>
        <v>0</v>
      </c>
      <c r="AA20" s="1381" t="str">
        <f>'A-55 TrackInv'!J52</f>
        <v>Track Feet</v>
      </c>
      <c r="AB20" s="1381">
        <f>'A-55 TrackInv'!L52</f>
        <v>0</v>
      </c>
      <c r="AC20" s="1381">
        <f>'A-55 TrackInv'!N52</f>
        <v>0</v>
      </c>
      <c r="AD20" s="1381">
        <f>'A-55 TrackInv'!R52</f>
        <v>0</v>
      </c>
    </row>
    <row r="21" spans="2:30" x14ac:dyDescent="0.2">
      <c r="B21" s="1180">
        <f>'A-50 FGRailInv'!$C$13</f>
        <v>0</v>
      </c>
      <c r="C21" s="1295" t="str">
        <f>'A-50 FGRailInv'!C46</f>
        <v>Substation Building</v>
      </c>
      <c r="D21" s="1286">
        <f>'A-50 FGRailInv'!H46</f>
        <v>0</v>
      </c>
      <c r="E21" s="1286"/>
      <c r="F21" s="1286">
        <f>'A-50 FGRailInv'!J46</f>
        <v>0</v>
      </c>
      <c r="G21" s="1286">
        <f>'A-50 FGRailInv'!L46</f>
        <v>0</v>
      </c>
      <c r="H21" s="1286">
        <f>'A-50 FGRailInv'!N46</f>
        <v>0</v>
      </c>
      <c r="I21" s="1286">
        <f>'A-50 FGRailInv'!P46</f>
        <v>0</v>
      </c>
      <c r="J21" s="1286">
        <f>'A-50 FGRailInv'!R46</f>
        <v>0</v>
      </c>
      <c r="K21" s="1286">
        <f>'A-50 FGRailInv'!T46</f>
        <v>0</v>
      </c>
      <c r="L21" s="1286">
        <f>'A-50 FGRailInv'!V46</f>
        <v>0</v>
      </c>
      <c r="M21" s="1286">
        <f>'A-50 FGRailInv'!X46</f>
        <v>0</v>
      </c>
      <c r="N21" s="1286">
        <f>'A-50 FGRailInv'!Z46</f>
        <v>0</v>
      </c>
      <c r="O21" s="1286">
        <f>'A-50 FGRailInv'!AB46</f>
        <v>0</v>
      </c>
      <c r="P21" s="1286">
        <f>'A-50 FGRailInv'!AD46</f>
        <v>0</v>
      </c>
      <c r="Q21" s="1286">
        <f>'A-50 FGRailInv'!AF46</f>
        <v>0</v>
      </c>
      <c r="R21" s="1286">
        <f>'A-50 FGRailInv'!AH46</f>
        <v>0</v>
      </c>
      <c r="S21" s="1286">
        <f>'A-50 FGRailInv'!AJ46</f>
        <v>0</v>
      </c>
      <c r="T21" s="1286">
        <f>'A-50 FGRailInv'!AL46</f>
        <v>0</v>
      </c>
      <c r="U21" s="1296">
        <f>'A-50 FGRailInv'!AP46</f>
        <v>0</v>
      </c>
      <c r="X21" s="1380">
        <f>'A-55 TrackInv'!$C$44</f>
        <v>0</v>
      </c>
      <c r="Y21" s="1381" t="str">
        <f>'A-55 TrackInv'!C58</f>
        <v>Double Diamond Crossover</v>
      </c>
      <c r="Z21" s="1381">
        <f>'A-55 TrackInv'!H58</f>
        <v>0</v>
      </c>
      <c r="AA21" s="1381" t="str">
        <f>'A-55 TrackInv'!J58</f>
        <v>Each</v>
      </c>
      <c r="AB21" s="1381">
        <f>'A-55 TrackInv'!L58</f>
        <v>0</v>
      </c>
      <c r="AC21" s="1381">
        <f>'A-55 TrackInv'!N58</f>
        <v>0</v>
      </c>
      <c r="AD21" s="1381">
        <f>'A-55 TrackInv'!R58</f>
        <v>0</v>
      </c>
    </row>
    <row r="22" spans="2:30" x14ac:dyDescent="0.2">
      <c r="B22" s="1180">
        <f>'A-50 FGRailInv'!$C$13</f>
        <v>0</v>
      </c>
      <c r="C22" s="1291" t="str">
        <f>'A-50 FGRailInv'!C49</f>
        <v>Substation Equipment</v>
      </c>
      <c r="D22" s="1081">
        <f>'A-50 FGRailInv'!H49</f>
        <v>0</v>
      </c>
      <c r="E22" s="1081"/>
      <c r="F22" s="1081">
        <f>'A-50 FGRailInv'!J49</f>
        <v>0</v>
      </c>
      <c r="G22" s="1081">
        <f>'A-50 FGRailInv'!L49</f>
        <v>0</v>
      </c>
      <c r="H22" s="1081">
        <f>'A-50 FGRailInv'!N49</f>
        <v>0</v>
      </c>
      <c r="I22" s="1081">
        <f>'A-50 FGRailInv'!P49</f>
        <v>0</v>
      </c>
      <c r="J22" s="1081">
        <f>'A-50 FGRailInv'!R49</f>
        <v>0</v>
      </c>
      <c r="K22" s="1081">
        <f>'A-50 FGRailInv'!T49</f>
        <v>0</v>
      </c>
      <c r="L22" s="1081">
        <f>'A-50 FGRailInv'!V49</f>
        <v>0</v>
      </c>
      <c r="M22" s="1081">
        <f>'A-50 FGRailInv'!X49</f>
        <v>0</v>
      </c>
      <c r="N22" s="1081">
        <f>'A-50 FGRailInv'!Z49</f>
        <v>0</v>
      </c>
      <c r="O22" s="1081">
        <f>'A-50 FGRailInv'!AB49</f>
        <v>0</v>
      </c>
      <c r="P22" s="1081">
        <f>'A-50 FGRailInv'!AD49</f>
        <v>0</v>
      </c>
      <c r="Q22" s="1081">
        <f>'A-50 FGRailInv'!AF49</f>
        <v>0</v>
      </c>
      <c r="R22" s="1081">
        <f>'A-50 FGRailInv'!AH49</f>
        <v>0</v>
      </c>
      <c r="S22" s="1081">
        <f>'A-50 FGRailInv'!AJ49</f>
        <v>0</v>
      </c>
      <c r="T22" s="1081">
        <f>'A-50 FGRailInv'!AL49</f>
        <v>0</v>
      </c>
      <c r="U22" s="1292">
        <f>'A-50 FGRailInv'!AP49</f>
        <v>0</v>
      </c>
      <c r="X22" s="1380">
        <f>'A-55 TrackInv'!$C$44</f>
        <v>0</v>
      </c>
      <c r="Y22" s="1381" t="str">
        <f>'A-55 TrackInv'!C60</f>
        <v>Single Crossover</v>
      </c>
      <c r="Z22" s="1381">
        <f>'A-55 TrackInv'!H60</f>
        <v>0</v>
      </c>
      <c r="AA22" s="1381" t="str">
        <f>'A-55 TrackInv'!J60</f>
        <v>Each</v>
      </c>
      <c r="AB22" s="1381">
        <f>'A-55 TrackInv'!L60</f>
        <v>0</v>
      </c>
      <c r="AC22" s="1381">
        <f>'A-55 TrackInv'!N60</f>
        <v>0</v>
      </c>
      <c r="AD22" s="1381">
        <f>'A-55 TrackInv'!R60</f>
        <v>0</v>
      </c>
    </row>
    <row r="23" spans="2:30" x14ac:dyDescent="0.2">
      <c r="B23" s="1180">
        <f>'A-50 FGRailInv'!$C$13</f>
        <v>0</v>
      </c>
      <c r="C23" s="1291" t="str">
        <f>'A-50 FGRailInv'!C52</f>
        <v>Third Rail/Power Distribution</v>
      </c>
      <c r="D23" s="1081">
        <f>'A-50 FGRailInv'!H52</f>
        <v>0</v>
      </c>
      <c r="E23" s="1081"/>
      <c r="F23" s="1081">
        <f>'A-50 FGRailInv'!J52</f>
        <v>0</v>
      </c>
      <c r="G23" s="1081">
        <f>'A-50 FGRailInv'!L52</f>
        <v>0</v>
      </c>
      <c r="H23" s="1081">
        <f>'A-50 FGRailInv'!N52</f>
        <v>0</v>
      </c>
      <c r="I23" s="1081">
        <f>'A-50 FGRailInv'!P52</f>
        <v>0</v>
      </c>
      <c r="J23" s="1081">
        <f>'A-50 FGRailInv'!R52</f>
        <v>0</v>
      </c>
      <c r="K23" s="1081">
        <f>'A-50 FGRailInv'!T52</f>
        <v>0</v>
      </c>
      <c r="L23" s="1081">
        <f>'A-50 FGRailInv'!V52</f>
        <v>0</v>
      </c>
      <c r="M23" s="1081">
        <f>'A-50 FGRailInv'!X52</f>
        <v>0</v>
      </c>
      <c r="N23" s="1081">
        <f>'A-50 FGRailInv'!Z52</f>
        <v>0</v>
      </c>
      <c r="O23" s="1081">
        <f>'A-50 FGRailInv'!AB52</f>
        <v>0</v>
      </c>
      <c r="P23" s="1081">
        <f>'A-50 FGRailInv'!AD52</f>
        <v>0</v>
      </c>
      <c r="Q23" s="1081">
        <f>'A-50 FGRailInv'!AF52</f>
        <v>0</v>
      </c>
      <c r="R23" s="1081">
        <f>'A-50 FGRailInv'!AH52</f>
        <v>0</v>
      </c>
      <c r="S23" s="1081">
        <f>'A-50 FGRailInv'!AJ52</f>
        <v>0</v>
      </c>
      <c r="T23" s="1081">
        <f>'A-50 FGRailInv'!AL52</f>
        <v>0</v>
      </c>
      <c r="U23" s="1292">
        <f>'A-50 FGRailInv'!AP52</f>
        <v>0</v>
      </c>
      <c r="X23" s="1380">
        <f>'A-55 TrackInv'!$C$44</f>
        <v>0</v>
      </c>
      <c r="Y23" s="1381" t="str">
        <f>'A-55 TrackInv'!C62</f>
        <v>Half Grand Union</v>
      </c>
      <c r="Z23" s="1381">
        <f>'A-55 TrackInv'!H62</f>
        <v>0</v>
      </c>
      <c r="AA23" s="1381" t="str">
        <f>'A-55 TrackInv'!J62</f>
        <v>Each</v>
      </c>
      <c r="AB23" s="1381">
        <f>'A-55 TrackInv'!L62</f>
        <v>0</v>
      </c>
      <c r="AC23" s="1381">
        <f>'A-55 TrackInv'!N62</f>
        <v>0</v>
      </c>
      <c r="AD23" s="1381">
        <f>'A-55 TrackInv'!R62</f>
        <v>0</v>
      </c>
    </row>
    <row r="24" spans="2:30" x14ac:dyDescent="0.2">
      <c r="B24" s="1180">
        <f>'A-50 FGRailInv'!$C$13</f>
        <v>0</v>
      </c>
      <c r="C24" s="1291" t="str">
        <f>'A-50 FGRailInv'!C55</f>
        <v>Overhead Contact System/Power Distribution</v>
      </c>
      <c r="D24" s="1081">
        <f>'A-50 FGRailInv'!H55</f>
        <v>0</v>
      </c>
      <c r="E24" s="1081"/>
      <c r="F24" s="1081">
        <f>'A-50 FGRailInv'!J55</f>
        <v>0</v>
      </c>
      <c r="G24" s="1081">
        <f>'A-50 FGRailInv'!L55</f>
        <v>0</v>
      </c>
      <c r="H24" s="1081">
        <f>'A-50 FGRailInv'!N55</f>
        <v>0</v>
      </c>
      <c r="I24" s="1081">
        <f>'A-50 FGRailInv'!P55</f>
        <v>0</v>
      </c>
      <c r="J24" s="1081">
        <f>'A-50 FGRailInv'!R55</f>
        <v>0</v>
      </c>
      <c r="K24" s="1081">
        <f>'A-50 FGRailInv'!T55</f>
        <v>0</v>
      </c>
      <c r="L24" s="1081">
        <f>'A-50 FGRailInv'!V55</f>
        <v>0</v>
      </c>
      <c r="M24" s="1081">
        <f>'A-50 FGRailInv'!X55</f>
        <v>0</v>
      </c>
      <c r="N24" s="1081">
        <f>'A-50 FGRailInv'!Z55</f>
        <v>0</v>
      </c>
      <c r="O24" s="1081">
        <f>'A-50 FGRailInv'!AB55</f>
        <v>0</v>
      </c>
      <c r="P24" s="1081">
        <f>'A-50 FGRailInv'!AD55</f>
        <v>0</v>
      </c>
      <c r="Q24" s="1081">
        <f>'A-50 FGRailInv'!AF55</f>
        <v>0</v>
      </c>
      <c r="R24" s="1081">
        <f>'A-50 FGRailInv'!AH55</f>
        <v>0</v>
      </c>
      <c r="S24" s="1081">
        <f>'A-50 FGRailInv'!AJ55</f>
        <v>0</v>
      </c>
      <c r="T24" s="1081">
        <f>'A-50 FGRailInv'!AL55</f>
        <v>0</v>
      </c>
      <c r="U24" s="1292">
        <f>'A-50 FGRailInv'!AP55</f>
        <v>0</v>
      </c>
      <c r="X24" s="1380">
        <f>'A-55 TrackInv'!$C$44</f>
        <v>0</v>
      </c>
      <c r="Y24" s="1381" t="str">
        <f>'A-55 TrackInv'!C64</f>
        <v>Single Turnout</v>
      </c>
      <c r="Z24" s="1381">
        <f>'A-55 TrackInv'!H64</f>
        <v>0</v>
      </c>
      <c r="AA24" s="1381" t="str">
        <f>'A-55 TrackInv'!J64</f>
        <v>Each</v>
      </c>
      <c r="AB24" s="1381">
        <f>'A-55 TrackInv'!L64</f>
        <v>0</v>
      </c>
      <c r="AC24" s="1381">
        <f>'A-55 TrackInv'!N64</f>
        <v>0</v>
      </c>
      <c r="AD24" s="1381">
        <f>'A-55 TrackInv'!R64</f>
        <v>0</v>
      </c>
    </row>
    <row r="25" spans="2:30" ht="13.7" customHeight="1" thickBot="1" x14ac:dyDescent="0.25">
      <c r="B25" s="1180">
        <f>'A-50 FGRailInv'!$C$13</f>
        <v>0</v>
      </c>
      <c r="C25" s="1297" t="str">
        <f>'A-50 FGRailInv'!C58</f>
        <v>Train Control &amp; Signaling</v>
      </c>
      <c r="D25" s="1298">
        <f>'A-50 FGRailInv'!H58</f>
        <v>0</v>
      </c>
      <c r="E25" s="1298"/>
      <c r="F25" s="1298">
        <f>'A-50 FGRailInv'!J58</f>
        <v>0</v>
      </c>
      <c r="G25" s="1298">
        <f>'A-50 FGRailInv'!L58</f>
        <v>0</v>
      </c>
      <c r="H25" s="1298">
        <f>'A-50 FGRailInv'!N58</f>
        <v>0</v>
      </c>
      <c r="I25" s="1298">
        <f>'A-50 FGRailInv'!P58</f>
        <v>0</v>
      </c>
      <c r="J25" s="1298">
        <f>'A-50 FGRailInv'!R58</f>
        <v>0</v>
      </c>
      <c r="K25" s="1298">
        <f>'A-50 FGRailInv'!T58</f>
        <v>0</v>
      </c>
      <c r="L25" s="1298">
        <f>'A-50 FGRailInv'!V58</f>
        <v>0</v>
      </c>
      <c r="M25" s="1298">
        <f>'A-50 FGRailInv'!X58</f>
        <v>0</v>
      </c>
      <c r="N25" s="1298">
        <f>'A-50 FGRailInv'!Z58</f>
        <v>0</v>
      </c>
      <c r="O25" s="1298">
        <f>'A-50 FGRailInv'!AB58</f>
        <v>0</v>
      </c>
      <c r="P25" s="1298">
        <f>'A-50 FGRailInv'!AD58</f>
        <v>0</v>
      </c>
      <c r="Q25" s="1298">
        <f>'A-50 FGRailInv'!AF58</f>
        <v>0</v>
      </c>
      <c r="R25" s="1298">
        <f>'A-50 FGRailInv'!AH58</f>
        <v>0</v>
      </c>
      <c r="S25" s="1298">
        <f>'A-50 FGRailInv'!AJ58</f>
        <v>0</v>
      </c>
      <c r="T25" s="1298">
        <f>'A-50 FGRailInv'!AL58</f>
        <v>0</v>
      </c>
      <c r="U25" s="1299">
        <f>'A-50 FGRailInv'!AP58</f>
        <v>0</v>
      </c>
      <c r="X25" s="1380">
        <f>'A-55 TrackInv'!$C$44</f>
        <v>0</v>
      </c>
      <c r="Y25" s="1381" t="str">
        <f>'A-55 TrackInv'!C66</f>
        <v>Grade Crossings</v>
      </c>
      <c r="Z25" s="1381">
        <f>'A-55 TrackInv'!H66</f>
        <v>0</v>
      </c>
      <c r="AA25" s="1381" t="str">
        <f>'A-55 TrackInv'!J66</f>
        <v>Each</v>
      </c>
      <c r="AB25" s="1381">
        <f>'A-55 TrackInv'!L66</f>
        <v>0</v>
      </c>
      <c r="AC25" s="1381">
        <f>'A-55 TrackInv'!N66</f>
        <v>0</v>
      </c>
      <c r="AD25" s="1381">
        <f>'A-55 TrackInv'!R66</f>
        <v>0</v>
      </c>
    </row>
    <row r="26" spans="2:30" x14ac:dyDescent="0.2">
      <c r="B26" s="1180">
        <f>'A-50 FGRailInv'!$C$69</f>
        <v>0</v>
      </c>
      <c r="C26" s="1288" t="str">
        <f>'A-50 FGRailInv'!C73</f>
        <v>At-Grade/Ballast (including expressway)</v>
      </c>
      <c r="D26" s="1289">
        <f>'A-50 FGRailInv'!H73</f>
        <v>0</v>
      </c>
      <c r="E26" s="1289"/>
      <c r="F26" s="1289">
        <f>'A-50 FGRailInv'!J73</f>
        <v>0</v>
      </c>
      <c r="G26" s="1289">
        <f>'A-50 FGRailInv'!L73</f>
        <v>0</v>
      </c>
      <c r="H26" s="1289">
        <f>'A-50 FGRailInv'!N73</f>
        <v>0</v>
      </c>
      <c r="I26" s="1289">
        <f>'A-50 FGRailInv'!P73</f>
        <v>0</v>
      </c>
      <c r="J26" s="1289">
        <f>'A-50 FGRailInv'!R73</f>
        <v>0</v>
      </c>
      <c r="K26" s="1289">
        <f>'A-50 FGRailInv'!T73</f>
        <v>0</v>
      </c>
      <c r="L26" s="1289">
        <f>'A-50 FGRailInv'!V73</f>
        <v>0</v>
      </c>
      <c r="M26" s="1289">
        <f>'A-50 FGRailInv'!X73</f>
        <v>0</v>
      </c>
      <c r="N26" s="1289">
        <f>'A-50 FGRailInv'!Z73</f>
        <v>0</v>
      </c>
      <c r="O26" s="1289">
        <f>'A-50 FGRailInv'!AB73</f>
        <v>0</v>
      </c>
      <c r="P26" s="1289">
        <f>'A-50 FGRailInv'!AD73</f>
        <v>0</v>
      </c>
      <c r="Q26" s="1289">
        <f>'A-50 FGRailInv'!AF73</f>
        <v>0</v>
      </c>
      <c r="R26" s="1289">
        <f>'A-50 FGRailInv'!AH73</f>
        <v>0</v>
      </c>
      <c r="S26" s="1289">
        <f>'A-50 FGRailInv'!AJ73</f>
        <v>0</v>
      </c>
      <c r="T26" s="1289">
        <f>'A-50 FGRailInv'!AL73</f>
        <v>0</v>
      </c>
      <c r="U26" s="1290">
        <f>'A-50 FGRailInv'!AP73</f>
        <v>0</v>
      </c>
      <c r="X26" s="1380">
        <f>'A-55 TrackInv'!$C$75</f>
        <v>0</v>
      </c>
      <c r="Y26" s="1381" t="str">
        <f>'A-55 TrackInv'!C81</f>
        <v>Tangent</v>
      </c>
      <c r="Z26" s="1381">
        <f>'A-55 TrackInv'!H81</f>
        <v>0</v>
      </c>
      <c r="AA26" s="1381" t="str">
        <f>'A-55 TrackInv'!J81</f>
        <v>Track Feet</v>
      </c>
      <c r="AB26" s="1381">
        <f>'A-55 TrackInv'!L81</f>
        <v>0</v>
      </c>
      <c r="AC26" s="1381">
        <f>'A-55 TrackInv'!N81</f>
        <v>0</v>
      </c>
      <c r="AD26" s="1381">
        <f>'A-55 TrackInv'!R81</f>
        <v>0</v>
      </c>
    </row>
    <row r="27" spans="2:30" x14ac:dyDescent="0.2">
      <c r="B27" s="1180">
        <f>'A-50 FGRailInv'!$C$69</f>
        <v>0</v>
      </c>
      <c r="C27" s="1291" t="str">
        <f>'A-50 FGRailInv'!C76</f>
        <v>At-Grade/In-Street/Embedded</v>
      </c>
      <c r="D27" s="1081">
        <f>'A-50 FGRailInv'!H76</f>
        <v>0</v>
      </c>
      <c r="E27" s="1081"/>
      <c r="F27" s="1081">
        <f>'A-50 FGRailInv'!J76</f>
        <v>0</v>
      </c>
      <c r="G27" s="1081">
        <f>'A-50 FGRailInv'!L76</f>
        <v>0</v>
      </c>
      <c r="H27" s="1081">
        <f>'A-50 FGRailInv'!N76</f>
        <v>0</v>
      </c>
      <c r="I27" s="1081">
        <f>'A-50 FGRailInv'!P76</f>
        <v>0</v>
      </c>
      <c r="J27" s="1081">
        <f>'A-50 FGRailInv'!R76</f>
        <v>0</v>
      </c>
      <c r="K27" s="1081">
        <f>'A-50 FGRailInv'!T76</f>
        <v>0</v>
      </c>
      <c r="L27" s="1081">
        <f>'A-50 FGRailInv'!V76</f>
        <v>0</v>
      </c>
      <c r="M27" s="1081">
        <f>'A-50 FGRailInv'!X76</f>
        <v>0</v>
      </c>
      <c r="N27" s="1081">
        <f>'A-50 FGRailInv'!Z76</f>
        <v>0</v>
      </c>
      <c r="O27" s="1081">
        <f>'A-50 FGRailInv'!AB76</f>
        <v>0</v>
      </c>
      <c r="P27" s="1081">
        <f>'A-50 FGRailInv'!AD76</f>
        <v>0</v>
      </c>
      <c r="Q27" s="1081">
        <f>'A-50 FGRailInv'!AF76</f>
        <v>0</v>
      </c>
      <c r="R27" s="1081">
        <f>'A-50 FGRailInv'!AH76</f>
        <v>0</v>
      </c>
      <c r="S27" s="1081">
        <f>'A-50 FGRailInv'!AJ76</f>
        <v>0</v>
      </c>
      <c r="T27" s="1081">
        <f>'A-50 FGRailInv'!AL76</f>
        <v>0</v>
      </c>
      <c r="U27" s="1292">
        <f>'A-50 FGRailInv'!AP76</f>
        <v>0</v>
      </c>
      <c r="X27" s="1380">
        <f>'A-55 TrackInv'!$C$75</f>
        <v>0</v>
      </c>
      <c r="Y27" s="1381" t="str">
        <f>'A-55 TrackInv'!C83</f>
        <v>Curve</v>
      </c>
      <c r="Z27" s="1381">
        <f>'A-55 TrackInv'!H83</f>
        <v>0</v>
      </c>
      <c r="AA27" s="1381" t="str">
        <f>'A-55 TrackInv'!J83</f>
        <v>Track Feet</v>
      </c>
      <c r="AB27" s="1381">
        <f>'A-55 TrackInv'!L83</f>
        <v>0</v>
      </c>
      <c r="AC27" s="1381">
        <f>'A-55 TrackInv'!N83</f>
        <v>0</v>
      </c>
      <c r="AD27" s="1381">
        <f>'A-55 TrackInv'!R83</f>
        <v>0</v>
      </c>
    </row>
    <row r="28" spans="2:30" x14ac:dyDescent="0.2">
      <c r="B28" s="1180">
        <f>'A-50 FGRailInv'!$C$69</f>
        <v>0</v>
      </c>
      <c r="C28" s="1291" t="str">
        <f>'A-50 FGRailInv'!C79</f>
        <v>Elevated/Retained Fill</v>
      </c>
      <c r="D28" s="1081">
        <f>'A-50 FGRailInv'!H79</f>
        <v>0</v>
      </c>
      <c r="E28" s="1081"/>
      <c r="F28" s="1081">
        <f>'A-50 FGRailInv'!J79</f>
        <v>0</v>
      </c>
      <c r="G28" s="1081">
        <f>'A-50 FGRailInv'!L79</f>
        <v>0</v>
      </c>
      <c r="H28" s="1081">
        <f>'A-50 FGRailInv'!N79</f>
        <v>0</v>
      </c>
      <c r="I28" s="1081">
        <f>'A-50 FGRailInv'!P79</f>
        <v>0</v>
      </c>
      <c r="J28" s="1081">
        <f>'A-50 FGRailInv'!R79</f>
        <v>0</v>
      </c>
      <c r="K28" s="1081">
        <f>'A-50 FGRailInv'!T79</f>
        <v>0</v>
      </c>
      <c r="L28" s="1081">
        <f>'A-50 FGRailInv'!V79</f>
        <v>0</v>
      </c>
      <c r="M28" s="1081">
        <f>'A-50 FGRailInv'!X79</f>
        <v>0</v>
      </c>
      <c r="N28" s="1081">
        <f>'A-50 FGRailInv'!Z79</f>
        <v>0</v>
      </c>
      <c r="O28" s="1081">
        <f>'A-50 FGRailInv'!AB79</f>
        <v>0</v>
      </c>
      <c r="P28" s="1081">
        <f>'A-50 FGRailInv'!AD79</f>
        <v>0</v>
      </c>
      <c r="Q28" s="1081">
        <f>'A-50 FGRailInv'!AF79</f>
        <v>0</v>
      </c>
      <c r="R28" s="1081">
        <f>'A-50 FGRailInv'!AH79</f>
        <v>0</v>
      </c>
      <c r="S28" s="1081">
        <f>'A-50 FGRailInv'!AJ79</f>
        <v>0</v>
      </c>
      <c r="T28" s="1081">
        <f>'A-50 FGRailInv'!AL79</f>
        <v>0</v>
      </c>
      <c r="U28" s="1292">
        <f>'A-50 FGRailInv'!AP79</f>
        <v>0</v>
      </c>
      <c r="X28" s="1380">
        <f>'A-55 TrackInv'!$C$75</f>
        <v>0</v>
      </c>
      <c r="Y28" s="1381" t="str">
        <f>'A-55 TrackInv'!C89</f>
        <v>Double Diamond Crossover</v>
      </c>
      <c r="Z28" s="1381">
        <f>'A-55 TrackInv'!H89</f>
        <v>0</v>
      </c>
      <c r="AA28" s="1381" t="str">
        <f>'A-55 TrackInv'!J89</f>
        <v>Each</v>
      </c>
      <c r="AB28" s="1381">
        <f>'A-55 TrackInv'!L89</f>
        <v>0</v>
      </c>
      <c r="AC28" s="1381">
        <f>'A-55 TrackInv'!N89</f>
        <v>0</v>
      </c>
      <c r="AD28" s="1381">
        <f>'A-55 TrackInv'!R89</f>
        <v>0</v>
      </c>
    </row>
    <row r="29" spans="2:30" x14ac:dyDescent="0.2">
      <c r="B29" s="1180">
        <f>'A-50 FGRailInv'!$C$69</f>
        <v>0</v>
      </c>
      <c r="C29" s="1291" t="str">
        <f>'A-50 FGRailInv'!C82</f>
        <v>Elevated/Concrete</v>
      </c>
      <c r="D29" s="1081">
        <f>'A-50 FGRailInv'!H82</f>
        <v>0</v>
      </c>
      <c r="E29" s="1081"/>
      <c r="F29" s="1081">
        <f>'A-50 FGRailInv'!J82</f>
        <v>0</v>
      </c>
      <c r="G29" s="1081">
        <f>'A-50 FGRailInv'!L82</f>
        <v>0</v>
      </c>
      <c r="H29" s="1081">
        <f>'A-50 FGRailInv'!N82</f>
        <v>0</v>
      </c>
      <c r="I29" s="1081">
        <f>'A-50 FGRailInv'!P82</f>
        <v>0</v>
      </c>
      <c r="J29" s="1081">
        <f>'A-50 FGRailInv'!R82</f>
        <v>0</v>
      </c>
      <c r="K29" s="1081">
        <f>'A-50 FGRailInv'!T82</f>
        <v>0</v>
      </c>
      <c r="L29" s="1081">
        <f>'A-50 FGRailInv'!V82</f>
        <v>0</v>
      </c>
      <c r="M29" s="1081">
        <f>'A-50 FGRailInv'!X82</f>
        <v>0</v>
      </c>
      <c r="N29" s="1081">
        <f>'A-50 FGRailInv'!Z82</f>
        <v>0</v>
      </c>
      <c r="O29" s="1081">
        <f>'A-50 FGRailInv'!AB82</f>
        <v>0</v>
      </c>
      <c r="P29" s="1081">
        <f>'A-50 FGRailInv'!AD82</f>
        <v>0</v>
      </c>
      <c r="Q29" s="1081">
        <f>'A-50 FGRailInv'!AF82</f>
        <v>0</v>
      </c>
      <c r="R29" s="1081">
        <f>'A-50 FGRailInv'!AH82</f>
        <v>0</v>
      </c>
      <c r="S29" s="1081">
        <f>'A-50 FGRailInv'!AJ82</f>
        <v>0</v>
      </c>
      <c r="T29" s="1081">
        <f>'A-50 FGRailInv'!AL82</f>
        <v>0</v>
      </c>
      <c r="U29" s="1292">
        <f>'A-50 FGRailInv'!AP82</f>
        <v>0</v>
      </c>
      <c r="X29" s="1380">
        <f>'A-55 TrackInv'!$C$75</f>
        <v>0</v>
      </c>
      <c r="Y29" s="1381" t="str">
        <f>'A-55 TrackInv'!C91</f>
        <v>Single Crossover</v>
      </c>
      <c r="Z29" s="1381">
        <f>'A-55 TrackInv'!H91</f>
        <v>0</v>
      </c>
      <c r="AA29" s="1381" t="str">
        <f>'A-55 TrackInv'!J91</f>
        <v>Each</v>
      </c>
      <c r="AB29" s="1381">
        <f>'A-55 TrackInv'!L91</f>
        <v>0</v>
      </c>
      <c r="AC29" s="1381">
        <f>'A-55 TrackInv'!N91</f>
        <v>0</v>
      </c>
      <c r="AD29" s="1381">
        <f>'A-55 TrackInv'!R91</f>
        <v>0</v>
      </c>
    </row>
    <row r="30" spans="2:30" x14ac:dyDescent="0.2">
      <c r="B30" s="1180">
        <f>'A-50 FGRailInv'!$C$69</f>
        <v>0</v>
      </c>
      <c r="C30" s="1291" t="str">
        <f>'A-50 FGRailInv'!C85</f>
        <v>Elevated/Steel Viaduct or Bridge</v>
      </c>
      <c r="D30" s="1081">
        <f>'A-50 FGRailInv'!H85</f>
        <v>0</v>
      </c>
      <c r="E30" s="1081"/>
      <c r="F30" s="1081">
        <f>'A-50 FGRailInv'!J85</f>
        <v>0</v>
      </c>
      <c r="G30" s="1081">
        <f>'A-50 FGRailInv'!L85</f>
        <v>0</v>
      </c>
      <c r="H30" s="1081">
        <f>'A-50 FGRailInv'!N85</f>
        <v>0</v>
      </c>
      <c r="I30" s="1081">
        <f>'A-50 FGRailInv'!P85</f>
        <v>0</v>
      </c>
      <c r="J30" s="1081">
        <f>'A-50 FGRailInv'!R85</f>
        <v>0</v>
      </c>
      <c r="K30" s="1081">
        <f>'A-50 FGRailInv'!T85</f>
        <v>0</v>
      </c>
      <c r="L30" s="1081">
        <f>'A-50 FGRailInv'!V85</f>
        <v>0</v>
      </c>
      <c r="M30" s="1081">
        <f>'A-50 FGRailInv'!X85</f>
        <v>0</v>
      </c>
      <c r="N30" s="1081">
        <f>'A-50 FGRailInv'!Z85</f>
        <v>0</v>
      </c>
      <c r="O30" s="1081">
        <f>'A-50 FGRailInv'!AB85</f>
        <v>0</v>
      </c>
      <c r="P30" s="1081">
        <f>'A-50 FGRailInv'!AD85</f>
        <v>0</v>
      </c>
      <c r="Q30" s="1081">
        <f>'A-50 FGRailInv'!AF85</f>
        <v>0</v>
      </c>
      <c r="R30" s="1081">
        <f>'A-50 FGRailInv'!AH85</f>
        <v>0</v>
      </c>
      <c r="S30" s="1081">
        <f>'A-50 FGRailInv'!AJ85</f>
        <v>0</v>
      </c>
      <c r="T30" s="1081">
        <f>'A-50 FGRailInv'!AL85</f>
        <v>0</v>
      </c>
      <c r="U30" s="1292">
        <f>'A-50 FGRailInv'!AP85</f>
        <v>0</v>
      </c>
      <c r="X30" s="1380">
        <f>'A-55 TrackInv'!$C$75</f>
        <v>0</v>
      </c>
      <c r="Y30" s="1381" t="str">
        <f>'A-55 TrackInv'!C93</f>
        <v>Half Grand Union</v>
      </c>
      <c r="Z30" s="1381">
        <f>'A-55 TrackInv'!H93</f>
        <v>0</v>
      </c>
      <c r="AA30" s="1381" t="str">
        <f>'A-55 TrackInv'!J93</f>
        <v>Each</v>
      </c>
      <c r="AB30" s="1381">
        <f>'A-55 TrackInv'!L93</f>
        <v>0</v>
      </c>
      <c r="AC30" s="1381">
        <f>'A-55 TrackInv'!N93</f>
        <v>0</v>
      </c>
      <c r="AD30" s="1381">
        <f>'A-55 TrackInv'!R93</f>
        <v>0</v>
      </c>
    </row>
    <row r="31" spans="2:30" x14ac:dyDescent="0.2">
      <c r="B31" s="1180">
        <f>'A-50 FGRailInv'!$C$69</f>
        <v>0</v>
      </c>
      <c r="C31" s="1291" t="str">
        <f>'A-50 FGRailInv'!C88</f>
        <v>Below-Grade/Retained Cut</v>
      </c>
      <c r="D31" s="1081">
        <f>'A-50 FGRailInv'!H88</f>
        <v>0</v>
      </c>
      <c r="E31" s="1081"/>
      <c r="F31" s="1081">
        <f>'A-50 FGRailInv'!J88</f>
        <v>0</v>
      </c>
      <c r="G31" s="1081">
        <f>'A-50 FGRailInv'!L88</f>
        <v>0</v>
      </c>
      <c r="H31" s="1081">
        <f>'A-50 FGRailInv'!N88</f>
        <v>0</v>
      </c>
      <c r="I31" s="1081">
        <f>'A-50 FGRailInv'!P88</f>
        <v>0</v>
      </c>
      <c r="J31" s="1081">
        <f>'A-50 FGRailInv'!R88</f>
        <v>0</v>
      </c>
      <c r="K31" s="1081">
        <f>'A-50 FGRailInv'!T88</f>
        <v>0</v>
      </c>
      <c r="L31" s="1081">
        <f>'A-50 FGRailInv'!V88</f>
        <v>0</v>
      </c>
      <c r="M31" s="1081">
        <f>'A-50 FGRailInv'!X88</f>
        <v>0</v>
      </c>
      <c r="N31" s="1081">
        <f>'A-50 FGRailInv'!Z88</f>
        <v>0</v>
      </c>
      <c r="O31" s="1081">
        <f>'A-50 FGRailInv'!AB88</f>
        <v>0</v>
      </c>
      <c r="P31" s="1081">
        <f>'A-50 FGRailInv'!AD88</f>
        <v>0</v>
      </c>
      <c r="Q31" s="1081">
        <f>'A-50 FGRailInv'!AF88</f>
        <v>0</v>
      </c>
      <c r="R31" s="1081">
        <f>'A-50 FGRailInv'!AH88</f>
        <v>0</v>
      </c>
      <c r="S31" s="1081">
        <f>'A-50 FGRailInv'!AJ88</f>
        <v>0</v>
      </c>
      <c r="T31" s="1081">
        <f>'A-50 FGRailInv'!AL88</f>
        <v>0</v>
      </c>
      <c r="U31" s="1292">
        <f>'A-50 FGRailInv'!AP88</f>
        <v>0</v>
      </c>
      <c r="X31" s="1380">
        <f>'A-55 TrackInv'!$C$75</f>
        <v>0</v>
      </c>
      <c r="Y31" s="1381" t="str">
        <f>'A-55 TrackInv'!C95</f>
        <v>Single Turnout</v>
      </c>
      <c r="Z31" s="1381">
        <f>'A-55 TrackInv'!H95</f>
        <v>0</v>
      </c>
      <c r="AA31" s="1381" t="str">
        <f>'A-55 TrackInv'!J95</f>
        <v>Each</v>
      </c>
      <c r="AB31" s="1381">
        <f>'A-55 TrackInv'!L95</f>
        <v>0</v>
      </c>
      <c r="AC31" s="1381">
        <f>'A-55 TrackInv'!N95</f>
        <v>0</v>
      </c>
      <c r="AD31" s="1381">
        <f>'A-55 TrackInv'!R95</f>
        <v>0</v>
      </c>
    </row>
    <row r="32" spans="2:30" x14ac:dyDescent="0.2">
      <c r="B32" s="1180">
        <f>'A-50 FGRailInv'!$C$69</f>
        <v>0</v>
      </c>
      <c r="C32" s="1291" t="str">
        <f>'A-50 FGRailInv'!C91</f>
        <v>Below-Grade/Cut-and-Cover Tunnel</v>
      </c>
      <c r="D32" s="1081">
        <f>'A-50 FGRailInv'!H91</f>
        <v>0</v>
      </c>
      <c r="E32" s="1081"/>
      <c r="F32" s="1081">
        <f>'A-50 FGRailInv'!J91</f>
        <v>0</v>
      </c>
      <c r="G32" s="1081">
        <f>'A-50 FGRailInv'!L91</f>
        <v>0</v>
      </c>
      <c r="H32" s="1081">
        <f>'A-50 FGRailInv'!N91</f>
        <v>0</v>
      </c>
      <c r="I32" s="1081">
        <f>'A-50 FGRailInv'!P91</f>
        <v>0</v>
      </c>
      <c r="J32" s="1081">
        <f>'A-50 FGRailInv'!R91</f>
        <v>0</v>
      </c>
      <c r="K32" s="1081">
        <f>'A-50 FGRailInv'!T91</f>
        <v>0</v>
      </c>
      <c r="L32" s="1081">
        <f>'A-50 FGRailInv'!V91</f>
        <v>0</v>
      </c>
      <c r="M32" s="1081">
        <f>'A-50 FGRailInv'!X91</f>
        <v>0</v>
      </c>
      <c r="N32" s="1081">
        <f>'A-50 FGRailInv'!Z91</f>
        <v>0</v>
      </c>
      <c r="O32" s="1081">
        <f>'A-50 FGRailInv'!AB91</f>
        <v>0</v>
      </c>
      <c r="P32" s="1081">
        <f>'A-50 FGRailInv'!AD91</f>
        <v>0</v>
      </c>
      <c r="Q32" s="1081">
        <f>'A-50 FGRailInv'!AF91</f>
        <v>0</v>
      </c>
      <c r="R32" s="1081">
        <f>'A-50 FGRailInv'!AH91</f>
        <v>0</v>
      </c>
      <c r="S32" s="1081">
        <f>'A-50 FGRailInv'!AJ91</f>
        <v>0</v>
      </c>
      <c r="T32" s="1081">
        <f>'A-50 FGRailInv'!AL91</f>
        <v>0</v>
      </c>
      <c r="U32" s="1292">
        <f>'A-50 FGRailInv'!AP91</f>
        <v>0</v>
      </c>
      <c r="X32" s="1380">
        <f>'A-55 TrackInv'!$C$75</f>
        <v>0</v>
      </c>
      <c r="Y32" s="1381" t="str">
        <f>'A-55 TrackInv'!C97</f>
        <v>Grade Crossings</v>
      </c>
      <c r="Z32" s="1381">
        <f>'A-55 TrackInv'!H97</f>
        <v>0</v>
      </c>
      <c r="AA32" s="1381" t="str">
        <f>'A-55 TrackInv'!J97</f>
        <v>Each</v>
      </c>
      <c r="AB32" s="1381">
        <f>'A-55 TrackInv'!L97</f>
        <v>0</v>
      </c>
      <c r="AC32" s="1381">
        <f>'A-55 TrackInv'!N97</f>
        <v>0</v>
      </c>
      <c r="AD32" s="1381">
        <f>'A-55 TrackInv'!R97</f>
        <v>0</v>
      </c>
    </row>
    <row r="33" spans="2:30" x14ac:dyDescent="0.2">
      <c r="B33" s="1180">
        <f>'A-50 FGRailInv'!$C$69</f>
        <v>0</v>
      </c>
      <c r="C33" s="1291" t="str">
        <f>'A-50 FGRailInv'!C94</f>
        <v>Below-Grade/Bored or Blasted Tunnel</v>
      </c>
      <c r="D33" s="1081">
        <f>'A-50 FGRailInv'!H94</f>
        <v>0</v>
      </c>
      <c r="E33" s="1081"/>
      <c r="F33" s="1081">
        <f>'A-50 FGRailInv'!J94</f>
        <v>0</v>
      </c>
      <c r="G33" s="1081">
        <f>'A-50 FGRailInv'!L94</f>
        <v>0</v>
      </c>
      <c r="H33" s="1081">
        <f>'A-50 FGRailInv'!N94</f>
        <v>0</v>
      </c>
      <c r="I33" s="1081">
        <f>'A-50 FGRailInv'!P94</f>
        <v>0</v>
      </c>
      <c r="J33" s="1081">
        <f>'A-50 FGRailInv'!R94</f>
        <v>0</v>
      </c>
      <c r="K33" s="1081">
        <f>'A-50 FGRailInv'!T94</f>
        <v>0</v>
      </c>
      <c r="L33" s="1081">
        <f>'A-50 FGRailInv'!V94</f>
        <v>0</v>
      </c>
      <c r="M33" s="1081">
        <f>'A-50 FGRailInv'!X94</f>
        <v>0</v>
      </c>
      <c r="N33" s="1081">
        <f>'A-50 FGRailInv'!Z94</f>
        <v>0</v>
      </c>
      <c r="O33" s="1081">
        <f>'A-50 FGRailInv'!AB94</f>
        <v>0</v>
      </c>
      <c r="P33" s="1081">
        <f>'A-50 FGRailInv'!AD94</f>
        <v>0</v>
      </c>
      <c r="Q33" s="1081">
        <f>'A-50 FGRailInv'!AF94</f>
        <v>0</v>
      </c>
      <c r="R33" s="1081">
        <f>'A-50 FGRailInv'!AH94</f>
        <v>0</v>
      </c>
      <c r="S33" s="1081">
        <f>'A-50 FGRailInv'!AJ94</f>
        <v>0</v>
      </c>
      <c r="T33" s="1081">
        <f>'A-50 FGRailInv'!AL94</f>
        <v>0</v>
      </c>
      <c r="U33" s="1292">
        <f>'A-50 FGRailInv'!AP94</f>
        <v>0</v>
      </c>
      <c r="X33" s="1380">
        <f>'A-55 TrackInv'!$C$106</f>
        <v>0</v>
      </c>
      <c r="Y33" s="1381" t="str">
        <f>'A-55 TrackInv'!C112</f>
        <v>Tangent</v>
      </c>
      <c r="Z33" s="1381">
        <f>'A-55 TrackInv'!H112</f>
        <v>0</v>
      </c>
      <c r="AA33" s="1381" t="str">
        <f>'A-55 TrackInv'!J112</f>
        <v>Track Feet</v>
      </c>
      <c r="AB33" s="1381">
        <f>'A-55 TrackInv'!L112</f>
        <v>0</v>
      </c>
      <c r="AC33" s="1381">
        <f>'A-55 TrackInv'!N112</f>
        <v>0</v>
      </c>
      <c r="AD33" s="1381">
        <f>'A-55 TrackInv'!R112</f>
        <v>0</v>
      </c>
    </row>
    <row r="34" spans="2:30" x14ac:dyDescent="0.2">
      <c r="B34" s="1180">
        <f>'A-50 FGRailInv'!$C$69</f>
        <v>0</v>
      </c>
      <c r="C34" s="1293" t="str">
        <f>'A-50 FGRailInv'!C97</f>
        <v>Below-Grade/Submerged Tube</v>
      </c>
      <c r="D34" s="1287">
        <f>'A-50 FGRailInv'!H97</f>
        <v>0</v>
      </c>
      <c r="E34" s="1287"/>
      <c r="F34" s="1287">
        <f>'A-50 FGRailInv'!J97</f>
        <v>0</v>
      </c>
      <c r="G34" s="1287">
        <f>'A-50 FGRailInv'!L97</f>
        <v>0</v>
      </c>
      <c r="H34" s="1287">
        <f>'A-50 FGRailInv'!N97</f>
        <v>0</v>
      </c>
      <c r="I34" s="1287">
        <f>'A-50 FGRailInv'!P97</f>
        <v>0</v>
      </c>
      <c r="J34" s="1287">
        <f>'A-50 FGRailInv'!R97</f>
        <v>0</v>
      </c>
      <c r="K34" s="1287">
        <f>'A-50 FGRailInv'!T97</f>
        <v>0</v>
      </c>
      <c r="L34" s="1287">
        <f>'A-50 FGRailInv'!V97</f>
        <v>0</v>
      </c>
      <c r="M34" s="1287">
        <f>'A-50 FGRailInv'!X97</f>
        <v>0</v>
      </c>
      <c r="N34" s="1287">
        <f>'A-50 FGRailInv'!Z97</f>
        <v>0</v>
      </c>
      <c r="O34" s="1287">
        <f>'A-50 FGRailInv'!AB97</f>
        <v>0</v>
      </c>
      <c r="P34" s="1287">
        <f>'A-50 FGRailInv'!AD97</f>
        <v>0</v>
      </c>
      <c r="Q34" s="1287">
        <f>'A-50 FGRailInv'!AF97</f>
        <v>0</v>
      </c>
      <c r="R34" s="1287">
        <f>'A-50 FGRailInv'!AH97</f>
        <v>0</v>
      </c>
      <c r="S34" s="1287">
        <f>'A-50 FGRailInv'!AJ97</f>
        <v>0</v>
      </c>
      <c r="T34" s="1287">
        <f>'A-50 FGRailInv'!AL97</f>
        <v>0</v>
      </c>
      <c r="U34" s="1294">
        <f>'A-50 FGRailInv'!AP97</f>
        <v>0</v>
      </c>
      <c r="X34" s="1380">
        <f>'A-55 TrackInv'!$C$106</f>
        <v>0</v>
      </c>
      <c r="Y34" s="1381" t="str">
        <f>'A-55 TrackInv'!C114</f>
        <v>Curve</v>
      </c>
      <c r="Z34" s="1381">
        <f>'A-55 TrackInv'!H114</f>
        <v>0</v>
      </c>
      <c r="AA34" s="1381" t="str">
        <f>'A-55 TrackInv'!J114</f>
        <v>Track Feet</v>
      </c>
      <c r="AB34" s="1381">
        <f>'A-55 TrackInv'!L114</f>
        <v>0</v>
      </c>
      <c r="AC34" s="1381">
        <f>'A-55 TrackInv'!N114</f>
        <v>0</v>
      </c>
      <c r="AD34" s="1381">
        <f>'A-55 TrackInv'!R114</f>
        <v>0</v>
      </c>
    </row>
    <row r="35" spans="2:30" x14ac:dyDescent="0.2">
      <c r="B35" s="1180">
        <f>'A-50 FGRailInv'!$C$69</f>
        <v>0</v>
      </c>
      <c r="C35" s="1295" t="str">
        <f>'A-50 FGRailInv'!C102</f>
        <v>Substation Building</v>
      </c>
      <c r="D35" s="1286">
        <f>'A-50 FGRailInv'!H102</f>
        <v>0</v>
      </c>
      <c r="E35" s="1286"/>
      <c r="F35" s="1286">
        <f>'A-50 FGRailInv'!J102</f>
        <v>0</v>
      </c>
      <c r="G35" s="1286">
        <f>'A-50 FGRailInv'!L102</f>
        <v>0</v>
      </c>
      <c r="H35" s="1286">
        <f>'A-50 FGRailInv'!N102</f>
        <v>0</v>
      </c>
      <c r="I35" s="1286">
        <f>'A-50 FGRailInv'!P102</f>
        <v>0</v>
      </c>
      <c r="J35" s="1286">
        <f>'A-50 FGRailInv'!R102</f>
        <v>0</v>
      </c>
      <c r="K35" s="1286">
        <f>'A-50 FGRailInv'!T102</f>
        <v>0</v>
      </c>
      <c r="L35" s="1286">
        <f>'A-50 FGRailInv'!V102</f>
        <v>0</v>
      </c>
      <c r="M35" s="1286">
        <f>'A-50 FGRailInv'!X102</f>
        <v>0</v>
      </c>
      <c r="N35" s="1286">
        <f>'A-50 FGRailInv'!Z102</f>
        <v>0</v>
      </c>
      <c r="O35" s="1286">
        <f>'A-50 FGRailInv'!AB102</f>
        <v>0</v>
      </c>
      <c r="P35" s="1286">
        <f>'A-50 FGRailInv'!AD102</f>
        <v>0</v>
      </c>
      <c r="Q35" s="1286">
        <f>'A-50 FGRailInv'!AF102</f>
        <v>0</v>
      </c>
      <c r="R35" s="1286">
        <f>'A-50 FGRailInv'!AH102</f>
        <v>0</v>
      </c>
      <c r="S35" s="1286">
        <f>'A-50 FGRailInv'!AJ102</f>
        <v>0</v>
      </c>
      <c r="T35" s="1286">
        <f>'A-50 FGRailInv'!AL102</f>
        <v>0</v>
      </c>
      <c r="U35" s="1296">
        <f>'A-50 FGRailInv'!AP102</f>
        <v>0</v>
      </c>
      <c r="X35" s="1380">
        <f>'A-55 TrackInv'!$C$106</f>
        <v>0</v>
      </c>
      <c r="Y35" s="1381" t="str">
        <f>'A-55 TrackInv'!C120</f>
        <v>Double Diamond Crossover</v>
      </c>
      <c r="Z35" s="1381">
        <f>'A-55 TrackInv'!H120</f>
        <v>0</v>
      </c>
      <c r="AA35" s="1381" t="str">
        <f>'A-55 TrackInv'!J120</f>
        <v>Each</v>
      </c>
      <c r="AB35" s="1381">
        <f>'A-55 TrackInv'!L120</f>
        <v>0</v>
      </c>
      <c r="AC35" s="1381">
        <f>'A-55 TrackInv'!N120</f>
        <v>0</v>
      </c>
      <c r="AD35" s="1381">
        <f>'A-55 TrackInv'!R120</f>
        <v>0</v>
      </c>
    </row>
    <row r="36" spans="2:30" x14ac:dyDescent="0.2">
      <c r="B36" s="1180">
        <f>'A-50 FGRailInv'!$C$69</f>
        <v>0</v>
      </c>
      <c r="C36" s="1291" t="str">
        <f>'A-50 FGRailInv'!C105</f>
        <v>Substation Equipment</v>
      </c>
      <c r="D36" s="1081">
        <f>'A-50 FGRailInv'!H105</f>
        <v>0</v>
      </c>
      <c r="E36" s="1081"/>
      <c r="F36" s="1081">
        <f>'A-50 FGRailInv'!J105</f>
        <v>0</v>
      </c>
      <c r="G36" s="1081">
        <f>'A-50 FGRailInv'!L105</f>
        <v>0</v>
      </c>
      <c r="H36" s="1081">
        <f>'A-50 FGRailInv'!N105</f>
        <v>0</v>
      </c>
      <c r="I36" s="1081">
        <f>'A-50 FGRailInv'!P105</f>
        <v>0</v>
      </c>
      <c r="J36" s="1081">
        <f>'A-50 FGRailInv'!R105</f>
        <v>0</v>
      </c>
      <c r="K36" s="1081">
        <f>'A-50 FGRailInv'!T105</f>
        <v>0</v>
      </c>
      <c r="L36" s="1081">
        <f>'A-50 FGRailInv'!V105</f>
        <v>0</v>
      </c>
      <c r="M36" s="1081">
        <f>'A-50 FGRailInv'!X105</f>
        <v>0</v>
      </c>
      <c r="N36" s="1081">
        <f>'A-50 FGRailInv'!Z105</f>
        <v>0</v>
      </c>
      <c r="O36" s="1081">
        <f>'A-50 FGRailInv'!AB105</f>
        <v>0</v>
      </c>
      <c r="P36" s="1081">
        <f>'A-50 FGRailInv'!AD105</f>
        <v>0</v>
      </c>
      <c r="Q36" s="1081">
        <f>'A-50 FGRailInv'!AF105</f>
        <v>0</v>
      </c>
      <c r="R36" s="1081">
        <f>'A-50 FGRailInv'!AH105</f>
        <v>0</v>
      </c>
      <c r="S36" s="1081">
        <f>'A-50 FGRailInv'!AJ105</f>
        <v>0</v>
      </c>
      <c r="T36" s="1081">
        <f>'A-50 FGRailInv'!AL105</f>
        <v>0</v>
      </c>
      <c r="U36" s="1292">
        <f>'A-50 FGRailInv'!AP105</f>
        <v>0</v>
      </c>
      <c r="X36" s="1380">
        <f>'A-55 TrackInv'!$C$106</f>
        <v>0</v>
      </c>
      <c r="Y36" s="1381" t="str">
        <f>'A-55 TrackInv'!C122</f>
        <v>Single Crossover</v>
      </c>
      <c r="Z36" s="1381">
        <f>'A-55 TrackInv'!H122</f>
        <v>0</v>
      </c>
      <c r="AA36" s="1381" t="str">
        <f>'A-55 TrackInv'!J122</f>
        <v>Each</v>
      </c>
      <c r="AB36" s="1381">
        <f>'A-55 TrackInv'!L122</f>
        <v>0</v>
      </c>
      <c r="AC36" s="1381">
        <f>'A-55 TrackInv'!N122</f>
        <v>0</v>
      </c>
      <c r="AD36" s="1381">
        <f>'A-55 TrackInv'!R122</f>
        <v>0</v>
      </c>
    </row>
    <row r="37" spans="2:30" x14ac:dyDescent="0.2">
      <c r="B37" s="1180">
        <f>'A-50 FGRailInv'!$C$69</f>
        <v>0</v>
      </c>
      <c r="C37" s="1291" t="str">
        <f>'A-50 FGRailInv'!C108</f>
        <v>Third Rail/Power Distribution</v>
      </c>
      <c r="D37" s="1081">
        <f>'A-50 FGRailInv'!H108</f>
        <v>0</v>
      </c>
      <c r="E37" s="1081"/>
      <c r="F37" s="1081">
        <f>'A-50 FGRailInv'!J108</f>
        <v>0</v>
      </c>
      <c r="G37" s="1081">
        <f>'A-50 FGRailInv'!L108</f>
        <v>0</v>
      </c>
      <c r="H37" s="1081">
        <f>'A-50 FGRailInv'!N108</f>
        <v>0</v>
      </c>
      <c r="I37" s="1081">
        <f>'A-50 FGRailInv'!P108</f>
        <v>0</v>
      </c>
      <c r="J37" s="1081">
        <f>'A-50 FGRailInv'!R108</f>
        <v>0</v>
      </c>
      <c r="K37" s="1081">
        <f>'A-50 FGRailInv'!T108</f>
        <v>0</v>
      </c>
      <c r="L37" s="1081">
        <f>'A-50 FGRailInv'!V108</f>
        <v>0</v>
      </c>
      <c r="M37" s="1081">
        <f>'A-50 FGRailInv'!X108</f>
        <v>0</v>
      </c>
      <c r="N37" s="1081">
        <f>'A-50 FGRailInv'!Z108</f>
        <v>0</v>
      </c>
      <c r="O37" s="1081">
        <f>'A-50 FGRailInv'!AB108</f>
        <v>0</v>
      </c>
      <c r="P37" s="1081">
        <f>'A-50 FGRailInv'!AD108</f>
        <v>0</v>
      </c>
      <c r="Q37" s="1081">
        <f>'A-50 FGRailInv'!AF108</f>
        <v>0</v>
      </c>
      <c r="R37" s="1081">
        <f>'A-50 FGRailInv'!AH108</f>
        <v>0</v>
      </c>
      <c r="S37" s="1081">
        <f>'A-50 FGRailInv'!AJ108</f>
        <v>0</v>
      </c>
      <c r="T37" s="1081">
        <f>'A-50 FGRailInv'!AL108</f>
        <v>0</v>
      </c>
      <c r="U37" s="1292">
        <f>'A-50 FGRailInv'!AP108</f>
        <v>0</v>
      </c>
      <c r="X37" s="1380">
        <f>'A-55 TrackInv'!$C$106</f>
        <v>0</v>
      </c>
      <c r="Y37" s="1381" t="str">
        <f>'A-55 TrackInv'!C124</f>
        <v>Half Grand Union</v>
      </c>
      <c r="Z37" s="1381">
        <f>'A-55 TrackInv'!H124</f>
        <v>0</v>
      </c>
      <c r="AA37" s="1381" t="str">
        <f>'A-55 TrackInv'!J124</f>
        <v>Each</v>
      </c>
      <c r="AB37" s="1381">
        <f>'A-55 TrackInv'!L124</f>
        <v>0</v>
      </c>
      <c r="AC37" s="1381">
        <f>'A-55 TrackInv'!N124</f>
        <v>0</v>
      </c>
      <c r="AD37" s="1381">
        <f>'A-55 TrackInv'!R124</f>
        <v>0</v>
      </c>
    </row>
    <row r="38" spans="2:30" x14ac:dyDescent="0.2">
      <c r="B38" s="1180">
        <f>'A-50 FGRailInv'!$C$69</f>
        <v>0</v>
      </c>
      <c r="C38" s="1291" t="str">
        <f>'A-50 FGRailInv'!C111</f>
        <v>Overhead Contact System/Power Distribution</v>
      </c>
      <c r="D38" s="1081">
        <f>'A-50 FGRailInv'!H111</f>
        <v>0</v>
      </c>
      <c r="E38" s="1081"/>
      <c r="F38" s="1081">
        <f>'A-50 FGRailInv'!J111</f>
        <v>0</v>
      </c>
      <c r="G38" s="1081">
        <f>'A-50 FGRailInv'!L111</f>
        <v>0</v>
      </c>
      <c r="H38" s="1081">
        <f>'A-50 FGRailInv'!N111</f>
        <v>0</v>
      </c>
      <c r="I38" s="1081">
        <f>'A-50 FGRailInv'!P111</f>
        <v>0</v>
      </c>
      <c r="J38" s="1081">
        <f>'A-50 FGRailInv'!R111</f>
        <v>0</v>
      </c>
      <c r="K38" s="1081">
        <f>'A-50 FGRailInv'!T111</f>
        <v>0</v>
      </c>
      <c r="L38" s="1081">
        <f>'A-50 FGRailInv'!V111</f>
        <v>0</v>
      </c>
      <c r="M38" s="1081">
        <f>'A-50 FGRailInv'!X111</f>
        <v>0</v>
      </c>
      <c r="N38" s="1081">
        <f>'A-50 FGRailInv'!Z111</f>
        <v>0</v>
      </c>
      <c r="O38" s="1081">
        <f>'A-50 FGRailInv'!AB111</f>
        <v>0</v>
      </c>
      <c r="P38" s="1081">
        <f>'A-50 FGRailInv'!AD111</f>
        <v>0</v>
      </c>
      <c r="Q38" s="1081">
        <f>'A-50 FGRailInv'!AF111</f>
        <v>0</v>
      </c>
      <c r="R38" s="1081">
        <f>'A-50 FGRailInv'!AH111</f>
        <v>0</v>
      </c>
      <c r="S38" s="1081">
        <f>'A-50 FGRailInv'!AJ111</f>
        <v>0</v>
      </c>
      <c r="T38" s="1081">
        <f>'A-50 FGRailInv'!AL111</f>
        <v>0</v>
      </c>
      <c r="U38" s="1292">
        <f>'A-50 FGRailInv'!AP111</f>
        <v>0</v>
      </c>
      <c r="X38" s="1380">
        <f>'A-55 TrackInv'!$C$106</f>
        <v>0</v>
      </c>
      <c r="Y38" s="1381" t="str">
        <f>'A-55 TrackInv'!C126</f>
        <v>Single Turnout</v>
      </c>
      <c r="Z38" s="1381">
        <f>'A-55 TrackInv'!H126</f>
        <v>0</v>
      </c>
      <c r="AA38" s="1381" t="str">
        <f>'A-55 TrackInv'!J126</f>
        <v>Each</v>
      </c>
      <c r="AB38" s="1381">
        <f>'A-55 TrackInv'!L126</f>
        <v>0</v>
      </c>
      <c r="AC38" s="1381">
        <f>'A-55 TrackInv'!N126</f>
        <v>0</v>
      </c>
      <c r="AD38" s="1381">
        <f>'A-55 TrackInv'!R126</f>
        <v>0</v>
      </c>
    </row>
    <row r="39" spans="2:30" ht="13.5" thickBot="1" x14ac:dyDescent="0.25">
      <c r="B39" s="1180">
        <f>'A-50 FGRailInv'!$C$69</f>
        <v>0</v>
      </c>
      <c r="C39" s="1297" t="str">
        <f>'A-50 FGRailInv'!C114</f>
        <v>Train Control &amp; Signaling</v>
      </c>
      <c r="D39" s="1298">
        <f>'A-50 FGRailInv'!H114</f>
        <v>0</v>
      </c>
      <c r="E39" s="1298"/>
      <c r="F39" s="1298">
        <f>'A-50 FGRailInv'!J114</f>
        <v>0</v>
      </c>
      <c r="G39" s="1298">
        <f>'A-50 FGRailInv'!L114</f>
        <v>0</v>
      </c>
      <c r="H39" s="1298">
        <f>'A-50 FGRailInv'!N114</f>
        <v>0</v>
      </c>
      <c r="I39" s="1298">
        <f>'A-50 FGRailInv'!P114</f>
        <v>0</v>
      </c>
      <c r="J39" s="1298">
        <f>'A-50 FGRailInv'!R114</f>
        <v>0</v>
      </c>
      <c r="K39" s="1298">
        <f>'A-50 FGRailInv'!T114</f>
        <v>0</v>
      </c>
      <c r="L39" s="1298">
        <f>'A-50 FGRailInv'!V114</f>
        <v>0</v>
      </c>
      <c r="M39" s="1298">
        <f>'A-50 FGRailInv'!X114</f>
        <v>0</v>
      </c>
      <c r="N39" s="1298">
        <f>'A-50 FGRailInv'!Z114</f>
        <v>0</v>
      </c>
      <c r="O39" s="1298">
        <f>'A-50 FGRailInv'!AB114</f>
        <v>0</v>
      </c>
      <c r="P39" s="1298">
        <f>'A-50 FGRailInv'!AD114</f>
        <v>0</v>
      </c>
      <c r="Q39" s="1298">
        <f>'A-50 FGRailInv'!AF114</f>
        <v>0</v>
      </c>
      <c r="R39" s="1298">
        <f>'A-50 FGRailInv'!AH114</f>
        <v>0</v>
      </c>
      <c r="S39" s="1298">
        <f>'A-50 FGRailInv'!AJ114</f>
        <v>0</v>
      </c>
      <c r="T39" s="1298">
        <f>'A-50 FGRailInv'!AL114</f>
        <v>0</v>
      </c>
      <c r="U39" s="1299">
        <f>'A-50 FGRailInv'!AP114</f>
        <v>0</v>
      </c>
      <c r="X39" s="1380">
        <f>'A-55 TrackInv'!$C$106</f>
        <v>0</v>
      </c>
      <c r="Y39" s="1381" t="str">
        <f>'A-55 TrackInv'!C128</f>
        <v>Grade Crossings</v>
      </c>
      <c r="Z39" s="1381">
        <f>'A-55 TrackInv'!H128</f>
        <v>0</v>
      </c>
      <c r="AA39" s="1381" t="str">
        <f>'A-55 TrackInv'!J128</f>
        <v>Each</v>
      </c>
      <c r="AB39" s="1381">
        <f>'A-55 TrackInv'!L128</f>
        <v>0</v>
      </c>
      <c r="AC39" s="1381">
        <f>'A-55 TrackInv'!N128</f>
        <v>0</v>
      </c>
      <c r="AD39" s="1381">
        <f>'A-55 TrackInv'!R128</f>
        <v>0</v>
      </c>
    </row>
    <row r="40" spans="2:30" x14ac:dyDescent="0.2">
      <c r="B40" s="1180">
        <f>'A-50 FGRailInv'!$C$124</f>
        <v>0</v>
      </c>
      <c r="C40" s="1288" t="str">
        <f>'A-50 FGRailInv'!C128</f>
        <v>At-Grade/Ballast (including expressway)</v>
      </c>
      <c r="D40" s="1289">
        <f>'A-50 FGRailInv'!H128</f>
        <v>0</v>
      </c>
      <c r="E40" s="1289"/>
      <c r="F40" s="1289">
        <f>'A-50 FGRailInv'!J128</f>
        <v>0</v>
      </c>
      <c r="G40" s="1289">
        <f>'A-50 FGRailInv'!L128</f>
        <v>0</v>
      </c>
      <c r="H40" s="1289">
        <f>'A-50 FGRailInv'!N128</f>
        <v>0</v>
      </c>
      <c r="I40" s="1289">
        <f>'A-50 FGRailInv'!P128</f>
        <v>0</v>
      </c>
      <c r="J40" s="1289">
        <f>'A-50 FGRailInv'!R128</f>
        <v>0</v>
      </c>
      <c r="K40" s="1289">
        <f>'A-50 FGRailInv'!T128</f>
        <v>0</v>
      </c>
      <c r="L40" s="1289">
        <f>'A-50 FGRailInv'!V128</f>
        <v>0</v>
      </c>
      <c r="M40" s="1289">
        <f>'A-50 FGRailInv'!X128</f>
        <v>0</v>
      </c>
      <c r="N40" s="1289">
        <f>'A-50 FGRailInv'!Z128</f>
        <v>0</v>
      </c>
      <c r="O40" s="1289">
        <f>'A-50 FGRailInv'!AB128</f>
        <v>0</v>
      </c>
      <c r="P40" s="1289">
        <f>'A-50 FGRailInv'!AD128</f>
        <v>0</v>
      </c>
      <c r="Q40" s="1289">
        <f>'A-50 FGRailInv'!AF128</f>
        <v>0</v>
      </c>
      <c r="R40" s="1289">
        <f>'A-50 FGRailInv'!AH128</f>
        <v>0</v>
      </c>
      <c r="S40" s="1289">
        <f>'A-50 FGRailInv'!AJ128</f>
        <v>0</v>
      </c>
      <c r="T40" s="1289">
        <f>'A-50 FGRailInv'!AL128</f>
        <v>0</v>
      </c>
      <c r="U40" s="1290">
        <f>'A-50 FGRailInv'!AP128</f>
        <v>0</v>
      </c>
      <c r="X40" s="1380">
        <f>'A-55 TrackInv'!$C$137</f>
        <v>0</v>
      </c>
      <c r="Y40" s="1381" t="str">
        <f>'A-55 TrackInv'!C143</f>
        <v>Tangent</v>
      </c>
      <c r="Z40" s="1381">
        <f>'A-55 TrackInv'!H143</f>
        <v>0</v>
      </c>
      <c r="AA40" s="1381" t="str">
        <f>'A-55 TrackInv'!J143</f>
        <v>Track Feet</v>
      </c>
      <c r="AB40" s="1381">
        <f>'A-55 TrackInv'!L143</f>
        <v>0</v>
      </c>
      <c r="AC40" s="1381">
        <f>'A-55 TrackInv'!N143</f>
        <v>0</v>
      </c>
      <c r="AD40" s="1381">
        <f>'A-55 TrackInv'!R143</f>
        <v>0</v>
      </c>
    </row>
    <row r="41" spans="2:30" x14ac:dyDescent="0.2">
      <c r="B41" s="1180">
        <f>'A-50 FGRailInv'!$C$124</f>
        <v>0</v>
      </c>
      <c r="C41" s="1291" t="str">
        <f>'A-50 FGRailInv'!C131</f>
        <v>At-Grade/In-Street/Embedded</v>
      </c>
      <c r="D41" s="1081">
        <f>'A-50 FGRailInv'!H131</f>
        <v>0</v>
      </c>
      <c r="E41" s="1081"/>
      <c r="F41" s="1081">
        <f>'A-50 FGRailInv'!J131</f>
        <v>0</v>
      </c>
      <c r="G41" s="1081">
        <f>'A-50 FGRailInv'!L131</f>
        <v>0</v>
      </c>
      <c r="H41" s="1081">
        <f>'A-50 FGRailInv'!N131</f>
        <v>0</v>
      </c>
      <c r="I41" s="1081">
        <f>'A-50 FGRailInv'!P131</f>
        <v>0</v>
      </c>
      <c r="J41" s="1081">
        <f>'A-50 FGRailInv'!R131</f>
        <v>0</v>
      </c>
      <c r="K41" s="1081">
        <f>'A-50 FGRailInv'!T131</f>
        <v>0</v>
      </c>
      <c r="L41" s="1081">
        <f>'A-50 FGRailInv'!V131</f>
        <v>0</v>
      </c>
      <c r="M41" s="1081">
        <f>'A-50 FGRailInv'!X131</f>
        <v>0</v>
      </c>
      <c r="N41" s="1081">
        <f>'A-50 FGRailInv'!Z131</f>
        <v>0</v>
      </c>
      <c r="O41" s="1081">
        <f>'A-50 FGRailInv'!AB131</f>
        <v>0</v>
      </c>
      <c r="P41" s="1081">
        <f>'A-50 FGRailInv'!AD131</f>
        <v>0</v>
      </c>
      <c r="Q41" s="1081">
        <f>'A-50 FGRailInv'!AF131</f>
        <v>0</v>
      </c>
      <c r="R41" s="1081">
        <f>'A-50 FGRailInv'!AH131</f>
        <v>0</v>
      </c>
      <c r="S41" s="1081">
        <f>'A-50 FGRailInv'!AJ131</f>
        <v>0</v>
      </c>
      <c r="T41" s="1081">
        <f>'A-50 FGRailInv'!AL131</f>
        <v>0</v>
      </c>
      <c r="U41" s="1292">
        <f>'A-50 FGRailInv'!AP131</f>
        <v>0</v>
      </c>
      <c r="X41" s="1380">
        <f>'A-55 TrackInv'!$C$137</f>
        <v>0</v>
      </c>
      <c r="Y41" s="1381" t="str">
        <f>'A-55 TrackInv'!C145</f>
        <v>Curve</v>
      </c>
      <c r="Z41" s="1381">
        <f>'A-55 TrackInv'!H145</f>
        <v>0</v>
      </c>
      <c r="AA41" s="1381" t="str">
        <f>'A-55 TrackInv'!J145</f>
        <v>Track Feet</v>
      </c>
      <c r="AB41" s="1381">
        <f>'A-55 TrackInv'!L145</f>
        <v>0</v>
      </c>
      <c r="AC41" s="1381">
        <f>'A-55 TrackInv'!N145</f>
        <v>0</v>
      </c>
      <c r="AD41" s="1381">
        <f>'A-55 TrackInv'!R145</f>
        <v>0</v>
      </c>
    </row>
    <row r="42" spans="2:30" x14ac:dyDescent="0.2">
      <c r="B42" s="1180">
        <f>'A-50 FGRailInv'!$C$124</f>
        <v>0</v>
      </c>
      <c r="C42" s="1291" t="str">
        <f>'A-50 FGRailInv'!C134</f>
        <v>Elevated/Retained Fill</v>
      </c>
      <c r="D42" s="1081">
        <f>'A-50 FGRailInv'!H134</f>
        <v>0</v>
      </c>
      <c r="E42" s="1081"/>
      <c r="F42" s="1081">
        <f>'A-50 FGRailInv'!J134</f>
        <v>0</v>
      </c>
      <c r="G42" s="1081">
        <f>'A-50 FGRailInv'!L134</f>
        <v>0</v>
      </c>
      <c r="H42" s="1081">
        <f>'A-50 FGRailInv'!N134</f>
        <v>0</v>
      </c>
      <c r="I42" s="1081">
        <f>'A-50 FGRailInv'!P134</f>
        <v>0</v>
      </c>
      <c r="J42" s="1081">
        <f>'A-50 FGRailInv'!R134</f>
        <v>0</v>
      </c>
      <c r="K42" s="1081">
        <f>'A-50 FGRailInv'!T134</f>
        <v>0</v>
      </c>
      <c r="L42" s="1081">
        <f>'A-50 FGRailInv'!V134</f>
        <v>0</v>
      </c>
      <c r="M42" s="1081">
        <f>'A-50 FGRailInv'!X134</f>
        <v>0</v>
      </c>
      <c r="N42" s="1081">
        <f>'A-50 FGRailInv'!Z134</f>
        <v>0</v>
      </c>
      <c r="O42" s="1081">
        <f>'A-50 FGRailInv'!AB134</f>
        <v>0</v>
      </c>
      <c r="P42" s="1081">
        <f>'A-50 FGRailInv'!AD134</f>
        <v>0</v>
      </c>
      <c r="Q42" s="1081">
        <f>'A-50 FGRailInv'!AF134</f>
        <v>0</v>
      </c>
      <c r="R42" s="1081">
        <f>'A-50 FGRailInv'!AH134</f>
        <v>0</v>
      </c>
      <c r="S42" s="1081">
        <f>'A-50 FGRailInv'!AJ134</f>
        <v>0</v>
      </c>
      <c r="T42" s="1081">
        <f>'A-50 FGRailInv'!AL134</f>
        <v>0</v>
      </c>
      <c r="U42" s="1292">
        <f>'A-50 FGRailInv'!AP134</f>
        <v>0</v>
      </c>
      <c r="X42" s="1380">
        <f>'A-55 TrackInv'!$C$137</f>
        <v>0</v>
      </c>
      <c r="Y42" s="1381" t="str">
        <f>'A-55 TrackInv'!C151</f>
        <v>Double Diamond Crossover</v>
      </c>
      <c r="Z42" s="1381">
        <f>'A-55 TrackInv'!H151</f>
        <v>0</v>
      </c>
      <c r="AA42" s="1381" t="str">
        <f>'A-55 TrackInv'!J151</f>
        <v>Each</v>
      </c>
      <c r="AB42" s="1381">
        <f>'A-55 TrackInv'!L151</f>
        <v>0</v>
      </c>
      <c r="AC42" s="1381">
        <f>'A-55 TrackInv'!N151</f>
        <v>0</v>
      </c>
      <c r="AD42" s="1381">
        <f>'A-55 TrackInv'!R151</f>
        <v>0</v>
      </c>
    </row>
    <row r="43" spans="2:30" x14ac:dyDescent="0.2">
      <c r="B43" s="1180">
        <f>'A-50 FGRailInv'!$C$124</f>
        <v>0</v>
      </c>
      <c r="C43" s="1291" t="str">
        <f>'A-50 FGRailInv'!C137</f>
        <v>Elevated/Concrete</v>
      </c>
      <c r="D43" s="1081">
        <f>'A-50 FGRailInv'!H137</f>
        <v>0</v>
      </c>
      <c r="E43" s="1081"/>
      <c r="F43" s="1081">
        <f>'A-50 FGRailInv'!J137</f>
        <v>0</v>
      </c>
      <c r="G43" s="1081">
        <f>'A-50 FGRailInv'!L137</f>
        <v>0</v>
      </c>
      <c r="H43" s="1081">
        <f>'A-50 FGRailInv'!N137</f>
        <v>0</v>
      </c>
      <c r="I43" s="1081">
        <f>'A-50 FGRailInv'!P137</f>
        <v>0</v>
      </c>
      <c r="J43" s="1081">
        <f>'A-50 FGRailInv'!R137</f>
        <v>0</v>
      </c>
      <c r="K43" s="1081">
        <f>'A-50 FGRailInv'!T137</f>
        <v>0</v>
      </c>
      <c r="L43" s="1081">
        <f>'A-50 FGRailInv'!V137</f>
        <v>0</v>
      </c>
      <c r="M43" s="1081">
        <f>'A-50 FGRailInv'!X137</f>
        <v>0</v>
      </c>
      <c r="N43" s="1081">
        <f>'A-50 FGRailInv'!Z137</f>
        <v>0</v>
      </c>
      <c r="O43" s="1081">
        <f>'A-50 FGRailInv'!AB137</f>
        <v>0</v>
      </c>
      <c r="P43" s="1081">
        <f>'A-50 FGRailInv'!AD137</f>
        <v>0</v>
      </c>
      <c r="Q43" s="1081">
        <f>'A-50 FGRailInv'!AF137</f>
        <v>0</v>
      </c>
      <c r="R43" s="1081">
        <f>'A-50 FGRailInv'!AH137</f>
        <v>0</v>
      </c>
      <c r="S43" s="1081">
        <f>'A-50 FGRailInv'!AJ137</f>
        <v>0</v>
      </c>
      <c r="T43" s="1081">
        <f>'A-50 FGRailInv'!AL137</f>
        <v>0</v>
      </c>
      <c r="U43" s="1292">
        <f>'A-50 FGRailInv'!AP137</f>
        <v>0</v>
      </c>
      <c r="X43" s="1380">
        <f>'A-55 TrackInv'!$C$137</f>
        <v>0</v>
      </c>
      <c r="Y43" s="1381" t="str">
        <f>'A-55 TrackInv'!C153</f>
        <v>Single Crossover</v>
      </c>
      <c r="Z43" s="1381">
        <f>'A-55 TrackInv'!H153</f>
        <v>0</v>
      </c>
      <c r="AA43" s="1381" t="str">
        <f>'A-55 TrackInv'!J153</f>
        <v>Each</v>
      </c>
      <c r="AB43" s="1381">
        <f>'A-55 TrackInv'!L153</f>
        <v>0</v>
      </c>
      <c r="AC43" s="1381">
        <f>'A-55 TrackInv'!N153</f>
        <v>0</v>
      </c>
      <c r="AD43" s="1381">
        <f>'A-55 TrackInv'!R153</f>
        <v>0</v>
      </c>
    </row>
    <row r="44" spans="2:30" x14ac:dyDescent="0.2">
      <c r="B44" s="1180">
        <f>'A-50 FGRailInv'!$C$124</f>
        <v>0</v>
      </c>
      <c r="C44" s="1291" t="str">
        <f>'A-50 FGRailInv'!C140</f>
        <v>Elevated/Steel Viaduct or Bridge</v>
      </c>
      <c r="D44" s="1081">
        <f>'A-50 FGRailInv'!H140</f>
        <v>0</v>
      </c>
      <c r="E44" s="1081"/>
      <c r="F44" s="1081">
        <f>'A-50 FGRailInv'!J140</f>
        <v>0</v>
      </c>
      <c r="G44" s="1081">
        <f>'A-50 FGRailInv'!L140</f>
        <v>0</v>
      </c>
      <c r="H44" s="1081">
        <f>'A-50 FGRailInv'!N140</f>
        <v>0</v>
      </c>
      <c r="I44" s="1081">
        <f>'A-50 FGRailInv'!P140</f>
        <v>0</v>
      </c>
      <c r="J44" s="1081">
        <f>'A-50 FGRailInv'!R140</f>
        <v>0</v>
      </c>
      <c r="K44" s="1081">
        <f>'A-50 FGRailInv'!T140</f>
        <v>0</v>
      </c>
      <c r="L44" s="1081">
        <f>'A-50 FGRailInv'!V140</f>
        <v>0</v>
      </c>
      <c r="M44" s="1081">
        <f>'A-50 FGRailInv'!X140</f>
        <v>0</v>
      </c>
      <c r="N44" s="1081">
        <f>'A-50 FGRailInv'!Z140</f>
        <v>0</v>
      </c>
      <c r="O44" s="1081">
        <f>'A-50 FGRailInv'!AB140</f>
        <v>0</v>
      </c>
      <c r="P44" s="1081">
        <f>'A-50 FGRailInv'!AD140</f>
        <v>0</v>
      </c>
      <c r="Q44" s="1081">
        <f>'A-50 FGRailInv'!AF140</f>
        <v>0</v>
      </c>
      <c r="R44" s="1081">
        <f>'A-50 FGRailInv'!AH140</f>
        <v>0</v>
      </c>
      <c r="S44" s="1081">
        <f>'A-50 FGRailInv'!AJ140</f>
        <v>0</v>
      </c>
      <c r="T44" s="1081">
        <f>'A-50 FGRailInv'!AL140</f>
        <v>0</v>
      </c>
      <c r="U44" s="1292">
        <f>'A-50 FGRailInv'!AP140</f>
        <v>0</v>
      </c>
      <c r="X44" s="1380">
        <f>'A-55 TrackInv'!$C$137</f>
        <v>0</v>
      </c>
      <c r="Y44" s="1381" t="str">
        <f>'A-55 TrackInv'!C155</f>
        <v>Half Grand Union</v>
      </c>
      <c r="Z44" s="1381">
        <f>'A-55 TrackInv'!H155</f>
        <v>0</v>
      </c>
      <c r="AA44" s="1381" t="str">
        <f>'A-55 TrackInv'!J155</f>
        <v>Each</v>
      </c>
      <c r="AB44" s="1381">
        <f>'A-55 TrackInv'!L155</f>
        <v>0</v>
      </c>
      <c r="AC44" s="1381">
        <f>'A-55 TrackInv'!N155</f>
        <v>0</v>
      </c>
      <c r="AD44" s="1381">
        <f>'A-55 TrackInv'!R155</f>
        <v>0</v>
      </c>
    </row>
    <row r="45" spans="2:30" x14ac:dyDescent="0.2">
      <c r="B45" s="1180">
        <f>'A-50 FGRailInv'!$C$124</f>
        <v>0</v>
      </c>
      <c r="C45" s="1291" t="str">
        <f>'A-50 FGRailInv'!C143</f>
        <v>Below-Grade/Retained Cut</v>
      </c>
      <c r="D45" s="1081">
        <f>'A-50 FGRailInv'!H143</f>
        <v>0</v>
      </c>
      <c r="E45" s="1081"/>
      <c r="F45" s="1081">
        <f>'A-50 FGRailInv'!J143</f>
        <v>0</v>
      </c>
      <c r="G45" s="1081">
        <f>'A-50 FGRailInv'!L143</f>
        <v>0</v>
      </c>
      <c r="H45" s="1081">
        <f>'A-50 FGRailInv'!N143</f>
        <v>0</v>
      </c>
      <c r="I45" s="1081">
        <f>'A-50 FGRailInv'!P143</f>
        <v>0</v>
      </c>
      <c r="J45" s="1081">
        <f>'A-50 FGRailInv'!R143</f>
        <v>0</v>
      </c>
      <c r="K45" s="1081">
        <f>'A-50 FGRailInv'!T143</f>
        <v>0</v>
      </c>
      <c r="L45" s="1081">
        <f>'A-50 FGRailInv'!V143</f>
        <v>0</v>
      </c>
      <c r="M45" s="1081">
        <f>'A-50 FGRailInv'!X143</f>
        <v>0</v>
      </c>
      <c r="N45" s="1081">
        <f>'A-50 FGRailInv'!Z143</f>
        <v>0</v>
      </c>
      <c r="O45" s="1081">
        <f>'A-50 FGRailInv'!AB143</f>
        <v>0</v>
      </c>
      <c r="P45" s="1081">
        <f>'A-50 FGRailInv'!AD143</f>
        <v>0</v>
      </c>
      <c r="Q45" s="1081">
        <f>'A-50 FGRailInv'!AF143</f>
        <v>0</v>
      </c>
      <c r="R45" s="1081">
        <f>'A-50 FGRailInv'!AH143</f>
        <v>0</v>
      </c>
      <c r="S45" s="1081">
        <f>'A-50 FGRailInv'!AJ143</f>
        <v>0</v>
      </c>
      <c r="T45" s="1081">
        <f>'A-50 FGRailInv'!AL143</f>
        <v>0</v>
      </c>
      <c r="U45" s="1292">
        <f>'A-50 FGRailInv'!AP143</f>
        <v>0</v>
      </c>
      <c r="X45" s="1380">
        <f>'A-55 TrackInv'!$C$137</f>
        <v>0</v>
      </c>
      <c r="Y45" s="1381" t="str">
        <f>'A-55 TrackInv'!C157</f>
        <v>Single Turnout</v>
      </c>
      <c r="Z45" s="1381">
        <f>'A-55 TrackInv'!H157</f>
        <v>0</v>
      </c>
      <c r="AA45" s="1381" t="str">
        <f>'A-55 TrackInv'!J157</f>
        <v>Each</v>
      </c>
      <c r="AB45" s="1381">
        <f>'A-55 TrackInv'!L157</f>
        <v>0</v>
      </c>
      <c r="AC45" s="1381">
        <f>'A-55 TrackInv'!N157</f>
        <v>0</v>
      </c>
      <c r="AD45" s="1381">
        <f>'A-55 TrackInv'!R157</f>
        <v>0</v>
      </c>
    </row>
    <row r="46" spans="2:30" x14ac:dyDescent="0.2">
      <c r="B46" s="1180">
        <f>'A-50 FGRailInv'!$C$124</f>
        <v>0</v>
      </c>
      <c r="C46" s="1291" t="str">
        <f>'A-50 FGRailInv'!C146</f>
        <v>Below-Grade/Cut-and-Cover Tunnel</v>
      </c>
      <c r="D46" s="1081">
        <f>'A-50 FGRailInv'!H146</f>
        <v>0</v>
      </c>
      <c r="E46" s="1081"/>
      <c r="F46" s="1081">
        <f>'A-50 FGRailInv'!J146</f>
        <v>0</v>
      </c>
      <c r="G46" s="1081">
        <f>'A-50 FGRailInv'!L146</f>
        <v>0</v>
      </c>
      <c r="H46" s="1081">
        <f>'A-50 FGRailInv'!N146</f>
        <v>0</v>
      </c>
      <c r="I46" s="1081">
        <f>'A-50 FGRailInv'!P146</f>
        <v>0</v>
      </c>
      <c r="J46" s="1081">
        <f>'A-50 FGRailInv'!R146</f>
        <v>0</v>
      </c>
      <c r="K46" s="1081">
        <f>'A-50 FGRailInv'!T146</f>
        <v>0</v>
      </c>
      <c r="L46" s="1081">
        <f>'A-50 FGRailInv'!V146</f>
        <v>0</v>
      </c>
      <c r="M46" s="1081">
        <f>'A-50 FGRailInv'!X146</f>
        <v>0</v>
      </c>
      <c r="N46" s="1081">
        <f>'A-50 FGRailInv'!Z146</f>
        <v>0</v>
      </c>
      <c r="O46" s="1081">
        <f>'A-50 FGRailInv'!AB146</f>
        <v>0</v>
      </c>
      <c r="P46" s="1081">
        <f>'A-50 FGRailInv'!AD146</f>
        <v>0</v>
      </c>
      <c r="Q46" s="1081">
        <f>'A-50 FGRailInv'!AF146</f>
        <v>0</v>
      </c>
      <c r="R46" s="1081">
        <f>'A-50 FGRailInv'!AH146</f>
        <v>0</v>
      </c>
      <c r="S46" s="1081">
        <f>'A-50 FGRailInv'!AJ146</f>
        <v>0</v>
      </c>
      <c r="T46" s="1081">
        <f>'A-50 FGRailInv'!AL146</f>
        <v>0</v>
      </c>
      <c r="U46" s="1292">
        <f>'A-50 FGRailInv'!AP146</f>
        <v>0</v>
      </c>
      <c r="X46" s="1380">
        <f>'A-55 TrackInv'!$C$137</f>
        <v>0</v>
      </c>
      <c r="Y46" s="1381" t="str">
        <f>'A-55 TrackInv'!C159</f>
        <v>Grade Crossings</v>
      </c>
      <c r="Z46" s="1381">
        <f>'A-55 TrackInv'!H159</f>
        <v>0</v>
      </c>
      <c r="AA46" s="1381" t="str">
        <f>'A-55 TrackInv'!J159</f>
        <v>Each</v>
      </c>
      <c r="AB46" s="1381">
        <f>'A-55 TrackInv'!L159</f>
        <v>0</v>
      </c>
      <c r="AC46" s="1381">
        <f>'A-55 TrackInv'!N159</f>
        <v>0</v>
      </c>
      <c r="AD46" s="1381">
        <f>'A-55 TrackInv'!R159</f>
        <v>0</v>
      </c>
    </row>
    <row r="47" spans="2:30" x14ac:dyDescent="0.2">
      <c r="B47" s="1180">
        <f>'A-50 FGRailInv'!$C$124</f>
        <v>0</v>
      </c>
      <c r="C47" s="1291" t="str">
        <f>'A-50 FGRailInv'!C149</f>
        <v>Below-Grade/Bored or Blasted Tunnel</v>
      </c>
      <c r="D47" s="1081">
        <f>'A-50 FGRailInv'!H149</f>
        <v>0</v>
      </c>
      <c r="E47" s="1081"/>
      <c r="F47" s="1081">
        <f>'A-50 FGRailInv'!J149</f>
        <v>0</v>
      </c>
      <c r="G47" s="1081">
        <f>'A-50 FGRailInv'!L149</f>
        <v>0</v>
      </c>
      <c r="H47" s="1081">
        <f>'A-50 FGRailInv'!N149</f>
        <v>0</v>
      </c>
      <c r="I47" s="1081">
        <f>'A-50 FGRailInv'!P149</f>
        <v>0</v>
      </c>
      <c r="J47" s="1081">
        <f>'A-50 FGRailInv'!R149</f>
        <v>0</v>
      </c>
      <c r="K47" s="1081">
        <f>'A-50 FGRailInv'!T149</f>
        <v>0</v>
      </c>
      <c r="L47" s="1081">
        <f>'A-50 FGRailInv'!V149</f>
        <v>0</v>
      </c>
      <c r="M47" s="1081">
        <f>'A-50 FGRailInv'!X149</f>
        <v>0</v>
      </c>
      <c r="N47" s="1081">
        <f>'A-50 FGRailInv'!Z149</f>
        <v>0</v>
      </c>
      <c r="O47" s="1081">
        <f>'A-50 FGRailInv'!AB149</f>
        <v>0</v>
      </c>
      <c r="P47" s="1081">
        <f>'A-50 FGRailInv'!AD149</f>
        <v>0</v>
      </c>
      <c r="Q47" s="1081">
        <f>'A-50 FGRailInv'!AF149</f>
        <v>0</v>
      </c>
      <c r="R47" s="1081">
        <f>'A-50 FGRailInv'!AH149</f>
        <v>0</v>
      </c>
      <c r="S47" s="1081">
        <f>'A-50 FGRailInv'!AJ149</f>
        <v>0</v>
      </c>
      <c r="T47" s="1081">
        <f>'A-50 FGRailInv'!AL149</f>
        <v>0</v>
      </c>
      <c r="U47" s="1292">
        <f>'A-50 FGRailInv'!AP149</f>
        <v>0</v>
      </c>
      <c r="X47" s="1380">
        <f>'A-55 TrackInv'!$C$168</f>
        <v>0</v>
      </c>
      <c r="Y47" s="1381" t="str">
        <f>'A-55 TrackInv'!C174</f>
        <v>Tangent</v>
      </c>
      <c r="Z47" s="1381">
        <f>'A-55 TrackInv'!H174</f>
        <v>0</v>
      </c>
      <c r="AA47" s="1381" t="str">
        <f>'A-55 TrackInv'!J174</f>
        <v>Track Feet</v>
      </c>
      <c r="AB47" s="1381">
        <f>'A-55 TrackInv'!L174</f>
        <v>0</v>
      </c>
      <c r="AC47" s="1381">
        <f>'A-55 TrackInv'!N174</f>
        <v>0</v>
      </c>
      <c r="AD47" s="1381">
        <f>'A-55 TrackInv'!R174</f>
        <v>0</v>
      </c>
    </row>
    <row r="48" spans="2:30" x14ac:dyDescent="0.2">
      <c r="B48" s="1180">
        <f>'A-50 FGRailInv'!$C$124</f>
        <v>0</v>
      </c>
      <c r="C48" s="1293" t="str">
        <f>'A-50 FGRailInv'!C152</f>
        <v>Below-Grade/Submerged Tube</v>
      </c>
      <c r="D48" s="1287">
        <f>'A-50 FGRailInv'!H152</f>
        <v>0</v>
      </c>
      <c r="E48" s="1287"/>
      <c r="F48" s="1287">
        <f>'A-50 FGRailInv'!J152</f>
        <v>0</v>
      </c>
      <c r="G48" s="1287">
        <f>'A-50 FGRailInv'!L152</f>
        <v>0</v>
      </c>
      <c r="H48" s="1287">
        <f>'A-50 FGRailInv'!N152</f>
        <v>0</v>
      </c>
      <c r="I48" s="1287">
        <f>'A-50 FGRailInv'!P152</f>
        <v>0</v>
      </c>
      <c r="J48" s="1287">
        <f>'A-50 FGRailInv'!R152</f>
        <v>0</v>
      </c>
      <c r="K48" s="1287">
        <f>'A-50 FGRailInv'!T152</f>
        <v>0</v>
      </c>
      <c r="L48" s="1287">
        <f>'A-50 FGRailInv'!V152</f>
        <v>0</v>
      </c>
      <c r="M48" s="1287">
        <f>'A-50 FGRailInv'!X152</f>
        <v>0</v>
      </c>
      <c r="N48" s="1287">
        <f>'A-50 FGRailInv'!Z152</f>
        <v>0</v>
      </c>
      <c r="O48" s="1287">
        <f>'A-50 FGRailInv'!AB152</f>
        <v>0</v>
      </c>
      <c r="P48" s="1287">
        <f>'A-50 FGRailInv'!AD152</f>
        <v>0</v>
      </c>
      <c r="Q48" s="1287">
        <f>'A-50 FGRailInv'!AF152</f>
        <v>0</v>
      </c>
      <c r="R48" s="1287">
        <f>'A-50 FGRailInv'!AH152</f>
        <v>0</v>
      </c>
      <c r="S48" s="1287">
        <f>'A-50 FGRailInv'!AJ152</f>
        <v>0</v>
      </c>
      <c r="T48" s="1287">
        <f>'A-50 FGRailInv'!AL152</f>
        <v>0</v>
      </c>
      <c r="U48" s="1294">
        <f>'A-50 FGRailInv'!AP152</f>
        <v>0</v>
      </c>
      <c r="X48" s="1380">
        <f>'A-55 TrackInv'!$C$168</f>
        <v>0</v>
      </c>
      <c r="Y48" s="1381" t="str">
        <f>'A-55 TrackInv'!C176</f>
        <v>Curve</v>
      </c>
      <c r="Z48" s="1381">
        <f>'A-55 TrackInv'!H176</f>
        <v>0</v>
      </c>
      <c r="AA48" s="1381" t="str">
        <f>'A-55 TrackInv'!J176</f>
        <v>Track Feet</v>
      </c>
      <c r="AB48" s="1381">
        <f>'A-55 TrackInv'!L176</f>
        <v>0</v>
      </c>
      <c r="AC48" s="1381">
        <f>'A-55 TrackInv'!N176</f>
        <v>0</v>
      </c>
      <c r="AD48" s="1381">
        <f>'A-55 TrackInv'!R176</f>
        <v>0</v>
      </c>
    </row>
    <row r="49" spans="2:30" x14ac:dyDescent="0.2">
      <c r="B49" s="1180">
        <f>'A-50 FGRailInv'!$C$124</f>
        <v>0</v>
      </c>
      <c r="C49" s="1295" t="str">
        <f>'A-50 FGRailInv'!C157</f>
        <v>Substation Building</v>
      </c>
      <c r="D49" s="1286">
        <f>'A-50 FGRailInv'!H157</f>
        <v>0</v>
      </c>
      <c r="E49" s="1286"/>
      <c r="F49" s="1286">
        <f>'A-50 FGRailInv'!J157</f>
        <v>0</v>
      </c>
      <c r="G49" s="1286">
        <f>'A-50 FGRailInv'!L157</f>
        <v>0</v>
      </c>
      <c r="H49" s="1286">
        <f>'A-50 FGRailInv'!N157</f>
        <v>0</v>
      </c>
      <c r="I49" s="1286">
        <f>'A-50 FGRailInv'!P157</f>
        <v>0</v>
      </c>
      <c r="J49" s="1286">
        <f>'A-50 FGRailInv'!R157</f>
        <v>0</v>
      </c>
      <c r="K49" s="1286">
        <f>'A-50 FGRailInv'!T157</f>
        <v>0</v>
      </c>
      <c r="L49" s="1286">
        <f>'A-50 FGRailInv'!V157</f>
        <v>0</v>
      </c>
      <c r="M49" s="1286">
        <f>'A-50 FGRailInv'!X157</f>
        <v>0</v>
      </c>
      <c r="N49" s="1286">
        <f>'A-50 FGRailInv'!Z157</f>
        <v>0</v>
      </c>
      <c r="O49" s="1286">
        <f>'A-50 FGRailInv'!AB157</f>
        <v>0</v>
      </c>
      <c r="P49" s="1286">
        <f>'A-50 FGRailInv'!AD157</f>
        <v>0</v>
      </c>
      <c r="Q49" s="1286">
        <f>'A-50 FGRailInv'!AF157</f>
        <v>0</v>
      </c>
      <c r="R49" s="1286">
        <f>'A-50 FGRailInv'!AH157</f>
        <v>0</v>
      </c>
      <c r="S49" s="1286">
        <f>'A-50 FGRailInv'!AJ157</f>
        <v>0</v>
      </c>
      <c r="T49" s="1286">
        <f>'A-50 FGRailInv'!AL157</f>
        <v>0</v>
      </c>
      <c r="U49" s="1296">
        <f>'A-50 FGRailInv'!AP157</f>
        <v>0</v>
      </c>
      <c r="X49" s="1380">
        <f>'A-55 TrackInv'!$C$168</f>
        <v>0</v>
      </c>
      <c r="Y49" s="1381" t="str">
        <f>'A-55 TrackInv'!C182</f>
        <v>Double Diamond Crossover</v>
      </c>
      <c r="Z49" s="1381">
        <f>'A-55 TrackInv'!H182</f>
        <v>0</v>
      </c>
      <c r="AA49" s="1381" t="str">
        <f>'A-55 TrackInv'!J182</f>
        <v>Each</v>
      </c>
      <c r="AB49" s="1381">
        <f>'A-55 TrackInv'!L182</f>
        <v>0</v>
      </c>
      <c r="AC49" s="1381">
        <f>'A-55 TrackInv'!N182</f>
        <v>0</v>
      </c>
      <c r="AD49" s="1381">
        <f>'A-55 TrackInv'!R182</f>
        <v>0</v>
      </c>
    </row>
    <row r="50" spans="2:30" x14ac:dyDescent="0.2">
      <c r="B50" s="1180">
        <f>'A-50 FGRailInv'!$C$124</f>
        <v>0</v>
      </c>
      <c r="C50" s="1291" t="str">
        <f>'A-50 FGRailInv'!C160</f>
        <v>Substation Equipment</v>
      </c>
      <c r="D50" s="1081">
        <f>'A-50 FGRailInv'!H160</f>
        <v>0</v>
      </c>
      <c r="E50" s="1081"/>
      <c r="F50" s="1081">
        <f>'A-50 FGRailInv'!J160</f>
        <v>0</v>
      </c>
      <c r="G50" s="1081">
        <f>'A-50 FGRailInv'!L160</f>
        <v>0</v>
      </c>
      <c r="H50" s="1081">
        <f>'A-50 FGRailInv'!N160</f>
        <v>0</v>
      </c>
      <c r="I50" s="1081">
        <f>'A-50 FGRailInv'!P160</f>
        <v>0</v>
      </c>
      <c r="J50" s="1081">
        <f>'A-50 FGRailInv'!R160</f>
        <v>0</v>
      </c>
      <c r="K50" s="1081">
        <f>'A-50 FGRailInv'!T160</f>
        <v>0</v>
      </c>
      <c r="L50" s="1081">
        <f>'A-50 FGRailInv'!V160</f>
        <v>0</v>
      </c>
      <c r="M50" s="1081">
        <f>'A-50 FGRailInv'!X160</f>
        <v>0</v>
      </c>
      <c r="N50" s="1081">
        <f>'A-50 FGRailInv'!Z160</f>
        <v>0</v>
      </c>
      <c r="O50" s="1081">
        <f>'A-50 FGRailInv'!AB160</f>
        <v>0</v>
      </c>
      <c r="P50" s="1081">
        <f>'A-50 FGRailInv'!AD160</f>
        <v>0</v>
      </c>
      <c r="Q50" s="1081">
        <f>'A-50 FGRailInv'!AF160</f>
        <v>0</v>
      </c>
      <c r="R50" s="1081">
        <f>'A-50 FGRailInv'!AH160</f>
        <v>0</v>
      </c>
      <c r="S50" s="1081">
        <f>'A-50 FGRailInv'!AJ160</f>
        <v>0</v>
      </c>
      <c r="T50" s="1081">
        <f>'A-50 FGRailInv'!AL160</f>
        <v>0</v>
      </c>
      <c r="U50" s="1292">
        <f>'A-50 FGRailInv'!AP160</f>
        <v>0</v>
      </c>
      <c r="X50" s="1380">
        <f>'A-55 TrackInv'!$C$168</f>
        <v>0</v>
      </c>
      <c r="Y50" s="1381" t="str">
        <f>'A-55 TrackInv'!C184</f>
        <v>Single Crossover</v>
      </c>
      <c r="Z50" s="1381">
        <f>'A-55 TrackInv'!H184</f>
        <v>0</v>
      </c>
      <c r="AA50" s="1381" t="str">
        <f>'A-55 TrackInv'!J184</f>
        <v>Each</v>
      </c>
      <c r="AB50" s="1381">
        <f>'A-55 TrackInv'!L184</f>
        <v>0</v>
      </c>
      <c r="AC50" s="1381">
        <f>'A-55 TrackInv'!N184</f>
        <v>0</v>
      </c>
      <c r="AD50" s="1381">
        <f>'A-55 TrackInv'!R184</f>
        <v>0</v>
      </c>
    </row>
    <row r="51" spans="2:30" x14ac:dyDescent="0.2">
      <c r="B51" s="1180">
        <f>'A-50 FGRailInv'!$C$124</f>
        <v>0</v>
      </c>
      <c r="C51" s="1291" t="str">
        <f>'A-50 FGRailInv'!C163</f>
        <v>Third Rail/Power Distribution</v>
      </c>
      <c r="D51" s="1081">
        <f>'A-50 FGRailInv'!H163</f>
        <v>0</v>
      </c>
      <c r="E51" s="1081"/>
      <c r="F51" s="1081">
        <f>'A-50 FGRailInv'!J163</f>
        <v>0</v>
      </c>
      <c r="G51" s="1081">
        <f>'A-50 FGRailInv'!L163</f>
        <v>0</v>
      </c>
      <c r="H51" s="1081">
        <f>'A-50 FGRailInv'!N163</f>
        <v>0</v>
      </c>
      <c r="I51" s="1081">
        <f>'A-50 FGRailInv'!P163</f>
        <v>0</v>
      </c>
      <c r="J51" s="1081">
        <f>'A-50 FGRailInv'!R163</f>
        <v>0</v>
      </c>
      <c r="K51" s="1081">
        <f>'A-50 FGRailInv'!T163</f>
        <v>0</v>
      </c>
      <c r="L51" s="1081">
        <f>'A-50 FGRailInv'!V163</f>
        <v>0</v>
      </c>
      <c r="M51" s="1081">
        <f>'A-50 FGRailInv'!X163</f>
        <v>0</v>
      </c>
      <c r="N51" s="1081">
        <f>'A-50 FGRailInv'!Z163</f>
        <v>0</v>
      </c>
      <c r="O51" s="1081">
        <f>'A-50 FGRailInv'!AB163</f>
        <v>0</v>
      </c>
      <c r="P51" s="1081">
        <f>'A-50 FGRailInv'!AD163</f>
        <v>0</v>
      </c>
      <c r="Q51" s="1081">
        <f>'A-50 FGRailInv'!AF163</f>
        <v>0</v>
      </c>
      <c r="R51" s="1081">
        <f>'A-50 FGRailInv'!AH163</f>
        <v>0</v>
      </c>
      <c r="S51" s="1081">
        <f>'A-50 FGRailInv'!AJ163</f>
        <v>0</v>
      </c>
      <c r="T51" s="1081">
        <f>'A-50 FGRailInv'!AL163</f>
        <v>0</v>
      </c>
      <c r="U51" s="1292">
        <f>'A-50 FGRailInv'!AP163</f>
        <v>0</v>
      </c>
      <c r="X51" s="1380">
        <f>'A-55 TrackInv'!$C$168</f>
        <v>0</v>
      </c>
      <c r="Y51" s="1381" t="str">
        <f>'A-55 TrackInv'!C186</f>
        <v>Half Grand Union</v>
      </c>
      <c r="Z51" s="1381">
        <f>'A-55 TrackInv'!H186</f>
        <v>0</v>
      </c>
      <c r="AA51" s="1381" t="str">
        <f>'A-55 TrackInv'!J186</f>
        <v>Each</v>
      </c>
      <c r="AB51" s="1381">
        <f>'A-55 TrackInv'!L186</f>
        <v>0</v>
      </c>
      <c r="AC51" s="1381">
        <f>'A-55 TrackInv'!N186</f>
        <v>0</v>
      </c>
      <c r="AD51" s="1381">
        <f>'A-55 TrackInv'!R186</f>
        <v>0</v>
      </c>
    </row>
    <row r="52" spans="2:30" x14ac:dyDescent="0.2">
      <c r="B52" s="1180">
        <f>'A-50 FGRailInv'!$C$124</f>
        <v>0</v>
      </c>
      <c r="C52" s="1291" t="str">
        <f>'A-50 FGRailInv'!C166</f>
        <v>Overhead Contact System/Power Distribution</v>
      </c>
      <c r="D52" s="1081">
        <f>'A-50 FGRailInv'!H166</f>
        <v>0</v>
      </c>
      <c r="E52" s="1081"/>
      <c r="F52" s="1081">
        <f>'A-50 FGRailInv'!J166</f>
        <v>0</v>
      </c>
      <c r="G52" s="1081">
        <f>'A-50 FGRailInv'!L166</f>
        <v>0</v>
      </c>
      <c r="H52" s="1081">
        <f>'A-50 FGRailInv'!N166</f>
        <v>0</v>
      </c>
      <c r="I52" s="1081">
        <f>'A-50 FGRailInv'!P166</f>
        <v>0</v>
      </c>
      <c r="J52" s="1081">
        <f>'A-50 FGRailInv'!R166</f>
        <v>0</v>
      </c>
      <c r="K52" s="1081">
        <f>'A-50 FGRailInv'!T166</f>
        <v>0</v>
      </c>
      <c r="L52" s="1081">
        <f>'A-50 FGRailInv'!V166</f>
        <v>0</v>
      </c>
      <c r="M52" s="1081">
        <f>'A-50 FGRailInv'!X166</f>
        <v>0</v>
      </c>
      <c r="N52" s="1081">
        <f>'A-50 FGRailInv'!Z166</f>
        <v>0</v>
      </c>
      <c r="O52" s="1081">
        <f>'A-50 FGRailInv'!AB166</f>
        <v>0</v>
      </c>
      <c r="P52" s="1081">
        <f>'A-50 FGRailInv'!AD166</f>
        <v>0</v>
      </c>
      <c r="Q52" s="1081">
        <f>'A-50 FGRailInv'!AF166</f>
        <v>0</v>
      </c>
      <c r="R52" s="1081">
        <f>'A-50 FGRailInv'!AH166</f>
        <v>0</v>
      </c>
      <c r="S52" s="1081">
        <f>'A-50 FGRailInv'!AJ166</f>
        <v>0</v>
      </c>
      <c r="T52" s="1081">
        <f>'A-50 FGRailInv'!AL166</f>
        <v>0</v>
      </c>
      <c r="U52" s="1292">
        <f>'A-50 FGRailInv'!AP166</f>
        <v>0</v>
      </c>
      <c r="X52" s="1380">
        <f>'A-55 TrackInv'!$C$168</f>
        <v>0</v>
      </c>
      <c r="Y52" s="1381" t="str">
        <f>'A-55 TrackInv'!C188</f>
        <v>Single Turnout</v>
      </c>
      <c r="Z52" s="1381">
        <f>'A-55 TrackInv'!H188</f>
        <v>0</v>
      </c>
      <c r="AA52" s="1381" t="str">
        <f>'A-55 TrackInv'!J188</f>
        <v>Each</v>
      </c>
      <c r="AB52" s="1381">
        <f>'A-55 TrackInv'!L188</f>
        <v>0</v>
      </c>
      <c r="AC52" s="1381">
        <f>'A-55 TrackInv'!N188</f>
        <v>0</v>
      </c>
      <c r="AD52" s="1381">
        <f>'A-55 TrackInv'!R188</f>
        <v>0</v>
      </c>
    </row>
    <row r="53" spans="2:30" ht="13.5" thickBot="1" x14ac:dyDescent="0.25">
      <c r="B53" s="1180">
        <f>'A-50 FGRailInv'!$C$124</f>
        <v>0</v>
      </c>
      <c r="C53" s="1297" t="str">
        <f>'A-50 FGRailInv'!C169</f>
        <v>Train Control &amp; Signaling</v>
      </c>
      <c r="D53" s="1298">
        <f>'A-50 FGRailInv'!H169</f>
        <v>0</v>
      </c>
      <c r="E53" s="1298"/>
      <c r="F53" s="1298">
        <f>'A-50 FGRailInv'!J169</f>
        <v>0</v>
      </c>
      <c r="G53" s="1298">
        <f>'A-50 FGRailInv'!L169</f>
        <v>0</v>
      </c>
      <c r="H53" s="1298">
        <f>'A-50 FGRailInv'!N169</f>
        <v>0</v>
      </c>
      <c r="I53" s="1298">
        <f>'A-50 FGRailInv'!P169</f>
        <v>0</v>
      </c>
      <c r="J53" s="1298">
        <f>'A-50 FGRailInv'!R169</f>
        <v>0</v>
      </c>
      <c r="K53" s="1298">
        <f>'A-50 FGRailInv'!T169</f>
        <v>0</v>
      </c>
      <c r="L53" s="1298">
        <f>'A-50 FGRailInv'!V169</f>
        <v>0</v>
      </c>
      <c r="M53" s="1298">
        <f>'A-50 FGRailInv'!X169</f>
        <v>0</v>
      </c>
      <c r="N53" s="1298">
        <f>'A-50 FGRailInv'!Z169</f>
        <v>0</v>
      </c>
      <c r="O53" s="1298">
        <f>'A-50 FGRailInv'!AB169</f>
        <v>0</v>
      </c>
      <c r="P53" s="1298">
        <f>'A-50 FGRailInv'!AD169</f>
        <v>0</v>
      </c>
      <c r="Q53" s="1298">
        <f>'A-50 FGRailInv'!AF169</f>
        <v>0</v>
      </c>
      <c r="R53" s="1298">
        <f>'A-50 FGRailInv'!AH169</f>
        <v>0</v>
      </c>
      <c r="S53" s="1298">
        <f>'A-50 FGRailInv'!AJ169</f>
        <v>0</v>
      </c>
      <c r="T53" s="1298">
        <f>'A-50 FGRailInv'!AL169</f>
        <v>0</v>
      </c>
      <c r="U53" s="1299">
        <f>'A-50 FGRailInv'!AP169</f>
        <v>0</v>
      </c>
      <c r="X53" s="1380">
        <f>'A-55 TrackInv'!$C$168</f>
        <v>0</v>
      </c>
      <c r="Y53" s="1381" t="str">
        <f>'A-55 TrackInv'!C190</f>
        <v>Grade Crossings</v>
      </c>
      <c r="Z53" s="1381">
        <f>'A-55 TrackInv'!H190</f>
        <v>0</v>
      </c>
      <c r="AA53" s="1381" t="str">
        <f>'A-55 TrackInv'!J190</f>
        <v>Each</v>
      </c>
      <c r="AB53" s="1381">
        <f>'A-55 TrackInv'!L190</f>
        <v>0</v>
      </c>
      <c r="AC53" s="1381">
        <f>'A-55 TrackInv'!N190</f>
        <v>0</v>
      </c>
      <c r="AD53" s="1381">
        <f>'A-55 TrackInv'!R190</f>
        <v>0</v>
      </c>
    </row>
    <row r="54" spans="2:30" x14ac:dyDescent="0.2">
      <c r="B54" s="1180">
        <f>'A-50 FGRailInv'!$C$179</f>
        <v>0</v>
      </c>
      <c r="C54" s="1288" t="str">
        <f>'A-50 FGRailInv'!C183</f>
        <v>At-Grade/Ballast (including expressway)</v>
      </c>
      <c r="D54" s="1289">
        <f>'A-50 FGRailInv'!H183</f>
        <v>0</v>
      </c>
      <c r="E54" s="1289"/>
      <c r="F54" s="1289">
        <f>'A-50 FGRailInv'!J183</f>
        <v>0</v>
      </c>
      <c r="G54" s="1289">
        <f>'A-50 FGRailInv'!L183</f>
        <v>0</v>
      </c>
      <c r="H54" s="1289">
        <f>'A-50 FGRailInv'!N183</f>
        <v>0</v>
      </c>
      <c r="I54" s="1289">
        <f>'A-50 FGRailInv'!P183</f>
        <v>0</v>
      </c>
      <c r="J54" s="1289">
        <f>'A-50 FGRailInv'!R183</f>
        <v>0</v>
      </c>
      <c r="K54" s="1289">
        <f>'A-50 FGRailInv'!T183</f>
        <v>0</v>
      </c>
      <c r="L54" s="1289">
        <f>'A-50 FGRailInv'!V183</f>
        <v>0</v>
      </c>
      <c r="M54" s="1289">
        <f>'A-50 FGRailInv'!X183</f>
        <v>0</v>
      </c>
      <c r="N54" s="1289">
        <f>'A-50 FGRailInv'!Z183</f>
        <v>0</v>
      </c>
      <c r="O54" s="1289">
        <f>'A-50 FGRailInv'!AB183</f>
        <v>0</v>
      </c>
      <c r="P54" s="1289">
        <f>'A-50 FGRailInv'!AD183</f>
        <v>0</v>
      </c>
      <c r="Q54" s="1289">
        <f>'A-50 FGRailInv'!AF183</f>
        <v>0</v>
      </c>
      <c r="R54" s="1289">
        <f>'A-50 FGRailInv'!AH183</f>
        <v>0</v>
      </c>
      <c r="S54" s="1289">
        <f>'A-50 FGRailInv'!AJ183</f>
        <v>0</v>
      </c>
      <c r="T54" s="1289">
        <f>'A-50 FGRailInv'!AL183</f>
        <v>0</v>
      </c>
      <c r="U54" s="1290">
        <f>'A-50 FGRailInv'!AP183</f>
        <v>0</v>
      </c>
      <c r="X54" s="1380">
        <f>'A-55 TrackInv'!$C$199</f>
        <v>0</v>
      </c>
      <c r="Y54" s="1381" t="str">
        <f>'A-55 TrackInv'!C205</f>
        <v>Tangent</v>
      </c>
      <c r="Z54" s="1381">
        <f>'A-55 TrackInv'!H205</f>
        <v>0</v>
      </c>
      <c r="AA54" s="1381" t="str">
        <f>'A-55 TrackInv'!J205</f>
        <v>Track Feet</v>
      </c>
      <c r="AB54" s="1381">
        <f>'A-55 TrackInv'!L205</f>
        <v>0</v>
      </c>
      <c r="AC54" s="1381">
        <f>'A-55 TrackInv'!N205</f>
        <v>0</v>
      </c>
      <c r="AD54" s="1381">
        <f>'A-55 TrackInv'!R205</f>
        <v>0</v>
      </c>
    </row>
    <row r="55" spans="2:30" x14ac:dyDescent="0.2">
      <c r="B55" s="1180">
        <f>'A-50 FGRailInv'!$C$179</f>
        <v>0</v>
      </c>
      <c r="C55" s="1291" t="str">
        <f>'A-50 FGRailInv'!C186</f>
        <v>At-Grade/In-Street/Embedded</v>
      </c>
      <c r="D55" s="1081">
        <f>'A-50 FGRailInv'!H186</f>
        <v>0</v>
      </c>
      <c r="E55" s="1081"/>
      <c r="F55" s="1081">
        <f>'A-50 FGRailInv'!J186</f>
        <v>0</v>
      </c>
      <c r="G55" s="1081">
        <f>'A-50 FGRailInv'!L186</f>
        <v>0</v>
      </c>
      <c r="H55" s="1081">
        <f>'A-50 FGRailInv'!N186</f>
        <v>0</v>
      </c>
      <c r="I55" s="1081">
        <f>'A-50 FGRailInv'!P186</f>
        <v>0</v>
      </c>
      <c r="J55" s="1081">
        <f>'A-50 FGRailInv'!R186</f>
        <v>0</v>
      </c>
      <c r="K55" s="1081">
        <f>'A-50 FGRailInv'!T186</f>
        <v>0</v>
      </c>
      <c r="L55" s="1081">
        <f>'A-50 FGRailInv'!V186</f>
        <v>0</v>
      </c>
      <c r="M55" s="1081">
        <f>'A-50 FGRailInv'!X186</f>
        <v>0</v>
      </c>
      <c r="N55" s="1081">
        <f>'A-50 FGRailInv'!Z186</f>
        <v>0</v>
      </c>
      <c r="O55" s="1081">
        <f>'A-50 FGRailInv'!AB186</f>
        <v>0</v>
      </c>
      <c r="P55" s="1081">
        <f>'A-50 FGRailInv'!AD186</f>
        <v>0</v>
      </c>
      <c r="Q55" s="1081">
        <f>'A-50 FGRailInv'!AF186</f>
        <v>0</v>
      </c>
      <c r="R55" s="1081">
        <f>'A-50 FGRailInv'!AH186</f>
        <v>0</v>
      </c>
      <c r="S55" s="1081">
        <f>'A-50 FGRailInv'!AJ186</f>
        <v>0</v>
      </c>
      <c r="T55" s="1081">
        <f>'A-50 FGRailInv'!AL186</f>
        <v>0</v>
      </c>
      <c r="U55" s="1292">
        <f>'A-50 FGRailInv'!AP186</f>
        <v>0</v>
      </c>
      <c r="X55" s="1380">
        <f>'A-55 TrackInv'!$C$199</f>
        <v>0</v>
      </c>
      <c r="Y55" s="1381" t="str">
        <f>'A-55 TrackInv'!C207</f>
        <v>Curve</v>
      </c>
      <c r="Z55" s="1381">
        <f>'A-55 TrackInv'!H207</f>
        <v>0</v>
      </c>
      <c r="AA55" s="1381" t="str">
        <f>'A-55 TrackInv'!J207</f>
        <v>Track Feet</v>
      </c>
      <c r="AB55" s="1381">
        <f>'A-55 TrackInv'!L207</f>
        <v>0</v>
      </c>
      <c r="AC55" s="1381">
        <f>'A-55 TrackInv'!N207</f>
        <v>0</v>
      </c>
      <c r="AD55" s="1381">
        <f>'A-55 TrackInv'!R207</f>
        <v>0</v>
      </c>
    </row>
    <row r="56" spans="2:30" x14ac:dyDescent="0.2">
      <c r="B56" s="1180">
        <f>'A-50 FGRailInv'!$C$179</f>
        <v>0</v>
      </c>
      <c r="C56" s="1291" t="str">
        <f>'A-50 FGRailInv'!C189</f>
        <v>Elevated/Retained Fill</v>
      </c>
      <c r="D56" s="1081">
        <f>'A-50 FGRailInv'!H189</f>
        <v>0</v>
      </c>
      <c r="E56" s="1081"/>
      <c r="F56" s="1081">
        <f>'A-50 FGRailInv'!J189</f>
        <v>0</v>
      </c>
      <c r="G56" s="1081">
        <f>'A-50 FGRailInv'!L189</f>
        <v>0</v>
      </c>
      <c r="H56" s="1081">
        <f>'A-50 FGRailInv'!N189</f>
        <v>0</v>
      </c>
      <c r="I56" s="1081">
        <f>'A-50 FGRailInv'!P189</f>
        <v>0</v>
      </c>
      <c r="J56" s="1081">
        <f>'A-50 FGRailInv'!R189</f>
        <v>0</v>
      </c>
      <c r="K56" s="1081">
        <f>'A-50 FGRailInv'!T189</f>
        <v>0</v>
      </c>
      <c r="L56" s="1081">
        <f>'A-50 FGRailInv'!V189</f>
        <v>0</v>
      </c>
      <c r="M56" s="1081">
        <f>'A-50 FGRailInv'!X189</f>
        <v>0</v>
      </c>
      <c r="N56" s="1081">
        <f>'A-50 FGRailInv'!Z189</f>
        <v>0</v>
      </c>
      <c r="O56" s="1081">
        <f>'A-50 FGRailInv'!AB189</f>
        <v>0</v>
      </c>
      <c r="P56" s="1081">
        <f>'A-50 FGRailInv'!AD189</f>
        <v>0</v>
      </c>
      <c r="Q56" s="1081">
        <f>'A-50 FGRailInv'!AF189</f>
        <v>0</v>
      </c>
      <c r="R56" s="1081">
        <f>'A-50 FGRailInv'!AH189</f>
        <v>0</v>
      </c>
      <c r="S56" s="1081">
        <f>'A-50 FGRailInv'!AJ189</f>
        <v>0</v>
      </c>
      <c r="T56" s="1081">
        <f>'A-50 FGRailInv'!AL189</f>
        <v>0</v>
      </c>
      <c r="U56" s="1292">
        <f>'A-50 FGRailInv'!AP189</f>
        <v>0</v>
      </c>
      <c r="X56" s="1380">
        <f>'A-55 TrackInv'!$C$199</f>
        <v>0</v>
      </c>
      <c r="Y56" s="1381" t="str">
        <f>'A-55 TrackInv'!C213</f>
        <v>Double Diamond Crossover</v>
      </c>
      <c r="Z56" s="1381">
        <f>'A-55 TrackInv'!H213</f>
        <v>0</v>
      </c>
      <c r="AA56" s="1381" t="str">
        <f>'A-55 TrackInv'!J213</f>
        <v>Each</v>
      </c>
      <c r="AB56" s="1381">
        <f>'A-55 TrackInv'!L213</f>
        <v>0</v>
      </c>
      <c r="AC56" s="1381">
        <f>'A-55 TrackInv'!N213</f>
        <v>0</v>
      </c>
      <c r="AD56" s="1381">
        <f>'A-55 TrackInv'!R213</f>
        <v>0</v>
      </c>
    </row>
    <row r="57" spans="2:30" x14ac:dyDescent="0.2">
      <c r="B57" s="1180">
        <f>'A-50 FGRailInv'!$C$179</f>
        <v>0</v>
      </c>
      <c r="C57" s="1291" t="str">
        <f>'A-50 FGRailInv'!C192</f>
        <v>Elevated/Concrete</v>
      </c>
      <c r="D57" s="1081">
        <f>'A-50 FGRailInv'!H192</f>
        <v>0</v>
      </c>
      <c r="E57" s="1081"/>
      <c r="F57" s="1081">
        <f>'A-50 FGRailInv'!J192</f>
        <v>0</v>
      </c>
      <c r="G57" s="1081">
        <f>'A-50 FGRailInv'!L192</f>
        <v>0</v>
      </c>
      <c r="H57" s="1081">
        <f>'A-50 FGRailInv'!N192</f>
        <v>0</v>
      </c>
      <c r="I57" s="1081">
        <f>'A-50 FGRailInv'!P192</f>
        <v>0</v>
      </c>
      <c r="J57" s="1081">
        <f>'A-50 FGRailInv'!R192</f>
        <v>0</v>
      </c>
      <c r="K57" s="1081">
        <f>'A-50 FGRailInv'!T192</f>
        <v>0</v>
      </c>
      <c r="L57" s="1081">
        <f>'A-50 FGRailInv'!V192</f>
        <v>0</v>
      </c>
      <c r="M57" s="1081">
        <f>'A-50 FGRailInv'!X192</f>
        <v>0</v>
      </c>
      <c r="N57" s="1081">
        <f>'A-50 FGRailInv'!Z192</f>
        <v>0</v>
      </c>
      <c r="O57" s="1081">
        <f>'A-50 FGRailInv'!AB192</f>
        <v>0</v>
      </c>
      <c r="P57" s="1081">
        <f>'A-50 FGRailInv'!AD192</f>
        <v>0</v>
      </c>
      <c r="Q57" s="1081">
        <f>'A-50 FGRailInv'!AF192</f>
        <v>0</v>
      </c>
      <c r="R57" s="1081">
        <f>'A-50 FGRailInv'!AH192</f>
        <v>0</v>
      </c>
      <c r="S57" s="1081">
        <f>'A-50 FGRailInv'!AJ192</f>
        <v>0</v>
      </c>
      <c r="T57" s="1081">
        <f>'A-50 FGRailInv'!AL192</f>
        <v>0</v>
      </c>
      <c r="U57" s="1292">
        <f>'A-50 FGRailInv'!AP192</f>
        <v>0</v>
      </c>
      <c r="X57" s="1380">
        <f>'A-55 TrackInv'!$C$199</f>
        <v>0</v>
      </c>
      <c r="Y57" s="1381" t="str">
        <f>'A-55 TrackInv'!C215</f>
        <v>Single Crossover</v>
      </c>
      <c r="Z57" s="1381">
        <f>'A-55 TrackInv'!H215</f>
        <v>0</v>
      </c>
      <c r="AA57" s="1381" t="str">
        <f>'A-55 TrackInv'!J215</f>
        <v>Each</v>
      </c>
      <c r="AB57" s="1381">
        <f>'A-55 TrackInv'!L215</f>
        <v>0</v>
      </c>
      <c r="AC57" s="1381">
        <f>'A-55 TrackInv'!N215</f>
        <v>0</v>
      </c>
      <c r="AD57" s="1381">
        <f>'A-55 TrackInv'!R215</f>
        <v>0</v>
      </c>
    </row>
    <row r="58" spans="2:30" x14ac:dyDescent="0.2">
      <c r="B58" s="1180">
        <f>'A-50 FGRailInv'!$C$179</f>
        <v>0</v>
      </c>
      <c r="C58" s="1291" t="str">
        <f>'A-50 FGRailInv'!C195</f>
        <v>Elevated/Steel Viaduct or Bridge</v>
      </c>
      <c r="D58" s="1081">
        <f>'A-50 FGRailInv'!H195</f>
        <v>0</v>
      </c>
      <c r="E58" s="1081"/>
      <c r="F58" s="1081">
        <f>'A-50 FGRailInv'!J195</f>
        <v>0</v>
      </c>
      <c r="G58" s="1081">
        <f>'A-50 FGRailInv'!L195</f>
        <v>0</v>
      </c>
      <c r="H58" s="1081">
        <f>'A-50 FGRailInv'!N195</f>
        <v>0</v>
      </c>
      <c r="I58" s="1081">
        <f>'A-50 FGRailInv'!P195</f>
        <v>0</v>
      </c>
      <c r="J58" s="1081">
        <f>'A-50 FGRailInv'!R195</f>
        <v>0</v>
      </c>
      <c r="K58" s="1081">
        <f>'A-50 FGRailInv'!T195</f>
        <v>0</v>
      </c>
      <c r="L58" s="1081">
        <f>'A-50 FGRailInv'!V195</f>
        <v>0</v>
      </c>
      <c r="M58" s="1081">
        <f>'A-50 FGRailInv'!X195</f>
        <v>0</v>
      </c>
      <c r="N58" s="1081">
        <f>'A-50 FGRailInv'!Z195</f>
        <v>0</v>
      </c>
      <c r="O58" s="1081">
        <f>'A-50 FGRailInv'!AB195</f>
        <v>0</v>
      </c>
      <c r="P58" s="1081">
        <f>'A-50 FGRailInv'!AD195</f>
        <v>0</v>
      </c>
      <c r="Q58" s="1081">
        <f>'A-50 FGRailInv'!AF195</f>
        <v>0</v>
      </c>
      <c r="R58" s="1081">
        <f>'A-50 FGRailInv'!AH195</f>
        <v>0</v>
      </c>
      <c r="S58" s="1081">
        <f>'A-50 FGRailInv'!AJ195</f>
        <v>0</v>
      </c>
      <c r="T58" s="1081">
        <f>'A-50 FGRailInv'!AL195</f>
        <v>0</v>
      </c>
      <c r="U58" s="1292">
        <f>'A-50 FGRailInv'!AP195</f>
        <v>0</v>
      </c>
      <c r="X58" s="1380">
        <f>'A-55 TrackInv'!$C$199</f>
        <v>0</v>
      </c>
      <c r="Y58" s="1381" t="str">
        <f>'A-55 TrackInv'!C217</f>
        <v>Half Grand Union</v>
      </c>
      <c r="Z58" s="1381">
        <f>'A-55 TrackInv'!H217</f>
        <v>0</v>
      </c>
      <c r="AA58" s="1381" t="str">
        <f>'A-55 TrackInv'!J217</f>
        <v>Each</v>
      </c>
      <c r="AB58" s="1381">
        <f>'A-55 TrackInv'!L217</f>
        <v>0</v>
      </c>
      <c r="AC58" s="1381">
        <f>'A-55 TrackInv'!N217</f>
        <v>0</v>
      </c>
      <c r="AD58" s="1381">
        <f>'A-55 TrackInv'!R217</f>
        <v>0</v>
      </c>
    </row>
    <row r="59" spans="2:30" x14ac:dyDescent="0.2">
      <c r="B59" s="1180">
        <f>'A-50 FGRailInv'!$C$179</f>
        <v>0</v>
      </c>
      <c r="C59" s="1291" t="str">
        <f>'A-50 FGRailInv'!C198</f>
        <v>Below-Grade/Retained Cut</v>
      </c>
      <c r="D59" s="1081">
        <f>'A-50 FGRailInv'!H198</f>
        <v>0</v>
      </c>
      <c r="E59" s="1081"/>
      <c r="F59" s="1081">
        <f>'A-50 FGRailInv'!J198</f>
        <v>0</v>
      </c>
      <c r="G59" s="1081">
        <f>'A-50 FGRailInv'!L198</f>
        <v>0</v>
      </c>
      <c r="H59" s="1081">
        <f>'A-50 FGRailInv'!N198</f>
        <v>0</v>
      </c>
      <c r="I59" s="1081">
        <f>'A-50 FGRailInv'!P198</f>
        <v>0</v>
      </c>
      <c r="J59" s="1081">
        <f>'A-50 FGRailInv'!R198</f>
        <v>0</v>
      </c>
      <c r="K59" s="1081">
        <f>'A-50 FGRailInv'!T198</f>
        <v>0</v>
      </c>
      <c r="L59" s="1081">
        <f>'A-50 FGRailInv'!V198</f>
        <v>0</v>
      </c>
      <c r="M59" s="1081">
        <f>'A-50 FGRailInv'!X198</f>
        <v>0</v>
      </c>
      <c r="N59" s="1081">
        <f>'A-50 FGRailInv'!Z198</f>
        <v>0</v>
      </c>
      <c r="O59" s="1081">
        <f>'A-50 FGRailInv'!AB198</f>
        <v>0</v>
      </c>
      <c r="P59" s="1081">
        <f>'A-50 FGRailInv'!AD198</f>
        <v>0</v>
      </c>
      <c r="Q59" s="1081">
        <f>'A-50 FGRailInv'!AF198</f>
        <v>0</v>
      </c>
      <c r="R59" s="1081">
        <f>'A-50 FGRailInv'!AH198</f>
        <v>0</v>
      </c>
      <c r="S59" s="1081">
        <f>'A-50 FGRailInv'!AJ198</f>
        <v>0</v>
      </c>
      <c r="T59" s="1081">
        <f>'A-50 FGRailInv'!AL198</f>
        <v>0</v>
      </c>
      <c r="U59" s="1292">
        <f>'A-50 FGRailInv'!AP198</f>
        <v>0</v>
      </c>
      <c r="X59" s="1380">
        <f>'A-55 TrackInv'!$C$199</f>
        <v>0</v>
      </c>
      <c r="Y59" s="1381" t="str">
        <f>'A-55 TrackInv'!C219</f>
        <v>Single Turnout</v>
      </c>
      <c r="Z59" s="1381">
        <f>'A-55 TrackInv'!H219</f>
        <v>0</v>
      </c>
      <c r="AA59" s="1381" t="str">
        <f>'A-55 TrackInv'!J219</f>
        <v>Each</v>
      </c>
      <c r="AB59" s="1381">
        <f>'A-55 TrackInv'!L219</f>
        <v>0</v>
      </c>
      <c r="AC59" s="1381">
        <f>'A-55 TrackInv'!N219</f>
        <v>0</v>
      </c>
      <c r="AD59" s="1381">
        <f>'A-55 TrackInv'!R219</f>
        <v>0</v>
      </c>
    </row>
    <row r="60" spans="2:30" x14ac:dyDescent="0.2">
      <c r="B60" s="1180">
        <f>'A-50 FGRailInv'!$C$179</f>
        <v>0</v>
      </c>
      <c r="C60" s="1291" t="str">
        <f>'A-50 FGRailInv'!C201</f>
        <v>Below-Grade/Cut-and-Cover Tunnel</v>
      </c>
      <c r="D60" s="1081">
        <f>'A-50 FGRailInv'!H201</f>
        <v>0</v>
      </c>
      <c r="E60" s="1081"/>
      <c r="F60" s="1081">
        <f>'A-50 FGRailInv'!J201</f>
        <v>0</v>
      </c>
      <c r="G60" s="1081">
        <f>'A-50 FGRailInv'!L201</f>
        <v>0</v>
      </c>
      <c r="H60" s="1081">
        <f>'A-50 FGRailInv'!N201</f>
        <v>0</v>
      </c>
      <c r="I60" s="1081">
        <f>'A-50 FGRailInv'!P201</f>
        <v>0</v>
      </c>
      <c r="J60" s="1081">
        <f>'A-50 FGRailInv'!R201</f>
        <v>0</v>
      </c>
      <c r="K60" s="1081">
        <f>'A-50 FGRailInv'!T201</f>
        <v>0</v>
      </c>
      <c r="L60" s="1081">
        <f>'A-50 FGRailInv'!V201</f>
        <v>0</v>
      </c>
      <c r="M60" s="1081">
        <f>'A-50 FGRailInv'!X201</f>
        <v>0</v>
      </c>
      <c r="N60" s="1081">
        <f>'A-50 FGRailInv'!Z201</f>
        <v>0</v>
      </c>
      <c r="O60" s="1081">
        <f>'A-50 FGRailInv'!AB201</f>
        <v>0</v>
      </c>
      <c r="P60" s="1081">
        <f>'A-50 FGRailInv'!AD201</f>
        <v>0</v>
      </c>
      <c r="Q60" s="1081">
        <f>'A-50 FGRailInv'!AF201</f>
        <v>0</v>
      </c>
      <c r="R60" s="1081">
        <f>'A-50 FGRailInv'!AH201</f>
        <v>0</v>
      </c>
      <c r="S60" s="1081">
        <f>'A-50 FGRailInv'!AJ201</f>
        <v>0</v>
      </c>
      <c r="T60" s="1081">
        <f>'A-50 FGRailInv'!AL201</f>
        <v>0</v>
      </c>
      <c r="U60" s="1292">
        <f>'A-50 FGRailInv'!AP201</f>
        <v>0</v>
      </c>
      <c r="X60" s="1380">
        <f>'A-55 TrackInv'!$C$199</f>
        <v>0</v>
      </c>
      <c r="Y60" s="1381" t="str">
        <f>'A-55 TrackInv'!C221</f>
        <v>Grade Crossings</v>
      </c>
      <c r="Z60" s="1381">
        <f>'A-55 TrackInv'!H221</f>
        <v>0</v>
      </c>
      <c r="AA60" s="1381" t="str">
        <f>'A-55 TrackInv'!J221</f>
        <v>Each</v>
      </c>
      <c r="AB60" s="1381">
        <f>'A-55 TrackInv'!L221</f>
        <v>0</v>
      </c>
      <c r="AC60" s="1381">
        <f>'A-55 TrackInv'!N221</f>
        <v>0</v>
      </c>
      <c r="AD60" s="1381">
        <f>'A-55 TrackInv'!R221</f>
        <v>0</v>
      </c>
    </row>
    <row r="61" spans="2:30" x14ac:dyDescent="0.2">
      <c r="B61" s="1180">
        <f>'A-50 FGRailInv'!$C$179</f>
        <v>0</v>
      </c>
      <c r="C61" s="1291" t="str">
        <f>'A-50 FGRailInv'!C204</f>
        <v>Below-Grade/Bored or Blasted Tunnel</v>
      </c>
      <c r="D61" s="1081">
        <f>'A-50 FGRailInv'!H204</f>
        <v>0</v>
      </c>
      <c r="E61" s="1081"/>
      <c r="F61" s="1081">
        <f>'A-50 FGRailInv'!J204</f>
        <v>0</v>
      </c>
      <c r="G61" s="1081">
        <f>'A-50 FGRailInv'!L204</f>
        <v>0</v>
      </c>
      <c r="H61" s="1081">
        <f>'A-50 FGRailInv'!N204</f>
        <v>0</v>
      </c>
      <c r="I61" s="1081">
        <f>'A-50 FGRailInv'!P204</f>
        <v>0</v>
      </c>
      <c r="J61" s="1081">
        <f>'A-50 FGRailInv'!R204</f>
        <v>0</v>
      </c>
      <c r="K61" s="1081">
        <f>'A-50 FGRailInv'!T204</f>
        <v>0</v>
      </c>
      <c r="L61" s="1081">
        <f>'A-50 FGRailInv'!V204</f>
        <v>0</v>
      </c>
      <c r="M61" s="1081">
        <f>'A-50 FGRailInv'!X204</f>
        <v>0</v>
      </c>
      <c r="N61" s="1081">
        <f>'A-50 FGRailInv'!Z204</f>
        <v>0</v>
      </c>
      <c r="O61" s="1081">
        <f>'A-50 FGRailInv'!AB204</f>
        <v>0</v>
      </c>
      <c r="P61" s="1081">
        <f>'A-50 FGRailInv'!AD204</f>
        <v>0</v>
      </c>
      <c r="Q61" s="1081">
        <f>'A-50 FGRailInv'!AF204</f>
        <v>0</v>
      </c>
      <c r="R61" s="1081">
        <f>'A-50 FGRailInv'!AH204</f>
        <v>0</v>
      </c>
      <c r="S61" s="1081">
        <f>'A-50 FGRailInv'!AJ204</f>
        <v>0</v>
      </c>
      <c r="T61" s="1081">
        <f>'A-50 FGRailInv'!AL204</f>
        <v>0</v>
      </c>
      <c r="U61" s="1292">
        <f>'A-50 FGRailInv'!AP204</f>
        <v>0</v>
      </c>
      <c r="X61" s="1380">
        <f>'A-55 TrackInv'!$C$230</f>
        <v>0</v>
      </c>
      <c r="Y61" s="1381" t="str">
        <f>'A-55 TrackInv'!C236</f>
        <v>Tangent</v>
      </c>
      <c r="Z61" s="1381">
        <f>'A-55 TrackInv'!H236</f>
        <v>0</v>
      </c>
      <c r="AA61" s="1381" t="str">
        <f>'A-55 TrackInv'!J236</f>
        <v>Track Feet</v>
      </c>
      <c r="AB61" s="1381">
        <f>'A-55 TrackInv'!L236</f>
        <v>0</v>
      </c>
      <c r="AC61" s="1381">
        <f>'A-55 TrackInv'!N236</f>
        <v>0</v>
      </c>
      <c r="AD61" s="1381">
        <f>'A-55 TrackInv'!R236</f>
        <v>0</v>
      </c>
    </row>
    <row r="62" spans="2:30" x14ac:dyDescent="0.2">
      <c r="B62" s="1180">
        <f>'A-50 FGRailInv'!$C$179</f>
        <v>0</v>
      </c>
      <c r="C62" s="1293" t="str">
        <f>'A-50 FGRailInv'!C207</f>
        <v>Below-Grade/Submerged Tube</v>
      </c>
      <c r="D62" s="1287">
        <f>'A-50 FGRailInv'!H207</f>
        <v>0</v>
      </c>
      <c r="E62" s="1287"/>
      <c r="F62" s="1287">
        <f>'A-50 FGRailInv'!J207</f>
        <v>0</v>
      </c>
      <c r="G62" s="1287">
        <f>'A-50 FGRailInv'!L207</f>
        <v>0</v>
      </c>
      <c r="H62" s="1287">
        <f>'A-50 FGRailInv'!N207</f>
        <v>0</v>
      </c>
      <c r="I62" s="1287">
        <f>'A-50 FGRailInv'!P207</f>
        <v>0</v>
      </c>
      <c r="J62" s="1287">
        <f>'A-50 FGRailInv'!R207</f>
        <v>0</v>
      </c>
      <c r="K62" s="1287">
        <f>'A-50 FGRailInv'!T207</f>
        <v>0</v>
      </c>
      <c r="L62" s="1287">
        <f>'A-50 FGRailInv'!V207</f>
        <v>0</v>
      </c>
      <c r="M62" s="1287">
        <f>'A-50 FGRailInv'!X207</f>
        <v>0</v>
      </c>
      <c r="N62" s="1287">
        <f>'A-50 FGRailInv'!Z207</f>
        <v>0</v>
      </c>
      <c r="O62" s="1287">
        <f>'A-50 FGRailInv'!AB207</f>
        <v>0</v>
      </c>
      <c r="P62" s="1287">
        <f>'A-50 FGRailInv'!AD207</f>
        <v>0</v>
      </c>
      <c r="Q62" s="1287">
        <f>'A-50 FGRailInv'!AF207</f>
        <v>0</v>
      </c>
      <c r="R62" s="1287">
        <f>'A-50 FGRailInv'!AH207</f>
        <v>0</v>
      </c>
      <c r="S62" s="1287">
        <f>'A-50 FGRailInv'!AJ207</f>
        <v>0</v>
      </c>
      <c r="T62" s="1287">
        <f>'A-50 FGRailInv'!AL207</f>
        <v>0</v>
      </c>
      <c r="U62" s="1294">
        <f>'A-50 FGRailInv'!AP207</f>
        <v>0</v>
      </c>
      <c r="X62" s="1380">
        <f>'A-55 TrackInv'!$C$230</f>
        <v>0</v>
      </c>
      <c r="Y62" s="1381" t="str">
        <f>'A-55 TrackInv'!C238</f>
        <v>Curve</v>
      </c>
      <c r="Z62" s="1381">
        <f>'A-55 TrackInv'!H238</f>
        <v>0</v>
      </c>
      <c r="AA62" s="1381" t="str">
        <f>'A-55 TrackInv'!J238</f>
        <v>Track Feet</v>
      </c>
      <c r="AB62" s="1381">
        <f>'A-55 TrackInv'!L238</f>
        <v>0</v>
      </c>
      <c r="AC62" s="1381">
        <f>'A-55 TrackInv'!N238</f>
        <v>0</v>
      </c>
      <c r="AD62" s="1381">
        <f>'A-55 TrackInv'!R238</f>
        <v>0</v>
      </c>
    </row>
    <row r="63" spans="2:30" x14ac:dyDescent="0.2">
      <c r="B63" s="1180">
        <f>'A-50 FGRailInv'!$C$179</f>
        <v>0</v>
      </c>
      <c r="C63" s="1295" t="str">
        <f>'A-50 FGRailInv'!C212</f>
        <v>Substation Building</v>
      </c>
      <c r="D63" s="1286">
        <f>'A-50 FGRailInv'!H212</f>
        <v>0</v>
      </c>
      <c r="E63" s="1286"/>
      <c r="F63" s="1286">
        <f>'A-50 FGRailInv'!J212</f>
        <v>0</v>
      </c>
      <c r="G63" s="1286">
        <f>'A-50 FGRailInv'!L212</f>
        <v>0</v>
      </c>
      <c r="H63" s="1286">
        <f>'A-50 FGRailInv'!N212</f>
        <v>0</v>
      </c>
      <c r="I63" s="1286">
        <f>'A-50 FGRailInv'!P212</f>
        <v>0</v>
      </c>
      <c r="J63" s="1286">
        <f>'A-50 FGRailInv'!R212</f>
        <v>0</v>
      </c>
      <c r="K63" s="1286">
        <f>'A-50 FGRailInv'!T212</f>
        <v>0</v>
      </c>
      <c r="L63" s="1286">
        <f>'A-50 FGRailInv'!V212</f>
        <v>0</v>
      </c>
      <c r="M63" s="1286">
        <f>'A-50 FGRailInv'!X212</f>
        <v>0</v>
      </c>
      <c r="N63" s="1286">
        <f>'A-50 FGRailInv'!Z212</f>
        <v>0</v>
      </c>
      <c r="O63" s="1286">
        <f>'A-50 FGRailInv'!AB212</f>
        <v>0</v>
      </c>
      <c r="P63" s="1286">
        <f>'A-50 FGRailInv'!AD212</f>
        <v>0</v>
      </c>
      <c r="Q63" s="1286">
        <f>'A-50 FGRailInv'!AF212</f>
        <v>0</v>
      </c>
      <c r="R63" s="1286">
        <f>'A-50 FGRailInv'!AH212</f>
        <v>0</v>
      </c>
      <c r="S63" s="1286">
        <f>'A-50 FGRailInv'!AJ212</f>
        <v>0</v>
      </c>
      <c r="T63" s="1286">
        <f>'A-50 FGRailInv'!AL212</f>
        <v>0</v>
      </c>
      <c r="U63" s="1296">
        <f>'A-50 FGRailInv'!AP212</f>
        <v>0</v>
      </c>
      <c r="X63" s="1380">
        <f>'A-55 TrackInv'!$C$199</f>
        <v>0</v>
      </c>
      <c r="Y63" s="1381" t="str">
        <f>'A-55 TrackInv'!C244</f>
        <v>Double Diamond Crossover</v>
      </c>
      <c r="Z63" s="1381">
        <f>'A-55 TrackInv'!H244</f>
        <v>0</v>
      </c>
      <c r="AA63" s="1381" t="str">
        <f>'A-55 TrackInv'!J244</f>
        <v>Each</v>
      </c>
      <c r="AB63" s="1381">
        <f>'A-55 TrackInv'!L244</f>
        <v>0</v>
      </c>
      <c r="AC63" s="1381">
        <f>'A-55 TrackInv'!N244</f>
        <v>0</v>
      </c>
      <c r="AD63" s="1381">
        <f>'A-55 TrackInv'!R244</f>
        <v>0</v>
      </c>
    </row>
    <row r="64" spans="2:30" x14ac:dyDescent="0.2">
      <c r="B64" s="1180">
        <f>'A-50 FGRailInv'!$C$179</f>
        <v>0</v>
      </c>
      <c r="C64" s="1291" t="str">
        <f>'A-50 FGRailInv'!C215</f>
        <v>Substation Equipment</v>
      </c>
      <c r="D64" s="1081">
        <f>'A-50 FGRailInv'!H215</f>
        <v>0</v>
      </c>
      <c r="E64" s="1081"/>
      <c r="F64" s="1081">
        <f>'A-50 FGRailInv'!J215</f>
        <v>0</v>
      </c>
      <c r="G64" s="1081">
        <f>'A-50 FGRailInv'!L215</f>
        <v>0</v>
      </c>
      <c r="H64" s="1081">
        <f>'A-50 FGRailInv'!N215</f>
        <v>0</v>
      </c>
      <c r="I64" s="1081">
        <f>'A-50 FGRailInv'!P215</f>
        <v>0</v>
      </c>
      <c r="J64" s="1081">
        <f>'A-50 FGRailInv'!R215</f>
        <v>0</v>
      </c>
      <c r="K64" s="1081">
        <f>'A-50 FGRailInv'!T215</f>
        <v>0</v>
      </c>
      <c r="L64" s="1081">
        <f>'A-50 FGRailInv'!V215</f>
        <v>0</v>
      </c>
      <c r="M64" s="1081">
        <f>'A-50 FGRailInv'!X215</f>
        <v>0</v>
      </c>
      <c r="N64" s="1081">
        <f>'A-50 FGRailInv'!Z215</f>
        <v>0</v>
      </c>
      <c r="O64" s="1081">
        <f>'A-50 FGRailInv'!AB215</f>
        <v>0</v>
      </c>
      <c r="P64" s="1081">
        <f>'A-50 FGRailInv'!AD215</f>
        <v>0</v>
      </c>
      <c r="Q64" s="1081">
        <f>'A-50 FGRailInv'!AF215</f>
        <v>0</v>
      </c>
      <c r="R64" s="1081">
        <f>'A-50 FGRailInv'!AH215</f>
        <v>0</v>
      </c>
      <c r="S64" s="1081">
        <f>'A-50 FGRailInv'!AJ215</f>
        <v>0</v>
      </c>
      <c r="T64" s="1081">
        <f>'A-50 FGRailInv'!AL215</f>
        <v>0</v>
      </c>
      <c r="U64" s="1292">
        <f>'A-50 FGRailInv'!AP215</f>
        <v>0</v>
      </c>
      <c r="X64" s="1380">
        <f>'A-55 TrackInv'!$C$199</f>
        <v>0</v>
      </c>
      <c r="Y64" s="1381" t="str">
        <f>'A-55 TrackInv'!C246</f>
        <v>Single Crossover</v>
      </c>
      <c r="Z64" s="1381">
        <f>'A-55 TrackInv'!H246</f>
        <v>0</v>
      </c>
      <c r="AA64" s="1381" t="str">
        <f>'A-55 TrackInv'!J246</f>
        <v>Each</v>
      </c>
      <c r="AB64" s="1381">
        <f>'A-55 TrackInv'!L246</f>
        <v>0</v>
      </c>
      <c r="AC64" s="1381">
        <f>'A-55 TrackInv'!N246</f>
        <v>0</v>
      </c>
      <c r="AD64" s="1381">
        <f>'A-55 TrackInv'!R246</f>
        <v>0</v>
      </c>
    </row>
    <row r="65" spans="2:30" x14ac:dyDescent="0.2">
      <c r="B65" s="1180">
        <f>'A-50 FGRailInv'!$C$179</f>
        <v>0</v>
      </c>
      <c r="C65" s="1291" t="str">
        <f>'A-50 FGRailInv'!C218</f>
        <v>Third Rail/Power Distribution</v>
      </c>
      <c r="D65" s="1081">
        <f>'A-50 FGRailInv'!H218</f>
        <v>0</v>
      </c>
      <c r="E65" s="1081"/>
      <c r="F65" s="1081">
        <f>'A-50 FGRailInv'!J218</f>
        <v>0</v>
      </c>
      <c r="G65" s="1081">
        <f>'A-50 FGRailInv'!L218</f>
        <v>0</v>
      </c>
      <c r="H65" s="1081">
        <f>'A-50 FGRailInv'!N218</f>
        <v>0</v>
      </c>
      <c r="I65" s="1081">
        <f>'A-50 FGRailInv'!P218</f>
        <v>0</v>
      </c>
      <c r="J65" s="1081">
        <f>'A-50 FGRailInv'!R218</f>
        <v>0</v>
      </c>
      <c r="K65" s="1081">
        <f>'A-50 FGRailInv'!T218</f>
        <v>0</v>
      </c>
      <c r="L65" s="1081">
        <f>'A-50 FGRailInv'!V218</f>
        <v>0</v>
      </c>
      <c r="M65" s="1081">
        <f>'A-50 FGRailInv'!X218</f>
        <v>0</v>
      </c>
      <c r="N65" s="1081">
        <f>'A-50 FGRailInv'!Z218</f>
        <v>0</v>
      </c>
      <c r="O65" s="1081">
        <f>'A-50 FGRailInv'!AB218</f>
        <v>0</v>
      </c>
      <c r="P65" s="1081">
        <f>'A-50 FGRailInv'!AD218</f>
        <v>0</v>
      </c>
      <c r="Q65" s="1081">
        <f>'A-50 FGRailInv'!AF218</f>
        <v>0</v>
      </c>
      <c r="R65" s="1081">
        <f>'A-50 FGRailInv'!AH218</f>
        <v>0</v>
      </c>
      <c r="S65" s="1081">
        <f>'A-50 FGRailInv'!AJ218</f>
        <v>0</v>
      </c>
      <c r="T65" s="1081">
        <f>'A-50 FGRailInv'!AL218</f>
        <v>0</v>
      </c>
      <c r="U65" s="1292">
        <f>'A-50 FGRailInv'!AP218</f>
        <v>0</v>
      </c>
      <c r="X65" s="1380">
        <f>'A-55 TrackInv'!$C$199</f>
        <v>0</v>
      </c>
      <c r="Y65" s="1381" t="str">
        <f>'A-55 TrackInv'!C248</f>
        <v>Half Grand Union</v>
      </c>
      <c r="Z65" s="1381">
        <f>'A-55 TrackInv'!H248</f>
        <v>0</v>
      </c>
      <c r="AA65" s="1381" t="str">
        <f>'A-55 TrackInv'!J248</f>
        <v>Each</v>
      </c>
      <c r="AB65" s="1381">
        <f>'A-55 TrackInv'!L248</f>
        <v>0</v>
      </c>
      <c r="AC65" s="1381">
        <f>'A-55 TrackInv'!N248</f>
        <v>0</v>
      </c>
      <c r="AD65" s="1381">
        <f>'A-55 TrackInv'!R248</f>
        <v>0</v>
      </c>
    </row>
    <row r="66" spans="2:30" x14ac:dyDescent="0.2">
      <c r="B66" s="1180">
        <f>'A-50 FGRailInv'!$C$179</f>
        <v>0</v>
      </c>
      <c r="C66" s="1291" t="str">
        <f>'A-50 FGRailInv'!C221</f>
        <v>Overhead Contact System/Power Distribution</v>
      </c>
      <c r="D66" s="1081">
        <f>'A-50 FGRailInv'!H221</f>
        <v>0</v>
      </c>
      <c r="E66" s="1081"/>
      <c r="F66" s="1081">
        <f>'A-50 FGRailInv'!J221</f>
        <v>0</v>
      </c>
      <c r="G66" s="1081">
        <f>'A-50 FGRailInv'!L221</f>
        <v>0</v>
      </c>
      <c r="H66" s="1081">
        <f>'A-50 FGRailInv'!N221</f>
        <v>0</v>
      </c>
      <c r="I66" s="1081">
        <f>'A-50 FGRailInv'!P221</f>
        <v>0</v>
      </c>
      <c r="J66" s="1081">
        <f>'A-50 FGRailInv'!R221</f>
        <v>0</v>
      </c>
      <c r="K66" s="1081">
        <f>'A-50 FGRailInv'!T221</f>
        <v>0</v>
      </c>
      <c r="L66" s="1081">
        <f>'A-50 FGRailInv'!V221</f>
        <v>0</v>
      </c>
      <c r="M66" s="1081">
        <f>'A-50 FGRailInv'!X221</f>
        <v>0</v>
      </c>
      <c r="N66" s="1081">
        <f>'A-50 FGRailInv'!Z221</f>
        <v>0</v>
      </c>
      <c r="O66" s="1081">
        <f>'A-50 FGRailInv'!AB221</f>
        <v>0</v>
      </c>
      <c r="P66" s="1081">
        <f>'A-50 FGRailInv'!AD221</f>
        <v>0</v>
      </c>
      <c r="Q66" s="1081">
        <f>'A-50 FGRailInv'!AF221</f>
        <v>0</v>
      </c>
      <c r="R66" s="1081">
        <f>'A-50 FGRailInv'!AH221</f>
        <v>0</v>
      </c>
      <c r="S66" s="1081">
        <f>'A-50 FGRailInv'!AJ221</f>
        <v>0</v>
      </c>
      <c r="T66" s="1081">
        <f>'A-50 FGRailInv'!AL221</f>
        <v>0</v>
      </c>
      <c r="U66" s="1292">
        <f>'A-50 FGRailInv'!AP221</f>
        <v>0</v>
      </c>
      <c r="X66" s="1380">
        <f>'A-55 TrackInv'!$C$199</f>
        <v>0</v>
      </c>
      <c r="Y66" s="1381" t="str">
        <f>'A-55 TrackInv'!C250</f>
        <v>Single Turnout</v>
      </c>
      <c r="Z66" s="1381">
        <f>'A-55 TrackInv'!H250</f>
        <v>0</v>
      </c>
      <c r="AA66" s="1381" t="str">
        <f>'A-55 TrackInv'!J250</f>
        <v>Each</v>
      </c>
      <c r="AB66" s="1381">
        <f>'A-55 TrackInv'!L250</f>
        <v>0</v>
      </c>
      <c r="AC66" s="1381">
        <f>'A-55 TrackInv'!N250</f>
        <v>0</v>
      </c>
      <c r="AD66" s="1381">
        <f>'A-55 TrackInv'!R250</f>
        <v>0</v>
      </c>
    </row>
    <row r="67" spans="2:30" ht="13.5" thickBot="1" x14ac:dyDescent="0.25">
      <c r="B67" s="1180">
        <f>'A-50 FGRailInv'!$C$179</f>
        <v>0</v>
      </c>
      <c r="C67" s="1297" t="str">
        <f>'A-50 FGRailInv'!C224</f>
        <v>Train Control &amp; Signaling</v>
      </c>
      <c r="D67" s="1298">
        <f>'A-50 FGRailInv'!H224</f>
        <v>0</v>
      </c>
      <c r="E67" s="1298"/>
      <c r="F67" s="1298">
        <f>'A-50 FGRailInv'!J224</f>
        <v>0</v>
      </c>
      <c r="G67" s="1298">
        <f>'A-50 FGRailInv'!L224</f>
        <v>0</v>
      </c>
      <c r="H67" s="1298">
        <f>'A-50 FGRailInv'!N224</f>
        <v>0</v>
      </c>
      <c r="I67" s="1298">
        <f>'A-50 FGRailInv'!P224</f>
        <v>0</v>
      </c>
      <c r="J67" s="1298">
        <f>'A-50 FGRailInv'!R224</f>
        <v>0</v>
      </c>
      <c r="K67" s="1298">
        <f>'A-50 FGRailInv'!T224</f>
        <v>0</v>
      </c>
      <c r="L67" s="1298">
        <f>'A-50 FGRailInv'!V224</f>
        <v>0</v>
      </c>
      <c r="M67" s="1298">
        <f>'A-50 FGRailInv'!X224</f>
        <v>0</v>
      </c>
      <c r="N67" s="1298">
        <f>'A-50 FGRailInv'!Z224</f>
        <v>0</v>
      </c>
      <c r="O67" s="1298">
        <f>'A-50 FGRailInv'!AB224</f>
        <v>0</v>
      </c>
      <c r="P67" s="1298">
        <f>'A-50 FGRailInv'!AD224</f>
        <v>0</v>
      </c>
      <c r="Q67" s="1298">
        <f>'A-50 FGRailInv'!AF224</f>
        <v>0</v>
      </c>
      <c r="R67" s="1298">
        <f>'A-50 FGRailInv'!AH224</f>
        <v>0</v>
      </c>
      <c r="S67" s="1298">
        <f>'A-50 FGRailInv'!AJ224</f>
        <v>0</v>
      </c>
      <c r="T67" s="1298">
        <f>'A-50 FGRailInv'!AL224</f>
        <v>0</v>
      </c>
      <c r="U67" s="1299">
        <f>'A-50 FGRailInv'!AP224</f>
        <v>0</v>
      </c>
      <c r="X67" s="1380">
        <f>'A-55 TrackInv'!$C$199</f>
        <v>0</v>
      </c>
      <c r="Y67" s="1381" t="str">
        <f>'A-55 TrackInv'!C252</f>
        <v>Grade Crossings</v>
      </c>
      <c r="Z67" s="1381">
        <f>'A-55 TrackInv'!H252</f>
        <v>0</v>
      </c>
      <c r="AA67" s="1381" t="str">
        <f>'A-55 TrackInv'!J252</f>
        <v>Each</v>
      </c>
      <c r="AB67" s="1381">
        <f>'A-55 TrackInv'!L252</f>
        <v>0</v>
      </c>
      <c r="AC67" s="1381">
        <f>'A-55 TrackInv'!N252</f>
        <v>0</v>
      </c>
      <c r="AD67" s="1381">
        <f>'A-55 TrackInv'!R252</f>
        <v>0</v>
      </c>
    </row>
    <row r="68" spans="2:30" x14ac:dyDescent="0.2">
      <c r="B68" s="1180">
        <f>'A-50 FGRailInv'!$C$234</f>
        <v>0</v>
      </c>
      <c r="C68" s="1288" t="str">
        <f>'A-50 FGRailInv'!C238</f>
        <v>At-Grade/Ballast (including expressway)</v>
      </c>
      <c r="D68" s="1289">
        <f>'A-50 FGRailInv'!H238</f>
        <v>0</v>
      </c>
      <c r="E68" s="1289"/>
      <c r="F68" s="1289">
        <f>'A-50 FGRailInv'!J238</f>
        <v>0</v>
      </c>
      <c r="G68" s="1289">
        <f>'A-50 FGRailInv'!L238</f>
        <v>0</v>
      </c>
      <c r="H68" s="1289">
        <f>'A-50 FGRailInv'!N238</f>
        <v>0</v>
      </c>
      <c r="I68" s="1289">
        <f>'A-50 FGRailInv'!P238</f>
        <v>0</v>
      </c>
      <c r="J68" s="1289">
        <f>'A-50 FGRailInv'!R238</f>
        <v>0</v>
      </c>
      <c r="K68" s="1289">
        <f>'A-50 FGRailInv'!T238</f>
        <v>0</v>
      </c>
      <c r="L68" s="1289">
        <f>'A-50 FGRailInv'!V238</f>
        <v>0</v>
      </c>
      <c r="M68" s="1289">
        <f>'A-50 FGRailInv'!X238</f>
        <v>0</v>
      </c>
      <c r="N68" s="1289">
        <f>'A-50 FGRailInv'!Z238</f>
        <v>0</v>
      </c>
      <c r="O68" s="1289">
        <f>'A-50 FGRailInv'!AB238</f>
        <v>0</v>
      </c>
      <c r="P68" s="1289">
        <f>'A-50 FGRailInv'!AD238</f>
        <v>0</v>
      </c>
      <c r="Q68" s="1289">
        <f>'A-50 FGRailInv'!AF238</f>
        <v>0</v>
      </c>
      <c r="R68" s="1289">
        <f>'A-50 FGRailInv'!AH238</f>
        <v>0</v>
      </c>
      <c r="S68" s="1289">
        <f>'A-50 FGRailInv'!AJ238</f>
        <v>0</v>
      </c>
      <c r="T68" s="1289">
        <f>'A-50 FGRailInv'!AL238</f>
        <v>0</v>
      </c>
      <c r="U68" s="1290">
        <f>'A-50 FGRailInv'!AP238</f>
        <v>0</v>
      </c>
      <c r="X68" s="1380">
        <f>'A-55 TrackInv'!$C$261</f>
        <v>0</v>
      </c>
      <c r="Y68" s="1381" t="str">
        <f>'A-55 TrackInv'!C267</f>
        <v>Tangent</v>
      </c>
      <c r="Z68" s="1381">
        <f>'A-55 TrackInv'!H267</f>
        <v>0</v>
      </c>
      <c r="AA68" s="1381" t="str">
        <f>'A-55 TrackInv'!J267</f>
        <v>Track Feet</v>
      </c>
      <c r="AB68" s="1381">
        <f>'A-55 TrackInv'!L267</f>
        <v>0</v>
      </c>
      <c r="AC68" s="1381">
        <f>'A-55 TrackInv'!N267</f>
        <v>0</v>
      </c>
      <c r="AD68" s="1381">
        <f>'A-55 TrackInv'!R267</f>
        <v>0</v>
      </c>
    </row>
    <row r="69" spans="2:30" x14ac:dyDescent="0.2">
      <c r="B69" s="1180">
        <f>'A-50 FGRailInv'!$C$234</f>
        <v>0</v>
      </c>
      <c r="C69" s="1291" t="str">
        <f>'A-50 FGRailInv'!C241</f>
        <v>At-Grade/In-Street/Embedded</v>
      </c>
      <c r="D69" s="1081">
        <f>'A-50 FGRailInv'!H241</f>
        <v>0</v>
      </c>
      <c r="E69" s="1081"/>
      <c r="F69" s="1081">
        <f>'A-50 FGRailInv'!J241</f>
        <v>0</v>
      </c>
      <c r="G69" s="1081">
        <f>'A-50 FGRailInv'!L241</f>
        <v>0</v>
      </c>
      <c r="H69" s="1081">
        <f>'A-50 FGRailInv'!N241</f>
        <v>0</v>
      </c>
      <c r="I69" s="1081">
        <f>'A-50 FGRailInv'!P241</f>
        <v>0</v>
      </c>
      <c r="J69" s="1081">
        <f>'A-50 FGRailInv'!R241</f>
        <v>0</v>
      </c>
      <c r="K69" s="1081">
        <f>'A-50 FGRailInv'!T241</f>
        <v>0</v>
      </c>
      <c r="L69" s="1081">
        <f>'A-50 FGRailInv'!V241</f>
        <v>0</v>
      </c>
      <c r="M69" s="1081">
        <f>'A-50 FGRailInv'!X241</f>
        <v>0</v>
      </c>
      <c r="N69" s="1081">
        <f>'A-50 FGRailInv'!Z241</f>
        <v>0</v>
      </c>
      <c r="O69" s="1081">
        <f>'A-50 FGRailInv'!AB241</f>
        <v>0</v>
      </c>
      <c r="P69" s="1081">
        <f>'A-50 FGRailInv'!AD241</f>
        <v>0</v>
      </c>
      <c r="Q69" s="1081">
        <f>'A-50 FGRailInv'!AF241</f>
        <v>0</v>
      </c>
      <c r="R69" s="1081">
        <f>'A-50 FGRailInv'!AH241</f>
        <v>0</v>
      </c>
      <c r="S69" s="1081">
        <f>'A-50 FGRailInv'!AJ241</f>
        <v>0</v>
      </c>
      <c r="T69" s="1081">
        <f>'A-50 FGRailInv'!AL241</f>
        <v>0</v>
      </c>
      <c r="U69" s="1292">
        <f>'A-50 FGRailInv'!AP241</f>
        <v>0</v>
      </c>
      <c r="X69" s="1380">
        <f>'A-55 TrackInv'!$C$261</f>
        <v>0</v>
      </c>
      <c r="Y69" s="1381" t="str">
        <f>'A-55 TrackInv'!C269</f>
        <v>Curve</v>
      </c>
      <c r="Z69" s="1381">
        <f>'A-55 TrackInv'!H269</f>
        <v>0</v>
      </c>
      <c r="AA69" s="1381" t="str">
        <f>'A-55 TrackInv'!J269</f>
        <v>Track Feet</v>
      </c>
      <c r="AB69" s="1381">
        <f>'A-55 TrackInv'!L269</f>
        <v>0</v>
      </c>
      <c r="AC69" s="1381">
        <f>'A-55 TrackInv'!N269</f>
        <v>0</v>
      </c>
      <c r="AD69" s="1381">
        <f>'A-55 TrackInv'!R269</f>
        <v>0</v>
      </c>
    </row>
    <row r="70" spans="2:30" x14ac:dyDescent="0.2">
      <c r="B70" s="1180">
        <f>'A-50 FGRailInv'!$C$234</f>
        <v>0</v>
      </c>
      <c r="C70" s="1291" t="str">
        <f>'A-50 FGRailInv'!C244</f>
        <v>Elevated/Retained Fill</v>
      </c>
      <c r="D70" s="1081">
        <f>'A-50 FGRailInv'!H244</f>
        <v>0</v>
      </c>
      <c r="E70" s="1081"/>
      <c r="F70" s="1081">
        <f>'A-50 FGRailInv'!J244</f>
        <v>0</v>
      </c>
      <c r="G70" s="1081">
        <f>'A-50 FGRailInv'!L244</f>
        <v>0</v>
      </c>
      <c r="H70" s="1081">
        <f>'A-50 FGRailInv'!N244</f>
        <v>0</v>
      </c>
      <c r="I70" s="1081">
        <f>'A-50 FGRailInv'!P244</f>
        <v>0</v>
      </c>
      <c r="J70" s="1081">
        <f>'A-50 FGRailInv'!R244</f>
        <v>0</v>
      </c>
      <c r="K70" s="1081">
        <f>'A-50 FGRailInv'!T244</f>
        <v>0</v>
      </c>
      <c r="L70" s="1081">
        <f>'A-50 FGRailInv'!V244</f>
        <v>0</v>
      </c>
      <c r="M70" s="1081">
        <f>'A-50 FGRailInv'!X244</f>
        <v>0</v>
      </c>
      <c r="N70" s="1081">
        <f>'A-50 FGRailInv'!Z244</f>
        <v>0</v>
      </c>
      <c r="O70" s="1081">
        <f>'A-50 FGRailInv'!AB244</f>
        <v>0</v>
      </c>
      <c r="P70" s="1081">
        <f>'A-50 FGRailInv'!AD244</f>
        <v>0</v>
      </c>
      <c r="Q70" s="1081">
        <f>'A-50 FGRailInv'!AF244</f>
        <v>0</v>
      </c>
      <c r="R70" s="1081">
        <f>'A-50 FGRailInv'!AH244</f>
        <v>0</v>
      </c>
      <c r="S70" s="1081">
        <f>'A-50 FGRailInv'!AJ244</f>
        <v>0</v>
      </c>
      <c r="T70" s="1081">
        <f>'A-50 FGRailInv'!AL244</f>
        <v>0</v>
      </c>
      <c r="U70" s="1292">
        <f>'A-50 FGRailInv'!AP244</f>
        <v>0</v>
      </c>
      <c r="X70" s="1380">
        <f>'A-55 TrackInv'!$C$261</f>
        <v>0</v>
      </c>
      <c r="Y70" s="1381" t="str">
        <f>'A-55 TrackInv'!C275</f>
        <v>Double Diamond Crossover</v>
      </c>
      <c r="Z70" s="1381">
        <f>'A-55 TrackInv'!H275</f>
        <v>0</v>
      </c>
      <c r="AA70" s="1381" t="str">
        <f>'A-55 TrackInv'!J275</f>
        <v>Each</v>
      </c>
      <c r="AB70" s="1381">
        <f>'A-55 TrackInv'!L275</f>
        <v>0</v>
      </c>
      <c r="AC70" s="1381">
        <f>'A-55 TrackInv'!N275</f>
        <v>0</v>
      </c>
      <c r="AD70" s="1381">
        <f>'A-55 TrackInv'!R275</f>
        <v>0</v>
      </c>
    </row>
    <row r="71" spans="2:30" x14ac:dyDescent="0.2">
      <c r="B71" s="1180">
        <f>'A-50 FGRailInv'!$C$234</f>
        <v>0</v>
      </c>
      <c r="C71" s="1291" t="str">
        <f>'A-50 FGRailInv'!C247</f>
        <v>Elevated/Concrete</v>
      </c>
      <c r="D71" s="1081">
        <f>'A-50 FGRailInv'!H247</f>
        <v>0</v>
      </c>
      <c r="E71" s="1081"/>
      <c r="F71" s="1081">
        <f>'A-50 FGRailInv'!J247</f>
        <v>0</v>
      </c>
      <c r="G71" s="1081">
        <f>'A-50 FGRailInv'!L247</f>
        <v>0</v>
      </c>
      <c r="H71" s="1081">
        <f>'A-50 FGRailInv'!N247</f>
        <v>0</v>
      </c>
      <c r="I71" s="1081">
        <f>'A-50 FGRailInv'!P247</f>
        <v>0</v>
      </c>
      <c r="J71" s="1081">
        <f>'A-50 FGRailInv'!R247</f>
        <v>0</v>
      </c>
      <c r="K71" s="1081">
        <f>'A-50 FGRailInv'!T247</f>
        <v>0</v>
      </c>
      <c r="L71" s="1081">
        <f>'A-50 FGRailInv'!V247</f>
        <v>0</v>
      </c>
      <c r="M71" s="1081">
        <f>'A-50 FGRailInv'!X247</f>
        <v>0</v>
      </c>
      <c r="N71" s="1081">
        <f>'A-50 FGRailInv'!Z247</f>
        <v>0</v>
      </c>
      <c r="O71" s="1081">
        <f>'A-50 FGRailInv'!AB247</f>
        <v>0</v>
      </c>
      <c r="P71" s="1081">
        <f>'A-50 FGRailInv'!AD247</f>
        <v>0</v>
      </c>
      <c r="Q71" s="1081">
        <f>'A-50 FGRailInv'!AF247</f>
        <v>0</v>
      </c>
      <c r="R71" s="1081">
        <f>'A-50 FGRailInv'!AH247</f>
        <v>0</v>
      </c>
      <c r="S71" s="1081">
        <f>'A-50 FGRailInv'!AJ247</f>
        <v>0</v>
      </c>
      <c r="T71" s="1081">
        <f>'A-50 FGRailInv'!AL247</f>
        <v>0</v>
      </c>
      <c r="U71" s="1292">
        <f>'A-50 FGRailInv'!AP247</f>
        <v>0</v>
      </c>
      <c r="X71" s="1380">
        <f>'A-55 TrackInv'!$C$261</f>
        <v>0</v>
      </c>
      <c r="Y71" s="1381" t="str">
        <f>'A-55 TrackInv'!C277</f>
        <v>Single Crossover</v>
      </c>
      <c r="Z71" s="1381">
        <f>'A-55 TrackInv'!H277</f>
        <v>0</v>
      </c>
      <c r="AA71" s="1381" t="str">
        <f>'A-55 TrackInv'!J277</f>
        <v>Each</v>
      </c>
      <c r="AB71" s="1381">
        <f>'A-55 TrackInv'!L277</f>
        <v>0</v>
      </c>
      <c r="AC71" s="1381">
        <f>'A-55 TrackInv'!N277</f>
        <v>0</v>
      </c>
      <c r="AD71" s="1381">
        <f>'A-55 TrackInv'!R277</f>
        <v>0</v>
      </c>
    </row>
    <row r="72" spans="2:30" x14ac:dyDescent="0.2">
      <c r="B72" s="1180">
        <f>'A-50 FGRailInv'!$C$234</f>
        <v>0</v>
      </c>
      <c r="C72" s="1291" t="str">
        <f>'A-50 FGRailInv'!C250</f>
        <v>Elevated/Steel Viaduct or Bridge</v>
      </c>
      <c r="D72" s="1081">
        <f>'A-50 FGRailInv'!H250</f>
        <v>0</v>
      </c>
      <c r="E72" s="1081"/>
      <c r="F72" s="1081">
        <f>'A-50 FGRailInv'!J250</f>
        <v>0</v>
      </c>
      <c r="G72" s="1081">
        <f>'A-50 FGRailInv'!L250</f>
        <v>0</v>
      </c>
      <c r="H72" s="1081">
        <f>'A-50 FGRailInv'!N250</f>
        <v>0</v>
      </c>
      <c r="I72" s="1081">
        <f>'A-50 FGRailInv'!P250</f>
        <v>0</v>
      </c>
      <c r="J72" s="1081">
        <f>'A-50 FGRailInv'!R250</f>
        <v>0</v>
      </c>
      <c r="K72" s="1081">
        <f>'A-50 FGRailInv'!T250</f>
        <v>0</v>
      </c>
      <c r="L72" s="1081">
        <f>'A-50 FGRailInv'!V250</f>
        <v>0</v>
      </c>
      <c r="M72" s="1081">
        <f>'A-50 FGRailInv'!X250</f>
        <v>0</v>
      </c>
      <c r="N72" s="1081">
        <f>'A-50 FGRailInv'!Z250</f>
        <v>0</v>
      </c>
      <c r="O72" s="1081">
        <f>'A-50 FGRailInv'!AB250</f>
        <v>0</v>
      </c>
      <c r="P72" s="1081">
        <f>'A-50 FGRailInv'!AD250</f>
        <v>0</v>
      </c>
      <c r="Q72" s="1081">
        <f>'A-50 FGRailInv'!AF250</f>
        <v>0</v>
      </c>
      <c r="R72" s="1081">
        <f>'A-50 FGRailInv'!AH250</f>
        <v>0</v>
      </c>
      <c r="S72" s="1081">
        <f>'A-50 FGRailInv'!AJ250</f>
        <v>0</v>
      </c>
      <c r="T72" s="1081">
        <f>'A-50 FGRailInv'!AL250</f>
        <v>0</v>
      </c>
      <c r="U72" s="1292">
        <f>'A-50 FGRailInv'!AP250</f>
        <v>0</v>
      </c>
      <c r="X72" s="1380">
        <f>'A-55 TrackInv'!$C$261</f>
        <v>0</v>
      </c>
      <c r="Y72" s="1381" t="str">
        <f>'A-55 TrackInv'!C279</f>
        <v>Half Grand Union</v>
      </c>
      <c r="Z72" s="1381">
        <f>'A-55 TrackInv'!H279</f>
        <v>0</v>
      </c>
      <c r="AA72" s="1381" t="str">
        <f>'A-55 TrackInv'!J279</f>
        <v>Each</v>
      </c>
      <c r="AB72" s="1381">
        <f>'A-55 TrackInv'!L279</f>
        <v>0</v>
      </c>
      <c r="AC72" s="1381">
        <f>'A-55 TrackInv'!N279</f>
        <v>0</v>
      </c>
      <c r="AD72" s="1381">
        <f>'A-55 TrackInv'!R279</f>
        <v>0</v>
      </c>
    </row>
    <row r="73" spans="2:30" x14ac:dyDescent="0.2">
      <c r="B73" s="1180">
        <f>'A-50 FGRailInv'!$C$234</f>
        <v>0</v>
      </c>
      <c r="C73" s="1291" t="str">
        <f>'A-50 FGRailInv'!C253</f>
        <v>Below-Grade/Retained Cut</v>
      </c>
      <c r="D73" s="1081">
        <f>'A-50 FGRailInv'!H253</f>
        <v>0</v>
      </c>
      <c r="E73" s="1081"/>
      <c r="F73" s="1081">
        <f>'A-50 FGRailInv'!J253</f>
        <v>0</v>
      </c>
      <c r="G73" s="1081">
        <f>'A-50 FGRailInv'!L253</f>
        <v>0</v>
      </c>
      <c r="H73" s="1081">
        <f>'A-50 FGRailInv'!N253</f>
        <v>0</v>
      </c>
      <c r="I73" s="1081">
        <f>'A-50 FGRailInv'!P253</f>
        <v>0</v>
      </c>
      <c r="J73" s="1081">
        <f>'A-50 FGRailInv'!R253</f>
        <v>0</v>
      </c>
      <c r="K73" s="1081">
        <f>'A-50 FGRailInv'!T253</f>
        <v>0</v>
      </c>
      <c r="L73" s="1081">
        <f>'A-50 FGRailInv'!V253</f>
        <v>0</v>
      </c>
      <c r="M73" s="1081">
        <f>'A-50 FGRailInv'!X253</f>
        <v>0</v>
      </c>
      <c r="N73" s="1081">
        <f>'A-50 FGRailInv'!Z253</f>
        <v>0</v>
      </c>
      <c r="O73" s="1081">
        <f>'A-50 FGRailInv'!AB253</f>
        <v>0</v>
      </c>
      <c r="P73" s="1081">
        <f>'A-50 FGRailInv'!AD253</f>
        <v>0</v>
      </c>
      <c r="Q73" s="1081">
        <f>'A-50 FGRailInv'!AF253</f>
        <v>0</v>
      </c>
      <c r="R73" s="1081">
        <f>'A-50 FGRailInv'!AH253</f>
        <v>0</v>
      </c>
      <c r="S73" s="1081">
        <f>'A-50 FGRailInv'!AJ253</f>
        <v>0</v>
      </c>
      <c r="T73" s="1081">
        <f>'A-50 FGRailInv'!AL253</f>
        <v>0</v>
      </c>
      <c r="U73" s="1292">
        <f>'A-50 FGRailInv'!AP253</f>
        <v>0</v>
      </c>
      <c r="X73" s="1380">
        <f>'A-55 TrackInv'!$C$261</f>
        <v>0</v>
      </c>
      <c r="Y73" s="1381" t="str">
        <f>'A-55 TrackInv'!C281</f>
        <v>Single Turnout</v>
      </c>
      <c r="Z73" s="1381">
        <f>'A-55 TrackInv'!H281</f>
        <v>0</v>
      </c>
      <c r="AA73" s="1381" t="str">
        <f>'A-55 TrackInv'!J281</f>
        <v>Each</v>
      </c>
      <c r="AB73" s="1381">
        <f>'A-55 TrackInv'!L281</f>
        <v>0</v>
      </c>
      <c r="AC73" s="1381">
        <f>'A-55 TrackInv'!N281</f>
        <v>0</v>
      </c>
      <c r="AD73" s="1381">
        <f>'A-55 TrackInv'!R281</f>
        <v>0</v>
      </c>
    </row>
    <row r="74" spans="2:30" x14ac:dyDescent="0.2">
      <c r="B74" s="1180">
        <f>'A-50 FGRailInv'!$C$234</f>
        <v>0</v>
      </c>
      <c r="C74" s="1291" t="str">
        <f>'A-50 FGRailInv'!C256</f>
        <v>Below-Grade/Cut-and-Cover Tunnel</v>
      </c>
      <c r="D74" s="1081">
        <f>'A-50 FGRailInv'!H256</f>
        <v>0</v>
      </c>
      <c r="E74" s="1081"/>
      <c r="F74" s="1081">
        <f>'A-50 FGRailInv'!J256</f>
        <v>0</v>
      </c>
      <c r="G74" s="1081">
        <f>'A-50 FGRailInv'!L256</f>
        <v>0</v>
      </c>
      <c r="H74" s="1081">
        <f>'A-50 FGRailInv'!N256</f>
        <v>0</v>
      </c>
      <c r="I74" s="1081">
        <f>'A-50 FGRailInv'!P256</f>
        <v>0</v>
      </c>
      <c r="J74" s="1081">
        <f>'A-50 FGRailInv'!R256</f>
        <v>0</v>
      </c>
      <c r="K74" s="1081">
        <f>'A-50 FGRailInv'!T256</f>
        <v>0</v>
      </c>
      <c r="L74" s="1081">
        <f>'A-50 FGRailInv'!V256</f>
        <v>0</v>
      </c>
      <c r="M74" s="1081">
        <f>'A-50 FGRailInv'!X256</f>
        <v>0</v>
      </c>
      <c r="N74" s="1081">
        <f>'A-50 FGRailInv'!Z256</f>
        <v>0</v>
      </c>
      <c r="O74" s="1081">
        <f>'A-50 FGRailInv'!AB256</f>
        <v>0</v>
      </c>
      <c r="P74" s="1081">
        <f>'A-50 FGRailInv'!AD256</f>
        <v>0</v>
      </c>
      <c r="Q74" s="1081">
        <f>'A-50 FGRailInv'!AF256</f>
        <v>0</v>
      </c>
      <c r="R74" s="1081">
        <f>'A-50 FGRailInv'!AH256</f>
        <v>0</v>
      </c>
      <c r="S74" s="1081">
        <f>'A-50 FGRailInv'!AJ256</f>
        <v>0</v>
      </c>
      <c r="T74" s="1081">
        <f>'A-50 FGRailInv'!AL256</f>
        <v>0</v>
      </c>
      <c r="U74" s="1292">
        <f>'A-50 FGRailInv'!AP256</f>
        <v>0</v>
      </c>
      <c r="X74" s="1380">
        <f>'A-55 TrackInv'!$C$261</f>
        <v>0</v>
      </c>
      <c r="Y74" s="1381" t="str">
        <f>'A-55 TrackInv'!C283</f>
        <v>Grade Crossings</v>
      </c>
      <c r="Z74" s="1381">
        <f>'A-55 TrackInv'!H283</f>
        <v>0</v>
      </c>
      <c r="AA74" s="1381" t="str">
        <f>'A-55 TrackInv'!J283</f>
        <v>Each</v>
      </c>
      <c r="AB74" s="1381">
        <f>'A-55 TrackInv'!L283</f>
        <v>0</v>
      </c>
      <c r="AC74" s="1381">
        <f>'A-55 TrackInv'!N283</f>
        <v>0</v>
      </c>
      <c r="AD74" s="1381">
        <f>'A-55 TrackInv'!R283</f>
        <v>0</v>
      </c>
    </row>
    <row r="75" spans="2:30" x14ac:dyDescent="0.2">
      <c r="B75" s="1180">
        <f>'A-50 FGRailInv'!$C$234</f>
        <v>0</v>
      </c>
      <c r="C75" s="1291" t="str">
        <f>'A-50 FGRailInv'!C259</f>
        <v>Below-Grade/Bored or Blasted Tunnel</v>
      </c>
      <c r="D75" s="1081">
        <f>'A-50 FGRailInv'!H259</f>
        <v>0</v>
      </c>
      <c r="E75" s="1081"/>
      <c r="F75" s="1081">
        <f>'A-50 FGRailInv'!J259</f>
        <v>0</v>
      </c>
      <c r="G75" s="1081">
        <f>'A-50 FGRailInv'!L259</f>
        <v>0</v>
      </c>
      <c r="H75" s="1081">
        <f>'A-50 FGRailInv'!N259</f>
        <v>0</v>
      </c>
      <c r="I75" s="1081">
        <f>'A-50 FGRailInv'!P259</f>
        <v>0</v>
      </c>
      <c r="J75" s="1081">
        <f>'A-50 FGRailInv'!R259</f>
        <v>0</v>
      </c>
      <c r="K75" s="1081">
        <f>'A-50 FGRailInv'!T259</f>
        <v>0</v>
      </c>
      <c r="L75" s="1081">
        <f>'A-50 FGRailInv'!V259</f>
        <v>0</v>
      </c>
      <c r="M75" s="1081">
        <f>'A-50 FGRailInv'!X259</f>
        <v>0</v>
      </c>
      <c r="N75" s="1081">
        <f>'A-50 FGRailInv'!Z259</f>
        <v>0</v>
      </c>
      <c r="O75" s="1081">
        <f>'A-50 FGRailInv'!AB259</f>
        <v>0</v>
      </c>
      <c r="P75" s="1081">
        <f>'A-50 FGRailInv'!AD259</f>
        <v>0</v>
      </c>
      <c r="Q75" s="1081">
        <f>'A-50 FGRailInv'!AF259</f>
        <v>0</v>
      </c>
      <c r="R75" s="1081">
        <f>'A-50 FGRailInv'!AH259</f>
        <v>0</v>
      </c>
      <c r="S75" s="1081">
        <f>'A-50 FGRailInv'!AJ259</f>
        <v>0</v>
      </c>
      <c r="T75" s="1081">
        <f>'A-50 FGRailInv'!AL259</f>
        <v>0</v>
      </c>
      <c r="U75" s="1292">
        <f>'A-50 FGRailInv'!AP259</f>
        <v>0</v>
      </c>
      <c r="X75" s="1380">
        <f>'A-55 TrackInv'!$C$292</f>
        <v>0</v>
      </c>
      <c r="Y75" s="1381" t="str">
        <f>'A-55 TrackInv'!C298</f>
        <v>Tangent</v>
      </c>
      <c r="Z75" s="1381">
        <f>'A-55 TrackInv'!H298</f>
        <v>0</v>
      </c>
      <c r="AA75" s="1381" t="str">
        <f>'A-55 TrackInv'!J298</f>
        <v>Track Feet</v>
      </c>
      <c r="AB75" s="1381">
        <f>'A-55 TrackInv'!L298</f>
        <v>0</v>
      </c>
      <c r="AC75" s="1381">
        <f>'A-55 TrackInv'!N298</f>
        <v>0</v>
      </c>
      <c r="AD75" s="1381">
        <f>'A-55 TrackInv'!R298</f>
        <v>0</v>
      </c>
    </row>
    <row r="76" spans="2:30" x14ac:dyDescent="0.2">
      <c r="B76" s="1180">
        <f>'A-50 FGRailInv'!$C$234</f>
        <v>0</v>
      </c>
      <c r="C76" s="1293" t="str">
        <f>'A-50 FGRailInv'!C262</f>
        <v>Below-Grade/Submerged Tube</v>
      </c>
      <c r="D76" s="1287">
        <f>'A-50 FGRailInv'!H262</f>
        <v>0</v>
      </c>
      <c r="E76" s="1287"/>
      <c r="F76" s="1287">
        <f>'A-50 FGRailInv'!J262</f>
        <v>0</v>
      </c>
      <c r="G76" s="1287">
        <f>'A-50 FGRailInv'!L262</f>
        <v>0</v>
      </c>
      <c r="H76" s="1287">
        <f>'A-50 FGRailInv'!N262</f>
        <v>0</v>
      </c>
      <c r="I76" s="1287">
        <f>'A-50 FGRailInv'!P262</f>
        <v>0</v>
      </c>
      <c r="J76" s="1287">
        <f>'A-50 FGRailInv'!R262</f>
        <v>0</v>
      </c>
      <c r="K76" s="1287">
        <f>'A-50 FGRailInv'!T262</f>
        <v>0</v>
      </c>
      <c r="L76" s="1287">
        <f>'A-50 FGRailInv'!V262</f>
        <v>0</v>
      </c>
      <c r="M76" s="1287">
        <f>'A-50 FGRailInv'!X262</f>
        <v>0</v>
      </c>
      <c r="N76" s="1287">
        <f>'A-50 FGRailInv'!Z262</f>
        <v>0</v>
      </c>
      <c r="O76" s="1287">
        <f>'A-50 FGRailInv'!AB262</f>
        <v>0</v>
      </c>
      <c r="P76" s="1287">
        <f>'A-50 FGRailInv'!AD262</f>
        <v>0</v>
      </c>
      <c r="Q76" s="1287">
        <f>'A-50 FGRailInv'!AF262</f>
        <v>0</v>
      </c>
      <c r="R76" s="1287">
        <f>'A-50 FGRailInv'!AH262</f>
        <v>0</v>
      </c>
      <c r="S76" s="1287">
        <f>'A-50 FGRailInv'!AJ262</f>
        <v>0</v>
      </c>
      <c r="T76" s="1287">
        <f>'A-50 FGRailInv'!AL262</f>
        <v>0</v>
      </c>
      <c r="U76" s="1294">
        <f>'A-50 FGRailInv'!AP262</f>
        <v>0</v>
      </c>
      <c r="X76" s="1380">
        <f>'A-55 TrackInv'!$C$292</f>
        <v>0</v>
      </c>
      <c r="Y76" s="1381" t="str">
        <f>'A-55 TrackInv'!C300</f>
        <v>Curve</v>
      </c>
      <c r="Z76" s="1381">
        <f>'A-55 TrackInv'!H300</f>
        <v>0</v>
      </c>
      <c r="AA76" s="1381" t="str">
        <f>'A-55 TrackInv'!J300</f>
        <v>Track Feet</v>
      </c>
      <c r="AB76" s="1381">
        <f>'A-55 TrackInv'!L300</f>
        <v>0</v>
      </c>
      <c r="AC76" s="1381">
        <f>'A-55 TrackInv'!N300</f>
        <v>0</v>
      </c>
      <c r="AD76" s="1381">
        <f>'A-55 TrackInv'!R300</f>
        <v>0</v>
      </c>
    </row>
    <row r="77" spans="2:30" x14ac:dyDescent="0.2">
      <c r="B77" s="1180">
        <f>'A-50 FGRailInv'!$C$234</f>
        <v>0</v>
      </c>
      <c r="C77" s="1295" t="str">
        <f>'A-50 FGRailInv'!C267</f>
        <v>Substation Building</v>
      </c>
      <c r="D77" s="1286">
        <f>'A-50 FGRailInv'!H267</f>
        <v>0</v>
      </c>
      <c r="E77" s="1286"/>
      <c r="F77" s="1286">
        <f>'A-50 FGRailInv'!J267</f>
        <v>0</v>
      </c>
      <c r="G77" s="1286">
        <f>'A-50 FGRailInv'!L267</f>
        <v>0</v>
      </c>
      <c r="H77" s="1286">
        <f>'A-50 FGRailInv'!N267</f>
        <v>0</v>
      </c>
      <c r="I77" s="1286">
        <f>'A-50 FGRailInv'!P267</f>
        <v>0</v>
      </c>
      <c r="J77" s="1286">
        <f>'A-50 FGRailInv'!R267</f>
        <v>0</v>
      </c>
      <c r="K77" s="1286">
        <f>'A-50 FGRailInv'!T267</f>
        <v>0</v>
      </c>
      <c r="L77" s="1286">
        <f>'A-50 FGRailInv'!V267</f>
        <v>0</v>
      </c>
      <c r="M77" s="1286">
        <f>'A-50 FGRailInv'!X267</f>
        <v>0</v>
      </c>
      <c r="N77" s="1286">
        <f>'A-50 FGRailInv'!Z267</f>
        <v>0</v>
      </c>
      <c r="O77" s="1286">
        <f>'A-50 FGRailInv'!AB267</f>
        <v>0</v>
      </c>
      <c r="P77" s="1286">
        <f>'A-50 FGRailInv'!AD267</f>
        <v>0</v>
      </c>
      <c r="Q77" s="1286">
        <f>'A-50 FGRailInv'!AF267</f>
        <v>0</v>
      </c>
      <c r="R77" s="1286">
        <f>'A-50 FGRailInv'!AH267</f>
        <v>0</v>
      </c>
      <c r="S77" s="1286">
        <f>'A-50 FGRailInv'!AJ267</f>
        <v>0</v>
      </c>
      <c r="T77" s="1286">
        <f>'A-50 FGRailInv'!AL267</f>
        <v>0</v>
      </c>
      <c r="U77" s="1296">
        <f>'A-50 FGRailInv'!AP267</f>
        <v>0</v>
      </c>
      <c r="X77" s="1380">
        <f>'A-55 TrackInv'!$C$292</f>
        <v>0</v>
      </c>
      <c r="Y77" s="1381" t="str">
        <f>'A-55 TrackInv'!C306</f>
        <v>Double Diamond Crossover</v>
      </c>
      <c r="Z77" s="1381">
        <f>'A-55 TrackInv'!H306</f>
        <v>0</v>
      </c>
      <c r="AA77" s="1381" t="str">
        <f>'A-55 TrackInv'!J306</f>
        <v>Each</v>
      </c>
      <c r="AB77" s="1381">
        <f>'A-55 TrackInv'!L306</f>
        <v>0</v>
      </c>
      <c r="AC77" s="1381">
        <f>'A-55 TrackInv'!N306</f>
        <v>0</v>
      </c>
      <c r="AD77" s="1381">
        <f>'A-55 TrackInv'!R306</f>
        <v>0</v>
      </c>
    </row>
    <row r="78" spans="2:30" x14ac:dyDescent="0.2">
      <c r="B78" s="1180">
        <f>'A-50 FGRailInv'!$C$234</f>
        <v>0</v>
      </c>
      <c r="C78" s="1291" t="str">
        <f>'A-50 FGRailInv'!C270</f>
        <v>Substation Equipment</v>
      </c>
      <c r="D78" s="1081">
        <f>'A-50 FGRailInv'!H270</f>
        <v>0</v>
      </c>
      <c r="E78" s="1081"/>
      <c r="F78" s="1081">
        <f>'A-50 FGRailInv'!J270</f>
        <v>0</v>
      </c>
      <c r="G78" s="1081">
        <f>'A-50 FGRailInv'!L270</f>
        <v>0</v>
      </c>
      <c r="H78" s="1081">
        <f>'A-50 FGRailInv'!N270</f>
        <v>0</v>
      </c>
      <c r="I78" s="1081">
        <f>'A-50 FGRailInv'!P270</f>
        <v>0</v>
      </c>
      <c r="J78" s="1081">
        <f>'A-50 FGRailInv'!R270</f>
        <v>0</v>
      </c>
      <c r="K78" s="1081">
        <f>'A-50 FGRailInv'!T270</f>
        <v>0</v>
      </c>
      <c r="L78" s="1081">
        <f>'A-50 FGRailInv'!V270</f>
        <v>0</v>
      </c>
      <c r="M78" s="1081">
        <f>'A-50 FGRailInv'!X270</f>
        <v>0</v>
      </c>
      <c r="N78" s="1081">
        <f>'A-50 FGRailInv'!Z270</f>
        <v>0</v>
      </c>
      <c r="O78" s="1081">
        <f>'A-50 FGRailInv'!AB270</f>
        <v>0</v>
      </c>
      <c r="P78" s="1081">
        <f>'A-50 FGRailInv'!AD270</f>
        <v>0</v>
      </c>
      <c r="Q78" s="1081">
        <f>'A-50 FGRailInv'!AF270</f>
        <v>0</v>
      </c>
      <c r="R78" s="1081">
        <f>'A-50 FGRailInv'!AH270</f>
        <v>0</v>
      </c>
      <c r="S78" s="1081">
        <f>'A-50 FGRailInv'!AJ270</f>
        <v>0</v>
      </c>
      <c r="T78" s="1081">
        <f>'A-50 FGRailInv'!AL270</f>
        <v>0</v>
      </c>
      <c r="U78" s="1292">
        <f>'A-50 FGRailInv'!AP270</f>
        <v>0</v>
      </c>
      <c r="X78" s="1380">
        <f>'A-55 TrackInv'!$C$292</f>
        <v>0</v>
      </c>
      <c r="Y78" s="1381" t="str">
        <f>'A-55 TrackInv'!C308</f>
        <v>Single Crossover</v>
      </c>
      <c r="Z78" s="1381">
        <f>'A-55 TrackInv'!H308</f>
        <v>0</v>
      </c>
      <c r="AA78" s="1381" t="str">
        <f>'A-55 TrackInv'!J308</f>
        <v>Each</v>
      </c>
      <c r="AB78" s="1381">
        <f>'A-55 TrackInv'!L308</f>
        <v>0</v>
      </c>
      <c r="AC78" s="1381">
        <f>'A-55 TrackInv'!N308</f>
        <v>0</v>
      </c>
      <c r="AD78" s="1381">
        <f>'A-55 TrackInv'!R308</f>
        <v>0</v>
      </c>
    </row>
    <row r="79" spans="2:30" x14ac:dyDescent="0.2">
      <c r="B79" s="1180">
        <f>'A-50 FGRailInv'!$C$234</f>
        <v>0</v>
      </c>
      <c r="C79" s="1291" t="str">
        <f>'A-50 FGRailInv'!C273</f>
        <v>Third Rail/Power Distribution</v>
      </c>
      <c r="D79" s="1081">
        <f>'A-50 FGRailInv'!H273</f>
        <v>0</v>
      </c>
      <c r="E79" s="1081"/>
      <c r="F79" s="1081">
        <f>'A-50 FGRailInv'!J273</f>
        <v>0</v>
      </c>
      <c r="G79" s="1081">
        <f>'A-50 FGRailInv'!L273</f>
        <v>0</v>
      </c>
      <c r="H79" s="1081">
        <f>'A-50 FGRailInv'!N273</f>
        <v>0</v>
      </c>
      <c r="I79" s="1081">
        <f>'A-50 FGRailInv'!P273</f>
        <v>0</v>
      </c>
      <c r="J79" s="1081">
        <f>'A-50 FGRailInv'!R273</f>
        <v>0</v>
      </c>
      <c r="K79" s="1081">
        <f>'A-50 FGRailInv'!T273</f>
        <v>0</v>
      </c>
      <c r="L79" s="1081">
        <f>'A-50 FGRailInv'!V273</f>
        <v>0</v>
      </c>
      <c r="M79" s="1081">
        <f>'A-50 FGRailInv'!X273</f>
        <v>0</v>
      </c>
      <c r="N79" s="1081">
        <f>'A-50 FGRailInv'!Z273</f>
        <v>0</v>
      </c>
      <c r="O79" s="1081">
        <f>'A-50 FGRailInv'!AB273</f>
        <v>0</v>
      </c>
      <c r="P79" s="1081">
        <f>'A-50 FGRailInv'!AD273</f>
        <v>0</v>
      </c>
      <c r="Q79" s="1081">
        <f>'A-50 FGRailInv'!AF273</f>
        <v>0</v>
      </c>
      <c r="R79" s="1081">
        <f>'A-50 FGRailInv'!AH273</f>
        <v>0</v>
      </c>
      <c r="S79" s="1081">
        <f>'A-50 FGRailInv'!AJ273</f>
        <v>0</v>
      </c>
      <c r="T79" s="1081">
        <f>'A-50 FGRailInv'!AL273</f>
        <v>0</v>
      </c>
      <c r="U79" s="1292">
        <f>'A-50 FGRailInv'!AP273</f>
        <v>0</v>
      </c>
      <c r="X79" s="1380">
        <f>'A-55 TrackInv'!$C$292</f>
        <v>0</v>
      </c>
      <c r="Y79" s="1381" t="str">
        <f>'A-55 TrackInv'!C310</f>
        <v>Half Grand Union</v>
      </c>
      <c r="Z79" s="1381">
        <f>'A-55 TrackInv'!H310</f>
        <v>0</v>
      </c>
      <c r="AA79" s="1381" t="str">
        <f>'A-55 TrackInv'!J310</f>
        <v>Each</v>
      </c>
      <c r="AB79" s="1381">
        <f>'A-55 TrackInv'!L310</f>
        <v>0</v>
      </c>
      <c r="AC79" s="1381">
        <f>'A-55 TrackInv'!N310</f>
        <v>0</v>
      </c>
      <c r="AD79" s="1381">
        <f>'A-55 TrackInv'!R310</f>
        <v>0</v>
      </c>
    </row>
    <row r="80" spans="2:30" x14ac:dyDescent="0.2">
      <c r="B80" s="1180">
        <f>'A-50 FGRailInv'!$C$234</f>
        <v>0</v>
      </c>
      <c r="C80" s="1291" t="str">
        <f>'A-50 FGRailInv'!C276</f>
        <v>Overhead Contact System/Power Distribution</v>
      </c>
      <c r="D80" s="1081">
        <f>'A-50 FGRailInv'!H276</f>
        <v>0</v>
      </c>
      <c r="E80" s="1081"/>
      <c r="F80" s="1081">
        <f>'A-50 FGRailInv'!J276</f>
        <v>0</v>
      </c>
      <c r="G80" s="1081">
        <f>'A-50 FGRailInv'!L276</f>
        <v>0</v>
      </c>
      <c r="H80" s="1081">
        <f>'A-50 FGRailInv'!N276</f>
        <v>0</v>
      </c>
      <c r="I80" s="1081">
        <f>'A-50 FGRailInv'!P276</f>
        <v>0</v>
      </c>
      <c r="J80" s="1081">
        <f>'A-50 FGRailInv'!R276</f>
        <v>0</v>
      </c>
      <c r="K80" s="1081">
        <f>'A-50 FGRailInv'!T276</f>
        <v>0</v>
      </c>
      <c r="L80" s="1081">
        <f>'A-50 FGRailInv'!V276</f>
        <v>0</v>
      </c>
      <c r="M80" s="1081">
        <f>'A-50 FGRailInv'!X276</f>
        <v>0</v>
      </c>
      <c r="N80" s="1081">
        <f>'A-50 FGRailInv'!Z276</f>
        <v>0</v>
      </c>
      <c r="O80" s="1081">
        <f>'A-50 FGRailInv'!AB276</f>
        <v>0</v>
      </c>
      <c r="P80" s="1081">
        <f>'A-50 FGRailInv'!AD276</f>
        <v>0</v>
      </c>
      <c r="Q80" s="1081">
        <f>'A-50 FGRailInv'!AF276</f>
        <v>0</v>
      </c>
      <c r="R80" s="1081">
        <f>'A-50 FGRailInv'!AH276</f>
        <v>0</v>
      </c>
      <c r="S80" s="1081">
        <f>'A-50 FGRailInv'!AJ276</f>
        <v>0</v>
      </c>
      <c r="T80" s="1081">
        <f>'A-50 FGRailInv'!AL276</f>
        <v>0</v>
      </c>
      <c r="U80" s="1292">
        <f>'A-50 FGRailInv'!AP276</f>
        <v>0</v>
      </c>
      <c r="X80" s="1380">
        <f>'A-55 TrackInv'!$C$292</f>
        <v>0</v>
      </c>
      <c r="Y80" s="1381" t="str">
        <f>'A-55 TrackInv'!C312</f>
        <v>Single Turnout</v>
      </c>
      <c r="Z80" s="1381">
        <f>'A-55 TrackInv'!H312</f>
        <v>0</v>
      </c>
      <c r="AA80" s="1381" t="str">
        <f>'A-55 TrackInv'!J312</f>
        <v>Each</v>
      </c>
      <c r="AB80" s="1381">
        <f>'A-55 TrackInv'!L312</f>
        <v>0</v>
      </c>
      <c r="AC80" s="1381">
        <f>'A-55 TrackInv'!N312</f>
        <v>0</v>
      </c>
      <c r="AD80" s="1381">
        <f>'A-55 TrackInv'!R312</f>
        <v>0</v>
      </c>
    </row>
    <row r="81" spans="2:30" ht="13.5" thickBot="1" x14ac:dyDescent="0.25">
      <c r="B81" s="1180">
        <f>'A-50 FGRailInv'!$C$234</f>
        <v>0</v>
      </c>
      <c r="C81" s="1297" t="str">
        <f>'A-50 FGRailInv'!C279</f>
        <v>Train Control &amp; Signaling</v>
      </c>
      <c r="D81" s="1298">
        <f>'A-50 FGRailInv'!H279</f>
        <v>0</v>
      </c>
      <c r="E81" s="1298"/>
      <c r="F81" s="1298">
        <f>'A-50 FGRailInv'!J279</f>
        <v>0</v>
      </c>
      <c r="G81" s="1298">
        <f>'A-50 FGRailInv'!L279</f>
        <v>0</v>
      </c>
      <c r="H81" s="1298">
        <f>'A-50 FGRailInv'!N279</f>
        <v>0</v>
      </c>
      <c r="I81" s="1298">
        <f>'A-50 FGRailInv'!P279</f>
        <v>0</v>
      </c>
      <c r="J81" s="1298">
        <f>'A-50 FGRailInv'!R279</f>
        <v>0</v>
      </c>
      <c r="K81" s="1298">
        <f>'A-50 FGRailInv'!T279</f>
        <v>0</v>
      </c>
      <c r="L81" s="1298">
        <f>'A-50 FGRailInv'!V279</f>
        <v>0</v>
      </c>
      <c r="M81" s="1298">
        <f>'A-50 FGRailInv'!X279</f>
        <v>0</v>
      </c>
      <c r="N81" s="1298">
        <f>'A-50 FGRailInv'!Z279</f>
        <v>0</v>
      </c>
      <c r="O81" s="1298">
        <f>'A-50 FGRailInv'!AB279</f>
        <v>0</v>
      </c>
      <c r="P81" s="1298">
        <f>'A-50 FGRailInv'!AD279</f>
        <v>0</v>
      </c>
      <c r="Q81" s="1298">
        <f>'A-50 FGRailInv'!AF279</f>
        <v>0</v>
      </c>
      <c r="R81" s="1298">
        <f>'A-50 FGRailInv'!AH279</f>
        <v>0</v>
      </c>
      <c r="S81" s="1298">
        <f>'A-50 FGRailInv'!AJ279</f>
        <v>0</v>
      </c>
      <c r="T81" s="1298">
        <f>'A-50 FGRailInv'!AL279</f>
        <v>0</v>
      </c>
      <c r="U81" s="1299">
        <f>'A-50 FGRailInv'!AP279</f>
        <v>0</v>
      </c>
      <c r="X81" s="1380">
        <f>'A-55 TrackInv'!$C$292</f>
        <v>0</v>
      </c>
      <c r="Y81" s="1381" t="str">
        <f>'A-55 TrackInv'!C314</f>
        <v>Grade Crossings</v>
      </c>
      <c r="Z81" s="1381">
        <f>'A-55 TrackInv'!H314</f>
        <v>0</v>
      </c>
      <c r="AA81" s="1381" t="str">
        <f>'A-55 TrackInv'!J314</f>
        <v>Each</v>
      </c>
      <c r="AB81" s="1381">
        <f>'A-55 TrackInv'!L314</f>
        <v>0</v>
      </c>
      <c r="AC81" s="1381">
        <f>'A-55 TrackInv'!N314</f>
        <v>0</v>
      </c>
      <c r="AD81" s="1381">
        <f>'A-55 TrackInv'!R314</f>
        <v>0</v>
      </c>
    </row>
    <row r="82" spans="2:30" x14ac:dyDescent="0.2">
      <c r="B82" s="1180">
        <f>'A-50 FGRailInv'!$C$290</f>
        <v>0</v>
      </c>
      <c r="C82" s="1288" t="str">
        <f>'A-50 FGRailInv'!C294</f>
        <v>At-Grade/Ballast (including expressway)</v>
      </c>
      <c r="D82" s="1289">
        <f>'A-50 FGRailInv'!H294</f>
        <v>0</v>
      </c>
      <c r="E82" s="1289"/>
      <c r="F82" s="1289">
        <f>'A-50 FGRailInv'!J294</f>
        <v>0</v>
      </c>
      <c r="G82" s="1289">
        <f>'A-50 FGRailInv'!L294</f>
        <v>0</v>
      </c>
      <c r="H82" s="1289">
        <f>'A-50 FGRailInv'!N294</f>
        <v>0</v>
      </c>
      <c r="I82" s="1289">
        <f>'A-50 FGRailInv'!P294</f>
        <v>0</v>
      </c>
      <c r="J82" s="1289">
        <f>'A-50 FGRailInv'!R294</f>
        <v>0</v>
      </c>
      <c r="K82" s="1289">
        <f>'A-50 FGRailInv'!T294</f>
        <v>0</v>
      </c>
      <c r="L82" s="1289">
        <f>'A-50 FGRailInv'!V294</f>
        <v>0</v>
      </c>
      <c r="M82" s="1289">
        <f>'A-50 FGRailInv'!X294</f>
        <v>0</v>
      </c>
      <c r="N82" s="1289">
        <f>'A-50 FGRailInv'!Z294</f>
        <v>0</v>
      </c>
      <c r="O82" s="1289">
        <f>'A-50 FGRailInv'!AB294</f>
        <v>0</v>
      </c>
      <c r="P82" s="1289">
        <f>'A-50 FGRailInv'!AD294</f>
        <v>0</v>
      </c>
      <c r="Q82" s="1289">
        <f>'A-50 FGRailInv'!AF294</f>
        <v>0</v>
      </c>
      <c r="R82" s="1289">
        <f>'A-50 FGRailInv'!AH294</f>
        <v>0</v>
      </c>
      <c r="S82" s="1289">
        <f>'A-50 FGRailInv'!AJ294</f>
        <v>0</v>
      </c>
      <c r="T82" s="1289">
        <f>'A-50 FGRailInv'!AL294</f>
        <v>0</v>
      </c>
      <c r="U82" s="1290">
        <f>'A-50 FGRailInv'!AP294</f>
        <v>0</v>
      </c>
    </row>
    <row r="83" spans="2:30" x14ac:dyDescent="0.2">
      <c r="B83" s="1180">
        <f>'A-50 FGRailInv'!$C$290</f>
        <v>0</v>
      </c>
      <c r="C83" s="1291" t="str">
        <f>'A-50 FGRailInv'!C297</f>
        <v>At-Grade/In-Street/Embedded</v>
      </c>
      <c r="D83" s="1081">
        <f>'A-50 FGRailInv'!H297</f>
        <v>0</v>
      </c>
      <c r="E83" s="1081"/>
      <c r="F83" s="1081">
        <f>'A-50 FGRailInv'!J297</f>
        <v>0</v>
      </c>
      <c r="G83" s="1081">
        <f>'A-50 FGRailInv'!L297</f>
        <v>0</v>
      </c>
      <c r="H83" s="1081">
        <f>'A-50 FGRailInv'!N297</f>
        <v>0</v>
      </c>
      <c r="I83" s="1081">
        <f>'A-50 FGRailInv'!P297</f>
        <v>0</v>
      </c>
      <c r="J83" s="1081">
        <f>'A-50 FGRailInv'!R297</f>
        <v>0</v>
      </c>
      <c r="K83" s="1081">
        <f>'A-50 FGRailInv'!T297</f>
        <v>0</v>
      </c>
      <c r="L83" s="1081">
        <f>'A-50 FGRailInv'!V297</f>
        <v>0</v>
      </c>
      <c r="M83" s="1081">
        <f>'A-50 FGRailInv'!X297</f>
        <v>0</v>
      </c>
      <c r="N83" s="1081">
        <f>'A-50 FGRailInv'!Z297</f>
        <v>0</v>
      </c>
      <c r="O83" s="1081">
        <f>'A-50 FGRailInv'!AB297</f>
        <v>0</v>
      </c>
      <c r="P83" s="1081">
        <f>'A-50 FGRailInv'!AD297</f>
        <v>0</v>
      </c>
      <c r="Q83" s="1081">
        <f>'A-50 FGRailInv'!AF297</f>
        <v>0</v>
      </c>
      <c r="R83" s="1081">
        <f>'A-50 FGRailInv'!AH297</f>
        <v>0</v>
      </c>
      <c r="S83" s="1081">
        <f>'A-50 FGRailInv'!AJ297</f>
        <v>0</v>
      </c>
      <c r="T83" s="1081">
        <f>'A-50 FGRailInv'!AL297</f>
        <v>0</v>
      </c>
      <c r="U83" s="1292">
        <f>'A-50 FGRailInv'!AP297</f>
        <v>0</v>
      </c>
    </row>
    <row r="84" spans="2:30" x14ac:dyDescent="0.2">
      <c r="B84" s="1180">
        <f>'A-50 FGRailInv'!$C$290</f>
        <v>0</v>
      </c>
      <c r="C84" s="1291" t="str">
        <f>'A-50 FGRailInv'!C300</f>
        <v>Elevated/Retained Fill</v>
      </c>
      <c r="D84" s="1081">
        <f>'A-50 FGRailInv'!H300</f>
        <v>0</v>
      </c>
      <c r="E84" s="1081"/>
      <c r="F84" s="1081">
        <f>'A-50 FGRailInv'!J300</f>
        <v>0</v>
      </c>
      <c r="G84" s="1081">
        <f>'A-50 FGRailInv'!L300</f>
        <v>0</v>
      </c>
      <c r="H84" s="1081">
        <f>'A-50 FGRailInv'!N300</f>
        <v>0</v>
      </c>
      <c r="I84" s="1081">
        <f>'A-50 FGRailInv'!P300</f>
        <v>0</v>
      </c>
      <c r="J84" s="1081">
        <f>'A-50 FGRailInv'!R300</f>
        <v>0</v>
      </c>
      <c r="K84" s="1081">
        <f>'A-50 FGRailInv'!T300</f>
        <v>0</v>
      </c>
      <c r="L84" s="1081">
        <f>'A-50 FGRailInv'!V300</f>
        <v>0</v>
      </c>
      <c r="M84" s="1081">
        <f>'A-50 FGRailInv'!X300</f>
        <v>0</v>
      </c>
      <c r="N84" s="1081">
        <f>'A-50 FGRailInv'!Z300</f>
        <v>0</v>
      </c>
      <c r="O84" s="1081">
        <f>'A-50 FGRailInv'!AB300</f>
        <v>0</v>
      </c>
      <c r="P84" s="1081">
        <f>'A-50 FGRailInv'!AD300</f>
        <v>0</v>
      </c>
      <c r="Q84" s="1081">
        <f>'A-50 FGRailInv'!AF300</f>
        <v>0</v>
      </c>
      <c r="R84" s="1081">
        <f>'A-50 FGRailInv'!AH300</f>
        <v>0</v>
      </c>
      <c r="S84" s="1081">
        <f>'A-50 FGRailInv'!AJ300</f>
        <v>0</v>
      </c>
      <c r="T84" s="1081">
        <f>'A-50 FGRailInv'!AL300</f>
        <v>0</v>
      </c>
      <c r="U84" s="1292">
        <f>'A-50 FGRailInv'!AP300</f>
        <v>0</v>
      </c>
    </row>
    <row r="85" spans="2:30" x14ac:dyDescent="0.2">
      <c r="B85" s="1180">
        <f>'A-50 FGRailInv'!$C$290</f>
        <v>0</v>
      </c>
      <c r="C85" s="1291" t="str">
        <f>'A-50 FGRailInv'!C303</f>
        <v>Elevated/Concrete</v>
      </c>
      <c r="D85" s="1081">
        <f>'A-50 FGRailInv'!H303</f>
        <v>0</v>
      </c>
      <c r="E85" s="1081"/>
      <c r="F85" s="1081">
        <f>'A-50 FGRailInv'!J303</f>
        <v>0</v>
      </c>
      <c r="G85" s="1081">
        <f>'A-50 FGRailInv'!L303</f>
        <v>0</v>
      </c>
      <c r="H85" s="1081">
        <f>'A-50 FGRailInv'!N303</f>
        <v>0</v>
      </c>
      <c r="I85" s="1081">
        <f>'A-50 FGRailInv'!P303</f>
        <v>0</v>
      </c>
      <c r="J85" s="1081">
        <f>'A-50 FGRailInv'!R303</f>
        <v>0</v>
      </c>
      <c r="K85" s="1081">
        <f>'A-50 FGRailInv'!T303</f>
        <v>0</v>
      </c>
      <c r="L85" s="1081">
        <f>'A-50 FGRailInv'!V303</f>
        <v>0</v>
      </c>
      <c r="M85" s="1081">
        <f>'A-50 FGRailInv'!X303</f>
        <v>0</v>
      </c>
      <c r="N85" s="1081">
        <f>'A-50 FGRailInv'!Z303</f>
        <v>0</v>
      </c>
      <c r="O85" s="1081">
        <f>'A-50 FGRailInv'!AB303</f>
        <v>0</v>
      </c>
      <c r="P85" s="1081">
        <f>'A-50 FGRailInv'!AD303</f>
        <v>0</v>
      </c>
      <c r="Q85" s="1081">
        <f>'A-50 FGRailInv'!AF303</f>
        <v>0</v>
      </c>
      <c r="R85" s="1081">
        <f>'A-50 FGRailInv'!AH303</f>
        <v>0</v>
      </c>
      <c r="S85" s="1081">
        <f>'A-50 FGRailInv'!AJ303</f>
        <v>0</v>
      </c>
      <c r="T85" s="1081">
        <f>'A-50 FGRailInv'!AL303</f>
        <v>0</v>
      </c>
      <c r="U85" s="1292">
        <f>'A-50 FGRailInv'!AP303</f>
        <v>0</v>
      </c>
    </row>
    <row r="86" spans="2:30" x14ac:dyDescent="0.2">
      <c r="B86" s="1180">
        <f>'A-50 FGRailInv'!$C$290</f>
        <v>0</v>
      </c>
      <c r="C86" s="1291" t="str">
        <f>'A-50 FGRailInv'!C306</f>
        <v>Elevated/Steel Viaduct or Bridge</v>
      </c>
      <c r="D86" s="1081">
        <f>'A-50 FGRailInv'!H306</f>
        <v>0</v>
      </c>
      <c r="E86" s="1081"/>
      <c r="F86" s="1081">
        <f>'A-50 FGRailInv'!J306</f>
        <v>0</v>
      </c>
      <c r="G86" s="1081">
        <f>'A-50 FGRailInv'!L306</f>
        <v>0</v>
      </c>
      <c r="H86" s="1081">
        <f>'A-50 FGRailInv'!N306</f>
        <v>0</v>
      </c>
      <c r="I86" s="1081">
        <f>'A-50 FGRailInv'!P306</f>
        <v>0</v>
      </c>
      <c r="J86" s="1081">
        <f>'A-50 FGRailInv'!R306</f>
        <v>0</v>
      </c>
      <c r="K86" s="1081">
        <f>'A-50 FGRailInv'!T306</f>
        <v>0</v>
      </c>
      <c r="L86" s="1081">
        <f>'A-50 FGRailInv'!V306</f>
        <v>0</v>
      </c>
      <c r="M86" s="1081">
        <f>'A-50 FGRailInv'!X306</f>
        <v>0</v>
      </c>
      <c r="N86" s="1081">
        <f>'A-50 FGRailInv'!Z306</f>
        <v>0</v>
      </c>
      <c r="O86" s="1081">
        <f>'A-50 FGRailInv'!AB306</f>
        <v>0</v>
      </c>
      <c r="P86" s="1081">
        <f>'A-50 FGRailInv'!AD306</f>
        <v>0</v>
      </c>
      <c r="Q86" s="1081">
        <f>'A-50 FGRailInv'!AF306</f>
        <v>0</v>
      </c>
      <c r="R86" s="1081">
        <f>'A-50 FGRailInv'!AH306</f>
        <v>0</v>
      </c>
      <c r="S86" s="1081">
        <f>'A-50 FGRailInv'!AJ306</f>
        <v>0</v>
      </c>
      <c r="T86" s="1081">
        <f>'A-50 FGRailInv'!AL306</f>
        <v>0</v>
      </c>
      <c r="U86" s="1292">
        <f>'A-50 FGRailInv'!AP306</f>
        <v>0</v>
      </c>
    </row>
    <row r="87" spans="2:30" x14ac:dyDescent="0.2">
      <c r="B87" s="1180">
        <f>'A-50 FGRailInv'!$C$290</f>
        <v>0</v>
      </c>
      <c r="C87" s="1291" t="str">
        <f>'A-50 FGRailInv'!C309</f>
        <v>Below-Grade/Retained Cut</v>
      </c>
      <c r="D87" s="1081">
        <f>'A-50 FGRailInv'!H309</f>
        <v>0</v>
      </c>
      <c r="E87" s="1081"/>
      <c r="F87" s="1081">
        <f>'A-50 FGRailInv'!J309</f>
        <v>0</v>
      </c>
      <c r="G87" s="1081">
        <f>'A-50 FGRailInv'!L309</f>
        <v>0</v>
      </c>
      <c r="H87" s="1081">
        <f>'A-50 FGRailInv'!N309</f>
        <v>0</v>
      </c>
      <c r="I87" s="1081">
        <f>'A-50 FGRailInv'!P309</f>
        <v>0</v>
      </c>
      <c r="J87" s="1081">
        <f>'A-50 FGRailInv'!R309</f>
        <v>0</v>
      </c>
      <c r="K87" s="1081">
        <f>'A-50 FGRailInv'!T309</f>
        <v>0</v>
      </c>
      <c r="L87" s="1081">
        <f>'A-50 FGRailInv'!V309</f>
        <v>0</v>
      </c>
      <c r="M87" s="1081">
        <f>'A-50 FGRailInv'!X309</f>
        <v>0</v>
      </c>
      <c r="N87" s="1081">
        <f>'A-50 FGRailInv'!Z309</f>
        <v>0</v>
      </c>
      <c r="O87" s="1081">
        <f>'A-50 FGRailInv'!AB309</f>
        <v>0</v>
      </c>
      <c r="P87" s="1081">
        <f>'A-50 FGRailInv'!AD309</f>
        <v>0</v>
      </c>
      <c r="Q87" s="1081">
        <f>'A-50 FGRailInv'!AF309</f>
        <v>0</v>
      </c>
      <c r="R87" s="1081">
        <f>'A-50 FGRailInv'!AH309</f>
        <v>0</v>
      </c>
      <c r="S87" s="1081">
        <f>'A-50 FGRailInv'!AJ309</f>
        <v>0</v>
      </c>
      <c r="T87" s="1081">
        <f>'A-50 FGRailInv'!AL309</f>
        <v>0</v>
      </c>
      <c r="U87" s="1292">
        <f>'A-50 FGRailInv'!AP309</f>
        <v>0</v>
      </c>
    </row>
    <row r="88" spans="2:30" x14ac:dyDescent="0.2">
      <c r="B88" s="1180">
        <f>'A-50 FGRailInv'!$C$290</f>
        <v>0</v>
      </c>
      <c r="C88" s="1291" t="str">
        <f>'A-50 FGRailInv'!C312</f>
        <v>Below-Grade/Cut-and-Cover Tunnel</v>
      </c>
      <c r="D88" s="1081">
        <f>'A-50 FGRailInv'!H312</f>
        <v>0</v>
      </c>
      <c r="E88" s="1081"/>
      <c r="F88" s="1081">
        <f>'A-50 FGRailInv'!J312</f>
        <v>0</v>
      </c>
      <c r="G88" s="1081">
        <f>'A-50 FGRailInv'!L312</f>
        <v>0</v>
      </c>
      <c r="H88" s="1081">
        <f>'A-50 FGRailInv'!N312</f>
        <v>0</v>
      </c>
      <c r="I88" s="1081">
        <f>'A-50 FGRailInv'!P312</f>
        <v>0</v>
      </c>
      <c r="J88" s="1081">
        <f>'A-50 FGRailInv'!R312</f>
        <v>0</v>
      </c>
      <c r="K88" s="1081">
        <f>'A-50 FGRailInv'!T312</f>
        <v>0</v>
      </c>
      <c r="L88" s="1081">
        <f>'A-50 FGRailInv'!V312</f>
        <v>0</v>
      </c>
      <c r="M88" s="1081">
        <f>'A-50 FGRailInv'!X312</f>
        <v>0</v>
      </c>
      <c r="N88" s="1081">
        <f>'A-50 FGRailInv'!Z312</f>
        <v>0</v>
      </c>
      <c r="O88" s="1081">
        <f>'A-50 FGRailInv'!AB312</f>
        <v>0</v>
      </c>
      <c r="P88" s="1081">
        <f>'A-50 FGRailInv'!AD312</f>
        <v>0</v>
      </c>
      <c r="Q88" s="1081">
        <f>'A-50 FGRailInv'!AF312</f>
        <v>0</v>
      </c>
      <c r="R88" s="1081">
        <f>'A-50 FGRailInv'!AH312</f>
        <v>0</v>
      </c>
      <c r="S88" s="1081">
        <f>'A-50 FGRailInv'!AJ312</f>
        <v>0</v>
      </c>
      <c r="T88" s="1081">
        <f>'A-50 FGRailInv'!AL312</f>
        <v>0</v>
      </c>
      <c r="U88" s="1292">
        <f>'A-50 FGRailInv'!AP312</f>
        <v>0</v>
      </c>
    </row>
    <row r="89" spans="2:30" x14ac:dyDescent="0.2">
      <c r="B89" s="1180">
        <f>'A-50 FGRailInv'!$C$290</f>
        <v>0</v>
      </c>
      <c r="C89" s="1291" t="str">
        <f>'A-50 FGRailInv'!C315</f>
        <v>Below-Grade/Bored or Blasted Tunnel</v>
      </c>
      <c r="D89" s="1081">
        <f>'A-50 FGRailInv'!H315</f>
        <v>0</v>
      </c>
      <c r="E89" s="1081"/>
      <c r="F89" s="1081">
        <f>'A-50 FGRailInv'!J315</f>
        <v>0</v>
      </c>
      <c r="G89" s="1081">
        <f>'A-50 FGRailInv'!L315</f>
        <v>0</v>
      </c>
      <c r="H89" s="1081">
        <f>'A-50 FGRailInv'!N315</f>
        <v>0</v>
      </c>
      <c r="I89" s="1081">
        <f>'A-50 FGRailInv'!P315</f>
        <v>0</v>
      </c>
      <c r="J89" s="1081">
        <f>'A-50 FGRailInv'!R315</f>
        <v>0</v>
      </c>
      <c r="K89" s="1081">
        <f>'A-50 FGRailInv'!T315</f>
        <v>0</v>
      </c>
      <c r="L89" s="1081">
        <f>'A-50 FGRailInv'!V315</f>
        <v>0</v>
      </c>
      <c r="M89" s="1081">
        <f>'A-50 FGRailInv'!X315</f>
        <v>0</v>
      </c>
      <c r="N89" s="1081">
        <f>'A-50 FGRailInv'!Z315</f>
        <v>0</v>
      </c>
      <c r="O89" s="1081">
        <f>'A-50 FGRailInv'!AB315</f>
        <v>0</v>
      </c>
      <c r="P89" s="1081">
        <f>'A-50 FGRailInv'!AD315</f>
        <v>0</v>
      </c>
      <c r="Q89" s="1081">
        <f>'A-50 FGRailInv'!AF315</f>
        <v>0</v>
      </c>
      <c r="R89" s="1081">
        <f>'A-50 FGRailInv'!AH315</f>
        <v>0</v>
      </c>
      <c r="S89" s="1081">
        <f>'A-50 FGRailInv'!AJ315</f>
        <v>0</v>
      </c>
      <c r="T89" s="1081">
        <f>'A-50 FGRailInv'!AL315</f>
        <v>0</v>
      </c>
      <c r="U89" s="1292">
        <f>'A-50 FGRailInv'!AP315</f>
        <v>0</v>
      </c>
    </row>
    <row r="90" spans="2:30" x14ac:dyDescent="0.2">
      <c r="B90" s="1180">
        <f>'A-50 FGRailInv'!$C$290</f>
        <v>0</v>
      </c>
      <c r="C90" s="1293" t="str">
        <f>'A-50 FGRailInv'!C318</f>
        <v>Below-Grade/Submerged Tube</v>
      </c>
      <c r="D90" s="1287">
        <f>'A-50 FGRailInv'!H318</f>
        <v>0</v>
      </c>
      <c r="E90" s="1287"/>
      <c r="F90" s="1287">
        <f>'A-50 FGRailInv'!J318</f>
        <v>0</v>
      </c>
      <c r="G90" s="1287">
        <f>'A-50 FGRailInv'!L318</f>
        <v>0</v>
      </c>
      <c r="H90" s="1287">
        <f>'A-50 FGRailInv'!N318</f>
        <v>0</v>
      </c>
      <c r="I90" s="1287">
        <f>'A-50 FGRailInv'!P318</f>
        <v>0</v>
      </c>
      <c r="J90" s="1287">
        <f>'A-50 FGRailInv'!R318</f>
        <v>0</v>
      </c>
      <c r="K90" s="1287">
        <f>'A-50 FGRailInv'!T318</f>
        <v>0</v>
      </c>
      <c r="L90" s="1287">
        <f>'A-50 FGRailInv'!V318</f>
        <v>0</v>
      </c>
      <c r="M90" s="1287">
        <f>'A-50 FGRailInv'!X318</f>
        <v>0</v>
      </c>
      <c r="N90" s="1287">
        <f>'A-50 FGRailInv'!Z318</f>
        <v>0</v>
      </c>
      <c r="O90" s="1287">
        <f>'A-50 FGRailInv'!AB318</f>
        <v>0</v>
      </c>
      <c r="P90" s="1287">
        <f>'A-50 FGRailInv'!AD318</f>
        <v>0</v>
      </c>
      <c r="Q90" s="1287">
        <f>'A-50 FGRailInv'!AF318</f>
        <v>0</v>
      </c>
      <c r="R90" s="1287">
        <f>'A-50 FGRailInv'!AH318</f>
        <v>0</v>
      </c>
      <c r="S90" s="1287">
        <f>'A-50 FGRailInv'!AJ318</f>
        <v>0</v>
      </c>
      <c r="T90" s="1287">
        <f>'A-50 FGRailInv'!AL318</f>
        <v>0</v>
      </c>
      <c r="U90" s="1294">
        <f>'A-50 FGRailInv'!AP318</f>
        <v>0</v>
      </c>
    </row>
    <row r="91" spans="2:30" x14ac:dyDescent="0.2">
      <c r="B91" s="1180">
        <f>'A-50 FGRailInv'!$C$290</f>
        <v>0</v>
      </c>
      <c r="C91" s="1295" t="str">
        <f>'A-50 FGRailInv'!C323</f>
        <v>Substation Building</v>
      </c>
      <c r="D91" s="1286">
        <f>'A-50 FGRailInv'!H323</f>
        <v>0</v>
      </c>
      <c r="E91" s="1286"/>
      <c r="F91" s="1286">
        <f>'A-50 FGRailInv'!J323</f>
        <v>0</v>
      </c>
      <c r="G91" s="1286">
        <f>'A-50 FGRailInv'!L323</f>
        <v>0</v>
      </c>
      <c r="H91" s="1286">
        <f>'A-50 FGRailInv'!N323</f>
        <v>0</v>
      </c>
      <c r="I91" s="1286">
        <f>'A-50 FGRailInv'!P323</f>
        <v>0</v>
      </c>
      <c r="J91" s="1286">
        <f>'A-50 FGRailInv'!R323</f>
        <v>0</v>
      </c>
      <c r="K91" s="1286">
        <f>'A-50 FGRailInv'!T323</f>
        <v>0</v>
      </c>
      <c r="L91" s="1286">
        <f>'A-50 FGRailInv'!V323</f>
        <v>0</v>
      </c>
      <c r="M91" s="1286">
        <f>'A-50 FGRailInv'!X323</f>
        <v>0</v>
      </c>
      <c r="N91" s="1286">
        <f>'A-50 FGRailInv'!Z323</f>
        <v>0</v>
      </c>
      <c r="O91" s="1286">
        <f>'A-50 FGRailInv'!AB323</f>
        <v>0</v>
      </c>
      <c r="P91" s="1286">
        <f>'A-50 FGRailInv'!AD323</f>
        <v>0</v>
      </c>
      <c r="Q91" s="1286">
        <f>'A-50 FGRailInv'!AF323</f>
        <v>0</v>
      </c>
      <c r="R91" s="1286">
        <f>'A-50 FGRailInv'!AH323</f>
        <v>0</v>
      </c>
      <c r="S91" s="1286">
        <f>'A-50 FGRailInv'!AJ323</f>
        <v>0</v>
      </c>
      <c r="T91" s="1286">
        <f>'A-50 FGRailInv'!AL323</f>
        <v>0</v>
      </c>
      <c r="U91" s="1296">
        <f>'A-50 FGRailInv'!AP323</f>
        <v>0</v>
      </c>
    </row>
    <row r="92" spans="2:30" x14ac:dyDescent="0.2">
      <c r="B92" s="1180">
        <f>'A-50 FGRailInv'!$C$290</f>
        <v>0</v>
      </c>
      <c r="C92" s="1291" t="str">
        <f>'A-50 FGRailInv'!C326</f>
        <v>Substation Equipment</v>
      </c>
      <c r="D92" s="1081">
        <f>'A-50 FGRailInv'!H326</f>
        <v>0</v>
      </c>
      <c r="E92" s="1081"/>
      <c r="F92" s="1081">
        <f>'A-50 FGRailInv'!J326</f>
        <v>0</v>
      </c>
      <c r="G92" s="1081">
        <f>'A-50 FGRailInv'!L326</f>
        <v>0</v>
      </c>
      <c r="H92" s="1081">
        <f>'A-50 FGRailInv'!N326</f>
        <v>0</v>
      </c>
      <c r="I92" s="1081">
        <f>'A-50 FGRailInv'!P326</f>
        <v>0</v>
      </c>
      <c r="J92" s="1081">
        <f>'A-50 FGRailInv'!R326</f>
        <v>0</v>
      </c>
      <c r="K92" s="1081">
        <f>'A-50 FGRailInv'!T326</f>
        <v>0</v>
      </c>
      <c r="L92" s="1081">
        <f>'A-50 FGRailInv'!V326</f>
        <v>0</v>
      </c>
      <c r="M92" s="1081">
        <f>'A-50 FGRailInv'!X326</f>
        <v>0</v>
      </c>
      <c r="N92" s="1081">
        <f>'A-50 FGRailInv'!Z326</f>
        <v>0</v>
      </c>
      <c r="O92" s="1081">
        <f>'A-50 FGRailInv'!AB326</f>
        <v>0</v>
      </c>
      <c r="P92" s="1081">
        <f>'A-50 FGRailInv'!AD326</f>
        <v>0</v>
      </c>
      <c r="Q92" s="1081">
        <f>'A-50 FGRailInv'!AF326</f>
        <v>0</v>
      </c>
      <c r="R92" s="1081">
        <f>'A-50 FGRailInv'!AH326</f>
        <v>0</v>
      </c>
      <c r="S92" s="1081">
        <f>'A-50 FGRailInv'!AJ326</f>
        <v>0</v>
      </c>
      <c r="T92" s="1081">
        <f>'A-50 FGRailInv'!AL326</f>
        <v>0</v>
      </c>
      <c r="U92" s="1292">
        <f>'A-50 FGRailInv'!AP326</f>
        <v>0</v>
      </c>
    </row>
    <row r="93" spans="2:30" x14ac:dyDescent="0.2">
      <c r="B93" s="1180">
        <f>'A-50 FGRailInv'!$C$290</f>
        <v>0</v>
      </c>
      <c r="C93" s="1291" t="str">
        <f>'A-50 FGRailInv'!C329</f>
        <v>Third Rail/Power Distribution</v>
      </c>
      <c r="D93" s="1081">
        <f>'A-50 FGRailInv'!H329</f>
        <v>0</v>
      </c>
      <c r="E93" s="1081"/>
      <c r="F93" s="1081">
        <f>'A-50 FGRailInv'!J329</f>
        <v>0</v>
      </c>
      <c r="G93" s="1081">
        <f>'A-50 FGRailInv'!L329</f>
        <v>0</v>
      </c>
      <c r="H93" s="1081">
        <f>'A-50 FGRailInv'!N329</f>
        <v>0</v>
      </c>
      <c r="I93" s="1081">
        <f>'A-50 FGRailInv'!P329</f>
        <v>0</v>
      </c>
      <c r="J93" s="1081">
        <f>'A-50 FGRailInv'!R329</f>
        <v>0</v>
      </c>
      <c r="K93" s="1081">
        <f>'A-50 FGRailInv'!T329</f>
        <v>0</v>
      </c>
      <c r="L93" s="1081">
        <f>'A-50 FGRailInv'!V329</f>
        <v>0</v>
      </c>
      <c r="M93" s="1081">
        <f>'A-50 FGRailInv'!X329</f>
        <v>0</v>
      </c>
      <c r="N93" s="1081">
        <f>'A-50 FGRailInv'!Z329</f>
        <v>0</v>
      </c>
      <c r="O93" s="1081">
        <f>'A-50 FGRailInv'!AB329</f>
        <v>0</v>
      </c>
      <c r="P93" s="1081">
        <f>'A-50 FGRailInv'!AD329</f>
        <v>0</v>
      </c>
      <c r="Q93" s="1081">
        <f>'A-50 FGRailInv'!AF329</f>
        <v>0</v>
      </c>
      <c r="R93" s="1081">
        <f>'A-50 FGRailInv'!AH329</f>
        <v>0</v>
      </c>
      <c r="S93" s="1081">
        <f>'A-50 FGRailInv'!AJ329</f>
        <v>0</v>
      </c>
      <c r="T93" s="1081">
        <f>'A-50 FGRailInv'!AL329</f>
        <v>0</v>
      </c>
      <c r="U93" s="1292">
        <f>'A-50 FGRailInv'!AP329</f>
        <v>0</v>
      </c>
    </row>
    <row r="94" spans="2:30" x14ac:dyDescent="0.2">
      <c r="B94" s="1180">
        <f>'A-50 FGRailInv'!$C$290</f>
        <v>0</v>
      </c>
      <c r="C94" s="1291" t="str">
        <f>'A-50 FGRailInv'!C332</f>
        <v>Overhead Contact System/Power Distribution</v>
      </c>
      <c r="D94" s="1081">
        <f>'A-50 FGRailInv'!H332</f>
        <v>0</v>
      </c>
      <c r="E94" s="1081"/>
      <c r="F94" s="1081">
        <f>'A-50 FGRailInv'!J332</f>
        <v>0</v>
      </c>
      <c r="G94" s="1081">
        <f>'A-50 FGRailInv'!L332</f>
        <v>0</v>
      </c>
      <c r="H94" s="1081">
        <f>'A-50 FGRailInv'!N332</f>
        <v>0</v>
      </c>
      <c r="I94" s="1081">
        <f>'A-50 FGRailInv'!P332</f>
        <v>0</v>
      </c>
      <c r="J94" s="1081">
        <f>'A-50 FGRailInv'!R332</f>
        <v>0</v>
      </c>
      <c r="K94" s="1081">
        <f>'A-50 FGRailInv'!T332</f>
        <v>0</v>
      </c>
      <c r="L94" s="1081">
        <f>'A-50 FGRailInv'!V332</f>
        <v>0</v>
      </c>
      <c r="M94" s="1081">
        <f>'A-50 FGRailInv'!X332</f>
        <v>0</v>
      </c>
      <c r="N94" s="1081">
        <f>'A-50 FGRailInv'!Z332</f>
        <v>0</v>
      </c>
      <c r="O94" s="1081">
        <f>'A-50 FGRailInv'!AB332</f>
        <v>0</v>
      </c>
      <c r="P94" s="1081">
        <f>'A-50 FGRailInv'!AD332</f>
        <v>0</v>
      </c>
      <c r="Q94" s="1081">
        <f>'A-50 FGRailInv'!AF332</f>
        <v>0</v>
      </c>
      <c r="R94" s="1081">
        <f>'A-50 FGRailInv'!AH332</f>
        <v>0</v>
      </c>
      <c r="S94" s="1081">
        <f>'A-50 FGRailInv'!AJ332</f>
        <v>0</v>
      </c>
      <c r="T94" s="1081">
        <f>'A-50 FGRailInv'!AL332</f>
        <v>0</v>
      </c>
      <c r="U94" s="1292">
        <f>'A-50 FGRailInv'!AP332</f>
        <v>0</v>
      </c>
    </row>
    <row r="95" spans="2:30" ht="13.5" thickBot="1" x14ac:dyDescent="0.25">
      <c r="B95" s="1180">
        <f>'A-50 FGRailInv'!$C$290</f>
        <v>0</v>
      </c>
      <c r="C95" s="1297" t="str">
        <f>'A-50 FGRailInv'!C335</f>
        <v>Train Control &amp; Signaling</v>
      </c>
      <c r="D95" s="1298">
        <f>'A-50 FGRailInv'!H335</f>
        <v>0</v>
      </c>
      <c r="E95" s="1298"/>
      <c r="F95" s="1298">
        <f>'A-50 FGRailInv'!J335</f>
        <v>0</v>
      </c>
      <c r="G95" s="1298">
        <f>'A-50 FGRailInv'!L335</f>
        <v>0</v>
      </c>
      <c r="H95" s="1298">
        <f>'A-50 FGRailInv'!N335</f>
        <v>0</v>
      </c>
      <c r="I95" s="1298">
        <f>'A-50 FGRailInv'!P335</f>
        <v>0</v>
      </c>
      <c r="J95" s="1298">
        <f>'A-50 FGRailInv'!R335</f>
        <v>0</v>
      </c>
      <c r="K95" s="1298">
        <f>'A-50 FGRailInv'!T335</f>
        <v>0</v>
      </c>
      <c r="L95" s="1298">
        <f>'A-50 FGRailInv'!V335</f>
        <v>0</v>
      </c>
      <c r="M95" s="1298">
        <f>'A-50 FGRailInv'!X335</f>
        <v>0</v>
      </c>
      <c r="N95" s="1298">
        <f>'A-50 FGRailInv'!Z335</f>
        <v>0</v>
      </c>
      <c r="O95" s="1298">
        <f>'A-50 FGRailInv'!AB335</f>
        <v>0</v>
      </c>
      <c r="P95" s="1298">
        <f>'A-50 FGRailInv'!AD335</f>
        <v>0</v>
      </c>
      <c r="Q95" s="1298">
        <f>'A-50 FGRailInv'!AF335</f>
        <v>0</v>
      </c>
      <c r="R95" s="1298">
        <f>'A-50 FGRailInv'!AH335</f>
        <v>0</v>
      </c>
      <c r="S95" s="1298">
        <f>'A-50 FGRailInv'!AJ335</f>
        <v>0</v>
      </c>
      <c r="T95" s="1298">
        <f>'A-50 FGRailInv'!AL335</f>
        <v>0</v>
      </c>
      <c r="U95" s="1299">
        <f>'A-50 FGRailInv'!AP335</f>
        <v>0</v>
      </c>
    </row>
    <row r="96" spans="2:30" x14ac:dyDescent="0.2">
      <c r="B96" s="1180">
        <f>'A-50 FGRailInv'!$C$346</f>
        <v>0</v>
      </c>
      <c r="C96" s="1288" t="str">
        <f>'A-50 FGRailInv'!C350</f>
        <v>At-Grade/Ballast (including expressway)</v>
      </c>
      <c r="D96" s="1289">
        <f>'A-50 FGRailInv'!H350</f>
        <v>0</v>
      </c>
      <c r="E96" s="1289"/>
      <c r="F96" s="1289">
        <f>'A-50 FGRailInv'!J350</f>
        <v>0</v>
      </c>
      <c r="G96" s="1289">
        <f>'A-50 FGRailInv'!L350</f>
        <v>0</v>
      </c>
      <c r="H96" s="1289">
        <f>'A-50 FGRailInv'!N350</f>
        <v>0</v>
      </c>
      <c r="I96" s="1289">
        <f>'A-50 FGRailInv'!P350</f>
        <v>0</v>
      </c>
      <c r="J96" s="1289">
        <f>'A-50 FGRailInv'!R350</f>
        <v>0</v>
      </c>
      <c r="K96" s="1289">
        <f>'A-50 FGRailInv'!T350</f>
        <v>0</v>
      </c>
      <c r="L96" s="1289">
        <f>'A-50 FGRailInv'!V350</f>
        <v>0</v>
      </c>
      <c r="M96" s="1289">
        <f>'A-50 FGRailInv'!X350</f>
        <v>0</v>
      </c>
      <c r="N96" s="1289">
        <f>'A-50 FGRailInv'!Z350</f>
        <v>0</v>
      </c>
      <c r="O96" s="1289">
        <f>'A-50 FGRailInv'!AB350</f>
        <v>0</v>
      </c>
      <c r="P96" s="1289">
        <f>'A-50 FGRailInv'!AD350</f>
        <v>0</v>
      </c>
      <c r="Q96" s="1289">
        <f>'A-50 FGRailInv'!AF350</f>
        <v>0</v>
      </c>
      <c r="R96" s="1289">
        <f>'A-50 FGRailInv'!AH350</f>
        <v>0</v>
      </c>
      <c r="S96" s="1289">
        <f>'A-50 FGRailInv'!AJ350</f>
        <v>0</v>
      </c>
      <c r="T96" s="1289">
        <f>'A-50 FGRailInv'!AL350</f>
        <v>0</v>
      </c>
      <c r="U96" s="1290">
        <f>'A-50 FGRailInv'!AP350</f>
        <v>0</v>
      </c>
    </row>
    <row r="97" spans="2:21" x14ac:dyDescent="0.2">
      <c r="B97" s="1180">
        <f>'A-50 FGRailInv'!$C$346</f>
        <v>0</v>
      </c>
      <c r="C97" s="1291" t="str">
        <f>'A-50 FGRailInv'!C353</f>
        <v>At-Grade/In-Street/Embedded</v>
      </c>
      <c r="D97" s="1081">
        <f>'A-50 FGRailInv'!H353</f>
        <v>0</v>
      </c>
      <c r="E97" s="1081"/>
      <c r="F97" s="1081">
        <f>'A-50 FGRailInv'!J353</f>
        <v>0</v>
      </c>
      <c r="G97" s="1081">
        <f>'A-50 FGRailInv'!L353</f>
        <v>0</v>
      </c>
      <c r="H97" s="1081">
        <f>'A-50 FGRailInv'!N353</f>
        <v>0</v>
      </c>
      <c r="I97" s="1081">
        <f>'A-50 FGRailInv'!P353</f>
        <v>0</v>
      </c>
      <c r="J97" s="1081">
        <f>'A-50 FGRailInv'!R353</f>
        <v>0</v>
      </c>
      <c r="K97" s="1081">
        <f>'A-50 FGRailInv'!T353</f>
        <v>0</v>
      </c>
      <c r="L97" s="1081">
        <f>'A-50 FGRailInv'!V353</f>
        <v>0</v>
      </c>
      <c r="M97" s="1081">
        <f>'A-50 FGRailInv'!X353</f>
        <v>0</v>
      </c>
      <c r="N97" s="1081">
        <f>'A-50 FGRailInv'!Z353</f>
        <v>0</v>
      </c>
      <c r="O97" s="1081">
        <f>'A-50 FGRailInv'!AB353</f>
        <v>0</v>
      </c>
      <c r="P97" s="1081">
        <f>'A-50 FGRailInv'!AD353</f>
        <v>0</v>
      </c>
      <c r="Q97" s="1081">
        <f>'A-50 FGRailInv'!AF353</f>
        <v>0</v>
      </c>
      <c r="R97" s="1081">
        <f>'A-50 FGRailInv'!AH353</f>
        <v>0</v>
      </c>
      <c r="S97" s="1081">
        <f>'A-50 FGRailInv'!AJ353</f>
        <v>0</v>
      </c>
      <c r="T97" s="1081">
        <f>'A-50 FGRailInv'!AL353</f>
        <v>0</v>
      </c>
      <c r="U97" s="1292">
        <f>'A-50 FGRailInv'!AP353</f>
        <v>0</v>
      </c>
    </row>
    <row r="98" spans="2:21" x14ac:dyDescent="0.2">
      <c r="B98" s="1180">
        <f>'A-50 FGRailInv'!$C$346</f>
        <v>0</v>
      </c>
      <c r="C98" s="1291" t="str">
        <f>'A-50 FGRailInv'!C356</f>
        <v>Elevated/Retained Fill</v>
      </c>
      <c r="D98" s="1081">
        <f>'A-50 FGRailInv'!H356</f>
        <v>0</v>
      </c>
      <c r="E98" s="1081"/>
      <c r="F98" s="1081">
        <f>'A-50 FGRailInv'!J356</f>
        <v>0</v>
      </c>
      <c r="G98" s="1081">
        <f>'A-50 FGRailInv'!L356</f>
        <v>0</v>
      </c>
      <c r="H98" s="1081">
        <f>'A-50 FGRailInv'!N356</f>
        <v>0</v>
      </c>
      <c r="I98" s="1081">
        <f>'A-50 FGRailInv'!P356</f>
        <v>0</v>
      </c>
      <c r="J98" s="1081">
        <f>'A-50 FGRailInv'!R356</f>
        <v>0</v>
      </c>
      <c r="K98" s="1081">
        <f>'A-50 FGRailInv'!T356</f>
        <v>0</v>
      </c>
      <c r="L98" s="1081">
        <f>'A-50 FGRailInv'!V356</f>
        <v>0</v>
      </c>
      <c r="M98" s="1081">
        <f>'A-50 FGRailInv'!X356</f>
        <v>0</v>
      </c>
      <c r="N98" s="1081">
        <f>'A-50 FGRailInv'!Z356</f>
        <v>0</v>
      </c>
      <c r="O98" s="1081">
        <f>'A-50 FGRailInv'!AB356</f>
        <v>0</v>
      </c>
      <c r="P98" s="1081">
        <f>'A-50 FGRailInv'!AD356</f>
        <v>0</v>
      </c>
      <c r="Q98" s="1081">
        <f>'A-50 FGRailInv'!AF356</f>
        <v>0</v>
      </c>
      <c r="R98" s="1081">
        <f>'A-50 FGRailInv'!AH356</f>
        <v>0</v>
      </c>
      <c r="S98" s="1081">
        <f>'A-50 FGRailInv'!AJ356</f>
        <v>0</v>
      </c>
      <c r="T98" s="1081">
        <f>'A-50 FGRailInv'!AL356</f>
        <v>0</v>
      </c>
      <c r="U98" s="1292">
        <f>'A-50 FGRailInv'!AP356</f>
        <v>0</v>
      </c>
    </row>
    <row r="99" spans="2:21" x14ac:dyDescent="0.2">
      <c r="B99" s="1180">
        <f>'A-50 FGRailInv'!$C$346</f>
        <v>0</v>
      </c>
      <c r="C99" s="1291" t="str">
        <f>'A-50 FGRailInv'!C359</f>
        <v>Elevated/Concrete</v>
      </c>
      <c r="D99" s="1081">
        <f>'A-50 FGRailInv'!H359</f>
        <v>0</v>
      </c>
      <c r="E99" s="1081"/>
      <c r="F99" s="1081">
        <f>'A-50 FGRailInv'!J359</f>
        <v>0</v>
      </c>
      <c r="G99" s="1081">
        <f>'A-50 FGRailInv'!L359</f>
        <v>0</v>
      </c>
      <c r="H99" s="1081">
        <f>'A-50 FGRailInv'!N359</f>
        <v>0</v>
      </c>
      <c r="I99" s="1081">
        <f>'A-50 FGRailInv'!P359</f>
        <v>0</v>
      </c>
      <c r="J99" s="1081">
        <f>'A-50 FGRailInv'!R359</f>
        <v>0</v>
      </c>
      <c r="K99" s="1081">
        <f>'A-50 FGRailInv'!T359</f>
        <v>0</v>
      </c>
      <c r="L99" s="1081">
        <f>'A-50 FGRailInv'!V359</f>
        <v>0</v>
      </c>
      <c r="M99" s="1081">
        <f>'A-50 FGRailInv'!X359</f>
        <v>0</v>
      </c>
      <c r="N99" s="1081">
        <f>'A-50 FGRailInv'!Z359</f>
        <v>0</v>
      </c>
      <c r="O99" s="1081">
        <f>'A-50 FGRailInv'!AB359</f>
        <v>0</v>
      </c>
      <c r="P99" s="1081">
        <f>'A-50 FGRailInv'!AD359</f>
        <v>0</v>
      </c>
      <c r="Q99" s="1081">
        <f>'A-50 FGRailInv'!AF359</f>
        <v>0</v>
      </c>
      <c r="R99" s="1081">
        <f>'A-50 FGRailInv'!AH359</f>
        <v>0</v>
      </c>
      <c r="S99" s="1081">
        <f>'A-50 FGRailInv'!AJ359</f>
        <v>0</v>
      </c>
      <c r="T99" s="1081">
        <f>'A-50 FGRailInv'!AL359</f>
        <v>0</v>
      </c>
      <c r="U99" s="1292">
        <f>'A-50 FGRailInv'!AP359</f>
        <v>0</v>
      </c>
    </row>
    <row r="100" spans="2:21" x14ac:dyDescent="0.2">
      <c r="B100" s="1180">
        <f>'A-50 FGRailInv'!$C$346</f>
        <v>0</v>
      </c>
      <c r="C100" s="1291" t="str">
        <f>'A-50 FGRailInv'!C362</f>
        <v>Elevated/Steel Viaduct or Bridge</v>
      </c>
      <c r="D100" s="1081">
        <f>'A-50 FGRailInv'!H362</f>
        <v>0</v>
      </c>
      <c r="E100" s="1081"/>
      <c r="F100" s="1081">
        <f>'A-50 FGRailInv'!J362</f>
        <v>0</v>
      </c>
      <c r="G100" s="1081">
        <f>'A-50 FGRailInv'!L362</f>
        <v>0</v>
      </c>
      <c r="H100" s="1081">
        <f>'A-50 FGRailInv'!N362</f>
        <v>0</v>
      </c>
      <c r="I100" s="1081">
        <f>'A-50 FGRailInv'!P362</f>
        <v>0</v>
      </c>
      <c r="J100" s="1081">
        <f>'A-50 FGRailInv'!R362</f>
        <v>0</v>
      </c>
      <c r="K100" s="1081">
        <f>'A-50 FGRailInv'!T362</f>
        <v>0</v>
      </c>
      <c r="L100" s="1081">
        <f>'A-50 FGRailInv'!V362</f>
        <v>0</v>
      </c>
      <c r="M100" s="1081">
        <f>'A-50 FGRailInv'!X362</f>
        <v>0</v>
      </c>
      <c r="N100" s="1081">
        <f>'A-50 FGRailInv'!Z362</f>
        <v>0</v>
      </c>
      <c r="O100" s="1081">
        <f>'A-50 FGRailInv'!AB362</f>
        <v>0</v>
      </c>
      <c r="P100" s="1081">
        <f>'A-50 FGRailInv'!AD362</f>
        <v>0</v>
      </c>
      <c r="Q100" s="1081">
        <f>'A-50 FGRailInv'!AF362</f>
        <v>0</v>
      </c>
      <c r="R100" s="1081">
        <f>'A-50 FGRailInv'!AH362</f>
        <v>0</v>
      </c>
      <c r="S100" s="1081">
        <f>'A-50 FGRailInv'!AJ362</f>
        <v>0</v>
      </c>
      <c r="T100" s="1081">
        <f>'A-50 FGRailInv'!AL362</f>
        <v>0</v>
      </c>
      <c r="U100" s="1292">
        <f>'A-50 FGRailInv'!AP362</f>
        <v>0</v>
      </c>
    </row>
    <row r="101" spans="2:21" x14ac:dyDescent="0.2">
      <c r="B101" s="1180">
        <f>'A-50 FGRailInv'!$C$346</f>
        <v>0</v>
      </c>
      <c r="C101" s="1291" t="str">
        <f>'A-50 FGRailInv'!C365</f>
        <v>Below-Grade/Retained Cut</v>
      </c>
      <c r="D101" s="1081">
        <f>'A-50 FGRailInv'!H365</f>
        <v>0</v>
      </c>
      <c r="E101" s="1081"/>
      <c r="F101" s="1081">
        <f>'A-50 FGRailInv'!J365</f>
        <v>0</v>
      </c>
      <c r="G101" s="1081">
        <f>'A-50 FGRailInv'!L365</f>
        <v>0</v>
      </c>
      <c r="H101" s="1081">
        <f>'A-50 FGRailInv'!N365</f>
        <v>0</v>
      </c>
      <c r="I101" s="1081">
        <f>'A-50 FGRailInv'!P365</f>
        <v>0</v>
      </c>
      <c r="J101" s="1081">
        <f>'A-50 FGRailInv'!R365</f>
        <v>0</v>
      </c>
      <c r="K101" s="1081">
        <f>'A-50 FGRailInv'!T365</f>
        <v>0</v>
      </c>
      <c r="L101" s="1081">
        <f>'A-50 FGRailInv'!V365</f>
        <v>0</v>
      </c>
      <c r="M101" s="1081">
        <f>'A-50 FGRailInv'!X365</f>
        <v>0</v>
      </c>
      <c r="N101" s="1081">
        <f>'A-50 FGRailInv'!Z365</f>
        <v>0</v>
      </c>
      <c r="O101" s="1081">
        <f>'A-50 FGRailInv'!AB365</f>
        <v>0</v>
      </c>
      <c r="P101" s="1081">
        <f>'A-50 FGRailInv'!AD365</f>
        <v>0</v>
      </c>
      <c r="Q101" s="1081">
        <f>'A-50 FGRailInv'!AF365</f>
        <v>0</v>
      </c>
      <c r="R101" s="1081">
        <f>'A-50 FGRailInv'!AH365</f>
        <v>0</v>
      </c>
      <c r="S101" s="1081">
        <f>'A-50 FGRailInv'!AJ365</f>
        <v>0</v>
      </c>
      <c r="T101" s="1081">
        <f>'A-50 FGRailInv'!AL365</f>
        <v>0</v>
      </c>
      <c r="U101" s="1292">
        <f>'A-50 FGRailInv'!AP365</f>
        <v>0</v>
      </c>
    </row>
    <row r="102" spans="2:21" x14ac:dyDescent="0.2">
      <c r="B102" s="1180">
        <f>'A-50 FGRailInv'!$C$346</f>
        <v>0</v>
      </c>
      <c r="C102" s="1291" t="str">
        <f>'A-50 FGRailInv'!C368</f>
        <v>Below-Grade/Cut-and-Cover Tunnel</v>
      </c>
      <c r="D102" s="1081">
        <f>'A-50 FGRailInv'!H368</f>
        <v>0</v>
      </c>
      <c r="E102" s="1081"/>
      <c r="F102" s="1081">
        <f>'A-50 FGRailInv'!J368</f>
        <v>0</v>
      </c>
      <c r="G102" s="1081">
        <f>'A-50 FGRailInv'!L368</f>
        <v>0</v>
      </c>
      <c r="H102" s="1081">
        <f>'A-50 FGRailInv'!N368</f>
        <v>0</v>
      </c>
      <c r="I102" s="1081">
        <f>'A-50 FGRailInv'!P368</f>
        <v>0</v>
      </c>
      <c r="J102" s="1081">
        <f>'A-50 FGRailInv'!R368</f>
        <v>0</v>
      </c>
      <c r="K102" s="1081">
        <f>'A-50 FGRailInv'!T368</f>
        <v>0</v>
      </c>
      <c r="L102" s="1081">
        <f>'A-50 FGRailInv'!V368</f>
        <v>0</v>
      </c>
      <c r="M102" s="1081">
        <f>'A-50 FGRailInv'!X368</f>
        <v>0</v>
      </c>
      <c r="N102" s="1081">
        <f>'A-50 FGRailInv'!Z368</f>
        <v>0</v>
      </c>
      <c r="O102" s="1081">
        <f>'A-50 FGRailInv'!AB368</f>
        <v>0</v>
      </c>
      <c r="P102" s="1081">
        <f>'A-50 FGRailInv'!AD368</f>
        <v>0</v>
      </c>
      <c r="Q102" s="1081">
        <f>'A-50 FGRailInv'!AF368</f>
        <v>0</v>
      </c>
      <c r="R102" s="1081">
        <f>'A-50 FGRailInv'!AH368</f>
        <v>0</v>
      </c>
      <c r="S102" s="1081">
        <f>'A-50 FGRailInv'!AJ368</f>
        <v>0</v>
      </c>
      <c r="T102" s="1081">
        <f>'A-50 FGRailInv'!AL368</f>
        <v>0</v>
      </c>
      <c r="U102" s="1292">
        <f>'A-50 FGRailInv'!AP368</f>
        <v>0</v>
      </c>
    </row>
    <row r="103" spans="2:21" x14ac:dyDescent="0.2">
      <c r="B103" s="1180">
        <f>'A-50 FGRailInv'!$C$346</f>
        <v>0</v>
      </c>
      <c r="C103" s="1291" t="str">
        <f>'A-50 FGRailInv'!C371</f>
        <v>Below-Grade/Bored or Blasted Tunnel</v>
      </c>
      <c r="D103" s="1081">
        <f>'A-50 FGRailInv'!H371</f>
        <v>0</v>
      </c>
      <c r="E103" s="1081"/>
      <c r="F103" s="1081">
        <f>'A-50 FGRailInv'!J371</f>
        <v>0</v>
      </c>
      <c r="G103" s="1081">
        <f>'A-50 FGRailInv'!L371</f>
        <v>0</v>
      </c>
      <c r="H103" s="1081">
        <f>'A-50 FGRailInv'!N371</f>
        <v>0</v>
      </c>
      <c r="I103" s="1081">
        <f>'A-50 FGRailInv'!P371</f>
        <v>0</v>
      </c>
      <c r="J103" s="1081">
        <f>'A-50 FGRailInv'!R371</f>
        <v>0</v>
      </c>
      <c r="K103" s="1081">
        <f>'A-50 FGRailInv'!T371</f>
        <v>0</v>
      </c>
      <c r="L103" s="1081">
        <f>'A-50 FGRailInv'!V371</f>
        <v>0</v>
      </c>
      <c r="M103" s="1081">
        <f>'A-50 FGRailInv'!X371</f>
        <v>0</v>
      </c>
      <c r="N103" s="1081">
        <f>'A-50 FGRailInv'!Z371</f>
        <v>0</v>
      </c>
      <c r="O103" s="1081">
        <f>'A-50 FGRailInv'!AB371</f>
        <v>0</v>
      </c>
      <c r="P103" s="1081">
        <f>'A-50 FGRailInv'!AD371</f>
        <v>0</v>
      </c>
      <c r="Q103" s="1081">
        <f>'A-50 FGRailInv'!AF371</f>
        <v>0</v>
      </c>
      <c r="R103" s="1081">
        <f>'A-50 FGRailInv'!AH371</f>
        <v>0</v>
      </c>
      <c r="S103" s="1081">
        <f>'A-50 FGRailInv'!AJ371</f>
        <v>0</v>
      </c>
      <c r="T103" s="1081">
        <f>'A-50 FGRailInv'!AL371</f>
        <v>0</v>
      </c>
      <c r="U103" s="1292">
        <f>'A-50 FGRailInv'!AP371</f>
        <v>0</v>
      </c>
    </row>
    <row r="104" spans="2:21" x14ac:dyDescent="0.2">
      <c r="B104" s="1180">
        <f>'A-50 FGRailInv'!$C$346</f>
        <v>0</v>
      </c>
      <c r="C104" s="1293" t="str">
        <f>'A-50 FGRailInv'!C374</f>
        <v>Below-Grade/Submerged Tube</v>
      </c>
      <c r="D104" s="1287">
        <f>'A-50 FGRailInv'!H374</f>
        <v>0</v>
      </c>
      <c r="E104" s="1287"/>
      <c r="F104" s="1287">
        <f>'A-50 FGRailInv'!J374</f>
        <v>0</v>
      </c>
      <c r="G104" s="1287">
        <f>'A-50 FGRailInv'!L374</f>
        <v>0</v>
      </c>
      <c r="H104" s="1287">
        <f>'A-50 FGRailInv'!N374</f>
        <v>0</v>
      </c>
      <c r="I104" s="1287">
        <f>'A-50 FGRailInv'!P374</f>
        <v>0</v>
      </c>
      <c r="J104" s="1287">
        <f>'A-50 FGRailInv'!R374</f>
        <v>0</v>
      </c>
      <c r="K104" s="1287">
        <f>'A-50 FGRailInv'!T374</f>
        <v>0</v>
      </c>
      <c r="L104" s="1287">
        <f>'A-50 FGRailInv'!V374</f>
        <v>0</v>
      </c>
      <c r="M104" s="1287">
        <f>'A-50 FGRailInv'!X374</f>
        <v>0</v>
      </c>
      <c r="N104" s="1287">
        <f>'A-50 FGRailInv'!Z374</f>
        <v>0</v>
      </c>
      <c r="O104" s="1287">
        <f>'A-50 FGRailInv'!AB374</f>
        <v>0</v>
      </c>
      <c r="P104" s="1287">
        <f>'A-50 FGRailInv'!AD374</f>
        <v>0</v>
      </c>
      <c r="Q104" s="1287">
        <f>'A-50 FGRailInv'!AF374</f>
        <v>0</v>
      </c>
      <c r="R104" s="1287">
        <f>'A-50 FGRailInv'!AH374</f>
        <v>0</v>
      </c>
      <c r="S104" s="1287">
        <f>'A-50 FGRailInv'!AJ374</f>
        <v>0</v>
      </c>
      <c r="T104" s="1287">
        <f>'A-50 FGRailInv'!AL374</f>
        <v>0</v>
      </c>
      <c r="U104" s="1294">
        <f>'A-50 FGRailInv'!AP374</f>
        <v>0</v>
      </c>
    </row>
    <row r="105" spans="2:21" x14ac:dyDescent="0.2">
      <c r="B105" s="1180">
        <f>'A-50 FGRailInv'!$C$346</f>
        <v>0</v>
      </c>
      <c r="C105" s="1295" t="str">
        <f>'A-50 FGRailInv'!C379</f>
        <v>Substation Building</v>
      </c>
      <c r="D105" s="1286">
        <f>'A-50 FGRailInv'!H379</f>
        <v>0</v>
      </c>
      <c r="E105" s="1286"/>
      <c r="F105" s="1286">
        <f>'A-50 FGRailInv'!J379</f>
        <v>0</v>
      </c>
      <c r="G105" s="1286">
        <f>'A-50 FGRailInv'!L379</f>
        <v>0</v>
      </c>
      <c r="H105" s="1286">
        <f>'A-50 FGRailInv'!N379</f>
        <v>0</v>
      </c>
      <c r="I105" s="1286">
        <f>'A-50 FGRailInv'!P379</f>
        <v>0</v>
      </c>
      <c r="J105" s="1286">
        <f>'A-50 FGRailInv'!R379</f>
        <v>0</v>
      </c>
      <c r="K105" s="1286">
        <f>'A-50 FGRailInv'!T379</f>
        <v>0</v>
      </c>
      <c r="L105" s="1286">
        <f>'A-50 FGRailInv'!V379</f>
        <v>0</v>
      </c>
      <c r="M105" s="1286">
        <f>'A-50 FGRailInv'!X379</f>
        <v>0</v>
      </c>
      <c r="N105" s="1286">
        <f>'A-50 FGRailInv'!Z379</f>
        <v>0</v>
      </c>
      <c r="O105" s="1286">
        <f>'A-50 FGRailInv'!AB379</f>
        <v>0</v>
      </c>
      <c r="P105" s="1286">
        <f>'A-50 FGRailInv'!AD379</f>
        <v>0</v>
      </c>
      <c r="Q105" s="1286">
        <f>'A-50 FGRailInv'!AF379</f>
        <v>0</v>
      </c>
      <c r="R105" s="1286">
        <f>'A-50 FGRailInv'!AH379</f>
        <v>0</v>
      </c>
      <c r="S105" s="1286">
        <f>'A-50 FGRailInv'!AJ379</f>
        <v>0</v>
      </c>
      <c r="T105" s="1286">
        <f>'A-50 FGRailInv'!AL379</f>
        <v>0</v>
      </c>
      <c r="U105" s="1296">
        <f>'A-50 FGRailInv'!AP379</f>
        <v>0</v>
      </c>
    </row>
    <row r="106" spans="2:21" x14ac:dyDescent="0.2">
      <c r="B106" s="1180">
        <f>'A-50 FGRailInv'!$C$346</f>
        <v>0</v>
      </c>
      <c r="C106" s="1291" t="str">
        <f>'A-50 FGRailInv'!C382</f>
        <v>Substation Equipment</v>
      </c>
      <c r="D106" s="1081">
        <f>'A-50 FGRailInv'!H382</f>
        <v>0</v>
      </c>
      <c r="E106" s="1081"/>
      <c r="F106" s="1081">
        <f>'A-50 FGRailInv'!J382</f>
        <v>0</v>
      </c>
      <c r="G106" s="1081">
        <f>'A-50 FGRailInv'!L382</f>
        <v>0</v>
      </c>
      <c r="H106" s="1081">
        <f>'A-50 FGRailInv'!N382</f>
        <v>0</v>
      </c>
      <c r="I106" s="1081">
        <f>'A-50 FGRailInv'!P382</f>
        <v>0</v>
      </c>
      <c r="J106" s="1081">
        <f>'A-50 FGRailInv'!R382</f>
        <v>0</v>
      </c>
      <c r="K106" s="1081">
        <f>'A-50 FGRailInv'!T382</f>
        <v>0</v>
      </c>
      <c r="L106" s="1081">
        <f>'A-50 FGRailInv'!V382</f>
        <v>0</v>
      </c>
      <c r="M106" s="1081">
        <f>'A-50 FGRailInv'!X382</f>
        <v>0</v>
      </c>
      <c r="N106" s="1081">
        <f>'A-50 FGRailInv'!Z382</f>
        <v>0</v>
      </c>
      <c r="O106" s="1081">
        <f>'A-50 FGRailInv'!AB382</f>
        <v>0</v>
      </c>
      <c r="P106" s="1081">
        <f>'A-50 FGRailInv'!AD382</f>
        <v>0</v>
      </c>
      <c r="Q106" s="1081">
        <f>'A-50 FGRailInv'!AF382</f>
        <v>0</v>
      </c>
      <c r="R106" s="1081">
        <f>'A-50 FGRailInv'!AH382</f>
        <v>0</v>
      </c>
      <c r="S106" s="1081">
        <f>'A-50 FGRailInv'!AJ382</f>
        <v>0</v>
      </c>
      <c r="T106" s="1081">
        <f>'A-50 FGRailInv'!AL382</f>
        <v>0</v>
      </c>
      <c r="U106" s="1292">
        <f>'A-50 FGRailInv'!AP382</f>
        <v>0</v>
      </c>
    </row>
    <row r="107" spans="2:21" x14ac:dyDescent="0.2">
      <c r="B107" s="1180">
        <f>'A-50 FGRailInv'!$C$346</f>
        <v>0</v>
      </c>
      <c r="C107" s="1291" t="str">
        <f>'A-50 FGRailInv'!C385</f>
        <v>Third Rail/Power Distribution</v>
      </c>
      <c r="D107" s="1081">
        <f>'A-50 FGRailInv'!H385</f>
        <v>0</v>
      </c>
      <c r="E107" s="1081"/>
      <c r="F107" s="1081">
        <f>'A-50 FGRailInv'!J385</f>
        <v>0</v>
      </c>
      <c r="G107" s="1081">
        <f>'A-50 FGRailInv'!L385</f>
        <v>0</v>
      </c>
      <c r="H107" s="1081">
        <f>'A-50 FGRailInv'!N385</f>
        <v>0</v>
      </c>
      <c r="I107" s="1081">
        <f>'A-50 FGRailInv'!P385</f>
        <v>0</v>
      </c>
      <c r="J107" s="1081">
        <f>'A-50 FGRailInv'!R385</f>
        <v>0</v>
      </c>
      <c r="K107" s="1081">
        <f>'A-50 FGRailInv'!T385</f>
        <v>0</v>
      </c>
      <c r="L107" s="1081">
        <f>'A-50 FGRailInv'!V385</f>
        <v>0</v>
      </c>
      <c r="M107" s="1081">
        <f>'A-50 FGRailInv'!X385</f>
        <v>0</v>
      </c>
      <c r="N107" s="1081">
        <f>'A-50 FGRailInv'!Z385</f>
        <v>0</v>
      </c>
      <c r="O107" s="1081">
        <f>'A-50 FGRailInv'!AB385</f>
        <v>0</v>
      </c>
      <c r="P107" s="1081">
        <f>'A-50 FGRailInv'!AD385</f>
        <v>0</v>
      </c>
      <c r="Q107" s="1081">
        <f>'A-50 FGRailInv'!AF385</f>
        <v>0</v>
      </c>
      <c r="R107" s="1081">
        <f>'A-50 FGRailInv'!AH385</f>
        <v>0</v>
      </c>
      <c r="S107" s="1081">
        <f>'A-50 FGRailInv'!AJ385</f>
        <v>0</v>
      </c>
      <c r="T107" s="1081">
        <f>'A-50 FGRailInv'!AL385</f>
        <v>0</v>
      </c>
      <c r="U107" s="1292">
        <f>'A-50 FGRailInv'!AP385</f>
        <v>0</v>
      </c>
    </row>
    <row r="108" spans="2:21" x14ac:dyDescent="0.2">
      <c r="B108" s="1180">
        <f>'A-50 FGRailInv'!$C$346</f>
        <v>0</v>
      </c>
      <c r="C108" s="1291" t="str">
        <f>'A-50 FGRailInv'!C388</f>
        <v>Overhead Contact System/Power Distribution</v>
      </c>
      <c r="D108" s="1081">
        <f>'A-50 FGRailInv'!H388</f>
        <v>0</v>
      </c>
      <c r="E108" s="1081"/>
      <c r="F108" s="1081">
        <f>'A-50 FGRailInv'!J388</f>
        <v>0</v>
      </c>
      <c r="G108" s="1081">
        <f>'A-50 FGRailInv'!L388</f>
        <v>0</v>
      </c>
      <c r="H108" s="1081">
        <f>'A-50 FGRailInv'!N388</f>
        <v>0</v>
      </c>
      <c r="I108" s="1081">
        <f>'A-50 FGRailInv'!P388</f>
        <v>0</v>
      </c>
      <c r="J108" s="1081">
        <f>'A-50 FGRailInv'!R388</f>
        <v>0</v>
      </c>
      <c r="K108" s="1081">
        <f>'A-50 FGRailInv'!T388</f>
        <v>0</v>
      </c>
      <c r="L108" s="1081">
        <f>'A-50 FGRailInv'!V388</f>
        <v>0</v>
      </c>
      <c r="M108" s="1081">
        <f>'A-50 FGRailInv'!X388</f>
        <v>0</v>
      </c>
      <c r="N108" s="1081">
        <f>'A-50 FGRailInv'!Z388</f>
        <v>0</v>
      </c>
      <c r="O108" s="1081">
        <f>'A-50 FGRailInv'!AB388</f>
        <v>0</v>
      </c>
      <c r="P108" s="1081">
        <f>'A-50 FGRailInv'!AD388</f>
        <v>0</v>
      </c>
      <c r="Q108" s="1081">
        <f>'A-50 FGRailInv'!AF388</f>
        <v>0</v>
      </c>
      <c r="R108" s="1081">
        <f>'A-50 FGRailInv'!AH388</f>
        <v>0</v>
      </c>
      <c r="S108" s="1081">
        <f>'A-50 FGRailInv'!AJ388</f>
        <v>0</v>
      </c>
      <c r="T108" s="1081">
        <f>'A-50 FGRailInv'!AL388</f>
        <v>0</v>
      </c>
      <c r="U108" s="1292">
        <f>'A-50 FGRailInv'!AP388</f>
        <v>0</v>
      </c>
    </row>
    <row r="109" spans="2:21" ht="13.5" thickBot="1" x14ac:dyDescent="0.25">
      <c r="B109" s="1180">
        <f>'A-50 FGRailInv'!$C$346</f>
        <v>0</v>
      </c>
      <c r="C109" s="1297" t="str">
        <f>'A-50 FGRailInv'!C391</f>
        <v>Train Control &amp; Signaling</v>
      </c>
      <c r="D109" s="1298">
        <f>'A-50 FGRailInv'!H391</f>
        <v>0</v>
      </c>
      <c r="E109" s="1298"/>
      <c r="F109" s="1298">
        <f>'A-50 FGRailInv'!J391</f>
        <v>0</v>
      </c>
      <c r="G109" s="1298">
        <f>'A-50 FGRailInv'!L391</f>
        <v>0</v>
      </c>
      <c r="H109" s="1298">
        <f>'A-50 FGRailInv'!N391</f>
        <v>0</v>
      </c>
      <c r="I109" s="1298">
        <f>'A-50 FGRailInv'!P391</f>
        <v>0</v>
      </c>
      <c r="J109" s="1298">
        <f>'A-50 FGRailInv'!R391</f>
        <v>0</v>
      </c>
      <c r="K109" s="1298">
        <f>'A-50 FGRailInv'!T391</f>
        <v>0</v>
      </c>
      <c r="L109" s="1298">
        <f>'A-50 FGRailInv'!V391</f>
        <v>0</v>
      </c>
      <c r="M109" s="1298">
        <f>'A-50 FGRailInv'!X391</f>
        <v>0</v>
      </c>
      <c r="N109" s="1298">
        <f>'A-50 FGRailInv'!Z391</f>
        <v>0</v>
      </c>
      <c r="O109" s="1298">
        <f>'A-50 FGRailInv'!AB391</f>
        <v>0</v>
      </c>
      <c r="P109" s="1298">
        <f>'A-50 FGRailInv'!AD391</f>
        <v>0</v>
      </c>
      <c r="Q109" s="1298">
        <f>'A-50 FGRailInv'!AF391</f>
        <v>0</v>
      </c>
      <c r="R109" s="1298">
        <f>'A-50 FGRailInv'!AH391</f>
        <v>0</v>
      </c>
      <c r="S109" s="1298">
        <f>'A-50 FGRailInv'!AJ391</f>
        <v>0</v>
      </c>
      <c r="T109" s="1298">
        <f>'A-50 FGRailInv'!AL391</f>
        <v>0</v>
      </c>
      <c r="U109" s="1299">
        <f>'A-50 FGRailInv'!AP391</f>
        <v>0</v>
      </c>
    </row>
    <row r="110" spans="2:21" x14ac:dyDescent="0.2">
      <c r="B110" s="1180">
        <f>'A-50 FGRailInv'!$C$402</f>
        <v>0</v>
      </c>
      <c r="C110" s="1288" t="str">
        <f>'A-50 FGRailInv'!C406</f>
        <v>At-Grade/Ballast (including expressway)</v>
      </c>
      <c r="D110" s="1289">
        <f>'A-50 FGRailInv'!H406</f>
        <v>0</v>
      </c>
      <c r="E110" s="1289"/>
      <c r="F110" s="1289">
        <f>'A-50 FGRailInv'!J406</f>
        <v>0</v>
      </c>
      <c r="G110" s="1289">
        <f>'A-50 FGRailInv'!L406</f>
        <v>0</v>
      </c>
      <c r="H110" s="1289">
        <f>'A-50 FGRailInv'!N406</f>
        <v>0</v>
      </c>
      <c r="I110" s="1289">
        <f>'A-50 FGRailInv'!P406</f>
        <v>0</v>
      </c>
      <c r="J110" s="1289">
        <f>'A-50 FGRailInv'!R406</f>
        <v>0</v>
      </c>
      <c r="K110" s="1289">
        <f>'A-50 FGRailInv'!T406</f>
        <v>0</v>
      </c>
      <c r="L110" s="1289">
        <f>'A-50 FGRailInv'!V406</f>
        <v>0</v>
      </c>
      <c r="M110" s="1289">
        <f>'A-50 FGRailInv'!X406</f>
        <v>0</v>
      </c>
      <c r="N110" s="1289">
        <f>'A-50 FGRailInv'!Z406</f>
        <v>0</v>
      </c>
      <c r="O110" s="1289">
        <f>'A-50 FGRailInv'!AB406</f>
        <v>0</v>
      </c>
      <c r="P110" s="1289">
        <f>'A-50 FGRailInv'!AD406</f>
        <v>0</v>
      </c>
      <c r="Q110" s="1289">
        <f>'A-50 FGRailInv'!AF406</f>
        <v>0</v>
      </c>
      <c r="R110" s="1289">
        <f>'A-50 FGRailInv'!AH406</f>
        <v>0</v>
      </c>
      <c r="S110" s="1289">
        <f>'A-50 FGRailInv'!AJ406</f>
        <v>0</v>
      </c>
      <c r="T110" s="1289">
        <f>'A-50 FGRailInv'!AL406</f>
        <v>0</v>
      </c>
      <c r="U110" s="1290">
        <f>'A-50 FGRailInv'!AP406</f>
        <v>0</v>
      </c>
    </row>
    <row r="111" spans="2:21" x14ac:dyDescent="0.2">
      <c r="B111" s="1180">
        <f>'A-50 FGRailInv'!$C$402</f>
        <v>0</v>
      </c>
      <c r="C111" s="1291" t="str">
        <f>'A-50 FGRailInv'!C409</f>
        <v>At-Grade/In-Street/Embedded</v>
      </c>
      <c r="D111" s="1081">
        <f>'A-50 FGRailInv'!H409</f>
        <v>0</v>
      </c>
      <c r="E111" s="1081"/>
      <c r="F111" s="1081">
        <f>'A-50 FGRailInv'!J409</f>
        <v>0</v>
      </c>
      <c r="G111" s="1081">
        <f>'A-50 FGRailInv'!L409</f>
        <v>0</v>
      </c>
      <c r="H111" s="1081">
        <f>'A-50 FGRailInv'!N409</f>
        <v>0</v>
      </c>
      <c r="I111" s="1081">
        <f>'A-50 FGRailInv'!P409</f>
        <v>0</v>
      </c>
      <c r="J111" s="1081">
        <f>'A-50 FGRailInv'!R409</f>
        <v>0</v>
      </c>
      <c r="K111" s="1081">
        <f>'A-50 FGRailInv'!T409</f>
        <v>0</v>
      </c>
      <c r="L111" s="1081">
        <f>'A-50 FGRailInv'!V409</f>
        <v>0</v>
      </c>
      <c r="M111" s="1081">
        <f>'A-50 FGRailInv'!X409</f>
        <v>0</v>
      </c>
      <c r="N111" s="1081">
        <f>'A-50 FGRailInv'!Z409</f>
        <v>0</v>
      </c>
      <c r="O111" s="1081">
        <f>'A-50 FGRailInv'!AB409</f>
        <v>0</v>
      </c>
      <c r="P111" s="1081">
        <f>'A-50 FGRailInv'!AD409</f>
        <v>0</v>
      </c>
      <c r="Q111" s="1081">
        <f>'A-50 FGRailInv'!AF409</f>
        <v>0</v>
      </c>
      <c r="R111" s="1081">
        <f>'A-50 FGRailInv'!AH409</f>
        <v>0</v>
      </c>
      <c r="S111" s="1081">
        <f>'A-50 FGRailInv'!AJ409</f>
        <v>0</v>
      </c>
      <c r="T111" s="1081">
        <f>'A-50 FGRailInv'!AL409</f>
        <v>0</v>
      </c>
      <c r="U111" s="1292">
        <f>'A-50 FGRailInv'!AP409</f>
        <v>0</v>
      </c>
    </row>
    <row r="112" spans="2:21" x14ac:dyDescent="0.2">
      <c r="B112" s="1180">
        <f>'A-50 FGRailInv'!$C$402</f>
        <v>0</v>
      </c>
      <c r="C112" s="1291" t="str">
        <f>'A-50 FGRailInv'!C412</f>
        <v>Elevated/Retained Fill</v>
      </c>
      <c r="D112" s="1081">
        <f>'A-50 FGRailInv'!H412</f>
        <v>0</v>
      </c>
      <c r="E112" s="1081"/>
      <c r="F112" s="1081">
        <f>'A-50 FGRailInv'!J412</f>
        <v>0</v>
      </c>
      <c r="G112" s="1081">
        <f>'A-50 FGRailInv'!L412</f>
        <v>0</v>
      </c>
      <c r="H112" s="1081">
        <f>'A-50 FGRailInv'!N412</f>
        <v>0</v>
      </c>
      <c r="I112" s="1081">
        <f>'A-50 FGRailInv'!P412</f>
        <v>0</v>
      </c>
      <c r="J112" s="1081">
        <f>'A-50 FGRailInv'!R412</f>
        <v>0</v>
      </c>
      <c r="K112" s="1081">
        <f>'A-50 FGRailInv'!T412</f>
        <v>0</v>
      </c>
      <c r="L112" s="1081">
        <f>'A-50 FGRailInv'!V412</f>
        <v>0</v>
      </c>
      <c r="M112" s="1081">
        <f>'A-50 FGRailInv'!X412</f>
        <v>0</v>
      </c>
      <c r="N112" s="1081">
        <f>'A-50 FGRailInv'!Z412</f>
        <v>0</v>
      </c>
      <c r="O112" s="1081">
        <f>'A-50 FGRailInv'!AB412</f>
        <v>0</v>
      </c>
      <c r="P112" s="1081">
        <f>'A-50 FGRailInv'!AD412</f>
        <v>0</v>
      </c>
      <c r="Q112" s="1081">
        <f>'A-50 FGRailInv'!AF412</f>
        <v>0</v>
      </c>
      <c r="R112" s="1081">
        <f>'A-50 FGRailInv'!AH412</f>
        <v>0</v>
      </c>
      <c r="S112" s="1081">
        <f>'A-50 FGRailInv'!AJ412</f>
        <v>0</v>
      </c>
      <c r="T112" s="1081">
        <f>'A-50 FGRailInv'!AL412</f>
        <v>0</v>
      </c>
      <c r="U112" s="1292">
        <f>'A-50 FGRailInv'!AP412</f>
        <v>0</v>
      </c>
    </row>
    <row r="113" spans="2:21" x14ac:dyDescent="0.2">
      <c r="B113" s="1180">
        <f>'A-50 FGRailInv'!$C$402</f>
        <v>0</v>
      </c>
      <c r="C113" s="1291" t="str">
        <f>'A-50 FGRailInv'!C415</f>
        <v>Elevated/Concrete</v>
      </c>
      <c r="D113" s="1081">
        <f>'A-50 FGRailInv'!H415</f>
        <v>0</v>
      </c>
      <c r="E113" s="1081"/>
      <c r="F113" s="1081">
        <f>'A-50 FGRailInv'!J415</f>
        <v>0</v>
      </c>
      <c r="G113" s="1081">
        <f>'A-50 FGRailInv'!L415</f>
        <v>0</v>
      </c>
      <c r="H113" s="1081">
        <f>'A-50 FGRailInv'!N415</f>
        <v>0</v>
      </c>
      <c r="I113" s="1081">
        <f>'A-50 FGRailInv'!P415</f>
        <v>0</v>
      </c>
      <c r="J113" s="1081">
        <f>'A-50 FGRailInv'!R415</f>
        <v>0</v>
      </c>
      <c r="K113" s="1081">
        <f>'A-50 FGRailInv'!T415</f>
        <v>0</v>
      </c>
      <c r="L113" s="1081">
        <f>'A-50 FGRailInv'!V415</f>
        <v>0</v>
      </c>
      <c r="M113" s="1081">
        <f>'A-50 FGRailInv'!X415</f>
        <v>0</v>
      </c>
      <c r="N113" s="1081">
        <f>'A-50 FGRailInv'!Z415</f>
        <v>0</v>
      </c>
      <c r="O113" s="1081">
        <f>'A-50 FGRailInv'!AB415</f>
        <v>0</v>
      </c>
      <c r="P113" s="1081">
        <f>'A-50 FGRailInv'!AD415</f>
        <v>0</v>
      </c>
      <c r="Q113" s="1081">
        <f>'A-50 FGRailInv'!AF415</f>
        <v>0</v>
      </c>
      <c r="R113" s="1081">
        <f>'A-50 FGRailInv'!AH415</f>
        <v>0</v>
      </c>
      <c r="S113" s="1081">
        <f>'A-50 FGRailInv'!AJ415</f>
        <v>0</v>
      </c>
      <c r="T113" s="1081">
        <f>'A-50 FGRailInv'!AL415</f>
        <v>0</v>
      </c>
      <c r="U113" s="1292">
        <f>'A-50 FGRailInv'!AP415</f>
        <v>0</v>
      </c>
    </row>
    <row r="114" spans="2:21" x14ac:dyDescent="0.2">
      <c r="B114" s="1180">
        <f>'A-50 FGRailInv'!$C$402</f>
        <v>0</v>
      </c>
      <c r="C114" s="1291" t="str">
        <f>'A-50 FGRailInv'!C418</f>
        <v>Elevated/Steel Viaduct or Bridge</v>
      </c>
      <c r="D114" s="1081">
        <f>'A-50 FGRailInv'!H418</f>
        <v>0</v>
      </c>
      <c r="E114" s="1081"/>
      <c r="F114" s="1081">
        <f>'A-50 FGRailInv'!J418</f>
        <v>0</v>
      </c>
      <c r="G114" s="1081">
        <f>'A-50 FGRailInv'!L418</f>
        <v>0</v>
      </c>
      <c r="H114" s="1081">
        <f>'A-50 FGRailInv'!N418</f>
        <v>0</v>
      </c>
      <c r="I114" s="1081">
        <f>'A-50 FGRailInv'!P418</f>
        <v>0</v>
      </c>
      <c r="J114" s="1081">
        <f>'A-50 FGRailInv'!R418</f>
        <v>0</v>
      </c>
      <c r="K114" s="1081">
        <f>'A-50 FGRailInv'!T418</f>
        <v>0</v>
      </c>
      <c r="L114" s="1081">
        <f>'A-50 FGRailInv'!V418</f>
        <v>0</v>
      </c>
      <c r="M114" s="1081">
        <f>'A-50 FGRailInv'!X418</f>
        <v>0</v>
      </c>
      <c r="N114" s="1081">
        <f>'A-50 FGRailInv'!Z418</f>
        <v>0</v>
      </c>
      <c r="O114" s="1081">
        <f>'A-50 FGRailInv'!AB418</f>
        <v>0</v>
      </c>
      <c r="P114" s="1081">
        <f>'A-50 FGRailInv'!AD418</f>
        <v>0</v>
      </c>
      <c r="Q114" s="1081">
        <f>'A-50 FGRailInv'!AF418</f>
        <v>0</v>
      </c>
      <c r="R114" s="1081">
        <f>'A-50 FGRailInv'!AH418</f>
        <v>0</v>
      </c>
      <c r="S114" s="1081">
        <f>'A-50 FGRailInv'!AJ418</f>
        <v>0</v>
      </c>
      <c r="T114" s="1081">
        <f>'A-50 FGRailInv'!AL418</f>
        <v>0</v>
      </c>
      <c r="U114" s="1292">
        <f>'A-50 FGRailInv'!AP418</f>
        <v>0</v>
      </c>
    </row>
    <row r="115" spans="2:21" x14ac:dyDescent="0.2">
      <c r="B115" s="1180">
        <f>'A-50 FGRailInv'!$C$402</f>
        <v>0</v>
      </c>
      <c r="C115" s="1291" t="str">
        <f>'A-50 FGRailInv'!C421</f>
        <v>Below-Grade/Retained Cut</v>
      </c>
      <c r="D115" s="1081">
        <f>'A-50 FGRailInv'!H421</f>
        <v>0</v>
      </c>
      <c r="E115" s="1081"/>
      <c r="F115" s="1081">
        <f>'A-50 FGRailInv'!J421</f>
        <v>0</v>
      </c>
      <c r="G115" s="1081">
        <f>'A-50 FGRailInv'!L421</f>
        <v>0</v>
      </c>
      <c r="H115" s="1081">
        <f>'A-50 FGRailInv'!N421</f>
        <v>0</v>
      </c>
      <c r="I115" s="1081">
        <f>'A-50 FGRailInv'!P421</f>
        <v>0</v>
      </c>
      <c r="J115" s="1081">
        <f>'A-50 FGRailInv'!R421</f>
        <v>0</v>
      </c>
      <c r="K115" s="1081">
        <f>'A-50 FGRailInv'!T421</f>
        <v>0</v>
      </c>
      <c r="L115" s="1081">
        <f>'A-50 FGRailInv'!V421</f>
        <v>0</v>
      </c>
      <c r="M115" s="1081">
        <f>'A-50 FGRailInv'!X421</f>
        <v>0</v>
      </c>
      <c r="N115" s="1081">
        <f>'A-50 FGRailInv'!Z421</f>
        <v>0</v>
      </c>
      <c r="O115" s="1081">
        <f>'A-50 FGRailInv'!AB421</f>
        <v>0</v>
      </c>
      <c r="P115" s="1081">
        <f>'A-50 FGRailInv'!AD421</f>
        <v>0</v>
      </c>
      <c r="Q115" s="1081">
        <f>'A-50 FGRailInv'!AF421</f>
        <v>0</v>
      </c>
      <c r="R115" s="1081">
        <f>'A-50 FGRailInv'!AH421</f>
        <v>0</v>
      </c>
      <c r="S115" s="1081">
        <f>'A-50 FGRailInv'!AJ421</f>
        <v>0</v>
      </c>
      <c r="T115" s="1081">
        <f>'A-50 FGRailInv'!AL421</f>
        <v>0</v>
      </c>
      <c r="U115" s="1292">
        <f>'A-50 FGRailInv'!AP421</f>
        <v>0</v>
      </c>
    </row>
    <row r="116" spans="2:21" x14ac:dyDescent="0.2">
      <c r="B116" s="1180">
        <f>'A-50 FGRailInv'!$C$402</f>
        <v>0</v>
      </c>
      <c r="C116" s="1291" t="str">
        <f>'A-50 FGRailInv'!C424</f>
        <v>Below-Grade/Cut-and-Cover Tunnel</v>
      </c>
      <c r="D116" s="1081">
        <f>'A-50 FGRailInv'!H424</f>
        <v>0</v>
      </c>
      <c r="E116" s="1081"/>
      <c r="F116" s="1081">
        <f>'A-50 FGRailInv'!J424</f>
        <v>0</v>
      </c>
      <c r="G116" s="1081">
        <f>'A-50 FGRailInv'!L424</f>
        <v>0</v>
      </c>
      <c r="H116" s="1081">
        <f>'A-50 FGRailInv'!N424</f>
        <v>0</v>
      </c>
      <c r="I116" s="1081">
        <f>'A-50 FGRailInv'!P424</f>
        <v>0</v>
      </c>
      <c r="J116" s="1081">
        <f>'A-50 FGRailInv'!R424</f>
        <v>0</v>
      </c>
      <c r="K116" s="1081">
        <f>'A-50 FGRailInv'!T424</f>
        <v>0</v>
      </c>
      <c r="L116" s="1081">
        <f>'A-50 FGRailInv'!V424</f>
        <v>0</v>
      </c>
      <c r="M116" s="1081">
        <f>'A-50 FGRailInv'!X424</f>
        <v>0</v>
      </c>
      <c r="N116" s="1081">
        <f>'A-50 FGRailInv'!Z424</f>
        <v>0</v>
      </c>
      <c r="O116" s="1081">
        <f>'A-50 FGRailInv'!AB424</f>
        <v>0</v>
      </c>
      <c r="P116" s="1081">
        <f>'A-50 FGRailInv'!AD424</f>
        <v>0</v>
      </c>
      <c r="Q116" s="1081">
        <f>'A-50 FGRailInv'!AF424</f>
        <v>0</v>
      </c>
      <c r="R116" s="1081">
        <f>'A-50 FGRailInv'!AH424</f>
        <v>0</v>
      </c>
      <c r="S116" s="1081">
        <f>'A-50 FGRailInv'!AJ424</f>
        <v>0</v>
      </c>
      <c r="T116" s="1081">
        <f>'A-50 FGRailInv'!AL424</f>
        <v>0</v>
      </c>
      <c r="U116" s="1292">
        <f>'A-50 FGRailInv'!AP424</f>
        <v>0</v>
      </c>
    </row>
    <row r="117" spans="2:21" x14ac:dyDescent="0.2">
      <c r="B117" s="1180">
        <f>'A-50 FGRailInv'!$C$402</f>
        <v>0</v>
      </c>
      <c r="C117" s="1291" t="str">
        <f>'A-50 FGRailInv'!C427</f>
        <v>Below-Grade/Bored or Blasted Tunnel</v>
      </c>
      <c r="D117" s="1081">
        <f>'A-50 FGRailInv'!H427</f>
        <v>0</v>
      </c>
      <c r="E117" s="1081"/>
      <c r="F117" s="1081">
        <f>'A-50 FGRailInv'!J427</f>
        <v>0</v>
      </c>
      <c r="G117" s="1081">
        <f>'A-50 FGRailInv'!L427</f>
        <v>0</v>
      </c>
      <c r="H117" s="1081">
        <f>'A-50 FGRailInv'!N427</f>
        <v>0</v>
      </c>
      <c r="I117" s="1081">
        <f>'A-50 FGRailInv'!P427</f>
        <v>0</v>
      </c>
      <c r="J117" s="1081">
        <f>'A-50 FGRailInv'!R427</f>
        <v>0</v>
      </c>
      <c r="K117" s="1081">
        <f>'A-50 FGRailInv'!T427</f>
        <v>0</v>
      </c>
      <c r="L117" s="1081">
        <f>'A-50 FGRailInv'!V427</f>
        <v>0</v>
      </c>
      <c r="M117" s="1081">
        <f>'A-50 FGRailInv'!X427</f>
        <v>0</v>
      </c>
      <c r="N117" s="1081">
        <f>'A-50 FGRailInv'!Z427</f>
        <v>0</v>
      </c>
      <c r="O117" s="1081">
        <f>'A-50 FGRailInv'!AB427</f>
        <v>0</v>
      </c>
      <c r="P117" s="1081">
        <f>'A-50 FGRailInv'!AD427</f>
        <v>0</v>
      </c>
      <c r="Q117" s="1081">
        <f>'A-50 FGRailInv'!AF427</f>
        <v>0</v>
      </c>
      <c r="R117" s="1081">
        <f>'A-50 FGRailInv'!AH427</f>
        <v>0</v>
      </c>
      <c r="S117" s="1081">
        <f>'A-50 FGRailInv'!AJ427</f>
        <v>0</v>
      </c>
      <c r="T117" s="1081">
        <f>'A-50 FGRailInv'!AL427</f>
        <v>0</v>
      </c>
      <c r="U117" s="1292">
        <f>'A-50 FGRailInv'!AP427</f>
        <v>0</v>
      </c>
    </row>
    <row r="118" spans="2:21" x14ac:dyDescent="0.2">
      <c r="B118" s="1180">
        <f>'A-50 FGRailInv'!$C$402</f>
        <v>0</v>
      </c>
      <c r="C118" s="1293" t="str">
        <f>'A-50 FGRailInv'!C430</f>
        <v>Below-Grade/Submerged Tube</v>
      </c>
      <c r="D118" s="1287">
        <f>'A-50 FGRailInv'!H430</f>
        <v>0</v>
      </c>
      <c r="E118" s="1287"/>
      <c r="F118" s="1287">
        <f>'A-50 FGRailInv'!J430</f>
        <v>0</v>
      </c>
      <c r="G118" s="1287">
        <f>'A-50 FGRailInv'!L430</f>
        <v>0</v>
      </c>
      <c r="H118" s="1287">
        <f>'A-50 FGRailInv'!N430</f>
        <v>0</v>
      </c>
      <c r="I118" s="1287">
        <f>'A-50 FGRailInv'!P430</f>
        <v>0</v>
      </c>
      <c r="J118" s="1287">
        <f>'A-50 FGRailInv'!R430</f>
        <v>0</v>
      </c>
      <c r="K118" s="1287">
        <f>'A-50 FGRailInv'!T430</f>
        <v>0</v>
      </c>
      <c r="L118" s="1287">
        <f>'A-50 FGRailInv'!V430</f>
        <v>0</v>
      </c>
      <c r="M118" s="1287">
        <f>'A-50 FGRailInv'!X430</f>
        <v>0</v>
      </c>
      <c r="N118" s="1287">
        <f>'A-50 FGRailInv'!Z430</f>
        <v>0</v>
      </c>
      <c r="O118" s="1287">
        <f>'A-50 FGRailInv'!AB430</f>
        <v>0</v>
      </c>
      <c r="P118" s="1287">
        <f>'A-50 FGRailInv'!AD430</f>
        <v>0</v>
      </c>
      <c r="Q118" s="1287">
        <f>'A-50 FGRailInv'!AF430</f>
        <v>0</v>
      </c>
      <c r="R118" s="1287">
        <f>'A-50 FGRailInv'!AH430</f>
        <v>0</v>
      </c>
      <c r="S118" s="1287">
        <f>'A-50 FGRailInv'!AJ430</f>
        <v>0</v>
      </c>
      <c r="T118" s="1287">
        <f>'A-50 FGRailInv'!AL430</f>
        <v>0</v>
      </c>
      <c r="U118" s="1294">
        <f>'A-50 FGRailInv'!AP430</f>
        <v>0</v>
      </c>
    </row>
    <row r="119" spans="2:21" x14ac:dyDescent="0.2">
      <c r="B119" s="1180">
        <f>'A-50 FGRailInv'!$C$402</f>
        <v>0</v>
      </c>
      <c r="C119" s="1295" t="str">
        <f>'A-50 FGRailInv'!C435</f>
        <v>Substation Building</v>
      </c>
      <c r="D119" s="1286">
        <f>'A-50 FGRailInv'!H435</f>
        <v>0</v>
      </c>
      <c r="E119" s="1286"/>
      <c r="F119" s="1286">
        <f>'A-50 FGRailInv'!J435</f>
        <v>0</v>
      </c>
      <c r="G119" s="1286">
        <f>'A-50 FGRailInv'!L435</f>
        <v>0</v>
      </c>
      <c r="H119" s="1286">
        <f>'A-50 FGRailInv'!N435</f>
        <v>0</v>
      </c>
      <c r="I119" s="1286">
        <f>'A-50 FGRailInv'!P435</f>
        <v>0</v>
      </c>
      <c r="J119" s="1286">
        <f>'A-50 FGRailInv'!R435</f>
        <v>0</v>
      </c>
      <c r="K119" s="1286">
        <f>'A-50 FGRailInv'!T435</f>
        <v>0</v>
      </c>
      <c r="L119" s="1286">
        <f>'A-50 FGRailInv'!V435</f>
        <v>0</v>
      </c>
      <c r="M119" s="1286">
        <f>'A-50 FGRailInv'!X435</f>
        <v>0</v>
      </c>
      <c r="N119" s="1286">
        <f>'A-50 FGRailInv'!Z435</f>
        <v>0</v>
      </c>
      <c r="O119" s="1286">
        <f>'A-50 FGRailInv'!AB435</f>
        <v>0</v>
      </c>
      <c r="P119" s="1286">
        <f>'A-50 FGRailInv'!AD435</f>
        <v>0</v>
      </c>
      <c r="Q119" s="1286">
        <f>'A-50 FGRailInv'!AF435</f>
        <v>0</v>
      </c>
      <c r="R119" s="1286">
        <f>'A-50 FGRailInv'!AH435</f>
        <v>0</v>
      </c>
      <c r="S119" s="1286">
        <f>'A-50 FGRailInv'!AJ435</f>
        <v>0</v>
      </c>
      <c r="T119" s="1286">
        <f>'A-50 FGRailInv'!AL435</f>
        <v>0</v>
      </c>
      <c r="U119" s="1296">
        <f>'A-50 FGRailInv'!AP435</f>
        <v>0</v>
      </c>
    </row>
    <row r="120" spans="2:21" x14ac:dyDescent="0.2">
      <c r="B120" s="1180">
        <f>'A-50 FGRailInv'!$C$402</f>
        <v>0</v>
      </c>
      <c r="C120" s="1291" t="str">
        <f>'A-50 FGRailInv'!C438</f>
        <v>Substation Equipment</v>
      </c>
      <c r="D120" s="1081">
        <f>'A-50 FGRailInv'!H438</f>
        <v>0</v>
      </c>
      <c r="E120" s="1081"/>
      <c r="F120" s="1081">
        <f>'A-50 FGRailInv'!J438</f>
        <v>0</v>
      </c>
      <c r="G120" s="1081">
        <f>'A-50 FGRailInv'!L438</f>
        <v>0</v>
      </c>
      <c r="H120" s="1081">
        <f>'A-50 FGRailInv'!N438</f>
        <v>0</v>
      </c>
      <c r="I120" s="1081">
        <f>'A-50 FGRailInv'!P438</f>
        <v>0</v>
      </c>
      <c r="J120" s="1081">
        <f>'A-50 FGRailInv'!R438</f>
        <v>0</v>
      </c>
      <c r="K120" s="1081">
        <f>'A-50 FGRailInv'!T438</f>
        <v>0</v>
      </c>
      <c r="L120" s="1081">
        <f>'A-50 FGRailInv'!V438</f>
        <v>0</v>
      </c>
      <c r="M120" s="1081">
        <f>'A-50 FGRailInv'!X438</f>
        <v>0</v>
      </c>
      <c r="N120" s="1081">
        <f>'A-50 FGRailInv'!Z438</f>
        <v>0</v>
      </c>
      <c r="O120" s="1081">
        <f>'A-50 FGRailInv'!AB438</f>
        <v>0</v>
      </c>
      <c r="P120" s="1081">
        <f>'A-50 FGRailInv'!AD438</f>
        <v>0</v>
      </c>
      <c r="Q120" s="1081">
        <f>'A-50 FGRailInv'!AF438</f>
        <v>0</v>
      </c>
      <c r="R120" s="1081">
        <f>'A-50 FGRailInv'!AH438</f>
        <v>0</v>
      </c>
      <c r="S120" s="1081">
        <f>'A-50 FGRailInv'!AJ438</f>
        <v>0</v>
      </c>
      <c r="T120" s="1081">
        <f>'A-50 FGRailInv'!AL438</f>
        <v>0</v>
      </c>
      <c r="U120" s="1292">
        <f>'A-50 FGRailInv'!AP438</f>
        <v>0</v>
      </c>
    </row>
    <row r="121" spans="2:21" x14ac:dyDescent="0.2">
      <c r="B121" s="1180">
        <f>'A-50 FGRailInv'!$C$402</f>
        <v>0</v>
      </c>
      <c r="C121" s="1291" t="str">
        <f>'A-50 FGRailInv'!C441</f>
        <v>Third Rail/Power Distribution</v>
      </c>
      <c r="D121" s="1081">
        <f>'A-50 FGRailInv'!H441</f>
        <v>0</v>
      </c>
      <c r="E121" s="1081"/>
      <c r="F121" s="1081">
        <f>'A-50 FGRailInv'!J441</f>
        <v>0</v>
      </c>
      <c r="G121" s="1081">
        <f>'A-50 FGRailInv'!L441</f>
        <v>0</v>
      </c>
      <c r="H121" s="1081">
        <f>'A-50 FGRailInv'!N441</f>
        <v>0</v>
      </c>
      <c r="I121" s="1081">
        <f>'A-50 FGRailInv'!P441</f>
        <v>0</v>
      </c>
      <c r="J121" s="1081">
        <f>'A-50 FGRailInv'!R441</f>
        <v>0</v>
      </c>
      <c r="K121" s="1081">
        <f>'A-50 FGRailInv'!T441</f>
        <v>0</v>
      </c>
      <c r="L121" s="1081">
        <f>'A-50 FGRailInv'!V441</f>
        <v>0</v>
      </c>
      <c r="M121" s="1081">
        <f>'A-50 FGRailInv'!X441</f>
        <v>0</v>
      </c>
      <c r="N121" s="1081">
        <f>'A-50 FGRailInv'!Z441</f>
        <v>0</v>
      </c>
      <c r="O121" s="1081">
        <f>'A-50 FGRailInv'!AB441</f>
        <v>0</v>
      </c>
      <c r="P121" s="1081">
        <f>'A-50 FGRailInv'!AD441</f>
        <v>0</v>
      </c>
      <c r="Q121" s="1081">
        <f>'A-50 FGRailInv'!AF441</f>
        <v>0</v>
      </c>
      <c r="R121" s="1081">
        <f>'A-50 FGRailInv'!AH441</f>
        <v>0</v>
      </c>
      <c r="S121" s="1081">
        <f>'A-50 FGRailInv'!AJ441</f>
        <v>0</v>
      </c>
      <c r="T121" s="1081">
        <f>'A-50 FGRailInv'!AL441</f>
        <v>0</v>
      </c>
      <c r="U121" s="1292">
        <f>'A-50 FGRailInv'!AP441</f>
        <v>0</v>
      </c>
    </row>
    <row r="122" spans="2:21" x14ac:dyDescent="0.2">
      <c r="B122" s="1180">
        <f>'A-50 FGRailInv'!$C$402</f>
        <v>0</v>
      </c>
      <c r="C122" s="1291" t="str">
        <f>'A-50 FGRailInv'!C444</f>
        <v>Overhead Contact System/Power Distribution</v>
      </c>
      <c r="D122" s="1081">
        <f>'A-50 FGRailInv'!H444</f>
        <v>0</v>
      </c>
      <c r="E122" s="1081"/>
      <c r="F122" s="1081">
        <f>'A-50 FGRailInv'!J444</f>
        <v>0</v>
      </c>
      <c r="G122" s="1081">
        <f>'A-50 FGRailInv'!L444</f>
        <v>0</v>
      </c>
      <c r="H122" s="1081">
        <f>'A-50 FGRailInv'!N444</f>
        <v>0</v>
      </c>
      <c r="I122" s="1081">
        <f>'A-50 FGRailInv'!P444</f>
        <v>0</v>
      </c>
      <c r="J122" s="1081">
        <f>'A-50 FGRailInv'!R444</f>
        <v>0</v>
      </c>
      <c r="K122" s="1081">
        <f>'A-50 FGRailInv'!T444</f>
        <v>0</v>
      </c>
      <c r="L122" s="1081">
        <f>'A-50 FGRailInv'!V444</f>
        <v>0</v>
      </c>
      <c r="M122" s="1081">
        <f>'A-50 FGRailInv'!X444</f>
        <v>0</v>
      </c>
      <c r="N122" s="1081">
        <f>'A-50 FGRailInv'!Z444</f>
        <v>0</v>
      </c>
      <c r="O122" s="1081">
        <f>'A-50 FGRailInv'!AB444</f>
        <v>0</v>
      </c>
      <c r="P122" s="1081">
        <f>'A-50 FGRailInv'!AD444</f>
        <v>0</v>
      </c>
      <c r="Q122" s="1081">
        <f>'A-50 FGRailInv'!AF444</f>
        <v>0</v>
      </c>
      <c r="R122" s="1081">
        <f>'A-50 FGRailInv'!AH444</f>
        <v>0</v>
      </c>
      <c r="S122" s="1081">
        <f>'A-50 FGRailInv'!AJ444</f>
        <v>0</v>
      </c>
      <c r="T122" s="1081">
        <f>'A-50 FGRailInv'!AL444</f>
        <v>0</v>
      </c>
      <c r="U122" s="1292">
        <f>'A-50 FGRailInv'!AP444</f>
        <v>0</v>
      </c>
    </row>
    <row r="123" spans="2:21" ht="13.5" thickBot="1" x14ac:dyDescent="0.25">
      <c r="B123" s="1180">
        <f>'A-50 FGRailInv'!$C$402</f>
        <v>0</v>
      </c>
      <c r="C123" s="1297" t="str">
        <f>'A-50 FGRailInv'!C447</f>
        <v>Train Control &amp; Signaling</v>
      </c>
      <c r="D123" s="1298">
        <f>'A-50 FGRailInv'!H447</f>
        <v>0</v>
      </c>
      <c r="E123" s="1298"/>
      <c r="F123" s="1298">
        <f>'A-50 FGRailInv'!J447</f>
        <v>0</v>
      </c>
      <c r="G123" s="1298">
        <f>'A-50 FGRailInv'!L447</f>
        <v>0</v>
      </c>
      <c r="H123" s="1298">
        <f>'A-50 FGRailInv'!N447</f>
        <v>0</v>
      </c>
      <c r="I123" s="1298">
        <f>'A-50 FGRailInv'!P447</f>
        <v>0</v>
      </c>
      <c r="J123" s="1298">
        <f>'A-50 FGRailInv'!R447</f>
        <v>0</v>
      </c>
      <c r="K123" s="1298">
        <f>'A-50 FGRailInv'!T447</f>
        <v>0</v>
      </c>
      <c r="L123" s="1298">
        <f>'A-50 FGRailInv'!V447</f>
        <v>0</v>
      </c>
      <c r="M123" s="1298">
        <f>'A-50 FGRailInv'!X447</f>
        <v>0</v>
      </c>
      <c r="N123" s="1298">
        <f>'A-50 FGRailInv'!Z447</f>
        <v>0</v>
      </c>
      <c r="O123" s="1298">
        <f>'A-50 FGRailInv'!AB447</f>
        <v>0</v>
      </c>
      <c r="P123" s="1298">
        <f>'A-50 FGRailInv'!AD447</f>
        <v>0</v>
      </c>
      <c r="Q123" s="1298">
        <f>'A-50 FGRailInv'!AF447</f>
        <v>0</v>
      </c>
      <c r="R123" s="1298">
        <f>'A-50 FGRailInv'!AH447</f>
        <v>0</v>
      </c>
      <c r="S123" s="1298">
        <f>'A-50 FGRailInv'!AJ447</f>
        <v>0</v>
      </c>
      <c r="T123" s="1298">
        <f>'A-50 FGRailInv'!AL447</f>
        <v>0</v>
      </c>
      <c r="U123" s="1299">
        <f>'A-50 FGRailInv'!AP447</f>
        <v>0</v>
      </c>
    </row>
    <row r="124" spans="2:21" x14ac:dyDescent="0.2">
      <c r="B124" s="1180">
        <f>'A-50 FGRailInv'!$C$458</f>
        <v>0</v>
      </c>
      <c r="C124" s="1288" t="str">
        <f>'A-50 FGRailInv'!C462</f>
        <v>At-Grade/Ballast (including expressway)</v>
      </c>
      <c r="D124" s="1289">
        <f>'A-50 FGRailInv'!H462</f>
        <v>0</v>
      </c>
      <c r="E124" s="1289"/>
      <c r="F124" s="1289">
        <f>'A-50 FGRailInv'!J462</f>
        <v>0</v>
      </c>
      <c r="G124" s="1289">
        <f>'A-50 FGRailInv'!L462</f>
        <v>0</v>
      </c>
      <c r="H124" s="1289">
        <f>'A-50 FGRailInv'!N462</f>
        <v>0</v>
      </c>
      <c r="I124" s="1289">
        <f>'A-50 FGRailInv'!P462</f>
        <v>0</v>
      </c>
      <c r="J124" s="1289">
        <f>'A-50 FGRailInv'!R462</f>
        <v>0</v>
      </c>
      <c r="K124" s="1289">
        <f>'A-50 FGRailInv'!T462</f>
        <v>0</v>
      </c>
      <c r="L124" s="1289">
        <f>'A-50 FGRailInv'!V462</f>
        <v>0</v>
      </c>
      <c r="M124" s="1289">
        <f>'A-50 FGRailInv'!X462</f>
        <v>0</v>
      </c>
      <c r="N124" s="1289">
        <f>'A-50 FGRailInv'!Z462</f>
        <v>0</v>
      </c>
      <c r="O124" s="1289">
        <f>'A-50 FGRailInv'!AB462</f>
        <v>0</v>
      </c>
      <c r="P124" s="1289">
        <f>'A-50 FGRailInv'!AD462</f>
        <v>0</v>
      </c>
      <c r="Q124" s="1289">
        <f>'A-50 FGRailInv'!AF462</f>
        <v>0</v>
      </c>
      <c r="R124" s="1289">
        <f>'A-50 FGRailInv'!AH462</f>
        <v>0</v>
      </c>
      <c r="S124" s="1289">
        <f>'A-50 FGRailInv'!AJ462</f>
        <v>0</v>
      </c>
      <c r="T124" s="1289">
        <f>'A-50 FGRailInv'!AL462</f>
        <v>0</v>
      </c>
      <c r="U124" s="1290">
        <f>'A-50 FGRailInv'!AP462</f>
        <v>0</v>
      </c>
    </row>
    <row r="125" spans="2:21" x14ac:dyDescent="0.2">
      <c r="B125" s="1180">
        <f>'A-50 FGRailInv'!$C$458</f>
        <v>0</v>
      </c>
      <c r="C125" s="1291" t="str">
        <f>'A-50 FGRailInv'!C465</f>
        <v>At-Grade/In-Street/Embedded</v>
      </c>
      <c r="D125" s="1081">
        <f>'A-50 FGRailInv'!H465</f>
        <v>0</v>
      </c>
      <c r="E125" s="1081"/>
      <c r="F125" s="1081">
        <f>'A-50 FGRailInv'!J465</f>
        <v>0</v>
      </c>
      <c r="G125" s="1081">
        <f>'A-50 FGRailInv'!L465</f>
        <v>0</v>
      </c>
      <c r="H125" s="1081">
        <f>'A-50 FGRailInv'!N465</f>
        <v>0</v>
      </c>
      <c r="I125" s="1081">
        <f>'A-50 FGRailInv'!P465</f>
        <v>0</v>
      </c>
      <c r="J125" s="1081">
        <f>'A-50 FGRailInv'!R465</f>
        <v>0</v>
      </c>
      <c r="K125" s="1081">
        <f>'A-50 FGRailInv'!T465</f>
        <v>0</v>
      </c>
      <c r="L125" s="1081">
        <f>'A-50 FGRailInv'!V465</f>
        <v>0</v>
      </c>
      <c r="M125" s="1081">
        <f>'A-50 FGRailInv'!X465</f>
        <v>0</v>
      </c>
      <c r="N125" s="1081">
        <f>'A-50 FGRailInv'!Z465</f>
        <v>0</v>
      </c>
      <c r="O125" s="1081">
        <f>'A-50 FGRailInv'!AB465</f>
        <v>0</v>
      </c>
      <c r="P125" s="1081">
        <f>'A-50 FGRailInv'!AD465</f>
        <v>0</v>
      </c>
      <c r="Q125" s="1081">
        <f>'A-50 FGRailInv'!AF465</f>
        <v>0</v>
      </c>
      <c r="R125" s="1081">
        <f>'A-50 FGRailInv'!AH465</f>
        <v>0</v>
      </c>
      <c r="S125" s="1081">
        <f>'A-50 FGRailInv'!AJ465</f>
        <v>0</v>
      </c>
      <c r="T125" s="1081">
        <f>'A-50 FGRailInv'!AL465</f>
        <v>0</v>
      </c>
      <c r="U125" s="1292">
        <f>'A-50 FGRailInv'!AP465</f>
        <v>0</v>
      </c>
    </row>
    <row r="126" spans="2:21" x14ac:dyDescent="0.2">
      <c r="B126" s="1180">
        <f>'A-50 FGRailInv'!$C$458</f>
        <v>0</v>
      </c>
      <c r="C126" s="1291" t="str">
        <f>'A-50 FGRailInv'!C468</f>
        <v>Elevated/Retained Fill</v>
      </c>
      <c r="D126" s="1081">
        <f>'A-50 FGRailInv'!H468</f>
        <v>0</v>
      </c>
      <c r="E126" s="1081"/>
      <c r="F126" s="1081">
        <f>'A-50 FGRailInv'!J468</f>
        <v>0</v>
      </c>
      <c r="G126" s="1081">
        <f>'A-50 FGRailInv'!L468</f>
        <v>0</v>
      </c>
      <c r="H126" s="1081">
        <f>'A-50 FGRailInv'!N468</f>
        <v>0</v>
      </c>
      <c r="I126" s="1081">
        <f>'A-50 FGRailInv'!P468</f>
        <v>0</v>
      </c>
      <c r="J126" s="1081">
        <f>'A-50 FGRailInv'!R468</f>
        <v>0</v>
      </c>
      <c r="K126" s="1081">
        <f>'A-50 FGRailInv'!T468</f>
        <v>0</v>
      </c>
      <c r="L126" s="1081">
        <f>'A-50 FGRailInv'!V468</f>
        <v>0</v>
      </c>
      <c r="M126" s="1081">
        <f>'A-50 FGRailInv'!X468</f>
        <v>0</v>
      </c>
      <c r="N126" s="1081">
        <f>'A-50 FGRailInv'!Z468</f>
        <v>0</v>
      </c>
      <c r="O126" s="1081">
        <f>'A-50 FGRailInv'!AB468</f>
        <v>0</v>
      </c>
      <c r="P126" s="1081">
        <f>'A-50 FGRailInv'!AD468</f>
        <v>0</v>
      </c>
      <c r="Q126" s="1081">
        <f>'A-50 FGRailInv'!AF468</f>
        <v>0</v>
      </c>
      <c r="R126" s="1081">
        <f>'A-50 FGRailInv'!AH468</f>
        <v>0</v>
      </c>
      <c r="S126" s="1081">
        <f>'A-50 FGRailInv'!AJ468</f>
        <v>0</v>
      </c>
      <c r="T126" s="1081">
        <f>'A-50 FGRailInv'!AL468</f>
        <v>0</v>
      </c>
      <c r="U126" s="1292">
        <f>'A-50 FGRailInv'!AP468</f>
        <v>0</v>
      </c>
    </row>
    <row r="127" spans="2:21" x14ac:dyDescent="0.2">
      <c r="B127" s="1180">
        <f>'A-50 FGRailInv'!$C$458</f>
        <v>0</v>
      </c>
      <c r="C127" s="1291" t="str">
        <f>'A-50 FGRailInv'!C471</f>
        <v>Elevated/Concrete</v>
      </c>
      <c r="D127" s="1081">
        <f>'A-50 FGRailInv'!H471</f>
        <v>0</v>
      </c>
      <c r="E127" s="1081"/>
      <c r="F127" s="1081">
        <f>'A-50 FGRailInv'!J471</f>
        <v>0</v>
      </c>
      <c r="G127" s="1081">
        <f>'A-50 FGRailInv'!L471</f>
        <v>0</v>
      </c>
      <c r="H127" s="1081">
        <f>'A-50 FGRailInv'!N471</f>
        <v>0</v>
      </c>
      <c r="I127" s="1081">
        <f>'A-50 FGRailInv'!P471</f>
        <v>0</v>
      </c>
      <c r="J127" s="1081">
        <f>'A-50 FGRailInv'!R471</f>
        <v>0</v>
      </c>
      <c r="K127" s="1081">
        <f>'A-50 FGRailInv'!T471</f>
        <v>0</v>
      </c>
      <c r="L127" s="1081">
        <f>'A-50 FGRailInv'!V471</f>
        <v>0</v>
      </c>
      <c r="M127" s="1081">
        <f>'A-50 FGRailInv'!X471</f>
        <v>0</v>
      </c>
      <c r="N127" s="1081">
        <f>'A-50 FGRailInv'!Z471</f>
        <v>0</v>
      </c>
      <c r="O127" s="1081">
        <f>'A-50 FGRailInv'!AB471</f>
        <v>0</v>
      </c>
      <c r="P127" s="1081">
        <f>'A-50 FGRailInv'!AD471</f>
        <v>0</v>
      </c>
      <c r="Q127" s="1081">
        <f>'A-50 FGRailInv'!AF471</f>
        <v>0</v>
      </c>
      <c r="R127" s="1081">
        <f>'A-50 FGRailInv'!AH471</f>
        <v>0</v>
      </c>
      <c r="S127" s="1081">
        <f>'A-50 FGRailInv'!AJ471</f>
        <v>0</v>
      </c>
      <c r="T127" s="1081">
        <f>'A-50 FGRailInv'!AL471</f>
        <v>0</v>
      </c>
      <c r="U127" s="1292">
        <f>'A-50 FGRailInv'!AP471</f>
        <v>0</v>
      </c>
    </row>
    <row r="128" spans="2:21" x14ac:dyDescent="0.2">
      <c r="B128" s="1180">
        <f>'A-50 FGRailInv'!$C$458</f>
        <v>0</v>
      </c>
      <c r="C128" s="1291" t="str">
        <f>'A-50 FGRailInv'!C474</f>
        <v>Elevated/Steel Viaduct or Bridge</v>
      </c>
      <c r="D128" s="1081">
        <f>'A-50 FGRailInv'!H474</f>
        <v>0</v>
      </c>
      <c r="E128" s="1081"/>
      <c r="F128" s="1081">
        <f>'A-50 FGRailInv'!J474</f>
        <v>0</v>
      </c>
      <c r="G128" s="1081">
        <f>'A-50 FGRailInv'!L474</f>
        <v>0</v>
      </c>
      <c r="H128" s="1081">
        <f>'A-50 FGRailInv'!N474</f>
        <v>0</v>
      </c>
      <c r="I128" s="1081">
        <f>'A-50 FGRailInv'!P474</f>
        <v>0</v>
      </c>
      <c r="J128" s="1081">
        <f>'A-50 FGRailInv'!R474</f>
        <v>0</v>
      </c>
      <c r="K128" s="1081">
        <f>'A-50 FGRailInv'!T474</f>
        <v>0</v>
      </c>
      <c r="L128" s="1081">
        <f>'A-50 FGRailInv'!V474</f>
        <v>0</v>
      </c>
      <c r="M128" s="1081">
        <f>'A-50 FGRailInv'!X474</f>
        <v>0</v>
      </c>
      <c r="N128" s="1081">
        <f>'A-50 FGRailInv'!Z474</f>
        <v>0</v>
      </c>
      <c r="O128" s="1081">
        <f>'A-50 FGRailInv'!AB474</f>
        <v>0</v>
      </c>
      <c r="P128" s="1081">
        <f>'A-50 FGRailInv'!AD474</f>
        <v>0</v>
      </c>
      <c r="Q128" s="1081">
        <f>'A-50 FGRailInv'!AF474</f>
        <v>0</v>
      </c>
      <c r="R128" s="1081">
        <f>'A-50 FGRailInv'!AH474</f>
        <v>0</v>
      </c>
      <c r="S128" s="1081">
        <f>'A-50 FGRailInv'!AJ474</f>
        <v>0</v>
      </c>
      <c r="T128" s="1081">
        <f>'A-50 FGRailInv'!AL474</f>
        <v>0</v>
      </c>
      <c r="U128" s="1292">
        <f>'A-50 FGRailInv'!AP474</f>
        <v>0</v>
      </c>
    </row>
    <row r="129" spans="2:21" x14ac:dyDescent="0.2">
      <c r="B129" s="1180">
        <f>'A-50 FGRailInv'!$C$458</f>
        <v>0</v>
      </c>
      <c r="C129" s="1291" t="str">
        <f>'A-50 FGRailInv'!C477</f>
        <v>Below-Grade/Retained Cut</v>
      </c>
      <c r="D129" s="1081">
        <f>'A-50 FGRailInv'!H477</f>
        <v>0</v>
      </c>
      <c r="E129" s="1081"/>
      <c r="F129" s="1081">
        <f>'A-50 FGRailInv'!J477</f>
        <v>0</v>
      </c>
      <c r="G129" s="1081">
        <f>'A-50 FGRailInv'!L477</f>
        <v>0</v>
      </c>
      <c r="H129" s="1081">
        <f>'A-50 FGRailInv'!N477</f>
        <v>0</v>
      </c>
      <c r="I129" s="1081">
        <f>'A-50 FGRailInv'!P477</f>
        <v>0</v>
      </c>
      <c r="J129" s="1081">
        <f>'A-50 FGRailInv'!R477</f>
        <v>0</v>
      </c>
      <c r="K129" s="1081">
        <f>'A-50 FGRailInv'!T477</f>
        <v>0</v>
      </c>
      <c r="L129" s="1081">
        <f>'A-50 FGRailInv'!V477</f>
        <v>0</v>
      </c>
      <c r="M129" s="1081">
        <f>'A-50 FGRailInv'!X477</f>
        <v>0</v>
      </c>
      <c r="N129" s="1081">
        <f>'A-50 FGRailInv'!Z477</f>
        <v>0</v>
      </c>
      <c r="O129" s="1081">
        <f>'A-50 FGRailInv'!AB477</f>
        <v>0</v>
      </c>
      <c r="P129" s="1081">
        <f>'A-50 FGRailInv'!AD477</f>
        <v>0</v>
      </c>
      <c r="Q129" s="1081">
        <f>'A-50 FGRailInv'!AF477</f>
        <v>0</v>
      </c>
      <c r="R129" s="1081">
        <f>'A-50 FGRailInv'!AH477</f>
        <v>0</v>
      </c>
      <c r="S129" s="1081">
        <f>'A-50 FGRailInv'!AJ477</f>
        <v>0</v>
      </c>
      <c r="T129" s="1081">
        <f>'A-50 FGRailInv'!AL477</f>
        <v>0</v>
      </c>
      <c r="U129" s="1292">
        <f>'A-50 FGRailInv'!AP477</f>
        <v>0</v>
      </c>
    </row>
    <row r="130" spans="2:21" x14ac:dyDescent="0.2">
      <c r="B130" s="1180">
        <f>'A-50 FGRailInv'!$C$458</f>
        <v>0</v>
      </c>
      <c r="C130" s="1291" t="str">
        <f>'A-50 FGRailInv'!C480</f>
        <v>Below-Grade/Cut-and-Cover Tunnel</v>
      </c>
      <c r="D130" s="1081">
        <f>'A-50 FGRailInv'!H480</f>
        <v>0</v>
      </c>
      <c r="E130" s="1081"/>
      <c r="F130" s="1081">
        <f>'A-50 FGRailInv'!J480</f>
        <v>0</v>
      </c>
      <c r="G130" s="1081">
        <f>'A-50 FGRailInv'!L480</f>
        <v>0</v>
      </c>
      <c r="H130" s="1081">
        <f>'A-50 FGRailInv'!N480</f>
        <v>0</v>
      </c>
      <c r="I130" s="1081">
        <f>'A-50 FGRailInv'!P480</f>
        <v>0</v>
      </c>
      <c r="J130" s="1081">
        <f>'A-50 FGRailInv'!R480</f>
        <v>0</v>
      </c>
      <c r="K130" s="1081">
        <f>'A-50 FGRailInv'!T480</f>
        <v>0</v>
      </c>
      <c r="L130" s="1081">
        <f>'A-50 FGRailInv'!V480</f>
        <v>0</v>
      </c>
      <c r="M130" s="1081">
        <f>'A-50 FGRailInv'!X480</f>
        <v>0</v>
      </c>
      <c r="N130" s="1081">
        <f>'A-50 FGRailInv'!Z480</f>
        <v>0</v>
      </c>
      <c r="O130" s="1081">
        <f>'A-50 FGRailInv'!AB480</f>
        <v>0</v>
      </c>
      <c r="P130" s="1081">
        <f>'A-50 FGRailInv'!AD480</f>
        <v>0</v>
      </c>
      <c r="Q130" s="1081">
        <f>'A-50 FGRailInv'!AF480</f>
        <v>0</v>
      </c>
      <c r="R130" s="1081">
        <f>'A-50 FGRailInv'!AH480</f>
        <v>0</v>
      </c>
      <c r="S130" s="1081">
        <f>'A-50 FGRailInv'!AJ480</f>
        <v>0</v>
      </c>
      <c r="T130" s="1081">
        <f>'A-50 FGRailInv'!AL480</f>
        <v>0</v>
      </c>
      <c r="U130" s="1292">
        <f>'A-50 FGRailInv'!AP480</f>
        <v>0</v>
      </c>
    </row>
    <row r="131" spans="2:21" x14ac:dyDescent="0.2">
      <c r="B131" s="1180">
        <f>'A-50 FGRailInv'!$C$458</f>
        <v>0</v>
      </c>
      <c r="C131" s="1291" t="str">
        <f>'A-50 FGRailInv'!C483</f>
        <v>Below-Grade/Bored or Blasted Tunnel</v>
      </c>
      <c r="D131" s="1081">
        <f>'A-50 FGRailInv'!H483</f>
        <v>0</v>
      </c>
      <c r="E131" s="1081"/>
      <c r="F131" s="1081">
        <f>'A-50 FGRailInv'!J483</f>
        <v>0</v>
      </c>
      <c r="G131" s="1081">
        <f>'A-50 FGRailInv'!L483</f>
        <v>0</v>
      </c>
      <c r="H131" s="1081">
        <f>'A-50 FGRailInv'!N483</f>
        <v>0</v>
      </c>
      <c r="I131" s="1081">
        <f>'A-50 FGRailInv'!P483</f>
        <v>0</v>
      </c>
      <c r="J131" s="1081">
        <f>'A-50 FGRailInv'!R483</f>
        <v>0</v>
      </c>
      <c r="K131" s="1081">
        <f>'A-50 FGRailInv'!T483</f>
        <v>0</v>
      </c>
      <c r="L131" s="1081">
        <f>'A-50 FGRailInv'!V483</f>
        <v>0</v>
      </c>
      <c r="M131" s="1081">
        <f>'A-50 FGRailInv'!X483</f>
        <v>0</v>
      </c>
      <c r="N131" s="1081">
        <f>'A-50 FGRailInv'!Z483</f>
        <v>0</v>
      </c>
      <c r="O131" s="1081">
        <f>'A-50 FGRailInv'!AB483</f>
        <v>0</v>
      </c>
      <c r="P131" s="1081">
        <f>'A-50 FGRailInv'!AD483</f>
        <v>0</v>
      </c>
      <c r="Q131" s="1081">
        <f>'A-50 FGRailInv'!AF483</f>
        <v>0</v>
      </c>
      <c r="R131" s="1081">
        <f>'A-50 FGRailInv'!AH483</f>
        <v>0</v>
      </c>
      <c r="S131" s="1081">
        <f>'A-50 FGRailInv'!AJ483</f>
        <v>0</v>
      </c>
      <c r="T131" s="1081">
        <f>'A-50 FGRailInv'!AL483</f>
        <v>0</v>
      </c>
      <c r="U131" s="1292">
        <f>'A-50 FGRailInv'!AP483</f>
        <v>0</v>
      </c>
    </row>
    <row r="132" spans="2:21" x14ac:dyDescent="0.2">
      <c r="B132" s="1180">
        <f>'A-50 FGRailInv'!$C$458</f>
        <v>0</v>
      </c>
      <c r="C132" s="1293" t="str">
        <f>'A-50 FGRailInv'!C486</f>
        <v>Below-Grade/Submerged Tube</v>
      </c>
      <c r="D132" s="1287">
        <f>'A-50 FGRailInv'!H486</f>
        <v>0</v>
      </c>
      <c r="E132" s="1287"/>
      <c r="F132" s="1287">
        <f>'A-50 FGRailInv'!J486</f>
        <v>0</v>
      </c>
      <c r="G132" s="1287">
        <f>'A-50 FGRailInv'!L486</f>
        <v>0</v>
      </c>
      <c r="H132" s="1287">
        <f>'A-50 FGRailInv'!N486</f>
        <v>0</v>
      </c>
      <c r="I132" s="1287">
        <f>'A-50 FGRailInv'!P486</f>
        <v>0</v>
      </c>
      <c r="J132" s="1287">
        <f>'A-50 FGRailInv'!R486</f>
        <v>0</v>
      </c>
      <c r="K132" s="1287">
        <f>'A-50 FGRailInv'!T486</f>
        <v>0</v>
      </c>
      <c r="L132" s="1287">
        <f>'A-50 FGRailInv'!V486</f>
        <v>0</v>
      </c>
      <c r="M132" s="1287">
        <f>'A-50 FGRailInv'!X486</f>
        <v>0</v>
      </c>
      <c r="N132" s="1287">
        <f>'A-50 FGRailInv'!Z486</f>
        <v>0</v>
      </c>
      <c r="O132" s="1287">
        <f>'A-50 FGRailInv'!AB486</f>
        <v>0</v>
      </c>
      <c r="P132" s="1287">
        <f>'A-50 FGRailInv'!AD486</f>
        <v>0</v>
      </c>
      <c r="Q132" s="1287">
        <f>'A-50 FGRailInv'!AF486</f>
        <v>0</v>
      </c>
      <c r="R132" s="1287">
        <f>'A-50 FGRailInv'!AH486</f>
        <v>0</v>
      </c>
      <c r="S132" s="1287">
        <f>'A-50 FGRailInv'!AJ486</f>
        <v>0</v>
      </c>
      <c r="T132" s="1287">
        <f>'A-50 FGRailInv'!AL486</f>
        <v>0</v>
      </c>
      <c r="U132" s="1294">
        <f>'A-50 FGRailInv'!AP486</f>
        <v>0</v>
      </c>
    </row>
    <row r="133" spans="2:21" x14ac:dyDescent="0.2">
      <c r="B133" s="1180">
        <f>'A-50 FGRailInv'!$C$458</f>
        <v>0</v>
      </c>
      <c r="C133" s="1295" t="str">
        <f>'A-50 FGRailInv'!C491</f>
        <v>Substation Building</v>
      </c>
      <c r="D133" s="1286">
        <f>'A-50 FGRailInv'!H491</f>
        <v>0</v>
      </c>
      <c r="E133" s="1286"/>
      <c r="F133" s="1286">
        <f>'A-50 FGRailInv'!J491</f>
        <v>0</v>
      </c>
      <c r="G133" s="1286">
        <f>'A-50 FGRailInv'!L491</f>
        <v>0</v>
      </c>
      <c r="H133" s="1286">
        <f>'A-50 FGRailInv'!N491</f>
        <v>0</v>
      </c>
      <c r="I133" s="1286">
        <f>'A-50 FGRailInv'!P491</f>
        <v>0</v>
      </c>
      <c r="J133" s="1286">
        <f>'A-50 FGRailInv'!R491</f>
        <v>0</v>
      </c>
      <c r="K133" s="1286">
        <f>'A-50 FGRailInv'!T491</f>
        <v>0</v>
      </c>
      <c r="L133" s="1286">
        <f>'A-50 FGRailInv'!V491</f>
        <v>0</v>
      </c>
      <c r="M133" s="1286">
        <f>'A-50 FGRailInv'!X491</f>
        <v>0</v>
      </c>
      <c r="N133" s="1286">
        <f>'A-50 FGRailInv'!Z491</f>
        <v>0</v>
      </c>
      <c r="O133" s="1286">
        <f>'A-50 FGRailInv'!AB491</f>
        <v>0</v>
      </c>
      <c r="P133" s="1286">
        <f>'A-50 FGRailInv'!AD491</f>
        <v>0</v>
      </c>
      <c r="Q133" s="1286">
        <f>'A-50 FGRailInv'!AF491</f>
        <v>0</v>
      </c>
      <c r="R133" s="1286">
        <f>'A-50 FGRailInv'!AH491</f>
        <v>0</v>
      </c>
      <c r="S133" s="1286">
        <f>'A-50 FGRailInv'!AJ491</f>
        <v>0</v>
      </c>
      <c r="T133" s="1286">
        <f>'A-50 FGRailInv'!AL491</f>
        <v>0</v>
      </c>
      <c r="U133" s="1296">
        <f>'A-50 FGRailInv'!AP491</f>
        <v>0</v>
      </c>
    </row>
    <row r="134" spans="2:21" x14ac:dyDescent="0.2">
      <c r="B134" s="1180">
        <f>'A-50 FGRailInv'!$C$458</f>
        <v>0</v>
      </c>
      <c r="C134" s="1291" t="str">
        <f>'A-50 FGRailInv'!C494</f>
        <v>Substation Equipment</v>
      </c>
      <c r="D134" s="1081">
        <f>'A-50 FGRailInv'!H494</f>
        <v>0</v>
      </c>
      <c r="E134" s="1081"/>
      <c r="F134" s="1081">
        <f>'A-50 FGRailInv'!J494</f>
        <v>0</v>
      </c>
      <c r="G134" s="1081">
        <f>'A-50 FGRailInv'!L494</f>
        <v>0</v>
      </c>
      <c r="H134" s="1081">
        <f>'A-50 FGRailInv'!N494</f>
        <v>0</v>
      </c>
      <c r="I134" s="1081">
        <f>'A-50 FGRailInv'!P494</f>
        <v>0</v>
      </c>
      <c r="J134" s="1081">
        <f>'A-50 FGRailInv'!R494</f>
        <v>0</v>
      </c>
      <c r="K134" s="1081">
        <f>'A-50 FGRailInv'!T494</f>
        <v>0</v>
      </c>
      <c r="L134" s="1081">
        <f>'A-50 FGRailInv'!V494</f>
        <v>0</v>
      </c>
      <c r="M134" s="1081">
        <f>'A-50 FGRailInv'!X494</f>
        <v>0</v>
      </c>
      <c r="N134" s="1081">
        <f>'A-50 FGRailInv'!Z494</f>
        <v>0</v>
      </c>
      <c r="O134" s="1081">
        <f>'A-50 FGRailInv'!AB494</f>
        <v>0</v>
      </c>
      <c r="P134" s="1081">
        <f>'A-50 FGRailInv'!AD494</f>
        <v>0</v>
      </c>
      <c r="Q134" s="1081">
        <f>'A-50 FGRailInv'!AF494</f>
        <v>0</v>
      </c>
      <c r="R134" s="1081">
        <f>'A-50 FGRailInv'!AH494</f>
        <v>0</v>
      </c>
      <c r="S134" s="1081">
        <f>'A-50 FGRailInv'!AJ494</f>
        <v>0</v>
      </c>
      <c r="T134" s="1081">
        <f>'A-50 FGRailInv'!AL494</f>
        <v>0</v>
      </c>
      <c r="U134" s="1292">
        <f>'A-50 FGRailInv'!AP494</f>
        <v>0</v>
      </c>
    </row>
    <row r="135" spans="2:21" x14ac:dyDescent="0.2">
      <c r="B135" s="1180">
        <f>'A-50 FGRailInv'!$C$458</f>
        <v>0</v>
      </c>
      <c r="C135" s="1291" t="str">
        <f>'A-50 FGRailInv'!C497</f>
        <v>Third Rail/Power Distribution</v>
      </c>
      <c r="D135" s="1081">
        <f>'A-50 FGRailInv'!H497</f>
        <v>0</v>
      </c>
      <c r="E135" s="1081"/>
      <c r="F135" s="1081">
        <f>'A-50 FGRailInv'!J497</f>
        <v>0</v>
      </c>
      <c r="G135" s="1081">
        <f>'A-50 FGRailInv'!L497</f>
        <v>0</v>
      </c>
      <c r="H135" s="1081">
        <f>'A-50 FGRailInv'!N497</f>
        <v>0</v>
      </c>
      <c r="I135" s="1081">
        <f>'A-50 FGRailInv'!P497</f>
        <v>0</v>
      </c>
      <c r="J135" s="1081">
        <f>'A-50 FGRailInv'!R497</f>
        <v>0</v>
      </c>
      <c r="K135" s="1081">
        <f>'A-50 FGRailInv'!T497</f>
        <v>0</v>
      </c>
      <c r="L135" s="1081">
        <f>'A-50 FGRailInv'!V497</f>
        <v>0</v>
      </c>
      <c r="M135" s="1081">
        <f>'A-50 FGRailInv'!X497</f>
        <v>0</v>
      </c>
      <c r="N135" s="1081">
        <f>'A-50 FGRailInv'!Z497</f>
        <v>0</v>
      </c>
      <c r="O135" s="1081">
        <f>'A-50 FGRailInv'!AB497</f>
        <v>0</v>
      </c>
      <c r="P135" s="1081">
        <f>'A-50 FGRailInv'!AD497</f>
        <v>0</v>
      </c>
      <c r="Q135" s="1081">
        <f>'A-50 FGRailInv'!AF497</f>
        <v>0</v>
      </c>
      <c r="R135" s="1081">
        <f>'A-50 FGRailInv'!AH497</f>
        <v>0</v>
      </c>
      <c r="S135" s="1081">
        <f>'A-50 FGRailInv'!AJ497</f>
        <v>0</v>
      </c>
      <c r="T135" s="1081">
        <f>'A-50 FGRailInv'!AL497</f>
        <v>0</v>
      </c>
      <c r="U135" s="1292">
        <f>'A-50 FGRailInv'!AP497</f>
        <v>0</v>
      </c>
    </row>
    <row r="136" spans="2:21" x14ac:dyDescent="0.2">
      <c r="B136" s="1180">
        <f>'A-50 FGRailInv'!$C$458</f>
        <v>0</v>
      </c>
      <c r="C136" s="1291" t="str">
        <f>'A-50 FGRailInv'!C500</f>
        <v>Overhead Contact System/Power Distribution</v>
      </c>
      <c r="D136" s="1081">
        <f>'A-50 FGRailInv'!H500</f>
        <v>0</v>
      </c>
      <c r="E136" s="1081"/>
      <c r="F136" s="1081">
        <f>'A-50 FGRailInv'!J500</f>
        <v>0</v>
      </c>
      <c r="G136" s="1081">
        <f>'A-50 FGRailInv'!L500</f>
        <v>0</v>
      </c>
      <c r="H136" s="1081">
        <f>'A-50 FGRailInv'!N500</f>
        <v>0</v>
      </c>
      <c r="I136" s="1081">
        <f>'A-50 FGRailInv'!P500</f>
        <v>0</v>
      </c>
      <c r="J136" s="1081">
        <f>'A-50 FGRailInv'!R500</f>
        <v>0</v>
      </c>
      <c r="K136" s="1081">
        <f>'A-50 FGRailInv'!T500</f>
        <v>0</v>
      </c>
      <c r="L136" s="1081">
        <f>'A-50 FGRailInv'!V500</f>
        <v>0</v>
      </c>
      <c r="M136" s="1081">
        <f>'A-50 FGRailInv'!X500</f>
        <v>0</v>
      </c>
      <c r="N136" s="1081">
        <f>'A-50 FGRailInv'!Z500</f>
        <v>0</v>
      </c>
      <c r="O136" s="1081">
        <f>'A-50 FGRailInv'!AB500</f>
        <v>0</v>
      </c>
      <c r="P136" s="1081">
        <f>'A-50 FGRailInv'!AD500</f>
        <v>0</v>
      </c>
      <c r="Q136" s="1081">
        <f>'A-50 FGRailInv'!AF500</f>
        <v>0</v>
      </c>
      <c r="R136" s="1081">
        <f>'A-50 FGRailInv'!AH500</f>
        <v>0</v>
      </c>
      <c r="S136" s="1081">
        <f>'A-50 FGRailInv'!AJ500</f>
        <v>0</v>
      </c>
      <c r="T136" s="1081">
        <f>'A-50 FGRailInv'!AL500</f>
        <v>0</v>
      </c>
      <c r="U136" s="1292">
        <f>'A-50 FGRailInv'!AP500</f>
        <v>0</v>
      </c>
    </row>
    <row r="137" spans="2:21" ht="13.5" thickBot="1" x14ac:dyDescent="0.25">
      <c r="B137" s="1180">
        <f>'A-50 FGRailInv'!$C$458</f>
        <v>0</v>
      </c>
      <c r="C137" s="1297" t="str">
        <f>'A-50 FGRailInv'!C503</f>
        <v>Train Control &amp; Signaling</v>
      </c>
      <c r="D137" s="1298">
        <f>'A-50 FGRailInv'!H503</f>
        <v>0</v>
      </c>
      <c r="E137" s="1298"/>
      <c r="F137" s="1298">
        <f>'A-50 FGRailInv'!J503</f>
        <v>0</v>
      </c>
      <c r="G137" s="1298">
        <f>'A-50 FGRailInv'!L503</f>
        <v>0</v>
      </c>
      <c r="H137" s="1298">
        <f>'A-50 FGRailInv'!N503</f>
        <v>0</v>
      </c>
      <c r="I137" s="1298">
        <f>'A-50 FGRailInv'!P503</f>
        <v>0</v>
      </c>
      <c r="J137" s="1298">
        <f>'A-50 FGRailInv'!R503</f>
        <v>0</v>
      </c>
      <c r="K137" s="1298">
        <f>'A-50 FGRailInv'!T503</f>
        <v>0</v>
      </c>
      <c r="L137" s="1298">
        <f>'A-50 FGRailInv'!V503</f>
        <v>0</v>
      </c>
      <c r="M137" s="1298">
        <f>'A-50 FGRailInv'!X503</f>
        <v>0</v>
      </c>
      <c r="N137" s="1298">
        <f>'A-50 FGRailInv'!Z503</f>
        <v>0</v>
      </c>
      <c r="O137" s="1298">
        <f>'A-50 FGRailInv'!AB503</f>
        <v>0</v>
      </c>
      <c r="P137" s="1298">
        <f>'A-50 FGRailInv'!AD503</f>
        <v>0</v>
      </c>
      <c r="Q137" s="1298">
        <f>'A-50 FGRailInv'!AF503</f>
        <v>0</v>
      </c>
      <c r="R137" s="1298">
        <f>'A-50 FGRailInv'!AH503</f>
        <v>0</v>
      </c>
      <c r="S137" s="1298">
        <f>'A-50 FGRailInv'!AJ503</f>
        <v>0</v>
      </c>
      <c r="T137" s="1298">
        <f>'A-50 FGRailInv'!AL503</f>
        <v>0</v>
      </c>
      <c r="U137" s="1299">
        <f>'A-50 FGRailInv'!AP503</f>
        <v>0</v>
      </c>
    </row>
    <row r="138" spans="2:21" x14ac:dyDescent="0.2">
      <c r="B138" s="1180">
        <f>'A-50 FGRailInv'!$C$514</f>
        <v>0</v>
      </c>
      <c r="C138" s="1288" t="str">
        <f>'A-50 FGRailInv'!C518</f>
        <v>At-Grade/Ballast (including expressway)</v>
      </c>
      <c r="D138" s="1289">
        <f>'A-50 FGRailInv'!H518</f>
        <v>0</v>
      </c>
      <c r="E138" s="1289"/>
      <c r="F138" s="1289">
        <f>'A-50 FGRailInv'!J518</f>
        <v>0</v>
      </c>
      <c r="G138" s="1289">
        <f>'A-50 FGRailInv'!L518</f>
        <v>0</v>
      </c>
      <c r="H138" s="1289">
        <f>'A-50 FGRailInv'!N518</f>
        <v>0</v>
      </c>
      <c r="I138" s="1289">
        <f>'A-50 FGRailInv'!P518</f>
        <v>0</v>
      </c>
      <c r="J138" s="1289">
        <f>'A-50 FGRailInv'!R518</f>
        <v>0</v>
      </c>
      <c r="K138" s="1289">
        <f>'A-50 FGRailInv'!T518</f>
        <v>0</v>
      </c>
      <c r="L138" s="1289">
        <f>'A-50 FGRailInv'!V518</f>
        <v>0</v>
      </c>
      <c r="M138" s="1289">
        <f>'A-50 FGRailInv'!X518</f>
        <v>0</v>
      </c>
      <c r="N138" s="1289">
        <f>'A-50 FGRailInv'!Z518</f>
        <v>0</v>
      </c>
      <c r="O138" s="1289">
        <f>'A-50 FGRailInv'!AB518</f>
        <v>0</v>
      </c>
      <c r="P138" s="1289">
        <f>'A-50 FGRailInv'!AD518</f>
        <v>0</v>
      </c>
      <c r="Q138" s="1289">
        <f>'A-50 FGRailInv'!AF518</f>
        <v>0</v>
      </c>
      <c r="R138" s="1289">
        <f>'A-50 FGRailInv'!AH518</f>
        <v>0</v>
      </c>
      <c r="S138" s="1289">
        <f>'A-50 FGRailInv'!AJ518</f>
        <v>0</v>
      </c>
      <c r="T138" s="1289">
        <f>'A-50 FGRailInv'!AL518</f>
        <v>0</v>
      </c>
      <c r="U138" s="1290">
        <f>'A-50 FGRailInv'!AP518</f>
        <v>0</v>
      </c>
    </row>
    <row r="139" spans="2:21" x14ac:dyDescent="0.2">
      <c r="B139" s="1180">
        <f>'A-50 FGRailInv'!$C$514</f>
        <v>0</v>
      </c>
      <c r="C139" s="1291" t="str">
        <f>'A-50 FGRailInv'!C521</f>
        <v>At-Grade/In-Street/Embedded</v>
      </c>
      <c r="D139" s="1081">
        <f>'A-50 FGRailInv'!H521</f>
        <v>0</v>
      </c>
      <c r="E139" s="1081"/>
      <c r="F139" s="1081">
        <f>'A-50 FGRailInv'!J521</f>
        <v>0</v>
      </c>
      <c r="G139" s="1081">
        <f>'A-50 FGRailInv'!L521</f>
        <v>0</v>
      </c>
      <c r="H139" s="1081">
        <f>'A-50 FGRailInv'!N521</f>
        <v>0</v>
      </c>
      <c r="I139" s="1081">
        <f>'A-50 FGRailInv'!P521</f>
        <v>0</v>
      </c>
      <c r="J139" s="1081">
        <f>'A-50 FGRailInv'!R521</f>
        <v>0</v>
      </c>
      <c r="K139" s="1081">
        <f>'A-50 FGRailInv'!T521</f>
        <v>0</v>
      </c>
      <c r="L139" s="1081">
        <f>'A-50 FGRailInv'!V521</f>
        <v>0</v>
      </c>
      <c r="M139" s="1081">
        <f>'A-50 FGRailInv'!X521</f>
        <v>0</v>
      </c>
      <c r="N139" s="1081">
        <f>'A-50 FGRailInv'!Z521</f>
        <v>0</v>
      </c>
      <c r="O139" s="1081">
        <f>'A-50 FGRailInv'!AB521</f>
        <v>0</v>
      </c>
      <c r="P139" s="1081">
        <f>'A-50 FGRailInv'!AD521</f>
        <v>0</v>
      </c>
      <c r="Q139" s="1081">
        <f>'A-50 FGRailInv'!AF521</f>
        <v>0</v>
      </c>
      <c r="R139" s="1081">
        <f>'A-50 FGRailInv'!AH521</f>
        <v>0</v>
      </c>
      <c r="S139" s="1081">
        <f>'A-50 FGRailInv'!AJ521</f>
        <v>0</v>
      </c>
      <c r="T139" s="1081">
        <f>'A-50 FGRailInv'!AL521</f>
        <v>0</v>
      </c>
      <c r="U139" s="1292">
        <f>'A-50 FGRailInv'!AP521</f>
        <v>0</v>
      </c>
    </row>
    <row r="140" spans="2:21" x14ac:dyDescent="0.2">
      <c r="B140" s="1180">
        <f>'A-50 FGRailInv'!$C$514</f>
        <v>0</v>
      </c>
      <c r="C140" s="1291" t="str">
        <f>'A-50 FGRailInv'!C524</f>
        <v>Elevated/Retained Fill</v>
      </c>
      <c r="D140" s="1081">
        <f>'A-50 FGRailInv'!H524</f>
        <v>0</v>
      </c>
      <c r="E140" s="1081"/>
      <c r="F140" s="1081">
        <f>'A-50 FGRailInv'!J524</f>
        <v>0</v>
      </c>
      <c r="G140" s="1081">
        <f>'A-50 FGRailInv'!L524</f>
        <v>0</v>
      </c>
      <c r="H140" s="1081">
        <f>'A-50 FGRailInv'!N524</f>
        <v>0</v>
      </c>
      <c r="I140" s="1081">
        <f>'A-50 FGRailInv'!P524</f>
        <v>0</v>
      </c>
      <c r="J140" s="1081">
        <f>'A-50 FGRailInv'!R524</f>
        <v>0</v>
      </c>
      <c r="K140" s="1081">
        <f>'A-50 FGRailInv'!T524</f>
        <v>0</v>
      </c>
      <c r="L140" s="1081">
        <f>'A-50 FGRailInv'!V524</f>
        <v>0</v>
      </c>
      <c r="M140" s="1081">
        <f>'A-50 FGRailInv'!X524</f>
        <v>0</v>
      </c>
      <c r="N140" s="1081">
        <f>'A-50 FGRailInv'!Z524</f>
        <v>0</v>
      </c>
      <c r="O140" s="1081">
        <f>'A-50 FGRailInv'!AB524</f>
        <v>0</v>
      </c>
      <c r="P140" s="1081">
        <f>'A-50 FGRailInv'!AD524</f>
        <v>0</v>
      </c>
      <c r="Q140" s="1081">
        <f>'A-50 FGRailInv'!AF524</f>
        <v>0</v>
      </c>
      <c r="R140" s="1081">
        <f>'A-50 FGRailInv'!AH524</f>
        <v>0</v>
      </c>
      <c r="S140" s="1081">
        <f>'A-50 FGRailInv'!AJ524</f>
        <v>0</v>
      </c>
      <c r="T140" s="1081">
        <f>'A-50 FGRailInv'!AL524</f>
        <v>0</v>
      </c>
      <c r="U140" s="1292">
        <f>'A-50 FGRailInv'!AP524</f>
        <v>0</v>
      </c>
    </row>
    <row r="141" spans="2:21" x14ac:dyDescent="0.2">
      <c r="B141" s="1180">
        <f>'A-50 FGRailInv'!$C$514</f>
        <v>0</v>
      </c>
      <c r="C141" s="1291" t="str">
        <f>'A-50 FGRailInv'!C527</f>
        <v>Elevated/Concrete</v>
      </c>
      <c r="D141" s="1081">
        <f>'A-50 FGRailInv'!H527</f>
        <v>0</v>
      </c>
      <c r="E141" s="1081"/>
      <c r="F141" s="1081">
        <f>'A-50 FGRailInv'!J527</f>
        <v>0</v>
      </c>
      <c r="G141" s="1081">
        <f>'A-50 FGRailInv'!L527</f>
        <v>0</v>
      </c>
      <c r="H141" s="1081">
        <f>'A-50 FGRailInv'!N527</f>
        <v>0</v>
      </c>
      <c r="I141" s="1081">
        <f>'A-50 FGRailInv'!P527</f>
        <v>0</v>
      </c>
      <c r="J141" s="1081">
        <f>'A-50 FGRailInv'!R527</f>
        <v>0</v>
      </c>
      <c r="K141" s="1081">
        <f>'A-50 FGRailInv'!T527</f>
        <v>0</v>
      </c>
      <c r="L141" s="1081">
        <f>'A-50 FGRailInv'!V527</f>
        <v>0</v>
      </c>
      <c r="M141" s="1081">
        <f>'A-50 FGRailInv'!X527</f>
        <v>0</v>
      </c>
      <c r="N141" s="1081">
        <f>'A-50 FGRailInv'!Z527</f>
        <v>0</v>
      </c>
      <c r="O141" s="1081">
        <f>'A-50 FGRailInv'!AB527</f>
        <v>0</v>
      </c>
      <c r="P141" s="1081">
        <f>'A-50 FGRailInv'!AD527</f>
        <v>0</v>
      </c>
      <c r="Q141" s="1081">
        <f>'A-50 FGRailInv'!AF527</f>
        <v>0</v>
      </c>
      <c r="R141" s="1081">
        <f>'A-50 FGRailInv'!AH527</f>
        <v>0</v>
      </c>
      <c r="S141" s="1081">
        <f>'A-50 FGRailInv'!AJ527</f>
        <v>0</v>
      </c>
      <c r="T141" s="1081">
        <f>'A-50 FGRailInv'!AL527</f>
        <v>0</v>
      </c>
      <c r="U141" s="1292">
        <f>'A-50 FGRailInv'!AP527</f>
        <v>0</v>
      </c>
    </row>
    <row r="142" spans="2:21" x14ac:dyDescent="0.2">
      <c r="B142" s="1180">
        <f>'A-50 FGRailInv'!$C$514</f>
        <v>0</v>
      </c>
      <c r="C142" s="1291" t="str">
        <f>'A-50 FGRailInv'!C530</f>
        <v>Elevated/Steel Viaduct or Bridge</v>
      </c>
      <c r="D142" s="1081">
        <f>'A-50 FGRailInv'!H530</f>
        <v>0</v>
      </c>
      <c r="E142" s="1081"/>
      <c r="F142" s="1081">
        <f>'A-50 FGRailInv'!J530</f>
        <v>0</v>
      </c>
      <c r="G142" s="1081">
        <f>'A-50 FGRailInv'!L530</f>
        <v>0</v>
      </c>
      <c r="H142" s="1081">
        <f>'A-50 FGRailInv'!N530</f>
        <v>0</v>
      </c>
      <c r="I142" s="1081">
        <f>'A-50 FGRailInv'!P530</f>
        <v>0</v>
      </c>
      <c r="J142" s="1081">
        <f>'A-50 FGRailInv'!R530</f>
        <v>0</v>
      </c>
      <c r="K142" s="1081">
        <f>'A-50 FGRailInv'!T530</f>
        <v>0</v>
      </c>
      <c r="L142" s="1081">
        <f>'A-50 FGRailInv'!V530</f>
        <v>0</v>
      </c>
      <c r="M142" s="1081">
        <f>'A-50 FGRailInv'!X530</f>
        <v>0</v>
      </c>
      <c r="N142" s="1081">
        <f>'A-50 FGRailInv'!Z530</f>
        <v>0</v>
      </c>
      <c r="O142" s="1081">
        <f>'A-50 FGRailInv'!AB530</f>
        <v>0</v>
      </c>
      <c r="P142" s="1081">
        <f>'A-50 FGRailInv'!AD530</f>
        <v>0</v>
      </c>
      <c r="Q142" s="1081">
        <f>'A-50 FGRailInv'!AF530</f>
        <v>0</v>
      </c>
      <c r="R142" s="1081">
        <f>'A-50 FGRailInv'!AH530</f>
        <v>0</v>
      </c>
      <c r="S142" s="1081">
        <f>'A-50 FGRailInv'!AJ530</f>
        <v>0</v>
      </c>
      <c r="T142" s="1081">
        <f>'A-50 FGRailInv'!AL530</f>
        <v>0</v>
      </c>
      <c r="U142" s="1292">
        <f>'A-50 FGRailInv'!AP530</f>
        <v>0</v>
      </c>
    </row>
    <row r="143" spans="2:21" x14ac:dyDescent="0.2">
      <c r="B143" s="1180">
        <f>'A-50 FGRailInv'!$C$514</f>
        <v>0</v>
      </c>
      <c r="C143" s="1291" t="str">
        <f>'A-50 FGRailInv'!C533</f>
        <v>Below-Grade/Retained Cut</v>
      </c>
      <c r="D143" s="1081">
        <f>'A-50 FGRailInv'!H533</f>
        <v>0</v>
      </c>
      <c r="E143" s="1081"/>
      <c r="F143" s="1081">
        <f>'A-50 FGRailInv'!J533</f>
        <v>0</v>
      </c>
      <c r="G143" s="1081">
        <f>'A-50 FGRailInv'!L533</f>
        <v>0</v>
      </c>
      <c r="H143" s="1081">
        <f>'A-50 FGRailInv'!N533</f>
        <v>0</v>
      </c>
      <c r="I143" s="1081">
        <f>'A-50 FGRailInv'!P533</f>
        <v>0</v>
      </c>
      <c r="J143" s="1081">
        <f>'A-50 FGRailInv'!R533</f>
        <v>0</v>
      </c>
      <c r="K143" s="1081">
        <f>'A-50 FGRailInv'!T533</f>
        <v>0</v>
      </c>
      <c r="L143" s="1081">
        <f>'A-50 FGRailInv'!V533</f>
        <v>0</v>
      </c>
      <c r="M143" s="1081">
        <f>'A-50 FGRailInv'!X533</f>
        <v>0</v>
      </c>
      <c r="N143" s="1081">
        <f>'A-50 FGRailInv'!Z533</f>
        <v>0</v>
      </c>
      <c r="O143" s="1081">
        <f>'A-50 FGRailInv'!AB533</f>
        <v>0</v>
      </c>
      <c r="P143" s="1081">
        <f>'A-50 FGRailInv'!AD533</f>
        <v>0</v>
      </c>
      <c r="Q143" s="1081">
        <f>'A-50 FGRailInv'!AF533</f>
        <v>0</v>
      </c>
      <c r="R143" s="1081">
        <f>'A-50 FGRailInv'!AH533</f>
        <v>0</v>
      </c>
      <c r="S143" s="1081">
        <f>'A-50 FGRailInv'!AJ533</f>
        <v>0</v>
      </c>
      <c r="T143" s="1081">
        <f>'A-50 FGRailInv'!AL533</f>
        <v>0</v>
      </c>
      <c r="U143" s="1292">
        <f>'A-50 FGRailInv'!AP533</f>
        <v>0</v>
      </c>
    </row>
    <row r="144" spans="2:21" x14ac:dyDescent="0.2">
      <c r="B144" s="1180">
        <f>'A-50 FGRailInv'!$C$514</f>
        <v>0</v>
      </c>
      <c r="C144" s="1291" t="str">
        <f>'A-50 FGRailInv'!C536</f>
        <v>Below-Grade/Cut-and-Cover Tunnel</v>
      </c>
      <c r="D144" s="1081">
        <f>'A-50 FGRailInv'!H536</f>
        <v>0</v>
      </c>
      <c r="E144" s="1081"/>
      <c r="F144" s="1081">
        <f>'A-50 FGRailInv'!J536</f>
        <v>0</v>
      </c>
      <c r="G144" s="1081">
        <f>'A-50 FGRailInv'!L536</f>
        <v>0</v>
      </c>
      <c r="H144" s="1081">
        <f>'A-50 FGRailInv'!N536</f>
        <v>0</v>
      </c>
      <c r="I144" s="1081">
        <f>'A-50 FGRailInv'!P536</f>
        <v>0</v>
      </c>
      <c r="J144" s="1081">
        <f>'A-50 FGRailInv'!R536</f>
        <v>0</v>
      </c>
      <c r="K144" s="1081">
        <f>'A-50 FGRailInv'!T536</f>
        <v>0</v>
      </c>
      <c r="L144" s="1081">
        <f>'A-50 FGRailInv'!V536</f>
        <v>0</v>
      </c>
      <c r="M144" s="1081">
        <f>'A-50 FGRailInv'!X536</f>
        <v>0</v>
      </c>
      <c r="N144" s="1081">
        <f>'A-50 FGRailInv'!Z536</f>
        <v>0</v>
      </c>
      <c r="O144" s="1081">
        <f>'A-50 FGRailInv'!AB536</f>
        <v>0</v>
      </c>
      <c r="P144" s="1081">
        <f>'A-50 FGRailInv'!AD536</f>
        <v>0</v>
      </c>
      <c r="Q144" s="1081">
        <f>'A-50 FGRailInv'!AF536</f>
        <v>0</v>
      </c>
      <c r="R144" s="1081">
        <f>'A-50 FGRailInv'!AH536</f>
        <v>0</v>
      </c>
      <c r="S144" s="1081">
        <f>'A-50 FGRailInv'!AJ536</f>
        <v>0</v>
      </c>
      <c r="T144" s="1081">
        <f>'A-50 FGRailInv'!AL536</f>
        <v>0</v>
      </c>
      <c r="U144" s="1292">
        <f>'A-50 FGRailInv'!AP536</f>
        <v>0</v>
      </c>
    </row>
    <row r="145" spans="2:21" x14ac:dyDescent="0.2">
      <c r="B145" s="1180">
        <f>'A-50 FGRailInv'!$C$514</f>
        <v>0</v>
      </c>
      <c r="C145" s="1291" t="str">
        <f>'A-50 FGRailInv'!C539</f>
        <v>Below-Grade/Bored or Blasted Tunnel</v>
      </c>
      <c r="D145" s="1081">
        <f>'A-50 FGRailInv'!H539</f>
        <v>0</v>
      </c>
      <c r="E145" s="1081"/>
      <c r="F145" s="1081">
        <f>'A-50 FGRailInv'!J539</f>
        <v>0</v>
      </c>
      <c r="G145" s="1081">
        <f>'A-50 FGRailInv'!L539</f>
        <v>0</v>
      </c>
      <c r="H145" s="1081">
        <f>'A-50 FGRailInv'!N539</f>
        <v>0</v>
      </c>
      <c r="I145" s="1081">
        <f>'A-50 FGRailInv'!P539</f>
        <v>0</v>
      </c>
      <c r="J145" s="1081">
        <f>'A-50 FGRailInv'!R539</f>
        <v>0</v>
      </c>
      <c r="K145" s="1081">
        <f>'A-50 FGRailInv'!T539</f>
        <v>0</v>
      </c>
      <c r="L145" s="1081">
        <f>'A-50 FGRailInv'!V539</f>
        <v>0</v>
      </c>
      <c r="M145" s="1081">
        <f>'A-50 FGRailInv'!X539</f>
        <v>0</v>
      </c>
      <c r="N145" s="1081">
        <f>'A-50 FGRailInv'!Z539</f>
        <v>0</v>
      </c>
      <c r="O145" s="1081">
        <f>'A-50 FGRailInv'!AB539</f>
        <v>0</v>
      </c>
      <c r="P145" s="1081">
        <f>'A-50 FGRailInv'!AD539</f>
        <v>0</v>
      </c>
      <c r="Q145" s="1081">
        <f>'A-50 FGRailInv'!AF539</f>
        <v>0</v>
      </c>
      <c r="R145" s="1081">
        <f>'A-50 FGRailInv'!AH539</f>
        <v>0</v>
      </c>
      <c r="S145" s="1081">
        <f>'A-50 FGRailInv'!AJ539</f>
        <v>0</v>
      </c>
      <c r="T145" s="1081">
        <f>'A-50 FGRailInv'!AL539</f>
        <v>0</v>
      </c>
      <c r="U145" s="1292">
        <f>'A-50 FGRailInv'!AP539</f>
        <v>0</v>
      </c>
    </row>
    <row r="146" spans="2:21" x14ac:dyDescent="0.2">
      <c r="B146" s="1180">
        <f>'A-50 FGRailInv'!$C$514</f>
        <v>0</v>
      </c>
      <c r="C146" s="1293" t="str">
        <f>'A-50 FGRailInv'!C542</f>
        <v>Below-Grade/Submerged Tube</v>
      </c>
      <c r="D146" s="1287">
        <f>'A-50 FGRailInv'!H542</f>
        <v>0</v>
      </c>
      <c r="E146" s="1287"/>
      <c r="F146" s="1287">
        <f>'A-50 FGRailInv'!J542</f>
        <v>0</v>
      </c>
      <c r="G146" s="1287">
        <f>'A-50 FGRailInv'!L542</f>
        <v>0</v>
      </c>
      <c r="H146" s="1287">
        <f>'A-50 FGRailInv'!N542</f>
        <v>0</v>
      </c>
      <c r="I146" s="1287">
        <f>'A-50 FGRailInv'!P542</f>
        <v>0</v>
      </c>
      <c r="J146" s="1287">
        <f>'A-50 FGRailInv'!R542</f>
        <v>0</v>
      </c>
      <c r="K146" s="1287">
        <f>'A-50 FGRailInv'!T542</f>
        <v>0</v>
      </c>
      <c r="L146" s="1287">
        <f>'A-50 FGRailInv'!V542</f>
        <v>0</v>
      </c>
      <c r="M146" s="1287">
        <f>'A-50 FGRailInv'!X542</f>
        <v>0</v>
      </c>
      <c r="N146" s="1287">
        <f>'A-50 FGRailInv'!Z542</f>
        <v>0</v>
      </c>
      <c r="O146" s="1287">
        <f>'A-50 FGRailInv'!AB542</f>
        <v>0</v>
      </c>
      <c r="P146" s="1287">
        <f>'A-50 FGRailInv'!AD542</f>
        <v>0</v>
      </c>
      <c r="Q146" s="1287">
        <f>'A-50 FGRailInv'!AF542</f>
        <v>0</v>
      </c>
      <c r="R146" s="1287">
        <f>'A-50 FGRailInv'!AH542</f>
        <v>0</v>
      </c>
      <c r="S146" s="1287">
        <f>'A-50 FGRailInv'!AJ542</f>
        <v>0</v>
      </c>
      <c r="T146" s="1287">
        <f>'A-50 FGRailInv'!AL542</f>
        <v>0</v>
      </c>
      <c r="U146" s="1294">
        <f>'A-50 FGRailInv'!AP542</f>
        <v>0</v>
      </c>
    </row>
    <row r="147" spans="2:21" x14ac:dyDescent="0.2">
      <c r="B147" s="1180">
        <f>'A-50 FGRailInv'!$C$514</f>
        <v>0</v>
      </c>
      <c r="C147" s="1295" t="str">
        <f>'A-50 FGRailInv'!C547</f>
        <v>Substation Building</v>
      </c>
      <c r="D147" s="1286">
        <f>'A-50 FGRailInv'!H547</f>
        <v>0</v>
      </c>
      <c r="E147" s="1286"/>
      <c r="F147" s="1286">
        <f>'A-50 FGRailInv'!J547</f>
        <v>0</v>
      </c>
      <c r="G147" s="1286">
        <f>'A-50 FGRailInv'!L547</f>
        <v>0</v>
      </c>
      <c r="H147" s="1286">
        <f>'A-50 FGRailInv'!N547</f>
        <v>0</v>
      </c>
      <c r="I147" s="1286">
        <f>'A-50 FGRailInv'!P547</f>
        <v>0</v>
      </c>
      <c r="J147" s="1286">
        <f>'A-50 FGRailInv'!R547</f>
        <v>0</v>
      </c>
      <c r="K147" s="1286">
        <f>'A-50 FGRailInv'!T547</f>
        <v>0</v>
      </c>
      <c r="L147" s="1286">
        <f>'A-50 FGRailInv'!V547</f>
        <v>0</v>
      </c>
      <c r="M147" s="1286">
        <f>'A-50 FGRailInv'!X547</f>
        <v>0</v>
      </c>
      <c r="N147" s="1286">
        <f>'A-50 FGRailInv'!Z547</f>
        <v>0</v>
      </c>
      <c r="O147" s="1286">
        <f>'A-50 FGRailInv'!AB547</f>
        <v>0</v>
      </c>
      <c r="P147" s="1286">
        <f>'A-50 FGRailInv'!AD547</f>
        <v>0</v>
      </c>
      <c r="Q147" s="1286">
        <f>'A-50 FGRailInv'!AF547</f>
        <v>0</v>
      </c>
      <c r="R147" s="1286">
        <f>'A-50 FGRailInv'!AH547</f>
        <v>0</v>
      </c>
      <c r="S147" s="1286">
        <f>'A-50 FGRailInv'!AJ547</f>
        <v>0</v>
      </c>
      <c r="T147" s="1286">
        <f>'A-50 FGRailInv'!AL547</f>
        <v>0</v>
      </c>
      <c r="U147" s="1296">
        <f>'A-50 FGRailInv'!AP547</f>
        <v>0</v>
      </c>
    </row>
    <row r="148" spans="2:21" x14ac:dyDescent="0.2">
      <c r="B148" s="1180">
        <f>'A-50 FGRailInv'!$C$514</f>
        <v>0</v>
      </c>
      <c r="C148" s="1291" t="str">
        <f>'A-50 FGRailInv'!C550</f>
        <v>Substation Equipment</v>
      </c>
      <c r="D148" s="1081">
        <f>'A-50 FGRailInv'!H550</f>
        <v>0</v>
      </c>
      <c r="E148" s="1081"/>
      <c r="F148" s="1081">
        <f>'A-50 FGRailInv'!J550</f>
        <v>0</v>
      </c>
      <c r="G148" s="1081">
        <f>'A-50 FGRailInv'!L550</f>
        <v>0</v>
      </c>
      <c r="H148" s="1081">
        <f>'A-50 FGRailInv'!N550</f>
        <v>0</v>
      </c>
      <c r="I148" s="1081">
        <f>'A-50 FGRailInv'!P550</f>
        <v>0</v>
      </c>
      <c r="J148" s="1081">
        <f>'A-50 FGRailInv'!R550</f>
        <v>0</v>
      </c>
      <c r="K148" s="1081">
        <f>'A-50 FGRailInv'!T550</f>
        <v>0</v>
      </c>
      <c r="L148" s="1081">
        <f>'A-50 FGRailInv'!V550</f>
        <v>0</v>
      </c>
      <c r="M148" s="1081">
        <f>'A-50 FGRailInv'!X550</f>
        <v>0</v>
      </c>
      <c r="N148" s="1081">
        <f>'A-50 FGRailInv'!Z550</f>
        <v>0</v>
      </c>
      <c r="O148" s="1081">
        <f>'A-50 FGRailInv'!AB550</f>
        <v>0</v>
      </c>
      <c r="P148" s="1081">
        <f>'A-50 FGRailInv'!AD550</f>
        <v>0</v>
      </c>
      <c r="Q148" s="1081">
        <f>'A-50 FGRailInv'!AF550</f>
        <v>0</v>
      </c>
      <c r="R148" s="1081">
        <f>'A-50 FGRailInv'!AH550</f>
        <v>0</v>
      </c>
      <c r="S148" s="1081">
        <f>'A-50 FGRailInv'!AJ550</f>
        <v>0</v>
      </c>
      <c r="T148" s="1081">
        <f>'A-50 FGRailInv'!AL550</f>
        <v>0</v>
      </c>
      <c r="U148" s="1292">
        <f>'A-50 FGRailInv'!AP550</f>
        <v>0</v>
      </c>
    </row>
    <row r="149" spans="2:21" x14ac:dyDescent="0.2">
      <c r="B149" s="1180">
        <f>'A-50 FGRailInv'!$C$514</f>
        <v>0</v>
      </c>
      <c r="C149" s="1291" t="str">
        <f>'A-50 FGRailInv'!C553</f>
        <v>Third Rail/Power Distribution</v>
      </c>
      <c r="D149" s="1081">
        <f>'A-50 FGRailInv'!H553</f>
        <v>0</v>
      </c>
      <c r="E149" s="1081"/>
      <c r="F149" s="1081">
        <f>'A-50 FGRailInv'!J553</f>
        <v>0</v>
      </c>
      <c r="G149" s="1081">
        <f>'A-50 FGRailInv'!L553</f>
        <v>0</v>
      </c>
      <c r="H149" s="1081">
        <f>'A-50 FGRailInv'!N553</f>
        <v>0</v>
      </c>
      <c r="I149" s="1081">
        <f>'A-50 FGRailInv'!P553</f>
        <v>0</v>
      </c>
      <c r="J149" s="1081">
        <f>'A-50 FGRailInv'!R553</f>
        <v>0</v>
      </c>
      <c r="K149" s="1081">
        <f>'A-50 FGRailInv'!T553</f>
        <v>0</v>
      </c>
      <c r="L149" s="1081">
        <f>'A-50 FGRailInv'!V553</f>
        <v>0</v>
      </c>
      <c r="M149" s="1081">
        <f>'A-50 FGRailInv'!X553</f>
        <v>0</v>
      </c>
      <c r="N149" s="1081">
        <f>'A-50 FGRailInv'!Z553</f>
        <v>0</v>
      </c>
      <c r="O149" s="1081">
        <f>'A-50 FGRailInv'!AB553</f>
        <v>0</v>
      </c>
      <c r="P149" s="1081">
        <f>'A-50 FGRailInv'!AD553</f>
        <v>0</v>
      </c>
      <c r="Q149" s="1081">
        <f>'A-50 FGRailInv'!AF553</f>
        <v>0</v>
      </c>
      <c r="R149" s="1081">
        <f>'A-50 FGRailInv'!AH553</f>
        <v>0</v>
      </c>
      <c r="S149" s="1081">
        <f>'A-50 FGRailInv'!AJ553</f>
        <v>0</v>
      </c>
      <c r="T149" s="1081">
        <f>'A-50 FGRailInv'!AL553</f>
        <v>0</v>
      </c>
      <c r="U149" s="1292">
        <f>'A-50 FGRailInv'!AP553</f>
        <v>0</v>
      </c>
    </row>
    <row r="150" spans="2:21" x14ac:dyDescent="0.2">
      <c r="B150" s="1180">
        <f>'A-50 FGRailInv'!$C$514</f>
        <v>0</v>
      </c>
      <c r="C150" s="1291" t="str">
        <f>'A-50 FGRailInv'!C556</f>
        <v>Overhead Contact System/Power Distribution</v>
      </c>
      <c r="D150" s="1081">
        <f>'A-50 FGRailInv'!H556</f>
        <v>0</v>
      </c>
      <c r="E150" s="1081"/>
      <c r="F150" s="1081">
        <f>'A-50 FGRailInv'!J556</f>
        <v>0</v>
      </c>
      <c r="G150" s="1081">
        <f>'A-50 FGRailInv'!L556</f>
        <v>0</v>
      </c>
      <c r="H150" s="1081">
        <f>'A-50 FGRailInv'!N556</f>
        <v>0</v>
      </c>
      <c r="I150" s="1081">
        <f>'A-50 FGRailInv'!P556</f>
        <v>0</v>
      </c>
      <c r="J150" s="1081">
        <f>'A-50 FGRailInv'!R556</f>
        <v>0</v>
      </c>
      <c r="K150" s="1081">
        <f>'A-50 FGRailInv'!T556</f>
        <v>0</v>
      </c>
      <c r="L150" s="1081">
        <f>'A-50 FGRailInv'!V556</f>
        <v>0</v>
      </c>
      <c r="M150" s="1081">
        <f>'A-50 FGRailInv'!X556</f>
        <v>0</v>
      </c>
      <c r="N150" s="1081">
        <f>'A-50 FGRailInv'!Z556</f>
        <v>0</v>
      </c>
      <c r="O150" s="1081">
        <f>'A-50 FGRailInv'!AB556</f>
        <v>0</v>
      </c>
      <c r="P150" s="1081">
        <f>'A-50 FGRailInv'!AD556</f>
        <v>0</v>
      </c>
      <c r="Q150" s="1081">
        <f>'A-50 FGRailInv'!AF556</f>
        <v>0</v>
      </c>
      <c r="R150" s="1081">
        <f>'A-50 FGRailInv'!AH556</f>
        <v>0</v>
      </c>
      <c r="S150" s="1081">
        <f>'A-50 FGRailInv'!AJ556</f>
        <v>0</v>
      </c>
      <c r="T150" s="1081">
        <f>'A-50 FGRailInv'!AL556</f>
        <v>0</v>
      </c>
      <c r="U150" s="1292">
        <f>'A-50 FGRailInv'!AP556</f>
        <v>0</v>
      </c>
    </row>
    <row r="151" spans="2:21" ht="13.5" thickBot="1" x14ac:dyDescent="0.25">
      <c r="B151" s="1180">
        <f>'A-50 FGRailInv'!$C$514</f>
        <v>0</v>
      </c>
      <c r="C151" s="1297" t="str">
        <f>'A-50 FGRailInv'!C559</f>
        <v>Train Control &amp; Signaling</v>
      </c>
      <c r="D151" s="1298">
        <f>'A-50 FGRailInv'!H559</f>
        <v>0</v>
      </c>
      <c r="E151" s="1298"/>
      <c r="F151" s="1298">
        <f>'A-50 FGRailInv'!J559</f>
        <v>0</v>
      </c>
      <c r="G151" s="1298">
        <f>'A-50 FGRailInv'!L559</f>
        <v>0</v>
      </c>
      <c r="H151" s="1298">
        <f>'A-50 FGRailInv'!N559</f>
        <v>0</v>
      </c>
      <c r="I151" s="1298">
        <f>'A-50 FGRailInv'!P559</f>
        <v>0</v>
      </c>
      <c r="J151" s="1298">
        <f>'A-50 FGRailInv'!R559</f>
        <v>0</v>
      </c>
      <c r="K151" s="1298">
        <f>'A-50 FGRailInv'!T559</f>
        <v>0</v>
      </c>
      <c r="L151" s="1298">
        <f>'A-50 FGRailInv'!V559</f>
        <v>0</v>
      </c>
      <c r="M151" s="1298">
        <f>'A-50 FGRailInv'!X559</f>
        <v>0</v>
      </c>
      <c r="N151" s="1298">
        <f>'A-50 FGRailInv'!Z559</f>
        <v>0</v>
      </c>
      <c r="O151" s="1298">
        <f>'A-50 FGRailInv'!AB559</f>
        <v>0</v>
      </c>
      <c r="P151" s="1298">
        <f>'A-50 FGRailInv'!AD559</f>
        <v>0</v>
      </c>
      <c r="Q151" s="1298">
        <f>'A-50 FGRailInv'!AF559</f>
        <v>0</v>
      </c>
      <c r="R151" s="1298">
        <f>'A-50 FGRailInv'!AH559</f>
        <v>0</v>
      </c>
      <c r="S151" s="1298">
        <f>'A-50 FGRailInv'!AJ559</f>
        <v>0</v>
      </c>
      <c r="T151" s="1298">
        <f>'A-50 FGRailInv'!AL559</f>
        <v>0</v>
      </c>
      <c r="U151" s="1299">
        <f>'A-50 FGRailInv'!AP559</f>
        <v>0</v>
      </c>
    </row>
    <row r="259" spans="25:30" ht="13.5" thickBot="1" x14ac:dyDescent="0.25">
      <c r="Y259" s="1313"/>
      <c r="Z259" s="1313"/>
      <c r="AA259" s="1313"/>
      <c r="AB259" s="1313"/>
      <c r="AC259" s="1313"/>
      <c r="AD259" s="1314"/>
    </row>
    <row r="260" spans="25:30" ht="13.5" thickBot="1" x14ac:dyDescent="0.25">
      <c r="Y260" s="1313"/>
      <c r="Z260" s="1313"/>
      <c r="AA260" s="1313"/>
      <c r="AB260" s="1313"/>
      <c r="AC260" s="1313"/>
      <c r="AD260" s="1314"/>
    </row>
    <row r="261" spans="25:30" ht="13.5" thickBot="1" x14ac:dyDescent="0.25">
      <c r="Y261" s="1313"/>
      <c r="Z261" s="1313"/>
      <c r="AA261" s="1313"/>
      <c r="AB261" s="1313"/>
      <c r="AC261" s="1313"/>
      <c r="AD261" s="1314"/>
    </row>
    <row r="262" spans="25:30" ht="13.5" thickBot="1" x14ac:dyDescent="0.25">
      <c r="Y262" s="1313"/>
      <c r="Z262" s="1313"/>
      <c r="AA262" s="1313"/>
      <c r="AB262" s="1313"/>
      <c r="AC262" s="1313"/>
      <c r="AD262" s="1314"/>
    </row>
    <row r="263" spans="25:30" ht="13.5" thickBot="1" x14ac:dyDescent="0.25">
      <c r="Y263" s="1313"/>
      <c r="Z263" s="1313"/>
      <c r="AA263" s="1313"/>
      <c r="AB263" s="1313"/>
      <c r="AC263" s="1313"/>
      <c r="AD263" s="1314"/>
    </row>
  </sheetData>
  <sheetProtection algorithmName="SHA-512" hashValue="PFVfYc54A9kElPVU6A0zquVeC2d11N7zrVUbzQPfZOSMh298/m611eqh1HXrLNGPTHHdSNZ/hbv2OZQvedKXfw==" saltValue="xYN2Tp5lwZ4/WSW6rDdQeQ==" spinCount="100000" sheet="1" objects="1" scenarios="1" formatCells="0" formatColumns="0" formatRows="0" selectLockedCells="1" sort="0" autoFilter="0"/>
  <mergeCells count="10">
    <mergeCell ref="O7:O8"/>
    <mergeCell ref="P7:P8"/>
    <mergeCell ref="Q7:Q8"/>
    <mergeCell ref="R7:R8"/>
    <mergeCell ref="I7:I8"/>
    <mergeCell ref="J7:J8"/>
    <mergeCell ref="K7:K8"/>
    <mergeCell ref="L7:L8"/>
    <mergeCell ref="M7:M8"/>
    <mergeCell ref="N7:N8"/>
  </mergeCells>
  <conditionalFormatting sqref="F12">
    <cfRule type="expression" dxfId="1016" priority="2393">
      <formula>V12</formula>
    </cfRule>
  </conditionalFormatting>
  <conditionalFormatting sqref="G12">
    <cfRule type="expression" dxfId="1015" priority="2391">
      <formula>X12</formula>
    </cfRule>
  </conditionalFormatting>
  <conditionalFormatting sqref="J12">
    <cfRule type="expression" dxfId="1014" priority="2389">
      <formula>AB12</formula>
    </cfRule>
  </conditionalFormatting>
  <conditionalFormatting sqref="U12">
    <cfRule type="expression" dxfId="1013" priority="2383">
      <formula>AI12</formula>
    </cfRule>
  </conditionalFormatting>
  <conditionalFormatting sqref="Z12:AD81 Z280:AD291 Z259:AD263 D12:U151">
    <cfRule type="expression" dxfId="1012" priority="2397">
      <formula>#REF!</formula>
    </cfRule>
  </conditionalFormatting>
  <conditionalFormatting sqref="I12">
    <cfRule type="expression" dxfId="1011" priority="2402">
      <formula>AA12</formula>
    </cfRule>
  </conditionalFormatting>
  <conditionalFormatting sqref="K12">
    <cfRule type="expression" dxfId="1010" priority="2404">
      <formula>AC12</formula>
    </cfRule>
  </conditionalFormatting>
  <conditionalFormatting sqref="Y12:AD81 Y280:AD291 Y259:AD263 C12:C151">
    <cfRule type="expression" dxfId="1009" priority="2405">
      <formula>#REF!</formula>
    </cfRule>
  </conditionalFormatting>
  <conditionalFormatting sqref="F26">
    <cfRule type="expression" dxfId="1008" priority="2365">
      <formula>V31</formula>
    </cfRule>
  </conditionalFormatting>
  <conditionalFormatting sqref="AC12">
    <cfRule type="expression" dxfId="1007" priority="2362">
      <formula>AN12</formula>
    </cfRule>
  </conditionalFormatting>
  <conditionalFormatting sqref="U26">
    <cfRule type="expression" dxfId="1006" priority="2359">
      <formula>AI31</formula>
    </cfRule>
  </conditionalFormatting>
  <conditionalFormatting sqref="F40">
    <cfRule type="expression" dxfId="1005" priority="2352">
      <formula>V50</formula>
    </cfRule>
  </conditionalFormatting>
  <conditionalFormatting sqref="U40">
    <cfRule type="expression" dxfId="1004" priority="2346">
      <formula>AI50</formula>
    </cfRule>
  </conditionalFormatting>
  <conditionalFormatting sqref="F54">
    <cfRule type="expression" dxfId="1003" priority="2339">
      <formula>V69</formula>
    </cfRule>
  </conditionalFormatting>
  <conditionalFormatting sqref="U54">
    <cfRule type="expression" dxfId="1002" priority="2333">
      <formula>AI69</formula>
    </cfRule>
  </conditionalFormatting>
  <conditionalFormatting sqref="F68">
    <cfRule type="expression" dxfId="1001" priority="2326">
      <formula>V88</formula>
    </cfRule>
  </conditionalFormatting>
  <conditionalFormatting sqref="H12">
    <cfRule type="expression" dxfId="1000" priority="2323">
      <formula>Z12</formula>
    </cfRule>
  </conditionalFormatting>
  <conditionalFormatting sqref="U68">
    <cfRule type="expression" dxfId="999" priority="2320">
      <formula>AI88</formula>
    </cfRule>
  </conditionalFormatting>
  <conditionalFormatting sqref="F82">
    <cfRule type="expression" dxfId="998" priority="2313">
      <formula>V107</formula>
    </cfRule>
  </conditionalFormatting>
  <conditionalFormatting sqref="U82">
    <cfRule type="expression" dxfId="997" priority="2307">
      <formula>AI107</formula>
    </cfRule>
  </conditionalFormatting>
  <conditionalFormatting sqref="F96">
    <cfRule type="expression" dxfId="996" priority="2300">
      <formula>V126</formula>
    </cfRule>
  </conditionalFormatting>
  <conditionalFormatting sqref="U96">
    <cfRule type="expression" dxfId="995" priority="2294">
      <formula>AI126</formula>
    </cfRule>
  </conditionalFormatting>
  <conditionalFormatting sqref="F110">
    <cfRule type="expression" dxfId="994" priority="2287">
      <formula>V145</formula>
    </cfRule>
  </conditionalFormatting>
  <conditionalFormatting sqref="U110">
    <cfRule type="expression" dxfId="993" priority="2281">
      <formula>AI145</formula>
    </cfRule>
  </conditionalFormatting>
  <conditionalFormatting sqref="F124">
    <cfRule type="expression" dxfId="992" priority="2274">
      <formula>V164</formula>
    </cfRule>
  </conditionalFormatting>
  <conditionalFormatting sqref="U124">
    <cfRule type="expression" dxfId="991" priority="2268">
      <formula>AI164</formula>
    </cfRule>
  </conditionalFormatting>
  <conditionalFormatting sqref="F138">
    <cfRule type="expression" dxfId="990" priority="2261">
      <formula>V183</formula>
    </cfRule>
  </conditionalFormatting>
  <conditionalFormatting sqref="U138">
    <cfRule type="expression" dxfId="989" priority="2255">
      <formula>AI183</formula>
    </cfRule>
  </conditionalFormatting>
  <conditionalFormatting sqref="F26">
    <cfRule type="expression" dxfId="988" priority="2248">
      <formula>V31</formula>
    </cfRule>
  </conditionalFormatting>
  <conditionalFormatting sqref="U26">
    <cfRule type="expression" dxfId="987" priority="2242">
      <formula>AI31</formula>
    </cfRule>
  </conditionalFormatting>
  <conditionalFormatting sqref="F40">
    <cfRule type="expression" dxfId="986" priority="2235">
      <formula>V50</formula>
    </cfRule>
  </conditionalFormatting>
  <conditionalFormatting sqref="U40">
    <cfRule type="expression" dxfId="985" priority="2229">
      <formula>AI50</formula>
    </cfRule>
  </conditionalFormatting>
  <conditionalFormatting sqref="F40">
    <cfRule type="expression" dxfId="984" priority="2222">
      <formula>V50</formula>
    </cfRule>
  </conditionalFormatting>
  <conditionalFormatting sqref="U40">
    <cfRule type="expression" dxfId="983" priority="2216">
      <formula>AI50</formula>
    </cfRule>
  </conditionalFormatting>
  <conditionalFormatting sqref="F54">
    <cfRule type="expression" dxfId="982" priority="2209">
      <formula>V69</formula>
    </cfRule>
  </conditionalFormatting>
  <conditionalFormatting sqref="U54">
    <cfRule type="expression" dxfId="981" priority="2203">
      <formula>AI69</formula>
    </cfRule>
  </conditionalFormatting>
  <conditionalFormatting sqref="F54">
    <cfRule type="expression" dxfId="980" priority="2196">
      <formula>V69</formula>
    </cfRule>
  </conditionalFormatting>
  <conditionalFormatting sqref="U54">
    <cfRule type="expression" dxfId="979" priority="2190">
      <formula>AI69</formula>
    </cfRule>
  </conditionalFormatting>
  <conditionalFormatting sqref="F54">
    <cfRule type="expression" dxfId="978" priority="2183">
      <formula>V69</formula>
    </cfRule>
  </conditionalFormatting>
  <conditionalFormatting sqref="U54">
    <cfRule type="expression" dxfId="977" priority="2177">
      <formula>AI69</formula>
    </cfRule>
  </conditionalFormatting>
  <conditionalFormatting sqref="F68">
    <cfRule type="expression" dxfId="976" priority="2170">
      <formula>V88</formula>
    </cfRule>
  </conditionalFormatting>
  <conditionalFormatting sqref="U68">
    <cfRule type="expression" dxfId="975" priority="2164">
      <formula>AI88</formula>
    </cfRule>
  </conditionalFormatting>
  <conditionalFormatting sqref="F68">
    <cfRule type="expression" dxfId="974" priority="2157">
      <formula>V88</formula>
    </cfRule>
  </conditionalFormatting>
  <conditionalFormatting sqref="U68">
    <cfRule type="expression" dxfId="973" priority="2151">
      <formula>AI88</formula>
    </cfRule>
  </conditionalFormatting>
  <conditionalFormatting sqref="F68">
    <cfRule type="expression" dxfId="972" priority="2144">
      <formula>V88</formula>
    </cfRule>
  </conditionalFormatting>
  <conditionalFormatting sqref="U68">
    <cfRule type="expression" dxfId="971" priority="2138">
      <formula>AI88</formula>
    </cfRule>
  </conditionalFormatting>
  <conditionalFormatting sqref="F68">
    <cfRule type="expression" dxfId="970" priority="2131">
      <formula>V88</formula>
    </cfRule>
  </conditionalFormatting>
  <conditionalFormatting sqref="U68">
    <cfRule type="expression" dxfId="969" priority="2125">
      <formula>AI88</formula>
    </cfRule>
  </conditionalFormatting>
  <conditionalFormatting sqref="F82">
    <cfRule type="expression" dxfId="968" priority="2118">
      <formula>V107</formula>
    </cfRule>
  </conditionalFormatting>
  <conditionalFormatting sqref="U82">
    <cfRule type="expression" dxfId="967" priority="2112">
      <formula>AI107</formula>
    </cfRule>
  </conditionalFormatting>
  <conditionalFormatting sqref="F82">
    <cfRule type="expression" dxfId="966" priority="2105">
      <formula>V107</formula>
    </cfRule>
  </conditionalFormatting>
  <conditionalFormatting sqref="U82">
    <cfRule type="expression" dxfId="965" priority="2099">
      <formula>AI107</formula>
    </cfRule>
  </conditionalFormatting>
  <conditionalFormatting sqref="F82">
    <cfRule type="expression" dxfId="964" priority="2092">
      <formula>V107</formula>
    </cfRule>
  </conditionalFormatting>
  <conditionalFormatting sqref="U82">
    <cfRule type="expression" dxfId="963" priority="2086">
      <formula>AI107</formula>
    </cfRule>
  </conditionalFormatting>
  <conditionalFormatting sqref="F82">
    <cfRule type="expression" dxfId="962" priority="2079">
      <formula>V107</formula>
    </cfRule>
  </conditionalFormatting>
  <conditionalFormatting sqref="U82">
    <cfRule type="expression" dxfId="961" priority="2073">
      <formula>AI107</formula>
    </cfRule>
  </conditionalFormatting>
  <conditionalFormatting sqref="F82">
    <cfRule type="expression" dxfId="960" priority="2066">
      <formula>V107</formula>
    </cfRule>
  </conditionalFormatting>
  <conditionalFormatting sqref="U82">
    <cfRule type="expression" dxfId="959" priority="2060">
      <formula>AI107</formula>
    </cfRule>
  </conditionalFormatting>
  <conditionalFormatting sqref="F96">
    <cfRule type="expression" dxfId="958" priority="2053">
      <formula>V126</formula>
    </cfRule>
  </conditionalFormatting>
  <conditionalFormatting sqref="U96">
    <cfRule type="expression" dxfId="957" priority="2047">
      <formula>AI126</formula>
    </cfRule>
  </conditionalFormatting>
  <conditionalFormatting sqref="F96">
    <cfRule type="expression" dxfId="956" priority="2040">
      <formula>V126</formula>
    </cfRule>
  </conditionalFormatting>
  <conditionalFormatting sqref="U96">
    <cfRule type="expression" dxfId="955" priority="2034">
      <formula>AI126</formula>
    </cfRule>
  </conditionalFormatting>
  <conditionalFormatting sqref="F96">
    <cfRule type="expression" dxfId="954" priority="2027">
      <formula>V126</formula>
    </cfRule>
  </conditionalFormatting>
  <conditionalFormatting sqref="U96">
    <cfRule type="expression" dxfId="953" priority="2021">
      <formula>AI126</formula>
    </cfRule>
  </conditionalFormatting>
  <conditionalFormatting sqref="F96">
    <cfRule type="expression" dxfId="952" priority="2014">
      <formula>V126</formula>
    </cfRule>
  </conditionalFormatting>
  <conditionalFormatting sqref="U96">
    <cfRule type="expression" dxfId="951" priority="2008">
      <formula>AI126</formula>
    </cfRule>
  </conditionalFormatting>
  <conditionalFormatting sqref="F96">
    <cfRule type="expression" dxfId="950" priority="2001">
      <formula>V126</formula>
    </cfRule>
  </conditionalFormatting>
  <conditionalFormatting sqref="U96">
    <cfRule type="expression" dxfId="949" priority="1995">
      <formula>AI126</formula>
    </cfRule>
  </conditionalFormatting>
  <conditionalFormatting sqref="F96">
    <cfRule type="expression" dxfId="948" priority="1988">
      <formula>V126</formula>
    </cfRule>
  </conditionalFormatting>
  <conditionalFormatting sqref="U96">
    <cfRule type="expression" dxfId="947" priority="1982">
      <formula>AI126</formula>
    </cfRule>
  </conditionalFormatting>
  <conditionalFormatting sqref="F110">
    <cfRule type="expression" dxfId="946" priority="1975">
      <formula>V145</formula>
    </cfRule>
  </conditionalFormatting>
  <conditionalFormatting sqref="U110">
    <cfRule type="expression" dxfId="945" priority="1969">
      <formula>AI145</formula>
    </cfRule>
  </conditionalFormatting>
  <conditionalFormatting sqref="F110">
    <cfRule type="expression" dxfId="944" priority="1962">
      <formula>V145</formula>
    </cfRule>
  </conditionalFormatting>
  <conditionalFormatting sqref="U110">
    <cfRule type="expression" dxfId="943" priority="1956">
      <formula>AI145</formula>
    </cfRule>
  </conditionalFormatting>
  <conditionalFormatting sqref="F110">
    <cfRule type="expression" dxfId="942" priority="1949">
      <formula>V145</formula>
    </cfRule>
  </conditionalFormatting>
  <conditionalFormatting sqref="U110">
    <cfRule type="expression" dxfId="941" priority="1943">
      <formula>AI145</formula>
    </cfRule>
  </conditionalFormatting>
  <conditionalFormatting sqref="F110">
    <cfRule type="expression" dxfId="940" priority="1936">
      <formula>V145</formula>
    </cfRule>
  </conditionalFormatting>
  <conditionalFormatting sqref="U110">
    <cfRule type="expression" dxfId="939" priority="1930">
      <formula>AI145</formula>
    </cfRule>
  </conditionalFormatting>
  <conditionalFormatting sqref="F110">
    <cfRule type="expression" dxfId="938" priority="1923">
      <formula>V145</formula>
    </cfRule>
  </conditionalFormatting>
  <conditionalFormatting sqref="U110">
    <cfRule type="expression" dxfId="937" priority="1917">
      <formula>AI145</formula>
    </cfRule>
  </conditionalFormatting>
  <conditionalFormatting sqref="F110">
    <cfRule type="expression" dxfId="936" priority="1910">
      <formula>V145</formula>
    </cfRule>
  </conditionalFormatting>
  <conditionalFormatting sqref="U110">
    <cfRule type="expression" dxfId="935" priority="1904">
      <formula>AI145</formula>
    </cfRule>
  </conditionalFormatting>
  <conditionalFormatting sqref="F110">
    <cfRule type="expression" dxfId="934" priority="1897">
      <formula>V145</formula>
    </cfRule>
  </conditionalFormatting>
  <conditionalFormatting sqref="U110">
    <cfRule type="expression" dxfId="933" priority="1891">
      <formula>AI145</formula>
    </cfRule>
  </conditionalFormatting>
  <conditionalFormatting sqref="F124">
    <cfRule type="expression" dxfId="932" priority="1884">
      <formula>V164</formula>
    </cfRule>
  </conditionalFormatting>
  <conditionalFormatting sqref="U124">
    <cfRule type="expression" dxfId="931" priority="1878">
      <formula>AI164</formula>
    </cfRule>
  </conditionalFormatting>
  <conditionalFormatting sqref="F124">
    <cfRule type="expression" dxfId="930" priority="1871">
      <formula>V164</formula>
    </cfRule>
  </conditionalFormatting>
  <conditionalFormatting sqref="U124">
    <cfRule type="expression" dxfId="929" priority="1865">
      <formula>AI164</formula>
    </cfRule>
  </conditionalFormatting>
  <conditionalFormatting sqref="F124">
    <cfRule type="expression" dxfId="928" priority="1858">
      <formula>V164</formula>
    </cfRule>
  </conditionalFormatting>
  <conditionalFormatting sqref="U124">
    <cfRule type="expression" dxfId="927" priority="1852">
      <formula>AI164</formula>
    </cfRule>
  </conditionalFormatting>
  <conditionalFormatting sqref="F124">
    <cfRule type="expression" dxfId="926" priority="1845">
      <formula>V164</formula>
    </cfRule>
  </conditionalFormatting>
  <conditionalFormatting sqref="U124">
    <cfRule type="expression" dxfId="925" priority="1839">
      <formula>AI164</formula>
    </cfRule>
  </conditionalFormatting>
  <conditionalFormatting sqref="F124">
    <cfRule type="expression" dxfId="924" priority="1832">
      <formula>V164</formula>
    </cfRule>
  </conditionalFormatting>
  <conditionalFormatting sqref="U124">
    <cfRule type="expression" dxfId="923" priority="1826">
      <formula>AI164</formula>
    </cfRule>
  </conditionalFormatting>
  <conditionalFormatting sqref="F124">
    <cfRule type="expression" dxfId="922" priority="1819">
      <formula>V164</formula>
    </cfRule>
  </conditionalFormatting>
  <conditionalFormatting sqref="U124">
    <cfRule type="expression" dxfId="921" priority="1813">
      <formula>AI164</formula>
    </cfRule>
  </conditionalFormatting>
  <conditionalFormatting sqref="F124">
    <cfRule type="expression" dxfId="920" priority="1806">
      <formula>V164</formula>
    </cfRule>
  </conditionalFormatting>
  <conditionalFormatting sqref="U124">
    <cfRule type="expression" dxfId="919" priority="1800">
      <formula>AI164</formula>
    </cfRule>
  </conditionalFormatting>
  <conditionalFormatting sqref="F124">
    <cfRule type="expression" dxfId="918" priority="1793">
      <formula>V164</formula>
    </cfRule>
  </conditionalFormatting>
  <conditionalFormatting sqref="U124">
    <cfRule type="expression" dxfId="917" priority="1787">
      <formula>AI164</formula>
    </cfRule>
  </conditionalFormatting>
  <conditionalFormatting sqref="F138">
    <cfRule type="expression" dxfId="916" priority="1780">
      <formula>V183</formula>
    </cfRule>
  </conditionalFormatting>
  <conditionalFormatting sqref="U138">
    <cfRule type="expression" dxfId="915" priority="1774">
      <formula>AI183</formula>
    </cfRule>
  </conditionalFormatting>
  <conditionalFormatting sqref="F138">
    <cfRule type="expression" dxfId="914" priority="1767">
      <formula>V183</formula>
    </cfRule>
  </conditionalFormatting>
  <conditionalFormatting sqref="U138">
    <cfRule type="expression" dxfId="913" priority="1761">
      <formula>AI183</formula>
    </cfRule>
  </conditionalFormatting>
  <conditionalFormatting sqref="F138">
    <cfRule type="expression" dxfId="912" priority="1754">
      <formula>V183</formula>
    </cfRule>
  </conditionalFormatting>
  <conditionalFormatting sqref="U138">
    <cfRule type="expression" dxfId="911" priority="1748">
      <formula>AI183</formula>
    </cfRule>
  </conditionalFormatting>
  <conditionalFormatting sqref="F138">
    <cfRule type="expression" dxfId="910" priority="1741">
      <formula>V183</formula>
    </cfRule>
  </conditionalFormatting>
  <conditionalFormatting sqref="U138">
    <cfRule type="expression" dxfId="909" priority="1735">
      <formula>AI183</formula>
    </cfRule>
  </conditionalFormatting>
  <conditionalFormatting sqref="F138">
    <cfRule type="expression" dxfId="908" priority="1728">
      <formula>V183</formula>
    </cfRule>
  </conditionalFormatting>
  <conditionalFormatting sqref="U138">
    <cfRule type="expression" dxfId="907" priority="1722">
      <formula>AI183</formula>
    </cfRule>
  </conditionalFormatting>
  <conditionalFormatting sqref="F138">
    <cfRule type="expression" dxfId="906" priority="1715">
      <formula>V183</formula>
    </cfRule>
  </conditionalFormatting>
  <conditionalFormatting sqref="U138">
    <cfRule type="expression" dxfId="905" priority="1709">
      <formula>AI183</formula>
    </cfRule>
  </conditionalFormatting>
  <conditionalFormatting sqref="F138">
    <cfRule type="expression" dxfId="904" priority="1702">
      <formula>V183</formula>
    </cfRule>
  </conditionalFormatting>
  <conditionalFormatting sqref="U138">
    <cfRule type="expression" dxfId="903" priority="1696">
      <formula>AI183</formula>
    </cfRule>
  </conditionalFormatting>
  <conditionalFormatting sqref="F138">
    <cfRule type="expression" dxfId="902" priority="1689">
      <formula>V183</formula>
    </cfRule>
  </conditionalFormatting>
  <conditionalFormatting sqref="U138">
    <cfRule type="expression" dxfId="901" priority="1683">
      <formula>AI183</formula>
    </cfRule>
  </conditionalFormatting>
  <conditionalFormatting sqref="F138">
    <cfRule type="expression" dxfId="900" priority="1676">
      <formula>V183</formula>
    </cfRule>
  </conditionalFormatting>
  <conditionalFormatting sqref="U138">
    <cfRule type="expression" dxfId="899" priority="1670">
      <formula>AI183</formula>
    </cfRule>
  </conditionalFormatting>
  <conditionalFormatting sqref="H12">
    <cfRule type="expression" dxfId="898" priority="1663">
      <formula>Y12</formula>
    </cfRule>
  </conditionalFormatting>
  <conditionalFormatting sqref="H12">
    <cfRule type="expression" dxfId="897" priority="1662">
      <formula>Z12</formula>
    </cfRule>
  </conditionalFormatting>
  <conditionalFormatting sqref="R12">
    <cfRule type="expression" dxfId="896" priority="1598">
      <formula>AE12</formula>
    </cfRule>
  </conditionalFormatting>
  <conditionalFormatting sqref="AA12">
    <cfRule type="expression" dxfId="895" priority="1596">
      <formula>AF12</formula>
    </cfRule>
  </conditionalFormatting>
  <conditionalFormatting sqref="AB12">
    <cfRule type="expression" dxfId="894" priority="1593">
      <formula>AJ12</formula>
    </cfRule>
  </conditionalFormatting>
  <conditionalFormatting sqref="AD12">
    <cfRule type="expression" dxfId="893" priority="1587">
      <formula>AV12</formula>
    </cfRule>
  </conditionalFormatting>
  <conditionalFormatting sqref="AA280:AA291">
    <cfRule type="expression" dxfId="892" priority="1582">
      <formula>AF46</formula>
    </cfRule>
  </conditionalFormatting>
  <conditionalFormatting sqref="AC280:AC291">
    <cfRule type="expression" dxfId="891" priority="1581">
      <formula>AN46</formula>
    </cfRule>
  </conditionalFormatting>
  <conditionalFormatting sqref="AB280:AB291">
    <cfRule type="expression" dxfId="890" priority="1579">
      <formula>AJ46</formula>
    </cfRule>
  </conditionalFormatting>
  <conditionalFormatting sqref="AD280:AD291">
    <cfRule type="expression" dxfId="889" priority="1574">
      <formula>AV46</formula>
    </cfRule>
  </conditionalFormatting>
  <conditionalFormatting sqref="AA76">
    <cfRule type="expression" dxfId="888" priority="1570">
      <formula>AF31</formula>
    </cfRule>
  </conditionalFormatting>
  <conditionalFormatting sqref="AC76">
    <cfRule type="expression" dxfId="887" priority="1569">
      <formula>AN31</formula>
    </cfRule>
  </conditionalFormatting>
  <conditionalFormatting sqref="AB76">
    <cfRule type="expression" dxfId="886" priority="1567">
      <formula>AJ31</formula>
    </cfRule>
  </conditionalFormatting>
  <conditionalFormatting sqref="AD76">
    <cfRule type="expression" dxfId="885" priority="1562">
      <formula>AV31</formula>
    </cfRule>
  </conditionalFormatting>
  <conditionalFormatting sqref="T138 N138:Q138 T124 N124:Q124 T110 N110:Q110 T96 N96:Q96 G82:T82 T68 N68:Q68 G54:T54 G40:T40 T12 N12:Q12">
    <cfRule type="expression" dxfId="884" priority="2506">
      <formula>#REF!</formula>
    </cfRule>
  </conditionalFormatting>
  <conditionalFormatting sqref="AD12">
    <cfRule type="expression" dxfId="883" priority="1530">
      <formula>AY12</formula>
    </cfRule>
  </conditionalFormatting>
  <conditionalFormatting sqref="AD280:AD291">
    <cfRule type="expression" dxfId="882" priority="1529">
      <formula>BA46</formula>
    </cfRule>
  </conditionalFormatting>
  <conditionalFormatting sqref="AD12">
    <cfRule type="expression" dxfId="881" priority="1528">
      <formula>BA12</formula>
    </cfRule>
  </conditionalFormatting>
  <conditionalFormatting sqref="AD12">
    <cfRule type="expression" dxfId="880" priority="1527">
      <formula>BA12</formula>
    </cfRule>
  </conditionalFormatting>
  <conditionalFormatting sqref="AD280:AD291">
    <cfRule type="expression" dxfId="879" priority="1526">
      <formula>AY46</formula>
    </cfRule>
  </conditionalFormatting>
  <conditionalFormatting sqref="AD12">
    <cfRule type="expression" dxfId="878" priority="1523">
      <formula>AZ12</formula>
    </cfRule>
  </conditionalFormatting>
  <conditionalFormatting sqref="AD280:AD291">
    <cfRule type="expression" dxfId="877" priority="1522">
      <formula>BB46</formula>
    </cfRule>
  </conditionalFormatting>
  <conditionalFormatting sqref="AD12">
    <cfRule type="expression" dxfId="876" priority="1521">
      <formula>BB12</formula>
    </cfRule>
  </conditionalFormatting>
  <conditionalFormatting sqref="AD12">
    <cfRule type="expression" dxfId="875" priority="1520">
      <formula>BB12</formula>
    </cfRule>
  </conditionalFormatting>
  <conditionalFormatting sqref="AD280:AD291">
    <cfRule type="expression" dxfId="874" priority="1517">
      <formula>AZ46</formula>
    </cfRule>
  </conditionalFormatting>
  <conditionalFormatting sqref="AD12">
    <cfRule type="expression" dxfId="873" priority="1514">
      <formula>AZ12</formula>
    </cfRule>
  </conditionalFormatting>
  <conditionalFormatting sqref="AD76">
    <cfRule type="expression" dxfId="872" priority="1511">
      <formula>AZ31</formula>
    </cfRule>
  </conditionalFormatting>
  <conditionalFormatting sqref="Q138 Q124 Q110 Q96 Q68 T26 N26:Q26 Q12">
    <cfRule type="expression" dxfId="871" priority="4044">
      <formula>#REF!</formula>
    </cfRule>
  </conditionalFormatting>
  <conditionalFormatting sqref="S26 N26:O26 R138 R124 R110 R96 R68 G138:M138 G124:M124 G110:M110 G96:M96 G68:M68">
    <cfRule type="expression" dxfId="870" priority="5545">
      <formula>#REF!</formula>
    </cfRule>
  </conditionalFormatting>
  <conditionalFormatting sqref="AA77">
    <cfRule type="expression" dxfId="869" priority="1456">
      <formula>AF37</formula>
    </cfRule>
  </conditionalFormatting>
  <conditionalFormatting sqref="AC77">
    <cfRule type="expression" dxfId="868" priority="1455">
      <formula>AN37</formula>
    </cfRule>
  </conditionalFormatting>
  <conditionalFormatting sqref="AB77">
    <cfRule type="expression" dxfId="867" priority="1454">
      <formula>AJ37</formula>
    </cfRule>
  </conditionalFormatting>
  <conditionalFormatting sqref="AD77">
    <cfRule type="expression" dxfId="866" priority="1453">
      <formula>AV37</formula>
    </cfRule>
  </conditionalFormatting>
  <conditionalFormatting sqref="AA77">
    <cfRule type="expression" dxfId="865" priority="1452">
      <formula>AF37</formula>
    </cfRule>
  </conditionalFormatting>
  <conditionalFormatting sqref="AC77">
    <cfRule type="expression" dxfId="864" priority="1451">
      <formula>AN37</formula>
    </cfRule>
  </conditionalFormatting>
  <conditionalFormatting sqref="AB77">
    <cfRule type="expression" dxfId="863" priority="1450">
      <formula>AJ37</formula>
    </cfRule>
  </conditionalFormatting>
  <conditionalFormatting sqref="AD77">
    <cfRule type="expression" dxfId="862" priority="1449">
      <formula>AV37</formula>
    </cfRule>
  </conditionalFormatting>
  <conditionalFormatting sqref="AD77">
    <cfRule type="expression" dxfId="861" priority="1447">
      <formula>BA37</formula>
    </cfRule>
  </conditionalFormatting>
  <conditionalFormatting sqref="AD77">
    <cfRule type="expression" dxfId="860" priority="1446">
      <formula>AY37</formula>
    </cfRule>
  </conditionalFormatting>
  <conditionalFormatting sqref="AD77">
    <cfRule type="expression" dxfId="859" priority="1445">
      <formula>BB37</formula>
    </cfRule>
  </conditionalFormatting>
  <conditionalFormatting sqref="AD77">
    <cfRule type="expression" dxfId="858" priority="1444">
      <formula>AZ37</formula>
    </cfRule>
  </conditionalFormatting>
  <conditionalFormatting sqref="AD77">
    <cfRule type="expression" dxfId="857" priority="1443">
      <formula>AZ37</formula>
    </cfRule>
  </conditionalFormatting>
  <conditionalFormatting sqref="AA81">
    <cfRule type="expression" dxfId="856" priority="9650">
      <formula>AF45</formula>
    </cfRule>
  </conditionalFormatting>
  <conditionalFormatting sqref="AC81">
    <cfRule type="expression" dxfId="855" priority="9652">
      <formula>AN45</formula>
    </cfRule>
  </conditionalFormatting>
  <conditionalFormatting sqref="AB81">
    <cfRule type="expression" dxfId="854" priority="9654">
      <formula>AJ45</formula>
    </cfRule>
  </conditionalFormatting>
  <conditionalFormatting sqref="AD81">
    <cfRule type="expression" dxfId="853" priority="9656">
      <formula>AV45</formula>
    </cfRule>
  </conditionalFormatting>
  <conditionalFormatting sqref="AD81">
    <cfRule type="expression" dxfId="852" priority="9668">
      <formula>BA45</formula>
    </cfRule>
  </conditionalFormatting>
  <conditionalFormatting sqref="AD81">
    <cfRule type="expression" dxfId="851" priority="9670">
      <formula>AY45</formula>
    </cfRule>
  </conditionalFormatting>
  <conditionalFormatting sqref="AD81">
    <cfRule type="expression" dxfId="850" priority="9672">
      <formula>BB45</formula>
    </cfRule>
  </conditionalFormatting>
  <conditionalFormatting sqref="AD81">
    <cfRule type="expression" dxfId="849" priority="9674">
      <formula>AZ45</formula>
    </cfRule>
  </conditionalFormatting>
  <conditionalFormatting sqref="AA263">
    <cfRule type="expression" dxfId="848" priority="1440">
      <formula>AF29</formula>
    </cfRule>
  </conditionalFormatting>
  <conditionalFormatting sqref="AC263">
    <cfRule type="expression" dxfId="847" priority="1439">
      <formula>AN29</formula>
    </cfRule>
  </conditionalFormatting>
  <conditionalFormatting sqref="AB263">
    <cfRule type="expression" dxfId="846" priority="1438">
      <formula>AJ29</formula>
    </cfRule>
  </conditionalFormatting>
  <conditionalFormatting sqref="AD263">
    <cfRule type="expression" dxfId="845" priority="1437">
      <formula>AV29</formula>
    </cfRule>
  </conditionalFormatting>
  <conditionalFormatting sqref="AA263">
    <cfRule type="expression" dxfId="844" priority="1436">
      <formula>AF29</formula>
    </cfRule>
  </conditionalFormatting>
  <conditionalFormatting sqref="AC263">
    <cfRule type="expression" dxfId="843" priority="1435">
      <formula>AN29</formula>
    </cfRule>
  </conditionalFormatting>
  <conditionalFormatting sqref="AB263">
    <cfRule type="expression" dxfId="842" priority="1434">
      <formula>AJ29</formula>
    </cfRule>
  </conditionalFormatting>
  <conditionalFormatting sqref="AD263">
    <cfRule type="expression" dxfId="841" priority="1433">
      <formula>AV29</formula>
    </cfRule>
  </conditionalFormatting>
  <conditionalFormatting sqref="AD263">
    <cfRule type="expression" dxfId="840" priority="1431">
      <formula>BA29</formula>
    </cfRule>
  </conditionalFormatting>
  <conditionalFormatting sqref="AD263">
    <cfRule type="expression" dxfId="839" priority="1430">
      <formula>AY29</formula>
    </cfRule>
  </conditionalFormatting>
  <conditionalFormatting sqref="AD263">
    <cfRule type="expression" dxfId="838" priority="1429">
      <formula>BB29</formula>
    </cfRule>
  </conditionalFormatting>
  <conditionalFormatting sqref="AD263">
    <cfRule type="expression" dxfId="837" priority="1428">
      <formula>AZ29</formula>
    </cfRule>
  </conditionalFormatting>
  <conditionalFormatting sqref="AD263">
    <cfRule type="expression" dxfId="836" priority="1427">
      <formula>AZ29</formula>
    </cfRule>
  </conditionalFormatting>
  <conditionalFormatting sqref="AA259:AA263">
    <cfRule type="expression" dxfId="835" priority="1424">
      <formula>AF25</formula>
    </cfRule>
  </conditionalFormatting>
  <conditionalFormatting sqref="AC259:AC263">
    <cfRule type="expression" dxfId="834" priority="1423">
      <formula>AN25</formula>
    </cfRule>
  </conditionalFormatting>
  <conditionalFormatting sqref="AB259:AB263">
    <cfRule type="expression" dxfId="833" priority="1422">
      <formula>AJ25</formula>
    </cfRule>
  </conditionalFormatting>
  <conditionalFormatting sqref="AD259:AD263">
    <cfRule type="expression" dxfId="832" priority="1421">
      <formula>AV25</formula>
    </cfRule>
  </conditionalFormatting>
  <conditionalFormatting sqref="AA259:AA263">
    <cfRule type="expression" dxfId="831" priority="1420">
      <formula>AF25</formula>
    </cfRule>
  </conditionalFormatting>
  <conditionalFormatting sqref="AC259:AC263">
    <cfRule type="expression" dxfId="830" priority="1419">
      <formula>AN25</formula>
    </cfRule>
  </conditionalFormatting>
  <conditionalFormatting sqref="AB259:AB263">
    <cfRule type="expression" dxfId="829" priority="1418">
      <formula>AJ25</formula>
    </cfRule>
  </conditionalFormatting>
  <conditionalFormatting sqref="AD259:AD263">
    <cfRule type="expression" dxfId="828" priority="1417">
      <formula>AV25</formula>
    </cfRule>
  </conditionalFormatting>
  <conditionalFormatting sqref="AD259:AD263">
    <cfRule type="expression" dxfId="827" priority="1415">
      <formula>BA25</formula>
    </cfRule>
  </conditionalFormatting>
  <conditionalFormatting sqref="AD259:AD263">
    <cfRule type="expression" dxfId="826" priority="1414">
      <formula>AY25</formula>
    </cfRule>
  </conditionalFormatting>
  <conditionalFormatting sqref="AD259:AD263">
    <cfRule type="expression" dxfId="825" priority="1413">
      <formula>BB25</formula>
    </cfRule>
  </conditionalFormatting>
  <conditionalFormatting sqref="AD259:AD263">
    <cfRule type="expression" dxfId="824" priority="1412">
      <formula>AZ25</formula>
    </cfRule>
  </conditionalFormatting>
  <conditionalFormatting sqref="AD259:AD263">
    <cfRule type="expression" dxfId="823" priority="1411">
      <formula>AZ25</formula>
    </cfRule>
  </conditionalFormatting>
  <conditionalFormatting sqref="AA80">
    <cfRule type="expression" dxfId="822" priority="9727">
      <formula>AF43</formula>
    </cfRule>
  </conditionalFormatting>
  <conditionalFormatting sqref="AC80">
    <cfRule type="expression" dxfId="821" priority="9728">
      <formula>AN43</formula>
    </cfRule>
  </conditionalFormatting>
  <conditionalFormatting sqref="AB80">
    <cfRule type="expression" dxfId="820" priority="9729">
      <formula>AJ43</formula>
    </cfRule>
  </conditionalFormatting>
  <conditionalFormatting sqref="AD80">
    <cfRule type="expression" dxfId="819" priority="9730">
      <formula>AV43</formula>
    </cfRule>
  </conditionalFormatting>
  <conditionalFormatting sqref="AD80">
    <cfRule type="expression" dxfId="818" priority="9736">
      <formula>BA43</formula>
    </cfRule>
  </conditionalFormatting>
  <conditionalFormatting sqref="AD80">
    <cfRule type="expression" dxfId="817" priority="9737">
      <formula>AY43</formula>
    </cfRule>
  </conditionalFormatting>
  <conditionalFormatting sqref="AD80">
    <cfRule type="expression" dxfId="816" priority="9738">
      <formula>BB43</formula>
    </cfRule>
  </conditionalFormatting>
  <conditionalFormatting sqref="AD80">
    <cfRule type="expression" dxfId="815" priority="9739">
      <formula>AZ43</formula>
    </cfRule>
  </conditionalFormatting>
  <conditionalFormatting sqref="AA79">
    <cfRule type="expression" dxfId="814" priority="9800">
      <formula>AF41</formula>
    </cfRule>
  </conditionalFormatting>
  <conditionalFormatting sqref="AC79">
    <cfRule type="expression" dxfId="813" priority="9801">
      <formula>AN41</formula>
    </cfRule>
  </conditionalFormatting>
  <conditionalFormatting sqref="AB79">
    <cfRule type="expression" dxfId="812" priority="9802">
      <formula>AJ41</formula>
    </cfRule>
  </conditionalFormatting>
  <conditionalFormatting sqref="AD79">
    <cfRule type="expression" dxfId="811" priority="9803">
      <formula>AV41</formula>
    </cfRule>
  </conditionalFormatting>
  <conditionalFormatting sqref="AD79">
    <cfRule type="expression" dxfId="810" priority="9809">
      <formula>BA41</formula>
    </cfRule>
  </conditionalFormatting>
  <conditionalFormatting sqref="AD79">
    <cfRule type="expression" dxfId="809" priority="9810">
      <formula>AY41</formula>
    </cfRule>
  </conditionalFormatting>
  <conditionalFormatting sqref="AD79">
    <cfRule type="expression" dxfId="808" priority="9811">
      <formula>BB41</formula>
    </cfRule>
  </conditionalFormatting>
  <conditionalFormatting sqref="AD79">
    <cfRule type="expression" dxfId="807" priority="9812">
      <formula>AZ41</formula>
    </cfRule>
  </conditionalFormatting>
  <conditionalFormatting sqref="AA78">
    <cfRule type="expression" dxfId="806" priority="9873">
      <formula>AF39</formula>
    </cfRule>
  </conditionalFormatting>
  <conditionalFormatting sqref="AC78">
    <cfRule type="expression" dxfId="805" priority="9874">
      <formula>AN39</formula>
    </cfRule>
  </conditionalFormatting>
  <conditionalFormatting sqref="AB78">
    <cfRule type="expression" dxfId="804" priority="9875">
      <formula>AJ39</formula>
    </cfRule>
  </conditionalFormatting>
  <conditionalFormatting sqref="AD78">
    <cfRule type="expression" dxfId="803" priority="9876">
      <formula>AV39</formula>
    </cfRule>
  </conditionalFormatting>
  <conditionalFormatting sqref="AD78">
    <cfRule type="expression" dxfId="802" priority="9882">
      <formula>BA39</formula>
    </cfRule>
  </conditionalFormatting>
  <conditionalFormatting sqref="AD78">
    <cfRule type="expression" dxfId="801" priority="9883">
      <formula>AY39</formula>
    </cfRule>
  </conditionalFormatting>
  <conditionalFormatting sqref="AD78">
    <cfRule type="expression" dxfId="800" priority="9884">
      <formula>BB39</formula>
    </cfRule>
  </conditionalFormatting>
  <conditionalFormatting sqref="AD78">
    <cfRule type="expression" dxfId="799" priority="9885">
      <formula>AZ39</formula>
    </cfRule>
  </conditionalFormatting>
  <conditionalFormatting sqref="AD76">
    <cfRule type="expression" dxfId="798" priority="9925">
      <formula>BA31</formula>
    </cfRule>
  </conditionalFormatting>
  <conditionalFormatting sqref="AD76">
    <cfRule type="expression" dxfId="797" priority="9927">
      <formula>AY31</formula>
    </cfRule>
  </conditionalFormatting>
  <conditionalFormatting sqref="AD76">
    <cfRule type="expression" dxfId="796" priority="9929">
      <formula>BB31</formula>
    </cfRule>
  </conditionalFormatting>
  <conditionalFormatting sqref="G26">
    <cfRule type="expression" dxfId="795" priority="12750">
      <formula>X47</formula>
    </cfRule>
  </conditionalFormatting>
  <conditionalFormatting sqref="H26:K26">
    <cfRule type="expression" dxfId="794" priority="12751">
      <formula>Z76</formula>
    </cfRule>
  </conditionalFormatting>
  <conditionalFormatting sqref="R26">
    <cfRule type="expression" dxfId="793" priority="12752">
      <formula>AD76</formula>
    </cfRule>
  </conditionalFormatting>
  <conditionalFormatting sqref="R138">
    <cfRule type="expression" dxfId="792" priority="12761">
      <formula>AE183</formula>
    </cfRule>
  </conditionalFormatting>
  <conditionalFormatting sqref="R124">
    <cfRule type="expression" dxfId="791" priority="12770">
      <formula>AE164</formula>
    </cfRule>
  </conditionalFormatting>
  <conditionalFormatting sqref="R110">
    <cfRule type="expression" dxfId="790" priority="12779">
      <formula>AE145</formula>
    </cfRule>
  </conditionalFormatting>
  <conditionalFormatting sqref="R96">
    <cfRule type="expression" dxfId="789" priority="12788">
      <formula>AE126</formula>
    </cfRule>
  </conditionalFormatting>
  <conditionalFormatting sqref="R82">
    <cfRule type="expression" dxfId="788" priority="12797">
      <formula>AE107</formula>
    </cfRule>
  </conditionalFormatting>
  <conditionalFormatting sqref="R68">
    <cfRule type="expression" dxfId="787" priority="12806">
      <formula>AE88</formula>
    </cfRule>
  </conditionalFormatting>
  <conditionalFormatting sqref="R54">
    <cfRule type="expression" dxfId="786" priority="12815">
      <formula>AE69</formula>
    </cfRule>
  </conditionalFormatting>
  <conditionalFormatting sqref="R40">
    <cfRule type="expression" dxfId="785" priority="12824">
      <formula>AE50</formula>
    </cfRule>
  </conditionalFormatting>
  <conditionalFormatting sqref="R26">
    <cfRule type="expression" dxfId="784" priority="12833">
      <formula>AE31</formula>
    </cfRule>
  </conditionalFormatting>
  <conditionalFormatting sqref="R12">
    <cfRule type="expression" dxfId="783" priority="12835">
      <formula>AD12</formula>
    </cfRule>
  </conditionalFormatting>
  <conditionalFormatting sqref="L12:M12">
    <cfRule type="expression" dxfId="782" priority="12836">
      <formula>#REF!</formula>
    </cfRule>
  </conditionalFormatting>
  <conditionalFormatting sqref="L26:M26">
    <cfRule type="expression" dxfId="781" priority="12888">
      <formula>#REF!</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AC244"/>
  <sheetViews>
    <sheetView topLeftCell="A151" zoomScaleNormal="100" workbookViewId="0"/>
  </sheetViews>
  <sheetFormatPr defaultColWidth="9.140625" defaultRowHeight="11.25" x14ac:dyDescent="0.2"/>
  <cols>
    <col min="1" max="1" width="5.7109375" style="477" bestFit="1" customWidth="1"/>
    <col min="2" max="2" width="49.42578125" style="477" bestFit="1" customWidth="1"/>
    <col min="3" max="3" width="11" style="477" bestFit="1" customWidth="1"/>
    <col min="4" max="4" width="9.28515625" style="478" bestFit="1" customWidth="1"/>
    <col min="5" max="5" width="11" style="478" customWidth="1"/>
    <col min="6" max="6" width="18.5703125" style="478" bestFit="1" customWidth="1"/>
    <col min="7" max="7" width="6" style="477" bestFit="1" customWidth="1"/>
    <col min="8" max="8" width="6.28515625" style="477" bestFit="1" customWidth="1"/>
    <col min="9" max="10" width="6" style="477" bestFit="1" customWidth="1"/>
    <col min="11" max="11" width="6.42578125" style="477" customWidth="1"/>
    <col min="12" max="12" width="9.5703125" style="477" bestFit="1" customWidth="1"/>
    <col min="13" max="13" width="10.42578125" style="477" bestFit="1" customWidth="1"/>
    <col min="14" max="14" width="10.28515625" style="477" bestFit="1" customWidth="1"/>
    <col min="15" max="15" width="5.42578125" style="477" bestFit="1" customWidth="1"/>
    <col min="16" max="16" width="8.42578125" style="477" bestFit="1" customWidth="1"/>
    <col min="17" max="17" width="7.42578125" style="477" bestFit="1" customWidth="1"/>
    <col min="18" max="18" width="8.28515625" style="477" bestFit="1" customWidth="1"/>
    <col min="19" max="19" width="32.28515625" style="477" customWidth="1"/>
    <col min="20" max="20" width="9" style="477" bestFit="1" customWidth="1"/>
    <col min="21" max="21" width="5.42578125" style="477" bestFit="1" customWidth="1"/>
    <col min="22" max="22" width="11" style="477" customWidth="1"/>
    <col min="23" max="23" width="11.5703125" style="477" customWidth="1"/>
    <col min="24" max="25" width="8.85546875" style="477" bestFit="1" customWidth="1"/>
    <col min="26" max="26" width="28.42578125" style="477" customWidth="1"/>
    <col min="27" max="27" width="9.140625" style="477"/>
    <col min="28" max="28" width="10.5703125" style="477" customWidth="1"/>
    <col min="29" max="29" width="10.85546875" style="477" customWidth="1"/>
    <col min="30" max="16384" width="9.140625" style="477"/>
  </cols>
  <sheetData>
    <row r="1" spans="1:29" x14ac:dyDescent="0.2">
      <c r="A1" s="476" t="s">
        <v>1025</v>
      </c>
      <c r="L1" s="476"/>
      <c r="P1" s="477" t="s">
        <v>1658</v>
      </c>
      <c r="S1" s="489"/>
      <c r="V1" s="477" t="s">
        <v>1660</v>
      </c>
    </row>
    <row r="2" spans="1:29" x14ac:dyDescent="0.2">
      <c r="A2" s="479" t="s">
        <v>1026</v>
      </c>
      <c r="P2" s="480" t="s">
        <v>1659</v>
      </c>
      <c r="V2" s="480" t="s">
        <v>1661</v>
      </c>
      <c r="W2" s="544">
        <v>5280</v>
      </c>
    </row>
    <row r="3" spans="1:29" x14ac:dyDescent="0.2">
      <c r="A3" s="489" t="s">
        <v>1027</v>
      </c>
      <c r="B3" s="480"/>
      <c r="C3" s="483"/>
      <c r="D3" s="484"/>
      <c r="E3" s="484"/>
      <c r="F3" s="484" t="s">
        <v>1028</v>
      </c>
      <c r="P3" s="545">
        <v>2</v>
      </c>
    </row>
    <row r="4" spans="1:29" x14ac:dyDescent="0.2">
      <c r="A4" s="480"/>
      <c r="B4" s="480"/>
      <c r="C4" s="483"/>
      <c r="D4" s="484"/>
      <c r="E4" s="484"/>
      <c r="F4" s="484" t="s">
        <v>1029</v>
      </c>
      <c r="M4" s="481"/>
      <c r="S4" s="481"/>
      <c r="V4" s="477" t="s">
        <v>367</v>
      </c>
      <c r="W4" s="481"/>
      <c r="X4" s="481" t="s">
        <v>1030</v>
      </c>
      <c r="Y4" s="481"/>
      <c r="Z4" s="481"/>
    </row>
    <row r="5" spans="1:29" x14ac:dyDescent="0.2">
      <c r="A5" s="480"/>
      <c r="B5" s="480"/>
      <c r="C5" s="483"/>
      <c r="D5" s="513" t="s">
        <v>308</v>
      </c>
      <c r="E5" s="484" t="s">
        <v>1031</v>
      </c>
      <c r="F5" s="484" t="s">
        <v>1032</v>
      </c>
      <c r="I5" s="477" t="s">
        <v>1665</v>
      </c>
      <c r="J5" s="477" t="s">
        <v>1664</v>
      </c>
      <c r="L5" s="482" t="s">
        <v>60</v>
      </c>
      <c r="M5" s="482" t="s">
        <v>61</v>
      </c>
      <c r="N5" s="480"/>
      <c r="O5" s="480"/>
      <c r="Q5" s="480"/>
      <c r="R5" s="480"/>
      <c r="S5" s="556" t="s">
        <v>1033</v>
      </c>
      <c r="T5" s="480" t="s">
        <v>1033</v>
      </c>
      <c r="U5" s="480"/>
      <c r="V5" s="482" t="s">
        <v>60</v>
      </c>
      <c r="W5" s="482" t="s">
        <v>61</v>
      </c>
      <c r="X5" s="482" t="s">
        <v>60</v>
      </c>
      <c r="Y5" s="482" t="s">
        <v>61</v>
      </c>
      <c r="Z5" s="482"/>
    </row>
    <row r="6" spans="1:29" ht="12" thickBot="1" x14ac:dyDescent="0.25">
      <c r="A6" s="514" t="s">
        <v>607</v>
      </c>
      <c r="B6" s="514" t="s">
        <v>1034</v>
      </c>
      <c r="C6" s="484" t="s">
        <v>114</v>
      </c>
      <c r="D6" s="513" t="s">
        <v>1035</v>
      </c>
      <c r="E6" s="484" t="s">
        <v>142</v>
      </c>
      <c r="F6" s="484" t="s">
        <v>1036</v>
      </c>
      <c r="K6" s="477" t="s">
        <v>1657</v>
      </c>
      <c r="L6" s="482" t="s">
        <v>1037</v>
      </c>
      <c r="M6" s="482" t="s">
        <v>1037</v>
      </c>
      <c r="N6" s="480" t="s">
        <v>169</v>
      </c>
      <c r="O6" s="480" t="s">
        <v>1657</v>
      </c>
      <c r="Q6" s="480"/>
      <c r="R6" s="480"/>
      <c r="S6" s="556" t="s">
        <v>1663</v>
      </c>
      <c r="T6" s="480" t="s">
        <v>169</v>
      </c>
      <c r="U6" s="480" t="s">
        <v>1657</v>
      </c>
      <c r="V6" s="482" t="s">
        <v>1037</v>
      </c>
      <c r="W6" s="482" t="s">
        <v>1037</v>
      </c>
      <c r="X6" s="482" t="s">
        <v>1037</v>
      </c>
      <c r="Y6" s="482" t="s">
        <v>1037</v>
      </c>
      <c r="Z6" s="482" t="s">
        <v>140</v>
      </c>
    </row>
    <row r="7" spans="1:29" x14ac:dyDescent="0.2">
      <c r="A7" s="503" t="s">
        <v>861</v>
      </c>
      <c r="B7" s="504" t="s">
        <v>1038</v>
      </c>
      <c r="C7" s="505" t="s">
        <v>1039</v>
      </c>
      <c r="D7" s="506"/>
      <c r="E7" s="506"/>
      <c r="F7" s="516" t="s">
        <v>1040</v>
      </c>
      <c r="G7" s="557">
        <v>0.66454209996645419</v>
      </c>
      <c r="H7" s="558">
        <v>0.67728950016772893</v>
      </c>
      <c r="I7" s="554">
        <f>1-G7</f>
        <v>0.33545790003354581</v>
      </c>
      <c r="J7" s="554">
        <f>1+H7</f>
        <v>1.677289500167729</v>
      </c>
      <c r="K7" s="546">
        <v>-3</v>
      </c>
      <c r="L7" s="521">
        <f>ROUND($F7*$I7,$K7)</f>
        <v>3000</v>
      </c>
      <c r="M7" s="521">
        <f>ROUND($F7*$J7,$K7)</f>
        <v>14000</v>
      </c>
      <c r="N7" s="528" t="s">
        <v>1039</v>
      </c>
      <c r="O7" s="551">
        <v>-3</v>
      </c>
      <c r="P7" s="534">
        <f t="shared" ref="P7:P32" si="0">ROUND($L7/$P$3,$O7)</f>
        <v>2000</v>
      </c>
      <c r="Q7" s="534">
        <f t="shared" ref="Q7:Q32" si="1">ROUND($M7/$P$3,$O7)</f>
        <v>7000</v>
      </c>
      <c r="R7" s="522" t="s">
        <v>1656</v>
      </c>
      <c r="S7" s="539"/>
      <c r="T7" s="548" t="s">
        <v>1662</v>
      </c>
      <c r="U7" s="553">
        <v>-6</v>
      </c>
      <c r="V7" s="534">
        <f>ROUND($P7*$W$2,$U7)</f>
        <v>11000000</v>
      </c>
      <c r="W7" s="534">
        <f>ROUND($Q7*$W$2,$U7)</f>
        <v>37000000</v>
      </c>
      <c r="X7" s="539">
        <v>0</v>
      </c>
      <c r="Y7" s="539">
        <v>500</v>
      </c>
      <c r="Z7" s="522"/>
    </row>
    <row r="8" spans="1:29" x14ac:dyDescent="0.2">
      <c r="A8" s="507" t="s">
        <v>1042</v>
      </c>
      <c r="B8" s="495" t="s">
        <v>1043</v>
      </c>
      <c r="C8" s="496" t="s">
        <v>1039</v>
      </c>
      <c r="D8" s="496" t="s">
        <v>872</v>
      </c>
      <c r="E8" s="496" t="s">
        <v>1044</v>
      </c>
      <c r="F8" s="517" t="s">
        <v>1045</v>
      </c>
      <c r="G8" s="559">
        <v>0.66454209996645419</v>
      </c>
      <c r="H8" s="560">
        <v>0.67728950016772893</v>
      </c>
      <c r="I8" s="490">
        <f>1-G8</f>
        <v>0.33545790003354581</v>
      </c>
      <c r="J8" s="490">
        <f>1+H8</f>
        <v>1.677289500167729</v>
      </c>
      <c r="K8" s="547">
        <v>-3</v>
      </c>
      <c r="L8" s="491">
        <f t="shared" ref="L8:L42" si="2">ROUND($F8*$I8,$K8)</f>
        <v>1000</v>
      </c>
      <c r="M8" s="491">
        <f t="shared" ref="M8:M42" si="3">ROUND($F8*$J8,$K8)</f>
        <v>5000</v>
      </c>
      <c r="N8" s="529" t="s">
        <v>1039</v>
      </c>
      <c r="O8" s="540">
        <v>-3</v>
      </c>
      <c r="P8" s="493">
        <f t="shared" si="0"/>
        <v>1000</v>
      </c>
      <c r="Q8" s="493">
        <f t="shared" si="1"/>
        <v>3000</v>
      </c>
      <c r="R8" s="523" t="s">
        <v>1656</v>
      </c>
      <c r="S8" s="492" t="s">
        <v>239</v>
      </c>
      <c r="T8" s="531" t="s">
        <v>1662</v>
      </c>
      <c r="U8" s="533">
        <v>-6</v>
      </c>
      <c r="V8" s="493">
        <f t="shared" ref="V8:V42" si="4">ROUND($P8*$W$2,$U8)</f>
        <v>5000000</v>
      </c>
      <c r="W8" s="493">
        <f t="shared" ref="W8:W42" si="5">ROUND($Q8*$W$2,$U8)</f>
        <v>16000000</v>
      </c>
      <c r="X8" s="492">
        <v>0</v>
      </c>
      <c r="Y8" s="492">
        <v>500</v>
      </c>
      <c r="Z8" s="523" t="s">
        <v>1046</v>
      </c>
    </row>
    <row r="9" spans="1:29" x14ac:dyDescent="0.2">
      <c r="A9" s="507" t="s">
        <v>1047</v>
      </c>
      <c r="B9" s="495" t="s">
        <v>1048</v>
      </c>
      <c r="C9" s="496" t="s">
        <v>1039</v>
      </c>
      <c r="D9" s="496" t="s">
        <v>1049</v>
      </c>
      <c r="E9" s="496" t="s">
        <v>1050</v>
      </c>
      <c r="F9" s="517" t="s">
        <v>1051</v>
      </c>
      <c r="G9" s="559">
        <v>0.66454209996645419</v>
      </c>
      <c r="H9" s="560">
        <v>0.67728950016772893</v>
      </c>
      <c r="I9" s="490">
        <f t="shared" ref="I9:I42" si="6">1-G9</f>
        <v>0.33545790003354581</v>
      </c>
      <c r="J9" s="490">
        <f>1+H9</f>
        <v>1.677289500167729</v>
      </c>
      <c r="K9" s="547">
        <v>-3</v>
      </c>
      <c r="L9" s="491">
        <f>ROUND($F9*$I9,$K9)</f>
        <v>1000</v>
      </c>
      <c r="M9" s="491">
        <f t="shared" si="3"/>
        <v>5000</v>
      </c>
      <c r="N9" s="529" t="s">
        <v>1039</v>
      </c>
      <c r="O9" s="540">
        <v>-3</v>
      </c>
      <c r="P9" s="493">
        <f t="shared" si="0"/>
        <v>1000</v>
      </c>
      <c r="Q9" s="493">
        <f t="shared" si="1"/>
        <v>3000</v>
      </c>
      <c r="R9" s="523" t="s">
        <v>1656</v>
      </c>
      <c r="S9" s="492" t="s">
        <v>240</v>
      </c>
      <c r="T9" s="531" t="s">
        <v>1662</v>
      </c>
      <c r="U9" s="533">
        <v>-6</v>
      </c>
      <c r="V9" s="493">
        <f>ROUND($P9*$W$2,$U9)</f>
        <v>5000000</v>
      </c>
      <c r="W9" s="493">
        <f t="shared" si="5"/>
        <v>16000000</v>
      </c>
      <c r="X9" s="492">
        <v>0</v>
      </c>
      <c r="Y9" s="492">
        <v>500</v>
      </c>
      <c r="Z9" s="523" t="s">
        <v>1052</v>
      </c>
      <c r="AB9" s="485"/>
      <c r="AC9" s="485"/>
    </row>
    <row r="10" spans="1:29" x14ac:dyDescent="0.2">
      <c r="A10" s="507" t="s">
        <v>1053</v>
      </c>
      <c r="B10" s="495" t="s">
        <v>1054</v>
      </c>
      <c r="C10" s="496" t="s">
        <v>1039</v>
      </c>
      <c r="D10" s="496" t="s">
        <v>1055</v>
      </c>
      <c r="E10" s="496" t="s">
        <v>1056</v>
      </c>
      <c r="F10" s="517" t="s">
        <v>1057</v>
      </c>
      <c r="G10" s="559">
        <v>0.6953077391834247</v>
      </c>
      <c r="H10" s="560">
        <v>0.52346130408287628</v>
      </c>
      <c r="I10" s="490">
        <f t="shared" si="6"/>
        <v>0.3046922608165753</v>
      </c>
      <c r="J10" s="490">
        <f t="shared" ref="J10:J42" si="7">1+H10</f>
        <v>1.5234613040828764</v>
      </c>
      <c r="K10" s="547">
        <v>-3</v>
      </c>
      <c r="L10" s="491">
        <f t="shared" si="2"/>
        <v>1000</v>
      </c>
      <c r="M10" s="491">
        <f t="shared" si="3"/>
        <v>5000</v>
      </c>
      <c r="N10" s="529" t="s">
        <v>1039</v>
      </c>
      <c r="O10" s="540">
        <v>-3</v>
      </c>
      <c r="P10" s="493">
        <f t="shared" si="0"/>
        <v>1000</v>
      </c>
      <c r="Q10" s="493">
        <f t="shared" si="1"/>
        <v>3000</v>
      </c>
      <c r="R10" s="523" t="s">
        <v>1656</v>
      </c>
      <c r="S10" s="492" t="s">
        <v>241</v>
      </c>
      <c r="T10" s="531" t="s">
        <v>1662</v>
      </c>
      <c r="U10" s="533">
        <v>-6</v>
      </c>
      <c r="V10" s="493">
        <f>ROUND($P10*$W$2,$U10)</f>
        <v>5000000</v>
      </c>
      <c r="W10" s="493">
        <f>ROUND($Q10*$W$2,$U10)</f>
        <v>16000000</v>
      </c>
      <c r="X10" s="492">
        <v>0</v>
      </c>
      <c r="Y10" s="492">
        <v>500</v>
      </c>
      <c r="Z10" s="523" t="s">
        <v>1052</v>
      </c>
      <c r="AB10" s="485"/>
      <c r="AC10" s="485"/>
    </row>
    <row r="11" spans="1:29" x14ac:dyDescent="0.2">
      <c r="A11" s="507" t="s">
        <v>1058</v>
      </c>
      <c r="B11" s="495" t="s">
        <v>1059</v>
      </c>
      <c r="C11" s="496" t="s">
        <v>1039</v>
      </c>
      <c r="D11" s="496" t="s">
        <v>862</v>
      </c>
      <c r="E11" s="496" t="s">
        <v>1060</v>
      </c>
      <c r="F11" s="517" t="s">
        <v>1061</v>
      </c>
      <c r="G11" s="559"/>
      <c r="H11" s="560"/>
      <c r="I11" s="490">
        <f t="shared" si="6"/>
        <v>1</v>
      </c>
      <c r="J11" s="490">
        <f t="shared" si="7"/>
        <v>1</v>
      </c>
      <c r="K11" s="547">
        <v>-3</v>
      </c>
      <c r="L11" s="491">
        <f t="shared" si="2"/>
        <v>8000</v>
      </c>
      <c r="M11" s="491">
        <f t="shared" si="3"/>
        <v>8000</v>
      </c>
      <c r="N11" s="529" t="s">
        <v>1039</v>
      </c>
      <c r="O11" s="540">
        <v>-3</v>
      </c>
      <c r="P11" s="493">
        <f t="shared" si="0"/>
        <v>4000</v>
      </c>
      <c r="Q11" s="493">
        <f t="shared" si="1"/>
        <v>4000</v>
      </c>
      <c r="R11" s="523" t="s">
        <v>1656</v>
      </c>
      <c r="S11" s="492"/>
      <c r="T11" s="531" t="s">
        <v>1662</v>
      </c>
      <c r="U11" s="533">
        <v>-6</v>
      </c>
      <c r="V11" s="493">
        <f>ROUND($P11*$W$2,$U11)</f>
        <v>21000000</v>
      </c>
      <c r="W11" s="493">
        <f t="shared" si="5"/>
        <v>21000000</v>
      </c>
      <c r="X11" s="492">
        <v>0</v>
      </c>
      <c r="Y11" s="492">
        <v>500</v>
      </c>
      <c r="Z11" s="523"/>
    </row>
    <row r="12" spans="1:29" x14ac:dyDescent="0.2">
      <c r="A12" s="508" t="s">
        <v>1062</v>
      </c>
      <c r="B12" s="498" t="s">
        <v>1063</v>
      </c>
      <c r="C12" s="496" t="s">
        <v>1039</v>
      </c>
      <c r="D12" s="496" t="s">
        <v>1064</v>
      </c>
      <c r="E12" s="496" t="s">
        <v>1065</v>
      </c>
      <c r="F12" s="517" t="s">
        <v>1066</v>
      </c>
      <c r="G12" s="559">
        <v>0.57976571938855914</v>
      </c>
      <c r="H12" s="560">
        <v>1.1011714030572044</v>
      </c>
      <c r="I12" s="490">
        <f t="shared" si="6"/>
        <v>0.42023428061144086</v>
      </c>
      <c r="J12" s="490">
        <f t="shared" si="7"/>
        <v>2.1011714030572044</v>
      </c>
      <c r="K12" s="547">
        <v>-3</v>
      </c>
      <c r="L12" s="491">
        <f t="shared" si="2"/>
        <v>8000</v>
      </c>
      <c r="M12" s="491">
        <f t="shared" si="3"/>
        <v>40000</v>
      </c>
      <c r="N12" s="529" t="s">
        <v>1039</v>
      </c>
      <c r="O12" s="540">
        <v>-3</v>
      </c>
      <c r="P12" s="493">
        <f t="shared" si="0"/>
        <v>4000</v>
      </c>
      <c r="Q12" s="493">
        <f t="shared" si="1"/>
        <v>20000</v>
      </c>
      <c r="R12" s="523" t="s">
        <v>1656</v>
      </c>
      <c r="S12" s="492" t="s">
        <v>244</v>
      </c>
      <c r="T12" s="531" t="s">
        <v>1662</v>
      </c>
      <c r="U12" s="533">
        <v>-6</v>
      </c>
      <c r="V12" s="493">
        <f t="shared" si="4"/>
        <v>21000000</v>
      </c>
      <c r="W12" s="1282">
        <f>ROUND($Q12*$W$2,$U12)</f>
        <v>106000000</v>
      </c>
      <c r="X12" s="492">
        <v>0</v>
      </c>
      <c r="Y12" s="492">
        <v>500</v>
      </c>
      <c r="Z12" s="523" t="s">
        <v>1067</v>
      </c>
    </row>
    <row r="13" spans="1:29" x14ac:dyDescent="0.2">
      <c r="A13" s="507" t="s">
        <v>1068</v>
      </c>
      <c r="B13" s="498" t="s">
        <v>1069</v>
      </c>
      <c r="C13" s="496" t="s">
        <v>1039</v>
      </c>
      <c r="D13" s="496" t="s">
        <v>862</v>
      </c>
      <c r="E13" s="496" t="s">
        <v>1070</v>
      </c>
      <c r="F13" s="517" t="s">
        <v>1071</v>
      </c>
      <c r="G13" s="559">
        <v>0.51731627850850725</v>
      </c>
      <c r="H13" s="560">
        <v>0.81006395559309763</v>
      </c>
      <c r="I13" s="490">
        <f t="shared" si="6"/>
        <v>0.48268372149149275</v>
      </c>
      <c r="J13" s="490">
        <f t="shared" si="7"/>
        <v>1.8100639555930975</v>
      </c>
      <c r="K13" s="547">
        <v>-3</v>
      </c>
      <c r="L13" s="491">
        <f t="shared" si="2"/>
        <v>4000</v>
      </c>
      <c r="M13" s="491">
        <f t="shared" si="3"/>
        <v>15000</v>
      </c>
      <c r="N13" s="529" t="s">
        <v>1039</v>
      </c>
      <c r="O13" s="540">
        <v>-3</v>
      </c>
      <c r="P13" s="493">
        <f t="shared" si="0"/>
        <v>2000</v>
      </c>
      <c r="Q13" s="493">
        <f t="shared" si="1"/>
        <v>8000</v>
      </c>
      <c r="R13" s="523" t="s">
        <v>1656</v>
      </c>
      <c r="S13" s="492" t="s">
        <v>243</v>
      </c>
      <c r="T13" s="531" t="s">
        <v>1662</v>
      </c>
      <c r="U13" s="533">
        <v>-6</v>
      </c>
      <c r="V13" s="493">
        <f t="shared" si="4"/>
        <v>11000000</v>
      </c>
      <c r="W13" s="1282">
        <f t="shared" si="5"/>
        <v>42000000</v>
      </c>
      <c r="X13" s="492">
        <v>0</v>
      </c>
      <c r="Y13" s="492">
        <v>500</v>
      </c>
      <c r="Z13" s="523" t="s">
        <v>1052</v>
      </c>
      <c r="AB13" s="485"/>
      <c r="AC13" s="485"/>
    </row>
    <row r="14" spans="1:29" x14ac:dyDescent="0.2">
      <c r="A14" s="507" t="s">
        <v>1072</v>
      </c>
      <c r="B14" s="498" t="s">
        <v>1073</v>
      </c>
      <c r="C14" s="496" t="s">
        <v>1039</v>
      </c>
      <c r="D14" s="496" t="s">
        <v>1074</v>
      </c>
      <c r="E14" s="496" t="s">
        <v>1074</v>
      </c>
      <c r="F14" s="517" t="s">
        <v>1075</v>
      </c>
      <c r="G14" s="559"/>
      <c r="H14" s="560"/>
      <c r="I14" s="490">
        <f t="shared" si="6"/>
        <v>1</v>
      </c>
      <c r="J14" s="490">
        <f t="shared" si="7"/>
        <v>1</v>
      </c>
      <c r="K14" s="547">
        <v>-3</v>
      </c>
      <c r="L14" s="491">
        <f t="shared" si="2"/>
        <v>0</v>
      </c>
      <c r="M14" s="491">
        <f t="shared" si="3"/>
        <v>0</v>
      </c>
      <c r="N14" s="529" t="s">
        <v>1039</v>
      </c>
      <c r="O14" s="540">
        <v>-3</v>
      </c>
      <c r="P14" s="493">
        <f t="shared" si="0"/>
        <v>0</v>
      </c>
      <c r="Q14" s="493">
        <f t="shared" si="1"/>
        <v>0</v>
      </c>
      <c r="R14" s="523" t="s">
        <v>1656</v>
      </c>
      <c r="T14" s="531" t="s">
        <v>1662</v>
      </c>
      <c r="U14" s="533">
        <v>-6</v>
      </c>
      <c r="V14" s="493">
        <f t="shared" si="4"/>
        <v>0</v>
      </c>
      <c r="W14" s="493">
        <f t="shared" si="5"/>
        <v>0</v>
      </c>
      <c r="X14" s="492">
        <v>0</v>
      </c>
      <c r="Y14" s="492">
        <v>500</v>
      </c>
      <c r="Z14" s="523" t="s">
        <v>1052</v>
      </c>
    </row>
    <row r="15" spans="1:29" x14ac:dyDescent="0.2">
      <c r="A15" s="507" t="s">
        <v>1076</v>
      </c>
      <c r="B15" s="498" t="s">
        <v>1077</v>
      </c>
      <c r="C15" s="496" t="s">
        <v>1039</v>
      </c>
      <c r="D15" s="496" t="s">
        <v>861</v>
      </c>
      <c r="E15" s="496" t="s">
        <v>1078</v>
      </c>
      <c r="F15" s="517" t="s">
        <v>1079</v>
      </c>
      <c r="G15" s="559">
        <v>0.51731627850850725</v>
      </c>
      <c r="H15" s="560">
        <v>0.81006395559309763</v>
      </c>
      <c r="I15" s="490">
        <f t="shared" si="6"/>
        <v>0.48268372149149275</v>
      </c>
      <c r="J15" s="490">
        <f t="shared" si="7"/>
        <v>1.8100639555930975</v>
      </c>
      <c r="K15" s="547">
        <v>-3</v>
      </c>
      <c r="L15" s="491">
        <f t="shared" si="2"/>
        <v>3000</v>
      </c>
      <c r="M15" s="491">
        <f t="shared" si="3"/>
        <v>10000</v>
      </c>
      <c r="N15" s="529" t="s">
        <v>1039</v>
      </c>
      <c r="O15" s="540">
        <v>-3</v>
      </c>
      <c r="P15" s="493">
        <f t="shared" si="0"/>
        <v>2000</v>
      </c>
      <c r="Q15" s="493">
        <f t="shared" si="1"/>
        <v>5000</v>
      </c>
      <c r="R15" s="523" t="s">
        <v>1656</v>
      </c>
      <c r="S15" s="492" t="s">
        <v>242</v>
      </c>
      <c r="T15" s="531" t="s">
        <v>1662</v>
      </c>
      <c r="U15" s="533">
        <v>-6</v>
      </c>
      <c r="V15" s="493">
        <f t="shared" si="4"/>
        <v>11000000</v>
      </c>
      <c r="W15" s="493">
        <f t="shared" si="5"/>
        <v>26000000</v>
      </c>
      <c r="X15" s="492">
        <v>0</v>
      </c>
      <c r="Y15" s="492">
        <v>500</v>
      </c>
      <c r="Z15" s="523"/>
    </row>
    <row r="16" spans="1:29" x14ac:dyDescent="0.2">
      <c r="A16" s="507" t="s">
        <v>1080</v>
      </c>
      <c r="B16" s="495" t="s">
        <v>1081</v>
      </c>
      <c r="C16" s="496" t="s">
        <v>1039</v>
      </c>
      <c r="D16" s="496" t="s">
        <v>1082</v>
      </c>
      <c r="E16" s="496" t="s">
        <v>1083</v>
      </c>
      <c r="F16" s="517" t="s">
        <v>1084</v>
      </c>
      <c r="G16" s="559">
        <v>0.61802902979373564</v>
      </c>
      <c r="H16" s="560">
        <v>0.90985485103132158</v>
      </c>
      <c r="I16" s="490">
        <f t="shared" si="6"/>
        <v>0.38197097020626436</v>
      </c>
      <c r="J16" s="490">
        <f t="shared" si="7"/>
        <v>1.9098548510313216</v>
      </c>
      <c r="K16" s="547">
        <v>-3</v>
      </c>
      <c r="L16" s="491">
        <f t="shared" si="2"/>
        <v>1000</v>
      </c>
      <c r="M16" s="491">
        <f t="shared" si="3"/>
        <v>5000</v>
      </c>
      <c r="N16" s="529" t="s">
        <v>1039</v>
      </c>
      <c r="O16" s="540">
        <v>-3</v>
      </c>
      <c r="P16" s="493">
        <f t="shared" si="0"/>
        <v>1000</v>
      </c>
      <c r="Q16" s="493">
        <f t="shared" si="1"/>
        <v>3000</v>
      </c>
      <c r="R16" s="523" t="s">
        <v>1656</v>
      </c>
      <c r="S16" s="492" t="s">
        <v>245</v>
      </c>
      <c r="T16" s="531" t="s">
        <v>1662</v>
      </c>
      <c r="U16" s="533">
        <v>-6</v>
      </c>
      <c r="V16" s="493">
        <f t="shared" si="4"/>
        <v>5000000</v>
      </c>
      <c r="W16" s="493">
        <f t="shared" si="5"/>
        <v>16000000</v>
      </c>
      <c r="X16" s="492">
        <v>0</v>
      </c>
      <c r="Y16" s="492">
        <v>500</v>
      </c>
      <c r="Z16" s="523" t="s">
        <v>1052</v>
      </c>
    </row>
    <row r="17" spans="1:26" x14ac:dyDescent="0.2">
      <c r="A17" s="507" t="s">
        <v>1085</v>
      </c>
      <c r="B17" s="495" t="s">
        <v>1086</v>
      </c>
      <c r="C17" s="496" t="s">
        <v>1039</v>
      </c>
      <c r="D17" s="496" t="s">
        <v>1087</v>
      </c>
      <c r="E17" s="496" t="s">
        <v>1088</v>
      </c>
      <c r="F17" s="517" t="s">
        <v>1089</v>
      </c>
      <c r="G17" s="559">
        <v>0.61802902979373564</v>
      </c>
      <c r="H17" s="560">
        <v>0.90985485103132158</v>
      </c>
      <c r="I17" s="490">
        <f t="shared" si="6"/>
        <v>0.38197097020626436</v>
      </c>
      <c r="J17" s="490">
        <f t="shared" si="7"/>
        <v>1.9098548510313216</v>
      </c>
      <c r="K17" s="547">
        <v>-3</v>
      </c>
      <c r="L17" s="491">
        <f t="shared" si="2"/>
        <v>6000</v>
      </c>
      <c r="M17" s="491">
        <f t="shared" si="3"/>
        <v>31000</v>
      </c>
      <c r="N17" s="529" t="s">
        <v>1039</v>
      </c>
      <c r="O17" s="540">
        <v>-3</v>
      </c>
      <c r="P17" s="493">
        <f t="shared" si="0"/>
        <v>3000</v>
      </c>
      <c r="Q17" s="493">
        <f t="shared" si="1"/>
        <v>16000</v>
      </c>
      <c r="R17" s="523" t="s">
        <v>1656</v>
      </c>
      <c r="S17" s="492" t="s">
        <v>247</v>
      </c>
      <c r="T17" s="531" t="s">
        <v>1662</v>
      </c>
      <c r="U17" s="533">
        <v>-6</v>
      </c>
      <c r="V17" s="493">
        <f t="shared" si="4"/>
        <v>16000000</v>
      </c>
      <c r="W17" s="493">
        <f t="shared" si="5"/>
        <v>84000000</v>
      </c>
      <c r="X17" s="492">
        <v>0</v>
      </c>
      <c r="Y17" s="492">
        <v>500</v>
      </c>
      <c r="Z17" s="523" t="s">
        <v>1052</v>
      </c>
    </row>
    <row r="18" spans="1:26" x14ac:dyDescent="0.2">
      <c r="A18" s="508" t="s">
        <v>1090</v>
      </c>
      <c r="B18" s="498" t="s">
        <v>1091</v>
      </c>
      <c r="C18" s="496" t="s">
        <v>1039</v>
      </c>
      <c r="D18" s="496" t="s">
        <v>1064</v>
      </c>
      <c r="E18" s="496" t="s">
        <v>1092</v>
      </c>
      <c r="F18" s="517" t="s">
        <v>1093</v>
      </c>
      <c r="G18" s="559"/>
      <c r="H18" s="560"/>
      <c r="I18" s="490">
        <f t="shared" si="6"/>
        <v>1</v>
      </c>
      <c r="J18" s="490">
        <f t="shared" si="7"/>
        <v>1</v>
      </c>
      <c r="K18" s="547">
        <v>-3</v>
      </c>
      <c r="L18" s="491">
        <f t="shared" si="2"/>
        <v>11000</v>
      </c>
      <c r="M18" s="491">
        <f t="shared" si="3"/>
        <v>11000</v>
      </c>
      <c r="N18" s="529" t="s">
        <v>1039</v>
      </c>
      <c r="O18" s="540">
        <v>-3</v>
      </c>
      <c r="P18" s="493">
        <f t="shared" si="0"/>
        <v>6000</v>
      </c>
      <c r="Q18" s="493">
        <f t="shared" si="1"/>
        <v>6000</v>
      </c>
      <c r="R18" s="523" t="s">
        <v>1656</v>
      </c>
      <c r="S18" s="492"/>
      <c r="T18" s="531" t="s">
        <v>1662</v>
      </c>
      <c r="U18" s="533">
        <v>-6</v>
      </c>
      <c r="V18" s="493">
        <f t="shared" si="4"/>
        <v>32000000</v>
      </c>
      <c r="W18" s="493">
        <f t="shared" si="5"/>
        <v>32000000</v>
      </c>
      <c r="X18" s="492">
        <v>0</v>
      </c>
      <c r="Y18" s="492">
        <v>500</v>
      </c>
      <c r="Z18" s="523"/>
    </row>
    <row r="19" spans="1:26" x14ac:dyDescent="0.2">
      <c r="A19" s="507" t="s">
        <v>1094</v>
      </c>
      <c r="B19" s="498" t="s">
        <v>1095</v>
      </c>
      <c r="C19" s="496" t="s">
        <v>1039</v>
      </c>
      <c r="D19" s="496" t="s">
        <v>1096</v>
      </c>
      <c r="E19" s="496" t="s">
        <v>1097</v>
      </c>
      <c r="F19" s="517" t="s">
        <v>1098</v>
      </c>
      <c r="G19" s="559"/>
      <c r="H19" s="560"/>
      <c r="I19" s="490">
        <f t="shared" si="6"/>
        <v>1</v>
      </c>
      <c r="J19" s="490">
        <f t="shared" si="7"/>
        <v>1</v>
      </c>
      <c r="K19" s="547">
        <v>-3</v>
      </c>
      <c r="L19" s="491">
        <f t="shared" si="2"/>
        <v>15000</v>
      </c>
      <c r="M19" s="491">
        <f t="shared" si="3"/>
        <v>15000</v>
      </c>
      <c r="N19" s="529" t="s">
        <v>1039</v>
      </c>
      <c r="O19" s="540">
        <v>-3</v>
      </c>
      <c r="P19" s="493">
        <f t="shared" si="0"/>
        <v>8000</v>
      </c>
      <c r="Q19" s="493">
        <f t="shared" si="1"/>
        <v>8000</v>
      </c>
      <c r="R19" s="523" t="s">
        <v>1656</v>
      </c>
      <c r="S19" s="492"/>
      <c r="T19" s="531" t="s">
        <v>1662</v>
      </c>
      <c r="U19" s="533">
        <v>-6</v>
      </c>
      <c r="V19" s="493">
        <f t="shared" si="4"/>
        <v>42000000</v>
      </c>
      <c r="W19" s="493">
        <f t="shared" si="5"/>
        <v>42000000</v>
      </c>
      <c r="X19" s="492">
        <v>0</v>
      </c>
      <c r="Y19" s="492">
        <v>500</v>
      </c>
      <c r="Z19" s="523"/>
    </row>
    <row r="20" spans="1:26" x14ac:dyDescent="0.2">
      <c r="A20" s="507" t="s">
        <v>1099</v>
      </c>
      <c r="B20" s="498" t="s">
        <v>1100</v>
      </c>
      <c r="C20" s="496" t="s">
        <v>1039</v>
      </c>
      <c r="D20" s="496" t="s">
        <v>1074</v>
      </c>
      <c r="E20" s="496" t="s">
        <v>1074</v>
      </c>
      <c r="F20" s="517" t="s">
        <v>1075</v>
      </c>
      <c r="G20" s="559"/>
      <c r="H20" s="560"/>
      <c r="I20" s="490">
        <f t="shared" si="6"/>
        <v>1</v>
      </c>
      <c r="J20" s="490">
        <f t="shared" si="7"/>
        <v>1</v>
      </c>
      <c r="K20" s="547">
        <v>-3</v>
      </c>
      <c r="L20" s="491">
        <f t="shared" si="2"/>
        <v>0</v>
      </c>
      <c r="M20" s="491">
        <f t="shared" si="3"/>
        <v>0</v>
      </c>
      <c r="N20" s="529" t="s">
        <v>1039</v>
      </c>
      <c r="O20" s="540">
        <v>-3</v>
      </c>
      <c r="P20" s="493">
        <f t="shared" si="0"/>
        <v>0</v>
      </c>
      <c r="Q20" s="493">
        <f t="shared" si="1"/>
        <v>0</v>
      </c>
      <c r="R20" s="523" t="s">
        <v>1656</v>
      </c>
      <c r="S20" s="492"/>
      <c r="T20" s="531" t="s">
        <v>1662</v>
      </c>
      <c r="U20" s="533">
        <v>-6</v>
      </c>
      <c r="V20" s="493">
        <f t="shared" si="4"/>
        <v>0</v>
      </c>
      <c r="W20" s="493">
        <f t="shared" si="5"/>
        <v>0</v>
      </c>
      <c r="X20" s="492">
        <v>0</v>
      </c>
      <c r="Y20" s="492">
        <v>500</v>
      </c>
      <c r="Z20" s="523"/>
    </row>
    <row r="21" spans="1:26" x14ac:dyDescent="0.2">
      <c r="A21" s="507" t="s">
        <v>1101</v>
      </c>
      <c r="B21" s="498" t="s">
        <v>1102</v>
      </c>
      <c r="C21" s="496" t="s">
        <v>1039</v>
      </c>
      <c r="D21" s="496" t="s">
        <v>1064</v>
      </c>
      <c r="E21" s="496" t="s">
        <v>1103</v>
      </c>
      <c r="F21" s="517" t="s">
        <v>1104</v>
      </c>
      <c r="G21" s="559"/>
      <c r="H21" s="560"/>
      <c r="I21" s="490">
        <f t="shared" si="6"/>
        <v>1</v>
      </c>
      <c r="J21" s="490">
        <f t="shared" si="7"/>
        <v>1</v>
      </c>
      <c r="K21" s="547">
        <v>-3</v>
      </c>
      <c r="L21" s="491">
        <f t="shared" si="2"/>
        <v>22000</v>
      </c>
      <c r="M21" s="491">
        <f t="shared" si="3"/>
        <v>22000</v>
      </c>
      <c r="N21" s="529" t="s">
        <v>1039</v>
      </c>
      <c r="O21" s="540">
        <v>-3</v>
      </c>
      <c r="P21" s="493">
        <f t="shared" si="0"/>
        <v>11000</v>
      </c>
      <c r="Q21" s="493">
        <f t="shared" si="1"/>
        <v>11000</v>
      </c>
      <c r="R21" s="523" t="s">
        <v>1656</v>
      </c>
      <c r="S21" s="492"/>
      <c r="T21" s="531" t="s">
        <v>1662</v>
      </c>
      <c r="U21" s="533">
        <v>-6</v>
      </c>
      <c r="V21" s="493">
        <f t="shared" si="4"/>
        <v>58000000</v>
      </c>
      <c r="W21" s="493">
        <f t="shared" si="5"/>
        <v>58000000</v>
      </c>
      <c r="X21" s="492">
        <v>0</v>
      </c>
      <c r="Y21" s="492">
        <v>500</v>
      </c>
      <c r="Z21" s="523"/>
    </row>
    <row r="22" spans="1:26" x14ac:dyDescent="0.2">
      <c r="A22" s="507" t="s">
        <v>1105</v>
      </c>
      <c r="B22" s="498" t="s">
        <v>1077</v>
      </c>
      <c r="C22" s="496" t="s">
        <v>1039</v>
      </c>
      <c r="D22" s="496" t="s">
        <v>1087</v>
      </c>
      <c r="E22" s="496" t="s">
        <v>1106</v>
      </c>
      <c r="F22" s="517" t="s">
        <v>1107</v>
      </c>
      <c r="G22" s="559"/>
      <c r="H22" s="560"/>
      <c r="I22" s="490">
        <f t="shared" si="6"/>
        <v>1</v>
      </c>
      <c r="J22" s="490">
        <f t="shared" si="7"/>
        <v>1</v>
      </c>
      <c r="K22" s="547">
        <v>-3</v>
      </c>
      <c r="L22" s="491">
        <f t="shared" si="2"/>
        <v>17000</v>
      </c>
      <c r="M22" s="491">
        <f t="shared" si="3"/>
        <v>17000</v>
      </c>
      <c r="N22" s="529" t="s">
        <v>1039</v>
      </c>
      <c r="O22" s="540">
        <v>-3</v>
      </c>
      <c r="P22" s="493">
        <f t="shared" si="0"/>
        <v>9000</v>
      </c>
      <c r="Q22" s="493">
        <f t="shared" si="1"/>
        <v>9000</v>
      </c>
      <c r="R22" s="523" t="s">
        <v>1656</v>
      </c>
      <c r="S22" s="492"/>
      <c r="T22" s="531" t="s">
        <v>1662</v>
      </c>
      <c r="U22" s="533">
        <v>-6</v>
      </c>
      <c r="V22" s="493">
        <f t="shared" si="4"/>
        <v>48000000</v>
      </c>
      <c r="W22" s="493">
        <f t="shared" si="5"/>
        <v>48000000</v>
      </c>
      <c r="X22" s="492">
        <v>0</v>
      </c>
      <c r="Y22" s="492">
        <v>500</v>
      </c>
      <c r="Z22" s="523"/>
    </row>
    <row r="23" spans="1:26" x14ac:dyDescent="0.2">
      <c r="A23" s="507" t="s">
        <v>1108</v>
      </c>
      <c r="B23" s="495" t="s">
        <v>1109</v>
      </c>
      <c r="C23" s="496" t="s">
        <v>1039</v>
      </c>
      <c r="D23" s="496" t="s">
        <v>1064</v>
      </c>
      <c r="E23" s="496" t="s">
        <v>1110</v>
      </c>
      <c r="F23" s="517" t="s">
        <v>1111</v>
      </c>
      <c r="G23" s="559">
        <v>0.56640506438884797</v>
      </c>
      <c r="H23" s="560">
        <v>2.2519620170836405</v>
      </c>
      <c r="I23" s="490">
        <f t="shared" si="6"/>
        <v>0.43359493561115203</v>
      </c>
      <c r="J23" s="490">
        <f t="shared" si="7"/>
        <v>3.2519620170836405</v>
      </c>
      <c r="K23" s="547">
        <v>-3</v>
      </c>
      <c r="L23" s="491">
        <f t="shared" si="2"/>
        <v>10000</v>
      </c>
      <c r="M23" s="491">
        <f t="shared" si="3"/>
        <v>75000</v>
      </c>
      <c r="N23" s="529" t="s">
        <v>1039</v>
      </c>
      <c r="O23" s="540">
        <v>-3</v>
      </c>
      <c r="P23" s="493">
        <f t="shared" si="0"/>
        <v>5000</v>
      </c>
      <c r="Q23" s="493">
        <f t="shared" si="1"/>
        <v>38000</v>
      </c>
      <c r="R23" s="523" t="s">
        <v>1656</v>
      </c>
      <c r="S23" s="492"/>
      <c r="T23" s="531" t="s">
        <v>1662</v>
      </c>
      <c r="U23" s="533">
        <v>-6</v>
      </c>
      <c r="V23" s="493">
        <f t="shared" si="4"/>
        <v>26000000</v>
      </c>
      <c r="W23" s="493">
        <f t="shared" si="5"/>
        <v>201000000</v>
      </c>
      <c r="X23" s="492">
        <v>0</v>
      </c>
      <c r="Y23" s="492">
        <v>500</v>
      </c>
      <c r="Z23" s="523" t="s">
        <v>1112</v>
      </c>
    </row>
    <row r="24" spans="1:26" x14ac:dyDescent="0.2">
      <c r="A24" s="508" t="s">
        <v>1113</v>
      </c>
      <c r="B24" s="498" t="s">
        <v>1114</v>
      </c>
      <c r="C24" s="496" t="s">
        <v>1039</v>
      </c>
      <c r="D24" s="496" t="s">
        <v>1064</v>
      </c>
      <c r="E24" s="496" t="s">
        <v>1115</v>
      </c>
      <c r="F24" s="517" t="s">
        <v>1116</v>
      </c>
      <c r="G24" s="559"/>
      <c r="H24" s="560"/>
      <c r="I24" s="490">
        <f t="shared" si="6"/>
        <v>1</v>
      </c>
      <c r="J24" s="490">
        <f t="shared" si="7"/>
        <v>1</v>
      </c>
      <c r="K24" s="547">
        <v>-3</v>
      </c>
      <c r="L24" s="491">
        <f t="shared" si="2"/>
        <v>25000</v>
      </c>
      <c r="M24" s="491">
        <f t="shared" si="3"/>
        <v>25000</v>
      </c>
      <c r="N24" s="529" t="s">
        <v>1039</v>
      </c>
      <c r="O24" s="540">
        <v>-3</v>
      </c>
      <c r="P24" s="493">
        <f t="shared" si="0"/>
        <v>13000</v>
      </c>
      <c r="Q24" s="493">
        <f t="shared" si="1"/>
        <v>13000</v>
      </c>
      <c r="R24" s="523" t="s">
        <v>1656</v>
      </c>
      <c r="S24" s="492"/>
      <c r="T24" s="531" t="s">
        <v>1662</v>
      </c>
      <c r="U24" s="533">
        <v>-6</v>
      </c>
      <c r="V24" s="493">
        <f t="shared" si="4"/>
        <v>69000000</v>
      </c>
      <c r="W24" s="493">
        <f t="shared" si="5"/>
        <v>69000000</v>
      </c>
      <c r="X24" s="492">
        <v>0</v>
      </c>
      <c r="Y24" s="492">
        <v>500</v>
      </c>
      <c r="Z24" s="523"/>
    </row>
    <row r="25" spans="1:26" x14ac:dyDescent="0.2">
      <c r="A25" s="507" t="s">
        <v>1117</v>
      </c>
      <c r="B25" s="498" t="s">
        <v>1118</v>
      </c>
      <c r="C25" s="496" t="s">
        <v>1039</v>
      </c>
      <c r="D25" s="496" t="s">
        <v>1119</v>
      </c>
      <c r="E25" s="496" t="s">
        <v>1120</v>
      </c>
      <c r="F25" s="517" t="s">
        <v>1121</v>
      </c>
      <c r="G25" s="559"/>
      <c r="H25" s="560"/>
      <c r="I25" s="490">
        <f t="shared" si="6"/>
        <v>1</v>
      </c>
      <c r="J25" s="490">
        <f t="shared" si="7"/>
        <v>1</v>
      </c>
      <c r="K25" s="547">
        <v>-3</v>
      </c>
      <c r="L25" s="491">
        <f t="shared" si="2"/>
        <v>13000</v>
      </c>
      <c r="M25" s="491">
        <f t="shared" si="3"/>
        <v>13000</v>
      </c>
      <c r="N25" s="529" t="s">
        <v>1039</v>
      </c>
      <c r="O25" s="540">
        <v>-3</v>
      </c>
      <c r="P25" s="493">
        <f t="shared" si="0"/>
        <v>7000</v>
      </c>
      <c r="Q25" s="493">
        <f t="shared" si="1"/>
        <v>7000</v>
      </c>
      <c r="R25" s="523" t="s">
        <v>1656</v>
      </c>
      <c r="S25" s="492"/>
      <c r="T25" s="531" t="s">
        <v>1662</v>
      </c>
      <c r="U25" s="533">
        <v>-6</v>
      </c>
      <c r="V25" s="493">
        <f t="shared" si="4"/>
        <v>37000000</v>
      </c>
      <c r="W25" s="493">
        <f t="shared" si="5"/>
        <v>37000000</v>
      </c>
      <c r="X25" s="492">
        <v>0</v>
      </c>
      <c r="Y25" s="492">
        <v>500</v>
      </c>
      <c r="Z25" s="523"/>
    </row>
    <row r="26" spans="1:26" x14ac:dyDescent="0.2">
      <c r="A26" s="507" t="s">
        <v>1122</v>
      </c>
      <c r="B26" s="498" t="s">
        <v>1123</v>
      </c>
      <c r="C26" s="496" t="s">
        <v>1039</v>
      </c>
      <c r="D26" s="496" t="s">
        <v>1064</v>
      </c>
      <c r="E26" s="496" t="s">
        <v>1124</v>
      </c>
      <c r="F26" s="517" t="s">
        <v>1125</v>
      </c>
      <c r="G26" s="559"/>
      <c r="H26" s="560"/>
      <c r="I26" s="490">
        <f t="shared" si="6"/>
        <v>1</v>
      </c>
      <c r="J26" s="490">
        <f t="shared" si="7"/>
        <v>1</v>
      </c>
      <c r="K26" s="547">
        <v>-3</v>
      </c>
      <c r="L26" s="491">
        <f t="shared" si="2"/>
        <v>30000</v>
      </c>
      <c r="M26" s="491">
        <f t="shared" si="3"/>
        <v>30000</v>
      </c>
      <c r="N26" s="529" t="s">
        <v>1039</v>
      </c>
      <c r="O26" s="540">
        <v>-3</v>
      </c>
      <c r="P26" s="493">
        <f t="shared" si="0"/>
        <v>15000</v>
      </c>
      <c r="Q26" s="493">
        <f t="shared" si="1"/>
        <v>15000</v>
      </c>
      <c r="R26" s="523" t="s">
        <v>1656</v>
      </c>
      <c r="S26" s="492"/>
      <c r="T26" s="531" t="s">
        <v>1662</v>
      </c>
      <c r="U26" s="533">
        <v>-6</v>
      </c>
      <c r="V26" s="493">
        <f t="shared" si="4"/>
        <v>79000000</v>
      </c>
      <c r="W26" s="493">
        <f t="shared" si="5"/>
        <v>79000000</v>
      </c>
      <c r="X26" s="492">
        <v>0</v>
      </c>
      <c r="Y26" s="492">
        <v>500</v>
      </c>
      <c r="Z26" s="523"/>
    </row>
    <row r="27" spans="1:26" x14ac:dyDescent="0.2">
      <c r="A27" s="507" t="s">
        <v>1126</v>
      </c>
      <c r="B27" s="498" t="s">
        <v>1127</v>
      </c>
      <c r="C27" s="496" t="s">
        <v>1039</v>
      </c>
      <c r="D27" s="496" t="s">
        <v>1119</v>
      </c>
      <c r="E27" s="496" t="s">
        <v>1128</v>
      </c>
      <c r="F27" s="517" t="s">
        <v>1129</v>
      </c>
      <c r="G27" s="559"/>
      <c r="H27" s="560"/>
      <c r="I27" s="490">
        <f t="shared" si="6"/>
        <v>1</v>
      </c>
      <c r="J27" s="490">
        <f t="shared" si="7"/>
        <v>1</v>
      </c>
      <c r="K27" s="547">
        <v>-3</v>
      </c>
      <c r="L27" s="491">
        <f t="shared" si="2"/>
        <v>49000</v>
      </c>
      <c r="M27" s="491">
        <f t="shared" si="3"/>
        <v>49000</v>
      </c>
      <c r="N27" s="529" t="s">
        <v>1039</v>
      </c>
      <c r="O27" s="540">
        <v>-3</v>
      </c>
      <c r="P27" s="493">
        <f t="shared" si="0"/>
        <v>25000</v>
      </c>
      <c r="Q27" s="493">
        <f t="shared" si="1"/>
        <v>25000</v>
      </c>
      <c r="R27" s="523" t="s">
        <v>1656</v>
      </c>
      <c r="S27" s="492"/>
      <c r="T27" s="531" t="s">
        <v>1662</v>
      </c>
      <c r="U27" s="533">
        <v>-6</v>
      </c>
      <c r="V27" s="493">
        <f t="shared" si="4"/>
        <v>132000000</v>
      </c>
      <c r="W27" s="493">
        <f t="shared" si="5"/>
        <v>132000000</v>
      </c>
      <c r="X27" s="492">
        <v>0</v>
      </c>
      <c r="Y27" s="492">
        <v>500</v>
      </c>
      <c r="Z27" s="523"/>
    </row>
    <row r="28" spans="1:26" x14ac:dyDescent="0.2">
      <c r="A28" s="507" t="s">
        <v>1130</v>
      </c>
      <c r="B28" s="498" t="s">
        <v>1131</v>
      </c>
      <c r="C28" s="496" t="s">
        <v>1039</v>
      </c>
      <c r="D28" s="496" t="s">
        <v>1096</v>
      </c>
      <c r="E28" s="496" t="s">
        <v>1132</v>
      </c>
      <c r="F28" s="517" t="s">
        <v>1133</v>
      </c>
      <c r="G28" s="559">
        <v>0.56640506438884797</v>
      </c>
      <c r="H28" s="560">
        <v>2.2519620170836405</v>
      </c>
      <c r="I28" s="490">
        <f t="shared" si="6"/>
        <v>0.43359493561115203</v>
      </c>
      <c r="J28" s="490">
        <f t="shared" si="7"/>
        <v>3.2519620170836405</v>
      </c>
      <c r="K28" s="547">
        <v>-3</v>
      </c>
      <c r="L28" s="491">
        <f t="shared" si="2"/>
        <v>16000</v>
      </c>
      <c r="M28" s="491">
        <f t="shared" si="3"/>
        <v>118000</v>
      </c>
      <c r="N28" s="529" t="s">
        <v>1039</v>
      </c>
      <c r="O28" s="540">
        <v>-3</v>
      </c>
      <c r="P28" s="493">
        <f t="shared" si="0"/>
        <v>8000</v>
      </c>
      <c r="Q28" s="493">
        <f t="shared" si="1"/>
        <v>59000</v>
      </c>
      <c r="R28" s="523" t="s">
        <v>1656</v>
      </c>
      <c r="S28" s="492" t="s">
        <v>248</v>
      </c>
      <c r="T28" s="531" t="s">
        <v>1662</v>
      </c>
      <c r="U28" s="533">
        <v>-6</v>
      </c>
      <c r="V28" s="493">
        <f t="shared" si="4"/>
        <v>42000000</v>
      </c>
      <c r="W28" s="493">
        <f t="shared" si="5"/>
        <v>312000000</v>
      </c>
      <c r="X28" s="492">
        <v>0</v>
      </c>
      <c r="Y28" s="492">
        <v>500</v>
      </c>
      <c r="Z28" s="523" t="s">
        <v>1067</v>
      </c>
    </row>
    <row r="29" spans="1:26" x14ac:dyDescent="0.2">
      <c r="A29" s="507" t="s">
        <v>1134</v>
      </c>
      <c r="B29" s="498" t="s">
        <v>1135</v>
      </c>
      <c r="C29" s="496" t="s">
        <v>1039</v>
      </c>
      <c r="D29" s="496" t="s">
        <v>1119</v>
      </c>
      <c r="E29" s="496" t="s">
        <v>1136</v>
      </c>
      <c r="F29" s="517" t="s">
        <v>1137</v>
      </c>
      <c r="G29" s="559">
        <v>0.56640506438884797</v>
      </c>
      <c r="H29" s="560">
        <v>2.2519620170836405</v>
      </c>
      <c r="I29" s="490">
        <f t="shared" si="6"/>
        <v>0.43359493561115203</v>
      </c>
      <c r="J29" s="490">
        <f t="shared" si="7"/>
        <v>3.2519620170836405</v>
      </c>
      <c r="K29" s="547">
        <v>-3</v>
      </c>
      <c r="L29" s="491">
        <f t="shared" si="2"/>
        <v>6000</v>
      </c>
      <c r="M29" s="491">
        <f t="shared" si="3"/>
        <v>48000</v>
      </c>
      <c r="N29" s="529" t="s">
        <v>1039</v>
      </c>
      <c r="O29" s="540">
        <v>-3</v>
      </c>
      <c r="P29" s="493">
        <f t="shared" si="0"/>
        <v>3000</v>
      </c>
      <c r="Q29" s="493">
        <f t="shared" si="1"/>
        <v>24000</v>
      </c>
      <c r="R29" s="523" t="s">
        <v>1656</v>
      </c>
      <c r="S29" s="492" t="s">
        <v>248</v>
      </c>
      <c r="T29" s="531" t="s">
        <v>1662</v>
      </c>
      <c r="U29" s="533">
        <v>-6</v>
      </c>
      <c r="V29" s="493">
        <f>ROUND($P29*$W$2,$U29)</f>
        <v>16000000</v>
      </c>
      <c r="W29" s="493">
        <f t="shared" si="5"/>
        <v>127000000</v>
      </c>
      <c r="X29" s="492">
        <v>0</v>
      </c>
      <c r="Y29" s="492">
        <v>500</v>
      </c>
      <c r="Z29" s="523" t="s">
        <v>1052</v>
      </c>
    </row>
    <row r="30" spans="1:26" x14ac:dyDescent="0.2">
      <c r="A30" s="507" t="s">
        <v>1138</v>
      </c>
      <c r="B30" s="498" t="s">
        <v>1139</v>
      </c>
      <c r="C30" s="496" t="s">
        <v>1039</v>
      </c>
      <c r="D30" s="496" t="s">
        <v>1074</v>
      </c>
      <c r="E30" s="496" t="s">
        <v>1074</v>
      </c>
      <c r="F30" s="517" t="s">
        <v>1075</v>
      </c>
      <c r="G30" s="559">
        <v>0.56640506438884797</v>
      </c>
      <c r="H30" s="560">
        <v>2.2519620170836405</v>
      </c>
      <c r="I30" s="490">
        <f t="shared" si="6"/>
        <v>0.43359493561115203</v>
      </c>
      <c r="J30" s="490">
        <f t="shared" si="7"/>
        <v>3.2519620170836405</v>
      </c>
      <c r="K30" s="547">
        <v>-3</v>
      </c>
      <c r="L30" s="491">
        <f t="shared" si="2"/>
        <v>0</v>
      </c>
      <c r="M30" s="491">
        <f t="shared" si="3"/>
        <v>0</v>
      </c>
      <c r="N30" s="529" t="s">
        <v>1039</v>
      </c>
      <c r="O30" s="540">
        <v>-3</v>
      </c>
      <c r="P30" s="493">
        <f t="shared" si="0"/>
        <v>0</v>
      </c>
      <c r="Q30" s="493">
        <f t="shared" si="1"/>
        <v>0</v>
      </c>
      <c r="R30" s="523" t="s">
        <v>1656</v>
      </c>
      <c r="S30" s="492" t="s">
        <v>249</v>
      </c>
      <c r="T30" s="531" t="s">
        <v>1662</v>
      </c>
      <c r="U30" s="533">
        <v>-6</v>
      </c>
      <c r="V30" s="493">
        <v>150000000</v>
      </c>
      <c r="W30" s="493">
        <v>500000000</v>
      </c>
      <c r="X30" s="492">
        <v>0</v>
      </c>
      <c r="Y30" s="492">
        <v>500</v>
      </c>
      <c r="Z30" s="523" t="s">
        <v>1052</v>
      </c>
    </row>
    <row r="31" spans="1:26" x14ac:dyDescent="0.2">
      <c r="A31" s="507" t="s">
        <v>1140</v>
      </c>
      <c r="B31" s="498" t="s">
        <v>1077</v>
      </c>
      <c r="C31" s="496" t="s">
        <v>1039</v>
      </c>
      <c r="D31" s="496" t="s">
        <v>1096</v>
      </c>
      <c r="E31" s="496" t="s">
        <v>1141</v>
      </c>
      <c r="F31" s="517" t="s">
        <v>1142</v>
      </c>
      <c r="G31" s="559"/>
      <c r="H31" s="560"/>
      <c r="I31" s="490">
        <f t="shared" si="6"/>
        <v>1</v>
      </c>
      <c r="J31" s="490">
        <f t="shared" si="7"/>
        <v>1</v>
      </c>
      <c r="K31" s="547">
        <v>-3</v>
      </c>
      <c r="L31" s="491">
        <f t="shared" si="2"/>
        <v>21000</v>
      </c>
      <c r="M31" s="491">
        <f t="shared" si="3"/>
        <v>21000</v>
      </c>
      <c r="N31" s="529" t="s">
        <v>1039</v>
      </c>
      <c r="O31" s="540">
        <v>-3</v>
      </c>
      <c r="P31" s="493">
        <f t="shared" si="0"/>
        <v>11000</v>
      </c>
      <c r="Q31" s="493">
        <f t="shared" si="1"/>
        <v>11000</v>
      </c>
      <c r="R31" s="523" t="s">
        <v>1656</v>
      </c>
      <c r="S31" s="492"/>
      <c r="T31" s="531" t="s">
        <v>1662</v>
      </c>
      <c r="U31" s="533">
        <v>-6</v>
      </c>
      <c r="V31" s="493">
        <f t="shared" si="4"/>
        <v>58000000</v>
      </c>
      <c r="W31" s="493">
        <f t="shared" si="5"/>
        <v>58000000</v>
      </c>
      <c r="X31" s="492">
        <v>0</v>
      </c>
      <c r="Y31" s="492">
        <v>500</v>
      </c>
      <c r="Z31" s="523"/>
    </row>
    <row r="32" spans="1:26" x14ac:dyDescent="0.2">
      <c r="A32" s="507" t="s">
        <v>1143</v>
      </c>
      <c r="B32" s="495" t="s">
        <v>1144</v>
      </c>
      <c r="C32" s="496" t="s">
        <v>1039</v>
      </c>
      <c r="D32" s="496" t="s">
        <v>862</v>
      </c>
      <c r="E32" s="496" t="s">
        <v>1145</v>
      </c>
      <c r="F32" s="517" t="s">
        <v>1146</v>
      </c>
      <c r="G32" s="559">
        <v>0.56766104626026803</v>
      </c>
      <c r="H32" s="560">
        <v>1.1616947686986598</v>
      </c>
      <c r="I32" s="490">
        <f t="shared" si="6"/>
        <v>0.43233895373973197</v>
      </c>
      <c r="J32" s="490">
        <f t="shared" si="7"/>
        <v>2.1616947686986601</v>
      </c>
      <c r="K32" s="547">
        <v>-3</v>
      </c>
      <c r="L32" s="491">
        <f t="shared" si="2"/>
        <v>4000</v>
      </c>
      <c r="M32" s="491">
        <f t="shared" si="3"/>
        <v>20000</v>
      </c>
      <c r="N32" s="529" t="s">
        <v>1039</v>
      </c>
      <c r="O32" s="540">
        <v>-3</v>
      </c>
      <c r="P32" s="493">
        <f t="shared" si="0"/>
        <v>2000</v>
      </c>
      <c r="Q32" s="493">
        <f t="shared" si="1"/>
        <v>10000</v>
      </c>
      <c r="R32" s="523" t="s">
        <v>1656</v>
      </c>
      <c r="S32" s="492" t="s">
        <v>246</v>
      </c>
      <c r="T32" s="531" t="s">
        <v>1662</v>
      </c>
      <c r="U32" s="533">
        <v>-6</v>
      </c>
      <c r="V32" s="493">
        <f t="shared" si="4"/>
        <v>11000000</v>
      </c>
      <c r="W32" s="493">
        <f t="shared" si="5"/>
        <v>53000000</v>
      </c>
      <c r="X32" s="492">
        <v>0</v>
      </c>
      <c r="Y32" s="492">
        <v>500</v>
      </c>
      <c r="Z32" s="523" t="s">
        <v>1052</v>
      </c>
    </row>
    <row r="33" spans="1:26" x14ac:dyDescent="0.2">
      <c r="A33" s="507" t="s">
        <v>1147</v>
      </c>
      <c r="B33" s="495" t="s">
        <v>1148</v>
      </c>
      <c r="C33" s="496" t="s">
        <v>1149</v>
      </c>
      <c r="D33" s="496" t="s">
        <v>876</v>
      </c>
      <c r="E33" s="496" t="s">
        <v>1150</v>
      </c>
      <c r="F33" s="517" t="s">
        <v>1151</v>
      </c>
      <c r="G33" s="559">
        <v>0.46902654867256638</v>
      </c>
      <c r="H33" s="560">
        <v>0.76991150442477874</v>
      </c>
      <c r="I33" s="490">
        <f t="shared" si="6"/>
        <v>0.53097345132743357</v>
      </c>
      <c r="J33" s="490">
        <f t="shared" si="7"/>
        <v>1.7699115044247788</v>
      </c>
      <c r="K33" s="547">
        <v>-2</v>
      </c>
      <c r="L33" s="491">
        <f t="shared" si="2"/>
        <v>300</v>
      </c>
      <c r="M33" s="491">
        <f t="shared" si="3"/>
        <v>1000</v>
      </c>
      <c r="N33" s="529" t="s">
        <v>1149</v>
      </c>
      <c r="O33" s="540">
        <v>-2</v>
      </c>
      <c r="P33" s="493">
        <f>ROUND($L33,$O33)</f>
        <v>300</v>
      </c>
      <c r="Q33" s="493">
        <f>ROUND($M33,$O33)</f>
        <v>1000</v>
      </c>
      <c r="R33" s="523" t="s">
        <v>1656</v>
      </c>
      <c r="S33" s="492" t="s">
        <v>252</v>
      </c>
      <c r="T33" s="531" t="s">
        <v>1662</v>
      </c>
      <c r="U33" s="533">
        <v>-6</v>
      </c>
      <c r="V33" s="493">
        <f t="shared" si="4"/>
        <v>2000000</v>
      </c>
      <c r="W33" s="493">
        <f t="shared" si="5"/>
        <v>5000000</v>
      </c>
      <c r="X33" s="492">
        <v>0</v>
      </c>
      <c r="Y33" s="492">
        <v>500</v>
      </c>
      <c r="Z33" s="523" t="s">
        <v>1052</v>
      </c>
    </row>
    <row r="34" spans="1:26" x14ac:dyDescent="0.2">
      <c r="A34" s="507"/>
      <c r="B34" s="495"/>
      <c r="C34" s="496" t="str">
        <f>$C$33</f>
        <v>Track Feet</v>
      </c>
      <c r="D34" s="496" t="str">
        <f>$D$33</f>
        <v>27</v>
      </c>
      <c r="E34" s="496" t="str">
        <f>$E$33</f>
        <v>50,247</v>
      </c>
      <c r="F34" s="517" t="str">
        <f>$F$33</f>
        <v>$565</v>
      </c>
      <c r="G34" s="559">
        <v>0.46902654867256638</v>
      </c>
      <c r="H34" s="560">
        <v>0.76991150442477874</v>
      </c>
      <c r="I34" s="490">
        <f t="shared" si="6"/>
        <v>0.53097345132743357</v>
      </c>
      <c r="J34" s="490">
        <f t="shared" si="7"/>
        <v>1.7699115044247788</v>
      </c>
      <c r="K34" s="547">
        <v>-2</v>
      </c>
      <c r="L34" s="491">
        <f t="shared" si="2"/>
        <v>300</v>
      </c>
      <c r="M34" s="491">
        <f t="shared" si="3"/>
        <v>1000</v>
      </c>
      <c r="N34" s="529" t="s">
        <v>1149</v>
      </c>
      <c r="O34" s="540">
        <v>-2</v>
      </c>
      <c r="P34" s="493">
        <f t="shared" ref="P34:P42" si="8">ROUND($L34,$O34)</f>
        <v>300</v>
      </c>
      <c r="Q34" s="493">
        <f t="shared" ref="Q34:Q42" si="9">ROUND($M34,$O34)</f>
        <v>1000</v>
      </c>
      <c r="R34" s="523" t="s">
        <v>1656</v>
      </c>
      <c r="S34" s="492" t="s">
        <v>257</v>
      </c>
      <c r="T34" s="531" t="s">
        <v>1662</v>
      </c>
      <c r="U34" s="533">
        <v>-6</v>
      </c>
      <c r="V34" s="493">
        <f t="shared" si="4"/>
        <v>2000000</v>
      </c>
      <c r="W34" s="493">
        <f t="shared" si="5"/>
        <v>5000000</v>
      </c>
      <c r="X34" s="492">
        <v>0</v>
      </c>
      <c r="Y34" s="492">
        <v>500</v>
      </c>
      <c r="Z34" s="523" t="s">
        <v>1052</v>
      </c>
    </row>
    <row r="35" spans="1:26" x14ac:dyDescent="0.2">
      <c r="A35" s="507"/>
      <c r="B35" s="495"/>
      <c r="C35" s="496" t="str">
        <f>$C$33</f>
        <v>Track Feet</v>
      </c>
      <c r="D35" s="496" t="str">
        <f>$D$33</f>
        <v>27</v>
      </c>
      <c r="E35" s="496" t="str">
        <f>$E$33</f>
        <v>50,247</v>
      </c>
      <c r="F35" s="517" t="str">
        <f>$F$33</f>
        <v>$565</v>
      </c>
      <c r="G35" s="559">
        <v>0.46902654867256638</v>
      </c>
      <c r="H35" s="560">
        <v>0.76991150442477874</v>
      </c>
      <c r="I35" s="490">
        <f t="shared" si="6"/>
        <v>0.53097345132743357</v>
      </c>
      <c r="J35" s="490">
        <f t="shared" si="7"/>
        <v>1.7699115044247788</v>
      </c>
      <c r="K35" s="547">
        <v>-2</v>
      </c>
      <c r="L35" s="491">
        <f t="shared" si="2"/>
        <v>300</v>
      </c>
      <c r="M35" s="491">
        <f t="shared" si="3"/>
        <v>1000</v>
      </c>
      <c r="N35" s="529" t="s">
        <v>1149</v>
      </c>
      <c r="O35" s="540">
        <v>-2</v>
      </c>
      <c r="P35" s="493">
        <f t="shared" si="8"/>
        <v>300</v>
      </c>
      <c r="Q35" s="493">
        <f t="shared" si="9"/>
        <v>1000</v>
      </c>
      <c r="R35" s="523" t="s">
        <v>1656</v>
      </c>
      <c r="S35" s="492" t="s">
        <v>260</v>
      </c>
      <c r="T35" s="531" t="s">
        <v>1662</v>
      </c>
      <c r="U35" s="533">
        <v>-6</v>
      </c>
      <c r="V35" s="493">
        <f t="shared" si="4"/>
        <v>2000000</v>
      </c>
      <c r="W35" s="493">
        <f t="shared" si="5"/>
        <v>5000000</v>
      </c>
      <c r="X35" s="492">
        <v>0</v>
      </c>
      <c r="Y35" s="492">
        <v>500</v>
      </c>
      <c r="Z35" s="523" t="s">
        <v>1152</v>
      </c>
    </row>
    <row r="36" spans="1:26" x14ac:dyDescent="0.2">
      <c r="A36" s="507"/>
      <c r="B36" s="495"/>
      <c r="C36" s="496" t="str">
        <f>$C$33</f>
        <v>Track Feet</v>
      </c>
      <c r="D36" s="496" t="str">
        <f>$D$33</f>
        <v>27</v>
      </c>
      <c r="E36" s="496" t="str">
        <f>$E$33</f>
        <v>50,247</v>
      </c>
      <c r="F36" s="517" t="str">
        <f>$F$33</f>
        <v>$565</v>
      </c>
      <c r="G36" s="559">
        <v>0.46902654867256638</v>
      </c>
      <c r="H36" s="560">
        <v>0.76991150442477874</v>
      </c>
      <c r="I36" s="490">
        <f t="shared" si="6"/>
        <v>0.53097345132743357</v>
      </c>
      <c r="J36" s="490">
        <f t="shared" si="7"/>
        <v>1.7699115044247788</v>
      </c>
      <c r="K36" s="547">
        <v>-2</v>
      </c>
      <c r="L36" s="491">
        <f t="shared" si="2"/>
        <v>300</v>
      </c>
      <c r="M36" s="491">
        <f t="shared" si="3"/>
        <v>1000</v>
      </c>
      <c r="N36" s="529" t="s">
        <v>1149</v>
      </c>
      <c r="O36" s="540">
        <v>-2</v>
      </c>
      <c r="P36" s="493">
        <f t="shared" si="8"/>
        <v>300</v>
      </c>
      <c r="Q36" s="493">
        <f t="shared" si="9"/>
        <v>1000</v>
      </c>
      <c r="R36" s="523" t="s">
        <v>1656</v>
      </c>
      <c r="S36" s="492" t="s">
        <v>256</v>
      </c>
      <c r="T36" s="531" t="s">
        <v>1662</v>
      </c>
      <c r="U36" s="533">
        <v>-6</v>
      </c>
      <c r="V36" s="493">
        <f t="shared" si="4"/>
        <v>2000000</v>
      </c>
      <c r="W36" s="493">
        <f t="shared" si="5"/>
        <v>5000000</v>
      </c>
      <c r="X36" s="492">
        <v>0</v>
      </c>
      <c r="Y36" s="492">
        <v>500</v>
      </c>
      <c r="Z36" s="523" t="s">
        <v>1152</v>
      </c>
    </row>
    <row r="37" spans="1:26" x14ac:dyDescent="0.2">
      <c r="A37" s="507" t="s">
        <v>1153</v>
      </c>
      <c r="B37" s="495" t="s">
        <v>1154</v>
      </c>
      <c r="C37" s="496" t="s">
        <v>1149</v>
      </c>
      <c r="D37" s="496" t="s">
        <v>861</v>
      </c>
      <c r="E37" s="496" t="s">
        <v>1155</v>
      </c>
      <c r="F37" s="517" t="s">
        <v>1156</v>
      </c>
      <c r="G37" s="559">
        <v>0.65770171149144252</v>
      </c>
      <c r="H37" s="560">
        <v>1.4449877750611246</v>
      </c>
      <c r="I37" s="490">
        <f t="shared" si="6"/>
        <v>0.34229828850855748</v>
      </c>
      <c r="J37" s="490">
        <f t="shared" si="7"/>
        <v>2.4449877750611249</v>
      </c>
      <c r="K37" s="547">
        <v>-2</v>
      </c>
      <c r="L37" s="491">
        <f t="shared" si="2"/>
        <v>100</v>
      </c>
      <c r="M37" s="491">
        <f t="shared" si="3"/>
        <v>1000</v>
      </c>
      <c r="N37" s="529" t="s">
        <v>1149</v>
      </c>
      <c r="O37" s="540">
        <v>-2</v>
      </c>
      <c r="P37" s="493">
        <f t="shared" si="8"/>
        <v>100</v>
      </c>
      <c r="Q37" s="493">
        <f t="shared" si="9"/>
        <v>1000</v>
      </c>
      <c r="R37" s="523" t="s">
        <v>1656</v>
      </c>
      <c r="S37" s="492" t="s">
        <v>253</v>
      </c>
      <c r="T37" s="531" t="s">
        <v>1662</v>
      </c>
      <c r="U37" s="533">
        <v>-6</v>
      </c>
      <c r="V37" s="493">
        <f t="shared" si="4"/>
        <v>1000000</v>
      </c>
      <c r="W37" s="493">
        <f t="shared" si="5"/>
        <v>5000000</v>
      </c>
      <c r="X37" s="492">
        <v>0</v>
      </c>
      <c r="Y37" s="492">
        <v>500</v>
      </c>
      <c r="Z37" s="523" t="s">
        <v>1052</v>
      </c>
    </row>
    <row r="38" spans="1:26" x14ac:dyDescent="0.2">
      <c r="A38" s="507"/>
      <c r="B38" s="495"/>
      <c r="C38" s="496" t="str">
        <f>C37</f>
        <v>Track Feet</v>
      </c>
      <c r="D38" s="496" t="str">
        <f>D37</f>
        <v>10</v>
      </c>
      <c r="E38" s="496" t="str">
        <f>E37</f>
        <v>29,972</v>
      </c>
      <c r="F38" s="517" t="str">
        <f>F37</f>
        <v>$409</v>
      </c>
      <c r="G38" s="559">
        <v>0.65770171149144252</v>
      </c>
      <c r="H38" s="560">
        <v>1.4449877750611246</v>
      </c>
      <c r="I38" s="490">
        <f t="shared" si="6"/>
        <v>0.34229828850855748</v>
      </c>
      <c r="J38" s="490">
        <f t="shared" si="7"/>
        <v>2.4449877750611249</v>
      </c>
      <c r="K38" s="547">
        <v>-2</v>
      </c>
      <c r="L38" s="491">
        <f t="shared" si="2"/>
        <v>100</v>
      </c>
      <c r="M38" s="491">
        <f t="shared" si="3"/>
        <v>1000</v>
      </c>
      <c r="N38" s="529" t="s">
        <v>1149</v>
      </c>
      <c r="O38" s="540">
        <v>-2</v>
      </c>
      <c r="P38" s="493">
        <f t="shared" si="8"/>
        <v>100</v>
      </c>
      <c r="Q38" s="493">
        <f t="shared" si="9"/>
        <v>1000</v>
      </c>
      <c r="R38" s="523" t="s">
        <v>1656</v>
      </c>
      <c r="S38" s="492" t="s">
        <v>258</v>
      </c>
      <c r="T38" s="531" t="s">
        <v>1662</v>
      </c>
      <c r="U38" s="533">
        <v>-6</v>
      </c>
      <c r="V38" s="493">
        <f t="shared" si="4"/>
        <v>1000000</v>
      </c>
      <c r="W38" s="493">
        <f t="shared" si="5"/>
        <v>5000000</v>
      </c>
      <c r="X38" s="492">
        <v>0</v>
      </c>
      <c r="Y38" s="492">
        <v>500</v>
      </c>
      <c r="Z38" s="523" t="s">
        <v>1052</v>
      </c>
    </row>
    <row r="39" spans="1:26" x14ac:dyDescent="0.2">
      <c r="A39" s="507" t="s">
        <v>1157</v>
      </c>
      <c r="B39" s="495" t="s">
        <v>1158</v>
      </c>
      <c r="C39" s="496" t="s">
        <v>1149</v>
      </c>
      <c r="D39" s="496" t="s">
        <v>873</v>
      </c>
      <c r="E39" s="496" t="s">
        <v>1159</v>
      </c>
      <c r="F39" s="517" t="s">
        <v>1160</v>
      </c>
      <c r="G39" s="559">
        <v>0.67592592592592593</v>
      </c>
      <c r="H39" s="560">
        <v>1.3148148148148149</v>
      </c>
      <c r="I39" s="490">
        <f t="shared" si="6"/>
        <v>0.32407407407407407</v>
      </c>
      <c r="J39" s="490">
        <f t="shared" si="7"/>
        <v>2.3148148148148149</v>
      </c>
      <c r="K39" s="547">
        <v>-2</v>
      </c>
      <c r="L39" s="491">
        <f t="shared" si="2"/>
        <v>100</v>
      </c>
      <c r="M39" s="491">
        <f t="shared" si="3"/>
        <v>1000</v>
      </c>
      <c r="N39" s="529" t="s">
        <v>1149</v>
      </c>
      <c r="O39" s="540">
        <v>-2</v>
      </c>
      <c r="P39" s="493">
        <f t="shared" si="8"/>
        <v>100</v>
      </c>
      <c r="Q39" s="493">
        <f t="shared" si="9"/>
        <v>1000</v>
      </c>
      <c r="R39" s="523" t="s">
        <v>1656</v>
      </c>
      <c r="S39" s="492" t="s">
        <v>250</v>
      </c>
      <c r="T39" s="531" t="s">
        <v>1662</v>
      </c>
      <c r="U39" s="533">
        <v>-6</v>
      </c>
      <c r="V39" s="493">
        <f t="shared" si="4"/>
        <v>1000000</v>
      </c>
      <c r="W39" s="493">
        <f t="shared" si="5"/>
        <v>5000000</v>
      </c>
      <c r="X39" s="492">
        <v>0</v>
      </c>
      <c r="Y39" s="492">
        <v>500</v>
      </c>
      <c r="Z39" s="523" t="s">
        <v>1052</v>
      </c>
    </row>
    <row r="40" spans="1:26" x14ac:dyDescent="0.2">
      <c r="A40" s="507"/>
      <c r="B40" s="495"/>
      <c r="C40" s="496" t="str">
        <f>C$39</f>
        <v>Track Feet</v>
      </c>
      <c r="D40" s="496" t="str">
        <f t="shared" ref="D40:F42" si="10">D$39</f>
        <v>24</v>
      </c>
      <c r="E40" s="496" t="str">
        <f t="shared" si="10"/>
        <v>90,133</v>
      </c>
      <c r="F40" s="496" t="str">
        <f t="shared" si="10"/>
        <v>$432</v>
      </c>
      <c r="G40" s="559">
        <v>0.67592592592592593</v>
      </c>
      <c r="H40" s="560">
        <v>1.3148148148148149</v>
      </c>
      <c r="I40" s="490">
        <f t="shared" si="6"/>
        <v>0.32407407407407407</v>
      </c>
      <c r="J40" s="490">
        <f t="shared" si="7"/>
        <v>2.3148148148148149</v>
      </c>
      <c r="K40" s="547">
        <v>-2</v>
      </c>
      <c r="L40" s="491">
        <f t="shared" si="2"/>
        <v>100</v>
      </c>
      <c r="M40" s="491">
        <f t="shared" si="3"/>
        <v>1000</v>
      </c>
      <c r="N40" s="529" t="s">
        <v>1149</v>
      </c>
      <c r="O40" s="540">
        <v>-2</v>
      </c>
      <c r="P40" s="493">
        <f t="shared" si="8"/>
        <v>100</v>
      </c>
      <c r="Q40" s="493">
        <f t="shared" si="9"/>
        <v>1000</v>
      </c>
      <c r="R40" s="523" t="s">
        <v>1656</v>
      </c>
      <c r="S40" s="492" t="s">
        <v>251</v>
      </c>
      <c r="T40" s="531" t="s">
        <v>1662</v>
      </c>
      <c r="U40" s="533">
        <v>-6</v>
      </c>
      <c r="V40" s="493">
        <f t="shared" si="4"/>
        <v>1000000</v>
      </c>
      <c r="W40" s="493">
        <f t="shared" si="5"/>
        <v>5000000</v>
      </c>
      <c r="X40" s="492">
        <v>0</v>
      </c>
      <c r="Y40" s="492">
        <v>500</v>
      </c>
      <c r="Z40" s="523" t="s">
        <v>1052</v>
      </c>
    </row>
    <row r="41" spans="1:26" x14ac:dyDescent="0.2">
      <c r="A41" s="507"/>
      <c r="B41" s="495"/>
      <c r="C41" s="496" t="str">
        <f>C$39</f>
        <v>Track Feet</v>
      </c>
      <c r="D41" s="496" t="str">
        <f t="shared" si="10"/>
        <v>24</v>
      </c>
      <c r="E41" s="496" t="str">
        <f t="shared" si="10"/>
        <v>90,133</v>
      </c>
      <c r="F41" s="496" t="str">
        <f t="shared" si="10"/>
        <v>$432</v>
      </c>
      <c r="G41" s="559">
        <v>0.67592592592592593</v>
      </c>
      <c r="H41" s="560">
        <v>1.3148148148148149</v>
      </c>
      <c r="I41" s="490">
        <f t="shared" si="6"/>
        <v>0.32407407407407407</v>
      </c>
      <c r="J41" s="490">
        <f t="shared" si="7"/>
        <v>2.3148148148148149</v>
      </c>
      <c r="K41" s="547">
        <v>-2</v>
      </c>
      <c r="L41" s="491">
        <f t="shared" si="2"/>
        <v>100</v>
      </c>
      <c r="M41" s="491">
        <f t="shared" si="3"/>
        <v>1000</v>
      </c>
      <c r="N41" s="529" t="s">
        <v>1149</v>
      </c>
      <c r="O41" s="540">
        <v>-2</v>
      </c>
      <c r="P41" s="493">
        <f t="shared" si="8"/>
        <v>100</v>
      </c>
      <c r="Q41" s="493">
        <f t="shared" si="9"/>
        <v>1000</v>
      </c>
      <c r="R41" s="523" t="s">
        <v>1656</v>
      </c>
      <c r="S41" s="492" t="s">
        <v>254</v>
      </c>
      <c r="T41" s="531" t="s">
        <v>1662</v>
      </c>
      <c r="U41" s="533">
        <v>-6</v>
      </c>
      <c r="V41" s="493">
        <f t="shared" si="4"/>
        <v>1000000</v>
      </c>
      <c r="W41" s="493">
        <f t="shared" si="5"/>
        <v>5000000</v>
      </c>
      <c r="X41" s="492">
        <v>0</v>
      </c>
      <c r="Y41" s="492">
        <v>500</v>
      </c>
      <c r="Z41" s="523" t="s">
        <v>1052</v>
      </c>
    </row>
    <row r="42" spans="1:26" x14ac:dyDescent="0.2">
      <c r="A42" s="507"/>
      <c r="B42" s="495"/>
      <c r="C42" s="496" t="str">
        <f>C$39</f>
        <v>Track Feet</v>
      </c>
      <c r="D42" s="496" t="str">
        <f t="shared" si="10"/>
        <v>24</v>
      </c>
      <c r="E42" s="496" t="str">
        <f t="shared" si="10"/>
        <v>90,133</v>
      </c>
      <c r="F42" s="496" t="str">
        <f t="shared" si="10"/>
        <v>$432</v>
      </c>
      <c r="G42" s="559">
        <v>0.67592592592592593</v>
      </c>
      <c r="H42" s="560">
        <v>1.3148148148148149</v>
      </c>
      <c r="I42" s="490">
        <f t="shared" si="6"/>
        <v>0.32407407407407407</v>
      </c>
      <c r="J42" s="490">
        <f t="shared" si="7"/>
        <v>2.3148148148148149</v>
      </c>
      <c r="K42" s="547">
        <v>-2</v>
      </c>
      <c r="L42" s="491">
        <f t="shared" si="2"/>
        <v>100</v>
      </c>
      <c r="M42" s="491">
        <f t="shared" si="3"/>
        <v>1000</v>
      </c>
      <c r="N42" s="529" t="s">
        <v>1149</v>
      </c>
      <c r="O42" s="540">
        <v>-2</v>
      </c>
      <c r="P42" s="493">
        <f t="shared" si="8"/>
        <v>100</v>
      </c>
      <c r="Q42" s="493">
        <f t="shared" si="9"/>
        <v>1000</v>
      </c>
      <c r="R42" s="523" t="s">
        <v>1656</v>
      </c>
      <c r="S42" s="492" t="s">
        <v>255</v>
      </c>
      <c r="T42" s="531" t="s">
        <v>1662</v>
      </c>
      <c r="U42" s="533">
        <v>-6</v>
      </c>
      <c r="V42" s="493">
        <f t="shared" si="4"/>
        <v>1000000</v>
      </c>
      <c r="W42" s="493">
        <f t="shared" si="5"/>
        <v>5000000</v>
      </c>
      <c r="X42" s="492">
        <v>0</v>
      </c>
      <c r="Y42" s="492">
        <v>500</v>
      </c>
      <c r="Z42" s="523" t="s">
        <v>1052</v>
      </c>
    </row>
    <row r="43" spans="1:26" x14ac:dyDescent="0.2">
      <c r="A43" s="507" t="s">
        <v>1161</v>
      </c>
      <c r="B43" s="495" t="s">
        <v>1162</v>
      </c>
      <c r="C43" s="496" t="s">
        <v>1149</v>
      </c>
      <c r="D43" s="496" t="s">
        <v>865</v>
      </c>
      <c r="E43" s="496" t="s">
        <v>1163</v>
      </c>
      <c r="F43" s="517" t="s">
        <v>1164</v>
      </c>
      <c r="G43" s="559"/>
      <c r="H43" s="560"/>
      <c r="I43" s="490"/>
      <c r="J43" s="490"/>
      <c r="K43" s="547"/>
      <c r="L43" s="491"/>
      <c r="M43" s="491"/>
      <c r="N43" s="529"/>
      <c r="O43" s="540"/>
      <c r="P43" s="493"/>
      <c r="Q43" s="493"/>
      <c r="R43" s="523"/>
      <c r="S43" s="492" t="s">
        <v>285</v>
      </c>
      <c r="T43" s="533" t="s">
        <v>13</v>
      </c>
      <c r="U43" s="533"/>
      <c r="V43" s="493">
        <v>1000000</v>
      </c>
      <c r="W43" s="493">
        <v>15000000</v>
      </c>
      <c r="X43" s="492">
        <v>0</v>
      </c>
      <c r="Y43" s="492">
        <v>500</v>
      </c>
      <c r="Z43" s="523" t="s">
        <v>1165</v>
      </c>
    </row>
    <row r="44" spans="1:26" x14ac:dyDescent="0.2">
      <c r="A44" s="507"/>
      <c r="B44" s="495"/>
      <c r="C44" s="496" t="str">
        <f>C$43</f>
        <v>Track Feet</v>
      </c>
      <c r="D44" s="496" t="str">
        <f>D$43</f>
        <v>14</v>
      </c>
      <c r="E44" s="496" t="str">
        <f>E$43</f>
        <v>104,020</v>
      </c>
      <c r="F44" s="496" t="str">
        <f>F$43</f>
        <v>$78</v>
      </c>
      <c r="G44" s="559"/>
      <c r="H44" s="560"/>
      <c r="I44" s="490"/>
      <c r="J44" s="490"/>
      <c r="K44" s="515"/>
      <c r="L44" s="491"/>
      <c r="M44" s="491"/>
      <c r="N44" s="529"/>
      <c r="O44" s="540"/>
      <c r="P44" s="493"/>
      <c r="Q44" s="493"/>
      <c r="R44" s="523"/>
      <c r="S44" s="492" t="s">
        <v>286</v>
      </c>
      <c r="T44" s="533" t="s">
        <v>13</v>
      </c>
      <c r="U44" s="533"/>
      <c r="V44" s="493">
        <v>1000000</v>
      </c>
      <c r="W44" s="493">
        <v>15000000</v>
      </c>
      <c r="X44" s="492">
        <v>0</v>
      </c>
      <c r="Y44" s="492">
        <v>500</v>
      </c>
      <c r="Z44" s="523" t="s">
        <v>1052</v>
      </c>
    </row>
    <row r="45" spans="1:26" x14ac:dyDescent="0.2">
      <c r="A45" s="507"/>
      <c r="B45" s="495"/>
      <c r="C45" s="496"/>
      <c r="D45" s="496"/>
      <c r="E45" s="496"/>
      <c r="F45" s="517"/>
      <c r="G45" s="559"/>
      <c r="H45" s="560"/>
      <c r="I45" s="490"/>
      <c r="J45" s="490"/>
      <c r="K45" s="515"/>
      <c r="L45" s="491"/>
      <c r="M45" s="491"/>
      <c r="N45" s="529"/>
      <c r="O45" s="540"/>
      <c r="P45" s="492"/>
      <c r="Q45" s="492"/>
      <c r="R45" s="523"/>
      <c r="S45" s="492" t="s">
        <v>287</v>
      </c>
      <c r="T45" s="533" t="s">
        <v>13</v>
      </c>
      <c r="U45" s="533"/>
      <c r="V45" s="493">
        <v>1000000</v>
      </c>
      <c r="W45" s="493">
        <v>15000000</v>
      </c>
      <c r="X45" s="492">
        <v>0</v>
      </c>
      <c r="Y45" s="492">
        <v>500</v>
      </c>
      <c r="Z45" s="523" t="s">
        <v>1052</v>
      </c>
    </row>
    <row r="46" spans="1:26" x14ac:dyDescent="0.2">
      <c r="A46" s="507"/>
      <c r="B46" s="495"/>
      <c r="C46" s="496"/>
      <c r="D46" s="496"/>
      <c r="E46" s="496"/>
      <c r="F46" s="517"/>
      <c r="G46" s="559"/>
      <c r="H46" s="560"/>
      <c r="I46" s="490"/>
      <c r="J46" s="490"/>
      <c r="K46" s="515"/>
      <c r="L46" s="491"/>
      <c r="M46" s="491"/>
      <c r="N46" s="529"/>
      <c r="O46" s="540"/>
      <c r="P46" s="492"/>
      <c r="Q46" s="492"/>
      <c r="R46" s="523"/>
      <c r="S46" s="492" t="s">
        <v>288</v>
      </c>
      <c r="T46" s="533" t="s">
        <v>13</v>
      </c>
      <c r="U46" s="533"/>
      <c r="V46" s="493">
        <v>1000000</v>
      </c>
      <c r="W46" s="493">
        <v>15000000</v>
      </c>
      <c r="X46" s="492">
        <v>0</v>
      </c>
      <c r="Y46" s="492">
        <v>500</v>
      </c>
      <c r="Z46" s="523" t="s">
        <v>1052</v>
      </c>
    </row>
    <row r="47" spans="1:26" x14ac:dyDescent="0.2">
      <c r="A47" s="507"/>
      <c r="B47" s="495"/>
      <c r="C47" s="496"/>
      <c r="D47" s="496"/>
      <c r="E47" s="496"/>
      <c r="F47" s="517"/>
      <c r="G47" s="559"/>
      <c r="H47" s="560"/>
      <c r="I47" s="490"/>
      <c r="J47" s="490"/>
      <c r="K47" s="515"/>
      <c r="L47" s="491"/>
      <c r="M47" s="491"/>
      <c r="N47" s="529"/>
      <c r="O47" s="540"/>
      <c r="P47" s="492"/>
      <c r="Q47" s="492"/>
      <c r="R47" s="523"/>
      <c r="S47" s="492" t="s">
        <v>289</v>
      </c>
      <c r="T47" s="533" t="s">
        <v>13</v>
      </c>
      <c r="U47" s="533"/>
      <c r="V47" s="493">
        <v>1000000</v>
      </c>
      <c r="W47" s="493">
        <v>15000000</v>
      </c>
      <c r="X47" s="492">
        <v>0</v>
      </c>
      <c r="Y47" s="492">
        <v>500</v>
      </c>
      <c r="Z47" s="523" t="s">
        <v>1052</v>
      </c>
    </row>
    <row r="48" spans="1:26" x14ac:dyDescent="0.2">
      <c r="A48" s="507"/>
      <c r="B48" s="495"/>
      <c r="C48" s="496"/>
      <c r="D48" s="496"/>
      <c r="E48" s="496"/>
      <c r="F48" s="517"/>
      <c r="G48" s="559"/>
      <c r="H48" s="560"/>
      <c r="I48" s="490"/>
      <c r="J48" s="490"/>
      <c r="K48" s="515"/>
      <c r="L48" s="491"/>
      <c r="M48" s="491"/>
      <c r="N48" s="529"/>
      <c r="O48" s="540"/>
      <c r="P48" s="492"/>
      <c r="Q48" s="492"/>
      <c r="R48" s="523"/>
      <c r="S48" s="492" t="s">
        <v>290</v>
      </c>
      <c r="T48" s="533" t="s">
        <v>13</v>
      </c>
      <c r="U48" s="533"/>
      <c r="V48" s="493">
        <v>1000000</v>
      </c>
      <c r="W48" s="493">
        <v>15000000</v>
      </c>
      <c r="X48" s="492">
        <v>0</v>
      </c>
      <c r="Y48" s="492">
        <v>500</v>
      </c>
      <c r="Z48" s="523" t="s">
        <v>1052</v>
      </c>
    </row>
    <row r="49" spans="1:26" x14ac:dyDescent="0.2">
      <c r="A49" s="507"/>
      <c r="B49" s="495"/>
      <c r="C49" s="496"/>
      <c r="D49" s="496"/>
      <c r="E49" s="496"/>
      <c r="F49" s="517"/>
      <c r="G49" s="559"/>
      <c r="H49" s="560"/>
      <c r="I49" s="490"/>
      <c r="J49" s="490"/>
      <c r="K49" s="515"/>
      <c r="L49" s="491"/>
      <c r="M49" s="491"/>
      <c r="N49" s="529"/>
      <c r="O49" s="540"/>
      <c r="P49" s="492"/>
      <c r="Q49" s="492"/>
      <c r="R49" s="523"/>
      <c r="S49" s="492" t="s">
        <v>291</v>
      </c>
      <c r="T49" s="533" t="s">
        <v>13</v>
      </c>
      <c r="U49" s="533"/>
      <c r="V49" s="493">
        <v>1000000</v>
      </c>
      <c r="W49" s="493">
        <v>15000000</v>
      </c>
      <c r="X49" s="492">
        <v>0</v>
      </c>
      <c r="Y49" s="492">
        <v>500</v>
      </c>
      <c r="Z49" s="523" t="s">
        <v>1052</v>
      </c>
    </row>
    <row r="50" spans="1:26" x14ac:dyDescent="0.2">
      <c r="A50" s="507"/>
      <c r="B50" s="495"/>
      <c r="C50" s="496"/>
      <c r="D50" s="496"/>
      <c r="E50" s="496"/>
      <c r="F50" s="517"/>
      <c r="G50" s="559"/>
      <c r="H50" s="560"/>
      <c r="I50" s="490"/>
      <c r="J50" s="490"/>
      <c r="K50" s="515"/>
      <c r="L50" s="491"/>
      <c r="M50" s="491"/>
      <c r="N50" s="529"/>
      <c r="O50" s="540"/>
      <c r="P50" s="492"/>
      <c r="Q50" s="492"/>
      <c r="R50" s="523"/>
      <c r="S50" s="492" t="s">
        <v>292</v>
      </c>
      <c r="T50" s="533" t="s">
        <v>13</v>
      </c>
      <c r="U50" s="533"/>
      <c r="V50" s="493">
        <v>1000000</v>
      </c>
      <c r="W50" s="493">
        <v>15000000</v>
      </c>
      <c r="X50" s="492">
        <v>0</v>
      </c>
      <c r="Y50" s="492">
        <v>500</v>
      </c>
      <c r="Z50" s="523" t="s">
        <v>1052</v>
      </c>
    </row>
    <row r="51" spans="1:26" x14ac:dyDescent="0.2">
      <c r="A51" s="507" t="s">
        <v>1166</v>
      </c>
      <c r="B51" s="495" t="s">
        <v>1167</v>
      </c>
      <c r="C51" s="496" t="s">
        <v>1149</v>
      </c>
      <c r="D51" s="496" t="s">
        <v>1074</v>
      </c>
      <c r="E51" s="496" t="s">
        <v>1074</v>
      </c>
      <c r="F51" s="517" t="s">
        <v>1075</v>
      </c>
      <c r="G51" s="559"/>
      <c r="H51" s="560"/>
      <c r="I51" s="490"/>
      <c r="J51" s="490"/>
      <c r="K51" s="515"/>
      <c r="L51" s="491"/>
      <c r="M51" s="491"/>
      <c r="N51" s="529" t="s">
        <v>1041</v>
      </c>
      <c r="O51" s="540"/>
      <c r="P51" s="492"/>
      <c r="Q51" s="492"/>
      <c r="R51" s="523"/>
      <c r="S51" s="492"/>
      <c r="T51" s="532"/>
      <c r="U51" s="532"/>
      <c r="V51" s="493"/>
      <c r="W51" s="493"/>
      <c r="X51" s="492"/>
      <c r="Y51" s="492"/>
      <c r="Z51" s="523"/>
    </row>
    <row r="52" spans="1:26" x14ac:dyDescent="0.2">
      <c r="A52" s="507"/>
      <c r="B52" s="495"/>
      <c r="C52" s="496"/>
      <c r="D52" s="496"/>
      <c r="E52" s="496"/>
      <c r="F52" s="517"/>
      <c r="G52" s="559"/>
      <c r="H52" s="560"/>
      <c r="I52" s="490"/>
      <c r="J52" s="490"/>
      <c r="K52" s="515"/>
      <c r="L52" s="491"/>
      <c r="M52" s="491"/>
      <c r="N52" s="529"/>
      <c r="O52" s="540"/>
      <c r="P52" s="492"/>
      <c r="Q52" s="492"/>
      <c r="R52" s="523"/>
      <c r="S52" s="492"/>
      <c r="T52" s="532"/>
      <c r="U52" s="532"/>
      <c r="V52" s="493"/>
      <c r="W52" s="493"/>
      <c r="X52" s="492"/>
      <c r="Y52" s="492"/>
      <c r="Z52" s="523"/>
    </row>
    <row r="53" spans="1:26" x14ac:dyDescent="0.2">
      <c r="A53" s="507" t="s">
        <v>1168</v>
      </c>
      <c r="B53" s="495" t="s">
        <v>1169</v>
      </c>
      <c r="C53" s="496" t="s">
        <v>1039</v>
      </c>
      <c r="D53" s="496" t="s">
        <v>1049</v>
      </c>
      <c r="E53" s="496" t="s">
        <v>1170</v>
      </c>
      <c r="F53" s="517" t="s">
        <v>1171</v>
      </c>
      <c r="G53" s="559"/>
      <c r="H53" s="560"/>
      <c r="I53" s="490"/>
      <c r="J53" s="490"/>
      <c r="K53" s="515"/>
      <c r="L53" s="491"/>
      <c r="M53" s="491"/>
      <c r="N53" s="529" t="s">
        <v>1041</v>
      </c>
      <c r="O53" s="540"/>
      <c r="P53" s="492"/>
      <c r="Q53" s="492"/>
      <c r="R53" s="523"/>
      <c r="S53" s="492"/>
      <c r="T53" s="532"/>
      <c r="U53" s="532"/>
      <c r="V53" s="493"/>
      <c r="W53" s="493"/>
      <c r="X53" s="492"/>
      <c r="Y53" s="492"/>
      <c r="Z53" s="523"/>
    </row>
    <row r="54" spans="1:26" x14ac:dyDescent="0.2">
      <c r="A54" s="507"/>
      <c r="B54" s="495"/>
      <c r="C54" s="496"/>
      <c r="D54" s="496"/>
      <c r="E54" s="496"/>
      <c r="F54" s="517"/>
      <c r="G54" s="559"/>
      <c r="H54" s="560"/>
      <c r="I54" s="490"/>
      <c r="J54" s="490"/>
      <c r="K54" s="515"/>
      <c r="L54" s="491"/>
      <c r="M54" s="491"/>
      <c r="N54" s="529"/>
      <c r="O54" s="540"/>
      <c r="P54" s="492"/>
      <c r="Q54" s="492"/>
      <c r="R54" s="523"/>
      <c r="S54" s="492"/>
      <c r="T54" s="532"/>
      <c r="U54" s="532"/>
      <c r="V54" s="493"/>
      <c r="W54" s="493"/>
      <c r="X54" s="492"/>
      <c r="Y54" s="492"/>
      <c r="Z54" s="523"/>
    </row>
    <row r="55" spans="1:26" x14ac:dyDescent="0.2">
      <c r="A55" s="509" t="s">
        <v>870</v>
      </c>
      <c r="B55" s="499" t="s">
        <v>1172</v>
      </c>
      <c r="C55" s="500" t="s">
        <v>488</v>
      </c>
      <c r="D55" s="496"/>
      <c r="E55" s="496"/>
      <c r="F55" s="518" t="s">
        <v>1173</v>
      </c>
      <c r="G55" s="559"/>
      <c r="H55" s="560"/>
      <c r="I55" s="490"/>
      <c r="J55" s="490"/>
      <c r="K55" s="515"/>
      <c r="L55" s="491"/>
      <c r="M55" s="491"/>
      <c r="N55" s="529" t="s">
        <v>1041</v>
      </c>
      <c r="O55" s="540"/>
      <c r="P55" s="492"/>
      <c r="Q55" s="492"/>
      <c r="R55" s="523"/>
      <c r="S55" s="492"/>
      <c r="T55" s="532"/>
      <c r="U55" s="532"/>
      <c r="V55" s="493"/>
      <c r="W55" s="493"/>
      <c r="X55" s="492"/>
      <c r="Y55" s="492"/>
      <c r="Z55" s="523"/>
    </row>
    <row r="56" spans="1:26" x14ac:dyDescent="0.2">
      <c r="A56" s="507" t="s">
        <v>1174</v>
      </c>
      <c r="B56" s="495" t="s">
        <v>1175</v>
      </c>
      <c r="C56" s="496" t="s">
        <v>488</v>
      </c>
      <c r="D56" s="496" t="s">
        <v>874</v>
      </c>
      <c r="E56" s="496" t="s">
        <v>862</v>
      </c>
      <c r="F56" s="517" t="s">
        <v>1176</v>
      </c>
      <c r="G56" s="559">
        <v>0.92113371856882942</v>
      </c>
      <c r="H56" s="560">
        <v>2.1546512572468255</v>
      </c>
      <c r="I56" s="490">
        <f>1-G56</f>
        <v>7.8866281431170582E-2</v>
      </c>
      <c r="J56" s="490">
        <f>1+H56</f>
        <v>3.1546512572468255</v>
      </c>
      <c r="K56" s="547">
        <v>-2</v>
      </c>
      <c r="L56" s="491">
        <f>ROUND($F56*$I56,$K56)</f>
        <v>1000000</v>
      </c>
      <c r="M56" s="491">
        <f>ROUND($F56*$J56,$K56)</f>
        <v>40000000</v>
      </c>
      <c r="N56" s="529" t="s">
        <v>488</v>
      </c>
      <c r="O56" s="540"/>
      <c r="P56" s="492"/>
      <c r="Q56" s="492"/>
      <c r="R56" s="523"/>
      <c r="S56" s="492" t="s">
        <v>278</v>
      </c>
      <c r="T56" s="532" t="s">
        <v>1177</v>
      </c>
      <c r="U56" s="532"/>
      <c r="V56" s="493">
        <v>15</v>
      </c>
      <c r="W56" s="493">
        <v>300</v>
      </c>
      <c r="X56" s="535">
        <v>1000</v>
      </c>
      <c r="Y56" s="535">
        <v>1000000</v>
      </c>
      <c r="Z56" s="541" t="s">
        <v>1178</v>
      </c>
    </row>
    <row r="57" spans="1:26" x14ac:dyDescent="0.2">
      <c r="A57" s="507"/>
      <c r="B57" s="495"/>
      <c r="C57" s="496"/>
      <c r="D57" s="496"/>
      <c r="E57" s="496"/>
      <c r="F57" s="517"/>
      <c r="G57" s="559"/>
      <c r="H57" s="560"/>
      <c r="I57" s="490"/>
      <c r="J57" s="490"/>
      <c r="K57" s="515"/>
      <c r="L57" s="491"/>
      <c r="M57" s="491"/>
      <c r="N57" s="529"/>
      <c r="O57" s="540"/>
      <c r="P57" s="492"/>
      <c r="Q57" s="492"/>
      <c r="R57" s="523"/>
      <c r="S57" s="492" t="s">
        <v>415</v>
      </c>
      <c r="T57" s="532" t="s">
        <v>1177</v>
      </c>
      <c r="U57" s="532"/>
      <c r="V57" s="493">
        <v>15</v>
      </c>
      <c r="W57" s="493">
        <v>300</v>
      </c>
      <c r="X57" s="535">
        <v>1000</v>
      </c>
      <c r="Y57" s="535">
        <v>1000000</v>
      </c>
      <c r="Z57" s="541" t="s">
        <v>1052</v>
      </c>
    </row>
    <row r="58" spans="1:26" x14ac:dyDescent="0.2">
      <c r="A58" s="507"/>
      <c r="B58" s="495"/>
      <c r="C58" s="496"/>
      <c r="D58" s="496"/>
      <c r="E58" s="496"/>
      <c r="F58" s="517"/>
      <c r="G58" s="559"/>
      <c r="H58" s="560"/>
      <c r="I58" s="490"/>
      <c r="J58" s="490"/>
      <c r="K58" s="515"/>
      <c r="L58" s="491"/>
      <c r="M58" s="491"/>
      <c r="N58" s="529"/>
      <c r="O58" s="540"/>
      <c r="P58" s="492"/>
      <c r="Q58" s="492"/>
      <c r="R58" s="523"/>
      <c r="S58" s="492" t="s">
        <v>587</v>
      </c>
      <c r="T58" s="532" t="s">
        <v>1177</v>
      </c>
      <c r="U58" s="532"/>
      <c r="V58" s="493">
        <v>15</v>
      </c>
      <c r="W58" s="493">
        <v>300</v>
      </c>
      <c r="X58" s="535">
        <v>1000</v>
      </c>
      <c r="Y58" s="535">
        <v>1000000</v>
      </c>
      <c r="Z58" s="541" t="s">
        <v>1052</v>
      </c>
    </row>
    <row r="59" spans="1:26" x14ac:dyDescent="0.2">
      <c r="A59" s="507" t="s">
        <v>1179</v>
      </c>
      <c r="B59" s="495" t="s">
        <v>1180</v>
      </c>
      <c r="C59" s="496" t="s">
        <v>488</v>
      </c>
      <c r="D59" s="496" t="s">
        <v>865</v>
      </c>
      <c r="E59" s="496" t="s">
        <v>1181</v>
      </c>
      <c r="F59" s="517" t="s">
        <v>1182</v>
      </c>
      <c r="G59" s="559">
        <v>0.83619375311773014</v>
      </c>
      <c r="H59" s="560">
        <v>1.3400892411752836</v>
      </c>
      <c r="I59" s="490">
        <f>1-G59</f>
        <v>0.16380624688226986</v>
      </c>
      <c r="J59" s="490">
        <f>1+H59</f>
        <v>2.3400892411752836</v>
      </c>
      <c r="K59" s="547">
        <v>-2</v>
      </c>
      <c r="L59" s="491">
        <f>ROUND($F59*$I59,$K59)</f>
        <v>7000000</v>
      </c>
      <c r="M59" s="491">
        <f>ROUND($F59*$J59,$K59)</f>
        <v>100000000</v>
      </c>
      <c r="N59" s="529" t="s">
        <v>488</v>
      </c>
      <c r="O59" s="540"/>
      <c r="P59" s="492"/>
      <c r="Q59" s="492"/>
      <c r="R59" s="523"/>
      <c r="S59" s="492" t="s">
        <v>277</v>
      </c>
      <c r="T59" s="532" t="s">
        <v>1177</v>
      </c>
      <c r="U59" s="532"/>
      <c r="V59" s="493">
        <v>15</v>
      </c>
      <c r="W59" s="493">
        <v>300</v>
      </c>
      <c r="X59" s="535">
        <v>1000</v>
      </c>
      <c r="Y59" s="535">
        <v>1000000</v>
      </c>
      <c r="Z59" s="541" t="s">
        <v>1052</v>
      </c>
    </row>
    <row r="60" spans="1:26" x14ac:dyDescent="0.2">
      <c r="A60" s="507" t="s">
        <v>1183</v>
      </c>
      <c r="B60" s="495" t="s">
        <v>1184</v>
      </c>
      <c r="C60" s="496" t="s">
        <v>488</v>
      </c>
      <c r="D60" s="496" t="s">
        <v>864</v>
      </c>
      <c r="E60" s="496" t="s">
        <v>1185</v>
      </c>
      <c r="F60" s="517" t="s">
        <v>1186</v>
      </c>
      <c r="G60" s="559">
        <v>0.59523979330353383</v>
      </c>
      <c r="H60" s="560">
        <v>1.0238010334823309</v>
      </c>
      <c r="I60" s="490">
        <f>1-G60</f>
        <v>0.40476020669646617</v>
      </c>
      <c r="J60" s="490">
        <f>1+H60</f>
        <v>2.0238010334823309</v>
      </c>
      <c r="K60" s="547">
        <v>-2</v>
      </c>
      <c r="L60" s="491">
        <f>ROUND($F60*$I60,$K60)</f>
        <v>30000000</v>
      </c>
      <c r="M60" s="491">
        <f>ROUND($F60*$J60,$K60)</f>
        <v>150000000</v>
      </c>
      <c r="N60" s="529" t="s">
        <v>488</v>
      </c>
      <c r="O60" s="540"/>
      <c r="P60" s="492"/>
      <c r="Q60" s="492"/>
      <c r="R60" s="523"/>
      <c r="S60" s="492" t="s">
        <v>279</v>
      </c>
      <c r="T60" s="532" t="s">
        <v>1177</v>
      </c>
      <c r="U60" s="532"/>
      <c r="V60" s="493">
        <v>15</v>
      </c>
      <c r="W60" s="493">
        <v>300</v>
      </c>
      <c r="X60" s="535">
        <v>1000</v>
      </c>
      <c r="Y60" s="535">
        <v>1000000</v>
      </c>
      <c r="Z60" s="541" t="s">
        <v>1052</v>
      </c>
    </row>
    <row r="61" spans="1:26" x14ac:dyDescent="0.2">
      <c r="A61" s="508" t="s">
        <v>1187</v>
      </c>
      <c r="B61" s="501" t="s">
        <v>1188</v>
      </c>
      <c r="C61" s="496" t="s">
        <v>488</v>
      </c>
      <c r="D61" s="496" t="s">
        <v>864</v>
      </c>
      <c r="E61" s="496" t="s">
        <v>1064</v>
      </c>
      <c r="F61" s="517" t="s">
        <v>1189</v>
      </c>
      <c r="G61" s="559"/>
      <c r="H61" s="560"/>
      <c r="I61" s="490"/>
      <c r="J61" s="490"/>
      <c r="K61" s="515"/>
      <c r="L61" s="491"/>
      <c r="M61" s="491"/>
      <c r="N61" s="529" t="s">
        <v>1041</v>
      </c>
      <c r="O61" s="540"/>
      <c r="P61" s="492"/>
      <c r="Q61" s="492"/>
      <c r="R61" s="523"/>
      <c r="S61" s="492"/>
      <c r="T61" s="532"/>
      <c r="U61" s="532"/>
      <c r="V61" s="493"/>
      <c r="W61" s="493"/>
      <c r="X61" s="492"/>
      <c r="Y61" s="492"/>
      <c r="Z61" s="523"/>
    </row>
    <row r="62" spans="1:26" x14ac:dyDescent="0.2">
      <c r="A62" s="507" t="s">
        <v>1190</v>
      </c>
      <c r="B62" s="501" t="s">
        <v>1191</v>
      </c>
      <c r="C62" s="496" t="s">
        <v>488</v>
      </c>
      <c r="D62" s="496" t="s">
        <v>1119</v>
      </c>
      <c r="E62" s="496" t="s">
        <v>1119</v>
      </c>
      <c r="F62" s="517" t="s">
        <v>1192</v>
      </c>
      <c r="G62" s="559"/>
      <c r="H62" s="560"/>
      <c r="I62" s="490"/>
      <c r="J62" s="490"/>
      <c r="K62" s="515"/>
      <c r="L62" s="491"/>
      <c r="M62" s="491"/>
      <c r="N62" s="529" t="s">
        <v>1041</v>
      </c>
      <c r="O62" s="540"/>
      <c r="P62" s="492"/>
      <c r="Q62" s="492"/>
      <c r="R62" s="523"/>
      <c r="S62" s="492"/>
      <c r="T62" s="532"/>
      <c r="U62" s="532"/>
      <c r="V62" s="493"/>
      <c r="W62" s="493"/>
      <c r="X62" s="492"/>
      <c r="Y62" s="492"/>
      <c r="Z62" s="523"/>
    </row>
    <row r="63" spans="1:26" x14ac:dyDescent="0.2">
      <c r="A63" s="507" t="s">
        <v>1193</v>
      </c>
      <c r="B63" s="501" t="s">
        <v>1194</v>
      </c>
      <c r="C63" s="496" t="s">
        <v>488</v>
      </c>
      <c r="D63" s="496" t="s">
        <v>1074</v>
      </c>
      <c r="E63" s="496" t="s">
        <v>1074</v>
      </c>
      <c r="F63" s="517" t="s">
        <v>1075</v>
      </c>
      <c r="G63" s="559"/>
      <c r="H63" s="560"/>
      <c r="I63" s="490"/>
      <c r="J63" s="490"/>
      <c r="K63" s="515"/>
      <c r="L63" s="491"/>
      <c r="M63" s="491"/>
      <c r="N63" s="529" t="s">
        <v>1041</v>
      </c>
      <c r="O63" s="540"/>
      <c r="P63" s="492"/>
      <c r="Q63" s="492"/>
      <c r="R63" s="523"/>
      <c r="S63" s="492"/>
      <c r="T63" s="532"/>
      <c r="U63" s="532"/>
      <c r="V63" s="493"/>
      <c r="W63" s="493"/>
      <c r="X63" s="492"/>
      <c r="Y63" s="492"/>
      <c r="Z63" s="523"/>
    </row>
    <row r="64" spans="1:26" x14ac:dyDescent="0.2">
      <c r="A64" s="507" t="s">
        <v>1195</v>
      </c>
      <c r="B64" s="501" t="s">
        <v>1077</v>
      </c>
      <c r="C64" s="496" t="s">
        <v>488</v>
      </c>
      <c r="D64" s="496" t="s">
        <v>1064</v>
      </c>
      <c r="E64" s="496" t="s">
        <v>1096</v>
      </c>
      <c r="F64" s="517" t="s">
        <v>1196</v>
      </c>
      <c r="G64" s="559"/>
      <c r="H64" s="560"/>
      <c r="I64" s="490"/>
      <c r="J64" s="490"/>
      <c r="K64" s="515"/>
      <c r="L64" s="491"/>
      <c r="M64" s="491"/>
      <c r="N64" s="529" t="s">
        <v>1041</v>
      </c>
      <c r="O64" s="540"/>
      <c r="P64" s="492"/>
      <c r="Q64" s="492"/>
      <c r="R64" s="523"/>
      <c r="S64" s="492"/>
      <c r="T64" s="532"/>
      <c r="U64" s="532"/>
      <c r="V64" s="493"/>
      <c r="W64" s="493"/>
      <c r="X64" s="492"/>
      <c r="Y64" s="492"/>
      <c r="Z64" s="523"/>
    </row>
    <row r="65" spans="1:26" x14ac:dyDescent="0.2">
      <c r="A65" s="507" t="s">
        <v>1197</v>
      </c>
      <c r="B65" s="495" t="s">
        <v>1198</v>
      </c>
      <c r="C65" s="496" t="s">
        <v>488</v>
      </c>
      <c r="D65" s="496" t="s">
        <v>1074</v>
      </c>
      <c r="E65" s="496" t="s">
        <v>1074</v>
      </c>
      <c r="F65" s="517" t="s">
        <v>1075</v>
      </c>
      <c r="G65" s="559"/>
      <c r="H65" s="560"/>
      <c r="I65" s="490"/>
      <c r="J65" s="490"/>
      <c r="K65" s="515"/>
      <c r="L65" s="491"/>
      <c r="M65" s="491"/>
      <c r="N65" s="529" t="s">
        <v>1041</v>
      </c>
      <c r="O65" s="540"/>
      <c r="P65" s="492"/>
      <c r="Q65" s="492"/>
      <c r="R65" s="523"/>
      <c r="S65" s="492" t="s">
        <v>489</v>
      </c>
      <c r="T65" s="532" t="s">
        <v>1177</v>
      </c>
      <c r="U65" s="532"/>
      <c r="V65" s="493">
        <v>15</v>
      </c>
      <c r="W65" s="493">
        <v>300</v>
      </c>
      <c r="X65" s="535">
        <v>1000</v>
      </c>
      <c r="Y65" s="535">
        <v>1000000</v>
      </c>
      <c r="Z65" s="541" t="s">
        <v>1052</v>
      </c>
    </row>
    <row r="66" spans="1:26" x14ac:dyDescent="0.2">
      <c r="A66" s="507" t="s">
        <v>1199</v>
      </c>
      <c r="B66" s="495" t="s">
        <v>1200</v>
      </c>
      <c r="C66" s="496" t="s">
        <v>488</v>
      </c>
      <c r="D66" s="496" t="s">
        <v>1119</v>
      </c>
      <c r="E66" s="496" t="s">
        <v>861</v>
      </c>
      <c r="F66" s="517" t="s">
        <v>1201</v>
      </c>
      <c r="G66" s="559"/>
      <c r="H66" s="560"/>
      <c r="I66" s="490"/>
      <c r="J66" s="490"/>
      <c r="K66" s="515"/>
      <c r="L66" s="491"/>
      <c r="M66" s="491"/>
      <c r="N66" s="529" t="s">
        <v>1041</v>
      </c>
      <c r="O66" s="540"/>
      <c r="P66" s="492"/>
      <c r="Q66" s="492"/>
      <c r="R66" s="523"/>
      <c r="S66" s="492"/>
      <c r="T66" s="532"/>
      <c r="U66" s="532"/>
      <c r="V66" s="493"/>
      <c r="W66" s="493"/>
      <c r="X66" s="492"/>
      <c r="Y66" s="492"/>
      <c r="Z66" s="523"/>
    </row>
    <row r="67" spans="1:26" x14ac:dyDescent="0.2">
      <c r="A67" s="507" t="s">
        <v>1202</v>
      </c>
      <c r="B67" s="495" t="s">
        <v>1203</v>
      </c>
      <c r="C67" s="496" t="s">
        <v>143</v>
      </c>
      <c r="D67" s="496" t="s">
        <v>1181</v>
      </c>
      <c r="E67" s="496" t="s">
        <v>1204</v>
      </c>
      <c r="F67" s="517" t="s">
        <v>1205</v>
      </c>
      <c r="G67" s="559">
        <v>0.1</v>
      </c>
      <c r="H67" s="560">
        <v>1.1499999999999999</v>
      </c>
      <c r="I67" s="490">
        <f>1-G67</f>
        <v>0.9</v>
      </c>
      <c r="J67" s="490">
        <f>1+H67</f>
        <v>2.15</v>
      </c>
      <c r="K67" s="547">
        <v>-3</v>
      </c>
      <c r="L67" s="491">
        <f>ROUND($F67*$I67,$K67)</f>
        <v>16000</v>
      </c>
      <c r="M67" s="491">
        <f>ROUND($F67*$J67,$K67)</f>
        <v>38000</v>
      </c>
      <c r="N67" s="529" t="s">
        <v>143</v>
      </c>
      <c r="O67" s="540"/>
      <c r="P67" s="492"/>
      <c r="Q67" s="492"/>
      <c r="R67" s="523"/>
      <c r="S67" s="492" t="s">
        <v>504</v>
      </c>
      <c r="T67" s="532" t="s">
        <v>1177</v>
      </c>
      <c r="U67" s="532"/>
      <c r="V67" s="493">
        <v>15</v>
      </c>
      <c r="W67" s="493">
        <v>300</v>
      </c>
      <c r="X67" s="535">
        <v>1000</v>
      </c>
      <c r="Y67" s="535">
        <v>1000000</v>
      </c>
      <c r="Z67" s="541" t="s">
        <v>1206</v>
      </c>
    </row>
    <row r="68" spans="1:26" x14ac:dyDescent="0.2">
      <c r="A68" s="507"/>
      <c r="B68" s="495"/>
      <c r="C68" s="496"/>
      <c r="D68" s="496"/>
      <c r="E68" s="496"/>
      <c r="F68" s="517"/>
      <c r="G68" s="559"/>
      <c r="H68" s="560"/>
      <c r="I68" s="490"/>
      <c r="J68" s="490"/>
      <c r="K68" s="515"/>
      <c r="L68" s="491"/>
      <c r="M68" s="491"/>
      <c r="N68" s="529"/>
      <c r="O68" s="540"/>
      <c r="P68" s="492"/>
      <c r="Q68" s="492"/>
      <c r="R68" s="523"/>
      <c r="S68" s="492" t="s">
        <v>274</v>
      </c>
      <c r="T68" s="532" t="s">
        <v>1177</v>
      </c>
      <c r="U68" s="532"/>
      <c r="V68" s="493">
        <v>15</v>
      </c>
      <c r="W68" s="493">
        <v>300</v>
      </c>
      <c r="X68" s="535">
        <v>1000</v>
      </c>
      <c r="Y68" s="535">
        <v>1000000</v>
      </c>
      <c r="Z68" s="541" t="s">
        <v>1052</v>
      </c>
    </row>
    <row r="69" spans="1:26" x14ac:dyDescent="0.2">
      <c r="A69" s="507" t="s">
        <v>1207</v>
      </c>
      <c r="B69" s="495" t="s">
        <v>1208</v>
      </c>
      <c r="C69" s="496" t="s">
        <v>320</v>
      </c>
      <c r="D69" s="496" t="s">
        <v>1209</v>
      </c>
      <c r="E69" s="496" t="s">
        <v>1210</v>
      </c>
      <c r="F69" s="517" t="s">
        <v>1211</v>
      </c>
      <c r="G69" s="559"/>
      <c r="H69" s="560"/>
      <c r="I69" s="490"/>
      <c r="J69" s="490"/>
      <c r="K69" s="515"/>
      <c r="L69" s="491"/>
      <c r="M69" s="491"/>
      <c r="N69" s="529" t="s">
        <v>1041</v>
      </c>
      <c r="O69" s="540"/>
      <c r="P69" s="492"/>
      <c r="Q69" s="492"/>
      <c r="R69" s="523"/>
      <c r="S69" s="492"/>
      <c r="T69" s="532"/>
      <c r="U69" s="532"/>
      <c r="V69" s="493"/>
      <c r="W69" s="493"/>
      <c r="X69" s="492"/>
      <c r="Y69" s="492"/>
      <c r="Z69" s="523"/>
    </row>
    <row r="70" spans="1:26" x14ac:dyDescent="0.2">
      <c r="A70" s="508" t="s">
        <v>1212</v>
      </c>
      <c r="B70" s="501" t="s">
        <v>218</v>
      </c>
      <c r="C70" s="496" t="s">
        <v>320</v>
      </c>
      <c r="D70" s="496" t="s">
        <v>1082</v>
      </c>
      <c r="E70" s="496" t="s">
        <v>1055</v>
      </c>
      <c r="F70" s="517" t="s">
        <v>1213</v>
      </c>
      <c r="G70" s="559">
        <v>0.75391666240122213</v>
      </c>
      <c r="H70" s="560">
        <v>0.96866670079022277</v>
      </c>
      <c r="I70" s="490">
        <f>1-G70</f>
        <v>0.24608333759877787</v>
      </c>
      <c r="J70" s="490">
        <f>1+H70</f>
        <v>1.9686667007902228</v>
      </c>
      <c r="K70" s="547">
        <v>-2</v>
      </c>
      <c r="L70" s="491">
        <f>ROUND($F70*$I70,$K70)</f>
        <v>250000</v>
      </c>
      <c r="M70" s="491">
        <f>ROUND($F70*$J70,$K70)</f>
        <v>2000000</v>
      </c>
      <c r="N70" s="529" t="s">
        <v>13</v>
      </c>
      <c r="O70" s="540"/>
      <c r="P70" s="492"/>
      <c r="Q70" s="492"/>
      <c r="R70" s="523"/>
      <c r="S70" s="492"/>
      <c r="T70" s="532"/>
      <c r="U70" s="532"/>
      <c r="V70" s="493"/>
      <c r="W70" s="493"/>
      <c r="X70" s="492"/>
      <c r="Y70" s="492"/>
      <c r="Z70" s="523" t="s">
        <v>1214</v>
      </c>
    </row>
    <row r="71" spans="1:26" x14ac:dyDescent="0.2">
      <c r="A71" s="507" t="s">
        <v>1215</v>
      </c>
      <c r="B71" s="501" t="s">
        <v>141</v>
      </c>
      <c r="C71" s="496" t="s">
        <v>320</v>
      </c>
      <c r="D71" s="496" t="s">
        <v>1209</v>
      </c>
      <c r="E71" s="496" t="s">
        <v>864</v>
      </c>
      <c r="F71" s="517" t="s">
        <v>1216</v>
      </c>
      <c r="G71" s="559">
        <v>0.70992604080953836</v>
      </c>
      <c r="H71" s="560">
        <v>6.3604517031692509E-2</v>
      </c>
      <c r="I71" s="490">
        <f>1-G71</f>
        <v>0.29007395919046164</v>
      </c>
      <c r="J71" s="490">
        <f>1+H71</f>
        <v>1.0636045170316926</v>
      </c>
      <c r="K71" s="547">
        <v>-2</v>
      </c>
      <c r="L71" s="491">
        <f>ROUND($F71*$I71,$K71)</f>
        <v>300000</v>
      </c>
      <c r="M71" s="491">
        <f>ROUND($F71*$J71,$K71)</f>
        <v>1100000</v>
      </c>
      <c r="N71" s="529" t="s">
        <v>13</v>
      </c>
      <c r="O71" s="540"/>
      <c r="P71" s="492"/>
      <c r="Q71" s="492"/>
      <c r="R71" s="523"/>
      <c r="S71" s="492"/>
      <c r="T71" s="532"/>
      <c r="U71" s="532"/>
      <c r="V71" s="493"/>
      <c r="W71" s="493"/>
      <c r="X71" s="492"/>
      <c r="Y71" s="492"/>
      <c r="Z71" s="523" t="s">
        <v>1217</v>
      </c>
    </row>
    <row r="72" spans="1:26" x14ac:dyDescent="0.2">
      <c r="A72" s="507" t="s">
        <v>1218</v>
      </c>
      <c r="B72" s="501" t="s">
        <v>1077</v>
      </c>
      <c r="C72" s="496" t="s">
        <v>320</v>
      </c>
      <c r="D72" s="496" t="s">
        <v>1074</v>
      </c>
      <c r="E72" s="496" t="s">
        <v>1074</v>
      </c>
      <c r="F72" s="517" t="s">
        <v>1075</v>
      </c>
      <c r="G72" s="559"/>
      <c r="H72" s="560"/>
      <c r="I72" s="490"/>
      <c r="J72" s="490"/>
      <c r="K72" s="515"/>
      <c r="L72" s="491"/>
      <c r="M72" s="491"/>
      <c r="N72" s="529" t="s">
        <v>1041</v>
      </c>
      <c r="O72" s="540"/>
      <c r="P72" s="492"/>
      <c r="Q72" s="492"/>
      <c r="R72" s="523"/>
      <c r="S72" s="492"/>
      <c r="T72" s="532"/>
      <c r="U72" s="532"/>
      <c r="V72" s="493"/>
      <c r="W72" s="493"/>
      <c r="X72" s="492"/>
      <c r="Y72" s="492"/>
      <c r="Z72" s="523"/>
    </row>
    <row r="73" spans="1:26" x14ac:dyDescent="0.2">
      <c r="A73" s="507" t="s">
        <v>1219</v>
      </c>
      <c r="B73" s="495" t="s">
        <v>1220</v>
      </c>
      <c r="C73" s="496" t="s">
        <v>320</v>
      </c>
      <c r="D73" s="496" t="s">
        <v>1082</v>
      </c>
      <c r="E73" s="496" t="s">
        <v>1119</v>
      </c>
      <c r="F73" s="517" t="s">
        <v>1221</v>
      </c>
      <c r="G73" s="559"/>
      <c r="H73" s="560"/>
      <c r="I73" s="490"/>
      <c r="J73" s="490"/>
      <c r="K73" s="515"/>
      <c r="L73" s="491"/>
      <c r="M73" s="491"/>
      <c r="N73" s="529" t="s">
        <v>1041</v>
      </c>
      <c r="O73" s="540"/>
      <c r="P73" s="492"/>
      <c r="Q73" s="492"/>
      <c r="R73" s="523"/>
      <c r="S73" s="492"/>
      <c r="T73" s="532"/>
      <c r="U73" s="532"/>
      <c r="V73" s="493"/>
      <c r="W73" s="493"/>
      <c r="X73" s="492"/>
      <c r="Y73" s="492"/>
      <c r="Z73" s="523" t="s">
        <v>1222</v>
      </c>
    </row>
    <row r="74" spans="1:26" x14ac:dyDescent="0.2">
      <c r="A74" s="507" t="s">
        <v>1223</v>
      </c>
      <c r="B74" s="495" t="s">
        <v>1224</v>
      </c>
      <c r="C74" s="496" t="s">
        <v>320</v>
      </c>
      <c r="D74" s="496" t="s">
        <v>1074</v>
      </c>
      <c r="E74" s="496" t="s">
        <v>1074</v>
      </c>
      <c r="F74" s="517" t="s">
        <v>1075</v>
      </c>
      <c r="G74" s="559"/>
      <c r="H74" s="560"/>
      <c r="I74" s="490"/>
      <c r="J74" s="490"/>
      <c r="K74" s="515"/>
      <c r="L74" s="491"/>
      <c r="M74" s="491"/>
      <c r="N74" s="529" t="s">
        <v>1041</v>
      </c>
      <c r="O74" s="540"/>
      <c r="P74" s="492"/>
      <c r="Q74" s="492"/>
      <c r="R74" s="523"/>
      <c r="S74" s="492"/>
      <c r="T74" s="532"/>
      <c r="U74" s="532"/>
      <c r="V74" s="493"/>
      <c r="W74" s="493"/>
      <c r="X74" s="492"/>
      <c r="Y74" s="492"/>
      <c r="Z74" s="523"/>
    </row>
    <row r="75" spans="1:26" x14ac:dyDescent="0.2">
      <c r="A75" s="508" t="s">
        <v>1225</v>
      </c>
      <c r="B75" s="501" t="s">
        <v>1188</v>
      </c>
      <c r="C75" s="496" t="s">
        <v>320</v>
      </c>
      <c r="D75" s="496" t="s">
        <v>1074</v>
      </c>
      <c r="E75" s="496" t="s">
        <v>1074</v>
      </c>
      <c r="F75" s="517" t="s">
        <v>1075</v>
      </c>
      <c r="G75" s="559"/>
      <c r="H75" s="560"/>
      <c r="I75" s="490"/>
      <c r="J75" s="490"/>
      <c r="K75" s="515"/>
      <c r="L75" s="491"/>
      <c r="M75" s="491"/>
      <c r="N75" s="529" t="s">
        <v>1041</v>
      </c>
      <c r="O75" s="540"/>
      <c r="P75" s="492"/>
      <c r="Q75" s="492"/>
      <c r="R75" s="523"/>
      <c r="S75" s="492"/>
      <c r="T75" s="532"/>
      <c r="U75" s="532"/>
      <c r="V75" s="493"/>
      <c r="W75" s="493"/>
      <c r="X75" s="492"/>
      <c r="Y75" s="492"/>
      <c r="Z75" s="523"/>
    </row>
    <row r="76" spans="1:26" x14ac:dyDescent="0.2">
      <c r="A76" s="507" t="s">
        <v>1226</v>
      </c>
      <c r="B76" s="501" t="s">
        <v>1191</v>
      </c>
      <c r="C76" s="496" t="s">
        <v>320</v>
      </c>
      <c r="D76" s="496" t="s">
        <v>1074</v>
      </c>
      <c r="E76" s="496" t="s">
        <v>1074</v>
      </c>
      <c r="F76" s="517" t="s">
        <v>1075</v>
      </c>
      <c r="G76" s="559"/>
      <c r="H76" s="560"/>
      <c r="I76" s="490"/>
      <c r="J76" s="490"/>
      <c r="K76" s="515"/>
      <c r="L76" s="491"/>
      <c r="M76" s="491"/>
      <c r="N76" s="529" t="s">
        <v>1041</v>
      </c>
      <c r="O76" s="540"/>
      <c r="P76" s="492"/>
      <c r="Q76" s="492"/>
      <c r="R76" s="523"/>
      <c r="S76" s="492"/>
      <c r="T76" s="532"/>
      <c r="U76" s="532"/>
      <c r="V76" s="493"/>
      <c r="W76" s="493"/>
      <c r="X76" s="492"/>
      <c r="Y76" s="492"/>
      <c r="Z76" s="523"/>
    </row>
    <row r="77" spans="1:26" x14ac:dyDescent="0.2">
      <c r="A77" s="507" t="s">
        <v>1227</v>
      </c>
      <c r="B77" s="501" t="s">
        <v>1194</v>
      </c>
      <c r="C77" s="496" t="s">
        <v>320</v>
      </c>
      <c r="D77" s="496" t="s">
        <v>1074</v>
      </c>
      <c r="E77" s="496" t="s">
        <v>1074</v>
      </c>
      <c r="F77" s="517" t="s">
        <v>1075</v>
      </c>
      <c r="G77" s="559"/>
      <c r="H77" s="560"/>
      <c r="I77" s="490"/>
      <c r="J77" s="490"/>
      <c r="K77" s="515"/>
      <c r="L77" s="491"/>
      <c r="M77" s="491"/>
      <c r="N77" s="529" t="s">
        <v>1041</v>
      </c>
      <c r="O77" s="540"/>
      <c r="P77" s="492"/>
      <c r="Q77" s="492"/>
      <c r="R77" s="523"/>
      <c r="S77" s="492"/>
      <c r="T77" s="532"/>
      <c r="U77" s="532"/>
      <c r="V77" s="493"/>
      <c r="W77" s="493"/>
      <c r="X77" s="492"/>
      <c r="Y77" s="492"/>
      <c r="Z77" s="523"/>
    </row>
    <row r="78" spans="1:26" x14ac:dyDescent="0.2">
      <c r="A78" s="507" t="s">
        <v>1228</v>
      </c>
      <c r="B78" s="501" t="s">
        <v>1077</v>
      </c>
      <c r="C78" s="496" t="s">
        <v>320</v>
      </c>
      <c r="D78" s="496" t="s">
        <v>1074</v>
      </c>
      <c r="E78" s="496" t="s">
        <v>1074</v>
      </c>
      <c r="F78" s="517" t="s">
        <v>1075</v>
      </c>
      <c r="G78" s="559"/>
      <c r="H78" s="560"/>
      <c r="I78" s="490"/>
      <c r="J78" s="490"/>
      <c r="K78" s="515"/>
      <c r="L78" s="491"/>
      <c r="M78" s="491"/>
      <c r="N78" s="529" t="s">
        <v>1041</v>
      </c>
      <c r="O78" s="540"/>
      <c r="P78" s="492"/>
      <c r="Q78" s="492"/>
      <c r="R78" s="523"/>
      <c r="S78" s="492"/>
      <c r="T78" s="532"/>
      <c r="U78" s="532"/>
      <c r="V78" s="493"/>
      <c r="W78" s="493"/>
      <c r="X78" s="492"/>
      <c r="Y78" s="492"/>
      <c r="Z78" s="523"/>
    </row>
    <row r="79" spans="1:26" x14ac:dyDescent="0.2">
      <c r="A79" s="507" t="s">
        <v>1229</v>
      </c>
      <c r="B79" s="495" t="s">
        <v>1230</v>
      </c>
      <c r="C79" s="496" t="s">
        <v>488</v>
      </c>
      <c r="D79" s="496" t="s">
        <v>868</v>
      </c>
      <c r="E79" s="496" t="s">
        <v>861</v>
      </c>
      <c r="F79" s="517" t="s">
        <v>1231</v>
      </c>
      <c r="G79" s="559"/>
      <c r="H79" s="560"/>
      <c r="I79" s="490"/>
      <c r="J79" s="490"/>
      <c r="K79" s="515"/>
      <c r="L79" s="491"/>
      <c r="M79" s="491"/>
      <c r="N79" s="529" t="s">
        <v>1041</v>
      </c>
      <c r="O79" s="540"/>
      <c r="P79" s="492"/>
      <c r="Q79" s="492"/>
      <c r="R79" s="523"/>
      <c r="S79" s="492"/>
      <c r="T79" s="532"/>
      <c r="U79" s="532"/>
      <c r="V79" s="493"/>
      <c r="W79" s="493"/>
      <c r="X79" s="492"/>
      <c r="Y79" s="492"/>
      <c r="Z79" s="523"/>
    </row>
    <row r="80" spans="1:26" x14ac:dyDescent="0.2">
      <c r="A80" s="507"/>
      <c r="B80" s="495"/>
      <c r="C80" s="496"/>
      <c r="D80" s="496"/>
      <c r="E80" s="496"/>
      <c r="F80" s="517"/>
      <c r="G80" s="559"/>
      <c r="H80" s="560"/>
      <c r="I80" s="490"/>
      <c r="J80" s="490"/>
      <c r="K80" s="515"/>
      <c r="L80" s="491"/>
      <c r="M80" s="491"/>
      <c r="N80" s="529"/>
      <c r="O80" s="540"/>
      <c r="P80" s="492"/>
      <c r="Q80" s="492"/>
      <c r="R80" s="523"/>
      <c r="S80" s="492"/>
      <c r="T80" s="532"/>
      <c r="U80" s="532"/>
      <c r="V80" s="493"/>
      <c r="W80" s="493"/>
      <c r="X80" s="492"/>
      <c r="Y80" s="492"/>
      <c r="Z80" s="523"/>
    </row>
    <row r="81" spans="1:26" x14ac:dyDescent="0.2">
      <c r="A81" s="509" t="s">
        <v>878</v>
      </c>
      <c r="B81" s="499" t="s">
        <v>1232</v>
      </c>
      <c r="C81" s="500" t="s">
        <v>1039</v>
      </c>
      <c r="D81" s="496"/>
      <c r="E81" s="496"/>
      <c r="F81" s="518" t="s">
        <v>1233</v>
      </c>
      <c r="G81" s="559"/>
      <c r="H81" s="560"/>
      <c r="I81" s="490"/>
      <c r="J81" s="490"/>
      <c r="K81" s="515"/>
      <c r="L81" s="491"/>
      <c r="M81" s="491"/>
      <c r="N81" s="529" t="s">
        <v>1041</v>
      </c>
      <c r="O81" s="540"/>
      <c r="P81" s="492"/>
      <c r="Q81" s="492"/>
      <c r="R81" s="523"/>
      <c r="S81" s="492"/>
      <c r="T81" s="532"/>
      <c r="U81" s="532"/>
      <c r="V81" s="493"/>
      <c r="W81" s="493"/>
      <c r="X81" s="492"/>
      <c r="Y81" s="492"/>
      <c r="Z81" s="523"/>
    </row>
    <row r="82" spans="1:26" x14ac:dyDescent="0.2">
      <c r="A82" s="507" t="s">
        <v>1234</v>
      </c>
      <c r="B82" s="495" t="s">
        <v>1235</v>
      </c>
      <c r="C82" s="502" t="s">
        <v>1039</v>
      </c>
      <c r="D82" s="496" t="s">
        <v>1082</v>
      </c>
      <c r="E82" s="496" t="s">
        <v>1236</v>
      </c>
      <c r="F82" s="517" t="s">
        <v>1237</v>
      </c>
      <c r="G82" s="559"/>
      <c r="H82" s="560"/>
      <c r="I82" s="490"/>
      <c r="J82" s="490"/>
      <c r="K82" s="515"/>
      <c r="L82" s="491"/>
      <c r="M82" s="491"/>
      <c r="N82" s="529" t="s">
        <v>1041</v>
      </c>
      <c r="O82" s="540"/>
      <c r="P82" s="492"/>
      <c r="Q82" s="492"/>
      <c r="R82" s="523"/>
      <c r="S82" s="492"/>
      <c r="T82" s="532"/>
      <c r="U82" s="532"/>
      <c r="V82" s="493"/>
      <c r="W82" s="493"/>
      <c r="X82" s="492"/>
      <c r="Y82" s="492"/>
      <c r="Z82" s="523"/>
    </row>
    <row r="83" spans="1:26" x14ac:dyDescent="0.2">
      <c r="A83" s="508" t="s">
        <v>1238</v>
      </c>
      <c r="B83" s="501" t="s">
        <v>1239</v>
      </c>
      <c r="C83" s="502" t="s">
        <v>1039</v>
      </c>
      <c r="D83" s="496" t="s">
        <v>1082</v>
      </c>
      <c r="E83" s="496" t="s">
        <v>1240</v>
      </c>
      <c r="F83" s="517" t="s">
        <v>1241</v>
      </c>
      <c r="G83" s="559"/>
      <c r="H83" s="560"/>
      <c r="I83" s="490"/>
      <c r="J83" s="490"/>
      <c r="K83" s="515"/>
      <c r="L83" s="491"/>
      <c r="M83" s="491"/>
      <c r="N83" s="529" t="s">
        <v>1041</v>
      </c>
      <c r="O83" s="540"/>
      <c r="P83" s="492"/>
      <c r="Q83" s="492"/>
      <c r="R83" s="523"/>
      <c r="S83" s="492" t="s">
        <v>498</v>
      </c>
      <c r="T83" s="532" t="s">
        <v>1177</v>
      </c>
      <c r="U83" s="532"/>
      <c r="V83" s="493">
        <v>15</v>
      </c>
      <c r="W83" s="493">
        <v>300</v>
      </c>
      <c r="X83" s="535">
        <v>1000</v>
      </c>
      <c r="Y83" s="535">
        <v>1000000</v>
      </c>
      <c r="Z83" s="523" t="s">
        <v>1242</v>
      </c>
    </row>
    <row r="84" spans="1:26" x14ac:dyDescent="0.2">
      <c r="A84" s="507" t="s">
        <v>1243</v>
      </c>
      <c r="B84" s="501" t="s">
        <v>1244</v>
      </c>
      <c r="C84" s="502" t="s">
        <v>1039</v>
      </c>
      <c r="D84" s="496" t="s">
        <v>1049</v>
      </c>
      <c r="E84" s="496" t="s">
        <v>1245</v>
      </c>
      <c r="F84" s="517" t="s">
        <v>1246</v>
      </c>
      <c r="G84" s="559"/>
      <c r="H84" s="560"/>
      <c r="I84" s="490"/>
      <c r="J84" s="490"/>
      <c r="K84" s="515"/>
      <c r="L84" s="491"/>
      <c r="M84" s="491"/>
      <c r="N84" s="529" t="s">
        <v>1041</v>
      </c>
      <c r="O84" s="540"/>
      <c r="P84" s="492"/>
      <c r="Q84" s="492"/>
      <c r="R84" s="523"/>
      <c r="S84" s="492"/>
      <c r="T84" s="532"/>
      <c r="U84" s="532"/>
      <c r="V84" s="493"/>
      <c r="W84" s="493"/>
      <c r="X84" s="492"/>
      <c r="Y84" s="492"/>
      <c r="Z84" s="523"/>
    </row>
    <row r="85" spans="1:26" x14ac:dyDescent="0.2">
      <c r="A85" s="507" t="s">
        <v>1247</v>
      </c>
      <c r="B85" s="501" t="s">
        <v>1248</v>
      </c>
      <c r="C85" s="502" t="s">
        <v>1039</v>
      </c>
      <c r="D85" s="496" t="s">
        <v>1074</v>
      </c>
      <c r="E85" s="496" t="s">
        <v>1074</v>
      </c>
      <c r="F85" s="517" t="s">
        <v>1075</v>
      </c>
      <c r="G85" s="559"/>
      <c r="H85" s="560"/>
      <c r="I85" s="490"/>
      <c r="J85" s="490"/>
      <c r="K85" s="515"/>
      <c r="L85" s="491"/>
      <c r="M85" s="491"/>
      <c r="N85" s="529" t="s">
        <v>1041</v>
      </c>
      <c r="O85" s="540"/>
      <c r="P85" s="492"/>
      <c r="Q85" s="492"/>
      <c r="R85" s="523"/>
      <c r="S85" s="492" t="s">
        <v>490</v>
      </c>
      <c r="T85" s="532" t="s">
        <v>1177</v>
      </c>
      <c r="U85" s="532"/>
      <c r="V85" s="493">
        <v>15</v>
      </c>
      <c r="W85" s="493">
        <v>300</v>
      </c>
      <c r="X85" s="535">
        <v>1000</v>
      </c>
      <c r="Y85" s="535">
        <v>1000000</v>
      </c>
      <c r="Z85" s="523" t="s">
        <v>1052</v>
      </c>
    </row>
    <row r="86" spans="1:26" x14ac:dyDescent="0.2">
      <c r="A86" s="507" t="s">
        <v>1249</v>
      </c>
      <c r="B86" s="501" t="s">
        <v>1077</v>
      </c>
      <c r="C86" s="502" t="s">
        <v>1039</v>
      </c>
      <c r="D86" s="496" t="s">
        <v>1074</v>
      </c>
      <c r="E86" s="496" t="s">
        <v>1074</v>
      </c>
      <c r="F86" s="517" t="s">
        <v>1075</v>
      </c>
      <c r="G86" s="559"/>
      <c r="H86" s="560"/>
      <c r="I86" s="490"/>
      <c r="J86" s="490"/>
      <c r="K86" s="515"/>
      <c r="L86" s="491"/>
      <c r="M86" s="491"/>
      <c r="N86" s="529" t="s">
        <v>1041</v>
      </c>
      <c r="O86" s="540"/>
      <c r="P86" s="492"/>
      <c r="Q86" s="492"/>
      <c r="R86" s="523"/>
      <c r="S86" s="492"/>
      <c r="T86" s="532"/>
      <c r="U86" s="532"/>
      <c r="V86" s="493"/>
      <c r="W86" s="493"/>
      <c r="X86" s="492"/>
      <c r="Y86" s="492"/>
      <c r="Z86" s="523"/>
    </row>
    <row r="87" spans="1:26" x14ac:dyDescent="0.2">
      <c r="A87" s="507" t="s">
        <v>1250</v>
      </c>
      <c r="B87" s="495" t="s">
        <v>1251</v>
      </c>
      <c r="C87" s="496" t="s">
        <v>327</v>
      </c>
      <c r="D87" s="496" t="s">
        <v>863</v>
      </c>
      <c r="E87" s="496" t="s">
        <v>1252</v>
      </c>
      <c r="F87" s="517" t="s">
        <v>1253</v>
      </c>
      <c r="G87" s="559"/>
      <c r="H87" s="560"/>
      <c r="I87" s="490"/>
      <c r="J87" s="490"/>
      <c r="K87" s="515"/>
      <c r="L87" s="491"/>
      <c r="M87" s="491"/>
      <c r="N87" s="529" t="s">
        <v>1041</v>
      </c>
      <c r="O87" s="540"/>
      <c r="P87" s="492"/>
      <c r="Q87" s="492"/>
      <c r="R87" s="523"/>
      <c r="S87" s="492" t="s">
        <v>497</v>
      </c>
      <c r="T87" s="532" t="s">
        <v>1177</v>
      </c>
      <c r="U87" s="532"/>
      <c r="V87" s="493">
        <v>15</v>
      </c>
      <c r="W87" s="493">
        <v>300</v>
      </c>
      <c r="X87" s="535">
        <v>1000</v>
      </c>
      <c r="Y87" s="535">
        <v>1000000</v>
      </c>
      <c r="Z87" s="523" t="s">
        <v>1254</v>
      </c>
    </row>
    <row r="88" spans="1:26" x14ac:dyDescent="0.2">
      <c r="A88" s="507"/>
      <c r="B88" s="495"/>
      <c r="C88" s="496"/>
      <c r="D88" s="496"/>
      <c r="E88" s="496"/>
      <c r="F88" s="517"/>
      <c r="G88" s="559"/>
      <c r="H88" s="560"/>
      <c r="I88" s="490"/>
      <c r="J88" s="490"/>
      <c r="K88" s="515"/>
      <c r="L88" s="491"/>
      <c r="M88" s="491"/>
      <c r="N88" s="529"/>
      <c r="O88" s="540"/>
      <c r="P88" s="492"/>
      <c r="Q88" s="492"/>
      <c r="R88" s="523"/>
      <c r="S88" s="492" t="s">
        <v>496</v>
      </c>
      <c r="T88" s="532" t="s">
        <v>1177</v>
      </c>
      <c r="U88" s="532"/>
      <c r="V88" s="493">
        <v>15</v>
      </c>
      <c r="W88" s="493">
        <v>300</v>
      </c>
      <c r="X88" s="535">
        <v>1000</v>
      </c>
      <c r="Y88" s="535">
        <v>1000000</v>
      </c>
      <c r="Z88" s="523" t="s">
        <v>1052</v>
      </c>
    </row>
    <row r="89" spans="1:26" x14ac:dyDescent="0.2">
      <c r="A89" s="508" t="s">
        <v>1255</v>
      </c>
      <c r="B89" s="495" t="s">
        <v>1256</v>
      </c>
      <c r="C89" s="496" t="s">
        <v>327</v>
      </c>
      <c r="D89" s="496" t="s">
        <v>871</v>
      </c>
      <c r="E89" s="496" t="s">
        <v>1257</v>
      </c>
      <c r="F89" s="517" t="s">
        <v>1258</v>
      </c>
      <c r="G89" s="559"/>
      <c r="H89" s="560"/>
      <c r="I89" s="490"/>
      <c r="J89" s="490"/>
      <c r="K89" s="515"/>
      <c r="L89" s="491"/>
      <c r="M89" s="491"/>
      <c r="N89" s="529" t="s">
        <v>1041</v>
      </c>
      <c r="O89" s="540"/>
      <c r="P89" s="492"/>
      <c r="Q89" s="492"/>
      <c r="R89" s="523"/>
      <c r="S89" s="492" t="s">
        <v>495</v>
      </c>
      <c r="T89" s="532" t="s">
        <v>1177</v>
      </c>
      <c r="U89" s="532"/>
      <c r="V89" s="493">
        <v>15</v>
      </c>
      <c r="W89" s="493">
        <v>300</v>
      </c>
      <c r="X89" s="535">
        <v>1000</v>
      </c>
      <c r="Y89" s="535">
        <v>1000000</v>
      </c>
      <c r="Z89" s="523" t="s">
        <v>1052</v>
      </c>
    </row>
    <row r="90" spans="1:26" x14ac:dyDescent="0.2">
      <c r="A90" s="508" t="s">
        <v>1259</v>
      </c>
      <c r="B90" s="495" t="s">
        <v>1260</v>
      </c>
      <c r="C90" s="502" t="s">
        <v>1039</v>
      </c>
      <c r="D90" s="496" t="s">
        <v>1209</v>
      </c>
      <c r="E90" s="496" t="s">
        <v>1261</v>
      </c>
      <c r="F90" s="517" t="s">
        <v>1262</v>
      </c>
      <c r="G90" s="559"/>
      <c r="H90" s="560"/>
      <c r="I90" s="490"/>
      <c r="J90" s="490"/>
      <c r="K90" s="515"/>
      <c r="L90" s="491"/>
      <c r="M90" s="491"/>
      <c r="N90" s="529" t="s">
        <v>1041</v>
      </c>
      <c r="O90" s="540"/>
      <c r="P90" s="492"/>
      <c r="Q90" s="492"/>
      <c r="R90" s="523"/>
      <c r="S90" s="492"/>
      <c r="T90" s="532"/>
      <c r="U90" s="532"/>
      <c r="V90" s="493"/>
      <c r="W90" s="493"/>
      <c r="X90" s="492"/>
      <c r="Y90" s="492"/>
      <c r="Z90" s="523"/>
    </row>
    <row r="91" spans="1:26" x14ac:dyDescent="0.2">
      <c r="A91" s="508" t="s">
        <v>1263</v>
      </c>
      <c r="B91" s="495" t="s">
        <v>1264</v>
      </c>
      <c r="C91" s="496" t="s">
        <v>1149</v>
      </c>
      <c r="D91" s="496" t="s">
        <v>1055</v>
      </c>
      <c r="E91" s="496" t="s">
        <v>1265</v>
      </c>
      <c r="F91" s="517" t="s">
        <v>1266</v>
      </c>
      <c r="G91" s="559"/>
      <c r="H91" s="560"/>
      <c r="I91" s="490"/>
      <c r="J91" s="490"/>
      <c r="K91" s="515"/>
      <c r="L91" s="491"/>
      <c r="M91" s="491"/>
      <c r="N91" s="529" t="s">
        <v>1041</v>
      </c>
      <c r="O91" s="540"/>
      <c r="P91" s="492"/>
      <c r="Q91" s="492"/>
      <c r="R91" s="523"/>
      <c r="S91" s="492"/>
      <c r="T91" s="532"/>
      <c r="U91" s="532"/>
      <c r="V91" s="493"/>
      <c r="W91" s="493"/>
      <c r="X91" s="492"/>
      <c r="Y91" s="492"/>
      <c r="Z91" s="523"/>
    </row>
    <row r="92" spans="1:26" x14ac:dyDescent="0.2">
      <c r="A92" s="508"/>
      <c r="B92" s="495"/>
      <c r="C92" s="496"/>
      <c r="D92" s="496"/>
      <c r="E92" s="496"/>
      <c r="F92" s="517"/>
      <c r="G92" s="559"/>
      <c r="H92" s="560"/>
      <c r="I92" s="490"/>
      <c r="J92" s="490"/>
      <c r="K92" s="515"/>
      <c r="L92" s="491"/>
      <c r="M92" s="491"/>
      <c r="N92" s="529"/>
      <c r="O92" s="540"/>
      <c r="P92" s="492"/>
      <c r="Q92" s="492"/>
      <c r="R92" s="523"/>
      <c r="S92" s="492"/>
      <c r="T92" s="532"/>
      <c r="U92" s="532"/>
      <c r="V92" s="493"/>
      <c r="W92" s="493"/>
      <c r="X92" s="492"/>
      <c r="Y92" s="492"/>
      <c r="Z92" s="523"/>
    </row>
    <row r="93" spans="1:26" x14ac:dyDescent="0.2">
      <c r="A93" s="509" t="s">
        <v>884</v>
      </c>
      <c r="B93" s="499" t="s">
        <v>1267</v>
      </c>
      <c r="C93" s="500" t="s">
        <v>1039</v>
      </c>
      <c r="D93" s="496"/>
      <c r="E93" s="496"/>
      <c r="F93" s="518" t="s">
        <v>1268</v>
      </c>
      <c r="G93" s="559"/>
      <c r="H93" s="560"/>
      <c r="I93" s="490"/>
      <c r="J93" s="490"/>
      <c r="K93" s="515"/>
      <c r="L93" s="491"/>
      <c r="M93" s="491"/>
      <c r="N93" s="529" t="s">
        <v>1041</v>
      </c>
      <c r="O93" s="540"/>
      <c r="P93" s="492"/>
      <c r="Q93" s="492"/>
      <c r="R93" s="523"/>
      <c r="S93" s="492"/>
      <c r="T93" s="532"/>
      <c r="U93" s="532"/>
      <c r="V93" s="493"/>
      <c r="W93" s="493"/>
      <c r="X93" s="492"/>
      <c r="Y93" s="492"/>
      <c r="Z93" s="523"/>
    </row>
    <row r="94" spans="1:26" x14ac:dyDescent="0.2">
      <c r="A94" s="508" t="s">
        <v>1269</v>
      </c>
      <c r="B94" s="495" t="s">
        <v>1270</v>
      </c>
      <c r="C94" s="496" t="s">
        <v>1039</v>
      </c>
      <c r="D94" s="496" t="s">
        <v>870</v>
      </c>
      <c r="E94" s="496" t="s">
        <v>1271</v>
      </c>
      <c r="F94" s="517" t="s">
        <v>1272</v>
      </c>
      <c r="G94" s="559"/>
      <c r="H94" s="560"/>
      <c r="I94" s="490"/>
      <c r="J94" s="490"/>
      <c r="K94" s="515"/>
      <c r="L94" s="491"/>
      <c r="M94" s="491"/>
      <c r="N94" s="529" t="s">
        <v>1041</v>
      </c>
      <c r="O94" s="540"/>
      <c r="P94" s="492"/>
      <c r="Q94" s="492"/>
      <c r="R94" s="523"/>
      <c r="S94" s="492"/>
      <c r="T94" s="532"/>
      <c r="U94" s="532"/>
      <c r="V94" s="493"/>
      <c r="W94" s="493"/>
      <c r="X94" s="492"/>
      <c r="Y94" s="492"/>
      <c r="Z94" s="523"/>
    </row>
    <row r="95" spans="1:26" x14ac:dyDescent="0.2">
      <c r="A95" s="508" t="s">
        <v>1273</v>
      </c>
      <c r="B95" s="495" t="s">
        <v>1274</v>
      </c>
      <c r="C95" s="496" t="s">
        <v>1039</v>
      </c>
      <c r="D95" s="496" t="s">
        <v>875</v>
      </c>
      <c r="E95" s="496" t="s">
        <v>1236</v>
      </c>
      <c r="F95" s="517" t="s">
        <v>1275</v>
      </c>
      <c r="G95" s="559"/>
      <c r="H95" s="560"/>
      <c r="I95" s="490"/>
      <c r="J95" s="490"/>
      <c r="K95" s="515"/>
      <c r="L95" s="491"/>
      <c r="M95" s="491"/>
      <c r="N95" s="529" t="s">
        <v>1041</v>
      </c>
      <c r="O95" s="540"/>
      <c r="P95" s="492"/>
      <c r="Q95" s="492"/>
      <c r="R95" s="523"/>
      <c r="S95" s="492"/>
      <c r="T95" s="532"/>
      <c r="U95" s="532"/>
      <c r="V95" s="493"/>
      <c r="W95" s="493"/>
      <c r="X95" s="492"/>
      <c r="Y95" s="492"/>
      <c r="Z95" s="523"/>
    </row>
    <row r="96" spans="1:26" x14ac:dyDescent="0.2">
      <c r="A96" s="508" t="s">
        <v>1276</v>
      </c>
      <c r="B96" s="498" t="s">
        <v>1277</v>
      </c>
      <c r="C96" s="496" t="s">
        <v>1039</v>
      </c>
      <c r="D96" s="496" t="s">
        <v>875</v>
      </c>
      <c r="E96" s="496" t="s">
        <v>1278</v>
      </c>
      <c r="F96" s="517" t="s">
        <v>1279</v>
      </c>
      <c r="G96" s="559"/>
      <c r="H96" s="560"/>
      <c r="I96" s="490"/>
      <c r="J96" s="490"/>
      <c r="K96" s="515"/>
      <c r="L96" s="491"/>
      <c r="M96" s="491"/>
      <c r="N96" s="529" t="s">
        <v>1041</v>
      </c>
      <c r="O96" s="540"/>
      <c r="P96" s="492"/>
      <c r="Q96" s="492"/>
      <c r="R96" s="523"/>
      <c r="S96" s="492"/>
      <c r="T96" s="532"/>
      <c r="U96" s="532"/>
      <c r="V96" s="493"/>
      <c r="W96" s="493"/>
      <c r="X96" s="492"/>
      <c r="Y96" s="492"/>
      <c r="Z96" s="523"/>
    </row>
    <row r="97" spans="1:26" x14ac:dyDescent="0.2">
      <c r="A97" s="508" t="s">
        <v>1280</v>
      </c>
      <c r="B97" s="498" t="s">
        <v>1281</v>
      </c>
      <c r="C97" s="496" t="s">
        <v>1039</v>
      </c>
      <c r="D97" s="496" t="s">
        <v>864</v>
      </c>
      <c r="E97" s="496" t="s">
        <v>1282</v>
      </c>
      <c r="F97" s="517" t="s">
        <v>1283</v>
      </c>
      <c r="G97" s="559"/>
      <c r="H97" s="560"/>
      <c r="I97" s="490"/>
      <c r="J97" s="490"/>
      <c r="K97" s="515"/>
      <c r="L97" s="491"/>
      <c r="M97" s="491"/>
      <c r="N97" s="529" t="s">
        <v>1041</v>
      </c>
      <c r="O97" s="540"/>
      <c r="P97" s="492"/>
      <c r="Q97" s="492"/>
      <c r="R97" s="523"/>
      <c r="S97" s="492"/>
      <c r="T97" s="532"/>
      <c r="U97" s="532"/>
      <c r="V97" s="493"/>
      <c r="W97" s="493"/>
      <c r="X97" s="492"/>
      <c r="Y97" s="492"/>
      <c r="Z97" s="523"/>
    </row>
    <row r="98" spans="1:26" x14ac:dyDescent="0.2">
      <c r="A98" s="508" t="s">
        <v>1284</v>
      </c>
      <c r="B98" s="498" t="s">
        <v>1285</v>
      </c>
      <c r="C98" s="496" t="s">
        <v>1039</v>
      </c>
      <c r="D98" s="496" t="s">
        <v>1055</v>
      </c>
      <c r="E98" s="496" t="s">
        <v>1286</v>
      </c>
      <c r="F98" s="517" t="s">
        <v>1287</v>
      </c>
      <c r="G98" s="559"/>
      <c r="H98" s="560"/>
      <c r="I98" s="490"/>
      <c r="J98" s="490"/>
      <c r="K98" s="515"/>
      <c r="L98" s="491"/>
      <c r="M98" s="491"/>
      <c r="N98" s="529" t="s">
        <v>1041</v>
      </c>
      <c r="O98" s="540"/>
      <c r="P98" s="492"/>
      <c r="Q98" s="492"/>
      <c r="R98" s="523"/>
      <c r="S98" s="492"/>
      <c r="T98" s="532"/>
      <c r="U98" s="532"/>
      <c r="V98" s="493"/>
      <c r="W98" s="493"/>
      <c r="X98" s="492"/>
      <c r="Y98" s="492"/>
      <c r="Z98" s="523"/>
    </row>
    <row r="99" spans="1:26" x14ac:dyDescent="0.2">
      <c r="A99" s="508" t="s">
        <v>1288</v>
      </c>
      <c r="B99" s="498" t="s">
        <v>1289</v>
      </c>
      <c r="C99" s="496" t="s">
        <v>1039</v>
      </c>
      <c r="D99" s="496" t="s">
        <v>1087</v>
      </c>
      <c r="E99" s="496" t="s">
        <v>1290</v>
      </c>
      <c r="F99" s="517" t="s">
        <v>1291</v>
      </c>
      <c r="G99" s="559"/>
      <c r="H99" s="560"/>
      <c r="I99" s="490"/>
      <c r="J99" s="490"/>
      <c r="K99" s="515"/>
      <c r="L99" s="491"/>
      <c r="M99" s="491"/>
      <c r="N99" s="529" t="s">
        <v>1041</v>
      </c>
      <c r="O99" s="540"/>
      <c r="P99" s="492"/>
      <c r="Q99" s="492"/>
      <c r="R99" s="523"/>
      <c r="S99" s="492"/>
      <c r="T99" s="532"/>
      <c r="U99" s="532"/>
      <c r="V99" s="493"/>
      <c r="W99" s="493"/>
      <c r="X99" s="492"/>
      <c r="Y99" s="492"/>
      <c r="Z99" s="523"/>
    </row>
    <row r="100" spans="1:26" x14ac:dyDescent="0.2">
      <c r="A100" s="508" t="s">
        <v>1292</v>
      </c>
      <c r="B100" s="498" t="s">
        <v>1293</v>
      </c>
      <c r="C100" s="496" t="s">
        <v>1039</v>
      </c>
      <c r="D100" s="496" t="s">
        <v>867</v>
      </c>
      <c r="E100" s="496" t="s">
        <v>1294</v>
      </c>
      <c r="F100" s="517" t="s">
        <v>1295</v>
      </c>
      <c r="G100" s="559"/>
      <c r="H100" s="560"/>
      <c r="I100" s="490"/>
      <c r="J100" s="490"/>
      <c r="K100" s="515"/>
      <c r="L100" s="491"/>
      <c r="M100" s="491"/>
      <c r="N100" s="529" t="s">
        <v>1041</v>
      </c>
      <c r="O100" s="540"/>
      <c r="P100" s="492"/>
      <c r="Q100" s="492"/>
      <c r="R100" s="523"/>
      <c r="S100" s="492"/>
      <c r="T100" s="532"/>
      <c r="U100" s="532"/>
      <c r="V100" s="493"/>
      <c r="W100" s="493"/>
      <c r="X100" s="492"/>
      <c r="Y100" s="492"/>
      <c r="Z100" s="523"/>
    </row>
    <row r="101" spans="1:26" x14ac:dyDescent="0.2">
      <c r="A101" s="508" t="s">
        <v>1296</v>
      </c>
      <c r="B101" s="498" t="s">
        <v>1297</v>
      </c>
      <c r="C101" s="496" t="s">
        <v>1039</v>
      </c>
      <c r="D101" s="496" t="s">
        <v>863</v>
      </c>
      <c r="E101" s="496" t="s">
        <v>1298</v>
      </c>
      <c r="F101" s="517" t="s">
        <v>1299</v>
      </c>
      <c r="G101" s="559"/>
      <c r="H101" s="560"/>
      <c r="I101" s="490"/>
      <c r="J101" s="490"/>
      <c r="K101" s="515"/>
      <c r="L101" s="491"/>
      <c r="M101" s="491"/>
      <c r="N101" s="529" t="s">
        <v>1041</v>
      </c>
      <c r="O101" s="540"/>
      <c r="P101" s="492"/>
      <c r="Q101" s="492"/>
      <c r="R101" s="523"/>
      <c r="S101" s="492"/>
      <c r="T101" s="532"/>
      <c r="U101" s="532"/>
      <c r="V101" s="493"/>
      <c r="W101" s="493"/>
      <c r="X101" s="492"/>
      <c r="Y101" s="492"/>
      <c r="Z101" s="523"/>
    </row>
    <row r="102" spans="1:26" x14ac:dyDescent="0.2">
      <c r="A102" s="508" t="s">
        <v>1300</v>
      </c>
      <c r="B102" s="498" t="s">
        <v>1301</v>
      </c>
      <c r="C102" s="496" t="s">
        <v>1039</v>
      </c>
      <c r="D102" s="496" t="s">
        <v>1087</v>
      </c>
      <c r="E102" s="496" t="s">
        <v>1290</v>
      </c>
      <c r="F102" s="517" t="s">
        <v>1291</v>
      </c>
      <c r="G102" s="559"/>
      <c r="H102" s="560"/>
      <c r="I102" s="490"/>
      <c r="J102" s="490"/>
      <c r="K102" s="515"/>
      <c r="L102" s="491"/>
      <c r="M102" s="491"/>
      <c r="N102" s="529" t="s">
        <v>1041</v>
      </c>
      <c r="O102" s="540"/>
      <c r="P102" s="492"/>
      <c r="Q102" s="492"/>
      <c r="R102" s="523"/>
      <c r="S102" s="492"/>
      <c r="T102" s="532"/>
      <c r="U102" s="532"/>
      <c r="V102" s="493"/>
      <c r="W102" s="493"/>
      <c r="X102" s="492"/>
      <c r="Y102" s="492"/>
      <c r="Z102" s="523"/>
    </row>
    <row r="103" spans="1:26" x14ac:dyDescent="0.2">
      <c r="A103" s="508" t="s">
        <v>1302</v>
      </c>
      <c r="B103" s="498" t="s">
        <v>1303</v>
      </c>
      <c r="C103" s="496" t="s">
        <v>1039</v>
      </c>
      <c r="D103" s="496" t="s">
        <v>1087</v>
      </c>
      <c r="E103" s="496" t="s">
        <v>1290</v>
      </c>
      <c r="F103" s="517" t="s">
        <v>1291</v>
      </c>
      <c r="G103" s="559"/>
      <c r="H103" s="560"/>
      <c r="I103" s="490"/>
      <c r="J103" s="490"/>
      <c r="K103" s="515"/>
      <c r="L103" s="491"/>
      <c r="M103" s="491"/>
      <c r="N103" s="529" t="s">
        <v>1041</v>
      </c>
      <c r="O103" s="540"/>
      <c r="P103" s="492"/>
      <c r="Q103" s="492"/>
      <c r="R103" s="523"/>
      <c r="S103" s="492"/>
      <c r="T103" s="532"/>
      <c r="U103" s="532"/>
      <c r="V103" s="493"/>
      <c r="W103" s="493"/>
      <c r="X103" s="492"/>
      <c r="Y103" s="492"/>
      <c r="Z103" s="523"/>
    </row>
    <row r="104" spans="1:26" x14ac:dyDescent="0.2">
      <c r="A104" s="508" t="s">
        <v>1304</v>
      </c>
      <c r="B104" s="498" t="s">
        <v>1077</v>
      </c>
      <c r="C104" s="496" t="s">
        <v>1039</v>
      </c>
      <c r="D104" s="496" t="s">
        <v>1096</v>
      </c>
      <c r="E104" s="496" t="s">
        <v>1305</v>
      </c>
      <c r="F104" s="517" t="s">
        <v>1306</v>
      </c>
      <c r="G104" s="559"/>
      <c r="H104" s="560"/>
      <c r="I104" s="490"/>
      <c r="J104" s="490"/>
      <c r="K104" s="515"/>
      <c r="L104" s="491"/>
      <c r="M104" s="491"/>
      <c r="N104" s="529" t="s">
        <v>1041</v>
      </c>
      <c r="O104" s="540"/>
      <c r="P104" s="492"/>
      <c r="Q104" s="492"/>
      <c r="R104" s="523"/>
      <c r="S104" s="492"/>
      <c r="T104" s="532"/>
      <c r="U104" s="532"/>
      <c r="V104" s="493"/>
      <c r="W104" s="493"/>
      <c r="X104" s="492"/>
      <c r="Y104" s="492"/>
      <c r="Z104" s="523"/>
    </row>
    <row r="105" spans="1:26" x14ac:dyDescent="0.2">
      <c r="A105" s="508" t="s">
        <v>1307</v>
      </c>
      <c r="B105" s="495" t="s">
        <v>1308</v>
      </c>
      <c r="C105" s="496" t="s">
        <v>1039</v>
      </c>
      <c r="D105" s="496" t="s">
        <v>1049</v>
      </c>
      <c r="E105" s="496" t="s">
        <v>1236</v>
      </c>
      <c r="F105" s="517" t="s">
        <v>1309</v>
      </c>
      <c r="G105" s="559"/>
      <c r="H105" s="560"/>
      <c r="I105" s="490"/>
      <c r="J105" s="490"/>
      <c r="K105" s="515"/>
      <c r="L105" s="491"/>
      <c r="M105" s="491"/>
      <c r="N105" s="529" t="s">
        <v>1041</v>
      </c>
      <c r="O105" s="540"/>
      <c r="P105" s="492"/>
      <c r="Q105" s="492"/>
      <c r="R105" s="523"/>
      <c r="S105" s="492"/>
      <c r="T105" s="532"/>
      <c r="U105" s="532"/>
      <c r="V105" s="493"/>
      <c r="W105" s="493"/>
      <c r="X105" s="492"/>
      <c r="Y105" s="492"/>
      <c r="Z105" s="523"/>
    </row>
    <row r="106" spans="1:26" x14ac:dyDescent="0.2">
      <c r="A106" s="508" t="s">
        <v>1310</v>
      </c>
      <c r="B106" s="498" t="s">
        <v>1311</v>
      </c>
      <c r="C106" s="496" t="s">
        <v>1039</v>
      </c>
      <c r="D106" s="496" t="s">
        <v>1096</v>
      </c>
      <c r="E106" s="496" t="s">
        <v>1312</v>
      </c>
      <c r="F106" s="517" t="s">
        <v>1313</v>
      </c>
      <c r="G106" s="559"/>
      <c r="H106" s="560"/>
      <c r="I106" s="490"/>
      <c r="J106" s="490"/>
      <c r="K106" s="515"/>
      <c r="L106" s="491"/>
      <c r="M106" s="491"/>
      <c r="N106" s="529" t="s">
        <v>1041</v>
      </c>
      <c r="O106" s="540"/>
      <c r="P106" s="492"/>
      <c r="Q106" s="492"/>
      <c r="R106" s="523"/>
      <c r="S106" s="492"/>
      <c r="T106" s="532"/>
      <c r="U106" s="532"/>
      <c r="V106" s="493"/>
      <c r="W106" s="493"/>
      <c r="X106" s="492"/>
      <c r="Y106" s="492"/>
      <c r="Z106" s="523"/>
    </row>
    <row r="107" spans="1:26" x14ac:dyDescent="0.2">
      <c r="A107" s="508" t="s">
        <v>1314</v>
      </c>
      <c r="B107" s="498" t="s">
        <v>1315</v>
      </c>
      <c r="C107" s="496" t="s">
        <v>1039</v>
      </c>
      <c r="D107" s="496" t="s">
        <v>1096</v>
      </c>
      <c r="E107" s="496" t="s">
        <v>1316</v>
      </c>
      <c r="F107" s="517" t="s">
        <v>1317</v>
      </c>
      <c r="G107" s="559"/>
      <c r="H107" s="560"/>
      <c r="I107" s="490"/>
      <c r="J107" s="490"/>
      <c r="K107" s="515"/>
      <c r="L107" s="491"/>
      <c r="M107" s="491"/>
      <c r="N107" s="529" t="s">
        <v>1041</v>
      </c>
      <c r="O107" s="540"/>
      <c r="P107" s="492"/>
      <c r="Q107" s="492"/>
      <c r="R107" s="523"/>
      <c r="S107" s="492"/>
      <c r="T107" s="532"/>
      <c r="U107" s="532"/>
      <c r="V107" s="493"/>
      <c r="W107" s="493"/>
      <c r="X107" s="492"/>
      <c r="Y107" s="492"/>
      <c r="Z107" s="523"/>
    </row>
    <row r="108" spans="1:26" x14ac:dyDescent="0.2">
      <c r="A108" s="508" t="s">
        <v>1318</v>
      </c>
      <c r="B108" s="498" t="s">
        <v>1319</v>
      </c>
      <c r="C108" s="496" t="s">
        <v>1039</v>
      </c>
      <c r="D108" s="496" t="s">
        <v>1074</v>
      </c>
      <c r="E108" s="496" t="s">
        <v>1074</v>
      </c>
      <c r="F108" s="517" t="s">
        <v>1075</v>
      </c>
      <c r="G108" s="559"/>
      <c r="H108" s="560"/>
      <c r="I108" s="490"/>
      <c r="J108" s="490"/>
      <c r="K108" s="515"/>
      <c r="L108" s="491"/>
      <c r="M108" s="491"/>
      <c r="N108" s="529" t="s">
        <v>1041</v>
      </c>
      <c r="O108" s="540"/>
      <c r="P108" s="492"/>
      <c r="Q108" s="492"/>
      <c r="R108" s="523"/>
      <c r="S108" s="492"/>
      <c r="T108" s="532"/>
      <c r="U108" s="532"/>
      <c r="V108" s="493"/>
      <c r="W108" s="493"/>
      <c r="X108" s="492"/>
      <c r="Y108" s="492"/>
      <c r="Z108" s="523"/>
    </row>
    <row r="109" spans="1:26" x14ac:dyDescent="0.2">
      <c r="A109" s="508" t="s">
        <v>1320</v>
      </c>
      <c r="B109" s="498" t="s">
        <v>1077</v>
      </c>
      <c r="C109" s="496" t="s">
        <v>1039</v>
      </c>
      <c r="D109" s="496" t="s">
        <v>1049</v>
      </c>
      <c r="E109" s="496" t="s">
        <v>1321</v>
      </c>
      <c r="F109" s="517" t="s">
        <v>1322</v>
      </c>
      <c r="G109" s="559"/>
      <c r="H109" s="560"/>
      <c r="I109" s="490"/>
      <c r="J109" s="490"/>
      <c r="K109" s="515"/>
      <c r="L109" s="491"/>
      <c r="M109" s="491"/>
      <c r="N109" s="529" t="s">
        <v>1041</v>
      </c>
      <c r="O109" s="540"/>
      <c r="P109" s="492"/>
      <c r="Q109" s="492"/>
      <c r="R109" s="523"/>
      <c r="S109" s="492"/>
      <c r="T109" s="532"/>
      <c r="U109" s="532"/>
      <c r="V109" s="493"/>
      <c r="W109" s="493"/>
      <c r="X109" s="492"/>
      <c r="Y109" s="492"/>
      <c r="Z109" s="523"/>
    </row>
    <row r="110" spans="1:26" x14ac:dyDescent="0.2">
      <c r="A110" s="508" t="s">
        <v>1323</v>
      </c>
      <c r="B110" s="494" t="s">
        <v>1324</v>
      </c>
      <c r="C110" s="496" t="s">
        <v>1039</v>
      </c>
      <c r="D110" s="496" t="s">
        <v>865</v>
      </c>
      <c r="E110" s="496" t="s">
        <v>1325</v>
      </c>
      <c r="F110" s="517" t="s">
        <v>1326</v>
      </c>
      <c r="G110" s="559"/>
      <c r="H110" s="560"/>
      <c r="I110" s="490"/>
      <c r="J110" s="490"/>
      <c r="K110" s="515"/>
      <c r="L110" s="491"/>
      <c r="M110" s="491"/>
      <c r="N110" s="529" t="s">
        <v>1041</v>
      </c>
      <c r="O110" s="540"/>
      <c r="P110" s="492"/>
      <c r="Q110" s="492"/>
      <c r="R110" s="523"/>
      <c r="S110" s="492"/>
      <c r="T110" s="532"/>
      <c r="U110" s="532"/>
      <c r="V110" s="493"/>
      <c r="W110" s="493"/>
      <c r="X110" s="492"/>
      <c r="Y110" s="492"/>
      <c r="Z110" s="523"/>
    </row>
    <row r="111" spans="1:26" x14ac:dyDescent="0.2">
      <c r="A111" s="508" t="s">
        <v>1327</v>
      </c>
      <c r="B111" s="495" t="s">
        <v>1328</v>
      </c>
      <c r="C111" s="496" t="s">
        <v>1039</v>
      </c>
      <c r="D111" s="496" t="s">
        <v>1119</v>
      </c>
      <c r="E111" s="496" t="s">
        <v>1236</v>
      </c>
      <c r="F111" s="517" t="s">
        <v>1313</v>
      </c>
      <c r="G111" s="559"/>
      <c r="H111" s="560"/>
      <c r="I111" s="490"/>
      <c r="J111" s="490"/>
      <c r="K111" s="515"/>
      <c r="L111" s="491"/>
      <c r="M111" s="491"/>
      <c r="N111" s="529" t="s">
        <v>1041</v>
      </c>
      <c r="O111" s="540"/>
      <c r="P111" s="492"/>
      <c r="Q111" s="492"/>
      <c r="R111" s="523"/>
      <c r="S111" s="492"/>
      <c r="T111" s="532"/>
      <c r="U111" s="532"/>
      <c r="V111" s="493"/>
      <c r="W111" s="493"/>
      <c r="X111" s="492"/>
      <c r="Y111" s="492"/>
      <c r="Z111" s="523"/>
    </row>
    <row r="112" spans="1:26" x14ac:dyDescent="0.2">
      <c r="A112" s="508" t="s">
        <v>1329</v>
      </c>
      <c r="B112" s="498" t="s">
        <v>1330</v>
      </c>
      <c r="C112" s="496" t="s">
        <v>1039</v>
      </c>
      <c r="D112" s="496" t="s">
        <v>1074</v>
      </c>
      <c r="E112" s="496" t="s">
        <v>1074</v>
      </c>
      <c r="F112" s="517" t="s">
        <v>1075</v>
      </c>
      <c r="G112" s="559"/>
      <c r="H112" s="560"/>
      <c r="I112" s="490"/>
      <c r="J112" s="490"/>
      <c r="K112" s="515"/>
      <c r="L112" s="491"/>
      <c r="M112" s="491"/>
      <c r="N112" s="529" t="s">
        <v>1041</v>
      </c>
      <c r="O112" s="540"/>
      <c r="P112" s="492"/>
      <c r="Q112" s="492"/>
      <c r="R112" s="523"/>
      <c r="S112" s="492"/>
      <c r="T112" s="532"/>
      <c r="U112" s="532"/>
      <c r="V112" s="493"/>
      <c r="W112" s="493"/>
      <c r="X112" s="492"/>
      <c r="Y112" s="492"/>
      <c r="Z112" s="523"/>
    </row>
    <row r="113" spans="1:26" x14ac:dyDescent="0.2">
      <c r="A113" s="508" t="s">
        <v>1331</v>
      </c>
      <c r="B113" s="498" t="s">
        <v>1332</v>
      </c>
      <c r="C113" s="496" t="s">
        <v>1039</v>
      </c>
      <c r="D113" s="496" t="s">
        <v>1119</v>
      </c>
      <c r="E113" s="496" t="s">
        <v>1333</v>
      </c>
      <c r="F113" s="517" t="s">
        <v>1313</v>
      </c>
      <c r="G113" s="559"/>
      <c r="H113" s="560"/>
      <c r="I113" s="490"/>
      <c r="J113" s="490"/>
      <c r="K113" s="515"/>
      <c r="L113" s="491"/>
      <c r="M113" s="491"/>
      <c r="N113" s="529" t="s">
        <v>1041</v>
      </c>
      <c r="O113" s="540"/>
      <c r="P113" s="492"/>
      <c r="Q113" s="492"/>
      <c r="R113" s="523"/>
      <c r="S113" s="492"/>
      <c r="T113" s="532"/>
      <c r="U113" s="532"/>
      <c r="V113" s="493"/>
      <c r="W113" s="493"/>
      <c r="X113" s="492"/>
      <c r="Y113" s="492"/>
      <c r="Z113" s="523"/>
    </row>
    <row r="114" spans="1:26" x14ac:dyDescent="0.2">
      <c r="A114" s="508" t="s">
        <v>1334</v>
      </c>
      <c r="B114" s="498" t="s">
        <v>1335</v>
      </c>
      <c r="C114" s="496" t="s">
        <v>1039</v>
      </c>
      <c r="D114" s="496" t="s">
        <v>1074</v>
      </c>
      <c r="E114" s="496" t="s">
        <v>1074</v>
      </c>
      <c r="F114" s="517" t="s">
        <v>1075</v>
      </c>
      <c r="G114" s="559"/>
      <c r="H114" s="560"/>
      <c r="I114" s="490"/>
      <c r="J114" s="490"/>
      <c r="K114" s="515"/>
      <c r="L114" s="491"/>
      <c r="M114" s="491"/>
      <c r="N114" s="529" t="s">
        <v>1041</v>
      </c>
      <c r="O114" s="540"/>
      <c r="P114" s="492"/>
      <c r="Q114" s="492"/>
      <c r="R114" s="523"/>
      <c r="S114" s="492"/>
      <c r="T114" s="532"/>
      <c r="U114" s="532"/>
      <c r="V114" s="493"/>
      <c r="W114" s="493"/>
      <c r="X114" s="492"/>
      <c r="Y114" s="492"/>
      <c r="Z114" s="523"/>
    </row>
    <row r="115" spans="1:26" x14ac:dyDescent="0.2">
      <c r="A115" s="508" t="s">
        <v>1336</v>
      </c>
      <c r="B115" s="498" t="s">
        <v>1077</v>
      </c>
      <c r="C115" s="496" t="s">
        <v>1039</v>
      </c>
      <c r="D115" s="496" t="s">
        <v>1074</v>
      </c>
      <c r="E115" s="496" t="s">
        <v>1074</v>
      </c>
      <c r="F115" s="517" t="s">
        <v>1075</v>
      </c>
      <c r="G115" s="559"/>
      <c r="H115" s="560"/>
      <c r="I115" s="490"/>
      <c r="J115" s="490"/>
      <c r="K115" s="515"/>
      <c r="L115" s="491"/>
      <c r="M115" s="491"/>
      <c r="N115" s="529" t="s">
        <v>1041</v>
      </c>
      <c r="O115" s="540"/>
      <c r="P115" s="492"/>
      <c r="Q115" s="492"/>
      <c r="R115" s="523"/>
      <c r="S115" s="492"/>
      <c r="T115" s="532"/>
      <c r="U115" s="532"/>
      <c r="V115" s="493"/>
      <c r="W115" s="493"/>
      <c r="X115" s="492"/>
      <c r="Y115" s="492"/>
      <c r="Z115" s="523"/>
    </row>
    <row r="116" spans="1:26" x14ac:dyDescent="0.2">
      <c r="A116" s="508" t="s">
        <v>1337</v>
      </c>
      <c r="B116" s="495" t="s">
        <v>1338</v>
      </c>
      <c r="C116" s="496" t="s">
        <v>1039</v>
      </c>
      <c r="D116" s="496" t="s">
        <v>865</v>
      </c>
      <c r="E116" s="496" t="s">
        <v>1339</v>
      </c>
      <c r="F116" s="517" t="s">
        <v>1340</v>
      </c>
      <c r="G116" s="559"/>
      <c r="H116" s="560"/>
      <c r="I116" s="490"/>
      <c r="J116" s="490"/>
      <c r="K116" s="515"/>
      <c r="L116" s="491"/>
      <c r="M116" s="491"/>
      <c r="N116" s="529" t="s">
        <v>1041</v>
      </c>
      <c r="O116" s="540"/>
      <c r="P116" s="492"/>
      <c r="Q116" s="492"/>
      <c r="R116" s="523"/>
      <c r="S116" s="492"/>
      <c r="T116" s="532"/>
      <c r="U116" s="532"/>
      <c r="V116" s="493"/>
      <c r="W116" s="493"/>
      <c r="X116" s="492"/>
      <c r="Y116" s="492"/>
      <c r="Z116" s="523"/>
    </row>
    <row r="117" spans="1:26" x14ac:dyDescent="0.2">
      <c r="A117" s="508" t="s">
        <v>1341</v>
      </c>
      <c r="B117" s="495" t="s">
        <v>1342</v>
      </c>
      <c r="C117" s="496" t="s">
        <v>143</v>
      </c>
      <c r="D117" s="496" t="s">
        <v>863</v>
      </c>
      <c r="E117" s="496" t="s">
        <v>1343</v>
      </c>
      <c r="F117" s="517" t="s">
        <v>1344</v>
      </c>
      <c r="G117" s="559"/>
      <c r="H117" s="560"/>
      <c r="I117" s="490"/>
      <c r="J117" s="490"/>
      <c r="K117" s="515"/>
      <c r="L117" s="491"/>
      <c r="M117" s="491"/>
      <c r="N117" s="529" t="s">
        <v>1041</v>
      </c>
      <c r="O117" s="540"/>
      <c r="P117" s="492"/>
      <c r="Q117" s="492"/>
      <c r="R117" s="523"/>
      <c r="S117" s="492"/>
      <c r="T117" s="532"/>
      <c r="U117" s="532"/>
      <c r="V117" s="493"/>
      <c r="W117" s="493"/>
      <c r="X117" s="492"/>
      <c r="Y117" s="492"/>
      <c r="Z117" s="523"/>
    </row>
    <row r="118" spans="1:26" x14ac:dyDescent="0.2">
      <c r="A118" s="508" t="s">
        <v>1345</v>
      </c>
      <c r="B118" s="498" t="s">
        <v>273</v>
      </c>
      <c r="C118" s="496" t="s">
        <v>143</v>
      </c>
      <c r="D118" s="496" t="s">
        <v>863</v>
      </c>
      <c r="E118" s="496" t="s">
        <v>1346</v>
      </c>
      <c r="F118" s="517" t="s">
        <v>1347</v>
      </c>
      <c r="G118" s="559"/>
      <c r="H118" s="560"/>
      <c r="I118" s="490"/>
      <c r="J118" s="490"/>
      <c r="K118" s="515"/>
      <c r="L118" s="491"/>
      <c r="M118" s="491"/>
      <c r="N118" s="529" t="s">
        <v>1041</v>
      </c>
      <c r="O118" s="540"/>
      <c r="P118" s="492"/>
      <c r="Q118" s="492"/>
      <c r="R118" s="523"/>
      <c r="S118" s="492"/>
      <c r="T118" s="532"/>
      <c r="U118" s="532"/>
      <c r="V118" s="493"/>
      <c r="W118" s="493"/>
      <c r="X118" s="492"/>
      <c r="Y118" s="492"/>
      <c r="Z118" s="523"/>
    </row>
    <row r="119" spans="1:26" x14ac:dyDescent="0.2">
      <c r="A119" s="508" t="s">
        <v>1348</v>
      </c>
      <c r="B119" s="498" t="s">
        <v>1349</v>
      </c>
      <c r="C119" s="496" t="s">
        <v>488</v>
      </c>
      <c r="D119" s="496" t="s">
        <v>1096</v>
      </c>
      <c r="E119" s="496" t="s">
        <v>1350</v>
      </c>
      <c r="F119" s="517" t="s">
        <v>1351</v>
      </c>
      <c r="G119" s="559"/>
      <c r="H119" s="560"/>
      <c r="I119" s="490"/>
      <c r="J119" s="490"/>
      <c r="K119" s="515"/>
      <c r="L119" s="491"/>
      <c r="M119" s="491"/>
      <c r="N119" s="529" t="s">
        <v>1041</v>
      </c>
      <c r="O119" s="540"/>
      <c r="P119" s="492"/>
      <c r="Q119" s="492"/>
      <c r="R119" s="523"/>
      <c r="S119" s="492"/>
      <c r="T119" s="532"/>
      <c r="U119" s="532"/>
      <c r="V119" s="493"/>
      <c r="W119" s="493"/>
      <c r="X119" s="492"/>
      <c r="Y119" s="492"/>
      <c r="Z119" s="523"/>
    </row>
    <row r="120" spans="1:26" x14ac:dyDescent="0.2">
      <c r="A120" s="508" t="s">
        <v>1352</v>
      </c>
      <c r="B120" s="498" t="s">
        <v>1353</v>
      </c>
      <c r="C120" s="496" t="s">
        <v>143</v>
      </c>
      <c r="D120" s="496" t="s">
        <v>1096</v>
      </c>
      <c r="E120" s="496" t="s">
        <v>1096</v>
      </c>
      <c r="F120" s="517" t="s">
        <v>1354</v>
      </c>
      <c r="G120" s="559"/>
      <c r="H120" s="560"/>
      <c r="I120" s="490"/>
      <c r="J120" s="490"/>
      <c r="K120" s="515"/>
      <c r="L120" s="491"/>
      <c r="M120" s="491"/>
      <c r="N120" s="529" t="s">
        <v>1041</v>
      </c>
      <c r="O120" s="540"/>
      <c r="P120" s="492"/>
      <c r="Q120" s="492"/>
      <c r="R120" s="523"/>
      <c r="S120" s="492"/>
      <c r="T120" s="532"/>
      <c r="U120" s="532"/>
      <c r="V120" s="493"/>
      <c r="W120" s="493"/>
      <c r="X120" s="492"/>
      <c r="Y120" s="492"/>
      <c r="Z120" s="523"/>
    </row>
    <row r="121" spans="1:26" x14ac:dyDescent="0.2">
      <c r="A121" s="508" t="s">
        <v>1355</v>
      </c>
      <c r="B121" s="498" t="s">
        <v>1356</v>
      </c>
      <c r="C121" s="496" t="s">
        <v>143</v>
      </c>
      <c r="D121" s="496" t="s">
        <v>1074</v>
      </c>
      <c r="E121" s="496" t="s">
        <v>1074</v>
      </c>
      <c r="F121" s="517" t="s">
        <v>1075</v>
      </c>
      <c r="G121" s="559"/>
      <c r="H121" s="560"/>
      <c r="I121" s="490"/>
      <c r="J121" s="490"/>
      <c r="K121" s="515"/>
      <c r="L121" s="491"/>
      <c r="M121" s="491"/>
      <c r="N121" s="529" t="s">
        <v>1041</v>
      </c>
      <c r="O121" s="540"/>
      <c r="P121" s="492"/>
      <c r="Q121" s="492"/>
      <c r="R121" s="523"/>
      <c r="S121" s="492"/>
      <c r="T121" s="532"/>
      <c r="U121" s="532"/>
      <c r="V121" s="493"/>
      <c r="W121" s="493"/>
      <c r="X121" s="492"/>
      <c r="Y121" s="492"/>
      <c r="Z121" s="523"/>
    </row>
    <row r="122" spans="1:26" x14ac:dyDescent="0.2">
      <c r="A122" s="508" t="s">
        <v>1357</v>
      </c>
      <c r="B122" s="498" t="s">
        <v>1077</v>
      </c>
      <c r="C122" s="496" t="s">
        <v>143</v>
      </c>
      <c r="D122" s="496" t="s">
        <v>1074</v>
      </c>
      <c r="E122" s="496" t="s">
        <v>1074</v>
      </c>
      <c r="F122" s="517" t="s">
        <v>1075</v>
      </c>
      <c r="G122" s="559"/>
      <c r="H122" s="560"/>
      <c r="I122" s="490"/>
      <c r="J122" s="490"/>
      <c r="K122" s="515"/>
      <c r="L122" s="491"/>
      <c r="M122" s="491"/>
      <c r="N122" s="529" t="s">
        <v>1041</v>
      </c>
      <c r="O122" s="540"/>
      <c r="P122" s="492"/>
      <c r="Q122" s="492"/>
      <c r="R122" s="523"/>
      <c r="S122" s="492"/>
      <c r="T122" s="532"/>
      <c r="U122" s="532"/>
      <c r="V122" s="493"/>
      <c r="W122" s="493"/>
      <c r="X122" s="492"/>
      <c r="Y122" s="492"/>
      <c r="Z122" s="523"/>
    </row>
    <row r="123" spans="1:26" x14ac:dyDescent="0.2">
      <c r="A123" s="508" t="s">
        <v>1358</v>
      </c>
      <c r="B123" s="495" t="s">
        <v>1359</v>
      </c>
      <c r="C123" s="496" t="s">
        <v>1039</v>
      </c>
      <c r="D123" s="496" t="s">
        <v>865</v>
      </c>
      <c r="E123" s="496" t="s">
        <v>1236</v>
      </c>
      <c r="F123" s="517" t="s">
        <v>1360</v>
      </c>
      <c r="G123" s="559"/>
      <c r="H123" s="560"/>
      <c r="I123" s="490"/>
      <c r="J123" s="490"/>
      <c r="K123" s="515"/>
      <c r="L123" s="491"/>
      <c r="M123" s="491"/>
      <c r="N123" s="529" t="s">
        <v>1041</v>
      </c>
      <c r="O123" s="540"/>
      <c r="P123" s="492"/>
      <c r="Q123" s="492"/>
      <c r="R123" s="523"/>
      <c r="S123" s="492"/>
      <c r="T123" s="532"/>
      <c r="U123" s="532"/>
      <c r="V123" s="493"/>
      <c r="W123" s="493"/>
      <c r="X123" s="492"/>
      <c r="Y123" s="492"/>
      <c r="Z123" s="523"/>
    </row>
    <row r="124" spans="1:26" x14ac:dyDescent="0.2">
      <c r="A124" s="508" t="s">
        <v>1361</v>
      </c>
      <c r="B124" s="498" t="s">
        <v>1362</v>
      </c>
      <c r="C124" s="496" t="s">
        <v>1039</v>
      </c>
      <c r="D124" s="496" t="s">
        <v>865</v>
      </c>
      <c r="E124" s="496" t="s">
        <v>1363</v>
      </c>
      <c r="F124" s="517" t="s">
        <v>1364</v>
      </c>
      <c r="G124" s="559"/>
      <c r="H124" s="560"/>
      <c r="I124" s="490"/>
      <c r="J124" s="490"/>
      <c r="K124" s="515"/>
      <c r="L124" s="491"/>
      <c r="M124" s="491"/>
      <c r="N124" s="529" t="s">
        <v>1041</v>
      </c>
      <c r="O124" s="540"/>
      <c r="P124" s="492"/>
      <c r="Q124" s="492"/>
      <c r="R124" s="523"/>
      <c r="S124" s="492"/>
      <c r="T124" s="532"/>
      <c r="U124" s="532"/>
      <c r="V124" s="493"/>
      <c r="W124" s="493"/>
      <c r="X124" s="492"/>
      <c r="Y124" s="492"/>
      <c r="Z124" s="523"/>
    </row>
    <row r="125" spans="1:26" x14ac:dyDescent="0.2">
      <c r="A125" s="508" t="s">
        <v>1365</v>
      </c>
      <c r="B125" s="498" t="s">
        <v>1366</v>
      </c>
      <c r="C125" s="496" t="s">
        <v>1039</v>
      </c>
      <c r="D125" s="496" t="s">
        <v>1064</v>
      </c>
      <c r="E125" s="496" t="s">
        <v>1367</v>
      </c>
      <c r="F125" s="517" t="s">
        <v>1368</v>
      </c>
      <c r="G125" s="559"/>
      <c r="H125" s="560"/>
      <c r="I125" s="490"/>
      <c r="J125" s="490"/>
      <c r="K125" s="515"/>
      <c r="L125" s="491"/>
      <c r="M125" s="491"/>
      <c r="N125" s="529" t="s">
        <v>1041</v>
      </c>
      <c r="O125" s="540"/>
      <c r="P125" s="492"/>
      <c r="Q125" s="492"/>
      <c r="R125" s="523"/>
      <c r="S125" s="492"/>
      <c r="T125" s="532"/>
      <c r="U125" s="532"/>
      <c r="V125" s="493"/>
      <c r="W125" s="493"/>
      <c r="X125" s="492"/>
      <c r="Y125" s="492"/>
      <c r="Z125" s="523"/>
    </row>
    <row r="126" spans="1:26" x14ac:dyDescent="0.2">
      <c r="A126" s="508" t="s">
        <v>1369</v>
      </c>
      <c r="B126" s="498" t="s">
        <v>1370</v>
      </c>
      <c r="C126" s="496" t="s">
        <v>1039</v>
      </c>
      <c r="D126" s="496" t="s">
        <v>1055</v>
      </c>
      <c r="E126" s="496" t="s">
        <v>1371</v>
      </c>
      <c r="F126" s="517" t="s">
        <v>1372</v>
      </c>
      <c r="G126" s="559"/>
      <c r="H126" s="560"/>
      <c r="I126" s="490"/>
      <c r="J126" s="490"/>
      <c r="K126" s="515"/>
      <c r="L126" s="491"/>
      <c r="M126" s="491"/>
      <c r="N126" s="529" t="s">
        <v>1041</v>
      </c>
      <c r="O126" s="540"/>
      <c r="P126" s="492"/>
      <c r="Q126" s="492"/>
      <c r="R126" s="523"/>
      <c r="S126" s="492"/>
      <c r="T126" s="532"/>
      <c r="U126" s="532"/>
      <c r="V126" s="493"/>
      <c r="W126" s="493"/>
      <c r="X126" s="492"/>
      <c r="Y126" s="492"/>
      <c r="Z126" s="523"/>
    </row>
    <row r="127" spans="1:26" x14ac:dyDescent="0.2">
      <c r="A127" s="508" t="s">
        <v>1373</v>
      </c>
      <c r="B127" s="501" t="s">
        <v>1374</v>
      </c>
      <c r="C127" s="496" t="s">
        <v>1039</v>
      </c>
      <c r="D127" s="496" t="s">
        <v>1049</v>
      </c>
      <c r="E127" s="496" t="s">
        <v>1375</v>
      </c>
      <c r="F127" s="517" t="s">
        <v>1376</v>
      </c>
      <c r="G127" s="559"/>
      <c r="H127" s="560"/>
      <c r="I127" s="490"/>
      <c r="J127" s="490"/>
      <c r="K127" s="515"/>
      <c r="L127" s="491"/>
      <c r="M127" s="491"/>
      <c r="N127" s="529" t="s">
        <v>1041</v>
      </c>
      <c r="O127" s="540"/>
      <c r="P127" s="492"/>
      <c r="Q127" s="492"/>
      <c r="R127" s="523"/>
      <c r="S127" s="492"/>
      <c r="T127" s="532"/>
      <c r="U127" s="532"/>
      <c r="V127" s="493"/>
      <c r="W127" s="493"/>
      <c r="X127" s="492"/>
      <c r="Y127" s="492"/>
      <c r="Z127" s="523"/>
    </row>
    <row r="128" spans="1:26" x14ac:dyDescent="0.2">
      <c r="A128" s="508" t="s">
        <v>1377</v>
      </c>
      <c r="B128" s="501" t="s">
        <v>1378</v>
      </c>
      <c r="C128" s="496" t="s">
        <v>1039</v>
      </c>
      <c r="D128" s="496" t="s">
        <v>1074</v>
      </c>
      <c r="E128" s="496" t="s">
        <v>1074</v>
      </c>
      <c r="F128" s="517" t="s">
        <v>1075</v>
      </c>
      <c r="G128" s="559"/>
      <c r="H128" s="560"/>
      <c r="I128" s="490"/>
      <c r="J128" s="490"/>
      <c r="K128" s="515"/>
      <c r="L128" s="491"/>
      <c r="M128" s="491"/>
      <c r="N128" s="529" t="s">
        <v>1041</v>
      </c>
      <c r="O128" s="540"/>
      <c r="P128" s="492"/>
      <c r="Q128" s="492"/>
      <c r="R128" s="523"/>
      <c r="S128" s="492"/>
      <c r="T128" s="532"/>
      <c r="U128" s="532"/>
      <c r="V128" s="493"/>
      <c r="W128" s="493"/>
      <c r="X128" s="492"/>
      <c r="Y128" s="492"/>
      <c r="Z128" s="523"/>
    </row>
    <row r="129" spans="1:26" x14ac:dyDescent="0.2">
      <c r="A129" s="508" t="s">
        <v>1379</v>
      </c>
      <c r="B129" s="501" t="s">
        <v>1077</v>
      </c>
      <c r="C129" s="496" t="s">
        <v>1039</v>
      </c>
      <c r="D129" s="496" t="s">
        <v>1064</v>
      </c>
      <c r="E129" s="496" t="s">
        <v>1380</v>
      </c>
      <c r="F129" s="517" t="s">
        <v>1381</v>
      </c>
      <c r="G129" s="559"/>
      <c r="H129" s="560"/>
      <c r="I129" s="490"/>
      <c r="J129" s="490"/>
      <c r="K129" s="515"/>
      <c r="L129" s="491"/>
      <c r="M129" s="491"/>
      <c r="N129" s="529" t="s">
        <v>1041</v>
      </c>
      <c r="O129" s="540"/>
      <c r="P129" s="492"/>
      <c r="Q129" s="492"/>
      <c r="R129" s="523"/>
      <c r="S129" s="492"/>
      <c r="T129" s="532"/>
      <c r="U129" s="532"/>
      <c r="V129" s="493"/>
      <c r="W129" s="493"/>
      <c r="X129" s="492"/>
      <c r="Y129" s="492"/>
      <c r="Z129" s="523"/>
    </row>
    <row r="130" spans="1:26" x14ac:dyDescent="0.2">
      <c r="A130" s="508"/>
      <c r="B130" s="501"/>
      <c r="C130" s="496"/>
      <c r="D130" s="496"/>
      <c r="E130" s="496"/>
      <c r="F130" s="517"/>
      <c r="G130" s="559"/>
      <c r="H130" s="560"/>
      <c r="I130" s="490"/>
      <c r="J130" s="490"/>
      <c r="K130" s="515"/>
      <c r="L130" s="491"/>
      <c r="M130" s="491"/>
      <c r="N130" s="529"/>
      <c r="O130" s="540"/>
      <c r="P130" s="492"/>
      <c r="Q130" s="492"/>
      <c r="R130" s="523"/>
      <c r="S130" s="492"/>
      <c r="T130" s="532"/>
      <c r="U130" s="532"/>
      <c r="V130" s="493"/>
      <c r="W130" s="493"/>
      <c r="X130" s="492"/>
      <c r="Y130" s="492"/>
      <c r="Z130" s="523"/>
    </row>
    <row r="131" spans="1:26" x14ac:dyDescent="0.2">
      <c r="A131" s="509" t="s">
        <v>886</v>
      </c>
      <c r="B131" s="499" t="s">
        <v>1382</v>
      </c>
      <c r="C131" s="500" t="s">
        <v>1149</v>
      </c>
      <c r="D131" s="496"/>
      <c r="E131" s="496"/>
      <c r="F131" s="518" t="s">
        <v>1383</v>
      </c>
      <c r="G131" s="559"/>
      <c r="H131" s="560"/>
      <c r="I131" s="490"/>
      <c r="J131" s="490"/>
      <c r="K131" s="515"/>
      <c r="L131" s="491"/>
      <c r="M131" s="491"/>
      <c r="N131" s="529" t="s">
        <v>1041</v>
      </c>
      <c r="O131" s="540"/>
      <c r="P131" s="492"/>
      <c r="Q131" s="492"/>
      <c r="R131" s="523"/>
      <c r="S131" s="492"/>
      <c r="T131" s="532"/>
      <c r="U131" s="532"/>
      <c r="V131" s="493"/>
      <c r="W131" s="493"/>
      <c r="X131" s="492"/>
      <c r="Y131" s="492"/>
      <c r="Z131" s="523"/>
    </row>
    <row r="132" spans="1:26" x14ac:dyDescent="0.2">
      <c r="A132" s="508" t="s">
        <v>1384</v>
      </c>
      <c r="B132" s="495" t="s">
        <v>1385</v>
      </c>
      <c r="C132" s="496" t="s">
        <v>1149</v>
      </c>
      <c r="D132" s="496" t="s">
        <v>881</v>
      </c>
      <c r="E132" s="496" t="s">
        <v>1386</v>
      </c>
      <c r="F132" s="517" t="s">
        <v>1387</v>
      </c>
      <c r="G132" s="559"/>
      <c r="H132" s="560"/>
      <c r="I132" s="490"/>
      <c r="J132" s="490"/>
      <c r="K132" s="515"/>
      <c r="L132" s="491"/>
      <c r="M132" s="491"/>
      <c r="N132" s="529" t="s">
        <v>1041</v>
      </c>
      <c r="O132" s="540"/>
      <c r="P132" s="492"/>
      <c r="Q132" s="492"/>
      <c r="R132" s="523"/>
      <c r="S132" s="492"/>
      <c r="T132" s="532"/>
      <c r="U132" s="532"/>
      <c r="V132" s="493"/>
      <c r="W132" s="493"/>
      <c r="X132" s="492"/>
      <c r="Y132" s="492"/>
      <c r="Z132" s="523"/>
    </row>
    <row r="133" spans="1:26" x14ac:dyDescent="0.2">
      <c r="A133" s="508" t="s">
        <v>1388</v>
      </c>
      <c r="B133" s="501" t="s">
        <v>1389</v>
      </c>
      <c r="C133" s="496" t="s">
        <v>1149</v>
      </c>
      <c r="D133" s="496" t="s">
        <v>881</v>
      </c>
      <c r="E133" s="496" t="s">
        <v>1390</v>
      </c>
      <c r="F133" s="517" t="s">
        <v>1391</v>
      </c>
      <c r="G133" s="559"/>
      <c r="H133" s="560"/>
      <c r="I133" s="490"/>
      <c r="J133" s="490"/>
      <c r="K133" s="515"/>
      <c r="L133" s="491"/>
      <c r="M133" s="491"/>
      <c r="N133" s="529" t="s">
        <v>1041</v>
      </c>
      <c r="O133" s="540"/>
      <c r="P133" s="492"/>
      <c r="Q133" s="492"/>
      <c r="R133" s="523"/>
      <c r="S133" s="492" t="s">
        <v>520</v>
      </c>
      <c r="T133" s="532" t="s">
        <v>13</v>
      </c>
      <c r="U133" s="532"/>
      <c r="V133" s="493">
        <v>1000</v>
      </c>
      <c r="W133" s="493">
        <v>100000000</v>
      </c>
      <c r="X133" s="536">
        <v>0</v>
      </c>
      <c r="Y133" s="536">
        <v>10000</v>
      </c>
      <c r="Z133" s="523" t="s">
        <v>1392</v>
      </c>
    </row>
    <row r="134" spans="1:26" x14ac:dyDescent="0.2">
      <c r="A134" s="508" t="s">
        <v>1393</v>
      </c>
      <c r="B134" s="501" t="s">
        <v>1394</v>
      </c>
      <c r="C134" s="496" t="s">
        <v>1149</v>
      </c>
      <c r="D134" s="496" t="s">
        <v>1096</v>
      </c>
      <c r="E134" s="496" t="s">
        <v>1395</v>
      </c>
      <c r="F134" s="517" t="s">
        <v>1396</v>
      </c>
      <c r="G134" s="559">
        <v>0.95238095238095233</v>
      </c>
      <c r="H134" s="560">
        <v>1.0238095238095237</v>
      </c>
      <c r="I134" s="490"/>
      <c r="J134" s="490"/>
      <c r="K134" s="515"/>
      <c r="L134" s="491">
        <v>4</v>
      </c>
      <c r="M134" s="491">
        <v>170</v>
      </c>
      <c r="N134" s="529" t="s">
        <v>1149</v>
      </c>
      <c r="O134" s="540"/>
      <c r="P134" s="492"/>
      <c r="Q134" s="492"/>
      <c r="R134" s="523"/>
      <c r="S134" s="492"/>
      <c r="T134" s="532"/>
      <c r="U134" s="532"/>
      <c r="V134" s="493"/>
      <c r="W134" s="493"/>
      <c r="X134" s="536"/>
      <c r="Y134" s="536"/>
      <c r="Z134" s="523"/>
    </row>
    <row r="135" spans="1:26" x14ac:dyDescent="0.2">
      <c r="A135" s="508" t="s">
        <v>1397</v>
      </c>
      <c r="B135" s="501" t="s">
        <v>1398</v>
      </c>
      <c r="C135" s="496" t="s">
        <v>1149</v>
      </c>
      <c r="D135" s="496" t="s">
        <v>1049</v>
      </c>
      <c r="E135" s="496" t="s">
        <v>1399</v>
      </c>
      <c r="F135" s="517" t="s">
        <v>1400</v>
      </c>
      <c r="G135" s="559">
        <v>0.41176470588235292</v>
      </c>
      <c r="H135" s="560">
        <v>0.76470588235294112</v>
      </c>
      <c r="I135" s="490"/>
      <c r="J135" s="490"/>
      <c r="K135" s="515"/>
      <c r="L135" s="491">
        <v>100</v>
      </c>
      <c r="M135" s="491">
        <v>300</v>
      </c>
      <c r="N135" s="529" t="s">
        <v>1149</v>
      </c>
      <c r="O135" s="540"/>
      <c r="P135" s="492"/>
      <c r="Q135" s="492"/>
      <c r="R135" s="523"/>
      <c r="S135" s="492" t="s">
        <v>519</v>
      </c>
      <c r="T135" s="532" t="s">
        <v>13</v>
      </c>
      <c r="U135" s="532"/>
      <c r="V135" s="493">
        <v>1000</v>
      </c>
      <c r="W135" s="493">
        <v>100000000</v>
      </c>
      <c r="X135" s="536">
        <v>0</v>
      </c>
      <c r="Y135" s="536">
        <v>10000</v>
      </c>
      <c r="Z135" s="523" t="s">
        <v>1052</v>
      </c>
    </row>
    <row r="136" spans="1:26" x14ac:dyDescent="0.2">
      <c r="A136" s="508" t="s">
        <v>1401</v>
      </c>
      <c r="B136" s="501" t="s">
        <v>1077</v>
      </c>
      <c r="C136" s="496" t="s">
        <v>1149</v>
      </c>
      <c r="D136" s="496" t="s">
        <v>1074</v>
      </c>
      <c r="E136" s="496" t="s">
        <v>1074</v>
      </c>
      <c r="F136" s="517" t="s">
        <v>1075</v>
      </c>
      <c r="G136" s="559"/>
      <c r="H136" s="560"/>
      <c r="I136" s="490"/>
      <c r="J136" s="490"/>
      <c r="K136" s="515"/>
      <c r="L136" s="491"/>
      <c r="M136" s="491"/>
      <c r="N136" s="529" t="s">
        <v>1041</v>
      </c>
      <c r="O136" s="540"/>
      <c r="P136" s="492"/>
      <c r="Q136" s="492"/>
      <c r="R136" s="523"/>
      <c r="S136" s="492"/>
      <c r="T136" s="532"/>
      <c r="U136" s="532"/>
      <c r="V136" s="493"/>
      <c r="W136" s="493"/>
      <c r="X136" s="536"/>
      <c r="Y136" s="536"/>
      <c r="Z136" s="523"/>
    </row>
    <row r="137" spans="1:26" x14ac:dyDescent="0.2">
      <c r="A137" s="508" t="s">
        <v>1402</v>
      </c>
      <c r="B137" s="495" t="s">
        <v>1403</v>
      </c>
      <c r="C137" s="496" t="s">
        <v>1149</v>
      </c>
      <c r="D137" s="496" t="s">
        <v>861</v>
      </c>
      <c r="E137" s="496" t="s">
        <v>1404</v>
      </c>
      <c r="F137" s="517" t="s">
        <v>1405</v>
      </c>
      <c r="G137" s="559">
        <v>0.99259259259259258</v>
      </c>
      <c r="H137" s="560">
        <v>0.1111111111111111</v>
      </c>
      <c r="I137" s="490"/>
      <c r="J137" s="490"/>
      <c r="K137" s="515"/>
      <c r="L137" s="491">
        <v>1</v>
      </c>
      <c r="M137" s="491">
        <v>150</v>
      </c>
      <c r="N137" s="529" t="s">
        <v>1149</v>
      </c>
      <c r="O137" s="540"/>
      <c r="P137" s="492"/>
      <c r="Q137" s="492"/>
      <c r="R137" s="523"/>
      <c r="S137" s="492" t="s">
        <v>521</v>
      </c>
      <c r="T137" s="532" t="s">
        <v>13</v>
      </c>
      <c r="U137" s="532"/>
      <c r="V137" s="493">
        <v>1000</v>
      </c>
      <c r="W137" s="493">
        <v>100000000</v>
      </c>
      <c r="X137" s="536">
        <v>0</v>
      </c>
      <c r="Y137" s="536">
        <v>10000</v>
      </c>
      <c r="Z137" s="523" t="s">
        <v>1052</v>
      </c>
    </row>
    <row r="138" spans="1:26" x14ac:dyDescent="0.2">
      <c r="A138" s="508" t="s">
        <v>1406</v>
      </c>
      <c r="B138" s="495" t="s">
        <v>1407</v>
      </c>
      <c r="C138" s="496" t="s">
        <v>1149</v>
      </c>
      <c r="D138" s="496" t="s">
        <v>881</v>
      </c>
      <c r="E138" s="496" t="s">
        <v>1408</v>
      </c>
      <c r="F138" s="517" t="s">
        <v>1409</v>
      </c>
      <c r="G138" s="559">
        <v>0.84126984126984128</v>
      </c>
      <c r="H138" s="560">
        <v>0.90476190476190477</v>
      </c>
      <c r="I138" s="490"/>
      <c r="J138" s="490"/>
      <c r="K138" s="515"/>
      <c r="L138" s="491">
        <v>50</v>
      </c>
      <c r="M138" s="491">
        <v>600</v>
      </c>
      <c r="N138" s="529" t="s">
        <v>1149</v>
      </c>
      <c r="O138" s="540"/>
      <c r="P138" s="492"/>
      <c r="Q138" s="492"/>
      <c r="R138" s="523"/>
      <c r="S138" s="492" t="s">
        <v>293</v>
      </c>
      <c r="T138" s="532" t="s">
        <v>13</v>
      </c>
      <c r="U138" s="532"/>
      <c r="V138" s="493">
        <v>500000</v>
      </c>
      <c r="W138" s="493">
        <v>750000</v>
      </c>
      <c r="X138" s="536">
        <v>0</v>
      </c>
      <c r="Y138" s="536">
        <v>35</v>
      </c>
      <c r="Z138" s="523"/>
    </row>
    <row r="139" spans="1:26" x14ac:dyDescent="0.2">
      <c r="A139" s="508"/>
      <c r="B139" s="495"/>
      <c r="C139" s="496"/>
      <c r="D139" s="496"/>
      <c r="E139" s="496"/>
      <c r="F139" s="517"/>
      <c r="G139" s="559"/>
      <c r="H139" s="560"/>
      <c r="I139" s="490"/>
      <c r="J139" s="490"/>
      <c r="K139" s="515"/>
      <c r="L139" s="491"/>
      <c r="M139" s="491"/>
      <c r="N139" s="529"/>
      <c r="O139" s="540"/>
      <c r="P139" s="492"/>
      <c r="Q139" s="492"/>
      <c r="R139" s="523"/>
      <c r="S139" s="492" t="s">
        <v>267</v>
      </c>
      <c r="T139" s="532" t="s">
        <v>13</v>
      </c>
      <c r="U139" s="532"/>
      <c r="V139" s="493">
        <v>100000</v>
      </c>
      <c r="W139" s="493">
        <v>1500000</v>
      </c>
      <c r="X139" s="536">
        <v>0</v>
      </c>
      <c r="Y139" s="536">
        <v>10000</v>
      </c>
      <c r="Z139" s="523" t="s">
        <v>1052</v>
      </c>
    </row>
    <row r="140" spans="1:26" x14ac:dyDescent="0.2">
      <c r="A140" s="508" t="s">
        <v>1410</v>
      </c>
      <c r="B140" s="495" t="s">
        <v>1411</v>
      </c>
      <c r="C140" s="496" t="s">
        <v>1149</v>
      </c>
      <c r="D140" s="496" t="s">
        <v>866</v>
      </c>
      <c r="E140" s="496" t="s">
        <v>1386</v>
      </c>
      <c r="F140" s="517" t="s">
        <v>1412</v>
      </c>
      <c r="G140" s="559"/>
      <c r="H140" s="560"/>
      <c r="I140" s="490"/>
      <c r="J140" s="490"/>
      <c r="K140" s="515"/>
      <c r="L140" s="492"/>
      <c r="M140" s="492"/>
      <c r="N140" s="529" t="s">
        <v>1041</v>
      </c>
      <c r="O140" s="540"/>
      <c r="P140" s="492"/>
      <c r="Q140" s="492"/>
      <c r="R140" s="523"/>
      <c r="S140" s="492"/>
      <c r="T140" s="532"/>
      <c r="U140" s="532"/>
      <c r="V140" s="493"/>
      <c r="W140" s="493"/>
      <c r="X140" s="536"/>
      <c r="Y140" s="536"/>
      <c r="Z140" s="523"/>
    </row>
    <row r="141" spans="1:26" x14ac:dyDescent="0.2">
      <c r="A141" s="508" t="s">
        <v>1413</v>
      </c>
      <c r="B141" s="501" t="s">
        <v>1414</v>
      </c>
      <c r="C141" s="496" t="s">
        <v>1149</v>
      </c>
      <c r="D141" s="496" t="s">
        <v>866</v>
      </c>
      <c r="E141" s="496" t="s">
        <v>1415</v>
      </c>
      <c r="F141" s="517" t="s">
        <v>1416</v>
      </c>
      <c r="G141" s="559"/>
      <c r="H141" s="560"/>
      <c r="I141" s="490"/>
      <c r="J141" s="490"/>
      <c r="K141" s="515"/>
      <c r="L141" s="491"/>
      <c r="M141" s="491"/>
      <c r="N141" s="529" t="s">
        <v>1041</v>
      </c>
      <c r="O141" s="540"/>
      <c r="P141" s="492"/>
      <c r="Q141" s="492"/>
      <c r="R141" s="523"/>
      <c r="S141" s="492" t="s">
        <v>281</v>
      </c>
      <c r="T141" s="532" t="s">
        <v>13</v>
      </c>
      <c r="U141" s="532"/>
      <c r="V141" s="493">
        <v>1000</v>
      </c>
      <c r="W141" s="493">
        <v>100000000</v>
      </c>
      <c r="X141" s="536">
        <v>0</v>
      </c>
      <c r="Y141" s="536">
        <v>10000</v>
      </c>
      <c r="Z141" s="523" t="s">
        <v>1052</v>
      </c>
    </row>
    <row r="142" spans="1:26" x14ac:dyDescent="0.2">
      <c r="A142" s="508" t="s">
        <v>1417</v>
      </c>
      <c r="B142" s="501" t="s">
        <v>1418</v>
      </c>
      <c r="C142" s="496" t="s">
        <v>1149</v>
      </c>
      <c r="D142" s="496" t="s">
        <v>865</v>
      </c>
      <c r="E142" s="496" t="s">
        <v>1419</v>
      </c>
      <c r="F142" s="517" t="s">
        <v>1391</v>
      </c>
      <c r="G142" s="559">
        <v>0.8381877022653722</v>
      </c>
      <c r="H142" s="560">
        <v>0.6181229773462783</v>
      </c>
      <c r="I142" s="490"/>
      <c r="J142" s="490"/>
      <c r="K142" s="515"/>
      <c r="L142" s="491">
        <v>100</v>
      </c>
      <c r="M142" s="491">
        <v>1000</v>
      </c>
      <c r="N142" s="529" t="s">
        <v>1149</v>
      </c>
      <c r="O142" s="540"/>
      <c r="P142" s="492"/>
      <c r="Q142" s="492"/>
      <c r="R142" s="523"/>
      <c r="S142" s="492" t="s">
        <v>264</v>
      </c>
      <c r="T142" s="532" t="s">
        <v>13</v>
      </c>
      <c r="U142" s="532"/>
      <c r="V142" s="493">
        <v>1000</v>
      </c>
      <c r="W142" s="493">
        <v>100000000</v>
      </c>
      <c r="X142" s="536">
        <v>0</v>
      </c>
      <c r="Y142" s="536">
        <v>10000</v>
      </c>
      <c r="Z142" s="523" t="s">
        <v>1052</v>
      </c>
    </row>
    <row r="143" spans="1:26" x14ac:dyDescent="0.2">
      <c r="A143" s="508" t="s">
        <v>1420</v>
      </c>
      <c r="B143" s="501" t="s">
        <v>1421</v>
      </c>
      <c r="C143" s="496" t="s">
        <v>1149</v>
      </c>
      <c r="D143" s="496" t="s">
        <v>1087</v>
      </c>
      <c r="E143" s="496" t="s">
        <v>1422</v>
      </c>
      <c r="F143" s="517" t="s">
        <v>1423</v>
      </c>
      <c r="G143" s="559"/>
      <c r="H143" s="560"/>
      <c r="I143" s="490"/>
      <c r="J143" s="490"/>
      <c r="K143" s="515"/>
      <c r="L143" s="491"/>
      <c r="M143" s="491"/>
      <c r="N143" s="529" t="s">
        <v>1041</v>
      </c>
      <c r="O143" s="540"/>
      <c r="P143" s="492"/>
      <c r="Q143" s="492"/>
      <c r="R143" s="523"/>
      <c r="S143" s="492" t="s">
        <v>267</v>
      </c>
      <c r="T143" s="532" t="s">
        <v>13</v>
      </c>
      <c r="U143" s="532"/>
      <c r="V143" s="493">
        <v>100000</v>
      </c>
      <c r="W143" s="493">
        <v>1500000</v>
      </c>
      <c r="X143" s="536">
        <v>0</v>
      </c>
      <c r="Y143" s="536">
        <v>10000</v>
      </c>
      <c r="Z143" s="523" t="s">
        <v>1052</v>
      </c>
    </row>
    <row r="144" spans="1:26" x14ac:dyDescent="0.2">
      <c r="A144" s="508" t="s">
        <v>1424</v>
      </c>
      <c r="B144" s="501" t="s">
        <v>1077</v>
      </c>
      <c r="C144" s="496" t="s">
        <v>1149</v>
      </c>
      <c r="D144" s="496" t="s">
        <v>1119</v>
      </c>
      <c r="E144" s="496" t="s">
        <v>1425</v>
      </c>
      <c r="F144" s="517" t="s">
        <v>1426</v>
      </c>
      <c r="G144" s="559"/>
      <c r="H144" s="560"/>
      <c r="I144" s="490"/>
      <c r="J144" s="490"/>
      <c r="K144" s="515"/>
      <c r="L144" s="491"/>
      <c r="M144" s="491"/>
      <c r="N144" s="529" t="s">
        <v>1041</v>
      </c>
      <c r="O144" s="540"/>
      <c r="P144" s="492"/>
      <c r="Q144" s="492"/>
      <c r="R144" s="523"/>
      <c r="S144" s="492"/>
      <c r="T144" s="532"/>
      <c r="U144" s="532"/>
      <c r="V144" s="493"/>
      <c r="W144" s="493"/>
      <c r="X144" s="536"/>
      <c r="Y144" s="536"/>
      <c r="Z144" s="523"/>
    </row>
    <row r="145" spans="1:26" x14ac:dyDescent="0.2">
      <c r="A145" s="508" t="s">
        <v>1427</v>
      </c>
      <c r="B145" s="495" t="s">
        <v>1428</v>
      </c>
      <c r="C145" s="496" t="s">
        <v>1149</v>
      </c>
      <c r="D145" s="496" t="s">
        <v>880</v>
      </c>
      <c r="E145" s="496" t="s">
        <v>1386</v>
      </c>
      <c r="F145" s="517" t="s">
        <v>1429</v>
      </c>
      <c r="G145" s="559"/>
      <c r="H145" s="560"/>
      <c r="I145" s="490"/>
      <c r="J145" s="490"/>
      <c r="K145" s="515"/>
      <c r="L145" s="491"/>
      <c r="M145" s="491"/>
      <c r="N145" s="529" t="s">
        <v>1041</v>
      </c>
      <c r="O145" s="540"/>
      <c r="P145" s="492"/>
      <c r="Q145" s="492"/>
      <c r="R145" s="523"/>
      <c r="S145" s="492" t="s">
        <v>522</v>
      </c>
      <c r="T145" s="532" t="s">
        <v>13</v>
      </c>
      <c r="U145" s="532"/>
      <c r="V145" s="493">
        <v>1000</v>
      </c>
      <c r="W145" s="493">
        <v>100000000</v>
      </c>
      <c r="X145" s="536">
        <v>0</v>
      </c>
      <c r="Y145" s="536">
        <v>10000</v>
      </c>
      <c r="Z145" s="523" t="s">
        <v>1052</v>
      </c>
    </row>
    <row r="146" spans="1:26" x14ac:dyDescent="0.2">
      <c r="A146" s="508" t="s">
        <v>1430</v>
      </c>
      <c r="B146" s="501" t="s">
        <v>1431</v>
      </c>
      <c r="C146" s="496" t="s">
        <v>1149</v>
      </c>
      <c r="D146" s="496" t="s">
        <v>1074</v>
      </c>
      <c r="E146" s="496" t="s">
        <v>1074</v>
      </c>
      <c r="F146" s="517" t="s">
        <v>1075</v>
      </c>
      <c r="G146" s="559"/>
      <c r="H146" s="560"/>
      <c r="I146" s="490"/>
      <c r="J146" s="490"/>
      <c r="K146" s="515"/>
      <c r="L146" s="491"/>
      <c r="M146" s="491"/>
      <c r="N146" s="529" t="s">
        <v>1041</v>
      </c>
      <c r="O146" s="540"/>
      <c r="P146" s="492"/>
      <c r="Q146" s="492"/>
      <c r="R146" s="523"/>
      <c r="S146" s="492" t="s">
        <v>204</v>
      </c>
      <c r="T146" s="532"/>
      <c r="U146" s="532"/>
      <c r="V146" s="493">
        <v>1000</v>
      </c>
      <c r="W146" s="493">
        <v>100000000</v>
      </c>
      <c r="X146" s="536">
        <v>0</v>
      </c>
      <c r="Y146" s="536">
        <v>1000</v>
      </c>
      <c r="Z146" s="523"/>
    </row>
    <row r="147" spans="1:26" x14ac:dyDescent="0.2">
      <c r="A147" s="508"/>
      <c r="B147" s="501"/>
      <c r="C147" s="496"/>
      <c r="D147" s="496"/>
      <c r="E147" s="496"/>
      <c r="F147" s="517"/>
      <c r="G147" s="559"/>
      <c r="H147" s="560"/>
      <c r="I147" s="490"/>
      <c r="J147" s="490"/>
      <c r="K147" s="515"/>
      <c r="L147" s="491"/>
      <c r="M147" s="491"/>
      <c r="N147" s="529"/>
      <c r="O147" s="540"/>
      <c r="P147" s="492"/>
      <c r="Q147" s="492"/>
      <c r="R147" s="523"/>
      <c r="S147" s="492" t="s">
        <v>205</v>
      </c>
      <c r="T147" s="532"/>
      <c r="U147" s="532"/>
      <c r="V147" s="493">
        <v>1000</v>
      </c>
      <c r="W147" s="493">
        <v>100000000</v>
      </c>
      <c r="X147" s="536">
        <v>0</v>
      </c>
      <c r="Y147" s="536">
        <v>1000</v>
      </c>
      <c r="Z147" s="523"/>
    </row>
    <row r="148" spans="1:26" x14ac:dyDescent="0.2">
      <c r="A148" s="508" t="s">
        <v>1432</v>
      </c>
      <c r="B148" s="501" t="s">
        <v>1433</v>
      </c>
      <c r="C148" s="496" t="s">
        <v>1149</v>
      </c>
      <c r="D148" s="496" t="s">
        <v>1074</v>
      </c>
      <c r="E148" s="496" t="s">
        <v>1074</v>
      </c>
      <c r="F148" s="517" t="s">
        <v>1075</v>
      </c>
      <c r="G148" s="559"/>
      <c r="H148" s="560"/>
      <c r="I148" s="490"/>
      <c r="J148" s="490"/>
      <c r="K148" s="515"/>
      <c r="L148" s="491"/>
      <c r="M148" s="491"/>
      <c r="N148" s="529" t="s">
        <v>1041</v>
      </c>
      <c r="O148" s="540"/>
      <c r="P148" s="492"/>
      <c r="Q148" s="492"/>
      <c r="R148" s="523"/>
      <c r="S148" s="492" t="s">
        <v>203</v>
      </c>
      <c r="T148" s="532"/>
      <c r="U148" s="532"/>
      <c r="V148" s="493">
        <v>1000</v>
      </c>
      <c r="W148" s="493">
        <v>100000000</v>
      </c>
      <c r="X148" s="536">
        <v>0</v>
      </c>
      <c r="Y148" s="536">
        <v>1000</v>
      </c>
      <c r="Z148" s="523"/>
    </row>
    <row r="149" spans="1:26" x14ac:dyDescent="0.2">
      <c r="A149" s="508" t="s">
        <v>1434</v>
      </c>
      <c r="B149" s="501" t="s">
        <v>1077</v>
      </c>
      <c r="C149" s="496" t="s">
        <v>1149</v>
      </c>
      <c r="D149" s="496" t="s">
        <v>880</v>
      </c>
      <c r="E149" s="496" t="s">
        <v>1435</v>
      </c>
      <c r="F149" s="517" t="s">
        <v>1429</v>
      </c>
      <c r="G149" s="559"/>
      <c r="H149" s="560"/>
      <c r="I149" s="490"/>
      <c r="J149" s="490"/>
      <c r="K149" s="515"/>
      <c r="L149" s="491"/>
      <c r="M149" s="491"/>
      <c r="N149" s="529" t="s">
        <v>1041</v>
      </c>
      <c r="O149" s="540"/>
      <c r="P149" s="492"/>
      <c r="Q149" s="492"/>
      <c r="R149" s="523"/>
      <c r="S149" s="492"/>
      <c r="T149" s="532"/>
      <c r="U149" s="532"/>
      <c r="V149" s="493"/>
      <c r="W149" s="493"/>
      <c r="X149" s="536"/>
      <c r="Y149" s="536"/>
      <c r="Z149" s="523"/>
    </row>
    <row r="150" spans="1:26" x14ac:dyDescent="0.2">
      <c r="A150" s="508" t="s">
        <v>1436</v>
      </c>
      <c r="B150" s="495" t="s">
        <v>1437</v>
      </c>
      <c r="C150" s="496" t="s">
        <v>488</v>
      </c>
      <c r="D150" s="496" t="s">
        <v>879</v>
      </c>
      <c r="E150" s="496" t="s">
        <v>1438</v>
      </c>
      <c r="F150" s="517" t="s">
        <v>1439</v>
      </c>
      <c r="G150" s="559"/>
      <c r="H150" s="560"/>
      <c r="I150" s="490"/>
      <c r="J150" s="490"/>
      <c r="K150" s="515"/>
      <c r="L150" s="491"/>
      <c r="M150" s="491"/>
      <c r="N150" s="529" t="s">
        <v>1041</v>
      </c>
      <c r="O150" s="540"/>
      <c r="P150" s="492"/>
      <c r="Q150" s="492"/>
      <c r="R150" s="523"/>
      <c r="S150" s="492"/>
      <c r="T150" s="532"/>
      <c r="U150" s="532"/>
      <c r="V150" s="493"/>
      <c r="W150" s="493"/>
      <c r="X150" s="536"/>
      <c r="Y150" s="536"/>
      <c r="Z150" s="523"/>
    </row>
    <row r="151" spans="1:26" x14ac:dyDescent="0.2">
      <c r="A151" s="508" t="s">
        <v>1440</v>
      </c>
      <c r="B151" s="501" t="s">
        <v>1441</v>
      </c>
      <c r="C151" s="496" t="s">
        <v>488</v>
      </c>
      <c r="D151" s="496" t="s">
        <v>1049</v>
      </c>
      <c r="E151" s="496" t="s">
        <v>869</v>
      </c>
      <c r="F151" s="517" t="s">
        <v>1442</v>
      </c>
      <c r="G151" s="559"/>
      <c r="H151" s="560"/>
      <c r="I151" s="490"/>
      <c r="J151" s="490"/>
      <c r="K151" s="515"/>
      <c r="L151" s="491"/>
      <c r="M151" s="491"/>
      <c r="N151" s="529" t="s">
        <v>1041</v>
      </c>
      <c r="O151" s="540"/>
      <c r="P151" s="492"/>
      <c r="Q151" s="492"/>
      <c r="R151" s="523"/>
      <c r="S151" s="492" t="s">
        <v>211</v>
      </c>
      <c r="T151" s="549" t="e">
        <v>#N/A</v>
      </c>
      <c r="U151" s="549"/>
      <c r="V151" s="493">
        <v>1000</v>
      </c>
      <c r="W151" s="493">
        <v>1000000</v>
      </c>
      <c r="X151" s="536">
        <v>0</v>
      </c>
      <c r="Y151" s="536">
        <v>1000</v>
      </c>
      <c r="Z151" s="523" t="s">
        <v>1443</v>
      </c>
    </row>
    <row r="152" spans="1:26" x14ac:dyDescent="0.2">
      <c r="A152" s="508" t="s">
        <v>1444</v>
      </c>
      <c r="B152" s="501" t="s">
        <v>1445</v>
      </c>
      <c r="C152" s="496" t="s">
        <v>488</v>
      </c>
      <c r="D152" s="496" t="s">
        <v>879</v>
      </c>
      <c r="E152" s="496" t="s">
        <v>1446</v>
      </c>
      <c r="F152" s="517" t="s">
        <v>1447</v>
      </c>
      <c r="G152" s="559">
        <v>0.68290093100286653</v>
      </c>
      <c r="H152" s="560">
        <v>2.623989359967239</v>
      </c>
      <c r="I152" s="490"/>
      <c r="J152" s="490"/>
      <c r="K152" s="515"/>
      <c r="L152" s="491">
        <v>175000</v>
      </c>
      <c r="M152" s="491">
        <v>2000000</v>
      </c>
      <c r="N152" s="529" t="s">
        <v>488</v>
      </c>
      <c r="O152" s="540"/>
      <c r="P152" s="492"/>
      <c r="Q152" s="492"/>
      <c r="R152" s="523"/>
      <c r="S152" s="492" t="s">
        <v>209</v>
      </c>
      <c r="T152" s="549" t="e">
        <v>#N/A</v>
      </c>
      <c r="U152" s="549"/>
      <c r="V152" s="493">
        <v>5000</v>
      </c>
      <c r="W152" s="493">
        <v>20000</v>
      </c>
      <c r="X152" s="536">
        <v>0</v>
      </c>
      <c r="Y152" s="536">
        <v>1000</v>
      </c>
      <c r="Z152" s="523" t="s">
        <v>1052</v>
      </c>
    </row>
    <row r="153" spans="1:26" x14ac:dyDescent="0.2">
      <c r="A153" s="508"/>
      <c r="B153" s="501"/>
      <c r="C153" s="496"/>
      <c r="D153" s="496"/>
      <c r="E153" s="496"/>
      <c r="F153" s="517"/>
      <c r="G153" s="559"/>
      <c r="H153" s="560"/>
      <c r="I153" s="490"/>
      <c r="J153" s="490"/>
      <c r="K153" s="515"/>
      <c r="L153" s="491"/>
      <c r="M153" s="491"/>
      <c r="N153" s="529"/>
      <c r="O153" s="540"/>
      <c r="P153" s="492"/>
      <c r="Q153" s="492"/>
      <c r="R153" s="523"/>
      <c r="S153" s="492" t="s">
        <v>208</v>
      </c>
      <c r="T153" s="549" t="e">
        <v>#N/A</v>
      </c>
      <c r="U153" s="549"/>
      <c r="V153" s="493">
        <v>1000</v>
      </c>
      <c r="W153" s="493">
        <v>10000</v>
      </c>
      <c r="X153" s="536">
        <v>0</v>
      </c>
      <c r="Y153" s="536">
        <v>1000</v>
      </c>
      <c r="Z153" s="523" t="s">
        <v>1052</v>
      </c>
    </row>
    <row r="154" spans="1:26" x14ac:dyDescent="0.2">
      <c r="A154" s="508"/>
      <c r="B154" s="501"/>
      <c r="C154" s="496"/>
      <c r="D154" s="496"/>
      <c r="E154" s="496"/>
      <c r="F154" s="517"/>
      <c r="G154" s="559"/>
      <c r="H154" s="560"/>
      <c r="I154" s="490"/>
      <c r="J154" s="490"/>
      <c r="K154" s="515"/>
      <c r="L154" s="491"/>
      <c r="M154" s="491"/>
      <c r="N154" s="529"/>
      <c r="O154" s="540"/>
      <c r="P154" s="492"/>
      <c r="Q154" s="492"/>
      <c r="R154" s="523"/>
      <c r="S154" s="492" t="s">
        <v>210</v>
      </c>
      <c r="T154" s="549" t="e">
        <v>#N/A</v>
      </c>
      <c r="U154" s="549"/>
      <c r="V154" s="493">
        <v>1000</v>
      </c>
      <c r="W154" s="493">
        <v>100000000</v>
      </c>
      <c r="X154" s="536">
        <v>0</v>
      </c>
      <c r="Y154" s="536">
        <v>1000</v>
      </c>
      <c r="Z154" s="523" t="s">
        <v>1052</v>
      </c>
    </row>
    <row r="155" spans="1:26" x14ac:dyDescent="0.2">
      <c r="A155" s="508" t="s">
        <v>1448</v>
      </c>
      <c r="B155" s="501" t="s">
        <v>1449</v>
      </c>
      <c r="C155" s="496" t="s">
        <v>327</v>
      </c>
      <c r="D155" s="496" t="s">
        <v>1119</v>
      </c>
      <c r="E155" s="496" t="s">
        <v>883</v>
      </c>
      <c r="F155" s="517" t="s">
        <v>1450</v>
      </c>
      <c r="G155" s="559"/>
      <c r="H155" s="560"/>
      <c r="I155" s="490"/>
      <c r="J155" s="490"/>
      <c r="K155" s="515"/>
      <c r="L155" s="491"/>
      <c r="M155" s="491"/>
      <c r="N155" s="529" t="s">
        <v>1041</v>
      </c>
      <c r="O155" s="540"/>
      <c r="P155" s="492"/>
      <c r="Q155" s="492"/>
      <c r="R155" s="523"/>
      <c r="S155" s="492" t="s">
        <v>206</v>
      </c>
      <c r="T155" s="549" t="e">
        <v>#N/A</v>
      </c>
      <c r="U155" s="549"/>
      <c r="V155" s="493">
        <v>1000</v>
      </c>
      <c r="W155" s="493">
        <v>10000</v>
      </c>
      <c r="X155" s="536">
        <v>0</v>
      </c>
      <c r="Y155" s="536">
        <v>1000</v>
      </c>
      <c r="Z155" s="523" t="s">
        <v>1052</v>
      </c>
    </row>
    <row r="156" spans="1:26" x14ac:dyDescent="0.2">
      <c r="A156" s="508"/>
      <c r="B156" s="501"/>
      <c r="C156" s="496"/>
      <c r="D156" s="496"/>
      <c r="E156" s="496"/>
      <c r="F156" s="517"/>
      <c r="G156" s="559"/>
      <c r="H156" s="560"/>
      <c r="I156" s="490"/>
      <c r="J156" s="490"/>
      <c r="K156" s="515"/>
      <c r="L156" s="491"/>
      <c r="M156" s="491"/>
      <c r="N156" s="529"/>
      <c r="O156" s="540"/>
      <c r="P156" s="492"/>
      <c r="Q156" s="492"/>
      <c r="R156" s="523"/>
      <c r="S156" s="492" t="s">
        <v>207</v>
      </c>
      <c r="T156" s="549" t="e">
        <v>#N/A</v>
      </c>
      <c r="U156" s="549"/>
      <c r="V156" s="493">
        <v>10000</v>
      </c>
      <c r="W156" s="493">
        <v>100000</v>
      </c>
      <c r="X156" s="536">
        <v>0</v>
      </c>
      <c r="Y156" s="536">
        <v>1000</v>
      </c>
      <c r="Z156" s="523" t="s">
        <v>1052</v>
      </c>
    </row>
    <row r="157" spans="1:26" x14ac:dyDescent="0.2">
      <c r="A157" s="508" t="s">
        <v>1451</v>
      </c>
      <c r="B157" s="501" t="s">
        <v>1077</v>
      </c>
      <c r="C157" s="496" t="s">
        <v>488</v>
      </c>
      <c r="D157" s="496" t="s">
        <v>1119</v>
      </c>
      <c r="E157" s="496" t="s">
        <v>877</v>
      </c>
      <c r="F157" s="517" t="s">
        <v>1452</v>
      </c>
      <c r="G157" s="559"/>
      <c r="H157" s="560"/>
      <c r="I157" s="490"/>
      <c r="J157" s="490"/>
      <c r="K157" s="515"/>
      <c r="L157" s="491"/>
      <c r="M157" s="491"/>
      <c r="N157" s="529" t="s">
        <v>1041</v>
      </c>
      <c r="O157" s="540"/>
      <c r="P157" s="492"/>
      <c r="Q157" s="492"/>
      <c r="R157" s="523"/>
      <c r="S157" s="492" t="s">
        <v>212</v>
      </c>
      <c r="T157" s="549" t="e">
        <v>#N/A</v>
      </c>
      <c r="U157" s="549"/>
      <c r="V157" s="493">
        <v>1000</v>
      </c>
      <c r="W157" s="493">
        <v>100000</v>
      </c>
      <c r="X157" s="536">
        <v>0</v>
      </c>
      <c r="Y157" s="536">
        <v>1000</v>
      </c>
      <c r="Z157" s="523" t="s">
        <v>1052</v>
      </c>
    </row>
    <row r="158" spans="1:26" x14ac:dyDescent="0.2">
      <c r="A158" s="508" t="s">
        <v>1453</v>
      </c>
      <c r="B158" s="495" t="s">
        <v>1454</v>
      </c>
      <c r="C158" s="496" t="s">
        <v>1039</v>
      </c>
      <c r="D158" s="496" t="s">
        <v>1055</v>
      </c>
      <c r="E158" s="496" t="s">
        <v>1455</v>
      </c>
      <c r="F158" s="517" t="s">
        <v>1456</v>
      </c>
      <c r="G158" s="559"/>
      <c r="H158" s="560"/>
      <c r="I158" s="490"/>
      <c r="J158" s="490"/>
      <c r="K158" s="515"/>
      <c r="L158" s="491"/>
      <c r="M158" s="491"/>
      <c r="N158" s="529" t="s">
        <v>1041</v>
      </c>
      <c r="O158" s="540"/>
      <c r="P158" s="492"/>
      <c r="Q158" s="492"/>
      <c r="R158" s="523"/>
      <c r="S158" s="492"/>
      <c r="T158" s="532"/>
      <c r="U158" s="532"/>
      <c r="V158" s="493"/>
      <c r="W158" s="493"/>
      <c r="X158" s="536"/>
      <c r="Y158" s="536"/>
      <c r="Z158" s="523"/>
    </row>
    <row r="159" spans="1:26" x14ac:dyDescent="0.2">
      <c r="A159" s="508"/>
      <c r="B159" s="495"/>
      <c r="C159" s="496"/>
      <c r="D159" s="496"/>
      <c r="E159" s="496"/>
      <c r="F159" s="517"/>
      <c r="G159" s="559"/>
      <c r="H159" s="560"/>
      <c r="I159" s="490"/>
      <c r="J159" s="490"/>
      <c r="K159" s="515"/>
      <c r="L159" s="491"/>
      <c r="M159" s="491"/>
      <c r="N159" s="529"/>
      <c r="O159" s="540"/>
      <c r="P159" s="492"/>
      <c r="Q159" s="492"/>
      <c r="R159" s="523"/>
      <c r="S159" s="492"/>
      <c r="T159" s="532"/>
      <c r="U159" s="532"/>
      <c r="V159" s="493"/>
      <c r="W159" s="493"/>
      <c r="X159" s="536"/>
      <c r="Y159" s="536"/>
      <c r="Z159" s="523"/>
    </row>
    <row r="160" spans="1:26" x14ac:dyDescent="0.2">
      <c r="A160" s="509" t="s">
        <v>1457</v>
      </c>
      <c r="B160" s="499" t="s">
        <v>1458</v>
      </c>
      <c r="C160" s="500" t="s">
        <v>1039</v>
      </c>
      <c r="D160" s="496"/>
      <c r="E160" s="496"/>
      <c r="F160" s="518" t="s">
        <v>1459</v>
      </c>
      <c r="G160" s="559"/>
      <c r="H160" s="560"/>
      <c r="I160" s="490"/>
      <c r="J160" s="490"/>
      <c r="K160" s="515"/>
      <c r="L160" s="491"/>
      <c r="M160" s="491"/>
      <c r="N160" s="529" t="s">
        <v>1041</v>
      </c>
      <c r="O160" s="540"/>
      <c r="P160" s="492"/>
      <c r="Q160" s="492"/>
      <c r="R160" s="523"/>
      <c r="S160" s="492"/>
      <c r="T160" s="532"/>
      <c r="U160" s="532"/>
      <c r="V160" s="493"/>
      <c r="W160" s="493"/>
      <c r="X160" s="536"/>
      <c r="Y160" s="536"/>
      <c r="Z160" s="523"/>
    </row>
    <row r="161" spans="1:26" x14ac:dyDescent="0.2">
      <c r="A161" s="508" t="s">
        <v>1460</v>
      </c>
      <c r="B161" s="495" t="s">
        <v>1461</v>
      </c>
      <c r="C161" s="496" t="s">
        <v>1039</v>
      </c>
      <c r="D161" s="496" t="s">
        <v>876</v>
      </c>
      <c r="E161" s="496" t="s">
        <v>1236</v>
      </c>
      <c r="F161" s="517" t="s">
        <v>1462</v>
      </c>
      <c r="G161" s="559"/>
      <c r="H161" s="560"/>
      <c r="I161" s="490"/>
      <c r="J161" s="490"/>
      <c r="K161" s="515"/>
      <c r="L161" s="491"/>
      <c r="M161" s="491"/>
      <c r="N161" s="529" t="s">
        <v>1041</v>
      </c>
      <c r="O161" s="540"/>
      <c r="P161" s="492"/>
      <c r="Q161" s="492"/>
      <c r="R161" s="523"/>
      <c r="S161" s="492"/>
      <c r="T161" s="532"/>
      <c r="U161" s="532"/>
      <c r="V161" s="493"/>
      <c r="W161" s="493"/>
      <c r="X161" s="536"/>
      <c r="Y161" s="536"/>
      <c r="Z161" s="523"/>
    </row>
    <row r="162" spans="1:26" x14ac:dyDescent="0.2">
      <c r="A162" s="508" t="s">
        <v>1463</v>
      </c>
      <c r="B162" s="501" t="s">
        <v>1464</v>
      </c>
      <c r="C162" s="496" t="s">
        <v>1039</v>
      </c>
      <c r="D162" s="496" t="s">
        <v>1087</v>
      </c>
      <c r="E162" s="496" t="s">
        <v>1465</v>
      </c>
      <c r="F162" s="517" t="s">
        <v>1466</v>
      </c>
      <c r="G162" s="559"/>
      <c r="H162" s="560"/>
      <c r="I162" s="490"/>
      <c r="J162" s="490"/>
      <c r="K162" s="515"/>
      <c r="L162" s="491"/>
      <c r="M162" s="491"/>
      <c r="N162" s="529" t="s">
        <v>1041</v>
      </c>
      <c r="O162" s="540"/>
      <c r="P162" s="492"/>
      <c r="Q162" s="492"/>
      <c r="R162" s="523"/>
      <c r="S162" s="492"/>
      <c r="T162" s="532"/>
      <c r="U162" s="532"/>
      <c r="V162" s="493"/>
      <c r="W162" s="493"/>
      <c r="X162" s="536"/>
      <c r="Y162" s="536"/>
      <c r="Z162" s="523"/>
    </row>
    <row r="163" spans="1:26" x14ac:dyDescent="0.2">
      <c r="A163" s="508" t="s">
        <v>1467</v>
      </c>
      <c r="B163" s="501" t="s">
        <v>1468</v>
      </c>
      <c r="C163" s="496" t="s">
        <v>1039</v>
      </c>
      <c r="D163" s="496" t="s">
        <v>1074</v>
      </c>
      <c r="E163" s="496" t="s">
        <v>1074</v>
      </c>
      <c r="F163" s="517" t="s">
        <v>1075</v>
      </c>
      <c r="G163" s="559"/>
      <c r="H163" s="560"/>
      <c r="I163" s="490"/>
      <c r="J163" s="490"/>
      <c r="K163" s="515"/>
      <c r="L163" s="491"/>
      <c r="M163" s="491"/>
      <c r="N163" s="529" t="s">
        <v>1041</v>
      </c>
      <c r="O163" s="540"/>
      <c r="P163" s="492"/>
      <c r="Q163" s="492"/>
      <c r="R163" s="523"/>
      <c r="S163" s="492"/>
      <c r="T163" s="532"/>
      <c r="U163" s="532"/>
      <c r="V163" s="493"/>
      <c r="W163" s="493"/>
      <c r="X163" s="536"/>
      <c r="Y163" s="536"/>
      <c r="Z163" s="523"/>
    </row>
    <row r="164" spans="1:26" x14ac:dyDescent="0.2">
      <c r="A164" s="508" t="s">
        <v>1469</v>
      </c>
      <c r="B164" s="501" t="s">
        <v>1470</v>
      </c>
      <c r="C164" s="496" t="s">
        <v>1039</v>
      </c>
      <c r="D164" s="496" t="s">
        <v>1074</v>
      </c>
      <c r="E164" s="496" t="s">
        <v>1074</v>
      </c>
      <c r="F164" s="517" t="s">
        <v>1075</v>
      </c>
      <c r="G164" s="559"/>
      <c r="H164" s="560"/>
      <c r="I164" s="490"/>
      <c r="J164" s="490"/>
      <c r="K164" s="515"/>
      <c r="L164" s="491"/>
      <c r="M164" s="491"/>
      <c r="N164" s="529" t="s">
        <v>1041</v>
      </c>
      <c r="O164" s="540"/>
      <c r="P164" s="492"/>
      <c r="Q164" s="492"/>
      <c r="R164" s="523"/>
      <c r="S164" s="492"/>
      <c r="T164" s="532"/>
      <c r="U164" s="532"/>
      <c r="V164" s="493"/>
      <c r="W164" s="493"/>
      <c r="X164" s="536"/>
      <c r="Y164" s="536"/>
      <c r="Z164" s="523"/>
    </row>
    <row r="165" spans="1:26" x14ac:dyDescent="0.2">
      <c r="A165" s="508" t="s">
        <v>1471</v>
      </c>
      <c r="B165" s="501" t="s">
        <v>1472</v>
      </c>
      <c r="C165" s="496" t="s">
        <v>1039</v>
      </c>
      <c r="D165" s="496" t="s">
        <v>1119</v>
      </c>
      <c r="E165" s="496" t="s">
        <v>1473</v>
      </c>
      <c r="F165" s="517" t="s">
        <v>1474</v>
      </c>
      <c r="G165" s="559"/>
      <c r="H165" s="560"/>
      <c r="I165" s="490"/>
      <c r="J165" s="490"/>
      <c r="K165" s="515"/>
      <c r="L165" s="491"/>
      <c r="M165" s="491"/>
      <c r="N165" s="529" t="s">
        <v>1041</v>
      </c>
      <c r="O165" s="540"/>
      <c r="P165" s="492"/>
      <c r="Q165" s="492"/>
      <c r="R165" s="523"/>
      <c r="S165" s="492"/>
      <c r="T165" s="532"/>
      <c r="U165" s="532"/>
      <c r="V165" s="493"/>
      <c r="W165" s="493"/>
      <c r="X165" s="536"/>
      <c r="Y165" s="536"/>
      <c r="Z165" s="523"/>
    </row>
    <row r="166" spans="1:26" x14ac:dyDescent="0.2">
      <c r="A166" s="508" t="s">
        <v>1475</v>
      </c>
      <c r="B166" s="501" t="s">
        <v>1476</v>
      </c>
      <c r="C166" s="496" t="s">
        <v>1039</v>
      </c>
      <c r="D166" s="496" t="s">
        <v>1096</v>
      </c>
      <c r="E166" s="496" t="s">
        <v>1477</v>
      </c>
      <c r="F166" s="517" t="s">
        <v>1478</v>
      </c>
      <c r="G166" s="559"/>
      <c r="H166" s="560"/>
      <c r="I166" s="490"/>
      <c r="J166" s="490"/>
      <c r="K166" s="515"/>
      <c r="L166" s="491"/>
      <c r="M166" s="491"/>
      <c r="N166" s="529" t="s">
        <v>1041</v>
      </c>
      <c r="O166" s="540"/>
      <c r="P166" s="492"/>
      <c r="Q166" s="492"/>
      <c r="R166" s="523"/>
      <c r="S166" s="492"/>
      <c r="T166" s="532"/>
      <c r="U166" s="532"/>
      <c r="V166" s="493"/>
      <c r="W166" s="493"/>
      <c r="X166" s="536"/>
      <c r="Y166" s="536"/>
      <c r="Z166" s="523"/>
    </row>
    <row r="167" spans="1:26" x14ac:dyDescent="0.2">
      <c r="A167" s="508" t="s">
        <v>1479</v>
      </c>
      <c r="B167" s="501" t="s">
        <v>1077</v>
      </c>
      <c r="C167" s="496" t="s">
        <v>1039</v>
      </c>
      <c r="D167" s="496" t="s">
        <v>876</v>
      </c>
      <c r="E167" s="496" t="s">
        <v>1480</v>
      </c>
      <c r="F167" s="517" t="s">
        <v>1481</v>
      </c>
      <c r="G167" s="559"/>
      <c r="H167" s="560"/>
      <c r="I167" s="490"/>
      <c r="J167" s="490"/>
      <c r="K167" s="515"/>
      <c r="L167" s="491"/>
      <c r="M167" s="491"/>
      <c r="N167" s="529" t="s">
        <v>1041</v>
      </c>
      <c r="O167" s="540"/>
      <c r="P167" s="492"/>
      <c r="Q167" s="492"/>
      <c r="R167" s="523"/>
      <c r="S167" s="492"/>
      <c r="T167" s="532"/>
      <c r="U167" s="532"/>
      <c r="V167" s="493"/>
      <c r="W167" s="493"/>
      <c r="X167" s="536"/>
      <c r="Y167" s="536"/>
      <c r="Z167" s="523"/>
    </row>
    <row r="168" spans="1:26" x14ac:dyDescent="0.2">
      <c r="A168" s="508" t="s">
        <v>1482</v>
      </c>
      <c r="B168" s="495" t="s">
        <v>1483</v>
      </c>
      <c r="C168" s="496" t="s">
        <v>1039</v>
      </c>
      <c r="D168" s="496" t="s">
        <v>868</v>
      </c>
      <c r="E168" s="496" t="s">
        <v>1236</v>
      </c>
      <c r="F168" s="517" t="s">
        <v>1484</v>
      </c>
      <c r="G168" s="559"/>
      <c r="H168" s="560"/>
      <c r="I168" s="490"/>
      <c r="J168" s="490"/>
      <c r="K168" s="515"/>
      <c r="L168" s="491"/>
      <c r="M168" s="491"/>
      <c r="N168" s="529" t="s">
        <v>1041</v>
      </c>
      <c r="O168" s="540"/>
      <c r="P168" s="492"/>
      <c r="Q168" s="492"/>
      <c r="R168" s="523"/>
      <c r="S168" s="492"/>
      <c r="T168" s="532"/>
      <c r="U168" s="532"/>
      <c r="V168" s="493"/>
      <c r="W168" s="493"/>
      <c r="X168" s="536"/>
      <c r="Y168" s="536"/>
      <c r="Z168" s="523"/>
    </row>
    <row r="169" spans="1:26" x14ac:dyDescent="0.2">
      <c r="A169" s="508" t="s">
        <v>1485</v>
      </c>
      <c r="B169" s="501" t="s">
        <v>1486</v>
      </c>
      <c r="C169" s="496" t="s">
        <v>1039</v>
      </c>
      <c r="D169" s="496" t="s">
        <v>1074</v>
      </c>
      <c r="E169" s="496" t="s">
        <v>1074</v>
      </c>
      <c r="F169" s="517" t="s">
        <v>1075</v>
      </c>
      <c r="G169" s="559"/>
      <c r="H169" s="560"/>
      <c r="I169" s="490"/>
      <c r="J169" s="490"/>
      <c r="K169" s="515"/>
      <c r="L169" s="491"/>
      <c r="M169" s="491"/>
      <c r="N169" s="529" t="s">
        <v>1041</v>
      </c>
      <c r="O169" s="540"/>
      <c r="P169" s="492"/>
      <c r="Q169" s="492"/>
      <c r="R169" s="523"/>
      <c r="S169" s="492"/>
      <c r="T169" s="532"/>
      <c r="U169" s="532"/>
      <c r="V169" s="493"/>
      <c r="W169" s="493"/>
      <c r="X169" s="536"/>
      <c r="Y169" s="536"/>
      <c r="Z169" s="523"/>
    </row>
    <row r="170" spans="1:26" x14ac:dyDescent="0.2">
      <c r="A170" s="508" t="s">
        <v>1487</v>
      </c>
      <c r="B170" s="501" t="s">
        <v>1488</v>
      </c>
      <c r="C170" s="496" t="s">
        <v>1039</v>
      </c>
      <c r="D170" s="496" t="s">
        <v>1074</v>
      </c>
      <c r="E170" s="496" t="s">
        <v>1074</v>
      </c>
      <c r="F170" s="517" t="s">
        <v>1075</v>
      </c>
      <c r="G170" s="559"/>
      <c r="H170" s="560"/>
      <c r="I170" s="490"/>
      <c r="J170" s="490"/>
      <c r="K170" s="515"/>
      <c r="L170" s="491"/>
      <c r="M170" s="491"/>
      <c r="N170" s="529" t="s">
        <v>1041</v>
      </c>
      <c r="O170" s="540"/>
      <c r="P170" s="492"/>
      <c r="Q170" s="492"/>
      <c r="R170" s="523"/>
      <c r="S170" s="492"/>
      <c r="T170" s="532"/>
      <c r="U170" s="532"/>
      <c r="V170" s="493"/>
      <c r="W170" s="493"/>
      <c r="X170" s="536"/>
      <c r="Y170" s="536"/>
      <c r="Z170" s="523"/>
    </row>
    <row r="171" spans="1:26" x14ac:dyDescent="0.2">
      <c r="A171" s="508" t="s">
        <v>1489</v>
      </c>
      <c r="B171" s="498" t="s">
        <v>1490</v>
      </c>
      <c r="C171" s="496" t="s">
        <v>1039</v>
      </c>
      <c r="D171" s="496" t="s">
        <v>1074</v>
      </c>
      <c r="E171" s="496" t="s">
        <v>1074</v>
      </c>
      <c r="F171" s="517" t="s">
        <v>1075</v>
      </c>
      <c r="G171" s="559"/>
      <c r="H171" s="560"/>
      <c r="I171" s="490"/>
      <c r="J171" s="490"/>
      <c r="K171" s="515"/>
      <c r="L171" s="491"/>
      <c r="M171" s="491"/>
      <c r="N171" s="529" t="s">
        <v>1041</v>
      </c>
      <c r="O171" s="540"/>
      <c r="P171" s="492"/>
      <c r="Q171" s="492"/>
      <c r="R171" s="523"/>
      <c r="S171" s="492"/>
      <c r="T171" s="532"/>
      <c r="U171" s="532"/>
      <c r="V171" s="493"/>
      <c r="W171" s="493"/>
      <c r="X171" s="536"/>
      <c r="Y171" s="536"/>
      <c r="Z171" s="523"/>
    </row>
    <row r="172" spans="1:26" x14ac:dyDescent="0.2">
      <c r="A172" s="508" t="s">
        <v>1491</v>
      </c>
      <c r="B172" s="498" t="s">
        <v>1492</v>
      </c>
      <c r="C172" s="496" t="s">
        <v>1039</v>
      </c>
      <c r="D172" s="496" t="s">
        <v>1074</v>
      </c>
      <c r="E172" s="496" t="s">
        <v>1074</v>
      </c>
      <c r="F172" s="517" t="s">
        <v>1075</v>
      </c>
      <c r="G172" s="559"/>
      <c r="H172" s="560"/>
      <c r="I172" s="490"/>
      <c r="J172" s="490"/>
      <c r="K172" s="515"/>
      <c r="L172" s="491"/>
      <c r="M172" s="491"/>
      <c r="N172" s="529" t="s">
        <v>1041</v>
      </c>
      <c r="O172" s="540"/>
      <c r="P172" s="492"/>
      <c r="Q172" s="492"/>
      <c r="R172" s="523"/>
      <c r="S172" s="492"/>
      <c r="T172" s="532"/>
      <c r="U172" s="532"/>
      <c r="V172" s="493"/>
      <c r="W172" s="493"/>
      <c r="X172" s="536"/>
      <c r="Y172" s="536"/>
      <c r="Z172" s="523"/>
    </row>
    <row r="173" spans="1:26" x14ac:dyDescent="0.2">
      <c r="A173" s="508" t="s">
        <v>1493</v>
      </c>
      <c r="B173" s="498" t="s">
        <v>1077</v>
      </c>
      <c r="C173" s="496" t="s">
        <v>1039</v>
      </c>
      <c r="D173" s="496" t="s">
        <v>868</v>
      </c>
      <c r="E173" s="496" t="s">
        <v>1494</v>
      </c>
      <c r="F173" s="517" t="s">
        <v>1484</v>
      </c>
      <c r="G173" s="559"/>
      <c r="H173" s="560"/>
      <c r="I173" s="490"/>
      <c r="J173" s="490"/>
      <c r="K173" s="515"/>
      <c r="L173" s="491"/>
      <c r="M173" s="491"/>
      <c r="N173" s="529" t="s">
        <v>1041</v>
      </c>
      <c r="O173" s="540"/>
      <c r="P173" s="492"/>
      <c r="Q173" s="492"/>
      <c r="R173" s="523"/>
      <c r="S173" s="492"/>
      <c r="T173" s="532"/>
      <c r="U173" s="532"/>
      <c r="V173" s="493"/>
      <c r="W173" s="493"/>
      <c r="X173" s="536"/>
      <c r="Y173" s="536"/>
      <c r="Z173" s="523"/>
    </row>
    <row r="174" spans="1:26" x14ac:dyDescent="0.2">
      <c r="A174" s="508" t="s">
        <v>1495</v>
      </c>
      <c r="B174" s="495" t="s">
        <v>1496</v>
      </c>
      <c r="C174" s="496" t="s">
        <v>1039</v>
      </c>
      <c r="D174" s="496" t="s">
        <v>866</v>
      </c>
      <c r="E174" s="496" t="s">
        <v>1236</v>
      </c>
      <c r="F174" s="517" t="s">
        <v>1497</v>
      </c>
      <c r="G174" s="559"/>
      <c r="H174" s="560"/>
      <c r="I174" s="490"/>
      <c r="J174" s="490"/>
      <c r="K174" s="515"/>
      <c r="L174" s="491"/>
      <c r="M174" s="491"/>
      <c r="N174" s="529" t="s">
        <v>1041</v>
      </c>
      <c r="O174" s="540"/>
      <c r="P174" s="492"/>
      <c r="Q174" s="492"/>
      <c r="R174" s="523"/>
      <c r="S174" s="492"/>
      <c r="T174" s="532"/>
      <c r="U174" s="532"/>
      <c r="V174" s="493"/>
      <c r="W174" s="493"/>
      <c r="X174" s="536"/>
      <c r="Y174" s="536"/>
      <c r="Z174" s="523"/>
    </row>
    <row r="175" spans="1:26" x14ac:dyDescent="0.2">
      <c r="A175" s="508" t="s">
        <v>1498</v>
      </c>
      <c r="B175" s="498" t="s">
        <v>1499</v>
      </c>
      <c r="C175" s="496" t="s">
        <v>1039</v>
      </c>
      <c r="D175" s="496" t="s">
        <v>1087</v>
      </c>
      <c r="E175" s="496" t="s">
        <v>1500</v>
      </c>
      <c r="F175" s="517" t="s">
        <v>1501</v>
      </c>
      <c r="G175" s="559"/>
      <c r="H175" s="560"/>
      <c r="I175" s="490"/>
      <c r="J175" s="490"/>
      <c r="K175" s="515"/>
      <c r="L175" s="491"/>
      <c r="M175" s="491"/>
      <c r="N175" s="529" t="s">
        <v>1041</v>
      </c>
      <c r="O175" s="540"/>
      <c r="P175" s="492"/>
      <c r="Q175" s="492"/>
      <c r="R175" s="523"/>
      <c r="S175" s="492"/>
      <c r="T175" s="532"/>
      <c r="U175" s="532"/>
      <c r="V175" s="493"/>
      <c r="W175" s="493"/>
      <c r="X175" s="536"/>
      <c r="Y175" s="536"/>
      <c r="Z175" s="523"/>
    </row>
    <row r="176" spans="1:26" x14ac:dyDescent="0.2">
      <c r="A176" s="508" t="s">
        <v>1502</v>
      </c>
      <c r="B176" s="498" t="s">
        <v>25</v>
      </c>
      <c r="C176" s="496" t="s">
        <v>1039</v>
      </c>
      <c r="D176" s="496" t="s">
        <v>1181</v>
      </c>
      <c r="E176" s="496" t="s">
        <v>1503</v>
      </c>
      <c r="F176" s="517" t="s">
        <v>1504</v>
      </c>
      <c r="G176" s="559"/>
      <c r="H176" s="560"/>
      <c r="I176" s="490"/>
      <c r="J176" s="490"/>
      <c r="K176" s="515"/>
      <c r="L176" s="491"/>
      <c r="M176" s="491"/>
      <c r="N176" s="529" t="s">
        <v>1041</v>
      </c>
      <c r="O176" s="540"/>
      <c r="P176" s="492"/>
      <c r="Q176" s="492"/>
      <c r="R176" s="523"/>
      <c r="S176" s="492"/>
      <c r="T176" s="532"/>
      <c r="U176" s="532"/>
      <c r="V176" s="493"/>
      <c r="W176" s="493"/>
      <c r="X176" s="536"/>
      <c r="Y176" s="536"/>
      <c r="Z176" s="523"/>
    </row>
    <row r="177" spans="1:26" x14ac:dyDescent="0.2">
      <c r="A177" s="508" t="s">
        <v>1505</v>
      </c>
      <c r="B177" s="498" t="s">
        <v>1506</v>
      </c>
      <c r="C177" s="496" t="s">
        <v>1039</v>
      </c>
      <c r="D177" s="496" t="s">
        <v>866</v>
      </c>
      <c r="E177" s="496" t="s">
        <v>1507</v>
      </c>
      <c r="F177" s="517" t="s">
        <v>1508</v>
      </c>
      <c r="G177" s="559"/>
      <c r="H177" s="560"/>
      <c r="I177" s="490"/>
      <c r="J177" s="490"/>
      <c r="K177" s="515"/>
      <c r="L177" s="491"/>
      <c r="M177" s="491"/>
      <c r="N177" s="529" t="s">
        <v>1041</v>
      </c>
      <c r="O177" s="540"/>
      <c r="P177" s="492"/>
      <c r="Q177" s="492"/>
      <c r="R177" s="523"/>
      <c r="S177" s="492"/>
      <c r="T177" s="532"/>
      <c r="U177" s="532"/>
      <c r="V177" s="493"/>
      <c r="W177" s="493"/>
      <c r="X177" s="536"/>
      <c r="Y177" s="536"/>
      <c r="Z177" s="523"/>
    </row>
    <row r="178" spans="1:26" x14ac:dyDescent="0.2">
      <c r="A178" s="508" t="s">
        <v>1509</v>
      </c>
      <c r="B178" s="498" t="s">
        <v>1510</v>
      </c>
      <c r="C178" s="496" t="s">
        <v>1039</v>
      </c>
      <c r="D178" s="496" t="s">
        <v>1119</v>
      </c>
      <c r="E178" s="496" t="s">
        <v>1511</v>
      </c>
      <c r="F178" s="517" t="s">
        <v>1512</v>
      </c>
      <c r="G178" s="559"/>
      <c r="H178" s="560"/>
      <c r="I178" s="490"/>
      <c r="J178" s="490"/>
      <c r="K178" s="515"/>
      <c r="L178" s="491"/>
      <c r="M178" s="491"/>
      <c r="N178" s="529" t="s">
        <v>1041</v>
      </c>
      <c r="O178" s="540"/>
      <c r="P178" s="492"/>
      <c r="Q178" s="492"/>
      <c r="R178" s="523"/>
      <c r="S178" s="492"/>
      <c r="T178" s="532"/>
      <c r="U178" s="532"/>
      <c r="V178" s="493"/>
      <c r="W178" s="493"/>
      <c r="X178" s="536"/>
      <c r="Y178" s="536"/>
      <c r="Z178" s="523"/>
    </row>
    <row r="179" spans="1:26" x14ac:dyDescent="0.2">
      <c r="A179" s="508" t="s">
        <v>1513</v>
      </c>
      <c r="B179" s="498" t="s">
        <v>1077</v>
      </c>
      <c r="C179" s="496" t="s">
        <v>1039</v>
      </c>
      <c r="D179" s="496" t="s">
        <v>1119</v>
      </c>
      <c r="E179" s="496" t="s">
        <v>1514</v>
      </c>
      <c r="F179" s="517" t="s">
        <v>1515</v>
      </c>
      <c r="G179" s="559"/>
      <c r="H179" s="560"/>
      <c r="I179" s="490"/>
      <c r="J179" s="490"/>
      <c r="K179" s="515"/>
      <c r="L179" s="491"/>
      <c r="M179" s="491"/>
      <c r="N179" s="529" t="s">
        <v>1041</v>
      </c>
      <c r="O179" s="540"/>
      <c r="P179" s="492"/>
      <c r="Q179" s="492"/>
      <c r="R179" s="523"/>
      <c r="S179" s="492"/>
      <c r="T179" s="532"/>
      <c r="U179" s="532"/>
      <c r="V179" s="493"/>
      <c r="W179" s="493"/>
      <c r="X179" s="536"/>
      <c r="Y179" s="536"/>
      <c r="Z179" s="523"/>
    </row>
    <row r="180" spans="1:26" x14ac:dyDescent="0.2">
      <c r="A180" s="508" t="s">
        <v>1516</v>
      </c>
      <c r="B180" s="495" t="s">
        <v>1517</v>
      </c>
      <c r="C180" s="496" t="s">
        <v>1039</v>
      </c>
      <c r="D180" s="496" t="s">
        <v>1181</v>
      </c>
      <c r="E180" s="496" t="s">
        <v>1518</v>
      </c>
      <c r="F180" s="517" t="s">
        <v>1519</v>
      </c>
      <c r="G180" s="559"/>
      <c r="H180" s="560"/>
      <c r="I180" s="490"/>
      <c r="J180" s="490"/>
      <c r="K180" s="515"/>
      <c r="L180" s="491"/>
      <c r="M180" s="491"/>
      <c r="N180" s="529" t="s">
        <v>1041</v>
      </c>
      <c r="O180" s="540"/>
      <c r="P180" s="492"/>
      <c r="Q180" s="492"/>
      <c r="R180" s="523"/>
      <c r="S180" s="492"/>
      <c r="T180" s="532"/>
      <c r="U180" s="532"/>
      <c r="V180" s="493"/>
      <c r="W180" s="493"/>
      <c r="X180" s="536"/>
      <c r="Y180" s="536"/>
      <c r="Z180" s="523"/>
    </row>
    <row r="181" spans="1:26" x14ac:dyDescent="0.2">
      <c r="A181" s="508"/>
      <c r="B181" s="495"/>
      <c r="C181" s="496"/>
      <c r="D181" s="496"/>
      <c r="E181" s="496"/>
      <c r="F181" s="517"/>
      <c r="G181" s="559"/>
      <c r="H181" s="560"/>
      <c r="I181" s="490"/>
      <c r="J181" s="490"/>
      <c r="K181" s="515"/>
      <c r="L181" s="491"/>
      <c r="M181" s="491"/>
      <c r="N181" s="529"/>
      <c r="O181" s="540"/>
      <c r="P181" s="492"/>
      <c r="Q181" s="492"/>
      <c r="R181" s="523"/>
      <c r="S181" s="492"/>
      <c r="T181" s="532"/>
      <c r="U181" s="532"/>
      <c r="V181" s="493"/>
      <c r="W181" s="493"/>
      <c r="X181" s="536"/>
      <c r="Y181" s="536"/>
      <c r="Z181" s="523"/>
    </row>
    <row r="182" spans="1:26" x14ac:dyDescent="0.2">
      <c r="A182" s="509" t="s">
        <v>1520</v>
      </c>
      <c r="B182" s="499" t="s">
        <v>327</v>
      </c>
      <c r="C182" s="500" t="s">
        <v>327</v>
      </c>
      <c r="D182" s="496"/>
      <c r="E182" s="496"/>
      <c r="F182" s="518" t="s">
        <v>1521</v>
      </c>
      <c r="G182" s="559"/>
      <c r="H182" s="560"/>
      <c r="I182" s="490"/>
      <c r="J182" s="490"/>
      <c r="K182" s="515"/>
      <c r="L182" s="491"/>
      <c r="M182" s="491"/>
      <c r="N182" s="529" t="s">
        <v>1041</v>
      </c>
      <c r="O182" s="540"/>
      <c r="P182" s="492"/>
      <c r="Q182" s="492"/>
      <c r="R182" s="523"/>
      <c r="S182" s="492"/>
      <c r="T182" s="532"/>
      <c r="U182" s="532"/>
      <c r="V182" s="493"/>
      <c r="W182" s="493"/>
      <c r="X182" s="536"/>
      <c r="Y182" s="536"/>
      <c r="Z182" s="523"/>
    </row>
    <row r="183" spans="1:26" x14ac:dyDescent="0.2">
      <c r="A183" s="508" t="s">
        <v>1522</v>
      </c>
      <c r="B183" s="495" t="s">
        <v>1523</v>
      </c>
      <c r="C183" s="496" t="s">
        <v>327</v>
      </c>
      <c r="D183" s="496" t="s">
        <v>865</v>
      </c>
      <c r="E183" s="496" t="s">
        <v>1524</v>
      </c>
      <c r="F183" s="517" t="s">
        <v>1525</v>
      </c>
      <c r="G183" s="559"/>
      <c r="H183" s="560"/>
      <c r="I183" s="490"/>
      <c r="J183" s="490"/>
      <c r="K183" s="515"/>
      <c r="L183" s="491"/>
      <c r="M183" s="491"/>
      <c r="N183" s="529" t="s">
        <v>1041</v>
      </c>
      <c r="O183" s="540"/>
      <c r="P183" s="492"/>
      <c r="Q183" s="492"/>
      <c r="R183" s="523"/>
      <c r="S183" s="492"/>
      <c r="T183" s="532"/>
      <c r="U183" s="532"/>
      <c r="V183" s="493"/>
      <c r="W183" s="493"/>
      <c r="X183" s="536"/>
      <c r="Y183" s="536"/>
      <c r="Z183" s="523"/>
    </row>
    <row r="184" spans="1:26" x14ac:dyDescent="0.2">
      <c r="A184" s="508" t="s">
        <v>1526</v>
      </c>
      <c r="B184" s="498" t="s">
        <v>1527</v>
      </c>
      <c r="C184" s="496" t="s">
        <v>327</v>
      </c>
      <c r="D184" s="496" t="s">
        <v>1119</v>
      </c>
      <c r="E184" s="496" t="s">
        <v>875</v>
      </c>
      <c r="F184" s="517" t="s">
        <v>1528</v>
      </c>
      <c r="G184" s="559"/>
      <c r="H184" s="560"/>
      <c r="I184" s="490"/>
      <c r="J184" s="490"/>
      <c r="K184" s="515"/>
      <c r="L184" s="491"/>
      <c r="M184" s="491"/>
      <c r="N184" s="529" t="s">
        <v>1041</v>
      </c>
      <c r="O184" s="540"/>
      <c r="P184" s="492"/>
      <c r="Q184" s="492"/>
      <c r="R184" s="523"/>
      <c r="S184" s="492"/>
      <c r="T184" s="532"/>
      <c r="U184" s="532"/>
      <c r="V184" s="493"/>
      <c r="W184" s="493"/>
      <c r="X184" s="536"/>
      <c r="Y184" s="536"/>
      <c r="Z184" s="523"/>
    </row>
    <row r="185" spans="1:26" x14ac:dyDescent="0.2">
      <c r="A185" s="508" t="s">
        <v>1529</v>
      </c>
      <c r="B185" s="498" t="s">
        <v>1530</v>
      </c>
      <c r="C185" s="496" t="s">
        <v>327</v>
      </c>
      <c r="D185" s="496" t="s">
        <v>1096</v>
      </c>
      <c r="E185" s="496" t="s">
        <v>867</v>
      </c>
      <c r="F185" s="517" t="s">
        <v>1531</v>
      </c>
      <c r="G185" s="559"/>
      <c r="H185" s="560"/>
      <c r="I185" s="490"/>
      <c r="J185" s="490"/>
      <c r="K185" s="515"/>
      <c r="L185" s="491"/>
      <c r="M185" s="491"/>
      <c r="N185" s="529" t="s">
        <v>1041</v>
      </c>
      <c r="O185" s="540"/>
      <c r="P185" s="492"/>
      <c r="Q185" s="492"/>
      <c r="R185" s="523"/>
      <c r="S185" s="492"/>
      <c r="T185" s="532"/>
      <c r="U185" s="532"/>
      <c r="V185" s="493"/>
      <c r="W185" s="493"/>
      <c r="X185" s="536"/>
      <c r="Y185" s="536"/>
      <c r="Z185" s="523"/>
    </row>
    <row r="186" spans="1:26" x14ac:dyDescent="0.2">
      <c r="A186" s="508" t="s">
        <v>1532</v>
      </c>
      <c r="B186" s="498" t="s">
        <v>1077</v>
      </c>
      <c r="C186" s="496" t="s">
        <v>327</v>
      </c>
      <c r="D186" s="496" t="s">
        <v>865</v>
      </c>
      <c r="E186" s="496" t="s">
        <v>878</v>
      </c>
      <c r="F186" s="517" t="s">
        <v>1533</v>
      </c>
      <c r="G186" s="559"/>
      <c r="H186" s="560"/>
      <c r="I186" s="490"/>
      <c r="J186" s="490"/>
      <c r="K186" s="515"/>
      <c r="L186" s="491"/>
      <c r="M186" s="491"/>
      <c r="N186" s="529" t="s">
        <v>1041</v>
      </c>
      <c r="O186" s="540"/>
      <c r="P186" s="492"/>
      <c r="Q186" s="492"/>
      <c r="R186" s="523"/>
      <c r="S186" s="492"/>
      <c r="T186" s="532"/>
      <c r="U186" s="532"/>
      <c r="V186" s="493"/>
      <c r="W186" s="493"/>
      <c r="X186" s="536"/>
      <c r="Y186" s="536"/>
      <c r="Z186" s="523"/>
    </row>
    <row r="187" spans="1:26" x14ac:dyDescent="0.2">
      <c r="A187" s="508" t="s">
        <v>1534</v>
      </c>
      <c r="B187" s="495" t="s">
        <v>163</v>
      </c>
      <c r="C187" s="496" t="s">
        <v>327</v>
      </c>
      <c r="D187" s="496" t="s">
        <v>861</v>
      </c>
      <c r="E187" s="496" t="s">
        <v>1535</v>
      </c>
      <c r="F187" s="517" t="s">
        <v>1536</v>
      </c>
      <c r="G187" s="559"/>
      <c r="H187" s="560"/>
      <c r="I187" s="490"/>
      <c r="J187" s="490"/>
      <c r="K187" s="515"/>
      <c r="L187" s="491"/>
      <c r="M187" s="491"/>
      <c r="N187" s="529" t="s">
        <v>1041</v>
      </c>
      <c r="O187" s="540"/>
      <c r="P187" s="492"/>
      <c r="Q187" s="492"/>
      <c r="R187" s="523"/>
      <c r="S187" s="492"/>
      <c r="T187" s="532"/>
      <c r="U187" s="532"/>
      <c r="V187" s="493"/>
      <c r="W187" s="493"/>
      <c r="X187" s="536"/>
      <c r="Y187" s="536"/>
      <c r="Z187" s="523"/>
    </row>
    <row r="188" spans="1:26" x14ac:dyDescent="0.2">
      <c r="A188" s="508" t="s">
        <v>1537</v>
      </c>
      <c r="B188" s="498" t="s">
        <v>1538</v>
      </c>
      <c r="C188" s="496" t="s">
        <v>327</v>
      </c>
      <c r="D188" s="496" t="s">
        <v>1119</v>
      </c>
      <c r="E188" s="496" t="s">
        <v>1539</v>
      </c>
      <c r="F188" s="517" t="s">
        <v>1540</v>
      </c>
      <c r="G188" s="559"/>
      <c r="H188" s="560"/>
      <c r="I188" s="490"/>
      <c r="J188" s="490"/>
      <c r="K188" s="515"/>
      <c r="L188" s="491"/>
      <c r="M188" s="491"/>
      <c r="N188" s="529" t="s">
        <v>1041</v>
      </c>
      <c r="O188" s="540"/>
      <c r="P188" s="492"/>
      <c r="Q188" s="492"/>
      <c r="R188" s="523"/>
      <c r="S188" s="492"/>
      <c r="T188" s="532"/>
      <c r="U188" s="532"/>
      <c r="V188" s="493"/>
      <c r="W188" s="493"/>
      <c r="X188" s="536"/>
      <c r="Y188" s="536"/>
      <c r="Z188" s="523"/>
    </row>
    <row r="189" spans="1:26" x14ac:dyDescent="0.2">
      <c r="A189" s="508" t="s">
        <v>1541</v>
      </c>
      <c r="B189" s="498" t="s">
        <v>1542</v>
      </c>
      <c r="C189" s="496" t="s">
        <v>327</v>
      </c>
      <c r="D189" s="496" t="s">
        <v>861</v>
      </c>
      <c r="E189" s="496" t="s">
        <v>1543</v>
      </c>
      <c r="F189" s="517" t="s">
        <v>1544</v>
      </c>
      <c r="G189" s="559"/>
      <c r="H189" s="560"/>
      <c r="I189" s="490"/>
      <c r="J189" s="490"/>
      <c r="K189" s="515"/>
      <c r="L189" s="491"/>
      <c r="M189" s="491"/>
      <c r="N189" s="529" t="s">
        <v>1041</v>
      </c>
      <c r="O189" s="540"/>
      <c r="P189" s="492"/>
      <c r="Q189" s="492"/>
      <c r="R189" s="523"/>
      <c r="S189" s="492"/>
      <c r="T189" s="532"/>
      <c r="U189" s="532"/>
      <c r="V189" s="493"/>
      <c r="W189" s="493"/>
      <c r="X189" s="536"/>
      <c r="Y189" s="536"/>
      <c r="Z189" s="523"/>
    </row>
    <row r="190" spans="1:26" x14ac:dyDescent="0.2">
      <c r="A190" s="508" t="s">
        <v>1545</v>
      </c>
      <c r="B190" s="498" t="s">
        <v>1077</v>
      </c>
      <c r="C190" s="496" t="s">
        <v>327</v>
      </c>
      <c r="D190" s="496" t="s">
        <v>1074</v>
      </c>
      <c r="E190" s="496" t="s">
        <v>1074</v>
      </c>
      <c r="F190" s="517" t="s">
        <v>1075</v>
      </c>
      <c r="G190" s="559"/>
      <c r="H190" s="560"/>
      <c r="I190" s="490"/>
      <c r="J190" s="490"/>
      <c r="K190" s="515"/>
      <c r="L190" s="491"/>
      <c r="M190" s="491"/>
      <c r="N190" s="529" t="s">
        <v>1041</v>
      </c>
      <c r="O190" s="540"/>
      <c r="P190" s="492"/>
      <c r="Q190" s="492"/>
      <c r="R190" s="523"/>
      <c r="S190" s="492"/>
      <c r="T190" s="532"/>
      <c r="U190" s="532"/>
      <c r="V190" s="493"/>
      <c r="W190" s="493"/>
      <c r="X190" s="536"/>
      <c r="Y190" s="536"/>
      <c r="Z190" s="523"/>
    </row>
    <row r="191" spans="1:26" x14ac:dyDescent="0.2">
      <c r="A191" s="508" t="s">
        <v>1546</v>
      </c>
      <c r="B191" s="495" t="s">
        <v>1547</v>
      </c>
      <c r="C191" s="496" t="s">
        <v>327</v>
      </c>
      <c r="D191" s="496" t="s">
        <v>1074</v>
      </c>
      <c r="E191" s="496" t="s">
        <v>1074</v>
      </c>
      <c r="F191" s="517" t="s">
        <v>1075</v>
      </c>
      <c r="G191" s="559"/>
      <c r="H191" s="560"/>
      <c r="I191" s="490"/>
      <c r="J191" s="490"/>
      <c r="K191" s="515"/>
      <c r="L191" s="491"/>
      <c r="M191" s="491"/>
      <c r="N191" s="529" t="s">
        <v>1041</v>
      </c>
      <c r="O191" s="540"/>
      <c r="P191" s="492"/>
      <c r="Q191" s="492"/>
      <c r="R191" s="523"/>
      <c r="S191" s="492"/>
      <c r="T191" s="532"/>
      <c r="U191" s="532"/>
      <c r="V191" s="493"/>
      <c r="W191" s="493"/>
      <c r="X191" s="536"/>
      <c r="Y191" s="536"/>
      <c r="Z191" s="523"/>
    </row>
    <row r="192" spans="1:26" x14ac:dyDescent="0.2">
      <c r="A192" s="508" t="s">
        <v>1548</v>
      </c>
      <c r="B192" s="498" t="s">
        <v>1549</v>
      </c>
      <c r="C192" s="496" t="s">
        <v>327</v>
      </c>
      <c r="D192" s="496" t="s">
        <v>1074</v>
      </c>
      <c r="E192" s="496" t="s">
        <v>1074</v>
      </c>
      <c r="F192" s="517" t="s">
        <v>1075</v>
      </c>
      <c r="G192" s="559"/>
      <c r="H192" s="560"/>
      <c r="I192" s="490"/>
      <c r="J192" s="490"/>
      <c r="K192" s="515"/>
      <c r="L192" s="491"/>
      <c r="M192" s="491"/>
      <c r="N192" s="529" t="s">
        <v>1041</v>
      </c>
      <c r="O192" s="540"/>
      <c r="P192" s="492"/>
      <c r="Q192" s="492"/>
      <c r="R192" s="523"/>
      <c r="S192" s="492"/>
      <c r="T192" s="532"/>
      <c r="U192" s="532"/>
      <c r="V192" s="493"/>
      <c r="W192" s="493"/>
      <c r="X192" s="536"/>
      <c r="Y192" s="536"/>
      <c r="Z192" s="523"/>
    </row>
    <row r="193" spans="1:26" x14ac:dyDescent="0.2">
      <c r="A193" s="508" t="s">
        <v>1550</v>
      </c>
      <c r="B193" s="498" t="s">
        <v>1551</v>
      </c>
      <c r="C193" s="496" t="s">
        <v>327</v>
      </c>
      <c r="D193" s="496" t="s">
        <v>1074</v>
      </c>
      <c r="E193" s="496" t="s">
        <v>1074</v>
      </c>
      <c r="F193" s="517" t="s">
        <v>1075</v>
      </c>
      <c r="G193" s="559"/>
      <c r="H193" s="560"/>
      <c r="I193" s="490"/>
      <c r="J193" s="490"/>
      <c r="K193" s="515"/>
      <c r="L193" s="491"/>
      <c r="M193" s="491"/>
      <c r="N193" s="529" t="s">
        <v>1041</v>
      </c>
      <c r="O193" s="540"/>
      <c r="P193" s="492"/>
      <c r="Q193" s="492"/>
      <c r="R193" s="523"/>
      <c r="S193" s="492"/>
      <c r="T193" s="532"/>
      <c r="U193" s="532"/>
      <c r="V193" s="493"/>
      <c r="W193" s="493"/>
      <c r="X193" s="536"/>
      <c r="Y193" s="536"/>
      <c r="Z193" s="523"/>
    </row>
    <row r="194" spans="1:26" x14ac:dyDescent="0.2">
      <c r="A194" s="508" t="s">
        <v>1552</v>
      </c>
      <c r="B194" s="498" t="s">
        <v>1553</v>
      </c>
      <c r="C194" s="496" t="s">
        <v>327</v>
      </c>
      <c r="D194" s="496" t="s">
        <v>1074</v>
      </c>
      <c r="E194" s="496" t="s">
        <v>1074</v>
      </c>
      <c r="F194" s="517" t="s">
        <v>1075</v>
      </c>
      <c r="G194" s="559"/>
      <c r="H194" s="560"/>
      <c r="I194" s="490"/>
      <c r="J194" s="490"/>
      <c r="K194" s="515"/>
      <c r="L194" s="491"/>
      <c r="M194" s="491"/>
      <c r="N194" s="529" t="s">
        <v>1041</v>
      </c>
      <c r="O194" s="540"/>
      <c r="P194" s="492"/>
      <c r="Q194" s="492"/>
      <c r="R194" s="523"/>
      <c r="S194" s="492"/>
      <c r="T194" s="532"/>
      <c r="U194" s="532"/>
      <c r="V194" s="493"/>
      <c r="W194" s="493"/>
      <c r="X194" s="536"/>
      <c r="Y194" s="536"/>
      <c r="Z194" s="523"/>
    </row>
    <row r="195" spans="1:26" x14ac:dyDescent="0.2">
      <c r="A195" s="508" t="s">
        <v>1554</v>
      </c>
      <c r="B195" s="498" t="s">
        <v>1555</v>
      </c>
      <c r="C195" s="496" t="s">
        <v>327</v>
      </c>
      <c r="D195" s="496" t="s">
        <v>1074</v>
      </c>
      <c r="E195" s="496" t="s">
        <v>1074</v>
      </c>
      <c r="F195" s="517" t="s">
        <v>1075</v>
      </c>
      <c r="G195" s="559"/>
      <c r="H195" s="560"/>
      <c r="I195" s="490"/>
      <c r="J195" s="490"/>
      <c r="K195" s="515"/>
      <c r="L195" s="491"/>
      <c r="M195" s="491"/>
      <c r="N195" s="529" t="s">
        <v>1041</v>
      </c>
      <c r="O195" s="540"/>
      <c r="P195" s="492"/>
      <c r="Q195" s="492"/>
      <c r="R195" s="523"/>
      <c r="S195" s="492"/>
      <c r="T195" s="532"/>
      <c r="U195" s="532"/>
      <c r="V195" s="493"/>
      <c r="W195" s="493"/>
      <c r="X195" s="536"/>
      <c r="Y195" s="536"/>
      <c r="Z195" s="523"/>
    </row>
    <row r="196" spans="1:26" x14ac:dyDescent="0.2">
      <c r="A196" s="508" t="s">
        <v>1556</v>
      </c>
      <c r="B196" s="498" t="s">
        <v>1077</v>
      </c>
      <c r="C196" s="496" t="s">
        <v>327</v>
      </c>
      <c r="D196" s="496" t="s">
        <v>1074</v>
      </c>
      <c r="E196" s="496" t="s">
        <v>1074</v>
      </c>
      <c r="F196" s="517" t="s">
        <v>1075</v>
      </c>
      <c r="G196" s="559"/>
      <c r="H196" s="560"/>
      <c r="I196" s="490"/>
      <c r="J196" s="490"/>
      <c r="K196" s="515"/>
      <c r="L196" s="491"/>
      <c r="M196" s="491"/>
      <c r="N196" s="529" t="s">
        <v>1041</v>
      </c>
      <c r="O196" s="540"/>
      <c r="P196" s="492"/>
      <c r="Q196" s="492"/>
      <c r="R196" s="523"/>
      <c r="S196" s="492"/>
      <c r="T196" s="532"/>
      <c r="U196" s="532"/>
      <c r="V196" s="493"/>
      <c r="W196" s="493"/>
      <c r="X196" s="536"/>
      <c r="Y196" s="536"/>
      <c r="Z196" s="523"/>
    </row>
    <row r="197" spans="1:26" x14ac:dyDescent="0.2">
      <c r="A197" s="508" t="s">
        <v>1557</v>
      </c>
      <c r="B197" s="495" t="s">
        <v>1558</v>
      </c>
      <c r="C197" s="496" t="s">
        <v>327</v>
      </c>
      <c r="D197" s="496" t="s">
        <v>1074</v>
      </c>
      <c r="E197" s="496" t="s">
        <v>1074</v>
      </c>
      <c r="F197" s="517" t="s">
        <v>1075</v>
      </c>
      <c r="G197" s="559"/>
      <c r="H197" s="560"/>
      <c r="I197" s="490"/>
      <c r="J197" s="490"/>
      <c r="K197" s="515"/>
      <c r="L197" s="491"/>
      <c r="M197" s="491"/>
      <c r="N197" s="529" t="s">
        <v>1041</v>
      </c>
      <c r="O197" s="540"/>
      <c r="P197" s="492"/>
      <c r="Q197" s="492"/>
      <c r="R197" s="523"/>
      <c r="S197" s="492"/>
      <c r="T197" s="532"/>
      <c r="U197" s="532"/>
      <c r="V197" s="493"/>
      <c r="W197" s="493"/>
      <c r="X197" s="536"/>
      <c r="Y197" s="536"/>
      <c r="Z197" s="523"/>
    </row>
    <row r="198" spans="1:26" x14ac:dyDescent="0.2">
      <c r="A198" s="508" t="s">
        <v>1559</v>
      </c>
      <c r="B198" s="498" t="s">
        <v>1560</v>
      </c>
      <c r="C198" s="496" t="s">
        <v>327</v>
      </c>
      <c r="D198" s="496" t="s">
        <v>1074</v>
      </c>
      <c r="E198" s="496" t="s">
        <v>1074</v>
      </c>
      <c r="F198" s="517" t="s">
        <v>1075</v>
      </c>
      <c r="G198" s="559"/>
      <c r="H198" s="560"/>
      <c r="I198" s="490"/>
      <c r="J198" s="490"/>
      <c r="K198" s="515"/>
      <c r="L198" s="491"/>
      <c r="M198" s="491"/>
      <c r="N198" s="529" t="s">
        <v>1041</v>
      </c>
      <c r="O198" s="540"/>
      <c r="P198" s="492"/>
      <c r="Q198" s="492"/>
      <c r="R198" s="523"/>
      <c r="S198" s="492"/>
      <c r="T198" s="532"/>
      <c r="U198" s="532"/>
      <c r="V198" s="493"/>
      <c r="W198" s="493"/>
      <c r="X198" s="536"/>
      <c r="Y198" s="536"/>
      <c r="Z198" s="523"/>
    </row>
    <row r="199" spans="1:26" x14ac:dyDescent="0.2">
      <c r="A199" s="508" t="s">
        <v>1561</v>
      </c>
      <c r="B199" s="498" t="s">
        <v>1562</v>
      </c>
      <c r="C199" s="496" t="s">
        <v>327</v>
      </c>
      <c r="D199" s="496" t="s">
        <v>1074</v>
      </c>
      <c r="E199" s="496" t="s">
        <v>1074</v>
      </c>
      <c r="F199" s="517" t="s">
        <v>1075</v>
      </c>
      <c r="G199" s="559"/>
      <c r="H199" s="560"/>
      <c r="I199" s="490"/>
      <c r="J199" s="490"/>
      <c r="K199" s="515"/>
      <c r="L199" s="491"/>
      <c r="M199" s="491"/>
      <c r="N199" s="529" t="s">
        <v>1041</v>
      </c>
      <c r="O199" s="540"/>
      <c r="P199" s="492"/>
      <c r="Q199" s="492"/>
      <c r="R199" s="523"/>
      <c r="S199" s="492"/>
      <c r="T199" s="532"/>
      <c r="U199" s="532"/>
      <c r="V199" s="493"/>
      <c r="W199" s="493"/>
      <c r="X199" s="536"/>
      <c r="Y199" s="536"/>
      <c r="Z199" s="523"/>
    </row>
    <row r="200" spans="1:26" x14ac:dyDescent="0.2">
      <c r="A200" s="508" t="s">
        <v>1563</v>
      </c>
      <c r="B200" s="498" t="s">
        <v>1564</v>
      </c>
      <c r="C200" s="496" t="s">
        <v>327</v>
      </c>
      <c r="D200" s="496" t="s">
        <v>1074</v>
      </c>
      <c r="E200" s="496" t="s">
        <v>1074</v>
      </c>
      <c r="F200" s="517" t="s">
        <v>1075</v>
      </c>
      <c r="G200" s="559"/>
      <c r="H200" s="560"/>
      <c r="I200" s="490"/>
      <c r="J200" s="490"/>
      <c r="K200" s="515"/>
      <c r="L200" s="491"/>
      <c r="M200" s="491"/>
      <c r="N200" s="529" t="s">
        <v>1041</v>
      </c>
      <c r="O200" s="540"/>
      <c r="P200" s="492"/>
      <c r="Q200" s="492"/>
      <c r="R200" s="523"/>
      <c r="S200" s="492"/>
      <c r="T200" s="532"/>
      <c r="U200" s="532"/>
      <c r="V200" s="493"/>
      <c r="W200" s="493"/>
      <c r="X200" s="536"/>
      <c r="Y200" s="536"/>
      <c r="Z200" s="523"/>
    </row>
    <row r="201" spans="1:26" x14ac:dyDescent="0.2">
      <c r="A201" s="508" t="s">
        <v>1565</v>
      </c>
      <c r="B201" s="498" t="s">
        <v>1077</v>
      </c>
      <c r="C201" s="496" t="s">
        <v>327</v>
      </c>
      <c r="D201" s="496" t="s">
        <v>1074</v>
      </c>
      <c r="E201" s="496" t="s">
        <v>1074</v>
      </c>
      <c r="F201" s="517" t="s">
        <v>1075</v>
      </c>
      <c r="G201" s="559"/>
      <c r="H201" s="560"/>
      <c r="I201" s="490"/>
      <c r="J201" s="490"/>
      <c r="K201" s="515"/>
      <c r="L201" s="491"/>
      <c r="M201" s="491"/>
      <c r="N201" s="529" t="s">
        <v>1041</v>
      </c>
      <c r="O201" s="540"/>
      <c r="P201" s="492"/>
      <c r="Q201" s="492"/>
      <c r="R201" s="523"/>
      <c r="S201" s="492"/>
      <c r="T201" s="532"/>
      <c r="U201" s="532"/>
      <c r="V201" s="493"/>
      <c r="W201" s="493"/>
      <c r="X201" s="536"/>
      <c r="Y201" s="536"/>
      <c r="Z201" s="523"/>
    </row>
    <row r="202" spans="1:26" x14ac:dyDescent="0.2">
      <c r="A202" s="508" t="s">
        <v>1566</v>
      </c>
      <c r="B202" s="495" t="s">
        <v>1567</v>
      </c>
      <c r="C202" s="496" t="s">
        <v>327</v>
      </c>
      <c r="D202" s="496" t="s">
        <v>1074</v>
      </c>
      <c r="E202" s="496" t="s">
        <v>1074</v>
      </c>
      <c r="F202" s="517" t="s">
        <v>1075</v>
      </c>
      <c r="G202" s="559"/>
      <c r="H202" s="560"/>
      <c r="I202" s="490"/>
      <c r="J202" s="490"/>
      <c r="K202" s="515"/>
      <c r="L202" s="491"/>
      <c r="M202" s="491"/>
      <c r="N202" s="529" t="s">
        <v>1041</v>
      </c>
      <c r="O202" s="540"/>
      <c r="P202" s="492"/>
      <c r="Q202" s="492"/>
      <c r="R202" s="523"/>
      <c r="S202" s="492"/>
      <c r="T202" s="532"/>
      <c r="U202" s="532"/>
      <c r="V202" s="493"/>
      <c r="W202" s="493"/>
      <c r="X202" s="536"/>
      <c r="Y202" s="536"/>
      <c r="Z202" s="523"/>
    </row>
    <row r="203" spans="1:26" x14ac:dyDescent="0.2">
      <c r="A203" s="508" t="s">
        <v>1568</v>
      </c>
      <c r="B203" s="495" t="s">
        <v>1569</v>
      </c>
      <c r="C203" s="496" t="s">
        <v>327</v>
      </c>
      <c r="D203" s="496" t="s">
        <v>1209</v>
      </c>
      <c r="E203" s="496" t="s">
        <v>1570</v>
      </c>
      <c r="F203" s="517" t="s">
        <v>1571</v>
      </c>
      <c r="G203" s="559"/>
      <c r="H203" s="560"/>
      <c r="I203" s="490"/>
      <c r="J203" s="490"/>
      <c r="K203" s="515"/>
      <c r="L203" s="491"/>
      <c r="M203" s="491"/>
      <c r="N203" s="529" t="s">
        <v>1041</v>
      </c>
      <c r="O203" s="540"/>
      <c r="P203" s="492"/>
      <c r="Q203" s="492"/>
      <c r="R203" s="523"/>
      <c r="S203" s="492"/>
      <c r="T203" s="532"/>
      <c r="U203" s="532"/>
      <c r="V203" s="493"/>
      <c r="W203" s="493"/>
      <c r="X203" s="536"/>
      <c r="Y203" s="536"/>
      <c r="Z203" s="523"/>
    </row>
    <row r="204" spans="1:26" x14ac:dyDescent="0.2">
      <c r="A204" s="508" t="s">
        <v>1572</v>
      </c>
      <c r="B204" s="498" t="s">
        <v>1573</v>
      </c>
      <c r="C204" s="496" t="s">
        <v>327</v>
      </c>
      <c r="D204" s="496" t="s">
        <v>1209</v>
      </c>
      <c r="E204" s="496" t="s">
        <v>1574</v>
      </c>
      <c r="F204" s="517" t="s">
        <v>1575</v>
      </c>
      <c r="G204" s="559">
        <v>0.76902111147041163</v>
      </c>
      <c r="H204" s="560">
        <v>0.38587333117753037</v>
      </c>
      <c r="I204" s="490"/>
      <c r="J204" s="490"/>
      <c r="K204" s="515"/>
      <c r="L204" s="491">
        <v>10000</v>
      </c>
      <c r="M204" s="491">
        <v>60000</v>
      </c>
      <c r="N204" s="529" t="s">
        <v>327</v>
      </c>
      <c r="O204" s="540"/>
      <c r="P204" s="492"/>
      <c r="Q204" s="492"/>
      <c r="R204" s="523"/>
      <c r="S204" s="492" t="s">
        <v>215</v>
      </c>
      <c r="T204" s="532" t="s">
        <v>1673</v>
      </c>
      <c r="U204" s="532"/>
      <c r="V204" s="493">
        <v>1000</v>
      </c>
      <c r="W204" s="493">
        <v>100000000</v>
      </c>
      <c r="X204" s="536">
        <v>0</v>
      </c>
      <c r="Y204" s="536">
        <v>1000</v>
      </c>
      <c r="Z204" s="523" t="s">
        <v>1576</v>
      </c>
    </row>
    <row r="205" spans="1:26" x14ac:dyDescent="0.2">
      <c r="A205" s="508" t="s">
        <v>1577</v>
      </c>
      <c r="B205" s="498" t="s">
        <v>1578</v>
      </c>
      <c r="C205" s="496" t="s">
        <v>327</v>
      </c>
      <c r="D205" s="496" t="s">
        <v>1096</v>
      </c>
      <c r="E205" s="496" t="s">
        <v>885</v>
      </c>
      <c r="F205" s="517" t="s">
        <v>1579</v>
      </c>
      <c r="G205" s="559">
        <v>0.28104105255589906</v>
      </c>
      <c r="H205" s="560">
        <v>0.79739736861025234</v>
      </c>
      <c r="I205" s="490"/>
      <c r="J205" s="490"/>
      <c r="K205" s="515"/>
      <c r="L205" s="491">
        <v>10000</v>
      </c>
      <c r="M205" s="491">
        <v>25000</v>
      </c>
      <c r="N205" s="529" t="s">
        <v>327</v>
      </c>
      <c r="O205" s="540"/>
      <c r="P205" s="492"/>
      <c r="Q205" s="492"/>
      <c r="R205" s="523"/>
      <c r="S205" s="492" t="s">
        <v>213</v>
      </c>
      <c r="T205" s="532" t="s">
        <v>1673</v>
      </c>
      <c r="U205" s="532"/>
      <c r="V205" s="493">
        <v>1000</v>
      </c>
      <c r="W205" s="493">
        <v>100000000</v>
      </c>
      <c r="X205" s="536">
        <v>0</v>
      </c>
      <c r="Y205" s="536">
        <v>1000</v>
      </c>
      <c r="Z205" s="523" t="s">
        <v>1052</v>
      </c>
    </row>
    <row r="206" spans="1:26" x14ac:dyDescent="0.2">
      <c r="A206" s="508" t="s">
        <v>1580</v>
      </c>
      <c r="B206" s="498" t="s">
        <v>1581</v>
      </c>
      <c r="C206" s="496" t="s">
        <v>327</v>
      </c>
      <c r="D206" s="496" t="s">
        <v>1087</v>
      </c>
      <c r="E206" s="496" t="s">
        <v>1582</v>
      </c>
      <c r="F206" s="517" t="s">
        <v>1583</v>
      </c>
      <c r="G206" s="559"/>
      <c r="H206" s="560"/>
      <c r="I206" s="490"/>
      <c r="J206" s="490"/>
      <c r="K206" s="515"/>
      <c r="L206" s="491"/>
      <c r="M206" s="491"/>
      <c r="N206" s="529" t="s">
        <v>1041</v>
      </c>
      <c r="O206" s="540"/>
      <c r="P206" s="492"/>
      <c r="Q206" s="492"/>
      <c r="R206" s="523"/>
      <c r="S206" s="492" t="s">
        <v>214</v>
      </c>
      <c r="T206" s="532" t="s">
        <v>1673</v>
      </c>
      <c r="U206" s="532"/>
      <c r="V206" s="493">
        <v>1000</v>
      </c>
      <c r="W206" s="493">
        <v>100000000</v>
      </c>
      <c r="X206" s="536">
        <v>0</v>
      </c>
      <c r="Y206" s="536">
        <v>1000</v>
      </c>
      <c r="Z206" s="523" t="s">
        <v>1052</v>
      </c>
    </row>
    <row r="207" spans="1:26" x14ac:dyDescent="0.2">
      <c r="A207" s="508" t="s">
        <v>1584</v>
      </c>
      <c r="B207" s="498" t="s">
        <v>1077</v>
      </c>
      <c r="C207" s="496" t="s">
        <v>327</v>
      </c>
      <c r="D207" s="496" t="s">
        <v>1096</v>
      </c>
      <c r="E207" s="496" t="s">
        <v>868</v>
      </c>
      <c r="F207" s="517" t="s">
        <v>1585</v>
      </c>
      <c r="G207" s="559"/>
      <c r="H207" s="560"/>
      <c r="I207" s="490"/>
      <c r="J207" s="490"/>
      <c r="K207" s="515"/>
      <c r="L207" s="491"/>
      <c r="M207" s="491"/>
      <c r="N207" s="529" t="s">
        <v>1041</v>
      </c>
      <c r="O207" s="540"/>
      <c r="P207" s="492"/>
      <c r="Q207" s="492"/>
      <c r="R207" s="523"/>
      <c r="S207" s="492"/>
      <c r="T207" s="532"/>
      <c r="U207" s="532"/>
      <c r="V207" s="493"/>
      <c r="W207" s="493"/>
      <c r="X207" s="492"/>
      <c r="Y207" s="492"/>
      <c r="Z207" s="523"/>
    </row>
    <row r="208" spans="1:26" x14ac:dyDescent="0.2">
      <c r="A208" s="508" t="s">
        <v>1586</v>
      </c>
      <c r="B208" s="495" t="s">
        <v>1587</v>
      </c>
      <c r="C208" s="496" t="s">
        <v>327</v>
      </c>
      <c r="D208" s="496" t="s">
        <v>1119</v>
      </c>
      <c r="E208" s="496" t="s">
        <v>872</v>
      </c>
      <c r="F208" s="517" t="s">
        <v>1588</v>
      </c>
      <c r="G208" s="559"/>
      <c r="H208" s="560"/>
      <c r="I208" s="490"/>
      <c r="J208" s="490"/>
      <c r="K208" s="515"/>
      <c r="L208" s="491"/>
      <c r="M208" s="491"/>
      <c r="N208" s="529" t="s">
        <v>1041</v>
      </c>
      <c r="O208" s="540"/>
      <c r="P208" s="492"/>
      <c r="Q208" s="492"/>
      <c r="R208" s="523"/>
      <c r="S208" s="492"/>
      <c r="T208" s="532"/>
      <c r="U208" s="532"/>
      <c r="V208" s="493"/>
      <c r="W208" s="493"/>
      <c r="X208" s="492"/>
      <c r="Y208" s="492"/>
      <c r="Z208" s="523"/>
    </row>
    <row r="209" spans="1:26" x14ac:dyDescent="0.2">
      <c r="A209" s="508"/>
      <c r="B209" s="495"/>
      <c r="C209" s="496"/>
      <c r="D209" s="496"/>
      <c r="E209" s="496"/>
      <c r="F209" s="517"/>
      <c r="G209" s="559"/>
      <c r="H209" s="560"/>
      <c r="I209" s="490"/>
      <c r="J209" s="490"/>
      <c r="K209" s="515"/>
      <c r="L209" s="491"/>
      <c r="M209" s="491"/>
      <c r="N209" s="529"/>
      <c r="O209" s="540"/>
      <c r="P209" s="492"/>
      <c r="Q209" s="492"/>
      <c r="R209" s="523"/>
      <c r="S209" s="492"/>
      <c r="T209" s="532"/>
      <c r="U209" s="532"/>
      <c r="V209" s="493"/>
      <c r="W209" s="493"/>
      <c r="X209" s="492"/>
      <c r="Y209" s="492"/>
      <c r="Z209" s="523"/>
    </row>
    <row r="210" spans="1:26" x14ac:dyDescent="0.2">
      <c r="A210" s="509" t="s">
        <v>1589</v>
      </c>
      <c r="B210" s="499" t="s">
        <v>1590</v>
      </c>
      <c r="C210" s="500" t="s">
        <v>1591</v>
      </c>
      <c r="D210" s="496"/>
      <c r="E210" s="496"/>
      <c r="F210" s="517"/>
      <c r="G210" s="559"/>
      <c r="H210" s="560"/>
      <c r="I210" s="490"/>
      <c r="J210" s="490"/>
      <c r="K210" s="515"/>
      <c r="L210" s="497"/>
      <c r="M210" s="492"/>
      <c r="N210" s="529" t="s">
        <v>1041</v>
      </c>
      <c r="O210" s="540"/>
      <c r="P210" s="492"/>
      <c r="Q210" s="492"/>
      <c r="R210" s="523"/>
      <c r="S210" s="492"/>
      <c r="T210" s="532"/>
      <c r="U210" s="532"/>
      <c r="V210" s="537"/>
      <c r="W210" s="493"/>
      <c r="X210" s="492"/>
      <c r="Y210" s="492"/>
      <c r="Z210" s="523"/>
    </row>
    <row r="211" spans="1:26" x14ac:dyDescent="0.2">
      <c r="A211" s="508" t="s">
        <v>1592</v>
      </c>
      <c r="B211" s="495" t="s">
        <v>1593</v>
      </c>
      <c r="C211" s="496" t="s">
        <v>1591</v>
      </c>
      <c r="D211" s="496" t="s">
        <v>873</v>
      </c>
      <c r="E211" s="496" t="s">
        <v>1594</v>
      </c>
      <c r="F211" s="517"/>
      <c r="G211" s="559"/>
      <c r="H211" s="560"/>
      <c r="I211" s="490"/>
      <c r="J211" s="490"/>
      <c r="K211" s="515"/>
      <c r="L211" s="494"/>
      <c r="M211" s="492"/>
      <c r="N211" s="529" t="s">
        <v>1041</v>
      </c>
      <c r="O211" s="540"/>
      <c r="P211" s="492"/>
      <c r="Q211" s="492"/>
      <c r="R211" s="523"/>
      <c r="S211" s="492"/>
      <c r="T211" s="532"/>
      <c r="U211" s="532"/>
      <c r="V211" s="538"/>
      <c r="W211" s="493"/>
      <c r="X211" s="492"/>
      <c r="Y211" s="492"/>
      <c r="Z211" s="523"/>
    </row>
    <row r="212" spans="1:26" x14ac:dyDescent="0.2">
      <c r="A212" s="508" t="s">
        <v>1595</v>
      </c>
      <c r="B212" s="495" t="s">
        <v>1596</v>
      </c>
      <c r="C212" s="496" t="s">
        <v>1591</v>
      </c>
      <c r="D212" s="496" t="s">
        <v>880</v>
      </c>
      <c r="E212" s="496" t="s">
        <v>1597</v>
      </c>
      <c r="F212" s="517"/>
      <c r="G212" s="559"/>
      <c r="H212" s="560"/>
      <c r="I212" s="490"/>
      <c r="J212" s="490"/>
      <c r="K212" s="515"/>
      <c r="L212" s="494"/>
      <c r="M212" s="492"/>
      <c r="N212" s="529" t="s">
        <v>1041</v>
      </c>
      <c r="O212" s="540"/>
      <c r="P212" s="492"/>
      <c r="Q212" s="492"/>
      <c r="R212" s="523"/>
      <c r="S212" s="492"/>
      <c r="T212" s="532"/>
      <c r="U212" s="532"/>
      <c r="V212" s="538"/>
      <c r="W212" s="493"/>
      <c r="X212" s="492"/>
      <c r="Y212" s="492"/>
      <c r="Z212" s="523"/>
    </row>
    <row r="213" spans="1:26" x14ac:dyDescent="0.2">
      <c r="A213" s="508" t="s">
        <v>1598</v>
      </c>
      <c r="B213" s="495" t="s">
        <v>1599</v>
      </c>
      <c r="C213" s="496" t="s">
        <v>1591</v>
      </c>
      <c r="D213" s="496" t="s">
        <v>879</v>
      </c>
      <c r="E213" s="496" t="s">
        <v>1600</v>
      </c>
      <c r="F213" s="517"/>
      <c r="G213" s="559"/>
      <c r="H213" s="560"/>
      <c r="I213" s="490"/>
      <c r="J213" s="490"/>
      <c r="K213" s="515"/>
      <c r="L213" s="494"/>
      <c r="M213" s="492"/>
      <c r="N213" s="529" t="s">
        <v>1041</v>
      </c>
      <c r="O213" s="540"/>
      <c r="P213" s="492"/>
      <c r="Q213" s="492"/>
      <c r="R213" s="523"/>
      <c r="S213" s="492"/>
      <c r="T213" s="532"/>
      <c r="U213" s="532"/>
      <c r="V213" s="538"/>
      <c r="W213" s="493"/>
      <c r="X213" s="492"/>
      <c r="Y213" s="492"/>
      <c r="Z213" s="523"/>
    </row>
    <row r="214" spans="1:26" x14ac:dyDescent="0.2">
      <c r="A214" s="508" t="s">
        <v>1601</v>
      </c>
      <c r="B214" s="498" t="s">
        <v>1602</v>
      </c>
      <c r="C214" s="496" t="s">
        <v>1591</v>
      </c>
      <c r="D214" s="496" t="s">
        <v>879</v>
      </c>
      <c r="E214" s="496" t="s">
        <v>1603</v>
      </c>
      <c r="F214" s="517"/>
      <c r="G214" s="559"/>
      <c r="H214" s="560"/>
      <c r="I214" s="490"/>
      <c r="J214" s="490"/>
      <c r="K214" s="515"/>
      <c r="L214" s="494"/>
      <c r="M214" s="492"/>
      <c r="N214" s="529" t="s">
        <v>1041</v>
      </c>
      <c r="O214" s="540"/>
      <c r="P214" s="492"/>
      <c r="Q214" s="492"/>
      <c r="R214" s="523"/>
      <c r="S214" s="492"/>
      <c r="T214" s="532"/>
      <c r="U214" s="532"/>
      <c r="V214" s="538"/>
      <c r="W214" s="493"/>
      <c r="X214" s="492"/>
      <c r="Y214" s="492"/>
      <c r="Z214" s="523"/>
    </row>
    <row r="215" spans="1:26" x14ac:dyDescent="0.2">
      <c r="A215" s="508" t="s">
        <v>1604</v>
      </c>
      <c r="B215" s="498" t="s">
        <v>1605</v>
      </c>
      <c r="C215" s="496" t="s">
        <v>1591</v>
      </c>
      <c r="D215" s="496" t="s">
        <v>863</v>
      </c>
      <c r="E215" s="496" t="s">
        <v>1606</v>
      </c>
      <c r="F215" s="517"/>
      <c r="G215" s="559"/>
      <c r="H215" s="560"/>
      <c r="I215" s="490"/>
      <c r="J215" s="490"/>
      <c r="K215" s="515"/>
      <c r="L215" s="494"/>
      <c r="M215" s="492"/>
      <c r="N215" s="529" t="s">
        <v>1041</v>
      </c>
      <c r="O215" s="540"/>
      <c r="P215" s="492"/>
      <c r="Q215" s="492"/>
      <c r="R215" s="523"/>
      <c r="S215" s="492"/>
      <c r="T215" s="532"/>
      <c r="U215" s="532"/>
      <c r="V215" s="538"/>
      <c r="W215" s="493"/>
      <c r="X215" s="492"/>
      <c r="Y215" s="492"/>
      <c r="Z215" s="523"/>
    </row>
    <row r="216" spans="1:26" x14ac:dyDescent="0.2">
      <c r="A216" s="508" t="s">
        <v>1607</v>
      </c>
      <c r="B216" s="498" t="s">
        <v>1608</v>
      </c>
      <c r="C216" s="496" t="s">
        <v>1591</v>
      </c>
      <c r="D216" s="496" t="s">
        <v>1087</v>
      </c>
      <c r="E216" s="496" t="s">
        <v>1609</v>
      </c>
      <c r="F216" s="517"/>
      <c r="G216" s="559"/>
      <c r="H216" s="560"/>
      <c r="I216" s="490"/>
      <c r="J216" s="490"/>
      <c r="K216" s="515"/>
      <c r="L216" s="494"/>
      <c r="M216" s="492"/>
      <c r="N216" s="529" t="s">
        <v>1041</v>
      </c>
      <c r="O216" s="540"/>
      <c r="P216" s="492"/>
      <c r="Q216" s="492"/>
      <c r="R216" s="523"/>
      <c r="S216" s="492"/>
      <c r="T216" s="532"/>
      <c r="U216" s="532"/>
      <c r="V216" s="538"/>
      <c r="W216" s="493"/>
      <c r="X216" s="492"/>
      <c r="Y216" s="492"/>
      <c r="Z216" s="523"/>
    </row>
    <row r="217" spans="1:26" x14ac:dyDescent="0.2">
      <c r="A217" s="508" t="s">
        <v>1610</v>
      </c>
      <c r="B217" s="498" t="s">
        <v>1077</v>
      </c>
      <c r="C217" s="496" t="s">
        <v>1591</v>
      </c>
      <c r="D217" s="496" t="s">
        <v>1119</v>
      </c>
      <c r="E217" s="496" t="s">
        <v>1611</v>
      </c>
      <c r="F217" s="517"/>
      <c r="G217" s="559"/>
      <c r="H217" s="560"/>
      <c r="I217" s="490"/>
      <c r="J217" s="490"/>
      <c r="K217" s="515"/>
      <c r="L217" s="494"/>
      <c r="M217" s="492"/>
      <c r="N217" s="529" t="s">
        <v>1041</v>
      </c>
      <c r="O217" s="540"/>
      <c r="P217" s="492"/>
      <c r="Q217" s="492"/>
      <c r="R217" s="523"/>
      <c r="S217" s="492"/>
      <c r="T217" s="532"/>
      <c r="U217" s="532"/>
      <c r="V217" s="538"/>
      <c r="W217" s="493"/>
      <c r="X217" s="492"/>
      <c r="Y217" s="492"/>
      <c r="Z217" s="523"/>
    </row>
    <row r="218" spans="1:26" x14ac:dyDescent="0.2">
      <c r="A218" s="508" t="s">
        <v>1612</v>
      </c>
      <c r="B218" s="495" t="s">
        <v>1613</v>
      </c>
      <c r="C218" s="496" t="s">
        <v>1591</v>
      </c>
      <c r="D218" s="496" t="s">
        <v>882</v>
      </c>
      <c r="E218" s="496" t="s">
        <v>1614</v>
      </c>
      <c r="F218" s="517"/>
      <c r="G218" s="559"/>
      <c r="H218" s="560"/>
      <c r="I218" s="490"/>
      <c r="J218" s="490"/>
      <c r="K218" s="515"/>
      <c r="L218" s="494"/>
      <c r="M218" s="492"/>
      <c r="N218" s="529" t="s">
        <v>1041</v>
      </c>
      <c r="O218" s="540"/>
      <c r="P218" s="492"/>
      <c r="Q218" s="492"/>
      <c r="R218" s="523"/>
      <c r="S218" s="492"/>
      <c r="T218" s="532"/>
      <c r="U218" s="532"/>
      <c r="V218" s="538"/>
      <c r="W218" s="493"/>
      <c r="X218" s="492"/>
      <c r="Y218" s="492"/>
      <c r="Z218" s="523"/>
    </row>
    <row r="219" spans="1:26" x14ac:dyDescent="0.2">
      <c r="A219" s="508" t="s">
        <v>1615</v>
      </c>
      <c r="B219" s="495" t="s">
        <v>1616</v>
      </c>
      <c r="C219" s="496" t="s">
        <v>1591</v>
      </c>
      <c r="D219" s="496" t="s">
        <v>871</v>
      </c>
      <c r="E219" s="496" t="s">
        <v>1617</v>
      </c>
      <c r="F219" s="517"/>
      <c r="G219" s="559"/>
      <c r="H219" s="560"/>
      <c r="I219" s="490"/>
      <c r="J219" s="490"/>
      <c r="K219" s="515"/>
      <c r="L219" s="494"/>
      <c r="M219" s="492"/>
      <c r="N219" s="529" t="s">
        <v>1041</v>
      </c>
      <c r="O219" s="540"/>
      <c r="P219" s="492"/>
      <c r="Q219" s="492"/>
      <c r="R219" s="523"/>
      <c r="S219" s="492"/>
      <c r="T219" s="532"/>
      <c r="U219" s="532"/>
      <c r="V219" s="538"/>
      <c r="W219" s="493"/>
      <c r="X219" s="492"/>
      <c r="Y219" s="492"/>
      <c r="Z219" s="523"/>
    </row>
    <row r="220" spans="1:26" x14ac:dyDescent="0.2">
      <c r="A220" s="508" t="s">
        <v>1618</v>
      </c>
      <c r="B220" s="495" t="s">
        <v>1619</v>
      </c>
      <c r="C220" s="496" t="s">
        <v>1591</v>
      </c>
      <c r="D220" s="496" t="s">
        <v>1181</v>
      </c>
      <c r="E220" s="496" t="s">
        <v>1620</v>
      </c>
      <c r="F220" s="517"/>
      <c r="G220" s="559"/>
      <c r="H220" s="560"/>
      <c r="I220" s="490"/>
      <c r="J220" s="490"/>
      <c r="K220" s="515"/>
      <c r="L220" s="494"/>
      <c r="M220" s="492"/>
      <c r="N220" s="529" t="s">
        <v>1041</v>
      </c>
      <c r="O220" s="540"/>
      <c r="P220" s="492"/>
      <c r="Q220" s="492"/>
      <c r="R220" s="523"/>
      <c r="S220" s="492"/>
      <c r="T220" s="532"/>
      <c r="U220" s="532"/>
      <c r="V220" s="538"/>
      <c r="W220" s="493"/>
      <c r="X220" s="492"/>
      <c r="Y220" s="492"/>
      <c r="Z220" s="523"/>
    </row>
    <row r="221" spans="1:26" x14ac:dyDescent="0.2">
      <c r="A221" s="508" t="s">
        <v>1621</v>
      </c>
      <c r="B221" s="495" t="s">
        <v>1622</v>
      </c>
      <c r="C221" s="496" t="s">
        <v>1591</v>
      </c>
      <c r="D221" s="496" t="s">
        <v>1096</v>
      </c>
      <c r="E221" s="496" t="s">
        <v>1623</v>
      </c>
      <c r="F221" s="517"/>
      <c r="G221" s="559"/>
      <c r="H221" s="560"/>
      <c r="I221" s="490"/>
      <c r="J221" s="490"/>
      <c r="K221" s="515"/>
      <c r="L221" s="494"/>
      <c r="M221" s="492"/>
      <c r="N221" s="529" t="s">
        <v>1041</v>
      </c>
      <c r="O221" s="540"/>
      <c r="P221" s="492"/>
      <c r="Q221" s="492"/>
      <c r="R221" s="523"/>
      <c r="S221" s="492"/>
      <c r="T221" s="532"/>
      <c r="U221" s="532"/>
      <c r="V221" s="538"/>
      <c r="W221" s="493"/>
      <c r="X221" s="492"/>
      <c r="Y221" s="492"/>
      <c r="Z221" s="523"/>
    </row>
    <row r="222" spans="1:26" x14ac:dyDescent="0.2">
      <c r="A222" s="508" t="s">
        <v>1624</v>
      </c>
      <c r="B222" s="495" t="s">
        <v>1625</v>
      </c>
      <c r="C222" s="496" t="s">
        <v>1591</v>
      </c>
      <c r="D222" s="496" t="s">
        <v>867</v>
      </c>
      <c r="E222" s="496" t="s">
        <v>1600</v>
      </c>
      <c r="F222" s="517"/>
      <c r="G222" s="559"/>
      <c r="H222" s="560"/>
      <c r="I222" s="490"/>
      <c r="J222" s="490"/>
      <c r="K222" s="515"/>
      <c r="L222" s="494"/>
      <c r="M222" s="492"/>
      <c r="N222" s="529" t="s">
        <v>1041</v>
      </c>
      <c r="O222" s="540"/>
      <c r="P222" s="492"/>
      <c r="Q222" s="492"/>
      <c r="R222" s="523"/>
      <c r="S222" s="492"/>
      <c r="T222" s="532"/>
      <c r="U222" s="532"/>
      <c r="V222" s="538"/>
      <c r="W222" s="493"/>
      <c r="X222" s="492"/>
      <c r="Y222" s="492"/>
      <c r="Z222" s="523"/>
    </row>
    <row r="223" spans="1:26" x14ac:dyDescent="0.2">
      <c r="A223" s="508" t="s">
        <v>1626</v>
      </c>
      <c r="B223" s="498" t="s">
        <v>1627</v>
      </c>
      <c r="C223" s="496" t="s">
        <v>1591</v>
      </c>
      <c r="D223" s="496" t="s">
        <v>1119</v>
      </c>
      <c r="E223" s="496" t="s">
        <v>1628</v>
      </c>
      <c r="F223" s="517"/>
      <c r="G223" s="559"/>
      <c r="H223" s="560"/>
      <c r="I223" s="490"/>
      <c r="J223" s="490"/>
      <c r="K223" s="515"/>
      <c r="L223" s="494"/>
      <c r="M223" s="492"/>
      <c r="N223" s="529" t="s">
        <v>1041</v>
      </c>
      <c r="O223" s="540"/>
      <c r="P223" s="492"/>
      <c r="Q223" s="492"/>
      <c r="R223" s="523"/>
      <c r="S223" s="492"/>
      <c r="T223" s="532"/>
      <c r="U223" s="532"/>
      <c r="V223" s="538"/>
      <c r="W223" s="493"/>
      <c r="X223" s="492"/>
      <c r="Y223" s="492"/>
      <c r="Z223" s="523"/>
    </row>
    <row r="224" spans="1:26" x14ac:dyDescent="0.2">
      <c r="A224" s="508" t="s">
        <v>1629</v>
      </c>
      <c r="B224" s="498" t="s">
        <v>1630</v>
      </c>
      <c r="C224" s="496" t="s">
        <v>1591</v>
      </c>
      <c r="D224" s="496" t="s">
        <v>1082</v>
      </c>
      <c r="E224" s="496" t="s">
        <v>1631</v>
      </c>
      <c r="F224" s="517"/>
      <c r="G224" s="559"/>
      <c r="H224" s="560"/>
      <c r="I224" s="490"/>
      <c r="J224" s="490"/>
      <c r="K224" s="515"/>
      <c r="L224" s="494"/>
      <c r="M224" s="492"/>
      <c r="N224" s="529" t="s">
        <v>1041</v>
      </c>
      <c r="O224" s="540"/>
      <c r="P224" s="492"/>
      <c r="Q224" s="492"/>
      <c r="R224" s="523"/>
      <c r="S224" s="492"/>
      <c r="T224" s="532"/>
      <c r="U224" s="532"/>
      <c r="V224" s="538"/>
      <c r="W224" s="493"/>
      <c r="X224" s="492"/>
      <c r="Y224" s="492"/>
      <c r="Z224" s="523"/>
    </row>
    <row r="225" spans="1:26" x14ac:dyDescent="0.2">
      <c r="A225" s="508" t="s">
        <v>1632</v>
      </c>
      <c r="B225" s="498" t="s">
        <v>1633</v>
      </c>
      <c r="C225" s="496" t="s">
        <v>1591</v>
      </c>
      <c r="D225" s="496" t="s">
        <v>867</v>
      </c>
      <c r="E225" s="496" t="s">
        <v>1634</v>
      </c>
      <c r="F225" s="517"/>
      <c r="G225" s="559"/>
      <c r="H225" s="560"/>
      <c r="I225" s="490"/>
      <c r="J225" s="490"/>
      <c r="K225" s="515"/>
      <c r="L225" s="494"/>
      <c r="M225" s="492"/>
      <c r="N225" s="529" t="s">
        <v>1041</v>
      </c>
      <c r="O225" s="540"/>
      <c r="P225" s="492"/>
      <c r="Q225" s="492"/>
      <c r="R225" s="523"/>
      <c r="S225" s="492"/>
      <c r="T225" s="532"/>
      <c r="U225" s="532"/>
      <c r="V225" s="538"/>
      <c r="W225" s="493"/>
      <c r="X225" s="492"/>
      <c r="Y225" s="492"/>
      <c r="Z225" s="523"/>
    </row>
    <row r="226" spans="1:26" x14ac:dyDescent="0.2">
      <c r="A226" s="508" t="s">
        <v>1635</v>
      </c>
      <c r="B226" s="498" t="s">
        <v>1636</v>
      </c>
      <c r="C226" s="496" t="s">
        <v>1591</v>
      </c>
      <c r="D226" s="496" t="s">
        <v>1074</v>
      </c>
      <c r="E226" s="496" t="s">
        <v>1600</v>
      </c>
      <c r="F226" s="517"/>
      <c r="G226" s="559"/>
      <c r="H226" s="560"/>
      <c r="I226" s="490"/>
      <c r="J226" s="490"/>
      <c r="K226" s="515"/>
      <c r="L226" s="494"/>
      <c r="M226" s="492"/>
      <c r="N226" s="529" t="s">
        <v>1041</v>
      </c>
      <c r="O226" s="540"/>
      <c r="P226" s="492"/>
      <c r="Q226" s="492"/>
      <c r="R226" s="523"/>
      <c r="S226" s="492"/>
      <c r="T226" s="532"/>
      <c r="U226" s="532"/>
      <c r="V226" s="538"/>
      <c r="W226" s="493"/>
      <c r="X226" s="492"/>
      <c r="Y226" s="492"/>
      <c r="Z226" s="523"/>
    </row>
    <row r="227" spans="1:26" x14ac:dyDescent="0.2">
      <c r="A227" s="508" t="s">
        <v>1637</v>
      </c>
      <c r="B227" s="498" t="s">
        <v>1077</v>
      </c>
      <c r="C227" s="496" t="s">
        <v>1591</v>
      </c>
      <c r="D227" s="496" t="s">
        <v>1064</v>
      </c>
      <c r="E227" s="496" t="s">
        <v>1638</v>
      </c>
      <c r="F227" s="517"/>
      <c r="G227" s="559"/>
      <c r="H227" s="560"/>
      <c r="I227" s="490"/>
      <c r="J227" s="490"/>
      <c r="K227" s="515"/>
      <c r="L227" s="494"/>
      <c r="M227" s="492"/>
      <c r="N227" s="529" t="s">
        <v>1041</v>
      </c>
      <c r="O227" s="540"/>
      <c r="P227" s="492"/>
      <c r="Q227" s="492"/>
      <c r="R227" s="523"/>
      <c r="S227" s="492"/>
      <c r="T227" s="532"/>
      <c r="U227" s="532"/>
      <c r="V227" s="538"/>
      <c r="W227" s="493"/>
      <c r="X227" s="492"/>
      <c r="Y227" s="492"/>
      <c r="Z227" s="523"/>
    </row>
    <row r="228" spans="1:26" ht="12" thickBot="1" x14ac:dyDescent="0.25">
      <c r="A228" s="510" t="s">
        <v>1639</v>
      </c>
      <c r="B228" s="511" t="s">
        <v>1640</v>
      </c>
      <c r="C228" s="512" t="s">
        <v>1591</v>
      </c>
      <c r="D228" s="512" t="s">
        <v>865</v>
      </c>
      <c r="E228" s="512" t="s">
        <v>1641</v>
      </c>
      <c r="F228" s="519"/>
      <c r="G228" s="561"/>
      <c r="H228" s="562"/>
      <c r="I228" s="555"/>
      <c r="J228" s="555"/>
      <c r="K228" s="524"/>
      <c r="L228" s="525"/>
      <c r="M228" s="526"/>
      <c r="N228" s="530" t="s">
        <v>1041</v>
      </c>
      <c r="O228" s="552"/>
      <c r="P228" s="526"/>
      <c r="Q228" s="526"/>
      <c r="R228" s="527"/>
      <c r="S228" s="526"/>
      <c r="T228" s="550"/>
      <c r="U228" s="550"/>
      <c r="V228" s="542"/>
      <c r="W228" s="543"/>
      <c r="X228" s="526"/>
      <c r="Y228" s="526"/>
      <c r="Z228" s="527"/>
    </row>
    <row r="229" spans="1:26" x14ac:dyDescent="0.2">
      <c r="G229" s="520"/>
      <c r="H229" s="520"/>
      <c r="I229" s="488"/>
      <c r="J229" s="488"/>
      <c r="K229" s="488"/>
    </row>
    <row r="230" spans="1:26" x14ac:dyDescent="0.2">
      <c r="B230" s="476" t="s">
        <v>1642</v>
      </c>
      <c r="G230" s="490"/>
      <c r="H230" s="490"/>
      <c r="I230" s="488"/>
      <c r="J230" s="488"/>
      <c r="K230" s="488"/>
    </row>
    <row r="231" spans="1:26" x14ac:dyDescent="0.2">
      <c r="B231" s="477" t="s">
        <v>1643</v>
      </c>
      <c r="C231" s="477" t="s">
        <v>138</v>
      </c>
      <c r="E231" s="478">
        <v>530</v>
      </c>
      <c r="F231" s="485">
        <v>742328</v>
      </c>
      <c r="G231" s="490">
        <v>0.46115463784203209</v>
      </c>
      <c r="H231" s="490">
        <v>0.61653608647390368</v>
      </c>
      <c r="I231" s="490">
        <f>1-G231</f>
        <v>0.53884536215796786</v>
      </c>
      <c r="J231" s="490">
        <f>1+H231</f>
        <v>1.6165360864739036</v>
      </c>
      <c r="K231" s="584">
        <v>-2</v>
      </c>
      <c r="L231" s="486">
        <f t="shared" ref="L231:L244" si="11">ROUND($F231*$I231,$K231)</f>
        <v>400000</v>
      </c>
      <c r="M231" s="486">
        <f t="shared" ref="M231:M244" si="12">ROUND($F231*$J231,$K231)</f>
        <v>1200000</v>
      </c>
      <c r="N231" s="487"/>
      <c r="O231" s="487"/>
      <c r="P231" s="487"/>
      <c r="Q231" s="487"/>
      <c r="R231" s="487"/>
      <c r="S231" s="487" t="s">
        <v>380</v>
      </c>
      <c r="T231" s="477" t="s">
        <v>13</v>
      </c>
      <c r="V231" s="485">
        <v>250000</v>
      </c>
      <c r="W231" s="485">
        <v>500000</v>
      </c>
    </row>
    <row r="232" spans="1:26" x14ac:dyDescent="0.2">
      <c r="B232" s="477" t="s">
        <v>1644</v>
      </c>
      <c r="E232" s="478">
        <v>403</v>
      </c>
      <c r="F232" s="485">
        <v>24941</v>
      </c>
      <c r="G232" s="490">
        <v>0.39858065033479012</v>
      </c>
      <c r="H232" s="490">
        <v>1.0047311655506996</v>
      </c>
      <c r="I232" s="490">
        <f>1-G232</f>
        <v>0.60141934966520982</v>
      </c>
      <c r="J232" s="490">
        <f>1+H232</f>
        <v>2.0047311655506999</v>
      </c>
      <c r="K232" s="584">
        <v>-2</v>
      </c>
      <c r="L232" s="486">
        <f t="shared" si="11"/>
        <v>15000</v>
      </c>
      <c r="M232" s="486">
        <f t="shared" si="12"/>
        <v>50000</v>
      </c>
      <c r="S232" s="477" t="s">
        <v>390</v>
      </c>
      <c r="T232" s="477" t="s">
        <v>13</v>
      </c>
      <c r="V232" s="485">
        <v>20000</v>
      </c>
      <c r="W232" s="485">
        <v>40000</v>
      </c>
    </row>
    <row r="233" spans="1:26" x14ac:dyDescent="0.2">
      <c r="B233" s="477" t="s">
        <v>1645</v>
      </c>
      <c r="C233" s="477" t="s">
        <v>138</v>
      </c>
      <c r="E233" s="478">
        <v>42</v>
      </c>
      <c r="F233" s="485">
        <v>466839</v>
      </c>
      <c r="G233" s="490">
        <v>0.14317355662230447</v>
      </c>
      <c r="H233" s="490">
        <v>1.1420661084442387</v>
      </c>
      <c r="I233" s="490">
        <f>1-G233</f>
        <v>0.85682644337769553</v>
      </c>
      <c r="J233" s="490">
        <f>1+H233</f>
        <v>2.1420661084442387</v>
      </c>
      <c r="K233" s="584">
        <v>-2</v>
      </c>
      <c r="L233" s="486">
        <f t="shared" si="11"/>
        <v>400000</v>
      </c>
      <c r="M233" s="486">
        <f t="shared" si="12"/>
        <v>1000000</v>
      </c>
      <c r="S233" s="477" t="s">
        <v>381</v>
      </c>
      <c r="T233" s="477" t="s">
        <v>13</v>
      </c>
      <c r="V233" s="485">
        <v>300000</v>
      </c>
      <c r="W233" s="485">
        <v>800000</v>
      </c>
    </row>
    <row r="234" spans="1:26" x14ac:dyDescent="0.2">
      <c r="B234" s="477" t="s">
        <v>1646</v>
      </c>
      <c r="C234" s="477" t="s">
        <v>138</v>
      </c>
      <c r="E234" s="478">
        <v>3388</v>
      </c>
      <c r="F234" s="485">
        <v>469928</v>
      </c>
      <c r="G234" s="490">
        <v>0.14880577450162577</v>
      </c>
      <c r="H234" s="490">
        <v>1.1279855637459355</v>
      </c>
      <c r="I234" s="490">
        <f>1-G234</f>
        <v>0.8511942254983742</v>
      </c>
      <c r="J234" s="490">
        <f>1+H234</f>
        <v>2.1279855637459355</v>
      </c>
      <c r="K234" s="584">
        <v>-2</v>
      </c>
      <c r="L234" s="486">
        <f t="shared" si="11"/>
        <v>400000</v>
      </c>
      <c r="M234" s="486">
        <f t="shared" si="12"/>
        <v>1000000</v>
      </c>
      <c r="S234" s="477" t="s">
        <v>382</v>
      </c>
      <c r="T234" s="477" t="s">
        <v>13</v>
      </c>
      <c r="V234" s="485">
        <v>250000</v>
      </c>
      <c r="W234" s="485">
        <v>600000</v>
      </c>
    </row>
    <row r="235" spans="1:26" x14ac:dyDescent="0.2">
      <c r="B235" s="477" t="s">
        <v>1647</v>
      </c>
      <c r="E235" s="478">
        <v>143</v>
      </c>
      <c r="F235" s="485">
        <v>416626</v>
      </c>
      <c r="G235" s="490">
        <v>3.9906294854377786E-2</v>
      </c>
      <c r="H235" s="490">
        <v>1.4002342628640556</v>
      </c>
      <c r="I235" s="490">
        <f>1-G235</f>
        <v>0.9600937051456222</v>
      </c>
      <c r="J235" s="490">
        <f>1+H235</f>
        <v>2.4002342628640556</v>
      </c>
      <c r="K235" s="584">
        <v>-2</v>
      </c>
      <c r="L235" s="486">
        <f t="shared" si="11"/>
        <v>400000</v>
      </c>
      <c r="M235" s="486">
        <f t="shared" si="12"/>
        <v>1000000</v>
      </c>
      <c r="S235" s="477" t="s">
        <v>383</v>
      </c>
      <c r="T235" s="477" t="s">
        <v>13</v>
      </c>
      <c r="V235" s="485">
        <v>250000</v>
      </c>
      <c r="W235" s="485">
        <v>500000</v>
      </c>
    </row>
    <row r="236" spans="1:26" x14ac:dyDescent="0.2">
      <c r="B236" s="477" t="s">
        <v>1648</v>
      </c>
      <c r="C236" s="477" t="s">
        <v>160</v>
      </c>
      <c r="F236" s="485"/>
      <c r="G236" s="490"/>
      <c r="H236" s="490"/>
      <c r="I236" s="488"/>
      <c r="J236" s="488"/>
      <c r="K236" s="488"/>
      <c r="L236" s="485">
        <v>1000000</v>
      </c>
      <c r="M236" s="485">
        <v>20000000</v>
      </c>
      <c r="S236" s="477" t="s">
        <v>384</v>
      </c>
      <c r="T236" s="477" t="s">
        <v>13</v>
      </c>
      <c r="V236" s="485">
        <v>2000000</v>
      </c>
      <c r="W236" s="485">
        <v>10000000</v>
      </c>
    </row>
    <row r="237" spans="1:26" x14ac:dyDescent="0.2">
      <c r="B237" s="477" t="s">
        <v>1649</v>
      </c>
      <c r="C237" s="477" t="s">
        <v>152</v>
      </c>
      <c r="E237" s="478">
        <v>469</v>
      </c>
      <c r="F237" s="485">
        <v>1772081</v>
      </c>
      <c r="G237" s="490">
        <v>0.15353756402782942</v>
      </c>
      <c r="H237" s="490">
        <v>0.97507901726839796</v>
      </c>
      <c r="I237" s="490">
        <f>1-G237</f>
        <v>0.84646243597217063</v>
      </c>
      <c r="J237" s="490">
        <f>1+H237</f>
        <v>1.9750790172683979</v>
      </c>
      <c r="K237" s="584">
        <v>-2</v>
      </c>
      <c r="L237" s="486">
        <f t="shared" si="11"/>
        <v>1500000</v>
      </c>
      <c r="M237" s="486">
        <f t="shared" si="12"/>
        <v>3500000</v>
      </c>
      <c r="S237" s="477" t="s">
        <v>385</v>
      </c>
      <c r="T237" s="477" t="s">
        <v>13</v>
      </c>
      <c r="V237" s="485">
        <v>2000000</v>
      </c>
      <c r="W237" s="485">
        <v>5000000</v>
      </c>
    </row>
    <row r="238" spans="1:26" x14ac:dyDescent="0.2">
      <c r="B238" s="477" t="s">
        <v>1650</v>
      </c>
      <c r="C238" s="477" t="s">
        <v>144</v>
      </c>
      <c r="E238" s="478">
        <v>77</v>
      </c>
      <c r="F238" s="485">
        <v>3600000</v>
      </c>
      <c r="G238" s="490">
        <v>0.44444444444444442</v>
      </c>
      <c r="H238" s="490">
        <v>0.3888888888888889</v>
      </c>
      <c r="I238" s="490">
        <f>1-G238</f>
        <v>0.55555555555555558</v>
      </c>
      <c r="J238" s="490">
        <f>1+H238</f>
        <v>1.3888888888888888</v>
      </c>
      <c r="K238" s="584">
        <v>-2</v>
      </c>
      <c r="L238" s="486">
        <f t="shared" si="11"/>
        <v>2000000</v>
      </c>
      <c r="M238" s="486">
        <f t="shared" si="12"/>
        <v>5000000</v>
      </c>
      <c r="S238" s="477" t="s">
        <v>386</v>
      </c>
      <c r="T238" s="477" t="s">
        <v>13</v>
      </c>
      <c r="V238" s="485">
        <v>2000000</v>
      </c>
      <c r="W238" s="485">
        <v>4000000</v>
      </c>
    </row>
    <row r="239" spans="1:26" x14ac:dyDescent="0.2">
      <c r="B239" s="477" t="s">
        <v>1651</v>
      </c>
      <c r="C239" s="477" t="s">
        <v>1652</v>
      </c>
      <c r="E239" s="478">
        <v>15</v>
      </c>
      <c r="F239" s="485">
        <v>2655000</v>
      </c>
      <c r="G239" s="490">
        <v>0.32203389830508472</v>
      </c>
      <c r="H239" s="490">
        <v>3.1431261770244823</v>
      </c>
      <c r="I239" s="490">
        <f>1-G239</f>
        <v>0.67796610169491522</v>
      </c>
      <c r="J239" s="490">
        <f>1+H239</f>
        <v>4.1431261770244827</v>
      </c>
      <c r="K239" s="584">
        <v>-2</v>
      </c>
      <c r="L239" s="486">
        <f t="shared" si="11"/>
        <v>1800000</v>
      </c>
      <c r="M239" s="486">
        <f t="shared" si="12"/>
        <v>11000000</v>
      </c>
      <c r="S239" s="477" t="s">
        <v>387</v>
      </c>
      <c r="T239" s="477" t="s">
        <v>13</v>
      </c>
      <c r="V239" s="485">
        <v>3000000</v>
      </c>
      <c r="W239" s="485">
        <v>5000000</v>
      </c>
    </row>
    <row r="240" spans="1:26" x14ac:dyDescent="0.2">
      <c r="B240" s="477" t="s">
        <v>1653</v>
      </c>
      <c r="C240" s="477" t="s">
        <v>156</v>
      </c>
      <c r="E240" s="478">
        <v>232</v>
      </c>
      <c r="F240" s="485">
        <v>2279470</v>
      </c>
      <c r="G240" s="490">
        <v>0.34195229592843951</v>
      </c>
      <c r="H240" s="490">
        <v>0.53544464283364113</v>
      </c>
      <c r="I240" s="490">
        <f>1-G240</f>
        <v>0.65804770407156044</v>
      </c>
      <c r="J240" s="490">
        <f>1+H240</f>
        <v>1.535444642833641</v>
      </c>
      <c r="K240" s="584">
        <v>-2</v>
      </c>
      <c r="L240" s="486">
        <f t="shared" si="11"/>
        <v>1500000</v>
      </c>
      <c r="M240" s="486">
        <f t="shared" si="12"/>
        <v>3500000</v>
      </c>
      <c r="S240" s="477" t="s">
        <v>388</v>
      </c>
      <c r="T240" s="477" t="s">
        <v>13</v>
      </c>
      <c r="V240" s="485">
        <v>1000000</v>
      </c>
      <c r="W240" s="485">
        <v>2000000</v>
      </c>
    </row>
    <row r="241" spans="2:23" x14ac:dyDescent="0.2">
      <c r="B241" s="477" t="s">
        <v>1653</v>
      </c>
      <c r="C241" s="477" t="s">
        <v>156</v>
      </c>
      <c r="E241" s="478">
        <v>232</v>
      </c>
      <c r="F241" s="485">
        <v>2279470</v>
      </c>
      <c r="G241" s="490">
        <v>0.34195229592843951</v>
      </c>
      <c r="H241" s="490">
        <v>0.53544464283364113</v>
      </c>
      <c r="I241" s="490">
        <f>1-G241</f>
        <v>0.65804770407156044</v>
      </c>
      <c r="J241" s="490">
        <f>1+H241</f>
        <v>1.535444642833641</v>
      </c>
      <c r="K241" s="584">
        <v>-2</v>
      </c>
      <c r="L241" s="486">
        <f t="shared" si="11"/>
        <v>1500000</v>
      </c>
      <c r="M241" s="486">
        <f t="shared" si="12"/>
        <v>3500000</v>
      </c>
      <c r="S241" s="477" t="s">
        <v>389</v>
      </c>
      <c r="T241" s="477" t="s">
        <v>13</v>
      </c>
      <c r="V241" s="485">
        <v>2000000</v>
      </c>
      <c r="W241" s="485">
        <v>4000000</v>
      </c>
    </row>
    <row r="242" spans="2:23" x14ac:dyDescent="0.2">
      <c r="B242" s="477" t="s">
        <v>1654</v>
      </c>
      <c r="C242" s="477" t="s">
        <v>108</v>
      </c>
      <c r="F242" s="485"/>
      <c r="G242" s="490"/>
      <c r="H242" s="490"/>
      <c r="I242" s="488"/>
      <c r="J242" s="488"/>
      <c r="K242" s="488"/>
      <c r="L242" s="485">
        <v>400000</v>
      </c>
      <c r="M242" s="485">
        <v>2000000</v>
      </c>
      <c r="V242" s="485"/>
      <c r="W242" s="485"/>
    </row>
    <row r="243" spans="2:23" x14ac:dyDescent="0.2">
      <c r="B243" s="477" t="s">
        <v>1644</v>
      </c>
      <c r="E243" s="478">
        <v>403</v>
      </c>
      <c r="F243" s="485">
        <v>24941</v>
      </c>
      <c r="G243" s="490">
        <v>0.39858065033479012</v>
      </c>
      <c r="H243" s="490">
        <v>1.0047311655506996</v>
      </c>
      <c r="I243" s="490">
        <f>1-G243</f>
        <v>0.60141934966520982</v>
      </c>
      <c r="J243" s="490">
        <f>1+H243</f>
        <v>2.0047311655506999</v>
      </c>
      <c r="K243" s="584">
        <v>-2</v>
      </c>
      <c r="L243" s="486">
        <f t="shared" si="11"/>
        <v>15000</v>
      </c>
      <c r="M243" s="486">
        <f t="shared" si="12"/>
        <v>50000</v>
      </c>
      <c r="S243" s="477" t="s">
        <v>390</v>
      </c>
      <c r="T243" s="477" t="s">
        <v>13</v>
      </c>
      <c r="V243" s="485">
        <v>20000</v>
      </c>
      <c r="W243" s="485">
        <v>40000</v>
      </c>
    </row>
    <row r="244" spans="2:23" x14ac:dyDescent="0.2">
      <c r="B244" s="477" t="s">
        <v>1655</v>
      </c>
      <c r="E244" s="478">
        <v>12</v>
      </c>
      <c r="F244" s="485">
        <v>567226</v>
      </c>
      <c r="G244" s="490">
        <v>0.29481370741115537</v>
      </c>
      <c r="H244" s="490">
        <v>0.76296573147211166</v>
      </c>
      <c r="I244" s="490">
        <f>1-G244</f>
        <v>0.70518629258884458</v>
      </c>
      <c r="J244" s="490">
        <f>1+H244</f>
        <v>1.7629657314721117</v>
      </c>
      <c r="K244" s="584">
        <v>-2</v>
      </c>
      <c r="L244" s="486">
        <f t="shared" si="11"/>
        <v>400000</v>
      </c>
      <c r="M244" s="486">
        <f t="shared" si="12"/>
        <v>1000000</v>
      </c>
      <c r="S244" s="477" t="s">
        <v>391</v>
      </c>
      <c r="T244" s="477" t="s">
        <v>13</v>
      </c>
      <c r="V244" s="485">
        <v>200000</v>
      </c>
      <c r="W244" s="485">
        <v>750000</v>
      </c>
    </row>
  </sheetData>
  <sheetProtection algorithmName="SHA-512" hashValue="13F45qZ2VcUBBhV6XRZJBDQtrmfnAXxDwDVIxx77RsVkegIIWf9OR+OyP08O3xqI/hmgG6EVU04+flNOwDoMgg==" saltValue="DSKtMx5nr9yHJHERsRix5A==" spinCount="100000" sheet="1" objects="1" scenarios="1" formatCells="0" formatColumns="0" formatRows="0" selectLockedCells="1" sort="0" autoFilter="0"/>
  <pageMargins left="0.75" right="0.75" top="1" bottom="1" header="0.5" footer="0.5"/>
  <pageSetup orientation="portrait" horizontalDpi="300" verticalDpi="0" copies="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BX138"/>
  <sheetViews>
    <sheetView zoomScale="70" zoomScaleNormal="70" workbookViewId="0">
      <pane ySplit="1" topLeftCell="A80" activePane="bottomLeft" state="frozen"/>
      <selection activeCell="C40" sqref="C40"/>
      <selection pane="bottomLeft" activeCell="D120" sqref="A98:D120"/>
    </sheetView>
  </sheetViews>
  <sheetFormatPr defaultColWidth="9.140625" defaultRowHeight="12.75" x14ac:dyDescent="0.2"/>
  <cols>
    <col min="1" max="1" width="23.140625" style="288" customWidth="1"/>
    <col min="2" max="2" width="43.7109375" style="313" bestFit="1" customWidth="1"/>
    <col min="3" max="3" width="15.7109375" style="313" customWidth="1"/>
    <col min="4" max="4" width="15.7109375" style="311" bestFit="1" customWidth="1"/>
    <col min="5" max="15" width="15.7109375" style="311" customWidth="1"/>
    <col min="16" max="16" width="22.28515625" style="311" bestFit="1" customWidth="1"/>
    <col min="17" max="18" width="7" style="311" bestFit="1" customWidth="1"/>
    <col min="19" max="19" width="3.5703125" style="288" customWidth="1"/>
    <col min="20" max="22" width="9.140625" style="288"/>
    <col min="23" max="23" width="7.140625" style="288" bestFit="1" customWidth="1"/>
    <col min="24" max="24" width="8.85546875" style="1796" bestFit="1" customWidth="1"/>
    <col min="25" max="25" width="13.42578125" style="1796" bestFit="1" customWidth="1"/>
    <col min="26" max="26" width="15.85546875" style="1796" bestFit="1" customWidth="1"/>
    <col min="27" max="27" width="11.85546875" style="1796" customWidth="1"/>
    <col min="28" max="16384" width="9.140625" style="288"/>
  </cols>
  <sheetData>
    <row r="1" spans="1:76" ht="25.5" x14ac:dyDescent="0.2">
      <c r="A1" s="310" t="s">
        <v>2636</v>
      </c>
      <c r="B1" s="294">
        <f t="shared" ref="B1:O1" si="0">COLUMN()-1</f>
        <v>1</v>
      </c>
      <c r="C1" s="294">
        <f t="shared" si="0"/>
        <v>2</v>
      </c>
      <c r="D1" s="294">
        <f t="shared" si="0"/>
        <v>3</v>
      </c>
      <c r="E1" s="294">
        <f t="shared" si="0"/>
        <v>4</v>
      </c>
      <c r="F1" s="294">
        <f t="shared" si="0"/>
        <v>5</v>
      </c>
      <c r="G1" s="294">
        <f t="shared" si="0"/>
        <v>6</v>
      </c>
      <c r="H1" s="294">
        <f t="shared" si="0"/>
        <v>7</v>
      </c>
      <c r="I1" s="294">
        <f t="shared" si="0"/>
        <v>8</v>
      </c>
      <c r="J1" s="294">
        <f t="shared" si="0"/>
        <v>9</v>
      </c>
      <c r="K1" s="294">
        <f t="shared" si="0"/>
        <v>10</v>
      </c>
      <c r="L1" s="294">
        <f t="shared" si="0"/>
        <v>11</v>
      </c>
      <c r="M1" s="294">
        <f t="shared" si="0"/>
        <v>12</v>
      </c>
      <c r="N1" s="294">
        <f t="shared" si="0"/>
        <v>13</v>
      </c>
      <c r="O1" s="294">
        <f t="shared" si="0"/>
        <v>14</v>
      </c>
      <c r="P1" s="288"/>
      <c r="Q1" s="288"/>
      <c r="R1" s="288"/>
      <c r="W1" s="291" t="s">
        <v>2419</v>
      </c>
      <c r="X1" s="1794" t="s">
        <v>2420</v>
      </c>
      <c r="Y1" s="1794" t="s">
        <v>2421</v>
      </c>
      <c r="Z1" s="1794" t="s">
        <v>2422</v>
      </c>
      <c r="AA1" s="1794" t="s">
        <v>2423</v>
      </c>
    </row>
    <row r="2" spans="1:76" ht="13.5" thickBot="1" x14ac:dyDescent="0.25">
      <c r="A2" s="287"/>
      <c r="B2" s="287"/>
      <c r="C2" s="287"/>
      <c r="D2" s="314"/>
      <c r="E2" s="314"/>
      <c r="F2" s="314"/>
      <c r="G2" s="314"/>
      <c r="H2" s="314"/>
      <c r="I2" s="314"/>
      <c r="J2" s="314"/>
      <c r="K2" s="314"/>
      <c r="L2" s="314"/>
      <c r="M2" s="314"/>
      <c r="N2" s="314"/>
      <c r="O2" s="314"/>
      <c r="P2" s="314"/>
      <c r="Q2" s="314"/>
      <c r="R2" s="314"/>
      <c r="W2" s="1793">
        <v>1</v>
      </c>
      <c r="X2" s="1795">
        <v>4.9260000000000002</v>
      </c>
      <c r="Y2" s="1795">
        <v>4.9260000000000002</v>
      </c>
      <c r="Z2" s="1795">
        <v>4.9640000000000004</v>
      </c>
      <c r="AA2" s="1795">
        <v>4.9889999999999999</v>
      </c>
    </row>
    <row r="3" spans="1:76" ht="12.75" customHeight="1" thickBot="1" x14ac:dyDescent="0.25">
      <c r="A3" s="287"/>
      <c r="B3" s="287"/>
      <c r="C3" s="287"/>
      <c r="D3" s="315">
        <f ca="1">YEAR(NOW())</f>
        <v>2015</v>
      </c>
      <c r="E3" s="210">
        <f ca="1">BaseYear</f>
        <v>2015</v>
      </c>
      <c r="F3" s="314"/>
      <c r="G3" s="342" t="s">
        <v>486</v>
      </c>
      <c r="H3" s="345" t="s">
        <v>577</v>
      </c>
      <c r="I3" s="314"/>
      <c r="J3" s="314"/>
      <c r="K3" s="314"/>
      <c r="L3" s="314"/>
      <c r="M3" s="314"/>
      <c r="N3" s="314"/>
      <c r="O3" s="314"/>
      <c r="P3" s="314"/>
      <c r="Q3" s="314"/>
      <c r="R3" s="314"/>
      <c r="W3" s="1793">
        <v>2</v>
      </c>
      <c r="X3" s="1795">
        <v>4.923</v>
      </c>
      <c r="Y3" s="1795">
        <v>4.923</v>
      </c>
      <c r="Z3" s="1795">
        <v>4.9589999999999996</v>
      </c>
      <c r="AA3" s="1795">
        <v>4.9880000000000004</v>
      </c>
      <c r="AC3" s="1796"/>
    </row>
    <row r="4" spans="1:76" ht="12.75" customHeight="1" thickBot="1" x14ac:dyDescent="0.25">
      <c r="A4" s="287"/>
      <c r="B4" s="287"/>
      <c r="C4" s="287"/>
      <c r="D4" s="316" t="str">
        <f ca="1">REPLACE(TEXT(BaseYear,0),99,0,"$?")</f>
        <v>2015$?</v>
      </c>
      <c r="E4" s="211" t="s">
        <v>16</v>
      </c>
      <c r="F4" s="314"/>
      <c r="G4" s="343" t="s">
        <v>487</v>
      </c>
      <c r="H4" s="345" t="s">
        <v>576</v>
      </c>
      <c r="I4" s="314"/>
      <c r="J4" s="314"/>
      <c r="K4" s="314"/>
      <c r="L4" s="314"/>
      <c r="M4" s="314"/>
      <c r="N4" s="314"/>
      <c r="O4" s="314"/>
      <c r="P4" s="314"/>
      <c r="Q4" s="314"/>
      <c r="R4" s="314"/>
      <c r="W4" s="1793">
        <v>3</v>
      </c>
      <c r="X4" s="1795">
        <v>4.9189999999999996</v>
      </c>
      <c r="Y4" s="1795">
        <v>4.9189999999999996</v>
      </c>
      <c r="Z4" s="1795">
        <v>4.9550000000000001</v>
      </c>
      <c r="AA4" s="1795">
        <v>4.9870000000000001</v>
      </c>
      <c r="AC4" s="1796"/>
    </row>
    <row r="5" spans="1:76" ht="13.5" thickBot="1" x14ac:dyDescent="0.25">
      <c r="A5" s="287"/>
      <c r="B5" s="287"/>
      <c r="C5" s="287"/>
      <c r="D5" s="314"/>
      <c r="E5" s="314"/>
      <c r="F5" s="314"/>
      <c r="G5" s="314"/>
      <c r="H5" s="314"/>
      <c r="I5" s="314"/>
      <c r="J5" s="314"/>
      <c r="K5" s="314"/>
      <c r="L5" s="314"/>
      <c r="M5" s="314"/>
      <c r="N5" s="314"/>
      <c r="O5" s="314"/>
      <c r="P5" s="314"/>
      <c r="Q5" s="314"/>
      <c r="R5" s="314"/>
      <c r="W5" s="1793">
        <v>4</v>
      </c>
      <c r="X5" s="1795">
        <v>4.915</v>
      </c>
      <c r="Y5" s="1795">
        <v>4.915</v>
      </c>
      <c r="Z5" s="1795">
        <v>4.95</v>
      </c>
      <c r="AA5" s="1795">
        <v>4.9859999999999998</v>
      </c>
      <c r="AC5" s="1796"/>
    </row>
    <row r="6" spans="1:76" ht="42" customHeight="1" thickBot="1" x14ac:dyDescent="0.25">
      <c r="A6" s="298" t="s">
        <v>554</v>
      </c>
      <c r="B6" s="298" t="s">
        <v>516</v>
      </c>
      <c r="C6" s="321" t="s">
        <v>169</v>
      </c>
      <c r="D6" s="322" t="s">
        <v>558</v>
      </c>
      <c r="E6" s="322" t="s">
        <v>559</v>
      </c>
      <c r="F6" s="322" t="s">
        <v>562</v>
      </c>
      <c r="G6" s="322" t="s">
        <v>530</v>
      </c>
      <c r="H6" s="321" t="s">
        <v>560</v>
      </c>
      <c r="I6" s="321" t="s">
        <v>561</v>
      </c>
      <c r="J6" s="321" t="s">
        <v>563</v>
      </c>
      <c r="K6" s="321" t="s">
        <v>564</v>
      </c>
      <c r="L6" s="321" t="s">
        <v>1674</v>
      </c>
      <c r="M6" s="321" t="s">
        <v>1675</v>
      </c>
      <c r="N6" s="321" t="s">
        <v>1670</v>
      </c>
      <c r="O6" s="321" t="s">
        <v>1671</v>
      </c>
      <c r="P6" s="314"/>
      <c r="Q6" s="314"/>
      <c r="R6" s="314"/>
      <c r="W6" s="1793">
        <v>5</v>
      </c>
      <c r="X6" s="1795">
        <v>4.91</v>
      </c>
      <c r="Y6" s="1795">
        <v>4.91</v>
      </c>
      <c r="Z6" s="1795">
        <v>4.944</v>
      </c>
      <c r="AA6" s="1795">
        <v>4.9850000000000003</v>
      </c>
      <c r="AC6" s="1796"/>
    </row>
    <row r="7" spans="1:76" ht="13.5" thickBot="1" x14ac:dyDescent="0.25">
      <c r="A7" s="2020" t="s">
        <v>153</v>
      </c>
      <c r="B7" s="292" t="str">
        <f>Codes!G7</f>
        <v>Maintenance Facility (Service and Inspection)</v>
      </c>
      <c r="C7" s="323" t="s">
        <v>1667</v>
      </c>
      <c r="D7" s="566">
        <v>1900</v>
      </c>
      <c r="E7" s="566">
        <f t="shared" ref="E7:E24" ca="1" si="1">BaseYear</f>
        <v>2015</v>
      </c>
      <c r="F7" s="566">
        <f>Index!$C$9</f>
        <v>1913</v>
      </c>
      <c r="G7" s="566">
        <f>Index!$C$10</f>
        <v>1</v>
      </c>
      <c r="H7" s="568">
        <v>1000</v>
      </c>
      <c r="I7" s="568">
        <v>1000000</v>
      </c>
      <c r="J7" s="567">
        <v>15</v>
      </c>
      <c r="K7" s="567">
        <v>300</v>
      </c>
      <c r="L7" s="567"/>
      <c r="M7" s="567"/>
      <c r="N7" s="567"/>
      <c r="O7" s="567"/>
      <c r="P7" s="314"/>
      <c r="Q7" s="314"/>
      <c r="R7" s="314"/>
      <c r="W7" s="1793">
        <v>6</v>
      </c>
      <c r="X7" s="1795">
        <v>4.9059999999999997</v>
      </c>
      <c r="Y7" s="1795">
        <v>4.9059999999999997</v>
      </c>
      <c r="Z7" s="1795">
        <v>4.9370000000000003</v>
      </c>
      <c r="AA7" s="1795">
        <v>4.9829999999999997</v>
      </c>
      <c r="AC7" s="1796"/>
      <c r="BW7" s="337"/>
      <c r="BX7" s="338"/>
    </row>
    <row r="8" spans="1:76" ht="13.5" thickBot="1" x14ac:dyDescent="0.25">
      <c r="A8" s="2021"/>
      <c r="B8" s="292" t="str">
        <f>Codes!G8</f>
        <v>Heavy Maintenance &amp; Overhaul (Backshop)</v>
      </c>
      <c r="C8" s="323" t="s">
        <v>1667</v>
      </c>
      <c r="D8" s="566">
        <v>1900</v>
      </c>
      <c r="E8" s="566">
        <f t="shared" ca="1" si="1"/>
        <v>2015</v>
      </c>
      <c r="F8" s="566">
        <f>Index!$C$9</f>
        <v>1913</v>
      </c>
      <c r="G8" s="566">
        <f>Index!$C$10</f>
        <v>1</v>
      </c>
      <c r="H8" s="568">
        <v>1000</v>
      </c>
      <c r="I8" s="568">
        <v>1000000</v>
      </c>
      <c r="J8" s="567">
        <v>15</v>
      </c>
      <c r="K8" s="567">
        <v>300</v>
      </c>
      <c r="L8" s="567"/>
      <c r="M8" s="567"/>
      <c r="N8" s="567"/>
      <c r="O8" s="567"/>
      <c r="P8" s="314"/>
      <c r="Q8" s="314"/>
      <c r="R8" s="314"/>
      <c r="W8" s="1793">
        <v>7</v>
      </c>
      <c r="X8" s="1795">
        <v>4.9009999999999998</v>
      </c>
      <c r="Y8" s="1795">
        <v>4.9009999999999998</v>
      </c>
      <c r="Z8" s="1795">
        <v>4.93</v>
      </c>
      <c r="AA8" s="1795">
        <v>4.9820000000000002</v>
      </c>
      <c r="AC8" s="1796"/>
      <c r="BW8" s="339"/>
      <c r="BX8" s="340"/>
    </row>
    <row r="9" spans="1:76" ht="13.5" thickBot="1" x14ac:dyDescent="0.25">
      <c r="A9" s="2021"/>
      <c r="B9" s="292" t="str">
        <f>Codes!G9</f>
        <v>General Purpose Maintenance Facility/Depot</v>
      </c>
      <c r="C9" s="323" t="s">
        <v>1667</v>
      </c>
      <c r="D9" s="566">
        <v>1900</v>
      </c>
      <c r="E9" s="566">
        <f t="shared" ca="1" si="1"/>
        <v>2015</v>
      </c>
      <c r="F9" s="566">
        <f>Index!$C$9</f>
        <v>1913</v>
      </c>
      <c r="G9" s="566">
        <f>Index!$C$10</f>
        <v>1</v>
      </c>
      <c r="H9" s="568">
        <v>1000</v>
      </c>
      <c r="I9" s="568">
        <v>1000000</v>
      </c>
      <c r="J9" s="567">
        <v>15</v>
      </c>
      <c r="K9" s="567">
        <v>300</v>
      </c>
      <c r="L9" s="567"/>
      <c r="M9" s="567"/>
      <c r="N9" s="567"/>
      <c r="O9" s="567"/>
      <c r="P9" s="314"/>
      <c r="Q9" s="314"/>
      <c r="R9" s="314"/>
      <c r="W9" s="1793">
        <v>8</v>
      </c>
      <c r="X9" s="1795">
        <v>4.8959999999999999</v>
      </c>
      <c r="Y9" s="1795">
        <v>4.8959999999999999</v>
      </c>
      <c r="Z9" s="1795">
        <v>4.9219999999999997</v>
      </c>
      <c r="AA9" s="1795">
        <v>4.9800000000000004</v>
      </c>
      <c r="AC9" s="1796"/>
    </row>
    <row r="10" spans="1:76" ht="13.5" thickBot="1" x14ac:dyDescent="0.25">
      <c r="A10" s="2021"/>
      <c r="B10" s="292" t="s">
        <v>1702</v>
      </c>
      <c r="C10" s="323" t="s">
        <v>1667</v>
      </c>
      <c r="D10" s="566">
        <v>1900</v>
      </c>
      <c r="E10" s="566">
        <f t="shared" ca="1" si="1"/>
        <v>2015</v>
      </c>
      <c r="F10" s="566">
        <f>Index!$C$9</f>
        <v>1913</v>
      </c>
      <c r="G10" s="566">
        <f>Index!$C$10</f>
        <v>1</v>
      </c>
      <c r="H10" s="568">
        <v>1000</v>
      </c>
      <c r="I10" s="568">
        <v>1000000</v>
      </c>
      <c r="J10" s="567">
        <v>15</v>
      </c>
      <c r="K10" s="567">
        <v>300</v>
      </c>
      <c r="L10" s="567"/>
      <c r="M10" s="567"/>
      <c r="N10" s="567"/>
      <c r="O10" s="567"/>
      <c r="P10" s="314"/>
      <c r="Q10" s="314"/>
      <c r="R10" s="314"/>
      <c r="W10" s="1793">
        <v>9</v>
      </c>
      <c r="X10" s="1795">
        <v>4.8899999999999997</v>
      </c>
      <c r="Y10" s="1795">
        <v>4.8899999999999997</v>
      </c>
      <c r="Z10" s="1795">
        <v>4.9130000000000003</v>
      </c>
      <c r="AA10" s="1795">
        <v>4.9779999999999998</v>
      </c>
      <c r="AC10" s="1796"/>
    </row>
    <row r="11" spans="1:76" ht="13.5" thickBot="1" x14ac:dyDescent="0.25">
      <c r="A11" s="2021"/>
      <c r="B11" s="292" t="s">
        <v>2191</v>
      </c>
      <c r="C11" s="323" t="s">
        <v>1667</v>
      </c>
      <c r="D11" s="566">
        <v>1900</v>
      </c>
      <c r="E11" s="566">
        <f t="shared" ca="1" si="1"/>
        <v>2015</v>
      </c>
      <c r="F11" s="566">
        <f>Index!$C$9</f>
        <v>1913</v>
      </c>
      <c r="G11" s="566">
        <f>Index!$C$10</f>
        <v>1</v>
      </c>
      <c r="H11" s="568">
        <v>1000</v>
      </c>
      <c r="I11" s="568">
        <v>1000000</v>
      </c>
      <c r="J11" s="567">
        <v>15</v>
      </c>
      <c r="K11" s="567">
        <v>300</v>
      </c>
      <c r="L11" s="567"/>
      <c r="M11" s="567"/>
      <c r="N11" s="567"/>
      <c r="O11" s="567"/>
      <c r="P11" s="314"/>
      <c r="Q11" s="314"/>
      <c r="R11" s="314"/>
      <c r="W11" s="1793">
        <v>10</v>
      </c>
      <c r="X11" s="1795">
        <v>4.8849999999999998</v>
      </c>
      <c r="Y11" s="1795">
        <v>4.8849999999999998</v>
      </c>
      <c r="Z11" s="1795">
        <v>4.9029999999999996</v>
      </c>
      <c r="AA11" s="1795">
        <v>4.976</v>
      </c>
      <c r="AC11" s="1796"/>
    </row>
    <row r="12" spans="1:76" ht="13.5" thickBot="1" x14ac:dyDescent="0.25">
      <c r="A12" s="2021"/>
      <c r="B12" s="292" t="s">
        <v>1703</v>
      </c>
      <c r="C12" s="323" t="s">
        <v>1667</v>
      </c>
      <c r="D12" s="566">
        <v>1900</v>
      </c>
      <c r="E12" s="566">
        <f t="shared" ca="1" si="1"/>
        <v>2015</v>
      </c>
      <c r="F12" s="566">
        <f>Index!$C$9</f>
        <v>1913</v>
      </c>
      <c r="G12" s="566">
        <f>Index!$C$10</f>
        <v>1</v>
      </c>
      <c r="H12" s="568">
        <v>1000</v>
      </c>
      <c r="I12" s="568">
        <v>1000000</v>
      </c>
      <c r="J12" s="567">
        <v>15</v>
      </c>
      <c r="K12" s="567">
        <v>300</v>
      </c>
      <c r="L12" s="567"/>
      <c r="M12" s="567"/>
      <c r="N12" s="567"/>
      <c r="O12" s="567"/>
      <c r="P12" s="314"/>
      <c r="Q12" s="314"/>
      <c r="R12" s="314"/>
      <c r="W12" s="1793">
        <v>11</v>
      </c>
      <c r="X12" s="1795">
        <v>4.8789999999999996</v>
      </c>
      <c r="Y12" s="1795">
        <v>4.8789999999999996</v>
      </c>
      <c r="Z12" s="1795">
        <v>4.8929999999999998</v>
      </c>
      <c r="AA12" s="1795">
        <v>4.9740000000000002</v>
      </c>
      <c r="AC12" s="1796"/>
    </row>
    <row r="13" spans="1:76" ht="13.5" thickBot="1" x14ac:dyDescent="0.25">
      <c r="A13" s="2021"/>
      <c r="B13" s="292" t="s">
        <v>2192</v>
      </c>
      <c r="C13" s="323" t="s">
        <v>1667</v>
      </c>
      <c r="D13" s="566">
        <v>1900</v>
      </c>
      <c r="E13" s="566">
        <f t="shared" ca="1" si="1"/>
        <v>2015</v>
      </c>
      <c r="F13" s="566">
        <f>Index!$C$9</f>
        <v>1913</v>
      </c>
      <c r="G13" s="566">
        <f>Index!$C$10</f>
        <v>1</v>
      </c>
      <c r="H13" s="568">
        <v>1000</v>
      </c>
      <c r="I13" s="568">
        <v>1000000</v>
      </c>
      <c r="J13" s="567">
        <v>15</v>
      </c>
      <c r="K13" s="567">
        <v>300</v>
      </c>
      <c r="L13" s="567"/>
      <c r="M13" s="567"/>
      <c r="N13" s="567"/>
      <c r="O13" s="567"/>
      <c r="P13" s="314"/>
      <c r="Q13" s="314"/>
      <c r="R13" s="314"/>
      <c r="W13" s="1793">
        <v>12</v>
      </c>
      <c r="X13" s="1795">
        <v>4.8730000000000002</v>
      </c>
      <c r="Y13" s="1795">
        <v>4.8730000000000002</v>
      </c>
      <c r="Z13" s="1795">
        <v>4.88</v>
      </c>
      <c r="AA13" s="1795">
        <v>4.9710000000000001</v>
      </c>
      <c r="AC13" s="1796"/>
    </row>
    <row r="14" spans="1:76" ht="13.5" thickBot="1" x14ac:dyDescent="0.25">
      <c r="A14" s="2028" t="s">
        <v>154</v>
      </c>
      <c r="B14" s="292" t="str">
        <f>Codes!G14</f>
        <v>Administrative Office / Sales Office</v>
      </c>
      <c r="C14" s="323" t="s">
        <v>1667</v>
      </c>
      <c r="D14" s="566">
        <v>1900</v>
      </c>
      <c r="E14" s="566">
        <f t="shared" ca="1" si="1"/>
        <v>2015</v>
      </c>
      <c r="F14" s="566">
        <f>Index!$C$9</f>
        <v>1913</v>
      </c>
      <c r="G14" s="566">
        <f>Index!$C$10</f>
        <v>1</v>
      </c>
      <c r="H14" s="568">
        <v>1000</v>
      </c>
      <c r="I14" s="568">
        <v>1000000</v>
      </c>
      <c r="J14" s="567">
        <v>15</v>
      </c>
      <c r="K14" s="567">
        <v>300</v>
      </c>
      <c r="L14" s="567"/>
      <c r="M14" s="567"/>
      <c r="N14" s="567"/>
      <c r="O14" s="567"/>
      <c r="P14" s="314"/>
      <c r="Q14" s="314"/>
      <c r="R14" s="314"/>
      <c r="W14" s="1793">
        <v>13</v>
      </c>
      <c r="X14" s="1795">
        <v>4.867</v>
      </c>
      <c r="Y14" s="1795">
        <v>4.867</v>
      </c>
      <c r="Z14" s="1795">
        <v>4.867</v>
      </c>
      <c r="AA14" s="1795">
        <v>4.9690000000000003</v>
      </c>
      <c r="AC14" s="1796"/>
    </row>
    <row r="15" spans="1:76" ht="13.5" thickBot="1" x14ac:dyDescent="0.25">
      <c r="A15" s="2030"/>
      <c r="B15" s="292" t="str">
        <f>Codes!G15</f>
        <v>Revenue Collection Facility</v>
      </c>
      <c r="C15" s="323" t="s">
        <v>1667</v>
      </c>
      <c r="D15" s="566">
        <v>1900</v>
      </c>
      <c r="E15" s="566">
        <f t="shared" ca="1" si="1"/>
        <v>2015</v>
      </c>
      <c r="F15" s="566">
        <f>Index!$C$9</f>
        <v>1913</v>
      </c>
      <c r="G15" s="566">
        <f>Index!$C$10</f>
        <v>1</v>
      </c>
      <c r="H15" s="568">
        <v>1000</v>
      </c>
      <c r="I15" s="568">
        <v>1000000</v>
      </c>
      <c r="J15" s="567">
        <v>15</v>
      </c>
      <c r="K15" s="567">
        <v>300</v>
      </c>
      <c r="L15" s="567"/>
      <c r="M15" s="567"/>
      <c r="N15" s="567"/>
      <c r="O15" s="567"/>
      <c r="P15" s="314"/>
      <c r="Q15" s="314"/>
      <c r="R15" s="314"/>
      <c r="W15" s="1793">
        <v>14</v>
      </c>
      <c r="X15" s="1795">
        <v>4.8600000000000003</v>
      </c>
      <c r="Y15" s="1795">
        <v>4.8600000000000003</v>
      </c>
      <c r="Z15" s="1795">
        <v>4.8520000000000003</v>
      </c>
      <c r="AA15" s="1795">
        <v>4.9660000000000002</v>
      </c>
      <c r="AC15" s="1796"/>
    </row>
    <row r="16" spans="1:76" ht="13.5" thickBot="1" x14ac:dyDescent="0.25">
      <c r="A16" s="2028" t="s">
        <v>151</v>
      </c>
      <c r="B16" s="293" t="str">
        <f>Codes!L20</f>
        <v>Bus Transfer Center</v>
      </c>
      <c r="C16" s="323" t="s">
        <v>1667</v>
      </c>
      <c r="D16" s="566">
        <v>1900</v>
      </c>
      <c r="E16" s="566">
        <f t="shared" ca="1" si="1"/>
        <v>2015</v>
      </c>
      <c r="F16" s="566">
        <f>Index!$C$9</f>
        <v>1913</v>
      </c>
      <c r="G16" s="566">
        <f>Index!$C$10</f>
        <v>1</v>
      </c>
      <c r="H16" s="568">
        <v>1000</v>
      </c>
      <c r="I16" s="568">
        <v>1000000</v>
      </c>
      <c r="J16" s="567">
        <v>15</v>
      </c>
      <c r="K16" s="567">
        <v>300</v>
      </c>
      <c r="L16" s="567"/>
      <c r="M16" s="567"/>
      <c r="N16" s="567"/>
      <c r="O16" s="567"/>
      <c r="P16" s="314"/>
      <c r="Q16" s="314"/>
      <c r="R16" s="314"/>
      <c r="W16" s="1793">
        <v>15</v>
      </c>
      <c r="X16" s="1795">
        <v>4.8529999999999998</v>
      </c>
      <c r="Y16" s="1795">
        <v>4.8529999999999998</v>
      </c>
      <c r="Z16" s="1795">
        <v>4.8360000000000003</v>
      </c>
      <c r="AA16" s="1795">
        <v>4.9630000000000001</v>
      </c>
      <c r="AC16" s="1796"/>
    </row>
    <row r="17" spans="1:29" ht="13.5" thickBot="1" x14ac:dyDescent="0.25">
      <c r="A17" s="2029"/>
      <c r="B17" s="293" t="str">
        <f>Codes!L21</f>
        <v>Elevated Fixed Guideway Station</v>
      </c>
      <c r="C17" s="323" t="s">
        <v>1667</v>
      </c>
      <c r="D17" s="566">
        <v>1900</v>
      </c>
      <c r="E17" s="566">
        <f t="shared" ca="1" si="1"/>
        <v>2015</v>
      </c>
      <c r="F17" s="566">
        <f>Index!$C$9</f>
        <v>1913</v>
      </c>
      <c r="G17" s="566">
        <f>Index!$C$10</f>
        <v>1</v>
      </c>
      <c r="H17" s="568">
        <v>1000</v>
      </c>
      <c r="I17" s="568">
        <v>1000000</v>
      </c>
      <c r="J17" s="567">
        <v>15</v>
      </c>
      <c r="K17" s="567">
        <v>300</v>
      </c>
      <c r="L17" s="567"/>
      <c r="M17" s="567"/>
      <c r="N17" s="567"/>
      <c r="O17" s="567"/>
      <c r="P17" s="314"/>
      <c r="Q17" s="314"/>
      <c r="R17" s="314"/>
      <c r="W17" s="1793">
        <v>16</v>
      </c>
      <c r="X17" s="1795">
        <v>4.8449999999999998</v>
      </c>
      <c r="Y17" s="1795">
        <v>4.8449999999999998</v>
      </c>
      <c r="Z17" s="1795">
        <v>4.8170000000000002</v>
      </c>
      <c r="AA17" s="1795">
        <v>4.9589999999999996</v>
      </c>
      <c r="AC17" s="1796"/>
    </row>
    <row r="18" spans="1:29" ht="13.5" thickBot="1" x14ac:dyDescent="0.25">
      <c r="A18" s="2029"/>
      <c r="B18" s="293" t="str">
        <f>Codes!L22</f>
        <v>At-Grade Fixed Guideway Station</v>
      </c>
      <c r="C18" s="323" t="s">
        <v>1667</v>
      </c>
      <c r="D18" s="566">
        <v>1900</v>
      </c>
      <c r="E18" s="566">
        <f t="shared" ca="1" si="1"/>
        <v>2015</v>
      </c>
      <c r="F18" s="566">
        <f>Index!$C$9</f>
        <v>1913</v>
      </c>
      <c r="G18" s="566">
        <f>Index!$C$10</f>
        <v>1</v>
      </c>
      <c r="H18" s="568">
        <v>1000</v>
      </c>
      <c r="I18" s="568">
        <v>1000000</v>
      </c>
      <c r="J18" s="567">
        <v>15</v>
      </c>
      <c r="K18" s="567">
        <v>300</v>
      </c>
      <c r="L18" s="567"/>
      <c r="M18" s="567"/>
      <c r="N18" s="567"/>
      <c r="O18" s="567"/>
      <c r="P18" s="314"/>
      <c r="Q18" s="314"/>
      <c r="R18" s="314"/>
      <c r="W18" s="1793">
        <v>17</v>
      </c>
      <c r="X18" s="1795">
        <v>4.8380000000000001</v>
      </c>
      <c r="Y18" s="1795">
        <v>4.8380000000000001</v>
      </c>
      <c r="Z18" s="1795">
        <v>4.7969999999999997</v>
      </c>
      <c r="AA18" s="1795">
        <v>4.9560000000000004</v>
      </c>
      <c r="AC18" s="1796"/>
    </row>
    <row r="19" spans="1:29" ht="13.5" thickBot="1" x14ac:dyDescent="0.25">
      <c r="A19" s="2029"/>
      <c r="B19" s="293" t="str">
        <f>Codes!L23</f>
        <v>Underground Fixed Guideway Station</v>
      </c>
      <c r="C19" s="323" t="s">
        <v>1667</v>
      </c>
      <c r="D19" s="566">
        <v>1900</v>
      </c>
      <c r="E19" s="566">
        <f t="shared" ca="1" si="1"/>
        <v>2015</v>
      </c>
      <c r="F19" s="566">
        <f>Index!$C$9</f>
        <v>1913</v>
      </c>
      <c r="G19" s="566">
        <f>Index!$C$10</f>
        <v>1</v>
      </c>
      <c r="H19" s="568">
        <v>1000</v>
      </c>
      <c r="I19" s="568">
        <v>1000000</v>
      </c>
      <c r="J19" s="567">
        <v>15</v>
      </c>
      <c r="K19" s="567">
        <v>300</v>
      </c>
      <c r="L19" s="567"/>
      <c r="M19" s="567"/>
      <c r="N19" s="567"/>
      <c r="O19" s="567"/>
      <c r="P19" s="314"/>
      <c r="Q19" s="314"/>
      <c r="R19" s="314"/>
      <c r="W19" s="1793">
        <v>18</v>
      </c>
      <c r="X19" s="1795">
        <v>4.83</v>
      </c>
      <c r="Y19" s="1795">
        <v>4.83</v>
      </c>
      <c r="Z19" s="1795">
        <v>4.7750000000000004</v>
      </c>
      <c r="AA19" s="1795">
        <v>4.952</v>
      </c>
      <c r="AC19" s="1796"/>
    </row>
    <row r="20" spans="1:29" ht="13.5" thickBot="1" x14ac:dyDescent="0.25">
      <c r="A20" s="2029"/>
      <c r="B20" s="293" t="str">
        <f>Codes!L24</f>
        <v>Simple At-Grade Platform Station</v>
      </c>
      <c r="C20" s="323" t="s">
        <v>1667</v>
      </c>
      <c r="D20" s="566">
        <v>1900</v>
      </c>
      <c r="E20" s="566">
        <f t="shared" ca="1" si="1"/>
        <v>2015</v>
      </c>
      <c r="F20" s="566">
        <f>Index!$C$9</f>
        <v>1913</v>
      </c>
      <c r="G20" s="566">
        <f>Index!$C$10</f>
        <v>1</v>
      </c>
      <c r="H20" s="568">
        <v>1000</v>
      </c>
      <c r="I20" s="568">
        <v>1000000</v>
      </c>
      <c r="J20" s="567">
        <v>15</v>
      </c>
      <c r="K20" s="567">
        <v>300</v>
      </c>
      <c r="P20" s="314"/>
      <c r="Q20" s="314"/>
      <c r="R20" s="314"/>
      <c r="W20" s="1793">
        <v>19</v>
      </c>
      <c r="X20" s="1795">
        <v>4.8209999999999997</v>
      </c>
      <c r="Y20" s="1795">
        <v>4.8209999999999997</v>
      </c>
      <c r="Z20" s="1795">
        <v>4.75</v>
      </c>
      <c r="AA20" s="1795">
        <v>4.9470000000000001</v>
      </c>
      <c r="AC20" s="1796"/>
    </row>
    <row r="21" spans="1:29" ht="13.5" thickBot="1" x14ac:dyDescent="0.25">
      <c r="A21" s="2030"/>
      <c r="B21" s="293" t="str">
        <f>Codes!L25</f>
        <v>Exclusive Grade-Separated Platform Station</v>
      </c>
      <c r="C21" s="323" t="s">
        <v>1667</v>
      </c>
      <c r="D21" s="566">
        <v>1900</v>
      </c>
      <c r="E21" s="566">
        <f t="shared" ca="1" si="1"/>
        <v>2015</v>
      </c>
      <c r="F21" s="566">
        <f>Index!$C$9</f>
        <v>1913</v>
      </c>
      <c r="G21" s="566">
        <f>Index!$C$10</f>
        <v>1</v>
      </c>
      <c r="H21" s="568">
        <v>1000</v>
      </c>
      <c r="I21" s="568">
        <v>1000000</v>
      </c>
      <c r="J21" s="567">
        <v>15</v>
      </c>
      <c r="K21" s="567">
        <v>300</v>
      </c>
      <c r="L21" s="567"/>
      <c r="M21" s="567"/>
      <c r="N21" s="567"/>
      <c r="O21" s="567"/>
      <c r="P21" s="314"/>
      <c r="Q21" s="314"/>
      <c r="R21" s="314"/>
      <c r="W21" s="1793">
        <v>20</v>
      </c>
      <c r="X21" s="1795">
        <v>4.8120000000000003</v>
      </c>
      <c r="Y21" s="1795">
        <v>4.8120000000000003</v>
      </c>
      <c r="Z21" s="1795">
        <v>4.7229999999999999</v>
      </c>
      <c r="AA21" s="1795">
        <v>4.9420000000000002</v>
      </c>
      <c r="AC21" s="1796"/>
    </row>
    <row r="22" spans="1:29" ht="13.5" thickBot="1" x14ac:dyDescent="0.25">
      <c r="A22" s="2028" t="s">
        <v>565</v>
      </c>
      <c r="B22" s="293" t="str">
        <f>Codes!$L$26</f>
        <v>Surface Parking Lot</v>
      </c>
      <c r="C22" s="323" t="s">
        <v>1667</v>
      </c>
      <c r="D22" s="566">
        <v>1900</v>
      </c>
      <c r="E22" s="566">
        <f t="shared" ca="1" si="1"/>
        <v>2015</v>
      </c>
      <c r="F22" s="566">
        <f>Index!$C$9</f>
        <v>1913</v>
      </c>
      <c r="G22" s="566">
        <f>Index!$C$10</f>
        <v>1</v>
      </c>
      <c r="H22" s="568">
        <v>1000</v>
      </c>
      <c r="I22" s="568">
        <v>1000000</v>
      </c>
      <c r="J22" s="567">
        <v>15</v>
      </c>
      <c r="K22" s="567">
        <v>300</v>
      </c>
      <c r="L22" s="571">
        <f>ROUND(L23/$R$23,-2)</f>
        <v>300</v>
      </c>
      <c r="M22" s="571">
        <f>ROUND(M23/$R$23,$S$23)</f>
        <v>2000</v>
      </c>
      <c r="N22" s="567">
        <f>ROUND(N23/$R$23,$S$23)</f>
        <v>5000</v>
      </c>
      <c r="O22" s="567">
        <f>ROUND(O23/$R$23,$S$23)</f>
        <v>13000</v>
      </c>
      <c r="Q22" s="311" t="s">
        <v>1666</v>
      </c>
      <c r="R22" s="563" t="str">
        <f ca="1">MID(CELL("filename",NSValidation!$A$1),FIND("]",CELL("filename",NSValidation!$A$1))+1,256)</f>
        <v>NSValidation</v>
      </c>
      <c r="S22" s="314"/>
      <c r="T22" s="314"/>
      <c r="W22" s="1793">
        <v>21</v>
      </c>
      <c r="X22" s="1795">
        <v>4.8029999999999999</v>
      </c>
      <c r="Y22" s="1795">
        <v>4.8029999999999999</v>
      </c>
      <c r="Z22" s="1795">
        <v>4.694</v>
      </c>
      <c r="AA22" s="1795">
        <v>4.9370000000000003</v>
      </c>
      <c r="AC22" s="1796"/>
    </row>
    <row r="23" spans="1:29" ht="13.5" thickBot="1" x14ac:dyDescent="0.25">
      <c r="A23" s="2029"/>
      <c r="B23" s="293" t="str">
        <f>Codes!$L$27</f>
        <v>Parking Structure</v>
      </c>
      <c r="C23" s="323" t="s">
        <v>1667</v>
      </c>
      <c r="D23" s="566">
        <v>1900</v>
      </c>
      <c r="E23" s="566">
        <f t="shared" ca="1" si="1"/>
        <v>2015</v>
      </c>
      <c r="F23" s="566">
        <f>Index!$C$9</f>
        <v>1913</v>
      </c>
      <c r="G23" s="566">
        <f>Index!$C$10</f>
        <v>1</v>
      </c>
      <c r="H23" s="568">
        <v>1000</v>
      </c>
      <c r="I23" s="568">
        <v>1000000</v>
      </c>
      <c r="J23" s="567">
        <v>15</v>
      </c>
      <c r="K23" s="567">
        <v>300</v>
      </c>
      <c r="L23" s="571">
        <f>ROUND(NSValidation!$E$67*0.5,$S$23)</f>
        <v>1000</v>
      </c>
      <c r="M23" s="571">
        <f>ROUND(NSValidation!$E$67*2.5,$S$23)</f>
        <v>5000</v>
      </c>
      <c r="N23" s="567">
        <f>NSValidation!$L$67</f>
        <v>16000</v>
      </c>
      <c r="O23" s="567">
        <f>NSValidation!$M$67</f>
        <v>38000</v>
      </c>
      <c r="Q23" s="318" t="s">
        <v>1672</v>
      </c>
      <c r="R23" s="579">
        <v>3</v>
      </c>
      <c r="S23" s="580">
        <v>-3.5</v>
      </c>
      <c r="T23" s="318" t="s">
        <v>1657</v>
      </c>
      <c r="W23" s="1793">
        <v>22</v>
      </c>
      <c r="X23" s="1795">
        <v>4.7930000000000001</v>
      </c>
      <c r="Y23" s="1795">
        <v>4.7930000000000001</v>
      </c>
      <c r="Z23" s="1795">
        <v>4.6609999999999996</v>
      </c>
      <c r="AA23" s="1795">
        <v>4.931</v>
      </c>
      <c r="AC23" s="1796"/>
    </row>
    <row r="24" spans="1:29" ht="13.5" thickBot="1" x14ac:dyDescent="0.25">
      <c r="A24" s="2030"/>
      <c r="B24" s="293" t="str">
        <f>Codes!$L$28</f>
        <v>Other (describe in Notes)</v>
      </c>
      <c r="C24" s="323" t="s">
        <v>1667</v>
      </c>
      <c r="D24" s="566">
        <v>1900</v>
      </c>
      <c r="E24" s="566">
        <f t="shared" ca="1" si="1"/>
        <v>2015</v>
      </c>
      <c r="F24" s="566">
        <f>Index!$C$9</f>
        <v>1913</v>
      </c>
      <c r="G24" s="566">
        <f>Index!$C$10</f>
        <v>1</v>
      </c>
      <c r="H24" s="568">
        <v>1000</v>
      </c>
      <c r="I24" s="568">
        <v>1000000</v>
      </c>
      <c r="J24" s="567">
        <v>15</v>
      </c>
      <c r="K24" s="567">
        <v>300</v>
      </c>
      <c r="L24" s="571">
        <v>300</v>
      </c>
      <c r="M24" s="571">
        <f>ROUND(NSValidation!$E$67*2.5,$S$23)</f>
        <v>5000</v>
      </c>
      <c r="N24" s="567">
        <v>5000</v>
      </c>
      <c r="O24" s="567">
        <f>NSValidation!$M$67</f>
        <v>38000</v>
      </c>
      <c r="Q24" s="311" t="s">
        <v>1666</v>
      </c>
      <c r="R24" s="563" t="str">
        <f ca="1">MID(CELL("filename",NSValidation!$A$1),FIND("]",CELL("filename",NSValidation!$A$1))+1,256)</f>
        <v>NSValidation</v>
      </c>
      <c r="S24" s="345"/>
      <c r="T24" s="314"/>
      <c r="W24" s="1793">
        <v>23</v>
      </c>
      <c r="X24" s="1795">
        <v>4.7830000000000004</v>
      </c>
      <c r="Y24" s="1795">
        <v>4.7830000000000004</v>
      </c>
      <c r="Z24" s="1795">
        <v>4.625</v>
      </c>
      <c r="AA24" s="1795">
        <v>4.9249999999999998</v>
      </c>
      <c r="AC24" s="1796"/>
    </row>
    <row r="25" spans="1:29" ht="13.5" thickBot="1" x14ac:dyDescent="0.25">
      <c r="A25" s="287"/>
      <c r="B25" s="287"/>
      <c r="C25" s="287"/>
      <c r="D25" s="314"/>
      <c r="E25" s="314"/>
      <c r="F25" s="314"/>
      <c r="G25" s="314"/>
      <c r="H25" s="314"/>
      <c r="I25" s="314"/>
      <c r="J25" s="314"/>
      <c r="K25" s="314"/>
      <c r="L25" s="314"/>
      <c r="M25" s="345"/>
      <c r="N25" s="345"/>
      <c r="O25" s="345"/>
      <c r="P25" s="345"/>
      <c r="Q25" s="314"/>
      <c r="R25" s="314"/>
      <c r="W25" s="1793">
        <v>24</v>
      </c>
      <c r="X25" s="1795">
        <v>4.7720000000000002</v>
      </c>
      <c r="Y25" s="1795">
        <v>4.7720000000000002</v>
      </c>
      <c r="Z25" s="1795">
        <v>4.5860000000000003</v>
      </c>
      <c r="AA25" s="1795">
        <v>4.9180000000000001</v>
      </c>
      <c r="AC25" s="1796"/>
    </row>
    <row r="26" spans="1:29" ht="26.25" thickBot="1" x14ac:dyDescent="0.25">
      <c r="A26" s="299" t="s">
        <v>554</v>
      </c>
      <c r="B26" s="299" t="s">
        <v>548</v>
      </c>
      <c r="C26" s="321" t="s">
        <v>169</v>
      </c>
      <c r="D26" s="321" t="s">
        <v>551</v>
      </c>
      <c r="E26" s="321" t="s">
        <v>60</v>
      </c>
      <c r="F26" s="321" t="s">
        <v>61</v>
      </c>
      <c r="G26" s="321" t="s">
        <v>266</v>
      </c>
      <c r="H26" s="321" t="s">
        <v>552</v>
      </c>
      <c r="I26" s="321" t="s">
        <v>60</v>
      </c>
      <c r="J26" s="321" t="s">
        <v>61</v>
      </c>
      <c r="K26" s="321" t="s">
        <v>266</v>
      </c>
      <c r="L26" s="314"/>
      <c r="M26" s="345"/>
      <c r="N26" s="345"/>
      <c r="O26" s="345"/>
      <c r="P26" s="345"/>
      <c r="Q26" s="314"/>
      <c r="R26" s="314"/>
      <c r="W26" s="1793">
        <v>25</v>
      </c>
      <c r="X26" s="1795">
        <v>4.7610000000000001</v>
      </c>
      <c r="Y26" s="1795">
        <v>4.7610000000000001</v>
      </c>
      <c r="Z26" s="1795">
        <v>4.5439999999999996</v>
      </c>
      <c r="AA26" s="1795">
        <v>4.9109999999999996</v>
      </c>
      <c r="AC26" s="1796"/>
    </row>
    <row r="27" spans="1:29" ht="13.5" thickBot="1" x14ac:dyDescent="0.25">
      <c r="A27" s="2028" t="s">
        <v>566</v>
      </c>
      <c r="B27" s="301" t="s">
        <v>221</v>
      </c>
      <c r="C27" s="323" t="s">
        <v>1667</v>
      </c>
      <c r="D27" s="564">
        <v>100</v>
      </c>
      <c r="E27" s="212">
        <f t="shared" ref="E27:E38" si="2">ROUND($D27*(1-$G27),0)</f>
        <v>75</v>
      </c>
      <c r="F27" s="212">
        <f t="shared" ref="F27:F38" si="3">ROUND($D27*(1+$G27),0)</f>
        <v>125</v>
      </c>
      <c r="G27" s="565">
        <v>0.25</v>
      </c>
      <c r="H27" s="564">
        <v>30</v>
      </c>
      <c r="I27" s="212">
        <f>ROUND($H27*(1-$K27),0)</f>
        <v>23</v>
      </c>
      <c r="J27" s="212">
        <f>ROUND($H27*(1+$K27),0)</f>
        <v>38</v>
      </c>
      <c r="K27" s="565">
        <v>0.25</v>
      </c>
      <c r="L27" s="314"/>
      <c r="M27" s="345"/>
      <c r="N27" s="345"/>
      <c r="O27" s="345"/>
      <c r="P27" s="345"/>
      <c r="Q27" s="314"/>
      <c r="R27" s="314"/>
      <c r="W27" s="1793">
        <v>26</v>
      </c>
      <c r="X27" s="1795">
        <v>4.7489999999999997</v>
      </c>
      <c r="Y27" s="1795">
        <v>4.7489999999999997</v>
      </c>
      <c r="Z27" s="1795">
        <v>4.4969999999999999</v>
      </c>
      <c r="AA27" s="1795">
        <v>4.9029999999999996</v>
      </c>
      <c r="AC27" s="1796"/>
    </row>
    <row r="28" spans="1:29" ht="13.5" thickBot="1" x14ac:dyDescent="0.25">
      <c r="A28" s="2029"/>
      <c r="B28" s="301" t="s">
        <v>299</v>
      </c>
      <c r="C28" s="323" t="s">
        <v>1667</v>
      </c>
      <c r="D28" s="564">
        <v>50</v>
      </c>
      <c r="E28" s="212">
        <f t="shared" si="2"/>
        <v>38</v>
      </c>
      <c r="F28" s="212">
        <f t="shared" si="3"/>
        <v>63</v>
      </c>
      <c r="G28" s="565">
        <v>0.25</v>
      </c>
      <c r="H28" s="564">
        <v>10</v>
      </c>
      <c r="I28" s="212">
        <f t="shared" ref="I28:I38" si="4">ROUND($H28*(1-$K28),0)</f>
        <v>8</v>
      </c>
      <c r="J28" s="212">
        <f t="shared" ref="J28:J38" si="5">ROUND($H28*(1+$K28),0)</f>
        <v>13</v>
      </c>
      <c r="K28" s="565">
        <v>0.25</v>
      </c>
      <c r="L28" s="314"/>
      <c r="M28" s="345"/>
      <c r="N28" s="345"/>
      <c r="O28" s="345"/>
      <c r="P28" s="345"/>
      <c r="Q28" s="314"/>
      <c r="R28" s="314"/>
      <c r="W28" s="1793">
        <v>27</v>
      </c>
      <c r="X28" s="1795">
        <v>4.7370000000000001</v>
      </c>
      <c r="Y28" s="1795">
        <v>4.7370000000000001</v>
      </c>
      <c r="Z28" s="1795">
        <v>4.4470000000000001</v>
      </c>
      <c r="AA28" s="1795">
        <v>4.8940000000000001</v>
      </c>
      <c r="AC28" s="1796"/>
    </row>
    <row r="29" spans="1:29" ht="13.5" thickBot="1" x14ac:dyDescent="0.25">
      <c r="A29" s="2029"/>
      <c r="B29" s="301" t="s">
        <v>297</v>
      </c>
      <c r="C29" s="323" t="s">
        <v>1667</v>
      </c>
      <c r="D29" s="564">
        <v>35</v>
      </c>
      <c r="E29" s="212">
        <f t="shared" si="2"/>
        <v>26</v>
      </c>
      <c r="F29" s="212">
        <f t="shared" si="3"/>
        <v>44</v>
      </c>
      <c r="G29" s="565">
        <v>0.25</v>
      </c>
      <c r="H29" s="564">
        <v>8</v>
      </c>
      <c r="I29" s="212">
        <f t="shared" si="4"/>
        <v>6</v>
      </c>
      <c r="J29" s="212">
        <f t="shared" si="5"/>
        <v>10</v>
      </c>
      <c r="K29" s="565">
        <v>0.25</v>
      </c>
      <c r="L29" s="314"/>
      <c r="M29" s="345"/>
      <c r="N29" s="345"/>
      <c r="O29" s="345"/>
      <c r="P29" s="345"/>
      <c r="Q29" s="314"/>
      <c r="R29" s="314"/>
      <c r="W29" s="1793">
        <v>28</v>
      </c>
      <c r="X29" s="1795">
        <v>4.7240000000000002</v>
      </c>
      <c r="Y29" s="1795">
        <v>4.7240000000000002</v>
      </c>
      <c r="Z29" s="1795">
        <v>4.3929999999999998</v>
      </c>
      <c r="AA29" s="1795">
        <v>4.8849999999999998</v>
      </c>
      <c r="AC29" s="1796"/>
    </row>
    <row r="30" spans="1:29" ht="13.5" thickBot="1" x14ac:dyDescent="0.25">
      <c r="A30" s="2029"/>
      <c r="B30" s="301" t="s">
        <v>298</v>
      </c>
      <c r="C30" s="323" t="s">
        <v>1667</v>
      </c>
      <c r="D30" s="564">
        <v>30</v>
      </c>
      <c r="E30" s="212">
        <f t="shared" si="2"/>
        <v>23</v>
      </c>
      <c r="F30" s="212">
        <f t="shared" si="3"/>
        <v>38</v>
      </c>
      <c r="G30" s="565">
        <v>0.25</v>
      </c>
      <c r="H30" s="564">
        <v>7</v>
      </c>
      <c r="I30" s="212">
        <f t="shared" si="4"/>
        <v>5</v>
      </c>
      <c r="J30" s="212">
        <f t="shared" si="5"/>
        <v>9</v>
      </c>
      <c r="K30" s="565">
        <v>0.25</v>
      </c>
      <c r="L30" s="314"/>
      <c r="M30" s="345"/>
      <c r="N30" s="345"/>
      <c r="O30" s="345"/>
      <c r="P30" s="345"/>
      <c r="Q30" s="314"/>
      <c r="R30" s="314"/>
      <c r="W30" s="1793">
        <v>29</v>
      </c>
      <c r="X30" s="1795">
        <v>4.7110000000000003</v>
      </c>
      <c r="Y30" s="1795">
        <v>4.7110000000000003</v>
      </c>
      <c r="Z30" s="1795">
        <v>4.3339999999999996</v>
      </c>
      <c r="AA30" s="1795">
        <v>4.8739999999999997</v>
      </c>
      <c r="AC30" s="1796"/>
    </row>
    <row r="31" spans="1:29" ht="13.5" thickBot="1" x14ac:dyDescent="0.25">
      <c r="A31" s="2029"/>
      <c r="B31" s="301" t="s">
        <v>216</v>
      </c>
      <c r="C31" s="323" t="s">
        <v>1667</v>
      </c>
      <c r="D31" s="564">
        <v>30</v>
      </c>
      <c r="E31" s="212">
        <f t="shared" si="2"/>
        <v>23</v>
      </c>
      <c r="F31" s="212">
        <f t="shared" si="3"/>
        <v>38</v>
      </c>
      <c r="G31" s="565">
        <v>0.25</v>
      </c>
      <c r="H31" s="564">
        <v>3</v>
      </c>
      <c r="I31" s="212">
        <f t="shared" si="4"/>
        <v>2</v>
      </c>
      <c r="J31" s="212">
        <f t="shared" si="5"/>
        <v>4</v>
      </c>
      <c r="K31" s="565">
        <v>0.25</v>
      </c>
      <c r="L31" s="314"/>
      <c r="M31" s="345"/>
      <c r="N31" s="345"/>
      <c r="O31" s="345"/>
      <c r="P31" s="345"/>
      <c r="Q31" s="314"/>
      <c r="R31" s="314"/>
      <c r="W31" s="1793">
        <v>30</v>
      </c>
      <c r="X31" s="1795">
        <v>4.6970000000000001</v>
      </c>
      <c r="Y31" s="1795">
        <v>4.6970000000000001</v>
      </c>
      <c r="Z31" s="1795">
        <v>4.2699999999999996</v>
      </c>
      <c r="AA31" s="1795">
        <v>4.8630000000000004</v>
      </c>
      <c r="AC31" s="1796"/>
    </row>
    <row r="32" spans="1:29" ht="13.5" thickBot="1" x14ac:dyDescent="0.25">
      <c r="A32" s="2029"/>
      <c r="B32" s="301" t="s">
        <v>217</v>
      </c>
      <c r="C32" s="323" t="s">
        <v>1667</v>
      </c>
      <c r="D32" s="564">
        <v>25</v>
      </c>
      <c r="E32" s="212">
        <f t="shared" si="2"/>
        <v>19</v>
      </c>
      <c r="F32" s="212">
        <f t="shared" si="3"/>
        <v>31</v>
      </c>
      <c r="G32" s="565">
        <v>0.25</v>
      </c>
      <c r="H32" s="564">
        <v>12</v>
      </c>
      <c r="I32" s="212">
        <f t="shared" si="4"/>
        <v>9</v>
      </c>
      <c r="J32" s="212">
        <f t="shared" si="5"/>
        <v>15</v>
      </c>
      <c r="K32" s="565">
        <v>0.25</v>
      </c>
      <c r="L32" s="314"/>
      <c r="M32" s="345"/>
      <c r="N32" s="345"/>
      <c r="O32" s="345"/>
      <c r="P32" s="345"/>
      <c r="Q32" s="314"/>
      <c r="R32" s="314"/>
      <c r="W32" s="1793">
        <v>31</v>
      </c>
      <c r="X32" s="1795">
        <v>4.6820000000000004</v>
      </c>
      <c r="Y32" s="1795">
        <v>4.6820000000000004</v>
      </c>
      <c r="Z32" s="1795">
        <v>4.202</v>
      </c>
      <c r="AA32" s="1795">
        <v>4.851</v>
      </c>
      <c r="AC32" s="1796"/>
    </row>
    <row r="33" spans="1:29" ht="13.5" thickBot="1" x14ac:dyDescent="0.25">
      <c r="A33" s="2029"/>
      <c r="B33" s="301" t="s">
        <v>141</v>
      </c>
      <c r="C33" s="323" t="s">
        <v>1667</v>
      </c>
      <c r="D33" s="564">
        <v>25</v>
      </c>
      <c r="E33" s="212">
        <f t="shared" si="2"/>
        <v>19</v>
      </c>
      <c r="F33" s="212">
        <f t="shared" si="3"/>
        <v>31</v>
      </c>
      <c r="G33" s="565">
        <v>0.25</v>
      </c>
      <c r="H33" s="564">
        <v>1</v>
      </c>
      <c r="I33" s="212">
        <f t="shared" si="4"/>
        <v>1</v>
      </c>
      <c r="J33" s="212">
        <f t="shared" si="5"/>
        <v>1</v>
      </c>
      <c r="K33" s="565">
        <v>0.25</v>
      </c>
      <c r="L33" s="314"/>
      <c r="M33" s="345"/>
      <c r="N33" s="345"/>
      <c r="O33" s="345"/>
      <c r="P33" s="345"/>
      <c r="Q33" s="314"/>
      <c r="R33" s="314"/>
      <c r="W33" s="1793">
        <v>32</v>
      </c>
      <c r="X33" s="1795">
        <v>4.6669999999999998</v>
      </c>
      <c r="Y33" s="1795">
        <v>4.6669999999999998</v>
      </c>
      <c r="Z33" s="1795">
        <v>4.13</v>
      </c>
      <c r="AA33" s="1795">
        <v>4.8369999999999997</v>
      </c>
      <c r="AC33" s="1796"/>
    </row>
    <row r="34" spans="1:29" ht="13.5" thickBot="1" x14ac:dyDescent="0.25">
      <c r="A34" s="2029"/>
      <c r="B34" s="301" t="s">
        <v>218</v>
      </c>
      <c r="C34" s="323" t="s">
        <v>1667</v>
      </c>
      <c r="D34" s="564">
        <v>25</v>
      </c>
      <c r="E34" s="212">
        <f t="shared" si="2"/>
        <v>19</v>
      </c>
      <c r="F34" s="212">
        <f t="shared" si="3"/>
        <v>31</v>
      </c>
      <c r="G34" s="565">
        <v>0.25</v>
      </c>
      <c r="H34" s="564">
        <v>1</v>
      </c>
      <c r="I34" s="212">
        <f t="shared" si="4"/>
        <v>1</v>
      </c>
      <c r="J34" s="212">
        <f t="shared" si="5"/>
        <v>1</v>
      </c>
      <c r="K34" s="565">
        <v>0.25</v>
      </c>
      <c r="L34" s="314"/>
      <c r="M34" s="345"/>
      <c r="N34" s="345"/>
      <c r="O34" s="345"/>
      <c r="P34" s="345"/>
      <c r="Q34" s="314"/>
      <c r="R34" s="314"/>
      <c r="W34" s="1793">
        <v>33</v>
      </c>
      <c r="X34" s="1795">
        <v>4.6509999999999998</v>
      </c>
      <c r="Y34" s="1795">
        <v>4.6509999999999998</v>
      </c>
      <c r="Z34" s="1795">
        <v>4.0529999999999999</v>
      </c>
      <c r="AA34" s="1795">
        <v>4.8230000000000004</v>
      </c>
      <c r="AC34" s="1796"/>
    </row>
    <row r="35" spans="1:29" ht="13.5" thickBot="1" x14ac:dyDescent="0.25">
      <c r="A35" s="2029"/>
      <c r="B35" s="301" t="s">
        <v>219</v>
      </c>
      <c r="C35" s="323" t="s">
        <v>1667</v>
      </c>
      <c r="D35" s="564">
        <v>12</v>
      </c>
      <c r="E35" s="212">
        <f t="shared" si="2"/>
        <v>9</v>
      </c>
      <c r="F35" s="212">
        <f t="shared" si="3"/>
        <v>15</v>
      </c>
      <c r="G35" s="565">
        <v>0.25</v>
      </c>
      <c r="H35" s="564">
        <v>5</v>
      </c>
      <c r="I35" s="212">
        <f t="shared" si="4"/>
        <v>4</v>
      </c>
      <c r="J35" s="212">
        <f t="shared" si="5"/>
        <v>6</v>
      </c>
      <c r="K35" s="565">
        <v>0.25</v>
      </c>
      <c r="L35" s="314"/>
      <c r="M35" s="345"/>
      <c r="N35" s="345"/>
      <c r="O35" s="345"/>
      <c r="P35" s="345"/>
      <c r="Q35" s="314"/>
      <c r="R35" s="314"/>
      <c r="W35" s="1793">
        <v>34</v>
      </c>
      <c r="X35" s="1795">
        <v>4.6349999999999998</v>
      </c>
      <c r="Y35" s="1795">
        <v>4.6349999999999998</v>
      </c>
      <c r="Z35" s="1795">
        <v>3.9710000000000001</v>
      </c>
      <c r="AA35" s="1795">
        <v>4.8070000000000004</v>
      </c>
      <c r="AC35" s="1796"/>
    </row>
    <row r="36" spans="1:29" ht="13.5" thickBot="1" x14ac:dyDescent="0.25">
      <c r="A36" s="2029"/>
      <c r="B36" s="301" t="s">
        <v>271</v>
      </c>
      <c r="C36" s="323" t="s">
        <v>1667</v>
      </c>
      <c r="D36" s="564">
        <v>50</v>
      </c>
      <c r="E36" s="212">
        <f t="shared" si="2"/>
        <v>38</v>
      </c>
      <c r="F36" s="212">
        <f t="shared" si="3"/>
        <v>63</v>
      </c>
      <c r="G36" s="565">
        <v>0.25</v>
      </c>
      <c r="H36" s="564">
        <v>8</v>
      </c>
      <c r="I36" s="212">
        <f t="shared" si="4"/>
        <v>6</v>
      </c>
      <c r="J36" s="212">
        <f t="shared" si="5"/>
        <v>10</v>
      </c>
      <c r="K36" s="565">
        <v>0.25</v>
      </c>
      <c r="L36" s="314"/>
      <c r="M36" s="345"/>
      <c r="N36" s="345"/>
      <c r="O36" s="345"/>
      <c r="P36" s="345"/>
      <c r="Q36" s="314"/>
      <c r="R36" s="314"/>
      <c r="W36" s="1793">
        <v>35</v>
      </c>
      <c r="X36" s="1795">
        <v>4.6180000000000003</v>
      </c>
      <c r="Y36" s="1795">
        <v>4.6180000000000003</v>
      </c>
      <c r="Z36" s="1795">
        <v>3.8839999999999999</v>
      </c>
      <c r="AA36" s="1795">
        <v>4.79</v>
      </c>
      <c r="AC36" s="1796"/>
    </row>
    <row r="37" spans="1:29" ht="13.5" thickBot="1" x14ac:dyDescent="0.25">
      <c r="A37" s="2029"/>
      <c r="B37" s="301" t="s">
        <v>272</v>
      </c>
      <c r="C37" s="323" t="s">
        <v>1667</v>
      </c>
      <c r="D37" s="564">
        <v>50</v>
      </c>
      <c r="E37" s="212">
        <f t="shared" si="2"/>
        <v>38</v>
      </c>
      <c r="F37" s="212">
        <f t="shared" si="3"/>
        <v>63</v>
      </c>
      <c r="G37" s="565">
        <v>0.25</v>
      </c>
      <c r="H37" s="564">
        <v>11</v>
      </c>
      <c r="I37" s="212">
        <f t="shared" si="4"/>
        <v>8</v>
      </c>
      <c r="J37" s="212">
        <f t="shared" si="5"/>
        <v>14</v>
      </c>
      <c r="K37" s="565">
        <v>0.25</v>
      </c>
      <c r="L37" s="314"/>
      <c r="M37" s="345"/>
      <c r="N37" s="345"/>
      <c r="O37" s="345"/>
      <c r="P37" s="345"/>
      <c r="Q37" s="314"/>
      <c r="R37" s="314"/>
      <c r="W37" s="1793">
        <v>36</v>
      </c>
      <c r="X37" s="1795">
        <v>4.5999999999999996</v>
      </c>
      <c r="Y37" s="1795">
        <v>4.5999999999999996</v>
      </c>
      <c r="Z37" s="1795">
        <v>3.794</v>
      </c>
      <c r="AA37" s="1795">
        <v>4.7720000000000002</v>
      </c>
      <c r="AC37" s="1796"/>
    </row>
    <row r="38" spans="1:29" ht="13.5" thickBot="1" x14ac:dyDescent="0.25">
      <c r="A38" s="2030"/>
      <c r="B38" s="301" t="s">
        <v>584</v>
      </c>
      <c r="C38" s="323" t="s">
        <v>1667</v>
      </c>
      <c r="D38" s="564">
        <v>50</v>
      </c>
      <c r="E38" s="212">
        <f t="shared" si="2"/>
        <v>38</v>
      </c>
      <c r="F38" s="212">
        <f t="shared" si="3"/>
        <v>63</v>
      </c>
      <c r="G38" s="565">
        <v>0.25</v>
      </c>
      <c r="H38" s="564">
        <v>4</v>
      </c>
      <c r="I38" s="212">
        <f t="shared" si="4"/>
        <v>3</v>
      </c>
      <c r="J38" s="212">
        <f t="shared" si="5"/>
        <v>5</v>
      </c>
      <c r="K38" s="565">
        <v>0.25</v>
      </c>
      <c r="L38" s="314"/>
      <c r="M38" s="345"/>
      <c r="N38" s="345"/>
      <c r="O38" s="345"/>
      <c r="P38" s="345"/>
      <c r="Q38" s="314"/>
      <c r="R38" s="314"/>
      <c r="W38" s="1793">
        <v>37</v>
      </c>
      <c r="X38" s="1795">
        <v>4.5810000000000004</v>
      </c>
      <c r="Y38" s="1795">
        <v>4.5810000000000004</v>
      </c>
      <c r="Z38" s="1795">
        <v>3.6989999999999998</v>
      </c>
      <c r="AA38" s="1795">
        <v>4.7519999999999998</v>
      </c>
      <c r="AC38" s="1796"/>
    </row>
    <row r="39" spans="1:29" ht="13.5" thickBot="1" x14ac:dyDescent="0.25">
      <c r="A39" s="287"/>
      <c r="B39" s="287"/>
      <c r="C39" s="287"/>
      <c r="D39" s="314"/>
      <c r="E39" s="314"/>
      <c r="F39" s="314"/>
      <c r="G39" s="314"/>
      <c r="H39" s="314"/>
      <c r="I39" s="314"/>
      <c r="J39" s="314"/>
      <c r="K39" s="314"/>
      <c r="L39" s="314"/>
      <c r="M39" s="345"/>
      <c r="N39" s="345"/>
      <c r="O39" s="345"/>
      <c r="P39" s="345"/>
      <c r="Q39" s="314"/>
      <c r="R39" s="314"/>
      <c r="W39" s="1793">
        <v>38</v>
      </c>
      <c r="X39" s="1795">
        <v>4.5609999999999999</v>
      </c>
      <c r="Y39" s="1795">
        <v>4.5609999999999999</v>
      </c>
      <c r="Z39" s="1795">
        <v>3.601</v>
      </c>
      <c r="AA39" s="1795">
        <v>4.7309999999999999</v>
      </c>
      <c r="AC39" s="1796"/>
    </row>
    <row r="40" spans="1:29" ht="26.25" thickBot="1" x14ac:dyDescent="0.25">
      <c r="A40" s="299" t="s">
        <v>554</v>
      </c>
      <c r="B40" s="299" t="s">
        <v>548</v>
      </c>
      <c r="C40" s="321" t="s">
        <v>169</v>
      </c>
      <c r="D40" s="321" t="s">
        <v>551</v>
      </c>
      <c r="E40" s="321" t="s">
        <v>60</v>
      </c>
      <c r="F40" s="321" t="s">
        <v>61</v>
      </c>
      <c r="G40" s="321" t="s">
        <v>266</v>
      </c>
      <c r="H40" s="321" t="s">
        <v>552</v>
      </c>
      <c r="I40" s="321" t="s">
        <v>60</v>
      </c>
      <c r="J40" s="321" t="s">
        <v>61</v>
      </c>
      <c r="K40" s="321" t="s">
        <v>266</v>
      </c>
      <c r="L40" s="314"/>
      <c r="M40" s="345"/>
      <c r="N40" s="345"/>
      <c r="O40" s="345"/>
      <c r="P40" s="345"/>
      <c r="Q40" s="314"/>
      <c r="R40" s="314"/>
      <c r="W40" s="1793">
        <v>39</v>
      </c>
      <c r="X40" s="1795">
        <v>4.5410000000000004</v>
      </c>
      <c r="Y40" s="1795">
        <v>4.5410000000000004</v>
      </c>
      <c r="Z40" s="1795">
        <v>3.4990000000000001</v>
      </c>
      <c r="AA40" s="1795">
        <v>4.7080000000000002</v>
      </c>
      <c r="AC40" s="1796"/>
    </row>
    <row r="41" spans="1:29" ht="13.5" thickBot="1" x14ac:dyDescent="0.25">
      <c r="A41" s="2028" t="s">
        <v>582</v>
      </c>
      <c r="B41" s="301" t="s">
        <v>221</v>
      </c>
      <c r="C41" s="323" t="s">
        <v>1667</v>
      </c>
      <c r="D41" s="564">
        <v>100</v>
      </c>
      <c r="E41" s="212">
        <f t="shared" ref="E41:E50" si="6">ROUND($D41*(1-$G41),0)</f>
        <v>75</v>
      </c>
      <c r="F41" s="212">
        <f t="shared" ref="F41:F50" si="7">ROUND($D41*(1+$G41),0)</f>
        <v>125</v>
      </c>
      <c r="G41" s="565">
        <v>0.25</v>
      </c>
      <c r="H41" s="564">
        <v>33</v>
      </c>
      <c r="I41" s="212">
        <f>ROUND($H41*(1-$K41),0)</f>
        <v>25</v>
      </c>
      <c r="J41" s="212">
        <f>ROUND($H41*(1+$K41),0)</f>
        <v>41</v>
      </c>
      <c r="K41" s="565">
        <v>0.25</v>
      </c>
      <c r="L41" s="314"/>
      <c r="M41" s="345"/>
      <c r="N41" s="345"/>
      <c r="O41" s="345"/>
      <c r="P41" s="345"/>
      <c r="Q41" s="314"/>
      <c r="R41" s="314"/>
      <c r="W41" s="1793">
        <v>40</v>
      </c>
      <c r="X41" s="1795">
        <v>4.5199999999999996</v>
      </c>
      <c r="Y41" s="1795">
        <v>4.5199999999999996</v>
      </c>
      <c r="Z41" s="1795">
        <v>3.395</v>
      </c>
      <c r="AA41" s="1795">
        <v>4.6829999999999998</v>
      </c>
      <c r="AC41" s="1796"/>
    </row>
    <row r="42" spans="1:29" ht="13.5" thickBot="1" x14ac:dyDescent="0.25">
      <c r="A42" s="2029"/>
      <c r="B42" s="301" t="s">
        <v>578</v>
      </c>
      <c r="C42" s="323" t="s">
        <v>1667</v>
      </c>
      <c r="D42" s="564">
        <v>50</v>
      </c>
      <c r="E42" s="212">
        <f t="shared" si="6"/>
        <v>38</v>
      </c>
      <c r="F42" s="212">
        <f t="shared" si="7"/>
        <v>63</v>
      </c>
      <c r="G42" s="565">
        <v>0.25</v>
      </c>
      <c r="H42" s="564">
        <v>10</v>
      </c>
      <c r="I42" s="212">
        <f t="shared" ref="I42:I50" si="8">ROUND($H42*(1-$K42),0)</f>
        <v>8</v>
      </c>
      <c r="J42" s="212">
        <f t="shared" ref="J42:J50" si="9">ROUND($H42*(1+$K42),0)</f>
        <v>13</v>
      </c>
      <c r="K42" s="565">
        <v>0.25</v>
      </c>
      <c r="L42" s="314"/>
      <c r="M42" s="345"/>
      <c r="N42" s="345"/>
      <c r="O42" s="345"/>
      <c r="P42" s="345"/>
      <c r="Q42" s="314"/>
      <c r="R42" s="314"/>
      <c r="W42" s="1793">
        <v>41</v>
      </c>
      <c r="X42" s="1795">
        <v>4.4980000000000002</v>
      </c>
      <c r="Y42" s="1795">
        <v>4.4980000000000002</v>
      </c>
      <c r="Z42" s="1795">
        <v>3.2879999999999998</v>
      </c>
      <c r="AA42" s="1795">
        <v>4.6559999999999997</v>
      </c>
      <c r="AC42" s="1796"/>
    </row>
    <row r="43" spans="1:29" ht="13.5" thickBot="1" x14ac:dyDescent="0.25">
      <c r="A43" s="2029"/>
      <c r="B43" s="301" t="s">
        <v>579</v>
      </c>
      <c r="C43" s="323" t="s">
        <v>1667</v>
      </c>
      <c r="D43" s="564">
        <v>15</v>
      </c>
      <c r="E43" s="212">
        <f t="shared" si="6"/>
        <v>11</v>
      </c>
      <c r="F43" s="212">
        <f t="shared" si="7"/>
        <v>19</v>
      </c>
      <c r="G43" s="565">
        <v>0.25</v>
      </c>
      <c r="H43" s="564">
        <v>7</v>
      </c>
      <c r="I43" s="212">
        <f t="shared" si="8"/>
        <v>5</v>
      </c>
      <c r="J43" s="212">
        <f t="shared" si="9"/>
        <v>9</v>
      </c>
      <c r="K43" s="565">
        <v>0.25</v>
      </c>
      <c r="L43" s="314"/>
      <c r="M43" s="345"/>
      <c r="N43" s="344"/>
      <c r="O43" s="344"/>
      <c r="P43" s="344"/>
      <c r="Q43" s="314"/>
      <c r="R43" s="314"/>
      <c r="W43" s="1793">
        <v>42</v>
      </c>
      <c r="X43" s="1795">
        <v>4.4749999999999996</v>
      </c>
      <c r="Y43" s="1795">
        <v>4.4749999999999996</v>
      </c>
      <c r="Z43" s="1795">
        <v>3.18</v>
      </c>
      <c r="AA43" s="1795">
        <v>4.6269999999999998</v>
      </c>
      <c r="AC43" s="1796"/>
    </row>
    <row r="44" spans="1:29" ht="13.5" thickBot="1" x14ac:dyDescent="0.25">
      <c r="A44" s="2029"/>
      <c r="B44" s="301" t="s">
        <v>580</v>
      </c>
      <c r="C44" s="323" t="s">
        <v>1667</v>
      </c>
      <c r="D44" s="564">
        <v>25</v>
      </c>
      <c r="E44" s="212">
        <f t="shared" si="6"/>
        <v>19</v>
      </c>
      <c r="F44" s="212">
        <f t="shared" si="7"/>
        <v>31</v>
      </c>
      <c r="G44" s="565">
        <v>0.25</v>
      </c>
      <c r="H44" s="564">
        <v>12</v>
      </c>
      <c r="I44" s="212">
        <f t="shared" si="8"/>
        <v>9</v>
      </c>
      <c r="J44" s="212">
        <f t="shared" si="9"/>
        <v>15</v>
      </c>
      <c r="K44" s="565">
        <v>0.25</v>
      </c>
      <c r="L44" s="314"/>
      <c r="M44" s="345"/>
      <c r="N44" s="344"/>
      <c r="O44" s="344"/>
      <c r="P44" s="344"/>
      <c r="Q44" s="314"/>
      <c r="R44" s="314"/>
      <c r="W44" s="1793">
        <v>43</v>
      </c>
      <c r="X44" s="1795">
        <v>4.452</v>
      </c>
      <c r="Y44" s="1795">
        <v>4.452</v>
      </c>
      <c r="Z44" s="1795">
        <v>3.07</v>
      </c>
      <c r="AA44" s="1795">
        <v>4.5960000000000001</v>
      </c>
      <c r="AC44" s="1796"/>
    </row>
    <row r="45" spans="1:29" ht="13.5" thickBot="1" x14ac:dyDescent="0.25">
      <c r="A45" s="2029"/>
      <c r="B45" s="301" t="s">
        <v>299</v>
      </c>
      <c r="C45" s="323" t="s">
        <v>1667</v>
      </c>
      <c r="D45" s="564">
        <v>50</v>
      </c>
      <c r="E45" s="212">
        <f t="shared" si="6"/>
        <v>38</v>
      </c>
      <c r="F45" s="212">
        <f t="shared" si="7"/>
        <v>63</v>
      </c>
      <c r="G45" s="565">
        <v>0.25</v>
      </c>
      <c r="H45" s="564">
        <v>10</v>
      </c>
      <c r="I45" s="212">
        <f t="shared" si="8"/>
        <v>8</v>
      </c>
      <c r="J45" s="212">
        <f t="shared" si="9"/>
        <v>13</v>
      </c>
      <c r="K45" s="565">
        <v>0.25</v>
      </c>
      <c r="L45" s="314"/>
      <c r="M45" s="345"/>
      <c r="N45" s="344"/>
      <c r="O45" s="344"/>
      <c r="P45" s="344"/>
      <c r="Q45" s="314"/>
      <c r="R45" s="314"/>
      <c r="W45" s="1793">
        <v>44</v>
      </c>
      <c r="X45" s="1795">
        <v>4.4269999999999996</v>
      </c>
      <c r="Y45" s="1795">
        <v>4.4269999999999996</v>
      </c>
      <c r="Z45" s="1795">
        <v>2.96</v>
      </c>
      <c r="AA45" s="1795">
        <v>4.5629999999999997</v>
      </c>
      <c r="AC45" s="1796"/>
    </row>
    <row r="46" spans="1:29" ht="13.5" thickBot="1" x14ac:dyDescent="0.25">
      <c r="A46" s="2029"/>
      <c r="B46" s="301" t="s">
        <v>581</v>
      </c>
      <c r="C46" s="323" t="s">
        <v>1667</v>
      </c>
      <c r="D46" s="564">
        <v>25</v>
      </c>
      <c r="E46" s="212">
        <f t="shared" si="6"/>
        <v>19</v>
      </c>
      <c r="F46" s="212">
        <f t="shared" si="7"/>
        <v>31</v>
      </c>
      <c r="G46" s="565">
        <v>0.25</v>
      </c>
      <c r="H46" s="564">
        <v>4</v>
      </c>
      <c r="I46" s="212">
        <f t="shared" si="8"/>
        <v>3</v>
      </c>
      <c r="J46" s="212">
        <f t="shared" si="9"/>
        <v>5</v>
      </c>
      <c r="K46" s="565">
        <v>0.25</v>
      </c>
      <c r="L46" s="314"/>
      <c r="M46" s="345"/>
      <c r="N46" s="344"/>
      <c r="O46" s="344"/>
      <c r="P46" s="344"/>
      <c r="Q46" s="314"/>
      <c r="R46" s="314"/>
      <c r="W46" s="1793">
        <v>45</v>
      </c>
      <c r="X46" s="1795">
        <v>4.4020000000000001</v>
      </c>
      <c r="Y46" s="1795">
        <v>4.4020000000000001</v>
      </c>
      <c r="Z46" s="1795">
        <v>2.85</v>
      </c>
      <c r="AA46" s="1795">
        <v>4.5270000000000001</v>
      </c>
      <c r="AC46" s="1796"/>
    </row>
    <row r="47" spans="1:29" ht="13.5" thickBot="1" x14ac:dyDescent="0.25">
      <c r="A47" s="2029"/>
      <c r="B47" s="301" t="s">
        <v>549</v>
      </c>
      <c r="C47" s="323" t="s">
        <v>1667</v>
      </c>
      <c r="D47" s="564">
        <v>30</v>
      </c>
      <c r="E47" s="212">
        <f t="shared" si="6"/>
        <v>23</v>
      </c>
      <c r="F47" s="212">
        <f t="shared" si="7"/>
        <v>38</v>
      </c>
      <c r="G47" s="565">
        <v>0.25</v>
      </c>
      <c r="H47" s="564">
        <v>4</v>
      </c>
      <c r="I47" s="212">
        <f t="shared" si="8"/>
        <v>3</v>
      </c>
      <c r="J47" s="212">
        <f t="shared" si="9"/>
        <v>5</v>
      </c>
      <c r="K47" s="565">
        <v>0.25</v>
      </c>
      <c r="L47" s="314"/>
      <c r="M47" s="345"/>
      <c r="N47" s="344"/>
      <c r="O47" s="344"/>
      <c r="P47" s="344"/>
      <c r="Q47" s="314"/>
      <c r="R47" s="314"/>
      <c r="W47" s="1793">
        <v>46</v>
      </c>
      <c r="X47" s="1795">
        <v>4.375</v>
      </c>
      <c r="Y47" s="1795">
        <v>4.375</v>
      </c>
      <c r="Z47" s="1795">
        <v>2.7410000000000001</v>
      </c>
      <c r="AA47" s="1795">
        <v>4.4880000000000004</v>
      </c>
      <c r="AC47" s="1796"/>
    </row>
    <row r="48" spans="1:29" ht="13.5" thickBot="1" x14ac:dyDescent="0.25">
      <c r="A48" s="2029"/>
      <c r="B48" s="301" t="s">
        <v>298</v>
      </c>
      <c r="C48" s="323" t="s">
        <v>1667</v>
      </c>
      <c r="D48" s="564">
        <v>30</v>
      </c>
      <c r="E48" s="212">
        <f t="shared" si="6"/>
        <v>23</v>
      </c>
      <c r="F48" s="212">
        <f t="shared" si="7"/>
        <v>38</v>
      </c>
      <c r="G48" s="565">
        <v>0.25</v>
      </c>
      <c r="H48" s="564">
        <v>7</v>
      </c>
      <c r="I48" s="212">
        <f t="shared" si="8"/>
        <v>5</v>
      </c>
      <c r="J48" s="212">
        <f t="shared" si="9"/>
        <v>9</v>
      </c>
      <c r="K48" s="565">
        <v>0.25</v>
      </c>
      <c r="L48" s="314"/>
      <c r="M48" s="345"/>
      <c r="N48" s="344"/>
      <c r="O48" s="344"/>
      <c r="P48" s="344"/>
      <c r="Q48" s="314"/>
      <c r="R48" s="314"/>
      <c r="W48" s="1793">
        <v>47</v>
      </c>
      <c r="X48" s="1795">
        <v>4.3479999999999999</v>
      </c>
      <c r="Y48" s="1795">
        <v>4.3479999999999999</v>
      </c>
      <c r="Z48" s="1795">
        <v>2.6339999999999999</v>
      </c>
      <c r="AA48" s="1795">
        <v>4.4480000000000004</v>
      </c>
      <c r="AC48" s="1796"/>
    </row>
    <row r="49" spans="1:29" ht="13.5" thickBot="1" x14ac:dyDescent="0.25">
      <c r="A49" s="2029"/>
      <c r="B49" s="301" t="s">
        <v>297</v>
      </c>
      <c r="C49" s="323" t="s">
        <v>1667</v>
      </c>
      <c r="D49" s="564">
        <v>35</v>
      </c>
      <c r="E49" s="212">
        <f t="shared" si="6"/>
        <v>26</v>
      </c>
      <c r="F49" s="212">
        <f t="shared" si="7"/>
        <v>44</v>
      </c>
      <c r="G49" s="565">
        <v>0.25</v>
      </c>
      <c r="H49" s="564">
        <v>8</v>
      </c>
      <c r="I49" s="212">
        <f t="shared" si="8"/>
        <v>6</v>
      </c>
      <c r="J49" s="212">
        <f t="shared" si="9"/>
        <v>10</v>
      </c>
      <c r="K49" s="565">
        <v>0.25</v>
      </c>
      <c r="L49" s="314"/>
      <c r="M49" s="345"/>
      <c r="N49" s="344"/>
      <c r="O49" s="344"/>
      <c r="P49" s="344"/>
      <c r="Q49" s="314"/>
      <c r="R49" s="314"/>
      <c r="S49" s="287"/>
      <c r="W49" s="1793">
        <v>48</v>
      </c>
      <c r="X49" s="1795">
        <v>4.32</v>
      </c>
      <c r="Y49" s="1795">
        <v>4.32</v>
      </c>
      <c r="Z49" s="1795">
        <v>2.5289999999999999</v>
      </c>
      <c r="AA49" s="1795">
        <v>4.4039999999999999</v>
      </c>
      <c r="AC49" s="1796"/>
    </row>
    <row r="50" spans="1:29" ht="13.5" thickBot="1" x14ac:dyDescent="0.25">
      <c r="A50" s="2030"/>
      <c r="B50" s="301" t="s">
        <v>550</v>
      </c>
      <c r="C50" s="323" t="s">
        <v>1667</v>
      </c>
      <c r="D50" s="564">
        <v>25</v>
      </c>
      <c r="E50" s="212">
        <f t="shared" si="6"/>
        <v>19</v>
      </c>
      <c r="F50" s="212">
        <f t="shared" si="7"/>
        <v>31</v>
      </c>
      <c r="G50" s="565">
        <v>0.25</v>
      </c>
      <c r="H50" s="564">
        <v>5</v>
      </c>
      <c r="I50" s="212">
        <f t="shared" si="8"/>
        <v>4</v>
      </c>
      <c r="J50" s="212">
        <f t="shared" si="9"/>
        <v>6</v>
      </c>
      <c r="K50" s="565">
        <v>0.25</v>
      </c>
      <c r="L50" s="314"/>
      <c r="M50" s="318"/>
      <c r="N50" s="314"/>
      <c r="O50" s="314"/>
      <c r="P50" s="314"/>
      <c r="Q50" s="314"/>
      <c r="R50" s="314"/>
      <c r="S50" s="287"/>
      <c r="W50" s="1793">
        <v>49</v>
      </c>
      <c r="X50" s="1795">
        <v>4.2910000000000004</v>
      </c>
      <c r="Y50" s="1795">
        <v>4.2910000000000004</v>
      </c>
      <c r="Z50" s="1795">
        <v>2.427</v>
      </c>
      <c r="AA50" s="1795">
        <v>4.3579999999999997</v>
      </c>
      <c r="AC50" s="1796"/>
    </row>
    <row r="51" spans="1:29" ht="13.5" thickBot="1" x14ac:dyDescent="0.25">
      <c r="A51" s="287"/>
      <c r="B51" s="287"/>
      <c r="C51" s="287"/>
      <c r="D51" s="314"/>
      <c r="E51" s="314"/>
      <c r="F51" s="314"/>
      <c r="G51" s="314"/>
      <c r="H51" s="314"/>
      <c r="I51" s="314"/>
      <c r="J51" s="314"/>
      <c r="K51" s="314"/>
      <c r="L51" s="314"/>
      <c r="M51" s="345"/>
      <c r="N51" s="345"/>
      <c r="O51" s="345"/>
      <c r="P51" s="345"/>
      <c r="Q51" s="314"/>
      <c r="R51" s="314"/>
      <c r="S51" s="287"/>
      <c r="W51" s="1793">
        <v>50</v>
      </c>
      <c r="X51" s="1795">
        <v>4.26</v>
      </c>
      <c r="Y51" s="1795">
        <v>4.26</v>
      </c>
      <c r="Z51" s="1795">
        <v>2.327</v>
      </c>
      <c r="AA51" s="1795">
        <v>4.3079999999999998</v>
      </c>
      <c r="AC51" s="1796"/>
    </row>
    <row r="52" spans="1:29" ht="26.25" thickBot="1" x14ac:dyDescent="0.25">
      <c r="A52" s="299" t="s">
        <v>554</v>
      </c>
      <c r="B52" s="299" t="s">
        <v>548</v>
      </c>
      <c r="C52" s="321" t="s">
        <v>169</v>
      </c>
      <c r="D52" s="321" t="s">
        <v>551</v>
      </c>
      <c r="E52" s="321" t="s">
        <v>60</v>
      </c>
      <c r="F52" s="321" t="s">
        <v>61</v>
      </c>
      <c r="G52" s="321" t="s">
        <v>266</v>
      </c>
      <c r="H52" s="321" t="s">
        <v>552</v>
      </c>
      <c r="I52" s="321" t="s">
        <v>60</v>
      </c>
      <c r="J52" s="321" t="s">
        <v>61</v>
      </c>
      <c r="K52" s="321" t="s">
        <v>266</v>
      </c>
      <c r="L52" s="314"/>
      <c r="M52" s="345"/>
      <c r="N52" s="345"/>
      <c r="O52" s="345"/>
      <c r="P52" s="345"/>
      <c r="Q52" s="314"/>
      <c r="R52" s="314"/>
      <c r="S52" s="287"/>
      <c r="W52" s="1793">
        <v>51</v>
      </c>
      <c r="X52" s="1795">
        <v>4.2290000000000001</v>
      </c>
      <c r="Y52" s="1795">
        <v>4.2290000000000001</v>
      </c>
      <c r="Z52" s="1795">
        <v>2.2320000000000002</v>
      </c>
      <c r="AA52" s="1795">
        <v>4.2560000000000002</v>
      </c>
      <c r="AC52" s="1796"/>
    </row>
    <row r="53" spans="1:29" ht="13.5" thickBot="1" x14ac:dyDescent="0.25">
      <c r="A53" s="2028" t="s">
        <v>583</v>
      </c>
      <c r="B53" s="301" t="s">
        <v>221</v>
      </c>
      <c r="C53" s="323" t="s">
        <v>1667</v>
      </c>
      <c r="D53" s="564">
        <v>100</v>
      </c>
      <c r="E53" s="212">
        <f t="shared" ref="E53:E62" si="10">ROUND($D53*(1-$G53),0)</f>
        <v>75</v>
      </c>
      <c r="F53" s="212">
        <f t="shared" ref="F53:F62" si="11">ROUND($D53*(1+$G53),0)</f>
        <v>125</v>
      </c>
      <c r="G53" s="565">
        <v>0.25</v>
      </c>
      <c r="H53" s="564">
        <v>33</v>
      </c>
      <c r="I53" s="212">
        <f>ROUND($H53*(1-$K53),0)</f>
        <v>25</v>
      </c>
      <c r="J53" s="212">
        <f>ROUND($H53*(1+$K53),0)</f>
        <v>41</v>
      </c>
      <c r="K53" s="565">
        <v>0.25</v>
      </c>
      <c r="L53" s="314"/>
      <c r="M53" s="345"/>
      <c r="N53" s="345"/>
      <c r="O53" s="345"/>
      <c r="P53" s="345"/>
      <c r="Q53" s="314"/>
      <c r="R53" s="314"/>
      <c r="S53" s="287"/>
      <c r="W53" s="1793">
        <v>52</v>
      </c>
      <c r="X53" s="1795">
        <v>4.1970000000000001</v>
      </c>
      <c r="Y53" s="1795">
        <v>4.1970000000000001</v>
      </c>
      <c r="Z53" s="1795">
        <v>2.14</v>
      </c>
      <c r="AA53" s="1795">
        <v>4.2009999999999996</v>
      </c>
      <c r="AC53" s="1796"/>
    </row>
    <row r="54" spans="1:29" ht="13.5" thickBot="1" x14ac:dyDescent="0.25">
      <c r="A54" s="2029"/>
      <c r="B54" s="301" t="s">
        <v>578</v>
      </c>
      <c r="C54" s="323" t="s">
        <v>1667</v>
      </c>
      <c r="D54" s="564">
        <v>50</v>
      </c>
      <c r="E54" s="212">
        <f t="shared" si="10"/>
        <v>38</v>
      </c>
      <c r="F54" s="212">
        <f t="shared" si="11"/>
        <v>63</v>
      </c>
      <c r="G54" s="565">
        <v>0.25</v>
      </c>
      <c r="H54" s="564">
        <v>10</v>
      </c>
      <c r="I54" s="212">
        <f t="shared" ref="I54:I62" si="12">ROUND($H54*(1-$K54),0)</f>
        <v>8</v>
      </c>
      <c r="J54" s="212">
        <f t="shared" ref="J54:J62" si="13">ROUND($H54*(1+$K54),0)</f>
        <v>13</v>
      </c>
      <c r="K54" s="565">
        <v>0.25</v>
      </c>
      <c r="L54" s="314"/>
      <c r="M54" s="345"/>
      <c r="N54" s="345"/>
      <c r="O54" s="345"/>
      <c r="P54" s="345"/>
      <c r="Q54" s="314"/>
      <c r="R54" s="314"/>
      <c r="S54" s="287"/>
      <c r="W54" s="1793">
        <v>53</v>
      </c>
      <c r="X54" s="1795">
        <v>4.1639999999999997</v>
      </c>
      <c r="Y54" s="1795">
        <v>4.1639999999999997</v>
      </c>
      <c r="Z54" s="1795">
        <v>2.052</v>
      </c>
      <c r="AA54" s="1795">
        <v>4.1429999999999998</v>
      </c>
      <c r="AC54" s="1796"/>
    </row>
    <row r="55" spans="1:29" ht="13.5" thickBot="1" x14ac:dyDescent="0.25">
      <c r="A55" s="2029"/>
      <c r="B55" s="301" t="s">
        <v>579</v>
      </c>
      <c r="C55" s="323" t="s">
        <v>1667</v>
      </c>
      <c r="D55" s="564">
        <v>15</v>
      </c>
      <c r="E55" s="212">
        <f t="shared" si="10"/>
        <v>11</v>
      </c>
      <c r="F55" s="212">
        <f t="shared" si="11"/>
        <v>19</v>
      </c>
      <c r="G55" s="565">
        <v>0.25</v>
      </c>
      <c r="H55" s="564">
        <v>7</v>
      </c>
      <c r="I55" s="212">
        <f t="shared" si="12"/>
        <v>5</v>
      </c>
      <c r="J55" s="212">
        <f t="shared" si="13"/>
        <v>9</v>
      </c>
      <c r="K55" s="565">
        <v>0.25</v>
      </c>
      <c r="L55" s="314"/>
      <c r="M55" s="345"/>
      <c r="N55" s="314"/>
      <c r="O55" s="314"/>
      <c r="P55" s="314"/>
      <c r="Q55" s="314"/>
      <c r="R55" s="314"/>
      <c r="S55" s="287"/>
      <c r="W55" s="1793">
        <v>54</v>
      </c>
      <c r="X55" s="1795">
        <v>4.13</v>
      </c>
      <c r="Y55" s="1795">
        <v>4.13</v>
      </c>
      <c r="Z55" s="1795">
        <v>1.9690000000000001</v>
      </c>
      <c r="AA55" s="1795">
        <v>4.0810000000000004</v>
      </c>
      <c r="AC55" s="1796"/>
    </row>
    <row r="56" spans="1:29" ht="13.5" thickBot="1" x14ac:dyDescent="0.25">
      <c r="A56" s="2029"/>
      <c r="B56" s="301" t="s">
        <v>580</v>
      </c>
      <c r="C56" s="323" t="s">
        <v>1667</v>
      </c>
      <c r="D56" s="564">
        <v>25</v>
      </c>
      <c r="E56" s="212">
        <f t="shared" si="10"/>
        <v>19</v>
      </c>
      <c r="F56" s="212">
        <f t="shared" si="11"/>
        <v>31</v>
      </c>
      <c r="G56" s="565">
        <v>0.25</v>
      </c>
      <c r="H56" s="564">
        <v>12</v>
      </c>
      <c r="I56" s="212">
        <f t="shared" si="12"/>
        <v>9</v>
      </c>
      <c r="J56" s="212">
        <f t="shared" si="13"/>
        <v>15</v>
      </c>
      <c r="K56" s="565">
        <v>0.25</v>
      </c>
      <c r="L56" s="314"/>
      <c r="M56" s="345"/>
      <c r="N56" s="314"/>
      <c r="O56" s="314"/>
      <c r="P56" s="314"/>
      <c r="Q56" s="314"/>
      <c r="R56" s="314"/>
      <c r="S56" s="287"/>
      <c r="W56" s="1793">
        <v>55</v>
      </c>
      <c r="X56" s="1795">
        <v>4.0949999999999998</v>
      </c>
      <c r="Y56" s="1795">
        <v>4.0949999999999998</v>
      </c>
      <c r="Z56" s="1795">
        <v>1.891</v>
      </c>
      <c r="AA56" s="1795">
        <v>4.0170000000000003</v>
      </c>
      <c r="AC56" s="1796"/>
    </row>
    <row r="57" spans="1:29" ht="13.5" thickBot="1" x14ac:dyDescent="0.25">
      <c r="A57" s="2029"/>
      <c r="B57" s="301" t="s">
        <v>299</v>
      </c>
      <c r="C57" s="323" t="s">
        <v>1667</v>
      </c>
      <c r="D57" s="564">
        <v>50</v>
      </c>
      <c r="E57" s="212">
        <f t="shared" si="10"/>
        <v>38</v>
      </c>
      <c r="F57" s="212">
        <f t="shared" si="11"/>
        <v>63</v>
      </c>
      <c r="G57" s="565">
        <v>0.25</v>
      </c>
      <c r="H57" s="564">
        <v>10</v>
      </c>
      <c r="I57" s="212">
        <f t="shared" si="12"/>
        <v>8</v>
      </c>
      <c r="J57" s="212">
        <f t="shared" si="13"/>
        <v>13</v>
      </c>
      <c r="K57" s="565">
        <v>0.25</v>
      </c>
      <c r="L57" s="314"/>
      <c r="M57" s="318"/>
      <c r="N57" s="314"/>
      <c r="O57" s="314"/>
      <c r="P57" s="314"/>
      <c r="Q57" s="314"/>
      <c r="R57" s="314"/>
      <c r="S57" s="287"/>
      <c r="W57" s="1793">
        <v>56</v>
      </c>
      <c r="X57" s="1795">
        <v>4.0579999999999998</v>
      </c>
      <c r="Y57" s="1795">
        <v>4.0579999999999998</v>
      </c>
      <c r="Z57" s="1795">
        <v>1.8169999999999999</v>
      </c>
      <c r="AA57" s="1795">
        <v>3.95</v>
      </c>
      <c r="AC57" s="1796"/>
    </row>
    <row r="58" spans="1:29" ht="13.5" thickBot="1" x14ac:dyDescent="0.25">
      <c r="A58" s="2029"/>
      <c r="B58" s="301" t="s">
        <v>581</v>
      </c>
      <c r="C58" s="323" t="s">
        <v>1667</v>
      </c>
      <c r="D58" s="564">
        <v>25</v>
      </c>
      <c r="E58" s="212">
        <f t="shared" si="10"/>
        <v>19</v>
      </c>
      <c r="F58" s="212">
        <f t="shared" si="11"/>
        <v>31</v>
      </c>
      <c r="G58" s="565">
        <v>0.25</v>
      </c>
      <c r="H58" s="564">
        <v>4</v>
      </c>
      <c r="I58" s="212">
        <f t="shared" si="12"/>
        <v>3</v>
      </c>
      <c r="J58" s="212">
        <f t="shared" si="13"/>
        <v>5</v>
      </c>
      <c r="K58" s="565">
        <v>0.25</v>
      </c>
      <c r="L58" s="314"/>
      <c r="M58" s="318"/>
      <c r="N58" s="314"/>
      <c r="O58" s="314"/>
      <c r="P58" s="314"/>
      <c r="Q58" s="314"/>
      <c r="R58" s="314"/>
      <c r="S58" s="287"/>
      <c r="W58" s="1793">
        <v>57</v>
      </c>
      <c r="X58" s="1795">
        <v>4.0209999999999999</v>
      </c>
      <c r="Y58" s="1795">
        <v>4.0209999999999999</v>
      </c>
      <c r="Z58" s="1795">
        <v>1.748</v>
      </c>
      <c r="AA58" s="1795">
        <v>3.88</v>
      </c>
      <c r="AC58" s="1796"/>
    </row>
    <row r="59" spans="1:29" ht="13.5" thickBot="1" x14ac:dyDescent="0.25">
      <c r="A59" s="2029"/>
      <c r="B59" s="301" t="s">
        <v>549</v>
      </c>
      <c r="C59" s="323" t="s">
        <v>1667</v>
      </c>
      <c r="D59" s="564">
        <v>30</v>
      </c>
      <c r="E59" s="212">
        <f t="shared" si="10"/>
        <v>23</v>
      </c>
      <c r="F59" s="212">
        <f t="shared" si="11"/>
        <v>38</v>
      </c>
      <c r="G59" s="565">
        <v>0.25</v>
      </c>
      <c r="H59" s="564">
        <v>4</v>
      </c>
      <c r="I59" s="212">
        <f t="shared" si="12"/>
        <v>3</v>
      </c>
      <c r="J59" s="212">
        <f t="shared" si="13"/>
        <v>5</v>
      </c>
      <c r="K59" s="565">
        <v>0.25</v>
      </c>
      <c r="L59" s="314"/>
      <c r="M59" s="318"/>
      <c r="N59" s="314"/>
      <c r="O59" s="314"/>
      <c r="P59" s="314"/>
      <c r="Q59" s="314"/>
      <c r="R59" s="314"/>
      <c r="S59" s="287"/>
      <c r="W59" s="1793">
        <v>58</v>
      </c>
      <c r="X59" s="1795">
        <v>3.9830000000000001</v>
      </c>
      <c r="Y59" s="1795">
        <v>3.9830000000000001</v>
      </c>
      <c r="Z59" s="1795">
        <v>1.6830000000000001</v>
      </c>
      <c r="AA59" s="1795">
        <v>3.8069999999999999</v>
      </c>
      <c r="AC59" s="1796"/>
    </row>
    <row r="60" spans="1:29" ht="13.5" thickBot="1" x14ac:dyDescent="0.25">
      <c r="A60" s="2029"/>
      <c r="B60" s="301" t="s">
        <v>298</v>
      </c>
      <c r="C60" s="323" t="s">
        <v>1667</v>
      </c>
      <c r="D60" s="564">
        <v>30</v>
      </c>
      <c r="E60" s="212">
        <f t="shared" si="10"/>
        <v>23</v>
      </c>
      <c r="F60" s="212">
        <f t="shared" si="11"/>
        <v>38</v>
      </c>
      <c r="G60" s="565">
        <v>0.25</v>
      </c>
      <c r="H60" s="564">
        <v>7</v>
      </c>
      <c r="I60" s="212">
        <f t="shared" si="12"/>
        <v>5</v>
      </c>
      <c r="J60" s="212">
        <f t="shared" si="13"/>
        <v>9</v>
      </c>
      <c r="K60" s="565">
        <v>0.25</v>
      </c>
      <c r="L60" s="314"/>
      <c r="M60" s="318"/>
      <c r="N60" s="314"/>
      <c r="O60" s="314"/>
      <c r="P60" s="314"/>
      <c r="Q60" s="314"/>
      <c r="R60" s="314"/>
      <c r="S60" s="287"/>
      <c r="W60" s="1793">
        <v>59</v>
      </c>
      <c r="X60" s="1795">
        <v>3.944</v>
      </c>
      <c r="Y60" s="1795">
        <v>3.944</v>
      </c>
      <c r="Z60" s="1795">
        <v>1.623</v>
      </c>
      <c r="AA60" s="1795">
        <v>3.7309999999999999</v>
      </c>
      <c r="AC60" s="1796"/>
    </row>
    <row r="61" spans="1:29" ht="13.5" thickBot="1" x14ac:dyDescent="0.25">
      <c r="A61" s="2029"/>
      <c r="B61" s="301" t="s">
        <v>297</v>
      </c>
      <c r="C61" s="323" t="s">
        <v>1667</v>
      </c>
      <c r="D61" s="564">
        <v>35</v>
      </c>
      <c r="E61" s="212">
        <f t="shared" si="10"/>
        <v>26</v>
      </c>
      <c r="F61" s="212">
        <f t="shared" si="11"/>
        <v>44</v>
      </c>
      <c r="G61" s="565">
        <v>0.25</v>
      </c>
      <c r="H61" s="564">
        <v>8</v>
      </c>
      <c r="I61" s="212">
        <f t="shared" si="12"/>
        <v>6</v>
      </c>
      <c r="J61" s="212">
        <f t="shared" si="13"/>
        <v>10</v>
      </c>
      <c r="K61" s="565">
        <v>0.25</v>
      </c>
      <c r="L61" s="314"/>
      <c r="M61" s="318"/>
      <c r="N61" s="314"/>
      <c r="O61" s="314"/>
      <c r="P61" s="314"/>
      <c r="Q61" s="314"/>
      <c r="R61" s="314"/>
      <c r="S61" s="287"/>
      <c r="W61" s="1793">
        <v>60</v>
      </c>
      <c r="X61" s="1795">
        <v>3.9039999999999999</v>
      </c>
      <c r="Y61" s="1795">
        <v>3.9039999999999999</v>
      </c>
      <c r="Z61" s="1795">
        <v>1.5669999999999999</v>
      </c>
      <c r="AA61" s="1795">
        <v>3.653</v>
      </c>
      <c r="AC61" s="1796"/>
    </row>
    <row r="62" spans="1:29" ht="13.5" thickBot="1" x14ac:dyDescent="0.25">
      <c r="A62" s="2030"/>
      <c r="B62" s="301" t="s">
        <v>550</v>
      </c>
      <c r="C62" s="323" t="s">
        <v>1667</v>
      </c>
      <c r="D62" s="564">
        <v>25</v>
      </c>
      <c r="E62" s="212">
        <f t="shared" si="10"/>
        <v>19</v>
      </c>
      <c r="F62" s="212">
        <f t="shared" si="11"/>
        <v>31</v>
      </c>
      <c r="G62" s="565">
        <v>0.25</v>
      </c>
      <c r="H62" s="564">
        <v>5</v>
      </c>
      <c r="I62" s="212">
        <f t="shared" si="12"/>
        <v>4</v>
      </c>
      <c r="J62" s="212">
        <f t="shared" si="13"/>
        <v>6</v>
      </c>
      <c r="K62" s="565">
        <v>0.25</v>
      </c>
      <c r="L62" s="314"/>
      <c r="M62" s="318"/>
      <c r="N62" s="314"/>
      <c r="O62" s="314"/>
      <c r="P62" s="314"/>
      <c r="Q62" s="314"/>
      <c r="R62" s="314"/>
      <c r="S62" s="287"/>
      <c r="W62" s="1793">
        <v>61</v>
      </c>
      <c r="X62" s="1795">
        <v>3.863</v>
      </c>
      <c r="Y62" s="1795">
        <v>3.863</v>
      </c>
      <c r="Z62" s="1795">
        <v>1.516</v>
      </c>
      <c r="AA62" s="1795">
        <v>3.573</v>
      </c>
      <c r="AC62" s="1796"/>
    </row>
    <row r="63" spans="1:29" ht="13.5" thickBot="1" x14ac:dyDescent="0.25">
      <c r="A63" s="287"/>
      <c r="B63" s="287"/>
      <c r="C63" s="287"/>
      <c r="D63" s="314"/>
      <c r="E63" s="314"/>
      <c r="F63" s="314"/>
      <c r="G63" s="314"/>
      <c r="H63" s="314"/>
      <c r="I63" s="314"/>
      <c r="J63" s="314"/>
      <c r="K63" s="314"/>
      <c r="L63" s="314"/>
      <c r="M63" s="314"/>
      <c r="N63" s="314"/>
      <c r="O63" s="314"/>
      <c r="P63" s="314"/>
      <c r="Q63" s="314"/>
      <c r="R63" s="314"/>
      <c r="S63" s="287"/>
      <c r="W63" s="1793">
        <v>62</v>
      </c>
      <c r="X63" s="1795">
        <v>3.8210000000000002</v>
      </c>
      <c r="Y63" s="1795">
        <v>3.8210000000000002</v>
      </c>
      <c r="Z63" s="1795">
        <v>1.468</v>
      </c>
      <c r="AA63" s="1795">
        <v>3.49</v>
      </c>
      <c r="AC63" s="1796"/>
    </row>
    <row r="64" spans="1:29" s="289" customFormat="1" ht="52.5" customHeight="1" thickBot="1" x14ac:dyDescent="0.25">
      <c r="A64" s="312" t="s">
        <v>554</v>
      </c>
      <c r="B64" s="312" t="s">
        <v>529</v>
      </c>
      <c r="C64" s="321" t="s">
        <v>169</v>
      </c>
      <c r="D64" s="321" t="s">
        <v>523</v>
      </c>
      <c r="E64" s="321" t="s">
        <v>524</v>
      </c>
      <c r="F64" s="321" t="s">
        <v>525</v>
      </c>
      <c r="G64" s="321" t="s">
        <v>526</v>
      </c>
      <c r="H64" s="321" t="s">
        <v>527</v>
      </c>
      <c r="I64" s="321" t="s">
        <v>266</v>
      </c>
      <c r="J64" s="322" t="s">
        <v>530</v>
      </c>
      <c r="K64" s="322" t="s">
        <v>528</v>
      </c>
      <c r="L64" s="321" t="s">
        <v>517</v>
      </c>
      <c r="M64" s="321" t="s">
        <v>518</v>
      </c>
      <c r="N64" s="322" t="s">
        <v>1668</v>
      </c>
      <c r="O64" s="322" t="s">
        <v>1669</v>
      </c>
      <c r="S64" s="287"/>
      <c r="V64" s="288"/>
      <c r="W64" s="1793">
        <v>63</v>
      </c>
      <c r="X64" s="1795">
        <v>3.778</v>
      </c>
      <c r="Y64" s="1795">
        <v>3.778</v>
      </c>
      <c r="Z64" s="1795">
        <v>1.425</v>
      </c>
      <c r="AA64" s="1795">
        <v>3.4060000000000001</v>
      </c>
      <c r="AC64" s="1796"/>
    </row>
    <row r="65" spans="1:29" s="289" customFormat="1" ht="13.5" thickBot="1" x14ac:dyDescent="0.25">
      <c r="A65" s="2025" t="s">
        <v>555</v>
      </c>
      <c r="B65" s="294" t="s">
        <v>540</v>
      </c>
      <c r="C65" s="317" t="s">
        <v>2165</v>
      </c>
      <c r="D65" s="568">
        <v>0</v>
      </c>
      <c r="E65" s="568">
        <v>500</v>
      </c>
      <c r="F65" s="569">
        <v>80</v>
      </c>
      <c r="G65" s="212">
        <f t="shared" ref="G65:G70" si="14">ROUND($F65*(1-$I65),0)</f>
        <v>60</v>
      </c>
      <c r="H65" s="212">
        <f t="shared" ref="H65:H70" si="15">ROUND($F65*(1+$I65),0)</f>
        <v>100</v>
      </c>
      <c r="I65" s="569">
        <v>0.25</v>
      </c>
      <c r="J65" s="566">
        <f>Index!$C$10</f>
        <v>1</v>
      </c>
      <c r="K65" s="566">
        <f>Index!$C$9</f>
        <v>1913</v>
      </c>
      <c r="L65" s="567">
        <v>15000000</v>
      </c>
      <c r="M65" s="567">
        <v>500000000</v>
      </c>
      <c r="N65" s="568">
        <v>0</v>
      </c>
      <c r="O65" s="568">
        <v>5000</v>
      </c>
      <c r="S65" s="300"/>
      <c r="V65" s="288"/>
      <c r="W65" s="1793">
        <v>64</v>
      </c>
      <c r="X65" s="1795">
        <v>3.7349999999999999</v>
      </c>
      <c r="Y65" s="1795">
        <v>3.7349999999999999</v>
      </c>
      <c r="Z65" s="1795">
        <v>1.385</v>
      </c>
      <c r="AA65" s="1795">
        <v>3.32</v>
      </c>
      <c r="AC65" s="1796"/>
    </row>
    <row r="66" spans="1:29" s="289" customFormat="1" ht="13.5" thickBot="1" x14ac:dyDescent="0.25">
      <c r="A66" s="2026"/>
      <c r="B66" s="294" t="s">
        <v>541</v>
      </c>
      <c r="C66" s="317" t="s">
        <v>2165</v>
      </c>
      <c r="D66" s="568">
        <v>0</v>
      </c>
      <c r="E66" s="568">
        <v>500</v>
      </c>
      <c r="F66" s="569">
        <v>80</v>
      </c>
      <c r="G66" s="212">
        <f t="shared" si="14"/>
        <v>60</v>
      </c>
      <c r="H66" s="212">
        <f t="shared" si="15"/>
        <v>100</v>
      </c>
      <c r="I66" s="569">
        <v>0.25</v>
      </c>
      <c r="J66" s="566">
        <f>Index!$C$10</f>
        <v>1</v>
      </c>
      <c r="K66" s="566">
        <f>Index!$C$9</f>
        <v>1913</v>
      </c>
      <c r="L66" s="567">
        <v>15000000</v>
      </c>
      <c r="M66" s="567">
        <v>500000000</v>
      </c>
      <c r="N66" s="568">
        <v>0</v>
      </c>
      <c r="O66" s="568">
        <v>5000</v>
      </c>
      <c r="S66" s="300"/>
      <c r="V66" s="288"/>
      <c r="W66" s="1793">
        <v>65</v>
      </c>
      <c r="X66" s="1795">
        <v>3.69</v>
      </c>
      <c r="Y66" s="1795">
        <v>3.69</v>
      </c>
      <c r="Z66" s="1795">
        <v>1.3480000000000001</v>
      </c>
      <c r="AA66" s="1795">
        <v>3.2330000000000001</v>
      </c>
      <c r="AC66" s="1796"/>
    </row>
    <row r="67" spans="1:29" s="289" customFormat="1" ht="13.5" thickBot="1" x14ac:dyDescent="0.25">
      <c r="A67" s="2026"/>
      <c r="B67" s="294" t="s">
        <v>542</v>
      </c>
      <c r="C67" s="317" t="s">
        <v>2165</v>
      </c>
      <c r="D67" s="568">
        <v>0</v>
      </c>
      <c r="E67" s="568">
        <v>500</v>
      </c>
      <c r="F67" s="569">
        <v>80</v>
      </c>
      <c r="G67" s="212">
        <f t="shared" si="14"/>
        <v>60</v>
      </c>
      <c r="H67" s="212">
        <f t="shared" si="15"/>
        <v>100</v>
      </c>
      <c r="I67" s="569">
        <v>0.25</v>
      </c>
      <c r="J67" s="566">
        <f>Index!$C$10</f>
        <v>1</v>
      </c>
      <c r="K67" s="566">
        <f>Index!$C$9</f>
        <v>1913</v>
      </c>
      <c r="L67" s="567">
        <v>15000000</v>
      </c>
      <c r="M67" s="567">
        <v>500000000</v>
      </c>
      <c r="N67" s="568">
        <v>0</v>
      </c>
      <c r="O67" s="568">
        <v>5000</v>
      </c>
      <c r="S67" s="300"/>
      <c r="V67" s="288"/>
      <c r="W67" s="1793">
        <v>66</v>
      </c>
      <c r="X67" s="1795">
        <v>3.645</v>
      </c>
      <c r="Y67" s="1795">
        <v>3.645</v>
      </c>
      <c r="Z67" s="1795">
        <v>1.3149999999999999</v>
      </c>
      <c r="AA67" s="1795">
        <v>3.1459999999999999</v>
      </c>
      <c r="AC67" s="1796"/>
    </row>
    <row r="68" spans="1:29" s="289" customFormat="1" ht="13.5" thickBot="1" x14ac:dyDescent="0.25">
      <c r="A68" s="2026"/>
      <c r="B68" s="294" t="s">
        <v>543</v>
      </c>
      <c r="C68" s="317" t="s">
        <v>2165</v>
      </c>
      <c r="D68" s="568">
        <v>0</v>
      </c>
      <c r="E68" s="568">
        <v>500</v>
      </c>
      <c r="F68" s="569">
        <v>80</v>
      </c>
      <c r="G68" s="212">
        <f t="shared" si="14"/>
        <v>60</v>
      </c>
      <c r="H68" s="212">
        <f t="shared" si="15"/>
        <v>100</v>
      </c>
      <c r="I68" s="569">
        <v>0.25</v>
      </c>
      <c r="J68" s="566">
        <f>Index!$C$10</f>
        <v>1</v>
      </c>
      <c r="K68" s="566">
        <f>Index!$C$9</f>
        <v>1913</v>
      </c>
      <c r="L68" s="567">
        <v>15000000</v>
      </c>
      <c r="M68" s="567">
        <v>500000000</v>
      </c>
      <c r="N68" s="568">
        <v>0</v>
      </c>
      <c r="O68" s="568">
        <v>5000</v>
      </c>
      <c r="S68" s="300"/>
      <c r="V68" s="288"/>
      <c r="W68" s="1793">
        <v>67</v>
      </c>
      <c r="X68" s="1795">
        <v>3.5990000000000002</v>
      </c>
      <c r="Y68" s="1795">
        <v>3.5990000000000002</v>
      </c>
      <c r="Z68" s="1795">
        <v>1.284</v>
      </c>
      <c r="AA68" s="1795">
        <v>3.0569999999999999</v>
      </c>
      <c r="AC68" s="1796"/>
    </row>
    <row r="69" spans="1:29" s="289" customFormat="1" ht="13.5" thickBot="1" x14ac:dyDescent="0.25">
      <c r="A69" s="2026"/>
      <c r="B69" s="294" t="s">
        <v>545</v>
      </c>
      <c r="C69" s="317" t="s">
        <v>2165</v>
      </c>
      <c r="D69" s="568">
        <v>0</v>
      </c>
      <c r="E69" s="568">
        <v>500</v>
      </c>
      <c r="F69" s="569">
        <v>80</v>
      </c>
      <c r="G69" s="212">
        <f t="shared" si="14"/>
        <v>60</v>
      </c>
      <c r="H69" s="212">
        <f t="shared" si="15"/>
        <v>100</v>
      </c>
      <c r="I69" s="569">
        <v>0.25</v>
      </c>
      <c r="J69" s="566">
        <f>Index!$C$10</f>
        <v>1</v>
      </c>
      <c r="K69" s="566">
        <f>Index!$C$9</f>
        <v>1913</v>
      </c>
      <c r="L69" s="567">
        <v>15000000</v>
      </c>
      <c r="M69" s="567">
        <v>500000000</v>
      </c>
      <c r="N69" s="568">
        <v>0</v>
      </c>
      <c r="O69" s="568">
        <v>5000</v>
      </c>
      <c r="S69" s="300"/>
      <c r="V69" s="288"/>
      <c r="W69" s="1793">
        <v>68</v>
      </c>
      <c r="X69" s="1795">
        <v>3.552</v>
      </c>
      <c r="Y69" s="1795">
        <v>3.552</v>
      </c>
      <c r="Z69" s="1795">
        <v>1.2569999999999999</v>
      </c>
      <c r="AA69" s="1795">
        <v>2.968</v>
      </c>
      <c r="AC69" s="1796"/>
    </row>
    <row r="70" spans="1:29" s="289" customFormat="1" ht="13.5" thickBot="1" x14ac:dyDescent="0.25">
      <c r="A70" s="2027"/>
      <c r="B70" s="294" t="s">
        <v>544</v>
      </c>
      <c r="C70" s="317" t="s">
        <v>2165</v>
      </c>
      <c r="D70" s="568">
        <v>0</v>
      </c>
      <c r="E70" s="568">
        <v>500</v>
      </c>
      <c r="F70" s="569">
        <v>80</v>
      </c>
      <c r="G70" s="212">
        <f t="shared" si="14"/>
        <v>60</v>
      </c>
      <c r="H70" s="212">
        <f t="shared" si="15"/>
        <v>100</v>
      </c>
      <c r="I70" s="569">
        <v>0.25</v>
      </c>
      <c r="J70" s="566">
        <f>Index!$C$10</f>
        <v>1</v>
      </c>
      <c r="K70" s="566">
        <f>Index!$C$9</f>
        <v>1913</v>
      </c>
      <c r="L70" s="567">
        <v>15000000</v>
      </c>
      <c r="M70" s="567">
        <v>500000000</v>
      </c>
      <c r="N70" s="568">
        <v>0</v>
      </c>
      <c r="O70" s="568">
        <v>5000</v>
      </c>
      <c r="S70" s="300"/>
      <c r="V70" s="288"/>
      <c r="W70" s="1793">
        <v>69</v>
      </c>
      <c r="X70" s="1795">
        <v>3.5049999999999999</v>
      </c>
      <c r="Y70" s="1795">
        <v>3.5049999999999999</v>
      </c>
      <c r="Z70" s="1795">
        <v>1.2310000000000001</v>
      </c>
      <c r="AA70" s="1795">
        <v>2.88</v>
      </c>
      <c r="AC70" s="1796"/>
    </row>
    <row r="71" spans="1:29" ht="13.5" thickBot="1" x14ac:dyDescent="0.25">
      <c r="A71" s="2025" t="s">
        <v>155</v>
      </c>
      <c r="B71" s="1281" t="s">
        <v>2272</v>
      </c>
      <c r="C71" s="317" t="s">
        <v>2274</v>
      </c>
      <c r="D71" s="570">
        <f>NSValidation!X8</f>
        <v>0</v>
      </c>
      <c r="E71" s="570">
        <f>(NSValidation!Y8/2)*5280</f>
        <v>1320000</v>
      </c>
      <c r="F71" s="569">
        <v>80</v>
      </c>
      <c r="G71" s="212">
        <f t="shared" ref="G71:G79" si="16">ROUND($F71*(1-$I71),0)</f>
        <v>60</v>
      </c>
      <c r="H71" s="212">
        <f t="shared" ref="H71:H79" si="17">ROUND($F71*(1+$I71),0)</f>
        <v>100</v>
      </c>
      <c r="I71" s="569">
        <v>0.25</v>
      </c>
      <c r="J71" s="566">
        <f>Index!$C$10</f>
        <v>1</v>
      </c>
      <c r="K71" s="566">
        <f>Index!$C$9</f>
        <v>1913</v>
      </c>
      <c r="L71" s="324">
        <f>NSValidation!L8</f>
        <v>1000</v>
      </c>
      <c r="M71" s="324">
        <f>NSValidation!M8</f>
        <v>5000</v>
      </c>
      <c r="N71" s="568">
        <v>0</v>
      </c>
      <c r="O71" s="568">
        <v>5000</v>
      </c>
      <c r="P71" s="311" t="s">
        <v>1666</v>
      </c>
      <c r="Q71" s="563" t="str">
        <f ca="1">MID(CELL("filename",NSValidation!$A$1),FIND("]",CELL("filename",NSValidation!$A$1))+1,256)</f>
        <v>NSValidation</v>
      </c>
      <c r="W71" s="1793">
        <v>70</v>
      </c>
      <c r="X71" s="1795">
        <v>3.4569999999999999</v>
      </c>
      <c r="Y71" s="1795">
        <v>3.4569999999999999</v>
      </c>
      <c r="Z71" s="1795">
        <v>1.2090000000000001</v>
      </c>
      <c r="AA71" s="1795">
        <v>2.7919999999999998</v>
      </c>
      <c r="AC71" s="1796"/>
    </row>
    <row r="72" spans="1:29" ht="13.5" thickBot="1" x14ac:dyDescent="0.25">
      <c r="A72" s="2026"/>
      <c r="B72" s="294" t="s">
        <v>241</v>
      </c>
      <c r="C72" s="317" t="s">
        <v>2274</v>
      </c>
      <c r="D72" s="570">
        <f>NSValidation!X10</f>
        <v>0</v>
      </c>
      <c r="E72" s="570">
        <f>(NSValidation!Y10/2)*5280</f>
        <v>1320000</v>
      </c>
      <c r="F72" s="569">
        <v>80</v>
      </c>
      <c r="G72" s="212">
        <f t="shared" si="16"/>
        <v>60</v>
      </c>
      <c r="H72" s="212">
        <f t="shared" si="17"/>
        <v>100</v>
      </c>
      <c r="I72" s="569">
        <v>0.25</v>
      </c>
      <c r="J72" s="566">
        <f>Index!$C$10</f>
        <v>1</v>
      </c>
      <c r="K72" s="566">
        <f>Index!$C$9</f>
        <v>1913</v>
      </c>
      <c r="L72" s="324">
        <f>NSValidation!L10</f>
        <v>1000</v>
      </c>
      <c r="M72" s="324">
        <f>NSValidation!M10</f>
        <v>5000</v>
      </c>
      <c r="N72" s="568">
        <v>0</v>
      </c>
      <c r="O72" s="568">
        <v>5000</v>
      </c>
      <c r="P72" s="311" t="s">
        <v>1666</v>
      </c>
      <c r="Q72" s="563" t="str">
        <f ca="1">MID(CELL("filename",NSValidation!$A$1),FIND("]",CELL("filename",NSValidation!$A$1))+1,256)</f>
        <v>NSValidation</v>
      </c>
      <c r="W72" s="1793">
        <v>71</v>
      </c>
      <c r="X72" s="1795">
        <v>3.4089999999999998</v>
      </c>
      <c r="Y72" s="1795">
        <v>3.4089999999999998</v>
      </c>
      <c r="Z72" s="1795">
        <v>1.1879999999999999</v>
      </c>
      <c r="AA72" s="1795">
        <v>2.7040000000000002</v>
      </c>
      <c r="AC72" s="1796"/>
    </row>
    <row r="73" spans="1:29" ht="13.5" thickBot="1" x14ac:dyDescent="0.25">
      <c r="A73" s="2026"/>
      <c r="B73" s="295" t="s">
        <v>245</v>
      </c>
      <c r="C73" s="317" t="s">
        <v>2274</v>
      </c>
      <c r="D73" s="570">
        <f>NSValidation!X16</f>
        <v>0</v>
      </c>
      <c r="E73" s="570">
        <f>(NSValidation!Y16/2)*5280</f>
        <v>1320000</v>
      </c>
      <c r="F73" s="569">
        <v>80</v>
      </c>
      <c r="G73" s="212">
        <f t="shared" si="16"/>
        <v>60</v>
      </c>
      <c r="H73" s="212">
        <f t="shared" si="17"/>
        <v>100</v>
      </c>
      <c r="I73" s="569">
        <v>0.25</v>
      </c>
      <c r="J73" s="566">
        <f>Index!$C$10</f>
        <v>1</v>
      </c>
      <c r="K73" s="566">
        <f>Index!$C$9</f>
        <v>1913</v>
      </c>
      <c r="L73" s="324">
        <f>NSValidation!L16</f>
        <v>1000</v>
      </c>
      <c r="M73" s="324">
        <f>NSValidation!M16</f>
        <v>5000</v>
      </c>
      <c r="N73" s="568">
        <v>0</v>
      </c>
      <c r="O73" s="568">
        <v>5000</v>
      </c>
      <c r="P73" s="311" t="s">
        <v>1666</v>
      </c>
      <c r="Q73" s="563" t="str">
        <f ca="1">MID(CELL("filename",NSValidation!$A$1),FIND("]",CELL("filename",NSValidation!$A$1))+1,256)</f>
        <v>NSValidation</v>
      </c>
      <c r="W73" s="1793">
        <v>72</v>
      </c>
      <c r="X73" s="1795">
        <v>3.36</v>
      </c>
      <c r="Y73" s="1795">
        <v>3.36</v>
      </c>
      <c r="Z73" s="1795">
        <v>1.169</v>
      </c>
      <c r="AA73" s="1795">
        <v>2.6179999999999999</v>
      </c>
      <c r="AC73" s="1796"/>
    </row>
    <row r="74" spans="1:29" ht="12.75" customHeight="1" thickBot="1" x14ac:dyDescent="0.25">
      <c r="A74" s="2026"/>
      <c r="B74" s="296" t="s">
        <v>242</v>
      </c>
      <c r="C74" s="317" t="s">
        <v>2274</v>
      </c>
      <c r="D74" s="570">
        <f>NSValidation!X15</f>
        <v>0</v>
      </c>
      <c r="E74" s="570">
        <f>(NSValidation!Y15/2)*5280</f>
        <v>1320000</v>
      </c>
      <c r="F74" s="569">
        <v>80</v>
      </c>
      <c r="G74" s="212">
        <f t="shared" si="16"/>
        <v>60</v>
      </c>
      <c r="H74" s="212">
        <f t="shared" si="17"/>
        <v>100</v>
      </c>
      <c r="I74" s="569">
        <v>0.25</v>
      </c>
      <c r="J74" s="566">
        <f>Index!$C$10</f>
        <v>1</v>
      </c>
      <c r="K74" s="566">
        <f>Index!$C$9</f>
        <v>1913</v>
      </c>
      <c r="L74" s="324">
        <f>NSValidation!L15</f>
        <v>3000</v>
      </c>
      <c r="M74" s="324">
        <f>NSValidation!M15</f>
        <v>10000</v>
      </c>
      <c r="N74" s="568">
        <v>0</v>
      </c>
      <c r="O74" s="568">
        <v>5000</v>
      </c>
      <c r="P74" s="311" t="s">
        <v>1666</v>
      </c>
      <c r="Q74" s="563" t="str">
        <f ca="1">MID(CELL("filename",NSValidation!$A$1),FIND("]",CELL("filename",NSValidation!$A$1))+1,256)</f>
        <v>NSValidation</v>
      </c>
      <c r="W74" s="1793">
        <v>73</v>
      </c>
      <c r="X74" s="1795">
        <v>3.31</v>
      </c>
      <c r="Y74" s="1795">
        <v>3.31</v>
      </c>
      <c r="Z74" s="1795">
        <v>1.1519999999999999</v>
      </c>
      <c r="AA74" s="1795">
        <v>2.5339999999999998</v>
      </c>
      <c r="AC74" s="1796"/>
    </row>
    <row r="75" spans="1:29" ht="13.5" thickBot="1" x14ac:dyDescent="0.25">
      <c r="A75" s="2026"/>
      <c r="B75" s="1279" t="s">
        <v>2273</v>
      </c>
      <c r="C75" s="317" t="s">
        <v>2274</v>
      </c>
      <c r="D75" s="570">
        <f>NSValidation!X13</f>
        <v>0</v>
      </c>
      <c r="E75" s="570">
        <f>(NSValidation!Y13/2)*5280</f>
        <v>1320000</v>
      </c>
      <c r="F75" s="569">
        <v>80</v>
      </c>
      <c r="G75" s="212">
        <f t="shared" si="16"/>
        <v>60</v>
      </c>
      <c r="H75" s="212">
        <f t="shared" si="17"/>
        <v>100</v>
      </c>
      <c r="I75" s="569">
        <v>0.25</v>
      </c>
      <c r="J75" s="566">
        <f>Index!$C$10</f>
        <v>1</v>
      </c>
      <c r="K75" s="566">
        <f>Index!$C$9</f>
        <v>1913</v>
      </c>
      <c r="L75" s="324">
        <f>NSValidation!L13</f>
        <v>4000</v>
      </c>
      <c r="M75" s="324">
        <f>NSValidation!M12</f>
        <v>40000</v>
      </c>
      <c r="N75" s="568">
        <v>0</v>
      </c>
      <c r="O75" s="568">
        <v>5000</v>
      </c>
      <c r="P75" s="311" t="s">
        <v>1666</v>
      </c>
      <c r="Q75" s="563" t="str">
        <f ca="1">MID(CELL("filename",NSValidation!$A$1),FIND("]",CELL("filename",NSValidation!$A$1))+1,256)</f>
        <v>NSValidation</v>
      </c>
      <c r="W75" s="1793">
        <v>74</v>
      </c>
      <c r="X75" s="1795">
        <v>3.26</v>
      </c>
      <c r="Y75" s="1795">
        <v>3.26</v>
      </c>
      <c r="Z75" s="1795">
        <v>1.137</v>
      </c>
      <c r="AA75" s="1795">
        <v>2.4510000000000001</v>
      </c>
      <c r="AC75" s="1796"/>
    </row>
    <row r="76" spans="1:29" ht="13.5" thickBot="1" x14ac:dyDescent="0.25">
      <c r="A76" s="2026"/>
      <c r="B76" s="296" t="s">
        <v>246</v>
      </c>
      <c r="C76" s="317" t="s">
        <v>2274</v>
      </c>
      <c r="D76" s="570">
        <f>NSValidation!X32</f>
        <v>0</v>
      </c>
      <c r="E76" s="570">
        <f>(NSValidation!Y32/2)*5280</f>
        <v>1320000</v>
      </c>
      <c r="F76" s="569">
        <v>80</v>
      </c>
      <c r="G76" s="212">
        <f t="shared" si="16"/>
        <v>60</v>
      </c>
      <c r="H76" s="212">
        <f t="shared" si="17"/>
        <v>100</v>
      </c>
      <c r="I76" s="569">
        <v>0.25</v>
      </c>
      <c r="J76" s="566">
        <f>Index!$C$10</f>
        <v>1</v>
      </c>
      <c r="K76" s="566">
        <f>Index!$C$9</f>
        <v>1913</v>
      </c>
      <c r="L76" s="324">
        <f>NSValidation!L32</f>
        <v>4000</v>
      </c>
      <c r="M76" s="324">
        <f>NSValidation!M32</f>
        <v>20000</v>
      </c>
      <c r="N76" s="568">
        <v>0</v>
      </c>
      <c r="O76" s="568">
        <v>5000</v>
      </c>
      <c r="P76" s="311" t="s">
        <v>1666</v>
      </c>
      <c r="Q76" s="563" t="str">
        <f ca="1">MID(CELL("filename",NSValidation!$A$1),FIND("]",CELL("filename",NSValidation!$A$1))+1,256)</f>
        <v>NSValidation</v>
      </c>
      <c r="W76" s="1793">
        <v>75</v>
      </c>
      <c r="X76" s="1795">
        <v>3.21</v>
      </c>
      <c r="Y76" s="1795">
        <v>3.21</v>
      </c>
      <c r="Z76" s="1795">
        <v>1.123</v>
      </c>
      <c r="AA76" s="1795">
        <v>2.37</v>
      </c>
      <c r="AC76" s="1796"/>
    </row>
    <row r="77" spans="1:29" ht="13.5" thickBot="1" x14ac:dyDescent="0.25">
      <c r="A77" s="2026"/>
      <c r="B77" s="296" t="s">
        <v>247</v>
      </c>
      <c r="C77" s="317" t="s">
        <v>2274</v>
      </c>
      <c r="D77" s="570">
        <f>NSValidation!X17</f>
        <v>0</v>
      </c>
      <c r="E77" s="570">
        <f>(NSValidation!Y17/2)*5280</f>
        <v>1320000</v>
      </c>
      <c r="F77" s="569">
        <v>80</v>
      </c>
      <c r="G77" s="212">
        <f t="shared" si="16"/>
        <v>60</v>
      </c>
      <c r="H77" s="212">
        <f t="shared" si="17"/>
        <v>100</v>
      </c>
      <c r="I77" s="569">
        <v>0.25</v>
      </c>
      <c r="J77" s="566">
        <f>Index!$C$10</f>
        <v>1</v>
      </c>
      <c r="K77" s="566">
        <f>Index!$C$9</f>
        <v>1913</v>
      </c>
      <c r="L77" s="324">
        <f>NSValidation!L17</f>
        <v>6000</v>
      </c>
      <c r="M77" s="324">
        <f>NSValidation!M17</f>
        <v>31000</v>
      </c>
      <c r="N77" s="568">
        <v>0</v>
      </c>
      <c r="O77" s="568">
        <v>5000</v>
      </c>
      <c r="P77" s="311" t="s">
        <v>1666</v>
      </c>
      <c r="Q77" s="563" t="str">
        <f ca="1">MID(CELL("filename",NSValidation!$A$1),FIND("]",CELL("filename",NSValidation!$A$1))+1,256)</f>
        <v>NSValidation</v>
      </c>
      <c r="W77" s="1793">
        <v>76</v>
      </c>
      <c r="X77" s="1795">
        <v>3.16</v>
      </c>
      <c r="Y77" s="1795">
        <v>3.16</v>
      </c>
      <c r="Z77" s="1795">
        <v>1.111</v>
      </c>
      <c r="AA77" s="1795">
        <v>2.2909999999999999</v>
      </c>
      <c r="AC77" s="1796"/>
    </row>
    <row r="78" spans="1:29" ht="13.5" thickBot="1" x14ac:dyDescent="0.25">
      <c r="A78" s="2026"/>
      <c r="B78" s="296" t="s">
        <v>248</v>
      </c>
      <c r="C78" s="317" t="s">
        <v>2274</v>
      </c>
      <c r="D78" s="570">
        <f>NSValidation!X29</f>
        <v>0</v>
      </c>
      <c r="E78" s="570">
        <f>(NSValidation!Y28/2)*5280</f>
        <v>1320000</v>
      </c>
      <c r="F78" s="569">
        <v>80</v>
      </c>
      <c r="G78" s="212">
        <f t="shared" si="16"/>
        <v>60</v>
      </c>
      <c r="H78" s="212">
        <f t="shared" si="17"/>
        <v>100</v>
      </c>
      <c r="I78" s="569">
        <v>0.25</v>
      </c>
      <c r="J78" s="566">
        <f>Index!$C$10</f>
        <v>1</v>
      </c>
      <c r="K78" s="566">
        <f>Index!$C$9</f>
        <v>1913</v>
      </c>
      <c r="L78" s="324">
        <f>NSValidation!L29</f>
        <v>6000</v>
      </c>
      <c r="M78" s="324">
        <f>NSValidation!M28</f>
        <v>118000</v>
      </c>
      <c r="N78" s="568">
        <v>0</v>
      </c>
      <c r="O78" s="568">
        <v>5000</v>
      </c>
      <c r="P78" s="311" t="s">
        <v>1666</v>
      </c>
      <c r="Q78" s="563" t="str">
        <f ca="1">MID(CELL("filename",NSValidation!$A$1),FIND("]",CELL("filename",NSValidation!$A$1))+1,256)</f>
        <v>NSValidation</v>
      </c>
      <c r="W78" s="1793">
        <v>77</v>
      </c>
      <c r="X78" s="1795">
        <v>3.109</v>
      </c>
      <c r="Y78" s="1795">
        <v>3.109</v>
      </c>
      <c r="Z78" s="1795">
        <v>1.099</v>
      </c>
      <c r="AA78" s="1795">
        <v>2.2149999999999999</v>
      </c>
      <c r="AC78" s="1796"/>
    </row>
    <row r="79" spans="1:29" ht="13.5" thickBot="1" x14ac:dyDescent="0.25">
      <c r="A79" s="2027"/>
      <c r="B79" s="296" t="s">
        <v>249</v>
      </c>
      <c r="C79" s="317" t="s">
        <v>2274</v>
      </c>
      <c r="D79" s="570">
        <f>NSValidation!X30</f>
        <v>0</v>
      </c>
      <c r="E79" s="570">
        <f>(NSValidation!Y30/2)*5280</f>
        <v>1320000</v>
      </c>
      <c r="F79" s="569">
        <v>80</v>
      </c>
      <c r="G79" s="212">
        <f t="shared" si="16"/>
        <v>60</v>
      </c>
      <c r="H79" s="212">
        <f t="shared" si="17"/>
        <v>100</v>
      </c>
      <c r="I79" s="569">
        <v>0.25</v>
      </c>
      <c r="J79" s="566">
        <f>Index!$C$10</f>
        <v>1</v>
      </c>
      <c r="K79" s="566">
        <f>Index!$C$9</f>
        <v>1913</v>
      </c>
      <c r="L79" s="324">
        <f>(NSValidation!V30/5280)*2</f>
        <v>56818.181818181816</v>
      </c>
      <c r="M79" s="324">
        <f>(NSValidation!W30/5280)*2</f>
        <v>189393.93939393939</v>
      </c>
      <c r="N79" s="568">
        <v>0</v>
      </c>
      <c r="O79" s="568">
        <v>5000</v>
      </c>
      <c r="P79" s="311" t="s">
        <v>1666</v>
      </c>
      <c r="Q79" s="563" t="str">
        <f ca="1">MID(CELL("filename",NSValidation!$A$1),FIND("]",CELL("filename",NSValidation!$A$1))+1,256)</f>
        <v>NSValidation</v>
      </c>
      <c r="W79" s="1793">
        <v>78</v>
      </c>
      <c r="X79" s="1795">
        <v>3.0579999999999998</v>
      </c>
      <c r="Y79" s="1795">
        <v>3.0579999999999998</v>
      </c>
      <c r="Z79" s="1795">
        <v>1.089</v>
      </c>
      <c r="AA79" s="1795">
        <v>2.141</v>
      </c>
      <c r="AC79" s="1796"/>
    </row>
    <row r="80" spans="1:29" ht="13.5" thickBot="1" x14ac:dyDescent="0.25">
      <c r="A80" s="1214" t="s">
        <v>2266</v>
      </c>
      <c r="B80" s="296" t="s">
        <v>2266</v>
      </c>
      <c r="C80" s="317" t="s">
        <v>1149</v>
      </c>
      <c r="D80" s="570">
        <f>NSValidation!X39</f>
        <v>0</v>
      </c>
      <c r="E80" s="570">
        <v>3000000</v>
      </c>
      <c r="F80" s="569">
        <v>35</v>
      </c>
      <c r="G80" s="212">
        <f t="shared" ref="G80:G91" si="18">ROUND($F80*(1-$I80),0)</f>
        <v>26</v>
      </c>
      <c r="H80" s="212">
        <f t="shared" ref="H80:H91" si="19">ROUND($F80*(1+$I80),0)</f>
        <v>44</v>
      </c>
      <c r="I80" s="569">
        <v>0.25</v>
      </c>
      <c r="J80" s="566">
        <f>Index!$C$10</f>
        <v>1</v>
      </c>
      <c r="K80" s="566">
        <f>Index!$C$9</f>
        <v>1913</v>
      </c>
      <c r="L80" s="324">
        <f>NSValidation!V39</f>
        <v>1000000</v>
      </c>
      <c r="M80" s="324">
        <f>NSValidation!W39</f>
        <v>5000000</v>
      </c>
      <c r="N80" s="568">
        <v>0</v>
      </c>
      <c r="O80" s="568">
        <v>5000</v>
      </c>
      <c r="P80" s="311" t="s">
        <v>1666</v>
      </c>
      <c r="Q80" s="563" t="str">
        <f ca="1">MID(CELL("filename",NSValidation!$A$1),FIND("]",CELL("filename",NSValidation!$A$1))+1,256)</f>
        <v>NSValidation</v>
      </c>
      <c r="W80" s="1793">
        <v>79</v>
      </c>
      <c r="X80" s="1795">
        <v>3.0070000000000001</v>
      </c>
      <c r="Y80" s="1795">
        <v>3.0070000000000001</v>
      </c>
      <c r="Z80" s="1795">
        <v>1.08</v>
      </c>
      <c r="AA80" s="1795">
        <v>2.0699999999999998</v>
      </c>
      <c r="AC80" s="1796"/>
    </row>
    <row r="81" spans="1:29" ht="13.5" thickBot="1" x14ac:dyDescent="0.25">
      <c r="A81" s="1215" t="s">
        <v>556</v>
      </c>
      <c r="B81" s="296" t="s">
        <v>2265</v>
      </c>
      <c r="C81" s="317" t="s">
        <v>1149</v>
      </c>
      <c r="D81" s="570">
        <f>NSValidation!X41</f>
        <v>0</v>
      </c>
      <c r="E81" s="570">
        <v>3000000</v>
      </c>
      <c r="F81" s="569">
        <v>15</v>
      </c>
      <c r="G81" s="212">
        <f t="shared" si="18"/>
        <v>11</v>
      </c>
      <c r="H81" s="212">
        <f t="shared" si="19"/>
        <v>19</v>
      </c>
      <c r="I81" s="569">
        <v>0.25</v>
      </c>
      <c r="J81" s="566">
        <f>Index!$C$10</f>
        <v>1</v>
      </c>
      <c r="K81" s="566">
        <f>Index!$C$9</f>
        <v>1913</v>
      </c>
      <c r="L81" s="324">
        <f>NSValidation!V41</f>
        <v>1000000</v>
      </c>
      <c r="M81" s="324">
        <f>NSValidation!W41</f>
        <v>5000000</v>
      </c>
      <c r="N81" s="568">
        <v>0</v>
      </c>
      <c r="O81" s="568">
        <v>5000</v>
      </c>
      <c r="P81" s="311" t="s">
        <v>1666</v>
      </c>
      <c r="Q81" s="563" t="str">
        <f ca="1">MID(CELL("filename",NSValidation!$A$1),FIND("]",CELL("filename",NSValidation!$A$1))+1,256)</f>
        <v>NSValidation</v>
      </c>
      <c r="W81" s="1793">
        <v>80</v>
      </c>
      <c r="X81" s="1795">
        <v>2.956</v>
      </c>
      <c r="Y81" s="1795">
        <v>2.956</v>
      </c>
      <c r="Z81" s="1795">
        <v>1.0720000000000001</v>
      </c>
      <c r="AA81" s="1795">
        <v>2.0019999999999998</v>
      </c>
      <c r="AC81" s="1796"/>
    </row>
    <row r="82" spans="1:29" ht="13.5" thickBot="1" x14ac:dyDescent="0.25">
      <c r="A82" s="2025" t="s">
        <v>557</v>
      </c>
      <c r="B82" s="1280" t="s">
        <v>2268</v>
      </c>
      <c r="C82" s="317" t="s">
        <v>13</v>
      </c>
      <c r="D82" s="571">
        <v>0</v>
      </c>
      <c r="E82" s="571">
        <v>500</v>
      </c>
      <c r="F82" s="569">
        <v>15</v>
      </c>
      <c r="G82" s="212">
        <f t="shared" si="18"/>
        <v>11</v>
      </c>
      <c r="H82" s="212">
        <f t="shared" si="19"/>
        <v>19</v>
      </c>
      <c r="I82" s="569">
        <v>0.25</v>
      </c>
      <c r="J82" s="566">
        <f>Index!$C$10</f>
        <v>1</v>
      </c>
      <c r="K82" s="566">
        <f>Index!$C$9</f>
        <v>1913</v>
      </c>
      <c r="L82" s="567">
        <v>1000000</v>
      </c>
      <c r="M82" s="567">
        <v>15000000</v>
      </c>
      <c r="N82" s="568">
        <v>0</v>
      </c>
      <c r="O82" s="568">
        <v>5000</v>
      </c>
      <c r="S82" s="300"/>
      <c r="W82" s="1793">
        <v>81</v>
      </c>
      <c r="X82" s="1795">
        <v>2.9060000000000001</v>
      </c>
      <c r="Y82" s="1795">
        <v>2.9060000000000001</v>
      </c>
      <c r="Z82" s="1795">
        <v>1.0649999999999999</v>
      </c>
      <c r="AA82" s="1795">
        <v>1.9370000000000001</v>
      </c>
      <c r="AC82" s="1796"/>
    </row>
    <row r="83" spans="1:29" ht="13.5" thickBot="1" x14ac:dyDescent="0.25">
      <c r="A83" s="2026"/>
      <c r="B83" s="1280" t="s">
        <v>2269</v>
      </c>
      <c r="C83" s="317" t="s">
        <v>13</v>
      </c>
      <c r="D83" s="571">
        <v>0</v>
      </c>
      <c r="E83" s="571">
        <v>500</v>
      </c>
      <c r="F83" s="569">
        <v>15</v>
      </c>
      <c r="G83" s="212">
        <f t="shared" si="18"/>
        <v>11</v>
      </c>
      <c r="H83" s="212">
        <f t="shared" si="19"/>
        <v>19</v>
      </c>
      <c r="I83" s="569">
        <v>0.25</v>
      </c>
      <c r="J83" s="566">
        <f>Index!$C$10</f>
        <v>1</v>
      </c>
      <c r="K83" s="566">
        <f>Index!$C$9</f>
        <v>1913</v>
      </c>
      <c r="L83" s="567">
        <v>1000000</v>
      </c>
      <c r="M83" s="567">
        <v>15000000</v>
      </c>
      <c r="N83" s="568">
        <v>0</v>
      </c>
      <c r="O83" s="568">
        <v>5000</v>
      </c>
      <c r="S83" s="300"/>
      <c r="W83" s="1793">
        <v>82</v>
      </c>
      <c r="X83" s="1795">
        <v>2.855</v>
      </c>
      <c r="Y83" s="1795">
        <v>2.855</v>
      </c>
      <c r="Z83" s="1795">
        <v>1.0580000000000001</v>
      </c>
      <c r="AA83" s="1795">
        <v>1.875</v>
      </c>
      <c r="AC83" s="1796"/>
    </row>
    <row r="84" spans="1:29" ht="13.5" thickBot="1" x14ac:dyDescent="0.25">
      <c r="A84" s="2026"/>
      <c r="B84" s="1280" t="s">
        <v>2270</v>
      </c>
      <c r="C84" s="317" t="s">
        <v>13</v>
      </c>
      <c r="D84" s="571">
        <v>0</v>
      </c>
      <c r="E84" s="571">
        <v>500</v>
      </c>
      <c r="F84" s="569">
        <v>15</v>
      </c>
      <c r="G84" s="212">
        <f t="shared" si="18"/>
        <v>11</v>
      </c>
      <c r="H84" s="212">
        <f t="shared" si="19"/>
        <v>19</v>
      </c>
      <c r="I84" s="569">
        <v>0.25</v>
      </c>
      <c r="J84" s="566">
        <f>Index!$C$10</f>
        <v>1</v>
      </c>
      <c r="K84" s="566">
        <f>Index!$C$9</f>
        <v>1913</v>
      </c>
      <c r="L84" s="567">
        <v>1000000</v>
      </c>
      <c r="M84" s="567">
        <v>15000000</v>
      </c>
      <c r="N84" s="568">
        <v>0</v>
      </c>
      <c r="O84" s="568">
        <v>5000</v>
      </c>
      <c r="S84" s="300"/>
      <c r="W84" s="1793">
        <v>83</v>
      </c>
      <c r="X84" s="1795">
        <v>2.8039999999999998</v>
      </c>
      <c r="Y84" s="1795">
        <v>2.8039999999999998</v>
      </c>
      <c r="Z84" s="1795">
        <v>1.052</v>
      </c>
      <c r="AA84" s="1795">
        <v>1.8160000000000001</v>
      </c>
      <c r="AC84" s="1796"/>
    </row>
    <row r="85" spans="1:29" ht="13.5" thickBot="1" x14ac:dyDescent="0.25">
      <c r="A85" s="2026"/>
      <c r="B85" s="1280" t="s">
        <v>2271</v>
      </c>
      <c r="C85" s="317" t="s">
        <v>13</v>
      </c>
      <c r="D85" s="571">
        <v>0</v>
      </c>
      <c r="E85" s="571">
        <v>500</v>
      </c>
      <c r="F85" s="569">
        <v>15</v>
      </c>
      <c r="G85" s="212">
        <f t="shared" si="18"/>
        <v>11</v>
      </c>
      <c r="H85" s="212">
        <f t="shared" si="19"/>
        <v>19</v>
      </c>
      <c r="I85" s="569">
        <v>0.25</v>
      </c>
      <c r="J85" s="566">
        <f>Index!$C$10</f>
        <v>1</v>
      </c>
      <c r="K85" s="566">
        <f>Index!$C$9</f>
        <v>1913</v>
      </c>
      <c r="L85" s="567">
        <v>1000000</v>
      </c>
      <c r="M85" s="567">
        <v>15000000</v>
      </c>
      <c r="N85" s="568">
        <v>0</v>
      </c>
      <c r="O85" s="568">
        <v>5000</v>
      </c>
      <c r="S85" s="300"/>
      <c r="W85" s="1793">
        <v>84</v>
      </c>
      <c r="X85" s="1795">
        <v>2.754</v>
      </c>
      <c r="Y85" s="1795">
        <v>2.754</v>
      </c>
      <c r="Z85" s="1795">
        <v>1.0469999999999999</v>
      </c>
      <c r="AA85" s="1795">
        <v>1.76</v>
      </c>
      <c r="AC85" s="1796"/>
    </row>
    <row r="86" spans="1:29" ht="13.5" thickBot="1" x14ac:dyDescent="0.25">
      <c r="A86" s="2027"/>
      <c r="B86" s="1280" t="s">
        <v>259</v>
      </c>
      <c r="C86" s="317" t="s">
        <v>13</v>
      </c>
      <c r="D86" s="568">
        <v>0</v>
      </c>
      <c r="E86" s="568">
        <v>500</v>
      </c>
      <c r="F86" s="569">
        <v>15</v>
      </c>
      <c r="G86" s="212">
        <f t="shared" si="18"/>
        <v>11</v>
      </c>
      <c r="H86" s="212">
        <f t="shared" si="19"/>
        <v>19</v>
      </c>
      <c r="I86" s="569">
        <v>0.25</v>
      </c>
      <c r="J86" s="566">
        <f>Index!$C$10</f>
        <v>1</v>
      </c>
      <c r="K86" s="566">
        <f>Index!$C$9</f>
        <v>1913</v>
      </c>
      <c r="L86" s="567">
        <v>2000000</v>
      </c>
      <c r="M86" s="567">
        <v>50000000</v>
      </c>
      <c r="N86" s="568">
        <v>0</v>
      </c>
      <c r="O86" s="568">
        <v>5000</v>
      </c>
      <c r="S86" s="300"/>
      <c r="W86" s="1793">
        <v>85</v>
      </c>
      <c r="X86" s="1795">
        <v>2.7040000000000002</v>
      </c>
      <c r="Y86" s="1795">
        <v>2.7040000000000002</v>
      </c>
      <c r="Z86" s="1795">
        <v>1.042</v>
      </c>
      <c r="AA86" s="1795">
        <v>1.706</v>
      </c>
      <c r="AC86" s="1796"/>
    </row>
    <row r="87" spans="1:29" ht="13.5" thickBot="1" x14ac:dyDescent="0.25">
      <c r="A87" s="2022" t="s">
        <v>539</v>
      </c>
      <c r="B87" s="294" t="s">
        <v>293</v>
      </c>
      <c r="C87" s="317" t="s">
        <v>13</v>
      </c>
      <c r="D87" s="569">
        <v>0</v>
      </c>
      <c r="E87" s="569">
        <v>35</v>
      </c>
      <c r="F87" s="572">
        <v>100</v>
      </c>
      <c r="G87" s="212">
        <f t="shared" si="18"/>
        <v>75</v>
      </c>
      <c r="H87" s="212">
        <f t="shared" si="19"/>
        <v>125</v>
      </c>
      <c r="I87" s="569">
        <v>0.25</v>
      </c>
      <c r="J87" s="566">
        <f>Index!$C$10</f>
        <v>1</v>
      </c>
      <c r="K87" s="566">
        <f>Index!$C$9</f>
        <v>1913</v>
      </c>
      <c r="L87" s="319"/>
      <c r="M87" s="567">
        <v>500000</v>
      </c>
      <c r="N87" s="567">
        <v>750000</v>
      </c>
      <c r="O87" s="317"/>
      <c r="Q87" s="318"/>
      <c r="R87" s="318"/>
      <c r="S87" s="300"/>
      <c r="T87" s="290"/>
      <c r="W87" s="1793">
        <v>86</v>
      </c>
      <c r="X87" s="1795">
        <v>2.6539999999999999</v>
      </c>
      <c r="Y87" s="1795">
        <v>2.6539999999999999</v>
      </c>
      <c r="Z87" s="1795">
        <v>1.038</v>
      </c>
      <c r="AA87" s="1795">
        <v>1.6559999999999999</v>
      </c>
      <c r="AC87" s="1796"/>
    </row>
    <row r="88" spans="1:29" ht="13.5" thickBot="1" x14ac:dyDescent="0.25">
      <c r="A88" s="2023"/>
      <c r="B88" s="294" t="s">
        <v>267</v>
      </c>
      <c r="C88" s="317"/>
      <c r="D88" s="569">
        <v>0</v>
      </c>
      <c r="E88" s="568">
        <v>10000</v>
      </c>
      <c r="F88" s="572">
        <v>25</v>
      </c>
      <c r="G88" s="212">
        <f t="shared" si="18"/>
        <v>19</v>
      </c>
      <c r="H88" s="212">
        <f t="shared" si="19"/>
        <v>31</v>
      </c>
      <c r="I88" s="569">
        <v>0.25</v>
      </c>
      <c r="J88" s="566">
        <f>Index!$C$10</f>
        <v>1</v>
      </c>
      <c r="K88" s="566">
        <f>Index!$C$9</f>
        <v>1913</v>
      </c>
      <c r="L88" s="297"/>
      <c r="M88" s="567">
        <v>100000</v>
      </c>
      <c r="N88" s="567">
        <v>1500000</v>
      </c>
      <c r="O88" s="317"/>
      <c r="Q88" s="318"/>
      <c r="R88" s="318"/>
      <c r="S88" s="300"/>
      <c r="W88" s="1793">
        <v>87</v>
      </c>
      <c r="X88" s="1795">
        <v>2.605</v>
      </c>
      <c r="Y88" s="1795">
        <v>2.605</v>
      </c>
      <c r="Z88" s="1795">
        <v>1.034</v>
      </c>
      <c r="AA88" s="1795">
        <v>1.609</v>
      </c>
      <c r="AC88" s="1796"/>
    </row>
    <row r="89" spans="1:29" ht="13.5" thickBot="1" x14ac:dyDescent="0.25">
      <c r="A89" s="2023"/>
      <c r="B89" s="326" t="s">
        <v>2177</v>
      </c>
      <c r="C89" s="317"/>
      <c r="D89" s="569">
        <v>0</v>
      </c>
      <c r="E89" s="568">
        <v>10000</v>
      </c>
      <c r="F89" s="572">
        <v>25</v>
      </c>
      <c r="G89" s="212">
        <f t="shared" si="18"/>
        <v>19</v>
      </c>
      <c r="H89" s="212">
        <f t="shared" si="19"/>
        <v>31</v>
      </c>
      <c r="I89" s="569">
        <v>0.25</v>
      </c>
      <c r="J89" s="566">
        <f>Index!$C$10</f>
        <v>1</v>
      </c>
      <c r="K89" s="566">
        <f>Index!$C$9</f>
        <v>1913</v>
      </c>
      <c r="L89" s="297"/>
      <c r="M89" s="567">
        <v>1000</v>
      </c>
      <c r="N89" s="567">
        <v>100000000</v>
      </c>
      <c r="O89" s="317"/>
      <c r="Q89" s="318"/>
      <c r="R89" s="318"/>
      <c r="S89" s="300"/>
      <c r="W89" s="1793">
        <v>88</v>
      </c>
      <c r="X89" s="1795">
        <v>2.5569999999999999</v>
      </c>
      <c r="Y89" s="1795">
        <v>2.5569999999999999</v>
      </c>
      <c r="Z89" s="1795">
        <v>1.03</v>
      </c>
      <c r="AA89" s="1795">
        <v>1.5649999999999999</v>
      </c>
      <c r="AC89" s="1796"/>
    </row>
    <row r="90" spans="1:29" ht="13.5" thickBot="1" x14ac:dyDescent="0.25">
      <c r="A90" s="2023"/>
      <c r="B90" s="326" t="s">
        <v>2178</v>
      </c>
      <c r="C90" s="317"/>
      <c r="D90" s="569">
        <v>0</v>
      </c>
      <c r="E90" s="568">
        <v>10000</v>
      </c>
      <c r="F90" s="572">
        <v>25</v>
      </c>
      <c r="G90" s="212">
        <f t="shared" si="18"/>
        <v>19</v>
      </c>
      <c r="H90" s="212">
        <f t="shared" si="19"/>
        <v>31</v>
      </c>
      <c r="I90" s="569">
        <v>0.25</v>
      </c>
      <c r="J90" s="566">
        <f>Index!$C$10</f>
        <v>1</v>
      </c>
      <c r="K90" s="566">
        <f>Index!$C$9</f>
        <v>1913</v>
      </c>
      <c r="L90" s="297"/>
      <c r="M90" s="567">
        <v>1000</v>
      </c>
      <c r="N90" s="567">
        <v>100000000</v>
      </c>
      <c r="O90" s="317"/>
      <c r="Q90" s="318"/>
      <c r="R90" s="318"/>
      <c r="S90" s="300"/>
      <c r="W90" s="1793">
        <v>89</v>
      </c>
      <c r="X90" s="1795">
        <v>2.5089999999999999</v>
      </c>
      <c r="Y90" s="1795">
        <v>2.5089999999999999</v>
      </c>
      <c r="Z90" s="1795">
        <v>1.0269999999999999</v>
      </c>
      <c r="AA90" s="1795">
        <v>1.5229999999999999</v>
      </c>
      <c r="AC90" s="1796"/>
    </row>
    <row r="91" spans="1:29" ht="13.5" thickBot="1" x14ac:dyDescent="0.25">
      <c r="A91" s="2024"/>
      <c r="B91" s="326" t="s">
        <v>2179</v>
      </c>
      <c r="C91" s="317"/>
      <c r="D91" s="569">
        <v>0</v>
      </c>
      <c r="E91" s="568">
        <v>10000</v>
      </c>
      <c r="F91" s="572">
        <v>25</v>
      </c>
      <c r="G91" s="212">
        <f t="shared" si="18"/>
        <v>19</v>
      </c>
      <c r="H91" s="212">
        <f t="shared" si="19"/>
        <v>31</v>
      </c>
      <c r="I91" s="569">
        <v>0.25</v>
      </c>
      <c r="J91" s="566">
        <f>Index!$C$10</f>
        <v>1</v>
      </c>
      <c r="K91" s="566">
        <f>Index!$C$9</f>
        <v>1913</v>
      </c>
      <c r="L91" s="297"/>
      <c r="M91" s="567">
        <v>1000</v>
      </c>
      <c r="N91" s="567">
        <v>100000000</v>
      </c>
      <c r="O91" s="317"/>
      <c r="Q91" s="318"/>
      <c r="R91" s="318"/>
      <c r="S91" s="300"/>
      <c r="W91" s="1793">
        <v>90</v>
      </c>
      <c r="X91" s="1795">
        <v>2.4609999999999999</v>
      </c>
      <c r="Y91" s="1795">
        <v>2.4609999999999999</v>
      </c>
      <c r="Z91" s="1795">
        <v>1.024</v>
      </c>
      <c r="AA91" s="1795">
        <v>1.484</v>
      </c>
      <c r="AC91" s="1796"/>
    </row>
    <row r="92" spans="1:29" ht="13.5" thickBot="1" x14ac:dyDescent="0.25">
      <c r="Q92" s="314"/>
      <c r="R92" s="314"/>
      <c r="S92" s="287"/>
      <c r="W92" s="1793">
        <v>91</v>
      </c>
      <c r="X92" s="1795">
        <v>2.4140000000000001</v>
      </c>
      <c r="Y92" s="1795">
        <v>2.4140000000000001</v>
      </c>
      <c r="Z92" s="1795">
        <v>1.022</v>
      </c>
      <c r="AA92" s="1795">
        <v>1.448</v>
      </c>
      <c r="AC92" s="1796"/>
    </row>
    <row r="93" spans="1:29" s="289" customFormat="1" ht="39.75" customHeight="1" thickBot="1" x14ac:dyDescent="0.25">
      <c r="A93" s="327" t="s">
        <v>554</v>
      </c>
      <c r="B93" s="327" t="s">
        <v>102</v>
      </c>
      <c r="C93" s="321" t="s">
        <v>169</v>
      </c>
      <c r="D93" s="321" t="s">
        <v>523</v>
      </c>
      <c r="E93" s="321" t="s">
        <v>524</v>
      </c>
      <c r="F93" s="321" t="s">
        <v>525</v>
      </c>
      <c r="G93" s="321" t="s">
        <v>526</v>
      </c>
      <c r="H93" s="321" t="s">
        <v>527</v>
      </c>
      <c r="I93" s="321" t="s">
        <v>266</v>
      </c>
      <c r="J93" s="322" t="s">
        <v>530</v>
      </c>
      <c r="K93" s="322" t="s">
        <v>528</v>
      </c>
      <c r="L93" s="321" t="s">
        <v>414</v>
      </c>
      <c r="M93" s="321" t="s">
        <v>517</v>
      </c>
      <c r="N93" s="321" t="s">
        <v>518</v>
      </c>
      <c r="O93" s="321" t="s">
        <v>266</v>
      </c>
      <c r="Q93" s="314"/>
      <c r="R93" s="314"/>
      <c r="S93" s="287"/>
      <c r="V93" s="288"/>
      <c r="W93" s="1793">
        <v>92</v>
      </c>
      <c r="X93" s="1795">
        <v>2.3679999999999999</v>
      </c>
      <c r="Y93" s="1795">
        <v>2.3679999999999999</v>
      </c>
      <c r="Z93" s="1795">
        <v>1.0189999999999999</v>
      </c>
      <c r="AA93" s="1795">
        <v>1.413</v>
      </c>
      <c r="AC93" s="1796"/>
    </row>
    <row r="94" spans="1:29" ht="13.5" thickBot="1" x14ac:dyDescent="0.25">
      <c r="A94" s="2022" t="s">
        <v>150</v>
      </c>
      <c r="B94" s="326" t="s">
        <v>213</v>
      </c>
      <c r="C94" s="578" t="s">
        <v>1673</v>
      </c>
      <c r="D94" s="568">
        <v>0</v>
      </c>
      <c r="E94" s="568">
        <v>1000</v>
      </c>
      <c r="F94" s="569">
        <v>12</v>
      </c>
      <c r="G94" s="212">
        <f>ROUND($F94*(1-$I94),0)</f>
        <v>9</v>
      </c>
      <c r="H94" s="212">
        <f>ROUND($F94*(1+$I94),0)</f>
        <v>15</v>
      </c>
      <c r="I94" s="569">
        <v>0.25</v>
      </c>
      <c r="J94" s="566">
        <f>Index!$C$10</f>
        <v>1</v>
      </c>
      <c r="K94" s="566">
        <f>Index!$C$9</f>
        <v>1913</v>
      </c>
      <c r="L94" s="297"/>
      <c r="M94" s="567">
        <v>1000</v>
      </c>
      <c r="N94" s="567">
        <v>100000000</v>
      </c>
      <c r="O94" s="317"/>
      <c r="Q94" s="318"/>
      <c r="R94" s="318"/>
      <c r="S94" s="300"/>
      <c r="W94" s="1793">
        <v>93</v>
      </c>
      <c r="X94" s="1795">
        <v>2.323</v>
      </c>
      <c r="Y94" s="1795">
        <v>2.323</v>
      </c>
      <c r="Z94" s="1795">
        <v>1.0169999999999999</v>
      </c>
      <c r="AA94" s="1795">
        <v>1.3819999999999999</v>
      </c>
      <c r="AC94" s="1796"/>
    </row>
    <row r="95" spans="1:29" ht="13.5" thickBot="1" x14ac:dyDescent="0.25">
      <c r="A95" s="2023"/>
      <c r="B95" s="326" t="s">
        <v>214</v>
      </c>
      <c r="C95" s="578" t="s">
        <v>1673</v>
      </c>
      <c r="D95" s="568">
        <v>0</v>
      </c>
      <c r="E95" s="568">
        <v>1000</v>
      </c>
      <c r="F95" s="569">
        <v>12</v>
      </c>
      <c r="G95" s="212">
        <f>ROUND($F95*(1-$I95),0)</f>
        <v>9</v>
      </c>
      <c r="H95" s="212">
        <f>ROUND($F95*(1+$I95),0)</f>
        <v>15</v>
      </c>
      <c r="I95" s="569">
        <v>0.25</v>
      </c>
      <c r="J95" s="566">
        <f>Index!$C$10</f>
        <v>1</v>
      </c>
      <c r="K95" s="566">
        <f>Index!$C$9</f>
        <v>1913</v>
      </c>
      <c r="L95" s="297"/>
      <c r="M95" s="567">
        <v>1000</v>
      </c>
      <c r="N95" s="567">
        <v>100000000</v>
      </c>
      <c r="O95" s="317"/>
      <c r="Q95" s="318"/>
      <c r="R95" s="318"/>
      <c r="S95" s="300"/>
      <c r="W95" s="1793">
        <v>94</v>
      </c>
      <c r="X95" s="1795">
        <v>2.278</v>
      </c>
      <c r="Y95" s="1795">
        <v>2.278</v>
      </c>
      <c r="Z95" s="1795">
        <v>1.016</v>
      </c>
      <c r="AA95" s="1795">
        <v>1.3520000000000001</v>
      </c>
      <c r="AC95" s="1796"/>
    </row>
    <row r="96" spans="1:29" ht="13.5" thickBot="1" x14ac:dyDescent="0.25">
      <c r="A96" s="2024"/>
      <c r="B96" s="326" t="s">
        <v>215</v>
      </c>
      <c r="C96" s="578" t="s">
        <v>1673</v>
      </c>
      <c r="D96" s="568">
        <v>0</v>
      </c>
      <c r="E96" s="568">
        <v>1000</v>
      </c>
      <c r="F96" s="569">
        <v>12</v>
      </c>
      <c r="G96" s="212">
        <f>ROUND($F96*(1-$I96),0)</f>
        <v>9</v>
      </c>
      <c r="H96" s="212">
        <f>ROUND($F96*(1+$I96),0)</f>
        <v>15</v>
      </c>
      <c r="I96" s="569">
        <v>0.25</v>
      </c>
      <c r="J96" s="566">
        <f>Index!$C$10</f>
        <v>1</v>
      </c>
      <c r="K96" s="566">
        <f>Index!$C$9</f>
        <v>1913</v>
      </c>
      <c r="L96" s="297"/>
      <c r="M96" s="567">
        <v>1000</v>
      </c>
      <c r="N96" s="567">
        <v>100000000</v>
      </c>
      <c r="O96" s="317"/>
      <c r="Q96" s="318"/>
      <c r="R96" s="318"/>
      <c r="S96" s="300"/>
      <c r="W96" s="1793">
        <v>95</v>
      </c>
      <c r="X96" s="1795">
        <v>2.234</v>
      </c>
      <c r="Y96" s="1795">
        <v>2.234</v>
      </c>
      <c r="Z96" s="1795">
        <v>1.014</v>
      </c>
      <c r="AA96" s="1795">
        <v>1.325</v>
      </c>
      <c r="AC96" s="1796"/>
    </row>
    <row r="97" spans="1:29" ht="13.5" thickBot="1" x14ac:dyDescent="0.25">
      <c r="Q97" s="314"/>
      <c r="R97" s="314"/>
      <c r="S97" s="287"/>
      <c r="W97" s="1793">
        <v>96</v>
      </c>
      <c r="X97" s="1795">
        <v>2.1909999999999998</v>
      </c>
      <c r="Y97" s="1795">
        <v>2.1909999999999998</v>
      </c>
      <c r="Z97" s="1795">
        <v>1.0129999999999999</v>
      </c>
      <c r="AA97" s="1795">
        <v>1.2989999999999999</v>
      </c>
      <c r="AC97" s="1796"/>
    </row>
    <row r="98" spans="1:29" ht="36.75" customHeight="1" thickBot="1" x14ac:dyDescent="0.25">
      <c r="A98" s="299" t="s">
        <v>554</v>
      </c>
      <c r="B98" s="341" t="s">
        <v>575</v>
      </c>
      <c r="C98" s="321" t="s">
        <v>570</v>
      </c>
      <c r="D98" s="321" t="s">
        <v>567</v>
      </c>
      <c r="E98" s="321" t="s">
        <v>568</v>
      </c>
      <c r="F98" s="321" t="s">
        <v>569</v>
      </c>
      <c r="G98" s="321" t="s">
        <v>266</v>
      </c>
      <c r="H98" s="321" t="s">
        <v>1676</v>
      </c>
      <c r="I98" s="321" t="s">
        <v>1677</v>
      </c>
      <c r="J98" s="322" t="s">
        <v>528</v>
      </c>
      <c r="K98" s="322" t="s">
        <v>530</v>
      </c>
      <c r="Q98" s="314"/>
      <c r="R98" s="314"/>
      <c r="S98" s="287"/>
      <c r="W98" s="1793">
        <v>97</v>
      </c>
      <c r="X98" s="1795">
        <v>2.149</v>
      </c>
      <c r="Y98" s="1795">
        <v>2.149</v>
      </c>
      <c r="Z98" s="1795">
        <v>1.0109999999999999</v>
      </c>
      <c r="AA98" s="1795">
        <v>1.276</v>
      </c>
      <c r="AC98" s="1796"/>
    </row>
    <row r="99" spans="1:29" ht="13.5" thickBot="1" x14ac:dyDescent="0.25">
      <c r="A99" s="581" t="s">
        <v>368</v>
      </c>
      <c r="B99" s="328" t="str">
        <f>Codes!C47</f>
        <v>AB - Articulated bus</v>
      </c>
      <c r="C99" s="330" t="s">
        <v>13</v>
      </c>
      <c r="D99" s="573">
        <v>12</v>
      </c>
      <c r="E99" s="333">
        <f t="shared" ref="E99:E115" si="20">ROUND($D99*(1-$G99),0)</f>
        <v>9</v>
      </c>
      <c r="F99" s="333">
        <f t="shared" ref="F99:F115" si="21">ROUND($D99*(1+$G99),0)</f>
        <v>15</v>
      </c>
      <c r="G99" s="573">
        <v>0.25</v>
      </c>
      <c r="H99" s="334">
        <f>NSValidation!L231</f>
        <v>400000</v>
      </c>
      <c r="I99" s="334">
        <f>NSValidation!M231</f>
        <v>1200000</v>
      </c>
      <c r="J99" s="566">
        <f>Index!$C$9</f>
        <v>1913</v>
      </c>
      <c r="K99" s="566">
        <f>Index!$C$10</f>
        <v>1</v>
      </c>
      <c r="L99" s="311" t="s">
        <v>1666</v>
      </c>
      <c r="M99" s="563" t="str">
        <f ca="1">MID(CELL("filename",NSValidation!$A$1),FIND("]",CELL("filename",NSValidation!$A$1))+1,256)</f>
        <v>NSValidation</v>
      </c>
      <c r="O99" s="320"/>
      <c r="R99" s="318"/>
      <c r="S99" s="300"/>
      <c r="W99" s="1793">
        <v>98</v>
      </c>
      <c r="X99" s="1795">
        <v>2.1080000000000001</v>
      </c>
      <c r="Y99" s="1795">
        <v>2.1080000000000001</v>
      </c>
      <c r="Z99" s="1795">
        <v>1.01</v>
      </c>
      <c r="AA99" s="1795">
        <v>1.254</v>
      </c>
      <c r="AC99" s="1796"/>
    </row>
    <row r="100" spans="1:29" ht="13.5" thickBot="1" x14ac:dyDescent="0.25">
      <c r="A100" s="582"/>
      <c r="B100" s="328" t="str">
        <f>Codes!C48</f>
        <v>AG - Automated guideway vehicle</v>
      </c>
      <c r="C100" s="317" t="s">
        <v>13</v>
      </c>
      <c r="D100" s="569">
        <v>12</v>
      </c>
      <c r="E100" s="212">
        <f t="shared" si="20"/>
        <v>9</v>
      </c>
      <c r="F100" s="212">
        <f t="shared" si="21"/>
        <v>15</v>
      </c>
      <c r="G100" s="569">
        <v>0.25</v>
      </c>
      <c r="H100" s="325">
        <v>500000</v>
      </c>
      <c r="I100" s="325">
        <v>2000000</v>
      </c>
      <c r="J100" s="566">
        <f>Index!$C$9</f>
        <v>1913</v>
      </c>
      <c r="K100" s="566">
        <f>Index!$C$10</f>
        <v>1</v>
      </c>
      <c r="M100" s="563"/>
      <c r="O100" s="320"/>
      <c r="R100" s="318"/>
      <c r="S100" s="300"/>
      <c r="W100" s="1793">
        <v>99</v>
      </c>
      <c r="X100" s="1795">
        <v>2.0670000000000002</v>
      </c>
      <c r="Y100" s="1795">
        <v>2.0670000000000002</v>
      </c>
      <c r="Z100" s="1795">
        <v>1.0089999999999999</v>
      </c>
      <c r="AA100" s="1795">
        <v>1.2330000000000001</v>
      </c>
      <c r="AC100" s="1796"/>
    </row>
    <row r="101" spans="1:29" ht="13.5" thickBot="1" x14ac:dyDescent="0.25">
      <c r="A101" s="582"/>
      <c r="B101" s="328" t="str">
        <f>Codes!C49</f>
        <v>AO - Automobile</v>
      </c>
      <c r="C101" s="317" t="s">
        <v>13</v>
      </c>
      <c r="D101" s="569">
        <v>7</v>
      </c>
      <c r="E101" s="212">
        <f t="shared" si="20"/>
        <v>5</v>
      </c>
      <c r="F101" s="212">
        <f t="shared" si="21"/>
        <v>9</v>
      </c>
      <c r="G101" s="569">
        <v>0.25</v>
      </c>
      <c r="H101" s="325">
        <f>NSValidation!L243</f>
        <v>15000</v>
      </c>
      <c r="I101" s="325">
        <f>NSValidation!M243</f>
        <v>50000</v>
      </c>
      <c r="J101" s="566">
        <f>Index!$C$9</f>
        <v>1913</v>
      </c>
      <c r="K101" s="566">
        <f>Index!$C$10</f>
        <v>1</v>
      </c>
      <c r="L101" s="311" t="s">
        <v>1666</v>
      </c>
      <c r="M101" s="563" t="str">
        <f ca="1">MID(CELL("filename",NSValidation!$A$1),FIND("]",CELL("filename",NSValidation!$A$1))+1,256)</f>
        <v>NSValidation</v>
      </c>
      <c r="O101" s="320"/>
      <c r="R101" s="318"/>
      <c r="S101" s="300"/>
      <c r="W101" s="1793">
        <v>100</v>
      </c>
      <c r="X101" s="1795">
        <v>2.028</v>
      </c>
      <c r="Y101" s="1795">
        <v>2.028</v>
      </c>
      <c r="Z101" s="1795">
        <v>1.008</v>
      </c>
      <c r="AA101" s="1795">
        <v>1.2</v>
      </c>
      <c r="AC101" s="1796"/>
    </row>
    <row r="102" spans="1:29" x14ac:dyDescent="0.2">
      <c r="A102" s="582"/>
      <c r="B102" s="328" t="str">
        <f>Codes!C50</f>
        <v>BR - Over-the-road bus</v>
      </c>
      <c r="C102" s="317" t="s">
        <v>13</v>
      </c>
      <c r="D102" s="569">
        <v>12</v>
      </c>
      <c r="E102" s="212">
        <f t="shared" si="20"/>
        <v>9</v>
      </c>
      <c r="F102" s="212">
        <f t="shared" si="21"/>
        <v>15</v>
      </c>
      <c r="G102" s="569">
        <v>0.25</v>
      </c>
      <c r="H102" s="325">
        <f>NSValidation!L233</f>
        <v>400000</v>
      </c>
      <c r="I102" s="325">
        <f>NSValidation!M233</f>
        <v>1000000</v>
      </c>
      <c r="J102" s="566">
        <f>Index!$C$9</f>
        <v>1913</v>
      </c>
      <c r="K102" s="566">
        <f>Index!$C$10</f>
        <v>1</v>
      </c>
      <c r="L102" s="311" t="s">
        <v>1666</v>
      </c>
      <c r="M102" s="563" t="str">
        <f ca="1">MID(CELL("filename",NSValidation!$A$1),FIND("]",CELL("filename",NSValidation!$A$1))+1,256)</f>
        <v>NSValidation</v>
      </c>
      <c r="O102" s="320"/>
      <c r="R102" s="318"/>
      <c r="S102" s="300"/>
    </row>
    <row r="103" spans="1:29" x14ac:dyDescent="0.2">
      <c r="A103" s="582"/>
      <c r="B103" s="328" t="str">
        <f>Codes!C51</f>
        <v>BU - Bus</v>
      </c>
      <c r="C103" s="317" t="s">
        <v>13</v>
      </c>
      <c r="D103" s="569">
        <v>12</v>
      </c>
      <c r="E103" s="212">
        <f t="shared" si="20"/>
        <v>9</v>
      </c>
      <c r="F103" s="212">
        <f t="shared" si="21"/>
        <v>15</v>
      </c>
      <c r="G103" s="569">
        <v>0.25</v>
      </c>
      <c r="H103" s="325">
        <f>NSValidation!L234</f>
        <v>400000</v>
      </c>
      <c r="I103" s="325">
        <f>NSValidation!M234</f>
        <v>1000000</v>
      </c>
      <c r="J103" s="566">
        <f>Index!$C$9</f>
        <v>1913</v>
      </c>
      <c r="K103" s="566">
        <f>Index!$C$10</f>
        <v>1</v>
      </c>
      <c r="L103" s="311" t="s">
        <v>1666</v>
      </c>
      <c r="M103" s="563" t="str">
        <f ca="1">MID(CELL("filename",NSValidation!$A$1),FIND("]",CELL("filename",NSValidation!$A$1))+1,256)</f>
        <v>NSValidation</v>
      </c>
      <c r="O103" s="320"/>
      <c r="P103" s="288"/>
      <c r="Q103" s="288"/>
      <c r="R103" s="318"/>
      <c r="S103" s="300"/>
    </row>
    <row r="104" spans="1:29" x14ac:dyDescent="0.2">
      <c r="A104" s="582"/>
      <c r="B104" s="328" t="str">
        <f>Codes!C52</f>
        <v>CC - Cable car</v>
      </c>
      <c r="C104" s="317" t="s">
        <v>13</v>
      </c>
      <c r="D104" s="569">
        <v>10</v>
      </c>
      <c r="E104" s="212">
        <f t="shared" si="20"/>
        <v>8</v>
      </c>
      <c r="F104" s="212">
        <f t="shared" si="21"/>
        <v>13</v>
      </c>
      <c r="G104" s="569">
        <v>0.25</v>
      </c>
      <c r="H104" s="325">
        <f>NSValidation!L233</f>
        <v>400000</v>
      </c>
      <c r="I104" s="325">
        <f>NSValidation!M233</f>
        <v>1000000</v>
      </c>
      <c r="J104" s="566">
        <f>Index!$C$9</f>
        <v>1913</v>
      </c>
      <c r="K104" s="566">
        <f>Index!$C$10</f>
        <v>1</v>
      </c>
      <c r="M104" s="563"/>
      <c r="O104" s="320"/>
      <c r="P104" s="288"/>
      <c r="Q104" s="288"/>
      <c r="R104" s="318"/>
      <c r="S104" s="300"/>
    </row>
    <row r="105" spans="1:29" x14ac:dyDescent="0.2">
      <c r="A105" s="582"/>
      <c r="B105" s="328" t="str">
        <f>Codes!C53</f>
        <v>CU - Cutaway Bus</v>
      </c>
      <c r="C105" s="317" t="s">
        <v>13</v>
      </c>
      <c r="D105" s="569">
        <v>10</v>
      </c>
      <c r="E105" s="212">
        <f t="shared" si="20"/>
        <v>8</v>
      </c>
      <c r="F105" s="212">
        <f t="shared" si="21"/>
        <v>13</v>
      </c>
      <c r="G105" s="569">
        <v>0.25</v>
      </c>
      <c r="H105" s="325">
        <v>200000</v>
      </c>
      <c r="I105" s="325">
        <v>400000</v>
      </c>
      <c r="J105" s="566">
        <f>Index!$C$9</f>
        <v>1913</v>
      </c>
      <c r="K105" s="566">
        <f>Index!$C$10</f>
        <v>1</v>
      </c>
      <c r="M105" s="563"/>
      <c r="O105" s="320"/>
      <c r="P105" s="288"/>
      <c r="Q105" s="288"/>
      <c r="R105" s="318"/>
      <c r="S105" s="300"/>
    </row>
    <row r="106" spans="1:29" x14ac:dyDescent="0.2">
      <c r="A106" s="582"/>
      <c r="B106" s="328" t="str">
        <f>Codes!C54</f>
        <v>DB - Double decked bus</v>
      </c>
      <c r="C106" s="317" t="s">
        <v>13</v>
      </c>
      <c r="D106" s="569">
        <v>12</v>
      </c>
      <c r="E106" s="212">
        <f t="shared" si="20"/>
        <v>9</v>
      </c>
      <c r="F106" s="212">
        <f t="shared" si="21"/>
        <v>15</v>
      </c>
      <c r="G106" s="569">
        <v>0.25</v>
      </c>
      <c r="H106" s="325">
        <f>NSValidation!L235</f>
        <v>400000</v>
      </c>
      <c r="I106" s="325">
        <f>NSValidation!M235</f>
        <v>1000000</v>
      </c>
      <c r="J106" s="566">
        <f>Index!$C$9</f>
        <v>1913</v>
      </c>
      <c r="K106" s="566">
        <f>Index!$C$10</f>
        <v>1</v>
      </c>
      <c r="L106" s="311" t="s">
        <v>1666</v>
      </c>
      <c r="M106" s="563" t="str">
        <f ca="1">MID(CELL("filename",NSValidation!$A$1),FIND("]",CELL("filename",NSValidation!$A$1))+1,256)</f>
        <v>NSValidation</v>
      </c>
      <c r="O106" s="320"/>
      <c r="P106" s="288"/>
      <c r="Q106" s="288"/>
      <c r="R106" s="318"/>
      <c r="S106" s="300"/>
    </row>
    <row r="107" spans="1:29" x14ac:dyDescent="0.2">
      <c r="A107" s="582"/>
      <c r="B107" s="328" t="str">
        <f>Codes!C55</f>
        <v>FB - Ferryboat</v>
      </c>
      <c r="C107" s="317" t="s">
        <v>13</v>
      </c>
      <c r="D107" s="569">
        <v>8</v>
      </c>
      <c r="E107" s="212">
        <f t="shared" si="20"/>
        <v>6</v>
      </c>
      <c r="F107" s="212">
        <f t="shared" si="21"/>
        <v>10</v>
      </c>
      <c r="G107" s="569">
        <v>0.25</v>
      </c>
      <c r="H107" s="325">
        <f>NSValidation!L236</f>
        <v>1000000</v>
      </c>
      <c r="I107" s="325">
        <f>NSValidation!M236</f>
        <v>20000000</v>
      </c>
      <c r="J107" s="566">
        <f>Index!$C$9</f>
        <v>1913</v>
      </c>
      <c r="K107" s="566">
        <f>Index!$C$10</f>
        <v>1</v>
      </c>
      <c r="L107" s="311" t="s">
        <v>1666</v>
      </c>
      <c r="M107" s="563" t="str">
        <f ca="1">MID(CELL("filename",NSValidation!$A$1),FIND("]",CELL("filename",NSValidation!$A$1))+1,256)</f>
        <v>NSValidation</v>
      </c>
      <c r="O107" s="320"/>
      <c r="P107" s="288"/>
      <c r="Q107" s="288"/>
      <c r="R107" s="318"/>
      <c r="S107" s="300"/>
    </row>
    <row r="108" spans="1:29" x14ac:dyDescent="0.2">
      <c r="A108" s="582"/>
      <c r="B108" s="328" t="str">
        <f>Codes!C56</f>
        <v>HR - Heavy rail passenger car</v>
      </c>
      <c r="C108" s="317" t="s">
        <v>13</v>
      </c>
      <c r="D108" s="569">
        <v>30</v>
      </c>
      <c r="E108" s="212">
        <f t="shared" si="20"/>
        <v>23</v>
      </c>
      <c r="F108" s="212">
        <f t="shared" si="21"/>
        <v>38</v>
      </c>
      <c r="G108" s="569">
        <v>0.25</v>
      </c>
      <c r="H108" s="325">
        <f>NSValidation!L237</f>
        <v>1500000</v>
      </c>
      <c r="I108" s="325">
        <f>NSValidation!M237</f>
        <v>3500000</v>
      </c>
      <c r="J108" s="566">
        <f>Index!$C$9</f>
        <v>1913</v>
      </c>
      <c r="K108" s="566">
        <f>Index!$C$10</f>
        <v>1</v>
      </c>
      <c r="L108" s="311" t="s">
        <v>1666</v>
      </c>
      <c r="M108" s="563" t="str">
        <f ca="1">MID(CELL("filename",NSValidation!$A$1),FIND("]",CELL("filename",NSValidation!$A$1))+1,256)</f>
        <v>NSValidation</v>
      </c>
      <c r="O108" s="320"/>
      <c r="P108" s="288"/>
      <c r="Q108" s="288"/>
      <c r="R108" s="318"/>
      <c r="S108" s="300"/>
    </row>
    <row r="109" spans="1:29" x14ac:dyDescent="0.2">
      <c r="A109" s="582"/>
      <c r="B109" s="328" t="str">
        <f>Codes!C57</f>
        <v>IP - Inclined plane vehicle</v>
      </c>
      <c r="C109" s="317" t="s">
        <v>13</v>
      </c>
      <c r="D109" s="569">
        <v>15</v>
      </c>
      <c r="E109" s="212">
        <f t="shared" si="20"/>
        <v>11</v>
      </c>
      <c r="F109" s="212">
        <f t="shared" si="21"/>
        <v>19</v>
      </c>
      <c r="G109" s="569">
        <v>0.25</v>
      </c>
      <c r="H109" s="325">
        <v>500000</v>
      </c>
      <c r="I109" s="325">
        <v>1000000</v>
      </c>
      <c r="J109" s="566">
        <f>Index!$C$9</f>
        <v>1913</v>
      </c>
      <c r="K109" s="566">
        <f>Index!$C$10</f>
        <v>1</v>
      </c>
      <c r="M109" s="563"/>
      <c r="O109" s="320"/>
      <c r="P109" s="288"/>
      <c r="Q109" s="288"/>
      <c r="R109" s="318"/>
      <c r="S109" s="300"/>
    </row>
    <row r="110" spans="1:29" x14ac:dyDescent="0.2">
      <c r="A110" s="582"/>
      <c r="B110" s="328" t="str">
        <f>Codes!C58</f>
        <v>LR - Light rail vehicle</v>
      </c>
      <c r="C110" s="317" t="s">
        <v>13</v>
      </c>
      <c r="D110" s="569">
        <v>25</v>
      </c>
      <c r="E110" s="212">
        <f t="shared" si="20"/>
        <v>19</v>
      </c>
      <c r="F110" s="212">
        <f t="shared" si="21"/>
        <v>31</v>
      </c>
      <c r="G110" s="569">
        <v>0.25</v>
      </c>
      <c r="H110" s="325">
        <f>NSValidation!L238</f>
        <v>2000000</v>
      </c>
      <c r="I110" s="325">
        <f>NSValidation!M238</f>
        <v>5000000</v>
      </c>
      <c r="J110" s="566">
        <f>Index!$C$9</f>
        <v>1913</v>
      </c>
      <c r="K110" s="566">
        <f>Index!$C$10</f>
        <v>1</v>
      </c>
      <c r="L110" s="311" t="s">
        <v>1666</v>
      </c>
      <c r="M110" s="563" t="str">
        <f ca="1">MID(CELL("filename",NSValidation!$A$1),FIND("]",CELL("filename",NSValidation!$A$1))+1,256)</f>
        <v>NSValidation</v>
      </c>
      <c r="O110" s="320"/>
      <c r="P110" s="288"/>
      <c r="Q110" s="288"/>
      <c r="R110" s="318"/>
      <c r="S110" s="300"/>
    </row>
    <row r="111" spans="1:29" x14ac:dyDescent="0.2">
      <c r="A111" s="582"/>
      <c r="B111" s="328" t="str">
        <f>Codes!C61</f>
        <v>MO - Monorail vehicle</v>
      </c>
      <c r="C111" s="317" t="s">
        <v>13</v>
      </c>
      <c r="D111" s="569">
        <v>20</v>
      </c>
      <c r="E111" s="212">
        <f t="shared" si="20"/>
        <v>15</v>
      </c>
      <c r="F111" s="212">
        <f t="shared" si="21"/>
        <v>25</v>
      </c>
      <c r="G111" s="569">
        <v>0.25</v>
      </c>
      <c r="H111" s="325">
        <v>1000000</v>
      </c>
      <c r="I111" s="325">
        <v>3000000</v>
      </c>
      <c r="J111" s="566">
        <f>Index!$C$9</f>
        <v>1913</v>
      </c>
      <c r="K111" s="566">
        <f>Index!$C$10</f>
        <v>1</v>
      </c>
      <c r="M111" s="563"/>
      <c r="O111" s="320"/>
      <c r="P111" s="288"/>
      <c r="Q111" s="288"/>
      <c r="R111" s="318"/>
      <c r="S111" s="300"/>
    </row>
    <row r="112" spans="1:29" x14ac:dyDescent="0.2">
      <c r="A112" s="582"/>
      <c r="B112" s="328" t="str">
        <f>Codes!C62</f>
        <v>RL - Commuter rail locomotive</v>
      </c>
      <c r="C112" s="317" t="s">
        <v>13</v>
      </c>
      <c r="D112" s="569">
        <v>30</v>
      </c>
      <c r="E112" s="212">
        <f t="shared" si="20"/>
        <v>23</v>
      </c>
      <c r="F112" s="212">
        <f t="shared" si="21"/>
        <v>38</v>
      </c>
      <c r="G112" s="569">
        <v>0.25</v>
      </c>
      <c r="H112" s="325">
        <f>NSValidation!L239</f>
        <v>1800000</v>
      </c>
      <c r="I112" s="325">
        <f>NSValidation!M239</f>
        <v>11000000</v>
      </c>
      <c r="J112" s="566">
        <f>Index!$C$9</f>
        <v>1913</v>
      </c>
      <c r="K112" s="566">
        <f>Index!$C$10</f>
        <v>1</v>
      </c>
      <c r="L112" s="311" t="s">
        <v>1666</v>
      </c>
      <c r="M112" s="563" t="str">
        <f ca="1">MID(CELL("filename",NSValidation!$A$1),FIND("]",CELL("filename",NSValidation!$A$1))+1,256)</f>
        <v>NSValidation</v>
      </c>
      <c r="O112" s="320"/>
      <c r="P112" s="288"/>
      <c r="Q112" s="288"/>
      <c r="R112" s="318"/>
      <c r="S112" s="300"/>
    </row>
    <row r="113" spans="1:19" x14ac:dyDescent="0.2">
      <c r="A113" s="582"/>
      <c r="B113" s="328" t="str">
        <f>Codes!C63</f>
        <v>RP - Commuter rail passenger coach</v>
      </c>
      <c r="C113" s="317" t="s">
        <v>13</v>
      </c>
      <c r="D113" s="569">
        <v>30</v>
      </c>
      <c r="E113" s="212">
        <f t="shared" si="20"/>
        <v>23</v>
      </c>
      <c r="F113" s="212">
        <f t="shared" si="21"/>
        <v>38</v>
      </c>
      <c r="G113" s="569">
        <v>0.25</v>
      </c>
      <c r="H113" s="325">
        <f>NSValidation!L240</f>
        <v>1500000</v>
      </c>
      <c r="I113" s="325">
        <f>NSValidation!M240</f>
        <v>3500000</v>
      </c>
      <c r="J113" s="566">
        <f>Index!$C$9</f>
        <v>1913</v>
      </c>
      <c r="K113" s="566">
        <f>Index!$C$10</f>
        <v>1</v>
      </c>
      <c r="L113" s="311" t="s">
        <v>1666</v>
      </c>
      <c r="M113" s="563" t="str">
        <f ca="1">MID(CELL("filename",NSValidation!$A$1),FIND("]",CELL("filename",NSValidation!$A$1))+1,256)</f>
        <v>NSValidation</v>
      </c>
      <c r="O113" s="320"/>
      <c r="P113" s="288"/>
      <c r="Q113" s="288"/>
      <c r="R113" s="318"/>
      <c r="S113" s="300"/>
    </row>
    <row r="114" spans="1:19" x14ac:dyDescent="0.2">
      <c r="A114" s="582"/>
      <c r="B114" s="328" t="str">
        <f>Codes!C64</f>
        <v>RS - Commuter rail, self-propelled passenger car</v>
      </c>
      <c r="C114" s="317" t="s">
        <v>13</v>
      </c>
      <c r="D114" s="569">
        <v>30</v>
      </c>
      <c r="E114" s="212">
        <f t="shared" si="20"/>
        <v>23</v>
      </c>
      <c r="F114" s="212">
        <f t="shared" si="21"/>
        <v>38</v>
      </c>
      <c r="G114" s="569">
        <v>0.25</v>
      </c>
      <c r="H114" s="325">
        <v>2000000</v>
      </c>
      <c r="I114" s="325">
        <v>4000000</v>
      </c>
      <c r="J114" s="566">
        <f>Index!$C$9</f>
        <v>1913</v>
      </c>
      <c r="K114" s="566">
        <f>Index!$C$10</f>
        <v>1</v>
      </c>
      <c r="M114" s="563"/>
      <c r="O114" s="320"/>
      <c r="P114" s="288"/>
      <c r="Q114" s="288"/>
      <c r="R114" s="318"/>
      <c r="S114" s="300"/>
    </row>
    <row r="115" spans="1:19" x14ac:dyDescent="0.2">
      <c r="A115" s="582"/>
      <c r="B115" s="328" t="str">
        <f>Codes!C66</f>
        <v>SB - School bus</v>
      </c>
      <c r="C115" s="317" t="s">
        <v>13</v>
      </c>
      <c r="D115" s="569">
        <v>15</v>
      </c>
      <c r="E115" s="212">
        <f t="shared" si="20"/>
        <v>11</v>
      </c>
      <c r="F115" s="212">
        <f t="shared" si="21"/>
        <v>19</v>
      </c>
      <c r="G115" s="569">
        <v>0.25</v>
      </c>
      <c r="H115" s="325">
        <v>70000</v>
      </c>
      <c r="I115" s="325">
        <v>200000</v>
      </c>
      <c r="J115" s="566">
        <f>Index!$C$9</f>
        <v>1913</v>
      </c>
      <c r="K115" s="566">
        <f>Index!$C$10</f>
        <v>1</v>
      </c>
      <c r="M115" s="563"/>
      <c r="O115" s="320"/>
      <c r="P115" s="288"/>
      <c r="Q115" s="288"/>
      <c r="R115" s="318"/>
      <c r="S115" s="300"/>
    </row>
    <row r="116" spans="1:19" x14ac:dyDescent="0.2">
      <c r="A116" s="582"/>
      <c r="B116" s="328" t="str">
        <f>Codes!C67</f>
        <v>SV - Sport Utility Vehicle</v>
      </c>
      <c r="C116" s="317"/>
      <c r="D116" s="569"/>
      <c r="E116" s="212"/>
      <c r="F116" s="212"/>
      <c r="G116" s="569"/>
      <c r="H116" s="325"/>
      <c r="I116" s="325"/>
      <c r="J116" s="566"/>
      <c r="K116" s="566"/>
      <c r="M116" s="563"/>
      <c r="O116" s="320"/>
      <c r="P116" s="288"/>
      <c r="Q116" s="288"/>
      <c r="R116" s="318"/>
      <c r="S116" s="300"/>
    </row>
    <row r="117" spans="1:19" x14ac:dyDescent="0.2">
      <c r="A117" s="582"/>
      <c r="B117" s="328" t="str">
        <f>Codes!C68</f>
        <v>TB - Trolleybus</v>
      </c>
      <c r="C117" s="317" t="s">
        <v>13</v>
      </c>
      <c r="D117" s="569">
        <v>12</v>
      </c>
      <c r="E117" s="212">
        <f>ROUND($D117*(1-$G117),0)</f>
        <v>9</v>
      </c>
      <c r="F117" s="212">
        <f>ROUND($D117*(1+$G117),0)</f>
        <v>15</v>
      </c>
      <c r="G117" s="569">
        <v>0.25</v>
      </c>
      <c r="H117" s="325">
        <v>300000</v>
      </c>
      <c r="I117" s="325">
        <v>600000</v>
      </c>
      <c r="J117" s="566">
        <f>Index!$C$9</f>
        <v>1913</v>
      </c>
      <c r="K117" s="566">
        <f>Index!$C$10</f>
        <v>1</v>
      </c>
      <c r="M117" s="563"/>
      <c r="O117" s="320"/>
      <c r="P117" s="288"/>
      <c r="Q117" s="288"/>
      <c r="R117" s="318"/>
      <c r="S117" s="300"/>
    </row>
    <row r="118" spans="1:19" x14ac:dyDescent="0.2">
      <c r="A118" s="582"/>
      <c r="B118" s="328" t="str">
        <f>Codes!C69</f>
        <v>TR - Aerial tramway</v>
      </c>
      <c r="C118" s="317" t="s">
        <v>13</v>
      </c>
      <c r="D118" s="569">
        <v>15</v>
      </c>
      <c r="E118" s="212">
        <f>ROUND($D118*(1-$G118),0)</f>
        <v>11</v>
      </c>
      <c r="F118" s="212">
        <f>ROUND($D118*(1+$G118),0)</f>
        <v>19</v>
      </c>
      <c r="G118" s="569">
        <v>0.25</v>
      </c>
      <c r="H118" s="325">
        <v>400000</v>
      </c>
      <c r="I118" s="325">
        <v>800000</v>
      </c>
      <c r="J118" s="566">
        <f>Index!$C$9</f>
        <v>1913</v>
      </c>
      <c r="K118" s="566">
        <f>Index!$C$10</f>
        <v>1</v>
      </c>
      <c r="M118" s="563"/>
      <c r="O118" s="320"/>
      <c r="P118" s="288"/>
      <c r="Q118" s="288"/>
      <c r="R118" s="318"/>
      <c r="S118" s="300"/>
    </row>
    <row r="119" spans="1:19" x14ac:dyDescent="0.2">
      <c r="A119" s="582"/>
      <c r="B119" s="328" t="str">
        <f>Codes!C70</f>
        <v>VN - Van</v>
      </c>
      <c r="C119" s="317" t="s">
        <v>13</v>
      </c>
      <c r="D119" s="569">
        <v>7</v>
      </c>
      <c r="E119" s="212">
        <f>ROUND($D119*(1-$G119),0)</f>
        <v>5</v>
      </c>
      <c r="F119" s="212">
        <f>ROUND($D119*(1+$G119),0)</f>
        <v>9</v>
      </c>
      <c r="G119" s="569">
        <v>0.25</v>
      </c>
      <c r="H119" s="325">
        <f>NSValidation!L232</f>
        <v>15000</v>
      </c>
      <c r="I119" s="325">
        <f>NSValidation!M232</f>
        <v>50000</v>
      </c>
      <c r="J119" s="566">
        <f>Index!$C$9</f>
        <v>1913</v>
      </c>
      <c r="K119" s="566">
        <f>Index!$C$10</f>
        <v>1</v>
      </c>
      <c r="L119" s="311" t="s">
        <v>1666</v>
      </c>
      <c r="M119" s="563" t="str">
        <f ca="1">MID(CELL("filename",NSValidation!$A$1),FIND("]",CELL("filename",NSValidation!$A$1))+1,256)</f>
        <v>NSValidation</v>
      </c>
      <c r="O119" s="320"/>
      <c r="P119" s="288"/>
      <c r="Q119" s="288"/>
      <c r="R119" s="318"/>
      <c r="S119" s="300"/>
    </row>
    <row r="120" spans="1:19" x14ac:dyDescent="0.2">
      <c r="A120" s="583"/>
      <c r="B120" s="328" t="str">
        <f>Codes!C71</f>
        <v>VT - Vintage trolley / streetcar</v>
      </c>
      <c r="C120" s="317" t="s">
        <v>13</v>
      </c>
      <c r="D120" s="569">
        <v>10</v>
      </c>
      <c r="E120" s="212">
        <f>ROUND($D120*(1-$G120),0)</f>
        <v>8</v>
      </c>
      <c r="F120" s="212">
        <f>ROUND($D120*(1+$G120),0)</f>
        <v>13</v>
      </c>
      <c r="G120" s="569">
        <v>0.25</v>
      </c>
      <c r="H120" s="325">
        <f>NSValidation!L244</f>
        <v>400000</v>
      </c>
      <c r="I120" s="325">
        <f>NSValidation!M244</f>
        <v>1000000</v>
      </c>
      <c r="J120" s="566">
        <f>Index!$C$9</f>
        <v>1913</v>
      </c>
      <c r="K120" s="566">
        <f>Index!$C$10</f>
        <v>1</v>
      </c>
      <c r="L120" s="311" t="s">
        <v>1666</v>
      </c>
      <c r="M120" s="563" t="str">
        <f ca="1">MID(CELL("filename",NSValidation!$A$1),FIND("]",CELL("filename",NSValidation!$A$1))+1,256)</f>
        <v>NSValidation</v>
      </c>
      <c r="O120" s="320"/>
      <c r="P120" s="288"/>
      <c r="Q120" s="288"/>
      <c r="R120" s="318"/>
      <c r="S120" s="300"/>
    </row>
    <row r="121" spans="1:19" x14ac:dyDescent="0.2">
      <c r="Q121" s="314"/>
      <c r="R121" s="314"/>
      <c r="S121" s="287"/>
    </row>
    <row r="122" spans="1:19" ht="28.5" customHeight="1" x14ac:dyDescent="0.2">
      <c r="A122" s="299" t="s">
        <v>554</v>
      </c>
      <c r="B122" s="291" t="s">
        <v>574</v>
      </c>
      <c r="C122" s="321" t="s">
        <v>570</v>
      </c>
      <c r="D122" s="321" t="s">
        <v>414</v>
      </c>
      <c r="E122" s="321" t="s">
        <v>571</v>
      </c>
      <c r="F122" s="321" t="s">
        <v>572</v>
      </c>
      <c r="G122" s="321" t="s">
        <v>266</v>
      </c>
      <c r="H122" s="322" t="s">
        <v>530</v>
      </c>
      <c r="I122" s="322" t="s">
        <v>528</v>
      </c>
      <c r="Q122" s="314"/>
      <c r="R122" s="314"/>
      <c r="S122" s="287"/>
    </row>
    <row r="123" spans="1:19" x14ac:dyDescent="0.2">
      <c r="A123" s="2022" t="s">
        <v>573</v>
      </c>
      <c r="B123" s="328" t="str">
        <f>Codes!G47</f>
        <v>Mid-Life Power Train</v>
      </c>
      <c r="C123" s="330" t="s">
        <v>13</v>
      </c>
      <c r="D123" s="574">
        <v>40000</v>
      </c>
      <c r="E123" s="329">
        <f t="shared" ref="E123:E137" si="22">ROUND($D123*(1-$G123),0)</f>
        <v>30000</v>
      </c>
      <c r="F123" s="329">
        <f t="shared" ref="F123:F137" si="23">ROUND($D123*(1+$G123),0)</f>
        <v>50000</v>
      </c>
      <c r="G123" s="573">
        <v>0.25</v>
      </c>
      <c r="H123" s="566">
        <f>Index!$C$10</f>
        <v>1</v>
      </c>
      <c r="I123" s="566">
        <f>Index!$C$9</f>
        <v>1913</v>
      </c>
      <c r="Q123" s="318"/>
      <c r="R123" s="318"/>
      <c r="S123" s="300"/>
    </row>
    <row r="124" spans="1:19" x14ac:dyDescent="0.2">
      <c r="A124" s="2023"/>
      <c r="B124" s="328" t="str">
        <f>Codes!G48</f>
        <v>Mid-Life Overhaul</v>
      </c>
      <c r="C124" s="330" t="s">
        <v>13</v>
      </c>
      <c r="D124" s="575">
        <v>40000</v>
      </c>
      <c r="E124" s="213">
        <f t="shared" si="22"/>
        <v>30000</v>
      </c>
      <c r="F124" s="213">
        <f t="shared" si="23"/>
        <v>50000</v>
      </c>
      <c r="G124" s="569">
        <v>0.25</v>
      </c>
      <c r="H124" s="566">
        <f>Index!$C$10</f>
        <v>1</v>
      </c>
      <c r="I124" s="566">
        <f>Index!$C$9</f>
        <v>1913</v>
      </c>
      <c r="Q124" s="318"/>
      <c r="R124" s="318"/>
      <c r="S124" s="300"/>
    </row>
    <row r="125" spans="1:19" x14ac:dyDescent="0.2">
      <c r="A125" s="2023"/>
      <c r="B125" s="328" t="str">
        <f>Codes!G49</f>
        <v>Life-Extending Overhaul</v>
      </c>
      <c r="C125" s="330" t="s">
        <v>13</v>
      </c>
      <c r="D125" s="575">
        <v>40000</v>
      </c>
      <c r="E125" s="213">
        <f t="shared" si="22"/>
        <v>30000</v>
      </c>
      <c r="F125" s="213">
        <f t="shared" si="23"/>
        <v>50000</v>
      </c>
      <c r="G125" s="569">
        <v>0.25</v>
      </c>
      <c r="H125" s="566">
        <f>Index!$C$10</f>
        <v>1</v>
      </c>
      <c r="I125" s="566">
        <f>Index!$C$9</f>
        <v>1913</v>
      </c>
      <c r="Q125" s="318"/>
      <c r="R125" s="318"/>
      <c r="S125" s="300"/>
    </row>
    <row r="126" spans="1:19" x14ac:dyDescent="0.2">
      <c r="A126" s="2023"/>
      <c r="B126" s="328">
        <f>Codes!G50</f>
        <v>0</v>
      </c>
      <c r="C126" s="330" t="s">
        <v>13</v>
      </c>
      <c r="D126" s="575">
        <v>40000</v>
      </c>
      <c r="E126" s="213">
        <f t="shared" si="22"/>
        <v>30000</v>
      </c>
      <c r="F126" s="213">
        <f t="shared" si="23"/>
        <v>50000</v>
      </c>
      <c r="G126" s="569">
        <v>0.25</v>
      </c>
      <c r="H126" s="566">
        <f>Index!$C$10</f>
        <v>1</v>
      </c>
      <c r="I126" s="566">
        <f>Index!$C$9</f>
        <v>1913</v>
      </c>
      <c r="Q126" s="318"/>
      <c r="R126" s="318"/>
      <c r="S126" s="300"/>
    </row>
    <row r="127" spans="1:19" x14ac:dyDescent="0.2">
      <c r="A127" s="2023"/>
      <c r="B127" s="328">
        <f>Codes!G51</f>
        <v>0</v>
      </c>
      <c r="C127" s="330" t="s">
        <v>13</v>
      </c>
      <c r="D127" s="575">
        <v>40000</v>
      </c>
      <c r="E127" s="213">
        <f t="shared" si="22"/>
        <v>30000</v>
      </c>
      <c r="F127" s="213">
        <f t="shared" si="23"/>
        <v>50000</v>
      </c>
      <c r="G127" s="569">
        <v>0.25</v>
      </c>
      <c r="H127" s="566">
        <f>Index!$C$10</f>
        <v>1</v>
      </c>
      <c r="I127" s="566">
        <f>Index!$C$9</f>
        <v>1913</v>
      </c>
      <c r="Q127" s="318"/>
      <c r="R127" s="318"/>
      <c r="S127" s="300"/>
    </row>
    <row r="128" spans="1:19" x14ac:dyDescent="0.2">
      <c r="A128" s="2023"/>
      <c r="B128" s="328">
        <f>Codes!G52</f>
        <v>0</v>
      </c>
      <c r="C128" s="330" t="s">
        <v>13</v>
      </c>
      <c r="D128" s="575">
        <v>40000</v>
      </c>
      <c r="E128" s="213">
        <f t="shared" si="22"/>
        <v>30000</v>
      </c>
      <c r="F128" s="213">
        <f t="shared" si="23"/>
        <v>50000</v>
      </c>
      <c r="G128" s="569">
        <v>0.25</v>
      </c>
      <c r="H128" s="566">
        <f>Index!$C$10</f>
        <v>1</v>
      </c>
      <c r="I128" s="566">
        <f>Index!$C$9</f>
        <v>1913</v>
      </c>
      <c r="Q128" s="318"/>
      <c r="R128" s="318"/>
      <c r="S128" s="300"/>
    </row>
    <row r="129" spans="1:19" x14ac:dyDescent="0.2">
      <c r="A129" s="2023"/>
      <c r="B129" s="328">
        <f>Codes!G53</f>
        <v>0</v>
      </c>
      <c r="C129" s="330" t="s">
        <v>13</v>
      </c>
      <c r="D129" s="575">
        <v>40000</v>
      </c>
      <c r="E129" s="213">
        <f t="shared" si="22"/>
        <v>30000</v>
      </c>
      <c r="F129" s="213">
        <f t="shared" si="23"/>
        <v>50000</v>
      </c>
      <c r="G129" s="569">
        <v>0.25</v>
      </c>
      <c r="H129" s="566">
        <f>Index!$C$10</f>
        <v>1</v>
      </c>
      <c r="I129" s="566">
        <f>Index!$C$9</f>
        <v>1913</v>
      </c>
      <c r="Q129" s="318"/>
      <c r="R129" s="318"/>
      <c r="S129" s="300"/>
    </row>
    <row r="130" spans="1:19" x14ac:dyDescent="0.2">
      <c r="A130" s="2023"/>
      <c r="B130" s="328">
        <f>Codes!G54</f>
        <v>0</v>
      </c>
      <c r="C130" s="330" t="s">
        <v>13</v>
      </c>
      <c r="D130" s="575">
        <v>40000</v>
      </c>
      <c r="E130" s="213">
        <f t="shared" si="22"/>
        <v>30000</v>
      </c>
      <c r="F130" s="213">
        <f t="shared" si="23"/>
        <v>50000</v>
      </c>
      <c r="G130" s="569">
        <v>0.25</v>
      </c>
      <c r="H130" s="566">
        <f>Index!$C$10</f>
        <v>1</v>
      </c>
      <c r="I130" s="566">
        <f>Index!$C$9</f>
        <v>1913</v>
      </c>
      <c r="Q130" s="318"/>
      <c r="R130" s="318"/>
      <c r="S130" s="300"/>
    </row>
    <row r="131" spans="1:19" x14ac:dyDescent="0.2">
      <c r="A131" s="2023"/>
      <c r="B131" s="328">
        <f>Codes!G55</f>
        <v>0</v>
      </c>
      <c r="C131" s="330" t="s">
        <v>13</v>
      </c>
      <c r="D131" s="575">
        <v>40000</v>
      </c>
      <c r="E131" s="213">
        <f t="shared" si="22"/>
        <v>30000</v>
      </c>
      <c r="F131" s="213">
        <f t="shared" si="23"/>
        <v>50000</v>
      </c>
      <c r="G131" s="569">
        <v>0.25</v>
      </c>
      <c r="H131" s="566">
        <f>Index!$C$10</f>
        <v>1</v>
      </c>
      <c r="I131" s="566">
        <f>Index!$C$9</f>
        <v>1913</v>
      </c>
      <c r="Q131" s="318"/>
      <c r="R131" s="318"/>
      <c r="S131" s="300"/>
    </row>
    <row r="132" spans="1:19" x14ac:dyDescent="0.2">
      <c r="A132" s="2023"/>
      <c r="B132" s="328">
        <f>Codes!G56</f>
        <v>0</v>
      </c>
      <c r="C132" s="330" t="s">
        <v>13</v>
      </c>
      <c r="D132" s="575">
        <v>40000</v>
      </c>
      <c r="E132" s="213">
        <f t="shared" si="22"/>
        <v>30000</v>
      </c>
      <c r="F132" s="213">
        <f t="shared" si="23"/>
        <v>50000</v>
      </c>
      <c r="G132" s="569">
        <v>0.25</v>
      </c>
      <c r="H132" s="566">
        <f>Index!$C$10</f>
        <v>1</v>
      </c>
      <c r="I132" s="566">
        <f>Index!$C$9</f>
        <v>1913</v>
      </c>
      <c r="Q132" s="318"/>
      <c r="R132" s="318"/>
      <c r="S132" s="300"/>
    </row>
    <row r="133" spans="1:19" x14ac:dyDescent="0.2">
      <c r="A133" s="2023"/>
      <c r="B133" s="328">
        <f>Codes!G57</f>
        <v>0</v>
      </c>
      <c r="C133" s="330" t="s">
        <v>13</v>
      </c>
      <c r="D133" s="575">
        <v>40000</v>
      </c>
      <c r="E133" s="213">
        <f t="shared" si="22"/>
        <v>30000</v>
      </c>
      <c r="F133" s="213">
        <f t="shared" si="23"/>
        <v>50000</v>
      </c>
      <c r="G133" s="569">
        <v>0.25</v>
      </c>
      <c r="H133" s="566">
        <f>Index!$C$10</f>
        <v>1</v>
      </c>
      <c r="I133" s="566">
        <f>Index!$C$9</f>
        <v>1913</v>
      </c>
      <c r="Q133" s="318"/>
      <c r="R133" s="318"/>
      <c r="S133" s="300"/>
    </row>
    <row r="134" spans="1:19" x14ac:dyDescent="0.2">
      <c r="A134" s="2023"/>
      <c r="B134" s="328">
        <f>Codes!G58</f>
        <v>0</v>
      </c>
      <c r="C134" s="330" t="s">
        <v>13</v>
      </c>
      <c r="D134" s="575">
        <v>40000</v>
      </c>
      <c r="E134" s="213">
        <f t="shared" si="22"/>
        <v>30000</v>
      </c>
      <c r="F134" s="213">
        <f t="shared" si="23"/>
        <v>50000</v>
      </c>
      <c r="G134" s="569">
        <v>0.25</v>
      </c>
      <c r="H134" s="566">
        <f>Index!$C$10</f>
        <v>1</v>
      </c>
      <c r="I134" s="566">
        <f>Index!$C$9</f>
        <v>1913</v>
      </c>
      <c r="Q134" s="318"/>
      <c r="R134" s="318"/>
      <c r="S134" s="300"/>
    </row>
    <row r="135" spans="1:19" x14ac:dyDescent="0.2">
      <c r="A135" s="2023"/>
      <c r="B135" s="328">
        <f>Codes!G59</f>
        <v>0</v>
      </c>
      <c r="C135" s="330" t="s">
        <v>13</v>
      </c>
      <c r="D135" s="575">
        <v>40000</v>
      </c>
      <c r="E135" s="213">
        <f t="shared" si="22"/>
        <v>30000</v>
      </c>
      <c r="F135" s="213">
        <f t="shared" si="23"/>
        <v>50000</v>
      </c>
      <c r="G135" s="569">
        <v>0.25</v>
      </c>
      <c r="H135" s="566">
        <f>Index!$C$10</f>
        <v>1</v>
      </c>
      <c r="I135" s="566">
        <f>Index!$C$9</f>
        <v>1913</v>
      </c>
      <c r="Q135" s="318"/>
      <c r="R135" s="318"/>
      <c r="S135" s="300"/>
    </row>
    <row r="136" spans="1:19" x14ac:dyDescent="0.2">
      <c r="A136" s="2023"/>
      <c r="B136" s="328">
        <f>Codes!G60</f>
        <v>0</v>
      </c>
      <c r="C136" s="330" t="s">
        <v>13</v>
      </c>
      <c r="D136" s="575">
        <v>40000</v>
      </c>
      <c r="E136" s="213">
        <f t="shared" si="22"/>
        <v>30000</v>
      </c>
      <c r="F136" s="213">
        <f t="shared" si="23"/>
        <v>50000</v>
      </c>
      <c r="G136" s="569">
        <v>0.25</v>
      </c>
      <c r="H136" s="566">
        <f>Index!$C$10</f>
        <v>1</v>
      </c>
      <c r="I136" s="566">
        <f>Index!$C$9</f>
        <v>1913</v>
      </c>
      <c r="Q136" s="318"/>
      <c r="R136" s="318"/>
      <c r="S136" s="300"/>
    </row>
    <row r="137" spans="1:19" x14ac:dyDescent="0.2">
      <c r="A137" s="2024"/>
      <c r="B137" s="328">
        <f>Codes!G61</f>
        <v>0</v>
      </c>
      <c r="C137" s="330" t="s">
        <v>13</v>
      </c>
      <c r="D137" s="575">
        <v>40000</v>
      </c>
      <c r="E137" s="213">
        <f t="shared" si="22"/>
        <v>30000</v>
      </c>
      <c r="F137" s="213">
        <f t="shared" si="23"/>
        <v>50000</v>
      </c>
      <c r="G137" s="569">
        <v>0.25</v>
      </c>
      <c r="H137" s="566">
        <f>Index!$C$10</f>
        <v>1</v>
      </c>
      <c r="I137" s="566">
        <f>Index!$C$9</f>
        <v>1913</v>
      </c>
      <c r="Q137" s="318"/>
      <c r="R137" s="318"/>
      <c r="S137" s="300"/>
    </row>
    <row r="138" spans="1:19" x14ac:dyDescent="0.2">
      <c r="Q138" s="314"/>
      <c r="R138" s="314"/>
      <c r="S138" s="287"/>
    </row>
  </sheetData>
  <sheetProtection password="C82B" sheet="1" objects="1" scenarios="1" formatCells="0" formatColumns="0" formatRows="0" selectLockedCells="1" sort="0" autoFilter="0"/>
  <autoFilter ref="W1:AA138">
    <sortState ref="W2:AA138">
      <sortCondition descending="1" ref="W1:W138"/>
    </sortState>
  </autoFilter>
  <sortState ref="M8:M26">
    <sortCondition ref="M8"/>
  </sortState>
  <mergeCells count="13">
    <mergeCell ref="A7:A13"/>
    <mergeCell ref="A123:A137"/>
    <mergeCell ref="A65:A70"/>
    <mergeCell ref="A71:A79"/>
    <mergeCell ref="A82:A86"/>
    <mergeCell ref="A94:A96"/>
    <mergeCell ref="A87:A91"/>
    <mergeCell ref="A41:A50"/>
    <mergeCell ref="A53:A62"/>
    <mergeCell ref="A14:A15"/>
    <mergeCell ref="A16:A21"/>
    <mergeCell ref="A22:A24"/>
    <mergeCell ref="A27:A38"/>
  </mergeCells>
  <pageMargins left="0.7" right="0.7" top="0.75" bottom="0.75" header="0.3" footer="0.3"/>
  <pageSetup orientation="portrait" horizont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X53"/>
  <sheetViews>
    <sheetView showGridLines="0" zoomScaleNormal="100" workbookViewId="0"/>
  </sheetViews>
  <sheetFormatPr defaultColWidth="9.140625" defaultRowHeight="12.75" x14ac:dyDescent="0.2"/>
  <cols>
    <col min="1" max="1" width="1.28515625" style="1" customWidth="1"/>
    <col min="2" max="2" width="28.7109375" style="1" customWidth="1"/>
    <col min="3" max="3" width="4.7109375" style="81" customWidth="1"/>
    <col min="4" max="5" width="6.7109375" style="1" customWidth="1"/>
    <col min="6" max="6" width="29.5703125" style="1" customWidth="1"/>
    <col min="7" max="7" width="4.7109375" style="1" customWidth="1"/>
    <col min="8" max="9" width="6.7109375" style="1" customWidth="1"/>
    <col min="10" max="10" width="28.7109375" style="1" customWidth="1"/>
    <col min="11" max="11" width="4.7109375" style="1" customWidth="1"/>
    <col min="12" max="13" width="6.7109375" style="1" customWidth="1"/>
    <col min="14" max="14" width="21.42578125" style="1" customWidth="1"/>
    <col min="15" max="15" width="4.140625" style="1" customWidth="1"/>
    <col min="16" max="17" width="6" style="1" customWidth="1"/>
    <col min="18" max="24" width="13.85546875" style="164" customWidth="1"/>
    <col min="25" max="16384" width="9.140625" style="1"/>
  </cols>
  <sheetData>
    <row r="1" spans="1:17" ht="4.7" customHeight="1" x14ac:dyDescent="0.2">
      <c r="A1" s="162"/>
      <c r="B1" s="162"/>
      <c r="C1" s="163"/>
      <c r="D1" s="162"/>
      <c r="E1" s="162"/>
      <c r="F1" s="162"/>
      <c r="G1" s="162"/>
      <c r="H1" s="162"/>
      <c r="I1" s="162"/>
      <c r="J1" s="162"/>
      <c r="K1" s="162"/>
      <c r="L1" s="162"/>
      <c r="M1" s="162"/>
      <c r="N1" s="162"/>
      <c r="O1" s="162"/>
      <c r="P1" s="162"/>
      <c r="Q1" s="162"/>
    </row>
    <row r="2" spans="1:17" ht="18" customHeight="1" x14ac:dyDescent="0.2">
      <c r="A2" s="162"/>
      <c r="B2" s="946" t="s">
        <v>105</v>
      </c>
      <c r="C2" s="165"/>
      <c r="D2" s="165"/>
      <c r="E2" s="165"/>
      <c r="F2" s="162"/>
      <c r="G2" s="162"/>
      <c r="H2" s="162"/>
      <c r="I2" s="162"/>
      <c r="J2" s="162"/>
      <c r="K2" s="162"/>
      <c r="L2" s="162"/>
      <c r="M2" s="162"/>
      <c r="N2" s="162"/>
      <c r="O2" s="162"/>
      <c r="P2" s="162"/>
      <c r="Q2" s="162"/>
    </row>
    <row r="3" spans="1:17" ht="6.75" customHeight="1" thickBot="1" x14ac:dyDescent="0.25">
      <c r="A3" s="162"/>
      <c r="B3" s="162"/>
      <c r="C3" s="163"/>
      <c r="D3" s="162"/>
      <c r="E3" s="162"/>
      <c r="F3" s="162"/>
      <c r="G3" s="162"/>
      <c r="H3" s="162"/>
      <c r="I3" s="162"/>
      <c r="J3" s="162"/>
      <c r="K3" s="162"/>
      <c r="L3" s="162"/>
      <c r="M3" s="162"/>
      <c r="N3" s="162"/>
      <c r="O3" s="162"/>
      <c r="P3" s="162"/>
      <c r="Q3" s="162"/>
    </row>
    <row r="4" spans="1:17" s="167" customFormat="1" ht="24.95" customHeight="1" x14ac:dyDescent="0.2">
      <c r="A4" s="166"/>
      <c r="B4" s="2038" t="str">
        <f ca="1">SumRef!B7</f>
        <v>A-10 M&amp;A FacInv</v>
      </c>
      <c r="C4" s="2039"/>
      <c r="D4" s="2039"/>
      <c r="E4" s="2040"/>
      <c r="F4" s="2038" t="str">
        <f ca="1">SumRef!B8</f>
        <v>A-20 PassFacInv</v>
      </c>
      <c r="G4" s="2039"/>
      <c r="H4" s="2039"/>
      <c r="I4" s="2040"/>
      <c r="J4" s="2032" t="str">
        <f ca="1">SumRef!C7</f>
        <v>A-50 FGRailInv</v>
      </c>
      <c r="K4" s="2033"/>
      <c r="L4" s="2033"/>
      <c r="M4" s="2034"/>
      <c r="N4" s="162"/>
      <c r="O4" s="162"/>
      <c r="P4" s="162"/>
      <c r="Q4" s="162"/>
    </row>
    <row r="5" spans="1:17" s="167" customFormat="1" ht="10.5" customHeight="1" x14ac:dyDescent="0.2">
      <c r="A5" s="166"/>
      <c r="B5" s="947"/>
      <c r="C5" s="948"/>
      <c r="D5" s="949" t="s">
        <v>55</v>
      </c>
      <c r="E5" s="950" t="s">
        <v>56</v>
      </c>
      <c r="F5" s="947"/>
      <c r="G5" s="948"/>
      <c r="H5" s="949" t="s">
        <v>55</v>
      </c>
      <c r="I5" s="950" t="s">
        <v>56</v>
      </c>
      <c r="J5" s="956"/>
      <c r="K5" s="350"/>
      <c r="L5" s="949" t="s">
        <v>55</v>
      </c>
      <c r="M5" s="957" t="s">
        <v>56</v>
      </c>
      <c r="N5" s="162"/>
      <c r="O5" s="162"/>
      <c r="P5" s="162"/>
      <c r="Q5" s="162"/>
    </row>
    <row r="6" spans="1:17" s="167" customFormat="1" x14ac:dyDescent="0.2">
      <c r="A6" s="166"/>
      <c r="B6" s="951" t="s">
        <v>58</v>
      </c>
      <c r="C6" s="952" t="s">
        <v>195</v>
      </c>
      <c r="D6" s="954" t="s">
        <v>57</v>
      </c>
      <c r="E6" s="953" t="s">
        <v>57</v>
      </c>
      <c r="F6" s="951" t="s">
        <v>58</v>
      </c>
      <c r="G6" s="952" t="s">
        <v>195</v>
      </c>
      <c r="H6" s="954" t="s">
        <v>57</v>
      </c>
      <c r="I6" s="953" t="s">
        <v>57</v>
      </c>
      <c r="J6" s="958" t="s">
        <v>58</v>
      </c>
      <c r="K6" s="952" t="s">
        <v>195</v>
      </c>
      <c r="L6" s="954" t="s">
        <v>57</v>
      </c>
      <c r="M6" s="959" t="s">
        <v>57</v>
      </c>
      <c r="N6" s="162"/>
      <c r="O6" s="162"/>
      <c r="P6" s="162"/>
      <c r="Q6" s="162"/>
    </row>
    <row r="7" spans="1:17" s="167" customFormat="1" ht="10.5" customHeight="1" x14ac:dyDescent="0.2">
      <c r="A7" s="166"/>
      <c r="B7" s="363" t="s">
        <v>82</v>
      </c>
      <c r="C7" s="350" t="str">
        <f>'A-10 M&amp;A FacInv'!$C$2</f>
        <v>c</v>
      </c>
      <c r="D7" s="943"/>
      <c r="E7" s="369" t="str">
        <f ca="1">IF('A-10 M&amp;A FacInv'!$AM$8&gt;=1,"X","OK")</f>
        <v>OK</v>
      </c>
      <c r="F7" s="363" t="s">
        <v>82</v>
      </c>
      <c r="G7" s="350" t="str">
        <f>'A-20 PassFacInv'!$C$2</f>
        <v>c</v>
      </c>
      <c r="H7" s="943"/>
      <c r="I7" s="369" t="str">
        <f ca="1">IF('A-20 PassFacInv'!$AT$8&gt;=1,"X","OK")</f>
        <v>OK</v>
      </c>
      <c r="J7" s="960" t="s">
        <v>142</v>
      </c>
      <c r="K7" s="350" t="str">
        <f>'A-50 FGRailInv'!$H$2</f>
        <v>h</v>
      </c>
      <c r="L7" s="364" t="str">
        <f>IF('A-50 FGRailInv'!$AU$6&gt;=1,"X","OK")</f>
        <v>OK</v>
      </c>
      <c r="M7" s="366" t="str">
        <f>IF('A-50 FGRailInv'!$AW$7&gt;=1,"X","OK")</f>
        <v>OK</v>
      </c>
      <c r="N7" s="218" t="s">
        <v>94</v>
      </c>
      <c r="O7" s="162"/>
      <c r="P7" s="162"/>
      <c r="Q7" s="162"/>
    </row>
    <row r="8" spans="1:17" s="167" customFormat="1" ht="10.5" customHeight="1" x14ac:dyDescent="0.2">
      <c r="A8" s="166"/>
      <c r="B8" s="475" t="s">
        <v>18</v>
      </c>
      <c r="C8" s="352" t="str">
        <f>'A-10 M&amp;A FacInv'!$J$2</f>
        <v>j</v>
      </c>
      <c r="D8" s="943"/>
      <c r="E8" s="370" t="str">
        <f>IF('A-10 M&amp;A FacInv'!$AN$8&gt;=1,"X","OK")</f>
        <v>OK</v>
      </c>
      <c r="F8" s="475" t="s">
        <v>18</v>
      </c>
      <c r="G8" s="351" t="str">
        <f>'A-20 PassFacInv'!$J$2</f>
        <v>j</v>
      </c>
      <c r="H8" s="943"/>
      <c r="I8" s="370" t="str">
        <f>IF('A-20 PassFacInv'!$AU$8&gt;=1,"X","OK")</f>
        <v>OK</v>
      </c>
      <c r="J8" s="960" t="s">
        <v>592</v>
      </c>
      <c r="K8" s="351" t="str">
        <f>'A-50 FGRailInv'!$L$2</f>
        <v>l</v>
      </c>
      <c r="L8" s="365" t="str">
        <f>IF('A-50 FGRailInv'!$AY$6&gt;=1,"X","OK")</f>
        <v>OK</v>
      </c>
      <c r="M8" s="367" t="str">
        <f>IF('A-50 FGRailInv'!$BA$7&gt;=1,"X","OK")</f>
        <v>OK</v>
      </c>
      <c r="N8" s="219" t="s">
        <v>14</v>
      </c>
      <c r="O8" s="162"/>
      <c r="P8" s="214" t="s">
        <v>369</v>
      </c>
      <c r="Q8" s="162"/>
    </row>
    <row r="9" spans="1:17" s="167" customFormat="1" ht="10.5" customHeight="1" x14ac:dyDescent="0.2">
      <c r="A9" s="166"/>
      <c r="B9" s="475" t="s">
        <v>19</v>
      </c>
      <c r="C9" s="351" t="str">
        <f>'A-10 M&amp;A FacInv'!$L$2</f>
        <v>l</v>
      </c>
      <c r="D9" s="943"/>
      <c r="E9" s="370" t="str">
        <f>IF('A-10 M&amp;A FacInv'!$AO$8&gt;=1,"X","OK")</f>
        <v>OK</v>
      </c>
      <c r="F9" s="475" t="s">
        <v>19</v>
      </c>
      <c r="G9" s="352" t="str">
        <f>'A-20 PassFacInv'!$L$2</f>
        <v>l</v>
      </c>
      <c r="H9" s="943"/>
      <c r="I9" s="370" t="str">
        <f>IF('A-20 PassFacInv'!$AV$8&gt;=1,"X","OK")</f>
        <v>OK</v>
      </c>
      <c r="J9" s="960" t="s">
        <v>588</v>
      </c>
      <c r="K9" s="351" t="e">
        <f>'A-50 FGRailInv'!#REF!</f>
        <v>#REF!</v>
      </c>
      <c r="L9" s="365" t="e">
        <f>IF('A-50 FGRailInv'!#REF!&gt;=1,"X","OK")</f>
        <v>#REF!</v>
      </c>
      <c r="M9" s="964" t="e">
        <f>NA()</f>
        <v>#N/A</v>
      </c>
      <c r="N9" s="168"/>
      <c r="O9" s="162"/>
      <c r="P9" s="168"/>
      <c r="Q9" s="162"/>
    </row>
    <row r="10" spans="1:17" s="167" customFormat="1" ht="10.5" customHeight="1" x14ac:dyDescent="0.2">
      <c r="A10" s="166"/>
      <c r="B10" s="475" t="s">
        <v>425</v>
      </c>
      <c r="C10" s="352" t="str">
        <f>'A-10 M&amp;A FacInv'!$N$2</f>
        <v>n</v>
      </c>
      <c r="D10" s="943"/>
      <c r="E10" s="370" t="str">
        <f>IF('A-10 M&amp;A FacInv'!$AP$8&gt;=1,"X","OK")</f>
        <v>OK</v>
      </c>
      <c r="F10" s="475" t="s">
        <v>425</v>
      </c>
      <c r="G10" s="352" t="str">
        <f>'A-20 PassFacInv'!$N$2</f>
        <v>n</v>
      </c>
      <c r="H10" s="943"/>
      <c r="I10" s="370" t="str">
        <f>IF('A-20 PassFacInv'!$AW$8&gt;=1,"X","OK")</f>
        <v>OK</v>
      </c>
      <c r="J10" s="960" t="s">
        <v>593</v>
      </c>
      <c r="K10" s="351" t="str">
        <f>'A-50 FGRailInv'!$P$2</f>
        <v>p</v>
      </c>
      <c r="L10" s="365" t="str">
        <f>IF('A-50 FGRailInv'!$BB$6&gt;=1,"X","OK")</f>
        <v>OK</v>
      </c>
      <c r="M10" s="367" t="str">
        <f>IF('A-50 FGRailInv'!$BC$7&gt;=1,"X","OK")</f>
        <v>OK</v>
      </c>
      <c r="N10" s="219" t="s">
        <v>91</v>
      </c>
      <c r="O10" s="162"/>
      <c r="P10" s="215" t="s">
        <v>5</v>
      </c>
      <c r="Q10" s="162"/>
    </row>
    <row r="11" spans="1:17" s="167" customFormat="1" ht="10.5" customHeight="1" x14ac:dyDescent="0.2">
      <c r="A11" s="166"/>
      <c r="B11" s="475" t="s">
        <v>589</v>
      </c>
      <c r="C11" s="352" t="str">
        <f>'A-10 M&amp;A FacInv'!$P$2</f>
        <v>p</v>
      </c>
      <c r="D11" s="943"/>
      <c r="E11" s="370" t="str">
        <f>IF('A-10 M&amp;A FacInv'!$AQ$8&gt;=1,"X","OK")</f>
        <v>OK</v>
      </c>
      <c r="F11" s="475" t="s">
        <v>589</v>
      </c>
      <c r="G11" s="352" t="str">
        <f>'A-20 PassFacInv'!$P$2</f>
        <v>p</v>
      </c>
      <c r="H11" s="943"/>
      <c r="I11" s="370" t="str">
        <f>IF('A-20 PassFacInv'!$AX$8&gt;=1,"X","OK")</f>
        <v>OK</v>
      </c>
      <c r="J11" s="960" t="s">
        <v>594</v>
      </c>
      <c r="K11" s="352" t="str">
        <f>'A-50 FGRailInv'!$R$2</f>
        <v>r</v>
      </c>
      <c r="L11" s="365" t="str">
        <f>IF('A-50 FGRailInv'!$BB$6&gt;=1,"X","OK")</f>
        <v>OK</v>
      </c>
      <c r="M11" s="367" t="str">
        <f>IF('A-50 FGRailInv'!$BC$7&gt;=1,"X","OK")</f>
        <v>OK</v>
      </c>
      <c r="N11" s="168" t="s">
        <v>1</v>
      </c>
      <c r="O11" s="162"/>
      <c r="P11" s="168"/>
      <c r="Q11" s="162"/>
    </row>
    <row r="12" spans="1:17" s="167" customFormat="1" ht="10.5" customHeight="1" x14ac:dyDescent="0.2">
      <c r="A12" s="166"/>
      <c r="B12" s="475" t="s">
        <v>365</v>
      </c>
      <c r="C12" s="352" t="str">
        <f>'A-10 M&amp;A FacInv'!$R$2</f>
        <v>r</v>
      </c>
      <c r="D12" s="943"/>
      <c r="E12" s="370" t="str">
        <f>IF('A-10 M&amp;A FacInv'!$AR$8&gt;=1,"X","OK")</f>
        <v>OK</v>
      </c>
      <c r="F12" s="475" t="s">
        <v>365</v>
      </c>
      <c r="G12" s="352" t="str">
        <f>'A-20 PassFacInv'!$V$2</f>
        <v>v</v>
      </c>
      <c r="H12" s="943"/>
      <c r="I12" s="370" t="str">
        <f>IF('A-20 PassFacInv'!$BC$8&gt;=1,"X","OK")</f>
        <v>OK</v>
      </c>
      <c r="J12" s="960" t="s">
        <v>595</v>
      </c>
      <c r="K12" s="353" t="str">
        <f>'A-50 FGRailInv'!$T$2</f>
        <v>t</v>
      </c>
      <c r="L12" s="365" t="str">
        <f>IF('A-50 FGRailInv'!$BB$6&gt;=1,"X","OK")</f>
        <v>OK</v>
      </c>
      <c r="M12" s="367" t="str">
        <f>IF('A-50 FGRailInv'!$BC$7&gt;=1,"X","OK")</f>
        <v>OK</v>
      </c>
      <c r="N12" s="218"/>
      <c r="O12" s="162"/>
      <c r="P12" s="168"/>
      <c r="Q12" s="162"/>
    </row>
    <row r="13" spans="1:17" s="167" customFormat="1" ht="10.5" customHeight="1" x14ac:dyDescent="0.2">
      <c r="A13" s="166"/>
      <c r="B13" s="475" t="s">
        <v>59</v>
      </c>
      <c r="C13" s="352" t="str">
        <f>'A-10 M&amp;A FacInv'!$T$2</f>
        <v>t</v>
      </c>
      <c r="D13" s="943"/>
      <c r="E13" s="370" t="str">
        <f>IF('A-10 M&amp;A FacInv'!$AU$8&gt;=1,"X","OK")</f>
        <v>OK</v>
      </c>
      <c r="F13" s="475" t="s">
        <v>59</v>
      </c>
      <c r="G13" s="352" t="str">
        <f>'A-20 PassFacInv'!$X$2</f>
        <v>x</v>
      </c>
      <c r="H13" s="943"/>
      <c r="I13" s="370" t="str">
        <f>IF('A-20 PassFacInv'!$BE$8&gt;=1,"X","OK")</f>
        <v>OK</v>
      </c>
      <c r="J13" s="960" t="s">
        <v>596</v>
      </c>
      <c r="K13" s="352" t="str">
        <f>'A-50 FGRailInv'!$V$2</f>
        <v>v</v>
      </c>
      <c r="L13" s="365" t="str">
        <f>IF('A-50 FGRailInv'!$BB$6&gt;=1,"X","OK")</f>
        <v>OK</v>
      </c>
      <c r="M13" s="367" t="str">
        <f>IF('A-50 FGRailInv'!$BC$7&gt;=1,"X","OK")</f>
        <v>OK</v>
      </c>
      <c r="N13" s="218"/>
      <c r="O13" s="162"/>
      <c r="P13" s="168"/>
      <c r="Q13" s="162"/>
    </row>
    <row r="14" spans="1:17" s="167" customFormat="1" ht="10.5" customHeight="1" x14ac:dyDescent="0.2">
      <c r="A14" s="166"/>
      <c r="B14" s="475" t="s">
        <v>590</v>
      </c>
      <c r="C14" s="352" t="str">
        <f>'A-10 M&amp;A FacInv'!$V$2</f>
        <v>v</v>
      </c>
      <c r="D14" s="365" t="str">
        <f>IF('A-10 M&amp;A FacInv'!$AV$7&gt;=1,"X","OK")</f>
        <v>OK</v>
      </c>
      <c r="E14" s="370" t="str">
        <f>IF('A-10 M&amp;A FacInv'!$AW$8&gt;=1,"X","OK")</f>
        <v>OK</v>
      </c>
      <c r="F14" s="475" t="s">
        <v>590</v>
      </c>
      <c r="G14" s="352" t="str">
        <f>'A-20 PassFacInv'!$Z$2</f>
        <v>z</v>
      </c>
      <c r="H14" s="365" t="str">
        <f>IF('A-20 PassFacInv'!$BF$7&gt;=1,"X","OK")</f>
        <v>OK</v>
      </c>
      <c r="I14" s="370" t="str">
        <f>IF('A-20 PassFacInv'!$BG$8&gt;=1,"X","OK")</f>
        <v>OK</v>
      </c>
      <c r="J14" s="960" t="s">
        <v>597</v>
      </c>
      <c r="K14" s="352" t="str">
        <f>'A-50 FGRailInv'!$X$2</f>
        <v>x</v>
      </c>
      <c r="L14" s="365" t="str">
        <f>IF('A-50 FGRailInv'!$BB$6&gt;=1,"X","OK")</f>
        <v>OK</v>
      </c>
      <c r="M14" s="367" t="str">
        <f>IF('A-50 FGRailInv'!$BC$7&gt;=1,"X","OK")</f>
        <v>OK</v>
      </c>
      <c r="N14" s="218" t="s">
        <v>93</v>
      </c>
      <c r="O14" s="162"/>
      <c r="P14" s="168"/>
      <c r="Q14" s="162"/>
    </row>
    <row r="15" spans="1:17" s="167" customFormat="1" ht="10.5" customHeight="1" x14ac:dyDescent="0.2">
      <c r="A15" s="166"/>
      <c r="B15" s="475" t="s">
        <v>202</v>
      </c>
      <c r="C15" s="352" t="str">
        <f>'A-10 M&amp;A FacInv'!X2</f>
        <v>x</v>
      </c>
      <c r="D15" s="365" t="str">
        <f>IF('A-10 M&amp;A FacInv'!$AX$7&gt;=1,"X","OK")</f>
        <v>OK</v>
      </c>
      <c r="E15" s="370" t="str">
        <f>IF('A-10 M&amp;A FacInv'!$AZ$8&gt;=1,"X","OK")</f>
        <v>OK</v>
      </c>
      <c r="F15" s="475" t="s">
        <v>591</v>
      </c>
      <c r="G15" s="352" t="str">
        <f>'A-20 PassFacInv'!$AB$2</f>
        <v>ab</v>
      </c>
      <c r="H15" s="365" t="str">
        <f>IF('A-20 PassFacInv'!$BH$7&gt;=1,"X","OK")</f>
        <v>OK</v>
      </c>
      <c r="I15" s="370" t="str">
        <f>IF('A-20 PassFacInv'!$BJ$8&gt;=1,"X","OK")</f>
        <v>OK</v>
      </c>
      <c r="J15" s="961" t="s">
        <v>598</v>
      </c>
      <c r="K15" s="352" t="str">
        <f>'A-50 FGRailInv'!$AJ$2</f>
        <v>aj</v>
      </c>
      <c r="L15" s="365" t="str">
        <f>IF('A-50 FGRailInv'!$BB$6&gt;=1,"X","OK")</f>
        <v>OK</v>
      </c>
      <c r="M15" s="367" t="str">
        <f>IF('A-50 FGRailInv'!$BC$7&gt;=1,"X","OK")</f>
        <v>OK</v>
      </c>
      <c r="N15" s="219" t="s">
        <v>2</v>
      </c>
      <c r="O15" s="162"/>
      <c r="P15" s="216" t="s">
        <v>60</v>
      </c>
      <c r="Q15" s="162"/>
    </row>
    <row r="16" spans="1:17" s="167" customFormat="1" ht="10.5" customHeight="1" x14ac:dyDescent="0.2">
      <c r="A16" s="166"/>
      <c r="B16" s="475" t="s">
        <v>366</v>
      </c>
      <c r="C16" s="352" t="str">
        <f>'A-10 M&amp;A FacInv'!$Z$2</f>
        <v>z</v>
      </c>
      <c r="D16" s="365" t="str">
        <f>IF('A-10 M&amp;A FacInv'!$BA$7&gt;=1,"X","OK")</f>
        <v>OK</v>
      </c>
      <c r="E16" s="370" t="str">
        <f>IF('A-10 M&amp;A FacInv'!$BB$8&gt;=1,"X","OK")</f>
        <v>OK</v>
      </c>
      <c r="F16" s="475" t="s">
        <v>366</v>
      </c>
      <c r="G16" s="352" t="str">
        <f>'A-20 PassFacInv'!$AF$2</f>
        <v>af</v>
      </c>
      <c r="H16" s="365" t="str">
        <f>IF('A-20 PassFacInv'!$BK$7&gt;=1,"X","OK")</f>
        <v>OK</v>
      </c>
      <c r="I16" s="370" t="str">
        <f>IF('A-20 PassFacInv'!$BL$8&gt;=1,"X","OK")</f>
        <v>OK</v>
      </c>
      <c r="J16" s="960" t="s">
        <v>366</v>
      </c>
      <c r="K16" s="352" t="str">
        <f>'A-50 FGRailInv'!$AL$2</f>
        <v>al</v>
      </c>
      <c r="L16" s="365" t="str">
        <f>IF('A-50 FGRailInv'!$BD$6&gt;=1,"X","OK")</f>
        <v>OK</v>
      </c>
      <c r="M16" s="367" t="str">
        <f>IF('A-50 FGRailInv'!$BE$7&gt;=1,"X","OK")</f>
        <v>OK</v>
      </c>
      <c r="N16" s="168" t="s">
        <v>3</v>
      </c>
      <c r="O16" s="162"/>
      <c r="P16" s="168"/>
      <c r="Q16" s="162"/>
    </row>
    <row r="17" spans="1:17" s="167" customFormat="1" ht="10.5" customHeight="1" x14ac:dyDescent="0.2">
      <c r="A17" s="166"/>
      <c r="B17" s="475" t="s">
        <v>2407</v>
      </c>
      <c r="C17" s="352" t="str">
        <f>'A-10 M&amp;A FacInv'!$AB$2</f>
        <v>ab</v>
      </c>
      <c r="D17" s="365" t="str">
        <f>IF('A-10 M&amp;A FacInv'!$BC$7&gt;=1,"X","OK")</f>
        <v>OK</v>
      </c>
      <c r="E17" s="370" t="str">
        <f ca="1">IF('A-10 M&amp;A FacInv'!$BD$8&gt;=1,"X","OK")</f>
        <v>OK</v>
      </c>
      <c r="F17" s="475" t="s">
        <v>2407</v>
      </c>
      <c r="G17" s="352" t="str">
        <f>'A-20 PassFacInv'!$AH$2</f>
        <v>ah</v>
      </c>
      <c r="H17" s="365" t="str">
        <f>IF('A-20 PassFacInv'!$BM$7&gt;=1,"X","OK")</f>
        <v>OK</v>
      </c>
      <c r="I17" s="370" t="str">
        <f ca="1">IF('A-20 PassFacInv'!$BN$8&gt;=1,"X","OK")</f>
        <v>OK</v>
      </c>
      <c r="J17" s="960"/>
      <c r="K17" s="360"/>
      <c r="L17" s="365"/>
      <c r="M17" s="367"/>
      <c r="N17" s="168"/>
      <c r="O17" s="162"/>
      <c r="P17" s="168"/>
      <c r="Q17" s="162"/>
    </row>
    <row r="18" spans="1:17" s="167" customFormat="1" ht="10.5" customHeight="1" x14ac:dyDescent="0.2">
      <c r="A18" s="166"/>
      <c r="B18" s="475" t="s">
        <v>2408</v>
      </c>
      <c r="C18" s="352" t="str">
        <f>'A-10 M&amp;A FacInv'!$AF$2</f>
        <v>af</v>
      </c>
      <c r="D18" s="365" t="str">
        <f>IF('A-10 M&amp;A FacInv'!$BE$7&gt;=1,"X","OK")</f>
        <v>OK</v>
      </c>
      <c r="E18" s="370" t="str">
        <f>IF('A-10 M&amp;A FacInv'!$BF$8&gt;=1,"X","OK")</f>
        <v>OK</v>
      </c>
      <c r="F18" s="475" t="s">
        <v>2408</v>
      </c>
      <c r="G18" s="352" t="str">
        <f>'A-20 PassFacInv'!$AL$2</f>
        <v>al</v>
      </c>
      <c r="H18" s="365" t="str">
        <f ca="1">IF('A-20 PassFacInv'!$BO$7&gt;=1,"X","OK")</f>
        <v>OK</v>
      </c>
      <c r="I18" s="370" t="str">
        <f>IF('A-20 PassFacInv'!$BP$8&gt;=1,"X","OK")</f>
        <v>OK</v>
      </c>
      <c r="J18" s="960"/>
      <c r="K18" s="360"/>
      <c r="L18" s="365"/>
      <c r="M18" s="367"/>
      <c r="N18" s="219" t="s">
        <v>2</v>
      </c>
      <c r="O18" s="162"/>
      <c r="P18" s="217" t="s">
        <v>61</v>
      </c>
      <c r="Q18" s="162"/>
    </row>
    <row r="19" spans="1:17" s="167" customFormat="1" ht="10.5" customHeight="1" x14ac:dyDescent="0.2">
      <c r="A19" s="166"/>
      <c r="B19" s="955"/>
      <c r="C19" s="352"/>
      <c r="D19" s="365"/>
      <c r="E19" s="370"/>
      <c r="F19" s="945"/>
      <c r="G19" s="352"/>
      <c r="H19" s="365"/>
      <c r="I19" s="370"/>
      <c r="J19" s="961"/>
      <c r="K19" s="360"/>
      <c r="L19" s="365"/>
      <c r="M19" s="367"/>
      <c r="N19" s="168" t="s">
        <v>4</v>
      </c>
      <c r="O19" s="162"/>
      <c r="P19" s="162"/>
      <c r="Q19" s="162"/>
    </row>
    <row r="20" spans="1:17" s="167" customFormat="1" ht="10.5" customHeight="1" x14ac:dyDescent="0.2">
      <c r="A20" s="166"/>
      <c r="B20" s="361"/>
      <c r="C20" s="362"/>
      <c r="D20" s="362"/>
      <c r="E20" s="474"/>
      <c r="F20" s="361"/>
      <c r="G20" s="362"/>
      <c r="H20" s="362"/>
      <c r="I20" s="474"/>
      <c r="J20" s="361"/>
      <c r="K20" s="362"/>
      <c r="L20" s="362"/>
      <c r="M20" s="474"/>
      <c r="N20" s="162"/>
      <c r="O20" s="162"/>
      <c r="P20" s="162"/>
      <c r="Q20" s="162"/>
    </row>
    <row r="21" spans="1:17" s="167" customFormat="1" ht="10.5" customHeight="1" x14ac:dyDescent="0.2">
      <c r="A21" s="166"/>
      <c r="B21" s="475"/>
      <c r="C21" s="352"/>
      <c r="D21" s="365"/>
      <c r="E21" s="370"/>
      <c r="F21" s="475"/>
      <c r="G21" s="352"/>
      <c r="H21" s="365"/>
      <c r="I21" s="370"/>
      <c r="J21" s="475"/>
      <c r="K21" s="352"/>
      <c r="L21" s="365"/>
      <c r="M21" s="370"/>
      <c r="N21" s="944" t="s">
        <v>1681</v>
      </c>
      <c r="O21" s="162"/>
      <c r="P21" s="162"/>
      <c r="Q21" s="162"/>
    </row>
    <row r="22" spans="1:17" s="167" customFormat="1" ht="10.5" customHeight="1" x14ac:dyDescent="0.2">
      <c r="A22" s="166"/>
      <c r="B22" s="475"/>
      <c r="C22" s="352"/>
      <c r="D22" s="365"/>
      <c r="E22" s="370"/>
      <c r="F22" s="475"/>
      <c r="G22" s="352"/>
      <c r="H22" s="365"/>
      <c r="I22" s="370"/>
      <c r="J22" s="475"/>
      <c r="K22" s="352"/>
      <c r="L22" s="365"/>
      <c r="M22" s="370"/>
      <c r="N22" s="162"/>
      <c r="O22" s="162"/>
      <c r="P22" s="162"/>
      <c r="Q22" s="162"/>
    </row>
    <row r="23" spans="1:17" s="167" customFormat="1" ht="10.5" customHeight="1" x14ac:dyDescent="0.2">
      <c r="A23" s="166"/>
      <c r="B23" s="475"/>
      <c r="C23" s="354"/>
      <c r="D23" s="368"/>
      <c r="E23" s="370"/>
      <c r="F23" s="475"/>
      <c r="G23" s="354"/>
      <c r="H23" s="368"/>
      <c r="I23" s="371"/>
      <c r="J23" s="475"/>
      <c r="K23" s="354"/>
      <c r="L23" s="368"/>
      <c r="M23" s="371"/>
      <c r="N23" s="162"/>
      <c r="O23" s="162"/>
      <c r="P23" s="162"/>
      <c r="Q23" s="162"/>
    </row>
    <row r="24" spans="1:17" s="167" customFormat="1" ht="10.5" customHeight="1" thickBot="1" x14ac:dyDescent="0.25">
      <c r="A24" s="166"/>
      <c r="B24" s="357"/>
      <c r="C24" s="358"/>
      <c r="D24" s="355"/>
      <c r="E24" s="359"/>
      <c r="F24" s="357"/>
      <c r="G24" s="358"/>
      <c r="H24" s="355"/>
      <c r="I24" s="356"/>
      <c r="J24" s="357"/>
      <c r="K24" s="358"/>
      <c r="L24" s="355"/>
      <c r="M24" s="356"/>
      <c r="N24" s="162"/>
      <c r="O24" s="162"/>
      <c r="P24" s="162"/>
      <c r="Q24" s="162"/>
    </row>
    <row r="25" spans="1:17" s="167" customFormat="1" ht="24.95" customHeight="1" x14ac:dyDescent="0.2">
      <c r="A25" s="166"/>
      <c r="B25" s="2035" t="str">
        <f ca="1">SumRef!E6</f>
        <v>A-60 SvcVehInv</v>
      </c>
      <c r="C25" s="2036"/>
      <c r="D25" s="2036"/>
      <c r="E25" s="2037"/>
      <c r="F25" s="2035" t="str">
        <f ca="1">SumRef!E7</f>
        <v>A-70 RevVehInv</v>
      </c>
      <c r="G25" s="2036"/>
      <c r="H25" s="2036"/>
      <c r="I25" s="2037"/>
      <c r="J25" s="993"/>
      <c r="K25" s="993"/>
      <c r="L25" s="993"/>
      <c r="M25" s="993"/>
      <c r="N25" s="162"/>
      <c r="O25" s="162"/>
      <c r="P25" s="162"/>
      <c r="Q25" s="162"/>
    </row>
    <row r="26" spans="1:17" s="167" customFormat="1" x14ac:dyDescent="0.2">
      <c r="A26" s="166"/>
      <c r="B26" s="965"/>
      <c r="C26" s="966"/>
      <c r="D26" s="967" t="s">
        <v>55</v>
      </c>
      <c r="E26" s="968" t="s">
        <v>56</v>
      </c>
      <c r="F26" s="965"/>
      <c r="G26" s="966"/>
      <c r="H26" s="967" t="s">
        <v>55</v>
      </c>
      <c r="I26" s="968" t="s">
        <v>56</v>
      </c>
      <c r="J26" s="162"/>
      <c r="K26" s="162"/>
      <c r="L26" s="162"/>
      <c r="M26" s="162"/>
      <c r="N26" s="162"/>
      <c r="O26" s="162"/>
      <c r="P26" s="162"/>
      <c r="Q26" s="162"/>
    </row>
    <row r="27" spans="1:17" s="3" customFormat="1" x14ac:dyDescent="0.2">
      <c r="A27" s="2"/>
      <c r="B27" s="969" t="s">
        <v>58</v>
      </c>
      <c r="C27" s="970" t="s">
        <v>195</v>
      </c>
      <c r="D27" s="971" t="s">
        <v>57</v>
      </c>
      <c r="E27" s="972" t="s">
        <v>57</v>
      </c>
      <c r="F27" s="969" t="s">
        <v>58</v>
      </c>
      <c r="G27" s="970" t="s">
        <v>195</v>
      </c>
      <c r="H27" s="971" t="s">
        <v>57</v>
      </c>
      <c r="I27" s="972" t="s">
        <v>57</v>
      </c>
      <c r="J27" s="162"/>
      <c r="K27" s="162"/>
      <c r="L27" s="162"/>
      <c r="M27" s="162"/>
      <c r="N27" s="162"/>
      <c r="O27" s="162"/>
      <c r="P27" s="162"/>
      <c r="Q27" s="162"/>
    </row>
    <row r="28" spans="1:17" s="167" customFormat="1" ht="10.5" customHeight="1" x14ac:dyDescent="0.2">
      <c r="A28" s="166"/>
      <c r="B28" s="973" t="s">
        <v>142</v>
      </c>
      <c r="C28" s="974" t="str">
        <f>'A-60 SvcVehInv'!J2</f>
        <v>j</v>
      </c>
      <c r="D28" s="975" t="e">
        <f>IF('A-60 SvcVehInv'!#REF!&gt;=1,"X","OK")</f>
        <v>#REF!</v>
      </c>
      <c r="E28" s="976" t="e">
        <f>IF('A-60 SvcVehInv'!#REF!&gt;=1,"X","OK")</f>
        <v>#REF!</v>
      </c>
      <c r="F28" s="973" t="s">
        <v>307</v>
      </c>
      <c r="G28" s="974" t="str">
        <f>'A-70 RevVehInv'!$C$2</f>
        <v>c</v>
      </c>
      <c r="H28" s="975"/>
      <c r="I28" s="976" t="str">
        <f>IF('A-70 RevVehInv'!$BJ$8&gt;=1,"X","OK")</f>
        <v>OK</v>
      </c>
      <c r="J28" s="162"/>
      <c r="K28" s="162"/>
      <c r="L28" s="162"/>
      <c r="M28" s="162"/>
      <c r="N28" s="162"/>
      <c r="O28" s="162"/>
      <c r="P28" s="162"/>
      <c r="Q28" s="162"/>
    </row>
    <row r="29" spans="1:17" s="167" customFormat="1" ht="10.5" customHeight="1" x14ac:dyDescent="0.2">
      <c r="A29" s="166"/>
      <c r="B29" s="977" t="s">
        <v>592</v>
      </c>
      <c r="C29" s="978" t="str">
        <f>'A-60 SvcVehInv'!$N$2</f>
        <v>n</v>
      </c>
      <c r="D29" s="979" t="str">
        <f>IF('A-60 SvcVehInv'!$AW$5&gt;=1,"X","OK")</f>
        <v>OK</v>
      </c>
      <c r="E29" s="980" t="e">
        <f>IF('A-60 SvcVehInv'!#REF!&gt;=1,"X","OK")</f>
        <v>#REF!</v>
      </c>
      <c r="F29" s="977" t="s">
        <v>322</v>
      </c>
      <c r="G29" s="978" t="str">
        <f>'A-70 RevVehInv'!$I$2</f>
        <v>i</v>
      </c>
      <c r="H29" s="979"/>
      <c r="I29" s="980" t="str">
        <f>IF('A-70 RevVehInv'!$BL$8&gt;=1,"X","OK")</f>
        <v>OK</v>
      </c>
      <c r="J29" s="162"/>
      <c r="K29" s="162"/>
      <c r="L29" s="162"/>
      <c r="M29" s="162"/>
      <c r="N29" s="162"/>
      <c r="O29" s="162"/>
      <c r="P29" s="162"/>
      <c r="Q29" s="162"/>
    </row>
    <row r="30" spans="1:17" s="167" customFormat="1" ht="10.5" customHeight="1" x14ac:dyDescent="0.2">
      <c r="A30" s="166"/>
      <c r="B30" s="977" t="s">
        <v>588</v>
      </c>
      <c r="C30" s="978" t="e">
        <f>'A-60 SvcVehInv'!#REF!</f>
        <v>#REF!</v>
      </c>
      <c r="D30" s="979" t="e">
        <f>IF('A-60 SvcVehInv'!#REF!&gt;=1,"X","OK")</f>
        <v>#REF!</v>
      </c>
      <c r="E30" s="980"/>
      <c r="F30" s="977" t="s">
        <v>370</v>
      </c>
      <c r="G30" s="978" t="str">
        <f>'A-70 RevVehInv'!$K$2</f>
        <v>k</v>
      </c>
      <c r="H30" s="979"/>
      <c r="I30" s="980" t="str">
        <f>IF('A-70 RevVehInv'!$BN$8&gt;=1,"X","OK")</f>
        <v>OK</v>
      </c>
      <c r="J30" s="162"/>
      <c r="K30" s="162"/>
      <c r="L30" s="162"/>
      <c r="M30" s="162"/>
      <c r="N30" s="162"/>
      <c r="O30" s="162"/>
      <c r="P30" s="162"/>
      <c r="Q30" s="162"/>
    </row>
    <row r="31" spans="1:17" s="167" customFormat="1" ht="10.5" customHeight="1" x14ac:dyDescent="0.2">
      <c r="A31" s="166"/>
      <c r="B31" s="977" t="s">
        <v>593</v>
      </c>
      <c r="C31" s="978" t="str">
        <f>'A-60 SvcVehInv'!$P$2</f>
        <v>p</v>
      </c>
      <c r="D31" s="979" t="e">
        <f>IF('A-60 SvcVehInv'!#REF!&gt;=1,"X","OK")</f>
        <v>#REF!</v>
      </c>
      <c r="E31" s="980" t="e">
        <f>IF('A-60 SvcVehInv'!#REF!&gt;=1,"X","OK")</f>
        <v>#REF!</v>
      </c>
      <c r="F31" s="977" t="s">
        <v>371</v>
      </c>
      <c r="G31" s="978" t="str">
        <f>'A-70 RevVehInv'!$M$2</f>
        <v>m</v>
      </c>
      <c r="H31" s="979"/>
      <c r="I31" s="980" t="str">
        <f>IF('A-70 RevVehInv'!$BP$8&gt;=1,"X","OK")</f>
        <v>OK</v>
      </c>
      <c r="J31" s="162"/>
      <c r="K31" s="162"/>
      <c r="L31" s="162"/>
      <c r="M31" s="162"/>
      <c r="N31" s="162"/>
      <c r="O31" s="162"/>
      <c r="P31" s="162"/>
      <c r="Q31" s="162"/>
    </row>
    <row r="32" spans="1:17" s="167" customFormat="1" ht="10.5" customHeight="1" x14ac:dyDescent="0.2">
      <c r="A32" s="166"/>
      <c r="B32" s="977" t="s">
        <v>594</v>
      </c>
      <c r="C32" s="981" t="e">
        <f>'A-60 SvcVehInv'!#REF!</f>
        <v>#REF!</v>
      </c>
      <c r="D32" s="979" t="e">
        <f>IF('A-60 SvcVehInv'!#REF!&gt;=1,"X","OK")</f>
        <v>#REF!</v>
      </c>
      <c r="E32" s="980" t="e">
        <f>IF('A-60 SvcVehInv'!#REF!&gt;=1,"X","OK")</f>
        <v>#REF!</v>
      </c>
      <c r="F32" s="977" t="s">
        <v>372</v>
      </c>
      <c r="G32" s="981" t="str">
        <f>'A-70 RevVehInv'!$O$2</f>
        <v>o</v>
      </c>
      <c r="H32" s="979"/>
      <c r="I32" s="980" t="str">
        <f>IF('A-70 RevVehInv'!$BR$8&gt;=1,"X","OK")</f>
        <v>OK</v>
      </c>
      <c r="J32" s="162"/>
      <c r="K32" s="162"/>
      <c r="L32" s="162"/>
      <c r="M32" s="162"/>
      <c r="N32" s="162"/>
      <c r="O32" s="162"/>
      <c r="P32" s="162"/>
      <c r="Q32" s="162"/>
    </row>
    <row r="33" spans="1:17" s="167" customFormat="1" ht="10.5" customHeight="1" x14ac:dyDescent="0.2">
      <c r="A33" s="166"/>
      <c r="B33" s="977" t="s">
        <v>595</v>
      </c>
      <c r="C33" s="981" t="e">
        <f>'A-60 SvcVehInv'!#REF!</f>
        <v>#REF!</v>
      </c>
      <c r="D33" s="982" t="e">
        <f>IF('A-60 SvcVehInv'!#REF!&gt;=1,"X","OK")</f>
        <v>#REF!</v>
      </c>
      <c r="E33" s="983" t="e">
        <f>IF('A-60 SvcVehInv'!#REF!&gt;=1,"X","OK")</f>
        <v>#REF!</v>
      </c>
      <c r="F33" s="977" t="s">
        <v>352</v>
      </c>
      <c r="G33" s="981" t="str">
        <f>'A-70 RevVehInv'!$S$2</f>
        <v>s</v>
      </c>
      <c r="H33" s="982" t="str">
        <f>IF('A-70 RevVehInv'!$BS$7&gt;=1,"X","OK")</f>
        <v>OK</v>
      </c>
      <c r="I33" s="983" t="str">
        <f>IF('A-70 RevVehInv'!$BT$8&gt;=1,"X","OK")</f>
        <v>OK</v>
      </c>
      <c r="J33" s="162"/>
      <c r="K33" s="162"/>
      <c r="L33" s="162"/>
      <c r="M33" s="162"/>
      <c r="N33" s="162"/>
      <c r="O33" s="162"/>
      <c r="P33" s="162"/>
      <c r="Q33" s="162"/>
    </row>
    <row r="34" spans="1:17" s="167" customFormat="1" ht="10.5" customHeight="1" x14ac:dyDescent="0.2">
      <c r="A34" s="166"/>
      <c r="B34" s="977" t="s">
        <v>596</v>
      </c>
      <c r="C34" s="978" t="e">
        <f>'A-60 SvcVehInv'!#REF!</f>
        <v>#REF!</v>
      </c>
      <c r="D34" s="982" t="e">
        <f>IF('A-60 SvcVehInv'!#REF!&gt;=1,"X","OK")</f>
        <v>#REF!</v>
      </c>
      <c r="E34" s="980" t="e">
        <f>IF('A-60 SvcVehInv'!#REF!&gt;=1,"X","OK")</f>
        <v>#REF!</v>
      </c>
      <c r="F34" s="977" t="s">
        <v>353</v>
      </c>
      <c r="G34" s="978" t="str">
        <f>'A-70 RevVehInv'!$U$2</f>
        <v>u</v>
      </c>
      <c r="H34" s="982" t="str">
        <f>IF('A-70 RevVehInv'!$BU$7&gt;=1,"X","OK")</f>
        <v>OK</v>
      </c>
      <c r="I34" s="980" t="str">
        <f>IF('A-70 RevVehInv'!$BV$8&gt;=1,"X","OK")</f>
        <v>OK</v>
      </c>
      <c r="J34" s="162"/>
      <c r="K34" s="162"/>
      <c r="L34" s="162"/>
      <c r="M34" s="162"/>
      <c r="N34" s="162"/>
      <c r="O34" s="162"/>
      <c r="P34" s="162"/>
      <c r="Q34" s="162"/>
    </row>
    <row r="35" spans="1:17" s="167" customFormat="1" ht="10.5" customHeight="1" x14ac:dyDescent="0.2">
      <c r="A35" s="166"/>
      <c r="B35" s="977" t="s">
        <v>597</v>
      </c>
      <c r="C35" s="978" t="e">
        <f>'A-60 SvcVehInv'!#REF!</f>
        <v>#REF!</v>
      </c>
      <c r="D35" s="982" t="e">
        <f>IF('A-60 SvcVehInv'!#REF!&gt;=1,"X","OK")</f>
        <v>#REF!</v>
      </c>
      <c r="E35" s="980" t="e">
        <f>IF('A-60 SvcVehInv'!#REF!&gt;=1,"X","OK")</f>
        <v>#REF!</v>
      </c>
      <c r="F35" s="977" t="s">
        <v>373</v>
      </c>
      <c r="G35" s="978" t="str">
        <f>'A-70 RevVehInv'!$AA$2</f>
        <v>aa</v>
      </c>
      <c r="H35" s="982" t="str">
        <f>IF('A-70 RevVehInv'!$BW$7&gt;=1,"X","OK")</f>
        <v>OK</v>
      </c>
      <c r="I35" s="980" t="str">
        <f>IF('A-70 RevVehInv'!$BX$8&gt;=1,"X","OK")</f>
        <v>OK</v>
      </c>
      <c r="J35" s="162"/>
      <c r="K35" s="162"/>
      <c r="L35" s="162"/>
      <c r="M35" s="162"/>
      <c r="N35" s="162"/>
      <c r="O35" s="162"/>
      <c r="P35" s="162"/>
      <c r="Q35" s="162"/>
    </row>
    <row r="36" spans="1:17" s="167" customFormat="1" ht="10.5" customHeight="1" x14ac:dyDescent="0.2">
      <c r="A36" s="166"/>
      <c r="B36" s="977" t="s">
        <v>599</v>
      </c>
      <c r="C36" s="978" t="e">
        <f>'A-60 SvcVehInv'!#REF!</f>
        <v>#REF!</v>
      </c>
      <c r="D36" s="984" t="e">
        <f>IF('A-60 SvcVehInv'!#REF!&gt;=1,"X","OK")</f>
        <v>#REF!</v>
      </c>
      <c r="E36" s="980" t="e">
        <f>IF('A-60 SvcVehInv'!#REF!&gt;=1,"X","OK")</f>
        <v>#REF!</v>
      </c>
      <c r="F36" s="977" t="s">
        <v>374</v>
      </c>
      <c r="G36" s="978" t="str">
        <f>'A-70 RevVehInv'!$AG$2</f>
        <v>ag</v>
      </c>
      <c r="H36" s="984" t="str">
        <f>IF('A-70 RevVehInv'!$BY$7&gt;=1,"X","OK")</f>
        <v>OK</v>
      </c>
      <c r="I36" s="980" t="str">
        <f>IF('A-70 RevVehInv'!$BZ$8&gt;=1,"X","OK")</f>
        <v>OK</v>
      </c>
      <c r="J36" s="162"/>
      <c r="K36" s="162"/>
      <c r="L36" s="162"/>
      <c r="M36" s="162"/>
      <c r="N36" s="162"/>
      <c r="O36" s="162"/>
      <c r="P36" s="162"/>
      <c r="Q36" s="162"/>
    </row>
    <row r="37" spans="1:17" s="167" customFormat="1" ht="10.5" customHeight="1" x14ac:dyDescent="0.2">
      <c r="A37" s="166"/>
      <c r="B37" s="977" t="s">
        <v>366</v>
      </c>
      <c r="C37" s="978" t="str">
        <f>'A-60 SvcVehInv'!$V$2</f>
        <v>v</v>
      </c>
      <c r="D37" s="982" t="e">
        <f>IF('A-60 SvcVehInv'!#REF!&gt;=1,"X","OK")</f>
        <v>#REF!</v>
      </c>
      <c r="E37" s="980" t="e">
        <f>IF('A-60 SvcVehInv'!#REF!&gt;=1,"X","OK")</f>
        <v>#REF!</v>
      </c>
      <c r="F37" s="977" t="s">
        <v>356</v>
      </c>
      <c r="G37" s="978" t="str">
        <f>'A-70 RevVehInv'!$AI$2</f>
        <v>ai</v>
      </c>
      <c r="H37" s="982" t="str">
        <f>IF('A-70 RevVehInv'!$CA$7&gt;=1,"X","OK")</f>
        <v>OK</v>
      </c>
      <c r="I37" s="980" t="str">
        <f>IF('A-70 RevVehInv'!$CB$8&gt;=1,"X","OK")</f>
        <v>OK</v>
      </c>
      <c r="J37" s="162"/>
      <c r="K37" s="162"/>
      <c r="L37" s="162"/>
      <c r="M37" s="162"/>
      <c r="N37" s="162"/>
      <c r="O37" s="162"/>
      <c r="P37" s="162"/>
      <c r="Q37" s="162"/>
    </row>
    <row r="38" spans="1:17" s="167" customFormat="1" ht="10.5" customHeight="1" x14ac:dyDescent="0.2">
      <c r="A38" s="166"/>
      <c r="B38" s="977"/>
      <c r="C38" s="978"/>
      <c r="D38" s="982"/>
      <c r="E38" s="980"/>
      <c r="F38" s="977" t="s">
        <v>375</v>
      </c>
      <c r="G38" s="978" t="str">
        <f>'A-70 RevVehInv'!$AK$2</f>
        <v>ak</v>
      </c>
      <c r="H38" s="982" t="str">
        <f>IF('A-70 RevVehInv'!$CC$7&gt;=1,"X","OK")</f>
        <v>OK</v>
      </c>
      <c r="I38" s="980" t="str">
        <f>IF('A-70 RevVehInv'!$CE$8&gt;=1,"X","OK")</f>
        <v>OK</v>
      </c>
      <c r="J38" s="162"/>
      <c r="K38" s="162"/>
      <c r="L38" s="162"/>
      <c r="M38" s="162"/>
      <c r="N38" s="162"/>
      <c r="O38" s="162"/>
      <c r="P38" s="162"/>
      <c r="Q38" s="162"/>
    </row>
    <row r="39" spans="1:17" s="167" customFormat="1" ht="10.5" customHeight="1" x14ac:dyDescent="0.2">
      <c r="A39" s="166"/>
      <c r="B39" s="977"/>
      <c r="C39" s="978"/>
      <c r="D39" s="984"/>
      <c r="E39" s="980"/>
      <c r="F39" s="977" t="s">
        <v>376</v>
      </c>
      <c r="G39" s="978" t="str">
        <f>'A-70 RevVehInv'!$AM$2</f>
        <v>am</v>
      </c>
      <c r="H39" s="984" t="str">
        <f>IF('A-70 RevVehInv'!$CF$7&gt;=1,"X","OK")</f>
        <v>OK</v>
      </c>
      <c r="I39" s="980" t="str">
        <f>IF('A-70 RevVehInv'!$CG$8&gt;=1,"X","OK")</f>
        <v>OK</v>
      </c>
      <c r="J39" s="162"/>
      <c r="K39" s="162"/>
      <c r="L39" s="162"/>
      <c r="M39" s="162"/>
      <c r="N39" s="162"/>
      <c r="O39" s="162"/>
      <c r="P39" s="162"/>
      <c r="Q39" s="162"/>
    </row>
    <row r="40" spans="1:17" s="167" customFormat="1" ht="10.5" customHeight="1" x14ac:dyDescent="0.2">
      <c r="A40" s="166"/>
      <c r="B40" s="977"/>
      <c r="C40" s="978"/>
      <c r="D40" s="979"/>
      <c r="E40" s="980"/>
      <c r="F40" s="977" t="s">
        <v>348</v>
      </c>
      <c r="G40" s="978" t="e">
        <f>'A-70 RevVehInv'!#REF!</f>
        <v>#REF!</v>
      </c>
      <c r="H40" s="979"/>
      <c r="I40" s="980" t="e">
        <f>IF('A-70 RevVehInv'!#REF!&gt;=1,"X","OK")</f>
        <v>#REF!</v>
      </c>
      <c r="J40" s="162"/>
      <c r="K40" s="162"/>
      <c r="L40" s="162"/>
      <c r="M40" s="162"/>
      <c r="N40" s="162"/>
      <c r="O40" s="162"/>
      <c r="P40" s="162"/>
      <c r="Q40" s="162"/>
    </row>
    <row r="41" spans="1:17" s="167" customFormat="1" ht="10.5" customHeight="1" x14ac:dyDescent="0.2">
      <c r="A41" s="166"/>
      <c r="B41" s="977"/>
      <c r="C41" s="978"/>
      <c r="D41" s="984"/>
      <c r="E41" s="980"/>
      <c r="F41" s="977" t="s">
        <v>377</v>
      </c>
      <c r="G41" s="978" t="e">
        <f>'A-70 RevVehInv'!#REF!</f>
        <v>#REF!</v>
      </c>
      <c r="H41" s="984" t="e">
        <f>IF('A-70 RevVehInv'!#REF!&gt;=1,"X","OK")</f>
        <v>#REF!</v>
      </c>
      <c r="I41" s="980" t="e">
        <f>IF('A-70 RevVehInv'!#REF!&gt;=1,"X","OK")</f>
        <v>#REF!</v>
      </c>
      <c r="J41" s="162"/>
      <c r="K41" s="162"/>
      <c r="L41" s="162"/>
      <c r="M41" s="162"/>
      <c r="N41" s="162"/>
      <c r="O41" s="162"/>
      <c r="P41" s="162"/>
      <c r="Q41" s="162"/>
    </row>
    <row r="42" spans="1:17" s="167" customFormat="1" ht="10.5" customHeight="1" x14ac:dyDescent="0.2">
      <c r="A42" s="166"/>
      <c r="B42" s="985"/>
      <c r="C42" s="978"/>
      <c r="D42" s="984"/>
      <c r="E42" s="980"/>
      <c r="F42" s="985" t="s">
        <v>601</v>
      </c>
      <c r="G42" s="978" t="e">
        <f>'A-70 RevVehInv'!#REF!</f>
        <v>#REF!</v>
      </c>
      <c r="H42" s="984" t="e">
        <f>IF('A-70 RevVehInv'!#REF!&gt;=1,"Low","OK")</f>
        <v>#REF!</v>
      </c>
      <c r="I42" s="980" t="e">
        <f>IF('A-70 RevVehInv'!#REF!&gt;=1,"High","OK")</f>
        <v>#REF!</v>
      </c>
      <c r="J42" s="162"/>
      <c r="K42" s="162"/>
      <c r="L42" s="162"/>
      <c r="M42" s="162"/>
      <c r="N42" s="162"/>
      <c r="O42" s="162"/>
      <c r="P42" s="162"/>
      <c r="Q42" s="162"/>
    </row>
    <row r="43" spans="1:17" s="167" customFormat="1" ht="10.5" customHeight="1" x14ac:dyDescent="0.2">
      <c r="A43" s="166"/>
      <c r="B43" s="977"/>
      <c r="C43" s="978"/>
      <c r="D43" s="979"/>
      <c r="E43" s="980"/>
      <c r="F43" s="977" t="s">
        <v>261</v>
      </c>
      <c r="G43" s="978" t="e">
        <f>'A-70 RevVehInv'!#REF!</f>
        <v>#REF!</v>
      </c>
      <c r="H43" s="979"/>
      <c r="I43" s="980" t="e">
        <f>IF('A-70 RevVehInv'!#REF!&gt;=1,"X","OK")</f>
        <v>#REF!</v>
      </c>
      <c r="J43" s="162"/>
      <c r="K43" s="162"/>
      <c r="L43" s="162"/>
      <c r="M43" s="162"/>
      <c r="N43" s="162"/>
      <c r="O43" s="162"/>
      <c r="P43" s="162"/>
      <c r="Q43" s="162"/>
    </row>
    <row r="44" spans="1:17" s="167" customFormat="1" ht="10.5" customHeight="1" x14ac:dyDescent="0.2">
      <c r="A44" s="166"/>
      <c r="B44" s="977"/>
      <c r="C44" s="978"/>
      <c r="D44" s="984"/>
      <c r="E44" s="980"/>
      <c r="F44" s="977" t="s">
        <v>378</v>
      </c>
      <c r="G44" s="978" t="e">
        <f>'A-70 RevVehInv'!#REF!</f>
        <v>#REF!</v>
      </c>
      <c r="H44" s="984" t="e">
        <f>IF('A-70 RevVehInv'!#REF!&gt;=1,"X","OK")</f>
        <v>#REF!</v>
      </c>
      <c r="I44" s="980" t="e">
        <f>IF('A-70 RevVehInv'!#REF!&gt;=1,"X","OK")</f>
        <v>#REF!</v>
      </c>
      <c r="J44" s="162"/>
      <c r="K44" s="162"/>
      <c r="L44" s="162"/>
      <c r="M44" s="162"/>
      <c r="N44" s="162"/>
      <c r="O44" s="162"/>
      <c r="P44" s="162"/>
      <c r="Q44" s="162"/>
    </row>
    <row r="45" spans="1:17" s="167" customFormat="1" ht="10.5" customHeight="1" x14ac:dyDescent="0.2">
      <c r="A45" s="166"/>
      <c r="B45" s="985"/>
      <c r="C45" s="978"/>
      <c r="D45" s="982"/>
      <c r="E45" s="980"/>
      <c r="F45" s="985" t="s">
        <v>600</v>
      </c>
      <c r="G45" s="978" t="e">
        <f>'A-70 RevVehInv'!#REF!</f>
        <v>#REF!</v>
      </c>
      <c r="H45" s="982" t="e">
        <f>IF('A-70 RevVehInv'!#REF!&gt;=1,"Low","OK")</f>
        <v>#REF!</v>
      </c>
      <c r="I45" s="980" t="e">
        <f>IF('A-70 RevVehInv'!#REF!&gt;=1,"High","OK")</f>
        <v>#REF!</v>
      </c>
      <c r="J45" s="162"/>
      <c r="K45" s="162"/>
      <c r="L45" s="162"/>
      <c r="M45" s="162"/>
      <c r="N45" s="162"/>
      <c r="O45" s="162"/>
      <c r="P45" s="162"/>
      <c r="Q45" s="162"/>
    </row>
    <row r="46" spans="1:17" s="167" customFormat="1" ht="10.5" customHeight="1" x14ac:dyDescent="0.2">
      <c r="A46" s="166"/>
      <c r="B46" s="977"/>
      <c r="C46" s="978"/>
      <c r="D46" s="984"/>
      <c r="E46" s="980"/>
      <c r="F46" s="977" t="s">
        <v>359</v>
      </c>
      <c r="G46" s="978" t="str">
        <f>'A-70 RevVehInv'!$AO$2</f>
        <v>ao</v>
      </c>
      <c r="H46" s="984" t="str">
        <f>IF('A-70 RevVehInv'!$CH$7&gt;=1,"X","OK")</f>
        <v>OK</v>
      </c>
      <c r="I46" s="980" t="str">
        <f>IF('A-70 RevVehInv'!$CI$8&gt;=1,"X","OK")</f>
        <v>OK</v>
      </c>
      <c r="J46" s="162"/>
      <c r="K46" s="162"/>
      <c r="L46" s="162"/>
      <c r="M46" s="162"/>
      <c r="N46" s="162"/>
      <c r="O46" s="162"/>
      <c r="P46" s="162"/>
      <c r="Q46" s="162"/>
    </row>
    <row r="47" spans="1:17" s="167" customFormat="1" ht="10.5" customHeight="1" x14ac:dyDescent="0.2">
      <c r="A47" s="166"/>
      <c r="B47" s="977"/>
      <c r="C47" s="978"/>
      <c r="D47" s="984"/>
      <c r="E47" s="980"/>
      <c r="F47" s="977" t="s">
        <v>360</v>
      </c>
      <c r="G47" s="978" t="str">
        <f>'A-70 RevVehInv'!$AQ$2</f>
        <v>aq</v>
      </c>
      <c r="H47" s="984" t="str">
        <f>IF('A-70 RevVehInv'!$CJ$7&gt;=1,"X","OK")</f>
        <v>OK</v>
      </c>
      <c r="I47" s="980" t="str">
        <f>IF('A-70 RevVehInv'!$CK$8&gt;=1,"X","OK")</f>
        <v>OK</v>
      </c>
      <c r="J47" s="162"/>
      <c r="K47" s="162"/>
      <c r="L47" s="162"/>
      <c r="M47" s="162"/>
      <c r="N47" s="162"/>
      <c r="O47" s="162"/>
      <c r="P47" s="162"/>
      <c r="Q47" s="162"/>
    </row>
    <row r="48" spans="1:17" s="167" customFormat="1" ht="10.5" customHeight="1" x14ac:dyDescent="0.2">
      <c r="A48" s="166"/>
      <c r="B48" s="977"/>
      <c r="C48" s="978"/>
      <c r="D48" s="984"/>
      <c r="E48" s="980"/>
      <c r="F48" s="977" t="s">
        <v>361</v>
      </c>
      <c r="G48" s="978" t="str">
        <f>'A-70 RevVehInv'!$AS$2</f>
        <v>as</v>
      </c>
      <c r="H48" s="984" t="str">
        <f>IF('A-70 RevVehInv'!$CL$7&gt;=1,"X","OK")</f>
        <v>OK</v>
      </c>
      <c r="I48" s="980" t="str">
        <f>IF('A-70 RevVehInv'!$CM$8&gt;=1,"X","OK")</f>
        <v>OK</v>
      </c>
      <c r="J48" s="162"/>
      <c r="K48" s="162"/>
      <c r="L48" s="162"/>
      <c r="M48" s="162"/>
      <c r="N48" s="162"/>
      <c r="O48" s="162"/>
      <c r="P48" s="162"/>
      <c r="Q48" s="162"/>
    </row>
    <row r="49" spans="1:17" s="167" customFormat="1" ht="10.5" customHeight="1" x14ac:dyDescent="0.2">
      <c r="A49" s="166"/>
      <c r="B49" s="977"/>
      <c r="C49" s="978"/>
      <c r="D49" s="984"/>
      <c r="E49" s="980"/>
      <c r="F49" s="977" t="s">
        <v>379</v>
      </c>
      <c r="G49" s="978" t="str">
        <f>'A-70 RevVehInv'!$AW$2</f>
        <v>aw</v>
      </c>
      <c r="H49" s="984" t="str">
        <f>IF('A-70 RevVehInv'!$CP$7&gt;=1,"X","OK")</f>
        <v>OK</v>
      </c>
      <c r="I49" s="980" t="str">
        <f>IF('A-70 RevVehInv'!$CQ$8&gt;=1,"X","OK")</f>
        <v>OK</v>
      </c>
      <c r="J49" s="162"/>
      <c r="K49" s="162"/>
      <c r="L49" s="162"/>
      <c r="M49" s="162"/>
      <c r="N49" s="162"/>
      <c r="O49" s="162"/>
      <c r="P49" s="162"/>
      <c r="Q49" s="162"/>
    </row>
    <row r="50" spans="1:17" s="167" customFormat="1" ht="10.5" customHeight="1" x14ac:dyDescent="0.2">
      <c r="A50" s="166"/>
      <c r="B50" s="977"/>
      <c r="C50" s="978"/>
      <c r="D50" s="982"/>
      <c r="E50" s="980"/>
      <c r="F50" s="977" t="s">
        <v>363</v>
      </c>
      <c r="G50" s="978" t="str">
        <f>'A-70 RevVehInv'!$AY$2</f>
        <v>ay</v>
      </c>
      <c r="H50" s="982" t="str">
        <f>IF('A-70 RevVehInv'!$CR$7&gt;=1,"X","OK")</f>
        <v>OK</v>
      </c>
      <c r="I50" s="980" t="str">
        <f>IF('A-70 RevVehInv'!$CS$8&gt;=1,"X","OK")</f>
        <v>OK</v>
      </c>
      <c r="J50" s="162"/>
      <c r="K50" s="162"/>
      <c r="L50" s="162"/>
      <c r="M50" s="162"/>
      <c r="N50" s="162"/>
      <c r="O50" s="162"/>
      <c r="P50" s="162"/>
      <c r="Q50" s="162"/>
    </row>
    <row r="51" spans="1:17" s="167" customFormat="1" ht="10.5" customHeight="1" x14ac:dyDescent="0.2">
      <c r="A51" s="166"/>
      <c r="B51" s="986"/>
      <c r="C51" s="987"/>
      <c r="D51" s="987"/>
      <c r="E51" s="988"/>
      <c r="F51" s="986"/>
      <c r="G51" s="987"/>
      <c r="H51" s="987"/>
      <c r="I51" s="988"/>
      <c r="J51" s="162"/>
      <c r="K51" s="162"/>
      <c r="L51" s="162"/>
      <c r="M51" s="162"/>
      <c r="N51" s="162"/>
      <c r="O51" s="162"/>
      <c r="P51" s="162"/>
      <c r="Q51" s="162"/>
    </row>
    <row r="52" spans="1:17" s="167" customFormat="1" ht="10.5" customHeight="1" thickBot="1" x14ac:dyDescent="0.25">
      <c r="A52" s="166"/>
      <c r="B52" s="989"/>
      <c r="C52" s="990"/>
      <c r="D52" s="991"/>
      <c r="E52" s="992"/>
      <c r="F52" s="989"/>
      <c r="G52" s="990"/>
      <c r="H52" s="991"/>
      <c r="I52" s="992"/>
      <c r="J52" s="162"/>
      <c r="K52" s="162"/>
      <c r="L52" s="162"/>
      <c r="M52" s="162"/>
      <c r="N52" s="162"/>
      <c r="O52" s="162"/>
      <c r="P52" s="162"/>
      <c r="Q52" s="162"/>
    </row>
    <row r="53" spans="1:17" ht="24.95" customHeight="1" x14ac:dyDescent="0.2">
      <c r="A53" s="169"/>
      <c r="B53" s="2031"/>
      <c r="C53" s="2031"/>
      <c r="D53" s="2031"/>
      <c r="E53" s="2031"/>
      <c r="F53" s="2031"/>
      <c r="G53" s="2031"/>
      <c r="H53" s="2031"/>
      <c r="I53" s="2031"/>
      <c r="J53" s="995"/>
      <c r="K53" s="995"/>
      <c r="L53" s="995"/>
      <c r="M53" s="995"/>
      <c r="N53" s="994"/>
      <c r="O53" s="162"/>
      <c r="P53" s="162"/>
      <c r="Q53" s="162"/>
    </row>
  </sheetData>
  <sheetProtection algorithmName="SHA-512" hashValue="kPSTCPhxNUotV1cTZGbeFhOsHkDaj3we36ABAkmK2Kf7fMvkJ7rLwIziBhJPGVhxd9jr2muSxfOqB4cJCfwcSQ==" saltValue="NqAvnJ3Iu7s8qDEYjt4OUg==" spinCount="100000" sheet="1" objects="1" scenarios="1" formatCells="0" formatColumns="0" formatRows="0" selectLockedCells="1" sort="0" autoFilter="0"/>
  <mergeCells count="7">
    <mergeCell ref="B53:E53"/>
    <mergeCell ref="F53:I53"/>
    <mergeCell ref="J4:M4"/>
    <mergeCell ref="F25:I25"/>
    <mergeCell ref="B4:E4"/>
    <mergeCell ref="F4:I4"/>
    <mergeCell ref="B25:E25"/>
  </mergeCells>
  <phoneticPr fontId="0" type="noConversion"/>
  <conditionalFormatting sqref="D28:E51 L7:M23 H28:I51 D7:E23 H7:I23">
    <cfRule type="cellIs" dxfId="780" priority="13" operator="equal">
      <formula>$P$10</formula>
    </cfRule>
    <cfRule type="cellIs" dxfId="779" priority="14" operator="equal">
      <formula>$P$15</formula>
    </cfRule>
    <cfRule type="cellIs" dxfId="778" priority="15" operator="equal">
      <formula>$P$18</formula>
    </cfRule>
  </conditionalFormatting>
  <pageMargins left="0.5" right="0.5" top="1" bottom="1" header="0.5" footer="0.5"/>
  <pageSetup scale="9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b0daab2049a4a0280613792ad07e178 xmlns="5cd8c7c5-3b7e-453c-b821-2ffce87f1001">
      <Terms xmlns="http://schemas.microsoft.com/office/infopath/2007/PartnerControls"/>
    </db0daab2049a4a0280613792ad07e178>
    <TaxCatchAll xmlns="8deb4750-5773-4159-bdf5-1d7ad83ac793"/>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9EF56417B6C74E9450022B4EA53295" ma:contentTypeVersion="3" ma:contentTypeDescription="Create a new document." ma:contentTypeScope="" ma:versionID="43aa037abae15da442f70f4bc179f7ec">
  <xsd:schema xmlns:xsd="http://www.w3.org/2001/XMLSchema" xmlns:xs="http://www.w3.org/2001/XMLSchema" xmlns:p="http://schemas.microsoft.com/office/2006/metadata/properties" xmlns:ns2="5cd8c7c5-3b7e-453c-b821-2ffce87f1001" xmlns:ns3="8deb4750-5773-4159-bdf5-1d7ad83ac793" targetNamespace="http://schemas.microsoft.com/office/2006/metadata/properties" ma:root="true" ma:fieldsID="6f6fe870fc04450dc63b67a4b6679731" ns2:_="" ns3:_="">
    <xsd:import namespace="5cd8c7c5-3b7e-453c-b821-2ffce87f1001"/>
    <xsd:import namespace="8deb4750-5773-4159-bdf5-1d7ad83ac793"/>
    <xsd:element name="properties">
      <xsd:complexType>
        <xsd:sequence>
          <xsd:element name="documentManagement">
            <xsd:complexType>
              <xsd:all>
                <xsd:element ref="ns2:db0daab2049a4a0280613792ad07e178"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d8c7c5-3b7e-453c-b821-2ffce87f1001" elementFormDefault="qualified">
    <xsd:import namespace="http://schemas.microsoft.com/office/2006/documentManagement/types"/>
    <xsd:import namespace="http://schemas.microsoft.com/office/infopath/2007/PartnerControls"/>
    <xsd:element name="db0daab2049a4a0280613792ad07e178" ma:index="9" nillable="true" ma:taxonomy="true" ma:internalName="db0daab2049a4a0280613792ad07e178" ma:taxonomyFieldName="tags" ma:displayName="tags" ma:default="" ma:fieldId="{db0daab2-049a-4a02-8061-3792ad07e178}"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E05882-F6D4-4CA1-B5D8-FC4ED9B38ECD}">
  <ds:schemaRefs>
    <ds:schemaRef ds:uri="5cd8c7c5-3b7e-453c-b821-2ffce87f1001"/>
    <ds:schemaRef ds:uri="http://purl.org/dc/dcmitype/"/>
    <ds:schemaRef ds:uri="http://purl.org/dc/elements/1.1/"/>
    <ds:schemaRef ds:uri="http://schemas.microsoft.com/office/2006/metadata/properties"/>
    <ds:schemaRef ds:uri="http://schemas.microsoft.com/office/infopath/2007/PartnerControls"/>
    <ds:schemaRef ds:uri="http://purl.org/dc/terms/"/>
    <ds:schemaRef ds:uri="http://www.w3.org/XML/1998/namespace"/>
    <ds:schemaRef ds:uri="http://schemas.microsoft.com/office/2006/documentManagement/types"/>
    <ds:schemaRef ds:uri="http://schemas.openxmlformats.org/package/2006/metadata/core-properties"/>
    <ds:schemaRef ds:uri="8deb4750-5773-4159-bdf5-1d7ad83ac793"/>
  </ds:schemaRefs>
</ds:datastoreItem>
</file>

<file path=customXml/itemProps2.xml><?xml version="1.0" encoding="utf-8"?>
<ds:datastoreItem xmlns:ds="http://schemas.openxmlformats.org/officeDocument/2006/customXml" ds:itemID="{899ECA25-B553-4526-9980-65BF23AEC8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d8c7c5-3b7e-453c-b821-2ffce87f1001"/>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EBD00A-0846-40BA-AA46-E534335627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41</vt:i4>
      </vt:variant>
    </vt:vector>
  </HeadingPairs>
  <TitlesOfParts>
    <vt:vector size="62" baseType="lpstr">
      <vt:lpstr>Index</vt:lpstr>
      <vt:lpstr>Columns</vt:lpstr>
      <vt:lpstr>Field Tables</vt:lpstr>
      <vt:lpstr>FGNonRailSegment-Basics (A20)</vt:lpstr>
      <vt:lpstr>SumRef</vt:lpstr>
      <vt:lpstr>summaryref2</vt:lpstr>
      <vt:lpstr>NSValidation</vt:lpstr>
      <vt:lpstr>Valid</vt:lpstr>
      <vt:lpstr>Error</vt:lpstr>
      <vt:lpstr>Codes</vt:lpstr>
      <vt:lpstr>Summary</vt:lpstr>
      <vt:lpstr>A-00 ID</vt:lpstr>
      <vt:lpstr>A-10 M&amp;A FacInv</vt:lpstr>
      <vt:lpstr>A-20 PassFacInv</vt:lpstr>
      <vt:lpstr>A-50 FGRailInv</vt:lpstr>
      <vt:lpstr>A-55 TrackInv</vt:lpstr>
      <vt:lpstr>A-60 SvcVehInv</vt:lpstr>
      <vt:lpstr>A-70 RevVehInv</vt:lpstr>
      <vt:lpstr>A-80 DirEntInv</vt:lpstr>
      <vt:lpstr>A-90 Targets</vt:lpstr>
      <vt:lpstr>Rural Vehicle Inventory</vt:lpstr>
      <vt:lpstr>Admin_Maint_Fac_Types</vt:lpstr>
      <vt:lpstr>AM_fac_type</vt:lpstr>
      <vt:lpstr>BaseYear</vt:lpstr>
      <vt:lpstr>BaseYrDollar</vt:lpstr>
      <vt:lpstr>Columns</vt:lpstr>
      <vt:lpstr>Condition</vt:lpstr>
      <vt:lpstr>consolidatedmanufacturers</vt:lpstr>
      <vt:lpstr>Default</vt:lpstr>
      <vt:lpstr>fac_units</vt:lpstr>
      <vt:lpstr>FirstYear</vt:lpstr>
      <vt:lpstr>FuelCodes</vt:lpstr>
      <vt:lpstr>FundingSource</vt:lpstr>
      <vt:lpstr>guidewayunit</vt:lpstr>
      <vt:lpstr>guidewayunits</vt:lpstr>
      <vt:lpstr>Inflate</vt:lpstr>
      <vt:lpstr>manufacturer</vt:lpstr>
      <vt:lpstr>manufacturer_codes</vt:lpstr>
      <vt:lpstr>newpassfac</vt:lpstr>
      <vt:lpstr>NonRail</vt:lpstr>
      <vt:lpstr>parts_warranties</vt:lpstr>
      <vt:lpstr>PassParkFac</vt:lpstr>
      <vt:lpstr>Pax_fac_type</vt:lpstr>
      <vt:lpstr>PrimaryModes</vt:lpstr>
      <vt:lpstr>RailAg</vt:lpstr>
      <vt:lpstr>RailModes</vt:lpstr>
      <vt:lpstr>Railmodes1</vt:lpstr>
      <vt:lpstr>RevVehRenewals</vt:lpstr>
      <vt:lpstr>'FGNonRailSegment-Basics (A20)'!Segment_Basics_data</vt:lpstr>
      <vt:lpstr>ServiceVehicleTypes</vt:lpstr>
      <vt:lpstr>StateCodes</vt:lpstr>
      <vt:lpstr>substationunit</vt:lpstr>
      <vt:lpstr>uza</vt:lpstr>
      <vt:lpstr>val_equip_assets</vt:lpstr>
      <vt:lpstr>val_facilities</vt:lpstr>
      <vt:lpstr>val_fg_assets</vt:lpstr>
      <vt:lpstr>val_maint_admin_fac_components</vt:lpstr>
      <vt:lpstr>val_pax_park_fac_components</vt:lpstr>
      <vt:lpstr>val_paxfac_components</vt:lpstr>
      <vt:lpstr>val_rev_vehicles</vt:lpstr>
      <vt:lpstr>val_revveh_renewals</vt:lpstr>
      <vt:lpstr>vehicle_type</vt:lpstr>
    </vt:vector>
  </TitlesOfParts>
  <Company>FTA@DOT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DelormeG</dc:creator>
  <cp:lastModifiedBy>Andrea</cp:lastModifiedBy>
  <cp:lastPrinted>2011-09-09T18:12:07Z</cp:lastPrinted>
  <dcterms:created xsi:type="dcterms:W3CDTF">2002-01-17T14:59:54Z</dcterms:created>
  <dcterms:modified xsi:type="dcterms:W3CDTF">2015-10-13T15:04:05Z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0x0101007A9EF56417B6C74E9450022B4EA53295</vt:lpwstr>
  </property>
  <property fmtid="{D5CDD505-2E9C-101B-9397-08002B2CF9AE}" pid="3" name="_dlc_DocIdItemGuid">
    <vt:lpwstr>0090314c-9d65-4113-a1f3-cf7a966596bc</vt:lpwstr>
  </property>
  <property fmtid="{D5CDD505-2E9C-101B-9397-08002B2CF9AE}" pid="4" name="WorkbookGuid">
    <vt:lpwstr>2fdbe83a-97f3-45f0-a7ba-78acdfa4f0e4</vt:lpwstr>
  </property>
</Properties>
</file>